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tables/table2.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omments1.xml" ContentType="application/vnd.openxmlformats-officedocument.spreadsheetml.comments+xml"/>
  <Override PartName="/xl/drawings/drawing13.xml" ContentType="application/vnd.openxmlformats-officedocument.drawing+xml"/>
  <Override PartName="/xl/comments2.xml" ContentType="application/vnd.openxmlformats-officedocument.spreadsheetml.comments+xml"/>
  <Override PartName="/xl/charts/chart23.xml" ContentType="application/vnd.openxmlformats-officedocument.drawingml.chart+xml"/>
  <Override PartName="/xl/charts/chartEx1.xml" ContentType="application/vnd.ms-office.chartex+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apple/Desktop/重要/区块链/"/>
    </mc:Choice>
  </mc:AlternateContent>
  <xr:revisionPtr revIDLastSave="0" documentId="13_ncr:1_{9EBC93D2-6DE4-4745-B18D-EA438263ACA3}" xr6:coauthVersionLast="47" xr6:coauthVersionMax="47" xr10:uidLastSave="{00000000-0000-0000-0000-000000000000}"/>
  <bookViews>
    <workbookView xWindow="-20" yWindow="460" windowWidth="25600" windowHeight="14200" xr2:uid="{47E9DC21-D25A-2046-8094-AF5E1B0E02B1}"/>
  </bookViews>
  <sheets>
    <sheet name="目录" sheetId="12" r:id="rId1"/>
    <sheet name="记录仪" sheetId="11" r:id="rId2"/>
    <sheet name="总指挥室" sheetId="27" r:id="rId3"/>
    <sheet name="币圈空间站" sheetId="19" r:id="rId4"/>
    <sheet name="且慢驾驶舱" sheetId="26" r:id="rId5"/>
    <sheet name="卓尔金历" sheetId="1" r:id="rId6"/>
    <sheet name="居家服务" sheetId="23" r:id="rId7"/>
    <sheet name="旧驾驶舱（待拆除）" sheetId="10" r:id="rId8"/>
    <sheet name="神经网络" sheetId="7" r:id="rId9"/>
    <sheet name="参数实验室" sheetId="18" r:id="rId10"/>
    <sheet name="哈布历法" sheetId="24" r:id="rId11"/>
    <sheet name="哈布历1" sheetId="14" r:id="rId12"/>
    <sheet name="哈布历2" sheetId="16" r:id="rId13"/>
    <sheet name="基金费率" sheetId="20" r:id="rId14"/>
    <sheet name="基金申赎记录" sheetId="22" r:id="rId15"/>
    <sheet name="基金结算中枢" sheetId="21" r:id="rId16"/>
    <sheet name="回测实验室" sheetId="25" r:id="rId17"/>
    <sheet name="CryptoSheets(🔥)" sheetId="28" r:id="rId18"/>
    <sheet name="币种排名" sheetId="32" r:id="rId19"/>
    <sheet name="MVRV和S2F" sheetId="33" r:id="rId20"/>
    <sheet name="交易所排名" sheetId="34" r:id="rId21"/>
  </sheets>
  <externalReferences>
    <externalReference r:id="rId22"/>
  </externalReferences>
  <definedNames>
    <definedName name="_xlchart.v1.0" hidden="1">交易所排名!$M$34</definedName>
    <definedName name="_xlchart.v1.1" hidden="1">交易所排名!$X$37:$X$62</definedName>
    <definedName name="_xlchart.v1.2" hidden="1">交易所排名!$Y$37:$Y$62</definedName>
    <definedName name="_xlnm.Print_Area" localSheetId="12">哈布历2!$A$1:$K$22</definedName>
    <definedName name="shfl" localSheetId="13">基金费率!$B$20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64" i="32" l="1"/>
  <c r="B63" i="32"/>
  <c r="A62" i="32"/>
  <c r="A62" i="32" a="1"/>
  <c r="C48" i="32"/>
  <c r="C24" i="32"/>
  <c r="C19" i="32" a="1"/>
  <c r="C23" i="32" s="1"/>
  <c r="A19" i="32" a="1"/>
  <c r="C25" i="32" l="1"/>
  <c r="C20" i="32"/>
  <c r="C21" i="32"/>
  <c r="A23" i="32"/>
  <c r="A19" i="32"/>
  <c r="A22" i="32"/>
  <c r="A21" i="32"/>
  <c r="A24" i="32"/>
  <c r="A20" i="32"/>
  <c r="A25" i="32"/>
  <c r="A63" i="32"/>
  <c r="B64" i="32"/>
  <c r="B62" i="32"/>
  <c r="C22" i="32"/>
  <c r="C19" i="32"/>
  <c r="Q8" i="32" l="1" a="1"/>
  <c r="N8" i="32" a="1"/>
  <c r="E8" i="32" a="1"/>
  <c r="L15" i="28"/>
  <c r="L16" i="28"/>
  <c r="L17" i="28"/>
  <c r="L18" i="28"/>
  <c r="L19" i="28"/>
  <c r="L21" i="28"/>
  <c r="L20" i="28"/>
  <c r="L22" i="28"/>
  <c r="L26" i="28"/>
  <c r="L23" i="28"/>
  <c r="L24" i="28"/>
  <c r="L25" i="28"/>
  <c r="L27" i="28"/>
  <c r="L28" i="28"/>
  <c r="L29" i="28"/>
  <c r="L30" i="28"/>
  <c r="L33" i="28"/>
  <c r="L32" i="28"/>
  <c r="L31" i="28"/>
  <c r="L34" i="28"/>
  <c r="L35" i="28"/>
  <c r="L36" i="28"/>
  <c r="L37" i="28"/>
  <c r="L38" i="28"/>
  <c r="L39" i="28"/>
  <c r="L40" i="28"/>
  <c r="L41" i="28"/>
  <c r="L42" i="28"/>
  <c r="L43" i="28"/>
  <c r="L44" i="28"/>
  <c r="L14" i="28"/>
  <c r="M9" i="28"/>
  <c r="M11" i="28"/>
  <c r="M12" i="28"/>
  <c r="M13" i="28"/>
  <c r="M14" i="28"/>
  <c r="M15" i="28"/>
  <c r="M16" i="28"/>
  <c r="M17" i="28"/>
  <c r="M18" i="28"/>
  <c r="M19" i="28"/>
  <c r="M21" i="28"/>
  <c r="M20" i="28"/>
  <c r="M22" i="28"/>
  <c r="M26" i="28"/>
  <c r="M23" i="28"/>
  <c r="M24" i="28"/>
  <c r="M25" i="28"/>
  <c r="M27" i="28"/>
  <c r="M28" i="28"/>
  <c r="M29" i="28"/>
  <c r="M30" i="28"/>
  <c r="M33" i="28"/>
  <c r="M32" i="28"/>
  <c r="M31" i="28"/>
  <c r="M34" i="28"/>
  <c r="M35" i="28"/>
  <c r="M36" i="28"/>
  <c r="M37" i="28"/>
  <c r="M38" i="28"/>
  <c r="M39" i="28"/>
  <c r="M40" i="28"/>
  <c r="M41" i="28"/>
  <c r="M42" i="28"/>
  <c r="M43" i="28"/>
  <c r="M44" i="28"/>
  <c r="L13" i="28"/>
  <c r="L12" i="28"/>
  <c r="L11" i="28"/>
  <c r="L10" i="28"/>
  <c r="J9" i="28"/>
  <c r="J10" i="28"/>
  <c r="J11" i="28"/>
  <c r="J12" i="28"/>
  <c r="J13" i="28"/>
  <c r="J14" i="28"/>
  <c r="J15" i="28"/>
  <c r="J16" i="28"/>
  <c r="J17" i="28"/>
  <c r="J18" i="28"/>
  <c r="J19" i="28"/>
  <c r="J21" i="28"/>
  <c r="J20" i="28"/>
  <c r="J22" i="28"/>
  <c r="J26" i="28"/>
  <c r="J23" i="28"/>
  <c r="J24" i="28"/>
  <c r="J25" i="28"/>
  <c r="J27" i="28"/>
  <c r="J28" i="28"/>
  <c r="J29" i="28"/>
  <c r="J30" i="28"/>
  <c r="J33" i="28"/>
  <c r="J32" i="28"/>
  <c r="J31" i="28"/>
  <c r="J34" i="28"/>
  <c r="J35" i="28"/>
  <c r="J36" i="28"/>
  <c r="J37" i="28"/>
  <c r="J38" i="28"/>
  <c r="J39" i="28"/>
  <c r="J40" i="28"/>
  <c r="J41" i="28"/>
  <c r="J42" i="28"/>
  <c r="J43" i="28"/>
  <c r="J44" i="28"/>
  <c r="C4" i="34"/>
  <c r="A33" i="34" a="1"/>
  <c r="A35" i="34" s="1"/>
  <c r="H35" i="34" a="1"/>
  <c r="H38" i="34" s="1"/>
  <c r="O35" i="34" a="1"/>
  <c r="O39" i="34" s="1"/>
  <c r="X37" i="34" a="1"/>
  <c r="Y38" i="34" s="1"/>
  <c r="C40" i="34"/>
  <c r="I34" i="34" s="1" a="1"/>
  <c r="J36" i="34" s="1"/>
  <c r="E40" i="34"/>
  <c r="P34" i="34" s="1" a="1"/>
  <c r="T36" i="34" s="1"/>
  <c r="C47" i="34"/>
  <c r="E47" i="34"/>
  <c r="B48" i="34" a="1"/>
  <c r="B48" i="34" s="1"/>
  <c r="D48" i="34" a="1"/>
  <c r="D48" i="34" s="1"/>
  <c r="E48" i="34" a="1"/>
  <c r="F48" i="34" a="1"/>
  <c r="G48" i="34" a="1"/>
  <c r="G48" i="34" s="1"/>
  <c r="G108" i="32" l="1"/>
  <c r="I10" i="32"/>
  <c r="G19" i="32"/>
  <c r="I27" i="32"/>
  <c r="G37" i="32"/>
  <c r="F9" i="32"/>
  <c r="G13" i="32"/>
  <c r="I17" i="32"/>
  <c r="E22" i="32"/>
  <c r="F26" i="32"/>
  <c r="H30" i="32"/>
  <c r="I34" i="32"/>
  <c r="E39" i="32"/>
  <c r="H44" i="32"/>
  <c r="E51" i="32"/>
  <c r="G57" i="32"/>
  <c r="I63" i="32"/>
  <c r="F70" i="32"/>
  <c r="H76" i="32"/>
  <c r="G83" i="32"/>
  <c r="E92" i="32"/>
  <c r="G100" i="32"/>
  <c r="I9" i="32"/>
  <c r="F18" i="32"/>
  <c r="I26" i="32"/>
  <c r="G35" i="32"/>
  <c r="F42" i="32"/>
  <c r="H48" i="32"/>
  <c r="H56" i="32"/>
  <c r="E63" i="32"/>
  <c r="G69" i="32"/>
  <c r="I75" i="32"/>
  <c r="G82" i="32"/>
  <c r="I90" i="32"/>
  <c r="G99" i="32"/>
  <c r="G8" i="32"/>
  <c r="G7" i="32" s="1"/>
  <c r="H12" i="32"/>
  <c r="E17" i="32"/>
  <c r="F21" i="32"/>
  <c r="G25" i="32"/>
  <c r="I29" i="32"/>
  <c r="E34" i="32"/>
  <c r="F38" i="32"/>
  <c r="G43" i="32"/>
  <c r="I49" i="32"/>
  <c r="F56" i="32"/>
  <c r="H62" i="32"/>
  <c r="E69" i="32"/>
  <c r="G75" i="32"/>
  <c r="I81" i="32"/>
  <c r="G90" i="32"/>
  <c r="I98" i="32"/>
  <c r="H108" i="32"/>
  <c r="G105" i="32"/>
  <c r="F102" i="32"/>
  <c r="E99" i="32"/>
  <c r="I95" i="32"/>
  <c r="H92" i="32"/>
  <c r="G89" i="32"/>
  <c r="F86" i="32"/>
  <c r="E83" i="32"/>
  <c r="E106" i="32"/>
  <c r="I101" i="32"/>
  <c r="H97" i="32"/>
  <c r="F93" i="32"/>
  <c r="E89" i="32"/>
  <c r="I84" i="32"/>
  <c r="I80" i="32"/>
  <c r="H77" i="32"/>
  <c r="G74" i="32"/>
  <c r="F71" i="32"/>
  <c r="E68" i="32"/>
  <c r="I64" i="32"/>
  <c r="H61" i="32"/>
  <c r="G58" i="32"/>
  <c r="F55" i="32"/>
  <c r="E52" i="32"/>
  <c r="I48" i="32"/>
  <c r="H45" i="32"/>
  <c r="G42" i="32"/>
  <c r="F39" i="32"/>
  <c r="E36" i="32"/>
  <c r="I32" i="32"/>
  <c r="H29" i="32"/>
  <c r="G26" i="32"/>
  <c r="F23" i="32"/>
  <c r="E13" i="32"/>
  <c r="G21" i="32"/>
  <c r="E30" i="32"/>
  <c r="H40" i="32"/>
  <c r="F10" i="32"/>
  <c r="H14" i="32"/>
  <c r="I18" i="32"/>
  <c r="E23" i="32"/>
  <c r="G27" i="32"/>
  <c r="H31" i="32"/>
  <c r="I35" i="32"/>
  <c r="F40" i="32"/>
  <c r="F46" i="32"/>
  <c r="H52" i="32"/>
  <c r="E59" i="32"/>
  <c r="G65" i="32"/>
  <c r="I71" i="32"/>
  <c r="F78" i="32"/>
  <c r="H85" i="32"/>
  <c r="E94" i="32"/>
  <c r="H102" i="32"/>
  <c r="I11" i="32"/>
  <c r="G20" i="32"/>
  <c r="E29" i="32"/>
  <c r="G36" i="32"/>
  <c r="I43" i="32"/>
  <c r="F50" i="32"/>
  <c r="F58" i="32"/>
  <c r="H64" i="32"/>
  <c r="E71" i="32"/>
  <c r="G77" i="32"/>
  <c r="G84" i="32"/>
  <c r="E93" i="32"/>
  <c r="H101" i="32"/>
  <c r="G9" i="32"/>
  <c r="I13" i="32"/>
  <c r="E18" i="32"/>
  <c r="F22" i="32"/>
  <c r="H26" i="32"/>
  <c r="I30" i="32"/>
  <c r="E35" i="32"/>
  <c r="G39" i="32"/>
  <c r="E45" i="32"/>
  <c r="G51" i="32"/>
  <c r="I57" i="32"/>
  <c r="F64" i="32"/>
  <c r="H70" i="32"/>
  <c r="E77" i="32"/>
  <c r="E84" i="32"/>
  <c r="G92" i="32"/>
  <c r="E101" i="32"/>
  <c r="I107" i="32"/>
  <c r="H104" i="32"/>
  <c r="G101" i="32"/>
  <c r="F98" i="32"/>
  <c r="E95" i="32"/>
  <c r="I91" i="32"/>
  <c r="H88" i="32"/>
  <c r="G85" i="32"/>
  <c r="F82" i="32"/>
  <c r="E105" i="32"/>
  <c r="I100" i="32"/>
  <c r="G96" i="32"/>
  <c r="F92" i="32"/>
  <c r="E88" i="32"/>
  <c r="H83" i="32"/>
  <c r="E80" i="32"/>
  <c r="I76" i="32"/>
  <c r="H73" i="32"/>
  <c r="G70" i="32"/>
  <c r="F67" i="32"/>
  <c r="E64" i="32"/>
  <c r="I60" i="32"/>
  <c r="H57" i="32"/>
  <c r="G54" i="32"/>
  <c r="F51" i="32"/>
  <c r="E48" i="32"/>
  <c r="I44" i="32"/>
  <c r="H41" i="32"/>
  <c r="G38" i="32"/>
  <c r="F35" i="32"/>
  <c r="E32" i="32"/>
  <c r="I28" i="32"/>
  <c r="H25" i="32"/>
  <c r="G22" i="32"/>
  <c r="F17" i="32"/>
  <c r="F34" i="32"/>
  <c r="G12" i="32"/>
  <c r="E21" i="32"/>
  <c r="G29" i="32"/>
  <c r="E38" i="32"/>
  <c r="G49" i="32"/>
  <c r="F62" i="32"/>
  <c r="E75" i="32"/>
  <c r="I89" i="32"/>
  <c r="G107" i="32"/>
  <c r="H24" i="32"/>
  <c r="H39" i="32"/>
  <c r="E55" i="32"/>
  <c r="I67" i="32"/>
  <c r="H80" i="32"/>
  <c r="F97" i="32"/>
  <c r="H11" i="32"/>
  <c r="F20" i="32"/>
  <c r="H28" i="32"/>
  <c r="F37" i="32"/>
  <c r="F48" i="32"/>
  <c r="E61" i="32"/>
  <c r="I73" i="32"/>
  <c r="F88" i="32"/>
  <c r="F105" i="32"/>
  <c r="E103" i="32"/>
  <c r="H96" i="32"/>
  <c r="F90" i="32"/>
  <c r="I83" i="32"/>
  <c r="I102" i="32"/>
  <c r="G94" i="32"/>
  <c r="I85" i="32"/>
  <c r="G78" i="32"/>
  <c r="E72" i="32"/>
  <c r="H65" i="32"/>
  <c r="F59" i="32"/>
  <c r="I52" i="32"/>
  <c r="G46" i="32"/>
  <c r="E40" i="32"/>
  <c r="H33" i="32"/>
  <c r="F27" i="32"/>
  <c r="I20" i="32"/>
  <c r="H17" i="32"/>
  <c r="G14" i="32"/>
  <c r="F11" i="32"/>
  <c r="E8" i="32"/>
  <c r="E7" i="32" s="1"/>
  <c r="H107" i="32"/>
  <c r="G103" i="32"/>
  <c r="F99" i="32"/>
  <c r="I94" i="32"/>
  <c r="H90" i="32"/>
  <c r="G86" i="32"/>
  <c r="E82" i="32"/>
  <c r="I78" i="32"/>
  <c r="H75" i="32"/>
  <c r="G72" i="32"/>
  <c r="F69" i="32"/>
  <c r="E66" i="32"/>
  <c r="I62" i="32"/>
  <c r="H59" i="32"/>
  <c r="G56" i="32"/>
  <c r="F53" i="32"/>
  <c r="E50" i="32"/>
  <c r="I46" i="32"/>
  <c r="H43" i="32"/>
  <c r="E9" i="32"/>
  <c r="F13" i="32"/>
  <c r="G17" i="32"/>
  <c r="I21" i="32"/>
  <c r="E26" i="32"/>
  <c r="F30" i="32"/>
  <c r="H34" i="32"/>
  <c r="I38" i="32"/>
  <c r="F44" i="32"/>
  <c r="H50" i="32"/>
  <c r="E57" i="32"/>
  <c r="G63" i="32"/>
  <c r="I69" i="32"/>
  <c r="F76" i="32"/>
  <c r="I82" i="32"/>
  <c r="G91" i="32"/>
  <c r="E100" i="32"/>
  <c r="E15" i="32"/>
  <c r="I51" i="32"/>
  <c r="H16" i="32"/>
  <c r="G28" i="32"/>
  <c r="G41" i="32"/>
  <c r="I55" i="32"/>
  <c r="G73" i="32"/>
  <c r="F96" i="32"/>
  <c r="F16" i="32"/>
  <c r="H38" i="32"/>
  <c r="I59" i="32"/>
  <c r="F74" i="32"/>
  <c r="F95" i="32"/>
  <c r="I14" i="32"/>
  <c r="G24" i="32"/>
  <c r="F36" i="32"/>
  <c r="E53" i="32"/>
  <c r="G67" i="32"/>
  <c r="E86" i="32"/>
  <c r="E107" i="32"/>
  <c r="I99" i="32"/>
  <c r="E91" i="32"/>
  <c r="F108" i="32"/>
  <c r="H98" i="32"/>
  <c r="I86" i="32"/>
  <c r="E76" i="32"/>
  <c r="I68" i="32"/>
  <c r="E60" i="32"/>
  <c r="G50" i="32"/>
  <c r="F43" i="32"/>
  <c r="G34" i="32"/>
  <c r="I24" i="32"/>
  <c r="F19" i="32"/>
  <c r="F15" i="32"/>
  <c r="G10" i="32"/>
  <c r="I106" i="32"/>
  <c r="G104" i="32"/>
  <c r="E98" i="32"/>
  <c r="I92" i="32"/>
  <c r="G87" i="32"/>
  <c r="F81" i="32"/>
  <c r="F77" i="32"/>
  <c r="F73" i="32"/>
  <c r="G68" i="32"/>
  <c r="G64" i="32"/>
  <c r="G60" i="32"/>
  <c r="H55" i="32"/>
  <c r="H51" i="32"/>
  <c r="H47" i="32"/>
  <c r="I42" i="32"/>
  <c r="E11" i="32"/>
  <c r="G16" i="32"/>
  <c r="I22" i="32"/>
  <c r="F28" i="32"/>
  <c r="G33" i="32"/>
  <c r="I39" i="32"/>
  <c r="G47" i="32"/>
  <c r="G55" i="32"/>
  <c r="E65" i="32"/>
  <c r="E73" i="32"/>
  <c r="E81" i="32"/>
  <c r="H93" i="32"/>
  <c r="F104" i="32"/>
  <c r="H23" i="32"/>
  <c r="G11" i="32"/>
  <c r="F25" i="32"/>
  <c r="E43" i="32"/>
  <c r="E67" i="32"/>
  <c r="H87" i="32"/>
  <c r="H22" i="32"/>
  <c r="E47" i="32"/>
  <c r="H72" i="32"/>
  <c r="H103" i="32"/>
  <c r="E19" i="32"/>
  <c r="E33" i="32"/>
  <c r="H54" i="32"/>
  <c r="H78" i="32"/>
  <c r="F103" i="32"/>
  <c r="G97" i="32"/>
  <c r="E87" i="32"/>
  <c r="H99" i="32"/>
  <c r="H82" i="32"/>
  <c r="I72" i="32"/>
  <c r="G62" i="32"/>
  <c r="H49" i="32"/>
  <c r="H37" i="32"/>
  <c r="E28" i="32"/>
  <c r="G18" i="32"/>
  <c r="I12" i="32"/>
  <c r="E108" i="32"/>
  <c r="G102" i="32"/>
  <c r="E96" i="32"/>
  <c r="G88" i="32"/>
  <c r="G80" i="32"/>
  <c r="I74" i="32"/>
  <c r="E70" i="32"/>
  <c r="H63" i="32"/>
  <c r="E58" i="32"/>
  <c r="G52" i="32"/>
  <c r="E46" i="32"/>
  <c r="F41" i="32"/>
  <c r="G15" i="32"/>
  <c r="I23" i="32"/>
  <c r="G31" i="32"/>
  <c r="I37" i="32"/>
  <c r="E49" i="32"/>
  <c r="F60" i="32"/>
  <c r="G71" i="32"/>
  <c r="E85" i="32"/>
  <c r="I97" i="32"/>
  <c r="I25" i="32"/>
  <c r="I19" i="32"/>
  <c r="E37" i="32"/>
  <c r="H68" i="32"/>
  <c r="I104" i="32"/>
  <c r="G45" i="32"/>
  <c r="E79" i="32"/>
  <c r="H10" i="32"/>
  <c r="I31" i="32"/>
  <c r="G59" i="32"/>
  <c r="H94" i="32"/>
  <c r="H100" i="32"/>
  <c r="H84" i="32"/>
  <c r="F91" i="32"/>
  <c r="F75" i="32"/>
  <c r="I56" i="32"/>
  <c r="E44" i="32"/>
  <c r="G30" i="32"/>
  <c r="I16" i="32"/>
  <c r="H9" i="32"/>
  <c r="H105" i="32"/>
  <c r="I93" i="32"/>
  <c r="F84" i="32"/>
  <c r="G76" i="32"/>
  <c r="H67" i="32"/>
  <c r="F61" i="32"/>
  <c r="E54" i="32"/>
  <c r="F45" i="32"/>
  <c r="F12" i="32"/>
  <c r="H20" i="32"/>
  <c r="G32" i="32"/>
  <c r="H42" i="32"/>
  <c r="H58" i="32"/>
  <c r="H74" i="32"/>
  <c r="F89" i="32"/>
  <c r="H8" i="32"/>
  <c r="H7" i="32" s="1"/>
  <c r="H15" i="32"/>
  <c r="I33" i="32"/>
  <c r="H60" i="32"/>
  <c r="G98" i="32"/>
  <c r="F33" i="32"/>
  <c r="F66" i="32"/>
  <c r="I105" i="32"/>
  <c r="H27" i="32"/>
  <c r="H46" i="32"/>
  <c r="F80" i="32"/>
  <c r="I103" i="32"/>
  <c r="I87" i="32"/>
  <c r="G95" i="32"/>
  <c r="F79" i="32"/>
  <c r="F63" i="32"/>
  <c r="F47" i="32"/>
  <c r="F31" i="32"/>
  <c r="E20" i="32"/>
  <c r="E12" i="32"/>
  <c r="H106" i="32"/>
  <c r="E97" i="32"/>
  <c r="F85" i="32"/>
  <c r="E78" i="32"/>
  <c r="I70" i="32"/>
  <c r="E62" i="32"/>
  <c r="I54" i="32"/>
  <c r="G48" i="32"/>
  <c r="E10" i="32"/>
  <c r="H19" i="32"/>
  <c r="F29" i="32"/>
  <c r="E41" i="32"/>
  <c r="I53" i="32"/>
  <c r="F68" i="32"/>
  <c r="F87" i="32"/>
  <c r="G106" i="32"/>
  <c r="F8" i="32"/>
  <c r="F7" i="32" s="1"/>
  <c r="F54" i="32"/>
  <c r="E31" i="32"/>
  <c r="I88" i="32"/>
  <c r="I41" i="32"/>
  <c r="F106" i="32"/>
  <c r="E104" i="32"/>
  <c r="G66" i="32"/>
  <c r="I36" i="32"/>
  <c r="H13" i="32"/>
  <c r="F100" i="32"/>
  <c r="H79" i="32"/>
  <c r="F65" i="32"/>
  <c r="F49" i="32"/>
  <c r="H18" i="32"/>
  <c r="H36" i="32"/>
  <c r="H66" i="32"/>
  <c r="E102" i="32"/>
  <c r="F24" i="32"/>
  <c r="I79" i="32"/>
  <c r="G53" i="32"/>
  <c r="I15" i="32"/>
  <c r="I65" i="32"/>
  <c r="F94" i="32"/>
  <c r="E90" i="32"/>
  <c r="E56" i="32"/>
  <c r="E24" i="32"/>
  <c r="I8" i="32"/>
  <c r="I7" i="32" s="1"/>
  <c r="H91" i="32"/>
  <c r="E74" i="32"/>
  <c r="I58" i="32"/>
  <c r="G44" i="32"/>
  <c r="E25" i="32"/>
  <c r="I45" i="32"/>
  <c r="I77" i="32"/>
  <c r="H32" i="32"/>
  <c r="G81" i="32"/>
  <c r="G61" i="32"/>
  <c r="G23" i="32"/>
  <c r="F72" i="32"/>
  <c r="G93" i="32"/>
  <c r="H81" i="32"/>
  <c r="H53" i="32"/>
  <c r="H21" i="32"/>
  <c r="I108" i="32"/>
  <c r="H89" i="32"/>
  <c r="H71" i="32"/>
  <c r="F57" i="32"/>
  <c r="E42" i="32"/>
  <c r="E27" i="32"/>
  <c r="F52" i="32"/>
  <c r="G79" i="32"/>
  <c r="I47" i="32"/>
  <c r="I96" i="32"/>
  <c r="E16" i="32"/>
  <c r="I50" i="32"/>
  <c r="H95" i="32"/>
  <c r="F32" i="32"/>
  <c r="I66" i="32"/>
  <c r="E14" i="32"/>
  <c r="F107" i="32"/>
  <c r="F101" i="32"/>
  <c r="F14" i="32"/>
  <c r="H86" i="32"/>
  <c r="H69" i="32"/>
  <c r="F83" i="32"/>
  <c r="H35" i="32"/>
  <c r="G40" i="32"/>
  <c r="I40" i="32"/>
  <c r="I61" i="32"/>
  <c r="P107" i="32"/>
  <c r="M107" i="32" s="1"/>
  <c r="N100" i="32"/>
  <c r="K100" i="32" s="1"/>
  <c r="P90" i="32"/>
  <c r="M90" i="32" s="1"/>
  <c r="N81" i="32"/>
  <c r="K81" i="32" s="1"/>
  <c r="P71" i="32"/>
  <c r="M71" i="32" s="1"/>
  <c r="O62" i="32"/>
  <c r="L62" i="32" s="1"/>
  <c r="O52" i="32"/>
  <c r="L52" i="32" s="1"/>
  <c r="N43" i="32"/>
  <c r="K43" i="32" s="1"/>
  <c r="P33" i="32"/>
  <c r="M33" i="32" s="1"/>
  <c r="N24" i="32"/>
  <c r="K24" i="32" s="1"/>
  <c r="P15" i="32"/>
  <c r="M15" i="32" s="1"/>
  <c r="P8" i="32"/>
  <c r="M7" i="32" s="1"/>
  <c r="N107" i="32"/>
  <c r="K107" i="32" s="1"/>
  <c r="P97" i="32"/>
  <c r="M97" i="32" s="1"/>
  <c r="N88" i="32"/>
  <c r="K88" i="32" s="1"/>
  <c r="P78" i="32"/>
  <c r="M78" i="32" s="1"/>
  <c r="O69" i="32"/>
  <c r="L69" i="32" s="1"/>
  <c r="P59" i="32"/>
  <c r="M59" i="32" s="1"/>
  <c r="O50" i="32"/>
  <c r="L50" i="32" s="1"/>
  <c r="N41" i="32"/>
  <c r="K41" i="32" s="1"/>
  <c r="N31" i="32"/>
  <c r="K31" i="32" s="1"/>
  <c r="P21" i="32"/>
  <c r="M21" i="32" s="1"/>
  <c r="N14" i="32"/>
  <c r="K14" i="32" s="1"/>
  <c r="N105" i="32"/>
  <c r="K105" i="32" s="1"/>
  <c r="N95" i="32"/>
  <c r="K95" i="32" s="1"/>
  <c r="P85" i="32"/>
  <c r="M85" i="32" s="1"/>
  <c r="O76" i="32"/>
  <c r="L76" i="32" s="1"/>
  <c r="P66" i="32"/>
  <c r="M66" i="32" s="1"/>
  <c r="O57" i="32"/>
  <c r="L57" i="32" s="1"/>
  <c r="N48" i="32"/>
  <c r="K48" i="32" s="1"/>
  <c r="O38" i="32"/>
  <c r="L38" i="32" s="1"/>
  <c r="N29" i="32"/>
  <c r="K29" i="32" s="1"/>
  <c r="P19" i="32"/>
  <c r="M19" i="32" s="1"/>
  <c r="N12" i="32"/>
  <c r="K12" i="32" s="1"/>
  <c r="O102" i="32"/>
  <c r="L102" i="32" s="1"/>
  <c r="N93" i="32"/>
  <c r="K93" i="32" s="1"/>
  <c r="P83" i="32"/>
  <c r="M83" i="32" s="1"/>
  <c r="P73" i="32"/>
  <c r="M73" i="32" s="1"/>
  <c r="O64" i="32"/>
  <c r="L64" i="32" s="1"/>
  <c r="N55" i="32"/>
  <c r="K55" i="32" s="1"/>
  <c r="O45" i="32"/>
  <c r="L45" i="32" s="1"/>
  <c r="N36" i="32"/>
  <c r="K36" i="32" s="1"/>
  <c r="P26" i="32"/>
  <c r="M26" i="32" s="1"/>
  <c r="O17" i="32"/>
  <c r="L17" i="32" s="1"/>
  <c r="O10" i="32"/>
  <c r="L10" i="32" s="1"/>
  <c r="N9" i="32"/>
  <c r="K9" i="32" s="1"/>
  <c r="N16" i="32"/>
  <c r="K16" i="32" s="1"/>
  <c r="N25" i="32"/>
  <c r="K25" i="32" s="1"/>
  <c r="O34" i="32"/>
  <c r="L34" i="32" s="1"/>
  <c r="P43" i="32"/>
  <c r="M43" i="32" s="1"/>
  <c r="O53" i="32"/>
  <c r="L53" i="32" s="1"/>
  <c r="P62" i="32"/>
  <c r="M62" i="32" s="1"/>
  <c r="N72" i="32"/>
  <c r="K72" i="32" s="1"/>
  <c r="P81" i="32"/>
  <c r="M81" i="32" s="1"/>
  <c r="N91" i="32"/>
  <c r="K91" i="32" s="1"/>
  <c r="O100" i="32"/>
  <c r="L100" i="32" s="1"/>
  <c r="O107" i="32"/>
  <c r="L107" i="32" s="1"/>
  <c r="N102" i="32"/>
  <c r="K102" i="32" s="1"/>
  <c r="P96" i="32"/>
  <c r="M96" i="32" s="1"/>
  <c r="O91" i="32"/>
  <c r="L91" i="32" s="1"/>
  <c r="N86" i="32"/>
  <c r="K86" i="32" s="1"/>
  <c r="P80" i="32"/>
  <c r="M80" i="32" s="1"/>
  <c r="O75" i="32"/>
  <c r="L75" i="32" s="1"/>
  <c r="N70" i="32"/>
  <c r="K70" i="32" s="1"/>
  <c r="P64" i="32"/>
  <c r="M64" i="32" s="1"/>
  <c r="O59" i="32"/>
  <c r="L59" i="32" s="1"/>
  <c r="N54" i="32"/>
  <c r="K54" i="32" s="1"/>
  <c r="P48" i="32"/>
  <c r="M48" i="32" s="1"/>
  <c r="O43" i="32"/>
  <c r="L43" i="32" s="1"/>
  <c r="N38" i="32"/>
  <c r="K38" i="32" s="1"/>
  <c r="P32" i="32"/>
  <c r="M32" i="32" s="1"/>
  <c r="O27" i="32"/>
  <c r="L27" i="32" s="1"/>
  <c r="N22" i="32"/>
  <c r="K22" i="32" s="1"/>
  <c r="O106" i="32"/>
  <c r="L106" i="32" s="1"/>
  <c r="N99" i="32"/>
  <c r="K99" i="32" s="1"/>
  <c r="N92" i="32"/>
  <c r="K92" i="32" s="1"/>
  <c r="N85" i="32"/>
  <c r="K85" i="32" s="1"/>
  <c r="P77" i="32"/>
  <c r="M77" i="32" s="1"/>
  <c r="P70" i="32"/>
  <c r="M70" i="32" s="1"/>
  <c r="P63" i="32"/>
  <c r="M63" i="32" s="1"/>
  <c r="O56" i="32"/>
  <c r="L56" i="32" s="1"/>
  <c r="O49" i="32"/>
  <c r="L49" i="32" s="1"/>
  <c r="O42" i="32"/>
  <c r="L42" i="32" s="1"/>
  <c r="N35" i="32"/>
  <c r="K35" i="32" s="1"/>
  <c r="N28" i="32"/>
  <c r="K28" i="32" s="1"/>
  <c r="N21" i="32"/>
  <c r="K21" i="32" s="1"/>
  <c r="N15" i="32"/>
  <c r="K15" i="32" s="1"/>
  <c r="P9" i="32"/>
  <c r="M9" i="32" s="1"/>
  <c r="N13" i="32"/>
  <c r="K13" i="32" s="1"/>
  <c r="O20" i="32"/>
  <c r="L20" i="32" s="1"/>
  <c r="O30" i="32"/>
  <c r="L30" i="32" s="1"/>
  <c r="P39" i="32"/>
  <c r="M39" i="32" s="1"/>
  <c r="N49" i="32"/>
  <c r="K49" i="32" s="1"/>
  <c r="P58" i="32"/>
  <c r="M58" i="32" s="1"/>
  <c r="N68" i="32"/>
  <c r="K68" i="32" s="1"/>
  <c r="O77" i="32"/>
  <c r="L77" i="32" s="1"/>
  <c r="N87" i="32"/>
  <c r="K87" i="32" s="1"/>
  <c r="O96" i="32"/>
  <c r="L96" i="32" s="1"/>
  <c r="P105" i="32"/>
  <c r="M105" i="32" s="1"/>
  <c r="P11" i="32"/>
  <c r="M11" i="32" s="1"/>
  <c r="P18" i="32"/>
  <c r="M18" i="32" s="1"/>
  <c r="O28" i="32"/>
  <c r="L28" i="32" s="1"/>
  <c r="P37" i="32"/>
  <c r="M37" i="32" s="1"/>
  <c r="N47" i="32"/>
  <c r="K47" i="32" s="1"/>
  <c r="N57" i="32"/>
  <c r="K57" i="32" s="1"/>
  <c r="O66" i="32"/>
  <c r="L66" i="32" s="1"/>
  <c r="P75" i="32"/>
  <c r="M75" i="32" s="1"/>
  <c r="O85" i="32"/>
  <c r="L85" i="32" s="1"/>
  <c r="P94" i="32"/>
  <c r="M94" i="32" s="1"/>
  <c r="N104" i="32"/>
  <c r="K104" i="32" s="1"/>
  <c r="O14" i="32"/>
  <c r="L14" i="32" s="1"/>
  <c r="N27" i="32"/>
  <c r="K27" i="32" s="1"/>
  <c r="N39" i="32"/>
  <c r="K39" i="32" s="1"/>
  <c r="P50" i="32"/>
  <c r="M50" i="32" s="1"/>
  <c r="N65" i="32"/>
  <c r="K65" i="32" s="1"/>
  <c r="N77" i="32"/>
  <c r="K77" i="32" s="1"/>
  <c r="N89" i="32"/>
  <c r="K89" i="32" s="1"/>
  <c r="N103" i="32"/>
  <c r="K103" i="32" s="1"/>
  <c r="P104" i="32"/>
  <c r="M104" i="32" s="1"/>
  <c r="N98" i="32"/>
  <c r="K98" i="32" s="1"/>
  <c r="N90" i="32"/>
  <c r="K90" i="32" s="1"/>
  <c r="O83" i="32"/>
  <c r="L83" i="32" s="1"/>
  <c r="P76" i="32"/>
  <c r="M76" i="32" s="1"/>
  <c r="P68" i="32"/>
  <c r="M68" i="32" s="1"/>
  <c r="N62" i="32"/>
  <c r="K62" i="32" s="1"/>
  <c r="O55" i="32"/>
  <c r="L55" i="32" s="1"/>
  <c r="O47" i="32"/>
  <c r="L47" i="32" s="1"/>
  <c r="P40" i="32"/>
  <c r="M40" i="32" s="1"/>
  <c r="N34" i="32"/>
  <c r="K34" i="32" s="1"/>
  <c r="N26" i="32"/>
  <c r="K26" i="32" s="1"/>
  <c r="O19" i="32"/>
  <c r="L19" i="32" s="1"/>
  <c r="N101" i="32"/>
  <c r="K101" i="32" s="1"/>
  <c r="P12" i="32"/>
  <c r="M12" i="32" s="1"/>
  <c r="O29" i="32"/>
  <c r="L29" i="32" s="1"/>
  <c r="O46" i="32"/>
  <c r="L46" i="32" s="1"/>
  <c r="O60" i="32"/>
  <c r="L60" i="32" s="1"/>
  <c r="N79" i="32"/>
  <c r="K79" i="32" s="1"/>
  <c r="N96" i="32"/>
  <c r="K96" i="32" s="1"/>
  <c r="N106" i="32"/>
  <c r="K106" i="32" s="1"/>
  <c r="O95" i="32"/>
  <c r="L95" i="32" s="1"/>
  <c r="O87" i="32"/>
  <c r="L87" i="32" s="1"/>
  <c r="N78" i="32"/>
  <c r="K78" i="32" s="1"/>
  <c r="O67" i="32"/>
  <c r="L67" i="32" s="1"/>
  <c r="N58" i="32"/>
  <c r="K58" i="32" s="1"/>
  <c r="N50" i="32"/>
  <c r="K50" i="32" s="1"/>
  <c r="O39" i="32"/>
  <c r="L39" i="32" s="1"/>
  <c r="N30" i="32"/>
  <c r="K30" i="32" s="1"/>
  <c r="P20" i="32"/>
  <c r="M20" i="32" s="1"/>
  <c r="O97" i="32"/>
  <c r="L97" i="32" s="1"/>
  <c r="O88" i="32"/>
  <c r="L88" i="32" s="1"/>
  <c r="P79" i="32"/>
  <c r="M79" i="32" s="1"/>
  <c r="N69" i="32"/>
  <c r="K69" i="32" s="1"/>
  <c r="N60" i="32"/>
  <c r="K60" i="32" s="1"/>
  <c r="N51" i="32"/>
  <c r="K51" i="32" s="1"/>
  <c r="O40" i="32"/>
  <c r="L40" i="32" s="1"/>
  <c r="P31" i="32"/>
  <c r="M31" i="32" s="1"/>
  <c r="P22" i="32"/>
  <c r="M22" i="32" s="1"/>
  <c r="P13" i="32"/>
  <c r="M13" i="32" s="1"/>
  <c r="O9" i="32"/>
  <c r="L9" i="32" s="1"/>
  <c r="O18" i="32"/>
  <c r="L18" i="32" s="1"/>
  <c r="O32" i="32"/>
  <c r="L32" i="32" s="1"/>
  <c r="O44" i="32"/>
  <c r="L44" i="32" s="1"/>
  <c r="N56" i="32"/>
  <c r="K56" i="32" s="1"/>
  <c r="O70" i="32"/>
  <c r="L70" i="32" s="1"/>
  <c r="O82" i="32"/>
  <c r="L82" i="32" s="1"/>
  <c r="O94" i="32"/>
  <c r="L94" i="32" s="1"/>
  <c r="O108" i="32"/>
  <c r="L108" i="32" s="1"/>
  <c r="O15" i="32"/>
  <c r="L15" i="32" s="1"/>
  <c r="P25" i="32"/>
  <c r="M25" i="32" s="1"/>
  <c r="N40" i="32"/>
  <c r="K40" i="32" s="1"/>
  <c r="N52" i="32"/>
  <c r="K52" i="32" s="1"/>
  <c r="N64" i="32"/>
  <c r="K64" i="32" s="1"/>
  <c r="O78" i="32"/>
  <c r="L78" i="32" s="1"/>
  <c r="P89" i="32"/>
  <c r="M89" i="32" s="1"/>
  <c r="P101" i="32"/>
  <c r="M101" i="32" s="1"/>
  <c r="P10" i="32"/>
  <c r="M10" i="32" s="1"/>
  <c r="N32" i="32"/>
  <c r="K32" i="32" s="1"/>
  <c r="P55" i="32"/>
  <c r="M55" i="32" s="1"/>
  <c r="P74" i="32"/>
  <c r="M74" i="32" s="1"/>
  <c r="O98" i="32"/>
  <c r="L98" i="32" s="1"/>
  <c r="P100" i="32"/>
  <c r="M100" i="32" s="1"/>
  <c r="P88" i="32"/>
  <c r="M88" i="32" s="1"/>
  <c r="N74" i="32"/>
  <c r="K74" i="32" s="1"/>
  <c r="O63" i="32"/>
  <c r="L63" i="32" s="1"/>
  <c r="O51" i="32"/>
  <c r="L51" i="32" s="1"/>
  <c r="P36" i="32"/>
  <c r="M36" i="32" s="1"/>
  <c r="P24" i="32"/>
  <c r="M24" i="32" s="1"/>
  <c r="P102" i="32"/>
  <c r="M102" i="32" s="1"/>
  <c r="P86" i="32"/>
  <c r="M86" i="32" s="1"/>
  <c r="O74" i="32"/>
  <c r="L74" i="32" s="1"/>
  <c r="P61" i="32"/>
  <c r="M61" i="32" s="1"/>
  <c r="P47" i="32"/>
  <c r="M47" i="32" s="1"/>
  <c r="N37" i="32"/>
  <c r="K37" i="32" s="1"/>
  <c r="O24" i="32"/>
  <c r="L24" i="32" s="1"/>
  <c r="O12" i="32"/>
  <c r="L12" i="32" s="1"/>
  <c r="P14" i="32"/>
  <c r="M14" i="32" s="1"/>
  <c r="P27" i="32"/>
  <c r="M27" i="32" s="1"/>
  <c r="P46" i="32"/>
  <c r="M46" i="32" s="1"/>
  <c r="N63" i="32"/>
  <c r="K63" i="32" s="1"/>
  <c r="N80" i="32"/>
  <c r="K80" i="32" s="1"/>
  <c r="P98" i="32"/>
  <c r="M98" i="32" s="1"/>
  <c r="N10" i="32"/>
  <c r="K10" i="32" s="1"/>
  <c r="P23" i="32"/>
  <c r="M23" i="32" s="1"/>
  <c r="P42" i="32"/>
  <c r="M42" i="32" s="1"/>
  <c r="O22" i="32"/>
  <c r="L22" i="32" s="1"/>
  <c r="O48" i="32"/>
  <c r="L48" i="32" s="1"/>
  <c r="P69" i="32"/>
  <c r="M69" i="32" s="1"/>
  <c r="O93" i="32"/>
  <c r="L93" i="32" s="1"/>
  <c r="O103" i="32"/>
  <c r="L103" i="32" s="1"/>
  <c r="P92" i="32"/>
  <c r="M92" i="32" s="1"/>
  <c r="O79" i="32"/>
  <c r="L79" i="32" s="1"/>
  <c r="N66" i="32"/>
  <c r="K66" i="32" s="1"/>
  <c r="P52" i="32"/>
  <c r="M52" i="32" s="1"/>
  <c r="N42" i="32"/>
  <c r="K42" i="32" s="1"/>
  <c r="P28" i="32"/>
  <c r="M28" i="32" s="1"/>
  <c r="O104" i="32"/>
  <c r="L104" i="32" s="1"/>
  <c r="O90" i="32"/>
  <c r="L90" i="32" s="1"/>
  <c r="N76" i="32"/>
  <c r="K76" i="32" s="1"/>
  <c r="O65" i="32"/>
  <c r="L65" i="32" s="1"/>
  <c r="N53" i="32"/>
  <c r="K53" i="32" s="1"/>
  <c r="P38" i="32"/>
  <c r="M38" i="32" s="1"/>
  <c r="O26" i="32"/>
  <c r="L26" i="32" s="1"/>
  <c r="O16" i="32"/>
  <c r="L16" i="32" s="1"/>
  <c r="O11" i="32"/>
  <c r="L11" i="32" s="1"/>
  <c r="O25" i="32"/>
  <c r="L25" i="32" s="1"/>
  <c r="P41" i="32"/>
  <c r="M41" i="32" s="1"/>
  <c r="N61" i="32"/>
  <c r="K61" i="32" s="1"/>
  <c r="N75" i="32"/>
  <c r="K75" i="32" s="1"/>
  <c r="P91" i="32"/>
  <c r="M91" i="32" s="1"/>
  <c r="N8" i="32"/>
  <c r="K7" i="32" s="1"/>
  <c r="O21" i="32"/>
  <c r="L21" i="32" s="1"/>
  <c r="P35" i="32"/>
  <c r="M35" i="32" s="1"/>
  <c r="O54" i="32"/>
  <c r="L54" i="32" s="1"/>
  <c r="N71" i="32"/>
  <c r="K71" i="32" s="1"/>
  <c r="P87" i="32"/>
  <c r="M87" i="32" s="1"/>
  <c r="P106" i="32"/>
  <c r="M106" i="32" s="1"/>
  <c r="O41" i="32"/>
  <c r="L41" i="32" s="1"/>
  <c r="O86" i="32"/>
  <c r="L86" i="32" s="1"/>
  <c r="N94" i="32"/>
  <c r="K94" i="32" s="1"/>
  <c r="O71" i="32"/>
  <c r="L71" i="32" s="1"/>
  <c r="P44" i="32"/>
  <c r="M44" i="32" s="1"/>
  <c r="N108" i="32"/>
  <c r="K108" i="32" s="1"/>
  <c r="O81" i="32"/>
  <c r="L81" i="32" s="1"/>
  <c r="P54" i="32"/>
  <c r="M54" i="32" s="1"/>
  <c r="P29" i="32"/>
  <c r="M29" i="32" s="1"/>
  <c r="O8" i="32"/>
  <c r="L7" i="32" s="1"/>
  <c r="O37" i="32"/>
  <c r="L37" i="32" s="1"/>
  <c r="N73" i="32"/>
  <c r="K73" i="32" s="1"/>
  <c r="P103" i="32"/>
  <c r="M103" i="32" s="1"/>
  <c r="N33" i="32"/>
  <c r="K33" i="32" s="1"/>
  <c r="O61" i="32"/>
  <c r="L61" i="32" s="1"/>
  <c r="P82" i="32"/>
  <c r="M82" i="32" s="1"/>
  <c r="N18" i="32"/>
  <c r="K18" i="32" s="1"/>
  <c r="P57" i="32"/>
  <c r="M57" i="32" s="1"/>
  <c r="O105" i="32"/>
  <c r="L105" i="32" s="1"/>
  <c r="P84" i="32"/>
  <c r="M84" i="32" s="1"/>
  <c r="P60" i="32"/>
  <c r="M60" i="32" s="1"/>
  <c r="O35" i="32"/>
  <c r="L35" i="32" s="1"/>
  <c r="P95" i="32"/>
  <c r="M95" i="32" s="1"/>
  <c r="O72" i="32"/>
  <c r="L72" i="32" s="1"/>
  <c r="P45" i="32"/>
  <c r="M45" i="32" s="1"/>
  <c r="N19" i="32"/>
  <c r="K19" i="32" s="1"/>
  <c r="P16" i="32"/>
  <c r="M16" i="32" s="1"/>
  <c r="P51" i="32"/>
  <c r="M51" i="32" s="1"/>
  <c r="O84" i="32"/>
  <c r="L84" i="32" s="1"/>
  <c r="O13" i="32"/>
  <c r="L13" i="32" s="1"/>
  <c r="N45" i="32"/>
  <c r="K45" i="32" s="1"/>
  <c r="O68" i="32"/>
  <c r="L68" i="32" s="1"/>
  <c r="O92" i="32"/>
  <c r="L92" i="32" s="1"/>
  <c r="N20" i="32"/>
  <c r="K20" i="32" s="1"/>
  <c r="P67" i="32"/>
  <c r="M67" i="32" s="1"/>
  <c r="P108" i="32"/>
  <c r="M108" i="32" s="1"/>
  <c r="N82" i="32"/>
  <c r="K82" i="32" s="1"/>
  <c r="P56" i="32"/>
  <c r="M56" i="32" s="1"/>
  <c r="O31" i="32"/>
  <c r="L31" i="32" s="1"/>
  <c r="P93" i="32"/>
  <c r="M93" i="32" s="1"/>
  <c r="N67" i="32"/>
  <c r="K67" i="32" s="1"/>
  <c r="N44" i="32"/>
  <c r="K44" i="32" s="1"/>
  <c r="P17" i="32"/>
  <c r="M17" i="32" s="1"/>
  <c r="N23" i="32"/>
  <c r="K23" i="32" s="1"/>
  <c r="P53" i="32"/>
  <c r="M53" i="32" s="1"/>
  <c r="O89" i="32"/>
  <c r="L89" i="32" s="1"/>
  <c r="N17" i="32"/>
  <c r="K17" i="32" s="1"/>
  <c r="P49" i="32"/>
  <c r="M49" i="32" s="1"/>
  <c r="O73" i="32"/>
  <c r="L73" i="32" s="1"/>
  <c r="N97" i="32"/>
  <c r="K97" i="32" s="1"/>
  <c r="P72" i="32"/>
  <c r="M72" i="32" s="1"/>
  <c r="O58" i="32"/>
  <c r="L58" i="32" s="1"/>
  <c r="P65" i="32"/>
  <c r="M65" i="32" s="1"/>
  <c r="O80" i="32"/>
  <c r="L80" i="32" s="1"/>
  <c r="N83" i="32"/>
  <c r="K83" i="32" s="1"/>
  <c r="N59" i="32"/>
  <c r="K59" i="32" s="1"/>
  <c r="O36" i="32"/>
  <c r="L36" i="32" s="1"/>
  <c r="N46" i="32"/>
  <c r="K46" i="32" s="1"/>
  <c r="O33" i="32"/>
  <c r="L33" i="32" s="1"/>
  <c r="O101" i="32"/>
  <c r="L101" i="32" s="1"/>
  <c r="P99" i="32"/>
  <c r="M99" i="32" s="1"/>
  <c r="N84" i="32"/>
  <c r="K84" i="32" s="1"/>
  <c r="O23" i="32"/>
  <c r="L23" i="32" s="1"/>
  <c r="N11" i="32"/>
  <c r="K11" i="32" s="1"/>
  <c r="O99" i="32"/>
  <c r="L99" i="32" s="1"/>
  <c r="P34" i="32"/>
  <c r="M34" i="32" s="1"/>
  <c r="P30" i="32"/>
  <c r="M30" i="32" s="1"/>
  <c r="T107" i="32"/>
  <c r="U102" i="32"/>
  <c r="T97" i="32"/>
  <c r="U92" i="32"/>
  <c r="S87" i="32"/>
  <c r="T82" i="32"/>
  <c r="T77" i="32"/>
  <c r="T72" i="32"/>
  <c r="T68" i="32"/>
  <c r="R65" i="32"/>
  <c r="R61" i="32"/>
  <c r="R57" i="32"/>
  <c r="Q54" i="32"/>
  <c r="Q51" i="32"/>
  <c r="R48" i="32"/>
  <c r="S45" i="32"/>
  <c r="T42" i="32"/>
  <c r="T39" i="32"/>
  <c r="S37" i="32"/>
  <c r="R35" i="32"/>
  <c r="Q33" i="32"/>
  <c r="Q31" i="32"/>
  <c r="U28" i="32"/>
  <c r="T26" i="32"/>
  <c r="T24" i="32"/>
  <c r="S22" i="32"/>
  <c r="R20" i="32"/>
  <c r="R18" i="32"/>
  <c r="Q16" i="32"/>
  <c r="U13" i="32"/>
  <c r="U11" i="32"/>
  <c r="T9" i="32"/>
  <c r="U106" i="32"/>
  <c r="R101" i="32"/>
  <c r="U96" i="32"/>
  <c r="S91" i="32"/>
  <c r="Q86" i="32"/>
  <c r="T81" i="32"/>
  <c r="R76" i="32"/>
  <c r="T71" i="32"/>
  <c r="U67" i="32"/>
  <c r="R64" i="32"/>
  <c r="R60" i="32"/>
  <c r="T56" i="32"/>
  <c r="R53" i="32"/>
  <c r="R50" i="32"/>
  <c r="T47" i="32"/>
  <c r="T44" i="32"/>
  <c r="U41" i="32"/>
  <c r="Q39" i="32"/>
  <c r="U36" i="32"/>
  <c r="T34" i="32"/>
  <c r="T32" i="32"/>
  <c r="S30" i="32"/>
  <c r="R28" i="32"/>
  <c r="R26" i="32"/>
  <c r="Q24" i="32"/>
  <c r="U21" i="32"/>
  <c r="U19" i="32"/>
  <c r="T17" i="32"/>
  <c r="S15" i="32"/>
  <c r="S13" i="32"/>
  <c r="R11" i="32"/>
  <c r="Q9" i="32"/>
  <c r="R105" i="32"/>
  <c r="R100" i="32"/>
  <c r="S95" i="32"/>
  <c r="Q90" i="32"/>
  <c r="R85" i="32"/>
  <c r="Q80" i="32"/>
  <c r="T74" i="32"/>
  <c r="U70" i="32"/>
  <c r="U66" i="32"/>
  <c r="Q63" i="32"/>
  <c r="S59" i="32"/>
  <c r="T55" i="32"/>
  <c r="S52" i="32"/>
  <c r="U49" i="32"/>
  <c r="U46" i="32"/>
  <c r="U43" i="32"/>
  <c r="R41" i="32"/>
  <c r="S38" i="32"/>
  <c r="R36" i="32"/>
  <c r="R34" i="32"/>
  <c r="Q32" i="32"/>
  <c r="U29" i="32"/>
  <c r="U27" i="32"/>
  <c r="T25" i="32"/>
  <c r="S23" i="32"/>
  <c r="S21" i="32"/>
  <c r="R19" i="32"/>
  <c r="Q17" i="32"/>
  <c r="Q15" i="32"/>
  <c r="U12" i="32"/>
  <c r="T10" i="32"/>
  <c r="T8" i="32"/>
  <c r="T7" i="32" s="1"/>
  <c r="R104" i="32"/>
  <c r="U98" i="32"/>
  <c r="U93" i="32"/>
  <c r="Q89" i="32"/>
  <c r="Q84" i="32"/>
  <c r="T78" i="32"/>
  <c r="Q74" i="32"/>
  <c r="U69" i="32"/>
  <c r="U65" i="32"/>
  <c r="R62" i="32"/>
  <c r="R58" i="32"/>
  <c r="T54" i="32"/>
  <c r="U51" i="32"/>
  <c r="Q49" i="32"/>
  <c r="Q46" i="32"/>
  <c r="S43" i="32"/>
  <c r="S40" i="32"/>
  <c r="U37" i="32"/>
  <c r="U35" i="32"/>
  <c r="T33" i="32"/>
  <c r="S31" i="32"/>
  <c r="S29" i="32"/>
  <c r="R27" i="32"/>
  <c r="Q25" i="32"/>
  <c r="Q23" i="32"/>
  <c r="U20" i="32"/>
  <c r="T18" i="32"/>
  <c r="T16" i="32"/>
  <c r="S14" i="32"/>
  <c r="R12" i="32"/>
  <c r="R10" i="32"/>
  <c r="Q8" i="32"/>
  <c r="Q7" i="32" s="1"/>
  <c r="S10" i="32"/>
  <c r="T14" i="32"/>
  <c r="Q19" i="32"/>
  <c r="R23" i="32"/>
  <c r="S27" i="32"/>
  <c r="U31" i="32"/>
  <c r="Q36" i="32"/>
  <c r="T40" i="32"/>
  <c r="T46" i="32"/>
  <c r="R52" i="32"/>
  <c r="U58" i="32"/>
  <c r="T66" i="32"/>
  <c r="S74" i="32"/>
  <c r="R84" i="32"/>
  <c r="T94" i="32"/>
  <c r="S104" i="32"/>
  <c r="Q108" i="32"/>
  <c r="S107" i="32"/>
  <c r="U103" i="32"/>
  <c r="T100" i="32"/>
  <c r="S97" i="32"/>
  <c r="R94" i="32"/>
  <c r="S11" i="32"/>
  <c r="U16" i="32"/>
  <c r="R22" i="32"/>
  <c r="T28" i="32"/>
  <c r="U33" i="32"/>
  <c r="S39" i="32"/>
  <c r="U47" i="32"/>
  <c r="Q55" i="32"/>
  <c r="S64" i="32"/>
  <c r="U76" i="32"/>
  <c r="T89" i="32"/>
  <c r="S102" i="32"/>
  <c r="R107" i="32"/>
  <c r="S105" i="32"/>
  <c r="S101" i="32"/>
  <c r="T96" i="32"/>
  <c r="T92" i="32"/>
  <c r="S89" i="32"/>
  <c r="R86" i="32"/>
  <c r="Q83" i="32"/>
  <c r="U79" i="32"/>
  <c r="T76" i="32"/>
  <c r="S73" i="32"/>
  <c r="U104" i="32"/>
  <c r="S100" i="32"/>
  <c r="R96" i="32"/>
  <c r="Q92" i="32"/>
  <c r="T87" i="32"/>
  <c r="S83" i="32"/>
  <c r="R79" i="32"/>
  <c r="U74" i="32"/>
  <c r="R71" i="32"/>
  <c r="Q68" i="32"/>
  <c r="U64" i="32"/>
  <c r="T61" i="32"/>
  <c r="S58" i="32"/>
  <c r="R55" i="32"/>
  <c r="S103" i="32"/>
  <c r="U97" i="32"/>
  <c r="R92" i="32"/>
  <c r="S86" i="32"/>
  <c r="U80" i="32"/>
  <c r="R75" i="32"/>
  <c r="R70" i="32"/>
  <c r="Q66" i="32"/>
  <c r="U61" i="32"/>
  <c r="S57" i="32"/>
  <c r="T53" i="32"/>
  <c r="S50" i="32"/>
  <c r="R47" i="32"/>
  <c r="Q44" i="32"/>
  <c r="U40" i="32"/>
  <c r="T105" i="32"/>
  <c r="Q98" i="32"/>
  <c r="S90" i="32"/>
  <c r="U82" i="32"/>
  <c r="S75" i="32"/>
  <c r="Q69" i="32"/>
  <c r="S63" i="32"/>
  <c r="U57" i="32"/>
  <c r="T52" i="32"/>
  <c r="S48" i="32"/>
  <c r="R44" i="32"/>
  <c r="U39" i="32"/>
  <c r="S36" i="32"/>
  <c r="R33" i="32"/>
  <c r="Q30" i="32"/>
  <c r="U26" i="32"/>
  <c r="T23" i="32"/>
  <c r="S20" i="32"/>
  <c r="R17" i="32"/>
  <c r="Q14" i="32"/>
  <c r="U10" i="32"/>
  <c r="U8" i="32"/>
  <c r="U7" i="32" s="1"/>
  <c r="Q13" i="32"/>
  <c r="S17" i="32"/>
  <c r="T21" i="32"/>
  <c r="U25" i="32"/>
  <c r="R30" i="32"/>
  <c r="S34" i="32"/>
  <c r="T13" i="32"/>
  <c r="Q21" i="32"/>
  <c r="T29" i="32"/>
  <c r="Q37" i="32"/>
  <c r="Q45" i="32"/>
  <c r="Q57" i="32"/>
  <c r="Q70" i="32"/>
  <c r="R87" i="32"/>
  <c r="S108" i="32"/>
  <c r="R102" i="32"/>
  <c r="U95" i="32"/>
  <c r="Q91" i="32"/>
  <c r="Q87" i="32"/>
  <c r="R82" i="32"/>
  <c r="R78" i="32"/>
  <c r="R74" i="32"/>
  <c r="T103" i="32"/>
  <c r="R8" i="32"/>
  <c r="R7" i="32" s="1"/>
  <c r="U17" i="32"/>
  <c r="S26" i="32"/>
  <c r="R38" i="32"/>
  <c r="U50" i="32"/>
  <c r="S68" i="32"/>
  <c r="T91" i="32"/>
  <c r="T104" i="32"/>
  <c r="R98" i="32"/>
  <c r="R90" i="32"/>
  <c r="T84" i="32"/>
  <c r="Q79" i="32"/>
  <c r="T108" i="32"/>
  <c r="T101" i="32"/>
  <c r="R95" i="32"/>
  <c r="U89" i="32"/>
  <c r="S84" i="32"/>
  <c r="Q78" i="32"/>
  <c r="U72" i="32"/>
  <c r="U68" i="32"/>
  <c r="Q64" i="32"/>
  <c r="Q60" i="32"/>
  <c r="Q56" i="32"/>
  <c r="Q102" i="32"/>
  <c r="U94" i="32"/>
  <c r="Q88" i="32"/>
  <c r="S79" i="32"/>
  <c r="S72" i="32"/>
  <c r="Q67" i="32"/>
  <c r="T60" i="32"/>
  <c r="S55" i="32"/>
  <c r="R51" i="32"/>
  <c r="S46" i="32"/>
  <c r="S42" i="32"/>
  <c r="U107" i="32"/>
  <c r="Q96" i="32"/>
  <c r="U86" i="32"/>
  <c r="R77" i="32"/>
  <c r="T67" i="32"/>
  <c r="S60" i="32"/>
  <c r="U53" i="32"/>
  <c r="S47" i="32"/>
  <c r="Q42" i="32"/>
  <c r="S9" i="32"/>
  <c r="Q20" i="32"/>
  <c r="T30" i="32"/>
  <c r="R42" i="32"/>
  <c r="S53" i="32"/>
  <c r="R72" i="32"/>
  <c r="Q97" i="32"/>
  <c r="U108" i="32"/>
  <c r="Q103" i="32"/>
  <c r="Q95" i="32"/>
  <c r="T88" i="32"/>
  <c r="U83" i="32"/>
  <c r="S77" i="32"/>
  <c r="Q107" i="32"/>
  <c r="S99" i="32"/>
  <c r="Q94" i="32"/>
  <c r="U88" i="32"/>
  <c r="S82" i="32"/>
  <c r="Q77" i="32"/>
  <c r="Q72" i="32"/>
  <c r="R67" i="32"/>
  <c r="R63" i="32"/>
  <c r="R59" i="32"/>
  <c r="R108" i="32"/>
  <c r="U100" i="32"/>
  <c r="T93" i="32"/>
  <c r="Q85" i="32"/>
  <c r="U77" i="32"/>
  <c r="S71" i="32"/>
  <c r="Q65" i="32"/>
  <c r="T59" i="32"/>
  <c r="S54" i="32"/>
  <c r="T49" i="32"/>
  <c r="T45" i="32"/>
  <c r="T41" i="32"/>
  <c r="Q104" i="32"/>
  <c r="S94" i="32"/>
  <c r="U84" i="32"/>
  <c r="R73" i="32"/>
  <c r="R66" i="32"/>
  <c r="T12" i="32"/>
  <c r="R24" i="32"/>
  <c r="U32" i="32"/>
  <c r="T43" i="32"/>
  <c r="Q61" i="32"/>
  <c r="T79" i="32"/>
  <c r="T99" i="32"/>
  <c r="S106" i="32"/>
  <c r="U99" i="32"/>
  <c r="S93" i="32"/>
  <c r="U87" i="32"/>
  <c r="S81" i="32"/>
  <c r="U75" i="32"/>
  <c r="U105" i="32"/>
  <c r="S98" i="32"/>
  <c r="Q93" i="32"/>
  <c r="T86" i="32"/>
  <c r="R81" i="32"/>
  <c r="Q76" i="32"/>
  <c r="S70" i="32"/>
  <c r="S66" i="32"/>
  <c r="S62" i="32"/>
  <c r="T57" i="32"/>
  <c r="T106" i="32"/>
  <c r="R99" i="32"/>
  <c r="T90" i="32"/>
  <c r="T83" i="32"/>
  <c r="S76" i="32"/>
  <c r="R69" i="32"/>
  <c r="U63" i="32"/>
  <c r="T58" i="32"/>
  <c r="U52" i="32"/>
  <c r="U48" i="32"/>
  <c r="U44" i="32"/>
  <c r="Q40" i="32"/>
  <c r="U101" i="32"/>
  <c r="S92" i="32"/>
  <c r="Q81" i="32"/>
  <c r="U71" i="32"/>
  <c r="T64" i="32"/>
  <c r="R56" i="32"/>
  <c r="T50" i="32"/>
  <c r="R45" i="32"/>
  <c r="U38" i="32"/>
  <c r="U34" i="32"/>
  <c r="U30" i="32"/>
  <c r="Q26" i="32"/>
  <c r="Q22" i="32"/>
  <c r="Q18" i="32"/>
  <c r="R13" i="32"/>
  <c r="R9" i="32"/>
  <c r="Q35" i="32"/>
  <c r="U91" i="32"/>
  <c r="T102" i="32"/>
  <c r="R80" i="32"/>
  <c r="U60" i="32"/>
  <c r="R89" i="32"/>
  <c r="U62" i="32"/>
  <c r="R43" i="32"/>
  <c r="U78" i="32"/>
  <c r="U54" i="32"/>
  <c r="Q43" i="32"/>
  <c r="T35" i="32"/>
  <c r="R29" i="32"/>
  <c r="S24" i="32"/>
  <c r="U18" i="32"/>
  <c r="S12" i="32"/>
  <c r="U9" i="32"/>
  <c r="R15" i="32"/>
  <c r="T20" i="32"/>
  <c r="Q27" i="32"/>
  <c r="R32" i="32"/>
  <c r="T37" i="32"/>
  <c r="U42" i="32"/>
  <c r="T48" i="32"/>
  <c r="R54" i="32"/>
  <c r="S61" i="32"/>
  <c r="S69" i="32"/>
  <c r="S78" i="32"/>
  <c r="R88" i="32"/>
  <c r="T98" i="32"/>
  <c r="U81" i="32"/>
  <c r="T85" i="32"/>
  <c r="S96" i="32"/>
  <c r="S88" i="32"/>
  <c r="R46" i="32"/>
  <c r="T19" i="32"/>
  <c r="S8" i="32"/>
  <c r="S7" i="32" s="1"/>
  <c r="R31" i="32"/>
  <c r="Q47" i="32"/>
  <c r="U59" i="32"/>
  <c r="T95" i="32"/>
  <c r="R49" i="32"/>
  <c r="S85" i="32"/>
  <c r="R97" i="32"/>
  <c r="U73" i="32"/>
  <c r="U56" i="32"/>
  <c r="Q82" i="32"/>
  <c r="S56" i="32"/>
  <c r="R39" i="32"/>
  <c r="T70" i="32"/>
  <c r="T51" i="32"/>
  <c r="Q41" i="32"/>
  <c r="Q34" i="32"/>
  <c r="S28" i="32"/>
  <c r="U22" i="32"/>
  <c r="S16" i="32"/>
  <c r="T11" i="32"/>
  <c r="Q11" i="32"/>
  <c r="R16" i="32"/>
  <c r="T22" i="32"/>
  <c r="Q28" i="32"/>
  <c r="S33" i="32"/>
  <c r="T38" i="32"/>
  <c r="S44" i="32"/>
  <c r="Q50" i="32"/>
  <c r="U55" i="32"/>
  <c r="T63" i="32"/>
  <c r="Q71" i="32"/>
  <c r="S80" i="32"/>
  <c r="R91" i="32"/>
  <c r="Q101" i="32"/>
  <c r="U15" i="32"/>
  <c r="T62" i="32"/>
  <c r="R106" i="32"/>
  <c r="T80" i="32"/>
  <c r="U90" i="32"/>
  <c r="T69" i="32"/>
  <c r="Q105" i="32"/>
  <c r="T73" i="32"/>
  <c r="Q52" i="32"/>
  <c r="Q100" i="32"/>
  <c r="Q62" i="32"/>
  <c r="Q38" i="32"/>
  <c r="S32" i="32"/>
  <c r="T27" i="32"/>
  <c r="R21" i="32"/>
  <c r="Q10" i="32"/>
  <c r="Q12" i="32"/>
  <c r="S18" i="32"/>
  <c r="U23" i="32"/>
  <c r="S35" i="32"/>
  <c r="R40" i="32"/>
  <c r="S51" i="32"/>
  <c r="S65" i="32"/>
  <c r="Q73" i="32"/>
  <c r="R93" i="32"/>
  <c r="R103" i="32"/>
  <c r="S25" i="32"/>
  <c r="Q99" i="32"/>
  <c r="T65" i="32"/>
  <c r="Q48" i="32"/>
  <c r="R37" i="32"/>
  <c r="R25" i="32"/>
  <c r="R14" i="32"/>
  <c r="U24" i="32"/>
  <c r="S41" i="32"/>
  <c r="S67" i="32"/>
  <c r="U85" i="32"/>
  <c r="S49" i="32"/>
  <c r="T15" i="32"/>
  <c r="Q29" i="32"/>
  <c r="U45" i="32"/>
  <c r="Q58" i="32"/>
  <c r="R83" i="32"/>
  <c r="Q75" i="32"/>
  <c r="R68" i="32"/>
  <c r="Q59" i="32"/>
  <c r="T31" i="32"/>
  <c r="U14" i="32"/>
  <c r="S19" i="32"/>
  <c r="T36" i="32"/>
  <c r="Q53" i="32"/>
  <c r="T75" i="32"/>
  <c r="Q106" i="32"/>
  <c r="A63" i="34"/>
  <c r="A58" i="34"/>
  <c r="A53" i="34"/>
  <c r="A62" i="34"/>
  <c r="A57" i="34"/>
  <c r="A51" i="34"/>
  <c r="A61" i="34"/>
  <c r="A56" i="34"/>
  <c r="A47" i="34"/>
  <c r="A39" i="34"/>
  <c r="A59" i="34"/>
  <c r="A55" i="34"/>
  <c r="A48" i="34"/>
  <c r="A45" i="34"/>
  <c r="J59" i="34"/>
  <c r="M56" i="34"/>
  <c r="M55" i="34"/>
  <c r="M49" i="34"/>
  <c r="J48" i="34"/>
  <c r="S59" i="34"/>
  <c r="P57" i="34"/>
  <c r="T55" i="34"/>
  <c r="S54" i="34"/>
  <c r="S51" i="34"/>
  <c r="P47" i="34"/>
  <c r="R45" i="34"/>
  <c r="R44" i="34"/>
  <c r="P43" i="34"/>
  <c r="L42" i="34"/>
  <c r="I41" i="34"/>
  <c r="R58" i="34"/>
  <c r="T53" i="34"/>
  <c r="P50" i="34"/>
  <c r="P59" i="34"/>
  <c r="L58" i="34"/>
  <c r="S57" i="34"/>
  <c r="K57" i="34"/>
  <c r="R56" i="34"/>
  <c r="J56" i="34"/>
  <c r="Q55" i="34"/>
  <c r="I55" i="34"/>
  <c r="L54" i="34"/>
  <c r="P53" i="34"/>
  <c r="M52" i="34"/>
  <c r="T49" i="34"/>
  <c r="S48" i="34"/>
  <c r="K47" i="34"/>
  <c r="Q46" i="34"/>
  <c r="K45" i="34"/>
  <c r="Q44" i="34"/>
  <c r="A43" i="34"/>
  <c r="A42" i="34"/>
  <c r="A41" i="34"/>
  <c r="A40" i="34"/>
  <c r="T47" i="34"/>
  <c r="T45" i="34"/>
  <c r="T43" i="34"/>
  <c r="P42" i="34"/>
  <c r="Q41" i="34"/>
  <c r="R59" i="34"/>
  <c r="I59" i="34"/>
  <c r="Q58" i="34"/>
  <c r="T57" i="34"/>
  <c r="M57" i="34"/>
  <c r="S56" i="34"/>
  <c r="L56" i="34"/>
  <c r="S55" i="34"/>
  <c r="J55" i="34"/>
  <c r="R54" i="34"/>
  <c r="S53" i="34"/>
  <c r="S52" i="34"/>
  <c r="M51" i="34"/>
  <c r="L50" i="34"/>
  <c r="K49" i="34"/>
  <c r="I48" i="34"/>
  <c r="T59" i="34"/>
  <c r="M59" i="34"/>
  <c r="S58" i="34"/>
  <c r="K58" i="34"/>
  <c r="Q57" i="34"/>
  <c r="I57" i="34"/>
  <c r="Q56" i="34"/>
  <c r="P55" i="34"/>
  <c r="K54" i="34"/>
  <c r="L53" i="34"/>
  <c r="T51" i="34"/>
  <c r="T50" i="34"/>
  <c r="R49" i="34"/>
  <c r="R48" i="34"/>
  <c r="P46" i="34"/>
  <c r="I45" i="34"/>
  <c r="J44" i="34"/>
  <c r="T42" i="34"/>
  <c r="R41" i="34"/>
  <c r="Q40" i="34"/>
  <c r="O40" i="34"/>
  <c r="O59" i="34"/>
  <c r="O58" i="34"/>
  <c r="O44" i="34"/>
  <c r="O43" i="34"/>
  <c r="O38" i="34"/>
  <c r="O52" i="34"/>
  <c r="O51" i="34"/>
  <c r="O36" i="34"/>
  <c r="F49" i="34"/>
  <c r="F48" i="34"/>
  <c r="Q54" i="34"/>
  <c r="J54" i="34"/>
  <c r="R53" i="34"/>
  <c r="K53" i="34"/>
  <c r="R52" i="34"/>
  <c r="L52" i="34"/>
  <c r="R51" i="34"/>
  <c r="K51" i="34"/>
  <c r="S50" i="34"/>
  <c r="J50" i="34"/>
  <c r="Q49" i="34"/>
  <c r="I49" i="34"/>
  <c r="Q48" i="34"/>
  <c r="R47" i="34"/>
  <c r="I47" i="34"/>
  <c r="T46" i="34"/>
  <c r="J46" i="34"/>
  <c r="Q45" i="34"/>
  <c r="S43" i="34"/>
  <c r="M43" i="34"/>
  <c r="S42" i="34"/>
  <c r="P41" i="34"/>
  <c r="S40" i="34"/>
  <c r="J40" i="34"/>
  <c r="A64" i="34"/>
  <c r="A60" i="34"/>
  <c r="Q59" i="34"/>
  <c r="K59" i="34"/>
  <c r="T58" i="34"/>
  <c r="P58" i="34"/>
  <c r="J58" i="34"/>
  <c r="R57" i="34"/>
  <c r="L57" i="34"/>
  <c r="T56" i="34"/>
  <c r="P56" i="34"/>
  <c r="I56" i="34"/>
  <c r="R55" i="34"/>
  <c r="K55" i="34"/>
  <c r="T54" i="34"/>
  <c r="P54" i="34"/>
  <c r="A54" i="34"/>
  <c r="Q53" i="34"/>
  <c r="I53" i="34"/>
  <c r="Q52" i="34"/>
  <c r="J52" i="34"/>
  <c r="P51" i="34"/>
  <c r="I51" i="34"/>
  <c r="Q50" i="34"/>
  <c r="A50" i="34"/>
  <c r="P49" i="34"/>
  <c r="A49" i="34"/>
  <c r="M48" i="34"/>
  <c r="Q47" i="34"/>
  <c r="S46" i="34"/>
  <c r="A46" i="34"/>
  <c r="P45" i="34"/>
  <c r="S44" i="34"/>
  <c r="L44" i="34"/>
  <c r="R43" i="34"/>
  <c r="K43" i="34"/>
  <c r="Q42" i="34"/>
  <c r="T41" i="34"/>
  <c r="M41" i="34"/>
  <c r="R40" i="34"/>
  <c r="I40" i="34"/>
  <c r="T39" i="34"/>
  <c r="S38" i="34"/>
  <c r="R37" i="34"/>
  <c r="A36" i="34"/>
  <c r="M34" i="34"/>
  <c r="R39" i="34"/>
  <c r="I37" i="34"/>
  <c r="S35" i="34"/>
  <c r="M39" i="34"/>
  <c r="I38" i="34"/>
  <c r="Y59" i="34"/>
  <c r="O50" i="34"/>
  <c r="O48" i="34"/>
  <c r="O46" i="34"/>
  <c r="O42" i="34"/>
  <c r="Y39" i="34"/>
  <c r="Y37" i="34"/>
  <c r="O37" i="34"/>
  <c r="Y60" i="34"/>
  <c r="X51" i="34"/>
  <c r="Y43" i="34"/>
  <c r="X62" i="34"/>
  <c r="X57" i="34"/>
  <c r="Y56" i="34"/>
  <c r="X55" i="34"/>
  <c r="Y54" i="34"/>
  <c r="Y45" i="34"/>
  <c r="X44" i="34"/>
  <c r="X42" i="34"/>
  <c r="Y41" i="34"/>
  <c r="Y49" i="34"/>
  <c r="X59" i="34"/>
  <c r="O57" i="34"/>
  <c r="O56" i="34"/>
  <c r="O55" i="34"/>
  <c r="O54" i="34"/>
  <c r="X37" i="34"/>
  <c r="H59" i="34"/>
  <c r="H54" i="34"/>
  <c r="H53" i="34"/>
  <c r="H44" i="34"/>
  <c r="H41" i="34"/>
  <c r="O35" i="34"/>
  <c r="H58" i="34"/>
  <c r="H56" i="34"/>
  <c r="H49" i="34"/>
  <c r="H40" i="34"/>
  <c r="H39" i="34"/>
  <c r="Y61" i="34"/>
  <c r="X60" i="34"/>
  <c r="Y58" i="34"/>
  <c r="X56" i="34"/>
  <c r="X54" i="34"/>
  <c r="Y53" i="34"/>
  <c r="X52" i="34"/>
  <c r="H52" i="34"/>
  <c r="Y50" i="34"/>
  <c r="H47" i="34"/>
  <c r="Y46" i="34"/>
  <c r="H46" i="34"/>
  <c r="X43" i="34"/>
  <c r="X40" i="34"/>
  <c r="Y62" i="34"/>
  <c r="X61" i="34"/>
  <c r="X58" i="34"/>
  <c r="Y57" i="34"/>
  <c r="H57" i="34"/>
  <c r="Y55" i="34"/>
  <c r="H55" i="34"/>
  <c r="X53" i="34"/>
  <c r="Y51" i="34"/>
  <c r="X50" i="34"/>
  <c r="H50" i="34"/>
  <c r="X48" i="34"/>
  <c r="H48" i="34"/>
  <c r="Y47" i="34"/>
  <c r="X46" i="34"/>
  <c r="H45" i="34"/>
  <c r="Y42" i="34"/>
  <c r="H42" i="34"/>
  <c r="X38" i="34"/>
  <c r="B49" i="34"/>
  <c r="I67" i="34" s="1" a="1"/>
  <c r="I68" i="34" s="1"/>
  <c r="D49" i="34"/>
  <c r="E48" i="34"/>
  <c r="E49" i="34"/>
  <c r="M47" i="34"/>
  <c r="L46" i="34"/>
  <c r="M45" i="34"/>
  <c r="I44" i="34"/>
  <c r="J43" i="34"/>
  <c r="K42" i="34"/>
  <c r="L41" i="34"/>
  <c r="M40" i="34"/>
  <c r="L39" i="34"/>
  <c r="M38" i="34"/>
  <c r="K36" i="34"/>
  <c r="K35" i="34"/>
  <c r="I34" i="34"/>
  <c r="L59" i="34"/>
  <c r="M58" i="34"/>
  <c r="I58" i="34"/>
  <c r="J57" i="34"/>
  <c r="K56" i="34"/>
  <c r="L55" i="34"/>
  <c r="M54" i="34"/>
  <c r="I54" i="34"/>
  <c r="M53" i="34"/>
  <c r="I52" i="34"/>
  <c r="J51" i="34"/>
  <c r="K50" i="34"/>
  <c r="L49" i="34"/>
  <c r="L48" i="34"/>
  <c r="L47" i="34"/>
  <c r="K46" i="34"/>
  <c r="L45" i="34"/>
  <c r="M44" i="34"/>
  <c r="I43" i="34"/>
  <c r="J42" i="34"/>
  <c r="K41" i="34"/>
  <c r="L40" i="34"/>
  <c r="Q34" i="34"/>
  <c r="S34" i="34"/>
  <c r="P35" i="34"/>
  <c r="T35" i="34"/>
  <c r="Q36" i="34"/>
  <c r="P37" i="34"/>
  <c r="T37" i="34"/>
  <c r="P38" i="34"/>
  <c r="T38" i="34"/>
  <c r="S39" i="34"/>
  <c r="P40" i="34"/>
  <c r="T40" i="34"/>
  <c r="S41" i="34"/>
  <c r="R42" i="34"/>
  <c r="Q43" i="34"/>
  <c r="P44" i="34"/>
  <c r="T44" i="34"/>
  <c r="S45" i="34"/>
  <c r="R46" i="34"/>
  <c r="S47" i="34"/>
  <c r="P48" i="34"/>
  <c r="T48" i="34"/>
  <c r="S49" i="34"/>
  <c r="R50" i="34"/>
  <c r="Q51" i="34"/>
  <c r="P52" i="34"/>
  <c r="T52" i="34"/>
  <c r="P34" i="34"/>
  <c r="T34" i="34"/>
  <c r="Q35" i="34"/>
  <c r="R36" i="34"/>
  <c r="Q37" i="34"/>
  <c r="Q39" i="34"/>
  <c r="K39" i="34"/>
  <c r="R38" i="34"/>
  <c r="L38" i="34"/>
  <c r="M37" i="34"/>
  <c r="S36" i="34"/>
  <c r="R35" i="34"/>
  <c r="H35" i="34"/>
  <c r="H36" i="34"/>
  <c r="H43" i="34"/>
  <c r="H51" i="34"/>
  <c r="H37" i="34"/>
  <c r="L34" i="34"/>
  <c r="J35" i="34"/>
  <c r="J34" i="34"/>
  <c r="L35" i="34"/>
  <c r="L36" i="34"/>
  <c r="K37" i="34"/>
  <c r="K38" i="34"/>
  <c r="J39" i="34"/>
  <c r="K40" i="34"/>
  <c r="J41" i="34"/>
  <c r="I42" i="34"/>
  <c r="M42" i="34"/>
  <c r="L43" i="34"/>
  <c r="K44" i="34"/>
  <c r="J45" i="34"/>
  <c r="I46" i="34"/>
  <c r="M46" i="34"/>
  <c r="J47" i="34"/>
  <c r="K48" i="34"/>
  <c r="J49" i="34"/>
  <c r="I50" i="34"/>
  <c r="M50" i="34"/>
  <c r="L51" i="34"/>
  <c r="K52" i="34"/>
  <c r="J53" i="34"/>
  <c r="K34" i="34"/>
  <c r="I35" i="34"/>
  <c r="M35" i="34"/>
  <c r="I36" i="34"/>
  <c r="M36" i="34"/>
  <c r="L37" i="34"/>
  <c r="P39" i="34"/>
  <c r="I39" i="34"/>
  <c r="Q38" i="34"/>
  <c r="J38" i="34"/>
  <c r="S37" i="34"/>
  <c r="J37" i="34"/>
  <c r="P36" i="34"/>
  <c r="R34" i="34"/>
  <c r="A34" i="34"/>
  <c r="O53" i="34"/>
  <c r="Y52" i="34"/>
  <c r="A52" i="34"/>
  <c r="X49" i="34"/>
  <c r="O49" i="34"/>
  <c r="Y48" i="34"/>
  <c r="X47" i="34"/>
  <c r="O47" i="34"/>
  <c r="X45" i="34"/>
  <c r="O45" i="34"/>
  <c r="Y44" i="34"/>
  <c r="A44" i="34"/>
  <c r="X41" i="34"/>
  <c r="O41" i="34"/>
  <c r="Y40" i="34"/>
  <c r="X39" i="34"/>
  <c r="A38" i="34"/>
  <c r="A37" i="34"/>
  <c r="A33" i="34"/>
  <c r="F7" i="7"/>
  <c r="D63" i="11"/>
  <c r="Q60" i="11"/>
  <c r="P60" i="11"/>
  <c r="O60" i="11"/>
  <c r="N60" i="11"/>
  <c r="M60" i="11"/>
  <c r="L60" i="11"/>
  <c r="K60" i="11"/>
  <c r="J60" i="11"/>
  <c r="I59" i="11"/>
  <c r="I60" i="11" s="1"/>
  <c r="H59" i="11"/>
  <c r="H60" i="11" s="1"/>
  <c r="G59" i="11"/>
  <c r="G60" i="11" s="1"/>
  <c r="F59" i="11"/>
  <c r="F60" i="11" s="1"/>
  <c r="E59" i="11"/>
  <c r="E60" i="11" s="1"/>
  <c r="D59" i="11"/>
  <c r="D58" i="11"/>
  <c r="D57" i="11"/>
  <c r="Q56" i="11"/>
  <c r="P56" i="11"/>
  <c r="N56" i="11"/>
  <c r="H56" i="11"/>
  <c r="G56" i="11"/>
  <c r="F56" i="11"/>
  <c r="E56" i="11"/>
  <c r="O55" i="11"/>
  <c r="O56" i="11" s="1"/>
  <c r="M55" i="11"/>
  <c r="M56" i="11" s="1"/>
  <c r="L55" i="11"/>
  <c r="L56" i="11" s="1"/>
  <c r="K55" i="11"/>
  <c r="D55" i="11" s="1"/>
  <c r="J55" i="11"/>
  <c r="J56" i="11" s="1"/>
  <c r="I55" i="11"/>
  <c r="I56" i="11" s="1"/>
  <c r="Q54" i="11"/>
  <c r="P54" i="11"/>
  <c r="O54" i="11"/>
  <c r="N54" i="11"/>
  <c r="M54" i="11"/>
  <c r="L54" i="11"/>
  <c r="K54" i="11"/>
  <c r="J54" i="11"/>
  <c r="I54" i="11"/>
  <c r="H54" i="11"/>
  <c r="G54" i="11"/>
  <c r="F54" i="11"/>
  <c r="F62" i="11" s="1"/>
  <c r="E54" i="11"/>
  <c r="D53" i="11"/>
  <c r="D52" i="11"/>
  <c r="D51" i="11"/>
  <c r="D50" i="11"/>
  <c r="D49" i="11"/>
  <c r="Q45" i="11"/>
  <c r="P45" i="11"/>
  <c r="O45" i="11"/>
  <c r="N45" i="11"/>
  <c r="M45" i="11"/>
  <c r="L45" i="11"/>
  <c r="K45" i="11"/>
  <c r="J45" i="11"/>
  <c r="I45" i="11"/>
  <c r="H45" i="11"/>
  <c r="G45" i="11"/>
  <c r="F45" i="11"/>
  <c r="E45" i="11"/>
  <c r="D43" i="11"/>
  <c r="D42" i="11"/>
  <c r="D41" i="11"/>
  <c r="D40" i="11"/>
  <c r="D39" i="11"/>
  <c r="T5" i="19"/>
  <c r="T10" i="19"/>
  <c r="T15" i="19"/>
  <c r="V3" i="19"/>
  <c r="Z14" i="19"/>
  <c r="Z9" i="19"/>
  <c r="W6" i="19"/>
  <c r="Y17" i="19"/>
  <c r="X17" i="19"/>
  <c r="W17" i="19"/>
  <c r="Y15" i="19"/>
  <c r="X15" i="19"/>
  <c r="W14" i="19"/>
  <c r="Y12" i="19"/>
  <c r="X12" i="19"/>
  <c r="W12" i="19"/>
  <c r="Y10" i="19"/>
  <c r="X10" i="19"/>
  <c r="W9" i="19"/>
  <c r="AA5" i="19"/>
  <c r="AA4" i="19"/>
  <c r="Z4" i="19"/>
  <c r="W4" i="19"/>
  <c r="G25" i="28"/>
  <c r="G27" i="28"/>
  <c r="G28" i="28"/>
  <c r="G29" i="28"/>
  <c r="G30" i="28"/>
  <c r="G33" i="28"/>
  <c r="G32" i="28"/>
  <c r="G31" i="28"/>
  <c r="G34" i="28"/>
  <c r="G35" i="28"/>
  <c r="G36" i="28"/>
  <c r="G37" i="28"/>
  <c r="G38" i="28"/>
  <c r="G39" i="28"/>
  <c r="G40" i="28"/>
  <c r="G41" i="28"/>
  <c r="G42" i="28"/>
  <c r="E34" i="28"/>
  <c r="E35" i="28"/>
  <c r="E36" i="28"/>
  <c r="E37" i="28"/>
  <c r="E38" i="28"/>
  <c r="E39" i="28"/>
  <c r="E40" i="28"/>
  <c r="E41" i="28"/>
  <c r="E42" i="28"/>
  <c r="U3" i="19"/>
  <c r="K10" i="19"/>
  <c r="J10" i="19"/>
  <c r="I10" i="19"/>
  <c r="H10" i="19"/>
  <c r="K9" i="19"/>
  <c r="I9" i="19"/>
  <c r="G9" i="19"/>
  <c r="J8" i="19"/>
  <c r="G8" i="19"/>
  <c r="H7" i="19"/>
  <c r="K5" i="19"/>
  <c r="K4" i="19"/>
  <c r="J4" i="19"/>
  <c r="G4" i="19"/>
  <c r="M42" i="1"/>
  <c r="I56" i="19"/>
  <c r="H56" i="19"/>
  <c r="G56" i="19"/>
  <c r="D54" i="19"/>
  <c r="D53" i="19"/>
  <c r="I44" i="28"/>
  <c r="B16" i="33" a="1"/>
  <c r="B16" i="33" s="1"/>
  <c r="B5" i="33" a="1"/>
  <c r="B5" i="33" s="1"/>
  <c r="B3" i="33"/>
  <c r="C3" i="33" s="1"/>
  <c r="H47" i="19"/>
  <c r="G47" i="19"/>
  <c r="F47" i="19"/>
  <c r="E47" i="19"/>
  <c r="H62" i="11" l="1"/>
  <c r="P62" i="11"/>
  <c r="P61" i="11" s="1"/>
  <c r="P64" i="11" s="1"/>
  <c r="G62" i="11"/>
  <c r="G65" i="11" s="1"/>
  <c r="D56" i="11"/>
  <c r="E62" i="11"/>
  <c r="I62" i="11"/>
  <c r="I65" i="11" s="1"/>
  <c r="Q62" i="11"/>
  <c r="K62" i="11"/>
  <c r="K65" i="11" s="1"/>
  <c r="D45" i="11"/>
  <c r="K56" i="11"/>
  <c r="H61" i="11"/>
  <c r="H64" i="11" s="1"/>
  <c r="D54" i="11"/>
  <c r="D62" i="11" s="1"/>
  <c r="D61" i="11" s="1"/>
  <c r="D64" i="11" s="1"/>
  <c r="O62" i="11"/>
  <c r="O65" i="11" s="1"/>
  <c r="D60" i="11"/>
  <c r="V37" i="34" a="1"/>
  <c r="V39" i="34" s="1"/>
  <c r="M62" i="11"/>
  <c r="J62" i="11"/>
  <c r="J61" i="11" s="1"/>
  <c r="J64" i="11" s="1"/>
  <c r="N62" i="11"/>
  <c r="L62" i="11"/>
  <c r="L65" i="11" s="1"/>
  <c r="S69" i="34"/>
  <c r="J73" i="34"/>
  <c r="K77" i="34"/>
  <c r="J80" i="34"/>
  <c r="T82" i="34"/>
  <c r="M85" i="34"/>
  <c r="J88" i="34"/>
  <c r="T90" i="34"/>
  <c r="T77" i="34"/>
  <c r="T73" i="34"/>
  <c r="T69" i="34"/>
  <c r="I67" i="34"/>
  <c r="P68" i="34"/>
  <c r="L70" i="34"/>
  <c r="T71" i="34"/>
  <c r="O73" i="34"/>
  <c r="P75" i="34"/>
  <c r="Q77" i="34"/>
  <c r="K79" i="34"/>
  <c r="N80" i="34"/>
  <c r="Q81" i="34"/>
  <c r="K83" i="34"/>
  <c r="N84" i="34"/>
  <c r="Q85" i="34"/>
  <c r="K87" i="34"/>
  <c r="N88" i="34"/>
  <c r="Q89" i="34"/>
  <c r="K91" i="34"/>
  <c r="N92" i="34"/>
  <c r="S78" i="34"/>
  <c r="P77" i="34"/>
  <c r="I76" i="34"/>
  <c r="S74" i="34"/>
  <c r="P73" i="34"/>
  <c r="I72" i="34"/>
  <c r="S70" i="34"/>
  <c r="P69" i="34"/>
  <c r="M67" i="34"/>
  <c r="O68" i="34"/>
  <c r="J69" i="34"/>
  <c r="Q69" i="34"/>
  <c r="M70" i="34"/>
  <c r="T70" i="34"/>
  <c r="P71" i="34"/>
  <c r="K72" i="34"/>
  <c r="S72" i="34"/>
  <c r="M73" i="34"/>
  <c r="S73" i="34"/>
  <c r="N74" i="34"/>
  <c r="I75" i="34"/>
  <c r="Q75" i="34"/>
  <c r="K76" i="34"/>
  <c r="R76" i="34"/>
  <c r="M77" i="34"/>
  <c r="S77" i="34"/>
  <c r="P78" i="34"/>
  <c r="J79" i="34"/>
  <c r="P79" i="34"/>
  <c r="I80" i="34"/>
  <c r="O80" i="34"/>
  <c r="T80" i="34"/>
  <c r="N81" i="34"/>
  <c r="S81" i="34"/>
  <c r="K82" i="34"/>
  <c r="Q82" i="34"/>
  <c r="J83" i="34"/>
  <c r="P83" i="34"/>
  <c r="I84" i="34"/>
  <c r="O84" i="34"/>
  <c r="T84" i="34"/>
  <c r="N85" i="34"/>
  <c r="S85" i="34"/>
  <c r="K86" i="34"/>
  <c r="Q86" i="34"/>
  <c r="L67" i="34"/>
  <c r="J68" i="34"/>
  <c r="S68" i="34"/>
  <c r="O69" i="34"/>
  <c r="N70" i="34"/>
  <c r="L71" i="34"/>
  <c r="J72" i="34"/>
  <c r="T72" i="34"/>
  <c r="Q73" i="34"/>
  <c r="L74" i="34"/>
  <c r="L75" i="34"/>
  <c r="T75" i="34"/>
  <c r="P76" i="34"/>
  <c r="N77" i="34"/>
  <c r="L78" i="34"/>
  <c r="I79" i="34"/>
  <c r="Q79" i="34"/>
  <c r="L80" i="34"/>
  <c r="S80" i="34"/>
  <c r="O81" i="34"/>
  <c r="I82" i="34"/>
  <c r="O82" i="34"/>
  <c r="L83" i="34"/>
  <c r="R83" i="34"/>
  <c r="M84" i="34"/>
  <c r="J85" i="34"/>
  <c r="P85" i="34"/>
  <c r="J86" i="34"/>
  <c r="R86" i="34"/>
  <c r="L87" i="34"/>
  <c r="Q87" i="34"/>
  <c r="K88" i="34"/>
  <c r="P88" i="34"/>
  <c r="J89" i="34"/>
  <c r="O89" i="34"/>
  <c r="T89" i="34"/>
  <c r="M90" i="34"/>
  <c r="R90" i="34"/>
  <c r="L91" i="34"/>
  <c r="Q91" i="34"/>
  <c r="K92" i="34"/>
  <c r="P92" i="34"/>
  <c r="J93" i="34"/>
  <c r="N93" i="34"/>
  <c r="R93" i="34"/>
  <c r="J94" i="34"/>
  <c r="N94" i="34"/>
  <c r="R94" i="34"/>
  <c r="J95" i="34"/>
  <c r="N95" i="34"/>
  <c r="R95" i="34"/>
  <c r="J96" i="34"/>
  <c r="N96" i="34"/>
  <c r="R96" i="34"/>
  <c r="J97" i="34"/>
  <c r="N97" i="34"/>
  <c r="R97" i="34"/>
  <c r="J98" i="34"/>
  <c r="N98" i="34"/>
  <c r="R98" i="34"/>
  <c r="J99" i="34"/>
  <c r="N99" i="34"/>
  <c r="R99" i="34"/>
  <c r="J100" i="34"/>
  <c r="N100" i="34"/>
  <c r="R100" i="34"/>
  <c r="J101" i="34"/>
  <c r="N101" i="34"/>
  <c r="R101" i="34"/>
  <c r="J102" i="34"/>
  <c r="N102" i="34"/>
  <c r="R102" i="34"/>
  <c r="J103" i="34"/>
  <c r="N103" i="34"/>
  <c r="R103" i="34"/>
  <c r="J104" i="34"/>
  <c r="N104" i="34"/>
  <c r="R104" i="34"/>
  <c r="J105" i="34"/>
  <c r="N105" i="34"/>
  <c r="R105" i="34"/>
  <c r="J106" i="34"/>
  <c r="N106" i="34"/>
  <c r="R106" i="34"/>
  <c r="J107" i="34"/>
  <c r="P67" i="34"/>
  <c r="N68" i="34"/>
  <c r="M69" i="34"/>
  <c r="P70" i="34"/>
  <c r="Q71" i="34"/>
  <c r="P72" i="34"/>
  <c r="R73" i="34"/>
  <c r="Q74" i="34"/>
  <c r="S75" i="34"/>
  <c r="T76" i="34"/>
  <c r="R77" i="34"/>
  <c r="R78" i="34"/>
  <c r="R79" i="34"/>
  <c r="P80" i="34"/>
  <c r="L81" i="34"/>
  <c r="J82" i="34"/>
  <c r="S82" i="34"/>
  <c r="Q83" i="34"/>
  <c r="P84" i="34"/>
  <c r="L85" i="34"/>
  <c r="I86" i="34"/>
  <c r="S86" i="34"/>
  <c r="N87" i="34"/>
  <c r="I88" i="34"/>
  <c r="Q88" i="34"/>
  <c r="L89" i="34"/>
  <c r="S89" i="34"/>
  <c r="N90" i="34"/>
  <c r="I91" i="34"/>
  <c r="P91" i="34"/>
  <c r="L92" i="34"/>
  <c r="S92" i="34"/>
  <c r="M93" i="34"/>
  <c r="S93" i="34"/>
  <c r="L94" i="34"/>
  <c r="Q94" i="34"/>
  <c r="K95" i="34"/>
  <c r="P95" i="34"/>
  <c r="I96" i="34"/>
  <c r="O96" i="34"/>
  <c r="T96" i="34"/>
  <c r="M97" i="34"/>
  <c r="S97" i="34"/>
  <c r="L98" i="34"/>
  <c r="Q98" i="34"/>
  <c r="K99" i="34"/>
  <c r="P99" i="34"/>
  <c r="I100" i="34"/>
  <c r="O100" i="34"/>
  <c r="T100" i="34"/>
  <c r="M101" i="34"/>
  <c r="S101" i="34"/>
  <c r="L102" i="34"/>
  <c r="Q102" i="34"/>
  <c r="K103" i="34"/>
  <c r="P103" i="34"/>
  <c r="I104" i="34"/>
  <c r="O104" i="34"/>
  <c r="T104" i="34"/>
  <c r="M105" i="34"/>
  <c r="S105" i="34"/>
  <c r="L106" i="34"/>
  <c r="Q106" i="34"/>
  <c r="K107" i="34"/>
  <c r="O107" i="34"/>
  <c r="S107" i="34"/>
  <c r="K108" i="34"/>
  <c r="Q67" i="34"/>
  <c r="R68" i="34"/>
  <c r="R69" i="34"/>
  <c r="R70" i="34"/>
  <c r="S71" i="34"/>
  <c r="I73" i="34"/>
  <c r="I74" i="34"/>
  <c r="T74" i="34"/>
  <c r="J76" i="34"/>
  <c r="I77" i="34"/>
  <c r="J78" i="34"/>
  <c r="L79" i="34"/>
  <c r="T79" i="34"/>
  <c r="Q80" i="34"/>
  <c r="P81" i="34"/>
  <c r="M82" i="34"/>
  <c r="I83" i="34"/>
  <c r="T83" i="34"/>
  <c r="Q84" i="34"/>
  <c r="O85" i="34"/>
  <c r="M86" i="34"/>
  <c r="I87" i="34"/>
  <c r="P87" i="34"/>
  <c r="L88" i="34"/>
  <c r="S88" i="34"/>
  <c r="N89" i="34"/>
  <c r="I90" i="34"/>
  <c r="O90" i="34"/>
  <c r="J91" i="34"/>
  <c r="R91" i="34"/>
  <c r="M92" i="34"/>
  <c r="T92" i="34"/>
  <c r="O93" i="34"/>
  <c r="T93" i="34"/>
  <c r="M94" i="34"/>
  <c r="S94" i="34"/>
  <c r="L95" i="34"/>
  <c r="Q95" i="34"/>
  <c r="K96" i="34"/>
  <c r="P96" i="34"/>
  <c r="I97" i="34"/>
  <c r="O97" i="34"/>
  <c r="T97" i="34"/>
  <c r="M98" i="34"/>
  <c r="S98" i="34"/>
  <c r="L99" i="34"/>
  <c r="Q99" i="34"/>
  <c r="K100" i="34"/>
  <c r="P100" i="34"/>
  <c r="I101" i="34"/>
  <c r="O101" i="34"/>
  <c r="T101" i="34"/>
  <c r="M102" i="34"/>
  <c r="S102" i="34"/>
  <c r="L103" i="34"/>
  <c r="Q103" i="34"/>
  <c r="K104" i="34"/>
  <c r="P104" i="34"/>
  <c r="I105" i="34"/>
  <c r="O105" i="34"/>
  <c r="T105" i="34"/>
  <c r="M106" i="34"/>
  <c r="S106" i="34"/>
  <c r="L107" i="34"/>
  <c r="P107" i="34"/>
  <c r="T107" i="34"/>
  <c r="L108" i="34"/>
  <c r="P108" i="34"/>
  <c r="T108" i="34"/>
  <c r="L109" i="34"/>
  <c r="P109" i="34"/>
  <c r="T109" i="34"/>
  <c r="L110" i="34"/>
  <c r="P110" i="34"/>
  <c r="T110" i="34"/>
  <c r="L111" i="34"/>
  <c r="P111" i="34"/>
  <c r="T111" i="34"/>
  <c r="L112" i="34"/>
  <c r="P112" i="34"/>
  <c r="T112" i="34"/>
  <c r="L113" i="34"/>
  <c r="P113" i="34"/>
  <c r="T113" i="34"/>
  <c r="L114" i="34"/>
  <c r="R67" i="34"/>
  <c r="I70" i="34"/>
  <c r="N72" i="34"/>
  <c r="J74" i="34"/>
  <c r="L76" i="34"/>
  <c r="M78" i="34"/>
  <c r="K80" i="34"/>
  <c r="R81" i="34"/>
  <c r="M83" i="34"/>
  <c r="S84" i="34"/>
  <c r="N86" i="34"/>
  <c r="R87" i="34"/>
  <c r="T88" i="34"/>
  <c r="J90" i="34"/>
  <c r="M91" i="34"/>
  <c r="O92" i="34"/>
  <c r="P93" i="34"/>
  <c r="O94" i="34"/>
  <c r="M95" i="34"/>
  <c r="L96" i="34"/>
  <c r="K97" i="34"/>
  <c r="I98" i="34"/>
  <c r="T98" i="34"/>
  <c r="S99" i="34"/>
  <c r="Q100" i="34"/>
  <c r="P101" i="34"/>
  <c r="O102" i="34"/>
  <c r="M103" i="34"/>
  <c r="L104" i="34"/>
  <c r="K105" i="34"/>
  <c r="I106" i="34"/>
  <c r="T106" i="34"/>
  <c r="Q107" i="34"/>
  <c r="M108" i="34"/>
  <c r="R108" i="34"/>
  <c r="K109" i="34"/>
  <c r="Q109" i="34"/>
  <c r="J110" i="34"/>
  <c r="O110" i="34"/>
  <c r="I111" i="34"/>
  <c r="N111" i="34"/>
  <c r="S111" i="34"/>
  <c r="M112" i="34"/>
  <c r="R112" i="34"/>
  <c r="K113" i="34"/>
  <c r="Q113" i="34"/>
  <c r="J114" i="34"/>
  <c r="O114" i="34"/>
  <c r="S114" i="34"/>
  <c r="K115" i="34"/>
  <c r="O115" i="34"/>
  <c r="S115" i="34"/>
  <c r="K116" i="34"/>
  <c r="O116" i="34"/>
  <c r="S116" i="34"/>
  <c r="K117" i="34"/>
  <c r="O117" i="34"/>
  <c r="S117" i="34"/>
  <c r="K118" i="34"/>
  <c r="O118" i="34"/>
  <c r="S118" i="34"/>
  <c r="K119" i="34"/>
  <c r="O119" i="34"/>
  <c r="S119" i="34"/>
  <c r="K120" i="34"/>
  <c r="O120" i="34"/>
  <c r="S120" i="34"/>
  <c r="K121" i="34"/>
  <c r="O121" i="34"/>
  <c r="S121" i="34"/>
  <c r="K122" i="34"/>
  <c r="O122" i="34"/>
  <c r="S122" i="34"/>
  <c r="K123" i="34"/>
  <c r="O123" i="34"/>
  <c r="S123" i="34"/>
  <c r="K124" i="34"/>
  <c r="O124" i="34"/>
  <c r="S124" i="34"/>
  <c r="K125" i="34"/>
  <c r="O125" i="34"/>
  <c r="S125" i="34"/>
  <c r="K126" i="34"/>
  <c r="O126" i="34"/>
  <c r="S126" i="34"/>
  <c r="K127" i="34"/>
  <c r="O127" i="34"/>
  <c r="S127" i="34"/>
  <c r="K128" i="34"/>
  <c r="O128" i="34"/>
  <c r="S128" i="34"/>
  <c r="K129" i="34"/>
  <c r="O129" i="34"/>
  <c r="S129" i="34"/>
  <c r="K130" i="34"/>
  <c r="O130" i="34"/>
  <c r="S130" i="34"/>
  <c r="K131" i="34"/>
  <c r="O131" i="34"/>
  <c r="S131" i="34"/>
  <c r="K132" i="34"/>
  <c r="O132" i="34"/>
  <c r="S132" i="34"/>
  <c r="K133" i="34"/>
  <c r="O133" i="34"/>
  <c r="S133" i="34"/>
  <c r="K134" i="34"/>
  <c r="O134" i="34"/>
  <c r="S134" i="34"/>
  <c r="K135" i="34"/>
  <c r="O135" i="34"/>
  <c r="S135" i="34"/>
  <c r="K136" i="34"/>
  <c r="O136" i="34"/>
  <c r="S136" i="34"/>
  <c r="K137" i="34"/>
  <c r="O137" i="34"/>
  <c r="S137" i="34"/>
  <c r="K138" i="34"/>
  <c r="O138" i="34"/>
  <c r="S138" i="34"/>
  <c r="K139" i="34"/>
  <c r="O139" i="34"/>
  <c r="S139" i="34"/>
  <c r="K140" i="34"/>
  <c r="O140" i="34"/>
  <c r="S140" i="34"/>
  <c r="K141" i="34"/>
  <c r="O141" i="34"/>
  <c r="S141" i="34"/>
  <c r="K142" i="34"/>
  <c r="O142" i="34"/>
  <c r="S142" i="34"/>
  <c r="K143" i="34"/>
  <c r="O143" i="34"/>
  <c r="S143" i="34"/>
  <c r="K144" i="34"/>
  <c r="O144" i="34"/>
  <c r="S144" i="34"/>
  <c r="K145" i="34"/>
  <c r="O145" i="34"/>
  <c r="S145" i="34"/>
  <c r="K146" i="34"/>
  <c r="O146" i="34"/>
  <c r="S146" i="34"/>
  <c r="K147" i="34"/>
  <c r="O147" i="34"/>
  <c r="S147" i="34"/>
  <c r="K148" i="34"/>
  <c r="O148" i="34"/>
  <c r="S148" i="34"/>
  <c r="K149" i="34"/>
  <c r="O149" i="34"/>
  <c r="S149" i="34"/>
  <c r="K150" i="34"/>
  <c r="O150" i="34"/>
  <c r="S150" i="34"/>
  <c r="K151" i="34"/>
  <c r="O151" i="34"/>
  <c r="S151" i="34"/>
  <c r="K152" i="34"/>
  <c r="O152" i="34"/>
  <c r="S152" i="34"/>
  <c r="K153" i="34"/>
  <c r="O153" i="34"/>
  <c r="S153" i="34"/>
  <c r="K154" i="34"/>
  <c r="O154" i="34"/>
  <c r="S154" i="34"/>
  <c r="K155" i="34"/>
  <c r="L68" i="34"/>
  <c r="J70" i="34"/>
  <c r="O72" i="34"/>
  <c r="P74" i="34"/>
  <c r="O76" i="34"/>
  <c r="Q78" i="34"/>
  <c r="M80" i="34"/>
  <c r="T81" i="34"/>
  <c r="N83" i="34"/>
  <c r="K85" i="34"/>
  <c r="O86" i="34"/>
  <c r="T87" i="34"/>
  <c r="K89" i="34"/>
  <c r="K90" i="34"/>
  <c r="N91" i="34"/>
  <c r="Q92" i="34"/>
  <c r="Q93" i="34"/>
  <c r="P94" i="34"/>
  <c r="O95" i="34"/>
  <c r="M96" i="34"/>
  <c r="L97" i="34"/>
  <c r="K98" i="34"/>
  <c r="I99" i="34"/>
  <c r="T99" i="34"/>
  <c r="S100" i="34"/>
  <c r="Q101" i="34"/>
  <c r="P102" i="34"/>
  <c r="O103" i="34"/>
  <c r="M104" i="34"/>
  <c r="L105" i="34"/>
  <c r="K106" i="34"/>
  <c r="I107" i="34"/>
  <c r="R107" i="34"/>
  <c r="N108" i="34"/>
  <c r="S108" i="34"/>
  <c r="M109" i="34"/>
  <c r="R109" i="34"/>
  <c r="K110" i="34"/>
  <c r="Q110" i="34"/>
  <c r="J111" i="34"/>
  <c r="O111" i="34"/>
  <c r="I112" i="34"/>
  <c r="N112" i="34"/>
  <c r="S112" i="34"/>
  <c r="M113" i="34"/>
  <c r="R113" i="34"/>
  <c r="K114" i="34"/>
  <c r="P114" i="34"/>
  <c r="T114" i="34"/>
  <c r="L115" i="34"/>
  <c r="P115" i="34"/>
  <c r="T115" i="34"/>
  <c r="L116" i="34"/>
  <c r="P116" i="34"/>
  <c r="T116" i="34"/>
  <c r="L117" i="34"/>
  <c r="P117" i="34"/>
  <c r="T117" i="34"/>
  <c r="L118" i="34"/>
  <c r="P118" i="34"/>
  <c r="T118" i="34"/>
  <c r="L119" i="34"/>
  <c r="P119" i="34"/>
  <c r="T119" i="34"/>
  <c r="L120" i="34"/>
  <c r="P120" i="34"/>
  <c r="T120" i="34"/>
  <c r="L121" i="34"/>
  <c r="P121" i="34"/>
  <c r="T121" i="34"/>
  <c r="L122" i="34"/>
  <c r="P122" i="34"/>
  <c r="T122" i="34"/>
  <c r="L123" i="34"/>
  <c r="P123" i="34"/>
  <c r="T123" i="34"/>
  <c r="L124" i="34"/>
  <c r="P124" i="34"/>
  <c r="T124" i="34"/>
  <c r="L125" i="34"/>
  <c r="P125" i="34"/>
  <c r="T125" i="34"/>
  <c r="L126" i="34"/>
  <c r="P126" i="34"/>
  <c r="T126" i="34"/>
  <c r="L127" i="34"/>
  <c r="P127" i="34"/>
  <c r="T127" i="34"/>
  <c r="L128" i="34"/>
  <c r="P128" i="34"/>
  <c r="T128" i="34"/>
  <c r="L129" i="34"/>
  <c r="P129" i="34"/>
  <c r="T129" i="34"/>
  <c r="L130" i="34"/>
  <c r="P130" i="34"/>
  <c r="T130" i="34"/>
  <c r="L131" i="34"/>
  <c r="P131" i="34"/>
  <c r="T131" i="34"/>
  <c r="L132" i="34"/>
  <c r="P132" i="34"/>
  <c r="T132" i="34"/>
  <c r="L133" i="34"/>
  <c r="P133" i="34"/>
  <c r="T133" i="34"/>
  <c r="L134" i="34"/>
  <c r="P134" i="34"/>
  <c r="T134" i="34"/>
  <c r="L135" i="34"/>
  <c r="P135" i="34"/>
  <c r="T135" i="34"/>
  <c r="L136" i="34"/>
  <c r="P136" i="34"/>
  <c r="T136" i="34"/>
  <c r="L137" i="34"/>
  <c r="P137" i="34"/>
  <c r="T137" i="34"/>
  <c r="L138" i="34"/>
  <c r="P138" i="34"/>
  <c r="T138" i="34"/>
  <c r="L139" i="34"/>
  <c r="P139" i="34"/>
  <c r="T139" i="34"/>
  <c r="L140" i="34"/>
  <c r="P140" i="34"/>
  <c r="T140" i="34"/>
  <c r="L141" i="34"/>
  <c r="P141" i="34"/>
  <c r="T141" i="34"/>
  <c r="L142" i="34"/>
  <c r="P142" i="34"/>
  <c r="T142" i="34"/>
  <c r="L143" i="34"/>
  <c r="P143" i="34"/>
  <c r="T143" i="34"/>
  <c r="L144" i="34"/>
  <c r="P144" i="34"/>
  <c r="T144" i="34"/>
  <c r="L145" i="34"/>
  <c r="P145" i="34"/>
  <c r="T145" i="34"/>
  <c r="L146" i="34"/>
  <c r="P146" i="34"/>
  <c r="T146" i="34"/>
  <c r="L147" i="34"/>
  <c r="P147" i="34"/>
  <c r="T147" i="34"/>
  <c r="L148" i="34"/>
  <c r="P148" i="34"/>
  <c r="T148" i="34"/>
  <c r="L149" i="34"/>
  <c r="P149" i="34"/>
  <c r="T149" i="34"/>
  <c r="L150" i="34"/>
  <c r="P150" i="34"/>
  <c r="T150" i="34"/>
  <c r="L151" i="34"/>
  <c r="P151" i="34"/>
  <c r="T151" i="34"/>
  <c r="L152" i="34"/>
  <c r="P152" i="34"/>
  <c r="T152" i="34"/>
  <c r="L153" i="34"/>
  <c r="P153" i="34"/>
  <c r="T153" i="34"/>
  <c r="L154" i="34"/>
  <c r="P154" i="34"/>
  <c r="T154" i="34"/>
  <c r="L155" i="34"/>
  <c r="T68" i="34"/>
  <c r="K73" i="34"/>
  <c r="J77" i="34"/>
  <c r="J81" i="34"/>
  <c r="K84" i="34"/>
  <c r="J87" i="34"/>
  <c r="P89" i="34"/>
  <c r="T91" i="34"/>
  <c r="I94" i="34"/>
  <c r="S95" i="34"/>
  <c r="P97" i="34"/>
  <c r="M99" i="34"/>
  <c r="K101" i="34"/>
  <c r="T102" i="34"/>
  <c r="Q104" i="34"/>
  <c r="O106" i="34"/>
  <c r="I108" i="34"/>
  <c r="I109" i="34"/>
  <c r="S109" i="34"/>
  <c r="R110" i="34"/>
  <c r="Q111" i="34"/>
  <c r="O112" i="34"/>
  <c r="N113" i="34"/>
  <c r="M114" i="34"/>
  <c r="I115" i="34"/>
  <c r="Q115" i="34"/>
  <c r="M116" i="34"/>
  <c r="I117" i="34"/>
  <c r="Q117" i="34"/>
  <c r="M118" i="34"/>
  <c r="I119" i="34"/>
  <c r="Q119" i="34"/>
  <c r="M120" i="34"/>
  <c r="I121" i="34"/>
  <c r="Q121" i="34"/>
  <c r="M122" i="34"/>
  <c r="I123" i="34"/>
  <c r="Q123" i="34"/>
  <c r="M124" i="34"/>
  <c r="I125" i="34"/>
  <c r="Q125" i="34"/>
  <c r="M126" i="34"/>
  <c r="I127" i="34"/>
  <c r="Q127" i="34"/>
  <c r="M128" i="34"/>
  <c r="I129" i="34"/>
  <c r="Q129" i="34"/>
  <c r="M130" i="34"/>
  <c r="I131" i="34"/>
  <c r="Q131" i="34"/>
  <c r="M132" i="34"/>
  <c r="I133" i="34"/>
  <c r="Q133" i="34"/>
  <c r="M134" i="34"/>
  <c r="I135" i="34"/>
  <c r="Q135" i="34"/>
  <c r="M136" i="34"/>
  <c r="I137" i="34"/>
  <c r="Q137" i="34"/>
  <c r="M138" i="34"/>
  <c r="I139" i="34"/>
  <c r="Q139" i="34"/>
  <c r="M140" i="34"/>
  <c r="I141" i="34"/>
  <c r="Q141" i="34"/>
  <c r="M142" i="34"/>
  <c r="I143" i="34"/>
  <c r="Q143" i="34"/>
  <c r="M144" i="34"/>
  <c r="I145" i="34"/>
  <c r="Q145" i="34"/>
  <c r="M146" i="34"/>
  <c r="I147" i="34"/>
  <c r="Q147" i="34"/>
  <c r="M148" i="34"/>
  <c r="I149" i="34"/>
  <c r="Q149" i="34"/>
  <c r="M150" i="34"/>
  <c r="I151" i="34"/>
  <c r="Q151" i="34"/>
  <c r="M152" i="34"/>
  <c r="I153" i="34"/>
  <c r="Q153" i="34"/>
  <c r="M154" i="34"/>
  <c r="I155" i="34"/>
  <c r="O155" i="34"/>
  <c r="S155" i="34"/>
  <c r="K156" i="34"/>
  <c r="O156" i="34"/>
  <c r="S156" i="34"/>
  <c r="K157" i="34"/>
  <c r="O157" i="34"/>
  <c r="S157" i="34"/>
  <c r="K158" i="34"/>
  <c r="O158" i="34"/>
  <c r="S158" i="34"/>
  <c r="K159" i="34"/>
  <c r="O159" i="34"/>
  <c r="S159" i="34"/>
  <c r="K160" i="34"/>
  <c r="O160" i="34"/>
  <c r="S160" i="34"/>
  <c r="K161" i="34"/>
  <c r="O161" i="34"/>
  <c r="S161" i="34"/>
  <c r="K162" i="34"/>
  <c r="O162" i="34"/>
  <c r="S162" i="34"/>
  <c r="K163" i="34"/>
  <c r="O163" i="34"/>
  <c r="S163" i="34"/>
  <c r="K164" i="34"/>
  <c r="O164" i="34"/>
  <c r="S164" i="34"/>
  <c r="K165" i="34"/>
  <c r="O165" i="34"/>
  <c r="S165" i="34"/>
  <c r="K166" i="34"/>
  <c r="O166" i="34"/>
  <c r="S166" i="34"/>
  <c r="K167" i="34"/>
  <c r="O167" i="34"/>
  <c r="S167" i="34"/>
  <c r="K168" i="34"/>
  <c r="O168" i="34"/>
  <c r="S168" i="34"/>
  <c r="K169" i="34"/>
  <c r="O169" i="34"/>
  <c r="S169" i="34"/>
  <c r="K170" i="34"/>
  <c r="O170" i="34"/>
  <c r="S170" i="34"/>
  <c r="K171" i="34"/>
  <c r="O171" i="34"/>
  <c r="S171" i="34"/>
  <c r="K172" i="34"/>
  <c r="O172" i="34"/>
  <c r="S172" i="34"/>
  <c r="K173" i="34"/>
  <c r="O173" i="34"/>
  <c r="S173" i="34"/>
  <c r="K174" i="34"/>
  <c r="O174" i="34"/>
  <c r="S174" i="34"/>
  <c r="K175" i="34"/>
  <c r="O175" i="34"/>
  <c r="S175" i="34"/>
  <c r="K176" i="34"/>
  <c r="O176" i="34"/>
  <c r="S176" i="34"/>
  <c r="K177" i="34"/>
  <c r="O177" i="34"/>
  <c r="S177" i="34"/>
  <c r="K178" i="34"/>
  <c r="O178" i="34"/>
  <c r="S178" i="34"/>
  <c r="K179" i="34"/>
  <c r="O179" i="34"/>
  <c r="S179" i="34"/>
  <c r="K180" i="34"/>
  <c r="O180" i="34"/>
  <c r="S180" i="34"/>
  <c r="K181" i="34"/>
  <c r="O181" i="34"/>
  <c r="S181" i="34"/>
  <c r="K182" i="34"/>
  <c r="O182" i="34"/>
  <c r="S182" i="34"/>
  <c r="K183" i="34"/>
  <c r="O183" i="34"/>
  <c r="K69" i="34"/>
  <c r="N73" i="34"/>
  <c r="O77" i="34"/>
  <c r="K81" i="34"/>
  <c r="L84" i="34"/>
  <c r="M87" i="34"/>
  <c r="M71" i="34"/>
  <c r="N79" i="34"/>
  <c r="T85" i="34"/>
  <c r="Q90" i="34"/>
  <c r="L93" i="34"/>
  <c r="T95" i="34"/>
  <c r="O98" i="34"/>
  <c r="M100" i="34"/>
  <c r="I103" i="34"/>
  <c r="P105" i="34"/>
  <c r="N107" i="34"/>
  <c r="J109" i="34"/>
  <c r="M110" i="34"/>
  <c r="M111" i="34"/>
  <c r="Q112" i="34"/>
  <c r="S113" i="34"/>
  <c r="R114" i="34"/>
  <c r="R115" i="34"/>
  <c r="Q116" i="34"/>
  <c r="N117" i="34"/>
  <c r="N118" i="34"/>
  <c r="M119" i="34"/>
  <c r="J120" i="34"/>
  <c r="J121" i="34"/>
  <c r="I122" i="34"/>
  <c r="R122" i="34"/>
  <c r="R123" i="34"/>
  <c r="Q124" i="34"/>
  <c r="N125" i="34"/>
  <c r="N126" i="34"/>
  <c r="M127" i="34"/>
  <c r="J128" i="34"/>
  <c r="J129" i="34"/>
  <c r="I130" i="34"/>
  <c r="R130" i="34"/>
  <c r="R131" i="34"/>
  <c r="Q132" i="34"/>
  <c r="N133" i="34"/>
  <c r="N134" i="34"/>
  <c r="M135" i="34"/>
  <c r="J136" i="34"/>
  <c r="J137" i="34"/>
  <c r="I138" i="34"/>
  <c r="R138" i="34"/>
  <c r="R139" i="34"/>
  <c r="Q140" i="34"/>
  <c r="N141" i="34"/>
  <c r="N142" i="34"/>
  <c r="M143" i="34"/>
  <c r="J144" i="34"/>
  <c r="J145" i="34"/>
  <c r="I146" i="34"/>
  <c r="R146" i="34"/>
  <c r="R147" i="34"/>
  <c r="Q148" i="34"/>
  <c r="N149" i="34"/>
  <c r="N150" i="34"/>
  <c r="M151" i="34"/>
  <c r="J152" i="34"/>
  <c r="J153" i="34"/>
  <c r="I154" i="34"/>
  <c r="R154" i="34"/>
  <c r="P155" i="34"/>
  <c r="I156" i="34"/>
  <c r="N156" i="34"/>
  <c r="T156" i="34"/>
  <c r="M157" i="34"/>
  <c r="R157" i="34"/>
  <c r="L158" i="34"/>
  <c r="Q158" i="34"/>
  <c r="J159" i="34"/>
  <c r="P159" i="34"/>
  <c r="I160" i="34"/>
  <c r="N160" i="34"/>
  <c r="T160" i="34"/>
  <c r="M161" i="34"/>
  <c r="R161" i="34"/>
  <c r="L162" i="34"/>
  <c r="Q162" i="34"/>
  <c r="J163" i="34"/>
  <c r="P163" i="34"/>
  <c r="I164" i="34"/>
  <c r="N164" i="34"/>
  <c r="T164" i="34"/>
  <c r="M165" i="34"/>
  <c r="R165" i="34"/>
  <c r="L166" i="34"/>
  <c r="Q166" i="34"/>
  <c r="J167" i="34"/>
  <c r="P167" i="34"/>
  <c r="I168" i="34"/>
  <c r="N168" i="34"/>
  <c r="T168" i="34"/>
  <c r="M169" i="34"/>
  <c r="R169" i="34"/>
  <c r="L170" i="34"/>
  <c r="Q170" i="34"/>
  <c r="J171" i="34"/>
  <c r="P171" i="34"/>
  <c r="I172" i="34"/>
  <c r="N172" i="34"/>
  <c r="T172" i="34"/>
  <c r="M173" i="34"/>
  <c r="R173" i="34"/>
  <c r="L174" i="34"/>
  <c r="Q174" i="34"/>
  <c r="J175" i="34"/>
  <c r="P175" i="34"/>
  <c r="I176" i="34"/>
  <c r="N176" i="34"/>
  <c r="T176" i="34"/>
  <c r="M177" i="34"/>
  <c r="R177" i="34"/>
  <c r="L178" i="34"/>
  <c r="Q178" i="34"/>
  <c r="J179" i="34"/>
  <c r="P179" i="34"/>
  <c r="I180" i="34"/>
  <c r="N180" i="34"/>
  <c r="T180" i="34"/>
  <c r="M181" i="34"/>
  <c r="R181" i="34"/>
  <c r="L182" i="34"/>
  <c r="Q182" i="34"/>
  <c r="J183" i="34"/>
  <c r="P183" i="34"/>
  <c r="T183" i="34"/>
  <c r="L184" i="34"/>
  <c r="P184" i="34"/>
  <c r="T184" i="34"/>
  <c r="L185" i="34"/>
  <c r="P185" i="34"/>
  <c r="T185" i="34"/>
  <c r="L186" i="34"/>
  <c r="P186" i="34"/>
  <c r="T186" i="34"/>
  <c r="L187" i="34"/>
  <c r="P187" i="34"/>
  <c r="T187" i="34"/>
  <c r="L188" i="34"/>
  <c r="P188" i="34"/>
  <c r="T188" i="34"/>
  <c r="L189" i="34"/>
  <c r="P189" i="34"/>
  <c r="T189" i="34"/>
  <c r="L190" i="34"/>
  <c r="P190" i="34"/>
  <c r="T190" i="34"/>
  <c r="L191" i="34"/>
  <c r="P191" i="34"/>
  <c r="T191" i="34"/>
  <c r="L192" i="34"/>
  <c r="P192" i="34"/>
  <c r="T192" i="34"/>
  <c r="L193" i="34"/>
  <c r="P193" i="34"/>
  <c r="T193" i="34"/>
  <c r="L194" i="34"/>
  <c r="P194" i="34"/>
  <c r="T194" i="34"/>
  <c r="L195" i="34"/>
  <c r="P195" i="34"/>
  <c r="T195" i="34"/>
  <c r="L196" i="34"/>
  <c r="P196" i="34"/>
  <c r="T196" i="34"/>
  <c r="L197" i="34"/>
  <c r="P197" i="34"/>
  <c r="T197" i="34"/>
  <c r="L198" i="34"/>
  <c r="P198" i="34"/>
  <c r="T198" i="34"/>
  <c r="L199" i="34"/>
  <c r="P199" i="34"/>
  <c r="T199" i="34"/>
  <c r="L200" i="34"/>
  <c r="P200" i="34"/>
  <c r="T200" i="34"/>
  <c r="L201" i="34"/>
  <c r="P201" i="34"/>
  <c r="T201" i="34"/>
  <c r="L202" i="34"/>
  <c r="P202" i="34"/>
  <c r="T202" i="34"/>
  <c r="L203" i="34"/>
  <c r="P203" i="34"/>
  <c r="T203" i="34"/>
  <c r="L204" i="34"/>
  <c r="P204" i="34"/>
  <c r="T204" i="34"/>
  <c r="L205" i="34"/>
  <c r="P205" i="34"/>
  <c r="T205" i="34"/>
  <c r="L206" i="34"/>
  <c r="P206" i="34"/>
  <c r="T206" i="34"/>
  <c r="L207" i="34"/>
  <c r="P207" i="34"/>
  <c r="T207" i="34"/>
  <c r="L208" i="34"/>
  <c r="P208" i="34"/>
  <c r="T208" i="34"/>
  <c r="L209" i="34"/>
  <c r="P209" i="34"/>
  <c r="T209" i="34"/>
  <c r="L210" i="34"/>
  <c r="P210" i="34"/>
  <c r="T210" i="34"/>
  <c r="L211" i="34"/>
  <c r="P211" i="34"/>
  <c r="T211" i="34"/>
  <c r="L212" i="34"/>
  <c r="P212" i="34"/>
  <c r="T212" i="34"/>
  <c r="L213" i="34"/>
  <c r="P213" i="34"/>
  <c r="T213" i="34"/>
  <c r="L214" i="34"/>
  <c r="P214" i="34"/>
  <c r="T214" i="34"/>
  <c r="L215" i="34"/>
  <c r="P215" i="34"/>
  <c r="T215" i="34"/>
  <c r="L216" i="34"/>
  <c r="P216" i="34"/>
  <c r="T216" i="34"/>
  <c r="L217" i="34"/>
  <c r="P217" i="34"/>
  <c r="T217" i="34"/>
  <c r="L218" i="34"/>
  <c r="P218" i="34"/>
  <c r="T218" i="34"/>
  <c r="L219" i="34"/>
  <c r="P219" i="34"/>
  <c r="T219" i="34"/>
  <c r="L220" i="34"/>
  <c r="P220" i="34"/>
  <c r="T220" i="34"/>
  <c r="L221" i="34"/>
  <c r="P221" i="34"/>
  <c r="T221" i="34"/>
  <c r="L222" i="34"/>
  <c r="P222" i="34"/>
  <c r="T222" i="34"/>
  <c r="L223" i="34"/>
  <c r="P223" i="34"/>
  <c r="T223" i="34"/>
  <c r="L224" i="34"/>
  <c r="P224" i="34"/>
  <c r="T224" i="34"/>
  <c r="L225" i="34"/>
  <c r="P225" i="34"/>
  <c r="T225" i="34"/>
  <c r="L226" i="34"/>
  <c r="P226" i="34"/>
  <c r="T226" i="34"/>
  <c r="L227" i="34"/>
  <c r="P227" i="34"/>
  <c r="T227" i="34"/>
  <c r="L228" i="34"/>
  <c r="P228" i="34"/>
  <c r="T228" i="34"/>
  <c r="L229" i="34"/>
  <c r="P229" i="34"/>
  <c r="T229" i="34"/>
  <c r="L230" i="34"/>
  <c r="P230" i="34"/>
  <c r="T230" i="34"/>
  <c r="L231" i="34"/>
  <c r="P231" i="34"/>
  <c r="T231" i="34"/>
  <c r="L232" i="34"/>
  <c r="P232" i="34"/>
  <c r="T232" i="34"/>
  <c r="L233" i="34"/>
  <c r="P233" i="34"/>
  <c r="T233" i="34"/>
  <c r="L234" i="34"/>
  <c r="P234" i="34"/>
  <c r="T234" i="34"/>
  <c r="L235" i="34"/>
  <c r="P235" i="34"/>
  <c r="T235" i="34"/>
  <c r="L236" i="34"/>
  <c r="P236" i="34"/>
  <c r="T236" i="34"/>
  <c r="L237" i="34"/>
  <c r="P237" i="34"/>
  <c r="T237" i="34"/>
  <c r="L238" i="34"/>
  <c r="P238" i="34"/>
  <c r="T238" i="34"/>
  <c r="L239" i="34"/>
  <c r="P239" i="34"/>
  <c r="T239" i="34"/>
  <c r="L240" i="34"/>
  <c r="P240" i="34"/>
  <c r="T240" i="34"/>
  <c r="L241" i="34"/>
  <c r="P241" i="34"/>
  <c r="T241" i="34"/>
  <c r="L242" i="34"/>
  <c r="P242" i="34"/>
  <c r="T242" i="34"/>
  <c r="L243" i="34"/>
  <c r="P243" i="34"/>
  <c r="T243" i="34"/>
  <c r="L244" i="34"/>
  <c r="P244" i="34"/>
  <c r="T244" i="34"/>
  <c r="L245" i="34"/>
  <c r="P245" i="34"/>
  <c r="T245" i="34"/>
  <c r="L246" i="34"/>
  <c r="P246" i="34"/>
  <c r="T246" i="34"/>
  <c r="L247" i="34"/>
  <c r="P247" i="34"/>
  <c r="T247" i="34"/>
  <c r="L248" i="34"/>
  <c r="P248" i="34"/>
  <c r="T248" i="34"/>
  <c r="L249" i="34"/>
  <c r="P249" i="34"/>
  <c r="T249" i="34"/>
  <c r="L250" i="34"/>
  <c r="P250" i="34"/>
  <c r="T250" i="34"/>
  <c r="L251" i="34"/>
  <c r="P251" i="34"/>
  <c r="T251" i="34"/>
  <c r="L252" i="34"/>
  <c r="P252" i="34"/>
  <c r="T252" i="34"/>
  <c r="L253" i="34"/>
  <c r="P253" i="34"/>
  <c r="T253" i="34"/>
  <c r="L254" i="34"/>
  <c r="P254" i="34"/>
  <c r="T254" i="34"/>
  <c r="L255" i="34"/>
  <c r="M75" i="34"/>
  <c r="N82" i="34"/>
  <c r="M88" i="34"/>
  <c r="S90" i="34"/>
  <c r="K94" i="34"/>
  <c r="Q96" i="34"/>
  <c r="P98" i="34"/>
  <c r="L101" i="34"/>
  <c r="S103" i="34"/>
  <c r="Q105" i="34"/>
  <c r="J108" i="34"/>
  <c r="N109" i="34"/>
  <c r="N110" i="34"/>
  <c r="R111" i="34"/>
  <c r="I113" i="34"/>
  <c r="I114" i="34"/>
  <c r="J115" i="34"/>
  <c r="I116" i="34"/>
  <c r="R116" i="34"/>
  <c r="R117" i="34"/>
  <c r="Q118" i="34"/>
  <c r="N119" i="34"/>
  <c r="N120" i="34"/>
  <c r="M121" i="34"/>
  <c r="J122" i="34"/>
  <c r="J123" i="34"/>
  <c r="I124" i="34"/>
  <c r="R124" i="34"/>
  <c r="R125" i="34"/>
  <c r="Q126" i="34"/>
  <c r="N127" i="34"/>
  <c r="N128" i="34"/>
  <c r="M129" i="34"/>
  <c r="J130" i="34"/>
  <c r="J131" i="34"/>
  <c r="I132" i="34"/>
  <c r="R132" i="34"/>
  <c r="R133" i="34"/>
  <c r="Q134" i="34"/>
  <c r="N135" i="34"/>
  <c r="N136" i="34"/>
  <c r="M137" i="34"/>
  <c r="J138" i="34"/>
  <c r="J139" i="34"/>
  <c r="I140" i="34"/>
  <c r="R140" i="34"/>
  <c r="R141" i="34"/>
  <c r="Q142" i="34"/>
  <c r="N143" i="34"/>
  <c r="N144" i="34"/>
  <c r="M145" i="34"/>
  <c r="J146" i="34"/>
  <c r="J147" i="34"/>
  <c r="I148" i="34"/>
  <c r="R148" i="34"/>
  <c r="R149" i="34"/>
  <c r="Q150" i="34"/>
  <c r="N151" i="34"/>
  <c r="N152" i="34"/>
  <c r="M153" i="34"/>
  <c r="J154" i="34"/>
  <c r="J155" i="34"/>
  <c r="Q155" i="34"/>
  <c r="J156" i="34"/>
  <c r="P156" i="34"/>
  <c r="I157" i="34"/>
  <c r="N157" i="34"/>
  <c r="T157" i="34"/>
  <c r="M158" i="34"/>
  <c r="R158" i="34"/>
  <c r="L159" i="34"/>
  <c r="Q159" i="34"/>
  <c r="J160" i="34"/>
  <c r="P160" i="34"/>
  <c r="I161" i="34"/>
  <c r="N161" i="34"/>
  <c r="T161" i="34"/>
  <c r="M162" i="34"/>
  <c r="R162" i="34"/>
  <c r="L163" i="34"/>
  <c r="Q163" i="34"/>
  <c r="J164" i="34"/>
  <c r="P164" i="34"/>
  <c r="I165" i="34"/>
  <c r="N165" i="34"/>
  <c r="T165" i="34"/>
  <c r="M166" i="34"/>
  <c r="R166" i="34"/>
  <c r="L167" i="34"/>
  <c r="Q167" i="34"/>
  <c r="J168" i="34"/>
  <c r="P168" i="34"/>
  <c r="I169" i="34"/>
  <c r="N169" i="34"/>
  <c r="T169" i="34"/>
  <c r="M170" i="34"/>
  <c r="R170" i="34"/>
  <c r="L171" i="34"/>
  <c r="Q171" i="34"/>
  <c r="J172" i="34"/>
  <c r="P172" i="34"/>
  <c r="I173" i="34"/>
  <c r="N173" i="34"/>
  <c r="T173" i="34"/>
  <c r="M174" i="34"/>
  <c r="R174" i="34"/>
  <c r="L175" i="34"/>
  <c r="Q175" i="34"/>
  <c r="J176" i="34"/>
  <c r="P176" i="34"/>
  <c r="I177" i="34"/>
  <c r="N177" i="34"/>
  <c r="T177" i="34"/>
  <c r="M178" i="34"/>
  <c r="R178" i="34"/>
  <c r="L179" i="34"/>
  <c r="Q179" i="34"/>
  <c r="J180" i="34"/>
  <c r="P180" i="34"/>
  <c r="I181" i="34"/>
  <c r="N181" i="34"/>
  <c r="T181" i="34"/>
  <c r="M182" i="34"/>
  <c r="R182" i="34"/>
  <c r="L183" i="34"/>
  <c r="Q183" i="34"/>
  <c r="I184" i="34"/>
  <c r="M184" i="34"/>
  <c r="Q184" i="34"/>
  <c r="I185" i="34"/>
  <c r="M185" i="34"/>
  <c r="Q185" i="34"/>
  <c r="I186" i="34"/>
  <c r="M186" i="34"/>
  <c r="Q186" i="34"/>
  <c r="I187" i="34"/>
  <c r="M187" i="34"/>
  <c r="Q187" i="34"/>
  <c r="I188" i="34"/>
  <c r="M188" i="34"/>
  <c r="Q188" i="34"/>
  <c r="I189" i="34"/>
  <c r="M189" i="34"/>
  <c r="Q189" i="34"/>
  <c r="I190" i="34"/>
  <c r="M190" i="34"/>
  <c r="Q190" i="34"/>
  <c r="I191" i="34"/>
  <c r="M191" i="34"/>
  <c r="Q191" i="34"/>
  <c r="I192" i="34"/>
  <c r="M192" i="34"/>
  <c r="Q192" i="34"/>
  <c r="I193" i="34"/>
  <c r="M193" i="34"/>
  <c r="Q193" i="34"/>
  <c r="I194" i="34"/>
  <c r="M194" i="34"/>
  <c r="Q194" i="34"/>
  <c r="I195" i="34"/>
  <c r="M195" i="34"/>
  <c r="Q195" i="34"/>
  <c r="I196" i="34"/>
  <c r="M196" i="34"/>
  <c r="Q196" i="34"/>
  <c r="I197" i="34"/>
  <c r="M197" i="34"/>
  <c r="Q197" i="34"/>
  <c r="I198" i="34"/>
  <c r="M198" i="34"/>
  <c r="Q198" i="34"/>
  <c r="I199" i="34"/>
  <c r="M199" i="34"/>
  <c r="Q199" i="34"/>
  <c r="I200" i="34"/>
  <c r="M200" i="34"/>
  <c r="Q200" i="34"/>
  <c r="I201" i="34"/>
  <c r="M201" i="34"/>
  <c r="Q201" i="34"/>
  <c r="I202" i="34"/>
  <c r="M202" i="34"/>
  <c r="Q202" i="34"/>
  <c r="I203" i="34"/>
  <c r="M203" i="34"/>
  <c r="Q203" i="34"/>
  <c r="I204" i="34"/>
  <c r="M204" i="34"/>
  <c r="Q204" i="34"/>
  <c r="I205" i="34"/>
  <c r="M205" i="34"/>
  <c r="Q205" i="34"/>
  <c r="I206" i="34"/>
  <c r="M206" i="34"/>
  <c r="Q206" i="34"/>
  <c r="I207" i="34"/>
  <c r="M207" i="34"/>
  <c r="Q207" i="34"/>
  <c r="I208" i="34"/>
  <c r="M208" i="34"/>
  <c r="Q208" i="34"/>
  <c r="I209" i="34"/>
  <c r="M209" i="34"/>
  <c r="Q209" i="34"/>
  <c r="I210" i="34"/>
  <c r="M210" i="34"/>
  <c r="Q210" i="34"/>
  <c r="I211" i="34"/>
  <c r="M211" i="34"/>
  <c r="Q211" i="34"/>
  <c r="I212" i="34"/>
  <c r="M212" i="34"/>
  <c r="Q212" i="34"/>
  <c r="I213" i="34"/>
  <c r="M213" i="34"/>
  <c r="Q213" i="34"/>
  <c r="I214" i="34"/>
  <c r="M214" i="34"/>
  <c r="Q214" i="34"/>
  <c r="I215" i="34"/>
  <c r="M215" i="34"/>
  <c r="Q215" i="34"/>
  <c r="I216" i="34"/>
  <c r="M216" i="34"/>
  <c r="Q216" i="34"/>
  <c r="I217" i="34"/>
  <c r="M217" i="34"/>
  <c r="Q217" i="34"/>
  <c r="I218" i="34"/>
  <c r="M218" i="34"/>
  <c r="Q218" i="34"/>
  <c r="I219" i="34"/>
  <c r="M219" i="34"/>
  <c r="Q219" i="34"/>
  <c r="I220" i="34"/>
  <c r="M220" i="34"/>
  <c r="Q220" i="34"/>
  <c r="I221" i="34"/>
  <c r="M221" i="34"/>
  <c r="Q221" i="34"/>
  <c r="I222" i="34"/>
  <c r="M222" i="34"/>
  <c r="Q222" i="34"/>
  <c r="I223" i="34"/>
  <c r="M223" i="34"/>
  <c r="Q223" i="34"/>
  <c r="I224" i="34"/>
  <c r="M224" i="34"/>
  <c r="Q224" i="34"/>
  <c r="I225" i="34"/>
  <c r="M225" i="34"/>
  <c r="Q225" i="34"/>
  <c r="I226" i="34"/>
  <c r="M226" i="34"/>
  <c r="J67" i="34"/>
  <c r="O75" i="34"/>
  <c r="R82" i="34"/>
  <c r="O88" i="34"/>
  <c r="I92" i="34"/>
  <c r="T94" i="34"/>
  <c r="S96" i="34"/>
  <c r="O99" i="34"/>
  <c r="I102" i="34"/>
  <c r="T103" i="34"/>
  <c r="P106" i="34"/>
  <c r="O108" i="34"/>
  <c r="O109" i="34"/>
  <c r="S110" i="34"/>
  <c r="J112" i="34"/>
  <c r="J113" i="34"/>
  <c r="N114" i="34"/>
  <c r="M115" i="34"/>
  <c r="J116" i="34"/>
  <c r="J117" i="34"/>
  <c r="I118" i="34"/>
  <c r="R118" i="34"/>
  <c r="R119" i="34"/>
  <c r="Q120" i="34"/>
  <c r="N121" i="34"/>
  <c r="N122" i="34"/>
  <c r="M123" i="34"/>
  <c r="J124" i="34"/>
  <c r="J125" i="34"/>
  <c r="I126" i="34"/>
  <c r="R126" i="34"/>
  <c r="R127" i="34"/>
  <c r="Q128" i="34"/>
  <c r="N129" i="34"/>
  <c r="N130" i="34"/>
  <c r="M131" i="34"/>
  <c r="J132" i="34"/>
  <c r="J133" i="34"/>
  <c r="I134" i="34"/>
  <c r="R134" i="34"/>
  <c r="R135" i="34"/>
  <c r="Q136" i="34"/>
  <c r="N137" i="34"/>
  <c r="N138" i="34"/>
  <c r="M139" i="34"/>
  <c r="J140" i="34"/>
  <c r="J141" i="34"/>
  <c r="I142" i="34"/>
  <c r="R142" i="34"/>
  <c r="R143" i="34"/>
  <c r="Q144" i="34"/>
  <c r="N145" i="34"/>
  <c r="N146" i="34"/>
  <c r="M147" i="34"/>
  <c r="J148" i="34"/>
  <c r="J149" i="34"/>
  <c r="I150" i="34"/>
  <c r="R150" i="34"/>
  <c r="R151" i="34"/>
  <c r="Q152" i="34"/>
  <c r="N153" i="34"/>
  <c r="N154" i="34"/>
  <c r="M155" i="34"/>
  <c r="R155" i="34"/>
  <c r="L156" i="34"/>
  <c r="Q156" i="34"/>
  <c r="J157" i="34"/>
  <c r="P157" i="34"/>
  <c r="I158" i="34"/>
  <c r="N158" i="34"/>
  <c r="T158" i="34"/>
  <c r="M159" i="34"/>
  <c r="R159" i="34"/>
  <c r="L160" i="34"/>
  <c r="Q160" i="34"/>
  <c r="J161" i="34"/>
  <c r="P161" i="34"/>
  <c r="I162" i="34"/>
  <c r="N162" i="34"/>
  <c r="T162" i="34"/>
  <c r="M163" i="34"/>
  <c r="R163" i="34"/>
  <c r="L164" i="34"/>
  <c r="Q164" i="34"/>
  <c r="J165" i="34"/>
  <c r="P165" i="34"/>
  <c r="I166" i="34"/>
  <c r="N166" i="34"/>
  <c r="T166" i="34"/>
  <c r="M167" i="34"/>
  <c r="R85" i="34"/>
  <c r="Q97" i="34"/>
  <c r="M107" i="34"/>
  <c r="K112" i="34"/>
  <c r="N116" i="34"/>
  <c r="I120" i="34"/>
  <c r="N123" i="34"/>
  <c r="J127" i="34"/>
  <c r="Q130" i="34"/>
  <c r="J134" i="34"/>
  <c r="R137" i="34"/>
  <c r="M141" i="34"/>
  <c r="R144" i="34"/>
  <c r="N148" i="34"/>
  <c r="I152" i="34"/>
  <c r="N155" i="34"/>
  <c r="L157" i="34"/>
  <c r="I159" i="34"/>
  <c r="R160" i="34"/>
  <c r="P162" i="34"/>
  <c r="M164" i="34"/>
  <c r="J166" i="34"/>
  <c r="R167" i="34"/>
  <c r="Q168" i="34"/>
  <c r="P169" i="34"/>
  <c r="N170" i="34"/>
  <c r="M171" i="34"/>
  <c r="L172" i="34"/>
  <c r="J173" i="34"/>
  <c r="I174" i="34"/>
  <c r="T174" i="34"/>
  <c r="R175" i="34"/>
  <c r="Q176" i="34"/>
  <c r="P177" i="34"/>
  <c r="N178" i="34"/>
  <c r="M179" i="34"/>
  <c r="L180" i="34"/>
  <c r="J181" i="34"/>
  <c r="I182" i="34"/>
  <c r="T182" i="34"/>
  <c r="R183" i="34"/>
  <c r="N184" i="34"/>
  <c r="J185" i="34"/>
  <c r="R185" i="34"/>
  <c r="N186" i="34"/>
  <c r="J187" i="34"/>
  <c r="R187" i="34"/>
  <c r="N188" i="34"/>
  <c r="J189" i="34"/>
  <c r="R189" i="34"/>
  <c r="N190" i="34"/>
  <c r="J191" i="34"/>
  <c r="R191" i="34"/>
  <c r="N192" i="34"/>
  <c r="J193" i="34"/>
  <c r="R193" i="34"/>
  <c r="N194" i="34"/>
  <c r="J195" i="34"/>
  <c r="R195" i="34"/>
  <c r="N196" i="34"/>
  <c r="J197" i="34"/>
  <c r="R197" i="34"/>
  <c r="N198" i="34"/>
  <c r="J199" i="34"/>
  <c r="R199" i="34"/>
  <c r="N200" i="34"/>
  <c r="J201" i="34"/>
  <c r="R201" i="34"/>
  <c r="N202" i="34"/>
  <c r="J203" i="34"/>
  <c r="R203" i="34"/>
  <c r="N204" i="34"/>
  <c r="J205" i="34"/>
  <c r="R205" i="34"/>
  <c r="N206" i="34"/>
  <c r="J207" i="34"/>
  <c r="R207" i="34"/>
  <c r="N208" i="34"/>
  <c r="J209" i="34"/>
  <c r="R209" i="34"/>
  <c r="N210" i="34"/>
  <c r="J211" i="34"/>
  <c r="R211" i="34"/>
  <c r="N212" i="34"/>
  <c r="J213" i="34"/>
  <c r="R213" i="34"/>
  <c r="N214" i="34"/>
  <c r="J215" i="34"/>
  <c r="R215" i="34"/>
  <c r="N216" i="34"/>
  <c r="J217" i="34"/>
  <c r="R217" i="34"/>
  <c r="N218" i="34"/>
  <c r="J219" i="34"/>
  <c r="R219" i="34"/>
  <c r="N220" i="34"/>
  <c r="J221" i="34"/>
  <c r="R221" i="34"/>
  <c r="N222" i="34"/>
  <c r="J223" i="34"/>
  <c r="R223" i="34"/>
  <c r="N224" i="34"/>
  <c r="J225" i="34"/>
  <c r="R225" i="34"/>
  <c r="N226" i="34"/>
  <c r="S226" i="34"/>
  <c r="M227" i="34"/>
  <c r="R227" i="34"/>
  <c r="K228" i="34"/>
  <c r="Q228" i="34"/>
  <c r="J229" i="34"/>
  <c r="O229" i="34"/>
  <c r="I230" i="34"/>
  <c r="N230" i="34"/>
  <c r="S230" i="34"/>
  <c r="M231" i="34"/>
  <c r="R231" i="34"/>
  <c r="K232" i="34"/>
  <c r="Q232" i="34"/>
  <c r="J233" i="34"/>
  <c r="O233" i="34"/>
  <c r="I234" i="34"/>
  <c r="N234" i="34"/>
  <c r="S234" i="34"/>
  <c r="M235" i="34"/>
  <c r="R235" i="34"/>
  <c r="K236" i="34"/>
  <c r="Q236" i="34"/>
  <c r="J237" i="34"/>
  <c r="O237" i="34"/>
  <c r="I238" i="34"/>
  <c r="N238" i="34"/>
  <c r="S238" i="34"/>
  <c r="M239" i="34"/>
  <c r="R239" i="34"/>
  <c r="K240" i="34"/>
  <c r="Q240" i="34"/>
  <c r="J241" i="34"/>
  <c r="O241" i="34"/>
  <c r="I242" i="34"/>
  <c r="N242" i="34"/>
  <c r="S242" i="34"/>
  <c r="M243" i="34"/>
  <c r="R243" i="34"/>
  <c r="K244" i="34"/>
  <c r="Q244" i="34"/>
  <c r="J245" i="34"/>
  <c r="O245" i="34"/>
  <c r="I246" i="34"/>
  <c r="N246" i="34"/>
  <c r="S246" i="34"/>
  <c r="M247" i="34"/>
  <c r="R247" i="34"/>
  <c r="K248" i="34"/>
  <c r="Q248" i="34"/>
  <c r="J249" i="34"/>
  <c r="O249" i="34"/>
  <c r="I250" i="34"/>
  <c r="N250" i="34"/>
  <c r="S250" i="34"/>
  <c r="M251" i="34"/>
  <c r="R251" i="34"/>
  <c r="K252" i="34"/>
  <c r="Q252" i="34"/>
  <c r="J253" i="34"/>
  <c r="O253" i="34"/>
  <c r="I254" i="34"/>
  <c r="N254" i="34"/>
  <c r="S254" i="34"/>
  <c r="M255" i="34"/>
  <c r="Q255" i="34"/>
  <c r="I256" i="34"/>
  <c r="M256" i="34"/>
  <c r="Q256" i="34"/>
  <c r="I257" i="34"/>
  <c r="M257" i="34"/>
  <c r="Q257" i="34"/>
  <c r="I258" i="34"/>
  <c r="M258" i="34"/>
  <c r="Q258" i="34"/>
  <c r="I259" i="34"/>
  <c r="M259" i="34"/>
  <c r="Q259" i="34"/>
  <c r="I260" i="34"/>
  <c r="M260" i="34"/>
  <c r="Q260" i="34"/>
  <c r="I261" i="34"/>
  <c r="M261" i="34"/>
  <c r="Q261" i="34"/>
  <c r="I262" i="34"/>
  <c r="M262" i="34"/>
  <c r="Q262" i="34"/>
  <c r="I263" i="34"/>
  <c r="M263" i="34"/>
  <c r="Q263" i="34"/>
  <c r="I264" i="34"/>
  <c r="M264" i="34"/>
  <c r="Q264" i="34"/>
  <c r="I265" i="34"/>
  <c r="M265" i="34"/>
  <c r="Q265" i="34"/>
  <c r="I266" i="34"/>
  <c r="M266" i="34"/>
  <c r="Q266" i="34"/>
  <c r="I267" i="34"/>
  <c r="M267" i="34"/>
  <c r="Q267" i="34"/>
  <c r="I268" i="34"/>
  <c r="M268" i="34"/>
  <c r="Q268" i="34"/>
  <c r="I269" i="34"/>
  <c r="M269" i="34"/>
  <c r="Q269" i="34"/>
  <c r="I270" i="34"/>
  <c r="M270" i="34"/>
  <c r="Q270" i="34"/>
  <c r="I271" i="34"/>
  <c r="M271" i="34"/>
  <c r="Q271" i="34"/>
  <c r="I272" i="34"/>
  <c r="M272" i="34"/>
  <c r="Q272" i="34"/>
  <c r="I273" i="34"/>
  <c r="M273" i="34"/>
  <c r="Q273" i="34"/>
  <c r="I274" i="34"/>
  <c r="M274" i="34"/>
  <c r="Q274" i="34"/>
  <c r="I275" i="34"/>
  <c r="M275" i="34"/>
  <c r="Q275" i="34"/>
  <c r="I276" i="34"/>
  <c r="M276" i="34"/>
  <c r="Q276" i="34"/>
  <c r="I277" i="34"/>
  <c r="M277" i="34"/>
  <c r="Q277" i="34"/>
  <c r="I278" i="34"/>
  <c r="M278" i="34"/>
  <c r="Q278" i="34"/>
  <c r="I279" i="34"/>
  <c r="M279" i="34"/>
  <c r="Q279" i="34"/>
  <c r="I280" i="34"/>
  <c r="M280" i="34"/>
  <c r="Q280" i="34"/>
  <c r="I281" i="34"/>
  <c r="M281" i="34"/>
  <c r="Q281" i="34"/>
  <c r="I282" i="34"/>
  <c r="M282" i="34"/>
  <c r="Q282" i="34"/>
  <c r="I283" i="34"/>
  <c r="M283" i="34"/>
  <c r="Q283" i="34"/>
  <c r="I284" i="34"/>
  <c r="M284" i="34"/>
  <c r="Q284" i="34"/>
  <c r="I285" i="34"/>
  <c r="M285" i="34"/>
  <c r="Q285" i="34"/>
  <c r="I286" i="34"/>
  <c r="M286" i="34"/>
  <c r="Q286" i="34"/>
  <c r="I287" i="34"/>
  <c r="M287" i="34"/>
  <c r="Q287" i="34"/>
  <c r="I288" i="34"/>
  <c r="M288" i="34"/>
  <c r="Q288" i="34"/>
  <c r="I289" i="34"/>
  <c r="M289" i="34"/>
  <c r="Q289" i="34"/>
  <c r="I290" i="34"/>
  <c r="M290" i="34"/>
  <c r="Q290" i="34"/>
  <c r="I291" i="34"/>
  <c r="M291" i="34"/>
  <c r="Q291" i="34"/>
  <c r="I292" i="34"/>
  <c r="M292" i="34"/>
  <c r="Q292" i="34"/>
  <c r="I293" i="34"/>
  <c r="M293" i="34"/>
  <c r="Q293" i="34"/>
  <c r="I294" i="34"/>
  <c r="M294" i="34"/>
  <c r="Q294" i="34"/>
  <c r="I295" i="34"/>
  <c r="M295" i="34"/>
  <c r="Q295" i="34"/>
  <c r="I296" i="34"/>
  <c r="M296" i="34"/>
  <c r="Q296" i="34"/>
  <c r="I297" i="34"/>
  <c r="M297" i="34"/>
  <c r="Q297" i="34"/>
  <c r="I298" i="34"/>
  <c r="M298" i="34"/>
  <c r="Q298" i="34"/>
  <c r="I299" i="34"/>
  <c r="M299" i="34"/>
  <c r="Q299" i="34"/>
  <c r="I300" i="34"/>
  <c r="M300" i="34"/>
  <c r="Q300" i="34"/>
  <c r="I301" i="34"/>
  <c r="M301" i="34"/>
  <c r="Q301" i="34"/>
  <c r="I302" i="34"/>
  <c r="M302" i="34"/>
  <c r="Q302" i="34"/>
  <c r="I303" i="34"/>
  <c r="M303" i="34"/>
  <c r="Q303" i="34"/>
  <c r="I304" i="34"/>
  <c r="M304" i="34"/>
  <c r="Q304" i="34"/>
  <c r="I305" i="34"/>
  <c r="M305" i="34"/>
  <c r="Q305" i="34"/>
  <c r="I306" i="34"/>
  <c r="M306" i="34"/>
  <c r="Q306" i="34"/>
  <c r="I307" i="34"/>
  <c r="M307" i="34"/>
  <c r="Q307" i="34"/>
  <c r="I308" i="34"/>
  <c r="M308" i="34"/>
  <c r="Q308" i="34"/>
  <c r="I309" i="34"/>
  <c r="M309" i="34"/>
  <c r="Q309" i="34"/>
  <c r="I310" i="34"/>
  <c r="M310" i="34"/>
  <c r="Q310" i="34"/>
  <c r="I311" i="34"/>
  <c r="M311" i="34"/>
  <c r="Q311" i="34"/>
  <c r="I312" i="34"/>
  <c r="M312" i="34"/>
  <c r="Q312" i="34"/>
  <c r="I313" i="34"/>
  <c r="M313" i="34"/>
  <c r="Q313" i="34"/>
  <c r="I314" i="34"/>
  <c r="M314" i="34"/>
  <c r="Q314" i="34"/>
  <c r="I315" i="34"/>
  <c r="M315" i="34"/>
  <c r="Q315" i="34"/>
  <c r="I316" i="34"/>
  <c r="M316" i="34"/>
  <c r="Q316" i="34"/>
  <c r="I317" i="34"/>
  <c r="M317" i="34"/>
  <c r="R89" i="34"/>
  <c r="L100" i="34"/>
  <c r="Q108" i="34"/>
  <c r="O113" i="34"/>
  <c r="M117" i="34"/>
  <c r="R120" i="34"/>
  <c r="N124" i="34"/>
  <c r="I128" i="34"/>
  <c r="N131" i="34"/>
  <c r="J135" i="34"/>
  <c r="Q138" i="34"/>
  <c r="J142" i="34"/>
  <c r="R145" i="34"/>
  <c r="M149" i="34"/>
  <c r="R152" i="34"/>
  <c r="T155" i="34"/>
  <c r="Q157" i="34"/>
  <c r="N159" i="34"/>
  <c r="L161" i="34"/>
  <c r="I163" i="34"/>
  <c r="R164" i="34"/>
  <c r="P166" i="34"/>
  <c r="T167" i="34"/>
  <c r="R168" i="34"/>
  <c r="Q169" i="34"/>
  <c r="P170" i="34"/>
  <c r="N171" i="34"/>
  <c r="M172" i="34"/>
  <c r="L173" i="34"/>
  <c r="J174" i="34"/>
  <c r="I175" i="34"/>
  <c r="T175" i="34"/>
  <c r="R176" i="34"/>
  <c r="Q177" i="34"/>
  <c r="P178" i="34"/>
  <c r="N179" i="34"/>
  <c r="M180" i="34"/>
  <c r="L181" i="34"/>
  <c r="J182" i="34"/>
  <c r="I183" i="34"/>
  <c r="S183" i="34"/>
  <c r="O184" i="34"/>
  <c r="K185" i="34"/>
  <c r="S185" i="34"/>
  <c r="O186" i="34"/>
  <c r="K187" i="34"/>
  <c r="S187" i="34"/>
  <c r="O188" i="34"/>
  <c r="K189" i="34"/>
  <c r="S189" i="34"/>
  <c r="O190" i="34"/>
  <c r="K191" i="34"/>
  <c r="S191" i="34"/>
  <c r="O192" i="34"/>
  <c r="K193" i="34"/>
  <c r="S193" i="34"/>
  <c r="O194" i="34"/>
  <c r="K195" i="34"/>
  <c r="S195" i="34"/>
  <c r="O196" i="34"/>
  <c r="K197" i="34"/>
  <c r="S197" i="34"/>
  <c r="O198" i="34"/>
  <c r="K199" i="34"/>
  <c r="S199" i="34"/>
  <c r="O200" i="34"/>
  <c r="K201" i="34"/>
  <c r="S201" i="34"/>
  <c r="O202" i="34"/>
  <c r="K203" i="34"/>
  <c r="S203" i="34"/>
  <c r="O204" i="34"/>
  <c r="K205" i="34"/>
  <c r="S205" i="34"/>
  <c r="O206" i="34"/>
  <c r="K207" i="34"/>
  <c r="S207" i="34"/>
  <c r="O208" i="34"/>
  <c r="K209" i="34"/>
  <c r="S209" i="34"/>
  <c r="O210" i="34"/>
  <c r="K211" i="34"/>
  <c r="S211" i="34"/>
  <c r="O212" i="34"/>
  <c r="K213" i="34"/>
  <c r="S213" i="34"/>
  <c r="O214" i="34"/>
  <c r="K215" i="34"/>
  <c r="S215" i="34"/>
  <c r="O216" i="34"/>
  <c r="K217" i="34"/>
  <c r="S217" i="34"/>
  <c r="O218" i="34"/>
  <c r="K219" i="34"/>
  <c r="S219" i="34"/>
  <c r="O220" i="34"/>
  <c r="K221" i="34"/>
  <c r="S221" i="34"/>
  <c r="O222" i="34"/>
  <c r="K223" i="34"/>
  <c r="S223" i="34"/>
  <c r="O224" i="34"/>
  <c r="K225" i="34"/>
  <c r="S225" i="34"/>
  <c r="O226" i="34"/>
  <c r="I227" i="34"/>
  <c r="N227" i="34"/>
  <c r="S227" i="34"/>
  <c r="M228" i="34"/>
  <c r="R228" i="34"/>
  <c r="K229" i="34"/>
  <c r="Q229" i="34"/>
  <c r="J230" i="34"/>
  <c r="O230" i="34"/>
  <c r="I231" i="34"/>
  <c r="N231" i="34"/>
  <c r="S231" i="34"/>
  <c r="M232" i="34"/>
  <c r="R232" i="34"/>
  <c r="K233" i="34"/>
  <c r="Q233" i="34"/>
  <c r="J234" i="34"/>
  <c r="O234" i="34"/>
  <c r="I235" i="34"/>
  <c r="N235" i="34"/>
  <c r="S235" i="34"/>
  <c r="M236" i="34"/>
  <c r="R236" i="34"/>
  <c r="K237" i="34"/>
  <c r="Q237" i="34"/>
  <c r="J238" i="34"/>
  <c r="O238" i="34"/>
  <c r="I239" i="34"/>
  <c r="N239" i="34"/>
  <c r="S239" i="34"/>
  <c r="M240" i="34"/>
  <c r="R240" i="34"/>
  <c r="K241" i="34"/>
  <c r="Q241" i="34"/>
  <c r="J242" i="34"/>
  <c r="O242" i="34"/>
  <c r="I243" i="34"/>
  <c r="N243" i="34"/>
  <c r="S243" i="34"/>
  <c r="M244" i="34"/>
  <c r="R244" i="34"/>
  <c r="K245" i="34"/>
  <c r="Q245" i="34"/>
  <c r="J246" i="34"/>
  <c r="O246" i="34"/>
  <c r="I247" i="34"/>
  <c r="N247" i="34"/>
  <c r="S247" i="34"/>
  <c r="M248" i="34"/>
  <c r="R248" i="34"/>
  <c r="K249" i="34"/>
  <c r="Q249" i="34"/>
  <c r="J250" i="34"/>
  <c r="O250" i="34"/>
  <c r="I251" i="34"/>
  <c r="N251" i="34"/>
  <c r="S251" i="34"/>
  <c r="M252" i="34"/>
  <c r="R252" i="34"/>
  <c r="K253" i="34"/>
  <c r="Q253" i="34"/>
  <c r="J254" i="34"/>
  <c r="O254" i="34"/>
  <c r="I255" i="34"/>
  <c r="N255" i="34"/>
  <c r="R255" i="34"/>
  <c r="J256" i="34"/>
  <c r="N256" i="34"/>
  <c r="R256" i="34"/>
  <c r="J257" i="34"/>
  <c r="N257" i="34"/>
  <c r="R257" i="34"/>
  <c r="J258" i="34"/>
  <c r="N258" i="34"/>
  <c r="R258" i="34"/>
  <c r="J259" i="34"/>
  <c r="N259" i="34"/>
  <c r="R259" i="34"/>
  <c r="J260" i="34"/>
  <c r="N260" i="34"/>
  <c r="R260" i="34"/>
  <c r="J261" i="34"/>
  <c r="N261" i="34"/>
  <c r="R261" i="34"/>
  <c r="J262" i="34"/>
  <c r="N262" i="34"/>
  <c r="R262" i="34"/>
  <c r="J263" i="34"/>
  <c r="N263" i="34"/>
  <c r="R263" i="34"/>
  <c r="J264" i="34"/>
  <c r="N264" i="34"/>
  <c r="R264" i="34"/>
  <c r="J265" i="34"/>
  <c r="N265" i="34"/>
  <c r="R265" i="34"/>
  <c r="J266" i="34"/>
  <c r="N266" i="34"/>
  <c r="R266" i="34"/>
  <c r="J267" i="34"/>
  <c r="N267" i="34"/>
  <c r="R267" i="34"/>
  <c r="J268" i="34"/>
  <c r="N268" i="34"/>
  <c r="R268" i="34"/>
  <c r="J269" i="34"/>
  <c r="N269" i="34"/>
  <c r="R269" i="34"/>
  <c r="J270" i="34"/>
  <c r="N270" i="34"/>
  <c r="R270" i="34"/>
  <c r="J271" i="34"/>
  <c r="N271" i="34"/>
  <c r="R271" i="34"/>
  <c r="J272" i="34"/>
  <c r="N272" i="34"/>
  <c r="R272" i="34"/>
  <c r="K71" i="34"/>
  <c r="K93" i="34"/>
  <c r="K102" i="34"/>
  <c r="I110" i="34"/>
  <c r="Q114" i="34"/>
  <c r="J118" i="34"/>
  <c r="R121" i="34"/>
  <c r="M125" i="34"/>
  <c r="R128" i="34"/>
  <c r="N132" i="34"/>
  <c r="I136" i="34"/>
  <c r="N139" i="34"/>
  <c r="J143" i="34"/>
  <c r="Q146" i="34"/>
  <c r="J150" i="34"/>
  <c r="R153" i="34"/>
  <c r="M156" i="34"/>
  <c r="J158" i="34"/>
  <c r="T159" i="34"/>
  <c r="Q161" i="34"/>
  <c r="N163" i="34"/>
  <c r="L165" i="34"/>
  <c r="I167" i="34"/>
  <c r="L168" i="34"/>
  <c r="J169" i="34"/>
  <c r="I170" i="34"/>
  <c r="T170" i="34"/>
  <c r="R171" i="34"/>
  <c r="Q172" i="34"/>
  <c r="P173" i="34"/>
  <c r="N174" i="34"/>
  <c r="M175" i="34"/>
  <c r="L176" i="34"/>
  <c r="J177" i="34"/>
  <c r="I178" i="34"/>
  <c r="T178" i="34"/>
  <c r="R179" i="34"/>
  <c r="Q180" i="34"/>
  <c r="P181" i="34"/>
  <c r="N182" i="34"/>
  <c r="M183" i="34"/>
  <c r="J184" i="34"/>
  <c r="R184" i="34"/>
  <c r="N185" i="34"/>
  <c r="J186" i="34"/>
  <c r="R186" i="34"/>
  <c r="N187" i="34"/>
  <c r="J188" i="34"/>
  <c r="R188" i="34"/>
  <c r="N189" i="34"/>
  <c r="J190" i="34"/>
  <c r="R190" i="34"/>
  <c r="N191" i="34"/>
  <c r="J192" i="34"/>
  <c r="R192" i="34"/>
  <c r="N193" i="34"/>
  <c r="J194" i="34"/>
  <c r="R194" i="34"/>
  <c r="N195" i="34"/>
  <c r="J196" i="34"/>
  <c r="R196" i="34"/>
  <c r="N197" i="34"/>
  <c r="J198" i="34"/>
  <c r="R198" i="34"/>
  <c r="N199" i="34"/>
  <c r="J200" i="34"/>
  <c r="R200" i="34"/>
  <c r="N201" i="34"/>
  <c r="J202" i="34"/>
  <c r="R202" i="34"/>
  <c r="N203" i="34"/>
  <c r="J204" i="34"/>
  <c r="R204" i="34"/>
  <c r="N205" i="34"/>
  <c r="J206" i="34"/>
  <c r="R206" i="34"/>
  <c r="N207" i="34"/>
  <c r="J208" i="34"/>
  <c r="R208" i="34"/>
  <c r="N209" i="34"/>
  <c r="J210" i="34"/>
  <c r="R210" i="34"/>
  <c r="N211" i="34"/>
  <c r="J212" i="34"/>
  <c r="R212" i="34"/>
  <c r="N213" i="34"/>
  <c r="J214" i="34"/>
  <c r="R214" i="34"/>
  <c r="N215" i="34"/>
  <c r="J216" i="34"/>
  <c r="R216" i="34"/>
  <c r="N217" i="34"/>
  <c r="J218" i="34"/>
  <c r="R218" i="34"/>
  <c r="N219" i="34"/>
  <c r="J220" i="34"/>
  <c r="R220" i="34"/>
  <c r="N221" i="34"/>
  <c r="J222" i="34"/>
  <c r="R222" i="34"/>
  <c r="N223" i="34"/>
  <c r="J224" i="34"/>
  <c r="R224" i="34"/>
  <c r="N225" i="34"/>
  <c r="J226" i="34"/>
  <c r="Q226" i="34"/>
  <c r="J227" i="34"/>
  <c r="O227" i="34"/>
  <c r="I228" i="34"/>
  <c r="N228" i="34"/>
  <c r="S228" i="34"/>
  <c r="M229" i="34"/>
  <c r="R229" i="34"/>
  <c r="K230" i="34"/>
  <c r="Q230" i="34"/>
  <c r="J231" i="34"/>
  <c r="O231" i="34"/>
  <c r="I232" i="34"/>
  <c r="N232" i="34"/>
  <c r="S232" i="34"/>
  <c r="M233" i="34"/>
  <c r="R233" i="34"/>
  <c r="K234" i="34"/>
  <c r="Q234" i="34"/>
  <c r="J235" i="34"/>
  <c r="O235" i="34"/>
  <c r="I236" i="34"/>
  <c r="N236" i="34"/>
  <c r="S236" i="34"/>
  <c r="M237" i="34"/>
  <c r="R237" i="34"/>
  <c r="K238" i="34"/>
  <c r="Q238" i="34"/>
  <c r="J239" i="34"/>
  <c r="O239" i="34"/>
  <c r="I240" i="34"/>
  <c r="N240" i="34"/>
  <c r="S240" i="34"/>
  <c r="M241" i="34"/>
  <c r="R241" i="34"/>
  <c r="K242" i="34"/>
  <c r="Q242" i="34"/>
  <c r="J243" i="34"/>
  <c r="O243" i="34"/>
  <c r="I244" i="34"/>
  <c r="N244" i="34"/>
  <c r="S244" i="34"/>
  <c r="M245" i="34"/>
  <c r="R245" i="34"/>
  <c r="K246" i="34"/>
  <c r="Q246" i="34"/>
  <c r="J247" i="34"/>
  <c r="O247" i="34"/>
  <c r="I248" i="34"/>
  <c r="N248" i="34"/>
  <c r="S248" i="34"/>
  <c r="M249" i="34"/>
  <c r="R249" i="34"/>
  <c r="K250" i="34"/>
  <c r="Q250" i="34"/>
  <c r="J251" i="34"/>
  <c r="O251" i="34"/>
  <c r="I252" i="34"/>
  <c r="N252" i="34"/>
  <c r="S252" i="34"/>
  <c r="M253" i="34"/>
  <c r="R253" i="34"/>
  <c r="K254" i="34"/>
  <c r="Q254" i="34"/>
  <c r="J255" i="34"/>
  <c r="S104" i="34"/>
  <c r="Q122" i="34"/>
  <c r="R136" i="34"/>
  <c r="J151" i="34"/>
  <c r="M160" i="34"/>
  <c r="N167" i="34"/>
  <c r="I171" i="34"/>
  <c r="P174" i="34"/>
  <c r="J178" i="34"/>
  <c r="Q181" i="34"/>
  <c r="S184" i="34"/>
  <c r="O187" i="34"/>
  <c r="K190" i="34"/>
  <c r="S192" i="34"/>
  <c r="O195" i="34"/>
  <c r="K198" i="34"/>
  <c r="S200" i="34"/>
  <c r="O203" i="34"/>
  <c r="K206" i="34"/>
  <c r="S208" i="34"/>
  <c r="O211" i="34"/>
  <c r="K214" i="34"/>
  <c r="S216" i="34"/>
  <c r="O219" i="34"/>
  <c r="K222" i="34"/>
  <c r="S224" i="34"/>
  <c r="K227" i="34"/>
  <c r="I229" i="34"/>
  <c r="R230" i="34"/>
  <c r="O232" i="34"/>
  <c r="M234" i="34"/>
  <c r="J236" i="34"/>
  <c r="S237" i="34"/>
  <c r="Q239" i="34"/>
  <c r="N241" i="34"/>
  <c r="K243" i="34"/>
  <c r="I245" i="34"/>
  <c r="R246" i="34"/>
  <c r="O248" i="34"/>
  <c r="M250" i="34"/>
  <c r="J252" i="34"/>
  <c r="S253" i="34"/>
  <c r="O255" i="34"/>
  <c r="K256" i="34"/>
  <c r="S256" i="34"/>
  <c r="O257" i="34"/>
  <c r="K258" i="34"/>
  <c r="S258" i="34"/>
  <c r="O259" i="34"/>
  <c r="K260" i="34"/>
  <c r="S260" i="34"/>
  <c r="O261" i="34"/>
  <c r="K262" i="34"/>
  <c r="S262" i="34"/>
  <c r="O263" i="34"/>
  <c r="K264" i="34"/>
  <c r="S264" i="34"/>
  <c r="O265" i="34"/>
  <c r="K266" i="34"/>
  <c r="S266" i="34"/>
  <c r="O267" i="34"/>
  <c r="K268" i="34"/>
  <c r="S268" i="34"/>
  <c r="O269" i="34"/>
  <c r="K270" i="34"/>
  <c r="S270" i="34"/>
  <c r="O271" i="34"/>
  <c r="K272" i="34"/>
  <c r="S272" i="34"/>
  <c r="L273" i="34"/>
  <c r="R273" i="34"/>
  <c r="K274" i="34"/>
  <c r="P274" i="34"/>
  <c r="J275" i="34"/>
  <c r="O275" i="34"/>
  <c r="T275" i="34"/>
  <c r="N276" i="34"/>
  <c r="S276" i="34"/>
  <c r="L277" i="34"/>
  <c r="R277" i="34"/>
  <c r="K278" i="34"/>
  <c r="P278" i="34"/>
  <c r="J279" i="34"/>
  <c r="O279" i="34"/>
  <c r="T279" i="34"/>
  <c r="N280" i="34"/>
  <c r="S280" i="34"/>
  <c r="L281" i="34"/>
  <c r="R281" i="34"/>
  <c r="K282" i="34"/>
  <c r="P282" i="34"/>
  <c r="J283" i="34"/>
  <c r="O283" i="34"/>
  <c r="T283" i="34"/>
  <c r="N284" i="34"/>
  <c r="S284" i="34"/>
  <c r="L285" i="34"/>
  <c r="R285" i="34"/>
  <c r="K286" i="34"/>
  <c r="P286" i="34"/>
  <c r="J287" i="34"/>
  <c r="O287" i="34"/>
  <c r="T287" i="34"/>
  <c r="N288" i="34"/>
  <c r="S288" i="34"/>
  <c r="L289" i="34"/>
  <c r="R289" i="34"/>
  <c r="K290" i="34"/>
  <c r="P290" i="34"/>
  <c r="J291" i="34"/>
  <c r="O291" i="34"/>
  <c r="T291" i="34"/>
  <c r="N292" i="34"/>
  <c r="S292" i="34"/>
  <c r="L293" i="34"/>
  <c r="R293" i="34"/>
  <c r="K294" i="34"/>
  <c r="P294" i="34"/>
  <c r="J295" i="34"/>
  <c r="O295" i="34"/>
  <c r="T295" i="34"/>
  <c r="N296" i="34"/>
  <c r="S296" i="34"/>
  <c r="L297" i="34"/>
  <c r="R297" i="34"/>
  <c r="K298" i="34"/>
  <c r="P298" i="34"/>
  <c r="J299" i="34"/>
  <c r="O299" i="34"/>
  <c r="T299" i="34"/>
  <c r="N300" i="34"/>
  <c r="S300" i="34"/>
  <c r="L301" i="34"/>
  <c r="R301" i="34"/>
  <c r="K302" i="34"/>
  <c r="P302" i="34"/>
  <c r="J303" i="34"/>
  <c r="O303" i="34"/>
  <c r="T303" i="34"/>
  <c r="N304" i="34"/>
  <c r="S304" i="34"/>
  <c r="L305" i="34"/>
  <c r="R305" i="34"/>
  <c r="K306" i="34"/>
  <c r="P306" i="34"/>
  <c r="J307" i="34"/>
  <c r="O307" i="34"/>
  <c r="T307" i="34"/>
  <c r="N308" i="34"/>
  <c r="S308" i="34"/>
  <c r="L309" i="34"/>
  <c r="R309" i="34"/>
  <c r="K310" i="34"/>
  <c r="P310" i="34"/>
  <c r="J311" i="34"/>
  <c r="O311" i="34"/>
  <c r="T311" i="34"/>
  <c r="N312" i="34"/>
  <c r="S312" i="34"/>
  <c r="L313" i="34"/>
  <c r="R313" i="34"/>
  <c r="K314" i="34"/>
  <c r="P314" i="34"/>
  <c r="J315" i="34"/>
  <c r="O315" i="34"/>
  <c r="T315" i="34"/>
  <c r="N316" i="34"/>
  <c r="S316" i="34"/>
  <c r="L317" i="34"/>
  <c r="Q317" i="34"/>
  <c r="J126" i="34"/>
  <c r="S190" i="34"/>
  <c r="K196" i="34"/>
  <c r="S198" i="34"/>
  <c r="K204" i="34"/>
  <c r="S206" i="34"/>
  <c r="O209" i="34"/>
  <c r="S214" i="34"/>
  <c r="O217" i="34"/>
  <c r="K220" i="34"/>
  <c r="S222" i="34"/>
  <c r="O225" i="34"/>
  <c r="N229" i="34"/>
  <c r="K231" i="34"/>
  <c r="I233" i="34"/>
  <c r="R234" i="34"/>
  <c r="O236" i="34"/>
  <c r="M238" i="34"/>
  <c r="J240" i="34"/>
  <c r="Q243" i="34"/>
  <c r="N245" i="34"/>
  <c r="K247" i="34"/>
  <c r="I249" i="34"/>
  <c r="R250" i="34"/>
  <c r="O252" i="34"/>
  <c r="M254" i="34"/>
  <c r="L256" i="34"/>
  <c r="T256" i="34"/>
  <c r="P257" i="34"/>
  <c r="L258" i="34"/>
  <c r="T258" i="34"/>
  <c r="P259" i="34"/>
  <c r="L260" i="34"/>
  <c r="P261" i="34"/>
  <c r="L262" i="34"/>
  <c r="T262" i="34"/>
  <c r="P263" i="34"/>
  <c r="L264" i="34"/>
  <c r="T264" i="34"/>
  <c r="L266" i="34"/>
  <c r="T266" i="34"/>
  <c r="P267" i="34"/>
  <c r="L268" i="34"/>
  <c r="T268" i="34"/>
  <c r="P269" i="34"/>
  <c r="T270" i="34"/>
  <c r="P271" i="34"/>
  <c r="L272" i="34"/>
  <c r="T272" i="34"/>
  <c r="N273" i="34"/>
  <c r="S273" i="34"/>
  <c r="R274" i="34"/>
  <c r="K275" i="34"/>
  <c r="P275" i="34"/>
  <c r="O276" i="34"/>
  <c r="T276" i="34"/>
  <c r="S277" i="34"/>
  <c r="L278" i="34"/>
  <c r="K279" i="34"/>
  <c r="P279" i="34"/>
  <c r="J280" i="34"/>
  <c r="T280" i="34"/>
  <c r="N281" i="34"/>
  <c r="L282" i="34"/>
  <c r="R282" i="34"/>
  <c r="K283" i="34"/>
  <c r="J284" i="34"/>
  <c r="O284" i="34"/>
  <c r="T284" i="34"/>
  <c r="S285" i="34"/>
  <c r="L286" i="34"/>
  <c r="K287" i="34"/>
  <c r="P287" i="34"/>
  <c r="J288" i="34"/>
  <c r="T288" i="34"/>
  <c r="N289" i="34"/>
  <c r="S289" i="34"/>
  <c r="R290" i="34"/>
  <c r="K291" i="34"/>
  <c r="P291" i="34"/>
  <c r="O292" i="34"/>
  <c r="T292" i="34"/>
  <c r="N293" i="34"/>
  <c r="L294" i="34"/>
  <c r="R294" i="34"/>
  <c r="K295" i="34"/>
  <c r="J296" i="34"/>
  <c r="O296" i="34"/>
  <c r="N297" i="34"/>
  <c r="S297" i="34"/>
  <c r="L298" i="34"/>
  <c r="K299" i="34"/>
  <c r="P299" i="34"/>
  <c r="J300" i="34"/>
  <c r="T300" i="34"/>
  <c r="N301" i="34"/>
  <c r="S301" i="34"/>
  <c r="R302" i="34"/>
  <c r="K303" i="34"/>
  <c r="P303" i="34"/>
  <c r="O304" i="34"/>
  <c r="T304" i="34"/>
  <c r="N305" i="34"/>
  <c r="L306" i="34"/>
  <c r="R306" i="34"/>
  <c r="K307" i="34"/>
  <c r="J308" i="34"/>
  <c r="O308" i="34"/>
  <c r="N309" i="34"/>
  <c r="S309" i="34"/>
  <c r="L310" i="34"/>
  <c r="K311" i="34"/>
  <c r="P311" i="34"/>
  <c r="J312" i="34"/>
  <c r="O312" i="34"/>
  <c r="N313" i="34"/>
  <c r="S313" i="34"/>
  <c r="L314" i="34"/>
  <c r="K315" i="34"/>
  <c r="P315" i="34"/>
  <c r="J316" i="34"/>
  <c r="T316" i="34"/>
  <c r="N317" i="34"/>
  <c r="R317" i="34"/>
  <c r="T293" i="34"/>
  <c r="K296" i="34"/>
  <c r="J297" i="34"/>
  <c r="T297" i="34"/>
  <c r="S298" i="34"/>
  <c r="R299" i="34"/>
  <c r="J301" i="34"/>
  <c r="O301" i="34"/>
  <c r="S302" i="34"/>
  <c r="R303" i="34"/>
  <c r="P304" i="34"/>
  <c r="O305" i="34"/>
  <c r="S306" i="34"/>
  <c r="R307" i="34"/>
  <c r="P308" i="34"/>
  <c r="O309" i="34"/>
  <c r="N310" i="34"/>
  <c r="L311" i="34"/>
  <c r="K312" i="34"/>
  <c r="J313" i="34"/>
  <c r="T313" i="34"/>
  <c r="S314" i="34"/>
  <c r="R315" i="34"/>
  <c r="J317" i="34"/>
  <c r="O317" i="34"/>
  <c r="J119" i="34"/>
  <c r="N147" i="34"/>
  <c r="J170" i="34"/>
  <c r="Q173" i="34"/>
  <c r="K184" i="34"/>
  <c r="S186" i="34"/>
  <c r="S194" i="34"/>
  <c r="O197" i="34"/>
  <c r="O205" i="34"/>
  <c r="K208" i="34"/>
  <c r="K216" i="34"/>
  <c r="S218" i="34"/>
  <c r="R226" i="34"/>
  <c r="O228" i="34"/>
  <c r="S233" i="34"/>
  <c r="Q235" i="34"/>
  <c r="I241" i="34"/>
  <c r="R242" i="34"/>
  <c r="J248" i="34"/>
  <c r="Q251" i="34"/>
  <c r="K255" i="34"/>
  <c r="L257" i="34"/>
  <c r="L259" i="34"/>
  <c r="T259" i="34"/>
  <c r="T261" i="34"/>
  <c r="T263" i="34"/>
  <c r="P264" i="34"/>
  <c r="P266" i="34"/>
  <c r="L267" i="34"/>
  <c r="L269" i="34"/>
  <c r="T269" i="34"/>
  <c r="T271" i="34"/>
  <c r="P272" i="34"/>
  <c r="J274" i="34"/>
  <c r="O274" i="34"/>
  <c r="S275" i="34"/>
  <c r="L276" i="34"/>
  <c r="P277" i="34"/>
  <c r="J278" i="34"/>
  <c r="N279" i="34"/>
  <c r="L280" i="34"/>
  <c r="K281" i="34"/>
  <c r="O282" i="34"/>
  <c r="S283" i="34"/>
  <c r="L284" i="34"/>
  <c r="P285" i="34"/>
  <c r="O286" i="34"/>
  <c r="N287" i="34"/>
  <c r="R288" i="34"/>
  <c r="J290" i="34"/>
  <c r="N291" i="34"/>
  <c r="S291" i="34"/>
  <c r="K293" i="34"/>
  <c r="J294" i="34"/>
  <c r="T294" i="34"/>
  <c r="L296" i="34"/>
  <c r="P297" i="34"/>
  <c r="J298" i="34"/>
  <c r="N299" i="34"/>
  <c r="S299" i="34"/>
  <c r="K301" i="34"/>
  <c r="J302" i="34"/>
  <c r="T302" i="34"/>
  <c r="L304" i="34"/>
  <c r="P305" i="34"/>
  <c r="J306" i="34"/>
  <c r="N307" i="34"/>
  <c r="S307" i="34"/>
  <c r="K309" i="34"/>
  <c r="O310" i="34"/>
  <c r="T310" i="34"/>
  <c r="L312" i="34"/>
  <c r="R312" i="34"/>
  <c r="J314" i="34"/>
  <c r="N315" i="34"/>
  <c r="L316" i="34"/>
  <c r="K317" i="34"/>
  <c r="K111" i="34"/>
  <c r="N140" i="34"/>
  <c r="Q154" i="34"/>
  <c r="J162" i="34"/>
  <c r="M168" i="34"/>
  <c r="T171" i="34"/>
  <c r="N175" i="34"/>
  <c r="I179" i="34"/>
  <c r="P182" i="34"/>
  <c r="O185" i="34"/>
  <c r="K188" i="34"/>
  <c r="O193" i="34"/>
  <c r="O201" i="34"/>
  <c r="K212" i="34"/>
  <c r="Q227" i="34"/>
  <c r="S241" i="34"/>
  <c r="P255" i="34"/>
  <c r="T260" i="34"/>
  <c r="P265" i="34"/>
  <c r="L270" i="34"/>
  <c r="L274" i="34"/>
  <c r="J276" i="34"/>
  <c r="N277" i="34"/>
  <c r="R278" i="34"/>
  <c r="O280" i="34"/>
  <c r="S281" i="34"/>
  <c r="P283" i="34"/>
  <c r="N285" i="34"/>
  <c r="R286" i="34"/>
  <c r="O288" i="34"/>
  <c r="L290" i="34"/>
  <c r="J292" i="34"/>
  <c r="S293" i="34"/>
  <c r="P295" i="34"/>
  <c r="T296" i="34"/>
  <c r="R298" i="34"/>
  <c r="O300" i="34"/>
  <c r="L302" i="34"/>
  <c r="J304" i="34"/>
  <c r="S305" i="34"/>
  <c r="P307" i="34"/>
  <c r="T308" i="34"/>
  <c r="R310" i="34"/>
  <c r="T312" i="34"/>
  <c r="R314" i="34"/>
  <c r="O316" i="34"/>
  <c r="N294" i="34"/>
  <c r="O297" i="34"/>
  <c r="L299" i="34"/>
  <c r="P300" i="34"/>
  <c r="T301" i="34"/>
  <c r="L303" i="34"/>
  <c r="J305" i="34"/>
  <c r="T305" i="34"/>
  <c r="L307" i="34"/>
  <c r="J309" i="34"/>
  <c r="S310" i="34"/>
  <c r="R311" i="34"/>
  <c r="O313" i="34"/>
  <c r="L315" i="34"/>
  <c r="K316" i="34"/>
  <c r="S317" i="34"/>
  <c r="I95" i="34"/>
  <c r="P158" i="34"/>
  <c r="L177" i="34"/>
  <c r="O189" i="34"/>
  <c r="S202" i="34"/>
  <c r="O213" i="34"/>
  <c r="O221" i="34"/>
  <c r="M230" i="34"/>
  <c r="N237" i="34"/>
  <c r="M246" i="34"/>
  <c r="N253" i="34"/>
  <c r="P256" i="34"/>
  <c r="T257" i="34"/>
  <c r="P260" i="34"/>
  <c r="P262" i="34"/>
  <c r="T265" i="34"/>
  <c r="P268" i="34"/>
  <c r="P270" i="34"/>
  <c r="P273" i="34"/>
  <c r="T274" i="34"/>
  <c r="R276" i="34"/>
  <c r="T278" i="34"/>
  <c r="R280" i="34"/>
  <c r="J282" i="34"/>
  <c r="N283" i="34"/>
  <c r="R284" i="34"/>
  <c r="T286" i="34"/>
  <c r="L288" i="34"/>
  <c r="P289" i="34"/>
  <c r="O290" i="34"/>
  <c r="R292" i="34"/>
  <c r="P293" i="34"/>
  <c r="N295" i="34"/>
  <c r="K297" i="34"/>
  <c r="O298" i="34"/>
  <c r="R300" i="34"/>
  <c r="P301" i="34"/>
  <c r="N303" i="34"/>
  <c r="R304" i="34"/>
  <c r="O306" i="34"/>
  <c r="L308" i="34"/>
  <c r="J310" i="34"/>
  <c r="N311" i="34"/>
  <c r="K313" i="34"/>
  <c r="T314" i="34"/>
  <c r="R316" i="34"/>
  <c r="T317" i="34"/>
  <c r="M79" i="34"/>
  <c r="N115" i="34"/>
  <c r="R129" i="34"/>
  <c r="I144" i="34"/>
  <c r="R156" i="34"/>
  <c r="T163" i="34"/>
  <c r="L169" i="34"/>
  <c r="R172" i="34"/>
  <c r="M176" i="34"/>
  <c r="T179" i="34"/>
  <c r="N183" i="34"/>
  <c r="K186" i="34"/>
  <c r="S188" i="34"/>
  <c r="O191" i="34"/>
  <c r="K194" i="34"/>
  <c r="S196" i="34"/>
  <c r="O199" i="34"/>
  <c r="K202" i="34"/>
  <c r="S204" i="34"/>
  <c r="O207" i="34"/>
  <c r="K210" i="34"/>
  <c r="S212" i="34"/>
  <c r="O215" i="34"/>
  <c r="K218" i="34"/>
  <c r="S220" i="34"/>
  <c r="O223" i="34"/>
  <c r="K226" i="34"/>
  <c r="J228" i="34"/>
  <c r="S229" i="34"/>
  <c r="Q231" i="34"/>
  <c r="N233" i="34"/>
  <c r="K235" i="34"/>
  <c r="I237" i="34"/>
  <c r="R238" i="34"/>
  <c r="O240" i="34"/>
  <c r="M242" i="34"/>
  <c r="J244" i="34"/>
  <c r="S245" i="34"/>
  <c r="Q247" i="34"/>
  <c r="N249" i="34"/>
  <c r="K251" i="34"/>
  <c r="I253" i="34"/>
  <c r="R254" i="34"/>
  <c r="S255" i="34"/>
  <c r="O256" i="34"/>
  <c r="K257" i="34"/>
  <c r="S257" i="34"/>
  <c r="O258" i="34"/>
  <c r="K259" i="34"/>
  <c r="S259" i="34"/>
  <c r="O260" i="34"/>
  <c r="K261" i="34"/>
  <c r="S261" i="34"/>
  <c r="O262" i="34"/>
  <c r="K263" i="34"/>
  <c r="S263" i="34"/>
  <c r="O264" i="34"/>
  <c r="K265" i="34"/>
  <c r="S265" i="34"/>
  <c r="O266" i="34"/>
  <c r="K267" i="34"/>
  <c r="S267" i="34"/>
  <c r="O268" i="34"/>
  <c r="K269" i="34"/>
  <c r="S269" i="34"/>
  <c r="O270" i="34"/>
  <c r="K271" i="34"/>
  <c r="S271" i="34"/>
  <c r="O272" i="34"/>
  <c r="J273" i="34"/>
  <c r="O273" i="34"/>
  <c r="T273" i="34"/>
  <c r="N274" i="34"/>
  <c r="S274" i="34"/>
  <c r="L275" i="34"/>
  <c r="R275" i="34"/>
  <c r="K276" i="34"/>
  <c r="P276" i="34"/>
  <c r="J277" i="34"/>
  <c r="O277" i="34"/>
  <c r="T277" i="34"/>
  <c r="N278" i="34"/>
  <c r="S278" i="34"/>
  <c r="L279" i="34"/>
  <c r="R279" i="34"/>
  <c r="K280" i="34"/>
  <c r="P280" i="34"/>
  <c r="J281" i="34"/>
  <c r="O281" i="34"/>
  <c r="T281" i="34"/>
  <c r="N282" i="34"/>
  <c r="S282" i="34"/>
  <c r="L283" i="34"/>
  <c r="R283" i="34"/>
  <c r="K284" i="34"/>
  <c r="P284" i="34"/>
  <c r="J285" i="34"/>
  <c r="O285" i="34"/>
  <c r="T285" i="34"/>
  <c r="N286" i="34"/>
  <c r="S286" i="34"/>
  <c r="L287" i="34"/>
  <c r="R287" i="34"/>
  <c r="K288" i="34"/>
  <c r="P288" i="34"/>
  <c r="J289" i="34"/>
  <c r="O289" i="34"/>
  <c r="T289" i="34"/>
  <c r="N290" i="34"/>
  <c r="S290" i="34"/>
  <c r="L291" i="34"/>
  <c r="R291" i="34"/>
  <c r="K292" i="34"/>
  <c r="P292" i="34"/>
  <c r="J293" i="34"/>
  <c r="O293" i="34"/>
  <c r="S294" i="34"/>
  <c r="L295" i="34"/>
  <c r="R295" i="34"/>
  <c r="P296" i="34"/>
  <c r="N298" i="34"/>
  <c r="K300" i="34"/>
  <c r="N302" i="34"/>
  <c r="K304" i="34"/>
  <c r="N306" i="34"/>
  <c r="K308" i="34"/>
  <c r="T309" i="34"/>
  <c r="P312" i="34"/>
  <c r="N314" i="34"/>
  <c r="P316" i="34"/>
  <c r="M133" i="34"/>
  <c r="Q165" i="34"/>
  <c r="R180" i="34"/>
  <c r="K192" i="34"/>
  <c r="K200" i="34"/>
  <c r="S210" i="34"/>
  <c r="K224" i="34"/>
  <c r="J232" i="34"/>
  <c r="K239" i="34"/>
  <c r="O244" i="34"/>
  <c r="S249" i="34"/>
  <c r="T255" i="34"/>
  <c r="P258" i="34"/>
  <c r="L261" i="34"/>
  <c r="L263" i="34"/>
  <c r="L265" i="34"/>
  <c r="T267" i="34"/>
  <c r="L271" i="34"/>
  <c r="K273" i="34"/>
  <c r="N275" i="34"/>
  <c r="K277" i="34"/>
  <c r="O278" i="34"/>
  <c r="S279" i="34"/>
  <c r="P281" i="34"/>
  <c r="T282" i="34"/>
  <c r="K285" i="34"/>
  <c r="J286" i="34"/>
  <c r="S287" i="34"/>
  <c r="K289" i="34"/>
  <c r="T290" i="34"/>
  <c r="L292" i="34"/>
  <c r="O294" i="34"/>
  <c r="S295" i="34"/>
  <c r="R296" i="34"/>
  <c r="T298" i="34"/>
  <c r="L300" i="34"/>
  <c r="O302" i="34"/>
  <c r="S303" i="34"/>
  <c r="K305" i="34"/>
  <c r="T306" i="34"/>
  <c r="R308" i="34"/>
  <c r="P309" i="34"/>
  <c r="S311" i="34"/>
  <c r="P313" i="34"/>
  <c r="O314" i="34"/>
  <c r="S315" i="34"/>
  <c r="P317" i="34"/>
  <c r="J75" i="34"/>
  <c r="J71" i="34"/>
  <c r="K67" i="34"/>
  <c r="N67" i="34"/>
  <c r="I69" i="34"/>
  <c r="Q70" i="34"/>
  <c r="L72" i="34"/>
  <c r="M74" i="34"/>
  <c r="N76" i="34"/>
  <c r="I78" i="34"/>
  <c r="O79" i="34"/>
  <c r="R80" i="34"/>
  <c r="L82" i="34"/>
  <c r="O83" i="34"/>
  <c r="R84" i="34"/>
  <c r="L86" i="34"/>
  <c r="O87" i="34"/>
  <c r="R88" i="34"/>
  <c r="L90" i="34"/>
  <c r="O91" i="34"/>
  <c r="R92" i="34"/>
  <c r="O78" i="34"/>
  <c r="L77" i="34"/>
  <c r="R75" i="34"/>
  <c r="O74" i="34"/>
  <c r="L73" i="34"/>
  <c r="R71" i="34"/>
  <c r="O70" i="34"/>
  <c r="L69" i="34"/>
  <c r="S67" i="34"/>
  <c r="K68" i="34"/>
  <c r="O71" i="34"/>
  <c r="K75" i="34"/>
  <c r="T78" i="34"/>
  <c r="M81" i="34"/>
  <c r="J84" i="34"/>
  <c r="T86" i="34"/>
  <c r="M89" i="34"/>
  <c r="J92" i="34"/>
  <c r="M76" i="34"/>
  <c r="M72" i="34"/>
  <c r="M68" i="34"/>
  <c r="T67" i="34"/>
  <c r="N69" i="34"/>
  <c r="I71" i="34"/>
  <c r="R72" i="34"/>
  <c r="R74" i="34"/>
  <c r="S76" i="34"/>
  <c r="N78" i="34"/>
  <c r="S79" i="34"/>
  <c r="I81" i="34"/>
  <c r="P82" i="34"/>
  <c r="S83" i="34"/>
  <c r="I85" i="34"/>
  <c r="P86" i="34"/>
  <c r="S87" i="34"/>
  <c r="I89" i="34"/>
  <c r="P90" i="34"/>
  <c r="S91" i="34"/>
  <c r="I93" i="34"/>
  <c r="K78" i="34"/>
  <c r="Q76" i="34"/>
  <c r="N75" i="34"/>
  <c r="K74" i="34"/>
  <c r="Q72" i="34"/>
  <c r="N71" i="34"/>
  <c r="K70" i="34"/>
  <c r="Q68" i="34"/>
  <c r="O67" i="34"/>
  <c r="V43" i="34"/>
  <c r="V51" i="34"/>
  <c r="V42" i="34"/>
  <c r="V52" i="34"/>
  <c r="V44" i="34"/>
  <c r="V46" i="34"/>
  <c r="V60" i="34"/>
  <c r="V38" i="34"/>
  <c r="V41" i="34"/>
  <c r="V40" i="34"/>
  <c r="V58" i="34"/>
  <c r="V54" i="34"/>
  <c r="V50" i="34"/>
  <c r="V62" i="34"/>
  <c r="O61" i="11"/>
  <c r="O64" i="11" s="1"/>
  <c r="E65" i="11"/>
  <c r="E61" i="11"/>
  <c r="E64" i="11" s="1"/>
  <c r="I61" i="11"/>
  <c r="I64" i="11" s="1"/>
  <c r="M65" i="11"/>
  <c r="M61" i="11"/>
  <c r="M64" i="11" s="1"/>
  <c r="Q65" i="11"/>
  <c r="Q61" i="11"/>
  <c r="Q64" i="11" s="1"/>
  <c r="F61" i="11"/>
  <c r="F64" i="11" s="1"/>
  <c r="F65" i="11"/>
  <c r="J65" i="11"/>
  <c r="N61" i="11"/>
  <c r="N64" i="11" s="1"/>
  <c r="N65" i="11"/>
  <c r="G61" i="11"/>
  <c r="G64" i="11" s="1"/>
  <c r="K61" i="11"/>
  <c r="K64" i="11" s="1"/>
  <c r="H65" i="11"/>
  <c r="P65" i="11"/>
  <c r="D25" i="33"/>
  <c r="E24" i="33"/>
  <c r="F23" i="33"/>
  <c r="B23" i="33"/>
  <c r="C22" i="33"/>
  <c r="D21" i="33"/>
  <c r="E20" i="33"/>
  <c r="F19" i="33"/>
  <c r="B19" i="33"/>
  <c r="C18" i="33"/>
  <c r="D17" i="33"/>
  <c r="E16" i="33"/>
  <c r="C25" i="33"/>
  <c r="D24" i="33"/>
  <c r="E23" i="33"/>
  <c r="F22" i="33"/>
  <c r="B22" i="33"/>
  <c r="C21" i="33"/>
  <c r="D20" i="33"/>
  <c r="E19" i="33"/>
  <c r="F18" i="33"/>
  <c r="B18" i="33"/>
  <c r="C17" i="33"/>
  <c r="D16" i="33"/>
  <c r="B17" i="33"/>
  <c r="F25" i="33"/>
  <c r="B25" i="33"/>
  <c r="C24" i="33"/>
  <c r="D23" i="33"/>
  <c r="E22" i="33"/>
  <c r="F21" i="33"/>
  <c r="B21" i="33"/>
  <c r="C20" i="33"/>
  <c r="D19" i="33"/>
  <c r="E18" i="33"/>
  <c r="F17" i="33"/>
  <c r="C16" i="33"/>
  <c r="E25" i="33"/>
  <c r="F24" i="33"/>
  <c r="B24" i="33"/>
  <c r="C23" i="33"/>
  <c r="D22" i="33"/>
  <c r="E21" i="33"/>
  <c r="F20" i="33"/>
  <c r="B20" i="33"/>
  <c r="C19" i="33"/>
  <c r="D18" i="33"/>
  <c r="E17" i="33"/>
  <c r="F16" i="33"/>
  <c r="D14" i="33"/>
  <c r="E13" i="33"/>
  <c r="F12" i="33"/>
  <c r="B12" i="33"/>
  <c r="C11" i="33"/>
  <c r="D10" i="33"/>
  <c r="E9" i="33"/>
  <c r="F8" i="33"/>
  <c r="B8" i="33"/>
  <c r="C7" i="33"/>
  <c r="D6" i="33"/>
  <c r="E5" i="33"/>
  <c r="C14" i="33"/>
  <c r="D13" i="33"/>
  <c r="E12" i="33"/>
  <c r="F11" i="33"/>
  <c r="B11" i="33"/>
  <c r="C10" i="33"/>
  <c r="D9" i="33"/>
  <c r="E8" i="33"/>
  <c r="F7" i="33"/>
  <c r="B7" i="33"/>
  <c r="C6" i="33"/>
  <c r="F3" i="28" s="1"/>
  <c r="D5" i="33"/>
  <c r="F14" i="33"/>
  <c r="B14" i="33"/>
  <c r="C13" i="33"/>
  <c r="D12" i="33"/>
  <c r="E11" i="33"/>
  <c r="F10" i="33"/>
  <c r="B10" i="33"/>
  <c r="C9" i="33"/>
  <c r="D8" i="33"/>
  <c r="E7" i="33"/>
  <c r="F6" i="33"/>
  <c r="D3" i="28" s="1"/>
  <c r="B6" i="33"/>
  <c r="C5" i="33"/>
  <c r="E14" i="33"/>
  <c r="F13" i="33"/>
  <c r="B13" i="33"/>
  <c r="C12" i="33"/>
  <c r="D11" i="33"/>
  <c r="E10" i="33"/>
  <c r="F9" i="33"/>
  <c r="B9" i="33"/>
  <c r="C8" i="33"/>
  <c r="D7" i="33"/>
  <c r="E6" i="33"/>
  <c r="F5" i="33"/>
  <c r="K9" i="28"/>
  <c r="K13" i="28"/>
  <c r="K10" i="28"/>
  <c r="K14" i="28"/>
  <c r="K11" i="28"/>
  <c r="K15" i="28"/>
  <c r="K12" i="28"/>
  <c r="K16" i="28"/>
  <c r="L61" i="11" l="1"/>
  <c r="L64" i="11" s="1"/>
  <c r="V49" i="34"/>
  <c r="V53" i="34"/>
  <c r="V47" i="34"/>
  <c r="V57" i="34"/>
  <c r="V59" i="34"/>
  <c r="V37" i="34"/>
  <c r="V61" i="34"/>
  <c r="V48" i="34"/>
  <c r="V45" i="34"/>
  <c r="V56" i="34"/>
  <c r="V55" i="34"/>
  <c r="H68" i="34" a="1"/>
  <c r="H313" i="34" s="1"/>
  <c r="D65" i="11"/>
  <c r="X35" i="34"/>
  <c r="M61" i="34" s="1"/>
  <c r="M60" i="34" s="1"/>
  <c r="W37" i="34" s="1" a="1"/>
  <c r="W50" i="34" s="1"/>
  <c r="W35" i="34"/>
  <c r="L61" i="34" s="1"/>
  <c r="L60" i="34" s="1"/>
  <c r="W37" i="34" l="1"/>
  <c r="W40" i="34"/>
  <c r="W49" i="34"/>
  <c r="W51" i="34"/>
  <c r="W48" i="34"/>
  <c r="W61" i="34"/>
  <c r="W56" i="34"/>
  <c r="W57" i="34"/>
  <c r="W58" i="34"/>
  <c r="H262" i="34"/>
  <c r="H132" i="34"/>
  <c r="H72" i="34"/>
  <c r="H202" i="34"/>
  <c r="H80" i="34"/>
  <c r="H211" i="34"/>
  <c r="H316" i="34"/>
  <c r="H136" i="34"/>
  <c r="H90" i="34"/>
  <c r="H181" i="34"/>
  <c r="H134" i="34"/>
  <c r="H207" i="34"/>
  <c r="H164" i="34"/>
  <c r="H94" i="34"/>
  <c r="H222" i="34"/>
  <c r="H103" i="34"/>
  <c r="H231" i="34"/>
  <c r="H301" i="34"/>
  <c r="H156" i="34"/>
  <c r="H77" i="34"/>
  <c r="H201" i="34"/>
  <c r="H230" i="34"/>
  <c r="H311" i="34"/>
  <c r="H130" i="34"/>
  <c r="H139" i="34"/>
  <c r="H307" i="34"/>
  <c r="H109" i="34"/>
  <c r="H310" i="34"/>
  <c r="H180" i="34"/>
  <c r="H93" i="34"/>
  <c r="H218" i="34"/>
  <c r="H99" i="34"/>
  <c r="H227" i="34"/>
  <c r="H297" i="34"/>
  <c r="H152" i="34"/>
  <c r="H74" i="34"/>
  <c r="H197" i="34"/>
  <c r="H182" i="34"/>
  <c r="H239" i="34"/>
  <c r="H220" i="34"/>
  <c r="H110" i="34"/>
  <c r="H238" i="34"/>
  <c r="H119" i="34"/>
  <c r="H247" i="34"/>
  <c r="H287" i="34"/>
  <c r="H172" i="34"/>
  <c r="H81" i="34"/>
  <c r="H217" i="34"/>
  <c r="H278" i="34"/>
  <c r="H116" i="34"/>
  <c r="H194" i="34"/>
  <c r="H203" i="34"/>
  <c r="H128" i="34"/>
  <c r="H173" i="34"/>
  <c r="H255" i="34"/>
  <c r="H145" i="34"/>
  <c r="H138" i="34"/>
  <c r="H266" i="34"/>
  <c r="H147" i="34"/>
  <c r="H275" i="34"/>
  <c r="H315" i="34"/>
  <c r="H204" i="34"/>
  <c r="H117" i="34"/>
  <c r="H245" i="34"/>
  <c r="H294" i="34"/>
  <c r="H309" i="34"/>
  <c r="H113" i="34"/>
  <c r="H158" i="34"/>
  <c r="H286" i="34"/>
  <c r="H167" i="34"/>
  <c r="H232" i="34"/>
  <c r="H92" i="34"/>
  <c r="H228" i="34"/>
  <c r="H137" i="34"/>
  <c r="H269" i="34"/>
  <c r="H191" i="34"/>
  <c r="H76" i="34"/>
  <c r="H258" i="34"/>
  <c r="H267" i="34"/>
  <c r="H192" i="34"/>
  <c r="H237" i="34"/>
  <c r="H118" i="34"/>
  <c r="H196" i="34"/>
  <c r="H177" i="34"/>
  <c r="H154" i="34"/>
  <c r="H282" i="34"/>
  <c r="H163" i="34"/>
  <c r="H208" i="34"/>
  <c r="H85" i="34"/>
  <c r="H224" i="34"/>
  <c r="H133" i="34"/>
  <c r="H265" i="34"/>
  <c r="H71" i="34"/>
  <c r="H295" i="34"/>
  <c r="H161" i="34"/>
  <c r="H174" i="34"/>
  <c r="H302" i="34"/>
  <c r="H183" i="34"/>
  <c r="H272" i="34"/>
  <c r="H108" i="34"/>
  <c r="H260" i="34"/>
  <c r="H153" i="34"/>
  <c r="H293" i="34"/>
  <c r="H223" i="34"/>
  <c r="H261" i="34"/>
  <c r="H70" i="34"/>
  <c r="H308" i="34"/>
  <c r="H288" i="34"/>
  <c r="H68" i="34"/>
  <c r="H166" i="34"/>
  <c r="H143" i="34"/>
  <c r="H312" i="34"/>
  <c r="H248" i="34"/>
  <c r="H209" i="34"/>
  <c r="H106" i="34"/>
  <c r="H170" i="34"/>
  <c r="H234" i="34"/>
  <c r="H298" i="34"/>
  <c r="H115" i="34"/>
  <c r="H179" i="34"/>
  <c r="H243" i="34"/>
  <c r="H252" i="34"/>
  <c r="H317" i="34"/>
  <c r="H104" i="34"/>
  <c r="H168" i="34"/>
  <c r="H256" i="34"/>
  <c r="H79" i="34"/>
  <c r="H149" i="34"/>
  <c r="H213" i="34"/>
  <c r="H289" i="34"/>
  <c r="H198" i="34"/>
  <c r="H111" i="34"/>
  <c r="H271" i="34"/>
  <c r="H100" i="34"/>
  <c r="H300" i="34"/>
  <c r="H241" i="34"/>
  <c r="H126" i="34"/>
  <c r="H190" i="34"/>
  <c r="H254" i="34"/>
  <c r="H318" i="34"/>
  <c r="H135" i="34"/>
  <c r="H199" i="34"/>
  <c r="H263" i="34"/>
  <c r="H304" i="34"/>
  <c r="H303" i="34"/>
  <c r="H124" i="34"/>
  <c r="H188" i="34"/>
  <c r="H284" i="34"/>
  <c r="H105" i="34"/>
  <c r="H169" i="34"/>
  <c r="H233" i="34"/>
  <c r="H102" i="34"/>
  <c r="H95" i="34"/>
  <c r="H240" i="34"/>
  <c r="H200" i="34"/>
  <c r="H193" i="34"/>
  <c r="H98" i="34"/>
  <c r="H162" i="34"/>
  <c r="H226" i="34"/>
  <c r="H290" i="34"/>
  <c r="H107" i="34"/>
  <c r="H171" i="34"/>
  <c r="H235" i="34"/>
  <c r="H236" i="34"/>
  <c r="H305" i="34"/>
  <c r="H96" i="34"/>
  <c r="H160" i="34"/>
  <c r="H244" i="34"/>
  <c r="H73" i="34"/>
  <c r="H141" i="34"/>
  <c r="H205" i="34"/>
  <c r="H281" i="34"/>
  <c r="W62" i="34"/>
  <c r="W38" i="34"/>
  <c r="W41" i="34"/>
  <c r="W43" i="34"/>
  <c r="W47" i="34"/>
  <c r="H129" i="34"/>
  <c r="H84" i="34"/>
  <c r="H146" i="34"/>
  <c r="H210" i="34"/>
  <c r="H274" i="34"/>
  <c r="H89" i="34"/>
  <c r="H155" i="34"/>
  <c r="H219" i="34"/>
  <c r="H283" i="34"/>
  <c r="H273" i="34"/>
  <c r="H75" i="34"/>
  <c r="H144" i="34"/>
  <c r="H216" i="34"/>
  <c r="H82" i="34"/>
  <c r="H125" i="34"/>
  <c r="H189" i="34"/>
  <c r="H257" i="34"/>
  <c r="H214" i="34"/>
  <c r="H175" i="34"/>
  <c r="H83" i="34"/>
  <c r="H97" i="34"/>
  <c r="H285" i="34"/>
  <c r="H122" i="34"/>
  <c r="H186" i="34"/>
  <c r="H250" i="34"/>
  <c r="H314" i="34"/>
  <c r="H131" i="34"/>
  <c r="H195" i="34"/>
  <c r="H259" i="34"/>
  <c r="H296" i="34"/>
  <c r="H299" i="34"/>
  <c r="H120" i="34"/>
  <c r="H184" i="34"/>
  <c r="H280" i="34"/>
  <c r="H101" i="34"/>
  <c r="H165" i="34"/>
  <c r="H229" i="34"/>
  <c r="H91" i="34"/>
  <c r="H246" i="34"/>
  <c r="H159" i="34"/>
  <c r="H292" i="34"/>
  <c r="H148" i="34"/>
  <c r="H69" i="34"/>
  <c r="H78" i="34"/>
  <c r="H142" i="34"/>
  <c r="H206" i="34"/>
  <c r="H270" i="34"/>
  <c r="H87" i="34"/>
  <c r="H151" i="34"/>
  <c r="H215" i="34"/>
  <c r="H279" i="34"/>
  <c r="H253" i="34"/>
  <c r="H319" i="34"/>
  <c r="H140" i="34"/>
  <c r="H212" i="34"/>
  <c r="H86" i="34"/>
  <c r="H121" i="34"/>
  <c r="H185" i="34"/>
  <c r="H249" i="34"/>
  <c r="H150" i="34"/>
  <c r="H127" i="34"/>
  <c r="H277" i="34"/>
  <c r="H268" i="34"/>
  <c r="H225" i="34"/>
  <c r="H114" i="34"/>
  <c r="H178" i="34"/>
  <c r="H242" i="34"/>
  <c r="H306" i="34"/>
  <c r="H123" i="34"/>
  <c r="H187" i="34"/>
  <c r="H251" i="34"/>
  <c r="H276" i="34"/>
  <c r="H291" i="34"/>
  <c r="H112" i="34"/>
  <c r="H176" i="34"/>
  <c r="H264" i="34"/>
  <c r="H88" i="34"/>
  <c r="H157" i="34"/>
  <c r="H221" i="34"/>
  <c r="W53" i="34"/>
  <c r="W45" i="34"/>
  <c r="W60" i="34"/>
  <c r="W42" i="34"/>
  <c r="W55" i="34"/>
  <c r="W52" i="34"/>
  <c r="W54" i="34"/>
  <c r="W46" i="34"/>
  <c r="W44" i="34"/>
  <c r="W39" i="34"/>
  <c r="W59" i="34"/>
  <c r="I39" i="19"/>
  <c r="D45" i="19"/>
  <c r="D46" i="19"/>
  <c r="K20" i="19"/>
  <c r="J20" i="19"/>
  <c r="I20" i="19"/>
  <c r="H20" i="19"/>
  <c r="K19" i="19"/>
  <c r="I19" i="19"/>
  <c r="G19" i="19"/>
  <c r="J18" i="19"/>
  <c r="G18" i="19"/>
  <c r="H17" i="19"/>
  <c r="K15" i="19"/>
  <c r="J15" i="19"/>
  <c r="I15" i="19"/>
  <c r="H15" i="19"/>
  <c r="K14" i="19"/>
  <c r="I14" i="19"/>
  <c r="G14" i="19"/>
  <c r="J13" i="19"/>
  <c r="G13" i="19"/>
  <c r="G66" i="19"/>
  <c r="F66" i="19"/>
  <c r="E66" i="19"/>
  <c r="M41" i="1" l="1"/>
  <c r="I9" i="28"/>
  <c r="I13" i="28"/>
  <c r="I17" i="28"/>
  <c r="I20" i="28"/>
  <c r="I24" i="28"/>
  <c r="I29" i="28"/>
  <c r="I32" i="28"/>
  <c r="I37" i="28"/>
  <c r="I41" i="28"/>
  <c r="D17" i="28"/>
  <c r="I10" i="28"/>
  <c r="I14" i="28"/>
  <c r="I18" i="28"/>
  <c r="I22" i="28"/>
  <c r="I25" i="28"/>
  <c r="I30" i="28"/>
  <c r="I34" i="28"/>
  <c r="I38" i="28"/>
  <c r="I42" i="28"/>
  <c r="D10" i="28"/>
  <c r="D14" i="28"/>
  <c r="D18" i="28"/>
  <c r="D22" i="28"/>
  <c r="D25" i="28"/>
  <c r="D30" i="28"/>
  <c r="D33" i="28"/>
  <c r="D38" i="28"/>
  <c r="D42" i="28"/>
  <c r="D11" i="28"/>
  <c r="D19" i="28"/>
  <c r="D23" i="28"/>
  <c r="D31" i="28"/>
  <c r="E31" i="28" s="1"/>
  <c r="D39" i="28"/>
  <c r="D12" i="28"/>
  <c r="D16" i="28"/>
  <c r="D26" i="28"/>
  <c r="D32" i="28"/>
  <c r="D40" i="28"/>
  <c r="D41" i="28"/>
  <c r="I11" i="28"/>
  <c r="I15" i="28"/>
  <c r="I19" i="28"/>
  <c r="I26" i="28"/>
  <c r="I27" i="28"/>
  <c r="I33" i="28"/>
  <c r="I35" i="28"/>
  <c r="I39" i="28"/>
  <c r="D15" i="28"/>
  <c r="D27" i="28"/>
  <c r="D35" i="28"/>
  <c r="D9" i="28"/>
  <c r="I12" i="28"/>
  <c r="I16" i="28"/>
  <c r="I21" i="28"/>
  <c r="I23" i="28"/>
  <c r="I28" i="28"/>
  <c r="I31" i="28"/>
  <c r="I36" i="28"/>
  <c r="I40" i="28"/>
  <c r="D21" i="28"/>
  <c r="D28" i="28"/>
  <c r="D36" i="28"/>
  <c r="D13" i="28"/>
  <c r="D20" i="28"/>
  <c r="D24" i="28"/>
  <c r="G24" i="28" s="1"/>
  <c r="D29" i="28"/>
  <c r="D34" i="28"/>
  <c r="D37" i="28"/>
  <c r="D9" i="7"/>
  <c r="S3" i="25"/>
  <c r="Q3" i="25"/>
  <c r="J3" i="25"/>
  <c r="F3986" i="25"/>
  <c r="P3986" i="25"/>
  <c r="F3987" i="25"/>
  <c r="P3987" i="25"/>
  <c r="F3988" i="25"/>
  <c r="P3988" i="25"/>
  <c r="F3989" i="25"/>
  <c r="P3989" i="25"/>
  <c r="F3990" i="25"/>
  <c r="P3990" i="25"/>
  <c r="F3991" i="25"/>
  <c r="P3991" i="25"/>
  <c r="F3992" i="25"/>
  <c r="P3992" i="25"/>
  <c r="F3993" i="25"/>
  <c r="P3993" i="25"/>
  <c r="F3994" i="25"/>
  <c r="P3994" i="25"/>
  <c r="F3995" i="25"/>
  <c r="P3995" i="25"/>
  <c r="F3996" i="25"/>
  <c r="P3996" i="25"/>
  <c r="F3997" i="25"/>
  <c r="P3997" i="25"/>
  <c r="F3998" i="25"/>
  <c r="P3998" i="25"/>
  <c r="F3999" i="25"/>
  <c r="P3999" i="25"/>
  <c r="F4000" i="25"/>
  <c r="P4000" i="25"/>
  <c r="F4001" i="25"/>
  <c r="P4001" i="25"/>
  <c r="F4002" i="25"/>
  <c r="P4002" i="25"/>
  <c r="F4003" i="25"/>
  <c r="P4003" i="25"/>
  <c r="F4004" i="25"/>
  <c r="P4004" i="25"/>
  <c r="F4005" i="25"/>
  <c r="P4005" i="25"/>
  <c r="F4006" i="25"/>
  <c r="P4006" i="25"/>
  <c r="F4007" i="25"/>
  <c r="P4007" i="25"/>
  <c r="F4008" i="25"/>
  <c r="P4008" i="25"/>
  <c r="F4009" i="25"/>
  <c r="P4009" i="25"/>
  <c r="F4010" i="25"/>
  <c r="P4010" i="25"/>
  <c r="F4011" i="25"/>
  <c r="P4011" i="25"/>
  <c r="F4012" i="25"/>
  <c r="P4012" i="25"/>
  <c r="F4013" i="25"/>
  <c r="P4013" i="25"/>
  <c r="F4014" i="25"/>
  <c r="P4014" i="25"/>
  <c r="F4015" i="25"/>
  <c r="P4015" i="25"/>
  <c r="F4016" i="25"/>
  <c r="P4016" i="25"/>
  <c r="F4017" i="25"/>
  <c r="P4017" i="25"/>
  <c r="F4018" i="25"/>
  <c r="P4018" i="25"/>
  <c r="F4019" i="25"/>
  <c r="P4019" i="25"/>
  <c r="F4020" i="25"/>
  <c r="P4020" i="25"/>
  <c r="F4021" i="25"/>
  <c r="P4021" i="25"/>
  <c r="F4022" i="25"/>
  <c r="P4022" i="25"/>
  <c r="F4023" i="25"/>
  <c r="P4023" i="25"/>
  <c r="F4024" i="25"/>
  <c r="P4024" i="25"/>
  <c r="F4025" i="25"/>
  <c r="P4025" i="25"/>
  <c r="F4026" i="25"/>
  <c r="P4026" i="25"/>
  <c r="F4027" i="25"/>
  <c r="P4027" i="25"/>
  <c r="F4028" i="25"/>
  <c r="P4028" i="25"/>
  <c r="F4029" i="25"/>
  <c r="P4029" i="25"/>
  <c r="F4030" i="25"/>
  <c r="P4030" i="25"/>
  <c r="F4031" i="25"/>
  <c r="P4031" i="25"/>
  <c r="F4032" i="25"/>
  <c r="P4032" i="25"/>
  <c r="F4033" i="25"/>
  <c r="P4033" i="25"/>
  <c r="F4034" i="25"/>
  <c r="P4034" i="25"/>
  <c r="F4035" i="25"/>
  <c r="P4035" i="25"/>
  <c r="F4036" i="25"/>
  <c r="P4036" i="25"/>
  <c r="F4037" i="25"/>
  <c r="P4037" i="25"/>
  <c r="F4038" i="25"/>
  <c r="P4038" i="25"/>
  <c r="F4039" i="25"/>
  <c r="P4039" i="25"/>
  <c r="F4040" i="25"/>
  <c r="P4040" i="25"/>
  <c r="F4041" i="25"/>
  <c r="P4041" i="25"/>
  <c r="F4042" i="25"/>
  <c r="P4042" i="25"/>
  <c r="F4043" i="25"/>
  <c r="P4043" i="25"/>
  <c r="F4044" i="25"/>
  <c r="P4044" i="25"/>
  <c r="F4045" i="25"/>
  <c r="P4045" i="25"/>
  <c r="F4046" i="25"/>
  <c r="P4046" i="25"/>
  <c r="F4047" i="25"/>
  <c r="P4047" i="25"/>
  <c r="F4048" i="25"/>
  <c r="P4048" i="25"/>
  <c r="F4049" i="25"/>
  <c r="P4049" i="25"/>
  <c r="F4050" i="25"/>
  <c r="P4050" i="25"/>
  <c r="F4051" i="25"/>
  <c r="P4051" i="25"/>
  <c r="F4052" i="25"/>
  <c r="P4052" i="25"/>
  <c r="F4053" i="25"/>
  <c r="P4053" i="25"/>
  <c r="F4054" i="25"/>
  <c r="P4054" i="25"/>
  <c r="F4055" i="25"/>
  <c r="P4055" i="25"/>
  <c r="F4056" i="25"/>
  <c r="P4056" i="25"/>
  <c r="F4057" i="25"/>
  <c r="P4057" i="25"/>
  <c r="F4058" i="25"/>
  <c r="P4058" i="25"/>
  <c r="Q4058" i="25" l="1"/>
  <c r="Q4056" i="25"/>
  <c r="Q4054" i="25"/>
  <c r="Q4052" i="25"/>
  <c r="Q4050" i="25"/>
  <c r="Q4048" i="25"/>
  <c r="Q4047" i="25"/>
  <c r="Q4043" i="25"/>
  <c r="Q4044" i="25"/>
  <c r="Q4041" i="25"/>
  <c r="Q4038" i="25"/>
  <c r="Q4023" i="25"/>
  <c r="Q4024" i="25"/>
  <c r="Q4025" i="25"/>
  <c r="Q4026" i="25"/>
  <c r="Q4014" i="25"/>
  <c r="Q4013" i="25"/>
  <c r="Q4012" i="25"/>
  <c r="Q4015" i="25"/>
  <c r="Q4016" i="25"/>
  <c r="Q4017" i="25"/>
  <c r="Q4018" i="25"/>
  <c r="Q4006" i="25"/>
  <c r="Q4039" i="25"/>
  <c r="Q4035" i="25"/>
  <c r="Q4057" i="25"/>
  <c r="Q4055" i="25"/>
  <c r="Q4053" i="25"/>
  <c r="Q4051" i="25"/>
  <c r="Q4049" i="25"/>
  <c r="Q4046" i="25"/>
  <c r="R4047" i="25" s="1"/>
  <c r="Q4045" i="25"/>
  <c r="Q4042" i="25"/>
  <c r="Q4027" i="25"/>
  <c r="Q4028" i="25"/>
  <c r="Q4029" i="25"/>
  <c r="Q4030" i="25"/>
  <c r="Q4008" i="25"/>
  <c r="Q4010" i="25"/>
  <c r="Q4009" i="25"/>
  <c r="Q4037" i="25"/>
  <c r="Q4031" i="25"/>
  <c r="Q4032" i="25"/>
  <c r="Q4033" i="25"/>
  <c r="Q4034" i="25"/>
  <c r="R4035" i="25" s="1"/>
  <c r="Q4040" i="25"/>
  <c r="Q4036" i="25"/>
  <c r="Q4019" i="25"/>
  <c r="Q4020" i="25"/>
  <c r="Q4021" i="25"/>
  <c r="Q4022" i="25"/>
  <c r="Q4011" i="25"/>
  <c r="Q4007" i="25"/>
  <c r="R4054" i="25" l="1"/>
  <c r="R4048" i="25"/>
  <c r="R4041" i="25"/>
  <c r="R4009" i="25"/>
  <c r="R4050" i="25"/>
  <c r="R4058" i="25"/>
  <c r="R4013" i="25"/>
  <c r="R4023" i="25"/>
  <c r="R4033" i="25"/>
  <c r="R4056" i="25"/>
  <c r="R4028" i="25"/>
  <c r="R4026" i="25"/>
  <c r="R4038" i="25"/>
  <c r="R4043" i="25"/>
  <c r="R4052" i="25"/>
  <c r="R4016" i="25"/>
  <c r="R4008" i="25"/>
  <c r="R4044" i="25"/>
  <c r="R4021" i="25"/>
  <c r="R4031" i="25"/>
  <c r="R4025" i="25"/>
  <c r="R4012" i="25"/>
  <c r="R4020" i="25"/>
  <c r="R4034" i="25"/>
  <c r="R4010" i="25"/>
  <c r="R4046" i="25"/>
  <c r="R4007" i="25"/>
  <c r="R4014" i="25"/>
  <c r="R4055" i="25"/>
  <c r="R4032" i="25"/>
  <c r="R4030" i="25"/>
  <c r="R4036" i="25"/>
  <c r="R4018" i="25"/>
  <c r="R4024" i="25"/>
  <c r="R4045" i="25"/>
  <c r="R4049" i="25"/>
  <c r="R4057" i="25"/>
  <c r="R4019" i="25"/>
  <c r="R4022" i="25"/>
  <c r="R4037" i="25"/>
  <c r="R4011" i="25"/>
  <c r="R4029" i="25"/>
  <c r="R4040" i="25"/>
  <c r="R4017" i="25"/>
  <c r="R4015" i="25"/>
  <c r="R4027" i="25"/>
  <c r="R4039" i="25"/>
  <c r="R4051" i="25"/>
  <c r="R4042" i="25"/>
  <c r="R4053" i="25"/>
  <c r="D7" i="28" l="1"/>
  <c r="H12" i="19"/>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P508" i="25"/>
  <c r="P509" i="25"/>
  <c r="P510" i="25"/>
  <c r="P511" i="25"/>
  <c r="P512" i="25"/>
  <c r="P513" i="25"/>
  <c r="P514" i="25"/>
  <c r="P515" i="25"/>
  <c r="P516" i="25"/>
  <c r="P517" i="25"/>
  <c r="P518" i="25"/>
  <c r="P519" i="25"/>
  <c r="P520" i="25"/>
  <c r="P521" i="25"/>
  <c r="P522" i="25"/>
  <c r="P523" i="25"/>
  <c r="P524" i="25"/>
  <c r="P525" i="25"/>
  <c r="P526" i="25"/>
  <c r="P527" i="25"/>
  <c r="P528" i="25"/>
  <c r="P529" i="25"/>
  <c r="P530" i="25"/>
  <c r="P531" i="25"/>
  <c r="P532" i="25"/>
  <c r="P533" i="25"/>
  <c r="P534" i="25"/>
  <c r="P535" i="25"/>
  <c r="P536" i="25"/>
  <c r="P537" i="25"/>
  <c r="P538" i="25"/>
  <c r="P539" i="25"/>
  <c r="P540" i="25"/>
  <c r="P541" i="25"/>
  <c r="P542" i="25"/>
  <c r="P543" i="25"/>
  <c r="P544" i="25"/>
  <c r="P545" i="25"/>
  <c r="P546" i="25"/>
  <c r="P547" i="25"/>
  <c r="P548" i="25"/>
  <c r="P549" i="25"/>
  <c r="P550" i="25"/>
  <c r="P551" i="25"/>
  <c r="P552" i="25"/>
  <c r="P553" i="25"/>
  <c r="P554" i="25"/>
  <c r="P555" i="25"/>
  <c r="P556" i="25"/>
  <c r="P557" i="25"/>
  <c r="P558" i="25"/>
  <c r="P559" i="25"/>
  <c r="P560" i="25"/>
  <c r="P561" i="25"/>
  <c r="P562" i="25"/>
  <c r="P563" i="25"/>
  <c r="P564" i="25"/>
  <c r="P565" i="25"/>
  <c r="P566" i="25"/>
  <c r="P567" i="25"/>
  <c r="P568" i="25"/>
  <c r="P569" i="25"/>
  <c r="P570" i="25"/>
  <c r="P571" i="25"/>
  <c r="P572" i="25"/>
  <c r="P573" i="25"/>
  <c r="P574" i="25"/>
  <c r="P575" i="25"/>
  <c r="P576" i="25"/>
  <c r="P577" i="25"/>
  <c r="P578" i="25"/>
  <c r="P579" i="25"/>
  <c r="P580" i="25"/>
  <c r="P581" i="25"/>
  <c r="P582" i="25"/>
  <c r="P583" i="25"/>
  <c r="P584" i="25"/>
  <c r="P585" i="25"/>
  <c r="P586" i="25"/>
  <c r="P587" i="25"/>
  <c r="P588" i="25"/>
  <c r="P589" i="25"/>
  <c r="P590" i="25"/>
  <c r="P591" i="25"/>
  <c r="P592" i="25"/>
  <c r="P593" i="25"/>
  <c r="P594" i="25"/>
  <c r="P595" i="25"/>
  <c r="P596" i="25"/>
  <c r="P597" i="25"/>
  <c r="P598" i="25"/>
  <c r="P599" i="25"/>
  <c r="P600" i="25"/>
  <c r="P601" i="25"/>
  <c r="P602" i="25"/>
  <c r="P603" i="25"/>
  <c r="P604" i="25"/>
  <c r="P605" i="25"/>
  <c r="P606" i="25"/>
  <c r="P607" i="25"/>
  <c r="P608" i="25"/>
  <c r="P609" i="25"/>
  <c r="P610" i="25"/>
  <c r="P611" i="25"/>
  <c r="P612" i="25"/>
  <c r="P613" i="25"/>
  <c r="P614" i="25"/>
  <c r="P615" i="25"/>
  <c r="P616" i="25"/>
  <c r="P617" i="25"/>
  <c r="P618" i="25"/>
  <c r="P619" i="25"/>
  <c r="P620" i="25"/>
  <c r="P621" i="25"/>
  <c r="P622" i="25"/>
  <c r="P623" i="25"/>
  <c r="P624" i="25"/>
  <c r="P625" i="25"/>
  <c r="P626" i="25"/>
  <c r="P627" i="25"/>
  <c r="P628" i="25"/>
  <c r="P629" i="25"/>
  <c r="P630" i="25"/>
  <c r="P631" i="25"/>
  <c r="P632" i="25"/>
  <c r="P633" i="25"/>
  <c r="P634" i="25"/>
  <c r="P635" i="25"/>
  <c r="P636" i="25"/>
  <c r="P637" i="25"/>
  <c r="P638" i="25"/>
  <c r="P639" i="25"/>
  <c r="P640" i="25"/>
  <c r="P641" i="25"/>
  <c r="P642" i="25"/>
  <c r="P643" i="25"/>
  <c r="P644" i="25"/>
  <c r="P645" i="25"/>
  <c r="P646" i="25"/>
  <c r="P647" i="25"/>
  <c r="P648" i="25"/>
  <c r="P649" i="25"/>
  <c r="P650" i="25"/>
  <c r="P651" i="25"/>
  <c r="P652" i="25"/>
  <c r="P653" i="25"/>
  <c r="P654" i="25"/>
  <c r="P655" i="25"/>
  <c r="P656" i="25"/>
  <c r="P657" i="25"/>
  <c r="P658" i="25"/>
  <c r="P659" i="25"/>
  <c r="P660" i="25"/>
  <c r="P661" i="25"/>
  <c r="P662" i="25"/>
  <c r="P663" i="25"/>
  <c r="P664" i="25"/>
  <c r="P665" i="25"/>
  <c r="P666" i="25"/>
  <c r="P667" i="25"/>
  <c r="P668" i="25"/>
  <c r="P669" i="25"/>
  <c r="P670" i="25"/>
  <c r="P671" i="25"/>
  <c r="P672" i="25"/>
  <c r="P673" i="25"/>
  <c r="P674" i="25"/>
  <c r="P675" i="25"/>
  <c r="P676" i="25"/>
  <c r="P677" i="25"/>
  <c r="P678" i="25"/>
  <c r="P679" i="25"/>
  <c r="P680" i="25"/>
  <c r="P681" i="25"/>
  <c r="P682" i="25"/>
  <c r="P683" i="25"/>
  <c r="P684" i="25"/>
  <c r="P685" i="25"/>
  <c r="P686" i="25"/>
  <c r="P687" i="25"/>
  <c r="P688" i="25"/>
  <c r="P689" i="25"/>
  <c r="P690" i="25"/>
  <c r="P691" i="25"/>
  <c r="P692" i="25"/>
  <c r="P693" i="25"/>
  <c r="P694" i="25"/>
  <c r="P695" i="25"/>
  <c r="P696" i="25"/>
  <c r="P697" i="25"/>
  <c r="P698" i="25"/>
  <c r="P699" i="25"/>
  <c r="P700" i="25"/>
  <c r="P701" i="25"/>
  <c r="P702" i="25"/>
  <c r="P703" i="25"/>
  <c r="P704" i="25"/>
  <c r="P705" i="25"/>
  <c r="P706" i="25"/>
  <c r="P707" i="25"/>
  <c r="P708" i="25"/>
  <c r="P709" i="25"/>
  <c r="P710" i="25"/>
  <c r="P711" i="25"/>
  <c r="P712" i="25"/>
  <c r="P713" i="25"/>
  <c r="P714" i="25"/>
  <c r="P715" i="25"/>
  <c r="P716" i="25"/>
  <c r="P717" i="25"/>
  <c r="P718" i="25"/>
  <c r="P719" i="25"/>
  <c r="P720" i="25"/>
  <c r="P721" i="25"/>
  <c r="P722" i="25"/>
  <c r="P723" i="25"/>
  <c r="P724" i="25"/>
  <c r="P725" i="25"/>
  <c r="P726" i="25"/>
  <c r="P727" i="25"/>
  <c r="P728" i="25"/>
  <c r="P729" i="25"/>
  <c r="P730" i="25"/>
  <c r="P731" i="25"/>
  <c r="P732" i="25"/>
  <c r="P733" i="25"/>
  <c r="P734" i="25"/>
  <c r="P735" i="25"/>
  <c r="P736" i="25"/>
  <c r="P737" i="25"/>
  <c r="P738" i="25"/>
  <c r="P739" i="25"/>
  <c r="P740" i="25"/>
  <c r="P741" i="25"/>
  <c r="P742" i="25"/>
  <c r="P743" i="25"/>
  <c r="P744" i="25"/>
  <c r="P745" i="25"/>
  <c r="P746" i="25"/>
  <c r="P747" i="25"/>
  <c r="P748" i="25"/>
  <c r="P749" i="25"/>
  <c r="P750" i="25"/>
  <c r="P751" i="25"/>
  <c r="P752" i="25"/>
  <c r="P753" i="25"/>
  <c r="P754" i="25"/>
  <c r="P755" i="25"/>
  <c r="P756" i="25"/>
  <c r="P757" i="25"/>
  <c r="P758" i="25"/>
  <c r="P759" i="25"/>
  <c r="P760" i="25"/>
  <c r="P761" i="25"/>
  <c r="P762" i="25"/>
  <c r="P763" i="25"/>
  <c r="P764" i="25"/>
  <c r="P765" i="25"/>
  <c r="P766" i="25"/>
  <c r="P767" i="25"/>
  <c r="P768" i="25"/>
  <c r="P769" i="25"/>
  <c r="P770" i="25"/>
  <c r="P771" i="25"/>
  <c r="P772" i="25"/>
  <c r="P773" i="25"/>
  <c r="P774" i="25"/>
  <c r="P775" i="25"/>
  <c r="P776" i="25"/>
  <c r="P777" i="25"/>
  <c r="P778" i="25"/>
  <c r="P779" i="25"/>
  <c r="P780" i="25"/>
  <c r="P781" i="25"/>
  <c r="P782" i="25"/>
  <c r="P783" i="25"/>
  <c r="P784" i="25"/>
  <c r="P785" i="25"/>
  <c r="P786" i="25"/>
  <c r="P787" i="25"/>
  <c r="P788" i="25"/>
  <c r="P789" i="25"/>
  <c r="P790" i="25"/>
  <c r="P791" i="25"/>
  <c r="P792" i="25"/>
  <c r="P793" i="25"/>
  <c r="P794" i="25"/>
  <c r="P795" i="25"/>
  <c r="P796" i="25"/>
  <c r="P797" i="25"/>
  <c r="P798" i="25"/>
  <c r="P799" i="25"/>
  <c r="P800" i="25"/>
  <c r="P801" i="25"/>
  <c r="P802" i="25"/>
  <c r="P803" i="25"/>
  <c r="P804" i="25"/>
  <c r="P805" i="25"/>
  <c r="P806" i="25"/>
  <c r="P807" i="25"/>
  <c r="P808" i="25"/>
  <c r="P809" i="25"/>
  <c r="P810" i="25"/>
  <c r="P811" i="25"/>
  <c r="P812" i="25"/>
  <c r="P813" i="25"/>
  <c r="P814" i="25"/>
  <c r="P815" i="25"/>
  <c r="P816" i="25"/>
  <c r="P817" i="25"/>
  <c r="P818" i="25"/>
  <c r="P819" i="25"/>
  <c r="P820" i="25"/>
  <c r="P821" i="25"/>
  <c r="P822" i="25"/>
  <c r="P823" i="25"/>
  <c r="P824" i="25"/>
  <c r="P825" i="25"/>
  <c r="P826" i="25"/>
  <c r="P827" i="25"/>
  <c r="P828" i="25"/>
  <c r="P829" i="25"/>
  <c r="P830" i="25"/>
  <c r="P831" i="25"/>
  <c r="P832" i="25"/>
  <c r="P833" i="25"/>
  <c r="P834" i="25"/>
  <c r="P835" i="25"/>
  <c r="P836" i="25"/>
  <c r="P837" i="25"/>
  <c r="P838" i="25"/>
  <c r="P839" i="25"/>
  <c r="P840" i="25"/>
  <c r="P841" i="25"/>
  <c r="P842" i="25"/>
  <c r="P843" i="25"/>
  <c r="P844" i="25"/>
  <c r="P845" i="25"/>
  <c r="P846" i="25"/>
  <c r="P847" i="25"/>
  <c r="P848" i="25"/>
  <c r="P849" i="25"/>
  <c r="P850" i="25"/>
  <c r="P851" i="25"/>
  <c r="P852" i="25"/>
  <c r="P853" i="25"/>
  <c r="P854" i="25"/>
  <c r="P855" i="25"/>
  <c r="P856" i="25"/>
  <c r="P857" i="25"/>
  <c r="P858" i="25"/>
  <c r="P859" i="25"/>
  <c r="P860" i="25"/>
  <c r="P861" i="25"/>
  <c r="P862" i="25"/>
  <c r="P863" i="25"/>
  <c r="P864" i="25"/>
  <c r="P865" i="25"/>
  <c r="P866" i="25"/>
  <c r="P867" i="25"/>
  <c r="P868" i="25"/>
  <c r="P869" i="25"/>
  <c r="P870" i="25"/>
  <c r="P871" i="25"/>
  <c r="P872" i="25"/>
  <c r="P873" i="25"/>
  <c r="P874" i="25"/>
  <c r="P875" i="25"/>
  <c r="P876" i="25"/>
  <c r="P877" i="25"/>
  <c r="P878" i="25"/>
  <c r="P879" i="25"/>
  <c r="P880" i="25"/>
  <c r="P881" i="25"/>
  <c r="P882" i="25"/>
  <c r="P883" i="25"/>
  <c r="P884" i="25"/>
  <c r="P885" i="25"/>
  <c r="P886" i="25"/>
  <c r="P887" i="25"/>
  <c r="P888" i="25"/>
  <c r="P889" i="25"/>
  <c r="P890" i="25"/>
  <c r="P891" i="25"/>
  <c r="P892" i="25"/>
  <c r="P893" i="25"/>
  <c r="P894" i="25"/>
  <c r="P895" i="25"/>
  <c r="P896" i="25"/>
  <c r="P897" i="25"/>
  <c r="P898" i="25"/>
  <c r="P899" i="25"/>
  <c r="P900" i="25"/>
  <c r="P901" i="25"/>
  <c r="P902" i="25"/>
  <c r="P903" i="25"/>
  <c r="P904" i="25"/>
  <c r="P905" i="25"/>
  <c r="P906" i="25"/>
  <c r="P907" i="25"/>
  <c r="P908" i="25"/>
  <c r="P909" i="25"/>
  <c r="P910" i="25"/>
  <c r="P911" i="25"/>
  <c r="P912" i="25"/>
  <c r="P913" i="25"/>
  <c r="P914" i="25"/>
  <c r="P915" i="25"/>
  <c r="P916" i="25"/>
  <c r="P917" i="25"/>
  <c r="P918" i="25"/>
  <c r="P919" i="25"/>
  <c r="P920" i="25"/>
  <c r="P921" i="25"/>
  <c r="P922" i="25"/>
  <c r="P923" i="25"/>
  <c r="P924" i="25"/>
  <c r="P925" i="25"/>
  <c r="P926" i="25"/>
  <c r="P927" i="25"/>
  <c r="P928" i="25"/>
  <c r="P929" i="25"/>
  <c r="P930" i="25"/>
  <c r="P931" i="25"/>
  <c r="P932" i="25"/>
  <c r="P933" i="25"/>
  <c r="P934" i="25"/>
  <c r="P935" i="25"/>
  <c r="P936" i="25"/>
  <c r="P937" i="25"/>
  <c r="P938" i="25"/>
  <c r="P939" i="25"/>
  <c r="P940" i="25"/>
  <c r="P941" i="25"/>
  <c r="P942" i="25"/>
  <c r="P943" i="25"/>
  <c r="P944" i="25"/>
  <c r="P945" i="25"/>
  <c r="P946" i="25"/>
  <c r="P947" i="25"/>
  <c r="P948" i="25"/>
  <c r="P949" i="25"/>
  <c r="P950" i="25"/>
  <c r="P951" i="25"/>
  <c r="P952" i="25"/>
  <c r="P953" i="25"/>
  <c r="P954" i="25"/>
  <c r="P955" i="25"/>
  <c r="P956" i="25"/>
  <c r="P957" i="25"/>
  <c r="P958" i="25"/>
  <c r="P959" i="25"/>
  <c r="P960" i="25"/>
  <c r="P961" i="25"/>
  <c r="P962" i="25"/>
  <c r="P963" i="25"/>
  <c r="P964" i="25"/>
  <c r="P965" i="25"/>
  <c r="P966" i="25"/>
  <c r="P967" i="25"/>
  <c r="P968" i="25"/>
  <c r="P969" i="25"/>
  <c r="P970" i="25"/>
  <c r="P971" i="25"/>
  <c r="P972" i="25"/>
  <c r="P973" i="25"/>
  <c r="P974" i="25"/>
  <c r="P975" i="25"/>
  <c r="P976" i="25"/>
  <c r="P977" i="25"/>
  <c r="P978" i="25"/>
  <c r="P979" i="25"/>
  <c r="P980" i="25"/>
  <c r="P981" i="25"/>
  <c r="P982" i="25"/>
  <c r="P983" i="25"/>
  <c r="P984" i="25"/>
  <c r="P985" i="25"/>
  <c r="P986" i="25"/>
  <c r="P987" i="25"/>
  <c r="P988" i="25"/>
  <c r="P989" i="25"/>
  <c r="P990" i="25"/>
  <c r="P991" i="25"/>
  <c r="P992" i="25"/>
  <c r="P993" i="25"/>
  <c r="P994" i="25"/>
  <c r="P995" i="25"/>
  <c r="P996" i="25"/>
  <c r="P997" i="25"/>
  <c r="P998" i="25"/>
  <c r="P999" i="25"/>
  <c r="P1000" i="25"/>
  <c r="P1001" i="25"/>
  <c r="P1002" i="25"/>
  <c r="P1003" i="25"/>
  <c r="P1004" i="25"/>
  <c r="P1005" i="25"/>
  <c r="P1006" i="25"/>
  <c r="P1007" i="25"/>
  <c r="P1008" i="25"/>
  <c r="P1009" i="25"/>
  <c r="P1010" i="25"/>
  <c r="P1011" i="25"/>
  <c r="P1012" i="25"/>
  <c r="P1013" i="25"/>
  <c r="P1014" i="25"/>
  <c r="P1015" i="25"/>
  <c r="P1016" i="25"/>
  <c r="P1017" i="25"/>
  <c r="P1018" i="25"/>
  <c r="P1019" i="25"/>
  <c r="P1020" i="25"/>
  <c r="P1021" i="25"/>
  <c r="P1022" i="25"/>
  <c r="P1023" i="25"/>
  <c r="P1024" i="25"/>
  <c r="P1025" i="25"/>
  <c r="P1026" i="25"/>
  <c r="P1027" i="25"/>
  <c r="P1028" i="25"/>
  <c r="P1029" i="25"/>
  <c r="P1030" i="25"/>
  <c r="P1031" i="25"/>
  <c r="P1032" i="25"/>
  <c r="P1033" i="25"/>
  <c r="P1034" i="25"/>
  <c r="P1035" i="25"/>
  <c r="P1036" i="25"/>
  <c r="P1037" i="25"/>
  <c r="P1038" i="25"/>
  <c r="P1039" i="25"/>
  <c r="P1040" i="25"/>
  <c r="P1041" i="25"/>
  <c r="P1042" i="25"/>
  <c r="P1043" i="25"/>
  <c r="P1044" i="25"/>
  <c r="P1045" i="25"/>
  <c r="P1046" i="25"/>
  <c r="P1047" i="25"/>
  <c r="P1048" i="25"/>
  <c r="P1049" i="25"/>
  <c r="P1050" i="25"/>
  <c r="P1051" i="25"/>
  <c r="P1052" i="25"/>
  <c r="P1053" i="25"/>
  <c r="P1054" i="25"/>
  <c r="P1055" i="25"/>
  <c r="P1056" i="25"/>
  <c r="P1057" i="25"/>
  <c r="P1058" i="25"/>
  <c r="P1059" i="25"/>
  <c r="P1060" i="25"/>
  <c r="P1061" i="25"/>
  <c r="P1062" i="25"/>
  <c r="P1063" i="25"/>
  <c r="P1064" i="25"/>
  <c r="P1065" i="25"/>
  <c r="P1066" i="25"/>
  <c r="P1067" i="25"/>
  <c r="P1068" i="25"/>
  <c r="P1069" i="25"/>
  <c r="P1070" i="25"/>
  <c r="P1071" i="25"/>
  <c r="P1072" i="25"/>
  <c r="P1073" i="25"/>
  <c r="P1074" i="25"/>
  <c r="P1075" i="25"/>
  <c r="P1076" i="25"/>
  <c r="P1077" i="25"/>
  <c r="P1078" i="25"/>
  <c r="P1079" i="25"/>
  <c r="P1080" i="25"/>
  <c r="P1081" i="25"/>
  <c r="P1082" i="25"/>
  <c r="P1083" i="25"/>
  <c r="P1084" i="25"/>
  <c r="P1085" i="25"/>
  <c r="P1086" i="25"/>
  <c r="P1087" i="25"/>
  <c r="P1088" i="25"/>
  <c r="P1089" i="25"/>
  <c r="P1090" i="25"/>
  <c r="P1091" i="25"/>
  <c r="P1092" i="25"/>
  <c r="P1093" i="25"/>
  <c r="P1094" i="25"/>
  <c r="P1095" i="25"/>
  <c r="P1096" i="25"/>
  <c r="P1097" i="25"/>
  <c r="P1098" i="25"/>
  <c r="P1099" i="25"/>
  <c r="P1100" i="25"/>
  <c r="P1101" i="25"/>
  <c r="P1102" i="25"/>
  <c r="P1103" i="25"/>
  <c r="P1104" i="25"/>
  <c r="P1105" i="25"/>
  <c r="P1106" i="25"/>
  <c r="P1107" i="25"/>
  <c r="P1108" i="25"/>
  <c r="P1109" i="25"/>
  <c r="P1110" i="25"/>
  <c r="P1111" i="25"/>
  <c r="P1112" i="25"/>
  <c r="P1113" i="25"/>
  <c r="P1114" i="25"/>
  <c r="P1115" i="25"/>
  <c r="P1116" i="25"/>
  <c r="P1117" i="25"/>
  <c r="P1118" i="25"/>
  <c r="P1119" i="25"/>
  <c r="P1120" i="25"/>
  <c r="P1121" i="25"/>
  <c r="P1122" i="25"/>
  <c r="P1123" i="25"/>
  <c r="P1124" i="25"/>
  <c r="P1125" i="25"/>
  <c r="P1126" i="25"/>
  <c r="P1127" i="25"/>
  <c r="P1128" i="25"/>
  <c r="P1129" i="25"/>
  <c r="P1130" i="25"/>
  <c r="P1131" i="25"/>
  <c r="P1132" i="25"/>
  <c r="P1133" i="25"/>
  <c r="P1134" i="25"/>
  <c r="P1135" i="25"/>
  <c r="P1136" i="25"/>
  <c r="P1137" i="25"/>
  <c r="P1138" i="25"/>
  <c r="P1139" i="25"/>
  <c r="P1140" i="25"/>
  <c r="P1141" i="25"/>
  <c r="P1142" i="25"/>
  <c r="P1143" i="25"/>
  <c r="P1144" i="25"/>
  <c r="P1145" i="25"/>
  <c r="P1146" i="25"/>
  <c r="P1147" i="25"/>
  <c r="P1148" i="25"/>
  <c r="P1149" i="25"/>
  <c r="P1150" i="25"/>
  <c r="P1151" i="25"/>
  <c r="P1152" i="25"/>
  <c r="P1153" i="25"/>
  <c r="P1154" i="25"/>
  <c r="P1155" i="25"/>
  <c r="P1156" i="25"/>
  <c r="P1157" i="25"/>
  <c r="P1158" i="25"/>
  <c r="P1159" i="25"/>
  <c r="P1160" i="25"/>
  <c r="P1161" i="25"/>
  <c r="P1162" i="25"/>
  <c r="P1163" i="25"/>
  <c r="P1164" i="25"/>
  <c r="P1165" i="25"/>
  <c r="P1166" i="25"/>
  <c r="P1167" i="25"/>
  <c r="P1168" i="25"/>
  <c r="P1169" i="25"/>
  <c r="P1170" i="25"/>
  <c r="P1171" i="25"/>
  <c r="P1172" i="25"/>
  <c r="P1173" i="25"/>
  <c r="P1174" i="25"/>
  <c r="P1175" i="25"/>
  <c r="P1176" i="25"/>
  <c r="P1177" i="25"/>
  <c r="P1178" i="25"/>
  <c r="P1179" i="25"/>
  <c r="P1180" i="25"/>
  <c r="P1181" i="25"/>
  <c r="P1182" i="25"/>
  <c r="P1183" i="25"/>
  <c r="P1184" i="25"/>
  <c r="P1185" i="25"/>
  <c r="P1186" i="25"/>
  <c r="P1187" i="25"/>
  <c r="P1188" i="25"/>
  <c r="P1189" i="25"/>
  <c r="P1190" i="25"/>
  <c r="P1191" i="25"/>
  <c r="P1192" i="25"/>
  <c r="P1193" i="25"/>
  <c r="P1194" i="25"/>
  <c r="P1195" i="25"/>
  <c r="P1196" i="25"/>
  <c r="P1197" i="25"/>
  <c r="P1198" i="25"/>
  <c r="P1199" i="25"/>
  <c r="P1200" i="25"/>
  <c r="P1201" i="25"/>
  <c r="P1202" i="25"/>
  <c r="P1203" i="25"/>
  <c r="P1204" i="25"/>
  <c r="P1205" i="25"/>
  <c r="P1206" i="25"/>
  <c r="P1207" i="25"/>
  <c r="P1208" i="25"/>
  <c r="P1209" i="25"/>
  <c r="P1210" i="25"/>
  <c r="P1211" i="25"/>
  <c r="P1212" i="25"/>
  <c r="P1213" i="25"/>
  <c r="P1214" i="25"/>
  <c r="P1215" i="25"/>
  <c r="P1216" i="25"/>
  <c r="P1217" i="25"/>
  <c r="P1218" i="25"/>
  <c r="P1219" i="25"/>
  <c r="P1220" i="25"/>
  <c r="P1221" i="25"/>
  <c r="P1222" i="25"/>
  <c r="P1223" i="25"/>
  <c r="P1224" i="25"/>
  <c r="P1225" i="25"/>
  <c r="P1226" i="25"/>
  <c r="P1227" i="25"/>
  <c r="P1228" i="25"/>
  <c r="P1229" i="25"/>
  <c r="P1230" i="25"/>
  <c r="P1231" i="25"/>
  <c r="P1232" i="25"/>
  <c r="P1233" i="25"/>
  <c r="P1234" i="25"/>
  <c r="P1235" i="25"/>
  <c r="P1236" i="25"/>
  <c r="P1237" i="25"/>
  <c r="P1238" i="25"/>
  <c r="P1239" i="25"/>
  <c r="P1240" i="25"/>
  <c r="P1241" i="25"/>
  <c r="P1242" i="25"/>
  <c r="P1243" i="25"/>
  <c r="P1244" i="25"/>
  <c r="P1245" i="25"/>
  <c r="P1246" i="25"/>
  <c r="P1247" i="25"/>
  <c r="P1248" i="25"/>
  <c r="P1249" i="25"/>
  <c r="P1250" i="25"/>
  <c r="P1251" i="25"/>
  <c r="P1252" i="25"/>
  <c r="P1253" i="25"/>
  <c r="P1254" i="25"/>
  <c r="P1255" i="25"/>
  <c r="P1256" i="25"/>
  <c r="P1257" i="25"/>
  <c r="P1258" i="25"/>
  <c r="P1259" i="25"/>
  <c r="P1260" i="25"/>
  <c r="P1261" i="25"/>
  <c r="P1262" i="25"/>
  <c r="P1263" i="25"/>
  <c r="P1264" i="25"/>
  <c r="P1265" i="25"/>
  <c r="P1266" i="25"/>
  <c r="P1267" i="25"/>
  <c r="P1268" i="25"/>
  <c r="P1269" i="25"/>
  <c r="P1270" i="25"/>
  <c r="P1271" i="25"/>
  <c r="P1272" i="25"/>
  <c r="P1273" i="25"/>
  <c r="P1274" i="25"/>
  <c r="P1275" i="25"/>
  <c r="P1276" i="25"/>
  <c r="P1277" i="25"/>
  <c r="P1278" i="25"/>
  <c r="P1279" i="25"/>
  <c r="P1280" i="25"/>
  <c r="P1281" i="25"/>
  <c r="P1282" i="25"/>
  <c r="P1283" i="25"/>
  <c r="P1284" i="25"/>
  <c r="P1285" i="25"/>
  <c r="P1286" i="25"/>
  <c r="P1287" i="25"/>
  <c r="P1288" i="25"/>
  <c r="P1289" i="25"/>
  <c r="P1290" i="25"/>
  <c r="P1291" i="25"/>
  <c r="P1292" i="25"/>
  <c r="P1293" i="25"/>
  <c r="P1294" i="25"/>
  <c r="P1295" i="25"/>
  <c r="P1296" i="25"/>
  <c r="P1297" i="25"/>
  <c r="P1298" i="25"/>
  <c r="P1299" i="25"/>
  <c r="P1300" i="25"/>
  <c r="P1301" i="25"/>
  <c r="P1302" i="25"/>
  <c r="P1303" i="25"/>
  <c r="P1304" i="25"/>
  <c r="P1305" i="25"/>
  <c r="P1306" i="25"/>
  <c r="P1307" i="25"/>
  <c r="P1308" i="25"/>
  <c r="P1309" i="25"/>
  <c r="P1310" i="25"/>
  <c r="P1311" i="25"/>
  <c r="P1312" i="25"/>
  <c r="P1313" i="25"/>
  <c r="P1314" i="25"/>
  <c r="P1315" i="25"/>
  <c r="P1316" i="25"/>
  <c r="P1317" i="25"/>
  <c r="P1318" i="25"/>
  <c r="P1319" i="25"/>
  <c r="P1320" i="25"/>
  <c r="P1321" i="25"/>
  <c r="P1322" i="25"/>
  <c r="P1323" i="25"/>
  <c r="P1324" i="25"/>
  <c r="P1325" i="25"/>
  <c r="P1326" i="25"/>
  <c r="P1327" i="25"/>
  <c r="P1328" i="25"/>
  <c r="P1329" i="25"/>
  <c r="P1330" i="25"/>
  <c r="P1331" i="25"/>
  <c r="P1332" i="25"/>
  <c r="P1333" i="25"/>
  <c r="P1334" i="25"/>
  <c r="P1335" i="25"/>
  <c r="P1336" i="25"/>
  <c r="P1337" i="25"/>
  <c r="P1338" i="25"/>
  <c r="P1339" i="25"/>
  <c r="P1340" i="25"/>
  <c r="P1341" i="25"/>
  <c r="P1342" i="25"/>
  <c r="P1343" i="25"/>
  <c r="P1344" i="25"/>
  <c r="P1345" i="25"/>
  <c r="P1346" i="25"/>
  <c r="P1347" i="25"/>
  <c r="P1348" i="25"/>
  <c r="P1349" i="25"/>
  <c r="P1350" i="25"/>
  <c r="P1351" i="25"/>
  <c r="P1352" i="25"/>
  <c r="P1353" i="25"/>
  <c r="P1354" i="25"/>
  <c r="P1355" i="25"/>
  <c r="P1356" i="25"/>
  <c r="P1357" i="25"/>
  <c r="P1358" i="25"/>
  <c r="P1359" i="25"/>
  <c r="P1360" i="25"/>
  <c r="P1361" i="25"/>
  <c r="P1362" i="25"/>
  <c r="P1363" i="25"/>
  <c r="P1364" i="25"/>
  <c r="P1365" i="25"/>
  <c r="P1366" i="25"/>
  <c r="P1367" i="25"/>
  <c r="P1368" i="25"/>
  <c r="P1369" i="25"/>
  <c r="P1370" i="25"/>
  <c r="P1371" i="25"/>
  <c r="P1372" i="25"/>
  <c r="P1373" i="25"/>
  <c r="P1374" i="25"/>
  <c r="P1375" i="25"/>
  <c r="P1376" i="25"/>
  <c r="P1377" i="25"/>
  <c r="P1378" i="25"/>
  <c r="P1379" i="25"/>
  <c r="P1380" i="25"/>
  <c r="P1381" i="25"/>
  <c r="P1382" i="25"/>
  <c r="P1383" i="25"/>
  <c r="P1384" i="25"/>
  <c r="P1385" i="25"/>
  <c r="P1386" i="25"/>
  <c r="P1387" i="25"/>
  <c r="P1388" i="25"/>
  <c r="P1389" i="25"/>
  <c r="P1390" i="25"/>
  <c r="P1391" i="25"/>
  <c r="P1392" i="25"/>
  <c r="P1393" i="25"/>
  <c r="P1394" i="25"/>
  <c r="P1395" i="25"/>
  <c r="P1396" i="25"/>
  <c r="P1397" i="25"/>
  <c r="P1398" i="25"/>
  <c r="P1399" i="25"/>
  <c r="P1400" i="25"/>
  <c r="P1401" i="25"/>
  <c r="P1402" i="25"/>
  <c r="P1403" i="25"/>
  <c r="P1404" i="25"/>
  <c r="P1405" i="25"/>
  <c r="P1406" i="25"/>
  <c r="P1407" i="25"/>
  <c r="P1408" i="25"/>
  <c r="P1409" i="25"/>
  <c r="P1410" i="25"/>
  <c r="P1411" i="25"/>
  <c r="P1412" i="25"/>
  <c r="P1413" i="25"/>
  <c r="P1414" i="25"/>
  <c r="P1415" i="25"/>
  <c r="P1416" i="25"/>
  <c r="P1417" i="25"/>
  <c r="P1418" i="25"/>
  <c r="P1419" i="25"/>
  <c r="P1420" i="25"/>
  <c r="P1421" i="25"/>
  <c r="P1422" i="25"/>
  <c r="P1423" i="25"/>
  <c r="P1424" i="25"/>
  <c r="P1425" i="25"/>
  <c r="P1426" i="25"/>
  <c r="P1427" i="25"/>
  <c r="P1428" i="25"/>
  <c r="P1429" i="25"/>
  <c r="P1430" i="25"/>
  <c r="P1431" i="25"/>
  <c r="P1432" i="25"/>
  <c r="P1433" i="25"/>
  <c r="P1434" i="25"/>
  <c r="P1435" i="25"/>
  <c r="P1436" i="25"/>
  <c r="P1437" i="25"/>
  <c r="P1438" i="25"/>
  <c r="P1439" i="25"/>
  <c r="P1440" i="25"/>
  <c r="P1441" i="25"/>
  <c r="P1442" i="25"/>
  <c r="P1443" i="25"/>
  <c r="P1444" i="25"/>
  <c r="P1445" i="25"/>
  <c r="P1446" i="25"/>
  <c r="P1447" i="25"/>
  <c r="P1448" i="25"/>
  <c r="P1449" i="25"/>
  <c r="P1450" i="25"/>
  <c r="P1451" i="25"/>
  <c r="P1452" i="25"/>
  <c r="P1453" i="25"/>
  <c r="P1454" i="25"/>
  <c r="P1455" i="25"/>
  <c r="P1456" i="25"/>
  <c r="P1457" i="25"/>
  <c r="P1458" i="25"/>
  <c r="P1459" i="25"/>
  <c r="P1460" i="25"/>
  <c r="P1461" i="25"/>
  <c r="P1462" i="25"/>
  <c r="P1463" i="25"/>
  <c r="P1464" i="25"/>
  <c r="P1465" i="25"/>
  <c r="P1466" i="25"/>
  <c r="P1467" i="25"/>
  <c r="P1468" i="25"/>
  <c r="P1469" i="25"/>
  <c r="P1470" i="25"/>
  <c r="P1471" i="25"/>
  <c r="P1472" i="25"/>
  <c r="P1473" i="25"/>
  <c r="P1474" i="25"/>
  <c r="P1475" i="25"/>
  <c r="P1476" i="25"/>
  <c r="P1477" i="25"/>
  <c r="P1478" i="25"/>
  <c r="P1479" i="25"/>
  <c r="P1480" i="25"/>
  <c r="P1481" i="25"/>
  <c r="P1482" i="25"/>
  <c r="P1483" i="25"/>
  <c r="P1484" i="25"/>
  <c r="P1485" i="25"/>
  <c r="P1486" i="25"/>
  <c r="P1487" i="25"/>
  <c r="P1488" i="25"/>
  <c r="P1489" i="25"/>
  <c r="P1490" i="25"/>
  <c r="P1491" i="25"/>
  <c r="P1492" i="25"/>
  <c r="P1493" i="25"/>
  <c r="P1494" i="25"/>
  <c r="P1495" i="25"/>
  <c r="P1496" i="25"/>
  <c r="P1497" i="25"/>
  <c r="P1498" i="25"/>
  <c r="P1499" i="25"/>
  <c r="P1500" i="25"/>
  <c r="P1501" i="25"/>
  <c r="P1502" i="25"/>
  <c r="P1503" i="25"/>
  <c r="P1504" i="25"/>
  <c r="P1505" i="25"/>
  <c r="P1506" i="25"/>
  <c r="P1507" i="25"/>
  <c r="P1508" i="25"/>
  <c r="P1509" i="25"/>
  <c r="P1510" i="25"/>
  <c r="P1511" i="25"/>
  <c r="P1512" i="25"/>
  <c r="P1513" i="25"/>
  <c r="P1514" i="25"/>
  <c r="P1515" i="25"/>
  <c r="P1516" i="25"/>
  <c r="P1517" i="25"/>
  <c r="P1518" i="25"/>
  <c r="P1519" i="25"/>
  <c r="P1520" i="25"/>
  <c r="P1521" i="25"/>
  <c r="P1522" i="25"/>
  <c r="P1523" i="25"/>
  <c r="P1524" i="25"/>
  <c r="P1525" i="25"/>
  <c r="P1526" i="25"/>
  <c r="P1527" i="25"/>
  <c r="P1528" i="25"/>
  <c r="P1529" i="25"/>
  <c r="P1530" i="25"/>
  <c r="P1531" i="25"/>
  <c r="P1532" i="25"/>
  <c r="P1533" i="25"/>
  <c r="P1534" i="25"/>
  <c r="P1535" i="25"/>
  <c r="P1536" i="25"/>
  <c r="P1537" i="25"/>
  <c r="P1538" i="25"/>
  <c r="P1539" i="25"/>
  <c r="P1540" i="25"/>
  <c r="P1541" i="25"/>
  <c r="P1542" i="25"/>
  <c r="P1543" i="25"/>
  <c r="P1544" i="25"/>
  <c r="P1545" i="25"/>
  <c r="P1546" i="25"/>
  <c r="P1547" i="25"/>
  <c r="P1548" i="25"/>
  <c r="P1549" i="25"/>
  <c r="P1550" i="25"/>
  <c r="P1551" i="25"/>
  <c r="P1552" i="25"/>
  <c r="P1553" i="25"/>
  <c r="P1554" i="25"/>
  <c r="P1555" i="25"/>
  <c r="P1556" i="25"/>
  <c r="P1557" i="25"/>
  <c r="P1558" i="25"/>
  <c r="P1559" i="25"/>
  <c r="P1560" i="25"/>
  <c r="P1561" i="25"/>
  <c r="P1562" i="25"/>
  <c r="P1563" i="25"/>
  <c r="P1564" i="25"/>
  <c r="P1565" i="25"/>
  <c r="P1566" i="25"/>
  <c r="P1567" i="25"/>
  <c r="P1568" i="25"/>
  <c r="P1569" i="25"/>
  <c r="P1570" i="25"/>
  <c r="P1571" i="25"/>
  <c r="P1572" i="25"/>
  <c r="P1573" i="25"/>
  <c r="P1574" i="25"/>
  <c r="P1575" i="25"/>
  <c r="P1576" i="25"/>
  <c r="P1577" i="25"/>
  <c r="P1578" i="25"/>
  <c r="P1579" i="25"/>
  <c r="P1580" i="25"/>
  <c r="P1581" i="25"/>
  <c r="P1582" i="25"/>
  <c r="P1583" i="25"/>
  <c r="P1584" i="25"/>
  <c r="P1585" i="25"/>
  <c r="P1586" i="25"/>
  <c r="P1587" i="25"/>
  <c r="P1588" i="25"/>
  <c r="P1589" i="25"/>
  <c r="P1590" i="25"/>
  <c r="P1591" i="25"/>
  <c r="P1592" i="25"/>
  <c r="P1593" i="25"/>
  <c r="P1594" i="25"/>
  <c r="P1595" i="25"/>
  <c r="P1596" i="25"/>
  <c r="P1597" i="25"/>
  <c r="P1598" i="25"/>
  <c r="P1599" i="25"/>
  <c r="P1600" i="25"/>
  <c r="P1601" i="25"/>
  <c r="P1602" i="25"/>
  <c r="P1603" i="25"/>
  <c r="P1604" i="25"/>
  <c r="P1605" i="25"/>
  <c r="P1606" i="25"/>
  <c r="P1607" i="25"/>
  <c r="P1608" i="25"/>
  <c r="P1609" i="25"/>
  <c r="P1610" i="25"/>
  <c r="P1611" i="25"/>
  <c r="P1612" i="25"/>
  <c r="P1613" i="25"/>
  <c r="P1614" i="25"/>
  <c r="P1615" i="25"/>
  <c r="P1616" i="25"/>
  <c r="P1617" i="25"/>
  <c r="P1618" i="25"/>
  <c r="P1619" i="25"/>
  <c r="P1620" i="25"/>
  <c r="P1621" i="25"/>
  <c r="P1622" i="25"/>
  <c r="P1623" i="25"/>
  <c r="P1624" i="25"/>
  <c r="P1625" i="25"/>
  <c r="P1626" i="25"/>
  <c r="P1627" i="25"/>
  <c r="P1628" i="25"/>
  <c r="P1629" i="25"/>
  <c r="P1630" i="25"/>
  <c r="P1631" i="25"/>
  <c r="P1632" i="25"/>
  <c r="P1633" i="25"/>
  <c r="P1634" i="25"/>
  <c r="P1635" i="25"/>
  <c r="P1636" i="25"/>
  <c r="P1637" i="25"/>
  <c r="P1638" i="25"/>
  <c r="P1639" i="25"/>
  <c r="P1640" i="25"/>
  <c r="P1641" i="25"/>
  <c r="P1642" i="25"/>
  <c r="P1643" i="25"/>
  <c r="P1644" i="25"/>
  <c r="P1645" i="25"/>
  <c r="P1646" i="25"/>
  <c r="P1647" i="25"/>
  <c r="P1648" i="25"/>
  <c r="P1649" i="25"/>
  <c r="P1650" i="25"/>
  <c r="P1651" i="25"/>
  <c r="P1652" i="25"/>
  <c r="P1653" i="25"/>
  <c r="P1654" i="25"/>
  <c r="P1655" i="25"/>
  <c r="P1656" i="25"/>
  <c r="P1657" i="25"/>
  <c r="P1658" i="25"/>
  <c r="P1659" i="25"/>
  <c r="P1660" i="25"/>
  <c r="P1661" i="25"/>
  <c r="P1662" i="25"/>
  <c r="P1663" i="25"/>
  <c r="P1664" i="25"/>
  <c r="P1665" i="25"/>
  <c r="P1666" i="25"/>
  <c r="P1667" i="25"/>
  <c r="P1668" i="25"/>
  <c r="P1669" i="25"/>
  <c r="P1670" i="25"/>
  <c r="P1671" i="25"/>
  <c r="P1672" i="25"/>
  <c r="P1673" i="25"/>
  <c r="P1674" i="25"/>
  <c r="P1675" i="25"/>
  <c r="P1676" i="25"/>
  <c r="P1677" i="25"/>
  <c r="P1678" i="25"/>
  <c r="P1679" i="25"/>
  <c r="P1680" i="25"/>
  <c r="P1681" i="25"/>
  <c r="P1682" i="25"/>
  <c r="P1683" i="25"/>
  <c r="P1684" i="25"/>
  <c r="P1685" i="25"/>
  <c r="P1686" i="25"/>
  <c r="P1687" i="25"/>
  <c r="P1688" i="25"/>
  <c r="P1689" i="25"/>
  <c r="P1690" i="25"/>
  <c r="P1691" i="25"/>
  <c r="P1692" i="25"/>
  <c r="P1693" i="25"/>
  <c r="P1694" i="25"/>
  <c r="P1695" i="25"/>
  <c r="P1696" i="25"/>
  <c r="P1697" i="25"/>
  <c r="P1698" i="25"/>
  <c r="P1699" i="25"/>
  <c r="P1700" i="25"/>
  <c r="P1701" i="25"/>
  <c r="P1702" i="25"/>
  <c r="P1703" i="25"/>
  <c r="P1704" i="25"/>
  <c r="P1705" i="25"/>
  <c r="P1706" i="25"/>
  <c r="P1707" i="25"/>
  <c r="P1708" i="25"/>
  <c r="P1709" i="25"/>
  <c r="P1710" i="25"/>
  <c r="P1711" i="25"/>
  <c r="P1712" i="25"/>
  <c r="P1713" i="25"/>
  <c r="P1714" i="25"/>
  <c r="P1715" i="25"/>
  <c r="P1716" i="25"/>
  <c r="P1717" i="25"/>
  <c r="P1718" i="25"/>
  <c r="P1719" i="25"/>
  <c r="P1720" i="25"/>
  <c r="P1721" i="25"/>
  <c r="P1722" i="25"/>
  <c r="P1723" i="25"/>
  <c r="P1724" i="25"/>
  <c r="P1725" i="25"/>
  <c r="P1726" i="25"/>
  <c r="P1727" i="25"/>
  <c r="P1728" i="25"/>
  <c r="P1729" i="25"/>
  <c r="P1730" i="25"/>
  <c r="P1731" i="25"/>
  <c r="P1732" i="25"/>
  <c r="P1733" i="25"/>
  <c r="P1734" i="25"/>
  <c r="P1735" i="25"/>
  <c r="P1736" i="25"/>
  <c r="P1737" i="25"/>
  <c r="P1738" i="25"/>
  <c r="P1739" i="25"/>
  <c r="P1740" i="25"/>
  <c r="P1741" i="25"/>
  <c r="P1742" i="25"/>
  <c r="P1743" i="25"/>
  <c r="P1744" i="25"/>
  <c r="P1745" i="25"/>
  <c r="P1746" i="25"/>
  <c r="P1747" i="25"/>
  <c r="P1748" i="25"/>
  <c r="P1749" i="25"/>
  <c r="P1750" i="25"/>
  <c r="P1751" i="25"/>
  <c r="P1752" i="25"/>
  <c r="P1753" i="25"/>
  <c r="P1754" i="25"/>
  <c r="P1755" i="25"/>
  <c r="P1756" i="25"/>
  <c r="P1757" i="25"/>
  <c r="P1758" i="25"/>
  <c r="P1759" i="25"/>
  <c r="P1760" i="25"/>
  <c r="P1761" i="25"/>
  <c r="P1762" i="25"/>
  <c r="P1763" i="25"/>
  <c r="P1764" i="25"/>
  <c r="P1765" i="25"/>
  <c r="P1766" i="25"/>
  <c r="P1767" i="25"/>
  <c r="P1768" i="25"/>
  <c r="P1769" i="25"/>
  <c r="P1770" i="25"/>
  <c r="P1771" i="25"/>
  <c r="P1772" i="25"/>
  <c r="P1773" i="25"/>
  <c r="P1774" i="25"/>
  <c r="P1775" i="25"/>
  <c r="P1776" i="25"/>
  <c r="P1777" i="25"/>
  <c r="P1778" i="25"/>
  <c r="P1779" i="25"/>
  <c r="P1780" i="25"/>
  <c r="P1781" i="25"/>
  <c r="P1782" i="25"/>
  <c r="P1783" i="25"/>
  <c r="P1784" i="25"/>
  <c r="P1785" i="25"/>
  <c r="P1786" i="25"/>
  <c r="P1787" i="25"/>
  <c r="P1788" i="25"/>
  <c r="P1789" i="25"/>
  <c r="P1790" i="25"/>
  <c r="P1791" i="25"/>
  <c r="P1792" i="25"/>
  <c r="P1793" i="25"/>
  <c r="P1794" i="25"/>
  <c r="P1795" i="25"/>
  <c r="P1796" i="25"/>
  <c r="P1797" i="25"/>
  <c r="P1798" i="25"/>
  <c r="P1799" i="25"/>
  <c r="P1800" i="25"/>
  <c r="P1801" i="25"/>
  <c r="P1802" i="25"/>
  <c r="P1803" i="25"/>
  <c r="P1804" i="25"/>
  <c r="P1805" i="25"/>
  <c r="P1806" i="25"/>
  <c r="P1807" i="25"/>
  <c r="P1808" i="25"/>
  <c r="P1809" i="25"/>
  <c r="P1810" i="25"/>
  <c r="P1811" i="25"/>
  <c r="P1812" i="25"/>
  <c r="P1813" i="25"/>
  <c r="P1814" i="25"/>
  <c r="P1815" i="25"/>
  <c r="P1816" i="25"/>
  <c r="P1817" i="25"/>
  <c r="P1818" i="25"/>
  <c r="P1819" i="25"/>
  <c r="P1820" i="25"/>
  <c r="P1821" i="25"/>
  <c r="P1822" i="25"/>
  <c r="P1823" i="25"/>
  <c r="P1824" i="25"/>
  <c r="P1825" i="25"/>
  <c r="P1826" i="25"/>
  <c r="P1827" i="25"/>
  <c r="P1828" i="25"/>
  <c r="P1829" i="25"/>
  <c r="P1830" i="25"/>
  <c r="P1831" i="25"/>
  <c r="P1832" i="25"/>
  <c r="P1833" i="25"/>
  <c r="P1834" i="25"/>
  <c r="P1835" i="25"/>
  <c r="P1836" i="25"/>
  <c r="P1837" i="25"/>
  <c r="P1838" i="25"/>
  <c r="P1839" i="25"/>
  <c r="P1840" i="25"/>
  <c r="P1841" i="25"/>
  <c r="P1842" i="25"/>
  <c r="P1843" i="25"/>
  <c r="P1844" i="25"/>
  <c r="P1845" i="25"/>
  <c r="P1846" i="25"/>
  <c r="P1847" i="25"/>
  <c r="P1848" i="25"/>
  <c r="P1849" i="25"/>
  <c r="P1850" i="25"/>
  <c r="P1851" i="25"/>
  <c r="P1852" i="25"/>
  <c r="P1853" i="25"/>
  <c r="P1854" i="25"/>
  <c r="P1855" i="25"/>
  <c r="P1856" i="25"/>
  <c r="P1857" i="25"/>
  <c r="P1858" i="25"/>
  <c r="P1859" i="25"/>
  <c r="P1860" i="25"/>
  <c r="P1861" i="25"/>
  <c r="P1862" i="25"/>
  <c r="P1863" i="25"/>
  <c r="P1864" i="25"/>
  <c r="P1865" i="25"/>
  <c r="P1866" i="25"/>
  <c r="P1867" i="25"/>
  <c r="P1868" i="25"/>
  <c r="P1869" i="25"/>
  <c r="P1870" i="25"/>
  <c r="P1871" i="25"/>
  <c r="P1872" i="25"/>
  <c r="P1873" i="25"/>
  <c r="P1874" i="25"/>
  <c r="P1875" i="25"/>
  <c r="P1876" i="25"/>
  <c r="P1877" i="25"/>
  <c r="P1878" i="25"/>
  <c r="P1879" i="25"/>
  <c r="P1880" i="25"/>
  <c r="P1881" i="25"/>
  <c r="P1882" i="25"/>
  <c r="P1883" i="25"/>
  <c r="P1884" i="25"/>
  <c r="P1885" i="25"/>
  <c r="P1886" i="25"/>
  <c r="P1887" i="25"/>
  <c r="P1888" i="25"/>
  <c r="P1889" i="25"/>
  <c r="P1890" i="25"/>
  <c r="P1891" i="25"/>
  <c r="P1892" i="25"/>
  <c r="P1893" i="25"/>
  <c r="P1894" i="25"/>
  <c r="P1895" i="25"/>
  <c r="P1896" i="25"/>
  <c r="P1897" i="25"/>
  <c r="P1898" i="25"/>
  <c r="P1899" i="25"/>
  <c r="P1900" i="25"/>
  <c r="P1901" i="25"/>
  <c r="P1902" i="25"/>
  <c r="P1903" i="25"/>
  <c r="P1904" i="25"/>
  <c r="P1905" i="25"/>
  <c r="P1906" i="25"/>
  <c r="P1907" i="25"/>
  <c r="P1908" i="25"/>
  <c r="P1909" i="25"/>
  <c r="P1910" i="25"/>
  <c r="P1911" i="25"/>
  <c r="P1912" i="25"/>
  <c r="P1913" i="25"/>
  <c r="P1914" i="25"/>
  <c r="P1915" i="25"/>
  <c r="P1916" i="25"/>
  <c r="P1917" i="25"/>
  <c r="P1918" i="25"/>
  <c r="P1919" i="25"/>
  <c r="P1920" i="25"/>
  <c r="P1921" i="25"/>
  <c r="P1922" i="25"/>
  <c r="P1923" i="25"/>
  <c r="P1924" i="25"/>
  <c r="P1925" i="25"/>
  <c r="P1926" i="25"/>
  <c r="P1927" i="25"/>
  <c r="P1928" i="25"/>
  <c r="P1929" i="25"/>
  <c r="P1930" i="25"/>
  <c r="P1931" i="25"/>
  <c r="P1932" i="25"/>
  <c r="P1933" i="25"/>
  <c r="P1934" i="25"/>
  <c r="P1935" i="25"/>
  <c r="P1936" i="25"/>
  <c r="P1937" i="25"/>
  <c r="P1938" i="25"/>
  <c r="P1939" i="25"/>
  <c r="P1940" i="25"/>
  <c r="P1941" i="25"/>
  <c r="P1942" i="25"/>
  <c r="P1943" i="25"/>
  <c r="P1944" i="25"/>
  <c r="P1945" i="25"/>
  <c r="P1946" i="25"/>
  <c r="P1947" i="25"/>
  <c r="P1948" i="25"/>
  <c r="P1949" i="25"/>
  <c r="P1950" i="25"/>
  <c r="P1951" i="25"/>
  <c r="P1952" i="25"/>
  <c r="P1953" i="25"/>
  <c r="P1954" i="25"/>
  <c r="P1955" i="25"/>
  <c r="P1956" i="25"/>
  <c r="P1957" i="25"/>
  <c r="P1958" i="25"/>
  <c r="P1959" i="25"/>
  <c r="P1960" i="25"/>
  <c r="P1961" i="25"/>
  <c r="P1962" i="25"/>
  <c r="P1963" i="25"/>
  <c r="P1964" i="25"/>
  <c r="P1965" i="25"/>
  <c r="P1966" i="25"/>
  <c r="P1967" i="25"/>
  <c r="P1968" i="25"/>
  <c r="P1969" i="25"/>
  <c r="P1970" i="25"/>
  <c r="P1971" i="25"/>
  <c r="P1972" i="25"/>
  <c r="P1973" i="25"/>
  <c r="P1974" i="25"/>
  <c r="P1975" i="25"/>
  <c r="P1976" i="25"/>
  <c r="P1977" i="25"/>
  <c r="P1978" i="25"/>
  <c r="P1979" i="25"/>
  <c r="P1980" i="25"/>
  <c r="P1981" i="25"/>
  <c r="P1982" i="25"/>
  <c r="P1983" i="25"/>
  <c r="P1984" i="25"/>
  <c r="P1985" i="25"/>
  <c r="P1986" i="25"/>
  <c r="P1987" i="25"/>
  <c r="P1988" i="25"/>
  <c r="P1989" i="25"/>
  <c r="P1990" i="25"/>
  <c r="P1991" i="25"/>
  <c r="P1992" i="25"/>
  <c r="P1993" i="25"/>
  <c r="P1994" i="25"/>
  <c r="P1995" i="25"/>
  <c r="P1996" i="25"/>
  <c r="P1997" i="25"/>
  <c r="P1998" i="25"/>
  <c r="P1999" i="25"/>
  <c r="P2000" i="25"/>
  <c r="P2001" i="25"/>
  <c r="P2002" i="25"/>
  <c r="P2003" i="25"/>
  <c r="P2004" i="25"/>
  <c r="P2005" i="25"/>
  <c r="P2006" i="25"/>
  <c r="P2007" i="25"/>
  <c r="P2008" i="25"/>
  <c r="P2009" i="25"/>
  <c r="P2010" i="25"/>
  <c r="P2011" i="25"/>
  <c r="P2012" i="25"/>
  <c r="P2013" i="25"/>
  <c r="P2014" i="25"/>
  <c r="P2015" i="25"/>
  <c r="P2016" i="25"/>
  <c r="P2017" i="25"/>
  <c r="P2018" i="25"/>
  <c r="P2019" i="25"/>
  <c r="P2020" i="25"/>
  <c r="P2021" i="25"/>
  <c r="P2022" i="25"/>
  <c r="P2023" i="25"/>
  <c r="P2024" i="25"/>
  <c r="P2025" i="25"/>
  <c r="P2026" i="25"/>
  <c r="P2027" i="25"/>
  <c r="P2028" i="25"/>
  <c r="P2029" i="25"/>
  <c r="P2030" i="25"/>
  <c r="P2031" i="25"/>
  <c r="P2032" i="25"/>
  <c r="P2033" i="25"/>
  <c r="P2034" i="25"/>
  <c r="P2035" i="25"/>
  <c r="P2036" i="25"/>
  <c r="P2037" i="25"/>
  <c r="P2038" i="25"/>
  <c r="P2039" i="25"/>
  <c r="P2040" i="25"/>
  <c r="P2041" i="25"/>
  <c r="P2042" i="25"/>
  <c r="P2043" i="25"/>
  <c r="P2044" i="25"/>
  <c r="P2045" i="25"/>
  <c r="P2046" i="25"/>
  <c r="P2047" i="25"/>
  <c r="P2048" i="25"/>
  <c r="P2049" i="25"/>
  <c r="P2050" i="25"/>
  <c r="P2051" i="25"/>
  <c r="P2052" i="25"/>
  <c r="P2053" i="25"/>
  <c r="P2054" i="25"/>
  <c r="P2055" i="25"/>
  <c r="P2056" i="25"/>
  <c r="P2057" i="25"/>
  <c r="P2058" i="25"/>
  <c r="P2059" i="25"/>
  <c r="P2060" i="25"/>
  <c r="P2061" i="25"/>
  <c r="P2062" i="25"/>
  <c r="P2063" i="25"/>
  <c r="P2064" i="25"/>
  <c r="P2065" i="25"/>
  <c r="P2066" i="25"/>
  <c r="P2067" i="25"/>
  <c r="P2068" i="25"/>
  <c r="P2069" i="25"/>
  <c r="P2070" i="25"/>
  <c r="P2071" i="25"/>
  <c r="P2072" i="25"/>
  <c r="P2073" i="25"/>
  <c r="P2074" i="25"/>
  <c r="P2075" i="25"/>
  <c r="P2076" i="25"/>
  <c r="P2077" i="25"/>
  <c r="P2078" i="25"/>
  <c r="P2079" i="25"/>
  <c r="P2080" i="25"/>
  <c r="P2081" i="25"/>
  <c r="P2082" i="25"/>
  <c r="P2083" i="25"/>
  <c r="P2084" i="25"/>
  <c r="P2085" i="25"/>
  <c r="P2086" i="25"/>
  <c r="P2087" i="25"/>
  <c r="P2088" i="25"/>
  <c r="P2089" i="25"/>
  <c r="P2090" i="25"/>
  <c r="P2091" i="25"/>
  <c r="P2092" i="25"/>
  <c r="P2093" i="25"/>
  <c r="P2094" i="25"/>
  <c r="P2095" i="25"/>
  <c r="P2096" i="25"/>
  <c r="P2097" i="25"/>
  <c r="P2098" i="25"/>
  <c r="P2099" i="25"/>
  <c r="P2100" i="25"/>
  <c r="P2101" i="25"/>
  <c r="P2102" i="25"/>
  <c r="P2103" i="25"/>
  <c r="P2104" i="25"/>
  <c r="P2105" i="25"/>
  <c r="P2106" i="25"/>
  <c r="P2107" i="25"/>
  <c r="P2108" i="25"/>
  <c r="P2109" i="25"/>
  <c r="P2110" i="25"/>
  <c r="P2111" i="25"/>
  <c r="P2112" i="25"/>
  <c r="P2113" i="25"/>
  <c r="P2114" i="25"/>
  <c r="P2115" i="25"/>
  <c r="P2116" i="25"/>
  <c r="P2117" i="25"/>
  <c r="P2118" i="25"/>
  <c r="P2119" i="25"/>
  <c r="P2120" i="25"/>
  <c r="P2121" i="25"/>
  <c r="P2122" i="25"/>
  <c r="P2123" i="25"/>
  <c r="P2124" i="25"/>
  <c r="P2125" i="25"/>
  <c r="P2126" i="25"/>
  <c r="P2127" i="25"/>
  <c r="P2128" i="25"/>
  <c r="P2129" i="25"/>
  <c r="P2130" i="25"/>
  <c r="P2131" i="25"/>
  <c r="P2132" i="25"/>
  <c r="P2133" i="25"/>
  <c r="P2134" i="25"/>
  <c r="P2135" i="25"/>
  <c r="P2136" i="25"/>
  <c r="P2137" i="25"/>
  <c r="P2138" i="25"/>
  <c r="P2139" i="25"/>
  <c r="P2140" i="25"/>
  <c r="P2141" i="25"/>
  <c r="P2142" i="25"/>
  <c r="P2143" i="25"/>
  <c r="P2144" i="25"/>
  <c r="P2145" i="25"/>
  <c r="P2146" i="25"/>
  <c r="P2147" i="25"/>
  <c r="P2148" i="25"/>
  <c r="P2149" i="25"/>
  <c r="P2150" i="25"/>
  <c r="P2151" i="25"/>
  <c r="P2152" i="25"/>
  <c r="P2153" i="25"/>
  <c r="P2154" i="25"/>
  <c r="P2155" i="25"/>
  <c r="P2156" i="25"/>
  <c r="P2157" i="25"/>
  <c r="P2158" i="25"/>
  <c r="P2159" i="25"/>
  <c r="P2160" i="25"/>
  <c r="P2161" i="25"/>
  <c r="P2162" i="25"/>
  <c r="P2163" i="25"/>
  <c r="P2164" i="25"/>
  <c r="P2165" i="25"/>
  <c r="P2166" i="25"/>
  <c r="P2167" i="25"/>
  <c r="P2168" i="25"/>
  <c r="P2169" i="25"/>
  <c r="P2170" i="25"/>
  <c r="P2171" i="25"/>
  <c r="P2172" i="25"/>
  <c r="P2173" i="25"/>
  <c r="P2174" i="25"/>
  <c r="P2175" i="25"/>
  <c r="P2176" i="25"/>
  <c r="P2177" i="25"/>
  <c r="P2178" i="25"/>
  <c r="P2179" i="25"/>
  <c r="P2180" i="25"/>
  <c r="P2181" i="25"/>
  <c r="P2182" i="25"/>
  <c r="P2183" i="25"/>
  <c r="P2184" i="25"/>
  <c r="P2185" i="25"/>
  <c r="P2186" i="25"/>
  <c r="P2187" i="25"/>
  <c r="P2188" i="25"/>
  <c r="P2189" i="25"/>
  <c r="P2190" i="25"/>
  <c r="P2191" i="25"/>
  <c r="P2192" i="25"/>
  <c r="P2193" i="25"/>
  <c r="P2194" i="25"/>
  <c r="P2195" i="25"/>
  <c r="P2196" i="25"/>
  <c r="P2197" i="25"/>
  <c r="P2198" i="25"/>
  <c r="P2199" i="25"/>
  <c r="P2200" i="25"/>
  <c r="P2201" i="25"/>
  <c r="P2202" i="25"/>
  <c r="P2203" i="25"/>
  <c r="P2204" i="25"/>
  <c r="P2205" i="25"/>
  <c r="P2206" i="25"/>
  <c r="P2207" i="25"/>
  <c r="P2208" i="25"/>
  <c r="P2209" i="25"/>
  <c r="P2210" i="25"/>
  <c r="P2211" i="25"/>
  <c r="P2212" i="25"/>
  <c r="P2213" i="25"/>
  <c r="P2214" i="25"/>
  <c r="P2215" i="25"/>
  <c r="P2216" i="25"/>
  <c r="P2217" i="25"/>
  <c r="P2218" i="25"/>
  <c r="P2219" i="25"/>
  <c r="P2220" i="25"/>
  <c r="P2221" i="25"/>
  <c r="P2222" i="25"/>
  <c r="P2223" i="25"/>
  <c r="P2224" i="25"/>
  <c r="P2225" i="25"/>
  <c r="P2226" i="25"/>
  <c r="P2227" i="25"/>
  <c r="P2228" i="25"/>
  <c r="P2229" i="25"/>
  <c r="P2230" i="25"/>
  <c r="P2231" i="25"/>
  <c r="P2232" i="25"/>
  <c r="P2233" i="25"/>
  <c r="P2234" i="25"/>
  <c r="P2235" i="25"/>
  <c r="P2236" i="25"/>
  <c r="P2237" i="25"/>
  <c r="P2238" i="25"/>
  <c r="P2239" i="25"/>
  <c r="P2240" i="25"/>
  <c r="P2241" i="25"/>
  <c r="P2242" i="25"/>
  <c r="P2243" i="25"/>
  <c r="P2244" i="25"/>
  <c r="P2245" i="25"/>
  <c r="P2246" i="25"/>
  <c r="P2247" i="25"/>
  <c r="P2248" i="25"/>
  <c r="P2249" i="25"/>
  <c r="P2250" i="25"/>
  <c r="P2251" i="25"/>
  <c r="P2252" i="25"/>
  <c r="P2253" i="25"/>
  <c r="P2254" i="25"/>
  <c r="P2255" i="25"/>
  <c r="P2256" i="25"/>
  <c r="P2257" i="25"/>
  <c r="P2258" i="25"/>
  <c r="P2259" i="25"/>
  <c r="P2260" i="25"/>
  <c r="P2261" i="25"/>
  <c r="P2262" i="25"/>
  <c r="P2263" i="25"/>
  <c r="P2264" i="25"/>
  <c r="P2265" i="25"/>
  <c r="P2266" i="25"/>
  <c r="P2267" i="25"/>
  <c r="P2268" i="25"/>
  <c r="P2269" i="25"/>
  <c r="P2270" i="25"/>
  <c r="P2271" i="25"/>
  <c r="P2272" i="25"/>
  <c r="P2273" i="25"/>
  <c r="P2274" i="25"/>
  <c r="P2275" i="25"/>
  <c r="P2276" i="25"/>
  <c r="P2277" i="25"/>
  <c r="P2278" i="25"/>
  <c r="P2279" i="25"/>
  <c r="P2280" i="25"/>
  <c r="P2281" i="25"/>
  <c r="P2282" i="25"/>
  <c r="P2283" i="25"/>
  <c r="P2284" i="25"/>
  <c r="P2285" i="25"/>
  <c r="P2286" i="25"/>
  <c r="P2287" i="25"/>
  <c r="P2288" i="25"/>
  <c r="P2289" i="25"/>
  <c r="P2290" i="25"/>
  <c r="P2291" i="25"/>
  <c r="P2292" i="25"/>
  <c r="P2293" i="25"/>
  <c r="P2294" i="25"/>
  <c r="P2295" i="25"/>
  <c r="P2296" i="25"/>
  <c r="P2297" i="25"/>
  <c r="P2298" i="25"/>
  <c r="P2299" i="25"/>
  <c r="P2300" i="25"/>
  <c r="P2301" i="25"/>
  <c r="P2302" i="25"/>
  <c r="P2303" i="25"/>
  <c r="P2304" i="25"/>
  <c r="P2305" i="25"/>
  <c r="P2306" i="25"/>
  <c r="P2307" i="25"/>
  <c r="P2308" i="25"/>
  <c r="P2309" i="25"/>
  <c r="P2310" i="25"/>
  <c r="P2311" i="25"/>
  <c r="P2312" i="25"/>
  <c r="P2313" i="25"/>
  <c r="P2314" i="25"/>
  <c r="P2315" i="25"/>
  <c r="P2316" i="25"/>
  <c r="P2317" i="25"/>
  <c r="P2318" i="25"/>
  <c r="P2319" i="25"/>
  <c r="P2320" i="25"/>
  <c r="P2321" i="25"/>
  <c r="P2322" i="25"/>
  <c r="P2323" i="25"/>
  <c r="P2324" i="25"/>
  <c r="P2325" i="25"/>
  <c r="P2326" i="25"/>
  <c r="P2327" i="25"/>
  <c r="P2328" i="25"/>
  <c r="P2329" i="25"/>
  <c r="P2330" i="25"/>
  <c r="P2331" i="25"/>
  <c r="P2332" i="25"/>
  <c r="P2333" i="25"/>
  <c r="P2334" i="25"/>
  <c r="P2335" i="25"/>
  <c r="P2336" i="25"/>
  <c r="P2337" i="25"/>
  <c r="P2338" i="25"/>
  <c r="P2339" i="25"/>
  <c r="P2340" i="25"/>
  <c r="P2341" i="25"/>
  <c r="P2342" i="25"/>
  <c r="P2343" i="25"/>
  <c r="P2344" i="25"/>
  <c r="P2345" i="25"/>
  <c r="P2346" i="25"/>
  <c r="P2347" i="25"/>
  <c r="P2348" i="25"/>
  <c r="P2349" i="25"/>
  <c r="P2350" i="25"/>
  <c r="P2351" i="25"/>
  <c r="P2352" i="25"/>
  <c r="P2353" i="25"/>
  <c r="P2354" i="25"/>
  <c r="P2355" i="25"/>
  <c r="P2356" i="25"/>
  <c r="P2357" i="25"/>
  <c r="P2358" i="25"/>
  <c r="P2359" i="25"/>
  <c r="P2360" i="25"/>
  <c r="P2361" i="25"/>
  <c r="P2362" i="25"/>
  <c r="P2363" i="25"/>
  <c r="P2364" i="25"/>
  <c r="P2365" i="25"/>
  <c r="P2366" i="25"/>
  <c r="P2367" i="25"/>
  <c r="P2368" i="25"/>
  <c r="P2369" i="25"/>
  <c r="P2370" i="25"/>
  <c r="P2371" i="25"/>
  <c r="P2372" i="25"/>
  <c r="P2373" i="25"/>
  <c r="P2374" i="25"/>
  <c r="P2375" i="25"/>
  <c r="P2376" i="25"/>
  <c r="P2377" i="25"/>
  <c r="P2378" i="25"/>
  <c r="P2379" i="25"/>
  <c r="P2380" i="25"/>
  <c r="P2381" i="25"/>
  <c r="P2382" i="25"/>
  <c r="P2383" i="25"/>
  <c r="P2384" i="25"/>
  <c r="P2385" i="25"/>
  <c r="P2386" i="25"/>
  <c r="P2387" i="25"/>
  <c r="P2388" i="25"/>
  <c r="P2389" i="25"/>
  <c r="P2390" i="25"/>
  <c r="P2391" i="25"/>
  <c r="P2392" i="25"/>
  <c r="P2393" i="25"/>
  <c r="P2394" i="25"/>
  <c r="P2395" i="25"/>
  <c r="P2396" i="25"/>
  <c r="P2397" i="25"/>
  <c r="P2398" i="25"/>
  <c r="P2399" i="25"/>
  <c r="P2400" i="25"/>
  <c r="P2401" i="25"/>
  <c r="P2402" i="25"/>
  <c r="P2403" i="25"/>
  <c r="P2404" i="25"/>
  <c r="P2405" i="25"/>
  <c r="P2406" i="25"/>
  <c r="P2407" i="25"/>
  <c r="P2408" i="25"/>
  <c r="P2409" i="25"/>
  <c r="P2410" i="25"/>
  <c r="P2411" i="25"/>
  <c r="P2412" i="25"/>
  <c r="P2413" i="25"/>
  <c r="P2414" i="25"/>
  <c r="P2415" i="25"/>
  <c r="P2416" i="25"/>
  <c r="P2417" i="25"/>
  <c r="P2418" i="25"/>
  <c r="P2419" i="25"/>
  <c r="P2420" i="25"/>
  <c r="P2421" i="25"/>
  <c r="P2422" i="25"/>
  <c r="P2423" i="25"/>
  <c r="P2424" i="25"/>
  <c r="P2425" i="25"/>
  <c r="P2426" i="25"/>
  <c r="P2427" i="25"/>
  <c r="P2428" i="25"/>
  <c r="P2429" i="25"/>
  <c r="P2430" i="25"/>
  <c r="P2431" i="25"/>
  <c r="P2432" i="25"/>
  <c r="P2433" i="25"/>
  <c r="P2434" i="25"/>
  <c r="P2435" i="25"/>
  <c r="P2436" i="25"/>
  <c r="P2437" i="25"/>
  <c r="P2438" i="25"/>
  <c r="P2439" i="25"/>
  <c r="P2440" i="25"/>
  <c r="P2441" i="25"/>
  <c r="P2442" i="25"/>
  <c r="P2443" i="25"/>
  <c r="P2444" i="25"/>
  <c r="P2445" i="25"/>
  <c r="P2446" i="25"/>
  <c r="P2447" i="25"/>
  <c r="P2448" i="25"/>
  <c r="P2449" i="25"/>
  <c r="P2450" i="25"/>
  <c r="P2451" i="25"/>
  <c r="P2452" i="25"/>
  <c r="P2453" i="25"/>
  <c r="P2454" i="25"/>
  <c r="P2455" i="25"/>
  <c r="P2456" i="25"/>
  <c r="P2457" i="25"/>
  <c r="P2458" i="25"/>
  <c r="P2459" i="25"/>
  <c r="P2460" i="25"/>
  <c r="P2461" i="25"/>
  <c r="P2462" i="25"/>
  <c r="P2463" i="25"/>
  <c r="P2464" i="25"/>
  <c r="P2465" i="25"/>
  <c r="P2466" i="25"/>
  <c r="P2467" i="25"/>
  <c r="P2468" i="25"/>
  <c r="P2469" i="25"/>
  <c r="P2470" i="25"/>
  <c r="P2471" i="25"/>
  <c r="P2472" i="25"/>
  <c r="P2473" i="25"/>
  <c r="P2474" i="25"/>
  <c r="P2475" i="25"/>
  <c r="P2476" i="25"/>
  <c r="P2477" i="25"/>
  <c r="P2478" i="25"/>
  <c r="P2479" i="25"/>
  <c r="P2480" i="25"/>
  <c r="P2481" i="25"/>
  <c r="P2482" i="25"/>
  <c r="P2483" i="25"/>
  <c r="P2484" i="25"/>
  <c r="P2485" i="25"/>
  <c r="P2486" i="25"/>
  <c r="P2487" i="25"/>
  <c r="P2488" i="25"/>
  <c r="P2489" i="25"/>
  <c r="P2490" i="25"/>
  <c r="P2491" i="25"/>
  <c r="P2492" i="25"/>
  <c r="P2493" i="25"/>
  <c r="P2494" i="25"/>
  <c r="P2495" i="25"/>
  <c r="P2496" i="25"/>
  <c r="P2497" i="25"/>
  <c r="P2498" i="25"/>
  <c r="P2499" i="25"/>
  <c r="P2500" i="25"/>
  <c r="P2501" i="25"/>
  <c r="P2502" i="25"/>
  <c r="P2503" i="25"/>
  <c r="P2504" i="25"/>
  <c r="P2505" i="25"/>
  <c r="P2506" i="25"/>
  <c r="P2507" i="25"/>
  <c r="P2508" i="25"/>
  <c r="P2509" i="25"/>
  <c r="P2510" i="25"/>
  <c r="P2511" i="25"/>
  <c r="P2512" i="25"/>
  <c r="P2513" i="25"/>
  <c r="P2514" i="25"/>
  <c r="P2515" i="25"/>
  <c r="P2516" i="25"/>
  <c r="P2517" i="25"/>
  <c r="P2518" i="25"/>
  <c r="P2519" i="25"/>
  <c r="P2520" i="25"/>
  <c r="P2521" i="25"/>
  <c r="P2522" i="25"/>
  <c r="P2523" i="25"/>
  <c r="P2524" i="25"/>
  <c r="P2525" i="25"/>
  <c r="P2526" i="25"/>
  <c r="P2527" i="25"/>
  <c r="P2528" i="25"/>
  <c r="P2529" i="25"/>
  <c r="P2530" i="25"/>
  <c r="P2531" i="25"/>
  <c r="P2532" i="25"/>
  <c r="P2533" i="25"/>
  <c r="P2534" i="25"/>
  <c r="P2535" i="25"/>
  <c r="P2536" i="25"/>
  <c r="P2537" i="25"/>
  <c r="P2538" i="25"/>
  <c r="P2539" i="25"/>
  <c r="P2540" i="25"/>
  <c r="P2541" i="25"/>
  <c r="P2542" i="25"/>
  <c r="P2543" i="25"/>
  <c r="P2544" i="25"/>
  <c r="P2545" i="25"/>
  <c r="P2546" i="25"/>
  <c r="P2547" i="25"/>
  <c r="P2548" i="25"/>
  <c r="P2549" i="25"/>
  <c r="P2550" i="25"/>
  <c r="P2551" i="25"/>
  <c r="P2552" i="25"/>
  <c r="P2553" i="25"/>
  <c r="P2554" i="25"/>
  <c r="P2555" i="25"/>
  <c r="P2556" i="25"/>
  <c r="P2557" i="25"/>
  <c r="P2558" i="25"/>
  <c r="P2559" i="25"/>
  <c r="P2560" i="25"/>
  <c r="P2561" i="25"/>
  <c r="P2562" i="25"/>
  <c r="P2563" i="25"/>
  <c r="P2564" i="25"/>
  <c r="P2565" i="25"/>
  <c r="P2566" i="25"/>
  <c r="P2567" i="25"/>
  <c r="P2568" i="25"/>
  <c r="P2569" i="25"/>
  <c r="P2570" i="25"/>
  <c r="P2571" i="25"/>
  <c r="P2572" i="25"/>
  <c r="P2573" i="25"/>
  <c r="P2574" i="25"/>
  <c r="P2575" i="25"/>
  <c r="P2576" i="25"/>
  <c r="P2577" i="25"/>
  <c r="P2578" i="25"/>
  <c r="P2579" i="25"/>
  <c r="P2580" i="25"/>
  <c r="P2581" i="25"/>
  <c r="P2582" i="25"/>
  <c r="P2583" i="25"/>
  <c r="P2584" i="25"/>
  <c r="P2585" i="25"/>
  <c r="P2586" i="25"/>
  <c r="P2587" i="25"/>
  <c r="P2588" i="25"/>
  <c r="P2589" i="25"/>
  <c r="P2590" i="25"/>
  <c r="P2591" i="25"/>
  <c r="P2592" i="25"/>
  <c r="P2593" i="25"/>
  <c r="P2594" i="25"/>
  <c r="P2595" i="25"/>
  <c r="P2596" i="25"/>
  <c r="P2597" i="25"/>
  <c r="P2598" i="25"/>
  <c r="P2599" i="25"/>
  <c r="P2600" i="25"/>
  <c r="P2601" i="25"/>
  <c r="P2602" i="25"/>
  <c r="P2603" i="25"/>
  <c r="P2604" i="25"/>
  <c r="P2605" i="25"/>
  <c r="P2606" i="25"/>
  <c r="P2607" i="25"/>
  <c r="P2608" i="25"/>
  <c r="P2609" i="25"/>
  <c r="P2610" i="25"/>
  <c r="P2611" i="25"/>
  <c r="P2612" i="25"/>
  <c r="P2613" i="25"/>
  <c r="P2614" i="25"/>
  <c r="P2615" i="25"/>
  <c r="P2616" i="25"/>
  <c r="P2617" i="25"/>
  <c r="P2618" i="25"/>
  <c r="P2619" i="25"/>
  <c r="P2620" i="25"/>
  <c r="P2621" i="25"/>
  <c r="P2622" i="25"/>
  <c r="P2623" i="25"/>
  <c r="P2624" i="25"/>
  <c r="P2625" i="25"/>
  <c r="P2626" i="25"/>
  <c r="P2627" i="25"/>
  <c r="P2628" i="25"/>
  <c r="P2629" i="25"/>
  <c r="P2630" i="25"/>
  <c r="P2631" i="25"/>
  <c r="P2632" i="25"/>
  <c r="P2633" i="25"/>
  <c r="P2634" i="25"/>
  <c r="P2635" i="25"/>
  <c r="P2636" i="25"/>
  <c r="P2637" i="25"/>
  <c r="P2638" i="25"/>
  <c r="P2639" i="25"/>
  <c r="P2640" i="25"/>
  <c r="P2641" i="25"/>
  <c r="P2642" i="25"/>
  <c r="P2643" i="25"/>
  <c r="P2644" i="25"/>
  <c r="P2645" i="25"/>
  <c r="P2646" i="25"/>
  <c r="P2647" i="25"/>
  <c r="P2648" i="25"/>
  <c r="P2649" i="25"/>
  <c r="P2650" i="25"/>
  <c r="P2651" i="25"/>
  <c r="P2652" i="25"/>
  <c r="P2653" i="25"/>
  <c r="P2654" i="25"/>
  <c r="P2655" i="25"/>
  <c r="P2656" i="25"/>
  <c r="P2657" i="25"/>
  <c r="P2658" i="25"/>
  <c r="P2659" i="25"/>
  <c r="P2660" i="25"/>
  <c r="P2661" i="25"/>
  <c r="P2662" i="25"/>
  <c r="P2663" i="25"/>
  <c r="P2664" i="25"/>
  <c r="P2665" i="25"/>
  <c r="P2666" i="25"/>
  <c r="P2667" i="25"/>
  <c r="P2668" i="25"/>
  <c r="P2669" i="25"/>
  <c r="P2670" i="25"/>
  <c r="P2671" i="25"/>
  <c r="P2672" i="25"/>
  <c r="P2673" i="25"/>
  <c r="P2674" i="25"/>
  <c r="P2675" i="25"/>
  <c r="P2676" i="25"/>
  <c r="P2677" i="25"/>
  <c r="P2678" i="25"/>
  <c r="P2679" i="25"/>
  <c r="P2680" i="25"/>
  <c r="P2681" i="25"/>
  <c r="P2682" i="25"/>
  <c r="P2683" i="25"/>
  <c r="P2684" i="25"/>
  <c r="P2685" i="25"/>
  <c r="P2686" i="25"/>
  <c r="P2687" i="25"/>
  <c r="P2688" i="25"/>
  <c r="P2689" i="25"/>
  <c r="P2690" i="25"/>
  <c r="P2691" i="25"/>
  <c r="P2692" i="25"/>
  <c r="P2693" i="25"/>
  <c r="P2694" i="25"/>
  <c r="P2695" i="25"/>
  <c r="P2696" i="25"/>
  <c r="P2697" i="25"/>
  <c r="P2698" i="25"/>
  <c r="P2699" i="25"/>
  <c r="P2700" i="25"/>
  <c r="P2701" i="25"/>
  <c r="P2702" i="25"/>
  <c r="P2703" i="25"/>
  <c r="P2704" i="25"/>
  <c r="P2705" i="25"/>
  <c r="P2706" i="25"/>
  <c r="P2707" i="25"/>
  <c r="P2708" i="25"/>
  <c r="P2709" i="25"/>
  <c r="P2710" i="25"/>
  <c r="P2711" i="25"/>
  <c r="P2712" i="25"/>
  <c r="P2713" i="25"/>
  <c r="P2714" i="25"/>
  <c r="P2715" i="25"/>
  <c r="P2716" i="25"/>
  <c r="P2717" i="25"/>
  <c r="P2718" i="25"/>
  <c r="P2719" i="25"/>
  <c r="P2720" i="25"/>
  <c r="P2721" i="25"/>
  <c r="P2722" i="25"/>
  <c r="P2723" i="25"/>
  <c r="P2724" i="25"/>
  <c r="P2725" i="25"/>
  <c r="P2726" i="25"/>
  <c r="P2727" i="25"/>
  <c r="P2728" i="25"/>
  <c r="P2729" i="25"/>
  <c r="P2730" i="25"/>
  <c r="P2731" i="25"/>
  <c r="P2732" i="25"/>
  <c r="P2733" i="25"/>
  <c r="P2734" i="25"/>
  <c r="P2735" i="25"/>
  <c r="P2736" i="25"/>
  <c r="P2737" i="25"/>
  <c r="P2738" i="25"/>
  <c r="P2739" i="25"/>
  <c r="P2740" i="25"/>
  <c r="P2741" i="25"/>
  <c r="P2742" i="25"/>
  <c r="P2743" i="25"/>
  <c r="P2744" i="25"/>
  <c r="P2745" i="25"/>
  <c r="P2746" i="25"/>
  <c r="P2747" i="25"/>
  <c r="P2748" i="25"/>
  <c r="P2749" i="25"/>
  <c r="P2750" i="25"/>
  <c r="P2751" i="25"/>
  <c r="P2752" i="25"/>
  <c r="P2753" i="25"/>
  <c r="P2754" i="25"/>
  <c r="P2755" i="25"/>
  <c r="P2756" i="25"/>
  <c r="P2757" i="25"/>
  <c r="P2758" i="25"/>
  <c r="P2759" i="25"/>
  <c r="P2760" i="25"/>
  <c r="P2761" i="25"/>
  <c r="P2762" i="25"/>
  <c r="P2763" i="25"/>
  <c r="P2764" i="25"/>
  <c r="P2765" i="25"/>
  <c r="P2766" i="25"/>
  <c r="P2767" i="25"/>
  <c r="P2768" i="25"/>
  <c r="P2769" i="25"/>
  <c r="P2770" i="25"/>
  <c r="P2771" i="25"/>
  <c r="P2772" i="25"/>
  <c r="P2773" i="25"/>
  <c r="P2774" i="25"/>
  <c r="P2775" i="25"/>
  <c r="P2776" i="25"/>
  <c r="P2777" i="25"/>
  <c r="P2778" i="25"/>
  <c r="P2779" i="25"/>
  <c r="P2780" i="25"/>
  <c r="P2781" i="25"/>
  <c r="P2782" i="25"/>
  <c r="P2783" i="25"/>
  <c r="P2784" i="25"/>
  <c r="P2785" i="25"/>
  <c r="P2786" i="25"/>
  <c r="P2787" i="25"/>
  <c r="P2788" i="25"/>
  <c r="P2789" i="25"/>
  <c r="P2790" i="25"/>
  <c r="P2791" i="25"/>
  <c r="P2792" i="25"/>
  <c r="P2793" i="25"/>
  <c r="P2794" i="25"/>
  <c r="P2795" i="25"/>
  <c r="P2796" i="25"/>
  <c r="P2797" i="25"/>
  <c r="P2798" i="25"/>
  <c r="P2799" i="25"/>
  <c r="P2800" i="25"/>
  <c r="P2801" i="25"/>
  <c r="P2802" i="25"/>
  <c r="P2803" i="25"/>
  <c r="P2804" i="25"/>
  <c r="P2805" i="25"/>
  <c r="P2806" i="25"/>
  <c r="P2807" i="25"/>
  <c r="P2808" i="25"/>
  <c r="P2809" i="25"/>
  <c r="P2810" i="25"/>
  <c r="P2811" i="25"/>
  <c r="P2812" i="25"/>
  <c r="P2813" i="25"/>
  <c r="P2814" i="25"/>
  <c r="P2815" i="25"/>
  <c r="P2816" i="25"/>
  <c r="P2817" i="25"/>
  <c r="P2818" i="25"/>
  <c r="P2819" i="25"/>
  <c r="P2820" i="25"/>
  <c r="P2821" i="25"/>
  <c r="P2822" i="25"/>
  <c r="P2823" i="25"/>
  <c r="P2824" i="25"/>
  <c r="P2825" i="25"/>
  <c r="P2826" i="25"/>
  <c r="P2827" i="25"/>
  <c r="P2828" i="25"/>
  <c r="P2829" i="25"/>
  <c r="P2830" i="25"/>
  <c r="P2831" i="25"/>
  <c r="P2832" i="25"/>
  <c r="P2833" i="25"/>
  <c r="P2834" i="25"/>
  <c r="P2835" i="25"/>
  <c r="P2836" i="25"/>
  <c r="P2837" i="25"/>
  <c r="P2838" i="25"/>
  <c r="P2839" i="25"/>
  <c r="P2840" i="25"/>
  <c r="P2841" i="25"/>
  <c r="P2842" i="25"/>
  <c r="P2843" i="25"/>
  <c r="P2844" i="25"/>
  <c r="P2845" i="25"/>
  <c r="P2846" i="25"/>
  <c r="P2847" i="25"/>
  <c r="P2848" i="25"/>
  <c r="P2849" i="25"/>
  <c r="P2850" i="25"/>
  <c r="P2851" i="25"/>
  <c r="P2852" i="25"/>
  <c r="P2853" i="25"/>
  <c r="P2854" i="25"/>
  <c r="P2855" i="25"/>
  <c r="P2856" i="25"/>
  <c r="P2857" i="25"/>
  <c r="P2858" i="25"/>
  <c r="P2859" i="25"/>
  <c r="P2860" i="25"/>
  <c r="P2861" i="25"/>
  <c r="P2862" i="25"/>
  <c r="P2863" i="25"/>
  <c r="P2864" i="25"/>
  <c r="P2865" i="25"/>
  <c r="P2866" i="25"/>
  <c r="P2867" i="25"/>
  <c r="P2868" i="25"/>
  <c r="P2869" i="25"/>
  <c r="P2870" i="25"/>
  <c r="P2871" i="25"/>
  <c r="P2872" i="25"/>
  <c r="P2873" i="25"/>
  <c r="P2874" i="25"/>
  <c r="P2875" i="25"/>
  <c r="P2876" i="25"/>
  <c r="P2877" i="25"/>
  <c r="P2878" i="25"/>
  <c r="P2879" i="25"/>
  <c r="P2880" i="25"/>
  <c r="P2881" i="25"/>
  <c r="P2882" i="25"/>
  <c r="P2883" i="25"/>
  <c r="P2884" i="25"/>
  <c r="P2885" i="25"/>
  <c r="P2886" i="25"/>
  <c r="P2887" i="25"/>
  <c r="P2888" i="25"/>
  <c r="P2889" i="25"/>
  <c r="P2890" i="25"/>
  <c r="P2891" i="25"/>
  <c r="P2892" i="25"/>
  <c r="P2893" i="25"/>
  <c r="P2894" i="25"/>
  <c r="P2895" i="25"/>
  <c r="P2896" i="25"/>
  <c r="P2897" i="25"/>
  <c r="P2898" i="25"/>
  <c r="P2899" i="25"/>
  <c r="P2900" i="25"/>
  <c r="P2901" i="25"/>
  <c r="P2902" i="25"/>
  <c r="P2903" i="25"/>
  <c r="P2904" i="25"/>
  <c r="P2905" i="25"/>
  <c r="P2906" i="25"/>
  <c r="P2907" i="25"/>
  <c r="P2908" i="25"/>
  <c r="P2909" i="25"/>
  <c r="P2910" i="25"/>
  <c r="P2911" i="25"/>
  <c r="P2912" i="25"/>
  <c r="P2913" i="25"/>
  <c r="P2914" i="25"/>
  <c r="P2915" i="25"/>
  <c r="P2916" i="25"/>
  <c r="P2917" i="25"/>
  <c r="P2918" i="25"/>
  <c r="P2919" i="25"/>
  <c r="P2920" i="25"/>
  <c r="P2921" i="25"/>
  <c r="P2922" i="25"/>
  <c r="P2923" i="25"/>
  <c r="P2924" i="25"/>
  <c r="P2925" i="25"/>
  <c r="P2926" i="25"/>
  <c r="P2927" i="25"/>
  <c r="P2928" i="25"/>
  <c r="P2929" i="25"/>
  <c r="P2930" i="25"/>
  <c r="P2931" i="25"/>
  <c r="P2932" i="25"/>
  <c r="P2933" i="25"/>
  <c r="P2934" i="25"/>
  <c r="P2935" i="25"/>
  <c r="P2936" i="25"/>
  <c r="P2937" i="25"/>
  <c r="P2938" i="25"/>
  <c r="P2939" i="25"/>
  <c r="P2940" i="25"/>
  <c r="P2941" i="25"/>
  <c r="P2942" i="25"/>
  <c r="P2943" i="25"/>
  <c r="P2944" i="25"/>
  <c r="P2945" i="25"/>
  <c r="P2946" i="25"/>
  <c r="P2947" i="25"/>
  <c r="P2948" i="25"/>
  <c r="P2949" i="25"/>
  <c r="P2950" i="25"/>
  <c r="P2951" i="25"/>
  <c r="P2952" i="25"/>
  <c r="P2953" i="25"/>
  <c r="P2954" i="25"/>
  <c r="P2955" i="25"/>
  <c r="P2956" i="25"/>
  <c r="P2957" i="25"/>
  <c r="P2958" i="25"/>
  <c r="P2959" i="25"/>
  <c r="P2960" i="25"/>
  <c r="P2961" i="25"/>
  <c r="P2962" i="25"/>
  <c r="P2963" i="25"/>
  <c r="P2964" i="25"/>
  <c r="P2965" i="25"/>
  <c r="P2966" i="25"/>
  <c r="P2967" i="25"/>
  <c r="P2968" i="25"/>
  <c r="P2969" i="25"/>
  <c r="P2970" i="25"/>
  <c r="P2971" i="25"/>
  <c r="P2972" i="25"/>
  <c r="P2973" i="25"/>
  <c r="P2974" i="25"/>
  <c r="P2975" i="25"/>
  <c r="P2976" i="25"/>
  <c r="P2977" i="25"/>
  <c r="P2978" i="25"/>
  <c r="P2979" i="25"/>
  <c r="P2980" i="25"/>
  <c r="P2981" i="25"/>
  <c r="P2982" i="25"/>
  <c r="P2983" i="25"/>
  <c r="P2984" i="25"/>
  <c r="P2985" i="25"/>
  <c r="P2986" i="25"/>
  <c r="P2987" i="25"/>
  <c r="P2988" i="25"/>
  <c r="P2989" i="25"/>
  <c r="P2990" i="25"/>
  <c r="P2991" i="25"/>
  <c r="P2992" i="25"/>
  <c r="P2993" i="25"/>
  <c r="P2994" i="25"/>
  <c r="P2995" i="25"/>
  <c r="P2996" i="25"/>
  <c r="P2997" i="25"/>
  <c r="P2998" i="25"/>
  <c r="P2999" i="25"/>
  <c r="P3000" i="25"/>
  <c r="P3001" i="25"/>
  <c r="P3002" i="25"/>
  <c r="P3003" i="25"/>
  <c r="P3004" i="25"/>
  <c r="P3005" i="25"/>
  <c r="P3006" i="25"/>
  <c r="P3007" i="25"/>
  <c r="P3008" i="25"/>
  <c r="P3009" i="25"/>
  <c r="P3010" i="25"/>
  <c r="P3011" i="25"/>
  <c r="P3012" i="25"/>
  <c r="P3013" i="25"/>
  <c r="P3014" i="25"/>
  <c r="P3015" i="25"/>
  <c r="P3016" i="25"/>
  <c r="P3017" i="25"/>
  <c r="P3018" i="25"/>
  <c r="P3019" i="25"/>
  <c r="P3020" i="25"/>
  <c r="P3021" i="25"/>
  <c r="P3022" i="25"/>
  <c r="P3023" i="25"/>
  <c r="P3024" i="25"/>
  <c r="P3025" i="25"/>
  <c r="P3026" i="25"/>
  <c r="P3027" i="25"/>
  <c r="P3028" i="25"/>
  <c r="P3029" i="25"/>
  <c r="P3030" i="25"/>
  <c r="P3031" i="25"/>
  <c r="P3032" i="25"/>
  <c r="P3033" i="25"/>
  <c r="P3034" i="25"/>
  <c r="P3035" i="25"/>
  <c r="P3036" i="25"/>
  <c r="P3037" i="25"/>
  <c r="P3038" i="25"/>
  <c r="P3039" i="25"/>
  <c r="P3040" i="25"/>
  <c r="P3041" i="25"/>
  <c r="P3042" i="25"/>
  <c r="P3043" i="25"/>
  <c r="P3044" i="25"/>
  <c r="P3045" i="25"/>
  <c r="P3046" i="25"/>
  <c r="P3047" i="25"/>
  <c r="P3048" i="25"/>
  <c r="P3049" i="25"/>
  <c r="P3050" i="25"/>
  <c r="P3051" i="25"/>
  <c r="P3052" i="25"/>
  <c r="P3053" i="25"/>
  <c r="P3054" i="25"/>
  <c r="P3055" i="25"/>
  <c r="P3056" i="25"/>
  <c r="P3057" i="25"/>
  <c r="P3058" i="25"/>
  <c r="P3059" i="25"/>
  <c r="P3060" i="25"/>
  <c r="P3061" i="25"/>
  <c r="P3062" i="25"/>
  <c r="P3063" i="25"/>
  <c r="P3064" i="25"/>
  <c r="P3065" i="25"/>
  <c r="P3066" i="25"/>
  <c r="P3067" i="25"/>
  <c r="P3068" i="25"/>
  <c r="P3069" i="25"/>
  <c r="P3070" i="25"/>
  <c r="P3071" i="25"/>
  <c r="P3072" i="25"/>
  <c r="P3073" i="25"/>
  <c r="P3074" i="25"/>
  <c r="P3075" i="25"/>
  <c r="P3076" i="25"/>
  <c r="P3077" i="25"/>
  <c r="P3078" i="25"/>
  <c r="P3079" i="25"/>
  <c r="P3080" i="25"/>
  <c r="P3081" i="25"/>
  <c r="P3082" i="25"/>
  <c r="P3083" i="25"/>
  <c r="P3084" i="25"/>
  <c r="P3085" i="25"/>
  <c r="P3086" i="25"/>
  <c r="P3087" i="25"/>
  <c r="P3088" i="25"/>
  <c r="P3089" i="25"/>
  <c r="P3090" i="25"/>
  <c r="P3091" i="25"/>
  <c r="P3092" i="25"/>
  <c r="P3093" i="25"/>
  <c r="P3094" i="25"/>
  <c r="P3095" i="25"/>
  <c r="P3096" i="25"/>
  <c r="P3097" i="25"/>
  <c r="P3098" i="25"/>
  <c r="P3099" i="25"/>
  <c r="P3100" i="25"/>
  <c r="P3101" i="25"/>
  <c r="P3102" i="25"/>
  <c r="P3103" i="25"/>
  <c r="P3104" i="25"/>
  <c r="P3105" i="25"/>
  <c r="P3106" i="25"/>
  <c r="P3107" i="25"/>
  <c r="P3108" i="25"/>
  <c r="P3109" i="25"/>
  <c r="P3110" i="25"/>
  <c r="P3111" i="25"/>
  <c r="P3112" i="25"/>
  <c r="P3113" i="25"/>
  <c r="P3114" i="25"/>
  <c r="P3115" i="25"/>
  <c r="P3116" i="25"/>
  <c r="P3117" i="25"/>
  <c r="P3118" i="25"/>
  <c r="P3119" i="25"/>
  <c r="P3120" i="25"/>
  <c r="P3121" i="25"/>
  <c r="P3122" i="25"/>
  <c r="P3123" i="25"/>
  <c r="P3124" i="25"/>
  <c r="P3125" i="25"/>
  <c r="P3126" i="25"/>
  <c r="P3127" i="25"/>
  <c r="P3128" i="25"/>
  <c r="P3129" i="25"/>
  <c r="P3130" i="25"/>
  <c r="P3131" i="25"/>
  <c r="P3132" i="25"/>
  <c r="P3133" i="25"/>
  <c r="P3134" i="25"/>
  <c r="P3135" i="25"/>
  <c r="P3136" i="25"/>
  <c r="P3137" i="25"/>
  <c r="P3138" i="25"/>
  <c r="P3139" i="25"/>
  <c r="P3140" i="25"/>
  <c r="P3141" i="25"/>
  <c r="P3142" i="25"/>
  <c r="P3143" i="25"/>
  <c r="P3144" i="25"/>
  <c r="P3145" i="25"/>
  <c r="P3146" i="25"/>
  <c r="P3147" i="25"/>
  <c r="P3148" i="25"/>
  <c r="P3149" i="25"/>
  <c r="P3150" i="25"/>
  <c r="P3151" i="25"/>
  <c r="P3152" i="25"/>
  <c r="P3153" i="25"/>
  <c r="P3154" i="25"/>
  <c r="P3155" i="25"/>
  <c r="P3156" i="25"/>
  <c r="P3157" i="25"/>
  <c r="P3158" i="25"/>
  <c r="P3159" i="25"/>
  <c r="P3160" i="25"/>
  <c r="P3161" i="25"/>
  <c r="P3162" i="25"/>
  <c r="P3163" i="25"/>
  <c r="P3164" i="25"/>
  <c r="P3165" i="25"/>
  <c r="P3166" i="25"/>
  <c r="P3167" i="25"/>
  <c r="P3168" i="25"/>
  <c r="P3169" i="25"/>
  <c r="P3170" i="25"/>
  <c r="P3171" i="25"/>
  <c r="P3172" i="25"/>
  <c r="P3173" i="25"/>
  <c r="P3174" i="25"/>
  <c r="P3175" i="25"/>
  <c r="P3176" i="25"/>
  <c r="P3177" i="25"/>
  <c r="P3178" i="25"/>
  <c r="P3179" i="25"/>
  <c r="P3180" i="25"/>
  <c r="P3181" i="25"/>
  <c r="P3182" i="25"/>
  <c r="P3183" i="25"/>
  <c r="P3184" i="25"/>
  <c r="P3185" i="25"/>
  <c r="P3186" i="25"/>
  <c r="P3187" i="25"/>
  <c r="P3188" i="25"/>
  <c r="P3189" i="25"/>
  <c r="P3190" i="25"/>
  <c r="P3191" i="25"/>
  <c r="P3192" i="25"/>
  <c r="P3193" i="25"/>
  <c r="P3194" i="25"/>
  <c r="P3195" i="25"/>
  <c r="P3196" i="25"/>
  <c r="P3197" i="25"/>
  <c r="P3198" i="25"/>
  <c r="P3199" i="25"/>
  <c r="P3200" i="25"/>
  <c r="P3201" i="25"/>
  <c r="P3202" i="25"/>
  <c r="P3203" i="25"/>
  <c r="P3204" i="25"/>
  <c r="P3205" i="25"/>
  <c r="P3206" i="25"/>
  <c r="P3207" i="25"/>
  <c r="P3208" i="25"/>
  <c r="P3209" i="25"/>
  <c r="P3210" i="25"/>
  <c r="P3211" i="25"/>
  <c r="P3212" i="25"/>
  <c r="P3213" i="25"/>
  <c r="P3214" i="25"/>
  <c r="P3215" i="25"/>
  <c r="P3216" i="25"/>
  <c r="P3217" i="25"/>
  <c r="P3218" i="25"/>
  <c r="P3219" i="25"/>
  <c r="P3220" i="25"/>
  <c r="P3221" i="25"/>
  <c r="P3222" i="25"/>
  <c r="P3223" i="25"/>
  <c r="P3224" i="25"/>
  <c r="P3225" i="25"/>
  <c r="P3226" i="25"/>
  <c r="P3227" i="25"/>
  <c r="P3228" i="25"/>
  <c r="P3229" i="25"/>
  <c r="P3230" i="25"/>
  <c r="P3231" i="25"/>
  <c r="P3232" i="25"/>
  <c r="P3233" i="25"/>
  <c r="P3234" i="25"/>
  <c r="P3235" i="25"/>
  <c r="P3236" i="25"/>
  <c r="P3237" i="25"/>
  <c r="P3238" i="25"/>
  <c r="P3239" i="25"/>
  <c r="P3240" i="25"/>
  <c r="P3241" i="25"/>
  <c r="P3242" i="25"/>
  <c r="P3243" i="25"/>
  <c r="P3244" i="25"/>
  <c r="P3245" i="25"/>
  <c r="P3246" i="25"/>
  <c r="P3247" i="25"/>
  <c r="P3248" i="25"/>
  <c r="P3249" i="25"/>
  <c r="P3250" i="25"/>
  <c r="P3251" i="25"/>
  <c r="P3252" i="25"/>
  <c r="P3253" i="25"/>
  <c r="P3254" i="25"/>
  <c r="P3255" i="25"/>
  <c r="P3256" i="25"/>
  <c r="P3257" i="25"/>
  <c r="P3258" i="25"/>
  <c r="P3259" i="25"/>
  <c r="P3260" i="25"/>
  <c r="P3261" i="25"/>
  <c r="P3262" i="25"/>
  <c r="P3263" i="25"/>
  <c r="P3264" i="25"/>
  <c r="P3265" i="25"/>
  <c r="P3266" i="25"/>
  <c r="P3267" i="25"/>
  <c r="P3268" i="25"/>
  <c r="P3269" i="25"/>
  <c r="P3270" i="25"/>
  <c r="P3271" i="25"/>
  <c r="P3272" i="25"/>
  <c r="P3273" i="25"/>
  <c r="P3274" i="25"/>
  <c r="P3275" i="25"/>
  <c r="P3276" i="25"/>
  <c r="P3277" i="25"/>
  <c r="P3278" i="25"/>
  <c r="P3279" i="25"/>
  <c r="P3280" i="25"/>
  <c r="P3281" i="25"/>
  <c r="P3282" i="25"/>
  <c r="P3283" i="25"/>
  <c r="P3284" i="25"/>
  <c r="P3285" i="25"/>
  <c r="P3286" i="25"/>
  <c r="P3287" i="25"/>
  <c r="P3288" i="25"/>
  <c r="P3289" i="25"/>
  <c r="P3290" i="25"/>
  <c r="P3291" i="25"/>
  <c r="P3292" i="25"/>
  <c r="P3293" i="25"/>
  <c r="P3294" i="25"/>
  <c r="P3295" i="25"/>
  <c r="P3296" i="25"/>
  <c r="P3297" i="25"/>
  <c r="P3298" i="25"/>
  <c r="P3299" i="25"/>
  <c r="P3300" i="25"/>
  <c r="P3301" i="25"/>
  <c r="P3302" i="25"/>
  <c r="P3303" i="25"/>
  <c r="P3304" i="25"/>
  <c r="P3305" i="25"/>
  <c r="P3306" i="25"/>
  <c r="P3307" i="25"/>
  <c r="P3308" i="25"/>
  <c r="P3309" i="25"/>
  <c r="P3310" i="25"/>
  <c r="P3311" i="25"/>
  <c r="P3312" i="25"/>
  <c r="P3313" i="25"/>
  <c r="P3314" i="25"/>
  <c r="P3315" i="25"/>
  <c r="P3316" i="25"/>
  <c r="P3317" i="25"/>
  <c r="P3318" i="25"/>
  <c r="P3319" i="25"/>
  <c r="P3320" i="25"/>
  <c r="P3321" i="25"/>
  <c r="P3322" i="25"/>
  <c r="P3323" i="25"/>
  <c r="P3324" i="25"/>
  <c r="P3325" i="25"/>
  <c r="P3326" i="25"/>
  <c r="P3327" i="25"/>
  <c r="P3328" i="25"/>
  <c r="P3329" i="25"/>
  <c r="P3330" i="25"/>
  <c r="P3331" i="25"/>
  <c r="P3332" i="25"/>
  <c r="P3333" i="25"/>
  <c r="P3334" i="25"/>
  <c r="P3335" i="25"/>
  <c r="P3336" i="25"/>
  <c r="P3337" i="25"/>
  <c r="P3338" i="25"/>
  <c r="P3339" i="25"/>
  <c r="P3340" i="25"/>
  <c r="P3341" i="25"/>
  <c r="P3342" i="25"/>
  <c r="P3343" i="25"/>
  <c r="P3344" i="25"/>
  <c r="P3345" i="25"/>
  <c r="P3346" i="25"/>
  <c r="P3347" i="25"/>
  <c r="P3348" i="25"/>
  <c r="P3349" i="25"/>
  <c r="P3350" i="25"/>
  <c r="P3351" i="25"/>
  <c r="P3352" i="25"/>
  <c r="P3353" i="25"/>
  <c r="P3354" i="25"/>
  <c r="P3355" i="25"/>
  <c r="P3356" i="25"/>
  <c r="P3357" i="25"/>
  <c r="P3358" i="25"/>
  <c r="P3359" i="25"/>
  <c r="P3360" i="25"/>
  <c r="P3361" i="25"/>
  <c r="P3362" i="25"/>
  <c r="P3363" i="25"/>
  <c r="P3364" i="25"/>
  <c r="P3365" i="25"/>
  <c r="P3366" i="25"/>
  <c r="P3367" i="25"/>
  <c r="P3368" i="25"/>
  <c r="P3369" i="25"/>
  <c r="P3370" i="25"/>
  <c r="P3371" i="25"/>
  <c r="P3372" i="25"/>
  <c r="P3373" i="25"/>
  <c r="P3374" i="25"/>
  <c r="P3375" i="25"/>
  <c r="P3376" i="25"/>
  <c r="P3377" i="25"/>
  <c r="P3378" i="25"/>
  <c r="P3379" i="25"/>
  <c r="P3380" i="25"/>
  <c r="P3381" i="25"/>
  <c r="P3382" i="25"/>
  <c r="P3383" i="25"/>
  <c r="P3384" i="25"/>
  <c r="P3385" i="25"/>
  <c r="P3386" i="25"/>
  <c r="P3387" i="25"/>
  <c r="P3388" i="25"/>
  <c r="P3389" i="25"/>
  <c r="P3390" i="25"/>
  <c r="P3391" i="25"/>
  <c r="P3392" i="25"/>
  <c r="P3393" i="25"/>
  <c r="P3394" i="25"/>
  <c r="P3395" i="25"/>
  <c r="P3396" i="25"/>
  <c r="P3397" i="25"/>
  <c r="P3398" i="25"/>
  <c r="P3399" i="25"/>
  <c r="P3400" i="25"/>
  <c r="P3401" i="25"/>
  <c r="P3402" i="25"/>
  <c r="P3403" i="25"/>
  <c r="P3404" i="25"/>
  <c r="P3405" i="25"/>
  <c r="P3406" i="25"/>
  <c r="P3407" i="25"/>
  <c r="P3408" i="25"/>
  <c r="P3409" i="25"/>
  <c r="P3410" i="25"/>
  <c r="P3411" i="25"/>
  <c r="P3412" i="25"/>
  <c r="P3413" i="25"/>
  <c r="P3414" i="25"/>
  <c r="P3415" i="25"/>
  <c r="P3416" i="25"/>
  <c r="P3417" i="25"/>
  <c r="P3418" i="25"/>
  <c r="P3419" i="25"/>
  <c r="P3420" i="25"/>
  <c r="P3421" i="25"/>
  <c r="P3422" i="25"/>
  <c r="P3423" i="25"/>
  <c r="P3424" i="25"/>
  <c r="P3425" i="25"/>
  <c r="P3426" i="25"/>
  <c r="P3427" i="25"/>
  <c r="P3428" i="25"/>
  <c r="P3429" i="25"/>
  <c r="P3430" i="25"/>
  <c r="P3431" i="25"/>
  <c r="P3432" i="25"/>
  <c r="P3433" i="25"/>
  <c r="P3434" i="25"/>
  <c r="P3435" i="25"/>
  <c r="P3436" i="25"/>
  <c r="P3437" i="25"/>
  <c r="P3438" i="25"/>
  <c r="P3439" i="25"/>
  <c r="P3440" i="25"/>
  <c r="P3441" i="25"/>
  <c r="P3442" i="25"/>
  <c r="P3443" i="25"/>
  <c r="P3444" i="25"/>
  <c r="P3445" i="25"/>
  <c r="P3446" i="25"/>
  <c r="P3447" i="25"/>
  <c r="P3448" i="25"/>
  <c r="P3449" i="25"/>
  <c r="P3450" i="25"/>
  <c r="P3451" i="25"/>
  <c r="P3452" i="25"/>
  <c r="P3453" i="25"/>
  <c r="P3454" i="25"/>
  <c r="P3455" i="25"/>
  <c r="P3456" i="25"/>
  <c r="P3457" i="25"/>
  <c r="P3458" i="25"/>
  <c r="P3459" i="25"/>
  <c r="P3460" i="25"/>
  <c r="P3461" i="25"/>
  <c r="P3462" i="25"/>
  <c r="P3463" i="25"/>
  <c r="P3464" i="25"/>
  <c r="P3465" i="25"/>
  <c r="P3466" i="25"/>
  <c r="P3467" i="25"/>
  <c r="P3468" i="25"/>
  <c r="P3469" i="25"/>
  <c r="P3470" i="25"/>
  <c r="P3471" i="25"/>
  <c r="P3472" i="25"/>
  <c r="P3473" i="25"/>
  <c r="P3474" i="25"/>
  <c r="P3475" i="25"/>
  <c r="P3476" i="25"/>
  <c r="P3477" i="25"/>
  <c r="P3478" i="25"/>
  <c r="P3479" i="25"/>
  <c r="P3480" i="25"/>
  <c r="P3481" i="25"/>
  <c r="P3482" i="25"/>
  <c r="P3483" i="25"/>
  <c r="P3484" i="25"/>
  <c r="P3485" i="25"/>
  <c r="P3486" i="25"/>
  <c r="P3487" i="25"/>
  <c r="P3488" i="25"/>
  <c r="P3489" i="25"/>
  <c r="P3490" i="25"/>
  <c r="P3491" i="25"/>
  <c r="P3492" i="25"/>
  <c r="P3493" i="25"/>
  <c r="P3494" i="25"/>
  <c r="P3495" i="25"/>
  <c r="P3496" i="25"/>
  <c r="P3497" i="25"/>
  <c r="P3498" i="25"/>
  <c r="P3499" i="25"/>
  <c r="P3500" i="25"/>
  <c r="P3501" i="25"/>
  <c r="P3502" i="25"/>
  <c r="P3503" i="25"/>
  <c r="P3504" i="25"/>
  <c r="P3505" i="25"/>
  <c r="P3506" i="25"/>
  <c r="P3507" i="25"/>
  <c r="P3508" i="25"/>
  <c r="P3509" i="25"/>
  <c r="P3510" i="25"/>
  <c r="P3511" i="25"/>
  <c r="P3512" i="25"/>
  <c r="P3513" i="25"/>
  <c r="P3514" i="25"/>
  <c r="P3515" i="25"/>
  <c r="P3516" i="25"/>
  <c r="P3517" i="25"/>
  <c r="P3518" i="25"/>
  <c r="P3519" i="25"/>
  <c r="P3520" i="25"/>
  <c r="P3521" i="25"/>
  <c r="P3522" i="25"/>
  <c r="P3523" i="25"/>
  <c r="P3524" i="25"/>
  <c r="P3525" i="25"/>
  <c r="P3526" i="25"/>
  <c r="P3527" i="25"/>
  <c r="P3528" i="25"/>
  <c r="P3529" i="25"/>
  <c r="P3530" i="25"/>
  <c r="P3531" i="25"/>
  <c r="P3532" i="25"/>
  <c r="P3533" i="25"/>
  <c r="P3534" i="25"/>
  <c r="P3535" i="25"/>
  <c r="P3536" i="25"/>
  <c r="P3537" i="25"/>
  <c r="P3538" i="25"/>
  <c r="P3539" i="25"/>
  <c r="P3540" i="25"/>
  <c r="P3541" i="25"/>
  <c r="P3542" i="25"/>
  <c r="P3543" i="25"/>
  <c r="P3544" i="25"/>
  <c r="P3545" i="25"/>
  <c r="P3546" i="25"/>
  <c r="P3547" i="25"/>
  <c r="P3548" i="25"/>
  <c r="P3549" i="25"/>
  <c r="P3550" i="25"/>
  <c r="P3551" i="25"/>
  <c r="P3552" i="25"/>
  <c r="P3553" i="25"/>
  <c r="P3554" i="25"/>
  <c r="P3555" i="25"/>
  <c r="P3556" i="25"/>
  <c r="P3557" i="25"/>
  <c r="P3558" i="25"/>
  <c r="P3559" i="25"/>
  <c r="P3560" i="25"/>
  <c r="P3561" i="25"/>
  <c r="P3562" i="25"/>
  <c r="P3563" i="25"/>
  <c r="P3564" i="25"/>
  <c r="P3565" i="25"/>
  <c r="P3566" i="25"/>
  <c r="P3567" i="25"/>
  <c r="P3568" i="25"/>
  <c r="P3569" i="25"/>
  <c r="P3570" i="25"/>
  <c r="P3571" i="25"/>
  <c r="P3572" i="25"/>
  <c r="P3573" i="25"/>
  <c r="P3574" i="25"/>
  <c r="P3575" i="25"/>
  <c r="P3576" i="25"/>
  <c r="P3577" i="25"/>
  <c r="P3578" i="25"/>
  <c r="P3579" i="25"/>
  <c r="P3580" i="25"/>
  <c r="P3581" i="25"/>
  <c r="P3582" i="25"/>
  <c r="P3583" i="25"/>
  <c r="P3584" i="25"/>
  <c r="P3585" i="25"/>
  <c r="P3586" i="25"/>
  <c r="P3587" i="25"/>
  <c r="P3588" i="25"/>
  <c r="P3589" i="25"/>
  <c r="P3590" i="25"/>
  <c r="P3591" i="25"/>
  <c r="P3592" i="25"/>
  <c r="P3593" i="25"/>
  <c r="P3594" i="25"/>
  <c r="P3595" i="25"/>
  <c r="P3596" i="25"/>
  <c r="P3597" i="25"/>
  <c r="P3598" i="25"/>
  <c r="P3599" i="25"/>
  <c r="P3600" i="25"/>
  <c r="P3601" i="25"/>
  <c r="P3602" i="25"/>
  <c r="P3603" i="25"/>
  <c r="P3604" i="25"/>
  <c r="P3605" i="25"/>
  <c r="P3606" i="25"/>
  <c r="P3607" i="25"/>
  <c r="P3608" i="25"/>
  <c r="P3609" i="25"/>
  <c r="P3610" i="25"/>
  <c r="P3611" i="25"/>
  <c r="P3612" i="25"/>
  <c r="P3613" i="25"/>
  <c r="P3614" i="25"/>
  <c r="P3615" i="25"/>
  <c r="P3616" i="25"/>
  <c r="P3617" i="25"/>
  <c r="P3618" i="25"/>
  <c r="P3619" i="25"/>
  <c r="P3620" i="25"/>
  <c r="P3621" i="25"/>
  <c r="P3622" i="25"/>
  <c r="P3623" i="25"/>
  <c r="P3624" i="25"/>
  <c r="P3625" i="25"/>
  <c r="P3626" i="25"/>
  <c r="P3627" i="25"/>
  <c r="P3628" i="25"/>
  <c r="P3629" i="25"/>
  <c r="P3630" i="25"/>
  <c r="P3631" i="25"/>
  <c r="P3632" i="25"/>
  <c r="P3633" i="25"/>
  <c r="P3634" i="25"/>
  <c r="P3635" i="25"/>
  <c r="P3636" i="25"/>
  <c r="P3637" i="25"/>
  <c r="P3638" i="25"/>
  <c r="P3639" i="25"/>
  <c r="P3640" i="25"/>
  <c r="P3641" i="25"/>
  <c r="P3642" i="25"/>
  <c r="P3643" i="25"/>
  <c r="P3644" i="25"/>
  <c r="P3645" i="25"/>
  <c r="P3646" i="25"/>
  <c r="P3647" i="25"/>
  <c r="P3648" i="25"/>
  <c r="P3649" i="25"/>
  <c r="P3650" i="25"/>
  <c r="P3651" i="25"/>
  <c r="P3652" i="25"/>
  <c r="P3653" i="25"/>
  <c r="P3654" i="25"/>
  <c r="P3655" i="25"/>
  <c r="P3656" i="25"/>
  <c r="P3657" i="25"/>
  <c r="P3658" i="25"/>
  <c r="P3659" i="25"/>
  <c r="P3660" i="25"/>
  <c r="P3661" i="25"/>
  <c r="P3662" i="25"/>
  <c r="P3663" i="25"/>
  <c r="P3664" i="25"/>
  <c r="P3665" i="25"/>
  <c r="P3666" i="25"/>
  <c r="P3667" i="25"/>
  <c r="P3668" i="25"/>
  <c r="P3669" i="25"/>
  <c r="P3670" i="25"/>
  <c r="P3671" i="25"/>
  <c r="P3672" i="25"/>
  <c r="P3673" i="25"/>
  <c r="P3674" i="25"/>
  <c r="P3675" i="25"/>
  <c r="P3676" i="25"/>
  <c r="P3677" i="25"/>
  <c r="P3678" i="25"/>
  <c r="P3679" i="25"/>
  <c r="P3680" i="25"/>
  <c r="P3681" i="25"/>
  <c r="P3682" i="25"/>
  <c r="P3683" i="25"/>
  <c r="P3684" i="25"/>
  <c r="P3685" i="25"/>
  <c r="P3686" i="25"/>
  <c r="P3687" i="25"/>
  <c r="P3688" i="25"/>
  <c r="P3689" i="25"/>
  <c r="P3690" i="25"/>
  <c r="P3691" i="25"/>
  <c r="P3692" i="25"/>
  <c r="P3693" i="25"/>
  <c r="P3694" i="25"/>
  <c r="P3695" i="25"/>
  <c r="P3696" i="25"/>
  <c r="P3697" i="25"/>
  <c r="P3698" i="25"/>
  <c r="P3699" i="25"/>
  <c r="P3700" i="25"/>
  <c r="P3701" i="25"/>
  <c r="P3702" i="25"/>
  <c r="P3703" i="25"/>
  <c r="P3704" i="25"/>
  <c r="P3705" i="25"/>
  <c r="P3706" i="25"/>
  <c r="P3707" i="25"/>
  <c r="P3708" i="25"/>
  <c r="P3709" i="25"/>
  <c r="P3710" i="25"/>
  <c r="P3711" i="25"/>
  <c r="P3712" i="25"/>
  <c r="P3713" i="25"/>
  <c r="P3714" i="25"/>
  <c r="P3715" i="25"/>
  <c r="P3716" i="25"/>
  <c r="P3717" i="25"/>
  <c r="P3718" i="25"/>
  <c r="P3719" i="25"/>
  <c r="P3720" i="25"/>
  <c r="P3721" i="25"/>
  <c r="P3722" i="25"/>
  <c r="P3723" i="25"/>
  <c r="P3724" i="25"/>
  <c r="P3725" i="25"/>
  <c r="P3726" i="25"/>
  <c r="P3727" i="25"/>
  <c r="P3728" i="25"/>
  <c r="P3729" i="25"/>
  <c r="P3730" i="25"/>
  <c r="P3731" i="25"/>
  <c r="P3732" i="25"/>
  <c r="P3733" i="25"/>
  <c r="P3734" i="25"/>
  <c r="P3735" i="25"/>
  <c r="P3736" i="25"/>
  <c r="P3737" i="25"/>
  <c r="P3738" i="25"/>
  <c r="P3739" i="25"/>
  <c r="P3740" i="25"/>
  <c r="P3741" i="25"/>
  <c r="P3742" i="25"/>
  <c r="P3743" i="25"/>
  <c r="P3744" i="25"/>
  <c r="P3745" i="25"/>
  <c r="P3746" i="25"/>
  <c r="P3747" i="25"/>
  <c r="P3748" i="25"/>
  <c r="P3749" i="25"/>
  <c r="P3750" i="25"/>
  <c r="P3751" i="25"/>
  <c r="P3752" i="25"/>
  <c r="P3753" i="25"/>
  <c r="P3754" i="25"/>
  <c r="P3755" i="25"/>
  <c r="P3756" i="25"/>
  <c r="P3757" i="25"/>
  <c r="P3758" i="25"/>
  <c r="P3759" i="25"/>
  <c r="P3760" i="25"/>
  <c r="P3761" i="25"/>
  <c r="P3762" i="25"/>
  <c r="P3763" i="25"/>
  <c r="P3764" i="25"/>
  <c r="P3765" i="25"/>
  <c r="P3766" i="25"/>
  <c r="P3767" i="25"/>
  <c r="P3768" i="25"/>
  <c r="P3769" i="25"/>
  <c r="P3770" i="25"/>
  <c r="P3771" i="25"/>
  <c r="P3772" i="25"/>
  <c r="P3773" i="25"/>
  <c r="P3774" i="25"/>
  <c r="P3775" i="25"/>
  <c r="P3776" i="25"/>
  <c r="P3777" i="25"/>
  <c r="P3778" i="25"/>
  <c r="P3779" i="25"/>
  <c r="P3780" i="25"/>
  <c r="P3781" i="25"/>
  <c r="P3782" i="25"/>
  <c r="P3783" i="25"/>
  <c r="P3784" i="25"/>
  <c r="P3785" i="25"/>
  <c r="P3786" i="25"/>
  <c r="P3787" i="25"/>
  <c r="P3788" i="25"/>
  <c r="P3789" i="25"/>
  <c r="P3790" i="25"/>
  <c r="P3791" i="25"/>
  <c r="P3792" i="25"/>
  <c r="P3793" i="25"/>
  <c r="P3794" i="25"/>
  <c r="P3795" i="25"/>
  <c r="P3796" i="25"/>
  <c r="P3797" i="25"/>
  <c r="P3798" i="25"/>
  <c r="P3799" i="25"/>
  <c r="P3800" i="25"/>
  <c r="P3801" i="25"/>
  <c r="P3802" i="25"/>
  <c r="P3803" i="25"/>
  <c r="P3804" i="25"/>
  <c r="P3805" i="25"/>
  <c r="P3806" i="25"/>
  <c r="P3807" i="25"/>
  <c r="P3808" i="25"/>
  <c r="P3809" i="25"/>
  <c r="P3810" i="25"/>
  <c r="P3811" i="25"/>
  <c r="P3812" i="25"/>
  <c r="P3813" i="25"/>
  <c r="P3814" i="25"/>
  <c r="P3815" i="25"/>
  <c r="P3816" i="25"/>
  <c r="P3817" i="25"/>
  <c r="P3818" i="25"/>
  <c r="P3819" i="25"/>
  <c r="P3820" i="25"/>
  <c r="P3821" i="25"/>
  <c r="P3822" i="25"/>
  <c r="P3823" i="25"/>
  <c r="P3824" i="25"/>
  <c r="P3825" i="25"/>
  <c r="P3826" i="25"/>
  <c r="P3827" i="25"/>
  <c r="P3828" i="25"/>
  <c r="P3829" i="25"/>
  <c r="P3830" i="25"/>
  <c r="P3831" i="25"/>
  <c r="P3832" i="25"/>
  <c r="P3833" i="25"/>
  <c r="P3834" i="25"/>
  <c r="P3835" i="25"/>
  <c r="P3836" i="25"/>
  <c r="P3837" i="25"/>
  <c r="P3838" i="25"/>
  <c r="P3839" i="25"/>
  <c r="P3840" i="25"/>
  <c r="P3841" i="25"/>
  <c r="P3842" i="25"/>
  <c r="P3843" i="25"/>
  <c r="P3844" i="25"/>
  <c r="P3845" i="25"/>
  <c r="P3846" i="25"/>
  <c r="P3847" i="25"/>
  <c r="P3848" i="25"/>
  <c r="P3849" i="25"/>
  <c r="P3850" i="25"/>
  <c r="P3851" i="25"/>
  <c r="P3852" i="25"/>
  <c r="P3853" i="25"/>
  <c r="P3854" i="25"/>
  <c r="P3855" i="25"/>
  <c r="P3856" i="25"/>
  <c r="P3857" i="25"/>
  <c r="P3858" i="25"/>
  <c r="P3859" i="25"/>
  <c r="P3860" i="25"/>
  <c r="P3861" i="25"/>
  <c r="P3862" i="25"/>
  <c r="P3863" i="25"/>
  <c r="P3864" i="25"/>
  <c r="P3865" i="25"/>
  <c r="P3866" i="25"/>
  <c r="P3867" i="25"/>
  <c r="P3868" i="25"/>
  <c r="P3869" i="25"/>
  <c r="P3870" i="25"/>
  <c r="P3871" i="25"/>
  <c r="P3872" i="25"/>
  <c r="P3873" i="25"/>
  <c r="P3874" i="25"/>
  <c r="P3875" i="25"/>
  <c r="P3876" i="25"/>
  <c r="P3877" i="25"/>
  <c r="P3878" i="25"/>
  <c r="P3879" i="25"/>
  <c r="P3880" i="25"/>
  <c r="P3881" i="25"/>
  <c r="P3882" i="25"/>
  <c r="P3883" i="25"/>
  <c r="P3884" i="25"/>
  <c r="P3885" i="25"/>
  <c r="P3886" i="25"/>
  <c r="P3887" i="25"/>
  <c r="P3888" i="25"/>
  <c r="P3889" i="25"/>
  <c r="P3890" i="25"/>
  <c r="P3891" i="25"/>
  <c r="P3892" i="25"/>
  <c r="P3893" i="25"/>
  <c r="P3894" i="25"/>
  <c r="P3895" i="25"/>
  <c r="P3896" i="25"/>
  <c r="P3897" i="25"/>
  <c r="P3898" i="25"/>
  <c r="P3899" i="25"/>
  <c r="P3900" i="25"/>
  <c r="P3901" i="25"/>
  <c r="P3902" i="25"/>
  <c r="P3903" i="25"/>
  <c r="P3904" i="25"/>
  <c r="P3905" i="25"/>
  <c r="P3906" i="25"/>
  <c r="P3907" i="25"/>
  <c r="P3908" i="25"/>
  <c r="P3909" i="25"/>
  <c r="P3910" i="25"/>
  <c r="P3911" i="25"/>
  <c r="P3912" i="25"/>
  <c r="P3913" i="25"/>
  <c r="P3914" i="25"/>
  <c r="P3915" i="25"/>
  <c r="P3916" i="25"/>
  <c r="P3917" i="25"/>
  <c r="P3918" i="25"/>
  <c r="P3919" i="25"/>
  <c r="P3920" i="25"/>
  <c r="P3921" i="25"/>
  <c r="P3922" i="25"/>
  <c r="P3923" i="25"/>
  <c r="P3924" i="25"/>
  <c r="P3925" i="25"/>
  <c r="P3926" i="25"/>
  <c r="P3927" i="25"/>
  <c r="P3928" i="25"/>
  <c r="P3929" i="25"/>
  <c r="P3930" i="25"/>
  <c r="P3931" i="25"/>
  <c r="P3932" i="25"/>
  <c r="P3933" i="25"/>
  <c r="P3934" i="25"/>
  <c r="P3935" i="25"/>
  <c r="P3936" i="25"/>
  <c r="P3937" i="25"/>
  <c r="P3938" i="25"/>
  <c r="P3939" i="25"/>
  <c r="P3940" i="25"/>
  <c r="P3941" i="25"/>
  <c r="P3942" i="25"/>
  <c r="P3943" i="25"/>
  <c r="P3944" i="25"/>
  <c r="P3945" i="25"/>
  <c r="P3946" i="25"/>
  <c r="P3947" i="25"/>
  <c r="P3948" i="25"/>
  <c r="P3949" i="25"/>
  <c r="P3950" i="25"/>
  <c r="P3951" i="25"/>
  <c r="P3952" i="25"/>
  <c r="P3953" i="25"/>
  <c r="P3954" i="25"/>
  <c r="P3955" i="25"/>
  <c r="P3956" i="25"/>
  <c r="P3957" i="25"/>
  <c r="P3958" i="25"/>
  <c r="P3959" i="25"/>
  <c r="P3960" i="25"/>
  <c r="P3961" i="25"/>
  <c r="P3962" i="25"/>
  <c r="P3963" i="25"/>
  <c r="P3964" i="25"/>
  <c r="P3965" i="25"/>
  <c r="P3966" i="25"/>
  <c r="P3967" i="25"/>
  <c r="P3968" i="25"/>
  <c r="P3969" i="25"/>
  <c r="P3970" i="25"/>
  <c r="P3971" i="25"/>
  <c r="P3972" i="25"/>
  <c r="P3973" i="25"/>
  <c r="P3974" i="25"/>
  <c r="P3975" i="25"/>
  <c r="P3976" i="25"/>
  <c r="P3977" i="25"/>
  <c r="P3978" i="25"/>
  <c r="P3979" i="25"/>
  <c r="P3980" i="25"/>
  <c r="P3981" i="25"/>
  <c r="P3982" i="25"/>
  <c r="P3983" i="25"/>
  <c r="P3984" i="25"/>
  <c r="P3985" i="25"/>
  <c r="Q4005" i="25" s="1"/>
  <c r="R4006" i="25" s="1"/>
  <c r="P471" i="25"/>
  <c r="G43" i="28" l="1"/>
  <c r="G44" i="28"/>
  <c r="G13" i="28"/>
  <c r="G23" i="28"/>
  <c r="G21" i="28"/>
  <c r="G12" i="28"/>
  <c r="E33" i="28"/>
  <c r="E17" i="28"/>
  <c r="E15" i="28"/>
  <c r="G10" i="28"/>
  <c r="E28" i="28"/>
  <c r="E11" i="28"/>
  <c r="E23" i="28"/>
  <c r="E12" i="28"/>
  <c r="G18" i="28"/>
  <c r="G26" i="28"/>
  <c r="E10" i="28"/>
  <c r="E30" i="28"/>
  <c r="E20" i="28"/>
  <c r="E32" i="28"/>
  <c r="G14" i="28"/>
  <c r="E9" i="28"/>
  <c r="E19" i="28"/>
  <c r="E25" i="28"/>
  <c r="E24" i="28"/>
  <c r="E13" i="28"/>
  <c r="E21" i="28"/>
  <c r="G20" i="28"/>
  <c r="E27" i="28"/>
  <c r="E29" i="28"/>
  <c r="E22" i="28"/>
  <c r="G17" i="28"/>
  <c r="E14" i="28"/>
  <c r="G16" i="28"/>
  <c r="G22" i="28"/>
  <c r="G9" i="28"/>
  <c r="G19" i="28"/>
  <c r="E18" i="28"/>
  <c r="E26" i="28"/>
  <c r="E16" i="28"/>
  <c r="G15" i="28"/>
  <c r="G11" i="28"/>
  <c r="Q4004" i="25"/>
  <c r="R4005" i="25" s="1"/>
  <c r="Q4003" i="25"/>
  <c r="Q4002" i="25"/>
  <c r="Q3999" i="25"/>
  <c r="Q3995" i="25"/>
  <c r="Q3991" i="25"/>
  <c r="Q3987" i="25"/>
  <c r="Q3998" i="25"/>
  <c r="R3999" i="25" s="1"/>
  <c r="Q3994" i="25"/>
  <c r="R3995" i="25" s="1"/>
  <c r="Q3990" i="25"/>
  <c r="Q3986" i="25"/>
  <c r="R3987" i="25" s="1"/>
  <c r="Q4001" i="25"/>
  <c r="Q3997" i="25"/>
  <c r="Q3993" i="25"/>
  <c r="Q3989" i="25"/>
  <c r="Q4000" i="25"/>
  <c r="R4001" i="25" s="1"/>
  <c r="Q3996" i="25"/>
  <c r="R3997" i="25" s="1"/>
  <c r="Q3992" i="25"/>
  <c r="R3993" i="25" s="1"/>
  <c r="Q3988" i="25"/>
  <c r="Q3635" i="25"/>
  <c r="Q1899" i="25"/>
  <c r="Q1903" i="25"/>
  <c r="Q491" i="25"/>
  <c r="R491" i="25" s="1"/>
  <c r="Q3983" i="25"/>
  <c r="Q3971" i="25"/>
  <c r="Q3963" i="25"/>
  <c r="Q3951" i="25"/>
  <c r="Q3935" i="25"/>
  <c r="Q3923" i="25"/>
  <c r="Q3911" i="25"/>
  <c r="Q3895" i="25"/>
  <c r="Q3887" i="25"/>
  <c r="Q3875" i="25"/>
  <c r="Q3863" i="25"/>
  <c r="Q3855" i="25"/>
  <c r="Q3843" i="25"/>
  <c r="Q3827" i="25"/>
  <c r="Q3819" i="25"/>
  <c r="Q3807" i="25"/>
  <c r="Q3791" i="25"/>
  <c r="Q3779" i="25"/>
  <c r="Q3767" i="25"/>
  <c r="Q3759" i="25"/>
  <c r="Q3747" i="25"/>
  <c r="Q3739" i="25"/>
  <c r="Q3727" i="25"/>
  <c r="Q3719" i="25"/>
  <c r="Q3707" i="25"/>
  <c r="Q3695" i="25"/>
  <c r="Q3675" i="25"/>
  <c r="Q3975" i="25"/>
  <c r="Q3967" i="25"/>
  <c r="Q3955" i="25"/>
  <c r="Q3943" i="25"/>
  <c r="Q3939" i="25"/>
  <c r="Q3919" i="25"/>
  <c r="Q3915" i="25"/>
  <c r="Q3899" i="25"/>
  <c r="Q3883" i="25"/>
  <c r="Q3871" i="25"/>
  <c r="Q3867" i="25"/>
  <c r="Q3851" i="25"/>
  <c r="Q3839" i="25"/>
  <c r="Q3831" i="25"/>
  <c r="Q3815" i="25"/>
  <c r="Q3803" i="25"/>
  <c r="Q3795" i="25"/>
  <c r="Q3783" i="25"/>
  <c r="Q3771" i="25"/>
  <c r="Q3755" i="25"/>
  <c r="Q3751" i="25"/>
  <c r="Q3735" i="25"/>
  <c r="Q3723" i="25"/>
  <c r="Q3711" i="25"/>
  <c r="Q3699" i="25"/>
  <c r="Q3687" i="25"/>
  <c r="Q3679" i="25"/>
  <c r="Q3667" i="25"/>
  <c r="Q3659" i="25"/>
  <c r="Q3655" i="25"/>
  <c r="Q3643" i="25"/>
  <c r="Q3631" i="25"/>
  <c r="Q3623" i="25"/>
  <c r="Q3611" i="25"/>
  <c r="Q3603" i="25"/>
  <c r="Q3599" i="25"/>
  <c r="Q3591" i="25"/>
  <c r="Q3579" i="25"/>
  <c r="Q3575" i="25"/>
  <c r="Q3567" i="25"/>
  <c r="Q3559" i="25"/>
  <c r="Q3551" i="25"/>
  <c r="Q3539" i="25"/>
  <c r="Q3535" i="25"/>
  <c r="Q3523" i="25"/>
  <c r="Q3515" i="25"/>
  <c r="Q3507" i="25"/>
  <c r="Q3499" i="25"/>
  <c r="Q3491" i="25"/>
  <c r="Q3483" i="25"/>
  <c r="Q3475" i="25"/>
  <c r="Q3463" i="25"/>
  <c r="Q3455" i="25"/>
  <c r="Q3451" i="25"/>
  <c r="Q3439" i="25"/>
  <c r="Q3431" i="25"/>
  <c r="Q3423" i="25"/>
  <c r="Q3419" i="25"/>
  <c r="Q3411" i="25"/>
  <c r="Q3399" i="25"/>
  <c r="Q3391" i="25"/>
  <c r="Q3383" i="25"/>
  <c r="Q3375" i="25"/>
  <c r="Q3367" i="25"/>
  <c r="Q3359" i="25"/>
  <c r="Q3355" i="25"/>
  <c r="Q3347" i="25"/>
  <c r="Q3335" i="25"/>
  <c r="Q3327" i="25"/>
  <c r="Q3319" i="25"/>
  <c r="Q3315" i="25"/>
  <c r="Q3303" i="25"/>
  <c r="Q3295" i="25"/>
  <c r="Q3287" i="25"/>
  <c r="Q3279" i="25"/>
  <c r="Q3275" i="25"/>
  <c r="Q3267" i="25"/>
  <c r="Q3255" i="25"/>
  <c r="Q3247" i="25"/>
  <c r="Q3243" i="25"/>
  <c r="Q3235" i="25"/>
  <c r="Q3227" i="25"/>
  <c r="Q3219" i="25"/>
  <c r="Q3211" i="25"/>
  <c r="Q3203" i="25"/>
  <c r="Q3195" i="25"/>
  <c r="Q3191" i="25"/>
  <c r="Q3183" i="25"/>
  <c r="Q3171" i="25"/>
  <c r="Q3163" i="25"/>
  <c r="Q3159" i="25"/>
  <c r="Q3151" i="25"/>
  <c r="Q3139" i="25"/>
  <c r="Q3131" i="25"/>
  <c r="Q3123" i="25"/>
  <c r="Q3115" i="25"/>
  <c r="Q3979" i="25"/>
  <c r="Q3959" i="25"/>
  <c r="Q3947" i="25"/>
  <c r="Q3931" i="25"/>
  <c r="Q3927" i="25"/>
  <c r="Q3907" i="25"/>
  <c r="Q3903" i="25"/>
  <c r="Q3891" i="25"/>
  <c r="Q3879" i="25"/>
  <c r="Q3859" i="25"/>
  <c r="Q3847" i="25"/>
  <c r="Q3835" i="25"/>
  <c r="Q3823" i="25"/>
  <c r="Q3811" i="25"/>
  <c r="Q3799" i="25"/>
  <c r="Q3787" i="25"/>
  <c r="Q3775" i="25"/>
  <c r="Q3763" i="25"/>
  <c r="Q3743" i="25"/>
  <c r="Q3731" i="25"/>
  <c r="Q3715" i="25"/>
  <c r="Q3703" i="25"/>
  <c r="Q3691" i="25"/>
  <c r="Q3683" i="25"/>
  <c r="Q3671" i="25"/>
  <c r="Q3663" i="25"/>
  <c r="Q3651" i="25"/>
  <c r="Q3647" i="25"/>
  <c r="Q3639" i="25"/>
  <c r="Q3627" i="25"/>
  <c r="Q3619" i="25"/>
  <c r="Q3615" i="25"/>
  <c r="Q3607" i="25"/>
  <c r="Q3595" i="25"/>
  <c r="Q3587" i="25"/>
  <c r="Q3583" i="25"/>
  <c r="Q3571" i="25"/>
  <c r="Q3563" i="25"/>
  <c r="Q3555" i="25"/>
  <c r="Q3547" i="25"/>
  <c r="Q3543" i="25"/>
  <c r="Q3531" i="25"/>
  <c r="Q3527" i="25"/>
  <c r="Q3519" i="25"/>
  <c r="Q3511" i="25"/>
  <c r="Q3503" i="25"/>
  <c r="Q3495" i="25"/>
  <c r="Q3487" i="25"/>
  <c r="Q3479" i="25"/>
  <c r="Q3471" i="25"/>
  <c r="Q3467" i="25"/>
  <c r="Q3459" i="25"/>
  <c r="Q3447" i="25"/>
  <c r="Q3443" i="25"/>
  <c r="Q3435" i="25"/>
  <c r="Q3427" i="25"/>
  <c r="Q3415" i="25"/>
  <c r="Q3407" i="25"/>
  <c r="Q3403" i="25"/>
  <c r="Q3395" i="25"/>
  <c r="Q3387" i="25"/>
  <c r="Q3379" i="25"/>
  <c r="Q3371" i="25"/>
  <c r="Q3363" i="25"/>
  <c r="Q3351" i="25"/>
  <c r="Q3343" i="25"/>
  <c r="Q3339" i="25"/>
  <c r="Q3331" i="25"/>
  <c r="Q3323" i="25"/>
  <c r="Q3311" i="25"/>
  <c r="Q3307" i="25"/>
  <c r="Q3299" i="25"/>
  <c r="Q3291" i="25"/>
  <c r="Q3283" i="25"/>
  <c r="Q3271" i="25"/>
  <c r="Q3263" i="25"/>
  <c r="Q3259" i="25"/>
  <c r="Q3251" i="25"/>
  <c r="Q3239" i="25"/>
  <c r="Q3231" i="25"/>
  <c r="Q3223" i="25"/>
  <c r="Q3215" i="25"/>
  <c r="Q3207" i="25"/>
  <c r="Q3199" i="25"/>
  <c r="Q3187" i="25"/>
  <c r="Q3179" i="25"/>
  <c r="Q3175" i="25"/>
  <c r="Q3167" i="25"/>
  <c r="Q3155" i="25"/>
  <c r="Q3147" i="25"/>
  <c r="Q3143" i="25"/>
  <c r="Q3135" i="25"/>
  <c r="Q3127" i="25"/>
  <c r="Q3119" i="25"/>
  <c r="Q3107" i="25"/>
  <c r="Q3095" i="25"/>
  <c r="Q3083" i="25"/>
  <c r="Q3079" i="25"/>
  <c r="Q3059" i="25"/>
  <c r="Q3047" i="25"/>
  <c r="Q3035" i="25"/>
  <c r="Q3027" i="25"/>
  <c r="Q3011" i="25"/>
  <c r="Q3007" i="25"/>
  <c r="Q2987" i="25"/>
  <c r="Q2975" i="25"/>
  <c r="Q2971" i="25"/>
  <c r="Q2951" i="25"/>
  <c r="Q2939" i="25"/>
  <c r="Q2927" i="25"/>
  <c r="Q2915" i="25"/>
  <c r="Q2907" i="25"/>
  <c r="Q2887" i="25"/>
  <c r="Q2875" i="25"/>
  <c r="Q2863" i="25"/>
  <c r="Q2843" i="25"/>
  <c r="Q2827" i="25"/>
  <c r="Q2811" i="25"/>
  <c r="Q2799" i="25"/>
  <c r="Q2779" i="25"/>
  <c r="Q2763" i="25"/>
  <c r="Q2751" i="25"/>
  <c r="Q2735" i="25"/>
  <c r="Q2719" i="25"/>
  <c r="Q2703" i="25"/>
  <c r="Q2683" i="25"/>
  <c r="Q2671" i="25"/>
  <c r="Q2655" i="25"/>
  <c r="Q2639" i="25"/>
  <c r="Q2619" i="25"/>
  <c r="Q2603" i="25"/>
  <c r="Q2583" i="25"/>
  <c r="Q2571" i="25"/>
  <c r="Q2559" i="25"/>
  <c r="Q2543" i="25"/>
  <c r="Q2523" i="25"/>
  <c r="Q2511" i="25"/>
  <c r="Q2491" i="25"/>
  <c r="Q2479" i="25"/>
  <c r="Q2459" i="25"/>
  <c r="Q2447" i="25"/>
  <c r="Q2423" i="25"/>
  <c r="Q2407" i="25"/>
  <c r="Q2395" i="25"/>
  <c r="Q2379" i="25"/>
  <c r="Q2367" i="25"/>
  <c r="Q2351" i="25"/>
  <c r="Q2335" i="25"/>
  <c r="Q2315" i="25"/>
  <c r="Q2303" i="25"/>
  <c r="Q2283" i="25"/>
  <c r="Q2267" i="25"/>
  <c r="Q2255" i="25"/>
  <c r="Q2239" i="25"/>
  <c r="Q2223" i="25"/>
  <c r="Q2199" i="25"/>
  <c r="Q2187" i="25"/>
  <c r="Q2171" i="25"/>
  <c r="Q2155" i="25"/>
  <c r="Q2139" i="25"/>
  <c r="Q2127" i="25"/>
  <c r="Q2107" i="25"/>
  <c r="Q2091" i="25"/>
  <c r="Q2075" i="25"/>
  <c r="Q2059" i="25"/>
  <c r="Q2043" i="25"/>
  <c r="Q2023" i="25"/>
  <c r="Q2011" i="25"/>
  <c r="Q1983" i="25"/>
  <c r="Q1963" i="25"/>
  <c r="Q1959" i="25"/>
  <c r="Q1943" i="25"/>
  <c r="Q1935" i="25"/>
  <c r="Q1931" i="25"/>
  <c r="Q1927" i="25"/>
  <c r="Q1919" i="25"/>
  <c r="Q1915" i="25"/>
  <c r="Q1911" i="25"/>
  <c r="Q1895" i="25"/>
  <c r="Q3111" i="25"/>
  <c r="Q3103" i="25"/>
  <c r="Q3091" i="25"/>
  <c r="Q3075" i="25"/>
  <c r="Q3063" i="25"/>
  <c r="Q3055" i="25"/>
  <c r="Q3043" i="25"/>
  <c r="Q3023" i="25"/>
  <c r="Q3019" i="25"/>
  <c r="Q2999" i="25"/>
  <c r="Q2991" i="25"/>
  <c r="Q2979" i="25"/>
  <c r="Q2967" i="25"/>
  <c r="Q2959" i="25"/>
  <c r="Q2943" i="25"/>
  <c r="Q2935" i="25"/>
  <c r="Q2919" i="25"/>
  <c r="Q2903" i="25"/>
  <c r="Q2891" i="25"/>
  <c r="Q2879" i="25"/>
  <c r="Q2859" i="25"/>
  <c r="Q2847" i="25"/>
  <c r="Q2831" i="25"/>
  <c r="Q2807" i="25"/>
  <c r="Q2791" i="25"/>
  <c r="Q2783" i="25"/>
  <c r="Q2767" i="25"/>
  <c r="Q2747" i="25"/>
  <c r="Q2731" i="25"/>
  <c r="Q2711" i="25"/>
  <c r="Q2699" i="25"/>
  <c r="Q2679" i="25"/>
  <c r="Q2667" i="25"/>
  <c r="Q2647" i="25"/>
  <c r="Q2635" i="25"/>
  <c r="Q2615" i="25"/>
  <c r="Q2599" i="25"/>
  <c r="Q2587" i="25"/>
  <c r="Q2575" i="25"/>
  <c r="Q2551" i="25"/>
  <c r="Q2535" i="25"/>
  <c r="Q2519" i="25"/>
  <c r="Q2503" i="25"/>
  <c r="Q2487" i="25"/>
  <c r="Q2471" i="25"/>
  <c r="Q2455" i="25"/>
  <c r="Q2439" i="25"/>
  <c r="Q2431" i="25"/>
  <c r="Q2415" i="25"/>
  <c r="Q2399" i="25"/>
  <c r="Q2383" i="25"/>
  <c r="Q2363" i="25"/>
  <c r="Q2343" i="25"/>
  <c r="Q2331" i="25"/>
  <c r="Q2311" i="25"/>
  <c r="Q2299" i="25"/>
  <c r="Q2287" i="25"/>
  <c r="Q2271" i="25"/>
  <c r="Q2251" i="25"/>
  <c r="Q2235" i="25"/>
  <c r="Q2215" i="25"/>
  <c r="Q2203" i="25"/>
  <c r="Q2191" i="25"/>
  <c r="Q2175" i="25"/>
  <c r="Q2151" i="25"/>
  <c r="Q2135" i="25"/>
  <c r="Q2123" i="25"/>
  <c r="Q2111" i="25"/>
  <c r="Q2087" i="25"/>
  <c r="Q2079" i="25"/>
  <c r="Q2055" i="25"/>
  <c r="Q2039" i="25"/>
  <c r="Q2031" i="25"/>
  <c r="Q2007" i="25"/>
  <c r="Q1995" i="25"/>
  <c r="Q1979" i="25"/>
  <c r="Q1975" i="25"/>
  <c r="Q1951" i="25"/>
  <c r="Q3982" i="25"/>
  <c r="Q3970" i="25"/>
  <c r="R3971" i="25" s="1"/>
  <c r="Q3962" i="25"/>
  <c r="R3963" i="25" s="1"/>
  <c r="Q3950" i="25"/>
  <c r="Q3938" i="25"/>
  <c r="Q3926" i="25"/>
  <c r="Q3918" i="25"/>
  <c r="Q3906" i="25"/>
  <c r="Q3894" i="25"/>
  <c r="Q3882" i="25"/>
  <c r="Q3870" i="25"/>
  <c r="Q3862" i="25"/>
  <c r="Q3850" i="25"/>
  <c r="Q3838" i="25"/>
  <c r="Q3826" i="25"/>
  <c r="Q3814" i="25"/>
  <c r="Q3802" i="25"/>
  <c r="Q3790" i="25"/>
  <c r="Q3778" i="25"/>
  <c r="Q3766" i="25"/>
  <c r="Q3758" i="25"/>
  <c r="Q3746" i="25"/>
  <c r="Q3734" i="25"/>
  <c r="Q3722" i="25"/>
  <c r="Q3710" i="25"/>
  <c r="Q3694" i="25"/>
  <c r="R3695" i="25" s="1"/>
  <c r="Q3682" i="25"/>
  <c r="R3683" i="25" s="1"/>
  <c r="Q3678" i="25"/>
  <c r="Q3666" i="25"/>
  <c r="Q3654" i="25"/>
  <c r="Q3642" i="25"/>
  <c r="Q3630" i="25"/>
  <c r="Q3618" i="25"/>
  <c r="Q3610" i="25"/>
  <c r="Q3598" i="25"/>
  <c r="R3599" i="25" s="1"/>
  <c r="Q3582" i="25"/>
  <c r="Q3574" i="25"/>
  <c r="Q3562" i="25"/>
  <c r="Q3550" i="25"/>
  <c r="Q3542" i="25"/>
  <c r="Q3530" i="25"/>
  <c r="Q3514" i="25"/>
  <c r="Q3506" i="25"/>
  <c r="Q3494" i="25"/>
  <c r="Q3482" i="25"/>
  <c r="Q3474" i="25"/>
  <c r="R3475" i="25" s="1"/>
  <c r="Q3462" i="25"/>
  <c r="R3463" i="25" s="1"/>
  <c r="Q3450" i="25"/>
  <c r="Q3442" i="25"/>
  <c r="Q3430" i="25"/>
  <c r="Q3414" i="25"/>
  <c r="Q3406" i="25"/>
  <c r="Q3394" i="25"/>
  <c r="Q3382" i="25"/>
  <c r="Q3370" i="25"/>
  <c r="Q3358" i="25"/>
  <c r="Q3342" i="25"/>
  <c r="Q3330" i="25"/>
  <c r="Q3326" i="25"/>
  <c r="Q3310" i="25"/>
  <c r="Q3298" i="25"/>
  <c r="Q3290" i="25"/>
  <c r="Q3274" i="25"/>
  <c r="R3275" i="25" s="1"/>
  <c r="Q3262" i="25"/>
  <c r="Q3254" i="25"/>
  <c r="Q3242" i="25"/>
  <c r="Q3226" i="25"/>
  <c r="Q3214" i="25"/>
  <c r="Q3206" i="25"/>
  <c r="Q3194" i="25"/>
  <c r="Q3186" i="25"/>
  <c r="Q3178" i="25"/>
  <c r="Q3170" i="25"/>
  <c r="Q3162" i="25"/>
  <c r="Q3154" i="25"/>
  <c r="Q3146" i="25"/>
  <c r="Q3138" i="25"/>
  <c r="Q3130" i="25"/>
  <c r="Q3126" i="25"/>
  <c r="Q3118" i="25"/>
  <c r="Q3110" i="25"/>
  <c r="Q3106" i="25"/>
  <c r="R3107" i="25" s="1"/>
  <c r="Q3102" i="25"/>
  <c r="Q3098" i="25"/>
  <c r="Q3094" i="25"/>
  <c r="Q3090" i="25"/>
  <c r="Q3086" i="25"/>
  <c r="Q3082" i="25"/>
  <c r="R3083" i="25" s="1"/>
  <c r="Q3078" i="25"/>
  <c r="R3079" i="25" s="1"/>
  <c r="Q3074" i="25"/>
  <c r="R3075" i="25" s="1"/>
  <c r="Q3070" i="25"/>
  <c r="Q3066" i="25"/>
  <c r="Q3062" i="25"/>
  <c r="Q3058" i="25"/>
  <c r="R3059" i="25" s="1"/>
  <c r="Q3054" i="25"/>
  <c r="Q3050" i="25"/>
  <c r="Q3042" i="25"/>
  <c r="R3043" i="25" s="1"/>
  <c r="Q3038" i="25"/>
  <c r="Q3034" i="25"/>
  <c r="Q3030" i="25"/>
  <c r="Q3026" i="25"/>
  <c r="R3027" i="25" s="1"/>
  <c r="Q3022" i="25"/>
  <c r="R3023" i="25" s="1"/>
  <c r="Q3018" i="25"/>
  <c r="R3019" i="25" s="1"/>
  <c r="Q3014" i="25"/>
  <c r="Q3010" i="25"/>
  <c r="Q3006" i="25"/>
  <c r="Q3002" i="25"/>
  <c r="Q2998" i="25"/>
  <c r="R2999" i="25" s="1"/>
  <c r="Q2994" i="25"/>
  <c r="Q2990" i="25"/>
  <c r="Q2986" i="25"/>
  <c r="Q2982" i="25"/>
  <c r="Q2978" i="25"/>
  <c r="Q2974" i="25"/>
  <c r="Q2970" i="25"/>
  <c r="Q2966" i="25"/>
  <c r="Q2962" i="25"/>
  <c r="Q2958" i="25"/>
  <c r="Q2954" i="25"/>
  <c r="Q2950" i="25"/>
  <c r="Q2946" i="25"/>
  <c r="Q2942" i="25"/>
  <c r="Q2938" i="25"/>
  <c r="Q2934" i="25"/>
  <c r="Q2930" i="25"/>
  <c r="Q2926" i="25"/>
  <c r="Q2922" i="25"/>
  <c r="Q2918" i="25"/>
  <c r="Q2914" i="25"/>
  <c r="Q2910" i="25"/>
  <c r="Q2906" i="25"/>
  <c r="R2907" i="25" s="1"/>
  <c r="Q2902" i="25"/>
  <c r="R2903" i="25" s="1"/>
  <c r="Q2898" i="25"/>
  <c r="Q2894" i="25"/>
  <c r="Q2890" i="25"/>
  <c r="Q2886" i="25"/>
  <c r="R2887" i="25" s="1"/>
  <c r="Q2882" i="25"/>
  <c r="Q2878" i="25"/>
  <c r="R2879" i="25" s="1"/>
  <c r="Q2874" i="25"/>
  <c r="Q2867" i="25"/>
  <c r="Q2866" i="25"/>
  <c r="Q2862" i="25"/>
  <c r="R2863" i="25" s="1"/>
  <c r="Q2858" i="25"/>
  <c r="R2859" i="25" s="1"/>
  <c r="Q2851" i="25"/>
  <c r="Q2850" i="25"/>
  <c r="Q2846" i="25"/>
  <c r="Q2842" i="25"/>
  <c r="R2843" i="25" s="1"/>
  <c r="Q2838" i="25"/>
  <c r="Q2834" i="25"/>
  <c r="Q2830" i="25"/>
  <c r="Q2826" i="25"/>
  <c r="Q2822" i="25"/>
  <c r="Q2818" i="25"/>
  <c r="Q2814" i="25"/>
  <c r="Q2810" i="25"/>
  <c r="Q2803" i="25"/>
  <c r="Q2802" i="25"/>
  <c r="Q2798" i="25"/>
  <c r="R2799" i="25" s="1"/>
  <c r="Q2794" i="25"/>
  <c r="Q2787" i="25"/>
  <c r="Q2786" i="25"/>
  <c r="Q2782" i="25"/>
  <c r="Q2778" i="25"/>
  <c r="R2779" i="25" s="1"/>
  <c r="Q2774" i="25"/>
  <c r="Q2770" i="25"/>
  <c r="Q2766" i="25"/>
  <c r="Q2762" i="25"/>
  <c r="Q2758" i="25"/>
  <c r="Q2754" i="25"/>
  <c r="Q2750" i="25"/>
  <c r="Q2746" i="25"/>
  <c r="Q2739" i="25"/>
  <c r="Q2738" i="25"/>
  <c r="Q2734" i="25"/>
  <c r="R2735" i="25" s="1"/>
  <c r="Q2730" i="25"/>
  <c r="R2731" i="25" s="1"/>
  <c r="Q2723" i="25"/>
  <c r="Q2722" i="25"/>
  <c r="Q2718" i="25"/>
  <c r="Q2714" i="25"/>
  <c r="Q2710" i="25"/>
  <c r="R2711" i="25" s="1"/>
  <c r="Q2706" i="25"/>
  <c r="Q2702" i="25"/>
  <c r="Q2698" i="25"/>
  <c r="Q2694" i="25"/>
  <c r="Q2690" i="25"/>
  <c r="Q2686" i="25"/>
  <c r="Q2682" i="25"/>
  <c r="Q2675" i="25"/>
  <c r="Q2674" i="25"/>
  <c r="Q2670" i="25"/>
  <c r="R2671" i="25" s="1"/>
  <c r="Q2666" i="25"/>
  <c r="R2667" i="25" s="1"/>
  <c r="Q2662" i="25"/>
  <c r="Q2658" i="25"/>
  <c r="Q2654" i="25"/>
  <c r="Q2650" i="25"/>
  <c r="Q2646" i="25"/>
  <c r="R2647" i="25" s="1"/>
  <c r="Q2642" i="25"/>
  <c r="Q2638" i="25"/>
  <c r="Q2634" i="25"/>
  <c r="Q2627" i="25"/>
  <c r="Q2626" i="25"/>
  <c r="Q2622" i="25"/>
  <c r="Q2618" i="25"/>
  <c r="Q2611" i="25"/>
  <c r="Q2610" i="25"/>
  <c r="Q2606" i="25"/>
  <c r="Q2602" i="25"/>
  <c r="Q2598" i="25"/>
  <c r="Q2594" i="25"/>
  <c r="Q2590" i="25"/>
  <c r="Q3099" i="25"/>
  <c r="Q3087" i="25"/>
  <c r="Q3071" i="25"/>
  <c r="Q3067" i="25"/>
  <c r="Q3051" i="25"/>
  <c r="Q3039" i="25"/>
  <c r="Q3031" i="25"/>
  <c r="Q3015" i="25"/>
  <c r="Q3003" i="25"/>
  <c r="Q2995" i="25"/>
  <c r="Q2983" i="25"/>
  <c r="Q2963" i="25"/>
  <c r="Q2955" i="25"/>
  <c r="Q2947" i="25"/>
  <c r="Q2931" i="25"/>
  <c r="Q2923" i="25"/>
  <c r="Q2911" i="25"/>
  <c r="Q2895" i="25"/>
  <c r="Q2871" i="25"/>
  <c r="Q2855" i="25"/>
  <c r="Q2839" i="25"/>
  <c r="Q2823" i="25"/>
  <c r="Q2815" i="25"/>
  <c r="Q2795" i="25"/>
  <c r="Q2775" i="25"/>
  <c r="Q2759" i="25"/>
  <c r="Q2743" i="25"/>
  <c r="Q2727" i="25"/>
  <c r="Q2715" i="25"/>
  <c r="Q2695" i="25"/>
  <c r="Q2687" i="25"/>
  <c r="Q2663" i="25"/>
  <c r="Q2651" i="25"/>
  <c r="Q2631" i="25"/>
  <c r="Q2623" i="25"/>
  <c r="Q2607" i="25"/>
  <c r="Q2591" i="25"/>
  <c r="Q2567" i="25"/>
  <c r="Q2555" i="25"/>
  <c r="Q2539" i="25"/>
  <c r="Q2527" i="25"/>
  <c r="Q2507" i="25"/>
  <c r="Q2495" i="25"/>
  <c r="Q2475" i="25"/>
  <c r="Q2463" i="25"/>
  <c r="Q2443" i="25"/>
  <c r="Q2427" i="25"/>
  <c r="Q2411" i="25"/>
  <c r="Q2391" i="25"/>
  <c r="Q2375" i="25"/>
  <c r="Q2359" i="25"/>
  <c r="Q2347" i="25"/>
  <c r="Q2327" i="25"/>
  <c r="Q2319" i="25"/>
  <c r="Q2295" i="25"/>
  <c r="Q2279" i="25"/>
  <c r="Q2263" i="25"/>
  <c r="Q2247" i="25"/>
  <c r="Q2231" i="25"/>
  <c r="Q2219" i="25"/>
  <c r="Q2207" i="25"/>
  <c r="Q2183" i="25"/>
  <c r="Q2167" i="25"/>
  <c r="Q2159" i="25"/>
  <c r="Q2143" i="25"/>
  <c r="Q2119" i="25"/>
  <c r="Q2103" i="25"/>
  <c r="Q2095" i="25"/>
  <c r="Q2071" i="25"/>
  <c r="Q2063" i="25"/>
  <c r="Q2047" i="25"/>
  <c r="Q2027" i="25"/>
  <c r="Q2015" i="25"/>
  <c r="Q1999" i="25"/>
  <c r="Q1991" i="25"/>
  <c r="Q1967" i="25"/>
  <c r="Q1947" i="25"/>
  <c r="Q3978" i="25"/>
  <c r="Q3966" i="25"/>
  <c r="Q3958" i="25"/>
  <c r="Q3946" i="25"/>
  <c r="Q3934" i="25"/>
  <c r="Q3922" i="25"/>
  <c r="Q3910" i="25"/>
  <c r="Q3902" i="25"/>
  <c r="Q3890" i="25"/>
  <c r="Q3878" i="25"/>
  <c r="Q3866" i="25"/>
  <c r="R3867" i="25" s="1"/>
  <c r="Q3854" i="25"/>
  <c r="Q3842" i="25"/>
  <c r="Q3830" i="25"/>
  <c r="Q3818" i="25"/>
  <c r="Q3810" i="25"/>
  <c r="Q3798" i="25"/>
  <c r="Q3786" i="25"/>
  <c r="Q3774" i="25"/>
  <c r="Q3762" i="25"/>
  <c r="Q3750" i="25"/>
  <c r="Q3738" i="25"/>
  <c r="Q3726" i="25"/>
  <c r="Q3718" i="25"/>
  <c r="Q3706" i="25"/>
  <c r="Q3698" i="25"/>
  <c r="Q3686" i="25"/>
  <c r="Q3674" i="25"/>
  <c r="R3675" i="25" s="1"/>
  <c r="Q3662" i="25"/>
  <c r="Q3650" i="25"/>
  <c r="Q3638" i="25"/>
  <c r="Q3626" i="25"/>
  <c r="Q3614" i="25"/>
  <c r="Q3602" i="25"/>
  <c r="Q3594" i="25"/>
  <c r="Q3586" i="25"/>
  <c r="Q3570" i="25"/>
  <c r="Q3558" i="25"/>
  <c r="Q3546" i="25"/>
  <c r="Q3538" i="25"/>
  <c r="Q3526" i="25"/>
  <c r="Q3518" i="25"/>
  <c r="Q3502" i="25"/>
  <c r="Q3490" i="25"/>
  <c r="Q3478" i="25"/>
  <c r="Q3470" i="25"/>
  <c r="Q3458" i="25"/>
  <c r="Q3446" i="25"/>
  <c r="Q3434" i="25"/>
  <c r="Q3426" i="25"/>
  <c r="Q3418" i="25"/>
  <c r="Q3402" i="25"/>
  <c r="Q3390" i="25"/>
  <c r="Q3378" i="25"/>
  <c r="Q3366" i="25"/>
  <c r="Q3354" i="25"/>
  <c r="Q3346" i="25"/>
  <c r="Q3334" i="25"/>
  <c r="Q3322" i="25"/>
  <c r="Q3314" i="25"/>
  <c r="Q3302" i="25"/>
  <c r="Q3286" i="25"/>
  <c r="Q3278" i="25"/>
  <c r="R3279" i="25" s="1"/>
  <c r="Q3266" i="25"/>
  <c r="Q3250" i="25"/>
  <c r="Q3238" i="25"/>
  <c r="Q3230" i="25"/>
  <c r="Q3218" i="25"/>
  <c r="Q3202" i="25"/>
  <c r="Q3114" i="25"/>
  <c r="Q3985" i="25"/>
  <c r="Q3974" i="25"/>
  <c r="Q3954" i="25"/>
  <c r="Q3942" i="25"/>
  <c r="Q3930" i="25"/>
  <c r="Q3914" i="25"/>
  <c r="Q3898" i="25"/>
  <c r="Q3886" i="25"/>
  <c r="Q3874" i="25"/>
  <c r="R3875" i="25" s="1"/>
  <c r="Q3858" i="25"/>
  <c r="Q3846" i="25"/>
  <c r="Q3834" i="25"/>
  <c r="Q3822" i="25"/>
  <c r="Q3806" i="25"/>
  <c r="Q3794" i="25"/>
  <c r="Q3782" i="25"/>
  <c r="Q3770" i="25"/>
  <c r="R3771" i="25" s="1"/>
  <c r="Q3754" i="25"/>
  <c r="R3755" i="25" s="1"/>
  <c r="Q3742" i="25"/>
  <c r="Q3730" i="25"/>
  <c r="Q3714" i="25"/>
  <c r="Q3702" i="25"/>
  <c r="Q3690" i="25"/>
  <c r="Q3670" i="25"/>
  <c r="Q3658" i="25"/>
  <c r="Q3646" i="25"/>
  <c r="R3647" i="25" s="1"/>
  <c r="Q3634" i="25"/>
  <c r="Q3622" i="25"/>
  <c r="Q3606" i="25"/>
  <c r="Q3590" i="25"/>
  <c r="Q3578" i="25"/>
  <c r="Q3566" i="25"/>
  <c r="Q3554" i="25"/>
  <c r="R3555" i="25" s="1"/>
  <c r="Q3534" i="25"/>
  <c r="R3535" i="25" s="1"/>
  <c r="Q3522" i="25"/>
  <c r="Q3510" i="25"/>
  <c r="Q3498" i="25"/>
  <c r="Q3486" i="25"/>
  <c r="R3487" i="25" s="1"/>
  <c r="Q3466" i="25"/>
  <c r="Q3454" i="25"/>
  <c r="Q3438" i="25"/>
  <c r="R3439" i="25" s="1"/>
  <c r="Q3422" i="25"/>
  <c r="Q3410" i="25"/>
  <c r="Q3398" i="25"/>
  <c r="Q3386" i="25"/>
  <c r="Q3374" i="25"/>
  <c r="Q3362" i="25"/>
  <c r="Q3350" i="25"/>
  <c r="Q3338" i="25"/>
  <c r="R3339" i="25" s="1"/>
  <c r="Q3318" i="25"/>
  <c r="Q3306" i="25"/>
  <c r="Q3294" i="25"/>
  <c r="Q3282" i="25"/>
  <c r="Q3270" i="25"/>
  <c r="Q3258" i="25"/>
  <c r="Q3246" i="25"/>
  <c r="Q3234" i="25"/>
  <c r="Q3222" i="25"/>
  <c r="Q3210" i="25"/>
  <c r="Q3198" i="25"/>
  <c r="Q3190" i="25"/>
  <c r="R3191" i="25" s="1"/>
  <c r="Q3182" i="25"/>
  <c r="R3183" i="25" s="1"/>
  <c r="Q3174" i="25"/>
  <c r="Q3166" i="25"/>
  <c r="Q3158" i="25"/>
  <c r="R3159" i="25" s="1"/>
  <c r="Q3150" i="25"/>
  <c r="R3151" i="25" s="1"/>
  <c r="Q3142" i="25"/>
  <c r="Q3134" i="25"/>
  <c r="Q3122" i="25"/>
  <c r="R3123" i="25" s="1"/>
  <c r="Q3046" i="25"/>
  <c r="Q2586" i="25"/>
  <c r="R2587" i="25" s="1"/>
  <c r="Q2582" i="25"/>
  <c r="Q2578" i="25"/>
  <c r="Q2574" i="25"/>
  <c r="Q2570" i="25"/>
  <c r="R2571" i="25" s="1"/>
  <c r="Q2566" i="25"/>
  <c r="Q2562" i="25"/>
  <c r="Q2558" i="25"/>
  <c r="Q2554" i="25"/>
  <c r="Q2547" i="25"/>
  <c r="Q2546" i="25"/>
  <c r="Q2542" i="25"/>
  <c r="Q2538" i="25"/>
  <c r="Q2531" i="25"/>
  <c r="Q2530" i="25"/>
  <c r="Q2526" i="25"/>
  <c r="Q2522" i="25"/>
  <c r="Q2515" i="25"/>
  <c r="Q2514" i="25"/>
  <c r="Q2510" i="25"/>
  <c r="Q2506" i="25"/>
  <c r="Q2502" i="25"/>
  <c r="R2503" i="25" s="1"/>
  <c r="Q2498" i="25"/>
  <c r="Q2494" i="25"/>
  <c r="Q2490" i="25"/>
  <c r="Q2486" i="25"/>
  <c r="Q2482" i="25"/>
  <c r="Q2478" i="25"/>
  <c r="Q2474" i="25"/>
  <c r="Q2467" i="25"/>
  <c r="Q2466" i="25"/>
  <c r="Q2462" i="25"/>
  <c r="Q2458" i="25"/>
  <c r="Q2454" i="25"/>
  <c r="Q2450" i="25"/>
  <c r="Q2446" i="25"/>
  <c r="Q2442" i="25"/>
  <c r="Q2435" i="25"/>
  <c r="Q2434" i="25"/>
  <c r="Q2430" i="25"/>
  <c r="Q2426" i="25"/>
  <c r="Q2419" i="25"/>
  <c r="Q2418" i="25"/>
  <c r="Q2414" i="25"/>
  <c r="Q2410" i="25"/>
  <c r="Q2403" i="25"/>
  <c r="Q2402" i="25"/>
  <c r="Q2398" i="25"/>
  <c r="Q2394" i="25"/>
  <c r="Q2387" i="25"/>
  <c r="Q2386" i="25"/>
  <c r="Q2382" i="25"/>
  <c r="Q2378" i="25"/>
  <c r="R2379" i="25" s="1"/>
  <c r="Q2374" i="25"/>
  <c r="Q2370" i="25"/>
  <c r="Q2366" i="25"/>
  <c r="Q2362" i="25"/>
  <c r="Q2355" i="25"/>
  <c r="Q2354" i="25"/>
  <c r="Q2350" i="25"/>
  <c r="Q2346" i="25"/>
  <c r="Q2342" i="25"/>
  <c r="Q2338" i="25"/>
  <c r="Q2334" i="25"/>
  <c r="Q2330" i="25"/>
  <c r="R2331" i="25" s="1"/>
  <c r="Q2326" i="25"/>
  <c r="Q2322" i="25"/>
  <c r="Q2318" i="25"/>
  <c r="Q2314" i="25"/>
  <c r="R2315" i="25" s="1"/>
  <c r="Q2307" i="25"/>
  <c r="Q2306" i="25"/>
  <c r="Q2302" i="25"/>
  <c r="Q2298" i="25"/>
  <c r="Q2291" i="25"/>
  <c r="Q2290" i="25"/>
  <c r="Q2286" i="25"/>
  <c r="Q2282" i="25"/>
  <c r="Q2278" i="25"/>
  <c r="Q2274" i="25"/>
  <c r="Q2270" i="25"/>
  <c r="Q2266" i="25"/>
  <c r="Q2262" i="25"/>
  <c r="Q2258" i="25"/>
  <c r="Q2254" i="25"/>
  <c r="Q2250" i="25"/>
  <c r="Q2246" i="25"/>
  <c r="Q2242" i="25"/>
  <c r="Q2238" i="25"/>
  <c r="Q2234" i="25"/>
  <c r="Q2227" i="25"/>
  <c r="Q2226" i="25"/>
  <c r="Q2222" i="25"/>
  <c r="Q2218" i="25"/>
  <c r="Q2211" i="25"/>
  <c r="Q2210" i="25"/>
  <c r="Q2206" i="25"/>
  <c r="Q2202" i="25"/>
  <c r="R2203" i="25" s="1"/>
  <c r="Q2195" i="25"/>
  <c r="Q2194" i="25"/>
  <c r="Q2190" i="25"/>
  <c r="Q2186" i="25"/>
  <c r="R2187" i="25" s="1"/>
  <c r="Q2182" i="25"/>
  <c r="Q2178" i="25"/>
  <c r="Q2174" i="25"/>
  <c r="Q2170" i="25"/>
  <c r="Q2166" i="25"/>
  <c r="R2167" i="25" s="1"/>
  <c r="Q2162" i="25"/>
  <c r="Q2158" i="25"/>
  <c r="Q2154" i="25"/>
  <c r="Q2147" i="25"/>
  <c r="Q2146" i="25"/>
  <c r="Q2142" i="25"/>
  <c r="Q2138" i="25"/>
  <c r="Q2134" i="25"/>
  <c r="Q2130" i="25"/>
  <c r="Q2126" i="25"/>
  <c r="Q2122" i="25"/>
  <c r="Q2115" i="25"/>
  <c r="Q2114" i="25"/>
  <c r="Q2110" i="25"/>
  <c r="Q2106" i="25"/>
  <c r="Q2099" i="25"/>
  <c r="Q2098" i="25"/>
  <c r="Q2094" i="25"/>
  <c r="Q2090" i="25"/>
  <c r="Q2083" i="25"/>
  <c r="Q2082" i="25"/>
  <c r="Q2078" i="25"/>
  <c r="Q2074" i="25"/>
  <c r="Q2070" i="25"/>
  <c r="Q2066" i="25"/>
  <c r="Q2062" i="25"/>
  <c r="Q2058" i="25"/>
  <c r="R2059" i="25" s="1"/>
  <c r="Q2054" i="25"/>
  <c r="R2055" i="25" s="1"/>
  <c r="Q2050" i="25"/>
  <c r="Q2046" i="25"/>
  <c r="Q2042" i="25"/>
  <c r="Q2038" i="25"/>
  <c r="Q2034" i="25"/>
  <c r="Q2030" i="25"/>
  <c r="Q2026" i="25"/>
  <c r="Q2022" i="25"/>
  <c r="Q2018" i="25"/>
  <c r="Q2014" i="25"/>
  <c r="Q2010" i="25"/>
  <c r="Q2003" i="25"/>
  <c r="Q2002" i="25"/>
  <c r="Q1998" i="25"/>
  <c r="Q1994" i="25"/>
  <c r="Q1987" i="25"/>
  <c r="Q1986" i="25"/>
  <c r="Q1982" i="25"/>
  <c r="Q1978" i="25"/>
  <c r="Q1971" i="25"/>
  <c r="Q1970" i="25"/>
  <c r="Q1966" i="25"/>
  <c r="Q1962" i="25"/>
  <c r="Q1958" i="25"/>
  <c r="Q1954" i="25"/>
  <c r="Q1950" i="25"/>
  <c r="Q1946" i="25"/>
  <c r="Q1942" i="25"/>
  <c r="Q1938" i="25"/>
  <c r="Q1934" i="25"/>
  <c r="Q1930" i="25"/>
  <c r="Q1923" i="25"/>
  <c r="Q1922" i="25"/>
  <c r="Q1918" i="25"/>
  <c r="Q1914" i="25"/>
  <c r="R1915" i="25" s="1"/>
  <c r="Q1910" i="25"/>
  <c r="R1911" i="25" s="1"/>
  <c r="Q3984" i="25"/>
  <c r="Q3980" i="25"/>
  <c r="Q3976" i="25"/>
  <c r="R3976" i="25" s="1"/>
  <c r="Q3972" i="25"/>
  <c r="Q3968" i="25"/>
  <c r="Q3964" i="25"/>
  <c r="Q3960" i="25"/>
  <c r="Q3956" i="25"/>
  <c r="Q3952" i="25"/>
  <c r="Q3948" i="25"/>
  <c r="Q3944" i="25"/>
  <c r="Q3940" i="25"/>
  <c r="Q3936" i="25"/>
  <c r="Q3932" i="25"/>
  <c r="R3932" i="25" s="1"/>
  <c r="Q3928" i="25"/>
  <c r="Q3924" i="25"/>
  <c r="Q3920" i="25"/>
  <c r="Q3916" i="25"/>
  <c r="Q3912" i="25"/>
  <c r="Q3908" i="25"/>
  <c r="Q3904" i="25"/>
  <c r="Q3900" i="25"/>
  <c r="R3900" i="25" s="1"/>
  <c r="Q3896" i="25"/>
  <c r="Q3892" i="25"/>
  <c r="Q3888" i="25"/>
  <c r="Q3884" i="25"/>
  <c r="Q3880" i="25"/>
  <c r="R3880" i="25" s="1"/>
  <c r="Q3876" i="25"/>
  <c r="Q3872" i="25"/>
  <c r="Q3868" i="25"/>
  <c r="Q3864" i="25"/>
  <c r="Q3860" i="25"/>
  <c r="Q3856" i="25"/>
  <c r="Q3852" i="25"/>
  <c r="R3852" i="25" s="1"/>
  <c r="Q3848" i="25"/>
  <c r="Q3844" i="25"/>
  <c r="R3844" i="25" s="1"/>
  <c r="Q3840" i="25"/>
  <c r="Q3836" i="25"/>
  <c r="R3836" i="25" s="1"/>
  <c r="Q3832" i="25"/>
  <c r="Q3828" i="25"/>
  <c r="Q3824" i="25"/>
  <c r="Q3820" i="25"/>
  <c r="R3820" i="25" s="1"/>
  <c r="Q3816" i="25"/>
  <c r="Q3812" i="25"/>
  <c r="Q3808" i="25"/>
  <c r="Q3804" i="25"/>
  <c r="R3804" i="25" s="1"/>
  <c r="Q3800" i="25"/>
  <c r="Q3796" i="25"/>
  <c r="Q3792" i="25"/>
  <c r="Q3788" i="25"/>
  <c r="R3788" i="25" s="1"/>
  <c r="Q3784" i="25"/>
  <c r="Q3780" i="25"/>
  <c r="Q3776" i="25"/>
  <c r="Q3772" i="25"/>
  <c r="Q3768" i="25"/>
  <c r="Q3764" i="25"/>
  <c r="Q3760" i="25"/>
  <c r="Q3756" i="25"/>
  <c r="R3756" i="25" s="1"/>
  <c r="Q3752" i="25"/>
  <c r="Q3748" i="25"/>
  <c r="Q3744" i="25"/>
  <c r="Q3740" i="25"/>
  <c r="Q3736" i="25"/>
  <c r="Q3732" i="25"/>
  <c r="Q3728" i="25"/>
  <c r="Q3724" i="25"/>
  <c r="Q3720" i="25"/>
  <c r="Q3716" i="25"/>
  <c r="Q3712" i="25"/>
  <c r="Q3708" i="25"/>
  <c r="Q3704" i="25"/>
  <c r="Q3700" i="25"/>
  <c r="Q3696" i="25"/>
  <c r="Q3692" i="25"/>
  <c r="Q3688" i="25"/>
  <c r="Q3684" i="25"/>
  <c r="Q3680" i="25"/>
  <c r="Q3676" i="25"/>
  <c r="R3676" i="25" s="1"/>
  <c r="Q3672" i="25"/>
  <c r="Q3668" i="25"/>
  <c r="Q3664" i="25"/>
  <c r="Q3660" i="25"/>
  <c r="Q3656" i="25"/>
  <c r="Q3652" i="25"/>
  <c r="Q3648" i="25"/>
  <c r="Q3644" i="25"/>
  <c r="Q3640" i="25"/>
  <c r="R3640" i="25" s="1"/>
  <c r="Q3636" i="25"/>
  <c r="R3636" i="25" s="1"/>
  <c r="Q3632" i="25"/>
  <c r="Q3628" i="25"/>
  <c r="Q3624" i="25"/>
  <c r="Q3620" i="25"/>
  <c r="Q3616" i="25"/>
  <c r="Q3612" i="25"/>
  <c r="Q3608" i="25"/>
  <c r="Q3604" i="25"/>
  <c r="Q3600" i="25"/>
  <c r="Q3596" i="25"/>
  <c r="Q3592" i="25"/>
  <c r="Q3588" i="25"/>
  <c r="Q3584" i="25"/>
  <c r="Q3580" i="25"/>
  <c r="Q3576" i="25"/>
  <c r="Q3572" i="25"/>
  <c r="Q3568" i="25"/>
  <c r="Q3564" i="25"/>
  <c r="Q3560" i="25"/>
  <c r="Q3556" i="25"/>
  <c r="Q3552" i="25"/>
  <c r="Q3548" i="25"/>
  <c r="Q3544" i="25"/>
  <c r="Q3540" i="25"/>
  <c r="Q3536" i="25"/>
  <c r="Q3532" i="25"/>
  <c r="Q3528" i="25"/>
  <c r="Q3524" i="25"/>
  <c r="Q3520" i="25"/>
  <c r="Q3516" i="25"/>
  <c r="Q3512" i="25"/>
  <c r="Q3508" i="25"/>
  <c r="Q3504" i="25"/>
  <c r="Q3500" i="25"/>
  <c r="Q3496" i="25"/>
  <c r="Q3492" i="25"/>
  <c r="Q3488" i="25"/>
  <c r="Q3484" i="25"/>
  <c r="Q3480" i="25"/>
  <c r="Q3476" i="25"/>
  <c r="Q3472" i="25"/>
  <c r="Q3468" i="25"/>
  <c r="Q3464" i="25"/>
  <c r="Q3460" i="25"/>
  <c r="Q3456" i="25"/>
  <c r="Q3452" i="25"/>
  <c r="Q3448" i="25"/>
  <c r="Q3444" i="25"/>
  <c r="Q3440" i="25"/>
  <c r="Q3436" i="25"/>
  <c r="Q3432" i="25"/>
  <c r="Q3428" i="25"/>
  <c r="Q3424" i="25"/>
  <c r="Q3420" i="25"/>
  <c r="Q3416" i="25"/>
  <c r="Q3412" i="25"/>
  <c r="Q3408" i="25"/>
  <c r="Q3404" i="25"/>
  <c r="Q3400" i="25"/>
  <c r="Q3396" i="25"/>
  <c r="Q3392" i="25"/>
  <c r="Q3388" i="25"/>
  <c r="Q3384" i="25"/>
  <c r="Q3380" i="25"/>
  <c r="Q3376" i="25"/>
  <c r="Q3372" i="25"/>
  <c r="Q3368" i="25"/>
  <c r="Q3364" i="25"/>
  <c r="Q3360" i="25"/>
  <c r="Q3356" i="25"/>
  <c r="Q3352" i="25"/>
  <c r="Q3348" i="25"/>
  <c r="Q3344" i="25"/>
  <c r="Q3340" i="25"/>
  <c r="Q3336" i="25"/>
  <c r="Q3332" i="25"/>
  <c r="Q3328" i="25"/>
  <c r="Q3324" i="25"/>
  <c r="Q3320" i="25"/>
  <c r="Q3316" i="25"/>
  <c r="Q3312" i="25"/>
  <c r="Q3308" i="25"/>
  <c r="Q3304" i="25"/>
  <c r="Q3300" i="25"/>
  <c r="Q3296" i="25"/>
  <c r="Q3292" i="25"/>
  <c r="Q3288" i="25"/>
  <c r="Q3284" i="25"/>
  <c r="R3284" i="25" s="1"/>
  <c r="Q3280" i="25"/>
  <c r="R3280" i="25" s="1"/>
  <c r="Q3276" i="25"/>
  <c r="R3276" i="25" s="1"/>
  <c r="Q3272" i="25"/>
  <c r="Q3268" i="25"/>
  <c r="Q3264" i="25"/>
  <c r="Q3260" i="25"/>
  <c r="Q3256" i="25"/>
  <c r="Q3252" i="25"/>
  <c r="Q3248" i="25"/>
  <c r="R3248" i="25" s="1"/>
  <c r="Q3244" i="25"/>
  <c r="R3244" i="25" s="1"/>
  <c r="Q3240" i="25"/>
  <c r="Q3236" i="25"/>
  <c r="Q3232" i="25"/>
  <c r="Q3228" i="25"/>
  <c r="Q3224" i="25"/>
  <c r="Q3220" i="25"/>
  <c r="Q3216" i="25"/>
  <c r="Q3212" i="25"/>
  <c r="Q3208" i="25"/>
  <c r="Q3204" i="25"/>
  <c r="Q3200" i="25"/>
  <c r="Q3196" i="25"/>
  <c r="Q3192" i="25"/>
  <c r="Q3188" i="25"/>
  <c r="Q3184" i="25"/>
  <c r="Q3180" i="25"/>
  <c r="Q3176" i="25"/>
  <c r="Q3172" i="25"/>
  <c r="Q3168" i="25"/>
  <c r="Q3164" i="25"/>
  <c r="Q3160" i="25"/>
  <c r="Q3156" i="25"/>
  <c r="Q3152" i="25"/>
  <c r="Q3148" i="25"/>
  <c r="Q3144" i="25"/>
  <c r="Q3140" i="25"/>
  <c r="Q3136" i="25"/>
  <c r="Q3132" i="25"/>
  <c r="Q3128" i="25"/>
  <c r="R3128" i="25" s="1"/>
  <c r="Q3124" i="25"/>
  <c r="Q3120" i="25"/>
  <c r="Q3116" i="25"/>
  <c r="R3116" i="25" s="1"/>
  <c r="Q3112" i="25"/>
  <c r="Q3108" i="25"/>
  <c r="Q3104" i="25"/>
  <c r="Q3100" i="25"/>
  <c r="Q3096" i="25"/>
  <c r="Q3092" i="25"/>
  <c r="R3092" i="25" s="1"/>
  <c r="Q3088" i="25"/>
  <c r="Q3084" i="25"/>
  <c r="Q3080" i="25"/>
  <c r="Q3076" i="25"/>
  <c r="Q3072" i="25"/>
  <c r="Q3068" i="25"/>
  <c r="Q3064" i="25"/>
  <c r="Q3060" i="25"/>
  <c r="Q3056" i="25"/>
  <c r="Q3052" i="25"/>
  <c r="Q3048" i="25"/>
  <c r="Q3044" i="25"/>
  <c r="R3044" i="25" s="1"/>
  <c r="Q3040" i="25"/>
  <c r="Q3036" i="25"/>
  <c r="Q3032" i="25"/>
  <c r="Q3028" i="25"/>
  <c r="R3028" i="25" s="1"/>
  <c r="Q3024" i="25"/>
  <c r="Q3020" i="25"/>
  <c r="Q3016" i="25"/>
  <c r="Q3012" i="25"/>
  <c r="Q3008" i="25"/>
  <c r="Q3004" i="25"/>
  <c r="Q3000" i="25"/>
  <c r="Q2996" i="25"/>
  <c r="Q2992" i="25"/>
  <c r="Q2988" i="25"/>
  <c r="Q1906" i="25"/>
  <c r="Q1902" i="25"/>
  <c r="Q1898" i="25"/>
  <c r="R1899" i="25" s="1"/>
  <c r="Q1894" i="25"/>
  <c r="Q1890" i="25"/>
  <c r="Q1886" i="25"/>
  <c r="Q1882" i="25"/>
  <c r="Q1875" i="25"/>
  <c r="Q1874" i="25"/>
  <c r="Q1870" i="25"/>
  <c r="Q1866" i="25"/>
  <c r="Q1859" i="25"/>
  <c r="Q1858" i="25"/>
  <c r="Q1854" i="25"/>
  <c r="Q1850" i="25"/>
  <c r="Q1846" i="25"/>
  <c r="Q1842" i="25"/>
  <c r="Q1838" i="25"/>
  <c r="Q1834" i="25"/>
  <c r="Q1830" i="25"/>
  <c r="Q1826" i="25"/>
  <c r="Q1822" i="25"/>
  <c r="Q1818" i="25"/>
  <c r="Q1811" i="25"/>
  <c r="Q1810" i="25"/>
  <c r="Q1806" i="25"/>
  <c r="Q1802" i="25"/>
  <c r="Q1798" i="25"/>
  <c r="Q1794" i="25"/>
  <c r="Q1790" i="25"/>
  <c r="Q1786" i="25"/>
  <c r="Q1779" i="25"/>
  <c r="Q1778" i="25"/>
  <c r="Q1774" i="25"/>
  <c r="Q1770" i="25"/>
  <c r="Q1763" i="25"/>
  <c r="Q1762" i="25"/>
  <c r="Q1758" i="25"/>
  <c r="Q1754" i="25"/>
  <c r="Q1747" i="25"/>
  <c r="Q1746" i="25"/>
  <c r="Q1742" i="25"/>
  <c r="Q1738" i="25"/>
  <c r="Q1731" i="25"/>
  <c r="Q1730" i="25"/>
  <c r="Q1726" i="25"/>
  <c r="Q1722" i="25"/>
  <c r="Q1718" i="25"/>
  <c r="Q1714" i="25"/>
  <c r="Q1710" i="25"/>
  <c r="Q1706" i="25"/>
  <c r="Q1699" i="25"/>
  <c r="Q1698" i="25"/>
  <c r="Q1694" i="25"/>
  <c r="Q1690" i="25"/>
  <c r="Q1683" i="25"/>
  <c r="Q1682" i="25"/>
  <c r="Q1678" i="25"/>
  <c r="Q1674" i="25"/>
  <c r="Q1670" i="25"/>
  <c r="Q1666" i="25"/>
  <c r="Q1662" i="25"/>
  <c r="Q1658" i="25"/>
  <c r="Q1651" i="25"/>
  <c r="Q1650" i="25"/>
  <c r="Q1646" i="25"/>
  <c r="Q1642" i="25"/>
  <c r="Q1635" i="25"/>
  <c r="Q1634" i="25"/>
  <c r="Q1630" i="25"/>
  <c r="Q1626" i="25"/>
  <c r="Q1619" i="25"/>
  <c r="Q1618" i="25"/>
  <c r="Q1614" i="25"/>
  <c r="Q1610" i="25"/>
  <c r="Q1603" i="25"/>
  <c r="Q1602" i="25"/>
  <c r="Q1598" i="25"/>
  <c r="Q1594" i="25"/>
  <c r="Q1590" i="25"/>
  <c r="Q1586" i="25"/>
  <c r="Q1582" i="25"/>
  <c r="Q1578" i="25"/>
  <c r="Q1571" i="25"/>
  <c r="Q1570" i="25"/>
  <c r="Q2984" i="25"/>
  <c r="R2984" i="25" s="1"/>
  <c r="Q2980" i="25"/>
  <c r="Q2976" i="25"/>
  <c r="Q2972" i="25"/>
  <c r="Q2968" i="25"/>
  <c r="Q2964" i="25"/>
  <c r="Q2960" i="25"/>
  <c r="Q2956" i="25"/>
  <c r="Q2952" i="25"/>
  <c r="Q2948" i="25"/>
  <c r="Q2944" i="25"/>
  <c r="Q2940" i="25"/>
  <c r="Q2936" i="25"/>
  <c r="Q2932" i="25"/>
  <c r="Q2928" i="25"/>
  <c r="Q2924" i="25"/>
  <c r="Q2920" i="25"/>
  <c r="Q2916" i="25"/>
  <c r="Q2912" i="25"/>
  <c r="Q2908" i="25"/>
  <c r="Q2900" i="25"/>
  <c r="Q2896" i="25"/>
  <c r="Q2892" i="25"/>
  <c r="Q2884" i="25"/>
  <c r="Q2880" i="25"/>
  <c r="Q2876" i="25"/>
  <c r="Q2868" i="25"/>
  <c r="Q2864" i="25"/>
  <c r="Q2860" i="25"/>
  <c r="Q2852" i="25"/>
  <c r="Q2848" i="25"/>
  <c r="Q2844" i="25"/>
  <c r="Q2836" i="25"/>
  <c r="Q2832" i="25"/>
  <c r="Q2828" i="25"/>
  <c r="Q2820" i="25"/>
  <c r="Q2816" i="25"/>
  <c r="R2816" i="25" s="1"/>
  <c r="Q2812" i="25"/>
  <c r="Q2804" i="25"/>
  <c r="Q2800" i="25"/>
  <c r="Q2796" i="25"/>
  <c r="Q2788" i="25"/>
  <c r="Q2784" i="25"/>
  <c r="Q2780" i="25"/>
  <c r="Q2772" i="25"/>
  <c r="Q2768" i="25"/>
  <c r="Q2764" i="25"/>
  <c r="Q2756" i="25"/>
  <c r="Q2752" i="25"/>
  <c r="R2752" i="25" s="1"/>
  <c r="Q2748" i="25"/>
  <c r="Q2740" i="25"/>
  <c r="Q2736" i="25"/>
  <c r="Q2732" i="25"/>
  <c r="Q2724" i="25"/>
  <c r="Q2720" i="25"/>
  <c r="Q2716" i="25"/>
  <c r="Q2708" i="25"/>
  <c r="Q2704" i="25"/>
  <c r="Q2700" i="25"/>
  <c r="Q2692" i="25"/>
  <c r="Q2688" i="25"/>
  <c r="R2688" i="25" s="1"/>
  <c r="Q2684" i="25"/>
  <c r="Q2676" i="25"/>
  <c r="Q2672" i="25"/>
  <c r="Q2668" i="25"/>
  <c r="Q2660" i="25"/>
  <c r="Q2656" i="25"/>
  <c r="Q2652" i="25"/>
  <c r="Q2644" i="25"/>
  <c r="Q2640" i="25"/>
  <c r="Q2636" i="25"/>
  <c r="Q2628" i="25"/>
  <c r="Q2624" i="25"/>
  <c r="R2624" i="25" s="1"/>
  <c r="Q2620" i="25"/>
  <c r="Q2612" i="25"/>
  <c r="Q2608" i="25"/>
  <c r="Q2604" i="25"/>
  <c r="Q2596" i="25"/>
  <c r="Q2592" i="25"/>
  <c r="Q2588" i="25"/>
  <c r="R2588" i="25" s="1"/>
  <c r="Q2580" i="25"/>
  <c r="Q2576" i="25"/>
  <c r="Q2572" i="25"/>
  <c r="Q2564" i="25"/>
  <c r="Q2560" i="25"/>
  <c r="R2560" i="25" s="1"/>
  <c r="Q2556" i="25"/>
  <c r="Q2548" i="25"/>
  <c r="Q2544" i="25"/>
  <c r="Q2540" i="25"/>
  <c r="Q2532" i="25"/>
  <c r="Q2528" i="25"/>
  <c r="Q2524" i="25"/>
  <c r="Q2516" i="25"/>
  <c r="Q2512" i="25"/>
  <c r="Q2508" i="25"/>
  <c r="Q2500" i="25"/>
  <c r="Q2496" i="25"/>
  <c r="R2496" i="25" s="1"/>
  <c r="Q2492" i="25"/>
  <c r="Q2484" i="25"/>
  <c r="Q2480" i="25"/>
  <c r="Q2476" i="25"/>
  <c r="Q2468" i="25"/>
  <c r="Q2464" i="25"/>
  <c r="Q2460" i="25"/>
  <c r="Q2452" i="25"/>
  <c r="Q2448" i="25"/>
  <c r="Q2444" i="25"/>
  <c r="Q2436" i="25"/>
  <c r="Q2432" i="25"/>
  <c r="Q2428" i="25"/>
  <c r="Q2420" i="25"/>
  <c r="Q2416" i="25"/>
  <c r="Q2412" i="25"/>
  <c r="Q2404" i="25"/>
  <c r="Q2400" i="25"/>
  <c r="Q2396" i="25"/>
  <c r="Q2388" i="25"/>
  <c r="Q2384" i="25"/>
  <c r="Q2380" i="25"/>
  <c r="Q2372" i="25"/>
  <c r="Q2368" i="25"/>
  <c r="R2368" i="25" s="1"/>
  <c r="Q2364" i="25"/>
  <c r="Q2356" i="25"/>
  <c r="Q2352" i="25"/>
  <c r="Q2348" i="25"/>
  <c r="Q2340" i="25"/>
  <c r="Q2336" i="25"/>
  <c r="Q2332" i="25"/>
  <c r="R2332" i="25" s="1"/>
  <c r="Q2324" i="25"/>
  <c r="Q2320" i="25"/>
  <c r="Q2316" i="25"/>
  <c r="Q2308" i="25"/>
  <c r="Q2304" i="25"/>
  <c r="R2304" i="25" s="1"/>
  <c r="Q2300" i="25"/>
  <c r="Q2292" i="25"/>
  <c r="Q2288" i="25"/>
  <c r="Q2284" i="25"/>
  <c r="Q2276" i="25"/>
  <c r="Q2272" i="25"/>
  <c r="Q2268" i="25"/>
  <c r="Q2260" i="25"/>
  <c r="Q2256" i="25"/>
  <c r="Q2252" i="25"/>
  <c r="Q2244" i="25"/>
  <c r="Q2240" i="25"/>
  <c r="R2240" i="25" s="1"/>
  <c r="Q2236" i="25"/>
  <c r="Q2228" i="25"/>
  <c r="Q2224" i="25"/>
  <c r="Q2220" i="25"/>
  <c r="Q2212" i="25"/>
  <c r="Q2208" i="25"/>
  <c r="Q2204" i="25"/>
  <c r="Q2196" i="25"/>
  <c r="Q2192" i="25"/>
  <c r="Q2188" i="25"/>
  <c r="Q2180" i="25"/>
  <c r="Q2176" i="25"/>
  <c r="Q2172" i="25"/>
  <c r="Q2164" i="25"/>
  <c r="Q2160" i="25"/>
  <c r="Q2156" i="25"/>
  <c r="Q2148" i="25"/>
  <c r="Q2144" i="25"/>
  <c r="Q2140" i="25"/>
  <c r="Q2132" i="25"/>
  <c r="Q2128" i="25"/>
  <c r="Q2124" i="25"/>
  <c r="Q2116" i="25"/>
  <c r="Q2112" i="25"/>
  <c r="Q2108" i="25"/>
  <c r="Q2100" i="25"/>
  <c r="Q2096" i="25"/>
  <c r="Q2092" i="25"/>
  <c r="Q2084" i="25"/>
  <c r="Q2080" i="25"/>
  <c r="Q2076" i="25"/>
  <c r="Q2068" i="25"/>
  <c r="Q2064" i="25"/>
  <c r="Q2060" i="25"/>
  <c r="Q2052" i="25"/>
  <c r="Q2048" i="25"/>
  <c r="R2048" i="25" s="1"/>
  <c r="Q2044" i="25"/>
  <c r="Q2036" i="25"/>
  <c r="Q2032" i="25"/>
  <c r="Q2028" i="25"/>
  <c r="Q2020" i="25"/>
  <c r="Q2016" i="25"/>
  <c r="Q2012" i="25"/>
  <c r="Q2004" i="25"/>
  <c r="Q2000" i="25"/>
  <c r="Q1996" i="25"/>
  <c r="Q1988" i="25"/>
  <c r="Q1984" i="25"/>
  <c r="Q1980" i="25"/>
  <c r="Q1972" i="25"/>
  <c r="Q1968" i="25"/>
  <c r="Q1964" i="25"/>
  <c r="R1964" i="25" s="1"/>
  <c r="Q1956" i="25"/>
  <c r="Q1952" i="25"/>
  <c r="Q1948" i="25"/>
  <c r="Q1940" i="25"/>
  <c r="Q1936" i="25"/>
  <c r="Q1932" i="25"/>
  <c r="Q1924" i="25"/>
  <c r="Q1920" i="25"/>
  <c r="Q1916" i="25"/>
  <c r="Q1908" i="25"/>
  <c r="Q1904" i="25"/>
  <c r="Q1900" i="25"/>
  <c r="Q1892" i="25"/>
  <c r="Q1888" i="25"/>
  <c r="Q1884" i="25"/>
  <c r="Q1876" i="25"/>
  <c r="Q1872" i="25"/>
  <c r="Q1868" i="25"/>
  <c r="Q1860" i="25"/>
  <c r="Q1856" i="25"/>
  <c r="Q1852" i="25"/>
  <c r="Q1844" i="25"/>
  <c r="Q1840" i="25"/>
  <c r="Q1836" i="25"/>
  <c r="Q1828" i="25"/>
  <c r="Q1824" i="25"/>
  <c r="Q1820" i="25"/>
  <c r="Q1812" i="25"/>
  <c r="Q1808" i="25"/>
  <c r="Q1804" i="25"/>
  <c r="Q1796" i="25"/>
  <c r="Q1792" i="25"/>
  <c r="Q1788" i="25"/>
  <c r="Q1780" i="25"/>
  <c r="Q1566" i="25"/>
  <c r="Q1562" i="25"/>
  <c r="Q1558" i="25"/>
  <c r="Q1554" i="25"/>
  <c r="Q1550" i="25"/>
  <c r="Q1546" i="25"/>
  <c r="Q1542" i="25"/>
  <c r="Q1538" i="25"/>
  <c r="Q1534" i="25"/>
  <c r="Q1530" i="25"/>
  <c r="Q1523" i="25"/>
  <c r="Q1522" i="25"/>
  <c r="Q1518" i="25"/>
  <c r="Q1514" i="25"/>
  <c r="Q1507" i="25"/>
  <c r="Q1506" i="25"/>
  <c r="Q1502" i="25"/>
  <c r="Q1498" i="25"/>
  <c r="Q1491" i="25"/>
  <c r="Q1490" i="25"/>
  <c r="Q1486" i="25"/>
  <c r="Q1482" i="25"/>
  <c r="Q1478" i="25"/>
  <c r="Q1474" i="25"/>
  <c r="Q1470" i="25"/>
  <c r="Q1466" i="25"/>
  <c r="Q1462" i="25"/>
  <c r="Q1458" i="25"/>
  <c r="Q1454" i="25"/>
  <c r="Q1450" i="25"/>
  <c r="Q1443" i="25"/>
  <c r="Q1442" i="25"/>
  <c r="Q1438" i="25"/>
  <c r="Q1434" i="25"/>
  <c r="Q1430" i="25"/>
  <c r="Q1426" i="25"/>
  <c r="Q1422" i="25"/>
  <c r="Q1418" i="25"/>
  <c r="Q1414" i="25"/>
  <c r="Q1410" i="25"/>
  <c r="Q1406" i="25"/>
  <c r="Q1402" i="25"/>
  <c r="Q1398" i="25"/>
  <c r="Q1394" i="25"/>
  <c r="Q1390" i="25"/>
  <c r="Q1386" i="25"/>
  <c r="Q1382" i="25"/>
  <c r="Q1378" i="25"/>
  <c r="Q1374" i="25"/>
  <c r="Q1370" i="25"/>
  <c r="Q1366" i="25"/>
  <c r="Q1362" i="25"/>
  <c r="Q1358" i="25"/>
  <c r="Q1354" i="25"/>
  <c r="Q1350" i="25"/>
  <c r="Q1346" i="25"/>
  <c r="Q1320" i="25"/>
  <c r="Q1304" i="25"/>
  <c r="Q1256" i="25"/>
  <c r="Q1240" i="25"/>
  <c r="Q1234" i="25"/>
  <c r="Q1192" i="25"/>
  <c r="Q1176" i="25"/>
  <c r="Q1144" i="25"/>
  <c r="Q1128" i="25"/>
  <c r="Q1096" i="25"/>
  <c r="Q1080" i="25"/>
  <c r="Q1032" i="25"/>
  <c r="Q1016" i="25"/>
  <c r="Q984" i="25"/>
  <c r="Q872" i="25"/>
  <c r="Q840" i="25"/>
  <c r="Q808" i="25"/>
  <c r="Q792" i="25"/>
  <c r="Q760" i="25"/>
  <c r="Q728" i="25"/>
  <c r="Q696" i="25"/>
  <c r="Q680" i="25"/>
  <c r="Q632" i="25"/>
  <c r="Q616" i="25"/>
  <c r="Q584" i="25"/>
  <c r="Q568" i="25"/>
  <c r="Q536" i="25"/>
  <c r="Q504" i="25"/>
  <c r="Q1776" i="25"/>
  <c r="Q1772" i="25"/>
  <c r="Q1764" i="25"/>
  <c r="Q1760" i="25"/>
  <c r="Q1756" i="25"/>
  <c r="Q1748" i="25"/>
  <c r="Q1744" i="25"/>
  <c r="Q1740" i="25"/>
  <c r="Q1732" i="25"/>
  <c r="Q1728" i="25"/>
  <c r="Q1724" i="25"/>
  <c r="Q1716" i="25"/>
  <c r="Q1712" i="25"/>
  <c r="Q1708" i="25"/>
  <c r="Q1700" i="25"/>
  <c r="Q1696" i="25"/>
  <c r="Q1692" i="25"/>
  <c r="Q1684" i="25"/>
  <c r="Q1680" i="25"/>
  <c r="Q1676" i="25"/>
  <c r="Q1668" i="25"/>
  <c r="Q1664" i="25"/>
  <c r="Q1660" i="25"/>
  <c r="Q1652" i="25"/>
  <c r="Q1648" i="25"/>
  <c r="Q1644" i="25"/>
  <c r="Q1636" i="25"/>
  <c r="Q1632" i="25"/>
  <c r="Q1628" i="25"/>
  <c r="Q1620" i="25"/>
  <c r="Q1616" i="25"/>
  <c r="Q1612" i="25"/>
  <c r="Q1604" i="25"/>
  <c r="Q1600" i="25"/>
  <c r="Q1596" i="25"/>
  <c r="Q1588" i="25"/>
  <c r="Q1584" i="25"/>
  <c r="Q1580" i="25"/>
  <c r="Q1572" i="25"/>
  <c r="Q1568" i="25"/>
  <c r="Q1564" i="25"/>
  <c r="Q1556" i="25"/>
  <c r="Q1552" i="25"/>
  <c r="Q1548" i="25"/>
  <c r="Q1540" i="25"/>
  <c r="Q1536" i="25"/>
  <c r="Q1532" i="25"/>
  <c r="Q1524" i="25"/>
  <c r="Q1520" i="25"/>
  <c r="Q1516" i="25"/>
  <c r="Q1508" i="25"/>
  <c r="Q1504" i="25"/>
  <c r="Q1500" i="25"/>
  <c r="Q1492" i="25"/>
  <c r="Q1488" i="25"/>
  <c r="Q1484" i="25"/>
  <c r="Q1476" i="25"/>
  <c r="Q1472" i="25"/>
  <c r="Q1468" i="25"/>
  <c r="Q1460" i="25"/>
  <c r="Q1456" i="25"/>
  <c r="Q1452" i="25"/>
  <c r="Q1444" i="25"/>
  <c r="Q1440" i="25"/>
  <c r="Q1432" i="25"/>
  <c r="Q1424" i="25"/>
  <c r="Q1416" i="25"/>
  <c r="Q1408" i="25"/>
  <c r="Q1400" i="25"/>
  <c r="Q1392" i="25"/>
  <c r="Q1384" i="25"/>
  <c r="Q1376" i="25"/>
  <c r="Q1368" i="25"/>
  <c r="Q1360" i="25"/>
  <c r="Q1352" i="25"/>
  <c r="Q1344" i="25"/>
  <c r="Q1340" i="25"/>
  <c r="Q1332" i="25"/>
  <c r="Q1328" i="25"/>
  <c r="Q1324" i="25"/>
  <c r="Q1316" i="25"/>
  <c r="Q1312" i="25"/>
  <c r="Q1308" i="25"/>
  <c r="Q1300" i="25"/>
  <c r="Q1296" i="25"/>
  <c r="Q1292" i="25"/>
  <c r="Q1284" i="25"/>
  <c r="Q1280" i="25"/>
  <c r="Q1276" i="25"/>
  <c r="Q1268" i="25"/>
  <c r="Q1264" i="25"/>
  <c r="Q1260" i="25"/>
  <c r="Q1252" i="25"/>
  <c r="Q1248" i="25"/>
  <c r="Q1244" i="25"/>
  <c r="Q1236" i="25"/>
  <c r="Q1232" i="25"/>
  <c r="Q1228" i="25"/>
  <c r="Q1220" i="25"/>
  <c r="Q1216" i="25"/>
  <c r="Q1212" i="25"/>
  <c r="Q1204" i="25"/>
  <c r="Q1200" i="25"/>
  <c r="Q1196" i="25"/>
  <c r="Q1188" i="25"/>
  <c r="Q1184" i="25"/>
  <c r="Q1180" i="25"/>
  <c r="Q1172" i="25"/>
  <c r="Q1168" i="25"/>
  <c r="Q1164" i="25"/>
  <c r="Q1156" i="25"/>
  <c r="Q1152" i="25"/>
  <c r="Q1148" i="25"/>
  <c r="Q1140" i="25"/>
  <c r="Q1136" i="25"/>
  <c r="Q1132" i="25"/>
  <c r="Q1124" i="25"/>
  <c r="Q1120" i="25"/>
  <c r="Q1116" i="25"/>
  <c r="Q1108" i="25"/>
  <c r="Q1104" i="25"/>
  <c r="Q1100" i="25"/>
  <c r="Q1092" i="25"/>
  <c r="Q1088" i="25"/>
  <c r="Q1084" i="25"/>
  <c r="Q1076" i="25"/>
  <c r="Q1072" i="25"/>
  <c r="Q1068" i="25"/>
  <c r="Q1060" i="25"/>
  <c r="Q1056" i="25"/>
  <c r="Q1052" i="25"/>
  <c r="Q1044" i="25"/>
  <c r="Q1040" i="25"/>
  <c r="Q1036" i="25"/>
  <c r="Q1028" i="25"/>
  <c r="Q1024" i="25"/>
  <c r="Q1020" i="25"/>
  <c r="Q1012" i="25"/>
  <c r="Q1008" i="25"/>
  <c r="Q1004" i="25"/>
  <c r="Q996" i="25"/>
  <c r="Q992" i="25"/>
  <c r="Q988" i="25"/>
  <c r="Q980" i="25"/>
  <c r="Q976" i="25"/>
  <c r="Q972" i="25"/>
  <c r="Q964" i="25"/>
  <c r="Q960" i="25"/>
  <c r="Q956" i="25"/>
  <c r="Q948" i="25"/>
  <c r="Q944" i="25"/>
  <c r="Q940" i="25"/>
  <c r="Q932" i="25"/>
  <c r="Q928" i="25"/>
  <c r="Q924" i="25"/>
  <c r="Q916" i="25"/>
  <c r="Q912" i="25"/>
  <c r="Q908" i="25"/>
  <c r="Q900" i="25"/>
  <c r="Q896" i="25"/>
  <c r="Q892" i="25"/>
  <c r="Q884" i="25"/>
  <c r="Q880" i="25"/>
  <c r="Q876" i="25"/>
  <c r="Q868" i="25"/>
  <c r="Q864" i="25"/>
  <c r="Q860" i="25"/>
  <c r="Q852" i="25"/>
  <c r="Q848" i="25"/>
  <c r="Q844" i="25"/>
  <c r="Q1887" i="25"/>
  <c r="Q1883" i="25"/>
  <c r="Q1879" i="25"/>
  <c r="Q1871" i="25"/>
  <c r="Q1867" i="25"/>
  <c r="Q1863" i="25"/>
  <c r="Q1855" i="25"/>
  <c r="Q1851" i="25"/>
  <c r="Q1847" i="25"/>
  <c r="Q1839" i="25"/>
  <c r="Q1835" i="25"/>
  <c r="Q1831" i="25"/>
  <c r="Q1823" i="25"/>
  <c r="Q1819" i="25"/>
  <c r="Q1815" i="25"/>
  <c r="Q1807" i="25"/>
  <c r="Q1803" i="25"/>
  <c r="Q1799" i="25"/>
  <c r="Q1791" i="25"/>
  <c r="Q1787" i="25"/>
  <c r="Q1783" i="25"/>
  <c r="Q1775" i="25"/>
  <c r="Q1771" i="25"/>
  <c r="Q1767" i="25"/>
  <c r="Q1759" i="25"/>
  <c r="Q1755" i="25"/>
  <c r="Q1751" i="25"/>
  <c r="Q1743" i="25"/>
  <c r="Q1739" i="25"/>
  <c r="Q1735" i="25"/>
  <c r="Q1727" i="25"/>
  <c r="Q1723" i="25"/>
  <c r="Q1719" i="25"/>
  <c r="Q1711" i="25"/>
  <c r="Q1707" i="25"/>
  <c r="Q1703" i="25"/>
  <c r="Q1695" i="25"/>
  <c r="Q1691" i="25"/>
  <c r="Q1687" i="25"/>
  <c r="Q1679" i="25"/>
  <c r="Q1675" i="25"/>
  <c r="Q1671" i="25"/>
  <c r="Q1663" i="25"/>
  <c r="Q1659" i="25"/>
  <c r="Q1655" i="25"/>
  <c r="Q1647" i="25"/>
  <c r="Q1643" i="25"/>
  <c r="Q1639" i="25"/>
  <c r="Q1631" i="25"/>
  <c r="Q1627" i="25"/>
  <c r="Q1623" i="25"/>
  <c r="Q1615" i="25"/>
  <c r="Q1611" i="25"/>
  <c r="Q1607" i="25"/>
  <c r="Q1599" i="25"/>
  <c r="Q1595" i="25"/>
  <c r="Q1591" i="25"/>
  <c r="Q1583" i="25"/>
  <c r="Q1579" i="25"/>
  <c r="Q1575" i="25"/>
  <c r="Q1567" i="25"/>
  <c r="Q1563" i="25"/>
  <c r="Q1559" i="25"/>
  <c r="Q1551" i="25"/>
  <c r="Q1547" i="25"/>
  <c r="Q1543" i="25"/>
  <c r="Q1535" i="25"/>
  <c r="Q1531" i="25"/>
  <c r="Q1527" i="25"/>
  <c r="Q1519" i="25"/>
  <c r="Q1515" i="25"/>
  <c r="Q1511" i="25"/>
  <c r="Q1503" i="25"/>
  <c r="Q1499" i="25"/>
  <c r="Q1495" i="25"/>
  <c r="Q1487" i="25"/>
  <c r="Q1483" i="25"/>
  <c r="Q1479" i="25"/>
  <c r="Q1471" i="25"/>
  <c r="Q1467" i="25"/>
  <c r="Q1463" i="25"/>
  <c r="Q1455" i="25"/>
  <c r="Q1451" i="25"/>
  <c r="Q1447" i="25"/>
  <c r="Q836" i="25"/>
  <c r="Q832" i="25"/>
  <c r="Q828" i="25"/>
  <c r="Q820" i="25"/>
  <c r="Q816" i="25"/>
  <c r="Q812" i="25"/>
  <c r="Q804" i="25"/>
  <c r="Q800" i="25"/>
  <c r="Q796" i="25"/>
  <c r="Q788" i="25"/>
  <c r="Q784" i="25"/>
  <c r="Q780" i="25"/>
  <c r="Q772" i="25"/>
  <c r="Q768" i="25"/>
  <c r="Q764" i="25"/>
  <c r="Q756" i="25"/>
  <c r="Q752" i="25"/>
  <c r="Q748" i="25"/>
  <c r="Q740" i="25"/>
  <c r="Q736" i="25"/>
  <c r="Q732" i="25"/>
  <c r="Q724" i="25"/>
  <c r="Q720" i="25"/>
  <c r="Q716" i="25"/>
  <c r="Q708" i="25"/>
  <c r="Q704" i="25"/>
  <c r="Q700" i="25"/>
  <c r="Q692" i="25"/>
  <c r="Q688" i="25"/>
  <c r="Q684" i="25"/>
  <c r="Q676" i="25"/>
  <c r="Q672" i="25"/>
  <c r="Q668" i="25"/>
  <c r="Q660" i="25"/>
  <c r="Q656" i="25"/>
  <c r="Q652" i="25"/>
  <c r="Q644" i="25"/>
  <c r="Q640" i="25"/>
  <c r="Q636" i="25"/>
  <c r="Q628" i="25"/>
  <c r="Q624" i="25"/>
  <c r="Q620" i="25"/>
  <c r="Q612" i="25"/>
  <c r="Q608" i="25"/>
  <c r="Q604" i="25"/>
  <c r="Q596" i="25"/>
  <c r="Q592" i="25"/>
  <c r="Q588" i="25"/>
  <c r="Q580" i="25"/>
  <c r="Q576" i="25"/>
  <c r="Q572" i="25"/>
  <c r="Q564" i="25"/>
  <c r="Q560" i="25"/>
  <c r="Q556" i="25"/>
  <c r="Q548" i="25"/>
  <c r="Q544" i="25"/>
  <c r="Q540" i="25"/>
  <c r="Q532" i="25"/>
  <c r="Q528" i="25"/>
  <c r="Q524" i="25"/>
  <c r="Q516" i="25"/>
  <c r="Q512" i="25"/>
  <c r="Q508" i="25"/>
  <c r="Q500" i="25"/>
  <c r="Q496" i="25"/>
  <c r="Q492" i="25"/>
  <c r="Q1338" i="25"/>
  <c r="Q1326" i="25"/>
  <c r="Q1310" i="25"/>
  <c r="Q1298" i="25"/>
  <c r="Q1286" i="25"/>
  <c r="Q1274" i="25"/>
  <c r="Q1262" i="25"/>
  <c r="Q1254" i="25"/>
  <c r="Q1246" i="25"/>
  <c r="Q1230" i="25"/>
  <c r="Q1218" i="25"/>
  <c r="Q1202" i="25"/>
  <c r="Q1182" i="25"/>
  <c r="Q1170" i="25"/>
  <c r="Q1150" i="25"/>
  <c r="Q1138" i="25"/>
  <c r="Q1118" i="25"/>
  <c r="Q1102" i="25"/>
  <c r="Q1086" i="25"/>
  <c r="Q1074" i="25"/>
  <c r="Q1054" i="25"/>
  <c r="Q1046" i="25"/>
  <c r="Q1026" i="25"/>
  <c r="Q1014" i="25"/>
  <c r="Q998" i="25"/>
  <c r="Q982" i="25"/>
  <c r="Q970" i="25"/>
  <c r="Q950" i="25"/>
  <c r="Q942" i="25"/>
  <c r="Q922" i="25"/>
  <c r="Q910" i="25"/>
  <c r="Q890" i="25"/>
  <c r="Q878" i="25"/>
  <c r="Q862" i="25"/>
  <c r="Q850" i="25"/>
  <c r="Q834" i="25"/>
  <c r="Q814" i="25"/>
  <c r="Q802" i="25"/>
  <c r="Q786" i="25"/>
  <c r="Q766" i="25"/>
  <c r="Q750" i="25"/>
  <c r="Q738" i="25"/>
  <c r="Q726" i="25"/>
  <c r="Q714" i="25"/>
  <c r="Q694" i="25"/>
  <c r="Q678" i="25"/>
  <c r="Q670" i="25"/>
  <c r="Q654" i="25"/>
  <c r="Q638" i="25"/>
  <c r="Q622" i="25"/>
  <c r="Q610" i="25"/>
  <c r="Q594" i="25"/>
  <c r="Q578" i="25"/>
  <c r="Q558" i="25"/>
  <c r="Q550" i="25"/>
  <c r="Q526" i="25"/>
  <c r="Q514" i="25"/>
  <c r="Q498" i="25"/>
  <c r="Q3977" i="25"/>
  <c r="Q3969" i="25"/>
  <c r="Q3953" i="25"/>
  <c r="Q3937" i="25"/>
  <c r="Q3925" i="25"/>
  <c r="Q3905" i="25"/>
  <c r="Q3897" i="25"/>
  <c r="Q3881" i="25"/>
  <c r="Q3865" i="25"/>
  <c r="Q3853" i="25"/>
  <c r="Q3841" i="25"/>
  <c r="Q3825" i="25"/>
  <c r="Q3805" i="25"/>
  <c r="Q3793" i="25"/>
  <c r="Q3781" i="25"/>
  <c r="Q3761" i="25"/>
  <c r="Q3749" i="25"/>
  <c r="Q3733" i="25"/>
  <c r="Q3721" i="25"/>
  <c r="Q3705" i="25"/>
  <c r="Q3689" i="25"/>
  <c r="Q3677" i="25"/>
  <c r="Q3665" i="25"/>
  <c r="Q3645" i="25"/>
  <c r="Q3633" i="25"/>
  <c r="Q3617" i="25"/>
  <c r="Q3601" i="25"/>
  <c r="Q3585" i="25"/>
  <c r="Q3577" i="25"/>
  <c r="Q3565" i="25"/>
  <c r="Q3549" i="25"/>
  <c r="Q3533" i="25"/>
  <c r="Q3521" i="25"/>
  <c r="Q3505" i="25"/>
  <c r="Q3489" i="25"/>
  <c r="Q3473" i="25"/>
  <c r="Q3461" i="25"/>
  <c r="Q3445" i="25"/>
  <c r="Q3425" i="25"/>
  <c r="Q3413" i="25"/>
  <c r="Q3401" i="25"/>
  <c r="Q3389" i="25"/>
  <c r="Q3373" i="25"/>
  <c r="Q3353" i="25"/>
  <c r="Q3341" i="25"/>
  <c r="Q3325" i="25"/>
  <c r="Q3317" i="25"/>
  <c r="Q3297" i="25"/>
  <c r="Q3285" i="25"/>
  <c r="Q3269" i="25"/>
  <c r="Q3253" i="25"/>
  <c r="Q3241" i="25"/>
  <c r="Q3229" i="25"/>
  <c r="Q3213" i="25"/>
  <c r="Q3201" i="25"/>
  <c r="Q3181" i="25"/>
  <c r="Q3169" i="25"/>
  <c r="Q3157" i="25"/>
  <c r="Q3137" i="25"/>
  <c r="Q3121" i="25"/>
  <c r="Q3109" i="25"/>
  <c r="Q3093" i="25"/>
  <c r="Q3085" i="25"/>
  <c r="Q3065" i="25"/>
  <c r="Q3057" i="25"/>
  <c r="Q3037" i="25"/>
  <c r="Q3029" i="25"/>
  <c r="Q3009" i="25"/>
  <c r="Q2993" i="25"/>
  <c r="Q2981" i="25"/>
  <c r="Q2969" i="25"/>
  <c r="Q2957" i="25"/>
  <c r="Q2941" i="25"/>
  <c r="Q2929" i="25"/>
  <c r="Q2917" i="25"/>
  <c r="Q2899" i="25"/>
  <c r="Q2883" i="25"/>
  <c r="Q2856" i="25"/>
  <c r="Q2835" i="25"/>
  <c r="Q2819" i="25"/>
  <c r="Q2744" i="25"/>
  <c r="Q2728" i="25"/>
  <c r="Q2707" i="25"/>
  <c r="Q2691" i="25"/>
  <c r="Q2616" i="25"/>
  <c r="Q2595" i="25"/>
  <c r="Q2584" i="25"/>
  <c r="Q2563" i="25"/>
  <c r="Q2520" i="25"/>
  <c r="Q2499" i="25"/>
  <c r="Q2488" i="25"/>
  <c r="Q2472" i="25"/>
  <c r="Q2451" i="25"/>
  <c r="Q2424" i="25"/>
  <c r="Q2392" i="25"/>
  <c r="Q2371" i="25"/>
  <c r="Q2296" i="25"/>
  <c r="Q2275" i="25"/>
  <c r="Q2264" i="25"/>
  <c r="Q2243" i="25"/>
  <c r="Q2200" i="25"/>
  <c r="Q2168" i="25"/>
  <c r="Q2152" i="25"/>
  <c r="Q2131" i="25"/>
  <c r="Q2104" i="25"/>
  <c r="Q2088" i="25"/>
  <c r="Q2067" i="25"/>
  <c r="Q2056" i="25"/>
  <c r="Q2035" i="25"/>
  <c r="Q2019" i="25"/>
  <c r="Q1992" i="25"/>
  <c r="Q1976" i="25"/>
  <c r="Q1955" i="25"/>
  <c r="Q1939" i="25"/>
  <c r="Q1880" i="25"/>
  <c r="Q1864" i="25"/>
  <c r="Q1827" i="25"/>
  <c r="Q1768" i="25"/>
  <c r="Q1752" i="25"/>
  <c r="Q1736" i="25"/>
  <c r="Q1715" i="25"/>
  <c r="Q1640" i="25"/>
  <c r="Q1624" i="25"/>
  <c r="Q1592" i="25"/>
  <c r="Q1576" i="25"/>
  <c r="Q1555" i="25"/>
  <c r="Q1539" i="25"/>
  <c r="Q1496" i="25"/>
  <c r="Q1475" i="25"/>
  <c r="Q1428" i="25"/>
  <c r="Q1412" i="25"/>
  <c r="Q1388" i="25"/>
  <c r="Q1356" i="25"/>
  <c r="Q920" i="25"/>
  <c r="Q2901" i="25"/>
  <c r="Q2881" i="25"/>
  <c r="Q2873" i="25"/>
  <c r="Q2853" i="25"/>
  <c r="Q2841" i="25"/>
  <c r="Q2825" i="25"/>
  <c r="Q2817" i="25"/>
  <c r="Q2801" i="25"/>
  <c r="Q2785" i="25"/>
  <c r="Q2769" i="25"/>
  <c r="Q2761" i="25"/>
  <c r="Q2741" i="25"/>
  <c r="Q2725" i="25"/>
  <c r="Q2717" i="25"/>
  <c r="Q2705" i="25"/>
  <c r="Q2689" i="25"/>
  <c r="Q2673" i="25"/>
  <c r="Q2661" i="25"/>
  <c r="Q2645" i="25"/>
  <c r="Q2633" i="25"/>
  <c r="Q2617" i="25"/>
  <c r="Q2605" i="25"/>
  <c r="Q2589" i="25"/>
  <c r="Q2577" i="25"/>
  <c r="Q2557" i="25"/>
  <c r="Q2541" i="25"/>
  <c r="Q2533" i="25"/>
  <c r="Q2521" i="25"/>
  <c r="Q2505" i="25"/>
  <c r="Q2493" i="25"/>
  <c r="Q2477" i="25"/>
  <c r="Q2457" i="25"/>
  <c r="Q2449" i="25"/>
  <c r="Q2433" i="25"/>
  <c r="Q2421" i="25"/>
  <c r="Q2401" i="25"/>
  <c r="Q2385" i="25"/>
  <c r="Q2373" i="25"/>
  <c r="Q2361" i="25"/>
  <c r="Q2345" i="25"/>
  <c r="Q2337" i="25"/>
  <c r="Q2321" i="25"/>
  <c r="Q2309" i="25"/>
  <c r="Q2293" i="25"/>
  <c r="Q2281" i="25"/>
  <c r="Q2265" i="25"/>
  <c r="Q2253" i="25"/>
  <c r="Q2241" i="25"/>
  <c r="Q2221" i="25"/>
  <c r="Q2209" i="25"/>
  <c r="Q2197" i="25"/>
  <c r="Q2181" i="25"/>
  <c r="Q2169" i="25"/>
  <c r="Q2157" i="25"/>
  <c r="Q2141" i="25"/>
  <c r="Q2125" i="25"/>
  <c r="Q2113" i="25"/>
  <c r="Q2097" i="25"/>
  <c r="Q2085" i="25"/>
  <c r="Q2069" i="25"/>
  <c r="Q2057" i="25"/>
  <c r="Q2041" i="25"/>
  <c r="Q2029" i="25"/>
  <c r="Q2013" i="25"/>
  <c r="Q1993" i="25"/>
  <c r="Q1977" i="25"/>
  <c r="Q1969" i="25"/>
  <c r="Q1957" i="25"/>
  <c r="Q1941" i="25"/>
  <c r="Q1929" i="25"/>
  <c r="Q1913" i="25"/>
  <c r="Q1901" i="25"/>
  <c r="Q1889" i="25"/>
  <c r="Q1873" i="25"/>
  <c r="Q1861" i="25"/>
  <c r="Q1845" i="25"/>
  <c r="Q1833" i="25"/>
  <c r="Q1817" i="25"/>
  <c r="Q1805" i="25"/>
  <c r="Q1789" i="25"/>
  <c r="Q1773" i="25"/>
  <c r="Q1761" i="25"/>
  <c r="Q1749" i="25"/>
  <c r="Q1733" i="25"/>
  <c r="Q1721" i="25"/>
  <c r="Q1705" i="25"/>
  <c r="Q1697" i="25"/>
  <c r="Q1677" i="25"/>
  <c r="Q1665" i="25"/>
  <c r="Q1649" i="25"/>
  <c r="Q1641" i="25"/>
  <c r="Q1633" i="25"/>
  <c r="Q1629" i="25"/>
  <c r="Q1625" i="25"/>
  <c r="Q1621" i="25"/>
  <c r="Q1617" i="25"/>
  <c r="Q1613" i="25"/>
  <c r="Q1609" i="25"/>
  <c r="Q1605" i="25"/>
  <c r="Q1601" i="25"/>
  <c r="Q1597" i="25"/>
  <c r="Q1593" i="25"/>
  <c r="Q1589" i="25"/>
  <c r="Q1585" i="25"/>
  <c r="Q1581" i="25"/>
  <c r="Q1577" i="25"/>
  <c r="Q1573" i="25"/>
  <c r="Q1565" i="25"/>
  <c r="Q1557" i="25"/>
  <c r="Q1553" i="25"/>
  <c r="Q1549" i="25"/>
  <c r="Q1545" i="25"/>
  <c r="Q1541" i="25"/>
  <c r="Q1537" i="25"/>
  <c r="Q1533" i="25"/>
  <c r="Q1529" i="25"/>
  <c r="Q1525" i="25"/>
  <c r="Q1521" i="25"/>
  <c r="Q1517" i="25"/>
  <c r="Q1513" i="25"/>
  <c r="Q1509" i="25"/>
  <c r="Q1505" i="25"/>
  <c r="Q1501" i="25"/>
  <c r="Q1497" i="25"/>
  <c r="Q1493" i="25"/>
  <c r="Q1489" i="25"/>
  <c r="Q1485" i="25"/>
  <c r="Q1481" i="25"/>
  <c r="Q1477" i="25"/>
  <c r="Q1473" i="25"/>
  <c r="Q1469" i="25"/>
  <c r="Q1465" i="25"/>
  <c r="Q1461" i="25"/>
  <c r="Q1457" i="25"/>
  <c r="Q1453" i="25"/>
  <c r="Q1449" i="25"/>
  <c r="Q1445" i="25"/>
  <c r="Q1441" i="25"/>
  <c r="Q1437" i="25"/>
  <c r="Q1433" i="25"/>
  <c r="Q1429" i="25"/>
  <c r="Q1425" i="25"/>
  <c r="Q1421" i="25"/>
  <c r="Q1417" i="25"/>
  <c r="Q1413" i="25"/>
  <c r="Q1409" i="25"/>
  <c r="Q1405" i="25"/>
  <c r="Q1401" i="25"/>
  <c r="Q1397" i="25"/>
  <c r="Q1393" i="25"/>
  <c r="Q1389" i="25"/>
  <c r="Q1385" i="25"/>
  <c r="Q1381" i="25"/>
  <c r="Q1377" i="25"/>
  <c r="Q1373" i="25"/>
  <c r="Q1369" i="25"/>
  <c r="Q1365" i="25"/>
  <c r="Q1361" i="25"/>
  <c r="Q1357" i="25"/>
  <c r="Q1353" i="25"/>
  <c r="Q1349" i="25"/>
  <c r="Q1345" i="25"/>
  <c r="Q1341" i="25"/>
  <c r="Q1337" i="25"/>
  <c r="Q1333" i="25"/>
  <c r="Q1329" i="25"/>
  <c r="Q1325" i="25"/>
  <c r="Q1321" i="25"/>
  <c r="Q1317" i="25"/>
  <c r="Q1313" i="25"/>
  <c r="Q1309" i="25"/>
  <c r="R1310" i="25" s="1"/>
  <c r="Q1305" i="25"/>
  <c r="Q1301" i="25"/>
  <c r="Q1297" i="25"/>
  <c r="Q1293" i="25"/>
  <c r="Q1289" i="25"/>
  <c r="Q1285" i="25"/>
  <c r="R1286" i="25" s="1"/>
  <c r="Q1281" i="25"/>
  <c r="Q1277" i="25"/>
  <c r="Q1273" i="25"/>
  <c r="Q1269" i="25"/>
  <c r="Q1265" i="25"/>
  <c r="Q1261" i="25"/>
  <c r="R1262" i="25" s="1"/>
  <c r="Q1257" i="25"/>
  <c r="Q1253" i="25"/>
  <c r="Q1249" i="25"/>
  <c r="Q1245" i="25"/>
  <c r="Q1241" i="25"/>
  <c r="Q1237" i="25"/>
  <c r="Q1233" i="25"/>
  <c r="Q1229" i="25"/>
  <c r="Q1225" i="25"/>
  <c r="Q1221" i="25"/>
  <c r="Q1217" i="25"/>
  <c r="Q1213" i="25"/>
  <c r="Q1209" i="25"/>
  <c r="Q1205" i="25"/>
  <c r="Q1201" i="25"/>
  <c r="Q1197" i="25"/>
  <c r="Q1193" i="25"/>
  <c r="Q1189" i="25"/>
  <c r="Q1185" i="25"/>
  <c r="Q1181" i="25"/>
  <c r="Q1177" i="25"/>
  <c r="Q1173" i="25"/>
  <c r="Q1169" i="25"/>
  <c r="Q1165" i="25"/>
  <c r="Q1161" i="25"/>
  <c r="Q1157" i="25"/>
  <c r="Q1153" i="25"/>
  <c r="Q1149" i="25"/>
  <c r="R1150" i="25" s="1"/>
  <c r="Q1145" i="25"/>
  <c r="Q1141" i="25"/>
  <c r="Q1137" i="25"/>
  <c r="Q1133" i="25"/>
  <c r="Q1129" i="25"/>
  <c r="Q1125" i="25"/>
  <c r="Q1121" i="25"/>
  <c r="Q1117" i="25"/>
  <c r="Q1113" i="25"/>
  <c r="Q1109" i="25"/>
  <c r="Q1105" i="25"/>
  <c r="Q1101" i="25"/>
  <c r="Q1097" i="25"/>
  <c r="Q1093" i="25"/>
  <c r="Q1089" i="25"/>
  <c r="Q1085" i="25"/>
  <c r="R1086" i="25" s="1"/>
  <c r="Q1081" i="25"/>
  <c r="Q1077" i="25"/>
  <c r="Q1073" i="25"/>
  <c r="Q1069" i="25"/>
  <c r="Q1065" i="25"/>
  <c r="Q1061" i="25"/>
  <c r="Q1057" i="25"/>
  <c r="Q1053" i="25"/>
  <c r="Q1049" i="25"/>
  <c r="Q1045" i="25"/>
  <c r="Q1041" i="25"/>
  <c r="Q1037" i="25"/>
  <c r="Q1033" i="25"/>
  <c r="Q1029" i="25"/>
  <c r="Q1025" i="25"/>
  <c r="Q1021" i="25"/>
  <c r="Q1017" i="25"/>
  <c r="Q1013" i="25"/>
  <c r="Q1009" i="25"/>
  <c r="Q1005" i="25"/>
  <c r="Q1001" i="25"/>
  <c r="Q997" i="25"/>
  <c r="Q993" i="25"/>
  <c r="Q989" i="25"/>
  <c r="Q985" i="25"/>
  <c r="Q981" i="25"/>
  <c r="Q977" i="25"/>
  <c r="Q973" i="25"/>
  <c r="Q969" i="25"/>
  <c r="Q965" i="25"/>
  <c r="Q961" i="25"/>
  <c r="Q957" i="25"/>
  <c r="Q953" i="25"/>
  <c r="Q949" i="25"/>
  <c r="Q945" i="25"/>
  <c r="Q941" i="25"/>
  <c r="Q937" i="25"/>
  <c r="Q933" i="25"/>
  <c r="Q929" i="25"/>
  <c r="Q925" i="25"/>
  <c r="Q921" i="25"/>
  <c r="Q917" i="25"/>
  <c r="Q913" i="25"/>
  <c r="Q909" i="25"/>
  <c r="R910" i="25" s="1"/>
  <c r="Q905" i="25"/>
  <c r="Q901" i="25"/>
  <c r="Q897" i="25"/>
  <c r="Q893" i="25"/>
  <c r="Q889" i="25"/>
  <c r="R890" i="25" s="1"/>
  <c r="Q885" i="25"/>
  <c r="Q881" i="25"/>
  <c r="Q877" i="25"/>
  <c r="Q873" i="25"/>
  <c r="Q869" i="25"/>
  <c r="Q865" i="25"/>
  <c r="Q861" i="25"/>
  <c r="Q857" i="25"/>
  <c r="Q853" i="25"/>
  <c r="Q849" i="25"/>
  <c r="Q845" i="25"/>
  <c r="Q841" i="25"/>
  <c r="Q837" i="25"/>
  <c r="Q833" i="25"/>
  <c r="Q829" i="25"/>
  <c r="Q825" i="25"/>
  <c r="Q821" i="25"/>
  <c r="Q817" i="25"/>
  <c r="Q813" i="25"/>
  <c r="Q809" i="25"/>
  <c r="Q805" i="25"/>
  <c r="Q801" i="25"/>
  <c r="R802" i="25" s="1"/>
  <c r="Q797" i="25"/>
  <c r="Q793" i="25"/>
  <c r="Q789" i="25"/>
  <c r="Q785" i="25"/>
  <c r="Q781" i="25"/>
  <c r="Q777" i="25"/>
  <c r="Q773" i="25"/>
  <c r="Q769" i="25"/>
  <c r="Q765" i="25"/>
  <c r="Q761" i="25"/>
  <c r="Q757" i="25"/>
  <c r="Q753" i="25"/>
  <c r="Q749" i="25"/>
  <c r="Q745" i="25"/>
  <c r="Q741" i="25"/>
  <c r="Q737" i="25"/>
  <c r="R738" i="25" s="1"/>
  <c r="Q733" i="25"/>
  <c r="Q729" i="25"/>
  <c r="Q725" i="25"/>
  <c r="Q721" i="25"/>
  <c r="Q717" i="25"/>
  <c r="Q713" i="25"/>
  <c r="R714" i="25" s="1"/>
  <c r="Q709" i="25"/>
  <c r="Q705" i="25"/>
  <c r="Q701" i="25"/>
  <c r="Q697" i="25"/>
  <c r="Q693" i="25"/>
  <c r="R694" i="25" s="1"/>
  <c r="Q689" i="25"/>
  <c r="Q685" i="25"/>
  <c r="Q681" i="25"/>
  <c r="Q677" i="25"/>
  <c r="Q673" i="25"/>
  <c r="Q669" i="25"/>
  <c r="R670" i="25" s="1"/>
  <c r="Q665" i="25"/>
  <c r="Q661" i="25"/>
  <c r="Q657" i="25"/>
  <c r="Q653" i="25"/>
  <c r="Q649" i="25"/>
  <c r="Q645" i="25"/>
  <c r="Q641" i="25"/>
  <c r="Q637" i="25"/>
  <c r="Q633" i="25"/>
  <c r="Q629" i="25"/>
  <c r="Q625" i="25"/>
  <c r="Q621" i="25"/>
  <c r="Q617" i="25"/>
  <c r="Q613" i="25"/>
  <c r="Q609" i="25"/>
  <c r="Q605" i="25"/>
  <c r="Q601" i="25"/>
  <c r="Q597" i="25"/>
  <c r="Q593" i="25"/>
  <c r="Q589" i="25"/>
  <c r="Q585" i="25"/>
  <c r="Q581" i="25"/>
  <c r="Q577" i="25"/>
  <c r="Q573" i="25"/>
  <c r="Q569" i="25"/>
  <c r="Q565" i="25"/>
  <c r="Q561" i="25"/>
  <c r="Q557" i="25"/>
  <c r="Q553" i="25"/>
  <c r="Q549" i="25"/>
  <c r="Q545" i="25"/>
  <c r="Q541" i="25"/>
  <c r="Q537" i="25"/>
  <c r="Q533" i="25"/>
  <c r="Q529" i="25"/>
  <c r="Q525" i="25"/>
  <c r="Q521" i="25"/>
  <c r="Q517" i="25"/>
  <c r="Q513" i="25"/>
  <c r="Q509" i="25"/>
  <c r="Q505" i="25"/>
  <c r="Q501" i="25"/>
  <c r="Q497" i="25"/>
  <c r="R498" i="25" s="1"/>
  <c r="Q493" i="25"/>
  <c r="Q1214" i="25"/>
  <c r="Q1198" i="25"/>
  <c r="Q1186" i="25"/>
  <c r="Q1166" i="25"/>
  <c r="Q1154" i="25"/>
  <c r="Q1134" i="25"/>
  <c r="Q1122" i="25"/>
  <c r="Q1106" i="25"/>
  <c r="Q1090" i="25"/>
  <c r="Q1070" i="25"/>
  <c r="Q1062" i="25"/>
  <c r="Q1042" i="25"/>
  <c r="Q1030" i="25"/>
  <c r="Q1010" i="25"/>
  <c r="Q1002" i="25"/>
  <c r="Q986" i="25"/>
  <c r="Q966" i="25"/>
  <c r="Q954" i="25"/>
  <c r="Q938" i="25"/>
  <c r="Q926" i="25"/>
  <c r="Q906" i="25"/>
  <c r="Q894" i="25"/>
  <c r="Q874" i="25"/>
  <c r="Q866" i="25"/>
  <c r="Q846" i="25"/>
  <c r="Q830" i="25"/>
  <c r="Q818" i="25"/>
  <c r="Q798" i="25"/>
  <c r="Q782" i="25"/>
  <c r="Q770" i="25"/>
  <c r="Q758" i="25"/>
  <c r="Q742" i="25"/>
  <c r="Q722" i="25"/>
  <c r="Q710" i="25"/>
  <c r="Q698" i="25"/>
  <c r="Q686" i="25"/>
  <c r="Q666" i="25"/>
  <c r="Q650" i="25"/>
  <c r="Q634" i="25"/>
  <c r="Q626" i="25"/>
  <c r="Q606" i="25"/>
  <c r="Q590" i="25"/>
  <c r="Q574" i="25"/>
  <c r="Q562" i="25"/>
  <c r="Q546" i="25"/>
  <c r="Q530" i="25"/>
  <c r="Q510" i="25"/>
  <c r="Q502" i="25"/>
  <c r="Q3965" i="25"/>
  <c r="Q3949" i="25"/>
  <c r="Q3933" i="25"/>
  <c r="Q3921" i="25"/>
  <c r="Q3909" i="25"/>
  <c r="Q3893" i="25"/>
  <c r="Q3877" i="25"/>
  <c r="Q3861" i="25"/>
  <c r="Q3849" i="25"/>
  <c r="Q3833" i="25"/>
  <c r="Q3821" i="25"/>
  <c r="Q3809" i="25"/>
  <c r="Q3789" i="25"/>
  <c r="Q3777" i="25"/>
  <c r="Q3765" i="25"/>
  <c r="Q3745" i="25"/>
  <c r="Q3737" i="25"/>
  <c r="Q3717" i="25"/>
  <c r="Q3701" i="25"/>
  <c r="Q3693" i="25"/>
  <c r="Q3673" i="25"/>
  <c r="Q3661" i="25"/>
  <c r="Q3649" i="25"/>
  <c r="Q3629" i="25"/>
  <c r="Q3621" i="25"/>
  <c r="Q3605" i="25"/>
  <c r="Q3593" i="25"/>
  <c r="Q3573" i="25"/>
  <c r="Q3557" i="25"/>
  <c r="Q3541" i="25"/>
  <c r="Q3529" i="25"/>
  <c r="Q3513" i="25"/>
  <c r="Q3497" i="25"/>
  <c r="Q3481" i="25"/>
  <c r="Q3469" i="25"/>
  <c r="Q3453" i="25"/>
  <c r="Q3437" i="25"/>
  <c r="Q3429" i="25"/>
  <c r="Q3409" i="25"/>
  <c r="Q3397" i="25"/>
  <c r="Q3381" i="25"/>
  <c r="Q3369" i="25"/>
  <c r="Q3357" i="25"/>
  <c r="Q3345" i="25"/>
  <c r="Q3329" i="25"/>
  <c r="Q3313" i="25"/>
  <c r="Q3301" i="25"/>
  <c r="Q3289" i="25"/>
  <c r="Q3273" i="25"/>
  <c r="Q3257" i="25"/>
  <c r="Q3245" i="25"/>
  <c r="Q3225" i="25"/>
  <c r="Q3217" i="25"/>
  <c r="Q3197" i="25"/>
  <c r="Q3185" i="25"/>
  <c r="Q3173" i="25"/>
  <c r="Q3153" i="25"/>
  <c r="Q3141" i="25"/>
  <c r="Q3125" i="25"/>
  <c r="Q3113" i="25"/>
  <c r="Q3101" i="25"/>
  <c r="Q3081" i="25"/>
  <c r="Q3069" i="25"/>
  <c r="Q3053" i="25"/>
  <c r="Q3041" i="25"/>
  <c r="Q3025" i="25"/>
  <c r="Q3013" i="25"/>
  <c r="Q2997" i="25"/>
  <c r="Q2985" i="25"/>
  <c r="Q2965" i="25"/>
  <c r="Q2953" i="25"/>
  <c r="Q2937" i="25"/>
  <c r="Q2925" i="25"/>
  <c r="Q2909" i="25"/>
  <c r="Q2840" i="25"/>
  <c r="Q2824" i="25"/>
  <c r="Q2808" i="25"/>
  <c r="Q2792" i="25"/>
  <c r="Q2771" i="25"/>
  <c r="Q2755" i="25"/>
  <c r="Q2696" i="25"/>
  <c r="Q2680" i="25"/>
  <c r="Q2659" i="25"/>
  <c r="Q2643" i="25"/>
  <c r="Q2579" i="25"/>
  <c r="Q2536" i="25"/>
  <c r="Q2504" i="25"/>
  <c r="Q2483" i="25"/>
  <c r="Q2408" i="25"/>
  <c r="Q2360" i="25"/>
  <c r="Q2339" i="25"/>
  <c r="Q2323" i="25"/>
  <c r="Q2280" i="25"/>
  <c r="Q2259" i="25"/>
  <c r="Q2216" i="25"/>
  <c r="Q2179" i="25"/>
  <c r="Q2163" i="25"/>
  <c r="Q2120" i="25"/>
  <c r="Q2072" i="25"/>
  <c r="Q2051" i="25"/>
  <c r="Q1944" i="25"/>
  <c r="Q1928" i="25"/>
  <c r="Q1907" i="25"/>
  <c r="Q1891" i="25"/>
  <c r="Q1843" i="25"/>
  <c r="Q1832" i="25"/>
  <c r="R1833" i="25" s="1"/>
  <c r="Q1816" i="25"/>
  <c r="Q1795" i="25"/>
  <c r="Q1704" i="25"/>
  <c r="Q1688" i="25"/>
  <c r="Q1667" i="25"/>
  <c r="Q1608" i="25"/>
  <c r="Q1587" i="25"/>
  <c r="Q1528" i="25"/>
  <c r="Q1512" i="25"/>
  <c r="Q1480" i="25"/>
  <c r="Q1459" i="25"/>
  <c r="Q1436" i="25"/>
  <c r="Q1404" i="25"/>
  <c r="Q1380" i="25"/>
  <c r="Q1348" i="25"/>
  <c r="Q952" i="25"/>
  <c r="Q904" i="25"/>
  <c r="Q2897" i="25"/>
  <c r="Q2885" i="25"/>
  <c r="Q2869" i="25"/>
  <c r="Q2857" i="25"/>
  <c r="Q2845" i="25"/>
  <c r="Q2829" i="25"/>
  <c r="Q2813" i="25"/>
  <c r="Q2797" i="25"/>
  <c r="Q2781" i="25"/>
  <c r="Q2773" i="25"/>
  <c r="Q2757" i="25"/>
  <c r="Q2745" i="25"/>
  <c r="Q2733" i="25"/>
  <c r="Q2713" i="25"/>
  <c r="Q2701" i="25"/>
  <c r="Q2685" i="25"/>
  <c r="Q2669" i="25"/>
  <c r="Q2657" i="25"/>
  <c r="Q2641" i="25"/>
  <c r="Q2629" i="25"/>
  <c r="Q2613" i="25"/>
  <c r="Q2597" i="25"/>
  <c r="Q2585" i="25"/>
  <c r="Q2569" i="25"/>
  <c r="Q2561" i="25"/>
  <c r="Q2545" i="25"/>
  <c r="Q2529" i="25"/>
  <c r="Q2517" i="25"/>
  <c r="Q2501" i="25"/>
  <c r="Q2489" i="25"/>
  <c r="Q2473" i="25"/>
  <c r="Q2461" i="25"/>
  <c r="Q2445" i="25"/>
  <c r="Q2429" i="25"/>
  <c r="Q2417" i="25"/>
  <c r="Q2405" i="25"/>
  <c r="Q2393" i="25"/>
  <c r="Q2377" i="25"/>
  <c r="Q2365" i="25"/>
  <c r="Q2353" i="25"/>
  <c r="Q2333" i="25"/>
  <c r="Q2317" i="25"/>
  <c r="Q2305" i="25"/>
  <c r="Q2289" i="25"/>
  <c r="Q2277" i="25"/>
  <c r="Q2261" i="25"/>
  <c r="Q2249" i="25"/>
  <c r="Q2233" i="25"/>
  <c r="Q2225" i="25"/>
  <c r="Q2205" i="25"/>
  <c r="Q2189" i="25"/>
  <c r="Q2177" i="25"/>
  <c r="Q2165" i="25"/>
  <c r="Q2149" i="25"/>
  <c r="Q2137" i="25"/>
  <c r="Q2121" i="25"/>
  <c r="Q2109" i="25"/>
  <c r="Q2093" i="25"/>
  <c r="Q2077" i="25"/>
  <c r="Q2065" i="25"/>
  <c r="Q2049" i="25"/>
  <c r="Q2037" i="25"/>
  <c r="Q2025" i="25"/>
  <c r="Q2009" i="25"/>
  <c r="Q1997" i="25"/>
  <c r="Q1985" i="25"/>
  <c r="Q1965" i="25"/>
  <c r="Q1949" i="25"/>
  <c r="Q1937" i="25"/>
  <c r="Q1925" i="25"/>
  <c r="Q1909" i="25"/>
  <c r="Q1897" i="25"/>
  <c r="Q1881" i="25"/>
  <c r="Q1869" i="25"/>
  <c r="Q1853" i="25"/>
  <c r="Q1837" i="25"/>
  <c r="Q1825" i="25"/>
  <c r="Q1809" i="25"/>
  <c r="Q1797" i="25"/>
  <c r="Q1781" i="25"/>
  <c r="Q1769" i="25"/>
  <c r="Q1753" i="25"/>
  <c r="Q1741" i="25"/>
  <c r="Q1725" i="25"/>
  <c r="Q1713" i="25"/>
  <c r="Q1693" i="25"/>
  <c r="Q1681" i="25"/>
  <c r="Q1669" i="25"/>
  <c r="Q1653" i="25"/>
  <c r="Q1569" i="25"/>
  <c r="Q2870" i="25"/>
  <c r="Q2854" i="25"/>
  <c r="Q2806" i="25"/>
  <c r="Q2790" i="25"/>
  <c r="Q2742" i="25"/>
  <c r="Q2726" i="25"/>
  <c r="Q2678" i="25"/>
  <c r="Q2630" i="25"/>
  <c r="Q2614" i="25"/>
  <c r="Q2550" i="25"/>
  <c r="Q2534" i="25"/>
  <c r="Q2518" i="25"/>
  <c r="Q2470" i="25"/>
  <c r="Q2438" i="25"/>
  <c r="Q2422" i="25"/>
  <c r="Q2406" i="25"/>
  <c r="Q2390" i="25"/>
  <c r="Q2358" i="25"/>
  <c r="Q2310" i="25"/>
  <c r="Q2294" i="25"/>
  <c r="Q2230" i="25"/>
  <c r="Q2214" i="25"/>
  <c r="Q2198" i="25"/>
  <c r="Q2150" i="25"/>
  <c r="Q2118" i="25"/>
  <c r="Q2102" i="25"/>
  <c r="Q2086" i="25"/>
  <c r="Q2006" i="25"/>
  <c r="Q1990" i="25"/>
  <c r="Q1974" i="25"/>
  <c r="Q1926" i="25"/>
  <c r="Q1878" i="25"/>
  <c r="Q1862" i="25"/>
  <c r="Q1814" i="25"/>
  <c r="Q1782" i="25"/>
  <c r="Q1766" i="25"/>
  <c r="Q1750" i="25"/>
  <c r="Q1734" i="25"/>
  <c r="Q1702" i="25"/>
  <c r="Q1686" i="25"/>
  <c r="Q1654" i="25"/>
  <c r="Q1638" i="25"/>
  <c r="Q1622" i="25"/>
  <c r="Q1606" i="25"/>
  <c r="Q1574" i="25"/>
  <c r="Q1526" i="25"/>
  <c r="Q1510" i="25"/>
  <c r="Q1494" i="25"/>
  <c r="Q1446" i="25"/>
  <c r="Q1342" i="25"/>
  <c r="Q1334" i="25"/>
  <c r="Q1330" i="25"/>
  <c r="Q1322" i="25"/>
  <c r="Q1318" i="25"/>
  <c r="Q1314" i="25"/>
  <c r="Q1306" i="25"/>
  <c r="Q1302" i="25"/>
  <c r="Q1294" i="25"/>
  <c r="Q1290" i="25"/>
  <c r="Q1282" i="25"/>
  <c r="Q1278" i="25"/>
  <c r="Q1270" i="25"/>
  <c r="Q1266" i="25"/>
  <c r="Q1258" i="25"/>
  <c r="Q1250" i="25"/>
  <c r="Q1242" i="25"/>
  <c r="Q1238" i="25"/>
  <c r="Q1226" i="25"/>
  <c r="Q1222" i="25"/>
  <c r="Q1210" i="25"/>
  <c r="Q1206" i="25"/>
  <c r="Q1194" i="25"/>
  <c r="Q1190" i="25"/>
  <c r="Q1178" i="25"/>
  <c r="Q1174" i="25"/>
  <c r="Q1162" i="25"/>
  <c r="Q1158" i="25"/>
  <c r="Q1146" i="25"/>
  <c r="Q1142" i="25"/>
  <c r="Q1130" i="25"/>
  <c r="Q1126" i="25"/>
  <c r="Q1114" i="25"/>
  <c r="Q1110" i="25"/>
  <c r="Q1098" i="25"/>
  <c r="Q1094" i="25"/>
  <c r="Q1082" i="25"/>
  <c r="Q1078" i="25"/>
  <c r="Q1066" i="25"/>
  <c r="Q1058" i="25"/>
  <c r="Q1050" i="25"/>
  <c r="Q1038" i="25"/>
  <c r="Q1034" i="25"/>
  <c r="Q1022" i="25"/>
  <c r="Q1018" i="25"/>
  <c r="Q1006" i="25"/>
  <c r="Q994" i="25"/>
  <c r="Q990" i="25"/>
  <c r="Q978" i="25"/>
  <c r="Q974" i="25"/>
  <c r="Q962" i="25"/>
  <c r="Q958" i="25"/>
  <c r="Q946" i="25"/>
  <c r="Q934" i="25"/>
  <c r="Q930" i="25"/>
  <c r="Q918" i="25"/>
  <c r="Q914" i="25"/>
  <c r="Q902" i="25"/>
  <c r="Q898" i="25"/>
  <c r="Q886" i="25"/>
  <c r="Q882" i="25"/>
  <c r="Q870" i="25"/>
  <c r="Q858" i="25"/>
  <c r="Q854" i="25"/>
  <c r="Q842" i="25"/>
  <c r="Q838" i="25"/>
  <c r="Q826" i="25"/>
  <c r="Q822" i="25"/>
  <c r="Q810" i="25"/>
  <c r="Q806" i="25"/>
  <c r="Q794" i="25"/>
  <c r="Q790" i="25"/>
  <c r="Q778" i="25"/>
  <c r="Q774" i="25"/>
  <c r="Q762" i="25"/>
  <c r="Q754" i="25"/>
  <c r="Q746" i="25"/>
  <c r="Q734" i="25"/>
  <c r="Q730" i="25"/>
  <c r="Q718" i="25"/>
  <c r="Q706" i="25"/>
  <c r="Q702" i="25"/>
  <c r="Q690" i="25"/>
  <c r="Q682" i="25"/>
  <c r="Q674" i="25"/>
  <c r="Q662" i="25"/>
  <c r="Q658" i="25"/>
  <c r="Q646" i="25"/>
  <c r="Q642" i="25"/>
  <c r="Q630" i="25"/>
  <c r="Q618" i="25"/>
  <c r="Q614" i="25"/>
  <c r="Q602" i="25"/>
  <c r="Q598" i="25"/>
  <c r="Q586" i="25"/>
  <c r="Q582" i="25"/>
  <c r="Q570" i="25"/>
  <c r="Q566" i="25"/>
  <c r="Q554" i="25"/>
  <c r="Q542" i="25"/>
  <c r="Q538" i="25"/>
  <c r="Q534" i="25"/>
  <c r="Q522" i="25"/>
  <c r="Q518" i="25"/>
  <c r="Q506" i="25"/>
  <c r="Q494" i="25"/>
  <c r="Q3981" i="25"/>
  <c r="Q3973" i="25"/>
  <c r="Q3961" i="25"/>
  <c r="Q3957" i="25"/>
  <c r="Q3945" i="25"/>
  <c r="Q3941" i="25"/>
  <c r="Q3929" i="25"/>
  <c r="Q3917" i="25"/>
  <c r="Q3913" i="25"/>
  <c r="Q3901" i="25"/>
  <c r="Q3889" i="25"/>
  <c r="R3890" i="25" s="1"/>
  <c r="Q3885" i="25"/>
  <c r="Q3873" i="25"/>
  <c r="Q3869" i="25"/>
  <c r="Q3857" i="25"/>
  <c r="Q3845" i="25"/>
  <c r="Q3837" i="25"/>
  <c r="Q3829" i="25"/>
  <c r="Q3817" i="25"/>
  <c r="Q3813" i="25"/>
  <c r="Q3801" i="25"/>
  <c r="Q3797" i="25"/>
  <c r="Q3785" i="25"/>
  <c r="Q3773" i="25"/>
  <c r="Q3769" i="25"/>
  <c r="Q3757" i="25"/>
  <c r="Q3753" i="25"/>
  <c r="Q3741" i="25"/>
  <c r="Q3729" i="25"/>
  <c r="Q3725" i="25"/>
  <c r="Q3713" i="25"/>
  <c r="Q3709" i="25"/>
  <c r="Q3697" i="25"/>
  <c r="Q3685" i="25"/>
  <c r="Q3681" i="25"/>
  <c r="Q3669" i="25"/>
  <c r="Q3657" i="25"/>
  <c r="Q3653" i="25"/>
  <c r="Q3641" i="25"/>
  <c r="Q3637" i="25"/>
  <c r="Q3625" i="25"/>
  <c r="Q3613" i="25"/>
  <c r="Q3609" i="25"/>
  <c r="Q3597" i="25"/>
  <c r="Q3589" i="25"/>
  <c r="R3590" i="25" s="1"/>
  <c r="Q3581" i="25"/>
  <c r="Q3569" i="25"/>
  <c r="R3570" i="25" s="1"/>
  <c r="Q3561" i="25"/>
  <c r="Q3553" i="25"/>
  <c r="Q3545" i="25"/>
  <c r="Q3537" i="25"/>
  <c r="Q3525" i="25"/>
  <c r="Q3517" i="25"/>
  <c r="Q3509" i="25"/>
  <c r="Q3501" i="25"/>
  <c r="Q3493" i="25"/>
  <c r="Q3485" i="25"/>
  <c r="R3486" i="25" s="1"/>
  <c r="Q3477" i="25"/>
  <c r="Q3465" i="25"/>
  <c r="Q3457" i="25"/>
  <c r="Q3449" i="25"/>
  <c r="Q3441" i="25"/>
  <c r="Q3433" i="25"/>
  <c r="R3434" i="25" s="1"/>
  <c r="Q3421" i="25"/>
  <c r="Q3417" i="25"/>
  <c r="Q3405" i="25"/>
  <c r="Q3393" i="25"/>
  <c r="Q3385" i="25"/>
  <c r="Q3377" i="25"/>
  <c r="Q3365" i="25"/>
  <c r="Q3361" i="25"/>
  <c r="Q3349" i="25"/>
  <c r="Q3337" i="25"/>
  <c r="Q3333" i="25"/>
  <c r="Q3321" i="25"/>
  <c r="Q3309" i="25"/>
  <c r="Q3305" i="25"/>
  <c r="Q3293" i="25"/>
  <c r="Q3281" i="25"/>
  <c r="Q3277" i="25"/>
  <c r="Q3265" i="25"/>
  <c r="Q3261" i="25"/>
  <c r="Q3249" i="25"/>
  <c r="R3250" i="25" s="1"/>
  <c r="Q3237" i="25"/>
  <c r="Q3233" i="25"/>
  <c r="Q3221" i="25"/>
  <c r="Q3209" i="25"/>
  <c r="Q3205" i="25"/>
  <c r="Q3193" i="25"/>
  <c r="Q3189" i="25"/>
  <c r="Q3177" i="25"/>
  <c r="R3178" i="25" s="1"/>
  <c r="Q3165" i="25"/>
  <c r="Q3161" i="25"/>
  <c r="Q3149" i="25"/>
  <c r="Q3145" i="25"/>
  <c r="R3146" i="25" s="1"/>
  <c r="Q3133" i="25"/>
  <c r="Q3129" i="25"/>
  <c r="Q3117" i="25"/>
  <c r="Q3105" i="25"/>
  <c r="Q3097" i="25"/>
  <c r="Q3089" i="25"/>
  <c r="Q3077" i="25"/>
  <c r="Q3073" i="25"/>
  <c r="Q3061" i="25"/>
  <c r="Q3049" i="25"/>
  <c r="Q3045" i="25"/>
  <c r="Q3033" i="25"/>
  <c r="Q3021" i="25"/>
  <c r="Q3017" i="25"/>
  <c r="Q3005" i="25"/>
  <c r="Q3001" i="25"/>
  <c r="Q2989" i="25"/>
  <c r="Q2977" i="25"/>
  <c r="Q2973" i="25"/>
  <c r="Q2961" i="25"/>
  <c r="Q2949" i="25"/>
  <c r="Q2945" i="25"/>
  <c r="Q2933" i="25"/>
  <c r="Q2921" i="25"/>
  <c r="Q2913" i="25"/>
  <c r="Q2904" i="25"/>
  <c r="Q2888" i="25"/>
  <c r="Q2872" i="25"/>
  <c r="Q2776" i="25"/>
  <c r="Q2760" i="25"/>
  <c r="Q2712" i="25"/>
  <c r="Q2664" i="25"/>
  <c r="Q2648" i="25"/>
  <c r="Q2632" i="25"/>
  <c r="R2633" i="25" s="1"/>
  <c r="Q2600" i="25"/>
  <c r="Q2568" i="25"/>
  <c r="R2569" i="25" s="1"/>
  <c r="Q2552" i="25"/>
  <c r="Q2456" i="25"/>
  <c r="R2457" i="25" s="1"/>
  <c r="Q2440" i="25"/>
  <c r="Q2376" i="25"/>
  <c r="Q2344" i="25"/>
  <c r="Q2328" i="25"/>
  <c r="Q2312" i="25"/>
  <c r="Q2248" i="25"/>
  <c r="Q2232" i="25"/>
  <c r="Q2184" i="25"/>
  <c r="Q2136" i="25"/>
  <c r="Q2040" i="25"/>
  <c r="R2041" i="25" s="1"/>
  <c r="Q2024" i="25"/>
  <c r="Q2008" i="25"/>
  <c r="Q1960" i="25"/>
  <c r="Q1912" i="25"/>
  <c r="Q1896" i="25"/>
  <c r="Q1848" i="25"/>
  <c r="Q1800" i="25"/>
  <c r="Q1784" i="25"/>
  <c r="Q1720" i="25"/>
  <c r="Q1672" i="25"/>
  <c r="Q1656" i="25"/>
  <c r="Q1560" i="25"/>
  <c r="Q1544" i="25"/>
  <c r="Q1464" i="25"/>
  <c r="R1465" i="25" s="1"/>
  <c r="Q1448" i="25"/>
  <c r="Q1420" i="25"/>
  <c r="Q1396" i="25"/>
  <c r="Q1372" i="25"/>
  <c r="Q1364" i="25"/>
  <c r="R1365" i="25" s="1"/>
  <c r="Q1336" i="25"/>
  <c r="Q1288" i="25"/>
  <c r="Q1272" i="25"/>
  <c r="R1273" i="25" s="1"/>
  <c r="Q1224" i="25"/>
  <c r="Q1208" i="25"/>
  <c r="Q1160" i="25"/>
  <c r="Q1112" i="25"/>
  <c r="R1113" i="25" s="1"/>
  <c r="Q1064" i="25"/>
  <c r="Q1048" i="25"/>
  <c r="Q1000" i="25"/>
  <c r="Q968" i="25"/>
  <c r="R969" i="25" s="1"/>
  <c r="Q936" i="25"/>
  <c r="Q888" i="25"/>
  <c r="Q856" i="25"/>
  <c r="Q824" i="25"/>
  <c r="R825" i="25" s="1"/>
  <c r="Q776" i="25"/>
  <c r="Q744" i="25"/>
  <c r="Q712" i="25"/>
  <c r="Q664" i="25"/>
  <c r="R665" i="25" s="1"/>
  <c r="Q648" i="25"/>
  <c r="Q600" i="25"/>
  <c r="Q552" i="25"/>
  <c r="Q520" i="25"/>
  <c r="R521" i="25" s="1"/>
  <c r="Q2905" i="25"/>
  <c r="Q2893" i="25"/>
  <c r="Q2889" i="25"/>
  <c r="Q2877" i="25"/>
  <c r="Q2865" i="25"/>
  <c r="Q2861" i="25"/>
  <c r="Q2849" i="25"/>
  <c r="Q2837" i="25"/>
  <c r="Q2833" i="25"/>
  <c r="Q2821" i="25"/>
  <c r="R2822" i="25" s="1"/>
  <c r="Q2809" i="25"/>
  <c r="Q2805" i="25"/>
  <c r="Q2793" i="25"/>
  <c r="Q2789" i="25"/>
  <c r="Q2777" i="25"/>
  <c r="Q2765" i="25"/>
  <c r="Q2753" i="25"/>
  <c r="Q2749" i="25"/>
  <c r="Q2737" i="25"/>
  <c r="Q2729" i="25"/>
  <c r="Q2721" i="25"/>
  <c r="Q2709" i="25"/>
  <c r="R2710" i="25" s="1"/>
  <c r="Q2697" i="25"/>
  <c r="Q2693" i="25"/>
  <c r="Q2681" i="25"/>
  <c r="Q2677" i="25"/>
  <c r="Q2665" i="25"/>
  <c r="Q2653" i="25"/>
  <c r="Q2649" i="25"/>
  <c r="Q2637" i="25"/>
  <c r="Q2625" i="25"/>
  <c r="Q2621" i="25"/>
  <c r="Q2609" i="25"/>
  <c r="Q2601" i="25"/>
  <c r="Q2593" i="25"/>
  <c r="Q2581" i="25"/>
  <c r="Q2573" i="25"/>
  <c r="Q2565" i="25"/>
  <c r="Q2553" i="25"/>
  <c r="Q2549" i="25"/>
  <c r="Q2537" i="25"/>
  <c r="Q2525" i="25"/>
  <c r="Q2513" i="25"/>
  <c r="Q2509" i="25"/>
  <c r="R2510" i="25" s="1"/>
  <c r="Q2497" i="25"/>
  <c r="Q2485" i="25"/>
  <c r="Q2481" i="25"/>
  <c r="Q2469" i="25"/>
  <c r="Q2465" i="25"/>
  <c r="Q2453" i="25"/>
  <c r="Q2441" i="25"/>
  <c r="Q2437" i="25"/>
  <c r="Q2425" i="25"/>
  <c r="Q2413" i="25"/>
  <c r="Q2409" i="25"/>
  <c r="Q2397" i="25"/>
  <c r="R2398" i="25" s="1"/>
  <c r="Q2389" i="25"/>
  <c r="R2390" i="25" s="1"/>
  <c r="Q2381" i="25"/>
  <c r="Q2369" i="25"/>
  <c r="Q2357" i="25"/>
  <c r="Q2349" i="25"/>
  <c r="Q2341" i="25"/>
  <c r="Q2329" i="25"/>
  <c r="Q2325" i="25"/>
  <c r="Q2313" i="25"/>
  <c r="Q2301" i="25"/>
  <c r="Q2297" i="25"/>
  <c r="Q2285" i="25"/>
  <c r="R2286" i="25" s="1"/>
  <c r="Q2273" i="25"/>
  <c r="Q2269" i="25"/>
  <c r="Q2257" i="25"/>
  <c r="Q2245" i="25"/>
  <c r="Q2237" i="25"/>
  <c r="Q2229" i="25"/>
  <c r="Q2217" i="25"/>
  <c r="Q2213" i="25"/>
  <c r="Q2201" i="25"/>
  <c r="Q2193" i="25"/>
  <c r="Q2185" i="25"/>
  <c r="Q2173" i="25"/>
  <c r="R2174" i="25" s="1"/>
  <c r="Q2161" i="25"/>
  <c r="Q2153" i="25"/>
  <c r="R2154" i="25" s="1"/>
  <c r="Q2145" i="25"/>
  <c r="Q2133" i="25"/>
  <c r="Q2129" i="25"/>
  <c r="Q2117" i="25"/>
  <c r="Q2105" i="25"/>
  <c r="Q2101" i="25"/>
  <c r="Q2089" i="25"/>
  <c r="Q2081" i="25"/>
  <c r="Q2073" i="25"/>
  <c r="Q2061" i="25"/>
  <c r="R2062" i="25" s="1"/>
  <c r="Q2053" i="25"/>
  <c r="Q2045" i="25"/>
  <c r="Q2033" i="25"/>
  <c r="Q2021" i="25"/>
  <c r="Q2017" i="25"/>
  <c r="Q2005" i="25"/>
  <c r="Q2001" i="25"/>
  <c r="Q1989" i="25"/>
  <c r="Q1981" i="25"/>
  <c r="Q1973" i="25"/>
  <c r="R1974" i="25" s="1"/>
  <c r="Q1961" i="25"/>
  <c r="Q1953" i="25"/>
  <c r="Q1945" i="25"/>
  <c r="Q1933" i="25"/>
  <c r="Q1921" i="25"/>
  <c r="Q1917" i="25"/>
  <c r="R1918" i="25" s="1"/>
  <c r="Q1905" i="25"/>
  <c r="Q1893" i="25"/>
  <c r="Q1885" i="25"/>
  <c r="Q1877" i="25"/>
  <c r="R1878" i="25" s="1"/>
  <c r="Q1865" i="25"/>
  <c r="Q1857" i="25"/>
  <c r="Q1849" i="25"/>
  <c r="Q1841" i="25"/>
  <c r="Q1829" i="25"/>
  <c r="Q1821" i="25"/>
  <c r="Q1813" i="25"/>
  <c r="Q1801" i="25"/>
  <c r="Q1793" i="25"/>
  <c r="Q1785" i="25"/>
  <c r="Q1777" i="25"/>
  <c r="Q1765" i="25"/>
  <c r="R1766" i="25" s="1"/>
  <c r="Q1757" i="25"/>
  <c r="Q1745" i="25"/>
  <c r="Q1737" i="25"/>
  <c r="Q1729" i="25"/>
  <c r="Q1717" i="25"/>
  <c r="Q1709" i="25"/>
  <c r="Q1701" i="25"/>
  <c r="R1702" i="25" s="1"/>
  <c r="Q1689" i="25"/>
  <c r="Q1685" i="25"/>
  <c r="Q1673" i="25"/>
  <c r="Q1661" i="25"/>
  <c r="Q1657" i="25"/>
  <c r="Q1645" i="25"/>
  <c r="Q1637" i="25"/>
  <c r="R1638" i="25" s="1"/>
  <c r="Q1561" i="25"/>
  <c r="Q1439" i="25"/>
  <c r="Q1435" i="25"/>
  <c r="R1436" i="25" s="1"/>
  <c r="Q1431" i="25"/>
  <c r="Q1427" i="25"/>
  <c r="Q1423" i="25"/>
  <c r="Q1419" i="25"/>
  <c r="Q1415" i="25"/>
  <c r="Q1411" i="25"/>
  <c r="Q1407" i="25"/>
  <c r="Q1403" i="25"/>
  <c r="Q1399" i="25"/>
  <c r="Q1395" i="25"/>
  <c r="R1396" i="25" s="1"/>
  <c r="Q1391" i="25"/>
  <c r="Q1387" i="25"/>
  <c r="Q1383" i="25"/>
  <c r="Q1379" i="25"/>
  <c r="R1380" i="25" s="1"/>
  <c r="Q1375" i="25"/>
  <c r="Q1371" i="25"/>
  <c r="Q1367" i="25"/>
  <c r="Q1363" i="25"/>
  <c r="Q1359" i="25"/>
  <c r="Q1355" i="25"/>
  <c r="Q1351" i="25"/>
  <c r="Q1347" i="25"/>
  <c r="Q1343" i="25"/>
  <c r="Q1339" i="25"/>
  <c r="Q1335" i="25"/>
  <c r="R1336" i="25" s="1"/>
  <c r="Q1331" i="25"/>
  <c r="Q1327" i="25"/>
  <c r="Q1323" i="25"/>
  <c r="Q1319" i="25"/>
  <c r="Q1315" i="25"/>
  <c r="Q1311" i="25"/>
  <c r="Q1307" i="25"/>
  <c r="Q1303" i="25"/>
  <c r="Q1299" i="25"/>
  <c r="Q1295" i="25"/>
  <c r="Q1291" i="25"/>
  <c r="Q1287" i="25"/>
  <c r="Q1283" i="25"/>
  <c r="Q1279" i="25"/>
  <c r="Q1275" i="25"/>
  <c r="Q1271" i="25"/>
  <c r="Q1267" i="25"/>
  <c r="Q1263" i="25"/>
  <c r="Q1259" i="25"/>
  <c r="Q1255" i="25"/>
  <c r="Q1251" i="25"/>
  <c r="Q1247" i="25"/>
  <c r="Q1243" i="25"/>
  <c r="Q1239" i="25"/>
  <c r="Q1235" i="25"/>
  <c r="Q1231" i="25"/>
  <c r="Q1227" i="25"/>
  <c r="Q1223" i="25"/>
  <c r="Q1219" i="25"/>
  <c r="Q1215" i="25"/>
  <c r="Q1211" i="25"/>
  <c r="Q1207" i="25"/>
  <c r="R1208" i="25" s="1"/>
  <c r="Q1203" i="25"/>
  <c r="Q1199" i="25"/>
  <c r="Q1195" i="25"/>
  <c r="Q1191" i="25"/>
  <c r="Q1187" i="25"/>
  <c r="Q1183" i="25"/>
  <c r="Q1179" i="25"/>
  <c r="Q1175" i="25"/>
  <c r="Q1171" i="25"/>
  <c r="Q1167" i="25"/>
  <c r="Q1163" i="25"/>
  <c r="Q1159" i="25"/>
  <c r="Q1155" i="25"/>
  <c r="Q1151" i="25"/>
  <c r="Q1147" i="25"/>
  <c r="Q1143" i="25"/>
  <c r="Q1139" i="25"/>
  <c r="Q1135" i="25"/>
  <c r="Q1131" i="25"/>
  <c r="Q1127" i="25"/>
  <c r="Q1123" i="25"/>
  <c r="Q1119" i="25"/>
  <c r="Q1115" i="25"/>
  <c r="Q1111" i="25"/>
  <c r="Q1107" i="25"/>
  <c r="Q1103" i="25"/>
  <c r="Q1099" i="25"/>
  <c r="Q1095" i="25"/>
  <c r="Q1091" i="25"/>
  <c r="Q1087" i="25"/>
  <c r="Q1083" i="25"/>
  <c r="Q1079" i="25"/>
  <c r="Q1075" i="25"/>
  <c r="Q1071" i="25"/>
  <c r="Q1067" i="25"/>
  <c r="Q1063" i="25"/>
  <c r="Q1059" i="25"/>
  <c r="Q1055" i="25"/>
  <c r="Q1051" i="25"/>
  <c r="Q1047" i="25"/>
  <c r="R1048" i="25" s="1"/>
  <c r="Q1043" i="25"/>
  <c r="Q1039" i="25"/>
  <c r="Q1035" i="25"/>
  <c r="Q1031" i="25"/>
  <c r="Q1027" i="25"/>
  <c r="Q1023" i="25"/>
  <c r="Q1019" i="25"/>
  <c r="Q1015" i="25"/>
  <c r="Q1011" i="25"/>
  <c r="Q1007" i="25"/>
  <c r="Q1003" i="25"/>
  <c r="Q999" i="25"/>
  <c r="Q995" i="25"/>
  <c r="Q991" i="25"/>
  <c r="Q987" i="25"/>
  <c r="Q983" i="25"/>
  <c r="Q979" i="25"/>
  <c r="Q975" i="25"/>
  <c r="Q971" i="25"/>
  <c r="Q967" i="25"/>
  <c r="Q963" i="25"/>
  <c r="Q959" i="25"/>
  <c r="Q955" i="25"/>
  <c r="Q951" i="25"/>
  <c r="Q947" i="25"/>
  <c r="Q943" i="25"/>
  <c r="Q939" i="25"/>
  <c r="Q935" i="25"/>
  <c r="Q931" i="25"/>
  <c r="Q927" i="25"/>
  <c r="Q923" i="25"/>
  <c r="Q919" i="25"/>
  <c r="Q915" i="25"/>
  <c r="Q911" i="25"/>
  <c r="Q907" i="25"/>
  <c r="Q903" i="25"/>
  <c r="R904" i="25" s="1"/>
  <c r="Q899" i="25"/>
  <c r="Q895" i="25"/>
  <c r="Q891" i="25"/>
  <c r="Q887" i="25"/>
  <c r="R888" i="25" s="1"/>
  <c r="Q883" i="25"/>
  <c r="Q879" i="25"/>
  <c r="Q875" i="25"/>
  <c r="Q871" i="25"/>
  <c r="Q867" i="25"/>
  <c r="Q863" i="25"/>
  <c r="Q859" i="25"/>
  <c r="Q855" i="25"/>
  <c r="Q851" i="25"/>
  <c r="Q847" i="25"/>
  <c r="Q843" i="25"/>
  <c r="Q839" i="25"/>
  <c r="Q835" i="25"/>
  <c r="Q831" i="25"/>
  <c r="Q827" i="25"/>
  <c r="Q823" i="25"/>
  <c r="Q819" i="25"/>
  <c r="Q815" i="25"/>
  <c r="Q811" i="25"/>
  <c r="Q807" i="25"/>
  <c r="Q803" i="25"/>
  <c r="Q799" i="25"/>
  <c r="Q795" i="25"/>
  <c r="Q791" i="25"/>
  <c r="Q787" i="25"/>
  <c r="Q783" i="25"/>
  <c r="Q779" i="25"/>
  <c r="Q775" i="25"/>
  <c r="Q771" i="25"/>
  <c r="Q767" i="25"/>
  <c r="Q763" i="25"/>
  <c r="Q759" i="25"/>
  <c r="Q755" i="25"/>
  <c r="Q751" i="25"/>
  <c r="Q747" i="25"/>
  <c r="Q743" i="25"/>
  <c r="R744" i="25" s="1"/>
  <c r="Q739" i="25"/>
  <c r="Q735" i="25"/>
  <c r="Q731" i="25"/>
  <c r="Q727" i="25"/>
  <c r="Q723" i="25"/>
  <c r="Q719" i="25"/>
  <c r="Q715" i="25"/>
  <c r="Q711" i="25"/>
  <c r="Q707" i="25"/>
  <c r="Q703" i="25"/>
  <c r="Q699" i="25"/>
  <c r="Q695" i="25"/>
  <c r="Q691" i="25"/>
  <c r="Q687" i="25"/>
  <c r="Q683" i="25"/>
  <c r="Q679" i="25"/>
  <c r="Q675" i="25"/>
  <c r="Q671" i="25"/>
  <c r="Q667" i="25"/>
  <c r="Q663" i="25"/>
  <c r="Q659" i="25"/>
  <c r="Q655" i="25"/>
  <c r="Q651" i="25"/>
  <c r="Q647" i="25"/>
  <c r="Q643" i="25"/>
  <c r="Q639" i="25"/>
  <c r="Q635" i="25"/>
  <c r="Q631" i="25"/>
  <c r="Q627" i="25"/>
  <c r="Q623" i="25"/>
  <c r="Q619" i="25"/>
  <c r="Q615" i="25"/>
  <c r="Q611" i="25"/>
  <c r="Q607" i="25"/>
  <c r="Q603" i="25"/>
  <c r="Q599" i="25"/>
  <c r="R600" i="25" s="1"/>
  <c r="Q595" i="25"/>
  <c r="Q591" i="25"/>
  <c r="Q587" i="25"/>
  <c r="Q583" i="25"/>
  <c r="Q579" i="25"/>
  <c r="Q575" i="25"/>
  <c r="Q571" i="25"/>
  <c r="Q567" i="25"/>
  <c r="Q563" i="25"/>
  <c r="Q559" i="25"/>
  <c r="Q555" i="25"/>
  <c r="Q551" i="25"/>
  <c r="Q547" i="25"/>
  <c r="Q543" i="25"/>
  <c r="Q539" i="25"/>
  <c r="Q535" i="25"/>
  <c r="Q531" i="25"/>
  <c r="Q527" i="25"/>
  <c r="Q523" i="25"/>
  <c r="Q519" i="25"/>
  <c r="Q515" i="25"/>
  <c r="Q511" i="25"/>
  <c r="Q507" i="25"/>
  <c r="Q503" i="25"/>
  <c r="Q499" i="25"/>
  <c r="Q495" i="25"/>
  <c r="R1934" i="25" l="1"/>
  <c r="R2270" i="25"/>
  <c r="R2382" i="25"/>
  <c r="R2526" i="25"/>
  <c r="R3858" i="25"/>
  <c r="R2046" i="25"/>
  <c r="R2302" i="25"/>
  <c r="R2414" i="25"/>
  <c r="R3754" i="25"/>
  <c r="R1982" i="25"/>
  <c r="R2238" i="25"/>
  <c r="R2574" i="25"/>
  <c r="R2650" i="25"/>
  <c r="R2682" i="25"/>
  <c r="R2794" i="25"/>
  <c r="R2906" i="25"/>
  <c r="R3150" i="25"/>
  <c r="R3222" i="25"/>
  <c r="R3870" i="25"/>
  <c r="R3902" i="25"/>
  <c r="R3974" i="25"/>
  <c r="R2391" i="25"/>
  <c r="R2471" i="25"/>
  <c r="R2078" i="25"/>
  <c r="R2190" i="25"/>
  <c r="R2366" i="25"/>
  <c r="R3314" i="25"/>
  <c r="R3370" i="25"/>
  <c r="R3718" i="25"/>
  <c r="R3778" i="25"/>
  <c r="R2584" i="25"/>
  <c r="R1903" i="25"/>
  <c r="H17" i="28"/>
  <c r="H22" i="28"/>
  <c r="H18" i="28"/>
  <c r="H13" i="28"/>
  <c r="H20" i="28"/>
  <c r="H26" i="28"/>
  <c r="H23" i="28"/>
  <c r="H11" i="28"/>
  <c r="H16" i="28"/>
  <c r="H10" i="28"/>
  <c r="H12" i="28"/>
  <c r="H44" i="28"/>
  <c r="H9" i="28"/>
  <c r="H40" i="28"/>
  <c r="H39" i="28"/>
  <c r="H42" i="28"/>
  <c r="H25" i="28"/>
  <c r="H29" i="28"/>
  <c r="H36" i="28"/>
  <c r="H35" i="28"/>
  <c r="H38" i="28"/>
  <c r="H41" i="28"/>
  <c r="H24" i="28"/>
  <c r="H32" i="28"/>
  <c r="H33" i="28"/>
  <c r="H34" i="28"/>
  <c r="H37" i="28"/>
  <c r="H28" i="28"/>
  <c r="H27" i="28"/>
  <c r="H30" i="28"/>
  <c r="H31" i="28"/>
  <c r="H15" i="28"/>
  <c r="H19" i="28"/>
  <c r="H14" i="28"/>
  <c r="H21" i="28"/>
  <c r="H43" i="28"/>
  <c r="R2739" i="25"/>
  <c r="R3300" i="25"/>
  <c r="R3332" i="25"/>
  <c r="R3364" i="25"/>
  <c r="R3396" i="25"/>
  <c r="R3428" i="25"/>
  <c r="R3460" i="25"/>
  <c r="R3668" i="25"/>
  <c r="R3684" i="25"/>
  <c r="R2618" i="25"/>
  <c r="R2842" i="25"/>
  <c r="R2264" i="25"/>
  <c r="R2392" i="25"/>
  <c r="R2970" i="25"/>
  <c r="R3086" i="25"/>
  <c r="R3318" i="25"/>
  <c r="R3374" i="25"/>
  <c r="R3490" i="25"/>
  <c r="R3550" i="25"/>
  <c r="R3112" i="25"/>
  <c r="R3336" i="25"/>
  <c r="R4004" i="25"/>
  <c r="R524" i="25"/>
  <c r="R588" i="25"/>
  <c r="R652" i="25"/>
  <c r="R716" i="25"/>
  <c r="R780" i="25"/>
  <c r="R844" i="25"/>
  <c r="R908" i="25"/>
  <c r="R972" i="25"/>
  <c r="R1036" i="25"/>
  <c r="R1100" i="25"/>
  <c r="R1164" i="25"/>
  <c r="R1228" i="25"/>
  <c r="R1292" i="25"/>
  <c r="R1646" i="25"/>
  <c r="R2610" i="25"/>
  <c r="R2722" i="25"/>
  <c r="R2754" i="25"/>
  <c r="R2834" i="25"/>
  <c r="R2866" i="25"/>
  <c r="R2312" i="25"/>
  <c r="R2440" i="25"/>
  <c r="R3078" i="25"/>
  <c r="R3294" i="25"/>
  <c r="R3442" i="25"/>
  <c r="R3510" i="25"/>
  <c r="R3758" i="25"/>
  <c r="R3830" i="25"/>
  <c r="R3635" i="25"/>
  <c r="R2694" i="25"/>
  <c r="R2838" i="25"/>
  <c r="R2008" i="25"/>
  <c r="R2184" i="25"/>
  <c r="R2760" i="25"/>
  <c r="R2904" i="25"/>
  <c r="R3050" i="25"/>
  <c r="R3306" i="25"/>
  <c r="R3450" i="25"/>
  <c r="R2007" i="25"/>
  <c r="R2519" i="25"/>
  <c r="R2631" i="25"/>
  <c r="R504" i="25"/>
  <c r="R532" i="25"/>
  <c r="R596" i="25"/>
  <c r="R852" i="25"/>
  <c r="R916" i="25"/>
  <c r="R3422" i="25"/>
  <c r="R3806" i="25"/>
  <c r="R1868" i="25"/>
  <c r="R3264" i="25"/>
  <c r="R3488" i="25"/>
  <c r="R3536" i="25"/>
  <c r="R3568" i="25"/>
  <c r="R3600" i="25"/>
  <c r="R3616" i="25"/>
  <c r="R3712" i="25"/>
  <c r="R3986" i="25"/>
  <c r="R2946" i="25"/>
  <c r="R2978" i="25"/>
  <c r="R3518" i="25"/>
  <c r="R3730" i="25"/>
  <c r="R3982" i="25"/>
  <c r="R2295" i="25"/>
  <c r="R2658" i="25"/>
  <c r="R3558" i="25"/>
  <c r="R3622" i="25"/>
  <c r="R3738" i="25"/>
  <c r="R3850" i="25"/>
  <c r="R3966" i="25"/>
  <c r="R2690" i="25"/>
  <c r="R2802" i="25"/>
  <c r="R2168" i="25"/>
  <c r="R2424" i="25"/>
  <c r="R2930" i="25"/>
  <c r="R3094" i="25"/>
  <c r="R3566" i="25"/>
  <c r="R3618" i="25"/>
  <c r="R4002" i="25"/>
  <c r="R3872" i="25"/>
  <c r="R2832" i="25"/>
  <c r="R3998" i="25"/>
  <c r="R3812" i="25"/>
  <c r="R2594" i="25"/>
  <c r="R2738" i="25"/>
  <c r="R2850" i="25"/>
  <c r="R3166" i="25"/>
  <c r="R3710" i="25"/>
  <c r="R3886" i="25"/>
  <c r="R2423" i="25"/>
  <c r="R3454" i="25"/>
  <c r="R2706" i="25"/>
  <c r="R2818" i="25"/>
  <c r="R2994" i="25"/>
  <c r="R3110" i="25"/>
  <c r="R3342" i="25"/>
  <c r="R3080" i="25"/>
  <c r="R3256" i="25"/>
  <c r="R3656" i="25"/>
  <c r="R2626" i="25"/>
  <c r="R2914" i="25"/>
  <c r="R3062" i="25"/>
  <c r="R3134" i="25"/>
  <c r="R3206" i="25"/>
  <c r="R3350" i="25"/>
  <c r="R3670" i="25"/>
  <c r="R2311" i="25"/>
  <c r="R2898" i="25"/>
  <c r="R3398" i="25"/>
  <c r="R3574" i="25"/>
  <c r="R3170" i="25"/>
  <c r="R4003" i="25"/>
  <c r="R1447" i="25"/>
  <c r="R1575" i="25"/>
  <c r="R1991" i="25"/>
  <c r="R2231" i="25"/>
  <c r="R2743" i="25"/>
  <c r="R2871" i="25"/>
  <c r="R1742" i="25"/>
  <c r="R1854" i="25"/>
  <c r="R1910" i="25"/>
  <c r="R2642" i="25"/>
  <c r="R2360" i="25"/>
  <c r="R3026" i="25"/>
  <c r="R3198" i="25"/>
  <c r="R3482" i="25"/>
  <c r="R3834" i="25"/>
  <c r="R1582" i="25"/>
  <c r="R1598" i="25"/>
  <c r="R1614" i="25"/>
  <c r="R1630" i="25"/>
  <c r="R1774" i="25"/>
  <c r="R1942" i="25"/>
  <c r="R2674" i="25"/>
  <c r="R2786" i="25"/>
  <c r="R1992" i="25"/>
  <c r="R2068" i="25"/>
  <c r="R2708" i="25"/>
  <c r="R2836" i="25"/>
  <c r="R3138" i="25"/>
  <c r="R3254" i="25"/>
  <c r="R3666" i="25"/>
  <c r="R3782" i="25"/>
  <c r="R2044" i="25"/>
  <c r="R2108" i="25"/>
  <c r="R2172" i="25"/>
  <c r="R2192" i="25"/>
  <c r="R2384" i="25"/>
  <c r="R2492" i="25"/>
  <c r="R2576" i="25"/>
  <c r="R2620" i="25"/>
  <c r="R2684" i="25"/>
  <c r="R2768" i="25"/>
  <c r="R2812" i="25"/>
  <c r="R2876" i="25"/>
  <c r="R2992" i="25"/>
  <c r="R3072" i="25"/>
  <c r="R3312" i="25"/>
  <c r="R3920" i="25"/>
  <c r="R2291" i="25"/>
  <c r="R2515" i="25"/>
  <c r="R3283" i="25"/>
  <c r="R2751" i="25"/>
  <c r="R2767" i="25"/>
  <c r="R2831" i="25"/>
  <c r="R2927" i="25"/>
  <c r="R2943" i="25"/>
  <c r="R2975" i="25"/>
  <c r="R2991" i="25"/>
  <c r="R3091" i="25"/>
  <c r="R3508" i="25"/>
  <c r="R3696" i="25"/>
  <c r="R3994" i="25"/>
  <c r="R1922" i="25"/>
  <c r="R2034" i="25"/>
  <c r="R2370" i="25"/>
  <c r="R2482" i="25"/>
  <c r="R3458" i="25"/>
  <c r="R3774" i="25"/>
  <c r="R3958" i="25"/>
  <c r="R2050" i="25"/>
  <c r="R2562" i="25"/>
  <c r="R1970" i="25"/>
  <c r="R1931" i="25"/>
  <c r="R1963" i="25"/>
  <c r="R1995" i="25"/>
  <c r="R2043" i="25"/>
  <c r="R2107" i="25"/>
  <c r="R2123" i="25"/>
  <c r="R2171" i="25"/>
  <c r="R2251" i="25"/>
  <c r="R2491" i="25"/>
  <c r="R2627" i="25"/>
  <c r="R2675" i="25"/>
  <c r="R2723" i="25"/>
  <c r="R2851" i="25"/>
  <c r="R2867" i="25"/>
  <c r="R3991" i="25"/>
  <c r="R2002" i="25"/>
  <c r="R2146" i="25"/>
  <c r="R2258" i="25"/>
  <c r="R2514" i="25"/>
  <c r="R3278" i="25"/>
  <c r="R3638" i="25"/>
  <c r="R1938" i="25"/>
  <c r="R2226" i="25"/>
  <c r="R3230" i="25"/>
  <c r="R3866" i="25"/>
  <c r="R568" i="25"/>
  <c r="R920" i="25"/>
  <c r="R2872" i="25"/>
  <c r="R2962" i="25"/>
  <c r="R3394" i="25"/>
  <c r="R3786" i="25"/>
  <c r="R2103" i="25"/>
  <c r="R2359" i="25"/>
  <c r="R2439" i="25"/>
  <c r="R3246" i="25"/>
  <c r="R3470" i="25"/>
  <c r="R3530" i="25"/>
  <c r="R3650" i="25"/>
  <c r="R3878" i="25"/>
  <c r="R2770" i="25"/>
  <c r="R2882" i="25"/>
  <c r="R3010" i="25"/>
  <c r="R3298" i="25"/>
  <c r="R1932" i="25"/>
  <c r="R1996" i="25"/>
  <c r="R2124" i="25"/>
  <c r="R2252" i="25"/>
  <c r="R2636" i="25"/>
  <c r="R2700" i="25"/>
  <c r="R2928" i="25"/>
  <c r="R2944" i="25"/>
  <c r="R2976" i="25"/>
  <c r="R2047" i="25"/>
  <c r="R2191" i="25"/>
  <c r="R2239" i="25"/>
  <c r="R2303" i="25"/>
  <c r="R2367" i="25"/>
  <c r="R2383" i="25"/>
  <c r="R2495" i="25"/>
  <c r="R2559" i="25"/>
  <c r="R2575" i="25"/>
  <c r="R3355" i="25"/>
  <c r="R3627" i="25"/>
  <c r="R3763" i="25"/>
  <c r="R3811" i="25"/>
  <c r="R2619" i="25"/>
  <c r="R2635" i="25"/>
  <c r="R2683" i="25"/>
  <c r="R2699" i="25"/>
  <c r="R2811" i="25"/>
  <c r="R2875" i="25"/>
  <c r="R2891" i="25"/>
  <c r="R3227" i="25"/>
  <c r="R3551" i="25"/>
  <c r="R3735" i="25"/>
  <c r="R3871" i="25"/>
  <c r="R3919" i="25"/>
  <c r="R3989" i="25"/>
  <c r="R3990" i="25"/>
  <c r="R3988" i="25"/>
  <c r="R3744" i="25"/>
  <c r="R3904" i="25"/>
  <c r="R3376" i="25"/>
  <c r="R3440" i="25"/>
  <c r="R3680" i="25"/>
  <c r="R3956" i="25"/>
  <c r="R3992" i="25"/>
  <c r="R3996" i="25"/>
  <c r="R4000" i="25"/>
  <c r="R760" i="25"/>
  <c r="R872" i="25"/>
  <c r="R1080" i="25"/>
  <c r="R1352" i="25"/>
  <c r="R1384" i="25"/>
  <c r="R1416" i="25"/>
  <c r="R1674" i="25"/>
  <c r="R1786" i="25"/>
  <c r="R2082" i="25"/>
  <c r="R2194" i="25"/>
  <c r="R3322" i="25"/>
  <c r="R496" i="25"/>
  <c r="R540" i="25"/>
  <c r="R604" i="25"/>
  <c r="R732" i="25"/>
  <c r="R796" i="25"/>
  <c r="R924" i="25"/>
  <c r="R988" i="25"/>
  <c r="R1052" i="25"/>
  <c r="R1180" i="25"/>
  <c r="R1244" i="25"/>
  <c r="R1308" i="25"/>
  <c r="R1866" i="25"/>
  <c r="R2018" i="25"/>
  <c r="R2130" i="25"/>
  <c r="R2466" i="25"/>
  <c r="R2498" i="25"/>
  <c r="R3366" i="25"/>
  <c r="R3546" i="25"/>
  <c r="R3686" i="25"/>
  <c r="R1655" i="25"/>
  <c r="R2306" i="25"/>
  <c r="R2418" i="25"/>
  <c r="R2530" i="25"/>
  <c r="R3606" i="25"/>
  <c r="R517" i="25"/>
  <c r="R709" i="25"/>
  <c r="R1398" i="25"/>
  <c r="R1954" i="25"/>
  <c r="R3418" i="25"/>
  <c r="R1986" i="25"/>
  <c r="R2546" i="25"/>
  <c r="R3910" i="25"/>
  <c r="R2242" i="25"/>
  <c r="R2402" i="25"/>
  <c r="R2578" i="25"/>
  <c r="R3793" i="25"/>
  <c r="R3308" i="25"/>
  <c r="R3340" i="25"/>
  <c r="R3372" i="25"/>
  <c r="R3436" i="25"/>
  <c r="R3644" i="25"/>
  <c r="R3692" i="25"/>
  <c r="R3724" i="25"/>
  <c r="R3740" i="25"/>
  <c r="R3772" i="25"/>
  <c r="R3868" i="25"/>
  <c r="R3916" i="25"/>
  <c r="R3948" i="25"/>
  <c r="R3271" i="25"/>
  <c r="R3375" i="25"/>
  <c r="R3915" i="25"/>
  <c r="R3219" i="25"/>
  <c r="R3315" i="25"/>
  <c r="R3403" i="25"/>
  <c r="R3539" i="25"/>
  <c r="R3587" i="25"/>
  <c r="R3903" i="25"/>
  <c r="R3947" i="25"/>
  <c r="R3371" i="25"/>
  <c r="R3507" i="25"/>
  <c r="R3643" i="25"/>
  <c r="R3779" i="25"/>
  <c r="R3827" i="25"/>
  <c r="R536" i="25"/>
  <c r="R1176" i="25"/>
  <c r="R1256" i="25"/>
  <c r="R3502" i="25"/>
  <c r="R2066" i="25"/>
  <c r="R2178" i="25"/>
  <c r="R2290" i="25"/>
  <c r="R2354" i="25"/>
  <c r="R3594" i="25"/>
  <c r="R2098" i="25"/>
  <c r="R2210" i="25"/>
  <c r="R2322" i="25"/>
  <c r="R1900" i="25"/>
  <c r="R2092" i="25"/>
  <c r="R2936" i="25"/>
  <c r="R3124" i="25"/>
  <c r="R3220" i="25"/>
  <c r="R3316" i="25"/>
  <c r="R3348" i="25"/>
  <c r="R3412" i="25"/>
  <c r="R3476" i="25"/>
  <c r="R3540" i="25"/>
  <c r="R3556" i="25"/>
  <c r="R3588" i="25"/>
  <c r="R3604" i="25"/>
  <c r="R3620" i="25"/>
  <c r="R3652" i="25"/>
  <c r="R3780" i="25"/>
  <c r="R3828" i="25"/>
  <c r="R3876" i="25"/>
  <c r="R3924" i="25"/>
  <c r="R3972" i="25"/>
  <c r="R3247" i="25"/>
  <c r="R3603" i="25"/>
  <c r="R3739" i="25"/>
  <c r="R3923" i="25"/>
  <c r="R632" i="25"/>
  <c r="R668" i="25"/>
  <c r="R860" i="25"/>
  <c r="R1116" i="25"/>
  <c r="R2274" i="25"/>
  <c r="R3726" i="25"/>
  <c r="R1350" i="25"/>
  <c r="R1366" i="25"/>
  <c r="R1382" i="25"/>
  <c r="R1414" i="25"/>
  <c r="R1430" i="25"/>
  <c r="R1462" i="25"/>
  <c r="R1478" i="25"/>
  <c r="R1542" i="25"/>
  <c r="R1558" i="25"/>
  <c r="R1722" i="25"/>
  <c r="R1834" i="25"/>
  <c r="R2114" i="25"/>
  <c r="R2338" i="25"/>
  <c r="R2386" i="25"/>
  <c r="R2450" i="25"/>
  <c r="R2725" i="25"/>
  <c r="R3144" i="25"/>
  <c r="R3160" i="25"/>
  <c r="R3176" i="25"/>
  <c r="R3192" i="25"/>
  <c r="R3208" i="25"/>
  <c r="R3240" i="25"/>
  <c r="R3272" i="25"/>
  <c r="R3496" i="25"/>
  <c r="R3528" i="25"/>
  <c r="R3576" i="25"/>
  <c r="R3800" i="25"/>
  <c r="R3816" i="25"/>
  <c r="R3848" i="25"/>
  <c r="R3143" i="25"/>
  <c r="R3175" i="25"/>
  <c r="R3307" i="25"/>
  <c r="R3411" i="25"/>
  <c r="R3467" i="25"/>
  <c r="R3691" i="25"/>
  <c r="R3743" i="25"/>
  <c r="R3847" i="25"/>
  <c r="R3955" i="25"/>
  <c r="R3347" i="25"/>
  <c r="R3435" i="25"/>
  <c r="R3527" i="25"/>
  <c r="R3799" i="25"/>
  <c r="R2948" i="25"/>
  <c r="R3495" i="25"/>
  <c r="R3679" i="25"/>
  <c r="R3723" i="25"/>
  <c r="R3815" i="25"/>
  <c r="R2380" i="25"/>
  <c r="R2448" i="25"/>
  <c r="R528" i="25"/>
  <c r="R656" i="25"/>
  <c r="R784" i="25"/>
  <c r="R3210" i="25"/>
  <c r="R3362" i="25"/>
  <c r="R3466" i="25"/>
  <c r="R3014" i="25"/>
  <c r="R3358" i="25"/>
  <c r="R3766" i="25"/>
  <c r="R2204" i="25"/>
  <c r="R3448" i="25"/>
  <c r="R592" i="25"/>
  <c r="R720" i="25"/>
  <c r="R848" i="25"/>
  <c r="R912" i="25"/>
  <c r="R976" i="25"/>
  <c r="R1040" i="25"/>
  <c r="R1104" i="25"/>
  <c r="R1168" i="25"/>
  <c r="R1232" i="25"/>
  <c r="R1296" i="25"/>
  <c r="R1730" i="25"/>
  <c r="R1989" i="25"/>
  <c r="R2437" i="25"/>
  <c r="R1495" i="25"/>
  <c r="R1687" i="25"/>
  <c r="R1879" i="25"/>
  <c r="R1570" i="25"/>
  <c r="R1810" i="25"/>
  <c r="R1925" i="25"/>
  <c r="R2378" i="25"/>
  <c r="R2490" i="25"/>
  <c r="R1684" i="25"/>
  <c r="R508" i="25"/>
  <c r="R584" i="25"/>
  <c r="R808" i="25"/>
  <c r="R1400" i="25"/>
  <c r="R1432" i="25"/>
  <c r="R1746" i="25"/>
  <c r="R1858" i="25"/>
  <c r="R1560" i="25"/>
  <c r="R2010" i="25"/>
  <c r="R3302" i="25"/>
  <c r="R3410" i="25"/>
  <c r="R696" i="25"/>
  <c r="R1016" i="25"/>
  <c r="R1128" i="25"/>
  <c r="R1320" i="25"/>
  <c r="R1368" i="25"/>
  <c r="R2122" i="25"/>
  <c r="R2234" i="25"/>
  <c r="R2570" i="25"/>
  <c r="R3934" i="25"/>
  <c r="R3066" i="25"/>
  <c r="R3000" i="25"/>
  <c r="R2940" i="25"/>
  <c r="R572" i="25"/>
  <c r="R636" i="25"/>
  <c r="R700" i="25"/>
  <c r="R764" i="25"/>
  <c r="R828" i="25"/>
  <c r="R892" i="25"/>
  <c r="R956" i="25"/>
  <c r="R1020" i="25"/>
  <c r="R1084" i="25"/>
  <c r="R1148" i="25"/>
  <c r="R1212" i="25"/>
  <c r="R1276" i="25"/>
  <c r="R1340" i="25"/>
  <c r="R1794" i="25"/>
  <c r="R1946" i="25"/>
  <c r="R2090" i="25"/>
  <c r="R2202" i="25"/>
  <c r="R2314" i="25"/>
  <c r="R2426" i="25"/>
  <c r="R2538" i="25"/>
  <c r="R2888" i="25"/>
  <c r="R2934" i="25"/>
  <c r="R3118" i="25"/>
  <c r="R3262" i="25"/>
  <c r="R3406" i="25"/>
  <c r="R3478" i="25"/>
  <c r="R3582" i="25"/>
  <c r="R3614" i="25"/>
  <c r="R3798" i="25"/>
  <c r="R1751" i="25"/>
  <c r="R2119" i="25"/>
  <c r="R1682" i="25"/>
  <c r="R2026" i="25"/>
  <c r="R2138" i="25"/>
  <c r="R2250" i="25"/>
  <c r="R2474" i="25"/>
  <c r="R2586" i="25"/>
  <c r="R2120" i="25"/>
  <c r="R2966" i="25"/>
  <c r="R3082" i="25"/>
  <c r="R3142" i="25"/>
  <c r="R3258" i="25"/>
  <c r="R3542" i="25"/>
  <c r="R3662" i="25"/>
  <c r="R3950" i="25"/>
  <c r="R1994" i="25"/>
  <c r="R2058" i="25"/>
  <c r="R2170" i="25"/>
  <c r="R2282" i="25"/>
  <c r="R2506" i="25"/>
  <c r="R2902" i="25"/>
  <c r="R2918" i="25"/>
  <c r="R3030" i="25"/>
  <c r="R3202" i="25"/>
  <c r="R3722" i="25"/>
  <c r="R3842" i="25"/>
  <c r="R492" i="25"/>
  <c r="R1632" i="25"/>
  <c r="R2988" i="25"/>
  <c r="R3036" i="25"/>
  <c r="R3084" i="25"/>
  <c r="R2939" i="25"/>
  <c r="R2987" i="25"/>
  <c r="R3035" i="25"/>
  <c r="R2732" i="25"/>
  <c r="R3232" i="25"/>
  <c r="R3520" i="25"/>
  <c r="R3584" i="25"/>
  <c r="R3648" i="25"/>
  <c r="R3892" i="25"/>
  <c r="R3152" i="25"/>
  <c r="R3184" i="25"/>
  <c r="R3400" i="25"/>
  <c r="R3632" i="25"/>
  <c r="R3728" i="25"/>
  <c r="R3864" i="25"/>
  <c r="R2886" i="25"/>
  <c r="R2696" i="25"/>
  <c r="R697" i="25"/>
  <c r="R1602" i="25"/>
  <c r="R1634" i="25"/>
  <c r="R1733" i="25"/>
  <c r="R2346" i="25"/>
  <c r="R2522" i="25"/>
  <c r="R3291" i="25"/>
  <c r="R3839" i="25"/>
  <c r="R3883" i="25"/>
  <c r="R3927" i="25"/>
  <c r="R2774" i="25"/>
  <c r="R585" i="25"/>
  <c r="R809" i="25"/>
  <c r="R1017" i="25"/>
  <c r="R1129" i="25"/>
  <c r="R1586" i="25"/>
  <c r="R1618" i="25"/>
  <c r="R2458" i="25"/>
  <c r="R2500" i="25"/>
  <c r="R2982" i="25"/>
  <c r="R3214" i="25"/>
  <c r="R3390" i="25"/>
  <c r="R3678" i="25"/>
  <c r="R3906" i="25"/>
  <c r="R548" i="25"/>
  <c r="R612" i="25"/>
  <c r="R676" i="25"/>
  <c r="R740" i="25"/>
  <c r="R804" i="25"/>
  <c r="R868" i="25"/>
  <c r="R932" i="25"/>
  <c r="R996" i="25"/>
  <c r="R1060" i="25"/>
  <c r="R1124" i="25"/>
  <c r="R1188" i="25"/>
  <c r="R1252" i="25"/>
  <c r="R1316" i="25"/>
  <c r="R1778" i="25"/>
  <c r="R1962" i="25"/>
  <c r="R2074" i="25"/>
  <c r="R2106" i="25"/>
  <c r="R2186" i="25"/>
  <c r="R2218" i="25"/>
  <c r="R2298" i="25"/>
  <c r="R2330" i="25"/>
  <c r="R2410" i="25"/>
  <c r="R2442" i="25"/>
  <c r="R2554" i="25"/>
  <c r="R2950" i="25"/>
  <c r="R3098" i="25"/>
  <c r="R3310" i="25"/>
  <c r="R3494" i="25"/>
  <c r="R3526" i="25"/>
  <c r="R3814" i="25"/>
  <c r="R1714" i="25"/>
  <c r="R1826" i="25"/>
  <c r="R2394" i="25"/>
  <c r="R2998" i="25"/>
  <c r="R3346" i="25"/>
  <c r="R3630" i="25"/>
  <c r="R3862" i="25"/>
  <c r="R2646" i="25"/>
  <c r="R3750" i="25"/>
  <c r="R3978" i="25"/>
  <c r="R1596" i="25"/>
  <c r="R2996" i="25"/>
  <c r="R1923" i="25"/>
  <c r="R1971" i="25"/>
  <c r="R2003" i="25"/>
  <c r="R2083" i="25"/>
  <c r="R2099" i="25"/>
  <c r="R2147" i="25"/>
  <c r="R2195" i="25"/>
  <c r="R2211" i="25"/>
  <c r="R2227" i="25"/>
  <c r="R2355" i="25"/>
  <c r="R2387" i="25"/>
  <c r="R2403" i="25"/>
  <c r="R2419" i="25"/>
  <c r="R2435" i="25"/>
  <c r="R2467" i="25"/>
  <c r="R2531" i="25"/>
  <c r="R2547" i="25"/>
  <c r="R3239" i="25"/>
  <c r="R3651" i="25"/>
  <c r="R3207" i="25"/>
  <c r="R3575" i="25"/>
  <c r="R3619" i="25"/>
  <c r="R616" i="25"/>
  <c r="R728" i="25"/>
  <c r="R840" i="25"/>
  <c r="R1032" i="25"/>
  <c r="R1144" i="25"/>
  <c r="R1240" i="25"/>
  <c r="R1894" i="25"/>
  <c r="R1735" i="25"/>
  <c r="R1950" i="25"/>
  <c r="R2462" i="25"/>
  <c r="R3702" i="25"/>
  <c r="R1346" i="25"/>
  <c r="R1362" i="25"/>
  <c r="R1378" i="25"/>
  <c r="R1394" i="25"/>
  <c r="R1410" i="25"/>
  <c r="R1426" i="25"/>
  <c r="R1442" i="25"/>
  <c r="R1474" i="25"/>
  <c r="R1490" i="25"/>
  <c r="R1506" i="25"/>
  <c r="R1538" i="25"/>
  <c r="R1554" i="25"/>
  <c r="R2158" i="25"/>
  <c r="R2494" i="25"/>
  <c r="R2542" i="25"/>
  <c r="R3182" i="25"/>
  <c r="R3534" i="25"/>
  <c r="R3646" i="25"/>
  <c r="R1612" i="25"/>
  <c r="R2428" i="25"/>
  <c r="R2556" i="25"/>
  <c r="R2932" i="25"/>
  <c r="R3136" i="25"/>
  <c r="R3168" i="25"/>
  <c r="R3200" i="25"/>
  <c r="R3499" i="25"/>
  <c r="R3931" i="25"/>
  <c r="R3231" i="25"/>
  <c r="R3367" i="25"/>
  <c r="R3459" i="25"/>
  <c r="R3547" i="25"/>
  <c r="R3727" i="25"/>
  <c r="R3819" i="25"/>
  <c r="R3911" i="25"/>
  <c r="R3243" i="25"/>
  <c r="R3331" i="25"/>
  <c r="R3431" i="25"/>
  <c r="R1876" i="25"/>
  <c r="R3732" i="25"/>
  <c r="R1943" i="25"/>
  <c r="R2071" i="25"/>
  <c r="R2263" i="25"/>
  <c r="R2327" i="25"/>
  <c r="R2343" i="25"/>
  <c r="R2583" i="25"/>
  <c r="R3135" i="25"/>
  <c r="R3167" i="25"/>
  <c r="R3199" i="25"/>
  <c r="R3399" i="25"/>
  <c r="R3567" i="25"/>
  <c r="R3731" i="25"/>
  <c r="R3835" i="25"/>
  <c r="R3943" i="25"/>
  <c r="R3115" i="25"/>
  <c r="R3335" i="25"/>
  <c r="R3427" i="25"/>
  <c r="R3519" i="25"/>
  <c r="R3787" i="25"/>
  <c r="R3299" i="25"/>
  <c r="R3395" i="25"/>
  <c r="R3667" i="25"/>
  <c r="R3711" i="25"/>
  <c r="R3803" i="25"/>
  <c r="R3851" i="25"/>
  <c r="R576" i="25"/>
  <c r="R640" i="25"/>
  <c r="R704" i="25"/>
  <c r="R768" i="25"/>
  <c r="R832" i="25"/>
  <c r="R896" i="25"/>
  <c r="R960" i="25"/>
  <c r="R1024" i="25"/>
  <c r="R1088" i="25"/>
  <c r="R1152" i="25"/>
  <c r="R1216" i="25"/>
  <c r="R1280" i="25"/>
  <c r="R1344" i="25"/>
  <c r="R1408" i="25"/>
  <c r="R2357" i="25"/>
  <c r="R2549" i="25"/>
  <c r="R2805" i="25"/>
  <c r="R1672" i="25"/>
  <c r="R2094" i="25"/>
  <c r="R2206" i="25"/>
  <c r="R2318" i="25"/>
  <c r="R2430" i="25"/>
  <c r="R3270" i="25"/>
  <c r="R1924" i="25"/>
  <c r="R1692" i="25"/>
  <c r="R1732" i="25"/>
  <c r="R1904" i="25"/>
  <c r="R2012" i="25"/>
  <c r="R2844" i="25"/>
  <c r="R2956" i="25"/>
  <c r="R3032" i="25"/>
  <c r="R3304" i="25"/>
  <c r="R3368" i="25"/>
  <c r="R3432" i="25"/>
  <c r="R3464" i="25"/>
  <c r="R3768" i="25"/>
  <c r="R3912" i="25"/>
  <c r="R3944" i="25"/>
  <c r="R2427" i="25"/>
  <c r="R2555" i="25"/>
  <c r="R3211" i="25"/>
  <c r="R3363" i="25"/>
  <c r="R3899" i="25"/>
  <c r="R3303" i="25"/>
  <c r="R3615" i="25"/>
  <c r="R3891" i="25"/>
  <c r="R2064" i="25"/>
  <c r="R2611" i="25"/>
  <c r="R2787" i="25"/>
  <c r="R2803" i="25"/>
  <c r="R3263" i="25"/>
  <c r="R3583" i="25"/>
  <c r="R3631" i="25"/>
  <c r="R3767" i="25"/>
  <c r="R3863" i="25"/>
  <c r="R1623" i="25"/>
  <c r="R1796" i="25"/>
  <c r="R2052" i="25"/>
  <c r="R2180" i="25"/>
  <c r="R2756" i="25"/>
  <c r="R1698" i="25"/>
  <c r="R1914" i="25"/>
  <c r="R2362" i="25"/>
  <c r="R2884" i="25"/>
  <c r="R1776" i="25"/>
  <c r="R1952" i="25"/>
  <c r="R2060" i="25"/>
  <c r="R2080" i="25"/>
  <c r="R2188" i="25"/>
  <c r="R2316" i="25"/>
  <c r="R2444" i="25"/>
  <c r="R2508" i="25"/>
  <c r="R2572" i="25"/>
  <c r="R2764" i="25"/>
  <c r="R2784" i="25"/>
  <c r="R2828" i="25"/>
  <c r="R2848" i="25"/>
  <c r="R2960" i="25"/>
  <c r="R1571" i="25"/>
  <c r="R1935" i="25"/>
  <c r="R1951" i="25"/>
  <c r="R1983" i="25"/>
  <c r="R1999" i="25"/>
  <c r="R2079" i="25"/>
  <c r="R2127" i="25"/>
  <c r="R2255" i="25"/>
  <c r="R2271" i="25"/>
  <c r="R2399" i="25"/>
  <c r="R2447" i="25"/>
  <c r="R2511" i="25"/>
  <c r="R1948" i="25"/>
  <c r="R2652" i="25"/>
  <c r="R2716" i="25"/>
  <c r="R2763" i="25"/>
  <c r="R2827" i="25"/>
  <c r="R3055" i="25"/>
  <c r="R3103" i="25"/>
  <c r="R2032" i="25"/>
  <c r="R2288" i="25"/>
  <c r="R2416" i="25"/>
  <c r="R3064" i="25"/>
  <c r="R3048" i="25"/>
  <c r="R3096" i="25"/>
  <c r="R520" i="25"/>
  <c r="R664" i="25"/>
  <c r="R824" i="25"/>
  <c r="R968" i="25"/>
  <c r="R1112" i="25"/>
  <c r="R1272" i="25"/>
  <c r="R2006" i="25"/>
  <c r="R2790" i="25"/>
  <c r="R601" i="25"/>
  <c r="R745" i="25"/>
  <c r="R889" i="25"/>
  <c r="R1049" i="25"/>
  <c r="R1209" i="25"/>
  <c r="R1337" i="25"/>
  <c r="R2377" i="25"/>
  <c r="R1815" i="25"/>
  <c r="R2518" i="25"/>
  <c r="R905" i="25"/>
  <c r="R1513" i="25"/>
  <c r="R594" i="25"/>
  <c r="R785" i="25"/>
  <c r="R834" i="25"/>
  <c r="R849" i="25"/>
  <c r="R913" i="25"/>
  <c r="R977" i="25"/>
  <c r="R1041" i="25"/>
  <c r="R1074" i="25"/>
  <c r="R1105" i="25"/>
  <c r="R1138" i="25"/>
  <c r="R1202" i="25"/>
  <c r="R1234" i="25"/>
  <c r="R1762" i="25"/>
  <c r="R1874" i="25"/>
  <c r="R1930" i="25"/>
  <c r="R1978" i="25"/>
  <c r="R2042" i="25"/>
  <c r="R2266" i="25"/>
  <c r="R2244" i="25"/>
  <c r="R2372" i="25"/>
  <c r="R2564" i="25"/>
  <c r="R2692" i="25"/>
  <c r="R2820" i="25"/>
  <c r="R1532" i="25"/>
  <c r="R1444" i="25"/>
  <c r="R1808" i="25"/>
  <c r="R1916" i="25"/>
  <c r="R1936" i="25"/>
  <c r="R2000" i="25"/>
  <c r="R2128" i="25"/>
  <c r="R2256" i="25"/>
  <c r="R2320" i="25"/>
  <c r="R2512" i="25"/>
  <c r="R2640" i="25"/>
  <c r="R2704" i="25"/>
  <c r="R2896" i="25"/>
  <c r="R3040" i="25"/>
  <c r="R3056" i="25"/>
  <c r="R3088" i="25"/>
  <c r="R3104" i="25"/>
  <c r="R3985" i="25"/>
  <c r="R2623" i="25"/>
  <c r="R2639" i="25"/>
  <c r="R2687" i="25"/>
  <c r="R2703" i="25"/>
  <c r="R2783" i="25"/>
  <c r="R2847" i="25"/>
  <c r="R2959" i="25"/>
  <c r="R649" i="25"/>
  <c r="R777" i="25"/>
  <c r="R937" i="25"/>
  <c r="R1065" i="25"/>
  <c r="R1225" i="25"/>
  <c r="R1449" i="25"/>
  <c r="R1529" i="25"/>
  <c r="R549" i="25"/>
  <c r="R613" i="25"/>
  <c r="R741" i="25"/>
  <c r="R805" i="25"/>
  <c r="R869" i="25"/>
  <c r="R933" i="25"/>
  <c r="R950" i="25"/>
  <c r="R1014" i="25"/>
  <c r="R1061" i="25"/>
  <c r="R1125" i="25"/>
  <c r="R1189" i="25"/>
  <c r="R1254" i="25"/>
  <c r="R1317" i="25"/>
  <c r="R1666" i="25"/>
  <c r="R1890" i="25"/>
  <c r="R1540" i="25"/>
  <c r="R1624" i="25"/>
  <c r="R1752" i="25"/>
  <c r="R1880" i="25"/>
  <c r="R1452" i="25"/>
  <c r="R1516" i="25"/>
  <c r="R1536" i="25"/>
  <c r="R1580" i="25"/>
  <c r="R1600" i="25"/>
  <c r="R1644" i="25"/>
  <c r="R1708" i="25"/>
  <c r="R1728" i="25"/>
  <c r="R1772" i="25"/>
  <c r="R1451" i="25"/>
  <c r="R1515" i="25"/>
  <c r="R1792" i="25"/>
  <c r="R1836" i="25"/>
  <c r="R1856" i="25"/>
  <c r="R1984" i="25"/>
  <c r="R1599" i="25"/>
  <c r="R1663" i="25"/>
  <c r="R1727" i="25"/>
  <c r="R1791" i="25"/>
  <c r="R1855" i="25"/>
  <c r="R1988" i="25"/>
  <c r="R2116" i="25"/>
  <c r="R2135" i="25"/>
  <c r="R2183" i="25"/>
  <c r="R2247" i="25"/>
  <c r="R2308" i="25"/>
  <c r="R2375" i="25"/>
  <c r="R2455" i="25"/>
  <c r="R2567" i="25"/>
  <c r="R3344" i="25"/>
  <c r="R3408" i="25"/>
  <c r="R3472" i="25"/>
  <c r="R3504" i="25"/>
  <c r="R3664" i="25"/>
  <c r="R1508" i="25"/>
  <c r="R560" i="25"/>
  <c r="R688" i="25"/>
  <c r="R752" i="25"/>
  <c r="R816" i="25"/>
  <c r="R880" i="25"/>
  <c r="R944" i="25"/>
  <c r="R1008" i="25"/>
  <c r="R1072" i="25"/>
  <c r="R1136" i="25"/>
  <c r="R1328" i="25"/>
  <c r="R1690" i="25"/>
  <c r="R2213" i="25"/>
  <c r="R1848" i="25"/>
  <c r="R1754" i="25"/>
  <c r="R3329" i="25"/>
  <c r="R633" i="25"/>
  <c r="R761" i="25"/>
  <c r="R1081" i="25"/>
  <c r="R1177" i="25"/>
  <c r="R2853" i="25"/>
  <c r="R2020" i="25"/>
  <c r="R2276" i="25"/>
  <c r="R516" i="25"/>
  <c r="R580" i="25"/>
  <c r="R644" i="25"/>
  <c r="R660" i="25"/>
  <c r="R708" i="25"/>
  <c r="R724" i="25"/>
  <c r="R772" i="25"/>
  <c r="R788" i="25"/>
  <c r="R836" i="25"/>
  <c r="R900" i="25"/>
  <c r="R964" i="25"/>
  <c r="R980" i="25"/>
  <c r="R1028" i="25"/>
  <c r="R1044" i="25"/>
  <c r="R1092" i="25"/>
  <c r="R1108" i="25"/>
  <c r="R1156" i="25"/>
  <c r="R1220" i="25"/>
  <c r="R1284" i="25"/>
  <c r="R1738" i="25"/>
  <c r="R1850" i="25"/>
  <c r="R1783" i="25"/>
  <c r="R1770" i="25"/>
  <c r="R1882" i="25"/>
  <c r="R1892" i="25"/>
  <c r="R733" i="25"/>
  <c r="R1642" i="25"/>
  <c r="R2085" i="25"/>
  <c r="R1828" i="25"/>
  <c r="R1956" i="25"/>
  <c r="R3649" i="25"/>
  <c r="R593" i="25"/>
  <c r="R1472" i="25"/>
  <c r="R1664" i="25"/>
  <c r="R1585" i="25"/>
  <c r="R1693" i="25"/>
  <c r="R1321" i="25"/>
  <c r="R2565" i="25"/>
  <c r="R2815" i="25"/>
  <c r="R2895" i="25"/>
  <c r="R3039" i="25"/>
  <c r="R1527" i="25"/>
  <c r="R1898" i="25"/>
  <c r="R2340" i="25"/>
  <c r="R2660" i="25"/>
  <c r="R1578" i="25"/>
  <c r="R1594" i="25"/>
  <c r="R1610" i="25"/>
  <c r="R1626" i="25"/>
  <c r="R1706" i="25"/>
  <c r="R1818" i="25"/>
  <c r="R624" i="25"/>
  <c r="R1200" i="25"/>
  <c r="R1264" i="25"/>
  <c r="R1658" i="25"/>
  <c r="R1802" i="25"/>
  <c r="R2469" i="25"/>
  <c r="R2149" i="25"/>
  <c r="R537" i="25"/>
  <c r="R873" i="25"/>
  <c r="R1257" i="25"/>
  <c r="R2596" i="25"/>
  <c r="R1468" i="25"/>
  <c r="R1488" i="25"/>
  <c r="R1552" i="25"/>
  <c r="R1616" i="25"/>
  <c r="R1660" i="25"/>
  <c r="R1680" i="25"/>
  <c r="R1724" i="25"/>
  <c r="R1744" i="25"/>
  <c r="R1788" i="25"/>
  <c r="R1852" i="25"/>
  <c r="R1872" i="25"/>
  <c r="R1492" i="25"/>
  <c r="R2901" i="25"/>
  <c r="R3141" i="25"/>
  <c r="R2144" i="25"/>
  <c r="R2668" i="25"/>
  <c r="R2860" i="25"/>
  <c r="R2920" i="25"/>
  <c r="R2968" i="25"/>
  <c r="R1920" i="25"/>
  <c r="R2076" i="25"/>
  <c r="R2140" i="25"/>
  <c r="R2268" i="25"/>
  <c r="R2396" i="25"/>
  <c r="R2460" i="25"/>
  <c r="R2524" i="25"/>
  <c r="R2780" i="25"/>
  <c r="R2908" i="25"/>
  <c r="R2952" i="25"/>
  <c r="R3008" i="25"/>
  <c r="R3120" i="25"/>
  <c r="R3216" i="25"/>
  <c r="R3252" i="25"/>
  <c r="R3380" i="25"/>
  <c r="R3444" i="25"/>
  <c r="R3704" i="25"/>
  <c r="R3764" i="25"/>
  <c r="R3860" i="25"/>
  <c r="R3908" i="25"/>
  <c r="R3960" i="25"/>
  <c r="R3288" i="25"/>
  <c r="R3320" i="25"/>
  <c r="R3384" i="25"/>
  <c r="R3552" i="25"/>
  <c r="R3688" i="25"/>
  <c r="R3736" i="25"/>
  <c r="R3784" i="25"/>
  <c r="R3832" i="25"/>
  <c r="R3968" i="25"/>
  <c r="R3748" i="25"/>
  <c r="R3792" i="25"/>
  <c r="R3888" i="25"/>
  <c r="R3936" i="25"/>
  <c r="R3984" i="25"/>
  <c r="R2077" i="25"/>
  <c r="R608" i="25"/>
  <c r="R736" i="25"/>
  <c r="R864" i="25"/>
  <c r="R992" i="25"/>
  <c r="R1184" i="25"/>
  <c r="R2022" i="25"/>
  <c r="R2326" i="25"/>
  <c r="R3266" i="25"/>
  <c r="R3770" i="25"/>
  <c r="R3946" i="25"/>
  <c r="R1767" i="25"/>
  <c r="R2151" i="25"/>
  <c r="R2791" i="25"/>
  <c r="R2714" i="25"/>
  <c r="R2580" i="25"/>
  <c r="R3102" i="25"/>
  <c r="R3274" i="25"/>
  <c r="R1370" i="25"/>
  <c r="R1386" i="25"/>
  <c r="R1418" i="25"/>
  <c r="R1450" i="25"/>
  <c r="R1466" i="25"/>
  <c r="R1482" i="25"/>
  <c r="R1498" i="25"/>
  <c r="R1514" i="25"/>
  <c r="R1530" i="25"/>
  <c r="R1546" i="25"/>
  <c r="R1678" i="25"/>
  <c r="R1790" i="25"/>
  <c r="R1902" i="25"/>
  <c r="R1958" i="25"/>
  <c r="R2070" i="25"/>
  <c r="R2182" i="25"/>
  <c r="R2634" i="25"/>
  <c r="R1556" i="25"/>
  <c r="R1940" i="25"/>
  <c r="R3158" i="25"/>
  <c r="R3326" i="25"/>
  <c r="R3446" i="25"/>
  <c r="R3506" i="25"/>
  <c r="R3734" i="25"/>
  <c r="R3854" i="25"/>
  <c r="R3769" i="25"/>
  <c r="R1477" i="25"/>
  <c r="R2307" i="25"/>
  <c r="R1947" i="25"/>
  <c r="R2011" i="25"/>
  <c r="R2075" i="25"/>
  <c r="R2139" i="25"/>
  <c r="R2267" i="25"/>
  <c r="R2395" i="25"/>
  <c r="R2459" i="25"/>
  <c r="R2523" i="25"/>
  <c r="R3783" i="25"/>
  <c r="R3887" i="25"/>
  <c r="R3419" i="25"/>
  <c r="R3503" i="25"/>
  <c r="R3595" i="25"/>
  <c r="R3687" i="25"/>
  <c r="R3959" i="25"/>
  <c r="R1968" i="25"/>
  <c r="R2028" i="25"/>
  <c r="R2096" i="25"/>
  <c r="R2160" i="25"/>
  <c r="R2220" i="25"/>
  <c r="R2348" i="25"/>
  <c r="R2412" i="25"/>
  <c r="R2476" i="25"/>
  <c r="R2540" i="25"/>
  <c r="R2608" i="25"/>
  <c r="R2796" i="25"/>
  <c r="R2924" i="25"/>
  <c r="R2964" i="25"/>
  <c r="R3016" i="25"/>
  <c r="R3068" i="25"/>
  <c r="R2591" i="25"/>
  <c r="R2655" i="25"/>
  <c r="R2719" i="25"/>
  <c r="R2911" i="25"/>
  <c r="R3007" i="25"/>
  <c r="R3131" i="25"/>
  <c r="R3163" i="25"/>
  <c r="R3195" i="25"/>
  <c r="R3383" i="25"/>
  <c r="R3515" i="25"/>
  <c r="R3563" i="25"/>
  <c r="R3611" i="25"/>
  <c r="R3655" i="25"/>
  <c r="R3747" i="25"/>
  <c r="R3791" i="25"/>
  <c r="R1980" i="25"/>
  <c r="R2112" i="25"/>
  <c r="R2176" i="25"/>
  <c r="R2236" i="25"/>
  <c r="R2300" i="25"/>
  <c r="R2364" i="25"/>
  <c r="R2432" i="25"/>
  <c r="R2748" i="25"/>
  <c r="R2880" i="25"/>
  <c r="R2980" i="25"/>
  <c r="R3024" i="25"/>
  <c r="R3076" i="25"/>
  <c r="R2156" i="25"/>
  <c r="R2224" i="25"/>
  <c r="R2284" i="25"/>
  <c r="R2352" i="25"/>
  <c r="R2480" i="25"/>
  <c r="R2544" i="25"/>
  <c r="R2604" i="25"/>
  <c r="R2672" i="25"/>
  <c r="R2736" i="25"/>
  <c r="R2800" i="25"/>
  <c r="R2864" i="25"/>
  <c r="R2916" i="25"/>
  <c r="R2972" i="25"/>
  <c r="R3012" i="25"/>
  <c r="R3060" i="25"/>
  <c r="R3108" i="25"/>
  <c r="R3156" i="25"/>
  <c r="R3188" i="25"/>
  <c r="R3224" i="25"/>
  <c r="R3260" i="25"/>
  <c r="R3292" i="25"/>
  <c r="R3324" i="25"/>
  <c r="R3352" i="25"/>
  <c r="R3388" i="25"/>
  <c r="R3416" i="25"/>
  <c r="R3480" i="25"/>
  <c r="R3512" i="25"/>
  <c r="R3544" i="25"/>
  <c r="R3572" i="25"/>
  <c r="R3608" i="25"/>
  <c r="R3672" i="25"/>
  <c r="R3716" i="25"/>
  <c r="R3776" i="25"/>
  <c r="R3824" i="25"/>
  <c r="R3928" i="25"/>
  <c r="R3980" i="25"/>
  <c r="R3140" i="25"/>
  <c r="R3172" i="25"/>
  <c r="R3204" i="25"/>
  <c r="R3236" i="25"/>
  <c r="R3268" i="25"/>
  <c r="R3296" i="25"/>
  <c r="R3328" i="25"/>
  <c r="R3360" i="25"/>
  <c r="R3392" i="25"/>
  <c r="R3424" i="25"/>
  <c r="R3456" i="25"/>
  <c r="R3492" i="25"/>
  <c r="R3524" i="25"/>
  <c r="R3560" i="25"/>
  <c r="R3592" i="25"/>
  <c r="R3624" i="25"/>
  <c r="R3660" i="25"/>
  <c r="R3700" i="25"/>
  <c r="R3752" i="25"/>
  <c r="R3796" i="25"/>
  <c r="R3840" i="25"/>
  <c r="R3884" i="25"/>
  <c r="R3940" i="25"/>
  <c r="R3720" i="25"/>
  <c r="R3760" i="25"/>
  <c r="R3808" i="25"/>
  <c r="R3856" i="25"/>
  <c r="R3896" i="25"/>
  <c r="R3952" i="25"/>
  <c r="R2067" i="25"/>
  <c r="R2221" i="25"/>
  <c r="R500" i="25"/>
  <c r="R544" i="25"/>
  <c r="R672" i="25"/>
  <c r="R800" i="25"/>
  <c r="R928" i="25"/>
  <c r="R1056" i="25"/>
  <c r="R1120" i="25"/>
  <c r="R1248" i="25"/>
  <c r="R1312" i="25"/>
  <c r="R2134" i="25"/>
  <c r="R2246" i="25"/>
  <c r="R2582" i="25"/>
  <c r="R2730" i="25"/>
  <c r="R2328" i="25"/>
  <c r="R3338" i="25"/>
  <c r="R3554" i="25"/>
  <c r="R3874" i="25"/>
  <c r="R1694" i="25"/>
  <c r="R1870" i="25"/>
  <c r="R2038" i="25"/>
  <c r="R2262" i="25"/>
  <c r="R1944" i="25"/>
  <c r="R2986" i="25"/>
  <c r="R3154" i="25"/>
  <c r="R3218" i="25"/>
  <c r="R3438" i="25"/>
  <c r="R3498" i="25"/>
  <c r="R1354" i="25"/>
  <c r="R564" i="25"/>
  <c r="R628" i="25"/>
  <c r="R692" i="25"/>
  <c r="R756" i="25"/>
  <c r="R820" i="25"/>
  <c r="R884" i="25"/>
  <c r="R948" i="25"/>
  <c r="R1012" i="25"/>
  <c r="R1076" i="25"/>
  <c r="R1140" i="25"/>
  <c r="R1204" i="25"/>
  <c r="R1268" i="25"/>
  <c r="R1332" i="25"/>
  <c r="R1412" i="25"/>
  <c r="R1428" i="25"/>
  <c r="R1562" i="25"/>
  <c r="R1662" i="25"/>
  <c r="R1886" i="25"/>
  <c r="R2666" i="25"/>
  <c r="R2698" i="25"/>
  <c r="R2778" i="25"/>
  <c r="R2810" i="25"/>
  <c r="R2890" i="25"/>
  <c r="R2776" i="25"/>
  <c r="R3386" i="25"/>
  <c r="R3598" i="25"/>
  <c r="R3918" i="25"/>
  <c r="R1511" i="25"/>
  <c r="R1703" i="25"/>
  <c r="R2087" i="25"/>
  <c r="R2199" i="25"/>
  <c r="R2535" i="25"/>
  <c r="R2166" i="25"/>
  <c r="R2278" i="25"/>
  <c r="R2502" i="25"/>
  <c r="R2324" i="25"/>
  <c r="R2644" i="25"/>
  <c r="R2938" i="25"/>
  <c r="R3054" i="25"/>
  <c r="R3226" i="25"/>
  <c r="R3810" i="25"/>
  <c r="R1358" i="25"/>
  <c r="R1374" i="25"/>
  <c r="R1390" i="25"/>
  <c r="R1406" i="25"/>
  <c r="R1422" i="25"/>
  <c r="R1438" i="25"/>
  <c r="R1454" i="25"/>
  <c r="R1470" i="25"/>
  <c r="R1486" i="25"/>
  <c r="R1502" i="25"/>
  <c r="R1518" i="25"/>
  <c r="R1534" i="25"/>
  <c r="R1550" i="25"/>
  <c r="R1806" i="25"/>
  <c r="R2762" i="25"/>
  <c r="R2874" i="25"/>
  <c r="R1476" i="25"/>
  <c r="R2452" i="25"/>
  <c r="R3402" i="25"/>
  <c r="R3462" i="25"/>
  <c r="R2707" i="25"/>
  <c r="R1987" i="25"/>
  <c r="R1456" i="25"/>
  <c r="R1500" i="25"/>
  <c r="R1520" i="25"/>
  <c r="R1564" i="25"/>
  <c r="R1584" i="25"/>
  <c r="R1628" i="25"/>
  <c r="R1648" i="25"/>
  <c r="R1712" i="25"/>
  <c r="R1756" i="25"/>
  <c r="R1820" i="25"/>
  <c r="R1840" i="25"/>
  <c r="R1884" i="25"/>
  <c r="R1484" i="25"/>
  <c r="R1504" i="25"/>
  <c r="R1524" i="25"/>
  <c r="R1676" i="25"/>
  <c r="R1696" i="25"/>
  <c r="R1740" i="25"/>
  <c r="R1760" i="25"/>
  <c r="R1443" i="25"/>
  <c r="R1491" i="25"/>
  <c r="R1507" i="25"/>
  <c r="R1523" i="25"/>
  <c r="R1555" i="25"/>
  <c r="R1888" i="25"/>
  <c r="R1972" i="25"/>
  <c r="R2016" i="25"/>
  <c r="R2208" i="25"/>
  <c r="R2336" i="25"/>
  <c r="R2401" i="25"/>
  <c r="R2528" i="25"/>
  <c r="R2592" i="25"/>
  <c r="R2656" i="25"/>
  <c r="R2720" i="25"/>
  <c r="R2912" i="25"/>
  <c r="R1572" i="25"/>
  <c r="R1591" i="25"/>
  <c r="R1620" i="25"/>
  <c r="R1683" i="25"/>
  <c r="R1719" i="25"/>
  <c r="R1731" i="25"/>
  <c r="R1763" i="25"/>
  <c r="R1811" i="25"/>
  <c r="R1831" i="25"/>
  <c r="R1847" i="25"/>
  <c r="R1875" i="25"/>
  <c r="R3004" i="25"/>
  <c r="R3020" i="25"/>
  <c r="R3052" i="25"/>
  <c r="R3100" i="25"/>
  <c r="R3132" i="25"/>
  <c r="R3148" i="25"/>
  <c r="R3164" i="25"/>
  <c r="R3180" i="25"/>
  <c r="R3196" i="25"/>
  <c r="R3228" i="25"/>
  <c r="R3261" i="25"/>
  <c r="R3356" i="25"/>
  <c r="R3420" i="25"/>
  <c r="R3452" i="25"/>
  <c r="R3484" i="25"/>
  <c r="R3516" i="25"/>
  <c r="R3532" i="25"/>
  <c r="R3564" i="25"/>
  <c r="R3580" i="25"/>
  <c r="R3596" i="25"/>
  <c r="R3612" i="25"/>
  <c r="R3628" i="25"/>
  <c r="R3708" i="25"/>
  <c r="R1919" i="25"/>
  <c r="R2015" i="25"/>
  <c r="R2031" i="25"/>
  <c r="R2063" i="25"/>
  <c r="R2143" i="25"/>
  <c r="R2207" i="25"/>
  <c r="R2287" i="25"/>
  <c r="R2319" i="25"/>
  <c r="R2335" i="25"/>
  <c r="R2415" i="25"/>
  <c r="R2463" i="25"/>
  <c r="R2527" i="25"/>
  <c r="R3579" i="25"/>
  <c r="R3287" i="25"/>
  <c r="R3379" i="25"/>
  <c r="R3471" i="25"/>
  <c r="R3831" i="25"/>
  <c r="R3967" i="25"/>
  <c r="R3063" i="25"/>
  <c r="R3095" i="25"/>
  <c r="R3111" i="25"/>
  <c r="R3255" i="25"/>
  <c r="R3343" i="25"/>
  <c r="R3443" i="25"/>
  <c r="R3483" i="25"/>
  <c r="R3531" i="25"/>
  <c r="R3983" i="25"/>
  <c r="R648" i="25"/>
  <c r="R680" i="25"/>
  <c r="R776" i="25"/>
  <c r="R792" i="25"/>
  <c r="R936" i="25"/>
  <c r="R952" i="25"/>
  <c r="R984" i="25"/>
  <c r="R1064" i="25"/>
  <c r="R1096" i="25"/>
  <c r="R1192" i="25"/>
  <c r="R1224" i="25"/>
  <c r="R1304" i="25"/>
  <c r="R1710" i="25"/>
  <c r="R1822" i="25"/>
  <c r="R2118" i="25"/>
  <c r="R2230" i="25"/>
  <c r="R2342" i="25"/>
  <c r="R2454" i="25"/>
  <c r="R2486" i="25"/>
  <c r="R2566" i="25"/>
  <c r="R2602" i="25"/>
  <c r="R2249" i="25"/>
  <c r="R2922" i="25"/>
  <c r="R3002" i="25"/>
  <c r="R3034" i="25"/>
  <c r="R3538" i="25"/>
  <c r="R3642" i="25"/>
  <c r="R3682" i="25"/>
  <c r="R3714" i="25"/>
  <c r="R3930" i="25"/>
  <c r="R3962" i="25"/>
  <c r="R539" i="25"/>
  <c r="R571" i="25"/>
  <c r="R603" i="25"/>
  <c r="R747" i="25"/>
  <c r="R779" i="25"/>
  <c r="R811" i="25"/>
  <c r="R843" i="25"/>
  <c r="R1019" i="25"/>
  <c r="R1051" i="25"/>
  <c r="R1083" i="25"/>
  <c r="R1115" i="25"/>
  <c r="R1147" i="25"/>
  <c r="R1179" i="25"/>
  <c r="R1211" i="25"/>
  <c r="R1243" i="25"/>
  <c r="R1295" i="25"/>
  <c r="R1343" i="25"/>
  <c r="R1639" i="25"/>
  <c r="R1975" i="25"/>
  <c r="R2215" i="25"/>
  <c r="R1726" i="25"/>
  <c r="R1838" i="25"/>
  <c r="R2746" i="25"/>
  <c r="R2858" i="25"/>
  <c r="R2072" i="25"/>
  <c r="R2505" i="25"/>
  <c r="R2772" i="25"/>
  <c r="R3070" i="25"/>
  <c r="R3126" i="25"/>
  <c r="R3186" i="25"/>
  <c r="R3822" i="25"/>
  <c r="R514" i="25"/>
  <c r="R546" i="25"/>
  <c r="R578" i="25"/>
  <c r="R690" i="25"/>
  <c r="R722" i="25"/>
  <c r="R898" i="25"/>
  <c r="R930" i="25"/>
  <c r="R962" i="25"/>
  <c r="R994" i="25"/>
  <c r="R1090" i="25"/>
  <c r="R1154" i="25"/>
  <c r="R1282" i="25"/>
  <c r="R1330" i="25"/>
  <c r="R2374" i="25"/>
  <c r="R2826" i="25"/>
  <c r="R1497" i="25"/>
  <c r="R2132" i="25"/>
  <c r="R3122" i="25"/>
  <c r="R3354" i="25"/>
  <c r="R3414" i="25"/>
  <c r="R3586" i="25"/>
  <c r="R3762" i="25"/>
  <c r="R3826" i="25"/>
  <c r="R3065" i="25"/>
  <c r="R2115" i="25"/>
  <c r="R1559" i="25"/>
  <c r="R1579" i="25"/>
  <c r="R1643" i="25"/>
  <c r="R3047" i="25"/>
  <c r="R3319" i="25"/>
  <c r="R3703" i="25"/>
  <c r="R3859" i="25"/>
  <c r="R3251" i="25"/>
  <c r="R3663" i="25"/>
  <c r="R3707" i="25"/>
  <c r="R3843" i="25"/>
  <c r="R3935" i="25"/>
  <c r="R2599" i="25"/>
  <c r="R2775" i="25"/>
  <c r="R2839" i="25"/>
  <c r="R2919" i="25"/>
  <c r="R2951" i="25"/>
  <c r="R2967" i="25"/>
  <c r="R3051" i="25"/>
  <c r="R3099" i="25"/>
  <c r="R3119" i="25"/>
  <c r="R3147" i="25"/>
  <c r="R3179" i="25"/>
  <c r="R3215" i="25"/>
  <c r="R3311" i="25"/>
  <c r="R3407" i="25"/>
  <c r="R3451" i="25"/>
  <c r="R3907" i="25"/>
  <c r="R2894" i="25"/>
  <c r="R3106" i="25"/>
  <c r="R3610" i="25"/>
  <c r="R3609" i="25"/>
  <c r="R2727" i="25"/>
  <c r="R1670" i="25"/>
  <c r="R1669" i="25"/>
  <c r="R2406" i="25"/>
  <c r="R2405" i="25"/>
  <c r="R2686" i="25"/>
  <c r="R1668" i="25"/>
  <c r="R1667" i="25"/>
  <c r="R1908" i="25"/>
  <c r="R1907" i="25"/>
  <c r="R2841" i="25"/>
  <c r="R2840" i="25"/>
  <c r="R530" i="25"/>
  <c r="R529" i="25"/>
  <c r="R1170" i="25"/>
  <c r="R1169" i="25"/>
  <c r="R2958" i="25"/>
  <c r="R3474" i="25"/>
  <c r="R721" i="25"/>
  <c r="R1233" i="25"/>
  <c r="R2285" i="25"/>
  <c r="R2273" i="25"/>
  <c r="R2272" i="25"/>
  <c r="R2465" i="25"/>
  <c r="R2464" i="25"/>
  <c r="R2893" i="25"/>
  <c r="R2892" i="25"/>
  <c r="R1604" i="25"/>
  <c r="R1603" i="25"/>
  <c r="R1636" i="25"/>
  <c r="R1635" i="25"/>
  <c r="R1652" i="25"/>
  <c r="R1671" i="25"/>
  <c r="R1700" i="25"/>
  <c r="R1699" i="25"/>
  <c r="R1748" i="25"/>
  <c r="R1747" i="25"/>
  <c r="R1780" i="25"/>
  <c r="R1779" i="25"/>
  <c r="R1799" i="25"/>
  <c r="R1860" i="25"/>
  <c r="R1859" i="25"/>
  <c r="R1895" i="25"/>
  <c r="R3213" i="25"/>
  <c r="R3212" i="25"/>
  <c r="R3405" i="25"/>
  <c r="R3404" i="25"/>
  <c r="R3469" i="25"/>
  <c r="R3468" i="25"/>
  <c r="R3501" i="25"/>
  <c r="R3500" i="25"/>
  <c r="R3549" i="25"/>
  <c r="R3548" i="25"/>
  <c r="R3965" i="25"/>
  <c r="R3964" i="25"/>
  <c r="R1967" i="25"/>
  <c r="R2095" i="25"/>
  <c r="R2111" i="25"/>
  <c r="R2159" i="25"/>
  <c r="R2175" i="25"/>
  <c r="R2223" i="25"/>
  <c r="R2351" i="25"/>
  <c r="R2431" i="25"/>
  <c r="R2479" i="25"/>
  <c r="R2543" i="25"/>
  <c r="R3259" i="25"/>
  <c r="R3523" i="25"/>
  <c r="R3795" i="25"/>
  <c r="R3559" i="25"/>
  <c r="R3699" i="25"/>
  <c r="R3879" i="25"/>
  <c r="R2607" i="25"/>
  <c r="R2638" i="25"/>
  <c r="R2750" i="25"/>
  <c r="R2862" i="25"/>
  <c r="R2861" i="25"/>
  <c r="R3074" i="25"/>
  <c r="R3282" i="25"/>
  <c r="R3281" i="25"/>
  <c r="R3818" i="25"/>
  <c r="R3817" i="25"/>
  <c r="R2551" i="25"/>
  <c r="R2855" i="25"/>
  <c r="R2630" i="25"/>
  <c r="R2629" i="25"/>
  <c r="R2798" i="25"/>
  <c r="R1817" i="25"/>
  <c r="R1816" i="25"/>
  <c r="R2954" i="25"/>
  <c r="R2953" i="25"/>
  <c r="R575" i="25"/>
  <c r="R658" i="25"/>
  <c r="R657" i="25"/>
  <c r="R1298" i="25"/>
  <c r="R1297" i="25"/>
  <c r="R1458" i="25"/>
  <c r="R1457" i="25"/>
  <c r="R1522" i="25"/>
  <c r="R1521" i="25"/>
  <c r="R1650" i="25"/>
  <c r="R1649" i="25"/>
  <c r="R2434" i="25"/>
  <c r="R2433" i="25"/>
  <c r="R2606" i="25"/>
  <c r="R2662" i="25"/>
  <c r="R2661" i="25"/>
  <c r="R2718" i="25"/>
  <c r="R2717" i="25"/>
  <c r="R2900" i="25"/>
  <c r="R2899" i="25"/>
  <c r="R3242" i="25"/>
  <c r="R3706" i="25"/>
  <c r="R3705" i="25"/>
  <c r="R3882" i="25"/>
  <c r="R3938" i="25"/>
  <c r="R3937" i="25"/>
  <c r="R2693" i="25"/>
  <c r="R3185" i="25"/>
  <c r="R1407" i="25"/>
  <c r="R2101" i="25"/>
  <c r="R512" i="25"/>
  <c r="R556" i="25"/>
  <c r="R620" i="25"/>
  <c r="R684" i="25"/>
  <c r="R748" i="25"/>
  <c r="R812" i="25"/>
  <c r="R876" i="25"/>
  <c r="R940" i="25"/>
  <c r="R1004" i="25"/>
  <c r="R1068" i="25"/>
  <c r="R1132" i="25"/>
  <c r="R1196" i="25"/>
  <c r="R1260" i="25"/>
  <c r="R1324" i="25"/>
  <c r="R1372" i="25"/>
  <c r="R1388" i="25"/>
  <c r="R1404" i="25"/>
  <c r="R1686" i="25"/>
  <c r="R1718" i="25"/>
  <c r="R1758" i="25"/>
  <c r="R1757" i="25"/>
  <c r="R1830" i="25"/>
  <c r="R1906" i="25"/>
  <c r="R1905" i="25"/>
  <c r="R2054" i="25"/>
  <c r="R2053" i="25"/>
  <c r="R2162" i="25"/>
  <c r="R2161" i="25"/>
  <c r="R2350" i="25"/>
  <c r="R2349" i="25"/>
  <c r="R1657" i="25"/>
  <c r="R1801" i="25"/>
  <c r="R2137" i="25"/>
  <c r="R2136" i="25"/>
  <c r="R2713" i="25"/>
  <c r="R2712" i="25"/>
  <c r="R2974" i="25"/>
  <c r="R3006" i="25"/>
  <c r="R3046" i="25"/>
  <c r="R3045" i="25"/>
  <c r="R3190" i="25"/>
  <c r="R3189" i="25"/>
  <c r="R3334" i="25"/>
  <c r="R3333" i="25"/>
  <c r="R3654" i="25"/>
  <c r="R3942" i="25"/>
  <c r="R3941" i="25"/>
  <c r="R543" i="25"/>
  <c r="R719" i="25"/>
  <c r="R959" i="25"/>
  <c r="R991" i="25"/>
  <c r="R1023" i="25"/>
  <c r="R1279" i="25"/>
  <c r="R1863" i="25"/>
  <c r="R2615" i="25"/>
  <c r="R1798" i="25"/>
  <c r="R1797" i="25"/>
  <c r="R1966" i="25"/>
  <c r="R2702" i="25"/>
  <c r="R2758" i="25"/>
  <c r="R2757" i="25"/>
  <c r="R2814" i="25"/>
  <c r="R953" i="25"/>
  <c r="R1689" i="25"/>
  <c r="R1688" i="25"/>
  <c r="R1929" i="25"/>
  <c r="R2260" i="25"/>
  <c r="R2259" i="25"/>
  <c r="R2680" i="25"/>
  <c r="R2910" i="25"/>
  <c r="R3430" i="25"/>
  <c r="R3429" i="25"/>
  <c r="R3894" i="25"/>
  <c r="R3893" i="25"/>
  <c r="R591" i="25"/>
  <c r="R831" i="25"/>
  <c r="R895" i="25"/>
  <c r="R1071" i="25"/>
  <c r="R1135" i="25"/>
  <c r="R1199" i="25"/>
  <c r="R533" i="25"/>
  <c r="R597" i="25"/>
  <c r="R661" i="25"/>
  <c r="R678" i="25"/>
  <c r="R677" i="25"/>
  <c r="R725" i="25"/>
  <c r="R789" i="25"/>
  <c r="R853" i="25"/>
  <c r="R917" i="25"/>
  <c r="R966" i="25"/>
  <c r="R982" i="25"/>
  <c r="R998" i="25"/>
  <c r="R997" i="25"/>
  <c r="R1496" i="25"/>
  <c r="R2209" i="25"/>
  <c r="R2829" i="25"/>
  <c r="R3357" i="25"/>
  <c r="R3889" i="25"/>
  <c r="R1369" i="25"/>
  <c r="R1821" i="25"/>
  <c r="R2529" i="25"/>
  <c r="R3517" i="25"/>
  <c r="R1619" i="25"/>
  <c r="R1764" i="25"/>
  <c r="R2131" i="25"/>
  <c r="R1548" i="25"/>
  <c r="R1568" i="25"/>
  <c r="R1804" i="25"/>
  <c r="R1824" i="25"/>
  <c r="R2173" i="25"/>
  <c r="R1360" i="25"/>
  <c r="R1359" i="25"/>
  <c r="R1376" i="25"/>
  <c r="R1375" i="25"/>
  <c r="R1392" i="25"/>
  <c r="R1391" i="25"/>
  <c r="R1424" i="25"/>
  <c r="R1423" i="25"/>
  <c r="R1440" i="25"/>
  <c r="R1439" i="25"/>
  <c r="R1842" i="25"/>
  <c r="R1841" i="25"/>
  <c r="R2622" i="25"/>
  <c r="R2654" i="25"/>
  <c r="R2653" i="25"/>
  <c r="R2766" i="25"/>
  <c r="R2878" i="25"/>
  <c r="R3018" i="25"/>
  <c r="R3017" i="25"/>
  <c r="R3090" i="25"/>
  <c r="R3089" i="25"/>
  <c r="R3130" i="25"/>
  <c r="R3162" i="25"/>
  <c r="R3161" i="25"/>
  <c r="R3194" i="25"/>
  <c r="R3234" i="25"/>
  <c r="R3233" i="25"/>
  <c r="R3378" i="25"/>
  <c r="R3377" i="25"/>
  <c r="R3626" i="25"/>
  <c r="R3625" i="25"/>
  <c r="R3658" i="25"/>
  <c r="R3657" i="25"/>
  <c r="R3698" i="25"/>
  <c r="R3697" i="25"/>
  <c r="R3802" i="25"/>
  <c r="R3801" i="25"/>
  <c r="R3838" i="25"/>
  <c r="R3914" i="25"/>
  <c r="R3913" i="25"/>
  <c r="R1607" i="25"/>
  <c r="R2407" i="25"/>
  <c r="R2598" i="25"/>
  <c r="R2597" i="25"/>
  <c r="R2830" i="25"/>
  <c r="R1460" i="25"/>
  <c r="R1588" i="25"/>
  <c r="R1844" i="25"/>
  <c r="R2164" i="25"/>
  <c r="R2808" i="25"/>
  <c r="R2926" i="25"/>
  <c r="R3042" i="25"/>
  <c r="R3041" i="25"/>
  <c r="R3330" i="25"/>
  <c r="R3382" i="25"/>
  <c r="R3381" i="25"/>
  <c r="R3674" i="25"/>
  <c r="R3673" i="25"/>
  <c r="R3790" i="25"/>
  <c r="R505" i="25"/>
  <c r="R617" i="25"/>
  <c r="R729" i="25"/>
  <c r="R841" i="25"/>
  <c r="R1033" i="25"/>
  <c r="R1145" i="25"/>
  <c r="R1241" i="25"/>
  <c r="R1402" i="25"/>
  <c r="R1401" i="25"/>
  <c r="R1434" i="25"/>
  <c r="R1433" i="25"/>
  <c r="R1566" i="25"/>
  <c r="R1565" i="25"/>
  <c r="R1846" i="25"/>
  <c r="R2014" i="25"/>
  <c r="R2013" i="25"/>
  <c r="R2400" i="25"/>
  <c r="R2456" i="25"/>
  <c r="R2337" i="25"/>
  <c r="R2945" i="25"/>
  <c r="R3477" i="25"/>
  <c r="R1949" i="25"/>
  <c r="R3753" i="25"/>
  <c r="R1651" i="25"/>
  <c r="R1812" i="25"/>
  <c r="R2305" i="25"/>
  <c r="R2797" i="25"/>
  <c r="R2837" i="25"/>
  <c r="R2921" i="25"/>
  <c r="R1030" i="25"/>
  <c r="R1046" i="25"/>
  <c r="R1109" i="25"/>
  <c r="R1173" i="25"/>
  <c r="R1237" i="25"/>
  <c r="R1301" i="25"/>
  <c r="R1494" i="25"/>
  <c r="R1525" i="25"/>
  <c r="R2222" i="25"/>
  <c r="R2558" i="25"/>
  <c r="R1753" i="25"/>
  <c r="R2489" i="25"/>
  <c r="R3426" i="25"/>
  <c r="R3602" i="25"/>
  <c r="R3898" i="25"/>
  <c r="R3954" i="25"/>
  <c r="R2241" i="25"/>
  <c r="R2969" i="25"/>
  <c r="R1253" i="25"/>
  <c r="R1629" i="25"/>
  <c r="R1463" i="25"/>
  <c r="R1479" i="25"/>
  <c r="R1543" i="25"/>
  <c r="R1595" i="25"/>
  <c r="R1611" i="25"/>
  <c r="R1627" i="25"/>
  <c r="R1659" i="25"/>
  <c r="R1675" i="25"/>
  <c r="R1691" i="25"/>
  <c r="R1707" i="25"/>
  <c r="R1723" i="25"/>
  <c r="R1739" i="25"/>
  <c r="R1755" i="25"/>
  <c r="R1771" i="25"/>
  <c r="R1787" i="25"/>
  <c r="R1803" i="25"/>
  <c r="R1819" i="25"/>
  <c r="R1835" i="25"/>
  <c r="R1851" i="25"/>
  <c r="R1867" i="25"/>
  <c r="R1883" i="25"/>
  <c r="R3223" i="25"/>
  <c r="R3423" i="25"/>
  <c r="R3591" i="25"/>
  <c r="R3807" i="25"/>
  <c r="R3975" i="25"/>
  <c r="R3203" i="25"/>
  <c r="R3391" i="25"/>
  <c r="R3479" i="25"/>
  <c r="R3571" i="25"/>
  <c r="R3751" i="25"/>
  <c r="R3979" i="25"/>
  <c r="R2915" i="25"/>
  <c r="R2931" i="25"/>
  <c r="R2947" i="25"/>
  <c r="R2963" i="25"/>
  <c r="R2979" i="25"/>
  <c r="R2995" i="25"/>
  <c r="R3011" i="25"/>
  <c r="R3139" i="25"/>
  <c r="R3171" i="25"/>
  <c r="R3759" i="25"/>
  <c r="R3895" i="25"/>
  <c r="R3939" i="25"/>
  <c r="R2126" i="25"/>
  <c r="R2741" i="25"/>
  <c r="R3038" i="25"/>
  <c r="R3794" i="25"/>
  <c r="R3970" i="25"/>
  <c r="R3137" i="25"/>
  <c r="R1541" i="25"/>
  <c r="R3425" i="25"/>
  <c r="R1467" i="25"/>
  <c r="R1483" i="25"/>
  <c r="R1499" i="25"/>
  <c r="R1531" i="25"/>
  <c r="R1547" i="25"/>
  <c r="R1563" i="25"/>
  <c r="R1583" i="25"/>
  <c r="R1615" i="25"/>
  <c r="R1631" i="25"/>
  <c r="R1647" i="25"/>
  <c r="R1679" i="25"/>
  <c r="R1695" i="25"/>
  <c r="R1711" i="25"/>
  <c r="R1743" i="25"/>
  <c r="R1759" i="25"/>
  <c r="R1775" i="25"/>
  <c r="R1807" i="25"/>
  <c r="R1823" i="25"/>
  <c r="R1839" i="25"/>
  <c r="R1871" i="25"/>
  <c r="R1887" i="25"/>
  <c r="R1959" i="25"/>
  <c r="R2004" i="25"/>
  <c r="R2023" i="25"/>
  <c r="R2039" i="25"/>
  <c r="R2084" i="25"/>
  <c r="R2100" i="25"/>
  <c r="R2148" i="25"/>
  <c r="R2196" i="25"/>
  <c r="R2212" i="25"/>
  <c r="R2228" i="25"/>
  <c r="R2279" i="25"/>
  <c r="R2292" i="25"/>
  <c r="R2356" i="25"/>
  <c r="R2388" i="25"/>
  <c r="R2404" i="25"/>
  <c r="R2420" i="25"/>
  <c r="R2436" i="25"/>
  <c r="R2468" i="25"/>
  <c r="R2487" i="25"/>
  <c r="R2516" i="25"/>
  <c r="R2532" i="25"/>
  <c r="R2548" i="25"/>
  <c r="R3235" i="25"/>
  <c r="R3387" i="25"/>
  <c r="R3607" i="25"/>
  <c r="R3659" i="25"/>
  <c r="R3715" i="25"/>
  <c r="R3823" i="25"/>
  <c r="R3267" i="25"/>
  <c r="R3447" i="25"/>
  <c r="R3491" i="25"/>
  <c r="R3719" i="25"/>
  <c r="R3855" i="25"/>
  <c r="R2612" i="25"/>
  <c r="R2628" i="25"/>
  <c r="R2663" i="25"/>
  <c r="R2676" i="25"/>
  <c r="R2695" i="25"/>
  <c r="R2724" i="25"/>
  <c r="R2740" i="25"/>
  <c r="R2759" i="25"/>
  <c r="R2788" i="25"/>
  <c r="R2804" i="25"/>
  <c r="R2823" i="25"/>
  <c r="R2852" i="25"/>
  <c r="R2868" i="25"/>
  <c r="R2935" i="25"/>
  <c r="R2983" i="25"/>
  <c r="R3015" i="25"/>
  <c r="R3031" i="25"/>
  <c r="R3067" i="25"/>
  <c r="R3359" i="25"/>
  <c r="R3543" i="25"/>
  <c r="R3951" i="25"/>
  <c r="R1172" i="25"/>
  <c r="R1236" i="25"/>
  <c r="R1300" i="25"/>
  <c r="R1348" i="25"/>
  <c r="R1364" i="25"/>
  <c r="R1814" i="25"/>
  <c r="R553" i="25"/>
  <c r="R713" i="25"/>
  <c r="R857" i="25"/>
  <c r="R1001" i="25"/>
  <c r="R1161" i="25"/>
  <c r="R1289" i="25"/>
  <c r="R1397" i="25"/>
  <c r="R1545" i="25"/>
  <c r="R1721" i="25"/>
  <c r="R1897" i="25"/>
  <c r="R2025" i="25"/>
  <c r="R2233" i="25"/>
  <c r="R2345" i="25"/>
  <c r="R2649" i="25"/>
  <c r="R2990" i="25"/>
  <c r="R3022" i="25"/>
  <c r="R3238" i="25"/>
  <c r="R3562" i="25"/>
  <c r="R3742" i="25"/>
  <c r="R3846" i="25"/>
  <c r="R495" i="25"/>
  <c r="R535" i="25"/>
  <c r="R567" i="25"/>
  <c r="R599" i="25"/>
  <c r="R631" i="25"/>
  <c r="R663" i="25"/>
  <c r="R703" i="25"/>
  <c r="R735" i="25"/>
  <c r="R775" i="25"/>
  <c r="R807" i="25"/>
  <c r="R839" i="25"/>
  <c r="R871" i="25"/>
  <c r="R903" i="25"/>
  <c r="R935" i="25"/>
  <c r="R975" i="25"/>
  <c r="R1007" i="25"/>
  <c r="R1039" i="25"/>
  <c r="R1079" i="25"/>
  <c r="R1111" i="25"/>
  <c r="R1143" i="25"/>
  <c r="R1175" i="25"/>
  <c r="R1207" i="25"/>
  <c r="R1239" i="25"/>
  <c r="R1291" i="25"/>
  <c r="R1335" i="25"/>
  <c r="R1927" i="25"/>
  <c r="R2679" i="25"/>
  <c r="R2807" i="25"/>
  <c r="R1654" i="25"/>
  <c r="R1998" i="25"/>
  <c r="R2110" i="25"/>
  <c r="R2334" i="25"/>
  <c r="R2446" i="25"/>
  <c r="R2614" i="25"/>
  <c r="R2670" i="25"/>
  <c r="R2734" i="25"/>
  <c r="R2782" i="25"/>
  <c r="R2846" i="25"/>
  <c r="R1381" i="25"/>
  <c r="R1481" i="25"/>
  <c r="R1609" i="25"/>
  <c r="R2484" i="25"/>
  <c r="R2825" i="25"/>
  <c r="R3114" i="25"/>
  <c r="R3174" i="25"/>
  <c r="R3290" i="25"/>
  <c r="R3514" i="25"/>
  <c r="R3694" i="25"/>
  <c r="R3746" i="25"/>
  <c r="R3922" i="25"/>
  <c r="R687" i="25"/>
  <c r="R743" i="25"/>
  <c r="R799" i="25"/>
  <c r="R927" i="25"/>
  <c r="R987" i="25"/>
  <c r="R1167" i="25"/>
  <c r="R493" i="25"/>
  <c r="R510" i="25"/>
  <c r="R526" i="25"/>
  <c r="R542" i="25"/>
  <c r="R558" i="25"/>
  <c r="R574" i="25"/>
  <c r="R590" i="25"/>
  <c r="R606" i="25"/>
  <c r="R622" i="25"/>
  <c r="R638" i="25"/>
  <c r="R654" i="25"/>
  <c r="R685" i="25"/>
  <c r="R718" i="25"/>
  <c r="R750" i="25"/>
  <c r="R766" i="25"/>
  <c r="R782" i="25"/>
  <c r="R814" i="25"/>
  <c r="R830" i="25"/>
  <c r="R846" i="25"/>
  <c r="R862" i="25"/>
  <c r="R878" i="25"/>
  <c r="R894" i="25"/>
  <c r="R942" i="25"/>
  <c r="R958" i="25"/>
  <c r="R990" i="25"/>
  <c r="R1005" i="25"/>
  <c r="R1022" i="25"/>
  <c r="R1054" i="25"/>
  <c r="R1070" i="25"/>
  <c r="R1102" i="25"/>
  <c r="R1118" i="25"/>
  <c r="R1134" i="25"/>
  <c r="R1182" i="25"/>
  <c r="R1198" i="25"/>
  <c r="R1214" i="25"/>
  <c r="R1230" i="25"/>
  <c r="R1246" i="25"/>
  <c r="R1278" i="25"/>
  <c r="R1294" i="25"/>
  <c r="R1326" i="25"/>
  <c r="R1342" i="25"/>
  <c r="R1574" i="25"/>
  <c r="R1590" i="25"/>
  <c r="R1606" i="25"/>
  <c r="R1750" i="25"/>
  <c r="R1862" i="25"/>
  <c r="R2030" i="25"/>
  <c r="R2142" i="25"/>
  <c r="R2254" i="25"/>
  <c r="R2421" i="25"/>
  <c r="R2478" i="25"/>
  <c r="R2590" i="25"/>
  <c r="R1577" i="25"/>
  <c r="R1716" i="25"/>
  <c r="R2036" i="25"/>
  <c r="R2201" i="25"/>
  <c r="R2521" i="25"/>
  <c r="R2617" i="25"/>
  <c r="R2745" i="25"/>
  <c r="R2942" i="25"/>
  <c r="R3058" i="25"/>
  <c r="R3286" i="25"/>
  <c r="R3522" i="25"/>
  <c r="R3578" i="25"/>
  <c r="R3634" i="25"/>
  <c r="R3690" i="25"/>
  <c r="R3926" i="25"/>
  <c r="R551" i="25"/>
  <c r="R671" i="25"/>
  <c r="R727" i="25"/>
  <c r="R911" i="25"/>
  <c r="R971" i="25"/>
  <c r="R1087" i="25"/>
  <c r="R1151" i="25"/>
  <c r="R1263" i="25"/>
  <c r="R1311" i="25"/>
  <c r="R3721" i="25"/>
  <c r="R3841" i="25"/>
  <c r="R3093" i="25"/>
  <c r="R1455" i="25"/>
  <c r="R1471" i="25"/>
  <c r="R1487" i="25"/>
  <c r="R1503" i="25"/>
  <c r="R1519" i="25"/>
  <c r="R1535" i="25"/>
  <c r="R1551" i="25"/>
  <c r="R1567" i="25"/>
  <c r="R1979" i="25"/>
  <c r="R2027" i="25"/>
  <c r="R2091" i="25"/>
  <c r="R2155" i="25"/>
  <c r="R2219" i="25"/>
  <c r="R2235" i="25"/>
  <c r="R2283" i="25"/>
  <c r="R2299" i="25"/>
  <c r="R2347" i="25"/>
  <c r="R2363" i="25"/>
  <c r="R2411" i="25"/>
  <c r="R2443" i="25"/>
  <c r="R2475" i="25"/>
  <c r="R2507" i="25"/>
  <c r="R2539" i="25"/>
  <c r="R3295" i="25"/>
  <c r="R3351" i="25"/>
  <c r="R3455" i="25"/>
  <c r="R3511" i="25"/>
  <c r="R3623" i="25"/>
  <c r="R3671" i="25"/>
  <c r="R3323" i="25"/>
  <c r="R3639" i="25"/>
  <c r="R3775" i="25"/>
  <c r="R2603" i="25"/>
  <c r="R2651" i="25"/>
  <c r="R2715" i="25"/>
  <c r="R2747" i="25"/>
  <c r="R2795" i="25"/>
  <c r="R2923" i="25"/>
  <c r="R2955" i="25"/>
  <c r="R2971" i="25"/>
  <c r="R3003" i="25"/>
  <c r="R3071" i="25"/>
  <c r="R3087" i="25"/>
  <c r="R3127" i="25"/>
  <c r="R3155" i="25"/>
  <c r="R3187" i="25"/>
  <c r="R3327" i="25"/>
  <c r="R3415" i="25"/>
  <c r="R503" i="25"/>
  <c r="R627" i="25"/>
  <c r="R1107" i="25"/>
  <c r="R702" i="25"/>
  <c r="R798" i="25"/>
  <c r="R2310" i="25"/>
  <c r="R1357" i="25"/>
  <c r="R2105" i="25"/>
  <c r="R2297" i="25"/>
  <c r="R3597" i="25"/>
  <c r="R3745" i="25"/>
  <c r="R701" i="25"/>
  <c r="R1149" i="25"/>
  <c r="R1605" i="25"/>
  <c r="R1713" i="25"/>
  <c r="R1969" i="25"/>
  <c r="R2033" i="25"/>
  <c r="R3845" i="25"/>
  <c r="R552" i="25"/>
  <c r="R1288" i="25"/>
  <c r="R2678" i="25"/>
  <c r="R1785" i="25"/>
  <c r="R675" i="25"/>
  <c r="R915" i="25"/>
  <c r="R979" i="25"/>
  <c r="R1271" i="25"/>
  <c r="R1319" i="25"/>
  <c r="R1782" i="25"/>
  <c r="R1405" i="25"/>
  <c r="R2073" i="25"/>
  <c r="R2217" i="25"/>
  <c r="R511" i="25"/>
  <c r="R635" i="25"/>
  <c r="R699" i="25"/>
  <c r="R759" i="25"/>
  <c r="R819" i="25"/>
  <c r="R875" i="25"/>
  <c r="R939" i="25"/>
  <c r="R1003" i="25"/>
  <c r="R1063" i="25"/>
  <c r="R1123" i="25"/>
  <c r="R1187" i="25"/>
  <c r="R562" i="25"/>
  <c r="R610" i="25"/>
  <c r="R626" i="25"/>
  <c r="R642" i="25"/>
  <c r="R674" i="25"/>
  <c r="R706" i="25"/>
  <c r="R754" i="25"/>
  <c r="R770" i="25"/>
  <c r="R786" i="25"/>
  <c r="R818" i="25"/>
  <c r="R850" i="25"/>
  <c r="R866" i="25"/>
  <c r="R882" i="25"/>
  <c r="R914" i="25"/>
  <c r="R946" i="25"/>
  <c r="R978" i="25"/>
  <c r="R1010" i="25"/>
  <c r="R1026" i="25"/>
  <c r="R1042" i="25"/>
  <c r="R1058" i="25"/>
  <c r="R1106" i="25"/>
  <c r="R1122" i="25"/>
  <c r="R1186" i="25"/>
  <c r="R1218" i="25"/>
  <c r="R1250" i="25"/>
  <c r="R1266" i="25"/>
  <c r="R1314" i="25"/>
  <c r="R1389" i="25"/>
  <c r="R1593" i="25"/>
  <c r="R1737" i="25"/>
  <c r="R1865" i="25"/>
  <c r="R1977" i="25"/>
  <c r="R2057" i="25"/>
  <c r="R2473" i="25"/>
  <c r="R499" i="25"/>
  <c r="R559" i="25"/>
  <c r="R623" i="25"/>
  <c r="R679" i="25"/>
  <c r="R739" i="25"/>
  <c r="R803" i="25"/>
  <c r="R863" i="25"/>
  <c r="R923" i="25"/>
  <c r="R983" i="25"/>
  <c r="R1047" i="25"/>
  <c r="R1103" i="25"/>
  <c r="R1171" i="25"/>
  <c r="R1231" i="25"/>
  <c r="R1275" i="25"/>
  <c r="R1327" i="25"/>
  <c r="R1480" i="25"/>
  <c r="R1544" i="25"/>
  <c r="R1608" i="25"/>
  <c r="R1736" i="25"/>
  <c r="R1800" i="25"/>
  <c r="R1864" i="25"/>
  <c r="R1928" i="25"/>
  <c r="R2056" i="25"/>
  <c r="R2248" i="25"/>
  <c r="R2376" i="25"/>
  <c r="R2504" i="25"/>
  <c r="R2568" i="25"/>
  <c r="R2632" i="25"/>
  <c r="R2824" i="25"/>
  <c r="R2117" i="25"/>
  <c r="R2181" i="25"/>
  <c r="R2245" i="25"/>
  <c r="R2277" i="25"/>
  <c r="R2309" i="25"/>
  <c r="R2341" i="25"/>
  <c r="R2381" i="25"/>
  <c r="R2413" i="25"/>
  <c r="R2445" i="25"/>
  <c r="R2477" i="25"/>
  <c r="R2509" i="25"/>
  <c r="R2541" i="25"/>
  <c r="R2573" i="25"/>
  <c r="R2605" i="25"/>
  <c r="R2641" i="25"/>
  <c r="R2673" i="25"/>
  <c r="R2705" i="25"/>
  <c r="R2737" i="25"/>
  <c r="R2769" i="25"/>
  <c r="R2801" i="25"/>
  <c r="R2833" i="25"/>
  <c r="R2865" i="25"/>
  <c r="R2897" i="25"/>
  <c r="R2925" i="25"/>
  <c r="R2949" i="25"/>
  <c r="R2973" i="25"/>
  <c r="R3001" i="25"/>
  <c r="R3021" i="25"/>
  <c r="R3049" i="25"/>
  <c r="R3069" i="25"/>
  <c r="R3097" i="25"/>
  <c r="R3121" i="25"/>
  <c r="R3145" i="25"/>
  <c r="R3169" i="25"/>
  <c r="R3193" i="25"/>
  <c r="R3217" i="25"/>
  <c r="R3241" i="25"/>
  <c r="R3265" i="25"/>
  <c r="R3289" i="25"/>
  <c r="R3313" i="25"/>
  <c r="R3337" i="25"/>
  <c r="R3361" i="25"/>
  <c r="R3385" i="25"/>
  <c r="R3409" i="25"/>
  <c r="R3437" i="25"/>
  <c r="R3461" i="25"/>
  <c r="R3485" i="25"/>
  <c r="R3509" i="25"/>
  <c r="R3533" i="25"/>
  <c r="R3557" i="25"/>
  <c r="R3581" i="25"/>
  <c r="R3605" i="25"/>
  <c r="R3629" i="25"/>
  <c r="R3653" i="25"/>
  <c r="R3677" i="25"/>
  <c r="R3701" i="25"/>
  <c r="R3725" i="25"/>
  <c r="R3749" i="25"/>
  <c r="R3773" i="25"/>
  <c r="R3797" i="25"/>
  <c r="R3825" i="25"/>
  <c r="R3849" i="25"/>
  <c r="R3873" i="25"/>
  <c r="R3897" i="25"/>
  <c r="R3921" i="25"/>
  <c r="R3945" i="25"/>
  <c r="R3969" i="25"/>
  <c r="R2835" i="25"/>
  <c r="R513" i="25"/>
  <c r="R557" i="25"/>
  <c r="R577" i="25"/>
  <c r="R621" i="25"/>
  <c r="R641" i="25"/>
  <c r="R705" i="25"/>
  <c r="R749" i="25"/>
  <c r="R769" i="25"/>
  <c r="R813" i="25"/>
  <c r="R833" i="25"/>
  <c r="R877" i="25"/>
  <c r="R897" i="25"/>
  <c r="R941" i="25"/>
  <c r="R961" i="25"/>
  <c r="R981" i="25"/>
  <c r="R1025" i="25"/>
  <c r="R1045" i="25"/>
  <c r="R1069" i="25"/>
  <c r="R1089" i="25"/>
  <c r="R1133" i="25"/>
  <c r="R1153" i="25"/>
  <c r="R1197" i="25"/>
  <c r="R1217" i="25"/>
  <c r="R1261" i="25"/>
  <c r="R1281" i="25"/>
  <c r="R1325" i="25"/>
  <c r="R1345" i="25"/>
  <c r="R1377" i="25"/>
  <c r="R1409" i="25"/>
  <c r="R1441" i="25"/>
  <c r="R1461" i="25"/>
  <c r="R1485" i="25"/>
  <c r="R1505" i="25"/>
  <c r="R1549" i="25"/>
  <c r="R1569" i="25"/>
  <c r="R1589" i="25"/>
  <c r="R1613" i="25"/>
  <c r="R1633" i="25"/>
  <c r="R1653" i="25"/>
  <c r="R1677" i="25"/>
  <c r="R1697" i="25"/>
  <c r="R1717" i="25"/>
  <c r="R1741" i="25"/>
  <c r="R1761" i="25"/>
  <c r="R1781" i="25"/>
  <c r="R1805" i="25"/>
  <c r="R1825" i="25"/>
  <c r="R1845" i="25"/>
  <c r="R1869" i="25"/>
  <c r="R1889" i="25"/>
  <c r="R1909" i="25"/>
  <c r="R1933" i="25"/>
  <c r="R1953" i="25"/>
  <c r="R1973" i="25"/>
  <c r="R1997" i="25"/>
  <c r="R2017" i="25"/>
  <c r="R2037" i="25"/>
  <c r="R2061" i="25"/>
  <c r="R2081" i="25"/>
  <c r="R2113" i="25"/>
  <c r="R2177" i="25"/>
  <c r="R2237" i="25"/>
  <c r="R2301" i="25"/>
  <c r="R2481" i="25"/>
  <c r="R2545" i="25"/>
  <c r="R2609" i="25"/>
  <c r="R2669" i="25"/>
  <c r="R2733" i="25"/>
  <c r="R2789" i="25"/>
  <c r="R2917" i="25"/>
  <c r="R2965" i="25"/>
  <c r="R3013" i="25"/>
  <c r="R3057" i="25"/>
  <c r="R3105" i="25"/>
  <c r="R3153" i="25"/>
  <c r="R3201" i="25"/>
  <c r="R3245" i="25"/>
  <c r="R3293" i="25"/>
  <c r="R3341" i="25"/>
  <c r="R3389" i="25"/>
  <c r="R3433" i="25"/>
  <c r="R3481" i="25"/>
  <c r="R3529" i="25"/>
  <c r="R3573" i="25"/>
  <c r="R3621" i="25"/>
  <c r="R3669" i="25"/>
  <c r="R3717" i="25"/>
  <c r="R3765" i="25"/>
  <c r="R3809" i="25"/>
  <c r="R3857" i="25"/>
  <c r="R3905" i="25"/>
  <c r="R3953" i="25"/>
  <c r="R2579" i="25"/>
  <c r="R1347" i="25"/>
  <c r="R1363" i="25"/>
  <c r="R1379" i="25"/>
  <c r="R1395" i="25"/>
  <c r="R1411" i="25"/>
  <c r="R1427" i="25"/>
  <c r="R1715" i="25"/>
  <c r="R1827" i="25"/>
  <c r="R2019" i="25"/>
  <c r="R2275" i="25"/>
  <c r="R2339" i="25"/>
  <c r="R2643" i="25"/>
  <c r="R2553" i="25"/>
  <c r="R867" i="25"/>
  <c r="R1043" i="25"/>
  <c r="R686" i="25"/>
  <c r="R926" i="25"/>
  <c r="R2198" i="25"/>
  <c r="R2422" i="25"/>
  <c r="R2534" i="25"/>
  <c r="R611" i="25"/>
  <c r="R851" i="25"/>
  <c r="R1219" i="25"/>
  <c r="R2520" i="25"/>
  <c r="R2648" i="25"/>
  <c r="R2141" i="25"/>
  <c r="R3865" i="25"/>
  <c r="R509" i="25"/>
  <c r="R765" i="25"/>
  <c r="R893" i="25"/>
  <c r="R957" i="25"/>
  <c r="R1085" i="25"/>
  <c r="R1341" i="25"/>
  <c r="R1777" i="25"/>
  <c r="R2593" i="25"/>
  <c r="R2781" i="25"/>
  <c r="R1955" i="25"/>
  <c r="R2323" i="25"/>
  <c r="R2451" i="25"/>
  <c r="R712" i="25"/>
  <c r="R1000" i="25"/>
  <c r="R1160" i="25"/>
  <c r="R1421" i="25"/>
  <c r="R1913" i="25"/>
  <c r="R707" i="25"/>
  <c r="R1420" i="25"/>
  <c r="R519" i="25"/>
  <c r="R583" i="25"/>
  <c r="R823" i="25"/>
  <c r="R887" i="25"/>
  <c r="R1095" i="25"/>
  <c r="R1191" i="25"/>
  <c r="R1251" i="25"/>
  <c r="R1323" i="25"/>
  <c r="R2870" i="25"/>
  <c r="R1437" i="25"/>
  <c r="R2121" i="25"/>
  <c r="R2537" i="25"/>
  <c r="R2793" i="25"/>
  <c r="R531" i="25"/>
  <c r="R651" i="25"/>
  <c r="R1011" i="25"/>
  <c r="R534" i="25"/>
  <c r="R582" i="25"/>
  <c r="R614" i="25"/>
  <c r="R630" i="25"/>
  <c r="R646" i="25"/>
  <c r="R662" i="25"/>
  <c r="R726" i="25"/>
  <c r="R742" i="25"/>
  <c r="R758" i="25"/>
  <c r="R774" i="25"/>
  <c r="R790" i="25"/>
  <c r="R806" i="25"/>
  <c r="R822" i="25"/>
  <c r="R838" i="25"/>
  <c r="R854" i="25"/>
  <c r="R870" i="25"/>
  <c r="R886" i="25"/>
  <c r="R902" i="25"/>
  <c r="R918" i="25"/>
  <c r="R934" i="25"/>
  <c r="R1062" i="25"/>
  <c r="R1078" i="25"/>
  <c r="R1094" i="25"/>
  <c r="R1110" i="25"/>
  <c r="R1126" i="25"/>
  <c r="R1142" i="25"/>
  <c r="R1158" i="25"/>
  <c r="R1174" i="25"/>
  <c r="R1190" i="25"/>
  <c r="R1206" i="25"/>
  <c r="R1222" i="25"/>
  <c r="R1238" i="25"/>
  <c r="R1270" i="25"/>
  <c r="R1302" i="25"/>
  <c r="R1318" i="25"/>
  <c r="R1334" i="25"/>
  <c r="R1446" i="25"/>
  <c r="R1510" i="25"/>
  <c r="R1526" i="25"/>
  <c r="R2726" i="25"/>
  <c r="R1413" i="25"/>
  <c r="R1625" i="25"/>
  <c r="R1881" i="25"/>
  <c r="R1993" i="25"/>
  <c r="R2153" i="25"/>
  <c r="R2265" i="25"/>
  <c r="R2393" i="25"/>
  <c r="R2585" i="25"/>
  <c r="R515" i="25"/>
  <c r="R579" i="25"/>
  <c r="R639" i="25"/>
  <c r="R695" i="25"/>
  <c r="R751" i="25"/>
  <c r="R815" i="25"/>
  <c r="R879" i="25"/>
  <c r="R943" i="25"/>
  <c r="R999" i="25"/>
  <c r="R1055" i="25"/>
  <c r="R1119" i="25"/>
  <c r="R1183" i="25"/>
  <c r="R1247" i="25"/>
  <c r="R1287" i="25"/>
  <c r="R1339" i="25"/>
  <c r="R1464" i="25"/>
  <c r="R1528" i="25"/>
  <c r="R1592" i="25"/>
  <c r="R1656" i="25"/>
  <c r="R1720" i="25"/>
  <c r="R1784" i="25"/>
  <c r="R1912" i="25"/>
  <c r="R1976" i="25"/>
  <c r="R2040" i="25"/>
  <c r="R2104" i="25"/>
  <c r="R2232" i="25"/>
  <c r="R2296" i="25"/>
  <c r="R2488" i="25"/>
  <c r="R2552" i="25"/>
  <c r="R2616" i="25"/>
  <c r="R2744" i="25"/>
  <c r="R2125" i="25"/>
  <c r="R2157" i="25"/>
  <c r="R2189" i="25"/>
  <c r="R2225" i="25"/>
  <c r="R2257" i="25"/>
  <c r="R2289" i="25"/>
  <c r="R2321" i="25"/>
  <c r="R2353" i="25"/>
  <c r="R2385" i="25"/>
  <c r="R2417" i="25"/>
  <c r="R2449" i="25"/>
  <c r="R2485" i="25"/>
  <c r="R2517" i="25"/>
  <c r="R2581" i="25"/>
  <c r="R2613" i="25"/>
  <c r="R2645" i="25"/>
  <c r="R2677" i="25"/>
  <c r="R2709" i="25"/>
  <c r="R2773" i="25"/>
  <c r="R2813" i="25"/>
  <c r="R2845" i="25"/>
  <c r="R2877" i="25"/>
  <c r="R2909" i="25"/>
  <c r="R2933" i="25"/>
  <c r="R2957" i="25"/>
  <c r="R2981" i="25"/>
  <c r="R3005" i="25"/>
  <c r="R3029" i="25"/>
  <c r="R3053" i="25"/>
  <c r="R3077" i="25"/>
  <c r="R3101" i="25"/>
  <c r="R3125" i="25"/>
  <c r="R3149" i="25"/>
  <c r="R3173" i="25"/>
  <c r="R3197" i="25"/>
  <c r="R3225" i="25"/>
  <c r="R3249" i="25"/>
  <c r="R3273" i="25"/>
  <c r="R3297" i="25"/>
  <c r="R3321" i="25"/>
  <c r="R3345" i="25"/>
  <c r="R3369" i="25"/>
  <c r="R3393" i="25"/>
  <c r="R3417" i="25"/>
  <c r="R3441" i="25"/>
  <c r="R3465" i="25"/>
  <c r="R3489" i="25"/>
  <c r="R3513" i="25"/>
  <c r="R3537" i="25"/>
  <c r="R3565" i="25"/>
  <c r="R3585" i="25"/>
  <c r="R3613" i="25"/>
  <c r="R3637" i="25"/>
  <c r="R3661" i="25"/>
  <c r="R3685" i="25"/>
  <c r="R3709" i="25"/>
  <c r="R3733" i="25"/>
  <c r="R3757" i="25"/>
  <c r="R3781" i="25"/>
  <c r="R3805" i="25"/>
  <c r="R3829" i="25"/>
  <c r="R3853" i="25"/>
  <c r="R3877" i="25"/>
  <c r="R3901" i="25"/>
  <c r="R3925" i="25"/>
  <c r="R3949" i="25"/>
  <c r="R3977" i="25"/>
  <c r="R2563" i="25"/>
  <c r="R2659" i="25"/>
  <c r="R2771" i="25"/>
  <c r="R497" i="25"/>
  <c r="R541" i="25"/>
  <c r="R561" i="25"/>
  <c r="R581" i="25"/>
  <c r="R605" i="25"/>
  <c r="R625" i="25"/>
  <c r="R645" i="25"/>
  <c r="R669" i="25"/>
  <c r="R689" i="25"/>
  <c r="R753" i="25"/>
  <c r="R773" i="25"/>
  <c r="R797" i="25"/>
  <c r="R817" i="25"/>
  <c r="R837" i="25"/>
  <c r="R861" i="25"/>
  <c r="R881" i="25"/>
  <c r="R901" i="25"/>
  <c r="R925" i="25"/>
  <c r="R945" i="25"/>
  <c r="R965" i="25"/>
  <c r="R989" i="25"/>
  <c r="R1009" i="25"/>
  <c r="R1029" i="25"/>
  <c r="R1053" i="25"/>
  <c r="R1073" i="25"/>
  <c r="R1093" i="25"/>
  <c r="R1117" i="25"/>
  <c r="R1137" i="25"/>
  <c r="R1157" i="25"/>
  <c r="R1181" i="25"/>
  <c r="R1201" i="25"/>
  <c r="R1221" i="25"/>
  <c r="R1245" i="25"/>
  <c r="R1265" i="25"/>
  <c r="R1285" i="25"/>
  <c r="R1309" i="25"/>
  <c r="R1329" i="25"/>
  <c r="R1353" i="25"/>
  <c r="R1385" i="25"/>
  <c r="R1417" i="25"/>
  <c r="R1445" i="25"/>
  <c r="R1469" i="25"/>
  <c r="R1489" i="25"/>
  <c r="R1509" i="25"/>
  <c r="R1533" i="25"/>
  <c r="R1553" i="25"/>
  <c r="R1573" i="25"/>
  <c r="R1597" i="25"/>
  <c r="R1617" i="25"/>
  <c r="R1637" i="25"/>
  <c r="R1661" i="25"/>
  <c r="R1681" i="25"/>
  <c r="R1701" i="25"/>
  <c r="R1725" i="25"/>
  <c r="R1745" i="25"/>
  <c r="R1765" i="25"/>
  <c r="R1789" i="25"/>
  <c r="R1809" i="25"/>
  <c r="R1829" i="25"/>
  <c r="R1853" i="25"/>
  <c r="R1873" i="25"/>
  <c r="R1893" i="25"/>
  <c r="R1917" i="25"/>
  <c r="R1937" i="25"/>
  <c r="R1957" i="25"/>
  <c r="R1981" i="25"/>
  <c r="R2001" i="25"/>
  <c r="R2021" i="25"/>
  <c r="R2045" i="25"/>
  <c r="R2065" i="25"/>
  <c r="R2129" i="25"/>
  <c r="R2193" i="25"/>
  <c r="R2253" i="25"/>
  <c r="R2317" i="25"/>
  <c r="R2373" i="25"/>
  <c r="R2497" i="25"/>
  <c r="R2561" i="25"/>
  <c r="R2621" i="25"/>
  <c r="R2685" i="25"/>
  <c r="R2749" i="25"/>
  <c r="R2869" i="25"/>
  <c r="R2929" i="25"/>
  <c r="R2977" i="25"/>
  <c r="R3025" i="25"/>
  <c r="R3073" i="25"/>
  <c r="R3117" i="25"/>
  <c r="R3165" i="25"/>
  <c r="R3209" i="25"/>
  <c r="R3257" i="25"/>
  <c r="R3305" i="25"/>
  <c r="R3353" i="25"/>
  <c r="R3401" i="25"/>
  <c r="R3445" i="25"/>
  <c r="R3493" i="25"/>
  <c r="R3541" i="25"/>
  <c r="R3589" i="25"/>
  <c r="R3633" i="25"/>
  <c r="R3681" i="25"/>
  <c r="R3729" i="25"/>
  <c r="R3777" i="25"/>
  <c r="R3821" i="25"/>
  <c r="R3869" i="25"/>
  <c r="R3917" i="25"/>
  <c r="R3961" i="25"/>
  <c r="R1351" i="25"/>
  <c r="R1367" i="25"/>
  <c r="R1383" i="25"/>
  <c r="R1399" i="25"/>
  <c r="R1415" i="25"/>
  <c r="R1431" i="25"/>
  <c r="R1795" i="25"/>
  <c r="R1843" i="25"/>
  <c r="R2035" i="25"/>
  <c r="R2163" i="25"/>
  <c r="R2483" i="25"/>
  <c r="R2777" i="25"/>
  <c r="R1267" i="25"/>
  <c r="R1315" i="25"/>
  <c r="R563" i="25"/>
  <c r="R494" i="25"/>
  <c r="R734" i="25"/>
  <c r="R974" i="25"/>
  <c r="R1006" i="25"/>
  <c r="R1038" i="25"/>
  <c r="R1166" i="25"/>
  <c r="R1622" i="25"/>
  <c r="R2086" i="25"/>
  <c r="R787" i="25"/>
  <c r="R1027" i="25"/>
  <c r="R2200" i="25"/>
  <c r="R2109" i="25"/>
  <c r="R2369" i="25"/>
  <c r="R2501" i="25"/>
  <c r="R2533" i="25"/>
  <c r="R2993" i="25"/>
  <c r="R3113" i="25"/>
  <c r="R3237" i="25"/>
  <c r="R3285" i="25"/>
  <c r="R3309" i="25"/>
  <c r="R3453" i="25"/>
  <c r="R3525" i="25"/>
  <c r="R3577" i="25"/>
  <c r="R573" i="25"/>
  <c r="R637" i="25"/>
  <c r="R829" i="25"/>
  <c r="R1021" i="25"/>
  <c r="R1213" i="25"/>
  <c r="R1277" i="25"/>
  <c r="R1501" i="25"/>
  <c r="R1861" i="25"/>
  <c r="R1885" i="25"/>
  <c r="R2997" i="25"/>
  <c r="R3561" i="25"/>
  <c r="R1235" i="25"/>
  <c r="R1475" i="25"/>
  <c r="R856" i="25"/>
  <c r="R1561" i="25"/>
  <c r="R2665" i="25"/>
  <c r="R2873" i="25"/>
  <c r="R507" i="25"/>
  <c r="R643" i="25"/>
  <c r="R883" i="25"/>
  <c r="R947" i="25"/>
  <c r="R1356" i="25"/>
  <c r="R1961" i="25"/>
  <c r="R2313" i="25"/>
  <c r="R2441" i="25"/>
  <c r="R2601" i="25"/>
  <c r="R2889" i="25"/>
  <c r="R615" i="25"/>
  <c r="R647" i="25"/>
  <c r="R683" i="25"/>
  <c r="R755" i="25"/>
  <c r="R791" i="25"/>
  <c r="R855" i="25"/>
  <c r="R919" i="25"/>
  <c r="R1059" i="25"/>
  <c r="R1127" i="25"/>
  <c r="R1159" i="25"/>
  <c r="R1223" i="25"/>
  <c r="R1303" i="25"/>
  <c r="R2361" i="25"/>
  <c r="R2681" i="25"/>
  <c r="R711" i="25"/>
  <c r="R771" i="25"/>
  <c r="R955" i="25"/>
  <c r="R502" i="25"/>
  <c r="R518" i="25"/>
  <c r="R550" i="25"/>
  <c r="R566" i="25"/>
  <c r="R598" i="25"/>
  <c r="R710" i="25"/>
  <c r="R1990" i="25"/>
  <c r="R2102" i="25"/>
  <c r="R2214" i="25"/>
  <c r="R2358" i="25"/>
  <c r="R2438" i="25"/>
  <c r="R2470" i="25"/>
  <c r="R2550" i="25"/>
  <c r="R2806" i="25"/>
  <c r="R1373" i="25"/>
  <c r="R1673" i="25"/>
  <c r="R1849" i="25"/>
  <c r="R2009" i="25"/>
  <c r="R2185" i="25"/>
  <c r="R2329" i="25"/>
  <c r="R2761" i="25"/>
  <c r="R2905" i="25"/>
  <c r="R523" i="25"/>
  <c r="R555" i="25"/>
  <c r="R587" i="25"/>
  <c r="R619" i="25"/>
  <c r="R659" i="25"/>
  <c r="R691" i="25"/>
  <c r="R731" i="25"/>
  <c r="R763" i="25"/>
  <c r="R795" i="25"/>
  <c r="R827" i="25"/>
  <c r="R859" i="25"/>
  <c r="R899" i="25"/>
  <c r="R931" i="25"/>
  <c r="R963" i="25"/>
  <c r="R995" i="25"/>
  <c r="R1035" i="25"/>
  <c r="R1067" i="25"/>
  <c r="R1099" i="25"/>
  <c r="R1131" i="25"/>
  <c r="R1163" i="25"/>
  <c r="R1195" i="25"/>
  <c r="R1227" i="25"/>
  <c r="R1259" i="25"/>
  <c r="R1283" i="25"/>
  <c r="R1307" i="25"/>
  <c r="R1331" i="25"/>
  <c r="R1926" i="25"/>
  <c r="R2150" i="25"/>
  <c r="R1349" i="25"/>
  <c r="R1705" i="25"/>
  <c r="R1945" i="25"/>
  <c r="R2281" i="25"/>
  <c r="R2409" i="25"/>
  <c r="R2697" i="25"/>
  <c r="R2809" i="25"/>
  <c r="R547" i="25"/>
  <c r="R607" i="25"/>
  <c r="R667" i="25"/>
  <c r="R723" i="25"/>
  <c r="R783" i="25"/>
  <c r="R847" i="25"/>
  <c r="R907" i="25"/>
  <c r="R967" i="25"/>
  <c r="R1031" i="25"/>
  <c r="R1091" i="25"/>
  <c r="R1155" i="25"/>
  <c r="R1215" i="25"/>
  <c r="R506" i="25"/>
  <c r="R522" i="25"/>
  <c r="R538" i="25"/>
  <c r="R554" i="25"/>
  <c r="R570" i="25"/>
  <c r="R586" i="25"/>
  <c r="R602" i="25"/>
  <c r="R618" i="25"/>
  <c r="R634" i="25"/>
  <c r="R650" i="25"/>
  <c r="R666" i="25"/>
  <c r="R682" i="25"/>
  <c r="R698" i="25"/>
  <c r="R730" i="25"/>
  <c r="R746" i="25"/>
  <c r="R762" i="25"/>
  <c r="R778" i="25"/>
  <c r="R794" i="25"/>
  <c r="R810" i="25"/>
  <c r="R826" i="25"/>
  <c r="R842" i="25"/>
  <c r="R858" i="25"/>
  <c r="R874" i="25"/>
  <c r="R906" i="25"/>
  <c r="R922" i="25"/>
  <c r="R938" i="25"/>
  <c r="R954" i="25"/>
  <c r="R970" i="25"/>
  <c r="R986" i="25"/>
  <c r="R1002" i="25"/>
  <c r="R1018" i="25"/>
  <c r="R1034" i="25"/>
  <c r="R1050" i="25"/>
  <c r="R1066" i="25"/>
  <c r="R1082" i="25"/>
  <c r="R1098" i="25"/>
  <c r="R1114" i="25"/>
  <c r="R1130" i="25"/>
  <c r="R1146" i="25"/>
  <c r="R1162" i="25"/>
  <c r="R1178" i="25"/>
  <c r="R1194" i="25"/>
  <c r="R1210" i="25"/>
  <c r="R1226" i="25"/>
  <c r="R1242" i="25"/>
  <c r="R1258" i="25"/>
  <c r="R1274" i="25"/>
  <c r="R1290" i="25"/>
  <c r="R1306" i="25"/>
  <c r="R1322" i="25"/>
  <c r="R1338" i="25"/>
  <c r="R1734" i="25"/>
  <c r="R2294" i="25"/>
  <c r="R2742" i="25"/>
  <c r="R2854" i="25"/>
  <c r="R921" i="25"/>
  <c r="R1429" i="25"/>
  <c r="R1641" i="25"/>
  <c r="R1769" i="25"/>
  <c r="R2089" i="25"/>
  <c r="R2169" i="25"/>
  <c r="R2425" i="25"/>
  <c r="R2729" i="25"/>
  <c r="R2857" i="25"/>
  <c r="R527" i="25"/>
  <c r="R595" i="25"/>
  <c r="R655" i="25"/>
  <c r="R715" i="25"/>
  <c r="R767" i="25"/>
  <c r="R835" i="25"/>
  <c r="R891" i="25"/>
  <c r="R951" i="25"/>
  <c r="R1015" i="25"/>
  <c r="R1075" i="25"/>
  <c r="R1139" i="25"/>
  <c r="R1203" i="25"/>
  <c r="R1255" i="25"/>
  <c r="R1299" i="25"/>
  <c r="R1448" i="25"/>
  <c r="R1512" i="25"/>
  <c r="R1576" i="25"/>
  <c r="R1640" i="25"/>
  <c r="R1704" i="25"/>
  <c r="R1768" i="25"/>
  <c r="R1832" i="25"/>
  <c r="R1896" i="25"/>
  <c r="R1960" i="25"/>
  <c r="R2024" i="25"/>
  <c r="R2088" i="25"/>
  <c r="R2152" i="25"/>
  <c r="R2216" i="25"/>
  <c r="R2280" i="25"/>
  <c r="R2344" i="25"/>
  <c r="R2408" i="25"/>
  <c r="R2472" i="25"/>
  <c r="R2536" i="25"/>
  <c r="R2600" i="25"/>
  <c r="R2664" i="25"/>
  <c r="R2728" i="25"/>
  <c r="R2792" i="25"/>
  <c r="R2856" i="25"/>
  <c r="R2097" i="25"/>
  <c r="R2133" i="25"/>
  <c r="R2165" i="25"/>
  <c r="R2197" i="25"/>
  <c r="R2229" i="25"/>
  <c r="R2261" i="25"/>
  <c r="R2293" i="25"/>
  <c r="R2325" i="25"/>
  <c r="R2365" i="25"/>
  <c r="R2397" i="25"/>
  <c r="R2429" i="25"/>
  <c r="R2461" i="25"/>
  <c r="R2493" i="25"/>
  <c r="R2525" i="25"/>
  <c r="R2557" i="25"/>
  <c r="R2589" i="25"/>
  <c r="R2625" i="25"/>
  <c r="R2657" i="25"/>
  <c r="R2689" i="25"/>
  <c r="R2721" i="25"/>
  <c r="R2753" i="25"/>
  <c r="R2785" i="25"/>
  <c r="R2817" i="25"/>
  <c r="R2849" i="25"/>
  <c r="R2881" i="25"/>
  <c r="R2913" i="25"/>
  <c r="R2937" i="25"/>
  <c r="R2961" i="25"/>
  <c r="R2989" i="25"/>
  <c r="R3009" i="25"/>
  <c r="R3033" i="25"/>
  <c r="R3061" i="25"/>
  <c r="R3085" i="25"/>
  <c r="R3109" i="25"/>
  <c r="R3133" i="25"/>
  <c r="R3157" i="25"/>
  <c r="R3181" i="25"/>
  <c r="R3205" i="25"/>
  <c r="R3229" i="25"/>
  <c r="R3253" i="25"/>
  <c r="R3277" i="25"/>
  <c r="R3301" i="25"/>
  <c r="R3325" i="25"/>
  <c r="R3349" i="25"/>
  <c r="R3373" i="25"/>
  <c r="R3397" i="25"/>
  <c r="R3421" i="25"/>
  <c r="R3449" i="25"/>
  <c r="R3473" i="25"/>
  <c r="R3497" i="25"/>
  <c r="R3521" i="25"/>
  <c r="R3545" i="25"/>
  <c r="R3569" i="25"/>
  <c r="R3593" i="25"/>
  <c r="R3617" i="25"/>
  <c r="R3641" i="25"/>
  <c r="R3665" i="25"/>
  <c r="R3689" i="25"/>
  <c r="R3713" i="25"/>
  <c r="R3737" i="25"/>
  <c r="R3761" i="25"/>
  <c r="R3785" i="25"/>
  <c r="R3813" i="25"/>
  <c r="R3837" i="25"/>
  <c r="R3861" i="25"/>
  <c r="R3885" i="25"/>
  <c r="R3909" i="25"/>
  <c r="R3933" i="25"/>
  <c r="R3957" i="25"/>
  <c r="R3981" i="25"/>
  <c r="R2595" i="25"/>
  <c r="R2691" i="25"/>
  <c r="R2883" i="25"/>
  <c r="R501" i="25"/>
  <c r="R525" i="25"/>
  <c r="R545" i="25"/>
  <c r="R565" i="25"/>
  <c r="R589" i="25"/>
  <c r="R609" i="25"/>
  <c r="R629" i="25"/>
  <c r="R653" i="25"/>
  <c r="R673" i="25"/>
  <c r="R693" i="25"/>
  <c r="R717" i="25"/>
  <c r="R737" i="25"/>
  <c r="R757" i="25"/>
  <c r="R781" i="25"/>
  <c r="R801" i="25"/>
  <c r="R821" i="25"/>
  <c r="R845" i="25"/>
  <c r="R865" i="25"/>
  <c r="R885" i="25"/>
  <c r="R909" i="25"/>
  <c r="R929" i="25"/>
  <c r="R949" i="25"/>
  <c r="R973" i="25"/>
  <c r="R993" i="25"/>
  <c r="R1013" i="25"/>
  <c r="R1037" i="25"/>
  <c r="R1057" i="25"/>
  <c r="R1077" i="25"/>
  <c r="R1101" i="25"/>
  <c r="R1121" i="25"/>
  <c r="R1141" i="25"/>
  <c r="R1165" i="25"/>
  <c r="R1185" i="25"/>
  <c r="R1205" i="25"/>
  <c r="R1229" i="25"/>
  <c r="R1249" i="25"/>
  <c r="R1269" i="25"/>
  <c r="R1293" i="25"/>
  <c r="R1313" i="25"/>
  <c r="R1333" i="25"/>
  <c r="R1361" i="25"/>
  <c r="R1393" i="25"/>
  <c r="R1425" i="25"/>
  <c r="R1453" i="25"/>
  <c r="R1473" i="25"/>
  <c r="R1493" i="25"/>
  <c r="R1517" i="25"/>
  <c r="R1537" i="25"/>
  <c r="R1557" i="25"/>
  <c r="R1581" i="25"/>
  <c r="R1601" i="25"/>
  <c r="R1621" i="25"/>
  <c r="R1645" i="25"/>
  <c r="R1665" i="25"/>
  <c r="R1685" i="25"/>
  <c r="R1709" i="25"/>
  <c r="R1729" i="25"/>
  <c r="R1749" i="25"/>
  <c r="R1773" i="25"/>
  <c r="R1793" i="25"/>
  <c r="R1813" i="25"/>
  <c r="R1837" i="25"/>
  <c r="R1857" i="25"/>
  <c r="R1877" i="25"/>
  <c r="R1901" i="25"/>
  <c r="R1921" i="25"/>
  <c r="R1941" i="25"/>
  <c r="R1965" i="25"/>
  <c r="R1985" i="25"/>
  <c r="R2005" i="25"/>
  <c r="R2029" i="25"/>
  <c r="R2049" i="25"/>
  <c r="R2069" i="25"/>
  <c r="R2093" i="25"/>
  <c r="R2145" i="25"/>
  <c r="R2205" i="25"/>
  <c r="R2269" i="25"/>
  <c r="R2333" i="25"/>
  <c r="R2389" i="25"/>
  <c r="R2453" i="25"/>
  <c r="R2513" i="25"/>
  <c r="R2577" i="25"/>
  <c r="R2637" i="25"/>
  <c r="R2701" i="25"/>
  <c r="R2765" i="25"/>
  <c r="R2821" i="25"/>
  <c r="R2885" i="25"/>
  <c r="R2941" i="25"/>
  <c r="R2985" i="25"/>
  <c r="R3037" i="25"/>
  <c r="R3081" i="25"/>
  <c r="R3129" i="25"/>
  <c r="R3177" i="25"/>
  <c r="R3221" i="25"/>
  <c r="R3269" i="25"/>
  <c r="R3317" i="25"/>
  <c r="R3365" i="25"/>
  <c r="R3413" i="25"/>
  <c r="R3457" i="25"/>
  <c r="R3505" i="25"/>
  <c r="R3553" i="25"/>
  <c r="R3601" i="25"/>
  <c r="R3645" i="25"/>
  <c r="R3693" i="25"/>
  <c r="R3741" i="25"/>
  <c r="R3789" i="25"/>
  <c r="R3833" i="25"/>
  <c r="R3881" i="25"/>
  <c r="R3929" i="25"/>
  <c r="R3973" i="25"/>
  <c r="R2755" i="25"/>
  <c r="R569" i="25"/>
  <c r="R681" i="25"/>
  <c r="R793" i="25"/>
  <c r="R985" i="25"/>
  <c r="R1097" i="25"/>
  <c r="R1193" i="25"/>
  <c r="R1305" i="25"/>
  <c r="R1355" i="25"/>
  <c r="R1371" i="25"/>
  <c r="R1387" i="25"/>
  <c r="R1403" i="25"/>
  <c r="R1419" i="25"/>
  <c r="R1435" i="25"/>
  <c r="R1459" i="25"/>
  <c r="R1539" i="25"/>
  <c r="R1587" i="25"/>
  <c r="R1891" i="25"/>
  <c r="R1939" i="25"/>
  <c r="R2051" i="25"/>
  <c r="R2179" i="25"/>
  <c r="R2243" i="25"/>
  <c r="R2371" i="25"/>
  <c r="R2499" i="25"/>
  <c r="R2819" i="25"/>
  <c r="U9" i="19" l="1"/>
  <c r="U14" i="19"/>
  <c r="U4" i="19"/>
  <c r="K38" i="28"/>
  <c r="K43" i="28"/>
  <c r="K29" i="28"/>
  <c r="K31" i="28"/>
  <c r="K41" i="28"/>
  <c r="K28" i="28"/>
  <c r="K23" i="28"/>
  <c r="K33" i="28"/>
  <c r="K40" i="28"/>
  <c r="K24" i="28"/>
  <c r="K30" i="28"/>
  <c r="K39" i="28"/>
  <c r="K42" i="28"/>
  <c r="K27" i="28"/>
  <c r="K34" i="28"/>
  <c r="K25" i="28"/>
  <c r="L41" i="1"/>
  <c r="R3" i="25"/>
  <c r="K35" i="28"/>
  <c r="K36" i="28"/>
  <c r="K32" i="28"/>
  <c r="K26" i="28"/>
  <c r="K37" i="28"/>
  <c r="K17" i="28"/>
  <c r="K20" i="28"/>
  <c r="K21" i="28"/>
  <c r="K19" i="28"/>
  <c r="K18" i="28"/>
  <c r="K22" i="28"/>
  <c r="F32" i="28"/>
  <c r="P23" i="11"/>
  <c r="P25" i="11"/>
  <c r="C126" i="19"/>
  <c r="C128" i="19" s="1"/>
  <c r="D126" i="19"/>
  <c r="D128" i="19" s="1"/>
  <c r="E126" i="19"/>
  <c r="E128" i="19" s="1"/>
  <c r="F126" i="19"/>
  <c r="G126" i="19"/>
  <c r="G128" i="19" s="1"/>
  <c r="H126" i="19"/>
  <c r="H128" i="19" s="1"/>
  <c r="I126" i="19"/>
  <c r="I128" i="19" s="1"/>
  <c r="J126" i="19"/>
  <c r="K126" i="19"/>
  <c r="K128" i="19" s="1"/>
  <c r="L126" i="19"/>
  <c r="L128" i="19" s="1"/>
  <c r="C132" i="19"/>
  <c r="D132" i="19"/>
  <c r="E132" i="19"/>
  <c r="F132" i="19"/>
  <c r="G132" i="19"/>
  <c r="H132" i="19"/>
  <c r="I132" i="19"/>
  <c r="J132" i="19"/>
  <c r="K132" i="19"/>
  <c r="L132" i="19"/>
  <c r="C134" i="19"/>
  <c r="D134" i="19"/>
  <c r="E134" i="19"/>
  <c r="F134" i="19"/>
  <c r="G134" i="19"/>
  <c r="H134" i="19"/>
  <c r="I134" i="19"/>
  <c r="J134" i="19"/>
  <c r="K134" i="19"/>
  <c r="L134" i="19"/>
  <c r="I16" i="27"/>
  <c r="H16" i="27"/>
  <c r="J16" i="27"/>
  <c r="J8" i="27"/>
  <c r="Q39" i="19"/>
  <c r="F73" i="19"/>
  <c r="G73" i="19" s="1"/>
  <c r="E75" i="19"/>
  <c r="G75" i="19"/>
  <c r="H75" i="19"/>
  <c r="I75" i="19"/>
  <c r="J75" i="19"/>
  <c r="K75" i="19"/>
  <c r="L75" i="19"/>
  <c r="M75" i="19"/>
  <c r="N75" i="19"/>
  <c r="O25" i="11"/>
  <c r="F118" i="19"/>
  <c r="F112" i="19"/>
  <c r="F106" i="19"/>
  <c r="F102" i="19"/>
  <c r="F98" i="19"/>
  <c r="F94" i="19"/>
  <c r="F90" i="19"/>
  <c r="F86" i="19"/>
  <c r="E17" i="27"/>
  <c r="C17" i="27"/>
  <c r="B16" i="27"/>
  <c r="B15" i="27" s="1"/>
  <c r="C16" i="27" s="1"/>
  <c r="C15" i="27" s="1"/>
  <c r="H8" i="27"/>
  <c r="F22" i="26"/>
  <c r="E22" i="26"/>
  <c r="F21" i="26"/>
  <c r="F18" i="26"/>
  <c r="G18" i="26" s="1"/>
  <c r="F17" i="26"/>
  <c r="G17" i="26" s="1"/>
  <c r="D14" i="26"/>
  <c r="D12" i="26"/>
  <c r="F32" i="18"/>
  <c r="E12" i="26" l="1"/>
  <c r="N41" i="1"/>
  <c r="J127" i="19"/>
  <c r="L133" i="19"/>
  <c r="E127" i="19"/>
  <c r="E14" i="26"/>
  <c r="G12" i="26"/>
  <c r="H133" i="19"/>
  <c r="D133" i="19"/>
  <c r="G14" i="26"/>
  <c r="H135" i="19"/>
  <c r="J128" i="19"/>
  <c r="L127" i="19"/>
  <c r="L135" i="19"/>
  <c r="F128" i="19"/>
  <c r="I133" i="19"/>
  <c r="E133" i="19"/>
  <c r="J135" i="19"/>
  <c r="D135" i="19"/>
  <c r="H127" i="19"/>
  <c r="I135" i="19"/>
  <c r="E135" i="19"/>
  <c r="J133" i="19"/>
  <c r="F133" i="19"/>
  <c r="K135" i="19"/>
  <c r="G135" i="19"/>
  <c r="C135" i="19"/>
  <c r="K133" i="19"/>
  <c r="G133" i="19"/>
  <c r="C133" i="19"/>
  <c r="K127" i="19"/>
  <c r="G127" i="19"/>
  <c r="C127" i="19"/>
  <c r="D127" i="19"/>
  <c r="F135" i="19"/>
  <c r="F127" i="19"/>
  <c r="I127" i="19"/>
  <c r="J9" i="27"/>
  <c r="H9" i="27"/>
  <c r="F75" i="19"/>
  <c r="G74" i="19"/>
  <c r="H73" i="19"/>
  <c r="F74" i="19"/>
  <c r="H18" i="26"/>
  <c r="H17" i="26"/>
  <c r="K93" i="19"/>
  <c r="K97" i="19"/>
  <c r="K101" i="19"/>
  <c r="L85" i="19"/>
  <c r="F3985" i="25"/>
  <c r="F3984" i="25"/>
  <c r="F3983" i="25"/>
  <c r="F3982" i="25"/>
  <c r="F3981" i="25"/>
  <c r="F3980" i="25"/>
  <c r="F3979" i="25"/>
  <c r="F3978" i="25"/>
  <c r="F3977" i="25"/>
  <c r="F3976" i="25"/>
  <c r="F3975" i="25"/>
  <c r="F3974" i="25"/>
  <c r="F3973" i="25"/>
  <c r="F3972" i="25"/>
  <c r="F3971" i="25"/>
  <c r="F3970" i="25"/>
  <c r="F3969" i="25"/>
  <c r="F3968" i="25"/>
  <c r="F3967" i="25"/>
  <c r="F3966" i="25"/>
  <c r="F3965" i="25"/>
  <c r="F3964" i="25"/>
  <c r="F3963" i="25"/>
  <c r="F3962" i="25"/>
  <c r="F3961" i="25"/>
  <c r="F3960" i="25"/>
  <c r="F3959" i="25"/>
  <c r="F3958" i="25"/>
  <c r="F3957" i="25"/>
  <c r="F3956" i="25"/>
  <c r="F3955" i="25"/>
  <c r="F3954" i="25"/>
  <c r="F3953" i="25"/>
  <c r="F3952" i="25"/>
  <c r="F3951" i="25"/>
  <c r="F3950" i="25"/>
  <c r="F3949" i="25"/>
  <c r="F3948" i="25"/>
  <c r="F3947" i="25"/>
  <c r="F3946" i="25"/>
  <c r="F3945" i="25"/>
  <c r="F3944" i="25"/>
  <c r="F3943" i="25"/>
  <c r="F3942" i="25"/>
  <c r="F3941" i="25"/>
  <c r="F3940" i="25"/>
  <c r="F3939" i="25"/>
  <c r="F3938" i="25"/>
  <c r="F3937" i="25"/>
  <c r="F3936" i="25"/>
  <c r="F3935" i="25"/>
  <c r="F3934" i="25"/>
  <c r="F3933" i="25"/>
  <c r="F3932" i="25"/>
  <c r="F3931" i="25"/>
  <c r="F3930" i="25"/>
  <c r="F3929" i="25"/>
  <c r="F3928" i="25"/>
  <c r="F3927" i="25"/>
  <c r="F3926" i="25"/>
  <c r="F3925" i="25"/>
  <c r="F3924" i="25"/>
  <c r="F3923" i="25"/>
  <c r="F3922" i="25"/>
  <c r="F3921" i="25"/>
  <c r="F3920" i="25"/>
  <c r="F3919" i="25"/>
  <c r="F3918" i="25"/>
  <c r="F3917" i="25"/>
  <c r="F3916" i="25"/>
  <c r="F3915" i="25"/>
  <c r="F3914" i="25"/>
  <c r="F3913" i="25"/>
  <c r="F3912" i="25"/>
  <c r="F3911" i="25"/>
  <c r="F3910" i="25"/>
  <c r="F3909" i="25"/>
  <c r="F3908" i="25"/>
  <c r="F3907" i="25"/>
  <c r="F3906" i="25"/>
  <c r="F3905" i="25"/>
  <c r="F3904" i="25"/>
  <c r="F3903" i="25"/>
  <c r="F3902" i="25"/>
  <c r="F3901" i="25"/>
  <c r="F3900" i="25"/>
  <c r="F3899" i="25"/>
  <c r="F3898" i="25"/>
  <c r="F3897" i="25"/>
  <c r="F3896" i="25"/>
  <c r="F3895" i="25"/>
  <c r="F3894" i="25"/>
  <c r="F3893" i="25"/>
  <c r="F3892" i="25"/>
  <c r="F3891" i="25"/>
  <c r="F3890" i="25"/>
  <c r="F3889" i="25"/>
  <c r="F3888" i="25"/>
  <c r="F3887" i="25"/>
  <c r="F3886" i="25"/>
  <c r="F3885" i="25"/>
  <c r="F3884" i="25"/>
  <c r="F3883" i="25"/>
  <c r="F3882" i="25"/>
  <c r="F3881" i="25"/>
  <c r="F3880" i="25"/>
  <c r="F3879" i="25"/>
  <c r="F3878" i="25"/>
  <c r="F3877" i="25"/>
  <c r="F3876" i="25"/>
  <c r="F3875" i="25"/>
  <c r="F3874" i="25"/>
  <c r="F3873" i="25"/>
  <c r="F3872" i="25"/>
  <c r="F3871" i="25"/>
  <c r="F3870" i="25"/>
  <c r="F3869" i="25"/>
  <c r="F3868" i="25"/>
  <c r="F3867" i="25"/>
  <c r="F3866" i="25"/>
  <c r="F3865" i="25"/>
  <c r="F3864" i="25"/>
  <c r="F3863" i="25"/>
  <c r="F3862" i="25"/>
  <c r="F3861" i="25"/>
  <c r="F3860" i="25"/>
  <c r="F3859" i="25"/>
  <c r="F3858" i="25"/>
  <c r="F3857" i="25"/>
  <c r="F3856" i="25"/>
  <c r="F3855" i="25"/>
  <c r="F3854" i="25"/>
  <c r="F3853" i="25"/>
  <c r="F3852" i="25"/>
  <c r="F3851" i="25"/>
  <c r="F3850" i="25"/>
  <c r="F3849" i="25"/>
  <c r="F3848" i="25"/>
  <c r="F3847" i="25"/>
  <c r="F3846" i="25"/>
  <c r="F3845" i="25"/>
  <c r="F3844" i="25"/>
  <c r="F3843" i="25"/>
  <c r="F3842" i="25"/>
  <c r="F3841" i="25"/>
  <c r="F3840" i="25"/>
  <c r="F3839" i="25"/>
  <c r="F3838" i="25"/>
  <c r="F3837" i="25"/>
  <c r="F3836" i="25"/>
  <c r="F3835" i="25"/>
  <c r="F3834" i="25"/>
  <c r="F3833" i="25"/>
  <c r="F3832" i="25"/>
  <c r="F3831" i="25"/>
  <c r="F3830" i="25"/>
  <c r="F3829" i="25"/>
  <c r="F3828" i="25"/>
  <c r="F3827" i="25"/>
  <c r="F3826" i="25"/>
  <c r="F3825" i="25"/>
  <c r="F3824" i="25"/>
  <c r="F3823" i="25"/>
  <c r="F3822" i="25"/>
  <c r="F3821" i="25"/>
  <c r="F3820" i="25"/>
  <c r="F3819" i="25"/>
  <c r="F3818" i="25"/>
  <c r="F3817" i="25"/>
  <c r="F3816" i="25"/>
  <c r="F3815" i="25"/>
  <c r="F3814" i="25"/>
  <c r="F3813" i="25"/>
  <c r="F3812" i="25"/>
  <c r="F3811" i="25"/>
  <c r="F3810" i="25"/>
  <c r="F3809" i="25"/>
  <c r="F3808" i="25"/>
  <c r="F3807" i="25"/>
  <c r="F3806" i="25"/>
  <c r="F3805" i="25"/>
  <c r="F3804" i="25"/>
  <c r="F3803" i="25"/>
  <c r="F3802" i="25"/>
  <c r="F3801" i="25"/>
  <c r="F3800" i="25"/>
  <c r="F3799" i="25"/>
  <c r="F3798" i="25"/>
  <c r="F3797" i="25"/>
  <c r="F3796" i="25"/>
  <c r="F3795" i="25"/>
  <c r="F3794" i="25"/>
  <c r="F3793" i="25"/>
  <c r="F3792" i="25"/>
  <c r="F3791" i="25"/>
  <c r="F3790" i="25"/>
  <c r="F3789" i="25"/>
  <c r="F3788" i="25"/>
  <c r="F3787" i="25"/>
  <c r="F3786" i="25"/>
  <c r="F3785" i="25"/>
  <c r="F3784" i="25"/>
  <c r="F3783" i="25"/>
  <c r="F3782" i="25"/>
  <c r="F3781" i="25"/>
  <c r="F3780" i="25"/>
  <c r="F3779" i="25"/>
  <c r="F3778" i="25"/>
  <c r="F3777" i="25"/>
  <c r="F3776" i="25"/>
  <c r="F3775" i="25"/>
  <c r="F3774" i="25"/>
  <c r="F3773" i="25"/>
  <c r="F3772" i="25"/>
  <c r="F3771" i="25"/>
  <c r="F3770" i="25"/>
  <c r="F3769" i="25"/>
  <c r="F3768" i="25"/>
  <c r="F3767" i="25"/>
  <c r="F3766" i="25"/>
  <c r="F3765" i="25"/>
  <c r="F3764" i="25"/>
  <c r="F3763" i="25"/>
  <c r="F3762" i="25"/>
  <c r="F3761" i="25"/>
  <c r="F3760" i="25"/>
  <c r="F3759" i="25"/>
  <c r="F3758" i="25"/>
  <c r="F3757" i="25"/>
  <c r="F3756" i="25"/>
  <c r="F3755" i="25"/>
  <c r="F3754" i="25"/>
  <c r="F3753" i="25"/>
  <c r="F3752" i="25"/>
  <c r="F3751" i="25"/>
  <c r="F3750" i="25"/>
  <c r="F3749" i="25"/>
  <c r="F3748" i="25"/>
  <c r="F3747" i="25"/>
  <c r="F3746" i="25"/>
  <c r="F3745" i="25"/>
  <c r="F3744" i="25"/>
  <c r="F3743" i="25"/>
  <c r="F3742" i="25"/>
  <c r="F3741" i="25"/>
  <c r="F3740" i="25"/>
  <c r="F3739" i="25"/>
  <c r="F3738" i="25"/>
  <c r="F3737" i="25"/>
  <c r="F3736" i="25"/>
  <c r="F3735" i="25"/>
  <c r="F3734" i="25"/>
  <c r="F3733" i="25"/>
  <c r="F3732" i="25"/>
  <c r="F3731" i="25"/>
  <c r="F3730" i="25"/>
  <c r="F3729" i="25"/>
  <c r="F3728" i="25"/>
  <c r="F3727" i="25"/>
  <c r="F3726" i="25"/>
  <c r="F3725" i="25"/>
  <c r="F3724" i="25"/>
  <c r="F3723" i="25"/>
  <c r="F3722" i="25"/>
  <c r="F3721" i="25"/>
  <c r="F3720" i="25"/>
  <c r="F3719" i="25"/>
  <c r="F3718" i="25"/>
  <c r="F3717" i="25"/>
  <c r="F3716" i="25"/>
  <c r="F3715" i="25"/>
  <c r="F3714" i="25"/>
  <c r="F3713" i="25"/>
  <c r="F3712" i="25"/>
  <c r="F3711" i="25"/>
  <c r="F3710" i="25"/>
  <c r="F3709" i="25"/>
  <c r="F3708" i="25"/>
  <c r="F3707" i="25"/>
  <c r="F3706" i="25"/>
  <c r="F3705" i="25"/>
  <c r="F3704" i="25"/>
  <c r="F3703" i="25"/>
  <c r="F3702" i="25"/>
  <c r="F3701" i="25"/>
  <c r="F3700" i="25"/>
  <c r="F3699" i="25"/>
  <c r="F3698" i="25"/>
  <c r="F3697" i="25"/>
  <c r="F3696" i="25"/>
  <c r="F3695" i="25"/>
  <c r="F3694" i="25"/>
  <c r="F3693" i="25"/>
  <c r="F3692" i="25"/>
  <c r="F3691" i="25"/>
  <c r="F3690" i="25"/>
  <c r="F3689" i="25"/>
  <c r="F3688" i="25"/>
  <c r="F3687" i="25"/>
  <c r="F3686" i="25"/>
  <c r="F3685" i="25"/>
  <c r="F3684" i="25"/>
  <c r="F3683" i="25"/>
  <c r="F3682" i="25"/>
  <c r="F3681" i="25"/>
  <c r="F3680" i="25"/>
  <c r="F3679" i="25"/>
  <c r="F3678" i="25"/>
  <c r="F3677" i="25"/>
  <c r="F3676" i="25"/>
  <c r="F3675" i="25"/>
  <c r="F3674" i="25"/>
  <c r="F3673" i="25"/>
  <c r="F3672" i="25"/>
  <c r="F3671" i="25"/>
  <c r="F3670" i="25"/>
  <c r="F3669" i="25"/>
  <c r="F3668" i="25"/>
  <c r="F3667" i="25"/>
  <c r="F3666" i="25"/>
  <c r="F3665" i="25"/>
  <c r="F3664" i="25"/>
  <c r="F3663" i="25"/>
  <c r="F3662" i="25"/>
  <c r="F3661" i="25"/>
  <c r="F3660" i="25"/>
  <c r="F3659" i="25"/>
  <c r="F3658" i="25"/>
  <c r="F3657" i="25"/>
  <c r="F3656" i="25"/>
  <c r="F3655" i="25"/>
  <c r="F3654" i="25"/>
  <c r="F3653" i="25"/>
  <c r="F3652" i="25"/>
  <c r="F3651" i="25"/>
  <c r="F3650" i="25"/>
  <c r="F3649" i="25"/>
  <c r="F3648" i="25"/>
  <c r="F3647" i="25"/>
  <c r="F3646" i="25"/>
  <c r="F3645" i="25"/>
  <c r="F3644" i="25"/>
  <c r="F3643" i="25"/>
  <c r="F3642" i="25"/>
  <c r="F3641" i="25"/>
  <c r="F3640" i="25"/>
  <c r="F3639" i="25"/>
  <c r="F3638" i="25"/>
  <c r="F3637" i="25"/>
  <c r="F3636" i="25"/>
  <c r="F3635" i="25"/>
  <c r="F3634" i="25"/>
  <c r="F3633" i="25"/>
  <c r="F3632" i="25"/>
  <c r="F3631" i="25"/>
  <c r="F3630" i="25"/>
  <c r="F3629" i="25"/>
  <c r="F3628" i="25"/>
  <c r="F3627" i="25"/>
  <c r="F3626" i="25"/>
  <c r="F3625" i="25"/>
  <c r="F3624" i="25"/>
  <c r="F3623" i="25"/>
  <c r="F3622" i="25"/>
  <c r="F3621" i="25"/>
  <c r="F3620" i="25"/>
  <c r="F3619" i="25"/>
  <c r="F3618" i="25"/>
  <c r="F3617" i="25"/>
  <c r="F3616" i="25"/>
  <c r="F3615" i="25"/>
  <c r="F3614" i="25"/>
  <c r="F3613" i="25"/>
  <c r="F3612" i="25"/>
  <c r="F3611" i="25"/>
  <c r="F3610" i="25"/>
  <c r="F3609" i="25"/>
  <c r="F3608" i="25"/>
  <c r="F3607" i="25"/>
  <c r="F3606" i="25"/>
  <c r="F3605" i="25"/>
  <c r="F3604" i="25"/>
  <c r="F3603" i="25"/>
  <c r="F3602" i="25"/>
  <c r="F3601" i="25"/>
  <c r="F3600" i="25"/>
  <c r="F3599" i="25"/>
  <c r="F3598" i="25"/>
  <c r="F3597" i="25"/>
  <c r="F3596" i="25"/>
  <c r="F3595" i="25"/>
  <c r="F3594" i="25"/>
  <c r="F3593" i="25"/>
  <c r="F3592" i="25"/>
  <c r="F3591" i="25"/>
  <c r="F3590" i="25"/>
  <c r="F3589" i="25"/>
  <c r="F3588" i="25"/>
  <c r="F3587" i="25"/>
  <c r="F3586" i="25"/>
  <c r="F3585" i="25"/>
  <c r="F3584" i="25"/>
  <c r="F3583" i="25"/>
  <c r="F3582" i="25"/>
  <c r="F3581" i="25"/>
  <c r="F3580" i="25"/>
  <c r="F3579" i="25"/>
  <c r="F3578" i="25"/>
  <c r="F3577" i="25"/>
  <c r="F3576" i="25"/>
  <c r="F3575" i="25"/>
  <c r="F3574" i="25"/>
  <c r="F3573" i="25"/>
  <c r="F3572" i="25"/>
  <c r="F3571" i="25"/>
  <c r="F3570" i="25"/>
  <c r="F3569" i="25"/>
  <c r="F3568" i="25"/>
  <c r="F3567" i="25"/>
  <c r="F3566" i="25"/>
  <c r="F3565" i="25"/>
  <c r="F3564" i="25"/>
  <c r="F3563" i="25"/>
  <c r="F3562" i="25"/>
  <c r="F3561" i="25"/>
  <c r="F3560" i="25"/>
  <c r="F3559" i="25"/>
  <c r="F3558" i="25"/>
  <c r="F3557" i="25"/>
  <c r="F3556" i="25"/>
  <c r="F3555" i="25"/>
  <c r="F3554" i="25"/>
  <c r="F3553" i="25"/>
  <c r="F3552" i="25"/>
  <c r="F3551" i="25"/>
  <c r="F3550" i="25"/>
  <c r="F3549" i="25"/>
  <c r="F3548" i="25"/>
  <c r="F3547" i="25"/>
  <c r="F3546" i="25"/>
  <c r="F3545" i="25"/>
  <c r="F3544" i="25"/>
  <c r="F3543" i="25"/>
  <c r="F3542" i="25"/>
  <c r="F3541" i="25"/>
  <c r="F3540" i="25"/>
  <c r="F3539" i="25"/>
  <c r="F3538" i="25"/>
  <c r="F3537" i="25"/>
  <c r="F3536" i="25"/>
  <c r="F3535" i="25"/>
  <c r="F3534" i="25"/>
  <c r="F3533" i="25"/>
  <c r="F3532" i="25"/>
  <c r="F3531" i="25"/>
  <c r="F3530" i="25"/>
  <c r="F3529" i="25"/>
  <c r="F3528" i="25"/>
  <c r="F3527" i="25"/>
  <c r="F3526" i="25"/>
  <c r="F3525" i="25"/>
  <c r="F3524" i="25"/>
  <c r="F3523" i="25"/>
  <c r="F3522" i="25"/>
  <c r="F3521" i="25"/>
  <c r="F3520" i="25"/>
  <c r="F3519" i="25"/>
  <c r="F3518" i="25"/>
  <c r="F3517" i="25"/>
  <c r="F3516" i="25"/>
  <c r="F3515" i="25"/>
  <c r="F3514" i="25"/>
  <c r="F3513" i="25"/>
  <c r="F3512" i="25"/>
  <c r="F3511" i="25"/>
  <c r="F3510" i="25"/>
  <c r="F3509" i="25"/>
  <c r="F3508" i="25"/>
  <c r="F3507" i="25"/>
  <c r="F3506" i="25"/>
  <c r="F3505" i="25"/>
  <c r="F3504" i="25"/>
  <c r="F3503" i="25"/>
  <c r="F3502" i="25"/>
  <c r="F3501" i="25"/>
  <c r="F3500" i="25"/>
  <c r="F3499" i="25"/>
  <c r="F3498" i="25"/>
  <c r="F3497" i="25"/>
  <c r="F3496" i="25"/>
  <c r="F3495" i="25"/>
  <c r="F3494" i="25"/>
  <c r="F3493" i="25"/>
  <c r="F3492" i="25"/>
  <c r="F3491" i="25"/>
  <c r="F3490" i="25"/>
  <c r="F3489" i="25"/>
  <c r="F3488" i="25"/>
  <c r="F3487" i="25"/>
  <c r="F3486" i="25"/>
  <c r="F3485" i="25"/>
  <c r="F3484" i="25"/>
  <c r="F3483" i="25"/>
  <c r="F3482" i="25"/>
  <c r="F3481" i="25"/>
  <c r="F3480" i="25"/>
  <c r="F3479" i="25"/>
  <c r="F3478" i="25"/>
  <c r="F3477" i="25"/>
  <c r="F3476" i="25"/>
  <c r="F3475" i="25"/>
  <c r="F3474" i="25"/>
  <c r="F3473" i="25"/>
  <c r="F3472" i="25"/>
  <c r="F3471" i="25"/>
  <c r="F3470" i="25"/>
  <c r="F3469" i="25"/>
  <c r="F3468" i="25"/>
  <c r="F3467" i="25"/>
  <c r="F3466" i="25"/>
  <c r="F3465" i="25"/>
  <c r="F3464" i="25"/>
  <c r="F3463" i="25"/>
  <c r="F3462" i="25"/>
  <c r="F3461" i="25"/>
  <c r="F3460" i="25"/>
  <c r="F3459" i="25"/>
  <c r="F3458" i="25"/>
  <c r="F3457" i="25"/>
  <c r="F3456" i="25"/>
  <c r="F3455" i="25"/>
  <c r="F3454" i="25"/>
  <c r="F3453" i="25"/>
  <c r="F3452" i="25"/>
  <c r="F3451" i="25"/>
  <c r="F3450" i="25"/>
  <c r="F3449" i="25"/>
  <c r="F3448" i="25"/>
  <c r="F3447" i="25"/>
  <c r="F3446" i="25"/>
  <c r="F3445" i="25"/>
  <c r="F3444" i="25"/>
  <c r="F3443" i="25"/>
  <c r="F3442" i="25"/>
  <c r="F3441" i="25"/>
  <c r="F3440" i="25"/>
  <c r="F3439" i="25"/>
  <c r="F3438" i="25"/>
  <c r="F3437" i="25"/>
  <c r="F3436" i="25"/>
  <c r="F3435" i="25"/>
  <c r="F3434" i="25"/>
  <c r="F3433" i="25"/>
  <c r="F3432" i="25"/>
  <c r="F3431" i="25"/>
  <c r="F3430" i="25"/>
  <c r="F3429" i="25"/>
  <c r="F3428" i="25"/>
  <c r="F3427" i="25"/>
  <c r="F3426" i="25"/>
  <c r="F3425" i="25"/>
  <c r="F3424" i="25"/>
  <c r="F3423" i="25"/>
  <c r="F3422" i="25"/>
  <c r="F3421" i="25"/>
  <c r="F3420" i="25"/>
  <c r="F3419" i="25"/>
  <c r="F3418" i="25"/>
  <c r="F3417" i="25"/>
  <c r="F3416" i="25"/>
  <c r="F3415" i="25"/>
  <c r="F3414" i="25"/>
  <c r="F3413" i="25"/>
  <c r="F3412" i="25"/>
  <c r="F3411" i="25"/>
  <c r="F3410" i="25"/>
  <c r="F3409" i="25"/>
  <c r="F3408" i="25"/>
  <c r="F3407" i="25"/>
  <c r="F3406" i="25"/>
  <c r="F3405" i="25"/>
  <c r="F3404" i="25"/>
  <c r="F3403" i="25"/>
  <c r="F3402" i="25"/>
  <c r="F3401" i="25"/>
  <c r="F3400" i="25"/>
  <c r="F3399" i="25"/>
  <c r="F3398" i="25"/>
  <c r="F3397" i="25"/>
  <c r="F3396" i="25"/>
  <c r="F3395" i="25"/>
  <c r="F3394" i="25"/>
  <c r="F3393" i="25"/>
  <c r="F3392" i="25"/>
  <c r="F3391" i="25"/>
  <c r="F3390" i="25"/>
  <c r="F3389" i="25"/>
  <c r="F3388" i="25"/>
  <c r="F3387" i="25"/>
  <c r="F3386" i="25"/>
  <c r="F3385" i="25"/>
  <c r="F3384" i="25"/>
  <c r="F3383" i="25"/>
  <c r="F3382" i="25"/>
  <c r="F3381" i="25"/>
  <c r="F3380" i="25"/>
  <c r="F3379" i="25"/>
  <c r="F3378" i="25"/>
  <c r="F3377" i="25"/>
  <c r="F3376" i="25"/>
  <c r="F3375" i="25"/>
  <c r="F3374" i="25"/>
  <c r="F3373" i="25"/>
  <c r="F3372" i="25"/>
  <c r="F3371" i="25"/>
  <c r="F3370" i="25"/>
  <c r="F3369" i="25"/>
  <c r="F3368" i="25"/>
  <c r="F3367" i="25"/>
  <c r="F3366" i="25"/>
  <c r="F3365" i="25"/>
  <c r="F3364" i="25"/>
  <c r="F3363" i="25"/>
  <c r="F3362" i="25"/>
  <c r="F3361" i="25"/>
  <c r="F3360" i="25"/>
  <c r="F3359" i="25"/>
  <c r="F3358" i="25"/>
  <c r="F3357" i="25"/>
  <c r="F3356" i="25"/>
  <c r="F3355" i="25"/>
  <c r="F3354" i="25"/>
  <c r="F3353" i="25"/>
  <c r="F3352" i="25"/>
  <c r="F3351" i="25"/>
  <c r="F3350" i="25"/>
  <c r="F3349" i="25"/>
  <c r="F3348" i="25"/>
  <c r="F3347" i="25"/>
  <c r="F3346" i="25"/>
  <c r="F3345" i="25"/>
  <c r="F3344" i="25"/>
  <c r="F3343" i="25"/>
  <c r="F3342" i="25"/>
  <c r="F3341" i="25"/>
  <c r="F3340" i="25"/>
  <c r="F3339" i="25"/>
  <c r="F3338" i="25"/>
  <c r="F3337" i="25"/>
  <c r="F3336" i="25"/>
  <c r="F3335" i="25"/>
  <c r="F3334" i="25"/>
  <c r="F3333" i="25"/>
  <c r="F3332" i="25"/>
  <c r="F3331" i="25"/>
  <c r="F3330" i="25"/>
  <c r="F3329" i="25"/>
  <c r="F3328" i="25"/>
  <c r="F3327" i="25"/>
  <c r="F3326" i="25"/>
  <c r="F3325" i="25"/>
  <c r="F3324" i="25"/>
  <c r="F3323" i="25"/>
  <c r="F3322" i="25"/>
  <c r="F3321" i="25"/>
  <c r="F3320" i="25"/>
  <c r="F3319" i="25"/>
  <c r="F3318" i="25"/>
  <c r="F3317" i="25"/>
  <c r="F3316" i="25"/>
  <c r="F3315" i="25"/>
  <c r="F3314" i="25"/>
  <c r="F3313" i="25"/>
  <c r="F3312" i="25"/>
  <c r="F3311" i="25"/>
  <c r="F3310" i="25"/>
  <c r="F3309" i="25"/>
  <c r="F3308" i="25"/>
  <c r="F3307" i="25"/>
  <c r="F3306" i="25"/>
  <c r="F3305" i="25"/>
  <c r="F3304" i="25"/>
  <c r="F3303" i="25"/>
  <c r="F3302" i="25"/>
  <c r="F3301" i="25"/>
  <c r="F3300" i="25"/>
  <c r="F3299" i="25"/>
  <c r="F3298" i="25"/>
  <c r="F3297" i="25"/>
  <c r="F3296" i="25"/>
  <c r="F3295" i="25"/>
  <c r="F3294" i="25"/>
  <c r="F3293" i="25"/>
  <c r="F3292" i="25"/>
  <c r="F3291" i="25"/>
  <c r="F3290" i="25"/>
  <c r="F3289" i="25"/>
  <c r="F3288" i="25"/>
  <c r="F3287" i="25"/>
  <c r="F3286" i="25"/>
  <c r="F3285" i="25"/>
  <c r="F3284" i="25"/>
  <c r="F3283" i="25"/>
  <c r="F3282" i="25"/>
  <c r="F3281" i="25"/>
  <c r="F3280" i="25"/>
  <c r="F3279" i="25"/>
  <c r="F3278" i="25"/>
  <c r="F3277" i="25"/>
  <c r="F3276" i="25"/>
  <c r="F3275" i="25"/>
  <c r="F3274" i="25"/>
  <c r="F3273" i="25"/>
  <c r="F3272" i="25"/>
  <c r="F3271" i="25"/>
  <c r="F3270" i="25"/>
  <c r="F3269" i="25"/>
  <c r="F3268" i="25"/>
  <c r="F3267" i="25"/>
  <c r="F3266" i="25"/>
  <c r="F3265" i="25"/>
  <c r="F3264" i="25"/>
  <c r="F3263" i="25"/>
  <c r="F3262" i="25"/>
  <c r="F3261" i="25"/>
  <c r="F3260" i="25"/>
  <c r="F3259" i="25"/>
  <c r="F3258" i="25"/>
  <c r="F3257" i="25"/>
  <c r="F3256" i="25"/>
  <c r="F3255" i="25"/>
  <c r="F3254" i="25"/>
  <c r="F3253" i="25"/>
  <c r="F3252" i="25"/>
  <c r="F3251" i="25"/>
  <c r="F3250" i="25"/>
  <c r="F3249" i="25"/>
  <c r="F3248" i="25"/>
  <c r="F3247" i="25"/>
  <c r="F3246" i="25"/>
  <c r="F3245" i="25"/>
  <c r="F3244" i="25"/>
  <c r="F3243" i="25"/>
  <c r="F3242" i="25"/>
  <c r="F3241" i="25"/>
  <c r="F3240" i="25"/>
  <c r="F3239" i="25"/>
  <c r="F3238" i="25"/>
  <c r="F3237" i="25"/>
  <c r="F3236" i="25"/>
  <c r="F3235" i="25"/>
  <c r="F3234" i="25"/>
  <c r="F3233" i="25"/>
  <c r="F3232" i="25"/>
  <c r="F3231" i="25"/>
  <c r="F3230" i="25"/>
  <c r="F3229" i="25"/>
  <c r="F3228" i="25"/>
  <c r="F3227" i="25"/>
  <c r="F3226" i="25"/>
  <c r="F3225" i="25"/>
  <c r="F3224" i="25"/>
  <c r="F3223" i="25"/>
  <c r="F3222" i="25"/>
  <c r="F3221" i="25"/>
  <c r="F3220" i="25"/>
  <c r="F3219" i="25"/>
  <c r="F3218" i="25"/>
  <c r="F3217" i="25"/>
  <c r="F3216" i="25"/>
  <c r="F3215" i="25"/>
  <c r="F3214" i="25"/>
  <c r="F3213" i="25"/>
  <c r="F3212" i="25"/>
  <c r="F3211" i="25"/>
  <c r="F3210" i="25"/>
  <c r="F3209" i="25"/>
  <c r="F3208" i="25"/>
  <c r="F3207" i="25"/>
  <c r="F3206" i="25"/>
  <c r="F3205" i="25"/>
  <c r="F3204" i="25"/>
  <c r="F3203" i="25"/>
  <c r="F3202" i="25"/>
  <c r="F3201" i="25"/>
  <c r="F3200" i="25"/>
  <c r="F3199" i="25"/>
  <c r="F3198" i="25"/>
  <c r="F3197" i="25"/>
  <c r="F3196" i="25"/>
  <c r="F3195" i="25"/>
  <c r="F3194" i="25"/>
  <c r="F3193" i="25"/>
  <c r="F3192" i="25"/>
  <c r="F3191" i="25"/>
  <c r="F3190" i="25"/>
  <c r="F3189" i="25"/>
  <c r="F3188" i="25"/>
  <c r="F3187" i="25"/>
  <c r="F3186" i="25"/>
  <c r="F3185" i="25"/>
  <c r="F3184" i="25"/>
  <c r="F3183" i="25"/>
  <c r="F3182" i="25"/>
  <c r="F3181" i="25"/>
  <c r="F3180" i="25"/>
  <c r="F3179" i="25"/>
  <c r="F3178" i="25"/>
  <c r="F3177" i="25"/>
  <c r="F3176" i="25"/>
  <c r="F3175" i="25"/>
  <c r="F3174" i="25"/>
  <c r="F3173" i="25"/>
  <c r="F3172" i="25"/>
  <c r="F3171" i="25"/>
  <c r="F3170" i="25"/>
  <c r="F3169" i="25"/>
  <c r="F3168" i="25"/>
  <c r="F3167" i="25"/>
  <c r="F3166" i="25"/>
  <c r="F3165" i="25"/>
  <c r="F3164" i="25"/>
  <c r="F3163" i="25"/>
  <c r="F3162" i="25"/>
  <c r="F3161" i="25"/>
  <c r="F3160" i="25"/>
  <c r="F3159" i="25"/>
  <c r="F3158" i="25"/>
  <c r="F3157" i="25"/>
  <c r="F3156" i="25"/>
  <c r="F3155" i="25"/>
  <c r="F3154" i="25"/>
  <c r="F3153" i="25"/>
  <c r="F3152" i="25"/>
  <c r="F3151" i="25"/>
  <c r="F3150" i="25"/>
  <c r="F3149" i="25"/>
  <c r="F3148" i="25"/>
  <c r="F3147" i="25"/>
  <c r="F3146" i="25"/>
  <c r="F3145" i="25"/>
  <c r="F3144" i="25"/>
  <c r="F3143" i="25"/>
  <c r="F3142" i="25"/>
  <c r="F3141" i="25"/>
  <c r="F3140" i="25"/>
  <c r="F3139" i="25"/>
  <c r="F3138" i="25"/>
  <c r="F3137" i="25"/>
  <c r="F3136" i="25"/>
  <c r="F3135" i="25"/>
  <c r="F3134" i="25"/>
  <c r="F3133" i="25"/>
  <c r="F3132" i="25"/>
  <c r="F3131" i="25"/>
  <c r="F3130" i="25"/>
  <c r="F3129" i="25"/>
  <c r="F3128" i="25"/>
  <c r="F3127" i="25"/>
  <c r="F3126" i="25"/>
  <c r="F3125" i="25"/>
  <c r="F3124" i="25"/>
  <c r="F3123" i="25"/>
  <c r="F3122" i="25"/>
  <c r="F3121" i="25"/>
  <c r="F3120" i="25"/>
  <c r="F3119" i="25"/>
  <c r="F3118" i="25"/>
  <c r="F3117" i="25"/>
  <c r="F3116" i="25"/>
  <c r="F3115" i="25"/>
  <c r="F3114" i="25"/>
  <c r="F3113" i="25"/>
  <c r="F3112" i="25"/>
  <c r="F3111" i="25"/>
  <c r="F3110" i="25"/>
  <c r="F3109" i="25"/>
  <c r="F3108" i="25"/>
  <c r="F3107" i="25"/>
  <c r="F3106" i="25"/>
  <c r="F3105" i="25"/>
  <c r="F3104" i="25"/>
  <c r="F3103" i="25"/>
  <c r="F3102" i="25"/>
  <c r="F3101" i="25"/>
  <c r="F3100" i="25"/>
  <c r="F3099" i="25"/>
  <c r="F3098" i="25"/>
  <c r="F3097" i="25"/>
  <c r="F3096" i="25"/>
  <c r="F3095" i="25"/>
  <c r="F3094" i="25"/>
  <c r="F3093" i="25"/>
  <c r="F3092" i="25"/>
  <c r="F3091" i="25"/>
  <c r="F3090" i="25"/>
  <c r="F3089" i="25"/>
  <c r="F3088" i="25"/>
  <c r="F3087" i="25"/>
  <c r="F3086" i="25"/>
  <c r="F3085" i="25"/>
  <c r="F3084" i="25"/>
  <c r="F3083" i="25"/>
  <c r="F3082" i="25"/>
  <c r="F3081" i="25"/>
  <c r="F3080" i="25"/>
  <c r="F3079" i="25"/>
  <c r="F3078" i="25"/>
  <c r="F3077" i="25"/>
  <c r="F3076" i="25"/>
  <c r="F3075" i="25"/>
  <c r="F3074" i="25"/>
  <c r="F3073" i="25"/>
  <c r="F3072" i="25"/>
  <c r="F3071" i="25"/>
  <c r="F3070" i="25"/>
  <c r="F3069" i="25"/>
  <c r="F3068" i="25"/>
  <c r="F3067" i="25"/>
  <c r="F3066" i="25"/>
  <c r="F3065" i="25"/>
  <c r="F3064" i="25"/>
  <c r="F3063" i="25"/>
  <c r="F3062" i="25"/>
  <c r="F3061" i="25"/>
  <c r="F3060" i="25"/>
  <c r="F3059" i="25"/>
  <c r="F3058" i="25"/>
  <c r="F3057" i="25"/>
  <c r="F3056" i="25"/>
  <c r="F3055" i="25"/>
  <c r="F3054" i="25"/>
  <c r="F3053" i="25"/>
  <c r="F3052" i="25"/>
  <c r="F3051" i="25"/>
  <c r="F3050" i="25"/>
  <c r="F3049" i="25"/>
  <c r="F3048" i="25"/>
  <c r="F3047" i="25"/>
  <c r="F3046" i="25"/>
  <c r="F3045" i="25"/>
  <c r="F3044" i="25"/>
  <c r="F3043" i="25"/>
  <c r="F3042" i="25"/>
  <c r="F3041" i="25"/>
  <c r="F3040" i="25"/>
  <c r="F3039" i="25"/>
  <c r="F3038" i="25"/>
  <c r="F3037" i="25"/>
  <c r="F3036" i="25"/>
  <c r="F3035" i="25"/>
  <c r="F3034" i="25"/>
  <c r="F3033" i="25"/>
  <c r="F3032" i="25"/>
  <c r="F3031" i="25"/>
  <c r="F3030" i="25"/>
  <c r="F3029" i="25"/>
  <c r="F3028" i="25"/>
  <c r="F3027" i="25"/>
  <c r="F3026" i="25"/>
  <c r="F3025" i="25"/>
  <c r="F3024" i="25"/>
  <c r="F3023" i="25"/>
  <c r="F3022" i="25"/>
  <c r="F3021" i="25"/>
  <c r="F3020" i="25"/>
  <c r="F3019" i="25"/>
  <c r="F3018" i="25"/>
  <c r="F3017" i="25"/>
  <c r="F3016" i="25"/>
  <c r="F3015" i="25"/>
  <c r="F3014" i="25"/>
  <c r="F3013" i="25"/>
  <c r="F3012" i="25"/>
  <c r="F3011" i="25"/>
  <c r="F3010" i="25"/>
  <c r="F3009" i="25"/>
  <c r="F3008" i="25"/>
  <c r="F3007" i="25"/>
  <c r="F3006" i="25"/>
  <c r="F3005" i="25"/>
  <c r="F3004" i="25"/>
  <c r="F3003" i="25"/>
  <c r="F3002" i="25"/>
  <c r="F3001" i="25"/>
  <c r="F3000" i="25"/>
  <c r="F2999" i="25"/>
  <c r="F2998" i="25"/>
  <c r="F2997" i="25"/>
  <c r="F2996" i="25"/>
  <c r="F2995" i="25"/>
  <c r="F2994" i="25"/>
  <c r="F2993" i="25"/>
  <c r="F2992" i="25"/>
  <c r="F2991" i="25"/>
  <c r="F2990" i="25"/>
  <c r="F2989" i="25"/>
  <c r="F2988" i="25"/>
  <c r="F2987" i="25"/>
  <c r="F2986" i="25"/>
  <c r="F2985" i="25"/>
  <c r="F2984" i="25"/>
  <c r="F2983" i="25"/>
  <c r="F2982" i="25"/>
  <c r="F2981" i="25"/>
  <c r="F2980" i="25"/>
  <c r="F2979" i="25"/>
  <c r="F2978" i="25"/>
  <c r="F2977" i="25"/>
  <c r="F2976" i="25"/>
  <c r="F2975" i="25"/>
  <c r="F2974" i="25"/>
  <c r="F2973" i="25"/>
  <c r="F2972" i="25"/>
  <c r="F2971" i="25"/>
  <c r="F2970" i="25"/>
  <c r="F2969" i="25"/>
  <c r="F2968" i="25"/>
  <c r="F2967" i="25"/>
  <c r="F2966" i="25"/>
  <c r="F2965" i="25"/>
  <c r="F2964" i="25"/>
  <c r="F2963" i="25"/>
  <c r="F2962" i="25"/>
  <c r="F2961" i="25"/>
  <c r="F2960" i="25"/>
  <c r="F2959" i="25"/>
  <c r="F2958" i="25"/>
  <c r="F2957" i="25"/>
  <c r="F2956" i="25"/>
  <c r="F2955" i="25"/>
  <c r="F2954" i="25"/>
  <c r="F2953" i="25"/>
  <c r="F2952" i="25"/>
  <c r="F2951" i="25"/>
  <c r="F2950" i="25"/>
  <c r="F2949" i="25"/>
  <c r="F2948" i="25"/>
  <c r="F2947" i="25"/>
  <c r="F2946" i="25"/>
  <c r="F2945" i="25"/>
  <c r="F2944" i="25"/>
  <c r="F2943" i="25"/>
  <c r="F2942" i="25"/>
  <c r="F2941" i="25"/>
  <c r="F2940" i="25"/>
  <c r="F2939" i="25"/>
  <c r="F2938" i="25"/>
  <c r="F2937" i="25"/>
  <c r="F2936" i="25"/>
  <c r="F2935" i="25"/>
  <c r="F2934" i="25"/>
  <c r="F2933" i="25"/>
  <c r="F2932" i="25"/>
  <c r="F2931" i="25"/>
  <c r="F2930" i="25"/>
  <c r="F2929" i="25"/>
  <c r="F2928" i="25"/>
  <c r="F2927" i="25"/>
  <c r="F2926" i="25"/>
  <c r="F2925" i="25"/>
  <c r="F2924" i="25"/>
  <c r="F2923" i="25"/>
  <c r="F2922" i="25"/>
  <c r="F2921" i="25"/>
  <c r="F2920" i="25"/>
  <c r="F2919" i="25"/>
  <c r="F2918" i="25"/>
  <c r="F2917" i="25"/>
  <c r="F2916" i="25"/>
  <c r="F2915" i="25"/>
  <c r="F2914" i="25"/>
  <c r="F2913" i="25"/>
  <c r="F2912" i="25"/>
  <c r="F2911" i="25"/>
  <c r="F2910" i="25"/>
  <c r="F2909" i="25"/>
  <c r="F2908" i="25"/>
  <c r="F2907" i="25"/>
  <c r="F2906" i="25"/>
  <c r="F2905" i="25"/>
  <c r="F2904" i="25"/>
  <c r="F2903" i="25"/>
  <c r="F2902" i="25"/>
  <c r="F2901" i="25"/>
  <c r="F2900" i="25"/>
  <c r="F2899" i="25"/>
  <c r="F2898" i="25"/>
  <c r="F2897" i="25"/>
  <c r="F2896" i="25"/>
  <c r="F2895" i="25"/>
  <c r="F2894" i="25"/>
  <c r="F2893" i="25"/>
  <c r="F2892" i="25"/>
  <c r="F2891" i="25"/>
  <c r="F2890" i="25"/>
  <c r="F2889" i="25"/>
  <c r="F2888" i="25"/>
  <c r="F2887" i="25"/>
  <c r="F2886" i="25"/>
  <c r="F2885" i="25"/>
  <c r="F2884" i="25"/>
  <c r="F2883" i="25"/>
  <c r="F2882" i="25"/>
  <c r="F2881" i="25"/>
  <c r="F2880" i="25"/>
  <c r="F2879" i="25"/>
  <c r="F2878" i="25"/>
  <c r="F2877" i="25"/>
  <c r="F2876" i="25"/>
  <c r="F2875" i="25"/>
  <c r="F2874" i="25"/>
  <c r="F2873" i="25"/>
  <c r="F2872" i="25"/>
  <c r="F2871" i="25"/>
  <c r="F2870" i="25"/>
  <c r="F2869" i="25"/>
  <c r="F2868" i="25"/>
  <c r="F2867" i="25"/>
  <c r="F2866" i="25"/>
  <c r="F2865" i="25"/>
  <c r="F2864" i="25"/>
  <c r="F2863" i="25"/>
  <c r="F2862" i="25"/>
  <c r="F2861" i="25"/>
  <c r="F2860" i="25"/>
  <c r="F2859" i="25"/>
  <c r="F2858" i="25"/>
  <c r="F2857" i="25"/>
  <c r="F2856" i="25"/>
  <c r="F2855" i="25"/>
  <c r="F2854" i="25"/>
  <c r="F2853" i="25"/>
  <c r="F2852" i="25"/>
  <c r="F2851" i="25"/>
  <c r="F2850" i="25"/>
  <c r="F2849" i="25"/>
  <c r="F2848" i="25"/>
  <c r="F2847" i="25"/>
  <c r="F2846" i="25"/>
  <c r="F2845" i="25"/>
  <c r="F2844" i="25"/>
  <c r="F2843" i="25"/>
  <c r="F2842" i="25"/>
  <c r="F2841" i="25"/>
  <c r="F2840" i="25"/>
  <c r="F2839" i="25"/>
  <c r="F2838" i="25"/>
  <c r="F2837" i="25"/>
  <c r="F2836" i="25"/>
  <c r="F2835" i="25"/>
  <c r="F2834" i="25"/>
  <c r="F2833" i="25"/>
  <c r="F2832" i="25"/>
  <c r="F2831" i="25"/>
  <c r="F2830" i="25"/>
  <c r="F2829" i="25"/>
  <c r="F2828" i="25"/>
  <c r="F2827" i="25"/>
  <c r="F2826" i="25"/>
  <c r="F2825" i="25"/>
  <c r="F2824" i="25"/>
  <c r="F2823" i="25"/>
  <c r="F2822" i="25"/>
  <c r="F2821" i="25"/>
  <c r="F2820" i="25"/>
  <c r="F2819" i="25"/>
  <c r="F2818" i="25"/>
  <c r="F2817" i="25"/>
  <c r="F2816" i="25"/>
  <c r="F2815" i="25"/>
  <c r="F2814" i="25"/>
  <c r="F2813" i="25"/>
  <c r="F2812" i="25"/>
  <c r="F2811" i="25"/>
  <c r="F2810" i="25"/>
  <c r="F2809" i="25"/>
  <c r="F2808" i="25"/>
  <c r="F2807" i="25"/>
  <c r="F2806" i="25"/>
  <c r="F2805" i="25"/>
  <c r="F2804" i="25"/>
  <c r="F2803" i="25"/>
  <c r="F2802" i="25"/>
  <c r="F2801" i="25"/>
  <c r="F2800" i="25"/>
  <c r="F2799" i="25"/>
  <c r="F2798" i="25"/>
  <c r="F2797" i="25"/>
  <c r="F2796" i="25"/>
  <c r="F2795" i="25"/>
  <c r="F2794" i="25"/>
  <c r="F2793" i="25"/>
  <c r="F2792" i="25"/>
  <c r="F2791" i="25"/>
  <c r="F2790" i="25"/>
  <c r="F2789" i="25"/>
  <c r="F2788" i="25"/>
  <c r="F2787" i="25"/>
  <c r="F2786" i="25"/>
  <c r="F2785" i="25"/>
  <c r="F2784" i="25"/>
  <c r="F2783" i="25"/>
  <c r="F2782" i="25"/>
  <c r="F2781" i="25"/>
  <c r="F2780" i="25"/>
  <c r="F2779" i="25"/>
  <c r="F2778" i="25"/>
  <c r="F2777" i="25"/>
  <c r="F2776" i="25"/>
  <c r="F2775" i="25"/>
  <c r="F2774" i="25"/>
  <c r="F2773" i="25"/>
  <c r="F2772" i="25"/>
  <c r="F2771" i="25"/>
  <c r="F2770" i="25"/>
  <c r="F2769" i="25"/>
  <c r="F2768" i="25"/>
  <c r="F2767" i="25"/>
  <c r="F2766" i="25"/>
  <c r="F2765" i="25"/>
  <c r="F2764" i="25"/>
  <c r="F2763" i="25"/>
  <c r="F2762" i="25"/>
  <c r="F2761" i="25"/>
  <c r="F2760" i="25"/>
  <c r="F2759" i="25"/>
  <c r="F2758" i="25"/>
  <c r="F2757" i="25"/>
  <c r="F2756" i="25"/>
  <c r="F2755" i="25"/>
  <c r="F2754" i="25"/>
  <c r="F2753" i="25"/>
  <c r="F2752" i="25"/>
  <c r="F2751" i="25"/>
  <c r="F2750" i="25"/>
  <c r="F2749" i="25"/>
  <c r="F2748" i="25"/>
  <c r="F2747" i="25"/>
  <c r="F2746" i="25"/>
  <c r="F2745" i="25"/>
  <c r="F2744" i="25"/>
  <c r="F2743" i="25"/>
  <c r="F2742" i="25"/>
  <c r="F2741" i="25"/>
  <c r="F2740" i="25"/>
  <c r="F2739" i="25"/>
  <c r="F2738" i="25"/>
  <c r="F2737" i="25"/>
  <c r="F2736" i="25"/>
  <c r="F2735" i="25"/>
  <c r="F2734" i="25"/>
  <c r="F2733" i="25"/>
  <c r="F2732" i="25"/>
  <c r="F2731" i="25"/>
  <c r="F2730" i="25"/>
  <c r="F2729" i="25"/>
  <c r="F2728" i="25"/>
  <c r="F2727" i="25"/>
  <c r="F2726" i="25"/>
  <c r="F2725" i="25"/>
  <c r="F2724" i="25"/>
  <c r="F2723" i="25"/>
  <c r="F2722" i="25"/>
  <c r="F2721" i="25"/>
  <c r="F2720" i="25"/>
  <c r="F2719" i="25"/>
  <c r="F2718" i="25"/>
  <c r="F2717" i="25"/>
  <c r="F2716" i="25"/>
  <c r="F2715" i="25"/>
  <c r="F2714" i="25"/>
  <c r="F2713" i="25"/>
  <c r="F2712" i="25"/>
  <c r="F2711" i="25"/>
  <c r="F2710" i="25"/>
  <c r="F2709" i="25"/>
  <c r="F2708" i="25"/>
  <c r="F2707" i="25"/>
  <c r="F2706" i="25"/>
  <c r="F2705" i="25"/>
  <c r="F2704" i="25"/>
  <c r="F2703" i="25"/>
  <c r="F2702" i="25"/>
  <c r="F2701" i="25"/>
  <c r="F2700" i="25"/>
  <c r="F2699" i="25"/>
  <c r="F2698" i="25"/>
  <c r="F2697" i="25"/>
  <c r="F2696" i="25"/>
  <c r="F2695" i="25"/>
  <c r="F2694" i="25"/>
  <c r="F2693" i="25"/>
  <c r="F2692" i="25"/>
  <c r="F2691" i="25"/>
  <c r="F2690" i="25"/>
  <c r="F2689" i="25"/>
  <c r="F2688" i="25"/>
  <c r="F2687" i="25"/>
  <c r="F2686" i="25"/>
  <c r="F2685" i="25"/>
  <c r="F2684" i="25"/>
  <c r="F2683" i="25"/>
  <c r="F2682" i="25"/>
  <c r="F2681" i="25"/>
  <c r="F2680" i="25"/>
  <c r="F2679" i="25"/>
  <c r="F2678" i="25"/>
  <c r="F2677" i="25"/>
  <c r="F2676" i="25"/>
  <c r="F2675" i="25"/>
  <c r="F2674" i="25"/>
  <c r="F2673" i="25"/>
  <c r="F2672" i="25"/>
  <c r="F2671" i="25"/>
  <c r="F2670" i="25"/>
  <c r="F2669" i="25"/>
  <c r="F2668" i="25"/>
  <c r="F2667" i="25"/>
  <c r="F2666" i="25"/>
  <c r="F2665" i="25"/>
  <c r="F2664" i="25"/>
  <c r="F2663" i="25"/>
  <c r="F2662" i="25"/>
  <c r="F2661" i="25"/>
  <c r="F2660" i="25"/>
  <c r="F2659" i="25"/>
  <c r="F2658" i="25"/>
  <c r="F2657" i="25"/>
  <c r="F2656" i="25"/>
  <c r="F2655" i="25"/>
  <c r="F2654" i="25"/>
  <c r="F2653" i="25"/>
  <c r="F2652" i="25"/>
  <c r="F2651" i="25"/>
  <c r="F2650" i="25"/>
  <c r="F2649" i="25"/>
  <c r="F2648" i="25"/>
  <c r="F2647" i="25"/>
  <c r="F2646" i="25"/>
  <c r="F2645" i="25"/>
  <c r="F2644" i="25"/>
  <c r="F2643" i="25"/>
  <c r="F2642" i="25"/>
  <c r="F2641" i="25"/>
  <c r="F2640" i="25"/>
  <c r="F2639" i="25"/>
  <c r="F2638" i="25"/>
  <c r="F2637" i="25"/>
  <c r="F2636" i="25"/>
  <c r="F2635" i="25"/>
  <c r="F2634" i="25"/>
  <c r="F2633" i="25"/>
  <c r="F2632" i="25"/>
  <c r="F2631" i="25"/>
  <c r="F2630" i="25"/>
  <c r="F2629" i="25"/>
  <c r="F2628" i="25"/>
  <c r="F2627" i="25"/>
  <c r="F2626" i="25"/>
  <c r="F2625" i="25"/>
  <c r="F2624" i="25"/>
  <c r="F2623" i="25"/>
  <c r="F2622" i="25"/>
  <c r="F2621" i="25"/>
  <c r="F2620" i="25"/>
  <c r="F2619" i="25"/>
  <c r="F2618" i="25"/>
  <c r="F2617" i="25"/>
  <c r="F2616" i="25"/>
  <c r="F2615" i="25"/>
  <c r="F2614" i="25"/>
  <c r="F2613" i="25"/>
  <c r="F2612" i="25"/>
  <c r="F2611" i="25"/>
  <c r="F2610" i="25"/>
  <c r="F2609" i="25"/>
  <c r="F2608" i="25"/>
  <c r="F2607" i="25"/>
  <c r="F2606" i="25"/>
  <c r="F2605" i="25"/>
  <c r="F2604" i="25"/>
  <c r="F2603" i="25"/>
  <c r="F2602" i="25"/>
  <c r="F2601" i="25"/>
  <c r="F2600" i="25"/>
  <c r="F2599" i="25"/>
  <c r="F2598" i="25"/>
  <c r="F2597" i="25"/>
  <c r="F2596" i="25"/>
  <c r="F2595" i="25"/>
  <c r="F2594" i="25"/>
  <c r="F2593" i="25"/>
  <c r="F2592" i="25"/>
  <c r="F2591" i="25"/>
  <c r="F2590" i="25"/>
  <c r="F2589" i="25"/>
  <c r="F2588" i="25"/>
  <c r="F2587" i="25"/>
  <c r="F2586" i="25"/>
  <c r="F2585" i="25"/>
  <c r="F2584" i="25"/>
  <c r="F2583" i="25"/>
  <c r="F2582" i="25"/>
  <c r="F2581" i="25"/>
  <c r="F2580" i="25"/>
  <c r="F2579" i="25"/>
  <c r="F2578" i="25"/>
  <c r="F2577" i="25"/>
  <c r="F2576" i="25"/>
  <c r="F2575" i="25"/>
  <c r="F2574" i="25"/>
  <c r="F2573" i="25"/>
  <c r="F2572" i="25"/>
  <c r="F2571" i="25"/>
  <c r="F2570" i="25"/>
  <c r="F2569" i="25"/>
  <c r="F2568" i="25"/>
  <c r="F2567" i="25"/>
  <c r="F2566" i="25"/>
  <c r="F2565" i="25"/>
  <c r="F2564" i="25"/>
  <c r="F2563" i="25"/>
  <c r="F2562" i="25"/>
  <c r="F2561" i="25"/>
  <c r="F2560" i="25"/>
  <c r="F2559" i="25"/>
  <c r="F2558" i="25"/>
  <c r="F2557" i="25"/>
  <c r="F2556" i="25"/>
  <c r="F2555" i="25"/>
  <c r="F2554" i="25"/>
  <c r="F2553" i="25"/>
  <c r="F2552" i="25"/>
  <c r="F2551" i="25"/>
  <c r="F2550" i="25"/>
  <c r="F2549" i="25"/>
  <c r="F2548" i="25"/>
  <c r="F2547" i="25"/>
  <c r="F2546" i="25"/>
  <c r="F2545" i="25"/>
  <c r="F2544" i="25"/>
  <c r="F2543" i="25"/>
  <c r="F2542" i="25"/>
  <c r="F2541" i="25"/>
  <c r="F2540" i="25"/>
  <c r="F2539" i="25"/>
  <c r="F2538" i="25"/>
  <c r="F2537" i="25"/>
  <c r="F2536" i="25"/>
  <c r="F2535" i="25"/>
  <c r="F2534" i="25"/>
  <c r="F2533" i="25"/>
  <c r="F2532" i="25"/>
  <c r="F2531" i="25"/>
  <c r="F2530" i="25"/>
  <c r="F2529" i="25"/>
  <c r="F2528" i="25"/>
  <c r="F2527" i="25"/>
  <c r="F2526" i="25"/>
  <c r="F2525" i="25"/>
  <c r="F2524" i="25"/>
  <c r="F2523" i="25"/>
  <c r="F2522" i="25"/>
  <c r="F2521" i="25"/>
  <c r="F2520" i="25"/>
  <c r="F2519" i="25"/>
  <c r="F2518" i="25"/>
  <c r="F2517" i="25"/>
  <c r="F2516" i="25"/>
  <c r="F2515" i="25"/>
  <c r="F2514" i="25"/>
  <c r="F2513" i="25"/>
  <c r="F2512" i="25"/>
  <c r="F2511" i="25"/>
  <c r="F2510" i="25"/>
  <c r="F2509" i="25"/>
  <c r="F2508" i="25"/>
  <c r="F2507" i="25"/>
  <c r="F2506" i="25"/>
  <c r="F2505" i="25"/>
  <c r="F2504" i="25"/>
  <c r="F2503" i="25"/>
  <c r="F2502" i="25"/>
  <c r="F2501" i="25"/>
  <c r="F2500" i="25"/>
  <c r="F2499" i="25"/>
  <c r="F2498" i="25"/>
  <c r="F2497" i="25"/>
  <c r="F2496" i="25"/>
  <c r="F2495" i="25"/>
  <c r="F2494" i="25"/>
  <c r="F2493" i="25"/>
  <c r="F2492" i="25"/>
  <c r="F2491" i="25"/>
  <c r="F2490" i="25"/>
  <c r="F2489" i="25"/>
  <c r="F2488" i="25"/>
  <c r="F2487" i="25"/>
  <c r="F2486" i="25"/>
  <c r="F2485" i="25"/>
  <c r="F2484" i="25"/>
  <c r="F2483" i="25"/>
  <c r="F2482" i="25"/>
  <c r="F2481" i="25"/>
  <c r="F2480" i="25"/>
  <c r="F2479" i="25"/>
  <c r="F2478" i="25"/>
  <c r="F2477" i="25"/>
  <c r="F2476" i="25"/>
  <c r="F2475" i="25"/>
  <c r="F2474" i="25"/>
  <c r="F2473" i="25"/>
  <c r="F2472" i="25"/>
  <c r="F2471" i="25"/>
  <c r="F2470" i="25"/>
  <c r="F2469" i="25"/>
  <c r="F2468" i="25"/>
  <c r="F2467" i="25"/>
  <c r="F2466" i="25"/>
  <c r="F2465" i="25"/>
  <c r="F2464" i="25"/>
  <c r="F2463" i="25"/>
  <c r="F2462" i="25"/>
  <c r="F2461" i="25"/>
  <c r="F2460" i="25"/>
  <c r="F2459" i="25"/>
  <c r="F2458" i="25"/>
  <c r="F2457" i="25"/>
  <c r="F2456" i="25"/>
  <c r="F2455" i="25"/>
  <c r="F2454" i="25"/>
  <c r="F2453" i="25"/>
  <c r="F2452" i="25"/>
  <c r="F2451" i="25"/>
  <c r="F2450" i="25"/>
  <c r="F2449" i="25"/>
  <c r="F2448" i="25"/>
  <c r="F2447" i="25"/>
  <c r="F2446" i="25"/>
  <c r="F2445" i="25"/>
  <c r="F2444" i="25"/>
  <c r="F2443" i="25"/>
  <c r="F2442" i="25"/>
  <c r="F2441" i="25"/>
  <c r="F2440" i="25"/>
  <c r="F2439" i="25"/>
  <c r="F2438" i="25"/>
  <c r="F2437" i="25"/>
  <c r="F2436" i="25"/>
  <c r="F2435" i="25"/>
  <c r="F2434" i="25"/>
  <c r="F2433" i="25"/>
  <c r="F2432" i="25"/>
  <c r="F2431" i="25"/>
  <c r="F2430" i="25"/>
  <c r="F2429" i="25"/>
  <c r="F2428" i="25"/>
  <c r="F2427" i="25"/>
  <c r="F2426" i="25"/>
  <c r="F2425" i="25"/>
  <c r="F2424" i="25"/>
  <c r="F2423" i="25"/>
  <c r="F2422" i="25"/>
  <c r="F2421" i="25"/>
  <c r="F2420" i="25"/>
  <c r="F2419" i="25"/>
  <c r="F2418" i="25"/>
  <c r="F2417" i="25"/>
  <c r="F2416" i="25"/>
  <c r="F2415" i="25"/>
  <c r="F2414" i="25"/>
  <c r="F2413" i="25"/>
  <c r="F2412" i="25"/>
  <c r="F2411" i="25"/>
  <c r="F2410" i="25"/>
  <c r="F2409" i="25"/>
  <c r="F2408" i="25"/>
  <c r="F2407" i="25"/>
  <c r="F2406" i="25"/>
  <c r="F2405" i="25"/>
  <c r="F2404" i="25"/>
  <c r="F2403" i="25"/>
  <c r="F2402" i="25"/>
  <c r="F2401" i="25"/>
  <c r="F2400" i="25"/>
  <c r="F2399" i="25"/>
  <c r="F2398" i="25"/>
  <c r="F2397" i="25"/>
  <c r="F2396" i="25"/>
  <c r="F2395" i="25"/>
  <c r="F2394" i="25"/>
  <c r="F2393" i="25"/>
  <c r="F2392" i="25"/>
  <c r="F2391" i="25"/>
  <c r="F2390" i="25"/>
  <c r="F2389" i="25"/>
  <c r="F2388" i="25"/>
  <c r="F2387" i="25"/>
  <c r="F2386" i="25"/>
  <c r="F2385" i="25"/>
  <c r="F2384" i="25"/>
  <c r="F2383" i="25"/>
  <c r="F2382" i="25"/>
  <c r="F2381" i="25"/>
  <c r="F2380" i="25"/>
  <c r="F2379" i="25"/>
  <c r="F2378" i="25"/>
  <c r="F2377" i="25"/>
  <c r="F2376" i="25"/>
  <c r="F2375" i="25"/>
  <c r="F2374" i="25"/>
  <c r="F2373" i="25"/>
  <c r="F2372" i="25"/>
  <c r="F2371" i="25"/>
  <c r="F2370" i="25"/>
  <c r="F2369" i="25"/>
  <c r="F2368" i="25"/>
  <c r="F2367" i="25"/>
  <c r="F2366" i="25"/>
  <c r="F2365" i="25"/>
  <c r="F2364" i="25"/>
  <c r="F2363" i="25"/>
  <c r="F2362" i="25"/>
  <c r="F2361" i="25"/>
  <c r="F2360" i="25"/>
  <c r="F2359" i="25"/>
  <c r="F2358" i="25"/>
  <c r="F2357" i="25"/>
  <c r="F2356" i="25"/>
  <c r="F2355" i="25"/>
  <c r="F2354" i="25"/>
  <c r="F2353" i="25"/>
  <c r="F2352" i="25"/>
  <c r="F2351" i="25"/>
  <c r="F2350" i="25"/>
  <c r="F2349" i="25"/>
  <c r="F2348" i="25"/>
  <c r="F2347" i="25"/>
  <c r="F2346" i="25"/>
  <c r="F2345" i="25"/>
  <c r="F2344" i="25"/>
  <c r="F2343" i="25"/>
  <c r="F2342" i="25"/>
  <c r="F2341" i="25"/>
  <c r="F2340" i="25"/>
  <c r="F2339" i="25"/>
  <c r="F2338" i="25"/>
  <c r="F2337" i="25"/>
  <c r="F2336" i="25"/>
  <c r="F2335" i="25"/>
  <c r="F2334" i="25"/>
  <c r="F2333" i="25"/>
  <c r="F2332" i="25"/>
  <c r="F2331" i="25"/>
  <c r="F2330" i="25"/>
  <c r="F2329" i="25"/>
  <c r="F2328" i="25"/>
  <c r="F2327" i="25"/>
  <c r="F2326" i="25"/>
  <c r="F2325" i="25"/>
  <c r="F2324" i="25"/>
  <c r="F2323" i="25"/>
  <c r="F2322" i="25"/>
  <c r="F2321" i="25"/>
  <c r="F2320" i="25"/>
  <c r="F2319" i="25"/>
  <c r="F2318" i="25"/>
  <c r="F2317" i="25"/>
  <c r="F2316" i="25"/>
  <c r="F2315" i="25"/>
  <c r="F2314" i="25"/>
  <c r="F2313" i="25"/>
  <c r="F2312" i="25"/>
  <c r="F2311" i="25"/>
  <c r="F2310" i="25"/>
  <c r="F2309" i="25"/>
  <c r="F2308" i="25"/>
  <c r="F2307" i="25"/>
  <c r="F2306" i="25"/>
  <c r="F2305" i="25"/>
  <c r="F2304" i="25"/>
  <c r="F2303" i="25"/>
  <c r="F2302" i="25"/>
  <c r="F2301" i="25"/>
  <c r="F2300" i="25"/>
  <c r="F2299" i="25"/>
  <c r="F2298" i="25"/>
  <c r="F2297" i="25"/>
  <c r="F2296" i="25"/>
  <c r="F2295" i="25"/>
  <c r="F2294" i="25"/>
  <c r="F2293" i="25"/>
  <c r="F2292" i="25"/>
  <c r="F2291" i="25"/>
  <c r="F2290" i="25"/>
  <c r="F2289" i="25"/>
  <c r="F2288" i="25"/>
  <c r="F2287" i="25"/>
  <c r="F2286" i="25"/>
  <c r="F2285" i="25"/>
  <c r="F2284" i="25"/>
  <c r="F2283" i="25"/>
  <c r="F2282" i="25"/>
  <c r="F2281" i="25"/>
  <c r="F2280" i="25"/>
  <c r="F2279" i="25"/>
  <c r="F2278" i="25"/>
  <c r="F2277" i="25"/>
  <c r="F2276" i="25"/>
  <c r="F2275" i="25"/>
  <c r="F2274" i="25"/>
  <c r="F2273" i="25"/>
  <c r="F2272" i="25"/>
  <c r="F2271" i="25"/>
  <c r="F2270" i="25"/>
  <c r="F2269" i="25"/>
  <c r="F2268" i="25"/>
  <c r="F2267" i="25"/>
  <c r="F2266" i="25"/>
  <c r="F2265" i="25"/>
  <c r="F2264" i="25"/>
  <c r="F2263" i="25"/>
  <c r="F2262" i="25"/>
  <c r="F2261" i="25"/>
  <c r="F2260" i="25"/>
  <c r="F2259" i="25"/>
  <c r="F2258" i="25"/>
  <c r="F2257" i="25"/>
  <c r="F2256" i="25"/>
  <c r="F2255" i="25"/>
  <c r="F2254" i="25"/>
  <c r="F2253" i="25"/>
  <c r="F2252" i="25"/>
  <c r="F2251" i="25"/>
  <c r="F2250" i="25"/>
  <c r="F2249" i="25"/>
  <c r="F2248" i="25"/>
  <c r="F2247" i="25"/>
  <c r="F2246" i="25"/>
  <c r="F2245" i="25"/>
  <c r="F2244" i="25"/>
  <c r="F2243" i="25"/>
  <c r="F2242" i="25"/>
  <c r="F2241" i="25"/>
  <c r="F2240" i="25"/>
  <c r="F2239" i="25"/>
  <c r="F2238" i="25"/>
  <c r="F2237" i="25"/>
  <c r="F2236" i="25"/>
  <c r="F2235" i="25"/>
  <c r="F2234" i="25"/>
  <c r="F2233" i="25"/>
  <c r="F2232" i="25"/>
  <c r="F2231" i="25"/>
  <c r="F2230" i="25"/>
  <c r="F2229" i="25"/>
  <c r="F2228" i="25"/>
  <c r="F2227" i="25"/>
  <c r="F2226" i="25"/>
  <c r="F2225" i="25"/>
  <c r="F2224" i="25"/>
  <c r="F2223" i="25"/>
  <c r="F2222" i="25"/>
  <c r="F2221" i="25"/>
  <c r="F2220" i="25"/>
  <c r="F2219" i="25"/>
  <c r="F2218" i="25"/>
  <c r="F2217" i="25"/>
  <c r="F2216" i="25"/>
  <c r="F2215" i="25"/>
  <c r="F2214" i="25"/>
  <c r="F2213" i="25"/>
  <c r="F2212" i="25"/>
  <c r="F2211" i="25"/>
  <c r="F2210" i="25"/>
  <c r="F2209" i="25"/>
  <c r="F2208" i="25"/>
  <c r="F2207" i="25"/>
  <c r="F2206" i="25"/>
  <c r="F2205" i="25"/>
  <c r="F2204" i="25"/>
  <c r="F2203" i="25"/>
  <c r="F2202" i="25"/>
  <c r="F2201" i="25"/>
  <c r="F2200" i="25"/>
  <c r="F2199" i="25"/>
  <c r="F2198" i="25"/>
  <c r="F2197" i="25"/>
  <c r="F2196" i="25"/>
  <c r="F2195" i="25"/>
  <c r="F2194" i="25"/>
  <c r="F2193" i="25"/>
  <c r="F2192" i="25"/>
  <c r="F2191" i="25"/>
  <c r="F2190" i="25"/>
  <c r="F2189" i="25"/>
  <c r="F2188" i="25"/>
  <c r="F2187" i="25"/>
  <c r="F2186" i="25"/>
  <c r="F2185" i="25"/>
  <c r="F2184" i="25"/>
  <c r="F2183" i="25"/>
  <c r="F2182" i="25"/>
  <c r="F2181" i="25"/>
  <c r="F2180" i="25"/>
  <c r="F2179" i="25"/>
  <c r="F2178" i="25"/>
  <c r="F2177" i="25"/>
  <c r="F2176" i="25"/>
  <c r="F2175" i="25"/>
  <c r="F2174" i="25"/>
  <c r="F2173" i="25"/>
  <c r="F2172" i="25"/>
  <c r="F2171" i="25"/>
  <c r="F2170" i="25"/>
  <c r="F2169" i="25"/>
  <c r="F2168" i="25"/>
  <c r="F2167" i="25"/>
  <c r="F2166" i="25"/>
  <c r="F2165" i="25"/>
  <c r="F2164" i="25"/>
  <c r="F2163" i="25"/>
  <c r="F2162" i="25"/>
  <c r="F2161" i="25"/>
  <c r="F2160" i="25"/>
  <c r="F2159" i="25"/>
  <c r="F2158" i="25"/>
  <c r="F2157" i="25"/>
  <c r="F2156" i="25"/>
  <c r="F2155" i="25"/>
  <c r="F2154" i="25"/>
  <c r="F2153" i="25"/>
  <c r="F2152" i="25"/>
  <c r="F2151" i="25"/>
  <c r="F2150" i="25"/>
  <c r="F2149" i="25"/>
  <c r="F2148" i="25"/>
  <c r="F2147" i="25"/>
  <c r="F2146" i="25"/>
  <c r="F2145" i="25"/>
  <c r="F2144" i="25"/>
  <c r="F2143" i="25"/>
  <c r="F2142" i="25"/>
  <c r="F2141" i="25"/>
  <c r="F2140" i="25"/>
  <c r="F2139" i="25"/>
  <c r="F2138" i="25"/>
  <c r="F2137" i="25"/>
  <c r="F2136" i="25"/>
  <c r="F2135" i="25"/>
  <c r="F2134" i="25"/>
  <c r="F2133" i="25"/>
  <c r="F2132" i="25"/>
  <c r="F2131" i="25"/>
  <c r="F2130" i="25"/>
  <c r="F2129" i="25"/>
  <c r="F2128" i="25"/>
  <c r="F2127" i="25"/>
  <c r="F2126" i="25"/>
  <c r="F2125" i="25"/>
  <c r="F2124" i="25"/>
  <c r="F2123" i="25"/>
  <c r="F2122" i="25"/>
  <c r="F2121" i="25"/>
  <c r="F2120" i="25"/>
  <c r="F2119" i="25"/>
  <c r="F2118" i="25"/>
  <c r="F2117" i="25"/>
  <c r="F2116" i="25"/>
  <c r="F2115" i="25"/>
  <c r="F2114" i="25"/>
  <c r="F2113" i="25"/>
  <c r="F2112" i="25"/>
  <c r="F2111" i="25"/>
  <c r="F2110" i="25"/>
  <c r="F2109" i="25"/>
  <c r="F2108" i="25"/>
  <c r="F2107" i="25"/>
  <c r="F2106" i="25"/>
  <c r="F2105" i="25"/>
  <c r="F2104" i="25"/>
  <c r="F2103" i="25"/>
  <c r="F2102" i="25"/>
  <c r="F2101" i="25"/>
  <c r="F2100" i="25"/>
  <c r="F2099" i="25"/>
  <c r="F2098" i="25"/>
  <c r="F2097" i="25"/>
  <c r="F2096" i="25"/>
  <c r="F2095" i="25"/>
  <c r="F2094" i="25"/>
  <c r="F2093" i="25"/>
  <c r="F2092" i="25"/>
  <c r="F2091" i="25"/>
  <c r="F2090" i="25"/>
  <c r="F2089" i="25"/>
  <c r="F2088" i="25"/>
  <c r="F2087" i="25"/>
  <c r="F2086" i="25"/>
  <c r="F2085" i="25"/>
  <c r="F2084" i="25"/>
  <c r="F2083" i="25"/>
  <c r="F2082" i="25"/>
  <c r="F2081" i="25"/>
  <c r="F2080" i="25"/>
  <c r="F2079" i="25"/>
  <c r="F2078" i="25"/>
  <c r="F2077" i="25"/>
  <c r="F2076" i="25"/>
  <c r="F2075" i="25"/>
  <c r="F2074" i="25"/>
  <c r="F2073" i="25"/>
  <c r="F2072" i="25"/>
  <c r="F2071" i="25"/>
  <c r="F2070" i="25"/>
  <c r="F2069" i="25"/>
  <c r="F2068" i="25"/>
  <c r="F2067" i="25"/>
  <c r="F2066" i="25"/>
  <c r="F2065" i="25"/>
  <c r="F2064" i="25"/>
  <c r="F2063" i="25"/>
  <c r="F2062" i="25"/>
  <c r="F2061" i="25"/>
  <c r="F2060" i="25"/>
  <c r="F2059" i="25"/>
  <c r="F2058" i="25"/>
  <c r="F2057" i="25"/>
  <c r="F2056" i="25"/>
  <c r="F2055" i="25"/>
  <c r="F2054" i="25"/>
  <c r="F2053" i="25"/>
  <c r="F2052" i="25"/>
  <c r="F2051" i="25"/>
  <c r="F2050" i="25"/>
  <c r="F2049" i="25"/>
  <c r="F2048" i="25"/>
  <c r="F2047" i="25"/>
  <c r="F2046" i="25"/>
  <c r="F2045" i="25"/>
  <c r="F2044" i="25"/>
  <c r="F2043" i="25"/>
  <c r="F2042" i="25"/>
  <c r="F2041" i="25"/>
  <c r="F2040" i="25"/>
  <c r="F2039" i="25"/>
  <c r="F2038" i="25"/>
  <c r="F2037" i="25"/>
  <c r="F2036" i="25"/>
  <c r="F2035" i="25"/>
  <c r="F2034" i="25"/>
  <c r="F2033" i="25"/>
  <c r="F2032" i="25"/>
  <c r="F2031" i="25"/>
  <c r="F2030" i="25"/>
  <c r="F2029" i="25"/>
  <c r="F2028" i="25"/>
  <c r="F2027" i="25"/>
  <c r="F2026" i="25"/>
  <c r="F2025" i="25"/>
  <c r="F2024" i="25"/>
  <c r="F2023" i="25"/>
  <c r="F2022" i="25"/>
  <c r="F2021" i="25"/>
  <c r="F2020" i="25"/>
  <c r="F2019" i="25"/>
  <c r="F2018" i="25"/>
  <c r="F2017" i="25"/>
  <c r="F2016" i="25"/>
  <c r="F2015" i="25"/>
  <c r="F2014" i="25"/>
  <c r="F2013" i="25"/>
  <c r="F2012" i="25"/>
  <c r="F2011" i="25"/>
  <c r="F2010" i="25"/>
  <c r="F2009" i="25"/>
  <c r="F2008" i="25"/>
  <c r="F2007" i="25"/>
  <c r="F2006" i="25"/>
  <c r="F2005" i="25"/>
  <c r="F2004" i="25"/>
  <c r="F2003" i="25"/>
  <c r="F2002" i="25"/>
  <c r="F2001" i="25"/>
  <c r="F2000" i="25"/>
  <c r="F1999" i="25"/>
  <c r="F1998" i="25"/>
  <c r="F1997" i="25"/>
  <c r="F1996" i="25"/>
  <c r="F1995" i="25"/>
  <c r="F1994" i="25"/>
  <c r="F1993" i="25"/>
  <c r="F1992" i="25"/>
  <c r="F1991" i="25"/>
  <c r="F1990" i="25"/>
  <c r="F1989" i="25"/>
  <c r="F1988" i="25"/>
  <c r="F1987" i="25"/>
  <c r="F1986" i="25"/>
  <c r="F1985" i="25"/>
  <c r="F1984" i="25"/>
  <c r="F1983" i="25"/>
  <c r="F1982" i="25"/>
  <c r="F1981" i="25"/>
  <c r="F1980" i="25"/>
  <c r="F1979" i="25"/>
  <c r="F1978" i="25"/>
  <c r="F1977" i="25"/>
  <c r="F1976" i="25"/>
  <c r="F1975" i="25"/>
  <c r="F1974" i="25"/>
  <c r="F1973" i="25"/>
  <c r="F1972" i="25"/>
  <c r="F1971" i="25"/>
  <c r="F1970" i="25"/>
  <c r="F1969" i="25"/>
  <c r="F1968" i="25"/>
  <c r="F1967" i="25"/>
  <c r="F1966" i="25"/>
  <c r="F1965" i="25"/>
  <c r="F1964" i="25"/>
  <c r="F1963" i="25"/>
  <c r="F1962" i="25"/>
  <c r="F1961" i="25"/>
  <c r="F1960" i="25"/>
  <c r="F1959" i="25"/>
  <c r="F1958" i="25"/>
  <c r="F1957" i="25"/>
  <c r="F1956" i="25"/>
  <c r="F1955" i="25"/>
  <c r="F1954" i="25"/>
  <c r="F1953" i="25"/>
  <c r="F1952" i="25"/>
  <c r="F1951" i="25"/>
  <c r="F1950" i="25"/>
  <c r="F1949" i="25"/>
  <c r="F1948" i="25"/>
  <c r="F1947" i="25"/>
  <c r="F1946" i="25"/>
  <c r="F1945" i="25"/>
  <c r="F1944" i="25"/>
  <c r="F1943" i="25"/>
  <c r="F1942" i="25"/>
  <c r="F1941" i="25"/>
  <c r="F1940" i="25"/>
  <c r="F1939" i="25"/>
  <c r="F1938" i="25"/>
  <c r="F1937" i="25"/>
  <c r="F1936" i="25"/>
  <c r="F1935" i="25"/>
  <c r="F1934" i="25"/>
  <c r="F1933" i="25"/>
  <c r="F1932" i="25"/>
  <c r="F1931" i="25"/>
  <c r="F1930" i="25"/>
  <c r="F1929" i="25"/>
  <c r="F1928" i="25"/>
  <c r="F1927" i="25"/>
  <c r="F1926" i="25"/>
  <c r="F1925" i="25"/>
  <c r="F1924" i="25"/>
  <c r="F1923" i="25"/>
  <c r="F1922" i="25"/>
  <c r="F1921" i="25"/>
  <c r="F1920" i="25"/>
  <c r="F1919" i="25"/>
  <c r="F1918" i="25"/>
  <c r="F1917" i="25"/>
  <c r="F1916" i="25"/>
  <c r="F1915" i="25"/>
  <c r="F1914" i="25"/>
  <c r="F1913" i="25"/>
  <c r="F1912" i="25"/>
  <c r="F1911" i="25"/>
  <c r="F1910" i="25"/>
  <c r="F1909" i="25"/>
  <c r="F1908" i="25"/>
  <c r="F1907" i="25"/>
  <c r="F1906" i="25"/>
  <c r="F1905" i="25"/>
  <c r="F1904" i="25"/>
  <c r="F1903" i="25"/>
  <c r="F1902" i="25"/>
  <c r="F1901" i="25"/>
  <c r="F1900" i="25"/>
  <c r="F1899" i="25"/>
  <c r="F1898" i="25"/>
  <c r="F1897" i="25"/>
  <c r="F1896" i="25"/>
  <c r="F1895" i="25"/>
  <c r="F1894" i="25"/>
  <c r="F1893" i="25"/>
  <c r="F1892" i="25"/>
  <c r="F1891" i="25"/>
  <c r="F1890" i="25"/>
  <c r="F1889" i="25"/>
  <c r="F1888" i="25"/>
  <c r="F1887" i="25"/>
  <c r="F1886" i="25"/>
  <c r="F1885" i="25"/>
  <c r="F1884" i="25"/>
  <c r="F1883" i="25"/>
  <c r="F1882" i="25"/>
  <c r="F1881" i="25"/>
  <c r="F1880" i="25"/>
  <c r="F1879" i="25"/>
  <c r="F1878" i="25"/>
  <c r="F1877" i="25"/>
  <c r="F1876" i="25"/>
  <c r="F1875" i="25"/>
  <c r="F1874" i="25"/>
  <c r="F1873" i="25"/>
  <c r="F1872" i="25"/>
  <c r="F1871" i="25"/>
  <c r="F1870" i="25"/>
  <c r="F1869" i="25"/>
  <c r="F1868" i="25"/>
  <c r="F1867" i="25"/>
  <c r="F1866" i="25"/>
  <c r="F1865" i="25"/>
  <c r="F1864" i="25"/>
  <c r="F1863" i="25"/>
  <c r="F1862" i="25"/>
  <c r="F1861" i="25"/>
  <c r="F1860" i="25"/>
  <c r="F1859" i="25"/>
  <c r="F1858" i="25"/>
  <c r="F1857" i="25"/>
  <c r="F1856" i="25"/>
  <c r="F1855" i="25"/>
  <c r="F1854" i="25"/>
  <c r="F1853" i="25"/>
  <c r="F1852" i="25"/>
  <c r="F1851" i="25"/>
  <c r="F1850" i="25"/>
  <c r="F1849" i="25"/>
  <c r="F1848" i="25"/>
  <c r="F1847" i="25"/>
  <c r="F1846" i="25"/>
  <c r="F1845" i="25"/>
  <c r="F1844" i="25"/>
  <c r="F1843" i="25"/>
  <c r="F1842" i="25"/>
  <c r="F1841" i="25"/>
  <c r="F1840" i="25"/>
  <c r="F1839" i="25"/>
  <c r="F1838" i="25"/>
  <c r="F1837" i="25"/>
  <c r="F1836" i="25"/>
  <c r="F1835" i="25"/>
  <c r="F1834" i="25"/>
  <c r="F1833" i="25"/>
  <c r="F1832" i="25"/>
  <c r="F1831" i="25"/>
  <c r="F1830" i="25"/>
  <c r="F1829" i="25"/>
  <c r="F1828" i="25"/>
  <c r="F1827" i="25"/>
  <c r="F1826" i="25"/>
  <c r="F1825" i="25"/>
  <c r="F1824" i="25"/>
  <c r="F1823" i="25"/>
  <c r="F1822" i="25"/>
  <c r="F1821" i="25"/>
  <c r="F1820" i="25"/>
  <c r="F1819" i="25"/>
  <c r="F1818" i="25"/>
  <c r="F1817" i="25"/>
  <c r="F1816" i="25"/>
  <c r="F1815" i="25"/>
  <c r="F1814" i="25"/>
  <c r="F1813" i="25"/>
  <c r="F1812" i="25"/>
  <c r="F1811" i="25"/>
  <c r="F1810" i="25"/>
  <c r="F1809" i="25"/>
  <c r="F1808" i="25"/>
  <c r="F1807" i="25"/>
  <c r="F1806" i="25"/>
  <c r="F1805" i="25"/>
  <c r="F1804" i="25"/>
  <c r="F1803" i="25"/>
  <c r="F1802" i="25"/>
  <c r="F1801" i="25"/>
  <c r="F1800" i="25"/>
  <c r="F1799" i="25"/>
  <c r="F1798" i="25"/>
  <c r="F1797" i="25"/>
  <c r="F1796" i="25"/>
  <c r="F1795" i="25"/>
  <c r="F1794" i="25"/>
  <c r="F1793" i="25"/>
  <c r="F1792" i="25"/>
  <c r="F1791" i="25"/>
  <c r="F1790" i="25"/>
  <c r="F1789" i="25"/>
  <c r="F1788" i="25"/>
  <c r="F1787" i="25"/>
  <c r="F1786" i="25"/>
  <c r="F1785" i="25"/>
  <c r="F1784" i="25"/>
  <c r="F1783" i="25"/>
  <c r="F1782" i="25"/>
  <c r="F1781" i="25"/>
  <c r="F1780" i="25"/>
  <c r="F1779" i="25"/>
  <c r="F1778" i="25"/>
  <c r="F1777" i="25"/>
  <c r="F1776" i="25"/>
  <c r="F1775" i="25"/>
  <c r="F1774" i="25"/>
  <c r="F1773" i="25"/>
  <c r="F1772" i="25"/>
  <c r="F1771" i="25"/>
  <c r="F1770" i="25"/>
  <c r="F1769" i="25"/>
  <c r="F1768" i="25"/>
  <c r="F1767" i="25"/>
  <c r="F1766" i="25"/>
  <c r="F1765" i="25"/>
  <c r="F1764" i="25"/>
  <c r="F1763" i="25"/>
  <c r="F1762" i="25"/>
  <c r="F1761" i="25"/>
  <c r="F1760" i="25"/>
  <c r="F1759" i="25"/>
  <c r="F1758" i="25"/>
  <c r="F1757" i="25"/>
  <c r="F1756" i="25"/>
  <c r="F1755" i="25"/>
  <c r="F1754" i="25"/>
  <c r="F1753" i="25"/>
  <c r="F1752" i="25"/>
  <c r="F1751" i="25"/>
  <c r="F1750" i="25"/>
  <c r="F1749" i="25"/>
  <c r="F1748" i="25"/>
  <c r="F1747" i="25"/>
  <c r="F1746" i="25"/>
  <c r="F1745" i="25"/>
  <c r="F1744" i="25"/>
  <c r="F1743" i="25"/>
  <c r="F1742" i="25"/>
  <c r="F1741" i="25"/>
  <c r="F1740" i="25"/>
  <c r="F1739" i="25"/>
  <c r="F1738" i="25"/>
  <c r="F1737" i="25"/>
  <c r="F1736" i="25"/>
  <c r="F1735" i="25"/>
  <c r="F1734" i="25"/>
  <c r="F1733" i="25"/>
  <c r="F1732" i="25"/>
  <c r="F1731" i="25"/>
  <c r="F1730" i="25"/>
  <c r="F1729" i="25"/>
  <c r="F1728" i="25"/>
  <c r="F1727" i="25"/>
  <c r="F1726" i="25"/>
  <c r="F1725" i="25"/>
  <c r="F1724" i="25"/>
  <c r="F1723" i="25"/>
  <c r="F1722" i="25"/>
  <c r="F1721" i="25"/>
  <c r="F1720" i="25"/>
  <c r="F1719" i="25"/>
  <c r="F1718" i="25"/>
  <c r="F1717" i="25"/>
  <c r="F1716" i="25"/>
  <c r="F1715" i="25"/>
  <c r="F1714" i="25"/>
  <c r="F1713" i="25"/>
  <c r="F1712" i="25"/>
  <c r="F1711" i="25"/>
  <c r="F1710" i="25"/>
  <c r="F1709" i="25"/>
  <c r="F1708" i="25"/>
  <c r="F1707" i="25"/>
  <c r="F1706" i="25"/>
  <c r="F1705" i="25"/>
  <c r="F1704" i="25"/>
  <c r="F1703" i="25"/>
  <c r="F1702" i="25"/>
  <c r="F1701" i="25"/>
  <c r="F1700" i="25"/>
  <c r="F1699" i="25"/>
  <c r="F1698" i="25"/>
  <c r="F1697" i="25"/>
  <c r="F1696" i="25"/>
  <c r="F1695" i="25"/>
  <c r="F1694" i="25"/>
  <c r="F1693" i="25"/>
  <c r="F1692" i="25"/>
  <c r="F1691" i="25"/>
  <c r="F1690" i="25"/>
  <c r="F1689" i="25"/>
  <c r="F1688" i="25"/>
  <c r="F1687" i="25"/>
  <c r="F1686" i="25"/>
  <c r="F1685" i="25"/>
  <c r="F1684" i="25"/>
  <c r="F1683" i="25"/>
  <c r="F1682" i="25"/>
  <c r="F1681" i="25"/>
  <c r="F1680" i="25"/>
  <c r="F1679" i="25"/>
  <c r="F1678" i="25"/>
  <c r="F1677" i="25"/>
  <c r="F1676" i="25"/>
  <c r="F1675" i="25"/>
  <c r="F1674" i="25"/>
  <c r="F1673" i="25"/>
  <c r="F1672" i="25"/>
  <c r="F1671" i="25"/>
  <c r="F1670" i="25"/>
  <c r="F1669" i="25"/>
  <c r="F1668" i="25"/>
  <c r="F1667" i="25"/>
  <c r="F1666" i="25"/>
  <c r="F1665" i="25"/>
  <c r="F1664" i="25"/>
  <c r="F1663" i="25"/>
  <c r="F1662" i="25"/>
  <c r="F1661" i="25"/>
  <c r="F1660" i="25"/>
  <c r="F1659" i="25"/>
  <c r="F1658" i="25"/>
  <c r="F1657" i="25"/>
  <c r="F1656" i="25"/>
  <c r="F1655" i="25"/>
  <c r="F1654" i="25"/>
  <c r="F1653" i="25"/>
  <c r="F1652" i="25"/>
  <c r="F1651" i="25"/>
  <c r="F1650" i="25"/>
  <c r="F1649" i="25"/>
  <c r="F1648" i="25"/>
  <c r="F1647" i="25"/>
  <c r="F1646" i="25"/>
  <c r="F1645" i="25"/>
  <c r="F1644" i="25"/>
  <c r="F1643" i="25"/>
  <c r="F1642" i="25"/>
  <c r="F1641" i="25"/>
  <c r="F1640" i="25"/>
  <c r="F1639" i="25"/>
  <c r="F1638" i="25"/>
  <c r="F1637" i="25"/>
  <c r="F1636" i="25"/>
  <c r="F1635" i="25"/>
  <c r="F1634" i="25"/>
  <c r="F1633" i="25"/>
  <c r="F1632" i="25"/>
  <c r="F1631" i="25"/>
  <c r="F1630" i="25"/>
  <c r="F1629" i="25"/>
  <c r="F1628" i="25"/>
  <c r="F1627" i="25"/>
  <c r="F1626" i="25"/>
  <c r="F1625" i="25"/>
  <c r="F1624" i="25"/>
  <c r="F1623" i="25"/>
  <c r="F1622" i="25"/>
  <c r="F1621" i="25"/>
  <c r="F1620" i="25"/>
  <c r="F1619" i="25"/>
  <c r="F1618" i="25"/>
  <c r="F1617" i="25"/>
  <c r="F1616" i="25"/>
  <c r="F1615" i="25"/>
  <c r="F1614" i="25"/>
  <c r="F1613" i="25"/>
  <c r="F1612" i="25"/>
  <c r="F1611" i="25"/>
  <c r="F1610" i="25"/>
  <c r="F1609" i="25"/>
  <c r="F1608" i="25"/>
  <c r="F1607" i="25"/>
  <c r="F1606" i="25"/>
  <c r="F1605" i="25"/>
  <c r="F1604" i="25"/>
  <c r="F1603" i="25"/>
  <c r="F1602" i="25"/>
  <c r="F1601" i="25"/>
  <c r="F1600" i="25"/>
  <c r="F1599" i="25"/>
  <c r="F1598" i="25"/>
  <c r="F1597" i="25"/>
  <c r="F1596" i="25"/>
  <c r="F1595" i="25"/>
  <c r="F1594" i="25"/>
  <c r="F1593" i="25"/>
  <c r="F1592" i="25"/>
  <c r="F1591" i="25"/>
  <c r="F1590" i="25"/>
  <c r="F1589" i="25"/>
  <c r="F1588" i="25"/>
  <c r="F1587" i="25"/>
  <c r="F1586" i="25"/>
  <c r="F1585" i="25"/>
  <c r="F1584" i="25"/>
  <c r="F1583" i="25"/>
  <c r="F1582" i="25"/>
  <c r="F1581" i="25"/>
  <c r="F1580" i="25"/>
  <c r="F1579" i="25"/>
  <c r="F1578" i="25"/>
  <c r="F1577" i="25"/>
  <c r="F1576" i="25"/>
  <c r="F1575" i="25"/>
  <c r="F1574" i="25"/>
  <c r="F1573" i="25"/>
  <c r="F1572" i="25"/>
  <c r="F1571" i="25"/>
  <c r="F1570" i="25"/>
  <c r="F1569" i="25"/>
  <c r="F1568" i="25"/>
  <c r="F1567" i="25"/>
  <c r="F1566" i="25"/>
  <c r="F1565" i="25"/>
  <c r="F1564" i="25"/>
  <c r="F1563" i="25"/>
  <c r="F1562" i="25"/>
  <c r="F1561" i="25"/>
  <c r="F1560" i="25"/>
  <c r="F1559" i="25"/>
  <c r="F1558" i="25"/>
  <c r="F1557" i="25"/>
  <c r="F1556" i="25"/>
  <c r="F1555" i="25"/>
  <c r="F1554" i="25"/>
  <c r="F1553" i="25"/>
  <c r="F1552" i="25"/>
  <c r="F1551" i="25"/>
  <c r="F1550" i="25"/>
  <c r="F1549" i="25"/>
  <c r="F1548" i="25"/>
  <c r="F1547" i="25"/>
  <c r="F1546" i="25"/>
  <c r="F1545" i="25"/>
  <c r="F1544" i="25"/>
  <c r="F1543" i="25"/>
  <c r="F1542" i="25"/>
  <c r="F1541" i="25"/>
  <c r="F1540" i="25"/>
  <c r="F1539" i="25"/>
  <c r="F1538" i="25"/>
  <c r="F1537" i="25"/>
  <c r="F1536" i="25"/>
  <c r="F1535" i="25"/>
  <c r="F1534" i="25"/>
  <c r="F1533" i="25"/>
  <c r="F1532" i="25"/>
  <c r="F1531" i="25"/>
  <c r="F1530" i="25"/>
  <c r="F1529" i="25"/>
  <c r="F1528" i="25"/>
  <c r="F1527" i="25"/>
  <c r="F1526" i="25"/>
  <c r="F1525" i="25"/>
  <c r="F1524" i="25"/>
  <c r="F1523" i="25"/>
  <c r="F1522" i="25"/>
  <c r="F1521" i="25"/>
  <c r="F1520" i="25"/>
  <c r="F1519" i="25"/>
  <c r="F1518" i="25"/>
  <c r="F1517" i="25"/>
  <c r="F1516" i="25"/>
  <c r="F1515" i="25"/>
  <c r="F1514" i="25"/>
  <c r="F1513" i="25"/>
  <c r="F1512" i="25"/>
  <c r="F1511" i="25"/>
  <c r="F1510" i="25"/>
  <c r="F1509" i="25"/>
  <c r="F1508" i="25"/>
  <c r="F1507" i="25"/>
  <c r="F1506" i="25"/>
  <c r="F1505" i="25"/>
  <c r="F1504" i="25"/>
  <c r="F1503" i="25"/>
  <c r="F1502" i="25"/>
  <c r="F1501" i="25"/>
  <c r="F1500" i="25"/>
  <c r="F1499" i="25"/>
  <c r="F1498" i="25"/>
  <c r="F1497" i="25"/>
  <c r="F1496" i="25"/>
  <c r="F1495" i="25"/>
  <c r="F1494" i="25"/>
  <c r="F1493" i="25"/>
  <c r="F1492" i="25"/>
  <c r="F1491" i="25"/>
  <c r="F1490" i="25"/>
  <c r="F1489" i="25"/>
  <c r="F1488" i="25"/>
  <c r="F1487" i="25"/>
  <c r="F1486" i="25"/>
  <c r="F1485" i="25"/>
  <c r="F1484" i="25"/>
  <c r="F1483" i="25"/>
  <c r="F1482" i="25"/>
  <c r="F1481" i="25"/>
  <c r="F1480" i="25"/>
  <c r="F1479" i="25"/>
  <c r="F1478" i="25"/>
  <c r="F1477" i="25"/>
  <c r="F1476" i="25"/>
  <c r="F1475" i="25"/>
  <c r="F1474" i="25"/>
  <c r="F1473" i="25"/>
  <c r="F1472" i="25"/>
  <c r="F1471" i="25"/>
  <c r="F1470" i="25"/>
  <c r="F1469" i="25"/>
  <c r="F1468" i="25"/>
  <c r="F1467" i="25"/>
  <c r="F1466" i="25"/>
  <c r="F1465" i="25"/>
  <c r="F1464" i="25"/>
  <c r="F1463" i="25"/>
  <c r="F1462" i="25"/>
  <c r="F1461" i="25"/>
  <c r="F1460" i="25"/>
  <c r="F1459" i="25"/>
  <c r="F1458" i="25"/>
  <c r="F1457" i="25"/>
  <c r="F1456" i="25"/>
  <c r="F1455" i="25"/>
  <c r="F1454" i="25"/>
  <c r="F1453" i="25"/>
  <c r="F1452" i="25"/>
  <c r="F1451" i="25"/>
  <c r="F1450" i="25"/>
  <c r="F1449" i="25"/>
  <c r="F1448" i="25"/>
  <c r="F1447" i="25"/>
  <c r="F1446" i="25"/>
  <c r="F1445" i="25"/>
  <c r="F1444" i="25"/>
  <c r="F1443" i="25"/>
  <c r="F1442" i="25"/>
  <c r="F1441" i="25"/>
  <c r="F1440" i="25"/>
  <c r="F1439" i="25"/>
  <c r="F1438" i="25"/>
  <c r="F1437" i="25"/>
  <c r="F1436" i="25"/>
  <c r="F1435" i="25"/>
  <c r="F1434" i="25"/>
  <c r="F1433" i="25"/>
  <c r="F1432" i="25"/>
  <c r="F1431" i="25"/>
  <c r="F1430" i="25"/>
  <c r="F1429" i="25"/>
  <c r="F1428" i="25"/>
  <c r="F1427" i="25"/>
  <c r="F1426" i="25"/>
  <c r="F1425" i="25"/>
  <c r="F1424" i="25"/>
  <c r="F1423" i="25"/>
  <c r="F1422" i="25"/>
  <c r="F1421" i="25"/>
  <c r="F1420" i="25"/>
  <c r="F1419" i="25"/>
  <c r="F1418" i="25"/>
  <c r="F1417" i="25"/>
  <c r="F1416" i="25"/>
  <c r="F1415" i="25"/>
  <c r="F1414" i="25"/>
  <c r="F1413" i="25"/>
  <c r="F1412" i="25"/>
  <c r="F1411" i="25"/>
  <c r="F1410" i="25"/>
  <c r="F1409" i="25"/>
  <c r="F1408" i="25"/>
  <c r="F1407" i="25"/>
  <c r="F1406" i="25"/>
  <c r="F1405" i="25"/>
  <c r="F1404" i="25"/>
  <c r="F1403" i="25"/>
  <c r="F1402" i="25"/>
  <c r="F1401" i="25"/>
  <c r="F1400" i="25"/>
  <c r="F1399" i="25"/>
  <c r="F1398" i="25"/>
  <c r="F1397" i="25"/>
  <c r="F1396" i="25"/>
  <c r="F1395" i="25"/>
  <c r="F1394" i="25"/>
  <c r="F1393" i="25"/>
  <c r="F1392" i="25"/>
  <c r="F1391" i="25"/>
  <c r="F1390" i="25"/>
  <c r="F1389" i="25"/>
  <c r="F1388" i="25"/>
  <c r="F1387" i="25"/>
  <c r="F1386" i="25"/>
  <c r="F1385" i="25"/>
  <c r="F1384" i="25"/>
  <c r="F1383" i="25"/>
  <c r="F1382" i="25"/>
  <c r="F1381" i="25"/>
  <c r="F1380" i="25"/>
  <c r="F1379" i="25"/>
  <c r="F1378" i="25"/>
  <c r="F1377" i="25"/>
  <c r="F1376" i="25"/>
  <c r="F1375" i="25"/>
  <c r="F1374" i="25"/>
  <c r="F1373" i="25"/>
  <c r="F1372" i="25"/>
  <c r="F1371" i="25"/>
  <c r="F1370" i="25"/>
  <c r="F1369" i="25"/>
  <c r="F1368" i="25"/>
  <c r="F1367" i="25"/>
  <c r="F1366" i="25"/>
  <c r="F1365" i="25"/>
  <c r="F1364" i="25"/>
  <c r="F1363" i="25"/>
  <c r="F1362" i="25"/>
  <c r="F1361" i="25"/>
  <c r="F1360" i="25"/>
  <c r="F1359" i="25"/>
  <c r="F1358" i="25"/>
  <c r="F1357" i="25"/>
  <c r="F1356" i="25"/>
  <c r="F1355" i="25"/>
  <c r="F1354" i="25"/>
  <c r="F1353" i="25"/>
  <c r="F1352" i="25"/>
  <c r="F1351" i="25"/>
  <c r="F1350" i="25"/>
  <c r="F1349" i="25"/>
  <c r="F1348" i="25"/>
  <c r="F1347" i="25"/>
  <c r="F1346" i="25"/>
  <c r="F1345" i="25"/>
  <c r="F1344" i="25"/>
  <c r="F1343" i="25"/>
  <c r="F1342" i="25"/>
  <c r="F1341" i="25"/>
  <c r="F1340" i="25"/>
  <c r="F1339" i="25"/>
  <c r="F1338" i="25"/>
  <c r="F1337" i="25"/>
  <c r="F1336" i="25"/>
  <c r="F1335" i="25"/>
  <c r="F1334" i="25"/>
  <c r="F1333" i="25"/>
  <c r="F1332" i="25"/>
  <c r="F1331" i="25"/>
  <c r="F1330" i="25"/>
  <c r="F1329" i="25"/>
  <c r="F1328" i="25"/>
  <c r="F1327" i="25"/>
  <c r="F1326" i="25"/>
  <c r="F1325" i="25"/>
  <c r="F1324" i="25"/>
  <c r="F1323" i="25"/>
  <c r="F1322" i="25"/>
  <c r="F1321" i="25"/>
  <c r="F1320" i="25"/>
  <c r="F1319" i="25"/>
  <c r="F1318" i="25"/>
  <c r="F1317" i="25"/>
  <c r="F1316" i="25"/>
  <c r="F1315" i="25"/>
  <c r="F1314" i="25"/>
  <c r="F1313" i="25"/>
  <c r="F1312" i="25"/>
  <c r="F1311" i="25"/>
  <c r="F1310" i="25"/>
  <c r="F1309" i="25"/>
  <c r="F1308" i="25"/>
  <c r="F1307" i="25"/>
  <c r="F1306" i="25"/>
  <c r="F1305" i="25"/>
  <c r="F1304" i="25"/>
  <c r="F1303" i="25"/>
  <c r="F1302" i="25"/>
  <c r="F1301" i="25"/>
  <c r="F1300" i="25"/>
  <c r="F1299" i="25"/>
  <c r="F1298" i="25"/>
  <c r="F1297" i="25"/>
  <c r="F1296" i="25"/>
  <c r="F1295" i="25"/>
  <c r="F1294" i="25"/>
  <c r="F1293" i="25"/>
  <c r="F1292" i="25"/>
  <c r="F1291" i="25"/>
  <c r="F1290" i="25"/>
  <c r="F1289" i="25"/>
  <c r="F1288" i="25"/>
  <c r="F1287" i="25"/>
  <c r="F1286" i="25"/>
  <c r="F1285" i="25"/>
  <c r="F1284" i="25"/>
  <c r="F1283" i="25"/>
  <c r="F1282" i="25"/>
  <c r="F1281" i="25"/>
  <c r="F1280" i="25"/>
  <c r="F1279" i="25"/>
  <c r="F1278" i="25"/>
  <c r="F1277" i="25"/>
  <c r="F1276" i="25"/>
  <c r="F1275" i="25"/>
  <c r="F1274" i="25"/>
  <c r="F1273" i="25"/>
  <c r="F1272" i="25"/>
  <c r="F1271" i="25"/>
  <c r="F1270" i="25"/>
  <c r="F1269" i="25"/>
  <c r="F1268" i="25"/>
  <c r="F1267" i="25"/>
  <c r="F1266" i="25"/>
  <c r="F1265" i="25"/>
  <c r="F1264" i="25"/>
  <c r="F1263" i="25"/>
  <c r="F1262" i="25"/>
  <c r="F1261" i="25"/>
  <c r="F1260" i="25"/>
  <c r="F1259" i="25"/>
  <c r="F1258" i="25"/>
  <c r="F1257" i="25"/>
  <c r="F1256" i="25"/>
  <c r="F1255" i="25"/>
  <c r="F1254" i="25"/>
  <c r="F1253" i="25"/>
  <c r="F1252" i="25"/>
  <c r="F1251" i="25"/>
  <c r="F1250" i="25"/>
  <c r="F1249" i="25"/>
  <c r="F1248" i="25"/>
  <c r="F1247" i="25"/>
  <c r="F1246" i="25"/>
  <c r="F1245" i="25"/>
  <c r="F1244" i="25"/>
  <c r="F1243" i="25"/>
  <c r="F1242" i="25"/>
  <c r="F1241" i="25"/>
  <c r="F1240" i="25"/>
  <c r="F1239" i="25"/>
  <c r="F1238" i="25"/>
  <c r="F1237" i="25"/>
  <c r="F1236" i="25"/>
  <c r="F1235" i="25"/>
  <c r="F1234" i="25"/>
  <c r="F1233" i="25"/>
  <c r="F1232" i="25"/>
  <c r="F1231" i="25"/>
  <c r="F1230" i="25"/>
  <c r="F1229" i="25"/>
  <c r="F1228" i="25"/>
  <c r="F1227" i="25"/>
  <c r="F1226" i="25"/>
  <c r="F1225" i="25"/>
  <c r="F1224" i="25"/>
  <c r="F1223" i="25"/>
  <c r="F1222" i="25"/>
  <c r="F1221" i="25"/>
  <c r="F1220" i="25"/>
  <c r="F1219" i="25"/>
  <c r="F1218" i="25"/>
  <c r="F1217" i="25"/>
  <c r="F1216" i="25"/>
  <c r="F1215" i="25"/>
  <c r="F1214" i="25"/>
  <c r="F1213" i="25"/>
  <c r="F1212" i="25"/>
  <c r="F1211" i="25"/>
  <c r="F1210" i="25"/>
  <c r="F1209" i="25"/>
  <c r="F1208" i="25"/>
  <c r="F1207" i="25"/>
  <c r="F1206" i="25"/>
  <c r="F1205" i="25"/>
  <c r="F1204" i="25"/>
  <c r="F1203" i="25"/>
  <c r="F1202" i="25"/>
  <c r="F1201" i="25"/>
  <c r="F1200" i="25"/>
  <c r="F1199" i="25"/>
  <c r="F1198" i="25"/>
  <c r="F1197" i="25"/>
  <c r="F1196" i="25"/>
  <c r="F1195" i="25"/>
  <c r="F1194" i="25"/>
  <c r="F1193" i="25"/>
  <c r="F1192" i="25"/>
  <c r="F1191" i="25"/>
  <c r="F1190" i="25"/>
  <c r="F1189" i="25"/>
  <c r="F1188" i="25"/>
  <c r="F1187" i="25"/>
  <c r="F1186" i="25"/>
  <c r="F1185" i="25"/>
  <c r="F1184" i="25"/>
  <c r="F1183" i="25"/>
  <c r="F1182" i="25"/>
  <c r="F1181" i="25"/>
  <c r="F1180" i="25"/>
  <c r="F1179" i="25"/>
  <c r="F1178" i="25"/>
  <c r="F1177" i="25"/>
  <c r="F1176" i="25"/>
  <c r="F1175" i="25"/>
  <c r="F1174" i="25"/>
  <c r="F1173" i="25"/>
  <c r="F1172" i="25"/>
  <c r="F1171" i="25"/>
  <c r="F1170" i="25"/>
  <c r="F1169" i="25"/>
  <c r="F1168" i="25"/>
  <c r="F1167" i="25"/>
  <c r="F1166" i="25"/>
  <c r="F1165" i="25"/>
  <c r="F1164" i="25"/>
  <c r="F1163" i="25"/>
  <c r="F1162" i="25"/>
  <c r="F1161" i="25"/>
  <c r="F1160" i="25"/>
  <c r="F1159" i="25"/>
  <c r="F1158" i="25"/>
  <c r="F1157" i="25"/>
  <c r="F1156" i="25"/>
  <c r="F1155" i="25"/>
  <c r="F1154" i="25"/>
  <c r="F1153" i="25"/>
  <c r="F1152" i="25"/>
  <c r="F1151" i="25"/>
  <c r="F1150" i="25"/>
  <c r="F1149" i="25"/>
  <c r="F1148" i="25"/>
  <c r="F1147" i="25"/>
  <c r="F1146" i="25"/>
  <c r="F1145" i="25"/>
  <c r="F1144" i="25"/>
  <c r="F1143" i="25"/>
  <c r="F1142" i="25"/>
  <c r="F1141" i="25"/>
  <c r="F1140" i="25"/>
  <c r="F1139" i="25"/>
  <c r="F1138" i="25"/>
  <c r="F1137" i="25"/>
  <c r="F1136" i="25"/>
  <c r="F1135" i="25"/>
  <c r="F1134" i="25"/>
  <c r="F1133" i="25"/>
  <c r="F1132" i="25"/>
  <c r="F1131" i="25"/>
  <c r="F1130" i="25"/>
  <c r="F1129" i="25"/>
  <c r="F1128" i="25"/>
  <c r="F1127" i="25"/>
  <c r="F1126" i="25"/>
  <c r="F1125" i="25"/>
  <c r="F1124" i="25"/>
  <c r="F1123" i="25"/>
  <c r="F1122" i="25"/>
  <c r="F1121" i="25"/>
  <c r="F1120" i="25"/>
  <c r="F1119" i="25"/>
  <c r="F1118" i="25"/>
  <c r="F1117" i="25"/>
  <c r="F1116" i="25"/>
  <c r="F1115" i="25"/>
  <c r="F1114" i="25"/>
  <c r="F1113" i="25"/>
  <c r="F1112" i="25"/>
  <c r="F1111" i="25"/>
  <c r="F1110" i="25"/>
  <c r="F1109" i="25"/>
  <c r="F1108" i="25"/>
  <c r="F1107" i="25"/>
  <c r="F1106" i="25"/>
  <c r="F1105" i="25"/>
  <c r="F1104" i="25"/>
  <c r="F1103" i="25"/>
  <c r="F1102" i="25"/>
  <c r="F1101" i="25"/>
  <c r="F1100" i="25"/>
  <c r="F1099" i="25"/>
  <c r="F1098" i="25"/>
  <c r="F1097" i="25"/>
  <c r="F1096" i="25"/>
  <c r="F1095" i="25"/>
  <c r="F1094" i="25"/>
  <c r="F1093" i="25"/>
  <c r="F1092" i="25"/>
  <c r="F1091" i="25"/>
  <c r="F1090" i="25"/>
  <c r="F1089" i="25"/>
  <c r="F1088" i="25"/>
  <c r="F1087" i="25"/>
  <c r="F1086" i="25"/>
  <c r="F1085" i="25"/>
  <c r="F1084" i="25"/>
  <c r="F1083" i="25"/>
  <c r="F1082" i="25"/>
  <c r="F1081" i="25"/>
  <c r="F1080" i="25"/>
  <c r="F1079" i="25"/>
  <c r="F1078" i="25"/>
  <c r="F1077" i="25"/>
  <c r="F1076" i="25"/>
  <c r="F1075" i="25"/>
  <c r="F1074" i="25"/>
  <c r="F1073" i="25"/>
  <c r="F1072" i="25"/>
  <c r="F1071" i="25"/>
  <c r="F1070" i="25"/>
  <c r="F1069" i="25"/>
  <c r="F1068" i="25"/>
  <c r="F1067" i="25"/>
  <c r="F1066" i="25"/>
  <c r="F1065" i="25"/>
  <c r="F1064" i="25"/>
  <c r="F1063" i="25"/>
  <c r="F1062" i="25"/>
  <c r="F1061" i="25"/>
  <c r="F1060" i="25"/>
  <c r="F1059" i="25"/>
  <c r="F1058" i="25"/>
  <c r="F1057" i="25"/>
  <c r="F1056" i="25"/>
  <c r="F1055" i="25"/>
  <c r="F1054" i="25"/>
  <c r="F1053" i="25"/>
  <c r="F1052" i="25"/>
  <c r="F1051" i="25"/>
  <c r="F1050" i="25"/>
  <c r="F1049" i="25"/>
  <c r="F1048" i="25"/>
  <c r="F1047" i="25"/>
  <c r="F1046" i="25"/>
  <c r="F1045" i="25"/>
  <c r="F1044" i="25"/>
  <c r="F1043" i="25"/>
  <c r="F1042" i="25"/>
  <c r="F1041" i="25"/>
  <c r="F1040" i="25"/>
  <c r="F1039" i="25"/>
  <c r="F1038" i="25"/>
  <c r="F1037" i="25"/>
  <c r="F1036" i="25"/>
  <c r="F1035" i="25"/>
  <c r="F1034" i="25"/>
  <c r="F1033" i="25"/>
  <c r="F1032" i="25"/>
  <c r="F1031" i="25"/>
  <c r="F1030" i="25"/>
  <c r="F1029" i="25"/>
  <c r="F1028" i="25"/>
  <c r="F1027" i="25"/>
  <c r="F1026" i="25"/>
  <c r="F1025" i="25"/>
  <c r="F1024" i="25"/>
  <c r="F1023" i="25"/>
  <c r="F1022" i="25"/>
  <c r="F1021" i="25"/>
  <c r="F1020" i="25"/>
  <c r="F1019" i="25"/>
  <c r="F1018" i="25"/>
  <c r="F1017" i="25"/>
  <c r="F1016" i="25"/>
  <c r="F1015" i="25"/>
  <c r="F1014" i="25"/>
  <c r="F1013" i="25"/>
  <c r="F1012" i="25"/>
  <c r="F1011" i="25"/>
  <c r="F1010" i="25"/>
  <c r="F1009" i="25"/>
  <c r="F1008" i="25"/>
  <c r="F1007" i="25"/>
  <c r="F1006" i="25"/>
  <c r="F1005" i="25"/>
  <c r="F1004" i="25"/>
  <c r="F1003" i="25"/>
  <c r="F1002" i="25"/>
  <c r="F1001" i="25"/>
  <c r="F1000" i="25"/>
  <c r="F999" i="25"/>
  <c r="F998" i="25"/>
  <c r="F997" i="25"/>
  <c r="F996" i="25"/>
  <c r="F995" i="25"/>
  <c r="F994" i="25"/>
  <c r="F993" i="25"/>
  <c r="F992" i="25"/>
  <c r="F991" i="25"/>
  <c r="F990" i="25"/>
  <c r="F989" i="25"/>
  <c r="F988" i="25"/>
  <c r="F987" i="25"/>
  <c r="F986" i="25"/>
  <c r="F985" i="25"/>
  <c r="F984" i="25"/>
  <c r="F983" i="25"/>
  <c r="F982" i="25"/>
  <c r="F981" i="25"/>
  <c r="F980" i="25"/>
  <c r="F979" i="25"/>
  <c r="F978" i="25"/>
  <c r="F977" i="25"/>
  <c r="F976" i="25"/>
  <c r="F975" i="25"/>
  <c r="F974" i="25"/>
  <c r="F973" i="25"/>
  <c r="F972" i="25"/>
  <c r="F971" i="25"/>
  <c r="F970" i="25"/>
  <c r="F969" i="25"/>
  <c r="F968" i="25"/>
  <c r="F967" i="25"/>
  <c r="F966" i="25"/>
  <c r="F965" i="25"/>
  <c r="F964" i="25"/>
  <c r="F963" i="25"/>
  <c r="F962" i="25"/>
  <c r="F961" i="25"/>
  <c r="F960" i="25"/>
  <c r="F959" i="25"/>
  <c r="F958" i="25"/>
  <c r="F957" i="25"/>
  <c r="F956" i="25"/>
  <c r="F955" i="25"/>
  <c r="F954" i="25"/>
  <c r="F953" i="25"/>
  <c r="F952" i="25"/>
  <c r="F951" i="25"/>
  <c r="F950" i="25"/>
  <c r="F949" i="25"/>
  <c r="F948" i="25"/>
  <c r="F947" i="25"/>
  <c r="F946" i="25"/>
  <c r="F945" i="25"/>
  <c r="F944" i="25"/>
  <c r="F943" i="25"/>
  <c r="F942" i="25"/>
  <c r="F941" i="25"/>
  <c r="F940" i="25"/>
  <c r="F939" i="25"/>
  <c r="F938" i="25"/>
  <c r="F937" i="25"/>
  <c r="F936" i="25"/>
  <c r="F935" i="25"/>
  <c r="F934" i="25"/>
  <c r="F933" i="25"/>
  <c r="F932" i="25"/>
  <c r="F931" i="25"/>
  <c r="F930" i="25"/>
  <c r="F929" i="25"/>
  <c r="F928" i="25"/>
  <c r="F927" i="25"/>
  <c r="F926" i="25"/>
  <c r="F925" i="25"/>
  <c r="F924" i="25"/>
  <c r="F923" i="25"/>
  <c r="F922" i="25"/>
  <c r="F921" i="25"/>
  <c r="F920" i="25"/>
  <c r="F919" i="25"/>
  <c r="F918" i="25"/>
  <c r="F917" i="25"/>
  <c r="F916" i="25"/>
  <c r="F915" i="25"/>
  <c r="F914" i="25"/>
  <c r="F913" i="25"/>
  <c r="F912" i="25"/>
  <c r="F911" i="25"/>
  <c r="F910" i="25"/>
  <c r="F909" i="25"/>
  <c r="F908" i="25"/>
  <c r="F907" i="25"/>
  <c r="F906" i="25"/>
  <c r="F905" i="25"/>
  <c r="F904" i="25"/>
  <c r="F903" i="25"/>
  <c r="F902" i="25"/>
  <c r="F901" i="25"/>
  <c r="F900" i="25"/>
  <c r="F899" i="25"/>
  <c r="F898" i="25"/>
  <c r="F897" i="25"/>
  <c r="F896" i="25"/>
  <c r="F895" i="25"/>
  <c r="F894" i="25"/>
  <c r="F893" i="25"/>
  <c r="F892" i="25"/>
  <c r="F891" i="25"/>
  <c r="F890" i="25"/>
  <c r="F889" i="25"/>
  <c r="F888" i="25"/>
  <c r="F887" i="25"/>
  <c r="F886" i="25"/>
  <c r="F885" i="25"/>
  <c r="F884" i="25"/>
  <c r="F883" i="25"/>
  <c r="F882" i="25"/>
  <c r="F881" i="25"/>
  <c r="F880" i="25"/>
  <c r="F879" i="25"/>
  <c r="F878" i="25"/>
  <c r="F877" i="25"/>
  <c r="F876" i="25"/>
  <c r="F875" i="25"/>
  <c r="F874" i="25"/>
  <c r="F873" i="25"/>
  <c r="F872" i="25"/>
  <c r="F871" i="25"/>
  <c r="F870" i="25"/>
  <c r="F869" i="25"/>
  <c r="F868" i="25"/>
  <c r="F867" i="25"/>
  <c r="F866" i="25"/>
  <c r="F865" i="25"/>
  <c r="F864" i="25"/>
  <c r="F863" i="25"/>
  <c r="F862" i="25"/>
  <c r="F861" i="25"/>
  <c r="F860" i="25"/>
  <c r="F859" i="25"/>
  <c r="F858" i="25"/>
  <c r="F857" i="25"/>
  <c r="F856" i="25"/>
  <c r="F855" i="25"/>
  <c r="F854" i="25"/>
  <c r="F853" i="25"/>
  <c r="F852" i="25"/>
  <c r="F851" i="25"/>
  <c r="F850" i="25"/>
  <c r="F849" i="25"/>
  <c r="F848" i="25"/>
  <c r="F847" i="25"/>
  <c r="F846" i="25"/>
  <c r="F845" i="25"/>
  <c r="F844" i="25"/>
  <c r="F843" i="25"/>
  <c r="F842" i="25"/>
  <c r="F841" i="25"/>
  <c r="F840" i="25"/>
  <c r="F839" i="25"/>
  <c r="F838" i="25"/>
  <c r="F837" i="25"/>
  <c r="F836" i="25"/>
  <c r="F835" i="25"/>
  <c r="F834" i="25"/>
  <c r="F833" i="25"/>
  <c r="F832" i="25"/>
  <c r="F831" i="25"/>
  <c r="F830" i="25"/>
  <c r="F829" i="25"/>
  <c r="F828" i="25"/>
  <c r="F827" i="25"/>
  <c r="F826" i="25"/>
  <c r="F825" i="25"/>
  <c r="F824" i="25"/>
  <c r="F823" i="25"/>
  <c r="F822" i="25"/>
  <c r="F821" i="25"/>
  <c r="F820" i="25"/>
  <c r="F819" i="25"/>
  <c r="F818" i="25"/>
  <c r="F817" i="25"/>
  <c r="F816" i="25"/>
  <c r="F815" i="25"/>
  <c r="F814" i="25"/>
  <c r="F813" i="25"/>
  <c r="F812" i="25"/>
  <c r="F811" i="25"/>
  <c r="F810" i="25"/>
  <c r="F809" i="25"/>
  <c r="F808" i="25"/>
  <c r="F807" i="25"/>
  <c r="F806" i="25"/>
  <c r="F805" i="25"/>
  <c r="F804" i="25"/>
  <c r="F803" i="25"/>
  <c r="F802" i="25"/>
  <c r="F801" i="25"/>
  <c r="F800" i="25"/>
  <c r="F799" i="25"/>
  <c r="F798" i="25"/>
  <c r="F797" i="25"/>
  <c r="F796" i="25"/>
  <c r="F795" i="25"/>
  <c r="F794" i="25"/>
  <c r="F793" i="25"/>
  <c r="F792" i="25"/>
  <c r="F791" i="25"/>
  <c r="F790" i="25"/>
  <c r="F789" i="25"/>
  <c r="F788" i="25"/>
  <c r="F787" i="25"/>
  <c r="F786" i="25"/>
  <c r="F785" i="25"/>
  <c r="F784" i="25"/>
  <c r="F783" i="25"/>
  <c r="F782" i="25"/>
  <c r="F781" i="25"/>
  <c r="F780" i="25"/>
  <c r="F779" i="25"/>
  <c r="F778" i="25"/>
  <c r="F777" i="25"/>
  <c r="F776" i="25"/>
  <c r="F775" i="25"/>
  <c r="F774" i="25"/>
  <c r="F773" i="25"/>
  <c r="F772" i="25"/>
  <c r="F771" i="25"/>
  <c r="F770" i="25"/>
  <c r="F769" i="25"/>
  <c r="F768" i="25"/>
  <c r="F767" i="25"/>
  <c r="F766" i="25"/>
  <c r="F765" i="25"/>
  <c r="F764" i="25"/>
  <c r="F763" i="25"/>
  <c r="F762" i="25"/>
  <c r="F761" i="25"/>
  <c r="F760" i="25"/>
  <c r="F759" i="25"/>
  <c r="F758" i="25"/>
  <c r="F757" i="25"/>
  <c r="F756" i="25"/>
  <c r="F755" i="25"/>
  <c r="F754" i="25"/>
  <c r="F753" i="25"/>
  <c r="F752" i="25"/>
  <c r="F751" i="25"/>
  <c r="F750" i="25"/>
  <c r="F749" i="25"/>
  <c r="F748" i="25"/>
  <c r="F747" i="25"/>
  <c r="F746" i="25"/>
  <c r="F745" i="25"/>
  <c r="F744" i="25"/>
  <c r="F743" i="25"/>
  <c r="F742" i="25"/>
  <c r="F741" i="25"/>
  <c r="F740" i="25"/>
  <c r="F739" i="25"/>
  <c r="F738" i="25"/>
  <c r="F737" i="25"/>
  <c r="F736" i="25"/>
  <c r="F735" i="25"/>
  <c r="F734" i="25"/>
  <c r="F733" i="25"/>
  <c r="F732" i="25"/>
  <c r="F731" i="25"/>
  <c r="F730" i="25"/>
  <c r="F729" i="25"/>
  <c r="F728" i="25"/>
  <c r="F727" i="25"/>
  <c r="F726" i="25"/>
  <c r="F725" i="25"/>
  <c r="F724" i="25"/>
  <c r="F723" i="25"/>
  <c r="F722" i="25"/>
  <c r="F721" i="25"/>
  <c r="F720" i="25"/>
  <c r="F719" i="25"/>
  <c r="F718" i="25"/>
  <c r="F717" i="25"/>
  <c r="F716" i="25"/>
  <c r="F715" i="25"/>
  <c r="F714" i="25"/>
  <c r="F713" i="25"/>
  <c r="F712" i="25"/>
  <c r="F711" i="25"/>
  <c r="F710" i="25"/>
  <c r="F709" i="25"/>
  <c r="F708" i="25"/>
  <c r="F707" i="25"/>
  <c r="F706" i="25"/>
  <c r="F705" i="25"/>
  <c r="F704" i="25"/>
  <c r="F703" i="25"/>
  <c r="F702" i="25"/>
  <c r="F701" i="25"/>
  <c r="F700" i="25"/>
  <c r="F699" i="25"/>
  <c r="F698" i="25"/>
  <c r="F697" i="25"/>
  <c r="F696" i="25"/>
  <c r="F695" i="25"/>
  <c r="F694" i="25"/>
  <c r="F693" i="25"/>
  <c r="F692" i="25"/>
  <c r="F691" i="25"/>
  <c r="F690" i="25"/>
  <c r="F689" i="25"/>
  <c r="F688" i="25"/>
  <c r="F687" i="25"/>
  <c r="F686" i="25"/>
  <c r="F685" i="25"/>
  <c r="F684" i="25"/>
  <c r="F683" i="25"/>
  <c r="F682" i="25"/>
  <c r="F681" i="25"/>
  <c r="F680" i="25"/>
  <c r="F679" i="25"/>
  <c r="F678" i="25"/>
  <c r="F677" i="25"/>
  <c r="F676" i="25"/>
  <c r="F675" i="25"/>
  <c r="F674" i="25"/>
  <c r="F673" i="25"/>
  <c r="F672" i="25"/>
  <c r="F671" i="25"/>
  <c r="F670" i="25"/>
  <c r="F669" i="25"/>
  <c r="F668" i="25"/>
  <c r="F667" i="25"/>
  <c r="F666" i="25"/>
  <c r="F665" i="25"/>
  <c r="F664" i="25"/>
  <c r="F663" i="25"/>
  <c r="F662" i="25"/>
  <c r="F661" i="25"/>
  <c r="F660" i="25"/>
  <c r="F659" i="25"/>
  <c r="F658" i="25"/>
  <c r="F657" i="25"/>
  <c r="F656" i="25"/>
  <c r="F655" i="25"/>
  <c r="F654" i="25"/>
  <c r="F653" i="25"/>
  <c r="F652" i="25"/>
  <c r="F651" i="25"/>
  <c r="F650" i="25"/>
  <c r="F649" i="25"/>
  <c r="F648" i="25"/>
  <c r="F647" i="25"/>
  <c r="F646" i="25"/>
  <c r="F645" i="25"/>
  <c r="F644" i="25"/>
  <c r="F643" i="25"/>
  <c r="F642" i="25"/>
  <c r="F641" i="25"/>
  <c r="F640" i="25"/>
  <c r="F639" i="25"/>
  <c r="F638" i="25"/>
  <c r="F637" i="25"/>
  <c r="F636" i="25"/>
  <c r="F635" i="25"/>
  <c r="F634" i="25"/>
  <c r="F633" i="25"/>
  <c r="F632" i="25"/>
  <c r="F631" i="25"/>
  <c r="F630" i="25"/>
  <c r="F629" i="25"/>
  <c r="F628" i="25"/>
  <c r="F627" i="25"/>
  <c r="F626" i="25"/>
  <c r="F625" i="25"/>
  <c r="F624" i="25"/>
  <c r="F623" i="25"/>
  <c r="F622" i="25"/>
  <c r="F621" i="25"/>
  <c r="F620" i="25"/>
  <c r="F619" i="25"/>
  <c r="F618" i="25"/>
  <c r="F617" i="25"/>
  <c r="F616" i="25"/>
  <c r="F615" i="25"/>
  <c r="F614" i="25"/>
  <c r="F613" i="25"/>
  <c r="F612" i="25"/>
  <c r="F611" i="25"/>
  <c r="F610" i="25"/>
  <c r="F609" i="25"/>
  <c r="F608" i="25"/>
  <c r="F607" i="25"/>
  <c r="F606" i="25"/>
  <c r="F605" i="25"/>
  <c r="F604" i="25"/>
  <c r="F603" i="25"/>
  <c r="F602" i="25"/>
  <c r="F601" i="25"/>
  <c r="F600" i="25"/>
  <c r="F599" i="25"/>
  <c r="F598" i="25"/>
  <c r="F597" i="25"/>
  <c r="F596" i="25"/>
  <c r="F595" i="25"/>
  <c r="F594" i="25"/>
  <c r="F593" i="25"/>
  <c r="F592" i="25"/>
  <c r="F591" i="25"/>
  <c r="F590" i="25"/>
  <c r="F589" i="25"/>
  <c r="F588" i="25"/>
  <c r="F587" i="25"/>
  <c r="F586" i="25"/>
  <c r="F585" i="25"/>
  <c r="F584" i="25"/>
  <c r="F583" i="25"/>
  <c r="F582" i="25"/>
  <c r="F581" i="25"/>
  <c r="F580" i="25"/>
  <c r="F579" i="25"/>
  <c r="F578" i="25"/>
  <c r="F577" i="25"/>
  <c r="F576" i="25"/>
  <c r="F575" i="25"/>
  <c r="F574" i="25"/>
  <c r="F573" i="25"/>
  <c r="F572" i="25"/>
  <c r="F571" i="25"/>
  <c r="F570" i="25"/>
  <c r="F569" i="25"/>
  <c r="F568" i="25"/>
  <c r="F567" i="25"/>
  <c r="F566" i="25"/>
  <c r="F565" i="25"/>
  <c r="F564" i="25"/>
  <c r="F563" i="25"/>
  <c r="F562" i="25"/>
  <c r="F561" i="25"/>
  <c r="F560" i="25"/>
  <c r="F559" i="25"/>
  <c r="F558" i="25"/>
  <c r="F557" i="25"/>
  <c r="F556" i="25"/>
  <c r="F555" i="25"/>
  <c r="F554" i="25"/>
  <c r="F553" i="25"/>
  <c r="F552" i="25"/>
  <c r="F551" i="25"/>
  <c r="F550" i="25"/>
  <c r="F549" i="25"/>
  <c r="F548" i="25"/>
  <c r="F547" i="25"/>
  <c r="F546" i="25"/>
  <c r="F545" i="25"/>
  <c r="F544" i="25"/>
  <c r="F543" i="25"/>
  <c r="F542" i="25"/>
  <c r="F541" i="25"/>
  <c r="F540" i="25"/>
  <c r="F539" i="25"/>
  <c r="F538" i="25"/>
  <c r="F537" i="25"/>
  <c r="F536" i="25"/>
  <c r="F535" i="25"/>
  <c r="F534" i="25"/>
  <c r="F533" i="25"/>
  <c r="F532" i="25"/>
  <c r="F531" i="25"/>
  <c r="F530" i="25"/>
  <c r="F529" i="25"/>
  <c r="F528" i="25"/>
  <c r="F527" i="25"/>
  <c r="F526" i="25"/>
  <c r="F525" i="25"/>
  <c r="F524" i="25"/>
  <c r="F523" i="25"/>
  <c r="F522" i="25"/>
  <c r="F521" i="25"/>
  <c r="F520" i="25"/>
  <c r="F519" i="25"/>
  <c r="F518" i="25"/>
  <c r="F517" i="25"/>
  <c r="F516" i="25"/>
  <c r="F515" i="25"/>
  <c r="F514" i="25"/>
  <c r="F513" i="25"/>
  <c r="F512" i="25"/>
  <c r="F511" i="25"/>
  <c r="F510" i="25"/>
  <c r="F509" i="25"/>
  <c r="F508" i="25"/>
  <c r="F507" i="25"/>
  <c r="F506" i="25"/>
  <c r="F505" i="25"/>
  <c r="F504" i="25"/>
  <c r="F503" i="25"/>
  <c r="F502" i="25"/>
  <c r="F501" i="25"/>
  <c r="F500" i="25"/>
  <c r="F499" i="25"/>
  <c r="F498" i="25"/>
  <c r="F497" i="25"/>
  <c r="F496" i="25"/>
  <c r="F495" i="25"/>
  <c r="F494" i="25"/>
  <c r="F493" i="25"/>
  <c r="F492" i="25"/>
  <c r="F491" i="25"/>
  <c r="F490" i="25"/>
  <c r="F489" i="25"/>
  <c r="F488" i="25"/>
  <c r="F487" i="25"/>
  <c r="F486" i="25"/>
  <c r="F485" i="25"/>
  <c r="F484" i="25"/>
  <c r="F483" i="25"/>
  <c r="F482" i="25"/>
  <c r="F481" i="25"/>
  <c r="F480" i="25"/>
  <c r="F479" i="25"/>
  <c r="F478" i="25"/>
  <c r="F477" i="25"/>
  <c r="F476" i="25"/>
  <c r="F475" i="25"/>
  <c r="F474" i="25"/>
  <c r="F473" i="25"/>
  <c r="F472" i="25"/>
  <c r="J471" i="25"/>
  <c r="F471" i="25"/>
  <c r="F470" i="25"/>
  <c r="F469" i="25"/>
  <c r="F468" i="25"/>
  <c r="F467" i="25"/>
  <c r="F466" i="25"/>
  <c r="F465" i="25"/>
  <c r="F464" i="25"/>
  <c r="F463" i="25"/>
  <c r="F462" i="25"/>
  <c r="F461" i="25"/>
  <c r="F460" i="25"/>
  <c r="F459" i="25"/>
  <c r="F458" i="25"/>
  <c r="F457" i="25"/>
  <c r="F456" i="25"/>
  <c r="F455" i="25"/>
  <c r="F454" i="25"/>
  <c r="F453" i="25"/>
  <c r="F452" i="25"/>
  <c r="F451" i="25"/>
  <c r="F450" i="25"/>
  <c r="F449" i="25"/>
  <c r="F448" i="25"/>
  <c r="F447" i="25"/>
  <c r="F446" i="25"/>
  <c r="F445" i="25"/>
  <c r="F444" i="25"/>
  <c r="F443" i="25"/>
  <c r="F442" i="25"/>
  <c r="F441" i="25"/>
  <c r="F440" i="25"/>
  <c r="F439" i="25"/>
  <c r="F438" i="25"/>
  <c r="F437" i="25"/>
  <c r="F436" i="25"/>
  <c r="F435" i="25"/>
  <c r="F434" i="25"/>
  <c r="F433" i="25"/>
  <c r="F432" i="25"/>
  <c r="F431" i="25"/>
  <c r="F430" i="25"/>
  <c r="F429" i="25"/>
  <c r="F428" i="25"/>
  <c r="F427" i="25"/>
  <c r="F426" i="25"/>
  <c r="F425" i="25"/>
  <c r="F424" i="25"/>
  <c r="F423" i="25"/>
  <c r="F422" i="25"/>
  <c r="F421" i="25"/>
  <c r="F420" i="25"/>
  <c r="F419" i="25"/>
  <c r="F418" i="25"/>
  <c r="F417" i="25"/>
  <c r="F416" i="25"/>
  <c r="F415" i="25"/>
  <c r="F414" i="25"/>
  <c r="F413" i="25"/>
  <c r="F412" i="25"/>
  <c r="F411" i="25"/>
  <c r="F410" i="25"/>
  <c r="F409" i="25"/>
  <c r="F408" i="25"/>
  <c r="F407" i="25"/>
  <c r="F406" i="25"/>
  <c r="F405" i="25"/>
  <c r="F404" i="25"/>
  <c r="F403" i="25"/>
  <c r="F402" i="25"/>
  <c r="F401" i="25"/>
  <c r="F400" i="25"/>
  <c r="F399" i="25"/>
  <c r="F398" i="25"/>
  <c r="F397" i="25"/>
  <c r="F396" i="25"/>
  <c r="F395" i="25"/>
  <c r="F394" i="25"/>
  <c r="F393" i="25"/>
  <c r="F392" i="25"/>
  <c r="F391" i="25"/>
  <c r="F390" i="25"/>
  <c r="F389" i="25"/>
  <c r="F388" i="25"/>
  <c r="F387" i="25"/>
  <c r="F386" i="25"/>
  <c r="F385" i="25"/>
  <c r="F384" i="25"/>
  <c r="F383" i="25"/>
  <c r="F382" i="25"/>
  <c r="F381" i="25"/>
  <c r="F380" i="25"/>
  <c r="F379" i="25"/>
  <c r="F378" i="25"/>
  <c r="F377" i="25"/>
  <c r="F376" i="25"/>
  <c r="F375" i="25"/>
  <c r="F374" i="25"/>
  <c r="F373" i="25"/>
  <c r="F372" i="25"/>
  <c r="F371" i="25"/>
  <c r="F370" i="25"/>
  <c r="F369" i="25"/>
  <c r="F368" i="25"/>
  <c r="F367" i="25"/>
  <c r="F366" i="25"/>
  <c r="F365" i="25"/>
  <c r="F364" i="25"/>
  <c r="F363" i="25"/>
  <c r="F362" i="25"/>
  <c r="F361" i="25"/>
  <c r="F360" i="25"/>
  <c r="F359" i="25"/>
  <c r="F358" i="25"/>
  <c r="F357" i="25"/>
  <c r="F356" i="25"/>
  <c r="F355" i="25"/>
  <c r="F354" i="25"/>
  <c r="F353" i="25"/>
  <c r="F352" i="25"/>
  <c r="F351" i="25"/>
  <c r="F350" i="25"/>
  <c r="F349" i="25"/>
  <c r="F348" i="25"/>
  <c r="F347" i="25"/>
  <c r="F346" i="25"/>
  <c r="F345" i="25"/>
  <c r="F344" i="25"/>
  <c r="F343" i="25"/>
  <c r="F342" i="25"/>
  <c r="F341" i="25"/>
  <c r="F340" i="25"/>
  <c r="F339" i="25"/>
  <c r="F338" i="25"/>
  <c r="F337" i="25"/>
  <c r="F336" i="25"/>
  <c r="F335" i="25"/>
  <c r="F334" i="25"/>
  <c r="F333" i="25"/>
  <c r="F332" i="25"/>
  <c r="F331" i="25"/>
  <c r="F330" i="25"/>
  <c r="F329" i="25"/>
  <c r="F328" i="25"/>
  <c r="F327" i="25"/>
  <c r="F326" i="25"/>
  <c r="F325" i="25"/>
  <c r="F324" i="25"/>
  <c r="F323" i="25"/>
  <c r="F322" i="25"/>
  <c r="F321" i="25"/>
  <c r="F320" i="25"/>
  <c r="F319" i="25"/>
  <c r="F318" i="25"/>
  <c r="F317" i="25"/>
  <c r="F316" i="25"/>
  <c r="F315" i="25"/>
  <c r="F314" i="25"/>
  <c r="F313" i="25"/>
  <c r="F312" i="25"/>
  <c r="F311" i="25"/>
  <c r="F310" i="25"/>
  <c r="F309" i="25"/>
  <c r="F308" i="25"/>
  <c r="F307" i="25"/>
  <c r="F306" i="25"/>
  <c r="F305" i="25"/>
  <c r="F304" i="25"/>
  <c r="F303" i="25"/>
  <c r="F302" i="25"/>
  <c r="F301" i="25"/>
  <c r="F300" i="25"/>
  <c r="F299" i="25"/>
  <c r="F298" i="25"/>
  <c r="F297" i="25"/>
  <c r="F296" i="25"/>
  <c r="F295" i="25"/>
  <c r="F294" i="25"/>
  <c r="F293" i="25"/>
  <c r="F292" i="25"/>
  <c r="F291" i="25"/>
  <c r="F290" i="25"/>
  <c r="F289" i="25"/>
  <c r="F288" i="25"/>
  <c r="F287" i="25"/>
  <c r="F286" i="25"/>
  <c r="F285" i="25"/>
  <c r="F284" i="25"/>
  <c r="F283" i="25"/>
  <c r="F282" i="25"/>
  <c r="F281" i="25"/>
  <c r="F280" i="25"/>
  <c r="F279" i="25"/>
  <c r="F278" i="25"/>
  <c r="F277" i="25"/>
  <c r="F276" i="25"/>
  <c r="F275" i="25"/>
  <c r="F274" i="25"/>
  <c r="F273" i="25"/>
  <c r="F272" i="25"/>
  <c r="F271" i="25"/>
  <c r="F270" i="25"/>
  <c r="F269" i="25"/>
  <c r="F268" i="25"/>
  <c r="F267" i="25"/>
  <c r="F266" i="25"/>
  <c r="F265" i="25"/>
  <c r="F264" i="25"/>
  <c r="F263" i="25"/>
  <c r="F262" i="25"/>
  <c r="F261" i="25"/>
  <c r="F260" i="25"/>
  <c r="F259" i="25"/>
  <c r="F258" i="25"/>
  <c r="F257" i="25"/>
  <c r="F256" i="25"/>
  <c r="F255" i="25"/>
  <c r="F254" i="25"/>
  <c r="F253" i="25"/>
  <c r="F252" i="25"/>
  <c r="F251" i="25"/>
  <c r="F250" i="25"/>
  <c r="F249" i="25"/>
  <c r="F248" i="25"/>
  <c r="F247" i="25"/>
  <c r="F246" i="25"/>
  <c r="F245" i="25"/>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F202" i="25"/>
  <c r="F201" i="25"/>
  <c r="F200" i="25"/>
  <c r="F199" i="25"/>
  <c r="F198" i="25"/>
  <c r="F197" i="25"/>
  <c r="F196" i="25"/>
  <c r="F195" i="25"/>
  <c r="F194" i="25"/>
  <c r="F193" i="25"/>
  <c r="F192" i="25"/>
  <c r="F191" i="25"/>
  <c r="F190" i="25"/>
  <c r="F189" i="25"/>
  <c r="F188" i="25"/>
  <c r="F187" i="25"/>
  <c r="F186" i="25"/>
  <c r="F185" i="25"/>
  <c r="F184" i="25"/>
  <c r="F183" i="25"/>
  <c r="F182" i="25"/>
  <c r="F181" i="25"/>
  <c r="F180" i="25"/>
  <c r="F179" i="25"/>
  <c r="F178" i="25"/>
  <c r="F177" i="25"/>
  <c r="F176" i="25"/>
  <c r="F175" i="25"/>
  <c r="F174" i="25"/>
  <c r="F173" i="25"/>
  <c r="F172" i="25"/>
  <c r="F171" i="25"/>
  <c r="F170" i="25"/>
  <c r="F169" i="25"/>
  <c r="F168" i="25"/>
  <c r="F167" i="25"/>
  <c r="F166" i="25"/>
  <c r="F165" i="25"/>
  <c r="F164" i="25"/>
  <c r="F163" i="25"/>
  <c r="F162" i="25"/>
  <c r="F161" i="25"/>
  <c r="F160" i="25"/>
  <c r="F159" i="25"/>
  <c r="F158" i="25"/>
  <c r="F157" i="25"/>
  <c r="F156" i="25"/>
  <c r="F155" i="25"/>
  <c r="F154" i="25"/>
  <c r="F153" i="25"/>
  <c r="F152" i="25"/>
  <c r="F151" i="25"/>
  <c r="F150" i="25"/>
  <c r="F149" i="25"/>
  <c r="F148" i="25"/>
  <c r="F147" i="25"/>
  <c r="F146" i="25"/>
  <c r="F145" i="25"/>
  <c r="F144" i="25"/>
  <c r="F143" i="25"/>
  <c r="F142" i="25"/>
  <c r="F141" i="25"/>
  <c r="F140" i="25"/>
  <c r="F139" i="25"/>
  <c r="F138" i="25"/>
  <c r="F137" i="25"/>
  <c r="F136" i="25"/>
  <c r="F135" i="25"/>
  <c r="F134" i="25"/>
  <c r="F133" i="25"/>
  <c r="F132" i="25"/>
  <c r="F131" i="25"/>
  <c r="F130" i="25"/>
  <c r="F129" i="25"/>
  <c r="F128" i="25"/>
  <c r="F127" i="25"/>
  <c r="F126" i="25"/>
  <c r="F125" i="25"/>
  <c r="F124" i="25"/>
  <c r="F123" i="25"/>
  <c r="F122" i="25"/>
  <c r="F121" i="25"/>
  <c r="F120" i="25"/>
  <c r="F119" i="25"/>
  <c r="F118" i="25"/>
  <c r="F117" i="25"/>
  <c r="F116" i="25"/>
  <c r="F115" i="25"/>
  <c r="F114" i="25"/>
  <c r="F113" i="25"/>
  <c r="F112" i="25"/>
  <c r="F111" i="25"/>
  <c r="F110" i="25"/>
  <c r="F109" i="25"/>
  <c r="F108" i="25"/>
  <c r="F107" i="25"/>
  <c r="F106" i="25"/>
  <c r="F105" i="25"/>
  <c r="F104" i="25"/>
  <c r="F103" i="25"/>
  <c r="F102" i="25"/>
  <c r="F101" i="25"/>
  <c r="F100" i="25"/>
  <c r="F99" i="25"/>
  <c r="F98" i="25"/>
  <c r="F97" i="25"/>
  <c r="F96" i="25"/>
  <c r="F95" i="25"/>
  <c r="F94" i="25"/>
  <c r="F93" i="25"/>
  <c r="F92" i="25"/>
  <c r="F91" i="25"/>
  <c r="F90" i="25"/>
  <c r="F89" i="25"/>
  <c r="F88" i="25"/>
  <c r="F87" i="25"/>
  <c r="F86" i="25"/>
  <c r="F85" i="25"/>
  <c r="F84" i="25"/>
  <c r="F83" i="25"/>
  <c r="F82" i="25"/>
  <c r="F81" i="25"/>
  <c r="F80" i="25"/>
  <c r="F79" i="25"/>
  <c r="F78" i="25"/>
  <c r="F77" i="25"/>
  <c r="F76" i="25"/>
  <c r="F75" i="25"/>
  <c r="F74" i="25"/>
  <c r="F73" i="25"/>
  <c r="F72" i="25"/>
  <c r="F71" i="25"/>
  <c r="F70" i="25"/>
  <c r="F69" i="25"/>
  <c r="F68" i="25"/>
  <c r="F67" i="25"/>
  <c r="F66" i="25"/>
  <c r="F65" i="25"/>
  <c r="F64" i="25"/>
  <c r="F63" i="25"/>
  <c r="F62" i="25"/>
  <c r="F61" i="25"/>
  <c r="F60" i="25"/>
  <c r="F59" i="25"/>
  <c r="F58" i="25"/>
  <c r="F57" i="25"/>
  <c r="F56" i="25"/>
  <c r="F55" i="25"/>
  <c r="F54" i="25"/>
  <c r="F53" i="25"/>
  <c r="F52" i="25"/>
  <c r="F51" i="25"/>
  <c r="F50" i="25"/>
  <c r="F49" i="25"/>
  <c r="F48" i="25"/>
  <c r="F47" i="25"/>
  <c r="F46" i="25"/>
  <c r="F45" i="25"/>
  <c r="F44" i="25"/>
  <c r="F43" i="25"/>
  <c r="F42" i="25"/>
  <c r="F41" i="25"/>
  <c r="F40" i="25"/>
  <c r="F39" i="25"/>
  <c r="F38" i="25"/>
  <c r="F37" i="25"/>
  <c r="F36" i="25"/>
  <c r="F35" i="25"/>
  <c r="F34" i="25"/>
  <c r="F33" i="25"/>
  <c r="F32" i="25"/>
  <c r="F31" i="25"/>
  <c r="F30" i="25"/>
  <c r="F29" i="25"/>
  <c r="F28" i="25"/>
  <c r="F27" i="25"/>
  <c r="F26" i="25"/>
  <c r="F25" i="25"/>
  <c r="F24" i="25"/>
  <c r="F23" i="25"/>
  <c r="F22" i="25"/>
  <c r="F21" i="25"/>
  <c r="F20" i="25"/>
  <c r="F19" i="25"/>
  <c r="F18" i="25"/>
  <c r="F17" i="25"/>
  <c r="F16" i="25"/>
  <c r="F15" i="25"/>
  <c r="F14" i="25"/>
  <c r="F13" i="25"/>
  <c r="F12" i="25"/>
  <c r="F11" i="25"/>
  <c r="F10" i="25"/>
  <c r="F9" i="25"/>
  <c r="F8" i="25"/>
  <c r="F7" i="25"/>
  <c r="F6" i="25"/>
  <c r="F5" i="25"/>
  <c r="F4" i="25"/>
  <c r="G48" i="18"/>
  <c r="F48" i="18"/>
  <c r="G46" i="18"/>
  <c r="E46" i="18" s="1"/>
  <c r="G32" i="18"/>
  <c r="E32" i="18" s="1"/>
  <c r="G30" i="18"/>
  <c r="E30" i="18" s="1"/>
  <c r="H16" i="18"/>
  <c r="G16" i="18"/>
  <c r="H14" i="18"/>
  <c r="G14" i="18"/>
  <c r="D4" i="18"/>
  <c r="D5" i="18"/>
  <c r="E5" i="18"/>
  <c r="D6" i="18"/>
  <c r="F10" i="18"/>
  <c r="G10" i="18"/>
  <c r="H10" i="18"/>
  <c r="D21" i="18"/>
  <c r="E21" i="18"/>
  <c r="D22" i="18"/>
  <c r="F26" i="18"/>
  <c r="G26" i="18"/>
  <c r="D36" i="18"/>
  <c r="D37" i="18"/>
  <c r="E37" i="18"/>
  <c r="D38" i="18"/>
  <c r="F42" i="18"/>
  <c r="G42" i="18"/>
  <c r="ER250" i="7"/>
  <c r="E64" i="19"/>
  <c r="AM15" i="21"/>
  <c r="AL15" i="21"/>
  <c r="AK15" i="21"/>
  <c r="AJ15" i="21"/>
  <c r="AM14" i="21"/>
  <c r="AL14" i="21"/>
  <c r="AK14" i="21"/>
  <c r="AJ14" i="21"/>
  <c r="AM13" i="21"/>
  <c r="AL13" i="21"/>
  <c r="AK13" i="21"/>
  <c r="AJ13" i="21"/>
  <c r="AM12" i="21"/>
  <c r="AL12" i="21"/>
  <c r="AK12" i="21"/>
  <c r="AJ12" i="21"/>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Q55" i="24"/>
  <c r="K106" i="24" s="1"/>
  <c r="K107" i="24" s="1"/>
  <c r="P55" i="24"/>
  <c r="Q106" i="24" s="1"/>
  <c r="O55" i="24"/>
  <c r="I106" i="24" s="1"/>
  <c r="I107" i="24" s="1"/>
  <c r="K55" i="24"/>
  <c r="P77" i="24" s="1"/>
  <c r="J55" i="24"/>
  <c r="J77" i="24" s="1"/>
  <c r="J78" i="24" s="1"/>
  <c r="I55" i="24"/>
  <c r="K77" i="24" s="1"/>
  <c r="K78" i="24" s="1"/>
  <c r="K51" i="24"/>
  <c r="J51" i="24"/>
  <c r="I51" i="24"/>
  <c r="P38" i="24"/>
  <c r="J38" i="24"/>
  <c r="H38" i="24"/>
  <c r="Q36" i="24"/>
  <c r="P36" i="24"/>
  <c r="O36" i="24"/>
  <c r="M36" i="24"/>
  <c r="K36" i="24"/>
  <c r="I36" i="24"/>
  <c r="H36" i="24"/>
  <c r="R9" i="24"/>
  <c r="J7" i="24"/>
  <c r="R7" i="24" s="1"/>
  <c r="F32" i="23"/>
  <c r="D32" i="23" s="1"/>
  <c r="F24" i="23"/>
  <c r="G24" i="23" s="1"/>
  <c r="F17" i="23"/>
  <c r="F16" i="23" s="1"/>
  <c r="G16" i="23" s="1"/>
  <c r="H16" i="23" s="1"/>
  <c r="I16" i="23" s="1"/>
  <c r="J16" i="23" s="1"/>
  <c r="E16" i="18" l="1"/>
  <c r="H17" i="18" s="1"/>
  <c r="G129" i="19"/>
  <c r="E14" i="18"/>
  <c r="E129" i="19"/>
  <c r="H12" i="26"/>
  <c r="J17" i="26" s="1"/>
  <c r="J129" i="19"/>
  <c r="H47" i="18"/>
  <c r="I15" i="18"/>
  <c r="G31" i="18"/>
  <c r="E48" i="18"/>
  <c r="H49" i="18" s="1"/>
  <c r="H14" i="26"/>
  <c r="J18" i="26" s="1"/>
  <c r="J472" i="25"/>
  <c r="U471" i="25"/>
  <c r="K16" i="23"/>
  <c r="D16" i="23" s="1"/>
  <c r="R38" i="24"/>
  <c r="O46" i="24" s="1"/>
  <c r="I77" i="24"/>
  <c r="I78" i="24" s="1"/>
  <c r="J80" i="24" s="1"/>
  <c r="Q77" i="24"/>
  <c r="H24" i="23"/>
  <c r="D24" i="23" s="1"/>
  <c r="R106" i="24"/>
  <c r="G15" i="18"/>
  <c r="H15" i="18"/>
  <c r="J15" i="18"/>
  <c r="H31" i="18"/>
  <c r="G47" i="18"/>
  <c r="K129" i="19"/>
  <c r="I129" i="19"/>
  <c r="D129" i="19"/>
  <c r="H129" i="19"/>
  <c r="F129" i="19"/>
  <c r="C129" i="19"/>
  <c r="L129" i="19"/>
  <c r="I18" i="26"/>
  <c r="I17" i="26"/>
  <c r="I73" i="19"/>
  <c r="H74" i="19"/>
  <c r="H33" i="18"/>
  <c r="G33" i="18"/>
  <c r="F33" i="18"/>
  <c r="D42" i="18"/>
  <c r="D44" i="18" s="1"/>
  <c r="D10" i="18"/>
  <c r="E53" i="18"/>
  <c r="E42" i="18"/>
  <c r="E26" i="18"/>
  <c r="E10" i="18"/>
  <c r="R77" i="24"/>
  <c r="J36" i="24"/>
  <c r="Y55" i="24"/>
  <c r="P106" i="24"/>
  <c r="J106" i="24"/>
  <c r="J107" i="24" s="1"/>
  <c r="J109" i="24" s="1"/>
  <c r="Y57" i="24"/>
  <c r="D8" i="23" l="1"/>
  <c r="G17" i="18"/>
  <c r="I80" i="24"/>
  <c r="P80" i="24"/>
  <c r="P86" i="24" s="1"/>
  <c r="K80" i="24"/>
  <c r="K82" i="24" s="1"/>
  <c r="R80" i="24"/>
  <c r="R82" i="24" s="1"/>
  <c r="H20" i="18"/>
  <c r="D20" i="18" s="1"/>
  <c r="D26" i="18" s="1"/>
  <c r="D28" i="18" s="1"/>
  <c r="Q80" i="24"/>
  <c r="Q95" i="24" s="1"/>
  <c r="Q46" i="24"/>
  <c r="P46" i="24"/>
  <c r="K18" i="26"/>
  <c r="G49" i="18"/>
  <c r="F49" i="18"/>
  <c r="I19" i="26"/>
  <c r="J473" i="25"/>
  <c r="U472" i="25"/>
  <c r="G39" i="18"/>
  <c r="K17" i="26"/>
  <c r="M17" i="26"/>
  <c r="J73" i="19"/>
  <c r="I74" i="19"/>
  <c r="F7" i="18"/>
  <c r="F23" i="18"/>
  <c r="F39" i="18"/>
  <c r="G7" i="18"/>
  <c r="G23" i="18"/>
  <c r="H7" i="18"/>
  <c r="E58" i="18"/>
  <c r="K109" i="24"/>
  <c r="J95" i="24"/>
  <c r="J84" i="24"/>
  <c r="I109" i="24"/>
  <c r="I125" i="24" s="1"/>
  <c r="P109" i="24"/>
  <c r="R36" i="24"/>
  <c r="J46" i="24" s="1"/>
  <c r="R109" i="24"/>
  <c r="I86" i="24"/>
  <c r="I94" i="24"/>
  <c r="J124" i="24"/>
  <c r="J113" i="24"/>
  <c r="Q109" i="24"/>
  <c r="Q84" i="24"/>
  <c r="K96" i="24" l="1"/>
  <c r="I96" i="24"/>
  <c r="R96" i="24"/>
  <c r="J96" i="24"/>
  <c r="Q96" i="24"/>
  <c r="Z55" i="24" s="1"/>
  <c r="I95" i="24"/>
  <c r="P95" i="24"/>
  <c r="AA55" i="24" s="1"/>
  <c r="P94" i="24"/>
  <c r="AB55" i="24" s="1"/>
  <c r="P96" i="24"/>
  <c r="AA57" i="24" s="1"/>
  <c r="H11" i="18"/>
  <c r="E39" i="18"/>
  <c r="L18" i="26"/>
  <c r="E7" i="18"/>
  <c r="J474" i="25"/>
  <c r="U473" i="25"/>
  <c r="F27" i="18"/>
  <c r="L17" i="26"/>
  <c r="K73" i="19"/>
  <c r="J74" i="19"/>
  <c r="G43" i="18"/>
  <c r="F11" i="18"/>
  <c r="F43" i="18"/>
  <c r="G27" i="18"/>
  <c r="G11" i="18"/>
  <c r="E23" i="18"/>
  <c r="R125" i="24"/>
  <c r="P124" i="24"/>
  <c r="AG55" i="24" s="1"/>
  <c r="R111" i="24"/>
  <c r="P115" i="24"/>
  <c r="Q125" i="24"/>
  <c r="AH55" i="24" s="1"/>
  <c r="P123" i="24"/>
  <c r="AF55" i="24" s="1"/>
  <c r="I124" i="24"/>
  <c r="K111" i="24"/>
  <c r="K125" i="24"/>
  <c r="Q113" i="24"/>
  <c r="P125" i="24"/>
  <c r="AG57" i="24" s="1"/>
  <c r="Q124" i="24"/>
  <c r="J125" i="24"/>
  <c r="I115" i="24"/>
  <c r="I123" i="24"/>
  <c r="AI55" i="24"/>
  <c r="I46" i="24"/>
  <c r="AI57" i="24"/>
  <c r="K46" i="24"/>
  <c r="M18" i="26" l="1"/>
  <c r="N17" i="26" s="1"/>
  <c r="G21" i="26" s="1"/>
  <c r="E55" i="18"/>
  <c r="E27" i="18"/>
  <c r="J475" i="25"/>
  <c r="U474" i="25"/>
  <c r="E3846" i="25"/>
  <c r="E3734" i="25"/>
  <c r="E3702" i="25"/>
  <c r="E3853" i="25"/>
  <c r="E3805" i="25"/>
  <c r="E3741" i="25"/>
  <c r="E3972" i="25"/>
  <c r="E3924" i="25"/>
  <c r="E3908" i="25"/>
  <c r="E3796" i="25"/>
  <c r="E3732" i="25"/>
  <c r="E3668" i="25"/>
  <c r="E3943" i="25"/>
  <c r="E3911" i="25"/>
  <c r="E3815" i="25"/>
  <c r="E3799" i="25"/>
  <c r="E3783" i="25"/>
  <c r="E3687" i="25"/>
  <c r="E3653" i="25"/>
  <c r="E3605" i="25"/>
  <c r="E3541" i="25"/>
  <c r="E3477" i="25"/>
  <c r="E3461" i="25"/>
  <c r="E3365" i="25"/>
  <c r="E3349" i="25"/>
  <c r="E3644" i="25"/>
  <c r="E3564" i="25"/>
  <c r="E3548" i="25"/>
  <c r="E3484" i="25"/>
  <c r="E3643" i="25"/>
  <c r="E3579" i="25"/>
  <c r="E3563" i="25"/>
  <c r="E3467" i="25"/>
  <c r="E3582" i="25"/>
  <c r="E3454" i="25"/>
  <c r="E3347" i="25"/>
  <c r="E3326" i="25"/>
  <c r="E3260" i="25"/>
  <c r="E3196" i="25"/>
  <c r="E3148" i="25"/>
  <c r="E3100" i="25"/>
  <c r="E3020" i="25"/>
  <c r="E3004" i="25"/>
  <c r="E2972" i="25"/>
  <c r="E3514" i="25"/>
  <c r="E3410" i="25"/>
  <c r="E3367" i="25"/>
  <c r="E3291" i="25"/>
  <c r="E3227" i="25"/>
  <c r="E3195" i="25"/>
  <c r="E3590" i="25"/>
  <c r="E3526" i="25"/>
  <c r="E3414" i="25"/>
  <c r="E3310" i="25"/>
  <c r="E3278" i="25"/>
  <c r="E3214" i="25"/>
  <c r="E3182" i="25"/>
  <c r="E3439" i="25"/>
  <c r="E3281" i="25"/>
  <c r="E3075" i="25"/>
  <c r="E3011" i="25"/>
  <c r="E2990" i="25"/>
  <c r="E2895" i="25"/>
  <c r="E2863" i="25"/>
  <c r="E2799" i="25"/>
  <c r="E2735" i="25"/>
  <c r="E2703" i="25"/>
  <c r="E2656" i="25"/>
  <c r="E2576" i="25"/>
  <c r="E2544" i="25"/>
  <c r="E2528" i="25"/>
  <c r="E3327" i="25"/>
  <c r="E3133" i="25"/>
  <c r="E3069" i="25"/>
  <c r="E2983" i="25"/>
  <c r="E2906" i="25"/>
  <c r="E2890" i="25"/>
  <c r="E2810" i="25"/>
  <c r="E2778" i="25"/>
  <c r="E2746" i="25"/>
  <c r="E3177" i="25"/>
  <c r="E3126" i="25"/>
  <c r="E3041" i="25"/>
  <c r="E2977" i="25"/>
  <c r="E2901" i="25"/>
  <c r="E2885" i="25"/>
  <c r="E2805" i="25"/>
  <c r="E2757" i="25"/>
  <c r="E2741" i="25"/>
  <c r="E2832" i="25"/>
  <c r="E2768" i="25"/>
  <c r="E2655" i="25"/>
  <c r="E2570" i="25"/>
  <c r="E2506" i="25"/>
  <c r="E2469" i="25"/>
  <c r="E2373" i="25"/>
  <c r="E2357" i="25"/>
  <c r="E2341" i="25"/>
  <c r="E2245" i="25"/>
  <c r="E2213" i="25"/>
  <c r="E2162" i="25"/>
  <c r="E2098" i="25"/>
  <c r="E2034" i="25"/>
  <c r="E2018" i="25"/>
  <c r="E1922" i="25"/>
  <c r="E1906" i="25"/>
  <c r="E3423" i="25"/>
  <c r="E2828" i="25"/>
  <c r="E2764" i="25"/>
  <c r="E2654" i="25"/>
  <c r="E2590" i="25"/>
  <c r="E2505" i="25"/>
  <c r="E2484" i="25"/>
  <c r="E2388" i="25"/>
  <c r="E2356" i="25"/>
  <c r="E2324" i="25"/>
  <c r="E2244" i="25"/>
  <c r="E2228" i="25"/>
  <c r="E2165" i="25"/>
  <c r="E2101" i="25"/>
  <c r="E3002" i="25"/>
  <c r="E2792" i="25"/>
  <c r="E2642" i="25"/>
  <c r="E2621" i="25"/>
  <c r="E2578" i="25"/>
  <c r="E2475" i="25"/>
  <c r="E2427" i="25"/>
  <c r="E2395" i="25"/>
  <c r="E2331" i="25"/>
  <c r="E2267" i="25"/>
  <c r="E2235" i="25"/>
  <c r="E2156" i="25"/>
  <c r="E2140" i="25"/>
  <c r="E3082" i="25"/>
  <c r="E2426" i="25"/>
  <c r="E2298" i="25"/>
  <c r="E2080" i="25"/>
  <c r="E2037" i="25"/>
  <c r="E1952" i="25"/>
  <c r="E1909" i="25"/>
  <c r="E1818" i="25"/>
  <c r="E1771" i="25"/>
  <c r="E1756" i="25"/>
  <c r="E1674" i="25"/>
  <c r="E1643" i="25"/>
  <c r="E1577" i="25"/>
  <c r="E1515" i="25"/>
  <c r="E1484" i="25"/>
  <c r="E1434" i="25"/>
  <c r="E1356" i="25"/>
  <c r="E1321" i="25"/>
  <c r="E1306" i="25"/>
  <c r="E2529" i="25"/>
  <c r="E2326" i="25"/>
  <c r="E2135" i="25"/>
  <c r="E2025" i="25"/>
  <c r="E1940" i="25"/>
  <c r="E1919" i="25"/>
  <c r="E1825" i="25"/>
  <c r="E1794" i="25"/>
  <c r="E1763" i="25"/>
  <c r="E1666" i="25"/>
  <c r="E1650" i="25"/>
  <c r="E1588" i="25"/>
  <c r="E1538" i="25"/>
  <c r="E2545" i="25"/>
  <c r="E2466" i="25"/>
  <c r="E2147" i="25"/>
  <c r="E2051" i="25"/>
  <c r="E2029" i="25"/>
  <c r="E1901" i="25"/>
  <c r="E1880" i="25"/>
  <c r="E1812" i="25"/>
  <c r="E1746" i="25"/>
  <c r="E1700" i="25"/>
  <c r="E1665" i="25"/>
  <c r="E1572" i="25"/>
  <c r="E1556" i="25"/>
  <c r="E2933" i="25"/>
  <c r="E1811" i="25"/>
  <c r="E1687" i="25"/>
  <c r="E1520" i="25"/>
  <c r="E1437" i="25"/>
  <c r="E1350" i="25"/>
  <c r="E1328" i="25"/>
  <c r="E1237" i="25"/>
  <c r="E1222" i="25"/>
  <c r="E1191" i="25"/>
  <c r="E1125" i="25"/>
  <c r="E1109" i="25"/>
  <c r="E1063" i="25"/>
  <c r="E1032" i="25"/>
  <c r="E981" i="25"/>
  <c r="E966" i="25"/>
  <c r="E904" i="25"/>
  <c r="E869" i="25"/>
  <c r="E853" i="25"/>
  <c r="E791" i="25"/>
  <c r="E776" i="25"/>
  <c r="E725" i="25"/>
  <c r="E679" i="25"/>
  <c r="E648" i="25"/>
  <c r="E613" i="25"/>
  <c r="E551" i="25"/>
  <c r="E535" i="25"/>
  <c r="E519" i="25"/>
  <c r="E455" i="25"/>
  <c r="E423" i="25"/>
  <c r="E391" i="25"/>
  <c r="E2318" i="25"/>
  <c r="E1916" i="25"/>
  <c r="E1839" i="25"/>
  <c r="E1590" i="25"/>
  <c r="E1534" i="25"/>
  <c r="E1493" i="25"/>
  <c r="E1410" i="25"/>
  <c r="E1389" i="25"/>
  <c r="E1322" i="25"/>
  <c r="E1283" i="25"/>
  <c r="E1236" i="25"/>
  <c r="E1217" i="25"/>
  <c r="E1155" i="25"/>
  <c r="E1124" i="25"/>
  <c r="E1108" i="25"/>
  <c r="E1042" i="25"/>
  <c r="E1027" i="25"/>
  <c r="E980" i="25"/>
  <c r="E930" i="25"/>
  <c r="E899" i="25"/>
  <c r="E868" i="25"/>
  <c r="E802" i="25"/>
  <c r="E786" i="25"/>
  <c r="E771" i="25"/>
  <c r="E705" i="25"/>
  <c r="E674" i="25"/>
  <c r="E643" i="25"/>
  <c r="E596" i="25"/>
  <c r="E545" i="25"/>
  <c r="E529" i="25"/>
  <c r="E2081" i="25"/>
  <c r="E1996" i="25"/>
  <c r="E1835" i="25"/>
  <c r="E1586" i="25"/>
  <c r="E1533" i="25"/>
  <c r="E1466" i="25"/>
  <c r="E1424" i="25"/>
  <c r="E1362" i="25"/>
  <c r="E1342" i="25"/>
  <c r="E1262" i="25"/>
  <c r="E1231" i="25"/>
  <c r="E1216" i="25"/>
  <c r="E1150" i="25"/>
  <c r="E1134" i="25"/>
  <c r="E1088" i="25"/>
  <c r="E1037" i="25"/>
  <c r="E1006" i="25"/>
  <c r="E975" i="25"/>
  <c r="E909" i="25"/>
  <c r="E894" i="25"/>
  <c r="E878" i="25"/>
  <c r="E816" i="25"/>
  <c r="E781" i="25"/>
  <c r="E750" i="25"/>
  <c r="E704" i="25"/>
  <c r="E653" i="25"/>
  <c r="E638" i="25"/>
  <c r="E576" i="25"/>
  <c r="E560" i="25"/>
  <c r="E526" i="25"/>
  <c r="E1490" i="25"/>
  <c r="E1386" i="25"/>
  <c r="E1176" i="25"/>
  <c r="E1036" i="25"/>
  <c r="E850" i="25"/>
  <c r="E788" i="25"/>
  <c r="E533" i="25"/>
  <c r="E470" i="25"/>
  <c r="E453" i="25"/>
  <c r="E363" i="25"/>
  <c r="E347" i="25"/>
  <c r="E299" i="25"/>
  <c r="E251" i="25"/>
  <c r="E219" i="25"/>
  <c r="E187" i="25"/>
  <c r="E123" i="25"/>
  <c r="E107" i="25"/>
  <c r="E91" i="25"/>
  <c r="E27" i="25"/>
  <c r="E2222" i="25"/>
  <c r="E1567" i="25"/>
  <c r="E1299" i="25"/>
  <c r="E1110" i="25"/>
  <c r="E1048" i="25"/>
  <c r="E784" i="25"/>
  <c r="E722" i="25"/>
  <c r="E598" i="25"/>
  <c r="E448" i="25"/>
  <c r="E431" i="25"/>
  <c r="E365" i="25"/>
  <c r="E333" i="25"/>
  <c r="E285" i="25"/>
  <c r="E269" i="25"/>
  <c r="E205" i="25"/>
  <c r="E173" i="25"/>
  <c r="E157" i="25"/>
  <c r="E93" i="25"/>
  <c r="E77" i="25"/>
  <c r="E29" i="25"/>
  <c r="E1948" i="25"/>
  <c r="E1501" i="25"/>
  <c r="E1335" i="25"/>
  <c r="E1075" i="25"/>
  <c r="E1013" i="25"/>
  <c r="E951" i="25"/>
  <c r="E687" i="25"/>
  <c r="E563" i="25"/>
  <c r="E483" i="25"/>
  <c r="E425" i="25"/>
  <c r="E361" i="25"/>
  <c r="E345" i="25"/>
  <c r="E281" i="25"/>
  <c r="E265" i="25"/>
  <c r="E233" i="25"/>
  <c r="E169" i="25"/>
  <c r="E153" i="25"/>
  <c r="E105" i="25"/>
  <c r="E73" i="25"/>
  <c r="E25" i="25"/>
  <c r="E9" i="25"/>
  <c r="E652" i="25"/>
  <c r="E408" i="25"/>
  <c r="E335" i="25"/>
  <c r="E79" i="25"/>
  <c r="E15" i="25"/>
  <c r="E947" i="25"/>
  <c r="E437" i="25"/>
  <c r="E293" i="25"/>
  <c r="E165" i="25"/>
  <c r="E1242" i="25"/>
  <c r="E994" i="25"/>
  <c r="E745" i="25"/>
  <c r="E277" i="25"/>
  <c r="E149" i="25"/>
  <c r="E21" i="25"/>
  <c r="E2097" i="25"/>
  <c r="E1784" i="25"/>
  <c r="E395" i="25"/>
  <c r="E18" i="25"/>
  <c r="E3970" i="25"/>
  <c r="E3938" i="25"/>
  <c r="E3874" i="25"/>
  <c r="E3858" i="25"/>
  <c r="E3810" i="25"/>
  <c r="E3778" i="25"/>
  <c r="E3730" i="25"/>
  <c r="E3714" i="25"/>
  <c r="E3977" i="25"/>
  <c r="E3945" i="25"/>
  <c r="E3929" i="25"/>
  <c r="E3865" i="25"/>
  <c r="E3849" i="25"/>
  <c r="E3801" i="25"/>
  <c r="E3753" i="25"/>
  <c r="E3721" i="25"/>
  <c r="E3689" i="25"/>
  <c r="E3952" i="25"/>
  <c r="E3936" i="25"/>
  <c r="E3920" i="25"/>
  <c r="E3856" i="25"/>
  <c r="E3824" i="25"/>
  <c r="E3792" i="25"/>
  <c r="E3744" i="25"/>
  <c r="E3696" i="25"/>
  <c r="E3680" i="25"/>
  <c r="E3939" i="25"/>
  <c r="E3923" i="25"/>
  <c r="E3891" i="25"/>
  <c r="E3827" i="25"/>
  <c r="E3811" i="25"/>
  <c r="E3763" i="25"/>
  <c r="E3731" i="25"/>
  <c r="E3683" i="25"/>
  <c r="E3667" i="25"/>
  <c r="E3601" i="25"/>
  <c r="E3569" i="25"/>
  <c r="E3553" i="25"/>
  <c r="E3489" i="25"/>
  <c r="E3473" i="25"/>
  <c r="E3425" i="25"/>
  <c r="E3377" i="25"/>
  <c r="E3345" i="25"/>
  <c r="E3656" i="25"/>
  <c r="E3592" i="25"/>
  <c r="E3576" i="25"/>
  <c r="E3560" i="25"/>
  <c r="E3496" i="25"/>
  <c r="E3464" i="25"/>
  <c r="E3639" i="25"/>
  <c r="E3591" i="25"/>
  <c r="E3543" i="25"/>
  <c r="E3527" i="25"/>
  <c r="E3463" i="25"/>
  <c r="E3630" i="25"/>
  <c r="E3502" i="25"/>
  <c r="E3384" i="25"/>
  <c r="E3363" i="25"/>
  <c r="E3304" i="25"/>
  <c r="E3272" i="25"/>
  <c r="E3224" i="25"/>
  <c r="E3208" i="25"/>
  <c r="E3144" i="25"/>
  <c r="E3112" i="25"/>
  <c r="E3096" i="25"/>
  <c r="E3032" i="25"/>
  <c r="E3016" i="25"/>
  <c r="E2968" i="25"/>
  <c r="E3626" i="25"/>
  <c r="E3498" i="25"/>
  <c r="E3426" i="25"/>
  <c r="E3340" i="25"/>
  <c r="E3319" i="25"/>
  <c r="E3303" i="25"/>
  <c r="E3239" i="25"/>
  <c r="E3207" i="25"/>
  <c r="E3175" i="25"/>
  <c r="E3638" i="25"/>
  <c r="E3451" i="25"/>
  <c r="E3430" i="25"/>
  <c r="E3344" i="25"/>
  <c r="E3323" i="25"/>
  <c r="E3290" i="25"/>
  <c r="E3226" i="25"/>
  <c r="E3210" i="25"/>
  <c r="E3162" i="25"/>
  <c r="E3602" i="25"/>
  <c r="E3265" i="25"/>
  <c r="E3201" i="25"/>
  <c r="E3070" i="25"/>
  <c r="E3027" i="25"/>
  <c r="E3006" i="25"/>
  <c r="E2923" i="25"/>
  <c r="E2907" i="25"/>
  <c r="E2859" i="25"/>
  <c r="E2811" i="25"/>
  <c r="E2779" i="25"/>
  <c r="E2747" i="25"/>
  <c r="E2683" i="25"/>
  <c r="E2668" i="25"/>
  <c r="E2652" i="25"/>
  <c r="E2588" i="25"/>
  <c r="E2556" i="25"/>
  <c r="E2524" i="25"/>
  <c r="E3522" i="25"/>
  <c r="E3245" i="25"/>
  <c r="E3181" i="25"/>
  <c r="E3063" i="25"/>
  <c r="E3042" i="25"/>
  <c r="E2999" i="25"/>
  <c r="E2918" i="25"/>
  <c r="E2902" i="25"/>
  <c r="E2854" i="25"/>
  <c r="E2822" i="25"/>
  <c r="E2774" i="25"/>
  <c r="E2758" i="25"/>
  <c r="E3364" i="25"/>
  <c r="E3225" i="25"/>
  <c r="E3161" i="25"/>
  <c r="E3057" i="25"/>
  <c r="E3035" i="25"/>
  <c r="E2971" i="25"/>
  <c r="E2913" i="25"/>
  <c r="E2881" i="25"/>
  <c r="E2849" i="25"/>
  <c r="E2785" i="25"/>
  <c r="E2769" i="25"/>
  <c r="E2753" i="25"/>
  <c r="E3034" i="25"/>
  <c r="E2880" i="25"/>
  <c r="E2752" i="25"/>
  <c r="E2671" i="25"/>
  <c r="E2607" i="25"/>
  <c r="E2586" i="25"/>
  <c r="E2501" i="25"/>
  <c r="E2481" i="25"/>
  <c r="E2449" i="25"/>
  <c r="E2385" i="25"/>
  <c r="E2369" i="25"/>
  <c r="E2321" i="25"/>
  <c r="E2289" i="25"/>
  <c r="E2241" i="25"/>
  <c r="E2225" i="25"/>
  <c r="E2158" i="25"/>
  <c r="E2126" i="25"/>
  <c r="E2110" i="25"/>
  <c r="E2046" i="25"/>
  <c r="E2030" i="25"/>
  <c r="E1982" i="25"/>
  <c r="E1934" i="25"/>
  <c r="E1902" i="25"/>
  <c r="E1870" i="25"/>
  <c r="E2943" i="25"/>
  <c r="E2876" i="25"/>
  <c r="E2812" i="25"/>
  <c r="E2670" i="25"/>
  <c r="E2627" i="25"/>
  <c r="E2585" i="25"/>
  <c r="E2521" i="25"/>
  <c r="E2464" i="25"/>
  <c r="E2448" i="25"/>
  <c r="E2384" i="25"/>
  <c r="E2368" i="25"/>
  <c r="E2336" i="25"/>
  <c r="E2272" i="25"/>
  <c r="E2256" i="25"/>
  <c r="E2208" i="25"/>
  <c r="E2176" i="25"/>
  <c r="E2129" i="25"/>
  <c r="E2113" i="25"/>
  <c r="E2981" i="25"/>
  <c r="E2840" i="25"/>
  <c r="E2776" i="25"/>
  <c r="E2658" i="25"/>
  <c r="E2637" i="25"/>
  <c r="E2573" i="25"/>
  <c r="E2509" i="25"/>
  <c r="E2471" i="25"/>
  <c r="E2439" i="25"/>
  <c r="E2375" i="25"/>
  <c r="E2359" i="25"/>
  <c r="E2343" i="25"/>
  <c r="E2279" i="25"/>
  <c r="E2247" i="25"/>
  <c r="E2215" i="25"/>
  <c r="E2167" i="25"/>
  <c r="E2120" i="25"/>
  <c r="E2104" i="25"/>
  <c r="E2555" i="25"/>
  <c r="E2474" i="25"/>
  <c r="E2346" i="25"/>
  <c r="E2096" i="25"/>
  <c r="E2075" i="25"/>
  <c r="E2011" i="25"/>
  <c r="E1968" i="25"/>
  <c r="E1904" i="25"/>
  <c r="E1883" i="25"/>
  <c r="E1830" i="25"/>
  <c r="E1814" i="25"/>
  <c r="E1799" i="25"/>
  <c r="E1752" i="25"/>
  <c r="E1733" i="25"/>
  <c r="E1702" i="25"/>
  <c r="E1671" i="25"/>
  <c r="E1640" i="25"/>
  <c r="E1624" i="25"/>
  <c r="E1574" i="25"/>
  <c r="E1558" i="25"/>
  <c r="E1543" i="25"/>
  <c r="E1496" i="25"/>
  <c r="E1477" i="25"/>
  <c r="E1446" i="25"/>
  <c r="E1415" i="25"/>
  <c r="E1384" i="25"/>
  <c r="E1368" i="25"/>
  <c r="E1318" i="25"/>
  <c r="E1302" i="25"/>
  <c r="E3490" i="25"/>
  <c r="E2593" i="25"/>
  <c r="E2507" i="25"/>
  <c r="E2374" i="25"/>
  <c r="E2246" i="25"/>
  <c r="E2119" i="25"/>
  <c r="E2084" i="25"/>
  <c r="E2020" i="25"/>
  <c r="E1999" i="25"/>
  <c r="E1977" i="25"/>
  <c r="E1913" i="25"/>
  <c r="E1892" i="25"/>
  <c r="E1853" i="25"/>
  <c r="E1821" i="25"/>
  <c r="E1790" i="25"/>
  <c r="E1774" i="25"/>
  <c r="E1728" i="25"/>
  <c r="E1712" i="25"/>
  <c r="E1693" i="25"/>
  <c r="E1646" i="25"/>
  <c r="E1631" i="25"/>
  <c r="E1600" i="25"/>
  <c r="E1565" i="25"/>
  <c r="E3380" i="25"/>
  <c r="E2884" i="25"/>
  <c r="E2523" i="25"/>
  <c r="E2450" i="25"/>
  <c r="E2386" i="25"/>
  <c r="E2194" i="25"/>
  <c r="E2131" i="25"/>
  <c r="E2067" i="25"/>
  <c r="E2024" i="25"/>
  <c r="E1981" i="25"/>
  <c r="E1960" i="25"/>
  <c r="E1896" i="25"/>
  <c r="E1875" i="25"/>
  <c r="E1856" i="25"/>
  <c r="E1808" i="25"/>
  <c r="E1789" i="25"/>
  <c r="E1758" i="25"/>
  <c r="E1727" i="25"/>
  <c r="E1696" i="25"/>
  <c r="E1680" i="25"/>
  <c r="E1630" i="25"/>
  <c r="E1614" i="25"/>
  <c r="E1599" i="25"/>
  <c r="E1552" i="25"/>
  <c r="E2709" i="25"/>
  <c r="E2143" i="25"/>
  <c r="E1943" i="25"/>
  <c r="E1796" i="25"/>
  <c r="E1734" i="25"/>
  <c r="E1536" i="25"/>
  <c r="E1514" i="25"/>
  <c r="E1494" i="25"/>
  <c r="E1432" i="25"/>
  <c r="E1406" i="25"/>
  <c r="E1365" i="25"/>
  <c r="E1323" i="25"/>
  <c r="E1284" i="25"/>
  <c r="E1268" i="25"/>
  <c r="E1218" i="25"/>
  <c r="E1202" i="25"/>
  <c r="E1187" i="25"/>
  <c r="E1140" i="25"/>
  <c r="E1121" i="25"/>
  <c r="E1090" i="25"/>
  <c r="E1059" i="25"/>
  <c r="E1028" i="25"/>
  <c r="E1012" i="25"/>
  <c r="E962" i="25"/>
  <c r="E946" i="25"/>
  <c r="E931" i="25"/>
  <c r="E884" i="25"/>
  <c r="E865" i="25"/>
  <c r="E834" i="25"/>
  <c r="E803" i="25"/>
  <c r="E772" i="25"/>
  <c r="E756" i="25"/>
  <c r="E706" i="25"/>
  <c r="E690" i="25"/>
  <c r="E675" i="25"/>
  <c r="E628" i="25"/>
  <c r="E609" i="25"/>
  <c r="E578" i="25"/>
  <c r="E546" i="25"/>
  <c r="E514" i="25"/>
  <c r="E498" i="25"/>
  <c r="E452" i="25"/>
  <c r="E436" i="25"/>
  <c r="E420" i="25"/>
  <c r="E3301" i="25"/>
  <c r="E2518" i="25"/>
  <c r="E2065" i="25"/>
  <c r="E1895" i="25"/>
  <c r="E1761" i="25"/>
  <c r="E1699" i="25"/>
  <c r="E1529" i="25"/>
  <c r="E1509" i="25"/>
  <c r="E1487" i="25"/>
  <c r="E1425" i="25"/>
  <c r="E1405" i="25"/>
  <c r="E3966" i="25"/>
  <c r="E3934" i="25"/>
  <c r="E3902" i="25"/>
  <c r="E3886" i="25"/>
  <c r="E3838" i="25"/>
  <c r="E3822" i="25"/>
  <c r="E3806" i="25"/>
  <c r="E3758" i="25"/>
  <c r="E3742" i="25"/>
  <c r="E3710" i="25"/>
  <c r="E3678" i="25"/>
  <c r="E3973" i="25"/>
  <c r="E3957" i="25"/>
  <c r="E3909" i="25"/>
  <c r="E3893" i="25"/>
  <c r="E3877" i="25"/>
  <c r="E3829" i="25"/>
  <c r="E3813" i="25"/>
  <c r="E3781" i="25"/>
  <c r="E3749" i="25"/>
  <c r="E3717" i="25"/>
  <c r="E3701" i="25"/>
  <c r="E3980" i="25"/>
  <c r="E3964" i="25"/>
  <c r="E3948" i="25"/>
  <c r="E3900" i="25"/>
  <c r="E3884" i="25"/>
  <c r="E3852" i="25"/>
  <c r="E3820" i="25"/>
  <c r="E3788" i="25"/>
  <c r="E3772" i="25"/>
  <c r="E3724" i="25"/>
  <c r="E3708" i="25"/>
  <c r="E3692" i="25"/>
  <c r="E3967" i="25"/>
  <c r="E3951" i="25"/>
  <c r="E3919" i="25"/>
  <c r="E3887" i="25"/>
  <c r="E3855" i="25"/>
  <c r="E3839" i="25"/>
  <c r="E3791" i="25"/>
  <c r="E3775" i="25"/>
  <c r="E3759" i="25"/>
  <c r="E3711" i="25"/>
  <c r="E3695" i="25"/>
  <c r="E3663" i="25"/>
  <c r="E3629" i="25"/>
  <c r="E3597" i="25"/>
  <c r="E3581" i="25"/>
  <c r="E3533" i="25"/>
  <c r="E3517" i="25"/>
  <c r="E3501" i="25"/>
  <c r="E3453" i="25"/>
  <c r="E3437" i="25"/>
  <c r="E3405" i="25"/>
  <c r="E3373" i="25"/>
  <c r="E3341" i="25"/>
  <c r="E3325" i="25"/>
  <c r="E3620" i="25"/>
  <c r="E3604" i="25"/>
  <c r="E3588" i="25"/>
  <c r="E3540" i="25"/>
  <c r="E3524" i="25"/>
  <c r="E3492" i="25"/>
  <c r="E3460" i="25"/>
  <c r="E3635" i="25"/>
  <c r="E3619" i="25"/>
  <c r="E3571" i="25"/>
  <c r="E3555" i="25"/>
  <c r="E3539" i="25"/>
  <c r="E3491" i="25"/>
  <c r="E3475" i="25"/>
  <c r="E3614" i="25"/>
  <c r="E3486" i="25"/>
  <c r="E3422" i="25"/>
  <c r="E3400" i="25"/>
  <c r="E3336" i="25"/>
  <c r="E3316" i="25"/>
  <c r="E3300" i="25"/>
  <c r="E3252" i="25"/>
  <c r="E3236" i="25"/>
  <c r="E3204" i="25"/>
  <c r="E3172" i="25"/>
  <c r="E3140" i="25"/>
  <c r="E3124" i="25"/>
  <c r="E3076" i="25"/>
  <c r="E3060" i="25"/>
  <c r="E3044" i="25"/>
  <c r="E2996" i="25"/>
  <c r="E2980" i="25"/>
  <c r="E2948" i="25"/>
  <c r="E3610" i="25"/>
  <c r="E3482" i="25"/>
  <c r="E3442" i="25"/>
  <c r="E3378" i="25"/>
  <c r="E3356" i="25"/>
  <c r="E3335" i="25"/>
  <c r="E3283" i="25"/>
  <c r="E3267" i="25"/>
  <c r="E3235" i="25"/>
  <c r="E3203" i="25"/>
  <c r="E3171" i="25"/>
  <c r="E3155" i="25"/>
  <c r="E3558" i="25"/>
  <c r="E3494" i="25"/>
  <c r="E3446" i="25"/>
  <c r="E3382" i="25"/>
  <c r="E3360" i="25"/>
  <c r="E3318" i="25"/>
  <c r="E3286" i="25"/>
  <c r="E3254" i="25"/>
  <c r="E3238" i="25"/>
  <c r="E3190" i="25"/>
  <c r="E3174" i="25"/>
  <c r="E3158" i="25"/>
  <c r="E3396" i="25"/>
  <c r="E3313" i="25"/>
  <c r="E3185" i="25"/>
  <c r="E3107" i="25"/>
  <c r="E3065" i="25"/>
  <c r="E3043" i="25"/>
  <c r="E2979" i="25"/>
  <c r="E2958" i="25"/>
  <c r="E2937" i="25"/>
  <c r="E2887" i="25"/>
  <c r="E2871" i="25"/>
  <c r="E2839" i="25"/>
  <c r="E2807" i="25"/>
  <c r="E2775" i="25"/>
  <c r="E2759" i="25"/>
  <c r="E2711" i="25"/>
  <c r="E2695" i="25"/>
  <c r="E2679" i="25"/>
  <c r="E2632" i="25"/>
  <c r="E2616" i="25"/>
  <c r="E2584" i="25"/>
  <c r="E2552" i="25"/>
  <c r="E2520" i="25"/>
  <c r="E2504" i="25"/>
  <c r="E3370" i="25"/>
  <c r="E3293" i="25"/>
  <c r="E3229" i="25"/>
  <c r="E3101" i="25"/>
  <c r="E3079" i="25"/>
  <c r="E3037" i="25"/>
  <c r="E2994" i="25"/>
  <c r="E2951" i="25"/>
  <c r="E2930" i="25"/>
  <c r="E2882" i="25"/>
  <c r="E2866" i="25"/>
  <c r="E2850" i="25"/>
  <c r="E2802" i="25"/>
  <c r="E2786" i="25"/>
  <c r="E2754" i="25"/>
  <c r="E3634" i="25"/>
  <c r="E3343" i="25"/>
  <c r="E3273" i="25"/>
  <c r="E3115" i="25"/>
  <c r="E3094" i="25"/>
  <c r="E3073" i="25"/>
  <c r="E3009" i="25"/>
  <c r="E2987" i="25"/>
  <c r="E2945" i="25"/>
  <c r="E2909" i="25"/>
  <c r="E2877" i="25"/>
  <c r="E2861" i="25"/>
  <c r="E2813" i="25"/>
  <c r="E2797" i="25"/>
  <c r="E2781" i="25"/>
  <c r="E2733" i="25"/>
  <c r="E3285" i="25"/>
  <c r="E3013" i="25"/>
  <c r="E2864" i="25"/>
  <c r="E2736" i="25"/>
  <c r="E2708" i="25"/>
  <c r="E2645" i="25"/>
  <c r="E2623" i="25"/>
  <c r="E2602" i="25"/>
  <c r="E2538" i="25"/>
  <c r="E2517" i="25"/>
  <c r="E2477" i="25"/>
  <c r="E2445" i="25"/>
  <c r="E2413" i="25"/>
  <c r="E2397" i="25"/>
  <c r="E2349" i="25"/>
  <c r="E2333" i="25"/>
  <c r="E2317" i="25"/>
  <c r="E2269" i="25"/>
  <c r="E2253" i="25"/>
  <c r="E2221" i="25"/>
  <c r="E2189" i="25"/>
  <c r="E2154" i="25"/>
  <c r="E2138" i="25"/>
  <c r="E2090" i="25"/>
  <c r="E2074" i="25"/>
  <c r="E2058" i="25"/>
  <c r="E2010" i="25"/>
  <c r="E1994" i="25"/>
  <c r="E1962" i="25"/>
  <c r="E1930" i="25"/>
  <c r="E1898" i="25"/>
  <c r="E1882" i="25"/>
  <c r="E3093" i="25"/>
  <c r="E3007" i="25"/>
  <c r="E2924" i="25"/>
  <c r="E2732" i="25"/>
  <c r="E2706" i="25"/>
  <c r="E2665" i="25"/>
  <c r="E2622" i="25"/>
  <c r="E2579" i="25"/>
  <c r="E2558" i="25"/>
  <c r="E2494" i="25"/>
  <c r="E2476" i="25"/>
  <c r="E2460" i="25"/>
  <c r="E2412" i="25"/>
  <c r="E2396" i="25"/>
  <c r="E2364" i="25"/>
  <c r="E2332" i="25"/>
  <c r="E2300" i="25"/>
  <c r="E2284" i="25"/>
  <c r="E2236" i="25"/>
  <c r="E2220" i="25"/>
  <c r="E2204" i="25"/>
  <c r="E2157" i="25"/>
  <c r="E2141" i="25"/>
  <c r="E2109" i="25"/>
  <c r="E3130" i="25"/>
  <c r="E2959" i="25"/>
  <c r="E2888" i="25"/>
  <c r="E2716" i="25"/>
  <c r="E2694" i="25"/>
  <c r="E2674" i="25"/>
  <c r="E2610" i="25"/>
  <c r="E2589" i="25"/>
  <c r="E2546" i="25"/>
  <c r="E2503" i="25"/>
  <c r="E2467" i="25"/>
  <c r="E2451" i="25"/>
  <c r="E2403" i="25"/>
  <c r="E2387" i="25"/>
  <c r="E2371" i="25"/>
  <c r="E2323" i="25"/>
  <c r="E2307" i="25"/>
  <c r="E2275" i="25"/>
  <c r="E2243" i="25"/>
  <c r="E2211" i="25"/>
  <c r="E2195" i="25"/>
  <c r="E2148" i="25"/>
  <c r="E2132" i="25"/>
  <c r="E2116" i="25"/>
  <c r="E2704" i="25"/>
  <c r="E2619" i="25"/>
  <c r="E2458" i="25"/>
  <c r="E2330" i="25"/>
  <c r="E2202" i="25"/>
  <c r="E2139" i="25"/>
  <c r="E2048" i="25"/>
  <c r="E2027" i="25"/>
  <c r="E2005" i="25"/>
  <c r="E1941" i="25"/>
  <c r="E1920" i="25"/>
  <c r="E1877" i="25"/>
  <c r="E1842" i="25"/>
  <c r="E1810" i="25"/>
  <c r="E1795" i="25"/>
  <c r="E1748" i="25"/>
  <c r="E1729" i="25"/>
  <c r="E1713" i="25"/>
  <c r="E1667" i="25"/>
  <c r="E1651" i="25"/>
  <c r="E1620" i="25"/>
  <c r="E1585" i="25"/>
  <c r="E1554" i="25"/>
  <c r="E1539" i="25"/>
  <c r="E1492" i="25"/>
  <c r="E1473" i="25"/>
  <c r="E1457" i="25"/>
  <c r="E1411" i="25"/>
  <c r="E1395" i="25"/>
  <c r="E1364" i="25"/>
  <c r="E1329" i="25"/>
  <c r="E1298" i="25"/>
  <c r="E3173" i="25"/>
  <c r="E2571" i="25"/>
  <c r="E2486" i="25"/>
  <c r="E2422" i="25"/>
  <c r="E2230" i="25"/>
  <c r="E2166" i="25"/>
  <c r="E2079" i="25"/>
  <c r="E2036" i="25"/>
  <c r="E1993" i="25"/>
  <c r="E1972" i="25"/>
  <c r="E1908" i="25"/>
  <c r="E1887" i="25"/>
  <c r="E1865" i="25"/>
  <c r="E1817" i="25"/>
  <c r="E1801" i="25"/>
  <c r="E1770" i="25"/>
  <c r="E1739" i="25"/>
  <c r="E1708" i="25"/>
  <c r="E1689" i="25"/>
  <c r="E1642" i="25"/>
  <c r="E1627" i="25"/>
  <c r="E1611" i="25"/>
  <c r="E1561" i="25"/>
  <c r="E1545" i="25"/>
  <c r="E2820" i="25"/>
  <c r="E2587" i="25"/>
  <c r="E2434" i="25"/>
  <c r="E2370" i="25"/>
  <c r="E2178" i="25"/>
  <c r="E2115" i="25"/>
  <c r="E2083" i="25"/>
  <c r="E2019" i="25"/>
  <c r="E1997" i="25"/>
  <c r="E1955" i="25"/>
  <c r="E1912" i="25"/>
  <c r="E1869" i="25"/>
  <c r="E1852" i="25"/>
  <c r="E1804" i="25"/>
  <c r="E1785" i="25"/>
  <c r="E1769" i="25"/>
  <c r="E1723" i="25"/>
  <c r="E1707" i="25"/>
  <c r="E1676" i="25"/>
  <c r="E1641" i="25"/>
  <c r="E1610" i="25"/>
  <c r="E1595" i="25"/>
  <c r="E1548" i="25"/>
  <c r="E2625" i="25"/>
  <c r="E2334" i="25"/>
  <c r="E1921" i="25"/>
  <c r="E1843" i="25"/>
  <c r="E1718" i="25"/>
  <c r="E1578" i="25"/>
  <c r="E1510" i="25"/>
  <c r="E1489" i="25"/>
  <c r="E1427" i="25"/>
  <c r="E1401" i="25"/>
  <c r="E1381" i="25"/>
  <c r="E1319" i="25"/>
  <c r="E1297" i="25"/>
  <c r="E1264" i="25"/>
  <c r="E1229" i="25"/>
  <c r="E1198" i="25"/>
  <c r="E1183" i="25"/>
  <c r="E1136" i="25"/>
  <c r="E1117" i="25"/>
  <c r="E1101" i="25"/>
  <c r="E1055" i="25"/>
  <c r="E1039" i="25"/>
  <c r="E1008" i="25"/>
  <c r="E973" i="25"/>
  <c r="E942" i="25"/>
  <c r="E927" i="25"/>
  <c r="E880" i="25"/>
  <c r="E861" i="25"/>
  <c r="E845" i="25"/>
  <c r="E799" i="25"/>
  <c r="E783" i="25"/>
  <c r="E752" i="25"/>
  <c r="E717" i="25"/>
  <c r="E686" i="25"/>
  <c r="E671" i="25"/>
  <c r="E624" i="25"/>
  <c r="E605" i="25"/>
  <c r="E589" i="25"/>
  <c r="E543" i="25"/>
  <c r="E527" i="25"/>
  <c r="E495" i="25"/>
  <c r="E461" i="25"/>
  <c r="E429" i="25"/>
  <c r="E413" i="25"/>
  <c r="E2868" i="25"/>
  <c r="E2446" i="25"/>
  <c r="E2190" i="25"/>
  <c r="E1873" i="25"/>
  <c r="E1807" i="25"/>
  <c r="E1683" i="25"/>
  <c r="E1559" i="25"/>
  <c r="E1503" i="25"/>
  <c r="E1482" i="25"/>
  <c r="E1420" i="25"/>
  <c r="E1400" i="25"/>
  <c r="E3946" i="25"/>
  <c r="E3754" i="25"/>
  <c r="E3690" i="25"/>
  <c r="E3889" i="25"/>
  <c r="E3761" i="25"/>
  <c r="E3960" i="25"/>
  <c r="E3896" i="25"/>
  <c r="E3704" i="25"/>
  <c r="E3963" i="25"/>
  <c r="E3899" i="25"/>
  <c r="E3707" i="25"/>
  <c r="E3641" i="25"/>
  <c r="E3513" i="25"/>
  <c r="E3385" i="25"/>
  <c r="E3600" i="25"/>
  <c r="E3536" i="25"/>
  <c r="E3551" i="25"/>
  <c r="E3487" i="25"/>
  <c r="E3534" i="25"/>
  <c r="E3248" i="25"/>
  <c r="E3184" i="25"/>
  <c r="E3056" i="25"/>
  <c r="E3658" i="25"/>
  <c r="E3351" i="25"/>
  <c r="E3279" i="25"/>
  <c r="E3478" i="25"/>
  <c r="E3376" i="25"/>
  <c r="E3298" i="25"/>
  <c r="E3375" i="25"/>
  <c r="E3123" i="25"/>
  <c r="E2953" i="25"/>
  <c r="E2819" i="25"/>
  <c r="E2691" i="25"/>
  <c r="E2628" i="25"/>
  <c r="E3277" i="25"/>
  <c r="E3095" i="25"/>
  <c r="E3010" i="25"/>
  <c r="E2798" i="25"/>
  <c r="E2734" i="25"/>
  <c r="E3089" i="25"/>
  <c r="E2921" i="25"/>
  <c r="E2793" i="25"/>
  <c r="E2729" i="25"/>
  <c r="E2618" i="25"/>
  <c r="E2533" i="25"/>
  <c r="E2457" i="25"/>
  <c r="E2265" i="25"/>
  <c r="E2201" i="25"/>
  <c r="E2070" i="25"/>
  <c r="E1942" i="25"/>
  <c r="E2986" i="25"/>
  <c r="E2722" i="25"/>
  <c r="E2472" i="25"/>
  <c r="E2408" i="25"/>
  <c r="E2344" i="25"/>
  <c r="E2153" i="25"/>
  <c r="E3317" i="25"/>
  <c r="E2689" i="25"/>
  <c r="E2519" i="25"/>
  <c r="E2383" i="25"/>
  <c r="E2319" i="25"/>
  <c r="E2128" i="25"/>
  <c r="E2682" i="25"/>
  <c r="E2378" i="25"/>
  <c r="E1936" i="25"/>
  <c r="E1854" i="25"/>
  <c r="E1725" i="25"/>
  <c r="E1597" i="25"/>
  <c r="E1469" i="25"/>
  <c r="E1407" i="25"/>
  <c r="E2470" i="25"/>
  <c r="E2214" i="25"/>
  <c r="E2052" i="25"/>
  <c r="E1813" i="25"/>
  <c r="E1751" i="25"/>
  <c r="E1623" i="25"/>
  <c r="E2651" i="25"/>
  <c r="E2099" i="25"/>
  <c r="E2013" i="25"/>
  <c r="E1781" i="25"/>
  <c r="E1719" i="25"/>
  <c r="E1653" i="25"/>
  <c r="E1900" i="25"/>
  <c r="E1625" i="25"/>
  <c r="E1396" i="25"/>
  <c r="E1241" i="25"/>
  <c r="E1113" i="25"/>
  <c r="E1051" i="25"/>
  <c r="E857" i="25"/>
  <c r="E795" i="25"/>
  <c r="E729" i="25"/>
  <c r="E538" i="25"/>
  <c r="E474" i="25"/>
  <c r="E2382" i="25"/>
  <c r="E1606" i="25"/>
  <c r="E1394" i="25"/>
  <c r="E1358" i="25"/>
  <c r="E1279" i="25"/>
  <c r="E1259" i="25"/>
  <c r="E1240" i="25"/>
  <c r="E1174" i="25"/>
  <c r="E1151" i="25"/>
  <c r="E1112" i="25"/>
  <c r="E1065" i="25"/>
  <c r="E1023" i="25"/>
  <c r="E1003" i="25"/>
  <c r="E937" i="25"/>
  <c r="E918" i="25"/>
  <c r="E895" i="25"/>
  <c r="E829" i="25"/>
  <c r="E809" i="25"/>
  <c r="E767" i="25"/>
  <c r="E728" i="25"/>
  <c r="E681" i="25"/>
  <c r="E662" i="25"/>
  <c r="E600" i="25"/>
  <c r="E573" i="25"/>
  <c r="E553" i="25"/>
  <c r="E2430" i="25"/>
  <c r="E2111" i="25"/>
  <c r="E1868" i="25"/>
  <c r="E1695" i="25"/>
  <c r="E1540" i="25"/>
  <c r="E1502" i="25"/>
  <c r="E1419" i="25"/>
  <c r="E1393" i="25"/>
  <c r="E1367" i="25"/>
  <c r="E1282" i="25"/>
  <c r="E1258" i="25"/>
  <c r="E1220" i="25"/>
  <c r="E1173" i="25"/>
  <c r="E1130" i="25"/>
  <c r="E1111" i="25"/>
  <c r="E1045" i="25"/>
  <c r="E1026" i="25"/>
  <c r="E1002" i="25"/>
  <c r="E940" i="25"/>
  <c r="E917" i="25"/>
  <c r="E874" i="25"/>
  <c r="E836" i="25"/>
  <c r="E789" i="25"/>
  <c r="E770" i="25"/>
  <c r="E708" i="25"/>
  <c r="E684" i="25"/>
  <c r="E661" i="25"/>
  <c r="E599" i="25"/>
  <c r="E580" i="25"/>
  <c r="E534" i="25"/>
  <c r="E1905" i="25"/>
  <c r="E1408" i="25"/>
  <c r="E1285" i="25"/>
  <c r="E1021" i="25"/>
  <c r="E943" i="25"/>
  <c r="E866" i="25"/>
  <c r="E602" i="25"/>
  <c r="E512" i="25"/>
  <c r="E457" i="25"/>
  <c r="E398" i="25"/>
  <c r="E344" i="25"/>
  <c r="E321" i="25"/>
  <c r="E257" i="25"/>
  <c r="E238" i="25"/>
  <c r="E216" i="25"/>
  <c r="E152" i="25"/>
  <c r="E129" i="25"/>
  <c r="E88" i="25"/>
  <c r="E46" i="25"/>
  <c r="E3018" i="25"/>
  <c r="E1884" i="25"/>
  <c r="E1320" i="25"/>
  <c r="E1219" i="25"/>
  <c r="E1141" i="25"/>
  <c r="E877" i="25"/>
  <c r="E800" i="25"/>
  <c r="E629" i="25"/>
  <c r="E491" i="25"/>
  <c r="E435" i="25"/>
  <c r="E409" i="25"/>
  <c r="E330" i="25"/>
  <c r="E311" i="25"/>
  <c r="E292" i="25"/>
  <c r="E228" i="25"/>
  <c r="E202" i="25"/>
  <c r="E164" i="25"/>
  <c r="E119" i="25"/>
  <c r="E74" i="25"/>
  <c r="E55" i="25"/>
  <c r="E2159" i="25"/>
  <c r="E1737" i="25"/>
  <c r="E1480" i="25"/>
  <c r="E1184" i="25"/>
  <c r="E1106" i="25"/>
  <c r="E936" i="25"/>
  <c r="E765" i="25"/>
  <c r="E594" i="25"/>
  <c r="E517" i="25"/>
  <c r="E430" i="25"/>
  <c r="E392" i="25"/>
  <c r="E371" i="25"/>
  <c r="E307" i="25"/>
  <c r="E288" i="25"/>
  <c r="E243" i="25"/>
  <c r="E198" i="25"/>
  <c r="E160" i="25"/>
  <c r="E134" i="25"/>
  <c r="E70" i="25"/>
  <c r="E51" i="25"/>
  <c r="E32" i="25"/>
  <c r="E1025" i="25"/>
  <c r="E590" i="25"/>
  <c r="E348" i="25"/>
  <c r="E181" i="25"/>
  <c r="E2646" i="25"/>
  <c r="E1330" i="25"/>
  <c r="E472" i="25"/>
  <c r="E370" i="25"/>
  <c r="E268" i="25"/>
  <c r="E12" i="25"/>
  <c r="E1392" i="25"/>
  <c r="E683" i="25"/>
  <c r="E354" i="25"/>
  <c r="E175" i="25"/>
  <c r="E98" i="25"/>
  <c r="E5" i="25"/>
  <c r="E412" i="25"/>
  <c r="E95" i="25"/>
  <c r="E507" i="25"/>
  <c r="E223" i="25"/>
  <c r="E1255" i="25"/>
  <c r="E1169" i="25"/>
  <c r="E1127" i="25"/>
  <c r="E1084" i="25"/>
  <c r="E999" i="25"/>
  <c r="E979" i="25"/>
  <c r="E956" i="25"/>
  <c r="E871" i="25"/>
  <c r="E851" i="25"/>
  <c r="E785" i="25"/>
  <c r="E743" i="25"/>
  <c r="E677" i="25"/>
  <c r="E657" i="25"/>
  <c r="E572" i="25"/>
  <c r="E550" i="25"/>
  <c r="E531" i="25"/>
  <c r="E1366" i="25"/>
  <c r="E1269" i="25"/>
  <c r="E1005" i="25"/>
  <c r="E835" i="25"/>
  <c r="E571" i="25"/>
  <c r="E499" i="25"/>
  <c r="E393" i="25"/>
  <c r="E360" i="25"/>
  <c r="E337" i="25"/>
  <c r="E254" i="25"/>
  <c r="E232" i="25"/>
  <c r="E168" i="25"/>
  <c r="E126" i="25"/>
  <c r="E62" i="25"/>
  <c r="E40" i="25"/>
  <c r="E1506" i="25"/>
  <c r="E1402" i="25"/>
  <c r="E1281" i="25"/>
  <c r="E939" i="25"/>
  <c r="E862" i="25"/>
  <c r="E614" i="25"/>
  <c r="E488" i="25"/>
  <c r="E405" i="25"/>
  <c r="E372" i="25"/>
  <c r="E282" i="25"/>
  <c r="E263" i="25"/>
  <c r="E244" i="25"/>
  <c r="E154" i="25"/>
  <c r="E135" i="25"/>
  <c r="E90" i="25"/>
  <c r="E26" i="25"/>
  <c r="E2033" i="25"/>
  <c r="E1613" i="25"/>
  <c r="E1168" i="25"/>
  <c r="E1091" i="25"/>
  <c r="E920" i="25"/>
  <c r="E656" i="25"/>
  <c r="E501" i="25"/>
  <c r="E447" i="25"/>
  <c r="E368" i="25"/>
  <c r="E323" i="25"/>
  <c r="E278" i="25"/>
  <c r="E214" i="25"/>
  <c r="E195" i="25"/>
  <c r="E150" i="25"/>
  <c r="E86" i="25"/>
  <c r="E48" i="25"/>
  <c r="E2012" i="25"/>
  <c r="E536" i="25"/>
  <c r="E245" i="25"/>
  <c r="E156" i="25"/>
  <c r="E885" i="25"/>
  <c r="E575" i="25"/>
  <c r="E454" i="25"/>
  <c r="E76" i="25"/>
  <c r="E2350" i="25"/>
  <c r="E621" i="25"/>
  <c r="E316" i="25"/>
  <c r="E60" i="25"/>
  <c r="E1164" i="25"/>
  <c r="E44" i="25"/>
  <c r="E338" i="25"/>
  <c r="E31" i="25"/>
  <c r="E417" i="25"/>
  <c r="E339" i="25"/>
  <c r="E211" i="25"/>
  <c r="E128" i="25"/>
  <c r="E38" i="25"/>
  <c r="E1149" i="25"/>
  <c r="E130" i="25"/>
  <c r="E1660" i="25"/>
  <c r="E823" i="25"/>
  <c r="E1180" i="25"/>
  <c r="E382" i="25"/>
  <c r="E47" i="25"/>
  <c r="E300" i="25"/>
  <c r="E1226" i="25"/>
  <c r="E3898" i="25"/>
  <c r="E2899" i="25"/>
  <c r="E2707" i="25"/>
  <c r="E2516" i="25"/>
  <c r="E2750" i="25"/>
  <c r="E3322" i="25"/>
  <c r="E2873" i="25"/>
  <c r="E2724" i="25"/>
  <c r="E2409" i="25"/>
  <c r="E2217" i="25"/>
  <c r="E1894" i="25"/>
  <c r="E2780" i="25"/>
  <c r="E2574" i="25"/>
  <c r="E2105" i="25"/>
  <c r="E2626" i="25"/>
  <c r="E2335" i="25"/>
  <c r="E2442" i="25"/>
  <c r="E1872" i="25"/>
  <c r="E1744" i="25"/>
  <c r="E1360" i="25"/>
  <c r="E2278" i="25"/>
  <c r="E1988" i="25"/>
  <c r="E1573" i="25"/>
  <c r="E2163" i="25"/>
  <c r="E1797" i="25"/>
  <c r="E1703" i="25"/>
  <c r="E1260" i="25"/>
  <c r="E1066" i="25"/>
  <c r="E620" i="25"/>
  <c r="E426" i="25"/>
  <c r="E1937" i="25"/>
  <c r="E1312" i="25"/>
  <c r="E1244" i="25"/>
  <c r="E1159" i="25"/>
  <c r="E1069" i="25"/>
  <c r="E965" i="25"/>
  <c r="E922" i="25"/>
  <c r="E775" i="25"/>
  <c r="E751" i="25"/>
  <c r="E685" i="25"/>
  <c r="E537" i="25"/>
  <c r="E516" i="25"/>
  <c r="E1889" i="25"/>
  <c r="E1555" i="25"/>
  <c r="E1429" i="25"/>
  <c r="E1347" i="25"/>
  <c r="E1224" i="25"/>
  <c r="E1158" i="25"/>
  <c r="E1138" i="25"/>
  <c r="E987" i="25"/>
  <c r="E948" i="25"/>
  <c r="E840" i="25"/>
  <c r="E754" i="25"/>
  <c r="E665" i="25"/>
  <c r="E626" i="25"/>
  <c r="E1582" i="25"/>
  <c r="E1324" i="25"/>
  <c r="E1052" i="25"/>
  <c r="E485" i="25"/>
  <c r="E462" i="25"/>
  <c r="E350" i="25"/>
  <c r="E264" i="25"/>
  <c r="E177" i="25"/>
  <c r="E158" i="25"/>
  <c r="E8" i="25"/>
  <c r="E1969" i="25"/>
  <c r="E1340" i="25"/>
  <c r="E738" i="25"/>
  <c r="E567" i="25"/>
  <c r="E380" i="25"/>
  <c r="E276" i="25"/>
  <c r="E186" i="25"/>
  <c r="E122" i="25"/>
  <c r="E1800" i="25"/>
  <c r="E1397" i="25"/>
  <c r="E1215" i="25"/>
  <c r="E528" i="25"/>
  <c r="E494" i="25"/>
  <c r="E336" i="25"/>
  <c r="E246" i="25"/>
  <c r="E163" i="25"/>
  <c r="E99" i="25"/>
  <c r="E1087" i="25"/>
  <c r="E475" i="25"/>
  <c r="E194" i="25"/>
  <c r="E386" i="25"/>
  <c r="E127" i="25"/>
  <c r="E367" i="25"/>
  <c r="E34" i="25"/>
  <c r="E236" i="25"/>
  <c r="E1537" i="25"/>
  <c r="E3866" i="25"/>
  <c r="E3802" i="25"/>
  <c r="E3738" i="25"/>
  <c r="E3873" i="25"/>
  <c r="E3809" i="25"/>
  <c r="E3681" i="25"/>
  <c r="E3880" i="25"/>
  <c r="E3752" i="25"/>
  <c r="E3688" i="25"/>
  <c r="E3819" i="25"/>
  <c r="E3755" i="25"/>
  <c r="E3691" i="25"/>
  <c r="E3497" i="25"/>
  <c r="E3433" i="25"/>
  <c r="E3648" i="25"/>
  <c r="E3520" i="25"/>
  <c r="E3599" i="25"/>
  <c r="E3535" i="25"/>
  <c r="E3374" i="25"/>
  <c r="E3296" i="25"/>
  <c r="E3232" i="25"/>
  <c r="E3040" i="25"/>
  <c r="E2976" i="25"/>
  <c r="E3415" i="25"/>
  <c r="E3263" i="25"/>
  <c r="E3135" i="25"/>
  <c r="E3440" i="25"/>
  <c r="E3218" i="25"/>
  <c r="E3154" i="25"/>
  <c r="E3297" i="25"/>
  <c r="E2931" i="25"/>
  <c r="E2867" i="25"/>
  <c r="E2739" i="25"/>
  <c r="E2612" i="25"/>
  <c r="E3650" i="25"/>
  <c r="E3213" i="25"/>
  <c r="E2910" i="25"/>
  <c r="E2846" i="25"/>
  <c r="E2782" i="25"/>
  <c r="E3067" i="25"/>
  <c r="E2982" i="25"/>
  <c r="E2841" i="25"/>
  <c r="E3221" i="25"/>
  <c r="E2848" i="25"/>
  <c r="E2681" i="25"/>
  <c r="E2511" i="25"/>
  <c r="E2441" i="25"/>
  <c r="E2377" i="25"/>
  <c r="E2249" i="25"/>
  <c r="E2185" i="25"/>
  <c r="E2118" i="25"/>
  <c r="E1990" i="25"/>
  <c r="E1926" i="25"/>
  <c r="E3618" i="25"/>
  <c r="E2701" i="25"/>
  <c r="E2617" i="25"/>
  <c r="E2531" i="25"/>
  <c r="E2392" i="25"/>
  <c r="E2328" i="25"/>
  <c r="E2264" i="25"/>
  <c r="E2137" i="25"/>
  <c r="E3109" i="25"/>
  <c r="E2808" i="25"/>
  <c r="E2583" i="25"/>
  <c r="E2498" i="25"/>
  <c r="E2431" i="25"/>
  <c r="E2303" i="25"/>
  <c r="E2239" i="25"/>
  <c r="E2175" i="25"/>
  <c r="E2598" i="25"/>
  <c r="E2314" i="25"/>
  <c r="E2085" i="25"/>
  <c r="E1915" i="25"/>
  <c r="E1838" i="25"/>
  <c r="E1775" i="25"/>
  <c r="E1647" i="25"/>
  <c r="E1581" i="25"/>
  <c r="E1519" i="25"/>
  <c r="E1391" i="25"/>
  <c r="E1325" i="25"/>
  <c r="E2772" i="25"/>
  <c r="E2151" i="25"/>
  <c r="E2031" i="25"/>
  <c r="E1945" i="25"/>
  <c r="E1798" i="25"/>
  <c r="E1736" i="25"/>
  <c r="E1670" i="25"/>
  <c r="E1542" i="25"/>
  <c r="E2566" i="25"/>
  <c r="E2290" i="25"/>
  <c r="E1992" i="25"/>
  <c r="E1907" i="25"/>
  <c r="E1832" i="25"/>
  <c r="E1704" i="25"/>
  <c r="E1638" i="25"/>
  <c r="E1576" i="25"/>
  <c r="E1827" i="25"/>
  <c r="E1563" i="25"/>
  <c r="E1463" i="25"/>
  <c r="E1292" i="25"/>
  <c r="E1225" i="25"/>
  <c r="E1163" i="25"/>
  <c r="E1035" i="25"/>
  <c r="E969" i="25"/>
  <c r="E907" i="25"/>
  <c r="E779" i="25"/>
  <c r="E713" i="25"/>
  <c r="E651" i="25"/>
  <c r="E522" i="25"/>
  <c r="E458" i="25"/>
  <c r="E394" i="25"/>
  <c r="E1792" i="25"/>
  <c r="E1544" i="25"/>
  <c r="E1456" i="25"/>
  <c r="E1353" i="25"/>
  <c r="E1327" i="25"/>
  <c r="E1296" i="25"/>
  <c r="E1256" i="25"/>
  <c r="E1232" i="25"/>
  <c r="E1209" i="25"/>
  <c r="E1166" i="25"/>
  <c r="E1147" i="25"/>
  <c r="E1128" i="25"/>
  <c r="E1081" i="25"/>
  <c r="E1062" i="25"/>
  <c r="E1038" i="25"/>
  <c r="E1000" i="25"/>
  <c r="E976" i="25"/>
  <c r="E953" i="25"/>
  <c r="E910" i="25"/>
  <c r="E891" i="25"/>
  <c r="E872" i="25"/>
  <c r="E825" i="25"/>
  <c r="E806" i="25"/>
  <c r="E782" i="25"/>
  <c r="E744" i="25"/>
  <c r="E720" i="25"/>
  <c r="E697" i="25"/>
  <c r="E654" i="25"/>
  <c r="E635" i="25"/>
  <c r="E616" i="25"/>
  <c r="E569" i="25"/>
  <c r="E548" i="25"/>
  <c r="E524" i="25"/>
  <c r="E2060" i="25"/>
  <c r="E1953" i="25"/>
  <c r="E1851" i="25"/>
  <c r="E1679" i="25"/>
  <c r="E1602" i="25"/>
  <c r="E1528" i="25"/>
  <c r="E1471" i="25"/>
  <c r="E1440" i="25"/>
  <c r="E1414" i="25"/>
  <c r="E1357" i="25"/>
  <c r="E1331" i="25"/>
  <c r="E1300" i="25"/>
  <c r="E1235" i="25"/>
  <c r="E1189" i="25"/>
  <c r="E1107" i="25"/>
  <c r="E933" i="25"/>
  <c r="E828" i="25"/>
  <c r="E723" i="25"/>
  <c r="E2561" i="25"/>
  <c r="E1192" i="25"/>
  <c r="E757" i="25"/>
  <c r="E318" i="25"/>
  <c r="E209" i="25"/>
  <c r="E104" i="25"/>
  <c r="E1126" i="25"/>
  <c r="E691" i="25"/>
  <c r="E427" i="25"/>
  <c r="E180" i="25"/>
  <c r="E52" i="25"/>
  <c r="E1459" i="25"/>
  <c r="E579" i="25"/>
  <c r="E387" i="25"/>
  <c r="E304" i="25"/>
  <c r="E67" i="25"/>
  <c r="E1273" i="25"/>
  <c r="E322" i="25"/>
  <c r="E255" i="25"/>
  <c r="E932" i="25"/>
  <c r="E162" i="25"/>
  <c r="E978" i="25"/>
  <c r="E1551" i="25"/>
  <c r="E796" i="25"/>
  <c r="E497" i="25"/>
  <c r="E438" i="25"/>
  <c r="E358" i="25"/>
  <c r="E256" i="25"/>
  <c r="E192" i="25"/>
  <c r="E102" i="25"/>
  <c r="E390" i="25"/>
  <c r="E53" i="25"/>
  <c r="E525" i="25"/>
  <c r="E1847" i="25"/>
  <c r="E870" i="25"/>
  <c r="E226" i="25"/>
  <c r="E1040" i="25"/>
  <c r="E377" i="25"/>
  <c r="E3834" i="25"/>
  <c r="E3905" i="25"/>
  <c r="E3841" i="25"/>
  <c r="E3713" i="25"/>
  <c r="E3784" i="25"/>
  <c r="E3979" i="25"/>
  <c r="E3851" i="25"/>
  <c r="E3593" i="25"/>
  <c r="E3465" i="25"/>
  <c r="E3616" i="25"/>
  <c r="E3567" i="25"/>
  <c r="E3598" i="25"/>
  <c r="E3331" i="25"/>
  <c r="E3072" i="25"/>
  <c r="E2944" i="25"/>
  <c r="E3372" i="25"/>
  <c r="E3398" i="25"/>
  <c r="E3250" i="25"/>
  <c r="E3169" i="25"/>
  <c r="E2771" i="25"/>
  <c r="E2580" i="25"/>
  <c r="E3031" i="25"/>
  <c r="E3025" i="25"/>
  <c r="E2809" i="25"/>
  <c r="E2639" i="25"/>
  <c r="E2022" i="25"/>
  <c r="E2659" i="25"/>
  <c r="E2424" i="25"/>
  <c r="E2710" i="25"/>
  <c r="E2399" i="25"/>
  <c r="E2144" i="25"/>
  <c r="E1806" i="25"/>
  <c r="E1550" i="25"/>
  <c r="E1294" i="25"/>
  <c r="E1639" i="25"/>
  <c r="E2418" i="25"/>
  <c r="E1949" i="25"/>
  <c r="E1985" i="25"/>
  <c r="E1421" i="25"/>
  <c r="E1194" i="25"/>
  <c r="E810" i="25"/>
  <c r="E554" i="25"/>
  <c r="E2688" i="25"/>
  <c r="E1287" i="25"/>
  <c r="E1178" i="25"/>
  <c r="E1093" i="25"/>
  <c r="E941" i="25"/>
  <c r="E879" i="25"/>
  <c r="E794" i="25"/>
  <c r="E647" i="25"/>
  <c r="E581" i="25"/>
  <c r="E2497" i="25"/>
  <c r="E1517" i="25"/>
  <c r="E1373" i="25"/>
  <c r="E1266" i="25"/>
  <c r="E1115" i="25"/>
  <c r="E1010" i="25"/>
  <c r="E921" i="25"/>
  <c r="E820" i="25"/>
  <c r="E731" i="25"/>
  <c r="E646" i="25"/>
  <c r="E2076" i="25"/>
  <c r="E1223" i="25"/>
  <c r="E881" i="25"/>
  <c r="E428" i="25"/>
  <c r="E328" i="25"/>
  <c r="E222" i="25"/>
  <c r="E49" i="25"/>
  <c r="E1629" i="25"/>
  <c r="E1079" i="25"/>
  <c r="E645" i="25"/>
  <c r="E440" i="25"/>
  <c r="E359" i="25"/>
  <c r="E212" i="25"/>
  <c r="E148" i="25"/>
  <c r="E103" i="25"/>
  <c r="E1293" i="25"/>
  <c r="E967" i="25"/>
  <c r="E703" i="25"/>
  <c r="E374" i="25"/>
  <c r="E272" i="25"/>
  <c r="E208" i="25"/>
  <c r="E35" i="25"/>
  <c r="E714" i="25"/>
  <c r="E284" i="25"/>
  <c r="E761" i="25"/>
  <c r="E306" i="25"/>
  <c r="E50" i="25"/>
  <c r="E188" i="25"/>
  <c r="E108" i="25"/>
  <c r="E146" i="25"/>
  <c r="E3978" i="25"/>
  <c r="E3914" i="25"/>
  <c r="E3850" i="25"/>
  <c r="E3722" i="25"/>
  <c r="E3985" i="25"/>
  <c r="E3921" i="25"/>
  <c r="E3793" i="25"/>
  <c r="E3729" i="25"/>
  <c r="E3665" i="25"/>
  <c r="E3864" i="25"/>
  <c r="E3800" i="25"/>
  <c r="E3736" i="25"/>
  <c r="E3931" i="25"/>
  <c r="E3867" i="25"/>
  <c r="E3803" i="25"/>
  <c r="E3675" i="25"/>
  <c r="E3609" i="25"/>
  <c r="E3545" i="25"/>
  <c r="E3417" i="25"/>
  <c r="E3353" i="25"/>
  <c r="E3632" i="25"/>
  <c r="E3504" i="25"/>
  <c r="E3647" i="25"/>
  <c r="E3583" i="25"/>
  <c r="E3455" i="25"/>
  <c r="E3438" i="25"/>
  <c r="E3352" i="25"/>
  <c r="E3216" i="25"/>
  <c r="E3152" i="25"/>
  <c r="E3088" i="25"/>
  <c r="E2960" i="25"/>
  <c r="E3530" i="25"/>
  <c r="E3394" i="25"/>
  <c r="E3247" i="25"/>
  <c r="E3183" i="25"/>
  <c r="E3606" i="25"/>
  <c r="E3334" i="25"/>
  <c r="E3266" i="25"/>
  <c r="E3202" i="25"/>
  <c r="E3233" i="25"/>
  <c r="E3081" i="25"/>
  <c r="E2995" i="25"/>
  <c r="E2851" i="25"/>
  <c r="E2787" i="25"/>
  <c r="E2723" i="25"/>
  <c r="E2596" i="25"/>
  <c r="E2532" i="25"/>
  <c r="E3434" i="25"/>
  <c r="E3053" i="25"/>
  <c r="E2967" i="25"/>
  <c r="E2894" i="25"/>
  <c r="E2766" i="25"/>
  <c r="E3407" i="25"/>
  <c r="E3131" i="25"/>
  <c r="E2961" i="25"/>
  <c r="E2889" i="25"/>
  <c r="E2825" i="25"/>
  <c r="E3077" i="25"/>
  <c r="E2784" i="25"/>
  <c r="E2661" i="25"/>
  <c r="E2490" i="25"/>
  <c r="E2425" i="25"/>
  <c r="E2361" i="25"/>
  <c r="E2233" i="25"/>
  <c r="E2169" i="25"/>
  <c r="E2102" i="25"/>
  <c r="E1974" i="25"/>
  <c r="E1910" i="25"/>
  <c r="E3205" i="25"/>
  <c r="E2680" i="25"/>
  <c r="E2595" i="25"/>
  <c r="E2510" i="25"/>
  <c r="E2376" i="25"/>
  <c r="E2312" i="25"/>
  <c r="E2248" i="25"/>
  <c r="E2121" i="25"/>
  <c r="E3023" i="25"/>
  <c r="E2744" i="25"/>
  <c r="E2562" i="25"/>
  <c r="E2479" i="25"/>
  <c r="E2415" i="25"/>
  <c r="E2287" i="25"/>
  <c r="E2223" i="25"/>
  <c r="E2160" i="25"/>
  <c r="E2513" i="25"/>
  <c r="E2250" i="25"/>
  <c r="E2064" i="25"/>
  <c r="E1893" i="25"/>
  <c r="E1822" i="25"/>
  <c r="E1760" i="25"/>
  <c r="E1632" i="25"/>
  <c r="E1566" i="25"/>
  <c r="E1504" i="25"/>
  <c r="E1376" i="25"/>
  <c r="E1310" i="25"/>
  <c r="E2635" i="25"/>
  <c r="E2095" i="25"/>
  <c r="E2009" i="25"/>
  <c r="E1924" i="25"/>
  <c r="E1782" i="25"/>
  <c r="E1720" i="25"/>
  <c r="E1654" i="25"/>
  <c r="E3039" i="25"/>
  <c r="E2482" i="25"/>
  <c r="E2226" i="25"/>
  <c r="E1971" i="25"/>
  <c r="E1885" i="25"/>
  <c r="E1816" i="25"/>
  <c r="E1688" i="25"/>
  <c r="E1622" i="25"/>
  <c r="E1560" i="25"/>
  <c r="E1765" i="25"/>
  <c r="E1525" i="25"/>
  <c r="E1443" i="25"/>
  <c r="E1276" i="25"/>
  <c r="E1210" i="25"/>
  <c r="E1148" i="25"/>
  <c r="E1020" i="25"/>
  <c r="E954" i="25"/>
  <c r="E892" i="25"/>
  <c r="E764" i="25"/>
  <c r="E698" i="25"/>
  <c r="E636" i="25"/>
  <c r="E506" i="25"/>
  <c r="E442" i="25"/>
  <c r="E378" i="25"/>
  <c r="E1730" i="25"/>
  <c r="E1518" i="25"/>
  <c r="E1436" i="25"/>
  <c r="E1348" i="25"/>
  <c r="E1317" i="25"/>
  <c r="E1291" i="25"/>
  <c r="E1248" i="25"/>
  <c r="E1228" i="25"/>
  <c r="E1205" i="25"/>
  <c r="E1162" i="25"/>
  <c r="E1143" i="25"/>
  <c r="E1120" i="25"/>
  <c r="E1077" i="25"/>
  <c r="E1054" i="25"/>
  <c r="E1034" i="25"/>
  <c r="E992" i="25"/>
  <c r="E972" i="25"/>
  <c r="E949" i="25"/>
  <c r="E906" i="25"/>
  <c r="E887" i="25"/>
  <c r="E864" i="25"/>
  <c r="E821" i="25"/>
  <c r="E798" i="25"/>
  <c r="E778" i="25"/>
  <c r="E736" i="25"/>
  <c r="E716" i="25"/>
  <c r="E693" i="25"/>
  <c r="E650" i="25"/>
  <c r="E631" i="25"/>
  <c r="E608" i="25"/>
  <c r="E565" i="25"/>
  <c r="E540" i="25"/>
  <c r="E521" i="25"/>
  <c r="E2238" i="25"/>
  <c r="E2039" i="25"/>
  <c r="E1932" i="25"/>
  <c r="E1741" i="25"/>
  <c r="E1664" i="25"/>
  <c r="E1571" i="25"/>
  <c r="E1491" i="25"/>
  <c r="E1460" i="25"/>
  <c r="E1435" i="25"/>
  <c r="E1378" i="25"/>
  <c r="E1352" i="25"/>
  <c r="E1326" i="25"/>
  <c r="E1270" i="25"/>
  <c r="E1251" i="25"/>
  <c r="E1227" i="25"/>
  <c r="E1185" i="25"/>
  <c r="E1161" i="25"/>
  <c r="E1142" i="25"/>
  <c r="E1099" i="25"/>
  <c r="E1080" i="25"/>
  <c r="E1057" i="25"/>
  <c r="E1014" i="25"/>
  <c r="E995" i="25"/>
  <c r="E971" i="25"/>
  <c r="E929" i="25"/>
  <c r="E905" i="25"/>
  <c r="E886" i="25"/>
  <c r="E843" i="25"/>
  <c r="E824" i="25"/>
  <c r="E801" i="25"/>
  <c r="E758" i="25"/>
  <c r="E739" i="25"/>
  <c r="E715" i="25"/>
  <c r="E673" i="25"/>
  <c r="E649" i="25"/>
  <c r="E630" i="25"/>
  <c r="E587" i="25"/>
  <c r="E568" i="25"/>
  <c r="E547" i="25"/>
  <c r="E2286" i="25"/>
  <c r="E1706" i="25"/>
  <c r="E1470" i="25"/>
  <c r="E1254" i="25"/>
  <c r="E1145" i="25"/>
  <c r="E1067" i="25"/>
  <c r="E897" i="25"/>
  <c r="E819" i="25"/>
  <c r="E742" i="25"/>
  <c r="E555" i="25"/>
  <c r="E496" i="25"/>
  <c r="E466" i="25"/>
  <c r="E411" i="25"/>
  <c r="E385" i="25"/>
  <c r="E353" i="25"/>
  <c r="E312" i="25"/>
  <c r="E289" i="25"/>
  <c r="E270" i="25"/>
  <c r="E225" i="25"/>
  <c r="E206" i="25"/>
  <c r="E184" i="25"/>
  <c r="E142" i="25"/>
  <c r="E120" i="25"/>
  <c r="E97" i="25"/>
  <c r="E56" i="25"/>
  <c r="E33" i="25"/>
  <c r="E14" i="25"/>
  <c r="E1691" i="25"/>
  <c r="E1485" i="25"/>
  <c r="E1361" i="25"/>
  <c r="E1188" i="25"/>
  <c r="E1095" i="25"/>
  <c r="E1001" i="25"/>
  <c r="E831" i="25"/>
  <c r="E753" i="25"/>
  <c r="E676" i="25"/>
  <c r="E509" i="25"/>
  <c r="E484" i="25"/>
  <c r="E444" i="25"/>
  <c r="E401" i="25"/>
  <c r="E362" i="25"/>
  <c r="E343" i="25"/>
  <c r="E298" i="25"/>
  <c r="E279" i="25"/>
  <c r="E260" i="25"/>
  <c r="E215" i="25"/>
  <c r="E196" i="25"/>
  <c r="E170" i="25"/>
  <c r="E132" i="25"/>
  <c r="E106" i="25"/>
  <c r="E87" i="25"/>
  <c r="E42" i="25"/>
  <c r="E23" i="25"/>
  <c r="E4" i="25"/>
  <c r="E1439" i="25"/>
  <c r="E1315" i="25"/>
  <c r="E1153" i="25"/>
  <c r="E982" i="25"/>
  <c r="E889" i="25"/>
  <c r="E718" i="25"/>
  <c r="E464" i="25"/>
  <c r="E383" i="25"/>
  <c r="E294" i="25"/>
  <c r="E166" i="25"/>
  <c r="E83" i="25"/>
  <c r="E19" i="25"/>
  <c r="E220" i="25"/>
  <c r="E1133" i="25"/>
  <c r="E319" i="25"/>
  <c r="E559" i="25"/>
  <c r="E124" i="25"/>
  <c r="E1102" i="25"/>
  <c r="E3962" i="25"/>
  <c r="E3770" i="25"/>
  <c r="E3969" i="25"/>
  <c r="E3976" i="25"/>
  <c r="E3848" i="25"/>
  <c r="E3720" i="25"/>
  <c r="E3787" i="25"/>
  <c r="E3657" i="25"/>
  <c r="E3529" i="25"/>
  <c r="E3337" i="25"/>
  <c r="E3552" i="25"/>
  <c r="E3631" i="25"/>
  <c r="E3416" i="25"/>
  <c r="E3264" i="25"/>
  <c r="E3136" i="25"/>
  <c r="E3466" i="25"/>
  <c r="E3295" i="25"/>
  <c r="E3542" i="25"/>
  <c r="E3186" i="25"/>
  <c r="E3059" i="25"/>
  <c r="E2835" i="25"/>
  <c r="E3117" i="25"/>
  <c r="E2878" i="25"/>
  <c r="E3110" i="25"/>
  <c r="E2554" i="25"/>
  <c r="E2281" i="25"/>
  <c r="E2086" i="25"/>
  <c r="E2489" i="25"/>
  <c r="E2296" i="25"/>
  <c r="E2938" i="25"/>
  <c r="E2271" i="25"/>
  <c r="E2852" i="25"/>
  <c r="E1957" i="25"/>
  <c r="E1488" i="25"/>
  <c r="E2550" i="25"/>
  <c r="E2073" i="25"/>
  <c r="E2756" i="25"/>
  <c r="E2035" i="25"/>
  <c r="E1735" i="25"/>
  <c r="E1505" i="25"/>
  <c r="E1132" i="25"/>
  <c r="E876" i="25"/>
  <c r="E490" i="25"/>
  <c r="E1668" i="25"/>
  <c r="E1338" i="25"/>
  <c r="E1197" i="25"/>
  <c r="E1135" i="25"/>
  <c r="E1050" i="25"/>
  <c r="E903" i="25"/>
  <c r="E813" i="25"/>
  <c r="E732" i="25"/>
  <c r="E557" i="25"/>
  <c r="E2174" i="25"/>
  <c r="E1726" i="25"/>
  <c r="E1398" i="25"/>
  <c r="E1286" i="25"/>
  <c r="E1204" i="25"/>
  <c r="E1049" i="25"/>
  <c r="E968" i="25"/>
  <c r="E882" i="25"/>
  <c r="E692" i="25"/>
  <c r="E603" i="25"/>
  <c r="E539" i="25"/>
  <c r="E1129" i="25"/>
  <c r="E959" i="25"/>
  <c r="E617" i="25"/>
  <c r="E286" i="25"/>
  <c r="E200" i="25"/>
  <c r="E113" i="25"/>
  <c r="E1444" i="25"/>
  <c r="E1157" i="25"/>
  <c r="E815" i="25"/>
  <c r="E418" i="25"/>
  <c r="E314" i="25"/>
  <c r="E250" i="25"/>
  <c r="E84" i="25"/>
  <c r="E20" i="25"/>
  <c r="E1521" i="25"/>
  <c r="E858" i="25"/>
  <c r="E610" i="25"/>
  <c r="E456" i="25"/>
  <c r="E291" i="25"/>
  <c r="E227" i="25"/>
  <c r="E144" i="25"/>
  <c r="E1433" i="25"/>
  <c r="E373" i="25"/>
  <c r="E117" i="25"/>
  <c r="E204" i="25"/>
  <c r="E1475" i="25"/>
  <c r="E450" i="25"/>
  <c r="E493" i="25"/>
  <c r="E792" i="25"/>
  <c r="N18" i="26"/>
  <c r="G22" i="26" s="1"/>
  <c r="N21" i="26" s="1"/>
  <c r="L73" i="19"/>
  <c r="K74" i="19"/>
  <c r="E43" i="18"/>
  <c r="F40" i="18"/>
  <c r="G8" i="18"/>
  <c r="H8" i="18"/>
  <c r="F8" i="18"/>
  <c r="E11" i="18"/>
  <c r="F24" i="18"/>
  <c r="G24" i="18"/>
  <c r="AW57" i="24"/>
  <c r="P66" i="24" s="1"/>
  <c r="P29" i="24" s="1"/>
  <c r="AX55" i="24"/>
  <c r="Q64" i="24" s="1"/>
  <c r="Q27" i="24" s="1"/>
  <c r="AW55" i="24"/>
  <c r="P64" i="24" s="1"/>
  <c r="P27" i="24" s="1"/>
  <c r="AP55" i="24"/>
  <c r="I64" i="24" s="1"/>
  <c r="I27" i="24" s="1"/>
  <c r="AT55" i="24"/>
  <c r="M64" i="24" s="1"/>
  <c r="M27" i="24" s="1"/>
  <c r="AQ55" i="24"/>
  <c r="J64" i="24" s="1"/>
  <c r="J27" i="24" s="1"/>
  <c r="AQ57" i="24"/>
  <c r="J66" i="24" s="1"/>
  <c r="J29" i="24" s="1"/>
  <c r="E4016" i="25" l="1"/>
  <c r="P44" i="11"/>
  <c r="K44" i="11"/>
  <c r="F44" i="11"/>
  <c r="E44" i="11"/>
  <c r="L44" i="11"/>
  <c r="G44" i="11"/>
  <c r="Q44" i="11"/>
  <c r="D44" i="11"/>
  <c r="H44" i="11"/>
  <c r="N44" i="11"/>
  <c r="M44" i="11"/>
  <c r="O44" i="11"/>
  <c r="J44" i="11"/>
  <c r="I44" i="11"/>
  <c r="E3812" i="25"/>
  <c r="E3725" i="25"/>
  <c r="E3933" i="25"/>
  <c r="E3862" i="25"/>
  <c r="E4018" i="25"/>
  <c r="E3917" i="25"/>
  <c r="E3766" i="25"/>
  <c r="E4055" i="25"/>
  <c r="E4028" i="25"/>
  <c r="E4026" i="25"/>
  <c r="E4035" i="25"/>
  <c r="E4033" i="25"/>
  <c r="E4052" i="25"/>
  <c r="E3987" i="25"/>
  <c r="E4034" i="25"/>
  <c r="E4050" i="25"/>
  <c r="E4005" i="25"/>
  <c r="E4015" i="25"/>
  <c r="E4039" i="25"/>
  <c r="E4041" i="25"/>
  <c r="E4030" i="25"/>
  <c r="E4004" i="25"/>
  <c r="E3989" i="25"/>
  <c r="E3926" i="25"/>
  <c r="E4000" i="25"/>
  <c r="E4049" i="25"/>
  <c r="E3995" i="25"/>
  <c r="E4008" i="25"/>
  <c r="E4009" i="25"/>
  <c r="E4022" i="25"/>
  <c r="E4003" i="25"/>
  <c r="E4037" i="25"/>
  <c r="E4042" i="25"/>
  <c r="E4058" i="25"/>
  <c r="E3998" i="25"/>
  <c r="E4020" i="25"/>
  <c r="E3992" i="25"/>
  <c r="E4047" i="25"/>
  <c r="E4053" i="25"/>
  <c r="E4002" i="25"/>
  <c r="E4024" i="25"/>
  <c r="E3996" i="25"/>
  <c r="E4048" i="25"/>
  <c r="E4001" i="25"/>
  <c r="E4023" i="25"/>
  <c r="E4032" i="25"/>
  <c r="E4017" i="25"/>
  <c r="E3942" i="25"/>
  <c r="E3878" i="25"/>
  <c r="E3814" i="25"/>
  <c r="E3750" i="25"/>
  <c r="E3686" i="25"/>
  <c r="E3949" i="25"/>
  <c r="E3885" i="25"/>
  <c r="E3821" i="25"/>
  <c r="E3757" i="25"/>
  <c r="E3693" i="25"/>
  <c r="E3956" i="25"/>
  <c r="E3892" i="25"/>
  <c r="E3828" i="25"/>
  <c r="E3764" i="25"/>
  <c r="E3700" i="25"/>
  <c r="E3959" i="25"/>
  <c r="E3895" i="25"/>
  <c r="E3831" i="25"/>
  <c r="E3767" i="25"/>
  <c r="E3703" i="25"/>
  <c r="E3637" i="25"/>
  <c r="E3573" i="25"/>
  <c r="E3509" i="25"/>
  <c r="E3445" i="25"/>
  <c r="E3381" i="25"/>
  <c r="E3660" i="25"/>
  <c r="E3596" i="25"/>
  <c r="E3532" i="25"/>
  <c r="E3468" i="25"/>
  <c r="E3611" i="25"/>
  <c r="E3547" i="25"/>
  <c r="E3483" i="25"/>
  <c r="E3518" i="25"/>
  <c r="E3390" i="25"/>
  <c r="E3308" i="25"/>
  <c r="E3244" i="25"/>
  <c r="E3180" i="25"/>
  <c r="E3116" i="25"/>
  <c r="E3052" i="25"/>
  <c r="E2988" i="25"/>
  <c r="E3642" i="25"/>
  <c r="E3431" i="25"/>
  <c r="E3346" i="25"/>
  <c r="E3275" i="25"/>
  <c r="E3211" i="25"/>
  <c r="E3147" i="25"/>
  <c r="E3462" i="25"/>
  <c r="E3371" i="25"/>
  <c r="E3294" i="25"/>
  <c r="E3230" i="25"/>
  <c r="E3166" i="25"/>
  <c r="E3354" i="25"/>
  <c r="E3118" i="25"/>
  <c r="E3033" i="25"/>
  <c r="E2947" i="25"/>
  <c r="E2879" i="25"/>
  <c r="E2815" i="25"/>
  <c r="E2751" i="25"/>
  <c r="E2687" i="25"/>
  <c r="E2624" i="25"/>
  <c r="E2560" i="25"/>
  <c r="E2496" i="25"/>
  <c r="E3261" i="25"/>
  <c r="E3090" i="25"/>
  <c r="E3005" i="25"/>
  <c r="E2922" i="25"/>
  <c r="E2858" i="25"/>
  <c r="E2794" i="25"/>
  <c r="E2730" i="25"/>
  <c r="E3241" i="25"/>
  <c r="E3083" i="25"/>
  <c r="E2998" i="25"/>
  <c r="E2917" i="25"/>
  <c r="E2853" i="25"/>
  <c r="E2789" i="25"/>
  <c r="E3444" i="25"/>
  <c r="E2896" i="25"/>
  <c r="E2697" i="25"/>
  <c r="E2613" i="25"/>
  <c r="E2527" i="25"/>
  <c r="E2453" i="25"/>
  <c r="E2389" i="25"/>
  <c r="E2325" i="25"/>
  <c r="E2261" i="25"/>
  <c r="E2197" i="25"/>
  <c r="E2130" i="25"/>
  <c r="E2066" i="25"/>
  <c r="E2002" i="25"/>
  <c r="E1938" i="25"/>
  <c r="E1874" i="25"/>
  <c r="E2965" i="25"/>
  <c r="E2717" i="25"/>
  <c r="E2633" i="25"/>
  <c r="E2547" i="25"/>
  <c r="E2468" i="25"/>
  <c r="E2404" i="25"/>
  <c r="E2340" i="25"/>
  <c r="E2276" i="25"/>
  <c r="E2212" i="25"/>
  <c r="E2149" i="25"/>
  <c r="E3253" i="25"/>
  <c r="E2856" i="25"/>
  <c r="E2684" i="25"/>
  <c r="E2599" i="25"/>
  <c r="E2514" i="25"/>
  <c r="E2443" i="25"/>
  <c r="E2379" i="25"/>
  <c r="E2315" i="25"/>
  <c r="E2251" i="25"/>
  <c r="E2187" i="25"/>
  <c r="E2124" i="25"/>
  <c r="E2662" i="25"/>
  <c r="E2362" i="25"/>
  <c r="E2107" i="25"/>
  <c r="E2016" i="25"/>
  <c r="E1931" i="25"/>
  <c r="E1850" i="25"/>
  <c r="E1787" i="25"/>
  <c r="E1721" i="25"/>
  <c r="E1659" i="25"/>
  <c r="E1593" i="25"/>
  <c r="E1531" i="25"/>
  <c r="E1465" i="25"/>
  <c r="E1403" i="25"/>
  <c r="E1337" i="25"/>
  <c r="E2975" i="25"/>
  <c r="E2454" i="25"/>
  <c r="E2198" i="25"/>
  <c r="E2047" i="25"/>
  <c r="E1961" i="25"/>
  <c r="E1876" i="25"/>
  <c r="E1809" i="25"/>
  <c r="E1747" i="25"/>
  <c r="E1681" i="25"/>
  <c r="E1619" i="25"/>
  <c r="E1553" i="25"/>
  <c r="E2630" i="25"/>
  <c r="E2338" i="25"/>
  <c r="E2093" i="25"/>
  <c r="E2008" i="25"/>
  <c r="E1923" i="25"/>
  <c r="E1844" i="25"/>
  <c r="E1777" i="25"/>
  <c r="E1715" i="25"/>
  <c r="E1649" i="25"/>
  <c r="E1587" i="25"/>
  <c r="E2462" i="25"/>
  <c r="E1879" i="25"/>
  <c r="E1609" i="25"/>
  <c r="E1479" i="25"/>
  <c r="E1390" i="25"/>
  <c r="E1308" i="25"/>
  <c r="E3994" i="25"/>
  <c r="E4029" i="25"/>
  <c r="E4021" i="25"/>
  <c r="E3993" i="25"/>
  <c r="E3991" i="25"/>
  <c r="E4038" i="25"/>
  <c r="E4051" i="25"/>
  <c r="E4013" i="25"/>
  <c r="E4011" i="25"/>
  <c r="E4012" i="25"/>
  <c r="E4056" i="25"/>
  <c r="E4006" i="25"/>
  <c r="E4036" i="25"/>
  <c r="E4057" i="25"/>
  <c r="E3974" i="25"/>
  <c r="E3894" i="25"/>
  <c r="E3798" i="25"/>
  <c r="E3718" i="25"/>
  <c r="E3965" i="25"/>
  <c r="E3869" i="25"/>
  <c r="E3789" i="25"/>
  <c r="E3709" i="25"/>
  <c r="E3940" i="25"/>
  <c r="E3860" i="25"/>
  <c r="E3780" i="25"/>
  <c r="E3684" i="25"/>
  <c r="E3927" i="25"/>
  <c r="E3847" i="25"/>
  <c r="E3751" i="25"/>
  <c r="E3671" i="25"/>
  <c r="E3589" i="25"/>
  <c r="E3493" i="25"/>
  <c r="E3413" i="25"/>
  <c r="E3333" i="25"/>
  <c r="E3580" i="25"/>
  <c r="E3500" i="25"/>
  <c r="E3627" i="25"/>
  <c r="E3531" i="25"/>
  <c r="E3646" i="25"/>
  <c r="E3411" i="25"/>
  <c r="E3292" i="25"/>
  <c r="E3212" i="25"/>
  <c r="E3132" i="25"/>
  <c r="E3036" i="25"/>
  <c r="E2956" i="25"/>
  <c r="E3452" i="25"/>
  <c r="E3324" i="25"/>
  <c r="E3243" i="25"/>
  <c r="E3163" i="25"/>
  <c r="E3435" i="25"/>
  <c r="E3328" i="25"/>
  <c r="E3246" i="25"/>
  <c r="E3150" i="25"/>
  <c r="E3217" i="25"/>
  <c r="E3054" i="25"/>
  <c r="E2927" i="25"/>
  <c r="E2847" i="25"/>
  <c r="E2767" i="25"/>
  <c r="E2672" i="25"/>
  <c r="E2592" i="25"/>
  <c r="E2512" i="25"/>
  <c r="E3197" i="25"/>
  <c r="E3047" i="25"/>
  <c r="E2941" i="25"/>
  <c r="E2842" i="25"/>
  <c r="E2762" i="25"/>
  <c r="E3305" i="25"/>
  <c r="E3062" i="25"/>
  <c r="E2955" i="25"/>
  <c r="E2869" i="25"/>
  <c r="E2773" i="25"/>
  <c r="E3055" i="25"/>
  <c r="E2718" i="25"/>
  <c r="E2591" i="25"/>
  <c r="E2485" i="25"/>
  <c r="E2405" i="25"/>
  <c r="E2309" i="25"/>
  <c r="E2229" i="25"/>
  <c r="E2146" i="25"/>
  <c r="E2050" i="25"/>
  <c r="E1970" i="25"/>
  <c r="E1890" i="25"/>
  <c r="E2892" i="25"/>
  <c r="E2675" i="25"/>
  <c r="E2569" i="25"/>
  <c r="E2452" i="25"/>
  <c r="E2372" i="25"/>
  <c r="E2292" i="25"/>
  <c r="E2196" i="25"/>
  <c r="E2117" i="25"/>
  <c r="E2920" i="25"/>
  <c r="E2663" i="25"/>
  <c r="E2557" i="25"/>
  <c r="E2459" i="25"/>
  <c r="E2363" i="25"/>
  <c r="E2283" i="25"/>
  <c r="E2203" i="25"/>
  <c r="E2108" i="25"/>
  <c r="E2491" i="25"/>
  <c r="E2170" i="25"/>
  <c r="E1995" i="25"/>
  <c r="E1888" i="25"/>
  <c r="E1802" i="25"/>
  <c r="E1705" i="25"/>
  <c r="E1628" i="25"/>
  <c r="E1546" i="25"/>
  <c r="E1449" i="25"/>
  <c r="E1372" i="25"/>
  <c r="E1290" i="25"/>
  <c r="E2390" i="25"/>
  <c r="E2089" i="25"/>
  <c r="E1983" i="25"/>
  <c r="E1857" i="25"/>
  <c r="E1778" i="25"/>
  <c r="E1697" i="25"/>
  <c r="E1604" i="25"/>
  <c r="E2954" i="25"/>
  <c r="E2402" i="25"/>
  <c r="E2072" i="25"/>
  <c r="E1965" i="25"/>
  <c r="E1860" i="25"/>
  <c r="E1762" i="25"/>
  <c r="E1684" i="25"/>
  <c r="E1603" i="25"/>
  <c r="E2206" i="25"/>
  <c r="E1749" i="25"/>
  <c r="E1499" i="25"/>
  <c r="E1370" i="25"/>
  <c r="E1272" i="25"/>
  <c r="E1206" i="25"/>
  <c r="E1144" i="25"/>
  <c r="E1078" i="25"/>
  <c r="E1016" i="25"/>
  <c r="E950" i="25"/>
  <c r="E888" i="25"/>
  <c r="E822" i="25"/>
  <c r="E760" i="25"/>
  <c r="E694" i="25"/>
  <c r="E632" i="25"/>
  <c r="E566" i="25"/>
  <c r="E503" i="25"/>
  <c r="E439" i="25"/>
  <c r="E375" i="25"/>
  <c r="E2001" i="25"/>
  <c r="E1714" i="25"/>
  <c r="E1513" i="25"/>
  <c r="E1431" i="25"/>
  <c r="E1343" i="25"/>
  <c r="E1267" i="25"/>
  <c r="E1201" i="25"/>
  <c r="E1139" i="25"/>
  <c r="E1073" i="25"/>
  <c r="E1011" i="25"/>
  <c r="E945" i="25"/>
  <c r="E883" i="25"/>
  <c r="E817" i="25"/>
  <c r="E755" i="25"/>
  <c r="E689" i="25"/>
  <c r="E627" i="25"/>
  <c r="E561" i="25"/>
  <c r="E2582" i="25"/>
  <c r="E1911" i="25"/>
  <c r="E1648" i="25"/>
  <c r="E1486" i="25"/>
  <c r="E1404" i="25"/>
  <c r="E1316" i="25"/>
  <c r="E1247" i="25"/>
  <c r="E1181" i="25"/>
  <c r="E1119" i="25"/>
  <c r="E1053" i="25"/>
  <c r="E991" i="25"/>
  <c r="E925" i="25"/>
  <c r="E863" i="25"/>
  <c r="E797" i="25"/>
  <c r="E735" i="25"/>
  <c r="E669" i="25"/>
  <c r="E607" i="25"/>
  <c r="E542" i="25"/>
  <c r="E1644" i="25"/>
  <c r="E1238" i="25"/>
  <c r="E974" i="25"/>
  <c r="E726" i="25"/>
  <c r="E492" i="25"/>
  <c r="E406" i="25"/>
  <c r="E331" i="25"/>
  <c r="E267" i="25"/>
  <c r="E203" i="25"/>
  <c r="E139" i="25"/>
  <c r="E75" i="25"/>
  <c r="E11" i="25"/>
  <c r="E1464" i="25"/>
  <c r="E1172" i="25"/>
  <c r="E908" i="25"/>
  <c r="E660" i="25"/>
  <c r="E477" i="25"/>
  <c r="E384" i="25"/>
  <c r="E317" i="25"/>
  <c r="E253" i="25"/>
  <c r="E189" i="25"/>
  <c r="E125" i="25"/>
  <c r="E61" i="25"/>
  <c r="E2740" i="25"/>
  <c r="E1417" i="25"/>
  <c r="E1137" i="25"/>
  <c r="E873" i="25"/>
  <c r="E625" i="25"/>
  <c r="E460" i="25"/>
  <c r="E379" i="25"/>
  <c r="E313" i="25"/>
  <c r="E249" i="25"/>
  <c r="E185" i="25"/>
  <c r="E121" i="25"/>
  <c r="E57" i="25"/>
  <c r="E1516" i="25"/>
  <c r="E489" i="25"/>
  <c r="E207" i="25"/>
  <c r="E1495" i="25"/>
  <c r="E500" i="25"/>
  <c r="E229" i="25"/>
  <c r="E1598" i="25"/>
  <c r="E467" i="25"/>
  <c r="E213" i="25"/>
  <c r="E668" i="25"/>
  <c r="E197" i="25"/>
  <c r="E325" i="25"/>
  <c r="E3954" i="25"/>
  <c r="E3890" i="25"/>
  <c r="E3826" i="25"/>
  <c r="E3762" i="25"/>
  <c r="E3698" i="25"/>
  <c r="E3961" i="25"/>
  <c r="E3897" i="25"/>
  <c r="E3833" i="25"/>
  <c r="E3769" i="25"/>
  <c r="E3705" i="25"/>
  <c r="E3968" i="25"/>
  <c r="E3904" i="25"/>
  <c r="E3840" i="25"/>
  <c r="E3776" i="25"/>
  <c r="E3712" i="25"/>
  <c r="E3971" i="25"/>
  <c r="E3907" i="25"/>
  <c r="E3843" i="25"/>
  <c r="E3779" i="25"/>
  <c r="E3715" i="25"/>
  <c r="E3649" i="25"/>
  <c r="E3585" i="25"/>
  <c r="E3521" i="25"/>
  <c r="E3457" i="25"/>
  <c r="E3393" i="25"/>
  <c r="E3329" i="25"/>
  <c r="E3608" i="25"/>
  <c r="E3544" i="25"/>
  <c r="E3480" i="25"/>
  <c r="E3623" i="25"/>
  <c r="E3559" i="25"/>
  <c r="E3495" i="25"/>
  <c r="E3566" i="25"/>
  <c r="E3406" i="25"/>
  <c r="E3320" i="25"/>
  <c r="E3256" i="25"/>
  <c r="E3192" i="25"/>
  <c r="E3128" i="25"/>
  <c r="E3064" i="25"/>
  <c r="E3000" i="25"/>
  <c r="E2936" i="25"/>
  <c r="E3447" i="25"/>
  <c r="E3362" i="25"/>
  <c r="E3287" i="25"/>
  <c r="E3223" i="25"/>
  <c r="E3159" i="25"/>
  <c r="E3510" i="25"/>
  <c r="E3387" i="25"/>
  <c r="E3306" i="25"/>
  <c r="E3242" i="25"/>
  <c r="E3178" i="25"/>
  <c r="E3418" i="25"/>
  <c r="E3137" i="25"/>
  <c r="E3049" i="25"/>
  <c r="E2963" i="25"/>
  <c r="E2891" i="25"/>
  <c r="E2827" i="25"/>
  <c r="E2763" i="25"/>
  <c r="E2699" i="25"/>
  <c r="E2636" i="25"/>
  <c r="E2572" i="25"/>
  <c r="E2508" i="25"/>
  <c r="E3309" i="25"/>
  <c r="E3106" i="25"/>
  <c r="E3021" i="25"/>
  <c r="E2935" i="25"/>
  <c r="E2870" i="25"/>
  <c r="E2806" i="25"/>
  <c r="E2742" i="25"/>
  <c r="E3289" i="25"/>
  <c r="E3099" i="25"/>
  <c r="E3014" i="25"/>
  <c r="E2929" i="25"/>
  <c r="E2865" i="25"/>
  <c r="E2801" i="25"/>
  <c r="E2737" i="25"/>
  <c r="E2949" i="25"/>
  <c r="E2713" i="25"/>
  <c r="E2629" i="25"/>
  <c r="E2543" i="25"/>
  <c r="E2465" i="25"/>
  <c r="E2401" i="25"/>
  <c r="E2337" i="25"/>
  <c r="E2273" i="25"/>
  <c r="E2209" i="25"/>
  <c r="E2142" i="25"/>
  <c r="E2078" i="25"/>
  <c r="E2014" i="25"/>
  <c r="E1950" i="25"/>
  <c r="E1886" i="25"/>
  <c r="E3029" i="25"/>
  <c r="E2748" i="25"/>
  <c r="E2649" i="25"/>
  <c r="E2563" i="25"/>
  <c r="E2480" i="25"/>
  <c r="E2416" i="25"/>
  <c r="E2352" i="25"/>
  <c r="E2288" i="25"/>
  <c r="E2224" i="25"/>
  <c r="E2161" i="25"/>
  <c r="E3554" i="25"/>
  <c r="E2904" i="25"/>
  <c r="E2700" i="25"/>
  <c r="E2615" i="25"/>
  <c r="E2530" i="25"/>
  <c r="E2455" i="25"/>
  <c r="E2391" i="25"/>
  <c r="E2327" i="25"/>
  <c r="E2263" i="25"/>
  <c r="E2199" i="25"/>
  <c r="E2136" i="25"/>
  <c r="E2725" i="25"/>
  <c r="E2410" i="25"/>
  <c r="E2155" i="25"/>
  <c r="E2032" i="25"/>
  <c r="E1947" i="25"/>
  <c r="E4010" i="25"/>
  <c r="E3988" i="25"/>
  <c r="E4054" i="25"/>
  <c r="E4007" i="25"/>
  <c r="E4025" i="25"/>
  <c r="E3997" i="25"/>
  <c r="E4031" i="25"/>
  <c r="E4044" i="25"/>
  <c r="E3990" i="25"/>
  <c r="E3986" i="25"/>
  <c r="E3910" i="25"/>
  <c r="E3782" i="25"/>
  <c r="E3670" i="25"/>
  <c r="E3901" i="25"/>
  <c r="E3773" i="25"/>
  <c r="E3661" i="25"/>
  <c r="E3876" i="25"/>
  <c r="E3748" i="25"/>
  <c r="E3975" i="25"/>
  <c r="E3863" i="25"/>
  <c r="E3735" i="25"/>
  <c r="E3621" i="25"/>
  <c r="E3525" i="25"/>
  <c r="E3397" i="25"/>
  <c r="E3628" i="25"/>
  <c r="E3516" i="25"/>
  <c r="E3595" i="25"/>
  <c r="E3499" i="25"/>
  <c r="E3432" i="25"/>
  <c r="E3276" i="25"/>
  <c r="E3164" i="25"/>
  <c r="E3068" i="25"/>
  <c r="E2940" i="25"/>
  <c r="E3388" i="25"/>
  <c r="E3259" i="25"/>
  <c r="E3654" i="25"/>
  <c r="E3392" i="25"/>
  <c r="E3262" i="25"/>
  <c r="E3134" i="25"/>
  <c r="E3097" i="25"/>
  <c r="E2969" i="25"/>
  <c r="E2831" i="25"/>
  <c r="E2719" i="25"/>
  <c r="E2608" i="25"/>
  <c r="E3586" i="25"/>
  <c r="E3111" i="25"/>
  <c r="E2962" i="25"/>
  <c r="E2826" i="25"/>
  <c r="E3506" i="25"/>
  <c r="E3105" i="25"/>
  <c r="E2934" i="25"/>
  <c r="E2821" i="25"/>
  <c r="E3157" i="25"/>
  <c r="E2677" i="25"/>
  <c r="E2549" i="25"/>
  <c r="E2421" i="25"/>
  <c r="E2293" i="25"/>
  <c r="E2181" i="25"/>
  <c r="E2082" i="25"/>
  <c r="E1954" i="25"/>
  <c r="E3141" i="25"/>
  <c r="E2696" i="25"/>
  <c r="E2526" i="25"/>
  <c r="E2420" i="25"/>
  <c r="E2308" i="25"/>
  <c r="E2180" i="25"/>
  <c r="E3087" i="25"/>
  <c r="E2705" i="25"/>
  <c r="E2535" i="25"/>
  <c r="E2411" i="25"/>
  <c r="E2299" i="25"/>
  <c r="E2171" i="25"/>
  <c r="E2788" i="25"/>
  <c r="E2234" i="25"/>
  <c r="E1973" i="25"/>
  <c r="E1834" i="25"/>
  <c r="E1740" i="25"/>
  <c r="E1612" i="25"/>
  <c r="E1500" i="25"/>
  <c r="E1387" i="25"/>
  <c r="E2720" i="25"/>
  <c r="E2262" i="25"/>
  <c r="E2004" i="25"/>
  <c r="E1841" i="25"/>
  <c r="E1732" i="25"/>
  <c r="E1635" i="25"/>
  <c r="E2714" i="25"/>
  <c r="E2210" i="25"/>
  <c r="E1987" i="25"/>
  <c r="E1828" i="25"/>
  <c r="E1731" i="25"/>
  <c r="E1618" i="25"/>
  <c r="E2049" i="25"/>
  <c r="E1547" i="25"/>
  <c r="E1412" i="25"/>
  <c r="E1253" i="25"/>
  <c r="E1175" i="25"/>
  <c r="E1094" i="25"/>
  <c r="E997" i="25"/>
  <c r="E919" i="25"/>
  <c r="E838" i="25"/>
  <c r="E741" i="25"/>
  <c r="E663" i="25"/>
  <c r="E582" i="25"/>
  <c r="E487" i="25"/>
  <c r="E407" i="25"/>
  <c r="E2087" i="25"/>
  <c r="E1652" i="25"/>
  <c r="E1472" i="25"/>
  <c r="E1363" i="25"/>
  <c r="E1252" i="25"/>
  <c r="E1170" i="25"/>
  <c r="E1089" i="25"/>
  <c r="E996" i="25"/>
  <c r="E914" i="25"/>
  <c r="E833" i="25"/>
  <c r="E740" i="25"/>
  <c r="E658" i="25"/>
  <c r="E577" i="25"/>
  <c r="E2302" i="25"/>
  <c r="E1772" i="25"/>
  <c r="E1507" i="25"/>
  <c r="E1383" i="25"/>
  <c r="E1278" i="25"/>
  <c r="E1200" i="25"/>
  <c r="E1103" i="25"/>
  <c r="E1022" i="25"/>
  <c r="E944" i="25"/>
  <c r="E847" i="25"/>
  <c r="E766" i="25"/>
  <c r="E688" i="25"/>
  <c r="E591" i="25"/>
  <c r="E510" i="25"/>
  <c r="E1304" i="25"/>
  <c r="E912" i="25"/>
  <c r="E586" i="25"/>
  <c r="E424" i="25"/>
  <c r="E315" i="25"/>
  <c r="E235" i="25"/>
  <c r="E155" i="25"/>
  <c r="E59" i="25"/>
  <c r="E1815" i="25"/>
  <c r="E1234" i="25"/>
  <c r="E846" i="25"/>
  <c r="E541" i="25"/>
  <c r="E414" i="25"/>
  <c r="E301" i="25"/>
  <c r="E221" i="25"/>
  <c r="E141" i="25"/>
  <c r="E45" i="25"/>
  <c r="E1675" i="25"/>
  <c r="E1199" i="25"/>
  <c r="E811" i="25"/>
  <c r="E508" i="25"/>
  <c r="E396" i="25"/>
  <c r="E297" i="25"/>
  <c r="E217" i="25"/>
  <c r="E137" i="25"/>
  <c r="E41" i="25"/>
  <c r="E963" i="25"/>
  <c r="E271" i="25"/>
  <c r="E1195" i="25"/>
  <c r="E357" i="25"/>
  <c r="E37" i="25"/>
  <c r="E399" i="25"/>
  <c r="E85" i="25"/>
  <c r="E606" i="25"/>
  <c r="E69" i="25"/>
  <c r="E3922" i="25"/>
  <c r="E3842" i="25"/>
  <c r="E3746" i="25"/>
  <c r="E3666" i="25"/>
  <c r="E3913" i="25"/>
  <c r="E3817" i="25"/>
  <c r="E3737" i="25"/>
  <c r="E3984" i="25"/>
  <c r="E3888" i="25"/>
  <c r="E3808" i="25"/>
  <c r="E3728" i="25"/>
  <c r="E3955" i="25"/>
  <c r="E3875" i="25"/>
  <c r="E3795" i="25"/>
  <c r="E3699" i="25"/>
  <c r="E3617" i="25"/>
  <c r="E3537" i="25"/>
  <c r="E3441" i="25"/>
  <c r="E3361" i="25"/>
  <c r="E3624" i="25"/>
  <c r="E3528" i="25"/>
  <c r="E3655" i="25"/>
  <c r="E3575" i="25"/>
  <c r="E3479" i="25"/>
  <c r="E3448" i="25"/>
  <c r="E3342" i="25"/>
  <c r="E3240" i="25"/>
  <c r="E3160" i="25"/>
  <c r="E3080" i="25"/>
  <c r="E2984" i="25"/>
  <c r="E3562" i="25"/>
  <c r="E3383" i="25"/>
  <c r="E3271" i="25"/>
  <c r="E3191" i="25"/>
  <c r="E3574" i="25"/>
  <c r="E3366" i="25"/>
  <c r="E3274" i="25"/>
  <c r="E3194" i="25"/>
  <c r="E3332" i="25"/>
  <c r="E3091" i="25"/>
  <c r="E2985" i="25"/>
  <c r="E2875" i="25"/>
  <c r="E2795" i="25"/>
  <c r="E2715" i="25"/>
  <c r="E2620" i="25"/>
  <c r="E2540" i="25"/>
  <c r="E3391" i="25"/>
  <c r="E3085" i="25"/>
  <c r="E2978" i="25"/>
  <c r="E2886" i="25"/>
  <c r="E2790" i="25"/>
  <c r="E3450" i="25"/>
  <c r="E3121" i="25"/>
  <c r="E2993" i="25"/>
  <c r="E2897" i="25"/>
  <c r="E2817" i="25"/>
  <c r="E3359" i="25"/>
  <c r="E2816" i="25"/>
  <c r="E2650" i="25"/>
  <c r="E2522" i="25"/>
  <c r="E2433" i="25"/>
  <c r="E2353" i="25"/>
  <c r="E2257" i="25"/>
  <c r="E2177" i="25"/>
  <c r="E2094" i="25"/>
  <c r="E1998" i="25"/>
  <c r="E1918" i="25"/>
  <c r="E3114" i="25"/>
  <c r="E2712" i="25"/>
  <c r="E2606" i="25"/>
  <c r="E2499" i="25"/>
  <c r="E2400" i="25"/>
  <c r="E2320" i="25"/>
  <c r="E2240" i="25"/>
  <c r="E2145" i="25"/>
  <c r="E3066" i="25"/>
  <c r="E2721" i="25"/>
  <c r="E2594" i="25"/>
  <c r="E2487" i="25"/>
  <c r="E2407" i="25"/>
  <c r="E2311" i="25"/>
  <c r="E2231" i="25"/>
  <c r="E2152" i="25"/>
  <c r="E2641" i="25"/>
  <c r="E2282" i="25"/>
  <c r="E2053" i="25"/>
  <c r="E1925" i="25"/>
  <c r="E1846" i="25"/>
  <c r="E1783" i="25"/>
  <c r="E1717" i="25"/>
  <c r="E1655" i="25"/>
  <c r="E1589" i="25"/>
  <c r="E1527" i="25"/>
  <c r="E1461" i="25"/>
  <c r="E1399" i="25"/>
  <c r="E1333" i="25"/>
  <c r="E2900" i="25"/>
  <c r="E2438" i="25"/>
  <c r="E2182" i="25"/>
  <c r="E2041" i="25"/>
  <c r="E1956" i="25"/>
  <c r="E1871" i="25"/>
  <c r="E1805" i="25"/>
  <c r="E1743" i="25"/>
  <c r="E1677" i="25"/>
  <c r="E1615" i="25"/>
  <c r="E1549" i="25"/>
  <c r="E2609" i="25"/>
  <c r="E2322" i="25"/>
  <c r="E2088" i="25"/>
  <c r="E2003" i="25"/>
  <c r="E1917" i="25"/>
  <c r="E1840" i="25"/>
  <c r="E1773" i="25"/>
  <c r="E1711" i="25"/>
  <c r="E1645" i="25"/>
  <c r="E1583" i="25"/>
  <c r="E2398" i="25"/>
  <c r="E1859" i="25"/>
  <c r="E1594" i="25"/>
  <c r="E1474" i="25"/>
  <c r="E1385" i="25"/>
  <c r="E1303" i="25"/>
  <c r="E1233" i="25"/>
  <c r="E1171" i="25"/>
  <c r="E1105" i="25"/>
  <c r="E1043" i="25"/>
  <c r="E977" i="25"/>
  <c r="E915" i="25"/>
  <c r="E849" i="25"/>
  <c r="E787" i="25"/>
  <c r="E721" i="25"/>
  <c r="E659" i="25"/>
  <c r="E593" i="25"/>
  <c r="E530" i="25"/>
  <c r="E468" i="25"/>
  <c r="E404" i="25"/>
  <c r="E2254" i="25"/>
  <c r="E1823" i="25"/>
  <c r="E1575" i="25"/>
  <c r="E1467" i="25"/>
  <c r="E3982" i="25"/>
  <c r="E3918" i="25"/>
  <c r="E3854" i="25"/>
  <c r="E3790" i="25"/>
  <c r="E3726" i="25"/>
  <c r="E3662" i="25"/>
  <c r="E3925" i="25"/>
  <c r="E3861" i="25"/>
  <c r="E3797" i="25"/>
  <c r="E3733" i="25"/>
  <c r="E3669" i="25"/>
  <c r="E3932" i="25"/>
  <c r="E3868" i="25"/>
  <c r="E3804" i="25"/>
  <c r="E3740" i="25"/>
  <c r="E3676" i="25"/>
  <c r="E3935" i="25"/>
  <c r="E3871" i="25"/>
  <c r="E3807" i="25"/>
  <c r="E3743" i="25"/>
  <c r="E3679" i="25"/>
  <c r="E3613" i="25"/>
  <c r="E3549" i="25"/>
  <c r="E3485" i="25"/>
  <c r="E3421" i="25"/>
  <c r="E3357" i="25"/>
  <c r="E3636" i="25"/>
  <c r="E3572" i="25"/>
  <c r="E3508" i="25"/>
  <c r="E3651" i="25"/>
  <c r="E3587" i="25"/>
  <c r="E3523" i="25"/>
  <c r="E3459" i="25"/>
  <c r="E3443" i="25"/>
  <c r="E3358" i="25"/>
  <c r="E3284" i="25"/>
  <c r="E3220" i="25"/>
  <c r="E3156" i="25"/>
  <c r="E3092" i="25"/>
  <c r="E3028" i="25"/>
  <c r="E2964" i="25"/>
  <c r="E3546" i="25"/>
  <c r="E3399" i="25"/>
  <c r="E3315" i="25"/>
  <c r="E3251" i="25"/>
  <c r="E3187" i="25"/>
  <c r="E3622" i="25"/>
  <c r="E3424" i="25"/>
  <c r="E3339" i="25"/>
  <c r="E3270" i="25"/>
  <c r="E3206" i="25"/>
  <c r="E3142" i="25"/>
  <c r="E3249" i="25"/>
  <c r="E3086" i="25"/>
  <c r="E3001" i="25"/>
  <c r="E2919" i="25"/>
  <c r="E2855" i="25"/>
  <c r="E2791" i="25"/>
  <c r="E2727" i="25"/>
  <c r="E2664" i="25"/>
  <c r="E2600" i="25"/>
  <c r="E2536" i="25"/>
  <c r="E3458" i="25"/>
  <c r="E3165" i="25"/>
  <c r="E3058" i="25"/>
  <c r="E2973" i="25"/>
  <c r="E2898" i="25"/>
  <c r="E2834" i="25"/>
  <c r="E2770" i="25"/>
  <c r="E3428" i="25"/>
  <c r="E3145" i="25"/>
  <c r="E3051" i="25"/>
  <c r="E2966" i="25"/>
  <c r="E2893" i="25"/>
  <c r="E2829" i="25"/>
  <c r="E2765" i="25"/>
  <c r="E3098" i="25"/>
  <c r="E2800" i="25"/>
  <c r="E2666" i="25"/>
  <c r="E2581" i="25"/>
  <c r="E2495" i="25"/>
  <c r="E2429" i="25"/>
  <c r="E2365" i="25"/>
  <c r="E2301" i="25"/>
  <c r="E2237" i="25"/>
  <c r="E2173" i="25"/>
  <c r="E2106" i="25"/>
  <c r="E2042" i="25"/>
  <c r="E1978" i="25"/>
  <c r="E1914" i="25"/>
  <c r="E3269" i="25"/>
  <c r="E2860" i="25"/>
  <c r="E2685" i="25"/>
  <c r="E2601" i="25"/>
  <c r="E2515" i="25"/>
  <c r="E2444" i="25"/>
  <c r="E2380" i="25"/>
  <c r="E2316" i="25"/>
  <c r="E2252" i="25"/>
  <c r="E2188" i="25"/>
  <c r="E2125" i="25"/>
  <c r="E3045" i="25"/>
  <c r="E2760" i="25"/>
  <c r="E2653" i="25"/>
  <c r="E2567" i="25"/>
  <c r="E2483" i="25"/>
  <c r="E2419" i="25"/>
  <c r="E2355" i="25"/>
  <c r="E2291" i="25"/>
  <c r="E2227" i="25"/>
  <c r="E2164" i="25"/>
  <c r="E2100" i="25"/>
  <c r="E2534" i="25"/>
  <c r="E2266" i="25"/>
  <c r="E2069" i="25"/>
  <c r="E1984" i="25"/>
  <c r="E1899" i="25"/>
  <c r="E1826" i="25"/>
  <c r="E1764" i="25"/>
  <c r="E1698" i="25"/>
  <c r="E1636" i="25"/>
  <c r="E1570" i="25"/>
  <c r="E1508" i="25"/>
  <c r="E1442" i="25"/>
  <c r="E1380" i="25"/>
  <c r="E1314" i="25"/>
  <c r="E2657" i="25"/>
  <c r="E2358" i="25"/>
  <c r="E2103" i="25"/>
  <c r="E2015" i="25"/>
  <c r="E1929" i="25"/>
  <c r="E1849" i="25"/>
  <c r="E1786" i="25"/>
  <c r="E1724" i="25"/>
  <c r="E1658" i="25"/>
  <c r="E1596" i="25"/>
  <c r="E3125" i="25"/>
  <c r="E2502" i="25"/>
  <c r="E2242" i="25"/>
  <c r="E2061" i="25"/>
  <c r="E1976" i="25"/>
  <c r="E1891" i="25"/>
  <c r="E1820" i="25"/>
  <c r="E1754" i="25"/>
  <c r="E1692" i="25"/>
  <c r="E1626" i="25"/>
  <c r="E1564" i="25"/>
  <c r="E2092" i="25"/>
  <c r="E1780" i="25"/>
  <c r="E1530" i="25"/>
  <c r="E1448" i="25"/>
  <c r="E1359" i="25"/>
  <c r="E1280" i="25"/>
  <c r="E1214" i="25"/>
  <c r="E1152" i="25"/>
  <c r="E1086" i="25"/>
  <c r="E1024" i="25"/>
  <c r="E958" i="25"/>
  <c r="E896" i="25"/>
  <c r="E830" i="25"/>
  <c r="E768" i="25"/>
  <c r="E702" i="25"/>
  <c r="E640" i="25"/>
  <c r="E574" i="25"/>
  <c r="E511" i="25"/>
  <c r="E445" i="25"/>
  <c r="E381" i="25"/>
  <c r="E2044" i="25"/>
  <c r="E1745" i="25"/>
  <c r="E1524" i="25"/>
  <c r="E1441" i="25"/>
  <c r="E3882" i="25"/>
  <c r="E3953" i="25"/>
  <c r="E3697" i="25"/>
  <c r="E3768" i="25"/>
  <c r="E3835" i="25"/>
  <c r="E3577" i="25"/>
  <c r="E3321" i="25"/>
  <c r="E3615" i="25"/>
  <c r="E3395" i="25"/>
  <c r="E3120" i="25"/>
  <c r="E3436" i="25"/>
  <c r="E3151" i="25"/>
  <c r="E3234" i="25"/>
  <c r="E3038" i="25"/>
  <c r="E2755" i="25"/>
  <c r="E2500" i="25"/>
  <c r="E2926" i="25"/>
  <c r="E3257" i="25"/>
  <c r="E2857" i="25"/>
  <c r="E2702" i="25"/>
  <c r="E2393" i="25"/>
  <c r="E2134" i="25"/>
  <c r="E1878" i="25"/>
  <c r="E2553" i="25"/>
  <c r="E2280" i="25"/>
  <c r="E2872" i="25"/>
  <c r="E2447" i="25"/>
  <c r="E2191" i="25"/>
  <c r="E2123" i="25"/>
  <c r="E1791" i="25"/>
  <c r="E1535" i="25"/>
  <c r="E3061" i="25"/>
  <c r="E1967" i="25"/>
  <c r="E1685" i="25"/>
  <c r="E2354" i="25"/>
  <c r="E1848" i="25"/>
  <c r="E1591" i="25"/>
  <c r="E1483" i="25"/>
  <c r="E1179" i="25"/>
  <c r="E923" i="25"/>
  <c r="E667" i="25"/>
  <c r="E410" i="25"/>
  <c r="E1478" i="25"/>
  <c r="E1307" i="25"/>
  <c r="E1213" i="25"/>
  <c r="E1131" i="25"/>
  <c r="E1046" i="25"/>
  <c r="E957" i="25"/>
  <c r="E875" i="25"/>
  <c r="E790" i="25"/>
  <c r="E701" i="25"/>
  <c r="E619" i="25"/>
  <c r="E532" i="25"/>
  <c r="E1975" i="25"/>
  <c r="E1617" i="25"/>
  <c r="E1450" i="25"/>
  <c r="E1336" i="25"/>
  <c r="E1239" i="25"/>
  <c r="E1154" i="25"/>
  <c r="E1068" i="25"/>
  <c r="E983" i="25"/>
  <c r="E898" i="25"/>
  <c r="E812" i="25"/>
  <c r="E727" i="25"/>
  <c r="E642" i="25"/>
  <c r="E556" i="25"/>
  <c r="E1532" i="25"/>
  <c r="E1114" i="25"/>
  <c r="E773" i="25"/>
  <c r="E481" i="25"/>
  <c r="E366" i="25"/>
  <c r="E280" i="25"/>
  <c r="E193" i="25"/>
  <c r="E110" i="25"/>
  <c r="E24" i="25"/>
  <c r="E1423" i="25"/>
  <c r="E1064" i="25"/>
  <c r="E707" i="25"/>
  <c r="E469" i="25"/>
  <c r="E356" i="25"/>
  <c r="E266" i="25"/>
  <c r="E183" i="25"/>
  <c r="E100" i="25"/>
  <c r="E10" i="25"/>
  <c r="E1377" i="25"/>
  <c r="E1029" i="25"/>
  <c r="E672" i="25"/>
  <c r="E451" i="25"/>
  <c r="E352" i="25"/>
  <c r="E262" i="25"/>
  <c r="E179" i="25"/>
  <c r="E96" i="25"/>
  <c r="E6" i="25"/>
  <c r="E459" i="25"/>
  <c r="E92" i="25"/>
  <c r="E637" i="25"/>
  <c r="E191" i="25"/>
  <c r="E1056" i="25"/>
  <c r="E252" i="25"/>
  <c r="E364" i="25"/>
  <c r="E463" i="25"/>
  <c r="E2804" i="25"/>
  <c r="E1146" i="25"/>
  <c r="E1041" i="25"/>
  <c r="E913" i="25"/>
  <c r="E805" i="25"/>
  <c r="E700" i="25"/>
  <c r="E615" i="25"/>
  <c r="E1831" i="25"/>
  <c r="E1083" i="25"/>
  <c r="E680" i="25"/>
  <c r="E415" i="25"/>
  <c r="E296" i="25"/>
  <c r="E190" i="25"/>
  <c r="E81" i="25"/>
  <c r="E2478" i="25"/>
  <c r="E1203" i="25"/>
  <c r="E769" i="25"/>
  <c r="E465" i="25"/>
  <c r="E327" i="25"/>
  <c r="E218" i="25"/>
  <c r="E116" i="25"/>
  <c r="E7" i="25"/>
  <c r="E1246" i="25"/>
  <c r="E827" i="25"/>
  <c r="E476" i="25"/>
  <c r="E342" i="25"/>
  <c r="E240" i="25"/>
  <c r="E131" i="25"/>
  <c r="E22" i="25"/>
  <c r="E441" i="25"/>
  <c r="E1927" i="25"/>
  <c r="E332" i="25"/>
  <c r="E1309" i="25"/>
  <c r="E239" i="25"/>
  <c r="E1371" i="25"/>
  <c r="E274" i="25"/>
  <c r="E275" i="25"/>
  <c r="E64" i="25"/>
  <c r="E309" i="25"/>
  <c r="E403" i="25"/>
  <c r="E303" i="25"/>
  <c r="E287" i="25"/>
  <c r="E3474" i="25"/>
  <c r="E3348" i="25"/>
  <c r="E2939" i="25"/>
  <c r="E2473" i="25"/>
  <c r="E1958" i="25"/>
  <c r="E2360" i="25"/>
  <c r="E2463" i="25"/>
  <c r="E2043" i="25"/>
  <c r="E1422" i="25"/>
  <c r="E1829" i="25"/>
  <c r="E1864" i="25"/>
  <c r="E1334" i="25"/>
  <c r="E748" i="25"/>
  <c r="E1498" i="25"/>
  <c r="E1221" i="25"/>
  <c r="E1007" i="25"/>
  <c r="E837" i="25"/>
  <c r="E666" i="25"/>
  <c r="E2017" i="25"/>
  <c r="E1455" i="25"/>
  <c r="E1243" i="25"/>
  <c r="E1076" i="25"/>
  <c r="E902" i="25"/>
  <c r="E712" i="25"/>
  <c r="E518" i="25"/>
  <c r="E804" i="25"/>
  <c r="E369" i="25"/>
  <c r="E241" i="25"/>
  <c r="E72" i="25"/>
  <c r="E1250" i="25"/>
  <c r="E473" i="25"/>
  <c r="E231" i="25"/>
  <c r="E39" i="25"/>
  <c r="E1044" i="25"/>
  <c r="E400" i="25"/>
  <c r="E182" i="25"/>
  <c r="E16" i="25"/>
  <c r="E1413" i="25"/>
  <c r="E1118" i="25"/>
  <c r="E854" i="25"/>
  <c r="E3930" i="25"/>
  <c r="E3674" i="25"/>
  <c r="E3745" i="25"/>
  <c r="E3816" i="25"/>
  <c r="E3883" i="25"/>
  <c r="E3625" i="25"/>
  <c r="E3369" i="25"/>
  <c r="E3456" i="25"/>
  <c r="E3470" i="25"/>
  <c r="E3168" i="25"/>
  <c r="E3594" i="25"/>
  <c r="E3199" i="25"/>
  <c r="E3282" i="25"/>
  <c r="E3102" i="25"/>
  <c r="E2803" i="25"/>
  <c r="E2548" i="25"/>
  <c r="E2989" i="25"/>
  <c r="E3570" i="25"/>
  <c r="E2905" i="25"/>
  <c r="E59" i="18"/>
  <c r="G40" i="18"/>
  <c r="E40" i="18" s="1"/>
  <c r="E290" i="25"/>
  <c r="E486" i="25"/>
  <c r="E80" i="25"/>
  <c r="E355" i="25"/>
  <c r="E1122" i="25"/>
  <c r="E167" i="25"/>
  <c r="E505" i="25"/>
  <c r="E30" i="25"/>
  <c r="E402" i="25"/>
  <c r="E1428" i="25"/>
  <c r="E774" i="25"/>
  <c r="E1096" i="25"/>
  <c r="E1481" i="25"/>
  <c r="E623" i="25"/>
  <c r="E988" i="25"/>
  <c r="E1263" i="25"/>
  <c r="E682" i="25"/>
  <c r="E1541" i="25"/>
  <c r="E1767" i="25"/>
  <c r="E1678" i="25"/>
  <c r="E2541" i="25"/>
  <c r="E3071" i="25"/>
  <c r="E2745" i="25"/>
  <c r="E2644" i="25"/>
  <c r="E3314" i="25"/>
  <c r="E3008" i="25"/>
  <c r="E3503" i="25"/>
  <c r="E3401" i="25"/>
  <c r="E3915" i="25"/>
  <c r="E3777" i="25"/>
  <c r="E730" i="25"/>
  <c r="E63" i="25"/>
  <c r="E839" i="25"/>
  <c r="E230" i="25"/>
  <c r="E549" i="25"/>
  <c r="E1060" i="25"/>
  <c r="E1863" i="25"/>
  <c r="E68" i="25"/>
  <c r="E151" i="25"/>
  <c r="E234" i="25"/>
  <c r="E324" i="25"/>
  <c r="E422" i="25"/>
  <c r="E583" i="25"/>
  <c r="E924" i="25"/>
  <c r="E1265" i="25"/>
  <c r="E2055" i="25"/>
  <c r="E78" i="25"/>
  <c r="E161" i="25"/>
  <c r="E248" i="25"/>
  <c r="E334" i="25"/>
  <c r="E432" i="25"/>
  <c r="E633" i="25"/>
  <c r="E990" i="25"/>
  <c r="E1346" i="25"/>
  <c r="E523" i="25"/>
  <c r="E611" i="25"/>
  <c r="E696" i="25"/>
  <c r="E777" i="25"/>
  <c r="E867" i="25"/>
  <c r="E952" i="25"/>
  <c r="E1033" i="25"/>
  <c r="E1123" i="25"/>
  <c r="E1208" i="25"/>
  <c r="E1289" i="25"/>
  <c r="E1409" i="25"/>
  <c r="E1522" i="25"/>
  <c r="E1819" i="25"/>
  <c r="E2667" i="25"/>
  <c r="E588" i="25"/>
  <c r="E670" i="25"/>
  <c r="E759" i="25"/>
  <c r="E844" i="25"/>
  <c r="E926" i="25"/>
  <c r="E1015" i="25"/>
  <c r="E1100" i="25"/>
  <c r="E1182" i="25"/>
  <c r="E1271" i="25"/>
  <c r="E1374" i="25"/>
  <c r="E2023" i="25"/>
  <c r="E570" i="25"/>
  <c r="E826" i="25"/>
  <c r="E1082" i="25"/>
  <c r="E1354" i="25"/>
  <c r="E2071" i="25"/>
  <c r="E1750" i="25"/>
  <c r="E2056" i="25"/>
  <c r="E1592" i="25"/>
  <c r="E1845" i="25"/>
  <c r="E2342" i="25"/>
  <c r="E1438" i="25"/>
  <c r="E1694" i="25"/>
  <c r="E1979" i="25"/>
  <c r="E3237" i="25"/>
  <c r="E2351" i="25"/>
  <c r="E2647" i="25"/>
  <c r="E2184" i="25"/>
  <c r="E2440" i="25"/>
  <c r="E2844" i="25"/>
  <c r="E2038" i="25"/>
  <c r="E2297" i="25"/>
  <c r="E2575" i="25"/>
  <c r="E2761" i="25"/>
  <c r="E3046" i="25"/>
  <c r="E2830" i="25"/>
  <c r="E3149" i="25"/>
  <c r="E2660" i="25"/>
  <c r="E2915" i="25"/>
  <c r="E3138" i="25"/>
  <c r="E3419" i="25"/>
  <c r="E3311" i="25"/>
  <c r="E3024" i="25"/>
  <c r="E3280" i="25"/>
  <c r="E3519" i="25"/>
  <c r="E3568" i="25"/>
  <c r="E3481" i="25"/>
  <c r="E3739" i="25"/>
  <c r="E3672" i="25"/>
  <c r="E3928" i="25"/>
  <c r="E3857" i="25"/>
  <c r="E3786" i="25"/>
  <c r="E446" i="25"/>
  <c r="E808" i="25"/>
  <c r="E28" i="25"/>
  <c r="E118" i="25"/>
  <c r="E434" i="25"/>
  <c r="E2414" i="25"/>
  <c r="E295" i="25"/>
  <c r="E893" i="25"/>
  <c r="E136" i="25"/>
  <c r="E544" i="25"/>
  <c r="E564" i="25"/>
  <c r="E859" i="25"/>
  <c r="E1177" i="25"/>
  <c r="E1803" i="25"/>
  <c r="E709" i="25"/>
  <c r="E1031" i="25"/>
  <c r="E1369" i="25"/>
  <c r="E1004" i="25"/>
  <c r="E1669" i="25"/>
  <c r="E1903" i="25"/>
  <c r="E2186" i="25"/>
  <c r="E2168" i="25"/>
  <c r="E2345" i="25"/>
  <c r="E2814" i="25"/>
  <c r="E2974" i="25"/>
  <c r="E3167" i="25"/>
  <c r="E3200" i="25"/>
  <c r="E3488" i="25"/>
  <c r="E3723" i="25"/>
  <c r="E3912" i="25"/>
  <c r="E3706" i="25"/>
  <c r="E159" i="25"/>
  <c r="E242" i="25"/>
  <c r="E1722" i="25"/>
  <c r="E320" i="25"/>
  <c r="E641" i="25"/>
  <c r="E351" i="25"/>
  <c r="E1257" i="25"/>
  <c r="E176" i="25"/>
  <c r="E998" i="25"/>
  <c r="E308" i="25"/>
  <c r="E1753" i="25"/>
  <c r="E449" i="25"/>
  <c r="E595" i="25"/>
  <c r="E1018" i="25"/>
  <c r="E1274" i="25"/>
  <c r="E1388" i="25"/>
  <c r="E1497" i="25"/>
  <c r="E1757" i="25"/>
  <c r="E2366" i="25"/>
  <c r="E592" i="25"/>
  <c r="E678" i="25"/>
  <c r="E763" i="25"/>
  <c r="E848" i="25"/>
  <c r="E934" i="25"/>
  <c r="E1019" i="25"/>
  <c r="E1104" i="25"/>
  <c r="E1190" i="25"/>
  <c r="E1275" i="25"/>
  <c r="E1379" i="25"/>
  <c r="E2127" i="25"/>
  <c r="E585" i="25"/>
  <c r="E841" i="25"/>
  <c r="E1097" i="25"/>
  <c r="E1375" i="25"/>
  <c r="E2270" i="25"/>
  <c r="E1766" i="25"/>
  <c r="E2077" i="25"/>
  <c r="E1608" i="25"/>
  <c r="E1861" i="25"/>
  <c r="E2406" i="25"/>
  <c r="E1453" i="25"/>
  <c r="E1709" i="25"/>
  <c r="E2000" i="25"/>
  <c r="E2112" i="25"/>
  <c r="E2367" i="25"/>
  <c r="E2669" i="25"/>
  <c r="E2200" i="25"/>
  <c r="E2456" i="25"/>
  <c r="E2908" i="25"/>
  <c r="E2054" i="25"/>
  <c r="E2313" i="25"/>
  <c r="E2597" i="25"/>
  <c r="E2777" i="25"/>
  <c r="E3193" i="25"/>
  <c r="E3074" i="25"/>
  <c r="E2676" i="25"/>
  <c r="E3017" i="25"/>
  <c r="E3355" i="25"/>
  <c r="E3330" i="25"/>
  <c r="E3104" i="25"/>
  <c r="E3471" i="25"/>
  <c r="E3584" i="25"/>
  <c r="E3561" i="25"/>
  <c r="E3947" i="25"/>
  <c r="E3944" i="25"/>
  <c r="E3937" i="25"/>
  <c r="E172" i="25"/>
  <c r="E111" i="25"/>
  <c r="E1071" i="25"/>
  <c r="E54" i="25"/>
  <c r="E310" i="25"/>
  <c r="E780" i="25"/>
  <c r="E58" i="25"/>
  <c r="E340" i="25"/>
  <c r="E986" i="25"/>
  <c r="E94" i="25"/>
  <c r="E305" i="25"/>
  <c r="E711" i="25"/>
  <c r="E584" i="25"/>
  <c r="E793" i="25"/>
  <c r="E1030" i="25"/>
  <c r="E1311" i="25"/>
  <c r="E1633" i="25"/>
  <c r="E604" i="25"/>
  <c r="E860" i="25"/>
  <c r="E1116" i="25"/>
  <c r="E1416" i="25"/>
  <c r="E938" i="25"/>
  <c r="E1607" i="25"/>
  <c r="E1701" i="25"/>
  <c r="E1616" i="25"/>
  <c r="E2207" i="25"/>
  <c r="E2232" i="25"/>
  <c r="E2150" i="25"/>
  <c r="E2991" i="25"/>
  <c r="E2946" i="25"/>
  <c r="E3231" i="25"/>
  <c r="E916" i="25"/>
  <c r="E140" i="25"/>
  <c r="E504" i="25"/>
  <c r="E147" i="25"/>
  <c r="E1230" i="25"/>
  <c r="E261" i="25"/>
  <c r="E416" i="25"/>
  <c r="E178" i="25"/>
  <c r="E66" i="25"/>
  <c r="E901" i="25"/>
  <c r="E112" i="25"/>
  <c r="E259" i="25"/>
  <c r="E421" i="25"/>
  <c r="E734" i="25"/>
  <c r="E1355" i="25"/>
  <c r="E71" i="25"/>
  <c r="E199" i="25"/>
  <c r="E346" i="25"/>
  <c r="E520" i="25"/>
  <c r="E1017" i="25"/>
  <c r="E17" i="25"/>
  <c r="E145" i="25"/>
  <c r="E273" i="25"/>
  <c r="E478" i="25"/>
  <c r="E928" i="25"/>
  <c r="E1511" i="25"/>
  <c r="E634" i="25"/>
  <c r="E762" i="25"/>
  <c r="E890" i="25"/>
  <c r="E1061" i="25"/>
  <c r="E1212" i="25"/>
  <c r="E82" i="25"/>
  <c r="E1454" i="25"/>
  <c r="E433" i="25"/>
  <c r="E114" i="25"/>
  <c r="E1009" i="25"/>
  <c r="E258" i="25"/>
  <c r="E1351" i="25"/>
  <c r="E115" i="25"/>
  <c r="E224" i="25"/>
  <c r="E326" i="25"/>
  <c r="E480" i="25"/>
  <c r="E842" i="25"/>
  <c r="E1277" i="25"/>
  <c r="E36" i="25"/>
  <c r="E138" i="25"/>
  <c r="E247" i="25"/>
  <c r="E376" i="25"/>
  <c r="E552" i="25"/>
  <c r="E955" i="25"/>
  <c r="E1526" i="25"/>
  <c r="E65" i="25"/>
  <c r="E174" i="25"/>
  <c r="E302" i="25"/>
  <c r="E419" i="25"/>
  <c r="E695" i="25"/>
  <c r="E1207" i="25"/>
  <c r="E515" i="25"/>
  <c r="E618" i="25"/>
  <c r="E746" i="25"/>
  <c r="E855" i="25"/>
  <c r="E964" i="25"/>
  <c r="E1092" i="25"/>
  <c r="E1196" i="25"/>
  <c r="E1305" i="25"/>
  <c r="E1476" i="25"/>
  <c r="E1788" i="25"/>
  <c r="E3103" i="25"/>
  <c r="E639" i="25"/>
  <c r="E747" i="25"/>
  <c r="E856" i="25"/>
  <c r="E984" i="25"/>
  <c r="E1085" i="25"/>
  <c r="E1193" i="25"/>
  <c r="E1332" i="25"/>
  <c r="E1855" i="25"/>
  <c r="E601" i="25"/>
  <c r="E985" i="25"/>
  <c r="E1313" i="25"/>
  <c r="E2539" i="25"/>
  <c r="E1928" i="25"/>
  <c r="E1557" i="25"/>
  <c r="E1881" i="25"/>
  <c r="E1341" i="25"/>
  <c r="E1663" i="25"/>
  <c r="E2021" i="25"/>
  <c r="E2255" i="25"/>
  <c r="E2605" i="25"/>
  <c r="E2216" i="25"/>
  <c r="E2638" i="25"/>
  <c r="E2006" i="25"/>
  <c r="E2329" i="25"/>
  <c r="E2912" i="25"/>
  <c r="E3003" i="25"/>
  <c r="E2862" i="25"/>
  <c r="E2564" i="25"/>
  <c r="E2883" i="25"/>
  <c r="E3170" i="25"/>
  <c r="E3215" i="25"/>
  <c r="E2992" i="25"/>
  <c r="E3312" i="25"/>
  <c r="E3472" i="25"/>
  <c r="E3449" i="25"/>
  <c r="E3771" i="25"/>
  <c r="E3832" i="25"/>
  <c r="E3825" i="25"/>
  <c r="E3818" i="25"/>
  <c r="E1462" i="25"/>
  <c r="E1621" i="25"/>
  <c r="E1959" i="25"/>
  <c r="E397" i="25"/>
  <c r="E479" i="25"/>
  <c r="E558" i="25"/>
  <c r="E655" i="25"/>
  <c r="E733" i="25"/>
  <c r="E814" i="25"/>
  <c r="E911" i="25"/>
  <c r="E989" i="25"/>
  <c r="E1070" i="25"/>
  <c r="E1167" i="25"/>
  <c r="E1245" i="25"/>
  <c r="E1339" i="25"/>
  <c r="E1468" i="25"/>
  <c r="E1656" i="25"/>
  <c r="E2007" i="25"/>
  <c r="E1579" i="25"/>
  <c r="E1657" i="25"/>
  <c r="E1738" i="25"/>
  <c r="E1836" i="25"/>
  <c r="E1933" i="25"/>
  <c r="E2040" i="25"/>
  <c r="E2306" i="25"/>
  <c r="E2673" i="25"/>
  <c r="E1580" i="25"/>
  <c r="E1673" i="25"/>
  <c r="E1755" i="25"/>
  <c r="E1833" i="25"/>
  <c r="E1951" i="25"/>
  <c r="E2057" i="25"/>
  <c r="E2294" i="25"/>
  <c r="E2836" i="25"/>
  <c r="E1345" i="25"/>
  <c r="E1426" i="25"/>
  <c r="E1523" i="25"/>
  <c r="E1601" i="25"/>
  <c r="E1682" i="25"/>
  <c r="E1779" i="25"/>
  <c r="E1858" i="25"/>
  <c r="E1963" i="25"/>
  <c r="E2091" i="25"/>
  <c r="E2394" i="25"/>
  <c r="E2916" i="25"/>
  <c r="E2179" i="25"/>
  <c r="E2259" i="25"/>
  <c r="E2339" i="25"/>
  <c r="E2435" i="25"/>
  <c r="E2525" i="25"/>
  <c r="E2631" i="25"/>
  <c r="E2824" i="25"/>
  <c r="E3402" i="25"/>
  <c r="E2172" i="25"/>
  <c r="E2268" i="25"/>
  <c r="E2348" i="25"/>
  <c r="E2428" i="25"/>
  <c r="E2537" i="25"/>
  <c r="E2643" i="25"/>
  <c r="E2796" i="25"/>
  <c r="E1866" i="25"/>
  <c r="E1946" i="25"/>
  <c r="E2026" i="25"/>
  <c r="E2122" i="25"/>
  <c r="E2205" i="25"/>
  <c r="E2285" i="25"/>
  <c r="E2381" i="25"/>
  <c r="E2461" i="25"/>
  <c r="E2559" i="25"/>
  <c r="E2686" i="25"/>
  <c r="E2928" i="25"/>
  <c r="E2749" i="25"/>
  <c r="E2845" i="25"/>
  <c r="E2925" i="25"/>
  <c r="E3030" i="25"/>
  <c r="E3209" i="25"/>
  <c r="E2738" i="25"/>
  <c r="E2818" i="25"/>
  <c r="E2914" i="25"/>
  <c r="E3015" i="25"/>
  <c r="E3122" i="25"/>
  <c r="E2488" i="25"/>
  <c r="E2568" i="25"/>
  <c r="E2648" i="25"/>
  <c r="E2743" i="25"/>
  <c r="E2823" i="25"/>
  <c r="E2903" i="25"/>
  <c r="E3022" i="25"/>
  <c r="E3129" i="25"/>
  <c r="E3538" i="25"/>
  <c r="E3222" i="25"/>
  <c r="E3302" i="25"/>
  <c r="E3403" i="25"/>
  <c r="E3139" i="25"/>
  <c r="E3219" i="25"/>
  <c r="E3299" i="25"/>
  <c r="E3420" i="25"/>
  <c r="E2932" i="25"/>
  <c r="E3012" i="25"/>
  <c r="E3108" i="25"/>
  <c r="E3188" i="25"/>
  <c r="E3268" i="25"/>
  <c r="E3379" i="25"/>
  <c r="E3550" i="25"/>
  <c r="E3507" i="25"/>
  <c r="E3603" i="25"/>
  <c r="E3476" i="25"/>
  <c r="E3556" i="25"/>
  <c r="E3652" i="25"/>
  <c r="E3389" i="25"/>
  <c r="E3469" i="25"/>
  <c r="E3565" i="25"/>
  <c r="E3645" i="25"/>
  <c r="E3727" i="25"/>
  <c r="E3823" i="25"/>
  <c r="E3903" i="25"/>
  <c r="E3983" i="25"/>
  <c r="E3756" i="25"/>
  <c r="E3836" i="25"/>
  <c r="E3916" i="25"/>
  <c r="E3685" i="25"/>
  <c r="E3765" i="25"/>
  <c r="E3845" i="25"/>
  <c r="E3941" i="25"/>
  <c r="E3694" i="25"/>
  <c r="E3774" i="25"/>
  <c r="E3870" i="25"/>
  <c r="E3950" i="25"/>
  <c r="E1447" i="25"/>
  <c r="E1637" i="25"/>
  <c r="E1980" i="25"/>
  <c r="E388" i="25"/>
  <c r="E482" i="25"/>
  <c r="E562" i="25"/>
  <c r="E644" i="25"/>
  <c r="E737" i="25"/>
  <c r="E818" i="25"/>
  <c r="E900" i="25"/>
  <c r="E993" i="25"/>
  <c r="E1074" i="25"/>
  <c r="E1156" i="25"/>
  <c r="E1249" i="25"/>
  <c r="E1344" i="25"/>
  <c r="E1452" i="25"/>
  <c r="E1672" i="25"/>
  <c r="E2028" i="25"/>
  <c r="E1568" i="25"/>
  <c r="E1661" i="25"/>
  <c r="E1742" i="25"/>
  <c r="E1824" i="25"/>
  <c r="E1939" i="25"/>
  <c r="E2045" i="25"/>
  <c r="E2258" i="25"/>
  <c r="E2693" i="25"/>
  <c r="E1584" i="25"/>
  <c r="E1662" i="25"/>
  <c r="E1759" i="25"/>
  <c r="E1837" i="25"/>
  <c r="E1935" i="25"/>
  <c r="E2063" i="25"/>
  <c r="E2310" i="25"/>
  <c r="E2698" i="25"/>
  <c r="E1349" i="25"/>
  <c r="E1430" i="25"/>
  <c r="E1512" i="25"/>
  <c r="E1605" i="25"/>
  <c r="E1686" i="25"/>
  <c r="E1768" i="25"/>
  <c r="E1862" i="25"/>
  <c r="E1989" i="25"/>
  <c r="E2218" i="25"/>
  <c r="E2997" i="25"/>
  <c r="E2183" i="25"/>
  <c r="E2295" i="25"/>
  <c r="E2423" i="25"/>
  <c r="E2551" i="25"/>
  <c r="E2678" i="25"/>
  <c r="E3189" i="25"/>
  <c r="E2192" i="25"/>
  <c r="E2304" i="25"/>
  <c r="E2432" i="25"/>
  <c r="E2542" i="25"/>
  <c r="E2690" i="25"/>
  <c r="E3338" i="25"/>
  <c r="E1966" i="25"/>
  <c r="E2062" i="25"/>
  <c r="E2193" i="25"/>
  <c r="E2305" i="25"/>
  <c r="E2417" i="25"/>
  <c r="E2565" i="25"/>
  <c r="E2692" i="25"/>
  <c r="E3119" i="25"/>
  <c r="E2833" i="25"/>
  <c r="E2950" i="25"/>
  <c r="E3078" i="25"/>
  <c r="E2726" i="25"/>
  <c r="E2838" i="25"/>
  <c r="E2957" i="25"/>
  <c r="E3127" i="25"/>
  <c r="E2492" i="25"/>
  <c r="E2604" i="25"/>
  <c r="E2731" i="25"/>
  <c r="E2843" i="25"/>
  <c r="E2942" i="25"/>
  <c r="E3113" i="25"/>
  <c r="E3146" i="25"/>
  <c r="E3258" i="25"/>
  <c r="E3408" i="25"/>
  <c r="E3143" i="25"/>
  <c r="E3255" i="25"/>
  <c r="E3404" i="25"/>
  <c r="E2952" i="25"/>
  <c r="E3048" i="25"/>
  <c r="E3176" i="25"/>
  <c r="E3288" i="25"/>
  <c r="E3427" i="25"/>
  <c r="E3511" i="25"/>
  <c r="E3607" i="25"/>
  <c r="E3512" i="25"/>
  <c r="E3640" i="25"/>
  <c r="E3409" i="25"/>
  <c r="E3505" i="25"/>
  <c r="E3633" i="25"/>
  <c r="E3747" i="25"/>
  <c r="E3859" i="25"/>
  <c r="E3664" i="25"/>
  <c r="E3760" i="25"/>
  <c r="E3872" i="25"/>
  <c r="E3673" i="25"/>
  <c r="E3785" i="25"/>
  <c r="E3881" i="25"/>
  <c r="E3682" i="25"/>
  <c r="E3794" i="25"/>
  <c r="E3906" i="25"/>
  <c r="E133" i="25"/>
  <c r="E210" i="25"/>
  <c r="E341" i="25"/>
  <c r="E101" i="25"/>
  <c r="E699" i="25"/>
  <c r="E143" i="25"/>
  <c r="E1211" i="25"/>
  <c r="E89" i="25"/>
  <c r="E201" i="25"/>
  <c r="E329" i="25"/>
  <c r="E443" i="25"/>
  <c r="E749" i="25"/>
  <c r="E1261" i="25"/>
  <c r="E13" i="25"/>
  <c r="E109" i="25"/>
  <c r="E237" i="25"/>
  <c r="E349" i="25"/>
  <c r="E502" i="25"/>
  <c r="E970" i="25"/>
  <c r="E1382" i="25"/>
  <c r="E43" i="25"/>
  <c r="E171" i="25"/>
  <c r="E283" i="25"/>
  <c r="E389" i="25"/>
  <c r="E664" i="25"/>
  <c r="E1098" i="25"/>
  <c r="E1991" i="25"/>
  <c r="E622" i="25"/>
  <c r="E719" i="25"/>
  <c r="E832" i="25"/>
  <c r="E960" i="25"/>
  <c r="E1072" i="25"/>
  <c r="E1165" i="25"/>
  <c r="E1295" i="25"/>
  <c r="E1445" i="25"/>
  <c r="E1710" i="25"/>
  <c r="E513" i="25"/>
  <c r="E612" i="25"/>
  <c r="E724" i="25"/>
  <c r="E852" i="25"/>
  <c r="E961" i="25"/>
  <c r="E1058" i="25"/>
  <c r="E1186" i="25"/>
  <c r="E1301" i="25"/>
  <c r="E1451" i="25"/>
  <c r="E1776" i="25"/>
  <c r="E2603" i="25"/>
  <c r="E471" i="25"/>
  <c r="E597" i="25"/>
  <c r="E710" i="25"/>
  <c r="E807" i="25"/>
  <c r="E935" i="25"/>
  <c r="E1047" i="25"/>
  <c r="E1160" i="25"/>
  <c r="E1288" i="25"/>
  <c r="E1458" i="25"/>
  <c r="E1964" i="25"/>
  <c r="E1634" i="25"/>
  <c r="E1793" i="25"/>
  <c r="E1944" i="25"/>
  <c r="E2274" i="25"/>
  <c r="E1569" i="25"/>
  <c r="E1716" i="25"/>
  <c r="E1897" i="25"/>
  <c r="E2068" i="25"/>
  <c r="E2614" i="25"/>
  <c r="E1418" i="25"/>
  <c r="E1562" i="25"/>
  <c r="E1690" i="25"/>
  <c r="E1867" i="25"/>
  <c r="E2059" i="25"/>
  <c r="E2577" i="25"/>
  <c r="E2219" i="25"/>
  <c r="E2347" i="25"/>
  <c r="E2493" i="25"/>
  <c r="E2728" i="25"/>
  <c r="E2133" i="25"/>
  <c r="E2260" i="25"/>
  <c r="E2436" i="25"/>
  <c r="E2611" i="25"/>
  <c r="E3050" i="25"/>
  <c r="E1986" i="25"/>
  <c r="E2114" i="25"/>
  <c r="E2277" i="25"/>
  <c r="E2437" i="25"/>
  <c r="E2634" i="25"/>
  <c r="E2970" i="25"/>
  <c r="E2837" i="25"/>
  <c r="E3019" i="25"/>
  <c r="E3386" i="25"/>
  <c r="E2874" i="25"/>
  <c r="E3026" i="25"/>
  <c r="E3412" i="25"/>
  <c r="E2640" i="25"/>
  <c r="E2783" i="25"/>
  <c r="E2911" i="25"/>
  <c r="E3153" i="25"/>
  <c r="E3198" i="25"/>
  <c r="E3350" i="25"/>
  <c r="E3179" i="25"/>
  <c r="E3307" i="25"/>
  <c r="E3578" i="25"/>
  <c r="E3084" i="25"/>
  <c r="E3228" i="25"/>
  <c r="E3368" i="25"/>
  <c r="E3515" i="25"/>
  <c r="E3659" i="25"/>
  <c r="E3612" i="25"/>
  <c r="E3429" i="25"/>
  <c r="E3557" i="25"/>
  <c r="E3719" i="25"/>
  <c r="E3879" i="25"/>
  <c r="E3716" i="25"/>
  <c r="E3844" i="25"/>
  <c r="E3677" i="25"/>
  <c r="E3837" i="25"/>
  <c r="E3981" i="25"/>
  <c r="E3830" i="25"/>
  <c r="E3958" i="25"/>
  <c r="E4045" i="25"/>
  <c r="E3999" i="25"/>
  <c r="E4040" i="25"/>
  <c r="E4019" i="25"/>
  <c r="E4043" i="25"/>
  <c r="E4014" i="25"/>
  <c r="E4046" i="25"/>
  <c r="E4027" i="25"/>
  <c r="J476" i="25"/>
  <c r="U475" i="25"/>
  <c r="G376" i="25"/>
  <c r="G1689" i="25"/>
  <c r="G3103" i="25"/>
  <c r="G2765" i="25"/>
  <c r="G1419" i="25"/>
  <c r="G2239" i="25"/>
  <c r="G904" i="25"/>
  <c r="G2387" i="25"/>
  <c r="G1434" i="25"/>
  <c r="G1946" i="25"/>
  <c r="G2471" i="25"/>
  <c r="G2630" i="25"/>
  <c r="G2884" i="25"/>
  <c r="G3480" i="25"/>
  <c r="G1222" i="25"/>
  <c r="O17" i="26"/>
  <c r="J5" i="27" s="1"/>
  <c r="E27" i="10" s="1"/>
  <c r="N19" i="26"/>
  <c r="N22" i="26"/>
  <c r="M73" i="19"/>
  <c r="L74" i="19"/>
  <c r="E8" i="18"/>
  <c r="E56" i="18" s="1"/>
  <c r="E24" i="18"/>
  <c r="AV55" i="24"/>
  <c r="O64" i="24" s="1"/>
  <c r="O27" i="24" s="1"/>
  <c r="AR55" i="24"/>
  <c r="K64" i="24" s="1"/>
  <c r="K27" i="24" s="1"/>
  <c r="T25" i="21"/>
  <c r="I17" i="21"/>
  <c r="S16" i="21"/>
  <c r="S11" i="21"/>
  <c r="I10" i="21"/>
  <c r="I18" i="21" s="1"/>
  <c r="S7" i="21"/>
  <c r="P105" i="22" a="1"/>
  <c r="P105" i="22" s="1"/>
  <c r="O105" i="22" a="1"/>
  <c r="O105" i="22" s="1"/>
  <c r="N105" i="22" a="1"/>
  <c r="N105" i="22" s="1"/>
  <c r="M105" i="22" a="1"/>
  <c r="M105" i="22" s="1"/>
  <c r="F61" i="22"/>
  <c r="F60"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F48" i="22"/>
  <c r="F47"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F34" i="22"/>
  <c r="Q33" i="22"/>
  <c r="Q36" i="22" s="1"/>
  <c r="Q40" i="22" s="1"/>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F21" i="22"/>
  <c r="F20"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H10" i="22"/>
  <c r="J15" i="21" s="1"/>
  <c r="AG8" i="22"/>
  <c r="AI13" i="21" s="1"/>
  <c r="AF8" i="22"/>
  <c r="AH13" i="21" s="1"/>
  <c r="AE8" i="22"/>
  <c r="AG13" i="21" s="1"/>
  <c r="AD8" i="22"/>
  <c r="AF13" i="21" s="1"/>
  <c r="AC8" i="22"/>
  <c r="AE13" i="21" s="1"/>
  <c r="AB8" i="22"/>
  <c r="AD13" i="21" s="1"/>
  <c r="AA8" i="22"/>
  <c r="AC13" i="21" s="1"/>
  <c r="Z8" i="22"/>
  <c r="AB13" i="21" s="1"/>
  <c r="Y8" i="22"/>
  <c r="AA13" i="21" s="1"/>
  <c r="X8" i="22"/>
  <c r="Z13" i="21" s="1"/>
  <c r="W8" i="22"/>
  <c r="Y13" i="21" s="1"/>
  <c r="V8" i="22"/>
  <c r="X13" i="21" s="1"/>
  <c r="U8" i="22"/>
  <c r="W13" i="21" s="1"/>
  <c r="T8" i="22"/>
  <c r="V13" i="21" s="1"/>
  <c r="S8" i="22"/>
  <c r="U13" i="21" s="1"/>
  <c r="R8" i="22"/>
  <c r="T13" i="21" s="1"/>
  <c r="Q8" i="22"/>
  <c r="S13" i="21" s="1"/>
  <c r="P8" i="22"/>
  <c r="R13" i="21" s="1"/>
  <c r="O8" i="22"/>
  <c r="Q13" i="21" s="1"/>
  <c r="N8" i="22"/>
  <c r="P13" i="21" s="1"/>
  <c r="M8" i="22"/>
  <c r="O13" i="21" s="1"/>
  <c r="L8" i="22"/>
  <c r="N13" i="21" s="1"/>
  <c r="K8" i="22"/>
  <c r="M13" i="21" s="1"/>
  <c r="J8" i="22"/>
  <c r="L13" i="21" s="1"/>
  <c r="I8" i="22"/>
  <c r="K13" i="21" s="1"/>
  <c r="H8" i="22"/>
  <c r="J13" i="21" s="1"/>
  <c r="AG7" i="22"/>
  <c r="AI12" i="21" s="1"/>
  <c r="AF7" i="22"/>
  <c r="AH12" i="21" s="1"/>
  <c r="AE7" i="22"/>
  <c r="AG12" i="21" s="1"/>
  <c r="AD7" i="22"/>
  <c r="AF12" i="21" s="1"/>
  <c r="AC7" i="22"/>
  <c r="AE12" i="21" s="1"/>
  <c r="AB7" i="22"/>
  <c r="AD12" i="21" s="1"/>
  <c r="AA7" i="22"/>
  <c r="AC12" i="21" s="1"/>
  <c r="Z7" i="22"/>
  <c r="AB12" i="21" s="1"/>
  <c r="Y7" i="22"/>
  <c r="AA12" i="21" s="1"/>
  <c r="X7" i="22"/>
  <c r="Z12" i="21" s="1"/>
  <c r="W7" i="22"/>
  <c r="Y12" i="21" s="1"/>
  <c r="V7" i="22"/>
  <c r="X12" i="21" s="1"/>
  <c r="U7" i="22"/>
  <c r="W12" i="21" s="1"/>
  <c r="T7" i="22"/>
  <c r="V12" i="21" s="1"/>
  <c r="S7" i="22"/>
  <c r="U12" i="21" s="1"/>
  <c r="R7" i="22"/>
  <c r="T12" i="21" s="1"/>
  <c r="P7" i="22"/>
  <c r="R12" i="21" s="1"/>
  <c r="O7" i="22"/>
  <c r="Q12" i="21" s="1"/>
  <c r="N7" i="22"/>
  <c r="P12" i="21" s="1"/>
  <c r="M7" i="22"/>
  <c r="O12" i="21" s="1"/>
  <c r="L7" i="22"/>
  <c r="N12" i="21" s="1"/>
  <c r="K7" i="22"/>
  <c r="M12" i="21" s="1"/>
  <c r="J7" i="22"/>
  <c r="L12" i="21" s="1"/>
  <c r="I7" i="22"/>
  <c r="K12" i="21" s="1"/>
  <c r="H7" i="22"/>
  <c r="J12" i="21" s="1"/>
  <c r="AG6" i="22"/>
  <c r="AF6" i="22"/>
  <c r="AE6" i="22"/>
  <c r="AD6" i="22"/>
  <c r="AC6" i="22"/>
  <c r="AB6" i="22"/>
  <c r="AA6" i="22"/>
  <c r="Z6" i="22"/>
  <c r="Y6" i="22"/>
  <c r="X6" i="22"/>
  <c r="W6" i="22"/>
  <c r="V6" i="22"/>
  <c r="U6" i="22"/>
  <c r="T6" i="22"/>
  <c r="S6" i="22"/>
  <c r="R6" i="22"/>
  <c r="Q6" i="22"/>
  <c r="P6" i="22"/>
  <c r="O6" i="22"/>
  <c r="N6" i="22"/>
  <c r="M6" i="22"/>
  <c r="L6" i="22"/>
  <c r="K6" i="22"/>
  <c r="J6" i="22"/>
  <c r="I6" i="22"/>
  <c r="H6" i="22"/>
  <c r="G29" i="20"/>
  <c r="H6" i="20"/>
  <c r="H5" i="20"/>
  <c r="G5" i="20"/>
  <c r="F5" i="20"/>
  <c r="AP214" i="7"/>
  <c r="CA214" i="7"/>
  <c r="AO215" i="7"/>
  <c r="BZ215" i="7"/>
  <c r="G216" i="7"/>
  <c r="AK216" i="7"/>
  <c r="AR216" i="7"/>
  <c r="BV216" i="7"/>
  <c r="CC216" i="7"/>
  <c r="DG216" i="7"/>
  <c r="DM216" i="7"/>
  <c r="DN216" i="7"/>
  <c r="DO216" i="7"/>
  <c r="DP216" i="7"/>
  <c r="DQ216" i="7"/>
  <c r="DR216" i="7"/>
  <c r="DS216" i="7"/>
  <c r="DT216" i="7"/>
  <c r="DU216" i="7"/>
  <c r="DV216" i="7"/>
  <c r="DW216" i="7"/>
  <c r="DX216" i="7"/>
  <c r="DY216" i="7"/>
  <c r="DZ216" i="7"/>
  <c r="EA216" i="7"/>
  <c r="EB216" i="7"/>
  <c r="EC216" i="7"/>
  <c r="ED216" i="7"/>
  <c r="EE216" i="7"/>
  <c r="EF216" i="7"/>
  <c r="EG216" i="7"/>
  <c r="EL216" i="7"/>
  <c r="EM216" i="7"/>
  <c r="EN216" i="7"/>
  <c r="EO216" i="7"/>
  <c r="EP216" i="7"/>
  <c r="EQ216" i="7"/>
  <c r="ER216" i="7"/>
  <c r="ES216" i="7"/>
  <c r="ET216" i="7"/>
  <c r="EU216" i="7"/>
  <c r="EV216" i="7"/>
  <c r="EW216" i="7"/>
  <c r="EX216" i="7"/>
  <c r="EY216" i="7"/>
  <c r="EZ216" i="7"/>
  <c r="FA216" i="7"/>
  <c r="FB216" i="7"/>
  <c r="FC216" i="7"/>
  <c r="FD216" i="7"/>
  <c r="FE216" i="7"/>
  <c r="FF216" i="7"/>
  <c r="FK216" i="7"/>
  <c r="FL216" i="7"/>
  <c r="FM216" i="7"/>
  <c r="FN216" i="7"/>
  <c r="FO216" i="7"/>
  <c r="FP216" i="7"/>
  <c r="FQ216" i="7"/>
  <c r="FR216" i="7"/>
  <c r="FS216" i="7"/>
  <c r="FT216" i="7"/>
  <c r="FU216" i="7"/>
  <c r="FV216" i="7"/>
  <c r="FW216" i="7"/>
  <c r="FX216" i="7"/>
  <c r="FY216" i="7"/>
  <c r="FZ216" i="7"/>
  <c r="GA216" i="7"/>
  <c r="GB216" i="7"/>
  <c r="GC216" i="7"/>
  <c r="GD216" i="7"/>
  <c r="GE216" i="7"/>
  <c r="F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CB217" i="7"/>
  <c r="DM217" i="7"/>
  <c r="DN217" i="7"/>
  <c r="DO217" i="7"/>
  <c r="DP217" i="7"/>
  <c r="DQ217" i="7"/>
  <c r="DR217" i="7"/>
  <c r="DS217" i="7"/>
  <c r="DT217" i="7"/>
  <c r="DU217" i="7"/>
  <c r="DV217" i="7"/>
  <c r="DW217" i="7"/>
  <c r="DX217" i="7"/>
  <c r="DY217" i="7"/>
  <c r="DZ217" i="7"/>
  <c r="EA217" i="7"/>
  <c r="EB217" i="7"/>
  <c r="EC217" i="7"/>
  <c r="ED217" i="7"/>
  <c r="EE217" i="7"/>
  <c r="EF217" i="7"/>
  <c r="EG217" i="7"/>
  <c r="EL217" i="7"/>
  <c r="EM217" i="7"/>
  <c r="EN217" i="7"/>
  <c r="EO217" i="7"/>
  <c r="EP217" i="7"/>
  <c r="EQ217" i="7"/>
  <c r="ER217" i="7"/>
  <c r="ES217" i="7"/>
  <c r="ET217" i="7"/>
  <c r="EU217" i="7"/>
  <c r="EV217" i="7"/>
  <c r="EW217" i="7"/>
  <c r="EX217" i="7"/>
  <c r="EY217" i="7"/>
  <c r="EZ217" i="7"/>
  <c r="FA217" i="7"/>
  <c r="FB217" i="7"/>
  <c r="FC217" i="7"/>
  <c r="FD217" i="7"/>
  <c r="FE217" i="7"/>
  <c r="FF217" i="7"/>
  <c r="FK217" i="7"/>
  <c r="FL217" i="7"/>
  <c r="FM217" i="7"/>
  <c r="FN217" i="7"/>
  <c r="FO217" i="7"/>
  <c r="FP217" i="7"/>
  <c r="FQ217" i="7"/>
  <c r="FR217" i="7"/>
  <c r="FS217" i="7"/>
  <c r="FT217" i="7"/>
  <c r="FU217" i="7"/>
  <c r="FV217" i="7"/>
  <c r="FW217" i="7"/>
  <c r="FX217" i="7"/>
  <c r="FY217" i="7"/>
  <c r="FZ217" i="7"/>
  <c r="GA217" i="7"/>
  <c r="GB217" i="7"/>
  <c r="GC217" i="7"/>
  <c r="GD217" i="7"/>
  <c r="GE217"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DM218" i="7"/>
  <c r="DN218" i="7"/>
  <c r="DO218" i="7"/>
  <c r="DP218" i="7"/>
  <c r="DQ218" i="7"/>
  <c r="DR218" i="7"/>
  <c r="DS218" i="7"/>
  <c r="DT218" i="7"/>
  <c r="DU218" i="7"/>
  <c r="DV218" i="7"/>
  <c r="DW218" i="7"/>
  <c r="DX218" i="7"/>
  <c r="DY218" i="7"/>
  <c r="DZ218" i="7"/>
  <c r="EA218" i="7"/>
  <c r="EB218" i="7"/>
  <c r="EC218" i="7"/>
  <c r="ED218" i="7"/>
  <c r="EE218" i="7"/>
  <c r="EF218" i="7"/>
  <c r="EG218" i="7"/>
  <c r="EL218" i="7"/>
  <c r="EM218" i="7"/>
  <c r="EN218" i="7"/>
  <c r="EO218" i="7"/>
  <c r="EP218" i="7"/>
  <c r="EQ218" i="7"/>
  <c r="ER218" i="7"/>
  <c r="ES218" i="7"/>
  <c r="ET218" i="7"/>
  <c r="EU218" i="7"/>
  <c r="EV218" i="7"/>
  <c r="EW218" i="7"/>
  <c r="EX218" i="7"/>
  <c r="EY218" i="7"/>
  <c r="EZ218" i="7"/>
  <c r="FA218" i="7"/>
  <c r="FB218" i="7"/>
  <c r="FC218" i="7"/>
  <c r="FD218" i="7"/>
  <c r="FE218" i="7"/>
  <c r="FF218" i="7"/>
  <c r="FK218" i="7"/>
  <c r="FL218" i="7"/>
  <c r="FM218" i="7"/>
  <c r="FN218" i="7"/>
  <c r="FO218" i="7"/>
  <c r="FP218" i="7"/>
  <c r="FQ218" i="7"/>
  <c r="FR218" i="7"/>
  <c r="FS218" i="7"/>
  <c r="FT218" i="7"/>
  <c r="FU218" i="7"/>
  <c r="FV218" i="7"/>
  <c r="FW218" i="7"/>
  <c r="FX218" i="7"/>
  <c r="FY218" i="7"/>
  <c r="FZ218" i="7"/>
  <c r="GA218" i="7"/>
  <c r="GB218" i="7"/>
  <c r="GC218" i="7"/>
  <c r="GD218" i="7"/>
  <c r="GE218"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DM219" i="7"/>
  <c r="DN219" i="7"/>
  <c r="DO219" i="7"/>
  <c r="DP219" i="7"/>
  <c r="DQ219" i="7"/>
  <c r="DR219" i="7"/>
  <c r="DS219" i="7"/>
  <c r="DT219" i="7"/>
  <c r="DU219" i="7"/>
  <c r="DV219" i="7"/>
  <c r="DW219" i="7"/>
  <c r="DX219" i="7"/>
  <c r="DY219" i="7"/>
  <c r="DZ219" i="7"/>
  <c r="EA219" i="7"/>
  <c r="EB219" i="7"/>
  <c r="EC219" i="7"/>
  <c r="ED219" i="7"/>
  <c r="EE219" i="7"/>
  <c r="EF219" i="7"/>
  <c r="EG219" i="7"/>
  <c r="EL219" i="7"/>
  <c r="EM219" i="7"/>
  <c r="EN219" i="7"/>
  <c r="EO219" i="7"/>
  <c r="EP219" i="7"/>
  <c r="EQ219" i="7"/>
  <c r="ER219" i="7"/>
  <c r="ES219" i="7"/>
  <c r="ET219" i="7"/>
  <c r="EU219" i="7"/>
  <c r="EV219" i="7"/>
  <c r="EW219" i="7"/>
  <c r="EX219" i="7"/>
  <c r="EY219" i="7"/>
  <c r="EZ219" i="7"/>
  <c r="FA219" i="7"/>
  <c r="FB219" i="7"/>
  <c r="FC219" i="7"/>
  <c r="FD219" i="7"/>
  <c r="FE219" i="7"/>
  <c r="FF219" i="7"/>
  <c r="FK219" i="7"/>
  <c r="FL219" i="7"/>
  <c r="FM219" i="7"/>
  <c r="FN219" i="7"/>
  <c r="FO219" i="7"/>
  <c r="FP219" i="7"/>
  <c r="FQ219" i="7"/>
  <c r="FR219" i="7"/>
  <c r="FS219" i="7"/>
  <c r="FT219" i="7"/>
  <c r="FU219" i="7"/>
  <c r="FV219" i="7"/>
  <c r="FW219" i="7"/>
  <c r="FX219" i="7"/>
  <c r="FY219" i="7"/>
  <c r="FZ219" i="7"/>
  <c r="GA219" i="7"/>
  <c r="GB219" i="7"/>
  <c r="GC219" i="7"/>
  <c r="GD219" i="7"/>
  <c r="GE219"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DM220" i="7"/>
  <c r="DN220" i="7"/>
  <c r="DO220" i="7"/>
  <c r="DP220" i="7"/>
  <c r="DQ220" i="7"/>
  <c r="DR220" i="7"/>
  <c r="DS220" i="7"/>
  <c r="DT220" i="7"/>
  <c r="DU220" i="7"/>
  <c r="DV220" i="7"/>
  <c r="DW220" i="7"/>
  <c r="DX220" i="7"/>
  <c r="DY220" i="7"/>
  <c r="DZ220" i="7"/>
  <c r="EA220" i="7"/>
  <c r="EB220" i="7"/>
  <c r="EC220" i="7"/>
  <c r="ED220" i="7"/>
  <c r="EE220" i="7"/>
  <c r="EF220" i="7"/>
  <c r="EG220" i="7"/>
  <c r="EL220" i="7"/>
  <c r="EM220" i="7"/>
  <c r="EN220" i="7"/>
  <c r="EO220" i="7"/>
  <c r="EP220" i="7"/>
  <c r="EQ220" i="7"/>
  <c r="ER220" i="7"/>
  <c r="ES220" i="7"/>
  <c r="ET220" i="7"/>
  <c r="EU220" i="7"/>
  <c r="EV220" i="7"/>
  <c r="EW220" i="7"/>
  <c r="EX220" i="7"/>
  <c r="EY220" i="7"/>
  <c r="EZ220" i="7"/>
  <c r="FA220" i="7"/>
  <c r="FB220" i="7"/>
  <c r="FC220" i="7"/>
  <c r="FD220" i="7"/>
  <c r="FE220" i="7"/>
  <c r="FF220" i="7"/>
  <c r="FK220" i="7"/>
  <c r="FL220" i="7"/>
  <c r="FM220" i="7"/>
  <c r="FN220" i="7"/>
  <c r="FO220" i="7"/>
  <c r="FP220" i="7"/>
  <c r="FQ220" i="7"/>
  <c r="FR220" i="7"/>
  <c r="FS220" i="7"/>
  <c r="FT220" i="7"/>
  <c r="FU220" i="7"/>
  <c r="FV220" i="7"/>
  <c r="FW220" i="7"/>
  <c r="FX220" i="7"/>
  <c r="FY220" i="7"/>
  <c r="FZ220" i="7"/>
  <c r="GA220" i="7"/>
  <c r="GB220" i="7"/>
  <c r="GC220" i="7"/>
  <c r="GD220" i="7"/>
  <c r="GE220"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DM221" i="7"/>
  <c r="DN221" i="7"/>
  <c r="DO221" i="7"/>
  <c r="DP221" i="7"/>
  <c r="DQ221" i="7"/>
  <c r="DR221" i="7"/>
  <c r="DS221" i="7"/>
  <c r="DT221" i="7"/>
  <c r="DU221" i="7"/>
  <c r="DV221" i="7"/>
  <c r="DW221" i="7"/>
  <c r="DX221" i="7"/>
  <c r="DY221" i="7"/>
  <c r="DZ221" i="7"/>
  <c r="EA221" i="7"/>
  <c r="EB221" i="7"/>
  <c r="EC221" i="7"/>
  <c r="ED221" i="7"/>
  <c r="EE221" i="7"/>
  <c r="EF221" i="7"/>
  <c r="EG221" i="7"/>
  <c r="EL221" i="7"/>
  <c r="EM221" i="7"/>
  <c r="EN221" i="7"/>
  <c r="EO221" i="7"/>
  <c r="EP221" i="7"/>
  <c r="EQ221" i="7"/>
  <c r="ER221" i="7"/>
  <c r="ES221" i="7"/>
  <c r="ET221" i="7"/>
  <c r="EU221" i="7"/>
  <c r="EV221" i="7"/>
  <c r="EW221" i="7"/>
  <c r="EX221" i="7"/>
  <c r="EY221" i="7"/>
  <c r="EZ221" i="7"/>
  <c r="FA221" i="7"/>
  <c r="FB221" i="7"/>
  <c r="FC221" i="7"/>
  <c r="FD221" i="7"/>
  <c r="FE221" i="7"/>
  <c r="FF221" i="7"/>
  <c r="FK221" i="7"/>
  <c r="FL221" i="7"/>
  <c r="FM221" i="7"/>
  <c r="FN221" i="7"/>
  <c r="FO221" i="7"/>
  <c r="FP221" i="7"/>
  <c r="FQ221" i="7"/>
  <c r="FR221" i="7"/>
  <c r="FS221" i="7"/>
  <c r="FT221" i="7"/>
  <c r="FU221" i="7"/>
  <c r="FV221" i="7"/>
  <c r="FW221" i="7"/>
  <c r="FX221" i="7"/>
  <c r="FY221" i="7"/>
  <c r="FZ221" i="7"/>
  <c r="GA221" i="7"/>
  <c r="GB221" i="7"/>
  <c r="GC221" i="7"/>
  <c r="GD221" i="7"/>
  <c r="GE221"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DM222" i="7"/>
  <c r="DN222" i="7"/>
  <c r="DO222" i="7"/>
  <c r="DP222" i="7"/>
  <c r="DQ222" i="7"/>
  <c r="DR222" i="7"/>
  <c r="DS222" i="7"/>
  <c r="DT222" i="7"/>
  <c r="DU222" i="7"/>
  <c r="DV222" i="7"/>
  <c r="DW222" i="7"/>
  <c r="DX222" i="7"/>
  <c r="DY222" i="7"/>
  <c r="DZ222" i="7"/>
  <c r="EA222" i="7"/>
  <c r="EB222" i="7"/>
  <c r="EC222" i="7"/>
  <c r="ED222" i="7"/>
  <c r="EE222" i="7"/>
  <c r="EF222" i="7"/>
  <c r="EG222" i="7"/>
  <c r="EL222" i="7"/>
  <c r="EM222" i="7"/>
  <c r="EN222" i="7"/>
  <c r="EO222" i="7"/>
  <c r="EP222" i="7"/>
  <c r="EQ222" i="7"/>
  <c r="ER222" i="7"/>
  <c r="ES222" i="7"/>
  <c r="ET222" i="7"/>
  <c r="EU222" i="7"/>
  <c r="EV222" i="7"/>
  <c r="EW222" i="7"/>
  <c r="EX222" i="7"/>
  <c r="EY222" i="7"/>
  <c r="EZ222" i="7"/>
  <c r="FA222" i="7"/>
  <c r="FB222" i="7"/>
  <c r="FC222" i="7"/>
  <c r="FD222" i="7"/>
  <c r="FE222" i="7"/>
  <c r="FF222" i="7"/>
  <c r="FK222" i="7"/>
  <c r="FL222" i="7"/>
  <c r="FM222" i="7"/>
  <c r="FN222" i="7"/>
  <c r="FO222" i="7"/>
  <c r="FP222" i="7"/>
  <c r="FQ222" i="7"/>
  <c r="FR222" i="7"/>
  <c r="FS222" i="7"/>
  <c r="FT222" i="7"/>
  <c r="FU222" i="7"/>
  <c r="FV222" i="7"/>
  <c r="FW222" i="7"/>
  <c r="FX222" i="7"/>
  <c r="FY222" i="7"/>
  <c r="FZ222" i="7"/>
  <c r="GA222" i="7"/>
  <c r="GB222" i="7"/>
  <c r="GC222" i="7"/>
  <c r="GD222" i="7"/>
  <c r="GE222"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DM223" i="7"/>
  <c r="DN223" i="7"/>
  <c r="DO223" i="7"/>
  <c r="DP223" i="7"/>
  <c r="DQ223" i="7"/>
  <c r="DR223" i="7"/>
  <c r="DS223" i="7"/>
  <c r="DT223" i="7"/>
  <c r="DU223" i="7"/>
  <c r="DV223" i="7"/>
  <c r="DW223" i="7"/>
  <c r="DX223" i="7"/>
  <c r="DY223" i="7"/>
  <c r="DZ223" i="7"/>
  <c r="EA223" i="7"/>
  <c r="EB223" i="7"/>
  <c r="EC223" i="7"/>
  <c r="ED223" i="7"/>
  <c r="EE223" i="7"/>
  <c r="EF223" i="7"/>
  <c r="EG223" i="7"/>
  <c r="EL223" i="7"/>
  <c r="EM223" i="7"/>
  <c r="EN223" i="7"/>
  <c r="EO223" i="7"/>
  <c r="EP223" i="7"/>
  <c r="EQ223" i="7"/>
  <c r="ER223" i="7"/>
  <c r="ES223" i="7"/>
  <c r="ET223" i="7"/>
  <c r="EU223" i="7"/>
  <c r="EV223" i="7"/>
  <c r="EW223" i="7"/>
  <c r="EX223" i="7"/>
  <c r="EY223" i="7"/>
  <c r="EZ223" i="7"/>
  <c r="FA223" i="7"/>
  <c r="FB223" i="7"/>
  <c r="FC223" i="7"/>
  <c r="FD223" i="7"/>
  <c r="FE223" i="7"/>
  <c r="FF223" i="7"/>
  <c r="FK223" i="7"/>
  <c r="FL223" i="7"/>
  <c r="FM223" i="7"/>
  <c r="FN223" i="7"/>
  <c r="FO223" i="7"/>
  <c r="FP223" i="7"/>
  <c r="FQ223" i="7"/>
  <c r="FR223" i="7"/>
  <c r="FS223" i="7"/>
  <c r="FT223" i="7"/>
  <c r="FU223" i="7"/>
  <c r="FV223" i="7"/>
  <c r="FW223" i="7"/>
  <c r="FX223" i="7"/>
  <c r="FY223" i="7"/>
  <c r="FZ223" i="7"/>
  <c r="GA223" i="7"/>
  <c r="GB223" i="7"/>
  <c r="GC223" i="7"/>
  <c r="GD223" i="7"/>
  <c r="GE223"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DM224" i="7"/>
  <c r="DN224" i="7"/>
  <c r="DO224" i="7"/>
  <c r="DP224" i="7"/>
  <c r="DQ224" i="7"/>
  <c r="DR224" i="7"/>
  <c r="DS224" i="7"/>
  <c r="DT224" i="7"/>
  <c r="DU224" i="7"/>
  <c r="DV224" i="7"/>
  <c r="DW224" i="7"/>
  <c r="DX224" i="7"/>
  <c r="DY224" i="7"/>
  <c r="DZ224" i="7"/>
  <c r="EA224" i="7"/>
  <c r="EB224" i="7"/>
  <c r="EC224" i="7"/>
  <c r="ED224" i="7"/>
  <c r="EE224" i="7"/>
  <c r="EF224" i="7"/>
  <c r="EG224" i="7"/>
  <c r="EL224" i="7"/>
  <c r="EM224" i="7"/>
  <c r="EN224" i="7"/>
  <c r="EO224" i="7"/>
  <c r="EP224" i="7"/>
  <c r="EQ224" i="7"/>
  <c r="ER224" i="7"/>
  <c r="ES224" i="7"/>
  <c r="ET224" i="7"/>
  <c r="EU224" i="7"/>
  <c r="EV224" i="7"/>
  <c r="EW224" i="7"/>
  <c r="EX224" i="7"/>
  <c r="EY224" i="7"/>
  <c r="EZ224" i="7"/>
  <c r="FA224" i="7"/>
  <c r="FB224" i="7"/>
  <c r="FC224" i="7"/>
  <c r="FD224" i="7"/>
  <c r="FE224" i="7"/>
  <c r="FF224" i="7"/>
  <c r="FK224" i="7"/>
  <c r="FL224" i="7"/>
  <c r="FM224" i="7"/>
  <c r="FN224" i="7"/>
  <c r="FO224" i="7"/>
  <c r="FP224" i="7"/>
  <c r="FQ224" i="7"/>
  <c r="FR224" i="7"/>
  <c r="FS224" i="7"/>
  <c r="FT224" i="7"/>
  <c r="FU224" i="7"/>
  <c r="FV224" i="7"/>
  <c r="FW224" i="7"/>
  <c r="FX224" i="7"/>
  <c r="FY224" i="7"/>
  <c r="FZ224" i="7"/>
  <c r="GA224" i="7"/>
  <c r="GB224" i="7"/>
  <c r="GC224" i="7"/>
  <c r="GD224" i="7"/>
  <c r="GE224"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DM225" i="7"/>
  <c r="DN225" i="7"/>
  <c r="DO225" i="7"/>
  <c r="DP225" i="7"/>
  <c r="DQ225" i="7"/>
  <c r="DR225" i="7"/>
  <c r="DS225" i="7"/>
  <c r="DT225" i="7"/>
  <c r="DU225" i="7"/>
  <c r="DV225" i="7"/>
  <c r="DW225" i="7"/>
  <c r="DX225" i="7"/>
  <c r="DY225" i="7"/>
  <c r="DZ225" i="7"/>
  <c r="EA225" i="7"/>
  <c r="EB225" i="7"/>
  <c r="EC225" i="7"/>
  <c r="ED225" i="7"/>
  <c r="EE225" i="7"/>
  <c r="EF225" i="7"/>
  <c r="EG225" i="7"/>
  <c r="EL225" i="7"/>
  <c r="EM225" i="7"/>
  <c r="EN225" i="7"/>
  <c r="EO225" i="7"/>
  <c r="EP225" i="7"/>
  <c r="EQ225" i="7"/>
  <c r="ER225" i="7"/>
  <c r="ES225" i="7"/>
  <c r="ET225" i="7"/>
  <c r="EU225" i="7"/>
  <c r="EV225" i="7"/>
  <c r="EW225" i="7"/>
  <c r="EX225" i="7"/>
  <c r="EY225" i="7"/>
  <c r="EZ225" i="7"/>
  <c r="FA225" i="7"/>
  <c r="FB225" i="7"/>
  <c r="FC225" i="7"/>
  <c r="FD225" i="7"/>
  <c r="FE225" i="7"/>
  <c r="FF225" i="7"/>
  <c r="FK225" i="7"/>
  <c r="FL225" i="7"/>
  <c r="FM225" i="7"/>
  <c r="FN225" i="7"/>
  <c r="FO225" i="7"/>
  <c r="FP225" i="7"/>
  <c r="FQ225" i="7"/>
  <c r="FR225" i="7"/>
  <c r="FS225" i="7"/>
  <c r="FT225" i="7"/>
  <c r="FU225" i="7"/>
  <c r="FV225" i="7"/>
  <c r="FW225" i="7"/>
  <c r="FX225" i="7"/>
  <c r="FY225" i="7"/>
  <c r="FZ225" i="7"/>
  <c r="GA225" i="7"/>
  <c r="GB225" i="7"/>
  <c r="GC225" i="7"/>
  <c r="GD225" i="7"/>
  <c r="GE225"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DM226" i="7"/>
  <c r="DN226" i="7"/>
  <c r="DO226" i="7"/>
  <c r="DP226" i="7"/>
  <c r="DQ226" i="7"/>
  <c r="DR226" i="7"/>
  <c r="DS226" i="7"/>
  <c r="DT226" i="7"/>
  <c r="DU226" i="7"/>
  <c r="DV226" i="7"/>
  <c r="DW226" i="7"/>
  <c r="DX226" i="7"/>
  <c r="DY226" i="7"/>
  <c r="DZ226" i="7"/>
  <c r="EA226" i="7"/>
  <c r="EB226" i="7"/>
  <c r="EC226" i="7"/>
  <c r="ED226" i="7"/>
  <c r="EE226" i="7"/>
  <c r="EF226" i="7"/>
  <c r="EG226" i="7"/>
  <c r="EL226" i="7"/>
  <c r="EM226" i="7"/>
  <c r="EN226" i="7"/>
  <c r="EO226" i="7"/>
  <c r="EP226" i="7"/>
  <c r="EQ226" i="7"/>
  <c r="ER226" i="7"/>
  <c r="ES226" i="7"/>
  <c r="ET226" i="7"/>
  <c r="EU226" i="7"/>
  <c r="EV226" i="7"/>
  <c r="EW226" i="7"/>
  <c r="EX226" i="7"/>
  <c r="EY226" i="7"/>
  <c r="EZ226" i="7"/>
  <c r="FA226" i="7"/>
  <c r="FB226" i="7"/>
  <c r="FC226" i="7"/>
  <c r="FD226" i="7"/>
  <c r="FE226" i="7"/>
  <c r="FF226" i="7"/>
  <c r="FK226" i="7"/>
  <c r="FL226" i="7"/>
  <c r="FM226" i="7"/>
  <c r="FN226" i="7"/>
  <c r="FO226" i="7"/>
  <c r="FP226" i="7"/>
  <c r="FQ226" i="7"/>
  <c r="FR226" i="7"/>
  <c r="FS226" i="7"/>
  <c r="FT226" i="7"/>
  <c r="FU226" i="7"/>
  <c r="FV226" i="7"/>
  <c r="FW226" i="7"/>
  <c r="FX226" i="7"/>
  <c r="FY226" i="7"/>
  <c r="FZ226" i="7"/>
  <c r="GA226" i="7"/>
  <c r="GB226" i="7"/>
  <c r="GC226" i="7"/>
  <c r="GD226" i="7"/>
  <c r="GE226"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DM227" i="7"/>
  <c r="DN227" i="7"/>
  <c r="DO227" i="7"/>
  <c r="DP227" i="7"/>
  <c r="DQ227" i="7"/>
  <c r="DR227" i="7"/>
  <c r="DS227" i="7"/>
  <c r="DT227" i="7"/>
  <c r="DU227" i="7"/>
  <c r="DV227" i="7"/>
  <c r="DW227" i="7"/>
  <c r="DX227" i="7"/>
  <c r="DY227" i="7"/>
  <c r="DZ227" i="7"/>
  <c r="EA227" i="7"/>
  <c r="EB227" i="7"/>
  <c r="EC227" i="7"/>
  <c r="ED227" i="7"/>
  <c r="EE227" i="7"/>
  <c r="EF227" i="7"/>
  <c r="EG227" i="7"/>
  <c r="EL227" i="7"/>
  <c r="EM227" i="7"/>
  <c r="EN227" i="7"/>
  <c r="EO227" i="7"/>
  <c r="EP227" i="7"/>
  <c r="EQ227" i="7"/>
  <c r="ER227" i="7"/>
  <c r="ES227" i="7"/>
  <c r="ET227" i="7"/>
  <c r="EU227" i="7"/>
  <c r="EV227" i="7"/>
  <c r="EW227" i="7"/>
  <c r="EX227" i="7"/>
  <c r="EY227" i="7"/>
  <c r="EZ227" i="7"/>
  <c r="FA227" i="7"/>
  <c r="FB227" i="7"/>
  <c r="FC227" i="7"/>
  <c r="FD227" i="7"/>
  <c r="FE227" i="7"/>
  <c r="FF227" i="7"/>
  <c r="FK227" i="7"/>
  <c r="FL227" i="7"/>
  <c r="FM227" i="7"/>
  <c r="FN227" i="7"/>
  <c r="FO227" i="7"/>
  <c r="FP227" i="7"/>
  <c r="FQ227" i="7"/>
  <c r="FR227" i="7"/>
  <c r="FS227" i="7"/>
  <c r="FT227" i="7"/>
  <c r="FU227" i="7"/>
  <c r="FV227" i="7"/>
  <c r="FW227" i="7"/>
  <c r="FX227" i="7"/>
  <c r="FY227" i="7"/>
  <c r="FZ227" i="7"/>
  <c r="GA227" i="7"/>
  <c r="GB227" i="7"/>
  <c r="GC227" i="7"/>
  <c r="GD227" i="7"/>
  <c r="GE227"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DM228" i="7"/>
  <c r="DN228" i="7"/>
  <c r="DO228" i="7"/>
  <c r="DP228" i="7"/>
  <c r="DQ228" i="7"/>
  <c r="DR228" i="7"/>
  <c r="DS228" i="7"/>
  <c r="DT228" i="7"/>
  <c r="DU228" i="7"/>
  <c r="DV228" i="7"/>
  <c r="DW228" i="7"/>
  <c r="DX228" i="7"/>
  <c r="DY228" i="7"/>
  <c r="DZ228" i="7"/>
  <c r="EA228" i="7"/>
  <c r="EB228" i="7"/>
  <c r="EC228" i="7"/>
  <c r="ED228" i="7"/>
  <c r="EE228" i="7"/>
  <c r="EF228" i="7"/>
  <c r="EG228" i="7"/>
  <c r="EL228" i="7"/>
  <c r="EM228" i="7"/>
  <c r="EN228" i="7"/>
  <c r="EO228" i="7"/>
  <c r="EP228" i="7"/>
  <c r="EQ228" i="7"/>
  <c r="ER228" i="7"/>
  <c r="ES228" i="7"/>
  <c r="ET228" i="7"/>
  <c r="EU228" i="7"/>
  <c r="EV228" i="7"/>
  <c r="EW228" i="7"/>
  <c r="EX228" i="7"/>
  <c r="EY228" i="7"/>
  <c r="EZ228" i="7"/>
  <c r="FA228" i="7"/>
  <c r="FB228" i="7"/>
  <c r="FC228" i="7"/>
  <c r="FD228" i="7"/>
  <c r="FE228" i="7"/>
  <c r="FF228" i="7"/>
  <c r="FK228" i="7"/>
  <c r="FL228" i="7"/>
  <c r="FM228" i="7"/>
  <c r="FN228" i="7"/>
  <c r="FO228" i="7"/>
  <c r="FP228" i="7"/>
  <c r="FQ228" i="7"/>
  <c r="FR228" i="7"/>
  <c r="FS228" i="7"/>
  <c r="FT228" i="7"/>
  <c r="FU228" i="7"/>
  <c r="FV228" i="7"/>
  <c r="FW228" i="7"/>
  <c r="FX228" i="7"/>
  <c r="FY228" i="7"/>
  <c r="FZ228" i="7"/>
  <c r="GA228" i="7"/>
  <c r="GB228" i="7"/>
  <c r="GC228" i="7"/>
  <c r="GD228" i="7"/>
  <c r="GE228"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DM229" i="7"/>
  <c r="DN229" i="7"/>
  <c r="DO229" i="7"/>
  <c r="DP229" i="7"/>
  <c r="DQ229" i="7"/>
  <c r="DR229" i="7"/>
  <c r="DS229" i="7"/>
  <c r="DT229" i="7"/>
  <c r="DU229" i="7"/>
  <c r="DV229" i="7"/>
  <c r="DW229" i="7"/>
  <c r="DX229" i="7"/>
  <c r="DY229" i="7"/>
  <c r="DZ229" i="7"/>
  <c r="EA229" i="7"/>
  <c r="EB229" i="7"/>
  <c r="EC229" i="7"/>
  <c r="ED229" i="7"/>
  <c r="EE229" i="7"/>
  <c r="EF229" i="7"/>
  <c r="EG229" i="7"/>
  <c r="EL229" i="7"/>
  <c r="EM229" i="7"/>
  <c r="EN229" i="7"/>
  <c r="EO229" i="7"/>
  <c r="EP229" i="7"/>
  <c r="EQ229" i="7"/>
  <c r="ER229" i="7"/>
  <c r="ES229" i="7"/>
  <c r="ET229" i="7"/>
  <c r="EU229" i="7"/>
  <c r="EV229" i="7"/>
  <c r="EW229" i="7"/>
  <c r="EX229" i="7"/>
  <c r="EY229" i="7"/>
  <c r="EZ229" i="7"/>
  <c r="FA229" i="7"/>
  <c r="FB229" i="7"/>
  <c r="FC229" i="7"/>
  <c r="FD229" i="7"/>
  <c r="FE229" i="7"/>
  <c r="FF229" i="7"/>
  <c r="FK229" i="7"/>
  <c r="FL229" i="7"/>
  <c r="FM229" i="7"/>
  <c r="FN229" i="7"/>
  <c r="FO229" i="7"/>
  <c r="FP229" i="7"/>
  <c r="FQ229" i="7"/>
  <c r="FR229" i="7"/>
  <c r="FS229" i="7"/>
  <c r="FT229" i="7"/>
  <c r="FU229" i="7"/>
  <c r="FV229" i="7"/>
  <c r="FW229" i="7"/>
  <c r="FX229" i="7"/>
  <c r="FY229" i="7"/>
  <c r="FZ229" i="7"/>
  <c r="GA229" i="7"/>
  <c r="GB229" i="7"/>
  <c r="GC229" i="7"/>
  <c r="GD229" i="7"/>
  <c r="GE229"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DM230" i="7"/>
  <c r="DN230" i="7"/>
  <c r="DO230" i="7"/>
  <c r="DP230" i="7"/>
  <c r="DQ230" i="7"/>
  <c r="DR230" i="7"/>
  <c r="DS230" i="7"/>
  <c r="DT230" i="7"/>
  <c r="DU230" i="7"/>
  <c r="DV230" i="7"/>
  <c r="DW230" i="7"/>
  <c r="DX230" i="7"/>
  <c r="DY230" i="7"/>
  <c r="DZ230" i="7"/>
  <c r="EA230" i="7"/>
  <c r="EB230" i="7"/>
  <c r="EC230" i="7"/>
  <c r="ED230" i="7"/>
  <c r="EE230" i="7"/>
  <c r="EF230" i="7"/>
  <c r="EG230" i="7"/>
  <c r="EL230" i="7"/>
  <c r="EM230" i="7"/>
  <c r="EN230" i="7"/>
  <c r="EO230" i="7"/>
  <c r="EP230" i="7"/>
  <c r="EQ230" i="7"/>
  <c r="ER230" i="7"/>
  <c r="ES230" i="7"/>
  <c r="ET230" i="7"/>
  <c r="EU230" i="7"/>
  <c r="EV230" i="7"/>
  <c r="EW230" i="7"/>
  <c r="EX230" i="7"/>
  <c r="EY230" i="7"/>
  <c r="EZ230" i="7"/>
  <c r="FA230" i="7"/>
  <c r="FB230" i="7"/>
  <c r="FC230" i="7"/>
  <c r="FD230" i="7"/>
  <c r="FE230" i="7"/>
  <c r="FF230" i="7"/>
  <c r="FK230" i="7"/>
  <c r="FL230" i="7"/>
  <c r="FM230" i="7"/>
  <c r="FN230" i="7"/>
  <c r="FO230" i="7"/>
  <c r="FP230" i="7"/>
  <c r="FQ230" i="7"/>
  <c r="FR230" i="7"/>
  <c r="FS230" i="7"/>
  <c r="FT230" i="7"/>
  <c r="FU230" i="7"/>
  <c r="FV230" i="7"/>
  <c r="FW230" i="7"/>
  <c r="FX230" i="7"/>
  <c r="FY230" i="7"/>
  <c r="FZ230" i="7"/>
  <c r="GA230" i="7"/>
  <c r="GB230" i="7"/>
  <c r="GC230" i="7"/>
  <c r="GD230" i="7"/>
  <c r="GE230"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DM231" i="7"/>
  <c r="DN231" i="7"/>
  <c r="DO231" i="7"/>
  <c r="DP231" i="7"/>
  <c r="DQ231" i="7"/>
  <c r="DR231" i="7"/>
  <c r="DS231" i="7"/>
  <c r="DT231" i="7"/>
  <c r="DU231" i="7"/>
  <c r="DV231" i="7"/>
  <c r="DW231" i="7"/>
  <c r="DX231" i="7"/>
  <c r="DY231" i="7"/>
  <c r="DZ231" i="7"/>
  <c r="EA231" i="7"/>
  <c r="EB231" i="7"/>
  <c r="EC231" i="7"/>
  <c r="ED231" i="7"/>
  <c r="EE231" i="7"/>
  <c r="EF231" i="7"/>
  <c r="EG231" i="7"/>
  <c r="EL231" i="7"/>
  <c r="EM231" i="7"/>
  <c r="EN231" i="7"/>
  <c r="EO231" i="7"/>
  <c r="EP231" i="7"/>
  <c r="EQ231" i="7"/>
  <c r="ER231" i="7"/>
  <c r="ES231" i="7"/>
  <c r="ET231" i="7"/>
  <c r="EU231" i="7"/>
  <c r="EV231" i="7"/>
  <c r="EW231" i="7"/>
  <c r="EX231" i="7"/>
  <c r="EY231" i="7"/>
  <c r="EZ231" i="7"/>
  <c r="FA231" i="7"/>
  <c r="FB231" i="7"/>
  <c r="FC231" i="7"/>
  <c r="FD231" i="7"/>
  <c r="FE231" i="7"/>
  <c r="FF231" i="7"/>
  <c r="FK231" i="7"/>
  <c r="FL231" i="7"/>
  <c r="FM231" i="7"/>
  <c r="FN231" i="7"/>
  <c r="FO231" i="7"/>
  <c r="FP231" i="7"/>
  <c r="FQ231" i="7"/>
  <c r="FR231" i="7"/>
  <c r="FS231" i="7"/>
  <c r="FT231" i="7"/>
  <c r="FU231" i="7"/>
  <c r="FV231" i="7"/>
  <c r="FW231" i="7"/>
  <c r="FX231" i="7"/>
  <c r="FY231" i="7"/>
  <c r="FZ231" i="7"/>
  <c r="GA231" i="7"/>
  <c r="GB231" i="7"/>
  <c r="GC231" i="7"/>
  <c r="GD231" i="7"/>
  <c r="GE231"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DM232" i="7"/>
  <c r="DN232" i="7"/>
  <c r="DO232" i="7"/>
  <c r="DP232" i="7"/>
  <c r="DQ232" i="7"/>
  <c r="DR232" i="7"/>
  <c r="DS232" i="7"/>
  <c r="DT232" i="7"/>
  <c r="DU232" i="7"/>
  <c r="DV232" i="7"/>
  <c r="DW232" i="7"/>
  <c r="DX232" i="7"/>
  <c r="DY232" i="7"/>
  <c r="DZ232" i="7"/>
  <c r="EA232" i="7"/>
  <c r="EB232" i="7"/>
  <c r="EC232" i="7"/>
  <c r="ED232" i="7"/>
  <c r="EE232" i="7"/>
  <c r="EF232" i="7"/>
  <c r="EG232" i="7"/>
  <c r="EL232" i="7"/>
  <c r="EM232" i="7"/>
  <c r="EN232" i="7"/>
  <c r="EO232" i="7"/>
  <c r="EP232" i="7"/>
  <c r="EQ232" i="7"/>
  <c r="ER232" i="7"/>
  <c r="ES232" i="7"/>
  <c r="ET232" i="7"/>
  <c r="EU232" i="7"/>
  <c r="EV232" i="7"/>
  <c r="EW232" i="7"/>
  <c r="EX232" i="7"/>
  <c r="EY232" i="7"/>
  <c r="EZ232" i="7"/>
  <c r="FA232" i="7"/>
  <c r="FB232" i="7"/>
  <c r="FC232" i="7"/>
  <c r="FD232" i="7"/>
  <c r="FE232" i="7"/>
  <c r="FF232" i="7"/>
  <c r="FK232" i="7"/>
  <c r="FL232" i="7"/>
  <c r="FM232" i="7"/>
  <c r="FN232" i="7"/>
  <c r="FO232" i="7"/>
  <c r="FP232" i="7"/>
  <c r="FQ232" i="7"/>
  <c r="FR232" i="7"/>
  <c r="FS232" i="7"/>
  <c r="FT232" i="7"/>
  <c r="FU232" i="7"/>
  <c r="FV232" i="7"/>
  <c r="FW232" i="7"/>
  <c r="FX232" i="7"/>
  <c r="FY232" i="7"/>
  <c r="FZ232" i="7"/>
  <c r="GA232" i="7"/>
  <c r="GB232" i="7"/>
  <c r="GC232" i="7"/>
  <c r="GD232" i="7"/>
  <c r="GE232"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DM233" i="7"/>
  <c r="DN233" i="7"/>
  <c r="DO233" i="7"/>
  <c r="DP233" i="7"/>
  <c r="DQ233" i="7"/>
  <c r="DR233" i="7"/>
  <c r="DS233" i="7"/>
  <c r="DT233" i="7"/>
  <c r="DU233" i="7"/>
  <c r="DV233" i="7"/>
  <c r="DW233" i="7"/>
  <c r="DX233" i="7"/>
  <c r="DY233" i="7"/>
  <c r="DZ233" i="7"/>
  <c r="EA233" i="7"/>
  <c r="EB233" i="7"/>
  <c r="EC233" i="7"/>
  <c r="ED233" i="7"/>
  <c r="EE233" i="7"/>
  <c r="EF233" i="7"/>
  <c r="EG233" i="7"/>
  <c r="EL233" i="7"/>
  <c r="EM233" i="7"/>
  <c r="EN233" i="7"/>
  <c r="EO233" i="7"/>
  <c r="EP233" i="7"/>
  <c r="EQ233" i="7"/>
  <c r="ER233" i="7"/>
  <c r="ES233" i="7"/>
  <c r="ET233" i="7"/>
  <c r="EU233" i="7"/>
  <c r="EV233" i="7"/>
  <c r="EW233" i="7"/>
  <c r="EX233" i="7"/>
  <c r="EY233" i="7"/>
  <c r="EZ233" i="7"/>
  <c r="FA233" i="7"/>
  <c r="FB233" i="7"/>
  <c r="FC233" i="7"/>
  <c r="FD233" i="7"/>
  <c r="FE233" i="7"/>
  <c r="FF233" i="7"/>
  <c r="FK233" i="7"/>
  <c r="FL233" i="7"/>
  <c r="FM233" i="7"/>
  <c r="FN233" i="7"/>
  <c r="FO233" i="7"/>
  <c r="FP233" i="7"/>
  <c r="FQ233" i="7"/>
  <c r="FR233" i="7"/>
  <c r="FS233" i="7"/>
  <c r="FT233" i="7"/>
  <c r="FU233" i="7"/>
  <c r="FV233" i="7"/>
  <c r="FW233" i="7"/>
  <c r="FX233" i="7"/>
  <c r="FY233" i="7"/>
  <c r="FZ233" i="7"/>
  <c r="GA233" i="7"/>
  <c r="GB233" i="7"/>
  <c r="GC233" i="7"/>
  <c r="GD233" i="7"/>
  <c r="GE233"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DM234" i="7"/>
  <c r="DN234" i="7"/>
  <c r="DO234" i="7"/>
  <c r="DP234" i="7"/>
  <c r="DQ234" i="7"/>
  <c r="DR234" i="7"/>
  <c r="DS234" i="7"/>
  <c r="DT234" i="7"/>
  <c r="DU234" i="7"/>
  <c r="DV234" i="7"/>
  <c r="DW234" i="7"/>
  <c r="DX234" i="7"/>
  <c r="DY234" i="7"/>
  <c r="DZ234" i="7"/>
  <c r="EA234" i="7"/>
  <c r="EB234" i="7"/>
  <c r="EC234" i="7"/>
  <c r="ED234" i="7"/>
  <c r="EE234" i="7"/>
  <c r="EF234" i="7"/>
  <c r="EG234" i="7"/>
  <c r="EL234" i="7"/>
  <c r="EM234" i="7"/>
  <c r="EN234" i="7"/>
  <c r="EO234" i="7"/>
  <c r="EP234" i="7"/>
  <c r="EQ234" i="7"/>
  <c r="ER234" i="7"/>
  <c r="ES234" i="7"/>
  <c r="ET234" i="7"/>
  <c r="EU234" i="7"/>
  <c r="EV234" i="7"/>
  <c r="EW234" i="7"/>
  <c r="EX234" i="7"/>
  <c r="EY234" i="7"/>
  <c r="EZ234" i="7"/>
  <c r="FA234" i="7"/>
  <c r="FB234" i="7"/>
  <c r="FC234" i="7"/>
  <c r="FD234" i="7"/>
  <c r="FE234" i="7"/>
  <c r="FF234" i="7"/>
  <c r="FK234" i="7"/>
  <c r="FL234" i="7"/>
  <c r="FM234" i="7"/>
  <c r="FN234" i="7"/>
  <c r="FO234" i="7"/>
  <c r="FP234" i="7"/>
  <c r="FQ234" i="7"/>
  <c r="FR234" i="7"/>
  <c r="FS234" i="7"/>
  <c r="FT234" i="7"/>
  <c r="FU234" i="7"/>
  <c r="FV234" i="7"/>
  <c r="FW234" i="7"/>
  <c r="FX234" i="7"/>
  <c r="FY234" i="7"/>
  <c r="FZ234" i="7"/>
  <c r="GA234" i="7"/>
  <c r="GB234" i="7"/>
  <c r="GC234" i="7"/>
  <c r="GD234" i="7"/>
  <c r="GE234"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DM235" i="7"/>
  <c r="DN235" i="7"/>
  <c r="DO235" i="7"/>
  <c r="DP235" i="7"/>
  <c r="DQ235" i="7"/>
  <c r="DR235" i="7"/>
  <c r="DS235" i="7"/>
  <c r="DT235" i="7"/>
  <c r="DU235" i="7"/>
  <c r="DV235" i="7"/>
  <c r="DW235" i="7"/>
  <c r="DX235" i="7"/>
  <c r="DY235" i="7"/>
  <c r="DZ235" i="7"/>
  <c r="EA235" i="7"/>
  <c r="EB235" i="7"/>
  <c r="EC235" i="7"/>
  <c r="ED235" i="7"/>
  <c r="EE235" i="7"/>
  <c r="EF235" i="7"/>
  <c r="EG235" i="7"/>
  <c r="EL235" i="7"/>
  <c r="EM235" i="7"/>
  <c r="EN235" i="7"/>
  <c r="EO235" i="7"/>
  <c r="EP235" i="7"/>
  <c r="EQ235" i="7"/>
  <c r="ER235" i="7"/>
  <c r="ES235" i="7"/>
  <c r="ET235" i="7"/>
  <c r="EU235" i="7"/>
  <c r="EV235" i="7"/>
  <c r="EW235" i="7"/>
  <c r="EX235" i="7"/>
  <c r="EY235" i="7"/>
  <c r="EZ235" i="7"/>
  <c r="FA235" i="7"/>
  <c r="FB235" i="7"/>
  <c r="FC235" i="7"/>
  <c r="FD235" i="7"/>
  <c r="FE235" i="7"/>
  <c r="FF235" i="7"/>
  <c r="FK235" i="7"/>
  <c r="FL235" i="7"/>
  <c r="FM235" i="7"/>
  <c r="FN235" i="7"/>
  <c r="FO235" i="7"/>
  <c r="FP235" i="7"/>
  <c r="FQ235" i="7"/>
  <c r="FR235" i="7"/>
  <c r="FS235" i="7"/>
  <c r="FT235" i="7"/>
  <c r="FU235" i="7"/>
  <c r="FV235" i="7"/>
  <c r="FW235" i="7"/>
  <c r="FX235" i="7"/>
  <c r="FY235" i="7"/>
  <c r="FZ235" i="7"/>
  <c r="GA235" i="7"/>
  <c r="GB235" i="7"/>
  <c r="GC235" i="7"/>
  <c r="GD235" i="7"/>
  <c r="GE235"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DM236" i="7"/>
  <c r="DN236" i="7"/>
  <c r="DO236" i="7"/>
  <c r="DP236" i="7"/>
  <c r="DQ236" i="7"/>
  <c r="DR236" i="7"/>
  <c r="DS236" i="7"/>
  <c r="DT236" i="7"/>
  <c r="DU236" i="7"/>
  <c r="DV236" i="7"/>
  <c r="DW236" i="7"/>
  <c r="DX236" i="7"/>
  <c r="DY236" i="7"/>
  <c r="DZ236" i="7"/>
  <c r="EA236" i="7"/>
  <c r="EB236" i="7"/>
  <c r="EC236" i="7"/>
  <c r="ED236" i="7"/>
  <c r="EE236" i="7"/>
  <c r="EF236" i="7"/>
  <c r="EG236" i="7"/>
  <c r="EL236" i="7"/>
  <c r="EM236" i="7"/>
  <c r="EN236" i="7"/>
  <c r="EO236" i="7"/>
  <c r="EP236" i="7"/>
  <c r="EQ236" i="7"/>
  <c r="ER236" i="7"/>
  <c r="ES236" i="7"/>
  <c r="ET236" i="7"/>
  <c r="EU236" i="7"/>
  <c r="EV236" i="7"/>
  <c r="EW236" i="7"/>
  <c r="EX236" i="7"/>
  <c r="EY236" i="7"/>
  <c r="EZ236" i="7"/>
  <c r="FA236" i="7"/>
  <c r="FB236" i="7"/>
  <c r="FC236" i="7"/>
  <c r="FD236" i="7"/>
  <c r="FE236" i="7"/>
  <c r="FF236" i="7"/>
  <c r="FK236" i="7"/>
  <c r="FL236" i="7"/>
  <c r="FM236" i="7"/>
  <c r="FN236" i="7"/>
  <c r="FO236" i="7"/>
  <c r="FP236" i="7"/>
  <c r="FQ236" i="7"/>
  <c r="FR236" i="7"/>
  <c r="FS236" i="7"/>
  <c r="FT236" i="7"/>
  <c r="FU236" i="7"/>
  <c r="FV236" i="7"/>
  <c r="FW236" i="7"/>
  <c r="FX236" i="7"/>
  <c r="FY236" i="7"/>
  <c r="FZ236" i="7"/>
  <c r="GA236" i="7"/>
  <c r="GB236" i="7"/>
  <c r="GC236" i="7"/>
  <c r="GD236" i="7"/>
  <c r="GE236"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EL242" i="7"/>
  <c r="EM242" i="7"/>
  <c r="EN242" i="7"/>
  <c r="EO242" i="7"/>
  <c r="EP242" i="7"/>
  <c r="EQ242" i="7"/>
  <c r="ER242" i="7"/>
  <c r="ES242" i="7"/>
  <c r="ET242" i="7"/>
  <c r="EU242" i="7"/>
  <c r="EV242" i="7"/>
  <c r="EW242" i="7"/>
  <c r="EX242" i="7"/>
  <c r="EY242" i="7"/>
  <c r="EZ242" i="7"/>
  <c r="FA242" i="7"/>
  <c r="FB242" i="7"/>
  <c r="FC242" i="7"/>
  <c r="FD242" i="7"/>
  <c r="FE242" i="7"/>
  <c r="FF242"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EL243" i="7"/>
  <c r="EM243" i="7"/>
  <c r="EN243" i="7"/>
  <c r="EO243" i="7"/>
  <c r="EP243" i="7"/>
  <c r="EQ243" i="7"/>
  <c r="ER243" i="7"/>
  <c r="ES243" i="7"/>
  <c r="ET243" i="7"/>
  <c r="EU243" i="7"/>
  <c r="EV243" i="7"/>
  <c r="EW243" i="7"/>
  <c r="EX243" i="7"/>
  <c r="EY243" i="7"/>
  <c r="EZ243" i="7"/>
  <c r="FA243" i="7"/>
  <c r="FB243" i="7"/>
  <c r="FC243" i="7"/>
  <c r="FD243" i="7"/>
  <c r="FE243" i="7"/>
  <c r="FF243"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EL244" i="7"/>
  <c r="EM244" i="7"/>
  <c r="EN244" i="7"/>
  <c r="EO244" i="7"/>
  <c r="EP244" i="7"/>
  <c r="EQ244" i="7"/>
  <c r="ER244" i="7"/>
  <c r="ES244" i="7"/>
  <c r="ET244" i="7"/>
  <c r="EU244" i="7"/>
  <c r="EV244" i="7"/>
  <c r="EW244" i="7"/>
  <c r="EX244" i="7"/>
  <c r="EY244" i="7"/>
  <c r="EZ244" i="7"/>
  <c r="FA244" i="7"/>
  <c r="FB244" i="7"/>
  <c r="FC244" i="7"/>
  <c r="FD244" i="7"/>
  <c r="FE244" i="7"/>
  <c r="FF244"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EL245" i="7"/>
  <c r="EM245" i="7"/>
  <c r="EN245" i="7"/>
  <c r="EO245" i="7"/>
  <c r="EP245" i="7"/>
  <c r="EQ245" i="7"/>
  <c r="ER245" i="7"/>
  <c r="ES245" i="7"/>
  <c r="ET245" i="7"/>
  <c r="EU245" i="7"/>
  <c r="EV245" i="7"/>
  <c r="EW245" i="7"/>
  <c r="EX245" i="7"/>
  <c r="EY245" i="7"/>
  <c r="EZ245" i="7"/>
  <c r="FA245" i="7"/>
  <c r="FB245" i="7"/>
  <c r="FC245" i="7"/>
  <c r="FD245" i="7"/>
  <c r="FE245" i="7"/>
  <c r="FF245"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EL246" i="7"/>
  <c r="EM246" i="7"/>
  <c r="EN246" i="7"/>
  <c r="EO246" i="7"/>
  <c r="EP246" i="7"/>
  <c r="EQ246" i="7"/>
  <c r="ER246" i="7"/>
  <c r="ES246" i="7"/>
  <c r="ET246" i="7"/>
  <c r="EU246" i="7"/>
  <c r="EV246" i="7"/>
  <c r="EW246" i="7"/>
  <c r="EX246" i="7"/>
  <c r="EY246" i="7"/>
  <c r="EZ246" i="7"/>
  <c r="FA246" i="7"/>
  <c r="FB246" i="7"/>
  <c r="FC246" i="7"/>
  <c r="FD246" i="7"/>
  <c r="FE246" i="7"/>
  <c r="FF246" i="7"/>
  <c r="F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CB247" i="7"/>
  <c r="EL247" i="7"/>
  <c r="EM247" i="7"/>
  <c r="EN247" i="7"/>
  <c r="EO247" i="7"/>
  <c r="EP247" i="7"/>
  <c r="EQ247" i="7"/>
  <c r="ER247" i="7"/>
  <c r="ES247" i="7"/>
  <c r="ET247" i="7"/>
  <c r="EU247" i="7"/>
  <c r="EV247" i="7"/>
  <c r="EW247" i="7"/>
  <c r="EX247" i="7"/>
  <c r="EY247" i="7"/>
  <c r="EZ247" i="7"/>
  <c r="FA247" i="7"/>
  <c r="FB247" i="7"/>
  <c r="FC247" i="7"/>
  <c r="FD247" i="7"/>
  <c r="FE247" i="7"/>
  <c r="FF247" i="7"/>
  <c r="EL248" i="7"/>
  <c r="EM248" i="7"/>
  <c r="EN248" i="7"/>
  <c r="EO248" i="7"/>
  <c r="EP248" i="7"/>
  <c r="EQ248" i="7"/>
  <c r="ER248" i="7"/>
  <c r="ES248" i="7"/>
  <c r="ET248" i="7"/>
  <c r="EU248" i="7"/>
  <c r="EV248" i="7"/>
  <c r="EW248" i="7"/>
  <c r="EX248" i="7"/>
  <c r="EY248" i="7"/>
  <c r="EZ248" i="7"/>
  <c r="FA248" i="7"/>
  <c r="FB248" i="7"/>
  <c r="FC248" i="7"/>
  <c r="FD248" i="7"/>
  <c r="FE248" i="7"/>
  <c r="FF248" i="7"/>
  <c r="EL249" i="7"/>
  <c r="EM249" i="7"/>
  <c r="EN249" i="7"/>
  <c r="EO249" i="7"/>
  <c r="EP249" i="7"/>
  <c r="EQ249" i="7"/>
  <c r="ER249" i="7"/>
  <c r="ES249" i="7"/>
  <c r="ET249" i="7"/>
  <c r="EU249" i="7"/>
  <c r="EV249" i="7"/>
  <c r="EW249" i="7"/>
  <c r="EX249" i="7"/>
  <c r="EY249" i="7"/>
  <c r="EZ249" i="7"/>
  <c r="FA249" i="7"/>
  <c r="FB249" i="7"/>
  <c r="FC249" i="7"/>
  <c r="FD249" i="7"/>
  <c r="FE249" i="7"/>
  <c r="FF249" i="7"/>
  <c r="EL250" i="7"/>
  <c r="EM250" i="7"/>
  <c r="EN250" i="7"/>
  <c r="EO250" i="7"/>
  <c r="EP250" i="7"/>
  <c r="EQ250" i="7"/>
  <c r="ES250" i="7"/>
  <c r="ET250" i="7"/>
  <c r="EU250" i="7"/>
  <c r="EV250" i="7"/>
  <c r="EW250" i="7"/>
  <c r="EX250" i="7"/>
  <c r="EY250" i="7"/>
  <c r="EZ250" i="7"/>
  <c r="FA250" i="7"/>
  <c r="FB250" i="7"/>
  <c r="FC250" i="7"/>
  <c r="FD250" i="7"/>
  <c r="FE250" i="7"/>
  <c r="FF250" i="7"/>
  <c r="EL251" i="7"/>
  <c r="EM251" i="7"/>
  <c r="EN251" i="7"/>
  <c r="EO251" i="7"/>
  <c r="EP251" i="7"/>
  <c r="EQ251" i="7"/>
  <c r="ER251" i="7"/>
  <c r="ES251" i="7"/>
  <c r="ET251" i="7"/>
  <c r="EU251" i="7"/>
  <c r="EV251" i="7"/>
  <c r="EW251" i="7"/>
  <c r="EX251" i="7"/>
  <c r="EY251" i="7"/>
  <c r="EZ251" i="7"/>
  <c r="FA251" i="7"/>
  <c r="FB251" i="7"/>
  <c r="FC251" i="7"/>
  <c r="FD251" i="7"/>
  <c r="FE251" i="7"/>
  <c r="FF251" i="7"/>
  <c r="EL252" i="7"/>
  <c r="EM252" i="7"/>
  <c r="EN252" i="7"/>
  <c r="EO252" i="7"/>
  <c r="EP252" i="7"/>
  <c r="EQ252" i="7"/>
  <c r="ER252" i="7"/>
  <c r="ES252" i="7"/>
  <c r="ET252" i="7"/>
  <c r="EU252" i="7"/>
  <c r="EV252" i="7"/>
  <c r="EW252" i="7"/>
  <c r="EX252" i="7"/>
  <c r="EY252" i="7"/>
  <c r="EZ252" i="7"/>
  <c r="FA252" i="7"/>
  <c r="FB252" i="7"/>
  <c r="FC252" i="7"/>
  <c r="FD252" i="7"/>
  <c r="FE252" i="7"/>
  <c r="FF252" i="7"/>
  <c r="EL253" i="7"/>
  <c r="EM253" i="7"/>
  <c r="EN253" i="7"/>
  <c r="EO253" i="7"/>
  <c r="EP253" i="7"/>
  <c r="EQ253" i="7"/>
  <c r="ER253" i="7"/>
  <c r="ES253" i="7"/>
  <c r="ET253" i="7"/>
  <c r="EU253" i="7"/>
  <c r="EV253" i="7"/>
  <c r="EW253" i="7"/>
  <c r="EX253" i="7"/>
  <c r="EY253" i="7"/>
  <c r="EZ253" i="7"/>
  <c r="FA253" i="7"/>
  <c r="FB253" i="7"/>
  <c r="FC253" i="7"/>
  <c r="FD253" i="7"/>
  <c r="FE253" i="7"/>
  <c r="FF253" i="7"/>
  <c r="EL254" i="7"/>
  <c r="EM254" i="7"/>
  <c r="EN254" i="7"/>
  <c r="EO254" i="7"/>
  <c r="EP254" i="7"/>
  <c r="EQ254" i="7"/>
  <c r="ER254" i="7"/>
  <c r="ES254" i="7"/>
  <c r="ET254" i="7"/>
  <c r="EU254" i="7"/>
  <c r="EV254" i="7"/>
  <c r="EW254" i="7"/>
  <c r="EX254" i="7"/>
  <c r="EY254" i="7"/>
  <c r="EZ254" i="7"/>
  <c r="FA254" i="7"/>
  <c r="FB254" i="7"/>
  <c r="FC254" i="7"/>
  <c r="FD254" i="7"/>
  <c r="FE254" i="7"/>
  <c r="FF254" i="7"/>
  <c r="EL255" i="7"/>
  <c r="EM255" i="7"/>
  <c r="EN255" i="7"/>
  <c r="EO255" i="7"/>
  <c r="EP255" i="7"/>
  <c r="EQ255" i="7"/>
  <c r="ER255" i="7"/>
  <c r="ES255" i="7"/>
  <c r="ET255" i="7"/>
  <c r="EU255" i="7"/>
  <c r="EV255" i="7"/>
  <c r="EW255" i="7"/>
  <c r="EX255" i="7"/>
  <c r="EY255" i="7"/>
  <c r="EZ255" i="7"/>
  <c r="FA255" i="7"/>
  <c r="FB255" i="7"/>
  <c r="FC255" i="7"/>
  <c r="FD255" i="7"/>
  <c r="FE255" i="7"/>
  <c r="FF255" i="7"/>
  <c r="EL256" i="7"/>
  <c r="EM256" i="7"/>
  <c r="EN256" i="7"/>
  <c r="EO256" i="7"/>
  <c r="EP256" i="7"/>
  <c r="EQ256" i="7"/>
  <c r="ER256" i="7"/>
  <c r="ES256" i="7"/>
  <c r="ET256" i="7"/>
  <c r="EU256" i="7"/>
  <c r="EV256" i="7"/>
  <c r="EW256" i="7"/>
  <c r="EX256" i="7"/>
  <c r="EY256" i="7"/>
  <c r="EZ256" i="7"/>
  <c r="FA256" i="7"/>
  <c r="FB256" i="7"/>
  <c r="FC256" i="7"/>
  <c r="FD256" i="7"/>
  <c r="FE256" i="7"/>
  <c r="FF256" i="7"/>
  <c r="EL257" i="7"/>
  <c r="EM257" i="7"/>
  <c r="EN257" i="7"/>
  <c r="EO257" i="7"/>
  <c r="EP257" i="7"/>
  <c r="EQ257" i="7"/>
  <c r="ER257" i="7"/>
  <c r="ES257" i="7"/>
  <c r="ET257" i="7"/>
  <c r="EU257" i="7"/>
  <c r="EV257" i="7"/>
  <c r="EW257" i="7"/>
  <c r="EX257" i="7"/>
  <c r="EY257" i="7"/>
  <c r="EZ257" i="7"/>
  <c r="FA257" i="7"/>
  <c r="FB257" i="7"/>
  <c r="FC257" i="7"/>
  <c r="FD257" i="7"/>
  <c r="FE257" i="7"/>
  <c r="FF257" i="7"/>
  <c r="EL258" i="7"/>
  <c r="EM258" i="7"/>
  <c r="EN258" i="7"/>
  <c r="EO258" i="7"/>
  <c r="EP258" i="7"/>
  <c r="EQ258" i="7"/>
  <c r="ER258" i="7"/>
  <c r="ES258" i="7"/>
  <c r="ET258" i="7"/>
  <c r="EU258" i="7"/>
  <c r="EV258" i="7"/>
  <c r="EW258" i="7"/>
  <c r="EX258" i="7"/>
  <c r="EY258" i="7"/>
  <c r="EZ258" i="7"/>
  <c r="FA258" i="7"/>
  <c r="FB258" i="7"/>
  <c r="FC258" i="7"/>
  <c r="FD258" i="7"/>
  <c r="FE258" i="7"/>
  <c r="FF258" i="7"/>
  <c r="EL259" i="7"/>
  <c r="EM259" i="7"/>
  <c r="EN259" i="7"/>
  <c r="EO259" i="7"/>
  <c r="EP259" i="7"/>
  <c r="EQ259" i="7"/>
  <c r="ER259" i="7"/>
  <c r="ES259" i="7"/>
  <c r="ET259" i="7"/>
  <c r="EU259" i="7"/>
  <c r="EV259" i="7"/>
  <c r="EW259" i="7"/>
  <c r="EX259" i="7"/>
  <c r="EY259" i="7"/>
  <c r="EZ259" i="7"/>
  <c r="FA259" i="7"/>
  <c r="FB259" i="7"/>
  <c r="FC259" i="7"/>
  <c r="FD259" i="7"/>
  <c r="FE259" i="7"/>
  <c r="FF259" i="7"/>
  <c r="EL260" i="7"/>
  <c r="EM260" i="7"/>
  <c r="EN260" i="7"/>
  <c r="EO260" i="7"/>
  <c r="EP260" i="7"/>
  <c r="EQ260" i="7"/>
  <c r="ER260" i="7"/>
  <c r="ES260" i="7"/>
  <c r="ET260" i="7"/>
  <c r="EU260" i="7"/>
  <c r="EV260" i="7"/>
  <c r="EW260" i="7"/>
  <c r="EX260" i="7"/>
  <c r="EY260" i="7"/>
  <c r="EZ260" i="7"/>
  <c r="FA260" i="7"/>
  <c r="FB260" i="7"/>
  <c r="FC260" i="7"/>
  <c r="FD260" i="7"/>
  <c r="FE260" i="7"/>
  <c r="FF260" i="7"/>
  <c r="EL261" i="7"/>
  <c r="EM261" i="7"/>
  <c r="EN261" i="7"/>
  <c r="EO261" i="7"/>
  <c r="EP261" i="7"/>
  <c r="EQ261" i="7"/>
  <c r="ER261" i="7"/>
  <c r="ES261" i="7"/>
  <c r="ET261" i="7"/>
  <c r="EU261" i="7"/>
  <c r="EV261" i="7"/>
  <c r="EW261" i="7"/>
  <c r="EX261" i="7"/>
  <c r="EY261" i="7"/>
  <c r="EZ261" i="7"/>
  <c r="FA261" i="7"/>
  <c r="FB261" i="7"/>
  <c r="FC261" i="7"/>
  <c r="FD261" i="7"/>
  <c r="FE261" i="7"/>
  <c r="FF261" i="7"/>
  <c r="EL262" i="7"/>
  <c r="EM262" i="7"/>
  <c r="EN262" i="7"/>
  <c r="EO262" i="7"/>
  <c r="EP262" i="7"/>
  <c r="EQ262" i="7"/>
  <c r="ER262" i="7"/>
  <c r="ES262" i="7"/>
  <c r="ET262" i="7"/>
  <c r="EU262" i="7"/>
  <c r="EV262" i="7"/>
  <c r="EW262" i="7"/>
  <c r="EX262" i="7"/>
  <c r="EY262" i="7"/>
  <c r="EZ262" i="7"/>
  <c r="FA262" i="7"/>
  <c r="FB262" i="7"/>
  <c r="FC262" i="7"/>
  <c r="FD262" i="7"/>
  <c r="FE262" i="7"/>
  <c r="FF262" i="7"/>
  <c r="D143" i="7"/>
  <c r="G143" i="7" s="1"/>
  <c r="F143" i="7"/>
  <c r="F141" i="7"/>
  <c r="D141" i="7"/>
  <c r="L25" i="11"/>
  <c r="F62" i="19"/>
  <c r="G62" i="19" s="1"/>
  <c r="L107" i="19"/>
  <c r="J120" i="19"/>
  <c r="J121" i="19"/>
  <c r="J119" i="19"/>
  <c r="K114" i="19"/>
  <c r="K115" i="19"/>
  <c r="K113" i="19"/>
  <c r="L108" i="19"/>
  <c r="L109" i="19"/>
  <c r="L89" i="19"/>
  <c r="K25" i="11"/>
  <c r="J25" i="11"/>
  <c r="I29" i="11"/>
  <c r="I25" i="11"/>
  <c r="H29" i="11"/>
  <c r="G29" i="11"/>
  <c r="F29" i="11"/>
  <c r="P29" i="11"/>
  <c r="Q29" i="11"/>
  <c r="J29" i="11"/>
  <c r="K29" i="11"/>
  <c r="L29" i="11"/>
  <c r="M29" i="11"/>
  <c r="N29" i="11"/>
  <c r="O29" i="11"/>
  <c r="F25" i="11"/>
  <c r="G25" i="11"/>
  <c r="H25" i="11"/>
  <c r="M25" i="11"/>
  <c r="N25" i="11"/>
  <c r="Q25" i="11"/>
  <c r="F23" i="11"/>
  <c r="G23" i="11"/>
  <c r="H23" i="11"/>
  <c r="I23" i="11"/>
  <c r="J23" i="11"/>
  <c r="K23" i="11"/>
  <c r="L23" i="11"/>
  <c r="M23" i="11"/>
  <c r="N23" i="11"/>
  <c r="O23" i="11"/>
  <c r="Q23" i="11"/>
  <c r="I14" i="11"/>
  <c r="J14" i="11"/>
  <c r="K14" i="11"/>
  <c r="L14" i="11"/>
  <c r="M14" i="11"/>
  <c r="N14" i="11"/>
  <c r="O14" i="11"/>
  <c r="P14" i="11"/>
  <c r="Q14" i="11"/>
  <c r="F14" i="11"/>
  <c r="G14" i="11"/>
  <c r="H14" i="11"/>
  <c r="D8" i="11"/>
  <c r="D19" i="11"/>
  <c r="D10" i="11"/>
  <c r="D8" i="1" s="1"/>
  <c r="D12" i="11"/>
  <c r="D118" i="11"/>
  <c r="D117" i="11"/>
  <c r="D115" i="11"/>
  <c r="D113" i="11"/>
  <c r="D112" i="11"/>
  <c r="D111" i="11"/>
  <c r="D110" i="11"/>
  <c r="D109" i="11"/>
  <c r="D104" i="11"/>
  <c r="D103" i="11"/>
  <c r="D102" i="11"/>
  <c r="D101" i="11"/>
  <c r="D100" i="11"/>
  <c r="D93" i="11"/>
  <c r="D88" i="11"/>
  <c r="D87" i="11"/>
  <c r="D83" i="11"/>
  <c r="D82" i="11"/>
  <c r="D81" i="11"/>
  <c r="D80" i="11"/>
  <c r="D79" i="11"/>
  <c r="D73" i="11"/>
  <c r="D75" i="11" s="1"/>
  <c r="D74" i="11"/>
  <c r="D72" i="11"/>
  <c r="D70" i="11"/>
  <c r="D32" i="11"/>
  <c r="D27" i="11"/>
  <c r="D22" i="11"/>
  <c r="D21" i="11"/>
  <c r="D11" i="11"/>
  <c r="D41" i="1" s="1"/>
  <c r="D71" i="11"/>
  <c r="D18" i="11"/>
  <c r="D20" i="11"/>
  <c r="D26" i="11"/>
  <c r="E29" i="11"/>
  <c r="E25" i="11"/>
  <c r="E23" i="11"/>
  <c r="E14" i="11"/>
  <c r="Q89" i="11"/>
  <c r="Q90" i="11" s="1"/>
  <c r="Q86" i="11"/>
  <c r="Q84" i="11"/>
  <c r="Q75" i="11"/>
  <c r="Q76" i="11"/>
  <c r="Q77" i="11" s="1"/>
  <c r="F93" i="11"/>
  <c r="N90" i="11"/>
  <c r="M90" i="11"/>
  <c r="L90" i="11"/>
  <c r="K90" i="11"/>
  <c r="P89" i="11"/>
  <c r="P90" i="11" s="1"/>
  <c r="O89" i="11"/>
  <c r="O90" i="11" s="1"/>
  <c r="J89" i="11"/>
  <c r="J90" i="11" s="1"/>
  <c r="I89" i="11"/>
  <c r="I90" i="11" s="1"/>
  <c r="H89" i="11"/>
  <c r="H90" i="11" s="1"/>
  <c r="G89" i="11"/>
  <c r="G90" i="11" s="1"/>
  <c r="F89" i="11"/>
  <c r="F90" i="11" s="1"/>
  <c r="E89" i="11"/>
  <c r="E90" i="11" s="1"/>
  <c r="P86" i="11"/>
  <c r="O86" i="11"/>
  <c r="N86" i="11"/>
  <c r="M86" i="11"/>
  <c r="L86" i="11"/>
  <c r="J86" i="11"/>
  <c r="I86" i="11"/>
  <c r="G86" i="11"/>
  <c r="F86" i="11"/>
  <c r="E86" i="11"/>
  <c r="K85" i="11"/>
  <c r="K86" i="11" s="1"/>
  <c r="H85" i="11"/>
  <c r="H86" i="11" s="1"/>
  <c r="P84" i="11"/>
  <c r="O84" i="11"/>
  <c r="N84" i="11"/>
  <c r="M84" i="11"/>
  <c r="L84" i="11"/>
  <c r="K84" i="11"/>
  <c r="J84" i="11"/>
  <c r="I84" i="11"/>
  <c r="H84" i="11"/>
  <c r="G84" i="11"/>
  <c r="F84" i="11"/>
  <c r="E84" i="11"/>
  <c r="P76" i="11"/>
  <c r="P77" i="11" s="1"/>
  <c r="O76" i="11"/>
  <c r="O77" i="11" s="1"/>
  <c r="N76" i="11"/>
  <c r="N77" i="11" s="1"/>
  <c r="M76" i="11"/>
  <c r="M77" i="11" s="1"/>
  <c r="L76" i="11"/>
  <c r="L77" i="11" s="1"/>
  <c r="K76" i="11"/>
  <c r="K77" i="11" s="1"/>
  <c r="J76" i="11"/>
  <c r="J77" i="11" s="1"/>
  <c r="I76" i="11"/>
  <c r="I77" i="11" s="1"/>
  <c r="H76" i="11"/>
  <c r="H77" i="11" s="1"/>
  <c r="G76" i="11"/>
  <c r="G77" i="11" s="1"/>
  <c r="F76" i="11"/>
  <c r="F77" i="11" s="1"/>
  <c r="E76" i="11"/>
  <c r="E77" i="11" s="1"/>
  <c r="P75" i="11"/>
  <c r="O75" i="11"/>
  <c r="N75" i="11"/>
  <c r="M75" i="11"/>
  <c r="L75" i="11"/>
  <c r="K75" i="11"/>
  <c r="J75" i="11"/>
  <c r="I75" i="11"/>
  <c r="H75" i="11"/>
  <c r="G75" i="11"/>
  <c r="F75" i="11"/>
  <c r="E75" i="11"/>
  <c r="AB18" i="10"/>
  <c r="D9" i="11"/>
  <c r="G3516" i="25" l="1"/>
  <c r="M46" i="11"/>
  <c r="P46" i="11"/>
  <c r="G46" i="11"/>
  <c r="O46" i="11"/>
  <c r="E46" i="11"/>
  <c r="K46" i="11"/>
  <c r="J46" i="11"/>
  <c r="D46" i="11"/>
  <c r="I46" i="11"/>
  <c r="N46" i="11"/>
  <c r="Q46" i="11"/>
  <c r="H46" i="11"/>
  <c r="L46" i="11"/>
  <c r="F46" i="11"/>
  <c r="G3338" i="25"/>
  <c r="G2438" i="25"/>
  <c r="G2692" i="25"/>
  <c r="G282" i="25"/>
  <c r="G905" i="25"/>
  <c r="G3741" i="25"/>
  <c r="G3308" i="25"/>
  <c r="G2546" i="25"/>
  <c r="G1055" i="25"/>
  <c r="G1886" i="25"/>
  <c r="G468" i="25"/>
  <c r="G2892" i="25"/>
  <c r="G2327" i="25"/>
  <c r="G1956" i="25"/>
  <c r="G3508" i="25"/>
  <c r="G90" i="25"/>
  <c r="G3763" i="25"/>
  <c r="G3421" i="25"/>
  <c r="G3940" i="25"/>
  <c r="G448" i="25"/>
  <c r="G2310" i="25"/>
  <c r="G1202" i="25"/>
  <c r="G147" i="25"/>
  <c r="G733" i="25"/>
  <c r="G3688" i="25"/>
  <c r="G1562" i="25"/>
  <c r="G1507" i="25"/>
  <c r="G658" i="25"/>
  <c r="G2453" i="25"/>
  <c r="G2586" i="25"/>
  <c r="G3084" i="25"/>
  <c r="G3396" i="25"/>
  <c r="G2000" i="25"/>
  <c r="G3161" i="25"/>
  <c r="G3336" i="25"/>
  <c r="G1907" i="25"/>
  <c r="G307" i="25"/>
  <c r="H307" i="25" s="1"/>
  <c r="G3568" i="25"/>
  <c r="G1332" i="25"/>
  <c r="G3191" i="25"/>
  <c r="G1081" i="25"/>
  <c r="G865" i="25"/>
  <c r="G1555" i="25"/>
  <c r="G3931" i="25"/>
  <c r="G924" i="25"/>
  <c r="G3048" i="25"/>
  <c r="G1786" i="25"/>
  <c r="G3842" i="25"/>
  <c r="G1321" i="25"/>
  <c r="G1158" i="25"/>
  <c r="G755" i="25"/>
  <c r="G3411" i="25"/>
  <c r="G2215" i="25"/>
  <c r="G2845" i="25"/>
  <c r="G3697" i="25"/>
  <c r="G1450" i="25"/>
  <c r="G1350" i="25"/>
  <c r="G691" i="25"/>
  <c r="G2570" i="25"/>
  <c r="G3796" i="25"/>
  <c r="G2460" i="25"/>
  <c r="G3658" i="25"/>
  <c r="G1034" i="25"/>
  <c r="G3420" i="25"/>
  <c r="G3567" i="25"/>
  <c r="G2373" i="25"/>
  <c r="G2171" i="25"/>
  <c r="G1274" i="25"/>
  <c r="G3618" i="25"/>
  <c r="G809" i="25"/>
  <c r="G1030" i="25"/>
  <c r="G627" i="25"/>
  <c r="G2003" i="25"/>
  <c r="G2226" i="25"/>
  <c r="G882" i="25"/>
  <c r="G2248" i="25"/>
  <c r="G454" i="25"/>
  <c r="G543" i="25"/>
  <c r="G2409" i="25"/>
  <c r="G3120" i="25"/>
  <c r="G3294" i="25"/>
  <c r="G1502" i="25"/>
  <c r="G351" i="25"/>
  <c r="G820" i="25"/>
  <c r="G971" i="25"/>
  <c r="G16" i="25"/>
  <c r="G601" i="25"/>
  <c r="G3638" i="25"/>
  <c r="G2181" i="25"/>
  <c r="G3018" i="25"/>
  <c r="G3929" i="25"/>
  <c r="G626" i="25"/>
  <c r="G2661" i="25"/>
  <c r="G1974" i="25"/>
  <c r="G558" i="25"/>
  <c r="G1464" i="25"/>
  <c r="G2799" i="25"/>
  <c r="G162" i="25"/>
  <c r="G848" i="25"/>
  <c r="G913" i="25"/>
  <c r="G3677" i="25"/>
  <c r="G3822" i="25"/>
  <c r="G638" i="25"/>
  <c r="G3203" i="25"/>
  <c r="G1639" i="25"/>
  <c r="G3973" i="25"/>
  <c r="G535" i="25"/>
  <c r="G517" i="25"/>
  <c r="G56" i="25"/>
  <c r="G633" i="25"/>
  <c r="G327" i="25"/>
  <c r="G3432" i="25"/>
  <c r="G3950" i="25"/>
  <c r="G1303" i="25"/>
  <c r="G455" i="25"/>
  <c r="G252" i="25"/>
  <c r="G2081" i="25"/>
  <c r="G3525" i="25"/>
  <c r="G857" i="25"/>
  <c r="G1415" i="25"/>
  <c r="G3915" i="25"/>
  <c r="G2512" i="25"/>
  <c r="G1869" i="25"/>
  <c r="G2828" i="25"/>
  <c r="G3714" i="25"/>
  <c r="G1127" i="25"/>
  <c r="G3845" i="25"/>
  <c r="G25" i="25"/>
  <c r="G391" i="25"/>
  <c r="G167" i="25"/>
  <c r="G3250" i="25"/>
  <c r="G1906" i="25"/>
  <c r="G1137" i="25"/>
  <c r="G1864" i="25"/>
  <c r="G1887" i="25"/>
  <c r="G97" i="25"/>
  <c r="G1961" i="25"/>
  <c r="G3071" i="25"/>
  <c r="G2846" i="25"/>
  <c r="G1054" i="25"/>
  <c r="G2228" i="25"/>
  <c r="G434" i="25"/>
  <c r="G587" i="25"/>
  <c r="G3115" i="25"/>
  <c r="G265" i="25"/>
  <c r="G3661" i="25"/>
  <c r="G1501" i="25"/>
  <c r="G1952" i="25"/>
  <c r="G2433" i="25"/>
  <c r="G2509" i="25"/>
  <c r="G2891" i="25"/>
  <c r="G821" i="25"/>
  <c r="G2307" i="25"/>
  <c r="G1487" i="25"/>
  <c r="G2574" i="25"/>
  <c r="G3537" i="25"/>
  <c r="G3982" i="25"/>
  <c r="G1801" i="25"/>
  <c r="G28" i="18"/>
  <c r="G2528" i="25"/>
  <c r="G791" i="25"/>
  <c r="G3783" i="25"/>
  <c r="G2969" i="25"/>
  <c r="G3249" i="25"/>
  <c r="G2685" i="25"/>
  <c r="G2407" i="25"/>
  <c r="G1372" i="25"/>
  <c r="G624" i="25"/>
  <c r="G1520" i="25"/>
  <c r="G1587" i="25"/>
  <c r="G3256" i="25"/>
  <c r="G2885" i="25"/>
  <c r="G2343" i="25"/>
  <c r="G1564" i="25"/>
  <c r="G3163" i="25"/>
  <c r="G2777" i="25"/>
  <c r="G2443" i="25"/>
  <c r="G3101" i="25"/>
  <c r="G3549" i="25"/>
  <c r="G366" i="25"/>
  <c r="G3611" i="25"/>
  <c r="G3655" i="25"/>
  <c r="G395" i="25"/>
  <c r="G2841" i="25"/>
  <c r="G2913" i="25"/>
  <c r="G2513" i="25"/>
  <c r="G2279" i="25"/>
  <c r="G1240" i="25"/>
  <c r="G2707" i="25"/>
  <c r="G2930" i="25"/>
  <c r="G1522" i="25"/>
  <c r="G817" i="25"/>
  <c r="G1352" i="25"/>
  <c r="G1503" i="25"/>
  <c r="G424" i="25"/>
  <c r="G3952" i="25"/>
  <c r="G2623" i="25"/>
  <c r="G2398" i="25"/>
  <c r="G1181" i="25"/>
  <c r="G1780" i="25"/>
  <c r="G1931" i="25"/>
  <c r="G77" i="25"/>
  <c r="G3169" i="25"/>
  <c r="G3703" i="25"/>
  <c r="G3149" i="25"/>
  <c r="G3404" i="25"/>
  <c r="G3419" i="25"/>
  <c r="G3144" i="25"/>
  <c r="G688" i="25"/>
  <c r="G318" i="25"/>
  <c r="G1420" i="25"/>
  <c r="G2018" i="25"/>
  <c r="G538" i="25"/>
  <c r="G1421" i="25"/>
  <c r="G3640" i="25"/>
  <c r="G2375" i="25"/>
  <c r="G4025" i="25"/>
  <c r="F44" i="18"/>
  <c r="G4027" i="25"/>
  <c r="G4034" i="25"/>
  <c r="G3999" i="25"/>
  <c r="G4022" i="25"/>
  <c r="G4031" i="25"/>
  <c r="G4045" i="25"/>
  <c r="G3988" i="25"/>
  <c r="G4019" i="25"/>
  <c r="G4047" i="25"/>
  <c r="G4043" i="25"/>
  <c r="G3990" i="25"/>
  <c r="G4054" i="25"/>
  <c r="G4048" i="25"/>
  <c r="G96" i="25"/>
  <c r="G420" i="25"/>
  <c r="G742" i="25"/>
  <c r="G285" i="25"/>
  <c r="G603" i="25"/>
  <c r="G923" i="25"/>
  <c r="G1307" i="25"/>
  <c r="G1627" i="25"/>
  <c r="G1947" i="25"/>
  <c r="G386" i="25"/>
  <c r="G708" i="25"/>
  <c r="G1028" i="25"/>
  <c r="G1412" i="25"/>
  <c r="G1732" i="25"/>
  <c r="G2052" i="25"/>
  <c r="G2436" i="25"/>
  <c r="G367" i="25"/>
  <c r="G685" i="25"/>
  <c r="G1069" i="25"/>
  <c r="G1389" i="25"/>
  <c r="G1070" i="25"/>
  <c r="G1454" i="25"/>
  <c r="G1774" i="25"/>
  <c r="G2094" i="25"/>
  <c r="G2478" i="25"/>
  <c r="G2798" i="25"/>
  <c r="G3118" i="25"/>
  <c r="G3502" i="25"/>
  <c r="G2255" i="25"/>
  <c r="G2575" i="25"/>
  <c r="G2959" i="25"/>
  <c r="G2816" i="25"/>
  <c r="G3136" i="25"/>
  <c r="G3520" i="25"/>
  <c r="G3840" i="25"/>
  <c r="G1657" i="25"/>
  <c r="G2041" i="25"/>
  <c r="G2361" i="25"/>
  <c r="G2681" i="25"/>
  <c r="G116" i="25"/>
  <c r="G440" i="25"/>
  <c r="H440" i="25" s="1"/>
  <c r="G762" i="25"/>
  <c r="G305" i="25"/>
  <c r="G623" i="25"/>
  <c r="G943" i="25"/>
  <c r="G1327" i="25"/>
  <c r="G1647" i="25"/>
  <c r="G22" i="25"/>
  <c r="G406" i="25"/>
  <c r="G728" i="25"/>
  <c r="G1048" i="25"/>
  <c r="G1432" i="25"/>
  <c r="G1752" i="25"/>
  <c r="G2072" i="25"/>
  <c r="G2456" i="25"/>
  <c r="G387" i="25"/>
  <c r="G705" i="25"/>
  <c r="G1089" i="25"/>
  <c r="G1409" i="25"/>
  <c r="G1090" i="25"/>
  <c r="G1474" i="25"/>
  <c r="G1794" i="25"/>
  <c r="G2114" i="25"/>
  <c r="G2498" i="25"/>
  <c r="G2818" i="25"/>
  <c r="G3138" i="25"/>
  <c r="G1955" i="25"/>
  <c r="G2275" i="25"/>
  <c r="G2595" i="25"/>
  <c r="G2979" i="25"/>
  <c r="G120" i="25"/>
  <c r="G3986" i="25"/>
  <c r="G4029" i="25"/>
  <c r="G3989" i="25"/>
  <c r="G4021" i="25"/>
  <c r="G4051" i="25"/>
  <c r="G4002" i="25"/>
  <c r="G4000" i="25"/>
  <c r="G3992" i="25"/>
  <c r="G4041" i="25"/>
  <c r="G3996" i="25"/>
  <c r="G63" i="25"/>
  <c r="G228" i="25"/>
  <c r="G678" i="25"/>
  <c r="G349" i="25"/>
  <c r="G795" i="25"/>
  <c r="G1179" i="25"/>
  <c r="G1691" i="25"/>
  <c r="G194" i="25"/>
  <c r="G644" i="25"/>
  <c r="G1152" i="25"/>
  <c r="G1540" i="25"/>
  <c r="G1988" i="25"/>
  <c r="G2500" i="25"/>
  <c r="G557" i="25"/>
  <c r="G941" i="25"/>
  <c r="G1453" i="25"/>
  <c r="G1262" i="25"/>
  <c r="G1710" i="25"/>
  <c r="G2222" i="25"/>
  <c r="G2606" i="25"/>
  <c r="G3054" i="25"/>
  <c r="G1999" i="25"/>
  <c r="G2447" i="25"/>
  <c r="G2831" i="25"/>
  <c r="G2880" i="25"/>
  <c r="G3328" i="25"/>
  <c r="G3776" i="25"/>
  <c r="G1785" i="25"/>
  <c r="G2169" i="25"/>
  <c r="G2617" i="25"/>
  <c r="G184" i="25"/>
  <c r="G634" i="25"/>
  <c r="G177" i="25"/>
  <c r="G687" i="25"/>
  <c r="G1135" i="25"/>
  <c r="G1583" i="25"/>
  <c r="G150" i="25"/>
  <c r="G536" i="25"/>
  <c r="G984" i="25"/>
  <c r="G1496" i="25"/>
  <c r="G1944" i="25"/>
  <c r="G2328" i="25"/>
  <c r="G451" i="25"/>
  <c r="G897" i="25"/>
  <c r="G1345" i="25"/>
  <c r="G1218" i="25"/>
  <c r="G1602" i="25"/>
  <c r="G2050" i="25"/>
  <c r="G2562" i="25"/>
  <c r="G3010" i="25"/>
  <c r="G3394" i="25"/>
  <c r="G2339" i="25"/>
  <c r="G2787" i="25"/>
  <c r="G2772" i="25"/>
  <c r="G72" i="25"/>
  <c r="G460" i="25"/>
  <c r="H460" i="25" s="1"/>
  <c r="G782" i="25"/>
  <c r="G261" i="25"/>
  <c r="G643" i="25"/>
  <c r="G963" i="25"/>
  <c r="G1283" i="25"/>
  <c r="G1667" i="25"/>
  <c r="G42" i="25"/>
  <c r="G362" i="25"/>
  <c r="G748" i="25"/>
  <c r="G1068" i="25"/>
  <c r="G1388" i="25"/>
  <c r="G1772" i="25"/>
  <c r="G2092" i="25"/>
  <c r="G2412" i="25"/>
  <c r="G407" i="25"/>
  <c r="G725" i="25"/>
  <c r="G1045" i="25"/>
  <c r="G1429" i="25"/>
  <c r="G1110" i="25"/>
  <c r="G4001" i="25"/>
  <c r="G4035" i="25"/>
  <c r="G4040" i="25"/>
  <c r="G3998" i="25"/>
  <c r="G4030" i="25"/>
  <c r="G4028" i="25"/>
  <c r="G3991" i="25"/>
  <c r="G4037" i="25"/>
  <c r="G4013" i="25"/>
  <c r="G4038" i="25"/>
  <c r="G4036" i="25"/>
  <c r="G127" i="25"/>
  <c r="G356" i="25"/>
  <c r="G29" i="25"/>
  <c r="G413" i="25"/>
  <c r="G859" i="25"/>
  <c r="G1371" i="25"/>
  <c r="G1819" i="25"/>
  <c r="G258" i="25"/>
  <c r="G772" i="25"/>
  <c r="G1216" i="25"/>
  <c r="G1668" i="25"/>
  <c r="G2180" i="25"/>
  <c r="G2564" i="25"/>
  <c r="G621" i="25"/>
  <c r="G1133" i="25"/>
  <c r="G942" i="25"/>
  <c r="G1326" i="25"/>
  <c r="G1838" i="25"/>
  <c r="G2286" i="25"/>
  <c r="G2734" i="25"/>
  <c r="G3246" i="25"/>
  <c r="G2063" i="25"/>
  <c r="G2511" i="25"/>
  <c r="G3023" i="25"/>
  <c r="G3008" i="25"/>
  <c r="G3392" i="25"/>
  <c r="G3904" i="25"/>
  <c r="G1849" i="25"/>
  <c r="G2297" i="25"/>
  <c r="G99" i="25"/>
  <c r="G248" i="25"/>
  <c r="G698" i="25"/>
  <c r="G369" i="25"/>
  <c r="G815" i="25"/>
  <c r="G1199" i="25"/>
  <c r="G1711" i="25"/>
  <c r="G214" i="25"/>
  <c r="G664" i="25"/>
  <c r="G1172" i="25"/>
  <c r="G1560" i="25"/>
  <c r="G2008" i="25"/>
  <c r="G4011" i="25"/>
  <c r="G4026" i="25"/>
  <c r="G4009" i="25"/>
  <c r="G4053" i="25"/>
  <c r="G4007" i="25"/>
  <c r="G164" i="25"/>
  <c r="G157" i="25"/>
  <c r="G1115" i="25"/>
  <c r="G130" i="25"/>
  <c r="G964" i="25"/>
  <c r="G1924" i="25"/>
  <c r="G431" i="25"/>
  <c r="H431" i="25" s="1"/>
  <c r="G1325" i="25"/>
  <c r="G1582" i="25"/>
  <c r="G2542" i="25"/>
  <c r="G3374" i="25"/>
  <c r="G2767" i="25"/>
  <c r="G3264" i="25"/>
  <c r="G1593" i="25"/>
  <c r="G2553" i="25"/>
  <c r="G506" i="25"/>
  <c r="G559" i="25"/>
  <c r="G1455" i="25"/>
  <c r="G470" i="25"/>
  <c r="G1304" i="25"/>
  <c r="G2264" i="25"/>
  <c r="G577" i="25"/>
  <c r="G1153" i="25"/>
  <c r="G1026" i="25"/>
  <c r="G1730" i="25"/>
  <c r="G2306" i="25"/>
  <c r="G2882" i="25"/>
  <c r="G2019" i="25"/>
  <c r="G2531" i="25"/>
  <c r="G2644" i="25"/>
  <c r="G204" i="25"/>
  <c r="G590" i="25"/>
  <c r="G197" i="25"/>
  <c r="G707" i="25"/>
  <c r="G1155" i="25"/>
  <c r="G1539" i="25"/>
  <c r="G106" i="25"/>
  <c r="G556" i="25"/>
  <c r="G1004" i="25"/>
  <c r="G1516" i="25"/>
  <c r="G1900" i="25"/>
  <c r="G2348" i="25"/>
  <c r="G471" i="25"/>
  <c r="G917" i="25"/>
  <c r="G1301" i="25"/>
  <c r="G1174" i="25"/>
  <c r="G1558" i="25"/>
  <c r="G1878" i="25"/>
  <c r="G2198" i="25"/>
  <c r="G2582" i="25"/>
  <c r="G2902" i="25"/>
  <c r="G3222" i="25"/>
  <c r="G2039" i="25"/>
  <c r="G2359" i="25"/>
  <c r="G2679" i="25"/>
  <c r="G3063" i="25"/>
  <c r="G160" i="25"/>
  <c r="G599" i="25"/>
  <c r="G190" i="25"/>
  <c r="G1472" i="25"/>
  <c r="G363" i="25"/>
  <c r="G1258" i="25"/>
  <c r="G2538" i="25"/>
  <c r="G2251" i="25"/>
  <c r="G2988" i="25"/>
  <c r="G3416" i="25"/>
  <c r="G3844" i="25"/>
  <c r="G1853" i="25"/>
  <c r="G2277" i="25"/>
  <c r="G2705" i="25"/>
  <c r="G3093" i="25"/>
  <c r="G3413" i="25"/>
  <c r="G3733" i="25"/>
  <c r="G3646" i="25"/>
  <c r="G3966" i="25"/>
  <c r="G3391" i="25"/>
  <c r="G3775" i="25"/>
  <c r="G3778" i="25"/>
  <c r="G3363" i="25"/>
  <c r="G3939" i="25"/>
  <c r="G411" i="25"/>
  <c r="G2714" i="25"/>
  <c r="G3240" i="25"/>
  <c r="G1697" i="25"/>
  <c r="G2613" i="25"/>
  <c r="G3585" i="25"/>
  <c r="G3882" i="25"/>
  <c r="G3803" i="25"/>
  <c r="G169" i="25"/>
  <c r="G1447" i="25"/>
  <c r="G784" i="25"/>
  <c r="G2320" i="25"/>
  <c r="G1209" i="25"/>
  <c r="G1850" i="25"/>
  <c r="G3386" i="25"/>
  <c r="G2636" i="25"/>
  <c r="G3188" i="25"/>
  <c r="G3700" i="25"/>
  <c r="G1621" i="25"/>
  <c r="G2049" i="25"/>
  <c r="G2561" i="25"/>
  <c r="G2921" i="25"/>
  <c r="G3241" i="25"/>
  <c r="G3625" i="25"/>
  <c r="G3961" i="25"/>
  <c r="G3251" i="25"/>
  <c r="G530" i="25"/>
  <c r="G560" i="25"/>
  <c r="G2010" i="25"/>
  <c r="G3708" i="25"/>
  <c r="G2737" i="25"/>
  <c r="G3841" i="25"/>
  <c r="G3739" i="25"/>
  <c r="G770" i="25"/>
  <c r="G1207" i="25"/>
  <c r="G800" i="25"/>
  <c r="G2080" i="25"/>
  <c r="G969" i="25"/>
  <c r="G1866" i="25"/>
  <c r="G3146" i="25"/>
  <c r="G2859" i="25"/>
  <c r="G3192" i="25"/>
  <c r="G3620" i="25"/>
  <c r="G1541" i="25"/>
  <c r="G2053" i="25"/>
  <c r="G2481" i="25"/>
  <c r="G2861" i="25"/>
  <c r="G3245" i="25"/>
  <c r="G3565" i="25"/>
  <c r="G3885" i="25"/>
  <c r="G3798" i="25"/>
  <c r="G3223" i="25"/>
  <c r="G3543" i="25"/>
  <c r="G3927" i="25"/>
  <c r="G1479" i="25"/>
  <c r="G1049" i="25"/>
  <c r="G3196" i="25"/>
  <c r="G2293" i="25"/>
  <c r="G3489" i="25"/>
  <c r="G3403" i="25"/>
  <c r="G143" i="25"/>
  <c r="G244" i="25"/>
  <c r="G630" i="25"/>
  <c r="G109" i="25"/>
  <c r="G429" i="25"/>
  <c r="G811" i="25"/>
  <c r="G1131" i="25"/>
  <c r="G1451" i="25"/>
  <c r="G1835" i="25"/>
  <c r="G210" i="25"/>
  <c r="G532" i="25"/>
  <c r="G916" i="25"/>
  <c r="G1232" i="25"/>
  <c r="G1556" i="25"/>
  <c r="G1940" i="25"/>
  <c r="G2260" i="25"/>
  <c r="G2580" i="25"/>
  <c r="G573" i="25"/>
  <c r="G893" i="25"/>
  <c r="G1213" i="25"/>
  <c r="G958" i="25"/>
  <c r="G1278" i="25"/>
  <c r="G1598" i="25"/>
  <c r="G1982" i="25"/>
  <c r="G2302" i="25"/>
  <c r="G4018" i="25"/>
  <c r="G4058" i="25"/>
  <c r="G4020" i="25"/>
  <c r="G4015" i="25"/>
  <c r="G4006" i="25"/>
  <c r="G486" i="25"/>
  <c r="G539" i="25"/>
  <c r="G1435" i="25"/>
  <c r="G450" i="25"/>
  <c r="G1280" i="25"/>
  <c r="G2244" i="25"/>
  <c r="G813" i="25"/>
  <c r="G1006" i="25"/>
  <c r="G1966" i="25"/>
  <c r="G2862" i="25"/>
  <c r="G2191" i="25"/>
  <c r="G3087" i="25"/>
  <c r="G3584" i="25"/>
  <c r="G1913" i="25"/>
  <c r="G163" i="25"/>
  <c r="G49" i="25"/>
  <c r="G879" i="25"/>
  <c r="G1839" i="25"/>
  <c r="G792" i="25"/>
  <c r="G1688" i="25"/>
  <c r="G2520" i="25"/>
  <c r="G641" i="25"/>
  <c r="G1217" i="25"/>
  <c r="G1282" i="25"/>
  <c r="G1858" i="25"/>
  <c r="G2370" i="25"/>
  <c r="G3074" i="25"/>
  <c r="G2083" i="25"/>
  <c r="G2723" i="25"/>
  <c r="G55" i="25"/>
  <c r="G268" i="25"/>
  <c r="G718" i="25"/>
  <c r="G389" i="25"/>
  <c r="G771" i="25"/>
  <c r="G1219" i="25"/>
  <c r="G1731" i="25"/>
  <c r="G234" i="25"/>
  <c r="G620" i="25"/>
  <c r="G1128" i="25"/>
  <c r="G1580" i="25"/>
  <c r="G2028" i="25"/>
  <c r="G2540" i="25"/>
  <c r="G533" i="25"/>
  <c r="G981" i="25"/>
  <c r="G854" i="25"/>
  <c r="G1302" i="25"/>
  <c r="G1622" i="25"/>
  <c r="G1942" i="25"/>
  <c r="G2326" i="25"/>
  <c r="G2646" i="25"/>
  <c r="G2966" i="25"/>
  <c r="G3350" i="25"/>
  <c r="G2103" i="25"/>
  <c r="G2423" i="25"/>
  <c r="G2807" i="25"/>
  <c r="G2664" i="25"/>
  <c r="G416" i="25"/>
  <c r="G1111" i="25"/>
  <c r="G446" i="25"/>
  <c r="G1728" i="25"/>
  <c r="G873" i="25"/>
  <c r="G1514" i="25"/>
  <c r="G2794" i="25"/>
  <c r="G2763" i="25"/>
  <c r="G3076" i="25"/>
  <c r="G3500" i="25"/>
  <c r="G1509" i="25"/>
  <c r="G1937" i="25"/>
  <c r="G2365" i="25"/>
  <c r="G3994" i="25"/>
  <c r="G4039" i="25"/>
  <c r="G4003" i="25"/>
  <c r="G4024" i="25"/>
  <c r="G4012" i="25"/>
  <c r="G614" i="25"/>
  <c r="G667" i="25"/>
  <c r="G1563" i="25"/>
  <c r="G516" i="25"/>
  <c r="G1476" i="25"/>
  <c r="G2308" i="25"/>
  <c r="G877" i="25"/>
  <c r="G1198" i="25"/>
  <c r="G2030" i="25"/>
  <c r="G2990" i="25"/>
  <c r="G2319" i="25"/>
  <c r="G2752" i="25"/>
  <c r="G3648" i="25"/>
  <c r="G2105" i="25"/>
  <c r="G227" i="25"/>
  <c r="G113" i="25"/>
  <c r="G1071" i="25"/>
  <c r="G1903" i="25"/>
  <c r="G920" i="25"/>
  <c r="G1816" i="25"/>
  <c r="G2584" i="25"/>
  <c r="G833" i="25"/>
  <c r="G1473" i="25"/>
  <c r="G1346" i="25"/>
  <c r="G1986" i="25"/>
  <c r="G2626" i="25"/>
  <c r="G3266" i="25"/>
  <c r="G2211" i="25"/>
  <c r="G2851" i="25"/>
  <c r="G183" i="25"/>
  <c r="G332" i="25"/>
  <c r="G5" i="25"/>
  <c r="H5" i="25" s="1"/>
  <c r="G453" i="25"/>
  <c r="G899" i="25"/>
  <c r="G1411" i="25"/>
  <c r="G1795" i="25"/>
  <c r="G298" i="25"/>
  <c r="H298" i="25" s="1"/>
  <c r="G812" i="25"/>
  <c r="G1256" i="25"/>
  <c r="G1644" i="25"/>
  <c r="G2156" i="25"/>
  <c r="G2604" i="25"/>
  <c r="G661" i="25"/>
  <c r="G1173" i="25"/>
  <c r="G918" i="25"/>
  <c r="G1366" i="25"/>
  <c r="G1686" i="25"/>
  <c r="G2070" i="25"/>
  <c r="G2390" i="25"/>
  <c r="G2710" i="25"/>
  <c r="G3094" i="25"/>
  <c r="G3414" i="25"/>
  <c r="G2167" i="25"/>
  <c r="G2551" i="25"/>
  <c r="G2871" i="25"/>
  <c r="G2728" i="25"/>
  <c r="G89" i="25"/>
  <c r="G1367" i="25"/>
  <c r="G704" i="25"/>
  <c r="G2240" i="25"/>
  <c r="G1129" i="25"/>
  <c r="G1770" i="25"/>
  <c r="G3306" i="25"/>
  <c r="G3019" i="25"/>
  <c r="G3160" i="25"/>
  <c r="G3672" i="25"/>
  <c r="G1597" i="25"/>
  <c r="G2021" i="25"/>
  <c r="G2533" i="25"/>
  <c r="G4056" i="25"/>
  <c r="G191" i="25"/>
  <c r="G900" i="25"/>
  <c r="G1518" i="25"/>
  <c r="G3072" i="25"/>
  <c r="G433" i="25"/>
  <c r="H433" i="25" s="1"/>
  <c r="G2200" i="25"/>
  <c r="G1538" i="25"/>
  <c r="G2467" i="25"/>
  <c r="G133" i="25"/>
  <c r="G1923" i="25"/>
  <c r="G1836" i="25"/>
  <c r="G1237" i="25"/>
  <c r="G2134" i="25"/>
  <c r="G3478" i="25"/>
  <c r="G139" i="25"/>
  <c r="G2496" i="25"/>
  <c r="G2812" i="25"/>
  <c r="G2193" i="25"/>
  <c r="G2965" i="25"/>
  <c r="G3477" i="25"/>
  <c r="G3925" i="25"/>
  <c r="G3902" i="25"/>
  <c r="G3519" i="25"/>
  <c r="G3903" i="25"/>
  <c r="G3267" i="25"/>
  <c r="G174" i="25"/>
  <c r="G1626" i="25"/>
  <c r="G2856" i="25"/>
  <c r="G1889" i="25"/>
  <c r="G3105" i="25"/>
  <c r="G3722" i="25"/>
  <c r="G219" i="25"/>
  <c r="G679" i="25"/>
  <c r="G528" i="25"/>
  <c r="G2576" i="25"/>
  <c r="G1338" i="25"/>
  <c r="G2874" i="25"/>
  <c r="G2844" i="25"/>
  <c r="G3444" i="25"/>
  <c r="G1537" i="25"/>
  <c r="G2221" i="25"/>
  <c r="G2729" i="25"/>
  <c r="G3177" i="25"/>
  <c r="G3689" i="25"/>
  <c r="G3762" i="25"/>
  <c r="G187" i="25"/>
  <c r="G1456" i="25"/>
  <c r="G2732" i="25"/>
  <c r="G2465" i="25"/>
  <c r="G3786" i="25"/>
  <c r="G235" i="25"/>
  <c r="G951" i="25"/>
  <c r="G1056" i="25"/>
  <c r="G459" i="25"/>
  <c r="H459" i="25" s="1"/>
  <c r="G1354" i="25"/>
  <c r="G3402" i="25"/>
  <c r="G2936" i="25"/>
  <c r="G3532" i="25"/>
  <c r="G1713" i="25"/>
  <c r="G2225" i="25"/>
  <c r="G2797" i="25"/>
  <c r="G3309" i="25"/>
  <c r="G3757" i="25"/>
  <c r="G3670" i="25"/>
  <c r="G3287" i="25"/>
  <c r="G3735" i="25"/>
  <c r="G967" i="25"/>
  <c r="G2266" i="25"/>
  <c r="G3860" i="25"/>
  <c r="G3265" i="25"/>
  <c r="G3643" i="25"/>
  <c r="G112" i="25"/>
  <c r="G502" i="25"/>
  <c r="G173" i="25"/>
  <c r="G619" i="25"/>
  <c r="G1067" i="25"/>
  <c r="G1579" i="25"/>
  <c r="G18" i="25"/>
  <c r="G466" i="25"/>
  <c r="H466" i="25" s="1"/>
  <c r="G980" i="25"/>
  <c r="G1428" i="25"/>
  <c r="G1812" i="25"/>
  <c r="G2324" i="25"/>
  <c r="G383" i="25"/>
  <c r="G829" i="25"/>
  <c r="G1341" i="25"/>
  <c r="G1086" i="25"/>
  <c r="G1534" i="25"/>
  <c r="G2046" i="25"/>
  <c r="G2494" i="25"/>
  <c r="G2814" i="25"/>
  <c r="G3134" i="25"/>
  <c r="G1951" i="25"/>
  <c r="G2271" i="25"/>
  <c r="G2591" i="25"/>
  <c r="G2975" i="25"/>
  <c r="G2832" i="25"/>
  <c r="G3152" i="25"/>
  <c r="G3536" i="25"/>
  <c r="G3856" i="25"/>
  <c r="G1673" i="25"/>
  <c r="G2057" i="25"/>
  <c r="G2377" i="25"/>
  <c r="G2697" i="25"/>
  <c r="G136" i="25"/>
  <c r="G456" i="25"/>
  <c r="G778" i="25"/>
  <c r="G321" i="25"/>
  <c r="G639" i="25"/>
  <c r="G959" i="25"/>
  <c r="G1343" i="25"/>
  <c r="G1663" i="25"/>
  <c r="G38" i="25"/>
  <c r="G422" i="25"/>
  <c r="G744" i="25"/>
  <c r="G1064" i="25"/>
  <c r="G1448" i="25"/>
  <c r="G1768" i="25"/>
  <c r="G2088" i="25"/>
  <c r="G2472" i="25"/>
  <c r="G403" i="25"/>
  <c r="G721" i="25"/>
  <c r="G1105" i="25"/>
  <c r="G1425" i="25"/>
  <c r="G1106" i="25"/>
  <c r="G1490" i="25"/>
  <c r="G1810" i="25"/>
  <c r="G2130" i="25"/>
  <c r="G2514" i="25"/>
  <c r="G2834" i="25"/>
  <c r="G3154" i="25"/>
  <c r="G1971" i="25"/>
  <c r="G2291" i="25"/>
  <c r="G2611" i="25"/>
  <c r="G2995" i="25"/>
  <c r="G7" i="25"/>
  <c r="H7" i="25" s="1"/>
  <c r="G88" i="25"/>
  <c r="G478" i="25"/>
  <c r="G798" i="25"/>
  <c r="G277" i="25"/>
  <c r="G659" i="25"/>
  <c r="G979" i="25"/>
  <c r="G1299" i="25"/>
  <c r="G1683" i="25"/>
  <c r="G58" i="25"/>
  <c r="G378" i="25"/>
  <c r="G764" i="25"/>
  <c r="G1080" i="25"/>
  <c r="G1404" i="25"/>
  <c r="G1788" i="25"/>
  <c r="G2108" i="25"/>
  <c r="G2428" i="25"/>
  <c r="G423" i="25"/>
  <c r="G741" i="25"/>
  <c r="G1061" i="25"/>
  <c r="G1445" i="25"/>
  <c r="G1126" i="25"/>
  <c r="G1446" i="25"/>
  <c r="G1830" i="25"/>
  <c r="G2150" i="25"/>
  <c r="G2470" i="25"/>
  <c r="G2854" i="25"/>
  <c r="G3174" i="25"/>
  <c r="G3494" i="25"/>
  <c r="G2311" i="25"/>
  <c r="G2631" i="25"/>
  <c r="G2951" i="25"/>
  <c r="G203" i="25"/>
  <c r="G409" i="25"/>
  <c r="G1687" i="25"/>
  <c r="G1276" i="25"/>
  <c r="G2560" i="25"/>
  <c r="G1449" i="25"/>
  <c r="G2346" i="25"/>
  <c r="G2059" i="25"/>
  <c r="G2840" i="25"/>
  <c r="G3352" i="25"/>
  <c r="G3780" i="25"/>
  <c r="G1701" i="25"/>
  <c r="G2213" i="25"/>
  <c r="G2641" i="25"/>
  <c r="G2981" i="25"/>
  <c r="G3365" i="25"/>
  <c r="G3685" i="25"/>
  <c r="G3534" i="25"/>
  <c r="G4017" i="25"/>
  <c r="G4042" i="25"/>
  <c r="G93" i="25"/>
  <c r="G1796" i="25"/>
  <c r="G2350" i="25"/>
  <c r="G1529" i="25"/>
  <c r="G1391" i="25"/>
  <c r="G323" i="25"/>
  <c r="G2242" i="25"/>
  <c r="G3043" i="25"/>
  <c r="G515" i="25"/>
  <c r="G492" i="25"/>
  <c r="G2284" i="25"/>
  <c r="G1046" i="25"/>
  <c r="G2454" i="25"/>
  <c r="G2295" i="25"/>
  <c r="G345" i="25"/>
  <c r="G1385" i="25"/>
  <c r="G3332" i="25"/>
  <c r="G2621" i="25"/>
  <c r="G3157" i="25"/>
  <c r="G3605" i="25"/>
  <c r="G3518" i="25"/>
  <c r="G3135" i="25"/>
  <c r="G3583" i="25"/>
  <c r="G3666" i="25"/>
  <c r="G3539" i="25"/>
  <c r="G1008" i="25"/>
  <c r="G2138" i="25"/>
  <c r="G3452" i="25"/>
  <c r="G2253" i="25"/>
  <c r="G3281" i="25"/>
  <c r="G3179" i="25"/>
  <c r="G240" i="25"/>
  <c r="G1191" i="25"/>
  <c r="G1296" i="25"/>
  <c r="G443" i="25"/>
  <c r="G1594" i="25"/>
  <c r="G2075" i="25"/>
  <c r="G3016" i="25"/>
  <c r="G3528" i="25"/>
  <c r="G1709" i="25"/>
  <c r="G2305" i="25"/>
  <c r="G2857" i="25"/>
  <c r="G3369" i="25"/>
  <c r="G3769" i="25"/>
  <c r="G3954" i="25"/>
  <c r="G201" i="25"/>
  <c r="G921" i="25"/>
  <c r="G3132" i="25"/>
  <c r="G2961" i="25"/>
  <c r="G3099" i="25"/>
  <c r="G514" i="25"/>
  <c r="G1719" i="25"/>
  <c r="G1312" i="25"/>
  <c r="G713" i="25"/>
  <c r="G2122" i="25"/>
  <c r="G2347" i="25"/>
  <c r="G3020" i="25"/>
  <c r="G3704" i="25"/>
  <c r="G1797" i="25"/>
  <c r="G2397" i="25"/>
  <c r="G2989" i="25"/>
  <c r="G3373" i="25"/>
  <c r="G3821" i="25"/>
  <c r="G3862" i="25"/>
  <c r="G3415" i="25"/>
  <c r="G3799" i="25"/>
  <c r="G110" i="25"/>
  <c r="G3290" i="25"/>
  <c r="G1953" i="25"/>
  <c r="G3937" i="25"/>
  <c r="G3835" i="25"/>
  <c r="G180" i="25"/>
  <c r="G694" i="25"/>
  <c r="G301" i="25"/>
  <c r="H301" i="25" s="1"/>
  <c r="G683" i="25"/>
  <c r="G1195" i="25"/>
  <c r="G1643" i="25"/>
  <c r="G146" i="25"/>
  <c r="G660" i="25"/>
  <c r="G1044" i="25"/>
  <c r="G1492" i="25"/>
  <c r="G2004" i="25"/>
  <c r="G2452" i="25"/>
  <c r="G447" i="25"/>
  <c r="G957" i="25"/>
  <c r="G4014" i="25"/>
  <c r="G1051" i="25"/>
  <c r="G303" i="25"/>
  <c r="H303" i="25" s="1"/>
  <c r="G3310" i="25"/>
  <c r="G2425" i="25"/>
  <c r="G278" i="25"/>
  <c r="G961" i="25"/>
  <c r="G2754" i="25"/>
  <c r="G8" i="25"/>
  <c r="H8" i="25" s="1"/>
  <c r="G1027" i="25"/>
  <c r="G876" i="25"/>
  <c r="G279" i="25"/>
  <c r="G1430" i="25"/>
  <c r="G2838" i="25"/>
  <c r="G2615" i="25"/>
  <c r="G1623" i="25"/>
  <c r="G2282" i="25"/>
  <c r="G3756" i="25"/>
  <c r="G2837" i="25"/>
  <c r="G3221" i="25"/>
  <c r="G3669" i="25"/>
  <c r="G3710" i="25"/>
  <c r="G3263" i="25"/>
  <c r="G3647" i="25"/>
  <c r="G3874" i="25"/>
  <c r="G3651" i="25"/>
  <c r="G2224" i="25"/>
  <c r="G2107" i="25"/>
  <c r="G3624" i="25"/>
  <c r="G2421" i="25"/>
  <c r="G3745" i="25"/>
  <c r="G3499" i="25"/>
  <c r="G498" i="25"/>
  <c r="G1703" i="25"/>
  <c r="G1552" i="25"/>
  <c r="G953" i="25"/>
  <c r="G2362" i="25"/>
  <c r="G2331" i="25"/>
  <c r="G3100" i="25"/>
  <c r="G3784" i="25"/>
  <c r="G1877" i="25"/>
  <c r="G2389" i="25"/>
  <c r="G2985" i="25"/>
  <c r="G3433" i="25"/>
  <c r="G3897" i="25"/>
  <c r="G3635" i="25"/>
  <c r="G775" i="25"/>
  <c r="G1114" i="25"/>
  <c r="G1505" i="25"/>
  <c r="G3409" i="25"/>
  <c r="G3307" i="25"/>
  <c r="G185" i="25"/>
  <c r="G30" i="25"/>
  <c r="G1824" i="25"/>
  <c r="G1481" i="25"/>
  <c r="G2378" i="25"/>
  <c r="G2603" i="25"/>
  <c r="G3276" i="25"/>
  <c r="G3876" i="25"/>
  <c r="G1885" i="25"/>
  <c r="G2565" i="25"/>
  <c r="G3053" i="25"/>
  <c r="G3501" i="25"/>
  <c r="G3542" i="25"/>
  <c r="G3926" i="25"/>
  <c r="G3479" i="25"/>
  <c r="G59" i="25"/>
  <c r="G1584" i="25"/>
  <c r="G2619" i="25"/>
  <c r="G2637" i="25"/>
  <c r="G3706" i="25"/>
  <c r="G79" i="25"/>
  <c r="G372" i="25"/>
  <c r="G758" i="25"/>
  <c r="G365" i="25"/>
  <c r="G875" i="25"/>
  <c r="G1323" i="25"/>
  <c r="G1707" i="25"/>
  <c r="G274" i="25"/>
  <c r="H274" i="25" s="1"/>
  <c r="G724" i="25"/>
  <c r="G1168" i="25"/>
  <c r="G1684" i="25"/>
  <c r="G2068" i="25"/>
  <c r="G2516" i="25"/>
  <c r="G637" i="25"/>
  <c r="G1883" i="25"/>
  <c r="G1236" i="25"/>
  <c r="G1475" i="25"/>
  <c r="G3158" i="25"/>
  <c r="G1681" i="25"/>
  <c r="G3774" i="25"/>
  <c r="G3747" i="25"/>
  <c r="G2945" i="25"/>
  <c r="G270" i="25"/>
  <c r="G2843" i="25"/>
  <c r="G2645" i="25"/>
  <c r="G3811" i="25"/>
  <c r="G3633" i="25"/>
  <c r="G2336" i="25"/>
  <c r="G3364" i="25"/>
  <c r="G3117" i="25"/>
  <c r="G3671" i="25"/>
  <c r="G3073" i="25"/>
  <c r="G45" i="25"/>
  <c r="G1899" i="25"/>
  <c r="G1748" i="25"/>
  <c r="G1085" i="25"/>
  <c r="G1022" i="25"/>
  <c r="G1726" i="25"/>
  <c r="G2238" i="25"/>
  <c r="G2750" i="25"/>
  <c r="G3262" i="25"/>
  <c r="G2079" i="25"/>
  <c r="G2527" i="25"/>
  <c r="G3039" i="25"/>
  <c r="G3024" i="25"/>
  <c r="G3408" i="25"/>
  <c r="G3920" i="25"/>
  <c r="G1865" i="25"/>
  <c r="G2313" i="25"/>
  <c r="G115" i="25"/>
  <c r="G264" i="25"/>
  <c r="G714" i="25"/>
  <c r="G385" i="25"/>
  <c r="G831" i="25"/>
  <c r="G1215" i="25"/>
  <c r="G1727" i="25"/>
  <c r="G230" i="25"/>
  <c r="G680" i="25"/>
  <c r="G1188" i="25"/>
  <c r="G1576" i="25"/>
  <c r="G2024" i="25"/>
  <c r="G2536" i="25"/>
  <c r="G593" i="25"/>
  <c r="G977" i="25"/>
  <c r="G850" i="25"/>
  <c r="G1298" i="25"/>
  <c r="G1746" i="25"/>
  <c r="G2258" i="25"/>
  <c r="G2642" i="25"/>
  <c r="G3090" i="25"/>
  <c r="G2035" i="25"/>
  <c r="G2483" i="25"/>
  <c r="G2867" i="25"/>
  <c r="G71" i="25"/>
  <c r="G284" i="25"/>
  <c r="G734" i="25"/>
  <c r="G405" i="25"/>
  <c r="G787" i="25"/>
  <c r="G1235" i="25"/>
  <c r="G1747" i="25"/>
  <c r="G250" i="25"/>
  <c r="G636" i="25"/>
  <c r="G1144" i="25"/>
  <c r="G1596" i="25"/>
  <c r="G2044" i="25"/>
  <c r="G2556" i="25"/>
  <c r="G549" i="25"/>
  <c r="G997" i="25"/>
  <c r="G870" i="25"/>
  <c r="G1318" i="25"/>
  <c r="G1702" i="25"/>
  <c r="G2214" i="25"/>
  <c r="G2662" i="25"/>
  <c r="G3110" i="25"/>
  <c r="G2055" i="25"/>
  <c r="G2439" i="25"/>
  <c r="G2887" i="25"/>
  <c r="G224" i="25"/>
  <c r="G1175" i="25"/>
  <c r="G768" i="25"/>
  <c r="G427" i="25"/>
  <c r="G1578" i="25"/>
  <c r="G3370" i="25"/>
  <c r="G3012" i="25"/>
  <c r="G3524" i="25"/>
  <c r="G1617" i="25"/>
  <c r="G2301" i="25"/>
  <c r="G2853" i="25"/>
  <c r="G3237" i="25"/>
  <c r="G3749" i="25"/>
  <c r="G3726" i="25"/>
  <c r="G3151" i="25"/>
  <c r="G3535" i="25"/>
  <c r="G3855" i="25"/>
  <c r="G3890" i="25"/>
  <c r="G3571" i="25"/>
  <c r="G496" i="25"/>
  <c r="G1177" i="25"/>
  <c r="G2299" i="25"/>
  <c r="G3476" i="25"/>
  <c r="G1933" i="25"/>
  <c r="G2993" i="25"/>
  <c r="G3793" i="25"/>
  <c r="G3227" i="25"/>
  <c r="G44" i="25"/>
  <c r="G487" i="25"/>
  <c r="G1767" i="25"/>
  <c r="G1360" i="25"/>
  <c r="G251" i="25"/>
  <c r="G890" i="25"/>
  <c r="G2426" i="25"/>
  <c r="G2139" i="25"/>
  <c r="G2868" i="25"/>
  <c r="G3380" i="25"/>
  <c r="G3804" i="25"/>
  <c r="G1729" i="25"/>
  <c r="G2241" i="25"/>
  <c r="G2669" i="25"/>
  <c r="G3001" i="25"/>
  <c r="G3385" i="25"/>
  <c r="G3705" i="25"/>
  <c r="G3570" i="25"/>
  <c r="G3683" i="25"/>
  <c r="G393" i="25"/>
  <c r="G1712" i="25"/>
  <c r="G2555" i="25"/>
  <c r="G1589" i="25"/>
  <c r="G3009" i="25"/>
  <c r="G3850" i="25"/>
  <c r="G43" i="25"/>
  <c r="G249" i="25"/>
  <c r="G1783" i="25"/>
  <c r="G1116" i="25"/>
  <c r="G2400" i="25"/>
  <c r="G906" i="25"/>
  <c r="G2186" i="25"/>
  <c r="G3466" i="25"/>
  <c r="G2872" i="25"/>
  <c r="G3300" i="25"/>
  <c r="G3724" i="25"/>
  <c r="G1733" i="25"/>
  <c r="G2161" i="25"/>
  <c r="G2589" i="25"/>
  <c r="G3005" i="25"/>
  <c r="G3325" i="25"/>
  <c r="G3645" i="25"/>
  <c r="G3558" i="25"/>
  <c r="G3878" i="25"/>
  <c r="G3303" i="25"/>
  <c r="G3687" i="25"/>
  <c r="G464" i="25"/>
  <c r="H464" i="25" s="1"/>
  <c r="G302" i="25"/>
  <c r="H302" i="25" s="1"/>
  <c r="G2458" i="25"/>
  <c r="G3604" i="25"/>
  <c r="G2701" i="25"/>
  <c r="G3546" i="25"/>
  <c r="G3675" i="25"/>
  <c r="G223" i="25"/>
  <c r="G388" i="25"/>
  <c r="G710" i="25"/>
  <c r="G189" i="25"/>
  <c r="G571" i="25"/>
  <c r="G891" i="25"/>
  <c r="G1211" i="25"/>
  <c r="G1595" i="25"/>
  <c r="G1915" i="25"/>
  <c r="G290" i="25"/>
  <c r="G676" i="25"/>
  <c r="G996" i="25"/>
  <c r="G1316" i="25"/>
  <c r="G1700" i="25"/>
  <c r="G2020" i="25"/>
  <c r="G2340" i="25"/>
  <c r="G335" i="25"/>
  <c r="G653" i="25"/>
  <c r="G973" i="25"/>
  <c r="G1357" i="25"/>
  <c r="G1038" i="25"/>
  <c r="G1358" i="25"/>
  <c r="G1742" i="25"/>
  <c r="G2062" i="25"/>
  <c r="G2382" i="25"/>
  <c r="G2766" i="25"/>
  <c r="G3086" i="25"/>
  <c r="G3406" i="25"/>
  <c r="G2223" i="25"/>
  <c r="G2543" i="25"/>
  <c r="G2863" i="25"/>
  <c r="G2784" i="25"/>
  <c r="G3104" i="25"/>
  <c r="G3424" i="25"/>
  <c r="G3808" i="25"/>
  <c r="G1625" i="25"/>
  <c r="G1945" i="25"/>
  <c r="G2329" i="25"/>
  <c r="G2649" i="25"/>
  <c r="G20" i="25"/>
  <c r="G408" i="25"/>
  <c r="G730" i="25"/>
  <c r="G209" i="25"/>
  <c r="G591" i="25"/>
  <c r="G911" i="25"/>
  <c r="G1231" i="25"/>
  <c r="G1615" i="25"/>
  <c r="G1935" i="25"/>
  <c r="G310" i="25"/>
  <c r="H310" i="25" s="1"/>
  <c r="G696" i="25"/>
  <c r="G1016" i="25"/>
  <c r="G1336" i="25"/>
  <c r="G1720" i="25"/>
  <c r="G2040" i="25"/>
  <c r="G2360" i="25"/>
  <c r="G355" i="25"/>
  <c r="G673" i="25"/>
  <c r="G993" i="25"/>
  <c r="G1377" i="25"/>
  <c r="G1058" i="25"/>
  <c r="G1378" i="25"/>
  <c r="G1762" i="25"/>
  <c r="G2082" i="25"/>
  <c r="G2402" i="25"/>
  <c r="G2786" i="25"/>
  <c r="G3106" i="25"/>
  <c r="G3426" i="25"/>
  <c r="G2243" i="25"/>
  <c r="G2563" i="25"/>
  <c r="G2883" i="25"/>
  <c r="G2804" i="25"/>
  <c r="G40" i="25"/>
  <c r="G364" i="25"/>
  <c r="G750" i="25"/>
  <c r="G229" i="25"/>
  <c r="G547" i="25"/>
  <c r="G931" i="25"/>
  <c r="G1251" i="25"/>
  <c r="G1571" i="25"/>
  <c r="G10" i="25"/>
  <c r="G330" i="25"/>
  <c r="G652" i="25"/>
  <c r="G1036" i="25"/>
  <c r="G1356" i="25"/>
  <c r="G1676" i="25"/>
  <c r="G2060" i="25"/>
  <c r="G2380" i="25"/>
  <c r="G311" i="25"/>
  <c r="H311" i="25" s="1"/>
  <c r="G693" i="25"/>
  <c r="G1013" i="25"/>
  <c r="G1333" i="25"/>
  <c r="G1078" i="25"/>
  <c r="G1398" i="25"/>
  <c r="G1718" i="25"/>
  <c r="G2102" i="25"/>
  <c r="G2422" i="25"/>
  <c r="G2742" i="25"/>
  <c r="G3126" i="25"/>
  <c r="G3446" i="25"/>
  <c r="G2199" i="25"/>
  <c r="G2583" i="25"/>
  <c r="G2903" i="25"/>
  <c r="G2760" i="25"/>
  <c r="G217" i="25"/>
  <c r="G1495" i="25"/>
  <c r="G832" i="25"/>
  <c r="G2368" i="25"/>
  <c r="G1257" i="25"/>
  <c r="G1898" i="25"/>
  <c r="G3434" i="25"/>
  <c r="G2684" i="25"/>
  <c r="G3204" i="25"/>
  <c r="G3716" i="25"/>
  <c r="G1637" i="25"/>
  <c r="G2065" i="25"/>
  <c r="G2577" i="25"/>
  <c r="G2933" i="25"/>
  <c r="G3253" i="25"/>
  <c r="G3637" i="25"/>
  <c r="G3957" i="25"/>
  <c r="G3806" i="25"/>
  <c r="G3295" i="25"/>
  <c r="G3615" i="25"/>
  <c r="G3935" i="25"/>
  <c r="G3219" i="25"/>
  <c r="G3699" i="25"/>
  <c r="G1328" i="25"/>
  <c r="G1882" i="25"/>
  <c r="G3993" i="25"/>
  <c r="G1197" i="25"/>
  <c r="G962" i="25"/>
  <c r="G1324" i="25"/>
  <c r="G2935" i="25"/>
  <c r="G2901" i="25"/>
  <c r="G3327" i="25"/>
  <c r="G985" i="25"/>
  <c r="G3889" i="25"/>
  <c r="G1808" i="25"/>
  <c r="G3356" i="25"/>
  <c r="G3113" i="25"/>
  <c r="G1863" i="25"/>
  <c r="G3963" i="25"/>
  <c r="G1098" i="25"/>
  <c r="G3960" i="25"/>
  <c r="G3629" i="25"/>
  <c r="G9" i="25"/>
  <c r="H9" i="25" s="1"/>
  <c r="G3914" i="25"/>
  <c r="G555" i="25"/>
  <c r="G402" i="25"/>
  <c r="G2196" i="25"/>
  <c r="G1149" i="25"/>
  <c r="G1214" i="25"/>
  <c r="G1790" i="25"/>
  <c r="G2366" i="25"/>
  <c r="G2878" i="25"/>
  <c r="G3326" i="25"/>
  <c r="G2207" i="25"/>
  <c r="G2719" i="25"/>
  <c r="G2640" i="25"/>
  <c r="G3088" i="25"/>
  <c r="G3600" i="25"/>
  <c r="G1545" i="25"/>
  <c r="G1929" i="25"/>
  <c r="G2441" i="25"/>
  <c r="G179" i="25"/>
  <c r="G392" i="25"/>
  <c r="G65" i="25"/>
  <c r="G449" i="25"/>
  <c r="G895" i="25"/>
  <c r="G1407" i="25"/>
  <c r="G1855" i="25"/>
  <c r="G294" i="25"/>
  <c r="G808" i="25"/>
  <c r="G1252" i="25"/>
  <c r="G1704" i="25"/>
  <c r="G2216" i="25"/>
  <c r="G2600" i="25"/>
  <c r="G657" i="25"/>
  <c r="G1169" i="25"/>
  <c r="G978" i="25"/>
  <c r="G1362" i="25"/>
  <c r="G1874" i="25"/>
  <c r="G2322" i="25"/>
  <c r="G2770" i="25"/>
  <c r="G3282" i="25"/>
  <c r="G2099" i="25"/>
  <c r="G2547" i="25"/>
  <c r="G3059" i="25"/>
  <c r="G199" i="25"/>
  <c r="G348" i="25"/>
  <c r="G21" i="25"/>
  <c r="G469" i="25"/>
  <c r="H469" i="25" s="1"/>
  <c r="G915" i="25"/>
  <c r="G1427" i="25"/>
  <c r="G1811" i="25"/>
  <c r="G314" i="25"/>
  <c r="H314" i="25" s="1"/>
  <c r="G828" i="25"/>
  <c r="G1272" i="25"/>
  <c r="G1660" i="25"/>
  <c r="G2172" i="25"/>
  <c r="G2620" i="25"/>
  <c r="G677" i="25"/>
  <c r="G1189" i="25"/>
  <c r="G934" i="25"/>
  <c r="G1382" i="25"/>
  <c r="G1894" i="25"/>
  <c r="G2342" i="25"/>
  <c r="G2726" i="25"/>
  <c r="G3238" i="25"/>
  <c r="G2119" i="25"/>
  <c r="G2567" i="25"/>
  <c r="G3079" i="25"/>
  <c r="G482" i="25"/>
  <c r="G1431" i="25"/>
  <c r="G1536" i="25"/>
  <c r="G937" i="25"/>
  <c r="G1834" i="25"/>
  <c r="G2315" i="25"/>
  <c r="G3096" i="25"/>
  <c r="G3692" i="25"/>
  <c r="G1873" i="25"/>
  <c r="G2385" i="25"/>
  <c r="G2917" i="25"/>
  <c r="G3429" i="25"/>
  <c r="G3877" i="25"/>
  <c r="G3790" i="25"/>
  <c r="G3279" i="25"/>
  <c r="G3599" i="25"/>
  <c r="G3919" i="25"/>
  <c r="G3187" i="25"/>
  <c r="G3667" i="25"/>
  <c r="G1196" i="25"/>
  <c r="G1690" i="25"/>
  <c r="G2939" i="25"/>
  <c r="G3668" i="25"/>
  <c r="G2273" i="25"/>
  <c r="G3153" i="25"/>
  <c r="G3921" i="25"/>
  <c r="G3547" i="25"/>
  <c r="G304" i="25"/>
  <c r="H304" i="25" s="1"/>
  <c r="G743" i="25"/>
  <c r="G334" i="25"/>
  <c r="G1616" i="25"/>
  <c r="G505" i="25"/>
  <c r="G1402" i="25"/>
  <c r="G2682" i="25"/>
  <c r="G2395" i="25"/>
  <c r="G3036" i="25"/>
  <c r="G3464" i="25"/>
  <c r="G3892" i="25"/>
  <c r="G1901" i="25"/>
  <c r="G2325" i="25"/>
  <c r="G2745" i="25"/>
  <c r="G3129" i="25"/>
  <c r="G3449" i="25"/>
  <c r="G3785" i="25"/>
  <c r="G3810" i="25"/>
  <c r="G3859" i="25"/>
  <c r="G903" i="25"/>
  <c r="G1113" i="25"/>
  <c r="G2900" i="25"/>
  <c r="G1909" i="25"/>
  <c r="G3457" i="25"/>
  <c r="G3147" i="25"/>
  <c r="G60" i="25"/>
  <c r="G759" i="25"/>
  <c r="G94" i="25"/>
  <c r="G1376" i="25"/>
  <c r="G521" i="25"/>
  <c r="G1162" i="25"/>
  <c r="G2442" i="25"/>
  <c r="G2411" i="25"/>
  <c r="G2956" i="25"/>
  <c r="G3384" i="25"/>
  <c r="G3896" i="25"/>
  <c r="G1821" i="25"/>
  <c r="G2245" i="25"/>
  <c r="G2749" i="25"/>
  <c r="G3069" i="25"/>
  <c r="G3389" i="25"/>
  <c r="G3773" i="25"/>
  <c r="G3622" i="25"/>
  <c r="G3942" i="25"/>
  <c r="G3431" i="25"/>
  <c r="G3751" i="25"/>
  <c r="G137" i="25"/>
  <c r="G1840" i="25"/>
  <c r="G1979" i="25"/>
  <c r="G3924" i="25"/>
  <c r="G3121" i="25"/>
  <c r="G3754" i="25"/>
  <c r="G3883" i="25"/>
  <c r="G132" i="25"/>
  <c r="G452" i="25"/>
  <c r="G774" i="25"/>
  <c r="G317" i="25"/>
  <c r="G635" i="25"/>
  <c r="G955" i="25"/>
  <c r="G2703" i="25"/>
  <c r="G3330" i="25"/>
  <c r="G789" i="25"/>
  <c r="G1212" i="25"/>
  <c r="G3349" i="25"/>
  <c r="G3839" i="25"/>
  <c r="G2875" i="25"/>
  <c r="G3659" i="25"/>
  <c r="G1465" i="25"/>
  <c r="G3868" i="25"/>
  <c r="G3497" i="25"/>
  <c r="G2363" i="25"/>
  <c r="G695" i="25"/>
  <c r="G2890" i="25"/>
  <c r="G2141" i="25"/>
  <c r="G3606" i="25"/>
  <c r="G2480" i="25"/>
  <c r="G207" i="25"/>
  <c r="G939" i="25"/>
  <c r="G788" i="25"/>
  <c r="G319" i="25"/>
  <c r="G1405" i="25"/>
  <c r="G1342" i="25"/>
  <c r="G1854" i="25"/>
  <c r="G2558" i="25"/>
  <c r="G3006" i="25"/>
  <c r="G3390" i="25"/>
  <c r="G2335" i="25"/>
  <c r="G2783" i="25"/>
  <c r="G2768" i="25"/>
  <c r="G3280" i="25"/>
  <c r="G3664" i="25"/>
  <c r="G1609" i="25"/>
  <c r="G2121" i="25"/>
  <c r="G2569" i="25"/>
  <c r="G4" i="25"/>
  <c r="H4" i="25" s="1"/>
  <c r="G522" i="25"/>
  <c r="G129" i="25"/>
  <c r="G575" i="25"/>
  <c r="G1087" i="25"/>
  <c r="G1471" i="25"/>
  <c r="G1919" i="25"/>
  <c r="G488" i="25"/>
  <c r="G936" i="25"/>
  <c r="G1320" i="25"/>
  <c r="G1832" i="25"/>
  <c r="G2280" i="25"/>
  <c r="G339" i="25"/>
  <c r="G849" i="25"/>
  <c r="G1233" i="25"/>
  <c r="G1042" i="25"/>
  <c r="G1554" i="25"/>
  <c r="G2002" i="25"/>
  <c r="G2386" i="25"/>
  <c r="G2898" i="25"/>
  <c r="G3346" i="25"/>
  <c r="G2227" i="25"/>
  <c r="G2739" i="25"/>
  <c r="G2660" i="25"/>
  <c r="G24" i="25"/>
  <c r="G542" i="25"/>
  <c r="G149" i="25"/>
  <c r="G531" i="25"/>
  <c r="G1043" i="25"/>
  <c r="G1491" i="25"/>
  <c r="G1939" i="25"/>
  <c r="G508" i="25"/>
  <c r="G892" i="25"/>
  <c r="G1340" i="25"/>
  <c r="G1852" i="25"/>
  <c r="G2300" i="25"/>
  <c r="G295" i="25"/>
  <c r="H295" i="25" s="1"/>
  <c r="G805" i="25"/>
  <c r="G1253" i="25"/>
  <c r="G1062" i="25"/>
  <c r="G1574" i="25"/>
  <c r="G1958" i="25"/>
  <c r="G2406" i="25"/>
  <c r="G2918" i="25"/>
  <c r="G3366" i="25"/>
  <c r="G2183" i="25"/>
  <c r="G2695" i="25"/>
  <c r="G2680" i="25"/>
  <c r="G153" i="25"/>
  <c r="G254" i="25"/>
  <c r="G1792" i="25"/>
  <c r="G1193" i="25"/>
  <c r="G2602" i="25"/>
  <c r="G2827" i="25"/>
  <c r="G3180" i="25"/>
  <c r="G3864" i="25"/>
  <c r="G1957" i="25"/>
  <c r="G2557" i="25"/>
  <c r="G3109" i="25"/>
  <c r="G3493" i="25"/>
  <c r="G3941" i="25"/>
  <c r="G3918" i="25"/>
  <c r="G3343" i="25"/>
  <c r="G3663" i="25"/>
  <c r="G3698" i="25"/>
  <c r="G3283" i="25"/>
  <c r="G3779" i="25"/>
  <c r="G2416" i="25"/>
  <c r="G2330" i="25"/>
  <c r="G2920" i="25"/>
  <c r="G1549" i="25"/>
  <c r="G2485" i="25"/>
  <c r="G3313" i="25"/>
  <c r="G3770" i="25"/>
  <c r="G3707" i="25"/>
  <c r="G562" i="25"/>
  <c r="G1255" i="25"/>
  <c r="G592" i="25"/>
  <c r="G1872" i="25"/>
  <c r="G1017" i="25"/>
  <c r="G1658" i="25"/>
  <c r="G2938" i="25"/>
  <c r="G2907" i="25"/>
  <c r="G3124" i="25"/>
  <c r="G3548" i="25"/>
  <c r="G1557" i="25"/>
  <c r="G1985" i="25"/>
  <c r="G2413" i="25"/>
  <c r="G2873" i="25"/>
  <c r="G3193" i="25"/>
  <c r="G3513" i="25"/>
  <c r="G3913" i="25"/>
  <c r="G3107" i="25"/>
  <c r="G12" i="25"/>
  <c r="G46" i="25"/>
  <c r="G1306" i="25"/>
  <c r="G3220" i="25"/>
  <c r="G2529" i="25"/>
  <c r="G3681" i="25"/>
  <c r="G3339" i="25"/>
  <c r="G578" i="25"/>
  <c r="G1015" i="25"/>
  <c r="G350" i="25"/>
  <c r="G1888" i="25"/>
  <c r="G777" i="25"/>
  <c r="G1418" i="25"/>
  <c r="G2954" i="25"/>
  <c r="G2667" i="25"/>
  <c r="G3044" i="25"/>
  <c r="G3556" i="25"/>
  <c r="G3980" i="25"/>
  <c r="G1905" i="25"/>
  <c r="G2417" i="25"/>
  <c r="G2813" i="25"/>
  <c r="G3133" i="25"/>
  <c r="G3517" i="25"/>
  <c r="G3837" i="25"/>
  <c r="G3686" i="25"/>
  <c r="G3175" i="25"/>
  <c r="G3495" i="25"/>
  <c r="G3815" i="25"/>
  <c r="G1095" i="25"/>
  <c r="G347" i="25"/>
  <c r="G2747" i="25"/>
  <c r="G2037" i="25"/>
  <c r="G3329" i="25"/>
  <c r="G3962" i="25"/>
  <c r="G95" i="25"/>
  <c r="G196" i="25"/>
  <c r="G518" i="25"/>
  <c r="G61" i="25"/>
  <c r="G381" i="25"/>
  <c r="G699" i="25"/>
  <c r="G1083" i="25"/>
  <c r="G526" i="25"/>
  <c r="G3171" i="25"/>
  <c r="G1965" i="25"/>
  <c r="G2852" i="25"/>
  <c r="G436" i="25"/>
  <c r="G1469" i="25"/>
  <c r="G3070" i="25"/>
  <c r="G2896" i="25"/>
  <c r="G2185" i="25"/>
  <c r="G193" i="25"/>
  <c r="G166" i="25"/>
  <c r="G1960" i="25"/>
  <c r="G1361" i="25"/>
  <c r="G2578" i="25"/>
  <c r="G2803" i="25"/>
  <c r="G213" i="25"/>
  <c r="G122" i="25"/>
  <c r="G1916" i="25"/>
  <c r="G1317" i="25"/>
  <c r="G2598" i="25"/>
  <c r="G2823" i="25"/>
  <c r="G2304" i="25"/>
  <c r="G3436" i="25"/>
  <c r="G3173" i="25"/>
  <c r="G3407" i="25"/>
  <c r="G3955" i="25"/>
  <c r="G1717" i="25"/>
  <c r="G3851" i="25"/>
  <c r="G2384" i="25"/>
  <c r="G2700" i="25"/>
  <c r="G2069" i="25"/>
  <c r="G3641" i="25"/>
  <c r="G816" i="25"/>
  <c r="G3905" i="25"/>
  <c r="G864" i="25"/>
  <c r="G3210" i="25"/>
  <c r="G1565" i="25"/>
  <c r="G3261" i="25"/>
  <c r="G3239" i="25"/>
  <c r="G1369" i="25"/>
  <c r="G3451" i="25"/>
  <c r="G125" i="25"/>
  <c r="G1339" i="25"/>
  <c r="G1723" i="25"/>
  <c r="G226" i="25"/>
  <c r="G740" i="25"/>
  <c r="G1184" i="25"/>
  <c r="G1572" i="25"/>
  <c r="G2084" i="25"/>
  <c r="G2532" i="25"/>
  <c r="G589" i="25"/>
  <c r="G1101" i="25"/>
  <c r="G846" i="25"/>
  <c r="G1294" i="25"/>
  <c r="G1806" i="25"/>
  <c r="G2254" i="25"/>
  <c r="G2638" i="25"/>
  <c r="G3150" i="25"/>
  <c r="G2031" i="25"/>
  <c r="G2479" i="25"/>
  <c r="G2991" i="25"/>
  <c r="G2912" i="25"/>
  <c r="G3360" i="25"/>
  <c r="G3872" i="25"/>
  <c r="G1817" i="25"/>
  <c r="G2201" i="25"/>
  <c r="G2713" i="25"/>
  <c r="G216" i="25"/>
  <c r="G666" i="25"/>
  <c r="G337" i="25"/>
  <c r="G719" i="25"/>
  <c r="G1167" i="25"/>
  <c r="G1679" i="25"/>
  <c r="G182" i="25"/>
  <c r="G568" i="25"/>
  <c r="G1076" i="25"/>
  <c r="G1528" i="25"/>
  <c r="G1976" i="25"/>
  <c r="G2488" i="25"/>
  <c r="G481" i="25"/>
  <c r="G929" i="25"/>
  <c r="G1441" i="25"/>
  <c r="G1250" i="25"/>
  <c r="G1634" i="25"/>
  <c r="G2146" i="25"/>
  <c r="G2594" i="25"/>
  <c r="G3042" i="25"/>
  <c r="G1987" i="25"/>
  <c r="G2371" i="25"/>
  <c r="G2819" i="25"/>
  <c r="G23" i="25"/>
  <c r="G236" i="25"/>
  <c r="G622" i="25"/>
  <c r="G293" i="25"/>
  <c r="G739" i="25"/>
  <c r="G1187" i="25"/>
  <c r="G1699" i="25"/>
  <c r="G138" i="25"/>
  <c r="G588" i="25"/>
  <c r="G1096" i="25"/>
  <c r="G1548" i="25"/>
  <c r="G1932" i="25"/>
  <c r="G2444" i="25"/>
  <c r="G501" i="25"/>
  <c r="G949" i="25"/>
  <c r="G1461" i="25"/>
  <c r="G1206" i="25"/>
  <c r="G1654" i="25"/>
  <c r="G2166" i="25"/>
  <c r="G2614" i="25"/>
  <c r="G2998" i="25"/>
  <c r="G3510" i="25"/>
  <c r="G2391" i="25"/>
  <c r="G2839" i="25"/>
  <c r="G28" i="25"/>
  <c r="G727" i="25"/>
  <c r="G576" i="25"/>
  <c r="G2624" i="25"/>
  <c r="G1386" i="25"/>
  <c r="G2922" i="25"/>
  <c r="G2860" i="25"/>
  <c r="G3460" i="25"/>
  <c r="G1553" i="25"/>
  <c r="G2237" i="25"/>
  <c r="G2741" i="25"/>
  <c r="G3189" i="25"/>
  <c r="G3701" i="25"/>
  <c r="G3678" i="25"/>
  <c r="G3167" i="25"/>
  <c r="G3679" i="25"/>
  <c r="G3826" i="25"/>
  <c r="G3603" i="25"/>
  <c r="G2544" i="25"/>
  <c r="G2906" i="25"/>
  <c r="G3324" i="25"/>
  <c r="G1781" i="25"/>
  <c r="G2721" i="25"/>
  <c r="G3649" i="25"/>
  <c r="G3978" i="25"/>
  <c r="G3899" i="25"/>
  <c r="G297" i="25"/>
  <c r="G1575" i="25"/>
  <c r="G912" i="25"/>
  <c r="G2448" i="25"/>
  <c r="G1337" i="25"/>
  <c r="G1978" i="25"/>
  <c r="G3514" i="25"/>
  <c r="G2764" i="25"/>
  <c r="G3228" i="25"/>
  <c r="G3740" i="25"/>
  <c r="G1665" i="25"/>
  <c r="G2093" i="25"/>
  <c r="G2605" i="25"/>
  <c r="G2953" i="25"/>
  <c r="G3273" i="25"/>
  <c r="G3657" i="25"/>
  <c r="G3522" i="25"/>
  <c r="G3347" i="25"/>
  <c r="G786" i="25"/>
  <c r="G1288" i="25"/>
  <c r="G2522" i="25"/>
  <c r="G3836" i="25"/>
  <c r="G2849" i="25"/>
  <c r="G3953" i="25"/>
  <c r="G3867" i="25"/>
  <c r="G57" i="25"/>
  <c r="G1335" i="25"/>
  <c r="G928" i="25"/>
  <c r="G2208" i="25"/>
  <c r="G1097" i="25"/>
  <c r="G1994" i="25"/>
  <c r="G3274" i="25"/>
  <c r="G2987" i="25"/>
  <c r="G3236" i="25"/>
  <c r="G3660" i="25"/>
  <c r="G1585" i="25"/>
  <c r="G2097" i="25"/>
  <c r="G2525" i="25"/>
  <c r="G2893" i="25"/>
  <c r="G3277" i="25"/>
  <c r="G3597" i="25"/>
  <c r="G3917" i="25"/>
  <c r="G3830" i="25"/>
  <c r="G3255" i="25"/>
  <c r="G3575" i="25"/>
  <c r="G3959" i="25"/>
  <c r="G1799" i="25"/>
  <c r="G858" i="25"/>
  <c r="G3368" i="25"/>
  <c r="G2445" i="25"/>
  <c r="G3601" i="25"/>
  <c r="G3515" i="25"/>
  <c r="G175" i="25"/>
  <c r="G276" i="25"/>
  <c r="G662" i="25"/>
  <c r="G141" i="25"/>
  <c r="G461" i="25"/>
  <c r="G843" i="25"/>
  <c r="G1163" i="25"/>
  <c r="G1483" i="25"/>
  <c r="G1867" i="25"/>
  <c r="G242" i="25"/>
  <c r="G564" i="25"/>
  <c r="G948" i="25"/>
  <c r="G1264" i="25"/>
  <c r="G1588" i="25"/>
  <c r="G1972" i="25"/>
  <c r="G2292" i="25"/>
  <c r="G2612" i="25"/>
  <c r="G605" i="25"/>
  <c r="G925" i="25"/>
  <c r="G1245" i="25"/>
  <c r="G990" i="25"/>
  <c r="G1310" i="25"/>
  <c r="G1630" i="25"/>
  <c r="G2014" i="25"/>
  <c r="G2334" i="25"/>
  <c r="G2654" i="25"/>
  <c r="G3038" i="25"/>
  <c r="G3358" i="25"/>
  <c r="G2111" i="25"/>
  <c r="G2495" i="25"/>
  <c r="G2815" i="25"/>
  <c r="G2672" i="25"/>
  <c r="G3056" i="25"/>
  <c r="G3376" i="25"/>
  <c r="G3696" i="25"/>
  <c r="G1577" i="25"/>
  <c r="G1897" i="25"/>
  <c r="G2217" i="25"/>
  <c r="G2601" i="25"/>
  <c r="G211" i="25"/>
  <c r="G296" i="25"/>
  <c r="H296" i="25" s="1"/>
  <c r="G810" i="25"/>
  <c r="G289" i="25"/>
  <c r="G607" i="25"/>
  <c r="G991" i="25"/>
  <c r="G1311" i="25"/>
  <c r="G1631" i="25"/>
  <c r="G70" i="25"/>
  <c r="G390" i="25"/>
  <c r="G712" i="25"/>
  <c r="G1092" i="25"/>
  <c r="G1416" i="25"/>
  <c r="G1736" i="25"/>
  <c r="G2120" i="25"/>
  <c r="G2440" i="25"/>
  <c r="G371" i="25"/>
  <c r="G753" i="25"/>
  <c r="G1814" i="25"/>
  <c r="G1525" i="25"/>
  <c r="G3554" i="25"/>
  <c r="G2733" i="25"/>
  <c r="G1387" i="25"/>
  <c r="G1470" i="25"/>
  <c r="G2015" i="25"/>
  <c r="G3344" i="25"/>
  <c r="G2633" i="25"/>
  <c r="G703" i="25"/>
  <c r="G552" i="25"/>
  <c r="G2344" i="25"/>
  <c r="G1234" i="25"/>
  <c r="G3026" i="25"/>
  <c r="G2788" i="25"/>
  <c r="G723" i="25"/>
  <c r="G572" i="25"/>
  <c r="G2364" i="25"/>
  <c r="G1190" i="25"/>
  <c r="G2982" i="25"/>
  <c r="G2744" i="25"/>
  <c r="G1322" i="25"/>
  <c r="G1533" i="25"/>
  <c r="G3621" i="25"/>
  <c r="G3791" i="25"/>
  <c r="G537" i="25"/>
  <c r="G2657" i="25"/>
  <c r="G233" i="25"/>
  <c r="G1273" i="25"/>
  <c r="G3208" i="25"/>
  <c r="G2581" i="25"/>
  <c r="G3977" i="25"/>
  <c r="G2202" i="25"/>
  <c r="G3819" i="25"/>
  <c r="G2144" i="25"/>
  <c r="G2923" i="25"/>
  <c r="G2077" i="25"/>
  <c r="G3581" i="25"/>
  <c r="G3559" i="25"/>
  <c r="G3284" i="25"/>
  <c r="G159" i="25"/>
  <c r="G445" i="25"/>
  <c r="G1403" i="25"/>
  <c r="G1851" i="25"/>
  <c r="G418" i="25"/>
  <c r="G804" i="25"/>
  <c r="G1248" i="25"/>
  <c r="G1764" i="25"/>
  <c r="G2212" i="25"/>
  <c r="G2596" i="25"/>
  <c r="G717" i="25"/>
  <c r="G1165" i="25"/>
  <c r="G974" i="25"/>
  <c r="G1486" i="25"/>
  <c r="G1870" i="25"/>
  <c r="G2318" i="25"/>
  <c r="G2830" i="25"/>
  <c r="G3278" i="25"/>
  <c r="G2095" i="25"/>
  <c r="G2607" i="25"/>
  <c r="G3055" i="25"/>
  <c r="G3040" i="25"/>
  <c r="G3552" i="25"/>
  <c r="G3936" i="25"/>
  <c r="G1881" i="25"/>
  <c r="G2393" i="25"/>
  <c r="G131" i="25"/>
  <c r="G280" i="25"/>
  <c r="G794" i="25"/>
  <c r="G401" i="25"/>
  <c r="G847" i="25"/>
  <c r="G1359" i="25"/>
  <c r="G1743" i="25"/>
  <c r="G246" i="25"/>
  <c r="G760" i="25"/>
  <c r="G1204" i="25"/>
  <c r="G1592" i="25"/>
  <c r="G2104" i="25"/>
  <c r="G2552" i="25"/>
  <c r="G609" i="25"/>
  <c r="G1121" i="25"/>
  <c r="G866" i="25"/>
  <c r="G1314" i="25"/>
  <c r="G1826" i="25"/>
  <c r="G2274" i="25"/>
  <c r="G2658" i="25"/>
  <c r="G3170" i="25"/>
  <c r="G2051" i="25"/>
  <c r="G2499" i="25"/>
  <c r="G3011" i="25"/>
  <c r="G87" i="25"/>
  <c r="H87" i="25" s="1"/>
  <c r="G300" i="25"/>
  <c r="H300" i="25" s="1"/>
  <c r="G814" i="25"/>
  <c r="G421" i="25"/>
  <c r="G803" i="25"/>
  <c r="G1315" i="25"/>
  <c r="G1763" i="25"/>
  <c r="G266" i="25"/>
  <c r="G780" i="25"/>
  <c r="G1160" i="25"/>
  <c r="G1612" i="25"/>
  <c r="G2124" i="25"/>
  <c r="G2572" i="25"/>
  <c r="G565" i="25"/>
  <c r="G1077" i="25"/>
  <c r="G886" i="25"/>
  <c r="G1334" i="25"/>
  <c r="G1846" i="25"/>
  <c r="G2230" i="25"/>
  <c r="G2678" i="25"/>
  <c r="G3190" i="25"/>
  <c r="G2071" i="25"/>
  <c r="G2455" i="25"/>
  <c r="G2967" i="25"/>
  <c r="G288" i="25"/>
  <c r="G1239" i="25"/>
  <c r="G1344" i="25"/>
  <c r="G489" i="25"/>
  <c r="G1642" i="25"/>
  <c r="G2123" i="25"/>
  <c r="G3032" i="25"/>
  <c r="G3544" i="25"/>
  <c r="G1725" i="25"/>
  <c r="G2321" i="25"/>
  <c r="G2869" i="25"/>
  <c r="G3381" i="25"/>
  <c r="G3765" i="25"/>
  <c r="G3742" i="25"/>
  <c r="G3359" i="25"/>
  <c r="G3807" i="25"/>
  <c r="G3922" i="25"/>
  <c r="G3795" i="25"/>
  <c r="G665" i="25"/>
  <c r="G2491" i="25"/>
  <c r="G3540" i="25"/>
  <c r="G1973" i="25"/>
  <c r="G3041" i="25"/>
  <c r="G3809" i="25"/>
  <c r="G3275" i="25"/>
  <c r="G108" i="25"/>
  <c r="G551" i="25"/>
  <c r="G1831" i="25"/>
  <c r="G1424" i="25"/>
  <c r="G315" i="25"/>
  <c r="H315" i="25" s="1"/>
  <c r="G954" i="25"/>
  <c r="G2490" i="25"/>
  <c r="G2203" i="25"/>
  <c r="G2888" i="25"/>
  <c r="G3400" i="25"/>
  <c r="G3828" i="25"/>
  <c r="G1749" i="25"/>
  <c r="G2261" i="25"/>
  <c r="G2689" i="25"/>
  <c r="G3017" i="25"/>
  <c r="G3401" i="25"/>
  <c r="G3737" i="25"/>
  <c r="G3586" i="25"/>
  <c r="G3731" i="25"/>
  <c r="G519" i="25"/>
  <c r="G1904" i="25"/>
  <c r="G2811" i="25"/>
  <c r="G1677" i="25"/>
  <c r="G3057" i="25"/>
  <c r="G3898" i="25"/>
  <c r="G107" i="25"/>
  <c r="G313" i="25"/>
  <c r="H313" i="25" s="1"/>
  <c r="G1847" i="25"/>
  <c r="G1180" i="25"/>
  <c r="G2464" i="25"/>
  <c r="G970" i="25"/>
  <c r="G2250" i="25"/>
  <c r="G1995" i="25"/>
  <c r="G425" i="25"/>
  <c r="G1825" i="25"/>
  <c r="G3159" i="25"/>
  <c r="G1300" i="25"/>
  <c r="G2110" i="25"/>
  <c r="G2463" i="25"/>
  <c r="G3792" i="25"/>
  <c r="G200" i="25"/>
  <c r="G1151" i="25"/>
  <c r="G1000" i="25"/>
  <c r="G467" i="25"/>
  <c r="G1618" i="25"/>
  <c r="G3410" i="25"/>
  <c r="G220" i="25"/>
  <c r="G1171" i="25"/>
  <c r="G1020" i="25"/>
  <c r="G485" i="25"/>
  <c r="G1638" i="25"/>
  <c r="G3430" i="25"/>
  <c r="G663" i="25"/>
  <c r="G2858" i="25"/>
  <c r="G2045" i="25"/>
  <c r="G3662" i="25"/>
  <c r="G3794" i="25"/>
  <c r="G2842" i="25"/>
  <c r="G3617" i="25"/>
  <c r="G1511" i="25"/>
  <c r="G1914" i="25"/>
  <c r="G3720" i="25"/>
  <c r="G2937" i="25"/>
  <c r="G3299" i="25"/>
  <c r="G3772" i="25"/>
  <c r="G834" i="25"/>
  <c r="G1033" i="25"/>
  <c r="G3212" i="25"/>
  <c r="G2501" i="25"/>
  <c r="G3901" i="25"/>
  <c r="G3943" i="25"/>
  <c r="G2381" i="25"/>
  <c r="G260" i="25"/>
  <c r="G827" i="25"/>
  <c r="G1467" i="25"/>
  <c r="G34" i="25"/>
  <c r="G484" i="25"/>
  <c r="G932" i="25"/>
  <c r="G1444" i="25"/>
  <c r="G1828" i="25"/>
  <c r="G2276" i="25"/>
  <c r="G399" i="25"/>
  <c r="G845" i="25"/>
  <c r="G1229" i="25"/>
  <c r="G1102" i="25"/>
  <c r="G1550" i="25"/>
  <c r="G1998" i="25"/>
  <c r="G2510" i="25"/>
  <c r="G2894" i="25"/>
  <c r="G3342" i="25"/>
  <c r="G2287" i="25"/>
  <c r="G2735" i="25"/>
  <c r="G2656" i="25"/>
  <c r="G3168" i="25"/>
  <c r="G3616" i="25"/>
  <c r="G1561" i="25"/>
  <c r="G2073" i="25"/>
  <c r="G2457" i="25"/>
  <c r="G195" i="25"/>
  <c r="G474" i="25"/>
  <c r="G81" i="25"/>
  <c r="G465" i="25"/>
  <c r="H465" i="25" s="1"/>
  <c r="G975" i="25"/>
  <c r="G1423" i="25"/>
  <c r="G1871" i="25"/>
  <c r="G438" i="25"/>
  <c r="H438" i="25" s="1"/>
  <c r="G824" i="25"/>
  <c r="G1268" i="25"/>
  <c r="G1784" i="25"/>
  <c r="G2232" i="25"/>
  <c r="G2616" i="25"/>
  <c r="G737" i="25"/>
  <c r="G1185" i="25"/>
  <c r="G994" i="25"/>
  <c r="G1506" i="25"/>
  <c r="G1890" i="25"/>
  <c r="G2338" i="25"/>
  <c r="G2850" i="25"/>
  <c r="G3298" i="25"/>
  <c r="G2115" i="25"/>
  <c r="G2627" i="25"/>
  <c r="G3075" i="25"/>
  <c r="G215" i="25"/>
  <c r="G494" i="25"/>
  <c r="G37" i="25"/>
  <c r="G483" i="25"/>
  <c r="G995" i="25"/>
  <c r="G1443" i="25"/>
  <c r="G1827" i="25"/>
  <c r="G394" i="25"/>
  <c r="G844" i="25"/>
  <c r="G1292" i="25"/>
  <c r="G1804" i="25"/>
  <c r="G2188" i="25"/>
  <c r="G247" i="25"/>
  <c r="G757" i="25"/>
  <c r="G1205" i="25"/>
  <c r="G950" i="25"/>
  <c r="G1462" i="25"/>
  <c r="G1910" i="25"/>
  <c r="G2358" i="25"/>
  <c r="G2870" i="25"/>
  <c r="G3254" i="25"/>
  <c r="G2135" i="25"/>
  <c r="G2647" i="25"/>
  <c r="G2632" i="25"/>
  <c r="G546" i="25"/>
  <c r="G1751" i="25"/>
  <c r="G1600" i="25"/>
  <c r="G1001" i="25"/>
  <c r="G2410" i="25"/>
  <c r="G2379" i="25"/>
  <c r="G3116" i="25"/>
  <c r="G3800" i="25"/>
  <c r="G1893" i="25"/>
  <c r="G2405" i="25"/>
  <c r="G2997" i="25"/>
  <c r="G3445" i="25"/>
  <c r="G3893" i="25"/>
  <c r="G3934" i="25"/>
  <c r="G3423" i="25"/>
  <c r="G3871" i="25"/>
  <c r="G3315" i="25"/>
  <c r="G3971" i="25"/>
  <c r="G1305" i="25"/>
  <c r="G2668" i="25"/>
  <c r="G3732" i="25"/>
  <c r="G2337" i="25"/>
  <c r="G3201" i="25"/>
  <c r="G3969" i="25"/>
  <c r="G3595" i="25"/>
  <c r="G368" i="25"/>
  <c r="G807" i="25"/>
  <c r="G398" i="25"/>
  <c r="G1680" i="25"/>
  <c r="G569" i="25"/>
  <c r="G1466" i="25"/>
  <c r="G2746" i="25"/>
  <c r="G2459" i="25"/>
  <c r="G3060" i="25"/>
  <c r="G3484" i="25"/>
  <c r="G3912" i="25"/>
  <c r="G1921" i="25"/>
  <c r="G2349" i="25"/>
  <c r="G2761" i="25"/>
  <c r="G3145" i="25"/>
  <c r="G3465" i="25"/>
  <c r="G3801" i="25"/>
  <c r="G3858" i="25"/>
  <c r="G3923" i="25"/>
  <c r="G1031" i="25"/>
  <c r="G1241" i="25"/>
  <c r="G2964" i="25"/>
  <c r="G1997" i="25"/>
  <c r="G3505" i="25"/>
  <c r="G3195" i="25"/>
  <c r="G128" i="25"/>
  <c r="G823" i="25"/>
  <c r="G158" i="25"/>
  <c r="G1440" i="25"/>
  <c r="G585" i="25"/>
  <c r="G1226" i="25"/>
  <c r="G44" i="18"/>
  <c r="E44" i="18" s="1"/>
  <c r="E60" i="18" s="1"/>
  <c r="G3665" i="25"/>
  <c r="G3165" i="25"/>
  <c r="G3467" i="25"/>
  <c r="G3932" i="25"/>
  <c r="G3393" i="25"/>
  <c r="G2085" i="25"/>
  <c r="G2727" i="25"/>
  <c r="G1093" i="25"/>
  <c r="G1843" i="25"/>
  <c r="G380" i="25"/>
  <c r="G3910" i="25"/>
  <c r="G1143" i="25"/>
  <c r="G1818" i="25"/>
  <c r="G3538" i="25"/>
  <c r="G2369" i="25"/>
  <c r="G3164" i="25"/>
  <c r="G1401" i="25"/>
  <c r="G432" i="25"/>
  <c r="H432" i="25" s="1"/>
  <c r="G2573" i="25"/>
  <c r="G793" i="25"/>
  <c r="G3631" i="25"/>
  <c r="G3717" i="25"/>
  <c r="G2341" i="25"/>
  <c r="G2748" i="25"/>
  <c r="G299" i="25"/>
  <c r="H299" i="25" s="1"/>
  <c r="G352" i="25"/>
  <c r="G3462" i="25"/>
  <c r="G2182" i="25"/>
  <c r="G902" i="25"/>
  <c r="G2396" i="25"/>
  <c r="G1112" i="25"/>
  <c r="G1779" i="25"/>
  <c r="G245" i="25"/>
  <c r="G39" i="25"/>
  <c r="G3591" i="25"/>
  <c r="G1504" i="25"/>
  <c r="G3289" i="25"/>
  <c r="G871" i="25"/>
  <c r="G3183" i="25"/>
  <c r="G1962" i="25"/>
  <c r="G2502" i="25"/>
  <c r="G1692" i="25"/>
  <c r="G819" i="25"/>
  <c r="G2549" i="25"/>
  <c r="G3000" i="25"/>
  <c r="G3975" i="25"/>
  <c r="G2058" i="25"/>
  <c r="G2285" i="25"/>
  <c r="G3388" i="25"/>
  <c r="G3694" i="25"/>
  <c r="G2257" i="25"/>
  <c r="G3052" i="25"/>
  <c r="G1065" i="25"/>
  <c r="G92" i="25"/>
  <c r="G2087" i="25"/>
  <c r="G2374" i="25"/>
  <c r="G1477" i="25"/>
  <c r="G2588" i="25"/>
  <c r="G1308" i="25"/>
  <c r="G1715" i="25"/>
  <c r="G437" i="25"/>
  <c r="G231" i="25"/>
  <c r="G2836" i="25"/>
  <c r="G2629" i="25"/>
  <c r="G1161" i="25"/>
  <c r="G1159" i="25"/>
  <c r="G1773" i="25"/>
  <c r="G1895" i="25"/>
  <c r="G3427" i="25"/>
  <c r="G3013" i="25"/>
  <c r="G938" i="25"/>
  <c r="G3014" i="25"/>
  <c r="G2899" i="25"/>
  <c r="G722" i="25"/>
  <c r="G1861" i="25"/>
  <c r="G222" i="25"/>
  <c r="G3217" i="25"/>
  <c r="G3463" i="25"/>
  <c r="G3037" i="25"/>
  <c r="G3596" i="25"/>
  <c r="G2016" i="25"/>
  <c r="G3569" i="25"/>
  <c r="G73" i="25"/>
  <c r="G2625" i="25"/>
  <c r="G3035" i="25"/>
  <c r="G1488" i="25"/>
  <c r="G3089" i="25"/>
  <c r="G283" i="25"/>
  <c r="G3141" i="25"/>
  <c r="G2074" i="25"/>
  <c r="G3399" i="25"/>
  <c r="G3485" i="25"/>
  <c r="G1693" i="25"/>
  <c r="G2283" i="25"/>
  <c r="G1760" i="25"/>
  <c r="G3738" i="25"/>
  <c r="G729" i="25"/>
  <c r="G3881" i="25"/>
  <c r="G2197" i="25"/>
  <c r="G2996" i="25"/>
  <c r="G889" i="25"/>
  <c r="G155" i="25"/>
  <c r="G2189" i="25"/>
  <c r="G2096" i="25"/>
  <c r="G3503" i="25"/>
  <c r="G3589" i="25"/>
  <c r="G2173" i="25"/>
  <c r="G2699" i="25"/>
  <c r="G2176" i="25"/>
  <c r="G75" i="25"/>
  <c r="G3334" i="25"/>
  <c r="G2054" i="25"/>
  <c r="G1413" i="25"/>
  <c r="G2268" i="25"/>
  <c r="G988" i="25"/>
  <c r="G1651" i="25"/>
  <c r="G117" i="25"/>
  <c r="G2756" i="25"/>
  <c r="G2643" i="25"/>
  <c r="G2259" i="25"/>
  <c r="G3506" i="25"/>
  <c r="G3186" i="25"/>
  <c r="G2802" i="25"/>
  <c r="G2482" i="25"/>
  <c r="G2162" i="25"/>
  <c r="G1778" i="25"/>
  <c r="G1458" i="25"/>
  <c r="G1138" i="25"/>
  <c r="G1393" i="25"/>
  <c r="G1073" i="25"/>
  <c r="G625" i="25"/>
  <c r="G243" i="25"/>
  <c r="G2184" i="25"/>
  <c r="G1672" i="25"/>
  <c r="G1220" i="25"/>
  <c r="G840" i="25"/>
  <c r="G326" i="25"/>
  <c r="G1823" i="25"/>
  <c r="G1375" i="25"/>
  <c r="G863" i="25"/>
  <c r="G479" i="25"/>
  <c r="G33" i="25"/>
  <c r="G232" i="25"/>
  <c r="G19" i="25"/>
  <c r="G2345" i="25"/>
  <c r="G1833" i="25"/>
  <c r="G3888" i="25"/>
  <c r="G3440" i="25"/>
  <c r="G2928" i="25"/>
  <c r="G3007" i="25"/>
  <c r="G2559" i="25"/>
  <c r="G2047" i="25"/>
  <c r="G3166" i="25"/>
  <c r="G2782" i="25"/>
  <c r="G2270" i="25"/>
  <c r="G1822" i="25"/>
  <c r="G1374" i="25"/>
  <c r="G862" i="25"/>
  <c r="G1117" i="25"/>
  <c r="G669" i="25"/>
  <c r="G2548" i="25"/>
  <c r="G2100" i="25"/>
  <c r="G1716" i="25"/>
  <c r="G1200" i="25"/>
  <c r="G756" i="25"/>
  <c r="G306" i="25"/>
  <c r="H306" i="25" s="1"/>
  <c r="G1739" i="25"/>
  <c r="G1355" i="25"/>
  <c r="G907" i="25"/>
  <c r="G397" i="25"/>
  <c r="G790" i="25"/>
  <c r="G404" i="25"/>
  <c r="G111" i="25"/>
  <c r="G3802" i="25"/>
  <c r="G2769" i="25"/>
  <c r="G3003" i="25"/>
  <c r="G2032" i="25"/>
  <c r="G594" i="25"/>
  <c r="G3511" i="25"/>
  <c r="G3958" i="25"/>
  <c r="G3574" i="25"/>
  <c r="G3533" i="25"/>
  <c r="G3085" i="25"/>
  <c r="G2609" i="25"/>
  <c r="G1925" i="25"/>
  <c r="G3916" i="25"/>
  <c r="G3320" i="25"/>
  <c r="G2731" i="25"/>
  <c r="G2506" i="25"/>
  <c r="G414" i="25"/>
  <c r="G3729" i="25"/>
  <c r="G238" i="25"/>
  <c r="G3529" i="25"/>
  <c r="G2005" i="25"/>
  <c r="G2971" i="25"/>
  <c r="G1936" i="25"/>
  <c r="G3755" i="25"/>
  <c r="G1613" i="25"/>
  <c r="G3395" i="25"/>
  <c r="G3550" i="25"/>
  <c r="G1981" i="25"/>
  <c r="G2666" i="25"/>
  <c r="G472" i="25"/>
  <c r="G3382" i="25"/>
  <c r="G1590" i="25"/>
  <c r="G439" i="25"/>
  <c r="H439" i="25" s="1"/>
  <c r="G908" i="25"/>
  <c r="G1059" i="25"/>
  <c r="G104" i="25"/>
  <c r="G3362" i="25"/>
  <c r="G1570" i="25"/>
  <c r="G419" i="25"/>
  <c r="G952" i="25"/>
  <c r="G1103" i="25"/>
  <c r="G152" i="25"/>
  <c r="G3680" i="25"/>
  <c r="G2351" i="25"/>
  <c r="G2126" i="25"/>
  <c r="G909" i="25"/>
  <c r="G1508" i="25"/>
  <c r="G1659" i="25"/>
  <c r="G1671" i="25"/>
  <c r="G1930" i="25"/>
  <c r="G3257" i="25"/>
  <c r="G3930" i="25"/>
  <c r="G2725" i="25"/>
  <c r="G2086" i="25"/>
  <c r="G606" i="25"/>
  <c r="G1512" i="25"/>
  <c r="G2847" i="25"/>
  <c r="G286" i="25"/>
  <c r="G1050" i="25"/>
  <c r="G3428" i="25"/>
  <c r="G3348" i="25"/>
  <c r="G2523" i="25"/>
  <c r="G3827" i="25"/>
  <c r="G3224" i="25"/>
  <c r="G1959" i="25"/>
  <c r="G1948" i="25"/>
  <c r="G1331" i="25"/>
  <c r="G103" i="25"/>
  <c r="G2205" i="25"/>
  <c r="G171" i="25"/>
  <c r="G1260" i="25"/>
  <c r="G3481" i="25"/>
  <c r="G2029" i="25"/>
  <c r="G2824" i="25"/>
  <c r="G1744" i="25"/>
  <c r="G3771" i="25"/>
  <c r="G1845" i="25"/>
  <c r="G3715" i="25"/>
  <c r="G3375" i="25"/>
  <c r="G3461" i="25"/>
  <c r="G1661" i="25"/>
  <c r="G2187" i="25"/>
  <c r="G1664" i="25"/>
  <c r="G2919" i="25"/>
  <c r="G3206" i="25"/>
  <c r="G1926" i="25"/>
  <c r="G1029" i="25"/>
  <c r="G2140" i="25"/>
  <c r="G860" i="25"/>
  <c r="G1267" i="25"/>
  <c r="G830" i="25"/>
  <c r="G2628" i="25"/>
  <c r="G2909" i="25"/>
  <c r="G377" i="25"/>
  <c r="G2113" i="25"/>
  <c r="G2017" i="25"/>
  <c r="G3781" i="25"/>
  <c r="G896" i="25"/>
  <c r="G966" i="25"/>
  <c r="G1176" i="25"/>
  <c r="G309" i="25"/>
  <c r="G3271" i="25"/>
  <c r="G2314" i="25"/>
  <c r="G3846" i="25"/>
  <c r="G3946" i="25"/>
  <c r="G3080" i="25"/>
  <c r="G1607" i="25"/>
  <c r="G3653" i="25"/>
  <c r="G1917" i="25"/>
  <c r="G2955" i="25"/>
  <c r="G1408" i="25"/>
  <c r="G2648" i="25"/>
  <c r="G3398" i="25"/>
  <c r="G1862" i="25"/>
  <c r="G1221" i="25"/>
  <c r="G2332" i="25"/>
  <c r="G796" i="25"/>
  <c r="G1459" i="25"/>
  <c r="G181" i="25"/>
  <c r="G3027" i="25"/>
  <c r="G329" i="25"/>
  <c r="G1949" i="25"/>
  <c r="G192" i="25"/>
  <c r="G3602" i="25"/>
  <c r="G3592" i="25"/>
  <c r="G3985" i="25"/>
  <c r="G3951" i="25"/>
  <c r="G2429" i="25"/>
  <c r="G1815" i="25"/>
  <c r="G2246" i="25"/>
  <c r="G3787" i="25"/>
  <c r="G3654" i="25"/>
  <c r="G3684" i="25"/>
  <c r="G121" i="25"/>
  <c r="G3034" i="25"/>
  <c r="G3207" i="25"/>
  <c r="G2781" i="25"/>
  <c r="G2539" i="25"/>
  <c r="G992" i="25"/>
  <c r="G2677" i="25"/>
  <c r="G3945" i="25"/>
  <c r="G1941" i="25"/>
  <c r="G2011" i="25"/>
  <c r="G361" i="25"/>
  <c r="G2357" i="25"/>
  <c r="G3619" i="25"/>
  <c r="G3873" i="25"/>
  <c r="G1392" i="25"/>
  <c r="G3143" i="25"/>
  <c r="G2973" i="25"/>
  <c r="G3852" i="25"/>
  <c r="G2826" i="25"/>
  <c r="G1655" i="25"/>
  <c r="G3361" i="25"/>
  <c r="G1735" i="25"/>
  <c r="G3353" i="25"/>
  <c r="G1857" i="25"/>
  <c r="G2779" i="25"/>
  <c r="G1228" i="25"/>
  <c r="G3483" i="25"/>
  <c r="G3964" i="25"/>
  <c r="G3523" i="25"/>
  <c r="G3247" i="25"/>
  <c r="G3333" i="25"/>
  <c r="G1489" i="25"/>
  <c r="G3242" i="25"/>
  <c r="G1148" i="25"/>
  <c r="G2791" i="25"/>
  <c r="G3078" i="25"/>
  <c r="G1798" i="25"/>
  <c r="G901" i="25"/>
  <c r="G2012" i="25"/>
  <c r="G732" i="25"/>
  <c r="G1139" i="25"/>
  <c r="G702" i="25"/>
  <c r="G2963" i="25"/>
  <c r="G2515" i="25"/>
  <c r="G2195" i="25"/>
  <c r="G3442" i="25"/>
  <c r="G3058" i="25"/>
  <c r="G2738" i="25"/>
  <c r="G2418" i="25"/>
  <c r="G2034" i="25"/>
  <c r="G1714" i="25"/>
  <c r="G1394" i="25"/>
  <c r="G1010" i="25"/>
  <c r="G1329" i="25"/>
  <c r="G1009" i="25"/>
  <c r="G561" i="25"/>
  <c r="G2504" i="25"/>
  <c r="G1992" i="25"/>
  <c r="G1608" i="25"/>
  <c r="G1156" i="25"/>
  <c r="G648" i="25"/>
  <c r="G198" i="25"/>
  <c r="G1759" i="25"/>
  <c r="G1247" i="25"/>
  <c r="G799" i="25"/>
  <c r="G353" i="25"/>
  <c r="G554" i="25"/>
  <c r="G168" i="25"/>
  <c r="G2665" i="25"/>
  <c r="G2153" i="25"/>
  <c r="G1705" i="25"/>
  <c r="G3824" i="25"/>
  <c r="G3312" i="25"/>
  <c r="G2864" i="25"/>
  <c r="G2879" i="25"/>
  <c r="G2367" i="25"/>
  <c r="G1983" i="25"/>
  <c r="G3102" i="25"/>
  <c r="G2590" i="25"/>
  <c r="G2142" i="25"/>
  <c r="G1758" i="25"/>
  <c r="G1246" i="25"/>
  <c r="G1437" i="25"/>
  <c r="G989" i="25"/>
  <c r="G477" i="25"/>
  <c r="G2484" i="25"/>
  <c r="G2036" i="25"/>
  <c r="G1524" i="25"/>
  <c r="G1072" i="25"/>
  <c r="G692" i="25"/>
  <c r="G178" i="25"/>
  <c r="G1675" i="25"/>
  <c r="G1227" i="25"/>
  <c r="G715" i="25"/>
  <c r="G333" i="25"/>
  <c r="G726" i="25"/>
  <c r="G212" i="25"/>
  <c r="G3947" i="25"/>
  <c r="G3610" i="25"/>
  <c r="G2125" i="25"/>
  <c r="G2235" i="25"/>
  <c r="G430" i="25"/>
  <c r="G3831" i="25"/>
  <c r="G3447" i="25"/>
  <c r="G3894" i="25"/>
  <c r="G3853" i="25"/>
  <c r="G3405" i="25"/>
  <c r="G3021" i="25"/>
  <c r="G2437" i="25"/>
  <c r="G1841" i="25"/>
  <c r="G3748" i="25"/>
  <c r="G3064" i="25"/>
  <c r="G2475" i="25"/>
  <c r="G1482" i="25"/>
  <c r="G1079" i="25"/>
  <c r="G2593" i="25"/>
  <c r="G76" i="25"/>
  <c r="G3209" i="25"/>
  <c r="G1581" i="25"/>
  <c r="G3002" i="25"/>
  <c r="G656" i="25"/>
  <c r="G3818" i="25"/>
  <c r="G2940" i="25"/>
  <c r="G3730" i="25"/>
  <c r="G3509" i="25"/>
  <c r="G3884" i="25"/>
  <c r="G874" i="25"/>
  <c r="G2696" i="25"/>
  <c r="G2934" i="25"/>
  <c r="G1142" i="25"/>
  <c r="G2316" i="25"/>
  <c r="G524" i="25"/>
  <c r="G675" i="25"/>
  <c r="G2676" i="25"/>
  <c r="G2914" i="25"/>
  <c r="G1122" i="25"/>
  <c r="G2296" i="25"/>
  <c r="G504" i="25"/>
  <c r="G655" i="25"/>
  <c r="G2585" i="25"/>
  <c r="G3296" i="25"/>
  <c r="G1967" i="25"/>
  <c r="G1614" i="25"/>
  <c r="G463" i="25"/>
  <c r="H463" i="25" s="1"/>
  <c r="G1060" i="25"/>
  <c r="G1147" i="25"/>
  <c r="G3814" i="25"/>
  <c r="G1271" i="25"/>
  <c r="G1645" i="25"/>
  <c r="G3260" i="25"/>
  <c r="G3083" i="25"/>
  <c r="G933" i="25"/>
  <c r="G2355" i="25"/>
  <c r="G1599" i="25"/>
  <c r="G2622" i="25"/>
  <c r="G2618" i="25"/>
  <c r="H12" i="18"/>
  <c r="G3974" i="25"/>
  <c r="G2027" i="25"/>
  <c r="G144" i="25"/>
  <c r="G976" i="25"/>
  <c r="G3695" i="25"/>
  <c r="G2986" i="25"/>
  <c r="G1990" i="25"/>
  <c r="G1436" i="25"/>
  <c r="G1075" i="25"/>
  <c r="G2427" i="25"/>
  <c r="G3340" i="25"/>
  <c r="G3777" i="25"/>
  <c r="G123" i="25"/>
  <c r="G3225" i="25"/>
  <c r="G1685" i="25"/>
  <c r="G2810" i="25"/>
  <c r="G720" i="25"/>
  <c r="G3131" i="25"/>
  <c r="G2796" i="25"/>
  <c r="G3331" i="25"/>
  <c r="G3119" i="25"/>
  <c r="G2949" i="25"/>
  <c r="G3820" i="25"/>
  <c r="G2730" i="25"/>
  <c r="G1559" i="25"/>
  <c r="G2663" i="25"/>
  <c r="G2950" i="25"/>
  <c r="G1414" i="25"/>
  <c r="G773" i="25"/>
  <c r="G1884" i="25"/>
  <c r="G346" i="25"/>
  <c r="G1011" i="25"/>
  <c r="G574" i="25"/>
  <c r="G2817" i="25"/>
  <c r="G1605" i="25"/>
  <c r="G3137" i="25"/>
  <c r="G3066" i="25"/>
  <c r="G3098" i="25"/>
  <c r="G2757" i="25"/>
  <c r="G2983" i="25"/>
  <c r="G837" i="25"/>
  <c r="G668" i="25"/>
  <c r="G124" i="25"/>
  <c r="G3869" i="25"/>
  <c r="G1244" i="25"/>
  <c r="G2117" i="25"/>
  <c r="G3067" i="25"/>
  <c r="G1530" i="25"/>
  <c r="G3311" i="25"/>
  <c r="G3397" i="25"/>
  <c r="G1573" i="25"/>
  <c r="G2474" i="25"/>
  <c r="G382" i="25"/>
  <c r="G2855" i="25"/>
  <c r="G2886" i="25"/>
  <c r="G1606" i="25"/>
  <c r="G965" i="25"/>
  <c r="G1820" i="25"/>
  <c r="G540" i="25"/>
  <c r="G1203" i="25"/>
  <c r="G510" i="25"/>
  <c r="G682" i="25"/>
  <c r="G3335" i="25"/>
  <c r="G3051" i="25"/>
  <c r="G3530" i="25"/>
  <c r="G3817" i="25"/>
  <c r="G2042" i="25"/>
  <c r="G2753" i="25"/>
  <c r="G3439" i="25"/>
  <c r="G3564" i="25"/>
  <c r="G2776" i="25"/>
  <c r="G1478" i="25"/>
  <c r="G3752" i="25"/>
  <c r="G3613" i="25"/>
  <c r="G2795" i="25"/>
  <c r="G3579" i="25"/>
  <c r="G2288" i="25"/>
  <c r="G3590" i="25"/>
  <c r="G1777" i="25"/>
  <c r="G3082" i="25"/>
  <c r="G887" i="25"/>
  <c r="G922" i="25"/>
  <c r="G3673" i="25"/>
  <c r="G1601" i="25"/>
  <c r="G1145" i="25"/>
  <c r="G176" i="25"/>
  <c r="G1633" i="25"/>
  <c r="G3823" i="25"/>
  <c r="G3025" i="25"/>
  <c r="G839" i="25"/>
  <c r="G3526" i="25"/>
  <c r="G2717" i="25"/>
  <c r="G3512" i="25"/>
  <c r="G1417" i="25"/>
  <c r="G631" i="25"/>
  <c r="G2401" i="25"/>
  <c r="G3587" i="25"/>
  <c r="G3097" i="25"/>
  <c r="G1517" i="25"/>
  <c r="G2298" i="25"/>
  <c r="G206" i="25"/>
  <c r="G3674" i="25"/>
  <c r="G2043" i="25"/>
  <c r="G3139" i="25"/>
  <c r="G3886" i="25"/>
  <c r="G2821" i="25"/>
  <c r="G3652" i="25"/>
  <c r="G2218" i="25"/>
  <c r="G1047" i="25"/>
  <c r="G2535" i="25"/>
  <c r="G2822" i="25"/>
  <c r="G1286" i="25"/>
  <c r="G645" i="25"/>
  <c r="G1756" i="25"/>
  <c r="G218" i="25"/>
  <c r="G883" i="25"/>
  <c r="G444" i="25"/>
  <c r="G2771" i="25"/>
  <c r="G2451" i="25"/>
  <c r="G2131" i="25"/>
  <c r="G3314" i="25"/>
  <c r="G2994" i="25"/>
  <c r="G2674" i="25"/>
  <c r="G2290" i="25"/>
  <c r="G1970" i="25"/>
  <c r="G1650" i="25"/>
  <c r="G1266" i="25"/>
  <c r="G946" i="25"/>
  <c r="G1265" i="25"/>
  <c r="G881" i="25"/>
  <c r="G497" i="25"/>
  <c r="G2376" i="25"/>
  <c r="G1928" i="25"/>
  <c r="G1480" i="25"/>
  <c r="G968" i="25"/>
  <c r="G584" i="25"/>
  <c r="G134" i="25"/>
  <c r="G1567" i="25"/>
  <c r="G1119" i="25"/>
  <c r="G735" i="25"/>
  <c r="G225" i="25"/>
  <c r="G490" i="25"/>
  <c r="G36" i="25"/>
  <c r="G2473" i="25"/>
  <c r="G2089" i="25"/>
  <c r="G1641" i="25"/>
  <c r="G3632" i="25"/>
  <c r="G3184" i="25"/>
  <c r="G2800" i="25"/>
  <c r="G2751" i="25"/>
  <c r="G2303" i="25"/>
  <c r="G3422" i="25"/>
  <c r="G2910" i="25"/>
  <c r="G2526" i="25"/>
  <c r="G2078" i="25"/>
  <c r="G1566" i="25"/>
  <c r="G1118" i="25"/>
  <c r="G1373" i="25"/>
  <c r="G861" i="25"/>
  <c r="G415" i="25"/>
  <c r="G2356" i="25"/>
  <c r="G1844" i="25"/>
  <c r="G1460" i="25"/>
  <c r="G1012" i="25"/>
  <c r="G500" i="25"/>
  <c r="G50" i="25"/>
  <c r="G1611" i="25"/>
  <c r="G1099" i="25"/>
  <c r="G651" i="25"/>
  <c r="G205" i="25"/>
  <c r="G534" i="25"/>
  <c r="G148" i="25"/>
  <c r="G3723" i="25"/>
  <c r="G3377" i="25"/>
  <c r="G1485" i="25"/>
  <c r="G2650" i="25"/>
  <c r="G1287" i="25"/>
  <c r="G3767" i="25"/>
  <c r="G3319" i="25"/>
  <c r="G3702" i="25"/>
  <c r="G3789" i="25"/>
  <c r="G3341" i="25"/>
  <c r="G2829" i="25"/>
  <c r="G2269" i="25"/>
  <c r="G1757" i="25"/>
  <c r="G3576" i="25"/>
  <c r="G2980" i="25"/>
  <c r="G1963" i="25"/>
  <c r="G841" i="25"/>
  <c r="G642" i="25"/>
  <c r="G3304" i="25"/>
  <c r="G3155" i="25"/>
  <c r="G2889" i="25"/>
  <c r="G3572" i="25"/>
  <c r="G1722" i="25"/>
  <c r="G1319" i="25"/>
  <c r="G3345" i="25"/>
  <c r="G2394" i="25"/>
  <c r="G3551" i="25"/>
  <c r="G3125" i="25"/>
  <c r="G3372" i="25"/>
  <c r="G1856" i="25"/>
  <c r="G2711" i="25"/>
  <c r="G2486" i="25"/>
  <c r="G1269" i="25"/>
  <c r="G1868" i="25"/>
  <c r="G74" i="25"/>
  <c r="G165" i="25"/>
  <c r="G2755" i="25"/>
  <c r="G2530" i="25"/>
  <c r="G1249" i="25"/>
  <c r="G1848" i="25"/>
  <c r="G54" i="25"/>
  <c r="G145" i="25"/>
  <c r="G2137" i="25"/>
  <c r="G2848" i="25"/>
  <c r="G3022" i="25"/>
  <c r="G1230" i="25"/>
  <c r="G2468" i="25"/>
  <c r="G548" i="25"/>
  <c r="G646" i="25"/>
  <c r="G2877" i="25"/>
  <c r="G2801" i="25"/>
  <c r="G3450" i="25"/>
  <c r="G3379" i="25"/>
  <c r="G512" i="25"/>
  <c r="G1532" i="25"/>
  <c r="G2066" i="25"/>
  <c r="G650" i="25"/>
  <c r="G701" i="25"/>
  <c r="G3861" i="25"/>
  <c r="Q7" i="22"/>
  <c r="S12" i="21" s="1"/>
  <c r="H468" i="25"/>
  <c r="H467" i="25"/>
  <c r="H309" i="25"/>
  <c r="H434" i="25"/>
  <c r="H297" i="25"/>
  <c r="H305" i="25"/>
  <c r="G12" i="18"/>
  <c r="F12" i="18"/>
  <c r="G3847" i="25"/>
  <c r="G2289" i="25"/>
  <c r="G1399" i="25"/>
  <c r="G3545" i="25"/>
  <c r="G1018" i="25"/>
  <c r="G3004" i="25"/>
  <c r="G3269" i="25"/>
  <c r="G553" i="25"/>
  <c r="G2758" i="25"/>
  <c r="G581" i="25"/>
  <c r="G410" i="25"/>
  <c r="G563" i="25"/>
  <c r="G3866" i="25"/>
  <c r="G3357" i="25"/>
  <c r="G2272" i="25"/>
  <c r="G2897" i="25"/>
  <c r="G647" i="25"/>
  <c r="G3753" i="25"/>
  <c r="G2709" i="25"/>
  <c r="G3848" i="25"/>
  <c r="G2267" i="25"/>
  <c r="G379" i="25"/>
  <c r="G615" i="25"/>
  <c r="G3857" i="25"/>
  <c r="G3580" i="25"/>
  <c r="G880" i="25"/>
  <c r="G3887" i="25"/>
  <c r="G3758" i="25"/>
  <c r="G3205" i="25"/>
  <c r="G2001" i="25"/>
  <c r="G3140" i="25"/>
  <c r="G1706" i="25"/>
  <c r="G640" i="25"/>
  <c r="G2712" i="25"/>
  <c r="G2151" i="25"/>
  <c r="G2694" i="25"/>
  <c r="G1670" i="25"/>
  <c r="G1285" i="25"/>
  <c r="G263" i="25"/>
  <c r="G1628" i="25"/>
  <c r="G604" i="25"/>
  <c r="G1523" i="25"/>
  <c r="G499" i="25"/>
  <c r="G316" i="25"/>
  <c r="H316" i="25" s="1"/>
  <c r="G746" i="25"/>
  <c r="G3718" i="25"/>
  <c r="G1546" i="25"/>
  <c r="G2160" i="25"/>
  <c r="G3252" i="25"/>
  <c r="G3323" i="25"/>
  <c r="G3938" i="25"/>
  <c r="G3908" i="25"/>
  <c r="G610" i="25"/>
  <c r="G1734" i="25"/>
  <c r="G2204" i="25"/>
  <c r="G154" i="25"/>
  <c r="G53" i="25"/>
  <c r="G1927" i="25"/>
  <c r="G1521" i="25"/>
  <c r="G3259" i="25"/>
  <c r="G3293" i="25"/>
  <c r="G1911" i="25"/>
  <c r="G3417" i="25"/>
  <c r="G1383" i="25"/>
  <c r="G3746" i="25"/>
  <c r="G3909" i="25"/>
  <c r="G2597" i="25"/>
  <c r="G3736" i="25"/>
  <c r="G3498" i="25"/>
  <c r="G2432" i="25"/>
  <c r="G281" i="25"/>
  <c r="G2599" i="25"/>
  <c r="G3142" i="25"/>
  <c r="G2118" i="25"/>
  <c r="G1094" i="25"/>
  <c r="G709" i="25"/>
  <c r="G2076" i="25"/>
  <c r="G1052" i="25"/>
  <c r="G26" i="25"/>
  <c r="G947" i="25"/>
  <c r="G766" i="25"/>
  <c r="G2820" i="25"/>
  <c r="G1569" i="25"/>
  <c r="G3933" i="25"/>
  <c r="G3768" i="25"/>
  <c r="G480" i="25"/>
  <c r="G2778" i="25"/>
  <c r="G3033" i="25"/>
  <c r="G2908" i="25"/>
  <c r="G690" i="25"/>
  <c r="G1433" i="25"/>
  <c r="G3566" i="25"/>
  <c r="G1745" i="25"/>
  <c r="G1920" i="25"/>
  <c r="G3270" i="25"/>
  <c r="G1349" i="25"/>
  <c r="G3425" i="25"/>
  <c r="G3527" i="25"/>
  <c r="G2545" i="25"/>
  <c r="G1290" i="25"/>
  <c r="G1761" i="25"/>
  <c r="G2209" i="25"/>
  <c r="G3719" i="25"/>
  <c r="G3805" i="25"/>
  <c r="G2461" i="25"/>
  <c r="G2916" i="25"/>
  <c r="G649" i="25"/>
  <c r="G706" i="25"/>
  <c r="G3944" i="25"/>
  <c r="G3906" i="25"/>
  <c r="G2905" i="25"/>
  <c r="G3764" i="25"/>
  <c r="G2554" i="25"/>
  <c r="G462" i="25"/>
  <c r="H462" i="25" s="1"/>
  <c r="G3834" i="25"/>
  <c r="G2683" i="25"/>
  <c r="G3235" i="25"/>
  <c r="G3355" i="25"/>
  <c r="G3112" i="25"/>
  <c r="G3911" i="25"/>
  <c r="G3782" i="25"/>
  <c r="G3229" i="25"/>
  <c r="G2033" i="25"/>
  <c r="G3172" i="25"/>
  <c r="G1802" i="25"/>
  <c r="G736" i="25"/>
  <c r="G3691" i="25"/>
  <c r="G3644" i="25"/>
  <c r="G400" i="25"/>
  <c r="G3609" i="25"/>
  <c r="G2541" i="25"/>
  <c r="G3676" i="25"/>
  <c r="G3322" i="25"/>
  <c r="G2256" i="25"/>
  <c r="G105" i="25"/>
  <c r="G3553" i="25"/>
  <c r="G3176" i="25"/>
  <c r="G3907" i="25"/>
  <c r="G3759" i="25"/>
  <c r="G3630" i="25"/>
  <c r="G3077" i="25"/>
  <c r="G1829" i="25"/>
  <c r="G2968" i="25"/>
  <c r="G1194" i="25"/>
  <c r="G126" i="25"/>
  <c r="G3047" i="25"/>
  <c r="G2023" i="25"/>
  <c r="G2566" i="25"/>
  <c r="G1542" i="25"/>
  <c r="G1157" i="25"/>
  <c r="G2524" i="25"/>
  <c r="G1500" i="25"/>
  <c r="G476" i="25"/>
  <c r="G1395" i="25"/>
  <c r="G373" i="25"/>
  <c r="G188" i="25"/>
  <c r="G2835" i="25"/>
  <c r="G2579" i="25"/>
  <c r="G2323" i="25"/>
  <c r="G2067" i="25"/>
  <c r="G3378" i="25"/>
  <c r="G3122" i="25"/>
  <c r="G2866" i="25"/>
  <c r="G2610" i="25"/>
  <c r="G2354" i="25"/>
  <c r="G2098" i="25"/>
  <c r="G1842" i="25"/>
  <c r="G1586" i="25"/>
  <c r="G1330" i="25"/>
  <c r="G1074" i="25"/>
  <c r="G1457" i="25"/>
  <c r="G1201" i="25"/>
  <c r="G945" i="25"/>
  <c r="G689" i="25"/>
  <c r="G435" i="25"/>
  <c r="H435" i="25" s="1"/>
  <c r="G2568" i="25"/>
  <c r="G2312" i="25"/>
  <c r="G2056" i="25"/>
  <c r="G1800" i="25"/>
  <c r="G1544" i="25"/>
  <c r="G1284" i="25"/>
  <c r="G1032" i="25"/>
  <c r="G776" i="25"/>
  <c r="G520" i="25"/>
  <c r="G262" i="25"/>
  <c r="G6" i="25"/>
  <c r="H6" i="25" s="1"/>
  <c r="G1695" i="25"/>
  <c r="G1439" i="25"/>
  <c r="G1183" i="25"/>
  <c r="G927" i="25"/>
  <c r="G671" i="25"/>
  <c r="G417" i="25"/>
  <c r="G161" i="25"/>
  <c r="G618" i="25"/>
  <c r="G360" i="25"/>
  <c r="G100" i="25"/>
  <c r="G83" i="25"/>
  <c r="G2537" i="25"/>
  <c r="G2281" i="25"/>
  <c r="G2025" i="25"/>
  <c r="G1769" i="25"/>
  <c r="G1513" i="25"/>
  <c r="G3760" i="25"/>
  <c r="G3504" i="25"/>
  <c r="G3248" i="25"/>
  <c r="G2992" i="25"/>
  <c r="G2736" i="25"/>
  <c r="G2943" i="25"/>
  <c r="G2687" i="25"/>
  <c r="G2431" i="25"/>
  <c r="G2175" i="25"/>
  <c r="G3486" i="25"/>
  <c r="G3230" i="25"/>
  <c r="G2974" i="25"/>
  <c r="G2718" i="25"/>
  <c r="G2462" i="25"/>
  <c r="G2206" i="25"/>
  <c r="G1950" i="25"/>
  <c r="G1694" i="25"/>
  <c r="G1438" i="25"/>
  <c r="G1182" i="25"/>
  <c r="G926" i="25"/>
  <c r="G1309" i="25"/>
  <c r="G1053" i="25"/>
  <c r="G797" i="25"/>
  <c r="G541" i="25"/>
  <c r="G287" i="25"/>
  <c r="G2420" i="25"/>
  <c r="G2164" i="25"/>
  <c r="G1908" i="25"/>
  <c r="G1652" i="25"/>
  <c r="G1396" i="25"/>
  <c r="G1136" i="25"/>
  <c r="G884" i="25"/>
  <c r="G628" i="25"/>
  <c r="G370" i="25"/>
  <c r="G114" i="25"/>
  <c r="G1803" i="25"/>
  <c r="G1547" i="25"/>
  <c r="G1291" i="25"/>
  <c r="G1035" i="25"/>
  <c r="G779" i="25"/>
  <c r="G523" i="25"/>
  <c r="G269" i="25"/>
  <c r="G13" i="25"/>
  <c r="G598" i="25"/>
  <c r="G340" i="25"/>
  <c r="G80" i="25"/>
  <c r="G47" i="25"/>
  <c r="G3291" i="25"/>
  <c r="G3825" i="25"/>
  <c r="G2977" i="25"/>
  <c r="G1805" i="25"/>
  <c r="G3028" i="25"/>
  <c r="G1754" i="25"/>
  <c r="G1132" i="25"/>
  <c r="G711" i="25"/>
  <c r="G3895" i="25"/>
  <c r="G3639" i="25"/>
  <c r="G3383" i="25"/>
  <c r="G3127" i="25"/>
  <c r="G3766" i="25"/>
  <c r="G3981" i="25"/>
  <c r="G3725" i="25"/>
  <c r="G3469" i="25"/>
  <c r="G3213" i="25"/>
  <c r="G2957" i="25"/>
  <c r="G2693" i="25"/>
  <c r="G2353" i="25"/>
  <c r="G2013" i="25"/>
  <c r="G1669" i="25"/>
  <c r="G3832" i="25"/>
  <c r="G3492" i="25"/>
  <c r="G3148" i="25"/>
  <c r="G2780" i="25"/>
  <c r="G2219" i="25"/>
  <c r="G2762" i="25"/>
  <c r="G1738" i="25"/>
  <c r="G1353" i="25"/>
  <c r="G331" i="25"/>
  <c r="G1696" i="25"/>
  <c r="G672" i="25"/>
  <c r="G1591" i="25"/>
  <c r="G567" i="25"/>
  <c r="G384" i="25"/>
  <c r="G3627" i="25"/>
  <c r="G3690" i="25"/>
  <c r="G3297" i="25"/>
  <c r="G2317" i="25"/>
  <c r="G3560" i="25"/>
  <c r="G3482" i="25"/>
  <c r="G473" i="25"/>
  <c r="G1543" i="25"/>
  <c r="G336" i="25"/>
  <c r="G3555" i="25"/>
  <c r="G3682" i="25"/>
  <c r="G3865" i="25"/>
  <c r="G3593" i="25"/>
  <c r="G3337" i="25"/>
  <c r="G3081" i="25"/>
  <c r="G2825" i="25"/>
  <c r="G2517" i="25"/>
  <c r="G2177" i="25"/>
  <c r="G1837" i="25"/>
  <c r="G1493" i="25"/>
  <c r="G3656" i="25"/>
  <c r="G3316" i="25"/>
  <c r="G2972" i="25"/>
  <c r="G2715" i="25"/>
  <c r="G3258" i="25"/>
  <c r="G2234" i="25"/>
  <c r="G1210" i="25"/>
  <c r="G825" i="25"/>
  <c r="G2192" i="25"/>
  <c r="G1164" i="25"/>
  <c r="G142" i="25"/>
  <c r="G1063" i="25"/>
  <c r="G41" i="25"/>
  <c r="G91" i="25"/>
  <c r="G3435" i="25"/>
  <c r="G3642" i="25"/>
  <c r="G3521" i="25"/>
  <c r="G2881" i="25"/>
  <c r="G2145" i="25"/>
  <c r="G3900" i="25"/>
  <c r="G3156" i="25"/>
  <c r="G3418" i="25"/>
  <c r="G1370" i="25"/>
  <c r="G1968" i="25"/>
  <c r="G3891" i="25"/>
  <c r="G3491" i="25"/>
  <c r="G3123" i="25"/>
  <c r="G3721" i="25"/>
  <c r="G3743" i="25"/>
  <c r="G3487" i="25"/>
  <c r="G3231" i="25"/>
  <c r="G3870" i="25"/>
  <c r="G3614" i="25"/>
  <c r="G3829" i="25"/>
  <c r="G3573" i="25"/>
  <c r="G3317" i="25"/>
  <c r="G3061" i="25"/>
  <c r="G2805" i="25"/>
  <c r="G2493" i="25"/>
  <c r="G2149" i="25"/>
  <c r="G1809" i="25"/>
  <c r="G3972" i="25"/>
  <c r="G3628" i="25"/>
  <c r="G3288" i="25"/>
  <c r="G2948" i="25"/>
  <c r="G2635" i="25"/>
  <c r="G3178" i="25"/>
  <c r="G2154" i="25"/>
  <c r="G1130" i="25"/>
  <c r="G745" i="25"/>
  <c r="G2112" i="25"/>
  <c r="G1084" i="25"/>
  <c r="G62" i="25"/>
  <c r="G983" i="25"/>
  <c r="G802" i="25"/>
  <c r="G11" i="25"/>
  <c r="G3031" i="25"/>
  <c r="G2775" i="25"/>
  <c r="G2519" i="25"/>
  <c r="G2263" i="25"/>
  <c r="G2007" i="25"/>
  <c r="G3318" i="25"/>
  <c r="G3062" i="25"/>
  <c r="G2806" i="25"/>
  <c r="G2550" i="25"/>
  <c r="G2294" i="25"/>
  <c r="G2038" i="25"/>
  <c r="G1782" i="25"/>
  <c r="G1526" i="25"/>
  <c r="G1270" i="25"/>
  <c r="G1014" i="25"/>
  <c r="G1397" i="25"/>
  <c r="G1141" i="25"/>
  <c r="G885" i="25"/>
  <c r="G629" i="25"/>
  <c r="G375" i="25"/>
  <c r="G2508" i="25"/>
  <c r="G2252" i="25"/>
  <c r="G1996" i="25"/>
  <c r="G1740" i="25"/>
  <c r="G1484" i="25"/>
  <c r="G1224" i="25"/>
  <c r="G972" i="25"/>
  <c r="G716" i="25"/>
  <c r="G458" i="25"/>
  <c r="G202" i="25"/>
  <c r="G1891" i="25"/>
  <c r="G1635" i="25"/>
  <c r="G1379" i="25"/>
  <c r="G1123" i="25"/>
  <c r="G867" i="25"/>
  <c r="G611" i="25"/>
  <c r="G357" i="25"/>
  <c r="G101" i="25"/>
  <c r="G686" i="25"/>
  <c r="G428" i="25"/>
  <c r="G172" i="25"/>
  <c r="G151" i="25"/>
  <c r="G2740" i="25"/>
  <c r="G2947" i="25"/>
  <c r="G2691" i="25"/>
  <c r="G2435" i="25"/>
  <c r="G2179" i="25"/>
  <c r="G3490" i="25"/>
  <c r="G3234" i="25"/>
  <c r="G2978" i="25"/>
  <c r="G2722" i="25"/>
  <c r="G2466" i="25"/>
  <c r="G2210" i="25"/>
  <c r="G1954" i="25"/>
  <c r="G1698" i="25"/>
  <c r="G1442" i="25"/>
  <c r="G1186" i="25"/>
  <c r="G930" i="25"/>
  <c r="G1313" i="25"/>
  <c r="G1057" i="25"/>
  <c r="G801" i="25"/>
  <c r="G545" i="25"/>
  <c r="G291" i="25"/>
  <c r="G2424" i="25"/>
  <c r="G2168" i="25"/>
  <c r="G1912" i="25"/>
  <c r="G1656" i="25"/>
  <c r="G1400" i="25"/>
  <c r="G1140" i="25"/>
  <c r="G888" i="25"/>
  <c r="G632" i="25"/>
  <c r="G374" i="25"/>
  <c r="G118" i="25"/>
  <c r="G1807" i="25"/>
  <c r="G1551" i="25"/>
  <c r="G1295" i="25"/>
  <c r="G1039" i="25"/>
  <c r="G783" i="25"/>
  <c r="G527" i="25"/>
  <c r="G273" i="25"/>
  <c r="G17" i="25"/>
  <c r="G602" i="25"/>
  <c r="G344" i="25"/>
  <c r="G84" i="25"/>
  <c r="G67" i="25"/>
  <c r="G2521" i="25"/>
  <c r="G2265" i="25"/>
  <c r="G2009" i="25"/>
  <c r="G1753" i="25"/>
  <c r="G1497" i="25"/>
  <c r="G3744" i="25"/>
  <c r="G3488" i="25"/>
  <c r="G3232" i="25"/>
  <c r="G2976" i="25"/>
  <c r="G2720" i="25"/>
  <c r="G2927" i="25"/>
  <c r="G2671" i="25"/>
  <c r="G2415" i="25"/>
  <c r="G2159" i="25"/>
  <c r="G3470" i="25"/>
  <c r="G3214" i="25"/>
  <c r="G2958" i="25"/>
  <c r="G2702" i="25"/>
  <c r="G2446" i="25"/>
  <c r="G2190" i="25"/>
  <c r="G1934" i="25"/>
  <c r="G1678" i="25"/>
  <c r="G1422" i="25"/>
  <c r="G1166" i="25"/>
  <c r="G910" i="25"/>
  <c r="G1293" i="25"/>
  <c r="G1037" i="25"/>
  <c r="G781" i="25"/>
  <c r="G525" i="25"/>
  <c r="G271" i="25"/>
  <c r="G2404" i="25"/>
  <c r="G2148" i="25"/>
  <c r="G1892" i="25"/>
  <c r="G1636" i="25"/>
  <c r="G1380" i="25"/>
  <c r="G1120" i="25"/>
  <c r="G868" i="25"/>
  <c r="G612" i="25"/>
  <c r="G354" i="25"/>
  <c r="G98" i="25"/>
  <c r="G1787" i="25"/>
  <c r="G1531" i="25"/>
  <c r="G1275" i="25"/>
  <c r="G1019" i="25"/>
  <c r="G763" i="25"/>
  <c r="G507" i="25"/>
  <c r="G253" i="25"/>
  <c r="G838" i="25"/>
  <c r="G582" i="25"/>
  <c r="G324" i="25"/>
  <c r="G64" i="25"/>
  <c r="G31" i="25"/>
  <c r="G3243" i="25"/>
  <c r="G3761" i="25"/>
  <c r="G2929" i="25"/>
  <c r="G1741" i="25"/>
  <c r="G2984" i="25"/>
  <c r="G1498" i="25"/>
  <c r="G944" i="25"/>
  <c r="G583" i="25"/>
  <c r="G3879" i="25"/>
  <c r="G3623" i="25"/>
  <c r="G3367" i="25"/>
  <c r="G3111" i="25"/>
  <c r="G3750" i="25"/>
  <c r="G3965" i="25"/>
  <c r="G3709" i="25"/>
  <c r="G3453" i="25"/>
  <c r="G3197" i="25"/>
  <c r="G2941" i="25"/>
  <c r="G2673" i="25"/>
  <c r="G2333" i="25"/>
  <c r="G1989" i="25"/>
  <c r="G1649" i="25"/>
  <c r="G3812" i="25"/>
  <c r="G3468" i="25"/>
  <c r="G3128" i="25"/>
  <c r="G2716" i="25"/>
  <c r="G2155" i="25"/>
  <c r="G2698" i="25"/>
  <c r="G1674" i="25"/>
  <c r="G1289" i="25"/>
  <c r="G267" i="25"/>
  <c r="G1632" i="25"/>
  <c r="G608" i="25"/>
  <c r="G1527" i="25"/>
  <c r="G503" i="25"/>
  <c r="G320" i="25"/>
  <c r="G3563" i="25"/>
  <c r="G3626" i="25"/>
  <c r="G3233" i="25"/>
  <c r="G2229" i="25"/>
  <c r="G3496" i="25"/>
  <c r="G3226" i="25"/>
  <c r="G2608" i="25"/>
  <c r="G1351" i="25"/>
  <c r="G272" i="25"/>
  <c r="G3507" i="25"/>
  <c r="G3650" i="25"/>
  <c r="G3849" i="25"/>
  <c r="G3577" i="25"/>
  <c r="G3321" i="25"/>
  <c r="G3065" i="25"/>
  <c r="G2809" i="25"/>
  <c r="G2497" i="25"/>
  <c r="G2157" i="25"/>
  <c r="G1813" i="25"/>
  <c r="G3976" i="25"/>
  <c r="G3636" i="25"/>
  <c r="G3292" i="25"/>
  <c r="G2952" i="25"/>
  <c r="G2651" i="25"/>
  <c r="G3194" i="25"/>
  <c r="G2170" i="25"/>
  <c r="G1146" i="25"/>
  <c r="G761" i="25"/>
  <c r="G2128" i="25"/>
  <c r="G1100" i="25"/>
  <c r="G78" i="25"/>
  <c r="G999" i="25"/>
  <c r="G818" i="25"/>
  <c r="G27" i="25"/>
  <c r="G3387" i="25"/>
  <c r="G3594" i="25"/>
  <c r="G3473" i="25"/>
  <c r="G2833" i="25"/>
  <c r="G2101" i="25"/>
  <c r="G3880" i="25"/>
  <c r="G3092" i="25"/>
  <c r="G3354" i="25"/>
  <c r="G1178" i="25"/>
  <c r="G1776" i="25"/>
  <c r="G3875" i="25"/>
  <c r="G3475" i="25"/>
  <c r="G3091" i="25"/>
  <c r="G3983" i="25"/>
  <c r="G3727" i="25"/>
  <c r="G3471" i="25"/>
  <c r="G3215" i="25"/>
  <c r="G3854" i="25"/>
  <c r="G3598" i="25"/>
  <c r="G3813" i="25"/>
  <c r="G3557" i="25"/>
  <c r="G3301" i="25"/>
  <c r="G3045" i="25"/>
  <c r="G2789" i="25"/>
  <c r="G2469" i="25"/>
  <c r="G2129" i="25"/>
  <c r="G1789" i="25"/>
  <c r="G3948" i="25"/>
  <c r="G3608" i="25"/>
  <c r="G3268" i="25"/>
  <c r="G2924" i="25"/>
  <c r="G2571" i="25"/>
  <c r="G3114" i="25"/>
  <c r="G2090" i="25"/>
  <c r="G1066" i="25"/>
  <c r="G681" i="25"/>
  <c r="G2048" i="25"/>
  <c r="G1024" i="25"/>
  <c r="G1943" i="25"/>
  <c r="G919" i="25"/>
  <c r="G738" i="25"/>
  <c r="G2808" i="25"/>
  <c r="G3015" i="25"/>
  <c r="G2759" i="25"/>
  <c r="G2503" i="25"/>
  <c r="G2247" i="25"/>
  <c r="G1991" i="25"/>
  <c r="G3302" i="25"/>
  <c r="G3046" i="25"/>
  <c r="G2790" i="25"/>
  <c r="G2534" i="25"/>
  <c r="G2278" i="25"/>
  <c r="G2022" i="25"/>
  <c r="G1766" i="25"/>
  <c r="G1510" i="25"/>
  <c r="G1254" i="25"/>
  <c r="G998" i="25"/>
  <c r="G1381" i="25"/>
  <c r="G1125" i="25"/>
  <c r="G869" i="25"/>
  <c r="G613" i="25"/>
  <c r="G359" i="25"/>
  <c r="G2492" i="25"/>
  <c r="G2236" i="25"/>
  <c r="G1980" i="25"/>
  <c r="G1724" i="25"/>
  <c r="G1468" i="25"/>
  <c r="G1208" i="25"/>
  <c r="G956" i="25"/>
  <c r="G700" i="25"/>
  <c r="G442" i="25"/>
  <c r="G186" i="25"/>
  <c r="G1875" i="25"/>
  <c r="G1619" i="25"/>
  <c r="G1363" i="25"/>
  <c r="G1107" i="25"/>
  <c r="G851" i="25"/>
  <c r="G595" i="25"/>
  <c r="G341" i="25"/>
  <c r="G85" i="25"/>
  <c r="G670" i="25"/>
  <c r="G412" i="25"/>
  <c r="G156" i="25"/>
  <c r="G135" i="25"/>
  <c r="G2724" i="25"/>
  <c r="G2931" i="25"/>
  <c r="G2675" i="25"/>
  <c r="G2419" i="25"/>
  <c r="G2163" i="25"/>
  <c r="G3474" i="25"/>
  <c r="G3218" i="25"/>
  <c r="G2962" i="25"/>
  <c r="G2706" i="25"/>
  <c r="G2450" i="25"/>
  <c r="G2194" i="25"/>
  <c r="G1938" i="25"/>
  <c r="G1682" i="25"/>
  <c r="G1426" i="25"/>
  <c r="G1170" i="25"/>
  <c r="G914" i="25"/>
  <c r="G1297" i="25"/>
  <c r="G1041" i="25"/>
  <c r="G785" i="25"/>
  <c r="G529" i="25"/>
  <c r="G275" i="25"/>
  <c r="G2408" i="25"/>
  <c r="G2152" i="25"/>
  <c r="G1896" i="25"/>
  <c r="G1640" i="25"/>
  <c r="G1384" i="25"/>
  <c r="G1124" i="25"/>
  <c r="G872" i="25"/>
  <c r="G616" i="25"/>
  <c r="G358" i="25"/>
  <c r="G102" i="25"/>
  <c r="G1791" i="25"/>
  <c r="G1535" i="25"/>
  <c r="G1279" i="25"/>
  <c r="G1023" i="25"/>
  <c r="G767" i="25"/>
  <c r="G511" i="25"/>
  <c r="G257" i="25"/>
  <c r="G842" i="25"/>
  <c r="G586" i="25"/>
  <c r="G328" i="25"/>
  <c r="G68" i="25"/>
  <c r="G51" i="25"/>
  <c r="G2505" i="25"/>
  <c r="G2249" i="25"/>
  <c r="G1993" i="25"/>
  <c r="G1737" i="25"/>
  <c r="G3984" i="25"/>
  <c r="G3728" i="25"/>
  <c r="G3472" i="25"/>
  <c r="G3216" i="25"/>
  <c r="G2960" i="25"/>
  <c r="G2704" i="25"/>
  <c r="G2911" i="25"/>
  <c r="G2655" i="25"/>
  <c r="G2399" i="25"/>
  <c r="G2143" i="25"/>
  <c r="G3454" i="25"/>
  <c r="G3198" i="25"/>
  <c r="G2942" i="25"/>
  <c r="G2686" i="25"/>
  <c r="G2430" i="25"/>
  <c r="G2174" i="25"/>
  <c r="G1918" i="25"/>
  <c r="G1662" i="25"/>
  <c r="G1406" i="25"/>
  <c r="G1150" i="25"/>
  <c r="G894" i="25"/>
  <c r="G1277" i="25"/>
  <c r="G1021" i="25"/>
  <c r="G765" i="25"/>
  <c r="G509" i="25"/>
  <c r="G255" i="25"/>
  <c r="G2388" i="25"/>
  <c r="G2132" i="25"/>
  <c r="G1876" i="25"/>
  <c r="G1620" i="25"/>
  <c r="G1364" i="25"/>
  <c r="G1104" i="25"/>
  <c r="G852" i="25"/>
  <c r="G596" i="25"/>
  <c r="G338" i="25"/>
  <c r="G82" i="25"/>
  <c r="G1771" i="25"/>
  <c r="G1515" i="25"/>
  <c r="G1259" i="25"/>
  <c r="G1003" i="25"/>
  <c r="G747" i="25"/>
  <c r="G491" i="25"/>
  <c r="G237" i="25"/>
  <c r="G822" i="25"/>
  <c r="G566" i="25"/>
  <c r="G308" i="25"/>
  <c r="H308" i="25" s="1"/>
  <c r="G48" i="25"/>
  <c r="G15" i="25"/>
  <c r="G3211" i="25"/>
  <c r="G3713" i="25"/>
  <c r="G2865" i="25"/>
  <c r="G1653" i="25"/>
  <c r="G2876" i="25"/>
  <c r="G1242" i="25"/>
  <c r="G752" i="25"/>
  <c r="G457" i="25"/>
  <c r="G3863" i="25"/>
  <c r="G3607" i="25"/>
  <c r="G3351" i="25"/>
  <c r="G3095" i="25"/>
  <c r="G3734" i="25"/>
  <c r="G3949" i="25"/>
  <c r="G3693" i="25"/>
  <c r="G3437" i="25"/>
  <c r="G3181" i="25"/>
  <c r="G2925" i="25"/>
  <c r="G2653" i="25"/>
  <c r="G2309" i="25"/>
  <c r="G1969" i="25"/>
  <c r="G1629" i="25"/>
  <c r="G3788" i="25"/>
  <c r="G3448" i="25"/>
  <c r="G3108" i="25"/>
  <c r="G2652" i="25"/>
  <c r="G2091" i="25"/>
  <c r="G2634" i="25"/>
  <c r="G1610" i="25"/>
  <c r="G1225" i="25"/>
  <c r="G2592" i="25"/>
  <c r="G1568" i="25"/>
  <c r="G544" i="25"/>
  <c r="G1463" i="25"/>
  <c r="G441" i="25"/>
  <c r="G256" i="25"/>
  <c r="G3531" i="25"/>
  <c r="G3578" i="25"/>
  <c r="G3185" i="25"/>
  <c r="G2165" i="25"/>
  <c r="G3412" i="25"/>
  <c r="G2970" i="25"/>
  <c r="G2352" i="25"/>
  <c r="G1223" i="25"/>
  <c r="G208" i="25"/>
  <c r="G3459" i="25"/>
  <c r="G3634" i="25"/>
  <c r="G3833" i="25"/>
  <c r="G3561" i="25"/>
  <c r="G3305" i="25"/>
  <c r="G3049" i="25"/>
  <c r="G2793" i="25"/>
  <c r="G2477" i="25"/>
  <c r="G2133" i="25"/>
  <c r="G1793" i="25"/>
  <c r="G3956" i="25"/>
  <c r="G3612" i="25"/>
  <c r="G3272" i="25"/>
  <c r="G2932" i="25"/>
  <c r="G2587" i="25"/>
  <c r="G3130" i="25"/>
  <c r="G2106" i="25"/>
  <c r="G1082" i="25"/>
  <c r="G697" i="25"/>
  <c r="G2064" i="25"/>
  <c r="G1040" i="25"/>
  <c r="G14" i="25"/>
  <c r="G935" i="25"/>
  <c r="G754" i="25"/>
  <c r="G3979" i="25"/>
  <c r="G3371" i="25"/>
  <c r="G3562" i="25"/>
  <c r="G3441" i="25"/>
  <c r="G2785" i="25"/>
  <c r="G2061" i="25"/>
  <c r="G3816" i="25"/>
  <c r="G3068" i="25"/>
  <c r="G3162" i="25"/>
  <c r="G986" i="25"/>
  <c r="G1648" i="25"/>
  <c r="G3843" i="25"/>
  <c r="G3443" i="25"/>
  <c r="G3970" i="25"/>
  <c r="G3967" i="25"/>
  <c r="G3711" i="25"/>
  <c r="G3455" i="25"/>
  <c r="G3199" i="25"/>
  <c r="G3838" i="25"/>
  <c r="G3582" i="25"/>
  <c r="G3797" i="25"/>
  <c r="G3541" i="25"/>
  <c r="G3285" i="25"/>
  <c r="G3029" i="25"/>
  <c r="G2773" i="25"/>
  <c r="G2449" i="25"/>
  <c r="G2109" i="25"/>
  <c r="G1765" i="25"/>
  <c r="G3928" i="25"/>
  <c r="G3588" i="25"/>
  <c r="G3244" i="25"/>
  <c r="G2904" i="25"/>
  <c r="G2507" i="25"/>
  <c r="G3050" i="25"/>
  <c r="G2026" i="25"/>
  <c r="G1002" i="25"/>
  <c r="G617" i="25"/>
  <c r="G1984" i="25"/>
  <c r="G960" i="25"/>
  <c r="G1879" i="25"/>
  <c r="G855" i="25"/>
  <c r="G674" i="25"/>
  <c r="G2792" i="25"/>
  <c r="G2999" i="25"/>
  <c r="G2743" i="25"/>
  <c r="G2487" i="25"/>
  <c r="G2231" i="25"/>
  <c r="G1975" i="25"/>
  <c r="G3286" i="25"/>
  <c r="G3030" i="25"/>
  <c r="G2774" i="25"/>
  <c r="G2518" i="25"/>
  <c r="G2262" i="25"/>
  <c r="G2006" i="25"/>
  <c r="G1750" i="25"/>
  <c r="G1494" i="25"/>
  <c r="G1238" i="25"/>
  <c r="G982" i="25"/>
  <c r="G1365" i="25"/>
  <c r="G1109" i="25"/>
  <c r="G853" i="25"/>
  <c r="G597" i="25"/>
  <c r="G343" i="25"/>
  <c r="G2476" i="25"/>
  <c r="G2220" i="25"/>
  <c r="G1964" i="25"/>
  <c r="G1708" i="25"/>
  <c r="G1452" i="25"/>
  <c r="G1192" i="25"/>
  <c r="G940" i="25"/>
  <c r="G684" i="25"/>
  <c r="G426" i="25"/>
  <c r="G170" i="25"/>
  <c r="G1859" i="25"/>
  <c r="G1603" i="25"/>
  <c r="G1347" i="25"/>
  <c r="G1091" i="25"/>
  <c r="G835" i="25"/>
  <c r="G579" i="25"/>
  <c r="G325" i="25"/>
  <c r="G69" i="25"/>
  <c r="G654" i="25"/>
  <c r="G396" i="25"/>
  <c r="G140" i="25"/>
  <c r="G119" i="25"/>
  <c r="G2708" i="25"/>
  <c r="G2915" i="25"/>
  <c r="G2659" i="25"/>
  <c r="G2403" i="25"/>
  <c r="G2147" i="25"/>
  <c r="G3458" i="25"/>
  <c r="G3202" i="25"/>
  <c r="G2946" i="25"/>
  <c r="G2690" i="25"/>
  <c r="G2434" i="25"/>
  <c r="G2178" i="25"/>
  <c r="G1922" i="25"/>
  <c r="G1666" i="25"/>
  <c r="G1410" i="25"/>
  <c r="G1154" i="25"/>
  <c r="G898" i="25"/>
  <c r="G1281" i="25"/>
  <c r="G1025" i="25"/>
  <c r="G769" i="25"/>
  <c r="G513" i="25"/>
  <c r="G259" i="25"/>
  <c r="G2392" i="25"/>
  <c r="G2136" i="25"/>
  <c r="G1880" i="25"/>
  <c r="G1624" i="25"/>
  <c r="G1368" i="25"/>
  <c r="G1108" i="25"/>
  <c r="G856" i="25"/>
  <c r="G600" i="25"/>
  <c r="G342" i="25"/>
  <c r="G86" i="25"/>
  <c r="H86" i="25" s="1"/>
  <c r="G1775" i="25"/>
  <c r="G1519" i="25"/>
  <c r="G1263" i="25"/>
  <c r="G1007" i="25"/>
  <c r="G751" i="25"/>
  <c r="G495" i="25"/>
  <c r="G241" i="25"/>
  <c r="G826" i="25"/>
  <c r="G570" i="25"/>
  <c r="G312" i="25"/>
  <c r="H312" i="25" s="1"/>
  <c r="G52" i="25"/>
  <c r="G35" i="25"/>
  <c r="G2489" i="25"/>
  <c r="G2233" i="25"/>
  <c r="G1977" i="25"/>
  <c r="G1721" i="25"/>
  <c r="G3968" i="25"/>
  <c r="G3712" i="25"/>
  <c r="G3456" i="25"/>
  <c r="G3200" i="25"/>
  <c r="G2944" i="25"/>
  <c r="G2688" i="25"/>
  <c r="G2895" i="25"/>
  <c r="G2639" i="25"/>
  <c r="G2383" i="25"/>
  <c r="G2127" i="25"/>
  <c r="G3438" i="25"/>
  <c r="G3182" i="25"/>
  <c r="G2926" i="25"/>
  <c r="G2670" i="25"/>
  <c r="G2414" i="25"/>
  <c r="G2158" i="25"/>
  <c r="G1902" i="25"/>
  <c r="G1646" i="25"/>
  <c r="G1390" i="25"/>
  <c r="G1134" i="25"/>
  <c r="G878" i="25"/>
  <c r="G1261" i="25"/>
  <c r="G1005" i="25"/>
  <c r="G749" i="25"/>
  <c r="G493" i="25"/>
  <c r="G239" i="25"/>
  <c r="G2372" i="25"/>
  <c r="G2116" i="25"/>
  <c r="G1860" i="25"/>
  <c r="G1604" i="25"/>
  <c r="G1348" i="25"/>
  <c r="G1088" i="25"/>
  <c r="G836" i="25"/>
  <c r="G580" i="25"/>
  <c r="G322" i="25"/>
  <c r="G66" i="25"/>
  <c r="G1755" i="25"/>
  <c r="G1499" i="25"/>
  <c r="G1243" i="25"/>
  <c r="G987" i="25"/>
  <c r="G731" i="25"/>
  <c r="G475" i="25"/>
  <c r="G221" i="25"/>
  <c r="G806" i="25"/>
  <c r="G550" i="25"/>
  <c r="G292" i="25"/>
  <c r="G32" i="25"/>
  <c r="F28" i="18"/>
  <c r="G4052" i="25"/>
  <c r="G4033" i="25"/>
  <c r="G4008" i="25"/>
  <c r="G4023" i="25"/>
  <c r="G3997" i="25"/>
  <c r="G4016" i="25"/>
  <c r="G4050" i="25"/>
  <c r="G4049" i="25"/>
  <c r="G3987" i="25"/>
  <c r="G4046" i="25"/>
  <c r="G4057" i="25"/>
  <c r="G4004" i="25"/>
  <c r="G3995" i="25"/>
  <c r="G4005" i="25"/>
  <c r="G4032" i="25"/>
  <c r="G4055" i="25"/>
  <c r="G4044" i="25"/>
  <c r="G4010" i="25"/>
  <c r="D10" i="1"/>
  <c r="D42" i="1"/>
  <c r="CC217" i="7"/>
  <c r="F33" i="22"/>
  <c r="Q31" i="11"/>
  <c r="Q34" i="11" s="1"/>
  <c r="F8" i="22"/>
  <c r="N31" i="11"/>
  <c r="N30" i="11" s="1"/>
  <c r="N33" i="11" s="1"/>
  <c r="J477" i="25"/>
  <c r="U476" i="25"/>
  <c r="P31" i="11"/>
  <c r="P30" i="11" s="1"/>
  <c r="P33" i="11" s="1"/>
  <c r="Q49" i="22"/>
  <c r="Q22" i="22"/>
  <c r="Q26" i="22" s="1"/>
  <c r="H49" i="22"/>
  <c r="H53" i="22" s="1"/>
  <c r="H51" i="22" s="1"/>
  <c r="H22" i="22"/>
  <c r="H26" i="22" s="1"/>
  <c r="H24" i="22" s="1"/>
  <c r="Q62" i="22"/>
  <c r="Q66" i="22" s="1"/>
  <c r="H62" i="22"/>
  <c r="H66" i="22" s="1"/>
  <c r="H64" i="22" s="1"/>
  <c r="J6" i="27"/>
  <c r="M31" i="11"/>
  <c r="M30" i="11" s="1"/>
  <c r="M33" i="11" s="1"/>
  <c r="G217" i="7"/>
  <c r="AK22" i="21"/>
  <c r="AG22" i="21"/>
  <c r="AC22" i="21"/>
  <c r="Y22" i="21"/>
  <c r="U22" i="21"/>
  <c r="Q22" i="21"/>
  <c r="M22" i="21"/>
  <c r="I21" i="21"/>
  <c r="AJ22" i="21"/>
  <c r="AF22" i="21"/>
  <c r="AB22" i="21"/>
  <c r="X22" i="21"/>
  <c r="T22" i="21"/>
  <c r="P22" i="21"/>
  <c r="L22" i="21"/>
  <c r="AM22" i="21"/>
  <c r="AI22" i="21"/>
  <c r="AE22" i="21"/>
  <c r="AA22" i="21"/>
  <c r="W22" i="21"/>
  <c r="S22" i="21"/>
  <c r="O22" i="21"/>
  <c r="K22" i="21"/>
  <c r="AL22" i="21"/>
  <c r="AH22" i="21"/>
  <c r="Z22" i="21"/>
  <c r="V22" i="21"/>
  <c r="R22" i="21"/>
  <c r="J22" i="21"/>
  <c r="AD22" i="21"/>
  <c r="N22" i="21"/>
  <c r="I19" i="21"/>
  <c r="I20" i="21" s="1"/>
  <c r="I23" i="21" s="1"/>
  <c r="N73" i="19"/>
  <c r="N74" i="19" s="1"/>
  <c r="M74" i="19"/>
  <c r="O31" i="11"/>
  <c r="O34" i="11" s="1"/>
  <c r="D9" i="1"/>
  <c r="H62" i="19"/>
  <c r="I62" i="19" s="1"/>
  <c r="J62" i="19" s="1"/>
  <c r="K62" i="19" s="1"/>
  <c r="L62" i="19" s="1"/>
  <c r="M62" i="19" s="1"/>
  <c r="N62" i="19" s="1"/>
  <c r="N64" i="19" s="1"/>
  <c r="F144" i="7"/>
  <c r="G144" i="7" s="1"/>
  <c r="BO143" i="7"/>
  <c r="S10" i="21"/>
  <c r="I11" i="21"/>
  <c r="F7" i="22"/>
  <c r="D24" i="11"/>
  <c r="H31" i="11"/>
  <c r="H34" i="11" s="1"/>
  <c r="F204" i="7"/>
  <c r="L31" i="11"/>
  <c r="L34" i="11" s="1"/>
  <c r="F31" i="11"/>
  <c r="F34" i="11" s="1"/>
  <c r="F63" i="19"/>
  <c r="F64" i="19" s="1"/>
  <c r="G63" i="19"/>
  <c r="G64" i="19" s="1"/>
  <c r="K31" i="11"/>
  <c r="K30" i="11" s="1"/>
  <c r="K33" i="11" s="1"/>
  <c r="Q92" i="11"/>
  <c r="Q91" i="11" s="1"/>
  <c r="Q94" i="11" s="1"/>
  <c r="K92" i="11"/>
  <c r="K95" i="11" s="1"/>
  <c r="G31" i="11"/>
  <c r="G30" i="11" s="1"/>
  <c r="G33" i="11" s="1"/>
  <c r="I31" i="11"/>
  <c r="I30" i="11" s="1"/>
  <c r="I33" i="11" s="1"/>
  <c r="J31" i="11"/>
  <c r="J30" i="11" s="1"/>
  <c r="J33" i="11" s="1"/>
  <c r="H30" i="11"/>
  <c r="H33" i="11" s="1"/>
  <c r="D28" i="11"/>
  <c r="E31" i="11"/>
  <c r="E30" i="11" s="1"/>
  <c r="E33" i="11" s="1"/>
  <c r="D85" i="11"/>
  <c r="D86" i="11" s="1"/>
  <c r="D89" i="11"/>
  <c r="D90" i="11" s="1"/>
  <c r="G92" i="11"/>
  <c r="G91" i="11" s="1"/>
  <c r="G94" i="11" s="1"/>
  <c r="L92" i="11"/>
  <c r="L95" i="11" s="1"/>
  <c r="P92" i="11"/>
  <c r="P91" i="11" s="1"/>
  <c r="P94" i="11" s="1"/>
  <c r="M92" i="11"/>
  <c r="M91" i="11" s="1"/>
  <c r="M94" i="11" s="1"/>
  <c r="F92" i="11"/>
  <c r="F95" i="11" s="1"/>
  <c r="J92" i="11"/>
  <c r="J95" i="11" s="1"/>
  <c r="E92" i="11"/>
  <c r="E91" i="11" s="1"/>
  <c r="E94" i="11" s="1"/>
  <c r="I92" i="11"/>
  <c r="I91" i="11" s="1"/>
  <c r="I94" i="11" s="1"/>
  <c r="N92" i="11"/>
  <c r="N95" i="11" s="1"/>
  <c r="D76" i="11"/>
  <c r="D77" i="11" s="1"/>
  <c r="O92" i="11"/>
  <c r="O95" i="11" s="1"/>
  <c r="D84" i="11"/>
  <c r="H92" i="11"/>
  <c r="H95" i="11" s="1"/>
  <c r="F70" i="7"/>
  <c r="F10" i="7"/>
  <c r="BO9" i="7"/>
  <c r="G9" i="7"/>
  <c r="Q30" i="11" l="1"/>
  <c r="Q33" i="11" s="1"/>
  <c r="E28" i="18"/>
  <c r="E12" i="18"/>
  <c r="N34" i="11"/>
  <c r="F30" i="11"/>
  <c r="F33" i="11" s="1"/>
  <c r="J478" i="25"/>
  <c r="U477" i="25"/>
  <c r="P34" i="11"/>
  <c r="M34" i="11"/>
  <c r="Q9" i="22"/>
  <c r="S14" i="21" s="1"/>
  <c r="Q53" i="22"/>
  <c r="Q13" i="22" s="1"/>
  <c r="O30" i="11"/>
  <c r="O33" i="11" s="1"/>
  <c r="J9" i="21"/>
  <c r="J8" i="21"/>
  <c r="L30" i="11"/>
  <c r="L33" i="11" s="1"/>
  <c r="Q95" i="11"/>
  <c r="G34" i="11"/>
  <c r="I34" i="11"/>
  <c r="H63" i="19"/>
  <c r="H64" i="19" s="1"/>
  <c r="G95" i="11"/>
  <c r="K91" i="11"/>
  <c r="K94" i="11" s="1"/>
  <c r="K34" i="11"/>
  <c r="L91" i="11"/>
  <c r="L94" i="11" s="1"/>
  <c r="J34" i="11"/>
  <c r="P95" i="11"/>
  <c r="M95" i="11"/>
  <c r="E34" i="11"/>
  <c r="O91" i="11"/>
  <c r="O94" i="11" s="1"/>
  <c r="H91" i="11"/>
  <c r="H94" i="11" s="1"/>
  <c r="I95" i="11"/>
  <c r="J91" i="11"/>
  <c r="J94" i="11" s="1"/>
  <c r="E95" i="11"/>
  <c r="F91" i="11"/>
  <c r="F94" i="11" s="1"/>
  <c r="N91" i="11"/>
  <c r="N94" i="11" s="1"/>
  <c r="D92" i="11"/>
  <c r="D91" i="11" s="1"/>
  <c r="D94" i="11" s="1"/>
  <c r="J479" i="25" l="1"/>
  <c r="U478" i="25"/>
  <c r="J10" i="21"/>
  <c r="J11" i="21" s="1"/>
  <c r="H36" i="22" s="1"/>
  <c r="D95" i="11"/>
  <c r="J480" i="25" l="1"/>
  <c r="U479" i="25"/>
  <c r="F13" i="11"/>
  <c r="H40" i="22"/>
  <c r="H9" i="22"/>
  <c r="J14" i="21" s="1"/>
  <c r="J17" i="21" s="1"/>
  <c r="J18" i="21" s="1"/>
  <c r="I63" i="19"/>
  <c r="I64" i="19" s="1"/>
  <c r="J63" i="19"/>
  <c r="J64" i="19" s="1"/>
  <c r="L13" i="11"/>
  <c r="I13" i="11"/>
  <c r="O13" i="11"/>
  <c r="G13" i="11"/>
  <c r="M13" i="11"/>
  <c r="P13" i="11"/>
  <c r="K13" i="11"/>
  <c r="Q13" i="11"/>
  <c r="J13" i="11"/>
  <c r="H13" i="11"/>
  <c r="D13" i="11"/>
  <c r="J481" i="25" l="1"/>
  <c r="U480" i="25"/>
  <c r="N13" i="11"/>
  <c r="E13" i="11"/>
  <c r="D44" i="1"/>
  <c r="S42" i="1" s="1"/>
  <c r="J19" i="21"/>
  <c r="J20" i="21" s="1"/>
  <c r="J23" i="21" s="1"/>
  <c r="H38" i="22"/>
  <c r="H13" i="22"/>
  <c r="K63" i="19"/>
  <c r="K64" i="19" s="1"/>
  <c r="E15" i="11"/>
  <c r="AB20" i="10"/>
  <c r="J482" i="25" l="1"/>
  <c r="U481" i="25"/>
  <c r="H47" i="1"/>
  <c r="T50" i="1" s="1"/>
  <c r="D47" i="1"/>
  <c r="R47" i="1" s="1"/>
  <c r="F47" i="1"/>
  <c r="E74" i="7"/>
  <c r="E47" i="1"/>
  <c r="D74" i="7"/>
  <c r="H39" i="22"/>
  <c r="H11" i="22"/>
  <c r="H12" i="22" s="1"/>
  <c r="K9" i="21"/>
  <c r="K8" i="21"/>
  <c r="H65" i="22"/>
  <c r="H25" i="22"/>
  <c r="H52" i="22"/>
  <c r="L63" i="19"/>
  <c r="L64" i="19" s="1"/>
  <c r="L15" i="11"/>
  <c r="H15" i="11"/>
  <c r="P15" i="11"/>
  <c r="N15" i="11"/>
  <c r="J15" i="11"/>
  <c r="K15" i="11"/>
  <c r="Q15" i="11"/>
  <c r="M15" i="11"/>
  <c r="F15" i="11"/>
  <c r="I15" i="11"/>
  <c r="O15" i="11"/>
  <c r="G15" i="11"/>
  <c r="M98" i="11"/>
  <c r="N98" i="11"/>
  <c r="J483" i="25" l="1"/>
  <c r="U482" i="25"/>
  <c r="T48" i="1"/>
  <c r="R49" i="1"/>
  <c r="R48" i="1"/>
  <c r="T47" i="1"/>
  <c r="E7" i="7"/>
  <c r="G47" i="1"/>
  <c r="E214" i="7"/>
  <c r="K10" i="21"/>
  <c r="K11" i="21" s="1"/>
  <c r="M63" i="19"/>
  <c r="M64" i="19" s="1"/>
  <c r="J484" i="25" l="1"/>
  <c r="U483" i="25"/>
  <c r="E48" i="1"/>
  <c r="D75" i="7"/>
  <c r="E141" i="7"/>
  <c r="O9" i="7"/>
  <c r="AE9" i="7"/>
  <c r="AU9" i="7"/>
  <c r="BK9" i="7"/>
  <c r="AJ9" i="7"/>
  <c r="BL9" i="7"/>
  <c r="AN9" i="7"/>
  <c r="M9" i="7"/>
  <c r="AC9" i="7"/>
  <c r="AS9" i="7"/>
  <c r="BI9" i="7"/>
  <c r="V9" i="7"/>
  <c r="BB9" i="7"/>
  <c r="AH9" i="7"/>
  <c r="BN9" i="7"/>
  <c r="AB9" i="7"/>
  <c r="I9" i="7"/>
  <c r="R9" i="7"/>
  <c r="Z9" i="7"/>
  <c r="S9" i="7"/>
  <c r="AI9" i="7"/>
  <c r="AY9" i="7"/>
  <c r="L9" i="7"/>
  <c r="AR9" i="7"/>
  <c r="P9" i="7"/>
  <c r="AV9" i="7"/>
  <c r="Q9" i="7"/>
  <c r="AG9" i="7"/>
  <c r="AW9" i="7"/>
  <c r="BM9" i="7"/>
  <c r="AD9" i="7"/>
  <c r="BJ9" i="7"/>
  <c r="AP9" i="7"/>
  <c r="K9" i="7"/>
  <c r="BG9" i="7"/>
  <c r="AF9" i="7"/>
  <c r="BE9" i="7"/>
  <c r="BF9" i="7"/>
  <c r="W9" i="7"/>
  <c r="AM9" i="7"/>
  <c r="BC9" i="7"/>
  <c r="T9" i="7"/>
  <c r="AZ9" i="7"/>
  <c r="X9" i="7"/>
  <c r="BD9" i="7"/>
  <c r="U9" i="7"/>
  <c r="AK9" i="7"/>
  <c r="BA9" i="7"/>
  <c r="J9" i="7"/>
  <c r="AL9" i="7"/>
  <c r="N9" i="7"/>
  <c r="AX9" i="7"/>
  <c r="AA9" i="7"/>
  <c r="AQ9" i="7"/>
  <c r="BH9" i="7"/>
  <c r="Y9" i="7"/>
  <c r="AO9" i="7"/>
  <c r="AT9" i="7"/>
  <c r="H9" i="7"/>
  <c r="T49" i="1"/>
  <c r="R50" i="1"/>
  <c r="F48" i="1"/>
  <c r="E75" i="7"/>
  <c r="H48" i="1"/>
  <c r="U50" i="1" s="1"/>
  <c r="D48" i="1"/>
  <c r="S47" i="1" s="1"/>
  <c r="P216" i="7"/>
  <c r="AF216" i="7"/>
  <c r="AT216" i="7"/>
  <c r="AZ216" i="7"/>
  <c r="BE216" i="7"/>
  <c r="BI216" i="7"/>
  <c r="BM216" i="7"/>
  <c r="BQ216" i="7"/>
  <c r="BU216" i="7"/>
  <c r="CE216" i="7"/>
  <c r="CI216" i="7"/>
  <c r="CM216" i="7"/>
  <c r="CQ216" i="7"/>
  <c r="CU216" i="7"/>
  <c r="CY216" i="7"/>
  <c r="DC216" i="7"/>
  <c r="T216" i="7"/>
  <c r="AJ216" i="7"/>
  <c r="AU216" i="7"/>
  <c r="BB216" i="7"/>
  <c r="BF216" i="7"/>
  <c r="BJ216" i="7"/>
  <c r="BN216" i="7"/>
  <c r="BR216" i="7"/>
  <c r="CF216" i="7"/>
  <c r="CJ216" i="7"/>
  <c r="CN216" i="7"/>
  <c r="CR216" i="7"/>
  <c r="CV216" i="7"/>
  <c r="CZ216" i="7"/>
  <c r="DD216" i="7"/>
  <c r="H216" i="7"/>
  <c r="X216" i="7"/>
  <c r="AX216" i="7"/>
  <c r="BC216" i="7"/>
  <c r="BG216" i="7"/>
  <c r="BK216" i="7"/>
  <c r="BO216" i="7"/>
  <c r="BS216" i="7"/>
  <c r="CG216" i="7"/>
  <c r="CK216" i="7"/>
  <c r="CO216" i="7"/>
  <c r="CS216" i="7"/>
  <c r="CW216" i="7"/>
  <c r="DA216" i="7"/>
  <c r="DE216" i="7"/>
  <c r="L216" i="7"/>
  <c r="AB216" i="7"/>
  <c r="AY216" i="7"/>
  <c r="BD216" i="7"/>
  <c r="BH216" i="7"/>
  <c r="BL216" i="7"/>
  <c r="BP216" i="7"/>
  <c r="BT216" i="7"/>
  <c r="CD216" i="7"/>
  <c r="CD217" i="7" s="1"/>
  <c r="H217" i="7" s="1"/>
  <c r="CH216" i="7"/>
  <c r="CH217" i="7" s="1"/>
  <c r="L217" i="7" s="1"/>
  <c r="CL216" i="7"/>
  <c r="CL217" i="7" s="1"/>
  <c r="P217" i="7" s="1"/>
  <c r="CP216" i="7"/>
  <c r="CP217" i="7" s="1"/>
  <c r="T217" i="7" s="1"/>
  <c r="CX216" i="7"/>
  <c r="DF216" i="7"/>
  <c r="CT216" i="7"/>
  <c r="DB216" i="7"/>
  <c r="M216" i="7"/>
  <c r="I216" i="7"/>
  <c r="AS216" i="7"/>
  <c r="W216" i="7"/>
  <c r="AV216" i="7"/>
  <c r="V216" i="7"/>
  <c r="AG216" i="7"/>
  <c r="Q216" i="7"/>
  <c r="AI216" i="7"/>
  <c r="S216" i="7"/>
  <c r="AH216" i="7"/>
  <c r="R216" i="7"/>
  <c r="AC216" i="7"/>
  <c r="BA216" i="7"/>
  <c r="AE216" i="7"/>
  <c r="O216" i="7"/>
  <c r="AD216" i="7"/>
  <c r="N216" i="7"/>
  <c r="Y216" i="7"/>
  <c r="AW216" i="7"/>
  <c r="J216" i="7"/>
  <c r="AA216" i="7"/>
  <c r="U216" i="7"/>
  <c r="K216" i="7"/>
  <c r="Z216" i="7"/>
  <c r="I22" i="22"/>
  <c r="I26" i="22" s="1"/>
  <c r="I24" i="22" s="1"/>
  <c r="I62" i="22"/>
  <c r="I66" i="22" s="1"/>
  <c r="I64" i="22" s="1"/>
  <c r="I49" i="22"/>
  <c r="I53" i="22" s="1"/>
  <c r="I51" i="22" s="1"/>
  <c r="I36" i="22"/>
  <c r="N63" i="19"/>
  <c r="L9" i="10"/>
  <c r="N122" i="11"/>
  <c r="D122" i="11" s="1"/>
  <c r="M122" i="11"/>
  <c r="N119" i="11"/>
  <c r="M119" i="11"/>
  <c r="L119" i="11"/>
  <c r="K119" i="11"/>
  <c r="J119" i="11"/>
  <c r="I119" i="11"/>
  <c r="H119" i="11"/>
  <c r="G119" i="11"/>
  <c r="F119" i="11"/>
  <c r="E119" i="11"/>
  <c r="N116" i="11"/>
  <c r="M116" i="11"/>
  <c r="L116" i="11"/>
  <c r="K116" i="11"/>
  <c r="J116" i="11"/>
  <c r="I116" i="11"/>
  <c r="H116" i="11"/>
  <c r="G116" i="11"/>
  <c r="F116" i="11"/>
  <c r="E116" i="11"/>
  <c r="N114" i="11"/>
  <c r="M114" i="11"/>
  <c r="L114" i="11"/>
  <c r="K114" i="11"/>
  <c r="J114" i="11"/>
  <c r="I114" i="11"/>
  <c r="H114" i="11"/>
  <c r="G114" i="11"/>
  <c r="F114" i="11"/>
  <c r="E114" i="11"/>
  <c r="L112" i="11"/>
  <c r="M111" i="11"/>
  <c r="L111" i="11"/>
  <c r="N106" i="11"/>
  <c r="N107" i="11" s="1"/>
  <c r="M106" i="11"/>
  <c r="M107" i="11" s="1"/>
  <c r="L106" i="11"/>
  <c r="L107" i="11" s="1"/>
  <c r="K106" i="11"/>
  <c r="K107" i="11" s="1"/>
  <c r="J106" i="11"/>
  <c r="J107" i="11" s="1"/>
  <c r="I106" i="11"/>
  <c r="I107" i="11" s="1"/>
  <c r="H106" i="11"/>
  <c r="H107" i="11" s="1"/>
  <c r="G106" i="11"/>
  <c r="G107" i="11" s="1"/>
  <c r="F106" i="11"/>
  <c r="F107" i="11" s="1"/>
  <c r="E106" i="11"/>
  <c r="E107" i="11" s="1"/>
  <c r="N105" i="11"/>
  <c r="M105" i="11"/>
  <c r="L105" i="11"/>
  <c r="K105" i="11"/>
  <c r="J105" i="11"/>
  <c r="I105" i="11"/>
  <c r="H105" i="11"/>
  <c r="G105" i="11"/>
  <c r="F105" i="11"/>
  <c r="E105" i="11"/>
  <c r="J485" i="25" l="1"/>
  <c r="U484" i="25"/>
  <c r="DA217" i="7"/>
  <c r="AE217" i="7" s="1"/>
  <c r="CK217" i="7"/>
  <c r="O217" i="7" s="1"/>
  <c r="CV217" i="7"/>
  <c r="Z217" i="7" s="1"/>
  <c r="CF217" i="7"/>
  <c r="J217" i="7" s="1"/>
  <c r="CX217" i="7"/>
  <c r="AB217" i="7" s="1"/>
  <c r="CS217" i="7"/>
  <c r="W217" i="7" s="1"/>
  <c r="DD217" i="7"/>
  <c r="AH217" i="7" s="1"/>
  <c r="CN217" i="7"/>
  <c r="R217" i="7" s="1"/>
  <c r="CI217" i="7"/>
  <c r="M217" i="7" s="1"/>
  <c r="DB217" i="7"/>
  <c r="AF217" i="7" s="1"/>
  <c r="DE217" i="7"/>
  <c r="AI217" i="7" s="1"/>
  <c r="CO217" i="7"/>
  <c r="S217" i="7" s="1"/>
  <c r="CZ217" i="7"/>
  <c r="AD217" i="7" s="1"/>
  <c r="CJ217" i="7"/>
  <c r="N217" i="7" s="1"/>
  <c r="CU217" i="7"/>
  <c r="Y217" i="7" s="1"/>
  <c r="CE217" i="7"/>
  <c r="I217" i="7" s="1"/>
  <c r="BC137" i="7"/>
  <c r="BL77" i="7"/>
  <c r="BG136" i="7"/>
  <c r="BG137" i="7"/>
  <c r="L78" i="7"/>
  <c r="O79" i="7"/>
  <c r="R80" i="7"/>
  <c r="U81" i="7"/>
  <c r="X82" i="7"/>
  <c r="AU137" i="7"/>
  <c r="BF77" i="7"/>
  <c r="AY136" i="7"/>
  <c r="AY137" i="7"/>
  <c r="P78" i="7"/>
  <c r="S79" i="7"/>
  <c r="V80" i="7"/>
  <c r="Y81" i="7"/>
  <c r="AB82" i="7"/>
  <c r="AM137" i="7"/>
  <c r="AX77" i="7"/>
  <c r="AQ136" i="7"/>
  <c r="K137" i="7"/>
  <c r="AZ78" i="7"/>
  <c r="BC79" i="7"/>
  <c r="BF80" i="7"/>
  <c r="BI81" i="7"/>
  <c r="BL82" i="7"/>
  <c r="AK78" i="7"/>
  <c r="AN79" i="7"/>
  <c r="AQ80" i="7"/>
  <c r="AM77" i="7"/>
  <c r="BJ80" i="7"/>
  <c r="AA83" i="7"/>
  <c r="T79" i="7"/>
  <c r="AU80" i="7"/>
  <c r="AX81" i="7"/>
  <c r="BA82" i="7"/>
  <c r="V78" i="7"/>
  <c r="Y79" i="7"/>
  <c r="AB80" i="7"/>
  <c r="AE81" i="7"/>
  <c r="AH82" i="7"/>
  <c r="AK83" i="7"/>
  <c r="BK78" i="7"/>
  <c r="BN79" i="7"/>
  <c r="H81" i="7"/>
  <c r="K82" i="7"/>
  <c r="N83" i="7"/>
  <c r="T84" i="7"/>
  <c r="BO137" i="7"/>
  <c r="Q81" i="7"/>
  <c r="AE83" i="7"/>
  <c r="AB79" i="7"/>
  <c r="AY80" i="7"/>
  <c r="BH136" i="7"/>
  <c r="AA79" i="7"/>
  <c r="BD82" i="7"/>
  <c r="AW78" i="7"/>
  <c r="O80" i="7"/>
  <c r="Z81" i="7"/>
  <c r="M78" i="7"/>
  <c r="BJ81" i="7"/>
  <c r="AB83" i="7"/>
  <c r="Q79" i="7"/>
  <c r="AN80" i="7"/>
  <c r="BO81" i="7"/>
  <c r="AC83" i="7"/>
  <c r="N79" i="7"/>
  <c r="AO80" i="7"/>
  <c r="BL81" i="7"/>
  <c r="Z83" i="7"/>
  <c r="AV84" i="7"/>
  <c r="AY85" i="7"/>
  <c r="BB86" i="7"/>
  <c r="BE87" i="7"/>
  <c r="BH88" i="7"/>
  <c r="AC84" i="7"/>
  <c r="AF85" i="7"/>
  <c r="AI86" i="7"/>
  <c r="AL87" i="7"/>
  <c r="AO88" i="7"/>
  <c r="J84" i="7"/>
  <c r="M85" i="7"/>
  <c r="P86" i="7"/>
  <c r="AL83" i="7"/>
  <c r="AQ84" i="7"/>
  <c r="AT85" i="7"/>
  <c r="AW86" i="7"/>
  <c r="R88" i="7"/>
  <c r="AW89" i="7"/>
  <c r="AZ90" i="7"/>
  <c r="BC91" i="7"/>
  <c r="BF92" i="7"/>
  <c r="BI93" i="7"/>
  <c r="BL94" i="7"/>
  <c r="BO95" i="7"/>
  <c r="AI88" i="7"/>
  <c r="BF89" i="7"/>
  <c r="BI90" i="7"/>
  <c r="BL91" i="7"/>
  <c r="BO92" i="7"/>
  <c r="AL137" i="7"/>
  <c r="BH79" i="7"/>
  <c r="AC82" i="7"/>
  <c r="R78" i="7"/>
  <c r="AS79" i="7"/>
  <c r="G81" i="7"/>
  <c r="AD82" i="7"/>
  <c r="S78" i="7"/>
  <c r="AP79" i="7"/>
  <c r="BM80" i="7"/>
  <c r="AE82" i="7"/>
  <c r="BE83" i="7"/>
  <c r="G85" i="7"/>
  <c r="J86" i="7"/>
  <c r="M87" i="7"/>
  <c r="P88" i="7"/>
  <c r="AT83" i="7"/>
  <c r="BE78" i="7"/>
  <c r="M82" i="7"/>
  <c r="AJ83" i="7"/>
  <c r="AC79" i="7"/>
  <c r="AZ80" i="7"/>
  <c r="N82" i="7"/>
  <c r="AO83" i="7"/>
  <c r="Z79" i="7"/>
  <c r="AW80" i="7"/>
  <c r="O82" i="7"/>
  <c r="AM83" i="7"/>
  <c r="BD84" i="7"/>
  <c r="BG85" i="7"/>
  <c r="BJ86" i="7"/>
  <c r="BM87" i="7"/>
  <c r="G89" i="7"/>
  <c r="Q82" i="7"/>
  <c r="V82" i="7"/>
  <c r="S82" i="7"/>
  <c r="BN86" i="7"/>
  <c r="AO84" i="7"/>
  <c r="G86" i="7"/>
  <c r="AD87" i="7"/>
  <c r="BA88" i="7"/>
  <c r="AT84" i="7"/>
  <c r="H86" i="7"/>
  <c r="AZ83" i="7"/>
  <c r="R85" i="7"/>
  <c r="AO86" i="7"/>
  <c r="AP88" i="7"/>
  <c r="X90" i="7"/>
  <c r="AU91" i="7"/>
  <c r="I93" i="7"/>
  <c r="AJ94" i="7"/>
  <c r="BG95" i="7"/>
  <c r="BG88" i="7"/>
  <c r="AG90" i="7"/>
  <c r="BD91" i="7"/>
  <c r="R93" i="7"/>
  <c r="AG94" i="7"/>
  <c r="AJ95" i="7"/>
  <c r="AI87" i="7"/>
  <c r="AA89" i="7"/>
  <c r="AD90" i="7"/>
  <c r="AG91" i="7"/>
  <c r="AJ92" i="7"/>
  <c r="AM93" i="7"/>
  <c r="BK88" i="7"/>
  <c r="K90" i="7"/>
  <c r="N91" i="7"/>
  <c r="Q92" i="7"/>
  <c r="T93" i="7"/>
  <c r="BC94" i="7"/>
  <c r="AU96" i="7"/>
  <c r="AX97" i="7"/>
  <c r="BA98" i="7"/>
  <c r="BD99" i="7"/>
  <c r="BG100" i="7"/>
  <c r="BJ101" i="7"/>
  <c r="BM102" i="7"/>
  <c r="G104" i="7"/>
  <c r="J105" i="7"/>
  <c r="M106" i="7"/>
  <c r="AS95" i="7"/>
  <c r="K97" i="7"/>
  <c r="N98" i="7"/>
  <c r="Q99" i="7"/>
  <c r="T100" i="7"/>
  <c r="W101" i="7"/>
  <c r="Z102" i="7"/>
  <c r="AC103" i="7"/>
  <c r="BO77" i="7"/>
  <c r="BA79" i="7"/>
  <c r="BB79" i="7"/>
  <c r="O85" i="7"/>
  <c r="BB83" i="7"/>
  <c r="AB85" i="7"/>
  <c r="BC86" i="7"/>
  <c r="Q88" i="7"/>
  <c r="BO83" i="7"/>
  <c r="AG85" i="7"/>
  <c r="BD86" i="7"/>
  <c r="AM84" i="7"/>
  <c r="BN85" i="7"/>
  <c r="AE87" i="7"/>
  <c r="AS89" i="7"/>
  <c r="K91" i="7"/>
  <c r="AH92" i="7"/>
  <c r="BE93" i="7"/>
  <c r="W95" i="7"/>
  <c r="AV87" i="7"/>
  <c r="BB89" i="7"/>
  <c r="T91" i="7"/>
  <c r="AX78" i="7"/>
  <c r="AY78" i="7"/>
  <c r="AB84" i="7"/>
  <c r="AN88" i="7"/>
  <c r="L85" i="7"/>
  <c r="AM86" i="7"/>
  <c r="BJ87" i="7"/>
  <c r="AY83" i="7"/>
  <c r="Q85" i="7"/>
  <c r="AN86" i="7"/>
  <c r="W84" i="7"/>
  <c r="AX85" i="7"/>
  <c r="L87" i="7"/>
  <c r="AC89" i="7"/>
  <c r="BD90" i="7"/>
  <c r="R92" i="7"/>
  <c r="AO93" i="7"/>
  <c r="G95" i="7"/>
  <c r="AD96" i="7"/>
  <c r="AL89" i="7"/>
  <c r="BM90" i="7"/>
  <c r="AG80" i="7"/>
  <c r="BK86" i="7"/>
  <c r="G87" i="7"/>
  <c r="BE89" i="7"/>
  <c r="AE95" i="7"/>
  <c r="BH91" i="7"/>
  <c r="AX93" i="7"/>
  <c r="P95" i="7"/>
  <c r="AQ87" i="7"/>
  <c r="AY89" i="7"/>
  <c r="M91" i="7"/>
  <c r="AN92" i="7"/>
  <c r="AR87" i="7"/>
  <c r="AZ89" i="7"/>
  <c r="R91" i="7"/>
  <c r="AO92" i="7"/>
  <c r="O94" i="7"/>
  <c r="AY96" i="7"/>
  <c r="M98" i="7"/>
  <c r="AJ99" i="7"/>
  <c r="BK100" i="7"/>
  <c r="Y102" i="7"/>
  <c r="AV103" i="7"/>
  <c r="N105" i="7"/>
  <c r="Z94" i="7"/>
  <c r="AZ96" i="7"/>
  <c r="R98" i="7"/>
  <c r="AO99" i="7"/>
  <c r="BL100" i="7"/>
  <c r="AD102" i="7"/>
  <c r="BA103" i="7"/>
  <c r="BL104" i="7"/>
  <c r="BO105" i="7"/>
  <c r="AD95" i="7"/>
  <c r="BM96" i="7"/>
  <c r="G98" i="7"/>
  <c r="J99" i="7"/>
  <c r="M100" i="7"/>
  <c r="P101" i="7"/>
  <c r="S102" i="7"/>
  <c r="V103" i="7"/>
  <c r="Q95" i="7"/>
  <c r="BF96" i="7"/>
  <c r="BI97" i="7"/>
  <c r="BL98" i="7"/>
  <c r="BO99" i="7"/>
  <c r="I101" i="7"/>
  <c r="L102" i="7"/>
  <c r="O103" i="7"/>
  <c r="BB104" i="7"/>
  <c r="AN106" i="7"/>
  <c r="AQ107" i="7"/>
  <c r="AT108" i="7"/>
  <c r="AW109" i="7"/>
  <c r="AZ110" i="7"/>
  <c r="BC111" i="7"/>
  <c r="BF112" i="7"/>
  <c r="BI113" i="7"/>
  <c r="BL114" i="7"/>
  <c r="BO115" i="7"/>
  <c r="AJ105" i="7"/>
  <c r="BI106" i="7"/>
  <c r="BL107" i="7"/>
  <c r="BO108" i="7"/>
  <c r="I110" i="7"/>
  <c r="L111" i="7"/>
  <c r="O112" i="7"/>
  <c r="R113" i="7"/>
  <c r="U114" i="7"/>
  <c r="X115" i="7"/>
  <c r="R104" i="7"/>
  <c r="V106" i="7"/>
  <c r="Y107" i="7"/>
  <c r="AB108" i="7"/>
  <c r="AE109" i="7"/>
  <c r="AH110" i="7"/>
  <c r="AK111" i="7"/>
  <c r="AN112" i="7"/>
  <c r="AQ113" i="7"/>
  <c r="X105" i="7"/>
  <c r="BC106" i="7"/>
  <c r="BF107" i="7"/>
  <c r="BI108" i="7"/>
  <c r="BL109" i="7"/>
  <c r="BO110" i="7"/>
  <c r="BG81" i="7"/>
  <c r="BH85" i="7"/>
  <c r="BM85" i="7"/>
  <c r="AH88" i="7"/>
  <c r="AB94" i="7"/>
  <c r="AN91" i="7"/>
  <c r="AD93" i="7"/>
  <c r="BI94" i="7"/>
  <c r="AA96" i="7"/>
  <c r="AI89" i="7"/>
  <c r="BF90" i="7"/>
  <c r="X92" i="7"/>
  <c r="AU93" i="7"/>
  <c r="AJ89" i="7"/>
  <c r="BK90" i="7"/>
  <c r="Y92" i="7"/>
  <c r="AV93" i="7"/>
  <c r="AI96" i="7"/>
  <c r="BF97" i="7"/>
  <c r="T99" i="7"/>
  <c r="AU100" i="7"/>
  <c r="I102" i="7"/>
  <c r="AF103" i="7"/>
  <c r="BG104" i="7"/>
  <c r="BC93" i="7"/>
  <c r="W137" i="7"/>
  <c r="AH77" i="7"/>
  <c r="AA136" i="7"/>
  <c r="AA137" i="7"/>
  <c r="AB78" i="7"/>
  <c r="AE79" i="7"/>
  <c r="AH80" i="7"/>
  <c r="AK81" i="7"/>
  <c r="H136" i="7"/>
  <c r="O137" i="7"/>
  <c r="Z77" i="7"/>
  <c r="K136" i="7"/>
  <c r="S137" i="7"/>
  <c r="AF78" i="7"/>
  <c r="AI79" i="7"/>
  <c r="AL80" i="7"/>
  <c r="AO81" i="7"/>
  <c r="S136" i="7"/>
  <c r="G137" i="7"/>
  <c r="R77" i="7"/>
  <c r="AU77" i="7"/>
  <c r="AN136" i="7"/>
  <c r="G79" i="7"/>
  <c r="J80" i="7"/>
  <c r="M81" i="7"/>
  <c r="P82" i="7"/>
  <c r="S83" i="7"/>
  <c r="BA78" i="7"/>
  <c r="BD79" i="7"/>
  <c r="BK137" i="7"/>
  <c r="AF136" i="7"/>
  <c r="BM81" i="7"/>
  <c r="Q78" i="7"/>
  <c r="AR79" i="7"/>
  <c r="BK80" i="7"/>
  <c r="BN81" i="7"/>
  <c r="H83" i="7"/>
  <c r="AL78" i="7"/>
  <c r="AO79" i="7"/>
  <c r="AR80" i="7"/>
  <c r="AU81" i="7"/>
  <c r="AX82" i="7"/>
  <c r="O78" i="7"/>
  <c r="R79" i="7"/>
  <c r="U80" i="7"/>
  <c r="X81" i="7"/>
  <c r="AA82" i="7"/>
  <c r="AD83" i="7"/>
  <c r="AE137" i="7"/>
  <c r="H78" i="7"/>
  <c r="T82" i="7"/>
  <c r="Y78" i="7"/>
  <c r="AV79" i="7"/>
  <c r="BO80" i="7"/>
  <c r="J77" i="7"/>
  <c r="AD80" i="7"/>
  <c r="O83" i="7"/>
  <c r="L79" i="7"/>
  <c r="AI80" i="7"/>
  <c r="AB136" i="7"/>
  <c r="AJ79" i="7"/>
  <c r="Y82" i="7"/>
  <c r="N78" i="7"/>
  <c r="AK79" i="7"/>
  <c r="BL80" i="7"/>
  <c r="Z82" i="7"/>
  <c r="K78" i="7"/>
  <c r="AL79" i="7"/>
  <c r="BI80" i="7"/>
  <c r="W82" i="7"/>
  <c r="BA83" i="7"/>
  <c r="BL84" i="7"/>
  <c r="BO85" i="7"/>
  <c r="I87" i="7"/>
  <c r="L88" i="7"/>
  <c r="AP83" i="7"/>
  <c r="AS84" i="7"/>
  <c r="AV85" i="7"/>
  <c r="AY86" i="7"/>
  <c r="BB87" i="7"/>
  <c r="BE88" i="7"/>
  <c r="Z84" i="7"/>
  <c r="AC85" i="7"/>
  <c r="AF86" i="7"/>
  <c r="BD83" i="7"/>
  <c r="BG84" i="7"/>
  <c r="BJ85" i="7"/>
  <c r="BM86" i="7"/>
  <c r="AX88" i="7"/>
  <c r="BM89" i="7"/>
  <c r="G91" i="7"/>
  <c r="J92" i="7"/>
  <c r="M93" i="7"/>
  <c r="P94" i="7"/>
  <c r="S95" i="7"/>
  <c r="V96" i="7"/>
  <c r="BO88" i="7"/>
  <c r="M90" i="7"/>
  <c r="P91" i="7"/>
  <c r="S92" i="7"/>
  <c r="V93" i="7"/>
  <c r="AN78" i="7"/>
  <c r="N81" i="7"/>
  <c r="AW82" i="7"/>
  <c r="AP78" i="7"/>
  <c r="BM79" i="7"/>
  <c r="AA81" i="7"/>
  <c r="BB82" i="7"/>
  <c r="AM78" i="7"/>
  <c r="BJ79" i="7"/>
  <c r="AB81" i="7"/>
  <c r="AY82" i="7"/>
  <c r="P84" i="7"/>
  <c r="W85" i="7"/>
  <c r="Z86" i="7"/>
  <c r="AC87" i="7"/>
  <c r="AF88" i="7"/>
  <c r="BJ83" i="7"/>
  <c r="S80" i="7"/>
  <c r="AG82" i="7"/>
  <c r="Z78" i="7"/>
  <c r="AW79" i="7"/>
  <c r="K81" i="7"/>
  <c r="AL82" i="7"/>
  <c r="W78" i="7"/>
  <c r="AT79" i="7"/>
  <c r="L81" i="7"/>
  <c r="AI82" i="7"/>
  <c r="BI83" i="7"/>
  <c r="K85" i="7"/>
  <c r="N86" i="7"/>
  <c r="Q87" i="7"/>
  <c r="T88" i="7"/>
  <c r="AX83" i="7"/>
  <c r="J78" i="7"/>
  <c r="G78" i="7"/>
  <c r="AS83" i="7"/>
  <c r="H88" i="7"/>
  <c r="BM84" i="7"/>
  <c r="AA86" i="7"/>
  <c r="AX87" i="7"/>
  <c r="AQ83" i="7"/>
  <c r="BN84" i="7"/>
  <c r="AB86" i="7"/>
  <c r="O84" i="7"/>
  <c r="AL85" i="7"/>
  <c r="BI86" i="7"/>
  <c r="U89" i="7"/>
  <c r="AR90" i="7"/>
  <c r="BO91" i="7"/>
  <c r="AG93" i="7"/>
  <c r="BD94" i="7"/>
  <c r="R96" i="7"/>
  <c r="AD89" i="7"/>
  <c r="BA90" i="7"/>
  <c r="O92" i="7"/>
  <c r="AP93" i="7"/>
  <c r="AW94" i="7"/>
  <c r="AZ95" i="7"/>
  <c r="BO87" i="7"/>
  <c r="AQ89" i="7"/>
  <c r="AT90" i="7"/>
  <c r="AW91" i="7"/>
  <c r="AZ92" i="7"/>
  <c r="AB87" i="7"/>
  <c r="X89" i="7"/>
  <c r="AA90" i="7"/>
  <c r="AD91" i="7"/>
  <c r="AG92" i="7"/>
  <c r="AJ93" i="7"/>
  <c r="Z95" i="7"/>
  <c r="BK96" i="7"/>
  <c r="BN97" i="7"/>
  <c r="H99" i="7"/>
  <c r="K100" i="7"/>
  <c r="N101" i="7"/>
  <c r="Q102" i="7"/>
  <c r="T103" i="7"/>
  <c r="W104" i="7"/>
  <c r="Z105" i="7"/>
  <c r="J94" i="7"/>
  <c r="P96" i="7"/>
  <c r="AA97" i="7"/>
  <c r="AD98" i="7"/>
  <c r="AG99" i="7"/>
  <c r="AJ100" i="7"/>
  <c r="AM101" i="7"/>
  <c r="AP102" i="7"/>
  <c r="AS103" i="7"/>
  <c r="AM80" i="7"/>
  <c r="S81" i="7"/>
  <c r="P81" i="7"/>
  <c r="R86" i="7"/>
  <c r="Y84" i="7"/>
  <c r="AZ85" i="7"/>
  <c r="N87" i="7"/>
  <c r="AK88" i="7"/>
  <c r="AD84" i="7"/>
  <c r="BA85" i="7"/>
  <c r="O87" i="7"/>
  <c r="BK84" i="7"/>
  <c r="Y86" i="7"/>
  <c r="J88" i="7"/>
  <c r="H90" i="7"/>
  <c r="AE91" i="7"/>
  <c r="BB92" i="7"/>
  <c r="T94" i="7"/>
  <c r="AQ95" i="7"/>
  <c r="AA88" i="7"/>
  <c r="Q90" i="7"/>
  <c r="AT80" i="7"/>
  <c r="P80" i="7"/>
  <c r="M80" i="7"/>
  <c r="AE85" i="7"/>
  <c r="I84" i="7"/>
  <c r="AJ85" i="7"/>
  <c r="BG86" i="7"/>
  <c r="U88" i="7"/>
  <c r="N84" i="7"/>
  <c r="AK85" i="7"/>
  <c r="BH86" i="7"/>
  <c r="AU84" i="7"/>
  <c r="I86" i="7"/>
  <c r="AM87" i="7"/>
  <c r="BA89" i="7"/>
  <c r="O91" i="7"/>
  <c r="AL92" i="7"/>
  <c r="BM93" i="7"/>
  <c r="AA95" i="7"/>
  <c r="BD87" i="7"/>
  <c r="BJ89" i="7"/>
  <c r="X91" i="7"/>
  <c r="AU85" i="7"/>
  <c r="AC88" i="7"/>
  <c r="AY84" i="7"/>
  <c r="S91" i="7"/>
  <c r="K88" i="7"/>
  <c r="AA92" i="7"/>
  <c r="M94" i="7"/>
  <c r="AN95" i="7"/>
  <c r="V88" i="7"/>
  <c r="J90" i="7"/>
  <c r="AK91" i="7"/>
  <c r="BH92" i="7"/>
  <c r="W88" i="7"/>
  <c r="O90" i="7"/>
  <c r="AL91" i="7"/>
  <c r="BI92" i="7"/>
  <c r="BK94" i="7"/>
  <c r="J97" i="7"/>
  <c r="AG98" i="7"/>
  <c r="BH99" i="7"/>
  <c r="V101" i="7"/>
  <c r="AS102" i="7"/>
  <c r="K104" i="7"/>
  <c r="AH105" i="7"/>
  <c r="BN94" i="7"/>
  <c r="O97" i="7"/>
  <c r="AL98" i="7"/>
  <c r="BI99" i="7"/>
  <c r="AA101" i="7"/>
  <c r="AX102" i="7"/>
  <c r="L104" i="7"/>
  <c r="S105" i="7"/>
  <c r="BD93" i="7"/>
  <c r="BJ95" i="7"/>
  <c r="T97" i="7"/>
  <c r="W98" i="7"/>
  <c r="Z99" i="7"/>
  <c r="AC100" i="7"/>
  <c r="AF101" i="7"/>
  <c r="AI102" i="7"/>
  <c r="AL103" i="7"/>
  <c r="AW95" i="7"/>
  <c r="M97" i="7"/>
  <c r="P98" i="7"/>
  <c r="S99" i="7"/>
  <c r="V100" i="7"/>
  <c r="Y101" i="7"/>
  <c r="AB102" i="7"/>
  <c r="AE103" i="7"/>
  <c r="Y105" i="7"/>
  <c r="BD106" i="7"/>
  <c r="BG107" i="7"/>
  <c r="BJ108" i="7"/>
  <c r="BM109" i="7"/>
  <c r="G111" i="7"/>
  <c r="J112" i="7"/>
  <c r="M113" i="7"/>
  <c r="P114" i="7"/>
  <c r="S115" i="7"/>
  <c r="BJ103" i="7"/>
  <c r="G106" i="7"/>
  <c r="P107" i="7"/>
  <c r="S108" i="7"/>
  <c r="V109" i="7"/>
  <c r="Y110" i="7"/>
  <c r="AB111" i="7"/>
  <c r="AE112" i="7"/>
  <c r="AH113" i="7"/>
  <c r="AK114" i="7"/>
  <c r="AN115" i="7"/>
  <c r="AX104" i="7"/>
  <c r="AL106" i="7"/>
  <c r="AO107" i="7"/>
  <c r="AR108" i="7"/>
  <c r="AU109" i="7"/>
  <c r="AX110" i="7"/>
  <c r="BA111" i="7"/>
  <c r="BD112" i="7"/>
  <c r="AX103" i="7"/>
  <c r="BD105" i="7"/>
  <c r="J107" i="7"/>
  <c r="M108" i="7"/>
  <c r="P109" i="7"/>
  <c r="S110" i="7"/>
  <c r="V111" i="7"/>
  <c r="BH81" i="7"/>
  <c r="Z87" i="7"/>
  <c r="AV83" i="7"/>
  <c r="P90" i="7"/>
  <c r="BC95" i="7"/>
  <c r="G92" i="7"/>
  <c r="BF93" i="7"/>
  <c r="X95" i="7"/>
  <c r="AY87" i="7"/>
  <c r="BC89" i="7"/>
  <c r="U91" i="7"/>
  <c r="AR92" i="7"/>
  <c r="AZ87" i="7"/>
  <c r="BH89" i="7"/>
  <c r="V91" i="7"/>
  <c r="AS92" i="7"/>
  <c r="AE94" i="7"/>
  <c r="BC96" i="7"/>
  <c r="Q98" i="7"/>
  <c r="AR99" i="7"/>
  <c r="BO100" i="7"/>
  <c r="AC102" i="7"/>
  <c r="BD103" i="7"/>
  <c r="R105" i="7"/>
  <c r="BG77" i="7"/>
  <c r="AZ136" i="7"/>
  <c r="BJ137" i="7"/>
  <c r="BK77" i="7"/>
  <c r="BD136" i="7"/>
  <c r="AR78" i="7"/>
  <c r="AU79" i="7"/>
  <c r="AX80" i="7"/>
  <c r="BA81" i="7"/>
  <c r="AY77" i="7"/>
  <c r="AR136" i="7"/>
  <c r="BB137" i="7"/>
  <c r="BC77" i="7"/>
  <c r="AV136" i="7"/>
  <c r="AV78" i="7"/>
  <c r="AY79" i="7"/>
  <c r="BB80" i="7"/>
  <c r="BE81" i="7"/>
  <c r="AQ77" i="7"/>
  <c r="AJ136" i="7"/>
  <c r="AT137" i="7"/>
  <c r="O77" i="7"/>
  <c r="T78" i="7"/>
  <c r="W79" i="7"/>
  <c r="Z80" i="7"/>
  <c r="AC81" i="7"/>
  <c r="AF82" i="7"/>
  <c r="AI83" i="7"/>
  <c r="H79" i="7"/>
  <c r="K80" i="7"/>
  <c r="G77" i="7"/>
  <c r="G10" i="7" s="1"/>
  <c r="BD78" i="7"/>
  <c r="AR82" i="7"/>
  <c r="AO78" i="7"/>
  <c r="BL79" i="7"/>
  <c r="R81" i="7"/>
  <c r="U82" i="7"/>
  <c r="X83" i="7"/>
  <c r="BB78" i="7"/>
  <c r="BE79" i="7"/>
  <c r="BH80" i="7"/>
  <c r="BK81" i="7"/>
  <c r="BN82" i="7"/>
  <c r="AE78" i="7"/>
  <c r="AH79" i="7"/>
  <c r="AK80" i="7"/>
  <c r="AN81" i="7"/>
  <c r="AQ82" i="7"/>
  <c r="AW83" i="7"/>
  <c r="AP77" i="7"/>
  <c r="K79" i="7"/>
  <c r="AZ82" i="7"/>
  <c r="AS78" i="7"/>
  <c r="G80" i="7"/>
  <c r="V81" i="7"/>
  <c r="AI137" i="7"/>
  <c r="AG81" i="7"/>
  <c r="I78" i="7"/>
  <c r="AF79" i="7"/>
  <c r="BC80" i="7"/>
  <c r="BL136" i="7"/>
  <c r="BG80" i="7"/>
  <c r="AS82" i="7"/>
  <c r="AH78" i="7"/>
  <c r="BI79" i="7"/>
  <c r="W81" i="7"/>
  <c r="AT82" i="7"/>
  <c r="AI78" i="7"/>
  <c r="BF79" i="7"/>
  <c r="T81" i="7"/>
  <c r="AU82" i="7"/>
  <c r="L84" i="7"/>
  <c r="S85" i="7"/>
  <c r="V86" i="7"/>
  <c r="Y87" i="7"/>
  <c r="AB88" i="7"/>
  <c r="BF83" i="7"/>
  <c r="BI84" i="7"/>
  <c r="BL85" i="7"/>
  <c r="BO86" i="7"/>
  <c r="I88" i="7"/>
  <c r="L89" i="7"/>
  <c r="AP84" i="7"/>
  <c r="AS85" i="7"/>
  <c r="AV86" i="7"/>
  <c r="K84" i="7"/>
  <c r="N85" i="7"/>
  <c r="Q86" i="7"/>
  <c r="T87" i="7"/>
  <c r="Q89" i="7"/>
  <c r="T90" i="7"/>
  <c r="W91" i="7"/>
  <c r="Z92" i="7"/>
  <c r="AC93" i="7"/>
  <c r="AF94" i="7"/>
  <c r="AI95" i="7"/>
  <c r="AF87" i="7"/>
  <c r="Z89" i="7"/>
  <c r="AC90" i="7"/>
  <c r="AF91" i="7"/>
  <c r="AI92" i="7"/>
  <c r="AL93" i="7"/>
  <c r="AN82" i="7"/>
  <c r="AT81" i="7"/>
  <c r="L83" i="7"/>
  <c r="BJ78" i="7"/>
  <c r="X80" i="7"/>
  <c r="AY81" i="7"/>
  <c r="M83" i="7"/>
  <c r="BG78" i="7"/>
  <c r="Y80" i="7"/>
  <c r="AV81" i="7"/>
  <c r="J83" i="7"/>
  <c r="AJ84" i="7"/>
  <c r="AM85" i="7"/>
  <c r="AP86" i="7"/>
  <c r="AS87" i="7"/>
  <c r="AV88" i="7"/>
  <c r="AQ79" i="7"/>
  <c r="AD81" i="7"/>
  <c r="BE82" i="7"/>
  <c r="AT78" i="7"/>
  <c r="H80" i="7"/>
  <c r="AI81" i="7"/>
  <c r="BF82" i="7"/>
  <c r="AQ78" i="7"/>
  <c r="I80" i="7"/>
  <c r="AF81" i="7"/>
  <c r="BC82" i="7"/>
  <c r="X84" i="7"/>
  <c r="AA85" i="7"/>
  <c r="AD86" i="7"/>
  <c r="AG87" i="7"/>
  <c r="AJ88" i="7"/>
  <c r="BN83" i="7"/>
  <c r="AG79" i="7"/>
  <c r="AD79" i="7"/>
  <c r="BH84" i="7"/>
  <c r="K89" i="7"/>
  <c r="X85" i="7"/>
  <c r="AU86" i="7"/>
  <c r="M88" i="7"/>
  <c r="BK83" i="7"/>
  <c r="Y85" i="7"/>
  <c r="AZ86" i="7"/>
  <c r="AI84" i="7"/>
  <c r="BF85" i="7"/>
  <c r="W87" i="7"/>
  <c r="AO89" i="7"/>
  <c r="BL90" i="7"/>
  <c r="AD92" i="7"/>
  <c r="BA93" i="7"/>
  <c r="O95" i="7"/>
  <c r="AN87" i="7"/>
  <c r="AX89" i="7"/>
  <c r="L91" i="7"/>
  <c r="AM92" i="7"/>
  <c r="BJ93" i="7"/>
  <c r="BM94" i="7"/>
  <c r="G96" i="7"/>
  <c r="AL88" i="7"/>
  <c r="BG89" i="7"/>
  <c r="BJ90" i="7"/>
  <c r="BM91" i="7"/>
  <c r="G93" i="7"/>
  <c r="BH87" i="7"/>
  <c r="AN89" i="7"/>
  <c r="AQ90" i="7"/>
  <c r="AT91" i="7"/>
  <c r="AW92" i="7"/>
  <c r="AZ93" i="7"/>
  <c r="BF95" i="7"/>
  <c r="R97" i="7"/>
  <c r="U98" i="7"/>
  <c r="X99" i="7"/>
  <c r="AA100" i="7"/>
  <c r="AD101" i="7"/>
  <c r="AG102" i="7"/>
  <c r="AJ103" i="7"/>
  <c r="AM104" i="7"/>
  <c r="AP105" i="7"/>
  <c r="AP94" i="7"/>
  <c r="AN96" i="7"/>
  <c r="AQ97" i="7"/>
  <c r="AT98" i="7"/>
  <c r="AW99" i="7"/>
  <c r="AZ100" i="7"/>
  <c r="BC101" i="7"/>
  <c r="BF102" i="7"/>
  <c r="BI103" i="7"/>
  <c r="AO82" i="7"/>
  <c r="AP82" i="7"/>
  <c r="AM82" i="7"/>
  <c r="U87" i="7"/>
  <c r="AW84" i="7"/>
  <c r="K86" i="7"/>
  <c r="AH87" i="7"/>
  <c r="BI88" i="7"/>
  <c r="AX84" i="7"/>
  <c r="L86" i="7"/>
  <c r="BH83" i="7"/>
  <c r="V85" i="7"/>
  <c r="AS86" i="7"/>
  <c r="BF88" i="7"/>
  <c r="AB90" i="7"/>
  <c r="AY91" i="7"/>
  <c r="Q93" i="7"/>
  <c r="AN94" i="7"/>
  <c r="BK95" i="7"/>
  <c r="N89" i="7"/>
  <c r="AK90" i="7"/>
  <c r="AL81" i="7"/>
  <c r="AM81" i="7"/>
  <c r="AJ81" i="7"/>
  <c r="AH86" i="7"/>
  <c r="AG84" i="7"/>
  <c r="BD85" i="7"/>
  <c r="R87" i="7"/>
  <c r="AS88" i="7"/>
  <c r="AH84" i="7"/>
  <c r="BE85" i="7"/>
  <c r="AR83" i="7"/>
  <c r="BO84" i="7"/>
  <c r="AC86" i="7"/>
  <c r="Z88" i="7"/>
  <c r="L90" i="7"/>
  <c r="AI91" i="7"/>
  <c r="BJ92" i="7"/>
  <c r="X94" i="7"/>
  <c r="AU95" i="7"/>
  <c r="AQ88" i="7"/>
  <c r="U90" i="7"/>
  <c r="W83" i="7"/>
  <c r="Q84" i="7"/>
  <c r="R84" i="7"/>
  <c r="M86" i="7"/>
  <c r="AT92" i="7"/>
  <c r="BN89" i="7"/>
  <c r="BC92" i="7"/>
  <c r="AK94" i="7"/>
  <c r="BH95" i="7"/>
  <c r="BJ88" i="7"/>
  <c r="AH90" i="7"/>
  <c r="BE91" i="7"/>
  <c r="S93" i="7"/>
  <c r="J89" i="7"/>
  <c r="AI90" i="7"/>
  <c r="BF91" i="7"/>
  <c r="X93" i="7"/>
  <c r="AP95" i="7"/>
  <c r="AD97" i="7"/>
  <c r="BE98" i="7"/>
  <c r="S100" i="7"/>
  <c r="AP101" i="7"/>
  <c r="H103" i="7"/>
  <c r="AE104" i="7"/>
  <c r="BB105" i="7"/>
  <c r="BA95" i="7"/>
  <c r="AI97" i="7"/>
  <c r="BF98" i="7"/>
  <c r="X100" i="7"/>
  <c r="AU101" i="7"/>
  <c r="I103" i="7"/>
  <c r="AF104" i="7"/>
  <c r="AI105" i="7"/>
  <c r="AA94" i="7"/>
  <c r="AG96" i="7"/>
  <c r="AJ97" i="7"/>
  <c r="AM98" i="7"/>
  <c r="AP99" i="7"/>
  <c r="AS100" i="7"/>
  <c r="AV101" i="7"/>
  <c r="AY102" i="7"/>
  <c r="N94" i="7"/>
  <c r="T96" i="7"/>
  <c r="AC97" i="7"/>
  <c r="AF98" i="7"/>
  <c r="AI99" i="7"/>
  <c r="AL100" i="7"/>
  <c r="AO101" i="7"/>
  <c r="AR102" i="7"/>
  <c r="AY103" i="7"/>
  <c r="BE105" i="7"/>
  <c r="K107" i="7"/>
  <c r="N108" i="7"/>
  <c r="Q109" i="7"/>
  <c r="T110" i="7"/>
  <c r="W111" i="7"/>
  <c r="Z112" i="7"/>
  <c r="AC113" i="7"/>
  <c r="AF114" i="7"/>
  <c r="AI115" i="7"/>
  <c r="AG104" i="7"/>
  <c r="AC106" i="7"/>
  <c r="AF107" i="7"/>
  <c r="AI108" i="7"/>
  <c r="AL109" i="7"/>
  <c r="AO110" i="7"/>
  <c r="AR111" i="7"/>
  <c r="AU112" i="7"/>
  <c r="AX113" i="7"/>
  <c r="BA114" i="7"/>
  <c r="BD115" i="7"/>
  <c r="U105" i="7"/>
  <c r="BB106" i="7"/>
  <c r="BE107" i="7"/>
  <c r="BH108" i="7"/>
  <c r="BK109" i="7"/>
  <c r="BN110" i="7"/>
  <c r="H112" i="7"/>
  <c r="K113" i="7"/>
  <c r="U104" i="7"/>
  <c r="W106" i="7"/>
  <c r="Z107" i="7"/>
  <c r="AC108" i="7"/>
  <c r="AF109" i="7"/>
  <c r="AI110" i="7"/>
  <c r="AL111" i="7"/>
  <c r="AX86" i="7"/>
  <c r="AW88" i="7"/>
  <c r="J85" i="7"/>
  <c r="AQ91" i="7"/>
  <c r="AY88" i="7"/>
  <c r="AE92" i="7"/>
  <c r="U94" i="7"/>
  <c r="AR95" i="7"/>
  <c r="AD88" i="7"/>
  <c r="R90" i="7"/>
  <c r="AO91" i="7"/>
  <c r="BL92" i="7"/>
  <c r="AM88" i="7"/>
  <c r="S90" i="7"/>
  <c r="AP91" i="7"/>
  <c r="H93" i="7"/>
  <c r="J95" i="7"/>
  <c r="N97" i="7"/>
  <c r="AO98" i="7"/>
  <c r="BL99" i="7"/>
  <c r="Z101" i="7"/>
  <c r="BA102" i="7"/>
  <c r="O104" i="7"/>
  <c r="AL105" i="7"/>
  <c r="U95" i="7"/>
  <c r="S97" i="7"/>
  <c r="AP98" i="7"/>
  <c r="H100" i="7"/>
  <c r="AE101" i="7"/>
  <c r="BB102" i="7"/>
  <c r="T104" i="7"/>
  <c r="W105" i="7"/>
  <c r="BL93" i="7"/>
  <c r="I96" i="7"/>
  <c r="X97" i="7"/>
  <c r="AA98" i="7"/>
  <c r="AD99" i="7"/>
  <c r="AG100" i="7"/>
  <c r="T83" i="7"/>
  <c r="BE84" i="7"/>
  <c r="BJ84" i="7"/>
  <c r="BE86" i="7"/>
  <c r="Y93" i="7"/>
  <c r="AW90" i="7"/>
  <c r="J93" i="7"/>
  <c r="AS94" i="7"/>
  <c r="K96" i="7"/>
  <c r="S89" i="7"/>
  <c r="AP90" i="7"/>
  <c r="H92" i="7"/>
  <c r="AE93" i="7"/>
  <c r="T89" i="7"/>
  <c r="AU90" i="7"/>
  <c r="I92" i="7"/>
  <c r="AF93" i="7"/>
  <c r="BN95" i="7"/>
  <c r="AP97" i="7"/>
  <c r="BM98" i="7"/>
  <c r="AE100" i="7"/>
  <c r="BB101" i="7"/>
  <c r="P103" i="7"/>
  <c r="AQ104" i="7"/>
  <c r="BN105" i="7"/>
  <c r="H96" i="7"/>
  <c r="AU97" i="7"/>
  <c r="I99" i="7"/>
  <c r="AF100" i="7"/>
  <c r="BG101" i="7"/>
  <c r="U103" i="7"/>
  <c r="AN104" i="7"/>
  <c r="AQ105" i="7"/>
  <c r="AQ94" i="7"/>
  <c r="AO96" i="7"/>
  <c r="AR97" i="7"/>
  <c r="AU98" i="7"/>
  <c r="AX99" i="7"/>
  <c r="BA100" i="7"/>
  <c r="AR86" i="7"/>
  <c r="AT93" i="7"/>
  <c r="I91" i="7"/>
  <c r="J91" i="7"/>
  <c r="I98" i="7"/>
  <c r="AR103" i="7"/>
  <c r="J98" i="7"/>
  <c r="AW103" i="7"/>
  <c r="BI96" i="7"/>
  <c r="L101" i="7"/>
  <c r="AM102" i="7"/>
  <c r="AD94" i="7"/>
  <c r="BB96" i="7"/>
  <c r="T98" i="7"/>
  <c r="AQ99" i="7"/>
  <c r="BN100" i="7"/>
  <c r="AF102" i="7"/>
  <c r="BO103" i="7"/>
  <c r="AJ106" i="7"/>
  <c r="BK107" i="7"/>
  <c r="Y109" i="7"/>
  <c r="AV110" i="7"/>
  <c r="N112" i="7"/>
  <c r="AK113" i="7"/>
  <c r="BH114" i="7"/>
  <c r="I104" i="7"/>
  <c r="AK106" i="7"/>
  <c r="BH107" i="7"/>
  <c r="Z109" i="7"/>
  <c r="AW110" i="7"/>
  <c r="K112" i="7"/>
  <c r="AL113" i="7"/>
  <c r="BI114" i="7"/>
  <c r="J104" i="7"/>
  <c r="AP106" i="7"/>
  <c r="BM107" i="7"/>
  <c r="AA109" i="7"/>
  <c r="BB110" i="7"/>
  <c r="P112" i="7"/>
  <c r="AM113" i="7"/>
  <c r="BL105" i="7"/>
  <c r="AH107" i="7"/>
  <c r="BE108" i="7"/>
  <c r="W110" i="7"/>
  <c r="AT111" i="7"/>
  <c r="AW112" i="7"/>
  <c r="AZ113" i="7"/>
  <c r="BB115" i="7"/>
  <c r="BN116" i="7"/>
  <c r="H118" i="7"/>
  <c r="K119" i="7"/>
  <c r="N120" i="7"/>
  <c r="Q121" i="7"/>
  <c r="T122" i="7"/>
  <c r="W123" i="7"/>
  <c r="AO115" i="7"/>
  <c r="BG116" i="7"/>
  <c r="BJ117" i="7"/>
  <c r="BM118" i="7"/>
  <c r="G120" i="7"/>
  <c r="J121" i="7"/>
  <c r="M122" i="7"/>
  <c r="P123" i="7"/>
  <c r="S124" i="7"/>
  <c r="V125" i="7"/>
  <c r="G114" i="7"/>
  <c r="L116" i="7"/>
  <c r="O117" i="7"/>
  <c r="R118" i="7"/>
  <c r="U119" i="7"/>
  <c r="AE77" i="7"/>
  <c r="BN80" i="7"/>
  <c r="V137" i="7"/>
  <c r="BO79" i="7"/>
  <c r="BL135" i="7"/>
  <c r="AM79" i="7"/>
  <c r="U78" i="7"/>
  <c r="BG79" i="7"/>
  <c r="AH81" i="7"/>
  <c r="L80" i="7"/>
  <c r="AU78" i="7"/>
  <c r="BG82" i="7"/>
  <c r="K83" i="7"/>
  <c r="X78" i="7"/>
  <c r="J81" i="7"/>
  <c r="BF78" i="7"/>
  <c r="BC78" i="7"/>
  <c r="AF84" i="7"/>
  <c r="AR88" i="7"/>
  <c r="V87" i="7"/>
  <c r="BI85" i="7"/>
  <c r="AG86" i="7"/>
  <c r="AM91" i="7"/>
  <c r="AY95" i="7"/>
  <c r="AV91" i="7"/>
  <c r="I82" i="7"/>
  <c r="J82" i="7"/>
  <c r="G82" i="7"/>
  <c r="BF86" i="7"/>
  <c r="BB81" i="7"/>
  <c r="BC81" i="7"/>
  <c r="AZ81" i="7"/>
  <c r="AT86" i="7"/>
  <c r="BD80" i="7"/>
  <c r="AR85" i="7"/>
  <c r="AW85" i="7"/>
  <c r="BK87" i="7"/>
  <c r="L94" i="7"/>
  <c r="AJ91" i="7"/>
  <c r="W96" i="7"/>
  <c r="T92" i="7"/>
  <c r="BG90" i="7"/>
  <c r="AC96" i="7"/>
  <c r="AQ100" i="7"/>
  <c r="BC104" i="7"/>
  <c r="BG97" i="7"/>
  <c r="J102" i="7"/>
  <c r="AA78" i="7"/>
  <c r="AE86" i="7"/>
  <c r="AJ86" i="7"/>
  <c r="Y89" i="7"/>
  <c r="BH94" i="7"/>
  <c r="BI82" i="7"/>
  <c r="BA84" i="7"/>
  <c r="BB84" i="7"/>
  <c r="BA86" i="7"/>
  <c r="U93" i="7"/>
  <c r="AO90" i="7"/>
  <c r="BC87" i="7"/>
  <c r="BE94" i="7"/>
  <c r="P92" i="7"/>
  <c r="U92" i="7"/>
  <c r="P99" i="7"/>
  <c r="AY104" i="7"/>
  <c r="U99" i="7"/>
  <c r="AV104" i="7"/>
  <c r="AZ97" i="7"/>
  <c r="BL101" i="7"/>
  <c r="AS97" i="7"/>
  <c r="BE101" i="7"/>
  <c r="AA107" i="7"/>
  <c r="AM111" i="7"/>
  <c r="AY115" i="7"/>
  <c r="AY108" i="7"/>
  <c r="BK112" i="7"/>
  <c r="BA105" i="7"/>
  <c r="R110" i="7"/>
  <c r="BA104" i="7"/>
  <c r="AV109" i="7"/>
  <c r="AL84" i="7"/>
  <c r="BK92" i="7"/>
  <c r="AL90" i="7"/>
  <c r="AM90" i="7"/>
  <c r="AL97" i="7"/>
  <c r="L103" i="7"/>
  <c r="BI95" i="7"/>
  <c r="BK97" i="7"/>
  <c r="AS99" i="7"/>
  <c r="AY101" i="7"/>
  <c r="AK103" i="7"/>
  <c r="G105" i="7"/>
  <c r="AI94" i="7"/>
  <c r="BA96" i="7"/>
  <c r="K98" i="7"/>
  <c r="AT99" i="7"/>
  <c r="BM100" i="7"/>
  <c r="BA87" i="7"/>
  <c r="X86" i="7"/>
  <c r="AN90" i="7"/>
  <c r="V89" i="7"/>
  <c r="AH93" i="7"/>
  <c r="AB95" i="7"/>
  <c r="AT88" i="7"/>
  <c r="BN90" i="7"/>
  <c r="AV92" i="7"/>
  <c r="AU88" i="7"/>
  <c r="BO90" i="7"/>
  <c r="BA92" i="7"/>
  <c r="R95" i="7"/>
  <c r="BJ97" i="7"/>
  <c r="AV99" i="7"/>
  <c r="AH101" i="7"/>
  <c r="AN103" i="7"/>
  <c r="V105" i="7"/>
  <c r="AC95" i="7"/>
  <c r="BO97" i="7"/>
  <c r="BA99" i="7"/>
  <c r="AI101" i="7"/>
  <c r="AO103" i="7"/>
  <c r="K105" i="7"/>
  <c r="K94" i="7"/>
  <c r="BE96" i="7"/>
  <c r="O98" i="7"/>
  <c r="AH99" i="7"/>
  <c r="H101" i="7"/>
  <c r="K95" i="7"/>
  <c r="AU89" i="7"/>
  <c r="AK92" i="7"/>
  <c r="BC100" i="7"/>
  <c r="AV96" i="7"/>
  <c r="BH104" i="7"/>
  <c r="BO98" i="7"/>
  <c r="O102" i="7"/>
  <c r="I95" i="7"/>
  <c r="AK97" i="7"/>
  <c r="W99" i="7"/>
  <c r="AC101" i="7"/>
  <c r="K103" i="7"/>
  <c r="L106" i="7"/>
  <c r="V108" i="7"/>
  <c r="H110" i="7"/>
  <c r="AY111" i="7"/>
  <c r="BE113" i="7"/>
  <c r="AQ115" i="7"/>
  <c r="O106" i="7"/>
  <c r="W108" i="7"/>
  <c r="BN109" i="7"/>
  <c r="AZ111" i="7"/>
  <c r="BF113" i="7"/>
  <c r="AR115" i="7"/>
  <c r="P106" i="7"/>
  <c r="X108" i="7"/>
  <c r="J110" i="7"/>
  <c r="BE111" i="7"/>
  <c r="BF103" i="7"/>
  <c r="AY106" i="7"/>
  <c r="AK108" i="7"/>
  <c r="AQ110" i="7"/>
  <c r="Q112" i="7"/>
  <c r="AJ113" i="7"/>
  <c r="R116" i="7"/>
  <c r="AK117" i="7"/>
  <c r="BD118" i="7"/>
  <c r="AD120" i="7"/>
  <c r="AW121" i="7"/>
  <c r="G123" i="7"/>
  <c r="K116" i="7"/>
  <c r="AD117" i="7"/>
  <c r="AW118" i="7"/>
  <c r="W120" i="7"/>
  <c r="AP121" i="7"/>
  <c r="BI122" i="7"/>
  <c r="AI124" i="7"/>
  <c r="BB125" i="7"/>
  <c r="AP115" i="7"/>
  <c r="AE117" i="7"/>
  <c r="AX118" i="7"/>
  <c r="H120" i="7"/>
  <c r="K121" i="7"/>
  <c r="N122" i="7"/>
  <c r="Q123" i="7"/>
  <c r="T124" i="7"/>
  <c r="W125" i="7"/>
  <c r="R114" i="7"/>
  <c r="Q116" i="7"/>
  <c r="T117" i="7"/>
  <c r="W118" i="7"/>
  <c r="Z119" i="7"/>
  <c r="AC120" i="7"/>
  <c r="AF121" i="7"/>
  <c r="AI122" i="7"/>
  <c r="AQ123" i="7"/>
  <c r="AW125" i="7"/>
  <c r="BN126" i="7"/>
  <c r="H128" i="7"/>
  <c r="K129" i="7"/>
  <c r="N130" i="7"/>
  <c r="Q131" i="7"/>
  <c r="BH90" i="7"/>
  <c r="AF95" i="7"/>
  <c r="BD92" i="7"/>
  <c r="BE92" i="7"/>
  <c r="AZ99" i="7"/>
  <c r="AD105" i="7"/>
  <c r="BE99" i="7"/>
  <c r="O105" i="7"/>
  <c r="S98" i="7"/>
  <c r="AN101" i="7"/>
  <c r="BK102" i="7"/>
  <c r="Y95" i="7"/>
  <c r="U97" i="7"/>
  <c r="AR98" i="7"/>
  <c r="J100" i="7"/>
  <c r="AG101" i="7"/>
  <c r="BD102" i="7"/>
  <c r="BJ104" i="7"/>
  <c r="BL106" i="7"/>
  <c r="Z108" i="7"/>
  <c r="BA109" i="7"/>
  <c r="O111" i="7"/>
  <c r="AL112" i="7"/>
  <c r="BM113" i="7"/>
  <c r="AA115" i="7"/>
  <c r="BE104" i="7"/>
  <c r="BM106" i="7"/>
  <c r="AA108" i="7"/>
  <c r="AX109" i="7"/>
  <c r="P111" i="7"/>
  <c r="AM112" i="7"/>
  <c r="BJ113" i="7"/>
  <c r="AB115" i="7"/>
  <c r="BN104" i="7"/>
  <c r="BN106" i="7"/>
  <c r="AF108" i="7"/>
  <c r="BC109" i="7"/>
  <c r="Q111" i="7"/>
  <c r="AR112" i="7"/>
  <c r="BN103" i="7"/>
  <c r="AI106" i="7"/>
  <c r="BJ107" i="7"/>
  <c r="BG83" i="7"/>
  <c r="AU92" i="7"/>
  <c r="Z90" i="7"/>
  <c r="AE90" i="7"/>
  <c r="Z97" i="7"/>
  <c r="BI102" i="7"/>
  <c r="AE97" i="7"/>
  <c r="BN102" i="7"/>
  <c r="Y96" i="7"/>
  <c r="AO100" i="7"/>
  <c r="AA102" i="7"/>
  <c r="BO93" i="7"/>
  <c r="AT96" i="7"/>
  <c r="H98" i="7"/>
  <c r="AE99" i="7"/>
  <c r="BF100" i="7"/>
  <c r="T102" i="7"/>
  <c r="AQ103" i="7"/>
  <c r="AB106" i="7"/>
  <c r="AY107" i="7"/>
  <c r="M109" i="7"/>
  <c r="AN110" i="7"/>
  <c r="BK111" i="7"/>
  <c r="Y113" i="7"/>
  <c r="AZ114" i="7"/>
  <c r="AT103" i="7"/>
  <c r="Y106" i="7"/>
  <c r="AZ107" i="7"/>
  <c r="N109" i="7"/>
  <c r="AK110" i="7"/>
  <c r="BL111" i="7"/>
  <c r="Z113" i="7"/>
  <c r="AW114" i="7"/>
  <c r="BC103" i="7"/>
  <c r="AD106" i="7"/>
  <c r="BA107" i="7"/>
  <c r="S109" i="7"/>
  <c r="AP110" i="7"/>
  <c r="BM111" i="7"/>
  <c r="AE113" i="7"/>
  <c r="AN105" i="7"/>
  <c r="V107" i="7"/>
  <c r="AW108" i="7"/>
  <c r="AB89" i="7"/>
  <c r="BK101" i="7"/>
  <c r="AH103" i="7"/>
  <c r="AP100" i="7"/>
  <c r="AI107" i="7"/>
  <c r="I113" i="7"/>
  <c r="AJ107" i="7"/>
  <c r="J113" i="7"/>
  <c r="AK107" i="7"/>
  <c r="O113" i="7"/>
  <c r="L109" i="7"/>
  <c r="J111" i="7"/>
  <c r="AO112" i="7"/>
  <c r="K114" i="7"/>
  <c r="AL116" i="7"/>
  <c r="BI117" i="7"/>
  <c r="W119" i="7"/>
  <c r="AX120" i="7"/>
  <c r="L122" i="7"/>
  <c r="BG113" i="7"/>
  <c r="AE116" i="7"/>
  <c r="BB117" i="7"/>
  <c r="P119" i="7"/>
  <c r="AQ120" i="7"/>
  <c r="BN121" i="7"/>
  <c r="AB123" i="7"/>
  <c r="BC124" i="7"/>
  <c r="Q126" i="7"/>
  <c r="X116" i="7"/>
  <c r="AY117" i="7"/>
  <c r="M119" i="7"/>
  <c r="AJ120" i="7"/>
  <c r="BK121" i="7"/>
  <c r="Y123" i="7"/>
  <c r="AV124" i="7"/>
  <c r="BC113" i="7"/>
  <c r="Y116" i="7"/>
  <c r="AV117" i="7"/>
  <c r="N119" i="7"/>
  <c r="AK120" i="7"/>
  <c r="BH121" i="7"/>
  <c r="Z123" i="7"/>
  <c r="BM125" i="7"/>
  <c r="AG127" i="7"/>
  <c r="BH128" i="7"/>
  <c r="V130" i="7"/>
  <c r="AO131" i="7"/>
  <c r="AR132" i="7"/>
  <c r="AU133" i="7"/>
  <c r="AX134" i="7"/>
  <c r="BA135" i="7"/>
  <c r="L125" i="7"/>
  <c r="AU126" i="7"/>
  <c r="AX127" i="7"/>
  <c r="BA128" i="7"/>
  <c r="BD129" i="7"/>
  <c r="BG130" i="7"/>
  <c r="BJ131" i="7"/>
  <c r="BM132" i="7"/>
  <c r="G134" i="7"/>
  <c r="J135" i="7"/>
  <c r="M136" i="7"/>
  <c r="P137" i="7"/>
  <c r="T77" i="7"/>
  <c r="R124" i="7"/>
  <c r="T126" i="7"/>
  <c r="W127" i="7"/>
  <c r="Z128" i="7"/>
  <c r="AC129" i="7"/>
  <c r="AF130" i="7"/>
  <c r="AI131" i="7"/>
  <c r="AL132" i="7"/>
  <c r="AO133" i="7"/>
  <c r="AR134" i="7"/>
  <c r="AU135" i="7"/>
  <c r="AX136" i="7"/>
  <c r="BA137" i="7"/>
  <c r="BE77" i="7"/>
  <c r="X125" i="7"/>
  <c r="BA126" i="7"/>
  <c r="BD127" i="7"/>
  <c r="BG128" i="7"/>
  <c r="BJ129" i="7"/>
  <c r="BM130" i="7"/>
  <c r="G132" i="7"/>
  <c r="J133" i="7"/>
  <c r="M134" i="7"/>
  <c r="P135" i="7"/>
  <c r="AL77" i="7"/>
  <c r="AE136" i="7"/>
  <c r="AI126" i="7"/>
  <c r="Y128" i="7"/>
  <c r="BH129" i="7"/>
  <c r="AH131" i="7"/>
  <c r="H133" i="7"/>
  <c r="AQ134" i="7"/>
  <c r="Q136" i="7"/>
  <c r="AZ137" i="7"/>
  <c r="BC123" i="7"/>
  <c r="AN126" i="7"/>
  <c r="N128" i="7"/>
  <c r="BM129" i="7"/>
  <c r="AM131" i="7"/>
  <c r="M133" i="7"/>
  <c r="AV134" i="7"/>
  <c r="V136" i="7"/>
  <c r="BE137" i="7"/>
  <c r="AC124" i="7"/>
  <c r="BE126" i="7"/>
  <c r="AE128" i="7"/>
  <c r="BN129" i="7"/>
  <c r="AN131" i="7"/>
  <c r="N133" i="7"/>
  <c r="AW134" i="7"/>
  <c r="AD77" i="7"/>
  <c r="Z136" i="7"/>
  <c r="AC126" i="7"/>
  <c r="BL127" i="7"/>
  <c r="I130" i="7"/>
  <c r="AU132" i="7"/>
  <c r="BA134" i="7"/>
  <c r="O136" i="7"/>
  <c r="AX90" i="7"/>
  <c r="AY97" i="7"/>
  <c r="AE102" i="7"/>
  <c r="AM99" i="7"/>
  <c r="AF106" i="7"/>
  <c r="BO111" i="7"/>
  <c r="AG106" i="7"/>
  <c r="G112" i="7"/>
  <c r="AH106" i="7"/>
  <c r="L112" i="7"/>
  <c r="BA108" i="7"/>
  <c r="AU110" i="7"/>
  <c r="Y112" i="7"/>
  <c r="AV113" i="7"/>
  <c r="V116" i="7"/>
  <c r="AS117" i="7"/>
  <c r="G119" i="7"/>
  <c r="AH120" i="7"/>
  <c r="BE121" i="7"/>
  <c r="S123" i="7"/>
  <c r="O116" i="7"/>
  <c r="AL117" i="7"/>
  <c r="BI118" i="7"/>
  <c r="AA120" i="7"/>
  <c r="AX121" i="7"/>
  <c r="L123" i="7"/>
  <c r="AM124" i="7"/>
  <c r="BJ125" i="7"/>
  <c r="BN115" i="7"/>
  <c r="AI117" i="7"/>
  <c r="BF118" i="7"/>
  <c r="T120" i="7"/>
  <c r="AU121" i="7"/>
  <c r="I123" i="7"/>
  <c r="AF124" i="7"/>
  <c r="BG125" i="7"/>
  <c r="H116" i="7"/>
  <c r="AF117" i="7"/>
  <c r="BG118" i="7"/>
  <c r="U120" i="7"/>
  <c r="AR121" i="7"/>
  <c r="J123" i="7"/>
  <c r="AG125" i="7"/>
  <c r="Q127" i="7"/>
  <c r="AR128" i="7"/>
  <c r="BO129" i="7"/>
  <c r="AC131" i="7"/>
  <c r="AF132" i="7"/>
  <c r="AY133" i="7"/>
  <c r="BB134" i="7"/>
  <c r="BE135" i="7"/>
  <c r="AZ125" i="7"/>
  <c r="BE128" i="7"/>
  <c r="BN131" i="7"/>
  <c r="N135" i="7"/>
  <c r="AN77" i="7"/>
  <c r="BG127" i="7"/>
  <c r="AJ130" i="7"/>
  <c r="AS133" i="7"/>
  <c r="BB136" i="7"/>
  <c r="AF125" i="7"/>
  <c r="AU128" i="7"/>
  <c r="BD131" i="7"/>
  <c r="T135" i="7"/>
  <c r="AY128" i="7"/>
  <c r="AE132" i="7"/>
  <c r="BD135" i="7"/>
  <c r="AI100" i="7"/>
  <c r="AG97" i="7"/>
  <c r="BI109" i="7"/>
  <c r="BJ109" i="7"/>
  <c r="L92" i="7"/>
  <c r="M99" i="7"/>
  <c r="BC102" i="7"/>
  <c r="BG99" i="7"/>
  <c r="AZ106" i="7"/>
  <c r="AD112" i="7"/>
  <c r="BA106" i="7"/>
  <c r="AA112" i="7"/>
  <c r="BF106" i="7"/>
  <c r="AF112" i="7"/>
  <c r="BM108" i="7"/>
  <c r="BC110" i="7"/>
  <c r="AC112" i="7"/>
  <c r="BD113" i="7"/>
  <c r="Z116" i="7"/>
  <c r="AW117" i="7"/>
  <c r="O119" i="7"/>
  <c r="AL120" i="7"/>
  <c r="BI121" i="7"/>
  <c r="AA123" i="7"/>
  <c r="S116" i="7"/>
  <c r="AP117" i="7"/>
  <c r="H119" i="7"/>
  <c r="AE120" i="7"/>
  <c r="BB121" i="7"/>
  <c r="T123" i="7"/>
  <c r="AQ124" i="7"/>
  <c r="BN125" i="7"/>
  <c r="P116" i="7"/>
  <c r="AM117" i="7"/>
  <c r="BJ118" i="7"/>
  <c r="AB120" i="7"/>
  <c r="AY121" i="7"/>
  <c r="M123" i="7"/>
  <c r="AN124" i="7"/>
  <c r="BK125" i="7"/>
  <c r="M116" i="7"/>
  <c r="AN117" i="7"/>
  <c r="BK118" i="7"/>
  <c r="Y120" i="7"/>
  <c r="AZ121" i="7"/>
  <c r="N123" i="7"/>
  <c r="AO125" i="7"/>
  <c r="Y127" i="7"/>
  <c r="AV128" i="7"/>
  <c r="J130" i="7"/>
  <c r="AG131" i="7"/>
  <c r="AJ132" i="7"/>
  <c r="AM133" i="7"/>
  <c r="AP134" i="7"/>
  <c r="AS135" i="7"/>
  <c r="BE124" i="7"/>
  <c r="AM126" i="7"/>
  <c r="AP127" i="7"/>
  <c r="AS128" i="7"/>
  <c r="AV129" i="7"/>
  <c r="AY130" i="7"/>
  <c r="BB131" i="7"/>
  <c r="BE132" i="7"/>
  <c r="BH133" i="7"/>
  <c r="BK134" i="7"/>
  <c r="BN135" i="7"/>
  <c r="H137" i="7"/>
  <c r="L77" i="7"/>
  <c r="BK123" i="7"/>
  <c r="H126" i="7"/>
  <c r="O127" i="7"/>
  <c r="R128" i="7"/>
  <c r="U129" i="7"/>
  <c r="X130" i="7"/>
  <c r="AA131" i="7"/>
  <c r="AD132" i="7"/>
  <c r="AG133" i="7"/>
  <c r="AJ134" i="7"/>
  <c r="AM135" i="7"/>
  <c r="BF136" i="7"/>
  <c r="BI137" i="7"/>
  <c r="BN123" i="7"/>
  <c r="S128" i="7"/>
  <c r="O132" i="7"/>
  <c r="V77" i="7"/>
  <c r="I106" i="7"/>
  <c r="BD98" i="7"/>
  <c r="AA111" i="7"/>
  <c r="X111" i="7"/>
  <c r="G110" i="7"/>
  <c r="M117" i="7"/>
  <c r="AV122" i="7"/>
  <c r="BD119" i="7"/>
  <c r="AD125" i="7"/>
  <c r="AW119" i="7"/>
  <c r="AA125" i="7"/>
  <c r="AX119" i="7"/>
  <c r="AT126" i="7"/>
  <c r="H132" i="7"/>
  <c r="BJ123" i="7"/>
  <c r="T129" i="7"/>
  <c r="AF133" i="7"/>
  <c r="AR137" i="7"/>
  <c r="AY127" i="7"/>
  <c r="BK131" i="7"/>
  <c r="N136" i="7"/>
  <c r="P126" i="7"/>
  <c r="AC130" i="7"/>
  <c r="AO134" i="7"/>
  <c r="K123" i="7"/>
  <c r="BM122" i="7"/>
  <c r="AT118" i="7"/>
  <c r="AU125" i="7"/>
  <c r="AJ121" i="7"/>
  <c r="BC129" i="7"/>
  <c r="AG135" i="7"/>
  <c r="AG128" i="7"/>
  <c r="AV133" i="7"/>
  <c r="AM123" i="7"/>
  <c r="L130" i="7"/>
  <c r="AA135" i="7"/>
  <c r="AG126" i="7"/>
  <c r="AY132" i="7"/>
  <c r="BF131" i="7"/>
  <c r="V128" i="7"/>
  <c r="AQ135" i="7"/>
  <c r="BF129" i="7"/>
  <c r="P118" i="7"/>
  <c r="AR123" i="7"/>
  <c r="Z114" i="7"/>
  <c r="AW127" i="7"/>
  <c r="BJ127" i="7"/>
  <c r="AF77" i="7"/>
  <c r="AX132" i="7"/>
  <c r="J129" i="7"/>
  <c r="G136" i="7"/>
  <c r="AE110" i="7"/>
  <c r="BH118" i="7"/>
  <c r="AL121" i="7"/>
  <c r="AF128" i="7"/>
  <c r="AS125" i="7"/>
  <c r="AV131" i="7"/>
  <c r="BA77" i="7"/>
  <c r="M114" i="7"/>
  <c r="AM119" i="7"/>
  <c r="BO117" i="7"/>
  <c r="AL130" i="7"/>
  <c r="P133" i="7"/>
  <c r="BD134" i="7"/>
  <c r="Y134" i="7"/>
  <c r="BG110" i="7"/>
  <c r="BE117" i="7"/>
  <c r="AE123" i="7"/>
  <c r="AI120" i="7"/>
  <c r="M126" i="7"/>
  <c r="AF120" i="7"/>
  <c r="BO125" i="7"/>
  <c r="AG120" i="7"/>
  <c r="AC127" i="7"/>
  <c r="AN132" i="7"/>
  <c r="BM124" i="7"/>
  <c r="AZ129" i="7"/>
  <c r="BO134" i="7"/>
  <c r="AK133" i="7"/>
  <c r="L135" i="7"/>
  <c r="BB116" i="7"/>
  <c r="W114" i="7"/>
  <c r="AY123" i="7"/>
  <c r="BM128" i="7"/>
  <c r="AU131" i="7"/>
  <c r="S132" i="7"/>
  <c r="AA77" i="7"/>
  <c r="X136" i="7"/>
  <c r="H82" i="7"/>
  <c r="W77" i="7"/>
  <c r="I81" i="7"/>
  <c r="N137" i="7"/>
  <c r="AP80" i="7"/>
  <c r="X79" i="7"/>
  <c r="G83" i="7"/>
  <c r="AK82" i="7"/>
  <c r="O81" i="7"/>
  <c r="AX79" i="7"/>
  <c r="BM83" i="7"/>
  <c r="BM78" i="7"/>
  <c r="AJ82" i="7"/>
  <c r="AW81" i="7"/>
  <c r="T80" i="7"/>
  <c r="Q80" i="7"/>
  <c r="AI85" i="7"/>
  <c r="M84" i="7"/>
  <c r="Y88" i="7"/>
  <c r="BL86" i="7"/>
  <c r="AU87" i="7"/>
  <c r="AP92" i="7"/>
  <c r="BL87" i="7"/>
  <c r="AY92" i="7"/>
  <c r="AF83" i="7"/>
  <c r="AG83" i="7"/>
  <c r="AH83" i="7"/>
  <c r="BI87" i="7"/>
  <c r="P83" i="7"/>
  <c r="Q83" i="7"/>
  <c r="R83" i="7"/>
  <c r="AW87" i="7"/>
  <c r="BE80" i="7"/>
  <c r="J87" i="7"/>
  <c r="K87" i="7"/>
  <c r="BI89" i="7"/>
  <c r="AM95" i="7"/>
  <c r="BG92" i="7"/>
  <c r="I89" i="7"/>
  <c r="W93" i="7"/>
  <c r="BJ91" i="7"/>
  <c r="AH97" i="7"/>
  <c r="AT101" i="7"/>
  <c r="BF105" i="7"/>
  <c r="BJ98" i="7"/>
  <c r="M103" i="7"/>
  <c r="H84" i="7"/>
  <c r="BF87" i="7"/>
  <c r="S84" i="7"/>
  <c r="AV90" i="7"/>
  <c r="Z96" i="7"/>
  <c r="BJ82" i="7"/>
  <c r="O86" i="7"/>
  <c r="T86" i="7"/>
  <c r="BN88" i="7"/>
  <c r="AR94" i="7"/>
  <c r="AJ80" i="7"/>
  <c r="H94" i="7"/>
  <c r="S96" i="7"/>
  <c r="AQ93" i="7"/>
  <c r="AR93" i="7"/>
  <c r="AM100" i="7"/>
  <c r="Q106" i="7"/>
  <c r="AR100" i="7"/>
  <c r="AY105" i="7"/>
  <c r="BC98" i="7"/>
  <c r="BO102" i="7"/>
  <c r="AV98" i="7"/>
  <c r="BH102" i="7"/>
  <c r="AD108" i="7"/>
  <c r="AP112" i="7"/>
  <c r="BM104" i="7"/>
  <c r="BB109" i="7"/>
  <c r="BN113" i="7"/>
  <c r="I107" i="7"/>
  <c r="U111" i="7"/>
  <c r="AM106" i="7"/>
  <c r="AY110" i="7"/>
  <c r="AK86" i="7"/>
  <c r="AO94" i="7"/>
  <c r="BI91" i="7"/>
  <c r="BN91" i="7"/>
  <c r="BI98" i="7"/>
  <c r="AI104" i="7"/>
  <c r="AJ96" i="7"/>
  <c r="V98" i="7"/>
  <c r="AB100" i="7"/>
  <c r="N102" i="7"/>
  <c r="BE103" i="7"/>
  <c r="AM105" i="7"/>
  <c r="BO94" i="7"/>
  <c r="H97" i="7"/>
  <c r="AQ98" i="7"/>
  <c r="BJ99" i="7"/>
  <c r="AI77" i="7"/>
  <c r="W86" i="7"/>
  <c r="G84" i="7"/>
  <c r="BK91" i="7"/>
  <c r="AR91" i="7"/>
  <c r="BN93" i="7"/>
  <c r="AV95" i="7"/>
  <c r="AM89" i="7"/>
  <c r="Y91" i="7"/>
  <c r="K93" i="7"/>
  <c r="AR89" i="7"/>
  <c r="Z91" i="7"/>
  <c r="L93" i="7"/>
  <c r="AM96" i="7"/>
  <c r="Y98" i="7"/>
  <c r="G100" i="7"/>
  <c r="M102" i="7"/>
  <c r="BH103" i="7"/>
  <c r="AT105" i="7"/>
  <c r="AR96" i="7"/>
  <c r="Z98" i="7"/>
  <c r="L100" i="7"/>
  <c r="R102" i="7"/>
  <c r="BM103" i="7"/>
  <c r="AA105" i="7"/>
  <c r="N95" i="7"/>
  <c r="L97" i="7"/>
  <c r="AE98" i="7"/>
  <c r="BN99" i="7"/>
  <c r="J79" i="7"/>
  <c r="AZ91" i="7"/>
  <c r="AF92" i="7"/>
  <c r="G94" i="7"/>
  <c r="U102" i="7"/>
  <c r="AK99" i="7"/>
  <c r="BK105" i="7"/>
  <c r="I100" i="7"/>
  <c r="BG102" i="7"/>
  <c r="BE95" i="7"/>
  <c r="BE97" i="7"/>
  <c r="BK99" i="7"/>
  <c r="AW101" i="7"/>
  <c r="AI103" i="7"/>
  <c r="BH106" i="7"/>
  <c r="AP108" i="7"/>
  <c r="AB110" i="7"/>
  <c r="AH112" i="7"/>
  <c r="T114" i="7"/>
  <c r="BK115" i="7"/>
  <c r="BE106" i="7"/>
  <c r="AQ108" i="7"/>
  <c r="AC110" i="7"/>
  <c r="AI112" i="7"/>
  <c r="Q114" i="7"/>
  <c r="BL115" i="7"/>
  <c r="BJ106" i="7"/>
  <c r="AV108" i="7"/>
  <c r="AD110" i="7"/>
  <c r="AJ112" i="7"/>
  <c r="AK104" i="7"/>
  <c r="N107" i="7"/>
  <c r="T109" i="7"/>
  <c r="BK110" i="7"/>
  <c r="AG112" i="7"/>
  <c r="S114" i="7"/>
  <c r="AH116" i="7"/>
  <c r="BA117" i="7"/>
  <c r="AA119" i="7"/>
  <c r="AT120" i="7"/>
  <c r="BM121" i="7"/>
  <c r="BO113" i="7"/>
  <c r="AA116" i="7"/>
  <c r="AT117" i="7"/>
  <c r="T119" i="7"/>
  <c r="AM120" i="7"/>
  <c r="BF121" i="7"/>
  <c r="AF123" i="7"/>
  <c r="AY124" i="7"/>
  <c r="I126" i="7"/>
  <c r="AB116" i="7"/>
  <c r="AU117" i="7"/>
  <c r="BN118" i="7"/>
  <c r="X120" i="7"/>
  <c r="AA121" i="7"/>
  <c r="AD122" i="7"/>
  <c r="AG123" i="7"/>
  <c r="AJ124" i="7"/>
  <c r="AM125" i="7"/>
  <c r="AX114" i="7"/>
  <c r="AG116" i="7"/>
  <c r="AJ117" i="7"/>
  <c r="AM118" i="7"/>
  <c r="AP119" i="7"/>
  <c r="AS120" i="7"/>
  <c r="AV121" i="7"/>
  <c r="AY122" i="7"/>
  <c r="N124" i="7"/>
  <c r="R126" i="7"/>
  <c r="U127" i="7"/>
  <c r="X128" i="7"/>
  <c r="AA129" i="7"/>
  <c r="AD130" i="7"/>
  <c r="AR84" i="7"/>
  <c r="X87" i="7"/>
  <c r="N88" i="7"/>
  <c r="O88" i="7"/>
  <c r="AU94" i="7"/>
  <c r="R101" i="7"/>
  <c r="BF94" i="7"/>
  <c r="S101" i="7"/>
  <c r="R106" i="7"/>
  <c r="V99" i="7"/>
  <c r="BH101" i="7"/>
  <c r="Z103" i="7"/>
  <c r="BM95" i="7"/>
  <c r="AO97" i="7"/>
  <c r="G99" i="7"/>
  <c r="AD100" i="7"/>
  <c r="BA101" i="7"/>
  <c r="S103" i="7"/>
  <c r="AO105" i="7"/>
  <c r="W107" i="7"/>
  <c r="AX108" i="7"/>
  <c r="L110" i="7"/>
  <c r="AI111" i="7"/>
  <c r="BJ112" i="7"/>
  <c r="X114" i="7"/>
  <c r="AU115" i="7"/>
  <c r="AR105" i="7"/>
  <c r="X107" i="7"/>
  <c r="AU108" i="7"/>
  <c r="M110" i="7"/>
  <c r="AJ111" i="7"/>
  <c r="BG112" i="7"/>
  <c r="Y114" i="7"/>
  <c r="AV115" i="7"/>
  <c r="AS105" i="7"/>
  <c r="AC107" i="7"/>
  <c r="AZ108" i="7"/>
  <c r="N110" i="7"/>
  <c r="AO111" i="7"/>
  <c r="BL112" i="7"/>
  <c r="AS104" i="7"/>
  <c r="BG106" i="7"/>
  <c r="U108" i="7"/>
  <c r="BB85" i="7"/>
  <c r="AC94" i="7"/>
  <c r="BA91" i="7"/>
  <c r="BB91" i="7"/>
  <c r="AW98" i="7"/>
  <c r="AA104" i="7"/>
  <c r="BB98" i="7"/>
  <c r="AB104" i="7"/>
  <c r="AF97" i="7"/>
  <c r="X101" i="7"/>
  <c r="AU102" i="7"/>
  <c r="BB94" i="7"/>
  <c r="BN96" i="7"/>
  <c r="AB98" i="7"/>
  <c r="BC99" i="7"/>
  <c r="Q101" i="7"/>
  <c r="AN102" i="7"/>
  <c r="AD104" i="7"/>
  <c r="AV106" i="7"/>
  <c r="J108" i="7"/>
  <c r="AK109" i="7"/>
  <c r="BH110" i="7"/>
  <c r="V112" i="7"/>
  <c r="AW113" i="7"/>
  <c r="K115" i="7"/>
  <c r="Y104" i="7"/>
  <c r="AW106" i="7"/>
  <c r="K108" i="7"/>
  <c r="AH109" i="7"/>
  <c r="BI110" i="7"/>
  <c r="W112" i="7"/>
  <c r="AT113" i="7"/>
  <c r="L115" i="7"/>
  <c r="AH104" i="7"/>
  <c r="AX106" i="7"/>
  <c r="P108" i="7"/>
  <c r="AM109" i="7"/>
  <c r="BJ110" i="7"/>
  <c r="AB112" i="7"/>
  <c r="AY113" i="7"/>
  <c r="S106" i="7"/>
  <c r="AT107" i="7"/>
  <c r="T85" i="7"/>
  <c r="M96" i="7"/>
  <c r="AY94" i="7"/>
  <c r="AB96" i="7"/>
  <c r="BM101" i="7"/>
  <c r="BF108" i="7"/>
  <c r="AJ114" i="7"/>
  <c r="BG108" i="7"/>
  <c r="AG114" i="7"/>
  <c r="BL108" i="7"/>
  <c r="H105" i="7"/>
  <c r="AR109" i="7"/>
  <c r="AH111" i="7"/>
  <c r="BI112" i="7"/>
  <c r="BG114" i="7"/>
  <c r="BF116" i="7"/>
  <c r="T118" i="7"/>
  <c r="AU119" i="7"/>
  <c r="I121" i="7"/>
  <c r="AF122" i="7"/>
  <c r="AT114" i="7"/>
  <c r="AY116" i="7"/>
  <c r="M118" i="7"/>
  <c r="AN119" i="7"/>
  <c r="BK120" i="7"/>
  <c r="Y122" i="7"/>
  <c r="AZ123" i="7"/>
  <c r="N125" i="7"/>
  <c r="AE114" i="7"/>
  <c r="AV116" i="7"/>
  <c r="J118" i="7"/>
  <c r="AG119" i="7"/>
  <c r="BH120" i="7"/>
  <c r="V122" i="7"/>
  <c r="AS123" i="7"/>
  <c r="K125" i="7"/>
  <c r="AH114" i="7"/>
  <c r="AS116" i="7"/>
  <c r="K118" i="7"/>
  <c r="AH119" i="7"/>
  <c r="BE120" i="7"/>
  <c r="W122" i="7"/>
  <c r="BG123" i="7"/>
  <c r="AD126" i="7"/>
  <c r="BE127" i="7"/>
  <c r="S129" i="7"/>
  <c r="AP130" i="7"/>
  <c r="BE131" i="7"/>
  <c r="BH132" i="7"/>
  <c r="BK133" i="7"/>
  <c r="BN134" i="7"/>
  <c r="AL123" i="7"/>
  <c r="AR125" i="7"/>
  <c r="BK126" i="7"/>
  <c r="BN127" i="7"/>
  <c r="H129" i="7"/>
  <c r="K130" i="7"/>
  <c r="N131" i="7"/>
  <c r="Q132" i="7"/>
  <c r="T133" i="7"/>
  <c r="W134" i="7"/>
  <c r="Z135" i="7"/>
  <c r="AC136" i="7"/>
  <c r="AF137" i="7"/>
  <c r="AJ77" i="7"/>
  <c r="AX124" i="7"/>
  <c r="AJ126" i="7"/>
  <c r="AM127" i="7"/>
  <c r="AP128" i="7"/>
  <c r="AS129" i="7"/>
  <c r="AV130" i="7"/>
  <c r="AY131" i="7"/>
  <c r="BB132" i="7"/>
  <c r="BE133" i="7"/>
  <c r="BH134" i="7"/>
  <c r="BK135" i="7"/>
  <c r="BN136" i="7"/>
  <c r="I77" i="7"/>
  <c r="AX123" i="7"/>
  <c r="BD125" i="7"/>
  <c r="H127" i="7"/>
  <c r="K128" i="7"/>
  <c r="N129" i="7"/>
  <c r="Q130" i="7"/>
  <c r="T131" i="7"/>
  <c r="W132" i="7"/>
  <c r="Z133" i="7"/>
  <c r="AC134" i="7"/>
  <c r="AF135" i="7"/>
  <c r="BN137" i="7"/>
  <c r="AV132" i="7"/>
  <c r="BO126" i="7"/>
  <c r="AO128" i="7"/>
  <c r="O130" i="7"/>
  <c r="AX131" i="7"/>
  <c r="X133" i="7"/>
  <c r="T136" i="7"/>
  <c r="BH78" i="7"/>
  <c r="S77" i="7"/>
  <c r="P136" i="7"/>
  <c r="L82" i="7"/>
  <c r="AQ137" i="7"/>
  <c r="AS81" i="7"/>
  <c r="AA80" i="7"/>
  <c r="BI78" i="7"/>
  <c r="AN83" i="7"/>
  <c r="R82" i="7"/>
  <c r="BA80" i="7"/>
  <c r="AI136" i="7"/>
  <c r="AE80" i="7"/>
  <c r="AC78" i="7"/>
  <c r="AP81" i="7"/>
  <c r="AQ81" i="7"/>
  <c r="AR81" i="7"/>
  <c r="AL86" i="7"/>
  <c r="P85" i="7"/>
  <c r="BC83" i="7"/>
  <c r="AA84" i="7"/>
  <c r="AG89" i="7"/>
  <c r="AS93" i="7"/>
  <c r="AP89" i="7"/>
  <c r="BB93" i="7"/>
  <c r="U79" i="7"/>
  <c r="V79" i="7"/>
  <c r="AZ84" i="7"/>
  <c r="BL88" i="7"/>
  <c r="BN78" i="7"/>
  <c r="BO78" i="7"/>
  <c r="AN84" i="7"/>
  <c r="AZ88" i="7"/>
  <c r="BK85" i="7"/>
  <c r="AG88" i="7"/>
  <c r="BC84" i="7"/>
  <c r="AA91" i="7"/>
  <c r="S88" i="7"/>
  <c r="Q94" i="7"/>
  <c r="N90" i="7"/>
  <c r="AE88" i="7"/>
  <c r="BM92" i="7"/>
  <c r="AK98" i="7"/>
  <c r="AW102" i="7"/>
  <c r="M95" i="7"/>
  <c r="BM99" i="7"/>
  <c r="P104" i="7"/>
  <c r="X88" i="7"/>
  <c r="AU83" i="7"/>
  <c r="AP85" i="7"/>
  <c r="N92" i="7"/>
  <c r="AH89" i="7"/>
  <c r="BK82" i="7"/>
  <c r="AP87" i="7"/>
  <c r="BL83" i="7"/>
  <c r="AF90" i="7"/>
  <c r="J96" i="7"/>
  <c r="AN85" i="7"/>
  <c r="AB91" i="7"/>
  <c r="AE89" i="7"/>
  <c r="AF89" i="7"/>
  <c r="U96" i="7"/>
  <c r="BN101" i="7"/>
  <c r="AF96" i="7"/>
  <c r="BO101" i="7"/>
  <c r="BG94" i="7"/>
  <c r="BF99" i="7"/>
  <c r="AT94" i="7"/>
  <c r="AY99" i="7"/>
  <c r="V104" i="7"/>
  <c r="AG109" i="7"/>
  <c r="AS113" i="7"/>
  <c r="AS106" i="7"/>
  <c r="BE110" i="7"/>
  <c r="H115" i="7"/>
  <c r="L108" i="7"/>
  <c r="X112" i="7"/>
  <c r="AP107" i="7"/>
  <c r="BF81" i="7"/>
  <c r="BN92" i="7"/>
  <c r="BL95" i="7"/>
  <c r="AA93" i="7"/>
  <c r="AB93" i="7"/>
  <c r="W100" i="7"/>
  <c r="BJ105" i="7"/>
  <c r="BH96" i="7"/>
  <c r="BN98" i="7"/>
  <c r="AV100" i="7"/>
  <c r="AH102" i="7"/>
  <c r="AJ104" i="7"/>
  <c r="BC105" i="7"/>
  <c r="AL95" i="7"/>
  <c r="AN97" i="7"/>
  <c r="BG98" i="7"/>
  <c r="Q100" i="7"/>
  <c r="Y83" i="7"/>
  <c r="AT87" i="7"/>
  <c r="AH85" i="7"/>
  <c r="AZ94" i="7"/>
  <c r="K92" i="7"/>
  <c r="Y94" i="7"/>
  <c r="AE96" i="7"/>
  <c r="BK89" i="7"/>
  <c r="AS91" i="7"/>
  <c r="S87" i="7"/>
  <c r="BL89" i="7"/>
  <c r="AX91" i="7"/>
  <c r="BH93" i="7"/>
  <c r="BG96" i="7"/>
  <c r="AS98" i="7"/>
  <c r="AY100" i="7"/>
  <c r="AK102" i="7"/>
  <c r="S104" i="7"/>
  <c r="BK93" i="7"/>
  <c r="BL96" i="7"/>
  <c r="AX98" i="7"/>
  <c r="BD100" i="7"/>
  <c r="AL102" i="7"/>
  <c r="X104" i="7"/>
  <c r="BG105" i="7"/>
  <c r="AT95" i="7"/>
  <c r="AB97" i="7"/>
  <c r="BK98" i="7"/>
  <c r="U100" i="7"/>
  <c r="AQ86" i="7"/>
  <c r="L95" i="7"/>
  <c r="AJ87" i="7"/>
  <c r="AQ96" i="7"/>
  <c r="BO104" i="7"/>
  <c r="BH100" i="7"/>
  <c r="V95" i="7"/>
  <c r="AJ101" i="7"/>
  <c r="R103" i="7"/>
  <c r="AH96" i="7"/>
  <c r="AN98" i="7"/>
  <c r="Z100" i="7"/>
  <c r="H102" i="7"/>
  <c r="AT104" i="7"/>
  <c r="S107" i="7"/>
  <c r="BN108" i="7"/>
  <c r="K111" i="7"/>
  <c r="BB112" i="7"/>
  <c r="AN114" i="7"/>
  <c r="AW104" i="7"/>
  <c r="T107" i="7"/>
  <c r="BK108" i="7"/>
  <c r="H111" i="7"/>
  <c r="BC112" i="7"/>
  <c r="AO114" i="7"/>
  <c r="BF104" i="7"/>
  <c r="U107" i="7"/>
  <c r="G109" i="7"/>
  <c r="M111" i="7"/>
  <c r="BH112" i="7"/>
  <c r="P105" i="7"/>
  <c r="BB107" i="7"/>
  <c r="AN109" i="7"/>
  <c r="Z111" i="7"/>
  <c r="BM112" i="7"/>
  <c r="AY114" i="7"/>
  <c r="AX116" i="7"/>
  <c r="X118" i="7"/>
  <c r="AQ119" i="7"/>
  <c r="BJ120" i="7"/>
  <c r="AJ122" i="7"/>
  <c r="AL114" i="7"/>
  <c r="AQ116" i="7"/>
  <c r="Q118" i="7"/>
  <c r="AJ119" i="7"/>
  <c r="BC120" i="7"/>
  <c r="AC122" i="7"/>
  <c r="AV123" i="7"/>
  <c r="BO124" i="7"/>
  <c r="AM114" i="7"/>
  <c r="AR116" i="7"/>
  <c r="BK117" i="7"/>
  <c r="AK119" i="7"/>
  <c r="AN120" i="7"/>
  <c r="AQ121" i="7"/>
  <c r="AT122" i="7"/>
  <c r="AW123" i="7"/>
  <c r="AZ124" i="7"/>
  <c r="BC125" i="7"/>
  <c r="U115" i="7"/>
  <c r="AW116" i="7"/>
  <c r="AZ117" i="7"/>
  <c r="BC118" i="7"/>
  <c r="BF119" i="7"/>
  <c r="BI120" i="7"/>
  <c r="BL121" i="7"/>
  <c r="BO122" i="7"/>
  <c r="AT124" i="7"/>
  <c r="AH126" i="7"/>
  <c r="AK127" i="7"/>
  <c r="AN128" i="7"/>
  <c r="AQ129" i="7"/>
  <c r="AT130" i="7"/>
  <c r="BN87" i="7"/>
  <c r="W92" i="7"/>
  <c r="BO89" i="7"/>
  <c r="G90" i="7"/>
  <c r="BO96" i="7"/>
  <c r="AO102" i="7"/>
  <c r="G97" i="7"/>
  <c r="AT102" i="7"/>
  <c r="BB95" i="7"/>
  <c r="Y100" i="7"/>
  <c r="W102" i="7"/>
  <c r="BG93" i="7"/>
  <c r="AL96" i="7"/>
  <c r="BM97" i="7"/>
  <c r="AA99" i="7"/>
  <c r="AX100" i="7"/>
  <c r="P102" i="7"/>
  <c r="AM103" i="7"/>
  <c r="T106" i="7"/>
  <c r="AU107" i="7"/>
  <c r="I109" i="7"/>
  <c r="AF110" i="7"/>
  <c r="BG111" i="7"/>
  <c r="U113" i="7"/>
  <c r="AR114" i="7"/>
  <c r="J116" i="7"/>
  <c r="U106" i="7"/>
  <c r="AR107" i="7"/>
  <c r="J109" i="7"/>
  <c r="AG110" i="7"/>
  <c r="BD111" i="7"/>
  <c r="V113" i="7"/>
  <c r="AS114" i="7"/>
  <c r="G116" i="7"/>
  <c r="Z106" i="7"/>
  <c r="AW107" i="7"/>
  <c r="K109" i="7"/>
  <c r="AL110" i="7"/>
  <c r="BI111" i="7"/>
  <c r="W113" i="7"/>
  <c r="AF105" i="7"/>
  <c r="R107" i="7"/>
  <c r="AO108" i="7"/>
  <c r="V92" i="7"/>
  <c r="BD95" i="7"/>
  <c r="O93" i="7"/>
  <c r="P93" i="7"/>
  <c r="O100" i="7"/>
  <c r="AX105" i="7"/>
  <c r="P100" i="7"/>
  <c r="AE105" i="7"/>
  <c r="AI98" i="7"/>
  <c r="AR101" i="7"/>
  <c r="J103" i="7"/>
  <c r="AG95" i="7"/>
  <c r="Y97" i="7"/>
  <c r="AZ98" i="7"/>
  <c r="N100" i="7"/>
  <c r="AK101" i="7"/>
  <c r="BL102" i="7"/>
  <c r="I105" i="7"/>
  <c r="G107" i="7"/>
  <c r="AH108" i="7"/>
  <c r="BE109" i="7"/>
  <c r="S111" i="7"/>
  <c r="AT112" i="7"/>
  <c r="H114" i="7"/>
  <c r="AE115" i="7"/>
  <c r="L105" i="7"/>
  <c r="H107" i="7"/>
  <c r="AE108" i="7"/>
  <c r="BF109" i="7"/>
  <c r="T111" i="7"/>
  <c r="AQ112" i="7"/>
  <c r="I114" i="7"/>
  <c r="AF115" i="7"/>
  <c r="M105" i="7"/>
  <c r="M107" i="7"/>
  <c r="AJ108" i="7"/>
  <c r="BG109" i="7"/>
  <c r="Y111" i="7"/>
  <c r="AV112" i="7"/>
  <c r="M104" i="7"/>
  <c r="AQ106" i="7"/>
  <c r="BN107" i="7"/>
  <c r="H91" i="7"/>
  <c r="BF101" i="7"/>
  <c r="BB99" i="7"/>
  <c r="BA97" i="7"/>
  <c r="AA103" i="7"/>
  <c r="X110" i="7"/>
  <c r="BG115" i="7"/>
  <c r="U110" i="7"/>
  <c r="BH115" i="7"/>
  <c r="Z110" i="7"/>
  <c r="BO106" i="7"/>
  <c r="K110" i="7"/>
  <c r="BF111" i="7"/>
  <c r="X113" i="7"/>
  <c r="AL115" i="7"/>
  <c r="Q117" i="7"/>
  <c r="AR118" i="7"/>
  <c r="BO119" i="7"/>
  <c r="AC121" i="7"/>
  <c r="BD122" i="7"/>
  <c r="Y115" i="7"/>
  <c r="J117" i="7"/>
  <c r="AK118" i="7"/>
  <c r="BH119" i="7"/>
  <c r="V121" i="7"/>
  <c r="AW122" i="7"/>
  <c r="K124" i="7"/>
  <c r="AH125" i="7"/>
  <c r="R115" i="7"/>
  <c r="G117" i="7"/>
  <c r="AD118" i="7"/>
  <c r="BE119" i="7"/>
  <c r="S121" i="7"/>
  <c r="AP122" i="7"/>
  <c r="H124" i="7"/>
  <c r="AE125" i="7"/>
  <c r="M115" i="7"/>
  <c r="H117" i="7"/>
  <c r="AE118" i="7"/>
  <c r="BB119" i="7"/>
  <c r="T121" i="7"/>
  <c r="AQ122" i="7"/>
  <c r="AL124" i="7"/>
  <c r="BB126" i="7"/>
  <c r="P128" i="7"/>
  <c r="AM129" i="7"/>
  <c r="BN130" i="7"/>
  <c r="L132" i="7"/>
  <c r="O133" i="7"/>
  <c r="R134" i="7"/>
  <c r="U135" i="7"/>
  <c r="I124" i="7"/>
  <c r="N126" i="7"/>
  <c r="R127" i="7"/>
  <c r="U128" i="7"/>
  <c r="X129" i="7"/>
  <c r="AA130" i="7"/>
  <c r="AD131" i="7"/>
  <c r="AG132" i="7"/>
  <c r="AJ133" i="7"/>
  <c r="AM134" i="7"/>
  <c r="AP135" i="7"/>
  <c r="AS136" i="7"/>
  <c r="AV137" i="7"/>
  <c r="AZ77" i="7"/>
  <c r="U125" i="7"/>
  <c r="AZ126" i="7"/>
  <c r="BC127" i="7"/>
  <c r="BF128" i="7"/>
  <c r="BI129" i="7"/>
  <c r="BL130" i="7"/>
  <c r="BO131" i="7"/>
  <c r="I133" i="7"/>
  <c r="L134" i="7"/>
  <c r="O135" i="7"/>
  <c r="R136" i="7"/>
  <c r="U137" i="7"/>
  <c r="Y77" i="7"/>
  <c r="U124" i="7"/>
  <c r="U126" i="7"/>
  <c r="X127" i="7"/>
  <c r="AA128" i="7"/>
  <c r="AD129" i="7"/>
  <c r="AG130" i="7"/>
  <c r="AJ131" i="7"/>
  <c r="AM132" i="7"/>
  <c r="AP133" i="7"/>
  <c r="AS134" i="7"/>
  <c r="AV135" i="7"/>
  <c r="AH137" i="7"/>
  <c r="AW124" i="7"/>
  <c r="AL127" i="7"/>
  <c r="L129" i="7"/>
  <c r="AU130" i="7"/>
  <c r="U132" i="7"/>
  <c r="BD133" i="7"/>
  <c r="BL78" i="7"/>
  <c r="BO136" i="7"/>
  <c r="BD81" i="7"/>
  <c r="BM82" i="7"/>
  <c r="S86" i="7"/>
  <c r="AV94" i="7"/>
  <c r="AS80" i="7"/>
  <c r="AC80" i="7"/>
  <c r="V84" i="7"/>
  <c r="T95" i="7"/>
  <c r="AN99" i="7"/>
  <c r="AD78" i="7"/>
  <c r="AK93" i="7"/>
  <c r="Z85" i="7"/>
  <c r="Z93" i="7"/>
  <c r="AB103" i="7"/>
  <c r="BI100" i="7"/>
  <c r="AJ110" i="7"/>
  <c r="AU103" i="7"/>
  <c r="AK84" i="7"/>
  <c r="AX95" i="7"/>
  <c r="Y99" i="7"/>
  <c r="J106" i="7"/>
  <c r="AW100" i="7"/>
  <c r="N96" i="7"/>
  <c r="V90" i="7"/>
  <c r="AC92" i="7"/>
  <c r="J101" i="7"/>
  <c r="W97" i="7"/>
  <c r="BD104" i="7"/>
  <c r="R99" i="7"/>
  <c r="AV89" i="7"/>
  <c r="BL97" i="7"/>
  <c r="BH98" i="7"/>
  <c r="AM107" i="7"/>
  <c r="W115" i="7"/>
  <c r="AF111" i="7"/>
  <c r="AS107" i="7"/>
  <c r="AE106" i="7"/>
  <c r="T113" i="7"/>
  <c r="BG119" i="7"/>
  <c r="N117" i="7"/>
  <c r="AS122" i="7"/>
  <c r="BH116" i="7"/>
  <c r="BG121" i="7"/>
  <c r="J126" i="7"/>
  <c r="J119" i="7"/>
  <c r="V123" i="7"/>
  <c r="BD128" i="7"/>
  <c r="I94" i="7"/>
  <c r="BL103" i="7"/>
  <c r="T101" i="7"/>
  <c r="X98" i="7"/>
  <c r="N104" i="7"/>
  <c r="BD110" i="7"/>
  <c r="Q104" i="7"/>
  <c r="BA110" i="7"/>
  <c r="Z104" i="7"/>
  <c r="BF110" i="7"/>
  <c r="AL107" i="7"/>
  <c r="BC88" i="7"/>
  <c r="AQ101" i="7"/>
  <c r="AD103" i="7"/>
  <c r="AH100" i="7"/>
  <c r="AE107" i="7"/>
  <c r="BN112" i="7"/>
  <c r="AB107" i="7"/>
  <c r="BO112" i="7"/>
  <c r="AG107" i="7"/>
  <c r="G113" i="7"/>
  <c r="W89" i="7"/>
  <c r="BM105" i="7"/>
  <c r="H106" i="7"/>
  <c r="U112" i="7"/>
  <c r="BL118" i="7"/>
  <c r="BM115" i="7"/>
  <c r="AT121" i="7"/>
  <c r="BF115" i="7"/>
  <c r="AM121" i="7"/>
  <c r="BI115" i="7"/>
  <c r="AN121" i="7"/>
  <c r="AJ128" i="7"/>
  <c r="AE133" i="7"/>
  <c r="AE126" i="7"/>
  <c r="AQ130" i="7"/>
  <c r="BC134" i="7"/>
  <c r="AU123" i="7"/>
  <c r="M129" i="7"/>
  <c r="Y133" i="7"/>
  <c r="AK137" i="7"/>
  <c r="AN127" i="7"/>
  <c r="AZ131" i="7"/>
  <c r="BN77" i="7"/>
  <c r="AB129" i="7"/>
  <c r="BG134" i="7"/>
  <c r="BM136" i="7"/>
  <c r="BD77" i="7"/>
  <c r="BD126" i="7"/>
  <c r="BJ128" i="7"/>
  <c r="G131" i="7"/>
  <c r="AC133" i="7"/>
  <c r="AI135" i="7"/>
  <c r="Y137" i="7"/>
  <c r="BI124" i="7"/>
  <c r="AR127" i="7"/>
  <c r="AX129" i="7"/>
  <c r="K132" i="7"/>
  <c r="BJ133" i="7"/>
  <c r="AZ135" i="7"/>
  <c r="AH123" i="7"/>
  <c r="P127" i="7"/>
  <c r="AL129" i="7"/>
  <c r="BK132" i="7"/>
  <c r="BB77" i="7"/>
  <c r="N93" i="7"/>
  <c r="Y103" i="7"/>
  <c r="AX96" i="7"/>
  <c r="BG103" i="7"/>
  <c r="AG113" i="7"/>
  <c r="R109" i="7"/>
  <c r="BK103" i="7"/>
  <c r="AI113" i="7"/>
  <c r="AZ109" i="7"/>
  <c r="BN111" i="7"/>
  <c r="AA114" i="7"/>
  <c r="BJ116" i="7"/>
  <c r="AV118" i="7"/>
  <c r="BB120" i="7"/>
  <c r="AN122" i="7"/>
  <c r="AG115" i="7"/>
  <c r="BF117" i="7"/>
  <c r="AR119" i="7"/>
  <c r="AD121" i="7"/>
  <c r="AJ123" i="7"/>
  <c r="R125" i="7"/>
  <c r="Z115" i="7"/>
  <c r="BC117" i="7"/>
  <c r="AO119" i="7"/>
  <c r="W121" i="7"/>
  <c r="AC123" i="7"/>
  <c r="O125" i="7"/>
  <c r="AC115" i="7"/>
  <c r="BD117" i="7"/>
  <c r="AL119" i="7"/>
  <c r="X121" i="7"/>
  <c r="AD123" i="7"/>
  <c r="AL126" i="7"/>
  <c r="T128" i="7"/>
  <c r="Z130" i="7"/>
  <c r="BI131" i="7"/>
  <c r="AI133" i="7"/>
  <c r="I135" i="7"/>
  <c r="Q124" i="7"/>
  <c r="I128" i="7"/>
  <c r="BA132" i="7"/>
  <c r="AW136" i="7"/>
  <c r="K127" i="7"/>
  <c r="W131" i="7"/>
  <c r="S135" i="7"/>
  <c r="BF123" i="7"/>
  <c r="AH129" i="7"/>
  <c r="AT133" i="7"/>
  <c r="H125" i="7"/>
  <c r="R133" i="7"/>
  <c r="AW93" i="7"/>
  <c r="N103" i="7"/>
  <c r="AX112" i="7"/>
  <c r="P87" i="7"/>
  <c r="AU104" i="7"/>
  <c r="BJ94" i="7"/>
  <c r="AV102" i="7"/>
  <c r="BL110" i="7"/>
  <c r="O108" i="7"/>
  <c r="P115" i="7"/>
  <c r="I111" i="7"/>
  <c r="AB109" i="7"/>
  <c r="AX111" i="7"/>
  <c r="AF113" i="7"/>
  <c r="AT116" i="7"/>
  <c r="AF118" i="7"/>
  <c r="R120" i="7"/>
  <c r="X122" i="7"/>
  <c r="BJ114" i="7"/>
  <c r="V117" i="7"/>
  <c r="AB119" i="7"/>
  <c r="N121" i="7"/>
  <c r="BE122" i="7"/>
  <c r="BK124" i="7"/>
  <c r="BC114" i="7"/>
  <c r="S117" i="7"/>
  <c r="Y119" i="7"/>
  <c r="G121" i="7"/>
  <c r="BB122" i="7"/>
  <c r="BH124" i="7"/>
  <c r="BF114" i="7"/>
  <c r="P117" i="7"/>
  <c r="V119" i="7"/>
  <c r="H121" i="7"/>
  <c r="BC122" i="7"/>
  <c r="V126" i="7"/>
  <c r="BM127" i="7"/>
  <c r="AY129" i="7"/>
  <c r="AW131" i="7"/>
  <c r="G133" i="7"/>
  <c r="Z134" i="7"/>
  <c r="BI135" i="7"/>
  <c r="BH125" i="7"/>
  <c r="Z127" i="7"/>
  <c r="BI128" i="7"/>
  <c r="S130" i="7"/>
  <c r="AL131" i="7"/>
  <c r="L133" i="7"/>
  <c r="AE134" i="7"/>
  <c r="AX135" i="7"/>
  <c r="X137" i="7"/>
  <c r="AR77" i="7"/>
  <c r="AK125" i="7"/>
  <c r="AE127" i="7"/>
  <c r="AX128" i="7"/>
  <c r="H130" i="7"/>
  <c r="AQ131" i="7"/>
  <c r="BJ132" i="7"/>
  <c r="T134" i="7"/>
  <c r="BC135" i="7"/>
  <c r="AC137" i="7"/>
  <c r="AW77" i="7"/>
  <c r="V129" i="7"/>
  <c r="AK134" i="7"/>
  <c r="AI93" i="7"/>
  <c r="AS101" i="7"/>
  <c r="T105" i="7"/>
  <c r="AU106" i="7"/>
  <c r="AJ118" i="7"/>
  <c r="BO116" i="7"/>
  <c r="G124" i="7"/>
  <c r="O121" i="7"/>
  <c r="BI116" i="7"/>
  <c r="AD124" i="7"/>
  <c r="K133" i="7"/>
  <c r="N127" i="7"/>
  <c r="AC132" i="7"/>
  <c r="AV77" i="7"/>
  <c r="BE129" i="7"/>
  <c r="K135" i="7"/>
  <c r="T127" i="7"/>
  <c r="AI132" i="7"/>
  <c r="AG117" i="7"/>
  <c r="AA124" i="7"/>
  <c r="AI121" i="7"/>
  <c r="AU118" i="7"/>
  <c r="U131" i="7"/>
  <c r="AA126" i="7"/>
  <c r="AS132" i="7"/>
  <c r="BL126" i="7"/>
  <c r="U133" i="7"/>
  <c r="AS124" i="7"/>
  <c r="BB133" i="7"/>
  <c r="P77" i="7"/>
  <c r="AH132" i="7"/>
  <c r="BO132" i="7"/>
  <c r="I118" i="7"/>
  <c r="R122" i="7"/>
  <c r="BA131" i="7"/>
  <c r="M132" i="7"/>
  <c r="AO129" i="7"/>
  <c r="M130" i="7"/>
  <c r="AC111" i="7"/>
  <c r="I116" i="7"/>
  <c r="AX115" i="7"/>
  <c r="AJ129" i="7"/>
  <c r="AJ127" i="7"/>
  <c r="AZ127" i="7"/>
  <c r="AD111" i="7"/>
  <c r="J125" i="7"/>
  <c r="BG133" i="7"/>
  <c r="AF126" i="7"/>
  <c r="P131" i="7"/>
  <c r="AK112" i="7"/>
  <c r="AP120" i="7"/>
  <c r="L119" i="7"/>
  <c r="T116" i="7"/>
  <c r="U123" i="7"/>
  <c r="BO118" i="7"/>
  <c r="AZ128" i="7"/>
  <c r="AT134" i="7"/>
  <c r="AW128" i="7"/>
  <c r="L137" i="7"/>
  <c r="AW126" i="7"/>
  <c r="BE112" i="7"/>
  <c r="AZ120" i="7"/>
  <c r="BD132" i="7"/>
  <c r="AI127" i="7"/>
  <c r="AB135" i="7"/>
  <c r="I97" i="7"/>
  <c r="AN123" i="7"/>
  <c r="AH115" i="7"/>
  <c r="AS119" i="7"/>
  <c r="AE121" i="7"/>
  <c r="S125" i="7"/>
  <c r="AK115" i="7"/>
  <c r="AT119" i="7"/>
  <c r="AB121" i="7"/>
  <c r="AP126" i="7"/>
  <c r="AB128" i="7"/>
  <c r="BM131" i="7"/>
  <c r="W133" i="7"/>
  <c r="BB123" i="7"/>
  <c r="W126" i="7"/>
  <c r="BF127" i="7"/>
  <c r="AI130" i="7"/>
  <c r="I132" i="7"/>
  <c r="AU134" i="7"/>
  <c r="U136" i="7"/>
  <c r="AN137" i="7"/>
  <c r="AB126" i="7"/>
  <c r="AU127" i="7"/>
  <c r="AN130" i="7"/>
  <c r="BG131" i="7"/>
  <c r="AZ134" i="7"/>
  <c r="J136" i="7"/>
  <c r="AS137" i="7"/>
  <c r="Y130" i="7"/>
  <c r="X135" i="7"/>
  <c r="Q105" i="7"/>
  <c r="AM108" i="7"/>
  <c r="BK119" i="7"/>
  <c r="AC118" i="7"/>
  <c r="BK114" i="7"/>
  <c r="AA118" i="7"/>
  <c r="L128" i="7"/>
  <c r="Q128" i="7"/>
  <c r="AI134" i="7"/>
  <c r="BH130" i="7"/>
  <c r="Q137" i="7"/>
  <c r="AL133" i="7"/>
  <c r="Z117" i="7"/>
  <c r="X124" i="7"/>
  <c r="BG122" i="7"/>
  <c r="AD127" i="7"/>
  <c r="BB135" i="7"/>
  <c r="X134" i="7"/>
  <c r="AM128" i="7"/>
  <c r="J124" i="7"/>
  <c r="AT136" i="7"/>
  <c r="AF119" i="7"/>
  <c r="BL117" i="7"/>
  <c r="V135" i="7"/>
  <c r="V133" i="7"/>
  <c r="I108" i="7"/>
  <c r="BF122" i="7"/>
  <c r="AY134" i="7"/>
  <c r="BE134" i="7"/>
  <c r="AQ114" i="7"/>
  <c r="AO123" i="7"/>
  <c r="AR130" i="7"/>
  <c r="Q107" i="7"/>
  <c r="BL113" i="7"/>
  <c r="BJ121" i="7"/>
  <c r="AQ117" i="7"/>
  <c r="BD121" i="7"/>
  <c r="R130" i="7"/>
  <c r="AW135" i="7"/>
  <c r="O126" i="7"/>
  <c r="BL131" i="7"/>
  <c r="BN120" i="7"/>
  <c r="BG126" i="7"/>
  <c r="BA133" i="7"/>
  <c r="M112" i="7"/>
  <c r="AZ112" i="7"/>
  <c r="W116" i="7"/>
  <c r="U116" i="7"/>
  <c r="AQ126" i="7"/>
  <c r="AB130" i="7"/>
  <c r="AU116" i="7"/>
  <c r="BM137" i="7"/>
  <c r="BH111" i="7"/>
  <c r="N99" i="7"/>
  <c r="BG87" i="7"/>
  <c r="AB99" i="7"/>
  <c r="BH97" i="7"/>
  <c r="Q97" i="7"/>
  <c r="AG105" i="7"/>
  <c r="AK105" i="7"/>
  <c r="S113" i="7"/>
  <c r="I115" i="7"/>
  <c r="BD120" i="7"/>
  <c r="G125" i="7"/>
  <c r="BA127" i="7"/>
  <c r="AE84" i="7"/>
  <c r="BJ96" i="7"/>
  <c r="AC109" i="7"/>
  <c r="AD109" i="7"/>
  <c r="K106" i="7"/>
  <c r="G102" i="7"/>
  <c r="K99" i="7"/>
  <c r="AZ105" i="7"/>
  <c r="AN111" i="7"/>
  <c r="Y108" i="7"/>
  <c r="O99" i="7"/>
  <c r="AO117" i="7"/>
  <c r="O123" i="7"/>
  <c r="P120" i="7"/>
  <c r="M127" i="7"/>
  <c r="AB132" i="7"/>
  <c r="AZ133" i="7"/>
  <c r="BL137" i="7"/>
  <c r="AH136" i="7"/>
  <c r="AK126" i="7"/>
  <c r="BB127" i="7"/>
  <c r="K134" i="7"/>
  <c r="BI125" i="7"/>
  <c r="AZ130" i="7"/>
  <c r="BL134" i="7"/>
  <c r="AB127" i="7"/>
  <c r="R129" i="7"/>
  <c r="AJ135" i="7"/>
  <c r="BO128" i="7"/>
  <c r="BH131" i="7"/>
  <c r="X103" i="7"/>
  <c r="V94" i="7"/>
  <c r="BD107" i="7"/>
  <c r="X109" i="7"/>
  <c r="AP111" i="7"/>
  <c r="AB118" i="7"/>
  <c r="P122" i="7"/>
  <c r="R117" i="7"/>
  <c r="BA122" i="7"/>
  <c r="BG124" i="7"/>
  <c r="Q119" i="7"/>
  <c r="BD124" i="7"/>
  <c r="AP114" i="7"/>
  <c r="BM120" i="7"/>
  <c r="AU122" i="7"/>
  <c r="AU129" i="7"/>
  <c r="AS131" i="7"/>
  <c r="AT123" i="7"/>
  <c r="AT135" i="7"/>
  <c r="X126" i="7"/>
  <c r="AC77" i="7"/>
  <c r="BH127" i="7"/>
  <c r="AR131" i="7"/>
  <c r="R137" i="7"/>
  <c r="AY112" i="7"/>
  <c r="U101" i="7"/>
  <c r="AO109" i="7"/>
  <c r="AQ109" i="7"/>
  <c r="AX107" i="7"/>
  <c r="BJ115" i="7"/>
  <c r="BC119" i="7"/>
  <c r="V114" i="7"/>
  <c r="AY120" i="7"/>
  <c r="O114" i="7"/>
  <c r="BD116" i="7"/>
  <c r="AH122" i="7"/>
  <c r="J114" i="7"/>
  <c r="AQ118" i="7"/>
  <c r="BJ124" i="7"/>
  <c r="AE129" i="7"/>
  <c r="AZ132" i="7"/>
  <c r="AB125" i="7"/>
  <c r="BL129" i="7"/>
  <c r="V131" i="7"/>
  <c r="AH135" i="7"/>
  <c r="BA136" i="7"/>
  <c r="BH126" i="7"/>
  <c r="K131" i="7"/>
  <c r="W135" i="7"/>
  <c r="M137" i="7"/>
  <c r="AH133" i="7"/>
  <c r="O96" i="7"/>
  <c r="BO109" i="7"/>
  <c r="AD115" i="7"/>
  <c r="Z118" i="7"/>
  <c r="BF130" i="7"/>
  <c r="G126" i="7"/>
  <c r="BB128" i="7"/>
  <c r="M124" i="7"/>
  <c r="AP137" i="7"/>
  <c r="X117" i="7"/>
  <c r="I127" i="7"/>
  <c r="BH137" i="7"/>
  <c r="AS130" i="7"/>
  <c r="I136" i="7"/>
  <c r="AB122" i="7"/>
  <c r="AC119" i="7"/>
  <c r="AL128" i="7"/>
  <c r="AV125" i="7"/>
  <c r="BE115" i="7"/>
  <c r="AD134" i="7"/>
  <c r="AC104" i="7"/>
  <c r="O122" i="7"/>
  <c r="BM126" i="7"/>
  <c r="AX117" i="7"/>
  <c r="AR117" i="7"/>
  <c r="BE125" i="7"/>
  <c r="BL133" i="7"/>
  <c r="AW137" i="7"/>
  <c r="O129" i="7"/>
  <c r="Y136" i="7"/>
  <c r="AD137" i="7"/>
  <c r="K77" i="7"/>
  <c r="W80" i="7"/>
  <c r="N80" i="7"/>
  <c r="I83" i="7"/>
  <c r="BF84" i="7"/>
  <c r="AS90" i="7"/>
  <c r="BC85" i="7"/>
  <c r="AQ85" i="7"/>
  <c r="U86" i="7"/>
  <c r="Q91" i="7"/>
  <c r="AZ103" i="7"/>
  <c r="H85" i="7"/>
  <c r="BE90" i="7"/>
  <c r="BG91" i="7"/>
  <c r="BB90" i="7"/>
  <c r="BC97" i="7"/>
  <c r="AP96" i="7"/>
  <c r="AV114" i="7"/>
  <c r="O109" i="7"/>
  <c r="Y90" i="7"/>
  <c r="AX101" i="7"/>
  <c r="K101" i="7"/>
  <c r="AK96" i="7"/>
  <c r="V83" i="7"/>
  <c r="AQ92" i="7"/>
  <c r="AB92" i="7"/>
  <c r="AM94" i="7"/>
  <c r="BE102" i="7"/>
  <c r="AC99" i="7"/>
  <c r="N106" i="7"/>
  <c r="AK100" i="7"/>
  <c r="AF99" i="7"/>
  <c r="BD101" i="7"/>
  <c r="AT100" i="7"/>
  <c r="AS109" i="7"/>
  <c r="AB105" i="7"/>
  <c r="N113" i="7"/>
  <c r="AY109" i="7"/>
  <c r="Q108" i="7"/>
  <c r="V115" i="7"/>
  <c r="AG121" i="7"/>
  <c r="AG118" i="7"/>
  <c r="BL123" i="7"/>
  <c r="AH118" i="7"/>
  <c r="BJ122" i="7"/>
  <c r="BA115" i="7"/>
  <c r="M120" i="7"/>
  <c r="Q125" i="7"/>
  <c r="BG129" i="7"/>
  <c r="AC91" i="7"/>
  <c r="AH98" i="7"/>
  <c r="AQ102" i="7"/>
  <c r="AU99" i="7"/>
  <c r="AR106" i="7"/>
  <c r="R112" i="7"/>
  <c r="AO106" i="7"/>
  <c r="S112" i="7"/>
  <c r="AT106" i="7"/>
  <c r="T112" i="7"/>
  <c r="BD88" i="7"/>
  <c r="AH95" i="7"/>
  <c r="S94" i="7"/>
  <c r="L96" i="7"/>
  <c r="BI101" i="7"/>
  <c r="BB108" i="7"/>
  <c r="AB114" i="7"/>
  <c r="BC108" i="7"/>
  <c r="AC114" i="7"/>
  <c r="BD108" i="7"/>
  <c r="BI104" i="7"/>
  <c r="X96" i="7"/>
  <c r="AU111" i="7"/>
  <c r="AW111" i="7"/>
  <c r="AR113" i="7"/>
  <c r="Z120" i="7"/>
  <c r="AH117" i="7"/>
  <c r="H123" i="7"/>
  <c r="AA117" i="7"/>
  <c r="BN122" i="7"/>
  <c r="AB117" i="7"/>
  <c r="BK122" i="7"/>
  <c r="BK129" i="7"/>
  <c r="AH134" i="7"/>
  <c r="AH127" i="7"/>
  <c r="AT131" i="7"/>
  <c r="BF135" i="7"/>
  <c r="BA125" i="7"/>
  <c r="P130" i="7"/>
  <c r="AB134" i="7"/>
  <c r="AO77" i="7"/>
  <c r="AQ128" i="7"/>
  <c r="BC132" i="7"/>
  <c r="BK136" i="7"/>
  <c r="BK130" i="7"/>
  <c r="AD135" i="7"/>
  <c r="T137" i="7"/>
  <c r="Z124" i="7"/>
  <c r="AA127" i="7"/>
  <c r="AG129" i="7"/>
  <c r="BC131" i="7"/>
  <c r="BI133" i="7"/>
  <c r="AY135" i="7"/>
  <c r="M77" i="7"/>
  <c r="BL125" i="7"/>
  <c r="O128" i="7"/>
  <c r="AK130" i="7"/>
  <c r="AA132" i="7"/>
  <c r="Q134" i="7"/>
  <c r="BF137" i="7"/>
  <c r="AK124" i="7"/>
  <c r="AF127" i="7"/>
  <c r="AO130" i="7"/>
  <c r="AX133" i="7"/>
  <c r="AX137" i="7"/>
  <c r="AY90" i="7"/>
  <c r="AS96" i="7"/>
  <c r="L98" i="7"/>
  <c r="BC107" i="7"/>
  <c r="BD114" i="7"/>
  <c r="AS110" i="7"/>
  <c r="BI107" i="7"/>
  <c r="AV105" i="7"/>
  <c r="O110" i="7"/>
  <c r="AS112" i="7"/>
  <c r="BO114" i="7"/>
  <c r="Y117" i="7"/>
  <c r="AE119" i="7"/>
  <c r="M121" i="7"/>
  <c r="BH122" i="7"/>
  <c r="AI116" i="7"/>
  <c r="U118" i="7"/>
  <c r="BL119" i="7"/>
  <c r="I122" i="7"/>
  <c r="BD123" i="7"/>
  <c r="AP125" i="7"/>
  <c r="AF116" i="7"/>
  <c r="N118" i="7"/>
  <c r="BI119" i="7"/>
  <c r="BO121" i="7"/>
  <c r="BA123" i="7"/>
  <c r="AI125" i="7"/>
  <c r="AC116" i="7"/>
  <c r="O118" i="7"/>
  <c r="BJ119" i="7"/>
  <c r="G122" i="7"/>
  <c r="BO123" i="7"/>
  <c r="BF126" i="7"/>
  <c r="BL128" i="7"/>
  <c r="AX130" i="7"/>
  <c r="P132" i="7"/>
  <c r="BO133" i="7"/>
  <c r="Y135" i="7"/>
  <c r="T125" i="7"/>
  <c r="AR129" i="7"/>
  <c r="AN133" i="7"/>
  <c r="AJ137" i="7"/>
  <c r="AD128" i="7"/>
  <c r="J132" i="7"/>
  <c r="BO135" i="7"/>
  <c r="AO126" i="7"/>
  <c r="U130" i="7"/>
  <c r="AG134" i="7"/>
  <c r="BB129" i="7"/>
  <c r="BN133" i="7"/>
  <c r="AN93" i="7"/>
  <c r="R100" i="7"/>
  <c r="AM115" i="7"/>
  <c r="BA94" i="7"/>
  <c r="AR104" i="7"/>
  <c r="AL104" i="7"/>
  <c r="BA113" i="7"/>
  <c r="AP109" i="7"/>
  <c r="AP104" i="7"/>
  <c r="AP103" i="7"/>
  <c r="BD109" i="7"/>
  <c r="I112" i="7"/>
  <c r="AI114" i="7"/>
  <c r="I117" i="7"/>
  <c r="AZ118" i="7"/>
  <c r="BF120" i="7"/>
  <c r="AR122" i="7"/>
  <c r="AW115" i="7"/>
  <c r="BN117" i="7"/>
  <c r="AV119" i="7"/>
  <c r="AH121" i="7"/>
  <c r="Z125" i="7"/>
  <c r="BG117" i="7"/>
  <c r="AK123" i="7"/>
  <c r="BH117" i="7"/>
  <c r="AI123" i="7"/>
  <c r="AH130" i="7"/>
  <c r="BF134" i="7"/>
  <c r="P129" i="7"/>
  <c r="AB133" i="7"/>
  <c r="BH77" i="7"/>
  <c r="BN128" i="7"/>
  <c r="Q133" i="7"/>
  <c r="AN125" i="7"/>
  <c r="AU105" i="7"/>
  <c r="BB111" i="7"/>
  <c r="AL122" i="7"/>
  <c r="N134" i="7"/>
  <c r="M125" i="7"/>
  <c r="W128" i="7"/>
  <c r="AX125" i="7"/>
  <c r="X132" i="7"/>
  <c r="BO127" i="7"/>
  <c r="BH135" i="7"/>
  <c r="AT77" i="7"/>
  <c r="BJ134" i="7"/>
  <c r="BG135" i="7"/>
  <c r="V120" i="7"/>
  <c r="BI130" i="7"/>
  <c r="AJ125" i="7"/>
  <c r="H122" i="7"/>
  <c r="AR124" i="7"/>
  <c r="BC130" i="7"/>
  <c r="BL124" i="7"/>
  <c r="I120" i="7"/>
  <c r="G130" i="7"/>
  <c r="AD116" i="7"/>
  <c r="I119" i="7"/>
  <c r="R123" i="7"/>
  <c r="BI132" i="7"/>
  <c r="AD119" i="7"/>
  <c r="AV82" i="7"/>
  <c r="AZ79" i="7"/>
  <c r="AJ90" i="7"/>
  <c r="AF80" i="7"/>
  <c r="I90" i="7"/>
  <c r="G101" i="7"/>
  <c r="BM88" i="7"/>
  <c r="BB97" i="7"/>
  <c r="X106" i="7"/>
  <c r="P89" i="7"/>
  <c r="AZ104" i="7"/>
  <c r="W90" i="7"/>
  <c r="BJ102" i="7"/>
  <c r="V102" i="7"/>
  <c r="AT109" i="7"/>
  <c r="BJ111" i="7"/>
  <c r="Z121" i="7"/>
  <c r="S122" i="7"/>
  <c r="P97" i="7"/>
  <c r="G115" i="7"/>
  <c r="AI109" i="7"/>
  <c r="AK95" i="7"/>
  <c r="AW105" i="7"/>
  <c r="AS111" i="7"/>
  <c r="AV111" i="7"/>
  <c r="BF125" i="7"/>
  <c r="AY125" i="7"/>
  <c r="AO124" i="7"/>
  <c r="V132" i="7"/>
  <c r="BI134" i="7"/>
  <c r="X77" i="7"/>
  <c r="AT128" i="7"/>
  <c r="I137" i="7"/>
  <c r="X131" i="7"/>
  <c r="W136" i="7"/>
  <c r="U85" i="7"/>
  <c r="AR110" i="7"/>
  <c r="AT110" i="7"/>
  <c r="AB113" i="7"/>
  <c r="J120" i="7"/>
  <c r="X119" i="7"/>
  <c r="AU114" i="7"/>
  <c r="AX122" i="7"/>
  <c r="R119" i="7"/>
  <c r="L126" i="7"/>
  <c r="S133" i="7"/>
  <c r="V127" i="7"/>
  <c r="AW129" i="7"/>
  <c r="Z137" i="7"/>
  <c r="AY98" i="7"/>
  <c r="AB101" i="7"/>
  <c r="AO104" i="7"/>
  <c r="R111" i="7"/>
  <c r="L118" i="7"/>
  <c r="BK116" i="7"/>
  <c r="AK122" i="7"/>
  <c r="AV120" i="7"/>
  <c r="BE116" i="7"/>
  <c r="AE122" i="7"/>
  <c r="M131" i="7"/>
  <c r="AC135" i="7"/>
  <c r="J127" i="7"/>
  <c r="AO132" i="7"/>
  <c r="AB77" i="7"/>
  <c r="AH128" i="7"/>
  <c r="BM133" i="7"/>
  <c r="AV127" i="7"/>
  <c r="L114" i="7"/>
  <c r="AO122" i="7"/>
  <c r="BN114" i="7"/>
  <c r="Z131" i="7"/>
  <c r="H134" i="7"/>
  <c r="O120" i="7"/>
  <c r="AP131" i="7"/>
  <c r="AK77" i="7"/>
  <c r="BC128" i="7"/>
  <c r="J131" i="7"/>
  <c r="AN113" i="7"/>
  <c r="AD136" i="7"/>
  <c r="AB137" i="7"/>
  <c r="S119" i="7"/>
  <c r="BC121" i="7"/>
  <c r="AT127" i="7"/>
  <c r="AJ109" i="7"/>
  <c r="BK79" i="7"/>
  <c r="AJ78" i="7"/>
  <c r="I79" i="7"/>
  <c r="BM77" i="7"/>
  <c r="BO82" i="7"/>
  <c r="AD85" i="7"/>
  <c r="AG78" i="7"/>
  <c r="BH82" i="7"/>
  <c r="P79" i="7"/>
  <c r="AX92" i="7"/>
  <c r="BD89" i="7"/>
  <c r="BD96" i="7"/>
  <c r="I85" i="7"/>
  <c r="AK87" i="7"/>
  <c r="R89" i="7"/>
  <c r="BC90" i="7"/>
  <c r="AG103" i="7"/>
  <c r="BB100" i="7"/>
  <c r="AV107" i="7"/>
  <c r="AA113" i="7"/>
  <c r="O89" i="7"/>
  <c r="AH94" i="7"/>
  <c r="Q103" i="7"/>
  <c r="BD97" i="7"/>
  <c r="H89" i="7"/>
  <c r="H95" i="7"/>
  <c r="G88" i="7"/>
  <c r="V97" i="7"/>
  <c r="BK104" i="7"/>
  <c r="O101" i="7"/>
  <c r="Q96" i="7"/>
  <c r="AK89" i="7"/>
  <c r="R94" i="7"/>
  <c r="AY93" i="7"/>
  <c r="AZ102" i="7"/>
  <c r="AE111" i="7"/>
  <c r="AN107" i="7"/>
  <c r="T115" i="7"/>
  <c r="AG111" i="7"/>
  <c r="BH109" i="7"/>
  <c r="U117" i="7"/>
  <c r="AZ122" i="7"/>
  <c r="AZ119" i="7"/>
  <c r="AL125" i="7"/>
  <c r="BA119" i="7"/>
  <c r="BM123" i="7"/>
  <c r="BM116" i="7"/>
  <c r="P121" i="7"/>
  <c r="AX126" i="7"/>
  <c r="BJ130" i="7"/>
  <c r="AH91" i="7"/>
  <c r="H104" i="7"/>
  <c r="AL94" i="7"/>
  <c r="M101" i="7"/>
  <c r="BO107" i="7"/>
  <c r="AO113" i="7"/>
  <c r="G108" i="7"/>
  <c r="AP113" i="7"/>
  <c r="H108" i="7"/>
  <c r="AU113" i="7"/>
  <c r="AT89" i="7"/>
  <c r="AL101" i="7"/>
  <c r="AL99" i="7"/>
  <c r="AW97" i="7"/>
  <c r="W103" i="7"/>
  <c r="P110" i="7"/>
  <c r="BC115" i="7"/>
  <c r="Q110" i="7"/>
  <c r="AZ115" i="7"/>
  <c r="V110" i="7"/>
  <c r="BK106" i="7"/>
  <c r="K102" i="7"/>
  <c r="BH105" i="7"/>
  <c r="AG108" i="7"/>
  <c r="N116" i="7"/>
  <c r="BA121" i="7"/>
  <c r="BE118" i="7"/>
  <c r="AE124" i="7"/>
  <c r="BB118" i="7"/>
  <c r="AB124" i="7"/>
  <c r="AY118" i="7"/>
  <c r="Y125" i="7"/>
  <c r="Y131" i="7"/>
  <c r="AK135" i="7"/>
  <c r="AK128" i="7"/>
  <c r="AW132" i="7"/>
  <c r="BI136" i="7"/>
  <c r="G127" i="7"/>
  <c r="S131" i="7"/>
  <c r="AE135" i="7"/>
  <c r="BA124" i="7"/>
  <c r="AT129" i="7"/>
  <c r="BF133" i="7"/>
  <c r="S126" i="7"/>
  <c r="AK132" i="7"/>
  <c r="BJ135" i="7"/>
  <c r="H77" i="7"/>
  <c r="AC125" i="7"/>
  <c r="AQ127" i="7"/>
  <c r="T130" i="7"/>
  <c r="Z132" i="7"/>
  <c r="P134" i="7"/>
  <c r="AL136" i="7"/>
  <c r="AS77" i="7"/>
  <c r="Y126" i="7"/>
  <c r="BK128" i="7"/>
  <c r="BA130" i="7"/>
  <c r="AQ132" i="7"/>
  <c r="BM134" i="7"/>
  <c r="BC136" i="7"/>
  <c r="K126" i="7"/>
  <c r="AI128" i="7"/>
  <c r="L131" i="7"/>
  <c r="U134" i="7"/>
  <c r="M79" i="7"/>
  <c r="AT97" i="7"/>
  <c r="BE100" i="7"/>
  <c r="BJ100" i="7"/>
  <c r="U109" i="7"/>
  <c r="BB103" i="7"/>
  <c r="AD113" i="7"/>
  <c r="W109" i="7"/>
  <c r="AD107" i="7"/>
  <c r="N111" i="7"/>
  <c r="H113" i="7"/>
  <c r="AT115" i="7"/>
  <c r="BM117" i="7"/>
  <c r="AY119" i="7"/>
  <c r="AK121" i="7"/>
  <c r="N114" i="7"/>
  <c r="BC116" i="7"/>
  <c r="AO118" i="7"/>
  <c r="AU120" i="7"/>
  <c r="AG122" i="7"/>
  <c r="O124" i="7"/>
  <c r="BH113" i="7"/>
  <c r="AZ116" i="7"/>
  <c r="AL118" i="7"/>
  <c r="AR120" i="7"/>
  <c r="Z122" i="7"/>
  <c r="L124" i="7"/>
  <c r="BK113" i="7"/>
  <c r="BA116" i="7"/>
  <c r="AI118" i="7"/>
  <c r="AO120" i="7"/>
  <c r="AA122" i="7"/>
  <c r="BB124" i="7"/>
  <c r="AO127" i="7"/>
  <c r="W129" i="7"/>
  <c r="I131" i="7"/>
  <c r="BL132" i="7"/>
  <c r="V134" i="7"/>
  <c r="AO135" i="7"/>
  <c r="AY126" i="7"/>
  <c r="AE130" i="7"/>
  <c r="AA134" i="7"/>
  <c r="BF124" i="7"/>
  <c r="Q129" i="7"/>
  <c r="BF132" i="7"/>
  <c r="AO137" i="7"/>
  <c r="L127" i="7"/>
  <c r="H131" i="7"/>
  <c r="BJ77" i="7"/>
  <c r="BE130" i="7"/>
  <c r="H135" i="7"/>
  <c r="AN100" i="7"/>
  <c r="G103" i="7"/>
  <c r="L107" i="7"/>
  <c r="M92" i="7"/>
  <c r="AV97" i="7"/>
  <c r="AJ98" i="7"/>
  <c r="R108" i="7"/>
  <c r="O115" i="7"/>
  <c r="BM110" i="7"/>
  <c r="T108" i="7"/>
  <c r="AA106" i="7"/>
  <c r="AA110" i="7"/>
  <c r="BA112" i="7"/>
  <c r="N115" i="7"/>
  <c r="AC117" i="7"/>
  <c r="AI119" i="7"/>
  <c r="U121" i="7"/>
  <c r="BL122" i="7"/>
  <c r="AM116" i="7"/>
  <c r="Y118" i="7"/>
  <c r="K120" i="7"/>
  <c r="Q122" i="7"/>
  <c r="BH123" i="7"/>
  <c r="AT125" i="7"/>
  <c r="AJ116" i="7"/>
  <c r="V118" i="7"/>
  <c r="BM119" i="7"/>
  <c r="J122" i="7"/>
  <c r="BE123" i="7"/>
  <c r="AQ125" i="7"/>
  <c r="AK116" i="7"/>
  <c r="S118" i="7"/>
  <c r="BN119" i="7"/>
  <c r="K122" i="7"/>
  <c r="V124" i="7"/>
  <c r="BJ126" i="7"/>
  <c r="G129" i="7"/>
  <c r="BB130" i="7"/>
  <c r="T132" i="7"/>
  <c r="BC133" i="7"/>
  <c r="M135" i="7"/>
  <c r="Y124" i="7"/>
  <c r="BC126" i="7"/>
  <c r="M128" i="7"/>
  <c r="AF129" i="7"/>
  <c r="BO130" i="7"/>
  <c r="Y132" i="7"/>
  <c r="AR133" i="7"/>
  <c r="R135" i="7"/>
  <c r="AK136" i="7"/>
  <c r="BD137" i="7"/>
  <c r="AH124" i="7"/>
  <c r="AR126" i="7"/>
  <c r="BK127" i="7"/>
  <c r="AK129" i="7"/>
  <c r="BD130" i="7"/>
  <c r="N132" i="7"/>
  <c r="AW133" i="7"/>
  <c r="G135" i="7"/>
  <c r="AP136" i="7"/>
  <c r="Q77" i="7"/>
  <c r="BI126" i="7"/>
  <c r="AB131" i="7"/>
  <c r="AU136" i="7"/>
  <c r="AZ101" i="7"/>
  <c r="AL108" i="7"/>
  <c r="AJ115" i="7"/>
  <c r="P113" i="7"/>
  <c r="Y121" i="7"/>
  <c r="R121" i="7"/>
  <c r="BL116" i="7"/>
  <c r="BI123" i="7"/>
  <c r="L121" i="7"/>
  <c r="AI129" i="7"/>
  <c r="Q135" i="7"/>
  <c r="W130" i="7"/>
  <c r="AL135" i="7"/>
  <c r="AV126" i="7"/>
  <c r="BN132" i="7"/>
  <c r="U77" i="7"/>
  <c r="Z129" i="7"/>
  <c r="AR135" i="7"/>
  <c r="BA118" i="7"/>
  <c r="W117" i="7"/>
  <c r="AS115" i="7"/>
  <c r="I125" i="7"/>
  <c r="AA133" i="7"/>
  <c r="AM130" i="7"/>
  <c r="BE136" i="7"/>
  <c r="I129" i="7"/>
  <c r="AG137" i="7"/>
  <c r="AP129" i="7"/>
  <c r="J137" i="7"/>
  <c r="Y129" i="7"/>
  <c r="P125" i="7"/>
  <c r="AM136" i="7"/>
  <c r="AN116" i="7"/>
  <c r="BA120" i="7"/>
  <c r="BM135" i="7"/>
  <c r="AP124" i="7"/>
  <c r="AP123" i="7"/>
  <c r="N77" i="7"/>
  <c r="AS121" i="7"/>
  <c r="O131" i="7"/>
  <c r="S127" i="7"/>
  <c r="I134" i="7"/>
  <c r="AD114" i="7"/>
  <c r="AO116" i="7"/>
  <c r="BJ136" i="7"/>
  <c r="X123" i="7"/>
  <c r="AK131" i="7"/>
  <c r="AN108" i="7"/>
  <c r="S134" i="7"/>
  <c r="L136" i="7"/>
  <c r="U83" i="7"/>
  <c r="AO87" i="7"/>
  <c r="AV80" i="7"/>
  <c r="U84" i="7"/>
  <c r="W94" i="7"/>
  <c r="H87" i="7"/>
  <c r="AO85" i="7"/>
  <c r="AW96" i="7"/>
  <c r="AS108" i="7"/>
  <c r="AM97" i="7"/>
  <c r="M89" i="7"/>
  <c r="AX94" i="7"/>
  <c r="AA87" i="7"/>
  <c r="Q113" i="7"/>
  <c r="AN118" i="7"/>
  <c r="J115" i="7"/>
  <c r="G118" i="7"/>
  <c r="AC98" i="7"/>
  <c r="AJ102" i="7"/>
  <c r="BM114" i="7"/>
  <c r="BB88" i="7"/>
  <c r="AQ111" i="7"/>
  <c r="BI105" i="7"/>
  <c r="AM110" i="7"/>
  <c r="S120" i="7"/>
  <c r="Q120" i="7"/>
  <c r="AN129" i="7"/>
  <c r="J128" i="7"/>
  <c r="AW130" i="7"/>
  <c r="AG136" i="7"/>
  <c r="AP132" i="7"/>
  <c r="BI77" i="7"/>
  <c r="AD133" i="7"/>
  <c r="AS126" i="7"/>
  <c r="AN135" i="7"/>
  <c r="X102" i="7"/>
  <c r="BE114" i="7"/>
  <c r="AP116" i="7"/>
  <c r="BB114" i="7"/>
  <c r="BO120" i="7"/>
  <c r="K117" i="7"/>
  <c r="BL120" i="7"/>
  <c r="L117" i="7"/>
  <c r="BI127" i="7"/>
  <c r="AL134" i="7"/>
  <c r="R131" i="7"/>
  <c r="AF134" i="7"/>
  <c r="BG132" i="7"/>
  <c r="O107" i="7"/>
  <c r="L99" i="7"/>
  <c r="BB113" i="7"/>
  <c r="L113" i="7"/>
  <c r="AO121" i="7"/>
  <c r="AS118" i="7"/>
  <c r="W124" i="7"/>
  <c r="AP118" i="7"/>
  <c r="P124" i="7"/>
  <c r="AW120" i="7"/>
  <c r="AS127" i="7"/>
  <c r="J134" i="7"/>
  <c r="AC128" i="7"/>
  <c r="O134" i="7"/>
  <c r="BN124" i="7"/>
  <c r="BA129" i="7"/>
  <c r="AT132" i="7"/>
  <c r="AG77" i="7"/>
  <c r="AO95" i="7"/>
  <c r="Q115" i="7"/>
  <c r="AM122" i="7"/>
  <c r="AO136" i="7"/>
  <c r="AF131" i="7"/>
  <c r="L120" i="7"/>
  <c r="AG124" i="7"/>
  <c r="R132" i="7"/>
  <c r="AE131" i="7"/>
  <c r="Z126" i="7"/>
  <c r="AC105" i="7"/>
  <c r="AN134" i="7"/>
  <c r="U122" i="7"/>
  <c r="H109" i="7"/>
  <c r="AU124" i="7"/>
  <c r="AQ133" i="7"/>
  <c r="BG120" i="7"/>
  <c r="G128" i="7"/>
  <c r="I143" i="7"/>
  <c r="AF143" i="7"/>
  <c r="W143" i="7"/>
  <c r="N143" i="7"/>
  <c r="AR143" i="7"/>
  <c r="AY143" i="7"/>
  <c r="AP143" i="7"/>
  <c r="AW143" i="7"/>
  <c r="X143" i="7"/>
  <c r="AE143" i="7"/>
  <c r="V143" i="7"/>
  <c r="M143" i="7"/>
  <c r="AZ143" i="7"/>
  <c r="AQ143" i="7"/>
  <c r="AX143" i="7"/>
  <c r="AO143" i="7"/>
  <c r="AM143" i="7"/>
  <c r="BH143" i="7"/>
  <c r="BE143" i="7"/>
  <c r="P143" i="7"/>
  <c r="BJ143" i="7"/>
  <c r="BA143" i="7"/>
  <c r="AB143" i="7"/>
  <c r="AI143" i="7"/>
  <c r="Z143" i="7"/>
  <c r="AG143" i="7"/>
  <c r="AG144" i="7" s="1"/>
  <c r="O143" i="7"/>
  <c r="BI143" i="7"/>
  <c r="AJ143" i="7"/>
  <c r="AA143" i="7"/>
  <c r="AH143" i="7"/>
  <c r="Y143" i="7"/>
  <c r="AV143" i="7"/>
  <c r="H143" i="7"/>
  <c r="H144" i="7" s="1"/>
  <c r="AN143" i="7"/>
  <c r="AC143" i="7"/>
  <c r="BN143" i="7"/>
  <c r="BL143" i="7"/>
  <c r="BC143" i="7"/>
  <c r="AT143" i="7"/>
  <c r="AK143" i="7"/>
  <c r="L143" i="7"/>
  <c r="S143" i="7"/>
  <c r="J143" i="7"/>
  <c r="Q143" i="7"/>
  <c r="BD143" i="7"/>
  <c r="BK143" i="7"/>
  <c r="BB143" i="7"/>
  <c r="AS143" i="7"/>
  <c r="AS144" i="7" s="1"/>
  <c r="T143" i="7"/>
  <c r="K143" i="7"/>
  <c r="R143" i="7"/>
  <c r="AD143" i="7"/>
  <c r="U143" i="7"/>
  <c r="U144" i="7" s="1"/>
  <c r="BF143" i="7"/>
  <c r="BF144" i="7" s="1"/>
  <c r="BF10" i="7" s="1"/>
  <c r="BM143" i="7"/>
  <c r="AU143" i="7"/>
  <c r="AL143" i="7"/>
  <c r="BG143" i="7"/>
  <c r="BG144" i="7" s="1"/>
  <c r="BG10" i="7" s="1"/>
  <c r="CT217" i="7"/>
  <c r="X217" i="7" s="1"/>
  <c r="CQ217" i="7"/>
  <c r="U217" i="7" s="1"/>
  <c r="U48" i="1"/>
  <c r="S49" i="1"/>
  <c r="CY217" i="7"/>
  <c r="AC217" i="7" s="1"/>
  <c r="DG217" i="7"/>
  <c r="AK217" i="7" s="1"/>
  <c r="DF217" i="7"/>
  <c r="AJ217" i="7" s="1"/>
  <c r="CW217" i="7"/>
  <c r="AA217" i="7" s="1"/>
  <c r="CG217" i="7"/>
  <c r="K217" i="7" s="1"/>
  <c r="CR217" i="7"/>
  <c r="V217" i="7" s="1"/>
  <c r="DC217" i="7"/>
  <c r="AG217" i="7" s="1"/>
  <c r="CM217" i="7"/>
  <c r="Q217" i="7" s="1"/>
  <c r="D8" i="7"/>
  <c r="D215" i="7"/>
  <c r="G48" i="1"/>
  <c r="U47" i="1"/>
  <c r="W47" i="1" s="1"/>
  <c r="S48" i="1"/>
  <c r="I40" i="22"/>
  <c r="I9" i="22"/>
  <c r="K14" i="21" s="1"/>
  <c r="I50" i="22" a="1"/>
  <c r="I50" i="22" s="1"/>
  <c r="I63" i="22" a="1"/>
  <c r="I63" i="22" s="1"/>
  <c r="I23" i="22" a="1"/>
  <c r="I23" i="22" s="1"/>
  <c r="H121" i="11"/>
  <c r="H120" i="11" s="1"/>
  <c r="H123" i="11" s="1"/>
  <c r="M121" i="11"/>
  <c r="M120" i="11" s="1"/>
  <c r="M123" i="11" s="1"/>
  <c r="G121" i="11"/>
  <c r="G124" i="11" s="1"/>
  <c r="K121" i="11"/>
  <c r="K124" i="11" s="1"/>
  <c r="E121" i="11"/>
  <c r="E124" i="11" s="1"/>
  <c r="I121" i="11"/>
  <c r="I120" i="11" s="1"/>
  <c r="I123" i="11" s="1"/>
  <c r="L121" i="11"/>
  <c r="L124" i="11" s="1"/>
  <c r="F121" i="11"/>
  <c r="F120" i="11" s="1"/>
  <c r="F123" i="11" s="1"/>
  <c r="J121" i="11"/>
  <c r="J124" i="11" s="1"/>
  <c r="N121" i="11"/>
  <c r="N120" i="11" s="1"/>
  <c r="N123" i="11" s="1"/>
  <c r="D105" i="11"/>
  <c r="D119" i="11"/>
  <c r="D116" i="11"/>
  <c r="D114" i="11"/>
  <c r="D106" i="11"/>
  <c r="D107" i="11" s="1"/>
  <c r="AK144" i="7" l="1"/>
  <c r="AK10" i="7" s="1"/>
  <c r="J486" i="25"/>
  <c r="U485" i="25"/>
  <c r="E120" i="11"/>
  <c r="E123" i="11" s="1"/>
  <c r="X144" i="7"/>
  <c r="X10" i="7" s="1"/>
  <c r="W48" i="1"/>
  <c r="J144" i="7"/>
  <c r="J10" i="7" s="1"/>
  <c r="AC144" i="7"/>
  <c r="AC10" i="7" s="1"/>
  <c r="Y144" i="7"/>
  <c r="Y10" i="7" s="1"/>
  <c r="AL144" i="7"/>
  <c r="AL10" i="7" s="1"/>
  <c r="T144" i="7"/>
  <c r="T10" i="7" s="1"/>
  <c r="BD144" i="7"/>
  <c r="BD10" i="7" s="1"/>
  <c r="L144" i="7"/>
  <c r="L10" i="7" s="1"/>
  <c r="BL144" i="7"/>
  <c r="BL10" i="7" s="1"/>
  <c r="AA144" i="7"/>
  <c r="AA10" i="7" s="1"/>
  <c r="BA144" i="7"/>
  <c r="BA10" i="7" s="1"/>
  <c r="AQ144" i="7"/>
  <c r="AQ10" i="7" s="1"/>
  <c r="R144" i="7"/>
  <c r="R10" i="7" s="1"/>
  <c r="AT144" i="7"/>
  <c r="AT10" i="7" s="1"/>
  <c r="AI144" i="7"/>
  <c r="AI10" i="7" s="1"/>
  <c r="P144" i="7"/>
  <c r="P10" i="7" s="1"/>
  <c r="AY144" i="7"/>
  <c r="AY10" i="7" s="1"/>
  <c r="AO144" i="7"/>
  <c r="AO10" i="7" s="1"/>
  <c r="AW144" i="7"/>
  <c r="AW10" i="7" s="1"/>
  <c r="BH144" i="7"/>
  <c r="BH10" i="7" s="1"/>
  <c r="BM144" i="7"/>
  <c r="BM10" i="7" s="1"/>
  <c r="BB144" i="7"/>
  <c r="BB10" i="7" s="1"/>
  <c r="BI144" i="7"/>
  <c r="BI10" i="7" s="1"/>
  <c r="M144" i="7"/>
  <c r="M10" i="7" s="1"/>
  <c r="AZ144" i="7"/>
  <c r="AZ10" i="7" s="1"/>
  <c r="N144" i="7"/>
  <c r="N10" i="7" s="1"/>
  <c r="S50" i="1"/>
  <c r="W50" i="1" s="1"/>
  <c r="U49" i="1"/>
  <c r="W49" i="1" s="1"/>
  <c r="K144" i="7"/>
  <c r="K10" i="7" s="1"/>
  <c r="BK144" i="7"/>
  <c r="BK10" i="7" s="1"/>
  <c r="S144" i="7"/>
  <c r="S10" i="7" s="1"/>
  <c r="BC144" i="7"/>
  <c r="BC10" i="7" s="1"/>
  <c r="AN144" i="7"/>
  <c r="AN10" i="7" s="1"/>
  <c r="AH144" i="7"/>
  <c r="AH10" i="7" s="1"/>
  <c r="O144" i="7"/>
  <c r="AB144" i="7"/>
  <c r="AB10" i="7" s="1"/>
  <c r="BE144" i="7"/>
  <c r="BE10" i="7" s="1"/>
  <c r="AX144" i="7"/>
  <c r="AX10" i="7" s="1"/>
  <c r="V144" i="7"/>
  <c r="AP144" i="7"/>
  <c r="AP10" i="7" s="1"/>
  <c r="W144" i="7"/>
  <c r="W10" i="7" s="1"/>
  <c r="AQ219" i="7"/>
  <c r="CB218" i="7"/>
  <c r="CB221" i="7"/>
  <c r="F224" i="7"/>
  <c r="AQ223" i="7"/>
  <c r="AQ225" i="7"/>
  <c r="AQ228" i="7"/>
  <c r="CB227" i="7"/>
  <c r="CB226" i="7"/>
  <c r="AQ229" i="7"/>
  <c r="CB231" i="7"/>
  <c r="F232" i="7"/>
  <c r="F233" i="7"/>
  <c r="AQ237" i="7"/>
  <c r="CB238" i="7"/>
  <c r="F240" i="7"/>
  <c r="CB232" i="7"/>
  <c r="F244" i="7"/>
  <c r="AQ245" i="7"/>
  <c r="CB241" i="7"/>
  <c r="F246" i="7"/>
  <c r="AQ243" i="7"/>
  <c r="CB219" i="7"/>
  <c r="F222" i="7"/>
  <c r="F220" i="7"/>
  <c r="AQ224" i="7"/>
  <c r="CB223" i="7"/>
  <c r="CB225" i="7"/>
  <c r="CB228" i="7"/>
  <c r="F225" i="7"/>
  <c r="F230" i="7"/>
  <c r="CB229" i="7"/>
  <c r="F235" i="7"/>
  <c r="F234" i="7"/>
  <c r="AQ233" i="7"/>
  <c r="CB237" i="7"/>
  <c r="F239" i="7"/>
  <c r="AQ240" i="7"/>
  <c r="F236" i="7"/>
  <c r="AQ244" i="7"/>
  <c r="CB245" i="7"/>
  <c r="F242" i="7"/>
  <c r="AQ246" i="7"/>
  <c r="CB243" i="7"/>
  <c r="F218" i="7"/>
  <c r="CC218" i="7" s="1"/>
  <c r="G218" i="7" s="1"/>
  <c r="F221" i="7"/>
  <c r="AQ220" i="7"/>
  <c r="CB224" i="7"/>
  <c r="AQ222" i="7"/>
  <c r="F229" i="7"/>
  <c r="F227" i="7"/>
  <c r="F226" i="7"/>
  <c r="AQ230" i="7"/>
  <c r="F231" i="7"/>
  <c r="AQ235" i="7"/>
  <c r="AQ234" i="7"/>
  <c r="CB233" i="7"/>
  <c r="F238" i="7"/>
  <c r="AQ239" i="7"/>
  <c r="CB240" i="7"/>
  <c r="AQ236" i="7"/>
  <c r="CB244" i="7"/>
  <c r="F241" i="7"/>
  <c r="AQ242" i="7"/>
  <c r="CB246" i="7"/>
  <c r="CC247" i="7" s="1"/>
  <c r="G247" i="7" s="1"/>
  <c r="AQ221" i="7"/>
  <c r="F228" i="7"/>
  <c r="AQ231" i="7"/>
  <c r="AQ238" i="7"/>
  <c r="F245" i="7"/>
  <c r="CB220" i="7"/>
  <c r="AQ227" i="7"/>
  <c r="CB235" i="7"/>
  <c r="CB239" i="7"/>
  <c r="AQ241" i="7"/>
  <c r="F219" i="7"/>
  <c r="F223" i="7"/>
  <c r="AQ226" i="7"/>
  <c r="CB234" i="7"/>
  <c r="AQ232" i="7"/>
  <c r="CB242" i="7"/>
  <c r="AQ218" i="7"/>
  <c r="CB236" i="7"/>
  <c r="CB222" i="7"/>
  <c r="F243" i="7"/>
  <c r="CB230" i="7"/>
  <c r="F237" i="7"/>
  <c r="CC237" i="7" s="1"/>
  <c r="G237" i="7" s="1"/>
  <c r="AE144" i="7"/>
  <c r="AE10" i="7" s="1"/>
  <c r="AF144" i="7"/>
  <c r="D142" i="7"/>
  <c r="F40" i="7"/>
  <c r="F56" i="7"/>
  <c r="F13" i="7"/>
  <c r="F29" i="7"/>
  <c r="F53" i="7"/>
  <c r="F22" i="7"/>
  <c r="F49" i="7"/>
  <c r="F26" i="7"/>
  <c r="F50" i="7"/>
  <c r="F66" i="7"/>
  <c r="F23" i="7"/>
  <c r="F39" i="7"/>
  <c r="F67" i="7"/>
  <c r="F36" i="7"/>
  <c r="F16" i="7"/>
  <c r="F68" i="7"/>
  <c r="F41" i="7"/>
  <c r="F62" i="7"/>
  <c r="F35" i="7"/>
  <c r="F63" i="7"/>
  <c r="F44" i="7"/>
  <c r="F60" i="7"/>
  <c r="F17" i="7"/>
  <c r="F33" i="7"/>
  <c r="F61" i="7"/>
  <c r="F30" i="7"/>
  <c r="F57" i="7"/>
  <c r="F38" i="7"/>
  <c r="F54" i="7"/>
  <c r="F11" i="7"/>
  <c r="F27" i="7"/>
  <c r="F43" i="7"/>
  <c r="F12" i="7"/>
  <c r="F47" i="7"/>
  <c r="F24" i="7"/>
  <c r="F52" i="7"/>
  <c r="F45" i="7"/>
  <c r="F46" i="7"/>
  <c r="F59" i="7"/>
  <c r="F48" i="7"/>
  <c r="F64" i="7"/>
  <c r="F21" i="7"/>
  <c r="F37" i="7"/>
  <c r="F69" i="7"/>
  <c r="F34" i="7"/>
  <c r="F65" i="7"/>
  <c r="F42" i="7"/>
  <c r="F58" i="7"/>
  <c r="F15" i="7"/>
  <c r="F31" i="7"/>
  <c r="F51" i="7"/>
  <c r="F20" i="7"/>
  <c r="F55" i="7"/>
  <c r="F32" i="7"/>
  <c r="F25" i="7"/>
  <c r="F18" i="7"/>
  <c r="F14" i="7"/>
  <c r="F19" i="7"/>
  <c r="F28" i="7"/>
  <c r="AU144" i="7"/>
  <c r="AU10" i="7" s="1"/>
  <c r="AD144" i="7"/>
  <c r="AD10" i="7" s="1"/>
  <c r="AS10" i="7"/>
  <c r="Q144" i="7"/>
  <c r="BN144" i="7"/>
  <c r="BN10" i="7" s="1"/>
  <c r="BO144" i="7"/>
  <c r="BO10" i="7" s="1"/>
  <c r="AV144" i="7"/>
  <c r="AV10" i="7" s="1"/>
  <c r="AJ144" i="7"/>
  <c r="AJ10" i="7" s="1"/>
  <c r="Z144" i="7"/>
  <c r="Z10" i="7" s="1"/>
  <c r="BJ144" i="7"/>
  <c r="BJ10" i="7" s="1"/>
  <c r="AM144" i="7"/>
  <c r="AM10" i="7" s="1"/>
  <c r="AR144" i="7"/>
  <c r="AR10" i="7" s="1"/>
  <c r="I144" i="7"/>
  <c r="I10" i="7" s="1"/>
  <c r="AG10" i="7"/>
  <c r="U10" i="7"/>
  <c r="H10" i="7"/>
  <c r="I13" i="22"/>
  <c r="I38" i="22"/>
  <c r="H124" i="11"/>
  <c r="M124" i="11"/>
  <c r="M125" i="11" s="1"/>
  <c r="F124" i="11"/>
  <c r="J120" i="11"/>
  <c r="J123" i="11" s="1"/>
  <c r="I124" i="11"/>
  <c r="G120" i="11"/>
  <c r="G123" i="11" s="1"/>
  <c r="L120" i="11"/>
  <c r="L123" i="11" s="1"/>
  <c r="K120" i="11"/>
  <c r="K123" i="11" s="1"/>
  <c r="N124" i="11"/>
  <c r="N125" i="11" s="1"/>
  <c r="D121" i="11"/>
  <c r="CW218" i="7" l="1"/>
  <c r="AA218" i="7" s="1"/>
  <c r="CI218" i="7"/>
  <c r="M218" i="7" s="1"/>
  <c r="DF218" i="7"/>
  <c r="AJ218" i="7" s="1"/>
  <c r="DA218" i="7"/>
  <c r="AE218" i="7" s="1"/>
  <c r="J487" i="25"/>
  <c r="U486" i="25"/>
  <c r="CK218" i="7"/>
  <c r="O218" i="7" s="1"/>
  <c r="DD218" i="7"/>
  <c r="AH218" i="7" s="1"/>
  <c r="CY218" i="7"/>
  <c r="AC218" i="7" s="1"/>
  <c r="CT218" i="7"/>
  <c r="X218" i="7" s="1"/>
  <c r="CN218" i="7"/>
  <c r="R218" i="7" s="1"/>
  <c r="CL218" i="7"/>
  <c r="P218" i="7" s="1"/>
  <c r="CX218" i="7"/>
  <c r="AB218" i="7" s="1"/>
  <c r="DG218" i="7"/>
  <c r="AK218" i="7" s="1"/>
  <c r="CJ218" i="7"/>
  <c r="N218" i="7" s="1"/>
  <c r="CF218" i="7"/>
  <c r="J218" i="7" s="1"/>
  <c r="CQ218" i="7"/>
  <c r="U218" i="7" s="1"/>
  <c r="CV218" i="7"/>
  <c r="Z218" i="7" s="1"/>
  <c r="CD218" i="7"/>
  <c r="DE218" i="7"/>
  <c r="AI218" i="7" s="1"/>
  <c r="DB218" i="7"/>
  <c r="AF218" i="7" s="1"/>
  <c r="CZ218" i="7"/>
  <c r="AD218" i="7" s="1"/>
  <c r="CH218" i="7"/>
  <c r="L218" i="7" s="1"/>
  <c r="CU218" i="7"/>
  <c r="CR218" i="7"/>
  <c r="V218" i="7" s="1"/>
  <c r="CP218" i="7"/>
  <c r="T218" i="7" s="1"/>
  <c r="DC218" i="7"/>
  <c r="AG218" i="7" s="1"/>
  <c r="CC219" i="7"/>
  <c r="G219" i="7" s="1"/>
  <c r="CC236" i="7"/>
  <c r="CD238" i="7"/>
  <c r="H238" i="7" s="1"/>
  <c r="CG218" i="7"/>
  <c r="K218" i="7" s="1"/>
  <c r="CE218" i="7"/>
  <c r="I218" i="7" s="1"/>
  <c r="CS218" i="7"/>
  <c r="W218" i="7" s="1"/>
  <c r="CO218" i="7"/>
  <c r="S218" i="7" s="1"/>
  <c r="CM218" i="7"/>
  <c r="Q218" i="7" s="1"/>
  <c r="CC222" i="7"/>
  <c r="G222" i="7" s="1"/>
  <c r="CC224" i="7"/>
  <c r="G224" i="7" s="1"/>
  <c r="CD219" i="7"/>
  <c r="CC228" i="7"/>
  <c r="CC241" i="7"/>
  <c r="CC227" i="7"/>
  <c r="CC230" i="7"/>
  <c r="F186" i="7"/>
  <c r="F145" i="7"/>
  <c r="T145" i="7" s="1"/>
  <c r="F149" i="7"/>
  <c r="F153" i="7"/>
  <c r="F157" i="7"/>
  <c r="F161" i="7"/>
  <c r="F165" i="7"/>
  <c r="F169" i="7"/>
  <c r="F172" i="7"/>
  <c r="F146" i="7"/>
  <c r="G146" i="7" s="1"/>
  <c r="F150" i="7"/>
  <c r="F154" i="7"/>
  <c r="G154" i="7" s="1"/>
  <c r="F162" i="7"/>
  <c r="F166" i="7"/>
  <c r="F170" i="7"/>
  <c r="F147" i="7"/>
  <c r="F155" i="7"/>
  <c r="F163" i="7"/>
  <c r="F171" i="7"/>
  <c r="G171" i="7" s="1"/>
  <c r="F158" i="7"/>
  <c r="F151" i="7"/>
  <c r="F167" i="7"/>
  <c r="G167" i="7" s="1"/>
  <c r="F159" i="7"/>
  <c r="F156" i="7"/>
  <c r="F173" i="7"/>
  <c r="G173" i="7" s="1"/>
  <c r="F160" i="7"/>
  <c r="F148" i="7"/>
  <c r="F152" i="7"/>
  <c r="F164" i="7"/>
  <c r="F168" i="7"/>
  <c r="G168" i="7" s="1"/>
  <c r="F174" i="7"/>
  <c r="F200" i="7"/>
  <c r="F184" i="7"/>
  <c r="F199" i="7"/>
  <c r="F183" i="7"/>
  <c r="F185" i="7"/>
  <c r="F188" i="7"/>
  <c r="F201" i="7"/>
  <c r="F181" i="7"/>
  <c r="F194" i="7"/>
  <c r="F193" i="7"/>
  <c r="F189" i="7"/>
  <c r="F196" i="7"/>
  <c r="F180" i="7"/>
  <c r="F195" i="7"/>
  <c r="F179" i="7"/>
  <c r="F190" i="7"/>
  <c r="F203" i="7"/>
  <c r="F177" i="7"/>
  <c r="F178" i="7"/>
  <c r="F198" i="7"/>
  <c r="F192" i="7"/>
  <c r="F176" i="7"/>
  <c r="F191" i="7"/>
  <c r="F175" i="7"/>
  <c r="F197" i="7"/>
  <c r="F202" i="7"/>
  <c r="F182" i="7"/>
  <c r="F187" i="7"/>
  <c r="CC232" i="7"/>
  <c r="CK219" i="7"/>
  <c r="CC245" i="7"/>
  <c r="CC238" i="7"/>
  <c r="CC231" i="7"/>
  <c r="CC229" i="7"/>
  <c r="CC221" i="7"/>
  <c r="G221" i="7" s="1"/>
  <c r="CC242" i="7"/>
  <c r="CC234" i="7"/>
  <c r="CC225" i="7"/>
  <c r="CD226" i="7" s="1"/>
  <c r="CC244" i="7"/>
  <c r="CC226" i="7"/>
  <c r="CC240" i="7"/>
  <c r="AF10" i="7"/>
  <c r="Q10" i="7"/>
  <c r="CE219" i="7"/>
  <c r="CC243" i="7"/>
  <c r="CC223" i="7"/>
  <c r="G223" i="7" s="1"/>
  <c r="CC239" i="7"/>
  <c r="CC235" i="7"/>
  <c r="CC220" i="7"/>
  <c r="CC246" i="7"/>
  <c r="CC233" i="7"/>
  <c r="O10" i="7"/>
  <c r="V10" i="7"/>
  <c r="I11" i="22"/>
  <c r="I37" i="22" a="1"/>
  <c r="I37" i="22" s="1"/>
  <c r="I10" i="22" s="1"/>
  <c r="K15" i="21" s="1"/>
  <c r="K17" i="21" s="1"/>
  <c r="K18" i="21" s="1"/>
  <c r="D120" i="11"/>
  <c r="D123" i="11" s="1"/>
  <c r="D124" i="11"/>
  <c r="CY219" i="7" l="1"/>
  <c r="AC219" i="7" s="1"/>
  <c r="DE219" i="7"/>
  <c r="Z145" i="7"/>
  <c r="AB146" i="7" s="1"/>
  <c r="DF219" i="7"/>
  <c r="AJ219" i="7" s="1"/>
  <c r="CN219" i="7"/>
  <c r="CP220" i="7" s="1"/>
  <c r="G150" i="7"/>
  <c r="H151" i="7" s="1"/>
  <c r="DC219" i="7"/>
  <c r="DE220" i="7" s="1"/>
  <c r="DA219" i="7"/>
  <c r="AE219" i="7" s="1"/>
  <c r="CH219" i="7"/>
  <c r="CJ220" i="7" s="1"/>
  <c r="CM219" i="7"/>
  <c r="CO220" i="7" s="1"/>
  <c r="J488" i="25"/>
  <c r="U487" i="25"/>
  <c r="CT219" i="7"/>
  <c r="CV220" i="7" s="1"/>
  <c r="CV219" i="7"/>
  <c r="Z219" i="7" s="1"/>
  <c r="CZ219" i="7"/>
  <c r="AD219" i="7" s="1"/>
  <c r="CP219" i="7"/>
  <c r="T219" i="7" s="1"/>
  <c r="L145" i="7"/>
  <c r="L11" i="7" s="1"/>
  <c r="AX145" i="7"/>
  <c r="AX11" i="7" s="1"/>
  <c r="BD145" i="7"/>
  <c r="BD11" i="7" s="1"/>
  <c r="X145" i="7"/>
  <c r="X11" i="7" s="1"/>
  <c r="AE145" i="7"/>
  <c r="AE11" i="7" s="1"/>
  <c r="AR145" i="7"/>
  <c r="AR11" i="7" s="1"/>
  <c r="AA145" i="7"/>
  <c r="AA11" i="7" s="1"/>
  <c r="AJ145" i="7"/>
  <c r="AJ11" i="7" s="1"/>
  <c r="BM145" i="7"/>
  <c r="BM11" i="7" s="1"/>
  <c r="M145" i="7"/>
  <c r="O146" i="7" s="1"/>
  <c r="CX219" i="7"/>
  <c r="AB219" i="7" s="1"/>
  <c r="CJ219" i="7"/>
  <c r="N219" i="7" s="1"/>
  <c r="CI219" i="7"/>
  <c r="CK220" i="7" s="1"/>
  <c r="CL219" i="7"/>
  <c r="P219" i="7" s="1"/>
  <c r="CS219" i="7"/>
  <c r="W219" i="7" s="1"/>
  <c r="CR219" i="7"/>
  <c r="V219" i="7" s="1"/>
  <c r="CO219" i="7"/>
  <c r="S219" i="7" s="1"/>
  <c r="DB219" i="7"/>
  <c r="DD220" i="7" s="1"/>
  <c r="CD225" i="7"/>
  <c r="H225" i="7" s="1"/>
  <c r="CU219" i="7"/>
  <c r="Y219" i="7" s="1"/>
  <c r="DD219" i="7"/>
  <c r="AH219" i="7" s="1"/>
  <c r="DG219" i="7"/>
  <c r="AK219" i="7" s="1"/>
  <c r="CG219" i="7"/>
  <c r="CI220" i="7" s="1"/>
  <c r="CE220" i="7"/>
  <c r="H218" i="7"/>
  <c r="CF219" i="7"/>
  <c r="J219" i="7" s="1"/>
  <c r="CQ219" i="7"/>
  <c r="U219" i="7" s="1"/>
  <c r="O145" i="7"/>
  <c r="O11" i="7" s="1"/>
  <c r="AD145" i="7"/>
  <c r="AD11" i="7" s="1"/>
  <c r="AZ145" i="7"/>
  <c r="AZ11" i="7" s="1"/>
  <c r="J145" i="7"/>
  <c r="J11" i="7" s="1"/>
  <c r="Q145" i="7"/>
  <c r="Q11" i="7" s="1"/>
  <c r="AM145" i="7"/>
  <c r="AM11" i="7" s="1"/>
  <c r="AO145" i="7"/>
  <c r="AO11" i="7" s="1"/>
  <c r="H168" i="7"/>
  <c r="BJ145" i="7"/>
  <c r="BJ11" i="7" s="1"/>
  <c r="AC145" i="7"/>
  <c r="AC11" i="7" s="1"/>
  <c r="H145" i="7"/>
  <c r="H11" i="7" s="1"/>
  <c r="BC145" i="7"/>
  <c r="BE146" i="7" s="1"/>
  <c r="BO145" i="7"/>
  <c r="BO11" i="7" s="1"/>
  <c r="BB145" i="7"/>
  <c r="BB11" i="7" s="1"/>
  <c r="AF145" i="7"/>
  <c r="AF11" i="7" s="1"/>
  <c r="BF145" i="7"/>
  <c r="BF11" i="7" s="1"/>
  <c r="Y145" i="7"/>
  <c r="N145" i="7"/>
  <c r="P146" i="7" s="1"/>
  <c r="AB145" i="7"/>
  <c r="AB11" i="7" s="1"/>
  <c r="V145" i="7"/>
  <c r="X146" i="7" s="1"/>
  <c r="BL145" i="7"/>
  <c r="BL11" i="7" s="1"/>
  <c r="AU145" i="7"/>
  <c r="AU11" i="7" s="1"/>
  <c r="BI145" i="7"/>
  <c r="BI11" i="7" s="1"/>
  <c r="AN145" i="7"/>
  <c r="AN11" i="7" s="1"/>
  <c r="AS145" i="7"/>
  <c r="AS11" i="7" s="1"/>
  <c r="AY145" i="7"/>
  <c r="AY11" i="7" s="1"/>
  <c r="AK145" i="7"/>
  <c r="AK11" i="7" s="1"/>
  <c r="BE145" i="7"/>
  <c r="BE11" i="7" s="1"/>
  <c r="BK145" i="7"/>
  <c r="BK11" i="7" s="1"/>
  <c r="S145" i="7"/>
  <c r="S11" i="7" s="1"/>
  <c r="K145" i="7"/>
  <c r="K11" i="7" s="1"/>
  <c r="AH145" i="7"/>
  <c r="AJ146" i="7" s="1"/>
  <c r="AI145" i="7"/>
  <c r="AI11" i="7" s="1"/>
  <c r="AQ145" i="7"/>
  <c r="AQ11" i="7" s="1"/>
  <c r="AW145" i="7"/>
  <c r="AW11" i="7" s="1"/>
  <c r="AV145" i="7"/>
  <c r="AV11" i="7" s="1"/>
  <c r="BN145" i="7"/>
  <c r="BN11" i="7" s="1"/>
  <c r="AP145" i="7"/>
  <c r="AP11" i="7" s="1"/>
  <c r="BG145" i="7"/>
  <c r="BG11" i="7" s="1"/>
  <c r="AT145" i="7"/>
  <c r="BH145" i="7"/>
  <c r="BH11" i="7" s="1"/>
  <c r="H172" i="7"/>
  <c r="I174" i="7" s="1"/>
  <c r="H147" i="7"/>
  <c r="Y218" i="7"/>
  <c r="CW219" i="7"/>
  <c r="CD220" i="7"/>
  <c r="CF221" i="7" s="1"/>
  <c r="G201" i="7"/>
  <c r="H169" i="7"/>
  <c r="U145" i="7"/>
  <c r="U11" i="7" s="1"/>
  <c r="CD223" i="7"/>
  <c r="H223" i="7" s="1"/>
  <c r="G202" i="7"/>
  <c r="H203" i="7" s="1"/>
  <c r="G164" i="7"/>
  <c r="H165" i="7" s="1"/>
  <c r="G155" i="7"/>
  <c r="H156" i="7" s="1"/>
  <c r="G162" i="7"/>
  <c r="H163" i="7" s="1"/>
  <c r="G236" i="7"/>
  <c r="CD237" i="7"/>
  <c r="H237" i="7" s="1"/>
  <c r="G182" i="7"/>
  <c r="G48" i="7" s="1"/>
  <c r="G179" i="7"/>
  <c r="G160" i="7"/>
  <c r="H161" i="7" s="1"/>
  <c r="G166" i="7"/>
  <c r="H167" i="7" s="1"/>
  <c r="I169" i="7" s="1"/>
  <c r="G184" i="7"/>
  <c r="G50" i="7" s="1"/>
  <c r="H174" i="7"/>
  <c r="G172" i="7"/>
  <c r="H173" i="7" s="1"/>
  <c r="R145" i="7"/>
  <c r="R11" i="7" s="1"/>
  <c r="CD222" i="7"/>
  <c r="CE224" i="7" s="1"/>
  <c r="CD224" i="7"/>
  <c r="H224" i="7" s="1"/>
  <c r="G192" i="7"/>
  <c r="H193" i="7" s="1"/>
  <c r="G200" i="7"/>
  <c r="G147" i="7"/>
  <c r="H148" i="7" s="1"/>
  <c r="W145" i="7"/>
  <c r="Y146" i="7" s="1"/>
  <c r="AG145" i="7"/>
  <c r="AG11" i="7" s="1"/>
  <c r="G235" i="7"/>
  <c r="CD236" i="7"/>
  <c r="G240" i="7"/>
  <c r="CD241" i="7"/>
  <c r="CE243" i="7" s="1"/>
  <c r="G242" i="7"/>
  <c r="CD243" i="7"/>
  <c r="CE245" i="7" s="1"/>
  <c r="R219" i="7"/>
  <c r="G226" i="7"/>
  <c r="CD227" i="7"/>
  <c r="CE229" i="7" s="1"/>
  <c r="G246" i="7"/>
  <c r="CD247" i="7"/>
  <c r="H247" i="7" s="1"/>
  <c r="G229" i="7"/>
  <c r="CD230" i="7"/>
  <c r="G245" i="7"/>
  <c r="CD246" i="7"/>
  <c r="H226" i="7"/>
  <c r="G233" i="7"/>
  <c r="CD234" i="7"/>
  <c r="H234" i="7" s="1"/>
  <c r="G243" i="7"/>
  <c r="CD244" i="7"/>
  <c r="H244" i="7" s="1"/>
  <c r="T11" i="7"/>
  <c r="V146" i="7"/>
  <c r="G239" i="7"/>
  <c r="CE240" i="7"/>
  <c r="CD240" i="7"/>
  <c r="CE242" i="7" s="1"/>
  <c r="AG219" i="7"/>
  <c r="G234" i="7"/>
  <c r="CD235" i="7"/>
  <c r="G197" i="7"/>
  <c r="G204" i="7"/>
  <c r="G70" i="7" s="1"/>
  <c r="G203" i="7"/>
  <c r="G195" i="7"/>
  <c r="G193" i="7"/>
  <c r="G188" i="7"/>
  <c r="G151" i="7"/>
  <c r="H152" i="7" s="1"/>
  <c r="G157" i="7"/>
  <c r="H158" i="7" s="1"/>
  <c r="G186" i="7"/>
  <c r="G227" i="7"/>
  <c r="CD228" i="7"/>
  <c r="H228" i="7" s="1"/>
  <c r="CE228" i="7"/>
  <c r="G228" i="7"/>
  <c r="CD229" i="7"/>
  <c r="G238" i="7"/>
  <c r="CD239" i="7"/>
  <c r="CE241" i="7" s="1"/>
  <c r="G220" i="7"/>
  <c r="CE221" i="7"/>
  <c r="CD221" i="7"/>
  <c r="I219" i="7"/>
  <c r="CG220" i="7"/>
  <c r="G244" i="7"/>
  <c r="CD245" i="7"/>
  <c r="CE247" i="7" s="1"/>
  <c r="I247" i="7" s="1"/>
  <c r="G225" i="7"/>
  <c r="K219" i="7"/>
  <c r="AI219" i="7"/>
  <c r="DG220" i="7"/>
  <c r="AK220" i="7" s="1"/>
  <c r="O219" i="7"/>
  <c r="CM220" i="7"/>
  <c r="G187" i="7"/>
  <c r="G175" i="7"/>
  <c r="G198" i="7"/>
  <c r="G180" i="7"/>
  <c r="G194" i="7"/>
  <c r="G185" i="7"/>
  <c r="G51" i="7" s="1"/>
  <c r="G152" i="7"/>
  <c r="H153" i="7" s="1"/>
  <c r="G156" i="7"/>
  <c r="H157" i="7" s="1"/>
  <c r="G158" i="7"/>
  <c r="H159" i="7" s="1"/>
  <c r="G169" i="7"/>
  <c r="H170" i="7" s="1"/>
  <c r="I172" i="7" s="1"/>
  <c r="G153" i="7"/>
  <c r="G241" i="7"/>
  <c r="CD242" i="7"/>
  <c r="CE244" i="7" s="1"/>
  <c r="AF219" i="7"/>
  <c r="CZ220" i="7"/>
  <c r="Q219" i="7"/>
  <c r="G231" i="7"/>
  <c r="CD232" i="7"/>
  <c r="G232" i="7"/>
  <c r="CD233" i="7"/>
  <c r="CE235" i="7" s="1"/>
  <c r="H155" i="7"/>
  <c r="G191" i="7"/>
  <c r="G178" i="7"/>
  <c r="G196" i="7"/>
  <c r="G62" i="7" s="1"/>
  <c r="G181" i="7"/>
  <c r="G183" i="7"/>
  <c r="G49" i="7" s="1"/>
  <c r="G174" i="7"/>
  <c r="G148" i="7"/>
  <c r="H149" i="7" s="1"/>
  <c r="G159" i="7"/>
  <c r="H160" i="7" s="1"/>
  <c r="G170" i="7"/>
  <c r="H171" i="7" s="1"/>
  <c r="G165" i="7"/>
  <c r="H166" i="7" s="1"/>
  <c r="G149" i="7"/>
  <c r="H150" i="7" s="1"/>
  <c r="G230" i="7"/>
  <c r="CD231" i="7"/>
  <c r="G177" i="7"/>
  <c r="G176" i="7"/>
  <c r="G190" i="7"/>
  <c r="G189" i="7"/>
  <c r="G199" i="7"/>
  <c r="G163" i="7"/>
  <c r="H164" i="7" s="1"/>
  <c r="G161" i="7"/>
  <c r="H162" i="7" s="1"/>
  <c r="G145" i="7"/>
  <c r="AL145" i="7"/>
  <c r="BA145" i="7"/>
  <c r="P145" i="7"/>
  <c r="H219" i="7"/>
  <c r="CF220" i="7"/>
  <c r="I145" i="7"/>
  <c r="K19" i="21"/>
  <c r="I12" i="22" s="1"/>
  <c r="CT220" i="7" l="1"/>
  <c r="Z11" i="7"/>
  <c r="DC220" i="7"/>
  <c r="DA220" i="7"/>
  <c r="AE220" i="7" s="1"/>
  <c r="CL220" i="7"/>
  <c r="L219" i="7"/>
  <c r="H220" i="7"/>
  <c r="X219" i="7"/>
  <c r="CN220" i="7"/>
  <c r="R220" i="7" s="1"/>
  <c r="CG221" i="7"/>
  <c r="K221" i="7" s="1"/>
  <c r="DB220" i="7"/>
  <c r="CH220" i="7"/>
  <c r="L220" i="7" s="1"/>
  <c r="N146" i="7"/>
  <c r="P147" i="7" s="1"/>
  <c r="K20" i="21"/>
  <c r="K23" i="21" s="1"/>
  <c r="L9" i="21" s="1"/>
  <c r="CR220" i="7"/>
  <c r="V220" i="7" s="1"/>
  <c r="CX220" i="7"/>
  <c r="AB220" i="7" s="1"/>
  <c r="J489" i="25"/>
  <c r="U488" i="25"/>
  <c r="AG146" i="7"/>
  <c r="AG12" i="7" s="1"/>
  <c r="AL146" i="7"/>
  <c r="AN147" i="7" s="1"/>
  <c r="AZ146" i="7"/>
  <c r="AZ12" i="7" s="1"/>
  <c r="BH146" i="7"/>
  <c r="BH12" i="7" s="1"/>
  <c r="AF146" i="7"/>
  <c r="AH147" i="7" s="1"/>
  <c r="BD146" i="7"/>
  <c r="BD12" i="7" s="1"/>
  <c r="Z146" i="7"/>
  <c r="Z12" i="7" s="1"/>
  <c r="AE146" i="7"/>
  <c r="AE12" i="7" s="1"/>
  <c r="N11" i="7"/>
  <c r="AU146" i="7"/>
  <c r="AU12" i="7" s="1"/>
  <c r="BF146" i="7"/>
  <c r="BH147" i="7" s="1"/>
  <c r="BH13" i="7" s="1"/>
  <c r="G68" i="7"/>
  <c r="AK146" i="7"/>
  <c r="AK12" i="7" s="1"/>
  <c r="AO146" i="7"/>
  <c r="AO12" i="7" s="1"/>
  <c r="AT146" i="7"/>
  <c r="AT12" i="7" s="1"/>
  <c r="M11" i="7"/>
  <c r="BL146" i="7"/>
  <c r="BL12" i="7" s="1"/>
  <c r="BO146" i="7"/>
  <c r="BO12" i="7" s="1"/>
  <c r="AC146" i="7"/>
  <c r="AE147" i="7" s="1"/>
  <c r="CQ220" i="7"/>
  <c r="CS221" i="7" s="1"/>
  <c r="CW220" i="7"/>
  <c r="CY221" i="7" s="1"/>
  <c r="M219" i="7"/>
  <c r="BB146" i="7"/>
  <c r="BB12" i="7" s="1"/>
  <c r="CE227" i="7"/>
  <c r="CF229" i="7" s="1"/>
  <c r="CU220" i="7"/>
  <c r="CW221" i="7" s="1"/>
  <c r="CE226" i="7"/>
  <c r="I226" i="7" s="1"/>
  <c r="BM146" i="7"/>
  <c r="BM12" i="7" s="1"/>
  <c r="I220" i="7"/>
  <c r="CT221" i="7"/>
  <c r="X221" i="7" s="1"/>
  <c r="DF220" i="7"/>
  <c r="AJ220" i="7" s="1"/>
  <c r="CP221" i="7"/>
  <c r="T221" i="7" s="1"/>
  <c r="H222" i="7"/>
  <c r="U146" i="7"/>
  <c r="U12" i="7" s="1"/>
  <c r="BA146" i="7"/>
  <c r="BA12" i="7" s="1"/>
  <c r="AQ146" i="7"/>
  <c r="AQ12" i="7" s="1"/>
  <c r="J146" i="7"/>
  <c r="J12" i="7" s="1"/>
  <c r="I147" i="7"/>
  <c r="Q146" i="7"/>
  <c r="S147" i="7" s="1"/>
  <c r="CS220" i="7"/>
  <c r="W220" i="7" s="1"/>
  <c r="S146" i="7"/>
  <c r="U147" i="7" s="1"/>
  <c r="CE222" i="7"/>
  <c r="I222" i="7" s="1"/>
  <c r="J174" i="7"/>
  <c r="L146" i="7"/>
  <c r="L12" i="7" s="1"/>
  <c r="AY146" i="7"/>
  <c r="AY12" i="7" s="1"/>
  <c r="BC11" i="7"/>
  <c r="AM146" i="7"/>
  <c r="AM12" i="7" s="1"/>
  <c r="BK146" i="7"/>
  <c r="BM147" i="7" s="1"/>
  <c r="V11" i="7"/>
  <c r="I173" i="7"/>
  <c r="J175" i="7" s="1"/>
  <c r="J41" i="7" s="1"/>
  <c r="AH146" i="7"/>
  <c r="AH12" i="7" s="1"/>
  <c r="Y11" i="7"/>
  <c r="AA146" i="7"/>
  <c r="AX146" i="7"/>
  <c r="AX12" i="7" s="1"/>
  <c r="AW146" i="7"/>
  <c r="AY147" i="7" s="1"/>
  <c r="G58" i="7"/>
  <c r="I175" i="7"/>
  <c r="I41" i="7" s="1"/>
  <c r="AD146" i="7"/>
  <c r="AD12" i="7" s="1"/>
  <c r="H185" i="7"/>
  <c r="I187" i="7" s="1"/>
  <c r="BN146" i="7"/>
  <c r="BN12" i="7" s="1"/>
  <c r="AH11" i="7"/>
  <c r="H184" i="7"/>
  <c r="I186" i="7" s="1"/>
  <c r="AP146" i="7"/>
  <c r="AP12" i="7" s="1"/>
  <c r="BJ146" i="7"/>
  <c r="BJ12" i="7" s="1"/>
  <c r="AT11" i="7"/>
  <c r="AV146" i="7"/>
  <c r="AS146" i="7"/>
  <c r="AU147" i="7" s="1"/>
  <c r="W146" i="7"/>
  <c r="Y147" i="7" s="1"/>
  <c r="M146" i="7"/>
  <c r="O147" i="7" s="1"/>
  <c r="I167" i="7"/>
  <c r="J169" i="7" s="1"/>
  <c r="BI146" i="7"/>
  <c r="BI12" i="7" s="1"/>
  <c r="I170" i="7"/>
  <c r="J172" i="7" s="1"/>
  <c r="T146" i="7"/>
  <c r="V147" i="7" s="1"/>
  <c r="BG146" i="7"/>
  <c r="BG12" i="7" s="1"/>
  <c r="AR146" i="7"/>
  <c r="CE225" i="7"/>
  <c r="I225" i="7" s="1"/>
  <c r="I163" i="7"/>
  <c r="J165" i="7" s="1"/>
  <c r="I165" i="7"/>
  <c r="J167" i="7" s="1"/>
  <c r="AA219" i="7"/>
  <c r="CY220" i="7"/>
  <c r="J171" i="7"/>
  <c r="K173" i="7" s="1"/>
  <c r="AI146" i="7"/>
  <c r="AK147" i="7" s="1"/>
  <c r="CE239" i="7"/>
  <c r="CF241" i="7" s="1"/>
  <c r="CG243" i="7" s="1"/>
  <c r="G67" i="7"/>
  <c r="H202" i="7"/>
  <c r="H68" i="7" s="1"/>
  <c r="I195" i="7"/>
  <c r="I61" i="7" s="1"/>
  <c r="H183" i="7"/>
  <c r="G45" i="7"/>
  <c r="H180" i="7"/>
  <c r="H46" i="7" s="1"/>
  <c r="I150" i="7"/>
  <c r="H197" i="7"/>
  <c r="H63" i="7" s="1"/>
  <c r="I162" i="7"/>
  <c r="J164" i="7" s="1"/>
  <c r="CF223" i="7"/>
  <c r="J223" i="7" s="1"/>
  <c r="W11" i="7"/>
  <c r="G66" i="7"/>
  <c r="H201" i="7"/>
  <c r="H175" i="7"/>
  <c r="H41" i="7" s="1"/>
  <c r="I164" i="7"/>
  <c r="I241" i="7"/>
  <c r="I159" i="7"/>
  <c r="J161" i="7" s="1"/>
  <c r="I166" i="7"/>
  <c r="I244" i="7"/>
  <c r="G11" i="7"/>
  <c r="I146" i="7"/>
  <c r="H146" i="7"/>
  <c r="H231" i="7"/>
  <c r="CE233" i="7"/>
  <c r="I155" i="7"/>
  <c r="G46" i="7"/>
  <c r="H181" i="7"/>
  <c r="K220" i="7"/>
  <c r="CI221" i="7"/>
  <c r="X220" i="7"/>
  <c r="CV221" i="7"/>
  <c r="H229" i="7"/>
  <c r="CF230" i="7"/>
  <c r="J221" i="7"/>
  <c r="CH222" i="7"/>
  <c r="H230" i="7"/>
  <c r="CF231" i="7"/>
  <c r="J231" i="7" s="1"/>
  <c r="N220" i="7"/>
  <c r="CL221" i="7"/>
  <c r="P11" i="7"/>
  <c r="R146" i="7"/>
  <c r="G65" i="7"/>
  <c r="H200" i="7"/>
  <c r="G43" i="7"/>
  <c r="H178" i="7"/>
  <c r="CE231" i="7"/>
  <c r="CF233" i="7" s="1"/>
  <c r="I151" i="7"/>
  <c r="J153" i="7" s="1"/>
  <c r="G47" i="7"/>
  <c r="H182" i="7"/>
  <c r="G57" i="7"/>
  <c r="H233" i="7"/>
  <c r="AG220" i="7"/>
  <c r="DE221" i="7"/>
  <c r="H232" i="7"/>
  <c r="S220" i="7"/>
  <c r="CQ221" i="7"/>
  <c r="I242" i="7"/>
  <c r="I154" i="7"/>
  <c r="J156" i="7" s="1"/>
  <c r="H154" i="7"/>
  <c r="G41" i="7"/>
  <c r="I176" i="7"/>
  <c r="H176" i="7"/>
  <c r="I149" i="7"/>
  <c r="J151" i="7" s="1"/>
  <c r="Q220" i="7"/>
  <c r="CO221" i="7"/>
  <c r="M220" i="7"/>
  <c r="CK221" i="7"/>
  <c r="I245" i="7"/>
  <c r="I229" i="7"/>
  <c r="G52" i="7"/>
  <c r="H187" i="7"/>
  <c r="I189" i="7" s="1"/>
  <c r="H194" i="7"/>
  <c r="H60" i="7" s="1"/>
  <c r="G59" i="7"/>
  <c r="X147" i="7"/>
  <c r="V12" i="7"/>
  <c r="Z220" i="7"/>
  <c r="CX221" i="7"/>
  <c r="H246" i="7"/>
  <c r="CF247" i="7"/>
  <c r="J247" i="7" s="1"/>
  <c r="CE230" i="7"/>
  <c r="CF232" i="7" s="1"/>
  <c r="AL147" i="7"/>
  <c r="AJ12" i="7"/>
  <c r="H236" i="7"/>
  <c r="CF237" i="7"/>
  <c r="CE238" i="7"/>
  <c r="CF240" i="7" s="1"/>
  <c r="G44" i="7"/>
  <c r="H179" i="7"/>
  <c r="I221" i="7"/>
  <c r="CG222" i="7"/>
  <c r="G54" i="7"/>
  <c r="H189" i="7"/>
  <c r="I191" i="7" s="1"/>
  <c r="G69" i="7"/>
  <c r="H204" i="7"/>
  <c r="H70" i="7" s="1"/>
  <c r="I235" i="7"/>
  <c r="AI220" i="7"/>
  <c r="DG221" i="7"/>
  <c r="AK221" i="7" s="1"/>
  <c r="CF245" i="7"/>
  <c r="J245" i="7" s="1"/>
  <c r="I243" i="7"/>
  <c r="BA11" i="7"/>
  <c r="BC146" i="7"/>
  <c r="G55" i="7"/>
  <c r="H190" i="7"/>
  <c r="AA220" i="7"/>
  <c r="I157" i="7"/>
  <c r="J159" i="7" s="1"/>
  <c r="H186" i="7"/>
  <c r="AH220" i="7"/>
  <c r="DF221" i="7"/>
  <c r="AJ221" i="7" s="1"/>
  <c r="H242" i="7"/>
  <c r="CF243" i="7"/>
  <c r="CG245" i="7" s="1"/>
  <c r="G60" i="7"/>
  <c r="H195" i="7"/>
  <c r="G53" i="7"/>
  <c r="H188" i="7"/>
  <c r="I190" i="7" s="1"/>
  <c r="H245" i="7"/>
  <c r="CF246" i="7"/>
  <c r="I224" i="7"/>
  <c r="CF226" i="7"/>
  <c r="G63" i="7"/>
  <c r="H198" i="7"/>
  <c r="CE232" i="7"/>
  <c r="CF234" i="7" s="1"/>
  <c r="O220" i="7"/>
  <c r="CM221" i="7"/>
  <c r="H240" i="7"/>
  <c r="CE246" i="7"/>
  <c r="P220" i="7"/>
  <c r="CN221" i="7"/>
  <c r="CE236" i="7"/>
  <c r="G42" i="7"/>
  <c r="H177" i="7"/>
  <c r="I168" i="7"/>
  <c r="J170" i="7" s="1"/>
  <c r="O12" i="7"/>
  <c r="Q147" i="7"/>
  <c r="I11" i="7"/>
  <c r="K146" i="7"/>
  <c r="J220" i="7"/>
  <c r="CH221" i="7"/>
  <c r="AL11" i="7"/>
  <c r="AN146" i="7"/>
  <c r="G56" i="7"/>
  <c r="H191" i="7"/>
  <c r="H69" i="7"/>
  <c r="I152" i="7"/>
  <c r="J154" i="7" s="1"/>
  <c r="I153" i="7"/>
  <c r="H192" i="7"/>
  <c r="I194" i="7" s="1"/>
  <c r="I60" i="7" s="1"/>
  <c r="AD220" i="7"/>
  <c r="DB221" i="7"/>
  <c r="I161" i="7"/>
  <c r="G64" i="7"/>
  <c r="H199" i="7"/>
  <c r="I171" i="7"/>
  <c r="H221" i="7"/>
  <c r="CF222" i="7"/>
  <c r="CE223" i="7"/>
  <c r="AB12" i="7"/>
  <c r="AD147" i="7"/>
  <c r="H239" i="7"/>
  <c r="I228" i="7"/>
  <c r="AA147" i="7"/>
  <c r="Y12" i="7"/>
  <c r="I160" i="7"/>
  <c r="G61" i="7"/>
  <c r="H196" i="7"/>
  <c r="H59" i="7"/>
  <c r="I158" i="7"/>
  <c r="J160" i="7" s="1"/>
  <c r="H235" i="7"/>
  <c r="CE237" i="7"/>
  <c r="I240" i="7"/>
  <c r="CE234" i="7"/>
  <c r="BE12" i="7"/>
  <c r="BG147" i="7"/>
  <c r="R147" i="7"/>
  <c r="P12" i="7"/>
  <c r="H227" i="7"/>
  <c r="T220" i="7"/>
  <c r="CR221" i="7"/>
  <c r="H243" i="7"/>
  <c r="CF244" i="7"/>
  <c r="CG246" i="7" s="1"/>
  <c r="H241" i="7"/>
  <c r="CF242" i="7"/>
  <c r="CG244" i="7" s="1"/>
  <c r="Z147" i="7"/>
  <c r="X12" i="7"/>
  <c r="I25" i="22"/>
  <c r="I65" i="22"/>
  <c r="I52" i="22"/>
  <c r="I39" i="22"/>
  <c r="U220" i="7" l="1"/>
  <c r="L8" i="21"/>
  <c r="DC221" i="7"/>
  <c r="DE222" i="7" s="1"/>
  <c r="CR222" i="7"/>
  <c r="V222" i="7" s="1"/>
  <c r="N12" i="7"/>
  <c r="CI222" i="7"/>
  <c r="M222" i="7" s="1"/>
  <c r="CJ221" i="7"/>
  <c r="N221" i="7" s="1"/>
  <c r="CY222" i="7"/>
  <c r="AC222" i="7" s="1"/>
  <c r="DD221" i="7"/>
  <c r="AF220" i="7"/>
  <c r="CZ221" i="7"/>
  <c r="AD221" i="7" s="1"/>
  <c r="AA221" i="7"/>
  <c r="CV222" i="7"/>
  <c r="Z222" i="7" s="1"/>
  <c r="AW147" i="7"/>
  <c r="AW13" i="7" s="1"/>
  <c r="BB147" i="7"/>
  <c r="BB13" i="7" s="1"/>
  <c r="CF228" i="7"/>
  <c r="J228" i="7" s="1"/>
  <c r="CF227" i="7"/>
  <c r="CG229" i="7" s="1"/>
  <c r="CH231" i="7" s="1"/>
  <c r="Y220" i="7"/>
  <c r="CG228" i="7"/>
  <c r="CH230" i="7" s="1"/>
  <c r="I227" i="7"/>
  <c r="AF12" i="7"/>
  <c r="AI147" i="7"/>
  <c r="AI13" i="7" s="1"/>
  <c r="J490" i="25"/>
  <c r="U489" i="25"/>
  <c r="AL12" i="7"/>
  <c r="BJ147" i="7"/>
  <c r="BJ13" i="7" s="1"/>
  <c r="K148" i="7"/>
  <c r="W147" i="7"/>
  <c r="Y148" i="7" s="1"/>
  <c r="L147" i="7"/>
  <c r="L13" i="7" s="1"/>
  <c r="AM147" i="7"/>
  <c r="AM13" i="7" s="1"/>
  <c r="BF147" i="7"/>
  <c r="BF13" i="7" s="1"/>
  <c r="J149" i="7"/>
  <c r="K151" i="7" s="1"/>
  <c r="H50" i="7"/>
  <c r="AB147" i="7"/>
  <c r="AB13" i="7" s="1"/>
  <c r="AQ147" i="7"/>
  <c r="AQ13" i="7" s="1"/>
  <c r="M12" i="7"/>
  <c r="AG147" i="7"/>
  <c r="AI148" i="7" s="1"/>
  <c r="BF12" i="7"/>
  <c r="BN147" i="7"/>
  <c r="BN13" i="7" s="1"/>
  <c r="AS147" i="7"/>
  <c r="AU148" i="7" s="1"/>
  <c r="AC12" i="7"/>
  <c r="Q12" i="7"/>
  <c r="BD147" i="7"/>
  <c r="BF148" i="7" s="1"/>
  <c r="BH149" i="7" s="1"/>
  <c r="BK12" i="7"/>
  <c r="AV147" i="7"/>
  <c r="AV13" i="7" s="1"/>
  <c r="L175" i="7"/>
  <c r="L41" i="7" s="1"/>
  <c r="BO147" i="7"/>
  <c r="BO13" i="7" s="1"/>
  <c r="CG223" i="7"/>
  <c r="K223" i="7" s="1"/>
  <c r="S12" i="7"/>
  <c r="N147" i="7"/>
  <c r="P148" i="7" s="1"/>
  <c r="R149" i="7" s="1"/>
  <c r="CF224" i="7"/>
  <c r="J224" i="7" s="1"/>
  <c r="BC147" i="7"/>
  <c r="BE148" i="7" s="1"/>
  <c r="CG225" i="7"/>
  <c r="CH227" i="7" s="1"/>
  <c r="CU221" i="7"/>
  <c r="CW222" i="7" s="1"/>
  <c r="BA147" i="7"/>
  <c r="BA13" i="7" s="1"/>
  <c r="K176" i="7"/>
  <c r="AI12" i="7"/>
  <c r="K174" i="7"/>
  <c r="L176" i="7" s="1"/>
  <c r="L42" i="7" s="1"/>
  <c r="W12" i="7"/>
  <c r="AW12" i="7"/>
  <c r="AS12" i="7"/>
  <c r="AO147" i="7"/>
  <c r="AO13" i="7" s="1"/>
  <c r="H51" i="7"/>
  <c r="AJ147" i="7"/>
  <c r="AF147" i="7"/>
  <c r="AF13" i="7" s="1"/>
  <c r="AZ147" i="7"/>
  <c r="AZ13" i="7" s="1"/>
  <c r="AA12" i="7"/>
  <c r="AC147" i="7"/>
  <c r="BI147" i="7"/>
  <c r="BI13" i="7" s="1"/>
  <c r="BL147" i="7"/>
  <c r="BL13" i="7" s="1"/>
  <c r="K171" i="7"/>
  <c r="L173" i="7" s="1"/>
  <c r="K166" i="7"/>
  <c r="L168" i="7" s="1"/>
  <c r="T12" i="7"/>
  <c r="AR147" i="7"/>
  <c r="AT148" i="7" s="1"/>
  <c r="BK147" i="7"/>
  <c r="BK13" i="7" s="1"/>
  <c r="AR12" i="7"/>
  <c r="AT147" i="7"/>
  <c r="AV12" i="7"/>
  <c r="AX147" i="7"/>
  <c r="I204" i="7"/>
  <c r="I70" i="7" s="1"/>
  <c r="K163" i="7"/>
  <c r="L165" i="7" s="1"/>
  <c r="AC220" i="7"/>
  <c r="DA221" i="7"/>
  <c r="J152" i="7"/>
  <c r="K154" i="7" s="1"/>
  <c r="I239" i="7"/>
  <c r="CX223" i="7"/>
  <c r="AB223" i="7" s="1"/>
  <c r="I196" i="7"/>
  <c r="J198" i="7" s="1"/>
  <c r="I185" i="7"/>
  <c r="I51" i="7" s="1"/>
  <c r="H49" i="7"/>
  <c r="I199" i="7"/>
  <c r="I65" i="7" s="1"/>
  <c r="H67" i="7"/>
  <c r="I203" i="7"/>
  <c r="I69" i="7" s="1"/>
  <c r="I182" i="7"/>
  <c r="I48" i="7" s="1"/>
  <c r="J176" i="7"/>
  <c r="J42" i="7" s="1"/>
  <c r="AY13" i="7"/>
  <c r="BA148" i="7"/>
  <c r="I177" i="7"/>
  <c r="I43" i="7" s="1"/>
  <c r="BJ148" i="7"/>
  <c r="K246" i="7"/>
  <c r="J234" i="7"/>
  <c r="CG236" i="7"/>
  <c r="CH238" i="7" s="1"/>
  <c r="CH246" i="7"/>
  <c r="K244" i="7"/>
  <c r="K245" i="7"/>
  <c r="J232" i="7"/>
  <c r="J233" i="7"/>
  <c r="I56" i="7"/>
  <c r="K243" i="7"/>
  <c r="T148" i="7"/>
  <c r="R13" i="7"/>
  <c r="H62" i="7"/>
  <c r="J197" i="7"/>
  <c r="J240" i="7"/>
  <c r="CF225" i="7"/>
  <c r="I223" i="7"/>
  <c r="CG224" i="7"/>
  <c r="I57" i="7"/>
  <c r="I236" i="7"/>
  <c r="CF238" i="7"/>
  <c r="W221" i="7"/>
  <c r="CU222" i="7"/>
  <c r="I200" i="7"/>
  <c r="H64" i="7"/>
  <c r="J246" i="7"/>
  <c r="CH247" i="7"/>
  <c r="L247" i="7" s="1"/>
  <c r="H52" i="7"/>
  <c r="I188" i="7"/>
  <c r="J190" i="7" s="1"/>
  <c r="K192" i="7" s="1"/>
  <c r="BC12" i="7"/>
  <c r="BE147" i="7"/>
  <c r="K222" i="7"/>
  <c r="CI223" i="7"/>
  <c r="H45" i="7"/>
  <c r="J237" i="7"/>
  <c r="AB221" i="7"/>
  <c r="CZ222" i="7"/>
  <c r="H53" i="7"/>
  <c r="J188" i="7"/>
  <c r="K190" i="7" s="1"/>
  <c r="S221" i="7"/>
  <c r="CQ222" i="7"/>
  <c r="I42" i="7"/>
  <c r="K177" i="7"/>
  <c r="U221" i="7"/>
  <c r="CS222" i="7"/>
  <c r="AI221" i="7"/>
  <c r="DG222" i="7"/>
  <c r="AK222" i="7" s="1"/>
  <c r="I184" i="7"/>
  <c r="H48" i="7"/>
  <c r="H44" i="7"/>
  <c r="I180" i="7"/>
  <c r="J182" i="7" s="1"/>
  <c r="R12" i="7"/>
  <c r="T147" i="7"/>
  <c r="H47" i="7"/>
  <c r="I183" i="7"/>
  <c r="CF235" i="7"/>
  <c r="CG237" i="7" s="1"/>
  <c r="K237" i="7" s="1"/>
  <c r="I233" i="7"/>
  <c r="CG234" i="7"/>
  <c r="K234" i="7" s="1"/>
  <c r="K167" i="7"/>
  <c r="J168" i="7"/>
  <c r="J244" i="7"/>
  <c r="CH245" i="7"/>
  <c r="I234" i="7"/>
  <c r="CG235" i="7"/>
  <c r="I237" i="7"/>
  <c r="CF239" i="7"/>
  <c r="AC148" i="7"/>
  <c r="AA13" i="7"/>
  <c r="J222" i="7"/>
  <c r="CH223" i="7"/>
  <c r="J173" i="7"/>
  <c r="K172" i="7"/>
  <c r="K162" i="7"/>
  <c r="AF221" i="7"/>
  <c r="DD222" i="7"/>
  <c r="K155" i="7"/>
  <c r="L157" i="7" s="1"/>
  <c r="H57" i="7"/>
  <c r="I193" i="7"/>
  <c r="J192" i="7"/>
  <c r="L221" i="7"/>
  <c r="CJ222" i="7"/>
  <c r="S148" i="7"/>
  <c r="Q13" i="7"/>
  <c r="H43" i="7"/>
  <c r="J178" i="7"/>
  <c r="R221" i="7"/>
  <c r="CP222" i="7"/>
  <c r="Q221" i="7"/>
  <c r="CO222" i="7"/>
  <c r="I198" i="7"/>
  <c r="J200" i="7" s="1"/>
  <c r="H61" i="7"/>
  <c r="J196" i="7"/>
  <c r="I197" i="7"/>
  <c r="I63" i="7" s="1"/>
  <c r="AU13" i="7"/>
  <c r="AW148" i="7"/>
  <c r="H56" i="7"/>
  <c r="J191" i="7"/>
  <c r="I55" i="7"/>
  <c r="I179" i="7"/>
  <c r="AL13" i="7"/>
  <c r="AN148" i="7"/>
  <c r="I230" i="7"/>
  <c r="CG231" i="7"/>
  <c r="R148" i="7"/>
  <c r="P13" i="7"/>
  <c r="Q148" i="7"/>
  <c r="O13" i="7"/>
  <c r="W148" i="7"/>
  <c r="U13" i="7"/>
  <c r="U148" i="7"/>
  <c r="S13" i="7"/>
  <c r="J230" i="7"/>
  <c r="M221" i="7"/>
  <c r="CK222" i="7"/>
  <c r="AB148" i="7"/>
  <c r="Z13" i="7"/>
  <c r="J227" i="7"/>
  <c r="CF236" i="7"/>
  <c r="CG238" i="7" s="1"/>
  <c r="AF148" i="7"/>
  <c r="AD13" i="7"/>
  <c r="AG148" i="7"/>
  <c r="AE13" i="7"/>
  <c r="H65" i="7"/>
  <c r="I201" i="7"/>
  <c r="H58" i="7"/>
  <c r="J193" i="7"/>
  <c r="K153" i="7"/>
  <c r="L155" i="7" s="1"/>
  <c r="J241" i="7"/>
  <c r="AN13" i="7"/>
  <c r="AP148" i="7"/>
  <c r="AM148" i="7"/>
  <c r="AK13" i="7"/>
  <c r="AA148" i="7"/>
  <c r="Y13" i="7"/>
  <c r="H55" i="7"/>
  <c r="AJ148" i="7"/>
  <c r="AH13" i="7"/>
  <c r="CG230" i="7"/>
  <c r="O221" i="7"/>
  <c r="CM222" i="7"/>
  <c r="I156" i="7"/>
  <c r="J158" i="7" s="1"/>
  <c r="J155" i="7"/>
  <c r="I192" i="7"/>
  <c r="H66" i="7"/>
  <c r="I202" i="7"/>
  <c r="P221" i="7"/>
  <c r="CN222" i="7"/>
  <c r="L222" i="7"/>
  <c r="CJ223" i="7"/>
  <c r="H12" i="7"/>
  <c r="J147" i="7"/>
  <c r="I148" i="7"/>
  <c r="J163" i="7"/>
  <c r="J242" i="7"/>
  <c r="V221" i="7"/>
  <c r="CT222" i="7"/>
  <c r="BG13" i="7"/>
  <c r="BI148" i="7"/>
  <c r="K161" i="7"/>
  <c r="J162" i="7"/>
  <c r="DB222" i="7"/>
  <c r="AN12" i="7"/>
  <c r="AP147" i="7"/>
  <c r="M147" i="7"/>
  <c r="K12" i="7"/>
  <c r="K169" i="7"/>
  <c r="L171" i="7" s="1"/>
  <c r="J229" i="7"/>
  <c r="I246" i="7"/>
  <c r="CG247" i="7"/>
  <c r="K247" i="7" s="1"/>
  <c r="I232" i="7"/>
  <c r="CG233" i="7"/>
  <c r="J226" i="7"/>
  <c r="BM13" i="7"/>
  <c r="BO148" i="7"/>
  <c r="BO14" i="7" s="1"/>
  <c r="H54" i="7"/>
  <c r="J189" i="7"/>
  <c r="K191" i="7" s="1"/>
  <c r="J243" i="7"/>
  <c r="I52" i="7"/>
  <c r="K158" i="7"/>
  <c r="L160" i="7" s="1"/>
  <c r="AC221" i="7"/>
  <c r="DA222" i="7"/>
  <c r="X148" i="7"/>
  <c r="V13" i="7"/>
  <c r="I238" i="7"/>
  <c r="CG239" i="7"/>
  <c r="Z148" i="7"/>
  <c r="X13" i="7"/>
  <c r="I53" i="7"/>
  <c r="I178" i="7"/>
  <c r="J180" i="7" s="1"/>
  <c r="H42" i="7"/>
  <c r="J177" i="7"/>
  <c r="I231" i="7"/>
  <c r="CG232" i="7"/>
  <c r="CH234" i="7" s="1"/>
  <c r="Z221" i="7"/>
  <c r="CX222" i="7"/>
  <c r="I181" i="7"/>
  <c r="K156" i="7"/>
  <c r="J157" i="7"/>
  <c r="J148" i="7"/>
  <c r="I12" i="7"/>
  <c r="K147" i="7"/>
  <c r="CH224" i="7"/>
  <c r="CG242" i="7"/>
  <c r="CH244" i="7" s="1"/>
  <c r="J166" i="7"/>
  <c r="L10" i="21"/>
  <c r="L11" i="21" s="1"/>
  <c r="AG221" i="7" l="1"/>
  <c r="CT223" i="7"/>
  <c r="K228" i="7"/>
  <c r="CG226" i="7"/>
  <c r="K226" i="7" s="1"/>
  <c r="CI229" i="7"/>
  <c r="M229" i="7" s="1"/>
  <c r="BD148" i="7"/>
  <c r="CL222" i="7"/>
  <c r="P222" i="7" s="1"/>
  <c r="CI224" i="7"/>
  <c r="M224" i="7" s="1"/>
  <c r="CK223" i="7"/>
  <c r="O223" i="7" s="1"/>
  <c r="K225" i="7"/>
  <c r="AY148" i="7"/>
  <c r="AY14" i="7" s="1"/>
  <c r="AK148" i="7"/>
  <c r="AK14" i="7" s="1"/>
  <c r="AH221" i="7"/>
  <c r="DF222" i="7"/>
  <c r="AJ222" i="7" s="1"/>
  <c r="DA223" i="7"/>
  <c r="DC224" i="7" s="1"/>
  <c r="CI226" i="7"/>
  <c r="CJ228" i="7" s="1"/>
  <c r="J491" i="25"/>
  <c r="U490" i="25"/>
  <c r="W13" i="7"/>
  <c r="BL148" i="7"/>
  <c r="BL14" i="7" s="1"/>
  <c r="L150" i="7"/>
  <c r="M152" i="7" s="1"/>
  <c r="M149" i="7"/>
  <c r="N148" i="7"/>
  <c r="N14" i="7" s="1"/>
  <c r="AD148" i="7"/>
  <c r="AD14" i="7" s="1"/>
  <c r="BF14" i="7"/>
  <c r="BC13" i="7"/>
  <c r="AS148" i="7"/>
  <c r="AS14" i="7" s="1"/>
  <c r="AG13" i="7"/>
  <c r="AO148" i="7"/>
  <c r="AO14" i="7" s="1"/>
  <c r="BH148" i="7"/>
  <c r="BH14" i="7" s="1"/>
  <c r="AS13" i="7"/>
  <c r="M175" i="7"/>
  <c r="M41" i="7" s="1"/>
  <c r="N13" i="7"/>
  <c r="AX148" i="7"/>
  <c r="AX14" i="7" s="1"/>
  <c r="BD13" i="7"/>
  <c r="P14" i="7"/>
  <c r="M177" i="7"/>
  <c r="M43" i="7" s="1"/>
  <c r="BC148" i="7"/>
  <c r="BE149" i="7" s="1"/>
  <c r="CH225" i="7"/>
  <c r="L225" i="7" s="1"/>
  <c r="Y221" i="7"/>
  <c r="K42" i="7"/>
  <c r="CZ224" i="7"/>
  <c r="AD224" i="7" s="1"/>
  <c r="K200" i="7"/>
  <c r="K66" i="7" s="1"/>
  <c r="BB148" i="7"/>
  <c r="BB14" i="7" s="1"/>
  <c r="BK148" i="7"/>
  <c r="BK14" i="7" s="1"/>
  <c r="AH148" i="7"/>
  <c r="AJ149" i="7" s="1"/>
  <c r="L153" i="7"/>
  <c r="M155" i="7" s="1"/>
  <c r="I62" i="7"/>
  <c r="AQ148" i="7"/>
  <c r="AQ14" i="7" s="1"/>
  <c r="BL149" i="7"/>
  <c r="BL15" i="7" s="1"/>
  <c r="BN148" i="7"/>
  <c r="BN14" i="7" s="1"/>
  <c r="AL148" i="7"/>
  <c r="AJ13" i="7"/>
  <c r="AE148" i="7"/>
  <c r="AC13" i="7"/>
  <c r="AR13" i="7"/>
  <c r="J187" i="7"/>
  <c r="K189" i="7" s="1"/>
  <c r="L191" i="7" s="1"/>
  <c r="M193" i="7" s="1"/>
  <c r="L149" i="7"/>
  <c r="J201" i="7"/>
  <c r="J67" i="7" s="1"/>
  <c r="M167" i="7"/>
  <c r="N169" i="7" s="1"/>
  <c r="K178" i="7"/>
  <c r="K44" i="7" s="1"/>
  <c r="J179" i="7"/>
  <c r="J45" i="7" s="1"/>
  <c r="AX13" i="7"/>
  <c r="AZ148" i="7"/>
  <c r="BM148" i="7"/>
  <c r="BM14" i="7" s="1"/>
  <c r="AT13" i="7"/>
  <c r="AV148" i="7"/>
  <c r="L164" i="7"/>
  <c r="AE221" i="7"/>
  <c r="DC222" i="7"/>
  <c r="BJ14" i="7"/>
  <c r="K165" i="7"/>
  <c r="J184" i="7"/>
  <c r="J50" i="7" s="1"/>
  <c r="BA14" i="7"/>
  <c r="BC149" i="7"/>
  <c r="BE14" i="7"/>
  <c r="BG149" i="7"/>
  <c r="M162" i="7"/>
  <c r="J46" i="7"/>
  <c r="K57" i="7"/>
  <c r="K58" i="7"/>
  <c r="K238" i="7"/>
  <c r="M157" i="7"/>
  <c r="AA149" i="7"/>
  <c r="Y14" i="7"/>
  <c r="K195" i="7"/>
  <c r="L197" i="7" s="1"/>
  <c r="J59" i="7"/>
  <c r="L194" i="7"/>
  <c r="AT14" i="7"/>
  <c r="AV149" i="7"/>
  <c r="X223" i="7"/>
  <c r="CV224" i="7"/>
  <c r="W222" i="7"/>
  <c r="CU223" i="7"/>
  <c r="L238" i="7"/>
  <c r="L234" i="7"/>
  <c r="I47" i="7"/>
  <c r="K182" i="7"/>
  <c r="AK149" i="7"/>
  <c r="AI14" i="7"/>
  <c r="K239" i="7"/>
  <c r="CI240" i="7"/>
  <c r="AE222" i="7"/>
  <c r="DC223" i="7"/>
  <c r="L244" i="7"/>
  <c r="AI222" i="7"/>
  <c r="DG223" i="7"/>
  <c r="AK223" i="7" s="1"/>
  <c r="AP13" i="7"/>
  <c r="AR148" i="7"/>
  <c r="X222" i="7"/>
  <c r="CV223" i="7"/>
  <c r="R222" i="7"/>
  <c r="CP223" i="7"/>
  <c r="K157" i="7"/>
  <c r="L159" i="7" s="1"/>
  <c r="L156" i="7"/>
  <c r="AL149" i="7"/>
  <c r="AJ14" i="7"/>
  <c r="AM14" i="7"/>
  <c r="AO149" i="7"/>
  <c r="K229" i="7"/>
  <c r="K231" i="7"/>
  <c r="CI232" i="7"/>
  <c r="K198" i="7"/>
  <c r="J62" i="7"/>
  <c r="AE149" i="7"/>
  <c r="AC14" i="7"/>
  <c r="K235" i="7"/>
  <c r="CI236" i="7"/>
  <c r="L245" i="7"/>
  <c r="J235" i="7"/>
  <c r="CH236" i="7"/>
  <c r="J183" i="7"/>
  <c r="BE13" i="7"/>
  <c r="BG148" i="7"/>
  <c r="Y222" i="7"/>
  <c r="CW223" i="7"/>
  <c r="BH15" i="7"/>
  <c r="BJ150" i="7"/>
  <c r="J238" i="7"/>
  <c r="CH239" i="7"/>
  <c r="CG240" i="7"/>
  <c r="J63" i="7"/>
  <c r="AB222" i="7"/>
  <c r="CZ223" i="7"/>
  <c r="AA222" i="7"/>
  <c r="CY223" i="7"/>
  <c r="AH149" i="7"/>
  <c r="AF14" i="7"/>
  <c r="AD149" i="7"/>
  <c r="AB14" i="7"/>
  <c r="L231" i="7"/>
  <c r="T149" i="7"/>
  <c r="R14" i="7"/>
  <c r="K56" i="7"/>
  <c r="S222" i="7"/>
  <c r="CQ223" i="7"/>
  <c r="N222" i="7"/>
  <c r="CL223" i="7"/>
  <c r="J54" i="7"/>
  <c r="I66" i="7"/>
  <c r="J202" i="7"/>
  <c r="K224" i="7"/>
  <c r="CI225" i="7"/>
  <c r="M225" i="7" s="1"/>
  <c r="V149" i="7"/>
  <c r="T14" i="7"/>
  <c r="K236" i="7"/>
  <c r="K168" i="7"/>
  <c r="M148" i="7"/>
  <c r="K13" i="7"/>
  <c r="K232" i="7"/>
  <c r="CI233" i="7"/>
  <c r="CJ235" i="7" s="1"/>
  <c r="J43" i="7"/>
  <c r="L178" i="7"/>
  <c r="AB149" i="7"/>
  <c r="Z14" i="7"/>
  <c r="Z149" i="7"/>
  <c r="X14" i="7"/>
  <c r="M170" i="7"/>
  <c r="AF222" i="7"/>
  <c r="DD223" i="7"/>
  <c r="L163" i="7"/>
  <c r="K164" i="7"/>
  <c r="J64" i="7"/>
  <c r="K149" i="7"/>
  <c r="J150" i="7"/>
  <c r="I58" i="7"/>
  <c r="K193" i="7"/>
  <c r="J194" i="7"/>
  <c r="K160" i="7"/>
  <c r="L162" i="7" s="1"/>
  <c r="Q222" i="7"/>
  <c r="CO223" i="7"/>
  <c r="AP14" i="7"/>
  <c r="AR149" i="7"/>
  <c r="AU14" i="7"/>
  <c r="AW149" i="7"/>
  <c r="I67" i="7"/>
  <c r="K202" i="7"/>
  <c r="K68" i="7" s="1"/>
  <c r="J203" i="7"/>
  <c r="AI149" i="7"/>
  <c r="AG14" i="7"/>
  <c r="O222" i="7"/>
  <c r="CM223" i="7"/>
  <c r="S149" i="7"/>
  <c r="Q14" i="7"/>
  <c r="T150" i="7"/>
  <c r="R15" i="7"/>
  <c r="J57" i="7"/>
  <c r="L192" i="7"/>
  <c r="T222" i="7"/>
  <c r="CR223" i="7"/>
  <c r="J44" i="7"/>
  <c r="L179" i="7"/>
  <c r="J58" i="7"/>
  <c r="L193" i="7"/>
  <c r="M173" i="7"/>
  <c r="L223" i="7"/>
  <c r="CJ224" i="7"/>
  <c r="K184" i="7"/>
  <c r="J48" i="7"/>
  <c r="I46" i="7"/>
  <c r="K43" i="7"/>
  <c r="M178" i="7"/>
  <c r="U222" i="7"/>
  <c r="CS223" i="7"/>
  <c r="AD222" i="7"/>
  <c r="DB223" i="7"/>
  <c r="BD14" i="7"/>
  <c r="BF149" i="7"/>
  <c r="J199" i="7"/>
  <c r="J225" i="7"/>
  <c r="CH226" i="7"/>
  <c r="CG227" i="7"/>
  <c r="CH233" i="7"/>
  <c r="CI246" i="7"/>
  <c r="CI247" i="7"/>
  <c r="M247" i="7" s="1"/>
  <c r="L224" i="7"/>
  <c r="CJ225" i="7"/>
  <c r="I44" i="7"/>
  <c r="K179" i="7"/>
  <c r="L181" i="7" s="1"/>
  <c r="O148" i="7"/>
  <c r="M13" i="7"/>
  <c r="CH232" i="7"/>
  <c r="L232" i="7" s="1"/>
  <c r="K230" i="7"/>
  <c r="Y149" i="7"/>
  <c r="W14" i="7"/>
  <c r="AW14" i="7"/>
  <c r="AY149" i="7"/>
  <c r="K242" i="7"/>
  <c r="K159" i="7"/>
  <c r="L158" i="7"/>
  <c r="M159" i="7"/>
  <c r="J55" i="7"/>
  <c r="L227" i="7"/>
  <c r="CH235" i="7"/>
  <c r="CI237" i="7" s="1"/>
  <c r="K233" i="7"/>
  <c r="L230" i="7"/>
  <c r="BI14" i="7"/>
  <c r="BK149" i="7"/>
  <c r="L148" i="7"/>
  <c r="J13" i="7"/>
  <c r="N223" i="7"/>
  <c r="CL224" i="7"/>
  <c r="I68" i="7"/>
  <c r="J204" i="7"/>
  <c r="J70" i="7" s="1"/>
  <c r="K150" i="7"/>
  <c r="L152" i="7" s="1"/>
  <c r="J56" i="7"/>
  <c r="AC149" i="7"/>
  <c r="AA14" i="7"/>
  <c r="J66" i="7"/>
  <c r="J236" i="7"/>
  <c r="CH237" i="7"/>
  <c r="CI239" i="7" s="1"/>
  <c r="W149" i="7"/>
  <c r="U14" i="7"/>
  <c r="AN14" i="7"/>
  <c r="AP149" i="7"/>
  <c r="I45" i="7"/>
  <c r="J181" i="7"/>
  <c r="K180" i="7"/>
  <c r="I64" i="7"/>
  <c r="K199" i="7"/>
  <c r="L201" i="7" s="1"/>
  <c r="U149" i="7"/>
  <c r="S14" i="7"/>
  <c r="J195" i="7"/>
  <c r="I59" i="7"/>
  <c r="K194" i="7"/>
  <c r="AH222" i="7"/>
  <c r="DF223" i="7"/>
  <c r="AJ223" i="7" s="1"/>
  <c r="L174" i="7"/>
  <c r="K175" i="7"/>
  <c r="J239" i="7"/>
  <c r="CH240" i="7"/>
  <c r="CG241" i="7"/>
  <c r="L169" i="7"/>
  <c r="K170" i="7"/>
  <c r="I49" i="7"/>
  <c r="J185" i="7"/>
  <c r="V148" i="7"/>
  <c r="T13" i="7"/>
  <c r="I50" i="7"/>
  <c r="J186" i="7"/>
  <c r="M223" i="7"/>
  <c r="CK224" i="7"/>
  <c r="I54" i="7"/>
  <c r="CH241" i="7"/>
  <c r="L246" i="7"/>
  <c r="J62" i="22"/>
  <c r="J66" i="22" s="1"/>
  <c r="J64" i="22" s="1"/>
  <c r="J49" i="22"/>
  <c r="J53" i="22" s="1"/>
  <c r="J51" i="22" s="1"/>
  <c r="J36" i="22"/>
  <c r="J22" i="22"/>
  <c r="J26" i="22" s="1"/>
  <c r="J24" i="22" s="1"/>
  <c r="AE223" i="7" l="1"/>
  <c r="AM149" i="7"/>
  <c r="CK225" i="7"/>
  <c r="CM226" i="7" s="1"/>
  <c r="CH228" i="7"/>
  <c r="CI230" i="7" s="1"/>
  <c r="CJ232" i="7" s="1"/>
  <c r="CK234" i="7" s="1"/>
  <c r="CK230" i="7"/>
  <c r="CJ231" i="7"/>
  <c r="N231" i="7" s="1"/>
  <c r="CN223" i="7"/>
  <c r="CP224" i="7" s="1"/>
  <c r="T224" i="7" s="1"/>
  <c r="AF149" i="7"/>
  <c r="AH150" i="7" s="1"/>
  <c r="CM224" i="7"/>
  <c r="BA149" i="7"/>
  <c r="BA15" i="7" s="1"/>
  <c r="M226" i="7"/>
  <c r="N151" i="7"/>
  <c r="O153" i="7" s="1"/>
  <c r="P149" i="7"/>
  <c r="R150" i="7" s="1"/>
  <c r="R16" i="7" s="1"/>
  <c r="CJ226" i="7"/>
  <c r="N226" i="7" s="1"/>
  <c r="CI227" i="7"/>
  <c r="BN149" i="7"/>
  <c r="BN15" i="7" s="1"/>
  <c r="J492" i="25"/>
  <c r="U491" i="25"/>
  <c r="AQ149" i="7"/>
  <c r="AS150" i="7" s="1"/>
  <c r="O150" i="7"/>
  <c r="Q151" i="7" s="1"/>
  <c r="S152" i="7" s="1"/>
  <c r="BJ149" i="7"/>
  <c r="BL150" i="7" s="1"/>
  <c r="N177" i="7"/>
  <c r="N43" i="7" s="1"/>
  <c r="AU149" i="7"/>
  <c r="AU15" i="7" s="1"/>
  <c r="AZ149" i="7"/>
  <c r="AZ15" i="7" s="1"/>
  <c r="BC14" i="7"/>
  <c r="DB225" i="7"/>
  <c r="AF225" i="7" s="1"/>
  <c r="K203" i="7"/>
  <c r="K69" i="7" s="1"/>
  <c r="N150" i="7"/>
  <c r="BM149" i="7"/>
  <c r="BM15" i="7" s="1"/>
  <c r="K181" i="7"/>
  <c r="L183" i="7" s="1"/>
  <c r="L49" i="7" s="1"/>
  <c r="BO149" i="7"/>
  <c r="BO15" i="7" s="1"/>
  <c r="BD149" i="7"/>
  <c r="BD15" i="7" s="1"/>
  <c r="AS149" i="7"/>
  <c r="AU150" i="7" s="1"/>
  <c r="AW151" i="7" s="1"/>
  <c r="AH14" i="7"/>
  <c r="K186" i="7"/>
  <c r="L188" i="7" s="1"/>
  <c r="L54" i="7" s="1"/>
  <c r="BN150" i="7"/>
  <c r="BN16" i="7" s="1"/>
  <c r="N154" i="7"/>
  <c r="AL14" i="7"/>
  <c r="AN149" i="7"/>
  <c r="AG149" i="7"/>
  <c r="AE14" i="7"/>
  <c r="L180" i="7"/>
  <c r="L46" i="7" s="1"/>
  <c r="L202" i="7"/>
  <c r="L68" i="7" s="1"/>
  <c r="M166" i="7"/>
  <c r="J53" i="7"/>
  <c r="AV14" i="7"/>
  <c r="AX149" i="7"/>
  <c r="BB149" i="7"/>
  <c r="AZ14" i="7"/>
  <c r="N159" i="7"/>
  <c r="N164" i="7"/>
  <c r="L167" i="7"/>
  <c r="O171" i="7"/>
  <c r="DE223" i="7"/>
  <c r="AG222" i="7"/>
  <c r="N172" i="7"/>
  <c r="BG15" i="7"/>
  <c r="BI150" i="7"/>
  <c r="BG150" i="7"/>
  <c r="BE15" i="7"/>
  <c r="N175" i="7"/>
  <c r="N41" i="7" s="1"/>
  <c r="BC15" i="7"/>
  <c r="BE150" i="7"/>
  <c r="BE16" i="7" s="1"/>
  <c r="M150" i="7"/>
  <c r="M237" i="7"/>
  <c r="CJ239" i="7"/>
  <c r="N239" i="7" s="1"/>
  <c r="L47" i="7"/>
  <c r="M203" i="7"/>
  <c r="L67" i="7"/>
  <c r="M171" i="7"/>
  <c r="L172" i="7"/>
  <c r="K46" i="7"/>
  <c r="M181" i="7"/>
  <c r="AA150" i="7"/>
  <c r="Y15" i="7"/>
  <c r="L226" i="7"/>
  <c r="CJ227" i="7"/>
  <c r="L44" i="7"/>
  <c r="N179" i="7"/>
  <c r="AC223" i="7"/>
  <c r="DA224" i="7"/>
  <c r="CI238" i="7"/>
  <c r="M238" i="7" s="1"/>
  <c r="L236" i="7"/>
  <c r="Y223" i="7"/>
  <c r="CW224" i="7"/>
  <c r="AC150" i="7"/>
  <c r="AA15" i="7"/>
  <c r="M239" i="7"/>
  <c r="M59" i="7"/>
  <c r="X149" i="7"/>
  <c r="V14" i="7"/>
  <c r="L240" i="7"/>
  <c r="CJ241" i="7"/>
  <c r="J61" i="7"/>
  <c r="L196" i="7"/>
  <c r="K197" i="7"/>
  <c r="J47" i="7"/>
  <c r="L182" i="7"/>
  <c r="K183" i="7"/>
  <c r="L57" i="7"/>
  <c r="P224" i="7"/>
  <c r="CN225" i="7"/>
  <c r="N149" i="7"/>
  <c r="L14" i="7"/>
  <c r="N228" i="7"/>
  <c r="AY15" i="7"/>
  <c r="BA150" i="7"/>
  <c r="M246" i="7"/>
  <c r="BF15" i="7"/>
  <c r="BH150" i="7"/>
  <c r="W223" i="7"/>
  <c r="CU224" i="7"/>
  <c r="K50" i="7"/>
  <c r="V151" i="7"/>
  <c r="T16" i="7"/>
  <c r="AK150" i="7"/>
  <c r="AI15" i="7"/>
  <c r="AW15" i="7"/>
  <c r="AY150" i="7"/>
  <c r="AR15" i="7"/>
  <c r="AT150" i="7"/>
  <c r="K59" i="7"/>
  <c r="M194" i="7"/>
  <c r="M60" i="7" s="1"/>
  <c r="AH223" i="7"/>
  <c r="DF224" i="7"/>
  <c r="AJ224" i="7" s="1"/>
  <c r="AB150" i="7"/>
  <c r="Z15" i="7"/>
  <c r="L170" i="7"/>
  <c r="X150" i="7"/>
  <c r="V15" i="7"/>
  <c r="V150" i="7"/>
  <c r="T15" i="7"/>
  <c r="AF150" i="7"/>
  <c r="AD15" i="7"/>
  <c r="BJ16" i="7"/>
  <c r="BL151" i="7"/>
  <c r="BG14" i="7"/>
  <c r="BI149" i="7"/>
  <c r="AG150" i="7"/>
  <c r="AE15" i="7"/>
  <c r="K64" i="7"/>
  <c r="M199" i="7"/>
  <c r="AO15" i="7"/>
  <c r="AQ150" i="7"/>
  <c r="N157" i="7"/>
  <c r="AR14" i="7"/>
  <c r="AT149" i="7"/>
  <c r="AG223" i="7"/>
  <c r="DE224" i="7"/>
  <c r="O224" i="7"/>
  <c r="CM225" i="7"/>
  <c r="K65" i="7"/>
  <c r="L45" i="7"/>
  <c r="N180" i="7"/>
  <c r="Q223" i="7"/>
  <c r="CO224" i="7"/>
  <c r="J60" i="7"/>
  <c r="L195" i="7"/>
  <c r="K196" i="7"/>
  <c r="U223" i="7"/>
  <c r="CS224" i="7"/>
  <c r="N235" i="7"/>
  <c r="O230" i="7"/>
  <c r="L60" i="7"/>
  <c r="N195" i="7"/>
  <c r="K55" i="7"/>
  <c r="J52" i="7"/>
  <c r="K188" i="7"/>
  <c r="J51" i="7"/>
  <c r="L186" i="7"/>
  <c r="K187" i="7"/>
  <c r="Y150" i="7"/>
  <c r="W15" i="7"/>
  <c r="BK15" i="7"/>
  <c r="BM150" i="7"/>
  <c r="CI234" i="7"/>
  <c r="CJ236" i="7" s="1"/>
  <c r="M160" i="7"/>
  <c r="L161" i="7"/>
  <c r="N225" i="7"/>
  <c r="CL226" i="7"/>
  <c r="CI235" i="7"/>
  <c r="L233" i="7"/>
  <c r="CJ234" i="7"/>
  <c r="CK226" i="7"/>
  <c r="N224" i="7"/>
  <c r="CL225" i="7"/>
  <c r="L59" i="7"/>
  <c r="V223" i="7"/>
  <c r="CT224" i="7"/>
  <c r="L58" i="7"/>
  <c r="J69" i="7"/>
  <c r="L204" i="7"/>
  <c r="L70" i="7" s="1"/>
  <c r="M161" i="7"/>
  <c r="N163" i="7" s="1"/>
  <c r="M233" i="7"/>
  <c r="J68" i="7"/>
  <c r="K204" i="7"/>
  <c r="K70" i="7" s="1"/>
  <c r="P223" i="7"/>
  <c r="CN224" i="7"/>
  <c r="AM15" i="7"/>
  <c r="AO150" i="7"/>
  <c r="M151" i="7"/>
  <c r="K240" i="7"/>
  <c r="CI241" i="7"/>
  <c r="CH242" i="7"/>
  <c r="AG224" i="7"/>
  <c r="DE225" i="7"/>
  <c r="M236" i="7"/>
  <c r="CK237" i="7"/>
  <c r="M232" i="7"/>
  <c r="AL15" i="7"/>
  <c r="AN150" i="7"/>
  <c r="AN16" i="7" s="1"/>
  <c r="M158" i="7"/>
  <c r="Z223" i="7"/>
  <c r="CX224" i="7"/>
  <c r="AM150" i="7"/>
  <c r="AK15" i="7"/>
  <c r="Z224" i="7"/>
  <c r="CX225" i="7"/>
  <c r="AV15" i="7"/>
  <c r="AX150" i="7"/>
  <c r="K61" i="7"/>
  <c r="M196" i="7"/>
  <c r="N198" i="7" s="1"/>
  <c r="AL150" i="7"/>
  <c r="AJ15" i="7"/>
  <c r="CK227" i="7"/>
  <c r="N161" i="7"/>
  <c r="O163" i="7" s="1"/>
  <c r="K241" i="7"/>
  <c r="CI242" i="7"/>
  <c r="CH243" i="7"/>
  <c r="AE150" i="7"/>
  <c r="AC15" i="7"/>
  <c r="L235" i="7"/>
  <c r="K45" i="7"/>
  <c r="M180" i="7"/>
  <c r="N182" i="7" s="1"/>
  <c r="J65" i="7"/>
  <c r="L200" i="7"/>
  <c r="S223" i="7"/>
  <c r="CQ224" i="7"/>
  <c r="L241" i="7"/>
  <c r="CJ242" i="7"/>
  <c r="K41" i="7"/>
  <c r="M176" i="7"/>
  <c r="L177" i="7"/>
  <c r="K60" i="7"/>
  <c r="M195" i="7"/>
  <c r="W150" i="7"/>
  <c r="U15" i="7"/>
  <c r="AP15" i="7"/>
  <c r="AR150" i="7"/>
  <c r="L237" i="7"/>
  <c r="CJ238" i="7"/>
  <c r="M154" i="7"/>
  <c r="N156" i="7" s="1"/>
  <c r="O158" i="7" s="1"/>
  <c r="CI243" i="7"/>
  <c r="Q149" i="7"/>
  <c r="O14" i="7"/>
  <c r="CH229" i="7"/>
  <c r="K227" i="7"/>
  <c r="CI228" i="7"/>
  <c r="AF223" i="7"/>
  <c r="DD224" i="7"/>
  <c r="M44" i="7"/>
  <c r="U150" i="7"/>
  <c r="S15" i="7"/>
  <c r="M164" i="7"/>
  <c r="L151" i="7"/>
  <c r="K152" i="7"/>
  <c r="M165" i="7"/>
  <c r="L166" i="7"/>
  <c r="AD150" i="7"/>
  <c r="AB15" i="7"/>
  <c r="O149" i="7"/>
  <c r="M14" i="7"/>
  <c r="K201" i="7"/>
  <c r="AJ150" i="7"/>
  <c r="AH15" i="7"/>
  <c r="AD223" i="7"/>
  <c r="DB224" i="7"/>
  <c r="L239" i="7"/>
  <c r="AA223" i="7"/>
  <c r="CY224" i="7"/>
  <c r="K185" i="7"/>
  <c r="L187" i="7" s="1"/>
  <c r="L53" i="7" s="1"/>
  <c r="J49" i="7"/>
  <c r="L184" i="7"/>
  <c r="L50" i="7" s="1"/>
  <c r="L63" i="7"/>
  <c r="M227" i="7"/>
  <c r="T223" i="7"/>
  <c r="CR224" i="7"/>
  <c r="M240" i="7"/>
  <c r="K48" i="7"/>
  <c r="M183" i="7"/>
  <c r="J23" i="22" a="1"/>
  <c r="J23" i="22" s="1"/>
  <c r="J9" i="22"/>
  <c r="L14" i="21" s="1"/>
  <c r="J40" i="22"/>
  <c r="J50" i="22" a="1"/>
  <c r="J50" i="22" s="1"/>
  <c r="J63" i="22" a="1"/>
  <c r="J63" i="22" s="1"/>
  <c r="L228" i="7" l="1"/>
  <c r="O225" i="7"/>
  <c r="CJ229" i="7"/>
  <c r="CK231" i="7" s="1"/>
  <c r="M230" i="7"/>
  <c r="CL232" i="7"/>
  <c r="CK233" i="7"/>
  <c r="CK241" i="7"/>
  <c r="CL243" i="7" s="1"/>
  <c r="AF15" i="7"/>
  <c r="CR225" i="7"/>
  <c r="CT226" i="7" s="1"/>
  <c r="R223" i="7"/>
  <c r="CK228" i="7"/>
  <c r="BC150" i="7"/>
  <c r="BC16" i="7" s="1"/>
  <c r="Q224" i="7"/>
  <c r="CO225" i="7"/>
  <c r="BJ15" i="7"/>
  <c r="CL227" i="7"/>
  <c r="CM229" i="7" s="1"/>
  <c r="P15" i="7"/>
  <c r="T151" i="7"/>
  <c r="U153" i="7" s="1"/>
  <c r="BB150" i="7"/>
  <c r="BB16" i="7" s="1"/>
  <c r="AQ15" i="7"/>
  <c r="DD226" i="7"/>
  <c r="AH226" i="7" s="1"/>
  <c r="P155" i="7"/>
  <c r="J493" i="25"/>
  <c r="U492" i="25"/>
  <c r="P152" i="7"/>
  <c r="Q154" i="7" s="1"/>
  <c r="H869" i="25"/>
  <c r="H870" i="25"/>
  <c r="O179" i="7"/>
  <c r="P181" i="7" s="1"/>
  <c r="M185" i="7"/>
  <c r="M51" i="7" s="1"/>
  <c r="AW150" i="7"/>
  <c r="AW16" i="7" s="1"/>
  <c r="O152" i="7"/>
  <c r="AU16" i="7"/>
  <c r="K52" i="7"/>
  <c r="O166" i="7"/>
  <c r="O156" i="7"/>
  <c r="AS15" i="7"/>
  <c r="M182" i="7"/>
  <c r="N184" i="7" s="1"/>
  <c r="N50" i="7" s="1"/>
  <c r="K47" i="7"/>
  <c r="BO150" i="7"/>
  <c r="BO16" i="7" s="1"/>
  <c r="BF150" i="7"/>
  <c r="BF16" i="7" s="1"/>
  <c r="M204" i="7"/>
  <c r="M70" i="7" s="1"/>
  <c r="N168" i="7"/>
  <c r="P160" i="7"/>
  <c r="AP150" i="7"/>
  <c r="AN15" i="7"/>
  <c r="N153" i="7"/>
  <c r="O155" i="7" s="1"/>
  <c r="P157" i="7" s="1"/>
  <c r="AI150" i="7"/>
  <c r="AG15" i="7"/>
  <c r="N152" i="7"/>
  <c r="M190" i="7"/>
  <c r="N192" i="7" s="1"/>
  <c r="N58" i="7" s="1"/>
  <c r="O161" i="7"/>
  <c r="BL16" i="7"/>
  <c r="BN151" i="7"/>
  <c r="BN17" i="7" s="1"/>
  <c r="O159" i="7"/>
  <c r="P173" i="7"/>
  <c r="BB15" i="7"/>
  <c r="BD150" i="7"/>
  <c r="BG151" i="7"/>
  <c r="BI152" i="7" s="1"/>
  <c r="AX15" i="7"/>
  <c r="AZ150" i="7"/>
  <c r="M169" i="7"/>
  <c r="O174" i="7"/>
  <c r="CJ240" i="7"/>
  <c r="CK242" i="7" s="1"/>
  <c r="AI223" i="7"/>
  <c r="DG224" i="7"/>
  <c r="AK224" i="7" s="1"/>
  <c r="BI151" i="7"/>
  <c r="BG16" i="7"/>
  <c r="BK151" i="7"/>
  <c r="BI16" i="7"/>
  <c r="N48" i="7"/>
  <c r="O231" i="7"/>
  <c r="P165" i="7"/>
  <c r="N185" i="7"/>
  <c r="M49" i="7"/>
  <c r="O184" i="7"/>
  <c r="AS16" i="7"/>
  <c r="AU151" i="7"/>
  <c r="AC224" i="7"/>
  <c r="DA225" i="7"/>
  <c r="AF224" i="7"/>
  <c r="DD225" i="7"/>
  <c r="AW17" i="7"/>
  <c r="AY152" i="7"/>
  <c r="Q150" i="7"/>
  <c r="O15" i="7"/>
  <c r="N167" i="7"/>
  <c r="M168" i="7"/>
  <c r="O165" i="7"/>
  <c r="N166" i="7"/>
  <c r="AH224" i="7"/>
  <c r="DF225" i="7"/>
  <c r="AJ225" i="7" s="1"/>
  <c r="L229" i="7"/>
  <c r="CI231" i="7"/>
  <c r="N238" i="7"/>
  <c r="CL239" i="7"/>
  <c r="M61" i="7"/>
  <c r="AG151" i="7"/>
  <c r="AE16" i="7"/>
  <c r="M62" i="7"/>
  <c r="O197" i="7"/>
  <c r="P199" i="7" s="1"/>
  <c r="AB225" i="7"/>
  <c r="CZ226" i="7"/>
  <c r="M241" i="7"/>
  <c r="O234" i="7"/>
  <c r="O226" i="7"/>
  <c r="CM227" i="7"/>
  <c r="N162" i="7"/>
  <c r="M163" i="7"/>
  <c r="K54" i="7"/>
  <c r="M189" i="7"/>
  <c r="L190" i="7"/>
  <c r="K62" i="7"/>
  <c r="M197" i="7"/>
  <c r="L198" i="7"/>
  <c r="Q225" i="7"/>
  <c r="CO226" i="7"/>
  <c r="AI224" i="7"/>
  <c r="DG225" i="7"/>
  <c r="AK225" i="7" s="1"/>
  <c r="M65" i="7"/>
  <c r="O200" i="7"/>
  <c r="BI15" i="7"/>
  <c r="BK150" i="7"/>
  <c r="M172" i="7"/>
  <c r="AT16" i="7"/>
  <c r="AV151" i="7"/>
  <c r="Y224" i="7"/>
  <c r="CW225" i="7"/>
  <c r="BA16" i="7"/>
  <c r="BC151" i="7"/>
  <c r="L48" i="7"/>
  <c r="N183" i="7"/>
  <c r="Z150" i="7"/>
  <c r="X15" i="7"/>
  <c r="N227" i="7"/>
  <c r="CL228" i="7"/>
  <c r="P232" i="7"/>
  <c r="N173" i="7"/>
  <c r="M174" i="7"/>
  <c r="P151" i="7"/>
  <c r="O228" i="7"/>
  <c r="M243" i="7"/>
  <c r="CK244" i="7"/>
  <c r="CJ245" i="7"/>
  <c r="N242" i="7"/>
  <c r="L66" i="7"/>
  <c r="N201" i="7"/>
  <c r="N236" i="7"/>
  <c r="L243" i="7"/>
  <c r="CJ244" i="7"/>
  <c r="CI245" i="7"/>
  <c r="O227" i="7"/>
  <c r="CM228" i="7"/>
  <c r="AM16" i="7"/>
  <c r="AO151" i="7"/>
  <c r="O233" i="7"/>
  <c r="CM234" i="7"/>
  <c r="AI225" i="7"/>
  <c r="DG226" i="7"/>
  <c r="AK226" i="7" s="1"/>
  <c r="M235" i="7"/>
  <c r="CK236" i="7"/>
  <c r="K53" i="7"/>
  <c r="M188" i="7"/>
  <c r="L189" i="7"/>
  <c r="CL236" i="7"/>
  <c r="W224" i="7"/>
  <c r="CU225" i="7"/>
  <c r="L61" i="7"/>
  <c r="N196" i="7"/>
  <c r="N46" i="7"/>
  <c r="AQ16" i="7"/>
  <c r="AS151" i="7"/>
  <c r="AH151" i="7"/>
  <c r="AF16" i="7"/>
  <c r="AJ151" i="7"/>
  <c r="AH16" i="7"/>
  <c r="AM151" i="7"/>
  <c r="AK16" i="7"/>
  <c r="N241" i="7"/>
  <c r="AE224" i="7"/>
  <c r="DC225" i="7"/>
  <c r="N45" i="7"/>
  <c r="N232" i="7"/>
  <c r="CL233" i="7"/>
  <c r="O241" i="7"/>
  <c r="V224" i="7"/>
  <c r="CT225" i="7"/>
  <c r="K67" i="7"/>
  <c r="M202" i="7"/>
  <c r="AF151" i="7"/>
  <c r="AD16" i="7"/>
  <c r="M153" i="7"/>
  <c r="L154" i="7"/>
  <c r="CJ230" i="7"/>
  <c r="M228" i="7"/>
  <c r="CK229" i="7"/>
  <c r="S150" i="7"/>
  <c r="Q15" i="7"/>
  <c r="Q226" i="7"/>
  <c r="CO227" i="7"/>
  <c r="AR16" i="7"/>
  <c r="AT151" i="7"/>
  <c r="L43" i="7"/>
  <c r="N178" i="7"/>
  <c r="M179" i="7"/>
  <c r="M242" i="7"/>
  <c r="CK243" i="7"/>
  <c r="AX16" i="7"/>
  <c r="AZ151" i="7"/>
  <c r="AB224" i="7"/>
  <c r="CZ225" i="7"/>
  <c r="L203" i="7"/>
  <c r="N160" i="7"/>
  <c r="X224" i="7"/>
  <c r="CV225" i="7"/>
  <c r="P225" i="7"/>
  <c r="CN226" i="7"/>
  <c r="P226" i="7"/>
  <c r="CN227" i="7"/>
  <c r="M234" i="7"/>
  <c r="AA151" i="7"/>
  <c r="Y16" i="7"/>
  <c r="L52" i="7"/>
  <c r="V225" i="7"/>
  <c r="AT15" i="7"/>
  <c r="AV150" i="7"/>
  <c r="BL17" i="7"/>
  <c r="BN152" i="7"/>
  <c r="BN18" i="7" s="1"/>
  <c r="AY16" i="7"/>
  <c r="BA151" i="7"/>
  <c r="BH16" i="7"/>
  <c r="BJ151" i="7"/>
  <c r="P150" i="7"/>
  <c r="N15" i="7"/>
  <c r="K63" i="7"/>
  <c r="M198" i="7"/>
  <c r="L199" i="7"/>
  <c r="AE151" i="7"/>
  <c r="AC16" i="7"/>
  <c r="CJ237" i="7"/>
  <c r="M47" i="7"/>
  <c r="O182" i="7"/>
  <c r="O48" i="7" s="1"/>
  <c r="N64" i="7"/>
  <c r="K51" i="7"/>
  <c r="M186" i="7"/>
  <c r="AL151" i="7"/>
  <c r="AJ16" i="7"/>
  <c r="W151" i="7"/>
  <c r="U16" i="7"/>
  <c r="Y151" i="7"/>
  <c r="W16" i="7"/>
  <c r="M42" i="7"/>
  <c r="O177" i="7"/>
  <c r="U224" i="7"/>
  <c r="CS225" i="7"/>
  <c r="M46" i="7"/>
  <c r="O181" i="7"/>
  <c r="AN151" i="7"/>
  <c r="AL16" i="7"/>
  <c r="O237" i="7"/>
  <c r="L242" i="7"/>
  <c r="CJ243" i="7"/>
  <c r="CI244" i="7"/>
  <c r="AO16" i="7"/>
  <c r="AQ151" i="7"/>
  <c r="R224" i="7"/>
  <c r="CP225" i="7"/>
  <c r="N234" i="7"/>
  <c r="CL235" i="7"/>
  <c r="BM16" i="7"/>
  <c r="BO151" i="7"/>
  <c r="BO17" i="7" s="1"/>
  <c r="N61" i="7"/>
  <c r="N229" i="7"/>
  <c r="S224" i="7"/>
  <c r="CQ225" i="7"/>
  <c r="AP151" i="7"/>
  <c r="AP17" i="7" s="1"/>
  <c r="AI151" i="7"/>
  <c r="AG16" i="7"/>
  <c r="X151" i="7"/>
  <c r="V16" i="7"/>
  <c r="Z151" i="7"/>
  <c r="X16" i="7"/>
  <c r="AD151" i="7"/>
  <c r="AB16" i="7"/>
  <c r="X152" i="7"/>
  <c r="V17" i="7"/>
  <c r="CL229" i="7"/>
  <c r="R225" i="7"/>
  <c r="CP226" i="7"/>
  <c r="K49" i="7"/>
  <c r="M184" i="7"/>
  <c r="L185" i="7"/>
  <c r="L62" i="7"/>
  <c r="N197" i="7"/>
  <c r="CK240" i="7"/>
  <c r="AA224" i="7"/>
  <c r="CY225" i="7"/>
  <c r="O151" i="7"/>
  <c r="AC151" i="7"/>
  <c r="AA16" i="7"/>
  <c r="M69" i="7"/>
  <c r="CK238" i="7"/>
  <c r="J13" i="22"/>
  <c r="J38" i="22"/>
  <c r="CL230" i="7" l="1"/>
  <c r="CM232" i="7" s="1"/>
  <c r="BE151" i="7"/>
  <c r="BE17" i="7" s="1"/>
  <c r="CN228" i="7"/>
  <c r="CP229" i="7" s="1"/>
  <c r="P227" i="7"/>
  <c r="N240" i="7"/>
  <c r="S225" i="7"/>
  <c r="CQ226" i="7"/>
  <c r="T17" i="7"/>
  <c r="V152" i="7"/>
  <c r="W154" i="7" s="1"/>
  <c r="BD151" i="7"/>
  <c r="BD17" i="7" s="1"/>
  <c r="Q157" i="7"/>
  <c r="DF227" i="7"/>
  <c r="AJ227" i="7" s="1"/>
  <c r="R153" i="7"/>
  <c r="T154" i="7" s="1"/>
  <c r="V155" i="7" s="1"/>
  <c r="J494" i="25"/>
  <c r="U493" i="25"/>
  <c r="O45" i="7"/>
  <c r="N187" i="7"/>
  <c r="O189" i="7" s="1"/>
  <c r="H871" i="25"/>
  <c r="H875" i="25"/>
  <c r="H873" i="25"/>
  <c r="H877" i="25"/>
  <c r="H878" i="25"/>
  <c r="H874" i="25"/>
  <c r="H876" i="25"/>
  <c r="H872" i="25"/>
  <c r="H868" i="25"/>
  <c r="P168" i="7"/>
  <c r="AY151" i="7"/>
  <c r="AY17" i="7" s="1"/>
  <c r="S155" i="7"/>
  <c r="U156" i="7" s="1"/>
  <c r="R156" i="7"/>
  <c r="O186" i="7"/>
  <c r="O52" i="7" s="1"/>
  <c r="M48" i="7"/>
  <c r="Q167" i="7"/>
  <c r="BG152" i="7"/>
  <c r="BG18" i="7" s="1"/>
  <c r="P158" i="7"/>
  <c r="Q160" i="7" s="1"/>
  <c r="BH151" i="7"/>
  <c r="M56" i="7"/>
  <c r="O170" i="7"/>
  <c r="O154" i="7"/>
  <c r="Q162" i="7"/>
  <c r="O194" i="7"/>
  <c r="P196" i="7" s="1"/>
  <c r="Q198" i="7" s="1"/>
  <c r="P154" i="7"/>
  <c r="Q156" i="7" s="1"/>
  <c r="AP16" i="7"/>
  <c r="AR151" i="7"/>
  <c r="AK151" i="7"/>
  <c r="AI16" i="7"/>
  <c r="P163" i="7"/>
  <c r="BG17" i="7"/>
  <c r="P161" i="7"/>
  <c r="R152" i="7"/>
  <c r="N171" i="7"/>
  <c r="BB151" i="7"/>
  <c r="AZ16" i="7"/>
  <c r="BD16" i="7"/>
  <c r="BF151" i="7"/>
  <c r="Q175" i="7"/>
  <c r="Q41" i="7" s="1"/>
  <c r="H401" i="25" s="1"/>
  <c r="P176" i="7"/>
  <c r="Q178" i="7" s="1"/>
  <c r="Q152" i="7"/>
  <c r="BK17" i="7"/>
  <c r="BM152" i="7"/>
  <c r="P153" i="7"/>
  <c r="Q153" i="7"/>
  <c r="BK152" i="7"/>
  <c r="BI17" i="7"/>
  <c r="Q232" i="7"/>
  <c r="L51" i="7"/>
  <c r="N186" i="7"/>
  <c r="M187" i="7"/>
  <c r="P235" i="7"/>
  <c r="CN236" i="7"/>
  <c r="N243" i="7"/>
  <c r="CL244" i="7"/>
  <c r="W225" i="7"/>
  <c r="CU226" i="7"/>
  <c r="Y152" i="7"/>
  <c r="W17" i="7"/>
  <c r="N188" i="7"/>
  <c r="N54" i="7" s="1"/>
  <c r="M52" i="7"/>
  <c r="O187" i="7"/>
  <c r="CK239" i="7"/>
  <c r="N237" i="7"/>
  <c r="CL238" i="7"/>
  <c r="M64" i="7"/>
  <c r="O199" i="7"/>
  <c r="BJ17" i="7"/>
  <c r="BL152" i="7"/>
  <c r="BA17" i="7"/>
  <c r="BC152" i="7"/>
  <c r="AV16" i="7"/>
  <c r="AX151" i="7"/>
  <c r="AC152" i="7"/>
  <c r="AA17" i="7"/>
  <c r="L69" i="7"/>
  <c r="N204" i="7"/>
  <c r="N70" i="7" s="1"/>
  <c r="AD225" i="7"/>
  <c r="DB226" i="7"/>
  <c r="AZ17" i="7"/>
  <c r="BB152" i="7"/>
  <c r="M45" i="7"/>
  <c r="O180" i="7"/>
  <c r="N181" i="7"/>
  <c r="N155" i="7"/>
  <c r="M156" i="7"/>
  <c r="M68" i="7"/>
  <c r="O203" i="7"/>
  <c r="X225" i="7"/>
  <c r="CV226" i="7"/>
  <c r="P233" i="7"/>
  <c r="CN234" i="7"/>
  <c r="AM17" i="7"/>
  <c r="AO152" i="7"/>
  <c r="AR152" i="7"/>
  <c r="AR18" i="7" s="1"/>
  <c r="P243" i="7"/>
  <c r="N245" i="7"/>
  <c r="CL246" i="7"/>
  <c r="CK247" i="7"/>
  <c r="O247" i="7" s="1"/>
  <c r="O175" i="7"/>
  <c r="N176" i="7"/>
  <c r="P228" i="7"/>
  <c r="CN229" i="7"/>
  <c r="N49" i="7"/>
  <c r="P184" i="7"/>
  <c r="AA225" i="7"/>
  <c r="CY226" i="7"/>
  <c r="AV17" i="7"/>
  <c r="AX152" i="7"/>
  <c r="BK16" i="7"/>
  <c r="BM151" i="7"/>
  <c r="L56" i="7"/>
  <c r="N191" i="7"/>
  <c r="M192" i="7"/>
  <c r="AD226" i="7"/>
  <c r="DB227" i="7"/>
  <c r="S151" i="7"/>
  <c r="Q16" i="7"/>
  <c r="AU17" i="7"/>
  <c r="AW152" i="7"/>
  <c r="O240" i="7"/>
  <c r="CM241" i="7"/>
  <c r="M50" i="7"/>
  <c r="O185" i="7"/>
  <c r="P229" i="7"/>
  <c r="CN230" i="7"/>
  <c r="CM231" i="7"/>
  <c r="AF152" i="7"/>
  <c r="AD17" i="7"/>
  <c r="Z152" i="7"/>
  <c r="X17" i="7"/>
  <c r="U225" i="7"/>
  <c r="CS226" i="7"/>
  <c r="P230" i="7"/>
  <c r="CN231" i="7"/>
  <c r="AQ17" i="7"/>
  <c r="AS152" i="7"/>
  <c r="AP152" i="7"/>
  <c r="AN17" i="7"/>
  <c r="AA152" i="7"/>
  <c r="Y17" i="7"/>
  <c r="R226" i="7"/>
  <c r="CP227" i="7"/>
  <c r="N44" i="7"/>
  <c r="P179" i="7"/>
  <c r="N230" i="7"/>
  <c r="CL231" i="7"/>
  <c r="DE226" i="7"/>
  <c r="AG225" i="7"/>
  <c r="AJ152" i="7"/>
  <c r="AH17" i="7"/>
  <c r="Q183" i="7"/>
  <c r="Q49" i="7" s="1"/>
  <c r="P47" i="7"/>
  <c r="Y225" i="7"/>
  <c r="CW226" i="7"/>
  <c r="P236" i="7"/>
  <c r="AO17" i="7"/>
  <c r="AQ152" i="7"/>
  <c r="M245" i="7"/>
  <c r="CK246" i="7"/>
  <c r="CJ247" i="7"/>
  <c r="N247" i="7" s="1"/>
  <c r="O244" i="7"/>
  <c r="CM245" i="7"/>
  <c r="Q229" i="7"/>
  <c r="L64" i="7"/>
  <c r="N199" i="7"/>
  <c r="M200" i="7"/>
  <c r="M55" i="7"/>
  <c r="Q227" i="7"/>
  <c r="CO228" i="7"/>
  <c r="O242" i="7"/>
  <c r="P239" i="7"/>
  <c r="CJ233" i="7"/>
  <c r="M231" i="7"/>
  <c r="CK232" i="7"/>
  <c r="O169" i="7"/>
  <c r="N170" i="7"/>
  <c r="BA153" i="7"/>
  <c r="AY18" i="7"/>
  <c r="AE225" i="7"/>
  <c r="DC226" i="7"/>
  <c r="N51" i="7"/>
  <c r="P186" i="7"/>
  <c r="N63" i="7"/>
  <c r="O162" i="7"/>
  <c r="O47" i="7"/>
  <c r="O43" i="7"/>
  <c r="Q159" i="7"/>
  <c r="P65" i="7"/>
  <c r="AG152" i="7"/>
  <c r="AE17" i="7"/>
  <c r="CV227" i="7"/>
  <c r="X226" i="7"/>
  <c r="BI18" i="7"/>
  <c r="BK153" i="7"/>
  <c r="O243" i="7"/>
  <c r="U151" i="7"/>
  <c r="S16" i="7"/>
  <c r="AS17" i="7"/>
  <c r="AU152" i="7"/>
  <c r="L55" i="7"/>
  <c r="N190" i="7"/>
  <c r="M191" i="7"/>
  <c r="O236" i="7"/>
  <c r="CM237" i="7"/>
  <c r="N244" i="7"/>
  <c r="CL245" i="7"/>
  <c r="N67" i="7"/>
  <c r="P202" i="7"/>
  <c r="BE152" i="7"/>
  <c r="BC17" i="7"/>
  <c r="N174" i="7"/>
  <c r="O66" i="7"/>
  <c r="Q201" i="7"/>
  <c r="M63" i="7"/>
  <c r="O198" i="7"/>
  <c r="O63" i="7"/>
  <c r="AI152" i="7"/>
  <c r="AG17" i="7"/>
  <c r="P183" i="7"/>
  <c r="Q185" i="7" s="1"/>
  <c r="CL240" i="7"/>
  <c r="O238" i="7"/>
  <c r="AE152" i="7"/>
  <c r="AC17" i="7"/>
  <c r="AC225" i="7"/>
  <c r="DA226" i="7"/>
  <c r="T226" i="7"/>
  <c r="CR227" i="7"/>
  <c r="Z153" i="7"/>
  <c r="X18" i="7"/>
  <c r="AB152" i="7"/>
  <c r="Z17" i="7"/>
  <c r="AK152" i="7"/>
  <c r="AI17" i="7"/>
  <c r="T225" i="7"/>
  <c r="CR226" i="7"/>
  <c r="M244" i="7"/>
  <c r="CK245" i="7"/>
  <c r="CJ246" i="7"/>
  <c r="CM238" i="7"/>
  <c r="AL17" i="7"/>
  <c r="AN152" i="7"/>
  <c r="M201" i="7"/>
  <c r="L65" i="7"/>
  <c r="N200" i="7"/>
  <c r="R151" i="7"/>
  <c r="P16" i="7"/>
  <c r="R227" i="7"/>
  <c r="CP228" i="7"/>
  <c r="Z225" i="7"/>
  <c r="CX226" i="7"/>
  <c r="AT17" i="7"/>
  <c r="AV152" i="7"/>
  <c r="S227" i="7"/>
  <c r="CQ228" i="7"/>
  <c r="O229" i="7"/>
  <c r="CM230" i="7"/>
  <c r="AH152" i="7"/>
  <c r="AF17" i="7"/>
  <c r="CL242" i="7"/>
  <c r="CM244" i="7" s="1"/>
  <c r="AL152" i="7"/>
  <c r="AJ17" i="7"/>
  <c r="N62" i="7"/>
  <c r="M54" i="7"/>
  <c r="Q234" i="7"/>
  <c r="CO229" i="7"/>
  <c r="Q228" i="7"/>
  <c r="AB151" i="7"/>
  <c r="Z16" i="7"/>
  <c r="CQ227" i="7"/>
  <c r="S226" i="7"/>
  <c r="O164" i="7"/>
  <c r="N165" i="7"/>
  <c r="CM235" i="7"/>
  <c r="CN237" i="7" s="1"/>
  <c r="P167" i="7"/>
  <c r="O168" i="7"/>
  <c r="AH225" i="7"/>
  <c r="DF226" i="7"/>
  <c r="AJ226" i="7" s="1"/>
  <c r="O50" i="7"/>
  <c r="J11" i="22"/>
  <c r="J37" i="22" a="1"/>
  <c r="J37" i="22" s="1"/>
  <c r="J10" i="22" s="1"/>
  <c r="L15" i="21" s="1"/>
  <c r="L17" i="21" s="1"/>
  <c r="L18" i="21" s="1"/>
  <c r="R228" i="7" l="1"/>
  <c r="V18" i="7"/>
  <c r="N53" i="7"/>
  <c r="X153" i="7"/>
  <c r="X19" i="7" s="1"/>
  <c r="CO230" i="7"/>
  <c r="S230" i="7" s="1"/>
  <c r="U226" i="7"/>
  <c r="CS227" i="7"/>
  <c r="BF152" i="7"/>
  <c r="Q170" i="7"/>
  <c r="J495" i="25"/>
  <c r="U494" i="25"/>
  <c r="R169" i="7"/>
  <c r="H883" i="25"/>
  <c r="H885" i="25"/>
  <c r="H884" i="25"/>
  <c r="H882" i="25"/>
  <c r="BA152" i="7"/>
  <c r="BA18" i="7" s="1"/>
  <c r="T157" i="7"/>
  <c r="V158" i="7" s="1"/>
  <c r="P188" i="7"/>
  <c r="Q190" i="7" s="1"/>
  <c r="S158" i="7"/>
  <c r="BI153" i="7"/>
  <c r="BI19" i="7" s="1"/>
  <c r="P172" i="7"/>
  <c r="P62" i="7"/>
  <c r="R159" i="7"/>
  <c r="S161" i="7" s="1"/>
  <c r="O60" i="7"/>
  <c r="BJ152" i="7"/>
  <c r="BH17" i="7"/>
  <c r="S154" i="7"/>
  <c r="T153" i="7"/>
  <c r="R164" i="7"/>
  <c r="P156" i="7"/>
  <c r="W157" i="7"/>
  <c r="Q165" i="7"/>
  <c r="R162" i="7"/>
  <c r="O173" i="7"/>
  <c r="AR17" i="7"/>
  <c r="AT152" i="7"/>
  <c r="X156" i="7"/>
  <c r="AM152" i="7"/>
  <c r="AK17" i="7"/>
  <c r="BC153" i="7"/>
  <c r="BC19" i="7" s="1"/>
  <c r="O190" i="7"/>
  <c r="P192" i="7" s="1"/>
  <c r="BB17" i="7"/>
  <c r="BD152" i="7"/>
  <c r="BF17" i="7"/>
  <c r="BH152" i="7"/>
  <c r="R154" i="7"/>
  <c r="R177" i="7"/>
  <c r="R43" i="7" s="1"/>
  <c r="P42" i="7"/>
  <c r="H394" i="25" s="1"/>
  <c r="AT153" i="7"/>
  <c r="AT19" i="7" s="1"/>
  <c r="BK18" i="7"/>
  <c r="BM153" i="7"/>
  <c r="BM18" i="7"/>
  <c r="BO153" i="7"/>
  <c r="BO19" i="7" s="1"/>
  <c r="R158" i="7"/>
  <c r="S160" i="7" s="1"/>
  <c r="Q155" i="7"/>
  <c r="R155" i="7"/>
  <c r="M67" i="7"/>
  <c r="O202" i="7"/>
  <c r="N203" i="7"/>
  <c r="P240" i="7"/>
  <c r="CM242" i="7"/>
  <c r="BE18" i="7"/>
  <c r="BG153" i="7"/>
  <c r="AL153" i="7"/>
  <c r="AJ18" i="7"/>
  <c r="AS18" i="7"/>
  <c r="AU153" i="7"/>
  <c r="O69" i="7"/>
  <c r="Q204" i="7"/>
  <c r="Q70" i="7" s="1"/>
  <c r="BN153" i="7"/>
  <c r="BN19" i="7" s="1"/>
  <c r="BL18" i="7"/>
  <c r="P244" i="7"/>
  <c r="T229" i="7"/>
  <c r="CR230" i="7"/>
  <c r="Q51" i="7"/>
  <c r="AD152" i="7"/>
  <c r="AB17" i="7"/>
  <c r="O55" i="7"/>
  <c r="AJ153" i="7"/>
  <c r="AH18" i="7"/>
  <c r="T152" i="7"/>
  <c r="R17" i="7"/>
  <c r="AN18" i="7"/>
  <c r="AP153" i="7"/>
  <c r="O245" i="7"/>
  <c r="CM246" i="7"/>
  <c r="AD153" i="7"/>
  <c r="AB18" i="7"/>
  <c r="AG153" i="7"/>
  <c r="AE18" i="7"/>
  <c r="P49" i="7"/>
  <c r="Q64" i="7"/>
  <c r="Q67" i="7"/>
  <c r="R203" i="7"/>
  <c r="P68" i="7"/>
  <c r="Q237" i="7"/>
  <c r="CO238" i="7"/>
  <c r="CX228" i="7"/>
  <c r="Z227" i="7"/>
  <c r="AI153" i="7"/>
  <c r="AG18" i="7"/>
  <c r="R161" i="7"/>
  <c r="DE227" i="7"/>
  <c r="AG226" i="7"/>
  <c r="P171" i="7"/>
  <c r="O172" i="7"/>
  <c r="N233" i="7"/>
  <c r="CL234" i="7"/>
  <c r="CK235" i="7"/>
  <c r="AQ18" i="7"/>
  <c r="AS153" i="7"/>
  <c r="P45" i="7"/>
  <c r="R180" i="7"/>
  <c r="CR228" i="7"/>
  <c r="T227" i="7"/>
  <c r="AC153" i="7"/>
  <c r="AA18" i="7"/>
  <c r="AH153" i="7"/>
  <c r="AF18" i="7"/>
  <c r="O51" i="7"/>
  <c r="Q186" i="7"/>
  <c r="DD228" i="7"/>
  <c r="AF227" i="7"/>
  <c r="N57" i="7"/>
  <c r="AZ153" i="7"/>
  <c r="AX18" i="7"/>
  <c r="P50" i="7"/>
  <c r="R185" i="7"/>
  <c r="N42" i="7"/>
  <c r="O178" i="7"/>
  <c r="CN247" i="7"/>
  <c r="R247" i="7" s="1"/>
  <c r="P246" i="7"/>
  <c r="O46" i="7"/>
  <c r="Q181" i="7"/>
  <c r="AF226" i="7"/>
  <c r="DD227" i="7"/>
  <c r="P189" i="7"/>
  <c r="O53" i="7"/>
  <c r="Q188" i="7"/>
  <c r="AA153" i="7"/>
  <c r="Y18" i="7"/>
  <c r="S153" i="7"/>
  <c r="N246" i="7"/>
  <c r="CL247" i="7"/>
  <c r="P247" i="7" s="1"/>
  <c r="AK153" i="7"/>
  <c r="AI18" i="7"/>
  <c r="N56" i="7"/>
  <c r="P191" i="7"/>
  <c r="Q244" i="7"/>
  <c r="BC154" i="7"/>
  <c r="BA19" i="7"/>
  <c r="R237" i="7"/>
  <c r="DG227" i="7"/>
  <c r="AK227" i="7" s="1"/>
  <c r="AI226" i="7"/>
  <c r="R234" i="7"/>
  <c r="O239" i="7"/>
  <c r="CM240" i="7"/>
  <c r="CL241" i="7"/>
  <c r="Q169" i="7"/>
  <c r="P170" i="7"/>
  <c r="Q235" i="7"/>
  <c r="CO236" i="7"/>
  <c r="CP238" i="7" s="1"/>
  <c r="U227" i="7"/>
  <c r="CS228" i="7"/>
  <c r="CQ230" i="7"/>
  <c r="S229" i="7"/>
  <c r="AL18" i="7"/>
  <c r="AN153" i="7"/>
  <c r="Q230" i="7"/>
  <c r="CO231" i="7"/>
  <c r="AV18" i="7"/>
  <c r="AX153" i="7"/>
  <c r="CZ227" i="7"/>
  <c r="AB226" i="7"/>
  <c r="N66" i="7"/>
  <c r="P201" i="7"/>
  <c r="AE226" i="7"/>
  <c r="DC227" i="7"/>
  <c r="AU18" i="7"/>
  <c r="AW153" i="7"/>
  <c r="W152" i="7"/>
  <c r="U17" i="7"/>
  <c r="BK19" i="7"/>
  <c r="BM154" i="7"/>
  <c r="Q44" i="7"/>
  <c r="Q163" i="7"/>
  <c r="P164" i="7"/>
  <c r="CQ229" i="7"/>
  <c r="S228" i="7"/>
  <c r="M66" i="7"/>
  <c r="O201" i="7"/>
  <c r="N202" i="7"/>
  <c r="AA226" i="7"/>
  <c r="CY227" i="7"/>
  <c r="P231" i="7"/>
  <c r="CN232" i="7"/>
  <c r="R231" i="7"/>
  <c r="CO232" i="7"/>
  <c r="Q231" i="7"/>
  <c r="CN233" i="7"/>
  <c r="P177" i="7"/>
  <c r="O41" i="7"/>
  <c r="AO18" i="7"/>
  <c r="AQ153" i="7"/>
  <c r="Z226" i="7"/>
  <c r="CX227" i="7"/>
  <c r="O157" i="7"/>
  <c r="N158" i="7"/>
  <c r="AE153" i="7"/>
  <c r="AC18" i="7"/>
  <c r="BE153" i="7"/>
  <c r="BC18" i="7"/>
  <c r="CN239" i="7"/>
  <c r="P238" i="7"/>
  <c r="CW227" i="7"/>
  <c r="Y226" i="7"/>
  <c r="R236" i="7"/>
  <c r="M53" i="7"/>
  <c r="O188" i="7"/>
  <c r="N189" i="7"/>
  <c r="U228" i="7"/>
  <c r="CS229" i="7"/>
  <c r="T228" i="7"/>
  <c r="CR229" i="7"/>
  <c r="V227" i="7"/>
  <c r="CT228" i="7"/>
  <c r="Q245" i="7"/>
  <c r="CU227" i="7"/>
  <c r="W226" i="7"/>
  <c r="M58" i="7"/>
  <c r="O193" i="7"/>
  <c r="N194" i="7"/>
  <c r="N47" i="7"/>
  <c r="P182" i="7"/>
  <c r="O183" i="7"/>
  <c r="AX17" i="7"/>
  <c r="AZ152" i="7"/>
  <c r="O65" i="7"/>
  <c r="P166" i="7"/>
  <c r="O167" i="7"/>
  <c r="P242" i="7"/>
  <c r="CN243" i="7"/>
  <c r="CO245" i="7" s="1"/>
  <c r="Q238" i="7"/>
  <c r="CO239" i="7"/>
  <c r="V226" i="7"/>
  <c r="CT227" i="7"/>
  <c r="AM153" i="7"/>
  <c r="AK18" i="7"/>
  <c r="AB154" i="7"/>
  <c r="Z19" i="7"/>
  <c r="O64" i="7"/>
  <c r="O176" i="7"/>
  <c r="P245" i="7"/>
  <c r="CN246" i="7"/>
  <c r="M57" i="7"/>
  <c r="O192" i="7"/>
  <c r="N193" i="7"/>
  <c r="R200" i="7"/>
  <c r="R187" i="7"/>
  <c r="P52" i="7"/>
  <c r="O232" i="7"/>
  <c r="CM233" i="7"/>
  <c r="CN240" i="7"/>
  <c r="CO242" i="7" s="1"/>
  <c r="P200" i="7"/>
  <c r="N65" i="7"/>
  <c r="CM247" i="7"/>
  <c r="Q247" i="7" s="1"/>
  <c r="O246" i="7"/>
  <c r="AP18" i="7"/>
  <c r="AR153" i="7"/>
  <c r="AB153" i="7"/>
  <c r="Z18" i="7"/>
  <c r="CP231" i="7"/>
  <c r="R230" i="7"/>
  <c r="Q241" i="7"/>
  <c r="AW18" i="7"/>
  <c r="AY153" i="7"/>
  <c r="U152" i="7"/>
  <c r="S17" i="7"/>
  <c r="BM17" i="7"/>
  <c r="BO152" i="7"/>
  <c r="BO18" i="7" s="1"/>
  <c r="AC226" i="7"/>
  <c r="DA227" i="7"/>
  <c r="R229" i="7"/>
  <c r="CP230" i="7"/>
  <c r="BB18" i="7"/>
  <c r="BD153" i="7"/>
  <c r="N52" i="7"/>
  <c r="P187" i="7"/>
  <c r="CO233" i="7"/>
  <c r="CP235" i="7" s="1"/>
  <c r="L19" i="21"/>
  <c r="J12" i="22" s="1"/>
  <c r="Z154" i="7" l="1"/>
  <c r="Y155" i="7"/>
  <c r="CP232" i="7"/>
  <c r="CQ231" i="7"/>
  <c r="CR233" i="7" s="1"/>
  <c r="R172" i="7"/>
  <c r="W227" i="7"/>
  <c r="CU228" i="7"/>
  <c r="BH153" i="7"/>
  <c r="BF18" i="7"/>
  <c r="S171" i="7"/>
  <c r="L20" i="21"/>
  <c r="L23" i="21" s="1"/>
  <c r="M9" i="21" s="1"/>
  <c r="J496" i="25"/>
  <c r="U495" i="25"/>
  <c r="P54" i="7"/>
  <c r="U159" i="7"/>
  <c r="W160" i="7" s="1"/>
  <c r="BK154" i="7"/>
  <c r="BK20" i="7" s="1"/>
  <c r="H887" i="25"/>
  <c r="H886" i="25"/>
  <c r="H888" i="25"/>
  <c r="H889" i="25"/>
  <c r="H890" i="25"/>
  <c r="H867" i="25"/>
  <c r="H879" i="25"/>
  <c r="H881" i="25"/>
  <c r="H880" i="25"/>
  <c r="X159" i="7"/>
  <c r="T160" i="7"/>
  <c r="U162" i="7" s="1"/>
  <c r="V154" i="7"/>
  <c r="Q174" i="7"/>
  <c r="T163" i="7"/>
  <c r="U155" i="7"/>
  <c r="S166" i="7"/>
  <c r="BJ18" i="7"/>
  <c r="BL153" i="7"/>
  <c r="T156" i="7"/>
  <c r="V157" i="7" s="1"/>
  <c r="Q158" i="7"/>
  <c r="Y158" i="7"/>
  <c r="P175" i="7"/>
  <c r="P41" i="7" s="1"/>
  <c r="Q191" i="7"/>
  <c r="S164" i="7"/>
  <c r="R167" i="7"/>
  <c r="O56" i="7"/>
  <c r="AT18" i="7"/>
  <c r="AV153" i="7"/>
  <c r="AM18" i="7"/>
  <c r="AO153" i="7"/>
  <c r="BE154" i="7"/>
  <c r="BE20" i="7" s="1"/>
  <c r="AV154" i="7"/>
  <c r="AX155" i="7" s="1"/>
  <c r="S156" i="7"/>
  <c r="BD18" i="7"/>
  <c r="BF153" i="7"/>
  <c r="R157" i="7"/>
  <c r="S179" i="7"/>
  <c r="S45" i="7" s="1"/>
  <c r="BH18" i="7"/>
  <c r="BJ153" i="7"/>
  <c r="BO154" i="7"/>
  <c r="BO20" i="7" s="1"/>
  <c r="BM19" i="7"/>
  <c r="S157" i="7"/>
  <c r="S239" i="7"/>
  <c r="CQ240" i="7"/>
  <c r="BB153" i="7"/>
  <c r="AZ18" i="7"/>
  <c r="AG154" i="7"/>
  <c r="AE19" i="7"/>
  <c r="T232" i="7"/>
  <c r="BM20" i="7"/>
  <c r="BO155" i="7"/>
  <c r="BO21" i="7" s="1"/>
  <c r="AN19" i="7"/>
  <c r="H892" i="25" s="1"/>
  <c r="AP154" i="7"/>
  <c r="T235" i="7"/>
  <c r="S245" i="7"/>
  <c r="S189" i="7"/>
  <c r="Q54" i="7"/>
  <c r="AZ19" i="7"/>
  <c r="BB154" i="7"/>
  <c r="AB228" i="7"/>
  <c r="CZ229" i="7"/>
  <c r="V153" i="7"/>
  <c r="T18" i="7"/>
  <c r="AL19" i="7"/>
  <c r="AN154" i="7"/>
  <c r="AA156" i="7"/>
  <c r="Z157" i="7"/>
  <c r="T230" i="7"/>
  <c r="CR231" i="7"/>
  <c r="W153" i="7"/>
  <c r="U18" i="7"/>
  <c r="AD154" i="7"/>
  <c r="AB19" i="7"/>
  <c r="CO234" i="7"/>
  <c r="Q233" i="7"/>
  <c r="R66" i="7"/>
  <c r="O195" i="7"/>
  <c r="N59" i="7"/>
  <c r="P194" i="7"/>
  <c r="AM19" i="7"/>
  <c r="H891" i="25" s="1"/>
  <c r="AO154" i="7"/>
  <c r="CT230" i="7"/>
  <c r="V229" i="7"/>
  <c r="P159" i="7"/>
  <c r="O160" i="7"/>
  <c r="AQ19" i="7"/>
  <c r="AS154" i="7"/>
  <c r="R233" i="7"/>
  <c r="CP234" i="7"/>
  <c r="CO235" i="7"/>
  <c r="CU229" i="7"/>
  <c r="W228" i="7"/>
  <c r="R171" i="7"/>
  <c r="Q172" i="7"/>
  <c r="P241" i="7"/>
  <c r="CN242" i="7"/>
  <c r="CM243" i="7"/>
  <c r="AM154" i="7"/>
  <c r="AK19" i="7"/>
  <c r="H866" i="25" s="1"/>
  <c r="U154" i="7"/>
  <c r="T155" i="7"/>
  <c r="Q47" i="7"/>
  <c r="S182" i="7"/>
  <c r="R51" i="7"/>
  <c r="P58" i="7"/>
  <c r="P234" i="7"/>
  <c r="CN235" i="7"/>
  <c r="S238" i="7"/>
  <c r="S202" i="7"/>
  <c r="T204" i="7" s="1"/>
  <c r="T70" i="7" s="1"/>
  <c r="AP19" i="7"/>
  <c r="AR154" i="7"/>
  <c r="V230" i="7"/>
  <c r="CT231" i="7"/>
  <c r="AU19" i="7"/>
  <c r="AW154" i="7"/>
  <c r="BG19" i="7"/>
  <c r="BI154" i="7"/>
  <c r="N69" i="7"/>
  <c r="P204" i="7"/>
  <c r="P70" i="7" s="1"/>
  <c r="S242" i="7"/>
  <c r="R53" i="7"/>
  <c r="R246" i="7"/>
  <c r="CP247" i="7"/>
  <c r="T247" i="7" s="1"/>
  <c r="AA227" i="7"/>
  <c r="CY228" i="7"/>
  <c r="R165" i="7"/>
  <c r="Q166" i="7"/>
  <c r="AW19" i="7"/>
  <c r="AY154" i="7"/>
  <c r="DE228" i="7"/>
  <c r="AG227" i="7"/>
  <c r="AZ154" i="7"/>
  <c r="AX19" i="7"/>
  <c r="T238" i="7"/>
  <c r="AH228" i="7"/>
  <c r="DF229" i="7"/>
  <c r="AJ229" i="7" s="1"/>
  <c r="AE154" i="7"/>
  <c r="AC19" i="7"/>
  <c r="O235" i="7"/>
  <c r="CM236" i="7"/>
  <c r="CL237" i="7"/>
  <c r="R69" i="7"/>
  <c r="AI154" i="7"/>
  <c r="AG19" i="7"/>
  <c r="Q56" i="7"/>
  <c r="CQ234" i="7"/>
  <c r="S233" i="7"/>
  <c r="BD19" i="7"/>
  <c r="BF154" i="7"/>
  <c r="BA154" i="7"/>
  <c r="AY19" i="7"/>
  <c r="AR19" i="7"/>
  <c r="AT154" i="7"/>
  <c r="O58" i="7"/>
  <c r="Q193" i="7"/>
  <c r="O42" i="7"/>
  <c r="P178" i="7"/>
  <c r="X227" i="7"/>
  <c r="CV228" i="7"/>
  <c r="R243" i="7"/>
  <c r="CP244" i="7"/>
  <c r="CQ246" i="7" s="1"/>
  <c r="Q168" i="7"/>
  <c r="P169" i="7"/>
  <c r="O49" i="7"/>
  <c r="Q184" i="7"/>
  <c r="P185" i="7"/>
  <c r="AB155" i="7"/>
  <c r="Z20" i="7"/>
  <c r="N55" i="7"/>
  <c r="P190" i="7"/>
  <c r="O191" i="7"/>
  <c r="R239" i="7"/>
  <c r="CP240" i="7"/>
  <c r="BG154" i="7"/>
  <c r="BE19" i="7"/>
  <c r="P43" i="7"/>
  <c r="R232" i="7"/>
  <c r="CP233" i="7"/>
  <c r="AC227" i="7"/>
  <c r="DA228" i="7"/>
  <c r="N68" i="7"/>
  <c r="P203" i="7"/>
  <c r="O204" i="7"/>
  <c r="O70" i="7" s="1"/>
  <c r="U229" i="7"/>
  <c r="CS230" i="7"/>
  <c r="P67" i="7"/>
  <c r="S231" i="7"/>
  <c r="CQ232" i="7"/>
  <c r="U232" i="7" s="1"/>
  <c r="Q240" i="7"/>
  <c r="CO241" i="7"/>
  <c r="R192" i="7"/>
  <c r="P57" i="7"/>
  <c r="P55" i="7"/>
  <c r="R190" i="7"/>
  <c r="AJ154" i="7"/>
  <c r="AH19" i="7"/>
  <c r="V228" i="7"/>
  <c r="CT229" i="7"/>
  <c r="AS19" i="7"/>
  <c r="AU154" i="7"/>
  <c r="AI227" i="7"/>
  <c r="DG228" i="7"/>
  <c r="AK228" i="7" s="1"/>
  <c r="AK154" i="7"/>
  <c r="AI19" i="7"/>
  <c r="AF154" i="7"/>
  <c r="AD19" i="7"/>
  <c r="AL154" i="7"/>
  <c r="AJ19" i="7"/>
  <c r="AF153" i="7"/>
  <c r="AD18" i="7"/>
  <c r="O68" i="7"/>
  <c r="Q203" i="7"/>
  <c r="R240" i="7"/>
  <c r="CP241" i="7"/>
  <c r="O59" i="7"/>
  <c r="Q194" i="7"/>
  <c r="P53" i="7"/>
  <c r="R188" i="7"/>
  <c r="AE227" i="7"/>
  <c r="DC228" i="7"/>
  <c r="CR232" i="7"/>
  <c r="T231" i="7"/>
  <c r="P66" i="7"/>
  <c r="AD155" i="7"/>
  <c r="AB20" i="7"/>
  <c r="R183" i="7"/>
  <c r="P48" i="7"/>
  <c r="N60" i="7"/>
  <c r="P195" i="7"/>
  <c r="O196" i="7"/>
  <c r="Y227" i="7"/>
  <c r="CW228" i="7"/>
  <c r="X228" i="7"/>
  <c r="CV229" i="7"/>
  <c r="W229" i="7"/>
  <c r="CU230" i="7"/>
  <c r="Q189" i="7"/>
  <c r="O54" i="7"/>
  <c r="CZ228" i="7"/>
  <c r="AB227" i="7"/>
  <c r="CQ233" i="7"/>
  <c r="S232" i="7"/>
  <c r="Q202" i="7"/>
  <c r="O67" i="7"/>
  <c r="Y153" i="7"/>
  <c r="W18" i="7"/>
  <c r="DB228" i="7"/>
  <c r="AD227" i="7"/>
  <c r="U230" i="7"/>
  <c r="CS231" i="7"/>
  <c r="CQ237" i="7"/>
  <c r="S236" i="7"/>
  <c r="BE155" i="7"/>
  <c r="BC20" i="7"/>
  <c r="AC154" i="7"/>
  <c r="AA19" i="7"/>
  <c r="AH227" i="7"/>
  <c r="DF228" i="7"/>
  <c r="AJ228" i="7" s="1"/>
  <c r="O44" i="7"/>
  <c r="Q179" i="7"/>
  <c r="P180" i="7"/>
  <c r="Q52" i="7"/>
  <c r="S187" i="7"/>
  <c r="R46" i="7"/>
  <c r="Q173" i="7"/>
  <c r="P174" i="7"/>
  <c r="T162" i="7"/>
  <c r="S163" i="7"/>
  <c r="Q246" i="7"/>
  <c r="Q242" i="7"/>
  <c r="CN244" i="7"/>
  <c r="J25" i="22"/>
  <c r="J52" i="22"/>
  <c r="J65" i="22"/>
  <c r="J39" i="22"/>
  <c r="J20" i="10"/>
  <c r="J19" i="10"/>
  <c r="E15" i="10"/>
  <c r="P9" i="10"/>
  <c r="E14" i="10"/>
  <c r="J18" i="10"/>
  <c r="U231" i="7" l="1"/>
  <c r="S174" i="7"/>
  <c r="T173" i="7"/>
  <c r="U175" i="7" s="1"/>
  <c r="U41" i="7" s="1"/>
  <c r="M8" i="21"/>
  <c r="M10" i="21" s="1"/>
  <c r="M11" i="21" s="1"/>
  <c r="CS232" i="7"/>
  <c r="W232" i="7" s="1"/>
  <c r="Y228" i="7"/>
  <c r="CW229" i="7"/>
  <c r="BJ154" i="7"/>
  <c r="BH19" i="7"/>
  <c r="J497" i="25"/>
  <c r="U496" i="25"/>
  <c r="BM155" i="7"/>
  <c r="BM21" i="7" s="1"/>
  <c r="V161" i="7"/>
  <c r="X162" i="7" s="1"/>
  <c r="Y161" i="7"/>
  <c r="Z160" i="7"/>
  <c r="W156" i="7"/>
  <c r="X158" i="7" s="1"/>
  <c r="R160" i="7"/>
  <c r="T168" i="7"/>
  <c r="X155" i="7"/>
  <c r="U158" i="7"/>
  <c r="W159" i="7" s="1"/>
  <c r="U165" i="7"/>
  <c r="T166" i="7"/>
  <c r="R176" i="7"/>
  <c r="R42" i="7" s="1"/>
  <c r="Q177" i="7"/>
  <c r="Q43" i="7" s="1"/>
  <c r="BN154" i="7"/>
  <c r="BN20" i="7" s="1"/>
  <c r="BL19" i="7"/>
  <c r="S192" i="7"/>
  <c r="S58" i="7" s="1"/>
  <c r="R193" i="7"/>
  <c r="S195" i="7" s="1"/>
  <c r="Q57" i="7"/>
  <c r="AV20" i="7"/>
  <c r="S169" i="7"/>
  <c r="BG155" i="7"/>
  <c r="BG21" i="7" s="1"/>
  <c r="AV19" i="7"/>
  <c r="AX154" i="7"/>
  <c r="AO19" i="7"/>
  <c r="H893" i="25" s="1"/>
  <c r="AQ154" i="7"/>
  <c r="T158" i="7"/>
  <c r="BL154" i="7"/>
  <c r="BJ19" i="7"/>
  <c r="BF19" i="7"/>
  <c r="BH154" i="7"/>
  <c r="T181" i="7"/>
  <c r="U183" i="7" s="1"/>
  <c r="S159" i="7"/>
  <c r="W155" i="7"/>
  <c r="T159" i="7"/>
  <c r="U246" i="7"/>
  <c r="U164" i="7"/>
  <c r="T165" i="7"/>
  <c r="R181" i="7"/>
  <c r="P46" i="7"/>
  <c r="Q182" i="7"/>
  <c r="AE155" i="7"/>
  <c r="AC20" i="7"/>
  <c r="AA154" i="7"/>
  <c r="Y19" i="7"/>
  <c r="AD228" i="7"/>
  <c r="DB229" i="7"/>
  <c r="P61" i="7"/>
  <c r="R196" i="7"/>
  <c r="Q69" i="7"/>
  <c r="AU20" i="7"/>
  <c r="AW155" i="7"/>
  <c r="DC229" i="7"/>
  <c r="AE228" i="7"/>
  <c r="BI155" i="7"/>
  <c r="BG20" i="7"/>
  <c r="P56" i="7"/>
  <c r="R191" i="7"/>
  <c r="P51" i="7"/>
  <c r="R186" i="7"/>
  <c r="Q187" i="7"/>
  <c r="S194" i="7"/>
  <c r="Q59" i="7"/>
  <c r="AT20" i="7"/>
  <c r="AV155" i="7"/>
  <c r="BF20" i="7"/>
  <c r="BH155" i="7"/>
  <c r="CN238" i="7"/>
  <c r="Q236" i="7"/>
  <c r="CO237" i="7"/>
  <c r="S167" i="7"/>
  <c r="R168" i="7"/>
  <c r="DA229" i="7"/>
  <c r="AC228" i="7"/>
  <c r="CP236" i="7"/>
  <c r="R235" i="7"/>
  <c r="S48" i="7"/>
  <c r="CW230" i="7"/>
  <c r="Y229" i="7"/>
  <c r="AO20" i="7"/>
  <c r="AQ155" i="7"/>
  <c r="O61" i="7"/>
  <c r="Q196" i="7"/>
  <c r="P197" i="7"/>
  <c r="S234" i="7"/>
  <c r="CQ235" i="7"/>
  <c r="Y154" i="7"/>
  <c r="W19" i="7"/>
  <c r="AC157" i="7"/>
  <c r="X154" i="7"/>
  <c r="V19" i="7"/>
  <c r="BD155" i="7"/>
  <c r="BB20" i="7"/>
  <c r="AP20" i="7"/>
  <c r="AR155" i="7"/>
  <c r="U240" i="7"/>
  <c r="Q45" i="7"/>
  <c r="Q68" i="7"/>
  <c r="Z229" i="7"/>
  <c r="CX230" i="7"/>
  <c r="CY229" i="7"/>
  <c r="AA228" i="7"/>
  <c r="R54" i="7"/>
  <c r="T189" i="7"/>
  <c r="T241" i="7"/>
  <c r="CR242" i="7"/>
  <c r="AL20" i="7"/>
  <c r="AN155" i="7"/>
  <c r="AM155" i="7"/>
  <c r="AK20" i="7"/>
  <c r="H865" i="25" s="1"/>
  <c r="AL155" i="7"/>
  <c r="AJ20" i="7"/>
  <c r="R58" i="7"/>
  <c r="AZ156" i="7"/>
  <c r="AX21" i="7"/>
  <c r="T240" i="7"/>
  <c r="Q50" i="7"/>
  <c r="S185" i="7"/>
  <c r="T244" i="7"/>
  <c r="P44" i="7"/>
  <c r="Q180" i="7"/>
  <c r="AI228" i="7"/>
  <c r="DG229" i="7"/>
  <c r="AK229" i="7" s="1"/>
  <c r="CQ243" i="7"/>
  <c r="BK155" i="7"/>
  <c r="BI20" i="7"/>
  <c r="X231" i="7"/>
  <c r="CV232" i="7"/>
  <c r="S68" i="7"/>
  <c r="AM20" i="7"/>
  <c r="AO155" i="7"/>
  <c r="S173" i="7"/>
  <c r="R174" i="7"/>
  <c r="AS20" i="7"/>
  <c r="AU155" i="7"/>
  <c r="CS233" i="7"/>
  <c r="V231" i="7"/>
  <c r="CT232" i="7"/>
  <c r="AN20" i="7"/>
  <c r="AP155" i="7"/>
  <c r="AD229" i="7"/>
  <c r="DB230" i="7"/>
  <c r="AI155" i="7"/>
  <c r="AG20" i="7"/>
  <c r="R175" i="7"/>
  <c r="Q176" i="7"/>
  <c r="S53" i="7"/>
  <c r="BG156" i="7"/>
  <c r="BE21" i="7"/>
  <c r="U237" i="7"/>
  <c r="AF228" i="7"/>
  <c r="DD229" i="7"/>
  <c r="S190" i="7"/>
  <c r="Q55" i="7"/>
  <c r="AF156" i="7"/>
  <c r="AD21" i="7"/>
  <c r="V232" i="7"/>
  <c r="CT233" i="7"/>
  <c r="CV230" i="7"/>
  <c r="X229" i="7"/>
  <c r="T191" i="7"/>
  <c r="R56" i="7"/>
  <c r="S241" i="7"/>
  <c r="CQ242" i="7"/>
  <c r="P69" i="7"/>
  <c r="R204" i="7"/>
  <c r="R70" i="7" s="1"/>
  <c r="T233" i="7"/>
  <c r="CR234" i="7"/>
  <c r="BA155" i="7"/>
  <c r="AY20" i="7"/>
  <c r="V156" i="7"/>
  <c r="U157" i="7"/>
  <c r="Q243" i="7"/>
  <c r="CO244" i="7"/>
  <c r="CN245" i="7"/>
  <c r="S235" i="7"/>
  <c r="CQ236" i="7"/>
  <c r="CP237" i="7"/>
  <c r="X230" i="7"/>
  <c r="CV231" i="7"/>
  <c r="P60" i="7"/>
  <c r="R195" i="7"/>
  <c r="AF155" i="7"/>
  <c r="AD20" i="7"/>
  <c r="V233" i="7"/>
  <c r="CT234" i="7"/>
  <c r="R244" i="7"/>
  <c r="CO246" i="7"/>
  <c r="V164" i="7"/>
  <c r="CU232" i="7"/>
  <c r="W231" i="7"/>
  <c r="CS234" i="7"/>
  <c r="U233" i="7"/>
  <c r="CW231" i="7"/>
  <c r="Y230" i="7"/>
  <c r="Q197" i="7"/>
  <c r="O62" i="7"/>
  <c r="P198" i="7"/>
  <c r="R49" i="7"/>
  <c r="T184" i="7"/>
  <c r="AG228" i="7"/>
  <c r="DE229" i="7"/>
  <c r="Q60" i="7"/>
  <c r="AH154" i="7"/>
  <c r="AF19" i="7"/>
  <c r="AH155" i="7"/>
  <c r="AF20" i="7"/>
  <c r="W230" i="7"/>
  <c r="CU231" i="7"/>
  <c r="Q192" i="7"/>
  <c r="O57" i="7"/>
  <c r="P193" i="7"/>
  <c r="AD156" i="7"/>
  <c r="AB21" i="7"/>
  <c r="R170" i="7"/>
  <c r="Q171" i="7"/>
  <c r="CX229" i="7"/>
  <c r="Z228" i="7"/>
  <c r="BA20" i="7"/>
  <c r="BC155" i="7"/>
  <c r="U234" i="7"/>
  <c r="CS235" i="7"/>
  <c r="AK155" i="7"/>
  <c r="AI20" i="7"/>
  <c r="P237" i="7"/>
  <c r="CM239" i="7"/>
  <c r="AG155" i="7"/>
  <c r="AE20" i="7"/>
  <c r="CR239" i="7"/>
  <c r="CS241" i="7" s="1"/>
  <c r="AZ20" i="7"/>
  <c r="BB155" i="7"/>
  <c r="AY155" i="7"/>
  <c r="AW20" i="7"/>
  <c r="AR20" i="7"/>
  <c r="AT155" i="7"/>
  <c r="R242" i="7"/>
  <c r="CP243" i="7"/>
  <c r="T234" i="7"/>
  <c r="CR235" i="7"/>
  <c r="Q161" i="7"/>
  <c r="P162" i="7"/>
  <c r="AB158" i="7"/>
  <c r="AA159" i="7"/>
  <c r="S55" i="7"/>
  <c r="CR236" i="7"/>
  <c r="BB19" i="7"/>
  <c r="BD154" i="7"/>
  <c r="K20" i="10"/>
  <c r="K19" i="10"/>
  <c r="K18" i="10"/>
  <c r="D23" i="11"/>
  <c r="K16" i="10"/>
  <c r="J16" i="10" s="1"/>
  <c r="D25" i="11"/>
  <c r="K17" i="10"/>
  <c r="J17" i="10" s="1"/>
  <c r="CU233" i="7" l="1"/>
  <c r="CV235" i="7" s="1"/>
  <c r="AA229" i="7"/>
  <c r="CY230" i="7"/>
  <c r="BL155" i="7"/>
  <c r="BJ20" i="7"/>
  <c r="BO156" i="7"/>
  <c r="BO22" i="7" s="1"/>
  <c r="W163" i="7"/>
  <c r="Y164" i="7" s="1"/>
  <c r="J498" i="25"/>
  <c r="U497" i="25"/>
  <c r="U160" i="7"/>
  <c r="R59" i="7"/>
  <c r="Y160" i="7"/>
  <c r="R179" i="7"/>
  <c r="S181" i="7" s="1"/>
  <c r="AA162" i="7"/>
  <c r="Z163" i="7"/>
  <c r="H895" i="25"/>
  <c r="H899" i="25"/>
  <c r="H1665" i="25"/>
  <c r="H1669" i="25"/>
  <c r="H1668" i="25"/>
  <c r="H1663" i="25"/>
  <c r="H3502" i="25"/>
  <c r="H1667" i="25"/>
  <c r="H897" i="25"/>
  <c r="H894" i="25"/>
  <c r="H896" i="25"/>
  <c r="H898" i="25"/>
  <c r="U168" i="7"/>
  <c r="U170" i="7"/>
  <c r="Z156" i="7"/>
  <c r="Y157" i="7"/>
  <c r="Z159" i="7" s="1"/>
  <c r="S162" i="7"/>
  <c r="V167" i="7"/>
  <c r="H399" i="25"/>
  <c r="H400" i="25"/>
  <c r="V160" i="7"/>
  <c r="X161" i="7" s="1"/>
  <c r="Z162" i="7" s="1"/>
  <c r="S178" i="7"/>
  <c r="S44" i="7" s="1"/>
  <c r="T171" i="7"/>
  <c r="T194" i="7"/>
  <c r="T60" i="7" s="1"/>
  <c r="BI156" i="7"/>
  <c r="BI22" i="7" s="1"/>
  <c r="X157" i="7"/>
  <c r="AX20" i="7"/>
  <c r="AZ155" i="7"/>
  <c r="AS155" i="7"/>
  <c r="AQ20" i="7"/>
  <c r="H900" i="25" s="1"/>
  <c r="Y156" i="7"/>
  <c r="T47" i="7"/>
  <c r="BL20" i="7"/>
  <c r="BN155" i="7"/>
  <c r="BN21" i="7" s="1"/>
  <c r="T161" i="7"/>
  <c r="BH20" i="7"/>
  <c r="BJ155" i="7"/>
  <c r="U161" i="7"/>
  <c r="AD159" i="7"/>
  <c r="W241" i="7"/>
  <c r="CT237" i="7"/>
  <c r="V236" i="7"/>
  <c r="BA156" i="7"/>
  <c r="AY21" i="7"/>
  <c r="Q58" i="7"/>
  <c r="S193" i="7"/>
  <c r="R61" i="7"/>
  <c r="T196" i="7"/>
  <c r="R245" i="7"/>
  <c r="CP246" i="7"/>
  <c r="CO247" i="7"/>
  <c r="S247" i="7" s="1"/>
  <c r="CS238" i="7"/>
  <c r="CT240" i="7" s="1"/>
  <c r="W233" i="7"/>
  <c r="CU234" i="7"/>
  <c r="AZ22" i="7"/>
  <c r="BB157" i="7"/>
  <c r="AR21" i="7"/>
  <c r="H903" i="25" s="1"/>
  <c r="AT156" i="7"/>
  <c r="AW21" i="7"/>
  <c r="AY156" i="7"/>
  <c r="AF229" i="7"/>
  <c r="DD230" i="7"/>
  <c r="AV156" i="7"/>
  <c r="AT21" i="7"/>
  <c r="BB21" i="7"/>
  <c r="BD156" i="7"/>
  <c r="AI156" i="7"/>
  <c r="AG21" i="7"/>
  <c r="AM156" i="7"/>
  <c r="AK21" i="7"/>
  <c r="H864" i="25" s="1"/>
  <c r="CZ230" i="7"/>
  <c r="AB229" i="7"/>
  <c r="AF157" i="7"/>
  <c r="AD22" i="7"/>
  <c r="Y231" i="7"/>
  <c r="CW232" i="7"/>
  <c r="DG230" i="7"/>
  <c r="AK230" i="7" s="1"/>
  <c r="AI229" i="7"/>
  <c r="V185" i="7"/>
  <c r="T50" i="7"/>
  <c r="S198" i="7"/>
  <c r="Q63" i="7"/>
  <c r="AA231" i="7"/>
  <c r="CY232" i="7"/>
  <c r="CW233" i="7"/>
  <c r="Y232" i="7"/>
  <c r="U236" i="7"/>
  <c r="CS237" i="7"/>
  <c r="S244" i="7"/>
  <c r="CQ245" i="7"/>
  <c r="BA21" i="7"/>
  <c r="BC156" i="7"/>
  <c r="T57" i="7"/>
  <c r="S56" i="7"/>
  <c r="U191" i="7"/>
  <c r="AK156" i="7"/>
  <c r="AI21" i="7"/>
  <c r="AU21" i="7"/>
  <c r="AW156" i="7"/>
  <c r="AO21" i="7"/>
  <c r="AQ156" i="7"/>
  <c r="CX233" i="7"/>
  <c r="Z232" i="7"/>
  <c r="CS244" i="7"/>
  <c r="U243" i="7"/>
  <c r="CR245" i="7"/>
  <c r="V242" i="7"/>
  <c r="CT243" i="7"/>
  <c r="Z155" i="7"/>
  <c r="X20" i="7"/>
  <c r="U235" i="7"/>
  <c r="CS236" i="7"/>
  <c r="S237" i="7"/>
  <c r="CQ238" i="7"/>
  <c r="S60" i="7"/>
  <c r="BK156" i="7"/>
  <c r="BI21" i="7"/>
  <c r="Q48" i="7"/>
  <c r="S183" i="7"/>
  <c r="R184" i="7"/>
  <c r="V235" i="7"/>
  <c r="CT236" i="7"/>
  <c r="BE156" i="7"/>
  <c r="BC21" i="7"/>
  <c r="S61" i="7"/>
  <c r="CV234" i="7"/>
  <c r="X233" i="7"/>
  <c r="AP21" i="7"/>
  <c r="H905" i="25" s="1"/>
  <c r="AR156" i="7"/>
  <c r="BM156" i="7"/>
  <c r="BK21" i="7"/>
  <c r="AL21" i="7"/>
  <c r="AN156" i="7"/>
  <c r="AA155" i="7"/>
  <c r="Y20" i="7"/>
  <c r="Q62" i="7"/>
  <c r="S197" i="7"/>
  <c r="CR237" i="7"/>
  <c r="T236" i="7"/>
  <c r="BH21" i="7"/>
  <c r="BJ156" i="7"/>
  <c r="R52" i="7"/>
  <c r="T187" i="7"/>
  <c r="V166" i="7"/>
  <c r="U167" i="7"/>
  <c r="BF155" i="7"/>
  <c r="BD20" i="7"/>
  <c r="R163" i="7"/>
  <c r="Q164" i="7"/>
  <c r="T243" i="7"/>
  <c r="CR244" i="7"/>
  <c r="CN241" i="7"/>
  <c r="Q239" i="7"/>
  <c r="CO240" i="7"/>
  <c r="W235" i="7"/>
  <c r="CU236" i="7"/>
  <c r="S172" i="7"/>
  <c r="R173" i="7"/>
  <c r="P59" i="7"/>
  <c r="R194" i="7"/>
  <c r="Q195" i="7"/>
  <c r="AJ155" i="7"/>
  <c r="AH20" i="7"/>
  <c r="U193" i="7"/>
  <c r="W166" i="7"/>
  <c r="S246" i="7"/>
  <c r="X234" i="7"/>
  <c r="Z231" i="7"/>
  <c r="CX232" i="7"/>
  <c r="V234" i="7"/>
  <c r="CT235" i="7"/>
  <c r="U242" i="7"/>
  <c r="DF230" i="7"/>
  <c r="AJ230" i="7" s="1"/>
  <c r="AH229" i="7"/>
  <c r="S177" i="7"/>
  <c r="Q42" i="7"/>
  <c r="H393" i="25" s="1"/>
  <c r="R178" i="7"/>
  <c r="DD231" i="7"/>
  <c r="AF230" i="7"/>
  <c r="X232" i="7"/>
  <c r="CV233" i="7"/>
  <c r="Q46" i="7"/>
  <c r="R182" i="7"/>
  <c r="AM21" i="7"/>
  <c r="AO156" i="7"/>
  <c r="DA230" i="7"/>
  <c r="AC229" i="7"/>
  <c r="AE158" i="7"/>
  <c r="AQ21" i="7"/>
  <c r="AS156" i="7"/>
  <c r="CY231" i="7"/>
  <c r="AA230" i="7"/>
  <c r="AE229" i="7"/>
  <c r="DC230" i="7"/>
  <c r="AV21" i="7"/>
  <c r="AX156" i="7"/>
  <c r="R57" i="7"/>
  <c r="T192" i="7"/>
  <c r="T197" i="7"/>
  <c r="R62" i="7"/>
  <c r="AJ156" i="7"/>
  <c r="AH21" i="7"/>
  <c r="T237" i="7"/>
  <c r="CR238" i="7"/>
  <c r="CQ239" i="7"/>
  <c r="AC160" i="7"/>
  <c r="AB161" i="7"/>
  <c r="Y233" i="7"/>
  <c r="V239" i="7"/>
  <c r="P64" i="7"/>
  <c r="R199" i="7"/>
  <c r="Q200" i="7"/>
  <c r="W234" i="7"/>
  <c r="CU235" i="7"/>
  <c r="AH156" i="7"/>
  <c r="AF21" i="7"/>
  <c r="W158" i="7"/>
  <c r="V159" i="7"/>
  <c r="CX231" i="7"/>
  <c r="Z230" i="7"/>
  <c r="AH157" i="7"/>
  <c r="AF22" i="7"/>
  <c r="BG22" i="7"/>
  <c r="BI157" i="7"/>
  <c r="T176" i="7"/>
  <c r="R41" i="7"/>
  <c r="T175" i="7"/>
  <c r="S176" i="7"/>
  <c r="S51" i="7"/>
  <c r="U186" i="7"/>
  <c r="AN21" i="7"/>
  <c r="AP156" i="7"/>
  <c r="T55" i="7"/>
  <c r="AB230" i="7"/>
  <c r="CZ231" i="7"/>
  <c r="BF156" i="7"/>
  <c r="BD21" i="7"/>
  <c r="P63" i="7"/>
  <c r="R198" i="7"/>
  <c r="Q199" i="7"/>
  <c r="U49" i="7"/>
  <c r="T169" i="7"/>
  <c r="S170" i="7"/>
  <c r="R238" i="7"/>
  <c r="CP239" i="7"/>
  <c r="Q53" i="7"/>
  <c r="S188" i="7"/>
  <c r="R189" i="7"/>
  <c r="AG229" i="7"/>
  <c r="DE230" i="7"/>
  <c r="AC155" i="7"/>
  <c r="AA20" i="7"/>
  <c r="AG156" i="7"/>
  <c r="AE21" i="7"/>
  <c r="R47" i="7"/>
  <c r="K36" i="22"/>
  <c r="K49" i="22"/>
  <c r="K53" i="22" s="1"/>
  <c r="K51" i="22" s="1"/>
  <c r="K22" i="22"/>
  <c r="K26" i="22" s="1"/>
  <c r="K24" i="22" s="1"/>
  <c r="K62" i="22"/>
  <c r="K66" i="22" s="1"/>
  <c r="K64" i="22" s="1"/>
  <c r="D31" i="11"/>
  <c r="J25" i="10"/>
  <c r="K25" i="10" s="1"/>
  <c r="J21" i="10"/>
  <c r="K21" i="10" s="1"/>
  <c r="D29" i="11"/>
  <c r="J22" i="10"/>
  <c r="CW234" i="7" l="1"/>
  <c r="CX236" i="7" s="1"/>
  <c r="AA165" i="7"/>
  <c r="AC230" i="7"/>
  <c r="DA231" i="7"/>
  <c r="X165" i="7"/>
  <c r="Y167" i="7" s="1"/>
  <c r="BL21" i="7"/>
  <c r="BN156" i="7"/>
  <c r="BN22" i="7" s="1"/>
  <c r="V162" i="7"/>
  <c r="J499" i="25"/>
  <c r="U498" i="25"/>
  <c r="R45" i="7"/>
  <c r="AB164" i="7"/>
  <c r="H2189" i="25"/>
  <c r="H2190" i="25"/>
  <c r="H901" i="25"/>
  <c r="H902" i="25"/>
  <c r="H904" i="25"/>
  <c r="V170" i="7"/>
  <c r="T164" i="7"/>
  <c r="V172" i="7"/>
  <c r="W169" i="7"/>
  <c r="AA158" i="7"/>
  <c r="AB160" i="7" s="1"/>
  <c r="AB157" i="7"/>
  <c r="W162" i="7"/>
  <c r="Y163" i="7" s="1"/>
  <c r="AA164" i="7" s="1"/>
  <c r="T180" i="7"/>
  <c r="U182" i="7" s="1"/>
  <c r="H413" i="25"/>
  <c r="H411" i="25"/>
  <c r="H412" i="25"/>
  <c r="H410" i="25"/>
  <c r="U173" i="7"/>
  <c r="BK157" i="7"/>
  <c r="BK23" i="7" s="1"/>
  <c r="U196" i="7"/>
  <c r="U62" i="7" s="1"/>
  <c r="AA157" i="7"/>
  <c r="Y159" i="7"/>
  <c r="Z158" i="7"/>
  <c r="AZ21" i="7"/>
  <c r="BB156" i="7"/>
  <c r="AU156" i="7"/>
  <c r="AS21" i="7"/>
  <c r="AE161" i="7"/>
  <c r="U163" i="7"/>
  <c r="AG159" i="7"/>
  <c r="BJ21" i="7"/>
  <c r="BL156" i="7"/>
  <c r="V163" i="7"/>
  <c r="DG231" i="7"/>
  <c r="AK231" i="7" s="1"/>
  <c r="AI230" i="7"/>
  <c r="Q61" i="7"/>
  <c r="S196" i="7"/>
  <c r="R197" i="7"/>
  <c r="V244" i="7"/>
  <c r="AT157" i="7"/>
  <c r="AR22" i="7"/>
  <c r="S49" i="7"/>
  <c r="X243" i="7"/>
  <c r="AA232" i="7"/>
  <c r="CY233" i="7"/>
  <c r="AY22" i="7"/>
  <c r="BA157" i="7"/>
  <c r="AI157" i="7"/>
  <c r="AG22" i="7"/>
  <c r="T239" i="7"/>
  <c r="CR240" i="7"/>
  <c r="T42" i="7"/>
  <c r="V177" i="7"/>
  <c r="AJ158" i="7"/>
  <c r="AH23" i="7"/>
  <c r="AA234" i="7"/>
  <c r="CS240" i="7"/>
  <c r="U239" i="7"/>
  <c r="CR241" i="7"/>
  <c r="AL157" i="7"/>
  <c r="AJ22" i="7"/>
  <c r="T58" i="7"/>
  <c r="V193" i="7"/>
  <c r="AG230" i="7"/>
  <c r="DE231" i="7"/>
  <c r="AU157" i="7"/>
  <c r="AS22" i="7"/>
  <c r="AE230" i="7"/>
  <c r="DC231" i="7"/>
  <c r="S47" i="7"/>
  <c r="U178" i="7"/>
  <c r="S43" i="7"/>
  <c r="CZ233" i="7"/>
  <c r="AB232" i="7"/>
  <c r="U59" i="7"/>
  <c r="T195" i="7"/>
  <c r="R60" i="7"/>
  <c r="S240" i="7"/>
  <c r="CQ241" i="7"/>
  <c r="BF21" i="7"/>
  <c r="BH156" i="7"/>
  <c r="V237" i="7"/>
  <c r="CT238" i="7"/>
  <c r="AF160" i="7"/>
  <c r="BM157" i="7"/>
  <c r="BK22" i="7"/>
  <c r="AY157" i="7"/>
  <c r="AW22" i="7"/>
  <c r="U57" i="7"/>
  <c r="BE157" i="7"/>
  <c r="BC22" i="7"/>
  <c r="U245" i="7"/>
  <c r="CS246" i="7"/>
  <c r="AA161" i="7"/>
  <c r="V51" i="7"/>
  <c r="DB231" i="7"/>
  <c r="AD230" i="7"/>
  <c r="AK157" i="7"/>
  <c r="AI22" i="7"/>
  <c r="BB23" i="7"/>
  <c r="BD158" i="7"/>
  <c r="W238" i="7"/>
  <c r="CU239" i="7"/>
  <c r="CV241" i="7" s="1"/>
  <c r="T62" i="7"/>
  <c r="R64" i="7"/>
  <c r="T199" i="7"/>
  <c r="DB232" i="7"/>
  <c r="AD231" i="7"/>
  <c r="AR157" i="7"/>
  <c r="AP22" i="7"/>
  <c r="Y235" i="7"/>
  <c r="CW236" i="7"/>
  <c r="T63" i="7"/>
  <c r="AC231" i="7"/>
  <c r="DA232" i="7"/>
  <c r="S184" i="7"/>
  <c r="R48" i="7"/>
  <c r="T183" i="7"/>
  <c r="T53" i="7"/>
  <c r="V188" i="7"/>
  <c r="CS239" i="7"/>
  <c r="U238" i="7"/>
  <c r="W236" i="7"/>
  <c r="CU237" i="7"/>
  <c r="W244" i="7"/>
  <c r="CU245" i="7"/>
  <c r="AM157" i="7"/>
  <c r="AK22" i="7"/>
  <c r="H863" i="25" s="1"/>
  <c r="AC232" i="7"/>
  <c r="DA233" i="7"/>
  <c r="CV238" i="7"/>
  <c r="X237" i="7"/>
  <c r="R55" i="7"/>
  <c r="T190" i="7"/>
  <c r="S191" i="7"/>
  <c r="W187" i="7"/>
  <c r="U52" i="7"/>
  <c r="S42" i="7"/>
  <c r="U177" i="7"/>
  <c r="T178" i="7"/>
  <c r="BK158" i="7"/>
  <c r="BI23" i="7"/>
  <c r="AJ157" i="7"/>
  <c r="AH22" i="7"/>
  <c r="Q66" i="7"/>
  <c r="S201" i="7"/>
  <c r="R202" i="7"/>
  <c r="X240" i="7"/>
  <c r="V238" i="7"/>
  <c r="CT239" i="7"/>
  <c r="AO22" i="7"/>
  <c r="AQ157" i="7"/>
  <c r="DF232" i="7"/>
  <c r="AJ232" i="7" s="1"/>
  <c r="AH231" i="7"/>
  <c r="X235" i="7"/>
  <c r="CV236" i="7"/>
  <c r="S165" i="7"/>
  <c r="R166" i="7"/>
  <c r="W168" i="7"/>
  <c r="V169" i="7"/>
  <c r="BL157" i="7"/>
  <c r="BJ22" i="7"/>
  <c r="AC156" i="7"/>
  <c r="AA21" i="7"/>
  <c r="BM22" i="7"/>
  <c r="BO157" i="7"/>
  <c r="BO23" i="7" s="1"/>
  <c r="BE22" i="7"/>
  <c r="BG157" i="7"/>
  <c r="V195" i="7"/>
  <c r="CT246" i="7"/>
  <c r="V245" i="7"/>
  <c r="CS247" i="7"/>
  <c r="W247" i="7" s="1"/>
  <c r="AB233" i="7"/>
  <c r="CZ234" i="7"/>
  <c r="BF157" i="7"/>
  <c r="BD22" i="7"/>
  <c r="AH230" i="7"/>
  <c r="DF231" i="7"/>
  <c r="AJ231" i="7" s="1"/>
  <c r="BC157" i="7"/>
  <c r="BA22" i="7"/>
  <c r="CU242" i="7"/>
  <c r="CV244" i="7" s="1"/>
  <c r="AE156" i="7"/>
  <c r="AC21" i="7"/>
  <c r="S54" i="7"/>
  <c r="U189" i="7"/>
  <c r="U171" i="7"/>
  <c r="T172" i="7"/>
  <c r="Q65" i="7"/>
  <c r="S200" i="7"/>
  <c r="R201" i="7"/>
  <c r="BF22" i="7"/>
  <c r="BH157" i="7"/>
  <c r="T41" i="7"/>
  <c r="H1607" i="25" s="1"/>
  <c r="AB231" i="7"/>
  <c r="CZ232" i="7"/>
  <c r="X160" i="7"/>
  <c r="W161" i="7"/>
  <c r="R65" i="7"/>
  <c r="T200" i="7"/>
  <c r="AD162" i="7"/>
  <c r="AC163" i="7"/>
  <c r="AZ157" i="7"/>
  <c r="AX22" i="7"/>
  <c r="CX234" i="7"/>
  <c r="Z233" i="7"/>
  <c r="R44" i="7"/>
  <c r="T179" i="7"/>
  <c r="S180" i="7"/>
  <c r="Z235" i="7"/>
  <c r="X168" i="7"/>
  <c r="AL156" i="7"/>
  <c r="AJ21" i="7"/>
  <c r="T174" i="7"/>
  <c r="S175" i="7"/>
  <c r="Y236" i="7"/>
  <c r="CW237" i="7"/>
  <c r="R241" i="7"/>
  <c r="CP242" i="7"/>
  <c r="CO243" i="7"/>
  <c r="S63" i="7"/>
  <c r="U198" i="7"/>
  <c r="AN22" i="7"/>
  <c r="AP157" i="7"/>
  <c r="Z234" i="7"/>
  <c r="CX235" i="7"/>
  <c r="X236" i="7"/>
  <c r="CV237" i="7"/>
  <c r="R50" i="7"/>
  <c r="T185" i="7"/>
  <c r="S186" i="7"/>
  <c r="AB156" i="7"/>
  <c r="Z21" i="7"/>
  <c r="AQ22" i="7"/>
  <c r="AS157" i="7"/>
  <c r="CU238" i="7"/>
  <c r="W237" i="7"/>
  <c r="AA233" i="7"/>
  <c r="CY234" i="7"/>
  <c r="S64" i="7"/>
  <c r="U199" i="7"/>
  <c r="AH158" i="7"/>
  <c r="AF23" i="7"/>
  <c r="AM22" i="7"/>
  <c r="AO157" i="7"/>
  <c r="AX157" i="7"/>
  <c r="AV22" i="7"/>
  <c r="AV157" i="7"/>
  <c r="AT22" i="7"/>
  <c r="CW235" i="7"/>
  <c r="Y234" i="7"/>
  <c r="CR247" i="7"/>
  <c r="V247" i="7" s="1"/>
  <c r="T246" i="7"/>
  <c r="U194" i="7"/>
  <c r="S59" i="7"/>
  <c r="K23" i="22" a="1"/>
  <c r="K23" i="22" s="1"/>
  <c r="K63" i="22" a="1"/>
  <c r="K63" i="22" s="1"/>
  <c r="K50" i="22" a="1"/>
  <c r="K50" i="22" s="1"/>
  <c r="K40" i="22"/>
  <c r="K9" i="22"/>
  <c r="M14" i="21" s="1"/>
  <c r="D30" i="11"/>
  <c r="J23" i="10"/>
  <c r="J24" i="10" s="1"/>
  <c r="K22" i="10"/>
  <c r="AC166" i="7" l="1"/>
  <c r="CY235" i="7"/>
  <c r="CZ237" i="7" s="1"/>
  <c r="Z166" i="7"/>
  <c r="AB167" i="7" s="1"/>
  <c r="DC232" i="7"/>
  <c r="AE231" i="7"/>
  <c r="W164" i="7"/>
  <c r="J500" i="25"/>
  <c r="U499" i="25"/>
  <c r="W197" i="7"/>
  <c r="V198" i="7"/>
  <c r="W200" i="7" s="1"/>
  <c r="AD168" i="7"/>
  <c r="U166" i="7"/>
  <c r="H2193" i="25"/>
  <c r="H2197" i="25"/>
  <c r="H2201" i="25"/>
  <c r="H2194" i="25"/>
  <c r="H2199" i="25"/>
  <c r="H2191" i="25"/>
  <c r="H2198" i="25"/>
  <c r="H2200" i="25"/>
  <c r="H2192" i="25"/>
  <c r="H2202" i="25"/>
  <c r="H2195" i="25"/>
  <c r="H2196" i="25"/>
  <c r="H1628" i="25"/>
  <c r="H1612" i="25"/>
  <c r="H3500" i="25"/>
  <c r="H907" i="25"/>
  <c r="H909" i="25"/>
  <c r="H906" i="25"/>
  <c r="H908" i="25"/>
  <c r="H2205" i="25"/>
  <c r="H2209" i="25"/>
  <c r="H2213" i="25"/>
  <c r="H2204" i="25"/>
  <c r="H2210" i="25"/>
  <c r="H2206" i="25"/>
  <c r="H2212" i="25"/>
  <c r="H2208" i="25"/>
  <c r="H2232" i="25"/>
  <c r="H2211" i="25"/>
  <c r="H2233" i="25"/>
  <c r="H2186" i="25"/>
  <c r="H2203" i="25"/>
  <c r="H2236" i="25"/>
  <c r="H2207" i="25"/>
  <c r="H3591" i="25"/>
  <c r="W172" i="7"/>
  <c r="H1606" i="25"/>
  <c r="H1614" i="25"/>
  <c r="H1613" i="25"/>
  <c r="H2188" i="25"/>
  <c r="H2187" i="25"/>
  <c r="H2214" i="25"/>
  <c r="X164" i="7"/>
  <c r="Z165" i="7" s="1"/>
  <c r="AB166" i="7" s="1"/>
  <c r="W174" i="7"/>
  <c r="AC159" i="7"/>
  <c r="AD161" i="7" s="1"/>
  <c r="X171" i="7"/>
  <c r="BM158" i="7"/>
  <c r="BM24" i="7" s="1"/>
  <c r="T46" i="7"/>
  <c r="H414" i="25"/>
  <c r="H409" i="25"/>
  <c r="H402" i="25"/>
  <c r="V175" i="7"/>
  <c r="AC158" i="7"/>
  <c r="Z161" i="7"/>
  <c r="V165" i="7"/>
  <c r="AB159" i="7"/>
  <c r="AA160" i="7"/>
  <c r="BD157" i="7"/>
  <c r="BB22" i="7"/>
  <c r="AF163" i="7"/>
  <c r="AU22" i="7"/>
  <c r="AW157" i="7"/>
  <c r="AI160" i="7"/>
  <c r="AH161" i="7"/>
  <c r="BN157" i="7"/>
  <c r="BN23" i="7" s="1"/>
  <c r="BL22" i="7"/>
  <c r="W165" i="7"/>
  <c r="AC234" i="7"/>
  <c r="DA235" i="7"/>
  <c r="AS23" i="7"/>
  <c r="AU158" i="7"/>
  <c r="W63" i="7"/>
  <c r="CY238" i="7"/>
  <c r="AA237" i="7"/>
  <c r="AB236" i="7"/>
  <c r="T66" i="7"/>
  <c r="V201" i="7"/>
  <c r="AD232" i="7"/>
  <c r="DB233" i="7"/>
  <c r="BJ158" i="7"/>
  <c r="BH23" i="7"/>
  <c r="BG23" i="7"/>
  <c r="BI158" i="7"/>
  <c r="X170" i="7"/>
  <c r="W171" i="7"/>
  <c r="Z236" i="7"/>
  <c r="CX237" i="7"/>
  <c r="AQ23" i="7"/>
  <c r="AS158" i="7"/>
  <c r="R68" i="7"/>
  <c r="T203" i="7"/>
  <c r="S204" i="7"/>
  <c r="S70" i="7" s="1"/>
  <c r="AL158" i="7"/>
  <c r="AJ23" i="7"/>
  <c r="T44" i="7"/>
  <c r="V179" i="7"/>
  <c r="U180" i="7"/>
  <c r="W53" i="7"/>
  <c r="AE233" i="7"/>
  <c r="DC234" i="7"/>
  <c r="Y245" i="7"/>
  <c r="CW246" i="7"/>
  <c r="V184" i="7"/>
  <c r="T49" i="7"/>
  <c r="AA236" i="7"/>
  <c r="CY237" i="7"/>
  <c r="V200" i="7"/>
  <c r="T65" i="7"/>
  <c r="AM158" i="7"/>
  <c r="AK23" i="7"/>
  <c r="U44" i="7"/>
  <c r="W179" i="7"/>
  <c r="AL23" i="7"/>
  <c r="H2278" i="25" s="1"/>
  <c r="AN158" i="7"/>
  <c r="V43" i="7"/>
  <c r="DA234" i="7"/>
  <c r="AC233" i="7"/>
  <c r="Z244" i="7"/>
  <c r="R63" i="7"/>
  <c r="T198" i="7"/>
  <c r="S199" i="7"/>
  <c r="U60" i="7"/>
  <c r="W195" i="7"/>
  <c r="AA235" i="7"/>
  <c r="CY236" i="7"/>
  <c r="AX23" i="7"/>
  <c r="AZ158" i="7"/>
  <c r="AJ159" i="7"/>
  <c r="AH24" i="7"/>
  <c r="Z237" i="7"/>
  <c r="CX238" i="7"/>
  <c r="AB235" i="7"/>
  <c r="CZ236" i="7"/>
  <c r="U64" i="7"/>
  <c r="S243" i="7"/>
  <c r="CP245" i="7"/>
  <c r="AL22" i="7"/>
  <c r="AN157" i="7"/>
  <c r="BB158" i="7"/>
  <c r="AZ23" i="7"/>
  <c r="V173" i="7"/>
  <c r="U174" i="7"/>
  <c r="BC23" i="7"/>
  <c r="BE158" i="7"/>
  <c r="BF23" i="7"/>
  <c r="BH158" i="7"/>
  <c r="AE157" i="7"/>
  <c r="AC22" i="7"/>
  <c r="U202" i="7"/>
  <c r="S67" i="7"/>
  <c r="U43" i="7"/>
  <c r="H1605" i="25" s="1"/>
  <c r="S57" i="7"/>
  <c r="U192" i="7"/>
  <c r="T193" i="7"/>
  <c r="Z238" i="7"/>
  <c r="CX239" i="7"/>
  <c r="CU240" i="7"/>
  <c r="W239" i="7"/>
  <c r="AT158" i="7"/>
  <c r="AR23" i="7"/>
  <c r="H910" i="25" s="1"/>
  <c r="CW240" i="7"/>
  <c r="CX242" i="7" s="1"/>
  <c r="Y239" i="7"/>
  <c r="AC162" i="7"/>
  <c r="AB163" i="7"/>
  <c r="BG158" i="7"/>
  <c r="BE23" i="7"/>
  <c r="BA158" i="7"/>
  <c r="AY23" i="7"/>
  <c r="BJ157" i="7"/>
  <c r="BH22" i="7"/>
  <c r="V59" i="7"/>
  <c r="V241" i="7"/>
  <c r="CT242" i="7"/>
  <c r="CS243" i="7"/>
  <c r="DA236" i="7"/>
  <c r="AK158" i="7"/>
  <c r="AI23" i="7"/>
  <c r="AV158" i="7"/>
  <c r="AT23" i="7"/>
  <c r="U197" i="7"/>
  <c r="S62" i="7"/>
  <c r="AQ158" i="7"/>
  <c r="AO23" i="7"/>
  <c r="U65" i="7"/>
  <c r="U187" i="7"/>
  <c r="S52" i="7"/>
  <c r="T188" i="7"/>
  <c r="CQ244" i="7"/>
  <c r="T242" i="7"/>
  <c r="CR243" i="7"/>
  <c r="S41" i="7"/>
  <c r="U176" i="7"/>
  <c r="T177" i="7"/>
  <c r="Z169" i="7"/>
  <c r="Y170" i="7"/>
  <c r="S46" i="7"/>
  <c r="U181" i="7"/>
  <c r="T182" i="7"/>
  <c r="AB234" i="7"/>
  <c r="CZ235" i="7"/>
  <c r="AE164" i="7"/>
  <c r="AD165" i="7"/>
  <c r="Y162" i="7"/>
  <c r="X163" i="7"/>
  <c r="T202" i="7"/>
  <c r="R67" i="7"/>
  <c r="S203" i="7"/>
  <c r="AG157" i="7"/>
  <c r="AE22" i="7"/>
  <c r="AD234" i="7"/>
  <c r="DB235" i="7"/>
  <c r="CV247" i="7"/>
  <c r="Z247" i="7" s="1"/>
  <c r="X246" i="7"/>
  <c r="T167" i="7"/>
  <c r="S168" i="7"/>
  <c r="Z241" i="7"/>
  <c r="V191" i="7"/>
  <c r="T56" i="7"/>
  <c r="Y237" i="7"/>
  <c r="CW238" i="7"/>
  <c r="S50" i="7"/>
  <c r="U185" i="7"/>
  <c r="T186" i="7"/>
  <c r="DD232" i="7"/>
  <c r="AF231" i="7"/>
  <c r="W246" i="7"/>
  <c r="T61" i="7"/>
  <c r="V196" i="7"/>
  <c r="AD233" i="7"/>
  <c r="DB234" i="7"/>
  <c r="U48" i="7"/>
  <c r="AW158" i="7"/>
  <c r="AU23" i="7"/>
  <c r="V240" i="7"/>
  <c r="CT241" i="7"/>
  <c r="BC158" i="7"/>
  <c r="BA23" i="7"/>
  <c r="AX158" i="7"/>
  <c r="AV23" i="7"/>
  <c r="CW239" i="7"/>
  <c r="Y238" i="7"/>
  <c r="AD157" i="7"/>
  <c r="AB22" i="7"/>
  <c r="T51" i="7"/>
  <c r="AP23" i="7"/>
  <c r="AR158" i="7"/>
  <c r="T45" i="7"/>
  <c r="V180" i="7"/>
  <c r="S66" i="7"/>
  <c r="U201" i="7"/>
  <c r="U55" i="7"/>
  <c r="W190" i="7"/>
  <c r="Y242" i="7"/>
  <c r="CW243" i="7"/>
  <c r="CX245" i="7" s="1"/>
  <c r="V61" i="7"/>
  <c r="BL23" i="7"/>
  <c r="BN158" i="7"/>
  <c r="BN24" i="7" s="1"/>
  <c r="X239" i="7"/>
  <c r="CV240" i="7"/>
  <c r="BK24" i="7"/>
  <c r="BM159" i="7"/>
  <c r="AM23" i="7"/>
  <c r="AO158" i="7"/>
  <c r="X189" i="7"/>
  <c r="V54" i="7"/>
  <c r="DC233" i="7"/>
  <c r="AE232" i="7"/>
  <c r="AG162" i="7"/>
  <c r="AF232" i="7"/>
  <c r="DD233" i="7"/>
  <c r="BF159" i="7"/>
  <c r="BD24" i="7"/>
  <c r="BM23" i="7"/>
  <c r="BO158" i="7"/>
  <c r="BO24" i="7" s="1"/>
  <c r="X238" i="7"/>
  <c r="CV239" i="7"/>
  <c r="CS242" i="7"/>
  <c r="U241" i="7"/>
  <c r="AG231" i="7"/>
  <c r="DE232" i="7"/>
  <c r="AI231" i="7"/>
  <c r="DG232" i="7"/>
  <c r="AK232" i="7" s="1"/>
  <c r="W240" i="7"/>
  <c r="CU241" i="7"/>
  <c r="AL159" i="7"/>
  <c r="AJ24" i="7"/>
  <c r="AD158" i="7"/>
  <c r="K13" i="22"/>
  <c r="K38" i="22"/>
  <c r="J30" i="10"/>
  <c r="L30" i="10" s="1"/>
  <c r="K23" i="10"/>
  <c r="K24" i="10"/>
  <c r="E23" i="10"/>
  <c r="Q15" i="10"/>
  <c r="AA168" i="7" l="1"/>
  <c r="AC169" i="7" s="1"/>
  <c r="AE170" i="7" s="1"/>
  <c r="AC235" i="7"/>
  <c r="X166" i="7"/>
  <c r="AG232" i="7"/>
  <c r="DE233" i="7"/>
  <c r="V64" i="7"/>
  <c r="X199" i="7"/>
  <c r="X65" i="7" s="1"/>
  <c r="J501" i="25"/>
  <c r="U500" i="25"/>
  <c r="X174" i="7"/>
  <c r="V168" i="7"/>
  <c r="Y173" i="7"/>
  <c r="X176" i="7"/>
  <c r="X42" i="7" s="1"/>
  <c r="H1661" i="25"/>
  <c r="H1679" i="25"/>
  <c r="H1660" i="25"/>
  <c r="H2215" i="25"/>
  <c r="H2223" i="25"/>
  <c r="H2227" i="25"/>
  <c r="H2231" i="25"/>
  <c r="H2235" i="25"/>
  <c r="H2259" i="25"/>
  <c r="H2218" i="25"/>
  <c r="H2224" i="25"/>
  <c r="H2229" i="25"/>
  <c r="H2234" i="25"/>
  <c r="H2261" i="25"/>
  <c r="H2217" i="25"/>
  <c r="H2225" i="25"/>
  <c r="H2260" i="25"/>
  <c r="H2220" i="25"/>
  <c r="H2226" i="25"/>
  <c r="H2262" i="25"/>
  <c r="H3592" i="25"/>
  <c r="H2222" i="25"/>
  <c r="H2216" i="25"/>
  <c r="H2228" i="25"/>
  <c r="H2230" i="25"/>
  <c r="H3593" i="25"/>
  <c r="H862" i="25"/>
  <c r="H2267" i="25"/>
  <c r="H2279" i="25"/>
  <c r="H2277" i="25"/>
  <c r="H2268" i="25"/>
  <c r="H2269" i="25"/>
  <c r="H2276" i="25"/>
  <c r="H2280" i="25"/>
  <c r="H2219" i="25"/>
  <c r="H2263" i="25"/>
  <c r="H2266" i="25"/>
  <c r="H3590" i="25"/>
  <c r="H2221" i="25"/>
  <c r="H2265" i="25"/>
  <c r="H2258" i="25"/>
  <c r="Y166" i="7"/>
  <c r="AA167" i="7" s="1"/>
  <c r="AC168" i="7" s="1"/>
  <c r="H2255" i="25"/>
  <c r="H2256" i="25"/>
  <c r="H2253" i="25"/>
  <c r="H2264" i="25"/>
  <c r="H2252" i="25"/>
  <c r="H3589" i="25"/>
  <c r="H2257" i="25"/>
  <c r="AB170" i="7"/>
  <c r="AD171" i="7" s="1"/>
  <c r="AF172" i="7" s="1"/>
  <c r="H2185" i="25"/>
  <c r="H3594" i="25"/>
  <c r="H3599" i="25"/>
  <c r="H3600" i="25"/>
  <c r="H911" i="25"/>
  <c r="H912" i="25"/>
  <c r="AE163" i="7"/>
  <c r="V41" i="7"/>
  <c r="AA163" i="7"/>
  <c r="H417" i="25"/>
  <c r="H415" i="25"/>
  <c r="H416" i="25"/>
  <c r="BO159" i="7"/>
  <c r="BO25" i="7" s="1"/>
  <c r="H405" i="25"/>
  <c r="H403" i="25"/>
  <c r="H398" i="25"/>
  <c r="W167" i="7"/>
  <c r="Y168" i="7" s="1"/>
  <c r="AD160" i="7"/>
  <c r="AB162" i="7"/>
  <c r="AG165" i="7"/>
  <c r="AI163" i="7"/>
  <c r="AJ162" i="7"/>
  <c r="AC161" i="7"/>
  <c r="BD23" i="7"/>
  <c r="BF158" i="7"/>
  <c r="AK161" i="7"/>
  <c r="AW23" i="7"/>
  <c r="AY158" i="7"/>
  <c r="X167" i="7"/>
  <c r="AF159" i="7"/>
  <c r="AB245" i="7"/>
  <c r="AB242" i="7"/>
  <c r="BI159" i="7"/>
  <c r="BG24" i="7"/>
  <c r="W175" i="7"/>
  <c r="V176" i="7"/>
  <c r="BB159" i="7"/>
  <c r="AZ24" i="7"/>
  <c r="AB237" i="7"/>
  <c r="CZ238" i="7"/>
  <c r="BK159" i="7"/>
  <c r="BI24" i="7"/>
  <c r="AD237" i="7"/>
  <c r="DB238" i="7"/>
  <c r="DC236" i="7"/>
  <c r="AE235" i="7"/>
  <c r="Y241" i="7"/>
  <c r="CW242" i="7"/>
  <c r="DG233" i="7"/>
  <c r="AK233" i="7" s="1"/>
  <c r="AI232" i="7"/>
  <c r="Z239" i="7"/>
  <c r="CX240" i="7"/>
  <c r="CX241" i="7"/>
  <c r="Z240" i="7"/>
  <c r="V46" i="7"/>
  <c r="X181" i="7"/>
  <c r="AA239" i="7"/>
  <c r="CY240" i="7"/>
  <c r="DF233" i="7"/>
  <c r="AJ233" i="7" s="1"/>
  <c r="AH232" i="7"/>
  <c r="AI158" i="7"/>
  <c r="AG23" i="7"/>
  <c r="T68" i="7"/>
  <c r="V203" i="7"/>
  <c r="U47" i="7"/>
  <c r="W182" i="7"/>
  <c r="T43" i="7"/>
  <c r="V178" i="7"/>
  <c r="U179" i="7"/>
  <c r="U53" i="7"/>
  <c r="AS159" i="7"/>
  <c r="AQ24" i="7"/>
  <c r="U63" i="7"/>
  <c r="W198" i="7"/>
  <c r="AM159" i="7"/>
  <c r="AK24" i="7"/>
  <c r="X242" i="7"/>
  <c r="CV243" i="7"/>
  <c r="AD164" i="7"/>
  <c r="AC165" i="7"/>
  <c r="T59" i="7"/>
  <c r="V194" i="7"/>
  <c r="U195" i="7"/>
  <c r="W45" i="7"/>
  <c r="AM24" i="7"/>
  <c r="H2274" i="25" s="1"/>
  <c r="AO159" i="7"/>
  <c r="AL25" i="7"/>
  <c r="AN160" i="7"/>
  <c r="AG233" i="7"/>
  <c r="DE234" i="7"/>
  <c r="AA238" i="7"/>
  <c r="CY239" i="7"/>
  <c r="V183" i="7"/>
  <c r="T48" i="7"/>
  <c r="U184" i="7"/>
  <c r="AA240" i="7"/>
  <c r="CY241" i="7"/>
  <c r="U68" i="7"/>
  <c r="W203" i="7"/>
  <c r="W61" i="7"/>
  <c r="DA238" i="7"/>
  <c r="AC237" i="7"/>
  <c r="T69" i="7"/>
  <c r="V204" i="7"/>
  <c r="V70" i="7" s="1"/>
  <c r="AF233" i="7"/>
  <c r="DD234" i="7"/>
  <c r="BF25" i="7"/>
  <c r="H34" i="25" s="1"/>
  <c r="BH160" i="7"/>
  <c r="X55" i="7"/>
  <c r="Y191" i="7"/>
  <c r="W56" i="7"/>
  <c r="AR24" i="7"/>
  <c r="AT159" i="7"/>
  <c r="DD235" i="7"/>
  <c r="AF234" i="7"/>
  <c r="AE160" i="7"/>
  <c r="U169" i="7"/>
  <c r="T170" i="7"/>
  <c r="AF235" i="7"/>
  <c r="DD236" i="7"/>
  <c r="Z164" i="7"/>
  <c r="AB165" i="7" s="1"/>
  <c r="Y165" i="7"/>
  <c r="AD235" i="7"/>
  <c r="DB236" i="7"/>
  <c r="W177" i="7"/>
  <c r="U42" i="7"/>
  <c r="U244" i="7"/>
  <c r="CS245" i="7"/>
  <c r="Y201" i="7"/>
  <c r="W66" i="7"/>
  <c r="DC237" i="7"/>
  <c r="AE236" i="7"/>
  <c r="BL158" i="7"/>
  <c r="BJ23" i="7"/>
  <c r="BA24" i="7"/>
  <c r="BC159" i="7"/>
  <c r="AV159" i="7"/>
  <c r="AT24" i="7"/>
  <c r="Y240" i="7"/>
  <c r="CW241" i="7"/>
  <c r="W193" i="7"/>
  <c r="U58" i="7"/>
  <c r="BG159" i="7"/>
  <c r="BE24" i="7"/>
  <c r="T245" i="7"/>
  <c r="CR246" i="7"/>
  <c r="CQ247" i="7"/>
  <c r="U247" i="7" s="1"/>
  <c r="DB237" i="7"/>
  <c r="AD236" i="7"/>
  <c r="AC236" i="7"/>
  <c r="DA237" i="7"/>
  <c r="S65" i="7"/>
  <c r="U200" i="7"/>
  <c r="T201" i="7"/>
  <c r="AG234" i="7"/>
  <c r="DE235" i="7"/>
  <c r="U46" i="7"/>
  <c r="H1515" i="25" s="1"/>
  <c r="W181" i="7"/>
  <c r="V182" i="7"/>
  <c r="AL24" i="7"/>
  <c r="AN159" i="7"/>
  <c r="AU159" i="7"/>
  <c r="AS24" i="7"/>
  <c r="H913" i="25" s="1"/>
  <c r="Y172" i="7"/>
  <c r="X173" i="7"/>
  <c r="V67" i="7"/>
  <c r="X202" i="7"/>
  <c r="AU24" i="7"/>
  <c r="AW159" i="7"/>
  <c r="CU243" i="7"/>
  <c r="W242" i="7"/>
  <c r="DF234" i="7"/>
  <c r="AJ234" i="7" s="1"/>
  <c r="AH233" i="7"/>
  <c r="AA243" i="7"/>
  <c r="CY244" i="7"/>
  <c r="CZ246" i="7" s="1"/>
  <c r="U67" i="7"/>
  <c r="W202" i="7"/>
  <c r="X241" i="7"/>
  <c r="CV242" i="7"/>
  <c r="V62" i="7"/>
  <c r="X197" i="7"/>
  <c r="W186" i="7"/>
  <c r="U51" i="7"/>
  <c r="AF166" i="7"/>
  <c r="AE167" i="7"/>
  <c r="V243" i="7"/>
  <c r="CT244" i="7"/>
  <c r="W243" i="7"/>
  <c r="CU244" i="7"/>
  <c r="CT245" i="7"/>
  <c r="BJ159" i="7"/>
  <c r="BH24" i="7"/>
  <c r="AN23" i="7"/>
  <c r="AP158" i="7"/>
  <c r="CZ239" i="7"/>
  <c r="AB238" i="7"/>
  <c r="DC235" i="7"/>
  <c r="AE234" i="7"/>
  <c r="AA246" i="7"/>
  <c r="CY247" i="7"/>
  <c r="AC247" i="7" s="1"/>
  <c r="AO24" i="7"/>
  <c r="AQ159" i="7"/>
  <c r="BO160" i="7"/>
  <c r="BO26" i="7" s="1"/>
  <c r="BM25" i="7"/>
  <c r="AH164" i="7"/>
  <c r="AF158" i="7"/>
  <c r="AD23" i="7"/>
  <c r="AX24" i="7"/>
  <c r="AZ159" i="7"/>
  <c r="BC24" i="7"/>
  <c r="BE159" i="7"/>
  <c r="AY159" i="7"/>
  <c r="AW24" i="7"/>
  <c r="T52" i="7"/>
  <c r="V187" i="7"/>
  <c r="U188" i="7"/>
  <c r="V57" i="7"/>
  <c r="X192" i="7"/>
  <c r="U204" i="7"/>
  <c r="U70" i="7" s="1"/>
  <c r="S69" i="7"/>
  <c r="AA171" i="7"/>
  <c r="Z172" i="7"/>
  <c r="V189" i="7"/>
  <c r="T54" i="7"/>
  <c r="U190" i="7"/>
  <c r="AV24" i="7"/>
  <c r="AX159" i="7"/>
  <c r="AB239" i="7"/>
  <c r="CZ240" i="7"/>
  <c r="AG158" i="7"/>
  <c r="AE23" i="7"/>
  <c r="BB24" i="7"/>
  <c r="BD159" i="7"/>
  <c r="AL160" i="7"/>
  <c r="AJ25" i="7"/>
  <c r="V199" i="7"/>
  <c r="T64" i="7"/>
  <c r="AN24" i="7"/>
  <c r="AP159" i="7"/>
  <c r="V66" i="7"/>
  <c r="V50" i="7"/>
  <c r="V45" i="7"/>
  <c r="BL159" i="7"/>
  <c r="BJ24" i="7"/>
  <c r="AC238" i="7"/>
  <c r="DA239" i="7"/>
  <c r="AE159" i="7"/>
  <c r="K11" i="22"/>
  <c r="K37" i="22" a="1"/>
  <c r="K37" i="22" s="1"/>
  <c r="K10" i="22" s="1"/>
  <c r="M15" i="21" s="1"/>
  <c r="M17" i="21" s="1"/>
  <c r="M18" i="21" s="1"/>
  <c r="K30" i="10"/>
  <c r="O30" i="10"/>
  <c r="N30" i="10"/>
  <c r="D34" i="11"/>
  <c r="D33" i="11"/>
  <c r="Q9" i="10"/>
  <c r="D40" i="1"/>
  <c r="D14" i="11"/>
  <c r="AI233" i="7" l="1"/>
  <c r="DG234" i="7"/>
  <c r="AK234" i="7" s="1"/>
  <c r="AC172" i="7"/>
  <c r="AE173" i="7" s="1"/>
  <c r="AG174" i="7" s="1"/>
  <c r="J502" i="25"/>
  <c r="U501" i="25"/>
  <c r="Z175" i="7"/>
  <c r="Z41" i="7" s="1"/>
  <c r="H1921" i="25" s="1"/>
  <c r="W170" i="7"/>
  <c r="H1542" i="25"/>
  <c r="H1544" i="25"/>
  <c r="H2295" i="25"/>
  <c r="H2303" i="25"/>
  <c r="H2288" i="25"/>
  <c r="H2293" i="25"/>
  <c r="H2298" i="25"/>
  <c r="H2289" i="25"/>
  <c r="H2296" i="25"/>
  <c r="H2302" i="25"/>
  <c r="H2297" i="25"/>
  <c r="H2292" i="25"/>
  <c r="H2294" i="25"/>
  <c r="H1670" i="25"/>
  <c r="H1678" i="25"/>
  <c r="H1677" i="25"/>
  <c r="H1664" i="25"/>
  <c r="H1676" i="25"/>
  <c r="H3503" i="25"/>
  <c r="H1671" i="25"/>
  <c r="H1675" i="25"/>
  <c r="H916" i="25"/>
  <c r="H914" i="25"/>
  <c r="H1610" i="25"/>
  <c r="H1666" i="25"/>
  <c r="H1608" i="25"/>
  <c r="H1611" i="25"/>
  <c r="H1516" i="25"/>
  <c r="H1517" i="25"/>
  <c r="H3587" i="25"/>
  <c r="H3636" i="25"/>
  <c r="H3588" i="25"/>
  <c r="H2281" i="25"/>
  <c r="H2273" i="25"/>
  <c r="H2270" i="25"/>
  <c r="H1541" i="25"/>
  <c r="H1546" i="25"/>
  <c r="H1545" i="25"/>
  <c r="H1539" i="25"/>
  <c r="H1548" i="25"/>
  <c r="H861" i="25"/>
  <c r="H2271" i="25"/>
  <c r="H2275" i="25"/>
  <c r="H2283" i="25"/>
  <c r="H2272" i="25"/>
  <c r="H2282" i="25"/>
  <c r="H2284" i="25"/>
  <c r="H2285" i="25"/>
  <c r="H2286" i="25"/>
  <c r="H1594" i="25"/>
  <c r="H1593" i="25"/>
  <c r="H1597" i="25"/>
  <c r="Z168" i="7"/>
  <c r="AB169" i="7" s="1"/>
  <c r="AD170" i="7" s="1"/>
  <c r="AF165" i="7"/>
  <c r="AJ165" i="7"/>
  <c r="X169" i="7"/>
  <c r="AD163" i="7"/>
  <c r="AH167" i="7"/>
  <c r="H407" i="25"/>
  <c r="H408" i="25"/>
  <c r="H406" i="25"/>
  <c r="AC164" i="7"/>
  <c r="AD166" i="7" s="1"/>
  <c r="AL163" i="7"/>
  <c r="AL29" i="7" s="1"/>
  <c r="AE162" i="7"/>
  <c r="AK164" i="7"/>
  <c r="BF24" i="7"/>
  <c r="BH159" i="7"/>
  <c r="Y169" i="7"/>
  <c r="BA159" i="7"/>
  <c r="AY24" i="7"/>
  <c r="AG160" i="7"/>
  <c r="AD246" i="7"/>
  <c r="AI159" i="7"/>
  <c r="AG24" i="7"/>
  <c r="AY25" i="7"/>
  <c r="BA160" i="7"/>
  <c r="CV246" i="7"/>
  <c r="X245" i="7"/>
  <c r="CU247" i="7"/>
  <c r="Y247" i="7" s="1"/>
  <c r="W52" i="7"/>
  <c r="Y243" i="7"/>
  <c r="CW244" i="7"/>
  <c r="AI235" i="7"/>
  <c r="DG236" i="7"/>
  <c r="AK236" i="7" s="1"/>
  <c r="AF237" i="7"/>
  <c r="DD238" i="7"/>
  <c r="AA241" i="7"/>
  <c r="CY242" i="7"/>
  <c r="BL24" i="7"/>
  <c r="BN159" i="7"/>
  <c r="BN25" i="7" s="1"/>
  <c r="Y67" i="7"/>
  <c r="W43" i="7"/>
  <c r="Y178" i="7"/>
  <c r="AC241" i="7"/>
  <c r="DA242" i="7"/>
  <c r="X184" i="7"/>
  <c r="V49" i="7"/>
  <c r="AI234" i="7"/>
  <c r="DG235" i="7"/>
  <c r="AK235" i="7" s="1"/>
  <c r="AO25" i="7"/>
  <c r="H3736" i="25" s="1"/>
  <c r="AQ160" i="7"/>
  <c r="W48" i="7"/>
  <c r="Y183" i="7"/>
  <c r="Y176" i="7"/>
  <c r="W41" i="7"/>
  <c r="BF160" i="7"/>
  <c r="BD25" i="7"/>
  <c r="DB241" i="7"/>
  <c r="AD240" i="7"/>
  <c r="U56" i="7"/>
  <c r="W191" i="7"/>
  <c r="V192" i="7"/>
  <c r="V53" i="7"/>
  <c r="X188" i="7"/>
  <c r="BG160" i="7"/>
  <c r="BE25" i="7"/>
  <c r="AD239" i="7"/>
  <c r="DB240" i="7"/>
  <c r="BL160" i="7"/>
  <c r="BJ25" i="7"/>
  <c r="Y244" i="7"/>
  <c r="CW245" i="7"/>
  <c r="AG168" i="7"/>
  <c r="AF169" i="7"/>
  <c r="X63" i="7"/>
  <c r="W68" i="7"/>
  <c r="X68" i="7"/>
  <c r="Z203" i="7"/>
  <c r="V48" i="7"/>
  <c r="X183" i="7"/>
  <c r="W184" i="7"/>
  <c r="AE237" i="7"/>
  <c r="DC238" i="7"/>
  <c r="BG25" i="7"/>
  <c r="H33" i="25" s="1"/>
  <c r="BI160" i="7"/>
  <c r="BC25" i="7"/>
  <c r="BE160" i="7"/>
  <c r="W245" i="7"/>
  <c r="CU246" i="7"/>
  <c r="DD237" i="7"/>
  <c r="AF236" i="7"/>
  <c r="AH236" i="7"/>
  <c r="DF237" i="7"/>
  <c r="AJ237" i="7" s="1"/>
  <c r="AH235" i="7"/>
  <c r="DF236" i="7"/>
  <c r="AJ236" i="7" s="1"/>
  <c r="Y57" i="7"/>
  <c r="AH160" i="7"/>
  <c r="DA240" i="7"/>
  <c r="AC239" i="7"/>
  <c r="AE166" i="7"/>
  <c r="AG167" i="7" s="1"/>
  <c r="AD167" i="7"/>
  <c r="U45" i="7"/>
  <c r="W180" i="7"/>
  <c r="V181" i="7"/>
  <c r="CZ243" i="7"/>
  <c r="DA245" i="7" s="1"/>
  <c r="AB173" i="7"/>
  <c r="AD174" i="7" s="1"/>
  <c r="AF175" i="7" s="1"/>
  <c r="AA174" i="7"/>
  <c r="BN160" i="7"/>
  <c r="BN26" i="7" s="1"/>
  <c r="BL25" i="7"/>
  <c r="V65" i="7"/>
  <c r="X200" i="7"/>
  <c r="Z193" i="7"/>
  <c r="X58" i="7"/>
  <c r="AH159" i="7"/>
  <c r="AF24" i="7"/>
  <c r="AS160" i="7"/>
  <c r="AQ25" i="7"/>
  <c r="AP24" i="7"/>
  <c r="AR159" i="7"/>
  <c r="AF161" i="7"/>
  <c r="AU25" i="7"/>
  <c r="AW160" i="7"/>
  <c r="W47" i="7"/>
  <c r="T67" i="7"/>
  <c r="V202" i="7"/>
  <c r="U203" i="7"/>
  <c r="V246" i="7"/>
  <c r="CT247" i="7"/>
  <c r="X247" i="7" s="1"/>
  <c r="DE238" i="7"/>
  <c r="AG237" i="7"/>
  <c r="AV160" i="7"/>
  <c r="AT25" i="7"/>
  <c r="H915" i="25" s="1"/>
  <c r="AH234" i="7"/>
  <c r="DF235" i="7"/>
  <c r="AJ235" i="7" s="1"/>
  <c r="W69" i="7"/>
  <c r="Y204" i="7"/>
  <c r="Y70" i="7" s="1"/>
  <c r="U50" i="7"/>
  <c r="W185" i="7"/>
  <c r="V186" i="7"/>
  <c r="AN26" i="7"/>
  <c r="AP161" i="7"/>
  <c r="U61" i="7"/>
  <c r="W196" i="7"/>
  <c r="V197" i="7"/>
  <c r="AO160" i="7"/>
  <c r="AM25" i="7"/>
  <c r="AU160" i="7"/>
  <c r="AS25" i="7"/>
  <c r="X179" i="7"/>
  <c r="V44" i="7"/>
  <c r="H1543" i="25" s="1"/>
  <c r="AI166" i="7"/>
  <c r="AK159" i="7"/>
  <c r="AI24" i="7"/>
  <c r="CZ242" i="7"/>
  <c r="AB241" i="7"/>
  <c r="AG236" i="7"/>
  <c r="DE237" i="7"/>
  <c r="BM160" i="7"/>
  <c r="BK25" i="7"/>
  <c r="BD160" i="7"/>
  <c r="BB25" i="7"/>
  <c r="BI25" i="7"/>
  <c r="BK160" i="7"/>
  <c r="AL26" i="7"/>
  <c r="AN161" i="7"/>
  <c r="U54" i="7"/>
  <c r="W189" i="7"/>
  <c r="V190" i="7"/>
  <c r="AE239" i="7"/>
  <c r="DC240" i="7"/>
  <c r="AR160" i="7"/>
  <c r="AP25" i="7"/>
  <c r="AX25" i="7"/>
  <c r="H54" i="25" s="1"/>
  <c r="AZ160" i="7"/>
  <c r="V55" i="7"/>
  <c r="AZ25" i="7"/>
  <c r="H56" i="25" s="1"/>
  <c r="BB160" i="7"/>
  <c r="DE236" i="7"/>
  <c r="AG235" i="7"/>
  <c r="CV245" i="7"/>
  <c r="X244" i="7"/>
  <c r="CX243" i="7"/>
  <c r="Z242" i="7"/>
  <c r="AC244" i="7"/>
  <c r="AY160" i="7"/>
  <c r="AW25" i="7"/>
  <c r="Z174" i="7"/>
  <c r="Y175" i="7"/>
  <c r="AN25" i="7"/>
  <c r="H3735" i="25" s="1"/>
  <c r="AP160" i="7"/>
  <c r="U66" i="7"/>
  <c r="W201" i="7"/>
  <c r="W59" i="7"/>
  <c r="Y194" i="7"/>
  <c r="AX160" i="7"/>
  <c r="AV25" i="7"/>
  <c r="AA166" i="7"/>
  <c r="AC167" i="7" s="1"/>
  <c r="Z167" i="7"/>
  <c r="V171" i="7"/>
  <c r="U172" i="7"/>
  <c r="AG161" i="7"/>
  <c r="AF162" i="7"/>
  <c r="BJ161" i="7"/>
  <c r="BH26" i="7"/>
  <c r="H31" i="25" s="1"/>
  <c r="AE238" i="7"/>
  <c r="DC239" i="7"/>
  <c r="AM162" i="7"/>
  <c r="V60" i="7"/>
  <c r="X195" i="7"/>
  <c r="CX244" i="7"/>
  <c r="Z243" i="7"/>
  <c r="Y199" i="7"/>
  <c r="W64" i="7"/>
  <c r="X204" i="7"/>
  <c r="X70" i="7" s="1"/>
  <c r="V69" i="7"/>
  <c r="AC240" i="7"/>
  <c r="DA241" i="7"/>
  <c r="X47" i="7"/>
  <c r="AB240" i="7"/>
  <c r="CZ241" i="7"/>
  <c r="AA242" i="7"/>
  <c r="CY243" i="7"/>
  <c r="DD239" i="7"/>
  <c r="AF238" i="7"/>
  <c r="DB239" i="7"/>
  <c r="AD238" i="7"/>
  <c r="V42" i="7"/>
  <c r="X177" i="7"/>
  <c r="W178" i="7"/>
  <c r="M19" i="21"/>
  <c r="M20" i="21" s="1"/>
  <c r="M23" i="21" s="1"/>
  <c r="D15" i="11"/>
  <c r="D45" i="1"/>
  <c r="H1926" i="25" l="1"/>
  <c r="H531" i="25"/>
  <c r="H3156" i="25"/>
  <c r="H1922" i="25"/>
  <c r="H3509" i="25"/>
  <c r="H3017" i="25"/>
  <c r="H546" i="25"/>
  <c r="H3508" i="25"/>
  <c r="H1927" i="25"/>
  <c r="H3020" i="25"/>
  <c r="H3018" i="25"/>
  <c r="H1925" i="25"/>
  <c r="H510" i="25"/>
  <c r="H3157" i="25"/>
  <c r="H3155" i="25"/>
  <c r="H3019" i="25"/>
  <c r="K12" i="22"/>
  <c r="X172" i="7"/>
  <c r="Y171" i="7"/>
  <c r="J503" i="25"/>
  <c r="U502" i="25"/>
  <c r="H1674" i="25"/>
  <c r="H1589" i="25"/>
  <c r="H1601" i="25"/>
  <c r="H1609" i="25"/>
  <c r="H1600" i="25"/>
  <c r="H1590" i="25"/>
  <c r="H3501" i="25"/>
  <c r="H1520" i="25"/>
  <c r="H1519" i="25"/>
  <c r="H1521" i="25"/>
  <c r="H1604" i="25"/>
  <c r="H1587" i="25"/>
  <c r="H1603" i="25"/>
  <c r="AA170" i="7"/>
  <c r="AC171" i="7" s="1"/>
  <c r="AE172" i="7" s="1"/>
  <c r="AF164" i="7"/>
  <c r="H2239" i="25"/>
  <c r="H2243" i="25"/>
  <c r="H2247" i="25"/>
  <c r="H2251" i="25"/>
  <c r="H2240" i="25"/>
  <c r="H2245" i="25"/>
  <c r="H2250" i="25"/>
  <c r="H2238" i="25"/>
  <c r="H2246" i="25"/>
  <c r="H3598" i="25"/>
  <c r="H2241" i="25"/>
  <c r="H2248" i="25"/>
  <c r="H2254" i="25"/>
  <c r="H2249" i="25"/>
  <c r="H3597" i="25"/>
  <c r="H2237" i="25"/>
  <c r="H2244" i="25"/>
  <c r="H3596" i="25"/>
  <c r="H2242" i="25"/>
  <c r="H3595" i="25"/>
  <c r="H2291" i="25"/>
  <c r="H2307" i="25"/>
  <c r="H2311" i="25"/>
  <c r="H2315" i="25"/>
  <c r="H2309" i="25"/>
  <c r="H2314" i="25"/>
  <c r="H2346" i="25"/>
  <c r="H2310" i="25"/>
  <c r="H2317" i="25"/>
  <c r="H3666" i="25"/>
  <c r="H3722" i="25"/>
  <c r="H2290" i="25"/>
  <c r="H2305" i="25"/>
  <c r="H2312" i="25"/>
  <c r="H2318" i="25"/>
  <c r="H2306" i="25"/>
  <c r="H2321" i="25"/>
  <c r="H3640" i="25"/>
  <c r="H3645" i="25"/>
  <c r="H3667" i="25"/>
  <c r="H2308" i="25"/>
  <c r="H3653" i="25"/>
  <c r="H2313" i="25"/>
  <c r="H2316" i="25"/>
  <c r="H3643" i="25"/>
  <c r="H3671" i="25"/>
  <c r="H3721" i="25"/>
  <c r="H3637" i="25"/>
  <c r="H3644" i="25"/>
  <c r="H3652" i="25"/>
  <c r="H3730" i="25"/>
  <c r="H3731" i="25"/>
  <c r="H3732" i="25"/>
  <c r="AL166" i="7"/>
  <c r="AL32" i="7" s="1"/>
  <c r="AI161" i="7"/>
  <c r="Z170" i="7"/>
  <c r="AA172" i="7" s="1"/>
  <c r="AI169" i="7"/>
  <c r="AN164" i="7"/>
  <c r="AN30" i="7" s="1"/>
  <c r="AK167" i="7"/>
  <c r="AE165" i="7"/>
  <c r="AF167" i="7" s="1"/>
  <c r="H397" i="25"/>
  <c r="H395" i="25"/>
  <c r="H51" i="25"/>
  <c r="H53" i="25"/>
  <c r="H55" i="25"/>
  <c r="H52" i="25"/>
  <c r="AE168" i="7"/>
  <c r="AM165" i="7"/>
  <c r="BJ160" i="7"/>
  <c r="BH25" i="7"/>
  <c r="H32" i="25" s="1"/>
  <c r="Z171" i="7"/>
  <c r="AH162" i="7"/>
  <c r="BA25" i="7"/>
  <c r="BC160" i="7"/>
  <c r="AI162" i="7"/>
  <c r="AJ161" i="7"/>
  <c r="AI236" i="7"/>
  <c r="DG237" i="7"/>
  <c r="AK237" i="7" s="1"/>
  <c r="AI237" i="7"/>
  <c r="DG238" i="7"/>
  <c r="AK238" i="7" s="1"/>
  <c r="X45" i="7"/>
  <c r="Z180" i="7"/>
  <c r="W51" i="7"/>
  <c r="Y186" i="7"/>
  <c r="AV26" i="7"/>
  <c r="H917" i="25" s="1"/>
  <c r="AX161" i="7"/>
  <c r="DC241" i="7"/>
  <c r="AE240" i="7"/>
  <c r="CW247" i="7"/>
  <c r="AA247" i="7" s="1"/>
  <c r="Y246" i="7"/>
  <c r="BK161" i="7"/>
  <c r="BI26" i="7"/>
  <c r="W50" i="7"/>
  <c r="Y185" i="7"/>
  <c r="X186" i="7"/>
  <c r="BN161" i="7"/>
  <c r="BN27" i="7" s="1"/>
  <c r="BL26" i="7"/>
  <c r="BG26" i="7"/>
  <c r="H35" i="25" s="1"/>
  <c r="BI161" i="7"/>
  <c r="V58" i="7"/>
  <c r="X193" i="7"/>
  <c r="W194" i="7"/>
  <c r="DD242" i="7"/>
  <c r="AH242" i="7" s="1"/>
  <c r="AF241" i="7"/>
  <c r="Y42" i="7"/>
  <c r="H523" i="25" s="1"/>
  <c r="AA177" i="7"/>
  <c r="X50" i="7"/>
  <c r="Z185" i="7"/>
  <c r="W44" i="7"/>
  <c r="Y179" i="7"/>
  <c r="X180" i="7"/>
  <c r="AF239" i="7"/>
  <c r="DD240" i="7"/>
  <c r="AB244" i="7"/>
  <c r="CZ245" i="7"/>
  <c r="DE240" i="7"/>
  <c r="AG239" i="7"/>
  <c r="W173" i="7"/>
  <c r="V174" i="7"/>
  <c r="Y202" i="7"/>
  <c r="W67" i="7"/>
  <c r="Y41" i="7"/>
  <c r="AA176" i="7"/>
  <c r="Z177" i="7"/>
  <c r="AA179" i="7" s="1"/>
  <c r="AE245" i="7"/>
  <c r="V56" i="7"/>
  <c r="X191" i="7"/>
  <c r="W192" i="7"/>
  <c r="BF161" i="7"/>
  <c r="BD26" i="7"/>
  <c r="AM160" i="7"/>
  <c r="AK25" i="7"/>
  <c r="AP27" i="7"/>
  <c r="AR162" i="7"/>
  <c r="U69" i="7"/>
  <c r="W204" i="7"/>
  <c r="W70" i="7" s="1"/>
  <c r="AJ168" i="7"/>
  <c r="AS26" i="7"/>
  <c r="AU161" i="7"/>
  <c r="Z59" i="7"/>
  <c r="AC175" i="7"/>
  <c r="AB176" i="7"/>
  <c r="AF168" i="7"/>
  <c r="AH169" i="7" s="1"/>
  <c r="AE169" i="7"/>
  <c r="X49" i="7"/>
  <c r="H359" i="25" s="1"/>
  <c r="CY246" i="7"/>
  <c r="AA245" i="7"/>
  <c r="AF240" i="7"/>
  <c r="DD241" i="7"/>
  <c r="X54" i="7"/>
  <c r="W57" i="7"/>
  <c r="Y49" i="7"/>
  <c r="H1508" i="25" s="1"/>
  <c r="DC243" i="7"/>
  <c r="AE242" i="7"/>
  <c r="Y44" i="7"/>
  <c r="H1579" i="25" s="1"/>
  <c r="DF239" i="7"/>
  <c r="AJ239" i="7" s="1"/>
  <c r="AH238" i="7"/>
  <c r="CX247" i="7"/>
  <c r="AB247" i="7" s="1"/>
  <c r="Z246" i="7"/>
  <c r="AK160" i="7"/>
  <c r="AI25" i="7"/>
  <c r="AC243" i="7"/>
  <c r="DA244" i="7"/>
  <c r="AM28" i="7"/>
  <c r="AO163" i="7"/>
  <c r="BL162" i="7"/>
  <c r="BJ27" i="7"/>
  <c r="BA161" i="7"/>
  <c r="AY26" i="7"/>
  <c r="AP162" i="7"/>
  <c r="AN27" i="7"/>
  <c r="X43" i="7"/>
  <c r="Z178" i="7"/>
  <c r="DB242" i="7"/>
  <c r="AD241" i="7"/>
  <c r="AE241" i="7"/>
  <c r="DC242" i="7"/>
  <c r="X61" i="7"/>
  <c r="Z196" i="7"/>
  <c r="AX26" i="7"/>
  <c r="AZ161" i="7"/>
  <c r="Z245" i="7"/>
  <c r="CX246" i="7"/>
  <c r="AR26" i="7"/>
  <c r="AT161" i="7"/>
  <c r="Y190" i="7"/>
  <c r="W55" i="7"/>
  <c r="BM161" i="7"/>
  <c r="BK26" i="7"/>
  <c r="AW161" i="7"/>
  <c r="AU26" i="7"/>
  <c r="H918" i="25" s="1"/>
  <c r="V63" i="7"/>
  <c r="X198" i="7"/>
  <c r="W199" i="7"/>
  <c r="DG239" i="7"/>
  <c r="AK239" i="7" s="1"/>
  <c r="AI238" i="7"/>
  <c r="X203" i="7"/>
  <c r="V68" i="7"/>
  <c r="AW26" i="7"/>
  <c r="AY161" i="7"/>
  <c r="AR25" i="7"/>
  <c r="AT160" i="7"/>
  <c r="Z201" i="7"/>
  <c r="X66" i="7"/>
  <c r="AH176" i="7"/>
  <c r="AF41" i="7"/>
  <c r="V47" i="7"/>
  <c r="H1514" i="25" s="1"/>
  <c r="X182" i="7"/>
  <c r="W183" i="7"/>
  <c r="BE26" i="7"/>
  <c r="BG161" i="7"/>
  <c r="DE239" i="7"/>
  <c r="AG238" i="7"/>
  <c r="AG163" i="7"/>
  <c r="BF26" i="7"/>
  <c r="BH161" i="7"/>
  <c r="BA26" i="7"/>
  <c r="BC161" i="7"/>
  <c r="DB247" i="7"/>
  <c r="AF247" i="7" s="1"/>
  <c r="CZ244" i="7"/>
  <c r="AB243" i="7"/>
  <c r="AO26" i="7"/>
  <c r="AQ161" i="7"/>
  <c r="AH239" i="7"/>
  <c r="DF240" i="7"/>
  <c r="AJ240" i="7" s="1"/>
  <c r="Y65" i="7"/>
  <c r="AH163" i="7"/>
  <c r="AG164" i="7"/>
  <c r="AB168" i="7"/>
  <c r="AD169" i="7" s="1"/>
  <c r="AA169" i="7"/>
  <c r="AA195" i="7"/>
  <c r="Y60" i="7"/>
  <c r="AR161" i="7"/>
  <c r="AP26" i="7"/>
  <c r="BB26" i="7"/>
  <c r="BD161" i="7"/>
  <c r="AZ26" i="7"/>
  <c r="BB161" i="7"/>
  <c r="AG240" i="7"/>
  <c r="DE241" i="7"/>
  <c r="BO161" i="7"/>
  <c r="BO27" i="7" s="1"/>
  <c r="BM26" i="7"/>
  <c r="AD242" i="7"/>
  <c r="DB243" i="7"/>
  <c r="W62" i="7"/>
  <c r="Y197" i="7"/>
  <c r="V52" i="7"/>
  <c r="X187" i="7"/>
  <c r="W188" i="7"/>
  <c r="AJ160" i="7"/>
  <c r="AH25" i="7"/>
  <c r="DB244" i="7"/>
  <c r="DC246" i="7" s="1"/>
  <c r="AD243" i="7"/>
  <c r="Y181" i="7"/>
  <c r="W46" i="7"/>
  <c r="DF238" i="7"/>
  <c r="AJ238" i="7" s="1"/>
  <c r="AH237" i="7"/>
  <c r="Z69" i="7"/>
  <c r="AH170" i="7"/>
  <c r="AG171" i="7"/>
  <c r="AQ26" i="7"/>
  <c r="AS161" i="7"/>
  <c r="AC242" i="7"/>
  <c r="DA243" i="7"/>
  <c r="AA244" i="7"/>
  <c r="CY245" i="7"/>
  <c r="N8" i="21"/>
  <c r="N9" i="21"/>
  <c r="K25" i="22"/>
  <c r="K65" i="22"/>
  <c r="K52" i="22"/>
  <c r="K39" i="22"/>
  <c r="D46" i="1"/>
  <c r="Z173" i="7" l="1"/>
  <c r="AB174" i="7" s="1"/>
  <c r="Y174" i="7"/>
  <c r="J504" i="25"/>
  <c r="U503" i="25"/>
  <c r="AB172" i="7"/>
  <c r="AD173" i="7" s="1"/>
  <c r="AF174" i="7" s="1"/>
  <c r="H2183" i="25"/>
  <c r="H2184" i="25"/>
  <c r="H3606" i="25"/>
  <c r="H3610" i="25"/>
  <c r="H3622" i="25"/>
  <c r="H3626" i="25"/>
  <c r="H3630" i="25"/>
  <c r="H3608" i="25"/>
  <c r="H3624" i="25"/>
  <c r="H3629" i="25"/>
  <c r="H3604" i="25"/>
  <c r="H3625" i="25"/>
  <c r="H3605" i="25"/>
  <c r="H3627" i="25"/>
  <c r="H3621" i="25"/>
  <c r="H3628" i="25"/>
  <c r="H3601" i="25"/>
  <c r="H3609" i="25"/>
  <c r="H3623" i="25"/>
  <c r="H3631" i="25"/>
  <c r="H2339" i="25"/>
  <c r="H2343" i="25"/>
  <c r="H2341" i="25"/>
  <c r="H2324" i="25"/>
  <c r="H3658" i="25"/>
  <c r="H3726" i="25"/>
  <c r="H2340" i="25"/>
  <c r="H3725" i="25"/>
  <c r="H3724" i="25"/>
  <c r="H2342" i="25"/>
  <c r="H3727" i="25"/>
  <c r="H3728" i="25"/>
  <c r="H3723" i="25"/>
  <c r="H3734" i="25"/>
  <c r="H3733" i="25"/>
  <c r="H3737" i="25"/>
  <c r="H536" i="25"/>
  <c r="H537" i="25"/>
  <c r="H534" i="25"/>
  <c r="H542" i="25"/>
  <c r="H3602" i="25"/>
  <c r="H3634" i="25"/>
  <c r="H3678" i="25"/>
  <c r="H3682" i="25"/>
  <c r="H3603" i="25"/>
  <c r="H3635" i="25"/>
  <c r="H3677" i="25"/>
  <c r="H3683" i="25"/>
  <c r="H3632" i="25"/>
  <c r="H3681" i="25"/>
  <c r="H3633" i="25"/>
  <c r="H3676" i="25"/>
  <c r="H3684" i="25"/>
  <c r="H3679" i="25"/>
  <c r="H3685" i="25"/>
  <c r="H3680" i="25"/>
  <c r="H2325" i="25"/>
  <c r="H3742" i="25"/>
  <c r="H3741" i="25"/>
  <c r="H3740" i="25"/>
  <c r="H3743" i="25"/>
  <c r="H1534" i="25"/>
  <c r="H1538" i="25"/>
  <c r="H1562" i="25"/>
  <c r="H1535" i="25"/>
  <c r="H1540" i="25"/>
  <c r="H1549" i="25"/>
  <c r="H1561" i="25"/>
  <c r="H1533" i="25"/>
  <c r="H1563" i="25"/>
  <c r="H1547" i="25"/>
  <c r="H1537" i="25"/>
  <c r="H852" i="25"/>
  <c r="H3974" i="25"/>
  <c r="H2351" i="25"/>
  <c r="H2411" i="25"/>
  <c r="H2419" i="25"/>
  <c r="H2421" i="25"/>
  <c r="H2353" i="25"/>
  <c r="H2420" i="25"/>
  <c r="H2422" i="25"/>
  <c r="H2414" i="25"/>
  <c r="H860" i="25"/>
  <c r="H2287" i="25"/>
  <c r="H2299" i="25"/>
  <c r="H2345" i="25"/>
  <c r="H2301" i="25"/>
  <c r="H2300" i="25"/>
  <c r="AJ163" i="7"/>
  <c r="AM168" i="7"/>
  <c r="AM34" i="7" s="1"/>
  <c r="H3958" i="25" s="1"/>
  <c r="AO166" i="7"/>
  <c r="AO32" i="7" s="1"/>
  <c r="H235" i="25" s="1"/>
  <c r="AP165" i="7"/>
  <c r="AP31" i="7" s="1"/>
  <c r="AG166" i="7"/>
  <c r="AH168" i="7" s="1"/>
  <c r="AJ171" i="7"/>
  <c r="AL169" i="7"/>
  <c r="AJ164" i="7"/>
  <c r="AN167" i="7"/>
  <c r="AN33" i="7" s="1"/>
  <c r="H45" i="25"/>
  <c r="H44" i="25"/>
  <c r="H43" i="25"/>
  <c r="H47" i="25"/>
  <c r="H48" i="25"/>
  <c r="H404" i="25"/>
  <c r="H396" i="25"/>
  <c r="H392" i="25"/>
  <c r="H37" i="25"/>
  <c r="H41" i="25"/>
  <c r="H40" i="25"/>
  <c r="H36" i="25"/>
  <c r="H42" i="25"/>
  <c r="AM31" i="7"/>
  <c r="AG169" i="7"/>
  <c r="AF170" i="7"/>
  <c r="H49" i="25"/>
  <c r="H50" i="25"/>
  <c r="AI164" i="7"/>
  <c r="BL161" i="7"/>
  <c r="BJ26" i="7"/>
  <c r="AK163" i="7"/>
  <c r="BC26" i="7"/>
  <c r="H46" i="25" s="1"/>
  <c r="BE161" i="7"/>
  <c r="AA173" i="7"/>
  <c r="AH165" i="7"/>
  <c r="Y47" i="7"/>
  <c r="H1522" i="25" s="1"/>
  <c r="AA182" i="7"/>
  <c r="Y63" i="7"/>
  <c r="AA198" i="7"/>
  <c r="AC170" i="7"/>
  <c r="AE171" i="7" s="1"/>
  <c r="AB171" i="7"/>
  <c r="AS162" i="7"/>
  <c r="AQ27" i="7"/>
  <c r="BJ162" i="7"/>
  <c r="BH27" i="7"/>
  <c r="AI239" i="7"/>
  <c r="DG240" i="7"/>
  <c r="AK240" i="7" s="1"/>
  <c r="Z67" i="7"/>
  <c r="X64" i="7"/>
  <c r="Z199" i="7"/>
  <c r="AB246" i="7"/>
  <c r="CZ247" i="7"/>
  <c r="AD247" i="7" s="1"/>
  <c r="BB162" i="7"/>
  <c r="AZ27" i="7"/>
  <c r="BC162" i="7"/>
  <c r="BA27" i="7"/>
  <c r="AM161" i="7"/>
  <c r="AK26" i="7"/>
  <c r="AG243" i="7"/>
  <c r="DE244" i="7"/>
  <c r="AG170" i="7"/>
  <c r="AI171" i="7" s="1"/>
  <c r="AF171" i="7"/>
  <c r="BH162" i="7"/>
  <c r="BF27" i="7"/>
  <c r="H38" i="25" s="1"/>
  <c r="AG246" i="7"/>
  <c r="AA180" i="7"/>
  <c r="Y45" i="7"/>
  <c r="AC178" i="7"/>
  <c r="AA43" i="7"/>
  <c r="W60" i="7"/>
  <c r="Y195" i="7"/>
  <c r="X196" i="7"/>
  <c r="X52" i="7"/>
  <c r="Z187" i="7"/>
  <c r="Y188" i="7"/>
  <c r="BK27" i="7"/>
  <c r="BM162" i="7"/>
  <c r="AG241" i="7"/>
  <c r="DE242" i="7"/>
  <c r="AE243" i="7"/>
  <c r="DC244" i="7"/>
  <c r="AI172" i="7"/>
  <c r="AH173" i="7"/>
  <c r="Y189" i="7"/>
  <c r="W54" i="7"/>
  <c r="X190" i="7"/>
  <c r="AT162" i="7"/>
  <c r="AR27" i="7"/>
  <c r="H3749" i="25" s="1"/>
  <c r="BG27" i="7"/>
  <c r="BI162" i="7"/>
  <c r="AV161" i="7"/>
  <c r="AT26" i="7"/>
  <c r="Y56" i="7"/>
  <c r="Z62" i="7"/>
  <c r="AB197" i="7"/>
  <c r="AE244" i="7"/>
  <c r="DC245" i="7"/>
  <c r="W58" i="7"/>
  <c r="Y193" i="7"/>
  <c r="X194" i="7"/>
  <c r="AH240" i="7"/>
  <c r="DF241" i="7"/>
  <c r="AJ241" i="7" s="1"/>
  <c r="X59" i="7"/>
  <c r="Y51" i="7"/>
  <c r="AZ162" i="7"/>
  <c r="AX27" i="7"/>
  <c r="Z46" i="7"/>
  <c r="AB181" i="7"/>
  <c r="AL161" i="7"/>
  <c r="AJ26" i="7"/>
  <c r="DD245" i="7"/>
  <c r="AF244" i="7"/>
  <c r="Z188" i="7"/>
  <c r="X53" i="7"/>
  <c r="AF243" i="7"/>
  <c r="DD244" i="7"/>
  <c r="DF243" i="7"/>
  <c r="AJ243" i="7" s="1"/>
  <c r="AI241" i="7"/>
  <c r="DG242" i="7"/>
  <c r="AK242" i="7" s="1"/>
  <c r="BF162" i="7"/>
  <c r="BD27" i="7"/>
  <c r="AI165" i="7"/>
  <c r="AH166" i="7"/>
  <c r="BE162" i="7"/>
  <c r="BC27" i="7"/>
  <c r="W49" i="7"/>
  <c r="Y184" i="7"/>
  <c r="X185" i="7"/>
  <c r="AH42" i="7"/>
  <c r="Z204" i="7"/>
  <c r="Z70" i="7" s="1"/>
  <c r="X69" i="7"/>
  <c r="AT27" i="7"/>
  <c r="H921" i="25" s="1"/>
  <c r="AV162" i="7"/>
  <c r="AF242" i="7"/>
  <c r="DD243" i="7"/>
  <c r="AP28" i="7"/>
  <c r="AR163" i="7"/>
  <c r="BL28" i="7"/>
  <c r="BN163" i="7"/>
  <c r="BN29" i="7" s="1"/>
  <c r="AA45" i="7"/>
  <c r="DA247" i="7"/>
  <c r="AE247" i="7" s="1"/>
  <c r="AC246" i="7"/>
  <c r="AB42" i="7"/>
  <c r="AD177" i="7"/>
  <c r="AU27" i="7"/>
  <c r="AW162" i="7"/>
  <c r="AM26" i="7"/>
  <c r="AO161" i="7"/>
  <c r="X57" i="7"/>
  <c r="Z192" i="7"/>
  <c r="AB178" i="7"/>
  <c r="AC180" i="7" s="1"/>
  <c r="Z43" i="7"/>
  <c r="H3016" i="25" s="1"/>
  <c r="Y68" i="7"/>
  <c r="AA203" i="7"/>
  <c r="AI240" i="7"/>
  <c r="DG241" i="7"/>
  <c r="AK241" i="7" s="1"/>
  <c r="Z51" i="7"/>
  <c r="BB27" i="7"/>
  <c r="BD162" i="7"/>
  <c r="DA246" i="7"/>
  <c r="AC245" i="7"/>
  <c r="AU162" i="7"/>
  <c r="AS27" i="7"/>
  <c r="AA61" i="7"/>
  <c r="AD244" i="7"/>
  <c r="DB245" i="7"/>
  <c r="Z183" i="7"/>
  <c r="X48" i="7"/>
  <c r="H1513" i="25" s="1"/>
  <c r="BA162" i="7"/>
  <c r="AY27" i="7"/>
  <c r="W65" i="7"/>
  <c r="Y200" i="7"/>
  <c r="X201" i="7"/>
  <c r="AW27" i="7"/>
  <c r="AY162" i="7"/>
  <c r="BO162" i="7"/>
  <c r="BO28" i="7" s="1"/>
  <c r="BM27" i="7"/>
  <c r="AG242" i="7"/>
  <c r="DE243" i="7"/>
  <c r="Z44" i="7"/>
  <c r="AB179" i="7"/>
  <c r="AO29" i="7"/>
  <c r="AQ164" i="7"/>
  <c r="AH241" i="7"/>
  <c r="DF242" i="7"/>
  <c r="AJ242" i="7" s="1"/>
  <c r="AL162" i="7"/>
  <c r="AE176" i="7"/>
  <c r="AC41" i="7"/>
  <c r="AR28" i="7"/>
  <c r="AT163" i="7"/>
  <c r="AA42" i="7"/>
  <c r="X175" i="7"/>
  <c r="W176" i="7"/>
  <c r="AD245" i="7"/>
  <c r="DB246" i="7"/>
  <c r="X46" i="7"/>
  <c r="H1518" i="25" s="1"/>
  <c r="Z181" i="7"/>
  <c r="Y182" i="7"/>
  <c r="BK162" i="7"/>
  <c r="BI27" i="7"/>
  <c r="H30" i="25" s="1"/>
  <c r="AK170" i="7"/>
  <c r="AK162" i="7"/>
  <c r="Y52" i="7"/>
  <c r="AA187" i="7"/>
  <c r="N10" i="21"/>
  <c r="N11" i="21" s="1"/>
  <c r="S43" i="1"/>
  <c r="V50" i="1" s="1"/>
  <c r="AB50" i="1" s="1"/>
  <c r="AC174" i="7" l="1"/>
  <c r="AE175" i="7" s="1"/>
  <c r="AE41" i="7" s="1"/>
  <c r="AA175" i="7"/>
  <c r="AA41" i="7" s="1"/>
  <c r="J505" i="25"/>
  <c r="U504" i="25"/>
  <c r="H540" i="25"/>
  <c r="H538" i="25"/>
  <c r="H539" i="25"/>
  <c r="H1916" i="25"/>
  <c r="H3162" i="25"/>
  <c r="H3166" i="25"/>
  <c r="H3534" i="25"/>
  <c r="H3160" i="25"/>
  <c r="H3164" i="25"/>
  <c r="H3165" i="25"/>
  <c r="H2319" i="25"/>
  <c r="H2323" i="25"/>
  <c r="H2304" i="25"/>
  <c r="H2320" i="25"/>
  <c r="H3646" i="25"/>
  <c r="H3650" i="25"/>
  <c r="H3654" i="25"/>
  <c r="H3651" i="25"/>
  <c r="H2322" i="25"/>
  <c r="H3647" i="25"/>
  <c r="H3648" i="25"/>
  <c r="H3655" i="25"/>
  <c r="H3649" i="25"/>
  <c r="H515" i="25"/>
  <c r="H1933" i="25"/>
  <c r="H1932" i="25"/>
  <c r="H3163" i="25"/>
  <c r="H3184" i="25"/>
  <c r="H3185" i="25"/>
  <c r="H3532" i="25"/>
  <c r="H3161" i="25"/>
  <c r="H3533" i="25"/>
  <c r="H1530" i="25"/>
  <c r="H1531" i="25"/>
  <c r="H1566" i="25"/>
  <c r="H1529" i="25"/>
  <c r="H1560" i="25"/>
  <c r="H1527" i="25"/>
  <c r="H1532" i="25"/>
  <c r="H1528" i="25"/>
  <c r="H1556" i="25"/>
  <c r="H1559" i="25"/>
  <c r="H2877" i="25"/>
  <c r="H1550" i="25"/>
  <c r="H1568" i="25"/>
  <c r="H1564" i="25"/>
  <c r="H1567" i="25"/>
  <c r="H2379" i="25"/>
  <c r="H2427" i="25"/>
  <c r="H2439" i="25"/>
  <c r="H2378" i="25"/>
  <c r="H2426" i="25"/>
  <c r="H2437" i="25"/>
  <c r="H2374" i="25"/>
  <c r="H2438" i="25"/>
  <c r="H2376" i="25"/>
  <c r="H2364" i="25"/>
  <c r="H2377" i="25"/>
  <c r="H2436" i="25"/>
  <c r="H2428" i="25"/>
  <c r="H2413" i="25"/>
  <c r="H3686" i="25"/>
  <c r="H3709" i="25"/>
  <c r="H3696" i="25"/>
  <c r="H3687" i="25"/>
  <c r="H3738" i="25"/>
  <c r="H3746" i="25"/>
  <c r="H3747" i="25"/>
  <c r="H3739" i="25"/>
  <c r="H3745" i="25"/>
  <c r="H3748" i="25"/>
  <c r="H3744" i="25"/>
  <c r="AN170" i="7"/>
  <c r="AN36" i="7" s="1"/>
  <c r="H4002" i="25" s="1"/>
  <c r="H919" i="25"/>
  <c r="H920" i="25"/>
  <c r="H527" i="25"/>
  <c r="H3414" i="25"/>
  <c r="H547" i="25"/>
  <c r="H1920" i="25"/>
  <c r="H3159" i="25"/>
  <c r="H3167" i="25"/>
  <c r="H1924" i="25"/>
  <c r="H3158" i="25"/>
  <c r="H3170" i="25"/>
  <c r="H3178" i="25"/>
  <c r="H3182" i="25"/>
  <c r="H1918" i="25"/>
  <c r="H3179" i="25"/>
  <c r="H3515" i="25"/>
  <c r="H1919" i="25"/>
  <c r="H3168" i="25"/>
  <c r="H1923" i="25"/>
  <c r="H3169" i="25"/>
  <c r="H3180" i="25"/>
  <c r="H3181" i="25"/>
  <c r="H859" i="25"/>
  <c r="H3674" i="25"/>
  <c r="H3688" i="25"/>
  <c r="H3720" i="25"/>
  <c r="H3668" i="25"/>
  <c r="H3719" i="25"/>
  <c r="H2344" i="25"/>
  <c r="H3526" i="25"/>
  <c r="H1908" i="25"/>
  <c r="H3176" i="25"/>
  <c r="H1574" i="25"/>
  <c r="H1578" i="25"/>
  <c r="H1577" i="25"/>
  <c r="H1576" i="25"/>
  <c r="H1575" i="25"/>
  <c r="H2331" i="25"/>
  <c r="H2332" i="25"/>
  <c r="H2333" i="25"/>
  <c r="H2329" i="25"/>
  <c r="AK165" i="7"/>
  <c r="AK166" i="7"/>
  <c r="AQ167" i="7"/>
  <c r="AQ33" i="7" s="1"/>
  <c r="AL35" i="7"/>
  <c r="AM171" i="7"/>
  <c r="AL165" i="7"/>
  <c r="AL31" i="7" s="1"/>
  <c r="AK173" i="7"/>
  <c r="AP168" i="7"/>
  <c r="AO169" i="7"/>
  <c r="AO35" i="7" s="1"/>
  <c r="AH171" i="7"/>
  <c r="H390" i="25"/>
  <c r="H29" i="25"/>
  <c r="H28" i="25"/>
  <c r="H391" i="25"/>
  <c r="AG172" i="7"/>
  <c r="AJ166" i="7"/>
  <c r="BL27" i="7"/>
  <c r="BN162" i="7"/>
  <c r="BN28" i="7" s="1"/>
  <c r="AB175" i="7"/>
  <c r="AC177" i="7" s="1"/>
  <c r="AC43" i="7" s="1"/>
  <c r="BG162" i="7"/>
  <c r="BE27" i="7"/>
  <c r="H39" i="25" s="1"/>
  <c r="AI167" i="7"/>
  <c r="AC46" i="7"/>
  <c r="AE42" i="7"/>
  <c r="AG177" i="7"/>
  <c r="Z49" i="7"/>
  <c r="H1507" i="25" s="1"/>
  <c r="AB184" i="7"/>
  <c r="DC247" i="7"/>
  <c r="AG247" i="7" s="1"/>
  <c r="AE246" i="7"/>
  <c r="AA69" i="7"/>
  <c r="Z58" i="7"/>
  <c r="AY163" i="7"/>
  <c r="AW28" i="7"/>
  <c r="AH243" i="7"/>
  <c r="DF244" i="7"/>
  <c r="AJ244" i="7" s="1"/>
  <c r="AJ167" i="7"/>
  <c r="AI168" i="7"/>
  <c r="AH245" i="7"/>
  <c r="DF246" i="7"/>
  <c r="AJ246" i="7" s="1"/>
  <c r="AD182" i="7"/>
  <c r="AB47" i="7"/>
  <c r="AB63" i="7"/>
  <c r="AG244" i="7"/>
  <c r="DE245" i="7"/>
  <c r="BM28" i="7"/>
  <c r="BO163" i="7"/>
  <c r="BO29" i="7" s="1"/>
  <c r="AH172" i="7"/>
  <c r="AJ173" i="7" s="1"/>
  <c r="AG173" i="7"/>
  <c r="AI244" i="7"/>
  <c r="DG245" i="7"/>
  <c r="AK245" i="7" s="1"/>
  <c r="AD172" i="7"/>
  <c r="AF173" i="7" s="1"/>
  <c r="AC173" i="7"/>
  <c r="AC183" i="7"/>
  <c r="AA48" i="7"/>
  <c r="H1524" i="25" s="1"/>
  <c r="V49" i="1"/>
  <c r="X49" i="1" s="1"/>
  <c r="Z49" i="1" s="1"/>
  <c r="AB49" i="1" s="1"/>
  <c r="Z47" i="7"/>
  <c r="AB182" i="7"/>
  <c r="Y177" i="7"/>
  <c r="W42" i="7"/>
  <c r="X178" i="7"/>
  <c r="AT29" i="7"/>
  <c r="AV164" i="7"/>
  <c r="AL28" i="7"/>
  <c r="AN163" i="7"/>
  <c r="AM164" i="7"/>
  <c r="BF163" i="7"/>
  <c r="BD28" i="7"/>
  <c r="AL172" i="7"/>
  <c r="AV27" i="7"/>
  <c r="AX162" i="7"/>
  <c r="AA190" i="7"/>
  <c r="Y55" i="7"/>
  <c r="X62" i="7"/>
  <c r="Z197" i="7"/>
  <c r="Y198" i="7"/>
  <c r="AC44" i="7"/>
  <c r="AE179" i="7"/>
  <c r="BH28" i="7"/>
  <c r="BJ163" i="7"/>
  <c r="BC28" i="7"/>
  <c r="BE163" i="7"/>
  <c r="BB28" i="7"/>
  <c r="BD163" i="7"/>
  <c r="BL163" i="7"/>
  <c r="BJ28" i="7"/>
  <c r="Y48" i="7"/>
  <c r="AA183" i="7"/>
  <c r="Z184" i="7"/>
  <c r="AY28" i="7"/>
  <c r="BA163" i="7"/>
  <c r="AA53" i="7"/>
  <c r="X41" i="7"/>
  <c r="Z176" i="7"/>
  <c r="AI170" i="7"/>
  <c r="AQ30" i="7"/>
  <c r="AS165" i="7"/>
  <c r="AI243" i="7"/>
  <c r="DG244" i="7"/>
  <c r="AK244" i="7" s="1"/>
  <c r="X67" i="7"/>
  <c r="Z202" i="7"/>
  <c r="Y203" i="7"/>
  <c r="BA28" i="7"/>
  <c r="BC163" i="7"/>
  <c r="AU28" i="7"/>
  <c r="AW163" i="7"/>
  <c r="AO27" i="7"/>
  <c r="AQ162" i="7"/>
  <c r="AD43" i="7"/>
  <c r="AF178" i="7"/>
  <c r="AT164" i="7"/>
  <c r="AR29" i="7"/>
  <c r="AX163" i="7"/>
  <c r="AV28" i="7"/>
  <c r="X51" i="7"/>
  <c r="Z186" i="7"/>
  <c r="Y187" i="7"/>
  <c r="Z54" i="7"/>
  <c r="AB189" i="7"/>
  <c r="X60" i="7"/>
  <c r="Z195" i="7"/>
  <c r="Y196" i="7"/>
  <c r="AG245" i="7"/>
  <c r="DE246" i="7"/>
  <c r="BK163" i="7"/>
  <c r="BI28" i="7"/>
  <c r="AV163" i="7"/>
  <c r="AT28" i="7"/>
  <c r="AJ174" i="7"/>
  <c r="AI175" i="7"/>
  <c r="AI242" i="7"/>
  <c r="DG243" i="7"/>
  <c r="AK243" i="7" s="1"/>
  <c r="Y54" i="7"/>
  <c r="AA189" i="7"/>
  <c r="Z190" i="7"/>
  <c r="Y61" i="7"/>
  <c r="Z65" i="7"/>
  <c r="AB200" i="7"/>
  <c r="AC199" i="7"/>
  <c r="AA64" i="7"/>
  <c r="AM163" i="7"/>
  <c r="AL164" i="7"/>
  <c r="AB45" i="7"/>
  <c r="AD180" i="7"/>
  <c r="BM163" i="7"/>
  <c r="BK28" i="7"/>
  <c r="AF246" i="7"/>
  <c r="DD247" i="7"/>
  <c r="AH247" i="7" s="1"/>
  <c r="AA201" i="7"/>
  <c r="Y66" i="7"/>
  <c r="AF245" i="7"/>
  <c r="DD246" i="7"/>
  <c r="AB44" i="7"/>
  <c r="Y50" i="7"/>
  <c r="AA185" i="7"/>
  <c r="BG163" i="7"/>
  <c r="BE28" i="7"/>
  <c r="H57" i="25" s="1"/>
  <c r="BF28" i="7"/>
  <c r="BH163" i="7"/>
  <c r="AH244" i="7"/>
  <c r="DF245" i="7"/>
  <c r="AJ245" i="7" s="1"/>
  <c r="AL27" i="7"/>
  <c r="AN162" i="7"/>
  <c r="AZ28" i="7"/>
  <c r="BB163" i="7"/>
  <c r="Y59" i="7"/>
  <c r="AA194" i="7"/>
  <c r="Z191" i="7"/>
  <c r="X56" i="7"/>
  <c r="Y192" i="7"/>
  <c r="Z53" i="7"/>
  <c r="H1337" i="25" s="1"/>
  <c r="AC181" i="7"/>
  <c r="AA46" i="7"/>
  <c r="DE247" i="7"/>
  <c r="AI247" i="7" s="1"/>
  <c r="AM27" i="7"/>
  <c r="AO162" i="7"/>
  <c r="AS28" i="7"/>
  <c r="H3750" i="25" s="1"/>
  <c r="AU163" i="7"/>
  <c r="AR166" i="7"/>
  <c r="AA50" i="1"/>
  <c r="AC50" i="1" s="1"/>
  <c r="V47" i="1"/>
  <c r="X47" i="1" s="1"/>
  <c r="Z47" i="1" s="1"/>
  <c r="AB47" i="1" s="1"/>
  <c r="L49" i="22"/>
  <c r="L53" i="22" s="1"/>
  <c r="L51" i="22" s="1"/>
  <c r="L22" i="22"/>
  <c r="L26" i="22" s="1"/>
  <c r="L24" i="22" s="1"/>
  <c r="L62" i="22"/>
  <c r="L66" i="22" s="1"/>
  <c r="L64" i="22" s="1"/>
  <c r="L36" i="22"/>
  <c r="X50" i="1"/>
  <c r="Y50" i="1" s="1"/>
  <c r="V48" i="1"/>
  <c r="X48" i="1" s="1"/>
  <c r="Z48" i="1" s="1"/>
  <c r="AB48" i="1" s="1"/>
  <c r="AL167" i="7" l="1"/>
  <c r="AL33" i="7" s="1"/>
  <c r="H851" i="25" s="1"/>
  <c r="AG176" i="7"/>
  <c r="AG42" i="7" s="1"/>
  <c r="AC176" i="7"/>
  <c r="AC42" i="7" s="1"/>
  <c r="H3389" i="25" s="1"/>
  <c r="J506" i="25"/>
  <c r="U505" i="25"/>
  <c r="AO172" i="7"/>
  <c r="AO38" i="7" s="1"/>
  <c r="H4005" i="25" s="1"/>
  <c r="H3642" i="25"/>
  <c r="H3656" i="25"/>
  <c r="H3661" i="25"/>
  <c r="H3657" i="25"/>
  <c r="H3659" i="25"/>
  <c r="H3673" i="25"/>
  <c r="H2403" i="25"/>
  <c r="H2389" i="25"/>
  <c r="H2434" i="25"/>
  <c r="H2449" i="25"/>
  <c r="H3760" i="25"/>
  <c r="H3759" i="25"/>
  <c r="H2410" i="25"/>
  <c r="H2417" i="25"/>
  <c r="H2418" i="25"/>
  <c r="H1598" i="25"/>
  <c r="H1602" i="25"/>
  <c r="H1673" i="25"/>
  <c r="H1592" i="25"/>
  <c r="H1672" i="25"/>
  <c r="H1595" i="25"/>
  <c r="H1591" i="25"/>
  <c r="H1588" i="25"/>
  <c r="H1596" i="25"/>
  <c r="H1599" i="25"/>
  <c r="H1909" i="25"/>
  <c r="H2073" i="25"/>
  <c r="H2077" i="25"/>
  <c r="H2105" i="25"/>
  <c r="H2109" i="25"/>
  <c r="H2076" i="25"/>
  <c r="H2108" i="25"/>
  <c r="H2070" i="25"/>
  <c r="H2075" i="25"/>
  <c r="H2110" i="25"/>
  <c r="H2054" i="25"/>
  <c r="H2074" i="25"/>
  <c r="H2111" i="25"/>
  <c r="H2891" i="25"/>
  <c r="H2951" i="25"/>
  <c r="H2959" i="25"/>
  <c r="H2890" i="25"/>
  <c r="H1982" i="25"/>
  <c r="H2894" i="25"/>
  <c r="H2953" i="25"/>
  <c r="H2958" i="25"/>
  <c r="H3430" i="25"/>
  <c r="H2892" i="25"/>
  <c r="H2893" i="25"/>
  <c r="H2004" i="25"/>
  <c r="H2950" i="25"/>
  <c r="H2952" i="25"/>
  <c r="H2327" i="25"/>
  <c r="H2326" i="25"/>
  <c r="H2328" i="25"/>
  <c r="H3729" i="25"/>
  <c r="H1509" i="25"/>
  <c r="H1512" i="25"/>
  <c r="H1511" i="25"/>
  <c r="H1912" i="25"/>
  <c r="H2887" i="25"/>
  <c r="H2919" i="25"/>
  <c r="H2947" i="25"/>
  <c r="H2793" i="25"/>
  <c r="H2948" i="25"/>
  <c r="H2794" i="25"/>
  <c r="H2881" i="25"/>
  <c r="H2882" i="25"/>
  <c r="H2888" i="25"/>
  <c r="H522" i="25"/>
  <c r="H526" i="25"/>
  <c r="H519" i="25"/>
  <c r="H1985" i="25"/>
  <c r="H1993" i="25"/>
  <c r="H2002" i="25"/>
  <c r="H2999" i="25"/>
  <c r="H3003" i="25"/>
  <c r="H3007" i="25"/>
  <c r="H3011" i="25"/>
  <c r="H3015" i="25"/>
  <c r="H1914" i="25"/>
  <c r="H1935" i="25"/>
  <c r="H1984" i="25"/>
  <c r="H2997" i="25"/>
  <c r="H3008" i="25"/>
  <c r="H3399" i="25"/>
  <c r="H3415" i="25"/>
  <c r="H3535" i="25"/>
  <c r="H1990" i="25"/>
  <c r="H2996" i="25"/>
  <c r="H3001" i="25"/>
  <c r="H3006" i="25"/>
  <c r="H3012" i="25"/>
  <c r="H3186" i="25"/>
  <c r="H3390" i="25"/>
  <c r="H1936" i="25"/>
  <c r="H1983" i="25"/>
  <c r="H1994" i="25"/>
  <c r="H3002" i="25"/>
  <c r="H3013" i="25"/>
  <c r="H2032" i="25"/>
  <c r="H2998" i="25"/>
  <c r="H3392" i="25"/>
  <c r="H3416" i="25"/>
  <c r="H3536" i="25"/>
  <c r="H3000" i="25"/>
  <c r="H3014" i="25"/>
  <c r="H3004" i="25"/>
  <c r="H3412" i="25"/>
  <c r="H3005" i="25"/>
  <c r="H3393" i="25"/>
  <c r="H3010" i="25"/>
  <c r="H847" i="25"/>
  <c r="H848" i="25"/>
  <c r="H3954" i="25"/>
  <c r="H3955" i="25"/>
  <c r="H2347" i="25"/>
  <c r="H3638" i="25"/>
  <c r="H3662" i="25"/>
  <c r="H3670" i="25"/>
  <c r="H2348" i="25"/>
  <c r="H2349" i="25"/>
  <c r="H3672" i="25"/>
  <c r="H3639" i="25"/>
  <c r="H3660" i="25"/>
  <c r="H3641" i="25"/>
  <c r="H3663" i="25"/>
  <c r="H3669" i="25"/>
  <c r="H3664" i="25"/>
  <c r="H3665" i="25"/>
  <c r="H923" i="25"/>
  <c r="H922" i="25"/>
  <c r="H1557" i="25"/>
  <c r="H2875" i="25"/>
  <c r="H2873" i="25"/>
  <c r="H1555" i="25"/>
  <c r="H2874" i="25"/>
  <c r="H2872" i="25"/>
  <c r="H2876" i="25"/>
  <c r="H2920" i="25"/>
  <c r="H2001" i="25"/>
  <c r="H2005" i="25"/>
  <c r="H2009" i="25"/>
  <c r="H2007" i="25"/>
  <c r="H2983" i="25"/>
  <c r="H2006" i="25"/>
  <c r="H2985" i="25"/>
  <c r="H3539" i="25"/>
  <c r="H2984" i="25"/>
  <c r="H3540" i="25"/>
  <c r="H2982" i="25"/>
  <c r="H512" i="25"/>
  <c r="H520" i="25"/>
  <c r="H513" i="25"/>
  <c r="H517" i="25"/>
  <c r="H518" i="25"/>
  <c r="H1913" i="25"/>
  <c r="H1941" i="25"/>
  <c r="H1911" i="25"/>
  <c r="H1991" i="25"/>
  <c r="H3191" i="25"/>
  <c r="H3190" i="25"/>
  <c r="H3394" i="25"/>
  <c r="H3398" i="25"/>
  <c r="H2031" i="25"/>
  <c r="H3009" i="25"/>
  <c r="H532" i="25"/>
  <c r="H535" i="25"/>
  <c r="H1796" i="25"/>
  <c r="H1989" i="25"/>
  <c r="H2987" i="25"/>
  <c r="H2991" i="25"/>
  <c r="H2995" i="25"/>
  <c r="H1992" i="25"/>
  <c r="H2986" i="25"/>
  <c r="H3407" i="25"/>
  <c r="H3423" i="25"/>
  <c r="H2990" i="25"/>
  <c r="H3410" i="25"/>
  <c r="H3418" i="25"/>
  <c r="H3422" i="25"/>
  <c r="H3538" i="25"/>
  <c r="H2003" i="25"/>
  <c r="H2981" i="25"/>
  <c r="H2992" i="25"/>
  <c r="H3411" i="25"/>
  <c r="H2988" i="25"/>
  <c r="H3400" i="25"/>
  <c r="H3408" i="25"/>
  <c r="H3424" i="25"/>
  <c r="H2994" i="25"/>
  <c r="H3409" i="25"/>
  <c r="H2989" i="25"/>
  <c r="H3401" i="25"/>
  <c r="H3421" i="25"/>
  <c r="H2008" i="25"/>
  <c r="H2993" i="25"/>
  <c r="H3541" i="25"/>
  <c r="H3417" i="25"/>
  <c r="H1526" i="25"/>
  <c r="H1558" i="25"/>
  <c r="H1523" i="25"/>
  <c r="H2923" i="25"/>
  <c r="H2922" i="25"/>
  <c r="H2926" i="25"/>
  <c r="H2932" i="25"/>
  <c r="H2864" i="25"/>
  <c r="H2861" i="25"/>
  <c r="H2925" i="25"/>
  <c r="H2865" i="25"/>
  <c r="H2866" i="25"/>
  <c r="H2930" i="25"/>
  <c r="H853" i="25"/>
  <c r="H854" i="25"/>
  <c r="AL175" i="7"/>
  <c r="AL41" i="7" s="1"/>
  <c r="AM167" i="7"/>
  <c r="AM33" i="7" s="1"/>
  <c r="AS168" i="7"/>
  <c r="AL168" i="7"/>
  <c r="AL34" i="7" s="1"/>
  <c r="AR169" i="7"/>
  <c r="AD179" i="7"/>
  <c r="AE181" i="7" s="1"/>
  <c r="AM37" i="7"/>
  <c r="H3948" i="25" s="1"/>
  <c r="AP34" i="7"/>
  <c r="AP171" i="7"/>
  <c r="AI173" i="7"/>
  <c r="AQ170" i="7"/>
  <c r="AQ36" i="7" s="1"/>
  <c r="AK168" i="7"/>
  <c r="AM169" i="7" s="1"/>
  <c r="AM35" i="7" s="1"/>
  <c r="H4001" i="25" s="1"/>
  <c r="H27" i="25"/>
  <c r="H25" i="25"/>
  <c r="H26" i="25"/>
  <c r="H24" i="25"/>
  <c r="H23" i="25"/>
  <c r="H22" i="25"/>
  <c r="AH174" i="7"/>
  <c r="Y49" i="1"/>
  <c r="AA49" i="1" s="1"/>
  <c r="AC49" i="1" s="1"/>
  <c r="AB41" i="7"/>
  <c r="AD176" i="7"/>
  <c r="AE178" i="7" s="1"/>
  <c r="AE44" i="7" s="1"/>
  <c r="AJ169" i="7"/>
  <c r="BI163" i="7"/>
  <c r="BG28" i="7"/>
  <c r="Y47" i="1"/>
  <c r="AA47" i="1" s="1"/>
  <c r="AC47" i="1" s="1"/>
  <c r="AS34" i="7"/>
  <c r="DF247" i="7"/>
  <c r="AJ247" i="7" s="1"/>
  <c r="AH246" i="7"/>
  <c r="AF181" i="7"/>
  <c r="AD46" i="7"/>
  <c r="BM164" i="7"/>
  <c r="BK29" i="7"/>
  <c r="H21" i="25" s="1"/>
  <c r="Z61" i="7"/>
  <c r="AB196" i="7"/>
  <c r="Y53" i="7"/>
  <c r="AA188" i="7"/>
  <c r="Z189" i="7"/>
  <c r="AZ164" i="7"/>
  <c r="AX29" i="7"/>
  <c r="AB203" i="7"/>
  <c r="Z68" i="7"/>
  <c r="AU166" i="7"/>
  <c r="AS31" i="7"/>
  <c r="Z42" i="7"/>
  <c r="AB177" i="7"/>
  <c r="BC164" i="7"/>
  <c r="BA29" i="7"/>
  <c r="BF164" i="7"/>
  <c r="BD29" i="7"/>
  <c r="AN173" i="7"/>
  <c r="AL38" i="7"/>
  <c r="BF29" i="7"/>
  <c r="BH164" i="7"/>
  <c r="AV30" i="7"/>
  <c r="AX165" i="7"/>
  <c r="Y43" i="7"/>
  <c r="AA178" i="7"/>
  <c r="AE174" i="7"/>
  <c r="AG175" i="7" s="1"/>
  <c r="AD175" i="7"/>
  <c r="AI174" i="7"/>
  <c r="AK175" i="7" s="1"/>
  <c r="AH175" i="7"/>
  <c r="AD185" i="7"/>
  <c r="AB50" i="7"/>
  <c r="AW164" i="7"/>
  <c r="AU29" i="7"/>
  <c r="H927" i="25" s="1"/>
  <c r="AQ163" i="7"/>
  <c r="AO28" i="7"/>
  <c r="H2425" i="25" s="1"/>
  <c r="AB192" i="7"/>
  <c r="Z57" i="7"/>
  <c r="BG29" i="7"/>
  <c r="BI164" i="7"/>
  <c r="AC65" i="7"/>
  <c r="DG247" i="7"/>
  <c r="AK247" i="7" s="1"/>
  <c r="AI246" i="7"/>
  <c r="Z52" i="7"/>
  <c r="AB187" i="7"/>
  <c r="AQ28" i="7"/>
  <c r="AS163" i="7"/>
  <c r="BC29" i="7"/>
  <c r="H68" i="25" s="1"/>
  <c r="BE164" i="7"/>
  <c r="BL164" i="7"/>
  <c r="BJ29" i="7"/>
  <c r="Y64" i="7"/>
  <c r="AA199" i="7"/>
  <c r="Z200" i="7"/>
  <c r="AA56" i="7"/>
  <c r="AC191" i="7"/>
  <c r="AM30" i="7"/>
  <c r="AO165" i="7"/>
  <c r="AN166" i="7"/>
  <c r="AB48" i="7"/>
  <c r="H1554" i="25" s="1"/>
  <c r="AD183" i="7"/>
  <c r="BA164" i="7"/>
  <c r="AY29" i="7"/>
  <c r="BD164" i="7"/>
  <c r="BB29" i="7"/>
  <c r="AM174" i="7"/>
  <c r="AA60" i="7"/>
  <c r="AP163" i="7"/>
  <c r="AN28" i="7"/>
  <c r="BH29" i="7"/>
  <c r="BJ164" i="7"/>
  <c r="AA51" i="7"/>
  <c r="H361" i="25" s="1"/>
  <c r="AC186" i="7"/>
  <c r="AL30" i="7"/>
  <c r="H855" i="25" s="1"/>
  <c r="AN165" i="7"/>
  <c r="AM166" i="7"/>
  <c r="AB66" i="7"/>
  <c r="AD201" i="7"/>
  <c r="Z56" i="7"/>
  <c r="AB191" i="7"/>
  <c r="AA192" i="7"/>
  <c r="AX164" i="7"/>
  <c r="AV29" i="7"/>
  <c r="AB55" i="7"/>
  <c r="AV165" i="7"/>
  <c r="AT30" i="7"/>
  <c r="AJ172" i="7"/>
  <c r="Z50" i="7"/>
  <c r="AB185" i="7"/>
  <c r="AA186" i="7"/>
  <c r="BE29" i="7"/>
  <c r="BG164" i="7"/>
  <c r="Z63" i="7"/>
  <c r="AX28" i="7"/>
  <c r="AZ163" i="7"/>
  <c r="AN29" i="7"/>
  <c r="AP164" i="7"/>
  <c r="Z179" i="7"/>
  <c r="X44" i="7"/>
  <c r="H1536" i="25" s="1"/>
  <c r="Y180" i="7"/>
  <c r="AI245" i="7"/>
  <c r="DG246" i="7"/>
  <c r="AK246" i="7" s="1"/>
  <c r="AK169" i="7"/>
  <c r="AJ170" i="7"/>
  <c r="AI178" i="7"/>
  <c r="AG43" i="7"/>
  <c r="AR32" i="7"/>
  <c r="AT167" i="7"/>
  <c r="AE182" i="7"/>
  <c r="AC47" i="7"/>
  <c r="AA193" i="7"/>
  <c r="Y58" i="7"/>
  <c r="Z194" i="7"/>
  <c r="AA67" i="7"/>
  <c r="AC202" i="7"/>
  <c r="BO164" i="7"/>
  <c r="BO30" i="7" s="1"/>
  <c r="BM29" i="7"/>
  <c r="AO164" i="7"/>
  <c r="AM29" i="7"/>
  <c r="AA55" i="7"/>
  <c r="AK176" i="7"/>
  <c r="AI41" i="7"/>
  <c r="AJ177" i="7"/>
  <c r="Y62" i="7"/>
  <c r="AA197" i="7"/>
  <c r="Z198" i="7"/>
  <c r="AH179" i="7"/>
  <c r="AF44" i="7"/>
  <c r="H2027" i="25" s="1"/>
  <c r="AY164" i="7"/>
  <c r="AW29" i="7"/>
  <c r="Y69" i="7"/>
  <c r="AA204" i="7"/>
  <c r="AA70" i="7" s="1"/>
  <c r="AA49" i="7"/>
  <c r="H1500" i="25" s="1"/>
  <c r="AC184" i="7"/>
  <c r="BN164" i="7"/>
  <c r="BN30" i="7" s="1"/>
  <c r="BL29" i="7"/>
  <c r="AG180" i="7"/>
  <c r="AE45" i="7"/>
  <c r="AE184" i="7"/>
  <c r="AC49" i="7"/>
  <c r="AD48" i="7"/>
  <c r="Z50" i="1"/>
  <c r="Y48" i="1"/>
  <c r="AA48" i="1" s="1"/>
  <c r="AC48" i="1" s="1"/>
  <c r="L40" i="22"/>
  <c r="L9" i="22"/>
  <c r="N14" i="21" s="1"/>
  <c r="L63" i="22" a="1"/>
  <c r="L63" i="22" s="1"/>
  <c r="L23" i="22" a="1"/>
  <c r="L23" i="22" s="1"/>
  <c r="L50" i="22" a="1"/>
  <c r="L50" i="22" s="1"/>
  <c r="H3531" i="25" l="1"/>
  <c r="H3189" i="25"/>
  <c r="H516" i="25"/>
  <c r="AD45" i="7"/>
  <c r="H2979" i="25" s="1"/>
  <c r="AT170" i="7"/>
  <c r="AT36" i="7" s="1"/>
  <c r="H227" i="25" s="1"/>
  <c r="J507" i="25"/>
  <c r="U506" i="25"/>
  <c r="AR35" i="7"/>
  <c r="AN176" i="7"/>
  <c r="AN42" i="7" s="1"/>
  <c r="H1033" i="25" s="1"/>
  <c r="AN169" i="7"/>
  <c r="AN35" i="7" s="1"/>
  <c r="H47" i="11" s="1"/>
  <c r="H849" i="25"/>
  <c r="H3956" i="25"/>
  <c r="H2415" i="25"/>
  <c r="H2357" i="25"/>
  <c r="H2358" i="25"/>
  <c r="H2355" i="25"/>
  <c r="H2359" i="25"/>
  <c r="H2363" i="25"/>
  <c r="H2362" i="25"/>
  <c r="H2360" i="25"/>
  <c r="H2409" i="25"/>
  <c r="H2354" i="25"/>
  <c r="H2361" i="25"/>
  <c r="H2356" i="25"/>
  <c r="H1502" i="25"/>
  <c r="H1499" i="25"/>
  <c r="H1501" i="25"/>
  <c r="H2330" i="25"/>
  <c r="H2334" i="25"/>
  <c r="H3945" i="25"/>
  <c r="H3935" i="25"/>
  <c r="H2455" i="25"/>
  <c r="H3758" i="25"/>
  <c r="H2454" i="25"/>
  <c r="H3962" i="25"/>
  <c r="H3961" i="25"/>
  <c r="H1981" i="25"/>
  <c r="H2025" i="25"/>
  <c r="H2023" i="25"/>
  <c r="H3386" i="25"/>
  <c r="H3434" i="25"/>
  <c r="H3498" i="25"/>
  <c r="H3546" i="25"/>
  <c r="H1946" i="25"/>
  <c r="H2022" i="25"/>
  <c r="H3499" i="25"/>
  <c r="H2026" i="25"/>
  <c r="H3547" i="25"/>
  <c r="H1910" i="25"/>
  <c r="H2024" i="25"/>
  <c r="H3545" i="25"/>
  <c r="H2787" i="25"/>
  <c r="H2863" i="25"/>
  <c r="H2867" i="25"/>
  <c r="H2927" i="25"/>
  <c r="H2931" i="25"/>
  <c r="H2933" i="25"/>
  <c r="H2868" i="25"/>
  <c r="H2789" i="25"/>
  <c r="H2869" i="25"/>
  <c r="H2928" i="25"/>
  <c r="H2860" i="25"/>
  <c r="H2870" i="25"/>
  <c r="H2797" i="25"/>
  <c r="H2792" i="25"/>
  <c r="H2929" i="25"/>
  <c r="H3762" i="25"/>
  <c r="H3773" i="25"/>
  <c r="H3776" i="25"/>
  <c r="H3771" i="25"/>
  <c r="H3772" i="25"/>
  <c r="AM170" i="7"/>
  <c r="AM36" i="7" s="1"/>
  <c r="H925" i="25"/>
  <c r="H926" i="25"/>
  <c r="H924" i="25"/>
  <c r="H2423" i="25"/>
  <c r="H2352" i="25"/>
  <c r="H2424" i="25"/>
  <c r="H2412" i="25"/>
  <c r="H2350" i="25"/>
  <c r="H929" i="25"/>
  <c r="H930" i="25"/>
  <c r="H2013" i="25"/>
  <c r="H2795" i="25"/>
  <c r="H2014" i="25"/>
  <c r="H2798" i="25"/>
  <c r="H2934" i="25"/>
  <c r="H2936" i="25"/>
  <c r="H2886" i="25"/>
  <c r="H2786" i="25"/>
  <c r="H2914" i="25"/>
  <c r="H3754" i="25"/>
  <c r="H3753" i="25"/>
  <c r="H521" i="25"/>
  <c r="H514" i="25"/>
  <c r="H1945" i="25"/>
  <c r="H2029" i="25"/>
  <c r="H2028" i="25"/>
  <c r="H1944" i="25"/>
  <c r="H3387" i="25"/>
  <c r="H3396" i="25"/>
  <c r="H1082" i="25"/>
  <c r="H1081" i="25"/>
  <c r="H2167" i="25"/>
  <c r="H2166" i="25"/>
  <c r="H1504" i="25"/>
  <c r="H1503" i="25"/>
  <c r="H1582" i="25"/>
  <c r="H1586" i="25"/>
  <c r="H1581" i="25"/>
  <c r="H1585" i="25"/>
  <c r="H1584" i="25"/>
  <c r="H1583" i="25"/>
  <c r="H1580" i="25"/>
  <c r="H524" i="25"/>
  <c r="H541" i="25"/>
  <c r="H1929" i="25"/>
  <c r="H1928" i="25"/>
  <c r="H1930" i="25"/>
  <c r="H1931" i="25"/>
  <c r="H3175" i="25"/>
  <c r="H3183" i="25"/>
  <c r="H3174" i="25"/>
  <c r="H3514" i="25"/>
  <c r="H3530" i="25"/>
  <c r="H3171" i="25"/>
  <c r="H3512" i="25"/>
  <c r="H3172" i="25"/>
  <c r="H3173" i="25"/>
  <c r="H3177" i="25"/>
  <c r="H3529" i="25"/>
  <c r="H3521" i="25"/>
  <c r="H3513" i="25"/>
  <c r="H3524" i="25"/>
  <c r="AR172" i="7"/>
  <c r="AR38" i="7" s="1"/>
  <c r="AP37" i="7"/>
  <c r="AQ173" i="7"/>
  <c r="AF180" i="7"/>
  <c r="AF46" i="7" s="1"/>
  <c r="AL170" i="7"/>
  <c r="AL36" i="7" s="1"/>
  <c r="H846" i="25" s="1"/>
  <c r="AS171" i="7"/>
  <c r="AS37" i="7" s="1"/>
  <c r="AJ175" i="7"/>
  <c r="AJ41" i="7" s="1"/>
  <c r="H383" i="25"/>
  <c r="H386" i="25"/>
  <c r="H379" i="25"/>
  <c r="H238" i="25"/>
  <c r="H242" i="25"/>
  <c r="H60" i="25"/>
  <c r="H61" i="25"/>
  <c r="H233" i="25"/>
  <c r="H229" i="25"/>
  <c r="H230" i="25"/>
  <c r="H234" i="25"/>
  <c r="H232" i="25"/>
  <c r="O78" i="11"/>
  <c r="H67" i="25"/>
  <c r="H65" i="25"/>
  <c r="H385" i="25"/>
  <c r="H388" i="25"/>
  <c r="H384" i="25"/>
  <c r="H63" i="25"/>
  <c r="H59" i="25"/>
  <c r="H64" i="25"/>
  <c r="H58" i="25"/>
  <c r="AK171" i="7"/>
  <c r="AF177" i="7"/>
  <c r="AG179" i="7" s="1"/>
  <c r="AG45" i="7" s="1"/>
  <c r="AD42" i="7"/>
  <c r="BI29" i="7"/>
  <c r="BK164" i="7"/>
  <c r="AD67" i="7"/>
  <c r="AQ29" i="7"/>
  <c r="AS164" i="7"/>
  <c r="BH165" i="7"/>
  <c r="BF30" i="7"/>
  <c r="AE50" i="7"/>
  <c r="H378" i="25" s="1"/>
  <c r="AY30" i="7"/>
  <c r="BA165" i="7"/>
  <c r="AA63" i="7"/>
  <c r="AC198" i="7"/>
  <c r="AM177" i="7"/>
  <c r="AK42" i="7"/>
  <c r="AQ165" i="7"/>
  <c r="AO30" i="7"/>
  <c r="AB180" i="7"/>
  <c r="Z45" i="7"/>
  <c r="AK174" i="7"/>
  <c r="AA58" i="7"/>
  <c r="AC193" i="7"/>
  <c r="AB194" i="7"/>
  <c r="BL165" i="7"/>
  <c r="BJ30" i="7"/>
  <c r="H19" i="25" s="1"/>
  <c r="BF165" i="7"/>
  <c r="BD30" i="7"/>
  <c r="AP167" i="7"/>
  <c r="AN32" i="7"/>
  <c r="AO168" i="7"/>
  <c r="AS29" i="7"/>
  <c r="AU164" i="7"/>
  <c r="AD41" i="7"/>
  <c r="AF176" i="7"/>
  <c r="AE177" i="7"/>
  <c r="AC179" i="7"/>
  <c r="AA44" i="7"/>
  <c r="BO165" i="7"/>
  <c r="BO31" i="7" s="1"/>
  <c r="BM30" i="7"/>
  <c r="Z64" i="7"/>
  <c r="AB199" i="7"/>
  <c r="AA200" i="7"/>
  <c r="AB195" i="7"/>
  <c r="Z60" i="7"/>
  <c r="AA196" i="7"/>
  <c r="BI165" i="7"/>
  <c r="BG30" i="7"/>
  <c r="H62" i="25" s="1"/>
  <c r="AV31" i="7"/>
  <c r="AX166" i="7"/>
  <c r="AR164" i="7"/>
  <c r="AP29" i="7"/>
  <c r="AC57" i="7"/>
  <c r="AB69" i="7"/>
  <c r="AD204" i="7"/>
  <c r="AD70" i="7" s="1"/>
  <c r="AC50" i="7"/>
  <c r="AE185" i="7"/>
  <c r="AC68" i="7"/>
  <c r="AE203" i="7"/>
  <c r="AC194" i="7"/>
  <c r="AA59" i="7"/>
  <c r="AK179" i="7"/>
  <c r="AI44" i="7"/>
  <c r="AP30" i="7"/>
  <c r="AR165" i="7"/>
  <c r="AA52" i="7"/>
  <c r="AC187" i="7"/>
  <c r="AB188" i="7"/>
  <c r="AB57" i="7"/>
  <c r="AO167" i="7"/>
  <c r="AM32" i="7"/>
  <c r="AN168" i="7"/>
  <c r="AO31" i="7"/>
  <c r="AQ166" i="7"/>
  <c r="Z66" i="7"/>
  <c r="AB201" i="7"/>
  <c r="AA202" i="7"/>
  <c r="BL30" i="7"/>
  <c r="BN165" i="7"/>
  <c r="BN31" i="7" s="1"/>
  <c r="AB58" i="7"/>
  <c r="AD193" i="7"/>
  <c r="AW30" i="7"/>
  <c r="AY165" i="7"/>
  <c r="AD51" i="7"/>
  <c r="AF186" i="7"/>
  <c r="AG41" i="7"/>
  <c r="AI176" i="7"/>
  <c r="AN39" i="7"/>
  <c r="I47" i="11" s="1"/>
  <c r="I48" i="11" s="1"/>
  <c r="AP174" i="7"/>
  <c r="BE165" i="7"/>
  <c r="BC30" i="7"/>
  <c r="AU32" i="7"/>
  <c r="AW167" i="7"/>
  <c r="AZ30" i="7"/>
  <c r="BB165" i="7"/>
  <c r="AB62" i="7"/>
  <c r="AE48" i="7"/>
  <c r="AG183" i="7"/>
  <c r="AZ29" i="7"/>
  <c r="BB164" i="7"/>
  <c r="AZ165" i="7"/>
  <c r="AX30" i="7"/>
  <c r="AK41" i="7"/>
  <c r="AA54" i="7"/>
  <c r="AC189" i="7"/>
  <c r="AE47" i="7"/>
  <c r="AF183" i="7"/>
  <c r="AG185" i="7" s="1"/>
  <c r="AG46" i="7"/>
  <c r="AI181" i="7"/>
  <c r="AJ180" i="7"/>
  <c r="AH45" i="7"/>
  <c r="AL178" i="7"/>
  <c r="AJ43" i="7"/>
  <c r="AV168" i="7"/>
  <c r="AT33" i="7"/>
  <c r="AL171" i="7"/>
  <c r="AK172" i="7"/>
  <c r="Y46" i="7"/>
  <c r="AA181" i="7"/>
  <c r="Z182" i="7"/>
  <c r="AD186" i="7"/>
  <c r="AB51" i="7"/>
  <c r="H1498" i="25" s="1"/>
  <c r="AN31" i="7"/>
  <c r="AP166" i="7"/>
  <c r="AC52" i="7"/>
  <c r="AE187" i="7"/>
  <c r="AO175" i="7"/>
  <c r="AM40" i="7"/>
  <c r="BA30" i="7"/>
  <c r="BC165" i="7"/>
  <c r="AF184" i="7"/>
  <c r="AD49" i="7"/>
  <c r="H380" i="25" s="1"/>
  <c r="AA65" i="7"/>
  <c r="BE30" i="7"/>
  <c r="H73" i="25" s="1"/>
  <c r="BG165" i="7"/>
  <c r="AD188" i="7"/>
  <c r="AB53" i="7"/>
  <c r="BK165" i="7"/>
  <c r="BI30" i="7"/>
  <c r="AJ176" i="7"/>
  <c r="AH41" i="7"/>
  <c r="AI177" i="7"/>
  <c r="AX31" i="7"/>
  <c r="AZ166" i="7"/>
  <c r="BH30" i="7"/>
  <c r="BJ165" i="7"/>
  <c r="AB43" i="7"/>
  <c r="AD178" i="7"/>
  <c r="Z55" i="7"/>
  <c r="AB190" i="7"/>
  <c r="AA191" i="7"/>
  <c r="AH182" i="7"/>
  <c r="AF47" i="7"/>
  <c r="AU169" i="7"/>
  <c r="L13" i="22"/>
  <c r="L38" i="22"/>
  <c r="AD47" i="1"/>
  <c r="E19" i="10"/>
  <c r="M30" i="10" s="1"/>
  <c r="H3405" i="25" l="1"/>
  <c r="H3359" i="25"/>
  <c r="AP177" i="7"/>
  <c r="AV171" i="7"/>
  <c r="AV37" i="7" s="1"/>
  <c r="H2963" i="25"/>
  <c r="H2964" i="25"/>
  <c r="H2968" i="25"/>
  <c r="H3497" i="25"/>
  <c r="H3544" i="25"/>
  <c r="H2895" i="25"/>
  <c r="H3542" i="25"/>
  <c r="H3433" i="25"/>
  <c r="H3432" i="25"/>
  <c r="H3426" i="25"/>
  <c r="H3431" i="25"/>
  <c r="H2012" i="25"/>
  <c r="H3543" i="25"/>
  <c r="H2962" i="25"/>
  <c r="H3360" i="25"/>
  <c r="H2969" i="25"/>
  <c r="I16" i="11"/>
  <c r="H4007" i="25"/>
  <c r="H4011" i="25"/>
  <c r="J508" i="25"/>
  <c r="U507" i="25"/>
  <c r="AM172" i="7"/>
  <c r="AM38" i="7" s="1"/>
  <c r="H3938" i="25" s="1"/>
  <c r="AO171" i="7"/>
  <c r="AO37" i="7" s="1"/>
  <c r="H528" i="25"/>
  <c r="H525" i="25"/>
  <c r="H529" i="25"/>
  <c r="H530" i="25"/>
  <c r="H1937" i="25"/>
  <c r="H1997" i="25"/>
  <c r="H1938" i="25"/>
  <c r="H1986" i="25"/>
  <c r="H1996" i="25"/>
  <c r="H1999" i="25"/>
  <c r="H3391" i="25"/>
  <c r="H1934" i="25"/>
  <c r="H2000" i="25"/>
  <c r="H1939" i="25"/>
  <c r="H1995" i="25"/>
  <c r="H1940" i="25"/>
  <c r="H1998" i="25"/>
  <c r="H3413" i="25"/>
  <c r="H3200" i="25"/>
  <c r="H3377" i="25"/>
  <c r="H3201" i="25"/>
  <c r="H793" i="25"/>
  <c r="H720" i="25"/>
  <c r="H790" i="25"/>
  <c r="H795" i="25"/>
  <c r="H706" i="25"/>
  <c r="H787" i="25"/>
  <c r="H792" i="25"/>
  <c r="H1070" i="25"/>
  <c r="H1078" i="25"/>
  <c r="H1079" i="25"/>
  <c r="H719" i="25"/>
  <c r="H1065" i="25"/>
  <c r="H791" i="25"/>
  <c r="H1077" i="25"/>
  <c r="H1080" i="25"/>
  <c r="H2367" i="25"/>
  <c r="H2371" i="25"/>
  <c r="H2431" i="25"/>
  <c r="H2435" i="25"/>
  <c r="H2368" i="25"/>
  <c r="H2400" i="25"/>
  <c r="H2432" i="25"/>
  <c r="H2366" i="25"/>
  <c r="H2381" i="25"/>
  <c r="H2430" i="25"/>
  <c r="H2369" i="25"/>
  <c r="H2382" i="25"/>
  <c r="H2433" i="25"/>
  <c r="H2408" i="25"/>
  <c r="H2370" i="25"/>
  <c r="H2372" i="25"/>
  <c r="H2375" i="25"/>
  <c r="H2373" i="25"/>
  <c r="H2402" i="25"/>
  <c r="H2365" i="25"/>
  <c r="H3375" i="25"/>
  <c r="H3487" i="25"/>
  <c r="H3378" i="25"/>
  <c r="H3490" i="25"/>
  <c r="H3379" i="25"/>
  <c r="H3491" i="25"/>
  <c r="H3376" i="25"/>
  <c r="H3384" i="25"/>
  <c r="H3380" i="25"/>
  <c r="H3381" i="25"/>
  <c r="H1947" i="25"/>
  <c r="H789" i="25"/>
  <c r="H797" i="25"/>
  <c r="H716" i="25"/>
  <c r="H718" i="25"/>
  <c r="H798" i="25"/>
  <c r="H794" i="25"/>
  <c r="H796" i="25"/>
  <c r="H1073" i="25"/>
  <c r="H788" i="25"/>
  <c r="H1071" i="25"/>
  <c r="H1552" i="25"/>
  <c r="H1551" i="25"/>
  <c r="H2791" i="25"/>
  <c r="H2843" i="25"/>
  <c r="H2847" i="25"/>
  <c r="H2915" i="25"/>
  <c r="H2939" i="25"/>
  <c r="H2943" i="25"/>
  <c r="H2944" i="25"/>
  <c r="H3335" i="25"/>
  <c r="H2942" i="25"/>
  <c r="H3342" i="25"/>
  <c r="H2842" i="25"/>
  <c r="H2938" i="25"/>
  <c r="H2941" i="25"/>
  <c r="H2844" i="25"/>
  <c r="H2845" i="25"/>
  <c r="H2117" i="25"/>
  <c r="H2121" i="25"/>
  <c r="H2119" i="25"/>
  <c r="H2120" i="25"/>
  <c r="H3194" i="25"/>
  <c r="H2116" i="25"/>
  <c r="H2118" i="25"/>
  <c r="H3564" i="25"/>
  <c r="H2383" i="25"/>
  <c r="H2443" i="25"/>
  <c r="H2442" i="25"/>
  <c r="H2338" i="25"/>
  <c r="H2445" i="25"/>
  <c r="H2440" i="25"/>
  <c r="H2446" i="25"/>
  <c r="H2380" i="25"/>
  <c r="H2444" i="25"/>
  <c r="H2429" i="25"/>
  <c r="H2441" i="25"/>
  <c r="H3752" i="25"/>
  <c r="H3751" i="25"/>
  <c r="H1570" i="25"/>
  <c r="H1565" i="25"/>
  <c r="H1569" i="25"/>
  <c r="H1573" i="25"/>
  <c r="H1572" i="25"/>
  <c r="H1571" i="25"/>
  <c r="H2530" i="25"/>
  <c r="H3960" i="25"/>
  <c r="H3959" i="25"/>
  <c r="H2335" i="25"/>
  <c r="H2447" i="25"/>
  <c r="H2336" i="25"/>
  <c r="H2384" i="25"/>
  <c r="H2448" i="25"/>
  <c r="H2386" i="25"/>
  <c r="H2401" i="25"/>
  <c r="H2385" i="25"/>
  <c r="H2527" i="25"/>
  <c r="H2524" i="25"/>
  <c r="H2526" i="25"/>
  <c r="H2911" i="25"/>
  <c r="H1956" i="25"/>
  <c r="H3347" i="25"/>
  <c r="H3439" i="25"/>
  <c r="H3338" i="25"/>
  <c r="H3339" i="25"/>
  <c r="H3343" i="25"/>
  <c r="H3351" i="25"/>
  <c r="H3451" i="25"/>
  <c r="H2913" i="25"/>
  <c r="H2945" i="25"/>
  <c r="H3336" i="25"/>
  <c r="H3344" i="25"/>
  <c r="H3440" i="25"/>
  <c r="H3337" i="25"/>
  <c r="H3348" i="25"/>
  <c r="H3453" i="25"/>
  <c r="H3340" i="25"/>
  <c r="H3349" i="25"/>
  <c r="H3341" i="25"/>
  <c r="H1338" i="25"/>
  <c r="H2734" i="25"/>
  <c r="H742" i="25"/>
  <c r="H3566" i="25"/>
  <c r="H2853" i="25"/>
  <c r="H2841" i="25"/>
  <c r="H2848" i="25"/>
  <c r="H2849" i="25"/>
  <c r="H2850" i="25"/>
  <c r="H3332" i="25"/>
  <c r="H1052" i="25"/>
  <c r="H1093" i="25"/>
  <c r="H1053" i="25"/>
  <c r="H2165" i="25"/>
  <c r="H2164" i="25"/>
  <c r="H1051" i="25"/>
  <c r="H1961" i="25"/>
  <c r="H1975" i="25"/>
  <c r="H1950" i="25"/>
  <c r="H3495" i="25"/>
  <c r="H3486" i="25"/>
  <c r="H1974" i="25"/>
  <c r="H3560" i="25"/>
  <c r="H1960" i="25"/>
  <c r="H3485" i="25"/>
  <c r="H3361" i="25"/>
  <c r="H3492" i="25"/>
  <c r="H3559" i="25"/>
  <c r="H1362" i="25"/>
  <c r="H1490" i="25"/>
  <c r="H1494" i="25"/>
  <c r="H1493" i="25"/>
  <c r="H1492" i="25"/>
  <c r="H1468" i="25"/>
  <c r="H1495" i="25"/>
  <c r="H2041" i="25"/>
  <c r="H2045" i="25"/>
  <c r="H2049" i="25"/>
  <c r="H2050" i="25"/>
  <c r="H2042" i="25"/>
  <c r="H2048" i="25"/>
  <c r="H3527" i="25"/>
  <c r="H2047" i="25"/>
  <c r="H2040" i="25"/>
  <c r="H2051" i="25"/>
  <c r="H3528" i="25"/>
  <c r="H3525" i="25"/>
  <c r="H2043" i="25"/>
  <c r="H2046" i="25"/>
  <c r="H2033" i="25"/>
  <c r="H2037" i="25"/>
  <c r="H2053" i="25"/>
  <c r="H2057" i="25"/>
  <c r="H2061" i="25"/>
  <c r="H2065" i="25"/>
  <c r="H2069" i="25"/>
  <c r="H2034" i="25"/>
  <c r="H2039" i="25"/>
  <c r="H2044" i="25"/>
  <c r="H2055" i="25"/>
  <c r="H2060" i="25"/>
  <c r="H2066" i="25"/>
  <c r="H2071" i="25"/>
  <c r="H2035" i="25"/>
  <c r="H2056" i="25"/>
  <c r="H2063" i="25"/>
  <c r="H1915" i="25"/>
  <c r="H2038" i="25"/>
  <c r="H2058" i="25"/>
  <c r="H2067" i="25"/>
  <c r="H2059" i="25"/>
  <c r="H2068" i="25"/>
  <c r="H2107" i="25"/>
  <c r="H3187" i="25"/>
  <c r="H2052" i="25"/>
  <c r="H2072" i="25"/>
  <c r="H2036" i="25"/>
  <c r="H2064" i="25"/>
  <c r="H3188" i="25"/>
  <c r="H2062" i="25"/>
  <c r="H1957" i="25"/>
  <c r="H1965" i="25"/>
  <c r="H1969" i="25"/>
  <c r="H1973" i="25"/>
  <c r="H1977" i="25"/>
  <c r="H1948" i="25"/>
  <c r="H1959" i="25"/>
  <c r="H1970" i="25"/>
  <c r="H2018" i="25"/>
  <c r="H2899" i="25"/>
  <c r="H1971" i="25"/>
  <c r="H1978" i="25"/>
  <c r="H2020" i="25"/>
  <c r="H2901" i="25"/>
  <c r="H1972" i="25"/>
  <c r="H2019" i="25"/>
  <c r="H2900" i="25"/>
  <c r="H3350" i="25"/>
  <c r="H3438" i="25"/>
  <c r="H3435" i="25"/>
  <c r="H1958" i="25"/>
  <c r="H1976" i="25"/>
  <c r="H1979" i="25"/>
  <c r="H2898" i="25"/>
  <c r="H3356" i="25"/>
  <c r="H3441" i="25"/>
  <c r="H1967" i="25"/>
  <c r="H3357" i="25"/>
  <c r="H1968" i="25"/>
  <c r="H3436" i="25"/>
  <c r="H2897" i="25"/>
  <c r="AG182" i="7"/>
  <c r="AG48" i="7" s="1"/>
  <c r="AS174" i="7"/>
  <c r="AS40" i="7" s="1"/>
  <c r="AQ39" i="7"/>
  <c r="AT173" i="7"/>
  <c r="AN171" i="7"/>
  <c r="AU172" i="7"/>
  <c r="AU38" i="7" s="1"/>
  <c r="AL173" i="7"/>
  <c r="H159" i="25"/>
  <c r="H160" i="25"/>
  <c r="H66" i="25"/>
  <c r="H70" i="25"/>
  <c r="H16" i="11"/>
  <c r="I17" i="11" s="1"/>
  <c r="H360" i="25"/>
  <c r="H71" i="25"/>
  <c r="H69" i="25"/>
  <c r="H72" i="25"/>
  <c r="AH181" i="7"/>
  <c r="AI183" i="7" s="1"/>
  <c r="AH178" i="7"/>
  <c r="AH44" i="7" s="1"/>
  <c r="H3195" i="25" s="1"/>
  <c r="AF43" i="7"/>
  <c r="BK30" i="7"/>
  <c r="H20" i="25" s="1"/>
  <c r="BM165" i="7"/>
  <c r="AP43" i="7"/>
  <c r="H4044" i="25" s="1"/>
  <c r="AG51" i="7"/>
  <c r="H2771" i="25" s="1"/>
  <c r="AA57" i="7"/>
  <c r="AC192" i="7"/>
  <c r="AB193" i="7"/>
  <c r="BE166" i="7"/>
  <c r="BC31" i="7"/>
  <c r="AG188" i="7"/>
  <c r="AE53" i="7"/>
  <c r="AV34" i="7"/>
  <c r="AX169" i="7"/>
  <c r="AL181" i="7"/>
  <c r="AJ46" i="7"/>
  <c r="BD165" i="7"/>
  <c r="BB30" i="7"/>
  <c r="BB31" i="7"/>
  <c r="BD166" i="7"/>
  <c r="AK177" i="7"/>
  <c r="AI42" i="7"/>
  <c r="AY31" i="7"/>
  <c r="H154" i="25" s="1"/>
  <c r="BA166" i="7"/>
  <c r="AB54" i="7"/>
  <c r="AD189" i="7"/>
  <c r="AC190" i="7"/>
  <c r="AA66" i="7"/>
  <c r="AC201" i="7"/>
  <c r="AB202" i="7"/>
  <c r="AH177" i="7"/>
  <c r="AF42" i="7"/>
  <c r="AU30" i="7"/>
  <c r="H928" i="25" s="1"/>
  <c r="AW165" i="7"/>
  <c r="AR168" i="7"/>
  <c r="AP33" i="7"/>
  <c r="BN166" i="7"/>
  <c r="BN32" i="7" s="1"/>
  <c r="BL31" i="7"/>
  <c r="AL176" i="7"/>
  <c r="AC64" i="7"/>
  <c r="AW170" i="7"/>
  <c r="AX172" i="7" s="1"/>
  <c r="AU35" i="7"/>
  <c r="AD191" i="7"/>
  <c r="AB56" i="7"/>
  <c r="BL166" i="7"/>
  <c r="BJ31" i="7"/>
  <c r="AL177" i="7"/>
  <c r="AJ42" i="7"/>
  <c r="AF189" i="7"/>
  <c r="AD54" i="7"/>
  <c r="AD52" i="7"/>
  <c r="AF187" i="7"/>
  <c r="AM173" i="7"/>
  <c r="AL174" i="7"/>
  <c r="AI47" i="7"/>
  <c r="AK182" i="7"/>
  <c r="BE31" i="7"/>
  <c r="BG166" i="7"/>
  <c r="AS167" i="7"/>
  <c r="AQ32" i="7"/>
  <c r="H3774" i="25" s="1"/>
  <c r="AN34" i="7"/>
  <c r="AP169" i="7"/>
  <c r="AO170" i="7"/>
  <c r="AE188" i="7"/>
  <c r="AC53" i="7"/>
  <c r="AG186" i="7"/>
  <c r="AE51" i="7"/>
  <c r="H1466" i="25" s="1"/>
  <c r="AA62" i="7"/>
  <c r="AC197" i="7"/>
  <c r="AB198" i="7"/>
  <c r="AB65" i="7"/>
  <c r="AD200" i="7"/>
  <c r="AB60" i="7"/>
  <c r="AD195" i="7"/>
  <c r="AC196" i="7"/>
  <c r="AS166" i="7"/>
  <c r="AQ31" i="7"/>
  <c r="H240" i="25" s="1"/>
  <c r="BJ166" i="7"/>
  <c r="BH31" i="7"/>
  <c r="BG31" i="7"/>
  <c r="BI166" i="7"/>
  <c r="AR167" i="7"/>
  <c r="AP32" i="7"/>
  <c r="Z48" i="7"/>
  <c r="H1510" i="25" s="1"/>
  <c r="AB183" i="7"/>
  <c r="AA184" i="7"/>
  <c r="AN172" i="7"/>
  <c r="AL37" i="7"/>
  <c r="AL44" i="7"/>
  <c r="AN179" i="7"/>
  <c r="AC55" i="7"/>
  <c r="AE190" i="7"/>
  <c r="AG49" i="7"/>
  <c r="AI184" i="7"/>
  <c r="AY168" i="7"/>
  <c r="AW33" i="7"/>
  <c r="H2463" i="25" s="1"/>
  <c r="AP40" i="7"/>
  <c r="AR175" i="7"/>
  <c r="AH187" i="7"/>
  <c r="AF52" i="7"/>
  <c r="AD59" i="7"/>
  <c r="AC203" i="7"/>
  <c r="AA68" i="7"/>
  <c r="AB204" i="7"/>
  <c r="AB70" i="7" s="1"/>
  <c r="AK45" i="7"/>
  <c r="AM180" i="7"/>
  <c r="AC60" i="7"/>
  <c r="AE195" i="7"/>
  <c r="AT165" i="7"/>
  <c r="AR30" i="7"/>
  <c r="BI31" i="7"/>
  <c r="BK166" i="7"/>
  <c r="AC45" i="7"/>
  <c r="AE180" i="7"/>
  <c r="AO34" i="7"/>
  <c r="AQ169" i="7"/>
  <c r="BF31" i="7"/>
  <c r="BH166" i="7"/>
  <c r="AC59" i="7"/>
  <c r="BC166" i="7"/>
  <c r="BA31" i="7"/>
  <c r="AS30" i="7"/>
  <c r="AU165" i="7"/>
  <c r="AH48" i="7"/>
  <c r="AJ183" i="7"/>
  <c r="AD44" i="7"/>
  <c r="AF179" i="7"/>
  <c r="AZ32" i="7"/>
  <c r="H146" i="25" s="1"/>
  <c r="BB167" i="7"/>
  <c r="AI43" i="7"/>
  <c r="H3565" i="25" s="1"/>
  <c r="AK178" i="7"/>
  <c r="BM166" i="7"/>
  <c r="BK31" i="7"/>
  <c r="AF50" i="7"/>
  <c r="H2736" i="25" s="1"/>
  <c r="AH185" i="7"/>
  <c r="AQ176" i="7"/>
  <c r="AO41" i="7"/>
  <c r="H995" i="25" s="1"/>
  <c r="AC182" i="7"/>
  <c r="AA47" i="7"/>
  <c r="AF49" i="7"/>
  <c r="AZ31" i="7"/>
  <c r="BB166" i="7"/>
  <c r="AB67" i="7"/>
  <c r="AO33" i="7"/>
  <c r="AQ168" i="7"/>
  <c r="AT166" i="7"/>
  <c r="AR31" i="7"/>
  <c r="AE69" i="7"/>
  <c r="AX32" i="7"/>
  <c r="H935" i="25" s="1"/>
  <c r="AZ167" i="7"/>
  <c r="AB61" i="7"/>
  <c r="AD196" i="7"/>
  <c r="AG178" i="7"/>
  <c r="AE43" i="7"/>
  <c r="AB46" i="7"/>
  <c r="AD181" i="7"/>
  <c r="AM43" i="7"/>
  <c r="AO178" i="7"/>
  <c r="AP170" i="7"/>
  <c r="L11" i="22"/>
  <c r="L37" i="22" a="1"/>
  <c r="L37" i="22" s="1"/>
  <c r="L10" i="22" s="1"/>
  <c r="N15" i="21" s="1"/>
  <c r="N17" i="21" s="1"/>
  <c r="N18" i="21" s="1"/>
  <c r="U43" i="1"/>
  <c r="W43" i="1" s="1"/>
  <c r="H43" i="1"/>
  <c r="H11" i="1" s="1"/>
  <c r="U42" i="1"/>
  <c r="W42" i="1" s="1"/>
  <c r="M19" i="10"/>
  <c r="R9" i="10"/>
  <c r="G27" i="10" s="1"/>
  <c r="AN174" i="7" l="1"/>
  <c r="AN40" i="7" s="1"/>
  <c r="H3940" i="25"/>
  <c r="AO173" i="7"/>
  <c r="AO39" i="7" s="1"/>
  <c r="H3939" i="25"/>
  <c r="J509" i="25"/>
  <c r="U508" i="25"/>
  <c r="H1943" i="25"/>
  <c r="H1942" i="25"/>
  <c r="H2030" i="25"/>
  <c r="H3402" i="25"/>
  <c r="H3395" i="25"/>
  <c r="H3403" i="25"/>
  <c r="H3419" i="25"/>
  <c r="H1988" i="25"/>
  <c r="H3388" i="25"/>
  <c r="H3397" i="25"/>
  <c r="H3420" i="25"/>
  <c r="H3537" i="25"/>
  <c r="H3404" i="25"/>
  <c r="H3425" i="25"/>
  <c r="H2903" i="25"/>
  <c r="H3223" i="25"/>
  <c r="H3363" i="25"/>
  <c r="H3371" i="25"/>
  <c r="H3479" i="25"/>
  <c r="H3218" i="25"/>
  <c r="H3222" i="25"/>
  <c r="H3362" i="25"/>
  <c r="H3478" i="25"/>
  <c r="H3558" i="25"/>
  <c r="H3368" i="25"/>
  <c r="H3480" i="25"/>
  <c r="H3555" i="25"/>
  <c r="H3205" i="25"/>
  <c r="H3365" i="25"/>
  <c r="H3220" i="25"/>
  <c r="H3369" i="25"/>
  <c r="H3476" i="25"/>
  <c r="H3372" i="25"/>
  <c r="H3225" i="25"/>
  <c r="H3364" i="25"/>
  <c r="H3373" i="25"/>
  <c r="H3481" i="25"/>
  <c r="H1370" i="25"/>
  <c r="H1482" i="25"/>
  <c r="H1486" i="25"/>
  <c r="H1361" i="25"/>
  <c r="H1364" i="25"/>
  <c r="H1483" i="25"/>
  <c r="H1488" i="25"/>
  <c r="H1363" i="25"/>
  <c r="H1369" i="25"/>
  <c r="H1481" i="25"/>
  <c r="H1487" i="25"/>
  <c r="H1368" i="25"/>
  <c r="H1491" i="25"/>
  <c r="H1365" i="25"/>
  <c r="H1360" i="25"/>
  <c r="H1489" i="25"/>
  <c r="H1485" i="25"/>
  <c r="H2835" i="25"/>
  <c r="H2804" i="25"/>
  <c r="H2836" i="25"/>
  <c r="H2905" i="25"/>
  <c r="H2910" i="25"/>
  <c r="H2805" i="25"/>
  <c r="H2837" i="25"/>
  <c r="H2785" i="25"/>
  <c r="H2840" i="25"/>
  <c r="H3345" i="25"/>
  <c r="H2801" i="25"/>
  <c r="H2802" i="25"/>
  <c r="H1553" i="25"/>
  <c r="H2879" i="25"/>
  <c r="H2880" i="25"/>
  <c r="H2878" i="25"/>
  <c r="H2889" i="25"/>
  <c r="H2921" i="25"/>
  <c r="H2949" i="25"/>
  <c r="H2924" i="25"/>
  <c r="H2918" i="25"/>
  <c r="H3775" i="25"/>
  <c r="H3761" i="25"/>
  <c r="H2511" i="25"/>
  <c r="H2519" i="25"/>
  <c r="H2512" i="25"/>
  <c r="H2518" i="25"/>
  <c r="H2520" i="25"/>
  <c r="H2513" i="25"/>
  <c r="H2735" i="25"/>
  <c r="H2855" i="25"/>
  <c r="H2857" i="25"/>
  <c r="H2774" i="25"/>
  <c r="H2856" i="25"/>
  <c r="H2395" i="25"/>
  <c r="H2394" i="25"/>
  <c r="H2396" i="25"/>
  <c r="H2397" i="25"/>
  <c r="H2337" i="25"/>
  <c r="H2393" i="25"/>
  <c r="H2398" i="25"/>
  <c r="H3755" i="25"/>
  <c r="H3756" i="25"/>
  <c r="H2387" i="25"/>
  <c r="H2391" i="25"/>
  <c r="H2399" i="25"/>
  <c r="H2407" i="25"/>
  <c r="H2451" i="25"/>
  <c r="H2405" i="25"/>
  <c r="H2453" i="25"/>
  <c r="H2388" i="25"/>
  <c r="H2452" i="25"/>
  <c r="H2390" i="25"/>
  <c r="H2404" i="25"/>
  <c r="H2392" i="25"/>
  <c r="H2406" i="25"/>
  <c r="H2450" i="25"/>
  <c r="H1329" i="25"/>
  <c r="H1336" i="25"/>
  <c r="H741" i="25"/>
  <c r="H750" i="25"/>
  <c r="H751" i="25"/>
  <c r="H1054" i="25"/>
  <c r="H511" i="25"/>
  <c r="H2085" i="25"/>
  <c r="H2093" i="25"/>
  <c r="H2113" i="25"/>
  <c r="H2092" i="25"/>
  <c r="H2098" i="25"/>
  <c r="H2114" i="25"/>
  <c r="H2078" i="25"/>
  <c r="H2091" i="25"/>
  <c r="H2099" i="25"/>
  <c r="H2106" i="25"/>
  <c r="H2112" i="25"/>
  <c r="H2088" i="25"/>
  <c r="H2090" i="25"/>
  <c r="H3192" i="25"/>
  <c r="H2080" i="25"/>
  <c r="H1987" i="25"/>
  <c r="AH184" i="7"/>
  <c r="AI186" i="7" s="1"/>
  <c r="AJ188" i="7" s="1"/>
  <c r="H2803" i="25"/>
  <c r="H2839" i="25"/>
  <c r="H2907" i="25"/>
  <c r="H2830" i="25"/>
  <c r="H3446" i="25"/>
  <c r="H2906" i="25"/>
  <c r="H2806" i="25"/>
  <c r="H2838" i="25"/>
  <c r="H2904" i="25"/>
  <c r="H2834" i="25"/>
  <c r="H2908" i="25"/>
  <c r="H2909" i="25"/>
  <c r="H3445" i="25"/>
  <c r="H2883" i="25"/>
  <c r="H2955" i="25"/>
  <c r="H2967" i="25"/>
  <c r="H2971" i="25"/>
  <c r="H2975" i="25"/>
  <c r="H2954" i="25"/>
  <c r="H2965" i="25"/>
  <c r="H2976" i="25"/>
  <c r="H2010" i="25"/>
  <c r="H2884" i="25"/>
  <c r="H2974" i="25"/>
  <c r="H2980" i="25"/>
  <c r="H3406" i="25"/>
  <c r="H2011" i="25"/>
  <c r="H2885" i="25"/>
  <c r="H2960" i="25"/>
  <c r="H2970" i="25"/>
  <c r="H3427" i="25"/>
  <c r="H2956" i="25"/>
  <c r="H2966" i="25"/>
  <c r="H2977" i="25"/>
  <c r="H2957" i="25"/>
  <c r="H2978" i="25"/>
  <c r="H2961" i="25"/>
  <c r="H3429" i="25"/>
  <c r="H2972" i="25"/>
  <c r="H2973" i="25"/>
  <c r="H3428" i="25"/>
  <c r="H2142" i="25"/>
  <c r="H2160" i="25"/>
  <c r="H2159" i="25"/>
  <c r="H2775" i="25"/>
  <c r="H2783" i="25"/>
  <c r="H2772" i="25"/>
  <c r="H3330" i="25"/>
  <c r="H1100" i="25"/>
  <c r="H1097" i="25"/>
  <c r="H1099" i="25"/>
  <c r="H2161" i="25"/>
  <c r="H1340" i="25"/>
  <c r="H1339" i="25"/>
  <c r="H2467" i="25"/>
  <c r="H2466" i="25"/>
  <c r="H3782" i="25"/>
  <c r="H2462" i="25"/>
  <c r="H3783" i="25"/>
  <c r="H2470" i="25"/>
  <c r="H3780" i="25"/>
  <c r="H2081" i="25"/>
  <c r="H2089" i="25"/>
  <c r="H2097" i="25"/>
  <c r="H2101" i="25"/>
  <c r="H2082" i="25"/>
  <c r="H2103" i="25"/>
  <c r="H2084" i="25"/>
  <c r="H2095" i="25"/>
  <c r="H2104" i="25"/>
  <c r="H2115" i="25"/>
  <c r="H2079" i="25"/>
  <c r="H2096" i="25"/>
  <c r="H2094" i="25"/>
  <c r="H2102" i="25"/>
  <c r="H2083" i="25"/>
  <c r="H2100" i="25"/>
  <c r="H3193" i="25"/>
  <c r="H725" i="25"/>
  <c r="H737" i="25"/>
  <c r="H726" i="25"/>
  <c r="H768" i="25"/>
  <c r="H784" i="25"/>
  <c r="H770" i="25"/>
  <c r="H782" i="25"/>
  <c r="H783" i="25"/>
  <c r="H1046" i="25"/>
  <c r="H1050" i="25"/>
  <c r="H1090" i="25"/>
  <c r="H1047" i="25"/>
  <c r="H1084" i="25"/>
  <c r="H1089" i="25"/>
  <c r="H1040" i="25"/>
  <c r="H1048" i="25"/>
  <c r="H724" i="25"/>
  <c r="H1037" i="25"/>
  <c r="H1085" i="25"/>
  <c r="H1039" i="25"/>
  <c r="H1049" i="25"/>
  <c r="H1032" i="25"/>
  <c r="H1525" i="25"/>
  <c r="H2871" i="25"/>
  <c r="H2862" i="25"/>
  <c r="H1470" i="25"/>
  <c r="H1478" i="25"/>
  <c r="H1471" i="25"/>
  <c r="H1475" i="25"/>
  <c r="H845" i="25"/>
  <c r="H3946" i="25"/>
  <c r="H3949" i="25"/>
  <c r="H3947" i="25"/>
  <c r="H753" i="25"/>
  <c r="H752" i="25"/>
  <c r="H754" i="25"/>
  <c r="H739" i="25"/>
  <c r="H740" i="25"/>
  <c r="H3568" i="25"/>
  <c r="H3567" i="25"/>
  <c r="H2087" i="25"/>
  <c r="H2086" i="25"/>
  <c r="H3199" i="25"/>
  <c r="H3203" i="25"/>
  <c r="H3196" i="25"/>
  <c r="H3204" i="25"/>
  <c r="H1330" i="25"/>
  <c r="H1358" i="25"/>
  <c r="H1356" i="25"/>
  <c r="H1367" i="25"/>
  <c r="H1357" i="25"/>
  <c r="H1341" i="25"/>
  <c r="H1353" i="25"/>
  <c r="H1359" i="25"/>
  <c r="H2597" i="25"/>
  <c r="H2600" i="25"/>
  <c r="H3818" i="25"/>
  <c r="H3826" i="25"/>
  <c r="H3817" i="25"/>
  <c r="H3825" i="25"/>
  <c r="H3820" i="25"/>
  <c r="H2546" i="25"/>
  <c r="H3909" i="25"/>
  <c r="H222" i="25"/>
  <c r="F108" i="11"/>
  <c r="AU175" i="7"/>
  <c r="AU41" i="7" s="1"/>
  <c r="AT39" i="7"/>
  <c r="AV174" i="7"/>
  <c r="AI180" i="7"/>
  <c r="AI46" i="7" s="1"/>
  <c r="AN37" i="7"/>
  <c r="AM175" i="7"/>
  <c r="AL39" i="7"/>
  <c r="AW173" i="7"/>
  <c r="AW39" i="7" s="1"/>
  <c r="AH47" i="7"/>
  <c r="H115" i="25"/>
  <c r="H364" i="25"/>
  <c r="H389" i="25"/>
  <c r="AJ179" i="7"/>
  <c r="AJ45" i="7" s="1"/>
  <c r="H151" i="25"/>
  <c r="H149" i="25"/>
  <c r="H150" i="25"/>
  <c r="H152" i="25"/>
  <c r="H17" i="25"/>
  <c r="H18" i="25"/>
  <c r="H239" i="25"/>
  <c r="H147" i="25"/>
  <c r="H153" i="25"/>
  <c r="L78" i="11"/>
  <c r="H241" i="25"/>
  <c r="H237" i="25"/>
  <c r="H236" i="25"/>
  <c r="H11" i="25"/>
  <c r="H13" i="25"/>
  <c r="H12" i="25"/>
  <c r="BO166" i="7"/>
  <c r="BO32" i="7" s="1"/>
  <c r="H10" i="25" s="1"/>
  <c r="BM31" i="7"/>
  <c r="H16" i="25" s="1"/>
  <c r="AD47" i="7"/>
  <c r="AF182" i="7"/>
  <c r="AZ33" i="7"/>
  <c r="BB168" i="7"/>
  <c r="AX38" i="7"/>
  <c r="H3805" i="25" s="1"/>
  <c r="BD167" i="7"/>
  <c r="BB32" i="7"/>
  <c r="AJ186" i="7"/>
  <c r="AH51" i="7"/>
  <c r="H2737" i="25" s="1"/>
  <c r="BJ167" i="7"/>
  <c r="BH32" i="7"/>
  <c r="AE46" i="7"/>
  <c r="AG181" i="7"/>
  <c r="AO181" i="7"/>
  <c r="AM46" i="7"/>
  <c r="H2133" i="25" s="1"/>
  <c r="AC69" i="7"/>
  <c r="AH53" i="7"/>
  <c r="AY34" i="7"/>
  <c r="H943" i="25" s="1"/>
  <c r="BA169" i="7"/>
  <c r="AN38" i="7"/>
  <c r="AP173" i="7"/>
  <c r="AC62" i="7"/>
  <c r="AE197" i="7"/>
  <c r="AD198" i="7"/>
  <c r="AQ171" i="7"/>
  <c r="AO36" i="7"/>
  <c r="H2529" i="25" s="1"/>
  <c r="AP172" i="7"/>
  <c r="AS33" i="7"/>
  <c r="AU168" i="7"/>
  <c r="AL43" i="7"/>
  <c r="AF192" i="7"/>
  <c r="AD57" i="7"/>
  <c r="AE202" i="7"/>
  <c r="AC67" i="7"/>
  <c r="AK43" i="7"/>
  <c r="AM178" i="7"/>
  <c r="BD31" i="7"/>
  <c r="BF166" i="7"/>
  <c r="AL47" i="7"/>
  <c r="AN182" i="7"/>
  <c r="AG54" i="7"/>
  <c r="AI189" i="7"/>
  <c r="AC58" i="7"/>
  <c r="AE193" i="7"/>
  <c r="AP36" i="7"/>
  <c r="AR171" i="7"/>
  <c r="AG44" i="7"/>
  <c r="AI179" i="7"/>
  <c r="AE183" i="7"/>
  <c r="AC48" i="7"/>
  <c r="H2859" i="25" s="1"/>
  <c r="AK44" i="7"/>
  <c r="AM179" i="7"/>
  <c r="AF45" i="7"/>
  <c r="AH180" i="7"/>
  <c r="AQ172" i="7"/>
  <c r="AT31" i="7"/>
  <c r="AV166" i="7"/>
  <c r="AT176" i="7"/>
  <c r="AR41" i="7"/>
  <c r="H1000" i="25" s="1"/>
  <c r="AI50" i="7"/>
  <c r="AK185" i="7"/>
  <c r="AP180" i="7"/>
  <c r="AN45" i="7"/>
  <c r="AC185" i="7"/>
  <c r="AA50" i="7"/>
  <c r="AB186" i="7"/>
  <c r="AR33" i="7"/>
  <c r="H3767" i="25" s="1"/>
  <c r="AT168" i="7"/>
  <c r="AS32" i="7"/>
  <c r="AU167" i="7"/>
  <c r="AD61" i="7"/>
  <c r="AB64" i="7"/>
  <c r="AD199" i="7"/>
  <c r="AC200" i="7"/>
  <c r="AI187" i="7"/>
  <c r="AG52" i="7"/>
  <c r="AP35" i="7"/>
  <c r="AR170" i="7"/>
  <c r="BI167" i="7"/>
  <c r="BG32" i="7"/>
  <c r="AN175" i="7"/>
  <c r="AL40" i="7"/>
  <c r="AM176" i="7"/>
  <c r="AL42" i="7"/>
  <c r="BC167" i="7"/>
  <c r="BA32" i="7"/>
  <c r="BD32" i="7"/>
  <c r="BF167" i="7"/>
  <c r="AI49" i="7"/>
  <c r="H2780" i="25" s="1"/>
  <c r="AZ170" i="7"/>
  <c r="AX35" i="7"/>
  <c r="AQ179" i="7"/>
  <c r="AO44" i="7"/>
  <c r="AD62" i="7"/>
  <c r="AF197" i="7"/>
  <c r="AS169" i="7"/>
  <c r="AQ34" i="7"/>
  <c r="AS170" i="7"/>
  <c r="AQ35" i="7"/>
  <c r="BK32" i="7"/>
  <c r="BM167" i="7"/>
  <c r="AE61" i="7"/>
  <c r="AD184" i="7"/>
  <c r="AB49" i="7"/>
  <c r="BK167" i="7"/>
  <c r="BI32" i="7"/>
  <c r="H74" i="25" s="1"/>
  <c r="AE198" i="7"/>
  <c r="AC63" i="7"/>
  <c r="AO174" i="7"/>
  <c r="AM39" i="7"/>
  <c r="AF55" i="7"/>
  <c r="AH190" i="7"/>
  <c r="BN167" i="7"/>
  <c r="BN33" i="7" s="1"/>
  <c r="BL32" i="7"/>
  <c r="AW36" i="7"/>
  <c r="H246" i="25" s="1"/>
  <c r="AY171" i="7"/>
  <c r="AZ173" i="7" s="1"/>
  <c r="AT169" i="7"/>
  <c r="AR34" i="7"/>
  <c r="H2531" i="25" s="1"/>
  <c r="AJ178" i="7"/>
  <c r="AH43" i="7"/>
  <c r="AC56" i="7"/>
  <c r="AE191" i="7"/>
  <c r="AD192" i="7"/>
  <c r="BG167" i="7"/>
  <c r="BE32" i="7"/>
  <c r="AV167" i="7"/>
  <c r="AT32" i="7"/>
  <c r="AQ42" i="7"/>
  <c r="K47" i="11" s="1"/>
  <c r="AS177" i="7"/>
  <c r="BM32" i="7"/>
  <c r="BO167" i="7"/>
  <c r="BO33" i="7" s="1"/>
  <c r="BB33" i="7"/>
  <c r="H166" i="25" s="1"/>
  <c r="BD168" i="7"/>
  <c r="AL184" i="7"/>
  <c r="AJ49" i="7"/>
  <c r="AW166" i="7"/>
  <c r="AU31" i="7"/>
  <c r="BC32" i="7"/>
  <c r="BE167" i="7"/>
  <c r="AG191" i="7"/>
  <c r="AE56" i="7"/>
  <c r="BJ32" i="7"/>
  <c r="BL167" i="7"/>
  <c r="AP175" i="7"/>
  <c r="AD66" i="7"/>
  <c r="AG189" i="7"/>
  <c r="AE54" i="7"/>
  <c r="AM183" i="7"/>
  <c r="AK48" i="7"/>
  <c r="AF53" i="7"/>
  <c r="AH188" i="7"/>
  <c r="AY166" i="7"/>
  <c r="AW31" i="7"/>
  <c r="AB68" i="7"/>
  <c r="AD203" i="7"/>
  <c r="AC204" i="7"/>
  <c r="AC70" i="7" s="1"/>
  <c r="AF190" i="7"/>
  <c r="AD55" i="7"/>
  <c r="AB59" i="7"/>
  <c r="AD194" i="7"/>
  <c r="AC195" i="7"/>
  <c r="AR178" i="7"/>
  <c r="N19" i="21"/>
  <c r="N20" i="21" s="1"/>
  <c r="N23" i="21" s="1"/>
  <c r="J16" i="11" l="1"/>
  <c r="J17" i="11" s="1"/>
  <c r="J47" i="11"/>
  <c r="J48" i="11" s="1"/>
  <c r="H3934" i="25"/>
  <c r="D47" i="11"/>
  <c r="Q47" i="11"/>
  <c r="H4006" i="25"/>
  <c r="AO176" i="7"/>
  <c r="AO42" i="7" s="1"/>
  <c r="AI52" i="7"/>
  <c r="H1454" i="25" s="1"/>
  <c r="H4003" i="25"/>
  <c r="H4004" i="25"/>
  <c r="H3941" i="25"/>
  <c r="H4010" i="25"/>
  <c r="H4008" i="25"/>
  <c r="H4009" i="25"/>
  <c r="H4019" i="25"/>
  <c r="H4020" i="25"/>
  <c r="H4025" i="25"/>
  <c r="H4053" i="25"/>
  <c r="H4021" i="25"/>
  <c r="H4055" i="25"/>
  <c r="H4052" i="25"/>
  <c r="AJ182" i="7"/>
  <c r="AK184" i="7" s="1"/>
  <c r="AK50" i="7" s="1"/>
  <c r="J510" i="25"/>
  <c r="U509" i="25"/>
  <c r="H2551" i="25"/>
  <c r="H2555" i="25"/>
  <c r="H2554" i="25"/>
  <c r="H2581" i="25"/>
  <c r="H2580" i="25"/>
  <c r="H3906" i="25"/>
  <c r="H3918" i="25"/>
  <c r="H2553" i="25"/>
  <c r="H2459" i="25"/>
  <c r="H2458" i="25"/>
  <c r="H2460" i="25"/>
  <c r="H3763" i="25"/>
  <c r="H2457" i="25"/>
  <c r="H1345" i="25"/>
  <c r="H1323" i="25"/>
  <c r="H2473" i="25"/>
  <c r="H3793" i="25"/>
  <c r="H1148" i="25"/>
  <c r="H1104" i="25"/>
  <c r="H2130" i="25"/>
  <c r="H2162" i="25"/>
  <c r="H2153" i="25"/>
  <c r="H2140" i="25"/>
  <c r="H2154" i="25"/>
  <c r="H3209" i="25"/>
  <c r="H745" i="25"/>
  <c r="H749" i="25"/>
  <c r="H757" i="25"/>
  <c r="H761" i="25"/>
  <c r="H747" i="25"/>
  <c r="H758" i="25"/>
  <c r="H763" i="25"/>
  <c r="H743" i="25"/>
  <c r="H748" i="25"/>
  <c r="H759" i="25"/>
  <c r="H744" i="25"/>
  <c r="H755" i="25"/>
  <c r="H760" i="25"/>
  <c r="H1094" i="25"/>
  <c r="H762" i="25"/>
  <c r="H756" i="25"/>
  <c r="H746" i="25"/>
  <c r="H2163" i="25"/>
  <c r="H1379" i="25"/>
  <c r="H1461" i="25"/>
  <c r="H1460" i="25"/>
  <c r="H2733" i="25"/>
  <c r="H2799" i="25"/>
  <c r="H2935" i="25"/>
  <c r="H2788" i="25"/>
  <c r="H2846" i="25"/>
  <c r="H2916" i="25"/>
  <c r="H2937" i="25"/>
  <c r="H2917" i="25"/>
  <c r="H2796" i="25"/>
  <c r="H2946" i="25"/>
  <c r="H2790" i="25"/>
  <c r="H2940" i="25"/>
  <c r="H2539" i="25"/>
  <c r="H2544" i="25"/>
  <c r="H2545" i="25"/>
  <c r="H2540" i="25"/>
  <c r="H1326" i="25"/>
  <c r="H1334" i="25"/>
  <c r="H1335" i="25"/>
  <c r="H1327" i="25"/>
  <c r="H1333" i="25"/>
  <c r="H1331" i="25"/>
  <c r="H1332" i="25"/>
  <c r="H1006" i="25"/>
  <c r="H1007" i="25"/>
  <c r="H2589" i="25"/>
  <c r="H2596" i="25"/>
  <c r="H1068" i="25"/>
  <c r="H2168" i="25"/>
  <c r="H765" i="25"/>
  <c r="H773" i="25"/>
  <c r="H777" i="25"/>
  <c r="H781" i="25"/>
  <c r="H774" i="25"/>
  <c r="H779" i="25"/>
  <c r="H764" i="25"/>
  <c r="H766" i="25"/>
  <c r="H771" i="25"/>
  <c r="H776" i="25"/>
  <c r="H772" i="25"/>
  <c r="H780" i="25"/>
  <c r="H1095" i="25"/>
  <c r="H1091" i="25"/>
  <c r="H775" i="25"/>
  <c r="H767" i="25"/>
  <c r="H1092" i="25"/>
  <c r="H1096" i="25"/>
  <c r="H778" i="25"/>
  <c r="H2017" i="25"/>
  <c r="H2021" i="25"/>
  <c r="H1964" i="25"/>
  <c r="H1980" i="25"/>
  <c r="H1963" i="25"/>
  <c r="H3355" i="25"/>
  <c r="H1962" i="25"/>
  <c r="H3354" i="25"/>
  <c r="H3358" i="25"/>
  <c r="H1966" i="25"/>
  <c r="H2015" i="25"/>
  <c r="H3352" i="25"/>
  <c r="H3496" i="25"/>
  <c r="H2016" i="25"/>
  <c r="H3353" i="25"/>
  <c r="H3437" i="25"/>
  <c r="H2125" i="25"/>
  <c r="H3563" i="25"/>
  <c r="H3455" i="25"/>
  <c r="H3463" i="25"/>
  <c r="H3366" i="25"/>
  <c r="H3370" i="25"/>
  <c r="H3442" i="25"/>
  <c r="H3554" i="25"/>
  <c r="H3367" i="25"/>
  <c r="H3443" i="25"/>
  <c r="H3553" i="25"/>
  <c r="H3551" i="25"/>
  <c r="H3552" i="25"/>
  <c r="H1328" i="25"/>
  <c r="H1352" i="25"/>
  <c r="H3303" i="25"/>
  <c r="H2808" i="25"/>
  <c r="H3273" i="25"/>
  <c r="AJ185" i="7"/>
  <c r="AJ51" i="7" s="1"/>
  <c r="H733" i="25"/>
  <c r="H732" i="25"/>
  <c r="H3778" i="25"/>
  <c r="H3777" i="25"/>
  <c r="H1506" i="25"/>
  <c r="H1505" i="25"/>
  <c r="H1949" i="25"/>
  <c r="H3383" i="25"/>
  <c r="H3382" i="25"/>
  <c r="H2896" i="25"/>
  <c r="H3488" i="25"/>
  <c r="H3489" i="25"/>
  <c r="H3385" i="25"/>
  <c r="H1346" i="25"/>
  <c r="H1350" i="25"/>
  <c r="H1351" i="25"/>
  <c r="H1349" i="25"/>
  <c r="H937" i="25"/>
  <c r="H936" i="25"/>
  <c r="H2503" i="25"/>
  <c r="H2507" i="25"/>
  <c r="H2502" i="25"/>
  <c r="H3806" i="25"/>
  <c r="H2505" i="25"/>
  <c r="H3829" i="25"/>
  <c r="H2141" i="25"/>
  <c r="H3219" i="25"/>
  <c r="H3483" i="25"/>
  <c r="H931" i="25"/>
  <c r="H933" i="25"/>
  <c r="H934" i="25"/>
  <c r="H932" i="25"/>
  <c r="H3215" i="25"/>
  <c r="H3471" i="25"/>
  <c r="H3214" i="25"/>
  <c r="H3470" i="25"/>
  <c r="H3472" i="25"/>
  <c r="H3473" i="25"/>
  <c r="H3468" i="25"/>
  <c r="AH50" i="7"/>
  <c r="H785" i="25"/>
  <c r="H1086" i="25"/>
  <c r="H786" i="25"/>
  <c r="H1087" i="25"/>
  <c r="H1088" i="25"/>
  <c r="H1462" i="25"/>
  <c r="H1377" i="25"/>
  <c r="H2779" i="25"/>
  <c r="H2777" i="25"/>
  <c r="H2778" i="25"/>
  <c r="H2810" i="25"/>
  <c r="H3757" i="25"/>
  <c r="H2456" i="25"/>
  <c r="H3766" i="25"/>
  <c r="H3770" i="25"/>
  <c r="H3768" i="25"/>
  <c r="H3769" i="25"/>
  <c r="H3764" i="25"/>
  <c r="H3765" i="25"/>
  <c r="H3933" i="25"/>
  <c r="H3936" i="25"/>
  <c r="AW176" i="7"/>
  <c r="AW42" i="7" s="1"/>
  <c r="AV40" i="7"/>
  <c r="H3912" i="25" s="1"/>
  <c r="AN177" i="7"/>
  <c r="AO179" i="7" s="1"/>
  <c r="AM41" i="7"/>
  <c r="H219" i="25"/>
  <c r="AX175" i="7"/>
  <c r="AX41" i="7" s="1"/>
  <c r="AY174" i="7"/>
  <c r="BA175" i="7" s="1"/>
  <c r="AK181" i="7"/>
  <c r="AL180" i="7"/>
  <c r="AL46" i="7" s="1"/>
  <c r="H358" i="25"/>
  <c r="K16" i="11"/>
  <c r="K17" i="11" s="1"/>
  <c r="H158" i="25"/>
  <c r="H148" i="25"/>
  <c r="H78" i="11"/>
  <c r="H137" i="25"/>
  <c r="H136" i="25"/>
  <c r="H145" i="25"/>
  <c r="H144" i="25"/>
  <c r="H362" i="25"/>
  <c r="H366" i="25"/>
  <c r="H15" i="25"/>
  <c r="H14" i="25"/>
  <c r="H121" i="25"/>
  <c r="H387" i="25"/>
  <c r="H367" i="25"/>
  <c r="H370" i="25"/>
  <c r="H217" i="25"/>
  <c r="AZ39" i="7"/>
  <c r="AR44" i="7"/>
  <c r="M47" i="11" s="1"/>
  <c r="AT179" i="7"/>
  <c r="AF204" i="7"/>
  <c r="AF70" i="7" s="1"/>
  <c r="AD69" i="7"/>
  <c r="BD34" i="7"/>
  <c r="BF169" i="7"/>
  <c r="AT35" i="7"/>
  <c r="H228" i="25" s="1"/>
  <c r="AV170" i="7"/>
  <c r="AE64" i="7"/>
  <c r="AG199" i="7"/>
  <c r="AD50" i="7"/>
  <c r="AF185" i="7"/>
  <c r="AU170" i="7"/>
  <c r="AS35" i="7"/>
  <c r="H231" i="25" s="1"/>
  <c r="AS180" i="7"/>
  <c r="AS46" i="7" s="1"/>
  <c r="AQ45" i="7"/>
  <c r="BE168" i="7"/>
  <c r="BC33" i="7"/>
  <c r="AT171" i="7"/>
  <c r="AR36" i="7"/>
  <c r="AC66" i="7"/>
  <c r="AE201" i="7"/>
  <c r="AD202" i="7"/>
  <c r="AM45" i="7"/>
  <c r="AK180" i="7"/>
  <c r="AI45" i="7"/>
  <c r="H3562" i="25" s="1"/>
  <c r="AG194" i="7"/>
  <c r="AE59" i="7"/>
  <c r="AN48" i="7"/>
  <c r="H2139" i="25" s="1"/>
  <c r="AP183" i="7"/>
  <c r="AM44" i="7"/>
  <c r="AU34" i="7"/>
  <c r="AW169" i="7"/>
  <c r="AS172" i="7"/>
  <c r="AQ37" i="7"/>
  <c r="BA35" i="7"/>
  <c r="H942" i="25" s="1"/>
  <c r="BC170" i="7"/>
  <c r="AI182" i="7"/>
  <c r="AG47" i="7"/>
  <c r="AH183" i="7"/>
  <c r="AF48" i="7"/>
  <c r="AI190" i="7"/>
  <c r="AG55" i="7"/>
  <c r="AP41" i="7"/>
  <c r="AI192" i="7"/>
  <c r="AG57" i="7"/>
  <c r="AW32" i="7"/>
  <c r="AY167" i="7"/>
  <c r="AV33" i="7"/>
  <c r="AX168" i="7"/>
  <c r="BI168" i="7"/>
  <c r="BG33" i="7"/>
  <c r="AF63" i="7"/>
  <c r="BF33" i="7"/>
  <c r="BH168" i="7"/>
  <c r="AP176" i="7"/>
  <c r="AN41" i="7"/>
  <c r="H4057" i="25" s="1"/>
  <c r="AD65" i="7"/>
  <c r="AF200" i="7"/>
  <c r="AU33" i="7"/>
  <c r="AW168" i="7"/>
  <c r="AD187" i="7"/>
  <c r="AB52" i="7"/>
  <c r="AC188" i="7"/>
  <c r="AP46" i="7"/>
  <c r="AR181" i="7"/>
  <c r="AT42" i="7"/>
  <c r="AV177" i="7"/>
  <c r="AS173" i="7"/>
  <c r="AQ38" i="7"/>
  <c r="AH193" i="7"/>
  <c r="AF58" i="7"/>
  <c r="AD64" i="7"/>
  <c r="AF199" i="7"/>
  <c r="AE200" i="7"/>
  <c r="BD33" i="7"/>
  <c r="BF168" i="7"/>
  <c r="AU178" i="7"/>
  <c r="AS43" i="7"/>
  <c r="H4042" i="25" s="1"/>
  <c r="AC61" i="7"/>
  <c r="AE196" i="7"/>
  <c r="AD197" i="7"/>
  <c r="AH191" i="7"/>
  <c r="AF56" i="7"/>
  <c r="BN168" i="7"/>
  <c r="BN34" i="7" s="1"/>
  <c r="BL33" i="7"/>
  <c r="BE33" i="7"/>
  <c r="BG168" i="7"/>
  <c r="AD58" i="7"/>
  <c r="AF193" i="7"/>
  <c r="AE194" i="7"/>
  <c r="AL179" i="7"/>
  <c r="AJ44" i="7"/>
  <c r="AQ177" i="7"/>
  <c r="AO40" i="7"/>
  <c r="H4012" i="25" s="1"/>
  <c r="AQ175" i="7"/>
  <c r="BK33" i="7"/>
  <c r="BM168" i="7"/>
  <c r="AU171" i="7"/>
  <c r="AS36" i="7"/>
  <c r="BB171" i="7"/>
  <c r="AZ36" i="7"/>
  <c r="H949" i="25" s="1"/>
  <c r="AK51" i="7"/>
  <c r="AM186" i="7"/>
  <c r="AX167" i="7"/>
  <c r="AV32" i="7"/>
  <c r="AH46" i="7"/>
  <c r="AJ181" i="7"/>
  <c r="AT172" i="7"/>
  <c r="AR37" i="7"/>
  <c r="AI55" i="7"/>
  <c r="AK190" i="7"/>
  <c r="BF32" i="7"/>
  <c r="BH167" i="7"/>
  <c r="AP38" i="7"/>
  <c r="AR173" i="7"/>
  <c r="AQ174" i="7"/>
  <c r="AR176" i="7" s="1"/>
  <c r="AE63" i="7"/>
  <c r="AR174" i="7"/>
  <c r="AP39" i="7"/>
  <c r="AJ54" i="7"/>
  <c r="BB34" i="7"/>
  <c r="BD169" i="7"/>
  <c r="AJ189" i="7"/>
  <c r="AH54" i="7"/>
  <c r="AF195" i="7"/>
  <c r="AD60" i="7"/>
  <c r="AY32" i="7"/>
  <c r="BA167" i="7"/>
  <c r="AM49" i="7"/>
  <c r="AO184" i="7"/>
  <c r="AL50" i="7"/>
  <c r="AN185" i="7"/>
  <c r="AG192" i="7"/>
  <c r="AE57" i="7"/>
  <c r="AY37" i="7"/>
  <c r="BA172" i="7"/>
  <c r="AH56" i="7"/>
  <c r="AJ191" i="7"/>
  <c r="BM33" i="7"/>
  <c r="BO168" i="7"/>
  <c r="BO34" i="7" s="1"/>
  <c r="AO177" i="7"/>
  <c r="AM42" i="7"/>
  <c r="BI33" i="7"/>
  <c r="BK168" i="7"/>
  <c r="AI53" i="7"/>
  <c r="AK188" i="7"/>
  <c r="AT34" i="7"/>
  <c r="AV169" i="7"/>
  <c r="AE186" i="7"/>
  <c r="AC51" i="7"/>
  <c r="AG184" i="7"/>
  <c r="AE49" i="7"/>
  <c r="AE68" i="7"/>
  <c r="AN178" i="7"/>
  <c r="AQ182" i="7"/>
  <c r="AO47" i="7"/>
  <c r="BJ33" i="7"/>
  <c r="H75" i="25" s="1"/>
  <c r="BL168" i="7"/>
  <c r="AJ52" i="7"/>
  <c r="AL187" i="7"/>
  <c r="O9" i="21"/>
  <c r="O8" i="21"/>
  <c r="L65" i="22"/>
  <c r="L25" i="22"/>
  <c r="L52" i="22"/>
  <c r="L39" i="22"/>
  <c r="L12" i="22"/>
  <c r="H1453" i="25" l="1"/>
  <c r="H1458" i="25"/>
  <c r="H1455" i="25"/>
  <c r="H1450" i="25"/>
  <c r="H1447" i="25"/>
  <c r="H1444" i="25"/>
  <c r="H2739" i="25"/>
  <c r="H1451" i="25"/>
  <c r="K48" i="11"/>
  <c r="AJ48" i="7"/>
  <c r="H3467" i="25" s="1"/>
  <c r="AL183" i="7"/>
  <c r="AM185" i="7" s="1"/>
  <c r="H1452" i="25"/>
  <c r="H2731" i="25"/>
  <c r="H1449" i="25"/>
  <c r="H1445" i="25"/>
  <c r="H1446" i="25"/>
  <c r="H1457" i="25"/>
  <c r="H1459" i="25"/>
  <c r="H1456" i="25"/>
  <c r="H2591" i="25"/>
  <c r="H4013" i="25"/>
  <c r="H4016" i="25"/>
  <c r="H4014" i="25"/>
  <c r="H4018" i="25"/>
  <c r="H4050" i="25"/>
  <c r="H4047" i="25"/>
  <c r="H4048" i="25"/>
  <c r="Q16" i="11"/>
  <c r="H4058" i="25"/>
  <c r="H4031" i="25"/>
  <c r="H4029" i="25"/>
  <c r="AN181" i="7"/>
  <c r="AN47" i="7" s="1"/>
  <c r="J511" i="25"/>
  <c r="U510" i="25"/>
  <c r="AK187" i="7"/>
  <c r="AK53" i="7" s="1"/>
  <c r="AL186" i="7"/>
  <c r="AL52" i="7" s="1"/>
  <c r="H2752" i="25" s="1"/>
  <c r="AY40" i="7"/>
  <c r="H2496" i="25" s="1"/>
  <c r="H2741" i="25"/>
  <c r="H2732" i="25"/>
  <c r="H2765" i="25"/>
  <c r="H2769" i="25"/>
  <c r="H2770" i="25"/>
  <c r="H1467" i="25"/>
  <c r="H1497" i="25"/>
  <c r="H1496" i="25"/>
  <c r="H721" i="25"/>
  <c r="H1038" i="25"/>
  <c r="H1083" i="25"/>
  <c r="H2590" i="25"/>
  <c r="H2479" i="25"/>
  <c r="H3798" i="25"/>
  <c r="H3298" i="25"/>
  <c r="H2821" i="25"/>
  <c r="H3267" i="25"/>
  <c r="H3275" i="25"/>
  <c r="H3291" i="25"/>
  <c r="H3261" i="25"/>
  <c r="H3293" i="25"/>
  <c r="H3276" i="25"/>
  <c r="H977" i="25"/>
  <c r="H1034" i="25"/>
  <c r="H769" i="25"/>
  <c r="H1098" i="25"/>
  <c r="H1102" i="25"/>
  <c r="H1045" i="25"/>
  <c r="H1101" i="25"/>
  <c r="H3374" i="25"/>
  <c r="H3494" i="25"/>
  <c r="H3550" i="25"/>
  <c r="H1951" i="25"/>
  <c r="H3484" i="25"/>
  <c r="H3493" i="25"/>
  <c r="H3561" i="25"/>
  <c r="H3548" i="25"/>
  <c r="H1122" i="25"/>
  <c r="H1134" i="25"/>
  <c r="H1146" i="25"/>
  <c r="H1158" i="25"/>
  <c r="H1111" i="25"/>
  <c r="H1132" i="25"/>
  <c r="H1112" i="25"/>
  <c r="H1125" i="25"/>
  <c r="H1133" i="25"/>
  <c r="H1113" i="25"/>
  <c r="H1136" i="25"/>
  <c r="H1124" i="25"/>
  <c r="H2461" i="25"/>
  <c r="H3781" i="25"/>
  <c r="H3788" i="25"/>
  <c r="H3785" i="25"/>
  <c r="H2740" i="25"/>
  <c r="H2776" i="25"/>
  <c r="H2781" i="25"/>
  <c r="H1121" i="25"/>
  <c r="H1140" i="25"/>
  <c r="H2137" i="25"/>
  <c r="H2136" i="25"/>
  <c r="H3319" i="25"/>
  <c r="H3318" i="25"/>
  <c r="H3322" i="25"/>
  <c r="H3326" i="25"/>
  <c r="H2768" i="25"/>
  <c r="H2816" i="25"/>
  <c r="H3323" i="25"/>
  <c r="H2817" i="25"/>
  <c r="H3320" i="25"/>
  <c r="H3292" i="25"/>
  <c r="H3324" i="25"/>
  <c r="H2822" i="25"/>
  <c r="H3289" i="25"/>
  <c r="H3321" i="25"/>
  <c r="AP178" i="7"/>
  <c r="AQ180" i="7" s="1"/>
  <c r="H2525" i="25"/>
  <c r="H2532" i="25"/>
  <c r="H2129" i="25"/>
  <c r="H2124" i="25"/>
  <c r="H2127" i="25"/>
  <c r="H2123" i="25"/>
  <c r="H2126" i="25"/>
  <c r="H2128" i="25"/>
  <c r="H2122" i="25"/>
  <c r="H975" i="25"/>
  <c r="H1022" i="25"/>
  <c r="H1020" i="25"/>
  <c r="H1011" i="25"/>
  <c r="H3926" i="25"/>
  <c r="H3786" i="25"/>
  <c r="H3779" i="25"/>
  <c r="H3784" i="25"/>
  <c r="H2465" i="25"/>
  <c r="H2149" i="25"/>
  <c r="H2157" i="25"/>
  <c r="H2155" i="25"/>
  <c r="H2152" i="25"/>
  <c r="H2144" i="25"/>
  <c r="H2150" i="25"/>
  <c r="H1342" i="25"/>
  <c r="H1381" i="25"/>
  <c r="H1380" i="25"/>
  <c r="H1382" i="25"/>
  <c r="H1386" i="25"/>
  <c r="H1434" i="25"/>
  <c r="H1438" i="25"/>
  <c r="H1385" i="25"/>
  <c r="H1435" i="25"/>
  <c r="H1440" i="25"/>
  <c r="H1384" i="25"/>
  <c r="H1439" i="25"/>
  <c r="H1403" i="25"/>
  <c r="H1441" i="25"/>
  <c r="AN43" i="7"/>
  <c r="H3931" i="25"/>
  <c r="H3932" i="25"/>
  <c r="H1015" i="25"/>
  <c r="H1016" i="25"/>
  <c r="H2585" i="25"/>
  <c r="H2584" i="25"/>
  <c r="H1324" i="25"/>
  <c r="H1348" i="25"/>
  <c r="H1347" i="25"/>
  <c r="H1344" i="25"/>
  <c r="H2851" i="25"/>
  <c r="H2912" i="25"/>
  <c r="H2852" i="25"/>
  <c r="H3334" i="25"/>
  <c r="H2784" i="25"/>
  <c r="H2858" i="25"/>
  <c r="H3331" i="25"/>
  <c r="H3333" i="25"/>
  <c r="H2854" i="25"/>
  <c r="H1953" i="25"/>
  <c r="H1954" i="25"/>
  <c r="H3447" i="25"/>
  <c r="H1952" i="25"/>
  <c r="H3346" i="25"/>
  <c r="H3450" i="25"/>
  <c r="H3454" i="25"/>
  <c r="H1955" i="25"/>
  <c r="H2800" i="25"/>
  <c r="H2902" i="25"/>
  <c r="H3448" i="25"/>
  <c r="H3549" i="25"/>
  <c r="H3452" i="25"/>
  <c r="H3444" i="25"/>
  <c r="H3449" i="25"/>
  <c r="H1103" i="25"/>
  <c r="H2131" i="25"/>
  <c r="H734" i="25"/>
  <c r="H735" i="25"/>
  <c r="H2487" i="25"/>
  <c r="H2488" i="25"/>
  <c r="H1402" i="25"/>
  <c r="H1414" i="25"/>
  <c r="H1343" i="25"/>
  <c r="H1413" i="25"/>
  <c r="H1412" i="25"/>
  <c r="H2754" i="25"/>
  <c r="H3260" i="25"/>
  <c r="H2824" i="25"/>
  <c r="H2812" i="25"/>
  <c r="H2528" i="25"/>
  <c r="H2533" i="25"/>
  <c r="H3878" i="25"/>
  <c r="H3902" i="25"/>
  <c r="H3922" i="25"/>
  <c r="H3904" i="25"/>
  <c r="H2469" i="25"/>
  <c r="H2468" i="25"/>
  <c r="H3787" i="25"/>
  <c r="H1025" i="25"/>
  <c r="H1027" i="25"/>
  <c r="H1028" i="25"/>
  <c r="H2610" i="25"/>
  <c r="H2605" i="25"/>
  <c r="H2576" i="25"/>
  <c r="H3858" i="25"/>
  <c r="H3859" i="25"/>
  <c r="H3855" i="25"/>
  <c r="H3851" i="25"/>
  <c r="H3857" i="25"/>
  <c r="AM182" i="7"/>
  <c r="AM48" i="7" s="1"/>
  <c r="AZ176" i="7"/>
  <c r="AZ42" i="7" s="1"/>
  <c r="AK47" i="7"/>
  <c r="AY177" i="7"/>
  <c r="AY43" i="7" s="1"/>
  <c r="H157" i="25"/>
  <c r="H161" i="25"/>
  <c r="H156" i="25"/>
  <c r="H109" i="25"/>
  <c r="H373" i="25"/>
  <c r="H369" i="25"/>
  <c r="H368" i="25"/>
  <c r="H374" i="25"/>
  <c r="H357" i="25"/>
  <c r="H252" i="25"/>
  <c r="H250" i="25"/>
  <c r="H381" i="25"/>
  <c r="H382" i="25"/>
  <c r="H155" i="25"/>
  <c r="H162" i="25"/>
  <c r="H139" i="25"/>
  <c r="H243" i="25"/>
  <c r="H119" i="25"/>
  <c r="H120" i="25"/>
  <c r="K108" i="11"/>
  <c r="H215" i="25"/>
  <c r="AR42" i="7"/>
  <c r="AS183" i="7"/>
  <c r="AQ48" i="7"/>
  <c r="H1161" i="25" s="1"/>
  <c r="AV35" i="7"/>
  <c r="AX170" i="7"/>
  <c r="AJ57" i="7"/>
  <c r="H1292" i="25" s="1"/>
  <c r="AL192" i="7"/>
  <c r="AQ185" i="7"/>
  <c r="AO50" i="7"/>
  <c r="AT38" i="7"/>
  <c r="AV173" i="7"/>
  <c r="AW172" i="7"/>
  <c r="AU37" i="7"/>
  <c r="AJ192" i="7"/>
  <c r="AH57" i="7"/>
  <c r="AY169" i="7"/>
  <c r="AW34" i="7"/>
  <c r="AZ169" i="7"/>
  <c r="AX34" i="7"/>
  <c r="H3789" i="25" s="1"/>
  <c r="AK183" i="7"/>
  <c r="AI48" i="7"/>
  <c r="AS38" i="7"/>
  <c r="AU173" i="7"/>
  <c r="AI195" i="7"/>
  <c r="AG60" i="7"/>
  <c r="AG202" i="7"/>
  <c r="AE67" i="7"/>
  <c r="AG65" i="7"/>
  <c r="BH170" i="7"/>
  <c r="BF35" i="7"/>
  <c r="AU181" i="7"/>
  <c r="AT45" i="7"/>
  <c r="AV180" i="7"/>
  <c r="BN169" i="7"/>
  <c r="BN35" i="7" s="1"/>
  <c r="H76" i="25" s="1"/>
  <c r="BL34" i="7"/>
  <c r="AN44" i="7"/>
  <c r="AP179" i="7"/>
  <c r="AI185" i="7"/>
  <c r="AG50" i="7"/>
  <c r="AG58" i="7"/>
  <c r="AI193" i="7"/>
  <c r="AH196" i="7"/>
  <c r="AF61" i="7"/>
  <c r="AT175" i="7"/>
  <c r="AR40" i="7"/>
  <c r="H996" i="25" s="1"/>
  <c r="AT174" i="7"/>
  <c r="AR39" i="7"/>
  <c r="H2547" i="25" s="1"/>
  <c r="AK56" i="7"/>
  <c r="AL182" i="7"/>
  <c r="AJ47" i="7"/>
  <c r="AM52" i="7"/>
  <c r="H2756" i="25" s="1"/>
  <c r="AO187" i="7"/>
  <c r="BO169" i="7"/>
  <c r="BO35" i="7" s="1"/>
  <c r="BM34" i="7"/>
  <c r="AE60" i="7"/>
  <c r="AG195" i="7"/>
  <c r="AF196" i="7"/>
  <c r="AD63" i="7"/>
  <c r="AF198" i="7"/>
  <c r="AE199" i="7"/>
  <c r="AU44" i="7"/>
  <c r="H980" i="25" s="1"/>
  <c r="AW179" i="7"/>
  <c r="AX178" i="7"/>
  <c r="AV43" i="7"/>
  <c r="H2578" i="25" s="1"/>
  <c r="AE189" i="7"/>
  <c r="AC54" i="7"/>
  <c r="AD190" i="7"/>
  <c r="AR177" i="7"/>
  <c r="AP42" i="7"/>
  <c r="BC36" i="7"/>
  <c r="BE171" i="7"/>
  <c r="AW35" i="7"/>
  <c r="AY170" i="7"/>
  <c r="AP49" i="7"/>
  <c r="H3236" i="25" s="1"/>
  <c r="AR184" i="7"/>
  <c r="BE34" i="7"/>
  <c r="BG169" i="7"/>
  <c r="AU36" i="7"/>
  <c r="AW171" i="7"/>
  <c r="M16" i="11"/>
  <c r="BM169" i="7"/>
  <c r="BK34" i="7"/>
  <c r="BF170" i="7"/>
  <c r="BD35" i="7"/>
  <c r="AZ168" i="7"/>
  <c r="AX33" i="7"/>
  <c r="AM189" i="7"/>
  <c r="AK54" i="7"/>
  <c r="H1436" i="25" s="1"/>
  <c r="BC173" i="7"/>
  <c r="BA38" i="7"/>
  <c r="AN51" i="7"/>
  <c r="AP186" i="7"/>
  <c r="BC168" i="7"/>
  <c r="BA33" i="7"/>
  <c r="BD172" i="7"/>
  <c r="BB37" i="7"/>
  <c r="H112" i="25" s="1"/>
  <c r="AQ43" i="7"/>
  <c r="AS178" i="7"/>
  <c r="AH194" i="7"/>
  <c r="AF59" i="7"/>
  <c r="AE62" i="7"/>
  <c r="AG197" i="7"/>
  <c r="BH169" i="7"/>
  <c r="BF34" i="7"/>
  <c r="AE66" i="7"/>
  <c r="AG201" i="7"/>
  <c r="AF202" i="7"/>
  <c r="AH59" i="7"/>
  <c r="AJ194" i="7"/>
  <c r="AF66" i="7"/>
  <c r="AH201" i="7"/>
  <c r="BH34" i="7"/>
  <c r="BJ169" i="7"/>
  <c r="AI58" i="7"/>
  <c r="AK193" i="7"/>
  <c r="AK191" i="7"/>
  <c r="AI56" i="7"/>
  <c r="H1319" i="25" s="1"/>
  <c r="AJ184" i="7"/>
  <c r="AH49" i="7"/>
  <c r="AM181" i="7"/>
  <c r="AK46" i="7"/>
  <c r="AF51" i="7"/>
  <c r="AH186" i="7"/>
  <c r="AX171" i="7"/>
  <c r="AV36" i="7"/>
  <c r="H2480" i="25" s="1"/>
  <c r="AM51" i="7"/>
  <c r="AQ40" i="7"/>
  <c r="AS175" i="7"/>
  <c r="AT177" i="7" s="1"/>
  <c r="AN180" i="7"/>
  <c r="AL45" i="7"/>
  <c r="H2143" i="25" s="1"/>
  <c r="AS39" i="7"/>
  <c r="AU174" i="7"/>
  <c r="BA41" i="7"/>
  <c r="AN188" i="7"/>
  <c r="AL53" i="7"/>
  <c r="AG187" i="7"/>
  <c r="AE52" i="7"/>
  <c r="AQ178" i="7"/>
  <c r="AO43" i="7"/>
  <c r="AL190" i="7"/>
  <c r="AJ55" i="7"/>
  <c r="BH33" i="7"/>
  <c r="BJ168" i="7"/>
  <c r="AQ41" i="7"/>
  <c r="H4015" i="25" s="1"/>
  <c r="AS176" i="7"/>
  <c r="BG34" i="7"/>
  <c r="BI169" i="7"/>
  <c r="AF65" i="7"/>
  <c r="AT182" i="7"/>
  <c r="AR47" i="7"/>
  <c r="AF188" i="7"/>
  <c r="AD53" i="7"/>
  <c r="BI34" i="7"/>
  <c r="BK169" i="7"/>
  <c r="BA168" i="7"/>
  <c r="AY33" i="7"/>
  <c r="H938" i="25" s="1"/>
  <c r="AO45" i="7"/>
  <c r="H1105" i="25" s="1"/>
  <c r="AO180" i="7"/>
  <c r="AF203" i="7"/>
  <c r="AD68" i="7"/>
  <c r="AE204" i="7"/>
  <c r="AE70" i="7" s="1"/>
  <c r="AV172" i="7"/>
  <c r="AT37" i="7"/>
  <c r="H2515" i="25" s="1"/>
  <c r="BB174" i="7"/>
  <c r="BC176" i="7" s="1"/>
  <c r="O10" i="21"/>
  <c r="O11" i="21" s="1"/>
  <c r="H3305" i="25" l="1"/>
  <c r="H3466" i="25"/>
  <c r="H3213" i="25"/>
  <c r="H3464" i="25"/>
  <c r="H3306" i="25"/>
  <c r="H3307" i="25"/>
  <c r="P47" i="11"/>
  <c r="O47" i="11"/>
  <c r="H3557" i="25"/>
  <c r="H3304" i="25"/>
  <c r="H3465" i="25"/>
  <c r="BB177" i="7"/>
  <c r="BB43" i="7" s="1"/>
  <c r="H3867" i="25" s="1"/>
  <c r="AL49" i="7"/>
  <c r="H3270" i="25" s="1"/>
  <c r="H4034" i="25"/>
  <c r="H4036" i="25"/>
  <c r="H4032" i="25"/>
  <c r="H4035" i="25"/>
  <c r="H4038" i="25"/>
  <c r="H4037" i="25"/>
  <c r="P16" i="11"/>
  <c r="Q17" i="11" s="1"/>
  <c r="H4023" i="25"/>
  <c r="H4024" i="25"/>
  <c r="H4051" i="25"/>
  <c r="H4017" i="25"/>
  <c r="H4049" i="25"/>
  <c r="H4056" i="25"/>
  <c r="H4046" i="25"/>
  <c r="H4045" i="25"/>
  <c r="H4022" i="25"/>
  <c r="H4054" i="25"/>
  <c r="AL189" i="7"/>
  <c r="AM188" i="7"/>
  <c r="AM54" i="7" s="1"/>
  <c r="H2747" i="25" s="1"/>
  <c r="AN187" i="7"/>
  <c r="AN53" i="7" s="1"/>
  <c r="J512" i="25"/>
  <c r="U511" i="25"/>
  <c r="H2497" i="25"/>
  <c r="AP44" i="7"/>
  <c r="H1030" i="25" s="1"/>
  <c r="AR179" i="7"/>
  <c r="AR45" i="7" s="1"/>
  <c r="H2649" i="25" s="1"/>
  <c r="H2755" i="25"/>
  <c r="H3258" i="25"/>
  <c r="H1465" i="25"/>
  <c r="H1469" i="25"/>
  <c r="H2807" i="25"/>
  <c r="H2782" i="25"/>
  <c r="H2773" i="25"/>
  <c r="H2829" i="25"/>
  <c r="H2833" i="25"/>
  <c r="H976" i="25"/>
  <c r="H994" i="25"/>
  <c r="H2599" i="25"/>
  <c r="H2601" i="25"/>
  <c r="H1418" i="25"/>
  <c r="H1422" i="25"/>
  <c r="H1320" i="25"/>
  <c r="H1316" i="25"/>
  <c r="H731" i="25"/>
  <c r="H730" i="25"/>
  <c r="H1044" i="25"/>
  <c r="H2616" i="25"/>
  <c r="H2617" i="25"/>
  <c r="H3231" i="25"/>
  <c r="H3234" i="25"/>
  <c r="H3233" i="25"/>
  <c r="H1116" i="25"/>
  <c r="H1160" i="25"/>
  <c r="H1115" i="25"/>
  <c r="H1318" i="25"/>
  <c r="H1406" i="25"/>
  <c r="H1410" i="25"/>
  <c r="H1404" i="25"/>
  <c r="H1409" i="25"/>
  <c r="H1415" i="25"/>
  <c r="H1400" i="25"/>
  <c r="H1407" i="25"/>
  <c r="H1428" i="25"/>
  <c r="H1405" i="25"/>
  <c r="H1427" i="25"/>
  <c r="H1433" i="25"/>
  <c r="H1411" i="25"/>
  <c r="H1401" i="25"/>
  <c r="H1408" i="25"/>
  <c r="H1432" i="25"/>
  <c r="H1366" i="25"/>
  <c r="H1374" i="25"/>
  <c r="H1474" i="25"/>
  <c r="H1372" i="25"/>
  <c r="H1371" i="25"/>
  <c r="H1472" i="25"/>
  <c r="H1477" i="25"/>
  <c r="H1376" i="25"/>
  <c r="H1476" i="25"/>
  <c r="H1484" i="25"/>
  <c r="H1473" i="25"/>
  <c r="H1479" i="25"/>
  <c r="H1463" i="25"/>
  <c r="H1464" i="25"/>
  <c r="H1375" i="25"/>
  <c r="H1373" i="25"/>
  <c r="H3834" i="25"/>
  <c r="H3838" i="25"/>
  <c r="H3837" i="25"/>
  <c r="H3840" i="25"/>
  <c r="H3841" i="25"/>
  <c r="AO183" i="7"/>
  <c r="AO49" i="7" s="1"/>
  <c r="H3869" i="25"/>
  <c r="H3868" i="25"/>
  <c r="H2471" i="25"/>
  <c r="H2464" i="25"/>
  <c r="H3792" i="25"/>
  <c r="AN184" i="7"/>
  <c r="AN50" i="7" s="1"/>
  <c r="H2559" i="25"/>
  <c r="H2561" i="25"/>
  <c r="H3875" i="25"/>
  <c r="H3880" i="25"/>
  <c r="H3901" i="25"/>
  <c r="H3881" i="25"/>
  <c r="H3876" i="25"/>
  <c r="H1147" i="25"/>
  <c r="H2145" i="25"/>
  <c r="H2146" i="25"/>
  <c r="H2156" i="25"/>
  <c r="H2148" i="25"/>
  <c r="H3198" i="25"/>
  <c r="H3202" i="25"/>
  <c r="H2147" i="25"/>
  <c r="H2158" i="25"/>
  <c r="H3197" i="25"/>
  <c r="H3286" i="25"/>
  <c r="H3259" i="25"/>
  <c r="H3281" i="25"/>
  <c r="H3285" i="25"/>
  <c r="H3207" i="25"/>
  <c r="H3206" i="25"/>
  <c r="H3226" i="25"/>
  <c r="H3474" i="25"/>
  <c r="H3482" i="25"/>
  <c r="H3227" i="25"/>
  <c r="H3475" i="25"/>
  <c r="H3208" i="25"/>
  <c r="H3224" i="25"/>
  <c r="H3217" i="25"/>
  <c r="H3221" i="25"/>
  <c r="H3477" i="25"/>
  <c r="H3469" i="25"/>
  <c r="H3311" i="25"/>
  <c r="H3821" i="25"/>
  <c r="H3815" i="25"/>
  <c r="H3228" i="25"/>
  <c r="H3556" i="25"/>
  <c r="H729" i="25"/>
  <c r="H736" i="25"/>
  <c r="H722" i="25"/>
  <c r="H727" i="25"/>
  <c r="H723" i="25"/>
  <c r="H728" i="25"/>
  <c r="H1042" i="25"/>
  <c r="H1036" i="25"/>
  <c r="H1041" i="25"/>
  <c r="H1043" i="25"/>
  <c r="H1354" i="25"/>
  <c r="H1355" i="25"/>
  <c r="H1480" i="25"/>
  <c r="H3930" i="25"/>
  <c r="H3929" i="25"/>
  <c r="H1031" i="25"/>
  <c r="H1035" i="25"/>
  <c r="H2751" i="25"/>
  <c r="H2729" i="25"/>
  <c r="H2549" i="25"/>
  <c r="H2548" i="25"/>
  <c r="H2477" i="25"/>
  <c r="H3800" i="25"/>
  <c r="H3790" i="25"/>
  <c r="H2472" i="25"/>
  <c r="H3791" i="25"/>
  <c r="H2592" i="25"/>
  <c r="H2593" i="25"/>
  <c r="H2598" i="25"/>
  <c r="H2831" i="25"/>
  <c r="H3458" i="25"/>
  <c r="H3462" i="25"/>
  <c r="H2832" i="25"/>
  <c r="H3459" i="25"/>
  <c r="H3456" i="25"/>
  <c r="H3461" i="25"/>
  <c r="H3457" i="25"/>
  <c r="H3460" i="25"/>
  <c r="H2523" i="25"/>
  <c r="H2517" i="25"/>
  <c r="H2522" i="25"/>
  <c r="H2516" i="25"/>
  <c r="H2510" i="25"/>
  <c r="H2521" i="25"/>
  <c r="H2514" i="25"/>
  <c r="H3246" i="25"/>
  <c r="H3244" i="25"/>
  <c r="H999" i="25"/>
  <c r="H1001" i="25"/>
  <c r="H998" i="25"/>
  <c r="H1004" i="25"/>
  <c r="H1008" i="25"/>
  <c r="H3927" i="25"/>
  <c r="BA178" i="7"/>
  <c r="O16" i="11"/>
  <c r="P17" i="11" s="1"/>
  <c r="F41" i="1"/>
  <c r="D16" i="11"/>
  <c r="E26" i="10" s="1"/>
  <c r="F26" i="10" s="1"/>
  <c r="H167" i="25"/>
  <c r="H168" i="25"/>
  <c r="H356" i="25"/>
  <c r="K78" i="11"/>
  <c r="H221" i="25"/>
  <c r="H220" i="25"/>
  <c r="H129" i="25"/>
  <c r="H128" i="25"/>
  <c r="H163" i="25"/>
  <c r="H164" i="25"/>
  <c r="H122" i="25"/>
  <c r="H123" i="25"/>
  <c r="H110" i="25"/>
  <c r="H135" i="25"/>
  <c r="H125" i="25"/>
  <c r="H127" i="25"/>
  <c r="H133" i="25"/>
  <c r="H134" i="25"/>
  <c r="H132" i="25"/>
  <c r="H226" i="25"/>
  <c r="H365" i="25"/>
  <c r="H114" i="25"/>
  <c r="H244" i="25"/>
  <c r="H116" i="25"/>
  <c r="L108" i="11"/>
  <c r="H131" i="25"/>
  <c r="AT43" i="7"/>
  <c r="BC169" i="7"/>
  <c r="BA34" i="7"/>
  <c r="H940" i="25" s="1"/>
  <c r="AU40" i="7"/>
  <c r="AW175" i="7"/>
  <c r="AF68" i="7"/>
  <c r="AH203" i="7"/>
  <c r="AG204" i="7"/>
  <c r="AG70" i="7" s="1"/>
  <c r="BE174" i="7"/>
  <c r="BC39" i="7"/>
  <c r="BM35" i="7"/>
  <c r="BO170" i="7"/>
  <c r="BO36" i="7" s="1"/>
  <c r="AG190" i="7"/>
  <c r="AE55" i="7"/>
  <c r="AT40" i="7"/>
  <c r="AV175" i="7"/>
  <c r="AW174" i="7"/>
  <c r="AU39" i="7"/>
  <c r="AL58" i="7"/>
  <c r="H1295" i="25" s="1"/>
  <c r="BM170" i="7"/>
  <c r="BK35" i="7"/>
  <c r="BI35" i="7"/>
  <c r="BK170" i="7"/>
  <c r="AQ44" i="7"/>
  <c r="H4030" i="25" s="1"/>
  <c r="AS179" i="7"/>
  <c r="AN54" i="7"/>
  <c r="H2721" i="25" s="1"/>
  <c r="AP189" i="7"/>
  <c r="AX37" i="7"/>
  <c r="AZ172" i="7"/>
  <c r="AJ50" i="7"/>
  <c r="AL185" i="7"/>
  <c r="AG67" i="7"/>
  <c r="AI198" i="7"/>
  <c r="AG63" i="7"/>
  <c r="AR187" i="7"/>
  <c r="AP52" i="7"/>
  <c r="H3256" i="25" s="1"/>
  <c r="AR43" i="7"/>
  <c r="AT178" i="7"/>
  <c r="AE65" i="7"/>
  <c r="AG200" i="7"/>
  <c r="AF201" i="7"/>
  <c r="AI196" i="7"/>
  <c r="AG61" i="7"/>
  <c r="AO53" i="7"/>
  <c r="AQ188" i="7"/>
  <c r="AK194" i="7"/>
  <c r="AI59" i="7"/>
  <c r="AR180" i="7"/>
  <c r="AP45" i="7"/>
  <c r="AV46" i="7"/>
  <c r="H974" i="25" s="1"/>
  <c r="AX181" i="7"/>
  <c r="BH36" i="7"/>
  <c r="BJ171" i="7"/>
  <c r="AG68" i="7"/>
  <c r="AI203" i="7"/>
  <c r="BD178" i="7"/>
  <c r="AY35" i="7"/>
  <c r="BA170" i="7"/>
  <c r="AS49" i="7"/>
  <c r="AU184" i="7"/>
  <c r="AX173" i="7"/>
  <c r="AV38" i="7"/>
  <c r="AH67" i="7"/>
  <c r="BJ170" i="7"/>
  <c r="BH35" i="7"/>
  <c r="BB169" i="7"/>
  <c r="AZ34" i="7"/>
  <c r="AR50" i="7"/>
  <c r="H3239" i="25" s="1"/>
  <c r="AT185" i="7"/>
  <c r="BE37" i="7"/>
  <c r="BG172" i="7"/>
  <c r="AF62" i="7"/>
  <c r="AH197" i="7"/>
  <c r="AG198" i="7"/>
  <c r="AN183" i="7"/>
  <c r="AL48" i="7"/>
  <c r="AH62" i="7"/>
  <c r="AJ197" i="7"/>
  <c r="AK186" i="7"/>
  <c r="AI51" i="7"/>
  <c r="AX174" i="7"/>
  <c r="AV39" i="7"/>
  <c r="BB40" i="7"/>
  <c r="BD175" i="7"/>
  <c r="BE177" i="7" s="1"/>
  <c r="AQ46" i="7"/>
  <c r="AT48" i="7"/>
  <c r="AV183" i="7"/>
  <c r="AJ187" i="7"/>
  <c r="AH52" i="7"/>
  <c r="H1448" i="25" s="1"/>
  <c r="BL170" i="7"/>
  <c r="BJ35" i="7"/>
  <c r="AL195" i="7"/>
  <c r="AJ60" i="7"/>
  <c r="AH60" i="7"/>
  <c r="AJ195" i="7"/>
  <c r="BD38" i="7"/>
  <c r="H951" i="25" s="1"/>
  <c r="BF173" i="7"/>
  <c r="AM55" i="7"/>
  <c r="H1390" i="25" s="1"/>
  <c r="AO190" i="7"/>
  <c r="BF36" i="7"/>
  <c r="BH171" i="7"/>
  <c r="BG35" i="7"/>
  <c r="BI170" i="7"/>
  <c r="BA171" i="7"/>
  <c r="AY36" i="7"/>
  <c r="AD56" i="7"/>
  <c r="AF191" i="7"/>
  <c r="AE192" i="7"/>
  <c r="AZ179" i="7"/>
  <c r="AX44" i="7"/>
  <c r="H984" i="25" s="1"/>
  <c r="AF64" i="7"/>
  <c r="AH199" i="7"/>
  <c r="AV176" i="7"/>
  <c r="AT41" i="7"/>
  <c r="H2586" i="25" s="1"/>
  <c r="AX36" i="7"/>
  <c r="AZ171" i="7"/>
  <c r="AQ181" i="7"/>
  <c r="AO46" i="7"/>
  <c r="AH189" i="7"/>
  <c r="AF54" i="7"/>
  <c r="H1325" i="25" s="1"/>
  <c r="AU176" i="7"/>
  <c r="AS41" i="7"/>
  <c r="AK59" i="7"/>
  <c r="AM194" i="7"/>
  <c r="BE169" i="7"/>
  <c r="BC34" i="7"/>
  <c r="H165" i="25" s="1"/>
  <c r="AW37" i="7"/>
  <c r="AY172" i="7"/>
  <c r="AF69" i="7"/>
  <c r="AH204" i="7"/>
  <c r="AH70" i="7" s="1"/>
  <c r="AU177" i="7"/>
  <c r="AS42" i="7"/>
  <c r="BL169" i="7"/>
  <c r="BJ34" i="7"/>
  <c r="H77" i="25" s="1"/>
  <c r="AN191" i="7"/>
  <c r="AL56" i="7"/>
  <c r="AI188" i="7"/>
  <c r="AG53" i="7"/>
  <c r="H1378" i="25" s="1"/>
  <c r="BC42" i="7"/>
  <c r="AN46" i="7"/>
  <c r="AP181" i="7"/>
  <c r="AM47" i="7"/>
  <c r="H2151" i="25" s="1"/>
  <c r="AO182" i="7"/>
  <c r="AM192" i="7"/>
  <c r="AK57" i="7"/>
  <c r="AS44" i="7"/>
  <c r="H4043" i="25" s="1"/>
  <c r="AU179" i="7"/>
  <c r="AP182" i="7"/>
  <c r="AW45" i="7"/>
  <c r="AY180" i="7"/>
  <c r="AU47" i="7"/>
  <c r="AW182" i="7"/>
  <c r="AK196" i="7"/>
  <c r="AI61" i="7"/>
  <c r="AK49" i="7"/>
  <c r="AM184" i="7"/>
  <c r="AZ35" i="7"/>
  <c r="BB170" i="7"/>
  <c r="AJ58" i="7"/>
  <c r="AL193" i="7"/>
  <c r="AY173" i="7"/>
  <c r="AW38" i="7"/>
  <c r="AQ51" i="7"/>
  <c r="AS186" i="7"/>
  <c r="M62" i="22"/>
  <c r="M66" i="22" s="1"/>
  <c r="M64" i="22" s="1"/>
  <c r="M49" i="22"/>
  <c r="M53" i="22" s="1"/>
  <c r="M51" i="22" s="1"/>
  <c r="M22" i="22"/>
  <c r="M26" i="22" s="1"/>
  <c r="M24" i="22" s="1"/>
  <c r="M36" i="22"/>
  <c r="BC179" i="7" l="1"/>
  <c r="AN190" i="7"/>
  <c r="H3309" i="25"/>
  <c r="P48" i="11"/>
  <c r="Q48" i="11"/>
  <c r="L47" i="11"/>
  <c r="N47" i="11"/>
  <c r="N48" i="11" s="1"/>
  <c r="H3269" i="25"/>
  <c r="AM191" i="7"/>
  <c r="AM57" i="7" s="1"/>
  <c r="AL55" i="7"/>
  <c r="BA44" i="7"/>
  <c r="H3313" i="25"/>
  <c r="H3290" i="25"/>
  <c r="H3268" i="25"/>
  <c r="H3310" i="25"/>
  <c r="H3301" i="25"/>
  <c r="AO189" i="7"/>
  <c r="H4027" i="25"/>
  <c r="H4041" i="25"/>
  <c r="H4026" i="25"/>
  <c r="H4040" i="25"/>
  <c r="H4028" i="25"/>
  <c r="H4033" i="25"/>
  <c r="H4039" i="25"/>
  <c r="AT180" i="7"/>
  <c r="AS181" i="7"/>
  <c r="AO186" i="7"/>
  <c r="AP188" i="7" s="1"/>
  <c r="J513" i="25"/>
  <c r="U512" i="25"/>
  <c r="F9" i="1"/>
  <c r="N43" i="1" s="1"/>
  <c r="H31" i="19"/>
  <c r="H5" i="27"/>
  <c r="H6" i="27" s="1"/>
  <c r="AP185" i="7"/>
  <c r="AP51" i="7" s="1"/>
  <c r="H3251" i="25" s="1"/>
  <c r="H3279" i="25"/>
  <c r="H3287" i="25"/>
  <c r="H3262" i="25"/>
  <c r="H3264" i="25"/>
  <c r="H2715" i="25"/>
  <c r="H2759" i="25"/>
  <c r="H3842" i="25"/>
  <c r="H3844" i="25"/>
  <c r="H2483" i="25"/>
  <c r="H2534" i="25"/>
  <c r="H2474" i="25"/>
  <c r="H3794" i="25"/>
  <c r="H3795" i="25"/>
  <c r="H2538" i="25"/>
  <c r="H2537" i="25"/>
  <c r="H2508" i="25"/>
  <c r="H2498" i="25"/>
  <c r="H3823" i="25"/>
  <c r="H2543" i="25"/>
  <c r="H3907" i="25"/>
  <c r="H3908" i="25"/>
  <c r="H3827" i="25"/>
  <c r="H2536" i="25"/>
  <c r="H2500" i="25"/>
  <c r="H1298" i="25"/>
  <c r="H1297" i="25"/>
  <c r="H1419" i="25"/>
  <c r="H973" i="25"/>
  <c r="H1106" i="25"/>
  <c r="H1110" i="25"/>
  <c r="H1138" i="25"/>
  <c r="H1150" i="25"/>
  <c r="H1154" i="25"/>
  <c r="H1137" i="25"/>
  <c r="H1153" i="25"/>
  <c r="H1155" i="25"/>
  <c r="H1123" i="25"/>
  <c r="H1151" i="25"/>
  <c r="H1109" i="25"/>
  <c r="H1139" i="25"/>
  <c r="H1149" i="25"/>
  <c r="H1157" i="25"/>
  <c r="H1156" i="25"/>
  <c r="H1135" i="25"/>
  <c r="H1152" i="25"/>
  <c r="H1114" i="25"/>
  <c r="H1126" i="25"/>
  <c r="H2761" i="25"/>
  <c r="H2746" i="25"/>
  <c r="H2762" i="25"/>
  <c r="H2760" i="25"/>
  <c r="H2748" i="25"/>
  <c r="H2811" i="25"/>
  <c r="H2815" i="25"/>
  <c r="H2819" i="25"/>
  <c r="H2827" i="25"/>
  <c r="H3327" i="25"/>
  <c r="H2766" i="25"/>
  <c r="H2809" i="25"/>
  <c r="H2814" i="25"/>
  <c r="H2820" i="25"/>
  <c r="H2825" i="25"/>
  <c r="H2826" i="25"/>
  <c r="H2828" i="25"/>
  <c r="H3328" i="25"/>
  <c r="H2818" i="25"/>
  <c r="H3329" i="25"/>
  <c r="H2535" i="25"/>
  <c r="H2541" i="25"/>
  <c r="H3819" i="25"/>
  <c r="H2542" i="25"/>
  <c r="H981" i="25"/>
  <c r="H990" i="25"/>
  <c r="H992" i="25"/>
  <c r="H2618" i="25"/>
  <c r="H2767" i="25"/>
  <c r="H2742" i="25"/>
  <c r="H2813" i="25"/>
  <c r="H2738" i="25"/>
  <c r="H3210" i="25"/>
  <c r="H3230" i="25"/>
  <c r="H3211" i="25"/>
  <c r="H3216" i="25"/>
  <c r="H3232" i="25"/>
  <c r="H3229" i="25"/>
  <c r="H3212" i="25"/>
  <c r="H3308" i="25"/>
  <c r="H947" i="25"/>
  <c r="H945" i="25"/>
  <c r="H948" i="25"/>
  <c r="H946" i="25"/>
  <c r="H1018" i="25"/>
  <c r="H1019" i="25"/>
  <c r="H1017" i="25"/>
  <c r="H1024" i="25"/>
  <c r="H1021" i="25"/>
  <c r="H1023" i="25"/>
  <c r="AQ184" i="7"/>
  <c r="H993" i="25"/>
  <c r="H2603" i="25"/>
  <c r="H2611" i="25"/>
  <c r="H2613" i="25"/>
  <c r="H2612" i="25"/>
  <c r="H1107" i="25"/>
  <c r="H2134" i="25"/>
  <c r="H1108" i="25"/>
  <c r="H2132" i="25"/>
  <c r="H1314" i="25"/>
  <c r="H1398" i="25"/>
  <c r="H1420" i="25"/>
  <c r="H1392" i="25"/>
  <c r="H1421" i="25"/>
  <c r="H1315" i="25"/>
  <c r="H1389" i="25"/>
  <c r="H1003" i="25"/>
  <c r="H997" i="25"/>
  <c r="H1005" i="25"/>
  <c r="H1010" i="25"/>
  <c r="H1014" i="25"/>
  <c r="H1002" i="25"/>
  <c r="H1009" i="25"/>
  <c r="H1012" i="25"/>
  <c r="H1013" i="25"/>
  <c r="H2587" i="25"/>
  <c r="H2588" i="25"/>
  <c r="H2594" i="25"/>
  <c r="H3928" i="25"/>
  <c r="H2495" i="25"/>
  <c r="H2490" i="25"/>
  <c r="H3803" i="25"/>
  <c r="H3801" i="25"/>
  <c r="H939" i="25"/>
  <c r="H941" i="25"/>
  <c r="H944" i="25"/>
  <c r="H2475" i="25"/>
  <c r="H2481" i="25"/>
  <c r="H2482" i="25"/>
  <c r="H2484" i="25"/>
  <c r="H1029" i="25"/>
  <c r="H2602" i="25"/>
  <c r="H3910" i="25"/>
  <c r="H2550" i="25"/>
  <c r="H3913" i="25"/>
  <c r="H3247" i="25"/>
  <c r="H3243" i="25"/>
  <c r="H3271" i="25"/>
  <c r="H3299" i="25"/>
  <c r="H3274" i="25"/>
  <c r="H3302" i="25"/>
  <c r="H3314" i="25"/>
  <c r="H3315" i="25"/>
  <c r="H3272" i="25"/>
  <c r="H3296" i="25"/>
  <c r="H3312" i="25"/>
  <c r="H3316" i="25"/>
  <c r="H3325" i="25"/>
  <c r="H3297" i="25"/>
  <c r="H3317" i="25"/>
  <c r="H3300" i="25"/>
  <c r="H2630" i="25"/>
  <c r="H2648" i="25"/>
  <c r="H979" i="25"/>
  <c r="H1026" i="25"/>
  <c r="H2595" i="25"/>
  <c r="H1388" i="25"/>
  <c r="H1399" i="25"/>
  <c r="H1397" i="25"/>
  <c r="H2728" i="25"/>
  <c r="H2499" i="25"/>
  <c r="H2509" i="25"/>
  <c r="H3822" i="25"/>
  <c r="H3816" i="25"/>
  <c r="H3824" i="25"/>
  <c r="Y63" i="1"/>
  <c r="N16" i="11"/>
  <c r="R15" i="10"/>
  <c r="Q16" i="10" s="1"/>
  <c r="R63" i="1"/>
  <c r="G26" i="10"/>
  <c r="H193" i="25"/>
  <c r="H223" i="25"/>
  <c r="H225" i="25"/>
  <c r="H224" i="25"/>
  <c r="H247" i="25"/>
  <c r="H218" i="25"/>
  <c r="H245" i="25"/>
  <c r="H377" i="25"/>
  <c r="H371" i="25"/>
  <c r="H376" i="25"/>
  <c r="H375" i="25"/>
  <c r="H363" i="25"/>
  <c r="H108" i="25"/>
  <c r="H126" i="25"/>
  <c r="H124" i="25"/>
  <c r="H141" i="25"/>
  <c r="H142" i="25"/>
  <c r="H140" i="25"/>
  <c r="G78" i="11"/>
  <c r="H211" i="25"/>
  <c r="H213" i="25"/>
  <c r="H96" i="25"/>
  <c r="H130" i="25"/>
  <c r="H169" i="25"/>
  <c r="H170" i="25"/>
  <c r="H143" i="25"/>
  <c r="H138" i="25"/>
  <c r="I108" i="11"/>
  <c r="H111" i="25"/>
  <c r="H117" i="25"/>
  <c r="H118" i="25"/>
  <c r="L16" i="11"/>
  <c r="L17" i="11" s="1"/>
  <c r="AM197" i="7"/>
  <c r="AK62" i="7"/>
  <c r="BG170" i="7"/>
  <c r="BE35" i="7"/>
  <c r="BB180" i="7"/>
  <c r="AZ45" i="7"/>
  <c r="AS47" i="7"/>
  <c r="BM36" i="7"/>
  <c r="BO171" i="7"/>
  <c r="BO37" i="7" s="1"/>
  <c r="AO185" i="7"/>
  <c r="AM50" i="7"/>
  <c r="AP54" i="7"/>
  <c r="BA173" i="7"/>
  <c r="AY38" i="7"/>
  <c r="AM60" i="7"/>
  <c r="BB172" i="7"/>
  <c r="AZ37" i="7"/>
  <c r="AH65" i="7"/>
  <c r="AJ200" i="7"/>
  <c r="AE58" i="7"/>
  <c r="AG193" i="7"/>
  <c r="AF194" i="7"/>
  <c r="BC172" i="7"/>
  <c r="BA37" i="7"/>
  <c r="H113" i="25" s="1"/>
  <c r="BL36" i="7"/>
  <c r="H79" i="25" s="1"/>
  <c r="BN171" i="7"/>
  <c r="BN37" i="7" s="1"/>
  <c r="AX40" i="7"/>
  <c r="AZ175" i="7"/>
  <c r="AJ198" i="7"/>
  <c r="AH63" i="7"/>
  <c r="AT51" i="7"/>
  <c r="H1171" i="25" s="1"/>
  <c r="AV186" i="7"/>
  <c r="AU50" i="7"/>
  <c r="H1165" i="25" s="1"/>
  <c r="AW185" i="7"/>
  <c r="BJ37" i="7"/>
  <c r="BL172" i="7"/>
  <c r="AO192" i="7"/>
  <c r="AK197" i="7"/>
  <c r="AI62" i="7"/>
  <c r="AT44" i="7"/>
  <c r="AV179" i="7"/>
  <c r="BB173" i="7"/>
  <c r="AZ38" i="7"/>
  <c r="H3797" i="25" s="1"/>
  <c r="AU180" i="7"/>
  <c r="AS45" i="7"/>
  <c r="BK36" i="7"/>
  <c r="H80" i="25" s="1"/>
  <c r="BM171" i="7"/>
  <c r="BC35" i="7"/>
  <c r="H172" i="25" s="1"/>
  <c r="BE170" i="7"/>
  <c r="BN170" i="7"/>
  <c r="BN36" i="7" s="1"/>
  <c r="BL35" i="7"/>
  <c r="H78" i="25" s="1"/>
  <c r="AX177" i="7"/>
  <c r="AV42" i="7"/>
  <c r="AQ191" i="7"/>
  <c r="AO56" i="7"/>
  <c r="AL198" i="7"/>
  <c r="AJ63" i="7"/>
  <c r="AZ174" i="7"/>
  <c r="AX39" i="7"/>
  <c r="AK199" i="7"/>
  <c r="AI64" i="7"/>
  <c r="AN194" i="7"/>
  <c r="AL59" i="7"/>
  <c r="AO55" i="7"/>
  <c r="AU45" i="7"/>
  <c r="H2650" i="25" s="1"/>
  <c r="AN57" i="7"/>
  <c r="AP192" i="7"/>
  <c r="AH192" i="7"/>
  <c r="AF57" i="7"/>
  <c r="AX184" i="7"/>
  <c r="AV49" i="7"/>
  <c r="BJ36" i="7"/>
  <c r="BL171" i="7"/>
  <c r="AS189" i="7"/>
  <c r="AQ54" i="7"/>
  <c r="AR53" i="7"/>
  <c r="AT188" i="7"/>
  <c r="AW40" i="7"/>
  <c r="H3853" i="25" s="1"/>
  <c r="AY175" i="7"/>
  <c r="AI191" i="7"/>
  <c r="AG56" i="7"/>
  <c r="BG175" i="7"/>
  <c r="BE40" i="7"/>
  <c r="H952" i="25" s="1"/>
  <c r="AY176" i="7"/>
  <c r="AW41" i="7"/>
  <c r="BA174" i="7"/>
  <c r="AY39" i="7"/>
  <c r="AQ183" i="7"/>
  <c r="AO48" i="7"/>
  <c r="H2138" i="25" s="1"/>
  <c r="AI54" i="7"/>
  <c r="AK189" i="7"/>
  <c r="AW177" i="7"/>
  <c r="AU42" i="7"/>
  <c r="AS182" i="7"/>
  <c r="AQ47" i="7"/>
  <c r="AL196" i="7"/>
  <c r="AJ61" i="7"/>
  <c r="E108" i="11"/>
  <c r="I78" i="11"/>
  <c r="AG64" i="7"/>
  <c r="AI199" i="7"/>
  <c r="AH200" i="7"/>
  <c r="BB35" i="7"/>
  <c r="H171" i="25" s="1"/>
  <c r="BD170" i="7"/>
  <c r="AK60" i="7"/>
  <c r="AM195" i="7"/>
  <c r="BC45" i="7"/>
  <c r="BE180" i="7"/>
  <c r="AP191" i="7"/>
  <c r="AN56" i="7"/>
  <c r="AH69" i="7"/>
  <c r="AU187" i="7"/>
  <c r="AS52" i="7"/>
  <c r="H3240" i="25" s="1"/>
  <c r="AY183" i="7"/>
  <c r="AW48" i="7"/>
  <c r="AP48" i="7"/>
  <c r="H1119" i="25" s="1"/>
  <c r="AR183" i="7"/>
  <c r="AO52" i="7"/>
  <c r="BE43" i="7"/>
  <c r="H962" i="25" s="1"/>
  <c r="AW178" i="7"/>
  <c r="AU43" i="7"/>
  <c r="H3924" i="25" s="1"/>
  <c r="AJ190" i="7"/>
  <c r="AH55" i="7"/>
  <c r="BK171" i="7"/>
  <c r="BI36" i="7"/>
  <c r="BJ172" i="7"/>
  <c r="BH37" i="7"/>
  <c r="BF39" i="7"/>
  <c r="BH174" i="7"/>
  <c r="BD41" i="7"/>
  <c r="BF176" i="7"/>
  <c r="BG178" i="7" s="1"/>
  <c r="BD44" i="7"/>
  <c r="H197" i="25" s="1"/>
  <c r="BF179" i="7"/>
  <c r="AT181" i="7"/>
  <c r="AR46" i="7"/>
  <c r="AF67" i="7"/>
  <c r="AH202" i="7"/>
  <c r="AG203" i="7"/>
  <c r="BD171" i="7"/>
  <c r="BB36" i="7"/>
  <c r="BA181" i="7"/>
  <c r="AY46" i="7"/>
  <c r="AO193" i="7"/>
  <c r="AM58" i="7"/>
  <c r="AP47" i="7"/>
  <c r="AR182" i="7"/>
  <c r="AN196" i="7"/>
  <c r="AL61" i="7"/>
  <c r="AL188" i="7"/>
  <c r="AJ53" i="7"/>
  <c r="AM187" i="7"/>
  <c r="AK52" i="7"/>
  <c r="AP184" i="7"/>
  <c r="AN49" i="7"/>
  <c r="BI173" i="7"/>
  <c r="BG38" i="7"/>
  <c r="BC171" i="7"/>
  <c r="BA36" i="7"/>
  <c r="AI69" i="7"/>
  <c r="AX47" i="7"/>
  <c r="AZ182" i="7"/>
  <c r="AG66" i="7"/>
  <c r="AI201" i="7"/>
  <c r="AN186" i="7"/>
  <c r="AL51" i="7"/>
  <c r="H2823" i="25" s="1"/>
  <c r="AP55" i="7"/>
  <c r="AR190" i="7"/>
  <c r="AX176" i="7"/>
  <c r="AV41" i="7"/>
  <c r="AV178" i="7"/>
  <c r="AW180" i="7" s="1"/>
  <c r="M40" i="22"/>
  <c r="M9" i="22"/>
  <c r="O14" i="21" s="1"/>
  <c r="M23" i="22" a="1"/>
  <c r="M23" i="22" s="1"/>
  <c r="M50" i="22" a="1"/>
  <c r="M50" i="22" s="1"/>
  <c r="M63" i="22" a="1"/>
  <c r="M63" i="22" s="1"/>
  <c r="AN193" i="7" l="1"/>
  <c r="AO195" i="7" s="1"/>
  <c r="AQ190" i="7"/>
  <c r="D48" i="11"/>
  <c r="L48" i="11"/>
  <c r="M48" i="11"/>
  <c r="O48" i="11"/>
  <c r="AU182" i="7"/>
  <c r="AU48" i="7" s="1"/>
  <c r="AQ187" i="7"/>
  <c r="AR189" i="7" s="1"/>
  <c r="AR55" i="7" s="1"/>
  <c r="H2718" i="25" s="1"/>
  <c r="AV181" i="7"/>
  <c r="AR186" i="7"/>
  <c r="AR52" i="7" s="1"/>
  <c r="AT46" i="7"/>
  <c r="AQ50" i="7"/>
  <c r="J514" i="25"/>
  <c r="U513" i="25"/>
  <c r="L23" i="10"/>
  <c r="H2567" i="25"/>
  <c r="H2552" i="25"/>
  <c r="H2568" i="25"/>
  <c r="H3917" i="25"/>
  <c r="H3916" i="25"/>
  <c r="H3911" i="25"/>
  <c r="H2556" i="25"/>
  <c r="H1130" i="25"/>
  <c r="H1142" i="25"/>
  <c r="H1143" i="25"/>
  <c r="H1131" i="25"/>
  <c r="H1141" i="25"/>
  <c r="H1120" i="25"/>
  <c r="H1129" i="25"/>
  <c r="H1144" i="25"/>
  <c r="H2135" i="25"/>
  <c r="H1145" i="25"/>
  <c r="H2719" i="25"/>
  <c r="H2714" i="25"/>
  <c r="H2725" i="25"/>
  <c r="H2726" i="25"/>
  <c r="H2501" i="25"/>
  <c r="H2506" i="25"/>
  <c r="H3814" i="25"/>
  <c r="H3830" i="25"/>
  <c r="H2504" i="25"/>
  <c r="H3811" i="25"/>
  <c r="H3832" i="25"/>
  <c r="H3828" i="25"/>
  <c r="H2615" i="25"/>
  <c r="H2614" i="25"/>
  <c r="H1290" i="25"/>
  <c r="H1304" i="25"/>
  <c r="H1311" i="25"/>
  <c r="H1312" i="25"/>
  <c r="H1305" i="25"/>
  <c r="H3263" i="25"/>
  <c r="H3266" i="25"/>
  <c r="H3278" i="25"/>
  <c r="H3294" i="25"/>
  <c r="H3295" i="25"/>
  <c r="H3288" i="25"/>
  <c r="H3265" i="25"/>
  <c r="H3277" i="25"/>
  <c r="H2627" i="25"/>
  <c r="H2659" i="25"/>
  <c r="H2637" i="25"/>
  <c r="H2654" i="25"/>
  <c r="H2656" i="25"/>
  <c r="H2657" i="25"/>
  <c r="H2658" i="25"/>
  <c r="H2743" i="25"/>
  <c r="H2753" i="25"/>
  <c r="H2764" i="25"/>
  <c r="H1287" i="25"/>
  <c r="H1303" i="25"/>
  <c r="H1308" i="25"/>
  <c r="H1291" i="25"/>
  <c r="H1309" i="25"/>
  <c r="H1307" i="25"/>
  <c r="H1127" i="25"/>
  <c r="H1159" i="25"/>
  <c r="H1128" i="25"/>
  <c r="H2478" i="25"/>
  <c r="H3809" i="25"/>
  <c r="H3807" i="25"/>
  <c r="H2485" i="25"/>
  <c r="H2486" i="25"/>
  <c r="H2579" i="25"/>
  <c r="H2583" i="25"/>
  <c r="H2565" i="25"/>
  <c r="H2566" i="25"/>
  <c r="H2582" i="25"/>
  <c r="H3923" i="25"/>
  <c r="H3903" i="25"/>
  <c r="H3919" i="25"/>
  <c r="H3925" i="25"/>
  <c r="H3905" i="25"/>
  <c r="H3920" i="25"/>
  <c r="H3921" i="25"/>
  <c r="H3810" i="25"/>
  <c r="H3831" i="25"/>
  <c r="H3812" i="25"/>
  <c r="H3813" i="25"/>
  <c r="H2476" i="25"/>
  <c r="H3796" i="25"/>
  <c r="H3799" i="25"/>
  <c r="H985" i="25"/>
  <c r="H3897" i="25"/>
  <c r="H3899" i="25"/>
  <c r="H3235" i="25"/>
  <c r="H3245" i="25"/>
  <c r="H1442" i="25"/>
  <c r="H2730" i="25"/>
  <c r="H1443" i="25"/>
  <c r="H3255" i="25"/>
  <c r="H3257" i="25"/>
  <c r="H2571" i="25"/>
  <c r="H2575" i="25"/>
  <c r="H2570" i="25"/>
  <c r="H2573" i="25"/>
  <c r="H3914" i="25"/>
  <c r="H2574" i="25"/>
  <c r="H2557" i="25"/>
  <c r="H3852" i="25"/>
  <c r="H2569" i="25"/>
  <c r="H2572" i="25"/>
  <c r="H3915" i="25"/>
  <c r="H2607" i="25"/>
  <c r="H2608" i="25"/>
  <c r="H2609" i="25"/>
  <c r="H2604" i="25"/>
  <c r="H2606" i="25"/>
  <c r="O17" i="11"/>
  <c r="N17" i="11"/>
  <c r="H26" i="10"/>
  <c r="I26" i="10" s="1"/>
  <c r="J26" i="10" s="1"/>
  <c r="H27" i="10"/>
  <c r="I27" i="10" s="1"/>
  <c r="J27" i="10" s="1"/>
  <c r="J7" i="27"/>
  <c r="M17" i="11"/>
  <c r="H349" i="25"/>
  <c r="H345" i="25"/>
  <c r="H351" i="25"/>
  <c r="H348" i="25"/>
  <c r="H352" i="25"/>
  <c r="H346" i="25"/>
  <c r="H350" i="25"/>
  <c r="H83" i="25"/>
  <c r="H82" i="25"/>
  <c r="H249" i="25"/>
  <c r="H251" i="25"/>
  <c r="H248" i="25"/>
  <c r="J78" i="11"/>
  <c r="H216" i="25"/>
  <c r="H372" i="25"/>
  <c r="H190" i="25"/>
  <c r="H343" i="25"/>
  <c r="H342" i="25"/>
  <c r="BH180" i="7"/>
  <c r="BF45" i="7"/>
  <c r="AW188" i="7"/>
  <c r="AU53" i="7"/>
  <c r="AX182" i="7"/>
  <c r="AV47" i="7"/>
  <c r="AV189" i="7"/>
  <c r="AT54" i="7"/>
  <c r="AW46" i="7"/>
  <c r="BE36" i="7"/>
  <c r="BG171" i="7"/>
  <c r="AJ64" i="7"/>
  <c r="AL199" i="7"/>
  <c r="AL201" i="7"/>
  <c r="AJ66" i="7"/>
  <c r="BI39" i="7"/>
  <c r="BK174" i="7"/>
  <c r="AP197" i="7"/>
  <c r="AN62" i="7"/>
  <c r="AQ194" i="7"/>
  <c r="AO59" i="7"/>
  <c r="H1279" i="25" s="1"/>
  <c r="BK37" i="7"/>
  <c r="H81" i="25" s="1"/>
  <c r="BM172" i="7"/>
  <c r="AY179" i="7"/>
  <c r="AW44" i="7"/>
  <c r="BE46" i="7"/>
  <c r="BG181" i="7"/>
  <c r="BD36" i="7"/>
  <c r="BF171" i="7"/>
  <c r="AY178" i="7"/>
  <c r="AW43" i="7"/>
  <c r="AQ49" i="7"/>
  <c r="AS184" i="7"/>
  <c r="AY42" i="7"/>
  <c r="BA177" i="7"/>
  <c r="AI57" i="7"/>
  <c r="AK192" i="7"/>
  <c r="AJ193" i="7"/>
  <c r="AH58" i="7"/>
  <c r="AN60" i="7"/>
  <c r="H1224" i="25" s="1"/>
  <c r="AP195" i="7"/>
  <c r="AM200" i="7"/>
  <c r="AK65" i="7"/>
  <c r="AN199" i="7"/>
  <c r="AL64" i="7"/>
  <c r="AZ178" i="7"/>
  <c r="AX43" i="7"/>
  <c r="BN173" i="7"/>
  <c r="BN39" i="7" s="1"/>
  <c r="BL38" i="7"/>
  <c r="AV52" i="7"/>
  <c r="AX187" i="7"/>
  <c r="AZ41" i="7"/>
  <c r="BB176" i="7"/>
  <c r="AH195" i="7"/>
  <c r="AF60" i="7"/>
  <c r="AG196" i="7"/>
  <c r="BD181" i="7"/>
  <c r="BB46" i="7"/>
  <c r="AO198" i="7"/>
  <c r="AM63" i="7"/>
  <c r="H336" i="25" s="1"/>
  <c r="AR56" i="7"/>
  <c r="H2709" i="25" s="1"/>
  <c r="AT191" i="7"/>
  <c r="AK202" i="7"/>
  <c r="AI67" i="7"/>
  <c r="BC182" i="7"/>
  <c r="BA47" i="7"/>
  <c r="AH68" i="7"/>
  <c r="AJ203" i="7"/>
  <c r="BH40" i="7"/>
  <c r="BJ175" i="7"/>
  <c r="AP57" i="7"/>
  <c r="H1299" i="25" s="1"/>
  <c r="AR192" i="7"/>
  <c r="AI65" i="7"/>
  <c r="AK200" i="7"/>
  <c r="BN172" i="7"/>
  <c r="BN38" i="7" s="1"/>
  <c r="BL37" i="7"/>
  <c r="BB39" i="7"/>
  <c r="H954" i="25" s="1"/>
  <c r="BD174" i="7"/>
  <c r="BE173" i="7"/>
  <c r="BC38" i="7"/>
  <c r="AO61" i="7"/>
  <c r="H1276" i="25" s="1"/>
  <c r="AV44" i="7"/>
  <c r="AX179" i="7"/>
  <c r="AY181" i="7" s="1"/>
  <c r="AO188" i="7"/>
  <c r="AM53" i="7"/>
  <c r="AZ48" i="7"/>
  <c r="H2663" i="25" s="1"/>
  <c r="BB183" i="7"/>
  <c r="AT183" i="7"/>
  <c r="AR48" i="7"/>
  <c r="BF172" i="7"/>
  <c r="BD37" i="7"/>
  <c r="BH177" i="7"/>
  <c r="BI179" i="7" s="1"/>
  <c r="BF42" i="7"/>
  <c r="H960" i="25" s="1"/>
  <c r="BA184" i="7"/>
  <c r="AY49" i="7"/>
  <c r="H2642" i="25" s="1"/>
  <c r="AM190" i="7"/>
  <c r="AK55" i="7"/>
  <c r="BA176" i="7"/>
  <c r="AY41" i="7"/>
  <c r="AP58" i="7"/>
  <c r="AR193" i="7"/>
  <c r="AP194" i="7"/>
  <c r="AQ196" i="7" s="1"/>
  <c r="AN59" i="7"/>
  <c r="H1283" i="25" s="1"/>
  <c r="AU46" i="7"/>
  <c r="H2651" i="25" s="1"/>
  <c r="AW181" i="7"/>
  <c r="AK63" i="7"/>
  <c r="AM198" i="7"/>
  <c r="AG59" i="7"/>
  <c r="AI194" i="7"/>
  <c r="AZ177" i="7"/>
  <c r="AX42" i="7"/>
  <c r="AN52" i="7"/>
  <c r="H2758" i="25" s="1"/>
  <c r="AP187" i="7"/>
  <c r="BC37" i="7"/>
  <c r="H950" i="25" s="1"/>
  <c r="BE172" i="7"/>
  <c r="AP50" i="7"/>
  <c r="AR185" i="7"/>
  <c r="AN189" i="7"/>
  <c r="AL54" i="7"/>
  <c r="H1387" i="25" s="1"/>
  <c r="AG69" i="7"/>
  <c r="AI204" i="7"/>
  <c r="AI70" i="7" s="1"/>
  <c r="AV182" i="7"/>
  <c r="AT47" i="7"/>
  <c r="BJ38" i="7"/>
  <c r="BL173" i="7"/>
  <c r="AL191" i="7"/>
  <c r="AJ56" i="7"/>
  <c r="BG44" i="7"/>
  <c r="H257" i="25" s="1"/>
  <c r="AT184" i="7"/>
  <c r="AR49" i="7"/>
  <c r="AO196" i="7"/>
  <c r="AM61" i="7"/>
  <c r="AH66" i="7"/>
  <c r="AJ201" i="7"/>
  <c r="AI202" i="7"/>
  <c r="AL62" i="7"/>
  <c r="AN197" i="7"/>
  <c r="AU183" i="7"/>
  <c r="AS48" i="7"/>
  <c r="H1163" i="25" s="1"/>
  <c r="BA40" i="7"/>
  <c r="BC175" i="7"/>
  <c r="BI176" i="7"/>
  <c r="BG41" i="7"/>
  <c r="AU190" i="7"/>
  <c r="AS55" i="7"/>
  <c r="AX50" i="7"/>
  <c r="AZ185" i="7"/>
  <c r="AQ56" i="7"/>
  <c r="AZ40" i="7"/>
  <c r="BB175" i="7"/>
  <c r="AQ57" i="7"/>
  <c r="AS192" i="7"/>
  <c r="BM37" i="7"/>
  <c r="BO172" i="7"/>
  <c r="BO38" i="7" s="1"/>
  <c r="AX180" i="7"/>
  <c r="AV45" i="7"/>
  <c r="AQ193" i="7"/>
  <c r="AO58" i="7"/>
  <c r="AW51" i="7"/>
  <c r="AY186" i="7"/>
  <c r="BB38" i="7"/>
  <c r="BD173" i="7"/>
  <c r="BA39" i="7"/>
  <c r="H2489" i="25" s="1"/>
  <c r="BC174" i="7"/>
  <c r="AQ186" i="7"/>
  <c r="AO51" i="7"/>
  <c r="AW183" i="7"/>
  <c r="BG36" i="7"/>
  <c r="BI171" i="7"/>
  <c r="AS185" i="7"/>
  <c r="M13" i="22"/>
  <c r="M38" i="22"/>
  <c r="AQ53" i="7" l="1"/>
  <c r="AS191" i="7"/>
  <c r="AS188" i="7"/>
  <c r="AT190" i="7" s="1"/>
  <c r="AT56" i="7" s="1"/>
  <c r="H2711" i="25" s="1"/>
  <c r="J515" i="25"/>
  <c r="U514" i="25"/>
  <c r="H3250" i="25"/>
  <c r="H3282" i="25"/>
  <c r="H3283" i="25"/>
  <c r="H3248" i="25"/>
  <c r="H3280" i="25"/>
  <c r="H3249" i="25"/>
  <c r="H3284" i="25"/>
  <c r="H2560" i="25"/>
  <c r="H2562" i="25"/>
  <c r="H3891" i="25"/>
  <c r="H3877" i="25"/>
  <c r="H2619" i="25"/>
  <c r="H2623" i="25"/>
  <c r="H2635" i="25"/>
  <c r="H2624" i="25"/>
  <c r="H2625" i="25"/>
  <c r="H2621" i="25"/>
  <c r="H2652" i="25"/>
  <c r="H2491" i="25"/>
  <c r="H3808" i="25"/>
  <c r="H1322" i="25"/>
  <c r="H1317" i="25"/>
  <c r="H1293" i="25"/>
  <c r="H1321" i="25"/>
  <c r="H1416" i="25"/>
  <c r="H1417" i="25"/>
  <c r="H3854" i="25"/>
  <c r="H3848" i="25"/>
  <c r="H3860" i="25"/>
  <c r="H1174" i="25"/>
  <c r="H1175" i="25"/>
  <c r="H1176" i="25"/>
  <c r="H1173" i="25"/>
  <c r="H3856" i="25"/>
  <c r="H3879" i="25"/>
  <c r="H3252" i="25"/>
  <c r="H3253" i="25"/>
  <c r="H983" i="25"/>
  <c r="H989" i="25"/>
  <c r="H1169" i="25"/>
  <c r="H1167" i="25"/>
  <c r="H1426" i="25"/>
  <c r="H1430" i="25"/>
  <c r="H1383" i="25"/>
  <c r="H1425" i="25"/>
  <c r="H1431" i="25"/>
  <c r="H1424" i="25"/>
  <c r="H1437" i="25"/>
  <c r="H1423" i="25"/>
  <c r="H1429" i="25"/>
  <c r="H1118" i="25"/>
  <c r="H1162" i="25"/>
  <c r="H1117" i="25"/>
  <c r="H2763" i="25"/>
  <c r="H2745" i="25"/>
  <c r="H2750" i="25"/>
  <c r="H2757" i="25"/>
  <c r="H2744" i="25"/>
  <c r="H3861" i="25"/>
  <c r="H3835" i="25"/>
  <c r="H3849" i="25"/>
  <c r="H2631" i="25"/>
  <c r="H2634" i="25"/>
  <c r="H2632" i="25"/>
  <c r="H1302" i="25"/>
  <c r="H1301" i="25"/>
  <c r="H1300" i="25"/>
  <c r="H2494" i="25"/>
  <c r="H2492" i="25"/>
  <c r="H2493" i="25"/>
  <c r="H3804" i="25"/>
  <c r="H3238" i="25"/>
  <c r="H3237" i="25"/>
  <c r="H3241" i="25"/>
  <c r="H2563" i="25"/>
  <c r="H2564" i="25"/>
  <c r="H2558" i="25"/>
  <c r="H3850" i="25"/>
  <c r="H2577" i="25"/>
  <c r="H7" i="27"/>
  <c r="L27" i="10"/>
  <c r="N27" i="10" s="1"/>
  <c r="O27" i="10" s="1"/>
  <c r="K27" i="10"/>
  <c r="W20" i="10"/>
  <c r="H337" i="25"/>
  <c r="H338" i="25"/>
  <c r="H341" i="25"/>
  <c r="H340" i="25"/>
  <c r="H99" i="25"/>
  <c r="H100" i="25"/>
  <c r="H88" i="25"/>
  <c r="J108" i="11"/>
  <c r="H214" i="25"/>
  <c r="H355" i="25"/>
  <c r="AQ62" i="7"/>
  <c r="H1226" i="25" s="1"/>
  <c r="AW191" i="7"/>
  <c r="AU56" i="7"/>
  <c r="AY52" i="7"/>
  <c r="BA187" i="7"/>
  <c r="AI68" i="7"/>
  <c r="AK203" i="7"/>
  <c r="AJ204" i="7"/>
  <c r="AJ70" i="7" s="1"/>
  <c r="AO191" i="7"/>
  <c r="AM56" i="7"/>
  <c r="AV184" i="7"/>
  <c r="AT49" i="7"/>
  <c r="AX53" i="7"/>
  <c r="H1180" i="25" s="1"/>
  <c r="AZ188" i="7"/>
  <c r="AM193" i="7"/>
  <c r="AK58" i="7"/>
  <c r="J28" i="10"/>
  <c r="J29" i="10" s="1"/>
  <c r="L26" i="10"/>
  <c r="M26" i="10" s="1"/>
  <c r="K26" i="10"/>
  <c r="BK40" i="7"/>
  <c r="H176" i="25" s="1"/>
  <c r="BM175" i="7"/>
  <c r="AS51" i="7"/>
  <c r="AU186" i="7"/>
  <c r="AX46" i="7"/>
  <c r="AZ181" i="7"/>
  <c r="AT187" i="7"/>
  <c r="BI42" i="7"/>
  <c r="BK177" i="7"/>
  <c r="AU49" i="7"/>
  <c r="H1164" i="25" s="1"/>
  <c r="AW184" i="7"/>
  <c r="AL202" i="7"/>
  <c r="AJ67" i="7"/>
  <c r="BG173" i="7"/>
  <c r="BE38" i="7"/>
  <c r="AM64" i="7"/>
  <c r="AO199" i="7"/>
  <c r="BD184" i="7"/>
  <c r="BB49" i="7"/>
  <c r="AX45" i="7"/>
  <c r="AZ180" i="7"/>
  <c r="BA182" i="7" s="1"/>
  <c r="BF175" i="7"/>
  <c r="BD40" i="7"/>
  <c r="AK66" i="7"/>
  <c r="H327" i="25" s="1"/>
  <c r="AM201" i="7"/>
  <c r="BJ41" i="7"/>
  <c r="H179" i="25" s="1"/>
  <c r="BL176" i="7"/>
  <c r="AT57" i="7"/>
  <c r="AV192" i="7"/>
  <c r="AH61" i="7"/>
  <c r="AJ196" i="7"/>
  <c r="AP200" i="7"/>
  <c r="AN65" i="7"/>
  <c r="AY45" i="7"/>
  <c r="BA180" i="7"/>
  <c r="AS195" i="7"/>
  <c r="AQ60" i="7"/>
  <c r="AZ183" i="7"/>
  <c r="AX48" i="7"/>
  <c r="BJ181" i="7"/>
  <c r="BH46" i="7"/>
  <c r="AS187" i="7"/>
  <c r="AQ52" i="7"/>
  <c r="H3254" i="25" s="1"/>
  <c r="BI45" i="7"/>
  <c r="AW49" i="7"/>
  <c r="AY184" i="7"/>
  <c r="BE175" i="7"/>
  <c r="BC40" i="7"/>
  <c r="H3802" i="25" s="1"/>
  <c r="AS58" i="7"/>
  <c r="AU193" i="7"/>
  <c r="AZ51" i="7"/>
  <c r="H2667" i="25" s="1"/>
  <c r="BB186" i="7"/>
  <c r="AO62" i="7"/>
  <c r="AQ197" i="7"/>
  <c r="BJ178" i="7"/>
  <c r="BH43" i="7"/>
  <c r="H254" i="25" s="1"/>
  <c r="AQ189" i="7"/>
  <c r="AO54" i="7"/>
  <c r="BG174" i="7"/>
  <c r="BE39" i="7"/>
  <c r="AK68" i="7"/>
  <c r="AM203" i="7"/>
  <c r="AO64" i="7"/>
  <c r="AQ199" i="7"/>
  <c r="AR196" i="7"/>
  <c r="AP61" i="7"/>
  <c r="AS50" i="7"/>
  <c r="AU185" i="7"/>
  <c r="BI182" i="7"/>
  <c r="BG47" i="7"/>
  <c r="H968" i="25" s="1"/>
  <c r="AL65" i="7"/>
  <c r="AN200" i="7"/>
  <c r="AY47" i="7"/>
  <c r="H2662" i="25" s="1"/>
  <c r="BK172" i="7"/>
  <c r="BI37" i="7"/>
  <c r="BD39" i="7"/>
  <c r="H89" i="25" s="1"/>
  <c r="BF174" i="7"/>
  <c r="BD176" i="7"/>
  <c r="BB41" i="7"/>
  <c r="AS57" i="7"/>
  <c r="BC41" i="7"/>
  <c r="H253" i="25" s="1"/>
  <c r="BE176" i="7"/>
  <c r="AP198" i="7"/>
  <c r="AN63" i="7"/>
  <c r="AT50" i="7"/>
  <c r="AV185" i="7"/>
  <c r="AN192" i="7"/>
  <c r="AL57" i="7"/>
  <c r="AX183" i="7"/>
  <c r="AV48" i="7"/>
  <c r="AN55" i="7"/>
  <c r="AP190" i="7"/>
  <c r="AZ43" i="7"/>
  <c r="BB178" i="7"/>
  <c r="AR195" i="7"/>
  <c r="AP60" i="7"/>
  <c r="H1277" i="25" s="1"/>
  <c r="BA42" i="7"/>
  <c r="BC177" i="7"/>
  <c r="BA50" i="7"/>
  <c r="H2668" i="25" s="1"/>
  <c r="BC185" i="7"/>
  <c r="BF38" i="7"/>
  <c r="BH173" i="7"/>
  <c r="BC48" i="7"/>
  <c r="BE183" i="7"/>
  <c r="BF182" i="7"/>
  <c r="BD47" i="7"/>
  <c r="BB42" i="7"/>
  <c r="BD177" i="7"/>
  <c r="BA43" i="7"/>
  <c r="BC178" i="7"/>
  <c r="N108" i="11"/>
  <c r="D108" i="11"/>
  <c r="BF37" i="7"/>
  <c r="BH172" i="7"/>
  <c r="BO173" i="7"/>
  <c r="BO39" i="7" s="1"/>
  <c r="BM38" i="7"/>
  <c r="BI172" i="7"/>
  <c r="BG37" i="7"/>
  <c r="AQ59" i="7"/>
  <c r="AS194" i="7"/>
  <c r="BN174" i="7"/>
  <c r="BN40" i="7" s="1"/>
  <c r="H85" i="25" s="1"/>
  <c r="BL39" i="7"/>
  <c r="H84" i="25" s="1"/>
  <c r="AT186" i="7"/>
  <c r="AR51" i="7"/>
  <c r="H3242" i="25" s="1"/>
  <c r="AP53" i="7"/>
  <c r="AR188" i="7"/>
  <c r="AI60" i="7"/>
  <c r="AK195" i="7"/>
  <c r="AY182" i="7"/>
  <c r="AW47" i="7"/>
  <c r="AR59" i="7"/>
  <c r="AT194" i="7"/>
  <c r="AT193" i="7"/>
  <c r="AR58" i="7"/>
  <c r="AJ69" i="7"/>
  <c r="AL204" i="7"/>
  <c r="AL70" i="7" s="1"/>
  <c r="AI197" i="7"/>
  <c r="AG62" i="7"/>
  <c r="AH198" i="7"/>
  <c r="G108" i="11"/>
  <c r="H108" i="11"/>
  <c r="BB179" i="7"/>
  <c r="AZ44" i="7"/>
  <c r="AM66" i="7"/>
  <c r="AO201" i="7"/>
  <c r="AJ59" i="7"/>
  <c r="AL194" i="7"/>
  <c r="BA179" i="7"/>
  <c r="AY44" i="7"/>
  <c r="AP63" i="7"/>
  <c r="AR198" i="7"/>
  <c r="AN202" i="7"/>
  <c r="AL67" i="7"/>
  <c r="AX190" i="7"/>
  <c r="AV55" i="7"/>
  <c r="AW54" i="7"/>
  <c r="AY189" i="7"/>
  <c r="M11" i="22"/>
  <c r="M37" i="22" a="1"/>
  <c r="M37" i="22" s="1"/>
  <c r="M10" i="22" s="1"/>
  <c r="O15" i="21" s="1"/>
  <c r="O17" i="21" s="1"/>
  <c r="O18" i="21" s="1"/>
  <c r="AS54" i="7" l="1"/>
  <c r="AU192" i="7"/>
  <c r="AV194" i="7" s="1"/>
  <c r="AU189" i="7"/>
  <c r="AU55" i="7" s="1"/>
  <c r="M27" i="10"/>
  <c r="J516" i="25"/>
  <c r="U515" i="25"/>
  <c r="B8" i="27"/>
  <c r="C8" i="27" s="1"/>
  <c r="P33" i="19"/>
  <c r="H33" i="19"/>
  <c r="H2629" i="25"/>
  <c r="H2660" i="25"/>
  <c r="H2661" i="25"/>
  <c r="H2636" i="25"/>
  <c r="H2628" i="25"/>
  <c r="H3843" i="25"/>
  <c r="H3864" i="25"/>
  <c r="H3847" i="25"/>
  <c r="H2723" i="25"/>
  <c r="H2727" i="25"/>
  <c r="H2724" i="25"/>
  <c r="H2720" i="25"/>
  <c r="H2707" i="25"/>
  <c r="H2697" i="25"/>
  <c r="H987" i="25"/>
  <c r="H991" i="25"/>
  <c r="H982" i="25"/>
  <c r="H988" i="25"/>
  <c r="H2708" i="25"/>
  <c r="H2698" i="25"/>
  <c r="H3886" i="25"/>
  <c r="H3898" i="25"/>
  <c r="H3885" i="25"/>
  <c r="H3883" i="25"/>
  <c r="H3884" i="25"/>
  <c r="H2647" i="25"/>
  <c r="H2633" i="25"/>
  <c r="H3839" i="25"/>
  <c r="H3833" i="25"/>
  <c r="H3836" i="25"/>
  <c r="H2644" i="25"/>
  <c r="H2638" i="25"/>
  <c r="H2646" i="25"/>
  <c r="H955" i="25"/>
  <c r="H953" i="25"/>
  <c r="H956" i="25"/>
  <c r="H1394" i="25"/>
  <c r="H1393" i="25"/>
  <c r="H1391" i="25"/>
  <c r="H1396" i="25"/>
  <c r="H1395" i="25"/>
  <c r="H3873" i="25"/>
  <c r="H3871" i="25"/>
  <c r="H3872" i="25"/>
  <c r="H3862" i="25"/>
  <c r="H3870" i="25"/>
  <c r="H3863" i="25"/>
  <c r="H3865" i="25"/>
  <c r="H3874" i="25"/>
  <c r="H3882" i="25"/>
  <c r="H2722" i="25"/>
  <c r="H2749" i="25"/>
  <c r="H2716" i="25"/>
  <c r="H2717" i="25"/>
  <c r="H3890" i="25"/>
  <c r="H3894" i="25"/>
  <c r="H3896" i="25"/>
  <c r="H3888" i="25"/>
  <c r="H3895" i="25"/>
  <c r="H3889" i="25"/>
  <c r="H3892" i="25"/>
  <c r="H3887" i="25"/>
  <c r="H3893" i="25"/>
  <c r="H3900" i="25"/>
  <c r="H1294" i="25"/>
  <c r="H1306" i="25"/>
  <c r="H1310" i="25"/>
  <c r="H1313" i="25"/>
  <c r="H1289" i="25"/>
  <c r="H2655" i="25"/>
  <c r="H2622" i="25"/>
  <c r="H2620" i="25"/>
  <c r="H2626" i="25"/>
  <c r="H2653" i="25"/>
  <c r="H1296" i="25"/>
  <c r="H1288" i="25"/>
  <c r="M108" i="11"/>
  <c r="H201" i="25"/>
  <c r="H105" i="25"/>
  <c r="H107" i="25"/>
  <c r="H106" i="25"/>
  <c r="F78" i="11"/>
  <c r="H209" i="25"/>
  <c r="H207" i="25"/>
  <c r="H208" i="25"/>
  <c r="H335" i="25"/>
  <c r="H334" i="25"/>
  <c r="H93" i="25"/>
  <c r="H92" i="25"/>
  <c r="H91" i="25"/>
  <c r="H97" i="25"/>
  <c r="E78" i="11"/>
  <c r="H212" i="25"/>
  <c r="H204" i="25"/>
  <c r="H205" i="25"/>
  <c r="H210" i="25"/>
  <c r="H206" i="25"/>
  <c r="H353" i="25"/>
  <c r="H354" i="25"/>
  <c r="AT59" i="7"/>
  <c r="H1225" i="25" s="1"/>
  <c r="AR61" i="7"/>
  <c r="H1230" i="25" s="1"/>
  <c r="AT196" i="7"/>
  <c r="AR199" i="7"/>
  <c r="AP64" i="7"/>
  <c r="AT197" i="7"/>
  <c r="AR62" i="7"/>
  <c r="H1274" i="25" s="1"/>
  <c r="BE41" i="7"/>
  <c r="H957" i="25" s="1"/>
  <c r="BG176" i="7"/>
  <c r="AP66" i="7"/>
  <c r="AR201" i="7"/>
  <c r="AK69" i="7"/>
  <c r="AM204" i="7"/>
  <c r="AM70" i="7" s="1"/>
  <c r="AP203" i="7"/>
  <c r="AN68" i="7"/>
  <c r="AV195" i="7"/>
  <c r="AT60" i="7"/>
  <c r="AM196" i="7"/>
  <c r="AK61" i="7"/>
  <c r="H339" i="25" s="1"/>
  <c r="AU195" i="7"/>
  <c r="AS60" i="7"/>
  <c r="BJ173" i="7"/>
  <c r="BH38" i="7"/>
  <c r="H175" i="25" s="1"/>
  <c r="BC44" i="7"/>
  <c r="H199" i="25" s="1"/>
  <c r="BE179" i="7"/>
  <c r="BJ174" i="7"/>
  <c r="BH39" i="7"/>
  <c r="BC43" i="7"/>
  <c r="BE178" i="7"/>
  <c r="BD179" i="7"/>
  <c r="BB44" i="7"/>
  <c r="H200" i="25" s="1"/>
  <c r="AV51" i="7"/>
  <c r="H1172" i="25" s="1"/>
  <c r="AX186" i="7"/>
  <c r="BE42" i="7"/>
  <c r="BG177" i="7"/>
  <c r="AP201" i="7"/>
  <c r="AN66" i="7"/>
  <c r="AU51" i="7"/>
  <c r="H1170" i="25" s="1"/>
  <c r="AW186" i="7"/>
  <c r="AO204" i="7"/>
  <c r="AO70" i="7" s="1"/>
  <c r="AM69" i="7"/>
  <c r="AS198" i="7"/>
  <c r="AQ63" i="7"/>
  <c r="AW194" i="7"/>
  <c r="AU59" i="7"/>
  <c r="BA185" i="7"/>
  <c r="AY50" i="7"/>
  <c r="H2666" i="25" s="1"/>
  <c r="BC181" i="7"/>
  <c r="BA46" i="7"/>
  <c r="H986" i="25" s="1"/>
  <c r="AJ62" i="7"/>
  <c r="AL197" i="7"/>
  <c r="BN177" i="7"/>
  <c r="BN43" i="7" s="1"/>
  <c r="BL42" i="7"/>
  <c r="AY185" i="7"/>
  <c r="AW50" i="7"/>
  <c r="AV188" i="7"/>
  <c r="AT53" i="7"/>
  <c r="AZ54" i="7"/>
  <c r="BB189" i="7"/>
  <c r="AY192" i="7"/>
  <c r="AW57" i="7"/>
  <c r="AO67" i="7"/>
  <c r="AQ202" i="7"/>
  <c r="BA48" i="7"/>
  <c r="BG40" i="7"/>
  <c r="BI175" i="7"/>
  <c r="BJ47" i="7"/>
  <c r="AU196" i="7"/>
  <c r="AS61" i="7"/>
  <c r="AN203" i="7"/>
  <c r="AL68" i="7"/>
  <c r="AV50" i="7"/>
  <c r="H1166" i="25" s="1"/>
  <c r="AX185" i="7"/>
  <c r="AR64" i="7"/>
  <c r="AZ184" i="7"/>
  <c r="AX49" i="7"/>
  <c r="H2643" i="25" s="1"/>
  <c r="BD42" i="7"/>
  <c r="BF177" i="7"/>
  <c r="BM173" i="7"/>
  <c r="BK38" i="7"/>
  <c r="AQ55" i="7"/>
  <c r="AS190" i="7"/>
  <c r="AU188" i="7"/>
  <c r="AS53" i="7"/>
  <c r="BB184" i="7"/>
  <c r="AZ49" i="7"/>
  <c r="BH176" i="7"/>
  <c r="BF41" i="7"/>
  <c r="BD50" i="7"/>
  <c r="BF185" i="7"/>
  <c r="BI174" i="7"/>
  <c r="BG39" i="7"/>
  <c r="BB182" i="7"/>
  <c r="AZ47" i="7"/>
  <c r="BO176" i="7"/>
  <c r="BO42" i="7" s="1"/>
  <c r="BM41" i="7"/>
  <c r="H177" i="25" s="1"/>
  <c r="O29" i="10"/>
  <c r="K29" i="10"/>
  <c r="R43" i="24" s="1"/>
  <c r="L29" i="10"/>
  <c r="AQ192" i="7"/>
  <c r="AO57" i="7"/>
  <c r="H1282" i="25" s="1"/>
  <c r="BA53" i="7"/>
  <c r="BC188" i="7"/>
  <c r="BA190" i="7"/>
  <c r="AY55" i="7"/>
  <c r="AI63" i="7"/>
  <c r="AK198" i="7"/>
  <c r="AY48" i="7"/>
  <c r="BA183" i="7"/>
  <c r="BI38" i="7"/>
  <c r="BK173" i="7"/>
  <c r="AN58" i="7"/>
  <c r="AP193" i="7"/>
  <c r="BK183" i="7"/>
  <c r="BI48" i="7"/>
  <c r="BL179" i="7"/>
  <c r="BJ44" i="7"/>
  <c r="H187" i="25" s="1"/>
  <c r="AU52" i="7"/>
  <c r="AW187" i="7"/>
  <c r="Q43" i="24"/>
  <c r="W19" i="10"/>
  <c r="N26" i="10"/>
  <c r="O26" i="10" s="1"/>
  <c r="AO194" i="7"/>
  <c r="AM59" i="7"/>
  <c r="BA45" i="7"/>
  <c r="BC180" i="7"/>
  <c r="AN195" i="7"/>
  <c r="AL60" i="7"/>
  <c r="AH64" i="7"/>
  <c r="AJ199" i="7"/>
  <c r="AI200" i="7"/>
  <c r="AT52" i="7"/>
  <c r="AV187" i="7"/>
  <c r="BF48" i="7"/>
  <c r="BH183" i="7"/>
  <c r="AX56" i="7"/>
  <c r="AZ191" i="7"/>
  <c r="BD180" i="7"/>
  <c r="BB45" i="7"/>
  <c r="AR54" i="7"/>
  <c r="AT189" i="7"/>
  <c r="BF178" i="7"/>
  <c r="BD43" i="7"/>
  <c r="H3846" i="25" s="1"/>
  <c r="BE49" i="7"/>
  <c r="BG184" i="7"/>
  <c r="BE186" i="7"/>
  <c r="BC51" i="7"/>
  <c r="AP56" i="7"/>
  <c r="AR191" i="7"/>
  <c r="BH175" i="7"/>
  <c r="BF40" i="7"/>
  <c r="AS200" i="7"/>
  <c r="AQ65" i="7"/>
  <c r="BD187" i="7"/>
  <c r="BB52" i="7"/>
  <c r="BK180" i="7"/>
  <c r="BL182" i="7" s="1"/>
  <c r="AX193" i="7"/>
  <c r="AV58" i="7"/>
  <c r="AM67" i="7"/>
  <c r="H326" i="25" s="1"/>
  <c r="AO202" i="7"/>
  <c r="BB181" i="7"/>
  <c r="AZ46" i="7"/>
  <c r="AO65" i="7"/>
  <c r="AQ200" i="7"/>
  <c r="BK43" i="7"/>
  <c r="H185" i="25" s="1"/>
  <c r="BM178" i="7"/>
  <c r="AS197" i="7"/>
  <c r="AT199" i="7" s="1"/>
  <c r="O19" i="21"/>
  <c r="O20" i="21" s="1"/>
  <c r="O23" i="21" s="1"/>
  <c r="AV191" i="7" l="1"/>
  <c r="AW193" i="7" s="1"/>
  <c r="AU58" i="7"/>
  <c r="H2706" i="25" s="1"/>
  <c r="J517" i="25"/>
  <c r="U516" i="25"/>
  <c r="B7" i="27"/>
  <c r="B6" i="27" s="1"/>
  <c r="H10" i="27" s="1"/>
  <c r="G37" i="19"/>
  <c r="I37" i="19"/>
  <c r="E53" i="19" s="1"/>
  <c r="H37" i="19"/>
  <c r="J37" i="19"/>
  <c r="F37" i="19"/>
  <c r="R37" i="19"/>
  <c r="N37" i="19"/>
  <c r="Q37" i="19"/>
  <c r="O37" i="19"/>
  <c r="H1286" i="25"/>
  <c r="H1281" i="25"/>
  <c r="H1284" i="25"/>
  <c r="H2665" i="25"/>
  <c r="H2664" i="25"/>
  <c r="H2641" i="25"/>
  <c r="H959" i="25"/>
  <c r="H961" i="25"/>
  <c r="H2691" i="25"/>
  <c r="H2695" i="25"/>
  <c r="H1280" i="25"/>
  <c r="H1285" i="25"/>
  <c r="H1231" i="25"/>
  <c r="H1229" i="25"/>
  <c r="H2692" i="25"/>
  <c r="H2702" i="25"/>
  <c r="H2689" i="25"/>
  <c r="H2701" i="25"/>
  <c r="H2639" i="25"/>
  <c r="H2640" i="25"/>
  <c r="H2645" i="25"/>
  <c r="H3866" i="25"/>
  <c r="H3845" i="25"/>
  <c r="H103" i="25"/>
  <c r="H101" i="25"/>
  <c r="H104" i="25"/>
  <c r="H195" i="25"/>
  <c r="H194" i="25"/>
  <c r="H98" i="25"/>
  <c r="H102" i="25"/>
  <c r="H90" i="25"/>
  <c r="H203" i="25"/>
  <c r="H202" i="25"/>
  <c r="H344" i="25"/>
  <c r="H173" i="25"/>
  <c r="H174" i="25"/>
  <c r="H255" i="25"/>
  <c r="H347" i="25"/>
  <c r="H256" i="25"/>
  <c r="H192" i="25"/>
  <c r="H331" i="25"/>
  <c r="H330" i="25"/>
  <c r="H332" i="25"/>
  <c r="BB47" i="7"/>
  <c r="BD182" i="7"/>
  <c r="BG50" i="7"/>
  <c r="BI185" i="7"/>
  <c r="AJ65" i="7"/>
  <c r="AL200" i="7"/>
  <c r="AU191" i="7"/>
  <c r="AS56" i="7"/>
  <c r="BL48" i="7"/>
  <c r="BI178" i="7"/>
  <c r="BG43" i="7"/>
  <c r="AO68" i="7"/>
  <c r="H325" i="25" s="1"/>
  <c r="AQ203" i="7"/>
  <c r="AZ57" i="7"/>
  <c r="BB192" i="7"/>
  <c r="AW59" i="7"/>
  <c r="BB48" i="7"/>
  <c r="BD183" i="7"/>
  <c r="BB50" i="7"/>
  <c r="AT65" i="7"/>
  <c r="AN69" i="7"/>
  <c r="AP204" i="7"/>
  <c r="AP70" i="7" s="1"/>
  <c r="AY58" i="7"/>
  <c r="BA193" i="7"/>
  <c r="AV54" i="7"/>
  <c r="AX189" i="7"/>
  <c r="BC47" i="7"/>
  <c r="BE182" i="7"/>
  <c r="AW60" i="7"/>
  <c r="AY195" i="7"/>
  <c r="BF180" i="7"/>
  <c r="BD45" i="7"/>
  <c r="BJ40" i="7"/>
  <c r="BL175" i="7"/>
  <c r="BJ39" i="7"/>
  <c r="BL174" i="7"/>
  <c r="AO197" i="7"/>
  <c r="AM62" i="7"/>
  <c r="AP69" i="7"/>
  <c r="AR204" i="7"/>
  <c r="AR70" i="7" s="1"/>
  <c r="AT63" i="7"/>
  <c r="AV198" i="7"/>
  <c r="AZ194" i="7"/>
  <c r="AX59" i="7"/>
  <c r="H2694" i="25" s="1"/>
  <c r="AT192" i="7"/>
  <c r="AR57" i="7"/>
  <c r="AV190" i="7"/>
  <c r="AT55" i="7"/>
  <c r="BF181" i="7"/>
  <c r="BD46" i="7"/>
  <c r="BE181" i="7"/>
  <c r="BC46" i="7"/>
  <c r="BM184" i="7"/>
  <c r="BK49" i="7"/>
  <c r="O47" i="24"/>
  <c r="P47" i="24"/>
  <c r="P59" i="24"/>
  <c r="O59" i="24"/>
  <c r="Q47" i="24"/>
  <c r="Q59" i="24"/>
  <c r="BF51" i="7"/>
  <c r="BH186" i="7"/>
  <c r="BF43" i="7"/>
  <c r="H191" i="25" s="1"/>
  <c r="BH178" i="7"/>
  <c r="BC183" i="7"/>
  <c r="BD185" i="7" s="1"/>
  <c r="AY187" i="7"/>
  <c r="AW52" i="7"/>
  <c r="AT202" i="7"/>
  <c r="AR67" i="7"/>
  <c r="AV197" i="7"/>
  <c r="AT62" i="7"/>
  <c r="AS201" i="7"/>
  <c r="AQ66" i="7"/>
  <c r="BK46" i="7"/>
  <c r="BM181" i="7"/>
  <c r="AS66" i="7"/>
  <c r="AU201" i="7"/>
  <c r="AX188" i="7"/>
  <c r="AV53" i="7"/>
  <c r="BA49" i="7"/>
  <c r="BC184" i="7"/>
  <c r="AS63" i="7"/>
  <c r="H1264" i="25" s="1"/>
  <c r="AU198" i="7"/>
  <c r="AV200" i="7" s="1"/>
  <c r="AV57" i="7"/>
  <c r="K59" i="24"/>
  <c r="I47" i="24"/>
  <c r="I59" i="24"/>
  <c r="J47" i="24"/>
  <c r="J59" i="24"/>
  <c r="K47" i="24"/>
  <c r="BN180" i="7"/>
  <c r="BN46" i="7" s="1"/>
  <c r="BL45" i="7"/>
  <c r="AW190" i="7"/>
  <c r="AX192" i="7" s="1"/>
  <c r="BA56" i="7"/>
  <c r="BC191" i="7"/>
  <c r="AS193" i="7"/>
  <c r="AQ58" i="7"/>
  <c r="AZ186" i="7"/>
  <c r="AX51" i="7"/>
  <c r="BI41" i="7"/>
  <c r="BK176" i="7"/>
  <c r="AQ68" i="7"/>
  <c r="AS203" i="7"/>
  <c r="BD190" i="7"/>
  <c r="BB55" i="7"/>
  <c r="AN198" i="7"/>
  <c r="AL63" i="7"/>
  <c r="AZ187" i="7"/>
  <c r="AX52" i="7"/>
  <c r="H1168" i="25" s="1"/>
  <c r="BG179" i="7"/>
  <c r="BE44" i="7"/>
  <c r="BE45" i="7"/>
  <c r="H198" i="25" s="1"/>
  <c r="BG180" i="7"/>
  <c r="BG42" i="7"/>
  <c r="H958" i="25" s="1"/>
  <c r="BI177" i="7"/>
  <c r="BO179" i="7"/>
  <c r="BO45" i="7" s="1"/>
  <c r="BM44" i="7"/>
  <c r="BD53" i="7"/>
  <c r="BF188" i="7"/>
  <c r="BH41" i="7"/>
  <c r="BJ176" i="7"/>
  <c r="BE52" i="7"/>
  <c r="BG187" i="7"/>
  <c r="BH179" i="7"/>
  <c r="BF44" i="7"/>
  <c r="H963" i="25" s="1"/>
  <c r="BJ184" i="7"/>
  <c r="BH49" i="7"/>
  <c r="AK201" i="7"/>
  <c r="AI66" i="7"/>
  <c r="AJ202" i="7"/>
  <c r="AP196" i="7"/>
  <c r="AN61" i="7"/>
  <c r="AQ195" i="7"/>
  <c r="AO60" i="7"/>
  <c r="AW53" i="7"/>
  <c r="AY188" i="7"/>
  <c r="AR194" i="7"/>
  <c r="AP59" i="7"/>
  <c r="H1278" i="25" s="1"/>
  <c r="BM174" i="7"/>
  <c r="BK39" i="7"/>
  <c r="AM199" i="7"/>
  <c r="AK64" i="7"/>
  <c r="BE189" i="7"/>
  <c r="BC54" i="7"/>
  <c r="P25" i="10"/>
  <c r="N29" i="10"/>
  <c r="M29" i="10"/>
  <c r="BK175" i="7"/>
  <c r="BI40" i="7"/>
  <c r="BJ177" i="7"/>
  <c r="BH42" i="7"/>
  <c r="AU54" i="7"/>
  <c r="AW189" i="7"/>
  <c r="BO174" i="7"/>
  <c r="BO40" i="7" s="1"/>
  <c r="BM39" i="7"/>
  <c r="BB185" i="7"/>
  <c r="AZ50" i="7"/>
  <c r="AW197" i="7"/>
  <c r="AU62" i="7"/>
  <c r="BA186" i="7"/>
  <c r="AY51" i="7"/>
  <c r="BC186" i="7"/>
  <c r="BA51" i="7"/>
  <c r="H2669" i="25" s="1"/>
  <c r="AS64" i="7"/>
  <c r="AU199" i="7"/>
  <c r="AR202" i="7"/>
  <c r="AP67" i="7"/>
  <c r="AU61" i="7"/>
  <c r="AW196" i="7"/>
  <c r="AV61" i="7"/>
  <c r="H1213" i="25" s="1"/>
  <c r="AX196" i="7"/>
  <c r="AR65" i="7"/>
  <c r="AT200" i="7"/>
  <c r="AV60" i="7"/>
  <c r="AX195" i="7"/>
  <c r="P8" i="21"/>
  <c r="P9" i="21"/>
  <c r="M12" i="22"/>
  <c r="M65" i="22"/>
  <c r="M52" i="22"/>
  <c r="M25" i="22"/>
  <c r="M39" i="22"/>
  <c r="J518" i="25" l="1"/>
  <c r="U517" i="25"/>
  <c r="C7" i="27"/>
  <c r="C6" i="27" s="1"/>
  <c r="J10" i="27" s="1"/>
  <c r="J17" i="27" s="1"/>
  <c r="O21" i="26" s="1"/>
  <c r="P37" i="19"/>
  <c r="R33" i="19" s="1"/>
  <c r="J33" i="19"/>
  <c r="H11" i="27"/>
  <c r="H12" i="27" s="1"/>
  <c r="H17" i="27"/>
  <c r="H18" i="27" s="1"/>
  <c r="I17" i="27"/>
  <c r="I18" i="27" s="1"/>
  <c r="H27" i="19" s="1"/>
  <c r="H1254" i="25"/>
  <c r="H1233" i="25"/>
  <c r="H1255" i="25"/>
  <c r="H1236" i="25"/>
  <c r="H1235" i="25"/>
  <c r="H1263" i="25"/>
  <c r="H1237" i="25"/>
  <c r="H1178" i="25"/>
  <c r="H1179" i="25"/>
  <c r="H1177" i="25"/>
  <c r="H1234" i="25"/>
  <c r="H1262" i="25"/>
  <c r="H1266" i="25"/>
  <c r="H1265" i="25"/>
  <c r="H1268" i="25"/>
  <c r="H1272" i="25"/>
  <c r="H1269" i="25"/>
  <c r="H1267" i="25"/>
  <c r="H2693" i="25"/>
  <c r="H2704" i="25"/>
  <c r="H1222" i="25"/>
  <c r="H1270" i="25"/>
  <c r="H1271" i="25"/>
  <c r="H1261" i="25"/>
  <c r="H2713" i="25"/>
  <c r="H2710" i="25"/>
  <c r="H2712" i="25"/>
  <c r="H95" i="25"/>
  <c r="H196" i="25"/>
  <c r="H319" i="25"/>
  <c r="H321" i="25"/>
  <c r="H320" i="25"/>
  <c r="H318" i="25"/>
  <c r="AZ197" i="7"/>
  <c r="AX62" i="7"/>
  <c r="BO175" i="7"/>
  <c r="BO41" i="7" s="1"/>
  <c r="BM40" i="7"/>
  <c r="BF54" i="7"/>
  <c r="BH189" i="7"/>
  <c r="AS67" i="7"/>
  <c r="AU202" i="7"/>
  <c r="BE48" i="7"/>
  <c r="BG183" i="7"/>
  <c r="BF184" i="7"/>
  <c r="BD49" i="7"/>
  <c r="AT203" i="7"/>
  <c r="AR68" i="7"/>
  <c r="BJ43" i="7"/>
  <c r="BL178" i="7"/>
  <c r="AL203" i="7"/>
  <c r="AJ68" i="7"/>
  <c r="AK204" i="7"/>
  <c r="AK70" i="7" s="1"/>
  <c r="BL185" i="7"/>
  <c r="BJ50" i="7"/>
  <c r="H264" i="25" s="1"/>
  <c r="BI180" i="7"/>
  <c r="BG45" i="7"/>
  <c r="AN64" i="7"/>
  <c r="AP199" i="7"/>
  <c r="BB187" i="7"/>
  <c r="AZ52" i="7"/>
  <c r="K22" i="24"/>
  <c r="K48" i="24"/>
  <c r="I22" i="24"/>
  <c r="I48" i="24"/>
  <c r="AW199" i="7"/>
  <c r="AX201" i="7" s="1"/>
  <c r="AU64" i="7"/>
  <c r="BM47" i="7"/>
  <c r="BO182" i="7"/>
  <c r="BO48" i="7" s="1"/>
  <c r="Q22" i="24"/>
  <c r="Q48" i="24"/>
  <c r="O22" i="24"/>
  <c r="O48" i="24"/>
  <c r="BG182" i="7"/>
  <c r="BE47" i="7"/>
  <c r="AX191" i="7"/>
  <c r="AV56" i="7"/>
  <c r="H2700" i="25" s="1"/>
  <c r="AZ60" i="7"/>
  <c r="BB195" i="7"/>
  <c r="BH181" i="7"/>
  <c r="BF46" i="7"/>
  <c r="BK179" i="7"/>
  <c r="BI44" i="7"/>
  <c r="AW192" i="7"/>
  <c r="AU57" i="7"/>
  <c r="H2699" i="25" s="1"/>
  <c r="BE55" i="7"/>
  <c r="BG190" i="7"/>
  <c r="BK178" i="7"/>
  <c r="BI43" i="7"/>
  <c r="H94" i="25" s="1"/>
  <c r="AT68" i="7"/>
  <c r="AV203" i="7"/>
  <c r="P22" i="24"/>
  <c r="P48" i="24"/>
  <c r="BA59" i="7"/>
  <c r="BC194" i="7"/>
  <c r="BD193" i="7"/>
  <c r="BB58" i="7"/>
  <c r="AW63" i="7"/>
  <c r="AY198" i="7"/>
  <c r="AW62" i="7"/>
  <c r="AY197" i="7"/>
  <c r="AR60" i="7"/>
  <c r="H1228" i="25" s="1"/>
  <c r="AT195" i="7"/>
  <c r="BI181" i="7"/>
  <c r="BG46" i="7"/>
  <c r="BH52" i="7"/>
  <c r="H268" i="25" s="1"/>
  <c r="BJ187" i="7"/>
  <c r="AX199" i="7"/>
  <c r="AV64" i="7"/>
  <c r="BL41" i="7"/>
  <c r="H178" i="25" s="1"/>
  <c r="BN176" i="7"/>
  <c r="BN42" i="7" s="1"/>
  <c r="AY61" i="7"/>
  <c r="BA196" i="7"/>
  <c r="AX55" i="7"/>
  <c r="AZ190" i="7"/>
  <c r="BD51" i="7"/>
  <c r="AS204" i="7"/>
  <c r="AS70" i="7" s="1"/>
  <c r="AQ69" i="7"/>
  <c r="H322" i="25" s="1"/>
  <c r="AL66" i="7"/>
  <c r="AN201" i="7"/>
  <c r="BD48" i="7"/>
  <c r="BF183" i="7"/>
  <c r="AX61" i="7"/>
  <c r="H1214" i="25" s="1"/>
  <c r="AR197" i="7"/>
  <c r="AP62" i="7"/>
  <c r="H1275" i="25" s="1"/>
  <c r="BG53" i="7"/>
  <c r="BI188" i="7"/>
  <c r="AU204" i="7"/>
  <c r="AU70" i="7" s="1"/>
  <c r="AS69" i="7"/>
  <c r="BE192" i="7"/>
  <c r="BC57" i="7"/>
  <c r="H1187" i="25" s="1"/>
  <c r="AX58" i="7"/>
  <c r="H2690" i="25" s="1"/>
  <c r="BJ179" i="7"/>
  <c r="BH44" i="7"/>
  <c r="H258" i="25" s="1"/>
  <c r="BN175" i="7"/>
  <c r="BN41" i="7" s="1"/>
  <c r="BL40" i="7"/>
  <c r="AV66" i="7"/>
  <c r="BI51" i="7"/>
  <c r="BK186" i="7"/>
  <c r="BE187" i="7"/>
  <c r="BC52" i="7"/>
  <c r="AT66" i="7"/>
  <c r="AV201" i="7"/>
  <c r="AU65" i="7"/>
  <c r="AW200" i="7"/>
  <c r="AY190" i="7"/>
  <c r="AW55" i="7"/>
  <c r="AM65" i="7"/>
  <c r="H333" i="25" s="1"/>
  <c r="AO200" i="7"/>
  <c r="AS196" i="7"/>
  <c r="AQ61" i="7"/>
  <c r="H1227" i="25" s="1"/>
  <c r="BL177" i="7"/>
  <c r="BJ42" i="7"/>
  <c r="BM177" i="7"/>
  <c r="BK42" i="7"/>
  <c r="AY191" i="7"/>
  <c r="AZ193" i="7" s="1"/>
  <c r="AW56" i="7"/>
  <c r="AZ189" i="7"/>
  <c r="AX54" i="7"/>
  <c r="AX198" i="7"/>
  <c r="AV63" i="7"/>
  <c r="AY53" i="7"/>
  <c r="BA188" i="7"/>
  <c r="BA52" i="7"/>
  <c r="H2670" i="25" s="1"/>
  <c r="BC187" i="7"/>
  <c r="BD186" i="7"/>
  <c r="BB51" i="7"/>
  <c r="BM176" i="7"/>
  <c r="BK41" i="7"/>
  <c r="AY54" i="7"/>
  <c r="H1181" i="25" s="1"/>
  <c r="BA189" i="7"/>
  <c r="AM202" i="7"/>
  <c r="AK67" i="7"/>
  <c r="BJ180" i="7"/>
  <c r="BH45" i="7"/>
  <c r="H964" i="25" s="1"/>
  <c r="BB188" i="7"/>
  <c r="AZ53" i="7"/>
  <c r="BD56" i="7"/>
  <c r="BF191" i="7"/>
  <c r="AU194" i="7"/>
  <c r="AS59" i="7"/>
  <c r="J22" i="24"/>
  <c r="J48" i="24"/>
  <c r="BC50" i="7"/>
  <c r="BE185" i="7"/>
  <c r="AU67" i="7"/>
  <c r="AW202" i="7"/>
  <c r="BE184" i="7"/>
  <c r="BC49" i="7"/>
  <c r="H972" i="25" s="1"/>
  <c r="BM50" i="7"/>
  <c r="BH182" i="7"/>
  <c r="BF47" i="7"/>
  <c r="AV193" i="7"/>
  <c r="AT58" i="7"/>
  <c r="AQ198" i="7"/>
  <c r="AO63" i="7"/>
  <c r="AY194" i="7"/>
  <c r="BN183" i="7"/>
  <c r="BN49" i="7" s="1"/>
  <c r="P10" i="21"/>
  <c r="P11" i="21" s="1"/>
  <c r="J519" i="25" l="1"/>
  <c r="U518" i="25"/>
  <c r="J11" i="27"/>
  <c r="J18" i="27" s="1"/>
  <c r="H19" i="27"/>
  <c r="G27" i="19"/>
  <c r="H1240" i="25"/>
  <c r="H1247" i="25"/>
  <c r="H1241" i="25"/>
  <c r="H1246" i="25"/>
  <c r="H1250" i="25"/>
  <c r="H1245" i="25"/>
  <c r="H1252" i="25"/>
  <c r="H1244" i="25"/>
  <c r="H1249" i="25"/>
  <c r="H180" i="25"/>
  <c r="H182" i="25"/>
  <c r="H189" i="25"/>
  <c r="H188" i="25"/>
  <c r="AZ59" i="7"/>
  <c r="BI54" i="7"/>
  <c r="BK189" i="7"/>
  <c r="AY60" i="7"/>
  <c r="BA195" i="7"/>
  <c r="AV59" i="7"/>
  <c r="AX194" i="7"/>
  <c r="BL181" i="7"/>
  <c r="BJ46" i="7"/>
  <c r="BF187" i="7"/>
  <c r="BD52" i="7"/>
  <c r="AZ55" i="7"/>
  <c r="H1182" i="25" s="1"/>
  <c r="BB190" i="7"/>
  <c r="BM43" i="7"/>
  <c r="BO178" i="7"/>
  <c r="BO44" i="7" s="1"/>
  <c r="AU197" i="7"/>
  <c r="AS62" i="7"/>
  <c r="H1273" i="25" s="1"/>
  <c r="AY56" i="7"/>
  <c r="BA191" i="7"/>
  <c r="AR63" i="7"/>
  <c r="AT198" i="7"/>
  <c r="BM180" i="7"/>
  <c r="BK45" i="7"/>
  <c r="BI183" i="7"/>
  <c r="BG48" i="7"/>
  <c r="AY200" i="7"/>
  <c r="AW65" i="7"/>
  <c r="BL51" i="7"/>
  <c r="H261" i="25" s="1"/>
  <c r="BN186" i="7"/>
  <c r="BN52" i="7" s="1"/>
  <c r="BN179" i="7"/>
  <c r="BN45" i="7" s="1"/>
  <c r="BL44" i="7"/>
  <c r="AW203" i="7"/>
  <c r="AU68" i="7"/>
  <c r="BG186" i="7"/>
  <c r="BE51" i="7"/>
  <c r="AQ201" i="7"/>
  <c r="AO66" i="7"/>
  <c r="BC197" i="7"/>
  <c r="BA62" i="7"/>
  <c r="Q105" i="24"/>
  <c r="J105" i="24"/>
  <c r="BF50" i="7"/>
  <c r="BH185" i="7"/>
  <c r="BG185" i="7"/>
  <c r="BE50" i="7"/>
  <c r="AO203" i="7"/>
  <c r="AM68" i="7"/>
  <c r="AY57" i="7"/>
  <c r="H2703" i="25" s="1"/>
  <c r="BA192" i="7"/>
  <c r="BE53" i="7"/>
  <c r="AX67" i="7"/>
  <c r="BJ45" i="7"/>
  <c r="BL180" i="7"/>
  <c r="BG193" i="7"/>
  <c r="BE58" i="7"/>
  <c r="AZ196" i="7"/>
  <c r="BF186" i="7"/>
  <c r="BG188" i="7" s="1"/>
  <c r="AZ200" i="7"/>
  <c r="AX65" i="7"/>
  <c r="BK182" i="7"/>
  <c r="BI47" i="7"/>
  <c r="BD59" i="7"/>
  <c r="BF194" i="7"/>
  <c r="BM179" i="7"/>
  <c r="BK44" i="7"/>
  <c r="H186" i="25" s="1"/>
  <c r="AY193" i="7"/>
  <c r="AW58" i="7"/>
  <c r="BJ182" i="7"/>
  <c r="BH47" i="7"/>
  <c r="AZ192" i="7"/>
  <c r="AX57" i="7"/>
  <c r="BD188" i="7"/>
  <c r="BB53" i="7"/>
  <c r="BI46" i="7"/>
  <c r="BK181" i="7"/>
  <c r="BG49" i="7"/>
  <c r="BI184" i="7"/>
  <c r="BH55" i="7"/>
  <c r="BJ190" i="7"/>
  <c r="BC53" i="7"/>
  <c r="BE188" i="7"/>
  <c r="AY201" i="7"/>
  <c r="AW66" i="7"/>
  <c r="AP202" i="7"/>
  <c r="AN67" i="7"/>
  <c r="AY63" i="7"/>
  <c r="P105" i="24"/>
  <c r="I105" i="24"/>
  <c r="R76" i="24"/>
  <c r="K76" i="24"/>
  <c r="AQ64" i="7"/>
  <c r="AS199" i="7"/>
  <c r="BJ183" i="7"/>
  <c r="BH48" i="7"/>
  <c r="AW195" i="7"/>
  <c r="AU60" i="7"/>
  <c r="BD189" i="7"/>
  <c r="BB54" i="7"/>
  <c r="BO177" i="7"/>
  <c r="BO43" i="7" s="1"/>
  <c r="BM42" i="7"/>
  <c r="AX64" i="7"/>
  <c r="H1248" i="25" s="1"/>
  <c r="AZ199" i="7"/>
  <c r="BN178" i="7"/>
  <c r="BN44" i="7" s="1"/>
  <c r="BL43" i="7"/>
  <c r="BO185" i="7"/>
  <c r="BO51" i="7" s="1"/>
  <c r="AW68" i="7"/>
  <c r="AY203" i="7"/>
  <c r="Q76" i="24"/>
  <c r="BH192" i="7"/>
  <c r="BF57" i="7"/>
  <c r="H2675" i="25" s="1"/>
  <c r="BC190" i="7"/>
  <c r="BA55" i="7"/>
  <c r="BA54" i="7"/>
  <c r="BC189" i="7"/>
  <c r="AX202" i="7"/>
  <c r="AV67" i="7"/>
  <c r="BM187" i="7"/>
  <c r="BK52" i="7"/>
  <c r="BF49" i="7"/>
  <c r="BH184" i="7"/>
  <c r="BB191" i="7"/>
  <c r="AZ56" i="7"/>
  <c r="BJ53" i="7"/>
  <c r="BL188" i="7"/>
  <c r="AV196" i="7"/>
  <c r="AT61" i="7"/>
  <c r="H1223" i="25" s="1"/>
  <c r="BA199" i="7"/>
  <c r="AY64" i="7"/>
  <c r="H1243" i="25" s="1"/>
  <c r="BC60" i="7"/>
  <c r="BE195" i="7"/>
  <c r="AX204" i="7"/>
  <c r="AX70" i="7" s="1"/>
  <c r="AV69" i="7"/>
  <c r="BI191" i="7"/>
  <c r="BG56" i="7"/>
  <c r="BB61" i="7"/>
  <c r="BD196" i="7"/>
  <c r="K105" i="24"/>
  <c r="R105" i="24"/>
  <c r="J76" i="24"/>
  <c r="P76" i="24"/>
  <c r="I76" i="24"/>
  <c r="AR200" i="7"/>
  <c r="AP65" i="7"/>
  <c r="AN204" i="7"/>
  <c r="AN70" i="7" s="1"/>
  <c r="AL69" i="7"/>
  <c r="AV204" i="7"/>
  <c r="AV70" i="7" s="1"/>
  <c r="AT69" i="7"/>
  <c r="AZ63" i="7"/>
  <c r="BB198" i="7"/>
  <c r="N62" i="22"/>
  <c r="N49" i="22"/>
  <c r="N36" i="22"/>
  <c r="N22" i="22"/>
  <c r="G40" i="7"/>
  <c r="G24" i="7"/>
  <c r="G20" i="7"/>
  <c r="H40" i="7"/>
  <c r="G35" i="7"/>
  <c r="G27" i="7"/>
  <c r="G19" i="7"/>
  <c r="G38" i="7"/>
  <c r="G26" i="7"/>
  <c r="G18" i="7"/>
  <c r="G14" i="7"/>
  <c r="G33" i="7"/>
  <c r="G25" i="7"/>
  <c r="J520" i="25" l="1"/>
  <c r="U519" i="25"/>
  <c r="M5" i="26"/>
  <c r="J12" i="27"/>
  <c r="J19" i="27" s="1"/>
  <c r="H25" i="19"/>
  <c r="M38" i="19" s="1"/>
  <c r="G25" i="19"/>
  <c r="E38" i="19" s="1"/>
  <c r="H2696" i="25"/>
  <c r="H2705" i="25"/>
  <c r="H1191" i="25"/>
  <c r="H2678" i="25"/>
  <c r="H1242" i="25"/>
  <c r="H1220" i="25"/>
  <c r="H2671" i="25"/>
  <c r="H2672" i="25"/>
  <c r="H967" i="25"/>
  <c r="H965" i="25"/>
  <c r="H966" i="25"/>
  <c r="H1218" i="25"/>
  <c r="H1219" i="25"/>
  <c r="H1221" i="25"/>
  <c r="H181" i="25"/>
  <c r="H183" i="25"/>
  <c r="H184" i="25"/>
  <c r="H329" i="25"/>
  <c r="H328" i="25"/>
  <c r="BG54" i="7"/>
  <c r="BF197" i="7"/>
  <c r="BD62" i="7"/>
  <c r="AU200" i="7"/>
  <c r="AS65" i="7"/>
  <c r="H115" i="24"/>
  <c r="J111" i="24"/>
  <c r="I111" i="24"/>
  <c r="H111" i="24"/>
  <c r="BL46" i="7"/>
  <c r="H259" i="25" s="1"/>
  <c r="BN181" i="7"/>
  <c r="BN47" i="7" s="1"/>
  <c r="BA57" i="7"/>
  <c r="BC192" i="7"/>
  <c r="BM190" i="7"/>
  <c r="BK55" i="7"/>
  <c r="AY69" i="7"/>
  <c r="AW61" i="7"/>
  <c r="AY196" i="7"/>
  <c r="P111" i="24"/>
  <c r="O115" i="24"/>
  <c r="Q111" i="24"/>
  <c r="O111" i="24"/>
  <c r="AR203" i="7"/>
  <c r="AP68" i="7"/>
  <c r="BD54" i="7"/>
  <c r="BF189" i="7"/>
  <c r="BJ48" i="7"/>
  <c r="BL183" i="7"/>
  <c r="BO180" i="7"/>
  <c r="BO46" i="7" s="1"/>
  <c r="BM45" i="7"/>
  <c r="BM183" i="7"/>
  <c r="BK48" i="7"/>
  <c r="AZ62" i="7"/>
  <c r="BB197" i="7"/>
  <c r="AO69" i="7"/>
  <c r="AQ204" i="7"/>
  <c r="AQ70" i="7" s="1"/>
  <c r="BE198" i="7"/>
  <c r="BC63" i="7"/>
  <c r="BI187" i="7"/>
  <c r="BG52" i="7"/>
  <c r="AY66" i="7"/>
  <c r="BA201" i="7"/>
  <c r="BO181" i="7"/>
  <c r="BO47" i="7" s="1"/>
  <c r="BM46" i="7"/>
  <c r="BF53" i="7"/>
  <c r="BH188" i="7"/>
  <c r="BL54" i="7"/>
  <c r="BN189" i="7"/>
  <c r="BN55" i="7" s="1"/>
  <c r="R86" i="24"/>
  <c r="Q86" i="24"/>
  <c r="O84" i="24"/>
  <c r="BK185" i="7"/>
  <c r="BI50" i="7"/>
  <c r="H263" i="25" s="1"/>
  <c r="K86" i="24"/>
  <c r="J86" i="24"/>
  <c r="H84" i="24"/>
  <c r="BC56" i="7"/>
  <c r="H1186" i="25" s="1"/>
  <c r="BE191" i="7"/>
  <c r="BE190" i="7"/>
  <c r="BC55" i="7"/>
  <c r="I84" i="24"/>
  <c r="K84" i="24"/>
  <c r="BJ56" i="7"/>
  <c r="BL191" i="7"/>
  <c r="BM182" i="7"/>
  <c r="BK47" i="7"/>
  <c r="BH195" i="7"/>
  <c r="BF60" i="7"/>
  <c r="H2683" i="25" s="1"/>
  <c r="BA58" i="7"/>
  <c r="BC193" i="7"/>
  <c r="K115" i="24"/>
  <c r="H113" i="24"/>
  <c r="J115" i="24"/>
  <c r="AV199" i="7"/>
  <c r="AT64" i="7"/>
  <c r="BB56" i="7"/>
  <c r="H1183" i="25" s="1"/>
  <c r="BD191" i="7"/>
  <c r="BA61" i="7"/>
  <c r="BB194" i="7"/>
  <c r="BC196" i="7" s="1"/>
  <c r="O82" i="24"/>
  <c r="O86" i="24"/>
  <c r="P82" i="24"/>
  <c r="Q82" i="24"/>
  <c r="BH50" i="7"/>
  <c r="H266" i="25" s="1"/>
  <c r="BJ185" i="7"/>
  <c r="BG189" i="7"/>
  <c r="BE54" i="7"/>
  <c r="H2673" i="25" s="1"/>
  <c r="BF52" i="7"/>
  <c r="BH187" i="7"/>
  <c r="BJ186" i="7"/>
  <c r="BH51" i="7"/>
  <c r="H265" i="25" s="1"/>
  <c r="AZ195" i="7"/>
  <c r="AX60" i="7"/>
  <c r="BA65" i="7"/>
  <c r="BC200" i="7"/>
  <c r="AX68" i="7"/>
  <c r="AZ203" i="7"/>
  <c r="AR66" i="7"/>
  <c r="AT201" i="7"/>
  <c r="P113" i="24"/>
  <c r="R113" i="24"/>
  <c r="BE61" i="7"/>
  <c r="BG196" i="7"/>
  <c r="AZ65" i="7"/>
  <c r="BD199" i="7"/>
  <c r="BB64" i="7"/>
  <c r="H82" i="24"/>
  <c r="H86" i="24"/>
  <c r="J82" i="24"/>
  <c r="I82" i="24"/>
  <c r="I113" i="24"/>
  <c r="K113" i="24"/>
  <c r="BI57" i="7"/>
  <c r="BK192" i="7"/>
  <c r="AV62" i="7"/>
  <c r="AX197" i="7"/>
  <c r="BD192" i="7"/>
  <c r="BB57" i="7"/>
  <c r="BO188" i="7"/>
  <c r="BO54" i="7" s="1"/>
  <c r="BM53" i="7"/>
  <c r="BJ193" i="7"/>
  <c r="BH58" i="7"/>
  <c r="BD55" i="7"/>
  <c r="H2677" i="25" s="1"/>
  <c r="BF190" i="7"/>
  <c r="BJ49" i="7"/>
  <c r="H260" i="25" s="1"/>
  <c r="BL184" i="7"/>
  <c r="R84" i="24"/>
  <c r="P84" i="24"/>
  <c r="BA198" i="7"/>
  <c r="BB200" i="7" s="1"/>
  <c r="BA202" i="7"/>
  <c r="AY67" i="7"/>
  <c r="BB193" i="7"/>
  <c r="AZ58" i="7"/>
  <c r="AY59" i="7"/>
  <c r="H2688" i="25" s="1"/>
  <c r="BA194" i="7"/>
  <c r="AZ66" i="7"/>
  <c r="BB201" i="7"/>
  <c r="BG59" i="7"/>
  <c r="BI194" i="7"/>
  <c r="AZ202" i="7"/>
  <c r="BI186" i="7"/>
  <c r="BG51" i="7"/>
  <c r="H267" i="25" s="1"/>
  <c r="O113" i="24"/>
  <c r="R115" i="24"/>
  <c r="Q115" i="24"/>
  <c r="AQ67" i="7"/>
  <c r="AS202" i="7"/>
  <c r="AY204" i="7"/>
  <c r="AY70" i="7" s="1"/>
  <c r="AW69" i="7"/>
  <c r="BI49" i="7"/>
  <c r="H969" i="25" s="1"/>
  <c r="BK184" i="7"/>
  <c r="AW198" i="7"/>
  <c r="AU63" i="7"/>
  <c r="BL47" i="7"/>
  <c r="BN182" i="7"/>
  <c r="BN48" i="7" s="1"/>
  <c r="N26" i="22"/>
  <c r="N40" i="22"/>
  <c r="N9" i="22"/>
  <c r="N53" i="22"/>
  <c r="N66" i="22"/>
  <c r="I40" i="7"/>
  <c r="G13" i="7"/>
  <c r="G21" i="7"/>
  <c r="G29" i="7"/>
  <c r="G37" i="7"/>
  <c r="G34" i="7"/>
  <c r="G15" i="7"/>
  <c r="G23" i="7"/>
  <c r="G31" i="7"/>
  <c r="G39" i="7"/>
  <c r="G16" i="7"/>
  <c r="G32" i="7"/>
  <c r="G17" i="7"/>
  <c r="G22" i="7"/>
  <c r="G30" i="7"/>
  <c r="H461" i="25" s="1"/>
  <c r="G28" i="7"/>
  <c r="G36" i="7"/>
  <c r="H30" i="7"/>
  <c r="I30" i="7"/>
  <c r="H22" i="7"/>
  <c r="H13" i="7"/>
  <c r="H37" i="7"/>
  <c r="H26" i="7"/>
  <c r="H27" i="7"/>
  <c r="I23" i="7"/>
  <c r="H33" i="7"/>
  <c r="H15" i="7"/>
  <c r="H34" i="7"/>
  <c r="H20" i="7"/>
  <c r="H36" i="7"/>
  <c r="H31" i="7"/>
  <c r="H473" i="25" s="1"/>
  <c r="H29" i="7"/>
  <c r="I18" i="7"/>
  <c r="I27" i="7"/>
  <c r="H24" i="7"/>
  <c r="H39" i="7"/>
  <c r="H21" i="7"/>
  <c r="H17" i="7"/>
  <c r="J40" i="7"/>
  <c r="H25" i="7"/>
  <c r="H32" i="7"/>
  <c r="I37" i="7"/>
  <c r="H28" i="7"/>
  <c r="I14" i="7"/>
  <c r="H38" i="7"/>
  <c r="H16" i="7"/>
  <c r="G12" i="7"/>
  <c r="H23" i="7"/>
  <c r="H18" i="7"/>
  <c r="H35" i="7"/>
  <c r="E54" i="19" l="1"/>
  <c r="T14" i="19"/>
  <c r="T9" i="19"/>
  <c r="T4" i="19"/>
  <c r="T6" i="19" s="1"/>
  <c r="J521" i="25"/>
  <c r="U520" i="25"/>
  <c r="H1239" i="25"/>
  <c r="H1232" i="25"/>
  <c r="H1256" i="25"/>
  <c r="H2684" i="25"/>
  <c r="H2685" i="25"/>
  <c r="H472" i="25"/>
  <c r="H471" i="25"/>
  <c r="H1238" i="25"/>
  <c r="H1258" i="25"/>
  <c r="H1260" i="25"/>
  <c r="H1253" i="25"/>
  <c r="H1251" i="25"/>
  <c r="H1257" i="25"/>
  <c r="H1259" i="25"/>
  <c r="H455" i="25"/>
  <c r="H323" i="25"/>
  <c r="H324" i="25"/>
  <c r="H451" i="25"/>
  <c r="H450" i="25"/>
  <c r="H470" i="25"/>
  <c r="H262" i="25"/>
  <c r="BB59" i="7"/>
  <c r="BD194" i="7"/>
  <c r="BH191" i="7"/>
  <c r="BF56" i="7"/>
  <c r="AZ198" i="7"/>
  <c r="AX63" i="7"/>
  <c r="BB66" i="7"/>
  <c r="AZ69" i="7"/>
  <c r="BB204" i="7"/>
  <c r="BB70" i="7" s="1"/>
  <c r="BJ188" i="7"/>
  <c r="BH53" i="7"/>
  <c r="H270" i="25" s="1"/>
  <c r="BJ51" i="7"/>
  <c r="BL186" i="7"/>
  <c r="AX200" i="7"/>
  <c r="AV65" i="7"/>
  <c r="BE194" i="7"/>
  <c r="BC59" i="7"/>
  <c r="BG192" i="7"/>
  <c r="BE57" i="7"/>
  <c r="H1189" i="25" s="1"/>
  <c r="BH54" i="7"/>
  <c r="BJ189" i="7"/>
  <c r="BA67" i="7"/>
  <c r="BC202" i="7"/>
  <c r="BB63" i="7"/>
  <c r="BD198" i="7"/>
  <c r="BH190" i="7"/>
  <c r="BF55" i="7"/>
  <c r="BA197" i="7"/>
  <c r="AY62" i="7"/>
  <c r="BK50" i="7"/>
  <c r="H970" i="25" s="1"/>
  <c r="BM185" i="7"/>
  <c r="AU203" i="7"/>
  <c r="AS68" i="7"/>
  <c r="BI60" i="7"/>
  <c r="BK195" i="7"/>
  <c r="BA60" i="7"/>
  <c r="H2687" i="25" s="1"/>
  <c r="BC195" i="7"/>
  <c r="K88" i="24"/>
  <c r="R88" i="24"/>
  <c r="I88" i="24"/>
  <c r="Q88" i="24"/>
  <c r="P88" i="24"/>
  <c r="J88" i="24"/>
  <c r="BB196" i="7"/>
  <c r="AZ61" i="7"/>
  <c r="BD57" i="7"/>
  <c r="BF192" i="7"/>
  <c r="BO183" i="7"/>
  <c r="BO49" i="7" s="1"/>
  <c r="BM48" i="7"/>
  <c r="BG199" i="7"/>
  <c r="BE64" i="7"/>
  <c r="BO191" i="7"/>
  <c r="BO57" i="7" s="1"/>
  <c r="BM56" i="7"/>
  <c r="BH198" i="7"/>
  <c r="BF63" i="7"/>
  <c r="AW64" i="7"/>
  <c r="AY199" i="7"/>
  <c r="BA68" i="7"/>
  <c r="BC203" i="7"/>
  <c r="BL50" i="7"/>
  <c r="BN185" i="7"/>
  <c r="BN51" i="7" s="1"/>
  <c r="BK58" i="7"/>
  <c r="BM193" i="7"/>
  <c r="BG62" i="7"/>
  <c r="BI197" i="7"/>
  <c r="AT67" i="7"/>
  <c r="AV202" i="7"/>
  <c r="BE201" i="7"/>
  <c r="BC66" i="7"/>
  <c r="BB60" i="7"/>
  <c r="H281" i="25" s="1"/>
  <c r="BD195" i="7"/>
  <c r="BN192" i="7"/>
  <c r="BN58" i="7" s="1"/>
  <c r="BL57" i="7"/>
  <c r="BM186" i="7"/>
  <c r="BK51" i="7"/>
  <c r="BN184" i="7"/>
  <c r="BN50" i="7" s="1"/>
  <c r="BL49" i="7"/>
  <c r="BE193" i="7"/>
  <c r="BC58" i="7"/>
  <c r="H1185" i="25" s="1"/>
  <c r="J117" i="24"/>
  <c r="P117" i="24"/>
  <c r="R117" i="24"/>
  <c r="K117" i="24"/>
  <c r="I117" i="24"/>
  <c r="Q117" i="24"/>
  <c r="AZ68" i="7"/>
  <c r="BB203" i="7"/>
  <c r="BK187" i="7"/>
  <c r="BI52" i="7"/>
  <c r="BB67" i="7"/>
  <c r="BD202" i="7"/>
  <c r="BC199" i="7"/>
  <c r="BD201" i="7" s="1"/>
  <c r="BA64" i="7"/>
  <c r="BL194" i="7"/>
  <c r="BJ59" i="7"/>
  <c r="BF193" i="7"/>
  <c r="BD58" i="7"/>
  <c r="BD65" i="7"/>
  <c r="BF200" i="7"/>
  <c r="BJ52" i="7"/>
  <c r="BL187" i="7"/>
  <c r="BI190" i="7"/>
  <c r="BG55" i="7"/>
  <c r="BC62" i="7"/>
  <c r="BJ196" i="7"/>
  <c r="BH61" i="7"/>
  <c r="BE56" i="7"/>
  <c r="BG191" i="7"/>
  <c r="BK188" i="7"/>
  <c r="BI53" i="7"/>
  <c r="H269" i="25" s="1"/>
  <c r="BM49" i="7"/>
  <c r="BO184" i="7"/>
  <c r="BO50" i="7" s="1"/>
  <c r="AR69" i="7"/>
  <c r="AT204" i="7"/>
  <c r="AT70" i="7" s="1"/>
  <c r="H317" i="25" s="1"/>
  <c r="BA204" i="7"/>
  <c r="BA70" i="7" s="1"/>
  <c r="AW201" i="7"/>
  <c r="AU66" i="7"/>
  <c r="BI189" i="7"/>
  <c r="N13" i="22"/>
  <c r="N38" i="22"/>
  <c r="P14" i="21"/>
  <c r="N51" i="22"/>
  <c r="N24" i="22"/>
  <c r="N64" i="22"/>
  <c r="K38" i="7"/>
  <c r="J33" i="7"/>
  <c r="J38" i="7"/>
  <c r="J19" i="7"/>
  <c r="I26" i="7"/>
  <c r="H19" i="7"/>
  <c r="K15" i="7"/>
  <c r="I17" i="7"/>
  <c r="I22" i="7"/>
  <c r="J32" i="7"/>
  <c r="H474" i="25" s="1"/>
  <c r="I29" i="7"/>
  <c r="I39" i="7"/>
  <c r="K40" i="7"/>
  <c r="I25" i="7"/>
  <c r="I20" i="7"/>
  <c r="H14" i="7"/>
  <c r="J26" i="7"/>
  <c r="I24" i="7"/>
  <c r="I32" i="7"/>
  <c r="J35" i="7"/>
  <c r="J16" i="7"/>
  <c r="J14" i="7"/>
  <c r="J24" i="7"/>
  <c r="I28" i="7"/>
  <c r="I36" i="7"/>
  <c r="J17" i="7"/>
  <c r="J39" i="7"/>
  <c r="H1616" i="25" s="1"/>
  <c r="L40" i="7"/>
  <c r="J29" i="7"/>
  <c r="I38" i="7"/>
  <c r="I35" i="7"/>
  <c r="I33" i="7"/>
  <c r="J36" i="7"/>
  <c r="I19" i="7"/>
  <c r="I34" i="7"/>
  <c r="I13" i="7"/>
  <c r="J25" i="7"/>
  <c r="I31" i="7"/>
  <c r="J31" i="7"/>
  <c r="I15" i="7"/>
  <c r="N471" i="25" l="1"/>
  <c r="W471" i="25" s="1"/>
  <c r="I471" i="25"/>
  <c r="I472" i="25" s="1"/>
  <c r="I473" i="25" s="1"/>
  <c r="I474" i="25" s="1"/>
  <c r="I475" i="25" s="1"/>
  <c r="O471" i="25"/>
  <c r="X471" i="25" s="1"/>
  <c r="S471" i="25"/>
  <c r="J522" i="25"/>
  <c r="U521" i="25"/>
  <c r="H2681" i="25"/>
  <c r="H2680" i="25"/>
  <c r="H478" i="25"/>
  <c r="H479" i="25"/>
  <c r="H1188" i="25"/>
  <c r="H1184" i="25"/>
  <c r="H2676" i="25"/>
  <c r="H456" i="25"/>
  <c r="H447" i="25"/>
  <c r="H445" i="25"/>
  <c r="H442" i="25"/>
  <c r="H446" i="25"/>
  <c r="H444" i="25"/>
  <c r="H448" i="25"/>
  <c r="H437" i="25"/>
  <c r="H457" i="25"/>
  <c r="H436" i="25"/>
  <c r="H458" i="25"/>
  <c r="H441" i="25"/>
  <c r="H453" i="25"/>
  <c r="H449" i="25"/>
  <c r="H452" i="25"/>
  <c r="H454" i="25"/>
  <c r="H279" i="25"/>
  <c r="H280" i="25"/>
  <c r="BD67" i="7"/>
  <c r="BF203" i="7"/>
  <c r="BD68" i="7"/>
  <c r="K119" i="24"/>
  <c r="K118" i="24"/>
  <c r="AV68" i="7"/>
  <c r="AX203" i="7"/>
  <c r="BF58" i="7"/>
  <c r="H1190" i="25" s="1"/>
  <c r="BH193" i="7"/>
  <c r="R90" i="24"/>
  <c r="I58" i="24" s="1"/>
  <c r="I24" i="24" s="1"/>
  <c r="R89" i="24"/>
  <c r="I57" i="24" s="1"/>
  <c r="I23" i="24" s="1"/>
  <c r="BC68" i="7"/>
  <c r="BE203" i="7"/>
  <c r="BK54" i="7"/>
  <c r="BM189" i="7"/>
  <c r="BL60" i="7"/>
  <c r="H275" i="25" s="1"/>
  <c r="BN195" i="7"/>
  <c r="BN61" i="7" s="1"/>
  <c r="BE59" i="7"/>
  <c r="H2679" i="25" s="1"/>
  <c r="BG194" i="7"/>
  <c r="BO187" i="7"/>
  <c r="BO53" i="7" s="1"/>
  <c r="BM52" i="7"/>
  <c r="BJ199" i="7"/>
  <c r="BH64" i="7"/>
  <c r="BI200" i="7"/>
  <c r="BG65" i="7"/>
  <c r="P90" i="24"/>
  <c r="K58" i="24" s="1"/>
  <c r="K24" i="24" s="1"/>
  <c r="P89" i="24"/>
  <c r="K57" i="24" s="1"/>
  <c r="K23" i="24" s="1"/>
  <c r="K89" i="24"/>
  <c r="K90" i="24"/>
  <c r="BJ191" i="7"/>
  <c r="BH56" i="7"/>
  <c r="H2674" i="25" s="1"/>
  <c r="BI193" i="7"/>
  <c r="BG58" i="7"/>
  <c r="AX66" i="7"/>
  <c r="AZ201" i="7"/>
  <c r="BL189" i="7"/>
  <c r="BJ54" i="7"/>
  <c r="BH57" i="7"/>
  <c r="BJ192" i="7"/>
  <c r="BI55" i="7"/>
  <c r="BK190" i="7"/>
  <c r="BF66" i="7"/>
  <c r="BH201" i="7"/>
  <c r="BD204" i="7"/>
  <c r="BD70" i="7" s="1"/>
  <c r="BB69" i="7"/>
  <c r="BF196" i="7"/>
  <c r="BD61" i="7"/>
  <c r="H282" i="25" s="1"/>
  <c r="BO194" i="7"/>
  <c r="BO60" i="7" s="1"/>
  <c r="BM59" i="7"/>
  <c r="BC69" i="7"/>
  <c r="BE204" i="7"/>
  <c r="BE70" i="7" s="1"/>
  <c r="J89" i="24"/>
  <c r="J90" i="24"/>
  <c r="BM196" i="7"/>
  <c r="BK61" i="7"/>
  <c r="BO186" i="7"/>
  <c r="BO52" i="7" s="1"/>
  <c r="BM51" i="7"/>
  <c r="BJ62" i="7"/>
  <c r="BL197" i="7"/>
  <c r="BK191" i="7"/>
  <c r="BI56" i="7"/>
  <c r="R119" i="24"/>
  <c r="Q58" i="24" s="1"/>
  <c r="Q24" i="24" s="1"/>
  <c r="R118" i="24"/>
  <c r="Q57" i="24" s="1"/>
  <c r="Q23" i="24" s="1"/>
  <c r="AY202" i="7"/>
  <c r="AW67" i="7"/>
  <c r="BI192" i="7"/>
  <c r="BG57" i="7"/>
  <c r="BN188" i="7"/>
  <c r="BN54" i="7" s="1"/>
  <c r="BL53" i="7"/>
  <c r="Q118" i="24"/>
  <c r="P57" i="24" s="1"/>
  <c r="P23" i="24" s="1"/>
  <c r="Q119" i="24"/>
  <c r="P58" i="24" s="1"/>
  <c r="P24" i="24" s="1"/>
  <c r="P118" i="24"/>
  <c r="O57" i="24" s="1"/>
  <c r="O23" i="24" s="1"/>
  <c r="P119" i="24"/>
  <c r="O58" i="24" s="1"/>
  <c r="O24" i="24" s="1"/>
  <c r="BK198" i="7"/>
  <c r="BI63" i="7"/>
  <c r="H1203" i="25" s="1"/>
  <c r="AY65" i="7"/>
  <c r="BA200" i="7"/>
  <c r="Q90" i="24"/>
  <c r="J58" i="24" s="1"/>
  <c r="J24" i="24" s="1"/>
  <c r="Q89" i="24"/>
  <c r="J57" i="24" s="1"/>
  <c r="J23" i="24" s="1"/>
  <c r="BE196" i="7"/>
  <c r="BC61" i="7"/>
  <c r="H2686" i="25" s="1"/>
  <c r="BD64" i="7"/>
  <c r="BL190" i="7"/>
  <c r="BJ55" i="7"/>
  <c r="BN187" i="7"/>
  <c r="BN53" i="7" s="1"/>
  <c r="BL52" i="7"/>
  <c r="H971" i="25" s="1"/>
  <c r="BF195" i="7"/>
  <c r="BD60" i="7"/>
  <c r="H2682" i="25" s="1"/>
  <c r="BE197" i="7"/>
  <c r="BF59" i="7"/>
  <c r="H1192" i="25" s="1"/>
  <c r="BH194" i="7"/>
  <c r="BE200" i="7"/>
  <c r="BC65" i="7"/>
  <c r="BK53" i="7"/>
  <c r="BM188" i="7"/>
  <c r="I119" i="24"/>
  <c r="I118" i="24"/>
  <c r="J119" i="24"/>
  <c r="J118" i="24"/>
  <c r="BG202" i="7"/>
  <c r="BE67" i="7"/>
  <c r="BB62" i="7"/>
  <c r="BD197" i="7"/>
  <c r="I89" i="24"/>
  <c r="I90" i="24"/>
  <c r="AU69" i="7"/>
  <c r="AW204" i="7"/>
  <c r="AW70" i="7" s="1"/>
  <c r="BA63" i="7"/>
  <c r="H1215" i="25" s="1"/>
  <c r="BC198" i="7"/>
  <c r="BE60" i="7"/>
  <c r="BG195" i="7"/>
  <c r="BB199" i="7"/>
  <c r="AZ64" i="7"/>
  <c r="N23" i="22" a="1"/>
  <c r="N23" i="22" s="1"/>
  <c r="N63" i="22" a="1"/>
  <c r="N63" i="22" s="1"/>
  <c r="N50" i="22" a="1"/>
  <c r="N50" i="22" s="1"/>
  <c r="N11" i="22"/>
  <c r="N37" i="22" a="1"/>
  <c r="N37" i="22" s="1"/>
  <c r="K29" i="7"/>
  <c r="L20" i="7"/>
  <c r="L18" i="7"/>
  <c r="L34" i="7"/>
  <c r="J28" i="7"/>
  <c r="K31" i="7"/>
  <c r="J34" i="7"/>
  <c r="K35" i="7"/>
  <c r="K34" i="7"/>
  <c r="H484" i="25" s="1"/>
  <c r="I21" i="7"/>
  <c r="J30" i="7"/>
  <c r="J22" i="7"/>
  <c r="L30" i="7"/>
  <c r="L15" i="7"/>
  <c r="J15" i="7"/>
  <c r="K21" i="7"/>
  <c r="K18" i="7"/>
  <c r="J20" i="7"/>
  <c r="J27" i="7"/>
  <c r="K16" i="7"/>
  <c r="K28" i="7"/>
  <c r="K14" i="7"/>
  <c r="M40" i="7"/>
  <c r="J37" i="7"/>
  <c r="K19" i="7"/>
  <c r="K33" i="7"/>
  <c r="I16" i="7"/>
  <c r="K32" i="7"/>
  <c r="J21" i="7"/>
  <c r="K39" i="7"/>
  <c r="K37" i="7"/>
  <c r="L17" i="7"/>
  <c r="K26" i="7"/>
  <c r="M16" i="7"/>
  <c r="K27" i="7"/>
  <c r="T471" i="25" l="1"/>
  <c r="S472" i="25"/>
  <c r="S473" i="25" s="1"/>
  <c r="S474" i="25" s="1"/>
  <c r="S475" i="25" s="1"/>
  <c r="J523" i="25"/>
  <c r="U522" i="25"/>
  <c r="K471" i="25"/>
  <c r="V471" i="25" s="1"/>
  <c r="H476" i="25"/>
  <c r="H477" i="25"/>
  <c r="H481" i="25"/>
  <c r="H485" i="25"/>
  <c r="H482" i="25"/>
  <c r="H483" i="25"/>
  <c r="H1202" i="25"/>
  <c r="H1201" i="25"/>
  <c r="H1200" i="25"/>
  <c r="H1212" i="25"/>
  <c r="H1217" i="25"/>
  <c r="H480" i="25"/>
  <c r="H475" i="25"/>
  <c r="I476" i="25" s="1"/>
  <c r="I477" i="25" s="1"/>
  <c r="BL63" i="7"/>
  <c r="BN198" i="7"/>
  <c r="BN64" i="7" s="1"/>
  <c r="BJ202" i="7"/>
  <c r="BH67" i="7"/>
  <c r="BJ58" i="7"/>
  <c r="BL193" i="7"/>
  <c r="BI195" i="7"/>
  <c r="BG60" i="7"/>
  <c r="BO190" i="7"/>
  <c r="BO56" i="7" s="1"/>
  <c r="BM55" i="7"/>
  <c r="AX69" i="7"/>
  <c r="AZ204" i="7"/>
  <c r="AZ70" i="7" s="1"/>
  <c r="BC64" i="7"/>
  <c r="H1216" i="25" s="1"/>
  <c r="BE199" i="7"/>
  <c r="BG198" i="7"/>
  <c r="BE63" i="7"/>
  <c r="BF199" i="7"/>
  <c r="BG201" i="7" s="1"/>
  <c r="BK64" i="7"/>
  <c r="BM199" i="7"/>
  <c r="BI58" i="7"/>
  <c r="BK193" i="7"/>
  <c r="BM62" i="7"/>
  <c r="BO197" i="7"/>
  <c r="BO63" i="7" s="1"/>
  <c r="BH197" i="7"/>
  <c r="BF62" i="7"/>
  <c r="H283" i="25" s="1"/>
  <c r="BL192" i="7"/>
  <c r="BJ57" i="7"/>
  <c r="BL200" i="7"/>
  <c r="BJ65" i="7"/>
  <c r="H1205" i="25" s="1"/>
  <c r="BH204" i="7"/>
  <c r="BH70" i="7" s="1"/>
  <c r="BF69" i="7"/>
  <c r="AZ67" i="7"/>
  <c r="BB202" i="7"/>
  <c r="BB65" i="7"/>
  <c r="BD200" i="7"/>
  <c r="BG68" i="7"/>
  <c r="BI203" i="7"/>
  <c r="BE66" i="7"/>
  <c r="BC201" i="7"/>
  <c r="BA66" i="7"/>
  <c r="BK56" i="7"/>
  <c r="BM191" i="7"/>
  <c r="BE69" i="7"/>
  <c r="BJ194" i="7"/>
  <c r="BH59" i="7"/>
  <c r="H1193" i="25" s="1"/>
  <c r="BG61" i="7"/>
  <c r="BI196" i="7"/>
  <c r="BF198" i="7"/>
  <c r="BD63" i="7"/>
  <c r="BM54" i="7"/>
  <c r="BO189" i="7"/>
  <c r="BO55" i="7" s="1"/>
  <c r="BH60" i="7"/>
  <c r="BJ195" i="7"/>
  <c r="BH196" i="7"/>
  <c r="BF61" i="7"/>
  <c r="BL56" i="7"/>
  <c r="BN191" i="7"/>
  <c r="BN57" i="7" s="1"/>
  <c r="BE62" i="7"/>
  <c r="BG197" i="7"/>
  <c r="BA203" i="7"/>
  <c r="AY68" i="7"/>
  <c r="BM192" i="7"/>
  <c r="BK57" i="7"/>
  <c r="BL55" i="7"/>
  <c r="BN190" i="7"/>
  <c r="BN56" i="7" s="1"/>
  <c r="BK194" i="7"/>
  <c r="BI59" i="7"/>
  <c r="H1196" i="25" s="1"/>
  <c r="BI66" i="7"/>
  <c r="H1206" i="25" s="1"/>
  <c r="BK201" i="7"/>
  <c r="BF202" i="7"/>
  <c r="N10" i="22"/>
  <c r="M38" i="7"/>
  <c r="H1619" i="25" s="1"/>
  <c r="L39" i="7"/>
  <c r="N40" i="7"/>
  <c r="L36" i="7"/>
  <c r="K30" i="7"/>
  <c r="N18" i="7"/>
  <c r="M33" i="7"/>
  <c r="N16" i="7"/>
  <c r="L33" i="7"/>
  <c r="K36" i="7"/>
  <c r="J18" i="7"/>
  <c r="L28" i="7"/>
  <c r="M19" i="7"/>
  <c r="L16" i="7"/>
  <c r="L23" i="7"/>
  <c r="J23" i="7"/>
  <c r="M36" i="7"/>
  <c r="H429" i="25" s="1"/>
  <c r="M32" i="7"/>
  <c r="M17" i="7"/>
  <c r="K22" i="7"/>
  <c r="M35" i="7"/>
  <c r="L38" i="7"/>
  <c r="O17" i="7"/>
  <c r="M15" i="7"/>
  <c r="K23" i="7"/>
  <c r="K17" i="7"/>
  <c r="M20" i="7"/>
  <c r="L21" i="7"/>
  <c r="M22" i="7"/>
  <c r="K24" i="7"/>
  <c r="L31" i="7"/>
  <c r="L37" i="7"/>
  <c r="L35" i="7"/>
  <c r="H430" i="25" s="1"/>
  <c r="L29" i="7"/>
  <c r="I478" i="25" l="1"/>
  <c r="I479" i="25" s="1"/>
  <c r="I480" i="25" s="1"/>
  <c r="I481" i="25" s="1"/>
  <c r="I482" i="25" s="1"/>
  <c r="I483" i="25" s="1"/>
  <c r="I484" i="25" s="1"/>
  <c r="I485" i="25" s="1"/>
  <c r="I486" i="25" s="1"/>
  <c r="S476" i="25"/>
  <c r="S477" i="25" s="1"/>
  <c r="S478" i="25" s="1"/>
  <c r="S479" i="25" s="1"/>
  <c r="S480" i="25" s="1"/>
  <c r="S481" i="25" s="1"/>
  <c r="S482" i="25" s="1"/>
  <c r="S483" i="25" s="1"/>
  <c r="S484" i="25" s="1"/>
  <c r="S485" i="25" s="1"/>
  <c r="S486" i="25" s="1"/>
  <c r="T472" i="25"/>
  <c r="K472" i="25"/>
  <c r="V472" i="25" s="1"/>
  <c r="J524" i="25"/>
  <c r="U523" i="25"/>
  <c r="H291" i="25"/>
  <c r="H288" i="25"/>
  <c r="BH62" i="7"/>
  <c r="H1195" i="25" s="1"/>
  <c r="BJ197" i="7"/>
  <c r="BN201" i="7"/>
  <c r="BN67" i="7" s="1"/>
  <c r="BL66" i="7"/>
  <c r="BM202" i="7"/>
  <c r="BK67" i="7"/>
  <c r="BL196" i="7"/>
  <c r="BJ61" i="7"/>
  <c r="BO192" i="7"/>
  <c r="BO58" i="7" s="1"/>
  <c r="H271" i="25" s="1"/>
  <c r="BM57" i="7"/>
  <c r="H272" i="25" s="1"/>
  <c r="BF201" i="7"/>
  <c r="BD66" i="7"/>
  <c r="BO200" i="7"/>
  <c r="BO66" i="7" s="1"/>
  <c r="BM65" i="7"/>
  <c r="BI199" i="7"/>
  <c r="BG64" i="7"/>
  <c r="BI61" i="7"/>
  <c r="H278" i="25" s="1"/>
  <c r="BK196" i="7"/>
  <c r="BJ68" i="7"/>
  <c r="BL203" i="7"/>
  <c r="BF68" i="7"/>
  <c r="BH203" i="7"/>
  <c r="BK60" i="7"/>
  <c r="H276" i="25" s="1"/>
  <c r="BM195" i="7"/>
  <c r="BC67" i="7"/>
  <c r="BE202" i="7"/>
  <c r="BH63" i="7"/>
  <c r="BJ198" i="7"/>
  <c r="BA69" i="7"/>
  <c r="BC204" i="7"/>
  <c r="BC70" i="7" s="1"/>
  <c r="BH199" i="7"/>
  <c r="BF64" i="7"/>
  <c r="BJ60" i="7"/>
  <c r="BL195" i="7"/>
  <c r="BG67" i="7"/>
  <c r="BL58" i="7"/>
  <c r="BN193" i="7"/>
  <c r="BN59" i="7" s="1"/>
  <c r="H273" i="25" s="1"/>
  <c r="BG200" i="7"/>
  <c r="BE65" i="7"/>
  <c r="H1211" i="25" s="1"/>
  <c r="BL59" i="7"/>
  <c r="BN194" i="7"/>
  <c r="BN60" i="7" s="1"/>
  <c r="BO193" i="7"/>
  <c r="BO59" i="7" s="1"/>
  <c r="BM58" i="7"/>
  <c r="BI198" i="7"/>
  <c r="BG63" i="7"/>
  <c r="H284" i="25" s="1"/>
  <c r="BK197" i="7"/>
  <c r="BI62" i="7"/>
  <c r="BG204" i="7"/>
  <c r="BG70" i="7" s="1"/>
  <c r="BK204" i="7"/>
  <c r="BK70" i="7" s="1"/>
  <c r="BI69" i="7"/>
  <c r="BD203" i="7"/>
  <c r="BB68" i="7"/>
  <c r="BK59" i="7"/>
  <c r="BM194" i="7"/>
  <c r="BH200" i="7"/>
  <c r="BI202" i="7" s="1"/>
  <c r="BF65" i="7"/>
  <c r="H1207" i="25" s="1"/>
  <c r="P15" i="21"/>
  <c r="P17" i="21" s="1"/>
  <c r="P18" i="21" s="1"/>
  <c r="O34" i="7"/>
  <c r="O21" i="7"/>
  <c r="O16" i="7"/>
  <c r="N39" i="7"/>
  <c r="O36" i="7"/>
  <c r="L24" i="7"/>
  <c r="N17" i="7"/>
  <c r="N35" i="7"/>
  <c r="H486" i="25" s="1"/>
  <c r="N34" i="7"/>
  <c r="H488" i="25" s="1"/>
  <c r="O23" i="7"/>
  <c r="L25" i="7"/>
  <c r="L26" i="7"/>
  <c r="M30" i="7"/>
  <c r="M23" i="7"/>
  <c r="N21" i="7"/>
  <c r="K20" i="7"/>
  <c r="M31" i="7"/>
  <c r="M39" i="7"/>
  <c r="O40" i="7"/>
  <c r="H1615" i="25" s="1"/>
  <c r="N38" i="7"/>
  <c r="H422" i="25" s="1"/>
  <c r="Q18" i="7"/>
  <c r="N19" i="7"/>
  <c r="K25" i="7"/>
  <c r="N24" i="7"/>
  <c r="O20" i="7"/>
  <c r="L19" i="7"/>
  <c r="M37" i="7"/>
  <c r="P17" i="7"/>
  <c r="P19" i="7"/>
  <c r="N32" i="7"/>
  <c r="N22" i="7"/>
  <c r="M25" i="7"/>
  <c r="M18" i="7"/>
  <c r="O18" i="7"/>
  <c r="L32" i="7"/>
  <c r="H443" i="25" s="1"/>
  <c r="N37" i="7"/>
  <c r="I487" i="25" l="1"/>
  <c r="T473" i="25"/>
  <c r="T474" i="25" s="1"/>
  <c r="K473" i="25"/>
  <c r="V473" i="25" s="1"/>
  <c r="S487" i="25"/>
  <c r="J525" i="25"/>
  <c r="U524" i="25"/>
  <c r="H3047" i="25"/>
  <c r="H3046" i="25"/>
  <c r="H1618" i="25"/>
  <c r="H1622" i="25"/>
  <c r="H1617" i="25"/>
  <c r="H1620" i="25"/>
  <c r="H1208" i="25"/>
  <c r="H1209" i="25"/>
  <c r="H425" i="25"/>
  <c r="H424" i="25"/>
  <c r="H285" i="25"/>
  <c r="K474" i="25"/>
  <c r="BI68" i="7"/>
  <c r="BN204" i="7"/>
  <c r="BN70" i="7" s="1"/>
  <c r="BL69" i="7"/>
  <c r="BG66" i="7"/>
  <c r="BI201" i="7"/>
  <c r="BJ200" i="7"/>
  <c r="BH65" i="7"/>
  <c r="H1210" i="25" s="1"/>
  <c r="BK200" i="7"/>
  <c r="BI65" i="7"/>
  <c r="BH202" i="7"/>
  <c r="BF67" i="7"/>
  <c r="BL62" i="7"/>
  <c r="BN197" i="7"/>
  <c r="BN63" i="7" s="1"/>
  <c r="BF204" i="7"/>
  <c r="BF70" i="7" s="1"/>
  <c r="BD69" i="7"/>
  <c r="BO196" i="7"/>
  <c r="BO62" i="7" s="1"/>
  <c r="BM61" i="7"/>
  <c r="H1194" i="25" s="1"/>
  <c r="BO195" i="7"/>
  <c r="BO61" i="7" s="1"/>
  <c r="BM60" i="7"/>
  <c r="BM198" i="7"/>
  <c r="BK63" i="7"/>
  <c r="BL61" i="7"/>
  <c r="H1197" i="25" s="1"/>
  <c r="BN196" i="7"/>
  <c r="BN62" i="7" s="1"/>
  <c r="BG203" i="7"/>
  <c r="BE68" i="7"/>
  <c r="BJ204" i="7"/>
  <c r="BJ70" i="7" s="1"/>
  <c r="BH69" i="7"/>
  <c r="BK62" i="7"/>
  <c r="BM197" i="7"/>
  <c r="BL198" i="7"/>
  <c r="BJ63" i="7"/>
  <c r="BJ201" i="7"/>
  <c r="BH66" i="7"/>
  <c r="BL199" i="7"/>
  <c r="BJ64" i="7"/>
  <c r="BK199" i="7"/>
  <c r="BI64" i="7"/>
  <c r="H1204" i="25" s="1"/>
  <c r="BO203" i="7"/>
  <c r="BO69" i="7" s="1"/>
  <c r="BM68" i="7"/>
  <c r="P19" i="21"/>
  <c r="P20" i="21" s="1"/>
  <c r="P23" i="21" s="1"/>
  <c r="Q22" i="7"/>
  <c r="O26" i="7"/>
  <c r="P23" i="7"/>
  <c r="Q21" i="7"/>
  <c r="L22" i="7"/>
  <c r="P22" i="7"/>
  <c r="N25" i="7"/>
  <c r="M34" i="7"/>
  <c r="P38" i="7"/>
  <c r="O19" i="7"/>
  <c r="M26" i="7"/>
  <c r="S19" i="7"/>
  <c r="M27" i="7"/>
  <c r="P36" i="7"/>
  <c r="Q19" i="7"/>
  <c r="R18" i="7"/>
  <c r="N20" i="7"/>
  <c r="P25" i="7"/>
  <c r="M21" i="7"/>
  <c r="O24" i="7"/>
  <c r="M28" i="7"/>
  <c r="P18" i="7"/>
  <c r="Q17" i="7"/>
  <c r="Q40" i="7"/>
  <c r="O39" i="7"/>
  <c r="N33" i="7"/>
  <c r="R20" i="7"/>
  <c r="L27" i="7"/>
  <c r="P20" i="7"/>
  <c r="P39" i="7"/>
  <c r="O37" i="7"/>
  <c r="H426" i="25" s="1"/>
  <c r="N27" i="7"/>
  <c r="V474" i="25" l="1"/>
  <c r="J526" i="25"/>
  <c r="U525" i="25"/>
  <c r="H1630" i="25"/>
  <c r="H1624" i="25"/>
  <c r="H1648" i="25"/>
  <c r="H1659" i="25"/>
  <c r="H1655" i="25"/>
  <c r="H492" i="25"/>
  <c r="H489" i="25"/>
  <c r="H493" i="25"/>
  <c r="H490" i="25"/>
  <c r="H491" i="25"/>
  <c r="H487" i="25"/>
  <c r="H1198" i="25"/>
  <c r="H1199" i="25"/>
  <c r="H1632" i="25"/>
  <c r="H1640" i="25"/>
  <c r="H1636" i="25"/>
  <c r="H1623" i="25"/>
  <c r="H1621" i="25"/>
  <c r="H1633" i="25"/>
  <c r="H1634" i="25"/>
  <c r="H1642" i="25"/>
  <c r="H1706" i="25"/>
  <c r="H1637" i="25"/>
  <c r="H1641" i="25"/>
  <c r="H1645" i="25"/>
  <c r="H1643" i="25"/>
  <c r="H1644" i="25"/>
  <c r="H1639" i="25"/>
  <c r="H277" i="25"/>
  <c r="K475" i="25"/>
  <c r="H289" i="25"/>
  <c r="H290" i="25"/>
  <c r="H292" i="25"/>
  <c r="BN200" i="7"/>
  <c r="BN66" i="7" s="1"/>
  <c r="BL65" i="7"/>
  <c r="BL64" i="7"/>
  <c r="BN199" i="7"/>
  <c r="BN65" i="7" s="1"/>
  <c r="BJ203" i="7"/>
  <c r="BH68" i="7"/>
  <c r="BL201" i="7"/>
  <c r="BJ66" i="7"/>
  <c r="H286" i="25" s="1"/>
  <c r="BM63" i="7"/>
  <c r="BO198" i="7"/>
  <c r="BO64" i="7" s="1"/>
  <c r="BK202" i="7"/>
  <c r="BI67" i="7"/>
  <c r="H293" i="25" s="1"/>
  <c r="BM200" i="7"/>
  <c r="BK65" i="7"/>
  <c r="BJ67" i="7"/>
  <c r="H287" i="25" s="1"/>
  <c r="BL202" i="7"/>
  <c r="BG69" i="7"/>
  <c r="BI204" i="7"/>
  <c r="BI70" i="7" s="1"/>
  <c r="BO199" i="7"/>
  <c r="BO65" i="7" s="1"/>
  <c r="BM64" i="7"/>
  <c r="BK66" i="7"/>
  <c r="BM201" i="7"/>
  <c r="BK203" i="7"/>
  <c r="Q8" i="21"/>
  <c r="Q9" i="21"/>
  <c r="N25" i="22"/>
  <c r="N39" i="22"/>
  <c r="N52" i="22"/>
  <c r="N65" i="22"/>
  <c r="N12" i="22"/>
  <c r="P28" i="7"/>
  <c r="T21" i="7"/>
  <c r="R19" i="7"/>
  <c r="R26" i="7"/>
  <c r="O35" i="7"/>
  <c r="R23" i="7"/>
  <c r="Q27" i="7"/>
  <c r="Q38" i="7"/>
  <c r="R40" i="7"/>
  <c r="N30" i="7"/>
  <c r="Q25" i="7"/>
  <c r="T19" i="7"/>
  <c r="O27" i="7"/>
  <c r="M24" i="7"/>
  <c r="S22" i="7"/>
  <c r="M29" i="7"/>
  <c r="R21" i="7"/>
  <c r="N28" i="7"/>
  <c r="S18" i="7"/>
  <c r="Q24" i="7"/>
  <c r="Q20" i="7"/>
  <c r="N36" i="7"/>
  <c r="P26" i="7"/>
  <c r="O29" i="7"/>
  <c r="O22" i="7"/>
  <c r="P21" i="7"/>
  <c r="S20" i="7"/>
  <c r="N29" i="7"/>
  <c r="U20" i="7"/>
  <c r="N23" i="7"/>
  <c r="R24" i="7"/>
  <c r="S488" i="25" l="1"/>
  <c r="S489" i="25" s="1"/>
  <c r="S490" i="25" s="1"/>
  <c r="I488" i="25"/>
  <c r="I489" i="25" s="1"/>
  <c r="I490" i="25" s="1"/>
  <c r="I491" i="25" s="1"/>
  <c r="I492" i="25" s="1"/>
  <c r="I493" i="25" s="1"/>
  <c r="I494" i="25" s="1"/>
  <c r="T475" i="25"/>
  <c r="V475" i="25"/>
  <c r="S491" i="25"/>
  <c r="S492" i="25" s="1"/>
  <c r="S493" i="25" s="1"/>
  <c r="S494" i="25" s="1"/>
  <c r="J527" i="25"/>
  <c r="U526" i="25"/>
  <c r="H1626" i="25"/>
  <c r="H1654" i="25"/>
  <c r="H1658" i="25"/>
  <c r="H1653" i="25"/>
  <c r="H1657" i="25"/>
  <c r="H1656" i="25"/>
  <c r="H3083" i="25"/>
  <c r="H3073" i="25"/>
  <c r="H3078" i="25"/>
  <c r="H1652" i="25"/>
  <c r="H1710" i="25"/>
  <c r="H1705" i="25"/>
  <c r="H1709" i="25"/>
  <c r="H1717" i="25"/>
  <c r="H1712" i="25"/>
  <c r="H1832" i="25"/>
  <c r="H1711" i="25"/>
  <c r="H3091" i="25"/>
  <c r="H1635" i="25"/>
  <c r="H1707" i="25"/>
  <c r="H1708" i="25"/>
  <c r="H427" i="25"/>
  <c r="H428" i="25"/>
  <c r="K476" i="25"/>
  <c r="BN203" i="7"/>
  <c r="BN69" i="7" s="1"/>
  <c r="BL68" i="7"/>
  <c r="BM204" i="7"/>
  <c r="BM70" i="7" s="1"/>
  <c r="BK69" i="7"/>
  <c r="BM203" i="7"/>
  <c r="BK68" i="7"/>
  <c r="H294" i="25" s="1"/>
  <c r="BN202" i="7"/>
  <c r="BN68" i="7" s="1"/>
  <c r="BL67" i="7"/>
  <c r="BM67" i="7"/>
  <c r="BO202" i="7"/>
  <c r="BO68" i="7" s="1"/>
  <c r="BO201" i="7"/>
  <c r="BO67" i="7" s="1"/>
  <c r="BM66" i="7"/>
  <c r="BJ69" i="7"/>
  <c r="BL204" i="7"/>
  <c r="BL70" i="7" s="1"/>
  <c r="Q10" i="21"/>
  <c r="Q11" i="21" s="1"/>
  <c r="T27" i="7"/>
  <c r="T25" i="7"/>
  <c r="P37" i="7"/>
  <c r="O31" i="7"/>
  <c r="U21" i="7"/>
  <c r="Q23" i="7"/>
  <c r="R27" i="7"/>
  <c r="O30" i="7"/>
  <c r="O32" i="7"/>
  <c r="T24" i="7"/>
  <c r="V22" i="7"/>
  <c r="S23" i="7"/>
  <c r="P24" i="7"/>
  <c r="Q30" i="7"/>
  <c r="O38" i="7"/>
  <c r="H1638" i="25" s="1"/>
  <c r="P40" i="7"/>
  <c r="S21" i="7"/>
  <c r="U19" i="7"/>
  <c r="T22" i="7"/>
  <c r="U23" i="7"/>
  <c r="O25" i="7"/>
  <c r="V20" i="7"/>
  <c r="S25" i="7"/>
  <c r="P29" i="7"/>
  <c r="N31" i="7"/>
  <c r="Q28" i="7"/>
  <c r="P31" i="7"/>
  <c r="S28" i="7"/>
  <c r="T20" i="7"/>
  <c r="R22" i="7"/>
  <c r="W21" i="7"/>
  <c r="N26" i="7"/>
  <c r="S26" i="7"/>
  <c r="R29" i="7"/>
  <c r="T476" i="25" l="1"/>
  <c r="V476" i="25"/>
  <c r="J528" i="25"/>
  <c r="U527" i="25"/>
  <c r="H3045" i="25"/>
  <c r="H3048" i="25"/>
  <c r="H1718" i="25"/>
  <c r="H1838" i="25"/>
  <c r="H421" i="25"/>
  <c r="H423" i="25"/>
  <c r="K477" i="25"/>
  <c r="BM69" i="7"/>
  <c r="BO204" i="7"/>
  <c r="BO70" i="7" s="1"/>
  <c r="O36" i="22"/>
  <c r="O22" i="22"/>
  <c r="O26" i="22" s="1"/>
  <c r="O24" i="22" s="1"/>
  <c r="O62" i="22"/>
  <c r="O66" i="22" s="1"/>
  <c r="O64" i="22" s="1"/>
  <c r="O49" i="22"/>
  <c r="O53" i="22" s="1"/>
  <c r="O51" i="22" s="1"/>
  <c r="V26" i="7"/>
  <c r="O33" i="7"/>
  <c r="X21" i="7"/>
  <c r="W20" i="7"/>
  <c r="Q39" i="7"/>
  <c r="R25" i="7"/>
  <c r="X23" i="7"/>
  <c r="P34" i="7"/>
  <c r="H3038" i="25" s="1"/>
  <c r="Q31" i="7"/>
  <c r="S24" i="7"/>
  <c r="O28" i="7"/>
  <c r="Y22" i="7"/>
  <c r="V21" i="7"/>
  <c r="U26" i="7"/>
  <c r="Q26" i="7"/>
  <c r="V23" i="7"/>
  <c r="Q33" i="7"/>
  <c r="H3041" i="25" s="1"/>
  <c r="T28" i="7"/>
  <c r="R32" i="7"/>
  <c r="P27" i="7"/>
  <c r="U29" i="7"/>
  <c r="P32" i="7"/>
  <c r="H3044" i="25" s="1"/>
  <c r="U22" i="7"/>
  <c r="S31" i="7"/>
  <c r="U24" i="7"/>
  <c r="W22" i="7"/>
  <c r="T30" i="7"/>
  <c r="T23" i="7"/>
  <c r="S29" i="7"/>
  <c r="U27" i="7"/>
  <c r="R30" i="7"/>
  <c r="W24" i="7"/>
  <c r="V25" i="7"/>
  <c r="P33" i="7"/>
  <c r="V477" i="25" l="1"/>
  <c r="T477" i="25"/>
  <c r="J529" i="25"/>
  <c r="U528" i="25"/>
  <c r="H1646" i="25"/>
  <c r="H1625" i="25"/>
  <c r="H1649" i="25"/>
  <c r="H1651" i="25"/>
  <c r="H3076" i="25"/>
  <c r="H1631" i="25"/>
  <c r="H3040" i="25"/>
  <c r="H3042" i="25"/>
  <c r="H3039" i="25"/>
  <c r="H3043" i="25"/>
  <c r="O63" i="22" a="1"/>
  <c r="O63" i="22" s="1"/>
  <c r="O23" i="22" a="1"/>
  <c r="O23" i="22" s="1"/>
  <c r="O50" i="22" a="1"/>
  <c r="O50" i="22" s="1"/>
  <c r="O40" i="22"/>
  <c r="O9" i="22"/>
  <c r="Q14" i="21" s="1"/>
  <c r="X27" i="7"/>
  <c r="W30" i="7"/>
  <c r="V24" i="7"/>
  <c r="W23" i="7"/>
  <c r="T33" i="7"/>
  <c r="S27" i="7"/>
  <c r="X22" i="7"/>
  <c r="S32" i="7"/>
  <c r="R35" i="7"/>
  <c r="H3036" i="25" s="1"/>
  <c r="T26" i="7"/>
  <c r="Y21" i="7"/>
  <c r="Y25" i="7"/>
  <c r="W28" i="7"/>
  <c r="R33" i="7"/>
  <c r="H3050" i="25" s="1"/>
  <c r="R28" i="7"/>
  <c r="W27" i="7"/>
  <c r="AA23" i="7"/>
  <c r="Q29" i="7"/>
  <c r="Z24" i="7"/>
  <c r="Q34" i="7"/>
  <c r="H3037" i="25" s="1"/>
  <c r="X26" i="7"/>
  <c r="U30" i="7"/>
  <c r="Y23" i="7"/>
  <c r="V29" i="7"/>
  <c r="X24" i="7"/>
  <c r="Q36" i="7"/>
  <c r="Z22" i="7"/>
  <c r="V28" i="7"/>
  <c r="V31" i="7"/>
  <c r="U32" i="7"/>
  <c r="Q35" i="7"/>
  <c r="T31" i="7"/>
  <c r="W25" i="7"/>
  <c r="S34" i="7"/>
  <c r="P30" i="7"/>
  <c r="U25" i="7"/>
  <c r="P35" i="7"/>
  <c r="H494" i="25" s="1"/>
  <c r="I495" i="25" s="1"/>
  <c r="S495" i="25" l="1"/>
  <c r="T478" i="25"/>
  <c r="K478" i="25"/>
  <c r="V478" i="25" s="1"/>
  <c r="J530" i="25"/>
  <c r="U529" i="25"/>
  <c r="H3059" i="25"/>
  <c r="H3028" i="25"/>
  <c r="K479" i="25"/>
  <c r="O13" i="22"/>
  <c r="O38" i="22"/>
  <c r="R36" i="7"/>
  <c r="W31" i="7"/>
  <c r="S30" i="7"/>
  <c r="Y28" i="7"/>
  <c r="T34" i="7"/>
  <c r="V27" i="7"/>
  <c r="Y24" i="7"/>
  <c r="Y26" i="7"/>
  <c r="AB23" i="7"/>
  <c r="AA26" i="7"/>
  <c r="U33" i="7"/>
  <c r="U28" i="7"/>
  <c r="Y31" i="7"/>
  <c r="S37" i="7"/>
  <c r="X30" i="7"/>
  <c r="W26" i="7"/>
  <c r="X32" i="7"/>
  <c r="Z25" i="7"/>
  <c r="AA24" i="7"/>
  <c r="Z27" i="7"/>
  <c r="AC24" i="7"/>
  <c r="T29" i="7"/>
  <c r="AA22" i="7"/>
  <c r="Z23" i="7"/>
  <c r="V34" i="7"/>
  <c r="X25" i="7"/>
  <c r="R37" i="7"/>
  <c r="R31" i="7"/>
  <c r="S35" i="7"/>
  <c r="H3053" i="25" s="1"/>
  <c r="Q37" i="7"/>
  <c r="Q32" i="7"/>
  <c r="H3049" i="25" s="1"/>
  <c r="U35" i="7"/>
  <c r="V32" i="7"/>
  <c r="W33" i="7"/>
  <c r="X29" i="7"/>
  <c r="R38" i="7"/>
  <c r="S40" i="7"/>
  <c r="AB25" i="7"/>
  <c r="Y29" i="7"/>
  <c r="T36" i="7"/>
  <c r="V479" i="25" l="1"/>
  <c r="T479" i="25"/>
  <c r="J531" i="25"/>
  <c r="U530" i="25"/>
  <c r="H1685" i="25"/>
  <c r="H1688" i="25"/>
  <c r="H1696" i="25"/>
  <c r="H1627" i="25"/>
  <c r="H496" i="25"/>
  <c r="H497" i="25"/>
  <c r="H498" i="25"/>
  <c r="H495" i="25"/>
  <c r="H1839" i="25"/>
  <c r="H3029" i="25"/>
  <c r="H3055" i="25"/>
  <c r="H3056" i="25"/>
  <c r="H3030" i="25"/>
  <c r="H1714" i="25"/>
  <c r="H1738" i="25"/>
  <c r="H1742" i="25"/>
  <c r="H1762" i="25"/>
  <c r="H1766" i="25"/>
  <c r="H1713" i="25"/>
  <c r="H1737" i="25"/>
  <c r="H1741" i="25"/>
  <c r="H1749" i="25"/>
  <c r="H1704" i="25"/>
  <c r="H1736" i="25"/>
  <c r="H1752" i="25"/>
  <c r="H1743" i="25"/>
  <c r="H1764" i="25"/>
  <c r="H1848" i="25"/>
  <c r="H3063" i="25"/>
  <c r="H1735" i="25"/>
  <c r="H1748" i="25"/>
  <c r="H1763" i="25"/>
  <c r="H1716" i="25"/>
  <c r="H1739" i="25"/>
  <c r="H3106" i="25"/>
  <c r="H3110" i="25"/>
  <c r="H1703" i="25"/>
  <c r="H1740" i="25"/>
  <c r="H1836" i="25"/>
  <c r="H3088" i="25"/>
  <c r="H3107" i="25"/>
  <c r="H1747" i="25"/>
  <c r="H1715" i="25"/>
  <c r="H1751" i="25"/>
  <c r="H3026" i="25"/>
  <c r="H3109" i="25"/>
  <c r="H1767" i="25"/>
  <c r="H3089" i="25"/>
  <c r="H3090" i="25"/>
  <c r="H3105" i="25"/>
  <c r="H3108" i="25"/>
  <c r="H501" i="25"/>
  <c r="H499" i="25"/>
  <c r="H1722" i="25"/>
  <c r="H1726" i="25"/>
  <c r="H1750" i="25"/>
  <c r="H1729" i="25"/>
  <c r="H1753" i="25"/>
  <c r="H1761" i="25"/>
  <c r="H1765" i="25"/>
  <c r="H1833" i="25"/>
  <c r="H1837" i="25"/>
  <c r="H1841" i="25"/>
  <c r="H1840" i="25"/>
  <c r="H1723" i="25"/>
  <c r="H1846" i="25"/>
  <c r="H1866" i="25"/>
  <c r="H1724" i="25"/>
  <c r="H1844" i="25"/>
  <c r="H1727" i="25"/>
  <c r="H1754" i="25"/>
  <c r="H1758" i="25"/>
  <c r="H1721" i="25"/>
  <c r="H1757" i="25"/>
  <c r="H1720" i="25"/>
  <c r="H1728" i="25"/>
  <c r="H1760" i="25"/>
  <c r="H1755" i="25"/>
  <c r="H3095" i="25"/>
  <c r="H3099" i="25"/>
  <c r="H1719" i="25"/>
  <c r="H3093" i="25"/>
  <c r="H1756" i="25"/>
  <c r="H3092" i="25"/>
  <c r="H3097" i="25"/>
  <c r="H1759" i="25"/>
  <c r="H3098" i="25"/>
  <c r="H3094" i="25"/>
  <c r="H3096" i="25"/>
  <c r="H3100" i="25"/>
  <c r="H3101" i="25"/>
  <c r="H553" i="25"/>
  <c r="H555" i="25"/>
  <c r="H1730" i="25"/>
  <c r="H1834" i="25"/>
  <c r="H1842" i="25"/>
  <c r="H1845" i="25"/>
  <c r="H1865" i="25"/>
  <c r="H1869" i="25"/>
  <c r="H1847" i="25"/>
  <c r="H1868" i="25"/>
  <c r="H3061" i="25"/>
  <c r="H3102" i="25"/>
  <c r="H1867" i="25"/>
  <c r="K480" i="25"/>
  <c r="V480" i="25" s="1"/>
  <c r="H419" i="25"/>
  <c r="H418" i="25"/>
  <c r="O11" i="22"/>
  <c r="O37" i="22" a="1"/>
  <c r="O37" i="22" s="1"/>
  <c r="O10" i="22" s="1"/>
  <c r="Q15" i="21" s="1"/>
  <c r="Q17" i="21" s="1"/>
  <c r="Q18" i="21" s="1"/>
  <c r="Z28" i="7"/>
  <c r="AD26" i="7"/>
  <c r="Z30" i="7"/>
  <c r="X33" i="7"/>
  <c r="S38" i="7"/>
  <c r="Z26" i="7"/>
  <c r="Y27" i="7"/>
  <c r="W29" i="7"/>
  <c r="AA27" i="7"/>
  <c r="S33" i="7"/>
  <c r="S39" i="7"/>
  <c r="V30" i="7"/>
  <c r="AB28" i="7"/>
  <c r="AB26" i="7"/>
  <c r="U38" i="7"/>
  <c r="AC27" i="7"/>
  <c r="X28" i="7"/>
  <c r="AA29" i="7"/>
  <c r="Y32" i="7"/>
  <c r="V40" i="7"/>
  <c r="T39" i="7"/>
  <c r="U36" i="7"/>
  <c r="AB24" i="7"/>
  <c r="Y34" i="7"/>
  <c r="W36" i="7"/>
  <c r="T40" i="7"/>
  <c r="R39" i="7"/>
  <c r="AC23" i="7"/>
  <c r="Z31" i="7"/>
  <c r="AA25" i="7"/>
  <c r="U31" i="7"/>
  <c r="V37" i="7"/>
  <c r="R34" i="7"/>
  <c r="T32" i="7"/>
  <c r="X35" i="7"/>
  <c r="AE25" i="7"/>
  <c r="AC25" i="7"/>
  <c r="Z33" i="7"/>
  <c r="W34" i="7"/>
  <c r="H626" i="25" s="1"/>
  <c r="AD24" i="7"/>
  <c r="V35" i="7"/>
  <c r="T37" i="7"/>
  <c r="S496" i="25" l="1"/>
  <c r="S497" i="25" s="1"/>
  <c r="S498" i="25" s="1"/>
  <c r="S499" i="25" s="1"/>
  <c r="S500" i="25" s="1"/>
  <c r="I496" i="25"/>
  <c r="I497" i="25" s="1"/>
  <c r="I498" i="25" s="1"/>
  <c r="I499" i="25" s="1"/>
  <c r="I500" i="25" s="1"/>
  <c r="T480" i="25"/>
  <c r="J532" i="25"/>
  <c r="U531" i="25"/>
  <c r="H588" i="25"/>
  <c r="H592" i="25"/>
  <c r="H569" i="25"/>
  <c r="H585" i="25"/>
  <c r="H589" i="25"/>
  <c r="H590" i="25"/>
  <c r="H660" i="25"/>
  <c r="H657" i="25"/>
  <c r="H661" i="25"/>
  <c r="H658" i="25"/>
  <c r="H662" i="25"/>
  <c r="H659" i="25"/>
  <c r="H1806" i="25"/>
  <c r="H1789" i="25"/>
  <c r="H1804" i="25"/>
  <c r="H3506" i="25"/>
  <c r="H1799" i="25"/>
  <c r="H616" i="25"/>
  <c r="H620" i="25"/>
  <c r="H628" i="25"/>
  <c r="H613" i="25"/>
  <c r="H621" i="25"/>
  <c r="H629" i="25"/>
  <c r="H649" i="25"/>
  <c r="H614" i="25"/>
  <c r="H622" i="25"/>
  <c r="H630" i="25"/>
  <c r="H623" i="25"/>
  <c r="H615" i="25"/>
  <c r="H631" i="25"/>
  <c r="H1650" i="25"/>
  <c r="H1690" i="25"/>
  <c r="H1702" i="25"/>
  <c r="H3075" i="25"/>
  <c r="H3079" i="25"/>
  <c r="H3087" i="25"/>
  <c r="H1692" i="25"/>
  <c r="H3081" i="25"/>
  <c r="H3086" i="25"/>
  <c r="H3077" i="25"/>
  <c r="H3084" i="25"/>
  <c r="H3085" i="25"/>
  <c r="H3074" i="25"/>
  <c r="H3080" i="25"/>
  <c r="H1782" i="25"/>
  <c r="H1890" i="25"/>
  <c r="H1831" i="25"/>
  <c r="H3131" i="25"/>
  <c r="H3132" i="25"/>
  <c r="H3137" i="25"/>
  <c r="H1686" i="25"/>
  <c r="H1694" i="25"/>
  <c r="H1689" i="25"/>
  <c r="H1693" i="25"/>
  <c r="H1701" i="25"/>
  <c r="H1647" i="25"/>
  <c r="H1691" i="25"/>
  <c r="H1700" i="25"/>
  <c r="H3082" i="25"/>
  <c r="H3068" i="25"/>
  <c r="H1687" i="25"/>
  <c r="H1695" i="25"/>
  <c r="H552" i="25"/>
  <c r="H556" i="25"/>
  <c r="H557" i="25"/>
  <c r="H554" i="25"/>
  <c r="H558" i="25"/>
  <c r="H559" i="25"/>
  <c r="H551" i="25"/>
  <c r="H1769" i="25"/>
  <c r="H1877" i="25"/>
  <c r="H1885" i="25"/>
  <c r="H1884" i="25"/>
  <c r="H3031" i="25"/>
  <c r="H1887" i="25"/>
  <c r="H1662" i="25"/>
  <c r="H1698" i="25"/>
  <c r="H1629" i="25"/>
  <c r="H1681" i="25"/>
  <c r="H1697" i="25"/>
  <c r="H1680" i="25"/>
  <c r="H3071" i="25"/>
  <c r="H3072" i="25"/>
  <c r="H3035" i="25"/>
  <c r="H3051" i="25"/>
  <c r="H604" i="25"/>
  <c r="H605" i="25"/>
  <c r="H609" i="25"/>
  <c r="H637" i="25"/>
  <c r="H606" i="25"/>
  <c r="H607" i="25"/>
  <c r="H1682" i="25"/>
  <c r="H1786" i="25"/>
  <c r="H1785" i="25"/>
  <c r="H3119" i="25"/>
  <c r="H1699" i="25"/>
  <c r="H3022" i="25"/>
  <c r="H3070" i="25"/>
  <c r="H3118" i="25"/>
  <c r="H3122" i="25"/>
  <c r="H3130" i="25"/>
  <c r="H1684" i="25"/>
  <c r="H3115" i="25"/>
  <c r="H3123" i="25"/>
  <c r="H3112" i="25"/>
  <c r="H3120" i="25"/>
  <c r="H3128" i="25"/>
  <c r="H3069" i="25"/>
  <c r="H3121" i="25"/>
  <c r="H3113" i="25"/>
  <c r="H3124" i="25"/>
  <c r="H3125" i="25"/>
  <c r="H3129" i="25"/>
  <c r="H504" i="25"/>
  <c r="H502" i="25"/>
  <c r="H1734" i="25"/>
  <c r="H1746" i="25"/>
  <c r="H1774" i="25"/>
  <c r="H1778" i="25"/>
  <c r="H1725" i="25"/>
  <c r="H1733" i="25"/>
  <c r="H1745" i="25"/>
  <c r="H1773" i="25"/>
  <c r="H1777" i="25"/>
  <c r="H1849" i="25"/>
  <c r="H1857" i="25"/>
  <c r="H1861" i="25"/>
  <c r="H1744" i="25"/>
  <c r="H1768" i="25"/>
  <c r="H1776" i="25"/>
  <c r="H1858" i="25"/>
  <c r="H1863" i="25"/>
  <c r="H1874" i="25"/>
  <c r="H1732" i="25"/>
  <c r="H1855" i="25"/>
  <c r="H1862" i="25"/>
  <c r="H1870" i="25"/>
  <c r="H3067" i="25"/>
  <c r="H1779" i="25"/>
  <c r="H1835" i="25"/>
  <c r="H1875" i="25"/>
  <c r="H3103" i="25"/>
  <c r="H3111" i="25"/>
  <c r="H1772" i="25"/>
  <c r="H1850" i="25"/>
  <c r="H1860" i="25"/>
  <c r="H1872" i="25"/>
  <c r="H3126" i="25"/>
  <c r="H1864" i="25"/>
  <c r="H3066" i="25"/>
  <c r="H1854" i="25"/>
  <c r="H3062" i="25"/>
  <c r="H3104" i="25"/>
  <c r="H1859" i="25"/>
  <c r="H1731" i="25"/>
  <c r="H1871" i="25"/>
  <c r="H1843" i="25"/>
  <c r="H3064" i="25"/>
  <c r="K481" i="25"/>
  <c r="V481" i="25" s="1"/>
  <c r="H420" i="25"/>
  <c r="Q19" i="21"/>
  <c r="O12" i="22" s="1"/>
  <c r="V33" i="7"/>
  <c r="Y35" i="7"/>
  <c r="S36" i="7"/>
  <c r="AE24" i="7"/>
  <c r="Y37" i="7"/>
  <c r="AD25" i="7"/>
  <c r="AC30" i="7"/>
  <c r="AE28" i="7"/>
  <c r="X31" i="7"/>
  <c r="U34" i="7"/>
  <c r="AB27" i="7"/>
  <c r="Z34" i="7"/>
  <c r="AB34" i="7"/>
  <c r="X36" i="7"/>
  <c r="X38" i="7"/>
  <c r="H583" i="25" s="1"/>
  <c r="V38" i="7"/>
  <c r="AF25" i="7"/>
  <c r="AA32" i="7"/>
  <c r="AE26" i="7"/>
  <c r="Z36" i="7"/>
  <c r="AA30" i="7"/>
  <c r="Y30" i="7"/>
  <c r="AF27" i="7"/>
  <c r="H2182" i="25" s="1"/>
  <c r="T35" i="7"/>
  <c r="AB32" i="7"/>
  <c r="AA35" i="7"/>
  <c r="H670" i="25" s="1"/>
  <c r="W37" i="7"/>
  <c r="AA33" i="7"/>
  <c r="Z29" i="7"/>
  <c r="Y40" i="7"/>
  <c r="W39" i="7"/>
  <c r="AD29" i="7"/>
  <c r="AA28" i="7"/>
  <c r="AB29" i="7"/>
  <c r="W32" i="7"/>
  <c r="AG26" i="7"/>
  <c r="AC26" i="7"/>
  <c r="AD27" i="7"/>
  <c r="AC28" i="7"/>
  <c r="W40" i="7"/>
  <c r="U39" i="7"/>
  <c r="AB31" i="7"/>
  <c r="Q20" i="21" l="1"/>
  <c r="Q23" i="21" s="1"/>
  <c r="R8" i="21" s="1"/>
  <c r="T481" i="25"/>
  <c r="J533" i="25"/>
  <c r="U532" i="25"/>
  <c r="H3033" i="25"/>
  <c r="H3054" i="25"/>
  <c r="H3034" i="25"/>
  <c r="H3052" i="25"/>
  <c r="H568" i="25"/>
  <c r="H565" i="25"/>
  <c r="H562" i="25"/>
  <c r="H1893" i="25"/>
  <c r="H3023" i="25"/>
  <c r="H1896" i="25"/>
  <c r="H1891" i="25"/>
  <c r="H1894" i="25"/>
  <c r="H3027" i="25"/>
  <c r="H3060" i="25"/>
  <c r="H3057" i="25"/>
  <c r="H3032" i="25"/>
  <c r="H3058" i="25"/>
  <c r="H1790" i="25"/>
  <c r="H1822" i="25"/>
  <c r="H1830" i="25"/>
  <c r="H1829" i="25"/>
  <c r="H1784" i="25"/>
  <c r="H1824" i="25"/>
  <c r="H1787" i="25"/>
  <c r="H3143" i="25"/>
  <c r="H1683" i="25"/>
  <c r="H3114" i="25"/>
  <c r="H3138" i="25"/>
  <c r="H3142" i="25"/>
  <c r="H3146" i="25"/>
  <c r="H3150" i="25"/>
  <c r="H3139" i="25"/>
  <c r="H3147" i="25"/>
  <c r="H1783" i="25"/>
  <c r="H3144" i="25"/>
  <c r="H1827" i="25"/>
  <c r="H3140" i="25"/>
  <c r="H3141" i="25"/>
  <c r="H3145" i="25"/>
  <c r="H3116" i="25"/>
  <c r="H3148" i="25"/>
  <c r="H3149" i="25"/>
  <c r="H1798" i="25"/>
  <c r="H1814" i="25"/>
  <c r="H1818" i="25"/>
  <c r="H1797" i="25"/>
  <c r="H1813" i="25"/>
  <c r="H1817" i="25"/>
  <c r="H1808" i="25"/>
  <c r="H1816" i="25"/>
  <c r="H1807" i="25"/>
  <c r="H1819" i="25"/>
  <c r="H1812" i="25"/>
  <c r="H1815" i="25"/>
  <c r="H3505" i="25"/>
  <c r="H3021" i="25"/>
  <c r="H664" i="25"/>
  <c r="H668" i="25"/>
  <c r="H663" i="25"/>
  <c r="H509" i="25"/>
  <c r="H1793" i="25"/>
  <c r="H1821" i="25"/>
  <c r="H1800" i="25"/>
  <c r="H1897" i="25"/>
  <c r="H1898" i="25"/>
  <c r="H596" i="25"/>
  <c r="H573" i="25"/>
  <c r="H593" i="25"/>
  <c r="H597" i="25"/>
  <c r="H570" i="25"/>
  <c r="H586" i="25"/>
  <c r="H594" i="25"/>
  <c r="H598" i="25"/>
  <c r="H595" i="25"/>
  <c r="H544" i="25"/>
  <c r="H548" i="25"/>
  <c r="H545" i="25"/>
  <c r="H549" i="25"/>
  <c r="H507" i="25"/>
  <c r="H543" i="25"/>
  <c r="H1917" i="25"/>
  <c r="H1795" i="25"/>
  <c r="H1903" i="25"/>
  <c r="H3517" i="25"/>
  <c r="H608" i="25"/>
  <c r="H612" i="25"/>
  <c r="H632" i="25"/>
  <c r="H636" i="25"/>
  <c r="H640" i="25"/>
  <c r="H644" i="25"/>
  <c r="H648" i="25"/>
  <c r="H633" i="25"/>
  <c r="H641" i="25"/>
  <c r="H645" i="25"/>
  <c r="H610" i="25"/>
  <c r="H634" i="25"/>
  <c r="H638" i="25"/>
  <c r="H642" i="25"/>
  <c r="H646" i="25"/>
  <c r="H635" i="25"/>
  <c r="H639" i="25"/>
  <c r="H611" i="25"/>
  <c r="H643" i="25"/>
  <c r="H647" i="25"/>
  <c r="H652" i="25"/>
  <c r="H656" i="25"/>
  <c r="H653" i="25"/>
  <c r="H650" i="25"/>
  <c r="H654" i="25"/>
  <c r="H651" i="25"/>
  <c r="H655" i="25"/>
  <c r="K482" i="25"/>
  <c r="V482" i="25" s="1"/>
  <c r="R9" i="21"/>
  <c r="O65" i="22"/>
  <c r="O25" i="22"/>
  <c r="O52" i="22"/>
  <c r="O39" i="22"/>
  <c r="AE29" i="7"/>
  <c r="AC29" i="7"/>
  <c r="AC34" i="7"/>
  <c r="V36" i="7"/>
  <c r="AA31" i="7"/>
  <c r="AC33" i="7"/>
  <c r="Z40" i="7"/>
  <c r="X39" i="7"/>
  <c r="Z37" i="7"/>
  <c r="AB35" i="7"/>
  <c r="W35" i="7"/>
  <c r="AG29" i="7"/>
  <c r="AF26" i="7"/>
  <c r="AG25" i="7"/>
  <c r="H3607" i="25" s="1"/>
  <c r="AD32" i="7"/>
  <c r="AE27" i="7"/>
  <c r="Y38" i="7"/>
  <c r="Z39" i="7"/>
  <c r="AB40" i="7"/>
  <c r="AD28" i="7"/>
  <c r="T38" i="7"/>
  <c r="U40" i="7"/>
  <c r="H3504" i="25" s="1"/>
  <c r="AA36" i="7"/>
  <c r="AI27" i="7"/>
  <c r="H3585" i="25" s="1"/>
  <c r="AK28" i="7"/>
  <c r="AF30" i="7"/>
  <c r="AH28" i="7"/>
  <c r="AJ29" i="7"/>
  <c r="AG27" i="7"/>
  <c r="Z32" i="7"/>
  <c r="AE31" i="7"/>
  <c r="AA38" i="7"/>
  <c r="U37" i="7"/>
  <c r="AF28" i="7"/>
  <c r="AD30" i="7"/>
  <c r="AB30" i="7"/>
  <c r="AD33" i="7"/>
  <c r="AC31" i="7"/>
  <c r="AJ27" i="7"/>
  <c r="AH26" i="7"/>
  <c r="Y33" i="7"/>
  <c r="AC36" i="7"/>
  <c r="H675" i="25" s="1"/>
  <c r="AB37" i="7"/>
  <c r="X34" i="7"/>
  <c r="H3989" i="25" l="1"/>
  <c r="H3988" i="25"/>
  <c r="H3987" i="25"/>
  <c r="H3985" i="25"/>
  <c r="T482" i="25"/>
  <c r="J534" i="25"/>
  <c r="U533" i="25"/>
  <c r="H672" i="25"/>
  <c r="H671" i="25"/>
  <c r="H591" i="25"/>
  <c r="H1889" i="25"/>
  <c r="H1886" i="25"/>
  <c r="H1888" i="25"/>
  <c r="H857" i="25"/>
  <c r="H2416" i="25"/>
  <c r="H500" i="25"/>
  <c r="I501" i="25" s="1"/>
  <c r="I502" i="25" s="1"/>
  <c r="I503" i="25" s="1"/>
  <c r="H505" i="25"/>
  <c r="H503" i="25"/>
  <c r="H1770" i="25"/>
  <c r="H1781" i="25"/>
  <c r="H1853" i="25"/>
  <c r="H1873" i="25"/>
  <c r="H1881" i="25"/>
  <c r="H1852" i="25"/>
  <c r="H1879" i="25"/>
  <c r="H1775" i="25"/>
  <c r="H1876" i="25"/>
  <c r="H1883" i="25"/>
  <c r="H1856" i="25"/>
  <c r="H3127" i="25"/>
  <c r="H3135" i="25"/>
  <c r="H3065" i="25"/>
  <c r="H3134" i="25"/>
  <c r="H1780" i="25"/>
  <c r="H1851" i="25"/>
  <c r="H1878" i="25"/>
  <c r="H3024" i="25"/>
  <c r="H1880" i="25"/>
  <c r="H3136" i="25"/>
  <c r="H1882" i="25"/>
  <c r="H3025" i="25"/>
  <c r="H3133" i="25"/>
  <c r="H1771" i="25"/>
  <c r="H581" i="25"/>
  <c r="H579" i="25"/>
  <c r="H624" i="25"/>
  <c r="H625" i="25"/>
  <c r="H627" i="25"/>
  <c r="H3614" i="25"/>
  <c r="H3618" i="25"/>
  <c r="H3613" i="25"/>
  <c r="H3619" i="25"/>
  <c r="H3611" i="25"/>
  <c r="H3617" i="25"/>
  <c r="H3612" i="25"/>
  <c r="H3620" i="25"/>
  <c r="H3615" i="25"/>
  <c r="H3616" i="25"/>
  <c r="H2180" i="25"/>
  <c r="H3982" i="25"/>
  <c r="H3980" i="25"/>
  <c r="H3983" i="25"/>
  <c r="H3977" i="25"/>
  <c r="H3984" i="25"/>
  <c r="H550" i="25"/>
  <c r="H1901" i="25"/>
  <c r="H1900" i="25"/>
  <c r="H1899" i="25"/>
  <c r="H3690" i="25"/>
  <c r="H3698" i="25"/>
  <c r="H3702" i="25"/>
  <c r="H3706" i="25"/>
  <c r="H3710" i="25"/>
  <c r="H3699" i="25"/>
  <c r="H3689" i="25"/>
  <c r="H3703" i="25"/>
  <c r="H3697" i="25"/>
  <c r="H3692" i="25"/>
  <c r="H3700" i="25"/>
  <c r="H3707" i="25"/>
  <c r="H3701" i="25"/>
  <c r="H3708" i="25"/>
  <c r="H3522" i="25"/>
  <c r="H3523" i="25"/>
  <c r="H1906" i="25"/>
  <c r="H1904" i="25"/>
  <c r="H3507" i="25"/>
  <c r="H3516" i="25"/>
  <c r="K483" i="25"/>
  <c r="V483" i="25" s="1"/>
  <c r="R10" i="21"/>
  <c r="R11" i="21" s="1"/>
  <c r="AF31" i="7"/>
  <c r="AD38" i="7"/>
  <c r="AH29" i="7"/>
  <c r="AJ30" i="7"/>
  <c r="AB33" i="7"/>
  <c r="AI28" i="7"/>
  <c r="H2181" i="25" s="1"/>
  <c r="AK29" i="7"/>
  <c r="E47" i="11" s="1"/>
  <c r="AC37" i="7"/>
  <c r="AC40" i="7"/>
  <c r="AA39" i="7"/>
  <c r="AF33" i="7"/>
  <c r="AE32" i="7"/>
  <c r="AE40" i="7"/>
  <c r="H738" i="25" s="1"/>
  <c r="AC39" i="7"/>
  <c r="AF29" i="7"/>
  <c r="AH27" i="7"/>
  <c r="AJ28" i="7"/>
  <c r="H3584" i="25" s="1"/>
  <c r="Y36" i="7"/>
  <c r="AB38" i="7"/>
  <c r="AE34" i="7"/>
  <c r="X37" i="7"/>
  <c r="AE30" i="7"/>
  <c r="AA34" i="7"/>
  <c r="AD31" i="7"/>
  <c r="Z35" i="7"/>
  <c r="AE37" i="7"/>
  <c r="H678" i="25" s="1"/>
  <c r="AG32" i="7"/>
  <c r="AD35" i="7"/>
  <c r="AG28" i="7"/>
  <c r="AK31" i="7"/>
  <c r="AI30" i="7"/>
  <c r="AD36" i="7"/>
  <c r="W38" i="7"/>
  <c r="AJ32" i="7"/>
  <c r="H3998" i="25" s="1"/>
  <c r="AH31" i="7"/>
  <c r="X40" i="7"/>
  <c r="V39" i="7"/>
  <c r="AK27" i="7"/>
  <c r="AI26" i="7"/>
  <c r="AC32" i="7"/>
  <c r="AE35" i="7"/>
  <c r="AG30" i="7"/>
  <c r="G47" i="11" s="1"/>
  <c r="H48" i="11" l="1"/>
  <c r="H3976" i="25"/>
  <c r="F47" i="11"/>
  <c r="F48" i="11" s="1"/>
  <c r="I504" i="25"/>
  <c r="I505" i="25" s="1"/>
  <c r="I506" i="25" s="1"/>
  <c r="H3582" i="25"/>
  <c r="H3993" i="25"/>
  <c r="G16" i="11"/>
  <c r="H17" i="11" s="1"/>
  <c r="H3995" i="25"/>
  <c r="S501" i="25"/>
  <c r="S502" i="25" s="1"/>
  <c r="S503" i="25" s="1"/>
  <c r="S504" i="25" s="1"/>
  <c r="S505" i="25" s="1"/>
  <c r="S506" i="25" s="1"/>
  <c r="T483" i="25"/>
  <c r="J535" i="25"/>
  <c r="U534" i="25"/>
  <c r="H3586" i="25"/>
  <c r="H3694" i="25"/>
  <c r="H3693" i="25"/>
  <c r="H3704" i="25"/>
  <c r="H3675" i="25"/>
  <c r="H3705" i="25"/>
  <c r="H3695" i="25"/>
  <c r="H665" i="25"/>
  <c r="H669" i="25"/>
  <c r="H666" i="25"/>
  <c r="H667" i="25"/>
  <c r="H856" i="25"/>
  <c r="H3981" i="25"/>
  <c r="H858" i="25"/>
  <c r="H3714" i="25"/>
  <c r="H3718" i="25"/>
  <c r="H3715" i="25"/>
  <c r="H3711" i="25"/>
  <c r="H3717" i="25"/>
  <c r="H3691" i="25"/>
  <c r="H3712" i="25"/>
  <c r="H3713" i="25"/>
  <c r="H3716" i="25"/>
  <c r="H3581" i="25"/>
  <c r="H2179" i="25"/>
  <c r="H3975" i="25"/>
  <c r="H617" i="25"/>
  <c r="H618" i="25"/>
  <c r="H619" i="25"/>
  <c r="H688" i="25"/>
  <c r="H685" i="25"/>
  <c r="H689" i="25"/>
  <c r="H693" i="25"/>
  <c r="H686" i="25"/>
  <c r="H690" i="25"/>
  <c r="H694" i="25"/>
  <c r="H687" i="25"/>
  <c r="H679" i="25"/>
  <c r="H692" i="25"/>
  <c r="H506" i="25"/>
  <c r="I507" i="25" s="1"/>
  <c r="I508" i="25" s="1"/>
  <c r="H1802" i="25"/>
  <c r="H1826" i="25"/>
  <c r="H1801" i="25"/>
  <c r="H1805" i="25"/>
  <c r="H1825" i="25"/>
  <c r="H1792" i="25"/>
  <c r="H1828" i="25"/>
  <c r="H1791" i="25"/>
  <c r="H1820" i="25"/>
  <c r="H3151" i="25"/>
  <c r="H3154" i="25"/>
  <c r="H1823" i="25"/>
  <c r="H3152" i="25"/>
  <c r="H1788" i="25"/>
  <c r="H3117" i="25"/>
  <c r="H3153" i="25"/>
  <c r="H1803" i="25"/>
  <c r="H560" i="25"/>
  <c r="H564" i="25"/>
  <c r="H572" i="25"/>
  <c r="H576" i="25"/>
  <c r="H561" i="25"/>
  <c r="H577" i="25"/>
  <c r="H566" i="25"/>
  <c r="H574" i="25"/>
  <c r="H578" i="25"/>
  <c r="H571" i="25"/>
  <c r="H587" i="25"/>
  <c r="H575" i="25"/>
  <c r="H563" i="25"/>
  <c r="H567" i="25"/>
  <c r="H1895" i="25"/>
  <c r="H1892" i="25"/>
  <c r="H600" i="25"/>
  <c r="H601" i="25"/>
  <c r="H602" i="25"/>
  <c r="H603" i="25"/>
  <c r="H599" i="25"/>
  <c r="H508" i="25"/>
  <c r="H533" i="25"/>
  <c r="H1794" i="25"/>
  <c r="H1810" i="25"/>
  <c r="H1809" i="25"/>
  <c r="H3510" i="25"/>
  <c r="H1811" i="25"/>
  <c r="H676" i="25"/>
  <c r="H682" i="25"/>
  <c r="H683" i="25"/>
  <c r="P22" i="22"/>
  <c r="P26" i="22" s="1"/>
  <c r="P24" i="22" s="1"/>
  <c r="P36" i="22"/>
  <c r="P49" i="22"/>
  <c r="P53" i="22" s="1"/>
  <c r="P51" i="22" s="1"/>
  <c r="P62" i="22"/>
  <c r="P66" i="22" s="1"/>
  <c r="P64" i="22" s="1"/>
  <c r="F16" i="11"/>
  <c r="D78" i="11"/>
  <c r="Q78" i="11"/>
  <c r="AK32" i="7"/>
  <c r="AI31" i="7"/>
  <c r="AG36" i="7"/>
  <c r="AF37" i="7"/>
  <c r="H1060" i="25" s="1"/>
  <c r="AK30" i="7"/>
  <c r="H3986" i="25" s="1"/>
  <c r="AI29" i="7"/>
  <c r="AF39" i="7"/>
  <c r="H698" i="25" s="1"/>
  <c r="AA40" i="7"/>
  <c r="Y39" i="7"/>
  <c r="AK34" i="7"/>
  <c r="AI33" i="7"/>
  <c r="H3578" i="25" s="1"/>
  <c r="AB36" i="7"/>
  <c r="AC35" i="7"/>
  <c r="Z38" i="7"/>
  <c r="AD39" i="7"/>
  <c r="H1058" i="25" s="1"/>
  <c r="AF40" i="7"/>
  <c r="AH34" i="7"/>
  <c r="AJ35" i="7"/>
  <c r="AE38" i="7"/>
  <c r="AD34" i="7"/>
  <c r="AE33" i="7"/>
  <c r="AF36" i="7"/>
  <c r="AF32" i="7"/>
  <c r="AH30" i="7"/>
  <c r="H3994" i="25" s="1"/>
  <c r="AJ31" i="7"/>
  <c r="AG33" i="7"/>
  <c r="AJ33" i="7"/>
  <c r="AH32" i="7"/>
  <c r="AF34" i="7"/>
  <c r="AG31" i="7"/>
  <c r="AG35" i="7"/>
  <c r="H3575" i="25" s="1"/>
  <c r="AA37" i="7"/>
  <c r="G48" i="11" l="1"/>
  <c r="I509" i="25"/>
  <c r="I510" i="25" s="1"/>
  <c r="I511" i="25" s="1"/>
  <c r="I512" i="25" s="1"/>
  <c r="I513" i="25" s="1"/>
  <c r="I514" i="25" s="1"/>
  <c r="I515" i="25" s="1"/>
  <c r="I516" i="25" s="1"/>
  <c r="I517" i="25" s="1"/>
  <c r="I518" i="25" s="1"/>
  <c r="I519" i="25" s="1"/>
  <c r="I520" i="25" s="1"/>
  <c r="I521" i="25" s="1"/>
  <c r="I522" i="25" s="1"/>
  <c r="I523" i="25" s="1"/>
  <c r="I524" i="25" s="1"/>
  <c r="I525" i="25" s="1"/>
  <c r="I526" i="25" s="1"/>
  <c r="I527" i="25" s="1"/>
  <c r="I528" i="25" s="1"/>
  <c r="I529" i="25" s="1"/>
  <c r="I530" i="25" s="1"/>
  <c r="I531" i="25" s="1"/>
  <c r="I532" i="25" s="1"/>
  <c r="I533" i="25" s="1"/>
  <c r="I534" i="25" s="1"/>
  <c r="I535" i="25" s="1"/>
  <c r="I536" i="25" s="1"/>
  <c r="I537" i="25" s="1"/>
  <c r="I538" i="25" s="1"/>
  <c r="I539" i="25" s="1"/>
  <c r="I540" i="25" s="1"/>
  <c r="I541" i="25" s="1"/>
  <c r="I542" i="25" s="1"/>
  <c r="I543" i="25" s="1"/>
  <c r="I544" i="25" s="1"/>
  <c r="I545" i="25" s="1"/>
  <c r="I546" i="25" s="1"/>
  <c r="I547" i="25" s="1"/>
  <c r="I548" i="25" s="1"/>
  <c r="I549" i="25" s="1"/>
  <c r="I550" i="25" s="1"/>
  <c r="I551" i="25" s="1"/>
  <c r="I552" i="25" s="1"/>
  <c r="I553" i="25" s="1"/>
  <c r="I554" i="25" s="1"/>
  <c r="I555" i="25" s="1"/>
  <c r="I556" i="25" s="1"/>
  <c r="I557" i="25" s="1"/>
  <c r="I558" i="25" s="1"/>
  <c r="I559" i="25" s="1"/>
  <c r="I560" i="25" s="1"/>
  <c r="I561" i="25" s="1"/>
  <c r="I562" i="25" s="1"/>
  <c r="I563" i="25" s="1"/>
  <c r="I564" i="25" s="1"/>
  <c r="I565" i="25" s="1"/>
  <c r="I566" i="25" s="1"/>
  <c r="I567" i="25" s="1"/>
  <c r="I568" i="25" s="1"/>
  <c r="I569" i="25" s="1"/>
  <c r="I570" i="25" s="1"/>
  <c r="I571" i="25" s="1"/>
  <c r="I572" i="25" s="1"/>
  <c r="I573" i="25" s="1"/>
  <c r="I574" i="25" s="1"/>
  <c r="I575" i="25" s="1"/>
  <c r="I576" i="25" s="1"/>
  <c r="I577" i="25" s="1"/>
  <c r="I578" i="25" s="1"/>
  <c r="I579" i="25" s="1"/>
  <c r="I580" i="25" s="1"/>
  <c r="H3583" i="25"/>
  <c r="H3990" i="25"/>
  <c r="H3991" i="25"/>
  <c r="H3992" i="25"/>
  <c r="H3997" i="25"/>
  <c r="H3996" i="25"/>
  <c r="T484" i="25"/>
  <c r="K484" i="25"/>
  <c r="V484" i="25" s="1"/>
  <c r="J536" i="25"/>
  <c r="U535" i="25"/>
  <c r="S507" i="25"/>
  <c r="S508" i="25" s="1"/>
  <c r="S509" i="25" s="1"/>
  <c r="S510" i="25" s="1"/>
  <c r="S511" i="25" s="1"/>
  <c r="S512" i="25" s="1"/>
  <c r="S513" i="25" s="1"/>
  <c r="S514" i="25" s="1"/>
  <c r="S515" i="25" s="1"/>
  <c r="S516" i="25" s="1"/>
  <c r="S517" i="25" s="1"/>
  <c r="S518" i="25" s="1"/>
  <c r="S519" i="25" s="1"/>
  <c r="S520" i="25" s="1"/>
  <c r="S521" i="25" s="1"/>
  <c r="S522" i="25" s="1"/>
  <c r="S523" i="25" s="1"/>
  <c r="S524" i="25" s="1"/>
  <c r="S525" i="25" s="1"/>
  <c r="S526" i="25" s="1"/>
  <c r="S527" i="25" s="1"/>
  <c r="S528" i="25" s="1"/>
  <c r="S529" i="25" s="1"/>
  <c r="S530" i="25" s="1"/>
  <c r="S531" i="25" s="1"/>
  <c r="S532" i="25" s="1"/>
  <c r="S533" i="25" s="1"/>
  <c r="S534" i="25" s="1"/>
  <c r="S535" i="25" s="1"/>
  <c r="S536" i="25" s="1"/>
  <c r="S537" i="25" s="1"/>
  <c r="S538" i="25" s="1"/>
  <c r="S539" i="25" s="1"/>
  <c r="S540" i="25" s="1"/>
  <c r="S541" i="25" s="1"/>
  <c r="S542" i="25" s="1"/>
  <c r="S543" i="25" s="1"/>
  <c r="S544" i="25" s="1"/>
  <c r="S545" i="25" s="1"/>
  <c r="S546" i="25" s="1"/>
  <c r="S547" i="25" s="1"/>
  <c r="S548" i="25" s="1"/>
  <c r="S549" i="25" s="1"/>
  <c r="S550" i="25" s="1"/>
  <c r="S551" i="25" s="1"/>
  <c r="S552" i="25" s="1"/>
  <c r="S553" i="25" s="1"/>
  <c r="S554" i="25" s="1"/>
  <c r="S555" i="25" s="1"/>
  <c r="S556" i="25" s="1"/>
  <c r="S557" i="25" s="1"/>
  <c r="S558" i="25" s="1"/>
  <c r="S559" i="25" s="1"/>
  <c r="S560" i="25" s="1"/>
  <c r="S561" i="25" s="1"/>
  <c r="S562" i="25" s="1"/>
  <c r="S563" i="25" s="1"/>
  <c r="S564" i="25" s="1"/>
  <c r="S565" i="25" s="1"/>
  <c r="S566" i="25" s="1"/>
  <c r="S567" i="25" s="1"/>
  <c r="S568" i="25" s="1"/>
  <c r="S569" i="25" s="1"/>
  <c r="S570" i="25" s="1"/>
  <c r="S571" i="25" s="1"/>
  <c r="S572" i="25" s="1"/>
  <c r="S573" i="25" s="1"/>
  <c r="S574" i="25" s="1"/>
  <c r="S575" i="25" s="1"/>
  <c r="S576" i="25" s="1"/>
  <c r="S577" i="25" s="1"/>
  <c r="S578" i="25" s="1"/>
  <c r="S579" i="25" s="1"/>
  <c r="S580" i="25" s="1"/>
  <c r="H1905" i="25"/>
  <c r="H1907" i="25"/>
  <c r="H3511" i="25"/>
  <c r="H3519" i="25"/>
  <c r="H3518" i="25"/>
  <c r="H3520" i="25"/>
  <c r="H3968" i="25"/>
  <c r="H3579" i="25"/>
  <c r="H697" i="25"/>
  <c r="H695" i="25"/>
  <c r="H696" i="25"/>
  <c r="H3963" i="25"/>
  <c r="H2175" i="25"/>
  <c r="H3957" i="25"/>
  <c r="H3964" i="25"/>
  <c r="H580" i="25"/>
  <c r="H584" i="25"/>
  <c r="H582" i="25"/>
  <c r="H1902" i="25"/>
  <c r="H3978" i="25"/>
  <c r="H3979" i="25"/>
  <c r="H2177" i="25"/>
  <c r="H2178" i="25"/>
  <c r="H3973" i="25"/>
  <c r="H3972" i="25"/>
  <c r="K485" i="25"/>
  <c r="E16" i="11"/>
  <c r="G17" i="11"/>
  <c r="Q64" i="22"/>
  <c r="Q63" i="22" s="1" a="1"/>
  <c r="Q63" i="22" s="1"/>
  <c r="P63" i="22" a="1"/>
  <c r="P63" i="22" s="1"/>
  <c r="Q51" i="22"/>
  <c r="Q50" i="22" s="1" a="1"/>
  <c r="Q50" i="22" s="1"/>
  <c r="P50" i="22" a="1"/>
  <c r="P50" i="22" s="1"/>
  <c r="P40" i="22"/>
  <c r="P9" i="22"/>
  <c r="R14" i="21" s="1"/>
  <c r="Q24" i="22"/>
  <c r="Q23" i="22" s="1" a="1"/>
  <c r="Q23" i="22" s="1"/>
  <c r="P23" i="22" a="1"/>
  <c r="P23" i="22" s="1"/>
  <c r="AG38" i="7"/>
  <c r="AH33" i="7"/>
  <c r="H3966" i="25" s="1"/>
  <c r="AJ34" i="7"/>
  <c r="H3953" i="25" s="1"/>
  <c r="AG39" i="7"/>
  <c r="AI40" i="7"/>
  <c r="AK37" i="7"/>
  <c r="AI36" i="7"/>
  <c r="AJ38" i="7"/>
  <c r="AH37" i="7"/>
  <c r="AD37" i="7"/>
  <c r="AK33" i="7"/>
  <c r="AI32" i="7"/>
  <c r="AC38" i="7"/>
  <c r="H691" i="25" s="1"/>
  <c r="AH35" i="7"/>
  <c r="H3576" i="25" s="1"/>
  <c r="AJ36" i="7"/>
  <c r="H3952" i="25" s="1"/>
  <c r="AF35" i="7"/>
  <c r="AD40" i="7"/>
  <c r="AB39" i="7"/>
  <c r="AK35" i="7"/>
  <c r="H2174" i="25" s="1"/>
  <c r="AI34" i="7"/>
  <c r="H3577" i="25" s="1"/>
  <c r="AE36" i="7"/>
  <c r="AJ39" i="7"/>
  <c r="AH38" i="7"/>
  <c r="H3572" i="25" s="1"/>
  <c r="AG34" i="7"/>
  <c r="AH40" i="7"/>
  <c r="F17" i="11" l="1"/>
  <c r="E17" i="11"/>
  <c r="D17" i="11" s="1"/>
  <c r="H40" i="1" s="1"/>
  <c r="H8" i="1" s="1"/>
  <c r="I581" i="25"/>
  <c r="I582" i="25" s="1"/>
  <c r="I583" i="25" s="1"/>
  <c r="I584" i="25" s="1"/>
  <c r="I585" i="25" s="1"/>
  <c r="I586" i="25" s="1"/>
  <c r="I587" i="25" s="1"/>
  <c r="I588" i="25" s="1"/>
  <c r="I589" i="25" s="1"/>
  <c r="I590" i="25" s="1"/>
  <c r="I591" i="25" s="1"/>
  <c r="I592" i="25" s="1"/>
  <c r="I593" i="25" s="1"/>
  <c r="I594" i="25" s="1"/>
  <c r="I595" i="25" s="1"/>
  <c r="I596" i="25" s="1"/>
  <c r="I597" i="25" s="1"/>
  <c r="I598" i="25" s="1"/>
  <c r="I599" i="25" s="1"/>
  <c r="I600" i="25" s="1"/>
  <c r="I601" i="25" s="1"/>
  <c r="I602" i="25" s="1"/>
  <c r="I603" i="25" s="1"/>
  <c r="I604" i="25" s="1"/>
  <c r="I605" i="25" s="1"/>
  <c r="I606" i="25" s="1"/>
  <c r="I607" i="25" s="1"/>
  <c r="I608" i="25" s="1"/>
  <c r="I609" i="25" s="1"/>
  <c r="I610" i="25" s="1"/>
  <c r="I611" i="25" s="1"/>
  <c r="I612" i="25" s="1"/>
  <c r="I613" i="25" s="1"/>
  <c r="I614" i="25" s="1"/>
  <c r="I615" i="25" s="1"/>
  <c r="I616" i="25" s="1"/>
  <c r="I617" i="25" s="1"/>
  <c r="I618" i="25" s="1"/>
  <c r="I619" i="25" s="1"/>
  <c r="I620" i="25" s="1"/>
  <c r="I621" i="25" s="1"/>
  <c r="I622" i="25" s="1"/>
  <c r="I623" i="25" s="1"/>
  <c r="I624" i="25" s="1"/>
  <c r="I625" i="25" s="1"/>
  <c r="I626" i="25" s="1"/>
  <c r="I627" i="25" s="1"/>
  <c r="I628" i="25" s="1"/>
  <c r="I629" i="25" s="1"/>
  <c r="I630" i="25" s="1"/>
  <c r="I631" i="25" s="1"/>
  <c r="I632" i="25" s="1"/>
  <c r="I633" i="25" s="1"/>
  <c r="I634" i="25" s="1"/>
  <c r="I635" i="25" s="1"/>
  <c r="I636" i="25" s="1"/>
  <c r="I637" i="25" s="1"/>
  <c r="I638" i="25" s="1"/>
  <c r="I639" i="25" s="1"/>
  <c r="I640" i="25" s="1"/>
  <c r="I641" i="25" s="1"/>
  <c r="I642" i="25" s="1"/>
  <c r="I643" i="25" s="1"/>
  <c r="I644" i="25" s="1"/>
  <c r="I645" i="25" s="1"/>
  <c r="I646" i="25" s="1"/>
  <c r="I647" i="25" s="1"/>
  <c r="I648" i="25" s="1"/>
  <c r="I649" i="25" s="1"/>
  <c r="I650" i="25" s="1"/>
  <c r="I651" i="25" s="1"/>
  <c r="I652" i="25" s="1"/>
  <c r="I653" i="25" s="1"/>
  <c r="I654" i="25" s="1"/>
  <c r="I655" i="25" s="1"/>
  <c r="I656" i="25" s="1"/>
  <c r="I657" i="25" s="1"/>
  <c r="I658" i="25" s="1"/>
  <c r="I659" i="25" s="1"/>
  <c r="I660" i="25" s="1"/>
  <c r="I661" i="25" s="1"/>
  <c r="I662" i="25" s="1"/>
  <c r="I663" i="25" s="1"/>
  <c r="I664" i="25" s="1"/>
  <c r="I665" i="25" s="1"/>
  <c r="I666" i="25" s="1"/>
  <c r="I667" i="25" s="1"/>
  <c r="I668" i="25" s="1"/>
  <c r="I669" i="25" s="1"/>
  <c r="I670" i="25" s="1"/>
  <c r="I671" i="25" s="1"/>
  <c r="I672" i="25" s="1"/>
  <c r="I673" i="25" s="1"/>
  <c r="H4000" i="25"/>
  <c r="H3999" i="25"/>
  <c r="V485" i="25"/>
  <c r="T485" i="25"/>
  <c r="H843" i="25"/>
  <c r="H42" i="1"/>
  <c r="F43" i="1"/>
  <c r="F11" i="1" s="1"/>
  <c r="S581" i="25"/>
  <c r="S582" i="25" s="1"/>
  <c r="S583" i="25" s="1"/>
  <c r="S584" i="25" s="1"/>
  <c r="S585" i="25" s="1"/>
  <c r="S586" i="25" s="1"/>
  <c r="S587" i="25" s="1"/>
  <c r="S588" i="25" s="1"/>
  <c r="S589" i="25" s="1"/>
  <c r="S590" i="25" s="1"/>
  <c r="S591" i="25" s="1"/>
  <c r="S592" i="25" s="1"/>
  <c r="S593" i="25" s="1"/>
  <c r="S594" i="25" s="1"/>
  <c r="S595" i="25" s="1"/>
  <c r="S596" i="25" s="1"/>
  <c r="S597" i="25" s="1"/>
  <c r="S598" i="25" s="1"/>
  <c r="S599" i="25" s="1"/>
  <c r="S600" i="25" s="1"/>
  <c r="S601" i="25" s="1"/>
  <c r="S602" i="25" s="1"/>
  <c r="S603" i="25" s="1"/>
  <c r="S604" i="25" s="1"/>
  <c r="S605" i="25" s="1"/>
  <c r="S606" i="25" s="1"/>
  <c r="S607" i="25" s="1"/>
  <c r="S608" i="25" s="1"/>
  <c r="S609" i="25" s="1"/>
  <c r="S610" i="25" s="1"/>
  <c r="S611" i="25" s="1"/>
  <c r="S612" i="25" s="1"/>
  <c r="S613" i="25" s="1"/>
  <c r="S614" i="25" s="1"/>
  <c r="S615" i="25" s="1"/>
  <c r="S616" i="25" s="1"/>
  <c r="S617" i="25" s="1"/>
  <c r="S618" i="25" s="1"/>
  <c r="S619" i="25" s="1"/>
  <c r="S620" i="25" s="1"/>
  <c r="S621" i="25" s="1"/>
  <c r="S622" i="25" s="1"/>
  <c r="S623" i="25" s="1"/>
  <c r="S624" i="25" s="1"/>
  <c r="S625" i="25" s="1"/>
  <c r="S626" i="25" s="1"/>
  <c r="S627" i="25" s="1"/>
  <c r="S628" i="25" s="1"/>
  <c r="S629" i="25" s="1"/>
  <c r="S630" i="25" s="1"/>
  <c r="S631" i="25" s="1"/>
  <c r="S632" i="25" s="1"/>
  <c r="S633" i="25" s="1"/>
  <c r="S634" i="25" s="1"/>
  <c r="S635" i="25" s="1"/>
  <c r="S636" i="25" s="1"/>
  <c r="S637" i="25" s="1"/>
  <c r="S638" i="25" s="1"/>
  <c r="S639" i="25" s="1"/>
  <c r="S640" i="25" s="1"/>
  <c r="S641" i="25" s="1"/>
  <c r="S642" i="25" s="1"/>
  <c r="S643" i="25" s="1"/>
  <c r="S644" i="25" s="1"/>
  <c r="S645" i="25" s="1"/>
  <c r="S646" i="25" s="1"/>
  <c r="S647" i="25" s="1"/>
  <c r="S648" i="25" s="1"/>
  <c r="S649" i="25" s="1"/>
  <c r="S650" i="25" s="1"/>
  <c r="S651" i="25" s="1"/>
  <c r="S652" i="25" s="1"/>
  <c r="S653" i="25" s="1"/>
  <c r="S654" i="25" s="1"/>
  <c r="S655" i="25" s="1"/>
  <c r="S656" i="25" s="1"/>
  <c r="S657" i="25" s="1"/>
  <c r="S658" i="25" s="1"/>
  <c r="S659" i="25" s="1"/>
  <c r="S660" i="25" s="1"/>
  <c r="S661" i="25" s="1"/>
  <c r="S662" i="25" s="1"/>
  <c r="S663" i="25" s="1"/>
  <c r="S664" i="25" s="1"/>
  <c r="S665" i="25" s="1"/>
  <c r="S666" i="25" s="1"/>
  <c r="S667" i="25" s="1"/>
  <c r="S668" i="25" s="1"/>
  <c r="S669" i="25" s="1"/>
  <c r="S670" i="25" s="1"/>
  <c r="S671" i="25" s="1"/>
  <c r="S672" i="25" s="1"/>
  <c r="S673" i="25" s="1"/>
  <c r="J537" i="25"/>
  <c r="U536" i="25"/>
  <c r="H3970" i="25"/>
  <c r="H3971" i="25"/>
  <c r="H3967" i="25"/>
  <c r="H3580" i="25"/>
  <c r="H701" i="25"/>
  <c r="H806" i="25"/>
  <c r="H700" i="25"/>
  <c r="H702" i="25"/>
  <c r="H813" i="25"/>
  <c r="H1062" i="25"/>
  <c r="H703" i="25"/>
  <c r="H1061" i="25"/>
  <c r="H807" i="25"/>
  <c r="H850" i="25"/>
  <c r="H2176" i="25"/>
  <c r="H3965" i="25"/>
  <c r="H3969" i="25"/>
  <c r="H839" i="25"/>
  <c r="H838" i="25"/>
  <c r="H1063" i="25"/>
  <c r="H680" i="25"/>
  <c r="H684" i="25"/>
  <c r="H673" i="25"/>
  <c r="H677" i="25"/>
  <c r="H681" i="25"/>
  <c r="H674" i="25"/>
  <c r="H1059" i="25"/>
  <c r="H844" i="25"/>
  <c r="H2171" i="25"/>
  <c r="H3944" i="25"/>
  <c r="H819" i="25"/>
  <c r="H817" i="25"/>
  <c r="H821" i="25"/>
  <c r="H1056" i="25"/>
  <c r="H717" i="25"/>
  <c r="H710" i="25"/>
  <c r="H811" i="25"/>
  <c r="H831" i="25"/>
  <c r="H711" i="25"/>
  <c r="H712" i="25"/>
  <c r="H829" i="25"/>
  <c r="H708" i="25"/>
  <c r="H830" i="25"/>
  <c r="H3569" i="25"/>
  <c r="P78" i="11"/>
  <c r="N78" i="11"/>
  <c r="K486" i="25"/>
  <c r="M78" i="11"/>
  <c r="P13" i="22"/>
  <c r="P38" i="22"/>
  <c r="AH36" i="7"/>
  <c r="H3574" i="25" s="1"/>
  <c r="AJ37" i="7"/>
  <c r="AE39" i="7"/>
  <c r="AG40" i="7"/>
  <c r="AF38" i="7"/>
  <c r="H699" i="25" s="1"/>
  <c r="AK36" i="7"/>
  <c r="AI35" i="7"/>
  <c r="AG37" i="7"/>
  <c r="H3573" i="25" s="1"/>
  <c r="AI37" i="7"/>
  <c r="AK38" i="7"/>
  <c r="AI39" i="7"/>
  <c r="AK40" i="7"/>
  <c r="Y59" i="1" l="1"/>
  <c r="R59" i="1"/>
  <c r="C38" i="1" s="1"/>
  <c r="C6" i="1" s="1"/>
  <c r="I674" i="25"/>
  <c r="I675" i="25" s="1"/>
  <c r="I676" i="25" s="1"/>
  <c r="I677" i="25" s="1"/>
  <c r="I678" i="25" s="1"/>
  <c r="I679" i="25" s="1"/>
  <c r="I680" i="25" s="1"/>
  <c r="I681" i="25" s="1"/>
  <c r="I682" i="25" s="1"/>
  <c r="I683" i="25" s="1"/>
  <c r="I684" i="25" s="1"/>
  <c r="I685" i="25" s="1"/>
  <c r="I686" i="25" s="1"/>
  <c r="I687" i="25" s="1"/>
  <c r="I688" i="25" s="1"/>
  <c r="I689" i="25" s="1"/>
  <c r="I690" i="25" s="1"/>
  <c r="I691" i="25" s="1"/>
  <c r="I692" i="25" s="1"/>
  <c r="I693" i="25" s="1"/>
  <c r="I694" i="25" s="1"/>
  <c r="I695" i="25" s="1"/>
  <c r="I696" i="25" s="1"/>
  <c r="I697" i="25" s="1"/>
  <c r="I698" i="25" s="1"/>
  <c r="I699" i="25" s="1"/>
  <c r="I700" i="25" s="1"/>
  <c r="I701" i="25" s="1"/>
  <c r="I702" i="25" s="1"/>
  <c r="I703" i="25" s="1"/>
  <c r="I704" i="25" s="1"/>
  <c r="V486" i="25"/>
  <c r="T486" i="25"/>
  <c r="S674" i="25"/>
  <c r="S675" i="25" s="1"/>
  <c r="S676" i="25" s="1"/>
  <c r="S677" i="25" s="1"/>
  <c r="S678" i="25" s="1"/>
  <c r="S679" i="25" s="1"/>
  <c r="S680" i="25" s="1"/>
  <c r="S681" i="25" s="1"/>
  <c r="S682" i="25" s="1"/>
  <c r="S683" i="25" s="1"/>
  <c r="S684" i="25" s="1"/>
  <c r="S685" i="25" s="1"/>
  <c r="S686" i="25" s="1"/>
  <c r="S687" i="25" s="1"/>
  <c r="S688" i="25" s="1"/>
  <c r="S689" i="25" s="1"/>
  <c r="S690" i="25" s="1"/>
  <c r="S691" i="25" s="1"/>
  <c r="S692" i="25" s="1"/>
  <c r="S693" i="25" s="1"/>
  <c r="S694" i="25" s="1"/>
  <c r="S695" i="25" s="1"/>
  <c r="S696" i="25" s="1"/>
  <c r="S697" i="25" s="1"/>
  <c r="S698" i="25" s="1"/>
  <c r="S699" i="25" s="1"/>
  <c r="S700" i="25" s="1"/>
  <c r="S701" i="25" s="1"/>
  <c r="S702" i="25" s="1"/>
  <c r="S703" i="25" s="1"/>
  <c r="S704" i="25" s="1"/>
  <c r="H10" i="1"/>
  <c r="H41" i="1"/>
  <c r="H9" i="1" s="1"/>
  <c r="J538" i="25"/>
  <c r="U537" i="25"/>
  <c r="H835" i="25"/>
  <c r="H1066" i="25"/>
  <c r="H1069" i="25"/>
  <c r="H836" i="25"/>
  <c r="H1064" i="25"/>
  <c r="H1067" i="25"/>
  <c r="H832" i="25"/>
  <c r="H826" i="25"/>
  <c r="H842" i="25"/>
  <c r="H2170" i="25"/>
  <c r="H3942" i="25"/>
  <c r="H2173" i="25"/>
  <c r="H2172" i="25"/>
  <c r="H3950" i="25"/>
  <c r="H3951" i="25"/>
  <c r="H3937" i="25"/>
  <c r="H3943" i="25"/>
  <c r="K487" i="25"/>
  <c r="P11" i="22"/>
  <c r="Q38" i="22"/>
  <c r="Q37" i="22" s="1" a="1"/>
  <c r="Q37" i="22" s="1"/>
  <c r="P37" i="22" a="1"/>
  <c r="P37" i="22" s="1"/>
  <c r="P10" i="22" s="1"/>
  <c r="R15" i="21" s="1"/>
  <c r="R17" i="21" s="1"/>
  <c r="R18" i="21" s="1"/>
  <c r="AJ40" i="7"/>
  <c r="AH39" i="7"/>
  <c r="AK39" i="7"/>
  <c r="AI38" i="7"/>
  <c r="V487" i="25" l="1"/>
  <c r="T487" i="25"/>
  <c r="J539" i="25"/>
  <c r="U538" i="25"/>
  <c r="H841" i="25"/>
  <c r="H840" i="25"/>
  <c r="H2169" i="25"/>
  <c r="H978" i="25"/>
  <c r="H805" i="25"/>
  <c r="H809" i="25"/>
  <c r="H815" i="25"/>
  <c r="H823" i="25"/>
  <c r="H808" i="25"/>
  <c r="H825" i="25"/>
  <c r="H814" i="25"/>
  <c r="H822" i="25"/>
  <c r="H810" i="25"/>
  <c r="H820" i="25"/>
  <c r="H1057" i="25"/>
  <c r="H818" i="25"/>
  <c r="H824" i="25"/>
  <c r="H816" i="25"/>
  <c r="H812" i="25"/>
  <c r="H3570" i="25"/>
  <c r="H3571" i="25"/>
  <c r="H705" i="25"/>
  <c r="H709" i="25"/>
  <c r="H713" i="25"/>
  <c r="H801" i="25"/>
  <c r="H704" i="25"/>
  <c r="H715" i="25"/>
  <c r="H800" i="25"/>
  <c r="H827" i="25"/>
  <c r="H707" i="25"/>
  <c r="H803" i="25"/>
  <c r="H833" i="25"/>
  <c r="H837" i="25"/>
  <c r="H804" i="25"/>
  <c r="H1074" i="25"/>
  <c r="H802" i="25"/>
  <c r="H834" i="25"/>
  <c r="H1055" i="25"/>
  <c r="H1076" i="25"/>
  <c r="H799" i="25"/>
  <c r="H1075" i="25"/>
  <c r="H714" i="25"/>
  <c r="H1072" i="25"/>
  <c r="H828" i="25"/>
  <c r="K488" i="25"/>
  <c r="R19" i="21"/>
  <c r="R20" i="21" s="1"/>
  <c r="R23" i="21" s="1"/>
  <c r="Q10" i="22"/>
  <c r="Q11" i="22"/>
  <c r="S705" i="25" l="1"/>
  <c r="I705" i="25"/>
  <c r="I706" i="25" s="1"/>
  <c r="I707" i="25" s="1"/>
  <c r="I708" i="25" s="1"/>
  <c r="I709" i="25" s="1"/>
  <c r="I710" i="25" s="1"/>
  <c r="I711" i="25" s="1"/>
  <c r="I712" i="25" s="1"/>
  <c r="I713" i="25" s="1"/>
  <c r="I714" i="25" s="1"/>
  <c r="I715" i="25" s="1"/>
  <c r="I716" i="25" s="1"/>
  <c r="I717" i="25" s="1"/>
  <c r="I718" i="25" s="1"/>
  <c r="I719" i="25" s="1"/>
  <c r="I720" i="25" s="1"/>
  <c r="I721" i="25" s="1"/>
  <c r="I722" i="25" s="1"/>
  <c r="I723" i="25" s="1"/>
  <c r="I724" i="25" s="1"/>
  <c r="I725" i="25" s="1"/>
  <c r="I726" i="25" s="1"/>
  <c r="I727" i="25" s="1"/>
  <c r="I728" i="25" s="1"/>
  <c r="I729" i="25" s="1"/>
  <c r="I730" i="25" s="1"/>
  <c r="I731" i="25" s="1"/>
  <c r="I732" i="25" s="1"/>
  <c r="I733" i="25" s="1"/>
  <c r="I734" i="25" s="1"/>
  <c r="I735" i="25" s="1"/>
  <c r="I736" i="25" s="1"/>
  <c r="I737" i="25" s="1"/>
  <c r="I738" i="25" s="1"/>
  <c r="I739" i="25" s="1"/>
  <c r="I740" i="25" s="1"/>
  <c r="I741" i="25" s="1"/>
  <c r="I742" i="25" s="1"/>
  <c r="I743" i="25" s="1"/>
  <c r="I744" i="25" s="1"/>
  <c r="I745" i="25" s="1"/>
  <c r="I746" i="25" s="1"/>
  <c r="I747" i="25" s="1"/>
  <c r="I748" i="25" s="1"/>
  <c r="I749" i="25" s="1"/>
  <c r="I750" i="25" s="1"/>
  <c r="I751" i="25" s="1"/>
  <c r="I752" i="25" s="1"/>
  <c r="I753" i="25" s="1"/>
  <c r="I754" i="25" s="1"/>
  <c r="I755" i="25" s="1"/>
  <c r="I756" i="25" s="1"/>
  <c r="I757" i="25" s="1"/>
  <c r="I758" i="25" s="1"/>
  <c r="I759" i="25" s="1"/>
  <c r="I760" i="25" s="1"/>
  <c r="I761" i="25" s="1"/>
  <c r="I762" i="25" s="1"/>
  <c r="I763" i="25" s="1"/>
  <c r="I764" i="25" s="1"/>
  <c r="I765" i="25" s="1"/>
  <c r="I766" i="25" s="1"/>
  <c r="I767" i="25" s="1"/>
  <c r="I768" i="25" s="1"/>
  <c r="I769" i="25" s="1"/>
  <c r="I770" i="25" s="1"/>
  <c r="I771" i="25" s="1"/>
  <c r="I772" i="25" s="1"/>
  <c r="I773" i="25" s="1"/>
  <c r="I774" i="25" s="1"/>
  <c r="I775" i="25" s="1"/>
  <c r="I776" i="25" s="1"/>
  <c r="I777" i="25" s="1"/>
  <c r="I778" i="25" s="1"/>
  <c r="I779" i="25" s="1"/>
  <c r="I780" i="25" s="1"/>
  <c r="I781" i="25" s="1"/>
  <c r="I782" i="25" s="1"/>
  <c r="I783" i="25" s="1"/>
  <c r="I784" i="25" s="1"/>
  <c r="I785" i="25" s="1"/>
  <c r="I786" i="25" s="1"/>
  <c r="I787" i="25" s="1"/>
  <c r="I788" i="25" s="1"/>
  <c r="I789" i="25" s="1"/>
  <c r="I790" i="25" s="1"/>
  <c r="I791" i="25" s="1"/>
  <c r="I792" i="25" s="1"/>
  <c r="I793" i="25" s="1"/>
  <c r="I794" i="25" s="1"/>
  <c r="I795" i="25" s="1"/>
  <c r="I796" i="25" s="1"/>
  <c r="I797" i="25" s="1"/>
  <c r="I798" i="25" s="1"/>
  <c r="I799" i="25" s="1"/>
  <c r="I800" i="25" s="1"/>
  <c r="I801" i="25" s="1"/>
  <c r="I802" i="25" s="1"/>
  <c r="I803" i="25" s="1"/>
  <c r="I804" i="25" s="1"/>
  <c r="I805" i="25" s="1"/>
  <c r="I806" i="25" s="1"/>
  <c r="I807" i="25" s="1"/>
  <c r="I808" i="25" s="1"/>
  <c r="I809" i="25" s="1"/>
  <c r="I810" i="25" s="1"/>
  <c r="I811" i="25" s="1"/>
  <c r="I812" i="25" s="1"/>
  <c r="I813" i="25" s="1"/>
  <c r="I814" i="25" s="1"/>
  <c r="I815" i="25" s="1"/>
  <c r="I816" i="25" s="1"/>
  <c r="I817" i="25" s="1"/>
  <c r="I818" i="25" s="1"/>
  <c r="I819" i="25" s="1"/>
  <c r="I820" i="25" s="1"/>
  <c r="I821" i="25" s="1"/>
  <c r="I822" i="25" s="1"/>
  <c r="I823" i="25" s="1"/>
  <c r="I824" i="25" s="1"/>
  <c r="I825" i="25" s="1"/>
  <c r="I826" i="25" s="1"/>
  <c r="I827" i="25" s="1"/>
  <c r="I828" i="25" s="1"/>
  <c r="I829" i="25" s="1"/>
  <c r="I830" i="25" s="1"/>
  <c r="I831" i="25" s="1"/>
  <c r="I832" i="25" s="1"/>
  <c r="I833" i="25" s="1"/>
  <c r="I834" i="25" s="1"/>
  <c r="I835" i="25" s="1"/>
  <c r="I836" i="25" s="1"/>
  <c r="I837" i="25" s="1"/>
  <c r="I838" i="25" s="1"/>
  <c r="I839" i="25" s="1"/>
  <c r="I840" i="25" s="1"/>
  <c r="I841" i="25" s="1"/>
  <c r="I842" i="25" s="1"/>
  <c r="I843" i="25" s="1"/>
  <c r="I844" i="25" s="1"/>
  <c r="I845" i="25" s="1"/>
  <c r="I846" i="25" s="1"/>
  <c r="I847" i="25" s="1"/>
  <c r="I848" i="25" s="1"/>
  <c r="I849" i="25" s="1"/>
  <c r="I850" i="25" s="1"/>
  <c r="I851" i="25" s="1"/>
  <c r="I852" i="25" s="1"/>
  <c r="I853" i="25" s="1"/>
  <c r="I854" i="25" s="1"/>
  <c r="I855" i="25" s="1"/>
  <c r="I856" i="25" s="1"/>
  <c r="I857" i="25" s="1"/>
  <c r="I858" i="25" s="1"/>
  <c r="I859" i="25" s="1"/>
  <c r="I860" i="25" s="1"/>
  <c r="I861" i="25" s="1"/>
  <c r="I862" i="25" s="1"/>
  <c r="I863" i="25" s="1"/>
  <c r="I864" i="25" s="1"/>
  <c r="I865" i="25" s="1"/>
  <c r="I866" i="25" s="1"/>
  <c r="I867" i="25" s="1"/>
  <c r="I868" i="25" s="1"/>
  <c r="I869" i="25" s="1"/>
  <c r="I870" i="25" s="1"/>
  <c r="I871" i="25" s="1"/>
  <c r="I872" i="25" s="1"/>
  <c r="I873" i="25" s="1"/>
  <c r="I874" i="25" s="1"/>
  <c r="I875" i="25" s="1"/>
  <c r="I876" i="25" s="1"/>
  <c r="I877" i="25" s="1"/>
  <c r="I878" i="25" s="1"/>
  <c r="I879" i="25" s="1"/>
  <c r="I880" i="25" s="1"/>
  <c r="I881" i="25" s="1"/>
  <c r="I882" i="25" s="1"/>
  <c r="I883" i="25" s="1"/>
  <c r="I884" i="25" s="1"/>
  <c r="I885" i="25" s="1"/>
  <c r="I886" i="25" s="1"/>
  <c r="I887" i="25" s="1"/>
  <c r="I888" i="25" s="1"/>
  <c r="I889" i="25" s="1"/>
  <c r="I890" i="25" s="1"/>
  <c r="I891" i="25" s="1"/>
  <c r="I892" i="25" s="1"/>
  <c r="I893" i="25" s="1"/>
  <c r="I894" i="25" s="1"/>
  <c r="I895" i="25" s="1"/>
  <c r="I896" i="25" s="1"/>
  <c r="I897" i="25" s="1"/>
  <c r="I898" i="25" s="1"/>
  <c r="I899" i="25" s="1"/>
  <c r="I900" i="25" s="1"/>
  <c r="I901" i="25" s="1"/>
  <c r="I902" i="25" s="1"/>
  <c r="I903" i="25" s="1"/>
  <c r="I904" i="25" s="1"/>
  <c r="I905" i="25" s="1"/>
  <c r="I906" i="25" s="1"/>
  <c r="I907" i="25" s="1"/>
  <c r="I908" i="25" s="1"/>
  <c r="I909" i="25" s="1"/>
  <c r="I910" i="25" s="1"/>
  <c r="I911" i="25" s="1"/>
  <c r="I912" i="25" s="1"/>
  <c r="I913" i="25" s="1"/>
  <c r="I914" i="25" s="1"/>
  <c r="I915" i="25" s="1"/>
  <c r="I916" i="25" s="1"/>
  <c r="I917" i="25" s="1"/>
  <c r="I918" i="25" s="1"/>
  <c r="I919" i="25" s="1"/>
  <c r="I920" i="25" s="1"/>
  <c r="I921" i="25" s="1"/>
  <c r="I922" i="25" s="1"/>
  <c r="I923" i="25" s="1"/>
  <c r="I924" i="25" s="1"/>
  <c r="I925" i="25" s="1"/>
  <c r="I926" i="25" s="1"/>
  <c r="I927" i="25" s="1"/>
  <c r="I928" i="25" s="1"/>
  <c r="I929" i="25" s="1"/>
  <c r="I930" i="25" s="1"/>
  <c r="I931" i="25" s="1"/>
  <c r="I932" i="25" s="1"/>
  <c r="I933" i="25" s="1"/>
  <c r="I934" i="25" s="1"/>
  <c r="I935" i="25" s="1"/>
  <c r="I936" i="25" s="1"/>
  <c r="I937" i="25" s="1"/>
  <c r="I938" i="25" s="1"/>
  <c r="I939" i="25" s="1"/>
  <c r="I940" i="25" s="1"/>
  <c r="I941" i="25" s="1"/>
  <c r="I942" i="25" s="1"/>
  <c r="I943" i="25" s="1"/>
  <c r="I944" i="25" s="1"/>
  <c r="I945" i="25" s="1"/>
  <c r="I946" i="25" s="1"/>
  <c r="I947" i="25" s="1"/>
  <c r="I948" i="25" s="1"/>
  <c r="I949" i="25" s="1"/>
  <c r="I950" i="25" s="1"/>
  <c r="I951" i="25" s="1"/>
  <c r="I952" i="25" s="1"/>
  <c r="I953" i="25" s="1"/>
  <c r="I954" i="25" s="1"/>
  <c r="I955" i="25" s="1"/>
  <c r="I956" i="25" s="1"/>
  <c r="I957" i="25" s="1"/>
  <c r="I958" i="25" s="1"/>
  <c r="I959" i="25" s="1"/>
  <c r="I960" i="25" s="1"/>
  <c r="I961" i="25" s="1"/>
  <c r="I962" i="25" s="1"/>
  <c r="I963" i="25" s="1"/>
  <c r="I964" i="25" s="1"/>
  <c r="I965" i="25" s="1"/>
  <c r="I966" i="25" s="1"/>
  <c r="I967" i="25" s="1"/>
  <c r="I968" i="25" s="1"/>
  <c r="I969" i="25" s="1"/>
  <c r="I970" i="25" s="1"/>
  <c r="I971" i="25" s="1"/>
  <c r="I972" i="25" s="1"/>
  <c r="I973" i="25" s="1"/>
  <c r="I974" i="25" s="1"/>
  <c r="I975" i="25" s="1"/>
  <c r="I976" i="25" s="1"/>
  <c r="I977" i="25" s="1"/>
  <c r="I978" i="25" s="1"/>
  <c r="I979" i="25" s="1"/>
  <c r="I980" i="25" s="1"/>
  <c r="I981" i="25" s="1"/>
  <c r="I982" i="25" s="1"/>
  <c r="I983" i="25" s="1"/>
  <c r="I984" i="25" s="1"/>
  <c r="I985" i="25" s="1"/>
  <c r="I986" i="25" s="1"/>
  <c r="I987" i="25" s="1"/>
  <c r="I988" i="25" s="1"/>
  <c r="I989" i="25" s="1"/>
  <c r="I990" i="25" s="1"/>
  <c r="I991" i="25" s="1"/>
  <c r="I992" i="25" s="1"/>
  <c r="I993" i="25" s="1"/>
  <c r="I994" i="25" s="1"/>
  <c r="I995" i="25" s="1"/>
  <c r="I996" i="25" s="1"/>
  <c r="I997" i="25" s="1"/>
  <c r="I998" i="25" s="1"/>
  <c r="I999" i="25" s="1"/>
  <c r="I1000" i="25" s="1"/>
  <c r="I1001" i="25" s="1"/>
  <c r="I1002" i="25" s="1"/>
  <c r="I1003" i="25" s="1"/>
  <c r="I1004" i="25" s="1"/>
  <c r="I1005" i="25" s="1"/>
  <c r="I1006" i="25" s="1"/>
  <c r="I1007" i="25" s="1"/>
  <c r="I1008" i="25" s="1"/>
  <c r="I1009" i="25" s="1"/>
  <c r="I1010" i="25" s="1"/>
  <c r="I1011" i="25" s="1"/>
  <c r="I1012" i="25" s="1"/>
  <c r="I1013" i="25" s="1"/>
  <c r="I1014" i="25" s="1"/>
  <c r="I1015" i="25" s="1"/>
  <c r="I1016" i="25" s="1"/>
  <c r="I1017" i="25" s="1"/>
  <c r="I1018" i="25" s="1"/>
  <c r="I1019" i="25" s="1"/>
  <c r="I1020" i="25" s="1"/>
  <c r="I1021" i="25" s="1"/>
  <c r="I1022" i="25" s="1"/>
  <c r="I1023" i="25" s="1"/>
  <c r="I1024" i="25" s="1"/>
  <c r="I1025" i="25" s="1"/>
  <c r="I1026" i="25" s="1"/>
  <c r="I1027" i="25" s="1"/>
  <c r="I1028" i="25" s="1"/>
  <c r="I1029" i="25" s="1"/>
  <c r="I1030" i="25" s="1"/>
  <c r="I1031" i="25" s="1"/>
  <c r="I1032" i="25" s="1"/>
  <c r="I1033" i="25" s="1"/>
  <c r="I1034" i="25" s="1"/>
  <c r="I1035" i="25" s="1"/>
  <c r="I1036" i="25" s="1"/>
  <c r="I1037" i="25" s="1"/>
  <c r="I1038" i="25" s="1"/>
  <c r="I1039" i="25" s="1"/>
  <c r="I1040" i="25" s="1"/>
  <c r="I1041" i="25" s="1"/>
  <c r="I1042" i="25" s="1"/>
  <c r="I1043" i="25" s="1"/>
  <c r="I1044" i="25" s="1"/>
  <c r="I1045" i="25" s="1"/>
  <c r="I1046" i="25" s="1"/>
  <c r="I1047" i="25" s="1"/>
  <c r="I1048" i="25" s="1"/>
  <c r="I1049" i="25" s="1"/>
  <c r="I1050" i="25" s="1"/>
  <c r="I1051" i="25" s="1"/>
  <c r="I1052" i="25" s="1"/>
  <c r="I1053" i="25" s="1"/>
  <c r="I1054" i="25" s="1"/>
  <c r="I1055" i="25" s="1"/>
  <c r="I1056" i="25" s="1"/>
  <c r="I1057" i="25" s="1"/>
  <c r="I1058" i="25" s="1"/>
  <c r="I1059" i="25" s="1"/>
  <c r="I1060" i="25" s="1"/>
  <c r="I1061" i="25" s="1"/>
  <c r="I1062" i="25" s="1"/>
  <c r="I1063" i="25" s="1"/>
  <c r="I1064" i="25" s="1"/>
  <c r="I1065" i="25" s="1"/>
  <c r="I1066" i="25" s="1"/>
  <c r="I1067" i="25" s="1"/>
  <c r="I1068" i="25" s="1"/>
  <c r="I1069" i="25" s="1"/>
  <c r="I1070" i="25" s="1"/>
  <c r="I1071" i="25" s="1"/>
  <c r="I1072" i="25" s="1"/>
  <c r="I1073" i="25" s="1"/>
  <c r="I1074" i="25" s="1"/>
  <c r="I1075" i="25" s="1"/>
  <c r="I1076" i="25" s="1"/>
  <c r="I1077" i="25" s="1"/>
  <c r="I1078" i="25" s="1"/>
  <c r="I1079" i="25" s="1"/>
  <c r="I1080" i="25" s="1"/>
  <c r="I1081" i="25" s="1"/>
  <c r="I1082" i="25" s="1"/>
  <c r="I1083" i="25" s="1"/>
  <c r="I1084" i="25" s="1"/>
  <c r="I1085" i="25" s="1"/>
  <c r="I1086" i="25" s="1"/>
  <c r="I1087" i="25" s="1"/>
  <c r="I1088" i="25" s="1"/>
  <c r="I1089" i="25" s="1"/>
  <c r="I1090" i="25" s="1"/>
  <c r="I1091" i="25" s="1"/>
  <c r="I1092" i="25" s="1"/>
  <c r="I1093" i="25" s="1"/>
  <c r="I1094" i="25" s="1"/>
  <c r="I1095" i="25" s="1"/>
  <c r="I1096" i="25" s="1"/>
  <c r="I1097" i="25" s="1"/>
  <c r="I1098" i="25" s="1"/>
  <c r="I1099" i="25" s="1"/>
  <c r="I1100" i="25" s="1"/>
  <c r="I1101" i="25" s="1"/>
  <c r="I1102" i="25" s="1"/>
  <c r="I1103" i="25" s="1"/>
  <c r="I1104" i="25" s="1"/>
  <c r="I1105" i="25" s="1"/>
  <c r="I1106" i="25" s="1"/>
  <c r="I1107" i="25" s="1"/>
  <c r="I1108" i="25" s="1"/>
  <c r="I1109" i="25" s="1"/>
  <c r="I1110" i="25" s="1"/>
  <c r="I1111" i="25" s="1"/>
  <c r="I1112" i="25" s="1"/>
  <c r="I1113" i="25" s="1"/>
  <c r="I1114" i="25" s="1"/>
  <c r="I1115" i="25" s="1"/>
  <c r="I1116" i="25" s="1"/>
  <c r="I1117" i="25" s="1"/>
  <c r="I1118" i="25" s="1"/>
  <c r="I1119" i="25" s="1"/>
  <c r="I1120" i="25" s="1"/>
  <c r="I1121" i="25" s="1"/>
  <c r="I1122" i="25" s="1"/>
  <c r="I1123" i="25" s="1"/>
  <c r="I1124" i="25" s="1"/>
  <c r="I1125" i="25" s="1"/>
  <c r="I1126" i="25" s="1"/>
  <c r="I1127" i="25" s="1"/>
  <c r="I1128" i="25" s="1"/>
  <c r="I1129" i="25" s="1"/>
  <c r="I1130" i="25" s="1"/>
  <c r="I1131" i="25" s="1"/>
  <c r="I1132" i="25" s="1"/>
  <c r="I1133" i="25" s="1"/>
  <c r="I1134" i="25" s="1"/>
  <c r="I1135" i="25" s="1"/>
  <c r="I1136" i="25" s="1"/>
  <c r="I1137" i="25" s="1"/>
  <c r="I1138" i="25" s="1"/>
  <c r="I1139" i="25" s="1"/>
  <c r="I1140" i="25" s="1"/>
  <c r="I1141" i="25" s="1"/>
  <c r="I1142" i="25" s="1"/>
  <c r="I1143" i="25" s="1"/>
  <c r="I1144" i="25" s="1"/>
  <c r="I1145" i="25" s="1"/>
  <c r="I1146" i="25" s="1"/>
  <c r="I1147" i="25" s="1"/>
  <c r="I1148" i="25" s="1"/>
  <c r="I1149" i="25" s="1"/>
  <c r="I1150" i="25" s="1"/>
  <c r="I1151" i="25" s="1"/>
  <c r="I1152" i="25" s="1"/>
  <c r="I1153" i="25" s="1"/>
  <c r="I1154" i="25" s="1"/>
  <c r="I1155" i="25" s="1"/>
  <c r="I1156" i="25" s="1"/>
  <c r="I1157" i="25" s="1"/>
  <c r="I1158" i="25" s="1"/>
  <c r="I1159" i="25" s="1"/>
  <c r="I1160" i="25" s="1"/>
  <c r="I1161" i="25" s="1"/>
  <c r="I1162" i="25" s="1"/>
  <c r="I1163" i="25" s="1"/>
  <c r="I1164" i="25" s="1"/>
  <c r="I1165" i="25" s="1"/>
  <c r="I1166" i="25" s="1"/>
  <c r="I1167" i="25" s="1"/>
  <c r="I1168" i="25" s="1"/>
  <c r="I1169" i="25" s="1"/>
  <c r="I1170" i="25" s="1"/>
  <c r="I1171" i="25" s="1"/>
  <c r="I1172" i="25" s="1"/>
  <c r="I1173" i="25" s="1"/>
  <c r="I1174" i="25" s="1"/>
  <c r="I1175" i="25" s="1"/>
  <c r="I1176" i="25" s="1"/>
  <c r="I1177" i="25" s="1"/>
  <c r="I1178" i="25" s="1"/>
  <c r="I1179" i="25" s="1"/>
  <c r="I1180" i="25" s="1"/>
  <c r="I1181" i="25" s="1"/>
  <c r="I1182" i="25" s="1"/>
  <c r="I1183" i="25" s="1"/>
  <c r="I1184" i="25" s="1"/>
  <c r="I1185" i="25" s="1"/>
  <c r="I1186" i="25" s="1"/>
  <c r="I1187" i="25" s="1"/>
  <c r="I1188" i="25" s="1"/>
  <c r="I1189" i="25" s="1"/>
  <c r="I1190" i="25" s="1"/>
  <c r="I1191" i="25" s="1"/>
  <c r="I1192" i="25" s="1"/>
  <c r="I1193" i="25" s="1"/>
  <c r="I1194" i="25" s="1"/>
  <c r="I1195" i="25" s="1"/>
  <c r="I1196" i="25" s="1"/>
  <c r="I1197" i="25" s="1"/>
  <c r="I1198" i="25" s="1"/>
  <c r="I1199" i="25" s="1"/>
  <c r="I1200" i="25" s="1"/>
  <c r="I1201" i="25" s="1"/>
  <c r="I1202" i="25" s="1"/>
  <c r="I1203" i="25" s="1"/>
  <c r="I1204" i="25" s="1"/>
  <c r="I1205" i="25" s="1"/>
  <c r="I1206" i="25" s="1"/>
  <c r="I1207" i="25" s="1"/>
  <c r="I1208" i="25" s="1"/>
  <c r="I1209" i="25" s="1"/>
  <c r="I1210" i="25" s="1"/>
  <c r="I1211" i="25" s="1"/>
  <c r="I1212" i="25" s="1"/>
  <c r="I1213" i="25" s="1"/>
  <c r="I1214" i="25" s="1"/>
  <c r="I1215" i="25" s="1"/>
  <c r="I1216" i="25" s="1"/>
  <c r="I1217" i="25" s="1"/>
  <c r="I1218" i="25" s="1"/>
  <c r="I1219" i="25" s="1"/>
  <c r="I1220" i="25" s="1"/>
  <c r="I1221" i="25" s="1"/>
  <c r="I1222" i="25" s="1"/>
  <c r="I1223" i="25" s="1"/>
  <c r="I1224" i="25" s="1"/>
  <c r="I1225" i="25" s="1"/>
  <c r="I1226" i="25" s="1"/>
  <c r="I1227" i="25" s="1"/>
  <c r="I1228" i="25" s="1"/>
  <c r="I1229" i="25" s="1"/>
  <c r="I1230" i="25" s="1"/>
  <c r="I1231" i="25" s="1"/>
  <c r="I1232" i="25" s="1"/>
  <c r="I1233" i="25" s="1"/>
  <c r="I1234" i="25" s="1"/>
  <c r="I1235" i="25" s="1"/>
  <c r="I1236" i="25" s="1"/>
  <c r="I1237" i="25" s="1"/>
  <c r="I1238" i="25" s="1"/>
  <c r="I1239" i="25" s="1"/>
  <c r="I1240" i="25" s="1"/>
  <c r="I1241" i="25" s="1"/>
  <c r="I1242" i="25" s="1"/>
  <c r="I1243" i="25" s="1"/>
  <c r="I1244" i="25" s="1"/>
  <c r="I1245" i="25" s="1"/>
  <c r="I1246" i="25" s="1"/>
  <c r="I1247" i="25" s="1"/>
  <c r="I1248" i="25" s="1"/>
  <c r="I1249" i="25" s="1"/>
  <c r="I1250" i="25" s="1"/>
  <c r="I1251" i="25" s="1"/>
  <c r="I1252" i="25" s="1"/>
  <c r="I1253" i="25" s="1"/>
  <c r="I1254" i="25" s="1"/>
  <c r="I1255" i="25" s="1"/>
  <c r="I1256" i="25" s="1"/>
  <c r="I1257" i="25" s="1"/>
  <c r="I1258" i="25" s="1"/>
  <c r="I1259" i="25" s="1"/>
  <c r="I1260" i="25" s="1"/>
  <c r="I1261" i="25" s="1"/>
  <c r="I1262" i="25" s="1"/>
  <c r="I1263" i="25" s="1"/>
  <c r="I1264" i="25" s="1"/>
  <c r="I1265" i="25" s="1"/>
  <c r="I1266" i="25" s="1"/>
  <c r="I1267" i="25" s="1"/>
  <c r="I1268" i="25" s="1"/>
  <c r="I1269" i="25" s="1"/>
  <c r="I1270" i="25" s="1"/>
  <c r="I1271" i="25" s="1"/>
  <c r="I1272" i="25" s="1"/>
  <c r="I1273" i="25" s="1"/>
  <c r="I1274" i="25" s="1"/>
  <c r="I1275" i="25" s="1"/>
  <c r="I1276" i="25" s="1"/>
  <c r="I1277" i="25" s="1"/>
  <c r="I1278" i="25" s="1"/>
  <c r="I1279" i="25" s="1"/>
  <c r="I1280" i="25" s="1"/>
  <c r="I1281" i="25" s="1"/>
  <c r="I1282" i="25" s="1"/>
  <c r="I1283" i="25" s="1"/>
  <c r="I1284" i="25" s="1"/>
  <c r="I1285" i="25" s="1"/>
  <c r="I1286" i="25" s="1"/>
  <c r="I1287" i="25" s="1"/>
  <c r="I1288" i="25" s="1"/>
  <c r="I1289" i="25" s="1"/>
  <c r="I1290" i="25" s="1"/>
  <c r="I1291" i="25" s="1"/>
  <c r="I1292" i="25" s="1"/>
  <c r="I1293" i="25" s="1"/>
  <c r="I1294" i="25" s="1"/>
  <c r="I1295" i="25" s="1"/>
  <c r="I1296" i="25" s="1"/>
  <c r="I1297" i="25" s="1"/>
  <c r="I1298" i="25" s="1"/>
  <c r="I1299" i="25" s="1"/>
  <c r="I1300" i="25" s="1"/>
  <c r="I1301" i="25" s="1"/>
  <c r="I1302" i="25" s="1"/>
  <c r="I1303" i="25" s="1"/>
  <c r="I1304" i="25" s="1"/>
  <c r="I1305" i="25" s="1"/>
  <c r="I1306" i="25" s="1"/>
  <c r="I1307" i="25" s="1"/>
  <c r="I1308" i="25" s="1"/>
  <c r="I1309" i="25" s="1"/>
  <c r="I1310" i="25" s="1"/>
  <c r="I1311" i="25" s="1"/>
  <c r="I1312" i="25" s="1"/>
  <c r="I1313" i="25" s="1"/>
  <c r="I1314" i="25" s="1"/>
  <c r="I1315" i="25" s="1"/>
  <c r="I1316" i="25" s="1"/>
  <c r="I1317" i="25" s="1"/>
  <c r="I1318" i="25" s="1"/>
  <c r="I1319" i="25" s="1"/>
  <c r="I1320" i="25" s="1"/>
  <c r="I1321" i="25" s="1"/>
  <c r="I1322" i="25" s="1"/>
  <c r="I1323" i="25" s="1"/>
  <c r="I1324" i="25" s="1"/>
  <c r="I1325" i="25" s="1"/>
  <c r="I1326" i="25" s="1"/>
  <c r="I1327" i="25" s="1"/>
  <c r="I1328" i="25" s="1"/>
  <c r="I1329" i="25" s="1"/>
  <c r="I1330" i="25" s="1"/>
  <c r="I1331" i="25" s="1"/>
  <c r="I1332" i="25" s="1"/>
  <c r="I1333" i="25" s="1"/>
  <c r="I1334" i="25" s="1"/>
  <c r="I1335" i="25" s="1"/>
  <c r="I1336" i="25" s="1"/>
  <c r="I1337" i="25" s="1"/>
  <c r="I1338" i="25" s="1"/>
  <c r="I1339" i="25" s="1"/>
  <c r="I1340" i="25" s="1"/>
  <c r="I1341" i="25" s="1"/>
  <c r="I1342" i="25" s="1"/>
  <c r="I1343" i="25" s="1"/>
  <c r="I1344" i="25" s="1"/>
  <c r="I1345" i="25" s="1"/>
  <c r="I1346" i="25" s="1"/>
  <c r="I1347" i="25" s="1"/>
  <c r="I1348" i="25" s="1"/>
  <c r="I1349" i="25" s="1"/>
  <c r="I1350" i="25" s="1"/>
  <c r="I1351" i="25" s="1"/>
  <c r="I1352" i="25" s="1"/>
  <c r="I1353" i="25" s="1"/>
  <c r="I1354" i="25" s="1"/>
  <c r="I1355" i="25" s="1"/>
  <c r="I1356" i="25" s="1"/>
  <c r="I1357" i="25" s="1"/>
  <c r="I1358" i="25" s="1"/>
  <c r="I1359" i="25" s="1"/>
  <c r="I1360" i="25" s="1"/>
  <c r="I1361" i="25" s="1"/>
  <c r="I1362" i="25" s="1"/>
  <c r="I1363" i="25" s="1"/>
  <c r="I1364" i="25" s="1"/>
  <c r="I1365" i="25" s="1"/>
  <c r="I1366" i="25" s="1"/>
  <c r="I1367" i="25" s="1"/>
  <c r="I1368" i="25" s="1"/>
  <c r="I1369" i="25" s="1"/>
  <c r="I1370" i="25" s="1"/>
  <c r="I1371" i="25" s="1"/>
  <c r="I1372" i="25" s="1"/>
  <c r="I1373" i="25" s="1"/>
  <c r="I1374" i="25" s="1"/>
  <c r="I1375" i="25" s="1"/>
  <c r="I1376" i="25" s="1"/>
  <c r="I1377" i="25" s="1"/>
  <c r="I1378" i="25" s="1"/>
  <c r="I1379" i="25" s="1"/>
  <c r="I1380" i="25" s="1"/>
  <c r="I1381" i="25" s="1"/>
  <c r="I1382" i="25" s="1"/>
  <c r="I1383" i="25" s="1"/>
  <c r="I1384" i="25" s="1"/>
  <c r="I1385" i="25" s="1"/>
  <c r="I1386" i="25" s="1"/>
  <c r="I1387" i="25" s="1"/>
  <c r="I1388" i="25" s="1"/>
  <c r="I1389" i="25" s="1"/>
  <c r="I1390" i="25" s="1"/>
  <c r="I1391" i="25" s="1"/>
  <c r="I1392" i="25" s="1"/>
  <c r="I1393" i="25" s="1"/>
  <c r="I1394" i="25" s="1"/>
  <c r="I1395" i="25" s="1"/>
  <c r="I1396" i="25" s="1"/>
  <c r="I1397" i="25" s="1"/>
  <c r="I1398" i="25" s="1"/>
  <c r="I1399" i="25" s="1"/>
  <c r="I1400" i="25" s="1"/>
  <c r="I1401" i="25" s="1"/>
  <c r="I1402" i="25" s="1"/>
  <c r="I1403" i="25" s="1"/>
  <c r="I1404" i="25" s="1"/>
  <c r="I1405" i="25" s="1"/>
  <c r="I1406" i="25" s="1"/>
  <c r="I1407" i="25" s="1"/>
  <c r="I1408" i="25" s="1"/>
  <c r="I1409" i="25" s="1"/>
  <c r="I1410" i="25" s="1"/>
  <c r="I1411" i="25" s="1"/>
  <c r="I1412" i="25" s="1"/>
  <c r="I1413" i="25" s="1"/>
  <c r="I1414" i="25" s="1"/>
  <c r="I1415" i="25" s="1"/>
  <c r="I1416" i="25" s="1"/>
  <c r="I1417" i="25" s="1"/>
  <c r="I1418" i="25" s="1"/>
  <c r="I1419" i="25" s="1"/>
  <c r="I1420" i="25" s="1"/>
  <c r="I1421" i="25" s="1"/>
  <c r="I1422" i="25" s="1"/>
  <c r="I1423" i="25" s="1"/>
  <c r="I1424" i="25" s="1"/>
  <c r="I1425" i="25" s="1"/>
  <c r="I1426" i="25" s="1"/>
  <c r="I1427" i="25" s="1"/>
  <c r="I1428" i="25" s="1"/>
  <c r="I1429" i="25" s="1"/>
  <c r="I1430" i="25" s="1"/>
  <c r="I1431" i="25" s="1"/>
  <c r="I1432" i="25" s="1"/>
  <c r="I1433" i="25" s="1"/>
  <c r="I1434" i="25" s="1"/>
  <c r="I1435" i="25" s="1"/>
  <c r="I1436" i="25" s="1"/>
  <c r="I1437" i="25" s="1"/>
  <c r="I1438" i="25" s="1"/>
  <c r="I1439" i="25" s="1"/>
  <c r="I1440" i="25" s="1"/>
  <c r="I1441" i="25" s="1"/>
  <c r="I1442" i="25" s="1"/>
  <c r="I1443" i="25" s="1"/>
  <c r="I1444" i="25" s="1"/>
  <c r="I1445" i="25" s="1"/>
  <c r="I1446" i="25" s="1"/>
  <c r="I1447" i="25" s="1"/>
  <c r="I1448" i="25" s="1"/>
  <c r="I1449" i="25" s="1"/>
  <c r="I1450" i="25" s="1"/>
  <c r="I1451" i="25" s="1"/>
  <c r="I1452" i="25" s="1"/>
  <c r="I1453" i="25" s="1"/>
  <c r="I1454" i="25" s="1"/>
  <c r="I1455" i="25" s="1"/>
  <c r="I1456" i="25" s="1"/>
  <c r="I1457" i="25" s="1"/>
  <c r="I1458" i="25" s="1"/>
  <c r="I1459" i="25" s="1"/>
  <c r="I1460" i="25" s="1"/>
  <c r="I1461" i="25" s="1"/>
  <c r="I1462" i="25" s="1"/>
  <c r="I1463" i="25" s="1"/>
  <c r="I1464" i="25" s="1"/>
  <c r="I1465" i="25" s="1"/>
  <c r="I1466" i="25" s="1"/>
  <c r="I1467" i="25" s="1"/>
  <c r="I1468" i="25" s="1"/>
  <c r="I1469" i="25" s="1"/>
  <c r="I1470" i="25" s="1"/>
  <c r="I1471" i="25" s="1"/>
  <c r="I1472" i="25" s="1"/>
  <c r="I1473" i="25" s="1"/>
  <c r="I1474" i="25" s="1"/>
  <c r="I1475" i="25" s="1"/>
  <c r="I1476" i="25" s="1"/>
  <c r="I1477" i="25" s="1"/>
  <c r="I1478" i="25" s="1"/>
  <c r="I1479" i="25" s="1"/>
  <c r="I1480" i="25" s="1"/>
  <c r="I1481" i="25" s="1"/>
  <c r="I1482" i="25" s="1"/>
  <c r="I1483" i="25" s="1"/>
  <c r="I1484" i="25" s="1"/>
  <c r="I1485" i="25" s="1"/>
  <c r="I1486" i="25" s="1"/>
  <c r="I1487" i="25" s="1"/>
  <c r="I1488" i="25" s="1"/>
  <c r="I1489" i="25" s="1"/>
  <c r="I1490" i="25" s="1"/>
  <c r="I1491" i="25" s="1"/>
  <c r="I1492" i="25" s="1"/>
  <c r="I1493" i="25" s="1"/>
  <c r="I1494" i="25" s="1"/>
  <c r="I1495" i="25" s="1"/>
  <c r="I1496" i="25" s="1"/>
  <c r="I1497" i="25" s="1"/>
  <c r="I1498" i="25" s="1"/>
  <c r="I1499" i="25" s="1"/>
  <c r="I1500" i="25" s="1"/>
  <c r="I1501" i="25" s="1"/>
  <c r="I1502" i="25" s="1"/>
  <c r="I1503" i="25" s="1"/>
  <c r="I1504" i="25" s="1"/>
  <c r="I1505" i="25" s="1"/>
  <c r="I1506" i="25" s="1"/>
  <c r="I1507" i="25" s="1"/>
  <c r="I1508" i="25" s="1"/>
  <c r="I1509" i="25" s="1"/>
  <c r="I1510" i="25" s="1"/>
  <c r="I1511" i="25" s="1"/>
  <c r="I1512" i="25" s="1"/>
  <c r="I1513" i="25" s="1"/>
  <c r="I1514" i="25" s="1"/>
  <c r="I1515" i="25" s="1"/>
  <c r="I1516" i="25" s="1"/>
  <c r="I1517" i="25" s="1"/>
  <c r="I1518" i="25" s="1"/>
  <c r="I1519" i="25" s="1"/>
  <c r="I1520" i="25" s="1"/>
  <c r="I1521" i="25" s="1"/>
  <c r="I1522" i="25" s="1"/>
  <c r="I1523" i="25" s="1"/>
  <c r="I1524" i="25" s="1"/>
  <c r="I1525" i="25" s="1"/>
  <c r="I1526" i="25" s="1"/>
  <c r="I1527" i="25" s="1"/>
  <c r="I1528" i="25" s="1"/>
  <c r="I1529" i="25" s="1"/>
  <c r="I1530" i="25" s="1"/>
  <c r="I1531" i="25" s="1"/>
  <c r="I1532" i="25" s="1"/>
  <c r="I1533" i="25" s="1"/>
  <c r="I1534" i="25" s="1"/>
  <c r="I1535" i="25" s="1"/>
  <c r="I1536" i="25" s="1"/>
  <c r="I1537" i="25" s="1"/>
  <c r="I1538" i="25" s="1"/>
  <c r="I1539" i="25" s="1"/>
  <c r="I1540" i="25" s="1"/>
  <c r="I1541" i="25" s="1"/>
  <c r="I1542" i="25" s="1"/>
  <c r="I1543" i="25" s="1"/>
  <c r="I1544" i="25" s="1"/>
  <c r="I1545" i="25" s="1"/>
  <c r="I1546" i="25" s="1"/>
  <c r="I1547" i="25" s="1"/>
  <c r="I1548" i="25" s="1"/>
  <c r="I1549" i="25" s="1"/>
  <c r="I1550" i="25" s="1"/>
  <c r="I1551" i="25" s="1"/>
  <c r="I1552" i="25" s="1"/>
  <c r="I1553" i="25" s="1"/>
  <c r="I1554" i="25" s="1"/>
  <c r="I1555" i="25" s="1"/>
  <c r="I1556" i="25" s="1"/>
  <c r="I1557" i="25" s="1"/>
  <c r="I1558" i="25" s="1"/>
  <c r="I1559" i="25" s="1"/>
  <c r="I1560" i="25" s="1"/>
  <c r="I1561" i="25" s="1"/>
  <c r="I1562" i="25" s="1"/>
  <c r="I1563" i="25" s="1"/>
  <c r="I1564" i="25" s="1"/>
  <c r="I1565" i="25" s="1"/>
  <c r="I1566" i="25" s="1"/>
  <c r="I1567" i="25" s="1"/>
  <c r="I1568" i="25" s="1"/>
  <c r="I1569" i="25" s="1"/>
  <c r="I1570" i="25" s="1"/>
  <c r="I1571" i="25" s="1"/>
  <c r="I1572" i="25" s="1"/>
  <c r="I1573" i="25" s="1"/>
  <c r="I1574" i="25" s="1"/>
  <c r="I1575" i="25" s="1"/>
  <c r="I1576" i="25" s="1"/>
  <c r="I1577" i="25" s="1"/>
  <c r="I1578" i="25" s="1"/>
  <c r="I1579" i="25" s="1"/>
  <c r="I1580" i="25" s="1"/>
  <c r="I1581" i="25" s="1"/>
  <c r="I1582" i="25" s="1"/>
  <c r="I1583" i="25" s="1"/>
  <c r="I1584" i="25" s="1"/>
  <c r="I1585" i="25" s="1"/>
  <c r="I1586" i="25" s="1"/>
  <c r="I1587" i="25" s="1"/>
  <c r="I1588" i="25" s="1"/>
  <c r="I1589" i="25" s="1"/>
  <c r="I1590" i="25" s="1"/>
  <c r="I1591" i="25" s="1"/>
  <c r="I1592" i="25" s="1"/>
  <c r="I1593" i="25" s="1"/>
  <c r="I1594" i="25" s="1"/>
  <c r="I1595" i="25" s="1"/>
  <c r="I1596" i="25" s="1"/>
  <c r="I1597" i="25" s="1"/>
  <c r="I1598" i="25" s="1"/>
  <c r="I1599" i="25" s="1"/>
  <c r="I1600" i="25" s="1"/>
  <c r="I1601" i="25" s="1"/>
  <c r="I1602" i="25" s="1"/>
  <c r="I1603" i="25" s="1"/>
  <c r="I1604" i="25" s="1"/>
  <c r="I1605" i="25" s="1"/>
  <c r="I1606" i="25" s="1"/>
  <c r="I1607" i="25" s="1"/>
  <c r="I1608" i="25" s="1"/>
  <c r="I1609" i="25" s="1"/>
  <c r="I1610" i="25" s="1"/>
  <c r="I1611" i="25" s="1"/>
  <c r="I1612" i="25" s="1"/>
  <c r="I1613" i="25" s="1"/>
  <c r="I1614" i="25" s="1"/>
  <c r="I1615" i="25" s="1"/>
  <c r="I1616" i="25" s="1"/>
  <c r="I1617" i="25" s="1"/>
  <c r="I1618" i="25" s="1"/>
  <c r="I1619" i="25" s="1"/>
  <c r="I1620" i="25" s="1"/>
  <c r="I1621" i="25" s="1"/>
  <c r="I1622" i="25" s="1"/>
  <c r="I1623" i="25" s="1"/>
  <c r="I1624" i="25" s="1"/>
  <c r="I1625" i="25" s="1"/>
  <c r="I1626" i="25" s="1"/>
  <c r="I1627" i="25" s="1"/>
  <c r="I1628" i="25" s="1"/>
  <c r="I1629" i="25" s="1"/>
  <c r="I1630" i="25" s="1"/>
  <c r="I1631" i="25" s="1"/>
  <c r="I1632" i="25" s="1"/>
  <c r="I1633" i="25" s="1"/>
  <c r="I1634" i="25" s="1"/>
  <c r="I1635" i="25" s="1"/>
  <c r="I1636" i="25" s="1"/>
  <c r="I1637" i="25" s="1"/>
  <c r="I1638" i="25" s="1"/>
  <c r="I1639" i="25" s="1"/>
  <c r="I1640" i="25" s="1"/>
  <c r="I1641" i="25" s="1"/>
  <c r="I1642" i="25" s="1"/>
  <c r="I1643" i="25" s="1"/>
  <c r="I1644" i="25" s="1"/>
  <c r="I1645" i="25" s="1"/>
  <c r="I1646" i="25" s="1"/>
  <c r="I1647" i="25" s="1"/>
  <c r="I1648" i="25" s="1"/>
  <c r="I1649" i="25" s="1"/>
  <c r="I1650" i="25" s="1"/>
  <c r="I1651" i="25" s="1"/>
  <c r="I1652" i="25" s="1"/>
  <c r="I1653" i="25" s="1"/>
  <c r="I1654" i="25" s="1"/>
  <c r="I1655" i="25" s="1"/>
  <c r="I1656" i="25" s="1"/>
  <c r="I1657" i="25" s="1"/>
  <c r="I1658" i="25" s="1"/>
  <c r="I1659" i="25" s="1"/>
  <c r="I1660" i="25" s="1"/>
  <c r="I1661" i="25" s="1"/>
  <c r="I1662" i="25" s="1"/>
  <c r="I1663" i="25" s="1"/>
  <c r="I1664" i="25" s="1"/>
  <c r="I1665" i="25" s="1"/>
  <c r="I1666" i="25" s="1"/>
  <c r="I1667" i="25" s="1"/>
  <c r="I1668" i="25" s="1"/>
  <c r="I1669" i="25" s="1"/>
  <c r="I1670" i="25" s="1"/>
  <c r="I1671" i="25" s="1"/>
  <c r="I1672" i="25" s="1"/>
  <c r="I1673" i="25" s="1"/>
  <c r="I1674" i="25" s="1"/>
  <c r="I1675" i="25" s="1"/>
  <c r="I1676" i="25" s="1"/>
  <c r="I1677" i="25" s="1"/>
  <c r="I1678" i="25" s="1"/>
  <c r="I1679" i="25" s="1"/>
  <c r="I1680" i="25" s="1"/>
  <c r="I1681" i="25" s="1"/>
  <c r="I1682" i="25" s="1"/>
  <c r="I1683" i="25" s="1"/>
  <c r="I1684" i="25" s="1"/>
  <c r="I1685" i="25" s="1"/>
  <c r="I1686" i="25" s="1"/>
  <c r="I1687" i="25" s="1"/>
  <c r="I1688" i="25" s="1"/>
  <c r="I1689" i="25" s="1"/>
  <c r="I1690" i="25" s="1"/>
  <c r="I1691" i="25" s="1"/>
  <c r="I1692" i="25" s="1"/>
  <c r="I1693" i="25" s="1"/>
  <c r="I1694" i="25" s="1"/>
  <c r="I1695" i="25" s="1"/>
  <c r="I1696" i="25" s="1"/>
  <c r="I1697" i="25" s="1"/>
  <c r="I1698" i="25" s="1"/>
  <c r="I1699" i="25" s="1"/>
  <c r="I1700" i="25" s="1"/>
  <c r="I1701" i="25" s="1"/>
  <c r="I1702" i="25" s="1"/>
  <c r="I1703" i="25" s="1"/>
  <c r="I1704" i="25" s="1"/>
  <c r="I1705" i="25" s="1"/>
  <c r="I1706" i="25" s="1"/>
  <c r="I1707" i="25" s="1"/>
  <c r="I1708" i="25" s="1"/>
  <c r="I1709" i="25" s="1"/>
  <c r="I1710" i="25" s="1"/>
  <c r="I1711" i="25" s="1"/>
  <c r="I1712" i="25" s="1"/>
  <c r="I1713" i="25" s="1"/>
  <c r="I1714" i="25" s="1"/>
  <c r="I1715" i="25" s="1"/>
  <c r="I1716" i="25" s="1"/>
  <c r="I1717" i="25" s="1"/>
  <c r="I1718" i="25" s="1"/>
  <c r="I1719" i="25" s="1"/>
  <c r="I1720" i="25" s="1"/>
  <c r="I1721" i="25" s="1"/>
  <c r="I1722" i="25" s="1"/>
  <c r="I1723" i="25" s="1"/>
  <c r="I1724" i="25" s="1"/>
  <c r="I1725" i="25" s="1"/>
  <c r="I1726" i="25" s="1"/>
  <c r="I1727" i="25" s="1"/>
  <c r="I1728" i="25" s="1"/>
  <c r="I1729" i="25" s="1"/>
  <c r="I1730" i="25" s="1"/>
  <c r="I1731" i="25" s="1"/>
  <c r="I1732" i="25" s="1"/>
  <c r="I1733" i="25" s="1"/>
  <c r="I1734" i="25" s="1"/>
  <c r="I1735" i="25" s="1"/>
  <c r="I1736" i="25" s="1"/>
  <c r="I1737" i="25" s="1"/>
  <c r="I1738" i="25" s="1"/>
  <c r="I1739" i="25" s="1"/>
  <c r="I1740" i="25" s="1"/>
  <c r="I1741" i="25" s="1"/>
  <c r="I1742" i="25" s="1"/>
  <c r="I1743" i="25" s="1"/>
  <c r="I1744" i="25" s="1"/>
  <c r="I1745" i="25" s="1"/>
  <c r="I1746" i="25" s="1"/>
  <c r="I1747" i="25" s="1"/>
  <c r="I1748" i="25" s="1"/>
  <c r="I1749" i="25" s="1"/>
  <c r="I1750" i="25" s="1"/>
  <c r="I1751" i="25" s="1"/>
  <c r="I1752" i="25" s="1"/>
  <c r="I1753" i="25" s="1"/>
  <c r="I1754" i="25" s="1"/>
  <c r="I1755" i="25" s="1"/>
  <c r="I1756" i="25" s="1"/>
  <c r="I1757" i="25" s="1"/>
  <c r="I1758" i="25" s="1"/>
  <c r="I1759" i="25" s="1"/>
  <c r="I1760" i="25" s="1"/>
  <c r="I1761" i="25" s="1"/>
  <c r="I1762" i="25" s="1"/>
  <c r="I1763" i="25" s="1"/>
  <c r="I1764" i="25" s="1"/>
  <c r="I1765" i="25" s="1"/>
  <c r="I1766" i="25" s="1"/>
  <c r="I1767" i="25" s="1"/>
  <c r="I1768" i="25" s="1"/>
  <c r="I1769" i="25" s="1"/>
  <c r="I1770" i="25" s="1"/>
  <c r="I1771" i="25" s="1"/>
  <c r="I1772" i="25" s="1"/>
  <c r="I1773" i="25" s="1"/>
  <c r="I1774" i="25" s="1"/>
  <c r="I1775" i="25" s="1"/>
  <c r="I1776" i="25" s="1"/>
  <c r="I1777" i="25" s="1"/>
  <c r="I1778" i="25" s="1"/>
  <c r="I1779" i="25" s="1"/>
  <c r="I1780" i="25" s="1"/>
  <c r="I1781" i="25" s="1"/>
  <c r="I1782" i="25" s="1"/>
  <c r="I1783" i="25" s="1"/>
  <c r="I1784" i="25" s="1"/>
  <c r="I1785" i="25" s="1"/>
  <c r="I1786" i="25" s="1"/>
  <c r="I1787" i="25" s="1"/>
  <c r="I1788" i="25" s="1"/>
  <c r="I1789" i="25" s="1"/>
  <c r="I1790" i="25" s="1"/>
  <c r="I1791" i="25" s="1"/>
  <c r="I1792" i="25" s="1"/>
  <c r="I1793" i="25" s="1"/>
  <c r="I1794" i="25" s="1"/>
  <c r="I1795" i="25" s="1"/>
  <c r="I1796" i="25" s="1"/>
  <c r="I1797" i="25" s="1"/>
  <c r="I1798" i="25" s="1"/>
  <c r="I1799" i="25" s="1"/>
  <c r="I1800" i="25" s="1"/>
  <c r="I1801" i="25" s="1"/>
  <c r="I1802" i="25" s="1"/>
  <c r="I1803" i="25" s="1"/>
  <c r="I1804" i="25" s="1"/>
  <c r="I1805" i="25" s="1"/>
  <c r="I1806" i="25" s="1"/>
  <c r="I1807" i="25" s="1"/>
  <c r="I1808" i="25" s="1"/>
  <c r="I1809" i="25" s="1"/>
  <c r="I1810" i="25" s="1"/>
  <c r="I1811" i="25" s="1"/>
  <c r="I1812" i="25" s="1"/>
  <c r="I1813" i="25" s="1"/>
  <c r="I1814" i="25" s="1"/>
  <c r="I1815" i="25" s="1"/>
  <c r="I1816" i="25" s="1"/>
  <c r="I1817" i="25" s="1"/>
  <c r="I1818" i="25" s="1"/>
  <c r="I1819" i="25" s="1"/>
  <c r="I1820" i="25" s="1"/>
  <c r="I1821" i="25" s="1"/>
  <c r="I1822" i="25" s="1"/>
  <c r="I1823" i="25" s="1"/>
  <c r="I1824" i="25" s="1"/>
  <c r="I1825" i="25" s="1"/>
  <c r="I1826" i="25" s="1"/>
  <c r="I1827" i="25" s="1"/>
  <c r="I1828" i="25" s="1"/>
  <c r="I1829" i="25" s="1"/>
  <c r="I1830" i="25" s="1"/>
  <c r="I1831" i="25" s="1"/>
  <c r="I1832" i="25" s="1"/>
  <c r="I1833" i="25" s="1"/>
  <c r="I1834" i="25" s="1"/>
  <c r="I1835" i="25" s="1"/>
  <c r="I1836" i="25" s="1"/>
  <c r="I1837" i="25" s="1"/>
  <c r="I1838" i="25" s="1"/>
  <c r="I1839" i="25" s="1"/>
  <c r="I1840" i="25" s="1"/>
  <c r="I1841" i="25" s="1"/>
  <c r="I1842" i="25" s="1"/>
  <c r="I1843" i="25" s="1"/>
  <c r="I1844" i="25" s="1"/>
  <c r="I1845" i="25" s="1"/>
  <c r="I1846" i="25" s="1"/>
  <c r="I1847" i="25" s="1"/>
  <c r="I1848" i="25" s="1"/>
  <c r="I1849" i="25" s="1"/>
  <c r="I1850" i="25" s="1"/>
  <c r="I1851" i="25" s="1"/>
  <c r="I1852" i="25" s="1"/>
  <c r="I1853" i="25" s="1"/>
  <c r="I1854" i="25" s="1"/>
  <c r="I1855" i="25" s="1"/>
  <c r="I1856" i="25" s="1"/>
  <c r="I1857" i="25" s="1"/>
  <c r="I1858" i="25" s="1"/>
  <c r="I1859" i="25" s="1"/>
  <c r="I1860" i="25" s="1"/>
  <c r="I1861" i="25" s="1"/>
  <c r="I1862" i="25" s="1"/>
  <c r="I1863" i="25" s="1"/>
  <c r="I1864" i="25" s="1"/>
  <c r="I1865" i="25" s="1"/>
  <c r="I1866" i="25" s="1"/>
  <c r="I1867" i="25" s="1"/>
  <c r="I1868" i="25" s="1"/>
  <c r="I1869" i="25" s="1"/>
  <c r="I1870" i="25" s="1"/>
  <c r="I1871" i="25" s="1"/>
  <c r="I1872" i="25" s="1"/>
  <c r="I1873" i="25" s="1"/>
  <c r="I1874" i="25" s="1"/>
  <c r="I1875" i="25" s="1"/>
  <c r="I1876" i="25" s="1"/>
  <c r="I1877" i="25" s="1"/>
  <c r="I1878" i="25" s="1"/>
  <c r="I1879" i="25" s="1"/>
  <c r="I1880" i="25" s="1"/>
  <c r="I1881" i="25" s="1"/>
  <c r="I1882" i="25" s="1"/>
  <c r="I1883" i="25" s="1"/>
  <c r="I1884" i="25" s="1"/>
  <c r="I1885" i="25" s="1"/>
  <c r="I1886" i="25" s="1"/>
  <c r="I1887" i="25" s="1"/>
  <c r="I1888" i="25" s="1"/>
  <c r="I1889" i="25" s="1"/>
  <c r="I1890" i="25" s="1"/>
  <c r="I1891" i="25" s="1"/>
  <c r="I1892" i="25" s="1"/>
  <c r="I1893" i="25" s="1"/>
  <c r="I1894" i="25" s="1"/>
  <c r="I1895" i="25" s="1"/>
  <c r="I1896" i="25" s="1"/>
  <c r="I1897" i="25" s="1"/>
  <c r="I1898" i="25" s="1"/>
  <c r="I1899" i="25" s="1"/>
  <c r="I1900" i="25" s="1"/>
  <c r="I1901" i="25" s="1"/>
  <c r="I1902" i="25" s="1"/>
  <c r="I1903" i="25" s="1"/>
  <c r="I1904" i="25" s="1"/>
  <c r="I1905" i="25" s="1"/>
  <c r="I1906" i="25" s="1"/>
  <c r="I1907" i="25" s="1"/>
  <c r="I1908" i="25" s="1"/>
  <c r="I1909" i="25" s="1"/>
  <c r="I1910" i="25" s="1"/>
  <c r="I1911" i="25" s="1"/>
  <c r="I1912" i="25" s="1"/>
  <c r="I1913" i="25" s="1"/>
  <c r="I1914" i="25" s="1"/>
  <c r="I1915" i="25" s="1"/>
  <c r="I1916" i="25" s="1"/>
  <c r="I1917" i="25" s="1"/>
  <c r="I1918" i="25" s="1"/>
  <c r="I1919" i="25" s="1"/>
  <c r="I1920" i="25" s="1"/>
  <c r="I1921" i="25" s="1"/>
  <c r="I1922" i="25" s="1"/>
  <c r="I1923" i="25" s="1"/>
  <c r="I1924" i="25" s="1"/>
  <c r="I1925" i="25" s="1"/>
  <c r="I1926" i="25" s="1"/>
  <c r="I1927" i="25" s="1"/>
  <c r="I1928" i="25" s="1"/>
  <c r="I1929" i="25" s="1"/>
  <c r="I1930" i="25" s="1"/>
  <c r="I1931" i="25" s="1"/>
  <c r="I1932" i="25" s="1"/>
  <c r="I1933" i="25" s="1"/>
  <c r="I1934" i="25" s="1"/>
  <c r="I1935" i="25" s="1"/>
  <c r="I1936" i="25" s="1"/>
  <c r="I1937" i="25" s="1"/>
  <c r="I1938" i="25" s="1"/>
  <c r="I1939" i="25" s="1"/>
  <c r="I1940" i="25" s="1"/>
  <c r="I1941" i="25" s="1"/>
  <c r="I1942" i="25" s="1"/>
  <c r="I1943" i="25" s="1"/>
  <c r="I1944" i="25" s="1"/>
  <c r="I1945" i="25" s="1"/>
  <c r="I1946" i="25" s="1"/>
  <c r="I1947" i="25" s="1"/>
  <c r="I1948" i="25" s="1"/>
  <c r="I1949" i="25" s="1"/>
  <c r="I1950" i="25" s="1"/>
  <c r="I1951" i="25" s="1"/>
  <c r="I1952" i="25" s="1"/>
  <c r="I1953" i="25" s="1"/>
  <c r="I1954" i="25" s="1"/>
  <c r="I1955" i="25" s="1"/>
  <c r="I1956" i="25" s="1"/>
  <c r="I1957" i="25" s="1"/>
  <c r="I1958" i="25" s="1"/>
  <c r="I1959" i="25" s="1"/>
  <c r="I1960" i="25" s="1"/>
  <c r="I1961" i="25" s="1"/>
  <c r="I1962" i="25" s="1"/>
  <c r="I1963" i="25" s="1"/>
  <c r="I1964" i="25" s="1"/>
  <c r="I1965" i="25" s="1"/>
  <c r="I1966" i="25" s="1"/>
  <c r="I1967" i="25" s="1"/>
  <c r="I1968" i="25" s="1"/>
  <c r="I1969" i="25" s="1"/>
  <c r="I1970" i="25" s="1"/>
  <c r="I1971" i="25" s="1"/>
  <c r="I1972" i="25" s="1"/>
  <c r="I1973" i="25" s="1"/>
  <c r="I1974" i="25" s="1"/>
  <c r="I1975" i="25" s="1"/>
  <c r="I1976" i="25" s="1"/>
  <c r="I1977" i="25" s="1"/>
  <c r="I1978" i="25" s="1"/>
  <c r="I1979" i="25" s="1"/>
  <c r="I1980" i="25" s="1"/>
  <c r="I1981" i="25" s="1"/>
  <c r="I1982" i="25" s="1"/>
  <c r="I1983" i="25" s="1"/>
  <c r="I1984" i="25" s="1"/>
  <c r="I1985" i="25" s="1"/>
  <c r="I1986" i="25" s="1"/>
  <c r="I1987" i="25" s="1"/>
  <c r="I1988" i="25" s="1"/>
  <c r="I1989" i="25" s="1"/>
  <c r="I1990" i="25" s="1"/>
  <c r="I1991" i="25" s="1"/>
  <c r="I1992" i="25" s="1"/>
  <c r="I1993" i="25" s="1"/>
  <c r="I1994" i="25" s="1"/>
  <c r="I1995" i="25" s="1"/>
  <c r="I1996" i="25" s="1"/>
  <c r="I1997" i="25" s="1"/>
  <c r="I1998" i="25" s="1"/>
  <c r="I1999" i="25" s="1"/>
  <c r="I2000" i="25" s="1"/>
  <c r="I2001" i="25" s="1"/>
  <c r="I2002" i="25" s="1"/>
  <c r="I2003" i="25" s="1"/>
  <c r="I2004" i="25" s="1"/>
  <c r="I2005" i="25" s="1"/>
  <c r="I2006" i="25" s="1"/>
  <c r="I2007" i="25" s="1"/>
  <c r="I2008" i="25" s="1"/>
  <c r="I2009" i="25" s="1"/>
  <c r="I2010" i="25" s="1"/>
  <c r="I2011" i="25" s="1"/>
  <c r="I2012" i="25" s="1"/>
  <c r="I2013" i="25" s="1"/>
  <c r="I2014" i="25" s="1"/>
  <c r="I2015" i="25" s="1"/>
  <c r="I2016" i="25" s="1"/>
  <c r="I2017" i="25" s="1"/>
  <c r="I2018" i="25" s="1"/>
  <c r="I2019" i="25" s="1"/>
  <c r="I2020" i="25" s="1"/>
  <c r="I2021" i="25" s="1"/>
  <c r="I2022" i="25" s="1"/>
  <c r="I2023" i="25" s="1"/>
  <c r="I2024" i="25" s="1"/>
  <c r="I2025" i="25" s="1"/>
  <c r="I2026" i="25" s="1"/>
  <c r="I2027" i="25" s="1"/>
  <c r="I2028" i="25" s="1"/>
  <c r="I2029" i="25" s="1"/>
  <c r="I2030" i="25" s="1"/>
  <c r="I2031" i="25" s="1"/>
  <c r="I2032" i="25" s="1"/>
  <c r="I2033" i="25" s="1"/>
  <c r="I2034" i="25" s="1"/>
  <c r="I2035" i="25" s="1"/>
  <c r="I2036" i="25" s="1"/>
  <c r="I2037" i="25" s="1"/>
  <c r="I2038" i="25" s="1"/>
  <c r="I2039" i="25" s="1"/>
  <c r="I2040" i="25" s="1"/>
  <c r="I2041" i="25" s="1"/>
  <c r="I2042" i="25" s="1"/>
  <c r="I2043" i="25" s="1"/>
  <c r="I2044" i="25" s="1"/>
  <c r="I2045" i="25" s="1"/>
  <c r="I2046" i="25" s="1"/>
  <c r="I2047" i="25" s="1"/>
  <c r="I2048" i="25" s="1"/>
  <c r="I2049" i="25" s="1"/>
  <c r="I2050" i="25" s="1"/>
  <c r="I2051" i="25" s="1"/>
  <c r="I2052" i="25" s="1"/>
  <c r="I2053" i="25" s="1"/>
  <c r="I2054" i="25" s="1"/>
  <c r="I2055" i="25" s="1"/>
  <c r="I2056" i="25" s="1"/>
  <c r="I2057" i="25" s="1"/>
  <c r="I2058" i="25" s="1"/>
  <c r="I2059" i="25" s="1"/>
  <c r="I2060" i="25" s="1"/>
  <c r="I2061" i="25" s="1"/>
  <c r="I2062" i="25" s="1"/>
  <c r="I2063" i="25" s="1"/>
  <c r="I2064" i="25" s="1"/>
  <c r="I2065" i="25" s="1"/>
  <c r="I2066" i="25" s="1"/>
  <c r="I2067" i="25" s="1"/>
  <c r="I2068" i="25" s="1"/>
  <c r="I2069" i="25" s="1"/>
  <c r="I2070" i="25" s="1"/>
  <c r="I2071" i="25" s="1"/>
  <c r="I2072" i="25" s="1"/>
  <c r="I2073" i="25" s="1"/>
  <c r="I2074" i="25" s="1"/>
  <c r="I2075" i="25" s="1"/>
  <c r="I2076" i="25" s="1"/>
  <c r="I2077" i="25" s="1"/>
  <c r="I2078" i="25" s="1"/>
  <c r="I2079" i="25" s="1"/>
  <c r="I2080" i="25" s="1"/>
  <c r="I2081" i="25" s="1"/>
  <c r="I2082" i="25" s="1"/>
  <c r="I2083" i="25" s="1"/>
  <c r="I2084" i="25" s="1"/>
  <c r="I2085" i="25" s="1"/>
  <c r="I2086" i="25" s="1"/>
  <c r="I2087" i="25" s="1"/>
  <c r="I2088" i="25" s="1"/>
  <c r="I2089" i="25" s="1"/>
  <c r="I2090" i="25" s="1"/>
  <c r="I2091" i="25" s="1"/>
  <c r="I2092" i="25" s="1"/>
  <c r="I2093" i="25" s="1"/>
  <c r="I2094" i="25" s="1"/>
  <c r="I2095" i="25" s="1"/>
  <c r="I2096" i="25" s="1"/>
  <c r="I2097" i="25" s="1"/>
  <c r="I2098" i="25" s="1"/>
  <c r="I2099" i="25" s="1"/>
  <c r="I2100" i="25" s="1"/>
  <c r="I2101" i="25" s="1"/>
  <c r="I2102" i="25" s="1"/>
  <c r="I2103" i="25" s="1"/>
  <c r="I2104" i="25" s="1"/>
  <c r="I2105" i="25" s="1"/>
  <c r="I2106" i="25" s="1"/>
  <c r="I2107" i="25" s="1"/>
  <c r="I2108" i="25" s="1"/>
  <c r="I2109" i="25" s="1"/>
  <c r="I2110" i="25" s="1"/>
  <c r="I2111" i="25" s="1"/>
  <c r="I2112" i="25" s="1"/>
  <c r="I2113" i="25" s="1"/>
  <c r="I2114" i="25" s="1"/>
  <c r="I2115" i="25" s="1"/>
  <c r="I2116" i="25" s="1"/>
  <c r="I2117" i="25" s="1"/>
  <c r="I2118" i="25" s="1"/>
  <c r="I2119" i="25" s="1"/>
  <c r="I2120" i="25" s="1"/>
  <c r="I2121" i="25" s="1"/>
  <c r="I2122" i="25" s="1"/>
  <c r="I2123" i="25" s="1"/>
  <c r="I2124" i="25" s="1"/>
  <c r="I2125" i="25" s="1"/>
  <c r="I2126" i="25" s="1"/>
  <c r="I2127" i="25" s="1"/>
  <c r="I2128" i="25" s="1"/>
  <c r="I2129" i="25" s="1"/>
  <c r="I2130" i="25" s="1"/>
  <c r="I2131" i="25" s="1"/>
  <c r="I2132" i="25" s="1"/>
  <c r="I2133" i="25" s="1"/>
  <c r="I2134" i="25" s="1"/>
  <c r="I2135" i="25" s="1"/>
  <c r="I2136" i="25" s="1"/>
  <c r="I2137" i="25" s="1"/>
  <c r="I2138" i="25" s="1"/>
  <c r="I2139" i="25" s="1"/>
  <c r="I2140" i="25" s="1"/>
  <c r="I2141" i="25" s="1"/>
  <c r="I2142" i="25" s="1"/>
  <c r="I2143" i="25" s="1"/>
  <c r="I2144" i="25" s="1"/>
  <c r="I2145" i="25" s="1"/>
  <c r="I2146" i="25" s="1"/>
  <c r="I2147" i="25" s="1"/>
  <c r="I2148" i="25" s="1"/>
  <c r="I2149" i="25" s="1"/>
  <c r="I2150" i="25" s="1"/>
  <c r="I2151" i="25" s="1"/>
  <c r="I2152" i="25" s="1"/>
  <c r="I2153" i="25" s="1"/>
  <c r="I2154" i="25" s="1"/>
  <c r="I2155" i="25" s="1"/>
  <c r="I2156" i="25" s="1"/>
  <c r="I2157" i="25" s="1"/>
  <c r="I2158" i="25" s="1"/>
  <c r="I2159" i="25" s="1"/>
  <c r="I2160" i="25" s="1"/>
  <c r="I2161" i="25" s="1"/>
  <c r="I2162" i="25" s="1"/>
  <c r="I2163" i="25" s="1"/>
  <c r="I2164" i="25" s="1"/>
  <c r="I2165" i="25" s="1"/>
  <c r="I2166" i="25" s="1"/>
  <c r="I2167" i="25" s="1"/>
  <c r="I2168" i="25" s="1"/>
  <c r="I2169" i="25" s="1"/>
  <c r="I2170" i="25" s="1"/>
  <c r="I2171" i="25" s="1"/>
  <c r="I2172" i="25" s="1"/>
  <c r="I2173" i="25" s="1"/>
  <c r="I2174" i="25" s="1"/>
  <c r="I2175" i="25" s="1"/>
  <c r="I2176" i="25" s="1"/>
  <c r="I2177" i="25" s="1"/>
  <c r="I2178" i="25" s="1"/>
  <c r="I2179" i="25" s="1"/>
  <c r="I2180" i="25" s="1"/>
  <c r="I2181" i="25" s="1"/>
  <c r="I2182" i="25" s="1"/>
  <c r="I2183" i="25" s="1"/>
  <c r="I2184" i="25" s="1"/>
  <c r="I2185" i="25" s="1"/>
  <c r="I2186" i="25" s="1"/>
  <c r="I2187" i="25" s="1"/>
  <c r="I2188" i="25" s="1"/>
  <c r="I2189" i="25" s="1"/>
  <c r="I2190" i="25" s="1"/>
  <c r="I2191" i="25" s="1"/>
  <c r="I2192" i="25" s="1"/>
  <c r="I2193" i="25" s="1"/>
  <c r="I2194" i="25" s="1"/>
  <c r="I2195" i="25" s="1"/>
  <c r="I2196" i="25" s="1"/>
  <c r="I2197" i="25" s="1"/>
  <c r="I2198" i="25" s="1"/>
  <c r="I2199" i="25" s="1"/>
  <c r="I2200" i="25" s="1"/>
  <c r="I2201" i="25" s="1"/>
  <c r="I2202" i="25" s="1"/>
  <c r="I2203" i="25" s="1"/>
  <c r="I2204" i="25" s="1"/>
  <c r="I2205" i="25" s="1"/>
  <c r="I2206" i="25" s="1"/>
  <c r="I2207" i="25" s="1"/>
  <c r="I2208" i="25" s="1"/>
  <c r="I2209" i="25" s="1"/>
  <c r="I2210" i="25" s="1"/>
  <c r="I2211" i="25" s="1"/>
  <c r="I2212" i="25" s="1"/>
  <c r="I2213" i="25" s="1"/>
  <c r="I2214" i="25" s="1"/>
  <c r="I2215" i="25" s="1"/>
  <c r="I2216" i="25" s="1"/>
  <c r="I2217" i="25" s="1"/>
  <c r="I2218" i="25" s="1"/>
  <c r="I2219" i="25" s="1"/>
  <c r="I2220" i="25" s="1"/>
  <c r="I2221" i="25" s="1"/>
  <c r="I2222" i="25" s="1"/>
  <c r="I2223" i="25" s="1"/>
  <c r="I2224" i="25" s="1"/>
  <c r="I2225" i="25" s="1"/>
  <c r="I2226" i="25" s="1"/>
  <c r="I2227" i="25" s="1"/>
  <c r="I2228" i="25" s="1"/>
  <c r="I2229" i="25" s="1"/>
  <c r="I2230" i="25" s="1"/>
  <c r="I2231" i="25" s="1"/>
  <c r="I2232" i="25" s="1"/>
  <c r="I2233" i="25" s="1"/>
  <c r="I2234" i="25" s="1"/>
  <c r="I2235" i="25" s="1"/>
  <c r="I2236" i="25" s="1"/>
  <c r="I2237" i="25" s="1"/>
  <c r="I2238" i="25" s="1"/>
  <c r="I2239" i="25" s="1"/>
  <c r="I2240" i="25" s="1"/>
  <c r="I2241" i="25" s="1"/>
  <c r="I2242" i="25" s="1"/>
  <c r="I2243" i="25" s="1"/>
  <c r="I2244" i="25" s="1"/>
  <c r="I2245" i="25" s="1"/>
  <c r="I2246" i="25" s="1"/>
  <c r="I2247" i="25" s="1"/>
  <c r="I2248" i="25" s="1"/>
  <c r="I2249" i="25" s="1"/>
  <c r="I2250" i="25" s="1"/>
  <c r="I2251" i="25" s="1"/>
  <c r="I2252" i="25" s="1"/>
  <c r="I2253" i="25" s="1"/>
  <c r="I2254" i="25" s="1"/>
  <c r="I2255" i="25" s="1"/>
  <c r="I2256" i="25" s="1"/>
  <c r="I2257" i="25" s="1"/>
  <c r="I2258" i="25" s="1"/>
  <c r="I2259" i="25" s="1"/>
  <c r="I2260" i="25" s="1"/>
  <c r="I2261" i="25" s="1"/>
  <c r="I2262" i="25" s="1"/>
  <c r="I2263" i="25" s="1"/>
  <c r="I2264" i="25" s="1"/>
  <c r="I2265" i="25" s="1"/>
  <c r="I2266" i="25" s="1"/>
  <c r="I2267" i="25" s="1"/>
  <c r="I2268" i="25" s="1"/>
  <c r="I2269" i="25" s="1"/>
  <c r="I2270" i="25" s="1"/>
  <c r="I2271" i="25" s="1"/>
  <c r="I2272" i="25" s="1"/>
  <c r="I2273" i="25" s="1"/>
  <c r="I2274" i="25" s="1"/>
  <c r="I2275" i="25" s="1"/>
  <c r="I2276" i="25" s="1"/>
  <c r="I2277" i="25" s="1"/>
  <c r="I2278" i="25" s="1"/>
  <c r="I2279" i="25" s="1"/>
  <c r="I2280" i="25" s="1"/>
  <c r="I2281" i="25" s="1"/>
  <c r="I2282" i="25" s="1"/>
  <c r="I2283" i="25" s="1"/>
  <c r="I2284" i="25" s="1"/>
  <c r="I2285" i="25" s="1"/>
  <c r="I2286" i="25" s="1"/>
  <c r="I2287" i="25" s="1"/>
  <c r="I2288" i="25" s="1"/>
  <c r="I2289" i="25" s="1"/>
  <c r="I2290" i="25" s="1"/>
  <c r="I2291" i="25" s="1"/>
  <c r="I2292" i="25" s="1"/>
  <c r="I2293" i="25" s="1"/>
  <c r="I2294" i="25" s="1"/>
  <c r="I2295" i="25" s="1"/>
  <c r="I2296" i="25" s="1"/>
  <c r="I2297" i="25" s="1"/>
  <c r="I2298" i="25" s="1"/>
  <c r="I2299" i="25" s="1"/>
  <c r="I2300" i="25" s="1"/>
  <c r="I2301" i="25" s="1"/>
  <c r="I2302" i="25" s="1"/>
  <c r="I2303" i="25" s="1"/>
  <c r="I2304" i="25" s="1"/>
  <c r="I2305" i="25" s="1"/>
  <c r="I2306" i="25" s="1"/>
  <c r="I2307" i="25" s="1"/>
  <c r="I2308" i="25" s="1"/>
  <c r="I2309" i="25" s="1"/>
  <c r="I2310" i="25" s="1"/>
  <c r="I2311" i="25" s="1"/>
  <c r="I2312" i="25" s="1"/>
  <c r="I2313" i="25" s="1"/>
  <c r="I2314" i="25" s="1"/>
  <c r="I2315" i="25" s="1"/>
  <c r="I2316" i="25" s="1"/>
  <c r="I2317" i="25" s="1"/>
  <c r="I2318" i="25" s="1"/>
  <c r="I2319" i="25" s="1"/>
  <c r="I2320" i="25" s="1"/>
  <c r="I2321" i="25" s="1"/>
  <c r="I2322" i="25" s="1"/>
  <c r="I2323" i="25" s="1"/>
  <c r="I2324" i="25" s="1"/>
  <c r="I2325" i="25" s="1"/>
  <c r="I2326" i="25" s="1"/>
  <c r="I2327" i="25" s="1"/>
  <c r="I2328" i="25" s="1"/>
  <c r="I2329" i="25" s="1"/>
  <c r="I2330" i="25" s="1"/>
  <c r="I2331" i="25" s="1"/>
  <c r="I2332" i="25" s="1"/>
  <c r="I2333" i="25" s="1"/>
  <c r="I2334" i="25" s="1"/>
  <c r="I2335" i="25" s="1"/>
  <c r="I2336" i="25" s="1"/>
  <c r="I2337" i="25" s="1"/>
  <c r="I2338" i="25" s="1"/>
  <c r="I2339" i="25" s="1"/>
  <c r="I2340" i="25" s="1"/>
  <c r="I2341" i="25" s="1"/>
  <c r="I2342" i="25" s="1"/>
  <c r="I2343" i="25" s="1"/>
  <c r="I2344" i="25" s="1"/>
  <c r="I2345" i="25" s="1"/>
  <c r="I2346" i="25" s="1"/>
  <c r="I2347" i="25" s="1"/>
  <c r="I2348" i="25" s="1"/>
  <c r="I2349" i="25" s="1"/>
  <c r="I2350" i="25" s="1"/>
  <c r="I2351" i="25" s="1"/>
  <c r="I2352" i="25" s="1"/>
  <c r="I2353" i="25" s="1"/>
  <c r="I2354" i="25" s="1"/>
  <c r="I2355" i="25" s="1"/>
  <c r="I2356" i="25" s="1"/>
  <c r="I2357" i="25" s="1"/>
  <c r="I2358" i="25" s="1"/>
  <c r="I2359" i="25" s="1"/>
  <c r="I2360" i="25" s="1"/>
  <c r="I2361" i="25" s="1"/>
  <c r="I2362" i="25" s="1"/>
  <c r="I2363" i="25" s="1"/>
  <c r="I2364" i="25" s="1"/>
  <c r="I2365" i="25" s="1"/>
  <c r="I2366" i="25" s="1"/>
  <c r="I2367" i="25" s="1"/>
  <c r="I2368" i="25" s="1"/>
  <c r="I2369" i="25" s="1"/>
  <c r="I2370" i="25" s="1"/>
  <c r="I2371" i="25" s="1"/>
  <c r="I2372" i="25" s="1"/>
  <c r="I2373" i="25" s="1"/>
  <c r="I2374" i="25" s="1"/>
  <c r="I2375" i="25" s="1"/>
  <c r="I2376" i="25" s="1"/>
  <c r="I2377" i="25" s="1"/>
  <c r="I2378" i="25" s="1"/>
  <c r="I2379" i="25" s="1"/>
  <c r="I2380" i="25" s="1"/>
  <c r="I2381" i="25" s="1"/>
  <c r="I2382" i="25" s="1"/>
  <c r="I2383" i="25" s="1"/>
  <c r="I2384" i="25" s="1"/>
  <c r="I2385" i="25" s="1"/>
  <c r="I2386" i="25" s="1"/>
  <c r="I2387" i="25" s="1"/>
  <c r="I2388" i="25" s="1"/>
  <c r="I2389" i="25" s="1"/>
  <c r="I2390" i="25" s="1"/>
  <c r="I2391" i="25" s="1"/>
  <c r="I2392" i="25" s="1"/>
  <c r="I2393" i="25" s="1"/>
  <c r="I2394" i="25" s="1"/>
  <c r="I2395" i="25" s="1"/>
  <c r="I2396" i="25" s="1"/>
  <c r="I2397" i="25" s="1"/>
  <c r="I2398" i="25" s="1"/>
  <c r="I2399" i="25" s="1"/>
  <c r="I2400" i="25" s="1"/>
  <c r="I2401" i="25" s="1"/>
  <c r="I2402" i="25" s="1"/>
  <c r="I2403" i="25" s="1"/>
  <c r="I2404" i="25" s="1"/>
  <c r="I2405" i="25" s="1"/>
  <c r="I2406" i="25" s="1"/>
  <c r="I2407" i="25" s="1"/>
  <c r="I2408" i="25" s="1"/>
  <c r="I2409" i="25" s="1"/>
  <c r="I2410" i="25" s="1"/>
  <c r="I2411" i="25" s="1"/>
  <c r="I2412" i="25" s="1"/>
  <c r="I2413" i="25" s="1"/>
  <c r="I2414" i="25" s="1"/>
  <c r="I2415" i="25" s="1"/>
  <c r="I2416" i="25" s="1"/>
  <c r="I2417" i="25" s="1"/>
  <c r="I2418" i="25" s="1"/>
  <c r="I2419" i="25" s="1"/>
  <c r="I2420" i="25" s="1"/>
  <c r="I2421" i="25" s="1"/>
  <c r="I2422" i="25" s="1"/>
  <c r="I2423" i="25" s="1"/>
  <c r="I2424" i="25" s="1"/>
  <c r="I2425" i="25" s="1"/>
  <c r="I2426" i="25" s="1"/>
  <c r="I2427" i="25" s="1"/>
  <c r="I2428" i="25" s="1"/>
  <c r="I2429" i="25" s="1"/>
  <c r="I2430" i="25" s="1"/>
  <c r="I2431" i="25" s="1"/>
  <c r="I2432" i="25" s="1"/>
  <c r="I2433" i="25" s="1"/>
  <c r="I2434" i="25" s="1"/>
  <c r="I2435" i="25" s="1"/>
  <c r="I2436" i="25" s="1"/>
  <c r="I2437" i="25" s="1"/>
  <c r="I2438" i="25" s="1"/>
  <c r="I2439" i="25" s="1"/>
  <c r="I2440" i="25" s="1"/>
  <c r="I2441" i="25" s="1"/>
  <c r="I2442" i="25" s="1"/>
  <c r="I2443" i="25" s="1"/>
  <c r="I2444" i="25" s="1"/>
  <c r="I2445" i="25" s="1"/>
  <c r="I2446" i="25" s="1"/>
  <c r="I2447" i="25" s="1"/>
  <c r="I2448" i="25" s="1"/>
  <c r="I2449" i="25" s="1"/>
  <c r="I2450" i="25" s="1"/>
  <c r="I2451" i="25" s="1"/>
  <c r="I2452" i="25" s="1"/>
  <c r="I2453" i="25" s="1"/>
  <c r="I2454" i="25" s="1"/>
  <c r="I2455" i="25" s="1"/>
  <c r="I2456" i="25" s="1"/>
  <c r="I2457" i="25" s="1"/>
  <c r="I2458" i="25" s="1"/>
  <c r="I2459" i="25" s="1"/>
  <c r="I2460" i="25" s="1"/>
  <c r="I2461" i="25" s="1"/>
  <c r="I2462" i="25" s="1"/>
  <c r="I2463" i="25" s="1"/>
  <c r="I2464" i="25" s="1"/>
  <c r="I2465" i="25" s="1"/>
  <c r="I2466" i="25" s="1"/>
  <c r="I2467" i="25" s="1"/>
  <c r="I2468" i="25" s="1"/>
  <c r="I2469" i="25" s="1"/>
  <c r="I2470" i="25" s="1"/>
  <c r="I2471" i="25" s="1"/>
  <c r="I2472" i="25" s="1"/>
  <c r="I2473" i="25" s="1"/>
  <c r="I2474" i="25" s="1"/>
  <c r="I2475" i="25" s="1"/>
  <c r="I2476" i="25" s="1"/>
  <c r="I2477" i="25" s="1"/>
  <c r="I2478" i="25" s="1"/>
  <c r="I2479" i="25" s="1"/>
  <c r="I2480" i="25" s="1"/>
  <c r="I2481" i="25" s="1"/>
  <c r="I2482" i="25" s="1"/>
  <c r="I2483" i="25" s="1"/>
  <c r="I2484" i="25" s="1"/>
  <c r="I2485" i="25" s="1"/>
  <c r="I2486" i="25" s="1"/>
  <c r="I2487" i="25" s="1"/>
  <c r="I2488" i="25" s="1"/>
  <c r="I2489" i="25" s="1"/>
  <c r="I2490" i="25" s="1"/>
  <c r="I2491" i="25" s="1"/>
  <c r="I2492" i="25" s="1"/>
  <c r="I2493" i="25" s="1"/>
  <c r="I2494" i="25" s="1"/>
  <c r="I2495" i="25" s="1"/>
  <c r="I2496" i="25" s="1"/>
  <c r="I2497" i="25" s="1"/>
  <c r="I2498" i="25" s="1"/>
  <c r="I2499" i="25" s="1"/>
  <c r="I2500" i="25" s="1"/>
  <c r="I2501" i="25" s="1"/>
  <c r="I2502" i="25" s="1"/>
  <c r="I2503" i="25" s="1"/>
  <c r="I2504" i="25" s="1"/>
  <c r="I2505" i="25" s="1"/>
  <c r="I2506" i="25" s="1"/>
  <c r="I2507" i="25" s="1"/>
  <c r="I2508" i="25" s="1"/>
  <c r="I2509" i="25" s="1"/>
  <c r="I2510" i="25" s="1"/>
  <c r="I2511" i="25" s="1"/>
  <c r="I2512" i="25" s="1"/>
  <c r="I2513" i="25" s="1"/>
  <c r="I2514" i="25" s="1"/>
  <c r="I2515" i="25" s="1"/>
  <c r="I2516" i="25" s="1"/>
  <c r="I2517" i="25" s="1"/>
  <c r="I2518" i="25" s="1"/>
  <c r="I2519" i="25" s="1"/>
  <c r="I2520" i="25" s="1"/>
  <c r="I2521" i="25" s="1"/>
  <c r="I2522" i="25" s="1"/>
  <c r="I2523" i="25" s="1"/>
  <c r="I2524" i="25" s="1"/>
  <c r="I2525" i="25" s="1"/>
  <c r="I2526" i="25" s="1"/>
  <c r="I2527" i="25" s="1"/>
  <c r="I2528" i="25" s="1"/>
  <c r="I2529" i="25" s="1"/>
  <c r="I2530" i="25" s="1"/>
  <c r="I2531" i="25" s="1"/>
  <c r="I2532" i="25" s="1"/>
  <c r="I2533" i="25" s="1"/>
  <c r="I2534" i="25" s="1"/>
  <c r="I2535" i="25" s="1"/>
  <c r="I2536" i="25" s="1"/>
  <c r="I2537" i="25" s="1"/>
  <c r="I2538" i="25" s="1"/>
  <c r="I2539" i="25" s="1"/>
  <c r="I2540" i="25" s="1"/>
  <c r="I2541" i="25" s="1"/>
  <c r="I2542" i="25" s="1"/>
  <c r="I2543" i="25" s="1"/>
  <c r="I2544" i="25" s="1"/>
  <c r="I2545" i="25" s="1"/>
  <c r="I2546" i="25" s="1"/>
  <c r="I2547" i="25" s="1"/>
  <c r="I2548" i="25" s="1"/>
  <c r="I2549" i="25" s="1"/>
  <c r="I2550" i="25" s="1"/>
  <c r="I2551" i="25" s="1"/>
  <c r="I2552" i="25" s="1"/>
  <c r="I2553" i="25" s="1"/>
  <c r="I2554" i="25" s="1"/>
  <c r="I2555" i="25" s="1"/>
  <c r="I2556" i="25" s="1"/>
  <c r="I2557" i="25" s="1"/>
  <c r="I2558" i="25" s="1"/>
  <c r="I2559" i="25" s="1"/>
  <c r="I2560" i="25" s="1"/>
  <c r="I2561" i="25" s="1"/>
  <c r="I2562" i="25" s="1"/>
  <c r="I2563" i="25" s="1"/>
  <c r="I2564" i="25" s="1"/>
  <c r="I2565" i="25" s="1"/>
  <c r="I2566" i="25" s="1"/>
  <c r="I2567" i="25" s="1"/>
  <c r="I2568" i="25" s="1"/>
  <c r="I2569" i="25" s="1"/>
  <c r="I2570" i="25" s="1"/>
  <c r="I2571" i="25" s="1"/>
  <c r="I2572" i="25" s="1"/>
  <c r="I2573" i="25" s="1"/>
  <c r="I2574" i="25" s="1"/>
  <c r="I2575" i="25" s="1"/>
  <c r="I2576" i="25" s="1"/>
  <c r="I2577" i="25" s="1"/>
  <c r="I2578" i="25" s="1"/>
  <c r="I2579" i="25" s="1"/>
  <c r="I2580" i="25" s="1"/>
  <c r="I2581" i="25" s="1"/>
  <c r="I2582" i="25" s="1"/>
  <c r="I2583" i="25" s="1"/>
  <c r="I2584" i="25" s="1"/>
  <c r="I2585" i="25" s="1"/>
  <c r="I2586" i="25" s="1"/>
  <c r="I2587" i="25" s="1"/>
  <c r="I2588" i="25" s="1"/>
  <c r="I2589" i="25" s="1"/>
  <c r="I2590" i="25" s="1"/>
  <c r="I2591" i="25" s="1"/>
  <c r="I2592" i="25" s="1"/>
  <c r="I2593" i="25" s="1"/>
  <c r="I2594" i="25" s="1"/>
  <c r="I2595" i="25" s="1"/>
  <c r="I2596" i="25" s="1"/>
  <c r="I2597" i="25" s="1"/>
  <c r="I2598" i="25" s="1"/>
  <c r="I2599" i="25" s="1"/>
  <c r="I2600" i="25" s="1"/>
  <c r="I2601" i="25" s="1"/>
  <c r="I2602" i="25" s="1"/>
  <c r="I2603" i="25" s="1"/>
  <c r="I2604" i="25" s="1"/>
  <c r="I2605" i="25" s="1"/>
  <c r="I2606" i="25" s="1"/>
  <c r="I2607" i="25" s="1"/>
  <c r="I2608" i="25" s="1"/>
  <c r="I2609" i="25" s="1"/>
  <c r="I2610" i="25" s="1"/>
  <c r="I2611" i="25" s="1"/>
  <c r="I2612" i="25" s="1"/>
  <c r="I2613" i="25" s="1"/>
  <c r="I2614" i="25" s="1"/>
  <c r="I2615" i="25" s="1"/>
  <c r="I2616" i="25" s="1"/>
  <c r="I2617" i="25" s="1"/>
  <c r="I2618" i="25" s="1"/>
  <c r="I2619" i="25" s="1"/>
  <c r="I2620" i="25" s="1"/>
  <c r="I2621" i="25" s="1"/>
  <c r="I2622" i="25" s="1"/>
  <c r="I2623" i="25" s="1"/>
  <c r="I2624" i="25" s="1"/>
  <c r="I2625" i="25" s="1"/>
  <c r="I2626" i="25" s="1"/>
  <c r="I2627" i="25" s="1"/>
  <c r="I2628" i="25" s="1"/>
  <c r="I2629" i="25" s="1"/>
  <c r="I2630" i="25" s="1"/>
  <c r="I2631" i="25" s="1"/>
  <c r="I2632" i="25" s="1"/>
  <c r="I2633" i="25" s="1"/>
  <c r="I2634" i="25" s="1"/>
  <c r="I2635" i="25" s="1"/>
  <c r="I2636" i="25" s="1"/>
  <c r="I2637" i="25" s="1"/>
  <c r="I2638" i="25" s="1"/>
  <c r="I2639" i="25" s="1"/>
  <c r="I2640" i="25" s="1"/>
  <c r="I2641" i="25" s="1"/>
  <c r="I2642" i="25" s="1"/>
  <c r="I2643" i="25" s="1"/>
  <c r="I2644" i="25" s="1"/>
  <c r="I2645" i="25" s="1"/>
  <c r="I2646" i="25" s="1"/>
  <c r="I2647" i="25" s="1"/>
  <c r="I2648" i="25" s="1"/>
  <c r="I2649" i="25" s="1"/>
  <c r="I2650" i="25" s="1"/>
  <c r="I2651" i="25" s="1"/>
  <c r="I2652" i="25" s="1"/>
  <c r="I2653" i="25" s="1"/>
  <c r="I2654" i="25" s="1"/>
  <c r="I2655" i="25" s="1"/>
  <c r="I2656" i="25" s="1"/>
  <c r="I2657" i="25" s="1"/>
  <c r="I2658" i="25" s="1"/>
  <c r="I2659" i="25" s="1"/>
  <c r="I2660" i="25" s="1"/>
  <c r="I2661" i="25" s="1"/>
  <c r="I2662" i="25" s="1"/>
  <c r="I2663" i="25" s="1"/>
  <c r="I2664" i="25" s="1"/>
  <c r="I2665" i="25" s="1"/>
  <c r="I2666" i="25" s="1"/>
  <c r="I2667" i="25" s="1"/>
  <c r="I2668" i="25" s="1"/>
  <c r="I2669" i="25" s="1"/>
  <c r="I2670" i="25" s="1"/>
  <c r="I2671" i="25" s="1"/>
  <c r="I2672" i="25" s="1"/>
  <c r="I2673" i="25" s="1"/>
  <c r="I2674" i="25" s="1"/>
  <c r="I2675" i="25" s="1"/>
  <c r="I2676" i="25" s="1"/>
  <c r="I2677" i="25" s="1"/>
  <c r="I2678" i="25" s="1"/>
  <c r="I2679" i="25" s="1"/>
  <c r="I2680" i="25" s="1"/>
  <c r="I2681" i="25" s="1"/>
  <c r="I2682" i="25" s="1"/>
  <c r="I2683" i="25" s="1"/>
  <c r="I2684" i="25" s="1"/>
  <c r="I2685" i="25" s="1"/>
  <c r="I2686" i="25" s="1"/>
  <c r="I2687" i="25" s="1"/>
  <c r="I2688" i="25" s="1"/>
  <c r="I2689" i="25" s="1"/>
  <c r="I2690" i="25" s="1"/>
  <c r="I2691" i="25" s="1"/>
  <c r="I2692" i="25" s="1"/>
  <c r="I2693" i="25" s="1"/>
  <c r="I2694" i="25" s="1"/>
  <c r="I2695" i="25" s="1"/>
  <c r="I2696" i="25" s="1"/>
  <c r="I2697" i="25" s="1"/>
  <c r="I2698" i="25" s="1"/>
  <c r="I2699" i="25" s="1"/>
  <c r="I2700" i="25" s="1"/>
  <c r="I2701" i="25" s="1"/>
  <c r="I2702" i="25" s="1"/>
  <c r="I2703" i="25" s="1"/>
  <c r="I2704" i="25" s="1"/>
  <c r="I2705" i="25" s="1"/>
  <c r="I2706" i="25" s="1"/>
  <c r="I2707" i="25" s="1"/>
  <c r="I2708" i="25" s="1"/>
  <c r="I2709" i="25" s="1"/>
  <c r="I2710" i="25" s="1"/>
  <c r="I2711" i="25" s="1"/>
  <c r="I2712" i="25" s="1"/>
  <c r="I2713" i="25" s="1"/>
  <c r="I2714" i="25" s="1"/>
  <c r="I2715" i="25" s="1"/>
  <c r="I2716" i="25" s="1"/>
  <c r="I2717" i="25" s="1"/>
  <c r="I2718" i="25" s="1"/>
  <c r="I2719" i="25" s="1"/>
  <c r="I2720" i="25" s="1"/>
  <c r="I2721" i="25" s="1"/>
  <c r="I2722" i="25" s="1"/>
  <c r="I2723" i="25" s="1"/>
  <c r="I2724" i="25" s="1"/>
  <c r="I2725" i="25" s="1"/>
  <c r="I2726" i="25" s="1"/>
  <c r="I2727" i="25" s="1"/>
  <c r="I2728" i="25" s="1"/>
  <c r="I2729" i="25" s="1"/>
  <c r="I2730" i="25" s="1"/>
  <c r="I2731" i="25" s="1"/>
  <c r="I2732" i="25" s="1"/>
  <c r="I2733" i="25" s="1"/>
  <c r="I2734" i="25" s="1"/>
  <c r="I2735" i="25" s="1"/>
  <c r="I2736" i="25" s="1"/>
  <c r="I2737" i="25" s="1"/>
  <c r="I2738" i="25" s="1"/>
  <c r="I2739" i="25" s="1"/>
  <c r="I2740" i="25" s="1"/>
  <c r="I2741" i="25" s="1"/>
  <c r="I2742" i="25" s="1"/>
  <c r="I2743" i="25" s="1"/>
  <c r="I2744" i="25" s="1"/>
  <c r="I2745" i="25" s="1"/>
  <c r="I2746" i="25" s="1"/>
  <c r="I2747" i="25" s="1"/>
  <c r="I2748" i="25" s="1"/>
  <c r="I2749" i="25" s="1"/>
  <c r="I2750" i="25" s="1"/>
  <c r="I2751" i="25" s="1"/>
  <c r="I2752" i="25" s="1"/>
  <c r="I2753" i="25" s="1"/>
  <c r="I2754" i="25" s="1"/>
  <c r="I2755" i="25" s="1"/>
  <c r="I2756" i="25" s="1"/>
  <c r="I2757" i="25" s="1"/>
  <c r="I2758" i="25" s="1"/>
  <c r="I2759" i="25" s="1"/>
  <c r="I2760" i="25" s="1"/>
  <c r="I2761" i="25" s="1"/>
  <c r="I2762" i="25" s="1"/>
  <c r="I2763" i="25" s="1"/>
  <c r="I2764" i="25" s="1"/>
  <c r="I2765" i="25" s="1"/>
  <c r="I2766" i="25" s="1"/>
  <c r="I2767" i="25" s="1"/>
  <c r="I2768" i="25" s="1"/>
  <c r="I2769" i="25" s="1"/>
  <c r="I2770" i="25" s="1"/>
  <c r="I2771" i="25" s="1"/>
  <c r="I2772" i="25" s="1"/>
  <c r="I2773" i="25" s="1"/>
  <c r="I2774" i="25" s="1"/>
  <c r="I2775" i="25" s="1"/>
  <c r="I2776" i="25" s="1"/>
  <c r="I2777" i="25" s="1"/>
  <c r="I2778" i="25" s="1"/>
  <c r="I2779" i="25" s="1"/>
  <c r="I2780" i="25" s="1"/>
  <c r="I2781" i="25" s="1"/>
  <c r="I2782" i="25" s="1"/>
  <c r="I2783" i="25" s="1"/>
  <c r="I2784" i="25" s="1"/>
  <c r="I2785" i="25" s="1"/>
  <c r="I2786" i="25" s="1"/>
  <c r="I2787" i="25" s="1"/>
  <c r="I2788" i="25" s="1"/>
  <c r="I2789" i="25" s="1"/>
  <c r="I2790" i="25" s="1"/>
  <c r="I2791" i="25" s="1"/>
  <c r="I2792" i="25" s="1"/>
  <c r="I2793" i="25" s="1"/>
  <c r="I2794" i="25" s="1"/>
  <c r="I2795" i="25" s="1"/>
  <c r="I2796" i="25" s="1"/>
  <c r="I2797" i="25" s="1"/>
  <c r="I2798" i="25" s="1"/>
  <c r="I2799" i="25" s="1"/>
  <c r="I2800" i="25" s="1"/>
  <c r="I2801" i="25" s="1"/>
  <c r="I2802" i="25" s="1"/>
  <c r="I2803" i="25" s="1"/>
  <c r="I2804" i="25" s="1"/>
  <c r="I2805" i="25" s="1"/>
  <c r="I2806" i="25" s="1"/>
  <c r="I2807" i="25" s="1"/>
  <c r="I2808" i="25" s="1"/>
  <c r="I2809" i="25" s="1"/>
  <c r="I2810" i="25" s="1"/>
  <c r="I2811" i="25" s="1"/>
  <c r="I2812" i="25" s="1"/>
  <c r="I2813" i="25" s="1"/>
  <c r="I2814" i="25" s="1"/>
  <c r="I2815" i="25" s="1"/>
  <c r="I2816" i="25" s="1"/>
  <c r="I2817" i="25" s="1"/>
  <c r="I2818" i="25" s="1"/>
  <c r="I2819" i="25" s="1"/>
  <c r="I2820" i="25" s="1"/>
  <c r="I2821" i="25" s="1"/>
  <c r="I2822" i="25" s="1"/>
  <c r="I2823" i="25" s="1"/>
  <c r="I2824" i="25" s="1"/>
  <c r="I2825" i="25" s="1"/>
  <c r="I2826" i="25" s="1"/>
  <c r="I2827" i="25" s="1"/>
  <c r="I2828" i="25" s="1"/>
  <c r="I2829" i="25" s="1"/>
  <c r="I2830" i="25" s="1"/>
  <c r="I2831" i="25" s="1"/>
  <c r="I2832" i="25" s="1"/>
  <c r="I2833" i="25" s="1"/>
  <c r="I2834" i="25" s="1"/>
  <c r="I2835" i="25" s="1"/>
  <c r="I2836" i="25" s="1"/>
  <c r="I2837" i="25" s="1"/>
  <c r="I2838" i="25" s="1"/>
  <c r="I2839" i="25" s="1"/>
  <c r="I2840" i="25" s="1"/>
  <c r="I2841" i="25" s="1"/>
  <c r="I2842" i="25" s="1"/>
  <c r="I2843" i="25" s="1"/>
  <c r="I2844" i="25" s="1"/>
  <c r="I2845" i="25" s="1"/>
  <c r="I2846" i="25" s="1"/>
  <c r="I2847" i="25" s="1"/>
  <c r="I2848" i="25" s="1"/>
  <c r="I2849" i="25" s="1"/>
  <c r="I2850" i="25" s="1"/>
  <c r="I2851" i="25" s="1"/>
  <c r="I2852" i="25" s="1"/>
  <c r="I2853" i="25" s="1"/>
  <c r="I2854" i="25" s="1"/>
  <c r="I2855" i="25" s="1"/>
  <c r="I2856" i="25" s="1"/>
  <c r="I2857" i="25" s="1"/>
  <c r="I2858" i="25" s="1"/>
  <c r="I2859" i="25" s="1"/>
  <c r="I2860" i="25" s="1"/>
  <c r="I2861" i="25" s="1"/>
  <c r="I2862" i="25" s="1"/>
  <c r="I2863" i="25" s="1"/>
  <c r="I2864" i="25" s="1"/>
  <c r="I2865" i="25" s="1"/>
  <c r="I2866" i="25" s="1"/>
  <c r="I2867" i="25" s="1"/>
  <c r="I2868" i="25" s="1"/>
  <c r="I2869" i="25" s="1"/>
  <c r="I2870" i="25" s="1"/>
  <c r="I2871" i="25" s="1"/>
  <c r="I2872" i="25" s="1"/>
  <c r="I2873" i="25" s="1"/>
  <c r="I2874" i="25" s="1"/>
  <c r="I2875" i="25" s="1"/>
  <c r="I2876" i="25" s="1"/>
  <c r="I2877" i="25" s="1"/>
  <c r="I2878" i="25" s="1"/>
  <c r="I2879" i="25" s="1"/>
  <c r="I2880" i="25" s="1"/>
  <c r="I2881" i="25" s="1"/>
  <c r="I2882" i="25" s="1"/>
  <c r="I2883" i="25" s="1"/>
  <c r="I2884" i="25" s="1"/>
  <c r="I2885" i="25" s="1"/>
  <c r="I2886" i="25" s="1"/>
  <c r="I2887" i="25" s="1"/>
  <c r="I2888" i="25" s="1"/>
  <c r="I2889" i="25" s="1"/>
  <c r="I2890" i="25" s="1"/>
  <c r="I2891" i="25" s="1"/>
  <c r="I2892" i="25" s="1"/>
  <c r="I2893" i="25" s="1"/>
  <c r="I2894" i="25" s="1"/>
  <c r="I2895" i="25" s="1"/>
  <c r="I2896" i="25" s="1"/>
  <c r="I2897" i="25" s="1"/>
  <c r="I2898" i="25" s="1"/>
  <c r="I2899" i="25" s="1"/>
  <c r="I2900" i="25" s="1"/>
  <c r="I2901" i="25" s="1"/>
  <c r="I2902" i="25" s="1"/>
  <c r="I2903" i="25" s="1"/>
  <c r="I2904" i="25" s="1"/>
  <c r="I2905" i="25" s="1"/>
  <c r="I2906" i="25" s="1"/>
  <c r="I2907" i="25" s="1"/>
  <c r="I2908" i="25" s="1"/>
  <c r="I2909" i="25" s="1"/>
  <c r="I2910" i="25" s="1"/>
  <c r="I2911" i="25" s="1"/>
  <c r="I2912" i="25" s="1"/>
  <c r="I2913" i="25" s="1"/>
  <c r="I2914" i="25" s="1"/>
  <c r="I2915" i="25" s="1"/>
  <c r="I2916" i="25" s="1"/>
  <c r="I2917" i="25" s="1"/>
  <c r="I2918" i="25" s="1"/>
  <c r="I2919" i="25" s="1"/>
  <c r="I2920" i="25" s="1"/>
  <c r="I2921" i="25" s="1"/>
  <c r="I2922" i="25" s="1"/>
  <c r="I2923" i="25" s="1"/>
  <c r="I2924" i="25" s="1"/>
  <c r="I2925" i="25" s="1"/>
  <c r="I2926" i="25" s="1"/>
  <c r="I2927" i="25" s="1"/>
  <c r="I2928" i="25" s="1"/>
  <c r="I2929" i="25" s="1"/>
  <c r="I2930" i="25" s="1"/>
  <c r="I2931" i="25" s="1"/>
  <c r="I2932" i="25" s="1"/>
  <c r="I2933" i="25" s="1"/>
  <c r="I2934" i="25" s="1"/>
  <c r="I2935" i="25" s="1"/>
  <c r="I2936" i="25" s="1"/>
  <c r="I2937" i="25" s="1"/>
  <c r="I2938" i="25" s="1"/>
  <c r="I2939" i="25" s="1"/>
  <c r="I2940" i="25" s="1"/>
  <c r="I2941" i="25" s="1"/>
  <c r="I2942" i="25" s="1"/>
  <c r="I2943" i="25" s="1"/>
  <c r="I2944" i="25" s="1"/>
  <c r="I2945" i="25" s="1"/>
  <c r="I2946" i="25" s="1"/>
  <c r="I2947" i="25" s="1"/>
  <c r="I2948" i="25" s="1"/>
  <c r="I2949" i="25" s="1"/>
  <c r="I2950" i="25" s="1"/>
  <c r="I2951" i="25" s="1"/>
  <c r="I2952" i="25" s="1"/>
  <c r="I2953" i="25" s="1"/>
  <c r="I2954" i="25" s="1"/>
  <c r="I2955" i="25" s="1"/>
  <c r="I2956" i="25" s="1"/>
  <c r="I2957" i="25" s="1"/>
  <c r="I2958" i="25" s="1"/>
  <c r="I2959" i="25" s="1"/>
  <c r="I2960" i="25" s="1"/>
  <c r="I2961" i="25" s="1"/>
  <c r="I2962" i="25" s="1"/>
  <c r="I2963" i="25" s="1"/>
  <c r="I2964" i="25" s="1"/>
  <c r="I2965" i="25" s="1"/>
  <c r="I2966" i="25" s="1"/>
  <c r="I2967" i="25" s="1"/>
  <c r="I2968" i="25" s="1"/>
  <c r="I2969" i="25" s="1"/>
  <c r="I2970" i="25" s="1"/>
  <c r="I2971" i="25" s="1"/>
  <c r="I2972" i="25" s="1"/>
  <c r="I2973" i="25" s="1"/>
  <c r="I2974" i="25" s="1"/>
  <c r="I2975" i="25" s="1"/>
  <c r="I2976" i="25" s="1"/>
  <c r="I2977" i="25" s="1"/>
  <c r="I2978" i="25" s="1"/>
  <c r="I2979" i="25" s="1"/>
  <c r="I2980" i="25" s="1"/>
  <c r="I2981" i="25" s="1"/>
  <c r="I2982" i="25" s="1"/>
  <c r="I2983" i="25" s="1"/>
  <c r="I2984" i="25" s="1"/>
  <c r="I2985" i="25" s="1"/>
  <c r="I2986" i="25" s="1"/>
  <c r="I2987" i="25" s="1"/>
  <c r="I2988" i="25" s="1"/>
  <c r="I2989" i="25" s="1"/>
  <c r="I2990" i="25" s="1"/>
  <c r="I2991" i="25" s="1"/>
  <c r="I2992" i="25" s="1"/>
  <c r="I2993" i="25" s="1"/>
  <c r="I2994" i="25" s="1"/>
  <c r="I2995" i="25" s="1"/>
  <c r="I2996" i="25" s="1"/>
  <c r="I2997" i="25" s="1"/>
  <c r="I2998" i="25" s="1"/>
  <c r="I2999" i="25" s="1"/>
  <c r="I3000" i="25" s="1"/>
  <c r="I3001" i="25" s="1"/>
  <c r="I3002" i="25" s="1"/>
  <c r="I3003" i="25" s="1"/>
  <c r="I3004" i="25" s="1"/>
  <c r="I3005" i="25" s="1"/>
  <c r="I3006" i="25" s="1"/>
  <c r="I3007" i="25" s="1"/>
  <c r="I3008" i="25" s="1"/>
  <c r="I3009" i="25" s="1"/>
  <c r="I3010" i="25" s="1"/>
  <c r="I3011" i="25" s="1"/>
  <c r="I3012" i="25" s="1"/>
  <c r="I3013" i="25" s="1"/>
  <c r="I3014" i="25" s="1"/>
  <c r="I3015" i="25" s="1"/>
  <c r="I3016" i="25" s="1"/>
  <c r="I3017" i="25" s="1"/>
  <c r="I3018" i="25" s="1"/>
  <c r="I3019" i="25" s="1"/>
  <c r="I3020" i="25" s="1"/>
  <c r="I3021" i="25" s="1"/>
  <c r="I3022" i="25" s="1"/>
  <c r="I3023" i="25" s="1"/>
  <c r="I3024" i="25" s="1"/>
  <c r="I3025" i="25" s="1"/>
  <c r="I3026" i="25" s="1"/>
  <c r="I3027" i="25" s="1"/>
  <c r="I3028" i="25" s="1"/>
  <c r="I3029" i="25" s="1"/>
  <c r="I3030" i="25" s="1"/>
  <c r="I3031" i="25" s="1"/>
  <c r="I3032" i="25" s="1"/>
  <c r="I3033" i="25" s="1"/>
  <c r="I3034" i="25" s="1"/>
  <c r="I3035" i="25" s="1"/>
  <c r="I3036" i="25" s="1"/>
  <c r="I3037" i="25" s="1"/>
  <c r="I3038" i="25" s="1"/>
  <c r="I3039" i="25" s="1"/>
  <c r="I3040" i="25" s="1"/>
  <c r="I3041" i="25" s="1"/>
  <c r="I3042" i="25" s="1"/>
  <c r="I3043" i="25" s="1"/>
  <c r="I3044" i="25" s="1"/>
  <c r="I3045" i="25" s="1"/>
  <c r="I3046" i="25" s="1"/>
  <c r="I3047" i="25" s="1"/>
  <c r="I3048" i="25" s="1"/>
  <c r="I3049" i="25" s="1"/>
  <c r="I3050" i="25" s="1"/>
  <c r="I3051" i="25" s="1"/>
  <c r="I3052" i="25" s="1"/>
  <c r="I3053" i="25" s="1"/>
  <c r="I3054" i="25" s="1"/>
  <c r="I3055" i="25" s="1"/>
  <c r="I3056" i="25" s="1"/>
  <c r="I3057" i="25" s="1"/>
  <c r="I3058" i="25" s="1"/>
  <c r="I3059" i="25" s="1"/>
  <c r="I3060" i="25" s="1"/>
  <c r="I3061" i="25" s="1"/>
  <c r="I3062" i="25" s="1"/>
  <c r="I3063" i="25" s="1"/>
  <c r="I3064" i="25" s="1"/>
  <c r="I3065" i="25" s="1"/>
  <c r="I3066" i="25" s="1"/>
  <c r="I3067" i="25" s="1"/>
  <c r="I3068" i="25" s="1"/>
  <c r="I3069" i="25" s="1"/>
  <c r="I3070" i="25" s="1"/>
  <c r="I3071" i="25" s="1"/>
  <c r="I3072" i="25" s="1"/>
  <c r="I3073" i="25" s="1"/>
  <c r="I3074" i="25" s="1"/>
  <c r="I3075" i="25" s="1"/>
  <c r="I3076" i="25" s="1"/>
  <c r="I3077" i="25" s="1"/>
  <c r="I3078" i="25" s="1"/>
  <c r="I3079" i="25" s="1"/>
  <c r="I3080" i="25" s="1"/>
  <c r="I3081" i="25" s="1"/>
  <c r="I3082" i="25" s="1"/>
  <c r="I3083" i="25" s="1"/>
  <c r="I3084" i="25" s="1"/>
  <c r="I3085" i="25" s="1"/>
  <c r="I3086" i="25" s="1"/>
  <c r="I3087" i="25" s="1"/>
  <c r="I3088" i="25" s="1"/>
  <c r="I3089" i="25" s="1"/>
  <c r="I3090" i="25" s="1"/>
  <c r="I3091" i="25" s="1"/>
  <c r="I3092" i="25" s="1"/>
  <c r="I3093" i="25" s="1"/>
  <c r="I3094" i="25" s="1"/>
  <c r="I3095" i="25" s="1"/>
  <c r="I3096" i="25" s="1"/>
  <c r="I3097" i="25" s="1"/>
  <c r="I3098" i="25" s="1"/>
  <c r="I3099" i="25" s="1"/>
  <c r="I3100" i="25" s="1"/>
  <c r="I3101" i="25" s="1"/>
  <c r="I3102" i="25" s="1"/>
  <c r="I3103" i="25" s="1"/>
  <c r="I3104" i="25" s="1"/>
  <c r="I3105" i="25" s="1"/>
  <c r="I3106" i="25" s="1"/>
  <c r="I3107" i="25" s="1"/>
  <c r="I3108" i="25" s="1"/>
  <c r="I3109" i="25" s="1"/>
  <c r="I3110" i="25" s="1"/>
  <c r="I3111" i="25" s="1"/>
  <c r="I3112" i="25" s="1"/>
  <c r="I3113" i="25" s="1"/>
  <c r="I3114" i="25" s="1"/>
  <c r="I3115" i="25" s="1"/>
  <c r="I3116" i="25" s="1"/>
  <c r="I3117" i="25" s="1"/>
  <c r="I3118" i="25" s="1"/>
  <c r="I3119" i="25" s="1"/>
  <c r="I3120" i="25" s="1"/>
  <c r="I3121" i="25" s="1"/>
  <c r="I3122" i="25" s="1"/>
  <c r="I3123" i="25" s="1"/>
  <c r="I3124" i="25" s="1"/>
  <c r="I3125" i="25" s="1"/>
  <c r="I3126" i="25" s="1"/>
  <c r="I3127" i="25" s="1"/>
  <c r="I3128" i="25" s="1"/>
  <c r="I3129" i="25" s="1"/>
  <c r="I3130" i="25" s="1"/>
  <c r="I3131" i="25" s="1"/>
  <c r="I3132" i="25" s="1"/>
  <c r="I3133" i="25" s="1"/>
  <c r="I3134" i="25" s="1"/>
  <c r="I3135" i="25" s="1"/>
  <c r="I3136" i="25" s="1"/>
  <c r="I3137" i="25" s="1"/>
  <c r="I3138" i="25" s="1"/>
  <c r="I3139" i="25" s="1"/>
  <c r="I3140" i="25" s="1"/>
  <c r="I3141" i="25" s="1"/>
  <c r="I3142" i="25" s="1"/>
  <c r="I3143" i="25" s="1"/>
  <c r="I3144" i="25" s="1"/>
  <c r="I3145" i="25" s="1"/>
  <c r="I3146" i="25" s="1"/>
  <c r="I3147" i="25" s="1"/>
  <c r="I3148" i="25" s="1"/>
  <c r="I3149" i="25" s="1"/>
  <c r="I3150" i="25" s="1"/>
  <c r="I3151" i="25" s="1"/>
  <c r="I3152" i="25" s="1"/>
  <c r="I3153" i="25" s="1"/>
  <c r="I3154" i="25" s="1"/>
  <c r="I3155" i="25" s="1"/>
  <c r="I3156" i="25" s="1"/>
  <c r="I3157" i="25" s="1"/>
  <c r="I3158" i="25" s="1"/>
  <c r="I3159" i="25" s="1"/>
  <c r="I3160" i="25" s="1"/>
  <c r="I3161" i="25" s="1"/>
  <c r="I3162" i="25" s="1"/>
  <c r="I3163" i="25" s="1"/>
  <c r="I3164" i="25" s="1"/>
  <c r="I3165" i="25" s="1"/>
  <c r="I3166" i="25" s="1"/>
  <c r="I3167" i="25" s="1"/>
  <c r="I3168" i="25" s="1"/>
  <c r="I3169" i="25" s="1"/>
  <c r="I3170" i="25" s="1"/>
  <c r="I3171" i="25" s="1"/>
  <c r="I3172" i="25" s="1"/>
  <c r="I3173" i="25" s="1"/>
  <c r="I3174" i="25" s="1"/>
  <c r="I3175" i="25" s="1"/>
  <c r="I3176" i="25" s="1"/>
  <c r="I3177" i="25" s="1"/>
  <c r="I3178" i="25" s="1"/>
  <c r="I3179" i="25" s="1"/>
  <c r="I3180" i="25" s="1"/>
  <c r="I3181" i="25" s="1"/>
  <c r="I3182" i="25" s="1"/>
  <c r="I3183" i="25" s="1"/>
  <c r="I3184" i="25" s="1"/>
  <c r="I3185" i="25" s="1"/>
  <c r="I3186" i="25" s="1"/>
  <c r="I3187" i="25" s="1"/>
  <c r="I3188" i="25" s="1"/>
  <c r="I3189" i="25" s="1"/>
  <c r="I3190" i="25" s="1"/>
  <c r="I3191" i="25" s="1"/>
  <c r="I3192" i="25" s="1"/>
  <c r="I3193" i="25" s="1"/>
  <c r="I3194" i="25" s="1"/>
  <c r="I3195" i="25" s="1"/>
  <c r="I3196" i="25" s="1"/>
  <c r="I3197" i="25" s="1"/>
  <c r="I3198" i="25" s="1"/>
  <c r="I3199" i="25" s="1"/>
  <c r="I3200" i="25" s="1"/>
  <c r="I3201" i="25" s="1"/>
  <c r="I3202" i="25" s="1"/>
  <c r="I3203" i="25" s="1"/>
  <c r="I3204" i="25" s="1"/>
  <c r="I3205" i="25" s="1"/>
  <c r="I3206" i="25" s="1"/>
  <c r="I3207" i="25" s="1"/>
  <c r="I3208" i="25" s="1"/>
  <c r="I3209" i="25" s="1"/>
  <c r="I3210" i="25" s="1"/>
  <c r="I3211" i="25" s="1"/>
  <c r="I3212" i="25" s="1"/>
  <c r="I3213" i="25" s="1"/>
  <c r="I3214" i="25" s="1"/>
  <c r="I3215" i="25" s="1"/>
  <c r="I3216" i="25" s="1"/>
  <c r="I3217" i="25" s="1"/>
  <c r="I3218" i="25" s="1"/>
  <c r="I3219" i="25" s="1"/>
  <c r="I3220" i="25" s="1"/>
  <c r="I3221" i="25" s="1"/>
  <c r="I3222" i="25" s="1"/>
  <c r="I3223" i="25" s="1"/>
  <c r="I3224" i="25" s="1"/>
  <c r="I3225" i="25" s="1"/>
  <c r="I3226" i="25" s="1"/>
  <c r="I3227" i="25" s="1"/>
  <c r="I3228" i="25" s="1"/>
  <c r="I3229" i="25" s="1"/>
  <c r="I3230" i="25" s="1"/>
  <c r="I3231" i="25" s="1"/>
  <c r="I3232" i="25" s="1"/>
  <c r="I3233" i="25" s="1"/>
  <c r="I3234" i="25" s="1"/>
  <c r="I3235" i="25" s="1"/>
  <c r="I3236" i="25" s="1"/>
  <c r="I3237" i="25" s="1"/>
  <c r="I3238" i="25" s="1"/>
  <c r="I3239" i="25" s="1"/>
  <c r="I3240" i="25" s="1"/>
  <c r="I3241" i="25" s="1"/>
  <c r="I3242" i="25" s="1"/>
  <c r="I3243" i="25" s="1"/>
  <c r="I3244" i="25" s="1"/>
  <c r="I3245" i="25" s="1"/>
  <c r="I3246" i="25" s="1"/>
  <c r="I3247" i="25" s="1"/>
  <c r="I3248" i="25" s="1"/>
  <c r="I3249" i="25" s="1"/>
  <c r="I3250" i="25" s="1"/>
  <c r="I3251" i="25" s="1"/>
  <c r="I3252" i="25" s="1"/>
  <c r="I3253" i="25" s="1"/>
  <c r="I3254" i="25" s="1"/>
  <c r="I3255" i="25" s="1"/>
  <c r="I3256" i="25" s="1"/>
  <c r="I3257" i="25" s="1"/>
  <c r="I3258" i="25" s="1"/>
  <c r="I3259" i="25" s="1"/>
  <c r="I3260" i="25" s="1"/>
  <c r="I3261" i="25" s="1"/>
  <c r="I3262" i="25" s="1"/>
  <c r="I3263" i="25" s="1"/>
  <c r="I3264" i="25" s="1"/>
  <c r="I3265" i="25" s="1"/>
  <c r="I3266" i="25" s="1"/>
  <c r="I3267" i="25" s="1"/>
  <c r="I3268" i="25" s="1"/>
  <c r="I3269" i="25" s="1"/>
  <c r="I3270" i="25" s="1"/>
  <c r="I3271" i="25" s="1"/>
  <c r="I3272" i="25" s="1"/>
  <c r="I3273" i="25" s="1"/>
  <c r="I3274" i="25" s="1"/>
  <c r="I3275" i="25" s="1"/>
  <c r="I3276" i="25" s="1"/>
  <c r="I3277" i="25" s="1"/>
  <c r="I3278" i="25" s="1"/>
  <c r="I3279" i="25" s="1"/>
  <c r="I3280" i="25" s="1"/>
  <c r="I3281" i="25" s="1"/>
  <c r="I3282" i="25" s="1"/>
  <c r="I3283" i="25" s="1"/>
  <c r="I3284" i="25" s="1"/>
  <c r="I3285" i="25" s="1"/>
  <c r="I3286" i="25" s="1"/>
  <c r="I3287" i="25" s="1"/>
  <c r="I3288" i="25" s="1"/>
  <c r="I3289" i="25" s="1"/>
  <c r="I3290" i="25" s="1"/>
  <c r="I3291" i="25" s="1"/>
  <c r="I3292" i="25" s="1"/>
  <c r="I3293" i="25" s="1"/>
  <c r="I3294" i="25" s="1"/>
  <c r="I3295" i="25" s="1"/>
  <c r="I3296" i="25" s="1"/>
  <c r="I3297" i="25" s="1"/>
  <c r="I3298" i="25" s="1"/>
  <c r="I3299" i="25" s="1"/>
  <c r="I3300" i="25" s="1"/>
  <c r="I3301" i="25" s="1"/>
  <c r="I3302" i="25" s="1"/>
  <c r="I3303" i="25" s="1"/>
  <c r="I3304" i="25" s="1"/>
  <c r="I3305" i="25" s="1"/>
  <c r="I3306" i="25" s="1"/>
  <c r="I3307" i="25" s="1"/>
  <c r="I3308" i="25" s="1"/>
  <c r="I3309" i="25" s="1"/>
  <c r="I3310" i="25" s="1"/>
  <c r="I3311" i="25" s="1"/>
  <c r="I3312" i="25" s="1"/>
  <c r="I3313" i="25" s="1"/>
  <c r="I3314" i="25" s="1"/>
  <c r="I3315" i="25" s="1"/>
  <c r="I3316" i="25" s="1"/>
  <c r="I3317" i="25" s="1"/>
  <c r="I3318" i="25" s="1"/>
  <c r="I3319" i="25" s="1"/>
  <c r="I3320" i="25" s="1"/>
  <c r="I3321" i="25" s="1"/>
  <c r="I3322" i="25" s="1"/>
  <c r="I3323" i="25" s="1"/>
  <c r="I3324" i="25" s="1"/>
  <c r="I3325" i="25" s="1"/>
  <c r="I3326" i="25" s="1"/>
  <c r="I3327" i="25" s="1"/>
  <c r="I3328" i="25" s="1"/>
  <c r="I3329" i="25" s="1"/>
  <c r="I3330" i="25" s="1"/>
  <c r="I3331" i="25" s="1"/>
  <c r="I3332" i="25" s="1"/>
  <c r="I3333" i="25" s="1"/>
  <c r="I3334" i="25" s="1"/>
  <c r="I3335" i="25" s="1"/>
  <c r="I3336" i="25" s="1"/>
  <c r="I3337" i="25" s="1"/>
  <c r="I3338" i="25" s="1"/>
  <c r="I3339" i="25" s="1"/>
  <c r="I3340" i="25" s="1"/>
  <c r="I3341" i="25" s="1"/>
  <c r="I3342" i="25" s="1"/>
  <c r="I3343" i="25" s="1"/>
  <c r="I3344" i="25" s="1"/>
  <c r="I3345" i="25" s="1"/>
  <c r="I3346" i="25" s="1"/>
  <c r="I3347" i="25" s="1"/>
  <c r="I3348" i="25" s="1"/>
  <c r="I3349" i="25" s="1"/>
  <c r="I3350" i="25" s="1"/>
  <c r="I3351" i="25" s="1"/>
  <c r="I3352" i="25" s="1"/>
  <c r="I3353" i="25" s="1"/>
  <c r="I3354" i="25" s="1"/>
  <c r="I3355" i="25" s="1"/>
  <c r="I3356" i="25" s="1"/>
  <c r="I3357" i="25" s="1"/>
  <c r="I3358" i="25" s="1"/>
  <c r="I3359" i="25" s="1"/>
  <c r="I3360" i="25" s="1"/>
  <c r="I3361" i="25" s="1"/>
  <c r="I3362" i="25" s="1"/>
  <c r="I3363" i="25" s="1"/>
  <c r="I3364" i="25" s="1"/>
  <c r="I3365" i="25" s="1"/>
  <c r="I3366" i="25" s="1"/>
  <c r="I3367" i="25" s="1"/>
  <c r="I3368" i="25" s="1"/>
  <c r="I3369" i="25" s="1"/>
  <c r="I3370" i="25" s="1"/>
  <c r="I3371" i="25" s="1"/>
  <c r="I3372" i="25" s="1"/>
  <c r="I3373" i="25" s="1"/>
  <c r="I3374" i="25" s="1"/>
  <c r="I3375" i="25" s="1"/>
  <c r="I3376" i="25" s="1"/>
  <c r="I3377" i="25" s="1"/>
  <c r="I3378" i="25" s="1"/>
  <c r="I3379" i="25" s="1"/>
  <c r="I3380" i="25" s="1"/>
  <c r="I3381" i="25" s="1"/>
  <c r="I3382" i="25" s="1"/>
  <c r="I3383" i="25" s="1"/>
  <c r="I3384" i="25" s="1"/>
  <c r="I3385" i="25" s="1"/>
  <c r="I3386" i="25" s="1"/>
  <c r="I3387" i="25" s="1"/>
  <c r="I3388" i="25" s="1"/>
  <c r="I3389" i="25" s="1"/>
  <c r="I3390" i="25" s="1"/>
  <c r="I3391" i="25" s="1"/>
  <c r="I3392" i="25" s="1"/>
  <c r="I3393" i="25" s="1"/>
  <c r="I3394" i="25" s="1"/>
  <c r="I3395" i="25" s="1"/>
  <c r="I3396" i="25" s="1"/>
  <c r="I3397" i="25" s="1"/>
  <c r="I3398" i="25" s="1"/>
  <c r="I3399" i="25" s="1"/>
  <c r="I3400" i="25" s="1"/>
  <c r="I3401" i="25" s="1"/>
  <c r="I3402" i="25" s="1"/>
  <c r="I3403" i="25" s="1"/>
  <c r="I3404" i="25" s="1"/>
  <c r="I3405" i="25" s="1"/>
  <c r="I3406" i="25" s="1"/>
  <c r="I3407" i="25" s="1"/>
  <c r="I3408" i="25" s="1"/>
  <c r="I3409" i="25" s="1"/>
  <c r="I3410" i="25" s="1"/>
  <c r="I3411" i="25" s="1"/>
  <c r="I3412" i="25" s="1"/>
  <c r="I3413" i="25" s="1"/>
  <c r="I3414" i="25" s="1"/>
  <c r="I3415" i="25" s="1"/>
  <c r="I3416" i="25" s="1"/>
  <c r="I3417" i="25" s="1"/>
  <c r="I3418" i="25" s="1"/>
  <c r="I3419" i="25" s="1"/>
  <c r="I3420" i="25" s="1"/>
  <c r="I3421" i="25" s="1"/>
  <c r="I3422" i="25" s="1"/>
  <c r="I3423" i="25" s="1"/>
  <c r="I3424" i="25" s="1"/>
  <c r="I3425" i="25" s="1"/>
  <c r="I3426" i="25" s="1"/>
  <c r="I3427" i="25" s="1"/>
  <c r="I3428" i="25" s="1"/>
  <c r="I3429" i="25" s="1"/>
  <c r="I3430" i="25" s="1"/>
  <c r="I3431" i="25" s="1"/>
  <c r="I3432" i="25" s="1"/>
  <c r="I3433" i="25" s="1"/>
  <c r="I3434" i="25" s="1"/>
  <c r="I3435" i="25" s="1"/>
  <c r="I3436" i="25" s="1"/>
  <c r="I3437" i="25" s="1"/>
  <c r="I3438" i="25" s="1"/>
  <c r="I3439" i="25" s="1"/>
  <c r="I3440" i="25" s="1"/>
  <c r="I3441" i="25" s="1"/>
  <c r="I3442" i="25" s="1"/>
  <c r="I3443" i="25" s="1"/>
  <c r="I3444" i="25" s="1"/>
  <c r="I3445" i="25" s="1"/>
  <c r="I3446" i="25" s="1"/>
  <c r="I3447" i="25" s="1"/>
  <c r="I3448" i="25" s="1"/>
  <c r="I3449" i="25" s="1"/>
  <c r="I3450" i="25" s="1"/>
  <c r="I3451" i="25" s="1"/>
  <c r="I3452" i="25" s="1"/>
  <c r="I3453" i="25" s="1"/>
  <c r="I3454" i="25" s="1"/>
  <c r="I3455" i="25" s="1"/>
  <c r="I3456" i="25" s="1"/>
  <c r="I3457" i="25" s="1"/>
  <c r="I3458" i="25" s="1"/>
  <c r="I3459" i="25" s="1"/>
  <c r="I3460" i="25" s="1"/>
  <c r="I3461" i="25" s="1"/>
  <c r="I3462" i="25" s="1"/>
  <c r="I3463" i="25" s="1"/>
  <c r="I3464" i="25" s="1"/>
  <c r="I3465" i="25" s="1"/>
  <c r="I3466" i="25" s="1"/>
  <c r="I3467" i="25" s="1"/>
  <c r="I3468" i="25" s="1"/>
  <c r="I3469" i="25" s="1"/>
  <c r="I3470" i="25" s="1"/>
  <c r="I3471" i="25" s="1"/>
  <c r="I3472" i="25" s="1"/>
  <c r="I3473" i="25" s="1"/>
  <c r="I3474" i="25" s="1"/>
  <c r="I3475" i="25" s="1"/>
  <c r="I3476" i="25" s="1"/>
  <c r="I3477" i="25" s="1"/>
  <c r="I3478" i="25" s="1"/>
  <c r="I3479" i="25" s="1"/>
  <c r="I3480" i="25" s="1"/>
  <c r="I3481" i="25" s="1"/>
  <c r="I3482" i="25" s="1"/>
  <c r="I3483" i="25" s="1"/>
  <c r="I3484" i="25" s="1"/>
  <c r="I3485" i="25" s="1"/>
  <c r="I3486" i="25" s="1"/>
  <c r="I3487" i="25" s="1"/>
  <c r="I3488" i="25" s="1"/>
  <c r="I3489" i="25" s="1"/>
  <c r="I3490" i="25" s="1"/>
  <c r="I3491" i="25" s="1"/>
  <c r="I3492" i="25" s="1"/>
  <c r="I3493" i="25" s="1"/>
  <c r="I3494" i="25" s="1"/>
  <c r="I3495" i="25" s="1"/>
  <c r="I3496" i="25" s="1"/>
  <c r="I3497" i="25" s="1"/>
  <c r="I3498" i="25" s="1"/>
  <c r="I3499" i="25" s="1"/>
  <c r="I3500" i="25" s="1"/>
  <c r="I3501" i="25" s="1"/>
  <c r="I3502" i="25" s="1"/>
  <c r="I3503" i="25" s="1"/>
  <c r="I3504" i="25" s="1"/>
  <c r="I3505" i="25" s="1"/>
  <c r="I3506" i="25" s="1"/>
  <c r="I3507" i="25" s="1"/>
  <c r="I3508" i="25" s="1"/>
  <c r="I3509" i="25" s="1"/>
  <c r="I3510" i="25" s="1"/>
  <c r="I3511" i="25" s="1"/>
  <c r="I3512" i="25" s="1"/>
  <c r="I3513" i="25" s="1"/>
  <c r="I3514" i="25" s="1"/>
  <c r="I3515" i="25" s="1"/>
  <c r="I3516" i="25" s="1"/>
  <c r="I3517" i="25" s="1"/>
  <c r="I3518" i="25" s="1"/>
  <c r="I3519" i="25" s="1"/>
  <c r="I3520" i="25" s="1"/>
  <c r="I3521" i="25" s="1"/>
  <c r="I3522" i="25" s="1"/>
  <c r="I3523" i="25" s="1"/>
  <c r="I3524" i="25" s="1"/>
  <c r="I3525" i="25" s="1"/>
  <c r="I3526" i="25" s="1"/>
  <c r="I3527" i="25" s="1"/>
  <c r="I3528" i="25" s="1"/>
  <c r="I3529" i="25" s="1"/>
  <c r="I3530" i="25" s="1"/>
  <c r="I3531" i="25" s="1"/>
  <c r="I3532" i="25" s="1"/>
  <c r="I3533" i="25" s="1"/>
  <c r="I3534" i="25" s="1"/>
  <c r="I3535" i="25" s="1"/>
  <c r="I3536" i="25" s="1"/>
  <c r="I3537" i="25" s="1"/>
  <c r="I3538" i="25" s="1"/>
  <c r="I3539" i="25" s="1"/>
  <c r="I3540" i="25" s="1"/>
  <c r="I3541" i="25" s="1"/>
  <c r="I3542" i="25" s="1"/>
  <c r="I3543" i="25" s="1"/>
  <c r="I3544" i="25" s="1"/>
  <c r="I3545" i="25" s="1"/>
  <c r="I3546" i="25" s="1"/>
  <c r="I3547" i="25" s="1"/>
  <c r="I3548" i="25" s="1"/>
  <c r="I3549" i="25" s="1"/>
  <c r="I3550" i="25" s="1"/>
  <c r="I3551" i="25" s="1"/>
  <c r="I3552" i="25" s="1"/>
  <c r="I3553" i="25" s="1"/>
  <c r="I3554" i="25" s="1"/>
  <c r="I3555" i="25" s="1"/>
  <c r="I3556" i="25" s="1"/>
  <c r="I3557" i="25" s="1"/>
  <c r="I3558" i="25" s="1"/>
  <c r="I3559" i="25" s="1"/>
  <c r="I3560" i="25" s="1"/>
  <c r="I3561" i="25" s="1"/>
  <c r="I3562" i="25" s="1"/>
  <c r="I3563" i="25" s="1"/>
  <c r="I3564" i="25" s="1"/>
  <c r="I3565" i="25" s="1"/>
  <c r="I3566" i="25" s="1"/>
  <c r="I3567" i="25" s="1"/>
  <c r="I3568" i="25" s="1"/>
  <c r="I3569" i="25" s="1"/>
  <c r="I3570" i="25" s="1"/>
  <c r="I3571" i="25" s="1"/>
  <c r="I3572" i="25" s="1"/>
  <c r="I3573" i="25" s="1"/>
  <c r="I3574" i="25" s="1"/>
  <c r="I3575" i="25" s="1"/>
  <c r="I3576" i="25" s="1"/>
  <c r="I3577" i="25" s="1"/>
  <c r="I3578" i="25" s="1"/>
  <c r="I3579" i="25" s="1"/>
  <c r="I3580" i="25" s="1"/>
  <c r="I3581" i="25" s="1"/>
  <c r="I3582" i="25" s="1"/>
  <c r="I3583" i="25" s="1"/>
  <c r="I3584" i="25" s="1"/>
  <c r="I3585" i="25" s="1"/>
  <c r="I3586" i="25" s="1"/>
  <c r="I3587" i="25" s="1"/>
  <c r="I3588" i="25" s="1"/>
  <c r="I3589" i="25" s="1"/>
  <c r="I3590" i="25" s="1"/>
  <c r="I3591" i="25" s="1"/>
  <c r="I3592" i="25" s="1"/>
  <c r="I3593" i="25" s="1"/>
  <c r="I3594" i="25" s="1"/>
  <c r="I3595" i="25" s="1"/>
  <c r="I3596" i="25" s="1"/>
  <c r="I3597" i="25" s="1"/>
  <c r="I3598" i="25" s="1"/>
  <c r="I3599" i="25" s="1"/>
  <c r="I3600" i="25" s="1"/>
  <c r="I3601" i="25" s="1"/>
  <c r="I3602" i="25" s="1"/>
  <c r="I3603" i="25" s="1"/>
  <c r="I3604" i="25" s="1"/>
  <c r="I3605" i="25" s="1"/>
  <c r="I3606" i="25" s="1"/>
  <c r="I3607" i="25" s="1"/>
  <c r="I3608" i="25" s="1"/>
  <c r="I3609" i="25" s="1"/>
  <c r="I3610" i="25" s="1"/>
  <c r="I3611" i="25" s="1"/>
  <c r="I3612" i="25" s="1"/>
  <c r="I3613" i="25" s="1"/>
  <c r="I3614" i="25" s="1"/>
  <c r="I3615" i="25" s="1"/>
  <c r="I3616" i="25" s="1"/>
  <c r="I3617" i="25" s="1"/>
  <c r="I3618" i="25" s="1"/>
  <c r="I3619" i="25" s="1"/>
  <c r="I3620" i="25" s="1"/>
  <c r="I3621" i="25" s="1"/>
  <c r="I3622" i="25" s="1"/>
  <c r="I3623" i="25" s="1"/>
  <c r="I3624" i="25" s="1"/>
  <c r="I3625" i="25" s="1"/>
  <c r="I3626" i="25" s="1"/>
  <c r="I3627" i="25" s="1"/>
  <c r="I3628" i="25" s="1"/>
  <c r="I3629" i="25" s="1"/>
  <c r="I3630" i="25" s="1"/>
  <c r="I3631" i="25" s="1"/>
  <c r="I3632" i="25" s="1"/>
  <c r="I3633" i="25" s="1"/>
  <c r="I3634" i="25" s="1"/>
  <c r="I3635" i="25" s="1"/>
  <c r="I3636" i="25" s="1"/>
  <c r="I3637" i="25" s="1"/>
  <c r="I3638" i="25" s="1"/>
  <c r="I3639" i="25" s="1"/>
  <c r="I3640" i="25" s="1"/>
  <c r="I3641" i="25" s="1"/>
  <c r="I3642" i="25" s="1"/>
  <c r="I3643" i="25" s="1"/>
  <c r="I3644" i="25" s="1"/>
  <c r="I3645" i="25" s="1"/>
  <c r="I3646" i="25" s="1"/>
  <c r="I3647" i="25" s="1"/>
  <c r="I3648" i="25" s="1"/>
  <c r="I3649" i="25" s="1"/>
  <c r="I3650" i="25" s="1"/>
  <c r="I3651" i="25" s="1"/>
  <c r="I3652" i="25" s="1"/>
  <c r="I3653" i="25" s="1"/>
  <c r="I3654" i="25" s="1"/>
  <c r="I3655" i="25" s="1"/>
  <c r="I3656" i="25" s="1"/>
  <c r="I3657" i="25" s="1"/>
  <c r="I3658" i="25" s="1"/>
  <c r="I3659" i="25" s="1"/>
  <c r="I3660" i="25" s="1"/>
  <c r="I3661" i="25" s="1"/>
  <c r="I3662" i="25" s="1"/>
  <c r="I3663" i="25" s="1"/>
  <c r="I3664" i="25" s="1"/>
  <c r="I3665" i="25" s="1"/>
  <c r="I3666" i="25" s="1"/>
  <c r="I3667" i="25" s="1"/>
  <c r="I3668" i="25" s="1"/>
  <c r="I3669" i="25" s="1"/>
  <c r="I3670" i="25" s="1"/>
  <c r="I3671" i="25" s="1"/>
  <c r="I3672" i="25" s="1"/>
  <c r="I3673" i="25" s="1"/>
  <c r="I3674" i="25" s="1"/>
  <c r="I3675" i="25" s="1"/>
  <c r="I3676" i="25" s="1"/>
  <c r="I3677" i="25" s="1"/>
  <c r="I3678" i="25" s="1"/>
  <c r="I3679" i="25" s="1"/>
  <c r="I3680" i="25" s="1"/>
  <c r="I3681" i="25" s="1"/>
  <c r="I3682" i="25" s="1"/>
  <c r="I3683" i="25" s="1"/>
  <c r="I3684" i="25" s="1"/>
  <c r="I3685" i="25" s="1"/>
  <c r="I3686" i="25" s="1"/>
  <c r="I3687" i="25" s="1"/>
  <c r="I3688" i="25" s="1"/>
  <c r="I3689" i="25" s="1"/>
  <c r="I3690" i="25" s="1"/>
  <c r="I3691" i="25" s="1"/>
  <c r="I3692" i="25" s="1"/>
  <c r="I3693" i="25" s="1"/>
  <c r="I3694" i="25" s="1"/>
  <c r="I3695" i="25" s="1"/>
  <c r="I3696" i="25" s="1"/>
  <c r="I3697" i="25" s="1"/>
  <c r="I3698" i="25" s="1"/>
  <c r="I3699" i="25" s="1"/>
  <c r="I3700" i="25" s="1"/>
  <c r="I3701" i="25" s="1"/>
  <c r="I3702" i="25" s="1"/>
  <c r="I3703" i="25" s="1"/>
  <c r="I3704" i="25" s="1"/>
  <c r="I3705" i="25" s="1"/>
  <c r="I3706" i="25" s="1"/>
  <c r="I3707" i="25" s="1"/>
  <c r="I3708" i="25" s="1"/>
  <c r="I3709" i="25" s="1"/>
  <c r="I3710" i="25" s="1"/>
  <c r="I3711" i="25" s="1"/>
  <c r="I3712" i="25" s="1"/>
  <c r="I3713" i="25" s="1"/>
  <c r="I3714" i="25" s="1"/>
  <c r="I3715" i="25" s="1"/>
  <c r="I3716" i="25" s="1"/>
  <c r="I3717" i="25" s="1"/>
  <c r="I3718" i="25" s="1"/>
  <c r="I3719" i="25" s="1"/>
  <c r="I3720" i="25" s="1"/>
  <c r="I3721" i="25" s="1"/>
  <c r="I3722" i="25" s="1"/>
  <c r="I3723" i="25" s="1"/>
  <c r="I3724" i="25" s="1"/>
  <c r="I3725" i="25" s="1"/>
  <c r="I3726" i="25" s="1"/>
  <c r="I3727" i="25" s="1"/>
  <c r="I3728" i="25" s="1"/>
  <c r="I3729" i="25" s="1"/>
  <c r="I3730" i="25" s="1"/>
  <c r="I3731" i="25" s="1"/>
  <c r="I3732" i="25" s="1"/>
  <c r="I3733" i="25" s="1"/>
  <c r="I3734" i="25" s="1"/>
  <c r="I3735" i="25" s="1"/>
  <c r="I3736" i="25" s="1"/>
  <c r="I3737" i="25" s="1"/>
  <c r="I3738" i="25" s="1"/>
  <c r="I3739" i="25" s="1"/>
  <c r="I3740" i="25" s="1"/>
  <c r="I3741" i="25" s="1"/>
  <c r="I3742" i="25" s="1"/>
  <c r="I3743" i="25" s="1"/>
  <c r="I3744" i="25" s="1"/>
  <c r="I3745" i="25" s="1"/>
  <c r="I3746" i="25" s="1"/>
  <c r="I3747" i="25" s="1"/>
  <c r="I3748" i="25" s="1"/>
  <c r="I3749" i="25" s="1"/>
  <c r="I3750" i="25" s="1"/>
  <c r="I3751" i="25" s="1"/>
  <c r="I3752" i="25" s="1"/>
  <c r="I3753" i="25" s="1"/>
  <c r="I3754" i="25" s="1"/>
  <c r="I3755" i="25" s="1"/>
  <c r="I3756" i="25" s="1"/>
  <c r="I3757" i="25" s="1"/>
  <c r="I3758" i="25" s="1"/>
  <c r="I3759" i="25" s="1"/>
  <c r="I3760" i="25" s="1"/>
  <c r="I3761" i="25" s="1"/>
  <c r="I3762" i="25" s="1"/>
  <c r="I3763" i="25" s="1"/>
  <c r="I3764" i="25" s="1"/>
  <c r="I3765" i="25" s="1"/>
  <c r="I3766" i="25" s="1"/>
  <c r="I3767" i="25" s="1"/>
  <c r="I3768" i="25" s="1"/>
  <c r="I3769" i="25" s="1"/>
  <c r="I3770" i="25" s="1"/>
  <c r="I3771" i="25" s="1"/>
  <c r="I3772" i="25" s="1"/>
  <c r="I3773" i="25" s="1"/>
  <c r="I3774" i="25" s="1"/>
  <c r="I3775" i="25" s="1"/>
  <c r="I3776" i="25" s="1"/>
  <c r="I3777" i="25" s="1"/>
  <c r="I3778" i="25" s="1"/>
  <c r="I3779" i="25" s="1"/>
  <c r="I3780" i="25" s="1"/>
  <c r="I3781" i="25" s="1"/>
  <c r="I3782" i="25" s="1"/>
  <c r="I3783" i="25" s="1"/>
  <c r="I3784" i="25" s="1"/>
  <c r="I3785" i="25" s="1"/>
  <c r="I3786" i="25" s="1"/>
  <c r="I3787" i="25" s="1"/>
  <c r="I3788" i="25" s="1"/>
  <c r="I3789" i="25" s="1"/>
  <c r="I3790" i="25" s="1"/>
  <c r="I3791" i="25" s="1"/>
  <c r="I3792" i="25" s="1"/>
  <c r="I3793" i="25" s="1"/>
  <c r="I3794" i="25" s="1"/>
  <c r="I3795" i="25" s="1"/>
  <c r="I3796" i="25" s="1"/>
  <c r="I3797" i="25" s="1"/>
  <c r="I3798" i="25" s="1"/>
  <c r="I3799" i="25" s="1"/>
  <c r="I3800" i="25" s="1"/>
  <c r="I3801" i="25" s="1"/>
  <c r="I3802" i="25" s="1"/>
  <c r="I3803" i="25" s="1"/>
  <c r="I3804" i="25" s="1"/>
  <c r="I3805" i="25" s="1"/>
  <c r="I3806" i="25" s="1"/>
  <c r="I3807" i="25" s="1"/>
  <c r="I3808" i="25" s="1"/>
  <c r="I3809" i="25" s="1"/>
  <c r="I3810" i="25" s="1"/>
  <c r="I3811" i="25" s="1"/>
  <c r="I3812" i="25" s="1"/>
  <c r="I3813" i="25" s="1"/>
  <c r="I3814" i="25" s="1"/>
  <c r="I3815" i="25" s="1"/>
  <c r="I3816" i="25" s="1"/>
  <c r="I3817" i="25" s="1"/>
  <c r="I3818" i="25" s="1"/>
  <c r="I3819" i="25" s="1"/>
  <c r="I3820" i="25" s="1"/>
  <c r="I3821" i="25" s="1"/>
  <c r="I3822" i="25" s="1"/>
  <c r="I3823" i="25" s="1"/>
  <c r="I3824" i="25" s="1"/>
  <c r="I3825" i="25" s="1"/>
  <c r="I3826" i="25" s="1"/>
  <c r="I3827" i="25" s="1"/>
  <c r="I3828" i="25" s="1"/>
  <c r="I3829" i="25" s="1"/>
  <c r="I3830" i="25" s="1"/>
  <c r="I3831" i="25" s="1"/>
  <c r="I3832" i="25" s="1"/>
  <c r="I3833" i="25" s="1"/>
  <c r="I3834" i="25" s="1"/>
  <c r="I3835" i="25" s="1"/>
  <c r="I3836" i="25" s="1"/>
  <c r="I3837" i="25" s="1"/>
  <c r="I3838" i="25" s="1"/>
  <c r="I3839" i="25" s="1"/>
  <c r="I3840" i="25" s="1"/>
  <c r="I3841" i="25" s="1"/>
  <c r="I3842" i="25" s="1"/>
  <c r="I3843" i="25" s="1"/>
  <c r="I3844" i="25" s="1"/>
  <c r="I3845" i="25" s="1"/>
  <c r="I3846" i="25" s="1"/>
  <c r="I3847" i="25" s="1"/>
  <c r="I3848" i="25" s="1"/>
  <c r="I3849" i="25" s="1"/>
  <c r="I3850" i="25" s="1"/>
  <c r="I3851" i="25" s="1"/>
  <c r="I3852" i="25" s="1"/>
  <c r="I3853" i="25" s="1"/>
  <c r="I3854" i="25" s="1"/>
  <c r="I3855" i="25" s="1"/>
  <c r="I3856" i="25" s="1"/>
  <c r="I3857" i="25" s="1"/>
  <c r="I3858" i="25" s="1"/>
  <c r="I3859" i="25" s="1"/>
  <c r="I3860" i="25" s="1"/>
  <c r="I3861" i="25" s="1"/>
  <c r="I3862" i="25" s="1"/>
  <c r="I3863" i="25" s="1"/>
  <c r="I3864" i="25" s="1"/>
  <c r="I3865" i="25" s="1"/>
  <c r="I3866" i="25" s="1"/>
  <c r="I3867" i="25" s="1"/>
  <c r="I3868" i="25" s="1"/>
  <c r="I3869" i="25" s="1"/>
  <c r="I3870" i="25" s="1"/>
  <c r="I3871" i="25" s="1"/>
  <c r="I3872" i="25" s="1"/>
  <c r="I3873" i="25" s="1"/>
  <c r="I3874" i="25" s="1"/>
  <c r="I3875" i="25" s="1"/>
  <c r="I3876" i="25" s="1"/>
  <c r="I3877" i="25" s="1"/>
  <c r="I3878" i="25" s="1"/>
  <c r="I3879" i="25" s="1"/>
  <c r="I3880" i="25" s="1"/>
  <c r="I3881" i="25" s="1"/>
  <c r="I3882" i="25" s="1"/>
  <c r="I3883" i="25" s="1"/>
  <c r="I3884" i="25" s="1"/>
  <c r="I3885" i="25" s="1"/>
  <c r="I3886" i="25" s="1"/>
  <c r="I3887" i="25" s="1"/>
  <c r="I3888" i="25" s="1"/>
  <c r="I3889" i="25" s="1"/>
  <c r="I3890" i="25" s="1"/>
  <c r="I3891" i="25" s="1"/>
  <c r="I3892" i="25" s="1"/>
  <c r="I3893" i="25" s="1"/>
  <c r="I3894" i="25" s="1"/>
  <c r="I3895" i="25" s="1"/>
  <c r="I3896" i="25" s="1"/>
  <c r="I3897" i="25" s="1"/>
  <c r="I3898" i="25" s="1"/>
  <c r="I3899" i="25" s="1"/>
  <c r="I3900" i="25" s="1"/>
  <c r="I3901" i="25" s="1"/>
  <c r="I3902" i="25" s="1"/>
  <c r="I3903" i="25" s="1"/>
  <c r="I3904" i="25" s="1"/>
  <c r="I3905" i="25" s="1"/>
  <c r="I3906" i="25" s="1"/>
  <c r="I3907" i="25" s="1"/>
  <c r="I3908" i="25" s="1"/>
  <c r="I3909" i="25" s="1"/>
  <c r="I3910" i="25" s="1"/>
  <c r="I3911" i="25" s="1"/>
  <c r="I3912" i="25" s="1"/>
  <c r="I3913" i="25" s="1"/>
  <c r="I3914" i="25" s="1"/>
  <c r="I3915" i="25" s="1"/>
  <c r="I3916" i="25" s="1"/>
  <c r="I3917" i="25" s="1"/>
  <c r="I3918" i="25" s="1"/>
  <c r="I3919" i="25" s="1"/>
  <c r="I3920" i="25" s="1"/>
  <c r="I3921" i="25" s="1"/>
  <c r="I3922" i="25" s="1"/>
  <c r="I3923" i="25" s="1"/>
  <c r="I3924" i="25" s="1"/>
  <c r="I3925" i="25" s="1"/>
  <c r="I3926" i="25" s="1"/>
  <c r="I3927" i="25" s="1"/>
  <c r="I3928" i="25" s="1"/>
  <c r="I3929" i="25" s="1"/>
  <c r="I3930" i="25" s="1"/>
  <c r="I3931" i="25" s="1"/>
  <c r="I3932" i="25" s="1"/>
  <c r="I3933" i="25" s="1"/>
  <c r="I3934" i="25" s="1"/>
  <c r="I3935" i="25" s="1"/>
  <c r="I3936" i="25" s="1"/>
  <c r="I3937" i="25" s="1"/>
  <c r="I3938" i="25" s="1"/>
  <c r="I3939" i="25" s="1"/>
  <c r="I3940" i="25" s="1"/>
  <c r="I3941" i="25" s="1"/>
  <c r="I3942" i="25" s="1"/>
  <c r="I3943" i="25" s="1"/>
  <c r="I3944" i="25" s="1"/>
  <c r="I3945" i="25" s="1"/>
  <c r="I3946" i="25" s="1"/>
  <c r="I3947" i="25" s="1"/>
  <c r="I3948" i="25" s="1"/>
  <c r="I3949" i="25" s="1"/>
  <c r="I3950" i="25" s="1"/>
  <c r="I3951" i="25" s="1"/>
  <c r="I3952" i="25" s="1"/>
  <c r="I3953" i="25" s="1"/>
  <c r="I3954" i="25" s="1"/>
  <c r="I3955" i="25" s="1"/>
  <c r="I3956" i="25" s="1"/>
  <c r="I3957" i="25" s="1"/>
  <c r="I3958" i="25" s="1"/>
  <c r="I3959" i="25" s="1"/>
  <c r="I3960" i="25" s="1"/>
  <c r="I3961" i="25" s="1"/>
  <c r="I3962" i="25" s="1"/>
  <c r="I3963" i="25" s="1"/>
  <c r="I3964" i="25" s="1"/>
  <c r="I3965" i="25" s="1"/>
  <c r="I3966" i="25" s="1"/>
  <c r="I3967" i="25" s="1"/>
  <c r="I3968" i="25" s="1"/>
  <c r="I3969" i="25" s="1"/>
  <c r="I3970" i="25" s="1"/>
  <c r="I3971" i="25" s="1"/>
  <c r="I3972" i="25" s="1"/>
  <c r="I3973" i="25" s="1"/>
  <c r="I3974" i="25" s="1"/>
  <c r="I3975" i="25" s="1"/>
  <c r="I3976" i="25" s="1"/>
  <c r="I3977" i="25" s="1"/>
  <c r="I3978" i="25" s="1"/>
  <c r="I3979" i="25" s="1"/>
  <c r="I3980" i="25" s="1"/>
  <c r="I3981" i="25" s="1"/>
  <c r="I3982" i="25" s="1"/>
  <c r="I3983" i="25" s="1"/>
  <c r="I3984" i="25" s="1"/>
  <c r="I3985" i="25" s="1"/>
  <c r="I3986" i="25" s="1"/>
  <c r="P12" i="22"/>
  <c r="V488" i="25"/>
  <c r="T488" i="25"/>
  <c r="S706" i="25"/>
  <c r="S707" i="25" s="1"/>
  <c r="S708" i="25" s="1"/>
  <c r="S709" i="25" s="1"/>
  <c r="S710" i="25" s="1"/>
  <c r="S711" i="25" s="1"/>
  <c r="S712" i="25" s="1"/>
  <c r="S713" i="25" s="1"/>
  <c r="S714" i="25" s="1"/>
  <c r="S715" i="25" s="1"/>
  <c r="S716" i="25" s="1"/>
  <c r="S717" i="25" s="1"/>
  <c r="S718" i="25" s="1"/>
  <c r="S719" i="25" s="1"/>
  <c r="S720" i="25" s="1"/>
  <c r="S721" i="25" s="1"/>
  <c r="S722" i="25" s="1"/>
  <c r="S723" i="25" s="1"/>
  <c r="S724" i="25" s="1"/>
  <c r="S725" i="25" s="1"/>
  <c r="S726" i="25" s="1"/>
  <c r="S727" i="25" s="1"/>
  <c r="S728" i="25" s="1"/>
  <c r="S729" i="25" s="1"/>
  <c r="S730" i="25" s="1"/>
  <c r="S731" i="25" s="1"/>
  <c r="S732" i="25" s="1"/>
  <c r="S733" i="25" s="1"/>
  <c r="S734" i="25" s="1"/>
  <c r="S735" i="25" s="1"/>
  <c r="S736" i="25" s="1"/>
  <c r="S737" i="25" s="1"/>
  <c r="S738" i="25" s="1"/>
  <c r="S739" i="25" s="1"/>
  <c r="S740" i="25" s="1"/>
  <c r="S741" i="25" s="1"/>
  <c r="S742" i="25" s="1"/>
  <c r="S743" i="25" s="1"/>
  <c r="S744" i="25" s="1"/>
  <c r="S745" i="25" s="1"/>
  <c r="S746" i="25" s="1"/>
  <c r="S747" i="25" s="1"/>
  <c r="S748" i="25" s="1"/>
  <c r="S749" i="25" s="1"/>
  <c r="S750" i="25" s="1"/>
  <c r="S751" i="25" s="1"/>
  <c r="S752" i="25" s="1"/>
  <c r="S753" i="25" s="1"/>
  <c r="S754" i="25" s="1"/>
  <c r="S755" i="25" s="1"/>
  <c r="S756" i="25" s="1"/>
  <c r="S757" i="25" s="1"/>
  <c r="S758" i="25" s="1"/>
  <c r="S759" i="25" s="1"/>
  <c r="S760" i="25" s="1"/>
  <c r="S761" i="25" s="1"/>
  <c r="S762" i="25" s="1"/>
  <c r="S763" i="25" s="1"/>
  <c r="S764" i="25" s="1"/>
  <c r="S765" i="25" s="1"/>
  <c r="S766" i="25" s="1"/>
  <c r="S767" i="25" s="1"/>
  <c r="S768" i="25" s="1"/>
  <c r="S769" i="25" s="1"/>
  <c r="S770" i="25" s="1"/>
  <c r="S771" i="25" s="1"/>
  <c r="S772" i="25" s="1"/>
  <c r="S773" i="25" s="1"/>
  <c r="S774" i="25" s="1"/>
  <c r="S775" i="25" s="1"/>
  <c r="S776" i="25" s="1"/>
  <c r="S777" i="25" s="1"/>
  <c r="S778" i="25" s="1"/>
  <c r="S779" i="25" s="1"/>
  <c r="S780" i="25" s="1"/>
  <c r="S781" i="25" s="1"/>
  <c r="S782" i="25" s="1"/>
  <c r="S783" i="25" s="1"/>
  <c r="S784" i="25" s="1"/>
  <c r="S785" i="25" s="1"/>
  <c r="S786" i="25" s="1"/>
  <c r="S787" i="25" s="1"/>
  <c r="S788" i="25" s="1"/>
  <c r="S789" i="25" s="1"/>
  <c r="S790" i="25" s="1"/>
  <c r="S791" i="25" s="1"/>
  <c r="S792" i="25" s="1"/>
  <c r="S793" i="25" s="1"/>
  <c r="S794" i="25" s="1"/>
  <c r="S795" i="25" s="1"/>
  <c r="S796" i="25" s="1"/>
  <c r="S797" i="25" s="1"/>
  <c r="S798" i="25" s="1"/>
  <c r="S799" i="25" s="1"/>
  <c r="S800" i="25" s="1"/>
  <c r="S801" i="25" s="1"/>
  <c r="S802" i="25" s="1"/>
  <c r="S803" i="25" s="1"/>
  <c r="S804" i="25" s="1"/>
  <c r="S805" i="25" s="1"/>
  <c r="S806" i="25" s="1"/>
  <c r="S807" i="25" s="1"/>
  <c r="S808" i="25" s="1"/>
  <c r="S809" i="25" s="1"/>
  <c r="S810" i="25" s="1"/>
  <c r="S811" i="25" s="1"/>
  <c r="S812" i="25" s="1"/>
  <c r="S813" i="25" s="1"/>
  <c r="S814" i="25" s="1"/>
  <c r="S815" i="25" s="1"/>
  <c r="S816" i="25" s="1"/>
  <c r="S817" i="25" s="1"/>
  <c r="S818" i="25" s="1"/>
  <c r="S819" i="25" s="1"/>
  <c r="S820" i="25" s="1"/>
  <c r="S821" i="25" s="1"/>
  <c r="S822" i="25" s="1"/>
  <c r="S823" i="25" s="1"/>
  <c r="S824" i="25" s="1"/>
  <c r="S825" i="25" s="1"/>
  <c r="S826" i="25" s="1"/>
  <c r="S827" i="25" s="1"/>
  <c r="S828" i="25" s="1"/>
  <c r="S829" i="25" s="1"/>
  <c r="S830" i="25" s="1"/>
  <c r="S831" i="25" s="1"/>
  <c r="S832" i="25" s="1"/>
  <c r="S833" i="25" s="1"/>
  <c r="S834" i="25" s="1"/>
  <c r="S835" i="25" s="1"/>
  <c r="S836" i="25" s="1"/>
  <c r="S837" i="25" s="1"/>
  <c r="S838" i="25" s="1"/>
  <c r="S839" i="25" s="1"/>
  <c r="S840" i="25" s="1"/>
  <c r="S841" i="25" s="1"/>
  <c r="S842" i="25" s="1"/>
  <c r="S843" i="25" s="1"/>
  <c r="S844" i="25" s="1"/>
  <c r="S845" i="25" s="1"/>
  <c r="S846" i="25" s="1"/>
  <c r="S847" i="25" s="1"/>
  <c r="S848" i="25" s="1"/>
  <c r="S849" i="25" s="1"/>
  <c r="S850" i="25" s="1"/>
  <c r="S851" i="25" s="1"/>
  <c r="S852" i="25" s="1"/>
  <c r="S853" i="25" s="1"/>
  <c r="S854" i="25" s="1"/>
  <c r="S855" i="25" s="1"/>
  <c r="S856" i="25" s="1"/>
  <c r="S857" i="25" s="1"/>
  <c r="S858" i="25" s="1"/>
  <c r="S859" i="25" s="1"/>
  <c r="S860" i="25" s="1"/>
  <c r="S861" i="25" s="1"/>
  <c r="S862" i="25" s="1"/>
  <c r="S863" i="25" s="1"/>
  <c r="S864" i="25" s="1"/>
  <c r="S865" i="25" s="1"/>
  <c r="S866" i="25" s="1"/>
  <c r="S867" i="25" s="1"/>
  <c r="S868" i="25" s="1"/>
  <c r="S869" i="25" s="1"/>
  <c r="S870" i="25" s="1"/>
  <c r="S871" i="25" s="1"/>
  <c r="S872" i="25" s="1"/>
  <c r="S873" i="25" s="1"/>
  <c r="S874" i="25" s="1"/>
  <c r="S875" i="25" s="1"/>
  <c r="S876" i="25" s="1"/>
  <c r="S877" i="25" s="1"/>
  <c r="S878" i="25" s="1"/>
  <c r="S879" i="25" s="1"/>
  <c r="S880" i="25" s="1"/>
  <c r="S881" i="25" s="1"/>
  <c r="S882" i="25" s="1"/>
  <c r="S883" i="25" s="1"/>
  <c r="S884" i="25" s="1"/>
  <c r="S885" i="25" s="1"/>
  <c r="S886" i="25" s="1"/>
  <c r="S887" i="25" s="1"/>
  <c r="S888" i="25" s="1"/>
  <c r="S889" i="25" s="1"/>
  <c r="S890" i="25" s="1"/>
  <c r="S891" i="25" s="1"/>
  <c r="S892" i="25" s="1"/>
  <c r="S893" i="25" s="1"/>
  <c r="S894" i="25" s="1"/>
  <c r="S895" i="25" s="1"/>
  <c r="S896" i="25" s="1"/>
  <c r="S897" i="25" s="1"/>
  <c r="S898" i="25" s="1"/>
  <c r="S899" i="25" s="1"/>
  <c r="S900" i="25" s="1"/>
  <c r="S901" i="25" s="1"/>
  <c r="S902" i="25" s="1"/>
  <c r="S903" i="25" s="1"/>
  <c r="S904" i="25" s="1"/>
  <c r="S905" i="25" s="1"/>
  <c r="S906" i="25" s="1"/>
  <c r="S907" i="25" s="1"/>
  <c r="S908" i="25" s="1"/>
  <c r="S909" i="25" s="1"/>
  <c r="S910" i="25" s="1"/>
  <c r="S911" i="25" s="1"/>
  <c r="S912" i="25" s="1"/>
  <c r="S913" i="25" s="1"/>
  <c r="S914" i="25" s="1"/>
  <c r="S915" i="25" s="1"/>
  <c r="S916" i="25" s="1"/>
  <c r="S917" i="25" s="1"/>
  <c r="S918" i="25" s="1"/>
  <c r="S919" i="25" s="1"/>
  <c r="S920" i="25" s="1"/>
  <c r="S921" i="25" s="1"/>
  <c r="S922" i="25" s="1"/>
  <c r="S923" i="25" s="1"/>
  <c r="S924" i="25" s="1"/>
  <c r="S925" i="25" s="1"/>
  <c r="S926" i="25" s="1"/>
  <c r="S927" i="25" s="1"/>
  <c r="S928" i="25" s="1"/>
  <c r="S929" i="25" s="1"/>
  <c r="S930" i="25" s="1"/>
  <c r="S931" i="25" s="1"/>
  <c r="S932" i="25" s="1"/>
  <c r="S933" i="25" s="1"/>
  <c r="S934" i="25" s="1"/>
  <c r="S935" i="25" s="1"/>
  <c r="S936" i="25" s="1"/>
  <c r="S937" i="25" s="1"/>
  <c r="S938" i="25" s="1"/>
  <c r="S939" i="25" s="1"/>
  <c r="S940" i="25" s="1"/>
  <c r="S941" i="25" s="1"/>
  <c r="S942" i="25" s="1"/>
  <c r="S943" i="25" s="1"/>
  <c r="S944" i="25" s="1"/>
  <c r="S945" i="25" s="1"/>
  <c r="S946" i="25" s="1"/>
  <c r="S947" i="25" s="1"/>
  <c r="S948" i="25" s="1"/>
  <c r="S949" i="25" s="1"/>
  <c r="S950" i="25" s="1"/>
  <c r="S951" i="25" s="1"/>
  <c r="S952" i="25" s="1"/>
  <c r="S953" i="25" s="1"/>
  <c r="S954" i="25" s="1"/>
  <c r="S955" i="25" s="1"/>
  <c r="S956" i="25" s="1"/>
  <c r="S957" i="25" s="1"/>
  <c r="S958" i="25" s="1"/>
  <c r="S959" i="25" s="1"/>
  <c r="S960" i="25" s="1"/>
  <c r="S961" i="25" s="1"/>
  <c r="S962" i="25" s="1"/>
  <c r="S963" i="25" s="1"/>
  <c r="S964" i="25" s="1"/>
  <c r="S965" i="25" s="1"/>
  <c r="S966" i="25" s="1"/>
  <c r="S967" i="25" s="1"/>
  <c r="S968" i="25" s="1"/>
  <c r="S969" i="25" s="1"/>
  <c r="S970" i="25" s="1"/>
  <c r="S971" i="25" s="1"/>
  <c r="S972" i="25" s="1"/>
  <c r="S973" i="25" s="1"/>
  <c r="S974" i="25" s="1"/>
  <c r="S975" i="25" s="1"/>
  <c r="S976" i="25" s="1"/>
  <c r="S977" i="25" s="1"/>
  <c r="S978" i="25" s="1"/>
  <c r="S979" i="25" s="1"/>
  <c r="S980" i="25" s="1"/>
  <c r="S981" i="25" s="1"/>
  <c r="S982" i="25" s="1"/>
  <c r="S983" i="25" s="1"/>
  <c r="S984" i="25" s="1"/>
  <c r="S985" i="25" s="1"/>
  <c r="S986" i="25" s="1"/>
  <c r="S987" i="25" s="1"/>
  <c r="S988" i="25" s="1"/>
  <c r="S989" i="25" s="1"/>
  <c r="S990" i="25" s="1"/>
  <c r="S991" i="25" s="1"/>
  <c r="S992" i="25" s="1"/>
  <c r="S993" i="25" s="1"/>
  <c r="S994" i="25" s="1"/>
  <c r="S995" i="25" s="1"/>
  <c r="S996" i="25" s="1"/>
  <c r="S997" i="25" s="1"/>
  <c r="S998" i="25" s="1"/>
  <c r="S999" i="25" s="1"/>
  <c r="S1000" i="25" s="1"/>
  <c r="S1001" i="25" s="1"/>
  <c r="S1002" i="25" s="1"/>
  <c r="S1003" i="25" s="1"/>
  <c r="S1004" i="25" s="1"/>
  <c r="S1005" i="25" s="1"/>
  <c r="S1006" i="25" s="1"/>
  <c r="S1007" i="25" s="1"/>
  <c r="S1008" i="25" s="1"/>
  <c r="S1009" i="25" s="1"/>
  <c r="S1010" i="25" s="1"/>
  <c r="S1011" i="25" s="1"/>
  <c r="S1012" i="25" s="1"/>
  <c r="S1013" i="25" s="1"/>
  <c r="S1014" i="25" s="1"/>
  <c r="S1015" i="25" s="1"/>
  <c r="S1016" i="25" s="1"/>
  <c r="S1017" i="25" s="1"/>
  <c r="S1018" i="25" s="1"/>
  <c r="S1019" i="25" s="1"/>
  <c r="S1020" i="25" s="1"/>
  <c r="S1021" i="25" s="1"/>
  <c r="S1022" i="25" s="1"/>
  <c r="S1023" i="25" s="1"/>
  <c r="S1024" i="25" s="1"/>
  <c r="S1025" i="25" s="1"/>
  <c r="S1026" i="25" s="1"/>
  <c r="S1027" i="25" s="1"/>
  <c r="S1028" i="25" s="1"/>
  <c r="S1029" i="25" s="1"/>
  <c r="S1030" i="25" s="1"/>
  <c r="S1031" i="25" s="1"/>
  <c r="S1032" i="25" s="1"/>
  <c r="S1033" i="25" s="1"/>
  <c r="S1034" i="25" s="1"/>
  <c r="S1035" i="25" s="1"/>
  <c r="S1036" i="25" s="1"/>
  <c r="S1037" i="25" s="1"/>
  <c r="S1038" i="25" s="1"/>
  <c r="S1039" i="25" s="1"/>
  <c r="S1040" i="25" s="1"/>
  <c r="S1041" i="25" s="1"/>
  <c r="S1042" i="25" s="1"/>
  <c r="S1043" i="25" s="1"/>
  <c r="S1044" i="25" s="1"/>
  <c r="S1045" i="25" s="1"/>
  <c r="S1046" i="25" s="1"/>
  <c r="S1047" i="25" s="1"/>
  <c r="S1048" i="25" s="1"/>
  <c r="S1049" i="25" s="1"/>
  <c r="S1050" i="25" s="1"/>
  <c r="S1051" i="25" s="1"/>
  <c r="S1052" i="25" s="1"/>
  <c r="S1053" i="25" s="1"/>
  <c r="S1054" i="25" s="1"/>
  <c r="S1055" i="25" s="1"/>
  <c r="S1056" i="25" s="1"/>
  <c r="S1057" i="25" s="1"/>
  <c r="S1058" i="25" s="1"/>
  <c r="S1059" i="25" s="1"/>
  <c r="S1060" i="25" s="1"/>
  <c r="S1061" i="25" s="1"/>
  <c r="S1062" i="25" s="1"/>
  <c r="S1063" i="25" s="1"/>
  <c r="S1064" i="25" s="1"/>
  <c r="S1065" i="25" s="1"/>
  <c r="S1066" i="25" s="1"/>
  <c r="S1067" i="25" s="1"/>
  <c r="S1068" i="25" s="1"/>
  <c r="S1069" i="25" s="1"/>
  <c r="S1070" i="25" s="1"/>
  <c r="S1071" i="25" s="1"/>
  <c r="S1072" i="25" s="1"/>
  <c r="S1073" i="25" s="1"/>
  <c r="S1074" i="25" s="1"/>
  <c r="S1075" i="25" s="1"/>
  <c r="S1076" i="25" s="1"/>
  <c r="S1077" i="25" s="1"/>
  <c r="S1078" i="25" s="1"/>
  <c r="S1079" i="25" s="1"/>
  <c r="S1080" i="25" s="1"/>
  <c r="S1081" i="25" s="1"/>
  <c r="S1082" i="25" s="1"/>
  <c r="S1083" i="25" s="1"/>
  <c r="S1084" i="25" s="1"/>
  <c r="S1085" i="25" s="1"/>
  <c r="S1086" i="25" s="1"/>
  <c r="S1087" i="25" s="1"/>
  <c r="S1088" i="25" s="1"/>
  <c r="S1089" i="25" s="1"/>
  <c r="S1090" i="25" s="1"/>
  <c r="S1091" i="25" s="1"/>
  <c r="S1092" i="25" s="1"/>
  <c r="S1093" i="25" s="1"/>
  <c r="S1094" i="25" s="1"/>
  <c r="S1095" i="25" s="1"/>
  <c r="S1096" i="25" s="1"/>
  <c r="S1097" i="25" s="1"/>
  <c r="S1098" i="25" s="1"/>
  <c r="S1099" i="25" s="1"/>
  <c r="S1100" i="25" s="1"/>
  <c r="S1101" i="25" s="1"/>
  <c r="S1102" i="25" s="1"/>
  <c r="S1103" i="25" s="1"/>
  <c r="S1104" i="25" s="1"/>
  <c r="S1105" i="25" s="1"/>
  <c r="S1106" i="25" s="1"/>
  <c r="S1107" i="25" s="1"/>
  <c r="S1108" i="25" s="1"/>
  <c r="S1109" i="25" s="1"/>
  <c r="S1110" i="25" s="1"/>
  <c r="S1111" i="25" s="1"/>
  <c r="S1112" i="25" s="1"/>
  <c r="S1113" i="25" s="1"/>
  <c r="S1114" i="25" s="1"/>
  <c r="S1115" i="25" s="1"/>
  <c r="S1116" i="25" s="1"/>
  <c r="S1117" i="25" s="1"/>
  <c r="S1118" i="25" s="1"/>
  <c r="S1119" i="25" s="1"/>
  <c r="S1120" i="25" s="1"/>
  <c r="S1121" i="25" s="1"/>
  <c r="S1122" i="25" s="1"/>
  <c r="S1123" i="25" s="1"/>
  <c r="S1124" i="25" s="1"/>
  <c r="S1125" i="25" s="1"/>
  <c r="S1126" i="25" s="1"/>
  <c r="S1127" i="25" s="1"/>
  <c r="S1128" i="25" s="1"/>
  <c r="S1129" i="25" s="1"/>
  <c r="S1130" i="25" s="1"/>
  <c r="S1131" i="25" s="1"/>
  <c r="S1132" i="25" s="1"/>
  <c r="S1133" i="25" s="1"/>
  <c r="S1134" i="25" s="1"/>
  <c r="S1135" i="25" s="1"/>
  <c r="S1136" i="25" s="1"/>
  <c r="S1137" i="25" s="1"/>
  <c r="S1138" i="25" s="1"/>
  <c r="S1139" i="25" s="1"/>
  <c r="S1140" i="25" s="1"/>
  <c r="S1141" i="25" s="1"/>
  <c r="S1142" i="25" s="1"/>
  <c r="S1143" i="25" s="1"/>
  <c r="S1144" i="25" s="1"/>
  <c r="S1145" i="25" s="1"/>
  <c r="S1146" i="25" s="1"/>
  <c r="S1147" i="25" s="1"/>
  <c r="S1148" i="25" s="1"/>
  <c r="S1149" i="25" s="1"/>
  <c r="S1150" i="25" s="1"/>
  <c r="S1151" i="25" s="1"/>
  <c r="S1152" i="25" s="1"/>
  <c r="S1153" i="25" s="1"/>
  <c r="S1154" i="25" s="1"/>
  <c r="S1155" i="25" s="1"/>
  <c r="S1156" i="25" s="1"/>
  <c r="S1157" i="25" s="1"/>
  <c r="S1158" i="25" s="1"/>
  <c r="S1159" i="25" s="1"/>
  <c r="S1160" i="25" s="1"/>
  <c r="S1161" i="25" s="1"/>
  <c r="S1162" i="25" s="1"/>
  <c r="S1163" i="25" s="1"/>
  <c r="S1164" i="25" s="1"/>
  <c r="S1165" i="25" s="1"/>
  <c r="S1166" i="25" s="1"/>
  <c r="S1167" i="25" s="1"/>
  <c r="S1168" i="25" s="1"/>
  <c r="S1169" i="25" s="1"/>
  <c r="S1170" i="25" s="1"/>
  <c r="S1171" i="25" s="1"/>
  <c r="S1172" i="25" s="1"/>
  <c r="S1173" i="25" s="1"/>
  <c r="S1174" i="25" s="1"/>
  <c r="S1175" i="25" s="1"/>
  <c r="S1176" i="25" s="1"/>
  <c r="S1177" i="25" s="1"/>
  <c r="S1178" i="25" s="1"/>
  <c r="S1179" i="25" s="1"/>
  <c r="S1180" i="25" s="1"/>
  <c r="S1181" i="25" s="1"/>
  <c r="S1182" i="25" s="1"/>
  <c r="S1183" i="25" s="1"/>
  <c r="S1184" i="25" s="1"/>
  <c r="S1185" i="25" s="1"/>
  <c r="S1186" i="25" s="1"/>
  <c r="S1187" i="25" s="1"/>
  <c r="S1188" i="25" s="1"/>
  <c r="S1189" i="25" s="1"/>
  <c r="S1190" i="25" s="1"/>
  <c r="S1191" i="25" s="1"/>
  <c r="S1192" i="25" s="1"/>
  <c r="S1193" i="25" s="1"/>
  <c r="S1194" i="25" s="1"/>
  <c r="S1195" i="25" s="1"/>
  <c r="S1196" i="25" s="1"/>
  <c r="S1197" i="25" s="1"/>
  <c r="S1198" i="25" s="1"/>
  <c r="S1199" i="25" s="1"/>
  <c r="S1200" i="25" s="1"/>
  <c r="S1201" i="25" s="1"/>
  <c r="S1202" i="25" s="1"/>
  <c r="S1203" i="25" s="1"/>
  <c r="S1204" i="25" s="1"/>
  <c r="S1205" i="25" s="1"/>
  <c r="S1206" i="25" s="1"/>
  <c r="S1207" i="25" s="1"/>
  <c r="S1208" i="25" s="1"/>
  <c r="S1209" i="25" s="1"/>
  <c r="S1210" i="25" s="1"/>
  <c r="S1211" i="25" s="1"/>
  <c r="S1212" i="25" s="1"/>
  <c r="S1213" i="25" s="1"/>
  <c r="S1214" i="25" s="1"/>
  <c r="S1215" i="25" s="1"/>
  <c r="S1216" i="25" s="1"/>
  <c r="S1217" i="25" s="1"/>
  <c r="S1218" i="25" s="1"/>
  <c r="S1219" i="25" s="1"/>
  <c r="S1220" i="25" s="1"/>
  <c r="S1221" i="25" s="1"/>
  <c r="S1222" i="25" s="1"/>
  <c r="S1223" i="25" s="1"/>
  <c r="S1224" i="25" s="1"/>
  <c r="S1225" i="25" s="1"/>
  <c r="S1226" i="25" s="1"/>
  <c r="S1227" i="25" s="1"/>
  <c r="S1228" i="25" s="1"/>
  <c r="S1229" i="25" s="1"/>
  <c r="S1230" i="25" s="1"/>
  <c r="S1231" i="25" s="1"/>
  <c r="S1232" i="25" s="1"/>
  <c r="S1233" i="25" s="1"/>
  <c r="S1234" i="25" s="1"/>
  <c r="S1235" i="25" s="1"/>
  <c r="S1236" i="25" s="1"/>
  <c r="S1237" i="25" s="1"/>
  <c r="S1238" i="25" s="1"/>
  <c r="S1239" i="25" s="1"/>
  <c r="S1240" i="25" s="1"/>
  <c r="S1241" i="25" s="1"/>
  <c r="S1242" i="25" s="1"/>
  <c r="S1243" i="25" s="1"/>
  <c r="S1244" i="25" s="1"/>
  <c r="S1245" i="25" s="1"/>
  <c r="S1246" i="25" s="1"/>
  <c r="S1247" i="25" s="1"/>
  <c r="S1248" i="25" s="1"/>
  <c r="S1249" i="25" s="1"/>
  <c r="S1250" i="25" s="1"/>
  <c r="S1251" i="25" s="1"/>
  <c r="S1252" i="25" s="1"/>
  <c r="S1253" i="25" s="1"/>
  <c r="S1254" i="25" s="1"/>
  <c r="S1255" i="25" s="1"/>
  <c r="S1256" i="25" s="1"/>
  <c r="S1257" i="25" s="1"/>
  <c r="S1258" i="25" s="1"/>
  <c r="S1259" i="25" s="1"/>
  <c r="S1260" i="25" s="1"/>
  <c r="S1261" i="25" s="1"/>
  <c r="S1262" i="25" s="1"/>
  <c r="S1263" i="25" s="1"/>
  <c r="S1264" i="25" s="1"/>
  <c r="S1265" i="25" s="1"/>
  <c r="S1266" i="25" s="1"/>
  <c r="S1267" i="25" s="1"/>
  <c r="S1268" i="25" s="1"/>
  <c r="S1269" i="25" s="1"/>
  <c r="S1270" i="25" s="1"/>
  <c r="S1271" i="25" s="1"/>
  <c r="S1272" i="25" s="1"/>
  <c r="S1273" i="25" s="1"/>
  <c r="S1274" i="25" s="1"/>
  <c r="S1275" i="25" s="1"/>
  <c r="S1276" i="25" s="1"/>
  <c r="S1277" i="25" s="1"/>
  <c r="S1278" i="25" s="1"/>
  <c r="S1279" i="25" s="1"/>
  <c r="S1280" i="25" s="1"/>
  <c r="S1281" i="25" s="1"/>
  <c r="S1282" i="25" s="1"/>
  <c r="S1283" i="25" s="1"/>
  <c r="S1284" i="25" s="1"/>
  <c r="S1285" i="25" s="1"/>
  <c r="S1286" i="25" s="1"/>
  <c r="S1287" i="25" s="1"/>
  <c r="S1288" i="25" s="1"/>
  <c r="S1289" i="25" s="1"/>
  <c r="S1290" i="25" s="1"/>
  <c r="S1291" i="25" s="1"/>
  <c r="S1292" i="25" s="1"/>
  <c r="S1293" i="25" s="1"/>
  <c r="S1294" i="25" s="1"/>
  <c r="S1295" i="25" s="1"/>
  <c r="S1296" i="25" s="1"/>
  <c r="S1297" i="25" s="1"/>
  <c r="S1298" i="25" s="1"/>
  <c r="S1299" i="25" s="1"/>
  <c r="S1300" i="25" s="1"/>
  <c r="S1301" i="25" s="1"/>
  <c r="S1302" i="25" s="1"/>
  <c r="S1303" i="25" s="1"/>
  <c r="S1304" i="25" s="1"/>
  <c r="S1305" i="25" s="1"/>
  <c r="S1306" i="25" s="1"/>
  <c r="S1307" i="25" s="1"/>
  <c r="S1308" i="25" s="1"/>
  <c r="S1309" i="25" s="1"/>
  <c r="S1310" i="25" s="1"/>
  <c r="S1311" i="25" s="1"/>
  <c r="S1312" i="25" s="1"/>
  <c r="S1313" i="25" s="1"/>
  <c r="S1314" i="25" s="1"/>
  <c r="S1315" i="25" s="1"/>
  <c r="S1316" i="25" s="1"/>
  <c r="S1317" i="25" s="1"/>
  <c r="S1318" i="25" s="1"/>
  <c r="S1319" i="25" s="1"/>
  <c r="S1320" i="25" s="1"/>
  <c r="S1321" i="25" s="1"/>
  <c r="S1322" i="25" s="1"/>
  <c r="S1323" i="25" s="1"/>
  <c r="S1324" i="25" s="1"/>
  <c r="S1325" i="25" s="1"/>
  <c r="S1326" i="25" s="1"/>
  <c r="S1327" i="25" s="1"/>
  <c r="S1328" i="25" s="1"/>
  <c r="S1329" i="25" s="1"/>
  <c r="S1330" i="25" s="1"/>
  <c r="S1331" i="25" s="1"/>
  <c r="S1332" i="25" s="1"/>
  <c r="S1333" i="25" s="1"/>
  <c r="S1334" i="25" s="1"/>
  <c r="S1335" i="25" s="1"/>
  <c r="S1336" i="25" s="1"/>
  <c r="S1337" i="25" s="1"/>
  <c r="S1338" i="25" s="1"/>
  <c r="S1339" i="25" s="1"/>
  <c r="S1340" i="25" s="1"/>
  <c r="S1341" i="25" s="1"/>
  <c r="S1342" i="25" s="1"/>
  <c r="S1343" i="25" s="1"/>
  <c r="S1344" i="25" s="1"/>
  <c r="S1345" i="25" s="1"/>
  <c r="S1346" i="25" s="1"/>
  <c r="S1347" i="25" s="1"/>
  <c r="S1348" i="25" s="1"/>
  <c r="S1349" i="25" s="1"/>
  <c r="S1350" i="25" s="1"/>
  <c r="S1351" i="25" s="1"/>
  <c r="S1352" i="25" s="1"/>
  <c r="S1353" i="25" s="1"/>
  <c r="S1354" i="25" s="1"/>
  <c r="S1355" i="25" s="1"/>
  <c r="S1356" i="25" s="1"/>
  <c r="S1357" i="25" s="1"/>
  <c r="S1358" i="25" s="1"/>
  <c r="S1359" i="25" s="1"/>
  <c r="S1360" i="25" s="1"/>
  <c r="S1361" i="25" s="1"/>
  <c r="S1362" i="25" s="1"/>
  <c r="S1363" i="25" s="1"/>
  <c r="S1364" i="25" s="1"/>
  <c r="S1365" i="25" s="1"/>
  <c r="S1366" i="25" s="1"/>
  <c r="S1367" i="25" s="1"/>
  <c r="S1368" i="25" s="1"/>
  <c r="S1369" i="25" s="1"/>
  <c r="S1370" i="25" s="1"/>
  <c r="S1371" i="25" s="1"/>
  <c r="S1372" i="25" s="1"/>
  <c r="S1373" i="25" s="1"/>
  <c r="S1374" i="25" s="1"/>
  <c r="S1375" i="25" s="1"/>
  <c r="S1376" i="25" s="1"/>
  <c r="S1377" i="25" s="1"/>
  <c r="S1378" i="25" s="1"/>
  <c r="S1379" i="25" s="1"/>
  <c r="S1380" i="25" s="1"/>
  <c r="S1381" i="25" s="1"/>
  <c r="S1382" i="25" s="1"/>
  <c r="S1383" i="25" s="1"/>
  <c r="S1384" i="25" s="1"/>
  <c r="S1385" i="25" s="1"/>
  <c r="S1386" i="25" s="1"/>
  <c r="S1387" i="25" s="1"/>
  <c r="S1388" i="25" s="1"/>
  <c r="S1389" i="25" s="1"/>
  <c r="S1390" i="25" s="1"/>
  <c r="S1391" i="25" s="1"/>
  <c r="S1392" i="25" s="1"/>
  <c r="S1393" i="25" s="1"/>
  <c r="S1394" i="25" s="1"/>
  <c r="S1395" i="25" s="1"/>
  <c r="S1396" i="25" s="1"/>
  <c r="S1397" i="25" s="1"/>
  <c r="S1398" i="25" s="1"/>
  <c r="S1399" i="25" s="1"/>
  <c r="S1400" i="25" s="1"/>
  <c r="S1401" i="25" s="1"/>
  <c r="S1402" i="25" s="1"/>
  <c r="S1403" i="25" s="1"/>
  <c r="S1404" i="25" s="1"/>
  <c r="S1405" i="25" s="1"/>
  <c r="S1406" i="25" s="1"/>
  <c r="S1407" i="25" s="1"/>
  <c r="S1408" i="25" s="1"/>
  <c r="S1409" i="25" s="1"/>
  <c r="S1410" i="25" s="1"/>
  <c r="S1411" i="25" s="1"/>
  <c r="S1412" i="25" s="1"/>
  <c r="S1413" i="25" s="1"/>
  <c r="S1414" i="25" s="1"/>
  <c r="S1415" i="25" s="1"/>
  <c r="S1416" i="25" s="1"/>
  <c r="S1417" i="25" s="1"/>
  <c r="S1418" i="25" s="1"/>
  <c r="S1419" i="25" s="1"/>
  <c r="S1420" i="25" s="1"/>
  <c r="S1421" i="25" s="1"/>
  <c r="S1422" i="25" s="1"/>
  <c r="S1423" i="25" s="1"/>
  <c r="S1424" i="25" s="1"/>
  <c r="S1425" i="25" s="1"/>
  <c r="S1426" i="25" s="1"/>
  <c r="S1427" i="25" s="1"/>
  <c r="S1428" i="25" s="1"/>
  <c r="S1429" i="25" s="1"/>
  <c r="S1430" i="25" s="1"/>
  <c r="S1431" i="25" s="1"/>
  <c r="S1432" i="25" s="1"/>
  <c r="S1433" i="25" s="1"/>
  <c r="S1434" i="25" s="1"/>
  <c r="S1435" i="25" s="1"/>
  <c r="S1436" i="25" s="1"/>
  <c r="S1437" i="25" s="1"/>
  <c r="S1438" i="25" s="1"/>
  <c r="S1439" i="25" s="1"/>
  <c r="S1440" i="25" s="1"/>
  <c r="S1441" i="25" s="1"/>
  <c r="S1442" i="25" s="1"/>
  <c r="S1443" i="25" s="1"/>
  <c r="S1444" i="25" s="1"/>
  <c r="S1445" i="25" s="1"/>
  <c r="S1446" i="25" s="1"/>
  <c r="S1447" i="25" s="1"/>
  <c r="S1448" i="25" s="1"/>
  <c r="S1449" i="25" s="1"/>
  <c r="S1450" i="25" s="1"/>
  <c r="S1451" i="25" s="1"/>
  <c r="S1452" i="25" s="1"/>
  <c r="S1453" i="25" s="1"/>
  <c r="S1454" i="25" s="1"/>
  <c r="S1455" i="25" s="1"/>
  <c r="S1456" i="25" s="1"/>
  <c r="S1457" i="25" s="1"/>
  <c r="S1458" i="25" s="1"/>
  <c r="S1459" i="25" s="1"/>
  <c r="S1460" i="25" s="1"/>
  <c r="S1461" i="25" s="1"/>
  <c r="S1462" i="25" s="1"/>
  <c r="S1463" i="25" s="1"/>
  <c r="S1464" i="25" s="1"/>
  <c r="S1465" i="25" s="1"/>
  <c r="S1466" i="25" s="1"/>
  <c r="S1467" i="25" s="1"/>
  <c r="S1468" i="25" s="1"/>
  <c r="S1469" i="25" s="1"/>
  <c r="S1470" i="25" s="1"/>
  <c r="S1471" i="25" s="1"/>
  <c r="S1472" i="25" s="1"/>
  <c r="S1473" i="25" s="1"/>
  <c r="S1474" i="25" s="1"/>
  <c r="S1475" i="25" s="1"/>
  <c r="S1476" i="25" s="1"/>
  <c r="S1477" i="25" s="1"/>
  <c r="S1478" i="25" s="1"/>
  <c r="S1479" i="25" s="1"/>
  <c r="S1480" i="25" s="1"/>
  <c r="S1481" i="25" s="1"/>
  <c r="S1482" i="25" s="1"/>
  <c r="S1483" i="25" s="1"/>
  <c r="S1484" i="25" s="1"/>
  <c r="S1485" i="25" s="1"/>
  <c r="S1486" i="25" s="1"/>
  <c r="S1487" i="25" s="1"/>
  <c r="S1488" i="25" s="1"/>
  <c r="S1489" i="25" s="1"/>
  <c r="S1490" i="25" s="1"/>
  <c r="S1491" i="25" s="1"/>
  <c r="S1492" i="25" s="1"/>
  <c r="S1493" i="25" s="1"/>
  <c r="S1494" i="25" s="1"/>
  <c r="S1495" i="25" s="1"/>
  <c r="S1496" i="25" s="1"/>
  <c r="S1497" i="25" s="1"/>
  <c r="S1498" i="25" s="1"/>
  <c r="S1499" i="25" s="1"/>
  <c r="S1500" i="25" s="1"/>
  <c r="S1501" i="25" s="1"/>
  <c r="S1502" i="25" s="1"/>
  <c r="S1503" i="25" s="1"/>
  <c r="S1504" i="25" s="1"/>
  <c r="S1505" i="25" s="1"/>
  <c r="S1506" i="25" s="1"/>
  <c r="S1507" i="25" s="1"/>
  <c r="S1508" i="25" s="1"/>
  <c r="S1509" i="25" s="1"/>
  <c r="S1510" i="25" s="1"/>
  <c r="S1511" i="25" s="1"/>
  <c r="S1512" i="25" s="1"/>
  <c r="S1513" i="25" s="1"/>
  <c r="S1514" i="25" s="1"/>
  <c r="S1515" i="25" s="1"/>
  <c r="S1516" i="25" s="1"/>
  <c r="S1517" i="25" s="1"/>
  <c r="S1518" i="25" s="1"/>
  <c r="S1519" i="25" s="1"/>
  <c r="S1520" i="25" s="1"/>
  <c r="S1521" i="25" s="1"/>
  <c r="S1522" i="25" s="1"/>
  <c r="S1523" i="25" s="1"/>
  <c r="S1524" i="25" s="1"/>
  <c r="S1525" i="25" s="1"/>
  <c r="S1526" i="25" s="1"/>
  <c r="S1527" i="25" s="1"/>
  <c r="S1528" i="25" s="1"/>
  <c r="S1529" i="25" s="1"/>
  <c r="S1530" i="25" s="1"/>
  <c r="S1531" i="25" s="1"/>
  <c r="S1532" i="25" s="1"/>
  <c r="S1533" i="25" s="1"/>
  <c r="S1534" i="25" s="1"/>
  <c r="S1535" i="25" s="1"/>
  <c r="S1536" i="25" s="1"/>
  <c r="S1537" i="25" s="1"/>
  <c r="S1538" i="25" s="1"/>
  <c r="S1539" i="25" s="1"/>
  <c r="S1540" i="25" s="1"/>
  <c r="S1541" i="25" s="1"/>
  <c r="S1542" i="25" s="1"/>
  <c r="S1543" i="25" s="1"/>
  <c r="S1544" i="25" s="1"/>
  <c r="S1545" i="25" s="1"/>
  <c r="S1546" i="25" s="1"/>
  <c r="S1547" i="25" s="1"/>
  <c r="S1548" i="25" s="1"/>
  <c r="S1549" i="25" s="1"/>
  <c r="S1550" i="25" s="1"/>
  <c r="S1551" i="25" s="1"/>
  <c r="S1552" i="25" s="1"/>
  <c r="S1553" i="25" s="1"/>
  <c r="S1554" i="25" s="1"/>
  <c r="S1555" i="25" s="1"/>
  <c r="S1556" i="25" s="1"/>
  <c r="S1557" i="25" s="1"/>
  <c r="S1558" i="25" s="1"/>
  <c r="S1559" i="25" s="1"/>
  <c r="S1560" i="25" s="1"/>
  <c r="S1561" i="25" s="1"/>
  <c r="S1562" i="25" s="1"/>
  <c r="S1563" i="25" s="1"/>
  <c r="S1564" i="25" s="1"/>
  <c r="S1565" i="25" s="1"/>
  <c r="S1566" i="25" s="1"/>
  <c r="S1567" i="25" s="1"/>
  <c r="S1568" i="25" s="1"/>
  <c r="S1569" i="25" s="1"/>
  <c r="S1570" i="25" s="1"/>
  <c r="S1571" i="25" s="1"/>
  <c r="S1572" i="25" s="1"/>
  <c r="S1573" i="25" s="1"/>
  <c r="S1574" i="25" s="1"/>
  <c r="S1575" i="25" s="1"/>
  <c r="S1576" i="25" s="1"/>
  <c r="S1577" i="25" s="1"/>
  <c r="S1578" i="25" s="1"/>
  <c r="S1579" i="25" s="1"/>
  <c r="S1580" i="25" s="1"/>
  <c r="S1581" i="25" s="1"/>
  <c r="S1582" i="25" s="1"/>
  <c r="S1583" i="25" s="1"/>
  <c r="S1584" i="25" s="1"/>
  <c r="S1585" i="25" s="1"/>
  <c r="S1586" i="25" s="1"/>
  <c r="S1587" i="25" s="1"/>
  <c r="S1588" i="25" s="1"/>
  <c r="S1589" i="25" s="1"/>
  <c r="S1590" i="25" s="1"/>
  <c r="S1591" i="25" s="1"/>
  <c r="S1592" i="25" s="1"/>
  <c r="S1593" i="25" s="1"/>
  <c r="S1594" i="25" s="1"/>
  <c r="S1595" i="25" s="1"/>
  <c r="S1596" i="25" s="1"/>
  <c r="S1597" i="25" s="1"/>
  <c r="S1598" i="25" s="1"/>
  <c r="S1599" i="25" s="1"/>
  <c r="S1600" i="25" s="1"/>
  <c r="S1601" i="25" s="1"/>
  <c r="S1602" i="25" s="1"/>
  <c r="S1603" i="25" s="1"/>
  <c r="S1604" i="25" s="1"/>
  <c r="S1605" i="25" s="1"/>
  <c r="S1606" i="25" s="1"/>
  <c r="S1607" i="25" s="1"/>
  <c r="S1608" i="25" s="1"/>
  <c r="S1609" i="25" s="1"/>
  <c r="S1610" i="25" s="1"/>
  <c r="S1611" i="25" s="1"/>
  <c r="S1612" i="25" s="1"/>
  <c r="S1613" i="25" s="1"/>
  <c r="S1614" i="25" s="1"/>
  <c r="S1615" i="25" s="1"/>
  <c r="S1616" i="25" s="1"/>
  <c r="S1617" i="25" s="1"/>
  <c r="S1618" i="25" s="1"/>
  <c r="S1619" i="25" s="1"/>
  <c r="S1620" i="25" s="1"/>
  <c r="S1621" i="25" s="1"/>
  <c r="S1622" i="25" s="1"/>
  <c r="S1623" i="25" s="1"/>
  <c r="S1624" i="25" s="1"/>
  <c r="S1625" i="25" s="1"/>
  <c r="S1626" i="25" s="1"/>
  <c r="S1627" i="25" s="1"/>
  <c r="S1628" i="25" s="1"/>
  <c r="S1629" i="25" s="1"/>
  <c r="S1630" i="25" s="1"/>
  <c r="S1631" i="25" s="1"/>
  <c r="S1632" i="25" s="1"/>
  <c r="S1633" i="25" s="1"/>
  <c r="S1634" i="25" s="1"/>
  <c r="S1635" i="25" s="1"/>
  <c r="S1636" i="25" s="1"/>
  <c r="S1637" i="25" s="1"/>
  <c r="S1638" i="25" s="1"/>
  <c r="S1639" i="25" s="1"/>
  <c r="S1640" i="25" s="1"/>
  <c r="S1641" i="25" s="1"/>
  <c r="S1642" i="25" s="1"/>
  <c r="S1643" i="25" s="1"/>
  <c r="S1644" i="25" s="1"/>
  <c r="S1645" i="25" s="1"/>
  <c r="S1646" i="25" s="1"/>
  <c r="S1647" i="25" s="1"/>
  <c r="S1648" i="25" s="1"/>
  <c r="S1649" i="25" s="1"/>
  <c r="S1650" i="25" s="1"/>
  <c r="S1651" i="25" s="1"/>
  <c r="S1652" i="25" s="1"/>
  <c r="S1653" i="25" s="1"/>
  <c r="S1654" i="25" s="1"/>
  <c r="S1655" i="25" s="1"/>
  <c r="S1656" i="25" s="1"/>
  <c r="S1657" i="25" s="1"/>
  <c r="S1658" i="25" s="1"/>
  <c r="S1659" i="25" s="1"/>
  <c r="S1660" i="25" s="1"/>
  <c r="S1661" i="25" s="1"/>
  <c r="S1662" i="25" s="1"/>
  <c r="S1663" i="25" s="1"/>
  <c r="S1664" i="25" s="1"/>
  <c r="S1665" i="25" s="1"/>
  <c r="S1666" i="25" s="1"/>
  <c r="S1667" i="25" s="1"/>
  <c r="S1668" i="25" s="1"/>
  <c r="S1669" i="25" s="1"/>
  <c r="S1670" i="25" s="1"/>
  <c r="S1671" i="25" s="1"/>
  <c r="S1672" i="25" s="1"/>
  <c r="S1673" i="25" s="1"/>
  <c r="S1674" i="25" s="1"/>
  <c r="S1675" i="25" s="1"/>
  <c r="S1676" i="25" s="1"/>
  <c r="S1677" i="25" s="1"/>
  <c r="S1678" i="25" s="1"/>
  <c r="S1679" i="25" s="1"/>
  <c r="S1680" i="25" s="1"/>
  <c r="S1681" i="25" s="1"/>
  <c r="S1682" i="25" s="1"/>
  <c r="S1683" i="25" s="1"/>
  <c r="S1684" i="25" s="1"/>
  <c r="S1685" i="25" s="1"/>
  <c r="S1686" i="25" s="1"/>
  <c r="S1687" i="25" s="1"/>
  <c r="S1688" i="25" s="1"/>
  <c r="S1689" i="25" s="1"/>
  <c r="S1690" i="25" s="1"/>
  <c r="S1691" i="25" s="1"/>
  <c r="S1692" i="25" s="1"/>
  <c r="S1693" i="25" s="1"/>
  <c r="S1694" i="25" s="1"/>
  <c r="S1695" i="25" s="1"/>
  <c r="S1696" i="25" s="1"/>
  <c r="S1697" i="25" s="1"/>
  <c r="S1698" i="25" s="1"/>
  <c r="S1699" i="25" s="1"/>
  <c r="S1700" i="25" s="1"/>
  <c r="S1701" i="25" s="1"/>
  <c r="S1702" i="25" s="1"/>
  <c r="S1703" i="25" s="1"/>
  <c r="S1704" i="25" s="1"/>
  <c r="S1705" i="25" s="1"/>
  <c r="S1706" i="25" s="1"/>
  <c r="S1707" i="25" s="1"/>
  <c r="S1708" i="25" s="1"/>
  <c r="S1709" i="25" s="1"/>
  <c r="S1710" i="25" s="1"/>
  <c r="S1711" i="25" s="1"/>
  <c r="S1712" i="25" s="1"/>
  <c r="S1713" i="25" s="1"/>
  <c r="S1714" i="25" s="1"/>
  <c r="S1715" i="25" s="1"/>
  <c r="S1716" i="25" s="1"/>
  <c r="S1717" i="25" s="1"/>
  <c r="S1718" i="25" s="1"/>
  <c r="S1719" i="25" s="1"/>
  <c r="S1720" i="25" s="1"/>
  <c r="S1721" i="25" s="1"/>
  <c r="S1722" i="25" s="1"/>
  <c r="S1723" i="25" s="1"/>
  <c r="S1724" i="25" s="1"/>
  <c r="S1725" i="25" s="1"/>
  <c r="S1726" i="25" s="1"/>
  <c r="S1727" i="25" s="1"/>
  <c r="S1728" i="25" s="1"/>
  <c r="S1729" i="25" s="1"/>
  <c r="S1730" i="25" s="1"/>
  <c r="S1731" i="25" s="1"/>
  <c r="S1732" i="25" s="1"/>
  <c r="S1733" i="25" s="1"/>
  <c r="S1734" i="25" s="1"/>
  <c r="S1735" i="25" s="1"/>
  <c r="S1736" i="25" s="1"/>
  <c r="S1737" i="25" s="1"/>
  <c r="S1738" i="25" s="1"/>
  <c r="S1739" i="25" s="1"/>
  <c r="S1740" i="25" s="1"/>
  <c r="S1741" i="25" s="1"/>
  <c r="S1742" i="25" s="1"/>
  <c r="S1743" i="25" s="1"/>
  <c r="S1744" i="25" s="1"/>
  <c r="S1745" i="25" s="1"/>
  <c r="S1746" i="25" s="1"/>
  <c r="S1747" i="25" s="1"/>
  <c r="S1748" i="25" s="1"/>
  <c r="S1749" i="25" s="1"/>
  <c r="S1750" i="25" s="1"/>
  <c r="S1751" i="25" s="1"/>
  <c r="S1752" i="25" s="1"/>
  <c r="S1753" i="25" s="1"/>
  <c r="S1754" i="25" s="1"/>
  <c r="S1755" i="25" s="1"/>
  <c r="S1756" i="25" s="1"/>
  <c r="S1757" i="25" s="1"/>
  <c r="S1758" i="25" s="1"/>
  <c r="S1759" i="25" s="1"/>
  <c r="S1760" i="25" s="1"/>
  <c r="S1761" i="25" s="1"/>
  <c r="S1762" i="25" s="1"/>
  <c r="S1763" i="25" s="1"/>
  <c r="S1764" i="25" s="1"/>
  <c r="S1765" i="25" s="1"/>
  <c r="S1766" i="25" s="1"/>
  <c r="S1767" i="25" s="1"/>
  <c r="S1768" i="25" s="1"/>
  <c r="S1769" i="25" s="1"/>
  <c r="S1770" i="25" s="1"/>
  <c r="S1771" i="25" s="1"/>
  <c r="S1772" i="25" s="1"/>
  <c r="S1773" i="25" s="1"/>
  <c r="S1774" i="25" s="1"/>
  <c r="S1775" i="25" s="1"/>
  <c r="S1776" i="25" s="1"/>
  <c r="S1777" i="25" s="1"/>
  <c r="S1778" i="25" s="1"/>
  <c r="S1779" i="25" s="1"/>
  <c r="S1780" i="25" s="1"/>
  <c r="S1781" i="25" s="1"/>
  <c r="S1782" i="25" s="1"/>
  <c r="S1783" i="25" s="1"/>
  <c r="S1784" i="25" s="1"/>
  <c r="S1785" i="25" s="1"/>
  <c r="S1786" i="25" s="1"/>
  <c r="S1787" i="25" s="1"/>
  <c r="S1788" i="25" s="1"/>
  <c r="S1789" i="25" s="1"/>
  <c r="S1790" i="25" s="1"/>
  <c r="S1791" i="25" s="1"/>
  <c r="S1792" i="25" s="1"/>
  <c r="S1793" i="25" s="1"/>
  <c r="S1794" i="25" s="1"/>
  <c r="S1795" i="25" s="1"/>
  <c r="S1796" i="25" s="1"/>
  <c r="S1797" i="25" s="1"/>
  <c r="S1798" i="25" s="1"/>
  <c r="S1799" i="25" s="1"/>
  <c r="S1800" i="25" s="1"/>
  <c r="S1801" i="25" s="1"/>
  <c r="S1802" i="25" s="1"/>
  <c r="S1803" i="25" s="1"/>
  <c r="S1804" i="25" s="1"/>
  <c r="S1805" i="25" s="1"/>
  <c r="S1806" i="25" s="1"/>
  <c r="S1807" i="25" s="1"/>
  <c r="S1808" i="25" s="1"/>
  <c r="S1809" i="25" s="1"/>
  <c r="S1810" i="25" s="1"/>
  <c r="S1811" i="25" s="1"/>
  <c r="S1812" i="25" s="1"/>
  <c r="S1813" i="25" s="1"/>
  <c r="S1814" i="25" s="1"/>
  <c r="S1815" i="25" s="1"/>
  <c r="S1816" i="25" s="1"/>
  <c r="S1817" i="25" s="1"/>
  <c r="S1818" i="25" s="1"/>
  <c r="S1819" i="25" s="1"/>
  <c r="S1820" i="25" s="1"/>
  <c r="S1821" i="25" s="1"/>
  <c r="S1822" i="25" s="1"/>
  <c r="S1823" i="25" s="1"/>
  <c r="S1824" i="25" s="1"/>
  <c r="S1825" i="25" s="1"/>
  <c r="S1826" i="25" s="1"/>
  <c r="S1827" i="25" s="1"/>
  <c r="S1828" i="25" s="1"/>
  <c r="S1829" i="25" s="1"/>
  <c r="S1830" i="25" s="1"/>
  <c r="S1831" i="25" s="1"/>
  <c r="S1832" i="25" s="1"/>
  <c r="S1833" i="25" s="1"/>
  <c r="S1834" i="25" s="1"/>
  <c r="S1835" i="25" s="1"/>
  <c r="S1836" i="25" s="1"/>
  <c r="S1837" i="25" s="1"/>
  <c r="S1838" i="25" s="1"/>
  <c r="S1839" i="25" s="1"/>
  <c r="S1840" i="25" s="1"/>
  <c r="S1841" i="25" s="1"/>
  <c r="S1842" i="25" s="1"/>
  <c r="S1843" i="25" s="1"/>
  <c r="S1844" i="25" s="1"/>
  <c r="S1845" i="25" s="1"/>
  <c r="S1846" i="25" s="1"/>
  <c r="S1847" i="25" s="1"/>
  <c r="S1848" i="25" s="1"/>
  <c r="S1849" i="25" s="1"/>
  <c r="S1850" i="25" s="1"/>
  <c r="S1851" i="25" s="1"/>
  <c r="S1852" i="25" s="1"/>
  <c r="S1853" i="25" s="1"/>
  <c r="S1854" i="25" s="1"/>
  <c r="S1855" i="25" s="1"/>
  <c r="S1856" i="25" s="1"/>
  <c r="S1857" i="25" s="1"/>
  <c r="S1858" i="25" s="1"/>
  <c r="S1859" i="25" s="1"/>
  <c r="S1860" i="25" s="1"/>
  <c r="S1861" i="25" s="1"/>
  <c r="S1862" i="25" s="1"/>
  <c r="S1863" i="25" s="1"/>
  <c r="S1864" i="25" s="1"/>
  <c r="S1865" i="25" s="1"/>
  <c r="S1866" i="25" s="1"/>
  <c r="S1867" i="25" s="1"/>
  <c r="S1868" i="25" s="1"/>
  <c r="S1869" i="25" s="1"/>
  <c r="S1870" i="25" s="1"/>
  <c r="S1871" i="25" s="1"/>
  <c r="S1872" i="25" s="1"/>
  <c r="S1873" i="25" s="1"/>
  <c r="S1874" i="25" s="1"/>
  <c r="S1875" i="25" s="1"/>
  <c r="S1876" i="25" s="1"/>
  <c r="S1877" i="25" s="1"/>
  <c r="S1878" i="25" s="1"/>
  <c r="S1879" i="25" s="1"/>
  <c r="S1880" i="25" s="1"/>
  <c r="S1881" i="25" s="1"/>
  <c r="S1882" i="25" s="1"/>
  <c r="S1883" i="25" s="1"/>
  <c r="S1884" i="25" s="1"/>
  <c r="S1885" i="25" s="1"/>
  <c r="S1886" i="25" s="1"/>
  <c r="S1887" i="25" s="1"/>
  <c r="S1888" i="25" s="1"/>
  <c r="S1889" i="25" s="1"/>
  <c r="S1890" i="25" s="1"/>
  <c r="S1891" i="25" s="1"/>
  <c r="S1892" i="25" s="1"/>
  <c r="S1893" i="25" s="1"/>
  <c r="S1894" i="25" s="1"/>
  <c r="S1895" i="25" s="1"/>
  <c r="S1896" i="25" s="1"/>
  <c r="S1897" i="25" s="1"/>
  <c r="S1898" i="25" s="1"/>
  <c r="S1899" i="25" s="1"/>
  <c r="S1900" i="25" s="1"/>
  <c r="S1901" i="25" s="1"/>
  <c r="S1902" i="25" s="1"/>
  <c r="S1903" i="25" s="1"/>
  <c r="S1904" i="25" s="1"/>
  <c r="S1905" i="25" s="1"/>
  <c r="S1906" i="25" s="1"/>
  <c r="S1907" i="25" s="1"/>
  <c r="S1908" i="25" s="1"/>
  <c r="S1909" i="25" s="1"/>
  <c r="S1910" i="25" s="1"/>
  <c r="S1911" i="25" s="1"/>
  <c r="S1912" i="25" s="1"/>
  <c r="S1913" i="25" s="1"/>
  <c r="S1914" i="25" s="1"/>
  <c r="S1915" i="25" s="1"/>
  <c r="S1916" i="25" s="1"/>
  <c r="S1917" i="25" s="1"/>
  <c r="S1918" i="25" s="1"/>
  <c r="S1919" i="25" s="1"/>
  <c r="S1920" i="25" s="1"/>
  <c r="S1921" i="25" s="1"/>
  <c r="S1922" i="25" s="1"/>
  <c r="S1923" i="25" s="1"/>
  <c r="S1924" i="25" s="1"/>
  <c r="S1925" i="25" s="1"/>
  <c r="S1926" i="25" s="1"/>
  <c r="S1927" i="25" s="1"/>
  <c r="S1928" i="25" s="1"/>
  <c r="S1929" i="25" s="1"/>
  <c r="S1930" i="25" s="1"/>
  <c r="S1931" i="25" s="1"/>
  <c r="S1932" i="25" s="1"/>
  <c r="S1933" i="25" s="1"/>
  <c r="S1934" i="25" s="1"/>
  <c r="S1935" i="25" s="1"/>
  <c r="S1936" i="25" s="1"/>
  <c r="S1937" i="25" s="1"/>
  <c r="S1938" i="25" s="1"/>
  <c r="S1939" i="25" s="1"/>
  <c r="S1940" i="25" s="1"/>
  <c r="S1941" i="25" s="1"/>
  <c r="S1942" i="25" s="1"/>
  <c r="S1943" i="25" s="1"/>
  <c r="S1944" i="25" s="1"/>
  <c r="S1945" i="25" s="1"/>
  <c r="S1946" i="25" s="1"/>
  <c r="S1947" i="25" s="1"/>
  <c r="S1948" i="25" s="1"/>
  <c r="S1949" i="25" s="1"/>
  <c r="S1950" i="25" s="1"/>
  <c r="S1951" i="25" s="1"/>
  <c r="S1952" i="25" s="1"/>
  <c r="S1953" i="25" s="1"/>
  <c r="S1954" i="25" s="1"/>
  <c r="S1955" i="25" s="1"/>
  <c r="S1956" i="25" s="1"/>
  <c r="S1957" i="25" s="1"/>
  <c r="S1958" i="25" s="1"/>
  <c r="S1959" i="25" s="1"/>
  <c r="S1960" i="25" s="1"/>
  <c r="S1961" i="25" s="1"/>
  <c r="S1962" i="25" s="1"/>
  <c r="S1963" i="25" s="1"/>
  <c r="S1964" i="25" s="1"/>
  <c r="S1965" i="25" s="1"/>
  <c r="S1966" i="25" s="1"/>
  <c r="S1967" i="25" s="1"/>
  <c r="S1968" i="25" s="1"/>
  <c r="S1969" i="25" s="1"/>
  <c r="S1970" i="25" s="1"/>
  <c r="S1971" i="25" s="1"/>
  <c r="S1972" i="25" s="1"/>
  <c r="S1973" i="25" s="1"/>
  <c r="S1974" i="25" s="1"/>
  <c r="S1975" i="25" s="1"/>
  <c r="S1976" i="25" s="1"/>
  <c r="S1977" i="25" s="1"/>
  <c r="S1978" i="25" s="1"/>
  <c r="S1979" i="25" s="1"/>
  <c r="S1980" i="25" s="1"/>
  <c r="S1981" i="25" s="1"/>
  <c r="S1982" i="25" s="1"/>
  <c r="S1983" i="25" s="1"/>
  <c r="S1984" i="25" s="1"/>
  <c r="S1985" i="25" s="1"/>
  <c r="S1986" i="25" s="1"/>
  <c r="S1987" i="25" s="1"/>
  <c r="S1988" i="25" s="1"/>
  <c r="S1989" i="25" s="1"/>
  <c r="S1990" i="25" s="1"/>
  <c r="S1991" i="25" s="1"/>
  <c r="S1992" i="25" s="1"/>
  <c r="S1993" i="25" s="1"/>
  <c r="S1994" i="25" s="1"/>
  <c r="S1995" i="25" s="1"/>
  <c r="S1996" i="25" s="1"/>
  <c r="S1997" i="25" s="1"/>
  <c r="S1998" i="25" s="1"/>
  <c r="S1999" i="25" s="1"/>
  <c r="S2000" i="25" s="1"/>
  <c r="S2001" i="25" s="1"/>
  <c r="S2002" i="25" s="1"/>
  <c r="S2003" i="25" s="1"/>
  <c r="S2004" i="25" s="1"/>
  <c r="S2005" i="25" s="1"/>
  <c r="S2006" i="25" s="1"/>
  <c r="S2007" i="25" s="1"/>
  <c r="S2008" i="25" s="1"/>
  <c r="S2009" i="25" s="1"/>
  <c r="S2010" i="25" s="1"/>
  <c r="S2011" i="25" s="1"/>
  <c r="S2012" i="25" s="1"/>
  <c r="S2013" i="25" s="1"/>
  <c r="S2014" i="25" s="1"/>
  <c r="S2015" i="25" s="1"/>
  <c r="S2016" i="25" s="1"/>
  <c r="S2017" i="25" s="1"/>
  <c r="S2018" i="25" s="1"/>
  <c r="S2019" i="25" s="1"/>
  <c r="S2020" i="25" s="1"/>
  <c r="S2021" i="25" s="1"/>
  <c r="S2022" i="25" s="1"/>
  <c r="S2023" i="25" s="1"/>
  <c r="S2024" i="25" s="1"/>
  <c r="S2025" i="25" s="1"/>
  <c r="S2026" i="25" s="1"/>
  <c r="S2027" i="25" s="1"/>
  <c r="S2028" i="25" s="1"/>
  <c r="S2029" i="25" s="1"/>
  <c r="S2030" i="25" s="1"/>
  <c r="S2031" i="25" s="1"/>
  <c r="S2032" i="25" s="1"/>
  <c r="S2033" i="25" s="1"/>
  <c r="S2034" i="25" s="1"/>
  <c r="S2035" i="25" s="1"/>
  <c r="S2036" i="25" s="1"/>
  <c r="S2037" i="25" s="1"/>
  <c r="S2038" i="25" s="1"/>
  <c r="S2039" i="25" s="1"/>
  <c r="S2040" i="25" s="1"/>
  <c r="S2041" i="25" s="1"/>
  <c r="S2042" i="25" s="1"/>
  <c r="S2043" i="25" s="1"/>
  <c r="S2044" i="25" s="1"/>
  <c r="S2045" i="25" s="1"/>
  <c r="S2046" i="25" s="1"/>
  <c r="S2047" i="25" s="1"/>
  <c r="S2048" i="25" s="1"/>
  <c r="S2049" i="25" s="1"/>
  <c r="S2050" i="25" s="1"/>
  <c r="S2051" i="25" s="1"/>
  <c r="S2052" i="25" s="1"/>
  <c r="S2053" i="25" s="1"/>
  <c r="S2054" i="25" s="1"/>
  <c r="S2055" i="25" s="1"/>
  <c r="S2056" i="25" s="1"/>
  <c r="S2057" i="25" s="1"/>
  <c r="S2058" i="25" s="1"/>
  <c r="S2059" i="25" s="1"/>
  <c r="S2060" i="25" s="1"/>
  <c r="S2061" i="25" s="1"/>
  <c r="S2062" i="25" s="1"/>
  <c r="S2063" i="25" s="1"/>
  <c r="S2064" i="25" s="1"/>
  <c r="S2065" i="25" s="1"/>
  <c r="S2066" i="25" s="1"/>
  <c r="S2067" i="25" s="1"/>
  <c r="S2068" i="25" s="1"/>
  <c r="S2069" i="25" s="1"/>
  <c r="S2070" i="25" s="1"/>
  <c r="S2071" i="25" s="1"/>
  <c r="S2072" i="25" s="1"/>
  <c r="S2073" i="25" s="1"/>
  <c r="S2074" i="25" s="1"/>
  <c r="S2075" i="25" s="1"/>
  <c r="S2076" i="25" s="1"/>
  <c r="S2077" i="25" s="1"/>
  <c r="S2078" i="25" s="1"/>
  <c r="S2079" i="25" s="1"/>
  <c r="S2080" i="25" s="1"/>
  <c r="S2081" i="25" s="1"/>
  <c r="S2082" i="25" s="1"/>
  <c r="S2083" i="25" s="1"/>
  <c r="S2084" i="25" s="1"/>
  <c r="S2085" i="25" s="1"/>
  <c r="S2086" i="25" s="1"/>
  <c r="S2087" i="25" s="1"/>
  <c r="S2088" i="25" s="1"/>
  <c r="S2089" i="25" s="1"/>
  <c r="S2090" i="25" s="1"/>
  <c r="S2091" i="25" s="1"/>
  <c r="S2092" i="25" s="1"/>
  <c r="S2093" i="25" s="1"/>
  <c r="S2094" i="25" s="1"/>
  <c r="S2095" i="25" s="1"/>
  <c r="S2096" i="25" s="1"/>
  <c r="S2097" i="25" s="1"/>
  <c r="S2098" i="25" s="1"/>
  <c r="S2099" i="25" s="1"/>
  <c r="S2100" i="25" s="1"/>
  <c r="S2101" i="25" s="1"/>
  <c r="S2102" i="25" s="1"/>
  <c r="S2103" i="25" s="1"/>
  <c r="S2104" i="25" s="1"/>
  <c r="S2105" i="25" s="1"/>
  <c r="S2106" i="25" s="1"/>
  <c r="S2107" i="25" s="1"/>
  <c r="S2108" i="25" s="1"/>
  <c r="S2109" i="25" s="1"/>
  <c r="S2110" i="25" s="1"/>
  <c r="S2111" i="25" s="1"/>
  <c r="S2112" i="25" s="1"/>
  <c r="S2113" i="25" s="1"/>
  <c r="S2114" i="25" s="1"/>
  <c r="S2115" i="25" s="1"/>
  <c r="S2116" i="25" s="1"/>
  <c r="S2117" i="25" s="1"/>
  <c r="S2118" i="25" s="1"/>
  <c r="S2119" i="25" s="1"/>
  <c r="S2120" i="25" s="1"/>
  <c r="S2121" i="25" s="1"/>
  <c r="S2122" i="25" s="1"/>
  <c r="S2123" i="25" s="1"/>
  <c r="S2124" i="25" s="1"/>
  <c r="S2125" i="25" s="1"/>
  <c r="S2126" i="25" s="1"/>
  <c r="S2127" i="25" s="1"/>
  <c r="S2128" i="25" s="1"/>
  <c r="S2129" i="25" s="1"/>
  <c r="S2130" i="25" s="1"/>
  <c r="S2131" i="25" s="1"/>
  <c r="S2132" i="25" s="1"/>
  <c r="S2133" i="25" s="1"/>
  <c r="S2134" i="25" s="1"/>
  <c r="S2135" i="25" s="1"/>
  <c r="S2136" i="25" s="1"/>
  <c r="S2137" i="25" s="1"/>
  <c r="S2138" i="25" s="1"/>
  <c r="S2139" i="25" s="1"/>
  <c r="S2140" i="25" s="1"/>
  <c r="S2141" i="25" s="1"/>
  <c r="S2142" i="25" s="1"/>
  <c r="S2143" i="25" s="1"/>
  <c r="S2144" i="25" s="1"/>
  <c r="S2145" i="25" s="1"/>
  <c r="S2146" i="25" s="1"/>
  <c r="S2147" i="25" s="1"/>
  <c r="S2148" i="25" s="1"/>
  <c r="S2149" i="25" s="1"/>
  <c r="S2150" i="25" s="1"/>
  <c r="S2151" i="25" s="1"/>
  <c r="S2152" i="25" s="1"/>
  <c r="S2153" i="25" s="1"/>
  <c r="S2154" i="25" s="1"/>
  <c r="S2155" i="25" s="1"/>
  <c r="S2156" i="25" s="1"/>
  <c r="S2157" i="25" s="1"/>
  <c r="S2158" i="25" s="1"/>
  <c r="S2159" i="25" s="1"/>
  <c r="S2160" i="25" s="1"/>
  <c r="S2161" i="25" s="1"/>
  <c r="S2162" i="25" s="1"/>
  <c r="S2163" i="25" s="1"/>
  <c r="S2164" i="25" s="1"/>
  <c r="S2165" i="25" s="1"/>
  <c r="S2166" i="25" s="1"/>
  <c r="S2167" i="25" s="1"/>
  <c r="S2168" i="25" s="1"/>
  <c r="S2169" i="25" s="1"/>
  <c r="S2170" i="25" s="1"/>
  <c r="S2171" i="25" s="1"/>
  <c r="S2172" i="25" s="1"/>
  <c r="S2173" i="25" s="1"/>
  <c r="S2174" i="25" s="1"/>
  <c r="S2175" i="25" s="1"/>
  <c r="S2176" i="25" s="1"/>
  <c r="S2177" i="25" s="1"/>
  <c r="S2178" i="25" s="1"/>
  <c r="S2179" i="25" s="1"/>
  <c r="S2180" i="25" s="1"/>
  <c r="S2181" i="25" s="1"/>
  <c r="S2182" i="25" s="1"/>
  <c r="S2183" i="25" s="1"/>
  <c r="S2184" i="25" s="1"/>
  <c r="S2185" i="25" s="1"/>
  <c r="S2186" i="25" s="1"/>
  <c r="S2187" i="25" s="1"/>
  <c r="S2188" i="25" s="1"/>
  <c r="S2189" i="25" s="1"/>
  <c r="S2190" i="25" s="1"/>
  <c r="S2191" i="25" s="1"/>
  <c r="S2192" i="25" s="1"/>
  <c r="S2193" i="25" s="1"/>
  <c r="S2194" i="25" s="1"/>
  <c r="S2195" i="25" s="1"/>
  <c r="S2196" i="25" s="1"/>
  <c r="S2197" i="25" s="1"/>
  <c r="S2198" i="25" s="1"/>
  <c r="S2199" i="25" s="1"/>
  <c r="S2200" i="25" s="1"/>
  <c r="S2201" i="25" s="1"/>
  <c r="S2202" i="25" s="1"/>
  <c r="S2203" i="25" s="1"/>
  <c r="S2204" i="25" s="1"/>
  <c r="S2205" i="25" s="1"/>
  <c r="S2206" i="25" s="1"/>
  <c r="S2207" i="25" s="1"/>
  <c r="S2208" i="25" s="1"/>
  <c r="S2209" i="25" s="1"/>
  <c r="S2210" i="25" s="1"/>
  <c r="S2211" i="25" s="1"/>
  <c r="S2212" i="25" s="1"/>
  <c r="S2213" i="25" s="1"/>
  <c r="S2214" i="25" s="1"/>
  <c r="S2215" i="25" s="1"/>
  <c r="S2216" i="25" s="1"/>
  <c r="S2217" i="25" s="1"/>
  <c r="S2218" i="25" s="1"/>
  <c r="S2219" i="25" s="1"/>
  <c r="S2220" i="25" s="1"/>
  <c r="S2221" i="25" s="1"/>
  <c r="S2222" i="25" s="1"/>
  <c r="S2223" i="25" s="1"/>
  <c r="S2224" i="25" s="1"/>
  <c r="S2225" i="25" s="1"/>
  <c r="S2226" i="25" s="1"/>
  <c r="S2227" i="25" s="1"/>
  <c r="S2228" i="25" s="1"/>
  <c r="S2229" i="25" s="1"/>
  <c r="S2230" i="25" s="1"/>
  <c r="S2231" i="25" s="1"/>
  <c r="S2232" i="25" s="1"/>
  <c r="S2233" i="25" s="1"/>
  <c r="S2234" i="25" s="1"/>
  <c r="S2235" i="25" s="1"/>
  <c r="S2236" i="25" s="1"/>
  <c r="S2237" i="25" s="1"/>
  <c r="S2238" i="25" s="1"/>
  <c r="S2239" i="25" s="1"/>
  <c r="S2240" i="25" s="1"/>
  <c r="S2241" i="25" s="1"/>
  <c r="S2242" i="25" s="1"/>
  <c r="S2243" i="25" s="1"/>
  <c r="S2244" i="25" s="1"/>
  <c r="S2245" i="25" s="1"/>
  <c r="S2246" i="25" s="1"/>
  <c r="S2247" i="25" s="1"/>
  <c r="S2248" i="25" s="1"/>
  <c r="S2249" i="25" s="1"/>
  <c r="S2250" i="25" s="1"/>
  <c r="S2251" i="25" s="1"/>
  <c r="S2252" i="25" s="1"/>
  <c r="S2253" i="25" s="1"/>
  <c r="S2254" i="25" s="1"/>
  <c r="S2255" i="25" s="1"/>
  <c r="S2256" i="25" s="1"/>
  <c r="S2257" i="25" s="1"/>
  <c r="S2258" i="25" s="1"/>
  <c r="S2259" i="25" s="1"/>
  <c r="S2260" i="25" s="1"/>
  <c r="S2261" i="25" s="1"/>
  <c r="S2262" i="25" s="1"/>
  <c r="S2263" i="25" s="1"/>
  <c r="S2264" i="25" s="1"/>
  <c r="S2265" i="25" s="1"/>
  <c r="S2266" i="25" s="1"/>
  <c r="S2267" i="25" s="1"/>
  <c r="S2268" i="25" s="1"/>
  <c r="S2269" i="25" s="1"/>
  <c r="S2270" i="25" s="1"/>
  <c r="S2271" i="25" s="1"/>
  <c r="S2272" i="25" s="1"/>
  <c r="S2273" i="25" s="1"/>
  <c r="S2274" i="25" s="1"/>
  <c r="S2275" i="25" s="1"/>
  <c r="S2276" i="25" s="1"/>
  <c r="S2277" i="25" s="1"/>
  <c r="S2278" i="25" s="1"/>
  <c r="S2279" i="25" s="1"/>
  <c r="S2280" i="25" s="1"/>
  <c r="S2281" i="25" s="1"/>
  <c r="S2282" i="25" s="1"/>
  <c r="S2283" i="25" s="1"/>
  <c r="S2284" i="25" s="1"/>
  <c r="S2285" i="25" s="1"/>
  <c r="S2286" i="25" s="1"/>
  <c r="S2287" i="25" s="1"/>
  <c r="S2288" i="25" s="1"/>
  <c r="S2289" i="25" s="1"/>
  <c r="S2290" i="25" s="1"/>
  <c r="S2291" i="25" s="1"/>
  <c r="S2292" i="25" s="1"/>
  <c r="S2293" i="25" s="1"/>
  <c r="S2294" i="25" s="1"/>
  <c r="S2295" i="25" s="1"/>
  <c r="S2296" i="25" s="1"/>
  <c r="S2297" i="25" s="1"/>
  <c r="S2298" i="25" s="1"/>
  <c r="S2299" i="25" s="1"/>
  <c r="S2300" i="25" s="1"/>
  <c r="S2301" i="25" s="1"/>
  <c r="S2302" i="25" s="1"/>
  <c r="S2303" i="25" s="1"/>
  <c r="S2304" i="25" s="1"/>
  <c r="S2305" i="25" s="1"/>
  <c r="S2306" i="25" s="1"/>
  <c r="S2307" i="25" s="1"/>
  <c r="S2308" i="25" s="1"/>
  <c r="S2309" i="25" s="1"/>
  <c r="S2310" i="25" s="1"/>
  <c r="S2311" i="25" s="1"/>
  <c r="S2312" i="25" s="1"/>
  <c r="S2313" i="25" s="1"/>
  <c r="S2314" i="25" s="1"/>
  <c r="S2315" i="25" s="1"/>
  <c r="S2316" i="25" s="1"/>
  <c r="S2317" i="25" s="1"/>
  <c r="S2318" i="25" s="1"/>
  <c r="S2319" i="25" s="1"/>
  <c r="S2320" i="25" s="1"/>
  <c r="S2321" i="25" s="1"/>
  <c r="S2322" i="25" s="1"/>
  <c r="S2323" i="25" s="1"/>
  <c r="S2324" i="25" s="1"/>
  <c r="S2325" i="25" s="1"/>
  <c r="S2326" i="25" s="1"/>
  <c r="S2327" i="25" s="1"/>
  <c r="S2328" i="25" s="1"/>
  <c r="S2329" i="25" s="1"/>
  <c r="S2330" i="25" s="1"/>
  <c r="S2331" i="25" s="1"/>
  <c r="S2332" i="25" s="1"/>
  <c r="S2333" i="25" s="1"/>
  <c r="S2334" i="25" s="1"/>
  <c r="S2335" i="25" s="1"/>
  <c r="S2336" i="25" s="1"/>
  <c r="S2337" i="25" s="1"/>
  <c r="S2338" i="25" s="1"/>
  <c r="S2339" i="25" s="1"/>
  <c r="S2340" i="25" s="1"/>
  <c r="S2341" i="25" s="1"/>
  <c r="S2342" i="25" s="1"/>
  <c r="S2343" i="25" s="1"/>
  <c r="S2344" i="25" s="1"/>
  <c r="S2345" i="25" s="1"/>
  <c r="S2346" i="25" s="1"/>
  <c r="S2347" i="25" s="1"/>
  <c r="S2348" i="25" s="1"/>
  <c r="S2349" i="25" s="1"/>
  <c r="S2350" i="25" s="1"/>
  <c r="S2351" i="25" s="1"/>
  <c r="S2352" i="25" s="1"/>
  <c r="S2353" i="25" s="1"/>
  <c r="S2354" i="25" s="1"/>
  <c r="S2355" i="25" s="1"/>
  <c r="S2356" i="25" s="1"/>
  <c r="S2357" i="25" s="1"/>
  <c r="S2358" i="25" s="1"/>
  <c r="S2359" i="25" s="1"/>
  <c r="S2360" i="25" s="1"/>
  <c r="S2361" i="25" s="1"/>
  <c r="S2362" i="25" s="1"/>
  <c r="S2363" i="25" s="1"/>
  <c r="S2364" i="25" s="1"/>
  <c r="S2365" i="25" s="1"/>
  <c r="S2366" i="25" s="1"/>
  <c r="S2367" i="25" s="1"/>
  <c r="S2368" i="25" s="1"/>
  <c r="S2369" i="25" s="1"/>
  <c r="S2370" i="25" s="1"/>
  <c r="S2371" i="25" s="1"/>
  <c r="S2372" i="25" s="1"/>
  <c r="S2373" i="25" s="1"/>
  <c r="S2374" i="25" s="1"/>
  <c r="S2375" i="25" s="1"/>
  <c r="S2376" i="25" s="1"/>
  <c r="S2377" i="25" s="1"/>
  <c r="S2378" i="25" s="1"/>
  <c r="S2379" i="25" s="1"/>
  <c r="S2380" i="25" s="1"/>
  <c r="S2381" i="25" s="1"/>
  <c r="S2382" i="25" s="1"/>
  <c r="S2383" i="25" s="1"/>
  <c r="S2384" i="25" s="1"/>
  <c r="S2385" i="25" s="1"/>
  <c r="S2386" i="25" s="1"/>
  <c r="S2387" i="25" s="1"/>
  <c r="S2388" i="25" s="1"/>
  <c r="S2389" i="25" s="1"/>
  <c r="S2390" i="25" s="1"/>
  <c r="S2391" i="25" s="1"/>
  <c r="S2392" i="25" s="1"/>
  <c r="S2393" i="25" s="1"/>
  <c r="S2394" i="25" s="1"/>
  <c r="S2395" i="25" s="1"/>
  <c r="S2396" i="25" s="1"/>
  <c r="S2397" i="25" s="1"/>
  <c r="S2398" i="25" s="1"/>
  <c r="S2399" i="25" s="1"/>
  <c r="S2400" i="25" s="1"/>
  <c r="S2401" i="25" s="1"/>
  <c r="S2402" i="25" s="1"/>
  <c r="S2403" i="25" s="1"/>
  <c r="S2404" i="25" s="1"/>
  <c r="S2405" i="25" s="1"/>
  <c r="S2406" i="25" s="1"/>
  <c r="S2407" i="25" s="1"/>
  <c r="S2408" i="25" s="1"/>
  <c r="S2409" i="25" s="1"/>
  <c r="S2410" i="25" s="1"/>
  <c r="S2411" i="25" s="1"/>
  <c r="S2412" i="25" s="1"/>
  <c r="S2413" i="25" s="1"/>
  <c r="S2414" i="25" s="1"/>
  <c r="S2415" i="25" s="1"/>
  <c r="S2416" i="25" s="1"/>
  <c r="S2417" i="25" s="1"/>
  <c r="S2418" i="25" s="1"/>
  <c r="S2419" i="25" s="1"/>
  <c r="S2420" i="25" s="1"/>
  <c r="S2421" i="25" s="1"/>
  <c r="S2422" i="25" s="1"/>
  <c r="S2423" i="25" s="1"/>
  <c r="S2424" i="25" s="1"/>
  <c r="S2425" i="25" s="1"/>
  <c r="S2426" i="25" s="1"/>
  <c r="S2427" i="25" s="1"/>
  <c r="S2428" i="25" s="1"/>
  <c r="S2429" i="25" s="1"/>
  <c r="S2430" i="25" s="1"/>
  <c r="S2431" i="25" s="1"/>
  <c r="S2432" i="25" s="1"/>
  <c r="S2433" i="25" s="1"/>
  <c r="S2434" i="25" s="1"/>
  <c r="S2435" i="25" s="1"/>
  <c r="S2436" i="25" s="1"/>
  <c r="S2437" i="25" s="1"/>
  <c r="S2438" i="25" s="1"/>
  <c r="S2439" i="25" s="1"/>
  <c r="S2440" i="25" s="1"/>
  <c r="S2441" i="25" s="1"/>
  <c r="S2442" i="25" s="1"/>
  <c r="S2443" i="25" s="1"/>
  <c r="S2444" i="25" s="1"/>
  <c r="S2445" i="25" s="1"/>
  <c r="S2446" i="25" s="1"/>
  <c r="S2447" i="25" s="1"/>
  <c r="S2448" i="25" s="1"/>
  <c r="S2449" i="25" s="1"/>
  <c r="S2450" i="25" s="1"/>
  <c r="S2451" i="25" s="1"/>
  <c r="S2452" i="25" s="1"/>
  <c r="S2453" i="25" s="1"/>
  <c r="S2454" i="25" s="1"/>
  <c r="S2455" i="25" s="1"/>
  <c r="S2456" i="25" s="1"/>
  <c r="S2457" i="25" s="1"/>
  <c r="S2458" i="25" s="1"/>
  <c r="S2459" i="25" s="1"/>
  <c r="S2460" i="25" s="1"/>
  <c r="S2461" i="25" s="1"/>
  <c r="S2462" i="25" s="1"/>
  <c r="S2463" i="25" s="1"/>
  <c r="S2464" i="25" s="1"/>
  <c r="S2465" i="25" s="1"/>
  <c r="S2466" i="25" s="1"/>
  <c r="S2467" i="25" s="1"/>
  <c r="S2468" i="25" s="1"/>
  <c r="S2469" i="25" s="1"/>
  <c r="S2470" i="25" s="1"/>
  <c r="S2471" i="25" s="1"/>
  <c r="S2472" i="25" s="1"/>
  <c r="S2473" i="25" s="1"/>
  <c r="S2474" i="25" s="1"/>
  <c r="S2475" i="25" s="1"/>
  <c r="S2476" i="25" s="1"/>
  <c r="S2477" i="25" s="1"/>
  <c r="S2478" i="25" s="1"/>
  <c r="S2479" i="25" s="1"/>
  <c r="S2480" i="25" s="1"/>
  <c r="S2481" i="25" s="1"/>
  <c r="S2482" i="25" s="1"/>
  <c r="S2483" i="25" s="1"/>
  <c r="S2484" i="25" s="1"/>
  <c r="S2485" i="25" s="1"/>
  <c r="S2486" i="25" s="1"/>
  <c r="S2487" i="25" s="1"/>
  <c r="S2488" i="25" s="1"/>
  <c r="S2489" i="25" s="1"/>
  <c r="S2490" i="25" s="1"/>
  <c r="S2491" i="25" s="1"/>
  <c r="S2492" i="25" s="1"/>
  <c r="S2493" i="25" s="1"/>
  <c r="S2494" i="25" s="1"/>
  <c r="S2495" i="25" s="1"/>
  <c r="S2496" i="25" s="1"/>
  <c r="S2497" i="25" s="1"/>
  <c r="S2498" i="25" s="1"/>
  <c r="S2499" i="25" s="1"/>
  <c r="S2500" i="25" s="1"/>
  <c r="S2501" i="25" s="1"/>
  <c r="S2502" i="25" s="1"/>
  <c r="S2503" i="25" s="1"/>
  <c r="S2504" i="25" s="1"/>
  <c r="S2505" i="25" s="1"/>
  <c r="S2506" i="25" s="1"/>
  <c r="S2507" i="25" s="1"/>
  <c r="S2508" i="25" s="1"/>
  <c r="S2509" i="25" s="1"/>
  <c r="S2510" i="25" s="1"/>
  <c r="S2511" i="25" s="1"/>
  <c r="S2512" i="25" s="1"/>
  <c r="S2513" i="25" s="1"/>
  <c r="S2514" i="25" s="1"/>
  <c r="S2515" i="25" s="1"/>
  <c r="S2516" i="25" s="1"/>
  <c r="S2517" i="25" s="1"/>
  <c r="S2518" i="25" s="1"/>
  <c r="S2519" i="25" s="1"/>
  <c r="S2520" i="25" s="1"/>
  <c r="S2521" i="25" s="1"/>
  <c r="S2522" i="25" s="1"/>
  <c r="S2523" i="25" s="1"/>
  <c r="S2524" i="25" s="1"/>
  <c r="S2525" i="25" s="1"/>
  <c r="S2526" i="25" s="1"/>
  <c r="S2527" i="25" s="1"/>
  <c r="S2528" i="25" s="1"/>
  <c r="S2529" i="25" s="1"/>
  <c r="S2530" i="25" s="1"/>
  <c r="S2531" i="25" s="1"/>
  <c r="S2532" i="25" s="1"/>
  <c r="S2533" i="25" s="1"/>
  <c r="S2534" i="25" s="1"/>
  <c r="S2535" i="25" s="1"/>
  <c r="S2536" i="25" s="1"/>
  <c r="S2537" i="25" s="1"/>
  <c r="S2538" i="25" s="1"/>
  <c r="S2539" i="25" s="1"/>
  <c r="S2540" i="25" s="1"/>
  <c r="S2541" i="25" s="1"/>
  <c r="S2542" i="25" s="1"/>
  <c r="S2543" i="25" s="1"/>
  <c r="S2544" i="25" s="1"/>
  <c r="S2545" i="25" s="1"/>
  <c r="S2546" i="25" s="1"/>
  <c r="S2547" i="25" s="1"/>
  <c r="S2548" i="25" s="1"/>
  <c r="S2549" i="25" s="1"/>
  <c r="S2550" i="25" s="1"/>
  <c r="S2551" i="25" s="1"/>
  <c r="S2552" i="25" s="1"/>
  <c r="S2553" i="25" s="1"/>
  <c r="S2554" i="25" s="1"/>
  <c r="S2555" i="25" s="1"/>
  <c r="S2556" i="25" s="1"/>
  <c r="S2557" i="25" s="1"/>
  <c r="S2558" i="25" s="1"/>
  <c r="S2559" i="25" s="1"/>
  <c r="S2560" i="25" s="1"/>
  <c r="S2561" i="25" s="1"/>
  <c r="S2562" i="25" s="1"/>
  <c r="S2563" i="25" s="1"/>
  <c r="S2564" i="25" s="1"/>
  <c r="S2565" i="25" s="1"/>
  <c r="S2566" i="25" s="1"/>
  <c r="S2567" i="25" s="1"/>
  <c r="S2568" i="25" s="1"/>
  <c r="S2569" i="25" s="1"/>
  <c r="S2570" i="25" s="1"/>
  <c r="S2571" i="25" s="1"/>
  <c r="S2572" i="25" s="1"/>
  <c r="S2573" i="25" s="1"/>
  <c r="S2574" i="25" s="1"/>
  <c r="S2575" i="25" s="1"/>
  <c r="S2576" i="25" s="1"/>
  <c r="S2577" i="25" s="1"/>
  <c r="S2578" i="25" s="1"/>
  <c r="S2579" i="25" s="1"/>
  <c r="S2580" i="25" s="1"/>
  <c r="S2581" i="25" s="1"/>
  <c r="S2582" i="25" s="1"/>
  <c r="S2583" i="25" s="1"/>
  <c r="S2584" i="25" s="1"/>
  <c r="S2585" i="25" s="1"/>
  <c r="S2586" i="25" s="1"/>
  <c r="S2587" i="25" s="1"/>
  <c r="S2588" i="25" s="1"/>
  <c r="S2589" i="25" s="1"/>
  <c r="S2590" i="25" s="1"/>
  <c r="S2591" i="25" s="1"/>
  <c r="S2592" i="25" s="1"/>
  <c r="S2593" i="25" s="1"/>
  <c r="S2594" i="25" s="1"/>
  <c r="S2595" i="25" s="1"/>
  <c r="S2596" i="25" s="1"/>
  <c r="S2597" i="25" s="1"/>
  <c r="S2598" i="25" s="1"/>
  <c r="S2599" i="25" s="1"/>
  <c r="S2600" i="25" s="1"/>
  <c r="S2601" i="25" s="1"/>
  <c r="S2602" i="25" s="1"/>
  <c r="S2603" i="25" s="1"/>
  <c r="S2604" i="25" s="1"/>
  <c r="S2605" i="25" s="1"/>
  <c r="S2606" i="25" s="1"/>
  <c r="S2607" i="25" s="1"/>
  <c r="S2608" i="25" s="1"/>
  <c r="S2609" i="25" s="1"/>
  <c r="S2610" i="25" s="1"/>
  <c r="S2611" i="25" s="1"/>
  <c r="S2612" i="25" s="1"/>
  <c r="S2613" i="25" s="1"/>
  <c r="S2614" i="25" s="1"/>
  <c r="S2615" i="25" s="1"/>
  <c r="S2616" i="25" s="1"/>
  <c r="S2617" i="25" s="1"/>
  <c r="S2618" i="25" s="1"/>
  <c r="S2619" i="25" s="1"/>
  <c r="S2620" i="25" s="1"/>
  <c r="S2621" i="25" s="1"/>
  <c r="S2622" i="25" s="1"/>
  <c r="S2623" i="25" s="1"/>
  <c r="S2624" i="25" s="1"/>
  <c r="S2625" i="25" s="1"/>
  <c r="S2626" i="25" s="1"/>
  <c r="S2627" i="25" s="1"/>
  <c r="S2628" i="25" s="1"/>
  <c r="S2629" i="25" s="1"/>
  <c r="S2630" i="25" s="1"/>
  <c r="S2631" i="25" s="1"/>
  <c r="S2632" i="25" s="1"/>
  <c r="S2633" i="25" s="1"/>
  <c r="S2634" i="25" s="1"/>
  <c r="S2635" i="25" s="1"/>
  <c r="S2636" i="25" s="1"/>
  <c r="S2637" i="25" s="1"/>
  <c r="S2638" i="25" s="1"/>
  <c r="S2639" i="25" s="1"/>
  <c r="S2640" i="25" s="1"/>
  <c r="S2641" i="25" s="1"/>
  <c r="S2642" i="25" s="1"/>
  <c r="S2643" i="25" s="1"/>
  <c r="S2644" i="25" s="1"/>
  <c r="S2645" i="25" s="1"/>
  <c r="S2646" i="25" s="1"/>
  <c r="S2647" i="25" s="1"/>
  <c r="S2648" i="25" s="1"/>
  <c r="S2649" i="25" s="1"/>
  <c r="S2650" i="25" s="1"/>
  <c r="S2651" i="25" s="1"/>
  <c r="S2652" i="25" s="1"/>
  <c r="S2653" i="25" s="1"/>
  <c r="S2654" i="25" s="1"/>
  <c r="S2655" i="25" s="1"/>
  <c r="S2656" i="25" s="1"/>
  <c r="S2657" i="25" s="1"/>
  <c r="S2658" i="25" s="1"/>
  <c r="S2659" i="25" s="1"/>
  <c r="S2660" i="25" s="1"/>
  <c r="S2661" i="25" s="1"/>
  <c r="S2662" i="25" s="1"/>
  <c r="S2663" i="25" s="1"/>
  <c r="S2664" i="25" s="1"/>
  <c r="S2665" i="25" s="1"/>
  <c r="S2666" i="25" s="1"/>
  <c r="S2667" i="25" s="1"/>
  <c r="S2668" i="25" s="1"/>
  <c r="S2669" i="25" s="1"/>
  <c r="S2670" i="25" s="1"/>
  <c r="S2671" i="25" s="1"/>
  <c r="S2672" i="25" s="1"/>
  <c r="S2673" i="25" s="1"/>
  <c r="S2674" i="25" s="1"/>
  <c r="S2675" i="25" s="1"/>
  <c r="S2676" i="25" s="1"/>
  <c r="S2677" i="25" s="1"/>
  <c r="S2678" i="25" s="1"/>
  <c r="S2679" i="25" s="1"/>
  <c r="S2680" i="25" s="1"/>
  <c r="S2681" i="25" s="1"/>
  <c r="S2682" i="25" s="1"/>
  <c r="S2683" i="25" s="1"/>
  <c r="S2684" i="25" s="1"/>
  <c r="S2685" i="25" s="1"/>
  <c r="S2686" i="25" s="1"/>
  <c r="S2687" i="25" s="1"/>
  <c r="S2688" i="25" s="1"/>
  <c r="S2689" i="25" s="1"/>
  <c r="S2690" i="25" s="1"/>
  <c r="S2691" i="25" s="1"/>
  <c r="S2692" i="25" s="1"/>
  <c r="S2693" i="25" s="1"/>
  <c r="S2694" i="25" s="1"/>
  <c r="S2695" i="25" s="1"/>
  <c r="S2696" i="25" s="1"/>
  <c r="S2697" i="25" s="1"/>
  <c r="S2698" i="25" s="1"/>
  <c r="S2699" i="25" s="1"/>
  <c r="S2700" i="25" s="1"/>
  <c r="S2701" i="25" s="1"/>
  <c r="S2702" i="25" s="1"/>
  <c r="S2703" i="25" s="1"/>
  <c r="S2704" i="25" s="1"/>
  <c r="S2705" i="25" s="1"/>
  <c r="S2706" i="25" s="1"/>
  <c r="S2707" i="25" s="1"/>
  <c r="S2708" i="25" s="1"/>
  <c r="S2709" i="25" s="1"/>
  <c r="S2710" i="25" s="1"/>
  <c r="S2711" i="25" s="1"/>
  <c r="S2712" i="25" s="1"/>
  <c r="S2713" i="25" s="1"/>
  <c r="S2714" i="25" s="1"/>
  <c r="S2715" i="25" s="1"/>
  <c r="S2716" i="25" s="1"/>
  <c r="S2717" i="25" s="1"/>
  <c r="S2718" i="25" s="1"/>
  <c r="S2719" i="25" s="1"/>
  <c r="S2720" i="25" s="1"/>
  <c r="S2721" i="25" s="1"/>
  <c r="S2722" i="25" s="1"/>
  <c r="S2723" i="25" s="1"/>
  <c r="S2724" i="25" s="1"/>
  <c r="S2725" i="25" s="1"/>
  <c r="S2726" i="25" s="1"/>
  <c r="S2727" i="25" s="1"/>
  <c r="S2728" i="25" s="1"/>
  <c r="S2729" i="25" s="1"/>
  <c r="S2730" i="25" s="1"/>
  <c r="S2731" i="25" s="1"/>
  <c r="S2732" i="25" s="1"/>
  <c r="S2733" i="25" s="1"/>
  <c r="S2734" i="25" s="1"/>
  <c r="S2735" i="25" s="1"/>
  <c r="S2736" i="25" s="1"/>
  <c r="S2737" i="25" s="1"/>
  <c r="S2738" i="25" s="1"/>
  <c r="S2739" i="25" s="1"/>
  <c r="S2740" i="25" s="1"/>
  <c r="S2741" i="25" s="1"/>
  <c r="S2742" i="25" s="1"/>
  <c r="S2743" i="25" s="1"/>
  <c r="S2744" i="25" s="1"/>
  <c r="S2745" i="25" s="1"/>
  <c r="S2746" i="25" s="1"/>
  <c r="S2747" i="25" s="1"/>
  <c r="S2748" i="25" s="1"/>
  <c r="S2749" i="25" s="1"/>
  <c r="S2750" i="25" s="1"/>
  <c r="S2751" i="25" s="1"/>
  <c r="S2752" i="25" s="1"/>
  <c r="S2753" i="25" s="1"/>
  <c r="S2754" i="25" s="1"/>
  <c r="S2755" i="25" s="1"/>
  <c r="S2756" i="25" s="1"/>
  <c r="S2757" i="25" s="1"/>
  <c r="S2758" i="25" s="1"/>
  <c r="S2759" i="25" s="1"/>
  <c r="S2760" i="25" s="1"/>
  <c r="S2761" i="25" s="1"/>
  <c r="S2762" i="25" s="1"/>
  <c r="S2763" i="25" s="1"/>
  <c r="S2764" i="25" s="1"/>
  <c r="S2765" i="25" s="1"/>
  <c r="S2766" i="25" s="1"/>
  <c r="S2767" i="25" s="1"/>
  <c r="S2768" i="25" s="1"/>
  <c r="S2769" i="25" s="1"/>
  <c r="S2770" i="25" s="1"/>
  <c r="S2771" i="25" s="1"/>
  <c r="S2772" i="25" s="1"/>
  <c r="S2773" i="25" s="1"/>
  <c r="S2774" i="25" s="1"/>
  <c r="S2775" i="25" s="1"/>
  <c r="S2776" i="25" s="1"/>
  <c r="S2777" i="25" s="1"/>
  <c r="S2778" i="25" s="1"/>
  <c r="S2779" i="25" s="1"/>
  <c r="S2780" i="25" s="1"/>
  <c r="S2781" i="25" s="1"/>
  <c r="S2782" i="25" s="1"/>
  <c r="S2783" i="25" s="1"/>
  <c r="S2784" i="25" s="1"/>
  <c r="S2785" i="25" s="1"/>
  <c r="S2786" i="25" s="1"/>
  <c r="S2787" i="25" s="1"/>
  <c r="S2788" i="25" s="1"/>
  <c r="S2789" i="25" s="1"/>
  <c r="S2790" i="25" s="1"/>
  <c r="S2791" i="25" s="1"/>
  <c r="S2792" i="25" s="1"/>
  <c r="S2793" i="25" s="1"/>
  <c r="S2794" i="25" s="1"/>
  <c r="S2795" i="25" s="1"/>
  <c r="S2796" i="25" s="1"/>
  <c r="S2797" i="25" s="1"/>
  <c r="S2798" i="25" s="1"/>
  <c r="S2799" i="25" s="1"/>
  <c r="S2800" i="25" s="1"/>
  <c r="S2801" i="25" s="1"/>
  <c r="S2802" i="25" s="1"/>
  <c r="S2803" i="25" s="1"/>
  <c r="S2804" i="25" s="1"/>
  <c r="S2805" i="25" s="1"/>
  <c r="S2806" i="25" s="1"/>
  <c r="S2807" i="25" s="1"/>
  <c r="S2808" i="25" s="1"/>
  <c r="S2809" i="25" s="1"/>
  <c r="S2810" i="25" s="1"/>
  <c r="S2811" i="25" s="1"/>
  <c r="S2812" i="25" s="1"/>
  <c r="S2813" i="25" s="1"/>
  <c r="S2814" i="25" s="1"/>
  <c r="S2815" i="25" s="1"/>
  <c r="S2816" i="25" s="1"/>
  <c r="S2817" i="25" s="1"/>
  <c r="S2818" i="25" s="1"/>
  <c r="S2819" i="25" s="1"/>
  <c r="S2820" i="25" s="1"/>
  <c r="S2821" i="25" s="1"/>
  <c r="S2822" i="25" s="1"/>
  <c r="S2823" i="25" s="1"/>
  <c r="S2824" i="25" s="1"/>
  <c r="S2825" i="25" s="1"/>
  <c r="S2826" i="25" s="1"/>
  <c r="S2827" i="25" s="1"/>
  <c r="S2828" i="25" s="1"/>
  <c r="S2829" i="25" s="1"/>
  <c r="S2830" i="25" s="1"/>
  <c r="S2831" i="25" s="1"/>
  <c r="S2832" i="25" s="1"/>
  <c r="S2833" i="25" s="1"/>
  <c r="S2834" i="25" s="1"/>
  <c r="S2835" i="25" s="1"/>
  <c r="S2836" i="25" s="1"/>
  <c r="S2837" i="25" s="1"/>
  <c r="S2838" i="25" s="1"/>
  <c r="S2839" i="25" s="1"/>
  <c r="S2840" i="25" s="1"/>
  <c r="S2841" i="25" s="1"/>
  <c r="S2842" i="25" s="1"/>
  <c r="S2843" i="25" s="1"/>
  <c r="S2844" i="25" s="1"/>
  <c r="S2845" i="25" s="1"/>
  <c r="S2846" i="25" s="1"/>
  <c r="S2847" i="25" s="1"/>
  <c r="S2848" i="25" s="1"/>
  <c r="S2849" i="25" s="1"/>
  <c r="S2850" i="25" s="1"/>
  <c r="S2851" i="25" s="1"/>
  <c r="S2852" i="25" s="1"/>
  <c r="S2853" i="25" s="1"/>
  <c r="S2854" i="25" s="1"/>
  <c r="S2855" i="25" s="1"/>
  <c r="S2856" i="25" s="1"/>
  <c r="S2857" i="25" s="1"/>
  <c r="S2858" i="25" s="1"/>
  <c r="S2859" i="25" s="1"/>
  <c r="S2860" i="25" s="1"/>
  <c r="S2861" i="25" s="1"/>
  <c r="S2862" i="25" s="1"/>
  <c r="S2863" i="25" s="1"/>
  <c r="S2864" i="25" s="1"/>
  <c r="S2865" i="25" s="1"/>
  <c r="S2866" i="25" s="1"/>
  <c r="S2867" i="25" s="1"/>
  <c r="S2868" i="25" s="1"/>
  <c r="S2869" i="25" s="1"/>
  <c r="S2870" i="25" s="1"/>
  <c r="S2871" i="25" s="1"/>
  <c r="S2872" i="25" s="1"/>
  <c r="S2873" i="25" s="1"/>
  <c r="S2874" i="25" s="1"/>
  <c r="S2875" i="25" s="1"/>
  <c r="S2876" i="25" s="1"/>
  <c r="S2877" i="25" s="1"/>
  <c r="S2878" i="25" s="1"/>
  <c r="S2879" i="25" s="1"/>
  <c r="S2880" i="25" s="1"/>
  <c r="S2881" i="25" s="1"/>
  <c r="S2882" i="25" s="1"/>
  <c r="S2883" i="25" s="1"/>
  <c r="S2884" i="25" s="1"/>
  <c r="S2885" i="25" s="1"/>
  <c r="S2886" i="25" s="1"/>
  <c r="S2887" i="25" s="1"/>
  <c r="S2888" i="25" s="1"/>
  <c r="S2889" i="25" s="1"/>
  <c r="S2890" i="25" s="1"/>
  <c r="S2891" i="25" s="1"/>
  <c r="S2892" i="25" s="1"/>
  <c r="S2893" i="25" s="1"/>
  <c r="S2894" i="25" s="1"/>
  <c r="S2895" i="25" s="1"/>
  <c r="S2896" i="25" s="1"/>
  <c r="S2897" i="25" s="1"/>
  <c r="S2898" i="25" s="1"/>
  <c r="S2899" i="25" s="1"/>
  <c r="S2900" i="25" s="1"/>
  <c r="S2901" i="25" s="1"/>
  <c r="S2902" i="25" s="1"/>
  <c r="S2903" i="25" s="1"/>
  <c r="S2904" i="25" s="1"/>
  <c r="S2905" i="25" s="1"/>
  <c r="S2906" i="25" s="1"/>
  <c r="S2907" i="25" s="1"/>
  <c r="S2908" i="25" s="1"/>
  <c r="S2909" i="25" s="1"/>
  <c r="S2910" i="25" s="1"/>
  <c r="S2911" i="25" s="1"/>
  <c r="S2912" i="25" s="1"/>
  <c r="S2913" i="25" s="1"/>
  <c r="S2914" i="25" s="1"/>
  <c r="S2915" i="25" s="1"/>
  <c r="S2916" i="25" s="1"/>
  <c r="S2917" i="25" s="1"/>
  <c r="S2918" i="25" s="1"/>
  <c r="S2919" i="25" s="1"/>
  <c r="S2920" i="25" s="1"/>
  <c r="S2921" i="25" s="1"/>
  <c r="S2922" i="25" s="1"/>
  <c r="S2923" i="25" s="1"/>
  <c r="S2924" i="25" s="1"/>
  <c r="S2925" i="25" s="1"/>
  <c r="S2926" i="25" s="1"/>
  <c r="S2927" i="25" s="1"/>
  <c r="S2928" i="25" s="1"/>
  <c r="S2929" i="25" s="1"/>
  <c r="S2930" i="25" s="1"/>
  <c r="S2931" i="25" s="1"/>
  <c r="S2932" i="25" s="1"/>
  <c r="S2933" i="25" s="1"/>
  <c r="S2934" i="25" s="1"/>
  <c r="S2935" i="25" s="1"/>
  <c r="S2936" i="25" s="1"/>
  <c r="S2937" i="25" s="1"/>
  <c r="S2938" i="25" s="1"/>
  <c r="S2939" i="25" s="1"/>
  <c r="S2940" i="25" s="1"/>
  <c r="S2941" i="25" s="1"/>
  <c r="S2942" i="25" s="1"/>
  <c r="S2943" i="25" s="1"/>
  <c r="S2944" i="25" s="1"/>
  <c r="S2945" i="25" s="1"/>
  <c r="S2946" i="25" s="1"/>
  <c r="S2947" i="25" s="1"/>
  <c r="S2948" i="25" s="1"/>
  <c r="S2949" i="25" s="1"/>
  <c r="S2950" i="25" s="1"/>
  <c r="S2951" i="25" s="1"/>
  <c r="S2952" i="25" s="1"/>
  <c r="S2953" i="25" s="1"/>
  <c r="S2954" i="25" s="1"/>
  <c r="S2955" i="25" s="1"/>
  <c r="S2956" i="25" s="1"/>
  <c r="S2957" i="25" s="1"/>
  <c r="S2958" i="25" s="1"/>
  <c r="S2959" i="25" s="1"/>
  <c r="S2960" i="25" s="1"/>
  <c r="S2961" i="25" s="1"/>
  <c r="S2962" i="25" s="1"/>
  <c r="S2963" i="25" s="1"/>
  <c r="S2964" i="25" s="1"/>
  <c r="S2965" i="25" s="1"/>
  <c r="S2966" i="25" s="1"/>
  <c r="S2967" i="25" s="1"/>
  <c r="S2968" i="25" s="1"/>
  <c r="S2969" i="25" s="1"/>
  <c r="S2970" i="25" s="1"/>
  <c r="S2971" i="25" s="1"/>
  <c r="S2972" i="25" s="1"/>
  <c r="S2973" i="25" s="1"/>
  <c r="S2974" i="25" s="1"/>
  <c r="S2975" i="25" s="1"/>
  <c r="S2976" i="25" s="1"/>
  <c r="S2977" i="25" s="1"/>
  <c r="S2978" i="25" s="1"/>
  <c r="S2979" i="25" s="1"/>
  <c r="S2980" i="25" s="1"/>
  <c r="S2981" i="25" s="1"/>
  <c r="S2982" i="25" s="1"/>
  <c r="S2983" i="25" s="1"/>
  <c r="S2984" i="25" s="1"/>
  <c r="S2985" i="25" s="1"/>
  <c r="S2986" i="25" s="1"/>
  <c r="S2987" i="25" s="1"/>
  <c r="S2988" i="25" s="1"/>
  <c r="S2989" i="25" s="1"/>
  <c r="S2990" i="25" s="1"/>
  <c r="S2991" i="25" s="1"/>
  <c r="S2992" i="25" s="1"/>
  <c r="S2993" i="25" s="1"/>
  <c r="S2994" i="25" s="1"/>
  <c r="S2995" i="25" s="1"/>
  <c r="S2996" i="25" s="1"/>
  <c r="S2997" i="25" s="1"/>
  <c r="S2998" i="25" s="1"/>
  <c r="S2999" i="25" s="1"/>
  <c r="S3000" i="25" s="1"/>
  <c r="S3001" i="25" s="1"/>
  <c r="S3002" i="25" s="1"/>
  <c r="S3003" i="25" s="1"/>
  <c r="S3004" i="25" s="1"/>
  <c r="S3005" i="25" s="1"/>
  <c r="S3006" i="25" s="1"/>
  <c r="S3007" i="25" s="1"/>
  <c r="S3008" i="25" s="1"/>
  <c r="S3009" i="25" s="1"/>
  <c r="S3010" i="25" s="1"/>
  <c r="S3011" i="25" s="1"/>
  <c r="S3012" i="25" s="1"/>
  <c r="S3013" i="25" s="1"/>
  <c r="S3014" i="25" s="1"/>
  <c r="S3015" i="25" s="1"/>
  <c r="S3016" i="25" s="1"/>
  <c r="S3017" i="25" s="1"/>
  <c r="S3018" i="25" s="1"/>
  <c r="S3019" i="25" s="1"/>
  <c r="S3020" i="25" s="1"/>
  <c r="S3021" i="25" s="1"/>
  <c r="S3022" i="25" s="1"/>
  <c r="S3023" i="25" s="1"/>
  <c r="S3024" i="25" s="1"/>
  <c r="S3025" i="25" s="1"/>
  <c r="S3026" i="25" s="1"/>
  <c r="S3027" i="25" s="1"/>
  <c r="S3028" i="25" s="1"/>
  <c r="S3029" i="25" s="1"/>
  <c r="S3030" i="25" s="1"/>
  <c r="S3031" i="25" s="1"/>
  <c r="S3032" i="25" s="1"/>
  <c r="S3033" i="25" s="1"/>
  <c r="S3034" i="25" s="1"/>
  <c r="S3035" i="25" s="1"/>
  <c r="S3036" i="25" s="1"/>
  <c r="S3037" i="25" s="1"/>
  <c r="S3038" i="25" s="1"/>
  <c r="S3039" i="25" s="1"/>
  <c r="S3040" i="25" s="1"/>
  <c r="S3041" i="25" s="1"/>
  <c r="S3042" i="25" s="1"/>
  <c r="S3043" i="25" s="1"/>
  <c r="S3044" i="25" s="1"/>
  <c r="S3045" i="25" s="1"/>
  <c r="S3046" i="25" s="1"/>
  <c r="S3047" i="25" s="1"/>
  <c r="S3048" i="25" s="1"/>
  <c r="S3049" i="25" s="1"/>
  <c r="S3050" i="25" s="1"/>
  <c r="S3051" i="25" s="1"/>
  <c r="S3052" i="25" s="1"/>
  <c r="S3053" i="25" s="1"/>
  <c r="S3054" i="25" s="1"/>
  <c r="S3055" i="25" s="1"/>
  <c r="S3056" i="25" s="1"/>
  <c r="S3057" i="25" s="1"/>
  <c r="S3058" i="25" s="1"/>
  <c r="S3059" i="25" s="1"/>
  <c r="S3060" i="25" s="1"/>
  <c r="S3061" i="25" s="1"/>
  <c r="S3062" i="25" s="1"/>
  <c r="S3063" i="25" s="1"/>
  <c r="S3064" i="25" s="1"/>
  <c r="S3065" i="25" s="1"/>
  <c r="S3066" i="25" s="1"/>
  <c r="S3067" i="25" s="1"/>
  <c r="S3068" i="25" s="1"/>
  <c r="S3069" i="25" s="1"/>
  <c r="S3070" i="25" s="1"/>
  <c r="S3071" i="25" s="1"/>
  <c r="S3072" i="25" s="1"/>
  <c r="S3073" i="25" s="1"/>
  <c r="S3074" i="25" s="1"/>
  <c r="S3075" i="25" s="1"/>
  <c r="S3076" i="25" s="1"/>
  <c r="S3077" i="25" s="1"/>
  <c r="S3078" i="25" s="1"/>
  <c r="S3079" i="25" s="1"/>
  <c r="S3080" i="25" s="1"/>
  <c r="S3081" i="25" s="1"/>
  <c r="S3082" i="25" s="1"/>
  <c r="S3083" i="25" s="1"/>
  <c r="S3084" i="25" s="1"/>
  <c r="S3085" i="25" s="1"/>
  <c r="S3086" i="25" s="1"/>
  <c r="S3087" i="25" s="1"/>
  <c r="S3088" i="25" s="1"/>
  <c r="S3089" i="25" s="1"/>
  <c r="S3090" i="25" s="1"/>
  <c r="S3091" i="25" s="1"/>
  <c r="S3092" i="25" s="1"/>
  <c r="S3093" i="25" s="1"/>
  <c r="S3094" i="25" s="1"/>
  <c r="S3095" i="25" s="1"/>
  <c r="S3096" i="25" s="1"/>
  <c r="S3097" i="25" s="1"/>
  <c r="S3098" i="25" s="1"/>
  <c r="S3099" i="25" s="1"/>
  <c r="S3100" i="25" s="1"/>
  <c r="S3101" i="25" s="1"/>
  <c r="S3102" i="25" s="1"/>
  <c r="S3103" i="25" s="1"/>
  <c r="S3104" i="25" s="1"/>
  <c r="S3105" i="25" s="1"/>
  <c r="S3106" i="25" s="1"/>
  <c r="S3107" i="25" s="1"/>
  <c r="S3108" i="25" s="1"/>
  <c r="S3109" i="25" s="1"/>
  <c r="S3110" i="25" s="1"/>
  <c r="S3111" i="25" s="1"/>
  <c r="S3112" i="25" s="1"/>
  <c r="S3113" i="25" s="1"/>
  <c r="S3114" i="25" s="1"/>
  <c r="S3115" i="25" s="1"/>
  <c r="S3116" i="25" s="1"/>
  <c r="S3117" i="25" s="1"/>
  <c r="S3118" i="25" s="1"/>
  <c r="S3119" i="25" s="1"/>
  <c r="S3120" i="25" s="1"/>
  <c r="S3121" i="25" s="1"/>
  <c r="S3122" i="25" s="1"/>
  <c r="S3123" i="25" s="1"/>
  <c r="S3124" i="25" s="1"/>
  <c r="S3125" i="25" s="1"/>
  <c r="S3126" i="25" s="1"/>
  <c r="S3127" i="25" s="1"/>
  <c r="S3128" i="25" s="1"/>
  <c r="S3129" i="25" s="1"/>
  <c r="S3130" i="25" s="1"/>
  <c r="S3131" i="25" s="1"/>
  <c r="S3132" i="25" s="1"/>
  <c r="S3133" i="25" s="1"/>
  <c r="S3134" i="25" s="1"/>
  <c r="S3135" i="25" s="1"/>
  <c r="S3136" i="25" s="1"/>
  <c r="S3137" i="25" s="1"/>
  <c r="S3138" i="25" s="1"/>
  <c r="S3139" i="25" s="1"/>
  <c r="S3140" i="25" s="1"/>
  <c r="S3141" i="25" s="1"/>
  <c r="S3142" i="25" s="1"/>
  <c r="S3143" i="25" s="1"/>
  <c r="S3144" i="25" s="1"/>
  <c r="S3145" i="25" s="1"/>
  <c r="S3146" i="25" s="1"/>
  <c r="S3147" i="25" s="1"/>
  <c r="S3148" i="25" s="1"/>
  <c r="S3149" i="25" s="1"/>
  <c r="S3150" i="25" s="1"/>
  <c r="S3151" i="25" s="1"/>
  <c r="S3152" i="25" s="1"/>
  <c r="S3153" i="25" s="1"/>
  <c r="S3154" i="25" s="1"/>
  <c r="S3155" i="25" s="1"/>
  <c r="S3156" i="25" s="1"/>
  <c r="S3157" i="25" s="1"/>
  <c r="S3158" i="25" s="1"/>
  <c r="S3159" i="25" s="1"/>
  <c r="S3160" i="25" s="1"/>
  <c r="S3161" i="25" s="1"/>
  <c r="S3162" i="25" s="1"/>
  <c r="S3163" i="25" s="1"/>
  <c r="S3164" i="25" s="1"/>
  <c r="S3165" i="25" s="1"/>
  <c r="S3166" i="25" s="1"/>
  <c r="S3167" i="25" s="1"/>
  <c r="S3168" i="25" s="1"/>
  <c r="S3169" i="25" s="1"/>
  <c r="S3170" i="25" s="1"/>
  <c r="S3171" i="25" s="1"/>
  <c r="S3172" i="25" s="1"/>
  <c r="S3173" i="25" s="1"/>
  <c r="S3174" i="25" s="1"/>
  <c r="S3175" i="25" s="1"/>
  <c r="S3176" i="25" s="1"/>
  <c r="S3177" i="25" s="1"/>
  <c r="S3178" i="25" s="1"/>
  <c r="S3179" i="25" s="1"/>
  <c r="S3180" i="25" s="1"/>
  <c r="S3181" i="25" s="1"/>
  <c r="S3182" i="25" s="1"/>
  <c r="S3183" i="25" s="1"/>
  <c r="S3184" i="25" s="1"/>
  <c r="S3185" i="25" s="1"/>
  <c r="S3186" i="25" s="1"/>
  <c r="S3187" i="25" s="1"/>
  <c r="S3188" i="25" s="1"/>
  <c r="S3189" i="25" s="1"/>
  <c r="S3190" i="25" s="1"/>
  <c r="S3191" i="25" s="1"/>
  <c r="S3192" i="25" s="1"/>
  <c r="S3193" i="25" s="1"/>
  <c r="S3194" i="25" s="1"/>
  <c r="S3195" i="25" s="1"/>
  <c r="S3196" i="25" s="1"/>
  <c r="S3197" i="25" s="1"/>
  <c r="S3198" i="25" s="1"/>
  <c r="S3199" i="25" s="1"/>
  <c r="S3200" i="25" s="1"/>
  <c r="S3201" i="25" s="1"/>
  <c r="S3202" i="25" s="1"/>
  <c r="S3203" i="25" s="1"/>
  <c r="S3204" i="25" s="1"/>
  <c r="S3205" i="25" s="1"/>
  <c r="S3206" i="25" s="1"/>
  <c r="S3207" i="25" s="1"/>
  <c r="S3208" i="25" s="1"/>
  <c r="S3209" i="25" s="1"/>
  <c r="S3210" i="25" s="1"/>
  <c r="S3211" i="25" s="1"/>
  <c r="S3212" i="25" s="1"/>
  <c r="S3213" i="25" s="1"/>
  <c r="S3214" i="25" s="1"/>
  <c r="S3215" i="25" s="1"/>
  <c r="S3216" i="25" s="1"/>
  <c r="S3217" i="25" s="1"/>
  <c r="S3218" i="25" s="1"/>
  <c r="S3219" i="25" s="1"/>
  <c r="S3220" i="25" s="1"/>
  <c r="S3221" i="25" s="1"/>
  <c r="S3222" i="25" s="1"/>
  <c r="S3223" i="25" s="1"/>
  <c r="S3224" i="25" s="1"/>
  <c r="S3225" i="25" s="1"/>
  <c r="S3226" i="25" s="1"/>
  <c r="S3227" i="25" s="1"/>
  <c r="S3228" i="25" s="1"/>
  <c r="S3229" i="25" s="1"/>
  <c r="S3230" i="25" s="1"/>
  <c r="S3231" i="25" s="1"/>
  <c r="S3232" i="25" s="1"/>
  <c r="S3233" i="25" s="1"/>
  <c r="S3234" i="25" s="1"/>
  <c r="S3235" i="25" s="1"/>
  <c r="S3236" i="25" s="1"/>
  <c r="S3237" i="25" s="1"/>
  <c r="S3238" i="25" s="1"/>
  <c r="S3239" i="25" s="1"/>
  <c r="S3240" i="25" s="1"/>
  <c r="S3241" i="25" s="1"/>
  <c r="S3242" i="25" s="1"/>
  <c r="S3243" i="25" s="1"/>
  <c r="S3244" i="25" s="1"/>
  <c r="S3245" i="25" s="1"/>
  <c r="S3246" i="25" s="1"/>
  <c r="S3247" i="25" s="1"/>
  <c r="S3248" i="25" s="1"/>
  <c r="S3249" i="25" s="1"/>
  <c r="S3250" i="25" s="1"/>
  <c r="S3251" i="25" s="1"/>
  <c r="S3252" i="25" s="1"/>
  <c r="S3253" i="25" s="1"/>
  <c r="S3254" i="25" s="1"/>
  <c r="S3255" i="25" s="1"/>
  <c r="S3256" i="25" s="1"/>
  <c r="S3257" i="25" s="1"/>
  <c r="S3258" i="25" s="1"/>
  <c r="S3259" i="25" s="1"/>
  <c r="S3260" i="25" s="1"/>
  <c r="S3261" i="25" s="1"/>
  <c r="S3262" i="25" s="1"/>
  <c r="S3263" i="25" s="1"/>
  <c r="S3264" i="25" s="1"/>
  <c r="S3265" i="25" s="1"/>
  <c r="S3266" i="25" s="1"/>
  <c r="S3267" i="25" s="1"/>
  <c r="S3268" i="25" s="1"/>
  <c r="S3269" i="25" s="1"/>
  <c r="S3270" i="25" s="1"/>
  <c r="S3271" i="25" s="1"/>
  <c r="S3272" i="25" s="1"/>
  <c r="S3273" i="25" s="1"/>
  <c r="S3274" i="25" s="1"/>
  <c r="S3275" i="25" s="1"/>
  <c r="S3276" i="25" s="1"/>
  <c r="S3277" i="25" s="1"/>
  <c r="S3278" i="25" s="1"/>
  <c r="S3279" i="25" s="1"/>
  <c r="S3280" i="25" s="1"/>
  <c r="S3281" i="25" s="1"/>
  <c r="S3282" i="25" s="1"/>
  <c r="S3283" i="25" s="1"/>
  <c r="S3284" i="25" s="1"/>
  <c r="S3285" i="25" s="1"/>
  <c r="S3286" i="25" s="1"/>
  <c r="S3287" i="25" s="1"/>
  <c r="S3288" i="25" s="1"/>
  <c r="S3289" i="25" s="1"/>
  <c r="S3290" i="25" s="1"/>
  <c r="S3291" i="25" s="1"/>
  <c r="S3292" i="25" s="1"/>
  <c r="S3293" i="25" s="1"/>
  <c r="S3294" i="25" s="1"/>
  <c r="S3295" i="25" s="1"/>
  <c r="S3296" i="25" s="1"/>
  <c r="S3297" i="25" s="1"/>
  <c r="S3298" i="25" s="1"/>
  <c r="S3299" i="25" s="1"/>
  <c r="S3300" i="25" s="1"/>
  <c r="S3301" i="25" s="1"/>
  <c r="S3302" i="25" s="1"/>
  <c r="S3303" i="25" s="1"/>
  <c r="S3304" i="25" s="1"/>
  <c r="S3305" i="25" s="1"/>
  <c r="S3306" i="25" s="1"/>
  <c r="S3307" i="25" s="1"/>
  <c r="S3308" i="25" s="1"/>
  <c r="S3309" i="25" s="1"/>
  <c r="S3310" i="25" s="1"/>
  <c r="S3311" i="25" s="1"/>
  <c r="S3312" i="25" s="1"/>
  <c r="S3313" i="25" s="1"/>
  <c r="S3314" i="25" s="1"/>
  <c r="S3315" i="25" s="1"/>
  <c r="S3316" i="25" s="1"/>
  <c r="S3317" i="25" s="1"/>
  <c r="S3318" i="25" s="1"/>
  <c r="S3319" i="25" s="1"/>
  <c r="S3320" i="25" s="1"/>
  <c r="S3321" i="25" s="1"/>
  <c r="S3322" i="25" s="1"/>
  <c r="S3323" i="25" s="1"/>
  <c r="S3324" i="25" s="1"/>
  <c r="S3325" i="25" s="1"/>
  <c r="S3326" i="25" s="1"/>
  <c r="S3327" i="25" s="1"/>
  <c r="S3328" i="25" s="1"/>
  <c r="S3329" i="25" s="1"/>
  <c r="S3330" i="25" s="1"/>
  <c r="S3331" i="25" s="1"/>
  <c r="S3332" i="25" s="1"/>
  <c r="S3333" i="25" s="1"/>
  <c r="S3334" i="25" s="1"/>
  <c r="S3335" i="25" s="1"/>
  <c r="S3336" i="25" s="1"/>
  <c r="S3337" i="25" s="1"/>
  <c r="S3338" i="25" s="1"/>
  <c r="S3339" i="25" s="1"/>
  <c r="S3340" i="25" s="1"/>
  <c r="S3341" i="25" s="1"/>
  <c r="S3342" i="25" s="1"/>
  <c r="S3343" i="25" s="1"/>
  <c r="S3344" i="25" s="1"/>
  <c r="S3345" i="25" s="1"/>
  <c r="S3346" i="25" s="1"/>
  <c r="S3347" i="25" s="1"/>
  <c r="S3348" i="25" s="1"/>
  <c r="S3349" i="25" s="1"/>
  <c r="S3350" i="25" s="1"/>
  <c r="S3351" i="25" s="1"/>
  <c r="S3352" i="25" s="1"/>
  <c r="S3353" i="25" s="1"/>
  <c r="S3354" i="25" s="1"/>
  <c r="S3355" i="25" s="1"/>
  <c r="S3356" i="25" s="1"/>
  <c r="S3357" i="25" s="1"/>
  <c r="S3358" i="25" s="1"/>
  <c r="S3359" i="25" s="1"/>
  <c r="S3360" i="25" s="1"/>
  <c r="S3361" i="25" s="1"/>
  <c r="S3362" i="25" s="1"/>
  <c r="S3363" i="25" s="1"/>
  <c r="S3364" i="25" s="1"/>
  <c r="S3365" i="25" s="1"/>
  <c r="S3366" i="25" s="1"/>
  <c r="S3367" i="25" s="1"/>
  <c r="S3368" i="25" s="1"/>
  <c r="S3369" i="25" s="1"/>
  <c r="S3370" i="25" s="1"/>
  <c r="S3371" i="25" s="1"/>
  <c r="S3372" i="25" s="1"/>
  <c r="S3373" i="25" s="1"/>
  <c r="S3374" i="25" s="1"/>
  <c r="S3375" i="25" s="1"/>
  <c r="S3376" i="25" s="1"/>
  <c r="S3377" i="25" s="1"/>
  <c r="S3378" i="25" s="1"/>
  <c r="S3379" i="25" s="1"/>
  <c r="S3380" i="25" s="1"/>
  <c r="S3381" i="25" s="1"/>
  <c r="S3382" i="25" s="1"/>
  <c r="S3383" i="25" s="1"/>
  <c r="S3384" i="25" s="1"/>
  <c r="S3385" i="25" s="1"/>
  <c r="S3386" i="25" s="1"/>
  <c r="S3387" i="25" s="1"/>
  <c r="S3388" i="25" s="1"/>
  <c r="S3389" i="25" s="1"/>
  <c r="S3390" i="25" s="1"/>
  <c r="S3391" i="25" s="1"/>
  <c r="S3392" i="25" s="1"/>
  <c r="S3393" i="25" s="1"/>
  <c r="S3394" i="25" s="1"/>
  <c r="S3395" i="25" s="1"/>
  <c r="S3396" i="25" s="1"/>
  <c r="S3397" i="25" s="1"/>
  <c r="S3398" i="25" s="1"/>
  <c r="S3399" i="25" s="1"/>
  <c r="S3400" i="25" s="1"/>
  <c r="S3401" i="25" s="1"/>
  <c r="S3402" i="25" s="1"/>
  <c r="S3403" i="25" s="1"/>
  <c r="S3404" i="25" s="1"/>
  <c r="S3405" i="25" s="1"/>
  <c r="S3406" i="25" s="1"/>
  <c r="S3407" i="25" s="1"/>
  <c r="S3408" i="25" s="1"/>
  <c r="S3409" i="25" s="1"/>
  <c r="S3410" i="25" s="1"/>
  <c r="S3411" i="25" s="1"/>
  <c r="S3412" i="25" s="1"/>
  <c r="S3413" i="25" s="1"/>
  <c r="S3414" i="25" s="1"/>
  <c r="S3415" i="25" s="1"/>
  <c r="S3416" i="25" s="1"/>
  <c r="S3417" i="25" s="1"/>
  <c r="S3418" i="25" s="1"/>
  <c r="S3419" i="25" s="1"/>
  <c r="S3420" i="25" s="1"/>
  <c r="S3421" i="25" s="1"/>
  <c r="S3422" i="25" s="1"/>
  <c r="S3423" i="25" s="1"/>
  <c r="S3424" i="25" s="1"/>
  <c r="S3425" i="25" s="1"/>
  <c r="S3426" i="25" s="1"/>
  <c r="S3427" i="25" s="1"/>
  <c r="S3428" i="25" s="1"/>
  <c r="S3429" i="25" s="1"/>
  <c r="S3430" i="25" s="1"/>
  <c r="S3431" i="25" s="1"/>
  <c r="S3432" i="25" s="1"/>
  <c r="S3433" i="25" s="1"/>
  <c r="S3434" i="25" s="1"/>
  <c r="S3435" i="25" s="1"/>
  <c r="S3436" i="25" s="1"/>
  <c r="S3437" i="25" s="1"/>
  <c r="S3438" i="25" s="1"/>
  <c r="S3439" i="25" s="1"/>
  <c r="S3440" i="25" s="1"/>
  <c r="S3441" i="25" s="1"/>
  <c r="S3442" i="25" s="1"/>
  <c r="S3443" i="25" s="1"/>
  <c r="S3444" i="25" s="1"/>
  <c r="S3445" i="25" s="1"/>
  <c r="S3446" i="25" s="1"/>
  <c r="S3447" i="25" s="1"/>
  <c r="S3448" i="25" s="1"/>
  <c r="S3449" i="25" s="1"/>
  <c r="S3450" i="25" s="1"/>
  <c r="S3451" i="25" s="1"/>
  <c r="S3452" i="25" s="1"/>
  <c r="S3453" i="25" s="1"/>
  <c r="S3454" i="25" s="1"/>
  <c r="S3455" i="25" s="1"/>
  <c r="S3456" i="25" s="1"/>
  <c r="S3457" i="25" s="1"/>
  <c r="S3458" i="25" s="1"/>
  <c r="S3459" i="25" s="1"/>
  <c r="S3460" i="25" s="1"/>
  <c r="S3461" i="25" s="1"/>
  <c r="S3462" i="25" s="1"/>
  <c r="S3463" i="25" s="1"/>
  <c r="S3464" i="25" s="1"/>
  <c r="S3465" i="25" s="1"/>
  <c r="S3466" i="25" s="1"/>
  <c r="S3467" i="25" s="1"/>
  <c r="S3468" i="25" s="1"/>
  <c r="S3469" i="25" s="1"/>
  <c r="S3470" i="25" s="1"/>
  <c r="S3471" i="25" s="1"/>
  <c r="S3472" i="25" s="1"/>
  <c r="S3473" i="25" s="1"/>
  <c r="S3474" i="25" s="1"/>
  <c r="S3475" i="25" s="1"/>
  <c r="S3476" i="25" s="1"/>
  <c r="S3477" i="25" s="1"/>
  <c r="S3478" i="25" s="1"/>
  <c r="S3479" i="25" s="1"/>
  <c r="S3480" i="25" s="1"/>
  <c r="S3481" i="25" s="1"/>
  <c r="S3482" i="25" s="1"/>
  <c r="S3483" i="25" s="1"/>
  <c r="S3484" i="25" s="1"/>
  <c r="S3485" i="25" s="1"/>
  <c r="S3486" i="25" s="1"/>
  <c r="S3487" i="25" s="1"/>
  <c r="S3488" i="25" s="1"/>
  <c r="S3489" i="25" s="1"/>
  <c r="S3490" i="25" s="1"/>
  <c r="S3491" i="25" s="1"/>
  <c r="S3492" i="25" s="1"/>
  <c r="S3493" i="25" s="1"/>
  <c r="S3494" i="25" s="1"/>
  <c r="S3495" i="25" s="1"/>
  <c r="S3496" i="25" s="1"/>
  <c r="S3497" i="25" s="1"/>
  <c r="S3498" i="25" s="1"/>
  <c r="S3499" i="25" s="1"/>
  <c r="S3500" i="25" s="1"/>
  <c r="S3501" i="25" s="1"/>
  <c r="S3502" i="25" s="1"/>
  <c r="S3503" i="25" s="1"/>
  <c r="S3504" i="25" s="1"/>
  <c r="S3505" i="25" s="1"/>
  <c r="S3506" i="25" s="1"/>
  <c r="S3507" i="25" s="1"/>
  <c r="S3508" i="25" s="1"/>
  <c r="S3509" i="25" s="1"/>
  <c r="S3510" i="25" s="1"/>
  <c r="S3511" i="25" s="1"/>
  <c r="S3512" i="25" s="1"/>
  <c r="S3513" i="25" s="1"/>
  <c r="S3514" i="25" s="1"/>
  <c r="S3515" i="25" s="1"/>
  <c r="S3516" i="25" s="1"/>
  <c r="S3517" i="25" s="1"/>
  <c r="S3518" i="25" s="1"/>
  <c r="S3519" i="25" s="1"/>
  <c r="S3520" i="25" s="1"/>
  <c r="S3521" i="25" s="1"/>
  <c r="S3522" i="25" s="1"/>
  <c r="S3523" i="25" s="1"/>
  <c r="S3524" i="25" s="1"/>
  <c r="S3525" i="25" s="1"/>
  <c r="S3526" i="25" s="1"/>
  <c r="S3527" i="25" s="1"/>
  <c r="S3528" i="25" s="1"/>
  <c r="S3529" i="25" s="1"/>
  <c r="S3530" i="25" s="1"/>
  <c r="S3531" i="25" s="1"/>
  <c r="S3532" i="25" s="1"/>
  <c r="S3533" i="25" s="1"/>
  <c r="S3534" i="25" s="1"/>
  <c r="S3535" i="25" s="1"/>
  <c r="S3536" i="25" s="1"/>
  <c r="S3537" i="25" s="1"/>
  <c r="S3538" i="25" s="1"/>
  <c r="S3539" i="25" s="1"/>
  <c r="S3540" i="25" s="1"/>
  <c r="S3541" i="25" s="1"/>
  <c r="S3542" i="25" s="1"/>
  <c r="S3543" i="25" s="1"/>
  <c r="S3544" i="25" s="1"/>
  <c r="S3545" i="25" s="1"/>
  <c r="S3546" i="25" s="1"/>
  <c r="S3547" i="25" s="1"/>
  <c r="S3548" i="25" s="1"/>
  <c r="S3549" i="25" s="1"/>
  <c r="S3550" i="25" s="1"/>
  <c r="S3551" i="25" s="1"/>
  <c r="S3552" i="25" s="1"/>
  <c r="S3553" i="25" s="1"/>
  <c r="S3554" i="25" s="1"/>
  <c r="S3555" i="25" s="1"/>
  <c r="S3556" i="25" s="1"/>
  <c r="S3557" i="25" s="1"/>
  <c r="S3558" i="25" s="1"/>
  <c r="S3559" i="25" s="1"/>
  <c r="S3560" i="25" s="1"/>
  <c r="S3561" i="25" s="1"/>
  <c r="S3562" i="25" s="1"/>
  <c r="S3563" i="25" s="1"/>
  <c r="S3564" i="25" s="1"/>
  <c r="S3565" i="25" s="1"/>
  <c r="S3566" i="25" s="1"/>
  <c r="S3567" i="25" s="1"/>
  <c r="S3568" i="25" s="1"/>
  <c r="S3569" i="25" s="1"/>
  <c r="S3570" i="25" s="1"/>
  <c r="S3571" i="25" s="1"/>
  <c r="S3572" i="25" s="1"/>
  <c r="S3573" i="25" s="1"/>
  <c r="S3574" i="25" s="1"/>
  <c r="S3575" i="25" s="1"/>
  <c r="S3576" i="25" s="1"/>
  <c r="S3577" i="25" s="1"/>
  <c r="S3578" i="25" s="1"/>
  <c r="S3579" i="25" s="1"/>
  <c r="S3580" i="25" s="1"/>
  <c r="S3581" i="25" s="1"/>
  <c r="S3582" i="25" s="1"/>
  <c r="S3583" i="25" s="1"/>
  <c r="S3584" i="25" s="1"/>
  <c r="S3585" i="25" s="1"/>
  <c r="S3586" i="25" s="1"/>
  <c r="S3587" i="25" s="1"/>
  <c r="S3588" i="25" s="1"/>
  <c r="S3589" i="25" s="1"/>
  <c r="S3590" i="25" s="1"/>
  <c r="S3591" i="25" s="1"/>
  <c r="S3592" i="25" s="1"/>
  <c r="S3593" i="25" s="1"/>
  <c r="S3594" i="25" s="1"/>
  <c r="S3595" i="25" s="1"/>
  <c r="S3596" i="25" s="1"/>
  <c r="S3597" i="25" s="1"/>
  <c r="S3598" i="25" s="1"/>
  <c r="S3599" i="25" s="1"/>
  <c r="S3600" i="25" s="1"/>
  <c r="S3601" i="25" s="1"/>
  <c r="S3602" i="25" s="1"/>
  <c r="S3603" i="25" s="1"/>
  <c r="S3604" i="25" s="1"/>
  <c r="S3605" i="25" s="1"/>
  <c r="S3606" i="25" s="1"/>
  <c r="S3607" i="25" s="1"/>
  <c r="S3608" i="25" s="1"/>
  <c r="S3609" i="25" s="1"/>
  <c r="S3610" i="25" s="1"/>
  <c r="S3611" i="25" s="1"/>
  <c r="S3612" i="25" s="1"/>
  <c r="S3613" i="25" s="1"/>
  <c r="S3614" i="25" s="1"/>
  <c r="S3615" i="25" s="1"/>
  <c r="S3616" i="25" s="1"/>
  <c r="S3617" i="25" s="1"/>
  <c r="S3618" i="25" s="1"/>
  <c r="S3619" i="25" s="1"/>
  <c r="S3620" i="25" s="1"/>
  <c r="S3621" i="25" s="1"/>
  <c r="S3622" i="25" s="1"/>
  <c r="S3623" i="25" s="1"/>
  <c r="S3624" i="25" s="1"/>
  <c r="S3625" i="25" s="1"/>
  <c r="S3626" i="25" s="1"/>
  <c r="S3627" i="25" s="1"/>
  <c r="S3628" i="25" s="1"/>
  <c r="S3629" i="25" s="1"/>
  <c r="S3630" i="25" s="1"/>
  <c r="S3631" i="25" s="1"/>
  <c r="S3632" i="25" s="1"/>
  <c r="S3633" i="25" s="1"/>
  <c r="S3634" i="25" s="1"/>
  <c r="S3635" i="25" s="1"/>
  <c r="S3636" i="25" s="1"/>
  <c r="S3637" i="25" s="1"/>
  <c r="S3638" i="25" s="1"/>
  <c r="S3639" i="25" s="1"/>
  <c r="S3640" i="25" s="1"/>
  <c r="S3641" i="25" s="1"/>
  <c r="S3642" i="25" s="1"/>
  <c r="S3643" i="25" s="1"/>
  <c r="S3644" i="25" s="1"/>
  <c r="S3645" i="25" s="1"/>
  <c r="S3646" i="25" s="1"/>
  <c r="S3647" i="25" s="1"/>
  <c r="S3648" i="25" s="1"/>
  <c r="S3649" i="25" s="1"/>
  <c r="S3650" i="25" s="1"/>
  <c r="S3651" i="25" s="1"/>
  <c r="S3652" i="25" s="1"/>
  <c r="S3653" i="25" s="1"/>
  <c r="S3654" i="25" s="1"/>
  <c r="S3655" i="25" s="1"/>
  <c r="S3656" i="25" s="1"/>
  <c r="S3657" i="25" s="1"/>
  <c r="S3658" i="25" s="1"/>
  <c r="S3659" i="25" s="1"/>
  <c r="S3660" i="25" s="1"/>
  <c r="S3661" i="25" s="1"/>
  <c r="S3662" i="25" s="1"/>
  <c r="S3663" i="25" s="1"/>
  <c r="S3664" i="25" s="1"/>
  <c r="S3665" i="25" s="1"/>
  <c r="S3666" i="25" s="1"/>
  <c r="S3667" i="25" s="1"/>
  <c r="S3668" i="25" s="1"/>
  <c r="S3669" i="25" s="1"/>
  <c r="S3670" i="25" s="1"/>
  <c r="S3671" i="25" s="1"/>
  <c r="S3672" i="25" s="1"/>
  <c r="S3673" i="25" s="1"/>
  <c r="S3674" i="25" s="1"/>
  <c r="S3675" i="25" s="1"/>
  <c r="S3676" i="25" s="1"/>
  <c r="S3677" i="25" s="1"/>
  <c r="S3678" i="25" s="1"/>
  <c r="S3679" i="25" s="1"/>
  <c r="S3680" i="25" s="1"/>
  <c r="S3681" i="25" s="1"/>
  <c r="S3682" i="25" s="1"/>
  <c r="S3683" i="25" s="1"/>
  <c r="S3684" i="25" s="1"/>
  <c r="S3685" i="25" s="1"/>
  <c r="S3686" i="25" s="1"/>
  <c r="S3687" i="25" s="1"/>
  <c r="S3688" i="25" s="1"/>
  <c r="S3689" i="25" s="1"/>
  <c r="S3690" i="25" s="1"/>
  <c r="S3691" i="25" s="1"/>
  <c r="S3692" i="25" s="1"/>
  <c r="S3693" i="25" s="1"/>
  <c r="S3694" i="25" s="1"/>
  <c r="S3695" i="25" s="1"/>
  <c r="S3696" i="25" s="1"/>
  <c r="S3697" i="25" s="1"/>
  <c r="S3698" i="25" s="1"/>
  <c r="S3699" i="25" s="1"/>
  <c r="S3700" i="25" s="1"/>
  <c r="S3701" i="25" s="1"/>
  <c r="S3702" i="25" s="1"/>
  <c r="S3703" i="25" s="1"/>
  <c r="S3704" i="25" s="1"/>
  <c r="S3705" i="25" s="1"/>
  <c r="S3706" i="25" s="1"/>
  <c r="S3707" i="25" s="1"/>
  <c r="S3708" i="25" s="1"/>
  <c r="S3709" i="25" s="1"/>
  <c r="S3710" i="25" s="1"/>
  <c r="S3711" i="25" s="1"/>
  <c r="S3712" i="25" s="1"/>
  <c r="S3713" i="25" s="1"/>
  <c r="S3714" i="25" s="1"/>
  <c r="S3715" i="25" s="1"/>
  <c r="S3716" i="25" s="1"/>
  <c r="S3717" i="25" s="1"/>
  <c r="S3718" i="25" s="1"/>
  <c r="S3719" i="25" s="1"/>
  <c r="S3720" i="25" s="1"/>
  <c r="S3721" i="25" s="1"/>
  <c r="S3722" i="25" s="1"/>
  <c r="S3723" i="25" s="1"/>
  <c r="S3724" i="25" s="1"/>
  <c r="S3725" i="25" s="1"/>
  <c r="S3726" i="25" s="1"/>
  <c r="S3727" i="25" s="1"/>
  <c r="S3728" i="25" s="1"/>
  <c r="S3729" i="25" s="1"/>
  <c r="S3730" i="25" s="1"/>
  <c r="S3731" i="25" s="1"/>
  <c r="S3732" i="25" s="1"/>
  <c r="S3733" i="25" s="1"/>
  <c r="S3734" i="25" s="1"/>
  <c r="S3735" i="25" s="1"/>
  <c r="S3736" i="25" s="1"/>
  <c r="S3737" i="25" s="1"/>
  <c r="S3738" i="25" s="1"/>
  <c r="S3739" i="25" s="1"/>
  <c r="S3740" i="25" s="1"/>
  <c r="S3741" i="25" s="1"/>
  <c r="S3742" i="25" s="1"/>
  <c r="S3743" i="25" s="1"/>
  <c r="S3744" i="25" s="1"/>
  <c r="S3745" i="25" s="1"/>
  <c r="S3746" i="25" s="1"/>
  <c r="S3747" i="25" s="1"/>
  <c r="S3748" i="25" s="1"/>
  <c r="S3749" i="25" s="1"/>
  <c r="S3750" i="25" s="1"/>
  <c r="S3751" i="25" s="1"/>
  <c r="S3752" i="25" s="1"/>
  <c r="S3753" i="25" s="1"/>
  <c r="S3754" i="25" s="1"/>
  <c r="S3755" i="25" s="1"/>
  <c r="S3756" i="25" s="1"/>
  <c r="S3757" i="25" s="1"/>
  <c r="S3758" i="25" s="1"/>
  <c r="S3759" i="25" s="1"/>
  <c r="S3760" i="25" s="1"/>
  <c r="S3761" i="25" s="1"/>
  <c r="S3762" i="25" s="1"/>
  <c r="S3763" i="25" s="1"/>
  <c r="S3764" i="25" s="1"/>
  <c r="S3765" i="25" s="1"/>
  <c r="S3766" i="25" s="1"/>
  <c r="S3767" i="25" s="1"/>
  <c r="S3768" i="25" s="1"/>
  <c r="S3769" i="25" s="1"/>
  <c r="S3770" i="25" s="1"/>
  <c r="S3771" i="25" s="1"/>
  <c r="S3772" i="25" s="1"/>
  <c r="S3773" i="25" s="1"/>
  <c r="S3774" i="25" s="1"/>
  <c r="S3775" i="25" s="1"/>
  <c r="S3776" i="25" s="1"/>
  <c r="S3777" i="25" s="1"/>
  <c r="S3778" i="25" s="1"/>
  <c r="S3779" i="25" s="1"/>
  <c r="S3780" i="25" s="1"/>
  <c r="S3781" i="25" s="1"/>
  <c r="S3782" i="25" s="1"/>
  <c r="S3783" i="25" s="1"/>
  <c r="S3784" i="25" s="1"/>
  <c r="S3785" i="25" s="1"/>
  <c r="S3786" i="25" s="1"/>
  <c r="S3787" i="25" s="1"/>
  <c r="S3788" i="25" s="1"/>
  <c r="S3789" i="25" s="1"/>
  <c r="S3790" i="25" s="1"/>
  <c r="S3791" i="25" s="1"/>
  <c r="S3792" i="25" s="1"/>
  <c r="S3793" i="25" s="1"/>
  <c r="S3794" i="25" s="1"/>
  <c r="S3795" i="25" s="1"/>
  <c r="S3796" i="25" s="1"/>
  <c r="S3797" i="25" s="1"/>
  <c r="S3798" i="25" s="1"/>
  <c r="S3799" i="25" s="1"/>
  <c r="S3800" i="25" s="1"/>
  <c r="S3801" i="25" s="1"/>
  <c r="S3802" i="25" s="1"/>
  <c r="S3803" i="25" s="1"/>
  <c r="S3804" i="25" s="1"/>
  <c r="S3805" i="25" s="1"/>
  <c r="S3806" i="25" s="1"/>
  <c r="S3807" i="25" s="1"/>
  <c r="S3808" i="25" s="1"/>
  <c r="S3809" i="25" s="1"/>
  <c r="S3810" i="25" s="1"/>
  <c r="S3811" i="25" s="1"/>
  <c r="S3812" i="25" s="1"/>
  <c r="S3813" i="25" s="1"/>
  <c r="S3814" i="25" s="1"/>
  <c r="S3815" i="25" s="1"/>
  <c r="S3816" i="25" s="1"/>
  <c r="S3817" i="25" s="1"/>
  <c r="S3818" i="25" s="1"/>
  <c r="S3819" i="25" s="1"/>
  <c r="S3820" i="25" s="1"/>
  <c r="S3821" i="25" s="1"/>
  <c r="S3822" i="25" s="1"/>
  <c r="S3823" i="25" s="1"/>
  <c r="S3824" i="25" s="1"/>
  <c r="S3825" i="25" s="1"/>
  <c r="S3826" i="25" s="1"/>
  <c r="S3827" i="25" s="1"/>
  <c r="S3828" i="25" s="1"/>
  <c r="S3829" i="25" s="1"/>
  <c r="S3830" i="25" s="1"/>
  <c r="S3831" i="25" s="1"/>
  <c r="S3832" i="25" s="1"/>
  <c r="S3833" i="25" s="1"/>
  <c r="S3834" i="25" s="1"/>
  <c r="S3835" i="25" s="1"/>
  <c r="S3836" i="25" s="1"/>
  <c r="S3837" i="25" s="1"/>
  <c r="S3838" i="25" s="1"/>
  <c r="S3839" i="25" s="1"/>
  <c r="S3840" i="25" s="1"/>
  <c r="S3841" i="25" s="1"/>
  <c r="S3842" i="25" s="1"/>
  <c r="S3843" i="25" s="1"/>
  <c r="S3844" i="25" s="1"/>
  <c r="S3845" i="25" s="1"/>
  <c r="S3846" i="25" s="1"/>
  <c r="S3847" i="25" s="1"/>
  <c r="S3848" i="25" s="1"/>
  <c r="S3849" i="25" s="1"/>
  <c r="S3850" i="25" s="1"/>
  <c r="S3851" i="25" s="1"/>
  <c r="S3852" i="25" s="1"/>
  <c r="S3853" i="25" s="1"/>
  <c r="S3854" i="25" s="1"/>
  <c r="S3855" i="25" s="1"/>
  <c r="S3856" i="25" s="1"/>
  <c r="S3857" i="25" s="1"/>
  <c r="S3858" i="25" s="1"/>
  <c r="S3859" i="25" s="1"/>
  <c r="S3860" i="25" s="1"/>
  <c r="S3861" i="25" s="1"/>
  <c r="S3862" i="25" s="1"/>
  <c r="S3863" i="25" s="1"/>
  <c r="S3864" i="25" s="1"/>
  <c r="S3865" i="25" s="1"/>
  <c r="S3866" i="25" s="1"/>
  <c r="S3867" i="25" s="1"/>
  <c r="S3868" i="25" s="1"/>
  <c r="S3869" i="25" s="1"/>
  <c r="S3870" i="25" s="1"/>
  <c r="S3871" i="25" s="1"/>
  <c r="S3872" i="25" s="1"/>
  <c r="S3873" i="25" s="1"/>
  <c r="S3874" i="25" s="1"/>
  <c r="S3875" i="25" s="1"/>
  <c r="S3876" i="25" s="1"/>
  <c r="S3877" i="25" s="1"/>
  <c r="S3878" i="25" s="1"/>
  <c r="S3879" i="25" s="1"/>
  <c r="S3880" i="25" s="1"/>
  <c r="S3881" i="25" s="1"/>
  <c r="S3882" i="25" s="1"/>
  <c r="S3883" i="25" s="1"/>
  <c r="S3884" i="25" s="1"/>
  <c r="S3885" i="25" s="1"/>
  <c r="S3886" i="25" s="1"/>
  <c r="S3887" i="25" s="1"/>
  <c r="S3888" i="25" s="1"/>
  <c r="S3889" i="25" s="1"/>
  <c r="S3890" i="25" s="1"/>
  <c r="S3891" i="25" s="1"/>
  <c r="S3892" i="25" s="1"/>
  <c r="S3893" i="25" s="1"/>
  <c r="S3894" i="25" s="1"/>
  <c r="S3895" i="25" s="1"/>
  <c r="S3896" i="25" s="1"/>
  <c r="S3897" i="25" s="1"/>
  <c r="S3898" i="25" s="1"/>
  <c r="S3899" i="25" s="1"/>
  <c r="S3900" i="25" s="1"/>
  <c r="S3901" i="25" s="1"/>
  <c r="S3902" i="25" s="1"/>
  <c r="S3903" i="25" s="1"/>
  <c r="S3904" i="25" s="1"/>
  <c r="S3905" i="25" s="1"/>
  <c r="S3906" i="25" s="1"/>
  <c r="S3907" i="25" s="1"/>
  <c r="S3908" i="25" s="1"/>
  <c r="S3909" i="25" s="1"/>
  <c r="S3910" i="25" s="1"/>
  <c r="S3911" i="25" s="1"/>
  <c r="S3912" i="25" s="1"/>
  <c r="S3913" i="25" s="1"/>
  <c r="S3914" i="25" s="1"/>
  <c r="S3915" i="25" s="1"/>
  <c r="S3916" i="25" s="1"/>
  <c r="S3917" i="25" s="1"/>
  <c r="S3918" i="25" s="1"/>
  <c r="S3919" i="25" s="1"/>
  <c r="S3920" i="25" s="1"/>
  <c r="S3921" i="25" s="1"/>
  <c r="S3922" i="25" s="1"/>
  <c r="S3923" i="25" s="1"/>
  <c r="S3924" i="25" s="1"/>
  <c r="S3925" i="25" s="1"/>
  <c r="S3926" i="25" s="1"/>
  <c r="S3927" i="25" s="1"/>
  <c r="S3928" i="25" s="1"/>
  <c r="S3929" i="25" s="1"/>
  <c r="S3930" i="25" s="1"/>
  <c r="S3931" i="25" s="1"/>
  <c r="S3932" i="25" s="1"/>
  <c r="S3933" i="25" s="1"/>
  <c r="S3934" i="25" s="1"/>
  <c r="S3935" i="25" s="1"/>
  <c r="S3936" i="25" s="1"/>
  <c r="S3937" i="25" s="1"/>
  <c r="S3938" i="25" s="1"/>
  <c r="S3939" i="25" s="1"/>
  <c r="S3940" i="25" s="1"/>
  <c r="S3941" i="25" s="1"/>
  <c r="S3942" i="25" s="1"/>
  <c r="S3943" i="25" s="1"/>
  <c r="S3944" i="25" s="1"/>
  <c r="S3945" i="25" s="1"/>
  <c r="S3946" i="25" s="1"/>
  <c r="S3947" i="25" s="1"/>
  <c r="S3948" i="25" s="1"/>
  <c r="S3949" i="25" s="1"/>
  <c r="S3950" i="25" s="1"/>
  <c r="S3951" i="25" s="1"/>
  <c r="S3952" i="25" s="1"/>
  <c r="S3953" i="25" s="1"/>
  <c r="S3954" i="25" s="1"/>
  <c r="S3955" i="25" s="1"/>
  <c r="S3956" i="25" s="1"/>
  <c r="S3957" i="25" s="1"/>
  <c r="S3958" i="25" s="1"/>
  <c r="S3959" i="25" s="1"/>
  <c r="S3960" i="25" s="1"/>
  <c r="S3961" i="25" s="1"/>
  <c r="S3962" i="25" s="1"/>
  <c r="S3963" i="25" s="1"/>
  <c r="S3964" i="25" s="1"/>
  <c r="S3965" i="25" s="1"/>
  <c r="S3966" i="25" s="1"/>
  <c r="S3967" i="25" s="1"/>
  <c r="S3968" i="25" s="1"/>
  <c r="S3969" i="25" s="1"/>
  <c r="S3970" i="25" s="1"/>
  <c r="S3971" i="25" s="1"/>
  <c r="S3972" i="25" s="1"/>
  <c r="S3973" i="25" s="1"/>
  <c r="S3974" i="25" s="1"/>
  <c r="S3975" i="25" s="1"/>
  <c r="S3976" i="25" s="1"/>
  <c r="S3977" i="25" s="1"/>
  <c r="S3978" i="25" s="1"/>
  <c r="S3979" i="25" s="1"/>
  <c r="S3980" i="25" s="1"/>
  <c r="S3981" i="25" s="1"/>
  <c r="S3982" i="25" s="1"/>
  <c r="S3983" i="25" s="1"/>
  <c r="S3984" i="25" s="1"/>
  <c r="S3985" i="25" s="1"/>
  <c r="S3986" i="25" s="1"/>
  <c r="S3987" i="25" s="1"/>
  <c r="S3988" i="25" s="1"/>
  <c r="S3989" i="25" s="1"/>
  <c r="S3990" i="25" s="1"/>
  <c r="S3991" i="25" s="1"/>
  <c r="S3992" i="25" s="1"/>
  <c r="S3993" i="25" s="1"/>
  <c r="S3994" i="25" s="1"/>
  <c r="S3995" i="25" s="1"/>
  <c r="S3996" i="25" s="1"/>
  <c r="S3997" i="25" s="1"/>
  <c r="S3998" i="25" s="1"/>
  <c r="S3999" i="25" s="1"/>
  <c r="S4000" i="25" s="1"/>
  <c r="S4001" i="25" s="1"/>
  <c r="S4002" i="25" s="1"/>
  <c r="S4003" i="25" s="1"/>
  <c r="S4004" i="25" s="1"/>
  <c r="S4005" i="25" s="1"/>
  <c r="S4006" i="25" s="1"/>
  <c r="S4007" i="25" s="1"/>
  <c r="S4008" i="25" s="1"/>
  <c r="S4009" i="25" s="1"/>
  <c r="S4010" i="25" s="1"/>
  <c r="S4011" i="25" s="1"/>
  <c r="S4012" i="25" s="1"/>
  <c r="S4013" i="25" s="1"/>
  <c r="S4014" i="25" s="1"/>
  <c r="S4015" i="25" s="1"/>
  <c r="S4016" i="25" s="1"/>
  <c r="S4017" i="25" s="1"/>
  <c r="S4018" i="25" s="1"/>
  <c r="S4019" i="25" s="1"/>
  <c r="S4020" i="25" s="1"/>
  <c r="S4021" i="25" s="1"/>
  <c r="S4022" i="25" s="1"/>
  <c r="S4023" i="25" s="1"/>
  <c r="S4024" i="25" s="1"/>
  <c r="S4025" i="25" s="1"/>
  <c r="S4026" i="25" s="1"/>
  <c r="S4027" i="25" s="1"/>
  <c r="S4028" i="25" s="1"/>
  <c r="S4029" i="25" s="1"/>
  <c r="S4030" i="25" s="1"/>
  <c r="S4031" i="25" s="1"/>
  <c r="S4032" i="25" s="1"/>
  <c r="S4033" i="25" s="1"/>
  <c r="S4034" i="25" s="1"/>
  <c r="S4035" i="25" s="1"/>
  <c r="S4036" i="25" s="1"/>
  <c r="S4037" i="25" s="1"/>
  <c r="S4038" i="25" s="1"/>
  <c r="S4039" i="25" s="1"/>
  <c r="S4040" i="25" s="1"/>
  <c r="S4041" i="25" s="1"/>
  <c r="S4042" i="25" s="1"/>
  <c r="S4043" i="25" s="1"/>
  <c r="S4044" i="25" s="1"/>
  <c r="S4045" i="25" s="1"/>
  <c r="S4046" i="25" s="1"/>
  <c r="S4047" i="25" s="1"/>
  <c r="S4048" i="25" s="1"/>
  <c r="S4049" i="25" s="1"/>
  <c r="S4050" i="25" s="1"/>
  <c r="S4051" i="25" s="1"/>
  <c r="S4052" i="25" s="1"/>
  <c r="S4053" i="25" s="1"/>
  <c r="S4054" i="25" s="1"/>
  <c r="S4055" i="25" s="1"/>
  <c r="S4056" i="25" s="1"/>
  <c r="S4057" i="25" s="1"/>
  <c r="S4058" i="25" s="1"/>
  <c r="J540" i="25"/>
  <c r="U539" i="25"/>
  <c r="K489" i="25"/>
  <c r="S9" i="21"/>
  <c r="S8" i="21"/>
  <c r="S15" i="21"/>
  <c r="P65" i="22"/>
  <c r="P52" i="22"/>
  <c r="P25" i="22"/>
  <c r="P39" i="22"/>
  <c r="I3987" i="25" l="1"/>
  <c r="V489" i="25"/>
  <c r="T489" i="25"/>
  <c r="J541" i="25"/>
  <c r="U540" i="25"/>
  <c r="K490" i="25"/>
  <c r="S17" i="21"/>
  <c r="S18" i="21" s="1"/>
  <c r="I3988" i="25" l="1"/>
  <c r="V490" i="25"/>
  <c r="T490" i="25"/>
  <c r="J542" i="25"/>
  <c r="U541" i="25"/>
  <c r="K491" i="25"/>
  <c r="S19" i="21"/>
  <c r="S20" i="21" s="1"/>
  <c r="S23" i="21" s="1"/>
  <c r="I3989" i="25" l="1"/>
  <c r="V491" i="25"/>
  <c r="T491" i="25"/>
  <c r="J543" i="25"/>
  <c r="U542" i="25"/>
  <c r="K492" i="25"/>
  <c r="T8" i="21"/>
  <c r="T9" i="21"/>
  <c r="Q25" i="22"/>
  <c r="Q65" i="22"/>
  <c r="Q52" i="22"/>
  <c r="Q39" i="22"/>
  <c r="Q12" i="22"/>
  <c r="I3990" i="25" l="1"/>
  <c r="V492" i="25"/>
  <c r="T492" i="25"/>
  <c r="J544" i="25"/>
  <c r="U543" i="25"/>
  <c r="K493" i="25"/>
  <c r="T10" i="21"/>
  <c r="T11" i="21" s="1"/>
  <c r="I3991" i="25" l="1"/>
  <c r="V493" i="25"/>
  <c r="T493" i="25"/>
  <c r="J545" i="25"/>
  <c r="U544" i="25"/>
  <c r="K494" i="25"/>
  <c r="R62" i="22"/>
  <c r="R66" i="22" s="1"/>
  <c r="R64" i="22" s="1"/>
  <c r="R49" i="22"/>
  <c r="R53" i="22" s="1"/>
  <c r="R51" i="22" s="1"/>
  <c r="R22" i="22"/>
  <c r="R26" i="22" s="1"/>
  <c r="R24" i="22" s="1"/>
  <c r="R36" i="22"/>
  <c r="I3992" i="25" l="1"/>
  <c r="V494" i="25"/>
  <c r="T494" i="25"/>
  <c r="J546" i="25"/>
  <c r="U545" i="25"/>
  <c r="K495" i="25"/>
  <c r="X23" i="22" a="1"/>
  <c r="X23" i="22" s="1"/>
  <c r="T23" i="22" a="1"/>
  <c r="T23" i="22" s="1"/>
  <c r="R23" i="22" a="1"/>
  <c r="R23" i="22" s="1"/>
  <c r="AF23" i="22" a="1"/>
  <c r="AF23" i="22" s="1"/>
  <c r="AE23" i="22" a="1"/>
  <c r="AE23" i="22" s="1"/>
  <c r="AC23" i="22" a="1"/>
  <c r="AC23" i="22" s="1"/>
  <c r="W23" i="22" a="1"/>
  <c r="W23" i="22" s="1"/>
  <c r="AB23" i="22" a="1"/>
  <c r="AB23" i="22" s="1"/>
  <c r="Y23" i="22" a="1"/>
  <c r="Y23" i="22" s="1"/>
  <c r="AA23" i="22" a="1"/>
  <c r="AA23" i="22" s="1"/>
  <c r="AG23" i="22" a="1"/>
  <c r="AG23" i="22" s="1"/>
  <c r="AD23" i="22" a="1"/>
  <c r="AD23" i="22" s="1"/>
  <c r="S23" i="22" a="1"/>
  <c r="S23" i="22" s="1"/>
  <c r="U23" i="22" a="1"/>
  <c r="U23" i="22" s="1"/>
  <c r="V23" i="22" a="1"/>
  <c r="V23" i="22" s="1"/>
  <c r="Z23" i="22" a="1"/>
  <c r="Z23" i="22" s="1"/>
  <c r="AF50" i="22" a="1"/>
  <c r="AF50" i="22" s="1"/>
  <c r="Y50" i="22" a="1"/>
  <c r="Y50" i="22" s="1"/>
  <c r="S50" i="22" a="1"/>
  <c r="S50" i="22" s="1"/>
  <c r="AD50" i="22" a="1"/>
  <c r="AD50" i="22" s="1"/>
  <c r="V50" i="22" a="1"/>
  <c r="V50" i="22" s="1"/>
  <c r="Z50" i="22" a="1"/>
  <c r="Z50" i="22" s="1"/>
  <c r="U50" i="22" a="1"/>
  <c r="U50" i="22" s="1"/>
  <c r="AA50" i="22" a="1"/>
  <c r="AA50" i="22" s="1"/>
  <c r="W50" i="22" a="1"/>
  <c r="W50" i="22" s="1"/>
  <c r="AC50" i="22" a="1"/>
  <c r="AC50" i="22" s="1"/>
  <c r="AB50" i="22" a="1"/>
  <c r="AB50" i="22" s="1"/>
  <c r="R50" i="22" a="1"/>
  <c r="R50" i="22" s="1"/>
  <c r="AG50" i="22" a="1"/>
  <c r="AG50" i="22" s="1"/>
  <c r="X50" i="22" a="1"/>
  <c r="X50" i="22" s="1"/>
  <c r="AE50" i="22" a="1"/>
  <c r="AE50" i="22" s="1"/>
  <c r="T50" i="22" a="1"/>
  <c r="T50" i="22" s="1"/>
  <c r="R40" i="22"/>
  <c r="R9" i="22"/>
  <c r="T14" i="21" s="1"/>
  <c r="T63" i="22" a="1"/>
  <c r="T63" i="22" s="1"/>
  <c r="Z63" i="22" a="1"/>
  <c r="Z63" i="22" s="1"/>
  <c r="AF63" i="22" a="1"/>
  <c r="AF63" i="22" s="1"/>
  <c r="AD63" i="22" a="1"/>
  <c r="AD63" i="22" s="1"/>
  <c r="AC63" i="22" a="1"/>
  <c r="AC63" i="22" s="1"/>
  <c r="W63" i="22" a="1"/>
  <c r="W63" i="22" s="1"/>
  <c r="AA63" i="22" a="1"/>
  <c r="AA63" i="22" s="1"/>
  <c r="U63" i="22" a="1"/>
  <c r="U63" i="22" s="1"/>
  <c r="X63" i="22" a="1"/>
  <c r="X63" i="22" s="1"/>
  <c r="AE63" i="22" a="1"/>
  <c r="AE63" i="22" s="1"/>
  <c r="R63" i="22" a="1"/>
  <c r="R63" i="22" s="1"/>
  <c r="Y63" i="22" a="1"/>
  <c r="Y63" i="22" s="1"/>
  <c r="V63" i="22" a="1"/>
  <c r="V63" i="22" s="1"/>
  <c r="AB63" i="22" a="1"/>
  <c r="AB63" i="22" s="1"/>
  <c r="AG63" i="22" a="1"/>
  <c r="AG63" i="22" s="1"/>
  <c r="S63" i="22" a="1"/>
  <c r="S63" i="22" s="1"/>
  <c r="I3993" i="25" l="1"/>
  <c r="V495" i="25"/>
  <c r="T495" i="25"/>
  <c r="F63" i="22"/>
  <c r="J547" i="25"/>
  <c r="U546" i="25"/>
  <c r="K496" i="25"/>
  <c r="F50" i="22"/>
  <c r="F23" i="22"/>
  <c r="R13" i="22"/>
  <c r="R38" i="22"/>
  <c r="I3994" i="25" l="1"/>
  <c r="V496" i="25"/>
  <c r="T496" i="25"/>
  <c r="J548" i="25"/>
  <c r="U547" i="25"/>
  <c r="K497" i="25"/>
  <c r="R11" i="22"/>
  <c r="T37" i="22" a="1"/>
  <c r="T37" i="22" s="1"/>
  <c r="T10" i="22" s="1"/>
  <c r="V15" i="21" s="1"/>
  <c r="S37" i="22" a="1"/>
  <c r="S37" i="22" s="1"/>
  <c r="V37" i="22" a="1"/>
  <c r="V37" i="22" s="1"/>
  <c r="V10" i="22" s="1"/>
  <c r="X15" i="21" s="1"/>
  <c r="AB37" i="22" a="1"/>
  <c r="AB37" i="22" s="1"/>
  <c r="AB10" i="22" s="1"/>
  <c r="AD15" i="21" s="1"/>
  <c r="AE37" i="22" a="1"/>
  <c r="AE37" i="22" s="1"/>
  <c r="AE10" i="22" s="1"/>
  <c r="AG15" i="21" s="1"/>
  <c r="AA37" i="22" a="1"/>
  <c r="AA37" i="22" s="1"/>
  <c r="AA10" i="22" s="1"/>
  <c r="AC15" i="21" s="1"/>
  <c r="Z37" i="22" a="1"/>
  <c r="Z37" i="22" s="1"/>
  <c r="Z10" i="22" s="1"/>
  <c r="AB15" i="21" s="1"/>
  <c r="W37" i="22" a="1"/>
  <c r="W37" i="22" s="1"/>
  <c r="W10" i="22" s="1"/>
  <c r="Y15" i="21" s="1"/>
  <c r="AG37" i="22" a="1"/>
  <c r="AG37" i="22" s="1"/>
  <c r="AG10" i="22" s="1"/>
  <c r="AI15" i="21" s="1"/>
  <c r="AC37" i="22" a="1"/>
  <c r="AC37" i="22" s="1"/>
  <c r="AC10" i="22" s="1"/>
  <c r="AE15" i="21" s="1"/>
  <c r="AD37" i="22" a="1"/>
  <c r="AD37" i="22" s="1"/>
  <c r="AD10" i="22" s="1"/>
  <c r="AF15" i="21" s="1"/>
  <c r="AF37" i="22" a="1"/>
  <c r="AF37" i="22" s="1"/>
  <c r="AF10" i="22" s="1"/>
  <c r="AH15" i="21" s="1"/>
  <c r="Y37" i="22" a="1"/>
  <c r="Y37" i="22" s="1"/>
  <c r="Y10" i="22" s="1"/>
  <c r="AA15" i="21" s="1"/>
  <c r="U37" i="22" a="1"/>
  <c r="U37" i="22" s="1"/>
  <c r="U10" i="22" s="1"/>
  <c r="W15" i="21" s="1"/>
  <c r="X37" i="22" a="1"/>
  <c r="X37" i="22" s="1"/>
  <c r="X10" i="22" s="1"/>
  <c r="Z15" i="21" s="1"/>
  <c r="R37" i="22" a="1"/>
  <c r="R37" i="22" s="1"/>
  <c r="R10" i="22" s="1"/>
  <c r="T15" i="21" s="1"/>
  <c r="T17" i="21" s="1"/>
  <c r="T18" i="21" s="1"/>
  <c r="I3995" i="25" l="1"/>
  <c r="V497" i="25"/>
  <c r="K498" i="25"/>
  <c r="T497" i="25"/>
  <c r="J549" i="25"/>
  <c r="U548" i="25"/>
  <c r="T19" i="21"/>
  <c r="T20" i="21" s="1"/>
  <c r="T23" i="21" s="1"/>
  <c r="S10" i="22"/>
  <c r="F37" i="22"/>
  <c r="I3996" i="25" l="1"/>
  <c r="V498" i="25"/>
  <c r="T498" i="25"/>
  <c r="J550" i="25"/>
  <c r="U549" i="25"/>
  <c r="K499" i="25"/>
  <c r="U9" i="21"/>
  <c r="U8" i="21"/>
  <c r="U15" i="21"/>
  <c r="F10" i="22"/>
  <c r="R12" i="22"/>
  <c r="R25" i="22"/>
  <c r="R52" i="22"/>
  <c r="R65" i="22"/>
  <c r="R39" i="22"/>
  <c r="I3997" i="25" l="1"/>
  <c r="V499" i="25"/>
  <c r="T499" i="25"/>
  <c r="J551" i="25"/>
  <c r="U550" i="25"/>
  <c r="K500" i="25"/>
  <c r="U10" i="21"/>
  <c r="U11" i="21" s="1"/>
  <c r="I3998" i="25" l="1"/>
  <c r="V500" i="25"/>
  <c r="T500" i="25"/>
  <c r="J552" i="25"/>
  <c r="U551" i="25"/>
  <c r="K501" i="25"/>
  <c r="S62" i="22"/>
  <c r="S36" i="22"/>
  <c r="S49" i="22"/>
  <c r="S22" i="22"/>
  <c r="V501" i="25" l="1"/>
  <c r="I3999" i="25"/>
  <c r="T501" i="25"/>
  <c r="J553" i="25"/>
  <c r="U552" i="25"/>
  <c r="K502" i="25"/>
  <c r="S26" i="22"/>
  <c r="S53" i="22"/>
  <c r="S40" i="22"/>
  <c r="S9" i="22"/>
  <c r="S66" i="22"/>
  <c r="V502" i="25" l="1"/>
  <c r="I4000" i="25"/>
  <c r="K503" i="25"/>
  <c r="T502" i="25"/>
  <c r="J554" i="25"/>
  <c r="U553" i="25"/>
  <c r="S64" i="22"/>
  <c r="U14" i="21"/>
  <c r="U17" i="21" s="1"/>
  <c r="U18" i="21" s="1"/>
  <c r="S51" i="22"/>
  <c r="S13" i="22"/>
  <c r="S38" i="22"/>
  <c r="S24" i="22"/>
  <c r="V503" i="25" l="1"/>
  <c r="I4001" i="25"/>
  <c r="T503" i="25"/>
  <c r="J555" i="25"/>
  <c r="U554" i="25"/>
  <c r="K504" i="25"/>
  <c r="U19" i="21"/>
  <c r="S25" i="22" s="1"/>
  <c r="S11" i="22"/>
  <c r="V504" i="25" l="1"/>
  <c r="I4002" i="25"/>
  <c r="T504" i="25"/>
  <c r="J556" i="25"/>
  <c r="U555" i="25"/>
  <c r="K505" i="25"/>
  <c r="S39" i="22"/>
  <c r="S65" i="22"/>
  <c r="S12" i="22"/>
  <c r="S52" i="22"/>
  <c r="U20" i="21"/>
  <c r="U23" i="21" s="1"/>
  <c r="I4003" i="25" l="1"/>
  <c r="V505" i="25"/>
  <c r="T505" i="25"/>
  <c r="J557" i="25"/>
  <c r="U556" i="25"/>
  <c r="K506" i="25"/>
  <c r="V8" i="21"/>
  <c r="V9" i="21"/>
  <c r="I4004" i="25" l="1"/>
  <c r="V506" i="25"/>
  <c r="T506" i="25"/>
  <c r="J558" i="25"/>
  <c r="U557" i="25"/>
  <c r="K507" i="25"/>
  <c r="V10" i="21"/>
  <c r="V11" i="21" s="1"/>
  <c r="V507" i="25" l="1"/>
  <c r="I4005" i="25"/>
  <c r="T507" i="25"/>
  <c r="J559" i="25"/>
  <c r="U558" i="25"/>
  <c r="K508" i="25"/>
  <c r="T22" i="22"/>
  <c r="T36" i="22"/>
  <c r="T49" i="22"/>
  <c r="T62" i="22"/>
  <c r="I4006" i="25" l="1"/>
  <c r="V508" i="25"/>
  <c r="T508" i="25"/>
  <c r="J560" i="25"/>
  <c r="U559" i="25"/>
  <c r="K509" i="25"/>
  <c r="T53" i="22"/>
  <c r="F49" i="22"/>
  <c r="T66" i="22"/>
  <c r="F62" i="22"/>
  <c r="T40" i="22"/>
  <c r="T9" i="22"/>
  <c r="F36" i="22"/>
  <c r="T26" i="22"/>
  <c r="F22" i="22"/>
  <c r="V509" i="25" l="1"/>
  <c r="I4007" i="25"/>
  <c r="T509" i="25"/>
  <c r="J561" i="25"/>
  <c r="U560" i="25"/>
  <c r="K510" i="25"/>
  <c r="V14" i="21"/>
  <c r="V17" i="21" s="1"/>
  <c r="V18" i="21" s="1"/>
  <c r="F9" i="22"/>
  <c r="F26" i="22"/>
  <c r="T24" i="22"/>
  <c r="F66" i="22"/>
  <c r="T64" i="22"/>
  <c r="T13" i="22"/>
  <c r="F13" i="22" s="1"/>
  <c r="F40" i="22"/>
  <c r="T38" i="22"/>
  <c r="F53" i="22"/>
  <c r="T51" i="22"/>
  <c r="V510" i="25" l="1"/>
  <c r="I4008" i="25"/>
  <c r="T510" i="25"/>
  <c r="J562" i="25"/>
  <c r="U561" i="25"/>
  <c r="K511" i="25"/>
  <c r="F24" i="22"/>
  <c r="F51" i="22"/>
  <c r="F64" i="22"/>
  <c r="T11" i="22"/>
  <c r="F38" i="22"/>
  <c r="V19" i="21"/>
  <c r="T25" i="22" s="1"/>
  <c r="F25" i="22" s="1"/>
  <c r="I4009" i="25" l="1"/>
  <c r="V511" i="25"/>
  <c r="T511" i="25"/>
  <c r="J563" i="25"/>
  <c r="U562" i="25"/>
  <c r="K512" i="25"/>
  <c r="T12" i="22"/>
  <c r="F12" i="22" s="1"/>
  <c r="F11" i="22"/>
  <c r="V20" i="21"/>
  <c r="V23" i="21" s="1"/>
  <c r="T65" i="22"/>
  <c r="F65" i="22" s="1"/>
  <c r="T52" i="22"/>
  <c r="F52" i="22" s="1"/>
  <c r="T39" i="22"/>
  <c r="F39" i="22" s="1"/>
  <c r="V512" i="25" l="1"/>
  <c r="I4010" i="25"/>
  <c r="T512" i="25"/>
  <c r="J564" i="25"/>
  <c r="U563" i="25"/>
  <c r="K513" i="25"/>
  <c r="W9" i="21"/>
  <c r="W8" i="21"/>
  <c r="V513" i="25" l="1"/>
  <c r="I4011" i="25"/>
  <c r="T513" i="25"/>
  <c r="J565" i="25"/>
  <c r="U564" i="25"/>
  <c r="K514" i="25"/>
  <c r="W10" i="21"/>
  <c r="W11" i="21" s="1"/>
  <c r="V514" i="25" l="1"/>
  <c r="I4012" i="25"/>
  <c r="T514" i="25"/>
  <c r="J566" i="25"/>
  <c r="U565" i="25"/>
  <c r="K515" i="25"/>
  <c r="U49" i="22"/>
  <c r="U53" i="22" s="1"/>
  <c r="U51" i="22" s="1"/>
  <c r="U22" i="22"/>
  <c r="U26" i="22" s="1"/>
  <c r="U24" i="22" s="1"/>
  <c r="U62" i="22"/>
  <c r="U66" i="22" s="1"/>
  <c r="U64" i="22" s="1"/>
  <c r="U36" i="22"/>
  <c r="V515" i="25" l="1"/>
  <c r="I4013" i="25"/>
  <c r="T515" i="25"/>
  <c r="J567" i="25"/>
  <c r="U566" i="25"/>
  <c r="K516" i="25"/>
  <c r="U9" i="22"/>
  <c r="W14" i="21" s="1"/>
  <c r="W17" i="21" s="1"/>
  <c r="W18" i="21" s="1"/>
  <c r="U40" i="22"/>
  <c r="V516" i="25" l="1"/>
  <c r="I4014" i="25"/>
  <c r="T516" i="25"/>
  <c r="J568" i="25"/>
  <c r="U567" i="25"/>
  <c r="K517" i="25"/>
  <c r="U13" i="22"/>
  <c r="U38" i="22"/>
  <c r="W19" i="21"/>
  <c r="W20" i="21" s="1"/>
  <c r="W23" i="21" s="1"/>
  <c r="V517" i="25" l="1"/>
  <c r="I4015" i="25"/>
  <c r="T517" i="25"/>
  <c r="J569" i="25"/>
  <c r="U568" i="25"/>
  <c r="K518" i="25"/>
  <c r="X9" i="21"/>
  <c r="X8" i="21"/>
  <c r="U65" i="22"/>
  <c r="U25" i="22"/>
  <c r="U52" i="22"/>
  <c r="U39" i="22"/>
  <c r="U11" i="22"/>
  <c r="U12" i="22" s="1"/>
  <c r="V518" i="25" l="1"/>
  <c r="I4016" i="25"/>
  <c r="T518" i="25"/>
  <c r="J570" i="25"/>
  <c r="U569" i="25"/>
  <c r="K519" i="25"/>
  <c r="X10" i="21"/>
  <c r="X11" i="21" s="1"/>
  <c r="V519" i="25" l="1"/>
  <c r="I4017" i="25"/>
  <c r="T519" i="25"/>
  <c r="J571" i="25"/>
  <c r="U570" i="25"/>
  <c r="K520" i="25"/>
  <c r="V62" i="22"/>
  <c r="V66" i="22" s="1"/>
  <c r="V64" i="22" s="1"/>
  <c r="V49" i="22"/>
  <c r="V53" i="22" s="1"/>
  <c r="V51" i="22" s="1"/>
  <c r="V36" i="22"/>
  <c r="V22" i="22"/>
  <c r="V26" i="22" s="1"/>
  <c r="V24" i="22" s="1"/>
  <c r="V520" i="25" l="1"/>
  <c r="I4018" i="25"/>
  <c r="T520" i="25"/>
  <c r="J572" i="25"/>
  <c r="U571" i="25"/>
  <c r="K521" i="25"/>
  <c r="V9" i="22"/>
  <c r="X14" i="21" s="1"/>
  <c r="X17" i="21" s="1"/>
  <c r="X18" i="21" s="1"/>
  <c r="V40" i="22"/>
  <c r="V521" i="25" l="1"/>
  <c r="I4019" i="25"/>
  <c r="T521" i="25"/>
  <c r="J573" i="25"/>
  <c r="U572" i="25"/>
  <c r="K522" i="25"/>
  <c r="V13" i="22"/>
  <c r="V38" i="22"/>
  <c r="X19" i="21"/>
  <c r="V522" i="25" l="1"/>
  <c r="I4020" i="25"/>
  <c r="K523" i="25"/>
  <c r="T522" i="25"/>
  <c r="J574" i="25"/>
  <c r="U573" i="25"/>
  <c r="V25" i="22"/>
  <c r="V52" i="22"/>
  <c r="V65" i="22"/>
  <c r="X20" i="21"/>
  <c r="X23" i="21" s="1"/>
  <c r="V39" i="22"/>
  <c r="V11" i="22"/>
  <c r="V12" i="22" s="1"/>
  <c r="V523" i="25" l="1"/>
  <c r="I4021" i="25"/>
  <c r="T523" i="25"/>
  <c r="J575" i="25"/>
  <c r="U574" i="25"/>
  <c r="Y8" i="21"/>
  <c r="Y9" i="21"/>
  <c r="I4022" i="25" l="1"/>
  <c r="T524" i="25"/>
  <c r="K524" i="25"/>
  <c r="J576" i="25"/>
  <c r="U575" i="25"/>
  <c r="K525" i="25"/>
  <c r="Y10" i="21"/>
  <c r="Y11" i="21" s="1"/>
  <c r="V524" i="25" l="1"/>
  <c r="V525" i="25" s="1"/>
  <c r="I4023" i="25"/>
  <c r="T525" i="25"/>
  <c r="J577" i="25"/>
  <c r="U576" i="25"/>
  <c r="K526" i="25"/>
  <c r="W49" i="22"/>
  <c r="W53" i="22" s="1"/>
  <c r="W51" i="22" s="1"/>
  <c r="W36" i="22"/>
  <c r="W22" i="22"/>
  <c r="W26" i="22" s="1"/>
  <c r="W24" i="22" s="1"/>
  <c r="W62" i="22"/>
  <c r="W66" i="22" s="1"/>
  <c r="W64" i="22" s="1"/>
  <c r="I4024" i="25" l="1"/>
  <c r="V526" i="25"/>
  <c r="T526" i="25"/>
  <c r="J578" i="25"/>
  <c r="U577" i="25"/>
  <c r="K527" i="25"/>
  <c r="W40" i="22"/>
  <c r="W9" i="22"/>
  <c r="Y14" i="21" s="1"/>
  <c r="Y17" i="21" s="1"/>
  <c r="Y18" i="21" s="1"/>
  <c r="I4025" i="25" l="1"/>
  <c r="V527" i="25"/>
  <c r="T527" i="25"/>
  <c r="J579" i="25"/>
  <c r="U578" i="25"/>
  <c r="K528" i="25"/>
  <c r="Y19" i="21"/>
  <c r="Y20" i="21" s="1"/>
  <c r="Y23" i="21" s="1"/>
  <c r="W13" i="22"/>
  <c r="W38" i="22"/>
  <c r="I4026" i="25" l="1"/>
  <c r="V528" i="25"/>
  <c r="T528" i="25"/>
  <c r="J580" i="25"/>
  <c r="U579" i="25"/>
  <c r="K529" i="25"/>
  <c r="Z8" i="21"/>
  <c r="Z9" i="21"/>
  <c r="W39" i="22"/>
  <c r="W11" i="22"/>
  <c r="W12" i="22" s="1"/>
  <c r="W25" i="22"/>
  <c r="W52" i="22"/>
  <c r="W65" i="22"/>
  <c r="I4027" i="25" l="1"/>
  <c r="V529" i="25"/>
  <c r="T529" i="25"/>
  <c r="J581" i="25"/>
  <c r="U580" i="25"/>
  <c r="K530" i="25"/>
  <c r="Z10" i="21"/>
  <c r="Z11" i="21" s="1"/>
  <c r="I4028" i="25" l="1"/>
  <c r="V530" i="25"/>
  <c r="T530" i="25"/>
  <c r="J582" i="25"/>
  <c r="U581" i="25"/>
  <c r="K531" i="25"/>
  <c r="X62" i="22"/>
  <c r="X66" i="22" s="1"/>
  <c r="X64" i="22" s="1"/>
  <c r="X22" i="22"/>
  <c r="X26" i="22" s="1"/>
  <c r="X24" i="22" s="1"/>
  <c r="X49" i="22"/>
  <c r="X53" i="22" s="1"/>
  <c r="X51" i="22" s="1"/>
  <c r="X36" i="22"/>
  <c r="I4029" i="25" l="1"/>
  <c r="V531" i="25"/>
  <c r="T531" i="25"/>
  <c r="J583" i="25"/>
  <c r="U582" i="25"/>
  <c r="K532" i="25"/>
  <c r="X40" i="22"/>
  <c r="X9" i="22"/>
  <c r="Z14" i="21" s="1"/>
  <c r="Z17" i="21" s="1"/>
  <c r="Z18" i="21" s="1"/>
  <c r="I4030" i="25" l="1"/>
  <c r="V532" i="25"/>
  <c r="T532" i="25"/>
  <c r="J584" i="25"/>
  <c r="U583" i="25"/>
  <c r="K533" i="25"/>
  <c r="X13" i="22"/>
  <c r="X38" i="22"/>
  <c r="Z19" i="21"/>
  <c r="I4031" i="25" l="1"/>
  <c r="V533" i="25"/>
  <c r="T533" i="25"/>
  <c r="J585" i="25"/>
  <c r="U584" i="25"/>
  <c r="K534" i="25"/>
  <c r="X25" i="22"/>
  <c r="X52" i="22"/>
  <c r="X65" i="22"/>
  <c r="Z20" i="21"/>
  <c r="Z23" i="21" s="1"/>
  <c r="X39" i="22"/>
  <c r="X11" i="22"/>
  <c r="X12" i="22" s="1"/>
  <c r="I4032" i="25" l="1"/>
  <c r="V534" i="25"/>
  <c r="T534" i="25"/>
  <c r="J586" i="25"/>
  <c r="U585" i="25"/>
  <c r="K535" i="25"/>
  <c r="AA8" i="21"/>
  <c r="AA9" i="21"/>
  <c r="I4033" i="25" l="1"/>
  <c r="V535" i="25"/>
  <c r="T535" i="25"/>
  <c r="J587" i="25"/>
  <c r="U586" i="25"/>
  <c r="K536" i="25"/>
  <c r="AA10" i="21"/>
  <c r="AA11" i="21" s="1"/>
  <c r="I4034" i="25" l="1"/>
  <c r="V536" i="25"/>
  <c r="T536" i="25"/>
  <c r="J588" i="25"/>
  <c r="U587" i="25"/>
  <c r="K537" i="25"/>
  <c r="Y62" i="22"/>
  <c r="Y66" i="22" s="1"/>
  <c r="Y64" i="22" s="1"/>
  <c r="Y22" i="22"/>
  <c r="Y26" i="22" s="1"/>
  <c r="Y24" i="22" s="1"/>
  <c r="Y49" i="22"/>
  <c r="Y53" i="22" s="1"/>
  <c r="Y51" i="22" s="1"/>
  <c r="Y36" i="22"/>
  <c r="I4035" i="25" l="1"/>
  <c r="V537" i="25"/>
  <c r="T537" i="25"/>
  <c r="J589" i="25"/>
  <c r="U588" i="25"/>
  <c r="K538" i="25"/>
  <c r="Y40" i="22"/>
  <c r="Y9" i="22"/>
  <c r="AA14" i="21" s="1"/>
  <c r="AA17" i="21" s="1"/>
  <c r="AA18" i="21" s="1"/>
  <c r="V538" i="25" l="1"/>
  <c r="I4036" i="25"/>
  <c r="T538" i="25"/>
  <c r="J590" i="25"/>
  <c r="U589" i="25"/>
  <c r="K539" i="25"/>
  <c r="AA19" i="21"/>
  <c r="AA20" i="21" s="1"/>
  <c r="AA23" i="21" s="1"/>
  <c r="Y13" i="22"/>
  <c r="Y38" i="22"/>
  <c r="V539" i="25" l="1"/>
  <c r="I4037" i="25"/>
  <c r="T539" i="25"/>
  <c r="J591" i="25"/>
  <c r="U590" i="25"/>
  <c r="K540" i="25"/>
  <c r="AB9" i="21"/>
  <c r="AB8" i="21"/>
  <c r="Y39" i="22"/>
  <c r="Y11" i="22"/>
  <c r="Y12" i="22" s="1"/>
  <c r="Y25" i="22"/>
  <c r="Y52" i="22"/>
  <c r="Y65" i="22"/>
  <c r="V540" i="25" l="1"/>
  <c r="I4038" i="25"/>
  <c r="T540" i="25"/>
  <c r="J592" i="25"/>
  <c r="U591" i="25"/>
  <c r="K541" i="25"/>
  <c r="AB10" i="21"/>
  <c r="AB11" i="21" s="1"/>
  <c r="V541" i="25" l="1"/>
  <c r="I4039" i="25"/>
  <c r="T541" i="25"/>
  <c r="J593" i="25"/>
  <c r="U592" i="25"/>
  <c r="K542" i="25"/>
  <c r="Z62" i="22"/>
  <c r="Z66" i="22" s="1"/>
  <c r="Z64" i="22" s="1"/>
  <c r="Z49" i="22"/>
  <c r="Z53" i="22" s="1"/>
  <c r="Z51" i="22" s="1"/>
  <c r="Z36" i="22"/>
  <c r="Z22" i="22"/>
  <c r="Z26" i="22" s="1"/>
  <c r="Z24" i="22" s="1"/>
  <c r="I4040" i="25" l="1"/>
  <c r="V542" i="25"/>
  <c r="T542" i="25"/>
  <c r="J594" i="25"/>
  <c r="U593" i="25"/>
  <c r="K543" i="25"/>
  <c r="Z9" i="22"/>
  <c r="AB14" i="21" s="1"/>
  <c r="AB17" i="21" s="1"/>
  <c r="AB18" i="21" s="1"/>
  <c r="Z40" i="22"/>
  <c r="V543" i="25" l="1"/>
  <c r="I4041" i="25"/>
  <c r="T543" i="25"/>
  <c r="J595" i="25"/>
  <c r="U594" i="25"/>
  <c r="K544" i="25"/>
  <c r="AB19" i="21"/>
  <c r="AB20" i="21" s="1"/>
  <c r="AB23" i="21" s="1"/>
  <c r="Z13" i="22"/>
  <c r="Z38" i="22"/>
  <c r="V544" i="25" l="1"/>
  <c r="I4042" i="25"/>
  <c r="T544" i="25"/>
  <c r="J596" i="25"/>
  <c r="U595" i="25"/>
  <c r="K545" i="25"/>
  <c r="AC8" i="21"/>
  <c r="AC9" i="21"/>
  <c r="Z39" i="22"/>
  <c r="Z11" i="22"/>
  <c r="Z12" i="22" s="1"/>
  <c r="Z52" i="22"/>
  <c r="Z65" i="22"/>
  <c r="Z25" i="22"/>
  <c r="V545" i="25" l="1"/>
  <c r="I4043" i="25"/>
  <c r="T545" i="25"/>
  <c r="J597" i="25"/>
  <c r="U596" i="25"/>
  <c r="K546" i="25"/>
  <c r="AC10" i="21"/>
  <c r="AC11" i="21" s="1"/>
  <c r="V546" i="25" l="1"/>
  <c r="I4044" i="25"/>
  <c r="T546" i="25"/>
  <c r="J598" i="25"/>
  <c r="U597" i="25"/>
  <c r="K547" i="25"/>
  <c r="AA36" i="22"/>
  <c r="AA49" i="22"/>
  <c r="AA53" i="22" s="1"/>
  <c r="AA51" i="22" s="1"/>
  <c r="AA22" i="22"/>
  <c r="AA26" i="22" s="1"/>
  <c r="AA24" i="22" s="1"/>
  <c r="AA62" i="22"/>
  <c r="AA66" i="22" s="1"/>
  <c r="AA64" i="22" s="1"/>
  <c r="I4045" i="25" l="1"/>
  <c r="V547" i="25"/>
  <c r="T547" i="25"/>
  <c r="J599" i="25"/>
  <c r="U598" i="25"/>
  <c r="K548" i="25"/>
  <c r="AA40" i="22"/>
  <c r="AA9" i="22"/>
  <c r="AC14" i="21" s="1"/>
  <c r="AC17" i="21" s="1"/>
  <c r="AC18" i="21" s="1"/>
  <c r="V548" i="25" l="1"/>
  <c r="I4046" i="25"/>
  <c r="T548" i="25"/>
  <c r="J600" i="25"/>
  <c r="U599" i="25"/>
  <c r="K549" i="25"/>
  <c r="AA13" i="22"/>
  <c r="AA38" i="22"/>
  <c r="AC19" i="21"/>
  <c r="V549" i="25" l="1"/>
  <c r="I4047" i="25"/>
  <c r="T549" i="25"/>
  <c r="J601" i="25"/>
  <c r="U600" i="25"/>
  <c r="K550" i="25"/>
  <c r="AA65" i="22"/>
  <c r="AA52" i="22"/>
  <c r="AA25" i="22"/>
  <c r="AC20" i="21"/>
  <c r="AC23" i="21" s="1"/>
  <c r="AA39" i="22"/>
  <c r="AA11" i="22"/>
  <c r="AA12" i="22" s="1"/>
  <c r="I4048" i="25" l="1"/>
  <c r="V550" i="25"/>
  <c r="T550" i="25"/>
  <c r="J602" i="25"/>
  <c r="U601" i="25"/>
  <c r="K551" i="25"/>
  <c r="AD9" i="21"/>
  <c r="AD8" i="21"/>
  <c r="V551" i="25" l="1"/>
  <c r="I4049" i="25"/>
  <c r="T551" i="25"/>
  <c r="J603" i="25"/>
  <c r="U602" i="25"/>
  <c r="K552" i="25"/>
  <c r="AD10" i="21"/>
  <c r="AD11" i="21" s="1"/>
  <c r="V552" i="25" l="1"/>
  <c r="I4050" i="25"/>
  <c r="T552" i="25"/>
  <c r="J604" i="25"/>
  <c r="U603" i="25"/>
  <c r="K553" i="25"/>
  <c r="AB49" i="22"/>
  <c r="AB53" i="22" s="1"/>
  <c r="AB51" i="22" s="1"/>
  <c r="AB22" i="22"/>
  <c r="AB26" i="22" s="1"/>
  <c r="AB24" i="22" s="1"/>
  <c r="AB36" i="22"/>
  <c r="AB62" i="22"/>
  <c r="AB66" i="22" s="1"/>
  <c r="AB64" i="22" s="1"/>
  <c r="V553" i="25" l="1"/>
  <c r="I4051" i="25"/>
  <c r="T553" i="25"/>
  <c r="J605" i="25"/>
  <c r="U604" i="25"/>
  <c r="K554" i="25"/>
  <c r="AB9" i="22"/>
  <c r="AD14" i="21" s="1"/>
  <c r="AD17" i="21" s="1"/>
  <c r="AD18" i="21" s="1"/>
  <c r="AB40" i="22"/>
  <c r="V554" i="25" l="1"/>
  <c r="I4052" i="25"/>
  <c r="T554" i="25"/>
  <c r="J606" i="25"/>
  <c r="U605" i="25"/>
  <c r="K555" i="25"/>
  <c r="AB13" i="22"/>
  <c r="AB38" i="22"/>
  <c r="AD19" i="21"/>
  <c r="V555" i="25" l="1"/>
  <c r="I4053" i="25"/>
  <c r="K556" i="25"/>
  <c r="T555" i="25"/>
  <c r="J607" i="25"/>
  <c r="U606" i="25"/>
  <c r="AB65" i="22"/>
  <c r="AB25" i="22"/>
  <c r="AB52" i="22"/>
  <c r="AD20" i="21"/>
  <c r="AD23" i="21" s="1"/>
  <c r="AB39" i="22"/>
  <c r="AB11" i="22"/>
  <c r="AB12" i="22" s="1"/>
  <c r="V556" i="25" l="1"/>
  <c r="I4054" i="25"/>
  <c r="T556" i="25"/>
  <c r="J608" i="25"/>
  <c r="U607" i="25"/>
  <c r="K557" i="25"/>
  <c r="AE8" i="21"/>
  <c r="AE9" i="21"/>
  <c r="V557" i="25" l="1"/>
  <c r="I4055" i="25"/>
  <c r="K558" i="25"/>
  <c r="T557" i="25"/>
  <c r="J609" i="25"/>
  <c r="U608" i="25"/>
  <c r="AE10" i="21"/>
  <c r="AE11" i="21" s="1"/>
  <c r="I4056" i="25" l="1"/>
  <c r="V558" i="25"/>
  <c r="T558" i="25"/>
  <c r="J610" i="25"/>
  <c r="U609" i="25"/>
  <c r="K559" i="25"/>
  <c r="AC62" i="22"/>
  <c r="AC66" i="22" s="1"/>
  <c r="AC64" i="22" s="1"/>
  <c r="AC22" i="22"/>
  <c r="AC26" i="22" s="1"/>
  <c r="AC24" i="22" s="1"/>
  <c r="AC36" i="22"/>
  <c r="AC49" i="22"/>
  <c r="AC53" i="22" s="1"/>
  <c r="AC51" i="22" s="1"/>
  <c r="V559" i="25" l="1"/>
  <c r="I4057" i="25"/>
  <c r="T559" i="25"/>
  <c r="J611" i="25"/>
  <c r="U610" i="25"/>
  <c r="K560" i="25"/>
  <c r="AC9" i="22"/>
  <c r="AE14" i="21" s="1"/>
  <c r="AE17" i="21" s="1"/>
  <c r="AE18" i="21" s="1"/>
  <c r="AC40" i="22"/>
  <c r="I4058" i="25" l="1"/>
  <c r="V560" i="25"/>
  <c r="T560" i="25"/>
  <c r="J612" i="25"/>
  <c r="U611" i="25"/>
  <c r="K561" i="25"/>
  <c r="AC13" i="22"/>
  <c r="AC38" i="22"/>
  <c r="AE19" i="21"/>
  <c r="V561" i="25" l="1"/>
  <c r="K3" i="25"/>
  <c r="T561" i="25"/>
  <c r="J613" i="25"/>
  <c r="U612" i="25"/>
  <c r="K562" i="25"/>
  <c r="AC65" i="22"/>
  <c r="AC25" i="22"/>
  <c r="AC52" i="22"/>
  <c r="AE20" i="21"/>
  <c r="AE23" i="21" s="1"/>
  <c r="AC39" i="22"/>
  <c r="AC11" i="22"/>
  <c r="AC12" i="22" s="1"/>
  <c r="V562" i="25" l="1"/>
  <c r="K8" i="25"/>
  <c r="K4" i="25"/>
  <c r="K9" i="25"/>
  <c r="K5" i="25"/>
  <c r="K7" i="25"/>
  <c r="P12" i="25" s="1"/>
  <c r="K10" i="25"/>
  <c r="K6" i="25"/>
  <c r="T562" i="25"/>
  <c r="J614" i="25"/>
  <c r="U613" i="25"/>
  <c r="K563" i="25"/>
  <c r="AF8" i="21"/>
  <c r="AF9" i="21"/>
  <c r="V563" i="25" l="1"/>
  <c r="T563" i="25"/>
  <c r="J615" i="25"/>
  <c r="U614" i="25"/>
  <c r="K564" i="25"/>
  <c r="AF10" i="21"/>
  <c r="AF11" i="21" s="1"/>
  <c r="V564" i="25" l="1"/>
  <c r="T564" i="25"/>
  <c r="J616" i="25"/>
  <c r="U615" i="25"/>
  <c r="K565" i="25"/>
  <c r="AD62" i="22"/>
  <c r="AD66" i="22" s="1"/>
  <c r="AD64" i="22" s="1"/>
  <c r="AD49" i="22"/>
  <c r="AD53" i="22" s="1"/>
  <c r="AD51" i="22" s="1"/>
  <c r="AD36" i="22"/>
  <c r="AD22" i="22"/>
  <c r="AD26" i="22" s="1"/>
  <c r="AD24" i="22" s="1"/>
  <c r="V565" i="25" l="1"/>
  <c r="T565" i="25"/>
  <c r="J617" i="25"/>
  <c r="U616" i="25"/>
  <c r="K566" i="25"/>
  <c r="AD9" i="22"/>
  <c r="AF14" i="21" s="1"/>
  <c r="AF17" i="21" s="1"/>
  <c r="AF18" i="21" s="1"/>
  <c r="AD40" i="22"/>
  <c r="V566" i="25" l="1"/>
  <c r="T566" i="25"/>
  <c r="J618" i="25"/>
  <c r="U617" i="25"/>
  <c r="K567" i="25"/>
  <c r="AD13" i="22"/>
  <c r="AD38" i="22"/>
  <c r="AF19" i="21"/>
  <c r="V567" i="25" l="1"/>
  <c r="T567" i="25"/>
  <c r="J619" i="25"/>
  <c r="U618" i="25"/>
  <c r="K568" i="25"/>
  <c r="AD25" i="22"/>
  <c r="AD52" i="22"/>
  <c r="AD65" i="22"/>
  <c r="AF20" i="21"/>
  <c r="AF23" i="21" s="1"/>
  <c r="AD39" i="22"/>
  <c r="AD11" i="22"/>
  <c r="AD12" i="22" s="1"/>
  <c r="V568" i="25" l="1"/>
  <c r="K569" i="25"/>
  <c r="T568" i="25"/>
  <c r="J620" i="25"/>
  <c r="U619" i="25"/>
  <c r="AG8" i="21"/>
  <c r="AG9" i="21"/>
  <c r="V569" i="25" l="1"/>
  <c r="T569" i="25"/>
  <c r="J621" i="25"/>
  <c r="U620" i="25"/>
  <c r="K570" i="25"/>
  <c r="AG10" i="21"/>
  <c r="AG11" i="21" s="1"/>
  <c r="V570" i="25" l="1"/>
  <c r="T570" i="25"/>
  <c r="J622" i="25"/>
  <c r="U621" i="25"/>
  <c r="K571" i="25"/>
  <c r="AE22" i="22"/>
  <c r="AE26" i="22" s="1"/>
  <c r="AE24" i="22" s="1"/>
  <c r="AE36" i="22"/>
  <c r="AE62" i="22"/>
  <c r="AE66" i="22" s="1"/>
  <c r="AE64" i="22" s="1"/>
  <c r="AE49" i="22"/>
  <c r="AE53" i="22" s="1"/>
  <c r="AE51" i="22" s="1"/>
  <c r="V571" i="25" l="1"/>
  <c r="T571" i="25"/>
  <c r="J623" i="25"/>
  <c r="U622" i="25"/>
  <c r="K572" i="25"/>
  <c r="AE40" i="22"/>
  <c r="AE9" i="22"/>
  <c r="AG14" i="21" s="1"/>
  <c r="AG17" i="21" s="1"/>
  <c r="AG18" i="21" s="1"/>
  <c r="V572" i="25" l="1"/>
  <c r="K573" i="25"/>
  <c r="T572" i="25"/>
  <c r="J624" i="25"/>
  <c r="U623" i="25"/>
  <c r="AG19" i="21"/>
  <c r="AG20" i="21" s="1"/>
  <c r="AG23" i="21" s="1"/>
  <c r="AE13" i="22"/>
  <c r="AE38" i="22"/>
  <c r="V573" i="25" l="1"/>
  <c r="T573" i="25"/>
  <c r="J625" i="25"/>
  <c r="U624" i="25"/>
  <c r="K574" i="25"/>
  <c r="AE39" i="22"/>
  <c r="AE11" i="22"/>
  <c r="AE12" i="22" s="1"/>
  <c r="AH9" i="21"/>
  <c r="AH8" i="21"/>
  <c r="AE52" i="22"/>
  <c r="AE65" i="22"/>
  <c r="AE25" i="22"/>
  <c r="V574" i="25" l="1"/>
  <c r="K575" i="25"/>
  <c r="T574" i="25"/>
  <c r="J626" i="25"/>
  <c r="U625" i="25"/>
  <c r="AH10" i="21"/>
  <c r="AH11" i="21" s="1"/>
  <c r="V575" i="25" l="1"/>
  <c r="T575" i="25"/>
  <c r="J627" i="25"/>
  <c r="U626" i="25"/>
  <c r="K576" i="25"/>
  <c r="AF36" i="22"/>
  <c r="AF22" i="22"/>
  <c r="AF26" i="22" s="1"/>
  <c r="AF24" i="22" s="1"/>
  <c r="AF49" i="22"/>
  <c r="AF53" i="22" s="1"/>
  <c r="AF51" i="22" s="1"/>
  <c r="AF62" i="22"/>
  <c r="AF66" i="22" s="1"/>
  <c r="AF64" i="22" s="1"/>
  <c r="V576" i="25" l="1"/>
  <c r="T576" i="25"/>
  <c r="J628" i="25"/>
  <c r="U627" i="25"/>
  <c r="K577" i="25"/>
  <c r="AF40" i="22"/>
  <c r="AF9" i="22"/>
  <c r="AH14" i="21" s="1"/>
  <c r="AH17" i="21" s="1"/>
  <c r="AH18" i="21" s="1"/>
  <c r="V577" i="25" l="1"/>
  <c r="T577" i="25"/>
  <c r="J629" i="25"/>
  <c r="U628" i="25"/>
  <c r="K578" i="25"/>
  <c r="AH19" i="21"/>
  <c r="AH20" i="21" s="1"/>
  <c r="AH23" i="21" s="1"/>
  <c r="AF13" i="22"/>
  <c r="AF38" i="22"/>
  <c r="V578" i="25" l="1"/>
  <c r="T578" i="25"/>
  <c r="J630" i="25"/>
  <c r="U629" i="25"/>
  <c r="K579" i="25"/>
  <c r="AF39" i="22"/>
  <c r="AF11" i="22"/>
  <c r="AF12" i="22" s="1"/>
  <c r="AI9" i="21"/>
  <c r="AI8" i="21"/>
  <c r="AF65" i="22"/>
  <c r="AF25" i="22"/>
  <c r="AF52" i="22"/>
  <c r="V579" i="25" l="1"/>
  <c r="T579" i="25"/>
  <c r="J631" i="25"/>
  <c r="U630" i="25"/>
  <c r="K580" i="25"/>
  <c r="AI10" i="21"/>
  <c r="AI11" i="21" s="1"/>
  <c r="V580" i="25" l="1"/>
  <c r="T580" i="25"/>
  <c r="J632" i="25"/>
  <c r="U631" i="25"/>
  <c r="K581" i="25"/>
  <c r="AG49" i="22"/>
  <c r="AG53" i="22" s="1"/>
  <c r="AG51" i="22" s="1"/>
  <c r="AG36" i="22"/>
  <c r="AG62" i="22"/>
  <c r="AG66" i="22" s="1"/>
  <c r="AG64" i="22" s="1"/>
  <c r="AG22" i="22"/>
  <c r="AG26" i="22" s="1"/>
  <c r="AG24" i="22" s="1"/>
  <c r="V581" i="25" l="1"/>
  <c r="T581" i="25"/>
  <c r="J633" i="25"/>
  <c r="U632" i="25"/>
  <c r="K582" i="25"/>
  <c r="AG9" i="22"/>
  <c r="AI14" i="21" s="1"/>
  <c r="AI17" i="21" s="1"/>
  <c r="AI18" i="21" s="1"/>
  <c r="AG40" i="22"/>
  <c r="V582" i="25" l="1"/>
  <c r="T582" i="25"/>
  <c r="J634" i="25"/>
  <c r="U633" i="25"/>
  <c r="K583" i="25"/>
  <c r="V583" i="25" s="1"/>
  <c r="AG13" i="22"/>
  <c r="AG38" i="22"/>
  <c r="AI19" i="21"/>
  <c r="AI20" i="21" s="1"/>
  <c r="AI23" i="21" s="1"/>
  <c r="T583" i="25" l="1"/>
  <c r="J635" i="25"/>
  <c r="U634" i="25"/>
  <c r="K584" i="25"/>
  <c r="V584" i="25" s="1"/>
  <c r="AJ9" i="21"/>
  <c r="AJ8" i="21"/>
  <c r="AG25" i="22"/>
  <c r="AG52" i="22"/>
  <c r="AG65" i="22"/>
  <c r="AG39" i="22"/>
  <c r="AG11" i="22"/>
  <c r="AG12" i="22" s="1"/>
  <c r="T584" i="25" l="1"/>
  <c r="J636" i="25"/>
  <c r="U635" i="25"/>
  <c r="K585" i="25"/>
  <c r="V585" i="25" s="1"/>
  <c r="AJ10" i="21"/>
  <c r="AJ11" i="21" s="1"/>
  <c r="AJ17" i="21"/>
  <c r="AJ18" i="21" s="1"/>
  <c r="T585" i="25" l="1"/>
  <c r="J637" i="25"/>
  <c r="U636" i="25"/>
  <c r="K586" i="25"/>
  <c r="V586" i="25" s="1"/>
  <c r="AJ19" i="21"/>
  <c r="AJ20" i="21" s="1"/>
  <c r="AJ23" i="21" s="1"/>
  <c r="T586" i="25" l="1"/>
  <c r="J638" i="25"/>
  <c r="U637" i="25"/>
  <c r="K587" i="25"/>
  <c r="V587" i="25" s="1"/>
  <c r="AK8" i="21"/>
  <c r="AK9" i="21"/>
  <c r="T587" i="25" l="1"/>
  <c r="J639" i="25"/>
  <c r="U638" i="25"/>
  <c r="K588" i="25"/>
  <c r="V588" i="25" s="1"/>
  <c r="AK10" i="21"/>
  <c r="AK11" i="21" s="1"/>
  <c r="AK17" i="21"/>
  <c r="AK18" i="21" s="1"/>
  <c r="T588" i="25" l="1"/>
  <c r="J640" i="25"/>
  <c r="U639" i="25"/>
  <c r="K589" i="25"/>
  <c r="V589" i="25" s="1"/>
  <c r="AK19" i="21"/>
  <c r="AK20" i="21" s="1"/>
  <c r="AK23" i="21" s="1"/>
  <c r="K590" i="25" l="1"/>
  <c r="V590" i="25" s="1"/>
  <c r="T589" i="25"/>
  <c r="J641" i="25"/>
  <c r="U640" i="25"/>
  <c r="AL8" i="21"/>
  <c r="AL9" i="21"/>
  <c r="T590" i="25" l="1"/>
  <c r="J642" i="25"/>
  <c r="U641" i="25"/>
  <c r="K591" i="25"/>
  <c r="V591" i="25" s="1"/>
  <c r="AL10" i="21"/>
  <c r="AL11" i="21" s="1"/>
  <c r="AL17" i="21"/>
  <c r="AL18" i="21" s="1"/>
  <c r="T591" i="25" l="1"/>
  <c r="J643" i="25"/>
  <c r="U642" i="25"/>
  <c r="K592" i="25"/>
  <c r="V592" i="25" s="1"/>
  <c r="AL19" i="21"/>
  <c r="AL20" i="21" s="1"/>
  <c r="AL23" i="21" s="1"/>
  <c r="K593" i="25" l="1"/>
  <c r="V593" i="25" s="1"/>
  <c r="T592" i="25"/>
  <c r="J644" i="25"/>
  <c r="U643" i="25"/>
  <c r="AM8" i="21"/>
  <c r="AM9" i="21"/>
  <c r="T593" i="25" l="1"/>
  <c r="J645" i="25"/>
  <c r="U644" i="25"/>
  <c r="K594" i="25"/>
  <c r="V594" i="25" s="1"/>
  <c r="AM10" i="21"/>
  <c r="AM11" i="21" s="1"/>
  <c r="AM17" i="21"/>
  <c r="AM18" i="21" s="1"/>
  <c r="T594" i="25" l="1"/>
  <c r="J646" i="25"/>
  <c r="U645" i="25"/>
  <c r="K595" i="25"/>
  <c r="V595" i="25" s="1"/>
  <c r="AM19" i="21"/>
  <c r="AM20" i="21" s="1"/>
  <c r="AM23" i="21" s="1"/>
  <c r="T595" i="25" l="1"/>
  <c r="J647" i="25"/>
  <c r="U646" i="25"/>
  <c r="K596" i="25"/>
  <c r="V596" i="25" s="1"/>
  <c r="K597" i="25" l="1"/>
  <c r="V597" i="25" s="1"/>
  <c r="T596" i="25"/>
  <c r="J648" i="25"/>
  <c r="U647" i="25"/>
  <c r="T597" i="25" l="1"/>
  <c r="J649" i="25"/>
  <c r="U648" i="25"/>
  <c r="K598" i="25"/>
  <c r="V598" i="25" s="1"/>
  <c r="T598" i="25" l="1"/>
  <c r="J650" i="25"/>
  <c r="U649" i="25"/>
  <c r="K599" i="25"/>
  <c r="V599" i="25" s="1"/>
  <c r="T599" i="25" l="1"/>
  <c r="J651" i="25"/>
  <c r="U650" i="25"/>
  <c r="K600" i="25"/>
  <c r="V600" i="25" s="1"/>
  <c r="T600" i="25" l="1"/>
  <c r="J652" i="25"/>
  <c r="U651" i="25"/>
  <c r="K601" i="25"/>
  <c r="V601" i="25" s="1"/>
  <c r="T601" i="25" l="1"/>
  <c r="J653" i="25"/>
  <c r="U652" i="25"/>
  <c r="K602" i="25"/>
  <c r="V602" i="25" s="1"/>
  <c r="T602" i="25" l="1"/>
  <c r="J654" i="25"/>
  <c r="U653" i="25"/>
  <c r="K603" i="25"/>
  <c r="V603" i="25" s="1"/>
  <c r="T603" i="25" l="1"/>
  <c r="J655" i="25"/>
  <c r="U654" i="25"/>
  <c r="K604" i="25"/>
  <c r="V604" i="25" s="1"/>
  <c r="T604" i="25" l="1"/>
  <c r="J656" i="25"/>
  <c r="U655" i="25"/>
  <c r="K605" i="25"/>
  <c r="V605" i="25" s="1"/>
  <c r="T605" i="25" l="1"/>
  <c r="J657" i="25"/>
  <c r="U656" i="25"/>
  <c r="T606" i="25" l="1"/>
  <c r="K606" i="25"/>
  <c r="V606" i="25" s="1"/>
  <c r="J658" i="25"/>
  <c r="U657" i="25"/>
  <c r="K607" i="25"/>
  <c r="V607" i="25" l="1"/>
  <c r="T607" i="25"/>
  <c r="J659" i="25"/>
  <c r="U658" i="25"/>
  <c r="K608" i="25"/>
  <c r="V608" i="25" l="1"/>
  <c r="T608" i="25"/>
  <c r="J660" i="25"/>
  <c r="U659" i="25"/>
  <c r="K609" i="25"/>
  <c r="V609" i="25" l="1"/>
  <c r="T609" i="25"/>
  <c r="J661" i="25"/>
  <c r="U660" i="25"/>
  <c r="K610" i="25"/>
  <c r="V610" i="25" l="1"/>
  <c r="T610" i="25"/>
  <c r="J662" i="25"/>
  <c r="U661" i="25"/>
  <c r="K611" i="25"/>
  <c r="V611" i="25" l="1"/>
  <c r="T611" i="25"/>
  <c r="J663" i="25"/>
  <c r="U662" i="25"/>
  <c r="K612" i="25"/>
  <c r="V612" i="25" l="1"/>
  <c r="T612" i="25"/>
  <c r="J664" i="25"/>
  <c r="U663" i="25"/>
  <c r="K613" i="25"/>
  <c r="V613" i="25" l="1"/>
  <c r="K614" i="25"/>
  <c r="T613" i="25"/>
  <c r="J665" i="25"/>
  <c r="U664" i="25"/>
  <c r="V614" i="25" l="1"/>
  <c r="T614" i="25"/>
  <c r="J666" i="25"/>
  <c r="U665" i="25"/>
  <c r="K615" i="25"/>
  <c r="V615" i="25" l="1"/>
  <c r="T615" i="25"/>
  <c r="J667" i="25"/>
  <c r="U666" i="25"/>
  <c r="K616" i="25"/>
  <c r="V616" i="25" l="1"/>
  <c r="T616" i="25"/>
  <c r="J668" i="25"/>
  <c r="U667" i="25"/>
  <c r="K617" i="25"/>
  <c r="V617" i="25" l="1"/>
  <c r="K618" i="25"/>
  <c r="T617" i="25"/>
  <c r="J669" i="25"/>
  <c r="U668" i="25"/>
  <c r="V618" i="25" l="1"/>
  <c r="T618" i="25"/>
  <c r="J670" i="25"/>
  <c r="U669" i="25"/>
  <c r="K619" i="25"/>
  <c r="V619" i="25" l="1"/>
  <c r="T619" i="25"/>
  <c r="J671" i="25"/>
  <c r="U670" i="25"/>
  <c r="K620" i="25"/>
  <c r="V620" i="25" l="1"/>
  <c r="T620" i="25"/>
  <c r="J672" i="25"/>
  <c r="U671" i="25"/>
  <c r="K621" i="25"/>
  <c r="V621" i="25" l="1"/>
  <c r="T621" i="25"/>
  <c r="J673" i="25"/>
  <c r="U672" i="25"/>
  <c r="K622" i="25"/>
  <c r="V622" i="25" l="1"/>
  <c r="T622" i="25"/>
  <c r="J674" i="25"/>
  <c r="U673" i="25"/>
  <c r="K623" i="25"/>
  <c r="V623" i="25" l="1"/>
  <c r="T623" i="25"/>
  <c r="J675" i="25"/>
  <c r="U674" i="25"/>
  <c r="K624" i="25"/>
  <c r="V624" i="25" l="1"/>
  <c r="T624" i="25"/>
  <c r="J676" i="25"/>
  <c r="U675" i="25"/>
  <c r="K625" i="25"/>
  <c r="V625" i="25" l="1"/>
  <c r="T625" i="25"/>
  <c r="J677" i="25"/>
  <c r="U676" i="25"/>
  <c r="K626" i="25"/>
  <c r="V626" i="25" l="1"/>
  <c r="T626" i="25"/>
  <c r="J678" i="25"/>
  <c r="U677" i="25"/>
  <c r="K627" i="25"/>
  <c r="V627" i="25" l="1"/>
  <c r="T627" i="25"/>
  <c r="J679" i="25"/>
  <c r="U678" i="25"/>
  <c r="K628" i="25"/>
  <c r="V628" i="25" l="1"/>
  <c r="T628" i="25"/>
  <c r="J680" i="25"/>
  <c r="U679" i="25"/>
  <c r="K629" i="25"/>
  <c r="V629" i="25" l="1"/>
  <c r="T629" i="25"/>
  <c r="J681" i="25"/>
  <c r="U680" i="25"/>
  <c r="K630" i="25"/>
  <c r="V630" i="25" l="1"/>
  <c r="T630" i="25"/>
  <c r="J682" i="25"/>
  <c r="U681" i="25"/>
  <c r="K631" i="25"/>
  <c r="V631" i="25" l="1"/>
  <c r="T631" i="25"/>
  <c r="J683" i="25"/>
  <c r="U682" i="25"/>
  <c r="K632" i="25"/>
  <c r="V632" i="25" l="1"/>
  <c r="T632" i="25"/>
  <c r="J684" i="25"/>
  <c r="U683" i="25"/>
  <c r="K633" i="25"/>
  <c r="V633" i="25" l="1"/>
  <c r="T633" i="25"/>
  <c r="J685" i="25"/>
  <c r="U684" i="25"/>
  <c r="K634" i="25"/>
  <c r="V634" i="25" l="1"/>
  <c r="T634" i="25"/>
  <c r="J686" i="25"/>
  <c r="U685" i="25"/>
  <c r="K635" i="25"/>
  <c r="V635" i="25" l="1"/>
  <c r="T635" i="25"/>
  <c r="J687" i="25"/>
  <c r="U686" i="25"/>
  <c r="K636" i="25"/>
  <c r="V636" i="25" l="1"/>
  <c r="T636" i="25"/>
  <c r="J688" i="25"/>
  <c r="U687" i="25"/>
  <c r="K637" i="25"/>
  <c r="V637" i="25" l="1"/>
  <c r="T637" i="25"/>
  <c r="J689" i="25"/>
  <c r="U688" i="25"/>
  <c r="K638" i="25"/>
  <c r="V638" i="25" l="1"/>
  <c r="T638" i="25"/>
  <c r="J690" i="25"/>
  <c r="U689" i="25"/>
  <c r="K639" i="25"/>
  <c r="V639" i="25" l="1"/>
  <c r="K640" i="25"/>
  <c r="T639" i="25"/>
  <c r="J691" i="25"/>
  <c r="U690" i="25"/>
  <c r="V640" i="25" l="1"/>
  <c r="T640" i="25"/>
  <c r="J692" i="25"/>
  <c r="U691" i="25"/>
  <c r="K641" i="25"/>
  <c r="V641" i="25" l="1"/>
  <c r="T641" i="25"/>
  <c r="J693" i="25"/>
  <c r="U692" i="25"/>
  <c r="K642" i="25"/>
  <c r="V642" i="25" l="1"/>
  <c r="T642" i="25"/>
  <c r="J694" i="25"/>
  <c r="U693" i="25"/>
  <c r="K643" i="25"/>
  <c r="V643" i="25" l="1"/>
  <c r="T643" i="25"/>
  <c r="J695" i="25"/>
  <c r="U694" i="25"/>
  <c r="K644" i="25"/>
  <c r="V644" i="25" l="1"/>
  <c r="T644" i="25"/>
  <c r="J696" i="25"/>
  <c r="U695" i="25"/>
  <c r="K645" i="25"/>
  <c r="V645" i="25" l="1"/>
  <c r="T645" i="25"/>
  <c r="J697" i="25"/>
  <c r="U696" i="25"/>
  <c r="K646" i="25"/>
  <c r="V646" i="25" l="1"/>
  <c r="K647" i="25"/>
  <c r="T646" i="25"/>
  <c r="J698" i="25"/>
  <c r="U697" i="25"/>
  <c r="V647" i="25" l="1"/>
  <c r="T647" i="25"/>
  <c r="J699" i="25"/>
  <c r="U698" i="25"/>
  <c r="K648" i="25"/>
  <c r="V648" i="25" l="1"/>
  <c r="T648" i="25"/>
  <c r="J700" i="25"/>
  <c r="U699" i="25"/>
  <c r="K649" i="25"/>
  <c r="V649" i="25" l="1"/>
  <c r="T649" i="25"/>
  <c r="J701" i="25"/>
  <c r="U700" i="25"/>
  <c r="K650" i="25"/>
  <c r="V650" i="25" l="1"/>
  <c r="T650" i="25"/>
  <c r="J702" i="25"/>
  <c r="U701" i="25"/>
  <c r="K651" i="25"/>
  <c r="V651" i="25" l="1"/>
  <c r="T651" i="25"/>
  <c r="J703" i="25"/>
  <c r="U702" i="25"/>
  <c r="T652" i="25" l="1"/>
  <c r="K652" i="25"/>
  <c r="V652" i="25" s="1"/>
  <c r="J704" i="25"/>
  <c r="U703" i="25"/>
  <c r="K653" i="25"/>
  <c r="V653" i="25" l="1"/>
  <c r="T653" i="25"/>
  <c r="J705" i="25"/>
  <c r="U704" i="25"/>
  <c r="K654" i="25"/>
  <c r="V654" i="25" l="1"/>
  <c r="T654" i="25"/>
  <c r="J706" i="25"/>
  <c r="U705" i="25"/>
  <c r="K655" i="25"/>
  <c r="V655" i="25" l="1"/>
  <c r="T655" i="25"/>
  <c r="J707" i="25"/>
  <c r="U706" i="25"/>
  <c r="K656" i="25"/>
  <c r="V656" i="25" l="1"/>
  <c r="T656" i="25"/>
  <c r="J708" i="25"/>
  <c r="U707" i="25"/>
  <c r="K657" i="25"/>
  <c r="V657" i="25" l="1"/>
  <c r="T657" i="25"/>
  <c r="J709" i="25"/>
  <c r="U708" i="25"/>
  <c r="K658" i="25"/>
  <c r="V658" i="25" l="1"/>
  <c r="T658" i="25"/>
  <c r="J710" i="25"/>
  <c r="U709" i="25"/>
  <c r="K659" i="25"/>
  <c r="V659" i="25" l="1"/>
  <c r="T659" i="25"/>
  <c r="J711" i="25"/>
  <c r="U710" i="25"/>
  <c r="K660" i="25"/>
  <c r="V660" i="25" l="1"/>
  <c r="T660" i="25"/>
  <c r="J712" i="25"/>
  <c r="U711" i="25"/>
  <c r="K661" i="25"/>
  <c r="V661" i="25" l="1"/>
  <c r="T661" i="25"/>
  <c r="J713" i="25"/>
  <c r="U712" i="25"/>
  <c r="K662" i="25"/>
  <c r="V662" i="25" l="1"/>
  <c r="T662" i="25"/>
  <c r="J714" i="25"/>
  <c r="U713" i="25"/>
  <c r="K663" i="25"/>
  <c r="V663" i="25" l="1"/>
  <c r="T663" i="25"/>
  <c r="J715" i="25"/>
  <c r="U714" i="25"/>
  <c r="K664" i="25"/>
  <c r="V664" i="25" l="1"/>
  <c r="T664" i="25"/>
  <c r="J716" i="25"/>
  <c r="U715" i="25"/>
  <c r="K665" i="25"/>
  <c r="V665" i="25" l="1"/>
  <c r="T665" i="25"/>
  <c r="J717" i="25"/>
  <c r="U716" i="25"/>
  <c r="K666" i="25"/>
  <c r="V666" i="25" l="1"/>
  <c r="T666" i="25"/>
  <c r="J718" i="25"/>
  <c r="U717" i="25"/>
  <c r="K667" i="25"/>
  <c r="V667" i="25" l="1"/>
  <c r="T667" i="25"/>
  <c r="J719" i="25"/>
  <c r="U718" i="25"/>
  <c r="K668" i="25"/>
  <c r="V668" i="25" l="1"/>
  <c r="T668" i="25"/>
  <c r="J720" i="25"/>
  <c r="U719" i="25"/>
  <c r="K669" i="25"/>
  <c r="V669" i="25" l="1"/>
  <c r="T669" i="25"/>
  <c r="J721" i="25"/>
  <c r="U720" i="25"/>
  <c r="K670" i="25"/>
  <c r="V670" i="25" l="1"/>
  <c r="T670" i="25"/>
  <c r="J722" i="25"/>
  <c r="U721" i="25"/>
  <c r="K671" i="25"/>
  <c r="V671" i="25" l="1"/>
  <c r="K672" i="25"/>
  <c r="T671" i="25"/>
  <c r="J723" i="25"/>
  <c r="U722" i="25"/>
  <c r="V672" i="25" l="1"/>
  <c r="T672" i="25"/>
  <c r="J724" i="25"/>
  <c r="U723" i="25"/>
  <c r="K673" i="25"/>
  <c r="V673" i="25" l="1"/>
  <c r="T673" i="25"/>
  <c r="J725" i="25"/>
  <c r="U724" i="25"/>
  <c r="K674" i="25"/>
  <c r="V674" i="25" l="1"/>
  <c r="T674" i="25"/>
  <c r="J726" i="25"/>
  <c r="U725" i="25"/>
  <c r="K675" i="25"/>
  <c r="V675" i="25" l="1"/>
  <c r="T675" i="25"/>
  <c r="J727" i="25"/>
  <c r="U726" i="25"/>
  <c r="K676" i="25"/>
  <c r="V676" i="25" l="1"/>
  <c r="T676" i="25"/>
  <c r="J728" i="25"/>
  <c r="U727" i="25"/>
  <c r="K677" i="25"/>
  <c r="V677" i="25" l="1"/>
  <c r="K678" i="25"/>
  <c r="T677" i="25"/>
  <c r="J729" i="25"/>
  <c r="U728" i="25"/>
  <c r="V678" i="25" l="1"/>
  <c r="T678" i="25"/>
  <c r="J730" i="25"/>
  <c r="U729" i="25"/>
  <c r="K679" i="25"/>
  <c r="V679" i="25" l="1"/>
  <c r="T679" i="25"/>
  <c r="J731" i="25"/>
  <c r="U730" i="25"/>
  <c r="K680" i="25"/>
  <c r="V680" i="25" l="1"/>
  <c r="T680" i="25"/>
  <c r="J732" i="25"/>
  <c r="U731" i="25"/>
  <c r="K681" i="25"/>
  <c r="V681" i="25" l="1"/>
  <c r="T681" i="25"/>
  <c r="J733" i="25"/>
  <c r="U732" i="25"/>
  <c r="K682" i="25"/>
  <c r="V682" i="25" l="1"/>
  <c r="T682" i="25"/>
  <c r="J734" i="25"/>
  <c r="U733" i="25"/>
  <c r="K683" i="25"/>
  <c r="V683" i="25" l="1"/>
  <c r="T683" i="25"/>
  <c r="J735" i="25"/>
  <c r="U734" i="25"/>
  <c r="K684" i="25"/>
  <c r="V684" i="25" l="1"/>
  <c r="T684" i="25"/>
  <c r="J736" i="25"/>
  <c r="U735" i="25"/>
  <c r="K685" i="25"/>
  <c r="V685" i="25" l="1"/>
  <c r="T685" i="25"/>
  <c r="J737" i="25"/>
  <c r="U736" i="25"/>
  <c r="K686" i="25"/>
  <c r="V686" i="25" l="1"/>
  <c r="T686" i="25"/>
  <c r="J738" i="25"/>
  <c r="U737" i="25"/>
  <c r="K687" i="25"/>
  <c r="V687" i="25" l="1"/>
  <c r="T687" i="25"/>
  <c r="J739" i="25"/>
  <c r="U738" i="25"/>
  <c r="K688" i="25"/>
  <c r="V688" i="25" l="1"/>
  <c r="T688" i="25"/>
  <c r="J740" i="25"/>
  <c r="U739" i="25"/>
  <c r="K689" i="25"/>
  <c r="V689" i="25" l="1"/>
  <c r="T689" i="25"/>
  <c r="J741" i="25"/>
  <c r="U740" i="25"/>
  <c r="K690" i="25"/>
  <c r="V690" i="25" l="1"/>
  <c r="T690" i="25"/>
  <c r="J742" i="25"/>
  <c r="U741" i="25"/>
  <c r="K691" i="25"/>
  <c r="V691" i="25" l="1"/>
  <c r="T691" i="25"/>
  <c r="J743" i="25"/>
  <c r="U742" i="25"/>
  <c r="K692" i="25"/>
  <c r="V692" i="25" l="1"/>
  <c r="T692" i="25"/>
  <c r="J744" i="25"/>
  <c r="U743" i="25"/>
  <c r="K693" i="25"/>
  <c r="V693" i="25" l="1"/>
  <c r="T693" i="25"/>
  <c r="J745" i="25"/>
  <c r="U744" i="25"/>
  <c r="K694" i="25"/>
  <c r="V694" i="25" l="1"/>
  <c r="T694" i="25"/>
  <c r="J746" i="25"/>
  <c r="U745" i="25"/>
  <c r="K695" i="25"/>
  <c r="V695" i="25" l="1"/>
  <c r="T695" i="25"/>
  <c r="J747" i="25"/>
  <c r="U746" i="25"/>
  <c r="K696" i="25"/>
  <c r="V696" i="25" l="1"/>
  <c r="T696" i="25"/>
  <c r="J748" i="25"/>
  <c r="U747" i="25"/>
  <c r="K697" i="25"/>
  <c r="V697" i="25" l="1"/>
  <c r="T697" i="25"/>
  <c r="J749" i="25"/>
  <c r="U748" i="25"/>
  <c r="K698" i="25"/>
  <c r="V698" i="25" l="1"/>
  <c r="T698" i="25"/>
  <c r="J750" i="25"/>
  <c r="U749" i="25"/>
  <c r="K699" i="25"/>
  <c r="V699" i="25" l="1"/>
  <c r="T699" i="25"/>
  <c r="J751" i="25"/>
  <c r="U750" i="25"/>
  <c r="K700" i="25"/>
  <c r="V700" i="25" l="1"/>
  <c r="T700" i="25"/>
  <c r="J752" i="25"/>
  <c r="U751" i="25"/>
  <c r="K701" i="25"/>
  <c r="V701" i="25" l="1"/>
  <c r="T701" i="25"/>
  <c r="J753" i="25"/>
  <c r="U752" i="25"/>
  <c r="K702" i="25"/>
  <c r="V702" i="25" l="1"/>
  <c r="T702" i="25"/>
  <c r="J754" i="25"/>
  <c r="U753" i="25"/>
  <c r="K703" i="25"/>
  <c r="V703" i="25" l="1"/>
  <c r="T703" i="25"/>
  <c r="J755" i="25"/>
  <c r="U754" i="25"/>
  <c r="K704" i="25"/>
  <c r="V704" i="25" l="1"/>
  <c r="T704" i="25"/>
  <c r="J756" i="25"/>
  <c r="U755" i="25"/>
  <c r="K705" i="25"/>
  <c r="V705" i="25" l="1"/>
  <c r="T705" i="25"/>
  <c r="J757" i="25"/>
  <c r="U756" i="25"/>
  <c r="K706" i="25"/>
  <c r="V706" i="25" l="1"/>
  <c r="T706" i="25"/>
  <c r="J758" i="25"/>
  <c r="U757" i="25"/>
  <c r="K707" i="25"/>
  <c r="V707" i="25" l="1"/>
  <c r="T707" i="25"/>
  <c r="J759" i="25"/>
  <c r="U758" i="25"/>
  <c r="K708" i="25"/>
  <c r="V708" i="25" l="1"/>
  <c r="T708" i="25"/>
  <c r="J760" i="25"/>
  <c r="U759" i="25"/>
  <c r="K709" i="25"/>
  <c r="V709" i="25" l="1"/>
  <c r="T709" i="25"/>
  <c r="J761" i="25"/>
  <c r="U760" i="25"/>
  <c r="K710" i="25"/>
  <c r="V710" i="25" l="1"/>
  <c r="T710" i="25"/>
  <c r="J762" i="25"/>
  <c r="U761" i="25"/>
  <c r="K711" i="25"/>
  <c r="V711" i="25" l="1"/>
  <c r="T711" i="25"/>
  <c r="J763" i="25"/>
  <c r="U762" i="25"/>
  <c r="K712" i="25"/>
  <c r="V712" i="25" l="1"/>
  <c r="T712" i="25"/>
  <c r="J764" i="25"/>
  <c r="U763" i="25"/>
  <c r="K713" i="25"/>
  <c r="V713" i="25" l="1"/>
  <c r="T713" i="25"/>
  <c r="J765" i="25"/>
  <c r="U764" i="25"/>
  <c r="K714" i="25"/>
  <c r="V714" i="25" l="1"/>
  <c r="T714" i="25"/>
  <c r="J766" i="25"/>
  <c r="U765" i="25"/>
  <c r="K715" i="25"/>
  <c r="V715" i="25" l="1"/>
  <c r="T715" i="25"/>
  <c r="J767" i="25"/>
  <c r="U766" i="25"/>
  <c r="K716" i="25"/>
  <c r="V716" i="25" l="1"/>
  <c r="T716" i="25"/>
  <c r="J768" i="25"/>
  <c r="U767" i="25"/>
  <c r="K717" i="25"/>
  <c r="V717" i="25" l="1"/>
  <c r="T717" i="25"/>
  <c r="J769" i="25"/>
  <c r="U768" i="25"/>
  <c r="K718" i="25"/>
  <c r="V718" i="25" l="1"/>
  <c r="T718" i="25"/>
  <c r="J770" i="25"/>
  <c r="U769" i="25"/>
  <c r="K719" i="25"/>
  <c r="V719" i="25" l="1"/>
  <c r="T719" i="25"/>
  <c r="J771" i="25"/>
  <c r="U770" i="25"/>
  <c r="K720" i="25"/>
  <c r="V720" i="25" l="1"/>
  <c r="T720" i="25"/>
  <c r="J772" i="25"/>
  <c r="U771" i="25"/>
  <c r="K721" i="25"/>
  <c r="V721" i="25" l="1"/>
  <c r="T721" i="25"/>
  <c r="J773" i="25"/>
  <c r="U772" i="25"/>
  <c r="K722" i="25"/>
  <c r="V722" i="25" l="1"/>
  <c r="T722" i="25"/>
  <c r="J774" i="25"/>
  <c r="U773" i="25"/>
  <c r="K723" i="25"/>
  <c r="V723" i="25" l="1"/>
  <c r="T723" i="25"/>
  <c r="J775" i="25"/>
  <c r="U774" i="25"/>
  <c r="K724" i="25"/>
  <c r="V724" i="25" l="1"/>
  <c r="T724" i="25"/>
  <c r="J776" i="25"/>
  <c r="U775" i="25"/>
  <c r="K725" i="25"/>
  <c r="V725" i="25" l="1"/>
  <c r="T725" i="25"/>
  <c r="J777" i="25"/>
  <c r="U776" i="25"/>
  <c r="K726" i="25"/>
  <c r="V726" i="25" l="1"/>
  <c r="T726" i="25"/>
  <c r="J778" i="25"/>
  <c r="U777" i="25"/>
  <c r="K727" i="25"/>
  <c r="V727" i="25" l="1"/>
  <c r="T727" i="25"/>
  <c r="J779" i="25"/>
  <c r="U778" i="25"/>
  <c r="K728" i="25"/>
  <c r="V728" i="25" l="1"/>
  <c r="T728" i="25"/>
  <c r="J780" i="25"/>
  <c r="U779" i="25"/>
  <c r="K729" i="25"/>
  <c r="V729" i="25" l="1"/>
  <c r="K730" i="25"/>
  <c r="T729" i="25"/>
  <c r="J781" i="25"/>
  <c r="U780" i="25"/>
  <c r="V730" i="25" l="1"/>
  <c r="T730" i="25"/>
  <c r="J782" i="25"/>
  <c r="U781" i="25"/>
  <c r="K731" i="25"/>
  <c r="V731" i="25" l="1"/>
  <c r="T731" i="25"/>
  <c r="J783" i="25"/>
  <c r="U782" i="25"/>
  <c r="K732" i="25"/>
  <c r="V732" i="25" l="1"/>
  <c r="T732" i="25"/>
  <c r="J784" i="25"/>
  <c r="U783" i="25"/>
  <c r="K733" i="25"/>
  <c r="V733" i="25" l="1"/>
  <c r="T733" i="25"/>
  <c r="J785" i="25"/>
  <c r="U784" i="25"/>
  <c r="K734" i="25"/>
  <c r="V734" i="25" l="1"/>
  <c r="T734" i="25"/>
  <c r="J786" i="25"/>
  <c r="U785" i="25"/>
  <c r="K735" i="25"/>
  <c r="V735" i="25" l="1"/>
  <c r="T735" i="25"/>
  <c r="J787" i="25"/>
  <c r="U786" i="25"/>
  <c r="K736" i="25"/>
  <c r="V736" i="25" l="1"/>
  <c r="T736" i="25"/>
  <c r="J788" i="25"/>
  <c r="U787" i="25"/>
  <c r="K737" i="25"/>
  <c r="V737" i="25" l="1"/>
  <c r="T737" i="25"/>
  <c r="J789" i="25"/>
  <c r="U788" i="25"/>
  <c r="K738" i="25"/>
  <c r="V738" i="25" l="1"/>
  <c r="T738" i="25"/>
  <c r="J790" i="25"/>
  <c r="U789" i="25"/>
  <c r="K739" i="25"/>
  <c r="V739" i="25" l="1"/>
  <c r="T739" i="25"/>
  <c r="J791" i="25"/>
  <c r="U790" i="25"/>
  <c r="K740" i="25"/>
  <c r="V740" i="25" l="1"/>
  <c r="T740" i="25"/>
  <c r="J792" i="25"/>
  <c r="U791" i="25"/>
  <c r="K741" i="25"/>
  <c r="V741" i="25" l="1"/>
  <c r="T741" i="25"/>
  <c r="J793" i="25"/>
  <c r="U792" i="25"/>
  <c r="K742" i="25"/>
  <c r="V742" i="25" l="1"/>
  <c r="T742" i="25"/>
  <c r="J794" i="25"/>
  <c r="U793" i="25"/>
  <c r="K743" i="25"/>
  <c r="V743" i="25" l="1"/>
  <c r="T743" i="25"/>
  <c r="J795" i="25"/>
  <c r="U794" i="25"/>
  <c r="K744" i="25"/>
  <c r="V744" i="25" l="1"/>
  <c r="T744" i="25"/>
  <c r="J796" i="25"/>
  <c r="U795" i="25"/>
  <c r="K745" i="25"/>
  <c r="V745" i="25" l="1"/>
  <c r="T745" i="25"/>
  <c r="J797" i="25"/>
  <c r="U796" i="25"/>
  <c r="K746" i="25"/>
  <c r="V746" i="25" l="1"/>
  <c r="T746" i="25"/>
  <c r="J798" i="25"/>
  <c r="U797" i="25"/>
  <c r="K747" i="25"/>
  <c r="V747" i="25" l="1"/>
  <c r="K748" i="25"/>
  <c r="T747" i="25"/>
  <c r="J799" i="25"/>
  <c r="U798" i="25"/>
  <c r="V748" i="25" l="1"/>
  <c r="T748" i="25"/>
  <c r="J800" i="25"/>
  <c r="U799" i="25"/>
  <c r="K749" i="25"/>
  <c r="V749" i="25" l="1"/>
  <c r="T749" i="25"/>
  <c r="J801" i="25"/>
  <c r="U800" i="25"/>
  <c r="K750" i="25"/>
  <c r="V750" i="25" l="1"/>
  <c r="T750" i="25"/>
  <c r="J802" i="25"/>
  <c r="U801" i="25"/>
  <c r="K751" i="25"/>
  <c r="V751" i="25" l="1"/>
  <c r="T751" i="25"/>
  <c r="J803" i="25"/>
  <c r="U802" i="25"/>
  <c r="K752" i="25"/>
  <c r="V752" i="25" l="1"/>
  <c r="T752" i="25"/>
  <c r="J804" i="25"/>
  <c r="U803" i="25"/>
  <c r="K753" i="25"/>
  <c r="V753" i="25" l="1"/>
  <c r="T753" i="25"/>
  <c r="J805" i="25"/>
  <c r="U804" i="25"/>
  <c r="K754" i="25"/>
  <c r="V754" i="25" l="1"/>
  <c r="T754" i="25"/>
  <c r="J806" i="25"/>
  <c r="U805" i="25"/>
  <c r="K755" i="25"/>
  <c r="V755" i="25" l="1"/>
  <c r="T755" i="25"/>
  <c r="J807" i="25"/>
  <c r="U806" i="25"/>
  <c r="K756" i="25"/>
  <c r="V756" i="25" l="1"/>
  <c r="T756" i="25"/>
  <c r="J808" i="25"/>
  <c r="U807" i="25"/>
  <c r="K757" i="25"/>
  <c r="V757" i="25" l="1"/>
  <c r="K758" i="25"/>
  <c r="T757" i="25"/>
  <c r="J809" i="25"/>
  <c r="U808" i="25"/>
  <c r="V758" i="25" l="1"/>
  <c r="T758" i="25"/>
  <c r="J810" i="25"/>
  <c r="U809" i="25"/>
  <c r="K759" i="25"/>
  <c r="V759" i="25" l="1"/>
  <c r="K760" i="25"/>
  <c r="T759" i="25"/>
  <c r="J811" i="25"/>
  <c r="U810" i="25"/>
  <c r="V760" i="25" l="1"/>
  <c r="T760" i="25"/>
  <c r="J812" i="25"/>
  <c r="U811" i="25"/>
  <c r="K761" i="25"/>
  <c r="V761" i="25" l="1"/>
  <c r="T761" i="25"/>
  <c r="J813" i="25"/>
  <c r="U812" i="25"/>
  <c r="K762" i="25"/>
  <c r="V762" i="25" l="1"/>
  <c r="T762" i="25"/>
  <c r="J814" i="25"/>
  <c r="U813" i="25"/>
  <c r="K763" i="25"/>
  <c r="V763" i="25" l="1"/>
  <c r="T763" i="25"/>
  <c r="J815" i="25"/>
  <c r="U814" i="25"/>
  <c r="K764" i="25"/>
  <c r="V764" i="25" l="1"/>
  <c r="T764" i="25"/>
  <c r="J816" i="25"/>
  <c r="U815" i="25"/>
  <c r="K765" i="25"/>
  <c r="V765" i="25" l="1"/>
  <c r="T765" i="25"/>
  <c r="J817" i="25"/>
  <c r="U816" i="25"/>
  <c r="K766" i="25"/>
  <c r="V766" i="25" l="1"/>
  <c r="T766" i="25"/>
  <c r="J818" i="25"/>
  <c r="U817" i="25"/>
  <c r="K767" i="25"/>
  <c r="V767" i="25" l="1"/>
  <c r="T767" i="25"/>
  <c r="J819" i="25"/>
  <c r="U818" i="25"/>
  <c r="K768" i="25"/>
  <c r="V768" i="25" l="1"/>
  <c r="T768" i="25"/>
  <c r="J820" i="25"/>
  <c r="U819" i="25"/>
  <c r="K769" i="25"/>
  <c r="V769" i="25" l="1"/>
  <c r="T769" i="25"/>
  <c r="J821" i="25"/>
  <c r="U820" i="25"/>
  <c r="K770" i="25"/>
  <c r="V770" i="25" l="1"/>
  <c r="T770" i="25"/>
  <c r="J822" i="25"/>
  <c r="U821" i="25"/>
  <c r="K771" i="25"/>
  <c r="V771" i="25" s="1"/>
  <c r="T771" i="25" l="1"/>
  <c r="J823" i="25"/>
  <c r="U822" i="25"/>
  <c r="K772" i="25"/>
  <c r="V772" i="25" s="1"/>
  <c r="T772" i="25" l="1"/>
  <c r="J824" i="25"/>
  <c r="U823" i="25"/>
  <c r="K773" i="25"/>
  <c r="V773" i="25" s="1"/>
  <c r="T773" i="25" l="1"/>
  <c r="J825" i="25"/>
  <c r="U824" i="25"/>
  <c r="T774" i="25" l="1"/>
  <c r="K774" i="25"/>
  <c r="V774" i="25" s="1"/>
  <c r="J826" i="25"/>
  <c r="U825" i="25"/>
  <c r="K775" i="25"/>
  <c r="T775" i="25" l="1"/>
  <c r="V775" i="25"/>
  <c r="J827" i="25"/>
  <c r="U826" i="25"/>
  <c r="K776" i="25"/>
  <c r="V776" i="25" l="1"/>
  <c r="T776" i="25"/>
  <c r="J828" i="25"/>
  <c r="U827" i="25"/>
  <c r="K777" i="25"/>
  <c r="V777" i="25" l="1"/>
  <c r="T777" i="25"/>
  <c r="J829" i="25"/>
  <c r="U828" i="25"/>
  <c r="K778" i="25"/>
  <c r="V778" i="25" l="1"/>
  <c r="T778" i="25"/>
  <c r="J830" i="25"/>
  <c r="U829" i="25"/>
  <c r="K779" i="25"/>
  <c r="V779" i="25" l="1"/>
  <c r="T779" i="25"/>
  <c r="J831" i="25"/>
  <c r="U830" i="25"/>
  <c r="K780" i="25"/>
  <c r="V780" i="25" l="1"/>
  <c r="T780" i="25"/>
  <c r="J832" i="25"/>
  <c r="U831" i="25"/>
  <c r="K781" i="25"/>
  <c r="V781" i="25" l="1"/>
  <c r="T781" i="25"/>
  <c r="J833" i="25"/>
  <c r="U832" i="25"/>
  <c r="K782" i="25"/>
  <c r="V782" i="25" l="1"/>
  <c r="T782" i="25"/>
  <c r="J834" i="25"/>
  <c r="U833" i="25"/>
  <c r="K783" i="25"/>
  <c r="V783" i="25" l="1"/>
  <c r="T783" i="25"/>
  <c r="J835" i="25"/>
  <c r="U834" i="25"/>
  <c r="K784" i="25"/>
  <c r="V784" i="25" l="1"/>
  <c r="T784" i="25"/>
  <c r="J836" i="25"/>
  <c r="U835" i="25"/>
  <c r="K785" i="25"/>
  <c r="V785" i="25" l="1"/>
  <c r="T785" i="25"/>
  <c r="J837" i="25"/>
  <c r="U836" i="25"/>
  <c r="K786" i="25"/>
  <c r="V786" i="25" l="1"/>
  <c r="T786" i="25"/>
  <c r="J838" i="25"/>
  <c r="U837" i="25"/>
  <c r="K787" i="25"/>
  <c r="V787" i="25" l="1"/>
  <c r="T787" i="25"/>
  <c r="J839" i="25"/>
  <c r="U838" i="25"/>
  <c r="K788" i="25"/>
  <c r="V788" i="25" l="1"/>
  <c r="T788" i="25"/>
  <c r="J840" i="25"/>
  <c r="U839" i="25"/>
  <c r="K789" i="25"/>
  <c r="V789" i="25" l="1"/>
  <c r="T789" i="25"/>
  <c r="J841" i="25"/>
  <c r="U840" i="25"/>
  <c r="T790" i="25" l="1"/>
  <c r="K790" i="25"/>
  <c r="V790" i="25" s="1"/>
  <c r="J842" i="25"/>
  <c r="U841" i="25"/>
  <c r="K791" i="25"/>
  <c r="V791" i="25" l="1"/>
  <c r="T791" i="25"/>
  <c r="J843" i="25"/>
  <c r="U842" i="25"/>
  <c r="K792" i="25"/>
  <c r="V792" i="25" l="1"/>
  <c r="T792" i="25"/>
  <c r="J844" i="25"/>
  <c r="U843" i="25"/>
  <c r="K793" i="25"/>
  <c r="V793" i="25" l="1"/>
  <c r="T793" i="25"/>
  <c r="J845" i="25"/>
  <c r="U844" i="25"/>
  <c r="K794" i="25"/>
  <c r="V794" i="25" l="1"/>
  <c r="T794" i="25"/>
  <c r="J846" i="25"/>
  <c r="U845" i="25"/>
  <c r="K795" i="25"/>
  <c r="V795" i="25" l="1"/>
  <c r="T795" i="25"/>
  <c r="J847" i="25"/>
  <c r="U846" i="25"/>
  <c r="K796" i="25"/>
  <c r="V796" i="25" l="1"/>
  <c r="T796" i="25"/>
  <c r="J848" i="25"/>
  <c r="U847" i="25"/>
  <c r="K797" i="25"/>
  <c r="V797" i="25" l="1"/>
  <c r="T797" i="25"/>
  <c r="J849" i="25"/>
  <c r="U848" i="25"/>
  <c r="K798" i="25"/>
  <c r="V798" i="25" l="1"/>
  <c r="T798" i="25"/>
  <c r="J850" i="25"/>
  <c r="U849" i="25"/>
  <c r="K799" i="25"/>
  <c r="V799" i="25" l="1"/>
  <c r="T799" i="25"/>
  <c r="J851" i="25"/>
  <c r="U850" i="25"/>
  <c r="K800" i="25"/>
  <c r="V800" i="25" l="1"/>
  <c r="T800" i="25"/>
  <c r="J852" i="25"/>
  <c r="U851" i="25"/>
  <c r="K801" i="25"/>
  <c r="V801" i="25" l="1"/>
  <c r="T801" i="25"/>
  <c r="J853" i="25"/>
  <c r="U852" i="25"/>
  <c r="K802" i="25"/>
  <c r="V802" i="25" l="1"/>
  <c r="T802" i="25"/>
  <c r="J854" i="25"/>
  <c r="U853" i="25"/>
  <c r="K803" i="25"/>
  <c r="V803" i="25" l="1"/>
  <c r="T803" i="25"/>
  <c r="J855" i="25"/>
  <c r="U854" i="25"/>
  <c r="K804" i="25"/>
  <c r="V804" i="25" l="1"/>
  <c r="T804" i="25"/>
  <c r="J856" i="25"/>
  <c r="U855" i="25"/>
  <c r="K805" i="25"/>
  <c r="V805" i="25" l="1"/>
  <c r="T805" i="25"/>
  <c r="J857" i="25"/>
  <c r="U856" i="25"/>
  <c r="K806" i="25"/>
  <c r="V806" i="25" l="1"/>
  <c r="T806" i="25"/>
  <c r="J858" i="25"/>
  <c r="U857" i="25"/>
  <c r="K807" i="25"/>
  <c r="V807" i="25" l="1"/>
  <c r="T807" i="25"/>
  <c r="J859" i="25"/>
  <c r="U858" i="25"/>
  <c r="K808" i="25"/>
  <c r="V808" i="25" l="1"/>
  <c r="T808" i="25"/>
  <c r="J860" i="25"/>
  <c r="U859" i="25"/>
  <c r="K809" i="25"/>
  <c r="V809" i="25" l="1"/>
  <c r="T809" i="25"/>
  <c r="J861" i="25"/>
  <c r="U860" i="25"/>
  <c r="K810" i="25"/>
  <c r="V810" i="25" l="1"/>
  <c r="T810" i="25"/>
  <c r="J862" i="25"/>
  <c r="U861" i="25"/>
  <c r="K811" i="25"/>
  <c r="V811" i="25" l="1"/>
  <c r="T811" i="25"/>
  <c r="J863" i="25"/>
  <c r="U862" i="25"/>
  <c r="K812" i="25"/>
  <c r="V812" i="25" l="1"/>
  <c r="T812" i="25"/>
  <c r="J864" i="25"/>
  <c r="U863" i="25"/>
  <c r="K813" i="25"/>
  <c r="V813" i="25" l="1"/>
  <c r="T813" i="25"/>
  <c r="J865" i="25"/>
  <c r="U864" i="25"/>
  <c r="K814" i="25"/>
  <c r="V814" i="25" l="1"/>
  <c r="T814" i="25"/>
  <c r="J866" i="25"/>
  <c r="U865" i="25"/>
  <c r="K815" i="25"/>
  <c r="V815" i="25" l="1"/>
  <c r="T815" i="25"/>
  <c r="J867" i="25"/>
  <c r="U866" i="25"/>
  <c r="K816" i="25"/>
  <c r="V816" i="25" l="1"/>
  <c r="T816" i="25"/>
  <c r="J868" i="25"/>
  <c r="U867" i="25"/>
  <c r="K817" i="25"/>
  <c r="V817" i="25" l="1"/>
  <c r="T817" i="25"/>
  <c r="J869" i="25"/>
  <c r="U868" i="25"/>
  <c r="K818" i="25"/>
  <c r="V818" i="25" l="1"/>
  <c r="T818" i="25"/>
  <c r="J870" i="25"/>
  <c r="U869" i="25"/>
  <c r="K819" i="25"/>
  <c r="V819" i="25" l="1"/>
  <c r="T819" i="25"/>
  <c r="J871" i="25"/>
  <c r="U870" i="25"/>
  <c r="K820" i="25"/>
  <c r="V820" i="25" l="1"/>
  <c r="T820" i="25"/>
  <c r="J872" i="25"/>
  <c r="U871" i="25"/>
  <c r="K821" i="25"/>
  <c r="V821" i="25" l="1"/>
  <c r="T821" i="25"/>
  <c r="J873" i="25"/>
  <c r="U872" i="25"/>
  <c r="K822" i="25"/>
  <c r="V822" i="25" l="1"/>
  <c r="T822" i="25"/>
  <c r="J874" i="25"/>
  <c r="U873" i="25"/>
  <c r="K823" i="25"/>
  <c r="V823" i="25" l="1"/>
  <c r="T823" i="25"/>
  <c r="J875" i="25"/>
  <c r="U874" i="25"/>
  <c r="K824" i="25"/>
  <c r="V824" i="25" l="1"/>
  <c r="T824" i="25"/>
  <c r="J876" i="25"/>
  <c r="U875" i="25"/>
  <c r="K825" i="25"/>
  <c r="V825" i="25" l="1"/>
  <c r="T825" i="25"/>
  <c r="J877" i="25"/>
  <c r="U876" i="25"/>
  <c r="K826" i="25"/>
  <c r="V826" i="25" l="1"/>
  <c r="T826" i="25"/>
  <c r="J878" i="25"/>
  <c r="U877" i="25"/>
  <c r="K827" i="25"/>
  <c r="V827" i="25" l="1"/>
  <c r="T827" i="25"/>
  <c r="J879" i="25"/>
  <c r="U878" i="25"/>
  <c r="K828" i="25"/>
  <c r="V828" i="25" l="1"/>
  <c r="T828" i="25"/>
  <c r="J880" i="25"/>
  <c r="U879" i="25"/>
  <c r="K829" i="25"/>
  <c r="V829" i="25" l="1"/>
  <c r="T829" i="25"/>
  <c r="J881" i="25"/>
  <c r="U880" i="25"/>
  <c r="K830" i="25"/>
  <c r="V830" i="25" l="1"/>
  <c r="T830" i="25"/>
  <c r="J882" i="25"/>
  <c r="U881" i="25"/>
  <c r="K831" i="25"/>
  <c r="V831" i="25" l="1"/>
  <c r="T831" i="25"/>
  <c r="J883" i="25"/>
  <c r="U882" i="25"/>
  <c r="K832" i="25"/>
  <c r="V832" i="25" l="1"/>
  <c r="T832" i="25"/>
  <c r="J884" i="25"/>
  <c r="U883" i="25"/>
  <c r="K833" i="25"/>
  <c r="V833" i="25" l="1"/>
  <c r="T833" i="25"/>
  <c r="J885" i="25"/>
  <c r="U884" i="25"/>
  <c r="K834" i="25"/>
  <c r="V834" i="25" l="1"/>
  <c r="T834" i="25"/>
  <c r="J886" i="25"/>
  <c r="U885" i="25"/>
  <c r="K835" i="25"/>
  <c r="V835" i="25" l="1"/>
  <c r="T835" i="25"/>
  <c r="J887" i="25"/>
  <c r="U886" i="25"/>
  <c r="K836" i="25"/>
  <c r="V836" i="25" l="1"/>
  <c r="T836" i="25"/>
  <c r="J888" i="25"/>
  <c r="U887" i="25"/>
  <c r="K837" i="25"/>
  <c r="V837" i="25" l="1"/>
  <c r="T837" i="25"/>
  <c r="J889" i="25"/>
  <c r="U888" i="25"/>
  <c r="K838" i="25"/>
  <c r="V838" i="25" l="1"/>
  <c r="T838" i="25"/>
  <c r="J890" i="25"/>
  <c r="U889" i="25"/>
  <c r="K839" i="25"/>
  <c r="V839" i="25" l="1"/>
  <c r="T839" i="25"/>
  <c r="J891" i="25"/>
  <c r="U890" i="25"/>
  <c r="K840" i="25"/>
  <c r="V840" i="25" l="1"/>
  <c r="T840" i="25"/>
  <c r="J892" i="25"/>
  <c r="U891" i="25"/>
  <c r="K841" i="25"/>
  <c r="V841" i="25" l="1"/>
  <c r="T841" i="25"/>
  <c r="J893" i="25"/>
  <c r="U892" i="25"/>
  <c r="K842" i="25"/>
  <c r="V842" i="25" l="1"/>
  <c r="T842" i="25"/>
  <c r="J894" i="25"/>
  <c r="U893" i="25"/>
  <c r="K843" i="25"/>
  <c r="V843" i="25" l="1"/>
  <c r="T843" i="25"/>
  <c r="J895" i="25"/>
  <c r="U894" i="25"/>
  <c r="K844" i="25"/>
  <c r="V844" i="25" l="1"/>
  <c r="T844" i="25"/>
  <c r="J896" i="25"/>
  <c r="U895" i="25"/>
  <c r="K845" i="25"/>
  <c r="V845" i="25" l="1"/>
  <c r="T845" i="25"/>
  <c r="J897" i="25"/>
  <c r="U896" i="25"/>
  <c r="K846" i="25"/>
  <c r="V846" i="25" l="1"/>
  <c r="T846" i="25"/>
  <c r="J898" i="25"/>
  <c r="U897" i="25"/>
  <c r="K847" i="25"/>
  <c r="V847" i="25" l="1"/>
  <c r="T847" i="25"/>
  <c r="J899" i="25"/>
  <c r="U898" i="25"/>
  <c r="K848" i="25"/>
  <c r="V848" i="25" l="1"/>
  <c r="T848" i="25"/>
  <c r="J900" i="25"/>
  <c r="U899" i="25"/>
  <c r="K849" i="25"/>
  <c r="V849" i="25" l="1"/>
  <c r="T849" i="25"/>
  <c r="J901" i="25"/>
  <c r="U900" i="25"/>
  <c r="K850" i="25"/>
  <c r="V850" i="25" l="1"/>
  <c r="T850" i="25"/>
  <c r="J902" i="25"/>
  <c r="U901" i="25"/>
  <c r="K851" i="25"/>
  <c r="V851" i="25" l="1"/>
  <c r="T851" i="25"/>
  <c r="J903" i="25"/>
  <c r="U902" i="25"/>
  <c r="K852" i="25"/>
  <c r="V852" i="25" l="1"/>
  <c r="T852" i="25"/>
  <c r="J904" i="25"/>
  <c r="U903" i="25"/>
  <c r="K853" i="25"/>
  <c r="V853" i="25" l="1"/>
  <c r="T853" i="25"/>
  <c r="J905" i="25"/>
  <c r="U904" i="25"/>
  <c r="K854" i="25"/>
  <c r="V854" i="25" l="1"/>
  <c r="T854" i="25"/>
  <c r="J906" i="25"/>
  <c r="U905" i="25"/>
  <c r="K855" i="25"/>
  <c r="V855" i="25" l="1"/>
  <c r="T855" i="25"/>
  <c r="J907" i="25"/>
  <c r="U906" i="25"/>
  <c r="K856" i="25"/>
  <c r="V856" i="25" l="1"/>
  <c r="T856" i="25"/>
  <c r="J908" i="25"/>
  <c r="U907" i="25"/>
  <c r="K857" i="25"/>
  <c r="V857" i="25" l="1"/>
  <c r="T857" i="25"/>
  <c r="J909" i="25"/>
  <c r="U908" i="25"/>
  <c r="K858" i="25"/>
  <c r="V858" i="25" l="1"/>
  <c r="T858" i="25"/>
  <c r="J910" i="25"/>
  <c r="U909" i="25"/>
  <c r="K859" i="25"/>
  <c r="V859" i="25" l="1"/>
  <c r="T859" i="25"/>
  <c r="J911" i="25"/>
  <c r="U910" i="25"/>
  <c r="K860" i="25"/>
  <c r="V860" i="25" l="1"/>
  <c r="T860" i="25"/>
  <c r="J912" i="25"/>
  <c r="U911" i="25"/>
  <c r="K861" i="25"/>
  <c r="V861" i="25" l="1"/>
  <c r="T861" i="25"/>
  <c r="J913" i="25"/>
  <c r="U912" i="25"/>
  <c r="K862" i="25"/>
  <c r="V862" i="25" l="1"/>
  <c r="T862" i="25"/>
  <c r="J914" i="25"/>
  <c r="U913" i="25"/>
  <c r="K863" i="25"/>
  <c r="V863" i="25" l="1"/>
  <c r="T863" i="25"/>
  <c r="J915" i="25"/>
  <c r="U914" i="25"/>
  <c r="K864" i="25"/>
  <c r="V864" i="25" l="1"/>
  <c r="T864" i="25"/>
  <c r="J916" i="25"/>
  <c r="U915" i="25"/>
  <c r="K865" i="25"/>
  <c r="V865" i="25" l="1"/>
  <c r="T865" i="25"/>
  <c r="J917" i="25"/>
  <c r="U916" i="25"/>
  <c r="K866" i="25"/>
  <c r="V866" i="25" l="1"/>
  <c r="T866" i="25"/>
  <c r="J918" i="25"/>
  <c r="U917" i="25"/>
  <c r="K867" i="25"/>
  <c r="V867" i="25" l="1"/>
  <c r="T867" i="25"/>
  <c r="J919" i="25"/>
  <c r="U918" i="25"/>
  <c r="K868" i="25"/>
  <c r="V868" i="25" l="1"/>
  <c r="T868" i="25"/>
  <c r="J920" i="25"/>
  <c r="U919" i="25"/>
  <c r="K869" i="25"/>
  <c r="V869" i="25" l="1"/>
  <c r="T869" i="25"/>
  <c r="J921" i="25"/>
  <c r="U920" i="25"/>
  <c r="K870" i="25"/>
  <c r="V870" i="25" l="1"/>
  <c r="T870" i="25"/>
  <c r="J922" i="25"/>
  <c r="U921" i="25"/>
  <c r="K871" i="25"/>
  <c r="V871" i="25" l="1"/>
  <c r="T871" i="25"/>
  <c r="J923" i="25"/>
  <c r="U922" i="25"/>
  <c r="K872" i="25"/>
  <c r="V872" i="25" l="1"/>
  <c r="T872" i="25"/>
  <c r="J924" i="25"/>
  <c r="U923" i="25"/>
  <c r="K873" i="25"/>
  <c r="V873" i="25" l="1"/>
  <c r="T873" i="25"/>
  <c r="J925" i="25"/>
  <c r="U924" i="25"/>
  <c r="K874" i="25"/>
  <c r="V874" i="25" l="1"/>
  <c r="T874" i="25"/>
  <c r="J926" i="25"/>
  <c r="U925" i="25"/>
  <c r="K875" i="25"/>
  <c r="V875" i="25" l="1"/>
  <c r="T875" i="25"/>
  <c r="J927" i="25"/>
  <c r="U926" i="25"/>
  <c r="K876" i="25"/>
  <c r="V876" i="25" l="1"/>
  <c r="T876" i="25"/>
  <c r="J928" i="25"/>
  <c r="U927" i="25"/>
  <c r="K877" i="25"/>
  <c r="V877" i="25" l="1"/>
  <c r="T877" i="25"/>
  <c r="J929" i="25"/>
  <c r="U928" i="25"/>
  <c r="K878" i="25"/>
  <c r="V878" i="25" l="1"/>
  <c r="T878" i="25"/>
  <c r="J930" i="25"/>
  <c r="U929" i="25"/>
  <c r="K879" i="25"/>
  <c r="V879" i="25" l="1"/>
  <c r="T879" i="25"/>
  <c r="J931" i="25"/>
  <c r="U930" i="25"/>
  <c r="K880" i="25"/>
  <c r="V880" i="25" l="1"/>
  <c r="T880" i="25"/>
  <c r="J932" i="25"/>
  <c r="U931" i="25"/>
  <c r="K881" i="25"/>
  <c r="V881" i="25" l="1"/>
  <c r="T881" i="25"/>
  <c r="J933" i="25"/>
  <c r="U932" i="25"/>
  <c r="K882" i="25"/>
  <c r="V882" i="25" l="1"/>
  <c r="T882" i="25"/>
  <c r="J934" i="25"/>
  <c r="U933" i="25"/>
  <c r="K883" i="25"/>
  <c r="V883" i="25" l="1"/>
  <c r="T883" i="25"/>
  <c r="J935" i="25"/>
  <c r="U934" i="25"/>
  <c r="K884" i="25"/>
  <c r="V884" i="25" l="1"/>
  <c r="T884" i="25"/>
  <c r="J936" i="25"/>
  <c r="U935" i="25"/>
  <c r="K885" i="25"/>
  <c r="V885" i="25" l="1"/>
  <c r="T885" i="25"/>
  <c r="J937" i="25"/>
  <c r="U936" i="25"/>
  <c r="K886" i="25"/>
  <c r="V886" i="25" l="1"/>
  <c r="T886" i="25"/>
  <c r="J938" i="25"/>
  <c r="U937" i="25"/>
  <c r="K887" i="25"/>
  <c r="V887" i="25" l="1"/>
  <c r="T887" i="25"/>
  <c r="J939" i="25"/>
  <c r="U938" i="25"/>
  <c r="K888" i="25"/>
  <c r="V888" i="25" l="1"/>
  <c r="T888" i="25"/>
  <c r="J940" i="25"/>
  <c r="U939" i="25"/>
  <c r="K889" i="25"/>
  <c r="V889" i="25" l="1"/>
  <c r="T889" i="25"/>
  <c r="J941" i="25"/>
  <c r="U940" i="25"/>
  <c r="K890" i="25"/>
  <c r="V890" i="25" l="1"/>
  <c r="T890" i="25"/>
  <c r="J942" i="25"/>
  <c r="U941" i="25"/>
  <c r="T891" i="25" l="1"/>
  <c r="K891" i="25"/>
  <c r="V891" i="25" s="1"/>
  <c r="J943" i="25"/>
  <c r="U942" i="25"/>
  <c r="K892" i="25"/>
  <c r="V892" i="25" l="1"/>
  <c r="T892" i="25"/>
  <c r="J944" i="25"/>
  <c r="U943" i="25"/>
  <c r="K893" i="25"/>
  <c r="V893" i="25" l="1"/>
  <c r="T893" i="25"/>
  <c r="J945" i="25"/>
  <c r="U944" i="25"/>
  <c r="K894" i="25"/>
  <c r="V894" i="25" l="1"/>
  <c r="T894" i="25"/>
  <c r="J946" i="25"/>
  <c r="U945" i="25"/>
  <c r="K895" i="25"/>
  <c r="V895" i="25" l="1"/>
  <c r="T895" i="25"/>
  <c r="J947" i="25"/>
  <c r="U946" i="25"/>
  <c r="K896" i="25"/>
  <c r="V896" i="25" l="1"/>
  <c r="T896" i="25"/>
  <c r="J948" i="25"/>
  <c r="U947" i="25"/>
  <c r="K897" i="25"/>
  <c r="V897" i="25" l="1"/>
  <c r="T897" i="25"/>
  <c r="J949" i="25"/>
  <c r="U948" i="25"/>
  <c r="K898" i="25"/>
  <c r="V898" i="25" l="1"/>
  <c r="T898" i="25"/>
  <c r="J950" i="25"/>
  <c r="U949" i="25"/>
  <c r="K899" i="25"/>
  <c r="V899" i="25" l="1"/>
  <c r="K900" i="25"/>
  <c r="T899" i="25"/>
  <c r="J951" i="25"/>
  <c r="U950" i="25"/>
  <c r="V900" i="25" l="1"/>
  <c r="T900" i="25"/>
  <c r="J952" i="25"/>
  <c r="U951" i="25"/>
  <c r="K901" i="25"/>
  <c r="V901" i="25" l="1"/>
  <c r="T901" i="25"/>
  <c r="J953" i="25"/>
  <c r="U952" i="25"/>
  <c r="K902" i="25"/>
  <c r="V902" i="25" l="1"/>
  <c r="T902" i="25"/>
  <c r="J954" i="25"/>
  <c r="U953" i="25"/>
  <c r="K903" i="25"/>
  <c r="V903" i="25" l="1"/>
  <c r="T903" i="25"/>
  <c r="J955" i="25"/>
  <c r="U954" i="25"/>
  <c r="K904" i="25"/>
  <c r="V904" i="25" l="1"/>
  <c r="T904" i="25"/>
  <c r="J956" i="25"/>
  <c r="U955" i="25"/>
  <c r="K905" i="25"/>
  <c r="V905" i="25" l="1"/>
  <c r="T905" i="25"/>
  <c r="J957" i="25"/>
  <c r="U956" i="25"/>
  <c r="K906" i="25"/>
  <c r="V906" i="25" l="1"/>
  <c r="T906" i="25"/>
  <c r="J958" i="25"/>
  <c r="U957" i="25"/>
  <c r="K907" i="25"/>
  <c r="V907" i="25" l="1"/>
  <c r="T907" i="25"/>
  <c r="J959" i="25"/>
  <c r="U958" i="25"/>
  <c r="K908" i="25"/>
  <c r="V908" i="25" l="1"/>
  <c r="T908" i="25"/>
  <c r="J960" i="25"/>
  <c r="U959" i="25"/>
  <c r="K909" i="25"/>
  <c r="V909" i="25" l="1"/>
  <c r="T909" i="25"/>
  <c r="J961" i="25"/>
  <c r="U960" i="25"/>
  <c r="K910" i="25"/>
  <c r="V910" i="25" l="1"/>
  <c r="T910" i="25"/>
  <c r="J962" i="25"/>
  <c r="U961" i="25"/>
  <c r="K911" i="25"/>
  <c r="V911" i="25" l="1"/>
  <c r="T911" i="25"/>
  <c r="J963" i="25"/>
  <c r="U962" i="25"/>
  <c r="K912" i="25"/>
  <c r="V912" i="25" l="1"/>
  <c r="T912" i="25"/>
  <c r="J964" i="25"/>
  <c r="U963" i="25"/>
  <c r="K913" i="25"/>
  <c r="V913" i="25" l="1"/>
  <c r="T913" i="25"/>
  <c r="J965" i="25"/>
  <c r="U964" i="25"/>
  <c r="K914" i="25"/>
  <c r="V914" i="25" l="1"/>
  <c r="T914" i="25"/>
  <c r="J966" i="25"/>
  <c r="U965" i="25"/>
  <c r="K915" i="25"/>
  <c r="V915" i="25" l="1"/>
  <c r="T915" i="25"/>
  <c r="J967" i="25"/>
  <c r="U966" i="25"/>
  <c r="K916" i="25"/>
  <c r="V916" i="25" l="1"/>
  <c r="T916" i="25"/>
  <c r="J968" i="25"/>
  <c r="U967" i="25"/>
  <c r="K917" i="25"/>
  <c r="V917" i="25" l="1"/>
  <c r="T917" i="25"/>
  <c r="J969" i="25"/>
  <c r="U968" i="25"/>
  <c r="K918" i="25"/>
  <c r="V918" i="25" l="1"/>
  <c r="T918" i="25"/>
  <c r="J970" i="25"/>
  <c r="U969" i="25"/>
  <c r="K919" i="25"/>
  <c r="V919" i="25" l="1"/>
  <c r="T919" i="25"/>
  <c r="J971" i="25"/>
  <c r="U970" i="25"/>
  <c r="K920" i="25"/>
  <c r="V920" i="25" l="1"/>
  <c r="T920" i="25"/>
  <c r="J972" i="25"/>
  <c r="U971" i="25"/>
  <c r="K921" i="25"/>
  <c r="V921" i="25" l="1"/>
  <c r="T921" i="25"/>
  <c r="J973" i="25"/>
  <c r="U972" i="25"/>
  <c r="K922" i="25"/>
  <c r="V922" i="25" l="1"/>
  <c r="T922" i="25"/>
  <c r="J974" i="25"/>
  <c r="U973" i="25"/>
  <c r="K923" i="25"/>
  <c r="V923" i="25" l="1"/>
  <c r="T923" i="25"/>
  <c r="J975" i="25"/>
  <c r="U974" i="25"/>
  <c r="K924" i="25"/>
  <c r="V924" i="25" l="1"/>
  <c r="T924" i="25"/>
  <c r="J976" i="25"/>
  <c r="U975" i="25"/>
  <c r="K925" i="25"/>
  <c r="V925" i="25" l="1"/>
  <c r="T925" i="25"/>
  <c r="J977" i="25"/>
  <c r="U976" i="25"/>
  <c r="K926" i="25"/>
  <c r="V926" i="25" l="1"/>
  <c r="T926" i="25"/>
  <c r="J978" i="25"/>
  <c r="U977" i="25"/>
  <c r="K927" i="25"/>
  <c r="V927" i="25" l="1"/>
  <c r="T927" i="25"/>
  <c r="J979" i="25"/>
  <c r="U978" i="25"/>
  <c r="K928" i="25"/>
  <c r="V928" i="25" l="1"/>
  <c r="T928" i="25"/>
  <c r="J980" i="25"/>
  <c r="U979" i="25"/>
  <c r="K929" i="25"/>
  <c r="V929" i="25" l="1"/>
  <c r="T929" i="25"/>
  <c r="J981" i="25"/>
  <c r="U980" i="25"/>
  <c r="K930" i="25"/>
  <c r="V930" i="25" l="1"/>
  <c r="T930" i="25"/>
  <c r="J982" i="25"/>
  <c r="U981" i="25"/>
  <c r="K931" i="25"/>
  <c r="V931" i="25" l="1"/>
  <c r="T931" i="25"/>
  <c r="J983" i="25"/>
  <c r="U982" i="25"/>
  <c r="K932" i="25"/>
  <c r="V932" i="25" l="1"/>
  <c r="T932" i="25"/>
  <c r="J984" i="25"/>
  <c r="U983" i="25"/>
  <c r="K933" i="25"/>
  <c r="V933" i="25" l="1"/>
  <c r="T933" i="25"/>
  <c r="J985" i="25"/>
  <c r="U984" i="25"/>
  <c r="K934" i="25"/>
  <c r="V934" i="25" l="1"/>
  <c r="T934" i="25"/>
  <c r="J986" i="25"/>
  <c r="U985" i="25"/>
  <c r="K935" i="25"/>
  <c r="V935" i="25" l="1"/>
  <c r="T935" i="25"/>
  <c r="J987" i="25"/>
  <c r="U986" i="25"/>
  <c r="K936" i="25"/>
  <c r="V936" i="25" l="1"/>
  <c r="T936" i="25"/>
  <c r="J988" i="25"/>
  <c r="U987" i="25"/>
  <c r="K937" i="25"/>
  <c r="V937" i="25" l="1"/>
  <c r="T937" i="25"/>
  <c r="J989" i="25"/>
  <c r="U988" i="25"/>
  <c r="K938" i="25"/>
  <c r="V938" i="25" l="1"/>
  <c r="T938" i="25"/>
  <c r="J990" i="25"/>
  <c r="U989" i="25"/>
  <c r="K939" i="25"/>
  <c r="V939" i="25" l="1"/>
  <c r="T939" i="25"/>
  <c r="J991" i="25"/>
  <c r="U990" i="25"/>
  <c r="K940" i="25"/>
  <c r="V940" i="25" l="1"/>
  <c r="T940" i="25"/>
  <c r="J992" i="25"/>
  <c r="U991" i="25"/>
  <c r="K941" i="25"/>
  <c r="V941" i="25" l="1"/>
  <c r="T941" i="25"/>
  <c r="J993" i="25"/>
  <c r="U992" i="25"/>
  <c r="K942" i="25"/>
  <c r="V942" i="25" l="1"/>
  <c r="T942" i="25"/>
  <c r="J994" i="25"/>
  <c r="U993" i="25"/>
  <c r="K943" i="25"/>
  <c r="V943" i="25" l="1"/>
  <c r="T943" i="25"/>
  <c r="J995" i="25"/>
  <c r="U994" i="25"/>
  <c r="K944" i="25"/>
  <c r="V944" i="25" l="1"/>
  <c r="T944" i="25"/>
  <c r="J996" i="25"/>
  <c r="U995" i="25"/>
  <c r="K945" i="25"/>
  <c r="V945" i="25" l="1"/>
  <c r="T945" i="25"/>
  <c r="J997" i="25"/>
  <c r="U996" i="25"/>
  <c r="K946" i="25"/>
  <c r="V946" i="25" l="1"/>
  <c r="T946" i="25"/>
  <c r="J998" i="25"/>
  <c r="U997" i="25"/>
  <c r="K947" i="25"/>
  <c r="V947" i="25" l="1"/>
  <c r="T947" i="25"/>
  <c r="J999" i="25"/>
  <c r="U998" i="25"/>
  <c r="K948" i="25"/>
  <c r="V948" i="25" l="1"/>
  <c r="T948" i="25"/>
  <c r="J1000" i="25"/>
  <c r="U999" i="25"/>
  <c r="K949" i="25"/>
  <c r="V949" i="25" l="1"/>
  <c r="T949" i="25"/>
  <c r="J1001" i="25"/>
  <c r="U1000" i="25"/>
  <c r="K950" i="25"/>
  <c r="V950" i="25" l="1"/>
  <c r="T950" i="25"/>
  <c r="J1002" i="25"/>
  <c r="U1001" i="25"/>
  <c r="K951" i="25"/>
  <c r="V951" i="25" l="1"/>
  <c r="T951" i="25"/>
  <c r="J1003" i="25"/>
  <c r="U1002" i="25"/>
  <c r="K952" i="25"/>
  <c r="V952" i="25" l="1"/>
  <c r="T952" i="25"/>
  <c r="J1004" i="25"/>
  <c r="U1003" i="25"/>
  <c r="K953" i="25"/>
  <c r="V953" i="25" l="1"/>
  <c r="T953" i="25"/>
  <c r="J1005" i="25"/>
  <c r="U1004" i="25"/>
  <c r="K954" i="25"/>
  <c r="V954" i="25" l="1"/>
  <c r="T954" i="25"/>
  <c r="J1006" i="25"/>
  <c r="U1005" i="25"/>
  <c r="K955" i="25"/>
  <c r="V955" i="25" l="1"/>
  <c r="T955" i="25"/>
  <c r="J1007" i="25"/>
  <c r="U1006" i="25"/>
  <c r="K956" i="25"/>
  <c r="V956" i="25" l="1"/>
  <c r="T956" i="25"/>
  <c r="J1008" i="25"/>
  <c r="U1007" i="25"/>
  <c r="K957" i="25"/>
  <c r="V957" i="25" l="1"/>
  <c r="T957" i="25"/>
  <c r="J1009" i="25"/>
  <c r="U1008" i="25"/>
  <c r="K958" i="25"/>
  <c r="V958" i="25" l="1"/>
  <c r="T958" i="25"/>
  <c r="J1010" i="25"/>
  <c r="U1009" i="25"/>
  <c r="K959" i="25"/>
  <c r="V959" i="25" l="1"/>
  <c r="T959" i="25"/>
  <c r="J1011" i="25"/>
  <c r="U1010" i="25"/>
  <c r="K960" i="25"/>
  <c r="V960" i="25" l="1"/>
  <c r="T960" i="25"/>
  <c r="J1012" i="25"/>
  <c r="U1011" i="25"/>
  <c r="K961" i="25"/>
  <c r="V961" i="25" l="1"/>
  <c r="T961" i="25"/>
  <c r="J1013" i="25"/>
  <c r="U1012" i="25"/>
  <c r="K962" i="25"/>
  <c r="V962" i="25" l="1"/>
  <c r="T962" i="25"/>
  <c r="J1014" i="25"/>
  <c r="U1013" i="25"/>
  <c r="K963" i="25"/>
  <c r="V963" i="25" l="1"/>
  <c r="T963" i="25"/>
  <c r="J1015" i="25"/>
  <c r="U1014" i="25"/>
  <c r="K964" i="25"/>
  <c r="V964" i="25" l="1"/>
  <c r="T964" i="25"/>
  <c r="J1016" i="25"/>
  <c r="U1015" i="25"/>
  <c r="K965" i="25"/>
  <c r="V965" i="25" l="1"/>
  <c r="T965" i="25"/>
  <c r="J1017" i="25"/>
  <c r="U1016" i="25"/>
  <c r="K966" i="25"/>
  <c r="V966" i="25" l="1"/>
  <c r="T966" i="25"/>
  <c r="J1018" i="25"/>
  <c r="U1017" i="25"/>
  <c r="T967" i="25" l="1"/>
  <c r="K967" i="25"/>
  <c r="V967" i="25" s="1"/>
  <c r="J1019" i="25"/>
  <c r="U1018" i="25"/>
  <c r="K968" i="25"/>
  <c r="V968" i="25" l="1"/>
  <c r="T968" i="25"/>
  <c r="J1020" i="25"/>
  <c r="U1019" i="25"/>
  <c r="K969" i="25"/>
  <c r="V969" i="25" l="1"/>
  <c r="T969" i="25"/>
  <c r="J1021" i="25"/>
  <c r="U1020" i="25"/>
  <c r="K970" i="25"/>
  <c r="V970" i="25" l="1"/>
  <c r="T970" i="25"/>
  <c r="J1022" i="25"/>
  <c r="U1021" i="25"/>
  <c r="K971" i="25"/>
  <c r="V971" i="25" l="1"/>
  <c r="T971" i="25"/>
  <c r="J1023" i="25"/>
  <c r="U1022" i="25"/>
  <c r="K972" i="25"/>
  <c r="V972" i="25" l="1"/>
  <c r="T972" i="25"/>
  <c r="J1024" i="25"/>
  <c r="U1023" i="25"/>
  <c r="K973" i="25"/>
  <c r="V973" i="25" l="1"/>
  <c r="T973" i="25"/>
  <c r="J1025" i="25"/>
  <c r="U1024" i="25"/>
  <c r="K974" i="25"/>
  <c r="V974" i="25" l="1"/>
  <c r="T974" i="25"/>
  <c r="J1026" i="25"/>
  <c r="U1025" i="25"/>
  <c r="K975" i="25"/>
  <c r="V975" i="25" l="1"/>
  <c r="T975" i="25"/>
  <c r="J1027" i="25"/>
  <c r="U1026" i="25"/>
  <c r="K976" i="25"/>
  <c r="V976" i="25" l="1"/>
  <c r="T976" i="25"/>
  <c r="J1028" i="25"/>
  <c r="U1027" i="25"/>
  <c r="K977" i="25"/>
  <c r="V977" i="25" l="1"/>
  <c r="T977" i="25"/>
  <c r="J1029" i="25"/>
  <c r="U1028" i="25"/>
  <c r="K978" i="25"/>
  <c r="V978" i="25" l="1"/>
  <c r="T978" i="25"/>
  <c r="J1030" i="25"/>
  <c r="U1029" i="25"/>
  <c r="K979" i="25"/>
  <c r="V979" i="25" l="1"/>
  <c r="T979" i="25"/>
  <c r="J1031" i="25"/>
  <c r="U1030" i="25"/>
  <c r="K980" i="25"/>
  <c r="V980" i="25" l="1"/>
  <c r="T980" i="25"/>
  <c r="J1032" i="25"/>
  <c r="U1031" i="25"/>
  <c r="K981" i="25"/>
  <c r="V981" i="25" l="1"/>
  <c r="T981" i="25"/>
  <c r="J1033" i="25"/>
  <c r="U1032" i="25"/>
  <c r="K982" i="25"/>
  <c r="V982" i="25" l="1"/>
  <c r="T982" i="25"/>
  <c r="J1034" i="25"/>
  <c r="U1033" i="25"/>
  <c r="K983" i="25"/>
  <c r="V983" i="25" l="1"/>
  <c r="T983" i="25"/>
  <c r="J1035" i="25"/>
  <c r="U1034" i="25"/>
  <c r="K984" i="25"/>
  <c r="V984" i="25" l="1"/>
  <c r="T984" i="25"/>
  <c r="J1036" i="25"/>
  <c r="U1035" i="25"/>
  <c r="K985" i="25"/>
  <c r="V985" i="25" l="1"/>
  <c r="T985" i="25"/>
  <c r="J1037" i="25"/>
  <c r="U1036" i="25"/>
  <c r="K986" i="25"/>
  <c r="V986" i="25" l="1"/>
  <c r="T986" i="25"/>
  <c r="J1038" i="25"/>
  <c r="U1037" i="25"/>
  <c r="K987" i="25"/>
  <c r="V987" i="25" l="1"/>
  <c r="T987" i="25"/>
  <c r="J1039" i="25"/>
  <c r="U1038" i="25"/>
  <c r="K988" i="25"/>
  <c r="V988" i="25" l="1"/>
  <c r="T988" i="25"/>
  <c r="J1040" i="25"/>
  <c r="U1039" i="25"/>
  <c r="K989" i="25"/>
  <c r="V989" i="25" l="1"/>
  <c r="T989" i="25"/>
  <c r="J1041" i="25"/>
  <c r="U1040" i="25"/>
  <c r="K990" i="25"/>
  <c r="V990" i="25" l="1"/>
  <c r="T990" i="25"/>
  <c r="J1042" i="25"/>
  <c r="U1041" i="25"/>
  <c r="K991" i="25"/>
  <c r="V991" i="25" l="1"/>
  <c r="T991" i="25"/>
  <c r="J1043" i="25"/>
  <c r="U1042" i="25"/>
  <c r="K992" i="25"/>
  <c r="V992" i="25" l="1"/>
  <c r="T992" i="25"/>
  <c r="J1044" i="25"/>
  <c r="U1043" i="25"/>
  <c r="K993" i="25"/>
  <c r="V993" i="25" l="1"/>
  <c r="T993" i="25"/>
  <c r="J1045" i="25"/>
  <c r="U1044" i="25"/>
  <c r="K994" i="25"/>
  <c r="V994" i="25" l="1"/>
  <c r="T994" i="25"/>
  <c r="J1046" i="25"/>
  <c r="U1045" i="25"/>
  <c r="K995" i="25"/>
  <c r="V995" i="25" l="1"/>
  <c r="T995" i="25"/>
  <c r="J1047" i="25"/>
  <c r="U1046" i="25"/>
  <c r="K996" i="25"/>
  <c r="V996" i="25" l="1"/>
  <c r="T996" i="25"/>
  <c r="J1048" i="25"/>
  <c r="U1047" i="25"/>
  <c r="K997" i="25"/>
  <c r="V997" i="25" l="1"/>
  <c r="T997" i="25"/>
  <c r="J1049" i="25"/>
  <c r="U1048" i="25"/>
  <c r="K998" i="25"/>
  <c r="V998" i="25" l="1"/>
  <c r="T998" i="25"/>
  <c r="J1050" i="25"/>
  <c r="U1049" i="25"/>
  <c r="K999" i="25"/>
  <c r="V999" i="25" l="1"/>
  <c r="T999" i="25"/>
  <c r="J1051" i="25"/>
  <c r="U1050" i="25"/>
  <c r="K1000" i="25"/>
  <c r="V1000" i="25" l="1"/>
  <c r="T1000" i="25"/>
  <c r="J1052" i="25"/>
  <c r="U1051" i="25"/>
  <c r="K1001" i="25"/>
  <c r="V1001" i="25" l="1"/>
  <c r="T1001" i="25"/>
  <c r="J1053" i="25"/>
  <c r="U1052" i="25"/>
  <c r="K1002" i="25"/>
  <c r="V1002" i="25" l="1"/>
  <c r="T1002" i="25"/>
  <c r="J1054" i="25"/>
  <c r="U1053" i="25"/>
  <c r="K1003" i="25"/>
  <c r="V1003" i="25" l="1"/>
  <c r="T1003" i="25"/>
  <c r="J1055" i="25"/>
  <c r="U1054" i="25"/>
  <c r="K1004" i="25"/>
  <c r="V1004" i="25" l="1"/>
  <c r="T1004" i="25"/>
  <c r="J1056" i="25"/>
  <c r="U1055" i="25"/>
  <c r="K1005" i="25"/>
  <c r="V1005" i="25" l="1"/>
  <c r="T1005" i="25"/>
  <c r="J1057" i="25"/>
  <c r="U1056" i="25"/>
  <c r="K1006" i="25"/>
  <c r="V1006" i="25" l="1"/>
  <c r="T1006" i="25"/>
  <c r="J1058" i="25"/>
  <c r="U1057" i="25"/>
  <c r="K1007" i="25"/>
  <c r="V1007" i="25" l="1"/>
  <c r="T1007" i="25"/>
  <c r="J1059" i="25"/>
  <c r="U1058" i="25"/>
  <c r="K1008" i="25"/>
  <c r="V1008" i="25" l="1"/>
  <c r="T1008" i="25"/>
  <c r="J1060" i="25"/>
  <c r="U1059" i="25"/>
  <c r="K1009" i="25"/>
  <c r="V1009" i="25" l="1"/>
  <c r="T1009" i="25"/>
  <c r="J1061" i="25"/>
  <c r="U1060" i="25"/>
  <c r="K1010" i="25"/>
  <c r="V1010" i="25" l="1"/>
  <c r="T1010" i="25"/>
  <c r="J1062" i="25"/>
  <c r="U1061" i="25"/>
  <c r="K1011" i="25"/>
  <c r="V1011" i="25" l="1"/>
  <c r="K1012" i="25"/>
  <c r="T1011" i="25"/>
  <c r="J1063" i="25"/>
  <c r="U1062" i="25"/>
  <c r="V1012" i="25" l="1"/>
  <c r="T1012" i="25"/>
  <c r="J1064" i="25"/>
  <c r="U1063" i="25"/>
  <c r="K1013" i="25"/>
  <c r="V1013" i="25" l="1"/>
  <c r="T1013" i="25"/>
  <c r="J1065" i="25"/>
  <c r="U1064" i="25"/>
  <c r="K1014" i="25"/>
  <c r="V1014" i="25" l="1"/>
  <c r="T1014" i="25"/>
  <c r="J1066" i="25"/>
  <c r="U1065" i="25"/>
  <c r="K1015" i="25"/>
  <c r="V1015" i="25" l="1"/>
  <c r="T1015" i="25"/>
  <c r="J1067" i="25"/>
  <c r="U1066" i="25"/>
  <c r="K1016" i="25"/>
  <c r="V1016" i="25" l="1"/>
  <c r="T1016" i="25"/>
  <c r="J1068" i="25"/>
  <c r="U1067" i="25"/>
  <c r="K1017" i="25"/>
  <c r="V1017" i="25" l="1"/>
  <c r="T1017" i="25"/>
  <c r="J1069" i="25"/>
  <c r="U1068" i="25"/>
  <c r="K1018" i="25"/>
  <c r="V1018" i="25" l="1"/>
  <c r="T1018" i="25"/>
  <c r="J1070" i="25"/>
  <c r="U1069" i="25"/>
  <c r="K1019" i="25"/>
  <c r="V1019" i="25" l="1"/>
  <c r="K1020" i="25"/>
  <c r="T1019" i="25"/>
  <c r="J1071" i="25"/>
  <c r="U1070" i="25"/>
  <c r="V1020" i="25" l="1"/>
  <c r="T1020" i="25"/>
  <c r="J1072" i="25"/>
  <c r="U1071" i="25"/>
  <c r="K1021" i="25"/>
  <c r="V1021" i="25" l="1"/>
  <c r="T1021" i="25"/>
  <c r="J1073" i="25"/>
  <c r="U1072" i="25"/>
  <c r="K1022" i="25"/>
  <c r="V1022" i="25" l="1"/>
  <c r="T1022" i="25"/>
  <c r="J1074" i="25"/>
  <c r="U1073" i="25"/>
  <c r="K1023" i="25"/>
  <c r="V1023" i="25" l="1"/>
  <c r="T1023" i="25"/>
  <c r="J1075" i="25"/>
  <c r="U1074" i="25"/>
  <c r="K1024" i="25"/>
  <c r="V1024" i="25" l="1"/>
  <c r="T1024" i="25"/>
  <c r="J1076" i="25"/>
  <c r="U1075" i="25"/>
  <c r="K1025" i="25"/>
  <c r="V1025" i="25" l="1"/>
  <c r="T1025" i="25"/>
  <c r="J1077" i="25"/>
  <c r="U1076" i="25"/>
  <c r="K1026" i="25"/>
  <c r="V1026" i="25" l="1"/>
  <c r="T1026" i="25"/>
  <c r="J1078" i="25"/>
  <c r="U1077" i="25"/>
  <c r="K1027" i="25"/>
  <c r="V1027" i="25" l="1"/>
  <c r="T1027" i="25"/>
  <c r="J1079" i="25"/>
  <c r="U1078" i="25"/>
  <c r="K1028" i="25"/>
  <c r="V1028" i="25" l="1"/>
  <c r="T1028" i="25"/>
  <c r="J1080" i="25"/>
  <c r="U1079" i="25"/>
  <c r="K1029" i="25"/>
  <c r="V1029" i="25" l="1"/>
  <c r="T1029" i="25"/>
  <c r="J1081" i="25"/>
  <c r="U1080" i="25"/>
  <c r="K1030" i="25"/>
  <c r="V1030" i="25" l="1"/>
  <c r="T1030" i="25"/>
  <c r="J1082" i="25"/>
  <c r="U1081" i="25"/>
  <c r="K1031" i="25"/>
  <c r="V1031" i="25" l="1"/>
  <c r="T1031" i="25"/>
  <c r="J1083" i="25"/>
  <c r="U1082" i="25"/>
  <c r="K1032" i="25"/>
  <c r="V1032" i="25" l="1"/>
  <c r="T1032" i="25"/>
  <c r="J1084" i="25"/>
  <c r="U1083" i="25"/>
  <c r="K1033" i="25"/>
  <c r="V1033" i="25" l="1"/>
  <c r="T1033" i="25"/>
  <c r="J1085" i="25"/>
  <c r="U1084" i="25"/>
  <c r="K1034" i="25"/>
  <c r="V1034" i="25" l="1"/>
  <c r="T1034" i="25"/>
  <c r="J1086" i="25"/>
  <c r="U1085" i="25"/>
  <c r="K1035" i="25"/>
  <c r="V1035" i="25" l="1"/>
  <c r="T1035" i="25"/>
  <c r="J1087" i="25"/>
  <c r="U1086" i="25"/>
  <c r="K1036" i="25"/>
  <c r="V1036" i="25" l="1"/>
  <c r="T1036" i="25"/>
  <c r="J1088" i="25"/>
  <c r="U1087" i="25"/>
  <c r="K1037" i="25"/>
  <c r="V1037" i="25" l="1"/>
  <c r="T1037" i="25"/>
  <c r="J1089" i="25"/>
  <c r="U1088" i="25"/>
  <c r="K1038" i="25"/>
  <c r="V1038" i="25" l="1"/>
  <c r="T1038" i="25"/>
  <c r="J1090" i="25"/>
  <c r="U1089" i="25"/>
  <c r="K1039" i="25"/>
  <c r="V1039" i="25" l="1"/>
  <c r="T1039" i="25"/>
  <c r="J1091" i="25"/>
  <c r="U1090" i="25"/>
  <c r="K1040" i="25"/>
  <c r="V1040" i="25" l="1"/>
  <c r="T1040" i="25"/>
  <c r="J1092" i="25"/>
  <c r="U1091" i="25"/>
  <c r="K1041" i="25"/>
  <c r="V1041" i="25" l="1"/>
  <c r="T1041" i="25"/>
  <c r="J1093" i="25"/>
  <c r="U1092" i="25"/>
  <c r="K1042" i="25"/>
  <c r="V1042" i="25" l="1"/>
  <c r="T1042" i="25"/>
  <c r="J1094" i="25"/>
  <c r="U1093" i="25"/>
  <c r="K1043" i="25"/>
  <c r="V1043" i="25" l="1"/>
  <c r="T1043" i="25"/>
  <c r="J1095" i="25"/>
  <c r="U1094" i="25"/>
  <c r="K1044" i="25"/>
  <c r="V1044" i="25" l="1"/>
  <c r="T1044" i="25"/>
  <c r="J1096" i="25"/>
  <c r="U1095" i="25"/>
  <c r="K1045" i="25"/>
  <c r="V1045" i="25" l="1"/>
  <c r="T1045" i="25"/>
  <c r="J1097" i="25"/>
  <c r="U1096" i="25"/>
  <c r="K1046" i="25"/>
  <c r="V1046" i="25" l="1"/>
  <c r="T1046" i="25"/>
  <c r="J1098" i="25"/>
  <c r="U1097" i="25"/>
  <c r="K1047" i="25"/>
  <c r="V1047" i="25" l="1"/>
  <c r="T1047" i="25"/>
  <c r="J1099" i="25"/>
  <c r="U1098" i="25"/>
  <c r="K1048" i="25"/>
  <c r="V1048" i="25" l="1"/>
  <c r="T1048" i="25"/>
  <c r="J1100" i="25"/>
  <c r="U1099" i="25"/>
  <c r="K1049" i="25"/>
  <c r="V1049" i="25" l="1"/>
  <c r="T1049" i="25"/>
  <c r="J1101" i="25"/>
  <c r="U1100" i="25"/>
  <c r="K1050" i="25"/>
  <c r="V1050" i="25" l="1"/>
  <c r="T1050" i="25"/>
  <c r="J1102" i="25"/>
  <c r="U1101" i="25"/>
  <c r="K1051" i="25"/>
  <c r="V1051" i="25" l="1"/>
  <c r="T1051" i="25"/>
  <c r="J1103" i="25"/>
  <c r="U1102" i="25"/>
  <c r="K1052" i="25"/>
  <c r="V1052" i="25" l="1"/>
  <c r="T1052" i="25"/>
  <c r="J1104" i="25"/>
  <c r="U1103" i="25"/>
  <c r="K1053" i="25"/>
  <c r="V1053" i="25" l="1"/>
  <c r="T1053" i="25"/>
  <c r="J1105" i="25"/>
  <c r="U1104" i="25"/>
  <c r="K1054" i="25"/>
  <c r="V1054" i="25" l="1"/>
  <c r="T1054" i="25"/>
  <c r="J1106" i="25"/>
  <c r="U1105" i="25"/>
  <c r="K1055" i="25"/>
  <c r="V1055" i="25" l="1"/>
  <c r="T1055" i="25"/>
  <c r="J1107" i="25"/>
  <c r="U1106" i="25"/>
  <c r="K1056" i="25"/>
  <c r="V1056" i="25" l="1"/>
  <c r="T1056" i="25"/>
  <c r="J1108" i="25"/>
  <c r="U1107" i="25"/>
  <c r="K1057" i="25"/>
  <c r="V1057" i="25" l="1"/>
  <c r="T1057" i="25"/>
  <c r="J1109" i="25"/>
  <c r="U1108" i="25"/>
  <c r="K1058" i="25"/>
  <c r="V1058" i="25" l="1"/>
  <c r="T1058" i="25"/>
  <c r="J1110" i="25"/>
  <c r="U1109" i="25"/>
  <c r="K1059" i="25"/>
  <c r="V1059" i="25" l="1"/>
  <c r="T1059" i="25"/>
  <c r="J1111" i="25"/>
  <c r="U1110" i="25"/>
  <c r="K1060" i="25"/>
  <c r="V1060" i="25" l="1"/>
  <c r="T1060" i="25"/>
  <c r="J1112" i="25"/>
  <c r="U1111" i="25"/>
  <c r="K1061" i="25"/>
  <c r="V1061" i="25" l="1"/>
  <c r="T1061" i="25"/>
  <c r="J1113" i="25"/>
  <c r="U1112" i="25"/>
  <c r="K1062" i="25"/>
  <c r="V1062" i="25" l="1"/>
  <c r="T1062" i="25"/>
  <c r="J1114" i="25"/>
  <c r="U1113" i="25"/>
  <c r="K1063" i="25"/>
  <c r="V1063" i="25" l="1"/>
  <c r="T1063" i="25"/>
  <c r="J1115" i="25"/>
  <c r="U1114" i="25"/>
  <c r="K1064" i="25"/>
  <c r="V1064" i="25" l="1"/>
  <c r="T1064" i="25"/>
  <c r="J1116" i="25"/>
  <c r="U1115" i="25"/>
  <c r="K1065" i="25"/>
  <c r="V1065" i="25" l="1"/>
  <c r="T1065" i="25"/>
  <c r="J1117" i="25"/>
  <c r="U1116" i="25"/>
  <c r="K1066" i="25"/>
  <c r="V1066" i="25" l="1"/>
  <c r="T1066" i="25"/>
  <c r="J1118" i="25"/>
  <c r="U1117" i="25"/>
  <c r="K1067" i="25"/>
  <c r="V1067" i="25" l="1"/>
  <c r="T1067" i="25"/>
  <c r="J1119" i="25"/>
  <c r="U1118" i="25"/>
  <c r="K1068" i="25"/>
  <c r="V1068" i="25" l="1"/>
  <c r="T1068" i="25"/>
  <c r="J1120" i="25"/>
  <c r="U1119" i="25"/>
  <c r="K1069" i="25"/>
  <c r="V1069" i="25" l="1"/>
  <c r="T1069" i="25"/>
  <c r="J1121" i="25"/>
  <c r="U1120" i="25"/>
  <c r="K1070" i="25"/>
  <c r="V1070" i="25" l="1"/>
  <c r="T1070" i="25"/>
  <c r="J1122" i="25"/>
  <c r="U1121" i="25"/>
  <c r="K1071" i="25"/>
  <c r="V1071" i="25" l="1"/>
  <c r="T1071" i="25"/>
  <c r="J1123" i="25"/>
  <c r="U1122" i="25"/>
  <c r="K1072" i="25"/>
  <c r="V1072" i="25" l="1"/>
  <c r="T1072" i="25"/>
  <c r="J1124" i="25"/>
  <c r="U1123" i="25"/>
  <c r="K1073" i="25"/>
  <c r="V1073" i="25" l="1"/>
  <c r="T1073" i="25"/>
  <c r="J1125" i="25"/>
  <c r="U1124" i="25"/>
  <c r="K1074" i="25"/>
  <c r="V1074" i="25" l="1"/>
  <c r="T1074" i="25"/>
  <c r="J1126" i="25"/>
  <c r="U1125" i="25"/>
  <c r="K1075" i="25"/>
  <c r="V1075" i="25" l="1"/>
  <c r="T1075" i="25"/>
  <c r="J1127" i="25"/>
  <c r="U1126" i="25"/>
  <c r="K1076" i="25"/>
  <c r="V1076" i="25" l="1"/>
  <c r="T1076" i="25"/>
  <c r="J1128" i="25"/>
  <c r="U1127" i="25"/>
  <c r="K1077" i="25"/>
  <c r="V1077" i="25" l="1"/>
  <c r="T1077" i="25"/>
  <c r="J1129" i="25"/>
  <c r="U1128" i="25"/>
  <c r="K1078" i="25"/>
  <c r="V1078" i="25" l="1"/>
  <c r="T1078" i="25"/>
  <c r="J1130" i="25"/>
  <c r="U1129" i="25"/>
  <c r="K1079" i="25"/>
  <c r="V1079" i="25" l="1"/>
  <c r="T1079" i="25"/>
  <c r="J1131" i="25"/>
  <c r="U1130" i="25"/>
  <c r="K1080" i="25"/>
  <c r="V1080" i="25" l="1"/>
  <c r="T1080" i="25"/>
  <c r="J1132" i="25"/>
  <c r="U1131" i="25"/>
  <c r="K1081" i="25"/>
  <c r="V1081" i="25" l="1"/>
  <c r="T1081" i="25"/>
  <c r="J1133" i="25"/>
  <c r="U1132" i="25"/>
  <c r="K1082" i="25"/>
  <c r="V1082" i="25" l="1"/>
  <c r="T1082" i="25"/>
  <c r="J1134" i="25"/>
  <c r="U1133" i="25"/>
  <c r="K1083" i="25"/>
  <c r="V1083" i="25" l="1"/>
  <c r="T1083" i="25"/>
  <c r="J1135" i="25"/>
  <c r="U1134" i="25"/>
  <c r="K1084" i="25"/>
  <c r="V1084" i="25" l="1"/>
  <c r="T1084" i="25"/>
  <c r="J1136" i="25"/>
  <c r="U1135" i="25"/>
  <c r="K1085" i="25"/>
  <c r="V1085" i="25" l="1"/>
  <c r="T1085" i="25"/>
  <c r="J1137" i="25"/>
  <c r="U1136" i="25"/>
  <c r="K1086" i="25"/>
  <c r="V1086" i="25" l="1"/>
  <c r="T1086" i="25"/>
  <c r="J1138" i="25"/>
  <c r="U1137" i="25"/>
  <c r="K1087" i="25"/>
  <c r="V1087" i="25" l="1"/>
  <c r="T1087" i="25"/>
  <c r="J1139" i="25"/>
  <c r="U1138" i="25"/>
  <c r="K1088" i="25"/>
  <c r="V1088" i="25" l="1"/>
  <c r="T1088" i="25"/>
  <c r="J1140" i="25"/>
  <c r="U1139" i="25"/>
  <c r="K1089" i="25"/>
  <c r="V1089" i="25" l="1"/>
  <c r="T1089" i="25"/>
  <c r="J1141" i="25"/>
  <c r="U1140" i="25"/>
  <c r="K1090" i="25"/>
  <c r="V1090" i="25" l="1"/>
  <c r="T1090" i="25"/>
  <c r="J1142" i="25"/>
  <c r="U1141" i="25"/>
  <c r="K1091" i="25"/>
  <c r="V1091" i="25" l="1"/>
  <c r="T1091" i="25"/>
  <c r="J1143" i="25"/>
  <c r="U1142" i="25"/>
  <c r="K1092" i="25"/>
  <c r="V1092" i="25" l="1"/>
  <c r="T1092" i="25"/>
  <c r="J1144" i="25"/>
  <c r="U1143" i="25"/>
  <c r="K1093" i="25"/>
  <c r="V1093" i="25" l="1"/>
  <c r="T1093" i="25"/>
  <c r="J1145" i="25"/>
  <c r="U1144" i="25"/>
  <c r="K1094" i="25"/>
  <c r="V1094" i="25" l="1"/>
  <c r="T1094" i="25"/>
  <c r="J1146" i="25"/>
  <c r="U1145" i="25"/>
  <c r="K1095" i="25"/>
  <c r="V1095" i="25" l="1"/>
  <c r="T1095" i="25"/>
  <c r="J1147" i="25"/>
  <c r="U1146" i="25"/>
  <c r="K1096" i="25"/>
  <c r="V1096" i="25" l="1"/>
  <c r="T1096" i="25"/>
  <c r="J1148" i="25"/>
  <c r="U1147" i="25"/>
  <c r="K1097" i="25"/>
  <c r="V1097" i="25" l="1"/>
  <c r="T1097" i="25"/>
  <c r="J1149" i="25"/>
  <c r="U1148" i="25"/>
  <c r="K1098" i="25"/>
  <c r="V1098" i="25" l="1"/>
  <c r="T1098" i="25"/>
  <c r="J1150" i="25"/>
  <c r="U1149" i="25"/>
  <c r="K1099" i="25"/>
  <c r="V1099" i="25" l="1"/>
  <c r="T1099" i="25"/>
  <c r="J1151" i="25"/>
  <c r="U1150" i="25"/>
  <c r="K1100" i="25"/>
  <c r="V1100" i="25" l="1"/>
  <c r="T1100" i="25"/>
  <c r="J1152" i="25"/>
  <c r="U1151" i="25"/>
  <c r="K1101" i="25"/>
  <c r="V1101" i="25" l="1"/>
  <c r="T1101" i="25"/>
  <c r="J1153" i="25"/>
  <c r="U1152" i="25"/>
  <c r="K1102" i="25"/>
  <c r="V1102" i="25" l="1"/>
  <c r="T1102" i="25"/>
  <c r="J1154" i="25"/>
  <c r="U1153" i="25"/>
  <c r="K1103" i="25"/>
  <c r="V1103" i="25" l="1"/>
  <c r="T1103" i="25"/>
  <c r="J1155" i="25"/>
  <c r="U1154" i="25"/>
  <c r="K1104" i="25"/>
  <c r="V1104" i="25" l="1"/>
  <c r="T1104" i="25"/>
  <c r="J1156" i="25"/>
  <c r="U1155" i="25"/>
  <c r="K1105" i="25"/>
  <c r="V1105" i="25" l="1"/>
  <c r="T1105" i="25"/>
  <c r="J1157" i="25"/>
  <c r="U1156" i="25"/>
  <c r="K1106" i="25"/>
  <c r="V1106" i="25" l="1"/>
  <c r="T1106" i="25"/>
  <c r="J1158" i="25"/>
  <c r="U1157" i="25"/>
  <c r="K1107" i="25"/>
  <c r="V1107" i="25" l="1"/>
  <c r="T1107" i="25"/>
  <c r="J1159" i="25"/>
  <c r="U1158" i="25"/>
  <c r="K1108" i="25"/>
  <c r="V1108" i="25" l="1"/>
  <c r="T1108" i="25"/>
  <c r="J1160" i="25"/>
  <c r="U1159" i="25"/>
  <c r="K1109" i="25"/>
  <c r="V1109" i="25" l="1"/>
  <c r="T1109" i="25"/>
  <c r="J1161" i="25"/>
  <c r="U1160" i="25"/>
  <c r="K1110" i="25"/>
  <c r="V1110" i="25" l="1"/>
  <c r="T1110" i="25"/>
  <c r="J1162" i="25"/>
  <c r="U1161" i="25"/>
  <c r="K1111" i="25"/>
  <c r="V1111" i="25" l="1"/>
  <c r="T1111" i="25"/>
  <c r="J1163" i="25"/>
  <c r="U1162" i="25"/>
  <c r="K1112" i="25"/>
  <c r="V1112" i="25" l="1"/>
  <c r="T1112" i="25"/>
  <c r="J1164" i="25"/>
  <c r="U1163" i="25"/>
  <c r="K1113" i="25"/>
  <c r="V1113" i="25" l="1"/>
  <c r="T1113" i="25"/>
  <c r="J1165" i="25"/>
  <c r="U1164" i="25"/>
  <c r="K1114" i="25"/>
  <c r="V1114" i="25" l="1"/>
  <c r="T1114" i="25"/>
  <c r="J1166" i="25"/>
  <c r="U1165" i="25"/>
  <c r="K1115" i="25"/>
  <c r="V1115" i="25" l="1"/>
  <c r="T1115" i="25"/>
  <c r="J1167" i="25"/>
  <c r="U1166" i="25"/>
  <c r="K1116" i="25"/>
  <c r="V1116" i="25" l="1"/>
  <c r="T1116" i="25"/>
  <c r="J1168" i="25"/>
  <c r="U1167" i="25"/>
  <c r="K1117" i="25"/>
  <c r="V1117" i="25" l="1"/>
  <c r="T1117" i="25"/>
  <c r="J1169" i="25"/>
  <c r="U1168" i="25"/>
  <c r="K1118" i="25"/>
  <c r="V1118" i="25" l="1"/>
  <c r="T1118" i="25"/>
  <c r="J1170" i="25"/>
  <c r="U1169" i="25"/>
  <c r="K1119" i="25"/>
  <c r="V1119" i="25" l="1"/>
  <c r="T1119" i="25"/>
  <c r="J1171" i="25"/>
  <c r="U1170" i="25"/>
  <c r="K1120" i="25"/>
  <c r="V1120" i="25" l="1"/>
  <c r="T1120" i="25"/>
  <c r="J1172" i="25"/>
  <c r="U1171" i="25"/>
  <c r="K1121" i="25"/>
  <c r="V1121" i="25" l="1"/>
  <c r="T1121" i="25"/>
  <c r="J1173" i="25"/>
  <c r="U1172" i="25"/>
  <c r="K1122" i="25"/>
  <c r="V1122" i="25" l="1"/>
  <c r="T1122" i="25"/>
  <c r="J1174" i="25"/>
  <c r="U1173" i="25"/>
  <c r="K1123" i="25"/>
  <c r="V1123" i="25" l="1"/>
  <c r="T1123" i="25"/>
  <c r="J1175" i="25"/>
  <c r="U1174" i="25"/>
  <c r="K1124" i="25"/>
  <c r="V1124" i="25" l="1"/>
  <c r="T1124" i="25"/>
  <c r="J1176" i="25"/>
  <c r="U1175" i="25"/>
  <c r="K1125" i="25"/>
  <c r="V1125" i="25" l="1"/>
  <c r="T1125" i="25"/>
  <c r="J1177" i="25"/>
  <c r="U1176" i="25"/>
  <c r="K1126" i="25"/>
  <c r="V1126" i="25" l="1"/>
  <c r="T1126" i="25"/>
  <c r="J1178" i="25"/>
  <c r="U1177" i="25"/>
  <c r="K1127" i="25"/>
  <c r="V1127" i="25" l="1"/>
  <c r="T1127" i="25"/>
  <c r="J1179" i="25"/>
  <c r="U1178" i="25"/>
  <c r="K1128" i="25"/>
  <c r="V1128" i="25" l="1"/>
  <c r="T1128" i="25"/>
  <c r="J1180" i="25"/>
  <c r="U1179" i="25"/>
  <c r="K1129" i="25"/>
  <c r="V1129" i="25" l="1"/>
  <c r="T1129" i="25"/>
  <c r="J1181" i="25"/>
  <c r="U1180" i="25"/>
  <c r="K1130" i="25"/>
  <c r="V1130" i="25" l="1"/>
  <c r="T1130" i="25"/>
  <c r="J1182" i="25"/>
  <c r="U1181" i="25"/>
  <c r="K1131" i="25"/>
  <c r="V1131" i="25" l="1"/>
  <c r="T1131" i="25"/>
  <c r="J1183" i="25"/>
  <c r="U1182" i="25"/>
  <c r="K1132" i="25"/>
  <c r="V1132" i="25" l="1"/>
  <c r="T1132" i="25"/>
  <c r="J1184" i="25"/>
  <c r="U1183" i="25"/>
  <c r="K1133" i="25"/>
  <c r="V1133" i="25" l="1"/>
  <c r="T1133" i="25"/>
  <c r="J1185" i="25"/>
  <c r="U1184" i="25"/>
  <c r="K1134" i="25"/>
  <c r="V1134" i="25" l="1"/>
  <c r="T1134" i="25"/>
  <c r="J1186" i="25"/>
  <c r="U1185" i="25"/>
  <c r="K1135" i="25"/>
  <c r="V1135" i="25" l="1"/>
  <c r="T1135" i="25"/>
  <c r="J1187" i="25"/>
  <c r="U1186" i="25"/>
  <c r="K1136" i="25"/>
  <c r="V1136" i="25" l="1"/>
  <c r="T1136" i="25"/>
  <c r="J1188" i="25"/>
  <c r="U1187" i="25"/>
  <c r="K1137" i="25"/>
  <c r="V1137" i="25" l="1"/>
  <c r="T1137" i="25"/>
  <c r="J1189" i="25"/>
  <c r="U1188" i="25"/>
  <c r="K1138" i="25"/>
  <c r="V1138" i="25" l="1"/>
  <c r="K1139" i="25"/>
  <c r="T1138" i="25"/>
  <c r="J1190" i="25"/>
  <c r="U1189" i="25"/>
  <c r="V1139" i="25" l="1"/>
  <c r="T1139" i="25"/>
  <c r="J1191" i="25"/>
  <c r="U1190" i="25"/>
  <c r="K1140" i="25"/>
  <c r="V1140" i="25" l="1"/>
  <c r="T1140" i="25"/>
  <c r="J1192" i="25"/>
  <c r="U1191" i="25"/>
  <c r="K1141" i="25"/>
  <c r="V1141" i="25" l="1"/>
  <c r="K1142" i="25"/>
  <c r="T1141" i="25"/>
  <c r="J1193" i="25"/>
  <c r="U1192" i="25"/>
  <c r="V1142" i="25" l="1"/>
  <c r="T1142" i="25"/>
  <c r="J1194" i="25"/>
  <c r="U1193" i="25"/>
  <c r="K1143" i="25"/>
  <c r="V1143" i="25" l="1"/>
  <c r="T1143" i="25"/>
  <c r="J1195" i="25"/>
  <c r="U1194" i="25"/>
  <c r="K1144" i="25"/>
  <c r="V1144" i="25" l="1"/>
  <c r="T1144" i="25"/>
  <c r="J1196" i="25"/>
  <c r="U1195" i="25"/>
  <c r="K1145" i="25"/>
  <c r="V1145" i="25" l="1"/>
  <c r="T1145" i="25"/>
  <c r="J1197" i="25"/>
  <c r="U1196" i="25"/>
  <c r="K1146" i="25"/>
  <c r="V1146" i="25" l="1"/>
  <c r="T1146" i="25"/>
  <c r="J1198" i="25"/>
  <c r="U1197" i="25"/>
  <c r="K1147" i="25"/>
  <c r="V1147" i="25" l="1"/>
  <c r="T1147" i="25"/>
  <c r="J1199" i="25"/>
  <c r="U1198" i="25"/>
  <c r="K1148" i="25"/>
  <c r="V1148" i="25" l="1"/>
  <c r="T1148" i="25"/>
  <c r="J1200" i="25"/>
  <c r="U1199" i="25"/>
  <c r="K1149" i="25"/>
  <c r="V1149" i="25" l="1"/>
  <c r="T1149" i="25"/>
  <c r="J1201" i="25"/>
  <c r="U1200" i="25"/>
  <c r="K1150" i="25"/>
  <c r="V1150" i="25" l="1"/>
  <c r="T1150" i="25"/>
  <c r="J1202" i="25"/>
  <c r="U1201" i="25"/>
  <c r="K1151" i="25"/>
  <c r="V1151" i="25" l="1"/>
  <c r="T1151" i="25"/>
  <c r="J1203" i="25"/>
  <c r="U1202" i="25"/>
  <c r="K1152" i="25"/>
  <c r="V1152" i="25" l="1"/>
  <c r="T1152" i="25"/>
  <c r="J1204" i="25"/>
  <c r="U1203" i="25"/>
  <c r="K1153" i="25"/>
  <c r="V1153" i="25" l="1"/>
  <c r="T1153" i="25"/>
  <c r="J1205" i="25"/>
  <c r="U1204" i="25"/>
  <c r="K1154" i="25"/>
  <c r="V1154" i="25" l="1"/>
  <c r="T1154" i="25"/>
  <c r="J1206" i="25"/>
  <c r="U1205" i="25"/>
  <c r="K1155" i="25"/>
  <c r="V1155" i="25" l="1"/>
  <c r="T1155" i="25"/>
  <c r="J1207" i="25"/>
  <c r="U1206" i="25"/>
  <c r="K1156" i="25"/>
  <c r="V1156" i="25" l="1"/>
  <c r="T1156" i="25"/>
  <c r="J1208" i="25"/>
  <c r="U1207" i="25"/>
  <c r="K1157" i="25"/>
  <c r="V1157" i="25" l="1"/>
  <c r="T1157" i="25"/>
  <c r="J1209" i="25"/>
  <c r="U1208" i="25"/>
  <c r="K1158" i="25"/>
  <c r="V1158" i="25" l="1"/>
  <c r="T1158" i="25"/>
  <c r="J1210" i="25"/>
  <c r="U1209" i="25"/>
  <c r="K1159" i="25"/>
  <c r="V1159" i="25" l="1"/>
  <c r="T1159" i="25"/>
  <c r="J1211" i="25"/>
  <c r="U1210" i="25"/>
  <c r="K1160" i="25"/>
  <c r="V1160" i="25" l="1"/>
  <c r="T1160" i="25"/>
  <c r="J1212" i="25"/>
  <c r="U1211" i="25"/>
  <c r="K1161" i="25"/>
  <c r="V1161" i="25" l="1"/>
  <c r="T1161" i="25"/>
  <c r="J1213" i="25"/>
  <c r="U1212" i="25"/>
  <c r="K1162" i="25"/>
  <c r="V1162" i="25" l="1"/>
  <c r="T1162" i="25"/>
  <c r="J1214" i="25"/>
  <c r="U1213" i="25"/>
  <c r="K1163" i="25"/>
  <c r="V1163" i="25" l="1"/>
  <c r="T1163" i="25"/>
  <c r="J1215" i="25"/>
  <c r="U1214" i="25"/>
  <c r="K1164" i="25"/>
  <c r="V1164" i="25" l="1"/>
  <c r="T1164" i="25"/>
  <c r="J1216" i="25"/>
  <c r="U1215" i="25"/>
  <c r="K1165" i="25"/>
  <c r="V1165" i="25" l="1"/>
  <c r="T1165" i="25"/>
  <c r="J1217" i="25"/>
  <c r="U1216" i="25"/>
  <c r="K1166" i="25"/>
  <c r="V1166" i="25" l="1"/>
  <c r="T1166" i="25"/>
  <c r="J1218" i="25"/>
  <c r="U1217" i="25"/>
  <c r="K1167" i="25"/>
  <c r="V1167" i="25" l="1"/>
  <c r="T1167" i="25"/>
  <c r="J1219" i="25"/>
  <c r="U1218" i="25"/>
  <c r="K1168" i="25"/>
  <c r="V1168" i="25" l="1"/>
  <c r="T1168" i="25"/>
  <c r="J1220" i="25"/>
  <c r="U1219" i="25"/>
  <c r="K1169" i="25"/>
  <c r="V1169" i="25" l="1"/>
  <c r="T1169" i="25"/>
  <c r="J1221" i="25"/>
  <c r="U1220" i="25"/>
  <c r="K1170" i="25"/>
  <c r="V1170" i="25" l="1"/>
  <c r="T1170" i="25"/>
  <c r="J1222" i="25"/>
  <c r="U1221" i="25"/>
  <c r="K1171" i="25"/>
  <c r="V1171" i="25" l="1"/>
  <c r="T1171" i="25"/>
  <c r="J1223" i="25"/>
  <c r="U1222" i="25"/>
  <c r="K1172" i="25"/>
  <c r="V1172" i="25" l="1"/>
  <c r="T1172" i="25"/>
  <c r="J1224" i="25"/>
  <c r="U1223" i="25"/>
  <c r="K1173" i="25"/>
  <c r="V1173" i="25" l="1"/>
  <c r="T1173" i="25"/>
  <c r="J1225" i="25"/>
  <c r="U1224" i="25"/>
  <c r="K1174" i="25"/>
  <c r="V1174" i="25" l="1"/>
  <c r="T1174" i="25"/>
  <c r="J1226" i="25"/>
  <c r="U1225" i="25"/>
  <c r="K1175" i="25"/>
  <c r="V1175" i="25" l="1"/>
  <c r="T1175" i="25"/>
  <c r="J1227" i="25"/>
  <c r="U1226" i="25"/>
  <c r="K1176" i="25"/>
  <c r="V1176" i="25" l="1"/>
  <c r="T1176" i="25"/>
  <c r="J1228" i="25"/>
  <c r="U1227" i="25"/>
  <c r="K1177" i="25"/>
  <c r="V1177" i="25" l="1"/>
  <c r="T1177" i="25"/>
  <c r="J1229" i="25"/>
  <c r="U1228" i="25"/>
  <c r="K1178" i="25"/>
  <c r="V1178" i="25" l="1"/>
  <c r="T1178" i="25"/>
  <c r="J1230" i="25"/>
  <c r="U1229" i="25"/>
  <c r="K1179" i="25"/>
  <c r="V1179" i="25" l="1"/>
  <c r="T1179" i="25"/>
  <c r="J1231" i="25"/>
  <c r="U1230" i="25"/>
  <c r="K1180" i="25"/>
  <c r="V1180" i="25" l="1"/>
  <c r="T1180" i="25"/>
  <c r="J1232" i="25"/>
  <c r="U1231" i="25"/>
  <c r="K1181" i="25"/>
  <c r="V1181" i="25" l="1"/>
  <c r="T1181" i="25"/>
  <c r="J1233" i="25"/>
  <c r="U1232" i="25"/>
  <c r="K1182" i="25"/>
  <c r="V1182" i="25" l="1"/>
  <c r="T1182" i="25"/>
  <c r="J1234" i="25"/>
  <c r="U1233" i="25"/>
  <c r="K1183" i="25"/>
  <c r="V1183" i="25" l="1"/>
  <c r="T1183" i="25"/>
  <c r="J1235" i="25"/>
  <c r="U1234" i="25"/>
  <c r="K1184" i="25"/>
  <c r="V1184" i="25" l="1"/>
  <c r="T1184" i="25"/>
  <c r="J1236" i="25"/>
  <c r="U1235" i="25"/>
  <c r="K1185" i="25"/>
  <c r="V1185" i="25" l="1"/>
  <c r="T1185" i="25"/>
  <c r="J1237" i="25"/>
  <c r="U1236" i="25"/>
  <c r="K1186" i="25"/>
  <c r="V1186" i="25" l="1"/>
  <c r="T1186" i="25"/>
  <c r="J1238" i="25"/>
  <c r="U1237" i="25"/>
  <c r="K1187" i="25"/>
  <c r="V1187" i="25" l="1"/>
  <c r="T1187" i="25"/>
  <c r="J1239" i="25"/>
  <c r="U1238" i="25"/>
  <c r="K1188" i="25"/>
  <c r="V1188" i="25" l="1"/>
  <c r="T1188" i="25"/>
  <c r="J1240" i="25"/>
  <c r="U1239" i="25"/>
  <c r="K1189" i="25"/>
  <c r="V1189" i="25" l="1"/>
  <c r="T1189" i="25"/>
  <c r="J1241" i="25"/>
  <c r="U1240" i="25"/>
  <c r="K1190" i="25"/>
  <c r="V1190" i="25" l="1"/>
  <c r="T1190" i="25"/>
  <c r="J1242" i="25"/>
  <c r="U1241" i="25"/>
  <c r="K1191" i="25"/>
  <c r="V1191" i="25" l="1"/>
  <c r="T1191" i="25"/>
  <c r="J1243" i="25"/>
  <c r="U1242" i="25"/>
  <c r="K1192" i="25"/>
  <c r="V1192" i="25" l="1"/>
  <c r="T1192" i="25"/>
  <c r="J1244" i="25"/>
  <c r="U1243" i="25"/>
  <c r="K1193" i="25"/>
  <c r="V1193" i="25" l="1"/>
  <c r="T1193" i="25"/>
  <c r="J1245" i="25"/>
  <c r="U1244" i="25"/>
  <c r="K1194" i="25"/>
  <c r="V1194" i="25" l="1"/>
  <c r="T1194" i="25"/>
  <c r="J1246" i="25"/>
  <c r="U1245" i="25"/>
  <c r="K1195" i="25"/>
  <c r="V1195" i="25" l="1"/>
  <c r="T1195" i="25"/>
  <c r="J1247" i="25"/>
  <c r="U1246" i="25"/>
  <c r="K1196" i="25"/>
  <c r="V1196" i="25" l="1"/>
  <c r="T1196" i="25"/>
  <c r="J1248" i="25"/>
  <c r="U1247" i="25"/>
  <c r="K1197" i="25"/>
  <c r="V1197" i="25" l="1"/>
  <c r="K1198" i="25"/>
  <c r="T1197" i="25"/>
  <c r="J1249" i="25"/>
  <c r="U1248" i="25"/>
  <c r="V1198" i="25" l="1"/>
  <c r="T1198" i="25"/>
  <c r="J1250" i="25"/>
  <c r="U1249" i="25"/>
  <c r="K1199" i="25"/>
  <c r="V1199" i="25" l="1"/>
  <c r="T1199" i="25"/>
  <c r="J1251" i="25"/>
  <c r="U1250" i="25"/>
  <c r="K1200" i="25"/>
  <c r="V1200" i="25" l="1"/>
  <c r="T1200" i="25"/>
  <c r="J1252" i="25"/>
  <c r="U1251" i="25"/>
  <c r="T1201" i="25" l="1"/>
  <c r="K1201" i="25"/>
  <c r="V1201" i="25" s="1"/>
  <c r="J1253" i="25"/>
  <c r="U1252" i="25"/>
  <c r="K1202" i="25"/>
  <c r="V1202" i="25" l="1"/>
  <c r="T1202" i="25"/>
  <c r="J1254" i="25"/>
  <c r="U1253" i="25"/>
  <c r="K1203" i="25"/>
  <c r="V1203" i="25" l="1"/>
  <c r="T1203" i="25"/>
  <c r="J1255" i="25"/>
  <c r="U1254" i="25"/>
  <c r="K1204" i="25"/>
  <c r="V1204" i="25" l="1"/>
  <c r="T1204" i="25"/>
  <c r="J1256" i="25"/>
  <c r="U1255" i="25"/>
  <c r="T1205" i="25" l="1"/>
  <c r="K1205" i="25"/>
  <c r="V1205" i="25" s="1"/>
  <c r="J1257" i="25"/>
  <c r="U1256" i="25"/>
  <c r="K1206" i="25"/>
  <c r="V1206" i="25" l="1"/>
  <c r="T1206" i="25"/>
  <c r="J1258" i="25"/>
  <c r="U1257" i="25"/>
  <c r="T1207" i="25" l="1"/>
  <c r="K1207" i="25"/>
  <c r="V1207" i="25" s="1"/>
  <c r="J1259" i="25"/>
  <c r="U1258" i="25"/>
  <c r="K1208" i="25"/>
  <c r="V1208" i="25" l="1"/>
  <c r="T1208" i="25"/>
  <c r="J1260" i="25"/>
  <c r="U1259" i="25"/>
  <c r="K1209" i="25"/>
  <c r="V1209" i="25" l="1"/>
  <c r="T1209" i="25"/>
  <c r="J1261" i="25"/>
  <c r="U1260" i="25"/>
  <c r="K1210" i="25"/>
  <c r="V1210" i="25" l="1"/>
  <c r="T1210" i="25"/>
  <c r="J1262" i="25"/>
  <c r="U1261" i="25"/>
  <c r="K1211" i="25"/>
  <c r="V1211" i="25" l="1"/>
  <c r="T1211" i="25"/>
  <c r="J1263" i="25"/>
  <c r="U1262" i="25"/>
  <c r="K1212" i="25"/>
  <c r="V1212" i="25" l="1"/>
  <c r="T1212" i="25"/>
  <c r="J1264" i="25"/>
  <c r="U1263" i="25"/>
  <c r="K1213" i="25"/>
  <c r="V1213" i="25" l="1"/>
  <c r="T1213" i="25"/>
  <c r="J1265" i="25"/>
  <c r="U1264" i="25"/>
  <c r="K1214" i="25"/>
  <c r="V1214" i="25" l="1"/>
  <c r="T1214" i="25"/>
  <c r="J1266" i="25"/>
  <c r="U1265" i="25"/>
  <c r="K1215" i="25"/>
  <c r="V1215" i="25" l="1"/>
  <c r="T1215" i="25"/>
  <c r="J1267" i="25"/>
  <c r="U1266" i="25"/>
  <c r="K1216" i="25"/>
  <c r="V1216" i="25" l="1"/>
  <c r="T1216" i="25"/>
  <c r="J1268" i="25"/>
  <c r="U1267" i="25"/>
  <c r="K1217" i="25"/>
  <c r="V1217" i="25" l="1"/>
  <c r="T1217" i="25"/>
  <c r="J1269" i="25"/>
  <c r="U1268" i="25"/>
  <c r="K1218" i="25"/>
  <c r="V1218" i="25" l="1"/>
  <c r="T1218" i="25"/>
  <c r="J1270" i="25"/>
  <c r="U1269" i="25"/>
  <c r="K1219" i="25"/>
  <c r="V1219" i="25" l="1"/>
  <c r="T1219" i="25"/>
  <c r="J1271" i="25"/>
  <c r="U1270" i="25"/>
  <c r="K1220" i="25"/>
  <c r="V1220" i="25" l="1"/>
  <c r="T1220" i="25"/>
  <c r="J1272" i="25"/>
  <c r="U1271" i="25"/>
  <c r="K1221" i="25"/>
  <c r="V1221" i="25" l="1"/>
  <c r="T1221" i="25"/>
  <c r="J1273" i="25"/>
  <c r="U1272" i="25"/>
  <c r="K1222" i="25"/>
  <c r="V1222" i="25" l="1"/>
  <c r="T1222" i="25"/>
  <c r="J1274" i="25"/>
  <c r="U1273" i="25"/>
  <c r="K1223" i="25"/>
  <c r="V1223" i="25" l="1"/>
  <c r="T1223" i="25"/>
  <c r="J1275" i="25"/>
  <c r="U1274" i="25"/>
  <c r="K1224" i="25"/>
  <c r="V1224" i="25" l="1"/>
  <c r="T1224" i="25"/>
  <c r="J1276" i="25"/>
  <c r="U1275" i="25"/>
  <c r="K1225" i="25"/>
  <c r="V1225" i="25" l="1"/>
  <c r="T1225" i="25"/>
  <c r="J1277" i="25"/>
  <c r="U1276" i="25"/>
  <c r="K1226" i="25"/>
  <c r="V1226" i="25" l="1"/>
  <c r="T1226" i="25"/>
  <c r="J1278" i="25"/>
  <c r="U1277" i="25"/>
  <c r="K1227" i="25"/>
  <c r="V1227" i="25" l="1"/>
  <c r="T1227" i="25"/>
  <c r="J1279" i="25"/>
  <c r="U1278" i="25"/>
  <c r="K1228" i="25"/>
  <c r="V1228" i="25" l="1"/>
  <c r="T1228" i="25"/>
  <c r="J1280" i="25"/>
  <c r="U1279" i="25"/>
  <c r="K1229" i="25"/>
  <c r="V1229" i="25" l="1"/>
  <c r="T1229" i="25"/>
  <c r="J1281" i="25"/>
  <c r="U1280" i="25"/>
  <c r="K1230" i="25"/>
  <c r="V1230" i="25" l="1"/>
  <c r="T1230" i="25"/>
  <c r="J1282" i="25"/>
  <c r="U1281" i="25"/>
  <c r="K1231" i="25"/>
  <c r="V1231" i="25" l="1"/>
  <c r="T1231" i="25"/>
  <c r="J1283" i="25"/>
  <c r="U1282" i="25"/>
  <c r="K1232" i="25"/>
  <c r="V1232" i="25" l="1"/>
  <c r="T1232" i="25"/>
  <c r="J1284" i="25"/>
  <c r="U1283" i="25"/>
  <c r="K1233" i="25"/>
  <c r="V1233" i="25" l="1"/>
  <c r="T1233" i="25"/>
  <c r="J1285" i="25"/>
  <c r="U1284" i="25"/>
  <c r="K1234" i="25"/>
  <c r="V1234" i="25" l="1"/>
  <c r="T1234" i="25"/>
  <c r="J1286" i="25"/>
  <c r="U1285" i="25"/>
  <c r="K1235" i="25"/>
  <c r="V1235" i="25" l="1"/>
  <c r="T1235" i="25"/>
  <c r="J1287" i="25"/>
  <c r="U1286" i="25"/>
  <c r="K1236" i="25"/>
  <c r="V1236" i="25" l="1"/>
  <c r="T1236" i="25"/>
  <c r="J1288" i="25"/>
  <c r="U1287" i="25"/>
  <c r="K1237" i="25"/>
  <c r="V1237" i="25" l="1"/>
  <c r="T1237" i="25"/>
  <c r="J1289" i="25"/>
  <c r="U1288" i="25"/>
  <c r="K1238" i="25"/>
  <c r="V1238" i="25" l="1"/>
  <c r="T1238" i="25"/>
  <c r="J1290" i="25"/>
  <c r="U1289" i="25"/>
  <c r="K1239" i="25"/>
  <c r="V1239" i="25" l="1"/>
  <c r="T1239" i="25"/>
  <c r="J1291" i="25"/>
  <c r="U1290" i="25"/>
  <c r="K1240" i="25"/>
  <c r="V1240" i="25" l="1"/>
  <c r="T1240" i="25"/>
  <c r="J1292" i="25"/>
  <c r="U1291" i="25"/>
  <c r="K1241" i="25"/>
  <c r="V1241" i="25" l="1"/>
  <c r="T1241" i="25"/>
  <c r="J1293" i="25"/>
  <c r="U1292" i="25"/>
  <c r="K1242" i="25"/>
  <c r="V1242" i="25" l="1"/>
  <c r="T1242" i="25"/>
  <c r="J1294" i="25"/>
  <c r="U1293" i="25"/>
  <c r="K1243" i="25"/>
  <c r="V1243" i="25" l="1"/>
  <c r="T1243" i="25"/>
  <c r="J1295" i="25"/>
  <c r="U1294" i="25"/>
  <c r="K1244" i="25"/>
  <c r="V1244" i="25" l="1"/>
  <c r="T1244" i="25"/>
  <c r="J1296" i="25"/>
  <c r="U1295" i="25"/>
  <c r="K1245" i="25"/>
  <c r="V1245" i="25" l="1"/>
  <c r="T1245" i="25"/>
  <c r="J1297" i="25"/>
  <c r="U1296" i="25"/>
  <c r="K1246" i="25"/>
  <c r="V1246" i="25" l="1"/>
  <c r="T1246" i="25"/>
  <c r="J1298" i="25"/>
  <c r="U1297" i="25"/>
  <c r="K1247" i="25"/>
  <c r="V1247" i="25" l="1"/>
  <c r="T1247" i="25"/>
  <c r="J1299" i="25"/>
  <c r="U1298" i="25"/>
  <c r="K1248" i="25"/>
  <c r="V1248" i="25" l="1"/>
  <c r="T1248" i="25"/>
  <c r="J1300" i="25"/>
  <c r="U1299" i="25"/>
  <c r="K1249" i="25"/>
  <c r="V1249" i="25" l="1"/>
  <c r="T1249" i="25"/>
  <c r="J1301" i="25"/>
  <c r="U1300" i="25"/>
  <c r="K1250" i="25"/>
  <c r="V1250" i="25" l="1"/>
  <c r="T1250" i="25"/>
  <c r="J1302" i="25"/>
  <c r="U1301" i="25"/>
  <c r="K1251" i="25"/>
  <c r="V1251" i="25" l="1"/>
  <c r="T1251" i="25"/>
  <c r="J1303" i="25"/>
  <c r="U1302" i="25"/>
  <c r="K1252" i="25"/>
  <c r="V1252" i="25" l="1"/>
  <c r="T1252" i="25"/>
  <c r="J1304" i="25"/>
  <c r="U1303" i="25"/>
  <c r="K1253" i="25"/>
  <c r="V1253" i="25" l="1"/>
  <c r="T1253" i="25"/>
  <c r="J1305" i="25"/>
  <c r="U1304" i="25"/>
  <c r="K1254" i="25"/>
  <c r="V1254" i="25" l="1"/>
  <c r="T1254" i="25"/>
  <c r="J1306" i="25"/>
  <c r="U1305" i="25"/>
  <c r="K1255" i="25"/>
  <c r="V1255" i="25" l="1"/>
  <c r="T1255" i="25"/>
  <c r="J1307" i="25"/>
  <c r="U1306" i="25"/>
  <c r="K1256" i="25"/>
  <c r="V1256" i="25" l="1"/>
  <c r="T1256" i="25"/>
  <c r="J1308" i="25"/>
  <c r="U1307" i="25"/>
  <c r="K1257" i="25"/>
  <c r="V1257" i="25" l="1"/>
  <c r="T1257" i="25"/>
  <c r="J1309" i="25"/>
  <c r="U1308" i="25"/>
  <c r="K1258" i="25"/>
  <c r="V1258" i="25" l="1"/>
  <c r="T1258" i="25"/>
  <c r="J1310" i="25"/>
  <c r="U1309" i="25"/>
  <c r="K1259" i="25"/>
  <c r="V1259" i="25" l="1"/>
  <c r="T1259" i="25"/>
  <c r="J1311" i="25"/>
  <c r="U1310" i="25"/>
  <c r="K1260" i="25"/>
  <c r="V1260" i="25" l="1"/>
  <c r="T1260" i="25"/>
  <c r="J1312" i="25"/>
  <c r="U1311" i="25"/>
  <c r="K1261" i="25"/>
  <c r="V1261" i="25" l="1"/>
  <c r="T1261" i="25"/>
  <c r="J1313" i="25"/>
  <c r="U1312" i="25"/>
  <c r="K1262" i="25"/>
  <c r="V1262" i="25" l="1"/>
  <c r="T1262" i="25"/>
  <c r="J1314" i="25"/>
  <c r="U1313" i="25"/>
  <c r="K1263" i="25"/>
  <c r="V1263" i="25" l="1"/>
  <c r="T1263" i="25"/>
  <c r="J1315" i="25"/>
  <c r="U1314" i="25"/>
  <c r="K1264" i="25"/>
  <c r="V1264" i="25" l="1"/>
  <c r="T1264" i="25"/>
  <c r="J1316" i="25"/>
  <c r="U1315" i="25"/>
  <c r="K1265" i="25"/>
  <c r="V1265" i="25" l="1"/>
  <c r="T1265" i="25"/>
  <c r="J1317" i="25"/>
  <c r="U1316" i="25"/>
  <c r="K1266" i="25"/>
  <c r="V1266" i="25" l="1"/>
  <c r="T1266" i="25"/>
  <c r="J1318" i="25"/>
  <c r="U1317" i="25"/>
  <c r="K1267" i="25"/>
  <c r="V1267" i="25" l="1"/>
  <c r="T1267" i="25"/>
  <c r="J1319" i="25"/>
  <c r="U1318" i="25"/>
  <c r="K1268" i="25"/>
  <c r="V1268" i="25" l="1"/>
  <c r="T1268" i="25"/>
  <c r="J1320" i="25"/>
  <c r="U1319" i="25"/>
  <c r="K1269" i="25"/>
  <c r="V1269" i="25" l="1"/>
  <c r="T1269" i="25"/>
  <c r="J1321" i="25"/>
  <c r="U1320" i="25"/>
  <c r="K1270" i="25"/>
  <c r="V1270" i="25" l="1"/>
  <c r="T1270" i="25"/>
  <c r="J1322" i="25"/>
  <c r="U1321" i="25"/>
  <c r="K1271" i="25"/>
  <c r="V1271" i="25" l="1"/>
  <c r="T1271" i="25"/>
  <c r="J1323" i="25"/>
  <c r="U1322" i="25"/>
  <c r="K1272" i="25"/>
  <c r="V1272" i="25" l="1"/>
  <c r="T1272" i="25"/>
  <c r="J1324" i="25"/>
  <c r="U1323" i="25"/>
  <c r="K1273" i="25"/>
  <c r="V1273" i="25" l="1"/>
  <c r="T1273" i="25"/>
  <c r="J1325" i="25"/>
  <c r="U1324" i="25"/>
  <c r="K1274" i="25"/>
  <c r="V1274" i="25" l="1"/>
  <c r="T1274" i="25"/>
  <c r="J1326" i="25"/>
  <c r="U1325" i="25"/>
  <c r="K1275" i="25"/>
  <c r="V1275" i="25" l="1"/>
  <c r="T1275" i="25"/>
  <c r="J1327" i="25"/>
  <c r="U1326" i="25"/>
  <c r="K1276" i="25"/>
  <c r="V1276" i="25" l="1"/>
  <c r="T1276" i="25"/>
  <c r="J1328" i="25"/>
  <c r="U1327" i="25"/>
  <c r="K1277" i="25"/>
  <c r="V1277" i="25" l="1"/>
  <c r="T1277" i="25"/>
  <c r="J1329" i="25"/>
  <c r="U1328" i="25"/>
  <c r="K1278" i="25"/>
  <c r="V1278" i="25" l="1"/>
  <c r="T1278" i="25"/>
  <c r="J1330" i="25"/>
  <c r="U1329" i="25"/>
  <c r="K1279" i="25"/>
  <c r="V1279" i="25" l="1"/>
  <c r="T1279" i="25"/>
  <c r="J1331" i="25"/>
  <c r="U1330" i="25"/>
  <c r="K1280" i="25"/>
  <c r="V1280" i="25" l="1"/>
  <c r="T1280" i="25"/>
  <c r="J1332" i="25"/>
  <c r="U1331" i="25"/>
  <c r="K1281" i="25"/>
  <c r="V1281" i="25" l="1"/>
  <c r="T1281" i="25"/>
  <c r="J1333" i="25"/>
  <c r="U1332" i="25"/>
  <c r="K1282" i="25"/>
  <c r="V1282" i="25" l="1"/>
  <c r="T1282" i="25"/>
  <c r="J1334" i="25"/>
  <c r="U1333" i="25"/>
  <c r="K1283" i="25"/>
  <c r="V1283" i="25" l="1"/>
  <c r="T1283" i="25"/>
  <c r="J1335" i="25"/>
  <c r="U1334" i="25"/>
  <c r="K1284" i="25"/>
  <c r="V1284" i="25" l="1"/>
  <c r="T1284" i="25"/>
  <c r="J1336" i="25"/>
  <c r="U1335" i="25"/>
  <c r="K1285" i="25"/>
  <c r="V1285" i="25" l="1"/>
  <c r="T1285" i="25"/>
  <c r="J1337" i="25"/>
  <c r="U1336" i="25"/>
  <c r="K1286" i="25"/>
  <c r="V1286" i="25" l="1"/>
  <c r="T1286" i="25"/>
  <c r="J1338" i="25"/>
  <c r="U1337" i="25"/>
  <c r="K1287" i="25"/>
  <c r="V1287" i="25" l="1"/>
  <c r="T1287" i="25"/>
  <c r="J1339" i="25"/>
  <c r="U1338" i="25"/>
  <c r="K1288" i="25"/>
  <c r="V1288" i="25" l="1"/>
  <c r="T1288" i="25"/>
  <c r="J1340" i="25"/>
  <c r="U1339" i="25"/>
  <c r="K1289" i="25"/>
  <c r="V1289" i="25" l="1"/>
  <c r="T1289" i="25"/>
  <c r="J1341" i="25"/>
  <c r="U1340" i="25"/>
  <c r="T1290" i="25" l="1"/>
  <c r="K1290" i="25"/>
  <c r="V1290" i="25" s="1"/>
  <c r="J1342" i="25"/>
  <c r="U1341" i="25"/>
  <c r="K1291" i="25"/>
  <c r="V1291" i="25" l="1"/>
  <c r="T1291" i="25"/>
  <c r="J1343" i="25"/>
  <c r="U1342" i="25"/>
  <c r="K1292" i="25"/>
  <c r="V1292" i="25" l="1"/>
  <c r="T1292" i="25"/>
  <c r="J1344" i="25"/>
  <c r="U1343" i="25"/>
  <c r="K1293" i="25"/>
  <c r="V1293" i="25" l="1"/>
  <c r="T1293" i="25"/>
  <c r="J1345" i="25"/>
  <c r="U1344" i="25"/>
  <c r="T1294" i="25" l="1"/>
  <c r="K1294" i="25"/>
  <c r="V1294" i="25" s="1"/>
  <c r="J1346" i="25"/>
  <c r="U1345" i="25"/>
  <c r="K1295" i="25"/>
  <c r="V1295" i="25" l="1"/>
  <c r="T1295" i="25"/>
  <c r="J1347" i="25"/>
  <c r="U1346" i="25"/>
  <c r="K1297" i="25" l="1"/>
  <c r="T1296" i="25"/>
  <c r="K1296" i="25"/>
  <c r="V1296" i="25" s="1"/>
  <c r="J1348" i="25"/>
  <c r="U1347" i="25"/>
  <c r="V1297" i="25" l="1"/>
  <c r="T1297" i="25"/>
  <c r="J1349" i="25"/>
  <c r="U1348" i="25"/>
  <c r="K1298" i="25"/>
  <c r="V1298" i="25" l="1"/>
  <c r="T1298" i="25"/>
  <c r="J1350" i="25"/>
  <c r="U1349" i="25"/>
  <c r="K1299" i="25"/>
  <c r="V1299" i="25" l="1"/>
  <c r="T1299" i="25"/>
  <c r="J1351" i="25"/>
  <c r="U1350" i="25"/>
  <c r="K1300" i="25"/>
  <c r="V1300" i="25" l="1"/>
  <c r="T1300" i="25"/>
  <c r="J1352" i="25"/>
  <c r="U1351" i="25"/>
  <c r="K1301" i="25"/>
  <c r="V1301" i="25" l="1"/>
  <c r="T1301" i="25"/>
  <c r="J1353" i="25"/>
  <c r="U1352" i="25"/>
  <c r="K1302" i="25"/>
  <c r="V1302" i="25" l="1"/>
  <c r="T1302" i="25"/>
  <c r="J1354" i="25"/>
  <c r="U1353" i="25"/>
  <c r="T1303" i="25" l="1"/>
  <c r="K1303" i="25"/>
  <c r="V1303" i="25" s="1"/>
  <c r="J1355" i="25"/>
  <c r="U1354" i="25"/>
  <c r="K1304" i="25"/>
  <c r="V1304" i="25" l="1"/>
  <c r="T1304" i="25"/>
  <c r="J1356" i="25"/>
  <c r="U1355" i="25"/>
  <c r="K1305" i="25"/>
  <c r="V1305" i="25" l="1"/>
  <c r="T1305" i="25"/>
  <c r="J1357" i="25"/>
  <c r="U1356" i="25"/>
  <c r="K1306" i="25"/>
  <c r="V1306" i="25" l="1"/>
  <c r="T1306" i="25"/>
  <c r="J1358" i="25"/>
  <c r="U1357" i="25"/>
  <c r="K1307" i="25"/>
  <c r="V1307" i="25" l="1"/>
  <c r="T1307" i="25"/>
  <c r="J1359" i="25"/>
  <c r="U1358" i="25"/>
  <c r="K1308" i="25"/>
  <c r="V1308" i="25" l="1"/>
  <c r="T1308" i="25"/>
  <c r="J1360" i="25"/>
  <c r="U1359" i="25"/>
  <c r="K1309" i="25"/>
  <c r="V1309" i="25" l="1"/>
  <c r="T1309" i="25"/>
  <c r="J1361" i="25"/>
  <c r="U1360" i="25"/>
  <c r="K1310" i="25"/>
  <c r="V1310" i="25" l="1"/>
  <c r="T1310" i="25"/>
  <c r="J1362" i="25"/>
  <c r="U1361" i="25"/>
  <c r="K1311" i="25"/>
  <c r="V1311" i="25" l="1"/>
  <c r="T1311" i="25"/>
  <c r="J1363" i="25"/>
  <c r="U1362" i="25"/>
  <c r="K1312" i="25"/>
  <c r="V1312" i="25" l="1"/>
  <c r="T1312" i="25"/>
  <c r="J1364" i="25"/>
  <c r="U1363" i="25"/>
  <c r="K1313" i="25"/>
  <c r="V1313" i="25" l="1"/>
  <c r="T1313" i="25"/>
  <c r="J1365" i="25"/>
  <c r="U1364" i="25"/>
  <c r="K1314" i="25"/>
  <c r="V1314" i="25" l="1"/>
  <c r="T1314" i="25"/>
  <c r="J1366" i="25"/>
  <c r="U1365" i="25"/>
  <c r="K1315" i="25"/>
  <c r="V1315" i="25" l="1"/>
  <c r="T1315" i="25"/>
  <c r="J1367" i="25"/>
  <c r="U1366" i="25"/>
  <c r="K1316" i="25"/>
  <c r="V1316" i="25" l="1"/>
  <c r="T1316" i="25"/>
  <c r="J1368" i="25"/>
  <c r="U1367" i="25"/>
  <c r="K1317" i="25"/>
  <c r="V1317" i="25" l="1"/>
  <c r="T1317" i="25"/>
  <c r="J1369" i="25"/>
  <c r="U1368" i="25"/>
  <c r="K1318" i="25"/>
  <c r="V1318" i="25" l="1"/>
  <c r="T1318" i="25"/>
  <c r="J1370" i="25"/>
  <c r="U1369" i="25"/>
  <c r="K1319" i="25"/>
  <c r="V1319" i="25" l="1"/>
  <c r="T1319" i="25"/>
  <c r="J1371" i="25"/>
  <c r="U1370" i="25"/>
  <c r="K1320" i="25"/>
  <c r="V1320" i="25" l="1"/>
  <c r="T1320" i="25"/>
  <c r="J1372" i="25"/>
  <c r="U1371" i="25"/>
  <c r="K1321" i="25"/>
  <c r="V1321" i="25" l="1"/>
  <c r="T1321" i="25"/>
  <c r="J1373" i="25"/>
  <c r="U1372" i="25"/>
  <c r="K1322" i="25"/>
  <c r="V1322" i="25" l="1"/>
  <c r="T1322" i="25"/>
  <c r="J1374" i="25"/>
  <c r="U1373" i="25"/>
  <c r="K1323" i="25"/>
  <c r="V1323" i="25" l="1"/>
  <c r="T1323" i="25"/>
  <c r="J1375" i="25"/>
  <c r="U1374" i="25"/>
  <c r="K1324" i="25"/>
  <c r="V1324" i="25" l="1"/>
  <c r="T1324" i="25"/>
  <c r="J1376" i="25"/>
  <c r="U1375" i="25"/>
  <c r="K1325" i="25"/>
  <c r="V1325" i="25" l="1"/>
  <c r="T1325" i="25"/>
  <c r="J1377" i="25"/>
  <c r="U1376" i="25"/>
  <c r="K1326" i="25"/>
  <c r="V1326" i="25" l="1"/>
  <c r="T1326" i="25"/>
  <c r="J1378" i="25"/>
  <c r="U1377" i="25"/>
  <c r="K1327" i="25"/>
  <c r="V1327" i="25" l="1"/>
  <c r="T1327" i="25"/>
  <c r="J1379" i="25"/>
  <c r="U1378" i="25"/>
  <c r="K1328" i="25"/>
  <c r="V1328" i="25" l="1"/>
  <c r="T1328" i="25"/>
  <c r="J1380" i="25"/>
  <c r="U1379" i="25"/>
  <c r="K1329" i="25"/>
  <c r="V1329" i="25" l="1"/>
  <c r="T1329" i="25"/>
  <c r="J1381" i="25"/>
  <c r="U1380" i="25"/>
  <c r="K1330" i="25"/>
  <c r="V1330" i="25" l="1"/>
  <c r="T1330" i="25"/>
  <c r="J1382" i="25"/>
  <c r="U1381" i="25"/>
  <c r="K1331" i="25"/>
  <c r="V1331" i="25" l="1"/>
  <c r="T1331" i="25"/>
  <c r="J1383" i="25"/>
  <c r="U1382" i="25"/>
  <c r="K1332" i="25"/>
  <c r="V1332" i="25" l="1"/>
  <c r="T1332" i="25"/>
  <c r="J1384" i="25"/>
  <c r="U1383" i="25"/>
  <c r="K1333" i="25"/>
  <c r="V1333" i="25" l="1"/>
  <c r="T1333" i="25"/>
  <c r="J1385" i="25"/>
  <c r="U1384" i="25"/>
  <c r="K1334" i="25"/>
  <c r="V1334" i="25" l="1"/>
  <c r="T1334" i="25"/>
  <c r="J1386" i="25"/>
  <c r="U1385" i="25"/>
  <c r="K1335" i="25"/>
  <c r="V1335" i="25" l="1"/>
  <c r="K1336" i="25"/>
  <c r="T1335" i="25"/>
  <c r="J1387" i="25"/>
  <c r="U1386" i="25"/>
  <c r="V1336" i="25" l="1"/>
  <c r="T1336" i="25"/>
  <c r="J1388" i="25"/>
  <c r="U1387" i="25"/>
  <c r="K1337" i="25"/>
  <c r="V1337" i="25" l="1"/>
  <c r="T1337" i="25"/>
  <c r="J1389" i="25"/>
  <c r="U1388" i="25"/>
  <c r="K1338" i="25"/>
  <c r="V1338" i="25" l="1"/>
  <c r="T1338" i="25"/>
  <c r="J1390" i="25"/>
  <c r="U1389" i="25"/>
  <c r="K1339" i="25"/>
  <c r="V1339" i="25" l="1"/>
  <c r="T1339" i="25"/>
  <c r="J1391" i="25"/>
  <c r="U1390" i="25"/>
  <c r="K1340" i="25"/>
  <c r="V1340" i="25" l="1"/>
  <c r="T1340" i="25"/>
  <c r="J1392" i="25"/>
  <c r="U1391" i="25"/>
  <c r="K1341" i="25"/>
  <c r="V1341" i="25" l="1"/>
  <c r="T1341" i="25"/>
  <c r="J1393" i="25"/>
  <c r="U1392" i="25"/>
  <c r="K1342" i="25"/>
  <c r="V1342" i="25" l="1"/>
  <c r="T1342" i="25"/>
  <c r="J1394" i="25"/>
  <c r="U1393" i="25"/>
  <c r="K1343" i="25"/>
  <c r="V1343" i="25" l="1"/>
  <c r="T1343" i="25"/>
  <c r="J1395" i="25"/>
  <c r="U1394" i="25"/>
  <c r="K1344" i="25"/>
  <c r="V1344" i="25" l="1"/>
  <c r="T1344" i="25"/>
  <c r="J1396" i="25"/>
  <c r="U1395" i="25"/>
  <c r="K1345" i="25"/>
  <c r="V1345" i="25" l="1"/>
  <c r="T1345" i="25"/>
  <c r="J1397" i="25"/>
  <c r="U1396" i="25"/>
  <c r="K1346" i="25"/>
  <c r="V1346" i="25" l="1"/>
  <c r="T1346" i="25"/>
  <c r="J1398" i="25"/>
  <c r="U1397" i="25"/>
  <c r="K1347" i="25"/>
  <c r="V1347" i="25" l="1"/>
  <c r="T1347" i="25"/>
  <c r="J1399" i="25"/>
  <c r="U1398" i="25"/>
  <c r="K1348" i="25"/>
  <c r="V1348" i="25" l="1"/>
  <c r="T1348" i="25"/>
  <c r="J1400" i="25"/>
  <c r="U1399" i="25"/>
  <c r="K1349" i="25"/>
  <c r="V1349" i="25" l="1"/>
  <c r="T1349" i="25"/>
  <c r="J1401" i="25"/>
  <c r="U1400" i="25"/>
  <c r="K1350" i="25"/>
  <c r="V1350" i="25" l="1"/>
  <c r="T1350" i="25"/>
  <c r="J1402" i="25"/>
  <c r="U1401" i="25"/>
  <c r="K1351" i="25"/>
  <c r="V1351" i="25" l="1"/>
  <c r="T1351" i="25"/>
  <c r="J1403" i="25"/>
  <c r="U1402" i="25"/>
  <c r="K1352" i="25"/>
  <c r="V1352" i="25" l="1"/>
  <c r="T1352" i="25"/>
  <c r="J1404" i="25"/>
  <c r="U1403" i="25"/>
  <c r="K1353" i="25"/>
  <c r="V1353" i="25" l="1"/>
  <c r="T1353" i="25"/>
  <c r="J1405" i="25"/>
  <c r="U1404" i="25"/>
  <c r="K1354" i="25"/>
  <c r="V1354" i="25" l="1"/>
  <c r="T1354" i="25"/>
  <c r="J1406" i="25"/>
  <c r="U1405" i="25"/>
  <c r="K1355" i="25"/>
  <c r="V1355" i="25" l="1"/>
  <c r="T1355" i="25"/>
  <c r="J1407" i="25"/>
  <c r="U1406" i="25"/>
  <c r="K1356" i="25"/>
  <c r="V1356" i="25" l="1"/>
  <c r="T1356" i="25"/>
  <c r="J1408" i="25"/>
  <c r="U1407" i="25"/>
  <c r="K1357" i="25"/>
  <c r="V1357" i="25" l="1"/>
  <c r="T1357" i="25"/>
  <c r="J1409" i="25"/>
  <c r="U1408" i="25"/>
  <c r="K1358" i="25"/>
  <c r="V1358" i="25" l="1"/>
  <c r="T1358" i="25"/>
  <c r="J1410" i="25"/>
  <c r="U1409" i="25"/>
  <c r="K1359" i="25"/>
  <c r="V1359" i="25" l="1"/>
  <c r="T1359" i="25"/>
  <c r="J1411" i="25"/>
  <c r="U1410" i="25"/>
  <c r="K1360" i="25"/>
  <c r="V1360" i="25" l="1"/>
  <c r="T1360" i="25"/>
  <c r="J1412" i="25"/>
  <c r="U1411" i="25"/>
  <c r="K1361" i="25"/>
  <c r="V1361" i="25" l="1"/>
  <c r="T1361" i="25"/>
  <c r="J1413" i="25"/>
  <c r="U1412" i="25"/>
  <c r="K1362" i="25"/>
  <c r="V1362" i="25" l="1"/>
  <c r="T1362" i="25"/>
  <c r="J1414" i="25"/>
  <c r="U1413" i="25"/>
  <c r="K1363" i="25"/>
  <c r="V1363" i="25" l="1"/>
  <c r="T1363" i="25"/>
  <c r="J1415" i="25"/>
  <c r="U1414" i="25"/>
  <c r="K1364" i="25"/>
  <c r="V1364" i="25" l="1"/>
  <c r="T1364" i="25"/>
  <c r="J1416" i="25"/>
  <c r="U1415" i="25"/>
  <c r="K1365" i="25"/>
  <c r="V1365" i="25" l="1"/>
  <c r="T1365" i="25"/>
  <c r="J1417" i="25"/>
  <c r="U1416" i="25"/>
  <c r="K1366" i="25"/>
  <c r="V1366" i="25" l="1"/>
  <c r="T1366" i="25"/>
  <c r="J1418" i="25"/>
  <c r="U1417" i="25"/>
  <c r="K1367" i="25"/>
  <c r="V1367" i="25" l="1"/>
  <c r="T1367" i="25"/>
  <c r="J1419" i="25"/>
  <c r="U1418" i="25"/>
  <c r="K1368" i="25"/>
  <c r="V1368" i="25" l="1"/>
  <c r="T1368" i="25"/>
  <c r="J1420" i="25"/>
  <c r="U1419" i="25"/>
  <c r="K1369" i="25"/>
  <c r="V1369" i="25" l="1"/>
  <c r="T1369" i="25"/>
  <c r="J1421" i="25"/>
  <c r="U1420" i="25"/>
  <c r="K1370" i="25"/>
  <c r="V1370" i="25" l="1"/>
  <c r="T1370" i="25"/>
  <c r="J1422" i="25"/>
  <c r="U1421" i="25"/>
  <c r="K1371" i="25"/>
  <c r="V1371" i="25" l="1"/>
  <c r="T1371" i="25"/>
  <c r="J1423" i="25"/>
  <c r="U1422" i="25"/>
  <c r="K1372" i="25"/>
  <c r="V1372" i="25" l="1"/>
  <c r="T1372" i="25"/>
  <c r="J1424" i="25"/>
  <c r="U1423" i="25"/>
  <c r="K1373" i="25"/>
  <c r="V1373" i="25" l="1"/>
  <c r="T1373" i="25"/>
  <c r="J1425" i="25"/>
  <c r="U1424" i="25"/>
  <c r="K1374" i="25"/>
  <c r="V1374" i="25" l="1"/>
  <c r="T1374" i="25"/>
  <c r="J1426" i="25"/>
  <c r="U1425" i="25"/>
  <c r="K1375" i="25"/>
  <c r="V1375" i="25" l="1"/>
  <c r="T1375" i="25"/>
  <c r="J1427" i="25"/>
  <c r="U1426" i="25"/>
  <c r="K1376" i="25"/>
  <c r="V1376" i="25" l="1"/>
  <c r="T1376" i="25"/>
  <c r="J1428" i="25"/>
  <c r="U1427" i="25"/>
  <c r="K1377" i="25"/>
  <c r="V1377" i="25" l="1"/>
  <c r="T1377" i="25"/>
  <c r="J1429" i="25"/>
  <c r="U1428" i="25"/>
  <c r="K1378" i="25"/>
  <c r="V1378" i="25" l="1"/>
  <c r="T1378" i="25"/>
  <c r="J1430" i="25"/>
  <c r="U1429" i="25"/>
  <c r="K1379" i="25"/>
  <c r="V1379" i="25" l="1"/>
  <c r="T1379" i="25"/>
  <c r="J1431" i="25"/>
  <c r="U1430" i="25"/>
  <c r="K1380" i="25"/>
  <c r="V1380" i="25" l="1"/>
  <c r="T1380" i="25"/>
  <c r="J1432" i="25"/>
  <c r="U1431" i="25"/>
  <c r="K1381" i="25"/>
  <c r="V1381" i="25" l="1"/>
  <c r="T1381" i="25"/>
  <c r="J1433" i="25"/>
  <c r="U1432" i="25"/>
  <c r="K1382" i="25"/>
  <c r="V1382" i="25" l="1"/>
  <c r="T1382" i="25"/>
  <c r="J1434" i="25"/>
  <c r="U1433" i="25"/>
  <c r="K1383" i="25"/>
  <c r="V1383" i="25" l="1"/>
  <c r="T1383" i="25"/>
  <c r="J1435" i="25"/>
  <c r="U1434" i="25"/>
  <c r="K1384" i="25"/>
  <c r="V1384" i="25" l="1"/>
  <c r="T1384" i="25"/>
  <c r="J1436" i="25"/>
  <c r="U1435" i="25"/>
  <c r="K1385" i="25"/>
  <c r="V1385" i="25" l="1"/>
  <c r="T1385" i="25"/>
  <c r="J1437" i="25"/>
  <c r="U1436" i="25"/>
  <c r="K1386" i="25"/>
  <c r="V1386" i="25" l="1"/>
  <c r="T1386" i="25"/>
  <c r="J1438" i="25"/>
  <c r="U1437" i="25"/>
  <c r="K1387" i="25"/>
  <c r="V1387" i="25" l="1"/>
  <c r="T1387" i="25"/>
  <c r="J1439" i="25"/>
  <c r="U1438" i="25"/>
  <c r="K1388" i="25"/>
  <c r="V1388" i="25" l="1"/>
  <c r="T1388" i="25"/>
  <c r="J1440" i="25"/>
  <c r="U1439" i="25"/>
  <c r="K1389" i="25"/>
  <c r="V1389" i="25" l="1"/>
  <c r="T1389" i="25"/>
  <c r="J1441" i="25"/>
  <c r="U1440" i="25"/>
  <c r="K1390" i="25"/>
  <c r="V1390" i="25" l="1"/>
  <c r="K1391" i="25"/>
  <c r="T1390" i="25"/>
  <c r="J1442" i="25"/>
  <c r="U1441" i="25"/>
  <c r="V1391" i="25" l="1"/>
  <c r="T1391" i="25"/>
  <c r="J1443" i="25"/>
  <c r="U1442" i="25"/>
  <c r="K1392" i="25"/>
  <c r="V1392" i="25" l="1"/>
  <c r="K1393" i="25"/>
  <c r="T1392" i="25"/>
  <c r="J1444" i="25"/>
  <c r="U1443" i="25"/>
  <c r="V1393" i="25" l="1"/>
  <c r="T1393" i="25"/>
  <c r="J1445" i="25"/>
  <c r="U1444" i="25"/>
  <c r="K1394" i="25"/>
  <c r="V1394" i="25" l="1"/>
  <c r="T1394" i="25"/>
  <c r="J1446" i="25"/>
  <c r="U1445" i="25"/>
  <c r="K1395" i="25"/>
  <c r="V1395" i="25" l="1"/>
  <c r="T1395" i="25"/>
  <c r="J1447" i="25"/>
  <c r="U1446" i="25"/>
  <c r="K1396" i="25"/>
  <c r="V1396" i="25" l="1"/>
  <c r="T1396" i="25"/>
  <c r="J1448" i="25"/>
  <c r="U1447" i="25"/>
  <c r="K1397" i="25"/>
  <c r="V1397" i="25" l="1"/>
  <c r="T1397" i="25"/>
  <c r="J1449" i="25"/>
  <c r="U1448" i="25"/>
  <c r="T1398" i="25" l="1"/>
  <c r="K1398" i="25"/>
  <c r="V1398" i="25" s="1"/>
  <c r="J1450" i="25"/>
  <c r="U1449" i="25"/>
  <c r="K1399" i="25"/>
  <c r="V1399" i="25" l="1"/>
  <c r="T1399" i="25"/>
  <c r="J1451" i="25"/>
  <c r="U1450" i="25"/>
  <c r="K1400" i="25"/>
  <c r="V1400" i="25" l="1"/>
  <c r="T1400" i="25"/>
  <c r="J1452" i="25"/>
  <c r="U1451" i="25"/>
  <c r="K1401" i="25"/>
  <c r="V1401" i="25" l="1"/>
  <c r="T1401" i="25"/>
  <c r="J1453" i="25"/>
  <c r="U1452" i="25"/>
  <c r="K1402" i="25"/>
  <c r="V1402" i="25" l="1"/>
  <c r="K1403" i="25"/>
  <c r="T1402" i="25"/>
  <c r="J1454" i="25"/>
  <c r="U1453" i="25"/>
  <c r="V1403" i="25" l="1"/>
  <c r="T1403" i="25"/>
  <c r="J1455" i="25"/>
  <c r="U1454" i="25"/>
  <c r="K1404" i="25"/>
  <c r="V1404" i="25" l="1"/>
  <c r="T1404" i="25"/>
  <c r="J1456" i="25"/>
  <c r="U1455" i="25"/>
  <c r="K1405" i="25"/>
  <c r="V1405" i="25" l="1"/>
  <c r="T1405" i="25"/>
  <c r="J1457" i="25"/>
  <c r="U1456" i="25"/>
  <c r="K1406" i="25"/>
  <c r="V1406" i="25" l="1"/>
  <c r="T1406" i="25"/>
  <c r="J1458" i="25"/>
  <c r="U1457" i="25"/>
  <c r="K1407" i="25"/>
  <c r="V1407" i="25" l="1"/>
  <c r="T1407" i="25"/>
  <c r="J1459" i="25"/>
  <c r="U1458" i="25"/>
  <c r="K1408" i="25"/>
  <c r="V1408" i="25" l="1"/>
  <c r="K1409" i="25"/>
  <c r="T1408" i="25"/>
  <c r="J1460" i="25"/>
  <c r="U1459" i="25"/>
  <c r="V1409" i="25" l="1"/>
  <c r="T1409" i="25"/>
  <c r="J1461" i="25"/>
  <c r="U1460" i="25"/>
  <c r="K1410" i="25"/>
  <c r="V1410" i="25" l="1"/>
  <c r="T1410" i="25"/>
  <c r="J1462" i="25"/>
  <c r="U1461" i="25"/>
  <c r="K1411" i="25"/>
  <c r="V1411" i="25" l="1"/>
  <c r="T1411" i="25"/>
  <c r="J1463" i="25"/>
  <c r="U1462" i="25"/>
  <c r="K1412" i="25"/>
  <c r="V1412" i="25" l="1"/>
  <c r="T1412" i="25"/>
  <c r="J1464" i="25"/>
  <c r="U1463" i="25"/>
  <c r="K1413" i="25"/>
  <c r="V1413" i="25" l="1"/>
  <c r="T1413" i="25"/>
  <c r="J1465" i="25"/>
  <c r="U1464" i="25"/>
  <c r="K1414" i="25"/>
  <c r="V1414" i="25" l="1"/>
  <c r="T1414" i="25"/>
  <c r="J1466" i="25"/>
  <c r="U1465" i="25"/>
  <c r="K1415" i="25"/>
  <c r="V1415" i="25" l="1"/>
  <c r="T1415" i="25"/>
  <c r="J1467" i="25"/>
  <c r="U1466" i="25"/>
  <c r="K1416" i="25"/>
  <c r="V1416" i="25" l="1"/>
  <c r="T1416" i="25"/>
  <c r="J1468" i="25"/>
  <c r="U1467" i="25"/>
  <c r="K1417" i="25"/>
  <c r="V1417" i="25" l="1"/>
  <c r="T1417" i="25"/>
  <c r="J1469" i="25"/>
  <c r="U1468" i="25"/>
  <c r="K1418" i="25"/>
  <c r="V1418" i="25" l="1"/>
  <c r="T1418" i="25"/>
  <c r="J1470" i="25"/>
  <c r="U1469" i="25"/>
  <c r="K1419" i="25"/>
  <c r="V1419" i="25" l="1"/>
  <c r="T1419" i="25"/>
  <c r="J1471" i="25"/>
  <c r="U1470" i="25"/>
  <c r="K1420" i="25"/>
  <c r="V1420" i="25" l="1"/>
  <c r="T1420" i="25"/>
  <c r="J1472" i="25"/>
  <c r="U1471" i="25"/>
  <c r="K1421" i="25"/>
  <c r="V1421" i="25" l="1"/>
  <c r="T1421" i="25"/>
  <c r="J1473" i="25"/>
  <c r="U1472" i="25"/>
  <c r="K1422" i="25"/>
  <c r="V1422" i="25" l="1"/>
  <c r="K1423" i="25"/>
  <c r="T1422" i="25"/>
  <c r="J1474" i="25"/>
  <c r="U1473" i="25"/>
  <c r="V1423" i="25" l="1"/>
  <c r="T1423" i="25"/>
  <c r="J1475" i="25"/>
  <c r="U1474" i="25"/>
  <c r="K1424" i="25"/>
  <c r="V1424" i="25" l="1"/>
  <c r="T1424" i="25"/>
  <c r="J1476" i="25"/>
  <c r="U1475" i="25"/>
  <c r="K1425" i="25"/>
  <c r="V1425" i="25" l="1"/>
  <c r="T1425" i="25"/>
  <c r="J1477" i="25"/>
  <c r="U1476" i="25"/>
  <c r="K1426" i="25"/>
  <c r="V1426" i="25" l="1"/>
  <c r="T1426" i="25"/>
  <c r="J1478" i="25"/>
  <c r="U1477" i="25"/>
  <c r="K1427" i="25"/>
  <c r="V1427" i="25" l="1"/>
  <c r="T1427" i="25"/>
  <c r="J1479" i="25"/>
  <c r="U1478" i="25"/>
  <c r="K1428" i="25"/>
  <c r="V1428" i="25" l="1"/>
  <c r="T1428" i="25"/>
  <c r="J1480" i="25"/>
  <c r="U1479" i="25"/>
  <c r="K1429" i="25"/>
  <c r="V1429" i="25" l="1"/>
  <c r="K1430" i="25"/>
  <c r="T1429" i="25"/>
  <c r="J1481" i="25"/>
  <c r="U1480" i="25"/>
  <c r="V1430" i="25" l="1"/>
  <c r="T1430" i="25"/>
  <c r="J1482" i="25"/>
  <c r="U1481" i="25"/>
  <c r="K1431" i="25"/>
  <c r="V1431" i="25" l="1"/>
  <c r="T1431" i="25"/>
  <c r="J1483" i="25"/>
  <c r="U1482" i="25"/>
  <c r="K1432" i="25"/>
  <c r="V1432" i="25" l="1"/>
  <c r="T1432" i="25"/>
  <c r="J1484" i="25"/>
  <c r="U1483" i="25"/>
  <c r="K1433" i="25"/>
  <c r="V1433" i="25" l="1"/>
  <c r="T1433" i="25"/>
  <c r="J1485" i="25"/>
  <c r="U1484" i="25"/>
  <c r="K1434" i="25"/>
  <c r="V1434" i="25" l="1"/>
  <c r="T1434" i="25"/>
  <c r="J1486" i="25"/>
  <c r="U1485" i="25"/>
  <c r="K1435" i="25"/>
  <c r="V1435" i="25" l="1"/>
  <c r="T1435" i="25"/>
  <c r="J1487" i="25"/>
  <c r="U1486" i="25"/>
  <c r="K1436" i="25"/>
  <c r="V1436" i="25" l="1"/>
  <c r="T1436" i="25"/>
  <c r="J1488" i="25"/>
  <c r="U1487" i="25"/>
  <c r="K1437" i="25"/>
  <c r="V1437" i="25" l="1"/>
  <c r="T1437" i="25"/>
  <c r="J1489" i="25"/>
  <c r="U1488" i="25"/>
  <c r="K1438" i="25"/>
  <c r="V1438" i="25" l="1"/>
  <c r="T1438" i="25"/>
  <c r="J1490" i="25"/>
  <c r="U1489" i="25"/>
  <c r="K1439" i="25"/>
  <c r="V1439" i="25" l="1"/>
  <c r="T1439" i="25"/>
  <c r="J1491" i="25"/>
  <c r="U1490" i="25"/>
  <c r="K1440" i="25"/>
  <c r="V1440" i="25" l="1"/>
  <c r="T1440" i="25"/>
  <c r="J1492" i="25"/>
  <c r="U1491" i="25"/>
  <c r="K1441" i="25"/>
  <c r="V1441" i="25" l="1"/>
  <c r="T1441" i="25"/>
  <c r="J1493" i="25"/>
  <c r="U1492" i="25"/>
  <c r="K1442" i="25"/>
  <c r="V1442" i="25" l="1"/>
  <c r="T1442" i="25"/>
  <c r="J1494" i="25"/>
  <c r="U1493" i="25"/>
  <c r="K1443" i="25"/>
  <c r="V1443" i="25" l="1"/>
  <c r="T1443" i="25"/>
  <c r="J1495" i="25"/>
  <c r="U1494" i="25"/>
  <c r="K1444" i="25"/>
  <c r="V1444" i="25" l="1"/>
  <c r="T1444" i="25"/>
  <c r="J1496" i="25"/>
  <c r="U1495" i="25"/>
  <c r="T1445" i="25" l="1"/>
  <c r="K1445" i="25"/>
  <c r="V1445" i="25" s="1"/>
  <c r="J1497" i="25"/>
  <c r="U1496" i="25"/>
  <c r="K1446" i="25"/>
  <c r="V1446" i="25" l="1"/>
  <c r="T1446" i="25"/>
  <c r="J1498" i="25"/>
  <c r="U1497" i="25"/>
  <c r="K1447" i="25"/>
  <c r="V1447" i="25" l="1"/>
  <c r="T1447" i="25"/>
  <c r="J1499" i="25"/>
  <c r="U1498" i="25"/>
  <c r="K1448" i="25"/>
  <c r="V1448" i="25" l="1"/>
  <c r="T1448" i="25"/>
  <c r="J1500" i="25"/>
  <c r="U1499" i="25"/>
  <c r="K1449" i="25"/>
  <c r="V1449" i="25" l="1"/>
  <c r="T1449" i="25"/>
  <c r="J1501" i="25"/>
  <c r="U1500" i="25"/>
  <c r="K1450" i="25"/>
  <c r="V1450" i="25" l="1"/>
  <c r="T1450" i="25"/>
  <c r="J1502" i="25"/>
  <c r="U1501" i="25"/>
  <c r="K1451" i="25"/>
  <c r="V1451" i="25" l="1"/>
  <c r="T1451" i="25"/>
  <c r="J1503" i="25"/>
  <c r="U1502" i="25"/>
  <c r="K1452" i="25"/>
  <c r="V1452" i="25" l="1"/>
  <c r="K1453" i="25"/>
  <c r="T1452" i="25"/>
  <c r="J1504" i="25"/>
  <c r="U1503" i="25"/>
  <c r="V1453" i="25" l="1"/>
  <c r="T1453" i="25"/>
  <c r="J1505" i="25"/>
  <c r="U1504" i="25"/>
  <c r="K1454" i="25"/>
  <c r="V1454" i="25" l="1"/>
  <c r="K1455" i="25"/>
  <c r="T1454" i="25"/>
  <c r="J1506" i="25"/>
  <c r="U1505" i="25"/>
  <c r="V1455" i="25" l="1"/>
  <c r="T1455" i="25"/>
  <c r="J1507" i="25"/>
  <c r="U1506" i="25"/>
  <c r="K1456" i="25"/>
  <c r="V1456" i="25" l="1"/>
  <c r="T1456" i="25"/>
  <c r="J1508" i="25"/>
  <c r="U1507" i="25"/>
  <c r="K1457" i="25"/>
  <c r="V1457" i="25" l="1"/>
  <c r="T1457" i="25"/>
  <c r="J1509" i="25"/>
  <c r="U1508" i="25"/>
  <c r="K1458" i="25"/>
  <c r="V1458" i="25" l="1"/>
  <c r="K1459" i="25"/>
  <c r="T1458" i="25"/>
  <c r="J1510" i="25"/>
  <c r="U1509" i="25"/>
  <c r="V1459" i="25" l="1"/>
  <c r="T1459" i="25"/>
  <c r="J1511" i="25"/>
  <c r="U1510" i="25"/>
  <c r="K1460" i="25"/>
  <c r="V1460" i="25" l="1"/>
  <c r="T1460" i="25"/>
  <c r="J1512" i="25"/>
  <c r="U1511" i="25"/>
  <c r="K1461" i="25"/>
  <c r="V1461" i="25" l="1"/>
  <c r="T1461" i="25"/>
  <c r="J1513" i="25"/>
  <c r="U1512" i="25"/>
  <c r="K1462" i="25"/>
  <c r="V1462" i="25" l="1"/>
  <c r="T1462" i="25"/>
  <c r="J1514" i="25"/>
  <c r="U1513" i="25"/>
  <c r="K1463" i="25"/>
  <c r="V1463" i="25" l="1"/>
  <c r="T1463" i="25"/>
  <c r="J1515" i="25"/>
  <c r="U1514" i="25"/>
  <c r="K1464" i="25"/>
  <c r="V1464" i="25" l="1"/>
  <c r="T1464" i="25"/>
  <c r="J1516" i="25"/>
  <c r="U1515" i="25"/>
  <c r="K1465" i="25"/>
  <c r="V1465" i="25" l="1"/>
  <c r="T1465" i="25"/>
  <c r="J1517" i="25"/>
  <c r="U1516" i="25"/>
  <c r="K1466" i="25"/>
  <c r="V1466" i="25" l="1"/>
  <c r="T1466" i="25"/>
  <c r="J1518" i="25"/>
  <c r="U1517" i="25"/>
  <c r="K1467" i="25"/>
  <c r="V1467" i="25" l="1"/>
  <c r="T1467" i="25"/>
  <c r="J1519" i="25"/>
  <c r="U1518" i="25"/>
  <c r="K1468" i="25"/>
  <c r="V1468" i="25" l="1"/>
  <c r="T1468" i="25"/>
  <c r="J1520" i="25"/>
  <c r="U1519" i="25"/>
  <c r="K1469" i="25"/>
  <c r="V1469" i="25" l="1"/>
  <c r="T1469" i="25"/>
  <c r="J1521" i="25"/>
  <c r="U1520" i="25"/>
  <c r="K1470" i="25"/>
  <c r="V1470" i="25" l="1"/>
  <c r="T1470" i="25"/>
  <c r="J1522" i="25"/>
  <c r="U1521" i="25"/>
  <c r="K1471" i="25"/>
  <c r="V1471" i="25" l="1"/>
  <c r="T1471" i="25"/>
  <c r="J1523" i="25"/>
  <c r="U1522" i="25"/>
  <c r="K1472" i="25"/>
  <c r="V1472" i="25" l="1"/>
  <c r="T1472" i="25"/>
  <c r="J1524" i="25"/>
  <c r="U1523" i="25"/>
  <c r="K1473" i="25"/>
  <c r="V1473" i="25" l="1"/>
  <c r="T1473" i="25"/>
  <c r="J1525" i="25"/>
  <c r="U1524" i="25"/>
  <c r="K1474" i="25"/>
  <c r="V1474" i="25" l="1"/>
  <c r="T1474" i="25"/>
  <c r="J1526" i="25"/>
  <c r="U1525" i="25"/>
  <c r="K1475" i="25"/>
  <c r="V1475" i="25" l="1"/>
  <c r="T1475" i="25"/>
  <c r="J1527" i="25"/>
  <c r="U1526" i="25"/>
  <c r="K1476" i="25"/>
  <c r="V1476" i="25" l="1"/>
  <c r="T1476" i="25"/>
  <c r="J1528" i="25"/>
  <c r="U1527" i="25"/>
  <c r="K1477" i="25"/>
  <c r="V1477" i="25" l="1"/>
  <c r="T1477" i="25"/>
  <c r="J1529" i="25"/>
  <c r="U1528" i="25"/>
  <c r="K1478" i="25"/>
  <c r="V1478" i="25" l="1"/>
  <c r="T1478" i="25"/>
  <c r="J1530" i="25"/>
  <c r="U1529" i="25"/>
  <c r="K1479" i="25"/>
  <c r="V1479" i="25" l="1"/>
  <c r="T1479" i="25"/>
  <c r="J1531" i="25"/>
  <c r="U1530" i="25"/>
  <c r="K1480" i="25"/>
  <c r="V1480" i="25" l="1"/>
  <c r="T1480" i="25"/>
  <c r="J1532" i="25"/>
  <c r="U1531" i="25"/>
  <c r="K1481" i="25"/>
  <c r="V1481" i="25" l="1"/>
  <c r="T1481" i="25"/>
  <c r="J1533" i="25"/>
  <c r="U1532" i="25"/>
  <c r="K1482" i="25"/>
  <c r="V1482" i="25" l="1"/>
  <c r="T1482" i="25"/>
  <c r="J1534" i="25"/>
  <c r="U1533" i="25"/>
  <c r="K1483" i="25"/>
  <c r="V1483" i="25" l="1"/>
  <c r="T1483" i="25"/>
  <c r="J1535" i="25"/>
  <c r="U1534" i="25"/>
  <c r="K1484" i="25"/>
  <c r="V1484" i="25" l="1"/>
  <c r="T1484" i="25"/>
  <c r="J1536" i="25"/>
  <c r="U1535" i="25"/>
  <c r="K1485" i="25"/>
  <c r="V1485" i="25" l="1"/>
  <c r="T1485" i="25"/>
  <c r="J1537" i="25"/>
  <c r="U1536" i="25"/>
  <c r="K1486" i="25"/>
  <c r="V1486" i="25" l="1"/>
  <c r="T1486" i="25"/>
  <c r="J1538" i="25"/>
  <c r="U1537" i="25"/>
  <c r="K1487" i="25"/>
  <c r="V1487" i="25" l="1"/>
  <c r="T1487" i="25"/>
  <c r="J1539" i="25"/>
  <c r="U1538" i="25"/>
  <c r="K1488" i="25"/>
  <c r="V1488" i="25" l="1"/>
  <c r="T1488" i="25"/>
  <c r="J1540" i="25"/>
  <c r="U1539" i="25"/>
  <c r="K1489" i="25"/>
  <c r="V1489" i="25" l="1"/>
  <c r="T1489" i="25"/>
  <c r="J1541" i="25"/>
  <c r="U1540" i="25"/>
  <c r="K1490" i="25"/>
  <c r="V1490" i="25" l="1"/>
  <c r="T1490" i="25"/>
  <c r="J1542" i="25"/>
  <c r="U1541" i="25"/>
  <c r="K1491" i="25"/>
  <c r="V1491" i="25" l="1"/>
  <c r="T1491" i="25"/>
  <c r="J1543" i="25"/>
  <c r="U1542" i="25"/>
  <c r="K1492" i="25"/>
  <c r="V1492" i="25" l="1"/>
  <c r="T1492" i="25"/>
  <c r="J1544" i="25"/>
  <c r="U1543" i="25"/>
  <c r="K1493" i="25"/>
  <c r="V1493" i="25" l="1"/>
  <c r="T1493" i="25"/>
  <c r="J1545" i="25"/>
  <c r="U1544" i="25"/>
  <c r="K1494" i="25"/>
  <c r="V1494" i="25" l="1"/>
  <c r="T1494" i="25"/>
  <c r="J1546" i="25"/>
  <c r="U1545" i="25"/>
  <c r="K1495" i="25"/>
  <c r="V1495" i="25" l="1"/>
  <c r="T1495" i="25"/>
  <c r="J1547" i="25"/>
  <c r="U1546" i="25"/>
  <c r="K1496" i="25"/>
  <c r="V1496" i="25" l="1"/>
  <c r="T1496" i="25"/>
  <c r="J1548" i="25"/>
  <c r="U1547" i="25"/>
  <c r="K1497" i="25"/>
  <c r="V1497" i="25" l="1"/>
  <c r="T1497" i="25"/>
  <c r="J1549" i="25"/>
  <c r="U1548" i="25"/>
  <c r="K1498" i="25"/>
  <c r="V1498" i="25" l="1"/>
  <c r="T1498" i="25"/>
  <c r="J1550" i="25"/>
  <c r="U1549" i="25"/>
  <c r="K1499" i="25"/>
  <c r="V1499" i="25" l="1"/>
  <c r="T1499" i="25"/>
  <c r="J1551" i="25"/>
  <c r="U1550" i="25"/>
  <c r="K1500" i="25"/>
  <c r="V1500" i="25" l="1"/>
  <c r="T1500" i="25"/>
  <c r="J1552" i="25"/>
  <c r="U1551" i="25"/>
  <c r="K1501" i="25"/>
  <c r="V1501" i="25" l="1"/>
  <c r="T1501" i="25"/>
  <c r="J1553" i="25"/>
  <c r="U1552" i="25"/>
  <c r="K1502" i="25"/>
  <c r="V1502" i="25" l="1"/>
  <c r="T1502" i="25"/>
  <c r="J1554" i="25"/>
  <c r="U1553" i="25"/>
  <c r="K1503" i="25"/>
  <c r="V1503" i="25" l="1"/>
  <c r="T1503" i="25"/>
  <c r="J1555" i="25"/>
  <c r="U1554" i="25"/>
  <c r="K1504" i="25"/>
  <c r="V1504" i="25" l="1"/>
  <c r="T1504" i="25"/>
  <c r="J1556" i="25"/>
  <c r="U1555" i="25"/>
  <c r="K1505" i="25"/>
  <c r="V1505" i="25" l="1"/>
  <c r="T1505" i="25"/>
  <c r="J1557" i="25"/>
  <c r="U1556" i="25"/>
  <c r="K1506" i="25"/>
  <c r="V1506" i="25" l="1"/>
  <c r="T1506" i="25"/>
  <c r="J1558" i="25"/>
  <c r="U1557" i="25"/>
  <c r="K1507" i="25"/>
  <c r="V1507" i="25" l="1"/>
  <c r="T1507" i="25"/>
  <c r="J1559" i="25"/>
  <c r="U1558" i="25"/>
  <c r="K1508" i="25"/>
  <c r="V1508" i="25" l="1"/>
  <c r="T1508" i="25"/>
  <c r="J1560" i="25"/>
  <c r="U1559" i="25"/>
  <c r="K1509" i="25"/>
  <c r="V1509" i="25" l="1"/>
  <c r="T1509" i="25"/>
  <c r="J1561" i="25"/>
  <c r="U1560" i="25"/>
  <c r="K1510" i="25"/>
  <c r="V1510" i="25" l="1"/>
  <c r="T1510" i="25"/>
  <c r="J1562" i="25"/>
  <c r="U1561" i="25"/>
  <c r="K1511" i="25"/>
  <c r="V1511" i="25" l="1"/>
  <c r="T1511" i="25"/>
  <c r="J1563" i="25"/>
  <c r="U1562" i="25"/>
  <c r="K1512" i="25"/>
  <c r="V1512" i="25" l="1"/>
  <c r="T1512" i="25"/>
  <c r="J1564" i="25"/>
  <c r="U1563" i="25"/>
  <c r="K1513" i="25"/>
  <c r="V1513" i="25" l="1"/>
  <c r="T1513" i="25"/>
  <c r="J1565" i="25"/>
  <c r="U1564" i="25"/>
  <c r="K1514" i="25"/>
  <c r="V1514" i="25" l="1"/>
  <c r="T1514" i="25"/>
  <c r="J1566" i="25"/>
  <c r="U1565" i="25"/>
  <c r="K1515" i="25"/>
  <c r="V1515" i="25" l="1"/>
  <c r="T1515" i="25"/>
  <c r="J1567" i="25"/>
  <c r="U1566" i="25"/>
  <c r="K1516" i="25"/>
  <c r="V1516" i="25" l="1"/>
  <c r="T1516" i="25"/>
  <c r="J1568" i="25"/>
  <c r="U1567" i="25"/>
  <c r="K1517" i="25"/>
  <c r="V1517" i="25" l="1"/>
  <c r="K1518" i="25"/>
  <c r="T1517" i="25"/>
  <c r="J1569" i="25"/>
  <c r="U1568" i="25"/>
  <c r="V1518" i="25" l="1"/>
  <c r="T1518" i="25"/>
  <c r="J1570" i="25"/>
  <c r="U1569" i="25"/>
  <c r="K1519" i="25"/>
  <c r="V1519" i="25" l="1"/>
  <c r="T1519" i="25"/>
  <c r="J1571" i="25"/>
  <c r="U1570" i="25"/>
  <c r="K1520" i="25"/>
  <c r="V1520" i="25" l="1"/>
  <c r="T1520" i="25"/>
  <c r="J1572" i="25"/>
  <c r="U1571" i="25"/>
  <c r="K1521" i="25"/>
  <c r="V1521" i="25" l="1"/>
  <c r="T1521" i="25"/>
  <c r="J1573" i="25"/>
  <c r="U1572" i="25"/>
  <c r="K1522" i="25"/>
  <c r="V1522" i="25" l="1"/>
  <c r="T1522" i="25"/>
  <c r="J1574" i="25"/>
  <c r="U1573" i="25"/>
  <c r="K1523" i="25"/>
  <c r="V1523" i="25" l="1"/>
  <c r="K1524" i="25"/>
  <c r="T1523" i="25"/>
  <c r="J1575" i="25"/>
  <c r="U1574" i="25"/>
  <c r="V1524" i="25" l="1"/>
  <c r="T1524" i="25"/>
  <c r="J1576" i="25"/>
  <c r="U1575" i="25"/>
  <c r="K1525" i="25"/>
  <c r="V1525" i="25" l="1"/>
  <c r="T1525" i="25"/>
  <c r="J1577" i="25"/>
  <c r="U1576" i="25"/>
  <c r="K1526" i="25"/>
  <c r="V1526" i="25" l="1"/>
  <c r="T1526" i="25"/>
  <c r="J1578" i="25"/>
  <c r="U1577" i="25"/>
  <c r="K1527" i="25"/>
  <c r="V1527" i="25" l="1"/>
  <c r="T1527" i="25"/>
  <c r="J1579" i="25"/>
  <c r="U1578" i="25"/>
  <c r="K1528" i="25"/>
  <c r="V1528" i="25" l="1"/>
  <c r="T1528" i="25"/>
  <c r="J1580" i="25"/>
  <c r="U1579" i="25"/>
  <c r="K1529" i="25"/>
  <c r="V1529" i="25" l="1"/>
  <c r="T1529" i="25"/>
  <c r="J1581" i="25"/>
  <c r="U1580" i="25"/>
  <c r="K1530" i="25"/>
  <c r="V1530" i="25" l="1"/>
  <c r="T1530" i="25"/>
  <c r="J1582" i="25"/>
  <c r="U1581" i="25"/>
  <c r="K1531" i="25"/>
  <c r="V1531" i="25" l="1"/>
  <c r="T1531" i="25"/>
  <c r="J1583" i="25"/>
  <c r="U1582" i="25"/>
  <c r="K1532" i="25"/>
  <c r="V1532" i="25" l="1"/>
  <c r="T1532" i="25"/>
  <c r="J1584" i="25"/>
  <c r="U1583" i="25"/>
  <c r="K1533" i="25"/>
  <c r="V1533" i="25" l="1"/>
  <c r="T1533" i="25"/>
  <c r="J1585" i="25"/>
  <c r="U1584" i="25"/>
  <c r="K1534" i="25"/>
  <c r="V1534" i="25" l="1"/>
  <c r="T1534" i="25"/>
  <c r="J1586" i="25"/>
  <c r="U1585" i="25"/>
  <c r="K1535" i="25"/>
  <c r="V1535" i="25" l="1"/>
  <c r="T1535" i="25"/>
  <c r="J1587" i="25"/>
  <c r="U1586" i="25"/>
  <c r="K1536" i="25"/>
  <c r="V1536" i="25" l="1"/>
  <c r="T1536" i="25"/>
  <c r="J1588" i="25"/>
  <c r="U1587" i="25"/>
  <c r="K1537" i="25"/>
  <c r="V1537" i="25" l="1"/>
  <c r="K1538" i="25"/>
  <c r="T1537" i="25"/>
  <c r="J1589" i="25"/>
  <c r="U1588" i="25"/>
  <c r="V1538" i="25" l="1"/>
  <c r="T1538" i="25"/>
  <c r="J1590" i="25"/>
  <c r="U1589" i="25"/>
  <c r="K1539" i="25"/>
  <c r="V1539" i="25" l="1"/>
  <c r="T1539" i="25"/>
  <c r="J1591" i="25"/>
  <c r="U1590" i="25"/>
  <c r="K1540" i="25"/>
  <c r="V1540" i="25" l="1"/>
  <c r="T1540" i="25"/>
  <c r="J1592" i="25"/>
  <c r="U1591" i="25"/>
  <c r="K1541" i="25"/>
  <c r="V1541" i="25" l="1"/>
  <c r="T1541" i="25"/>
  <c r="J1593" i="25"/>
  <c r="U1592" i="25"/>
  <c r="K1542" i="25"/>
  <c r="V1542" i="25" l="1"/>
  <c r="T1542" i="25"/>
  <c r="J1594" i="25"/>
  <c r="U1593" i="25"/>
  <c r="K1543" i="25"/>
  <c r="V1543" i="25" l="1"/>
  <c r="T1543" i="25"/>
  <c r="J1595" i="25"/>
  <c r="U1594" i="25"/>
  <c r="K1544" i="25"/>
  <c r="V1544" i="25" l="1"/>
  <c r="T1544" i="25"/>
  <c r="J1596" i="25"/>
  <c r="U1595" i="25"/>
  <c r="K1545" i="25"/>
  <c r="V1545" i="25" l="1"/>
  <c r="T1545" i="25"/>
  <c r="J1597" i="25"/>
  <c r="U1596" i="25"/>
  <c r="K1546" i="25"/>
  <c r="V1546" i="25" l="1"/>
  <c r="T1546" i="25"/>
  <c r="J1598" i="25"/>
  <c r="U1597" i="25"/>
  <c r="K1547" i="25"/>
  <c r="V1547" i="25" l="1"/>
  <c r="T1547" i="25"/>
  <c r="J1599" i="25"/>
  <c r="U1598" i="25"/>
  <c r="K1548" i="25"/>
  <c r="V1548" i="25" l="1"/>
  <c r="T1548" i="25"/>
  <c r="J1600" i="25"/>
  <c r="U1599" i="25"/>
  <c r="K1549" i="25"/>
  <c r="V1549" i="25" l="1"/>
  <c r="T1549" i="25"/>
  <c r="J1601" i="25"/>
  <c r="U1600" i="25"/>
  <c r="K1550" i="25"/>
  <c r="V1550" i="25" l="1"/>
  <c r="T1550" i="25"/>
  <c r="J1602" i="25"/>
  <c r="U1601" i="25"/>
  <c r="K1551" i="25"/>
  <c r="V1551" i="25" l="1"/>
  <c r="T1551" i="25"/>
  <c r="J1603" i="25"/>
  <c r="U1602" i="25"/>
  <c r="K1552" i="25"/>
  <c r="V1552" i="25" l="1"/>
  <c r="T1552" i="25"/>
  <c r="J1604" i="25"/>
  <c r="U1603" i="25"/>
  <c r="K1553" i="25"/>
  <c r="V1553" i="25" l="1"/>
  <c r="T1553" i="25"/>
  <c r="J1605" i="25"/>
  <c r="U1604" i="25"/>
  <c r="K1554" i="25"/>
  <c r="V1554" i="25" l="1"/>
  <c r="T1554" i="25"/>
  <c r="J1606" i="25"/>
  <c r="U1605" i="25"/>
  <c r="K1555" i="25"/>
  <c r="V1555" i="25" l="1"/>
  <c r="K1556" i="25"/>
  <c r="T1555" i="25"/>
  <c r="J1607" i="25"/>
  <c r="U1606" i="25"/>
  <c r="V1556" i="25" l="1"/>
  <c r="T1556" i="25"/>
  <c r="J1608" i="25"/>
  <c r="U1607" i="25"/>
  <c r="K1557" i="25"/>
  <c r="V1557" i="25" l="1"/>
  <c r="T1557" i="25"/>
  <c r="J1609" i="25"/>
  <c r="U1608" i="25"/>
  <c r="K1558" i="25"/>
  <c r="V1558" i="25" l="1"/>
  <c r="T1558" i="25"/>
  <c r="J1610" i="25"/>
  <c r="U1609" i="25"/>
  <c r="K1559" i="25"/>
  <c r="V1559" i="25" l="1"/>
  <c r="T1559" i="25"/>
  <c r="J1611" i="25"/>
  <c r="U1610" i="25"/>
  <c r="K1560" i="25"/>
  <c r="V1560" i="25" l="1"/>
  <c r="T1560" i="25"/>
  <c r="J1612" i="25"/>
  <c r="U1611" i="25"/>
  <c r="K1561" i="25"/>
  <c r="V1561" i="25" l="1"/>
  <c r="T1561" i="25"/>
  <c r="J1613" i="25"/>
  <c r="U1612" i="25"/>
  <c r="K1562" i="25"/>
  <c r="V1562" i="25" l="1"/>
  <c r="T1562" i="25"/>
  <c r="J1614" i="25"/>
  <c r="U1613" i="25"/>
  <c r="K1563" i="25"/>
  <c r="V1563" i="25" l="1"/>
  <c r="T1563" i="25"/>
  <c r="J1615" i="25"/>
  <c r="U1614" i="25"/>
  <c r="K1564" i="25"/>
  <c r="V1564" i="25" l="1"/>
  <c r="T1564" i="25"/>
  <c r="J1616" i="25"/>
  <c r="U1615" i="25"/>
  <c r="K1565" i="25"/>
  <c r="V1565" i="25" l="1"/>
  <c r="T1565" i="25"/>
  <c r="J1617" i="25"/>
  <c r="U1616" i="25"/>
  <c r="K1566" i="25"/>
  <c r="V1566" i="25" l="1"/>
  <c r="T1566" i="25"/>
  <c r="J1618" i="25"/>
  <c r="U1617" i="25"/>
  <c r="K1567" i="25"/>
  <c r="V1567" i="25" l="1"/>
  <c r="T1567" i="25"/>
  <c r="J1619" i="25"/>
  <c r="U1618" i="25"/>
  <c r="K1568" i="25"/>
  <c r="V1568" i="25" l="1"/>
  <c r="T1568" i="25"/>
  <c r="J1620" i="25"/>
  <c r="U1619" i="25"/>
  <c r="K1569" i="25"/>
  <c r="V1569" i="25" l="1"/>
  <c r="T1569" i="25"/>
  <c r="J1621" i="25"/>
  <c r="U1620" i="25"/>
  <c r="K1570" i="25"/>
  <c r="V1570" i="25" l="1"/>
  <c r="T1570" i="25"/>
  <c r="J1622" i="25"/>
  <c r="U1621" i="25"/>
  <c r="K1571" i="25"/>
  <c r="V1571" i="25" l="1"/>
  <c r="T1571" i="25"/>
  <c r="J1623" i="25"/>
  <c r="U1622" i="25"/>
  <c r="K1572" i="25"/>
  <c r="V1572" i="25" l="1"/>
  <c r="K1573" i="25"/>
  <c r="T1572" i="25"/>
  <c r="J1624" i="25"/>
  <c r="U1623" i="25"/>
  <c r="V1573" i="25" l="1"/>
  <c r="T1573" i="25"/>
  <c r="J1625" i="25"/>
  <c r="U1624" i="25"/>
  <c r="K1574" i="25"/>
  <c r="V1574" i="25" l="1"/>
  <c r="T1574" i="25"/>
  <c r="J1626" i="25"/>
  <c r="U1625" i="25"/>
  <c r="K1575" i="25"/>
  <c r="V1575" i="25" l="1"/>
  <c r="T1575" i="25"/>
  <c r="J1627" i="25"/>
  <c r="U1626" i="25"/>
  <c r="K1576" i="25"/>
  <c r="V1576" i="25" l="1"/>
  <c r="T1576" i="25"/>
  <c r="J1628" i="25"/>
  <c r="U1627" i="25"/>
  <c r="K1577" i="25"/>
  <c r="V1577" i="25" l="1"/>
  <c r="T1577" i="25"/>
  <c r="J1629" i="25"/>
  <c r="U1628" i="25"/>
  <c r="K1578" i="25"/>
  <c r="V1578" i="25" l="1"/>
  <c r="T1578" i="25"/>
  <c r="J1630" i="25"/>
  <c r="U1629" i="25"/>
  <c r="K1579" i="25"/>
  <c r="V1579" i="25" l="1"/>
  <c r="T1579" i="25"/>
  <c r="J1631" i="25"/>
  <c r="U1630" i="25"/>
  <c r="K1580" i="25"/>
  <c r="V1580" i="25" l="1"/>
  <c r="T1580" i="25"/>
  <c r="J1632" i="25"/>
  <c r="U1631" i="25"/>
  <c r="K1581" i="25"/>
  <c r="V1581" i="25" l="1"/>
  <c r="K1582" i="25"/>
  <c r="T1581" i="25"/>
  <c r="J1633" i="25"/>
  <c r="U1632" i="25"/>
  <c r="V1582" i="25" l="1"/>
  <c r="T1582" i="25"/>
  <c r="J1634" i="25"/>
  <c r="U1633" i="25"/>
  <c r="K1583" i="25"/>
  <c r="V1583" i="25" l="1"/>
  <c r="T1583" i="25"/>
  <c r="J1635" i="25"/>
  <c r="U1634" i="25"/>
  <c r="K1584" i="25"/>
  <c r="V1584" i="25" l="1"/>
  <c r="T1584" i="25"/>
  <c r="J1636" i="25"/>
  <c r="U1635" i="25"/>
  <c r="K1585" i="25"/>
  <c r="V1585" i="25" l="1"/>
  <c r="T1585" i="25"/>
  <c r="J1637" i="25"/>
  <c r="U1636" i="25"/>
  <c r="K1586" i="25"/>
  <c r="V1586" i="25" l="1"/>
  <c r="T1586" i="25"/>
  <c r="J1638" i="25"/>
  <c r="U1637" i="25"/>
  <c r="K1587" i="25"/>
  <c r="V1587" i="25" l="1"/>
  <c r="T1587" i="25"/>
  <c r="J1639" i="25"/>
  <c r="U1638" i="25"/>
  <c r="K1588" i="25"/>
  <c r="V1588" i="25" l="1"/>
  <c r="T1588" i="25"/>
  <c r="J1640" i="25"/>
  <c r="U1639" i="25"/>
  <c r="K1589" i="25"/>
  <c r="V1589" i="25" l="1"/>
  <c r="T1589" i="25"/>
  <c r="J1641" i="25"/>
  <c r="U1640" i="25"/>
  <c r="K1590" i="25"/>
  <c r="V1590" i="25" l="1"/>
  <c r="T1590" i="25"/>
  <c r="J1642" i="25"/>
  <c r="U1641" i="25"/>
  <c r="K1591" i="25"/>
  <c r="V1591" i="25" l="1"/>
  <c r="T1591" i="25"/>
  <c r="J1643" i="25"/>
  <c r="U1642" i="25"/>
  <c r="K1592" i="25"/>
  <c r="V1592" i="25" l="1"/>
  <c r="T1592" i="25"/>
  <c r="J1644" i="25"/>
  <c r="U1643" i="25"/>
  <c r="K1593" i="25"/>
  <c r="V1593" i="25" l="1"/>
  <c r="T1593" i="25"/>
  <c r="J1645" i="25"/>
  <c r="U1644" i="25"/>
  <c r="K1594" i="25"/>
  <c r="V1594" i="25" l="1"/>
  <c r="T1594" i="25"/>
  <c r="J1646" i="25"/>
  <c r="U1645" i="25"/>
  <c r="K1595" i="25"/>
  <c r="V1595" i="25" l="1"/>
  <c r="T1595" i="25"/>
  <c r="J1647" i="25"/>
  <c r="U1646" i="25"/>
  <c r="K1596" i="25"/>
  <c r="V1596" i="25" l="1"/>
  <c r="T1596" i="25"/>
  <c r="J1648" i="25"/>
  <c r="U1647" i="25"/>
  <c r="K1597" i="25"/>
  <c r="V1597" i="25" l="1"/>
  <c r="T1597" i="25"/>
  <c r="J1649" i="25"/>
  <c r="U1648" i="25"/>
  <c r="K1598" i="25"/>
  <c r="V1598" i="25" l="1"/>
  <c r="T1598" i="25"/>
  <c r="J1650" i="25"/>
  <c r="U1649" i="25"/>
  <c r="K1599" i="25"/>
  <c r="V1599" i="25" l="1"/>
  <c r="T1599" i="25"/>
  <c r="J1651" i="25"/>
  <c r="U1650" i="25"/>
  <c r="K1600" i="25"/>
  <c r="V1600" i="25" l="1"/>
  <c r="T1600" i="25"/>
  <c r="J1652" i="25"/>
  <c r="U1651" i="25"/>
  <c r="K1601" i="25"/>
  <c r="V1601" i="25" l="1"/>
  <c r="T1601" i="25"/>
  <c r="J1653" i="25"/>
  <c r="U1652" i="25"/>
  <c r="K1602" i="25"/>
  <c r="V1602" i="25" l="1"/>
  <c r="T1602" i="25"/>
  <c r="J1654" i="25"/>
  <c r="U1653" i="25"/>
  <c r="K1603" i="25"/>
  <c r="V1603" i="25" l="1"/>
  <c r="T1603" i="25"/>
  <c r="J1655" i="25"/>
  <c r="U1654" i="25"/>
  <c r="K1604" i="25"/>
  <c r="V1604" i="25" l="1"/>
  <c r="T1604" i="25"/>
  <c r="J1656" i="25"/>
  <c r="U1655" i="25"/>
  <c r="K1605" i="25"/>
  <c r="V1605" i="25" l="1"/>
  <c r="T1605" i="25"/>
  <c r="J1657" i="25"/>
  <c r="U1656" i="25"/>
  <c r="K1606" i="25"/>
  <c r="V1606" i="25" l="1"/>
  <c r="T1606" i="25"/>
  <c r="J1658" i="25"/>
  <c r="U1657" i="25"/>
  <c r="K1607" i="25"/>
  <c r="V1607" i="25" l="1"/>
  <c r="T1607" i="25"/>
  <c r="J1659" i="25"/>
  <c r="U1658" i="25"/>
  <c r="K1608" i="25"/>
  <c r="V1608" i="25" l="1"/>
  <c r="T1608" i="25"/>
  <c r="J1660" i="25"/>
  <c r="U1659" i="25"/>
  <c r="K1609" i="25"/>
  <c r="V1609" i="25" l="1"/>
  <c r="T1609" i="25"/>
  <c r="J1661" i="25"/>
  <c r="U1660" i="25"/>
  <c r="K1610" i="25"/>
  <c r="V1610" i="25" l="1"/>
  <c r="T1610" i="25"/>
  <c r="J1662" i="25"/>
  <c r="U1661" i="25"/>
  <c r="K1611" i="25"/>
  <c r="V1611" i="25" l="1"/>
  <c r="T1611" i="25"/>
  <c r="J1663" i="25"/>
  <c r="U1662" i="25"/>
  <c r="K1612" i="25"/>
  <c r="V1612" i="25" l="1"/>
  <c r="T1612" i="25"/>
  <c r="J1664" i="25"/>
  <c r="U1663" i="25"/>
  <c r="K1613" i="25"/>
  <c r="V1613" i="25" l="1"/>
  <c r="T1613" i="25"/>
  <c r="J1665" i="25"/>
  <c r="U1664" i="25"/>
  <c r="K1614" i="25"/>
  <c r="V1614" i="25" l="1"/>
  <c r="T1614" i="25"/>
  <c r="J1666" i="25"/>
  <c r="U1665" i="25"/>
  <c r="K1615" i="25"/>
  <c r="V1615" i="25" l="1"/>
  <c r="T1615" i="25"/>
  <c r="J1667" i="25"/>
  <c r="U1666" i="25"/>
  <c r="K1616" i="25"/>
  <c r="V1616" i="25" l="1"/>
  <c r="T1616" i="25"/>
  <c r="J1668" i="25"/>
  <c r="U1667" i="25"/>
  <c r="K1617" i="25"/>
  <c r="V1617" i="25" l="1"/>
  <c r="T1617" i="25"/>
  <c r="J1669" i="25"/>
  <c r="U1668" i="25"/>
  <c r="K1618" i="25"/>
  <c r="V1618" i="25" l="1"/>
  <c r="T1618" i="25"/>
  <c r="J1670" i="25"/>
  <c r="U1669" i="25"/>
  <c r="K1619" i="25"/>
  <c r="V1619" i="25" l="1"/>
  <c r="T1619" i="25"/>
  <c r="J1671" i="25"/>
  <c r="U1670" i="25"/>
  <c r="K1620" i="25"/>
  <c r="V1620" i="25" l="1"/>
  <c r="T1620" i="25"/>
  <c r="J1672" i="25"/>
  <c r="U1671" i="25"/>
  <c r="K1621" i="25"/>
  <c r="V1621" i="25" l="1"/>
  <c r="T1621" i="25"/>
  <c r="J1673" i="25"/>
  <c r="U1672" i="25"/>
  <c r="K1622" i="25"/>
  <c r="V1622" i="25" l="1"/>
  <c r="T1622" i="25"/>
  <c r="J1674" i="25"/>
  <c r="U1673" i="25"/>
  <c r="K1623" i="25"/>
  <c r="V1623" i="25" l="1"/>
  <c r="T1623" i="25"/>
  <c r="J1675" i="25"/>
  <c r="U1674" i="25"/>
  <c r="K1624" i="25"/>
  <c r="V1624" i="25" l="1"/>
  <c r="T1624" i="25"/>
  <c r="J1676" i="25"/>
  <c r="U1675" i="25"/>
  <c r="K1625" i="25"/>
  <c r="V1625" i="25" l="1"/>
  <c r="T1625" i="25"/>
  <c r="J1677" i="25"/>
  <c r="U1676" i="25"/>
  <c r="K1626" i="25"/>
  <c r="V1626" i="25" l="1"/>
  <c r="T1626" i="25"/>
  <c r="J1678" i="25"/>
  <c r="U1677" i="25"/>
  <c r="K1627" i="25"/>
  <c r="V1627" i="25" l="1"/>
  <c r="T1627" i="25"/>
  <c r="J1679" i="25"/>
  <c r="U1678" i="25"/>
  <c r="K1628" i="25"/>
  <c r="V1628" i="25" l="1"/>
  <c r="T1628" i="25"/>
  <c r="J1680" i="25"/>
  <c r="U1679" i="25"/>
  <c r="K1629" i="25"/>
  <c r="V1629" i="25" l="1"/>
  <c r="T1629" i="25"/>
  <c r="J1681" i="25"/>
  <c r="U1680" i="25"/>
  <c r="K1630" i="25"/>
  <c r="V1630" i="25" l="1"/>
  <c r="T1630" i="25"/>
  <c r="J1682" i="25"/>
  <c r="U1681" i="25"/>
  <c r="K1631" i="25"/>
  <c r="V1631" i="25" l="1"/>
  <c r="T1631" i="25"/>
  <c r="J1683" i="25"/>
  <c r="U1682" i="25"/>
  <c r="K1632" i="25"/>
  <c r="V1632" i="25" l="1"/>
  <c r="T1632" i="25"/>
  <c r="J1684" i="25"/>
  <c r="U1683" i="25"/>
  <c r="K1633" i="25"/>
  <c r="V1633" i="25" l="1"/>
  <c r="T1633" i="25"/>
  <c r="J1685" i="25"/>
  <c r="U1684" i="25"/>
  <c r="K1634" i="25"/>
  <c r="V1634" i="25" l="1"/>
  <c r="T1634" i="25"/>
  <c r="J1686" i="25"/>
  <c r="U1685" i="25"/>
  <c r="K1635" i="25"/>
  <c r="V1635" i="25" l="1"/>
  <c r="T1635" i="25"/>
  <c r="J1687" i="25"/>
  <c r="U1686" i="25"/>
  <c r="K1636" i="25"/>
  <c r="V1636" i="25" l="1"/>
  <c r="T1636" i="25"/>
  <c r="J1688" i="25"/>
  <c r="U1687" i="25"/>
  <c r="K1637" i="25"/>
  <c r="V1637" i="25" l="1"/>
  <c r="T1637" i="25"/>
  <c r="J1689" i="25"/>
  <c r="U1688" i="25"/>
  <c r="K1638" i="25"/>
  <c r="V1638" i="25" l="1"/>
  <c r="T1638" i="25"/>
  <c r="J1690" i="25"/>
  <c r="U1689" i="25"/>
  <c r="K1639" i="25"/>
  <c r="V1639" i="25" l="1"/>
  <c r="T1639" i="25"/>
  <c r="J1691" i="25"/>
  <c r="U1690" i="25"/>
  <c r="K1640" i="25"/>
  <c r="V1640" i="25" l="1"/>
  <c r="T1640" i="25"/>
  <c r="J1692" i="25"/>
  <c r="U1691" i="25"/>
  <c r="K1641" i="25"/>
  <c r="V1641" i="25" l="1"/>
  <c r="T1641" i="25"/>
  <c r="J1693" i="25"/>
  <c r="U1692" i="25"/>
  <c r="K1642" i="25"/>
  <c r="V1642" i="25" l="1"/>
  <c r="T1642" i="25"/>
  <c r="J1694" i="25"/>
  <c r="U1693" i="25"/>
  <c r="K1643" i="25"/>
  <c r="V1643" i="25" l="1"/>
  <c r="T1643" i="25"/>
  <c r="J1695" i="25"/>
  <c r="U1694" i="25"/>
  <c r="K1644" i="25"/>
  <c r="V1644" i="25" l="1"/>
  <c r="T1644" i="25"/>
  <c r="J1696" i="25"/>
  <c r="U1695" i="25"/>
  <c r="K1645" i="25"/>
  <c r="V1645" i="25" l="1"/>
  <c r="T1645" i="25"/>
  <c r="J1697" i="25"/>
  <c r="U1696" i="25"/>
  <c r="K1646" i="25"/>
  <c r="V1646" i="25" l="1"/>
  <c r="T1646" i="25"/>
  <c r="J1698" i="25"/>
  <c r="U1697" i="25"/>
  <c r="K1647" i="25"/>
  <c r="V1647" i="25" l="1"/>
  <c r="T1647" i="25"/>
  <c r="J1699" i="25"/>
  <c r="U1698" i="25"/>
  <c r="K1648" i="25"/>
  <c r="V1648" i="25" l="1"/>
  <c r="T1648" i="25"/>
  <c r="J1700" i="25"/>
  <c r="U1699" i="25"/>
  <c r="K1649" i="25"/>
  <c r="V1649" i="25" l="1"/>
  <c r="T1649" i="25"/>
  <c r="J1701" i="25"/>
  <c r="U1700" i="25"/>
  <c r="K1650" i="25"/>
  <c r="V1650" i="25" l="1"/>
  <c r="T1650" i="25"/>
  <c r="J1702" i="25"/>
  <c r="U1701" i="25"/>
  <c r="K1651" i="25"/>
  <c r="V1651" i="25" l="1"/>
  <c r="T1651" i="25"/>
  <c r="J1703" i="25"/>
  <c r="U1702" i="25"/>
  <c r="K1652" i="25"/>
  <c r="V1652" i="25" l="1"/>
  <c r="T1652" i="25"/>
  <c r="J1704" i="25"/>
  <c r="U1703" i="25"/>
  <c r="K1653" i="25"/>
  <c r="V1653" i="25" l="1"/>
  <c r="T1653" i="25"/>
  <c r="J1705" i="25"/>
  <c r="U1704" i="25"/>
  <c r="K1654" i="25"/>
  <c r="V1654" i="25" l="1"/>
  <c r="T1654" i="25"/>
  <c r="J1706" i="25"/>
  <c r="U1705" i="25"/>
  <c r="K1655" i="25"/>
  <c r="V1655" i="25" l="1"/>
  <c r="T1655" i="25"/>
  <c r="J1707" i="25"/>
  <c r="U1706" i="25"/>
  <c r="K1656" i="25"/>
  <c r="V1656" i="25" l="1"/>
  <c r="T1656" i="25"/>
  <c r="J1708" i="25"/>
  <c r="U1707" i="25"/>
  <c r="K1657" i="25"/>
  <c r="V1657" i="25" l="1"/>
  <c r="T1657" i="25"/>
  <c r="J1709" i="25"/>
  <c r="U1708" i="25"/>
  <c r="K1658" i="25"/>
  <c r="V1658" i="25" l="1"/>
  <c r="T1658" i="25"/>
  <c r="J1710" i="25"/>
  <c r="U1709" i="25"/>
  <c r="K1659" i="25"/>
  <c r="V1659" i="25" l="1"/>
  <c r="K1660" i="25"/>
  <c r="T1659" i="25"/>
  <c r="J1711" i="25"/>
  <c r="U1710" i="25"/>
  <c r="V1660" i="25" l="1"/>
  <c r="T1660" i="25"/>
  <c r="J1712" i="25"/>
  <c r="U1711" i="25"/>
  <c r="K1661" i="25"/>
  <c r="V1661" i="25" l="1"/>
  <c r="T1661" i="25"/>
  <c r="J1713" i="25"/>
  <c r="U1712" i="25"/>
  <c r="K1662" i="25"/>
  <c r="V1662" i="25" l="1"/>
  <c r="T1662" i="25"/>
  <c r="J1714" i="25"/>
  <c r="U1713" i="25"/>
  <c r="K1663" i="25"/>
  <c r="V1663" i="25" l="1"/>
  <c r="T1663" i="25"/>
  <c r="J1715" i="25"/>
  <c r="U1714" i="25"/>
  <c r="K1664" i="25"/>
  <c r="V1664" i="25" l="1"/>
  <c r="T1664" i="25"/>
  <c r="J1716" i="25"/>
  <c r="U1715" i="25"/>
  <c r="K1665" i="25"/>
  <c r="V1665" i="25" l="1"/>
  <c r="T1665" i="25"/>
  <c r="J1717" i="25"/>
  <c r="U1716" i="25"/>
  <c r="K1666" i="25"/>
  <c r="V1666" i="25" l="1"/>
  <c r="T1666" i="25"/>
  <c r="J1718" i="25"/>
  <c r="U1717" i="25"/>
  <c r="K1667" i="25"/>
  <c r="V1667" i="25" l="1"/>
  <c r="T1667" i="25"/>
  <c r="J1719" i="25"/>
  <c r="U1718" i="25"/>
  <c r="K1668" i="25"/>
  <c r="V1668" i="25" l="1"/>
  <c r="T1668" i="25"/>
  <c r="J1720" i="25"/>
  <c r="U1719" i="25"/>
  <c r="K1669" i="25"/>
  <c r="V1669" i="25" l="1"/>
  <c r="T1669" i="25"/>
  <c r="J1721" i="25"/>
  <c r="U1720" i="25"/>
  <c r="K1670" i="25"/>
  <c r="V1670" i="25" l="1"/>
  <c r="T1670" i="25"/>
  <c r="J1722" i="25"/>
  <c r="U1721" i="25"/>
  <c r="K1671" i="25"/>
  <c r="V1671" i="25" l="1"/>
  <c r="T1671" i="25"/>
  <c r="J1723" i="25"/>
  <c r="U1722" i="25"/>
  <c r="K1672" i="25"/>
  <c r="V1672" i="25" l="1"/>
  <c r="T1672" i="25"/>
  <c r="J1724" i="25"/>
  <c r="U1723" i="25"/>
  <c r="K1673" i="25"/>
  <c r="V1673" i="25" l="1"/>
  <c r="T1673" i="25"/>
  <c r="J1725" i="25"/>
  <c r="U1724" i="25"/>
  <c r="K1674" i="25"/>
  <c r="V1674" i="25" l="1"/>
  <c r="T1674" i="25"/>
  <c r="J1726" i="25"/>
  <c r="U1725" i="25"/>
  <c r="K1675" i="25"/>
  <c r="V1675" i="25" l="1"/>
  <c r="T1675" i="25"/>
  <c r="J1727" i="25"/>
  <c r="U1726" i="25"/>
  <c r="K1676" i="25"/>
  <c r="V1676" i="25" l="1"/>
  <c r="T1676" i="25"/>
  <c r="J1728" i="25"/>
  <c r="U1727" i="25"/>
  <c r="K1677" i="25"/>
  <c r="V1677" i="25" l="1"/>
  <c r="T1677" i="25"/>
  <c r="J1729" i="25"/>
  <c r="U1728" i="25"/>
  <c r="K1678" i="25"/>
  <c r="V1678" i="25" l="1"/>
  <c r="T1678" i="25"/>
  <c r="J1730" i="25"/>
  <c r="U1729" i="25"/>
  <c r="K1679" i="25"/>
  <c r="V1679" i="25" l="1"/>
  <c r="T1679" i="25"/>
  <c r="J1731" i="25"/>
  <c r="U1730" i="25"/>
  <c r="K1680" i="25"/>
  <c r="V1680" i="25" l="1"/>
  <c r="T1680" i="25"/>
  <c r="J1732" i="25"/>
  <c r="U1731" i="25"/>
  <c r="K1681" i="25"/>
  <c r="V1681" i="25" l="1"/>
  <c r="T1681" i="25"/>
  <c r="J1733" i="25"/>
  <c r="U1732" i="25"/>
  <c r="K1682" i="25"/>
  <c r="V1682" i="25" l="1"/>
  <c r="T1682" i="25"/>
  <c r="J1734" i="25"/>
  <c r="U1733" i="25"/>
  <c r="K1683" i="25"/>
  <c r="V1683" i="25" l="1"/>
  <c r="T1683" i="25"/>
  <c r="J1735" i="25"/>
  <c r="U1734" i="25"/>
  <c r="K1684" i="25"/>
  <c r="V1684" i="25" l="1"/>
  <c r="T1684" i="25"/>
  <c r="J1736" i="25"/>
  <c r="U1735" i="25"/>
  <c r="K1685" i="25"/>
  <c r="V1685" i="25" l="1"/>
  <c r="T1685" i="25"/>
  <c r="J1737" i="25"/>
  <c r="U1736" i="25"/>
  <c r="K1686" i="25"/>
  <c r="V1686" i="25" l="1"/>
  <c r="T1686" i="25"/>
  <c r="J1738" i="25"/>
  <c r="U1737" i="25"/>
  <c r="K1687" i="25"/>
  <c r="V1687" i="25" l="1"/>
  <c r="T1687" i="25"/>
  <c r="J1739" i="25"/>
  <c r="U1738" i="25"/>
  <c r="K1688" i="25"/>
  <c r="V1688" i="25" l="1"/>
  <c r="T1688" i="25"/>
  <c r="J1740" i="25"/>
  <c r="U1739" i="25"/>
  <c r="K1689" i="25"/>
  <c r="V1689" i="25" l="1"/>
  <c r="T1689" i="25"/>
  <c r="J1741" i="25"/>
  <c r="U1740" i="25"/>
  <c r="K1690" i="25"/>
  <c r="V1690" i="25" l="1"/>
  <c r="T1690" i="25"/>
  <c r="J1742" i="25"/>
  <c r="U1741" i="25"/>
  <c r="K1691" i="25"/>
  <c r="V1691" i="25" l="1"/>
  <c r="T1691" i="25"/>
  <c r="J1743" i="25"/>
  <c r="U1742" i="25"/>
  <c r="K1692" i="25"/>
  <c r="V1692" i="25" l="1"/>
  <c r="T1692" i="25"/>
  <c r="J1744" i="25"/>
  <c r="U1743" i="25"/>
  <c r="K1693" i="25"/>
  <c r="V1693" i="25" l="1"/>
  <c r="T1693" i="25"/>
  <c r="J1745" i="25"/>
  <c r="U1744" i="25"/>
  <c r="K1694" i="25"/>
  <c r="V1694" i="25" l="1"/>
  <c r="T1694" i="25"/>
  <c r="J1746" i="25"/>
  <c r="U1745" i="25"/>
  <c r="K1695" i="25"/>
  <c r="V1695" i="25" l="1"/>
  <c r="T1695" i="25"/>
  <c r="J1747" i="25"/>
  <c r="U1746" i="25"/>
  <c r="K1696" i="25"/>
  <c r="V1696" i="25" l="1"/>
  <c r="T1696" i="25"/>
  <c r="J1748" i="25"/>
  <c r="U1747" i="25"/>
  <c r="K1697" i="25"/>
  <c r="V1697" i="25" l="1"/>
  <c r="T1697" i="25"/>
  <c r="J1749" i="25"/>
  <c r="U1748" i="25"/>
  <c r="K1698" i="25"/>
  <c r="V1698" i="25" l="1"/>
  <c r="T1698" i="25"/>
  <c r="J1750" i="25"/>
  <c r="U1749" i="25"/>
  <c r="K1699" i="25"/>
  <c r="V1699" i="25" l="1"/>
  <c r="T1699" i="25"/>
  <c r="J1751" i="25"/>
  <c r="U1750" i="25"/>
  <c r="K1700" i="25"/>
  <c r="V1700" i="25" l="1"/>
  <c r="T1700" i="25"/>
  <c r="J1752" i="25"/>
  <c r="U1751" i="25"/>
  <c r="K1701" i="25"/>
  <c r="V1701" i="25" l="1"/>
  <c r="T1701" i="25"/>
  <c r="J1753" i="25"/>
  <c r="U1752" i="25"/>
  <c r="K1702" i="25"/>
  <c r="V1702" i="25" l="1"/>
  <c r="T1702" i="25"/>
  <c r="J1754" i="25"/>
  <c r="U1753" i="25"/>
  <c r="K1703" i="25"/>
  <c r="V1703" i="25" l="1"/>
  <c r="T1703" i="25"/>
  <c r="J1755" i="25"/>
  <c r="U1754" i="25"/>
  <c r="K1704" i="25"/>
  <c r="V1704" i="25" l="1"/>
  <c r="T1704" i="25"/>
  <c r="J1756" i="25"/>
  <c r="U1755" i="25"/>
  <c r="K1705" i="25"/>
  <c r="V1705" i="25" l="1"/>
  <c r="T1705" i="25"/>
  <c r="J1757" i="25"/>
  <c r="U1756" i="25"/>
  <c r="K1706" i="25"/>
  <c r="V1706" i="25" l="1"/>
  <c r="T1706" i="25"/>
  <c r="J1758" i="25"/>
  <c r="U1757" i="25"/>
  <c r="K1707" i="25"/>
  <c r="V1707" i="25" l="1"/>
  <c r="T1707" i="25"/>
  <c r="J1759" i="25"/>
  <c r="U1758" i="25"/>
  <c r="K1708" i="25"/>
  <c r="V1708" i="25" l="1"/>
  <c r="T1708" i="25"/>
  <c r="J1760" i="25"/>
  <c r="U1759" i="25"/>
  <c r="K1709" i="25"/>
  <c r="V1709" i="25" l="1"/>
  <c r="T1709" i="25"/>
  <c r="J1761" i="25"/>
  <c r="U1760" i="25"/>
  <c r="K1710" i="25"/>
  <c r="V1710" i="25" l="1"/>
  <c r="T1710" i="25"/>
  <c r="J1762" i="25"/>
  <c r="U1761" i="25"/>
  <c r="K1711" i="25"/>
  <c r="V1711" i="25" l="1"/>
  <c r="T1711" i="25"/>
  <c r="J1763" i="25"/>
  <c r="U1762" i="25"/>
  <c r="K1712" i="25"/>
  <c r="V1712" i="25" l="1"/>
  <c r="T1712" i="25"/>
  <c r="J1764" i="25"/>
  <c r="U1763" i="25"/>
  <c r="K1713" i="25"/>
  <c r="V1713" i="25" l="1"/>
  <c r="T1713" i="25"/>
  <c r="J1765" i="25"/>
  <c r="U1764" i="25"/>
  <c r="K1714" i="25"/>
  <c r="V1714" i="25" l="1"/>
  <c r="T1714" i="25"/>
  <c r="J1766" i="25"/>
  <c r="U1765" i="25"/>
  <c r="K1715" i="25"/>
  <c r="V1715" i="25" l="1"/>
  <c r="T1715" i="25"/>
  <c r="J1767" i="25"/>
  <c r="U1766" i="25"/>
  <c r="K1716" i="25"/>
  <c r="V1716" i="25" l="1"/>
  <c r="T1716" i="25"/>
  <c r="J1768" i="25"/>
  <c r="U1767" i="25"/>
  <c r="K1717" i="25"/>
  <c r="V1717" i="25" l="1"/>
  <c r="T1717" i="25"/>
  <c r="J1769" i="25"/>
  <c r="U1768" i="25"/>
  <c r="K1718" i="25"/>
  <c r="V1718" i="25" l="1"/>
  <c r="T1718" i="25"/>
  <c r="J1770" i="25"/>
  <c r="U1769" i="25"/>
  <c r="K1719" i="25"/>
  <c r="V1719" i="25" l="1"/>
  <c r="T1719" i="25"/>
  <c r="J1771" i="25"/>
  <c r="U1770" i="25"/>
  <c r="K1720" i="25"/>
  <c r="V1720" i="25" l="1"/>
  <c r="T1720" i="25"/>
  <c r="J1772" i="25"/>
  <c r="U1771" i="25"/>
  <c r="K1721" i="25"/>
  <c r="V1721" i="25" l="1"/>
  <c r="T1721" i="25"/>
  <c r="J1773" i="25"/>
  <c r="U1772" i="25"/>
  <c r="K1722" i="25"/>
  <c r="V1722" i="25" l="1"/>
  <c r="T1722" i="25"/>
  <c r="J1774" i="25"/>
  <c r="U1773" i="25"/>
  <c r="K1723" i="25"/>
  <c r="V1723" i="25" l="1"/>
  <c r="T1723" i="25"/>
  <c r="J1775" i="25"/>
  <c r="U1774" i="25"/>
  <c r="K1724" i="25"/>
  <c r="V1724" i="25" l="1"/>
  <c r="T1724" i="25"/>
  <c r="J1776" i="25"/>
  <c r="U1775" i="25"/>
  <c r="K1725" i="25"/>
  <c r="V1725" i="25" l="1"/>
  <c r="T1725" i="25"/>
  <c r="J1777" i="25"/>
  <c r="U1776" i="25"/>
  <c r="K1726" i="25"/>
  <c r="V1726" i="25" l="1"/>
  <c r="T1726" i="25"/>
  <c r="J1778" i="25"/>
  <c r="U1777" i="25"/>
  <c r="K1727" i="25"/>
  <c r="V1727" i="25" l="1"/>
  <c r="T1727" i="25"/>
  <c r="J1779" i="25"/>
  <c r="U1778" i="25"/>
  <c r="K1728" i="25"/>
  <c r="V1728" i="25" l="1"/>
  <c r="T1728" i="25"/>
  <c r="J1780" i="25"/>
  <c r="U1779" i="25"/>
  <c r="K1729" i="25"/>
  <c r="V1729" i="25" l="1"/>
  <c r="T1729" i="25"/>
  <c r="J1781" i="25"/>
  <c r="U1780" i="25"/>
  <c r="K1730" i="25"/>
  <c r="V1730" i="25" l="1"/>
  <c r="T1730" i="25"/>
  <c r="J1782" i="25"/>
  <c r="U1781" i="25"/>
  <c r="K1731" i="25"/>
  <c r="V1731" i="25" l="1"/>
  <c r="T1731" i="25"/>
  <c r="J1783" i="25"/>
  <c r="U1782" i="25"/>
  <c r="K1732" i="25"/>
  <c r="V1732" i="25" l="1"/>
  <c r="T1732" i="25"/>
  <c r="J1784" i="25"/>
  <c r="U1783" i="25"/>
  <c r="K1733" i="25"/>
  <c r="V1733" i="25" l="1"/>
  <c r="T1733" i="25"/>
  <c r="J1785" i="25"/>
  <c r="U1784" i="25"/>
  <c r="K1734" i="25"/>
  <c r="V1734" i="25" l="1"/>
  <c r="T1734" i="25"/>
  <c r="J1786" i="25"/>
  <c r="U1785" i="25"/>
  <c r="K1735" i="25"/>
  <c r="V1735" i="25" l="1"/>
  <c r="T1735" i="25"/>
  <c r="J1787" i="25"/>
  <c r="U1786" i="25"/>
  <c r="K1736" i="25"/>
  <c r="V1736" i="25" l="1"/>
  <c r="T1736" i="25"/>
  <c r="J1788" i="25"/>
  <c r="U1787" i="25"/>
  <c r="K1737" i="25"/>
  <c r="V1737" i="25" l="1"/>
  <c r="T1737" i="25"/>
  <c r="J1789" i="25"/>
  <c r="U1788" i="25"/>
  <c r="K1738" i="25"/>
  <c r="V1738" i="25" l="1"/>
  <c r="T1738" i="25"/>
  <c r="J1790" i="25"/>
  <c r="U1789" i="25"/>
  <c r="K1739" i="25"/>
  <c r="V1739" i="25" l="1"/>
  <c r="T1739" i="25"/>
  <c r="J1791" i="25"/>
  <c r="U1790" i="25"/>
  <c r="K1740" i="25"/>
  <c r="V1740" i="25" l="1"/>
  <c r="T1740" i="25"/>
  <c r="J1792" i="25"/>
  <c r="U1791" i="25"/>
  <c r="K1741" i="25"/>
  <c r="V1741" i="25" l="1"/>
  <c r="T1741" i="25"/>
  <c r="J1793" i="25"/>
  <c r="U1792" i="25"/>
  <c r="K1742" i="25"/>
  <c r="V1742" i="25" l="1"/>
  <c r="K1743" i="25"/>
  <c r="T1742" i="25"/>
  <c r="J1794" i="25"/>
  <c r="U1793" i="25"/>
  <c r="V1743" i="25" l="1"/>
  <c r="T1743" i="25"/>
  <c r="J1795" i="25"/>
  <c r="U1794" i="25"/>
  <c r="K1744" i="25"/>
  <c r="V1744" i="25" l="1"/>
  <c r="T1744" i="25"/>
  <c r="J1796" i="25"/>
  <c r="U1795" i="25"/>
  <c r="K1745" i="25"/>
  <c r="V1745" i="25" l="1"/>
  <c r="T1745" i="25"/>
  <c r="J1797" i="25"/>
  <c r="U1796" i="25"/>
  <c r="K1746" i="25"/>
  <c r="V1746" i="25" l="1"/>
  <c r="T1746" i="25"/>
  <c r="J1798" i="25"/>
  <c r="U1797" i="25"/>
  <c r="K1747" i="25"/>
  <c r="V1747" i="25" l="1"/>
  <c r="T1747" i="25"/>
  <c r="J1799" i="25"/>
  <c r="U1798" i="25"/>
  <c r="K1748" i="25"/>
  <c r="V1748" i="25" l="1"/>
  <c r="T1748" i="25"/>
  <c r="J1800" i="25"/>
  <c r="U1799" i="25"/>
  <c r="K1749" i="25"/>
  <c r="V1749" i="25" l="1"/>
  <c r="T1749" i="25"/>
  <c r="J1801" i="25"/>
  <c r="U1800" i="25"/>
  <c r="K1750" i="25"/>
  <c r="V1750" i="25" l="1"/>
  <c r="T1750" i="25"/>
  <c r="J1802" i="25"/>
  <c r="U1801" i="25"/>
  <c r="K1751" i="25"/>
  <c r="V1751" i="25" l="1"/>
  <c r="T1751" i="25"/>
  <c r="J1803" i="25"/>
  <c r="U1802" i="25"/>
  <c r="K1752" i="25"/>
  <c r="V1752" i="25" l="1"/>
  <c r="T1752" i="25"/>
  <c r="J1804" i="25"/>
  <c r="U1803" i="25"/>
  <c r="K1753" i="25"/>
  <c r="V1753" i="25" l="1"/>
  <c r="T1753" i="25"/>
  <c r="J1805" i="25"/>
  <c r="U1804" i="25"/>
  <c r="K1754" i="25"/>
  <c r="V1754" i="25" l="1"/>
  <c r="T1754" i="25"/>
  <c r="J1806" i="25"/>
  <c r="U1805" i="25"/>
  <c r="K1755" i="25"/>
  <c r="V1755" i="25" l="1"/>
  <c r="T1755" i="25"/>
  <c r="J1807" i="25"/>
  <c r="U1806" i="25"/>
  <c r="K1756" i="25"/>
  <c r="V1756" i="25" l="1"/>
  <c r="T1756" i="25"/>
  <c r="J1808" i="25"/>
  <c r="U1807" i="25"/>
  <c r="K1757" i="25"/>
  <c r="V1757" i="25" l="1"/>
  <c r="T1757" i="25"/>
  <c r="J1809" i="25"/>
  <c r="U1808" i="25"/>
  <c r="K1758" i="25"/>
  <c r="V1758" i="25" l="1"/>
  <c r="T1758" i="25"/>
  <c r="J1810" i="25"/>
  <c r="U1809" i="25"/>
  <c r="K1759" i="25"/>
  <c r="V1759" i="25" l="1"/>
  <c r="T1759" i="25"/>
  <c r="J1811" i="25"/>
  <c r="U1810" i="25"/>
  <c r="K1760" i="25"/>
  <c r="V1760" i="25" l="1"/>
  <c r="T1760" i="25"/>
  <c r="J1812" i="25"/>
  <c r="U1811" i="25"/>
  <c r="K1761" i="25"/>
  <c r="V1761" i="25" l="1"/>
  <c r="T1761" i="25"/>
  <c r="J1813" i="25"/>
  <c r="U1812" i="25"/>
  <c r="K1762" i="25"/>
  <c r="V1762" i="25" l="1"/>
  <c r="T1762" i="25"/>
  <c r="J1814" i="25"/>
  <c r="U1813" i="25"/>
  <c r="K1763" i="25"/>
  <c r="V1763" i="25" l="1"/>
  <c r="T1763" i="25"/>
  <c r="J1815" i="25"/>
  <c r="U1814" i="25"/>
  <c r="K1764" i="25"/>
  <c r="V1764" i="25" l="1"/>
  <c r="T1764" i="25"/>
  <c r="J1816" i="25"/>
  <c r="U1815" i="25"/>
  <c r="K1765" i="25"/>
  <c r="V1765" i="25" l="1"/>
  <c r="T1765" i="25"/>
  <c r="J1817" i="25"/>
  <c r="U1816" i="25"/>
  <c r="K1766" i="25"/>
  <c r="V1766" i="25" l="1"/>
  <c r="K1767" i="25"/>
  <c r="T1766" i="25"/>
  <c r="J1818" i="25"/>
  <c r="U1817" i="25"/>
  <c r="V1767" i="25" l="1"/>
  <c r="T1767" i="25"/>
  <c r="J1819" i="25"/>
  <c r="U1818" i="25"/>
  <c r="K1768" i="25"/>
  <c r="V1768" i="25" l="1"/>
  <c r="T1768" i="25"/>
  <c r="J1820" i="25"/>
  <c r="U1819" i="25"/>
  <c r="K1769" i="25"/>
  <c r="V1769" i="25" l="1"/>
  <c r="T1769" i="25"/>
  <c r="J1821" i="25"/>
  <c r="U1820" i="25"/>
  <c r="K1770" i="25"/>
  <c r="V1770" i="25" l="1"/>
  <c r="T1770" i="25"/>
  <c r="J1822" i="25"/>
  <c r="U1821" i="25"/>
  <c r="K1771" i="25"/>
  <c r="V1771" i="25" l="1"/>
  <c r="T1771" i="25"/>
  <c r="J1823" i="25"/>
  <c r="U1822" i="25"/>
  <c r="K1772" i="25"/>
  <c r="V1772" i="25" l="1"/>
  <c r="T1772" i="25"/>
  <c r="J1824" i="25"/>
  <c r="U1823" i="25"/>
  <c r="K1773" i="25"/>
  <c r="V1773" i="25" l="1"/>
  <c r="T1773" i="25"/>
  <c r="J1825" i="25"/>
  <c r="U1824" i="25"/>
  <c r="K1774" i="25"/>
  <c r="V1774" i="25" l="1"/>
  <c r="T1774" i="25"/>
  <c r="J1826" i="25"/>
  <c r="U1825" i="25"/>
  <c r="K1775" i="25"/>
  <c r="V1775" i="25" l="1"/>
  <c r="T1775" i="25"/>
  <c r="J1827" i="25"/>
  <c r="U1826" i="25"/>
  <c r="K1776" i="25"/>
  <c r="V1776" i="25" l="1"/>
  <c r="T1776" i="25"/>
  <c r="J1828" i="25"/>
  <c r="U1827" i="25"/>
  <c r="K1777" i="25"/>
  <c r="V1777" i="25" l="1"/>
  <c r="T1777" i="25"/>
  <c r="J1829" i="25"/>
  <c r="U1828" i="25"/>
  <c r="K1778" i="25"/>
  <c r="V1778" i="25" l="1"/>
  <c r="T1778" i="25"/>
  <c r="J1830" i="25"/>
  <c r="U1829" i="25"/>
  <c r="K1779" i="25"/>
  <c r="V1779" i="25" l="1"/>
  <c r="T1779" i="25"/>
  <c r="J1831" i="25"/>
  <c r="U1830" i="25"/>
  <c r="K1780" i="25"/>
  <c r="V1780" i="25" l="1"/>
  <c r="T1780" i="25"/>
  <c r="J1832" i="25"/>
  <c r="U1831" i="25"/>
  <c r="K1781" i="25"/>
  <c r="V1781" i="25" l="1"/>
  <c r="T1781" i="25"/>
  <c r="J1833" i="25"/>
  <c r="U1832" i="25"/>
  <c r="K1782" i="25"/>
  <c r="V1782" i="25" l="1"/>
  <c r="T1782" i="25"/>
  <c r="J1834" i="25"/>
  <c r="U1833" i="25"/>
  <c r="K1783" i="25"/>
  <c r="V1783" i="25" l="1"/>
  <c r="T1783" i="25"/>
  <c r="J1835" i="25"/>
  <c r="U1834" i="25"/>
  <c r="K1784" i="25"/>
  <c r="V1784" i="25" l="1"/>
  <c r="T1784" i="25"/>
  <c r="J1836" i="25"/>
  <c r="U1835" i="25"/>
  <c r="K1785" i="25"/>
  <c r="V1785" i="25" l="1"/>
  <c r="T1785" i="25"/>
  <c r="J1837" i="25"/>
  <c r="U1836" i="25"/>
  <c r="K1786" i="25"/>
  <c r="V1786" i="25" l="1"/>
  <c r="T1786" i="25"/>
  <c r="J1838" i="25"/>
  <c r="U1837" i="25"/>
  <c r="K1787" i="25"/>
  <c r="V1787" i="25" l="1"/>
  <c r="T1787" i="25"/>
  <c r="J1839" i="25"/>
  <c r="U1838" i="25"/>
  <c r="K1788" i="25"/>
  <c r="V1788" i="25" l="1"/>
  <c r="T1788" i="25"/>
  <c r="J1840" i="25"/>
  <c r="U1839" i="25"/>
  <c r="K1789" i="25"/>
  <c r="V1789" i="25" l="1"/>
  <c r="T1789" i="25"/>
  <c r="J1841" i="25"/>
  <c r="U1840" i="25"/>
  <c r="K1790" i="25"/>
  <c r="V1790" i="25" l="1"/>
  <c r="T1790" i="25"/>
  <c r="J1842" i="25"/>
  <c r="U1841" i="25"/>
  <c r="K1791" i="25"/>
  <c r="V1791" i="25" l="1"/>
  <c r="T1791" i="25"/>
  <c r="J1843" i="25"/>
  <c r="U1842" i="25"/>
  <c r="K1792" i="25"/>
  <c r="V1792" i="25" l="1"/>
  <c r="T1792" i="25"/>
  <c r="J1844" i="25"/>
  <c r="U1843" i="25"/>
  <c r="K1793" i="25"/>
  <c r="V1793" i="25" l="1"/>
  <c r="T1793" i="25"/>
  <c r="J1845" i="25"/>
  <c r="U1844" i="25"/>
  <c r="K1794" i="25"/>
  <c r="V1794" i="25" l="1"/>
  <c r="T1794" i="25"/>
  <c r="J1846" i="25"/>
  <c r="U1845" i="25"/>
  <c r="K1795" i="25"/>
  <c r="V1795" i="25" l="1"/>
  <c r="T1795" i="25"/>
  <c r="J1847" i="25"/>
  <c r="U1846" i="25"/>
  <c r="K1796" i="25"/>
  <c r="V1796" i="25" l="1"/>
  <c r="T1796" i="25"/>
  <c r="J1848" i="25"/>
  <c r="U1847" i="25"/>
  <c r="K1797" i="25"/>
  <c r="V1797" i="25" l="1"/>
  <c r="T1797" i="25"/>
  <c r="J1849" i="25"/>
  <c r="U1848" i="25"/>
  <c r="K1798" i="25"/>
  <c r="V1798" i="25" l="1"/>
  <c r="T1798" i="25"/>
  <c r="J1850" i="25"/>
  <c r="U1849" i="25"/>
  <c r="K1799" i="25"/>
  <c r="V1799" i="25" l="1"/>
  <c r="T1799" i="25"/>
  <c r="J1851" i="25"/>
  <c r="U1850" i="25"/>
  <c r="K1800" i="25"/>
  <c r="V1800" i="25" l="1"/>
  <c r="T1800" i="25"/>
  <c r="J1852" i="25"/>
  <c r="U1851" i="25"/>
  <c r="K1801" i="25"/>
  <c r="V1801" i="25" l="1"/>
  <c r="T1801" i="25"/>
  <c r="J1853" i="25"/>
  <c r="U1852" i="25"/>
  <c r="K1802" i="25"/>
  <c r="V1802" i="25" l="1"/>
  <c r="T1802" i="25"/>
  <c r="J1854" i="25"/>
  <c r="U1853" i="25"/>
  <c r="K1803" i="25"/>
  <c r="V1803" i="25" l="1"/>
  <c r="T1803" i="25"/>
  <c r="J1855" i="25"/>
  <c r="U1854" i="25"/>
  <c r="K1804" i="25"/>
  <c r="V1804" i="25" l="1"/>
  <c r="T1804" i="25"/>
  <c r="J1856" i="25"/>
  <c r="U1855" i="25"/>
  <c r="K1805" i="25"/>
  <c r="V1805" i="25" l="1"/>
  <c r="T1805" i="25"/>
  <c r="J1857" i="25"/>
  <c r="U1856" i="25"/>
  <c r="K1806" i="25"/>
  <c r="V1806" i="25" l="1"/>
  <c r="T1806" i="25"/>
  <c r="J1858" i="25"/>
  <c r="U1857" i="25"/>
  <c r="K1807" i="25"/>
  <c r="V1807" i="25" l="1"/>
  <c r="T1807" i="25"/>
  <c r="J1859" i="25"/>
  <c r="U1858" i="25"/>
  <c r="K1808" i="25"/>
  <c r="V1808" i="25" l="1"/>
  <c r="T1808" i="25"/>
  <c r="J1860" i="25"/>
  <c r="U1859" i="25"/>
  <c r="K1809" i="25"/>
  <c r="V1809" i="25" l="1"/>
  <c r="T1809" i="25"/>
  <c r="J1861" i="25"/>
  <c r="U1860" i="25"/>
  <c r="K1810" i="25"/>
  <c r="V1810" i="25" l="1"/>
  <c r="K1811" i="25"/>
  <c r="T1810" i="25"/>
  <c r="J1862" i="25"/>
  <c r="U1861" i="25"/>
  <c r="V1811" i="25" l="1"/>
  <c r="T1811" i="25"/>
  <c r="J1863" i="25"/>
  <c r="U1862" i="25"/>
  <c r="K1812" i="25"/>
  <c r="V1812" i="25" l="1"/>
  <c r="T1812" i="25"/>
  <c r="J1864" i="25"/>
  <c r="U1863" i="25"/>
  <c r="K1813" i="25"/>
  <c r="V1813" i="25" l="1"/>
  <c r="T1813" i="25"/>
  <c r="J1865" i="25"/>
  <c r="U1864" i="25"/>
  <c r="K1814" i="25"/>
  <c r="V1814" i="25" l="1"/>
  <c r="T1814" i="25"/>
  <c r="J1866" i="25"/>
  <c r="U1865" i="25"/>
  <c r="K1815" i="25"/>
  <c r="V1815" i="25" l="1"/>
  <c r="T1815" i="25"/>
  <c r="J1867" i="25"/>
  <c r="U1866" i="25"/>
  <c r="K1816" i="25"/>
  <c r="V1816" i="25" l="1"/>
  <c r="T1816" i="25"/>
  <c r="J1868" i="25"/>
  <c r="U1867" i="25"/>
  <c r="K1817" i="25"/>
  <c r="V1817" i="25" l="1"/>
  <c r="T1817" i="25"/>
  <c r="J1869" i="25"/>
  <c r="U1868" i="25"/>
  <c r="K1818" i="25"/>
  <c r="V1818" i="25" l="1"/>
  <c r="T1818" i="25"/>
  <c r="J1870" i="25"/>
  <c r="U1869" i="25"/>
  <c r="K1819" i="25"/>
  <c r="V1819" i="25" l="1"/>
  <c r="T1819" i="25"/>
  <c r="J1871" i="25"/>
  <c r="U1870" i="25"/>
  <c r="K1820" i="25"/>
  <c r="V1820" i="25" l="1"/>
  <c r="T1820" i="25"/>
  <c r="J1872" i="25"/>
  <c r="U1871" i="25"/>
  <c r="K1821" i="25"/>
  <c r="V1821" i="25" l="1"/>
  <c r="T1821" i="25"/>
  <c r="J1873" i="25"/>
  <c r="U1872" i="25"/>
  <c r="K1822" i="25"/>
  <c r="V1822" i="25" l="1"/>
  <c r="T1822" i="25"/>
  <c r="J1874" i="25"/>
  <c r="U1873" i="25"/>
  <c r="K1823" i="25"/>
  <c r="V1823" i="25" l="1"/>
  <c r="T1823" i="25"/>
  <c r="J1875" i="25"/>
  <c r="U1874" i="25"/>
  <c r="K1824" i="25"/>
  <c r="V1824" i="25" l="1"/>
  <c r="K1825" i="25"/>
  <c r="T1824" i="25"/>
  <c r="J1876" i="25"/>
  <c r="U1875" i="25"/>
  <c r="V1825" i="25" l="1"/>
  <c r="T1825" i="25"/>
  <c r="J1877" i="25"/>
  <c r="U1876" i="25"/>
  <c r="K1826" i="25"/>
  <c r="V1826" i="25" l="1"/>
  <c r="T1826" i="25"/>
  <c r="J1878" i="25"/>
  <c r="U1877" i="25"/>
  <c r="K1827" i="25"/>
  <c r="V1827" i="25" l="1"/>
  <c r="T1827" i="25"/>
  <c r="J1879" i="25"/>
  <c r="U1878" i="25"/>
  <c r="K1828" i="25"/>
  <c r="V1828" i="25" l="1"/>
  <c r="T1828" i="25"/>
  <c r="J1880" i="25"/>
  <c r="U1879" i="25"/>
  <c r="K1829" i="25"/>
  <c r="V1829" i="25" l="1"/>
  <c r="T1829" i="25"/>
  <c r="J1881" i="25"/>
  <c r="U1880" i="25"/>
  <c r="K1830" i="25"/>
  <c r="V1830" i="25" l="1"/>
  <c r="T1830" i="25"/>
  <c r="J1882" i="25"/>
  <c r="U1881" i="25"/>
  <c r="K1831" i="25"/>
  <c r="V1831" i="25" l="1"/>
  <c r="T1831" i="25"/>
  <c r="J1883" i="25"/>
  <c r="U1882" i="25"/>
  <c r="K1832" i="25"/>
  <c r="V1832" i="25" l="1"/>
  <c r="T1832" i="25"/>
  <c r="J1884" i="25"/>
  <c r="U1883" i="25"/>
  <c r="K1833" i="25"/>
  <c r="V1833" i="25" l="1"/>
  <c r="T1833" i="25"/>
  <c r="J1885" i="25"/>
  <c r="U1884" i="25"/>
  <c r="K1834" i="25"/>
  <c r="V1834" i="25" l="1"/>
  <c r="T1834" i="25"/>
  <c r="J1886" i="25"/>
  <c r="U1885" i="25"/>
  <c r="K1835" i="25"/>
  <c r="V1835" i="25" l="1"/>
  <c r="T1835" i="25"/>
  <c r="J1887" i="25"/>
  <c r="U1886" i="25"/>
  <c r="K1836" i="25"/>
  <c r="V1836" i="25" l="1"/>
  <c r="T1836" i="25"/>
  <c r="J1888" i="25"/>
  <c r="U1887" i="25"/>
  <c r="K1837" i="25"/>
  <c r="V1837" i="25" l="1"/>
  <c r="T1837" i="25"/>
  <c r="J1889" i="25"/>
  <c r="U1888" i="25"/>
  <c r="K1838" i="25"/>
  <c r="V1838" i="25" l="1"/>
  <c r="T1838" i="25"/>
  <c r="J1890" i="25"/>
  <c r="U1889" i="25"/>
  <c r="K1839" i="25"/>
  <c r="V1839" i="25" l="1"/>
  <c r="T1839" i="25"/>
  <c r="J1891" i="25"/>
  <c r="U1890" i="25"/>
  <c r="K1840" i="25"/>
  <c r="V1840" i="25" l="1"/>
  <c r="T1840" i="25"/>
  <c r="J1892" i="25"/>
  <c r="U1891" i="25"/>
  <c r="K1841" i="25"/>
  <c r="V1841" i="25" l="1"/>
  <c r="T1841" i="25"/>
  <c r="J1893" i="25"/>
  <c r="U1892" i="25"/>
  <c r="K1842" i="25"/>
  <c r="V1842" i="25" l="1"/>
  <c r="T1842" i="25"/>
  <c r="J1894" i="25"/>
  <c r="U1893" i="25"/>
  <c r="K1843" i="25"/>
  <c r="V1843" i="25" l="1"/>
  <c r="T1843" i="25"/>
  <c r="J1895" i="25"/>
  <c r="U1894" i="25"/>
  <c r="K1844" i="25"/>
  <c r="V1844" i="25" l="1"/>
  <c r="T1844" i="25"/>
  <c r="J1896" i="25"/>
  <c r="U1895" i="25"/>
  <c r="K1845" i="25"/>
  <c r="V1845" i="25" l="1"/>
  <c r="T1845" i="25"/>
  <c r="J1897" i="25"/>
  <c r="U1896" i="25"/>
  <c r="K1846" i="25"/>
  <c r="V1846" i="25" l="1"/>
  <c r="T1846" i="25"/>
  <c r="J1898" i="25"/>
  <c r="U1897" i="25"/>
  <c r="K1847" i="25"/>
  <c r="V1847" i="25" l="1"/>
  <c r="T1847" i="25"/>
  <c r="J1899" i="25"/>
  <c r="U1898" i="25"/>
  <c r="K1848" i="25"/>
  <c r="V1848" i="25" l="1"/>
  <c r="T1848" i="25"/>
  <c r="J1900" i="25"/>
  <c r="U1899" i="25"/>
  <c r="K1849" i="25"/>
  <c r="V1849" i="25" l="1"/>
  <c r="T1849" i="25"/>
  <c r="J1901" i="25"/>
  <c r="U1900" i="25"/>
  <c r="K1850" i="25"/>
  <c r="V1850" i="25" l="1"/>
  <c r="T1850" i="25"/>
  <c r="J1902" i="25"/>
  <c r="U1901" i="25"/>
  <c r="K1851" i="25"/>
  <c r="V1851" i="25" l="1"/>
  <c r="T1851" i="25"/>
  <c r="J1903" i="25"/>
  <c r="U1902" i="25"/>
  <c r="K1852" i="25"/>
  <c r="V1852" i="25" l="1"/>
  <c r="T1852" i="25"/>
  <c r="J1904" i="25"/>
  <c r="U1903" i="25"/>
  <c r="K1853" i="25"/>
  <c r="V1853" i="25" l="1"/>
  <c r="T1853" i="25"/>
  <c r="J1905" i="25"/>
  <c r="U1904" i="25"/>
  <c r="K1854" i="25"/>
  <c r="V1854" i="25" l="1"/>
  <c r="K1855" i="25"/>
  <c r="T1854" i="25"/>
  <c r="J1906" i="25"/>
  <c r="U1905" i="25"/>
  <c r="V1855" i="25" l="1"/>
  <c r="T1855" i="25"/>
  <c r="J1907" i="25"/>
  <c r="U1906" i="25"/>
  <c r="K1856" i="25"/>
  <c r="V1856" i="25" l="1"/>
  <c r="T1856" i="25"/>
  <c r="J1908" i="25"/>
  <c r="U1907" i="25"/>
  <c r="K1857" i="25"/>
  <c r="V1857" i="25" l="1"/>
  <c r="T1857" i="25"/>
  <c r="J1909" i="25"/>
  <c r="U1908" i="25"/>
  <c r="K1858" i="25"/>
  <c r="V1858" i="25" l="1"/>
  <c r="T1858" i="25"/>
  <c r="J1910" i="25"/>
  <c r="U1909" i="25"/>
  <c r="K1859" i="25"/>
  <c r="V1859" i="25" l="1"/>
  <c r="T1859" i="25"/>
  <c r="J1911" i="25"/>
  <c r="U1910" i="25"/>
  <c r="K1860" i="25"/>
  <c r="V1860" i="25" l="1"/>
  <c r="T1860" i="25"/>
  <c r="J1912" i="25"/>
  <c r="U1911" i="25"/>
  <c r="K1861" i="25"/>
  <c r="V1861" i="25" l="1"/>
  <c r="T1861" i="25"/>
  <c r="J1913" i="25"/>
  <c r="U1912" i="25"/>
  <c r="K1862" i="25"/>
  <c r="V1862" i="25" l="1"/>
  <c r="T1862" i="25"/>
  <c r="J1914" i="25"/>
  <c r="U1913" i="25"/>
  <c r="K1863" i="25"/>
  <c r="V1863" i="25" l="1"/>
  <c r="T1863" i="25"/>
  <c r="J1915" i="25"/>
  <c r="U1914" i="25"/>
  <c r="K1864" i="25"/>
  <c r="V1864" i="25" l="1"/>
  <c r="T1864" i="25"/>
  <c r="J1916" i="25"/>
  <c r="U1915" i="25"/>
  <c r="K1865" i="25"/>
  <c r="V1865" i="25" l="1"/>
  <c r="T1865" i="25"/>
  <c r="J1917" i="25"/>
  <c r="U1916" i="25"/>
  <c r="K1866" i="25"/>
  <c r="V1866" i="25" l="1"/>
  <c r="T1866" i="25"/>
  <c r="J1918" i="25"/>
  <c r="U1917" i="25"/>
  <c r="K1867" i="25"/>
  <c r="V1867" i="25" l="1"/>
  <c r="T1867" i="25"/>
  <c r="J1919" i="25"/>
  <c r="U1918" i="25"/>
  <c r="K1868" i="25"/>
  <c r="V1868" i="25" l="1"/>
  <c r="T1868" i="25"/>
  <c r="J1920" i="25"/>
  <c r="U1919" i="25"/>
  <c r="K1869" i="25"/>
  <c r="V1869" i="25" l="1"/>
  <c r="T1869" i="25"/>
  <c r="J1921" i="25"/>
  <c r="U1920" i="25"/>
  <c r="K1870" i="25"/>
  <c r="V1870" i="25" l="1"/>
  <c r="T1870" i="25"/>
  <c r="J1922" i="25"/>
  <c r="U1921" i="25"/>
  <c r="K1871" i="25"/>
  <c r="V1871" i="25" l="1"/>
  <c r="T1871" i="25"/>
  <c r="J1923" i="25"/>
  <c r="U1922" i="25"/>
  <c r="K1872" i="25"/>
  <c r="V1872" i="25" l="1"/>
  <c r="T1872" i="25"/>
  <c r="J1924" i="25"/>
  <c r="U1923" i="25"/>
  <c r="K1873" i="25"/>
  <c r="V1873" i="25" l="1"/>
  <c r="T1873" i="25"/>
  <c r="J1925" i="25"/>
  <c r="U1924" i="25"/>
  <c r="K1874" i="25"/>
  <c r="V1874" i="25" l="1"/>
  <c r="T1874" i="25"/>
  <c r="J1926" i="25"/>
  <c r="U1925" i="25"/>
  <c r="K1875" i="25"/>
  <c r="V1875" i="25" l="1"/>
  <c r="T1875" i="25"/>
  <c r="J1927" i="25"/>
  <c r="U1926" i="25"/>
  <c r="K1876" i="25"/>
  <c r="V1876" i="25" l="1"/>
  <c r="T1876" i="25"/>
  <c r="J1928" i="25"/>
  <c r="U1927" i="25"/>
  <c r="K1877" i="25"/>
  <c r="V1877" i="25" l="1"/>
  <c r="T1877" i="25"/>
  <c r="J1929" i="25"/>
  <c r="U1928" i="25"/>
  <c r="K1878" i="25"/>
  <c r="V1878" i="25" l="1"/>
  <c r="T1878" i="25"/>
  <c r="J1930" i="25"/>
  <c r="U1929" i="25"/>
  <c r="K1879" i="25"/>
  <c r="V1879" i="25" l="1"/>
  <c r="T1879" i="25"/>
  <c r="J1931" i="25"/>
  <c r="U1930" i="25"/>
  <c r="K1880" i="25"/>
  <c r="V1880" i="25" l="1"/>
  <c r="T1880" i="25"/>
  <c r="J1932" i="25"/>
  <c r="U1931" i="25"/>
  <c r="K1881" i="25"/>
  <c r="V1881" i="25" l="1"/>
  <c r="T1881" i="25"/>
  <c r="J1933" i="25"/>
  <c r="U1932" i="25"/>
  <c r="K1882" i="25"/>
  <c r="V1882" i="25" l="1"/>
  <c r="T1882" i="25"/>
  <c r="J1934" i="25"/>
  <c r="U1933" i="25"/>
  <c r="K1883" i="25"/>
  <c r="V1883" i="25" l="1"/>
  <c r="T1883" i="25"/>
  <c r="J1935" i="25"/>
  <c r="U1934" i="25"/>
  <c r="K1884" i="25"/>
  <c r="V1884" i="25" l="1"/>
  <c r="T1884" i="25"/>
  <c r="J1936" i="25"/>
  <c r="U1935" i="25"/>
  <c r="K1885" i="25"/>
  <c r="V1885" i="25" l="1"/>
  <c r="T1885" i="25"/>
  <c r="J1937" i="25"/>
  <c r="U1936" i="25"/>
  <c r="K1886" i="25"/>
  <c r="V1886" i="25" l="1"/>
  <c r="T1886" i="25"/>
  <c r="J1938" i="25"/>
  <c r="U1937" i="25"/>
  <c r="K1887" i="25"/>
  <c r="V1887" i="25" l="1"/>
  <c r="T1887" i="25"/>
  <c r="J1939" i="25"/>
  <c r="U1938" i="25"/>
  <c r="K1888" i="25"/>
  <c r="V1888" i="25" l="1"/>
  <c r="T1888" i="25"/>
  <c r="J1940" i="25"/>
  <c r="U1939" i="25"/>
  <c r="K1889" i="25"/>
  <c r="V1889" i="25" l="1"/>
  <c r="T1889" i="25"/>
  <c r="J1941" i="25"/>
  <c r="U1940" i="25"/>
  <c r="K1890" i="25"/>
  <c r="V1890" i="25" l="1"/>
  <c r="T1890" i="25"/>
  <c r="J1942" i="25"/>
  <c r="U1941" i="25"/>
  <c r="K1891" i="25"/>
  <c r="V1891" i="25" l="1"/>
  <c r="T1891" i="25"/>
  <c r="J1943" i="25"/>
  <c r="U1942" i="25"/>
  <c r="K1892" i="25"/>
  <c r="V1892" i="25" l="1"/>
  <c r="T1892" i="25"/>
  <c r="J1944" i="25"/>
  <c r="U1943" i="25"/>
  <c r="K1893" i="25"/>
  <c r="V1893" i="25" l="1"/>
  <c r="T1893" i="25"/>
  <c r="J1945" i="25"/>
  <c r="U1944" i="25"/>
  <c r="K1894" i="25"/>
  <c r="V1894" i="25" l="1"/>
  <c r="T1894" i="25"/>
  <c r="J1946" i="25"/>
  <c r="U1945" i="25"/>
  <c r="K1895" i="25"/>
  <c r="V1895" i="25" l="1"/>
  <c r="T1895" i="25"/>
  <c r="J1947" i="25"/>
  <c r="U1946" i="25"/>
  <c r="K1896" i="25"/>
  <c r="V1896" i="25" l="1"/>
  <c r="T1896" i="25"/>
  <c r="J1948" i="25"/>
  <c r="U1947" i="25"/>
  <c r="K1897" i="25"/>
  <c r="V1897" i="25" l="1"/>
  <c r="T1897" i="25"/>
  <c r="J1949" i="25"/>
  <c r="U1948" i="25"/>
  <c r="K1898" i="25"/>
  <c r="V1898" i="25" l="1"/>
  <c r="T1898" i="25"/>
  <c r="J1950" i="25"/>
  <c r="U1949" i="25"/>
  <c r="K1899" i="25"/>
  <c r="V1899" i="25" l="1"/>
  <c r="K1900" i="25"/>
  <c r="T1899" i="25"/>
  <c r="J1951" i="25"/>
  <c r="U1950" i="25"/>
  <c r="V1900" i="25" l="1"/>
  <c r="T1900" i="25"/>
  <c r="J1952" i="25"/>
  <c r="U1951" i="25"/>
  <c r="K1901" i="25"/>
  <c r="V1901" i="25" l="1"/>
  <c r="T1901" i="25"/>
  <c r="J1953" i="25"/>
  <c r="U1952" i="25"/>
  <c r="K1902" i="25"/>
  <c r="V1902" i="25" l="1"/>
  <c r="T1902" i="25"/>
  <c r="J1954" i="25"/>
  <c r="U1953" i="25"/>
  <c r="K1903" i="25"/>
  <c r="V1903" i="25" l="1"/>
  <c r="T1903" i="25"/>
  <c r="J1955" i="25"/>
  <c r="U1954" i="25"/>
  <c r="K1904" i="25"/>
  <c r="V1904" i="25" l="1"/>
  <c r="T1904" i="25"/>
  <c r="J1956" i="25"/>
  <c r="U1955" i="25"/>
  <c r="K1905" i="25"/>
  <c r="V1905" i="25" l="1"/>
  <c r="T1905" i="25"/>
  <c r="J1957" i="25"/>
  <c r="U1956" i="25"/>
  <c r="K1906" i="25"/>
  <c r="V1906" i="25" l="1"/>
  <c r="T1906" i="25"/>
  <c r="J1958" i="25"/>
  <c r="U1957" i="25"/>
  <c r="K1907" i="25"/>
  <c r="V1907" i="25" l="1"/>
  <c r="T1907" i="25"/>
  <c r="J1959" i="25"/>
  <c r="U1958" i="25"/>
  <c r="K1908" i="25"/>
  <c r="V1908" i="25" l="1"/>
  <c r="T1908" i="25"/>
  <c r="J1960" i="25"/>
  <c r="U1959" i="25"/>
  <c r="K1909" i="25"/>
  <c r="V1909" i="25" l="1"/>
  <c r="T1909" i="25"/>
  <c r="J1961" i="25"/>
  <c r="U1960" i="25"/>
  <c r="K1910" i="25"/>
  <c r="V1910" i="25" l="1"/>
  <c r="T1910" i="25"/>
  <c r="J1962" i="25"/>
  <c r="U1961" i="25"/>
  <c r="K1911" i="25"/>
  <c r="V1911" i="25" l="1"/>
  <c r="T1911" i="25"/>
  <c r="J1963" i="25"/>
  <c r="U1962" i="25"/>
  <c r="K1912" i="25"/>
  <c r="V1912" i="25" l="1"/>
  <c r="T1912" i="25"/>
  <c r="J1964" i="25"/>
  <c r="U1963" i="25"/>
  <c r="K1913" i="25"/>
  <c r="V1913" i="25" l="1"/>
  <c r="T1913" i="25"/>
  <c r="J1965" i="25"/>
  <c r="U1964" i="25"/>
  <c r="K1914" i="25"/>
  <c r="V1914" i="25" l="1"/>
  <c r="T1914" i="25"/>
  <c r="J1966" i="25"/>
  <c r="U1965" i="25"/>
  <c r="K1915" i="25"/>
  <c r="V1915" i="25" l="1"/>
  <c r="T1915" i="25"/>
  <c r="J1967" i="25"/>
  <c r="U1966" i="25"/>
  <c r="K1916" i="25"/>
  <c r="V1916" i="25" l="1"/>
  <c r="T1916" i="25"/>
  <c r="J1968" i="25"/>
  <c r="U1967" i="25"/>
  <c r="K1917" i="25"/>
  <c r="V1917" i="25" l="1"/>
  <c r="T1917" i="25"/>
  <c r="J1969" i="25"/>
  <c r="U1968" i="25"/>
  <c r="K1918" i="25"/>
  <c r="V1918" i="25" l="1"/>
  <c r="T1918" i="25"/>
  <c r="J1970" i="25"/>
  <c r="U1969" i="25"/>
  <c r="K1919" i="25"/>
  <c r="V1919" i="25" l="1"/>
  <c r="T1919" i="25"/>
  <c r="J1971" i="25"/>
  <c r="U1970" i="25"/>
  <c r="K1920" i="25"/>
  <c r="V1920" i="25" l="1"/>
  <c r="T1920" i="25"/>
  <c r="J1972" i="25"/>
  <c r="U1971" i="25"/>
  <c r="K1921" i="25"/>
  <c r="V1921" i="25" l="1"/>
  <c r="K1922" i="25"/>
  <c r="T1921" i="25"/>
  <c r="J1973" i="25"/>
  <c r="U1972" i="25"/>
  <c r="V1922" i="25" l="1"/>
  <c r="T1922" i="25"/>
  <c r="J1974" i="25"/>
  <c r="U1973" i="25"/>
  <c r="K1923" i="25"/>
  <c r="V1923" i="25" l="1"/>
  <c r="T1923" i="25"/>
  <c r="J1975" i="25"/>
  <c r="U1974" i="25"/>
  <c r="K1924" i="25"/>
  <c r="V1924" i="25" l="1"/>
  <c r="T1924" i="25"/>
  <c r="J1976" i="25"/>
  <c r="U1975" i="25"/>
  <c r="K1925" i="25"/>
  <c r="V1925" i="25" l="1"/>
  <c r="T1925" i="25"/>
  <c r="J1977" i="25"/>
  <c r="U1976" i="25"/>
  <c r="K1926" i="25"/>
  <c r="V1926" i="25" l="1"/>
  <c r="T1926" i="25"/>
  <c r="J1978" i="25"/>
  <c r="U1977" i="25"/>
  <c r="K1927" i="25"/>
  <c r="V1927" i="25" l="1"/>
  <c r="T1927" i="25"/>
  <c r="J1979" i="25"/>
  <c r="U1978" i="25"/>
  <c r="K1928" i="25"/>
  <c r="V1928" i="25" l="1"/>
  <c r="T1928" i="25"/>
  <c r="J1980" i="25"/>
  <c r="U1979" i="25"/>
  <c r="K1929" i="25"/>
  <c r="V1929" i="25" l="1"/>
  <c r="T1929" i="25"/>
  <c r="J1981" i="25"/>
  <c r="U1980" i="25"/>
  <c r="K1930" i="25"/>
  <c r="V1930" i="25" l="1"/>
  <c r="T1930" i="25"/>
  <c r="J1982" i="25"/>
  <c r="U1981" i="25"/>
  <c r="K1931" i="25"/>
  <c r="V1931" i="25" l="1"/>
  <c r="T1931" i="25"/>
  <c r="J1983" i="25"/>
  <c r="U1982" i="25"/>
  <c r="K1932" i="25"/>
  <c r="V1932" i="25" l="1"/>
  <c r="T1932" i="25"/>
  <c r="J1984" i="25"/>
  <c r="U1983" i="25"/>
  <c r="K1933" i="25"/>
  <c r="V1933" i="25" l="1"/>
  <c r="T1933" i="25"/>
  <c r="J1985" i="25"/>
  <c r="U1984" i="25"/>
  <c r="K1934" i="25"/>
  <c r="V1934" i="25" l="1"/>
  <c r="T1934" i="25"/>
  <c r="J1986" i="25"/>
  <c r="U1985" i="25"/>
  <c r="K1935" i="25"/>
  <c r="V1935" i="25" l="1"/>
  <c r="T1935" i="25"/>
  <c r="J1987" i="25"/>
  <c r="U1986" i="25"/>
  <c r="K1936" i="25"/>
  <c r="V1936" i="25" l="1"/>
  <c r="T1936" i="25"/>
  <c r="J1988" i="25"/>
  <c r="U1987" i="25"/>
  <c r="K1937" i="25"/>
  <c r="V1937" i="25" l="1"/>
  <c r="T1937" i="25"/>
  <c r="J1989" i="25"/>
  <c r="U1988" i="25"/>
  <c r="K1938" i="25"/>
  <c r="V1938" i="25" l="1"/>
  <c r="T1938" i="25"/>
  <c r="J1990" i="25"/>
  <c r="U1989" i="25"/>
  <c r="K1939" i="25"/>
  <c r="V1939" i="25" l="1"/>
  <c r="T1939" i="25"/>
  <c r="J1991" i="25"/>
  <c r="U1990" i="25"/>
  <c r="K1940" i="25"/>
  <c r="V1940" i="25" l="1"/>
  <c r="T1940" i="25"/>
  <c r="J1992" i="25"/>
  <c r="U1991" i="25"/>
  <c r="K1941" i="25"/>
  <c r="V1941" i="25" l="1"/>
  <c r="T1941" i="25"/>
  <c r="J1993" i="25"/>
  <c r="U1992" i="25"/>
  <c r="K1942" i="25"/>
  <c r="V1942" i="25" l="1"/>
  <c r="T1942" i="25"/>
  <c r="J1994" i="25"/>
  <c r="U1993" i="25"/>
  <c r="K1943" i="25"/>
  <c r="V1943" i="25" l="1"/>
  <c r="T1943" i="25"/>
  <c r="J1995" i="25"/>
  <c r="U1994" i="25"/>
  <c r="K1944" i="25"/>
  <c r="V1944" i="25" l="1"/>
  <c r="T1944" i="25"/>
  <c r="J1996" i="25"/>
  <c r="U1995" i="25"/>
  <c r="K1945" i="25"/>
  <c r="V1945" i="25" l="1"/>
  <c r="T1945" i="25"/>
  <c r="J1997" i="25"/>
  <c r="U1996" i="25"/>
  <c r="K1946" i="25"/>
  <c r="V1946" i="25" l="1"/>
  <c r="T1946" i="25"/>
  <c r="J1998" i="25"/>
  <c r="U1997" i="25"/>
  <c r="K1947" i="25"/>
  <c r="V1947" i="25" l="1"/>
  <c r="T1947" i="25"/>
  <c r="J1999" i="25"/>
  <c r="U1998" i="25"/>
  <c r="K1948" i="25"/>
  <c r="V1948" i="25" l="1"/>
  <c r="T1948" i="25"/>
  <c r="J2000" i="25"/>
  <c r="U1999" i="25"/>
  <c r="K1949" i="25"/>
  <c r="V1949" i="25" l="1"/>
  <c r="T1949" i="25"/>
  <c r="J2001" i="25"/>
  <c r="U2000" i="25"/>
  <c r="K1950" i="25"/>
  <c r="V1950" i="25" l="1"/>
  <c r="T1950" i="25"/>
  <c r="J2002" i="25"/>
  <c r="U2001" i="25"/>
  <c r="T1951" i="25" l="1"/>
  <c r="K1951" i="25"/>
  <c r="V1951" i="25" s="1"/>
  <c r="J2003" i="25"/>
  <c r="U2002" i="25"/>
  <c r="K1952" i="25"/>
  <c r="V1952" i="25" l="1"/>
  <c r="T1952" i="25"/>
  <c r="J2004" i="25"/>
  <c r="U2003" i="25"/>
  <c r="K1953" i="25"/>
  <c r="V1953" i="25" l="1"/>
  <c r="T1953" i="25"/>
  <c r="J2005" i="25"/>
  <c r="U2004" i="25"/>
  <c r="K1954" i="25"/>
  <c r="V1954" i="25" l="1"/>
  <c r="T1954" i="25"/>
  <c r="J2006" i="25"/>
  <c r="U2005" i="25"/>
  <c r="K1955" i="25"/>
  <c r="V1955" i="25" l="1"/>
  <c r="T1955" i="25"/>
  <c r="J2007" i="25"/>
  <c r="U2006" i="25"/>
  <c r="K1956" i="25"/>
  <c r="V1956" i="25" l="1"/>
  <c r="T1956" i="25"/>
  <c r="J2008" i="25"/>
  <c r="U2007" i="25"/>
  <c r="K1957" i="25"/>
  <c r="V1957" i="25" l="1"/>
  <c r="T1957" i="25"/>
  <c r="J2009" i="25"/>
  <c r="U2008" i="25"/>
  <c r="K1958" i="25"/>
  <c r="V1958" i="25" l="1"/>
  <c r="T1958" i="25"/>
  <c r="J2010" i="25"/>
  <c r="U2009" i="25"/>
  <c r="K1959" i="25"/>
  <c r="V1959" i="25" l="1"/>
  <c r="T1959" i="25"/>
  <c r="J2011" i="25"/>
  <c r="U2010" i="25"/>
  <c r="K1960" i="25"/>
  <c r="V1960" i="25" l="1"/>
  <c r="K1961" i="25"/>
  <c r="T1960" i="25"/>
  <c r="J2012" i="25"/>
  <c r="U2011" i="25"/>
  <c r="V1961" i="25" l="1"/>
  <c r="T1961" i="25"/>
  <c r="J2013" i="25"/>
  <c r="U2012" i="25"/>
  <c r="K1962" i="25"/>
  <c r="V1962" i="25" l="1"/>
  <c r="T1962" i="25"/>
  <c r="J2014" i="25"/>
  <c r="U2013" i="25"/>
  <c r="K1963" i="25"/>
  <c r="V1963" i="25" l="1"/>
  <c r="T1963" i="25"/>
  <c r="J2015" i="25"/>
  <c r="U2014" i="25"/>
  <c r="K1964" i="25"/>
  <c r="V1964" i="25" l="1"/>
  <c r="T1964" i="25"/>
  <c r="J2016" i="25"/>
  <c r="U2015" i="25"/>
  <c r="K1965" i="25"/>
  <c r="V1965" i="25" l="1"/>
  <c r="T1965" i="25"/>
  <c r="J2017" i="25"/>
  <c r="U2016" i="25"/>
  <c r="K1966" i="25"/>
  <c r="V1966" i="25" l="1"/>
  <c r="K1967" i="25"/>
  <c r="T1966" i="25"/>
  <c r="J2018" i="25"/>
  <c r="U2017" i="25"/>
  <c r="V1967" i="25" l="1"/>
  <c r="T1967" i="25"/>
  <c r="J2019" i="25"/>
  <c r="U2018" i="25"/>
  <c r="K1968" i="25"/>
  <c r="V1968" i="25" l="1"/>
  <c r="T1968" i="25"/>
  <c r="J2020" i="25"/>
  <c r="U2019" i="25"/>
  <c r="K1969" i="25"/>
  <c r="V1969" i="25" l="1"/>
  <c r="T1969" i="25"/>
  <c r="J2021" i="25"/>
  <c r="U2020" i="25"/>
  <c r="K1970" i="25"/>
  <c r="V1970" i="25" l="1"/>
  <c r="T1970" i="25"/>
  <c r="J2022" i="25"/>
  <c r="U2021" i="25"/>
  <c r="K1971" i="25"/>
  <c r="V1971" i="25" l="1"/>
  <c r="T1971" i="25"/>
  <c r="J2023" i="25"/>
  <c r="U2022" i="25"/>
  <c r="K1972" i="25"/>
  <c r="V1972" i="25" l="1"/>
  <c r="K1973" i="25"/>
  <c r="T1972" i="25"/>
  <c r="J2024" i="25"/>
  <c r="U2023" i="25"/>
  <c r="V1973" i="25" l="1"/>
  <c r="T1973" i="25"/>
  <c r="J2025" i="25"/>
  <c r="U2024" i="25"/>
  <c r="K1974" i="25"/>
  <c r="V1974" i="25" l="1"/>
  <c r="T1974" i="25"/>
  <c r="J2026" i="25"/>
  <c r="U2025" i="25"/>
  <c r="K1975" i="25"/>
  <c r="V1975" i="25" l="1"/>
  <c r="T1975" i="25"/>
  <c r="J2027" i="25"/>
  <c r="U2026" i="25"/>
  <c r="K1976" i="25"/>
  <c r="V1976" i="25" l="1"/>
  <c r="T1976" i="25"/>
  <c r="J2028" i="25"/>
  <c r="U2027" i="25"/>
  <c r="K1977" i="25"/>
  <c r="V1977" i="25" l="1"/>
  <c r="T1977" i="25"/>
  <c r="J2029" i="25"/>
  <c r="U2028" i="25"/>
  <c r="K1978" i="25"/>
  <c r="V1978" i="25" l="1"/>
  <c r="K1979" i="25"/>
  <c r="T1978" i="25"/>
  <c r="J2030" i="25"/>
  <c r="U2029" i="25"/>
  <c r="V1979" i="25" l="1"/>
  <c r="T1979" i="25"/>
  <c r="J2031" i="25"/>
  <c r="U2030" i="25"/>
  <c r="K1980" i="25"/>
  <c r="V1980" i="25" l="1"/>
  <c r="T1980" i="25"/>
  <c r="J2032" i="25"/>
  <c r="U2031" i="25"/>
  <c r="K1981" i="25"/>
  <c r="V1981" i="25" l="1"/>
  <c r="T1981" i="25"/>
  <c r="J2033" i="25"/>
  <c r="U2032" i="25"/>
  <c r="K1982" i="25"/>
  <c r="V1982" i="25" l="1"/>
  <c r="T1982" i="25"/>
  <c r="J2034" i="25"/>
  <c r="U2033" i="25"/>
  <c r="K1983" i="25"/>
  <c r="V1983" i="25" l="1"/>
  <c r="T1983" i="25"/>
  <c r="J2035" i="25"/>
  <c r="U2034" i="25"/>
  <c r="K1984" i="25"/>
  <c r="V1984" i="25" l="1"/>
  <c r="T1984" i="25"/>
  <c r="J2036" i="25"/>
  <c r="U2035" i="25"/>
  <c r="K1985" i="25"/>
  <c r="V1985" i="25" l="1"/>
  <c r="T1985" i="25"/>
  <c r="J2037" i="25"/>
  <c r="U2036" i="25"/>
  <c r="K1986" i="25"/>
  <c r="V1986" i="25" l="1"/>
  <c r="T1986" i="25"/>
  <c r="J2038" i="25"/>
  <c r="U2037" i="25"/>
  <c r="K1987" i="25"/>
  <c r="V1987" i="25" l="1"/>
  <c r="T1987" i="25"/>
  <c r="J2039" i="25"/>
  <c r="U2038" i="25"/>
  <c r="K1988" i="25"/>
  <c r="V1988" i="25" l="1"/>
  <c r="T1988" i="25"/>
  <c r="J2040" i="25"/>
  <c r="U2039" i="25"/>
  <c r="K1989" i="25"/>
  <c r="V1989" i="25" l="1"/>
  <c r="T1989" i="25"/>
  <c r="J2041" i="25"/>
  <c r="U2040" i="25"/>
  <c r="K1990" i="25"/>
  <c r="V1990" i="25" l="1"/>
  <c r="T1990" i="25"/>
  <c r="J2042" i="25"/>
  <c r="U2041" i="25"/>
  <c r="K1991" i="25"/>
  <c r="V1991" i="25" l="1"/>
  <c r="T1991" i="25"/>
  <c r="J2043" i="25"/>
  <c r="U2042" i="25"/>
  <c r="K1992" i="25"/>
  <c r="V1992" i="25" l="1"/>
  <c r="T1992" i="25"/>
  <c r="J2044" i="25"/>
  <c r="U2043" i="25"/>
  <c r="K1993" i="25"/>
  <c r="V1993" i="25" l="1"/>
  <c r="T1993" i="25"/>
  <c r="J2045" i="25"/>
  <c r="U2044" i="25"/>
  <c r="K1994" i="25"/>
  <c r="V1994" i="25" l="1"/>
  <c r="T1994" i="25"/>
  <c r="J2046" i="25"/>
  <c r="U2045" i="25"/>
  <c r="K1995" i="25"/>
  <c r="V1995" i="25" l="1"/>
  <c r="T1995" i="25"/>
  <c r="J2047" i="25"/>
  <c r="U2046" i="25"/>
  <c r="K1996" i="25"/>
  <c r="V1996" i="25" l="1"/>
  <c r="T1996" i="25"/>
  <c r="J2048" i="25"/>
  <c r="U2047" i="25"/>
  <c r="K1997" i="25"/>
  <c r="V1997" i="25" l="1"/>
  <c r="T1997" i="25"/>
  <c r="J2049" i="25"/>
  <c r="U2048" i="25"/>
  <c r="K1998" i="25"/>
  <c r="V1998" i="25" l="1"/>
  <c r="T1998" i="25"/>
  <c r="J2050" i="25"/>
  <c r="U2049" i="25"/>
  <c r="K1999" i="25"/>
  <c r="V1999" i="25" l="1"/>
  <c r="T1999" i="25"/>
  <c r="J2051" i="25"/>
  <c r="U2050" i="25"/>
  <c r="T2000" i="25" l="1"/>
  <c r="K2000" i="25"/>
  <c r="V2000" i="25" s="1"/>
  <c r="J2052" i="25"/>
  <c r="U2051" i="25"/>
  <c r="K2001" i="25"/>
  <c r="V2001" i="25" l="1"/>
  <c r="T2001" i="25"/>
  <c r="J2053" i="25"/>
  <c r="U2052" i="25"/>
  <c r="K2002" i="25"/>
  <c r="V2002" i="25" l="1"/>
  <c r="T2002" i="25"/>
  <c r="J2054" i="25"/>
  <c r="U2053" i="25"/>
  <c r="K2003" i="25"/>
  <c r="V2003" i="25" l="1"/>
  <c r="T2003" i="25"/>
  <c r="J2055" i="25"/>
  <c r="U2054" i="25"/>
  <c r="K2004" i="25"/>
  <c r="V2004" i="25" l="1"/>
  <c r="T2004" i="25"/>
  <c r="J2056" i="25"/>
  <c r="U2055" i="25"/>
  <c r="K2005" i="25"/>
  <c r="V2005" i="25" l="1"/>
  <c r="T2005" i="25"/>
  <c r="J2057" i="25"/>
  <c r="U2056" i="25"/>
  <c r="K2006" i="25"/>
  <c r="V2006" i="25" l="1"/>
  <c r="T2006" i="25"/>
  <c r="J2058" i="25"/>
  <c r="U2057" i="25"/>
  <c r="K2007" i="25"/>
  <c r="V2007" i="25" l="1"/>
  <c r="T2007" i="25"/>
  <c r="J2059" i="25"/>
  <c r="U2058" i="25"/>
  <c r="K2008" i="25"/>
  <c r="V2008" i="25" l="1"/>
  <c r="T2008" i="25"/>
  <c r="J2060" i="25"/>
  <c r="U2059" i="25"/>
  <c r="K2009" i="25"/>
  <c r="V2009" i="25" l="1"/>
  <c r="T2009" i="25"/>
  <c r="J2061" i="25"/>
  <c r="U2060" i="25"/>
  <c r="K2010" i="25"/>
  <c r="V2010" i="25" l="1"/>
  <c r="T2010" i="25"/>
  <c r="J2062" i="25"/>
  <c r="U2061" i="25"/>
  <c r="K2011" i="25"/>
  <c r="V2011" i="25" l="1"/>
  <c r="T2011" i="25"/>
  <c r="J2063" i="25"/>
  <c r="U2062" i="25"/>
  <c r="K2012" i="25"/>
  <c r="V2012" i="25" l="1"/>
  <c r="T2012" i="25"/>
  <c r="J2064" i="25"/>
  <c r="U2063" i="25"/>
  <c r="K2013" i="25"/>
  <c r="V2013" i="25" l="1"/>
  <c r="T2013" i="25"/>
  <c r="J2065" i="25"/>
  <c r="U2064" i="25"/>
  <c r="K2014" i="25"/>
  <c r="V2014" i="25" l="1"/>
  <c r="T2014" i="25"/>
  <c r="J2066" i="25"/>
  <c r="U2065" i="25"/>
  <c r="K2015" i="25"/>
  <c r="V2015" i="25" l="1"/>
  <c r="T2015" i="25"/>
  <c r="J2067" i="25"/>
  <c r="U2066" i="25"/>
  <c r="K2016" i="25"/>
  <c r="V2016" i="25" l="1"/>
  <c r="T2016" i="25"/>
  <c r="J2068" i="25"/>
  <c r="U2067" i="25"/>
  <c r="K2017" i="25"/>
  <c r="V2017" i="25" l="1"/>
  <c r="T2017" i="25"/>
  <c r="J2069" i="25"/>
  <c r="U2068" i="25"/>
  <c r="K2018" i="25"/>
  <c r="V2018" i="25" l="1"/>
  <c r="T2018" i="25"/>
  <c r="J2070" i="25"/>
  <c r="U2069" i="25"/>
  <c r="K2019" i="25"/>
  <c r="V2019" i="25" l="1"/>
  <c r="T2019" i="25"/>
  <c r="J2071" i="25"/>
  <c r="U2070" i="25"/>
  <c r="K2020" i="25"/>
  <c r="V2020" i="25" l="1"/>
  <c r="T2020" i="25"/>
  <c r="J2072" i="25"/>
  <c r="U2071" i="25"/>
  <c r="K2021" i="25"/>
  <c r="V2021" i="25" l="1"/>
  <c r="T2021" i="25"/>
  <c r="J2073" i="25"/>
  <c r="U2072" i="25"/>
  <c r="K2022" i="25"/>
  <c r="V2022" i="25" l="1"/>
  <c r="T2022" i="25"/>
  <c r="J2074" i="25"/>
  <c r="U2073" i="25"/>
  <c r="K2023" i="25"/>
  <c r="V2023" i="25" l="1"/>
  <c r="T2023" i="25"/>
  <c r="J2075" i="25"/>
  <c r="U2074" i="25"/>
  <c r="K2024" i="25"/>
  <c r="V2024" i="25" l="1"/>
  <c r="T2024" i="25"/>
  <c r="J2076" i="25"/>
  <c r="U2075" i="25"/>
  <c r="K2025" i="25"/>
  <c r="V2025" i="25" l="1"/>
  <c r="T2025" i="25"/>
  <c r="J2077" i="25"/>
  <c r="U2076" i="25"/>
  <c r="K2026" i="25"/>
  <c r="V2026" i="25" l="1"/>
  <c r="T2026" i="25"/>
  <c r="J2078" i="25"/>
  <c r="U2077" i="25"/>
  <c r="K2027" i="25"/>
  <c r="V2027" i="25" l="1"/>
  <c r="T2027" i="25"/>
  <c r="J2079" i="25"/>
  <c r="U2078" i="25"/>
  <c r="K2028" i="25"/>
  <c r="V2028" i="25" l="1"/>
  <c r="T2028" i="25"/>
  <c r="J2080" i="25"/>
  <c r="U2079" i="25"/>
  <c r="K2029" i="25"/>
  <c r="V2029" i="25" l="1"/>
  <c r="T2029" i="25"/>
  <c r="J2081" i="25"/>
  <c r="U2080" i="25"/>
  <c r="K2030" i="25"/>
  <c r="V2030" i="25" l="1"/>
  <c r="T2030" i="25"/>
  <c r="J2082" i="25"/>
  <c r="U2081" i="25"/>
  <c r="K2031" i="25"/>
  <c r="V2031" i="25" l="1"/>
  <c r="T2031" i="25"/>
  <c r="J2083" i="25"/>
  <c r="U2082" i="25"/>
  <c r="K2032" i="25"/>
  <c r="V2032" i="25" l="1"/>
  <c r="T2032" i="25"/>
  <c r="J2084" i="25"/>
  <c r="U2083" i="25"/>
  <c r="K2033" i="25"/>
  <c r="V2033" i="25" l="1"/>
  <c r="T2033" i="25"/>
  <c r="J2085" i="25"/>
  <c r="U2084" i="25"/>
  <c r="K2034" i="25"/>
  <c r="V2034" i="25" l="1"/>
  <c r="T2034" i="25"/>
  <c r="J2086" i="25"/>
  <c r="U2085" i="25"/>
  <c r="K2035" i="25"/>
  <c r="V2035" i="25" l="1"/>
  <c r="T2035" i="25"/>
  <c r="J2087" i="25"/>
  <c r="U2086" i="25"/>
  <c r="K2036" i="25"/>
  <c r="V2036" i="25" l="1"/>
  <c r="T2036" i="25"/>
  <c r="J2088" i="25"/>
  <c r="U2087" i="25"/>
  <c r="K2037" i="25"/>
  <c r="V2037" i="25" l="1"/>
  <c r="T2037" i="25"/>
  <c r="J2089" i="25"/>
  <c r="U2088" i="25"/>
  <c r="K2038" i="25"/>
  <c r="V2038" i="25" l="1"/>
  <c r="T2038" i="25"/>
  <c r="J2090" i="25"/>
  <c r="U2089" i="25"/>
  <c r="K2039" i="25"/>
  <c r="V2039" i="25" l="1"/>
  <c r="T2039" i="25"/>
  <c r="J2091" i="25"/>
  <c r="U2090" i="25"/>
  <c r="K2040" i="25"/>
  <c r="V2040" i="25" l="1"/>
  <c r="T2040" i="25"/>
  <c r="J2092" i="25"/>
  <c r="U2091" i="25"/>
  <c r="K2041" i="25"/>
  <c r="V2041" i="25" l="1"/>
  <c r="T2041" i="25"/>
  <c r="J2093" i="25"/>
  <c r="U2092" i="25"/>
  <c r="K2042" i="25"/>
  <c r="V2042" i="25" l="1"/>
  <c r="T2042" i="25"/>
  <c r="J2094" i="25"/>
  <c r="U2093" i="25"/>
  <c r="K2043" i="25"/>
  <c r="V2043" i="25" l="1"/>
  <c r="T2043" i="25"/>
  <c r="J2095" i="25"/>
  <c r="U2094" i="25"/>
  <c r="K2044" i="25"/>
  <c r="V2044" i="25" l="1"/>
  <c r="T2044" i="25"/>
  <c r="J2096" i="25"/>
  <c r="U2095" i="25"/>
  <c r="K2045" i="25"/>
  <c r="V2045" i="25" l="1"/>
  <c r="T2045" i="25"/>
  <c r="J2097" i="25"/>
  <c r="U2096" i="25"/>
  <c r="K2046" i="25"/>
  <c r="V2046" i="25" l="1"/>
  <c r="K2047" i="25"/>
  <c r="T2046" i="25"/>
  <c r="J2098" i="25"/>
  <c r="U2097" i="25"/>
  <c r="V2047" i="25" l="1"/>
  <c r="T2047" i="25"/>
  <c r="J2099" i="25"/>
  <c r="U2098" i="25"/>
  <c r="K2048" i="25"/>
  <c r="V2048" i="25" l="1"/>
  <c r="T2048" i="25"/>
  <c r="J2100" i="25"/>
  <c r="U2099" i="25"/>
  <c r="K2049" i="25"/>
  <c r="V2049" i="25" l="1"/>
  <c r="T2049" i="25"/>
  <c r="J2101" i="25"/>
  <c r="U2100" i="25"/>
  <c r="K2050" i="25"/>
  <c r="V2050" i="25" l="1"/>
  <c r="T2050" i="25"/>
  <c r="J2102" i="25"/>
  <c r="U2101" i="25"/>
  <c r="K2051" i="25"/>
  <c r="V2051" i="25" l="1"/>
  <c r="T2051" i="25"/>
  <c r="J2103" i="25"/>
  <c r="U2102" i="25"/>
  <c r="K2052" i="25"/>
  <c r="V2052" i="25" l="1"/>
  <c r="T2052" i="25"/>
  <c r="J2104" i="25"/>
  <c r="U2103" i="25"/>
  <c r="K2053" i="25"/>
  <c r="V2053" i="25" l="1"/>
  <c r="T2053" i="25"/>
  <c r="J2105" i="25"/>
  <c r="U2104" i="25"/>
  <c r="K2054" i="25"/>
  <c r="V2054" i="25" l="1"/>
  <c r="T2054" i="25"/>
  <c r="J2106" i="25"/>
  <c r="U2105" i="25"/>
  <c r="K2055" i="25"/>
  <c r="V2055" i="25" l="1"/>
  <c r="T2055" i="25"/>
  <c r="J2107" i="25"/>
  <c r="U2106" i="25"/>
  <c r="K2056" i="25"/>
  <c r="V2056" i="25" l="1"/>
  <c r="T2056" i="25"/>
  <c r="J2108" i="25"/>
  <c r="U2107" i="25"/>
  <c r="K2057" i="25"/>
  <c r="V2057" i="25" l="1"/>
  <c r="T2057" i="25"/>
  <c r="J2109" i="25"/>
  <c r="U2108" i="25"/>
  <c r="K2058" i="25"/>
  <c r="V2058" i="25" l="1"/>
  <c r="T2058" i="25"/>
  <c r="J2110" i="25"/>
  <c r="U2109" i="25"/>
  <c r="K2059" i="25"/>
  <c r="V2059" i="25" l="1"/>
  <c r="T2059" i="25"/>
  <c r="J2111" i="25"/>
  <c r="U2110" i="25"/>
  <c r="K2060" i="25"/>
  <c r="V2060" i="25" l="1"/>
  <c r="T2060" i="25"/>
  <c r="J2112" i="25"/>
  <c r="U2111" i="25"/>
  <c r="K2061" i="25"/>
  <c r="V2061" i="25" l="1"/>
  <c r="T2061" i="25"/>
  <c r="J2113" i="25"/>
  <c r="U2112" i="25"/>
  <c r="T2062" i="25" l="1"/>
  <c r="K2062" i="25"/>
  <c r="V2062" i="25" s="1"/>
  <c r="J2114" i="25"/>
  <c r="U2113" i="25"/>
  <c r="K2063" i="25"/>
  <c r="V2063" i="25" l="1"/>
  <c r="T2063" i="25"/>
  <c r="J2115" i="25"/>
  <c r="U2114" i="25"/>
  <c r="K2064" i="25"/>
  <c r="V2064" i="25" l="1"/>
  <c r="T2064" i="25"/>
  <c r="J2116" i="25"/>
  <c r="U2115" i="25"/>
  <c r="K2065" i="25"/>
  <c r="V2065" i="25" l="1"/>
  <c r="T2065" i="25"/>
  <c r="J2117" i="25"/>
  <c r="U2116" i="25"/>
  <c r="T2066" i="25" l="1"/>
  <c r="K2066" i="25"/>
  <c r="V2066" i="25" s="1"/>
  <c r="J2118" i="25"/>
  <c r="U2117" i="25"/>
  <c r="K2067" i="25"/>
  <c r="V2067" i="25" l="1"/>
  <c r="T2067" i="25"/>
  <c r="J2119" i="25"/>
  <c r="U2118" i="25"/>
  <c r="K2068" i="25"/>
  <c r="V2068" i="25" l="1"/>
  <c r="T2068" i="25"/>
  <c r="J2120" i="25"/>
  <c r="U2119" i="25"/>
  <c r="K2069" i="25"/>
  <c r="V2069" i="25" l="1"/>
  <c r="T2069" i="25"/>
  <c r="J2121" i="25"/>
  <c r="U2120" i="25"/>
  <c r="K2070" i="25"/>
  <c r="V2070" i="25" l="1"/>
  <c r="T2070" i="25"/>
  <c r="J2122" i="25"/>
  <c r="U2121" i="25"/>
  <c r="K2071" i="25"/>
  <c r="V2071" i="25" l="1"/>
  <c r="T2071" i="25"/>
  <c r="J2123" i="25"/>
  <c r="U2122" i="25"/>
  <c r="K2072" i="25"/>
  <c r="V2072" i="25" l="1"/>
  <c r="T2072" i="25"/>
  <c r="J2124" i="25"/>
  <c r="U2123" i="25"/>
  <c r="K2073" i="25"/>
  <c r="V2073" i="25" l="1"/>
  <c r="T2073" i="25"/>
  <c r="J2125" i="25"/>
  <c r="U2124" i="25"/>
  <c r="K2074" i="25"/>
  <c r="V2074" i="25" l="1"/>
  <c r="T2074" i="25"/>
  <c r="J2126" i="25"/>
  <c r="U2125" i="25"/>
  <c r="K2075" i="25"/>
  <c r="V2075" i="25" l="1"/>
  <c r="T2075" i="25"/>
  <c r="J2127" i="25"/>
  <c r="U2126" i="25"/>
  <c r="K2076" i="25"/>
  <c r="V2076" i="25" l="1"/>
  <c r="T2076" i="25"/>
  <c r="J2128" i="25"/>
  <c r="U2127" i="25"/>
  <c r="K2077" i="25"/>
  <c r="V2077" i="25" l="1"/>
  <c r="T2077" i="25"/>
  <c r="J2129" i="25"/>
  <c r="U2128" i="25"/>
  <c r="K2078" i="25"/>
  <c r="V2078" i="25" l="1"/>
  <c r="T2078" i="25"/>
  <c r="J2130" i="25"/>
  <c r="U2129" i="25"/>
  <c r="K2079" i="25"/>
  <c r="V2079" i="25" l="1"/>
  <c r="K2080" i="25"/>
  <c r="T2079" i="25"/>
  <c r="J2131" i="25"/>
  <c r="U2130" i="25"/>
  <c r="V2080" i="25" l="1"/>
  <c r="T2080" i="25"/>
  <c r="J2132" i="25"/>
  <c r="U2131" i="25"/>
  <c r="K2081" i="25"/>
  <c r="V2081" i="25" l="1"/>
  <c r="T2081" i="25"/>
  <c r="J2133" i="25"/>
  <c r="U2132" i="25"/>
  <c r="K2082" i="25"/>
  <c r="V2082" i="25" l="1"/>
  <c r="T2082" i="25"/>
  <c r="J2134" i="25"/>
  <c r="U2133" i="25"/>
  <c r="K2083" i="25"/>
  <c r="V2083" i="25" l="1"/>
  <c r="T2083" i="25"/>
  <c r="J2135" i="25"/>
  <c r="U2134" i="25"/>
  <c r="K2084" i="25"/>
  <c r="V2084" i="25" l="1"/>
  <c r="T2084" i="25"/>
  <c r="J2136" i="25"/>
  <c r="U2135" i="25"/>
  <c r="K2085" i="25"/>
  <c r="V2085" i="25" l="1"/>
  <c r="T2085" i="25"/>
  <c r="J2137" i="25"/>
  <c r="U2136" i="25"/>
  <c r="K2086" i="25"/>
  <c r="V2086" i="25" l="1"/>
  <c r="T2086" i="25"/>
  <c r="J2138" i="25"/>
  <c r="U2137" i="25"/>
  <c r="K2087" i="25"/>
  <c r="V2087" i="25" l="1"/>
  <c r="T2087" i="25"/>
  <c r="J2139" i="25"/>
  <c r="U2138" i="25"/>
  <c r="K2088" i="25"/>
  <c r="V2088" i="25" l="1"/>
  <c r="T2088" i="25"/>
  <c r="J2140" i="25"/>
  <c r="U2139" i="25"/>
  <c r="K2089" i="25"/>
  <c r="V2089" i="25" l="1"/>
  <c r="T2089" i="25"/>
  <c r="J2141" i="25"/>
  <c r="U2140" i="25"/>
  <c r="K2090" i="25"/>
  <c r="V2090" i="25" l="1"/>
  <c r="T2090" i="25"/>
  <c r="J2142" i="25"/>
  <c r="U2141" i="25"/>
  <c r="K2091" i="25"/>
  <c r="V2091" i="25" l="1"/>
  <c r="T2091" i="25"/>
  <c r="J2143" i="25"/>
  <c r="U2142" i="25"/>
  <c r="K2092" i="25"/>
  <c r="V2092" i="25" l="1"/>
  <c r="T2092" i="25"/>
  <c r="J2144" i="25"/>
  <c r="U2143" i="25"/>
  <c r="K2093" i="25"/>
  <c r="V2093" i="25" l="1"/>
  <c r="T2093" i="25"/>
  <c r="J2145" i="25"/>
  <c r="U2144" i="25"/>
  <c r="K2094" i="25"/>
  <c r="V2094" i="25" l="1"/>
  <c r="K2095" i="25"/>
  <c r="T2094" i="25"/>
  <c r="J2146" i="25"/>
  <c r="U2145" i="25"/>
  <c r="V2095" i="25" l="1"/>
  <c r="T2095" i="25"/>
  <c r="J2147" i="25"/>
  <c r="U2146" i="25"/>
  <c r="K2096" i="25"/>
  <c r="V2096" i="25" l="1"/>
  <c r="T2096" i="25"/>
  <c r="J2148" i="25"/>
  <c r="U2147" i="25"/>
  <c r="K2097" i="25"/>
  <c r="V2097" i="25" l="1"/>
  <c r="T2097" i="25"/>
  <c r="J2149" i="25"/>
  <c r="U2148" i="25"/>
  <c r="K2098" i="25"/>
  <c r="V2098" i="25" l="1"/>
  <c r="T2098" i="25"/>
  <c r="J2150" i="25"/>
  <c r="U2149" i="25"/>
  <c r="K2099" i="25"/>
  <c r="V2099" i="25" l="1"/>
  <c r="T2099" i="25"/>
  <c r="J2151" i="25"/>
  <c r="U2150" i="25"/>
  <c r="K2100" i="25"/>
  <c r="V2100" i="25" l="1"/>
  <c r="T2100" i="25"/>
  <c r="J2152" i="25"/>
  <c r="U2151" i="25"/>
  <c r="K2101" i="25"/>
  <c r="V2101" i="25" l="1"/>
  <c r="T2101" i="25"/>
  <c r="J2153" i="25"/>
  <c r="U2152" i="25"/>
  <c r="K2102" i="25"/>
  <c r="V2102" i="25" l="1"/>
  <c r="T2102" i="25"/>
  <c r="J2154" i="25"/>
  <c r="U2153" i="25"/>
  <c r="K2103" i="25"/>
  <c r="V2103" i="25" l="1"/>
  <c r="T2103" i="25"/>
  <c r="J2155" i="25"/>
  <c r="U2154" i="25"/>
  <c r="K2104" i="25"/>
  <c r="V2104" i="25" l="1"/>
  <c r="T2104" i="25"/>
  <c r="J2156" i="25"/>
  <c r="U2155" i="25"/>
  <c r="K2105" i="25"/>
  <c r="V2105" i="25" l="1"/>
  <c r="T2105" i="25"/>
  <c r="J2157" i="25"/>
  <c r="U2156" i="25"/>
  <c r="T2106" i="25" l="1"/>
  <c r="K2106" i="25"/>
  <c r="V2106" i="25" s="1"/>
  <c r="J2158" i="25"/>
  <c r="U2157" i="25"/>
  <c r="K2107" i="25"/>
  <c r="V2107" i="25" l="1"/>
  <c r="T2107" i="25"/>
  <c r="J2159" i="25"/>
  <c r="U2158" i="25"/>
  <c r="K2108" i="25"/>
  <c r="V2108" i="25" l="1"/>
  <c r="T2108" i="25"/>
  <c r="J2160" i="25"/>
  <c r="U2159" i="25"/>
  <c r="K2109" i="25"/>
  <c r="V2109" i="25" l="1"/>
  <c r="T2109" i="25"/>
  <c r="J2161" i="25"/>
  <c r="U2160" i="25"/>
  <c r="K2110" i="25"/>
  <c r="V2110" i="25" l="1"/>
  <c r="T2110" i="25"/>
  <c r="J2162" i="25"/>
  <c r="U2161" i="25"/>
  <c r="K2111" i="25"/>
  <c r="V2111" i="25" l="1"/>
  <c r="T2111" i="25"/>
  <c r="J2163" i="25"/>
  <c r="U2162" i="25"/>
  <c r="K2112" i="25"/>
  <c r="V2112" i="25" l="1"/>
  <c r="T2112" i="25"/>
  <c r="J2164" i="25"/>
  <c r="U2163" i="25"/>
  <c r="K2113" i="25"/>
  <c r="V2113" i="25" l="1"/>
  <c r="T2113" i="25"/>
  <c r="J2165" i="25"/>
  <c r="U2164" i="25"/>
  <c r="K2114" i="25"/>
  <c r="V2114" i="25" l="1"/>
  <c r="T2114" i="25"/>
  <c r="J2166" i="25"/>
  <c r="U2165" i="25"/>
  <c r="K2115" i="25"/>
  <c r="V2115" i="25" l="1"/>
  <c r="T2115" i="25"/>
  <c r="J2167" i="25"/>
  <c r="U2166" i="25"/>
  <c r="K2116" i="25"/>
  <c r="V2116" i="25" l="1"/>
  <c r="T2116" i="25"/>
  <c r="J2168" i="25"/>
  <c r="U2167" i="25"/>
  <c r="K2117" i="25"/>
  <c r="V2117" i="25" l="1"/>
  <c r="T2117" i="25"/>
  <c r="J2169" i="25"/>
  <c r="U2168" i="25"/>
  <c r="K2118" i="25"/>
  <c r="V2118" i="25" l="1"/>
  <c r="T2118" i="25"/>
  <c r="J2170" i="25"/>
  <c r="U2169" i="25"/>
  <c r="K2119" i="25"/>
  <c r="V2119" i="25" l="1"/>
  <c r="T2119" i="25"/>
  <c r="J2171" i="25"/>
  <c r="U2170" i="25"/>
  <c r="K2120" i="25"/>
  <c r="V2120" i="25" l="1"/>
  <c r="K2121" i="25"/>
  <c r="T2120" i="25"/>
  <c r="J2172" i="25"/>
  <c r="U2171" i="25"/>
  <c r="V2121" i="25" l="1"/>
  <c r="T2121" i="25"/>
  <c r="J2173" i="25"/>
  <c r="U2172" i="25"/>
  <c r="K2122" i="25"/>
  <c r="V2122" i="25" l="1"/>
  <c r="T2122" i="25"/>
  <c r="J2174" i="25"/>
  <c r="U2173" i="25"/>
  <c r="K2123" i="25"/>
  <c r="V2123" i="25" l="1"/>
  <c r="T2123" i="25"/>
  <c r="J2175" i="25"/>
  <c r="U2174" i="25"/>
  <c r="K2124" i="25"/>
  <c r="V2124" i="25" l="1"/>
  <c r="T2124" i="25"/>
  <c r="J2176" i="25"/>
  <c r="U2175" i="25"/>
  <c r="K2125" i="25"/>
  <c r="V2125" i="25" l="1"/>
  <c r="T2125" i="25"/>
  <c r="J2177" i="25"/>
  <c r="U2176" i="25"/>
  <c r="K2126" i="25"/>
  <c r="V2126" i="25" l="1"/>
  <c r="K2127" i="25"/>
  <c r="T2126" i="25"/>
  <c r="J2178" i="25"/>
  <c r="U2177" i="25"/>
  <c r="V2127" i="25" l="1"/>
  <c r="T2127" i="25"/>
  <c r="J2179" i="25"/>
  <c r="U2178" i="25"/>
  <c r="K2128" i="25"/>
  <c r="V2128" i="25" l="1"/>
  <c r="T2128" i="25"/>
  <c r="J2180" i="25"/>
  <c r="U2179" i="25"/>
  <c r="K2129" i="25"/>
  <c r="V2129" i="25" l="1"/>
  <c r="T2129" i="25"/>
  <c r="J2181" i="25"/>
  <c r="U2180" i="25"/>
  <c r="K2130" i="25"/>
  <c r="V2130" i="25" l="1"/>
  <c r="T2130" i="25"/>
  <c r="J2182" i="25"/>
  <c r="U2181" i="25"/>
  <c r="K2131" i="25"/>
  <c r="V2131" i="25" l="1"/>
  <c r="T2131" i="25"/>
  <c r="J2183" i="25"/>
  <c r="U2182" i="25"/>
  <c r="K2132" i="25"/>
  <c r="V2132" i="25" l="1"/>
  <c r="T2132" i="25"/>
  <c r="J2184" i="25"/>
  <c r="U2183" i="25"/>
  <c r="K2133" i="25"/>
  <c r="V2133" i="25" l="1"/>
  <c r="T2133" i="25"/>
  <c r="J2185" i="25"/>
  <c r="U2184" i="25"/>
  <c r="K2134" i="25"/>
  <c r="V2134" i="25" l="1"/>
  <c r="K2135" i="25"/>
  <c r="T2134" i="25"/>
  <c r="J2186" i="25"/>
  <c r="U2185" i="25"/>
  <c r="V2135" i="25" l="1"/>
  <c r="T2135" i="25"/>
  <c r="J2187" i="25"/>
  <c r="U2186" i="25"/>
  <c r="K2136" i="25"/>
  <c r="V2136" i="25" l="1"/>
  <c r="T2136" i="25"/>
  <c r="J2188" i="25"/>
  <c r="U2187" i="25"/>
  <c r="K2137" i="25"/>
  <c r="V2137" i="25" l="1"/>
  <c r="T2137" i="25"/>
  <c r="J2189" i="25"/>
  <c r="U2188" i="25"/>
  <c r="K2138" i="25"/>
  <c r="V2138" i="25" l="1"/>
  <c r="T2138" i="25"/>
  <c r="J2190" i="25"/>
  <c r="U2189" i="25"/>
  <c r="K2139" i="25"/>
  <c r="V2139" i="25" l="1"/>
  <c r="T2139" i="25"/>
  <c r="J2191" i="25"/>
  <c r="U2190" i="25"/>
  <c r="T2140" i="25" l="1"/>
  <c r="K2140" i="25"/>
  <c r="V2140" i="25" s="1"/>
  <c r="J2192" i="25"/>
  <c r="U2191" i="25"/>
  <c r="K2141" i="25"/>
  <c r="V2141" i="25" l="1"/>
  <c r="T2141" i="25"/>
  <c r="J2193" i="25"/>
  <c r="U2192" i="25"/>
  <c r="K2142" i="25"/>
  <c r="V2142" i="25" l="1"/>
  <c r="T2142" i="25"/>
  <c r="J2194" i="25"/>
  <c r="U2193" i="25"/>
  <c r="K2143" i="25"/>
  <c r="V2143" i="25" l="1"/>
  <c r="T2143" i="25"/>
  <c r="J2195" i="25"/>
  <c r="U2194" i="25"/>
  <c r="K2144" i="25"/>
  <c r="V2144" i="25" l="1"/>
  <c r="T2144" i="25"/>
  <c r="J2196" i="25"/>
  <c r="U2195" i="25"/>
  <c r="K2145" i="25"/>
  <c r="V2145" i="25" l="1"/>
  <c r="T2145" i="25"/>
  <c r="J2197" i="25"/>
  <c r="U2196" i="25"/>
  <c r="K2146" i="25"/>
  <c r="V2146" i="25" l="1"/>
  <c r="T2146" i="25"/>
  <c r="J2198" i="25"/>
  <c r="U2197" i="25"/>
  <c r="K2147" i="25"/>
  <c r="V2147" i="25" l="1"/>
  <c r="T2147" i="25"/>
  <c r="J2199" i="25"/>
  <c r="U2198" i="25"/>
  <c r="K2148" i="25"/>
  <c r="V2148" i="25" l="1"/>
  <c r="T2148" i="25"/>
  <c r="J2200" i="25"/>
  <c r="U2199" i="25"/>
  <c r="K2149" i="25"/>
  <c r="V2149" i="25" l="1"/>
  <c r="T2149" i="25"/>
  <c r="J2201" i="25"/>
  <c r="U2200" i="25"/>
  <c r="K2150" i="25"/>
  <c r="V2150" i="25" l="1"/>
  <c r="T2150" i="25"/>
  <c r="J2202" i="25"/>
  <c r="U2201" i="25"/>
  <c r="K2151" i="25"/>
  <c r="V2151" i="25" l="1"/>
  <c r="T2151" i="25"/>
  <c r="J2203" i="25"/>
  <c r="U2202" i="25"/>
  <c r="K2152" i="25"/>
  <c r="V2152" i="25" l="1"/>
  <c r="T2152" i="25"/>
  <c r="J2204" i="25"/>
  <c r="U2203" i="25"/>
  <c r="K2153" i="25"/>
  <c r="V2153" i="25" l="1"/>
  <c r="T2153" i="25"/>
  <c r="J2205" i="25"/>
  <c r="U2204" i="25"/>
  <c r="K2154" i="25"/>
  <c r="V2154" i="25" l="1"/>
  <c r="T2154" i="25"/>
  <c r="J2206" i="25"/>
  <c r="U2205" i="25"/>
  <c r="K2155" i="25"/>
  <c r="V2155" i="25" l="1"/>
  <c r="T2155" i="25"/>
  <c r="J2207" i="25"/>
  <c r="U2206" i="25"/>
  <c r="K2156" i="25"/>
  <c r="V2156" i="25" l="1"/>
  <c r="T2156" i="25"/>
  <c r="J2208" i="25"/>
  <c r="U2207" i="25"/>
  <c r="K2157" i="25"/>
  <c r="V2157" i="25" l="1"/>
  <c r="T2157" i="25"/>
  <c r="J2209" i="25"/>
  <c r="U2208" i="25"/>
  <c r="K2158" i="25"/>
  <c r="V2158" i="25" l="1"/>
  <c r="T2158" i="25"/>
  <c r="J2210" i="25"/>
  <c r="U2209" i="25"/>
  <c r="K2159" i="25"/>
  <c r="V2159" i="25" l="1"/>
  <c r="T2159" i="25"/>
  <c r="J2211" i="25"/>
  <c r="U2210" i="25"/>
  <c r="K2160" i="25"/>
  <c r="V2160" i="25" l="1"/>
  <c r="K2161" i="25"/>
  <c r="T2160" i="25"/>
  <c r="J2212" i="25"/>
  <c r="U2211" i="25"/>
  <c r="V2161" i="25" l="1"/>
  <c r="T2161" i="25"/>
  <c r="J2213" i="25"/>
  <c r="U2212" i="25"/>
  <c r="K2162" i="25"/>
  <c r="V2162" i="25" l="1"/>
  <c r="T2162" i="25"/>
  <c r="J2214" i="25"/>
  <c r="U2213" i="25"/>
  <c r="K2163" i="25"/>
  <c r="V2163" i="25" l="1"/>
  <c r="T2163" i="25"/>
  <c r="J2215" i="25"/>
  <c r="U2214" i="25"/>
  <c r="K2164" i="25"/>
  <c r="V2164" i="25" l="1"/>
  <c r="T2164" i="25"/>
  <c r="J2216" i="25"/>
  <c r="U2215" i="25"/>
  <c r="K2165" i="25"/>
  <c r="V2165" i="25" l="1"/>
  <c r="T2165" i="25"/>
  <c r="J2217" i="25"/>
  <c r="U2216" i="25"/>
  <c r="K2166" i="25"/>
  <c r="V2166" i="25" l="1"/>
  <c r="T2166" i="25"/>
  <c r="J2218" i="25"/>
  <c r="U2217" i="25"/>
  <c r="K2167" i="25"/>
  <c r="V2167" i="25" l="1"/>
  <c r="T2167" i="25"/>
  <c r="J2219" i="25"/>
  <c r="U2218" i="25"/>
  <c r="K2168" i="25"/>
  <c r="V2168" i="25" l="1"/>
  <c r="T2168" i="25"/>
  <c r="J2220" i="25"/>
  <c r="U2219" i="25"/>
  <c r="K2169" i="25"/>
  <c r="V2169" i="25" l="1"/>
  <c r="T2169" i="25"/>
  <c r="J2221" i="25"/>
  <c r="U2220" i="25"/>
  <c r="K2170" i="25"/>
  <c r="V2170" i="25" l="1"/>
  <c r="T2170" i="25"/>
  <c r="J2222" i="25"/>
  <c r="U2221" i="25"/>
  <c r="K2171" i="25"/>
  <c r="V2171" i="25" l="1"/>
  <c r="T2171" i="25"/>
  <c r="J2223" i="25"/>
  <c r="U2222" i="25"/>
  <c r="K2172" i="25"/>
  <c r="V2172" i="25" l="1"/>
  <c r="T2172" i="25"/>
  <c r="J2224" i="25"/>
  <c r="U2223" i="25"/>
  <c r="K2173" i="25"/>
  <c r="V2173" i="25" l="1"/>
  <c r="T2173" i="25"/>
  <c r="J2225" i="25"/>
  <c r="U2224" i="25"/>
  <c r="K2174" i="25"/>
  <c r="V2174" i="25" l="1"/>
  <c r="T2174" i="25"/>
  <c r="J2226" i="25"/>
  <c r="U2225" i="25"/>
  <c r="K2175" i="25"/>
  <c r="V2175" i="25" l="1"/>
  <c r="T2175" i="25"/>
  <c r="J2227" i="25"/>
  <c r="U2226" i="25"/>
  <c r="K2176" i="25"/>
  <c r="V2176" i="25" l="1"/>
  <c r="T2176" i="25"/>
  <c r="J2228" i="25"/>
  <c r="U2227" i="25"/>
  <c r="K2177" i="25"/>
  <c r="V2177" i="25" l="1"/>
  <c r="T2177" i="25"/>
  <c r="J2229" i="25"/>
  <c r="U2228" i="25"/>
  <c r="K2178" i="25"/>
  <c r="V2178" i="25" l="1"/>
  <c r="T2178" i="25"/>
  <c r="J2230" i="25"/>
  <c r="U2229" i="25"/>
  <c r="K2179" i="25"/>
  <c r="V2179" i="25" l="1"/>
  <c r="T2179" i="25"/>
  <c r="J2231" i="25"/>
  <c r="U2230" i="25"/>
  <c r="K2180" i="25"/>
  <c r="V2180" i="25" l="1"/>
  <c r="K2181" i="25"/>
  <c r="T2180" i="25"/>
  <c r="J2232" i="25"/>
  <c r="U2231" i="25"/>
  <c r="V2181" i="25" l="1"/>
  <c r="T2181" i="25"/>
  <c r="J2233" i="25"/>
  <c r="U2232" i="25"/>
  <c r="K2182" i="25"/>
  <c r="V2182" i="25" l="1"/>
  <c r="T2182" i="25"/>
  <c r="J2234" i="25"/>
  <c r="U2233" i="25"/>
  <c r="K2183" i="25"/>
  <c r="V2183" i="25" l="1"/>
  <c r="T2183" i="25"/>
  <c r="J2235" i="25"/>
  <c r="U2234" i="25"/>
  <c r="K2184" i="25"/>
  <c r="V2184" i="25" l="1"/>
  <c r="T2184" i="25"/>
  <c r="J2236" i="25"/>
  <c r="U2235" i="25"/>
  <c r="K2185" i="25"/>
  <c r="V2185" i="25" l="1"/>
  <c r="T2185" i="25"/>
  <c r="J2237" i="25"/>
  <c r="U2236" i="25"/>
  <c r="K2186" i="25"/>
  <c r="V2186" i="25" l="1"/>
  <c r="T2186" i="25"/>
  <c r="J2238" i="25"/>
  <c r="U2237" i="25"/>
  <c r="K2187" i="25"/>
  <c r="V2187" i="25" l="1"/>
  <c r="T2187" i="25"/>
  <c r="J2239" i="25"/>
  <c r="U2238" i="25"/>
  <c r="K2188" i="25"/>
  <c r="V2188" i="25" l="1"/>
  <c r="T2188" i="25"/>
  <c r="J2240" i="25"/>
  <c r="U2239" i="25"/>
  <c r="K2189" i="25"/>
  <c r="V2189" i="25" l="1"/>
  <c r="T2189" i="25"/>
  <c r="J2241" i="25"/>
  <c r="U2240" i="25"/>
  <c r="K2190" i="25"/>
  <c r="V2190" i="25" l="1"/>
  <c r="T2190" i="25"/>
  <c r="J2242" i="25"/>
  <c r="U2241" i="25"/>
  <c r="K2191" i="25"/>
  <c r="V2191" i="25" l="1"/>
  <c r="T2191" i="25"/>
  <c r="J2243" i="25"/>
  <c r="U2242" i="25"/>
  <c r="K2192" i="25"/>
  <c r="V2192" i="25" l="1"/>
  <c r="T2192" i="25"/>
  <c r="J2244" i="25"/>
  <c r="U2243" i="25"/>
  <c r="K2193" i="25"/>
  <c r="V2193" i="25" l="1"/>
  <c r="T2193" i="25"/>
  <c r="J2245" i="25"/>
  <c r="U2244" i="25"/>
  <c r="K2194" i="25"/>
  <c r="V2194" i="25" l="1"/>
  <c r="T2194" i="25"/>
  <c r="J2246" i="25"/>
  <c r="U2245" i="25"/>
  <c r="K2195" i="25"/>
  <c r="V2195" i="25" l="1"/>
  <c r="T2195" i="25"/>
  <c r="J2247" i="25"/>
  <c r="U2246" i="25"/>
  <c r="K2196" i="25"/>
  <c r="V2196" i="25" l="1"/>
  <c r="T2196" i="25"/>
  <c r="J2248" i="25"/>
  <c r="U2247" i="25"/>
  <c r="K2197" i="25"/>
  <c r="V2197" i="25" l="1"/>
  <c r="T2197" i="25"/>
  <c r="J2249" i="25"/>
  <c r="U2248" i="25"/>
  <c r="K2198" i="25"/>
  <c r="V2198" i="25" l="1"/>
  <c r="T2198" i="25"/>
  <c r="J2250" i="25"/>
  <c r="U2249" i="25"/>
  <c r="K2199" i="25"/>
  <c r="V2199" i="25" l="1"/>
  <c r="T2199" i="25"/>
  <c r="J2251" i="25"/>
  <c r="U2250" i="25"/>
  <c r="K2200" i="25"/>
  <c r="V2200" i="25" l="1"/>
  <c r="T2200" i="25"/>
  <c r="J2252" i="25"/>
  <c r="U2251" i="25"/>
  <c r="K2201" i="25"/>
  <c r="V2201" i="25" l="1"/>
  <c r="T2201" i="25"/>
  <c r="J2253" i="25"/>
  <c r="U2252" i="25"/>
  <c r="K2202" i="25"/>
  <c r="V2202" i="25" l="1"/>
  <c r="T2202" i="25"/>
  <c r="J2254" i="25"/>
  <c r="U2253" i="25"/>
  <c r="K2203" i="25"/>
  <c r="V2203" i="25" l="1"/>
  <c r="T2203" i="25"/>
  <c r="J2255" i="25"/>
  <c r="U2254" i="25"/>
  <c r="K2204" i="25"/>
  <c r="V2204" i="25" l="1"/>
  <c r="K2205" i="25"/>
  <c r="T2204" i="25"/>
  <c r="J2256" i="25"/>
  <c r="U2255" i="25"/>
  <c r="V2205" i="25" l="1"/>
  <c r="T2205" i="25"/>
  <c r="J2257" i="25"/>
  <c r="U2256" i="25"/>
  <c r="K2206" i="25"/>
  <c r="V2206" i="25" l="1"/>
  <c r="T2206" i="25"/>
  <c r="J2258" i="25"/>
  <c r="U2257" i="25"/>
  <c r="K2207" i="25"/>
  <c r="V2207" i="25" l="1"/>
  <c r="T2207" i="25"/>
  <c r="J2259" i="25"/>
  <c r="U2258" i="25"/>
  <c r="K2208" i="25"/>
  <c r="V2208" i="25" l="1"/>
  <c r="T2208" i="25"/>
  <c r="J2260" i="25"/>
  <c r="U2259" i="25"/>
  <c r="K2209" i="25"/>
  <c r="V2209" i="25" l="1"/>
  <c r="T2209" i="25"/>
  <c r="J2261" i="25"/>
  <c r="U2260" i="25"/>
  <c r="K2210" i="25"/>
  <c r="V2210" i="25" l="1"/>
  <c r="T2210" i="25"/>
  <c r="J2262" i="25"/>
  <c r="U2261" i="25"/>
  <c r="K2211" i="25"/>
  <c r="V2211" i="25" l="1"/>
  <c r="T2211" i="25"/>
  <c r="J2263" i="25"/>
  <c r="U2262" i="25"/>
  <c r="K2212" i="25"/>
  <c r="V2212" i="25" l="1"/>
  <c r="T2212" i="25"/>
  <c r="J2264" i="25"/>
  <c r="U2263" i="25"/>
  <c r="K2213" i="25"/>
  <c r="V2213" i="25" l="1"/>
  <c r="T2213" i="25"/>
  <c r="J2265" i="25"/>
  <c r="U2264" i="25"/>
  <c r="K2214" i="25"/>
  <c r="V2214" i="25" l="1"/>
  <c r="T2214" i="25"/>
  <c r="J2266" i="25"/>
  <c r="U2265" i="25"/>
  <c r="K2215" i="25"/>
  <c r="V2215" i="25" l="1"/>
  <c r="T2215" i="25"/>
  <c r="J2267" i="25"/>
  <c r="U2266" i="25"/>
  <c r="K2216" i="25"/>
  <c r="V2216" i="25" l="1"/>
  <c r="T2216" i="25"/>
  <c r="J2268" i="25"/>
  <c r="U2267" i="25"/>
  <c r="K2217" i="25"/>
  <c r="V2217" i="25" l="1"/>
  <c r="T2217" i="25"/>
  <c r="J2269" i="25"/>
  <c r="U2268" i="25"/>
  <c r="K2218" i="25"/>
  <c r="V2218" i="25" l="1"/>
  <c r="T2218" i="25"/>
  <c r="J2270" i="25"/>
  <c r="U2269" i="25"/>
  <c r="K2219" i="25"/>
  <c r="V2219" i="25" l="1"/>
  <c r="T2219" i="25"/>
  <c r="J2271" i="25"/>
  <c r="U2270" i="25"/>
  <c r="T2220" i="25" l="1"/>
  <c r="K2220" i="25"/>
  <c r="V2220" i="25" s="1"/>
  <c r="J2272" i="25"/>
  <c r="U2271" i="25"/>
  <c r="K2221" i="25"/>
  <c r="V2221" i="25" l="1"/>
  <c r="T2221" i="25"/>
  <c r="J2273" i="25"/>
  <c r="U2272" i="25"/>
  <c r="K2222" i="25"/>
  <c r="V2222" i="25" l="1"/>
  <c r="T2222" i="25"/>
  <c r="J2274" i="25"/>
  <c r="U2273" i="25"/>
  <c r="K2223" i="25"/>
  <c r="V2223" i="25" l="1"/>
  <c r="T2223" i="25"/>
  <c r="J2275" i="25"/>
  <c r="U2274" i="25"/>
  <c r="K2224" i="25"/>
  <c r="V2224" i="25" l="1"/>
  <c r="T2224" i="25"/>
  <c r="J2276" i="25"/>
  <c r="U2275" i="25"/>
  <c r="K2225" i="25"/>
  <c r="V2225" i="25" l="1"/>
  <c r="K2226" i="25"/>
  <c r="T2225" i="25"/>
  <c r="J2277" i="25"/>
  <c r="U2276" i="25"/>
  <c r="V2226" i="25" l="1"/>
  <c r="T2226" i="25"/>
  <c r="J2278" i="25"/>
  <c r="U2277" i="25"/>
  <c r="K2227" i="25"/>
  <c r="V2227" i="25" l="1"/>
  <c r="T2227" i="25"/>
  <c r="J2279" i="25"/>
  <c r="U2278" i="25"/>
  <c r="K2228" i="25"/>
  <c r="V2228" i="25" l="1"/>
  <c r="T2228" i="25"/>
  <c r="J2280" i="25"/>
  <c r="U2279" i="25"/>
  <c r="K2229" i="25"/>
  <c r="V2229" i="25" l="1"/>
  <c r="T2229" i="25"/>
  <c r="J2281" i="25"/>
  <c r="U2280" i="25"/>
  <c r="K2230" i="25"/>
  <c r="V2230" i="25" l="1"/>
  <c r="T2230" i="25"/>
  <c r="J2282" i="25"/>
  <c r="U2281" i="25"/>
  <c r="K2231" i="25"/>
  <c r="V2231" i="25" l="1"/>
  <c r="T2231" i="25"/>
  <c r="J2283" i="25"/>
  <c r="U2282" i="25"/>
  <c r="K2232" i="25"/>
  <c r="V2232" i="25" l="1"/>
  <c r="T2232" i="25"/>
  <c r="J2284" i="25"/>
  <c r="U2283" i="25"/>
  <c r="K2233" i="25"/>
  <c r="V2233" i="25" l="1"/>
  <c r="T2233" i="25"/>
  <c r="J2285" i="25"/>
  <c r="U2284" i="25"/>
  <c r="K2234" i="25"/>
  <c r="V2234" i="25" l="1"/>
  <c r="T2234" i="25"/>
  <c r="J2286" i="25"/>
  <c r="U2285" i="25"/>
  <c r="K2235" i="25"/>
  <c r="V2235" i="25" l="1"/>
  <c r="T2235" i="25"/>
  <c r="J2287" i="25"/>
  <c r="U2286" i="25"/>
  <c r="K2236" i="25"/>
  <c r="V2236" i="25" l="1"/>
  <c r="T2236" i="25"/>
  <c r="J2288" i="25"/>
  <c r="U2287" i="25"/>
  <c r="K2237" i="25"/>
  <c r="V2237" i="25" l="1"/>
  <c r="T2237" i="25"/>
  <c r="J2289" i="25"/>
  <c r="U2288" i="25"/>
  <c r="K2238" i="25"/>
  <c r="V2238" i="25" l="1"/>
  <c r="T2238" i="25"/>
  <c r="J2290" i="25"/>
  <c r="U2289" i="25"/>
  <c r="K2239" i="25"/>
  <c r="V2239" i="25" l="1"/>
  <c r="T2239" i="25"/>
  <c r="J2291" i="25"/>
  <c r="U2290" i="25"/>
  <c r="K2240" i="25"/>
  <c r="V2240" i="25" l="1"/>
  <c r="T2240" i="25"/>
  <c r="J2292" i="25"/>
  <c r="U2291" i="25"/>
  <c r="K2241" i="25"/>
  <c r="V2241" i="25" l="1"/>
  <c r="T2241" i="25"/>
  <c r="J2293" i="25"/>
  <c r="U2292" i="25"/>
  <c r="K2242" i="25"/>
  <c r="V2242" i="25" l="1"/>
  <c r="T2242" i="25"/>
  <c r="J2294" i="25"/>
  <c r="U2293" i="25"/>
  <c r="K2243" i="25"/>
  <c r="V2243" i="25" l="1"/>
  <c r="T2243" i="25"/>
  <c r="J2295" i="25"/>
  <c r="U2294" i="25"/>
  <c r="K2244" i="25"/>
  <c r="V2244" i="25" l="1"/>
  <c r="T2244" i="25"/>
  <c r="J2296" i="25"/>
  <c r="U2295" i="25"/>
  <c r="K2245" i="25"/>
  <c r="V2245" i="25" l="1"/>
  <c r="T2245" i="25"/>
  <c r="J2297" i="25"/>
  <c r="U2296" i="25"/>
  <c r="K2246" i="25"/>
  <c r="V2246" i="25" l="1"/>
  <c r="T2246" i="25"/>
  <c r="J2298" i="25"/>
  <c r="U2297" i="25"/>
  <c r="K2247" i="25"/>
  <c r="V2247" i="25" l="1"/>
  <c r="T2247" i="25"/>
  <c r="J2299" i="25"/>
  <c r="U2298" i="25"/>
  <c r="K2248" i="25"/>
  <c r="V2248" i="25" l="1"/>
  <c r="T2248" i="25"/>
  <c r="J2300" i="25"/>
  <c r="U2299" i="25"/>
  <c r="K2249" i="25"/>
  <c r="V2249" i="25" l="1"/>
  <c r="T2249" i="25"/>
  <c r="J2301" i="25"/>
  <c r="U2300" i="25"/>
  <c r="K2250" i="25"/>
  <c r="V2250" i="25" l="1"/>
  <c r="T2250" i="25"/>
  <c r="J2302" i="25"/>
  <c r="U2301" i="25"/>
  <c r="K2251" i="25"/>
  <c r="V2251" i="25" l="1"/>
  <c r="T2251" i="25"/>
  <c r="J2303" i="25"/>
  <c r="U2302" i="25"/>
  <c r="K2252" i="25"/>
  <c r="V2252" i="25" l="1"/>
  <c r="T2252" i="25"/>
  <c r="J2304" i="25"/>
  <c r="U2303" i="25"/>
  <c r="K2253" i="25"/>
  <c r="V2253" i="25" l="1"/>
  <c r="T2253" i="25"/>
  <c r="J2305" i="25"/>
  <c r="U2304" i="25"/>
  <c r="K2254" i="25"/>
  <c r="V2254" i="25" l="1"/>
  <c r="T2254" i="25"/>
  <c r="J2306" i="25"/>
  <c r="U2305" i="25"/>
  <c r="K2255" i="25"/>
  <c r="V2255" i="25" l="1"/>
  <c r="T2255" i="25"/>
  <c r="J2307" i="25"/>
  <c r="U2306" i="25"/>
  <c r="K2256" i="25"/>
  <c r="V2256" i="25" l="1"/>
  <c r="T2256" i="25"/>
  <c r="J2308" i="25"/>
  <c r="U2307" i="25"/>
  <c r="K2257" i="25"/>
  <c r="V2257" i="25" l="1"/>
  <c r="T2257" i="25"/>
  <c r="J2309" i="25"/>
  <c r="U2308" i="25"/>
  <c r="K2258" i="25"/>
  <c r="V2258" i="25" l="1"/>
  <c r="T2258" i="25"/>
  <c r="J2310" i="25"/>
  <c r="U2309" i="25"/>
  <c r="K2259" i="25"/>
  <c r="V2259" i="25" l="1"/>
  <c r="T2259" i="25"/>
  <c r="J2311" i="25"/>
  <c r="U2310" i="25"/>
  <c r="K2260" i="25"/>
  <c r="V2260" i="25" l="1"/>
  <c r="T2260" i="25"/>
  <c r="J2312" i="25"/>
  <c r="U2311" i="25"/>
  <c r="K2261" i="25"/>
  <c r="V2261" i="25" l="1"/>
  <c r="T2261" i="25"/>
  <c r="J2313" i="25"/>
  <c r="U2312" i="25"/>
  <c r="K2262" i="25"/>
  <c r="V2262" i="25" l="1"/>
  <c r="T2262" i="25"/>
  <c r="J2314" i="25"/>
  <c r="U2313" i="25"/>
  <c r="K2263" i="25"/>
  <c r="V2263" i="25" l="1"/>
  <c r="T2263" i="25"/>
  <c r="J2315" i="25"/>
  <c r="U2314" i="25"/>
  <c r="K2264" i="25"/>
  <c r="V2264" i="25" l="1"/>
  <c r="T2264" i="25"/>
  <c r="J2316" i="25"/>
  <c r="U2315" i="25"/>
  <c r="K2265" i="25"/>
  <c r="V2265" i="25" l="1"/>
  <c r="T2265" i="25"/>
  <c r="J2317" i="25"/>
  <c r="U2316" i="25"/>
  <c r="K2266" i="25"/>
  <c r="V2266" i="25" l="1"/>
  <c r="T2266" i="25"/>
  <c r="J2318" i="25"/>
  <c r="U2317" i="25"/>
  <c r="K2267" i="25"/>
  <c r="V2267" i="25" l="1"/>
  <c r="T2267" i="25"/>
  <c r="J2319" i="25"/>
  <c r="U2318" i="25"/>
  <c r="K2268" i="25"/>
  <c r="V2268" i="25" l="1"/>
  <c r="T2268" i="25"/>
  <c r="J2320" i="25"/>
  <c r="U2319" i="25"/>
  <c r="K2269" i="25"/>
  <c r="V2269" i="25" l="1"/>
  <c r="T2269" i="25"/>
  <c r="J2321" i="25"/>
  <c r="U2320" i="25"/>
  <c r="K2270" i="25"/>
  <c r="V2270" i="25" l="1"/>
  <c r="T2270" i="25"/>
  <c r="J2322" i="25"/>
  <c r="U2321" i="25"/>
  <c r="K2271" i="25"/>
  <c r="V2271" i="25" l="1"/>
  <c r="T2271" i="25"/>
  <c r="J2323" i="25"/>
  <c r="U2322" i="25"/>
  <c r="K2272" i="25"/>
  <c r="V2272" i="25" l="1"/>
  <c r="T2272" i="25"/>
  <c r="J2324" i="25"/>
  <c r="U2323" i="25"/>
  <c r="K2273" i="25"/>
  <c r="V2273" i="25" l="1"/>
  <c r="T2273" i="25"/>
  <c r="J2325" i="25"/>
  <c r="U2324" i="25"/>
  <c r="K2274" i="25"/>
  <c r="V2274" i="25" l="1"/>
  <c r="T2274" i="25"/>
  <c r="J2326" i="25"/>
  <c r="U2325" i="25"/>
  <c r="K2275" i="25"/>
  <c r="V2275" i="25" l="1"/>
  <c r="T2275" i="25"/>
  <c r="J2327" i="25"/>
  <c r="U2326" i="25"/>
  <c r="K2276" i="25"/>
  <c r="V2276" i="25" l="1"/>
  <c r="T2276" i="25"/>
  <c r="J2328" i="25"/>
  <c r="U2327" i="25"/>
  <c r="K2277" i="25"/>
  <c r="V2277" i="25" l="1"/>
  <c r="T2277" i="25"/>
  <c r="J2329" i="25"/>
  <c r="U2328" i="25"/>
  <c r="K2278" i="25"/>
  <c r="V2278" i="25" l="1"/>
  <c r="T2278" i="25"/>
  <c r="J2330" i="25"/>
  <c r="U2329" i="25"/>
  <c r="T2279" i="25" l="1"/>
  <c r="K2279" i="25"/>
  <c r="V2279" i="25" s="1"/>
  <c r="J2331" i="25"/>
  <c r="U2330" i="25"/>
  <c r="K2280" i="25"/>
  <c r="V2280" i="25" l="1"/>
  <c r="T2280" i="25"/>
  <c r="J2332" i="25"/>
  <c r="U2331" i="25"/>
  <c r="K2281" i="25"/>
  <c r="V2281" i="25" l="1"/>
  <c r="T2281" i="25"/>
  <c r="J2333" i="25"/>
  <c r="U2332" i="25"/>
  <c r="K2282" i="25"/>
  <c r="V2282" i="25" l="1"/>
  <c r="T2282" i="25"/>
  <c r="J2334" i="25"/>
  <c r="U2333" i="25"/>
  <c r="K2283" i="25"/>
  <c r="V2283" i="25" l="1"/>
  <c r="T2283" i="25"/>
  <c r="J2335" i="25"/>
  <c r="U2334" i="25"/>
  <c r="K2284" i="25"/>
  <c r="V2284" i="25" l="1"/>
  <c r="T2284" i="25"/>
  <c r="J2336" i="25"/>
  <c r="U2335" i="25"/>
  <c r="K2285" i="25"/>
  <c r="V2285" i="25" l="1"/>
  <c r="T2285" i="25"/>
  <c r="J2337" i="25"/>
  <c r="U2336" i="25"/>
  <c r="K2286" i="25"/>
  <c r="V2286" i="25" l="1"/>
  <c r="T2286" i="25"/>
  <c r="J2338" i="25"/>
  <c r="U2337" i="25"/>
  <c r="K2287" i="25"/>
  <c r="V2287" i="25" l="1"/>
  <c r="T2287" i="25"/>
  <c r="J2339" i="25"/>
  <c r="U2338" i="25"/>
  <c r="K2288" i="25"/>
  <c r="V2288" i="25" l="1"/>
  <c r="T2288" i="25"/>
  <c r="J2340" i="25"/>
  <c r="U2339" i="25"/>
  <c r="K2289" i="25"/>
  <c r="V2289" i="25" l="1"/>
  <c r="K2290" i="25"/>
  <c r="T2289" i="25"/>
  <c r="J2341" i="25"/>
  <c r="U2340" i="25"/>
  <c r="V2290" i="25" l="1"/>
  <c r="T2290" i="25"/>
  <c r="J2342" i="25"/>
  <c r="U2341" i="25"/>
  <c r="K2291" i="25"/>
  <c r="V2291" i="25" l="1"/>
  <c r="T2291" i="25"/>
  <c r="J2343" i="25"/>
  <c r="U2342" i="25"/>
  <c r="K2292" i="25"/>
  <c r="V2292" i="25" l="1"/>
  <c r="T2292" i="25"/>
  <c r="J2344" i="25"/>
  <c r="U2343" i="25"/>
  <c r="K2293" i="25"/>
  <c r="V2293" i="25" l="1"/>
  <c r="T2293" i="25"/>
  <c r="J2345" i="25"/>
  <c r="U2344" i="25"/>
  <c r="K2294" i="25"/>
  <c r="V2294" i="25" l="1"/>
  <c r="T2294" i="25"/>
  <c r="J2346" i="25"/>
  <c r="U2345" i="25"/>
  <c r="K2295" i="25"/>
  <c r="V2295" i="25" l="1"/>
  <c r="T2295" i="25"/>
  <c r="J2347" i="25"/>
  <c r="U2346" i="25"/>
  <c r="K2296" i="25"/>
  <c r="V2296" i="25" l="1"/>
  <c r="T2296" i="25"/>
  <c r="J2348" i="25"/>
  <c r="U2347" i="25"/>
  <c r="K2297" i="25"/>
  <c r="V2297" i="25" l="1"/>
  <c r="T2297" i="25"/>
  <c r="J2349" i="25"/>
  <c r="U2348" i="25"/>
  <c r="K2298" i="25"/>
  <c r="V2298" i="25" l="1"/>
  <c r="T2298" i="25"/>
  <c r="J2350" i="25"/>
  <c r="U2349" i="25"/>
  <c r="K2299" i="25"/>
  <c r="V2299" i="25" l="1"/>
  <c r="T2299" i="25"/>
  <c r="J2351" i="25"/>
  <c r="U2350" i="25"/>
  <c r="K2300" i="25"/>
  <c r="V2300" i="25" l="1"/>
  <c r="T2300" i="25"/>
  <c r="J2352" i="25"/>
  <c r="U2351" i="25"/>
  <c r="K2301" i="25"/>
  <c r="V2301" i="25" l="1"/>
  <c r="T2301" i="25"/>
  <c r="J2353" i="25"/>
  <c r="U2352" i="25"/>
  <c r="K2302" i="25"/>
  <c r="V2302" i="25" l="1"/>
  <c r="T2302" i="25"/>
  <c r="J2354" i="25"/>
  <c r="U2353" i="25"/>
  <c r="K2303" i="25"/>
  <c r="V2303" i="25" l="1"/>
  <c r="T2303" i="25"/>
  <c r="J2355" i="25"/>
  <c r="U2354" i="25"/>
  <c r="K2304" i="25"/>
  <c r="V2304" i="25" l="1"/>
  <c r="T2304" i="25"/>
  <c r="J2356" i="25"/>
  <c r="U2355" i="25"/>
  <c r="K2305" i="25"/>
  <c r="V2305" i="25" l="1"/>
  <c r="T2305" i="25"/>
  <c r="J2357" i="25"/>
  <c r="U2356" i="25"/>
  <c r="K2306" i="25"/>
  <c r="V2306" i="25" l="1"/>
  <c r="T2306" i="25"/>
  <c r="J2358" i="25"/>
  <c r="U2357" i="25"/>
  <c r="K2307" i="25"/>
  <c r="V2307" i="25" l="1"/>
  <c r="T2307" i="25"/>
  <c r="J2359" i="25"/>
  <c r="U2358" i="25"/>
  <c r="K2308" i="25"/>
  <c r="V2308" i="25" l="1"/>
  <c r="T2308" i="25"/>
  <c r="J2360" i="25"/>
  <c r="U2359" i="25"/>
  <c r="K2309" i="25"/>
  <c r="V2309" i="25" l="1"/>
  <c r="T2309" i="25"/>
  <c r="J2361" i="25"/>
  <c r="U2360" i="25"/>
  <c r="K2310" i="25"/>
  <c r="V2310" i="25" l="1"/>
  <c r="T2310" i="25"/>
  <c r="J2362" i="25"/>
  <c r="U2361" i="25"/>
  <c r="K2311" i="25"/>
  <c r="V2311" i="25" l="1"/>
  <c r="T2311" i="25"/>
  <c r="J2363" i="25"/>
  <c r="U2362" i="25"/>
  <c r="K2312" i="25"/>
  <c r="V2312" i="25" l="1"/>
  <c r="T2312" i="25"/>
  <c r="J2364" i="25"/>
  <c r="U2363" i="25"/>
  <c r="K2313" i="25"/>
  <c r="V2313" i="25" l="1"/>
  <c r="T2313" i="25"/>
  <c r="J2365" i="25"/>
  <c r="U2364" i="25"/>
  <c r="K2314" i="25"/>
  <c r="V2314" i="25" l="1"/>
  <c r="T2314" i="25"/>
  <c r="J2366" i="25"/>
  <c r="U2365" i="25"/>
  <c r="K2315" i="25"/>
  <c r="V2315" i="25" l="1"/>
  <c r="T2315" i="25"/>
  <c r="J2367" i="25"/>
  <c r="U2366" i="25"/>
  <c r="K2316" i="25"/>
  <c r="V2316" i="25" l="1"/>
  <c r="T2316" i="25"/>
  <c r="J2368" i="25"/>
  <c r="U2367" i="25"/>
  <c r="K2317" i="25"/>
  <c r="V2317" i="25" l="1"/>
  <c r="T2317" i="25"/>
  <c r="J2369" i="25"/>
  <c r="U2368" i="25"/>
  <c r="K2318" i="25"/>
  <c r="V2318" i="25" l="1"/>
  <c r="T2318" i="25"/>
  <c r="J2370" i="25"/>
  <c r="U2369" i="25"/>
  <c r="K2319" i="25"/>
  <c r="V2319" i="25" l="1"/>
  <c r="T2319" i="25"/>
  <c r="J2371" i="25"/>
  <c r="U2370" i="25"/>
  <c r="K2320" i="25"/>
  <c r="V2320" i="25" l="1"/>
  <c r="T2320" i="25"/>
  <c r="J2372" i="25"/>
  <c r="U2371" i="25"/>
  <c r="K2321" i="25"/>
  <c r="V2321" i="25" l="1"/>
  <c r="T2321" i="25"/>
  <c r="J2373" i="25"/>
  <c r="U2372" i="25"/>
  <c r="K2322" i="25"/>
  <c r="V2322" i="25" l="1"/>
  <c r="T2322" i="25"/>
  <c r="J2374" i="25"/>
  <c r="U2373" i="25"/>
  <c r="K2323" i="25"/>
  <c r="V2323" i="25" l="1"/>
  <c r="T2323" i="25"/>
  <c r="J2375" i="25"/>
  <c r="U2374" i="25"/>
  <c r="K2324" i="25"/>
  <c r="V2324" i="25" l="1"/>
  <c r="T2324" i="25"/>
  <c r="J2376" i="25"/>
  <c r="U2375" i="25"/>
  <c r="K2325" i="25"/>
  <c r="V2325" i="25" l="1"/>
  <c r="T2325" i="25"/>
  <c r="J2377" i="25"/>
  <c r="U2376" i="25"/>
  <c r="K2326" i="25"/>
  <c r="V2326" i="25" l="1"/>
  <c r="T2326" i="25"/>
  <c r="J2378" i="25"/>
  <c r="U2377" i="25"/>
  <c r="K2327" i="25"/>
  <c r="V2327" i="25" l="1"/>
  <c r="T2327" i="25"/>
  <c r="J2379" i="25"/>
  <c r="U2378" i="25"/>
  <c r="K2328" i="25"/>
  <c r="V2328" i="25" l="1"/>
  <c r="K2329" i="25"/>
  <c r="T2328" i="25"/>
  <c r="J2380" i="25"/>
  <c r="U2379" i="25"/>
  <c r="V2329" i="25" l="1"/>
  <c r="T2329" i="25"/>
  <c r="J2381" i="25"/>
  <c r="U2380" i="25"/>
  <c r="K2330" i="25"/>
  <c r="V2330" i="25" l="1"/>
  <c r="T2330" i="25"/>
  <c r="J2382" i="25"/>
  <c r="U2381" i="25"/>
  <c r="K2331" i="25"/>
  <c r="V2331" i="25" l="1"/>
  <c r="T2331" i="25"/>
  <c r="J2383" i="25"/>
  <c r="U2382" i="25"/>
  <c r="K2332" i="25"/>
  <c r="V2332" i="25" l="1"/>
  <c r="T2332" i="25"/>
  <c r="J2384" i="25"/>
  <c r="U2383" i="25"/>
  <c r="K2333" i="25"/>
  <c r="V2333" i="25" l="1"/>
  <c r="T2333" i="25"/>
  <c r="J2385" i="25"/>
  <c r="U2384" i="25"/>
  <c r="K2334" i="25"/>
  <c r="V2334" i="25" l="1"/>
  <c r="T2334" i="25"/>
  <c r="J2386" i="25"/>
  <c r="U2385" i="25"/>
  <c r="K2335" i="25"/>
  <c r="V2335" i="25" l="1"/>
  <c r="T2335" i="25"/>
  <c r="J2387" i="25"/>
  <c r="U2386" i="25"/>
  <c r="K2336" i="25"/>
  <c r="V2336" i="25" l="1"/>
  <c r="T2336" i="25"/>
  <c r="J2388" i="25"/>
  <c r="U2387" i="25"/>
  <c r="K2337" i="25"/>
  <c r="V2337" i="25" l="1"/>
  <c r="T2337" i="25"/>
  <c r="J2389" i="25"/>
  <c r="U2388" i="25"/>
  <c r="K2338" i="25"/>
  <c r="V2338" i="25" l="1"/>
  <c r="T2338" i="25"/>
  <c r="J2390" i="25"/>
  <c r="U2389" i="25"/>
  <c r="K2339" i="25"/>
  <c r="V2339" i="25" l="1"/>
  <c r="T2339" i="25"/>
  <c r="J2391" i="25"/>
  <c r="U2390" i="25"/>
  <c r="K2340" i="25"/>
  <c r="V2340" i="25" l="1"/>
  <c r="T2340" i="25"/>
  <c r="J2392" i="25"/>
  <c r="U2391" i="25"/>
  <c r="K2341" i="25"/>
  <c r="V2341" i="25" l="1"/>
  <c r="T2341" i="25"/>
  <c r="J2393" i="25"/>
  <c r="U2392" i="25"/>
  <c r="K2342" i="25"/>
  <c r="V2342" i="25" l="1"/>
  <c r="T2342" i="25"/>
  <c r="J2394" i="25"/>
  <c r="U2393" i="25"/>
  <c r="K2343" i="25"/>
  <c r="V2343" i="25" l="1"/>
  <c r="T2343" i="25"/>
  <c r="J2395" i="25"/>
  <c r="U2394" i="25"/>
  <c r="K2344" i="25"/>
  <c r="V2344" i="25" l="1"/>
  <c r="T2344" i="25"/>
  <c r="J2396" i="25"/>
  <c r="U2395" i="25"/>
  <c r="K2345" i="25"/>
  <c r="V2345" i="25" l="1"/>
  <c r="T2345" i="25"/>
  <c r="J2397" i="25"/>
  <c r="U2396" i="25"/>
  <c r="K2346" i="25"/>
  <c r="V2346" i="25" l="1"/>
  <c r="T2346" i="25"/>
  <c r="J2398" i="25"/>
  <c r="U2397" i="25"/>
  <c r="K2347" i="25"/>
  <c r="V2347" i="25" l="1"/>
  <c r="T2347" i="25"/>
  <c r="J2399" i="25"/>
  <c r="U2398" i="25"/>
  <c r="K2348" i="25"/>
  <c r="V2348" i="25" l="1"/>
  <c r="T2348" i="25"/>
  <c r="J2400" i="25"/>
  <c r="U2399" i="25"/>
  <c r="K2349" i="25"/>
  <c r="V2349" i="25" l="1"/>
  <c r="T2349" i="25"/>
  <c r="J2401" i="25"/>
  <c r="U2400" i="25"/>
  <c r="K2350" i="25"/>
  <c r="V2350" i="25" l="1"/>
  <c r="T2350" i="25"/>
  <c r="J2402" i="25"/>
  <c r="U2401" i="25"/>
  <c r="K2351" i="25"/>
  <c r="V2351" i="25" l="1"/>
  <c r="T2351" i="25"/>
  <c r="J2403" i="25"/>
  <c r="U2402" i="25"/>
  <c r="K2352" i="25"/>
  <c r="V2352" i="25" l="1"/>
  <c r="T2352" i="25"/>
  <c r="J2404" i="25"/>
  <c r="U2403" i="25"/>
  <c r="K2353" i="25"/>
  <c r="V2353" i="25" l="1"/>
  <c r="T2353" i="25"/>
  <c r="J2405" i="25"/>
  <c r="U2404" i="25"/>
  <c r="K2354" i="25"/>
  <c r="V2354" i="25" l="1"/>
  <c r="T2354" i="25"/>
  <c r="J2406" i="25"/>
  <c r="U2405" i="25"/>
  <c r="K2355" i="25"/>
  <c r="V2355" i="25" l="1"/>
  <c r="T2355" i="25"/>
  <c r="J2407" i="25"/>
  <c r="U2406" i="25"/>
  <c r="K2356" i="25"/>
  <c r="V2356" i="25" l="1"/>
  <c r="T2356" i="25"/>
  <c r="J2408" i="25"/>
  <c r="U2407" i="25"/>
  <c r="K2357" i="25"/>
  <c r="V2357" i="25" l="1"/>
  <c r="T2357" i="25"/>
  <c r="J2409" i="25"/>
  <c r="U2408" i="25"/>
  <c r="K2358" i="25"/>
  <c r="V2358" i="25" l="1"/>
  <c r="T2358" i="25"/>
  <c r="J2410" i="25"/>
  <c r="U2409" i="25"/>
  <c r="K2359" i="25"/>
  <c r="V2359" i="25" l="1"/>
  <c r="K2360" i="25"/>
  <c r="T2359" i="25"/>
  <c r="J2411" i="25"/>
  <c r="U2410" i="25"/>
  <c r="V2360" i="25" l="1"/>
  <c r="T2360" i="25"/>
  <c r="J2412" i="25"/>
  <c r="U2411" i="25"/>
  <c r="K2361" i="25"/>
  <c r="V2361" i="25" l="1"/>
  <c r="T2361" i="25"/>
  <c r="J2413" i="25"/>
  <c r="U2412" i="25"/>
  <c r="K2362" i="25"/>
  <c r="V2362" i="25" l="1"/>
  <c r="T2362" i="25"/>
  <c r="J2414" i="25"/>
  <c r="U2413" i="25"/>
  <c r="K2363" i="25"/>
  <c r="V2363" i="25" l="1"/>
  <c r="T2363" i="25"/>
  <c r="J2415" i="25"/>
  <c r="U2414" i="25"/>
  <c r="K2364" i="25"/>
  <c r="V2364" i="25" l="1"/>
  <c r="T2364" i="25"/>
  <c r="J2416" i="25"/>
  <c r="U2415" i="25"/>
  <c r="K2365" i="25"/>
  <c r="V2365" i="25" l="1"/>
  <c r="T2365" i="25"/>
  <c r="J2417" i="25"/>
  <c r="U2416" i="25"/>
  <c r="K2366" i="25"/>
  <c r="V2366" i="25" l="1"/>
  <c r="T2366" i="25"/>
  <c r="J2418" i="25"/>
  <c r="U2417" i="25"/>
  <c r="K2367" i="25"/>
  <c r="V2367" i="25" l="1"/>
  <c r="T2367" i="25"/>
  <c r="J2419" i="25"/>
  <c r="U2418" i="25"/>
  <c r="K2368" i="25"/>
  <c r="V2368" i="25" l="1"/>
  <c r="T2368" i="25"/>
  <c r="J2420" i="25"/>
  <c r="U2419" i="25"/>
  <c r="K2369" i="25"/>
  <c r="V2369" i="25" l="1"/>
  <c r="T2369" i="25"/>
  <c r="J2421" i="25"/>
  <c r="U2420" i="25"/>
  <c r="K2370" i="25"/>
  <c r="V2370" i="25" l="1"/>
  <c r="T2370" i="25"/>
  <c r="J2422" i="25"/>
  <c r="U2421" i="25"/>
  <c r="K2371" i="25"/>
  <c r="V2371" i="25" l="1"/>
  <c r="T2371" i="25"/>
  <c r="J2423" i="25"/>
  <c r="U2422" i="25"/>
  <c r="K2372" i="25"/>
  <c r="V2372" i="25" l="1"/>
  <c r="T2372" i="25"/>
  <c r="J2424" i="25"/>
  <c r="U2423" i="25"/>
  <c r="K2373" i="25"/>
  <c r="V2373" i="25" l="1"/>
  <c r="T2373" i="25"/>
  <c r="J2425" i="25"/>
  <c r="U2424" i="25"/>
  <c r="K2374" i="25"/>
  <c r="V2374" i="25" l="1"/>
  <c r="T2374" i="25"/>
  <c r="J2426" i="25"/>
  <c r="U2425" i="25"/>
  <c r="T2375" i="25" l="1"/>
  <c r="K2375" i="25"/>
  <c r="V2375" i="25" s="1"/>
  <c r="J2427" i="25"/>
  <c r="U2426" i="25"/>
  <c r="K2376" i="25"/>
  <c r="V2376" i="25" l="1"/>
  <c r="T2376" i="25"/>
  <c r="J2428" i="25"/>
  <c r="U2427" i="25"/>
  <c r="K2377" i="25"/>
  <c r="V2377" i="25" l="1"/>
  <c r="T2377" i="25"/>
  <c r="J2429" i="25"/>
  <c r="U2428" i="25"/>
  <c r="K2378" i="25"/>
  <c r="V2378" i="25" l="1"/>
  <c r="T2378" i="25"/>
  <c r="J2430" i="25"/>
  <c r="U2429" i="25"/>
  <c r="K2379" i="25"/>
  <c r="V2379" i="25" l="1"/>
  <c r="T2379" i="25"/>
  <c r="J2431" i="25"/>
  <c r="U2430" i="25"/>
  <c r="K2380" i="25"/>
  <c r="V2380" i="25" l="1"/>
  <c r="T2380" i="25"/>
  <c r="J2432" i="25"/>
  <c r="U2431" i="25"/>
  <c r="K2381" i="25"/>
  <c r="V2381" i="25" l="1"/>
  <c r="T2381" i="25"/>
  <c r="J2433" i="25"/>
  <c r="U2432" i="25"/>
  <c r="K2382" i="25"/>
  <c r="V2382" i="25" l="1"/>
  <c r="T2382" i="25"/>
  <c r="J2434" i="25"/>
  <c r="U2433" i="25"/>
  <c r="K2383" i="25"/>
  <c r="V2383" i="25" l="1"/>
  <c r="T2383" i="25"/>
  <c r="J2435" i="25"/>
  <c r="U2434" i="25"/>
  <c r="K2384" i="25"/>
  <c r="V2384" i="25" l="1"/>
  <c r="T2384" i="25"/>
  <c r="J2436" i="25"/>
  <c r="U2435" i="25"/>
  <c r="K2385" i="25"/>
  <c r="V2385" i="25" l="1"/>
  <c r="T2385" i="25"/>
  <c r="J2437" i="25"/>
  <c r="U2436" i="25"/>
  <c r="K2386" i="25"/>
  <c r="V2386" i="25" l="1"/>
  <c r="T2386" i="25"/>
  <c r="J2438" i="25"/>
  <c r="U2437" i="25"/>
  <c r="K2387" i="25"/>
  <c r="V2387" i="25" l="1"/>
  <c r="T2387" i="25"/>
  <c r="J2439" i="25"/>
  <c r="U2438" i="25"/>
  <c r="K2388" i="25"/>
  <c r="V2388" i="25" l="1"/>
  <c r="T2388" i="25"/>
  <c r="J2440" i="25"/>
  <c r="U2439" i="25"/>
  <c r="K2389" i="25"/>
  <c r="V2389" i="25" l="1"/>
  <c r="T2389" i="25"/>
  <c r="J2441" i="25"/>
  <c r="U2440" i="25"/>
  <c r="K2390" i="25"/>
  <c r="V2390" i="25" l="1"/>
  <c r="T2390" i="25"/>
  <c r="J2442" i="25"/>
  <c r="U2441" i="25"/>
  <c r="K2391" i="25"/>
  <c r="V2391" i="25" l="1"/>
  <c r="T2391" i="25"/>
  <c r="J2443" i="25"/>
  <c r="U2442" i="25"/>
  <c r="K2392" i="25"/>
  <c r="V2392" i="25" l="1"/>
  <c r="T2392" i="25"/>
  <c r="J2444" i="25"/>
  <c r="U2443" i="25"/>
  <c r="K2393" i="25"/>
  <c r="V2393" i="25" l="1"/>
  <c r="T2393" i="25"/>
  <c r="J2445" i="25"/>
  <c r="U2444" i="25"/>
  <c r="K2394" i="25"/>
  <c r="V2394" i="25" l="1"/>
  <c r="T2394" i="25"/>
  <c r="J2446" i="25"/>
  <c r="U2445" i="25"/>
  <c r="K2395" i="25"/>
  <c r="V2395" i="25" l="1"/>
  <c r="T2395" i="25"/>
  <c r="J2447" i="25"/>
  <c r="U2446" i="25"/>
  <c r="K2396" i="25"/>
  <c r="V2396" i="25" l="1"/>
  <c r="K2397" i="25"/>
  <c r="T2396" i="25"/>
  <c r="J2448" i="25"/>
  <c r="U2447" i="25"/>
  <c r="V2397" i="25" l="1"/>
  <c r="T2397" i="25"/>
  <c r="J2449" i="25"/>
  <c r="U2448" i="25"/>
  <c r="K2398" i="25"/>
  <c r="V2398" i="25" l="1"/>
  <c r="T2398" i="25"/>
  <c r="J2450" i="25"/>
  <c r="U2449" i="25"/>
  <c r="K2399" i="25"/>
  <c r="V2399" i="25" l="1"/>
  <c r="T2399" i="25"/>
  <c r="J2451" i="25"/>
  <c r="U2450" i="25"/>
  <c r="K2400" i="25"/>
  <c r="V2400" i="25" l="1"/>
  <c r="T2400" i="25"/>
  <c r="J2452" i="25"/>
  <c r="U2451" i="25"/>
  <c r="K2401" i="25"/>
  <c r="V2401" i="25" l="1"/>
  <c r="T2401" i="25"/>
  <c r="J2453" i="25"/>
  <c r="U2452" i="25"/>
  <c r="K2402" i="25"/>
  <c r="V2402" i="25" l="1"/>
  <c r="T2402" i="25"/>
  <c r="J2454" i="25"/>
  <c r="U2453" i="25"/>
  <c r="K2403" i="25"/>
  <c r="V2403" i="25" l="1"/>
  <c r="T2403" i="25"/>
  <c r="J2455" i="25"/>
  <c r="U2454" i="25"/>
  <c r="K2404" i="25"/>
  <c r="V2404" i="25" l="1"/>
  <c r="T2404" i="25"/>
  <c r="J2456" i="25"/>
  <c r="U2455" i="25"/>
  <c r="K2405" i="25"/>
  <c r="V2405" i="25" l="1"/>
  <c r="T2405" i="25"/>
  <c r="J2457" i="25"/>
  <c r="U2456" i="25"/>
  <c r="K2406" i="25"/>
  <c r="V2406" i="25" l="1"/>
  <c r="T2406" i="25"/>
  <c r="J2458" i="25"/>
  <c r="U2457" i="25"/>
  <c r="K2407" i="25"/>
  <c r="V2407" i="25" l="1"/>
  <c r="T2407" i="25"/>
  <c r="J2459" i="25"/>
  <c r="U2458" i="25"/>
  <c r="K2408" i="25"/>
  <c r="V2408" i="25" l="1"/>
  <c r="T2408" i="25"/>
  <c r="J2460" i="25"/>
  <c r="U2459" i="25"/>
  <c r="K2409" i="25"/>
  <c r="V2409" i="25" l="1"/>
  <c r="T2409" i="25"/>
  <c r="J2461" i="25"/>
  <c r="U2460" i="25"/>
  <c r="K2410" i="25"/>
  <c r="V2410" i="25" l="1"/>
  <c r="T2410" i="25"/>
  <c r="J2462" i="25"/>
  <c r="U2461" i="25"/>
  <c r="K2411" i="25"/>
  <c r="V2411" i="25" l="1"/>
  <c r="T2411" i="25"/>
  <c r="J2463" i="25"/>
  <c r="U2462" i="25"/>
  <c r="K2412" i="25"/>
  <c r="V2412" i="25" l="1"/>
  <c r="T2412" i="25"/>
  <c r="J2464" i="25"/>
  <c r="U2463" i="25"/>
  <c r="K2413" i="25"/>
  <c r="V2413" i="25" l="1"/>
  <c r="T2413" i="25"/>
  <c r="J2465" i="25"/>
  <c r="U2464" i="25"/>
  <c r="K2414" i="25"/>
  <c r="V2414" i="25" l="1"/>
  <c r="T2414" i="25"/>
  <c r="J2466" i="25"/>
  <c r="U2465" i="25"/>
  <c r="K2415" i="25"/>
  <c r="V2415" i="25" l="1"/>
  <c r="K2416" i="25"/>
  <c r="T2415" i="25"/>
  <c r="J2467" i="25"/>
  <c r="U2466" i="25"/>
  <c r="V2416" i="25" l="1"/>
  <c r="T2416" i="25"/>
  <c r="J2468" i="25"/>
  <c r="U2467" i="25"/>
  <c r="K2417" i="25"/>
  <c r="V2417" i="25" l="1"/>
  <c r="T2417" i="25"/>
  <c r="J2469" i="25"/>
  <c r="U2468" i="25"/>
  <c r="K2418" i="25"/>
  <c r="V2418" i="25" l="1"/>
  <c r="T2418" i="25"/>
  <c r="J2470" i="25"/>
  <c r="U2469" i="25"/>
  <c r="K2419" i="25"/>
  <c r="V2419" i="25" l="1"/>
  <c r="T2419" i="25"/>
  <c r="J2471" i="25"/>
  <c r="U2470" i="25"/>
  <c r="K2420" i="25"/>
  <c r="V2420" i="25" l="1"/>
  <c r="T2420" i="25"/>
  <c r="J2472" i="25"/>
  <c r="U2471" i="25"/>
  <c r="K2421" i="25"/>
  <c r="V2421" i="25" l="1"/>
  <c r="T2421" i="25"/>
  <c r="J2473" i="25"/>
  <c r="U2472" i="25"/>
  <c r="K2422" i="25"/>
  <c r="V2422" i="25" l="1"/>
  <c r="T2422" i="25"/>
  <c r="J2474" i="25"/>
  <c r="U2473" i="25"/>
  <c r="K2423" i="25"/>
  <c r="V2423" i="25" l="1"/>
  <c r="K2424" i="25"/>
  <c r="T2423" i="25"/>
  <c r="J2475" i="25"/>
  <c r="U2474" i="25"/>
  <c r="V2424" i="25" l="1"/>
  <c r="T2424" i="25"/>
  <c r="J2476" i="25"/>
  <c r="U2475" i="25"/>
  <c r="K2425" i="25"/>
  <c r="V2425" i="25" l="1"/>
  <c r="T2425" i="25"/>
  <c r="J2477" i="25"/>
  <c r="U2476" i="25"/>
  <c r="K2426" i="25"/>
  <c r="V2426" i="25" l="1"/>
  <c r="T2426" i="25"/>
  <c r="J2478" i="25"/>
  <c r="U2477" i="25"/>
  <c r="K2427" i="25"/>
  <c r="V2427" i="25" l="1"/>
  <c r="T2427" i="25"/>
  <c r="J2479" i="25"/>
  <c r="U2478" i="25"/>
  <c r="K2428" i="25"/>
  <c r="V2428" i="25" l="1"/>
  <c r="T2428" i="25"/>
  <c r="J2480" i="25"/>
  <c r="U2479" i="25"/>
  <c r="K2429" i="25"/>
  <c r="V2429" i="25" l="1"/>
  <c r="T2429" i="25"/>
  <c r="J2481" i="25"/>
  <c r="U2480" i="25"/>
  <c r="K2430" i="25"/>
  <c r="V2430" i="25" l="1"/>
  <c r="T2430" i="25"/>
  <c r="J2482" i="25"/>
  <c r="U2481" i="25"/>
  <c r="K2431" i="25"/>
  <c r="V2431" i="25" l="1"/>
  <c r="T2431" i="25"/>
  <c r="J2483" i="25"/>
  <c r="U2482" i="25"/>
  <c r="K2432" i="25"/>
  <c r="V2432" i="25" l="1"/>
  <c r="T2432" i="25"/>
  <c r="J2484" i="25"/>
  <c r="U2483" i="25"/>
  <c r="K2433" i="25"/>
  <c r="V2433" i="25" l="1"/>
  <c r="T2433" i="25"/>
  <c r="J2485" i="25"/>
  <c r="U2484" i="25"/>
  <c r="K2434" i="25"/>
  <c r="V2434" i="25" l="1"/>
  <c r="T2434" i="25"/>
  <c r="J2486" i="25"/>
  <c r="U2485" i="25"/>
  <c r="K2435" i="25"/>
  <c r="V2435" i="25" l="1"/>
  <c r="T2435" i="25"/>
  <c r="J2487" i="25"/>
  <c r="U2486" i="25"/>
  <c r="K2436" i="25"/>
  <c r="V2436" i="25" l="1"/>
  <c r="T2436" i="25"/>
  <c r="J2488" i="25"/>
  <c r="U2487" i="25"/>
  <c r="K2437" i="25"/>
  <c r="V2437" i="25" l="1"/>
  <c r="T2437" i="25"/>
  <c r="J2489" i="25"/>
  <c r="U2488" i="25"/>
  <c r="K2438" i="25"/>
  <c r="V2438" i="25" l="1"/>
  <c r="T2438" i="25"/>
  <c r="J2490" i="25"/>
  <c r="U2489" i="25"/>
  <c r="K2439" i="25"/>
  <c r="V2439" i="25" l="1"/>
  <c r="T2439" i="25"/>
  <c r="J2491" i="25"/>
  <c r="U2490" i="25"/>
  <c r="K2440" i="25"/>
  <c r="V2440" i="25" l="1"/>
  <c r="T2440" i="25"/>
  <c r="J2492" i="25"/>
  <c r="U2491" i="25"/>
  <c r="K2441" i="25"/>
  <c r="V2441" i="25" l="1"/>
  <c r="T2441" i="25"/>
  <c r="J2493" i="25"/>
  <c r="U2492" i="25"/>
  <c r="K2442" i="25"/>
  <c r="V2442" i="25" l="1"/>
  <c r="T2442" i="25"/>
  <c r="J2494" i="25"/>
  <c r="U2493" i="25"/>
  <c r="K2443" i="25"/>
  <c r="V2443" i="25" l="1"/>
  <c r="T2443" i="25"/>
  <c r="J2495" i="25"/>
  <c r="U2494" i="25"/>
  <c r="K2444" i="25"/>
  <c r="V2444" i="25" l="1"/>
  <c r="T2444" i="25"/>
  <c r="J2496" i="25"/>
  <c r="U2495" i="25"/>
  <c r="K2445" i="25"/>
  <c r="V2445" i="25" l="1"/>
  <c r="T2445" i="25"/>
  <c r="J2497" i="25"/>
  <c r="U2496" i="25"/>
  <c r="K2446" i="25"/>
  <c r="V2446" i="25" l="1"/>
  <c r="T2446" i="25"/>
  <c r="J2498" i="25"/>
  <c r="U2497" i="25"/>
  <c r="K2447" i="25"/>
  <c r="V2447" i="25" l="1"/>
  <c r="T2447" i="25"/>
  <c r="J2499" i="25"/>
  <c r="U2498" i="25"/>
  <c r="K2448" i="25"/>
  <c r="V2448" i="25" l="1"/>
  <c r="T2448" i="25"/>
  <c r="J2500" i="25"/>
  <c r="U2499" i="25"/>
  <c r="K2449" i="25"/>
  <c r="V2449" i="25" l="1"/>
  <c r="T2449" i="25"/>
  <c r="J2501" i="25"/>
  <c r="U2500" i="25"/>
  <c r="K2450" i="25"/>
  <c r="V2450" i="25" l="1"/>
  <c r="T2450" i="25"/>
  <c r="J2502" i="25"/>
  <c r="U2501" i="25"/>
  <c r="K2451" i="25"/>
  <c r="V2451" i="25" l="1"/>
  <c r="T2451" i="25"/>
  <c r="J2503" i="25"/>
  <c r="U2502" i="25"/>
  <c r="K2452" i="25"/>
  <c r="V2452" i="25" l="1"/>
  <c r="T2452" i="25"/>
  <c r="J2504" i="25"/>
  <c r="U2503" i="25"/>
  <c r="K2453" i="25"/>
  <c r="V2453" i="25" l="1"/>
  <c r="T2453" i="25"/>
  <c r="J2505" i="25"/>
  <c r="U2504" i="25"/>
  <c r="K2454" i="25"/>
  <c r="V2454" i="25" l="1"/>
  <c r="T2454" i="25"/>
  <c r="J2506" i="25"/>
  <c r="U2505" i="25"/>
  <c r="T2455" i="25" l="1"/>
  <c r="K2455" i="25"/>
  <c r="V2455" i="25" s="1"/>
  <c r="J2507" i="25"/>
  <c r="U2506" i="25"/>
  <c r="K2456" i="25"/>
  <c r="V2456" i="25" l="1"/>
  <c r="T2456" i="25"/>
  <c r="J2508" i="25"/>
  <c r="U2507" i="25"/>
  <c r="K2457" i="25"/>
  <c r="V2457" i="25" l="1"/>
  <c r="T2457" i="25"/>
  <c r="J2509" i="25"/>
  <c r="U2508" i="25"/>
  <c r="K2458" i="25"/>
  <c r="V2458" i="25" l="1"/>
  <c r="T2458" i="25"/>
  <c r="J2510" i="25"/>
  <c r="U2509" i="25"/>
  <c r="K2459" i="25"/>
  <c r="V2459" i="25" l="1"/>
  <c r="T2459" i="25"/>
  <c r="J2511" i="25"/>
  <c r="U2510" i="25"/>
  <c r="K2460" i="25"/>
  <c r="V2460" i="25" l="1"/>
  <c r="T2460" i="25"/>
  <c r="J2512" i="25"/>
  <c r="U2511" i="25"/>
  <c r="K2461" i="25"/>
  <c r="V2461" i="25" l="1"/>
  <c r="T2461" i="25"/>
  <c r="J2513" i="25"/>
  <c r="U2512" i="25"/>
  <c r="K2462" i="25"/>
  <c r="V2462" i="25" l="1"/>
  <c r="T2462" i="25"/>
  <c r="J2514" i="25"/>
  <c r="U2513" i="25"/>
  <c r="T2463" i="25" l="1"/>
  <c r="K2463" i="25"/>
  <c r="V2463" i="25" s="1"/>
  <c r="J2515" i="25"/>
  <c r="U2514" i="25"/>
  <c r="K2464" i="25"/>
  <c r="V2464" i="25" l="1"/>
  <c r="T2464" i="25"/>
  <c r="J2516" i="25"/>
  <c r="U2515" i="25"/>
  <c r="K2465" i="25"/>
  <c r="V2465" i="25" l="1"/>
  <c r="T2465" i="25"/>
  <c r="J2517" i="25"/>
  <c r="U2516" i="25"/>
  <c r="K2466" i="25"/>
  <c r="V2466" i="25" l="1"/>
  <c r="T2466" i="25"/>
  <c r="J2518" i="25"/>
  <c r="U2517" i="25"/>
  <c r="K2467" i="25"/>
  <c r="V2467" i="25" l="1"/>
  <c r="T2467" i="25"/>
  <c r="J2519" i="25"/>
  <c r="U2518" i="25"/>
  <c r="K2468" i="25"/>
  <c r="V2468" i="25" l="1"/>
  <c r="T2468" i="25"/>
  <c r="J2520" i="25"/>
  <c r="U2519" i="25"/>
  <c r="K2469" i="25"/>
  <c r="V2469" i="25" l="1"/>
  <c r="T2469" i="25"/>
  <c r="J2521" i="25"/>
  <c r="U2520" i="25"/>
  <c r="K2470" i="25"/>
  <c r="V2470" i="25" l="1"/>
  <c r="T2470" i="25"/>
  <c r="J2522" i="25"/>
  <c r="U2521" i="25"/>
  <c r="K2471" i="25"/>
  <c r="V2471" i="25" l="1"/>
  <c r="T2471" i="25"/>
  <c r="J2523" i="25"/>
  <c r="U2522" i="25"/>
  <c r="K2472" i="25"/>
  <c r="V2472" i="25" l="1"/>
  <c r="T2472" i="25"/>
  <c r="J2524" i="25"/>
  <c r="U2523" i="25"/>
  <c r="K2473" i="25"/>
  <c r="V2473" i="25" l="1"/>
  <c r="T2473" i="25"/>
  <c r="J2525" i="25"/>
  <c r="U2524" i="25"/>
  <c r="K2474" i="25"/>
  <c r="V2474" i="25" l="1"/>
  <c r="T2474" i="25"/>
  <c r="J2526" i="25"/>
  <c r="U2525" i="25"/>
  <c r="K2475" i="25"/>
  <c r="V2475" i="25" l="1"/>
  <c r="T2475" i="25"/>
  <c r="J2527" i="25"/>
  <c r="U2526" i="25"/>
  <c r="K2476" i="25"/>
  <c r="V2476" i="25" l="1"/>
  <c r="T2476" i="25"/>
  <c r="J2528" i="25"/>
  <c r="U2527" i="25"/>
  <c r="K2477" i="25"/>
  <c r="V2477" i="25" l="1"/>
  <c r="T2477" i="25"/>
  <c r="J2529" i="25"/>
  <c r="U2528" i="25"/>
  <c r="K2478" i="25"/>
  <c r="V2478" i="25" l="1"/>
  <c r="T2478" i="25"/>
  <c r="J2530" i="25"/>
  <c r="U2529" i="25"/>
  <c r="K2479" i="25"/>
  <c r="V2479" i="25" l="1"/>
  <c r="T2479" i="25"/>
  <c r="J2531" i="25"/>
  <c r="U2530" i="25"/>
  <c r="K2480" i="25"/>
  <c r="V2480" i="25" l="1"/>
  <c r="K2481" i="25"/>
  <c r="T2480" i="25"/>
  <c r="J2532" i="25"/>
  <c r="U2531" i="25"/>
  <c r="V2481" i="25" l="1"/>
  <c r="T2481" i="25"/>
  <c r="J2533" i="25"/>
  <c r="U2532" i="25"/>
  <c r="K2482" i="25"/>
  <c r="V2482" i="25" l="1"/>
  <c r="T2482" i="25"/>
  <c r="J2534" i="25"/>
  <c r="U2533" i="25"/>
  <c r="K2483" i="25"/>
  <c r="V2483" i="25" l="1"/>
  <c r="T2483" i="25"/>
  <c r="J2535" i="25"/>
  <c r="U2534" i="25"/>
  <c r="K2484" i="25"/>
  <c r="V2484" i="25" l="1"/>
  <c r="K2485" i="25"/>
  <c r="T2484" i="25"/>
  <c r="J2536" i="25"/>
  <c r="U2535" i="25"/>
  <c r="V2485" i="25" l="1"/>
  <c r="T2485" i="25"/>
  <c r="J2537" i="25"/>
  <c r="U2536" i="25"/>
  <c r="K2486" i="25"/>
  <c r="V2486" i="25" l="1"/>
  <c r="T2486" i="25"/>
  <c r="J2538" i="25"/>
  <c r="U2537" i="25"/>
  <c r="K2487" i="25"/>
  <c r="V2487" i="25" l="1"/>
  <c r="T2487" i="25"/>
  <c r="J2539" i="25"/>
  <c r="U2538" i="25"/>
  <c r="K2488" i="25"/>
  <c r="V2488" i="25" l="1"/>
  <c r="T2488" i="25"/>
  <c r="J2540" i="25"/>
  <c r="U2539" i="25"/>
  <c r="K2489" i="25"/>
  <c r="V2489" i="25" l="1"/>
  <c r="T2489" i="25"/>
  <c r="J2541" i="25"/>
  <c r="U2540" i="25"/>
  <c r="K2490" i="25"/>
  <c r="V2490" i="25" l="1"/>
  <c r="T2490" i="25"/>
  <c r="J2542" i="25"/>
  <c r="U2541" i="25"/>
  <c r="K2491" i="25"/>
  <c r="V2491" i="25" l="1"/>
  <c r="T2491" i="25"/>
  <c r="J2543" i="25"/>
  <c r="U2542" i="25"/>
  <c r="K2492" i="25"/>
  <c r="V2492" i="25" l="1"/>
  <c r="T2492" i="25"/>
  <c r="J2544" i="25"/>
  <c r="U2543" i="25"/>
  <c r="K2493" i="25"/>
  <c r="V2493" i="25" l="1"/>
  <c r="T2493" i="25"/>
  <c r="J2545" i="25"/>
  <c r="U2544" i="25"/>
  <c r="K2494" i="25"/>
  <c r="V2494" i="25" l="1"/>
  <c r="T2494" i="25"/>
  <c r="J2546" i="25"/>
  <c r="U2545" i="25"/>
  <c r="K2495" i="25"/>
  <c r="V2495" i="25" l="1"/>
  <c r="T2495" i="25"/>
  <c r="J2547" i="25"/>
  <c r="U2546" i="25"/>
  <c r="K2496" i="25"/>
  <c r="V2496" i="25" l="1"/>
  <c r="T2496" i="25"/>
  <c r="J2548" i="25"/>
  <c r="U2547" i="25"/>
  <c r="K2497" i="25"/>
  <c r="V2497" i="25" l="1"/>
  <c r="T2497" i="25"/>
  <c r="J2549" i="25"/>
  <c r="U2548" i="25"/>
  <c r="K2498" i="25"/>
  <c r="V2498" i="25" l="1"/>
  <c r="T2498" i="25"/>
  <c r="J2550" i="25"/>
  <c r="U2549" i="25"/>
  <c r="K2499" i="25"/>
  <c r="V2499" i="25" l="1"/>
  <c r="T2499" i="25"/>
  <c r="J2551" i="25"/>
  <c r="U2550" i="25"/>
  <c r="K2500" i="25"/>
  <c r="V2500" i="25" l="1"/>
  <c r="T2500" i="25"/>
  <c r="J2552" i="25"/>
  <c r="U2551" i="25"/>
  <c r="K2501" i="25"/>
  <c r="V2501" i="25" l="1"/>
  <c r="T2501" i="25"/>
  <c r="J2553" i="25"/>
  <c r="U2552" i="25"/>
  <c r="K2502" i="25"/>
  <c r="V2502" i="25" l="1"/>
  <c r="T2502" i="25"/>
  <c r="J2554" i="25"/>
  <c r="U2553" i="25"/>
  <c r="K2503" i="25"/>
  <c r="V2503" i="25" l="1"/>
  <c r="T2503" i="25"/>
  <c r="J2555" i="25"/>
  <c r="U2554" i="25"/>
  <c r="K2504" i="25"/>
  <c r="V2504" i="25" l="1"/>
  <c r="T2504" i="25"/>
  <c r="J2556" i="25"/>
  <c r="U2555" i="25"/>
  <c r="K2505" i="25"/>
  <c r="V2505" i="25" l="1"/>
  <c r="T2505" i="25"/>
  <c r="J2557" i="25"/>
  <c r="U2556" i="25"/>
  <c r="K2506" i="25"/>
  <c r="V2506" i="25" l="1"/>
  <c r="T2506" i="25"/>
  <c r="J2558" i="25"/>
  <c r="U2557" i="25"/>
  <c r="K2507" i="25"/>
  <c r="V2507" i="25" l="1"/>
  <c r="T2507" i="25"/>
  <c r="J2559" i="25"/>
  <c r="U2558" i="25"/>
  <c r="K2508" i="25"/>
  <c r="V2508" i="25" l="1"/>
  <c r="T2508" i="25"/>
  <c r="J2560" i="25"/>
  <c r="U2559" i="25"/>
  <c r="K2509" i="25"/>
  <c r="V2509" i="25" l="1"/>
  <c r="T2509" i="25"/>
  <c r="J2561" i="25"/>
  <c r="U2560" i="25"/>
  <c r="K2510" i="25"/>
  <c r="V2510" i="25" l="1"/>
  <c r="T2510" i="25"/>
  <c r="J2562" i="25"/>
  <c r="U2561" i="25"/>
  <c r="K2511" i="25"/>
  <c r="V2511" i="25" l="1"/>
  <c r="T2511" i="25"/>
  <c r="J2563" i="25"/>
  <c r="U2562" i="25"/>
  <c r="K2512" i="25"/>
  <c r="V2512" i="25" l="1"/>
  <c r="T2512" i="25"/>
  <c r="J2564" i="25"/>
  <c r="U2563" i="25"/>
  <c r="K2513" i="25"/>
  <c r="V2513" i="25" l="1"/>
  <c r="T2513" i="25"/>
  <c r="J2565" i="25"/>
  <c r="U2564" i="25"/>
  <c r="K2514" i="25"/>
  <c r="V2514" i="25" l="1"/>
  <c r="T2514" i="25"/>
  <c r="J2566" i="25"/>
  <c r="U2565" i="25"/>
  <c r="K2515" i="25"/>
  <c r="V2515" i="25" l="1"/>
  <c r="T2515" i="25"/>
  <c r="J2567" i="25"/>
  <c r="U2566" i="25"/>
  <c r="K2516" i="25"/>
  <c r="V2516" i="25" l="1"/>
  <c r="T2516" i="25"/>
  <c r="J2568" i="25"/>
  <c r="U2567" i="25"/>
  <c r="K2517" i="25"/>
  <c r="V2517" i="25" l="1"/>
  <c r="T2517" i="25"/>
  <c r="J2569" i="25"/>
  <c r="U2568" i="25"/>
  <c r="K2518" i="25"/>
  <c r="V2518" i="25" l="1"/>
  <c r="T2518" i="25"/>
  <c r="J2570" i="25"/>
  <c r="U2569" i="25"/>
  <c r="T2519" i="25" l="1"/>
  <c r="K2519" i="25"/>
  <c r="V2519" i="25" s="1"/>
  <c r="J2571" i="25"/>
  <c r="U2570" i="25"/>
  <c r="K2520" i="25"/>
  <c r="V2520" i="25" l="1"/>
  <c r="T2520" i="25"/>
  <c r="J2572" i="25"/>
  <c r="U2571" i="25"/>
  <c r="K2521" i="25"/>
  <c r="V2521" i="25" l="1"/>
  <c r="T2521" i="25"/>
  <c r="J2573" i="25"/>
  <c r="U2572" i="25"/>
  <c r="K2522" i="25"/>
  <c r="V2522" i="25" l="1"/>
  <c r="T2522" i="25"/>
  <c r="J2574" i="25"/>
  <c r="U2573" i="25"/>
  <c r="K2523" i="25"/>
  <c r="V2523" i="25" l="1"/>
  <c r="T2523" i="25"/>
  <c r="J2575" i="25"/>
  <c r="U2574" i="25"/>
  <c r="T2524" i="25" l="1"/>
  <c r="K2524" i="25"/>
  <c r="V2524" i="25" s="1"/>
  <c r="J2576" i="25"/>
  <c r="U2575" i="25"/>
  <c r="K2525" i="25"/>
  <c r="V2525" i="25" l="1"/>
  <c r="T2525" i="25"/>
  <c r="J2577" i="25"/>
  <c r="U2576" i="25"/>
  <c r="K2526" i="25"/>
  <c r="V2526" i="25" l="1"/>
  <c r="T2526" i="25"/>
  <c r="J2578" i="25"/>
  <c r="U2577" i="25"/>
  <c r="K2527" i="25"/>
  <c r="V2527" i="25" l="1"/>
  <c r="T2527" i="25"/>
  <c r="J2579" i="25"/>
  <c r="U2578" i="25"/>
  <c r="K2528" i="25"/>
  <c r="V2528" i="25" l="1"/>
  <c r="T2528" i="25"/>
  <c r="J2580" i="25"/>
  <c r="U2579" i="25"/>
  <c r="K2529" i="25"/>
  <c r="V2529" i="25" l="1"/>
  <c r="T2529" i="25"/>
  <c r="J2581" i="25"/>
  <c r="U2580" i="25"/>
  <c r="K2530" i="25"/>
  <c r="V2530" i="25" l="1"/>
  <c r="T2530" i="25"/>
  <c r="J2582" i="25"/>
  <c r="U2581" i="25"/>
  <c r="K2531" i="25"/>
  <c r="V2531" i="25" l="1"/>
  <c r="T2531" i="25"/>
  <c r="J2583" i="25"/>
  <c r="U2582" i="25"/>
  <c r="K2532" i="25"/>
  <c r="V2532" i="25" l="1"/>
  <c r="T2532" i="25"/>
  <c r="J2584" i="25"/>
  <c r="U2583" i="25"/>
  <c r="K2533" i="25"/>
  <c r="V2533" i="25" l="1"/>
  <c r="T2533" i="25"/>
  <c r="J2585" i="25"/>
  <c r="U2584" i="25"/>
  <c r="K2534" i="25"/>
  <c r="V2534" i="25" l="1"/>
  <c r="T2534" i="25"/>
  <c r="J2586" i="25"/>
  <c r="U2585" i="25"/>
  <c r="K2535" i="25"/>
  <c r="V2535" i="25" l="1"/>
  <c r="T2535" i="25"/>
  <c r="J2587" i="25"/>
  <c r="U2586" i="25"/>
  <c r="K2536" i="25"/>
  <c r="V2536" i="25" l="1"/>
  <c r="T2536" i="25"/>
  <c r="J2588" i="25"/>
  <c r="U2587" i="25"/>
  <c r="K2537" i="25"/>
  <c r="V2537" i="25" l="1"/>
  <c r="T2537" i="25"/>
  <c r="J2589" i="25"/>
  <c r="U2588" i="25"/>
  <c r="K2538" i="25"/>
  <c r="V2538" i="25" l="1"/>
  <c r="T2538" i="25"/>
  <c r="J2590" i="25"/>
  <c r="U2589" i="25"/>
  <c r="K2539" i="25"/>
  <c r="V2539" i="25" l="1"/>
  <c r="T2539" i="25"/>
  <c r="J2591" i="25"/>
  <c r="U2590" i="25"/>
  <c r="K2540" i="25"/>
  <c r="V2540" i="25" l="1"/>
  <c r="T2540" i="25"/>
  <c r="J2592" i="25"/>
  <c r="U2591" i="25"/>
  <c r="K2541" i="25"/>
  <c r="V2541" i="25" l="1"/>
  <c r="T2541" i="25"/>
  <c r="J2593" i="25"/>
  <c r="U2592" i="25"/>
  <c r="K2542" i="25"/>
  <c r="V2542" i="25" l="1"/>
  <c r="T2542" i="25"/>
  <c r="J2594" i="25"/>
  <c r="U2593" i="25"/>
  <c r="K2543" i="25"/>
  <c r="V2543" i="25" l="1"/>
  <c r="T2543" i="25"/>
  <c r="J2595" i="25"/>
  <c r="U2594" i="25"/>
  <c r="K2544" i="25"/>
  <c r="V2544" i="25" l="1"/>
  <c r="T2544" i="25"/>
  <c r="J2596" i="25"/>
  <c r="U2595" i="25"/>
  <c r="K2545" i="25"/>
  <c r="V2545" i="25" l="1"/>
  <c r="T2545" i="25"/>
  <c r="J2597" i="25"/>
  <c r="U2596" i="25"/>
  <c r="K2546" i="25"/>
  <c r="V2546" i="25" l="1"/>
  <c r="T2546" i="25"/>
  <c r="J2598" i="25"/>
  <c r="U2597" i="25"/>
  <c r="K2547" i="25"/>
  <c r="V2547" i="25" l="1"/>
  <c r="T2547" i="25"/>
  <c r="J2599" i="25"/>
  <c r="U2598" i="25"/>
  <c r="K2548" i="25"/>
  <c r="V2548" i="25" l="1"/>
  <c r="T2548" i="25"/>
  <c r="J2600" i="25"/>
  <c r="U2599" i="25"/>
  <c r="K2549" i="25"/>
  <c r="V2549" i="25" l="1"/>
  <c r="T2549" i="25"/>
  <c r="J2601" i="25"/>
  <c r="U2600" i="25"/>
  <c r="K2550" i="25"/>
  <c r="V2550" i="25" l="1"/>
  <c r="T2550" i="25"/>
  <c r="J2602" i="25"/>
  <c r="U2601" i="25"/>
  <c r="K2551" i="25"/>
  <c r="V2551" i="25" l="1"/>
  <c r="T2551" i="25"/>
  <c r="J2603" i="25"/>
  <c r="U2602" i="25"/>
  <c r="K2552" i="25"/>
  <c r="V2552" i="25" l="1"/>
  <c r="T2552" i="25"/>
  <c r="J2604" i="25"/>
  <c r="U2603" i="25"/>
  <c r="K2553" i="25"/>
  <c r="V2553" i="25" l="1"/>
  <c r="T2553" i="25"/>
  <c r="J2605" i="25"/>
  <c r="U2604" i="25"/>
  <c r="K2554" i="25"/>
  <c r="V2554" i="25" l="1"/>
  <c r="T2554" i="25"/>
  <c r="J2606" i="25"/>
  <c r="U2605" i="25"/>
  <c r="K2555" i="25"/>
  <c r="V2555" i="25" l="1"/>
  <c r="T2555" i="25"/>
  <c r="J2607" i="25"/>
  <c r="U2606" i="25"/>
  <c r="K2556" i="25"/>
  <c r="V2556" i="25" l="1"/>
  <c r="T2556" i="25"/>
  <c r="J2608" i="25"/>
  <c r="U2607" i="25"/>
  <c r="K2557" i="25"/>
  <c r="V2557" i="25" l="1"/>
  <c r="K2558" i="25"/>
  <c r="T2557" i="25"/>
  <c r="J2609" i="25"/>
  <c r="U2608" i="25"/>
  <c r="V2558" i="25" l="1"/>
  <c r="T2558" i="25"/>
  <c r="J2610" i="25"/>
  <c r="U2609" i="25"/>
  <c r="K2559" i="25"/>
  <c r="V2559" i="25" l="1"/>
  <c r="T2559" i="25"/>
  <c r="J2611" i="25"/>
  <c r="U2610" i="25"/>
  <c r="K2560" i="25"/>
  <c r="V2560" i="25" l="1"/>
  <c r="T2560" i="25"/>
  <c r="J2612" i="25"/>
  <c r="U2611" i="25"/>
  <c r="K2561" i="25"/>
  <c r="V2561" i="25" l="1"/>
  <c r="T2561" i="25"/>
  <c r="J2613" i="25"/>
  <c r="U2612" i="25"/>
  <c r="K2562" i="25"/>
  <c r="V2562" i="25" l="1"/>
  <c r="T2562" i="25"/>
  <c r="J2614" i="25"/>
  <c r="U2613" i="25"/>
  <c r="K2563" i="25"/>
  <c r="V2563" i="25" l="1"/>
  <c r="T2563" i="25"/>
  <c r="J2615" i="25"/>
  <c r="U2614" i="25"/>
  <c r="K2564" i="25"/>
  <c r="V2564" i="25" l="1"/>
  <c r="T2564" i="25"/>
  <c r="J2616" i="25"/>
  <c r="U2615" i="25"/>
  <c r="K2565" i="25"/>
  <c r="V2565" i="25" l="1"/>
  <c r="T2565" i="25"/>
  <c r="J2617" i="25"/>
  <c r="U2616" i="25"/>
  <c r="K2566" i="25"/>
  <c r="V2566" i="25" l="1"/>
  <c r="T2566" i="25"/>
  <c r="J2618" i="25"/>
  <c r="U2617" i="25"/>
  <c r="K2567" i="25"/>
  <c r="V2567" i="25" l="1"/>
  <c r="T2567" i="25"/>
  <c r="J2619" i="25"/>
  <c r="U2618" i="25"/>
  <c r="K2568" i="25"/>
  <c r="V2568" i="25" l="1"/>
  <c r="T2568" i="25"/>
  <c r="J2620" i="25"/>
  <c r="U2619" i="25"/>
  <c r="K2569" i="25"/>
  <c r="V2569" i="25" l="1"/>
  <c r="T2569" i="25"/>
  <c r="J2621" i="25"/>
  <c r="U2620" i="25"/>
  <c r="K2570" i="25"/>
  <c r="V2570" i="25" l="1"/>
  <c r="T2570" i="25"/>
  <c r="J2622" i="25"/>
  <c r="U2621" i="25"/>
  <c r="K2571" i="25"/>
  <c r="V2571" i="25" l="1"/>
  <c r="T2571" i="25"/>
  <c r="J2623" i="25"/>
  <c r="U2622" i="25"/>
  <c r="K2572" i="25"/>
  <c r="V2572" i="25" l="1"/>
  <c r="T2572" i="25"/>
  <c r="J2624" i="25"/>
  <c r="U2623" i="25"/>
  <c r="K2573" i="25"/>
  <c r="V2573" i="25" l="1"/>
  <c r="T2573" i="25"/>
  <c r="J2625" i="25"/>
  <c r="U2624" i="25"/>
  <c r="K2574" i="25"/>
  <c r="V2574" i="25" l="1"/>
  <c r="T2574" i="25"/>
  <c r="J2626" i="25"/>
  <c r="U2625" i="25"/>
  <c r="K2575" i="25"/>
  <c r="V2575" i="25" l="1"/>
  <c r="K2576" i="25"/>
  <c r="T2575" i="25"/>
  <c r="J2627" i="25"/>
  <c r="U2626" i="25"/>
  <c r="V2576" i="25" l="1"/>
  <c r="T2576" i="25"/>
  <c r="J2628" i="25"/>
  <c r="U2627" i="25"/>
  <c r="K2577" i="25"/>
  <c r="V2577" i="25" l="1"/>
  <c r="T2577" i="25"/>
  <c r="J2629" i="25"/>
  <c r="U2628" i="25"/>
  <c r="K2578" i="25"/>
  <c r="V2578" i="25" l="1"/>
  <c r="T2578" i="25"/>
  <c r="J2630" i="25"/>
  <c r="U2629" i="25"/>
  <c r="K2579" i="25"/>
  <c r="V2579" i="25" l="1"/>
  <c r="K2580" i="25"/>
  <c r="T2579" i="25"/>
  <c r="J2631" i="25"/>
  <c r="U2630" i="25"/>
  <c r="V2580" i="25" l="1"/>
  <c r="T2580" i="25"/>
  <c r="J2632" i="25"/>
  <c r="U2631" i="25"/>
  <c r="K2581" i="25"/>
  <c r="V2581" i="25" l="1"/>
  <c r="T2581" i="25"/>
  <c r="J2633" i="25"/>
  <c r="U2632" i="25"/>
  <c r="K2582" i="25"/>
  <c r="V2582" i="25" l="1"/>
  <c r="T2582" i="25"/>
  <c r="J2634" i="25"/>
  <c r="U2633" i="25"/>
  <c r="K2583" i="25"/>
  <c r="V2583" i="25" l="1"/>
  <c r="T2583" i="25"/>
  <c r="J2635" i="25"/>
  <c r="U2634" i="25"/>
  <c r="K2584" i="25"/>
  <c r="V2584" i="25" l="1"/>
  <c r="T2584" i="25"/>
  <c r="J2636" i="25"/>
  <c r="U2635" i="25"/>
  <c r="K2585" i="25"/>
  <c r="V2585" i="25" l="1"/>
  <c r="T2585" i="25"/>
  <c r="J2637" i="25"/>
  <c r="U2636" i="25"/>
  <c r="K2586" i="25"/>
  <c r="V2586" i="25" l="1"/>
  <c r="T2586" i="25"/>
  <c r="J2638" i="25"/>
  <c r="U2637" i="25"/>
  <c r="K2587" i="25"/>
  <c r="V2587" i="25" l="1"/>
  <c r="T2587" i="25"/>
  <c r="J2639" i="25"/>
  <c r="U2638" i="25"/>
  <c r="K2588" i="25"/>
  <c r="V2588" i="25" l="1"/>
  <c r="T2588" i="25"/>
  <c r="J2640" i="25"/>
  <c r="U2639" i="25"/>
  <c r="K2589" i="25"/>
  <c r="V2589" i="25" l="1"/>
  <c r="T2589" i="25"/>
  <c r="J2641" i="25"/>
  <c r="U2640" i="25"/>
  <c r="K2590" i="25"/>
  <c r="V2590" i="25" l="1"/>
  <c r="T2590" i="25"/>
  <c r="J2642" i="25"/>
  <c r="U2641" i="25"/>
  <c r="K2591" i="25"/>
  <c r="V2591" i="25" l="1"/>
  <c r="T2591" i="25"/>
  <c r="J2643" i="25"/>
  <c r="U2642" i="25"/>
  <c r="K2592" i="25"/>
  <c r="V2592" i="25" l="1"/>
  <c r="T2592" i="25"/>
  <c r="J2644" i="25"/>
  <c r="U2643" i="25"/>
  <c r="K2593" i="25"/>
  <c r="V2593" i="25" l="1"/>
  <c r="T2593" i="25"/>
  <c r="J2645" i="25"/>
  <c r="U2644" i="25"/>
  <c r="K2594" i="25"/>
  <c r="V2594" i="25" l="1"/>
  <c r="T2594" i="25"/>
  <c r="J2646" i="25"/>
  <c r="U2645" i="25"/>
  <c r="K2595" i="25"/>
  <c r="V2595" i="25" l="1"/>
  <c r="T2595" i="25"/>
  <c r="J2647" i="25"/>
  <c r="U2646" i="25"/>
  <c r="K2596" i="25"/>
  <c r="V2596" i="25" l="1"/>
  <c r="T2596" i="25"/>
  <c r="J2648" i="25"/>
  <c r="U2647" i="25"/>
  <c r="K2597" i="25"/>
  <c r="V2597" i="25" l="1"/>
  <c r="T2597" i="25"/>
  <c r="J2649" i="25"/>
  <c r="U2648" i="25"/>
  <c r="K2598" i="25"/>
  <c r="V2598" i="25" l="1"/>
  <c r="T2598" i="25"/>
  <c r="J2650" i="25"/>
  <c r="U2649" i="25"/>
  <c r="K2599" i="25"/>
  <c r="V2599" i="25" l="1"/>
  <c r="T2599" i="25"/>
  <c r="J2651" i="25"/>
  <c r="U2650" i="25"/>
  <c r="K2600" i="25"/>
  <c r="V2600" i="25" l="1"/>
  <c r="T2600" i="25"/>
  <c r="J2652" i="25"/>
  <c r="U2651" i="25"/>
  <c r="K2601" i="25"/>
  <c r="V2601" i="25" l="1"/>
  <c r="T2601" i="25"/>
  <c r="J2653" i="25"/>
  <c r="U2652" i="25"/>
  <c r="K2602" i="25"/>
  <c r="V2602" i="25" l="1"/>
  <c r="T2602" i="25"/>
  <c r="J2654" i="25"/>
  <c r="U2653" i="25"/>
  <c r="K2603" i="25"/>
  <c r="V2603" i="25" l="1"/>
  <c r="T2603" i="25"/>
  <c r="J2655" i="25"/>
  <c r="U2654" i="25"/>
  <c r="K2604" i="25"/>
  <c r="V2604" i="25" l="1"/>
  <c r="T2604" i="25"/>
  <c r="J2656" i="25"/>
  <c r="U2655" i="25"/>
  <c r="K2605" i="25"/>
  <c r="V2605" i="25" l="1"/>
  <c r="T2605" i="25"/>
  <c r="J2657" i="25"/>
  <c r="U2656" i="25"/>
  <c r="K2606" i="25"/>
  <c r="V2606" i="25" l="1"/>
  <c r="T2606" i="25"/>
  <c r="J2658" i="25"/>
  <c r="U2657" i="25"/>
  <c r="K2607" i="25"/>
  <c r="V2607" i="25" l="1"/>
  <c r="T2607" i="25"/>
  <c r="J2659" i="25"/>
  <c r="U2658" i="25"/>
  <c r="K2608" i="25"/>
  <c r="V2608" i="25" l="1"/>
  <c r="T2608" i="25"/>
  <c r="J2660" i="25"/>
  <c r="U2659" i="25"/>
  <c r="K2609" i="25"/>
  <c r="V2609" i="25" l="1"/>
  <c r="K2610" i="25"/>
  <c r="T2609" i="25"/>
  <c r="J2661" i="25"/>
  <c r="U2660" i="25"/>
  <c r="V2610" i="25" l="1"/>
  <c r="T2610" i="25"/>
  <c r="J2662" i="25"/>
  <c r="U2661" i="25"/>
  <c r="K2611" i="25"/>
  <c r="V2611" i="25" l="1"/>
  <c r="T2611" i="25"/>
  <c r="J2663" i="25"/>
  <c r="U2662" i="25"/>
  <c r="K2612" i="25"/>
  <c r="V2612" i="25" l="1"/>
  <c r="T2612" i="25"/>
  <c r="J2664" i="25"/>
  <c r="U2663" i="25"/>
  <c r="K2613" i="25"/>
  <c r="V2613" i="25" l="1"/>
  <c r="T2613" i="25"/>
  <c r="J2665" i="25"/>
  <c r="U2664" i="25"/>
  <c r="K2614" i="25"/>
  <c r="V2614" i="25" l="1"/>
  <c r="T2614" i="25"/>
  <c r="J2666" i="25"/>
  <c r="U2665" i="25"/>
  <c r="K2615" i="25"/>
  <c r="V2615" i="25" l="1"/>
  <c r="T2615" i="25"/>
  <c r="J2667" i="25"/>
  <c r="U2666" i="25"/>
  <c r="K2616" i="25"/>
  <c r="V2616" i="25" l="1"/>
  <c r="T2616" i="25"/>
  <c r="J2668" i="25"/>
  <c r="U2667" i="25"/>
  <c r="K2617" i="25"/>
  <c r="V2617" i="25" l="1"/>
  <c r="T2617" i="25"/>
  <c r="J2669" i="25"/>
  <c r="U2668" i="25"/>
  <c r="K2618" i="25"/>
  <c r="V2618" i="25" l="1"/>
  <c r="T2618" i="25"/>
  <c r="J2670" i="25"/>
  <c r="U2669" i="25"/>
  <c r="K2619" i="25"/>
  <c r="V2619" i="25" l="1"/>
  <c r="T2619" i="25"/>
  <c r="J2671" i="25"/>
  <c r="U2670" i="25"/>
  <c r="K2620" i="25"/>
  <c r="V2620" i="25" l="1"/>
  <c r="T2620" i="25"/>
  <c r="J2672" i="25"/>
  <c r="U2671" i="25"/>
  <c r="K2621" i="25"/>
  <c r="V2621" i="25" l="1"/>
  <c r="T2621" i="25"/>
  <c r="J2673" i="25"/>
  <c r="U2672" i="25"/>
  <c r="K2622" i="25"/>
  <c r="V2622" i="25" l="1"/>
  <c r="T2622" i="25"/>
  <c r="J2674" i="25"/>
  <c r="U2673" i="25"/>
  <c r="K2623" i="25"/>
  <c r="V2623" i="25" l="1"/>
  <c r="T2623" i="25"/>
  <c r="J2675" i="25"/>
  <c r="U2674" i="25"/>
  <c r="K2624" i="25"/>
  <c r="V2624" i="25" l="1"/>
  <c r="T2624" i="25"/>
  <c r="J2676" i="25"/>
  <c r="U2675" i="25"/>
  <c r="K2625" i="25"/>
  <c r="V2625" i="25" l="1"/>
  <c r="T2625" i="25"/>
  <c r="J2677" i="25"/>
  <c r="U2676" i="25"/>
  <c r="K2626" i="25"/>
  <c r="V2626" i="25" l="1"/>
  <c r="T2626" i="25"/>
  <c r="J2678" i="25"/>
  <c r="U2677" i="25"/>
  <c r="T2627" i="25" l="1"/>
  <c r="K2627" i="25"/>
  <c r="V2627" i="25" s="1"/>
  <c r="J2679" i="25"/>
  <c r="U2678" i="25"/>
  <c r="K2628" i="25"/>
  <c r="V2628" i="25" l="1"/>
  <c r="T2628" i="25"/>
  <c r="J2680" i="25"/>
  <c r="U2679" i="25"/>
  <c r="K2629" i="25"/>
  <c r="V2629" i="25" l="1"/>
  <c r="T2629" i="25"/>
  <c r="J2681" i="25"/>
  <c r="U2680" i="25"/>
  <c r="K2630" i="25"/>
  <c r="V2630" i="25" l="1"/>
  <c r="T2630" i="25"/>
  <c r="J2682" i="25"/>
  <c r="U2681" i="25"/>
  <c r="K2631" i="25"/>
  <c r="V2631" i="25" l="1"/>
  <c r="T2631" i="25"/>
  <c r="J2683" i="25"/>
  <c r="U2682" i="25"/>
  <c r="K2632" i="25"/>
  <c r="V2632" i="25" l="1"/>
  <c r="T2632" i="25"/>
  <c r="J2684" i="25"/>
  <c r="U2683" i="25"/>
  <c r="K2633" i="25"/>
  <c r="V2633" i="25" l="1"/>
  <c r="T2633" i="25"/>
  <c r="J2685" i="25"/>
  <c r="U2684" i="25"/>
  <c r="K2634" i="25"/>
  <c r="V2634" i="25" l="1"/>
  <c r="T2634" i="25"/>
  <c r="J2686" i="25"/>
  <c r="U2685" i="25"/>
  <c r="K2635" i="25"/>
  <c r="V2635" i="25" l="1"/>
  <c r="T2635" i="25"/>
  <c r="J2687" i="25"/>
  <c r="U2686" i="25"/>
  <c r="K2636" i="25"/>
  <c r="V2636" i="25" l="1"/>
  <c r="T2636" i="25"/>
  <c r="J2688" i="25"/>
  <c r="U2687" i="25"/>
  <c r="T2637" i="25" l="1"/>
  <c r="K2637" i="25"/>
  <c r="V2637" i="25" s="1"/>
  <c r="J2689" i="25"/>
  <c r="U2688" i="25"/>
  <c r="K2638" i="25"/>
  <c r="V2638" i="25" l="1"/>
  <c r="T2638" i="25"/>
  <c r="J2690" i="25"/>
  <c r="U2689" i="25"/>
  <c r="K2639" i="25"/>
  <c r="V2639" i="25" l="1"/>
  <c r="T2639" i="25"/>
  <c r="J2691" i="25"/>
  <c r="U2690" i="25"/>
  <c r="K2640" i="25"/>
  <c r="V2640" i="25" l="1"/>
  <c r="T2640" i="25"/>
  <c r="J2692" i="25"/>
  <c r="U2691" i="25"/>
  <c r="K2641" i="25"/>
  <c r="V2641" i="25" l="1"/>
  <c r="T2641" i="25"/>
  <c r="J2693" i="25"/>
  <c r="U2692" i="25"/>
  <c r="K2642" i="25"/>
  <c r="V2642" i="25" l="1"/>
  <c r="T2642" i="25"/>
  <c r="J2694" i="25"/>
  <c r="U2693" i="25"/>
  <c r="K2643" i="25"/>
  <c r="V2643" i="25" l="1"/>
  <c r="T2643" i="25"/>
  <c r="J2695" i="25"/>
  <c r="U2694" i="25"/>
  <c r="K2644" i="25"/>
  <c r="V2644" i="25" l="1"/>
  <c r="T2644" i="25"/>
  <c r="J2696" i="25"/>
  <c r="U2695" i="25"/>
  <c r="K2645" i="25"/>
  <c r="V2645" i="25" l="1"/>
  <c r="T2645" i="25"/>
  <c r="J2697" i="25"/>
  <c r="U2696" i="25"/>
  <c r="K2646" i="25"/>
  <c r="V2646" i="25" l="1"/>
  <c r="T2646" i="25"/>
  <c r="J2698" i="25"/>
  <c r="U2697" i="25"/>
  <c r="K2647" i="25"/>
  <c r="V2647" i="25" l="1"/>
  <c r="T2647" i="25"/>
  <c r="J2699" i="25"/>
  <c r="U2698" i="25"/>
  <c r="K2648" i="25"/>
  <c r="V2648" i="25" l="1"/>
  <c r="T2648" i="25"/>
  <c r="J2700" i="25"/>
  <c r="U2699" i="25"/>
  <c r="K2649" i="25"/>
  <c r="V2649" i="25" l="1"/>
  <c r="T2649" i="25"/>
  <c r="J2701" i="25"/>
  <c r="U2700" i="25"/>
  <c r="K2650" i="25"/>
  <c r="V2650" i="25" l="1"/>
  <c r="T2650" i="25"/>
  <c r="J2702" i="25"/>
  <c r="U2701" i="25"/>
  <c r="K2651" i="25"/>
  <c r="V2651" i="25" l="1"/>
  <c r="T2651" i="25"/>
  <c r="J2703" i="25"/>
  <c r="U2702" i="25"/>
  <c r="T2652" i="25" l="1"/>
  <c r="K2652" i="25"/>
  <c r="V2652" i="25" s="1"/>
  <c r="J2704" i="25"/>
  <c r="U2703" i="25"/>
  <c r="K2653" i="25"/>
  <c r="V2653" i="25" l="1"/>
  <c r="T2653" i="25"/>
  <c r="J2705" i="25"/>
  <c r="U2704" i="25"/>
  <c r="K2654" i="25"/>
  <c r="V2654" i="25" l="1"/>
  <c r="T2654" i="25"/>
  <c r="J2706" i="25"/>
  <c r="U2705" i="25"/>
  <c r="K2655" i="25"/>
  <c r="V2655" i="25" l="1"/>
  <c r="T2655" i="25"/>
  <c r="J2707" i="25"/>
  <c r="U2706" i="25"/>
  <c r="K2656" i="25"/>
  <c r="V2656" i="25" l="1"/>
  <c r="T2656" i="25"/>
  <c r="J2708" i="25"/>
  <c r="U2707" i="25"/>
  <c r="K2657" i="25"/>
  <c r="V2657" i="25" l="1"/>
  <c r="T2657" i="25"/>
  <c r="J2709" i="25"/>
  <c r="U2708" i="25"/>
  <c r="K2658" i="25"/>
  <c r="V2658" i="25" l="1"/>
  <c r="T2658" i="25"/>
  <c r="J2710" i="25"/>
  <c r="U2709" i="25"/>
  <c r="K2659" i="25"/>
  <c r="V2659" i="25" l="1"/>
  <c r="T2659" i="25"/>
  <c r="J2711" i="25"/>
  <c r="U2710" i="25"/>
  <c r="K2660" i="25"/>
  <c r="V2660" i="25" l="1"/>
  <c r="T2660" i="25"/>
  <c r="J2712" i="25"/>
  <c r="U2711" i="25"/>
  <c r="K2661" i="25"/>
  <c r="V2661" i="25" l="1"/>
  <c r="T2661" i="25"/>
  <c r="J2713" i="25"/>
  <c r="U2712" i="25"/>
  <c r="K2662" i="25"/>
  <c r="V2662" i="25" l="1"/>
  <c r="T2662" i="25"/>
  <c r="J2714" i="25"/>
  <c r="U2713" i="25"/>
  <c r="K2663" i="25"/>
  <c r="V2663" i="25" l="1"/>
  <c r="T2663" i="25"/>
  <c r="J2715" i="25"/>
  <c r="U2714" i="25"/>
  <c r="K2664" i="25"/>
  <c r="V2664" i="25" l="1"/>
  <c r="T2664" i="25"/>
  <c r="J2716" i="25"/>
  <c r="U2715" i="25"/>
  <c r="K2665" i="25"/>
  <c r="V2665" i="25" l="1"/>
  <c r="T2665" i="25"/>
  <c r="J2717" i="25"/>
  <c r="U2716" i="25"/>
  <c r="K2666" i="25"/>
  <c r="V2666" i="25" l="1"/>
  <c r="T2666" i="25"/>
  <c r="J2718" i="25"/>
  <c r="U2717" i="25"/>
  <c r="K2667" i="25"/>
  <c r="V2667" i="25" l="1"/>
  <c r="T2667" i="25"/>
  <c r="J2719" i="25"/>
  <c r="U2718" i="25"/>
  <c r="K2668" i="25"/>
  <c r="V2668" i="25" l="1"/>
  <c r="T2668" i="25"/>
  <c r="J2720" i="25"/>
  <c r="U2719" i="25"/>
  <c r="K2669" i="25"/>
  <c r="V2669" i="25" l="1"/>
  <c r="T2669" i="25"/>
  <c r="J2721" i="25"/>
  <c r="U2720" i="25"/>
  <c r="K2670" i="25"/>
  <c r="V2670" i="25" l="1"/>
  <c r="T2670" i="25"/>
  <c r="J2722" i="25"/>
  <c r="U2721" i="25"/>
  <c r="K2671" i="25"/>
  <c r="V2671" i="25" l="1"/>
  <c r="T2671" i="25"/>
  <c r="J2723" i="25"/>
  <c r="U2722" i="25"/>
  <c r="K2672" i="25"/>
  <c r="V2672" i="25" l="1"/>
  <c r="T2672" i="25"/>
  <c r="J2724" i="25"/>
  <c r="U2723" i="25"/>
  <c r="K2673" i="25"/>
  <c r="V2673" i="25" l="1"/>
  <c r="T2673" i="25"/>
  <c r="J2725" i="25"/>
  <c r="U2724" i="25"/>
  <c r="K2674" i="25"/>
  <c r="V2674" i="25" l="1"/>
  <c r="T2674" i="25"/>
  <c r="J2726" i="25"/>
  <c r="U2725" i="25"/>
  <c r="K2675" i="25"/>
  <c r="V2675" i="25" l="1"/>
  <c r="T2675" i="25"/>
  <c r="J2727" i="25"/>
  <c r="U2726" i="25"/>
  <c r="K2676" i="25"/>
  <c r="V2676" i="25" l="1"/>
  <c r="T2676" i="25"/>
  <c r="J2728" i="25"/>
  <c r="U2727" i="25"/>
  <c r="K2677" i="25"/>
  <c r="V2677" i="25" l="1"/>
  <c r="T2677" i="25"/>
  <c r="J2729" i="25"/>
  <c r="U2728" i="25"/>
  <c r="K2678" i="25"/>
  <c r="V2678" i="25" l="1"/>
  <c r="T2678" i="25"/>
  <c r="J2730" i="25"/>
  <c r="U2729" i="25"/>
  <c r="K2679" i="25"/>
  <c r="V2679" i="25" l="1"/>
  <c r="T2679" i="25"/>
  <c r="J2731" i="25"/>
  <c r="U2730" i="25"/>
  <c r="K2680" i="25"/>
  <c r="V2680" i="25" l="1"/>
  <c r="T2680" i="25"/>
  <c r="J2732" i="25"/>
  <c r="U2731" i="25"/>
  <c r="K2681" i="25"/>
  <c r="V2681" i="25" l="1"/>
  <c r="T2681" i="25"/>
  <c r="J2733" i="25"/>
  <c r="U2732" i="25"/>
  <c r="K2682" i="25"/>
  <c r="V2682" i="25" l="1"/>
  <c r="T2682" i="25"/>
  <c r="J2734" i="25"/>
  <c r="U2733" i="25"/>
  <c r="K2683" i="25"/>
  <c r="V2683" i="25" l="1"/>
  <c r="K2684" i="25"/>
  <c r="T2683" i="25"/>
  <c r="J2735" i="25"/>
  <c r="U2734" i="25"/>
  <c r="V2684" i="25" l="1"/>
  <c r="T2684" i="25"/>
  <c r="J2736" i="25"/>
  <c r="U2735" i="25"/>
  <c r="K2685" i="25"/>
  <c r="V2685" i="25" l="1"/>
  <c r="T2685" i="25"/>
  <c r="J2737" i="25"/>
  <c r="U2736" i="25"/>
  <c r="K2686" i="25"/>
  <c r="V2686" i="25" l="1"/>
  <c r="T2686" i="25"/>
  <c r="J2738" i="25"/>
  <c r="U2737" i="25"/>
  <c r="K2687" i="25"/>
  <c r="V2687" i="25" l="1"/>
  <c r="T2687" i="25"/>
  <c r="J2739" i="25"/>
  <c r="U2738" i="25"/>
  <c r="K2688" i="25"/>
  <c r="V2688" i="25" l="1"/>
  <c r="T2688" i="25"/>
  <c r="J2740" i="25"/>
  <c r="U2739" i="25"/>
  <c r="K2689" i="25"/>
  <c r="V2689" i="25" l="1"/>
  <c r="T2689" i="25"/>
  <c r="J2741" i="25"/>
  <c r="U2740" i="25"/>
  <c r="K2690" i="25"/>
  <c r="V2690" i="25" l="1"/>
  <c r="T2690" i="25"/>
  <c r="J2742" i="25"/>
  <c r="U2741" i="25"/>
  <c r="K2691" i="25"/>
  <c r="V2691" i="25" l="1"/>
  <c r="T2691" i="25"/>
  <c r="J2743" i="25"/>
  <c r="U2742" i="25"/>
  <c r="K2692" i="25"/>
  <c r="V2692" i="25" l="1"/>
  <c r="T2692" i="25"/>
  <c r="J2744" i="25"/>
  <c r="U2743" i="25"/>
  <c r="K2693" i="25"/>
  <c r="V2693" i="25" l="1"/>
  <c r="T2693" i="25"/>
  <c r="J2745" i="25"/>
  <c r="U2744" i="25"/>
  <c r="K2694" i="25"/>
  <c r="V2694" i="25" l="1"/>
  <c r="T2694" i="25"/>
  <c r="J2746" i="25"/>
  <c r="U2745" i="25"/>
  <c r="K2695" i="25"/>
  <c r="V2695" i="25" l="1"/>
  <c r="T2695" i="25"/>
  <c r="J2747" i="25"/>
  <c r="U2746" i="25"/>
  <c r="K2696" i="25"/>
  <c r="V2696" i="25" l="1"/>
  <c r="T2696" i="25"/>
  <c r="J2748" i="25"/>
  <c r="U2747" i="25"/>
  <c r="K2697" i="25"/>
  <c r="V2697" i="25" l="1"/>
  <c r="T2697" i="25"/>
  <c r="J2749" i="25"/>
  <c r="U2748" i="25"/>
  <c r="K2698" i="25"/>
  <c r="V2698" i="25" l="1"/>
  <c r="T2698" i="25"/>
  <c r="J2750" i="25"/>
  <c r="U2749" i="25"/>
  <c r="K2699" i="25"/>
  <c r="V2699" i="25" l="1"/>
  <c r="T2699" i="25"/>
  <c r="J2751" i="25"/>
  <c r="U2750" i="25"/>
  <c r="K2700" i="25"/>
  <c r="V2700" i="25" l="1"/>
  <c r="T2700" i="25"/>
  <c r="J2752" i="25"/>
  <c r="U2751" i="25"/>
  <c r="K2701" i="25"/>
  <c r="V2701" i="25" l="1"/>
  <c r="T2701" i="25"/>
  <c r="J2753" i="25"/>
  <c r="U2752" i="25"/>
  <c r="K2702" i="25"/>
  <c r="V2702" i="25" l="1"/>
  <c r="T2702" i="25"/>
  <c r="J2754" i="25"/>
  <c r="U2753" i="25"/>
  <c r="K2703" i="25"/>
  <c r="V2703" i="25" l="1"/>
  <c r="T2703" i="25"/>
  <c r="J2755" i="25"/>
  <c r="U2754" i="25"/>
  <c r="K2704" i="25"/>
  <c r="V2704" i="25" l="1"/>
  <c r="T2704" i="25"/>
  <c r="J2756" i="25"/>
  <c r="U2755" i="25"/>
  <c r="K2705" i="25"/>
  <c r="V2705" i="25" l="1"/>
  <c r="T2705" i="25"/>
  <c r="J2757" i="25"/>
  <c r="U2756" i="25"/>
  <c r="K2706" i="25"/>
  <c r="V2706" i="25" l="1"/>
  <c r="T2706" i="25"/>
  <c r="J2758" i="25"/>
  <c r="U2757" i="25"/>
  <c r="K2707" i="25"/>
  <c r="V2707" i="25" l="1"/>
  <c r="T2707" i="25"/>
  <c r="J2759" i="25"/>
  <c r="U2758" i="25"/>
  <c r="K2708" i="25"/>
  <c r="V2708" i="25" l="1"/>
  <c r="T2708" i="25"/>
  <c r="J2760" i="25"/>
  <c r="U2759" i="25"/>
  <c r="K2709" i="25"/>
  <c r="V2709" i="25" l="1"/>
  <c r="T2709" i="25"/>
  <c r="J2761" i="25"/>
  <c r="U2760" i="25"/>
  <c r="K2710" i="25"/>
  <c r="V2710" i="25" l="1"/>
  <c r="T2710" i="25"/>
  <c r="J2762" i="25"/>
  <c r="U2761" i="25"/>
  <c r="K2711" i="25"/>
  <c r="V2711" i="25" l="1"/>
  <c r="T2711" i="25"/>
  <c r="J2763" i="25"/>
  <c r="U2762" i="25"/>
  <c r="K2712" i="25"/>
  <c r="V2712" i="25" l="1"/>
  <c r="T2712" i="25"/>
  <c r="J2764" i="25"/>
  <c r="U2763" i="25"/>
  <c r="T2713" i="25" l="1"/>
  <c r="K2713" i="25"/>
  <c r="V2713" i="25" s="1"/>
  <c r="J2765" i="25"/>
  <c r="U2764" i="25"/>
  <c r="K2714" i="25"/>
  <c r="V2714" i="25" l="1"/>
  <c r="T2714" i="25"/>
  <c r="J2766" i="25"/>
  <c r="U2765" i="25"/>
  <c r="K2715" i="25"/>
  <c r="V2715" i="25" l="1"/>
  <c r="T2715" i="25"/>
  <c r="J2767" i="25"/>
  <c r="U2766" i="25"/>
  <c r="K2716" i="25"/>
  <c r="V2716" i="25" l="1"/>
  <c r="T2716" i="25"/>
  <c r="J2768" i="25"/>
  <c r="U2767" i="25"/>
  <c r="T2717" i="25" l="1"/>
  <c r="K2717" i="25"/>
  <c r="V2717" i="25" s="1"/>
  <c r="J2769" i="25"/>
  <c r="U2768" i="25"/>
  <c r="K2718" i="25"/>
  <c r="V2718" i="25" l="1"/>
  <c r="T2718" i="25"/>
  <c r="J2770" i="25"/>
  <c r="U2769" i="25"/>
  <c r="K2719" i="25"/>
  <c r="V2719" i="25" l="1"/>
  <c r="T2719" i="25"/>
  <c r="J2771" i="25"/>
  <c r="U2770" i="25"/>
  <c r="K2720" i="25"/>
  <c r="V2720" i="25" l="1"/>
  <c r="T2720" i="25"/>
  <c r="J2772" i="25"/>
  <c r="U2771" i="25"/>
  <c r="K2721" i="25"/>
  <c r="V2721" i="25" l="1"/>
  <c r="T2721" i="25"/>
  <c r="J2773" i="25"/>
  <c r="U2772" i="25"/>
  <c r="K2722" i="25"/>
  <c r="V2722" i="25" l="1"/>
  <c r="T2722" i="25"/>
  <c r="J2774" i="25"/>
  <c r="U2773" i="25"/>
  <c r="K2723" i="25"/>
  <c r="V2723" i="25" l="1"/>
  <c r="T2723" i="25"/>
  <c r="J2775" i="25"/>
  <c r="U2774" i="25"/>
  <c r="K2724" i="25"/>
  <c r="V2724" i="25" l="1"/>
  <c r="T2724" i="25"/>
  <c r="J2776" i="25"/>
  <c r="U2775" i="25"/>
  <c r="K2725" i="25"/>
  <c r="V2725" i="25" l="1"/>
  <c r="T2725" i="25"/>
  <c r="J2777" i="25"/>
  <c r="U2776" i="25"/>
  <c r="K2726" i="25"/>
  <c r="V2726" i="25" l="1"/>
  <c r="T2726" i="25"/>
  <c r="J2778" i="25"/>
  <c r="U2777" i="25"/>
  <c r="K2727" i="25"/>
  <c r="V2727" i="25" l="1"/>
  <c r="T2727" i="25"/>
  <c r="J2779" i="25"/>
  <c r="U2778" i="25"/>
  <c r="K2728" i="25"/>
  <c r="V2728" i="25" l="1"/>
  <c r="T2728" i="25"/>
  <c r="J2780" i="25"/>
  <c r="U2779" i="25"/>
  <c r="K2729" i="25"/>
  <c r="V2729" i="25" l="1"/>
  <c r="T2729" i="25"/>
  <c r="J2781" i="25"/>
  <c r="U2780" i="25"/>
  <c r="K2730" i="25"/>
  <c r="V2730" i="25" l="1"/>
  <c r="T2730" i="25"/>
  <c r="J2782" i="25"/>
  <c r="U2781" i="25"/>
  <c r="K2731" i="25"/>
  <c r="V2731" i="25" l="1"/>
  <c r="T2731" i="25"/>
  <c r="J2783" i="25"/>
  <c r="U2782" i="25"/>
  <c r="K2732" i="25"/>
  <c r="V2732" i="25" l="1"/>
  <c r="T2732" i="25"/>
  <c r="J2784" i="25"/>
  <c r="U2783" i="25"/>
  <c r="K2733" i="25"/>
  <c r="V2733" i="25" l="1"/>
  <c r="T2733" i="25"/>
  <c r="J2785" i="25"/>
  <c r="U2784" i="25"/>
  <c r="K2734" i="25"/>
  <c r="V2734" i="25" l="1"/>
  <c r="T2734" i="25"/>
  <c r="J2786" i="25"/>
  <c r="U2785" i="25"/>
  <c r="K2735" i="25"/>
  <c r="V2735" i="25" l="1"/>
  <c r="T2735" i="25"/>
  <c r="J2787" i="25"/>
  <c r="U2786" i="25"/>
  <c r="K2736" i="25"/>
  <c r="V2736" i="25" l="1"/>
  <c r="K2737" i="25"/>
  <c r="T2736" i="25"/>
  <c r="J2788" i="25"/>
  <c r="U2787" i="25"/>
  <c r="V2737" i="25" l="1"/>
  <c r="T2737" i="25"/>
  <c r="J2789" i="25"/>
  <c r="U2788" i="25"/>
  <c r="K2738" i="25"/>
  <c r="V2738" i="25" l="1"/>
  <c r="T2738" i="25"/>
  <c r="J2790" i="25"/>
  <c r="U2789" i="25"/>
  <c r="K2739" i="25"/>
  <c r="V2739" i="25" l="1"/>
  <c r="T2739" i="25"/>
  <c r="J2791" i="25"/>
  <c r="U2790" i="25"/>
  <c r="K2740" i="25"/>
  <c r="V2740" i="25" l="1"/>
  <c r="T2740" i="25"/>
  <c r="J2792" i="25"/>
  <c r="U2791" i="25"/>
  <c r="K2741" i="25"/>
  <c r="V2741" i="25" l="1"/>
  <c r="T2741" i="25"/>
  <c r="J2793" i="25"/>
  <c r="U2792" i="25"/>
  <c r="K2742" i="25"/>
  <c r="V2742" i="25" l="1"/>
  <c r="T2742" i="25"/>
  <c r="J2794" i="25"/>
  <c r="U2793" i="25"/>
  <c r="K2743" i="25"/>
  <c r="V2743" i="25" l="1"/>
  <c r="T2743" i="25"/>
  <c r="J2795" i="25"/>
  <c r="U2794" i="25"/>
  <c r="K2744" i="25"/>
  <c r="V2744" i="25" l="1"/>
  <c r="T2744" i="25"/>
  <c r="J2796" i="25"/>
  <c r="U2795" i="25"/>
  <c r="K2745" i="25"/>
  <c r="V2745" i="25" l="1"/>
  <c r="T2745" i="25"/>
  <c r="J2797" i="25"/>
  <c r="U2796" i="25"/>
  <c r="K2746" i="25"/>
  <c r="V2746" i="25" l="1"/>
  <c r="T2746" i="25"/>
  <c r="J2798" i="25"/>
  <c r="U2797" i="25"/>
  <c r="K2747" i="25"/>
  <c r="V2747" i="25" l="1"/>
  <c r="T2747" i="25"/>
  <c r="J2799" i="25"/>
  <c r="U2798" i="25"/>
  <c r="K2748" i="25"/>
  <c r="V2748" i="25" l="1"/>
  <c r="T2748" i="25"/>
  <c r="J2800" i="25"/>
  <c r="U2799" i="25"/>
  <c r="K2749" i="25"/>
  <c r="V2749" i="25" l="1"/>
  <c r="T2749" i="25"/>
  <c r="J2801" i="25"/>
  <c r="U2800" i="25"/>
  <c r="K2750" i="25"/>
  <c r="V2750" i="25" l="1"/>
  <c r="T2750" i="25"/>
  <c r="J2802" i="25"/>
  <c r="U2801" i="25"/>
  <c r="K2751" i="25"/>
  <c r="V2751" i="25" l="1"/>
  <c r="T2751" i="25"/>
  <c r="J2803" i="25"/>
  <c r="U2802" i="25"/>
  <c r="K2752" i="25"/>
  <c r="V2752" i="25" l="1"/>
  <c r="T2752" i="25"/>
  <c r="J2804" i="25"/>
  <c r="U2803" i="25"/>
  <c r="K2753" i="25"/>
  <c r="V2753" i="25" l="1"/>
  <c r="T2753" i="25"/>
  <c r="J2805" i="25"/>
  <c r="U2804" i="25"/>
  <c r="K2754" i="25"/>
  <c r="V2754" i="25" l="1"/>
  <c r="T2754" i="25"/>
  <c r="J2806" i="25"/>
  <c r="U2805" i="25"/>
  <c r="K2755" i="25"/>
  <c r="V2755" i="25" l="1"/>
  <c r="T2755" i="25"/>
  <c r="J2807" i="25"/>
  <c r="U2806" i="25"/>
  <c r="K2756" i="25"/>
  <c r="V2756" i="25" l="1"/>
  <c r="T2756" i="25"/>
  <c r="J2808" i="25"/>
  <c r="U2807" i="25"/>
  <c r="K2757" i="25"/>
  <c r="V2757" i="25" l="1"/>
  <c r="T2757" i="25"/>
  <c r="J2809" i="25"/>
  <c r="U2808" i="25"/>
  <c r="K2758" i="25"/>
  <c r="V2758" i="25" l="1"/>
  <c r="T2758" i="25"/>
  <c r="J2810" i="25"/>
  <c r="U2809" i="25"/>
  <c r="K2759" i="25"/>
  <c r="V2759" i="25" l="1"/>
  <c r="T2759" i="25"/>
  <c r="J2811" i="25"/>
  <c r="U2810" i="25"/>
  <c r="K2760" i="25"/>
  <c r="V2760" i="25" l="1"/>
  <c r="T2760" i="25"/>
  <c r="J2812" i="25"/>
  <c r="U2811" i="25"/>
  <c r="K2761" i="25"/>
  <c r="V2761" i="25" l="1"/>
  <c r="T2761" i="25"/>
  <c r="J2813" i="25"/>
  <c r="U2812" i="25"/>
  <c r="K2762" i="25"/>
  <c r="V2762" i="25" l="1"/>
  <c r="T2762" i="25"/>
  <c r="J2814" i="25"/>
  <c r="U2813" i="25"/>
  <c r="K2763" i="25"/>
  <c r="V2763" i="25" l="1"/>
  <c r="T2763" i="25"/>
  <c r="J2815" i="25"/>
  <c r="U2814" i="25"/>
  <c r="K2764" i="25"/>
  <c r="V2764" i="25" l="1"/>
  <c r="T2764" i="25"/>
  <c r="J2816" i="25"/>
  <c r="U2815" i="25"/>
  <c r="K2765" i="25"/>
  <c r="V2765" i="25" l="1"/>
  <c r="T2765" i="25"/>
  <c r="J2817" i="25"/>
  <c r="U2816" i="25"/>
  <c r="K2766" i="25"/>
  <c r="V2766" i="25" l="1"/>
  <c r="T2766" i="25"/>
  <c r="J2818" i="25"/>
  <c r="U2817" i="25"/>
  <c r="K2767" i="25"/>
  <c r="V2767" i="25" l="1"/>
  <c r="T2767" i="25"/>
  <c r="J2819" i="25"/>
  <c r="U2818" i="25"/>
  <c r="K2768" i="25"/>
  <c r="V2768" i="25" l="1"/>
  <c r="T2768" i="25"/>
  <c r="J2820" i="25"/>
  <c r="U2819" i="25"/>
  <c r="K2769" i="25"/>
  <c r="V2769" i="25" l="1"/>
  <c r="T2769" i="25"/>
  <c r="J2821" i="25"/>
  <c r="U2820" i="25"/>
  <c r="K2770" i="25"/>
  <c r="V2770" i="25" l="1"/>
  <c r="T2770" i="25"/>
  <c r="J2822" i="25"/>
  <c r="U2821" i="25"/>
  <c r="K2771" i="25"/>
  <c r="V2771" i="25" l="1"/>
  <c r="T2771" i="25"/>
  <c r="J2823" i="25"/>
  <c r="U2822" i="25"/>
  <c r="K2772" i="25"/>
  <c r="V2772" i="25" l="1"/>
  <c r="T2772" i="25"/>
  <c r="J2824" i="25"/>
  <c r="U2823" i="25"/>
  <c r="K2773" i="25"/>
  <c r="V2773" i="25" l="1"/>
  <c r="T2773" i="25"/>
  <c r="J2825" i="25"/>
  <c r="U2824" i="25"/>
  <c r="K2774" i="25"/>
  <c r="V2774" i="25" l="1"/>
  <c r="T2774" i="25"/>
  <c r="J2826" i="25"/>
  <c r="U2825" i="25"/>
  <c r="K2775" i="25"/>
  <c r="V2775" i="25" l="1"/>
  <c r="T2775" i="25"/>
  <c r="J2827" i="25"/>
  <c r="U2826" i="25"/>
  <c r="K2776" i="25"/>
  <c r="V2776" i="25" l="1"/>
  <c r="T2776" i="25"/>
  <c r="J2828" i="25"/>
  <c r="U2827" i="25"/>
  <c r="K2777" i="25"/>
  <c r="V2777" i="25" l="1"/>
  <c r="T2777" i="25"/>
  <c r="J2829" i="25"/>
  <c r="U2828" i="25"/>
  <c r="K2778" i="25"/>
  <c r="V2778" i="25" l="1"/>
  <c r="T2778" i="25"/>
  <c r="J2830" i="25"/>
  <c r="U2829" i="25"/>
  <c r="K2779" i="25"/>
  <c r="V2779" i="25" l="1"/>
  <c r="T2779" i="25"/>
  <c r="J2831" i="25"/>
  <c r="U2830" i="25"/>
  <c r="K2780" i="25"/>
  <c r="V2780" i="25" l="1"/>
  <c r="T2780" i="25"/>
  <c r="J2832" i="25"/>
  <c r="U2831" i="25"/>
  <c r="K2781" i="25"/>
  <c r="V2781" i="25" l="1"/>
  <c r="T2781" i="25"/>
  <c r="J2833" i="25"/>
  <c r="U2832" i="25"/>
  <c r="K2782" i="25"/>
  <c r="V2782" i="25" l="1"/>
  <c r="T2782" i="25"/>
  <c r="J2834" i="25"/>
  <c r="U2833" i="25"/>
  <c r="K2783" i="25"/>
  <c r="V2783" i="25" l="1"/>
  <c r="T2783" i="25"/>
  <c r="J2835" i="25"/>
  <c r="U2834" i="25"/>
  <c r="T2784" i="25" l="1"/>
  <c r="K2784" i="25"/>
  <c r="V2784" i="25" s="1"/>
  <c r="J2836" i="25"/>
  <c r="U2835" i="25"/>
  <c r="K2785" i="25"/>
  <c r="T2785" i="25" l="1"/>
  <c r="V2785" i="25"/>
  <c r="J2837" i="25"/>
  <c r="U2836" i="25"/>
  <c r="K2786" i="25"/>
  <c r="V2786" i="25" l="1"/>
  <c r="T2786" i="25"/>
  <c r="J2838" i="25"/>
  <c r="U2837" i="25"/>
  <c r="K2787" i="25"/>
  <c r="V2787" i="25" l="1"/>
  <c r="T2787" i="25"/>
  <c r="J2839" i="25"/>
  <c r="U2838" i="25"/>
  <c r="K2788" i="25"/>
  <c r="V2788" i="25" l="1"/>
  <c r="T2788" i="25"/>
  <c r="J2840" i="25"/>
  <c r="U2839" i="25"/>
  <c r="T2789" i="25" l="1"/>
  <c r="K2789" i="25"/>
  <c r="V2789" i="25" s="1"/>
  <c r="J2841" i="25"/>
  <c r="U2840" i="25"/>
  <c r="K2790" i="25"/>
  <c r="V2790" i="25" l="1"/>
  <c r="T2790" i="25"/>
  <c r="J2842" i="25"/>
  <c r="U2841" i="25"/>
  <c r="K2791" i="25"/>
  <c r="V2791" i="25" l="1"/>
  <c r="T2791" i="25"/>
  <c r="J2843" i="25"/>
  <c r="U2842" i="25"/>
  <c r="K2792" i="25"/>
  <c r="V2792" i="25" l="1"/>
  <c r="T2792" i="25"/>
  <c r="J2844" i="25"/>
  <c r="U2843" i="25"/>
  <c r="K2793" i="25"/>
  <c r="V2793" i="25" l="1"/>
  <c r="T2793" i="25"/>
  <c r="J2845" i="25"/>
  <c r="U2844" i="25"/>
  <c r="K2794" i="25"/>
  <c r="V2794" i="25" l="1"/>
  <c r="T2794" i="25"/>
  <c r="J2846" i="25"/>
  <c r="U2845" i="25"/>
  <c r="K2795" i="25"/>
  <c r="V2795" i="25" l="1"/>
  <c r="T2795" i="25"/>
  <c r="J2847" i="25"/>
  <c r="U2846" i="25"/>
  <c r="K2796" i="25"/>
  <c r="V2796" i="25" l="1"/>
  <c r="T2796" i="25"/>
  <c r="J2848" i="25"/>
  <c r="U2847" i="25"/>
  <c r="K2797" i="25"/>
  <c r="V2797" i="25" l="1"/>
  <c r="T2797" i="25"/>
  <c r="J2849" i="25"/>
  <c r="U2848" i="25"/>
  <c r="K2798" i="25"/>
  <c r="V2798" i="25" l="1"/>
  <c r="T2798" i="25"/>
  <c r="J2850" i="25"/>
  <c r="U2849" i="25"/>
  <c r="K2799" i="25"/>
  <c r="V2799" i="25" l="1"/>
  <c r="T2799" i="25"/>
  <c r="J2851" i="25"/>
  <c r="U2850" i="25"/>
  <c r="K2800" i="25"/>
  <c r="V2800" i="25" l="1"/>
  <c r="T2800" i="25"/>
  <c r="J2852" i="25"/>
  <c r="U2851" i="25"/>
  <c r="K2801" i="25"/>
  <c r="V2801" i="25" l="1"/>
  <c r="T2801" i="25"/>
  <c r="J2853" i="25"/>
  <c r="U2852" i="25"/>
  <c r="K2802" i="25"/>
  <c r="V2802" i="25" l="1"/>
  <c r="T2802" i="25"/>
  <c r="J2854" i="25"/>
  <c r="U2853" i="25"/>
  <c r="K2803" i="25"/>
  <c r="V2803" i="25" l="1"/>
  <c r="T2803" i="25"/>
  <c r="J2855" i="25"/>
  <c r="U2854" i="25"/>
  <c r="K2804" i="25"/>
  <c r="V2804" i="25" l="1"/>
  <c r="T2804" i="25"/>
  <c r="J2856" i="25"/>
  <c r="U2855" i="25"/>
  <c r="K2805" i="25"/>
  <c r="V2805" i="25" l="1"/>
  <c r="T2805" i="25"/>
  <c r="J2857" i="25"/>
  <c r="U2856" i="25"/>
  <c r="K2806" i="25"/>
  <c r="V2806" i="25" l="1"/>
  <c r="T2806" i="25"/>
  <c r="J2858" i="25"/>
  <c r="U2857" i="25"/>
  <c r="K2807" i="25"/>
  <c r="V2807" i="25" l="1"/>
  <c r="T2807" i="25"/>
  <c r="J2859" i="25"/>
  <c r="U2858" i="25"/>
  <c r="K2808" i="25"/>
  <c r="V2808" i="25" l="1"/>
  <c r="T2808" i="25"/>
  <c r="J2860" i="25"/>
  <c r="U2859" i="25"/>
  <c r="K2809" i="25"/>
  <c r="V2809" i="25" l="1"/>
  <c r="T2809" i="25"/>
  <c r="J2861" i="25"/>
  <c r="U2860" i="25"/>
  <c r="K2810" i="25"/>
  <c r="V2810" i="25" l="1"/>
  <c r="T2810" i="25"/>
  <c r="J2862" i="25"/>
  <c r="U2861" i="25"/>
  <c r="K2811" i="25"/>
  <c r="V2811" i="25" l="1"/>
  <c r="T2811" i="25"/>
  <c r="J2863" i="25"/>
  <c r="U2862" i="25"/>
  <c r="T2812" i="25" l="1"/>
  <c r="K2812" i="25"/>
  <c r="V2812" i="25" s="1"/>
  <c r="J2864" i="25"/>
  <c r="U2863" i="25"/>
  <c r="K2813" i="25"/>
  <c r="V2813" i="25" l="1"/>
  <c r="T2813" i="25"/>
  <c r="J2865" i="25"/>
  <c r="U2864" i="25"/>
  <c r="K2814" i="25"/>
  <c r="V2814" i="25" l="1"/>
  <c r="T2814" i="25"/>
  <c r="J2866" i="25"/>
  <c r="U2865" i="25"/>
  <c r="K2815" i="25"/>
  <c r="V2815" i="25" l="1"/>
  <c r="T2815" i="25"/>
  <c r="J2867" i="25"/>
  <c r="U2866" i="25"/>
  <c r="T2816" i="25" l="1"/>
  <c r="K2816" i="25"/>
  <c r="V2816" i="25" s="1"/>
  <c r="J2868" i="25"/>
  <c r="U2867" i="25"/>
  <c r="K2817" i="25"/>
  <c r="V2817" i="25" l="1"/>
  <c r="T2817" i="25"/>
  <c r="J2869" i="25"/>
  <c r="U2868" i="25"/>
  <c r="K2818" i="25"/>
  <c r="V2818" i="25" l="1"/>
  <c r="T2818" i="25"/>
  <c r="J2870" i="25"/>
  <c r="U2869" i="25"/>
  <c r="K2819" i="25"/>
  <c r="V2819" i="25" l="1"/>
  <c r="T2819" i="25"/>
  <c r="J2871" i="25"/>
  <c r="U2870" i="25"/>
  <c r="T2820" i="25" l="1"/>
  <c r="K2820" i="25"/>
  <c r="V2820" i="25" s="1"/>
  <c r="J2872" i="25"/>
  <c r="U2871" i="25"/>
  <c r="K2821" i="25"/>
  <c r="V2821" i="25" l="1"/>
  <c r="T2821" i="25"/>
  <c r="J2873" i="25"/>
  <c r="U2872" i="25"/>
  <c r="K2822" i="25"/>
  <c r="V2822" i="25" l="1"/>
  <c r="T2822" i="25"/>
  <c r="J2874" i="25"/>
  <c r="U2873" i="25"/>
  <c r="K2823" i="25"/>
  <c r="V2823" i="25" l="1"/>
  <c r="T2823" i="25"/>
  <c r="J2875" i="25"/>
  <c r="U2874" i="25"/>
  <c r="K2824" i="25"/>
  <c r="V2824" i="25" l="1"/>
  <c r="T2824" i="25"/>
  <c r="J2876" i="25"/>
  <c r="U2875" i="25"/>
  <c r="K2825" i="25"/>
  <c r="V2825" i="25" l="1"/>
  <c r="T2825" i="25"/>
  <c r="J2877" i="25"/>
  <c r="U2876" i="25"/>
  <c r="K2826" i="25"/>
  <c r="V2826" i="25" l="1"/>
  <c r="T2826" i="25"/>
  <c r="J2878" i="25"/>
  <c r="U2877" i="25"/>
  <c r="K2827" i="25"/>
  <c r="V2827" i="25" l="1"/>
  <c r="T2827" i="25"/>
  <c r="J2879" i="25"/>
  <c r="U2878" i="25"/>
  <c r="K2828" i="25"/>
  <c r="V2828" i="25" l="1"/>
  <c r="T2828" i="25"/>
  <c r="J2880" i="25"/>
  <c r="U2879" i="25"/>
  <c r="K2829" i="25"/>
  <c r="V2829" i="25" l="1"/>
  <c r="T2829" i="25"/>
  <c r="J2881" i="25"/>
  <c r="U2880" i="25"/>
  <c r="K2830" i="25"/>
  <c r="V2830" i="25" l="1"/>
  <c r="T2830" i="25"/>
  <c r="J2882" i="25"/>
  <c r="U2881" i="25"/>
  <c r="K2831" i="25"/>
  <c r="V2831" i="25" l="1"/>
  <c r="T2831" i="25"/>
  <c r="J2883" i="25"/>
  <c r="U2882" i="25"/>
  <c r="T2832" i="25" l="1"/>
  <c r="K2832" i="25"/>
  <c r="V2832" i="25" s="1"/>
  <c r="J2884" i="25"/>
  <c r="U2883" i="25"/>
  <c r="K2833" i="25"/>
  <c r="V2833" i="25" l="1"/>
  <c r="T2833" i="25"/>
  <c r="J2885" i="25"/>
  <c r="U2884" i="25"/>
  <c r="K2834" i="25"/>
  <c r="V2834" i="25" l="1"/>
  <c r="T2834" i="25"/>
  <c r="J2886" i="25"/>
  <c r="U2885" i="25"/>
  <c r="K2835" i="25"/>
  <c r="V2835" i="25" l="1"/>
  <c r="T2835" i="25"/>
  <c r="J2887" i="25"/>
  <c r="U2886" i="25"/>
  <c r="K2836" i="25"/>
  <c r="V2836" i="25" l="1"/>
  <c r="T2836" i="25"/>
  <c r="J2888" i="25"/>
  <c r="U2887" i="25"/>
  <c r="K2837" i="25"/>
  <c r="V2837" i="25" l="1"/>
  <c r="T2837" i="25"/>
  <c r="J2889" i="25"/>
  <c r="U2888" i="25"/>
  <c r="K2838" i="25"/>
  <c r="V2838" i="25" l="1"/>
  <c r="T2838" i="25"/>
  <c r="J2890" i="25"/>
  <c r="U2889" i="25"/>
  <c r="K2839" i="25"/>
  <c r="V2839" i="25" l="1"/>
  <c r="T2839" i="25"/>
  <c r="J2891" i="25"/>
  <c r="U2890" i="25"/>
  <c r="K2840" i="25"/>
  <c r="V2840" i="25" l="1"/>
  <c r="T2840" i="25"/>
  <c r="J2892" i="25"/>
  <c r="U2891" i="25"/>
  <c r="K2841" i="25"/>
  <c r="V2841" i="25" l="1"/>
  <c r="T2841" i="25"/>
  <c r="J2893" i="25"/>
  <c r="U2892" i="25"/>
  <c r="K2842" i="25"/>
  <c r="V2842" i="25" l="1"/>
  <c r="T2842" i="25"/>
  <c r="J2894" i="25"/>
  <c r="U2893" i="25"/>
  <c r="K2843" i="25"/>
  <c r="V2843" i="25" l="1"/>
  <c r="K2844" i="25"/>
  <c r="T2843" i="25"/>
  <c r="J2895" i="25"/>
  <c r="U2894" i="25"/>
  <c r="V2844" i="25" l="1"/>
  <c r="T2844" i="25"/>
  <c r="J2896" i="25"/>
  <c r="U2895" i="25"/>
  <c r="K2845" i="25"/>
  <c r="V2845" i="25" l="1"/>
  <c r="T2845" i="25"/>
  <c r="J2897" i="25"/>
  <c r="U2896" i="25"/>
  <c r="K2846" i="25"/>
  <c r="V2846" i="25" l="1"/>
  <c r="T2846" i="25"/>
  <c r="J2898" i="25"/>
  <c r="U2897" i="25"/>
  <c r="K2847" i="25"/>
  <c r="V2847" i="25" l="1"/>
  <c r="T2847" i="25"/>
  <c r="J2899" i="25"/>
  <c r="U2898" i="25"/>
  <c r="K2848" i="25"/>
  <c r="V2848" i="25" l="1"/>
  <c r="T2848" i="25"/>
  <c r="J2900" i="25"/>
  <c r="U2899" i="25"/>
  <c r="K2849" i="25"/>
  <c r="V2849" i="25" l="1"/>
  <c r="T2849" i="25"/>
  <c r="J2901" i="25"/>
  <c r="U2900" i="25"/>
  <c r="K2850" i="25"/>
  <c r="V2850" i="25" l="1"/>
  <c r="T2850" i="25"/>
  <c r="J2902" i="25"/>
  <c r="U2901" i="25"/>
  <c r="K2851" i="25"/>
  <c r="V2851" i="25" l="1"/>
  <c r="T2851" i="25"/>
  <c r="J2903" i="25"/>
  <c r="U2902" i="25"/>
  <c r="K2852" i="25"/>
  <c r="V2852" i="25" l="1"/>
  <c r="T2852" i="25"/>
  <c r="J2904" i="25"/>
  <c r="U2903" i="25"/>
  <c r="K2853" i="25"/>
  <c r="V2853" i="25" l="1"/>
  <c r="K2854" i="25"/>
  <c r="T2853" i="25"/>
  <c r="J2905" i="25"/>
  <c r="U2904" i="25"/>
  <c r="V2854" i="25" l="1"/>
  <c r="T2854" i="25"/>
  <c r="J2906" i="25"/>
  <c r="U2905" i="25"/>
  <c r="K2855" i="25"/>
  <c r="V2855" i="25" l="1"/>
  <c r="K2856" i="25"/>
  <c r="T2855" i="25"/>
  <c r="J2907" i="25"/>
  <c r="U2906" i="25"/>
  <c r="V2856" i="25" l="1"/>
  <c r="T2856" i="25"/>
  <c r="J2908" i="25"/>
  <c r="U2907" i="25"/>
  <c r="K2857" i="25"/>
  <c r="V2857" i="25" l="1"/>
  <c r="T2857" i="25"/>
  <c r="J2909" i="25"/>
  <c r="U2908" i="25"/>
  <c r="K2858" i="25"/>
  <c r="V2858" i="25" l="1"/>
  <c r="T2858" i="25"/>
  <c r="J2910" i="25"/>
  <c r="U2909" i="25"/>
  <c r="K2859" i="25"/>
  <c r="V2859" i="25" l="1"/>
  <c r="T2859" i="25"/>
  <c r="J2911" i="25"/>
  <c r="U2910" i="25"/>
  <c r="K2860" i="25"/>
  <c r="V2860" i="25" l="1"/>
  <c r="T2860" i="25"/>
  <c r="J2912" i="25"/>
  <c r="U2911" i="25"/>
  <c r="K2861" i="25"/>
  <c r="V2861" i="25" l="1"/>
  <c r="T2861" i="25"/>
  <c r="J2913" i="25"/>
  <c r="U2912" i="25"/>
  <c r="K2862" i="25"/>
  <c r="V2862" i="25" l="1"/>
  <c r="T2862" i="25"/>
  <c r="J2914" i="25"/>
  <c r="U2913" i="25"/>
  <c r="K2863" i="25"/>
  <c r="V2863" i="25" l="1"/>
  <c r="T2863" i="25"/>
  <c r="J2915" i="25"/>
  <c r="U2914" i="25"/>
  <c r="K2864" i="25"/>
  <c r="V2864" i="25" l="1"/>
  <c r="T2864" i="25"/>
  <c r="J2916" i="25"/>
  <c r="U2915" i="25"/>
  <c r="K2865" i="25"/>
  <c r="V2865" i="25" l="1"/>
  <c r="T2865" i="25"/>
  <c r="J2917" i="25"/>
  <c r="U2916" i="25"/>
  <c r="K2866" i="25"/>
  <c r="V2866" i="25" l="1"/>
  <c r="T2866" i="25"/>
  <c r="J2918" i="25"/>
  <c r="U2917" i="25"/>
  <c r="K2867" i="25"/>
  <c r="V2867" i="25" l="1"/>
  <c r="T2867" i="25"/>
  <c r="J2919" i="25"/>
  <c r="U2918" i="25"/>
  <c r="K2868" i="25"/>
  <c r="V2868" i="25" l="1"/>
  <c r="T2868" i="25"/>
  <c r="J2920" i="25"/>
  <c r="U2919" i="25"/>
  <c r="K2869" i="25"/>
  <c r="V2869" i="25" l="1"/>
  <c r="T2869" i="25"/>
  <c r="J2921" i="25"/>
  <c r="U2920" i="25"/>
  <c r="K2870" i="25"/>
  <c r="V2870" i="25" l="1"/>
  <c r="T2870" i="25"/>
  <c r="J2922" i="25"/>
  <c r="U2921" i="25"/>
  <c r="K2871" i="25"/>
  <c r="V2871" i="25" l="1"/>
  <c r="T2871" i="25"/>
  <c r="J2923" i="25"/>
  <c r="U2922" i="25"/>
  <c r="K2872" i="25"/>
  <c r="V2872" i="25" l="1"/>
  <c r="T2872" i="25"/>
  <c r="J2924" i="25"/>
  <c r="U2923" i="25"/>
  <c r="K2873" i="25"/>
  <c r="V2873" i="25" l="1"/>
  <c r="T2873" i="25"/>
  <c r="J2925" i="25"/>
  <c r="U2924" i="25"/>
  <c r="K2874" i="25"/>
  <c r="V2874" i="25" l="1"/>
  <c r="T2874" i="25"/>
  <c r="J2926" i="25"/>
  <c r="U2925" i="25"/>
  <c r="K2875" i="25"/>
  <c r="V2875" i="25" l="1"/>
  <c r="T2875" i="25"/>
  <c r="J2927" i="25"/>
  <c r="U2926" i="25"/>
  <c r="K2876" i="25"/>
  <c r="V2876" i="25" l="1"/>
  <c r="T2876" i="25"/>
  <c r="J2928" i="25"/>
  <c r="U2927" i="25"/>
  <c r="K2877" i="25"/>
  <c r="V2877" i="25" l="1"/>
  <c r="T2877" i="25"/>
  <c r="J2929" i="25"/>
  <c r="U2928" i="25"/>
  <c r="K2878" i="25"/>
  <c r="V2878" i="25" l="1"/>
  <c r="T2878" i="25"/>
  <c r="J2930" i="25"/>
  <c r="U2929" i="25"/>
  <c r="K2879" i="25"/>
  <c r="V2879" i="25" l="1"/>
  <c r="T2879" i="25"/>
  <c r="J2931" i="25"/>
  <c r="U2930" i="25"/>
  <c r="K2880" i="25"/>
  <c r="V2880" i="25" l="1"/>
  <c r="T2880" i="25"/>
  <c r="J2932" i="25"/>
  <c r="U2931" i="25"/>
  <c r="K2881" i="25"/>
  <c r="V2881" i="25" l="1"/>
  <c r="T2881" i="25"/>
  <c r="J2933" i="25"/>
  <c r="U2932" i="25"/>
  <c r="K2882" i="25"/>
  <c r="V2882" i="25" l="1"/>
  <c r="T2882" i="25"/>
  <c r="J2934" i="25"/>
  <c r="U2933" i="25"/>
  <c r="K2883" i="25"/>
  <c r="V2883" i="25" l="1"/>
  <c r="T2883" i="25"/>
  <c r="J2935" i="25"/>
  <c r="U2934" i="25"/>
  <c r="T2884" i="25" l="1"/>
  <c r="K2884" i="25"/>
  <c r="V2884" i="25" s="1"/>
  <c r="J2936" i="25"/>
  <c r="U2935" i="25"/>
  <c r="K2885" i="25"/>
  <c r="V2885" i="25" l="1"/>
  <c r="T2885" i="25"/>
  <c r="J2937" i="25"/>
  <c r="U2936" i="25"/>
  <c r="K2886" i="25"/>
  <c r="V2886" i="25" l="1"/>
  <c r="K2887" i="25"/>
  <c r="T2886" i="25"/>
  <c r="J2938" i="25"/>
  <c r="U2937" i="25"/>
  <c r="V2887" i="25" l="1"/>
  <c r="T2887" i="25"/>
  <c r="J2939" i="25"/>
  <c r="U2938" i="25"/>
  <c r="K2888" i="25"/>
  <c r="V2888" i="25" l="1"/>
  <c r="K2889" i="25"/>
  <c r="T2888" i="25"/>
  <c r="J2940" i="25"/>
  <c r="U2939" i="25"/>
  <c r="V2889" i="25" l="1"/>
  <c r="T2889" i="25"/>
  <c r="J2941" i="25"/>
  <c r="U2940" i="25"/>
  <c r="K2890" i="25"/>
  <c r="V2890" i="25" l="1"/>
  <c r="K2891" i="25"/>
  <c r="T2890" i="25"/>
  <c r="J2942" i="25"/>
  <c r="U2941" i="25"/>
  <c r="V2891" i="25" l="1"/>
  <c r="T2891" i="25"/>
  <c r="J2943" i="25"/>
  <c r="U2942" i="25"/>
  <c r="K2892" i="25"/>
  <c r="V2892" i="25" l="1"/>
  <c r="T2892" i="25"/>
  <c r="J2944" i="25"/>
  <c r="U2943" i="25"/>
  <c r="K2893" i="25"/>
  <c r="V2893" i="25" l="1"/>
  <c r="T2893" i="25"/>
  <c r="J2945" i="25"/>
  <c r="U2944" i="25"/>
  <c r="K2894" i="25"/>
  <c r="V2894" i="25" l="1"/>
  <c r="T2894" i="25"/>
  <c r="J2946" i="25"/>
  <c r="U2945" i="25"/>
  <c r="K2895" i="25"/>
  <c r="V2895" i="25" l="1"/>
  <c r="T2895" i="25"/>
  <c r="J2947" i="25"/>
  <c r="U2946" i="25"/>
  <c r="K2896" i="25"/>
  <c r="V2896" i="25" l="1"/>
  <c r="T2896" i="25"/>
  <c r="J2948" i="25"/>
  <c r="U2947" i="25"/>
  <c r="K2897" i="25"/>
  <c r="V2897" i="25" l="1"/>
  <c r="T2897" i="25"/>
  <c r="J2949" i="25"/>
  <c r="U2948" i="25"/>
  <c r="K2898" i="25"/>
  <c r="V2898" i="25" l="1"/>
  <c r="T2898" i="25"/>
  <c r="J2950" i="25"/>
  <c r="U2949" i="25"/>
  <c r="K2899" i="25"/>
  <c r="V2899" i="25" l="1"/>
  <c r="T2899" i="25"/>
  <c r="J2951" i="25"/>
  <c r="U2950" i="25"/>
  <c r="K2900" i="25"/>
  <c r="V2900" i="25" l="1"/>
  <c r="T2900" i="25"/>
  <c r="J2952" i="25"/>
  <c r="U2951" i="25"/>
  <c r="K2901" i="25"/>
  <c r="V2901" i="25" l="1"/>
  <c r="T2901" i="25"/>
  <c r="J2953" i="25"/>
  <c r="U2952" i="25"/>
  <c r="K2902" i="25"/>
  <c r="V2902" i="25" l="1"/>
  <c r="T2902" i="25"/>
  <c r="J2954" i="25"/>
  <c r="U2953" i="25"/>
  <c r="T2903" i="25" l="1"/>
  <c r="K2903" i="25"/>
  <c r="V2903" i="25" s="1"/>
  <c r="J2955" i="25"/>
  <c r="U2954" i="25"/>
  <c r="K2904" i="25"/>
  <c r="V2904" i="25" l="1"/>
  <c r="T2904" i="25"/>
  <c r="J2956" i="25"/>
  <c r="U2955" i="25"/>
  <c r="K2905" i="25"/>
  <c r="V2905" i="25" l="1"/>
  <c r="T2905" i="25"/>
  <c r="J2957" i="25"/>
  <c r="U2956" i="25"/>
  <c r="K2906" i="25"/>
  <c r="V2906" i="25" l="1"/>
  <c r="T2906" i="25"/>
  <c r="J2958" i="25"/>
  <c r="U2957" i="25"/>
  <c r="K2907" i="25"/>
  <c r="V2907" i="25" l="1"/>
  <c r="T2907" i="25"/>
  <c r="J2959" i="25"/>
  <c r="U2958" i="25"/>
  <c r="K2908" i="25"/>
  <c r="V2908" i="25" l="1"/>
  <c r="T2908" i="25"/>
  <c r="J2960" i="25"/>
  <c r="U2959" i="25"/>
  <c r="K2909" i="25"/>
  <c r="V2909" i="25" l="1"/>
  <c r="T2909" i="25"/>
  <c r="J2961" i="25"/>
  <c r="U2960" i="25"/>
  <c r="K2910" i="25"/>
  <c r="V2910" i="25" l="1"/>
  <c r="K2911" i="25"/>
  <c r="T2910" i="25"/>
  <c r="J2962" i="25"/>
  <c r="U2961" i="25"/>
  <c r="V2911" i="25" l="1"/>
  <c r="T2911" i="25"/>
  <c r="J2963" i="25"/>
  <c r="U2962" i="25"/>
  <c r="K2912" i="25"/>
  <c r="V2912" i="25" l="1"/>
  <c r="T2912" i="25"/>
  <c r="J2964" i="25"/>
  <c r="U2963" i="25"/>
  <c r="K2913" i="25"/>
  <c r="V2913" i="25" l="1"/>
  <c r="T2913" i="25"/>
  <c r="J2965" i="25"/>
  <c r="U2964" i="25"/>
  <c r="T2914" i="25" l="1"/>
  <c r="K2914" i="25"/>
  <c r="V2914" i="25" s="1"/>
  <c r="J2966" i="25"/>
  <c r="U2965" i="25"/>
  <c r="K2915" i="25"/>
  <c r="V2915" i="25" l="1"/>
  <c r="T2915" i="25"/>
  <c r="J2967" i="25"/>
  <c r="U2966" i="25"/>
  <c r="K2916" i="25"/>
  <c r="V2916" i="25" l="1"/>
  <c r="K2917" i="25"/>
  <c r="T2916" i="25"/>
  <c r="J2968" i="25"/>
  <c r="U2967" i="25"/>
  <c r="V2917" i="25" l="1"/>
  <c r="T2917" i="25"/>
  <c r="J2969" i="25"/>
  <c r="U2968" i="25"/>
  <c r="K2918" i="25"/>
  <c r="V2918" i="25" l="1"/>
  <c r="T2918" i="25"/>
  <c r="J2970" i="25"/>
  <c r="U2969" i="25"/>
  <c r="K2919" i="25"/>
  <c r="V2919" i="25" l="1"/>
  <c r="T2919" i="25"/>
  <c r="J2971" i="25"/>
  <c r="U2970" i="25"/>
  <c r="K2920" i="25"/>
  <c r="V2920" i="25" l="1"/>
  <c r="T2920" i="25"/>
  <c r="J2972" i="25"/>
  <c r="U2971" i="25"/>
  <c r="K2921" i="25"/>
  <c r="V2921" i="25" l="1"/>
  <c r="T2921" i="25"/>
  <c r="J2973" i="25"/>
  <c r="U2972" i="25"/>
  <c r="K2922" i="25"/>
  <c r="V2922" i="25" l="1"/>
  <c r="T2922" i="25"/>
  <c r="J2974" i="25"/>
  <c r="U2973" i="25"/>
  <c r="K2923" i="25"/>
  <c r="V2923" i="25" l="1"/>
  <c r="T2923" i="25"/>
  <c r="J2975" i="25"/>
  <c r="U2974" i="25"/>
  <c r="K2924" i="25"/>
  <c r="V2924" i="25" l="1"/>
  <c r="T2924" i="25"/>
  <c r="J2976" i="25"/>
  <c r="U2975" i="25"/>
  <c r="K2925" i="25"/>
  <c r="V2925" i="25" l="1"/>
  <c r="T2925" i="25"/>
  <c r="J2977" i="25"/>
  <c r="U2976" i="25"/>
  <c r="K2926" i="25"/>
  <c r="V2926" i="25" l="1"/>
  <c r="T2926" i="25"/>
  <c r="J2978" i="25"/>
  <c r="U2977" i="25"/>
  <c r="K2927" i="25"/>
  <c r="V2927" i="25" l="1"/>
  <c r="T2927" i="25"/>
  <c r="J2979" i="25"/>
  <c r="U2978" i="25"/>
  <c r="K2928" i="25"/>
  <c r="V2928" i="25" l="1"/>
  <c r="T2928" i="25"/>
  <c r="J2980" i="25"/>
  <c r="U2979" i="25"/>
  <c r="K2929" i="25"/>
  <c r="V2929" i="25" l="1"/>
  <c r="T2929" i="25"/>
  <c r="J2981" i="25"/>
  <c r="U2980" i="25"/>
  <c r="K2930" i="25"/>
  <c r="V2930" i="25" l="1"/>
  <c r="T2930" i="25"/>
  <c r="J2982" i="25"/>
  <c r="U2981" i="25"/>
  <c r="K2931" i="25"/>
  <c r="V2931" i="25" l="1"/>
  <c r="T2931" i="25"/>
  <c r="J2983" i="25"/>
  <c r="U2982" i="25"/>
  <c r="K2932" i="25"/>
  <c r="V2932" i="25" l="1"/>
  <c r="K2933" i="25"/>
  <c r="T2932" i="25"/>
  <c r="J2984" i="25"/>
  <c r="U2983" i="25"/>
  <c r="V2933" i="25" l="1"/>
  <c r="T2933" i="25"/>
  <c r="J2985" i="25"/>
  <c r="U2984" i="25"/>
  <c r="K2934" i="25"/>
  <c r="V2934" i="25" l="1"/>
  <c r="T2934" i="25"/>
  <c r="J2986" i="25"/>
  <c r="U2985" i="25"/>
  <c r="K2935" i="25"/>
  <c r="V2935" i="25" l="1"/>
  <c r="T2935" i="25"/>
  <c r="J2987" i="25"/>
  <c r="U2986" i="25"/>
  <c r="K2936" i="25"/>
  <c r="V2936" i="25" l="1"/>
  <c r="T2936" i="25"/>
  <c r="J2988" i="25"/>
  <c r="U2987" i="25"/>
  <c r="K2937" i="25"/>
  <c r="V2937" i="25" l="1"/>
  <c r="T2937" i="25"/>
  <c r="J2989" i="25"/>
  <c r="U2988" i="25"/>
  <c r="T2938" i="25" l="1"/>
  <c r="K2938" i="25"/>
  <c r="V2938" i="25" s="1"/>
  <c r="J2990" i="25"/>
  <c r="U2989" i="25"/>
  <c r="K2939" i="25"/>
  <c r="V2939" i="25" l="1"/>
  <c r="T2939" i="25"/>
  <c r="J2991" i="25"/>
  <c r="U2990" i="25"/>
  <c r="K2940" i="25"/>
  <c r="V2940" i="25" l="1"/>
  <c r="T2940" i="25"/>
  <c r="J2992" i="25"/>
  <c r="U2991" i="25"/>
  <c r="K2941" i="25"/>
  <c r="V2941" i="25" l="1"/>
  <c r="T2941" i="25"/>
  <c r="J2993" i="25"/>
  <c r="U2992" i="25"/>
  <c r="K2942" i="25"/>
  <c r="V2942" i="25" l="1"/>
  <c r="T2942" i="25"/>
  <c r="J2994" i="25"/>
  <c r="U2993" i="25"/>
  <c r="K2943" i="25"/>
  <c r="V2943" i="25" l="1"/>
  <c r="T2943" i="25"/>
  <c r="J2995" i="25"/>
  <c r="U2994" i="25"/>
  <c r="K2944" i="25"/>
  <c r="V2944" i="25" l="1"/>
  <c r="T2944" i="25"/>
  <c r="J2996" i="25"/>
  <c r="U2995" i="25"/>
  <c r="K2945" i="25"/>
  <c r="V2945" i="25" l="1"/>
  <c r="T2945" i="25"/>
  <c r="J2997" i="25"/>
  <c r="U2996" i="25"/>
  <c r="K2946" i="25"/>
  <c r="V2946" i="25" l="1"/>
  <c r="T2946" i="25"/>
  <c r="J2998" i="25"/>
  <c r="U2997" i="25"/>
  <c r="K2947" i="25"/>
  <c r="V2947" i="25" l="1"/>
  <c r="T2947" i="25"/>
  <c r="J2999" i="25"/>
  <c r="U2998" i="25"/>
  <c r="T2948" i="25" l="1"/>
  <c r="K2948" i="25"/>
  <c r="V2948" i="25" s="1"/>
  <c r="J3000" i="25"/>
  <c r="U2999" i="25"/>
  <c r="K2949" i="25"/>
  <c r="V2949" i="25" l="1"/>
  <c r="T2949" i="25"/>
  <c r="J3001" i="25"/>
  <c r="U3000" i="25"/>
  <c r="K2950" i="25"/>
  <c r="V2950" i="25" l="1"/>
  <c r="T2950" i="25"/>
  <c r="J3002" i="25"/>
  <c r="U3001" i="25"/>
  <c r="K2951" i="25"/>
  <c r="V2951" i="25" l="1"/>
  <c r="T2951" i="25"/>
  <c r="J3003" i="25"/>
  <c r="U3002" i="25"/>
  <c r="K2952" i="25"/>
  <c r="V2952" i="25" l="1"/>
  <c r="T2952" i="25"/>
  <c r="J3004" i="25"/>
  <c r="U3003" i="25"/>
  <c r="K2953" i="25"/>
  <c r="V2953" i="25" l="1"/>
  <c r="T2953" i="25"/>
  <c r="J3005" i="25"/>
  <c r="U3004" i="25"/>
  <c r="K2954" i="25"/>
  <c r="V2954" i="25" l="1"/>
  <c r="T2954" i="25"/>
  <c r="J3006" i="25"/>
  <c r="U3005" i="25"/>
  <c r="K2955" i="25"/>
  <c r="V2955" i="25" l="1"/>
  <c r="T2955" i="25"/>
  <c r="J3007" i="25"/>
  <c r="U3006" i="25"/>
  <c r="K2956" i="25"/>
  <c r="V2956" i="25" l="1"/>
  <c r="T2956" i="25"/>
  <c r="J3008" i="25"/>
  <c r="U3007" i="25"/>
  <c r="K2957" i="25"/>
  <c r="V2957" i="25" l="1"/>
  <c r="T2957" i="25"/>
  <c r="J3009" i="25"/>
  <c r="U3008" i="25"/>
  <c r="K2958" i="25"/>
  <c r="V2958" i="25" l="1"/>
  <c r="T2958" i="25"/>
  <c r="J3010" i="25"/>
  <c r="U3009" i="25"/>
  <c r="K2959" i="25"/>
  <c r="V2959" i="25" l="1"/>
  <c r="T2959" i="25"/>
  <c r="J3011" i="25"/>
  <c r="U3010" i="25"/>
  <c r="K2960" i="25"/>
  <c r="V2960" i="25" l="1"/>
  <c r="T2960" i="25"/>
  <c r="J3012" i="25"/>
  <c r="U3011" i="25"/>
  <c r="K2961" i="25"/>
  <c r="V2961" i="25" l="1"/>
  <c r="T2961" i="25"/>
  <c r="J3013" i="25"/>
  <c r="U3012" i="25"/>
  <c r="T2962" i="25" l="1"/>
  <c r="K2962" i="25"/>
  <c r="V2962" i="25" s="1"/>
  <c r="J3014" i="25"/>
  <c r="U3013" i="25"/>
  <c r="K2963" i="25"/>
  <c r="T2963" i="25" l="1"/>
  <c r="V2963" i="25"/>
  <c r="J3015" i="25"/>
  <c r="U3014" i="25"/>
  <c r="K2964" i="25"/>
  <c r="V2964" i="25" l="1"/>
  <c r="T2964" i="25"/>
  <c r="J3016" i="25"/>
  <c r="U3015" i="25"/>
  <c r="K2965" i="25"/>
  <c r="V2965" i="25" l="1"/>
  <c r="T2965" i="25"/>
  <c r="J3017" i="25"/>
  <c r="U3016" i="25"/>
  <c r="K2966" i="25"/>
  <c r="V2966" i="25" l="1"/>
  <c r="T2966" i="25"/>
  <c r="J3018" i="25"/>
  <c r="U3017" i="25"/>
  <c r="K2967" i="25"/>
  <c r="V2967" i="25" l="1"/>
  <c r="T2967" i="25"/>
  <c r="J3019" i="25"/>
  <c r="U3018" i="25"/>
  <c r="K2968" i="25"/>
  <c r="V2968" i="25" l="1"/>
  <c r="T2968" i="25"/>
  <c r="J3020" i="25"/>
  <c r="U3019" i="25"/>
  <c r="K2969" i="25"/>
  <c r="V2969" i="25" l="1"/>
  <c r="T2969" i="25"/>
  <c r="J3021" i="25"/>
  <c r="U3020" i="25"/>
  <c r="K2970" i="25"/>
  <c r="V2970" i="25" l="1"/>
  <c r="K2971" i="25"/>
  <c r="T2970" i="25"/>
  <c r="J3022" i="25"/>
  <c r="U3021" i="25"/>
  <c r="V2971" i="25" l="1"/>
  <c r="T2971" i="25"/>
  <c r="J3023" i="25"/>
  <c r="U3022" i="25"/>
  <c r="K2972" i="25"/>
  <c r="V2972" i="25" l="1"/>
  <c r="T2972" i="25"/>
  <c r="J3024" i="25"/>
  <c r="U3023" i="25"/>
  <c r="K2973" i="25"/>
  <c r="V2973" i="25" l="1"/>
  <c r="T2973" i="25"/>
  <c r="J3025" i="25"/>
  <c r="U3024" i="25"/>
  <c r="K2974" i="25"/>
  <c r="V2974" i="25" l="1"/>
  <c r="T2974" i="25"/>
  <c r="J3026" i="25"/>
  <c r="U3025" i="25"/>
  <c r="K2975" i="25"/>
  <c r="V2975" i="25" l="1"/>
  <c r="T2975" i="25"/>
  <c r="J3027" i="25"/>
  <c r="U3026" i="25"/>
  <c r="K2976" i="25"/>
  <c r="V2976" i="25" l="1"/>
  <c r="T2976" i="25"/>
  <c r="J3028" i="25"/>
  <c r="U3027" i="25"/>
  <c r="K2977" i="25"/>
  <c r="V2977" i="25" l="1"/>
  <c r="T2977" i="25"/>
  <c r="J3029" i="25"/>
  <c r="U3028" i="25"/>
  <c r="K2978" i="25"/>
  <c r="V2978" i="25" l="1"/>
  <c r="T2978" i="25"/>
  <c r="J3030" i="25"/>
  <c r="U3029" i="25"/>
  <c r="K2979" i="25"/>
  <c r="V2979" i="25" l="1"/>
  <c r="T2979" i="25"/>
  <c r="J3031" i="25"/>
  <c r="U3030" i="25"/>
  <c r="T2980" i="25" l="1"/>
  <c r="K2980" i="25"/>
  <c r="V2980" i="25" s="1"/>
  <c r="J3032" i="25"/>
  <c r="U3031" i="25"/>
  <c r="K2981" i="25"/>
  <c r="V2981" i="25" l="1"/>
  <c r="T2981" i="25"/>
  <c r="J3033" i="25"/>
  <c r="U3032" i="25"/>
  <c r="K2982" i="25"/>
  <c r="V2982" i="25" l="1"/>
  <c r="T2982" i="25"/>
  <c r="J3034" i="25"/>
  <c r="U3033" i="25"/>
  <c r="K2983" i="25"/>
  <c r="V2983" i="25" l="1"/>
  <c r="T2983" i="25"/>
  <c r="J3035" i="25"/>
  <c r="U3034" i="25"/>
  <c r="K2984" i="25"/>
  <c r="V2984" i="25" l="1"/>
  <c r="T2984" i="25"/>
  <c r="J3036" i="25"/>
  <c r="U3035" i="25"/>
  <c r="K2985" i="25"/>
  <c r="V2985" i="25" l="1"/>
  <c r="T2985" i="25"/>
  <c r="J3037" i="25"/>
  <c r="U3036" i="25"/>
  <c r="K2986" i="25"/>
  <c r="V2986" i="25" l="1"/>
  <c r="T2986" i="25"/>
  <c r="J3038" i="25"/>
  <c r="U3037" i="25"/>
  <c r="K2987" i="25"/>
  <c r="V2987" i="25" l="1"/>
  <c r="T2987" i="25"/>
  <c r="J3039" i="25"/>
  <c r="U3038" i="25"/>
  <c r="K2988" i="25"/>
  <c r="V2988" i="25" l="1"/>
  <c r="T2988" i="25"/>
  <c r="J3040" i="25"/>
  <c r="U3039" i="25"/>
  <c r="K2989" i="25"/>
  <c r="V2989" i="25" l="1"/>
  <c r="T2989" i="25"/>
  <c r="J3041" i="25"/>
  <c r="U3040" i="25"/>
  <c r="K2990" i="25"/>
  <c r="V2990" i="25" l="1"/>
  <c r="K2991" i="25"/>
  <c r="T2990" i="25"/>
  <c r="J3042" i="25"/>
  <c r="U3041" i="25"/>
  <c r="V2991" i="25" l="1"/>
  <c r="T2991" i="25"/>
  <c r="J3043" i="25"/>
  <c r="U3042" i="25"/>
  <c r="K2992" i="25"/>
  <c r="V2992" i="25" l="1"/>
  <c r="T2992" i="25"/>
  <c r="J3044" i="25"/>
  <c r="U3043" i="25"/>
  <c r="K2993" i="25"/>
  <c r="V2993" i="25" l="1"/>
  <c r="T2993" i="25"/>
  <c r="J3045" i="25"/>
  <c r="U3044" i="25"/>
  <c r="K2994" i="25"/>
  <c r="V2994" i="25" l="1"/>
  <c r="T2994" i="25"/>
  <c r="J3046" i="25"/>
  <c r="U3045" i="25"/>
  <c r="K2995" i="25"/>
  <c r="V2995" i="25" l="1"/>
  <c r="T2995" i="25"/>
  <c r="J3047" i="25"/>
  <c r="U3046" i="25"/>
  <c r="K2996" i="25"/>
  <c r="V2996" i="25" l="1"/>
  <c r="T2996" i="25"/>
  <c r="J3048" i="25"/>
  <c r="U3047" i="25"/>
  <c r="K2997" i="25"/>
  <c r="V2997" i="25" l="1"/>
  <c r="T2997" i="25"/>
  <c r="J3049" i="25"/>
  <c r="U3048" i="25"/>
  <c r="K2998" i="25"/>
  <c r="V2998" i="25" l="1"/>
  <c r="T2998" i="25"/>
  <c r="J3050" i="25"/>
  <c r="U3049" i="25"/>
  <c r="K2999" i="25"/>
  <c r="V2999" i="25" l="1"/>
  <c r="T2999" i="25"/>
  <c r="J3051" i="25"/>
  <c r="U3050" i="25"/>
  <c r="K3000" i="25"/>
  <c r="V3000" i="25" l="1"/>
  <c r="T3000" i="25"/>
  <c r="J3052" i="25"/>
  <c r="U3051" i="25"/>
  <c r="K3001" i="25"/>
  <c r="V3001" i="25" l="1"/>
  <c r="T3001" i="25"/>
  <c r="J3053" i="25"/>
  <c r="U3052" i="25"/>
  <c r="K3002" i="25"/>
  <c r="V3002" i="25" l="1"/>
  <c r="T3002" i="25"/>
  <c r="J3054" i="25"/>
  <c r="U3053" i="25"/>
  <c r="K3003" i="25"/>
  <c r="V3003" i="25" l="1"/>
  <c r="T3003" i="25"/>
  <c r="J3055" i="25"/>
  <c r="U3054" i="25"/>
  <c r="K3004" i="25"/>
  <c r="V3004" i="25" l="1"/>
  <c r="T3004" i="25"/>
  <c r="J3056" i="25"/>
  <c r="U3055" i="25"/>
  <c r="K3005" i="25"/>
  <c r="V3005" i="25" l="1"/>
  <c r="T3005" i="25"/>
  <c r="J3057" i="25"/>
  <c r="U3056" i="25"/>
  <c r="K3006" i="25"/>
  <c r="V3006" i="25" l="1"/>
  <c r="T3006" i="25"/>
  <c r="J3058" i="25"/>
  <c r="U3057" i="25"/>
  <c r="T3007" i="25" l="1"/>
  <c r="K3007" i="25"/>
  <c r="V3007" i="25" s="1"/>
  <c r="J3059" i="25"/>
  <c r="U3058" i="25"/>
  <c r="K3008" i="25"/>
  <c r="V3008" i="25" l="1"/>
  <c r="T3008" i="25"/>
  <c r="J3060" i="25"/>
  <c r="U3059" i="25"/>
  <c r="K3009" i="25"/>
  <c r="V3009" i="25" l="1"/>
  <c r="T3009" i="25"/>
  <c r="J3061" i="25"/>
  <c r="U3060" i="25"/>
  <c r="K3010" i="25"/>
  <c r="V3010" i="25" l="1"/>
  <c r="T3010" i="25"/>
  <c r="J3062" i="25"/>
  <c r="U3061" i="25"/>
  <c r="K3011" i="25"/>
  <c r="V3011" i="25" l="1"/>
  <c r="T3011" i="25"/>
  <c r="J3063" i="25"/>
  <c r="U3062" i="25"/>
  <c r="K3012" i="25"/>
  <c r="V3012" i="25" l="1"/>
  <c r="T3012" i="25"/>
  <c r="J3064" i="25"/>
  <c r="U3063" i="25"/>
  <c r="K3013" i="25"/>
  <c r="V3013" i="25" l="1"/>
  <c r="T3013" i="25"/>
  <c r="J3065" i="25"/>
  <c r="U3064" i="25"/>
  <c r="K3014" i="25"/>
  <c r="V3014" i="25" l="1"/>
  <c r="T3014" i="25"/>
  <c r="J3066" i="25"/>
  <c r="U3065" i="25"/>
  <c r="K3015" i="25"/>
  <c r="V3015" i="25" l="1"/>
  <c r="T3015" i="25"/>
  <c r="J3067" i="25"/>
  <c r="U3066" i="25"/>
  <c r="T3016" i="25" l="1"/>
  <c r="K3016" i="25"/>
  <c r="V3016" i="25" s="1"/>
  <c r="J3068" i="25"/>
  <c r="U3067" i="25"/>
  <c r="K3017" i="25"/>
  <c r="V3017" i="25" l="1"/>
  <c r="T3017" i="25"/>
  <c r="J3069" i="25"/>
  <c r="U3068" i="25"/>
  <c r="K3018" i="25"/>
  <c r="V3018" i="25" l="1"/>
  <c r="T3018" i="25"/>
  <c r="J3070" i="25"/>
  <c r="U3069" i="25"/>
  <c r="K3019" i="25"/>
  <c r="V3019" i="25" l="1"/>
  <c r="T3019" i="25"/>
  <c r="J3071" i="25"/>
  <c r="U3070" i="25"/>
  <c r="K3020" i="25"/>
  <c r="V3020" i="25" l="1"/>
  <c r="T3020" i="25"/>
  <c r="J3072" i="25"/>
  <c r="U3071" i="25"/>
  <c r="K3021" i="25"/>
  <c r="V3021" i="25" l="1"/>
  <c r="T3021" i="25"/>
  <c r="J3073" i="25"/>
  <c r="U3072" i="25"/>
  <c r="K3022" i="25"/>
  <c r="V3022" i="25" l="1"/>
  <c r="T3022" i="25"/>
  <c r="J3074" i="25"/>
  <c r="U3073" i="25"/>
  <c r="K3023" i="25"/>
  <c r="V3023" i="25" l="1"/>
  <c r="T3023" i="25"/>
  <c r="J3075" i="25"/>
  <c r="U3074" i="25"/>
  <c r="K3024" i="25"/>
  <c r="V3024" i="25" l="1"/>
  <c r="T3024" i="25"/>
  <c r="J3076" i="25"/>
  <c r="U3075" i="25"/>
  <c r="K3025" i="25"/>
  <c r="V3025" i="25" l="1"/>
  <c r="T3025" i="25"/>
  <c r="J3077" i="25"/>
  <c r="U3076" i="25"/>
  <c r="K3026" i="25"/>
  <c r="V3026" i="25" l="1"/>
  <c r="T3026" i="25"/>
  <c r="J3078" i="25"/>
  <c r="U3077" i="25"/>
  <c r="K3027" i="25"/>
  <c r="V3027" i="25" l="1"/>
  <c r="T3027" i="25"/>
  <c r="J3079" i="25"/>
  <c r="U3078" i="25"/>
  <c r="T3028" i="25" l="1"/>
  <c r="K3028" i="25"/>
  <c r="V3028" i="25" s="1"/>
  <c r="J3080" i="25"/>
  <c r="U3079" i="25"/>
  <c r="K3029" i="25"/>
  <c r="V3029" i="25" l="1"/>
  <c r="T3029" i="25"/>
  <c r="J3081" i="25"/>
  <c r="U3080" i="25"/>
  <c r="K3030" i="25"/>
  <c r="V3030" i="25" l="1"/>
  <c r="T3030" i="25"/>
  <c r="J3082" i="25"/>
  <c r="U3081" i="25"/>
  <c r="K3031" i="25"/>
  <c r="V3031" i="25" l="1"/>
  <c r="T3031" i="25"/>
  <c r="J3083" i="25"/>
  <c r="U3082" i="25"/>
  <c r="K3032" i="25"/>
  <c r="V3032" i="25" l="1"/>
  <c r="T3032" i="25"/>
  <c r="J3084" i="25"/>
  <c r="U3083" i="25"/>
  <c r="K3033" i="25"/>
  <c r="V3033" i="25" l="1"/>
  <c r="T3033" i="25"/>
  <c r="J3085" i="25"/>
  <c r="U3084" i="25"/>
  <c r="K3034" i="25"/>
  <c r="V3034" i="25" l="1"/>
  <c r="T3034" i="25"/>
  <c r="J3086" i="25"/>
  <c r="U3085" i="25"/>
  <c r="K3035" i="25"/>
  <c r="V3035" i="25" l="1"/>
  <c r="T3035" i="25"/>
  <c r="J3087" i="25"/>
  <c r="U3086" i="25"/>
  <c r="K3036" i="25"/>
  <c r="V3036" i="25" l="1"/>
  <c r="T3036" i="25"/>
  <c r="J3088" i="25"/>
  <c r="U3087" i="25"/>
  <c r="K3037" i="25"/>
  <c r="V3037" i="25" l="1"/>
  <c r="T3037" i="25"/>
  <c r="J3089" i="25"/>
  <c r="U3088" i="25"/>
  <c r="K3038" i="25"/>
  <c r="V3038" i="25" l="1"/>
  <c r="T3038" i="25"/>
  <c r="J3090" i="25"/>
  <c r="U3089" i="25"/>
  <c r="K3039" i="25"/>
  <c r="V3039" i="25" l="1"/>
  <c r="T3039" i="25"/>
  <c r="J3091" i="25"/>
  <c r="U3090" i="25"/>
  <c r="K3040" i="25"/>
  <c r="V3040" i="25" l="1"/>
  <c r="T3040" i="25"/>
  <c r="J3092" i="25"/>
  <c r="U3091" i="25"/>
  <c r="K3041" i="25"/>
  <c r="V3041" i="25" l="1"/>
  <c r="T3041" i="25"/>
  <c r="J3093" i="25"/>
  <c r="U3092" i="25"/>
  <c r="T3042" i="25" l="1"/>
  <c r="K3042" i="25"/>
  <c r="V3042" i="25" s="1"/>
  <c r="J3094" i="25"/>
  <c r="U3093" i="25"/>
  <c r="K3043" i="25"/>
  <c r="V3043" i="25" l="1"/>
  <c r="T3043" i="25"/>
  <c r="J3095" i="25"/>
  <c r="U3094" i="25"/>
  <c r="K3044" i="25"/>
  <c r="V3044" i="25" l="1"/>
  <c r="T3044" i="25"/>
  <c r="J3096" i="25"/>
  <c r="U3095" i="25"/>
  <c r="K3045" i="25"/>
  <c r="V3045" i="25" l="1"/>
  <c r="T3045" i="25"/>
  <c r="J3097" i="25"/>
  <c r="U3096" i="25"/>
  <c r="K3046" i="25"/>
  <c r="V3046" i="25" l="1"/>
  <c r="T3046" i="25"/>
  <c r="J3098" i="25"/>
  <c r="U3097" i="25"/>
  <c r="K3047" i="25"/>
  <c r="V3047" i="25" l="1"/>
  <c r="T3047" i="25"/>
  <c r="J3099" i="25"/>
  <c r="U3098" i="25"/>
  <c r="T3048" i="25" l="1"/>
  <c r="K3048" i="25"/>
  <c r="V3048" i="25" s="1"/>
  <c r="J3100" i="25"/>
  <c r="U3099" i="25"/>
  <c r="K3049" i="25"/>
  <c r="V3049" i="25" l="1"/>
  <c r="T3049" i="25"/>
  <c r="J3101" i="25"/>
  <c r="U3100" i="25"/>
  <c r="K3050" i="25"/>
  <c r="V3050" i="25" l="1"/>
  <c r="T3050" i="25"/>
  <c r="J3102" i="25"/>
  <c r="U3101" i="25"/>
  <c r="K3051" i="25"/>
  <c r="V3051" i="25" l="1"/>
  <c r="T3051" i="25"/>
  <c r="J3103" i="25"/>
  <c r="U3102" i="25"/>
  <c r="K3052" i="25"/>
  <c r="V3052" i="25" l="1"/>
  <c r="T3052" i="25"/>
  <c r="J3104" i="25"/>
  <c r="U3103" i="25"/>
  <c r="K3053" i="25"/>
  <c r="V3053" i="25" l="1"/>
  <c r="T3053" i="25"/>
  <c r="J3105" i="25"/>
  <c r="U3104" i="25"/>
  <c r="K3054" i="25"/>
  <c r="V3054" i="25" l="1"/>
  <c r="T3054" i="25"/>
  <c r="J3106" i="25"/>
  <c r="U3105" i="25"/>
  <c r="K3055" i="25"/>
  <c r="V3055" i="25" l="1"/>
  <c r="T3055" i="25"/>
  <c r="J3107" i="25"/>
  <c r="U3106" i="25"/>
  <c r="K3056" i="25"/>
  <c r="V3056" i="25" l="1"/>
  <c r="T3056" i="25"/>
  <c r="J3108" i="25"/>
  <c r="U3107" i="25"/>
  <c r="K3057" i="25"/>
  <c r="V3057" i="25" l="1"/>
  <c r="T3057" i="25"/>
  <c r="J3109" i="25"/>
  <c r="U3108" i="25"/>
  <c r="K3058" i="25"/>
  <c r="V3058" i="25" l="1"/>
  <c r="T3058" i="25"/>
  <c r="J3110" i="25"/>
  <c r="U3109" i="25"/>
  <c r="K3059" i="25"/>
  <c r="V3059" i="25" l="1"/>
  <c r="T3059" i="25"/>
  <c r="J3111" i="25"/>
  <c r="U3110" i="25"/>
  <c r="K3060" i="25"/>
  <c r="V3060" i="25" l="1"/>
  <c r="T3060" i="25"/>
  <c r="J3112" i="25"/>
  <c r="U3111" i="25"/>
  <c r="K3061" i="25"/>
  <c r="V3061" i="25" l="1"/>
  <c r="T3061" i="25"/>
  <c r="J3113" i="25"/>
  <c r="U3112" i="25"/>
  <c r="K3062" i="25"/>
  <c r="V3062" i="25" l="1"/>
  <c r="T3062" i="25"/>
  <c r="J3114" i="25"/>
  <c r="U3113" i="25"/>
  <c r="K3063" i="25"/>
  <c r="V3063" i="25" l="1"/>
  <c r="T3063" i="25"/>
  <c r="J3115" i="25"/>
  <c r="U3114" i="25"/>
  <c r="K3064" i="25"/>
  <c r="V3064" i="25" l="1"/>
  <c r="K3065" i="25"/>
  <c r="T3064" i="25"/>
  <c r="J3116" i="25"/>
  <c r="U3115" i="25"/>
  <c r="V3065" i="25" l="1"/>
  <c r="T3065" i="25"/>
  <c r="J3117" i="25"/>
  <c r="U3116" i="25"/>
  <c r="K3066" i="25"/>
  <c r="V3066" i="25" l="1"/>
  <c r="T3066" i="25"/>
  <c r="J3118" i="25"/>
  <c r="U3117" i="25"/>
  <c r="K3067" i="25"/>
  <c r="V3067" i="25" l="1"/>
  <c r="K3068" i="25"/>
  <c r="T3067" i="25"/>
  <c r="J3119" i="25"/>
  <c r="U3118" i="25"/>
  <c r="V3068" i="25" l="1"/>
  <c r="T3068" i="25"/>
  <c r="J3120" i="25"/>
  <c r="U3119" i="25"/>
  <c r="K3069" i="25"/>
  <c r="V3069" i="25" l="1"/>
  <c r="T3069" i="25"/>
  <c r="J3121" i="25"/>
  <c r="U3120" i="25"/>
  <c r="K3070" i="25"/>
  <c r="V3070" i="25" l="1"/>
  <c r="T3070" i="25"/>
  <c r="J3122" i="25"/>
  <c r="U3121" i="25"/>
  <c r="K3071" i="25"/>
  <c r="V3071" i="25" l="1"/>
  <c r="T3071" i="25"/>
  <c r="J3123" i="25"/>
  <c r="U3122" i="25"/>
  <c r="K3072" i="25"/>
  <c r="V3072" i="25" l="1"/>
  <c r="T3072" i="25"/>
  <c r="J3124" i="25"/>
  <c r="U3123" i="25"/>
  <c r="K3073" i="25"/>
  <c r="V3073" i="25" l="1"/>
  <c r="T3073" i="25"/>
  <c r="J3125" i="25"/>
  <c r="U3124" i="25"/>
  <c r="T3074" i="25" l="1"/>
  <c r="K3074" i="25"/>
  <c r="V3074" i="25" s="1"/>
  <c r="J3126" i="25"/>
  <c r="U3125" i="25"/>
  <c r="K3075" i="25"/>
  <c r="V3075" i="25" l="1"/>
  <c r="T3075" i="25"/>
  <c r="J3127" i="25"/>
  <c r="U3126" i="25"/>
  <c r="K3076" i="25"/>
  <c r="V3076" i="25" l="1"/>
  <c r="T3076" i="25"/>
  <c r="J3128" i="25"/>
  <c r="U3127" i="25"/>
  <c r="K3077" i="25"/>
  <c r="V3077" i="25" l="1"/>
  <c r="T3077" i="25"/>
  <c r="J3129" i="25"/>
  <c r="U3128" i="25"/>
  <c r="T3078" i="25" l="1"/>
  <c r="K3078" i="25"/>
  <c r="V3078" i="25" s="1"/>
  <c r="J3130" i="25"/>
  <c r="U3129" i="25"/>
  <c r="K3079" i="25"/>
  <c r="V3079" i="25" l="1"/>
  <c r="T3079" i="25"/>
  <c r="J3131" i="25"/>
  <c r="U3130" i="25"/>
  <c r="K3080" i="25"/>
  <c r="V3080" i="25" l="1"/>
  <c r="T3080" i="25"/>
  <c r="J3132" i="25"/>
  <c r="U3131" i="25"/>
  <c r="K3081" i="25"/>
  <c r="V3081" i="25" l="1"/>
  <c r="T3081" i="25"/>
  <c r="J3133" i="25"/>
  <c r="U3132" i="25"/>
  <c r="K3082" i="25"/>
  <c r="V3082" i="25" l="1"/>
  <c r="T3082" i="25"/>
  <c r="J3134" i="25"/>
  <c r="U3133" i="25"/>
  <c r="K3083" i="25"/>
  <c r="V3083" i="25" l="1"/>
  <c r="T3083" i="25"/>
  <c r="J3135" i="25"/>
  <c r="U3134" i="25"/>
  <c r="K3084" i="25"/>
  <c r="V3084" i="25" l="1"/>
  <c r="T3084" i="25"/>
  <c r="J3136" i="25"/>
  <c r="U3135" i="25"/>
  <c r="K3085" i="25"/>
  <c r="V3085" i="25" l="1"/>
  <c r="T3085" i="25"/>
  <c r="J3137" i="25"/>
  <c r="U3136" i="25"/>
  <c r="T3086" i="25" l="1"/>
  <c r="K3086" i="25"/>
  <c r="V3086" i="25" s="1"/>
  <c r="J3138" i="25"/>
  <c r="U3137" i="25"/>
  <c r="K3087" i="25"/>
  <c r="V3087" i="25" l="1"/>
  <c r="T3087" i="25"/>
  <c r="J3139" i="25"/>
  <c r="U3138" i="25"/>
  <c r="K3088" i="25"/>
  <c r="V3088" i="25" l="1"/>
  <c r="K3089" i="25"/>
  <c r="T3088" i="25"/>
  <c r="J3140" i="25"/>
  <c r="U3139" i="25"/>
  <c r="V3089" i="25" l="1"/>
  <c r="T3089" i="25"/>
  <c r="J3141" i="25"/>
  <c r="U3140" i="25"/>
  <c r="K3090" i="25"/>
  <c r="V3090" i="25" l="1"/>
  <c r="T3090" i="25"/>
  <c r="J3142" i="25"/>
  <c r="U3141" i="25"/>
  <c r="K3091" i="25"/>
  <c r="V3091" i="25" l="1"/>
  <c r="T3091" i="25"/>
  <c r="J3143" i="25"/>
  <c r="U3142" i="25"/>
  <c r="K3092" i="25"/>
  <c r="V3092" i="25" l="1"/>
  <c r="T3092" i="25"/>
  <c r="J3144" i="25"/>
  <c r="U3143" i="25"/>
  <c r="K3093" i="25"/>
  <c r="V3093" i="25" l="1"/>
  <c r="K3094" i="25"/>
  <c r="T3093" i="25"/>
  <c r="J3145" i="25"/>
  <c r="U3144" i="25"/>
  <c r="V3094" i="25" l="1"/>
  <c r="T3094" i="25"/>
  <c r="J3146" i="25"/>
  <c r="U3145" i="25"/>
  <c r="K3095" i="25"/>
  <c r="V3095" i="25" l="1"/>
  <c r="T3095" i="25"/>
  <c r="J3147" i="25"/>
  <c r="U3146" i="25"/>
  <c r="T3096" i="25" l="1"/>
  <c r="K3096" i="25"/>
  <c r="V3096" i="25" s="1"/>
  <c r="J3148" i="25"/>
  <c r="U3147" i="25"/>
  <c r="K3097" i="25"/>
  <c r="V3097" i="25" l="1"/>
  <c r="T3097" i="25"/>
  <c r="J3149" i="25"/>
  <c r="U3148" i="25"/>
  <c r="K3098" i="25"/>
  <c r="V3098" i="25" l="1"/>
  <c r="T3098" i="25"/>
  <c r="J3150" i="25"/>
  <c r="U3149" i="25"/>
  <c r="K3099" i="25"/>
  <c r="V3099" i="25" l="1"/>
  <c r="T3099" i="25"/>
  <c r="J3151" i="25"/>
  <c r="U3150" i="25"/>
  <c r="T3100" i="25" l="1"/>
  <c r="K3100" i="25"/>
  <c r="V3100" i="25" s="1"/>
  <c r="J3152" i="25"/>
  <c r="U3151" i="25"/>
  <c r="K3101" i="25"/>
  <c r="V3101" i="25" l="1"/>
  <c r="T3101" i="25"/>
  <c r="J3153" i="25"/>
  <c r="U3152" i="25"/>
  <c r="K3102" i="25"/>
  <c r="V3102" i="25" l="1"/>
  <c r="T3102" i="25"/>
  <c r="J3154" i="25"/>
  <c r="U3153" i="25"/>
  <c r="K3103" i="25"/>
  <c r="V3103" i="25" l="1"/>
  <c r="T3103" i="25"/>
  <c r="J3155" i="25"/>
  <c r="U3154" i="25"/>
  <c r="K3104" i="25"/>
  <c r="V3104" i="25" l="1"/>
  <c r="T3104" i="25"/>
  <c r="J3156" i="25"/>
  <c r="U3155" i="25"/>
  <c r="K3105" i="25"/>
  <c r="V3105" i="25" l="1"/>
  <c r="T3105" i="25"/>
  <c r="J3157" i="25"/>
  <c r="U3156" i="25"/>
  <c r="K3106" i="25"/>
  <c r="V3106" i="25" l="1"/>
  <c r="T3106" i="25"/>
  <c r="J3158" i="25"/>
  <c r="U3157" i="25"/>
  <c r="K3107" i="25"/>
  <c r="V3107" i="25" l="1"/>
  <c r="T3107" i="25"/>
  <c r="J3159" i="25"/>
  <c r="U3158" i="25"/>
  <c r="K3108" i="25"/>
  <c r="V3108" i="25" l="1"/>
  <c r="T3108" i="25"/>
  <c r="J3160" i="25"/>
  <c r="U3159" i="25"/>
  <c r="K3109" i="25"/>
  <c r="V3109" i="25" l="1"/>
  <c r="T3109" i="25"/>
  <c r="J3161" i="25"/>
  <c r="U3160" i="25"/>
  <c r="K3110" i="25"/>
  <c r="V3110" i="25" l="1"/>
  <c r="T3110" i="25"/>
  <c r="J3162" i="25"/>
  <c r="U3161" i="25"/>
  <c r="K3111" i="25"/>
  <c r="V3111" i="25" l="1"/>
  <c r="T3111" i="25"/>
  <c r="J3163" i="25"/>
  <c r="U3162" i="25"/>
  <c r="K3112" i="25"/>
  <c r="V3112" i="25" l="1"/>
  <c r="T3112" i="25"/>
  <c r="J3164" i="25"/>
  <c r="U3163" i="25"/>
  <c r="T3113" i="25" l="1"/>
  <c r="K3113" i="25"/>
  <c r="V3113" i="25" s="1"/>
  <c r="J3165" i="25"/>
  <c r="U3164" i="25"/>
  <c r="K3114" i="25"/>
  <c r="V3114" i="25" l="1"/>
  <c r="T3114" i="25"/>
  <c r="J3166" i="25"/>
  <c r="U3165" i="25"/>
  <c r="K3115" i="25"/>
  <c r="V3115" i="25" l="1"/>
  <c r="T3115" i="25"/>
  <c r="J3167" i="25"/>
  <c r="U3166" i="25"/>
  <c r="K3116" i="25"/>
  <c r="V3116" i="25" l="1"/>
  <c r="T3116" i="25"/>
  <c r="J3168" i="25"/>
  <c r="U3167" i="25"/>
  <c r="K3117" i="25"/>
  <c r="V3117" i="25" l="1"/>
  <c r="T3117" i="25"/>
  <c r="J3169" i="25"/>
  <c r="U3168" i="25"/>
  <c r="K3118" i="25"/>
  <c r="V3118" i="25" l="1"/>
  <c r="T3118" i="25"/>
  <c r="J3170" i="25"/>
  <c r="U3169" i="25"/>
  <c r="K3119" i="25"/>
  <c r="V3119" i="25" l="1"/>
  <c r="T3119" i="25"/>
  <c r="J3171" i="25"/>
  <c r="U3170" i="25"/>
  <c r="K3120" i="25"/>
  <c r="V3120" i="25" l="1"/>
  <c r="T3120" i="25"/>
  <c r="J3172" i="25"/>
  <c r="U3171" i="25"/>
  <c r="K3121" i="25"/>
  <c r="V3121" i="25" l="1"/>
  <c r="T3121" i="25"/>
  <c r="J3173" i="25"/>
  <c r="U3172" i="25"/>
  <c r="T3122" i="25" l="1"/>
  <c r="K3122" i="25"/>
  <c r="V3122" i="25" s="1"/>
  <c r="J3174" i="25"/>
  <c r="U3173" i="25"/>
  <c r="K3123" i="25"/>
  <c r="V3123" i="25" l="1"/>
  <c r="T3123" i="25"/>
  <c r="J3175" i="25"/>
  <c r="U3174" i="25"/>
  <c r="K3124" i="25"/>
  <c r="V3124" i="25" l="1"/>
  <c r="T3124" i="25"/>
  <c r="J3176" i="25"/>
  <c r="U3175" i="25"/>
  <c r="K3125" i="25"/>
  <c r="V3125" i="25" l="1"/>
  <c r="T3125" i="25"/>
  <c r="J3177" i="25"/>
  <c r="U3176" i="25"/>
  <c r="K3126" i="25"/>
  <c r="V3126" i="25" l="1"/>
  <c r="T3126" i="25"/>
  <c r="J3178" i="25"/>
  <c r="U3177" i="25"/>
  <c r="K3127" i="25"/>
  <c r="V3127" i="25" l="1"/>
  <c r="T3127" i="25"/>
  <c r="J3179" i="25"/>
  <c r="U3178" i="25"/>
  <c r="K3128" i="25"/>
  <c r="V3128" i="25" l="1"/>
  <c r="T3128" i="25"/>
  <c r="J3180" i="25"/>
  <c r="U3179" i="25"/>
  <c r="K3129" i="25"/>
  <c r="V3129" i="25" l="1"/>
  <c r="T3129" i="25"/>
  <c r="J3181" i="25"/>
  <c r="U3180" i="25"/>
  <c r="K3130" i="25"/>
  <c r="V3130" i="25" l="1"/>
  <c r="T3130" i="25"/>
  <c r="J3182" i="25"/>
  <c r="U3181" i="25"/>
  <c r="K3131" i="25"/>
  <c r="V3131" i="25" l="1"/>
  <c r="T3131" i="25"/>
  <c r="J3183" i="25"/>
  <c r="U3182" i="25"/>
  <c r="K3132" i="25"/>
  <c r="V3132" i="25" l="1"/>
  <c r="T3132" i="25"/>
  <c r="J3184" i="25"/>
  <c r="U3183" i="25"/>
  <c r="K3133" i="25"/>
  <c r="V3133" i="25" l="1"/>
  <c r="T3133" i="25"/>
  <c r="J3185" i="25"/>
  <c r="U3184" i="25"/>
  <c r="K3134" i="25"/>
  <c r="V3134" i="25" l="1"/>
  <c r="T3134" i="25"/>
  <c r="J3186" i="25"/>
  <c r="U3185" i="25"/>
  <c r="K3135" i="25"/>
  <c r="V3135" i="25" l="1"/>
  <c r="T3135" i="25"/>
  <c r="J3187" i="25"/>
  <c r="U3186" i="25"/>
  <c r="K3136" i="25"/>
  <c r="V3136" i="25" l="1"/>
  <c r="T3136" i="25"/>
  <c r="J3188" i="25"/>
  <c r="U3187" i="25"/>
  <c r="K3137" i="25"/>
  <c r="V3137" i="25" l="1"/>
  <c r="K3138" i="25"/>
  <c r="T3137" i="25"/>
  <c r="J3189" i="25"/>
  <c r="U3188" i="25"/>
  <c r="V3138" i="25" l="1"/>
  <c r="T3138" i="25"/>
  <c r="J3190" i="25"/>
  <c r="U3189" i="25"/>
  <c r="K3139" i="25"/>
  <c r="V3139" i="25" l="1"/>
  <c r="T3139" i="25"/>
  <c r="J3191" i="25"/>
  <c r="U3190" i="25"/>
  <c r="K3140" i="25"/>
  <c r="V3140" i="25" l="1"/>
  <c r="T3140" i="25"/>
  <c r="J3192" i="25"/>
  <c r="U3191" i="25"/>
  <c r="K3141" i="25"/>
  <c r="V3141" i="25" l="1"/>
  <c r="T3141" i="25"/>
  <c r="J3193" i="25"/>
  <c r="U3192" i="25"/>
  <c r="K3142" i="25"/>
  <c r="V3142" i="25" l="1"/>
  <c r="T3142" i="25"/>
  <c r="J3194" i="25"/>
  <c r="U3193" i="25"/>
  <c r="K3143" i="25"/>
  <c r="V3143" i="25" l="1"/>
  <c r="T3143" i="25"/>
  <c r="J3195" i="25"/>
  <c r="U3194" i="25"/>
  <c r="K3144" i="25"/>
  <c r="V3144" i="25" l="1"/>
  <c r="T3144" i="25"/>
  <c r="J3196" i="25"/>
  <c r="U3195" i="25"/>
  <c r="K3145" i="25"/>
  <c r="V3145" i="25" l="1"/>
  <c r="T3145" i="25"/>
  <c r="J3197" i="25"/>
  <c r="U3196" i="25"/>
  <c r="K3146" i="25"/>
  <c r="V3146" i="25" l="1"/>
  <c r="T3146" i="25"/>
  <c r="J3198" i="25"/>
  <c r="U3197" i="25"/>
  <c r="K3147" i="25"/>
  <c r="V3147" i="25" l="1"/>
  <c r="T3147" i="25"/>
  <c r="J3199" i="25"/>
  <c r="U3198" i="25"/>
  <c r="K3148" i="25"/>
  <c r="V3148" i="25" l="1"/>
  <c r="T3148" i="25"/>
  <c r="J3200" i="25"/>
  <c r="U3199" i="25"/>
  <c r="K3149" i="25"/>
  <c r="V3149" i="25" l="1"/>
  <c r="K3150" i="25"/>
  <c r="T3149" i="25"/>
  <c r="J3201" i="25"/>
  <c r="U3200" i="25"/>
  <c r="V3150" i="25" l="1"/>
  <c r="T3150" i="25"/>
  <c r="J3202" i="25"/>
  <c r="U3201" i="25"/>
  <c r="K3151" i="25"/>
  <c r="V3151" i="25" l="1"/>
  <c r="T3151" i="25"/>
  <c r="J3203" i="25"/>
  <c r="U3202" i="25"/>
  <c r="K3152" i="25"/>
  <c r="V3152" i="25" l="1"/>
  <c r="T3152" i="25"/>
  <c r="J3204" i="25"/>
  <c r="U3203" i="25"/>
  <c r="K3153" i="25"/>
  <c r="V3153" i="25" l="1"/>
  <c r="K3154" i="25"/>
  <c r="T3153" i="25"/>
  <c r="J3205" i="25"/>
  <c r="U3204" i="25"/>
  <c r="V3154" i="25" l="1"/>
  <c r="T3154" i="25"/>
  <c r="J3206" i="25"/>
  <c r="U3205" i="25"/>
  <c r="K3155" i="25"/>
  <c r="V3155" i="25" l="1"/>
  <c r="T3155" i="25"/>
  <c r="J3207" i="25"/>
  <c r="U3206" i="25"/>
  <c r="K3156" i="25"/>
  <c r="V3156" i="25" l="1"/>
  <c r="T3156" i="25"/>
  <c r="J3208" i="25"/>
  <c r="U3207" i="25"/>
  <c r="K3157" i="25"/>
  <c r="V3157" i="25" l="1"/>
  <c r="K3158" i="25"/>
  <c r="T3157" i="25"/>
  <c r="J3209" i="25"/>
  <c r="U3208" i="25"/>
  <c r="V3158" i="25" l="1"/>
  <c r="T3158" i="25"/>
  <c r="J3210" i="25"/>
  <c r="U3209" i="25"/>
  <c r="K3159" i="25"/>
  <c r="V3159" i="25" l="1"/>
  <c r="T3159" i="25"/>
  <c r="J3211" i="25"/>
  <c r="U3210" i="25"/>
  <c r="K3160" i="25"/>
  <c r="V3160" i="25" l="1"/>
  <c r="T3160" i="25"/>
  <c r="J3212" i="25"/>
  <c r="U3211" i="25"/>
  <c r="K3161" i="25"/>
  <c r="V3161" i="25" l="1"/>
  <c r="T3161" i="25"/>
  <c r="J3213" i="25"/>
  <c r="U3212" i="25"/>
  <c r="T3162" i="25" l="1"/>
  <c r="K3162" i="25"/>
  <c r="V3162" i="25" s="1"/>
  <c r="J3214" i="25"/>
  <c r="U3213" i="25"/>
  <c r="K3163" i="25"/>
  <c r="V3163" i="25" l="1"/>
  <c r="T3163" i="25"/>
  <c r="J3215" i="25"/>
  <c r="U3214" i="25"/>
  <c r="K3164" i="25"/>
  <c r="V3164" i="25" l="1"/>
  <c r="T3164" i="25"/>
  <c r="J3216" i="25"/>
  <c r="U3215" i="25"/>
  <c r="K3165" i="25"/>
  <c r="V3165" i="25" l="1"/>
  <c r="T3165" i="25"/>
  <c r="J3217" i="25"/>
  <c r="U3216" i="25"/>
  <c r="K3166" i="25"/>
  <c r="V3166" i="25" l="1"/>
  <c r="T3166" i="25"/>
  <c r="J3218" i="25"/>
  <c r="U3217" i="25"/>
  <c r="K3167" i="25"/>
  <c r="V3167" i="25" l="1"/>
  <c r="T3167" i="25"/>
  <c r="J3219" i="25"/>
  <c r="U3218" i="25"/>
  <c r="K3168" i="25"/>
  <c r="V3168" i="25" l="1"/>
  <c r="T3168" i="25"/>
  <c r="J3220" i="25"/>
  <c r="U3219" i="25"/>
  <c r="K3169" i="25"/>
  <c r="V3169" i="25" l="1"/>
  <c r="T3169" i="25"/>
  <c r="J3221" i="25"/>
  <c r="U3220" i="25"/>
  <c r="K3170" i="25"/>
  <c r="V3170" i="25" l="1"/>
  <c r="T3170" i="25"/>
  <c r="J3222" i="25"/>
  <c r="U3221" i="25"/>
  <c r="K3171" i="25"/>
  <c r="V3171" i="25" l="1"/>
  <c r="T3171" i="25"/>
  <c r="J3223" i="25"/>
  <c r="U3222" i="25"/>
  <c r="K3172" i="25"/>
  <c r="V3172" i="25" l="1"/>
  <c r="T3172" i="25"/>
  <c r="J3224" i="25"/>
  <c r="U3223" i="25"/>
  <c r="K3173" i="25"/>
  <c r="V3173" i="25" l="1"/>
  <c r="T3173" i="25"/>
  <c r="J3225" i="25"/>
  <c r="U3224" i="25"/>
  <c r="K3174" i="25"/>
  <c r="V3174" i="25" l="1"/>
  <c r="T3174" i="25"/>
  <c r="J3226" i="25"/>
  <c r="U3225" i="25"/>
  <c r="K3175" i="25"/>
  <c r="V3175" i="25" l="1"/>
  <c r="T3175" i="25"/>
  <c r="J3227" i="25"/>
  <c r="U3226" i="25"/>
  <c r="K3176" i="25"/>
  <c r="V3176" i="25" l="1"/>
  <c r="T3176" i="25"/>
  <c r="J3228" i="25"/>
  <c r="U3227" i="25"/>
  <c r="K3177" i="25"/>
  <c r="V3177" i="25" l="1"/>
  <c r="T3177" i="25"/>
  <c r="J3229" i="25"/>
  <c r="U3228" i="25"/>
  <c r="T3178" i="25" l="1"/>
  <c r="K3178" i="25"/>
  <c r="V3178" i="25" s="1"/>
  <c r="J3230" i="25"/>
  <c r="U3229" i="25"/>
  <c r="K3179" i="25"/>
  <c r="V3179" i="25" l="1"/>
  <c r="T3179" i="25"/>
  <c r="J3231" i="25"/>
  <c r="U3230" i="25"/>
  <c r="K3180" i="25"/>
  <c r="V3180" i="25" l="1"/>
  <c r="T3180" i="25"/>
  <c r="J3232" i="25"/>
  <c r="U3231" i="25"/>
  <c r="K3181" i="25"/>
  <c r="V3181" i="25" l="1"/>
  <c r="T3181" i="25"/>
  <c r="J3233" i="25"/>
  <c r="U3232" i="25"/>
  <c r="T3182" i="25" l="1"/>
  <c r="K3182" i="25"/>
  <c r="V3182" i="25" s="1"/>
  <c r="J3234" i="25"/>
  <c r="U3233" i="25"/>
  <c r="K3183" i="25"/>
  <c r="V3183" i="25" l="1"/>
  <c r="T3183" i="25"/>
  <c r="J3235" i="25"/>
  <c r="U3234" i="25"/>
  <c r="K3184" i="25"/>
  <c r="V3184" i="25" l="1"/>
  <c r="T3184" i="25"/>
  <c r="J3236" i="25"/>
  <c r="U3235" i="25"/>
  <c r="K3185" i="25"/>
  <c r="V3185" i="25" l="1"/>
  <c r="T3185" i="25"/>
  <c r="J3237" i="25"/>
  <c r="U3236" i="25"/>
  <c r="K3186" i="25"/>
  <c r="V3186" i="25" l="1"/>
  <c r="T3186" i="25"/>
  <c r="J3238" i="25"/>
  <c r="U3237" i="25"/>
  <c r="K3187" i="25"/>
  <c r="V3187" i="25" l="1"/>
  <c r="K3188" i="25"/>
  <c r="T3187" i="25"/>
  <c r="J3239" i="25"/>
  <c r="U3238" i="25"/>
  <c r="V3188" i="25" l="1"/>
  <c r="T3188" i="25"/>
  <c r="J3240" i="25"/>
  <c r="U3239" i="25"/>
  <c r="K3189" i="25"/>
  <c r="V3189" i="25" l="1"/>
  <c r="T3189" i="25"/>
  <c r="J3241" i="25"/>
  <c r="U3240" i="25"/>
  <c r="K3190" i="25"/>
  <c r="V3190" i="25" l="1"/>
  <c r="T3190" i="25"/>
  <c r="J3242" i="25"/>
  <c r="U3241" i="25"/>
  <c r="K3191" i="25"/>
  <c r="V3191" i="25" l="1"/>
  <c r="T3191" i="25"/>
  <c r="J3243" i="25"/>
  <c r="U3242" i="25"/>
  <c r="K3192" i="25"/>
  <c r="V3192" i="25" l="1"/>
  <c r="K3193" i="25"/>
  <c r="T3192" i="25"/>
  <c r="J3244" i="25"/>
  <c r="U3243" i="25"/>
  <c r="V3193" i="25" l="1"/>
  <c r="T3193" i="25"/>
  <c r="J3245" i="25"/>
  <c r="U3244" i="25"/>
  <c r="K3194" i="25"/>
  <c r="V3194" i="25" l="1"/>
  <c r="T3194" i="25"/>
  <c r="J3246" i="25"/>
  <c r="U3245" i="25"/>
  <c r="K3195" i="25"/>
  <c r="V3195" i="25" l="1"/>
  <c r="T3195" i="25"/>
  <c r="J3247" i="25"/>
  <c r="U3246" i="25"/>
  <c r="T3196" i="25" l="1"/>
  <c r="K3196" i="25"/>
  <c r="V3196" i="25" s="1"/>
  <c r="J3248" i="25"/>
  <c r="U3247" i="25"/>
  <c r="K3197" i="25"/>
  <c r="V3197" i="25" l="1"/>
  <c r="T3197" i="25"/>
  <c r="J3249" i="25"/>
  <c r="U3248" i="25"/>
  <c r="K3198" i="25"/>
  <c r="V3198" i="25" l="1"/>
  <c r="T3198" i="25"/>
  <c r="J3250" i="25"/>
  <c r="U3249" i="25"/>
  <c r="K3199" i="25"/>
  <c r="V3199" i="25" l="1"/>
  <c r="T3199" i="25"/>
  <c r="J3251" i="25"/>
  <c r="U3250" i="25"/>
  <c r="K3200" i="25"/>
  <c r="V3200" i="25" l="1"/>
  <c r="T3200" i="25"/>
  <c r="J3252" i="25"/>
  <c r="U3251" i="25"/>
  <c r="K3201" i="25"/>
  <c r="V3201" i="25" l="1"/>
  <c r="T3201" i="25"/>
  <c r="J3253" i="25"/>
  <c r="U3252" i="25"/>
  <c r="T3202" i="25" l="1"/>
  <c r="K3202" i="25"/>
  <c r="V3202" i="25" s="1"/>
  <c r="J3254" i="25"/>
  <c r="U3253" i="25"/>
  <c r="K3203" i="25"/>
  <c r="V3203" i="25" l="1"/>
  <c r="T3203" i="25"/>
  <c r="J3255" i="25"/>
  <c r="U3254" i="25"/>
  <c r="K3204" i="25"/>
  <c r="V3204" i="25" l="1"/>
  <c r="T3204" i="25"/>
  <c r="J3256" i="25"/>
  <c r="U3255" i="25"/>
  <c r="K3205" i="25"/>
  <c r="V3205" i="25" l="1"/>
  <c r="T3205" i="25"/>
  <c r="J3257" i="25"/>
  <c r="U3256" i="25"/>
  <c r="K3206" i="25"/>
  <c r="V3206" i="25" l="1"/>
  <c r="T3206" i="25"/>
  <c r="J3258" i="25"/>
  <c r="U3257" i="25"/>
  <c r="K3207" i="25"/>
  <c r="V3207" i="25" l="1"/>
  <c r="T3207" i="25"/>
  <c r="J3259" i="25"/>
  <c r="U3258" i="25"/>
  <c r="K3208" i="25"/>
  <c r="V3208" i="25" l="1"/>
  <c r="T3208" i="25"/>
  <c r="J3260" i="25"/>
  <c r="U3259" i="25"/>
  <c r="K3209" i="25"/>
  <c r="V3209" i="25" l="1"/>
  <c r="T3209" i="25"/>
  <c r="J3261" i="25"/>
  <c r="U3260" i="25"/>
  <c r="K3210" i="25"/>
  <c r="V3210" i="25" l="1"/>
  <c r="T3210" i="25"/>
  <c r="J3262" i="25"/>
  <c r="U3261" i="25"/>
  <c r="K3211" i="25"/>
  <c r="V3211" i="25" l="1"/>
  <c r="K3212" i="25"/>
  <c r="T3211" i="25"/>
  <c r="J3263" i="25"/>
  <c r="U3262" i="25"/>
  <c r="V3212" i="25" l="1"/>
  <c r="T3212" i="25"/>
  <c r="J3264" i="25"/>
  <c r="U3263" i="25"/>
  <c r="K3213" i="25"/>
  <c r="V3213" i="25" l="1"/>
  <c r="K3214" i="25"/>
  <c r="T3213" i="25"/>
  <c r="J3265" i="25"/>
  <c r="U3264" i="25"/>
  <c r="V3214" i="25" l="1"/>
  <c r="T3214" i="25"/>
  <c r="J3266" i="25"/>
  <c r="U3265" i="25"/>
  <c r="K3215" i="25"/>
  <c r="V3215" i="25" l="1"/>
  <c r="K3216" i="25"/>
  <c r="T3215" i="25"/>
  <c r="J3267" i="25"/>
  <c r="U3266" i="25"/>
  <c r="V3216" i="25" l="1"/>
  <c r="T3216" i="25"/>
  <c r="J3268" i="25"/>
  <c r="U3267" i="25"/>
  <c r="K3217" i="25"/>
  <c r="V3217" i="25" l="1"/>
  <c r="T3217" i="25"/>
  <c r="J3269" i="25"/>
  <c r="U3268" i="25"/>
  <c r="K3218" i="25"/>
  <c r="V3218" i="25" l="1"/>
  <c r="K3219" i="25"/>
  <c r="T3218" i="25"/>
  <c r="J3270" i="25"/>
  <c r="U3269" i="25"/>
  <c r="V3219" i="25" l="1"/>
  <c r="T3219" i="25"/>
  <c r="J3271" i="25"/>
  <c r="U3270" i="25"/>
  <c r="K3220" i="25"/>
  <c r="V3220" i="25" l="1"/>
  <c r="T3220" i="25"/>
  <c r="J3272" i="25"/>
  <c r="U3271" i="25"/>
  <c r="K3221" i="25"/>
  <c r="V3221" i="25" l="1"/>
  <c r="T3221" i="25"/>
  <c r="J3273" i="25"/>
  <c r="U3272" i="25"/>
  <c r="K3222" i="25"/>
  <c r="V3222" i="25" l="1"/>
  <c r="T3222" i="25"/>
  <c r="J3274" i="25"/>
  <c r="U3273" i="25"/>
  <c r="K3223" i="25"/>
  <c r="V3223" i="25" l="1"/>
  <c r="T3223" i="25"/>
  <c r="J3275" i="25"/>
  <c r="U3274" i="25"/>
  <c r="K3224" i="25"/>
  <c r="V3224" i="25" l="1"/>
  <c r="T3224" i="25"/>
  <c r="J3276" i="25"/>
  <c r="U3275" i="25"/>
  <c r="K3225" i="25"/>
  <c r="V3225" i="25" l="1"/>
  <c r="K3226" i="25"/>
  <c r="T3225" i="25"/>
  <c r="J3277" i="25"/>
  <c r="U3276" i="25"/>
  <c r="V3226" i="25" l="1"/>
  <c r="T3226" i="25"/>
  <c r="J3278" i="25"/>
  <c r="U3277" i="25"/>
  <c r="K3227" i="25"/>
  <c r="V3227" i="25" l="1"/>
  <c r="K3228" i="25"/>
  <c r="T3227" i="25"/>
  <c r="J3279" i="25"/>
  <c r="U3278" i="25"/>
  <c r="V3228" i="25" l="1"/>
  <c r="T3228" i="25"/>
  <c r="J3280" i="25"/>
  <c r="U3279" i="25"/>
  <c r="K3229" i="25"/>
  <c r="V3229" i="25" l="1"/>
  <c r="K3230" i="25"/>
  <c r="T3229" i="25"/>
  <c r="J3281" i="25"/>
  <c r="U3280" i="25"/>
  <c r="V3230" i="25" l="1"/>
  <c r="T3230" i="25"/>
  <c r="J3282" i="25"/>
  <c r="U3281" i="25"/>
  <c r="K3231" i="25"/>
  <c r="V3231" i="25" l="1"/>
  <c r="K3232" i="25"/>
  <c r="T3231" i="25"/>
  <c r="J3283" i="25"/>
  <c r="U3282" i="25"/>
  <c r="V3232" i="25" l="1"/>
  <c r="T3232" i="25"/>
  <c r="J3284" i="25"/>
  <c r="U3283" i="25"/>
  <c r="K3233" i="25"/>
  <c r="V3233" i="25" l="1"/>
  <c r="K3234" i="25"/>
  <c r="T3233" i="25"/>
  <c r="J3285" i="25"/>
  <c r="U3284" i="25"/>
  <c r="V3234" i="25" l="1"/>
  <c r="T3234" i="25"/>
  <c r="J3286" i="25"/>
  <c r="U3285" i="25"/>
  <c r="K3235" i="25"/>
  <c r="V3235" i="25" l="1"/>
  <c r="K3236" i="25"/>
  <c r="T3235" i="25"/>
  <c r="J3287" i="25"/>
  <c r="U3286" i="25"/>
  <c r="V3236" i="25" l="1"/>
  <c r="T3236" i="25"/>
  <c r="J3288" i="25"/>
  <c r="U3287" i="25"/>
  <c r="K3237" i="25"/>
  <c r="V3237" i="25" l="1"/>
  <c r="K3238" i="25"/>
  <c r="T3237" i="25"/>
  <c r="J3289" i="25"/>
  <c r="U3288" i="25"/>
  <c r="V3238" i="25" l="1"/>
  <c r="T3238" i="25"/>
  <c r="J3290" i="25"/>
  <c r="U3289" i="25"/>
  <c r="K3239" i="25"/>
  <c r="V3239" i="25" l="1"/>
  <c r="T3239" i="25"/>
  <c r="J3291" i="25"/>
  <c r="U3290" i="25"/>
  <c r="K3240" i="25"/>
  <c r="V3240" i="25" l="1"/>
  <c r="T3240" i="25"/>
  <c r="J3292" i="25"/>
  <c r="U3291" i="25"/>
  <c r="K3241" i="25"/>
  <c r="V3241" i="25" l="1"/>
  <c r="T3241" i="25"/>
  <c r="J3293" i="25"/>
  <c r="U3292" i="25"/>
  <c r="K3242" i="25"/>
  <c r="V3242" i="25" l="1"/>
  <c r="K3243" i="25"/>
  <c r="T3242" i="25"/>
  <c r="J3294" i="25"/>
  <c r="U3293" i="25"/>
  <c r="V3243" i="25" l="1"/>
  <c r="T3243" i="25"/>
  <c r="J3295" i="25"/>
  <c r="U3294" i="25"/>
  <c r="K3244" i="25"/>
  <c r="V3244" i="25" l="1"/>
  <c r="T3244" i="25"/>
  <c r="J3296" i="25"/>
  <c r="U3295" i="25"/>
  <c r="K3245" i="25"/>
  <c r="V3245" i="25" l="1"/>
  <c r="K3246" i="25"/>
  <c r="T3245" i="25"/>
  <c r="J3297" i="25"/>
  <c r="U3296" i="25"/>
  <c r="V3246" i="25" l="1"/>
  <c r="T3246" i="25"/>
  <c r="J3298" i="25"/>
  <c r="U3297" i="25"/>
  <c r="K3247" i="25"/>
  <c r="V3247" i="25" l="1"/>
  <c r="K3248" i="25"/>
  <c r="T3247" i="25"/>
  <c r="J3299" i="25"/>
  <c r="U3298" i="25"/>
  <c r="V3248" i="25" l="1"/>
  <c r="T3248" i="25"/>
  <c r="J3300" i="25"/>
  <c r="U3299" i="25"/>
  <c r="K3249" i="25"/>
  <c r="V3249" i="25" l="1"/>
  <c r="T3249" i="25"/>
  <c r="J3301" i="25"/>
  <c r="U3300" i="25"/>
  <c r="K3250" i="25"/>
  <c r="V3250" i="25" l="1"/>
  <c r="T3250" i="25"/>
  <c r="J3302" i="25"/>
  <c r="U3301" i="25"/>
  <c r="K3251" i="25"/>
  <c r="V3251" i="25" l="1"/>
  <c r="K3252" i="25"/>
  <c r="T3251" i="25"/>
  <c r="J3303" i="25"/>
  <c r="U3302" i="25"/>
  <c r="V3252" i="25" l="1"/>
  <c r="T3252" i="25"/>
  <c r="J3304" i="25"/>
  <c r="U3303" i="25"/>
  <c r="K3254" i="25" l="1"/>
  <c r="T3253" i="25"/>
  <c r="K3253" i="25"/>
  <c r="V3253" i="25" s="1"/>
  <c r="J3305" i="25"/>
  <c r="U3304" i="25"/>
  <c r="V3254" i="25" l="1"/>
  <c r="T3254" i="25"/>
  <c r="J3306" i="25"/>
  <c r="U3305" i="25"/>
  <c r="K3255" i="25"/>
  <c r="V3255" i="25" l="1"/>
  <c r="T3255" i="25"/>
  <c r="J3307" i="25"/>
  <c r="U3306" i="25"/>
  <c r="K3256" i="25"/>
  <c r="V3256" i="25" l="1"/>
  <c r="T3256" i="25"/>
  <c r="J3308" i="25"/>
  <c r="U3307" i="25"/>
  <c r="K3257" i="25"/>
  <c r="V3257" i="25" l="1"/>
  <c r="K3258" i="25"/>
  <c r="T3257" i="25"/>
  <c r="J3309" i="25"/>
  <c r="U3308" i="25"/>
  <c r="V3258" i="25" l="1"/>
  <c r="K3259" i="25"/>
  <c r="T3258" i="25"/>
  <c r="J3310" i="25"/>
  <c r="U3309" i="25"/>
  <c r="V3259" i="25" l="1"/>
  <c r="T3259" i="25"/>
  <c r="J3311" i="25"/>
  <c r="U3310" i="25"/>
  <c r="K3260" i="25"/>
  <c r="V3260" i="25" l="1"/>
  <c r="T3260" i="25"/>
  <c r="J3312" i="25"/>
  <c r="U3311" i="25"/>
  <c r="K3261" i="25"/>
  <c r="V3261" i="25" l="1"/>
  <c r="T3261" i="25"/>
  <c r="J3313" i="25"/>
  <c r="U3312" i="25"/>
  <c r="K3262" i="25"/>
  <c r="V3262" i="25" l="1"/>
  <c r="T3262" i="25"/>
  <c r="J3314" i="25"/>
  <c r="U3313" i="25"/>
  <c r="K3263" i="25"/>
  <c r="V3263" i="25" l="1"/>
  <c r="T3263" i="25"/>
  <c r="J3315" i="25"/>
  <c r="U3314" i="25"/>
  <c r="K3264" i="25"/>
  <c r="V3264" i="25" l="1"/>
  <c r="T3264" i="25"/>
  <c r="J3316" i="25"/>
  <c r="U3315" i="25"/>
  <c r="K3265" i="25"/>
  <c r="V3265" i="25" l="1"/>
  <c r="T3265" i="25"/>
  <c r="J3317" i="25"/>
  <c r="U3316" i="25"/>
  <c r="K3266" i="25"/>
  <c r="V3266" i="25" l="1"/>
  <c r="T3266" i="25"/>
  <c r="J3318" i="25"/>
  <c r="U3317" i="25"/>
  <c r="K3267" i="25"/>
  <c r="V3267" i="25" l="1"/>
  <c r="T3267" i="25"/>
  <c r="J3319" i="25"/>
  <c r="U3318" i="25"/>
  <c r="K3268" i="25"/>
  <c r="V3268" i="25" l="1"/>
  <c r="K3269" i="25"/>
  <c r="T3268" i="25"/>
  <c r="J3320" i="25"/>
  <c r="U3319" i="25"/>
  <c r="V3269" i="25" l="1"/>
  <c r="T3269" i="25"/>
  <c r="J3321" i="25"/>
  <c r="U3320" i="25"/>
  <c r="K3270" i="25"/>
  <c r="V3270" i="25" l="1"/>
  <c r="T3270" i="25"/>
  <c r="J3322" i="25"/>
  <c r="U3321" i="25"/>
  <c r="K3271" i="25"/>
  <c r="V3271" i="25" l="1"/>
  <c r="T3271" i="25"/>
  <c r="J3323" i="25"/>
  <c r="U3322" i="25"/>
  <c r="K3272" i="25"/>
  <c r="V3272" i="25" l="1"/>
  <c r="T3272" i="25"/>
  <c r="J3324" i="25"/>
  <c r="U3323" i="25"/>
  <c r="K3273" i="25"/>
  <c r="V3273" i="25" l="1"/>
  <c r="T3273" i="25"/>
  <c r="J3325" i="25"/>
  <c r="U3324" i="25"/>
  <c r="K3274" i="25"/>
  <c r="V3274" i="25" l="1"/>
  <c r="T3274" i="25"/>
  <c r="J3326" i="25"/>
  <c r="U3325" i="25"/>
  <c r="K3275" i="25"/>
  <c r="V3275" i="25" l="1"/>
  <c r="T3275" i="25"/>
  <c r="J3327" i="25"/>
  <c r="U3326" i="25"/>
  <c r="K3276" i="25"/>
  <c r="V3276" i="25" l="1"/>
  <c r="T3276" i="25"/>
  <c r="J3328" i="25"/>
  <c r="U3327" i="25"/>
  <c r="K3277" i="25"/>
  <c r="V3277" i="25" l="1"/>
  <c r="T3277" i="25"/>
  <c r="J3329" i="25"/>
  <c r="U3328" i="25"/>
  <c r="K3278" i="25"/>
  <c r="V3278" i="25" l="1"/>
  <c r="T3278" i="25"/>
  <c r="J3330" i="25"/>
  <c r="U3329" i="25"/>
  <c r="K3279" i="25"/>
  <c r="V3279" i="25" l="1"/>
  <c r="T3279" i="25"/>
  <c r="J3331" i="25"/>
  <c r="U3330" i="25"/>
  <c r="K3280" i="25"/>
  <c r="V3280" i="25" l="1"/>
  <c r="T3280" i="25"/>
  <c r="J3332" i="25"/>
  <c r="U3331" i="25"/>
  <c r="K3281" i="25"/>
  <c r="V3281" i="25" l="1"/>
  <c r="K3282" i="25"/>
  <c r="T3281" i="25"/>
  <c r="J3333" i="25"/>
  <c r="U3332" i="25"/>
  <c r="V3282" i="25" l="1"/>
  <c r="T3282" i="25"/>
  <c r="J3334" i="25"/>
  <c r="U3333" i="25"/>
  <c r="K3283" i="25"/>
  <c r="V3283" i="25" l="1"/>
  <c r="T3283" i="25"/>
  <c r="J3335" i="25"/>
  <c r="U3334" i="25"/>
  <c r="T3284" i="25" l="1"/>
  <c r="K3284" i="25"/>
  <c r="V3284" i="25" s="1"/>
  <c r="J3336" i="25"/>
  <c r="U3335" i="25"/>
  <c r="K3285" i="25"/>
  <c r="V3285" i="25" l="1"/>
  <c r="T3285" i="25"/>
  <c r="J3337" i="25"/>
  <c r="U3336" i="25"/>
  <c r="K3286" i="25"/>
  <c r="V3286" i="25" l="1"/>
  <c r="T3286" i="25"/>
  <c r="J3338" i="25"/>
  <c r="U3337" i="25"/>
  <c r="K3287" i="25"/>
  <c r="V3287" i="25" l="1"/>
  <c r="T3287" i="25"/>
  <c r="J3339" i="25"/>
  <c r="U3338" i="25"/>
  <c r="K3288" i="25"/>
  <c r="V3288" i="25" l="1"/>
  <c r="T3288" i="25"/>
  <c r="J3340" i="25"/>
  <c r="U3339" i="25"/>
  <c r="K3289" i="25"/>
  <c r="V3289" i="25" l="1"/>
  <c r="K3290" i="25"/>
  <c r="T3289" i="25"/>
  <c r="J3341" i="25"/>
  <c r="U3340" i="25"/>
  <c r="V3290" i="25" l="1"/>
  <c r="T3290" i="25"/>
  <c r="J3342" i="25"/>
  <c r="U3341" i="25"/>
  <c r="K3291" i="25"/>
  <c r="V3291" i="25" l="1"/>
  <c r="T3291" i="25"/>
  <c r="J3343" i="25"/>
  <c r="U3342" i="25"/>
  <c r="K3292" i="25"/>
  <c r="V3292" i="25" l="1"/>
  <c r="T3292" i="25"/>
  <c r="J3344" i="25"/>
  <c r="U3343" i="25"/>
  <c r="K3293" i="25"/>
  <c r="V3293" i="25" l="1"/>
  <c r="T3293" i="25"/>
  <c r="J3345" i="25"/>
  <c r="U3344" i="25"/>
  <c r="K3294" i="25"/>
  <c r="V3294" i="25" l="1"/>
  <c r="K3295" i="25"/>
  <c r="T3294" i="25"/>
  <c r="J3346" i="25"/>
  <c r="U3345" i="25"/>
  <c r="V3295" i="25" l="1"/>
  <c r="T3295" i="25"/>
  <c r="J3347" i="25"/>
  <c r="U3346" i="25"/>
  <c r="K3296" i="25"/>
  <c r="V3296" i="25" l="1"/>
  <c r="T3296" i="25"/>
  <c r="J3348" i="25"/>
  <c r="U3347" i="25"/>
  <c r="K3297" i="25"/>
  <c r="V3297" i="25" l="1"/>
  <c r="T3297" i="25"/>
  <c r="J3349" i="25"/>
  <c r="U3348" i="25"/>
  <c r="T3298" i="25" l="1"/>
  <c r="K3298" i="25"/>
  <c r="V3298" i="25" s="1"/>
  <c r="J3350" i="25"/>
  <c r="U3349" i="25"/>
  <c r="K3299" i="25"/>
  <c r="V3299" i="25" l="1"/>
  <c r="T3299" i="25"/>
  <c r="J3351" i="25"/>
  <c r="U3350" i="25"/>
  <c r="K3300" i="25"/>
  <c r="V3300" i="25" l="1"/>
  <c r="T3300" i="25"/>
  <c r="J3352" i="25"/>
  <c r="U3351" i="25"/>
  <c r="K3301" i="25"/>
  <c r="V3301" i="25" l="1"/>
  <c r="T3301" i="25"/>
  <c r="J3353" i="25"/>
  <c r="U3352" i="25"/>
  <c r="K3302" i="25"/>
  <c r="V3302" i="25" l="1"/>
  <c r="T3302" i="25"/>
  <c r="J3354" i="25"/>
  <c r="U3353" i="25"/>
  <c r="K3303" i="25"/>
  <c r="V3303" i="25" l="1"/>
  <c r="K3304" i="25"/>
  <c r="T3303" i="25"/>
  <c r="J3355" i="25"/>
  <c r="U3354" i="25"/>
  <c r="V3304" i="25" l="1"/>
  <c r="T3304" i="25"/>
  <c r="J3356" i="25"/>
  <c r="U3355" i="25"/>
  <c r="K3305" i="25"/>
  <c r="V3305" i="25" l="1"/>
  <c r="K3306" i="25"/>
  <c r="T3305" i="25"/>
  <c r="J3357" i="25"/>
  <c r="U3356" i="25"/>
  <c r="V3306" i="25" l="1"/>
  <c r="T3306" i="25"/>
  <c r="J3358" i="25"/>
  <c r="U3357" i="25"/>
  <c r="K3307" i="25"/>
  <c r="V3307" i="25" l="1"/>
  <c r="K3308" i="25"/>
  <c r="T3307" i="25"/>
  <c r="J3359" i="25"/>
  <c r="U3358" i="25"/>
  <c r="V3308" i="25" l="1"/>
  <c r="T3308" i="25"/>
  <c r="J3360" i="25"/>
  <c r="U3359" i="25"/>
  <c r="K3309" i="25"/>
  <c r="V3309" i="25" l="1"/>
  <c r="K3310" i="25"/>
  <c r="T3309" i="25"/>
  <c r="J3361" i="25"/>
  <c r="U3360" i="25"/>
  <c r="V3310" i="25" l="1"/>
  <c r="T3310" i="25"/>
  <c r="J3362" i="25"/>
  <c r="U3361" i="25"/>
  <c r="K3311" i="25"/>
  <c r="V3311" i="25" l="1"/>
  <c r="K3312" i="25"/>
  <c r="T3311" i="25"/>
  <c r="J3363" i="25"/>
  <c r="U3362" i="25"/>
  <c r="V3312" i="25" l="1"/>
  <c r="T3312" i="25"/>
  <c r="J3364" i="25"/>
  <c r="U3363" i="25"/>
  <c r="K3313" i="25"/>
  <c r="V3313" i="25" l="1"/>
  <c r="T3313" i="25"/>
  <c r="J3365" i="25"/>
  <c r="U3364" i="25"/>
  <c r="K3314" i="25"/>
  <c r="V3314" i="25" l="1"/>
  <c r="T3314" i="25"/>
  <c r="J3366" i="25"/>
  <c r="U3365" i="25"/>
  <c r="K3315" i="25"/>
  <c r="V3315" i="25" l="1"/>
  <c r="T3315" i="25"/>
  <c r="J3367" i="25"/>
  <c r="U3366" i="25"/>
  <c r="K3316" i="25"/>
  <c r="V3316" i="25" l="1"/>
  <c r="K3317" i="25"/>
  <c r="T3316" i="25"/>
  <c r="J3368" i="25"/>
  <c r="U3367" i="25"/>
  <c r="V3317" i="25" l="1"/>
  <c r="T3317" i="25"/>
  <c r="J3369" i="25"/>
  <c r="U3368" i="25"/>
  <c r="K3318" i="25"/>
  <c r="V3318" i="25" l="1"/>
  <c r="T3318" i="25"/>
  <c r="J3370" i="25"/>
  <c r="U3369" i="25"/>
  <c r="K3319" i="25"/>
  <c r="V3319" i="25" l="1"/>
  <c r="T3319" i="25"/>
  <c r="J3371" i="25"/>
  <c r="U3370" i="25"/>
  <c r="K3320" i="25"/>
  <c r="V3320" i="25" l="1"/>
  <c r="T3320" i="25"/>
  <c r="J3372" i="25"/>
  <c r="U3371" i="25"/>
  <c r="K3321" i="25"/>
  <c r="V3321" i="25" l="1"/>
  <c r="T3321" i="25"/>
  <c r="J3373" i="25"/>
  <c r="U3372" i="25"/>
  <c r="K3322" i="25"/>
  <c r="V3322" i="25" l="1"/>
  <c r="T3322" i="25"/>
  <c r="J3374" i="25"/>
  <c r="U3373" i="25"/>
  <c r="K3323" i="25"/>
  <c r="V3323" i="25" l="1"/>
  <c r="T3323" i="25"/>
  <c r="J3375" i="25"/>
  <c r="U3374" i="25"/>
  <c r="K3324" i="25"/>
  <c r="V3324" i="25" l="1"/>
  <c r="K3325" i="25"/>
  <c r="T3324" i="25"/>
  <c r="J3376" i="25"/>
  <c r="U3375" i="25"/>
  <c r="V3325" i="25" l="1"/>
  <c r="T3325" i="25"/>
  <c r="J3377" i="25"/>
  <c r="U3376" i="25"/>
  <c r="K3326" i="25"/>
  <c r="V3326" i="25" l="1"/>
  <c r="T3326" i="25"/>
  <c r="J3378" i="25"/>
  <c r="U3377" i="25"/>
  <c r="K3327" i="25"/>
  <c r="V3327" i="25" l="1"/>
  <c r="T3327" i="25"/>
  <c r="J3379" i="25"/>
  <c r="U3378" i="25"/>
  <c r="K3328" i="25"/>
  <c r="V3328" i="25" l="1"/>
  <c r="T3328" i="25"/>
  <c r="J3380" i="25"/>
  <c r="U3379" i="25"/>
  <c r="K3329" i="25"/>
  <c r="V3329" i="25" l="1"/>
  <c r="T3329" i="25"/>
  <c r="J3381" i="25"/>
  <c r="U3380" i="25"/>
  <c r="K3330" i="25"/>
  <c r="V3330" i="25" l="1"/>
  <c r="T3330" i="25"/>
  <c r="J3382" i="25"/>
  <c r="U3381" i="25"/>
  <c r="K3331" i="25"/>
  <c r="V3331" i="25" l="1"/>
  <c r="T3331" i="25"/>
  <c r="J3383" i="25"/>
  <c r="U3382" i="25"/>
  <c r="K3332" i="25"/>
  <c r="V3332" i="25" l="1"/>
  <c r="T3332" i="25"/>
  <c r="J3384" i="25"/>
  <c r="U3383" i="25"/>
  <c r="K3333" i="25"/>
  <c r="V3333" i="25" l="1"/>
  <c r="K3334" i="25"/>
  <c r="T3333" i="25"/>
  <c r="J3385" i="25"/>
  <c r="U3384" i="25"/>
  <c r="V3334" i="25" l="1"/>
  <c r="T3334" i="25"/>
  <c r="J3386" i="25"/>
  <c r="U3385" i="25"/>
  <c r="K3335" i="25"/>
  <c r="V3335" i="25" l="1"/>
  <c r="K3336" i="25"/>
  <c r="T3335" i="25"/>
  <c r="J3387" i="25"/>
  <c r="U3386" i="25"/>
  <c r="V3336" i="25" l="1"/>
  <c r="T3336" i="25"/>
  <c r="J3388" i="25"/>
  <c r="U3387" i="25"/>
  <c r="K3337" i="25"/>
  <c r="V3337" i="25" l="1"/>
  <c r="K3338" i="25"/>
  <c r="T3337" i="25"/>
  <c r="J3389" i="25"/>
  <c r="U3388" i="25"/>
  <c r="V3338" i="25" l="1"/>
  <c r="T3338" i="25"/>
  <c r="J3390" i="25"/>
  <c r="U3389" i="25"/>
  <c r="K3339" i="25"/>
  <c r="V3339" i="25" l="1"/>
  <c r="T3339" i="25"/>
  <c r="J3391" i="25"/>
  <c r="U3390" i="25"/>
  <c r="K3340" i="25"/>
  <c r="V3340" i="25" l="1"/>
  <c r="K3341" i="25"/>
  <c r="T3340" i="25"/>
  <c r="J3392" i="25"/>
  <c r="U3391" i="25"/>
  <c r="V3341" i="25" l="1"/>
  <c r="T3341" i="25"/>
  <c r="J3393" i="25"/>
  <c r="U3392" i="25"/>
  <c r="K3342" i="25"/>
  <c r="V3342" i="25" l="1"/>
  <c r="K3343" i="25"/>
  <c r="T3342" i="25"/>
  <c r="J3394" i="25"/>
  <c r="U3393" i="25"/>
  <c r="V3343" i="25" l="1"/>
  <c r="T3343" i="25"/>
  <c r="J3395" i="25"/>
  <c r="U3394" i="25"/>
  <c r="K3344" i="25"/>
  <c r="V3344" i="25" l="1"/>
  <c r="T3344" i="25"/>
  <c r="J3396" i="25"/>
  <c r="U3395" i="25"/>
  <c r="K3345" i="25"/>
  <c r="V3345" i="25" l="1"/>
  <c r="T3345" i="25"/>
  <c r="J3397" i="25"/>
  <c r="U3396" i="25"/>
  <c r="K3346" i="25"/>
  <c r="V3346" i="25" l="1"/>
  <c r="T3346" i="25"/>
  <c r="J3398" i="25"/>
  <c r="U3397" i="25"/>
  <c r="K3347" i="25"/>
  <c r="V3347" i="25" l="1"/>
  <c r="T3347" i="25"/>
  <c r="J3399" i="25"/>
  <c r="U3398" i="25"/>
  <c r="K3348" i="25"/>
  <c r="V3348" i="25" l="1"/>
  <c r="T3348" i="25"/>
  <c r="J3400" i="25"/>
  <c r="U3399" i="25"/>
  <c r="K3349" i="25"/>
  <c r="V3349" i="25" l="1"/>
  <c r="T3349" i="25"/>
  <c r="J3401" i="25"/>
  <c r="U3400" i="25"/>
  <c r="K3350" i="25"/>
  <c r="V3350" i="25" l="1"/>
  <c r="K3351" i="25"/>
  <c r="T3350" i="25"/>
  <c r="J3402" i="25"/>
  <c r="U3401" i="25"/>
  <c r="V3351" i="25" l="1"/>
  <c r="T3351" i="25"/>
  <c r="J3403" i="25"/>
  <c r="U3402" i="25"/>
  <c r="K3352" i="25"/>
  <c r="V3352" i="25" l="1"/>
  <c r="T3352" i="25"/>
  <c r="J3404" i="25"/>
  <c r="U3403" i="25"/>
  <c r="K3353" i="25"/>
  <c r="V3353" i="25" l="1"/>
  <c r="T3353" i="25"/>
  <c r="J3405" i="25"/>
  <c r="U3404" i="25"/>
  <c r="K3354" i="25"/>
  <c r="V3354" i="25" l="1"/>
  <c r="T3354" i="25"/>
  <c r="J3406" i="25"/>
  <c r="U3405" i="25"/>
  <c r="K3355" i="25"/>
  <c r="V3355" i="25" l="1"/>
  <c r="T3355" i="25"/>
  <c r="J3407" i="25"/>
  <c r="U3406" i="25"/>
  <c r="K3356" i="25"/>
  <c r="V3356" i="25" l="1"/>
  <c r="T3356" i="25"/>
  <c r="J3408" i="25"/>
  <c r="U3407" i="25"/>
  <c r="K3357" i="25"/>
  <c r="V3357" i="25" l="1"/>
  <c r="K3358" i="25"/>
  <c r="T3357" i="25"/>
  <c r="J3409" i="25"/>
  <c r="U3408" i="25"/>
  <c r="V3358" i="25" l="1"/>
  <c r="T3358" i="25"/>
  <c r="J3410" i="25"/>
  <c r="U3409" i="25"/>
  <c r="K3359" i="25"/>
  <c r="V3359" i="25" l="1"/>
  <c r="K3360" i="25"/>
  <c r="T3359" i="25"/>
  <c r="J3411" i="25"/>
  <c r="U3410" i="25"/>
  <c r="V3360" i="25" l="1"/>
  <c r="T3360" i="25"/>
  <c r="J3412" i="25"/>
  <c r="U3411" i="25"/>
  <c r="K3361" i="25"/>
  <c r="V3361" i="25" l="1"/>
  <c r="T3361" i="25"/>
  <c r="J3413" i="25"/>
  <c r="U3412" i="25"/>
  <c r="K3362" i="25"/>
  <c r="V3362" i="25" l="1"/>
  <c r="T3362" i="25"/>
  <c r="J3414" i="25"/>
  <c r="U3413" i="25"/>
  <c r="K3363" i="25"/>
  <c r="V3363" i="25" l="1"/>
  <c r="T3363" i="25"/>
  <c r="J3415" i="25"/>
  <c r="U3414" i="25"/>
  <c r="K3364" i="25"/>
  <c r="V3364" i="25" l="1"/>
  <c r="T3364" i="25"/>
  <c r="J3416" i="25"/>
  <c r="U3415" i="25"/>
  <c r="K3365" i="25"/>
  <c r="V3365" i="25" l="1"/>
  <c r="T3365" i="25"/>
  <c r="J3417" i="25"/>
  <c r="U3416" i="25"/>
  <c r="K3366" i="25"/>
  <c r="V3366" i="25" l="1"/>
  <c r="K3367" i="25"/>
  <c r="T3366" i="25"/>
  <c r="J3418" i="25"/>
  <c r="U3417" i="25"/>
  <c r="V3367" i="25" l="1"/>
  <c r="T3367" i="25"/>
  <c r="J3419" i="25"/>
  <c r="U3418" i="25"/>
  <c r="K3368" i="25"/>
  <c r="V3368" i="25" l="1"/>
  <c r="K3369" i="25"/>
  <c r="T3368" i="25"/>
  <c r="J3420" i="25"/>
  <c r="U3419" i="25"/>
  <c r="V3369" i="25" l="1"/>
  <c r="T3369" i="25"/>
  <c r="J3421" i="25"/>
  <c r="U3420" i="25"/>
  <c r="K3370" i="25"/>
  <c r="V3370" i="25" l="1"/>
  <c r="K3371" i="25"/>
  <c r="T3370" i="25"/>
  <c r="J3422" i="25"/>
  <c r="U3421" i="25"/>
  <c r="V3371" i="25" l="1"/>
  <c r="T3371" i="25"/>
  <c r="J3423" i="25"/>
  <c r="U3422" i="25"/>
  <c r="K3372" i="25"/>
  <c r="V3372" i="25" l="1"/>
  <c r="K3373" i="25"/>
  <c r="T3372" i="25"/>
  <c r="J3424" i="25"/>
  <c r="U3423" i="25"/>
  <c r="V3373" i="25" l="1"/>
  <c r="T3373" i="25"/>
  <c r="J3425" i="25"/>
  <c r="U3424" i="25"/>
  <c r="K3374" i="25"/>
  <c r="V3374" i="25" l="1"/>
  <c r="K3375" i="25"/>
  <c r="T3374" i="25"/>
  <c r="J3426" i="25"/>
  <c r="U3425" i="25"/>
  <c r="V3375" i="25" l="1"/>
  <c r="T3375" i="25"/>
  <c r="J3427" i="25"/>
  <c r="U3426" i="25"/>
  <c r="K3376" i="25"/>
  <c r="V3376" i="25" l="1"/>
  <c r="K3377" i="25"/>
  <c r="T3376" i="25"/>
  <c r="J3428" i="25"/>
  <c r="U3427" i="25"/>
  <c r="V3377" i="25" l="1"/>
  <c r="T3377" i="25"/>
  <c r="J3429" i="25"/>
  <c r="U3428" i="25"/>
  <c r="K3378" i="25"/>
  <c r="V3378" i="25" l="1"/>
  <c r="T3378" i="25"/>
  <c r="J3430" i="25"/>
  <c r="U3429" i="25"/>
  <c r="K3379" i="25"/>
  <c r="V3379" i="25" l="1"/>
  <c r="T3379" i="25"/>
  <c r="J3431" i="25"/>
  <c r="U3430" i="25"/>
  <c r="K3380" i="25"/>
  <c r="V3380" i="25" l="1"/>
  <c r="K3381" i="25"/>
  <c r="T3380" i="25"/>
  <c r="J3432" i="25"/>
  <c r="U3431" i="25"/>
  <c r="V3381" i="25" l="1"/>
  <c r="T3381" i="25"/>
  <c r="J3433" i="25"/>
  <c r="U3432" i="25"/>
  <c r="K3382" i="25"/>
  <c r="V3382" i="25" l="1"/>
  <c r="T3382" i="25"/>
  <c r="J3434" i="25"/>
  <c r="U3433" i="25"/>
  <c r="K3383" i="25"/>
  <c r="V3383" i="25" l="1"/>
  <c r="T3383" i="25"/>
  <c r="J3435" i="25"/>
  <c r="U3434" i="25"/>
  <c r="K3384" i="25"/>
  <c r="V3384" i="25" l="1"/>
  <c r="K3385" i="25"/>
  <c r="T3384" i="25"/>
  <c r="J3436" i="25"/>
  <c r="U3435" i="25"/>
  <c r="V3385" i="25" l="1"/>
  <c r="T3385" i="25"/>
  <c r="J3437" i="25"/>
  <c r="U3436" i="25"/>
  <c r="K3386" i="25"/>
  <c r="V3386" i="25" l="1"/>
  <c r="T3386" i="25"/>
  <c r="J3438" i="25"/>
  <c r="U3437" i="25"/>
  <c r="K3387" i="25"/>
  <c r="V3387" i="25" l="1"/>
  <c r="T3387" i="25"/>
  <c r="J3439" i="25"/>
  <c r="U3438" i="25"/>
  <c r="K3388" i="25"/>
  <c r="V3388" i="25" l="1"/>
  <c r="K3389" i="25"/>
  <c r="T3388" i="25"/>
  <c r="J3440" i="25"/>
  <c r="U3439" i="25"/>
  <c r="V3389" i="25" l="1"/>
  <c r="T3389" i="25"/>
  <c r="J3441" i="25"/>
  <c r="U3440" i="25"/>
  <c r="K3390" i="25"/>
  <c r="V3390" i="25" l="1"/>
  <c r="T3390" i="25"/>
  <c r="J3442" i="25"/>
  <c r="U3441" i="25"/>
  <c r="K3391" i="25"/>
  <c r="V3391" i="25" l="1"/>
  <c r="K3392" i="25"/>
  <c r="T3391" i="25"/>
  <c r="J3443" i="25"/>
  <c r="U3442" i="25"/>
  <c r="V3392" i="25" l="1"/>
  <c r="T3392" i="25"/>
  <c r="J3444" i="25"/>
  <c r="U3443" i="25"/>
  <c r="K3393" i="25"/>
  <c r="V3393" i="25" l="1"/>
  <c r="T3393" i="25"/>
  <c r="J3445" i="25"/>
  <c r="U3444" i="25"/>
  <c r="T3394" i="25" l="1"/>
  <c r="K3394" i="25"/>
  <c r="V3394" i="25" s="1"/>
  <c r="J3446" i="25"/>
  <c r="U3445" i="25"/>
  <c r="K3395" i="25"/>
  <c r="V3395" i="25" l="1"/>
  <c r="T3395" i="25"/>
  <c r="J3447" i="25"/>
  <c r="U3446" i="25"/>
  <c r="K3396" i="25"/>
  <c r="V3396" i="25" l="1"/>
  <c r="T3396" i="25"/>
  <c r="J3448" i="25"/>
  <c r="U3447" i="25"/>
  <c r="K3397" i="25"/>
  <c r="V3397" i="25" l="1"/>
  <c r="K3398" i="25"/>
  <c r="T3397" i="25"/>
  <c r="J3449" i="25"/>
  <c r="U3448" i="25"/>
  <c r="V3398" i="25" l="1"/>
  <c r="T3398" i="25"/>
  <c r="J3450" i="25"/>
  <c r="U3449" i="25"/>
  <c r="K3399" i="25"/>
  <c r="V3399" i="25" l="1"/>
  <c r="T3399" i="25"/>
  <c r="J3451" i="25"/>
  <c r="U3450" i="25"/>
  <c r="K3400" i="25"/>
  <c r="V3400" i="25" l="1"/>
  <c r="T3400" i="25"/>
  <c r="J3452" i="25"/>
  <c r="U3451" i="25"/>
  <c r="K3401" i="25"/>
  <c r="V3401" i="25" l="1"/>
  <c r="K3402" i="25"/>
  <c r="T3401" i="25"/>
  <c r="J3453" i="25"/>
  <c r="U3452" i="25"/>
  <c r="V3402" i="25" l="1"/>
  <c r="T3402" i="25"/>
  <c r="J3454" i="25"/>
  <c r="U3453" i="25"/>
  <c r="K3403" i="25"/>
  <c r="V3403" i="25" l="1"/>
  <c r="K3404" i="25"/>
  <c r="T3403" i="25"/>
  <c r="J3455" i="25"/>
  <c r="U3454" i="25"/>
  <c r="V3404" i="25" l="1"/>
  <c r="T3404" i="25"/>
  <c r="J3456" i="25"/>
  <c r="U3455" i="25"/>
  <c r="K3405" i="25"/>
  <c r="V3405" i="25" l="1"/>
  <c r="K3406" i="25"/>
  <c r="T3405" i="25"/>
  <c r="J3457" i="25"/>
  <c r="U3456" i="25"/>
  <c r="V3406" i="25" l="1"/>
  <c r="T3406" i="25"/>
  <c r="J3458" i="25"/>
  <c r="U3457" i="25"/>
  <c r="K3407" i="25"/>
  <c r="V3407" i="25" l="1"/>
  <c r="K3408" i="25"/>
  <c r="T3407" i="25"/>
  <c r="J3459" i="25"/>
  <c r="U3458" i="25"/>
  <c r="V3408" i="25" l="1"/>
  <c r="T3408" i="25"/>
  <c r="J3460" i="25"/>
  <c r="U3459" i="25"/>
  <c r="K3409" i="25"/>
  <c r="V3409" i="25" l="1"/>
  <c r="K3410" i="25"/>
  <c r="T3409" i="25"/>
  <c r="J3461" i="25"/>
  <c r="U3460" i="25"/>
  <c r="V3410" i="25" l="1"/>
  <c r="T3410" i="25"/>
  <c r="J3462" i="25"/>
  <c r="U3461" i="25"/>
  <c r="K3411" i="25"/>
  <c r="V3411" i="25" l="1"/>
  <c r="K3412" i="25"/>
  <c r="T3411" i="25"/>
  <c r="J3463" i="25"/>
  <c r="U3462" i="25"/>
  <c r="V3412" i="25" l="1"/>
  <c r="T3412" i="25"/>
  <c r="J3464" i="25"/>
  <c r="U3463" i="25"/>
  <c r="K3413" i="25"/>
  <c r="V3413" i="25" l="1"/>
  <c r="T3413" i="25"/>
  <c r="J3465" i="25"/>
  <c r="U3464" i="25"/>
  <c r="K3414" i="25"/>
  <c r="V3414" i="25" l="1"/>
  <c r="T3414" i="25"/>
  <c r="J3466" i="25"/>
  <c r="U3465" i="25"/>
  <c r="K3415" i="25"/>
  <c r="V3415" i="25" l="1"/>
  <c r="K3416" i="25"/>
  <c r="T3415" i="25"/>
  <c r="J3467" i="25"/>
  <c r="U3466" i="25"/>
  <c r="V3416" i="25" l="1"/>
  <c r="T3416" i="25"/>
  <c r="J3468" i="25"/>
  <c r="U3467" i="25"/>
  <c r="K3417" i="25"/>
  <c r="V3417" i="25" l="1"/>
  <c r="T3417" i="25"/>
  <c r="J3469" i="25"/>
  <c r="U3468" i="25"/>
  <c r="K3419" i="25" l="1"/>
  <c r="T3418" i="25"/>
  <c r="K3418" i="25"/>
  <c r="V3418" i="25" s="1"/>
  <c r="J3470" i="25"/>
  <c r="U3469" i="25"/>
  <c r="V3419" i="25" l="1"/>
  <c r="T3419" i="25"/>
  <c r="J3471" i="25"/>
  <c r="U3470" i="25"/>
  <c r="K3420" i="25"/>
  <c r="V3420" i="25" l="1"/>
  <c r="T3420" i="25"/>
  <c r="J3472" i="25"/>
  <c r="U3471" i="25"/>
  <c r="K3421" i="25"/>
  <c r="V3421" i="25" l="1"/>
  <c r="T3421" i="25"/>
  <c r="J3473" i="25"/>
  <c r="U3472" i="25"/>
  <c r="K3422" i="25"/>
  <c r="V3422" i="25" l="1"/>
  <c r="T3422" i="25"/>
  <c r="J3474" i="25"/>
  <c r="U3473" i="25"/>
  <c r="K3423" i="25"/>
  <c r="V3423" i="25" l="1"/>
  <c r="T3423" i="25"/>
  <c r="J3475" i="25"/>
  <c r="U3474" i="25"/>
  <c r="K3424" i="25"/>
  <c r="V3424" i="25" l="1"/>
  <c r="K3425" i="25"/>
  <c r="T3424" i="25"/>
  <c r="J3476" i="25"/>
  <c r="U3475" i="25"/>
  <c r="V3425" i="25" l="1"/>
  <c r="T3425" i="25"/>
  <c r="J3477" i="25"/>
  <c r="U3476" i="25"/>
  <c r="K3426" i="25"/>
  <c r="V3426" i="25" l="1"/>
  <c r="T3426" i="25"/>
  <c r="J3478" i="25"/>
  <c r="U3477" i="25"/>
  <c r="K3427" i="25"/>
  <c r="V3427" i="25" l="1"/>
  <c r="T3427" i="25"/>
  <c r="J3479" i="25"/>
  <c r="U3478" i="25"/>
  <c r="K3428" i="25"/>
  <c r="V3428" i="25" l="1"/>
  <c r="T3428" i="25"/>
  <c r="J3480" i="25"/>
  <c r="U3479" i="25"/>
  <c r="K3429" i="25"/>
  <c r="V3429" i="25" l="1"/>
  <c r="T3429" i="25"/>
  <c r="J3481" i="25"/>
  <c r="U3480" i="25"/>
  <c r="K3430" i="25"/>
  <c r="V3430" i="25" l="1"/>
  <c r="T3430" i="25"/>
  <c r="J3482" i="25"/>
  <c r="U3481" i="25"/>
  <c r="K3431" i="25"/>
  <c r="V3431" i="25" l="1"/>
  <c r="K3432" i="25"/>
  <c r="T3431" i="25"/>
  <c r="J3483" i="25"/>
  <c r="U3482" i="25"/>
  <c r="V3432" i="25" l="1"/>
  <c r="T3432" i="25"/>
  <c r="J3484" i="25"/>
  <c r="U3483" i="25"/>
  <c r="K3433" i="25"/>
  <c r="V3433" i="25" l="1"/>
  <c r="T3433" i="25"/>
  <c r="J3485" i="25"/>
  <c r="U3484" i="25"/>
  <c r="K3434" i="25"/>
  <c r="V3434" i="25" l="1"/>
  <c r="T3434" i="25"/>
  <c r="J3486" i="25"/>
  <c r="U3485" i="25"/>
  <c r="K3435" i="25"/>
  <c r="V3435" i="25" l="1"/>
  <c r="T3435" i="25"/>
  <c r="J3487" i="25"/>
  <c r="U3486" i="25"/>
  <c r="K3436" i="25"/>
  <c r="V3436" i="25" l="1"/>
  <c r="K3437" i="25"/>
  <c r="T3436" i="25"/>
  <c r="J3488" i="25"/>
  <c r="U3487" i="25"/>
  <c r="V3437" i="25" l="1"/>
  <c r="T3437" i="25"/>
  <c r="J3489" i="25"/>
  <c r="U3488" i="25"/>
  <c r="K3438" i="25"/>
  <c r="V3438" i="25" l="1"/>
  <c r="T3438" i="25"/>
  <c r="J3490" i="25"/>
  <c r="U3489" i="25"/>
  <c r="K3439" i="25"/>
  <c r="V3439" i="25" l="1"/>
  <c r="T3439" i="25"/>
  <c r="J3491" i="25"/>
  <c r="U3490" i="25"/>
  <c r="K3440" i="25"/>
  <c r="V3440" i="25" l="1"/>
  <c r="T3440" i="25"/>
  <c r="J3492" i="25"/>
  <c r="U3491" i="25"/>
  <c r="K3441" i="25"/>
  <c r="V3441" i="25" l="1"/>
  <c r="T3441" i="25"/>
  <c r="J3493" i="25"/>
  <c r="U3492" i="25"/>
  <c r="K3442" i="25"/>
  <c r="V3442" i="25" l="1"/>
  <c r="K3443" i="25"/>
  <c r="T3442" i="25"/>
  <c r="J3494" i="25"/>
  <c r="U3493" i="25"/>
  <c r="V3443" i="25" l="1"/>
  <c r="T3443" i="25"/>
  <c r="J3495" i="25"/>
  <c r="U3494" i="25"/>
  <c r="K3444" i="25"/>
  <c r="V3444" i="25" l="1"/>
  <c r="K3445" i="25"/>
  <c r="T3444" i="25"/>
  <c r="J3496" i="25"/>
  <c r="U3495" i="25"/>
  <c r="V3445" i="25" l="1"/>
  <c r="T3445" i="25"/>
  <c r="J3497" i="25"/>
  <c r="U3496" i="25"/>
  <c r="K3446" i="25"/>
  <c r="V3446" i="25" l="1"/>
  <c r="T3446" i="25"/>
  <c r="J3498" i="25"/>
  <c r="U3497" i="25"/>
  <c r="K3447" i="25"/>
  <c r="V3447" i="25" l="1"/>
  <c r="K3448" i="25"/>
  <c r="T3447" i="25"/>
  <c r="J3499" i="25"/>
  <c r="U3498" i="25"/>
  <c r="V3448" i="25" l="1"/>
  <c r="T3448" i="25"/>
  <c r="J3500" i="25"/>
  <c r="U3499" i="25"/>
  <c r="K3449" i="25"/>
  <c r="V3449" i="25" l="1"/>
  <c r="T3449" i="25"/>
  <c r="J3501" i="25"/>
  <c r="U3500" i="25"/>
  <c r="K3450" i="25"/>
  <c r="V3450" i="25" l="1"/>
  <c r="K3451" i="25"/>
  <c r="T3450" i="25"/>
  <c r="J3502" i="25"/>
  <c r="U3501" i="25"/>
  <c r="V3451" i="25" l="1"/>
  <c r="K3452" i="25"/>
  <c r="T3451" i="25"/>
  <c r="J3503" i="25"/>
  <c r="U3502" i="25"/>
  <c r="V3452" i="25" l="1"/>
  <c r="T3452" i="25"/>
  <c r="J3504" i="25"/>
  <c r="U3503" i="25"/>
  <c r="K3453" i="25"/>
  <c r="V3453" i="25" l="1"/>
  <c r="T3453" i="25"/>
  <c r="J3505" i="25"/>
  <c r="U3504" i="25"/>
  <c r="K3454" i="25"/>
  <c r="V3454" i="25" l="1"/>
  <c r="T3454" i="25"/>
  <c r="J3506" i="25"/>
  <c r="U3505" i="25"/>
  <c r="K3455" i="25"/>
  <c r="V3455" i="25" l="1"/>
  <c r="T3455" i="25"/>
  <c r="J3507" i="25"/>
  <c r="U3506" i="25"/>
  <c r="K3456" i="25"/>
  <c r="V3456" i="25" l="1"/>
  <c r="T3456" i="25"/>
  <c r="J3508" i="25"/>
  <c r="U3507" i="25"/>
  <c r="K3457" i="25"/>
  <c r="V3457" i="25" l="1"/>
  <c r="K3458" i="25"/>
  <c r="T3457" i="25"/>
  <c r="J3509" i="25"/>
  <c r="U3508" i="25"/>
  <c r="V3458" i="25" l="1"/>
  <c r="T3458" i="25"/>
  <c r="J3510" i="25"/>
  <c r="U3509" i="25"/>
  <c r="K3459" i="25"/>
  <c r="V3459" i="25" l="1"/>
  <c r="K3460" i="25"/>
  <c r="T3459" i="25"/>
  <c r="J3511" i="25"/>
  <c r="U3510" i="25"/>
  <c r="V3460" i="25" l="1"/>
  <c r="T3460" i="25"/>
  <c r="J3512" i="25"/>
  <c r="U3511" i="25"/>
  <c r="K3461" i="25"/>
  <c r="V3461" i="25" l="1"/>
  <c r="K3462" i="25"/>
  <c r="T3461" i="25"/>
  <c r="J3513" i="25"/>
  <c r="U3512" i="25"/>
  <c r="V3462" i="25" l="1"/>
  <c r="T3462" i="25"/>
  <c r="J3514" i="25"/>
  <c r="U3513" i="25"/>
  <c r="K3463" i="25"/>
  <c r="V3463" i="25" l="1"/>
  <c r="K3464" i="25"/>
  <c r="T3463" i="25"/>
  <c r="J3515" i="25"/>
  <c r="U3514" i="25"/>
  <c r="V3464" i="25" l="1"/>
  <c r="T3464" i="25"/>
  <c r="J3516" i="25"/>
  <c r="U3515" i="25"/>
  <c r="K3465" i="25"/>
  <c r="V3465" i="25" l="1"/>
  <c r="K3466" i="25"/>
  <c r="T3465" i="25"/>
  <c r="J3517" i="25"/>
  <c r="U3516" i="25"/>
  <c r="V3466" i="25" l="1"/>
  <c r="T3466" i="25"/>
  <c r="J3518" i="25"/>
  <c r="U3517" i="25"/>
  <c r="K3467" i="25"/>
  <c r="V3467" i="25" l="1"/>
  <c r="K3468" i="25"/>
  <c r="T3467" i="25"/>
  <c r="J3519" i="25"/>
  <c r="U3518" i="25"/>
  <c r="V3468" i="25" l="1"/>
  <c r="T3468" i="25"/>
  <c r="J3520" i="25"/>
  <c r="U3519" i="25"/>
  <c r="K3469" i="25"/>
  <c r="V3469" i="25" l="1"/>
  <c r="T3469" i="25"/>
  <c r="J3521" i="25"/>
  <c r="U3520" i="25"/>
  <c r="K3470" i="25"/>
  <c r="V3470" i="25" l="1"/>
  <c r="T3470" i="25"/>
  <c r="J3522" i="25"/>
  <c r="U3521" i="25"/>
  <c r="K3471" i="25"/>
  <c r="V3471" i="25" l="1"/>
  <c r="T3471" i="25"/>
  <c r="J3523" i="25"/>
  <c r="U3522" i="25"/>
  <c r="K3472" i="25"/>
  <c r="V3472" i="25" l="1"/>
  <c r="T3472" i="25"/>
  <c r="J3524" i="25"/>
  <c r="U3523" i="25"/>
  <c r="K3473" i="25"/>
  <c r="V3473" i="25" l="1"/>
  <c r="T3473" i="25"/>
  <c r="J3525" i="25"/>
  <c r="U3524" i="25"/>
  <c r="K3474" i="25"/>
  <c r="V3474" i="25" l="1"/>
  <c r="T3474" i="25"/>
  <c r="J3526" i="25"/>
  <c r="U3525" i="25"/>
  <c r="K3475" i="25"/>
  <c r="V3475" i="25" l="1"/>
  <c r="T3475" i="25"/>
  <c r="J3527" i="25"/>
  <c r="U3526" i="25"/>
  <c r="K3476" i="25"/>
  <c r="V3476" i="25" l="1"/>
  <c r="T3476" i="25"/>
  <c r="J3528" i="25"/>
  <c r="U3527" i="25"/>
  <c r="K3477" i="25"/>
  <c r="V3477" i="25" l="1"/>
  <c r="K3478" i="25"/>
  <c r="T3477" i="25"/>
  <c r="J3529" i="25"/>
  <c r="U3528" i="25"/>
  <c r="V3478" i="25" l="1"/>
  <c r="T3478" i="25"/>
  <c r="J3530" i="25"/>
  <c r="U3529" i="25"/>
  <c r="K3479" i="25"/>
  <c r="V3479" i="25" l="1"/>
  <c r="K3480" i="25"/>
  <c r="T3479" i="25"/>
  <c r="J3531" i="25"/>
  <c r="U3530" i="25"/>
  <c r="V3480" i="25" l="1"/>
  <c r="T3480" i="25"/>
  <c r="J3532" i="25"/>
  <c r="U3531" i="25"/>
  <c r="K3481" i="25"/>
  <c r="V3481" i="25" l="1"/>
  <c r="T3481" i="25"/>
  <c r="J3533" i="25"/>
  <c r="U3532" i="25"/>
  <c r="K3482" i="25"/>
  <c r="V3482" i="25" l="1"/>
  <c r="T3482" i="25"/>
  <c r="J3534" i="25"/>
  <c r="U3533" i="25"/>
  <c r="K3483" i="25"/>
  <c r="V3483" i="25" l="1"/>
  <c r="T3483" i="25"/>
  <c r="J3535" i="25"/>
  <c r="U3534" i="25"/>
  <c r="K3484" i="25"/>
  <c r="V3484" i="25" l="1"/>
  <c r="K3485" i="25"/>
  <c r="T3484" i="25"/>
  <c r="J3536" i="25"/>
  <c r="U3535" i="25"/>
  <c r="V3485" i="25" l="1"/>
  <c r="T3485" i="25"/>
  <c r="J3537" i="25"/>
  <c r="U3536" i="25"/>
  <c r="K3486" i="25"/>
  <c r="V3486" i="25" l="1"/>
  <c r="K3487" i="25"/>
  <c r="T3486" i="25"/>
  <c r="J3538" i="25"/>
  <c r="U3537" i="25"/>
  <c r="V3487" i="25" l="1"/>
  <c r="T3487" i="25"/>
  <c r="J3539" i="25"/>
  <c r="U3538" i="25"/>
  <c r="K3488" i="25"/>
  <c r="V3488" i="25" l="1"/>
  <c r="K3489" i="25"/>
  <c r="T3488" i="25"/>
  <c r="J3540" i="25"/>
  <c r="U3539" i="25"/>
  <c r="V3489" i="25" l="1"/>
  <c r="T3489" i="25"/>
  <c r="J3541" i="25"/>
  <c r="U3540" i="25"/>
  <c r="K3490" i="25"/>
  <c r="V3490" i="25" l="1"/>
  <c r="T3490" i="25"/>
  <c r="J3542" i="25"/>
  <c r="U3541" i="25"/>
  <c r="K3491" i="25"/>
  <c r="V3491" i="25" l="1"/>
  <c r="T3491" i="25"/>
  <c r="J3543" i="25"/>
  <c r="U3542" i="25"/>
  <c r="K3492" i="25"/>
  <c r="V3492" i="25" l="1"/>
  <c r="T3492" i="25"/>
  <c r="J3544" i="25"/>
  <c r="U3543" i="25"/>
  <c r="K3493" i="25"/>
  <c r="V3493" i="25" l="1"/>
  <c r="K3494" i="25"/>
  <c r="T3493" i="25"/>
  <c r="J3545" i="25"/>
  <c r="U3544" i="25"/>
  <c r="V3494" i="25" l="1"/>
  <c r="T3494" i="25"/>
  <c r="J3546" i="25"/>
  <c r="U3545" i="25"/>
  <c r="K3495" i="25"/>
  <c r="V3495" i="25" l="1"/>
  <c r="T3495" i="25"/>
  <c r="J3547" i="25"/>
  <c r="U3546" i="25"/>
  <c r="K3496" i="25"/>
  <c r="V3496" i="25" l="1"/>
  <c r="T3496" i="25"/>
  <c r="J3548" i="25"/>
  <c r="U3547" i="25"/>
  <c r="K3497" i="25"/>
  <c r="V3497" i="25" l="1"/>
  <c r="T3497" i="25"/>
  <c r="J3549" i="25"/>
  <c r="U3548" i="25"/>
  <c r="K3498" i="25"/>
  <c r="V3498" i="25" l="1"/>
  <c r="K3499" i="25"/>
  <c r="T3498" i="25"/>
  <c r="J3550" i="25"/>
  <c r="U3549" i="25"/>
  <c r="V3499" i="25" l="1"/>
  <c r="T3499" i="25"/>
  <c r="J3551" i="25"/>
  <c r="U3550" i="25"/>
  <c r="K3500" i="25"/>
  <c r="V3500" i="25" l="1"/>
  <c r="K3501" i="25"/>
  <c r="T3500" i="25"/>
  <c r="J3552" i="25"/>
  <c r="U3551" i="25"/>
  <c r="V3501" i="25" l="1"/>
  <c r="T3501" i="25"/>
  <c r="J3553" i="25"/>
  <c r="U3552" i="25"/>
  <c r="K3502" i="25"/>
  <c r="V3502" i="25" l="1"/>
  <c r="T3502" i="25"/>
  <c r="J3554" i="25"/>
  <c r="U3553" i="25"/>
  <c r="K3503" i="25"/>
  <c r="V3503" i="25" l="1"/>
  <c r="T3503" i="25"/>
  <c r="J3555" i="25"/>
  <c r="U3554" i="25"/>
  <c r="K3504" i="25"/>
  <c r="V3504" i="25" l="1"/>
  <c r="K3505" i="25"/>
  <c r="T3504" i="25"/>
  <c r="J3556" i="25"/>
  <c r="U3555" i="25"/>
  <c r="V3505" i="25" l="1"/>
  <c r="T3505" i="25"/>
  <c r="J3557" i="25"/>
  <c r="U3556" i="25"/>
  <c r="K3506" i="25"/>
  <c r="V3506" i="25" l="1"/>
  <c r="T3506" i="25"/>
  <c r="J3558" i="25"/>
  <c r="U3557" i="25"/>
  <c r="K3507" i="25"/>
  <c r="V3507" i="25" l="1"/>
  <c r="T3507" i="25"/>
  <c r="J3559" i="25"/>
  <c r="U3558" i="25"/>
  <c r="K3508" i="25"/>
  <c r="V3508" i="25" l="1"/>
  <c r="T3508" i="25"/>
  <c r="J3560" i="25"/>
  <c r="U3559" i="25"/>
  <c r="K3509" i="25"/>
  <c r="V3509" i="25" l="1"/>
  <c r="K3510" i="25"/>
  <c r="T3509" i="25"/>
  <c r="J3561" i="25"/>
  <c r="U3560" i="25"/>
  <c r="V3510" i="25" l="1"/>
  <c r="T3510" i="25"/>
  <c r="J3562" i="25"/>
  <c r="U3561" i="25"/>
  <c r="K3511" i="25"/>
  <c r="V3511" i="25" l="1"/>
  <c r="K3512" i="25"/>
  <c r="T3511" i="25"/>
  <c r="J3563" i="25"/>
  <c r="U3562" i="25"/>
  <c r="V3512" i="25" l="1"/>
  <c r="T3512" i="25"/>
  <c r="J3564" i="25"/>
  <c r="U3563" i="25"/>
  <c r="K3513" i="25"/>
  <c r="V3513" i="25" l="1"/>
  <c r="K3514" i="25"/>
  <c r="T3513" i="25"/>
  <c r="J3565" i="25"/>
  <c r="U3564" i="25"/>
  <c r="V3514" i="25" l="1"/>
  <c r="T3514" i="25"/>
  <c r="J3566" i="25"/>
  <c r="U3565" i="25"/>
  <c r="K3515" i="25"/>
  <c r="V3515" i="25" l="1"/>
  <c r="T3515" i="25"/>
  <c r="J3567" i="25"/>
  <c r="U3566" i="25"/>
  <c r="K3516" i="25"/>
  <c r="V3516" i="25" l="1"/>
  <c r="K3517" i="25"/>
  <c r="T3516" i="25"/>
  <c r="J3568" i="25"/>
  <c r="U3567" i="25"/>
  <c r="V3517" i="25" l="1"/>
  <c r="T3517" i="25"/>
  <c r="J3569" i="25"/>
  <c r="U3568" i="25"/>
  <c r="K3518" i="25"/>
  <c r="V3518" i="25" l="1"/>
  <c r="T3518" i="25"/>
  <c r="J3570" i="25"/>
  <c r="U3569" i="25"/>
  <c r="K3519" i="25"/>
  <c r="V3519" i="25" l="1"/>
  <c r="T3519" i="25"/>
  <c r="J3571" i="25"/>
  <c r="U3570" i="25"/>
  <c r="K3520" i="25"/>
  <c r="V3520" i="25" l="1"/>
  <c r="T3520" i="25"/>
  <c r="J3572" i="25"/>
  <c r="U3571" i="25"/>
  <c r="K3521" i="25"/>
  <c r="V3521" i="25" l="1"/>
  <c r="K3522" i="25"/>
  <c r="T3521" i="25"/>
  <c r="J3573" i="25"/>
  <c r="U3572" i="25"/>
  <c r="V3522" i="25" l="1"/>
  <c r="K3523" i="25"/>
  <c r="T3522" i="25"/>
  <c r="J3574" i="25"/>
  <c r="U3573" i="25"/>
  <c r="V3523" i="25" l="1"/>
  <c r="T3523" i="25"/>
  <c r="J3575" i="25"/>
  <c r="U3574" i="25"/>
  <c r="K3524" i="25"/>
  <c r="V3524" i="25" l="1"/>
  <c r="T3524" i="25"/>
  <c r="J3576" i="25"/>
  <c r="U3575" i="25"/>
  <c r="K3525" i="25"/>
  <c r="V3525" i="25" l="1"/>
  <c r="K3526" i="25"/>
  <c r="T3525" i="25"/>
  <c r="J3577" i="25"/>
  <c r="U3576" i="25"/>
  <c r="V3526" i="25" l="1"/>
  <c r="T3526" i="25"/>
  <c r="J3578" i="25"/>
  <c r="U3577" i="25"/>
  <c r="K3527" i="25"/>
  <c r="V3527" i="25" l="1"/>
  <c r="T3527" i="25"/>
  <c r="J3579" i="25"/>
  <c r="U3578" i="25"/>
  <c r="K3528" i="25"/>
  <c r="V3528" i="25" l="1"/>
  <c r="T3528" i="25"/>
  <c r="J3580" i="25"/>
  <c r="U3579" i="25"/>
  <c r="K3529" i="25"/>
  <c r="V3529" i="25" l="1"/>
  <c r="T3529" i="25"/>
  <c r="J3581" i="25"/>
  <c r="U3580" i="25"/>
  <c r="K3530" i="25"/>
  <c r="V3530" i="25" l="1"/>
  <c r="T3530" i="25"/>
  <c r="J3582" i="25"/>
  <c r="U3581" i="25"/>
  <c r="T3531" i="25" l="1"/>
  <c r="K3531" i="25"/>
  <c r="V3531" i="25" s="1"/>
  <c r="J3583" i="25"/>
  <c r="U3582" i="25"/>
  <c r="K3532" i="25"/>
  <c r="V3532" i="25" l="1"/>
  <c r="T3532" i="25"/>
  <c r="J3584" i="25"/>
  <c r="U3583" i="25"/>
  <c r="K3533" i="25"/>
  <c r="V3533" i="25" l="1"/>
  <c r="T3533" i="25"/>
  <c r="J3585" i="25"/>
  <c r="U3584" i="25"/>
  <c r="K3534" i="25"/>
  <c r="V3534" i="25" l="1"/>
  <c r="K3535" i="25"/>
  <c r="T3534" i="25"/>
  <c r="J3586" i="25"/>
  <c r="U3585" i="25"/>
  <c r="V3535" i="25" l="1"/>
  <c r="T3535" i="25"/>
  <c r="J3587" i="25"/>
  <c r="U3586" i="25"/>
  <c r="K3536" i="25"/>
  <c r="V3536" i="25" l="1"/>
  <c r="K3537" i="25"/>
  <c r="T3536" i="25"/>
  <c r="J3588" i="25"/>
  <c r="U3587" i="25"/>
  <c r="V3537" i="25" l="1"/>
  <c r="K3538" i="25"/>
  <c r="T3537" i="25"/>
  <c r="J3589" i="25"/>
  <c r="U3588" i="25"/>
  <c r="V3538" i="25" l="1"/>
  <c r="T3538" i="25"/>
  <c r="J3590" i="25"/>
  <c r="U3589" i="25"/>
  <c r="K3539" i="25"/>
  <c r="V3539" i="25" l="1"/>
  <c r="T3539" i="25"/>
  <c r="J3591" i="25"/>
  <c r="U3590" i="25"/>
  <c r="T3540" i="25" l="1"/>
  <c r="K3540" i="25"/>
  <c r="V3540" i="25" s="1"/>
  <c r="J3592" i="25"/>
  <c r="U3591" i="25"/>
  <c r="K3541" i="25"/>
  <c r="V3541" i="25" l="1"/>
  <c r="K3542" i="25"/>
  <c r="T3541" i="25"/>
  <c r="J3593" i="25"/>
  <c r="U3592" i="25"/>
  <c r="V3542" i="25" l="1"/>
  <c r="K3543" i="25"/>
  <c r="T3542" i="25"/>
  <c r="J3594" i="25"/>
  <c r="U3593" i="25"/>
  <c r="V3543" i="25" l="1"/>
  <c r="T3543" i="25"/>
  <c r="J3595" i="25"/>
  <c r="U3594" i="25"/>
  <c r="K3544" i="25"/>
  <c r="V3544" i="25" l="1"/>
  <c r="T3544" i="25"/>
  <c r="J3596" i="25"/>
  <c r="U3595" i="25"/>
  <c r="K3545" i="25"/>
  <c r="V3545" i="25" l="1"/>
  <c r="K3546" i="25"/>
  <c r="T3545" i="25"/>
  <c r="J3597" i="25"/>
  <c r="U3596" i="25"/>
  <c r="V3546" i="25" l="1"/>
  <c r="T3546" i="25"/>
  <c r="J3598" i="25"/>
  <c r="U3597" i="25"/>
  <c r="K3547" i="25"/>
  <c r="V3547" i="25" l="1"/>
  <c r="T3547" i="25"/>
  <c r="J3599" i="25"/>
  <c r="U3598" i="25"/>
  <c r="K3548" i="25"/>
  <c r="V3548" i="25" l="1"/>
  <c r="T3548" i="25"/>
  <c r="J3600" i="25"/>
  <c r="U3599" i="25"/>
  <c r="K3549" i="25"/>
  <c r="V3549" i="25" l="1"/>
  <c r="K3550" i="25"/>
  <c r="T3549" i="25"/>
  <c r="J3601" i="25"/>
  <c r="U3600" i="25"/>
  <c r="V3550" i="25" l="1"/>
  <c r="T3550" i="25"/>
  <c r="J3602" i="25"/>
  <c r="U3601" i="25"/>
  <c r="K3551" i="25"/>
  <c r="V3551" i="25" l="1"/>
  <c r="K3552" i="25"/>
  <c r="T3551" i="25"/>
  <c r="J3603" i="25"/>
  <c r="U3602" i="25"/>
  <c r="V3552" i="25" l="1"/>
  <c r="T3552" i="25"/>
  <c r="J3604" i="25"/>
  <c r="U3603" i="25"/>
  <c r="K3553" i="25"/>
  <c r="V3553" i="25" l="1"/>
  <c r="K3554" i="25"/>
  <c r="T3553" i="25"/>
  <c r="J3605" i="25"/>
  <c r="U3604" i="25"/>
  <c r="V3554" i="25" l="1"/>
  <c r="T3554" i="25"/>
  <c r="J3606" i="25"/>
  <c r="U3605" i="25"/>
  <c r="K3555" i="25"/>
  <c r="V3555" i="25" l="1"/>
  <c r="T3555" i="25"/>
  <c r="J3607" i="25"/>
  <c r="U3606" i="25"/>
  <c r="K3556" i="25"/>
  <c r="V3556" i="25" l="1"/>
  <c r="K3557" i="25"/>
  <c r="T3556" i="25"/>
  <c r="J3608" i="25"/>
  <c r="U3607" i="25"/>
  <c r="V3557" i="25" l="1"/>
  <c r="T3557" i="25"/>
  <c r="J3609" i="25"/>
  <c r="U3608" i="25"/>
  <c r="K3558" i="25"/>
  <c r="V3558" i="25" l="1"/>
  <c r="T3558" i="25"/>
  <c r="J3610" i="25"/>
  <c r="U3609" i="25"/>
  <c r="K3559" i="25"/>
  <c r="V3559" i="25" l="1"/>
  <c r="K3560" i="25"/>
  <c r="T3559" i="25"/>
  <c r="J3611" i="25"/>
  <c r="U3610" i="25"/>
  <c r="V3560" i="25" l="1"/>
  <c r="T3560" i="25"/>
  <c r="J3612" i="25"/>
  <c r="U3611" i="25"/>
  <c r="K3561" i="25"/>
  <c r="V3561" i="25" l="1"/>
  <c r="T3561" i="25"/>
  <c r="J3613" i="25"/>
  <c r="U3612" i="25"/>
  <c r="K3562" i="25"/>
  <c r="V3562" i="25" l="1"/>
  <c r="T3562" i="25"/>
  <c r="J3614" i="25"/>
  <c r="U3613" i="25"/>
  <c r="K3563" i="25"/>
  <c r="V3563" i="25" l="1"/>
  <c r="K3564" i="25"/>
  <c r="T3563" i="25"/>
  <c r="J3615" i="25"/>
  <c r="U3614" i="25"/>
  <c r="V3564" i="25" l="1"/>
  <c r="T3564" i="25"/>
  <c r="J3616" i="25"/>
  <c r="U3615" i="25"/>
  <c r="K3565" i="25"/>
  <c r="V3565" i="25" l="1"/>
  <c r="T3565" i="25"/>
  <c r="J3617" i="25"/>
  <c r="U3616" i="25"/>
  <c r="K3566" i="25"/>
  <c r="V3566" i="25" l="1"/>
  <c r="T3566" i="25"/>
  <c r="J3618" i="25"/>
  <c r="U3617" i="25"/>
  <c r="K3567" i="25"/>
  <c r="V3567" i="25" l="1"/>
  <c r="T3567" i="25"/>
  <c r="J3619" i="25"/>
  <c r="U3618" i="25"/>
  <c r="K3568" i="25"/>
  <c r="V3568" i="25" l="1"/>
  <c r="T3568" i="25"/>
  <c r="J3620" i="25"/>
  <c r="U3619" i="25"/>
  <c r="K3569" i="25"/>
  <c r="V3569" i="25" l="1"/>
  <c r="T3569" i="25"/>
  <c r="J3621" i="25"/>
  <c r="U3620" i="25"/>
  <c r="K3570" i="25"/>
  <c r="V3570" i="25" l="1"/>
  <c r="T3570" i="25"/>
  <c r="J3622" i="25"/>
  <c r="U3621" i="25"/>
  <c r="K3571" i="25"/>
  <c r="V3571" i="25" l="1"/>
  <c r="T3571" i="25"/>
  <c r="J3623" i="25"/>
  <c r="U3622" i="25"/>
  <c r="K3572" i="25"/>
  <c r="V3572" i="25" l="1"/>
  <c r="T3572" i="25"/>
  <c r="J3624" i="25"/>
  <c r="U3623" i="25"/>
  <c r="K3573" i="25"/>
  <c r="V3573" i="25" l="1"/>
  <c r="K3574" i="25"/>
  <c r="T3573" i="25"/>
  <c r="J3625" i="25"/>
  <c r="U3624" i="25"/>
  <c r="V3574" i="25" l="1"/>
  <c r="T3574" i="25"/>
  <c r="J3626" i="25"/>
  <c r="U3625" i="25"/>
  <c r="K3575" i="25"/>
  <c r="V3575" i="25" l="1"/>
  <c r="T3575" i="25"/>
  <c r="J3627" i="25"/>
  <c r="U3626" i="25"/>
  <c r="K3576" i="25"/>
  <c r="V3576" i="25" l="1"/>
  <c r="T3576" i="25"/>
  <c r="J3628" i="25"/>
  <c r="U3627" i="25"/>
  <c r="K3577" i="25"/>
  <c r="V3577" i="25" l="1"/>
  <c r="T3577" i="25"/>
  <c r="J3629" i="25"/>
  <c r="U3628" i="25"/>
  <c r="K3578" i="25"/>
  <c r="V3578" i="25" l="1"/>
  <c r="T3578" i="25"/>
  <c r="J3630" i="25"/>
  <c r="U3629" i="25"/>
  <c r="K3579" i="25"/>
  <c r="V3579" i="25" l="1"/>
  <c r="T3579" i="25"/>
  <c r="J3631" i="25"/>
  <c r="U3630" i="25"/>
  <c r="T3580" i="25" l="1"/>
  <c r="K3580" i="25"/>
  <c r="V3580" i="25" s="1"/>
  <c r="J3632" i="25"/>
  <c r="U3631" i="25"/>
  <c r="K3581" i="25"/>
  <c r="V3581" i="25" l="1"/>
  <c r="T3581" i="25"/>
  <c r="J3633" i="25"/>
  <c r="U3632" i="25"/>
  <c r="K3582" i="25"/>
  <c r="V3582" i="25" l="1"/>
  <c r="K3583" i="25"/>
  <c r="T3582" i="25"/>
  <c r="J3634" i="25"/>
  <c r="U3633" i="25"/>
  <c r="V3583" i="25" l="1"/>
  <c r="T3583" i="25"/>
  <c r="J3635" i="25"/>
  <c r="U3634" i="25"/>
  <c r="K3584" i="25"/>
  <c r="V3584" i="25" l="1"/>
  <c r="T3584" i="25"/>
  <c r="J3636" i="25"/>
  <c r="U3635" i="25"/>
  <c r="K3585" i="25"/>
  <c r="V3585" i="25" l="1"/>
  <c r="T3585" i="25"/>
  <c r="J3637" i="25"/>
  <c r="U3636" i="25"/>
  <c r="K3586" i="25"/>
  <c r="V3586" i="25" l="1"/>
  <c r="T3586" i="25"/>
  <c r="J3638" i="25"/>
  <c r="U3637" i="25"/>
  <c r="K3587" i="25"/>
  <c r="V3587" i="25" l="1"/>
  <c r="T3587" i="25"/>
  <c r="J3639" i="25"/>
  <c r="U3638" i="25"/>
  <c r="K3588" i="25"/>
  <c r="V3588" i="25" l="1"/>
  <c r="K3589" i="25"/>
  <c r="T3588" i="25"/>
  <c r="J3640" i="25"/>
  <c r="U3639" i="25"/>
  <c r="V3589" i="25" l="1"/>
  <c r="T3589" i="25"/>
  <c r="J3641" i="25"/>
  <c r="U3640" i="25"/>
  <c r="K3590" i="25"/>
  <c r="V3590" i="25" l="1"/>
  <c r="T3590" i="25"/>
  <c r="J3642" i="25"/>
  <c r="U3641" i="25"/>
  <c r="K3591" i="25"/>
  <c r="V3591" i="25" l="1"/>
  <c r="T3591" i="25"/>
  <c r="J3643" i="25"/>
  <c r="U3642" i="25"/>
  <c r="K3592" i="25"/>
  <c r="V3592" i="25" l="1"/>
  <c r="T3592" i="25"/>
  <c r="J3644" i="25"/>
  <c r="U3643" i="25"/>
  <c r="K3593" i="25"/>
  <c r="V3593" i="25" l="1"/>
  <c r="T3593" i="25"/>
  <c r="J3645" i="25"/>
  <c r="U3644" i="25"/>
  <c r="K3594" i="25"/>
  <c r="V3594" i="25" l="1"/>
  <c r="T3594" i="25"/>
  <c r="J3646" i="25"/>
  <c r="U3645" i="25"/>
  <c r="K3595" i="25"/>
  <c r="V3595" i="25" l="1"/>
  <c r="K3596" i="25"/>
  <c r="T3595" i="25"/>
  <c r="J3647" i="25"/>
  <c r="U3646" i="25"/>
  <c r="V3596" i="25" l="1"/>
  <c r="T3596" i="25"/>
  <c r="J3648" i="25"/>
  <c r="U3647" i="25"/>
  <c r="K3597" i="25"/>
  <c r="V3597" i="25" l="1"/>
  <c r="T3597" i="25"/>
  <c r="J3649" i="25"/>
  <c r="U3648" i="25"/>
  <c r="K3598" i="25"/>
  <c r="V3598" i="25" l="1"/>
  <c r="T3598" i="25"/>
  <c r="J3650" i="25"/>
  <c r="U3649" i="25"/>
  <c r="K3599" i="25"/>
  <c r="V3599" i="25" l="1"/>
  <c r="K3600" i="25"/>
  <c r="T3599" i="25"/>
  <c r="J3651" i="25"/>
  <c r="U3650" i="25"/>
  <c r="V3600" i="25" l="1"/>
  <c r="T3600" i="25"/>
  <c r="J3652" i="25"/>
  <c r="U3651" i="25"/>
  <c r="K3601" i="25"/>
  <c r="V3601" i="25" l="1"/>
  <c r="T3601" i="25"/>
  <c r="J3653" i="25"/>
  <c r="U3652" i="25"/>
  <c r="K3602" i="25"/>
  <c r="V3602" i="25" l="1"/>
  <c r="K3603" i="25"/>
  <c r="T3602" i="25"/>
  <c r="J3654" i="25"/>
  <c r="U3653" i="25"/>
  <c r="V3603" i="25" l="1"/>
  <c r="T3603" i="25"/>
  <c r="J3655" i="25"/>
  <c r="U3654" i="25"/>
  <c r="K3604" i="25"/>
  <c r="V3604" i="25" l="1"/>
  <c r="K3605" i="25"/>
  <c r="T3604" i="25"/>
  <c r="J3656" i="25"/>
  <c r="U3655" i="25"/>
  <c r="V3605" i="25" l="1"/>
  <c r="T3605" i="25"/>
  <c r="J3657" i="25"/>
  <c r="U3656" i="25"/>
  <c r="K3606" i="25"/>
  <c r="V3606" i="25" l="1"/>
  <c r="T3606" i="25"/>
  <c r="J3658" i="25"/>
  <c r="U3657" i="25"/>
  <c r="K3607" i="25"/>
  <c r="V3607" i="25" l="1"/>
  <c r="T3607" i="25"/>
  <c r="J3659" i="25"/>
  <c r="U3658" i="25"/>
  <c r="K3608" i="25"/>
  <c r="V3608" i="25" l="1"/>
  <c r="K3609" i="25"/>
  <c r="T3608" i="25"/>
  <c r="J3660" i="25"/>
  <c r="U3659" i="25"/>
  <c r="V3609" i="25" l="1"/>
  <c r="T3609" i="25"/>
  <c r="J3661" i="25"/>
  <c r="U3660" i="25"/>
  <c r="K3610" i="25"/>
  <c r="V3610" i="25" l="1"/>
  <c r="T3610" i="25"/>
  <c r="J3662" i="25"/>
  <c r="U3661" i="25"/>
  <c r="K3611" i="25"/>
  <c r="V3611" i="25" l="1"/>
  <c r="K3612" i="25"/>
  <c r="T3611" i="25"/>
  <c r="J3663" i="25"/>
  <c r="U3662" i="25"/>
  <c r="V3612" i="25" l="1"/>
  <c r="T3612" i="25"/>
  <c r="J3664" i="25"/>
  <c r="U3663" i="25"/>
  <c r="K3613" i="25"/>
  <c r="V3613" i="25" l="1"/>
  <c r="K3614" i="25"/>
  <c r="T3613" i="25"/>
  <c r="J3665" i="25"/>
  <c r="U3664" i="25"/>
  <c r="V3614" i="25" l="1"/>
  <c r="T3614" i="25"/>
  <c r="J3666" i="25"/>
  <c r="U3665" i="25"/>
  <c r="K3615" i="25"/>
  <c r="V3615" i="25" l="1"/>
  <c r="T3615" i="25"/>
  <c r="J3667" i="25"/>
  <c r="U3666" i="25"/>
  <c r="K3616" i="25"/>
  <c r="V3616" i="25" l="1"/>
  <c r="T3616" i="25"/>
  <c r="J3668" i="25"/>
  <c r="U3667" i="25"/>
  <c r="K3617" i="25"/>
  <c r="V3617" i="25" l="1"/>
  <c r="T3617" i="25"/>
  <c r="J3669" i="25"/>
  <c r="U3668" i="25"/>
  <c r="K3618" i="25"/>
  <c r="V3618" i="25" l="1"/>
  <c r="T3618" i="25"/>
  <c r="J3670" i="25"/>
  <c r="U3669" i="25"/>
  <c r="K3619" i="25"/>
  <c r="V3619" i="25" l="1"/>
  <c r="K3620" i="25"/>
  <c r="T3619" i="25"/>
  <c r="J3671" i="25"/>
  <c r="U3670" i="25"/>
  <c r="V3620" i="25" l="1"/>
  <c r="K3621" i="25"/>
  <c r="T3620" i="25"/>
  <c r="J3672" i="25"/>
  <c r="U3671" i="25"/>
  <c r="V3621" i="25" l="1"/>
  <c r="T3621" i="25"/>
  <c r="J3673" i="25"/>
  <c r="U3672" i="25"/>
  <c r="K3622" i="25"/>
  <c r="V3622" i="25" l="1"/>
  <c r="K3623" i="25"/>
  <c r="T3622" i="25"/>
  <c r="J3674" i="25"/>
  <c r="U3673" i="25"/>
  <c r="V3623" i="25" l="1"/>
  <c r="T3623" i="25"/>
  <c r="J3675" i="25"/>
  <c r="U3674" i="25"/>
  <c r="K3624" i="25"/>
  <c r="V3624" i="25" l="1"/>
  <c r="K3625" i="25"/>
  <c r="T3624" i="25"/>
  <c r="J3676" i="25"/>
  <c r="U3675" i="25"/>
  <c r="V3625" i="25" l="1"/>
  <c r="T3625" i="25"/>
  <c r="J3677" i="25"/>
  <c r="U3676" i="25"/>
  <c r="K3626" i="25"/>
  <c r="V3626" i="25" l="1"/>
  <c r="K3627" i="25"/>
  <c r="T3626" i="25"/>
  <c r="J3678" i="25"/>
  <c r="U3677" i="25"/>
  <c r="V3627" i="25" l="1"/>
  <c r="T3627" i="25"/>
  <c r="J3679" i="25"/>
  <c r="U3678" i="25"/>
  <c r="K3628" i="25"/>
  <c r="V3628" i="25" l="1"/>
  <c r="T3628" i="25"/>
  <c r="J3680" i="25"/>
  <c r="U3679" i="25"/>
  <c r="K3629" i="25"/>
  <c r="V3629" i="25" l="1"/>
  <c r="T3629" i="25"/>
  <c r="J3681" i="25"/>
  <c r="U3680" i="25"/>
  <c r="K3630" i="25"/>
  <c r="V3630" i="25" l="1"/>
  <c r="K3631" i="25"/>
  <c r="T3630" i="25"/>
  <c r="J3682" i="25"/>
  <c r="U3681" i="25"/>
  <c r="V3631" i="25" l="1"/>
  <c r="T3631" i="25"/>
  <c r="J3683" i="25"/>
  <c r="U3682" i="25"/>
  <c r="K3632" i="25"/>
  <c r="V3632" i="25" l="1"/>
  <c r="T3632" i="25"/>
  <c r="J3684" i="25"/>
  <c r="U3683" i="25"/>
  <c r="K3633" i="25"/>
  <c r="V3633" i="25" l="1"/>
  <c r="T3633" i="25"/>
  <c r="J3685" i="25"/>
  <c r="U3684" i="25"/>
  <c r="K3634" i="25"/>
  <c r="V3634" i="25" l="1"/>
  <c r="T3634" i="25"/>
  <c r="J3686" i="25"/>
  <c r="U3685" i="25"/>
  <c r="K3635" i="25"/>
  <c r="V3635" i="25" l="1"/>
  <c r="K3636" i="25"/>
  <c r="T3635" i="25"/>
  <c r="J3687" i="25"/>
  <c r="U3686" i="25"/>
  <c r="V3636" i="25" l="1"/>
  <c r="T3636" i="25"/>
  <c r="J3688" i="25"/>
  <c r="U3687" i="25"/>
  <c r="K3637" i="25"/>
  <c r="V3637" i="25" l="1"/>
  <c r="T3637" i="25"/>
  <c r="J3689" i="25"/>
  <c r="U3688" i="25"/>
  <c r="T3638" i="25" l="1"/>
  <c r="K3638" i="25"/>
  <c r="V3638" i="25" s="1"/>
  <c r="J3690" i="25"/>
  <c r="U3689" i="25"/>
  <c r="K3639" i="25"/>
  <c r="V3639" i="25" l="1"/>
  <c r="K3640" i="25"/>
  <c r="T3639" i="25"/>
  <c r="J3691" i="25"/>
  <c r="U3690" i="25"/>
  <c r="V3640" i="25" l="1"/>
  <c r="T3640" i="25"/>
  <c r="J3692" i="25"/>
  <c r="U3691" i="25"/>
  <c r="K3641" i="25"/>
  <c r="V3641" i="25" l="1"/>
  <c r="T3641" i="25"/>
  <c r="J3693" i="25"/>
  <c r="U3692" i="25"/>
  <c r="K3642" i="25"/>
  <c r="V3642" i="25" l="1"/>
  <c r="T3642" i="25"/>
  <c r="J3694" i="25"/>
  <c r="U3693" i="25"/>
  <c r="K3643" i="25"/>
  <c r="V3643" i="25" l="1"/>
  <c r="T3643" i="25"/>
  <c r="J3695" i="25"/>
  <c r="U3694" i="25"/>
  <c r="K3644" i="25"/>
  <c r="V3644" i="25" l="1"/>
  <c r="T3644" i="25"/>
  <c r="J3696" i="25"/>
  <c r="U3695" i="25"/>
  <c r="T3645" i="25" l="1"/>
  <c r="K3645" i="25"/>
  <c r="V3645" i="25" s="1"/>
  <c r="J3697" i="25"/>
  <c r="U3696" i="25"/>
  <c r="K3646" i="25"/>
  <c r="V3646" i="25" l="1"/>
  <c r="T3646" i="25"/>
  <c r="J3698" i="25"/>
  <c r="U3697" i="25"/>
  <c r="K3647" i="25"/>
  <c r="V3647" i="25" l="1"/>
  <c r="T3647" i="25"/>
  <c r="J3699" i="25"/>
  <c r="U3698" i="25"/>
  <c r="K3648" i="25"/>
  <c r="V3648" i="25" l="1"/>
  <c r="T3648" i="25"/>
  <c r="J3700" i="25"/>
  <c r="U3699" i="25"/>
  <c r="K3649" i="25"/>
  <c r="V3649" i="25" l="1"/>
  <c r="T3649" i="25"/>
  <c r="J3701" i="25"/>
  <c r="U3700" i="25"/>
  <c r="K3650" i="25"/>
  <c r="V3650" i="25" l="1"/>
  <c r="T3650" i="25"/>
  <c r="J3702" i="25"/>
  <c r="U3701" i="25"/>
  <c r="K3651" i="25"/>
  <c r="V3651" i="25" l="1"/>
  <c r="K3652" i="25"/>
  <c r="T3651" i="25"/>
  <c r="J3703" i="25"/>
  <c r="U3702" i="25"/>
  <c r="V3652" i="25" l="1"/>
  <c r="T3652" i="25"/>
  <c r="J3704" i="25"/>
  <c r="U3703" i="25"/>
  <c r="K3653" i="25"/>
  <c r="V3653" i="25" l="1"/>
  <c r="T3653" i="25"/>
  <c r="J3705" i="25"/>
  <c r="U3704" i="25"/>
  <c r="K3654" i="25"/>
  <c r="V3654" i="25" l="1"/>
  <c r="T3654" i="25"/>
  <c r="J3706" i="25"/>
  <c r="U3705" i="25"/>
  <c r="K3655" i="25"/>
  <c r="V3655" i="25" l="1"/>
  <c r="K3656" i="25"/>
  <c r="T3655" i="25"/>
  <c r="J3707" i="25"/>
  <c r="U3706" i="25"/>
  <c r="V3656" i="25" l="1"/>
  <c r="T3656" i="25"/>
  <c r="J3708" i="25"/>
  <c r="U3707" i="25"/>
  <c r="K3657" i="25"/>
  <c r="V3657" i="25" l="1"/>
  <c r="K3658" i="25"/>
  <c r="T3657" i="25"/>
  <c r="J3709" i="25"/>
  <c r="U3708" i="25"/>
  <c r="V3658" i="25" l="1"/>
  <c r="T3658" i="25"/>
  <c r="J3710" i="25"/>
  <c r="U3709" i="25"/>
  <c r="K3659" i="25"/>
  <c r="V3659" i="25" l="1"/>
  <c r="K3660" i="25"/>
  <c r="T3659" i="25"/>
  <c r="J3711" i="25"/>
  <c r="U3710" i="25"/>
  <c r="V3660" i="25" l="1"/>
  <c r="T3660" i="25"/>
  <c r="J3712" i="25"/>
  <c r="U3711" i="25"/>
  <c r="K3661" i="25"/>
  <c r="V3661" i="25" l="1"/>
  <c r="K3662" i="25"/>
  <c r="T3661" i="25"/>
  <c r="J3713" i="25"/>
  <c r="U3712" i="25"/>
  <c r="V3662" i="25" l="1"/>
  <c r="T3662" i="25"/>
  <c r="J3714" i="25"/>
  <c r="U3713" i="25"/>
  <c r="K3663" i="25"/>
  <c r="V3663" i="25" l="1"/>
  <c r="K3664" i="25"/>
  <c r="T3663" i="25"/>
  <c r="J3715" i="25"/>
  <c r="U3714" i="25"/>
  <c r="V3664" i="25" l="1"/>
  <c r="T3664" i="25"/>
  <c r="J3716" i="25"/>
  <c r="U3715" i="25"/>
  <c r="K3665" i="25"/>
  <c r="V3665" i="25" l="1"/>
  <c r="K3666" i="25"/>
  <c r="T3665" i="25"/>
  <c r="J3717" i="25"/>
  <c r="U3716" i="25"/>
  <c r="V3666" i="25" l="1"/>
  <c r="T3666" i="25"/>
  <c r="J3718" i="25"/>
  <c r="U3717" i="25"/>
  <c r="K3667" i="25"/>
  <c r="V3667" i="25" l="1"/>
  <c r="K3668" i="25"/>
  <c r="T3667" i="25"/>
  <c r="J3719" i="25"/>
  <c r="U3718" i="25"/>
  <c r="V3668" i="25" l="1"/>
  <c r="T3668" i="25"/>
  <c r="J3720" i="25"/>
  <c r="U3719" i="25"/>
  <c r="K3669" i="25"/>
  <c r="V3669" i="25" l="1"/>
  <c r="T3669" i="25"/>
  <c r="J3721" i="25"/>
  <c r="U3720" i="25"/>
  <c r="K3670" i="25"/>
  <c r="V3670" i="25" l="1"/>
  <c r="K3671" i="25"/>
  <c r="T3670" i="25"/>
  <c r="J3722" i="25"/>
  <c r="U3721" i="25"/>
  <c r="V3671" i="25" l="1"/>
  <c r="T3671" i="25"/>
  <c r="J3723" i="25"/>
  <c r="U3722" i="25"/>
  <c r="K3672" i="25"/>
  <c r="V3672" i="25" l="1"/>
  <c r="K3673" i="25"/>
  <c r="T3672" i="25"/>
  <c r="J3724" i="25"/>
  <c r="U3723" i="25"/>
  <c r="V3673" i="25" l="1"/>
  <c r="T3673" i="25"/>
  <c r="J3725" i="25"/>
  <c r="U3724" i="25"/>
  <c r="K3674" i="25"/>
  <c r="V3674" i="25" l="1"/>
  <c r="T3674" i="25"/>
  <c r="J3726" i="25"/>
  <c r="U3725" i="25"/>
  <c r="T3675" i="25" l="1"/>
  <c r="K3675" i="25"/>
  <c r="V3675" i="25" s="1"/>
  <c r="J3727" i="25"/>
  <c r="U3726" i="25"/>
  <c r="K3676" i="25"/>
  <c r="V3676" i="25" l="1"/>
  <c r="T3676" i="25"/>
  <c r="J3728" i="25"/>
  <c r="U3727" i="25"/>
  <c r="K3677" i="25"/>
  <c r="V3677" i="25" l="1"/>
  <c r="T3677" i="25"/>
  <c r="J3729" i="25"/>
  <c r="U3728" i="25"/>
  <c r="K3678" i="25"/>
  <c r="V3678" i="25" l="1"/>
  <c r="T3678" i="25"/>
  <c r="J3730" i="25"/>
  <c r="U3729" i="25"/>
  <c r="K3679" i="25"/>
  <c r="V3679" i="25" l="1"/>
  <c r="T3679" i="25"/>
  <c r="J3731" i="25"/>
  <c r="U3730" i="25"/>
  <c r="K3680" i="25"/>
  <c r="V3680" i="25" l="1"/>
  <c r="T3680" i="25"/>
  <c r="J3732" i="25"/>
  <c r="U3731" i="25"/>
  <c r="K3681" i="25"/>
  <c r="V3681" i="25" l="1"/>
  <c r="T3681" i="25"/>
  <c r="J3733" i="25"/>
  <c r="U3732" i="25"/>
  <c r="K3682" i="25"/>
  <c r="V3682" i="25" l="1"/>
  <c r="T3682" i="25"/>
  <c r="J3734" i="25"/>
  <c r="U3733" i="25"/>
  <c r="K3683" i="25"/>
  <c r="V3683" i="25" l="1"/>
  <c r="T3683" i="25"/>
  <c r="J3735" i="25"/>
  <c r="U3734" i="25"/>
  <c r="K3684" i="25"/>
  <c r="V3684" i="25" l="1"/>
  <c r="T3684" i="25"/>
  <c r="J3736" i="25"/>
  <c r="U3735" i="25"/>
  <c r="K3685" i="25"/>
  <c r="V3685" i="25" l="1"/>
  <c r="T3685" i="25"/>
  <c r="J3737" i="25"/>
  <c r="U3736" i="25"/>
  <c r="K3686" i="25"/>
  <c r="V3686" i="25" l="1"/>
  <c r="T3686" i="25"/>
  <c r="J3738" i="25"/>
  <c r="U3737" i="25"/>
  <c r="K3687" i="25"/>
  <c r="V3687" i="25" l="1"/>
  <c r="T3687" i="25"/>
  <c r="J3739" i="25"/>
  <c r="U3738" i="25"/>
  <c r="K3688" i="25"/>
  <c r="V3688" i="25" l="1"/>
  <c r="T3688" i="25"/>
  <c r="J3740" i="25"/>
  <c r="U3739" i="25"/>
  <c r="K3689" i="25"/>
  <c r="V3689" i="25" l="1"/>
  <c r="K3690" i="25"/>
  <c r="T3689" i="25"/>
  <c r="J3741" i="25"/>
  <c r="U3740" i="25"/>
  <c r="V3690" i="25" l="1"/>
  <c r="T3690" i="25"/>
  <c r="J3742" i="25"/>
  <c r="U3741" i="25"/>
  <c r="K3691" i="25"/>
  <c r="V3691" i="25" l="1"/>
  <c r="T3691" i="25"/>
  <c r="J3743" i="25"/>
  <c r="U3742" i="25"/>
  <c r="K3692" i="25"/>
  <c r="V3692" i="25" l="1"/>
  <c r="K3693" i="25"/>
  <c r="T3692" i="25"/>
  <c r="J3744" i="25"/>
  <c r="U3743" i="25"/>
  <c r="V3693" i="25" l="1"/>
  <c r="T3693" i="25"/>
  <c r="J3745" i="25"/>
  <c r="U3744" i="25"/>
  <c r="K3694" i="25"/>
  <c r="V3694" i="25" l="1"/>
  <c r="T3694" i="25"/>
  <c r="J3746" i="25"/>
  <c r="U3745" i="25"/>
  <c r="K3695" i="25"/>
  <c r="V3695" i="25" l="1"/>
  <c r="T3695" i="25"/>
  <c r="J3747" i="25"/>
  <c r="U3746" i="25"/>
  <c r="K3696" i="25"/>
  <c r="V3696" i="25" l="1"/>
  <c r="T3696" i="25"/>
  <c r="J3748" i="25"/>
  <c r="U3747" i="25"/>
  <c r="K3697" i="25"/>
  <c r="V3697" i="25" l="1"/>
  <c r="T3697" i="25"/>
  <c r="J3749" i="25"/>
  <c r="U3748" i="25"/>
  <c r="K3698" i="25"/>
  <c r="V3698" i="25" l="1"/>
  <c r="T3698" i="25"/>
  <c r="J3750" i="25"/>
  <c r="U3749" i="25"/>
  <c r="K3699" i="25"/>
  <c r="V3699" i="25" l="1"/>
  <c r="T3699" i="25"/>
  <c r="J3751" i="25"/>
  <c r="U3750" i="25"/>
  <c r="K3700" i="25"/>
  <c r="V3700" i="25" l="1"/>
  <c r="K3701" i="25"/>
  <c r="T3700" i="25"/>
  <c r="J3752" i="25"/>
  <c r="U3751" i="25"/>
  <c r="V3701" i="25" l="1"/>
  <c r="T3701" i="25"/>
  <c r="J3753" i="25"/>
  <c r="U3752" i="25"/>
  <c r="K3702" i="25"/>
  <c r="V3702" i="25" l="1"/>
  <c r="T3702" i="25"/>
  <c r="J3754" i="25"/>
  <c r="U3753" i="25"/>
  <c r="K3703" i="25"/>
  <c r="V3703" i="25" l="1"/>
  <c r="T3703" i="25"/>
  <c r="J3755" i="25"/>
  <c r="U3754" i="25"/>
  <c r="K3704" i="25"/>
  <c r="V3704" i="25" l="1"/>
  <c r="T3704" i="25"/>
  <c r="J3756" i="25"/>
  <c r="U3755" i="25"/>
  <c r="K3705" i="25"/>
  <c r="V3705" i="25" l="1"/>
  <c r="T3705" i="25"/>
  <c r="J3757" i="25"/>
  <c r="U3756" i="25"/>
  <c r="K3706" i="25"/>
  <c r="V3706" i="25" l="1"/>
  <c r="K3707" i="25"/>
  <c r="T3706" i="25"/>
  <c r="J3758" i="25"/>
  <c r="U3757" i="25"/>
  <c r="V3707" i="25" l="1"/>
  <c r="T3707" i="25"/>
  <c r="J3759" i="25"/>
  <c r="U3758" i="25"/>
  <c r="K3708" i="25"/>
  <c r="V3708" i="25" l="1"/>
  <c r="T3708" i="25"/>
  <c r="J3760" i="25"/>
  <c r="U3759" i="25"/>
  <c r="K3709" i="25"/>
  <c r="V3709" i="25" l="1"/>
  <c r="T3709" i="25"/>
  <c r="J3761" i="25"/>
  <c r="U3760" i="25"/>
  <c r="K3710" i="25"/>
  <c r="V3710" i="25" l="1"/>
  <c r="K3711" i="25"/>
  <c r="T3710" i="25"/>
  <c r="J3762" i="25"/>
  <c r="U3761" i="25"/>
  <c r="V3711" i="25" l="1"/>
  <c r="T3711" i="25"/>
  <c r="J3763" i="25"/>
  <c r="U3762" i="25"/>
  <c r="K3712" i="25"/>
  <c r="V3712" i="25" l="1"/>
  <c r="K3713" i="25"/>
  <c r="T3712" i="25"/>
  <c r="J3764" i="25"/>
  <c r="U3763" i="25"/>
  <c r="V3713" i="25" l="1"/>
  <c r="T3713" i="25"/>
  <c r="J3765" i="25"/>
  <c r="U3764" i="25"/>
  <c r="K3714" i="25"/>
  <c r="V3714" i="25" l="1"/>
  <c r="K3715" i="25"/>
  <c r="T3714" i="25"/>
  <c r="J3766" i="25"/>
  <c r="U3765" i="25"/>
  <c r="V3715" i="25" l="1"/>
  <c r="T3715" i="25"/>
  <c r="J3767" i="25"/>
  <c r="U3766" i="25"/>
  <c r="K3716" i="25"/>
  <c r="V3716" i="25" l="1"/>
  <c r="T3716" i="25"/>
  <c r="J3768" i="25"/>
  <c r="U3767" i="25"/>
  <c r="K3717" i="25"/>
  <c r="V3717" i="25" l="1"/>
  <c r="T3717" i="25"/>
  <c r="J3769" i="25"/>
  <c r="U3768" i="25"/>
  <c r="K3718" i="25"/>
  <c r="V3718" i="25" l="1"/>
  <c r="T3718" i="25"/>
  <c r="J3770" i="25"/>
  <c r="U3769" i="25"/>
  <c r="K3719" i="25"/>
  <c r="V3719" i="25" l="1"/>
  <c r="K3720" i="25"/>
  <c r="T3719" i="25"/>
  <c r="J3771" i="25"/>
  <c r="U3770" i="25"/>
  <c r="V3720" i="25" l="1"/>
  <c r="T3720" i="25"/>
  <c r="J3772" i="25"/>
  <c r="U3771" i="25"/>
  <c r="K3721" i="25"/>
  <c r="V3721" i="25" l="1"/>
  <c r="T3721" i="25"/>
  <c r="J3773" i="25"/>
  <c r="U3772" i="25"/>
  <c r="K3722" i="25"/>
  <c r="V3722" i="25" l="1"/>
  <c r="K3723" i="25"/>
  <c r="T3722" i="25"/>
  <c r="J3774" i="25"/>
  <c r="U3773" i="25"/>
  <c r="V3723" i="25" l="1"/>
  <c r="T3723" i="25"/>
  <c r="J3775" i="25"/>
  <c r="U3774" i="25"/>
  <c r="K3724" i="25"/>
  <c r="V3724" i="25" l="1"/>
  <c r="K3725" i="25"/>
  <c r="T3724" i="25"/>
  <c r="J3776" i="25"/>
  <c r="U3775" i="25"/>
  <c r="V3725" i="25" l="1"/>
  <c r="T3725" i="25"/>
  <c r="J3777" i="25"/>
  <c r="U3776" i="25"/>
  <c r="K3726" i="25"/>
  <c r="V3726" i="25" l="1"/>
  <c r="T3726" i="25"/>
  <c r="J3778" i="25"/>
  <c r="U3777" i="25"/>
  <c r="K3727" i="25"/>
  <c r="V3727" i="25" l="1"/>
  <c r="K3728" i="25"/>
  <c r="T3727" i="25"/>
  <c r="J3779" i="25"/>
  <c r="U3778" i="25"/>
  <c r="V3728" i="25" l="1"/>
  <c r="T3728" i="25"/>
  <c r="J3780" i="25"/>
  <c r="U3779" i="25"/>
  <c r="K3729" i="25"/>
  <c r="V3729" i="25" l="1"/>
  <c r="T3729" i="25"/>
  <c r="J3781" i="25"/>
  <c r="U3780" i="25"/>
  <c r="K3730" i="25"/>
  <c r="V3730" i="25" l="1"/>
  <c r="T3730" i="25"/>
  <c r="J3782" i="25"/>
  <c r="U3781" i="25"/>
  <c r="K3731" i="25"/>
  <c r="V3731" i="25" l="1"/>
  <c r="K3732" i="25"/>
  <c r="T3731" i="25"/>
  <c r="J3783" i="25"/>
  <c r="U3782" i="25"/>
  <c r="V3732" i="25" l="1"/>
  <c r="T3732" i="25"/>
  <c r="J3784" i="25"/>
  <c r="U3783" i="25"/>
  <c r="K3733" i="25"/>
  <c r="V3733" i="25" l="1"/>
  <c r="T3733" i="25"/>
  <c r="J3785" i="25"/>
  <c r="U3784" i="25"/>
  <c r="K3734" i="25"/>
  <c r="V3734" i="25" l="1"/>
  <c r="T3734" i="25"/>
  <c r="J3786" i="25"/>
  <c r="U3785" i="25"/>
  <c r="K3735" i="25"/>
  <c r="V3735" i="25" l="1"/>
  <c r="T3735" i="25"/>
  <c r="J3787" i="25"/>
  <c r="U3786" i="25"/>
  <c r="K3736" i="25"/>
  <c r="V3736" i="25" l="1"/>
  <c r="K3737" i="25"/>
  <c r="T3736" i="25"/>
  <c r="J3788" i="25"/>
  <c r="U3787" i="25"/>
  <c r="V3737" i="25" l="1"/>
  <c r="T3737" i="25"/>
  <c r="J3789" i="25"/>
  <c r="U3788" i="25"/>
  <c r="K3738" i="25"/>
  <c r="V3738" i="25" l="1"/>
  <c r="K3739" i="25"/>
  <c r="T3738" i="25"/>
  <c r="J3790" i="25"/>
  <c r="U3789" i="25"/>
  <c r="V3739" i="25" l="1"/>
  <c r="T3739" i="25"/>
  <c r="J3791" i="25"/>
  <c r="U3790" i="25"/>
  <c r="K3740" i="25"/>
  <c r="V3740" i="25" l="1"/>
  <c r="T3740" i="25"/>
  <c r="J3792" i="25"/>
  <c r="U3791" i="25"/>
  <c r="K3741" i="25"/>
  <c r="V3741" i="25" l="1"/>
  <c r="T3741" i="25"/>
  <c r="J3793" i="25"/>
  <c r="U3792" i="25"/>
  <c r="K3742" i="25"/>
  <c r="V3742" i="25" l="1"/>
  <c r="T3742" i="25"/>
  <c r="J3794" i="25"/>
  <c r="U3793" i="25"/>
  <c r="K3743" i="25"/>
  <c r="V3743" i="25" l="1"/>
  <c r="K3744" i="25"/>
  <c r="T3743" i="25"/>
  <c r="J3795" i="25"/>
  <c r="U3794" i="25"/>
  <c r="V3744" i="25" l="1"/>
  <c r="T3744" i="25"/>
  <c r="J3796" i="25"/>
  <c r="U3795" i="25"/>
  <c r="K3745" i="25"/>
  <c r="V3745" i="25" l="1"/>
  <c r="T3745" i="25"/>
  <c r="J3797" i="25"/>
  <c r="U3796" i="25"/>
  <c r="K3746" i="25"/>
  <c r="V3746" i="25" l="1"/>
  <c r="T3746" i="25"/>
  <c r="J3798" i="25"/>
  <c r="U3797" i="25"/>
  <c r="K3747" i="25"/>
  <c r="V3747" i="25" l="1"/>
  <c r="K3748" i="25"/>
  <c r="T3747" i="25"/>
  <c r="J3799" i="25"/>
  <c r="U3798" i="25"/>
  <c r="V3748" i="25" l="1"/>
  <c r="T3748" i="25"/>
  <c r="J3800" i="25"/>
  <c r="U3799" i="25"/>
  <c r="K3749" i="25"/>
  <c r="V3749" i="25" l="1"/>
  <c r="K3750" i="25"/>
  <c r="T3749" i="25"/>
  <c r="J3801" i="25"/>
  <c r="U3800" i="25"/>
  <c r="V3750" i="25" l="1"/>
  <c r="T3750" i="25"/>
  <c r="J3802" i="25"/>
  <c r="U3801" i="25"/>
  <c r="K3751" i="25"/>
  <c r="V3751" i="25" l="1"/>
  <c r="K3752" i="25"/>
  <c r="T3751" i="25"/>
  <c r="J3803" i="25"/>
  <c r="U3802" i="25"/>
  <c r="V3752" i="25" l="1"/>
  <c r="T3752" i="25"/>
  <c r="J3804" i="25"/>
  <c r="U3803" i="25"/>
  <c r="K3753" i="25"/>
  <c r="V3753" i="25" l="1"/>
  <c r="T3753" i="25"/>
  <c r="J3805" i="25"/>
  <c r="U3804" i="25"/>
  <c r="K3754" i="25"/>
  <c r="V3754" i="25" l="1"/>
  <c r="T3754" i="25"/>
  <c r="J3806" i="25"/>
  <c r="U3805" i="25"/>
  <c r="K3755" i="25"/>
  <c r="V3755" i="25" l="1"/>
  <c r="T3755" i="25"/>
  <c r="J3807" i="25"/>
  <c r="U3806" i="25"/>
  <c r="K3756" i="25"/>
  <c r="V3756" i="25" l="1"/>
  <c r="T3756" i="25"/>
  <c r="J3808" i="25"/>
  <c r="U3807" i="25"/>
  <c r="K3757" i="25"/>
  <c r="V3757" i="25" l="1"/>
  <c r="T3757" i="25"/>
  <c r="J3809" i="25"/>
  <c r="U3808" i="25"/>
  <c r="K3758" i="25"/>
  <c r="V3758" i="25" l="1"/>
  <c r="T3758" i="25"/>
  <c r="J3810" i="25"/>
  <c r="U3809" i="25"/>
  <c r="K3759" i="25"/>
  <c r="V3759" i="25" l="1"/>
  <c r="T3759" i="25"/>
  <c r="J3811" i="25"/>
  <c r="U3810" i="25"/>
  <c r="K3760" i="25"/>
  <c r="V3760" i="25" l="1"/>
  <c r="K3761" i="25"/>
  <c r="T3760" i="25"/>
  <c r="J3812" i="25"/>
  <c r="U3811" i="25"/>
  <c r="V3761" i="25" l="1"/>
  <c r="K3762" i="25"/>
  <c r="T3761" i="25"/>
  <c r="J3813" i="25"/>
  <c r="U3812" i="25"/>
  <c r="V3762" i="25" l="1"/>
  <c r="T3762" i="25"/>
  <c r="J3814" i="25"/>
  <c r="U3813" i="25"/>
  <c r="K3763" i="25"/>
  <c r="V3763" i="25" l="1"/>
  <c r="T3763" i="25"/>
  <c r="J3815" i="25"/>
  <c r="U3814" i="25"/>
  <c r="K3764" i="25"/>
  <c r="V3764" i="25" l="1"/>
  <c r="T3764" i="25"/>
  <c r="J3816" i="25"/>
  <c r="U3815" i="25"/>
  <c r="K3765" i="25"/>
  <c r="V3765" i="25" l="1"/>
  <c r="T3765" i="25"/>
  <c r="J3817" i="25"/>
  <c r="U3816" i="25"/>
  <c r="K3766" i="25"/>
  <c r="V3766" i="25" l="1"/>
  <c r="T3766" i="25"/>
  <c r="J3818" i="25"/>
  <c r="U3817" i="25"/>
  <c r="K3767" i="25"/>
  <c r="V3767" i="25" l="1"/>
  <c r="T3767" i="25"/>
  <c r="J3819" i="25"/>
  <c r="U3818" i="25"/>
  <c r="K3768" i="25"/>
  <c r="V3768" i="25" l="1"/>
  <c r="K3769" i="25"/>
  <c r="T3768" i="25"/>
  <c r="J3820" i="25"/>
  <c r="U3819" i="25"/>
  <c r="V3769" i="25" l="1"/>
  <c r="T3769" i="25"/>
  <c r="J3821" i="25"/>
  <c r="U3820" i="25"/>
  <c r="K3770" i="25"/>
  <c r="V3770" i="25" l="1"/>
  <c r="K3771" i="25"/>
  <c r="T3770" i="25"/>
  <c r="J3822" i="25"/>
  <c r="U3821" i="25"/>
  <c r="V3771" i="25" l="1"/>
  <c r="T3771" i="25"/>
  <c r="J3823" i="25"/>
  <c r="U3822" i="25"/>
  <c r="K3772" i="25"/>
  <c r="V3772" i="25" l="1"/>
  <c r="T3772" i="25"/>
  <c r="J3824" i="25"/>
  <c r="U3823" i="25"/>
  <c r="K3773" i="25"/>
  <c r="V3773" i="25" l="1"/>
  <c r="T3773" i="25"/>
  <c r="J3825" i="25"/>
  <c r="U3824" i="25"/>
  <c r="K3774" i="25"/>
  <c r="V3774" i="25" l="1"/>
  <c r="T3774" i="25"/>
  <c r="J3826" i="25"/>
  <c r="U3825" i="25"/>
  <c r="K3775" i="25"/>
  <c r="V3775" i="25" l="1"/>
  <c r="T3775" i="25"/>
  <c r="J3827" i="25"/>
  <c r="U3826" i="25"/>
  <c r="K3776" i="25"/>
  <c r="V3776" i="25" l="1"/>
  <c r="K3777" i="25"/>
  <c r="T3776" i="25"/>
  <c r="J3828" i="25"/>
  <c r="U3827" i="25"/>
  <c r="V3777" i="25" l="1"/>
  <c r="T3777" i="25"/>
  <c r="J3829" i="25"/>
  <c r="U3828" i="25"/>
  <c r="K3778" i="25"/>
  <c r="V3778" i="25" l="1"/>
  <c r="K3779" i="25"/>
  <c r="T3778" i="25"/>
  <c r="J3830" i="25"/>
  <c r="U3829" i="25"/>
  <c r="V3779" i="25" l="1"/>
  <c r="T3779" i="25"/>
  <c r="J3831" i="25"/>
  <c r="U3830" i="25"/>
  <c r="K3780" i="25"/>
  <c r="V3780" i="25" l="1"/>
  <c r="T3780" i="25"/>
  <c r="J3832" i="25"/>
  <c r="U3831" i="25"/>
  <c r="K3781" i="25"/>
  <c r="V3781" i="25" l="1"/>
  <c r="T3781" i="25"/>
  <c r="J3833" i="25"/>
  <c r="U3832" i="25"/>
  <c r="K3782" i="25"/>
  <c r="V3782" i="25" l="1"/>
  <c r="T3782" i="25"/>
  <c r="J3834" i="25"/>
  <c r="U3833" i="25"/>
  <c r="K3783" i="25"/>
  <c r="V3783" i="25" l="1"/>
  <c r="K3784" i="25"/>
  <c r="T3783" i="25"/>
  <c r="J3835" i="25"/>
  <c r="U3834" i="25"/>
  <c r="V3784" i="25" l="1"/>
  <c r="T3784" i="25"/>
  <c r="J3836" i="25"/>
  <c r="U3835" i="25"/>
  <c r="K3785" i="25"/>
  <c r="V3785" i="25" l="1"/>
  <c r="T3785" i="25"/>
  <c r="J3837" i="25"/>
  <c r="U3836" i="25"/>
  <c r="K3786" i="25"/>
  <c r="V3786" i="25" l="1"/>
  <c r="T3786" i="25"/>
  <c r="J3838" i="25"/>
  <c r="U3837" i="25"/>
  <c r="K3787" i="25"/>
  <c r="V3787" i="25" l="1"/>
  <c r="T3787" i="25"/>
  <c r="J3839" i="25"/>
  <c r="U3838" i="25"/>
  <c r="K3788" i="25"/>
  <c r="V3788" i="25" l="1"/>
  <c r="T3788" i="25"/>
  <c r="J3840" i="25"/>
  <c r="U3839" i="25"/>
  <c r="K3789" i="25"/>
  <c r="V3789" i="25" l="1"/>
  <c r="T3789" i="25"/>
  <c r="J3841" i="25"/>
  <c r="U3840" i="25"/>
  <c r="K3790" i="25"/>
  <c r="V3790" i="25" l="1"/>
  <c r="T3790" i="25"/>
  <c r="J3842" i="25"/>
  <c r="U3841" i="25"/>
  <c r="K3791" i="25"/>
  <c r="V3791" i="25" l="1"/>
  <c r="T3791" i="25"/>
  <c r="J3843" i="25"/>
  <c r="U3842" i="25"/>
  <c r="K3792" i="25"/>
  <c r="V3792" i="25" l="1"/>
  <c r="T3792" i="25"/>
  <c r="J3844" i="25"/>
  <c r="U3843" i="25"/>
  <c r="K3793" i="25"/>
  <c r="V3793" i="25" l="1"/>
  <c r="T3793" i="25"/>
  <c r="J3845" i="25"/>
  <c r="U3844" i="25"/>
  <c r="K3794" i="25"/>
  <c r="V3794" i="25" l="1"/>
  <c r="T3794" i="25"/>
  <c r="J3846" i="25"/>
  <c r="U3845" i="25"/>
  <c r="K3795" i="25"/>
  <c r="V3795" i="25" l="1"/>
  <c r="K3796" i="25"/>
  <c r="T3795" i="25"/>
  <c r="J3847" i="25"/>
  <c r="U3846" i="25"/>
  <c r="V3796" i="25" l="1"/>
  <c r="T3796" i="25"/>
  <c r="J3848" i="25"/>
  <c r="U3847" i="25"/>
  <c r="K3797" i="25"/>
  <c r="V3797" i="25" l="1"/>
  <c r="K3798" i="25"/>
  <c r="T3797" i="25"/>
  <c r="J3849" i="25"/>
  <c r="U3848" i="25"/>
  <c r="V3798" i="25" l="1"/>
  <c r="T3798" i="25"/>
  <c r="J3850" i="25"/>
  <c r="U3849" i="25"/>
  <c r="K3799" i="25"/>
  <c r="V3799" i="25" l="1"/>
  <c r="K3800" i="25"/>
  <c r="T3799" i="25"/>
  <c r="J3851" i="25"/>
  <c r="U3850" i="25"/>
  <c r="V3800" i="25" l="1"/>
  <c r="T3800" i="25"/>
  <c r="J3852" i="25"/>
  <c r="U3851" i="25"/>
  <c r="K3801" i="25"/>
  <c r="V3801" i="25" l="1"/>
  <c r="T3801" i="25"/>
  <c r="J3853" i="25"/>
  <c r="U3852" i="25"/>
  <c r="K3802" i="25"/>
  <c r="V3802" i="25" l="1"/>
  <c r="K3803" i="25"/>
  <c r="T3802" i="25"/>
  <c r="J3854" i="25"/>
  <c r="U3853" i="25"/>
  <c r="V3803" i="25" l="1"/>
  <c r="T3803" i="25"/>
  <c r="J3855" i="25"/>
  <c r="U3854" i="25"/>
  <c r="K3804" i="25"/>
  <c r="V3804" i="25" l="1"/>
  <c r="T3804" i="25"/>
  <c r="J3856" i="25"/>
  <c r="U3855" i="25"/>
  <c r="K3805" i="25"/>
  <c r="V3805" i="25" l="1"/>
  <c r="T3805" i="25"/>
  <c r="J3857" i="25"/>
  <c r="U3856" i="25"/>
  <c r="K3806" i="25"/>
  <c r="V3806" i="25" l="1"/>
  <c r="K3807" i="25"/>
  <c r="T3806" i="25"/>
  <c r="J3858" i="25"/>
  <c r="U3857" i="25"/>
  <c r="V3807" i="25" l="1"/>
  <c r="T3807" i="25"/>
  <c r="J3859" i="25"/>
  <c r="U3858" i="25"/>
  <c r="K3808" i="25"/>
  <c r="V3808" i="25" l="1"/>
  <c r="K3809" i="25"/>
  <c r="T3808" i="25"/>
  <c r="J3860" i="25"/>
  <c r="U3859" i="25"/>
  <c r="V3809" i="25" l="1"/>
  <c r="T3809" i="25"/>
  <c r="J3861" i="25"/>
  <c r="U3860" i="25"/>
  <c r="K3810" i="25"/>
  <c r="V3810" i="25" l="1"/>
  <c r="K3811" i="25"/>
  <c r="T3810" i="25"/>
  <c r="J3862" i="25"/>
  <c r="U3861" i="25"/>
  <c r="V3811" i="25" l="1"/>
  <c r="T3811" i="25"/>
  <c r="J3863" i="25"/>
  <c r="U3862" i="25"/>
  <c r="K3812" i="25"/>
  <c r="V3812" i="25" l="1"/>
  <c r="T3812" i="25"/>
  <c r="J3864" i="25"/>
  <c r="U3863" i="25"/>
  <c r="K3813" i="25"/>
  <c r="V3813" i="25" l="1"/>
  <c r="T3813" i="25"/>
  <c r="J3865" i="25"/>
  <c r="U3864" i="25"/>
  <c r="K3814" i="25"/>
  <c r="V3814" i="25" l="1"/>
  <c r="T3814" i="25"/>
  <c r="J3866" i="25"/>
  <c r="U3865" i="25"/>
  <c r="K3815" i="25"/>
  <c r="V3815" i="25" l="1"/>
  <c r="K3816" i="25"/>
  <c r="T3815" i="25"/>
  <c r="J3867" i="25"/>
  <c r="U3866" i="25"/>
  <c r="V3816" i="25" l="1"/>
  <c r="T3816" i="25"/>
  <c r="J3868" i="25"/>
  <c r="U3867" i="25"/>
  <c r="K3817" i="25"/>
  <c r="V3817" i="25" l="1"/>
  <c r="T3817" i="25"/>
  <c r="J3869" i="25"/>
  <c r="U3868" i="25"/>
  <c r="K3818" i="25"/>
  <c r="V3818" i="25" l="1"/>
  <c r="T3818" i="25"/>
  <c r="J3870" i="25"/>
  <c r="U3869" i="25"/>
  <c r="K3819" i="25"/>
  <c r="V3819" i="25" l="1"/>
  <c r="T3819" i="25"/>
  <c r="J3871" i="25"/>
  <c r="U3870" i="25"/>
  <c r="K3820" i="25"/>
  <c r="V3820" i="25" l="1"/>
  <c r="K3821" i="25"/>
  <c r="T3820" i="25"/>
  <c r="J3872" i="25"/>
  <c r="U3871" i="25"/>
  <c r="V3821" i="25" l="1"/>
  <c r="T3821" i="25"/>
  <c r="J3873" i="25"/>
  <c r="U3872" i="25"/>
  <c r="K3822" i="25"/>
  <c r="V3822" i="25" l="1"/>
  <c r="K3823" i="25"/>
  <c r="T3822" i="25"/>
  <c r="J3874" i="25"/>
  <c r="U3873" i="25"/>
  <c r="V3823" i="25" l="1"/>
  <c r="T3823" i="25"/>
  <c r="J3875" i="25"/>
  <c r="U3874" i="25"/>
  <c r="K3824" i="25"/>
  <c r="V3824" i="25" l="1"/>
  <c r="T3824" i="25"/>
  <c r="J3876" i="25"/>
  <c r="U3875" i="25"/>
  <c r="K3825" i="25"/>
  <c r="V3825" i="25" l="1"/>
  <c r="T3825" i="25"/>
  <c r="J3877" i="25"/>
  <c r="U3876" i="25"/>
  <c r="K3826" i="25"/>
  <c r="V3826" i="25" l="1"/>
  <c r="T3826" i="25"/>
  <c r="J3878" i="25"/>
  <c r="U3877" i="25"/>
  <c r="K3827" i="25"/>
  <c r="V3827" i="25" l="1"/>
  <c r="K3828" i="25"/>
  <c r="T3827" i="25"/>
  <c r="J3879" i="25"/>
  <c r="U3878" i="25"/>
  <c r="V3828" i="25" l="1"/>
  <c r="T3828" i="25"/>
  <c r="J3880" i="25"/>
  <c r="U3879" i="25"/>
  <c r="K3829" i="25"/>
  <c r="V3829" i="25" l="1"/>
  <c r="T3829" i="25"/>
  <c r="J3881" i="25"/>
  <c r="U3880" i="25"/>
  <c r="K3830" i="25"/>
  <c r="V3830" i="25" l="1"/>
  <c r="T3830" i="25"/>
  <c r="J3882" i="25"/>
  <c r="U3881" i="25"/>
  <c r="K3831" i="25"/>
  <c r="V3831" i="25" l="1"/>
  <c r="T3831" i="25"/>
  <c r="J3883" i="25"/>
  <c r="U3882" i="25"/>
  <c r="K3832" i="25"/>
  <c r="V3832" i="25" l="1"/>
  <c r="K3833" i="25"/>
  <c r="T3832" i="25"/>
  <c r="J3884" i="25"/>
  <c r="U3883" i="25"/>
  <c r="V3833" i="25" l="1"/>
  <c r="T3833" i="25"/>
  <c r="J3885" i="25"/>
  <c r="U3884" i="25"/>
  <c r="K3834" i="25"/>
  <c r="V3834" i="25" l="1"/>
  <c r="T3834" i="25"/>
  <c r="J3886" i="25"/>
  <c r="U3885" i="25"/>
  <c r="K3835" i="25"/>
  <c r="V3835" i="25" l="1"/>
  <c r="K3836" i="25"/>
  <c r="T3835" i="25"/>
  <c r="J3887" i="25"/>
  <c r="U3886" i="25"/>
  <c r="V3836" i="25" l="1"/>
  <c r="K3837" i="25"/>
  <c r="T3836" i="25"/>
  <c r="J3888" i="25"/>
  <c r="U3887" i="25"/>
  <c r="V3837" i="25" l="1"/>
  <c r="T3837" i="25"/>
  <c r="J3889" i="25"/>
  <c r="U3888" i="25"/>
  <c r="K3838" i="25"/>
  <c r="V3838" i="25" l="1"/>
  <c r="K3839" i="25"/>
  <c r="T3838" i="25"/>
  <c r="J3890" i="25"/>
  <c r="U3889" i="25"/>
  <c r="V3839" i="25" l="1"/>
  <c r="T3839" i="25"/>
  <c r="J3891" i="25"/>
  <c r="U3890" i="25"/>
  <c r="K3840" i="25"/>
  <c r="V3840" i="25" l="1"/>
  <c r="K3841" i="25"/>
  <c r="T3840" i="25"/>
  <c r="J3892" i="25"/>
  <c r="U3891" i="25"/>
  <c r="V3841" i="25" l="1"/>
  <c r="T3841" i="25"/>
  <c r="J3893" i="25"/>
  <c r="U3892" i="25"/>
  <c r="K3842" i="25"/>
  <c r="V3842" i="25" l="1"/>
  <c r="K3843" i="25"/>
  <c r="T3842" i="25"/>
  <c r="J3894" i="25"/>
  <c r="U3893" i="25"/>
  <c r="V3843" i="25" l="1"/>
  <c r="T3843" i="25"/>
  <c r="J3895" i="25"/>
  <c r="U3894" i="25"/>
  <c r="K3844" i="25"/>
  <c r="V3844" i="25" l="1"/>
  <c r="T3844" i="25"/>
  <c r="J3896" i="25"/>
  <c r="U3895" i="25"/>
  <c r="K3845" i="25"/>
  <c r="V3845" i="25" l="1"/>
  <c r="T3845" i="25"/>
  <c r="J3897" i="25"/>
  <c r="U3896" i="25"/>
  <c r="T3846" i="25" l="1"/>
  <c r="K3846" i="25"/>
  <c r="V3846" i="25" s="1"/>
  <c r="J3898" i="25"/>
  <c r="U3897" i="25"/>
  <c r="K3847" i="25"/>
  <c r="V3847" i="25" l="1"/>
  <c r="K3848" i="25"/>
  <c r="T3847" i="25"/>
  <c r="J3899" i="25"/>
  <c r="U3898" i="25"/>
  <c r="V3848" i="25" l="1"/>
  <c r="T3848" i="25"/>
  <c r="J3900" i="25"/>
  <c r="U3899" i="25"/>
  <c r="K3849" i="25"/>
  <c r="V3849" i="25" l="1"/>
  <c r="T3849" i="25"/>
  <c r="J3901" i="25"/>
  <c r="U3900" i="25"/>
  <c r="K3850" i="25"/>
  <c r="V3850" i="25" l="1"/>
  <c r="K3851" i="25"/>
  <c r="T3850" i="25"/>
  <c r="J3902" i="25"/>
  <c r="U3901" i="25"/>
  <c r="V3851" i="25" l="1"/>
  <c r="T3851" i="25"/>
  <c r="J3903" i="25"/>
  <c r="U3902" i="25"/>
  <c r="K3852" i="25"/>
  <c r="V3852" i="25" l="1"/>
  <c r="T3852" i="25"/>
  <c r="J3904" i="25"/>
  <c r="U3903" i="25"/>
  <c r="K3853" i="25"/>
  <c r="V3853" i="25" l="1"/>
  <c r="T3853" i="25"/>
  <c r="J3905" i="25"/>
  <c r="U3904" i="25"/>
  <c r="K3854" i="25"/>
  <c r="V3854" i="25" l="1"/>
  <c r="K3855" i="25"/>
  <c r="T3854" i="25"/>
  <c r="J3906" i="25"/>
  <c r="U3905" i="25"/>
  <c r="V3855" i="25" l="1"/>
  <c r="T3855" i="25"/>
  <c r="J3907" i="25"/>
  <c r="U3906" i="25"/>
  <c r="K3856" i="25"/>
  <c r="V3856" i="25" l="1"/>
  <c r="T3856" i="25"/>
  <c r="J3908" i="25"/>
  <c r="U3907" i="25"/>
  <c r="K3857" i="25"/>
  <c r="V3857" i="25" l="1"/>
  <c r="K3858" i="25"/>
  <c r="T3857" i="25"/>
  <c r="J3909" i="25"/>
  <c r="U3908" i="25"/>
  <c r="V3858" i="25" l="1"/>
  <c r="T3858" i="25"/>
  <c r="J3910" i="25"/>
  <c r="U3909" i="25"/>
  <c r="K3859" i="25"/>
  <c r="V3859" i="25" l="1"/>
  <c r="T3859" i="25"/>
  <c r="J3911" i="25"/>
  <c r="U3910" i="25"/>
  <c r="K3860" i="25"/>
  <c r="V3860" i="25" l="1"/>
  <c r="T3860" i="25"/>
  <c r="J3912" i="25"/>
  <c r="U3911" i="25"/>
  <c r="K3861" i="25"/>
  <c r="V3861" i="25" l="1"/>
  <c r="T3861" i="25"/>
  <c r="J3913" i="25"/>
  <c r="U3912" i="25"/>
  <c r="K3862" i="25"/>
  <c r="V3862" i="25" l="1"/>
  <c r="T3862" i="25"/>
  <c r="J3914" i="25"/>
  <c r="U3913" i="25"/>
  <c r="K3863" i="25"/>
  <c r="V3863" i="25" l="1"/>
  <c r="T3863" i="25"/>
  <c r="J3915" i="25"/>
  <c r="U3914" i="25"/>
  <c r="K3864" i="25"/>
  <c r="V3864" i="25" l="1"/>
  <c r="K3865" i="25"/>
  <c r="T3864" i="25"/>
  <c r="J3916" i="25"/>
  <c r="U3915" i="25"/>
  <c r="V3865" i="25" l="1"/>
  <c r="T3865" i="25"/>
  <c r="J3917" i="25"/>
  <c r="U3916" i="25"/>
  <c r="K3866" i="25"/>
  <c r="V3866" i="25" l="1"/>
  <c r="K3867" i="25"/>
  <c r="T3866" i="25"/>
  <c r="J3918" i="25"/>
  <c r="U3917" i="25"/>
  <c r="V3867" i="25" l="1"/>
  <c r="T3867" i="25"/>
  <c r="J3919" i="25"/>
  <c r="U3918" i="25"/>
  <c r="K3868" i="25"/>
  <c r="V3868" i="25" l="1"/>
  <c r="T3868" i="25"/>
  <c r="J3920" i="25"/>
  <c r="U3919" i="25"/>
  <c r="K3869" i="25"/>
  <c r="V3869" i="25" l="1"/>
  <c r="K3870" i="25"/>
  <c r="T3869" i="25"/>
  <c r="J3921" i="25"/>
  <c r="U3920" i="25"/>
  <c r="V3870" i="25" l="1"/>
  <c r="T3870" i="25"/>
  <c r="J3922" i="25"/>
  <c r="U3921" i="25"/>
  <c r="K3871" i="25"/>
  <c r="V3871" i="25" l="1"/>
  <c r="T3871" i="25"/>
  <c r="J3923" i="25"/>
  <c r="U3922" i="25"/>
  <c r="T3872" i="25" l="1"/>
  <c r="K3872" i="25"/>
  <c r="V3872" i="25" s="1"/>
  <c r="J3924" i="25"/>
  <c r="U3923" i="25"/>
  <c r="K3873" i="25"/>
  <c r="V3873" i="25" l="1"/>
  <c r="T3873" i="25"/>
  <c r="J3925" i="25"/>
  <c r="U3924" i="25"/>
  <c r="K3874" i="25"/>
  <c r="V3874" i="25" l="1"/>
  <c r="T3874" i="25"/>
  <c r="J3926" i="25"/>
  <c r="U3925" i="25"/>
  <c r="K3875" i="25"/>
  <c r="V3875" i="25" l="1"/>
  <c r="T3875" i="25"/>
  <c r="J3927" i="25"/>
  <c r="U3926" i="25"/>
  <c r="K3876" i="25"/>
  <c r="V3876" i="25" l="1"/>
  <c r="K3877" i="25"/>
  <c r="T3876" i="25"/>
  <c r="J3928" i="25"/>
  <c r="U3927" i="25"/>
  <c r="V3877" i="25" l="1"/>
  <c r="T3877" i="25"/>
  <c r="J3929" i="25"/>
  <c r="U3928" i="25"/>
  <c r="K3878" i="25"/>
  <c r="V3878" i="25" l="1"/>
  <c r="T3878" i="25"/>
  <c r="J3930" i="25"/>
  <c r="U3929" i="25"/>
  <c r="K3879" i="25"/>
  <c r="V3879" i="25" l="1"/>
  <c r="K3880" i="25"/>
  <c r="T3879" i="25"/>
  <c r="J3931" i="25"/>
  <c r="U3930" i="25"/>
  <c r="V3880" i="25" l="1"/>
  <c r="T3880" i="25"/>
  <c r="J3932" i="25"/>
  <c r="U3931" i="25"/>
  <c r="K3881" i="25"/>
  <c r="V3881" i="25" l="1"/>
  <c r="K3882" i="25"/>
  <c r="T3881" i="25"/>
  <c r="J3933" i="25"/>
  <c r="U3932" i="25"/>
  <c r="V3882" i="25" l="1"/>
  <c r="T3882" i="25"/>
  <c r="J3934" i="25"/>
  <c r="U3933" i="25"/>
  <c r="K3883" i="25"/>
  <c r="V3883" i="25" l="1"/>
  <c r="K3884" i="25"/>
  <c r="T3883" i="25"/>
  <c r="J3935" i="25"/>
  <c r="U3934" i="25"/>
  <c r="V3884" i="25" l="1"/>
  <c r="K3885" i="25"/>
  <c r="T3884" i="25"/>
  <c r="J3936" i="25"/>
  <c r="U3935" i="25"/>
  <c r="V3885" i="25" l="1"/>
  <c r="K3886" i="25"/>
  <c r="T3885" i="25"/>
  <c r="J3937" i="25"/>
  <c r="U3936" i="25"/>
  <c r="V3886" i="25" l="1"/>
  <c r="T3886" i="25"/>
  <c r="J3938" i="25"/>
  <c r="U3937" i="25"/>
  <c r="K3887" i="25"/>
  <c r="V3887" i="25" l="1"/>
  <c r="K3888" i="25"/>
  <c r="T3887" i="25"/>
  <c r="J3939" i="25"/>
  <c r="U3938" i="25"/>
  <c r="V3888" i="25" l="1"/>
  <c r="T3888" i="25"/>
  <c r="J3940" i="25"/>
  <c r="J3941" i="25" s="1"/>
  <c r="J3942" i="25" s="1"/>
  <c r="J3943" i="25" s="1"/>
  <c r="J3944" i="25" s="1"/>
  <c r="J3945" i="25" s="1"/>
  <c r="J3946" i="25" s="1"/>
  <c r="J3947" i="25" s="1"/>
  <c r="J3948" i="25" s="1"/>
  <c r="J3949" i="25" s="1"/>
  <c r="J3950" i="25" s="1"/>
  <c r="J3951" i="25" s="1"/>
  <c r="J3952" i="25" s="1"/>
  <c r="J3953" i="25" s="1"/>
  <c r="J3954" i="25" s="1"/>
  <c r="J3955" i="25" s="1"/>
  <c r="J3956" i="25" s="1"/>
  <c r="J3957" i="25" s="1"/>
  <c r="J3958" i="25" s="1"/>
  <c r="J3959" i="25" s="1"/>
  <c r="J3960" i="25" s="1"/>
  <c r="J3961" i="25" s="1"/>
  <c r="J3962" i="25" s="1"/>
  <c r="J3963" i="25" s="1"/>
  <c r="J3964" i="25" s="1"/>
  <c r="J3965" i="25" s="1"/>
  <c r="J3966" i="25" s="1"/>
  <c r="J3967" i="25" s="1"/>
  <c r="J3968" i="25" s="1"/>
  <c r="J3969" i="25" s="1"/>
  <c r="J3970" i="25" s="1"/>
  <c r="J3971" i="25" s="1"/>
  <c r="J3972" i="25" s="1"/>
  <c r="J3973" i="25" s="1"/>
  <c r="J3974" i="25" s="1"/>
  <c r="J3975" i="25" s="1"/>
  <c r="J3976" i="25" s="1"/>
  <c r="J3977" i="25" s="1"/>
  <c r="J3978" i="25" s="1"/>
  <c r="J3979" i="25" s="1"/>
  <c r="J3980" i="25" s="1"/>
  <c r="J3981" i="25" s="1"/>
  <c r="J3982" i="25" s="1"/>
  <c r="J3983" i="25" s="1"/>
  <c r="J3984" i="25" s="1"/>
  <c r="J3985" i="25" s="1"/>
  <c r="J3986" i="25" s="1"/>
  <c r="U3939" i="25"/>
  <c r="U3940" i="25" s="1"/>
  <c r="U3941" i="25" s="1"/>
  <c r="U3942" i="25" s="1"/>
  <c r="U3943" i="25" s="1"/>
  <c r="U3944" i="25" s="1"/>
  <c r="U3945" i="25" s="1"/>
  <c r="U3946" i="25" s="1"/>
  <c r="U3947" i="25" s="1"/>
  <c r="U3948" i="25" s="1"/>
  <c r="U3949" i="25" s="1"/>
  <c r="U3950" i="25" s="1"/>
  <c r="U3951" i="25" s="1"/>
  <c r="U3952" i="25" s="1"/>
  <c r="U3953" i="25" s="1"/>
  <c r="U3954" i="25" s="1"/>
  <c r="U3955" i="25" s="1"/>
  <c r="U3956" i="25" s="1"/>
  <c r="U3957" i="25" s="1"/>
  <c r="U3958" i="25" s="1"/>
  <c r="U3959" i="25" s="1"/>
  <c r="U3960" i="25" s="1"/>
  <c r="U3961" i="25" s="1"/>
  <c r="U3962" i="25" s="1"/>
  <c r="U3963" i="25" s="1"/>
  <c r="U3964" i="25" s="1"/>
  <c r="U3965" i="25" s="1"/>
  <c r="U3966" i="25" s="1"/>
  <c r="U3967" i="25" s="1"/>
  <c r="U3968" i="25" s="1"/>
  <c r="U3969" i="25" s="1"/>
  <c r="U3970" i="25" s="1"/>
  <c r="U3971" i="25" s="1"/>
  <c r="U3972" i="25" s="1"/>
  <c r="U3973" i="25" s="1"/>
  <c r="U3974" i="25" s="1"/>
  <c r="U3975" i="25" s="1"/>
  <c r="U3976" i="25" s="1"/>
  <c r="U3977" i="25" s="1"/>
  <c r="U3978" i="25" s="1"/>
  <c r="U3979" i="25" s="1"/>
  <c r="U3980" i="25" s="1"/>
  <c r="U3981" i="25" s="1"/>
  <c r="U3982" i="25" s="1"/>
  <c r="U3983" i="25" s="1"/>
  <c r="U3984" i="25" s="1"/>
  <c r="U3985" i="25" s="1"/>
  <c r="K3889" i="25"/>
  <c r="U3986" i="25" l="1"/>
  <c r="J3987" i="25"/>
  <c r="K3986" i="25"/>
  <c r="V3889" i="25"/>
  <c r="T3889" i="25"/>
  <c r="K3890" i="25"/>
  <c r="U3987" i="25" l="1"/>
  <c r="J3988" i="25"/>
  <c r="K3987" i="25"/>
  <c r="V3890" i="25"/>
  <c r="T3890" i="25"/>
  <c r="U3988" i="25" l="1"/>
  <c r="J3989" i="25"/>
  <c r="K3988" i="25"/>
  <c r="T3891" i="25"/>
  <c r="K3891" i="25"/>
  <c r="V3891" i="25" s="1"/>
  <c r="J3990" i="25" l="1"/>
  <c r="K3989" i="25"/>
  <c r="U3989" i="25"/>
  <c r="U3990" i="25" s="1"/>
  <c r="T3892" i="25"/>
  <c r="K3892" i="25"/>
  <c r="V3892" i="25" s="1"/>
  <c r="K3893" i="25"/>
  <c r="J3991" i="25" l="1"/>
  <c r="K3990" i="25"/>
  <c r="V3893" i="25"/>
  <c r="K3894" i="25"/>
  <c r="T3893" i="25"/>
  <c r="J3992" i="25" l="1"/>
  <c r="K3991" i="25"/>
  <c r="U3991" i="25"/>
  <c r="U3992" i="25" s="1"/>
  <c r="V3894" i="25"/>
  <c r="T3894" i="25"/>
  <c r="K3895" i="25"/>
  <c r="J3993" i="25" l="1"/>
  <c r="K3992" i="25"/>
  <c r="V3895" i="25"/>
  <c r="K3896" i="25"/>
  <c r="T3895" i="25"/>
  <c r="J3994" i="25" l="1"/>
  <c r="K3993" i="25"/>
  <c r="U3993" i="25"/>
  <c r="U3994" i="25" s="1"/>
  <c r="V3896" i="25"/>
  <c r="T3896" i="25"/>
  <c r="K3897" i="25"/>
  <c r="J3995" i="25" l="1"/>
  <c r="K3994" i="25"/>
  <c r="V3897" i="25"/>
  <c r="T3897" i="25"/>
  <c r="J3996" i="25" l="1"/>
  <c r="K3995" i="25"/>
  <c r="U3995" i="25"/>
  <c r="U3996" i="25" s="1"/>
  <c r="K3899" i="25"/>
  <c r="T3898" i="25"/>
  <c r="K3898" i="25"/>
  <c r="V3898" i="25" s="1"/>
  <c r="J3997" i="25" l="1"/>
  <c r="K3996" i="25"/>
  <c r="V3899" i="25"/>
  <c r="T3899" i="25"/>
  <c r="K3900" i="25"/>
  <c r="J3998" i="25" l="1"/>
  <c r="K3997" i="25"/>
  <c r="U3997" i="25"/>
  <c r="V3900" i="25"/>
  <c r="T3900" i="25"/>
  <c r="U3998" i="25" l="1"/>
  <c r="J3999" i="25"/>
  <c r="K3998" i="25"/>
  <c r="T3901" i="25"/>
  <c r="K3901" i="25"/>
  <c r="V3901" i="25" s="1"/>
  <c r="K3902" i="25"/>
  <c r="J4000" i="25" l="1"/>
  <c r="K3999" i="25"/>
  <c r="U3999" i="25"/>
  <c r="U4000" i="25" s="1"/>
  <c r="V3902" i="25"/>
  <c r="K3903" i="25"/>
  <c r="T3902" i="25"/>
  <c r="J4001" i="25" l="1"/>
  <c r="K4000" i="25"/>
  <c r="V3903" i="25"/>
  <c r="T3903" i="25"/>
  <c r="K3904" i="25"/>
  <c r="J4002" i="25" l="1"/>
  <c r="K4001" i="25"/>
  <c r="U4001" i="25"/>
  <c r="U4002" i="25" s="1"/>
  <c r="V3904" i="25"/>
  <c r="T3904" i="25"/>
  <c r="J4003" i="25" l="1"/>
  <c r="K4002" i="25"/>
  <c r="T3905" i="25"/>
  <c r="K3905" i="25"/>
  <c r="V3905" i="25" s="1"/>
  <c r="K3906" i="25"/>
  <c r="J4004" i="25" l="1"/>
  <c r="K4003" i="25"/>
  <c r="U4003" i="25"/>
  <c r="U4004" i="25" s="1"/>
  <c r="V3906" i="25"/>
  <c r="T3906" i="25"/>
  <c r="K3907" i="25"/>
  <c r="J4005" i="25" l="1"/>
  <c r="K4004" i="25"/>
  <c r="V3907" i="25"/>
  <c r="T3907" i="25"/>
  <c r="K3908" i="25"/>
  <c r="J4006" i="25" l="1"/>
  <c r="K4005" i="25"/>
  <c r="U4005" i="25"/>
  <c r="U4006" i="25" s="1"/>
  <c r="V3908" i="25"/>
  <c r="K3909" i="25"/>
  <c r="T3908" i="25"/>
  <c r="J4007" i="25" l="1"/>
  <c r="K4006" i="25"/>
  <c r="V3909" i="25"/>
  <c r="T3909" i="25"/>
  <c r="J4008" i="25" l="1"/>
  <c r="K4007" i="25"/>
  <c r="U4007" i="25"/>
  <c r="U4008" i="25" s="1"/>
  <c r="T3910" i="25"/>
  <c r="K3910" i="25"/>
  <c r="V3910" i="25" s="1"/>
  <c r="K3911" i="25"/>
  <c r="J4009" i="25" l="1"/>
  <c r="K4008" i="25"/>
  <c r="V3911" i="25"/>
  <c r="T3911" i="25"/>
  <c r="K3912" i="25"/>
  <c r="J4010" i="25" l="1"/>
  <c r="K4009" i="25"/>
  <c r="U4009" i="25"/>
  <c r="U4010" i="25" s="1"/>
  <c r="V3912" i="25"/>
  <c r="K3913" i="25"/>
  <c r="T3912" i="25"/>
  <c r="J4011" i="25" l="1"/>
  <c r="K4010" i="25"/>
  <c r="V3913" i="25"/>
  <c r="T3913" i="25"/>
  <c r="J4012" i="25" l="1"/>
  <c r="K4011" i="25"/>
  <c r="U4011" i="25"/>
  <c r="U4012" i="25" s="1"/>
  <c r="T3914" i="25"/>
  <c r="K3914" i="25"/>
  <c r="V3914" i="25" s="1"/>
  <c r="K3915" i="25"/>
  <c r="J4013" i="25" l="1"/>
  <c r="K4012" i="25"/>
  <c r="V3915" i="25"/>
  <c r="K3916" i="25"/>
  <c r="T3915" i="25"/>
  <c r="J4014" i="25" l="1"/>
  <c r="K4013" i="25"/>
  <c r="U4013" i="25"/>
  <c r="V3916" i="25"/>
  <c r="T3916" i="25"/>
  <c r="U4014" i="25" l="1"/>
  <c r="J4015" i="25"/>
  <c r="K4014" i="25"/>
  <c r="T3917" i="25"/>
  <c r="K3917" i="25"/>
  <c r="V3917" i="25" s="1"/>
  <c r="J4016" i="25" l="1"/>
  <c r="U4015" i="25"/>
  <c r="U4016" i="25" s="1"/>
  <c r="K4015" i="25"/>
  <c r="T3918" i="25"/>
  <c r="K3918" i="25"/>
  <c r="V3918" i="25" s="1"/>
  <c r="J4017" i="25" l="1"/>
  <c r="K4016" i="25"/>
  <c r="T3919" i="25"/>
  <c r="K3919" i="25"/>
  <c r="V3919" i="25" s="1"/>
  <c r="J4018" i="25" l="1"/>
  <c r="K4017" i="25"/>
  <c r="U4017" i="25"/>
  <c r="T3920" i="25"/>
  <c r="K3920" i="25"/>
  <c r="V3920" i="25" s="1"/>
  <c r="K3921" i="25"/>
  <c r="U4018" i="25" l="1"/>
  <c r="J4019" i="25"/>
  <c r="K4018" i="25"/>
  <c r="V3921" i="25"/>
  <c r="K3922" i="25"/>
  <c r="T3921" i="25"/>
  <c r="U4019" i="25" l="1"/>
  <c r="J4020" i="25"/>
  <c r="K4019" i="25"/>
  <c r="V3922" i="25"/>
  <c r="T3922" i="25"/>
  <c r="K3923" i="25"/>
  <c r="U4020" i="25" l="1"/>
  <c r="J4021" i="25"/>
  <c r="K4020" i="25"/>
  <c r="V3923" i="25"/>
  <c r="T3923" i="25"/>
  <c r="J4022" i="25" l="1"/>
  <c r="K4021" i="25"/>
  <c r="U4021" i="25"/>
  <c r="U4022" i="25" s="1"/>
  <c r="T3924" i="25"/>
  <c r="K3924" i="25"/>
  <c r="V3924" i="25" s="1"/>
  <c r="K3925" i="25"/>
  <c r="J4023" i="25" l="1"/>
  <c r="U4023" i="25" s="1"/>
  <c r="K4022" i="25"/>
  <c r="V3925" i="25"/>
  <c r="K3926" i="25"/>
  <c r="T3925" i="25"/>
  <c r="J4024" i="25" l="1"/>
  <c r="U4024" i="25" s="1"/>
  <c r="K4023" i="25"/>
  <c r="V3926" i="25"/>
  <c r="T3926" i="25"/>
  <c r="K3927" i="25"/>
  <c r="J4025" i="25" l="1"/>
  <c r="K4024" i="25"/>
  <c r="V3927" i="25"/>
  <c r="K3928" i="25"/>
  <c r="T3927" i="25"/>
  <c r="J4026" i="25" l="1"/>
  <c r="K4025" i="25"/>
  <c r="U4025" i="25"/>
  <c r="U4026" i="25" s="1"/>
  <c r="V3928" i="25"/>
  <c r="T3928" i="25"/>
  <c r="J4027" i="25" l="1"/>
  <c r="U4027" i="25" s="1"/>
  <c r="K4026" i="25"/>
  <c r="K3930" i="25"/>
  <c r="T3929" i="25"/>
  <c r="K3929" i="25"/>
  <c r="V3929" i="25" s="1"/>
  <c r="J4028" i="25" l="1"/>
  <c r="U4028" i="25" s="1"/>
  <c r="K4027" i="25"/>
  <c r="V3930" i="25"/>
  <c r="T3930" i="25"/>
  <c r="K3931" i="25"/>
  <c r="J4029" i="25" l="1"/>
  <c r="K4028" i="25"/>
  <c r="V3931" i="25"/>
  <c r="K3932" i="25"/>
  <c r="T3931" i="25"/>
  <c r="J4030" i="25" l="1"/>
  <c r="K4029" i="25"/>
  <c r="U4029" i="25"/>
  <c r="V3932" i="25"/>
  <c r="T3932" i="25"/>
  <c r="U4030" i="25" l="1"/>
  <c r="J4031" i="25"/>
  <c r="K4030" i="25"/>
  <c r="K3934" i="25"/>
  <c r="T3933" i="25"/>
  <c r="K3933" i="25"/>
  <c r="V3933" i="25" s="1"/>
  <c r="U4031" i="25" l="1"/>
  <c r="J4032" i="25"/>
  <c r="K4031" i="25"/>
  <c r="V3934" i="25"/>
  <c r="T3934" i="25"/>
  <c r="J4033" i="25" l="1"/>
  <c r="K4032" i="25"/>
  <c r="U4032" i="25"/>
  <c r="T3935" i="25"/>
  <c r="K3935" i="25"/>
  <c r="V3935" i="25" s="1"/>
  <c r="K3936" i="25"/>
  <c r="U4033" i="25" l="1"/>
  <c r="J4034" i="25"/>
  <c r="K4033" i="25"/>
  <c r="V3936" i="25"/>
  <c r="K3937" i="25"/>
  <c r="T3936" i="25"/>
  <c r="J4035" i="25" l="1"/>
  <c r="K4034" i="25"/>
  <c r="U4034" i="25"/>
  <c r="U4035" i="25" s="1"/>
  <c r="V3937" i="25"/>
  <c r="T3937" i="25"/>
  <c r="J4036" i="25" l="1"/>
  <c r="K4035" i="25"/>
  <c r="K3939" i="25"/>
  <c r="T3938" i="25"/>
  <c r="K3938" i="25"/>
  <c r="V3938" i="25" s="1"/>
  <c r="J4037" i="25" l="1"/>
  <c r="K4036" i="25"/>
  <c r="U4036" i="25"/>
  <c r="U4037" i="25" s="1"/>
  <c r="V3939" i="25"/>
  <c r="T3939" i="25"/>
  <c r="K3940" i="25"/>
  <c r="J4038" i="25" l="1"/>
  <c r="K4037" i="25"/>
  <c r="V3940" i="25"/>
  <c r="T3940" i="25"/>
  <c r="J4039" i="25" l="1"/>
  <c r="K4038" i="25"/>
  <c r="U4038" i="25"/>
  <c r="U4039" i="25" s="1"/>
  <c r="T3941" i="25"/>
  <c r="K3941" i="25"/>
  <c r="V3941" i="25" s="1"/>
  <c r="K3942" i="25"/>
  <c r="J4040" i="25" l="1"/>
  <c r="K4039" i="25"/>
  <c r="V3942" i="25"/>
  <c r="T3942" i="25"/>
  <c r="K3943" i="25"/>
  <c r="J4041" i="25" l="1"/>
  <c r="K4040" i="25"/>
  <c r="U4040" i="25"/>
  <c r="V3943" i="25"/>
  <c r="T3943" i="25"/>
  <c r="U4041" i="25" l="1"/>
  <c r="J4042" i="25"/>
  <c r="K4041" i="25"/>
  <c r="T3944" i="25"/>
  <c r="K3944" i="25"/>
  <c r="V3944" i="25" s="1"/>
  <c r="J4043" i="25" l="1"/>
  <c r="K4042" i="25"/>
  <c r="U4042" i="25"/>
  <c r="U4043" i="25" s="1"/>
  <c r="T3945" i="25"/>
  <c r="K3945" i="25"/>
  <c r="V3945" i="25" s="1"/>
  <c r="K3946" i="25"/>
  <c r="J4044" i="25" l="1"/>
  <c r="K4043" i="25"/>
  <c r="V3946" i="25"/>
  <c r="T3946" i="25"/>
  <c r="K3947" i="25"/>
  <c r="J4045" i="25" l="1"/>
  <c r="K4044" i="25"/>
  <c r="U4044" i="25"/>
  <c r="U4045" i="25" s="1"/>
  <c r="V3947" i="25"/>
  <c r="K3948" i="25"/>
  <c r="T3947" i="25"/>
  <c r="J4046" i="25" l="1"/>
  <c r="K4045" i="25"/>
  <c r="V3948" i="25"/>
  <c r="T3948" i="25"/>
  <c r="J4047" i="25" l="1"/>
  <c r="K4046" i="25"/>
  <c r="U4046" i="25"/>
  <c r="U4047" i="25" s="1"/>
  <c r="T3949" i="25"/>
  <c r="K3949" i="25"/>
  <c r="V3949" i="25" s="1"/>
  <c r="K3950" i="25"/>
  <c r="J4048" i="25" l="1"/>
  <c r="U4048" i="25" s="1"/>
  <c r="K4047" i="25"/>
  <c r="V3950" i="25"/>
  <c r="K3951" i="25"/>
  <c r="T3950" i="25"/>
  <c r="J4049" i="25" l="1"/>
  <c r="U4049" i="25" s="1"/>
  <c r="K4048" i="25"/>
  <c r="V3951" i="25"/>
  <c r="T3951" i="25"/>
  <c r="J4050" i="25" l="1"/>
  <c r="K4049" i="25"/>
  <c r="K3953" i="25"/>
  <c r="T3952" i="25"/>
  <c r="K3952" i="25"/>
  <c r="V3952" i="25" s="1"/>
  <c r="J4051" i="25" l="1"/>
  <c r="K4050" i="25"/>
  <c r="U4050" i="25"/>
  <c r="V3953" i="25"/>
  <c r="T3953" i="25"/>
  <c r="U4051" i="25" l="1"/>
  <c r="J4052" i="25"/>
  <c r="K4051" i="25"/>
  <c r="T3954" i="25"/>
  <c r="K3954" i="25"/>
  <c r="V3954" i="25" s="1"/>
  <c r="K3955" i="25"/>
  <c r="U4052" i="25" l="1"/>
  <c r="J4053" i="25"/>
  <c r="K4052" i="25"/>
  <c r="V3955" i="25"/>
  <c r="K3956" i="25"/>
  <c r="T3955" i="25"/>
  <c r="J4054" i="25" l="1"/>
  <c r="K4053" i="25"/>
  <c r="U4053" i="25"/>
  <c r="U4054" i="25" s="1"/>
  <c r="V3956" i="25"/>
  <c r="T3956" i="25"/>
  <c r="K3957" i="25"/>
  <c r="J4055" i="25" l="1"/>
  <c r="K4054" i="25"/>
  <c r="V3957" i="25"/>
  <c r="K3958" i="25"/>
  <c r="T3957" i="25"/>
  <c r="J4056" i="25" l="1"/>
  <c r="K4055" i="25"/>
  <c r="U4055" i="25"/>
  <c r="U4056" i="25" s="1"/>
  <c r="V3958" i="25"/>
  <c r="K3959" i="25"/>
  <c r="T3958" i="25"/>
  <c r="J4057" i="25" l="1"/>
  <c r="U4057" i="25" s="1"/>
  <c r="K4056" i="25"/>
  <c r="V3959" i="25"/>
  <c r="T3959" i="25"/>
  <c r="J4058" i="25" l="1"/>
  <c r="K4057" i="25"/>
  <c r="T3960" i="25"/>
  <c r="K3960" i="25"/>
  <c r="V3960" i="25" s="1"/>
  <c r="L3" i="25" l="1"/>
  <c r="K4058" i="25"/>
  <c r="M3" i="25" s="1"/>
  <c r="U4058" i="25"/>
  <c r="L11" i="25" s="1"/>
  <c r="T3961" i="25"/>
  <c r="K3961" i="25"/>
  <c r="V3961" i="25" s="1"/>
  <c r="M6" i="25" l="1"/>
  <c r="M9" i="25"/>
  <c r="M10" i="25"/>
  <c r="M4" i="25"/>
  <c r="M7" i="25"/>
  <c r="M8" i="25"/>
  <c r="M5" i="25"/>
  <c r="L7" i="25"/>
  <c r="L4" i="25"/>
  <c r="Q4" i="25" s="1"/>
  <c r="L8" i="25"/>
  <c r="Q8" i="25" s="1"/>
  <c r="L5" i="25"/>
  <c r="Q5" i="25" s="1"/>
  <c r="L9" i="25"/>
  <c r="Q9" i="25" s="1"/>
  <c r="L6" i="25"/>
  <c r="Q6" i="25" s="1"/>
  <c r="L10" i="25"/>
  <c r="Q10" i="25" s="1"/>
  <c r="T3962" i="25"/>
  <c r="K3962" i="25"/>
  <c r="V3962" i="25" s="1"/>
  <c r="K3963" i="25"/>
  <c r="Q12" i="25" l="1"/>
  <c r="Q7" i="25"/>
  <c r="V3963" i="25"/>
  <c r="K3964" i="25"/>
  <c r="T3963" i="25"/>
  <c r="V3964" i="25" l="1"/>
  <c r="T3964" i="25"/>
  <c r="K3965" i="25"/>
  <c r="V3965" i="25" l="1"/>
  <c r="K3966" i="25"/>
  <c r="T3965" i="25"/>
  <c r="V3966" i="25" l="1"/>
  <c r="T3966" i="25"/>
  <c r="T3967" i="25" l="1"/>
  <c r="K3967" i="25"/>
  <c r="V3967" i="25" s="1"/>
  <c r="K3968" i="25"/>
  <c r="V3968" i="25" l="1"/>
  <c r="K3969" i="25"/>
  <c r="T3968" i="25"/>
  <c r="V3969" i="25" l="1"/>
  <c r="T3969" i="25"/>
  <c r="K3971" i="25" l="1"/>
  <c r="T3970" i="25"/>
  <c r="K3970" i="25"/>
  <c r="V3970" i="25" s="1"/>
  <c r="V3971" i="25" l="1"/>
  <c r="T3971" i="25"/>
  <c r="T3972" i="25" l="1"/>
  <c r="K3972" i="25"/>
  <c r="V3972" i="25" s="1"/>
  <c r="T3973" i="25" l="1"/>
  <c r="K3973" i="25"/>
  <c r="V3973" i="25" s="1"/>
  <c r="K3974" i="25"/>
  <c r="V3974" i="25" l="1"/>
  <c r="T3974" i="25"/>
  <c r="T3975" i="25" l="1"/>
  <c r="K3975" i="25"/>
  <c r="V3975" i="25" s="1"/>
  <c r="K3976" i="25"/>
  <c r="V3976" i="25" l="1"/>
  <c r="K3977" i="25"/>
  <c r="T3976" i="25"/>
  <c r="V3977" i="25" l="1"/>
  <c r="T3977" i="25"/>
  <c r="T3978" i="25" l="1"/>
  <c r="K3978" i="25"/>
  <c r="V3978" i="25" s="1"/>
  <c r="K3979" i="25"/>
  <c r="V3979" i="25" l="1"/>
  <c r="K3980" i="25"/>
  <c r="T3979" i="25"/>
  <c r="V3980" i="25" l="1"/>
  <c r="T3980" i="25"/>
  <c r="K3981" i="25"/>
  <c r="V3981" i="25" l="1"/>
  <c r="K3982" i="25"/>
  <c r="T3981" i="25"/>
  <c r="V3982" i="25" l="1"/>
  <c r="T3982" i="25"/>
  <c r="T3983" i="25" l="1"/>
  <c r="K3983" i="25"/>
  <c r="V3983" i="25" s="1"/>
  <c r="K3984" i="25"/>
  <c r="D76" i="19"/>
  <c r="V3984" i="25" l="1"/>
  <c r="T3984" i="25"/>
  <c r="T3985" i="25" s="1"/>
  <c r="T3986" i="25" s="1"/>
  <c r="T3987" i="25" s="1"/>
  <c r="T3988" i="25" s="1"/>
  <c r="T3989" i="25" s="1"/>
  <c r="T3990" i="25" s="1"/>
  <c r="T3991" i="25" s="1"/>
  <c r="T3992" i="25" s="1"/>
  <c r="T3993" i="25" s="1"/>
  <c r="T3994" i="25" s="1"/>
  <c r="T3995" i="25" s="1"/>
  <c r="T3996" i="25" s="1"/>
  <c r="T3997" i="25" s="1"/>
  <c r="T3998" i="25" s="1"/>
  <c r="T3999" i="25" s="1"/>
  <c r="T4000" i="25" s="1"/>
  <c r="T4001" i="25" s="1"/>
  <c r="T4002" i="25" s="1"/>
  <c r="T4003" i="25" s="1"/>
  <c r="T4004" i="25" s="1"/>
  <c r="T4005" i="25" s="1"/>
  <c r="T4006" i="25" s="1"/>
  <c r="T4007" i="25" s="1"/>
  <c r="T4008" i="25" s="1"/>
  <c r="T4009" i="25" s="1"/>
  <c r="T4010" i="25" s="1"/>
  <c r="T4011" i="25" s="1"/>
  <c r="T4012" i="25" s="1"/>
  <c r="T4013" i="25" s="1"/>
  <c r="T4014" i="25" s="1"/>
  <c r="T4015" i="25" s="1"/>
  <c r="T4016" i="25" s="1"/>
  <c r="T4017" i="25" s="1"/>
  <c r="T4018" i="25" s="1"/>
  <c r="T4019" i="25" s="1"/>
  <c r="T4020" i="25" s="1"/>
  <c r="T4021" i="25" s="1"/>
  <c r="T4022" i="25" s="1"/>
  <c r="T4023" i="25" s="1"/>
  <c r="T4024" i="25" s="1"/>
  <c r="T4025" i="25" s="1"/>
  <c r="T4026" i="25" s="1"/>
  <c r="T4027" i="25" s="1"/>
  <c r="T4028" i="25" s="1"/>
  <c r="T4029" i="25" s="1"/>
  <c r="T4030" i="25" s="1"/>
  <c r="T4031" i="25" s="1"/>
  <c r="T4032" i="25" s="1"/>
  <c r="T4033" i="25" s="1"/>
  <c r="T4034" i="25" s="1"/>
  <c r="T4035" i="25" s="1"/>
  <c r="T4036" i="25" s="1"/>
  <c r="T4037" i="25" s="1"/>
  <c r="T4038" i="25" s="1"/>
  <c r="T4039" i="25" s="1"/>
  <c r="T4040" i="25" s="1"/>
  <c r="T4041" i="25" s="1"/>
  <c r="T4042" i="25" s="1"/>
  <c r="T4043" i="25" s="1"/>
  <c r="T4044" i="25" s="1"/>
  <c r="T4045" i="25" s="1"/>
  <c r="T4046" i="25" s="1"/>
  <c r="T4047" i="25" s="1"/>
  <c r="T4048" i="25" s="1"/>
  <c r="T4049" i="25" s="1"/>
  <c r="T4050" i="25" s="1"/>
  <c r="T4051" i="25" s="1"/>
  <c r="T4052" i="25" s="1"/>
  <c r="T4053" i="25" s="1"/>
  <c r="T4054" i="25" s="1"/>
  <c r="T4055" i="25" s="1"/>
  <c r="T4056" i="25" s="1"/>
  <c r="T4057" i="25" s="1"/>
  <c r="T4058" i="25" s="1"/>
  <c r="K11" i="25" s="1"/>
  <c r="H76" i="19"/>
  <c r="H78" i="19" s="1"/>
  <c r="H80" i="19" s="1"/>
  <c r="I76" i="19"/>
  <c r="I78" i="19" s="1"/>
  <c r="I80" i="19" s="1"/>
  <c r="G76" i="19"/>
  <c r="G78" i="19" s="1"/>
  <c r="G80" i="19" s="1"/>
  <c r="M76" i="19"/>
  <c r="M78" i="19" s="1"/>
  <c r="M80" i="19" s="1"/>
  <c r="K76" i="19"/>
  <c r="K78" i="19" s="1"/>
  <c r="K80" i="19" s="1"/>
  <c r="L76" i="19"/>
  <c r="L78" i="19" s="1"/>
  <c r="L80" i="19" s="1"/>
  <c r="N76" i="19"/>
  <c r="N78" i="19" s="1"/>
  <c r="N80" i="19" s="1"/>
  <c r="F76" i="19"/>
  <c r="F78" i="19" s="1"/>
  <c r="F80" i="19" s="1"/>
  <c r="E76" i="19"/>
  <c r="E78" i="19" s="1"/>
  <c r="E80" i="19" s="1"/>
  <c r="J76" i="19"/>
  <c r="J78" i="19" s="1"/>
  <c r="J80" i="19" s="1"/>
  <c r="I19" i="27"/>
  <c r="K3985" i="25" l="1"/>
  <c r="P4" i="25"/>
  <c r="P10" i="25"/>
  <c r="P6" i="25"/>
  <c r="P9" i="25"/>
  <c r="P5" i="25"/>
  <c r="P8" i="25"/>
  <c r="N38" i="19"/>
  <c r="N40" i="19" s="1"/>
  <c r="Q38" i="19"/>
  <c r="Q40" i="19" s="1"/>
  <c r="O38" i="19"/>
  <c r="O40" i="19" s="1"/>
  <c r="R38" i="19"/>
  <c r="P38" i="19"/>
  <c r="P40" i="19" s="1"/>
  <c r="R5" i="25" l="1"/>
  <c r="M471" i="25"/>
  <c r="L471" i="25"/>
  <c r="N472" i="25" s="1"/>
  <c r="R9" i="25"/>
  <c r="R6" i="25"/>
  <c r="R4" i="25"/>
  <c r="R7" i="25"/>
  <c r="R8" i="25"/>
  <c r="R10" i="25"/>
  <c r="V3985" i="25"/>
  <c r="V3986" i="25" s="1"/>
  <c r="V3987" i="25" s="1"/>
  <c r="V3988" i="25" s="1"/>
  <c r="V3989" i="25" s="1"/>
  <c r="V3990" i="25" s="1"/>
  <c r="V3991" i="25" s="1"/>
  <c r="V3992" i="25" s="1"/>
  <c r="V3993" i="25" s="1"/>
  <c r="V3994" i="25" s="1"/>
  <c r="V3995" i="25" s="1"/>
  <c r="V3996" i="25" s="1"/>
  <c r="V3997" i="25" s="1"/>
  <c r="V3998" i="25" s="1"/>
  <c r="V3999" i="25" s="1"/>
  <c r="V4000" i="25" s="1"/>
  <c r="V4001" i="25" s="1"/>
  <c r="V4002" i="25" s="1"/>
  <c r="V4003" i="25" s="1"/>
  <c r="V4004" i="25" s="1"/>
  <c r="V4005" i="25" s="1"/>
  <c r="V4006" i="25" s="1"/>
  <c r="V4007" i="25" s="1"/>
  <c r="V4008" i="25" s="1"/>
  <c r="V4009" i="25" s="1"/>
  <c r="V4010" i="25" s="1"/>
  <c r="V4011" i="25" s="1"/>
  <c r="V4012" i="25" s="1"/>
  <c r="V4013" i="25" s="1"/>
  <c r="V4014" i="25" s="1"/>
  <c r="V4015" i="25" s="1"/>
  <c r="V4016" i="25" s="1"/>
  <c r="V4017" i="25" s="1"/>
  <c r="V4018" i="25" s="1"/>
  <c r="V4019" i="25" s="1"/>
  <c r="V4020" i="25" s="1"/>
  <c r="V4021" i="25" s="1"/>
  <c r="V4022" i="25" s="1"/>
  <c r="V4023" i="25" s="1"/>
  <c r="V4024" i="25" s="1"/>
  <c r="V4025" i="25" s="1"/>
  <c r="V4026" i="25" s="1"/>
  <c r="V4027" i="25" s="1"/>
  <c r="V4028" i="25" s="1"/>
  <c r="V4029" i="25" s="1"/>
  <c r="V4030" i="25" s="1"/>
  <c r="V4031" i="25" s="1"/>
  <c r="V4032" i="25" s="1"/>
  <c r="V4033" i="25" s="1"/>
  <c r="V4034" i="25" s="1"/>
  <c r="V4035" i="25" s="1"/>
  <c r="V4036" i="25" s="1"/>
  <c r="V4037" i="25" s="1"/>
  <c r="V4038" i="25" s="1"/>
  <c r="V4039" i="25" s="1"/>
  <c r="V4040" i="25" s="1"/>
  <c r="V4041" i="25" s="1"/>
  <c r="V4042" i="25" s="1"/>
  <c r="V4043" i="25" s="1"/>
  <c r="V4044" i="25" s="1"/>
  <c r="V4045" i="25" s="1"/>
  <c r="V4046" i="25" s="1"/>
  <c r="V4047" i="25" s="1"/>
  <c r="V4048" i="25" s="1"/>
  <c r="V4049" i="25" s="1"/>
  <c r="V4050" i="25" s="1"/>
  <c r="V4051" i="25" s="1"/>
  <c r="V4052" i="25" s="1"/>
  <c r="V4053" i="25" s="1"/>
  <c r="V4054" i="25" s="1"/>
  <c r="V4055" i="25" s="1"/>
  <c r="V4056" i="25" s="1"/>
  <c r="V4057" i="25" s="1"/>
  <c r="V4058" i="25" s="1"/>
  <c r="M11" i="25" s="1"/>
  <c r="P7" i="25"/>
  <c r="N42" i="1"/>
  <c r="L42" i="1" s="1"/>
  <c r="J38" i="19"/>
  <c r="F38" i="19"/>
  <c r="F40" i="19" s="1"/>
  <c r="G38" i="19"/>
  <c r="G40" i="19" s="1"/>
  <c r="I38" i="19"/>
  <c r="I40" i="19" s="1"/>
  <c r="H38" i="19"/>
  <c r="D65" i="19" s="1"/>
  <c r="E55" i="19" l="1"/>
  <c r="E57" i="19" s="1"/>
  <c r="L43" i="1"/>
  <c r="D11" i="1" s="1"/>
  <c r="L472" i="25"/>
  <c r="L473" i="25" s="1"/>
  <c r="L474" i="25" s="1"/>
  <c r="L475" i="25" s="1"/>
  <c r="L476" i="25" s="1"/>
  <c r="L477" i="25" s="1"/>
  <c r="L478" i="25" s="1"/>
  <c r="L479" i="25" s="1"/>
  <c r="L480" i="25" s="1"/>
  <c r="L481" i="25" s="1"/>
  <c r="L482" i="25" s="1"/>
  <c r="L483" i="25" s="1"/>
  <c r="L484" i="25" s="1"/>
  <c r="L485" i="25" s="1"/>
  <c r="L486" i="25" s="1"/>
  <c r="L487" i="25" s="1"/>
  <c r="L488" i="25" s="1"/>
  <c r="L489" i="25" s="1"/>
  <c r="L490" i="25" s="1"/>
  <c r="L491" i="25" s="1"/>
  <c r="L492" i="25" s="1"/>
  <c r="L493" i="25" s="1"/>
  <c r="L494" i="25" s="1"/>
  <c r="L495" i="25" s="1"/>
  <c r="L496" i="25" s="1"/>
  <c r="L497" i="25" s="1"/>
  <c r="L498" i="25" s="1"/>
  <c r="L499" i="25" s="1"/>
  <c r="L500" i="25" s="1"/>
  <c r="L501" i="25" s="1"/>
  <c r="L502" i="25" s="1"/>
  <c r="L503" i="25" s="1"/>
  <c r="L504" i="25" s="1"/>
  <c r="L505" i="25" s="1"/>
  <c r="L506" i="25" s="1"/>
  <c r="L507" i="25" s="1"/>
  <c r="L508" i="25" s="1"/>
  <c r="L509" i="25" s="1"/>
  <c r="L510" i="25" s="1"/>
  <c r="L511" i="25" s="1"/>
  <c r="L512" i="25" s="1"/>
  <c r="L513" i="25" s="1"/>
  <c r="L514" i="25" s="1"/>
  <c r="L515" i="25" s="1"/>
  <c r="L516" i="25" s="1"/>
  <c r="L517" i="25" s="1"/>
  <c r="L518" i="25" s="1"/>
  <c r="L519" i="25" s="1"/>
  <c r="L520" i="25" s="1"/>
  <c r="L521" i="25" s="1"/>
  <c r="L522" i="25" s="1"/>
  <c r="L523" i="25" s="1"/>
  <c r="L524" i="25" s="1"/>
  <c r="L525" i="25" s="1"/>
  <c r="L526" i="25" s="1"/>
  <c r="L527" i="25" s="1"/>
  <c r="L528" i="25" s="1"/>
  <c r="L529" i="25" s="1"/>
  <c r="L530" i="25" s="1"/>
  <c r="L531" i="25" s="1"/>
  <c r="L532" i="25" s="1"/>
  <c r="L533" i="25" s="1"/>
  <c r="L534" i="25" s="1"/>
  <c r="L535" i="25" s="1"/>
  <c r="L536" i="25" s="1"/>
  <c r="L537" i="25" s="1"/>
  <c r="L538" i="25" s="1"/>
  <c r="L539" i="25" s="1"/>
  <c r="L540" i="25" s="1"/>
  <c r="L541" i="25" s="1"/>
  <c r="L542" i="25" s="1"/>
  <c r="L543" i="25" s="1"/>
  <c r="L544" i="25" s="1"/>
  <c r="L545" i="25" s="1"/>
  <c r="L546" i="25" s="1"/>
  <c r="L547" i="25" s="1"/>
  <c r="L548" i="25" s="1"/>
  <c r="L549" i="25" s="1"/>
  <c r="L550" i="25" s="1"/>
  <c r="L551" i="25" s="1"/>
  <c r="L552" i="25" s="1"/>
  <c r="L553" i="25" s="1"/>
  <c r="L554" i="25" s="1"/>
  <c r="L555" i="25" s="1"/>
  <c r="L556" i="25" s="1"/>
  <c r="L557" i="25" s="1"/>
  <c r="L558" i="25" s="1"/>
  <c r="L559" i="25" s="1"/>
  <c r="L560" i="25" s="1"/>
  <c r="L561" i="25" s="1"/>
  <c r="L562" i="25" s="1"/>
  <c r="L563" i="25" s="1"/>
  <c r="L564" i="25" s="1"/>
  <c r="L565" i="25" s="1"/>
  <c r="L566" i="25" s="1"/>
  <c r="L567" i="25" s="1"/>
  <c r="L568" i="25" s="1"/>
  <c r="L569" i="25" s="1"/>
  <c r="L570" i="25" s="1"/>
  <c r="L571" i="25" s="1"/>
  <c r="L572" i="25" s="1"/>
  <c r="L573" i="25" s="1"/>
  <c r="L574" i="25" s="1"/>
  <c r="L575" i="25" s="1"/>
  <c r="L576" i="25" s="1"/>
  <c r="L577" i="25" s="1"/>
  <c r="L578" i="25" s="1"/>
  <c r="L579" i="25" s="1"/>
  <c r="L580" i="25" s="1"/>
  <c r="L581" i="25" s="1"/>
  <c r="L582" i="25" s="1"/>
  <c r="L583" i="25" s="1"/>
  <c r="L584" i="25" s="1"/>
  <c r="L585" i="25" s="1"/>
  <c r="L586" i="25" s="1"/>
  <c r="L587" i="25" s="1"/>
  <c r="L588" i="25" s="1"/>
  <c r="L589" i="25" s="1"/>
  <c r="L590" i="25" s="1"/>
  <c r="L591" i="25" s="1"/>
  <c r="L592" i="25" s="1"/>
  <c r="L593" i="25" s="1"/>
  <c r="L594" i="25" s="1"/>
  <c r="L595" i="25" s="1"/>
  <c r="L596" i="25" s="1"/>
  <c r="L597" i="25" s="1"/>
  <c r="L598" i="25" s="1"/>
  <c r="L599" i="25" s="1"/>
  <c r="L600" i="25" s="1"/>
  <c r="L601" i="25" s="1"/>
  <c r="L602" i="25" s="1"/>
  <c r="L603" i="25" s="1"/>
  <c r="L604" i="25" s="1"/>
  <c r="L605" i="25" s="1"/>
  <c r="L606" i="25" s="1"/>
  <c r="L607" i="25" s="1"/>
  <c r="L608" i="25" s="1"/>
  <c r="L609" i="25" s="1"/>
  <c r="L610" i="25" s="1"/>
  <c r="L611" i="25" s="1"/>
  <c r="L612" i="25" s="1"/>
  <c r="L613" i="25" s="1"/>
  <c r="L614" i="25" s="1"/>
  <c r="L615" i="25" s="1"/>
  <c r="L616" i="25" s="1"/>
  <c r="L617" i="25" s="1"/>
  <c r="L618" i="25" s="1"/>
  <c r="L619" i="25" s="1"/>
  <c r="L620" i="25" s="1"/>
  <c r="L621" i="25" s="1"/>
  <c r="L622" i="25" s="1"/>
  <c r="L623" i="25" s="1"/>
  <c r="L624" i="25" s="1"/>
  <c r="L625" i="25" s="1"/>
  <c r="L626" i="25" s="1"/>
  <c r="L627" i="25" s="1"/>
  <c r="L628" i="25" s="1"/>
  <c r="L629" i="25" s="1"/>
  <c r="L630" i="25" s="1"/>
  <c r="L631" i="25" s="1"/>
  <c r="L632" i="25" s="1"/>
  <c r="L633" i="25" s="1"/>
  <c r="L634" i="25" s="1"/>
  <c r="L635" i="25" s="1"/>
  <c r="L636" i="25" s="1"/>
  <c r="L637" i="25" s="1"/>
  <c r="L638" i="25" s="1"/>
  <c r="L639" i="25" s="1"/>
  <c r="L640" i="25" s="1"/>
  <c r="L641" i="25" s="1"/>
  <c r="L642" i="25" s="1"/>
  <c r="L643" i="25" s="1"/>
  <c r="L644" i="25" s="1"/>
  <c r="L645" i="25" s="1"/>
  <c r="L646" i="25" s="1"/>
  <c r="L647" i="25" s="1"/>
  <c r="L648" i="25" s="1"/>
  <c r="L649" i="25" s="1"/>
  <c r="L650" i="25" s="1"/>
  <c r="L651" i="25" s="1"/>
  <c r="L652" i="25" s="1"/>
  <c r="L653" i="25" s="1"/>
  <c r="L654" i="25" s="1"/>
  <c r="L655" i="25" s="1"/>
  <c r="L656" i="25" s="1"/>
  <c r="L657" i="25" s="1"/>
  <c r="L658" i="25" s="1"/>
  <c r="L659" i="25" s="1"/>
  <c r="L660" i="25" s="1"/>
  <c r="L661" i="25" s="1"/>
  <c r="L662" i="25" s="1"/>
  <c r="L663" i="25" s="1"/>
  <c r="L664" i="25" s="1"/>
  <c r="L665" i="25" s="1"/>
  <c r="L666" i="25" s="1"/>
  <c r="L667" i="25" s="1"/>
  <c r="L668" i="25" s="1"/>
  <c r="L669" i="25" s="1"/>
  <c r="L670" i="25" s="1"/>
  <c r="L671" i="25" s="1"/>
  <c r="L672" i="25" s="1"/>
  <c r="L673" i="25" s="1"/>
  <c r="L674" i="25" s="1"/>
  <c r="L675" i="25" s="1"/>
  <c r="L676" i="25" s="1"/>
  <c r="L677" i="25" s="1"/>
  <c r="L678" i="25" s="1"/>
  <c r="L679" i="25" s="1"/>
  <c r="L680" i="25" s="1"/>
  <c r="L681" i="25" s="1"/>
  <c r="L682" i="25" s="1"/>
  <c r="L683" i="25" s="1"/>
  <c r="L684" i="25" s="1"/>
  <c r="L685" i="25" s="1"/>
  <c r="L686" i="25" s="1"/>
  <c r="L687" i="25" s="1"/>
  <c r="L688" i="25" s="1"/>
  <c r="L689" i="25" s="1"/>
  <c r="L690" i="25" s="1"/>
  <c r="L691" i="25" s="1"/>
  <c r="L692" i="25" s="1"/>
  <c r="L693" i="25" s="1"/>
  <c r="L694" i="25" s="1"/>
  <c r="L695" i="25" s="1"/>
  <c r="L696" i="25" s="1"/>
  <c r="L697" i="25" s="1"/>
  <c r="L698" i="25" s="1"/>
  <c r="L699" i="25" s="1"/>
  <c r="L700" i="25" s="1"/>
  <c r="L701" i="25" s="1"/>
  <c r="L702" i="25" s="1"/>
  <c r="L703" i="25" s="1"/>
  <c r="L704" i="25" s="1"/>
  <c r="L705" i="25" s="1"/>
  <c r="L706" i="25" s="1"/>
  <c r="L707" i="25" s="1"/>
  <c r="L708" i="25" s="1"/>
  <c r="L709" i="25" s="1"/>
  <c r="L710" i="25" s="1"/>
  <c r="L711" i="25" s="1"/>
  <c r="L712" i="25" s="1"/>
  <c r="L713" i="25" s="1"/>
  <c r="L714" i="25" s="1"/>
  <c r="L715" i="25" s="1"/>
  <c r="L716" i="25" s="1"/>
  <c r="L717" i="25" s="1"/>
  <c r="L718" i="25" s="1"/>
  <c r="L719" i="25" s="1"/>
  <c r="L720" i="25" s="1"/>
  <c r="L721" i="25" s="1"/>
  <c r="L722" i="25" s="1"/>
  <c r="L723" i="25" s="1"/>
  <c r="L724" i="25" s="1"/>
  <c r="L725" i="25" s="1"/>
  <c r="L726" i="25" s="1"/>
  <c r="L727" i="25" s="1"/>
  <c r="L728" i="25" s="1"/>
  <c r="L729" i="25" s="1"/>
  <c r="L730" i="25" s="1"/>
  <c r="L731" i="25" s="1"/>
  <c r="L732" i="25" s="1"/>
  <c r="L733" i="25" s="1"/>
  <c r="L734" i="25" s="1"/>
  <c r="L735" i="25" s="1"/>
  <c r="L736" i="25" s="1"/>
  <c r="L737" i="25" s="1"/>
  <c r="L738" i="25" s="1"/>
  <c r="L739" i="25" s="1"/>
  <c r="L740" i="25" s="1"/>
  <c r="L741" i="25" s="1"/>
  <c r="L742" i="25" s="1"/>
  <c r="L743" i="25" s="1"/>
  <c r="L744" i="25" s="1"/>
  <c r="L745" i="25" s="1"/>
  <c r="L746" i="25" s="1"/>
  <c r="L747" i="25" s="1"/>
  <c r="L748" i="25" s="1"/>
  <c r="L749" i="25" s="1"/>
  <c r="L750" i="25" s="1"/>
  <c r="L751" i="25" s="1"/>
  <c r="L752" i="25" s="1"/>
  <c r="L753" i="25" s="1"/>
  <c r="L754" i="25" s="1"/>
  <c r="L755" i="25" s="1"/>
  <c r="L756" i="25" s="1"/>
  <c r="L757" i="25" s="1"/>
  <c r="L758" i="25" s="1"/>
  <c r="L759" i="25" s="1"/>
  <c r="L760" i="25" s="1"/>
  <c r="L761" i="25" s="1"/>
  <c r="L762" i="25" s="1"/>
  <c r="L763" i="25" s="1"/>
  <c r="L764" i="25" s="1"/>
  <c r="L765" i="25" s="1"/>
  <c r="L766" i="25" s="1"/>
  <c r="L767" i="25" s="1"/>
  <c r="L768" i="25" s="1"/>
  <c r="L769" i="25" s="1"/>
  <c r="L770" i="25" s="1"/>
  <c r="L771" i="25" s="1"/>
  <c r="L772" i="25" s="1"/>
  <c r="L773" i="25" s="1"/>
  <c r="L774" i="25" s="1"/>
  <c r="L775" i="25" s="1"/>
  <c r="L776" i="25" s="1"/>
  <c r="L777" i="25" s="1"/>
  <c r="L778" i="25" s="1"/>
  <c r="L779" i="25" s="1"/>
  <c r="L780" i="25" s="1"/>
  <c r="L781" i="25" s="1"/>
  <c r="L782" i="25" s="1"/>
  <c r="L783" i="25" s="1"/>
  <c r="L784" i="25" s="1"/>
  <c r="L785" i="25" s="1"/>
  <c r="L786" i="25" s="1"/>
  <c r="L787" i="25" s="1"/>
  <c r="L788" i="25" s="1"/>
  <c r="L789" i="25" s="1"/>
  <c r="L790" i="25" s="1"/>
  <c r="L791" i="25" s="1"/>
  <c r="L792" i="25" s="1"/>
  <c r="L793" i="25" s="1"/>
  <c r="L794" i="25" s="1"/>
  <c r="L795" i="25" s="1"/>
  <c r="L796" i="25" s="1"/>
  <c r="L797" i="25" s="1"/>
  <c r="L798" i="25" s="1"/>
  <c r="L799" i="25" s="1"/>
  <c r="L800" i="25" s="1"/>
  <c r="L801" i="25" s="1"/>
  <c r="L802" i="25" s="1"/>
  <c r="L803" i="25" s="1"/>
  <c r="L804" i="25" s="1"/>
  <c r="L805" i="25" s="1"/>
  <c r="L806" i="25" s="1"/>
  <c r="L807" i="25" s="1"/>
  <c r="L808" i="25" s="1"/>
  <c r="L809" i="25" s="1"/>
  <c r="L810" i="25" s="1"/>
  <c r="L811" i="25" s="1"/>
  <c r="L812" i="25" s="1"/>
  <c r="L813" i="25" s="1"/>
  <c r="L814" i="25" s="1"/>
  <c r="L815" i="25" s="1"/>
  <c r="L816" i="25" s="1"/>
  <c r="L817" i="25" s="1"/>
  <c r="L818" i="25" s="1"/>
  <c r="L819" i="25" s="1"/>
  <c r="L820" i="25" s="1"/>
  <c r="L821" i="25" s="1"/>
  <c r="L822" i="25" s="1"/>
  <c r="L823" i="25" s="1"/>
  <c r="L824" i="25" s="1"/>
  <c r="L825" i="25" s="1"/>
  <c r="L826" i="25" s="1"/>
  <c r="L827" i="25" s="1"/>
  <c r="L828" i="25" s="1"/>
  <c r="L829" i="25" s="1"/>
  <c r="L830" i="25" s="1"/>
  <c r="L831" i="25" s="1"/>
  <c r="L832" i="25" s="1"/>
  <c r="L833" i="25" s="1"/>
  <c r="L834" i="25" s="1"/>
  <c r="L835" i="25" s="1"/>
  <c r="L836" i="25" s="1"/>
  <c r="L837" i="25" s="1"/>
  <c r="L838" i="25" s="1"/>
  <c r="L839" i="25" s="1"/>
  <c r="L840" i="25" s="1"/>
  <c r="L841" i="25" s="1"/>
  <c r="L842" i="25" s="1"/>
  <c r="L843" i="25" s="1"/>
  <c r="L844" i="25" s="1"/>
  <c r="L845" i="25" s="1"/>
  <c r="L846" i="25" s="1"/>
  <c r="L847" i="25" s="1"/>
  <c r="L848" i="25" s="1"/>
  <c r="L849" i="25" s="1"/>
  <c r="L850" i="25" s="1"/>
  <c r="L851" i="25" s="1"/>
  <c r="L852" i="25" s="1"/>
  <c r="L853" i="25" s="1"/>
  <c r="L854" i="25" s="1"/>
  <c r="L855" i="25" s="1"/>
  <c r="L856" i="25" s="1"/>
  <c r="L857" i="25" s="1"/>
  <c r="L858" i="25" s="1"/>
  <c r="L859" i="25" s="1"/>
  <c r="L860" i="25" s="1"/>
  <c r="L861" i="25" s="1"/>
  <c r="L862" i="25" s="1"/>
  <c r="L863" i="25" s="1"/>
  <c r="L864" i="25" s="1"/>
  <c r="L865" i="25" s="1"/>
  <c r="L866" i="25" s="1"/>
  <c r="L867" i="25" s="1"/>
  <c r="L868" i="25" s="1"/>
  <c r="L869" i="25" s="1"/>
  <c r="L870" i="25" s="1"/>
  <c r="L871" i="25" s="1"/>
  <c r="L872" i="25" s="1"/>
  <c r="L873" i="25" s="1"/>
  <c r="L874" i="25" s="1"/>
  <c r="L875" i="25" s="1"/>
  <c r="L876" i="25" s="1"/>
  <c r="L877" i="25" s="1"/>
  <c r="L878" i="25" s="1"/>
  <c r="L879" i="25" s="1"/>
  <c r="L880" i="25" s="1"/>
  <c r="L881" i="25" s="1"/>
  <c r="L882" i="25" s="1"/>
  <c r="L883" i="25" s="1"/>
  <c r="L884" i="25" s="1"/>
  <c r="L885" i="25" s="1"/>
  <c r="L886" i="25" s="1"/>
  <c r="L887" i="25" s="1"/>
  <c r="L888" i="25" s="1"/>
  <c r="L889" i="25" s="1"/>
  <c r="L890" i="25" s="1"/>
  <c r="L891" i="25" s="1"/>
  <c r="L892" i="25" s="1"/>
  <c r="L893" i="25" s="1"/>
  <c r="L894" i="25" s="1"/>
  <c r="L895" i="25" s="1"/>
  <c r="L896" i="25" s="1"/>
  <c r="L897" i="25" s="1"/>
  <c r="L898" i="25" s="1"/>
  <c r="L899" i="25" s="1"/>
  <c r="L900" i="25" s="1"/>
  <c r="L901" i="25" s="1"/>
  <c r="L902" i="25" s="1"/>
  <c r="L903" i="25" s="1"/>
  <c r="L904" i="25" s="1"/>
  <c r="L905" i="25" s="1"/>
  <c r="L906" i="25" s="1"/>
  <c r="L907" i="25" s="1"/>
  <c r="L908" i="25" s="1"/>
  <c r="L909" i="25" s="1"/>
  <c r="L910" i="25" s="1"/>
  <c r="L911" i="25" s="1"/>
  <c r="L912" i="25" s="1"/>
  <c r="L913" i="25" s="1"/>
  <c r="L914" i="25" s="1"/>
  <c r="L915" i="25" s="1"/>
  <c r="L916" i="25" s="1"/>
  <c r="L917" i="25" s="1"/>
  <c r="L918" i="25" s="1"/>
  <c r="L919" i="25" s="1"/>
  <c r="L920" i="25" s="1"/>
  <c r="L921" i="25" s="1"/>
  <c r="L922" i="25" s="1"/>
  <c r="L923" i="25" s="1"/>
  <c r="L924" i="25" s="1"/>
  <c r="L925" i="25" s="1"/>
  <c r="L926" i="25" s="1"/>
  <c r="L927" i="25" s="1"/>
  <c r="L928" i="25" s="1"/>
  <c r="L929" i="25" s="1"/>
  <c r="L930" i="25" s="1"/>
  <c r="L931" i="25" s="1"/>
  <c r="L932" i="25" s="1"/>
  <c r="L933" i="25" s="1"/>
  <c r="L934" i="25" s="1"/>
  <c r="L935" i="25" s="1"/>
  <c r="L936" i="25" s="1"/>
  <c r="L937" i="25" s="1"/>
  <c r="L938" i="25" s="1"/>
  <c r="L939" i="25" s="1"/>
  <c r="L940" i="25" s="1"/>
  <c r="L941" i="25" s="1"/>
  <c r="L942" i="25" s="1"/>
  <c r="L943" i="25" s="1"/>
  <c r="L944" i="25" s="1"/>
  <c r="L945" i="25" s="1"/>
  <c r="L946" i="25" s="1"/>
  <c r="L947" i="25" s="1"/>
  <c r="L948" i="25" s="1"/>
  <c r="L949" i="25" s="1"/>
  <c r="L950" i="25" s="1"/>
  <c r="L951" i="25" s="1"/>
  <c r="L952" i="25" s="1"/>
  <c r="L953" i="25" s="1"/>
  <c r="L954" i="25" s="1"/>
  <c r="L955" i="25" s="1"/>
  <c r="L956" i="25" s="1"/>
  <c r="L957" i="25" s="1"/>
  <c r="L958" i="25" s="1"/>
  <c r="L959" i="25" s="1"/>
  <c r="L960" i="25" s="1"/>
  <c r="L961" i="25" s="1"/>
  <c r="L962" i="25" s="1"/>
  <c r="L963" i="25" s="1"/>
  <c r="L964" i="25" s="1"/>
  <c r="L965" i="25" s="1"/>
  <c r="L966" i="25" s="1"/>
  <c r="L967" i="25" s="1"/>
  <c r="L968" i="25" s="1"/>
  <c r="L969" i="25" s="1"/>
  <c r="L970" i="25" s="1"/>
  <c r="L971" i="25" s="1"/>
  <c r="L972" i="25" s="1"/>
  <c r="L973" i="25" s="1"/>
  <c r="L974" i="25" s="1"/>
  <c r="L975" i="25" s="1"/>
  <c r="L976" i="25" s="1"/>
  <c r="L977" i="25" s="1"/>
  <c r="L978" i="25" s="1"/>
  <c r="L979" i="25" s="1"/>
  <c r="L980" i="25" s="1"/>
  <c r="L981" i="25" s="1"/>
  <c r="L982" i="25" s="1"/>
  <c r="L983" i="25" s="1"/>
  <c r="L984" i="25" s="1"/>
  <c r="L985" i="25" s="1"/>
  <c r="L986" i="25" s="1"/>
  <c r="L987" i="25" s="1"/>
  <c r="L988" i="25" s="1"/>
  <c r="L989" i="25" s="1"/>
  <c r="L990" i="25" s="1"/>
  <c r="L991" i="25" s="1"/>
  <c r="L992" i="25" s="1"/>
  <c r="L993" i="25" s="1"/>
  <c r="L994" i="25" s="1"/>
  <c r="L995" i="25" s="1"/>
  <c r="L996" i="25" s="1"/>
  <c r="L997" i="25" s="1"/>
  <c r="L998" i="25" s="1"/>
  <c r="L999" i="25" s="1"/>
  <c r="L1000" i="25" s="1"/>
  <c r="L1001" i="25" s="1"/>
  <c r="L1002" i="25" s="1"/>
  <c r="L1003" i="25" s="1"/>
  <c r="L1004" i="25" s="1"/>
  <c r="L1005" i="25" s="1"/>
  <c r="L1006" i="25" s="1"/>
  <c r="L1007" i="25" s="1"/>
  <c r="L1008" i="25" s="1"/>
  <c r="L1009" i="25" s="1"/>
  <c r="L1010" i="25" s="1"/>
  <c r="L1011" i="25" s="1"/>
  <c r="L1012" i="25" s="1"/>
  <c r="L1013" i="25" s="1"/>
  <c r="L1014" i="25" s="1"/>
  <c r="L1015" i="25" s="1"/>
  <c r="L1016" i="25" s="1"/>
  <c r="L1017" i="25" s="1"/>
  <c r="L1018" i="25" s="1"/>
  <c r="L1019" i="25" s="1"/>
  <c r="L1020" i="25" s="1"/>
  <c r="L1021" i="25" s="1"/>
  <c r="L1022" i="25" s="1"/>
  <c r="L1023" i="25" s="1"/>
  <c r="L1024" i="25" s="1"/>
  <c r="L1025" i="25" s="1"/>
  <c r="L1026" i="25" s="1"/>
  <c r="L1027" i="25" s="1"/>
  <c r="L1028" i="25" s="1"/>
  <c r="L1029" i="25" s="1"/>
  <c r="L1030" i="25" s="1"/>
  <c r="L1031" i="25" s="1"/>
  <c r="L1032" i="25" s="1"/>
  <c r="L1033" i="25" s="1"/>
  <c r="L1034" i="25" s="1"/>
  <c r="L1035" i="25" s="1"/>
  <c r="L1036" i="25" s="1"/>
  <c r="L1037" i="25" s="1"/>
  <c r="L1038" i="25" s="1"/>
  <c r="L1039" i="25" s="1"/>
  <c r="L1040" i="25" s="1"/>
  <c r="L1041" i="25" s="1"/>
  <c r="L1042" i="25" s="1"/>
  <c r="L1043" i="25" s="1"/>
  <c r="L1044" i="25" s="1"/>
  <c r="L1045" i="25" s="1"/>
  <c r="L1046" i="25" s="1"/>
  <c r="L1047" i="25" s="1"/>
  <c r="L1048" i="25" s="1"/>
  <c r="L1049" i="25" s="1"/>
  <c r="L1050" i="25" s="1"/>
  <c r="L1051" i="25" s="1"/>
  <c r="L1052" i="25" s="1"/>
  <c r="L1053" i="25" s="1"/>
  <c r="L1054" i="25" s="1"/>
  <c r="L1055" i="25" s="1"/>
  <c r="L1056" i="25" s="1"/>
  <c r="L1057" i="25" s="1"/>
  <c r="L1058" i="25" s="1"/>
  <c r="L1059" i="25" s="1"/>
  <c r="L1060" i="25" s="1"/>
  <c r="L1061" i="25" s="1"/>
  <c r="L1062" i="25" s="1"/>
  <c r="L1063" i="25" s="1"/>
  <c r="L1064" i="25" s="1"/>
  <c r="L1065" i="25" s="1"/>
  <c r="L1066" i="25" s="1"/>
  <c r="L1067" i="25" s="1"/>
  <c r="L1068" i="25" s="1"/>
  <c r="L1069" i="25" s="1"/>
  <c r="L1070" i="25" s="1"/>
  <c r="L1071" i="25" s="1"/>
  <c r="L1072" i="25" s="1"/>
  <c r="L1073" i="25" s="1"/>
  <c r="L1074" i="25" s="1"/>
  <c r="L1075" i="25" s="1"/>
  <c r="L1076" i="25" s="1"/>
  <c r="L1077" i="25" s="1"/>
  <c r="L1078" i="25" s="1"/>
  <c r="L1079" i="25" s="1"/>
  <c r="L1080" i="25" s="1"/>
  <c r="L1081" i="25" s="1"/>
  <c r="L1082" i="25" s="1"/>
  <c r="L1083" i="25" s="1"/>
  <c r="L1084" i="25" s="1"/>
  <c r="L1085" i="25" s="1"/>
  <c r="L1086" i="25" s="1"/>
  <c r="L1087" i="25" s="1"/>
  <c r="L1088" i="25" s="1"/>
  <c r="L1089" i="25" s="1"/>
  <c r="L1090" i="25" s="1"/>
  <c r="L1091" i="25" s="1"/>
  <c r="L1092" i="25" s="1"/>
  <c r="L1093" i="25" s="1"/>
  <c r="L1094" i="25" s="1"/>
  <c r="L1095" i="25" s="1"/>
  <c r="L1096" i="25" s="1"/>
  <c r="L1097" i="25" s="1"/>
  <c r="L1098" i="25" s="1"/>
  <c r="L1099" i="25" s="1"/>
  <c r="L1100" i="25" s="1"/>
  <c r="L1101" i="25" s="1"/>
  <c r="L1102" i="25" s="1"/>
  <c r="L1103" i="25" s="1"/>
  <c r="L1104" i="25" s="1"/>
  <c r="L1105" i="25" s="1"/>
  <c r="L1106" i="25" s="1"/>
  <c r="L1107" i="25" s="1"/>
  <c r="L1108" i="25" s="1"/>
  <c r="L1109" i="25" s="1"/>
  <c r="L1110" i="25" s="1"/>
  <c r="L1111" i="25" s="1"/>
  <c r="L1112" i="25" s="1"/>
  <c r="L1113" i="25" s="1"/>
  <c r="L1114" i="25" s="1"/>
  <c r="L1115" i="25" s="1"/>
  <c r="L1116" i="25" s="1"/>
  <c r="L1117" i="25" s="1"/>
  <c r="L1118" i="25" s="1"/>
  <c r="L1119" i="25" s="1"/>
  <c r="L1120" i="25" s="1"/>
  <c r="L1121" i="25" s="1"/>
  <c r="L1122" i="25" s="1"/>
  <c r="L1123" i="25" s="1"/>
  <c r="L1124" i="25" s="1"/>
  <c r="L1125" i="25" s="1"/>
  <c r="L1126" i="25" s="1"/>
  <c r="L1127" i="25" s="1"/>
  <c r="L1128" i="25" s="1"/>
  <c r="L1129" i="25" s="1"/>
  <c r="L1130" i="25" s="1"/>
  <c r="L1131" i="25" s="1"/>
  <c r="L1132" i="25" s="1"/>
  <c r="L1133" i="25" s="1"/>
  <c r="L1134" i="25" s="1"/>
  <c r="L1135" i="25" s="1"/>
  <c r="L1136" i="25" s="1"/>
  <c r="L1137" i="25" s="1"/>
  <c r="L1138" i="25" s="1"/>
  <c r="L1139" i="25" s="1"/>
  <c r="L1140" i="25" s="1"/>
  <c r="L1141" i="25" s="1"/>
  <c r="L1142" i="25" s="1"/>
  <c r="L1143" i="25" s="1"/>
  <c r="L1144" i="25" s="1"/>
  <c r="L1145" i="25" s="1"/>
  <c r="L1146" i="25" s="1"/>
  <c r="L1147" i="25" s="1"/>
  <c r="L1148" i="25" s="1"/>
  <c r="L1149" i="25" s="1"/>
  <c r="L1150" i="25" s="1"/>
  <c r="L1151" i="25" s="1"/>
  <c r="L1152" i="25" s="1"/>
  <c r="L1153" i="25" s="1"/>
  <c r="L1154" i="25" s="1"/>
  <c r="L1155" i="25" s="1"/>
  <c r="L1156" i="25" s="1"/>
  <c r="L1157" i="25" s="1"/>
  <c r="L1158" i="25" s="1"/>
  <c r="L1159" i="25" s="1"/>
  <c r="L1160" i="25" s="1"/>
  <c r="L1161" i="25" s="1"/>
  <c r="L1162" i="25" s="1"/>
  <c r="L1163" i="25" s="1"/>
  <c r="L1164" i="25" s="1"/>
  <c r="L1165" i="25" s="1"/>
  <c r="L1166" i="25" s="1"/>
  <c r="L1167" i="25" s="1"/>
  <c r="L1168" i="25" s="1"/>
  <c r="L1169" i="25" s="1"/>
  <c r="L1170" i="25" s="1"/>
  <c r="L1171" i="25" s="1"/>
  <c r="L1172" i="25" s="1"/>
  <c r="L1173" i="25" s="1"/>
  <c r="L1174" i="25" s="1"/>
  <c r="L1175" i="25" s="1"/>
  <c r="L1176" i="25" s="1"/>
  <c r="L1177" i="25" s="1"/>
  <c r="L1178" i="25" s="1"/>
  <c r="L1179" i="25" s="1"/>
  <c r="L1180" i="25" s="1"/>
  <c r="L1181" i="25" s="1"/>
  <c r="L1182" i="25" s="1"/>
  <c r="L1183" i="25" s="1"/>
  <c r="L1184" i="25" s="1"/>
  <c r="L1185" i="25" s="1"/>
  <c r="L1186" i="25" s="1"/>
  <c r="L1187" i="25" s="1"/>
  <c r="L1188" i="25" s="1"/>
  <c r="L1189" i="25" s="1"/>
  <c r="L1190" i="25" s="1"/>
  <c r="L1191" i="25" s="1"/>
  <c r="L1192" i="25" s="1"/>
  <c r="L1193" i="25" s="1"/>
  <c r="L1194" i="25" s="1"/>
  <c r="L1195" i="25" s="1"/>
  <c r="L1196" i="25" s="1"/>
  <c r="L1197" i="25" s="1"/>
  <c r="L1198" i="25" s="1"/>
  <c r="L1199" i="25" s="1"/>
  <c r="L1200" i="25" s="1"/>
  <c r="L1201" i="25" s="1"/>
  <c r="L1202" i="25" s="1"/>
  <c r="L1203" i="25" s="1"/>
  <c r="L1204" i="25" s="1"/>
  <c r="L1205" i="25" s="1"/>
  <c r="L1206" i="25" s="1"/>
  <c r="L1207" i="25" s="1"/>
  <c r="L1208" i="25" s="1"/>
  <c r="L1209" i="25" s="1"/>
  <c r="L1210" i="25" s="1"/>
  <c r="L1211" i="25" s="1"/>
  <c r="L1212" i="25" s="1"/>
  <c r="L1213" i="25" s="1"/>
  <c r="L1214" i="25" s="1"/>
  <c r="L1215" i="25" s="1"/>
  <c r="L1216" i="25" s="1"/>
  <c r="L1217" i="25" s="1"/>
  <c r="L1218" i="25" s="1"/>
  <c r="L1219" i="25" s="1"/>
  <c r="L1220" i="25" s="1"/>
  <c r="L1221" i="25" s="1"/>
  <c r="L1222" i="25" s="1"/>
  <c r="L1223" i="25" s="1"/>
  <c r="L1224" i="25" s="1"/>
  <c r="L1225" i="25" s="1"/>
  <c r="L1226" i="25" s="1"/>
  <c r="L1227" i="25" s="1"/>
  <c r="L1228" i="25" s="1"/>
  <c r="L1229" i="25" s="1"/>
  <c r="L1230" i="25" s="1"/>
  <c r="L1231" i="25" s="1"/>
  <c r="L1232" i="25" s="1"/>
  <c r="L1233" i="25" s="1"/>
  <c r="L1234" i="25" s="1"/>
  <c r="L1235" i="25" s="1"/>
  <c r="L1236" i="25" s="1"/>
  <c r="L1237" i="25" s="1"/>
  <c r="L1238" i="25" s="1"/>
  <c r="L1239" i="25" s="1"/>
  <c r="L1240" i="25" s="1"/>
  <c r="L1241" i="25" s="1"/>
  <c r="L1242" i="25" s="1"/>
  <c r="L1243" i="25" s="1"/>
  <c r="L1244" i="25" s="1"/>
  <c r="L1245" i="25" s="1"/>
  <c r="L1246" i="25" s="1"/>
  <c r="L1247" i="25" s="1"/>
  <c r="L1248" i="25" s="1"/>
  <c r="L1249" i="25" s="1"/>
  <c r="L1250" i="25" s="1"/>
  <c r="L1251" i="25" s="1"/>
  <c r="L1252" i="25" s="1"/>
  <c r="L1253" i="25" s="1"/>
  <c r="L1254" i="25" s="1"/>
  <c r="L1255" i="25" s="1"/>
  <c r="L1256" i="25" s="1"/>
  <c r="L1257" i="25" s="1"/>
  <c r="L1258" i="25" s="1"/>
  <c r="L1259" i="25" s="1"/>
  <c r="L1260" i="25" s="1"/>
  <c r="L1261" i="25" s="1"/>
  <c r="L1262" i="25" s="1"/>
  <c r="L1263" i="25" s="1"/>
  <c r="L1264" i="25" s="1"/>
  <c r="L1265" i="25" s="1"/>
  <c r="L1266" i="25" s="1"/>
  <c r="L1267" i="25" s="1"/>
  <c r="L1268" i="25" s="1"/>
  <c r="L1269" i="25" s="1"/>
  <c r="L1270" i="25" s="1"/>
  <c r="L1271" i="25" s="1"/>
  <c r="L1272" i="25" s="1"/>
  <c r="L1273" i="25" s="1"/>
  <c r="L1274" i="25" s="1"/>
  <c r="L1275" i="25" s="1"/>
  <c r="L1276" i="25" s="1"/>
  <c r="L1277" i="25" s="1"/>
  <c r="L1278" i="25" s="1"/>
  <c r="L1279" i="25" s="1"/>
  <c r="L1280" i="25" s="1"/>
  <c r="L1281" i="25" s="1"/>
  <c r="L1282" i="25" s="1"/>
  <c r="L1283" i="25" s="1"/>
  <c r="L1284" i="25" s="1"/>
  <c r="L1285" i="25" s="1"/>
  <c r="L1286" i="25" s="1"/>
  <c r="L1287" i="25" s="1"/>
  <c r="L1288" i="25" s="1"/>
  <c r="L1289" i="25" s="1"/>
  <c r="L1290" i="25" s="1"/>
  <c r="L1291" i="25" s="1"/>
  <c r="L1292" i="25" s="1"/>
  <c r="L1293" i="25" s="1"/>
  <c r="L1294" i="25" s="1"/>
  <c r="L1295" i="25" s="1"/>
  <c r="L1296" i="25" s="1"/>
  <c r="L1297" i="25" s="1"/>
  <c r="L1298" i="25" s="1"/>
  <c r="L1299" i="25" s="1"/>
  <c r="L1300" i="25" s="1"/>
  <c r="L1301" i="25" s="1"/>
  <c r="L1302" i="25" s="1"/>
  <c r="L1303" i="25" s="1"/>
  <c r="L1304" i="25" s="1"/>
  <c r="L1305" i="25" s="1"/>
  <c r="L1306" i="25" s="1"/>
  <c r="L1307" i="25" s="1"/>
  <c r="L1308" i="25" s="1"/>
  <c r="L1309" i="25" s="1"/>
  <c r="L1310" i="25" s="1"/>
  <c r="L1311" i="25" s="1"/>
  <c r="L1312" i="25" s="1"/>
  <c r="L1313" i="25" s="1"/>
  <c r="L1314" i="25" s="1"/>
  <c r="L1315" i="25" s="1"/>
  <c r="L1316" i="25" s="1"/>
  <c r="L1317" i="25" s="1"/>
  <c r="L1318" i="25" s="1"/>
  <c r="L1319" i="25" s="1"/>
  <c r="L1320" i="25" s="1"/>
  <c r="L1321" i="25" s="1"/>
  <c r="L1322" i="25" s="1"/>
  <c r="L1323" i="25" s="1"/>
  <c r="L1324" i="25" s="1"/>
  <c r="L1325" i="25" s="1"/>
  <c r="L1326" i="25" s="1"/>
  <c r="L1327" i="25" s="1"/>
  <c r="L1328" i="25" s="1"/>
  <c r="L1329" i="25" s="1"/>
  <c r="L1330" i="25" s="1"/>
  <c r="L1331" i="25" s="1"/>
  <c r="L1332" i="25" s="1"/>
  <c r="L1333" i="25" s="1"/>
  <c r="L1334" i="25" s="1"/>
  <c r="L1335" i="25" s="1"/>
  <c r="L1336" i="25" s="1"/>
  <c r="L1337" i="25" s="1"/>
  <c r="L1338" i="25" s="1"/>
  <c r="L1339" i="25" s="1"/>
  <c r="L1340" i="25" s="1"/>
  <c r="L1341" i="25" s="1"/>
  <c r="L1342" i="25" s="1"/>
  <c r="L1343" i="25" s="1"/>
  <c r="L1344" i="25" s="1"/>
  <c r="L1345" i="25" s="1"/>
  <c r="L1346" i="25" s="1"/>
  <c r="L1347" i="25" s="1"/>
  <c r="L1348" i="25" s="1"/>
  <c r="L1349" i="25" s="1"/>
  <c r="L1350" i="25" s="1"/>
  <c r="L1351" i="25" s="1"/>
  <c r="L1352" i="25" s="1"/>
  <c r="L1353" i="25" s="1"/>
  <c r="L1354" i="25" s="1"/>
  <c r="L1355" i="25" s="1"/>
  <c r="L1356" i="25" s="1"/>
  <c r="L1357" i="25" s="1"/>
  <c r="L1358" i="25" s="1"/>
  <c r="L1359" i="25" s="1"/>
  <c r="L1360" i="25" s="1"/>
  <c r="L1361" i="25" s="1"/>
  <c r="L1362" i="25" s="1"/>
  <c r="L1363" i="25" s="1"/>
  <c r="L1364" i="25" s="1"/>
  <c r="L1365" i="25" s="1"/>
  <c r="L1366" i="25" s="1"/>
  <c r="L1367" i="25" s="1"/>
  <c r="L1368" i="25" s="1"/>
  <c r="L1369" i="25" s="1"/>
  <c r="L1370" i="25" s="1"/>
  <c r="L1371" i="25" s="1"/>
  <c r="L1372" i="25" s="1"/>
  <c r="L1373" i="25" s="1"/>
  <c r="L1374" i="25" s="1"/>
  <c r="L1375" i="25" s="1"/>
  <c r="L1376" i="25" s="1"/>
  <c r="L1377" i="25" s="1"/>
  <c r="L1378" i="25" s="1"/>
  <c r="L1379" i="25" s="1"/>
  <c r="L1380" i="25" s="1"/>
  <c r="L1381" i="25" s="1"/>
  <c r="L1382" i="25" s="1"/>
  <c r="L1383" i="25" s="1"/>
  <c r="L1384" i="25" s="1"/>
  <c r="L1385" i="25" s="1"/>
  <c r="L1386" i="25" s="1"/>
  <c r="L1387" i="25" s="1"/>
  <c r="L1388" i="25" s="1"/>
  <c r="L1389" i="25" s="1"/>
  <c r="L1390" i="25" s="1"/>
  <c r="L1391" i="25" s="1"/>
  <c r="L1392" i="25" s="1"/>
  <c r="L1393" i="25" s="1"/>
  <c r="L1394" i="25" s="1"/>
  <c r="L1395" i="25" s="1"/>
  <c r="L1396" i="25" s="1"/>
  <c r="L1397" i="25" s="1"/>
  <c r="L1398" i="25" s="1"/>
  <c r="L1399" i="25" s="1"/>
  <c r="L1400" i="25" s="1"/>
  <c r="L1401" i="25" s="1"/>
  <c r="L1402" i="25" s="1"/>
  <c r="L1403" i="25" s="1"/>
  <c r="L1404" i="25" s="1"/>
  <c r="L1405" i="25" s="1"/>
  <c r="L1406" i="25" s="1"/>
  <c r="L1407" i="25" s="1"/>
  <c r="L1408" i="25" s="1"/>
  <c r="L1409" i="25" s="1"/>
  <c r="L1410" i="25" s="1"/>
  <c r="L1411" i="25" s="1"/>
  <c r="L1412" i="25" s="1"/>
  <c r="L1413" i="25" s="1"/>
  <c r="L1414" i="25" s="1"/>
  <c r="L1415" i="25" s="1"/>
  <c r="L1416" i="25" s="1"/>
  <c r="L1417" i="25" s="1"/>
  <c r="L1418" i="25" s="1"/>
  <c r="L1419" i="25" s="1"/>
  <c r="L1420" i="25" s="1"/>
  <c r="L1421" i="25" s="1"/>
  <c r="L1422" i="25" s="1"/>
  <c r="L1423" i="25" s="1"/>
  <c r="L1424" i="25" s="1"/>
  <c r="L1425" i="25" s="1"/>
  <c r="L1426" i="25" s="1"/>
  <c r="L1427" i="25" s="1"/>
  <c r="L1428" i="25" s="1"/>
  <c r="L1429" i="25" s="1"/>
  <c r="L1430" i="25" s="1"/>
  <c r="L1431" i="25" s="1"/>
  <c r="L1432" i="25" s="1"/>
  <c r="L1433" i="25" s="1"/>
  <c r="L1434" i="25" s="1"/>
  <c r="L1435" i="25" s="1"/>
  <c r="L1436" i="25" s="1"/>
  <c r="L1437" i="25" s="1"/>
  <c r="L1438" i="25" s="1"/>
  <c r="L1439" i="25" s="1"/>
  <c r="L1440" i="25" s="1"/>
  <c r="L1441" i="25" s="1"/>
  <c r="L1442" i="25" s="1"/>
  <c r="L1443" i="25" s="1"/>
  <c r="L1444" i="25" s="1"/>
  <c r="L1445" i="25" s="1"/>
  <c r="L1446" i="25" s="1"/>
  <c r="L1447" i="25" s="1"/>
  <c r="L1448" i="25" s="1"/>
  <c r="L1449" i="25" s="1"/>
  <c r="L1450" i="25" s="1"/>
  <c r="L1451" i="25" s="1"/>
  <c r="L1452" i="25" s="1"/>
  <c r="L1453" i="25" s="1"/>
  <c r="L1454" i="25" s="1"/>
  <c r="L1455" i="25" s="1"/>
  <c r="L1456" i="25" s="1"/>
  <c r="L1457" i="25" s="1"/>
  <c r="L1458" i="25" s="1"/>
  <c r="L1459" i="25" s="1"/>
  <c r="L1460" i="25" s="1"/>
  <c r="L1461" i="25" s="1"/>
  <c r="L1462" i="25" s="1"/>
  <c r="L1463" i="25" s="1"/>
  <c r="L1464" i="25" s="1"/>
  <c r="L1465" i="25" s="1"/>
  <c r="L1466" i="25" s="1"/>
  <c r="L1467" i="25" s="1"/>
  <c r="L1468" i="25" s="1"/>
  <c r="L1469" i="25" s="1"/>
  <c r="L1470" i="25" s="1"/>
  <c r="L1471" i="25" s="1"/>
  <c r="L1472" i="25" s="1"/>
  <c r="L1473" i="25" s="1"/>
  <c r="L1474" i="25" s="1"/>
  <c r="L1475" i="25" s="1"/>
  <c r="L1476" i="25" s="1"/>
  <c r="L1477" i="25" s="1"/>
  <c r="L1478" i="25" s="1"/>
  <c r="L1479" i="25" s="1"/>
  <c r="L1480" i="25" s="1"/>
  <c r="L1481" i="25" s="1"/>
  <c r="L1482" i="25" s="1"/>
  <c r="L1483" i="25" s="1"/>
  <c r="L1484" i="25" s="1"/>
  <c r="L1485" i="25" s="1"/>
  <c r="L1486" i="25" s="1"/>
  <c r="L1487" i="25" s="1"/>
  <c r="L1488" i="25" s="1"/>
  <c r="L1489" i="25" s="1"/>
  <c r="L1490" i="25" s="1"/>
  <c r="L1491" i="25" s="1"/>
  <c r="L1492" i="25" s="1"/>
  <c r="L1493" i="25" s="1"/>
  <c r="L1494" i="25" s="1"/>
  <c r="L1495" i="25" s="1"/>
  <c r="L1496" i="25" s="1"/>
  <c r="L1497" i="25" s="1"/>
  <c r="L1498" i="25" s="1"/>
  <c r="L1499" i="25" s="1"/>
  <c r="L1500" i="25" s="1"/>
  <c r="L1501" i="25" s="1"/>
  <c r="L1502" i="25" s="1"/>
  <c r="L1503" i="25" s="1"/>
  <c r="L1504" i="25" s="1"/>
  <c r="L1505" i="25" s="1"/>
  <c r="L1506" i="25" s="1"/>
  <c r="L1507" i="25" s="1"/>
  <c r="L1508" i="25" s="1"/>
  <c r="L1509" i="25" s="1"/>
  <c r="L1510" i="25" s="1"/>
  <c r="L1511" i="25" s="1"/>
  <c r="L1512" i="25" s="1"/>
  <c r="L1513" i="25" s="1"/>
  <c r="L1514" i="25" s="1"/>
  <c r="L1515" i="25" s="1"/>
  <c r="L1516" i="25" s="1"/>
  <c r="L1517" i="25" s="1"/>
  <c r="L1518" i="25" s="1"/>
  <c r="L1519" i="25" s="1"/>
  <c r="L1520" i="25" s="1"/>
  <c r="L1521" i="25" s="1"/>
  <c r="L1522" i="25" s="1"/>
  <c r="L1523" i="25" s="1"/>
  <c r="L1524" i="25" s="1"/>
  <c r="L1525" i="25" s="1"/>
  <c r="L1526" i="25" s="1"/>
  <c r="L1527" i="25" s="1"/>
  <c r="L1528" i="25" s="1"/>
  <c r="L1529" i="25" s="1"/>
  <c r="L1530" i="25" s="1"/>
  <c r="L1531" i="25" s="1"/>
  <c r="L1532" i="25" s="1"/>
  <c r="L1533" i="25" s="1"/>
  <c r="L1534" i="25" s="1"/>
  <c r="L1535" i="25" s="1"/>
  <c r="L1536" i="25" s="1"/>
  <c r="L1537" i="25" s="1"/>
  <c r="L1538" i="25" s="1"/>
  <c r="L1539" i="25" s="1"/>
  <c r="L1540" i="25" s="1"/>
  <c r="L1541" i="25" s="1"/>
  <c r="L1542" i="25" s="1"/>
  <c r="L1543" i="25" s="1"/>
  <c r="L1544" i="25" s="1"/>
  <c r="L1545" i="25" s="1"/>
  <c r="L1546" i="25" s="1"/>
  <c r="L1547" i="25" s="1"/>
  <c r="L1548" i="25" s="1"/>
  <c r="L1549" i="25" s="1"/>
  <c r="L1550" i="25" s="1"/>
  <c r="L1551" i="25" s="1"/>
  <c r="L1552" i="25" s="1"/>
  <c r="L1553" i="25" s="1"/>
  <c r="L1554" i="25" s="1"/>
  <c r="L1555" i="25" s="1"/>
  <c r="L1556" i="25" s="1"/>
  <c r="L1557" i="25" s="1"/>
  <c r="L1558" i="25" s="1"/>
  <c r="L1559" i="25" s="1"/>
  <c r="L1560" i="25" s="1"/>
  <c r="L1561" i="25" s="1"/>
  <c r="L1562" i="25" s="1"/>
  <c r="L1563" i="25" s="1"/>
  <c r="L1564" i="25" s="1"/>
  <c r="L1565" i="25" s="1"/>
  <c r="L1566" i="25" s="1"/>
  <c r="L1567" i="25" s="1"/>
  <c r="L1568" i="25" s="1"/>
  <c r="L1569" i="25" s="1"/>
  <c r="L1570" i="25" s="1"/>
  <c r="L1571" i="25" s="1"/>
  <c r="L1572" i="25" s="1"/>
  <c r="L1573" i="25" s="1"/>
  <c r="L1574" i="25" s="1"/>
  <c r="L1575" i="25" s="1"/>
  <c r="L1576" i="25" s="1"/>
  <c r="L1577" i="25" s="1"/>
  <c r="L1578" i="25" s="1"/>
  <c r="L1579" i="25" s="1"/>
  <c r="L1580" i="25" s="1"/>
  <c r="L1581" i="25" s="1"/>
  <c r="L1582" i="25" s="1"/>
  <c r="L1583" i="25" s="1"/>
  <c r="L1584" i="25" s="1"/>
  <c r="L1585" i="25" s="1"/>
  <c r="L1586" i="25" s="1"/>
  <c r="L1587" i="25" s="1"/>
  <c r="L1588" i="25" s="1"/>
  <c r="L1589" i="25" s="1"/>
  <c r="L1590" i="25" s="1"/>
  <c r="L1591" i="25" s="1"/>
  <c r="L1592" i="25" s="1"/>
  <c r="L1593" i="25" s="1"/>
  <c r="L1594" i="25" s="1"/>
  <c r="L1595" i="25" s="1"/>
  <c r="L1596" i="25" s="1"/>
  <c r="L1597" i="25" s="1"/>
  <c r="L1598" i="25" s="1"/>
  <c r="L1599" i="25" s="1"/>
  <c r="L1600" i="25" s="1"/>
  <c r="L1601" i="25" s="1"/>
  <c r="L1602" i="25" s="1"/>
  <c r="L1603" i="25" s="1"/>
  <c r="L1604" i="25" s="1"/>
  <c r="L1605" i="25" s="1"/>
  <c r="L1606" i="25" s="1"/>
  <c r="L1607" i="25" s="1"/>
  <c r="L1608" i="25" s="1"/>
  <c r="L1609" i="25" s="1"/>
  <c r="L1610" i="25" s="1"/>
  <c r="L1611" i="25" s="1"/>
  <c r="L1612" i="25" s="1"/>
  <c r="L1613" i="25" s="1"/>
  <c r="L1614" i="25" s="1"/>
  <c r="L1615" i="25" s="1"/>
  <c r="L1616" i="25" s="1"/>
  <c r="L1617" i="25" s="1"/>
  <c r="L1618" i="25" s="1"/>
  <c r="L1619" i="25" s="1"/>
  <c r="L1620" i="25" s="1"/>
  <c r="L1621" i="25" s="1"/>
  <c r="L1622" i="25" s="1"/>
  <c r="L1623" i="25" s="1"/>
  <c r="L1624" i="25" s="1"/>
  <c r="L1625" i="25" s="1"/>
  <c r="L1626" i="25" s="1"/>
  <c r="L1627" i="25" s="1"/>
  <c r="L1628" i="25" s="1"/>
  <c r="L1629" i="25" s="1"/>
  <c r="L1630" i="25" s="1"/>
  <c r="L1631" i="25" s="1"/>
  <c r="L1632" i="25" s="1"/>
  <c r="L1633" i="25" s="1"/>
  <c r="L1634" i="25" s="1"/>
  <c r="L1635" i="25" s="1"/>
  <c r="L1636" i="25" s="1"/>
  <c r="L1637" i="25" s="1"/>
  <c r="L1638" i="25" s="1"/>
  <c r="L1639" i="25" s="1"/>
  <c r="L1640" i="25" s="1"/>
  <c r="L1641" i="25" s="1"/>
  <c r="L1642" i="25" s="1"/>
  <c r="L1643" i="25" s="1"/>
  <c r="L1644" i="25" s="1"/>
  <c r="L1645" i="25" s="1"/>
  <c r="L1646" i="25" s="1"/>
  <c r="L1647" i="25" s="1"/>
  <c r="L1648" i="25" s="1"/>
  <c r="L1649" i="25" s="1"/>
  <c r="L1650" i="25" s="1"/>
  <c r="L1651" i="25" s="1"/>
  <c r="L1652" i="25" s="1"/>
  <c r="L1653" i="25" s="1"/>
  <c r="L1654" i="25" s="1"/>
  <c r="L1655" i="25" s="1"/>
  <c r="L1656" i="25" s="1"/>
  <c r="L1657" i="25" s="1"/>
  <c r="L1658" i="25" s="1"/>
  <c r="L1659" i="25" s="1"/>
  <c r="L1660" i="25" s="1"/>
  <c r="L1661" i="25" s="1"/>
  <c r="L1662" i="25" s="1"/>
  <c r="L1663" i="25" s="1"/>
  <c r="L1664" i="25" s="1"/>
  <c r="L1665" i="25" s="1"/>
  <c r="L1666" i="25" s="1"/>
  <c r="L1667" i="25" s="1"/>
  <c r="L1668" i="25" s="1"/>
  <c r="L1669" i="25" s="1"/>
  <c r="L1670" i="25" s="1"/>
  <c r="L1671" i="25" s="1"/>
  <c r="L1672" i="25" s="1"/>
  <c r="L1673" i="25" s="1"/>
  <c r="L1674" i="25" s="1"/>
  <c r="L1675" i="25" s="1"/>
  <c r="L1676" i="25" s="1"/>
  <c r="L1677" i="25" s="1"/>
  <c r="L1678" i="25" s="1"/>
  <c r="L1679" i="25" s="1"/>
  <c r="L1680" i="25" s="1"/>
  <c r="L1681" i="25" s="1"/>
  <c r="L1682" i="25" s="1"/>
  <c r="L1683" i="25" s="1"/>
  <c r="L1684" i="25" s="1"/>
  <c r="L1685" i="25" s="1"/>
  <c r="L1686" i="25" s="1"/>
  <c r="L1687" i="25" s="1"/>
  <c r="L1688" i="25" s="1"/>
  <c r="L1689" i="25" s="1"/>
  <c r="L1690" i="25" s="1"/>
  <c r="L1691" i="25" s="1"/>
  <c r="L1692" i="25" s="1"/>
  <c r="L1693" i="25" s="1"/>
  <c r="L1694" i="25" s="1"/>
  <c r="L1695" i="25" s="1"/>
  <c r="L1696" i="25" s="1"/>
  <c r="L1697" i="25" s="1"/>
  <c r="L1698" i="25" s="1"/>
  <c r="L1699" i="25" s="1"/>
  <c r="L1700" i="25" s="1"/>
  <c r="L1701" i="25" s="1"/>
  <c r="L1702" i="25" s="1"/>
  <c r="L1703" i="25" s="1"/>
  <c r="L1704" i="25" s="1"/>
  <c r="L1705" i="25" s="1"/>
  <c r="L1706" i="25" s="1"/>
  <c r="L1707" i="25" s="1"/>
  <c r="L1708" i="25" s="1"/>
  <c r="L1709" i="25" s="1"/>
  <c r="L1710" i="25" s="1"/>
  <c r="L1711" i="25" s="1"/>
  <c r="L1712" i="25" s="1"/>
  <c r="L1713" i="25" s="1"/>
  <c r="L1714" i="25" s="1"/>
  <c r="L1715" i="25" s="1"/>
  <c r="L1716" i="25" s="1"/>
  <c r="L1717" i="25" s="1"/>
  <c r="L1718" i="25" s="1"/>
  <c r="L1719" i="25" s="1"/>
  <c r="L1720" i="25" s="1"/>
  <c r="L1721" i="25" s="1"/>
  <c r="L1722" i="25" s="1"/>
  <c r="L1723" i="25" s="1"/>
  <c r="L1724" i="25" s="1"/>
  <c r="L1725" i="25" s="1"/>
  <c r="L1726" i="25" s="1"/>
  <c r="L1727" i="25" s="1"/>
  <c r="L1728" i="25" s="1"/>
  <c r="L1729" i="25" s="1"/>
  <c r="L1730" i="25" s="1"/>
  <c r="L1731" i="25" s="1"/>
  <c r="L1732" i="25" s="1"/>
  <c r="L1733" i="25" s="1"/>
  <c r="L1734" i="25" s="1"/>
  <c r="L1735" i="25" s="1"/>
  <c r="L1736" i="25" s="1"/>
  <c r="L1737" i="25" s="1"/>
  <c r="L1738" i="25" s="1"/>
  <c r="L1739" i="25" s="1"/>
  <c r="L1740" i="25" s="1"/>
  <c r="L1741" i="25" s="1"/>
  <c r="L1742" i="25" s="1"/>
  <c r="L1743" i="25" s="1"/>
  <c r="L1744" i="25" s="1"/>
  <c r="L1745" i="25" s="1"/>
  <c r="L1746" i="25" s="1"/>
  <c r="L1747" i="25" s="1"/>
  <c r="L1748" i="25" s="1"/>
  <c r="L1749" i="25" s="1"/>
  <c r="L1750" i="25" s="1"/>
  <c r="L1751" i="25" s="1"/>
  <c r="L1752" i="25" s="1"/>
  <c r="L1753" i="25" s="1"/>
  <c r="L1754" i="25" s="1"/>
  <c r="L1755" i="25" s="1"/>
  <c r="L1756" i="25" s="1"/>
  <c r="L1757" i="25" s="1"/>
  <c r="L1758" i="25" s="1"/>
  <c r="L1759" i="25" s="1"/>
  <c r="L1760" i="25" s="1"/>
  <c r="L1761" i="25" s="1"/>
  <c r="L1762" i="25" s="1"/>
  <c r="L1763" i="25" s="1"/>
  <c r="L1764" i="25" s="1"/>
  <c r="L1765" i="25" s="1"/>
  <c r="L1766" i="25" s="1"/>
  <c r="L1767" i="25" s="1"/>
  <c r="L1768" i="25" s="1"/>
  <c r="L1769" i="25" s="1"/>
  <c r="L1770" i="25" s="1"/>
  <c r="L1771" i="25" s="1"/>
  <c r="L1772" i="25" s="1"/>
  <c r="L1773" i="25" s="1"/>
  <c r="L1774" i="25" s="1"/>
  <c r="L1775" i="25" s="1"/>
  <c r="L1776" i="25" s="1"/>
  <c r="L1777" i="25" s="1"/>
  <c r="L1778" i="25" s="1"/>
  <c r="L1779" i="25" s="1"/>
  <c r="L1780" i="25" s="1"/>
  <c r="L1781" i="25" s="1"/>
  <c r="L1782" i="25" s="1"/>
  <c r="L1783" i="25" s="1"/>
  <c r="L1784" i="25" s="1"/>
  <c r="L1785" i="25" s="1"/>
  <c r="L1786" i="25" s="1"/>
  <c r="L1787" i="25" s="1"/>
  <c r="L1788" i="25" s="1"/>
  <c r="L1789" i="25" s="1"/>
  <c r="L1790" i="25" s="1"/>
  <c r="L1791" i="25" s="1"/>
  <c r="L1792" i="25" s="1"/>
  <c r="L1793" i="25" s="1"/>
  <c r="L1794" i="25" s="1"/>
  <c r="L1795" i="25" s="1"/>
  <c r="L1796" i="25" s="1"/>
  <c r="L1797" i="25" s="1"/>
  <c r="L1798" i="25" s="1"/>
  <c r="L1799" i="25" s="1"/>
  <c r="L1800" i="25" s="1"/>
  <c r="L1801" i="25" s="1"/>
  <c r="L1802" i="25" s="1"/>
  <c r="L1803" i="25" s="1"/>
  <c r="L1804" i="25" s="1"/>
  <c r="L1805" i="25" s="1"/>
  <c r="L1806" i="25" s="1"/>
  <c r="L1807" i="25" s="1"/>
  <c r="L1808" i="25" s="1"/>
  <c r="L1809" i="25" s="1"/>
  <c r="L1810" i="25" s="1"/>
  <c r="L1811" i="25" s="1"/>
  <c r="L1812" i="25" s="1"/>
  <c r="L1813" i="25" s="1"/>
  <c r="L1814" i="25" s="1"/>
  <c r="L1815" i="25" s="1"/>
  <c r="L1816" i="25" s="1"/>
  <c r="L1817" i="25" s="1"/>
  <c r="L1818" i="25" s="1"/>
  <c r="L1819" i="25" s="1"/>
  <c r="L1820" i="25" s="1"/>
  <c r="L1821" i="25" s="1"/>
  <c r="L1822" i="25" s="1"/>
  <c r="L1823" i="25" s="1"/>
  <c r="L1824" i="25" s="1"/>
  <c r="L1825" i="25" s="1"/>
  <c r="L1826" i="25" s="1"/>
  <c r="L1827" i="25" s="1"/>
  <c r="L1828" i="25" s="1"/>
  <c r="L1829" i="25" s="1"/>
  <c r="L1830" i="25" s="1"/>
  <c r="L1831" i="25" s="1"/>
  <c r="L1832" i="25" s="1"/>
  <c r="L1833" i="25" s="1"/>
  <c r="L1834" i="25" s="1"/>
  <c r="L1835" i="25" s="1"/>
  <c r="L1836" i="25" s="1"/>
  <c r="L1837" i="25" s="1"/>
  <c r="L1838" i="25" s="1"/>
  <c r="L1839" i="25" s="1"/>
  <c r="L1840" i="25" s="1"/>
  <c r="L1841" i="25" s="1"/>
  <c r="L1842" i="25" s="1"/>
  <c r="L1843" i="25" s="1"/>
  <c r="L1844" i="25" s="1"/>
  <c r="L1845" i="25" s="1"/>
  <c r="L1846" i="25" s="1"/>
  <c r="L1847" i="25" s="1"/>
  <c r="L1848" i="25" s="1"/>
  <c r="L1849" i="25" s="1"/>
  <c r="L1850" i="25" s="1"/>
  <c r="L1851" i="25" s="1"/>
  <c r="L1852" i="25" s="1"/>
  <c r="L1853" i="25" s="1"/>
  <c r="L1854" i="25" s="1"/>
  <c r="L1855" i="25" s="1"/>
  <c r="L1856" i="25" s="1"/>
  <c r="L1857" i="25" s="1"/>
  <c r="L1858" i="25" s="1"/>
  <c r="L1859" i="25" s="1"/>
  <c r="L1860" i="25" s="1"/>
  <c r="L1861" i="25" s="1"/>
  <c r="L1862" i="25" s="1"/>
  <c r="L1863" i="25" s="1"/>
  <c r="L1864" i="25" s="1"/>
  <c r="L1865" i="25" s="1"/>
  <c r="L1866" i="25" s="1"/>
  <c r="L1867" i="25" s="1"/>
  <c r="L1868" i="25" s="1"/>
  <c r="L1869" i="25" s="1"/>
  <c r="L1870" i="25" s="1"/>
  <c r="L1871" i="25" s="1"/>
  <c r="L1872" i="25" s="1"/>
  <c r="L1873" i="25" s="1"/>
  <c r="L1874" i="25" s="1"/>
  <c r="L1875" i="25" s="1"/>
  <c r="L1876" i="25" s="1"/>
  <c r="L1877" i="25" s="1"/>
  <c r="L1878" i="25" s="1"/>
  <c r="L1879" i="25" s="1"/>
  <c r="L1880" i="25" s="1"/>
  <c r="L1881" i="25" s="1"/>
  <c r="L1882" i="25" s="1"/>
  <c r="L1883" i="25" s="1"/>
  <c r="L1884" i="25" s="1"/>
  <c r="L1885" i="25" s="1"/>
  <c r="L1886" i="25" s="1"/>
  <c r="L1887" i="25" s="1"/>
  <c r="L1888" i="25" s="1"/>
  <c r="L1889" i="25" s="1"/>
  <c r="L1890" i="25" s="1"/>
  <c r="L1891" i="25" s="1"/>
  <c r="L1892" i="25" s="1"/>
  <c r="L1893" i="25" s="1"/>
  <c r="L1894" i="25" s="1"/>
  <c r="L1895" i="25" s="1"/>
  <c r="L1896" i="25" s="1"/>
  <c r="L1897" i="25" s="1"/>
  <c r="L1898" i="25" s="1"/>
  <c r="L1899" i="25" s="1"/>
  <c r="L1900" i="25" s="1"/>
  <c r="L1901" i="25" s="1"/>
  <c r="L1902" i="25" s="1"/>
  <c r="L1903" i="25" s="1"/>
  <c r="L1904" i="25" s="1"/>
  <c r="L1905" i="25" s="1"/>
  <c r="L1906" i="25" s="1"/>
  <c r="L1907" i="25" s="1"/>
  <c r="L1908" i="25" s="1"/>
  <c r="L1909" i="25" s="1"/>
  <c r="L1910" i="25" s="1"/>
  <c r="L1911" i="25" s="1"/>
  <c r="L1912" i="25" s="1"/>
  <c r="L1913" i="25" s="1"/>
  <c r="L1914" i="25" s="1"/>
  <c r="L1915" i="25" s="1"/>
  <c r="L1916" i="25" s="1"/>
  <c r="L1917" i="25" s="1"/>
  <c r="L1918" i="25" s="1"/>
  <c r="L1919" i="25" s="1"/>
  <c r="L1920" i="25" s="1"/>
  <c r="L1921" i="25" s="1"/>
  <c r="L1922" i="25" s="1"/>
  <c r="L1923" i="25" s="1"/>
  <c r="L1924" i="25" s="1"/>
  <c r="L1925" i="25" s="1"/>
  <c r="L1926" i="25" s="1"/>
  <c r="L1927" i="25" s="1"/>
  <c r="L1928" i="25" s="1"/>
  <c r="L1929" i="25" s="1"/>
  <c r="L1930" i="25" s="1"/>
  <c r="L1931" i="25" s="1"/>
  <c r="L1932" i="25" s="1"/>
  <c r="L1933" i="25" s="1"/>
  <c r="L1934" i="25" s="1"/>
  <c r="L1935" i="25" s="1"/>
  <c r="L1936" i="25" s="1"/>
  <c r="L1937" i="25" s="1"/>
  <c r="L1938" i="25" s="1"/>
  <c r="L1939" i="25" s="1"/>
  <c r="L1940" i="25" s="1"/>
  <c r="L1941" i="25" s="1"/>
  <c r="L1942" i="25" s="1"/>
  <c r="L1943" i="25" s="1"/>
  <c r="L1944" i="25" s="1"/>
  <c r="L1945" i="25" s="1"/>
  <c r="L1946" i="25" s="1"/>
  <c r="L1947" i="25" s="1"/>
  <c r="L1948" i="25" s="1"/>
  <c r="L1949" i="25" s="1"/>
  <c r="L1950" i="25" s="1"/>
  <c r="L1951" i="25" s="1"/>
  <c r="L1952" i="25" s="1"/>
  <c r="L1953" i="25" s="1"/>
  <c r="L1954" i="25" s="1"/>
  <c r="L1955" i="25" s="1"/>
  <c r="L1956" i="25" s="1"/>
  <c r="L1957" i="25" s="1"/>
  <c r="L1958" i="25" s="1"/>
  <c r="L1959" i="25" s="1"/>
  <c r="L1960" i="25" s="1"/>
  <c r="L1961" i="25" s="1"/>
  <c r="L1962" i="25" s="1"/>
  <c r="L1963" i="25" s="1"/>
  <c r="L1964" i="25" s="1"/>
  <c r="L1965" i="25" s="1"/>
  <c r="L1966" i="25" s="1"/>
  <c r="L1967" i="25" s="1"/>
  <c r="L1968" i="25" s="1"/>
  <c r="L1969" i="25" s="1"/>
  <c r="L1970" i="25" s="1"/>
  <c r="L1971" i="25" s="1"/>
  <c r="L1972" i="25" s="1"/>
  <c r="L1973" i="25" s="1"/>
  <c r="L1974" i="25" s="1"/>
  <c r="L1975" i="25" s="1"/>
  <c r="L1976" i="25" s="1"/>
  <c r="L1977" i="25" s="1"/>
  <c r="L1978" i="25" s="1"/>
  <c r="L1979" i="25" s="1"/>
  <c r="L1980" i="25" s="1"/>
  <c r="L1981" i="25" s="1"/>
  <c r="L1982" i="25" s="1"/>
  <c r="L1983" i="25" s="1"/>
  <c r="L1984" i="25" s="1"/>
  <c r="L1985" i="25" s="1"/>
  <c r="L1986" i="25" s="1"/>
  <c r="L1987" i="25" s="1"/>
  <c r="L1988" i="25" s="1"/>
  <c r="L1989" i="25" s="1"/>
  <c r="L1990" i="25" s="1"/>
  <c r="L1991" i="25" s="1"/>
  <c r="L1992" i="25" s="1"/>
  <c r="L1993" i="25" s="1"/>
  <c r="L1994" i="25" s="1"/>
  <c r="L1995" i="25" s="1"/>
  <c r="L1996" i="25" s="1"/>
  <c r="L1997" i="25" s="1"/>
  <c r="L1998" i="25" s="1"/>
  <c r="L1999" i="25" s="1"/>
  <c r="L2000" i="25" s="1"/>
  <c r="L2001" i="25" s="1"/>
  <c r="L2002" i="25" s="1"/>
  <c r="L2003" i="25" s="1"/>
  <c r="L2004" i="25" s="1"/>
  <c r="L2005" i="25" s="1"/>
  <c r="L2006" i="25" s="1"/>
  <c r="L2007" i="25" s="1"/>
  <c r="L2008" i="25" s="1"/>
  <c r="L2009" i="25" s="1"/>
  <c r="L2010" i="25" s="1"/>
  <c r="L2011" i="25" s="1"/>
  <c r="L2012" i="25" s="1"/>
  <c r="L2013" i="25" s="1"/>
  <c r="L2014" i="25" s="1"/>
  <c r="L2015" i="25" s="1"/>
  <c r="L2016" i="25" s="1"/>
  <c r="L2017" i="25" s="1"/>
  <c r="L2018" i="25" s="1"/>
  <c r="L2019" i="25" s="1"/>
  <c r="L2020" i="25" s="1"/>
  <c r="L2021" i="25" s="1"/>
  <c r="L2022" i="25" s="1"/>
  <c r="L2023" i="25" s="1"/>
  <c r="L2024" i="25" s="1"/>
  <c r="L2025" i="25" s="1"/>
  <c r="L2026" i="25" s="1"/>
  <c r="L2027" i="25" s="1"/>
  <c r="L2028" i="25" s="1"/>
  <c r="L2029" i="25" s="1"/>
  <c r="L2030" i="25" s="1"/>
  <c r="L2031" i="25" s="1"/>
  <c r="L2032" i="25" s="1"/>
  <c r="L2033" i="25" s="1"/>
  <c r="L2034" i="25" s="1"/>
  <c r="L2035" i="25" s="1"/>
  <c r="L2036" i="25" s="1"/>
  <c r="L2037" i="25" s="1"/>
  <c r="L2038" i="25" s="1"/>
  <c r="L2039" i="25" s="1"/>
  <c r="L2040" i="25" s="1"/>
  <c r="L2041" i="25" s="1"/>
  <c r="L2042" i="25" s="1"/>
  <c r="L2043" i="25" s="1"/>
  <c r="L2044" i="25" s="1"/>
  <c r="L2045" i="25" s="1"/>
  <c r="L2046" i="25" s="1"/>
  <c r="L2047" i="25" s="1"/>
  <c r="L2048" i="25" s="1"/>
  <c r="L2049" i="25" s="1"/>
  <c r="L2050" i="25" s="1"/>
  <c r="L2051" i="25" s="1"/>
  <c r="L2052" i="25" s="1"/>
  <c r="L2053" i="25" s="1"/>
  <c r="L2054" i="25" s="1"/>
  <c r="L2055" i="25" s="1"/>
  <c r="L2056" i="25" s="1"/>
  <c r="L2057" i="25" s="1"/>
  <c r="L2058" i="25" s="1"/>
  <c r="L2059" i="25" s="1"/>
  <c r="L2060" i="25" s="1"/>
  <c r="L2061" i="25" s="1"/>
  <c r="L2062" i="25" s="1"/>
  <c r="L2063" i="25" s="1"/>
  <c r="L2064" i="25" s="1"/>
  <c r="L2065" i="25" s="1"/>
  <c r="L2066" i="25" s="1"/>
  <c r="L2067" i="25" s="1"/>
  <c r="L2068" i="25" s="1"/>
  <c r="L2069" i="25" s="1"/>
  <c r="L2070" i="25" s="1"/>
  <c r="L2071" i="25" s="1"/>
  <c r="L2072" i="25" s="1"/>
  <c r="L2073" i="25" s="1"/>
  <c r="L2074" i="25" s="1"/>
  <c r="L2075" i="25" s="1"/>
  <c r="L2076" i="25" s="1"/>
  <c r="L2077" i="25" s="1"/>
  <c r="L2078" i="25" s="1"/>
  <c r="L2079" i="25" s="1"/>
  <c r="L2080" i="25" s="1"/>
  <c r="L2081" i="25" s="1"/>
  <c r="L2082" i="25" s="1"/>
  <c r="L2083" i="25" s="1"/>
  <c r="L2084" i="25" s="1"/>
  <c r="L2085" i="25" s="1"/>
  <c r="L2086" i="25" s="1"/>
  <c r="L2087" i="25" s="1"/>
  <c r="L2088" i="25" s="1"/>
  <c r="L2089" i="25" s="1"/>
  <c r="L2090" i="25" s="1"/>
  <c r="L2091" i="25" s="1"/>
  <c r="L2092" i="25" s="1"/>
  <c r="L2093" i="25" s="1"/>
  <c r="L2094" i="25" s="1"/>
  <c r="L2095" i="25" s="1"/>
  <c r="L2096" i="25" s="1"/>
  <c r="L2097" i="25" s="1"/>
  <c r="L2098" i="25" s="1"/>
  <c r="L2099" i="25" s="1"/>
  <c r="L2100" i="25" s="1"/>
  <c r="L2101" i="25" s="1"/>
  <c r="L2102" i="25" s="1"/>
  <c r="L2103" i="25" s="1"/>
  <c r="L2104" i="25" s="1"/>
  <c r="L2105" i="25" s="1"/>
  <c r="L2106" i="25" s="1"/>
  <c r="L2107" i="25" s="1"/>
  <c r="L2108" i="25" s="1"/>
  <c r="L2109" i="25" s="1"/>
  <c r="L2110" i="25" s="1"/>
  <c r="L2111" i="25" s="1"/>
  <c r="L2112" i="25" s="1"/>
  <c r="L2113" i="25" s="1"/>
  <c r="L2114" i="25" s="1"/>
  <c r="L2115" i="25" s="1"/>
  <c r="L2116" i="25" s="1"/>
  <c r="L2117" i="25" s="1"/>
  <c r="L2118" i="25" s="1"/>
  <c r="L2119" i="25" s="1"/>
  <c r="L2120" i="25" s="1"/>
  <c r="L2121" i="25" s="1"/>
  <c r="L2122" i="25" s="1"/>
  <c r="L2123" i="25" s="1"/>
  <c r="L2124" i="25" s="1"/>
  <c r="L2125" i="25" s="1"/>
  <c r="L2126" i="25" s="1"/>
  <c r="L2127" i="25" s="1"/>
  <c r="L2128" i="25" s="1"/>
  <c r="L2129" i="25" s="1"/>
  <c r="L2130" i="25" s="1"/>
  <c r="L2131" i="25" s="1"/>
  <c r="L2132" i="25" s="1"/>
  <c r="L2133" i="25" s="1"/>
  <c r="L2134" i="25" s="1"/>
  <c r="L2135" i="25" s="1"/>
  <c r="L2136" i="25" s="1"/>
  <c r="L2137" i="25" s="1"/>
  <c r="L2138" i="25" s="1"/>
  <c r="L2139" i="25" s="1"/>
  <c r="L2140" i="25" s="1"/>
  <c r="L2141" i="25" s="1"/>
  <c r="L2142" i="25" s="1"/>
  <c r="L2143" i="25" s="1"/>
  <c r="L2144" i="25" s="1"/>
  <c r="L2145" i="25" s="1"/>
  <c r="L2146" i="25" s="1"/>
  <c r="L2147" i="25" s="1"/>
  <c r="L2148" i="25" s="1"/>
  <c r="L2149" i="25" s="1"/>
  <c r="L2150" i="25" s="1"/>
  <c r="L2151" i="25" s="1"/>
  <c r="L2152" i="25" s="1"/>
  <c r="L2153" i="25" s="1"/>
  <c r="L2154" i="25" s="1"/>
  <c r="L2155" i="25" s="1"/>
  <c r="L2156" i="25" s="1"/>
  <c r="L2157" i="25" s="1"/>
  <c r="L2158" i="25" s="1"/>
  <c r="L2159" i="25" s="1"/>
  <c r="L2160" i="25" s="1"/>
  <c r="L2161" i="25" s="1"/>
  <c r="L2162" i="25" s="1"/>
  <c r="L2163" i="25" s="1"/>
  <c r="L2164" i="25" s="1"/>
  <c r="L2165" i="25" s="1"/>
  <c r="L2166" i="25" s="1"/>
  <c r="L2167" i="25" s="1"/>
  <c r="L2168" i="25" s="1"/>
  <c r="L2169" i="25" s="1"/>
  <c r="L2170" i="25" s="1"/>
  <c r="L2171" i="25" s="1"/>
  <c r="L2172" i="25" s="1"/>
  <c r="L2173" i="25" s="1"/>
  <c r="L2174" i="25" s="1"/>
  <c r="L2175" i="25" s="1"/>
  <c r="L2176" i="25" s="1"/>
  <c r="L2177" i="25" s="1"/>
  <c r="L2178" i="25" s="1"/>
  <c r="L2179" i="25" s="1"/>
  <c r="L2180" i="25" s="1"/>
  <c r="L2181" i="25" s="1"/>
  <c r="L2182" i="25" s="1"/>
  <c r="L2183" i="25" s="1"/>
  <c r="L2184" i="25" s="1"/>
  <c r="L2185" i="25" s="1"/>
  <c r="L2186" i="25" s="1"/>
  <c r="L2187" i="25" s="1"/>
  <c r="L2188" i="25" s="1"/>
  <c r="L2189" i="25" s="1"/>
  <c r="L2190" i="25" s="1"/>
  <c r="L2191" i="25" s="1"/>
  <c r="L2192" i="25" s="1"/>
  <c r="L2193" i="25" s="1"/>
  <c r="L2194" i="25" s="1"/>
  <c r="L2195" i="25" s="1"/>
  <c r="L2196" i="25" s="1"/>
  <c r="L2197" i="25" s="1"/>
  <c r="L2198" i="25" s="1"/>
  <c r="L2199" i="25" s="1"/>
  <c r="L2200" i="25" s="1"/>
  <c r="L2201" i="25" s="1"/>
  <c r="L2202" i="25" s="1"/>
  <c r="L2203" i="25" s="1"/>
  <c r="L2204" i="25" s="1"/>
  <c r="L2205" i="25" s="1"/>
  <c r="L2206" i="25" s="1"/>
  <c r="L2207" i="25" s="1"/>
  <c r="L2208" i="25" s="1"/>
  <c r="L2209" i="25" s="1"/>
  <c r="L2210" i="25" s="1"/>
  <c r="L2211" i="25" s="1"/>
  <c r="L2212" i="25" s="1"/>
  <c r="L2213" i="25" s="1"/>
  <c r="L2214" i="25" s="1"/>
  <c r="L2215" i="25" s="1"/>
  <c r="L2216" i="25" s="1"/>
  <c r="L2217" i="25" s="1"/>
  <c r="L2218" i="25" s="1"/>
  <c r="L2219" i="25" s="1"/>
  <c r="L2220" i="25" s="1"/>
  <c r="L2221" i="25" s="1"/>
  <c r="L2222" i="25" s="1"/>
  <c r="L2223" i="25" s="1"/>
  <c r="L2224" i="25" s="1"/>
  <c r="L2225" i="25" s="1"/>
  <c r="L2226" i="25" s="1"/>
  <c r="L2227" i="25" s="1"/>
  <c r="L2228" i="25" s="1"/>
  <c r="L2229" i="25" s="1"/>
  <c r="L2230" i="25" s="1"/>
  <c r="L2231" i="25" s="1"/>
  <c r="L2232" i="25" s="1"/>
  <c r="L2233" i="25" s="1"/>
  <c r="L2234" i="25" s="1"/>
  <c r="L2235" i="25" s="1"/>
  <c r="L2236" i="25" s="1"/>
  <c r="L2237" i="25" s="1"/>
  <c r="L2238" i="25" s="1"/>
  <c r="L2239" i="25" s="1"/>
  <c r="L2240" i="25" s="1"/>
  <c r="L2241" i="25" s="1"/>
  <c r="L2242" i="25" s="1"/>
  <c r="L2243" i="25" s="1"/>
  <c r="L2244" i="25" s="1"/>
  <c r="L2245" i="25" s="1"/>
  <c r="L2246" i="25" s="1"/>
  <c r="L2247" i="25" s="1"/>
  <c r="L2248" i="25" s="1"/>
  <c r="L2249" i="25" s="1"/>
  <c r="L2250" i="25" s="1"/>
  <c r="L2251" i="25" s="1"/>
  <c r="L2252" i="25" s="1"/>
  <c r="L2253" i="25" s="1"/>
  <c r="L2254" i="25" s="1"/>
  <c r="L2255" i="25" s="1"/>
  <c r="L2256" i="25" s="1"/>
  <c r="L2257" i="25" s="1"/>
  <c r="L2258" i="25" s="1"/>
  <c r="L2259" i="25" s="1"/>
  <c r="L2260" i="25" s="1"/>
  <c r="L2261" i="25" s="1"/>
  <c r="L2262" i="25" s="1"/>
  <c r="L2263" i="25" s="1"/>
  <c r="L2264" i="25" s="1"/>
  <c r="L2265" i="25" s="1"/>
  <c r="L2266" i="25" s="1"/>
  <c r="L2267" i="25" s="1"/>
  <c r="L2268" i="25" s="1"/>
  <c r="L2269" i="25" s="1"/>
  <c r="L2270" i="25" s="1"/>
  <c r="L2271" i="25" s="1"/>
  <c r="L2272" i="25" s="1"/>
  <c r="L2273" i="25" s="1"/>
  <c r="L2274" i="25" s="1"/>
  <c r="L2275" i="25" s="1"/>
  <c r="L2276" i="25" s="1"/>
  <c r="L2277" i="25" s="1"/>
  <c r="L2278" i="25" s="1"/>
  <c r="L2279" i="25" s="1"/>
  <c r="L2280" i="25" s="1"/>
  <c r="L2281" i="25" s="1"/>
  <c r="L2282" i="25" s="1"/>
  <c r="L2283" i="25" s="1"/>
  <c r="L2284" i="25" s="1"/>
  <c r="L2285" i="25" s="1"/>
  <c r="L2286" i="25" s="1"/>
  <c r="L2287" i="25" s="1"/>
  <c r="L2288" i="25" s="1"/>
  <c r="L2289" i="25" s="1"/>
  <c r="L2290" i="25" s="1"/>
  <c r="L2291" i="25" s="1"/>
  <c r="L2292" i="25" s="1"/>
  <c r="L2293" i="25" s="1"/>
  <c r="L2294" i="25" s="1"/>
  <c r="L2295" i="25" s="1"/>
  <c r="L2296" i="25" s="1"/>
  <c r="L2297" i="25" s="1"/>
  <c r="L2298" i="25" s="1"/>
  <c r="L2299" i="25" s="1"/>
  <c r="L2300" i="25" s="1"/>
  <c r="L2301" i="25" s="1"/>
  <c r="L2302" i="25" s="1"/>
  <c r="L2303" i="25" s="1"/>
  <c r="L2304" i="25" s="1"/>
  <c r="L2305" i="25" s="1"/>
  <c r="L2306" i="25" s="1"/>
  <c r="L2307" i="25" s="1"/>
  <c r="L2308" i="25" s="1"/>
  <c r="L2309" i="25" s="1"/>
  <c r="L2310" i="25" s="1"/>
  <c r="L2311" i="25" s="1"/>
  <c r="L2312" i="25" s="1"/>
  <c r="L2313" i="25" s="1"/>
  <c r="L2314" i="25" s="1"/>
  <c r="L2315" i="25" s="1"/>
  <c r="L2316" i="25" s="1"/>
  <c r="L2317" i="25" s="1"/>
  <c r="L2318" i="25" s="1"/>
  <c r="L2319" i="25" s="1"/>
  <c r="L2320" i="25" s="1"/>
  <c r="L2321" i="25" s="1"/>
  <c r="L2322" i="25" s="1"/>
  <c r="L2323" i="25" s="1"/>
  <c r="L2324" i="25" s="1"/>
  <c r="L2325" i="25" s="1"/>
  <c r="L2326" i="25" s="1"/>
  <c r="L2327" i="25" s="1"/>
  <c r="L2328" i="25" s="1"/>
  <c r="L2329" i="25" s="1"/>
  <c r="L2330" i="25" s="1"/>
  <c r="L2331" i="25" s="1"/>
  <c r="L2332" i="25" s="1"/>
  <c r="L2333" i="25" s="1"/>
  <c r="L2334" i="25" s="1"/>
  <c r="L2335" i="25" s="1"/>
  <c r="L2336" i="25" s="1"/>
  <c r="L2337" i="25" s="1"/>
  <c r="L2338" i="25" s="1"/>
  <c r="L2339" i="25" s="1"/>
  <c r="L2340" i="25" s="1"/>
  <c r="L2341" i="25" s="1"/>
  <c r="L2342" i="25" s="1"/>
  <c r="L2343" i="25" s="1"/>
  <c r="L2344" i="25" s="1"/>
  <c r="L2345" i="25" s="1"/>
  <c r="L2346" i="25" s="1"/>
  <c r="L2347" i="25" s="1"/>
  <c r="L2348" i="25" s="1"/>
  <c r="L2349" i="25" s="1"/>
  <c r="L2350" i="25" s="1"/>
  <c r="L2351" i="25" s="1"/>
  <c r="L2352" i="25" s="1"/>
  <c r="L2353" i="25" s="1"/>
  <c r="L2354" i="25" s="1"/>
  <c r="L2355" i="25" s="1"/>
  <c r="L2356" i="25" s="1"/>
  <c r="L2357" i="25" s="1"/>
  <c r="L2358" i="25" s="1"/>
  <c r="L2359" i="25" s="1"/>
  <c r="L2360" i="25" s="1"/>
  <c r="L2361" i="25" s="1"/>
  <c r="L2362" i="25" s="1"/>
  <c r="L2363" i="25" s="1"/>
  <c r="L2364" i="25" s="1"/>
  <c r="L2365" i="25" s="1"/>
  <c r="L2366" i="25" s="1"/>
  <c r="L2367" i="25" s="1"/>
  <c r="L2368" i="25" s="1"/>
  <c r="L2369" i="25" s="1"/>
  <c r="L2370" i="25" s="1"/>
  <c r="L2371" i="25" s="1"/>
  <c r="L2372" i="25" s="1"/>
  <c r="L2373" i="25" s="1"/>
  <c r="L2374" i="25" s="1"/>
  <c r="L2375" i="25" s="1"/>
  <c r="L2376" i="25" s="1"/>
  <c r="L2377" i="25" s="1"/>
  <c r="L2378" i="25" s="1"/>
  <c r="L2379" i="25" s="1"/>
  <c r="L2380" i="25" s="1"/>
  <c r="L2381" i="25" s="1"/>
  <c r="L2382" i="25" s="1"/>
  <c r="L2383" i="25" s="1"/>
  <c r="L2384" i="25" s="1"/>
  <c r="L2385" i="25" s="1"/>
  <c r="L2386" i="25" s="1"/>
  <c r="L2387" i="25" s="1"/>
  <c r="L2388" i="25" s="1"/>
  <c r="L2389" i="25" s="1"/>
  <c r="L2390" i="25" s="1"/>
  <c r="L2391" i="25" s="1"/>
  <c r="L2392" i="25" s="1"/>
  <c r="L2393" i="25" s="1"/>
  <c r="L2394" i="25" s="1"/>
  <c r="L2395" i="25" s="1"/>
  <c r="L2396" i="25" s="1"/>
  <c r="L2397" i="25" s="1"/>
  <c r="L2398" i="25" s="1"/>
  <c r="L2399" i="25" s="1"/>
  <c r="L2400" i="25" s="1"/>
  <c r="L2401" i="25" s="1"/>
  <c r="L2402" i="25" s="1"/>
  <c r="L2403" i="25" s="1"/>
  <c r="L2404" i="25" s="1"/>
  <c r="L2405" i="25" s="1"/>
  <c r="L2406" i="25" s="1"/>
  <c r="L2407" i="25" s="1"/>
  <c r="L2408" i="25" s="1"/>
  <c r="L2409" i="25" s="1"/>
  <c r="L2410" i="25" s="1"/>
  <c r="L2411" i="25" s="1"/>
  <c r="L2412" i="25" s="1"/>
  <c r="L2413" i="25" s="1"/>
  <c r="L2414" i="25" s="1"/>
  <c r="L2415" i="25" s="1"/>
  <c r="L2416" i="25" s="1"/>
  <c r="L2417" i="25" s="1"/>
  <c r="L2418" i="25" s="1"/>
  <c r="L2419" i="25" s="1"/>
  <c r="L2420" i="25" s="1"/>
  <c r="L2421" i="25" s="1"/>
  <c r="L2422" i="25" s="1"/>
  <c r="L2423" i="25" s="1"/>
  <c r="L2424" i="25" s="1"/>
  <c r="L2425" i="25" s="1"/>
  <c r="L2426" i="25" s="1"/>
  <c r="L2427" i="25" s="1"/>
  <c r="L2428" i="25" s="1"/>
  <c r="L2429" i="25" s="1"/>
  <c r="L2430" i="25" s="1"/>
  <c r="L2431" i="25" s="1"/>
  <c r="L2432" i="25" s="1"/>
  <c r="L2433" i="25" s="1"/>
  <c r="L2434" i="25" s="1"/>
  <c r="L2435" i="25" s="1"/>
  <c r="L2436" i="25" s="1"/>
  <c r="L2437" i="25" s="1"/>
  <c r="L2438" i="25" s="1"/>
  <c r="L2439" i="25" s="1"/>
  <c r="L2440" i="25" s="1"/>
  <c r="L2441" i="25" s="1"/>
  <c r="L2442" i="25" s="1"/>
  <c r="L2443" i="25" s="1"/>
  <c r="L2444" i="25" s="1"/>
  <c r="L2445" i="25" s="1"/>
  <c r="L2446" i="25" s="1"/>
  <c r="L2447" i="25" s="1"/>
  <c r="L2448" i="25" s="1"/>
  <c r="L2449" i="25" s="1"/>
  <c r="L2450" i="25" s="1"/>
  <c r="L2451" i="25" s="1"/>
  <c r="L2452" i="25" s="1"/>
  <c r="L2453" i="25" s="1"/>
  <c r="L2454" i="25" s="1"/>
  <c r="L2455" i="25" s="1"/>
  <c r="L2456" i="25" s="1"/>
  <c r="L2457" i="25" s="1"/>
  <c r="L2458" i="25" s="1"/>
  <c r="L2459" i="25" s="1"/>
  <c r="L2460" i="25" s="1"/>
  <c r="L2461" i="25" s="1"/>
  <c r="L2462" i="25" s="1"/>
  <c r="L2463" i="25" s="1"/>
  <c r="L2464" i="25" s="1"/>
  <c r="L2465" i="25" s="1"/>
  <c r="L2466" i="25" s="1"/>
  <c r="L2467" i="25" s="1"/>
  <c r="L2468" i="25" s="1"/>
  <c r="L2469" i="25" s="1"/>
  <c r="L2470" i="25" s="1"/>
  <c r="L2471" i="25" s="1"/>
  <c r="L2472" i="25" s="1"/>
  <c r="L2473" i="25" s="1"/>
  <c r="L2474" i="25" s="1"/>
  <c r="L2475" i="25" s="1"/>
  <c r="L2476" i="25" s="1"/>
  <c r="L2477" i="25" s="1"/>
  <c r="L2478" i="25" s="1"/>
  <c r="L2479" i="25" s="1"/>
  <c r="L2480" i="25" s="1"/>
  <c r="L2481" i="25" s="1"/>
  <c r="L2482" i="25" s="1"/>
  <c r="L2483" i="25" s="1"/>
  <c r="L2484" i="25" s="1"/>
  <c r="L2485" i="25" s="1"/>
  <c r="L2486" i="25" s="1"/>
  <c r="L2487" i="25" s="1"/>
  <c r="L2488" i="25" s="1"/>
  <c r="L2489" i="25" s="1"/>
  <c r="L2490" i="25" s="1"/>
  <c r="L2491" i="25" s="1"/>
  <c r="L2492" i="25" s="1"/>
  <c r="L2493" i="25" s="1"/>
  <c r="L2494" i="25" s="1"/>
  <c r="L2495" i="25" s="1"/>
  <c r="L2496" i="25" s="1"/>
  <c r="L2497" i="25" s="1"/>
  <c r="L2498" i="25" s="1"/>
  <c r="L2499" i="25" s="1"/>
  <c r="L2500" i="25" s="1"/>
  <c r="L2501" i="25" s="1"/>
  <c r="L2502" i="25" s="1"/>
  <c r="L2503" i="25" s="1"/>
  <c r="L2504" i="25" s="1"/>
  <c r="L2505" i="25" s="1"/>
  <c r="L2506" i="25" s="1"/>
  <c r="L2507" i="25" s="1"/>
  <c r="L2508" i="25" s="1"/>
  <c r="L2509" i="25" s="1"/>
  <c r="L2510" i="25" s="1"/>
  <c r="L2511" i="25" s="1"/>
  <c r="L2512" i="25" s="1"/>
  <c r="L2513" i="25" s="1"/>
  <c r="L2514" i="25" s="1"/>
  <c r="L2515" i="25" s="1"/>
  <c r="L2516" i="25" s="1"/>
  <c r="L2517" i="25" s="1"/>
  <c r="L2518" i="25" s="1"/>
  <c r="L2519" i="25" s="1"/>
  <c r="L2520" i="25" s="1"/>
  <c r="L2521" i="25" s="1"/>
  <c r="L2522" i="25" s="1"/>
  <c r="L2523" i="25" s="1"/>
  <c r="L2524" i="25" s="1"/>
  <c r="L2525" i="25" s="1"/>
  <c r="L2526" i="25" s="1"/>
  <c r="L2527" i="25" s="1"/>
  <c r="L2528" i="25" s="1"/>
  <c r="L2529" i="25" s="1"/>
  <c r="L2530" i="25" s="1"/>
  <c r="L2531" i="25" s="1"/>
  <c r="L2532" i="25" s="1"/>
  <c r="L2533" i="25" s="1"/>
  <c r="L2534" i="25" s="1"/>
  <c r="L2535" i="25" s="1"/>
  <c r="L2536" i="25" s="1"/>
  <c r="L2537" i="25" s="1"/>
  <c r="L2538" i="25" s="1"/>
  <c r="L2539" i="25" s="1"/>
  <c r="L2540" i="25" s="1"/>
  <c r="L2541" i="25" s="1"/>
  <c r="L2542" i="25" s="1"/>
  <c r="L2543" i="25" s="1"/>
  <c r="L2544" i="25" s="1"/>
  <c r="L2545" i="25" s="1"/>
  <c r="L2546" i="25" s="1"/>
  <c r="L2547" i="25" s="1"/>
  <c r="L2548" i="25" s="1"/>
  <c r="L2549" i="25" s="1"/>
  <c r="L2550" i="25" s="1"/>
  <c r="L2551" i="25" s="1"/>
  <c r="L2552" i="25" s="1"/>
  <c r="L2553" i="25" s="1"/>
  <c r="L2554" i="25" s="1"/>
  <c r="L2555" i="25" s="1"/>
  <c r="L2556" i="25" s="1"/>
  <c r="L2557" i="25" s="1"/>
  <c r="L2558" i="25" s="1"/>
  <c r="L2559" i="25" s="1"/>
  <c r="L2560" i="25" s="1"/>
  <c r="L2561" i="25" s="1"/>
  <c r="L2562" i="25" s="1"/>
  <c r="L2563" i="25" s="1"/>
  <c r="L2564" i="25" s="1"/>
  <c r="L2565" i="25" s="1"/>
  <c r="L2566" i="25" s="1"/>
  <c r="L2567" i="25" s="1"/>
  <c r="L2568" i="25" s="1"/>
  <c r="L2569" i="25" s="1"/>
  <c r="L2570" i="25" s="1"/>
  <c r="L2571" i="25" s="1"/>
  <c r="L2572" i="25" s="1"/>
  <c r="L2573" i="25" s="1"/>
  <c r="L2574" i="25" s="1"/>
  <c r="L2575" i="25" s="1"/>
  <c r="L2576" i="25" s="1"/>
  <c r="L2577" i="25" s="1"/>
  <c r="L2578" i="25" s="1"/>
  <c r="L2579" i="25" s="1"/>
  <c r="L2580" i="25" s="1"/>
  <c r="L2581" i="25" s="1"/>
  <c r="L2582" i="25" s="1"/>
  <c r="L2583" i="25" s="1"/>
  <c r="L2584" i="25" s="1"/>
  <c r="L2585" i="25" s="1"/>
  <c r="L2586" i="25" s="1"/>
  <c r="L2587" i="25" s="1"/>
  <c r="L2588" i="25" s="1"/>
  <c r="L2589" i="25" s="1"/>
  <c r="L2590" i="25" s="1"/>
  <c r="L2591" i="25" s="1"/>
  <c r="L2592" i="25" s="1"/>
  <c r="L2593" i="25" s="1"/>
  <c r="L2594" i="25" s="1"/>
  <c r="L2595" i="25" s="1"/>
  <c r="L2596" i="25" s="1"/>
  <c r="L2597" i="25" s="1"/>
  <c r="L2598" i="25" s="1"/>
  <c r="L2599" i="25" s="1"/>
  <c r="L2600" i="25" s="1"/>
  <c r="L2601" i="25" s="1"/>
  <c r="L2602" i="25" s="1"/>
  <c r="L2603" i="25" s="1"/>
  <c r="L2604" i="25" s="1"/>
  <c r="L2605" i="25" s="1"/>
  <c r="L2606" i="25" s="1"/>
  <c r="L2607" i="25" s="1"/>
  <c r="L2608" i="25" s="1"/>
  <c r="L2609" i="25" s="1"/>
  <c r="L2610" i="25" s="1"/>
  <c r="L2611" i="25" s="1"/>
  <c r="L2612" i="25" s="1"/>
  <c r="L2613" i="25" s="1"/>
  <c r="L2614" i="25" s="1"/>
  <c r="L2615" i="25" s="1"/>
  <c r="L2616" i="25" s="1"/>
  <c r="L2617" i="25" s="1"/>
  <c r="L2618" i="25" s="1"/>
  <c r="L2619" i="25" s="1"/>
  <c r="L2620" i="25" s="1"/>
  <c r="L2621" i="25" s="1"/>
  <c r="L2622" i="25" s="1"/>
  <c r="L2623" i="25" s="1"/>
  <c r="L2624" i="25" s="1"/>
  <c r="L2625" i="25" s="1"/>
  <c r="L2626" i="25" s="1"/>
  <c r="L2627" i="25" s="1"/>
  <c r="L2628" i="25" s="1"/>
  <c r="L2629" i="25" s="1"/>
  <c r="L2630" i="25" s="1"/>
  <c r="L2631" i="25" s="1"/>
  <c r="L2632" i="25" s="1"/>
  <c r="L2633" i="25" s="1"/>
  <c r="L2634" i="25" s="1"/>
  <c r="L2635" i="25" s="1"/>
  <c r="L2636" i="25" s="1"/>
  <c r="L2637" i="25" s="1"/>
  <c r="L2638" i="25" s="1"/>
  <c r="L2639" i="25" s="1"/>
  <c r="L2640" i="25" s="1"/>
  <c r="L2641" i="25" s="1"/>
  <c r="L2642" i="25" s="1"/>
  <c r="L2643" i="25" s="1"/>
  <c r="L2644" i="25" s="1"/>
  <c r="L2645" i="25" s="1"/>
  <c r="L2646" i="25" s="1"/>
  <c r="L2647" i="25" s="1"/>
  <c r="L2648" i="25" s="1"/>
  <c r="L2649" i="25" s="1"/>
  <c r="L2650" i="25" s="1"/>
  <c r="L2651" i="25" s="1"/>
  <c r="L2652" i="25" s="1"/>
  <c r="L2653" i="25" s="1"/>
  <c r="L2654" i="25" s="1"/>
  <c r="L2655" i="25" s="1"/>
  <c r="L2656" i="25" s="1"/>
  <c r="L2657" i="25" s="1"/>
  <c r="L2658" i="25" s="1"/>
  <c r="L2659" i="25" s="1"/>
  <c r="L2660" i="25" s="1"/>
  <c r="L2661" i="25" s="1"/>
  <c r="L2662" i="25" s="1"/>
  <c r="L2663" i="25" s="1"/>
  <c r="L2664" i="25" s="1"/>
  <c r="L2665" i="25" s="1"/>
  <c r="L2666" i="25" s="1"/>
  <c r="L2667" i="25" s="1"/>
  <c r="L2668" i="25" s="1"/>
  <c r="L2669" i="25" s="1"/>
  <c r="L2670" i="25" s="1"/>
  <c r="L2671" i="25" s="1"/>
  <c r="L2672" i="25" s="1"/>
  <c r="L2673" i="25" s="1"/>
  <c r="L2674" i="25" s="1"/>
  <c r="L2675" i="25" s="1"/>
  <c r="L2676" i="25" s="1"/>
  <c r="L2677" i="25" s="1"/>
  <c r="L2678" i="25" s="1"/>
  <c r="L2679" i="25" s="1"/>
  <c r="L2680" i="25" s="1"/>
  <c r="L2681" i="25" s="1"/>
  <c r="L2682" i="25" s="1"/>
  <c r="L2683" i="25" s="1"/>
  <c r="L2684" i="25" s="1"/>
  <c r="L2685" i="25" s="1"/>
  <c r="L2686" i="25" s="1"/>
  <c r="L2687" i="25" s="1"/>
  <c r="L2688" i="25" s="1"/>
  <c r="L2689" i="25" s="1"/>
  <c r="L2690" i="25" s="1"/>
  <c r="L2691" i="25" s="1"/>
  <c r="L2692" i="25" s="1"/>
  <c r="L2693" i="25" s="1"/>
  <c r="L2694" i="25" s="1"/>
  <c r="L2695" i="25" s="1"/>
  <c r="L2696" i="25" s="1"/>
  <c r="L2697" i="25" s="1"/>
  <c r="L2698" i="25" s="1"/>
  <c r="L2699" i="25" s="1"/>
  <c r="L2700" i="25" s="1"/>
  <c r="L2701" i="25" s="1"/>
  <c r="L2702" i="25" s="1"/>
  <c r="L2703" i="25" s="1"/>
  <c r="L2704" i="25" s="1"/>
  <c r="L2705" i="25" s="1"/>
  <c r="L2706" i="25" s="1"/>
  <c r="L2707" i="25" s="1"/>
  <c r="L2708" i="25" s="1"/>
  <c r="L2709" i="25" s="1"/>
  <c r="L2710" i="25" s="1"/>
  <c r="L2711" i="25" s="1"/>
  <c r="L2712" i="25" s="1"/>
  <c r="L2713" i="25" s="1"/>
  <c r="L2714" i="25" s="1"/>
  <c r="L2715" i="25" s="1"/>
  <c r="L2716" i="25" s="1"/>
  <c r="L2717" i="25" s="1"/>
  <c r="L2718" i="25" s="1"/>
  <c r="L2719" i="25" s="1"/>
  <c r="L2720" i="25" s="1"/>
  <c r="L2721" i="25" s="1"/>
  <c r="L2722" i="25" s="1"/>
  <c r="L2723" i="25" s="1"/>
  <c r="L2724" i="25" s="1"/>
  <c r="L2725" i="25" s="1"/>
  <c r="L2726" i="25" s="1"/>
  <c r="L2727" i="25" s="1"/>
  <c r="L2728" i="25" s="1"/>
  <c r="L2729" i="25" s="1"/>
  <c r="L2730" i="25" s="1"/>
  <c r="L2731" i="25" s="1"/>
  <c r="L2732" i="25" s="1"/>
  <c r="L2733" i="25" s="1"/>
  <c r="L2734" i="25" s="1"/>
  <c r="L2735" i="25" s="1"/>
  <c r="L2736" i="25" s="1"/>
  <c r="L2737" i="25" s="1"/>
  <c r="L2738" i="25" s="1"/>
  <c r="L2739" i="25" s="1"/>
  <c r="L2740" i="25" s="1"/>
  <c r="L2741" i="25" s="1"/>
  <c r="L2742" i="25" s="1"/>
  <c r="L2743" i="25" s="1"/>
  <c r="L2744" i="25" s="1"/>
  <c r="L2745" i="25" s="1"/>
  <c r="L2746" i="25" s="1"/>
  <c r="L2747" i="25" s="1"/>
  <c r="L2748" i="25" s="1"/>
  <c r="L2749" i="25" s="1"/>
  <c r="L2750" i="25" s="1"/>
  <c r="L2751" i="25" s="1"/>
  <c r="L2752" i="25" s="1"/>
  <c r="L2753" i="25" s="1"/>
  <c r="L2754" i="25" s="1"/>
  <c r="L2755" i="25" s="1"/>
  <c r="L2756" i="25" s="1"/>
  <c r="L2757" i="25" s="1"/>
  <c r="L2758" i="25" s="1"/>
  <c r="L2759" i="25" s="1"/>
  <c r="L2760" i="25" s="1"/>
  <c r="L2761" i="25" s="1"/>
  <c r="L2762" i="25" s="1"/>
  <c r="L2763" i="25" s="1"/>
  <c r="L2764" i="25" s="1"/>
  <c r="L2765" i="25" s="1"/>
  <c r="L2766" i="25" s="1"/>
  <c r="L2767" i="25" s="1"/>
  <c r="L2768" i="25" s="1"/>
  <c r="L2769" i="25" s="1"/>
  <c r="L2770" i="25" s="1"/>
  <c r="L2771" i="25" s="1"/>
  <c r="L2772" i="25" s="1"/>
  <c r="L2773" i="25" s="1"/>
  <c r="L2774" i="25" s="1"/>
  <c r="L2775" i="25" s="1"/>
  <c r="L2776" i="25" s="1"/>
  <c r="L2777" i="25" s="1"/>
  <c r="L2778" i="25" s="1"/>
  <c r="L2779" i="25" s="1"/>
  <c r="L2780" i="25" s="1"/>
  <c r="L2781" i="25" s="1"/>
  <c r="L2782" i="25" s="1"/>
  <c r="L2783" i="25" s="1"/>
  <c r="L2784" i="25" s="1"/>
  <c r="L2785" i="25" s="1"/>
  <c r="L2786" i="25" s="1"/>
  <c r="L2787" i="25" s="1"/>
  <c r="L2788" i="25" s="1"/>
  <c r="L2789" i="25" s="1"/>
  <c r="L2790" i="25" s="1"/>
  <c r="L2791" i="25" s="1"/>
  <c r="L2792" i="25" s="1"/>
  <c r="L2793" i="25" s="1"/>
  <c r="L2794" i="25" s="1"/>
  <c r="L2795" i="25" s="1"/>
  <c r="L2796" i="25" s="1"/>
  <c r="L2797" i="25" s="1"/>
  <c r="L2798" i="25" s="1"/>
  <c r="L2799" i="25" s="1"/>
  <c r="L2800" i="25" s="1"/>
  <c r="L2801" i="25" s="1"/>
  <c r="L2802" i="25" s="1"/>
  <c r="L2803" i="25" s="1"/>
  <c r="L2804" i="25" s="1"/>
  <c r="L2805" i="25" s="1"/>
  <c r="L2806" i="25" s="1"/>
  <c r="L2807" i="25" s="1"/>
  <c r="L2808" i="25" s="1"/>
  <c r="L2809" i="25" s="1"/>
  <c r="L2810" i="25" s="1"/>
  <c r="L2811" i="25" s="1"/>
  <c r="L2812" i="25" s="1"/>
  <c r="L2813" i="25" s="1"/>
  <c r="L2814" i="25" s="1"/>
  <c r="L2815" i="25" s="1"/>
  <c r="L2816" i="25" s="1"/>
  <c r="L2817" i="25" s="1"/>
  <c r="L2818" i="25" s="1"/>
  <c r="L2819" i="25" s="1"/>
  <c r="L2820" i="25" s="1"/>
  <c r="L2821" i="25" s="1"/>
  <c r="L2822" i="25" s="1"/>
  <c r="L2823" i="25" s="1"/>
  <c r="L2824" i="25" s="1"/>
  <c r="L2825" i="25" s="1"/>
  <c r="L2826" i="25" s="1"/>
  <c r="L2827" i="25" s="1"/>
  <c r="L2828" i="25" s="1"/>
  <c r="L2829" i="25" s="1"/>
  <c r="L2830" i="25" s="1"/>
  <c r="L2831" i="25" s="1"/>
  <c r="L2832" i="25" s="1"/>
  <c r="L2833" i="25" s="1"/>
  <c r="L2834" i="25" s="1"/>
  <c r="L2835" i="25" s="1"/>
  <c r="L2836" i="25" s="1"/>
  <c r="L2837" i="25" s="1"/>
  <c r="L2838" i="25" s="1"/>
  <c r="L2839" i="25" s="1"/>
  <c r="L2840" i="25" s="1"/>
  <c r="L2841" i="25" s="1"/>
  <c r="L2842" i="25" s="1"/>
  <c r="L2843" i="25" s="1"/>
  <c r="L2844" i="25" s="1"/>
  <c r="L2845" i="25" s="1"/>
  <c r="L2846" i="25" s="1"/>
  <c r="L2847" i="25" s="1"/>
  <c r="L2848" i="25" s="1"/>
  <c r="L2849" i="25" s="1"/>
  <c r="L2850" i="25" s="1"/>
  <c r="L2851" i="25" s="1"/>
  <c r="L2852" i="25" s="1"/>
  <c r="L2853" i="25" s="1"/>
  <c r="L2854" i="25" s="1"/>
  <c r="L2855" i="25" s="1"/>
  <c r="L2856" i="25" s="1"/>
  <c r="L2857" i="25" s="1"/>
  <c r="L2858" i="25" s="1"/>
  <c r="L2859" i="25" s="1"/>
  <c r="L2860" i="25" s="1"/>
  <c r="L2861" i="25" s="1"/>
  <c r="L2862" i="25" s="1"/>
  <c r="L2863" i="25" s="1"/>
  <c r="L2864" i="25" s="1"/>
  <c r="L2865" i="25" s="1"/>
  <c r="L2866" i="25" s="1"/>
  <c r="L2867" i="25" s="1"/>
  <c r="L2868" i="25" s="1"/>
  <c r="L2869" i="25" s="1"/>
  <c r="L2870" i="25" s="1"/>
  <c r="L2871" i="25" s="1"/>
  <c r="L2872" i="25" s="1"/>
  <c r="L2873" i="25" s="1"/>
  <c r="L2874" i="25" s="1"/>
  <c r="L2875" i="25" s="1"/>
  <c r="L2876" i="25" s="1"/>
  <c r="L2877" i="25" s="1"/>
  <c r="L2878" i="25" s="1"/>
  <c r="L2879" i="25" s="1"/>
  <c r="L2880" i="25" s="1"/>
  <c r="L2881" i="25" s="1"/>
  <c r="L2882" i="25" s="1"/>
  <c r="L2883" i="25" s="1"/>
  <c r="L2884" i="25" s="1"/>
  <c r="L2885" i="25" s="1"/>
  <c r="L2886" i="25" s="1"/>
  <c r="L2887" i="25" s="1"/>
  <c r="L2888" i="25" s="1"/>
  <c r="L2889" i="25" s="1"/>
  <c r="L2890" i="25" s="1"/>
  <c r="L2891" i="25" s="1"/>
  <c r="L2892" i="25" s="1"/>
  <c r="L2893" i="25" s="1"/>
  <c r="L2894" i="25" s="1"/>
  <c r="L2895" i="25" s="1"/>
  <c r="L2896" i="25" s="1"/>
  <c r="L2897" i="25" s="1"/>
  <c r="L2898" i="25" s="1"/>
  <c r="L2899" i="25" s="1"/>
  <c r="L2900" i="25" s="1"/>
  <c r="L2901" i="25" s="1"/>
  <c r="L2902" i="25" s="1"/>
  <c r="L2903" i="25" s="1"/>
  <c r="L2904" i="25" s="1"/>
  <c r="L2905" i="25" s="1"/>
  <c r="L2906" i="25" s="1"/>
  <c r="L2907" i="25" s="1"/>
  <c r="L2908" i="25" s="1"/>
  <c r="L2909" i="25" s="1"/>
  <c r="L2910" i="25" s="1"/>
  <c r="L2911" i="25" s="1"/>
  <c r="L2912" i="25" s="1"/>
  <c r="L2913" i="25" s="1"/>
  <c r="L2914" i="25" s="1"/>
  <c r="L2915" i="25" s="1"/>
  <c r="L2916" i="25" s="1"/>
  <c r="L2917" i="25" s="1"/>
  <c r="L2918" i="25" s="1"/>
  <c r="L2919" i="25" s="1"/>
  <c r="L2920" i="25" s="1"/>
  <c r="L2921" i="25" s="1"/>
  <c r="L2922" i="25" s="1"/>
  <c r="L2923" i="25" s="1"/>
  <c r="L2924" i="25" s="1"/>
  <c r="L2925" i="25" s="1"/>
  <c r="L2926" i="25" s="1"/>
  <c r="L2927" i="25" s="1"/>
  <c r="L2928" i="25" s="1"/>
  <c r="L2929" i="25" s="1"/>
  <c r="L2930" i="25" s="1"/>
  <c r="L2931" i="25" s="1"/>
  <c r="L2932" i="25" s="1"/>
  <c r="L2933" i="25" s="1"/>
  <c r="L2934" i="25" s="1"/>
  <c r="L2935" i="25" s="1"/>
  <c r="L2936" i="25" s="1"/>
  <c r="L2937" i="25" s="1"/>
  <c r="L2938" i="25" s="1"/>
  <c r="L2939" i="25" s="1"/>
  <c r="L2940" i="25" s="1"/>
  <c r="L2941" i="25" s="1"/>
  <c r="L2942" i="25" s="1"/>
  <c r="L2943" i="25" s="1"/>
  <c r="L2944" i="25" s="1"/>
  <c r="L2945" i="25" s="1"/>
  <c r="L2946" i="25" s="1"/>
  <c r="L2947" i="25" s="1"/>
  <c r="L2948" i="25" s="1"/>
  <c r="L2949" i="25" s="1"/>
  <c r="L2950" i="25" s="1"/>
  <c r="L2951" i="25" s="1"/>
  <c r="L2952" i="25" s="1"/>
  <c r="L2953" i="25" s="1"/>
  <c r="L2954" i="25" s="1"/>
  <c r="L2955" i="25" s="1"/>
  <c r="L2956" i="25" s="1"/>
  <c r="L2957" i="25" s="1"/>
  <c r="L2958" i="25" s="1"/>
  <c r="L2959" i="25" s="1"/>
  <c r="L2960" i="25" s="1"/>
  <c r="L2961" i="25" s="1"/>
  <c r="L2962" i="25" s="1"/>
  <c r="L2963" i="25" s="1"/>
  <c r="L2964" i="25" s="1"/>
  <c r="L2965" i="25" s="1"/>
  <c r="L2966" i="25" s="1"/>
  <c r="L2967" i="25" s="1"/>
  <c r="L2968" i="25" s="1"/>
  <c r="L2969" i="25" s="1"/>
  <c r="L2970" i="25" s="1"/>
  <c r="L2971" i="25" s="1"/>
  <c r="L2972" i="25" s="1"/>
  <c r="L2973" i="25" s="1"/>
  <c r="L2974" i="25" s="1"/>
  <c r="L2975" i="25" s="1"/>
  <c r="L2976" i="25" s="1"/>
  <c r="L2977" i="25" s="1"/>
  <c r="L2978" i="25" s="1"/>
  <c r="L2979" i="25" s="1"/>
  <c r="L2980" i="25" s="1"/>
  <c r="L2981" i="25" s="1"/>
  <c r="L2982" i="25" s="1"/>
  <c r="L2983" i="25" s="1"/>
  <c r="L2984" i="25" s="1"/>
  <c r="L2985" i="25" s="1"/>
  <c r="L2986" i="25" s="1"/>
  <c r="L2987" i="25" s="1"/>
  <c r="L2988" i="25" s="1"/>
  <c r="L2989" i="25" s="1"/>
  <c r="L2990" i="25" s="1"/>
  <c r="L2991" i="25" s="1"/>
  <c r="L2992" i="25" s="1"/>
  <c r="L2993" i="25" s="1"/>
  <c r="L2994" i="25" s="1"/>
  <c r="L2995" i="25" s="1"/>
  <c r="L2996" i="25" s="1"/>
  <c r="L2997" i="25" s="1"/>
  <c r="L2998" i="25" s="1"/>
  <c r="L2999" i="25" s="1"/>
  <c r="L3000" i="25" s="1"/>
  <c r="L3001" i="25" s="1"/>
  <c r="L3002" i="25" s="1"/>
  <c r="L3003" i="25" s="1"/>
  <c r="L3004" i="25" s="1"/>
  <c r="L3005" i="25" s="1"/>
  <c r="L3006" i="25" s="1"/>
  <c r="L3007" i="25" s="1"/>
  <c r="L3008" i="25" s="1"/>
  <c r="L3009" i="25" s="1"/>
  <c r="L3010" i="25" s="1"/>
  <c r="L3011" i="25" s="1"/>
  <c r="L3012" i="25" s="1"/>
  <c r="L3013" i="25" s="1"/>
  <c r="L3014" i="25" s="1"/>
  <c r="L3015" i="25" s="1"/>
  <c r="L3016" i="25" s="1"/>
  <c r="L3017" i="25" s="1"/>
  <c r="L3018" i="25" s="1"/>
  <c r="L3019" i="25" s="1"/>
  <c r="L3020" i="25" s="1"/>
  <c r="L3021" i="25" s="1"/>
  <c r="L3022" i="25" s="1"/>
  <c r="L3023" i="25" s="1"/>
  <c r="L3024" i="25" s="1"/>
  <c r="L3025" i="25" s="1"/>
  <c r="L3026" i="25" s="1"/>
  <c r="L3027" i="25" s="1"/>
  <c r="L3028" i="25" s="1"/>
  <c r="L3029" i="25" s="1"/>
  <c r="L3030" i="25" s="1"/>
  <c r="L3031" i="25" s="1"/>
  <c r="L3032" i="25" s="1"/>
  <c r="L3033" i="25" s="1"/>
  <c r="L3034" i="25" s="1"/>
  <c r="L3035" i="25" s="1"/>
  <c r="L3036" i="25" s="1"/>
  <c r="L3037" i="25" s="1"/>
  <c r="L3038" i="25" s="1"/>
  <c r="L3039" i="25" s="1"/>
  <c r="L3040" i="25" s="1"/>
  <c r="L3041" i="25" s="1"/>
  <c r="L3042" i="25" s="1"/>
  <c r="L3043" i="25" s="1"/>
  <c r="L3044" i="25" s="1"/>
  <c r="L3045" i="25" s="1"/>
  <c r="L3046" i="25" s="1"/>
  <c r="L3047" i="25" s="1"/>
  <c r="L3048" i="25" s="1"/>
  <c r="L3049" i="25" s="1"/>
  <c r="L3050" i="25" s="1"/>
  <c r="L3051" i="25" s="1"/>
  <c r="L3052" i="25" s="1"/>
  <c r="L3053" i="25" s="1"/>
  <c r="L3054" i="25" s="1"/>
  <c r="L3055" i="25" s="1"/>
  <c r="L3056" i="25" s="1"/>
  <c r="L3057" i="25" s="1"/>
  <c r="L3058" i="25" s="1"/>
  <c r="L3059" i="25" s="1"/>
  <c r="L3060" i="25" s="1"/>
  <c r="L3061" i="25" s="1"/>
  <c r="L3062" i="25" s="1"/>
  <c r="L3063" i="25" s="1"/>
  <c r="L3064" i="25" s="1"/>
  <c r="L3065" i="25" s="1"/>
  <c r="L3066" i="25" s="1"/>
  <c r="L3067" i="25" s="1"/>
  <c r="L3068" i="25" s="1"/>
  <c r="L3069" i="25" s="1"/>
  <c r="L3070" i="25" s="1"/>
  <c r="L3071" i="25" s="1"/>
  <c r="L3072" i="25" s="1"/>
  <c r="L3073" i="25" s="1"/>
  <c r="L3074" i="25" s="1"/>
  <c r="L3075" i="25" s="1"/>
  <c r="L3076" i="25" s="1"/>
  <c r="L3077" i="25" s="1"/>
  <c r="L3078" i="25" s="1"/>
  <c r="L3079" i="25" s="1"/>
  <c r="L3080" i="25" s="1"/>
  <c r="L3081" i="25" s="1"/>
  <c r="L3082" i="25" s="1"/>
  <c r="L3083" i="25" s="1"/>
  <c r="L3084" i="25" s="1"/>
  <c r="L3085" i="25" s="1"/>
  <c r="L3086" i="25" s="1"/>
  <c r="L3087" i="25" s="1"/>
  <c r="L3088" i="25" s="1"/>
  <c r="L3089" i="25" s="1"/>
  <c r="L3090" i="25" s="1"/>
  <c r="L3091" i="25" s="1"/>
  <c r="L3092" i="25" s="1"/>
  <c r="L3093" i="25" s="1"/>
  <c r="L3094" i="25" s="1"/>
  <c r="L3095" i="25" s="1"/>
  <c r="L3096" i="25" s="1"/>
  <c r="L3097" i="25" s="1"/>
  <c r="L3098" i="25" s="1"/>
  <c r="L3099" i="25" s="1"/>
  <c r="L3100" i="25" s="1"/>
  <c r="L3101" i="25" s="1"/>
  <c r="L3102" i="25" s="1"/>
  <c r="L3103" i="25" s="1"/>
  <c r="L3104" i="25" s="1"/>
  <c r="L3105" i="25" s="1"/>
  <c r="L3106" i="25" s="1"/>
  <c r="L3107" i="25" s="1"/>
  <c r="L3108" i="25" s="1"/>
  <c r="L3109" i="25" s="1"/>
  <c r="L3110" i="25" s="1"/>
  <c r="L3111" i="25" s="1"/>
  <c r="L3112" i="25" s="1"/>
  <c r="L3113" i="25" s="1"/>
  <c r="L3114" i="25" s="1"/>
  <c r="L3115" i="25" s="1"/>
  <c r="L3116" i="25" s="1"/>
  <c r="L3117" i="25" s="1"/>
  <c r="L3118" i="25" s="1"/>
  <c r="L3119" i="25" s="1"/>
  <c r="L3120" i="25" s="1"/>
  <c r="L3121" i="25" s="1"/>
  <c r="L3122" i="25" s="1"/>
  <c r="L3123" i="25" s="1"/>
  <c r="L3124" i="25" s="1"/>
  <c r="L3125" i="25" s="1"/>
  <c r="L3126" i="25" s="1"/>
  <c r="L3127" i="25" s="1"/>
  <c r="L3128" i="25" s="1"/>
  <c r="L3129" i="25" s="1"/>
  <c r="L3130" i="25" s="1"/>
  <c r="L3131" i="25" s="1"/>
  <c r="L3132" i="25" s="1"/>
  <c r="L3133" i="25" s="1"/>
  <c r="L3134" i="25" s="1"/>
  <c r="L3135" i="25" s="1"/>
  <c r="L3136" i="25" s="1"/>
  <c r="L3137" i="25" s="1"/>
  <c r="L3138" i="25" s="1"/>
  <c r="L3139" i="25" s="1"/>
  <c r="L3140" i="25" s="1"/>
  <c r="L3141" i="25" s="1"/>
  <c r="L3142" i="25" s="1"/>
  <c r="L3143" i="25" s="1"/>
  <c r="L3144" i="25" s="1"/>
  <c r="L3145" i="25" s="1"/>
  <c r="L3146" i="25" s="1"/>
  <c r="L3147" i="25" s="1"/>
  <c r="L3148" i="25" s="1"/>
  <c r="L3149" i="25" s="1"/>
  <c r="L3150" i="25" s="1"/>
  <c r="L3151" i="25" s="1"/>
  <c r="L3152" i="25" s="1"/>
  <c r="L3153" i="25" s="1"/>
  <c r="L3154" i="25" s="1"/>
  <c r="L3155" i="25" s="1"/>
  <c r="L3156" i="25" s="1"/>
  <c r="L3157" i="25" s="1"/>
  <c r="L3158" i="25" s="1"/>
  <c r="L3159" i="25" s="1"/>
  <c r="L3160" i="25" s="1"/>
  <c r="L3161" i="25" s="1"/>
  <c r="L3162" i="25" s="1"/>
  <c r="L3163" i="25" s="1"/>
  <c r="L3164" i="25" s="1"/>
  <c r="L3165" i="25" s="1"/>
  <c r="L3166" i="25" s="1"/>
  <c r="L3167" i="25" s="1"/>
  <c r="L3168" i="25" s="1"/>
  <c r="L3169" i="25" s="1"/>
  <c r="L3170" i="25" s="1"/>
  <c r="L3171" i="25" s="1"/>
  <c r="L3172" i="25" s="1"/>
  <c r="L3173" i="25" s="1"/>
  <c r="L3174" i="25" s="1"/>
  <c r="L3175" i="25" s="1"/>
  <c r="L3176" i="25" s="1"/>
  <c r="L3177" i="25" s="1"/>
  <c r="L3178" i="25" s="1"/>
  <c r="L3179" i="25" s="1"/>
  <c r="L3180" i="25" s="1"/>
  <c r="L3181" i="25" s="1"/>
  <c r="L3182" i="25" s="1"/>
  <c r="L3183" i="25" s="1"/>
  <c r="L3184" i="25" s="1"/>
  <c r="L3185" i="25" s="1"/>
  <c r="L3186" i="25" s="1"/>
  <c r="L3187" i="25" s="1"/>
  <c r="L3188" i="25" s="1"/>
  <c r="L3189" i="25" s="1"/>
  <c r="L3190" i="25" s="1"/>
  <c r="L3191" i="25" s="1"/>
  <c r="L3192" i="25" s="1"/>
  <c r="L3193" i="25" s="1"/>
  <c r="L3194" i="25" s="1"/>
  <c r="L3195" i="25" s="1"/>
  <c r="L3196" i="25" s="1"/>
  <c r="L3197" i="25" s="1"/>
  <c r="L3198" i="25" s="1"/>
  <c r="L3199" i="25" s="1"/>
  <c r="L3200" i="25" s="1"/>
  <c r="L3201" i="25" s="1"/>
  <c r="L3202" i="25" s="1"/>
  <c r="L3203" i="25" s="1"/>
  <c r="L3204" i="25" s="1"/>
  <c r="L3205" i="25" s="1"/>
  <c r="L3206" i="25" s="1"/>
  <c r="L3207" i="25" s="1"/>
  <c r="L3208" i="25" s="1"/>
  <c r="L3209" i="25" s="1"/>
  <c r="L3210" i="25" s="1"/>
  <c r="L3211" i="25" s="1"/>
  <c r="L3212" i="25" s="1"/>
  <c r="L3213" i="25" s="1"/>
  <c r="L3214" i="25" s="1"/>
  <c r="L3215" i="25" s="1"/>
  <c r="L3216" i="25" s="1"/>
  <c r="L3217" i="25" s="1"/>
  <c r="L3218" i="25" s="1"/>
  <c r="L3219" i="25" s="1"/>
  <c r="L3220" i="25" s="1"/>
  <c r="L3221" i="25" s="1"/>
  <c r="L3222" i="25" s="1"/>
  <c r="L3223" i="25" s="1"/>
  <c r="L3224" i="25" s="1"/>
  <c r="L3225" i="25" s="1"/>
  <c r="L3226" i="25" s="1"/>
  <c r="L3227" i="25" s="1"/>
  <c r="L3228" i="25" s="1"/>
  <c r="L3229" i="25" s="1"/>
  <c r="L3230" i="25" s="1"/>
  <c r="L3231" i="25" s="1"/>
  <c r="L3232" i="25" s="1"/>
  <c r="L3233" i="25" s="1"/>
  <c r="L3234" i="25" s="1"/>
  <c r="L3235" i="25" s="1"/>
  <c r="L3236" i="25" s="1"/>
  <c r="L3237" i="25" s="1"/>
  <c r="L3238" i="25" s="1"/>
  <c r="L3239" i="25" s="1"/>
  <c r="L3240" i="25" s="1"/>
  <c r="L3241" i="25" s="1"/>
  <c r="L3242" i="25" s="1"/>
  <c r="L3243" i="25" s="1"/>
  <c r="L3244" i="25" s="1"/>
  <c r="L3245" i="25" s="1"/>
  <c r="L3246" i="25" s="1"/>
  <c r="L3247" i="25" s="1"/>
  <c r="L3248" i="25" s="1"/>
  <c r="L3249" i="25" s="1"/>
  <c r="L3250" i="25" s="1"/>
  <c r="L3251" i="25" s="1"/>
  <c r="L3252" i="25" s="1"/>
  <c r="L3253" i="25" s="1"/>
  <c r="L3254" i="25" s="1"/>
  <c r="L3255" i="25" s="1"/>
  <c r="L3256" i="25" s="1"/>
  <c r="L3257" i="25" s="1"/>
  <c r="L3258" i="25" s="1"/>
  <c r="L3259" i="25" s="1"/>
  <c r="L3260" i="25" s="1"/>
  <c r="L3261" i="25" s="1"/>
  <c r="L3262" i="25" s="1"/>
  <c r="L3263" i="25" s="1"/>
  <c r="L3264" i="25" s="1"/>
  <c r="L3265" i="25" s="1"/>
  <c r="L3266" i="25" s="1"/>
  <c r="L3267" i="25" s="1"/>
  <c r="L3268" i="25" s="1"/>
  <c r="L3269" i="25" s="1"/>
  <c r="L3270" i="25" s="1"/>
  <c r="L3271" i="25" s="1"/>
  <c r="L3272" i="25" s="1"/>
  <c r="L3273" i="25" s="1"/>
  <c r="L3274" i="25" s="1"/>
  <c r="L3275" i="25" s="1"/>
  <c r="L3276" i="25" s="1"/>
  <c r="L3277" i="25" s="1"/>
  <c r="L3278" i="25" s="1"/>
  <c r="L3279" i="25" s="1"/>
  <c r="L3280" i="25" s="1"/>
  <c r="L3281" i="25" s="1"/>
  <c r="L3282" i="25" s="1"/>
  <c r="L3283" i="25" s="1"/>
  <c r="L3284" i="25" s="1"/>
  <c r="L3285" i="25" s="1"/>
  <c r="L3286" i="25" s="1"/>
  <c r="L3287" i="25" s="1"/>
  <c r="L3288" i="25" s="1"/>
  <c r="L3289" i="25" s="1"/>
  <c r="L3290" i="25" s="1"/>
  <c r="L3291" i="25" s="1"/>
  <c r="L3292" i="25" s="1"/>
  <c r="L3293" i="25" s="1"/>
  <c r="L3294" i="25" s="1"/>
  <c r="L3295" i="25" s="1"/>
  <c r="L3296" i="25" s="1"/>
  <c r="L3297" i="25" s="1"/>
  <c r="L3298" i="25" s="1"/>
  <c r="L3299" i="25" s="1"/>
  <c r="L3300" i="25" s="1"/>
  <c r="L3301" i="25" s="1"/>
  <c r="L3302" i="25" s="1"/>
  <c r="L3303" i="25" s="1"/>
  <c r="L3304" i="25" s="1"/>
  <c r="L3305" i="25" s="1"/>
  <c r="L3306" i="25" s="1"/>
  <c r="L3307" i="25" s="1"/>
  <c r="L3308" i="25" s="1"/>
  <c r="L3309" i="25" s="1"/>
  <c r="L3310" i="25" s="1"/>
  <c r="L3311" i="25" s="1"/>
  <c r="L3312" i="25" s="1"/>
  <c r="L3313" i="25" s="1"/>
  <c r="L3314" i="25" s="1"/>
  <c r="L3315" i="25" s="1"/>
  <c r="L3316" i="25" s="1"/>
  <c r="L3317" i="25" s="1"/>
  <c r="L3318" i="25" s="1"/>
  <c r="L3319" i="25" s="1"/>
  <c r="L3320" i="25" s="1"/>
  <c r="L3321" i="25" s="1"/>
  <c r="L3322" i="25" s="1"/>
  <c r="L3323" i="25" s="1"/>
  <c r="L3324" i="25" s="1"/>
  <c r="L3325" i="25" s="1"/>
  <c r="L3326" i="25" s="1"/>
  <c r="L3327" i="25" s="1"/>
  <c r="L3328" i="25" s="1"/>
  <c r="L3329" i="25" s="1"/>
  <c r="L3330" i="25" s="1"/>
  <c r="L3331" i="25" s="1"/>
  <c r="L3332" i="25" s="1"/>
  <c r="L3333" i="25" s="1"/>
  <c r="L3334" i="25" s="1"/>
  <c r="L3335" i="25" s="1"/>
  <c r="L3336" i="25" s="1"/>
  <c r="L3337" i="25" s="1"/>
  <c r="L3338" i="25" s="1"/>
  <c r="L3339" i="25" s="1"/>
  <c r="L3340" i="25" s="1"/>
  <c r="L3341" i="25" s="1"/>
  <c r="L3342" i="25" s="1"/>
  <c r="L3343" i="25" s="1"/>
  <c r="L3344" i="25" s="1"/>
  <c r="L3345" i="25" s="1"/>
  <c r="L3346" i="25" s="1"/>
  <c r="L3347" i="25" s="1"/>
  <c r="L3348" i="25" s="1"/>
  <c r="L3349" i="25" s="1"/>
  <c r="L3350" i="25" s="1"/>
  <c r="L3351" i="25" s="1"/>
  <c r="L3352" i="25" s="1"/>
  <c r="L3353" i="25" s="1"/>
  <c r="L3354" i="25" s="1"/>
  <c r="L3355" i="25" s="1"/>
  <c r="L3356" i="25" s="1"/>
  <c r="L3357" i="25" s="1"/>
  <c r="L3358" i="25" s="1"/>
  <c r="L3359" i="25" s="1"/>
  <c r="L3360" i="25" s="1"/>
  <c r="L3361" i="25" s="1"/>
  <c r="L3362" i="25" s="1"/>
  <c r="L3363" i="25" s="1"/>
  <c r="L3364" i="25" s="1"/>
  <c r="L3365" i="25" s="1"/>
  <c r="L3366" i="25" s="1"/>
  <c r="L3367" i="25" s="1"/>
  <c r="L3368" i="25" s="1"/>
  <c r="L3369" i="25" s="1"/>
  <c r="L3370" i="25" s="1"/>
  <c r="L3371" i="25" s="1"/>
  <c r="L3372" i="25" s="1"/>
  <c r="L3373" i="25" s="1"/>
  <c r="L3374" i="25" s="1"/>
  <c r="L3375" i="25" s="1"/>
  <c r="L3376" i="25" s="1"/>
  <c r="L3377" i="25" s="1"/>
  <c r="L3378" i="25" s="1"/>
  <c r="L3379" i="25" s="1"/>
  <c r="L3380" i="25" s="1"/>
  <c r="L3381" i="25" s="1"/>
  <c r="L3382" i="25" s="1"/>
  <c r="L3383" i="25" s="1"/>
  <c r="L3384" i="25" s="1"/>
  <c r="L3385" i="25" s="1"/>
  <c r="L3386" i="25" s="1"/>
  <c r="L3387" i="25" s="1"/>
  <c r="L3388" i="25" s="1"/>
  <c r="L3389" i="25" s="1"/>
  <c r="L3390" i="25" s="1"/>
  <c r="L3391" i="25" s="1"/>
  <c r="L3392" i="25" s="1"/>
  <c r="L3393" i="25" s="1"/>
  <c r="L3394" i="25" s="1"/>
  <c r="L3395" i="25" s="1"/>
  <c r="L3396" i="25" s="1"/>
  <c r="L3397" i="25" s="1"/>
  <c r="L3398" i="25" s="1"/>
  <c r="L3399" i="25" s="1"/>
  <c r="L3400" i="25" s="1"/>
  <c r="L3401" i="25" s="1"/>
  <c r="L3402" i="25" s="1"/>
  <c r="L3403" i="25" s="1"/>
  <c r="L3404" i="25" s="1"/>
  <c r="L3405" i="25" s="1"/>
  <c r="L3406" i="25" s="1"/>
  <c r="L3407" i="25" s="1"/>
  <c r="L3408" i="25" s="1"/>
  <c r="L3409" i="25" s="1"/>
  <c r="L3410" i="25" s="1"/>
  <c r="L3411" i="25" s="1"/>
  <c r="L3412" i="25" s="1"/>
  <c r="L3413" i="25" s="1"/>
  <c r="L3414" i="25" s="1"/>
  <c r="L3415" i="25" s="1"/>
  <c r="L3416" i="25" s="1"/>
  <c r="L3417" i="25" s="1"/>
  <c r="L3418" i="25" s="1"/>
  <c r="L3419" i="25" s="1"/>
  <c r="L3420" i="25" s="1"/>
  <c r="L3421" i="25" s="1"/>
  <c r="L3422" i="25" s="1"/>
  <c r="L3423" i="25" s="1"/>
  <c r="L3424" i="25" s="1"/>
  <c r="L3425" i="25" s="1"/>
  <c r="L3426" i="25" s="1"/>
  <c r="L3427" i="25" s="1"/>
  <c r="L3428" i="25" s="1"/>
  <c r="L3429" i="25" s="1"/>
  <c r="L3430" i="25" s="1"/>
  <c r="L3431" i="25" s="1"/>
  <c r="L3432" i="25" s="1"/>
  <c r="L3433" i="25" s="1"/>
  <c r="L3434" i="25" s="1"/>
  <c r="L3435" i="25" s="1"/>
  <c r="L3436" i="25" s="1"/>
  <c r="L3437" i="25" s="1"/>
  <c r="L3438" i="25" s="1"/>
  <c r="L3439" i="25" s="1"/>
  <c r="L3440" i="25" s="1"/>
  <c r="L3441" i="25" s="1"/>
  <c r="L3442" i="25" s="1"/>
  <c r="L3443" i="25" s="1"/>
  <c r="L3444" i="25" s="1"/>
  <c r="L3445" i="25" s="1"/>
  <c r="L3446" i="25" s="1"/>
  <c r="L3447" i="25" s="1"/>
  <c r="L3448" i="25" s="1"/>
  <c r="L3449" i="25" s="1"/>
  <c r="L3450" i="25" s="1"/>
  <c r="L3451" i="25" s="1"/>
  <c r="L3452" i="25" s="1"/>
  <c r="L3453" i="25" s="1"/>
  <c r="L3454" i="25" s="1"/>
  <c r="L3455" i="25" s="1"/>
  <c r="L3456" i="25" s="1"/>
  <c r="L3457" i="25" s="1"/>
  <c r="L3458" i="25" s="1"/>
  <c r="L3459" i="25" s="1"/>
  <c r="L3460" i="25" s="1"/>
  <c r="L3461" i="25" s="1"/>
  <c r="L3462" i="25" s="1"/>
  <c r="L3463" i="25" s="1"/>
  <c r="L3464" i="25" s="1"/>
  <c r="L3465" i="25" s="1"/>
  <c r="L3466" i="25" s="1"/>
  <c r="L3467" i="25" s="1"/>
  <c r="L3468" i="25" s="1"/>
  <c r="L3469" i="25" s="1"/>
  <c r="L3470" i="25" s="1"/>
  <c r="L3471" i="25" s="1"/>
  <c r="L3472" i="25" s="1"/>
  <c r="L3473" i="25" s="1"/>
  <c r="L3474" i="25" s="1"/>
  <c r="L3475" i="25" s="1"/>
  <c r="L3476" i="25" s="1"/>
  <c r="L3477" i="25" s="1"/>
  <c r="L3478" i="25" s="1"/>
  <c r="L3479" i="25" s="1"/>
  <c r="L3480" i="25" s="1"/>
  <c r="L3481" i="25" s="1"/>
  <c r="L3482" i="25" s="1"/>
  <c r="L3483" i="25" s="1"/>
  <c r="L3484" i="25" s="1"/>
  <c r="L3485" i="25" s="1"/>
  <c r="L3486" i="25" s="1"/>
  <c r="L3487" i="25" s="1"/>
  <c r="L3488" i="25" s="1"/>
  <c r="L3489" i="25" s="1"/>
  <c r="L3490" i="25" s="1"/>
  <c r="L3491" i="25" s="1"/>
  <c r="L3492" i="25" s="1"/>
  <c r="L3493" i="25" s="1"/>
  <c r="L3494" i="25" s="1"/>
  <c r="L3495" i="25" s="1"/>
  <c r="L3496" i="25" s="1"/>
  <c r="L3497" i="25" s="1"/>
  <c r="L3498" i="25" s="1"/>
  <c r="L3499" i="25" s="1"/>
  <c r="L3500" i="25" s="1"/>
  <c r="L3501" i="25" s="1"/>
  <c r="L3502" i="25" s="1"/>
  <c r="L3503" i="25" s="1"/>
  <c r="L3504" i="25" s="1"/>
  <c r="L3505" i="25" s="1"/>
  <c r="L3506" i="25" s="1"/>
  <c r="L3507" i="25" s="1"/>
  <c r="L3508" i="25" s="1"/>
  <c r="L3509" i="25" s="1"/>
  <c r="L3510" i="25" s="1"/>
  <c r="L3511" i="25" s="1"/>
  <c r="L3512" i="25" s="1"/>
  <c r="L3513" i="25" s="1"/>
  <c r="L3514" i="25" s="1"/>
  <c r="L3515" i="25" s="1"/>
  <c r="L3516" i="25" s="1"/>
  <c r="L3517" i="25" s="1"/>
  <c r="L3518" i="25" s="1"/>
  <c r="L3519" i="25" s="1"/>
  <c r="L3520" i="25" s="1"/>
  <c r="L3521" i="25" s="1"/>
  <c r="L3522" i="25" s="1"/>
  <c r="L3523" i="25" s="1"/>
  <c r="L3524" i="25" s="1"/>
  <c r="L3525" i="25" s="1"/>
  <c r="L3526" i="25" s="1"/>
  <c r="L3527" i="25" s="1"/>
  <c r="L3528" i="25" s="1"/>
  <c r="L3529" i="25" s="1"/>
  <c r="L3530" i="25" s="1"/>
  <c r="L3531" i="25" s="1"/>
  <c r="L3532" i="25" s="1"/>
  <c r="L3533" i="25" s="1"/>
  <c r="L3534" i="25" s="1"/>
  <c r="L3535" i="25" s="1"/>
  <c r="L3536" i="25" s="1"/>
  <c r="L3537" i="25" s="1"/>
  <c r="L3538" i="25" s="1"/>
  <c r="L3539" i="25" s="1"/>
  <c r="L3540" i="25" s="1"/>
  <c r="L3541" i="25" s="1"/>
  <c r="L3542" i="25" s="1"/>
  <c r="L3543" i="25" s="1"/>
  <c r="L3544" i="25" s="1"/>
  <c r="L3545" i="25" s="1"/>
  <c r="L3546" i="25" s="1"/>
  <c r="L3547" i="25" s="1"/>
  <c r="L3548" i="25" s="1"/>
  <c r="L3549" i="25" s="1"/>
  <c r="L3550" i="25" s="1"/>
  <c r="L3551" i="25" s="1"/>
  <c r="L3552" i="25" s="1"/>
  <c r="L3553" i="25" s="1"/>
  <c r="L3554" i="25" s="1"/>
  <c r="L3555" i="25" s="1"/>
  <c r="L3556" i="25" s="1"/>
  <c r="L3557" i="25" s="1"/>
  <c r="L3558" i="25" s="1"/>
  <c r="L3559" i="25" s="1"/>
  <c r="L3560" i="25" s="1"/>
  <c r="L3561" i="25" s="1"/>
  <c r="L3562" i="25" s="1"/>
  <c r="L3563" i="25" s="1"/>
  <c r="L3564" i="25" s="1"/>
  <c r="L3565" i="25" s="1"/>
  <c r="L3566" i="25" s="1"/>
  <c r="L3567" i="25" s="1"/>
  <c r="L3568" i="25" s="1"/>
  <c r="L3569" i="25" s="1"/>
  <c r="L3570" i="25" s="1"/>
  <c r="L3571" i="25" s="1"/>
  <c r="L3572" i="25" s="1"/>
  <c r="L3573" i="25" s="1"/>
  <c r="L3574" i="25" s="1"/>
  <c r="L3575" i="25" s="1"/>
  <c r="L3576" i="25" s="1"/>
  <c r="L3577" i="25" s="1"/>
  <c r="L3578" i="25" s="1"/>
  <c r="L3579" i="25" s="1"/>
  <c r="L3580" i="25" s="1"/>
  <c r="L3581" i="25" s="1"/>
  <c r="L3582" i="25" s="1"/>
  <c r="L3583" i="25" s="1"/>
  <c r="L3584" i="25" s="1"/>
  <c r="L3585" i="25" s="1"/>
  <c r="L3586" i="25" s="1"/>
  <c r="L3587" i="25" s="1"/>
  <c r="L3588" i="25" s="1"/>
  <c r="L3589" i="25" s="1"/>
  <c r="L3590" i="25" s="1"/>
  <c r="L3591" i="25" s="1"/>
  <c r="L3592" i="25" s="1"/>
  <c r="L3593" i="25" s="1"/>
  <c r="L3594" i="25" s="1"/>
  <c r="L3595" i="25" s="1"/>
  <c r="L3596" i="25" s="1"/>
  <c r="L3597" i="25" s="1"/>
  <c r="L3598" i="25" s="1"/>
  <c r="L3599" i="25" s="1"/>
  <c r="L3600" i="25" s="1"/>
  <c r="L3601" i="25" s="1"/>
  <c r="L3602" i="25" s="1"/>
  <c r="L3603" i="25" s="1"/>
  <c r="L3604" i="25" s="1"/>
  <c r="L3605" i="25" s="1"/>
  <c r="L3606" i="25" s="1"/>
  <c r="L3607" i="25" s="1"/>
  <c r="L3608" i="25" s="1"/>
  <c r="L3609" i="25" s="1"/>
  <c r="L3610" i="25" s="1"/>
  <c r="L3611" i="25" s="1"/>
  <c r="L3612" i="25" s="1"/>
  <c r="L3613" i="25" s="1"/>
  <c r="L3614" i="25" s="1"/>
  <c r="L3615" i="25" s="1"/>
  <c r="L3616" i="25" s="1"/>
  <c r="L3617" i="25" s="1"/>
  <c r="L3618" i="25" s="1"/>
  <c r="L3619" i="25" s="1"/>
  <c r="L3620" i="25" s="1"/>
  <c r="L3621" i="25" s="1"/>
  <c r="L3622" i="25" s="1"/>
  <c r="L3623" i="25" s="1"/>
  <c r="L3624" i="25" s="1"/>
  <c r="L3625" i="25" s="1"/>
  <c r="L3626" i="25" s="1"/>
  <c r="L3627" i="25" s="1"/>
  <c r="L3628" i="25" s="1"/>
  <c r="L3629" i="25" s="1"/>
  <c r="L3630" i="25" s="1"/>
  <c r="L3631" i="25" s="1"/>
  <c r="L3632" i="25" s="1"/>
  <c r="L3633" i="25" s="1"/>
  <c r="L3634" i="25" s="1"/>
  <c r="L3635" i="25" s="1"/>
  <c r="L3636" i="25" s="1"/>
  <c r="L3637" i="25" s="1"/>
  <c r="L3638" i="25" s="1"/>
  <c r="L3639" i="25" s="1"/>
  <c r="L3640" i="25" s="1"/>
  <c r="L3641" i="25" s="1"/>
  <c r="L3642" i="25" s="1"/>
  <c r="L3643" i="25" s="1"/>
  <c r="L3644" i="25" s="1"/>
  <c r="L3645" i="25" s="1"/>
  <c r="L3646" i="25" s="1"/>
  <c r="L3647" i="25" s="1"/>
  <c r="L3648" i="25" s="1"/>
  <c r="L3649" i="25" s="1"/>
  <c r="L3650" i="25" s="1"/>
  <c r="L3651" i="25" s="1"/>
  <c r="L3652" i="25" s="1"/>
  <c r="L3653" i="25" s="1"/>
  <c r="L3654" i="25" s="1"/>
  <c r="L3655" i="25" s="1"/>
  <c r="L3656" i="25" s="1"/>
  <c r="L3657" i="25" s="1"/>
  <c r="L3658" i="25" s="1"/>
  <c r="L3659" i="25" s="1"/>
  <c r="L3660" i="25" s="1"/>
  <c r="L3661" i="25" s="1"/>
  <c r="L3662" i="25" s="1"/>
  <c r="L3663" i="25" s="1"/>
  <c r="L3664" i="25" s="1"/>
  <c r="L3665" i="25" s="1"/>
  <c r="L3666" i="25" s="1"/>
  <c r="L3667" i="25" s="1"/>
  <c r="L3668" i="25" s="1"/>
  <c r="L3669" i="25" s="1"/>
  <c r="L3670" i="25" s="1"/>
  <c r="L3671" i="25" s="1"/>
  <c r="L3672" i="25" s="1"/>
  <c r="L3673" i="25" s="1"/>
  <c r="L3674" i="25" s="1"/>
  <c r="L3675" i="25" s="1"/>
  <c r="L3676" i="25" s="1"/>
  <c r="L3677" i="25" s="1"/>
  <c r="L3678" i="25" s="1"/>
  <c r="L3679" i="25" s="1"/>
  <c r="L3680" i="25" s="1"/>
  <c r="L3681" i="25" s="1"/>
  <c r="L3682" i="25" s="1"/>
  <c r="L3683" i="25" s="1"/>
  <c r="L3684" i="25" s="1"/>
  <c r="L3685" i="25" s="1"/>
  <c r="L3686" i="25" s="1"/>
  <c r="L3687" i="25" s="1"/>
  <c r="L3688" i="25" s="1"/>
  <c r="L3689" i="25" s="1"/>
  <c r="L3690" i="25" s="1"/>
  <c r="L3691" i="25" s="1"/>
  <c r="L3692" i="25" s="1"/>
  <c r="L3693" i="25" s="1"/>
  <c r="L3694" i="25" s="1"/>
  <c r="L3695" i="25" s="1"/>
  <c r="L3696" i="25" s="1"/>
  <c r="L3697" i="25" s="1"/>
  <c r="L3698" i="25" s="1"/>
  <c r="L3699" i="25" s="1"/>
  <c r="L3700" i="25" s="1"/>
  <c r="L3701" i="25" s="1"/>
  <c r="L3702" i="25" s="1"/>
  <c r="L3703" i="25" s="1"/>
  <c r="L3704" i="25" s="1"/>
  <c r="L3705" i="25" s="1"/>
  <c r="L3706" i="25" s="1"/>
  <c r="L3707" i="25" s="1"/>
  <c r="L3708" i="25" s="1"/>
  <c r="L3709" i="25" s="1"/>
  <c r="L3710" i="25" s="1"/>
  <c r="L3711" i="25" s="1"/>
  <c r="L3712" i="25" s="1"/>
  <c r="L3713" i="25" s="1"/>
  <c r="L3714" i="25" s="1"/>
  <c r="L3715" i="25" s="1"/>
  <c r="L3716" i="25" s="1"/>
  <c r="L3717" i="25" s="1"/>
  <c r="L3718" i="25" s="1"/>
  <c r="L3719" i="25" s="1"/>
  <c r="L3720" i="25" s="1"/>
  <c r="L3721" i="25" s="1"/>
  <c r="L3722" i="25" s="1"/>
  <c r="L3723" i="25" s="1"/>
  <c r="L3724" i="25" s="1"/>
  <c r="L3725" i="25" s="1"/>
  <c r="L3726" i="25" s="1"/>
  <c r="L3727" i="25" s="1"/>
  <c r="L3728" i="25" s="1"/>
  <c r="L3729" i="25" s="1"/>
  <c r="L3730" i="25" s="1"/>
  <c r="L3731" i="25" s="1"/>
  <c r="L3732" i="25" s="1"/>
  <c r="L3733" i="25" s="1"/>
  <c r="L3734" i="25" s="1"/>
  <c r="L3735" i="25" s="1"/>
  <c r="L3736" i="25" s="1"/>
  <c r="L3737" i="25" s="1"/>
  <c r="L3738" i="25" s="1"/>
  <c r="L3739" i="25" s="1"/>
  <c r="L3740" i="25" s="1"/>
  <c r="L3741" i="25" s="1"/>
  <c r="L3742" i="25" s="1"/>
  <c r="L3743" i="25" s="1"/>
  <c r="L3744" i="25" s="1"/>
  <c r="L3745" i="25" s="1"/>
  <c r="L3746" i="25" s="1"/>
  <c r="L3747" i="25" s="1"/>
  <c r="L3748" i="25" s="1"/>
  <c r="L3749" i="25" s="1"/>
  <c r="L3750" i="25" s="1"/>
  <c r="L3751" i="25" s="1"/>
  <c r="L3752" i="25" s="1"/>
  <c r="L3753" i="25" s="1"/>
  <c r="L3754" i="25" s="1"/>
  <c r="L3755" i="25" s="1"/>
  <c r="L3756" i="25" s="1"/>
  <c r="L3757" i="25" s="1"/>
  <c r="L3758" i="25" s="1"/>
  <c r="L3759" i="25" s="1"/>
  <c r="L3760" i="25" s="1"/>
  <c r="L3761" i="25" s="1"/>
  <c r="L3762" i="25" s="1"/>
  <c r="L3763" i="25" s="1"/>
  <c r="L3764" i="25" s="1"/>
  <c r="L3765" i="25" s="1"/>
  <c r="L3766" i="25" s="1"/>
  <c r="L3767" i="25" s="1"/>
  <c r="L3768" i="25" s="1"/>
  <c r="L3769" i="25" s="1"/>
  <c r="L3770" i="25" s="1"/>
  <c r="L3771" i="25" s="1"/>
  <c r="L3772" i="25" s="1"/>
  <c r="L3773" i="25" s="1"/>
  <c r="L3774" i="25" s="1"/>
  <c r="L3775" i="25" s="1"/>
  <c r="L3776" i="25" s="1"/>
  <c r="L3777" i="25" s="1"/>
  <c r="L3778" i="25" s="1"/>
  <c r="L3779" i="25" s="1"/>
  <c r="L3780" i="25" s="1"/>
  <c r="L3781" i="25" s="1"/>
  <c r="L3782" i="25" s="1"/>
  <c r="L3783" i="25" s="1"/>
  <c r="L3784" i="25" s="1"/>
  <c r="L3785" i="25" s="1"/>
  <c r="L3786" i="25" s="1"/>
  <c r="L3787" i="25" s="1"/>
  <c r="L3788" i="25" s="1"/>
  <c r="L3789" i="25" s="1"/>
  <c r="L3790" i="25" s="1"/>
  <c r="L3791" i="25" s="1"/>
  <c r="L3792" i="25" s="1"/>
  <c r="L3793" i="25" s="1"/>
  <c r="L3794" i="25" s="1"/>
  <c r="L3795" i="25" s="1"/>
  <c r="L3796" i="25" s="1"/>
  <c r="L3797" i="25" s="1"/>
  <c r="L3798" i="25" s="1"/>
  <c r="L3799" i="25" s="1"/>
  <c r="L3800" i="25" s="1"/>
  <c r="L3801" i="25" s="1"/>
  <c r="L3802" i="25" s="1"/>
  <c r="L3803" i="25" s="1"/>
  <c r="L3804" i="25" s="1"/>
  <c r="L3805" i="25" s="1"/>
  <c r="L3806" i="25" s="1"/>
  <c r="L3807" i="25" s="1"/>
  <c r="L3808" i="25" s="1"/>
  <c r="L3809" i="25" s="1"/>
  <c r="L3810" i="25" s="1"/>
  <c r="L3811" i="25" s="1"/>
  <c r="L3812" i="25" s="1"/>
  <c r="L3813" i="25" s="1"/>
  <c r="L3814" i="25" s="1"/>
  <c r="L3815" i="25" s="1"/>
  <c r="L3816" i="25" s="1"/>
  <c r="L3817" i="25" s="1"/>
  <c r="L3818" i="25" s="1"/>
  <c r="L3819" i="25" s="1"/>
  <c r="L3820" i="25" s="1"/>
  <c r="L3821" i="25" s="1"/>
  <c r="L3822" i="25" s="1"/>
  <c r="L3823" i="25" s="1"/>
  <c r="L3824" i="25" s="1"/>
  <c r="L3825" i="25" s="1"/>
  <c r="L3826" i="25" s="1"/>
  <c r="L3827" i="25" s="1"/>
  <c r="L3828" i="25" s="1"/>
  <c r="L3829" i="25" s="1"/>
  <c r="L3830" i="25" s="1"/>
  <c r="L3831" i="25" s="1"/>
  <c r="L3832" i="25" s="1"/>
  <c r="L3833" i="25" s="1"/>
  <c r="L3834" i="25" s="1"/>
  <c r="L3835" i="25" s="1"/>
  <c r="L3836" i="25" s="1"/>
  <c r="L3837" i="25" s="1"/>
  <c r="L3838" i="25" s="1"/>
  <c r="L3839" i="25" s="1"/>
  <c r="L3840" i="25" s="1"/>
  <c r="L3841" i="25" s="1"/>
  <c r="L3842" i="25" s="1"/>
  <c r="L3843" i="25" s="1"/>
  <c r="L3844" i="25" s="1"/>
  <c r="L3845" i="25" s="1"/>
  <c r="L3846" i="25" s="1"/>
  <c r="L3847" i="25" s="1"/>
  <c r="L3848" i="25" s="1"/>
  <c r="L3849" i="25" s="1"/>
  <c r="L3850" i="25" s="1"/>
  <c r="L3851" i="25" s="1"/>
  <c r="L3852" i="25" s="1"/>
  <c r="L3853" i="25" s="1"/>
  <c r="L3854" i="25" s="1"/>
  <c r="L3855" i="25" s="1"/>
  <c r="L3856" i="25" s="1"/>
  <c r="L3857" i="25" s="1"/>
  <c r="L3858" i="25" s="1"/>
  <c r="L3859" i="25" s="1"/>
  <c r="L3860" i="25" s="1"/>
  <c r="L3861" i="25" s="1"/>
  <c r="L3862" i="25" s="1"/>
  <c r="L3863" i="25" s="1"/>
  <c r="L3864" i="25" s="1"/>
  <c r="L3865" i="25" s="1"/>
  <c r="L3866" i="25" s="1"/>
  <c r="L3867" i="25" s="1"/>
  <c r="L3868" i="25" s="1"/>
  <c r="L3869" i="25" s="1"/>
  <c r="L3870" i="25" s="1"/>
  <c r="L3871" i="25" s="1"/>
  <c r="L3872" i="25" s="1"/>
  <c r="L3873" i="25" s="1"/>
  <c r="L3874" i="25" s="1"/>
  <c r="L3875" i="25" s="1"/>
  <c r="L3876" i="25" s="1"/>
  <c r="L3877" i="25" s="1"/>
  <c r="L3878" i="25" s="1"/>
  <c r="L3879" i="25" s="1"/>
  <c r="L3880" i="25" s="1"/>
  <c r="L3881" i="25" s="1"/>
  <c r="L3882" i="25" s="1"/>
  <c r="L3883" i="25" s="1"/>
  <c r="L3884" i="25" s="1"/>
  <c r="L3885" i="25" s="1"/>
  <c r="L3886" i="25" s="1"/>
  <c r="L3887" i="25" s="1"/>
  <c r="L3888" i="25" s="1"/>
  <c r="L3889" i="25" s="1"/>
  <c r="L3890" i="25" s="1"/>
  <c r="L3891" i="25" s="1"/>
  <c r="L3892" i="25" s="1"/>
  <c r="L3893" i="25" s="1"/>
  <c r="L3894" i="25" s="1"/>
  <c r="L3895" i="25" s="1"/>
  <c r="L3896" i="25" s="1"/>
  <c r="L3897" i="25" s="1"/>
  <c r="L3898" i="25" s="1"/>
  <c r="L3899" i="25" s="1"/>
  <c r="L3900" i="25" s="1"/>
  <c r="L3901" i="25" s="1"/>
  <c r="L3902" i="25" s="1"/>
  <c r="L3903" i="25" s="1"/>
  <c r="L3904" i="25" s="1"/>
  <c r="L3905" i="25" s="1"/>
  <c r="L3906" i="25" s="1"/>
  <c r="L3907" i="25" s="1"/>
  <c r="L3908" i="25" s="1"/>
  <c r="L3909" i="25" s="1"/>
  <c r="L3910" i="25" s="1"/>
  <c r="L3911" i="25" s="1"/>
  <c r="L3912" i="25" s="1"/>
  <c r="L3913" i="25" s="1"/>
  <c r="L3914" i="25" s="1"/>
  <c r="L3915" i="25" s="1"/>
  <c r="L3916" i="25" s="1"/>
  <c r="L3917" i="25" s="1"/>
  <c r="L3918" i="25" s="1"/>
  <c r="L3919" i="25" s="1"/>
  <c r="L3920" i="25" s="1"/>
  <c r="L3921" i="25" s="1"/>
  <c r="L3922" i="25" s="1"/>
  <c r="L3923" i="25" s="1"/>
  <c r="L3924" i="25" s="1"/>
  <c r="L3925" i="25" s="1"/>
  <c r="L3926" i="25" s="1"/>
  <c r="L3927" i="25" s="1"/>
  <c r="L3928" i="25" s="1"/>
  <c r="L3929" i="25" s="1"/>
  <c r="L3930" i="25" s="1"/>
  <c r="L3931" i="25" s="1"/>
  <c r="L3932" i="25" s="1"/>
  <c r="L3933" i="25" s="1"/>
  <c r="L3934" i="25" s="1"/>
  <c r="L3935" i="25" s="1"/>
  <c r="L3936" i="25" s="1"/>
  <c r="L3937" i="25" s="1"/>
  <c r="L3938" i="25" s="1"/>
  <c r="L3939" i="25" s="1"/>
  <c r="L3940" i="25" s="1"/>
  <c r="L3941" i="25" s="1"/>
  <c r="L3942" i="25" s="1"/>
  <c r="L3943" i="25" s="1"/>
  <c r="L3944" i="25" s="1"/>
  <c r="L3945" i="25" s="1"/>
  <c r="L3946" i="25" s="1"/>
  <c r="L3947" i="25" s="1"/>
  <c r="L3948" i="25" s="1"/>
  <c r="L3949" i="25" s="1"/>
  <c r="L3950" i="25" s="1"/>
  <c r="L3951" i="25" s="1"/>
  <c r="L3952" i="25" s="1"/>
  <c r="L3953" i="25" s="1"/>
  <c r="L3954" i="25" s="1"/>
  <c r="L3955" i="25" s="1"/>
  <c r="L3956" i="25" s="1"/>
  <c r="L3957" i="25" s="1"/>
  <c r="L3958" i="25" s="1"/>
  <c r="L3959" i="25" s="1"/>
  <c r="L3960" i="25" s="1"/>
  <c r="L3961" i="25" s="1"/>
  <c r="L3962" i="25" s="1"/>
  <c r="L3963" i="25" s="1"/>
  <c r="L3964" i="25" s="1"/>
  <c r="L3965" i="25" s="1"/>
  <c r="L3966" i="25" s="1"/>
  <c r="L3967" i="25" s="1"/>
  <c r="L3968" i="25" s="1"/>
  <c r="L3969" i="25" s="1"/>
  <c r="L3970" i="25" s="1"/>
  <c r="L3971" i="25" s="1"/>
  <c r="L3972" i="25" s="1"/>
  <c r="L3973" i="25" s="1"/>
  <c r="L3974" i="25" s="1"/>
  <c r="L3975" i="25" s="1"/>
  <c r="L3976" i="25" s="1"/>
  <c r="L3977" i="25" s="1"/>
  <c r="L3978" i="25" s="1"/>
  <c r="L3979" i="25" s="1"/>
  <c r="L3980" i="25" s="1"/>
  <c r="L3981" i="25" s="1"/>
  <c r="L3982" i="25" s="1"/>
  <c r="L3983" i="25" s="1"/>
  <c r="L3984" i="25" s="1"/>
  <c r="L3985" i="25" s="1"/>
  <c r="L3986" i="25" s="1"/>
  <c r="L3987" i="25" s="1"/>
  <c r="L3988" i="25" s="1"/>
  <c r="L3989" i="25" s="1"/>
  <c r="L3990" i="25" s="1"/>
  <c r="L3991" i="25" s="1"/>
  <c r="L3992" i="25" s="1"/>
  <c r="L3993" i="25" s="1"/>
  <c r="L3994" i="25" s="1"/>
  <c r="L3995" i="25" s="1"/>
  <c r="L3996" i="25" s="1"/>
  <c r="L3997" i="25" s="1"/>
  <c r="L3998" i="25" s="1"/>
  <c r="L3999" i="25" s="1"/>
  <c r="L4000" i="25" s="1"/>
  <c r="L4001" i="25" s="1"/>
  <c r="L4002" i="25" s="1"/>
  <c r="L4003" i="25" s="1"/>
  <c r="L4004" i="25" s="1"/>
  <c r="L4005" i="25" s="1"/>
  <c r="L4006" i="25" s="1"/>
  <c r="L4007" i="25" s="1"/>
  <c r="L4008" i="25" s="1"/>
  <c r="L4009" i="25" s="1"/>
  <c r="L4010" i="25" s="1"/>
  <c r="L4011" i="25" s="1"/>
  <c r="L4012" i="25" s="1"/>
  <c r="L4013" i="25" s="1"/>
  <c r="L4014" i="25" s="1"/>
  <c r="L4015" i="25" s="1"/>
  <c r="L4016" i="25" s="1"/>
  <c r="L4017" i="25" s="1"/>
  <c r="L4018" i="25" s="1"/>
  <c r="L4019" i="25" s="1"/>
  <c r="L4020" i="25" s="1"/>
  <c r="L4021" i="25" s="1"/>
  <c r="L4022" i="25" s="1"/>
  <c r="L4023" i="25" s="1"/>
  <c r="L4024" i="25" s="1"/>
  <c r="L4025" i="25" s="1"/>
  <c r="L4026" i="25" s="1"/>
  <c r="L4027" i="25" s="1"/>
  <c r="L4028" i="25" s="1"/>
  <c r="L4029" i="25" s="1"/>
  <c r="L4030" i="25" s="1"/>
  <c r="L4031" i="25" s="1"/>
  <c r="L4032" i="25" s="1"/>
  <c r="L4033" i="25" s="1"/>
  <c r="L4034" i="25" s="1"/>
  <c r="L4035" i="25" s="1"/>
  <c r="L4036" i="25" s="1"/>
  <c r="L4037" i="25" s="1"/>
  <c r="L4038" i="25" s="1"/>
  <c r="L4039" i="25" s="1"/>
  <c r="L4040" i="25" s="1"/>
  <c r="L4041" i="25" s="1"/>
  <c r="L4042" i="25" s="1"/>
  <c r="L4043" i="25" s="1"/>
  <c r="L4044" i="25" s="1"/>
  <c r="L4045" i="25" s="1"/>
  <c r="L4046" i="25" s="1"/>
  <c r="L4047" i="25" s="1"/>
  <c r="L4048" i="25" s="1"/>
  <c r="L4049" i="25" s="1"/>
  <c r="L4050" i="25" s="1"/>
  <c r="L4051" i="25" s="1"/>
  <c r="L4052" i="25" s="1"/>
  <c r="L4053" i="25" s="1"/>
  <c r="L4054" i="25" s="1"/>
  <c r="L4055" i="25" s="1"/>
  <c r="L4056" i="25" s="1"/>
  <c r="L4057" i="25" s="1"/>
  <c r="L4058" i="25" s="1"/>
  <c r="M472" i="25"/>
  <c r="M473" i="25" s="1"/>
  <c r="M474" i="25" s="1"/>
  <c r="M475" i="25" s="1"/>
  <c r="M476" i="25" s="1"/>
  <c r="M477" i="25" s="1"/>
  <c r="M478" i="25" s="1"/>
  <c r="M479" i="25" s="1"/>
  <c r="M480" i="25" s="1"/>
  <c r="M481" i="25" s="1"/>
  <c r="M482" i="25" s="1"/>
  <c r="M483" i="25" s="1"/>
  <c r="M484" i="25" s="1"/>
  <c r="M485" i="25" s="1"/>
  <c r="M486" i="25" s="1"/>
  <c r="M487" i="25" s="1"/>
  <c r="M488" i="25" s="1"/>
  <c r="M489" i="25" s="1"/>
  <c r="M490" i="25" s="1"/>
  <c r="M491" i="25" s="1"/>
  <c r="M492" i="25" s="1"/>
  <c r="M493" i="25" s="1"/>
  <c r="M494" i="25" s="1"/>
  <c r="M495" i="25" s="1"/>
  <c r="M496" i="25" s="1"/>
  <c r="M497" i="25" s="1"/>
  <c r="M498" i="25" s="1"/>
  <c r="M499" i="25" s="1"/>
  <c r="M500" i="25" s="1"/>
  <c r="M501" i="25" s="1"/>
  <c r="M502" i="25" s="1"/>
  <c r="M503" i="25" s="1"/>
  <c r="M504" i="25" s="1"/>
  <c r="M505" i="25" s="1"/>
  <c r="M506" i="25" s="1"/>
  <c r="M507" i="25" s="1"/>
  <c r="M508" i="25" s="1"/>
  <c r="M509" i="25" s="1"/>
  <c r="M510" i="25" s="1"/>
  <c r="M511" i="25" s="1"/>
  <c r="M512" i="25" s="1"/>
  <c r="M513" i="25" s="1"/>
  <c r="M514" i="25" s="1"/>
  <c r="M515" i="25" s="1"/>
  <c r="M516" i="25" s="1"/>
  <c r="M517" i="25" s="1"/>
  <c r="M518" i="25" s="1"/>
  <c r="M519" i="25" s="1"/>
  <c r="M520" i="25" s="1"/>
  <c r="M521" i="25" s="1"/>
  <c r="M522" i="25" s="1"/>
  <c r="M523" i="25" s="1"/>
  <c r="M524" i="25" s="1"/>
  <c r="M525" i="25" s="1"/>
  <c r="M526" i="25" s="1"/>
  <c r="M527" i="25" s="1"/>
  <c r="M528" i="25" s="1"/>
  <c r="M529" i="25" s="1"/>
  <c r="M530" i="25" s="1"/>
  <c r="M531" i="25" s="1"/>
  <c r="M532" i="25" s="1"/>
  <c r="M533" i="25" s="1"/>
  <c r="M534" i="25" s="1"/>
  <c r="M535" i="25" s="1"/>
  <c r="M536" i="25" s="1"/>
  <c r="M537" i="25" s="1"/>
  <c r="M538" i="25" s="1"/>
  <c r="M539" i="25" s="1"/>
  <c r="M540" i="25" s="1"/>
  <c r="M541" i="25" s="1"/>
  <c r="M542" i="25" s="1"/>
  <c r="M543" i="25" s="1"/>
  <c r="M544" i="25" s="1"/>
  <c r="M545" i="25" s="1"/>
  <c r="M546" i="25" s="1"/>
  <c r="M547" i="25" s="1"/>
  <c r="M548" i="25" s="1"/>
  <c r="M549" i="25" s="1"/>
  <c r="M550" i="25" s="1"/>
  <c r="M551" i="25" s="1"/>
  <c r="M552" i="25" s="1"/>
  <c r="M553" i="25" s="1"/>
  <c r="M554" i="25" s="1"/>
  <c r="M555" i="25" s="1"/>
  <c r="M556" i="25" s="1"/>
  <c r="M557" i="25" s="1"/>
  <c r="M558" i="25" s="1"/>
  <c r="M559" i="25" s="1"/>
  <c r="M560" i="25" s="1"/>
  <c r="M561" i="25" s="1"/>
  <c r="M562" i="25" s="1"/>
  <c r="M563" i="25" s="1"/>
  <c r="M564" i="25" s="1"/>
  <c r="M565" i="25" s="1"/>
  <c r="M566" i="25" s="1"/>
  <c r="M567" i="25" s="1"/>
  <c r="M568" i="25" s="1"/>
  <c r="M569" i="25" s="1"/>
  <c r="M570" i="25" s="1"/>
  <c r="M571" i="25" s="1"/>
  <c r="M572" i="25" s="1"/>
  <c r="M573" i="25" s="1"/>
  <c r="M574" i="25" s="1"/>
  <c r="M575" i="25" s="1"/>
  <c r="M576" i="25" s="1"/>
  <c r="M577" i="25" s="1"/>
  <c r="M578" i="25" s="1"/>
  <c r="M579" i="25" s="1"/>
  <c r="M580" i="25" s="1"/>
  <c r="M581" i="25" s="1"/>
  <c r="M582" i="25" s="1"/>
  <c r="M583" i="25" s="1"/>
  <c r="M584" i="25" s="1"/>
  <c r="M585" i="25" s="1"/>
  <c r="M586" i="25" s="1"/>
  <c r="M587" i="25" s="1"/>
  <c r="M588" i="25" s="1"/>
  <c r="M589" i="25" s="1"/>
  <c r="M590" i="25" s="1"/>
  <c r="M591" i="25" s="1"/>
  <c r="M592" i="25" s="1"/>
  <c r="M593" i="25" s="1"/>
  <c r="M594" i="25" s="1"/>
  <c r="M595" i="25" s="1"/>
  <c r="M596" i="25" s="1"/>
  <c r="M597" i="25" s="1"/>
  <c r="M598" i="25" s="1"/>
  <c r="M599" i="25" s="1"/>
  <c r="M600" i="25" s="1"/>
  <c r="M601" i="25" s="1"/>
  <c r="M602" i="25" s="1"/>
  <c r="M603" i="25" s="1"/>
  <c r="M604" i="25" s="1"/>
  <c r="M605" i="25" s="1"/>
  <c r="M606" i="25" s="1"/>
  <c r="M607" i="25" s="1"/>
  <c r="M608" i="25" s="1"/>
  <c r="M609" i="25" s="1"/>
  <c r="M610" i="25" s="1"/>
  <c r="M611" i="25" s="1"/>
  <c r="M612" i="25" s="1"/>
  <c r="M613" i="25" s="1"/>
  <c r="M614" i="25" s="1"/>
  <c r="M615" i="25" s="1"/>
  <c r="M616" i="25" s="1"/>
  <c r="M617" i="25" s="1"/>
  <c r="M618" i="25" s="1"/>
  <c r="M619" i="25" s="1"/>
  <c r="M620" i="25" s="1"/>
  <c r="M621" i="25" s="1"/>
  <c r="M622" i="25" s="1"/>
  <c r="M623" i="25" s="1"/>
  <c r="M624" i="25" s="1"/>
  <c r="M625" i="25" s="1"/>
  <c r="M626" i="25" s="1"/>
  <c r="M627" i="25" s="1"/>
  <c r="M628" i="25" s="1"/>
  <c r="M629" i="25" s="1"/>
  <c r="M630" i="25" s="1"/>
  <c r="M631" i="25" s="1"/>
  <c r="M632" i="25" s="1"/>
  <c r="M633" i="25" s="1"/>
  <c r="M634" i="25" s="1"/>
  <c r="M635" i="25" s="1"/>
  <c r="M636" i="25" s="1"/>
  <c r="M637" i="25" s="1"/>
  <c r="M638" i="25" s="1"/>
  <c r="M639" i="25" s="1"/>
  <c r="M640" i="25" s="1"/>
  <c r="M641" i="25" s="1"/>
  <c r="M642" i="25" s="1"/>
  <c r="M643" i="25" s="1"/>
  <c r="M644" i="25" s="1"/>
  <c r="M645" i="25" s="1"/>
  <c r="M646" i="25" s="1"/>
  <c r="M647" i="25" s="1"/>
  <c r="M648" i="25" s="1"/>
  <c r="M649" i="25" s="1"/>
  <c r="M650" i="25" s="1"/>
  <c r="M651" i="25" s="1"/>
  <c r="M652" i="25" s="1"/>
  <c r="M653" i="25" s="1"/>
  <c r="M654" i="25" s="1"/>
  <c r="M655" i="25" s="1"/>
  <c r="M656" i="25" s="1"/>
  <c r="M657" i="25" s="1"/>
  <c r="M658" i="25" s="1"/>
  <c r="M659" i="25" s="1"/>
  <c r="M660" i="25" s="1"/>
  <c r="M661" i="25" s="1"/>
  <c r="M662" i="25" s="1"/>
  <c r="M663" i="25" s="1"/>
  <c r="M664" i="25" s="1"/>
  <c r="M665" i="25" s="1"/>
  <c r="M666" i="25" s="1"/>
  <c r="M667" i="25" s="1"/>
  <c r="M668" i="25" s="1"/>
  <c r="M669" i="25" s="1"/>
  <c r="M670" i="25" s="1"/>
  <c r="M671" i="25" s="1"/>
  <c r="M672" i="25" s="1"/>
  <c r="M673" i="25" s="1"/>
  <c r="M674" i="25" s="1"/>
  <c r="M675" i="25" s="1"/>
  <c r="M676" i="25" s="1"/>
  <c r="M677" i="25" s="1"/>
  <c r="M678" i="25" s="1"/>
  <c r="M679" i="25" s="1"/>
  <c r="M680" i="25" s="1"/>
  <c r="M681" i="25" s="1"/>
  <c r="M682" i="25" s="1"/>
  <c r="M683" i="25" s="1"/>
  <c r="M684" i="25" s="1"/>
  <c r="M685" i="25" s="1"/>
  <c r="M686" i="25" s="1"/>
  <c r="M687" i="25" s="1"/>
  <c r="M688" i="25" s="1"/>
  <c r="M689" i="25" s="1"/>
  <c r="M690" i="25" s="1"/>
  <c r="M691" i="25" s="1"/>
  <c r="M692" i="25" s="1"/>
  <c r="M693" i="25" s="1"/>
  <c r="M694" i="25" s="1"/>
  <c r="M695" i="25" s="1"/>
  <c r="M696" i="25" s="1"/>
  <c r="M697" i="25" s="1"/>
  <c r="M698" i="25" s="1"/>
  <c r="M699" i="25" s="1"/>
  <c r="M700" i="25" s="1"/>
  <c r="M701" i="25" s="1"/>
  <c r="M702" i="25" s="1"/>
  <c r="M703" i="25" s="1"/>
  <c r="M704" i="25" s="1"/>
  <c r="M705" i="25" s="1"/>
  <c r="M706" i="25" s="1"/>
  <c r="M707" i="25" s="1"/>
  <c r="M708" i="25" s="1"/>
  <c r="M709" i="25" s="1"/>
  <c r="M710" i="25" s="1"/>
  <c r="M711" i="25" s="1"/>
  <c r="M712" i="25" s="1"/>
  <c r="M713" i="25" s="1"/>
  <c r="M714" i="25" s="1"/>
  <c r="M715" i="25" s="1"/>
  <c r="M716" i="25" s="1"/>
  <c r="M717" i="25" s="1"/>
  <c r="M718" i="25" s="1"/>
  <c r="M719" i="25" s="1"/>
  <c r="M720" i="25" s="1"/>
  <c r="M721" i="25" s="1"/>
  <c r="M722" i="25" s="1"/>
  <c r="M723" i="25" s="1"/>
  <c r="M724" i="25" s="1"/>
  <c r="M725" i="25" s="1"/>
  <c r="M726" i="25" s="1"/>
  <c r="M727" i="25" s="1"/>
  <c r="M728" i="25" s="1"/>
  <c r="M729" i="25" s="1"/>
  <c r="M730" i="25" s="1"/>
  <c r="M731" i="25" s="1"/>
  <c r="M732" i="25" s="1"/>
  <c r="M733" i="25" s="1"/>
  <c r="M734" i="25" s="1"/>
  <c r="M735" i="25" s="1"/>
  <c r="M736" i="25" s="1"/>
  <c r="M737" i="25" s="1"/>
  <c r="M738" i="25" s="1"/>
  <c r="M739" i="25" s="1"/>
  <c r="M740" i="25" s="1"/>
  <c r="M741" i="25" s="1"/>
  <c r="M742" i="25" s="1"/>
  <c r="M743" i="25" s="1"/>
  <c r="M744" i="25" s="1"/>
  <c r="M745" i="25" s="1"/>
  <c r="M746" i="25" s="1"/>
  <c r="M747" i="25" s="1"/>
  <c r="M748" i="25" s="1"/>
  <c r="M749" i="25" s="1"/>
  <c r="M750" i="25" s="1"/>
  <c r="M751" i="25" s="1"/>
  <c r="M752" i="25" s="1"/>
  <c r="M753" i="25" s="1"/>
  <c r="M754" i="25" s="1"/>
  <c r="M755" i="25" s="1"/>
  <c r="M756" i="25" s="1"/>
  <c r="M757" i="25" s="1"/>
  <c r="M758" i="25" s="1"/>
  <c r="M759" i="25" s="1"/>
  <c r="M760" i="25" s="1"/>
  <c r="M761" i="25" s="1"/>
  <c r="M762" i="25" s="1"/>
  <c r="M763" i="25" s="1"/>
  <c r="M764" i="25" s="1"/>
  <c r="M765" i="25" s="1"/>
  <c r="M766" i="25" s="1"/>
  <c r="M767" i="25" s="1"/>
  <c r="M768" i="25" s="1"/>
  <c r="M769" i="25" s="1"/>
  <c r="M770" i="25" s="1"/>
  <c r="M771" i="25" s="1"/>
  <c r="M772" i="25" s="1"/>
  <c r="M773" i="25" s="1"/>
  <c r="M774" i="25" s="1"/>
  <c r="M775" i="25" s="1"/>
  <c r="M776" i="25" s="1"/>
  <c r="M777" i="25" s="1"/>
  <c r="M778" i="25" s="1"/>
  <c r="M779" i="25" s="1"/>
  <c r="M780" i="25" s="1"/>
  <c r="M781" i="25" s="1"/>
  <c r="M782" i="25" s="1"/>
  <c r="M783" i="25" s="1"/>
  <c r="M784" i="25" s="1"/>
  <c r="M785" i="25" s="1"/>
  <c r="M786" i="25" s="1"/>
  <c r="M787" i="25" s="1"/>
  <c r="M788" i="25" s="1"/>
  <c r="M789" i="25" s="1"/>
  <c r="M790" i="25" s="1"/>
  <c r="M791" i="25" s="1"/>
  <c r="M792" i="25" s="1"/>
  <c r="M793" i="25" s="1"/>
  <c r="M794" i="25" s="1"/>
  <c r="M795" i="25" s="1"/>
  <c r="M796" i="25" s="1"/>
  <c r="M797" i="25" s="1"/>
  <c r="M798" i="25" s="1"/>
  <c r="M799" i="25" s="1"/>
  <c r="M800" i="25" s="1"/>
  <c r="M801" i="25" s="1"/>
  <c r="M802" i="25" s="1"/>
  <c r="M803" i="25" s="1"/>
  <c r="M804" i="25" s="1"/>
  <c r="M805" i="25" s="1"/>
  <c r="M806" i="25" s="1"/>
  <c r="M807" i="25" s="1"/>
  <c r="M808" i="25" s="1"/>
  <c r="M809" i="25" s="1"/>
  <c r="M810" i="25" s="1"/>
  <c r="M811" i="25" s="1"/>
  <c r="M812" i="25" s="1"/>
  <c r="M813" i="25" s="1"/>
  <c r="M814" i="25" s="1"/>
  <c r="M815" i="25" s="1"/>
  <c r="M816" i="25" s="1"/>
  <c r="M817" i="25" s="1"/>
  <c r="M818" i="25" s="1"/>
  <c r="M819" i="25" s="1"/>
  <c r="M820" i="25" s="1"/>
  <c r="M821" i="25" s="1"/>
  <c r="M822" i="25" s="1"/>
  <c r="M823" i="25" s="1"/>
  <c r="M824" i="25" s="1"/>
  <c r="M825" i="25" s="1"/>
  <c r="M826" i="25" s="1"/>
  <c r="M827" i="25" s="1"/>
  <c r="M828" i="25" s="1"/>
  <c r="M829" i="25" s="1"/>
  <c r="M830" i="25" s="1"/>
  <c r="M831" i="25" s="1"/>
  <c r="M832" i="25" s="1"/>
  <c r="M833" i="25" s="1"/>
  <c r="M834" i="25" s="1"/>
  <c r="M835" i="25" s="1"/>
  <c r="M836" i="25" s="1"/>
  <c r="M837" i="25" s="1"/>
  <c r="M838" i="25" s="1"/>
  <c r="M839" i="25" s="1"/>
  <c r="M840" i="25" s="1"/>
  <c r="M841" i="25" s="1"/>
  <c r="M842" i="25" s="1"/>
  <c r="M843" i="25" s="1"/>
  <c r="M844" i="25" s="1"/>
  <c r="M845" i="25" s="1"/>
  <c r="M846" i="25" s="1"/>
  <c r="M847" i="25" s="1"/>
  <c r="M848" i="25" s="1"/>
  <c r="M849" i="25" s="1"/>
  <c r="M850" i="25" s="1"/>
  <c r="M851" i="25" s="1"/>
  <c r="M852" i="25" s="1"/>
  <c r="M853" i="25" s="1"/>
  <c r="M854" i="25" s="1"/>
  <c r="M855" i="25" s="1"/>
  <c r="M856" i="25" s="1"/>
  <c r="M857" i="25" s="1"/>
  <c r="M858" i="25" s="1"/>
  <c r="M859" i="25" s="1"/>
  <c r="M860" i="25" s="1"/>
  <c r="M861" i="25" s="1"/>
  <c r="M862" i="25" s="1"/>
  <c r="M863" i="25" s="1"/>
  <c r="M864" i="25" s="1"/>
  <c r="M865" i="25" s="1"/>
  <c r="M866" i="25" s="1"/>
  <c r="M867" i="25" s="1"/>
  <c r="M868" i="25" s="1"/>
  <c r="M869" i="25" s="1"/>
  <c r="M870" i="25" s="1"/>
  <c r="M871" i="25" s="1"/>
  <c r="M872" i="25" s="1"/>
  <c r="M873" i="25" s="1"/>
  <c r="M874" i="25" s="1"/>
  <c r="M875" i="25" s="1"/>
  <c r="M876" i="25" s="1"/>
  <c r="M877" i="25" s="1"/>
  <c r="M878" i="25" s="1"/>
  <c r="M879" i="25" s="1"/>
  <c r="M880" i="25" s="1"/>
  <c r="M881" i="25" s="1"/>
  <c r="M882" i="25" s="1"/>
  <c r="M883" i="25" s="1"/>
  <c r="M884" i="25" s="1"/>
  <c r="M885" i="25" s="1"/>
  <c r="M886" i="25" s="1"/>
  <c r="M887" i="25" s="1"/>
  <c r="M888" i="25" s="1"/>
  <c r="M889" i="25" s="1"/>
  <c r="M890" i="25" s="1"/>
  <c r="M891" i="25" s="1"/>
  <c r="M892" i="25" s="1"/>
  <c r="M893" i="25" s="1"/>
  <c r="M894" i="25" s="1"/>
  <c r="M895" i="25" s="1"/>
  <c r="M896" i="25" s="1"/>
  <c r="M897" i="25" s="1"/>
  <c r="M898" i="25" s="1"/>
  <c r="M899" i="25" s="1"/>
  <c r="M900" i="25" s="1"/>
  <c r="M901" i="25" s="1"/>
  <c r="M902" i="25" s="1"/>
  <c r="M903" i="25" s="1"/>
  <c r="M904" i="25" s="1"/>
  <c r="M905" i="25" s="1"/>
  <c r="M906" i="25" s="1"/>
  <c r="M907" i="25" s="1"/>
  <c r="M908" i="25" s="1"/>
  <c r="M909" i="25" s="1"/>
  <c r="M910" i="25" s="1"/>
  <c r="M911" i="25" s="1"/>
  <c r="M912" i="25" s="1"/>
  <c r="M913" i="25" s="1"/>
  <c r="M914" i="25" s="1"/>
  <c r="M915" i="25" s="1"/>
  <c r="M916" i="25" s="1"/>
  <c r="M917" i="25" s="1"/>
  <c r="M918" i="25" s="1"/>
  <c r="M919" i="25" s="1"/>
  <c r="M920" i="25" s="1"/>
  <c r="M921" i="25" s="1"/>
  <c r="M922" i="25" s="1"/>
  <c r="M923" i="25" s="1"/>
  <c r="M924" i="25" s="1"/>
  <c r="M925" i="25" s="1"/>
  <c r="M926" i="25" s="1"/>
  <c r="M927" i="25" s="1"/>
  <c r="M928" i="25" s="1"/>
  <c r="M929" i="25" s="1"/>
  <c r="M930" i="25" s="1"/>
  <c r="M931" i="25" s="1"/>
  <c r="M932" i="25" s="1"/>
  <c r="M933" i="25" s="1"/>
  <c r="M934" i="25" s="1"/>
  <c r="M935" i="25" s="1"/>
  <c r="M936" i="25" s="1"/>
  <c r="M937" i="25" s="1"/>
  <c r="M938" i="25" s="1"/>
  <c r="M939" i="25" s="1"/>
  <c r="M940" i="25" s="1"/>
  <c r="M941" i="25" s="1"/>
  <c r="M942" i="25" s="1"/>
  <c r="M943" i="25" s="1"/>
  <c r="M944" i="25" s="1"/>
  <c r="M945" i="25" s="1"/>
  <c r="M946" i="25" s="1"/>
  <c r="M947" i="25" s="1"/>
  <c r="M948" i="25" s="1"/>
  <c r="M949" i="25" s="1"/>
  <c r="M950" i="25" s="1"/>
  <c r="M951" i="25" s="1"/>
  <c r="M952" i="25" s="1"/>
  <c r="M953" i="25" s="1"/>
  <c r="M954" i="25" s="1"/>
  <c r="M955" i="25" s="1"/>
  <c r="M956" i="25" s="1"/>
  <c r="M957" i="25" s="1"/>
  <c r="M958" i="25" s="1"/>
  <c r="M959" i="25" s="1"/>
  <c r="M960" i="25" s="1"/>
  <c r="M961" i="25" s="1"/>
  <c r="M962" i="25" s="1"/>
  <c r="M963" i="25" s="1"/>
  <c r="M964" i="25" s="1"/>
  <c r="M965" i="25" s="1"/>
  <c r="M966" i="25" s="1"/>
  <c r="M967" i="25" s="1"/>
  <c r="M968" i="25" s="1"/>
  <c r="M969" i="25" s="1"/>
  <c r="M970" i="25" s="1"/>
  <c r="M971" i="25" s="1"/>
  <c r="M972" i="25" s="1"/>
  <c r="M973" i="25" s="1"/>
  <c r="M974" i="25" s="1"/>
  <c r="M975" i="25" s="1"/>
  <c r="M976" i="25" s="1"/>
  <c r="M977" i="25" s="1"/>
  <c r="M978" i="25" s="1"/>
  <c r="M979" i="25" s="1"/>
  <c r="M980" i="25" s="1"/>
  <c r="M981" i="25" s="1"/>
  <c r="M982" i="25" s="1"/>
  <c r="M983" i="25" s="1"/>
  <c r="M984" i="25" s="1"/>
  <c r="M985" i="25" s="1"/>
  <c r="M986" i="25" s="1"/>
  <c r="M987" i="25" s="1"/>
  <c r="M988" i="25" s="1"/>
  <c r="M989" i="25" s="1"/>
  <c r="M990" i="25" s="1"/>
  <c r="M991" i="25" s="1"/>
  <c r="M992" i="25" s="1"/>
  <c r="M993" i="25" s="1"/>
  <c r="M994" i="25" s="1"/>
  <c r="M995" i="25" s="1"/>
  <c r="M996" i="25" s="1"/>
  <c r="M997" i="25" s="1"/>
  <c r="M998" i="25" s="1"/>
  <c r="M999" i="25" s="1"/>
  <c r="M1000" i="25" s="1"/>
  <c r="M1001" i="25" s="1"/>
  <c r="M1002" i="25" s="1"/>
  <c r="M1003" i="25" s="1"/>
  <c r="M1004" i="25" s="1"/>
  <c r="M1005" i="25" s="1"/>
  <c r="M1006" i="25" s="1"/>
  <c r="M1007" i="25" s="1"/>
  <c r="M1008" i="25" s="1"/>
  <c r="M1009" i="25" s="1"/>
  <c r="M1010" i="25" s="1"/>
  <c r="M1011" i="25" s="1"/>
  <c r="M1012" i="25" s="1"/>
  <c r="M1013" i="25" s="1"/>
  <c r="M1014" i="25" s="1"/>
  <c r="M1015" i="25" s="1"/>
  <c r="M1016" i="25" s="1"/>
  <c r="M1017" i="25" s="1"/>
  <c r="M1018" i="25" s="1"/>
  <c r="M1019" i="25" s="1"/>
  <c r="M1020" i="25" s="1"/>
  <c r="M1021" i="25" s="1"/>
  <c r="M1022" i="25" s="1"/>
  <c r="M1023" i="25" s="1"/>
  <c r="M1024" i="25" s="1"/>
  <c r="M1025" i="25" s="1"/>
  <c r="M1026" i="25" s="1"/>
  <c r="M1027" i="25" s="1"/>
  <c r="M1028" i="25" s="1"/>
  <c r="M1029" i="25" s="1"/>
  <c r="M1030" i="25" s="1"/>
  <c r="M1031" i="25" s="1"/>
  <c r="M1032" i="25" s="1"/>
  <c r="M1033" i="25" s="1"/>
  <c r="M1034" i="25" s="1"/>
  <c r="M1035" i="25" s="1"/>
  <c r="M1036" i="25" s="1"/>
  <c r="M1037" i="25" s="1"/>
  <c r="M1038" i="25" s="1"/>
  <c r="M1039" i="25" s="1"/>
  <c r="M1040" i="25" s="1"/>
  <c r="M1041" i="25" s="1"/>
  <c r="M1042" i="25" s="1"/>
  <c r="M1043" i="25" s="1"/>
  <c r="M1044" i="25" s="1"/>
  <c r="M1045" i="25" s="1"/>
  <c r="M1046" i="25" s="1"/>
  <c r="M1047" i="25" s="1"/>
  <c r="M1048" i="25" s="1"/>
  <c r="M1049" i="25" s="1"/>
  <c r="M1050" i="25" s="1"/>
  <c r="M1051" i="25" s="1"/>
  <c r="M1052" i="25" s="1"/>
  <c r="M1053" i="25" s="1"/>
  <c r="M1054" i="25" s="1"/>
  <c r="M1055" i="25" s="1"/>
  <c r="M1056" i="25" s="1"/>
  <c r="M1057" i="25" s="1"/>
  <c r="M1058" i="25" s="1"/>
  <c r="M1059" i="25" s="1"/>
  <c r="M1060" i="25" s="1"/>
  <c r="M1061" i="25" s="1"/>
  <c r="M1062" i="25" s="1"/>
  <c r="M1063" i="25" s="1"/>
  <c r="M1064" i="25" s="1"/>
  <c r="M1065" i="25" s="1"/>
  <c r="M1066" i="25" s="1"/>
  <c r="M1067" i="25" s="1"/>
  <c r="M1068" i="25" s="1"/>
  <c r="M1069" i="25" s="1"/>
  <c r="M1070" i="25" s="1"/>
  <c r="M1071" i="25" s="1"/>
  <c r="M1072" i="25" s="1"/>
  <c r="M1073" i="25" s="1"/>
  <c r="M1074" i="25" s="1"/>
  <c r="M1075" i="25" s="1"/>
  <c r="M1076" i="25" s="1"/>
  <c r="M1077" i="25" s="1"/>
  <c r="M1078" i="25" s="1"/>
  <c r="M1079" i="25" s="1"/>
  <c r="M1080" i="25" s="1"/>
  <c r="M1081" i="25" s="1"/>
  <c r="M1082" i="25" s="1"/>
  <c r="M1083" i="25" s="1"/>
  <c r="M1084" i="25" s="1"/>
  <c r="M1085" i="25" s="1"/>
  <c r="M1086" i="25" s="1"/>
  <c r="M1087" i="25" s="1"/>
  <c r="M1088" i="25" s="1"/>
  <c r="M1089" i="25" s="1"/>
  <c r="M1090" i="25" s="1"/>
  <c r="M1091" i="25" s="1"/>
  <c r="M1092" i="25" s="1"/>
  <c r="M1093" i="25" s="1"/>
  <c r="M1094" i="25" s="1"/>
  <c r="M1095" i="25" s="1"/>
  <c r="M1096" i="25" s="1"/>
  <c r="M1097" i="25" s="1"/>
  <c r="M1098" i="25" s="1"/>
  <c r="M1099" i="25" s="1"/>
  <c r="M1100" i="25" s="1"/>
  <c r="M1101" i="25" s="1"/>
  <c r="M1102" i="25" s="1"/>
  <c r="M1103" i="25" s="1"/>
  <c r="M1104" i="25" s="1"/>
  <c r="M1105" i="25" s="1"/>
  <c r="M1106" i="25" s="1"/>
  <c r="M1107" i="25" s="1"/>
  <c r="M1108" i="25" s="1"/>
  <c r="M1109" i="25" s="1"/>
  <c r="M1110" i="25" s="1"/>
  <c r="M1111" i="25" s="1"/>
  <c r="M1112" i="25" s="1"/>
  <c r="M1113" i="25" s="1"/>
  <c r="M1114" i="25" s="1"/>
  <c r="M1115" i="25" s="1"/>
  <c r="M1116" i="25" s="1"/>
  <c r="M1117" i="25" s="1"/>
  <c r="M1118" i="25" s="1"/>
  <c r="M1119" i="25" s="1"/>
  <c r="M1120" i="25" s="1"/>
  <c r="M1121" i="25" s="1"/>
  <c r="M1122" i="25" s="1"/>
  <c r="M1123" i="25" s="1"/>
  <c r="M1124" i="25" s="1"/>
  <c r="M1125" i="25" s="1"/>
  <c r="M1126" i="25" s="1"/>
  <c r="M1127" i="25" s="1"/>
  <c r="M1128" i="25" s="1"/>
  <c r="M1129" i="25" s="1"/>
  <c r="M1130" i="25" s="1"/>
  <c r="M1131" i="25" s="1"/>
  <c r="M1132" i="25" s="1"/>
  <c r="M1133" i="25" s="1"/>
  <c r="M1134" i="25" s="1"/>
  <c r="M1135" i="25" s="1"/>
  <c r="M1136" i="25" s="1"/>
  <c r="M1137" i="25" s="1"/>
  <c r="M1138" i="25" s="1"/>
  <c r="M1139" i="25" s="1"/>
  <c r="M1140" i="25" s="1"/>
  <c r="M1141" i="25" s="1"/>
  <c r="M1142" i="25" s="1"/>
  <c r="M1143" i="25" s="1"/>
  <c r="M1144" i="25" s="1"/>
  <c r="M1145" i="25" s="1"/>
  <c r="M1146" i="25" s="1"/>
  <c r="M1147" i="25" s="1"/>
  <c r="M1148" i="25" s="1"/>
  <c r="M1149" i="25" s="1"/>
  <c r="M1150" i="25" s="1"/>
  <c r="M1151" i="25" s="1"/>
  <c r="M1152" i="25" s="1"/>
  <c r="M1153" i="25" s="1"/>
  <c r="M1154" i="25" s="1"/>
  <c r="M1155" i="25" s="1"/>
  <c r="M1156" i="25" s="1"/>
  <c r="M1157" i="25" s="1"/>
  <c r="M1158" i="25" s="1"/>
  <c r="M1159" i="25" s="1"/>
  <c r="M1160" i="25" s="1"/>
  <c r="M1161" i="25" s="1"/>
  <c r="M1162" i="25" s="1"/>
  <c r="M1163" i="25" s="1"/>
  <c r="M1164" i="25" s="1"/>
  <c r="M1165" i="25" s="1"/>
  <c r="M1166" i="25" s="1"/>
  <c r="M1167" i="25" s="1"/>
  <c r="M1168" i="25" s="1"/>
  <c r="M1169" i="25" s="1"/>
  <c r="M1170" i="25" s="1"/>
  <c r="M1171" i="25" s="1"/>
  <c r="M1172" i="25" s="1"/>
  <c r="M1173" i="25" s="1"/>
  <c r="M1174" i="25" s="1"/>
  <c r="M1175" i="25" s="1"/>
  <c r="M1176" i="25" s="1"/>
  <c r="M1177" i="25" s="1"/>
  <c r="M1178" i="25" s="1"/>
  <c r="M1179" i="25" s="1"/>
  <c r="M1180" i="25" s="1"/>
  <c r="M1181" i="25" s="1"/>
  <c r="M1182" i="25" s="1"/>
  <c r="M1183" i="25" s="1"/>
  <c r="M1184" i="25" s="1"/>
  <c r="M1185" i="25" s="1"/>
  <c r="M1186" i="25" s="1"/>
  <c r="M1187" i="25" s="1"/>
  <c r="M1188" i="25" s="1"/>
  <c r="M1189" i="25" s="1"/>
  <c r="M1190" i="25" s="1"/>
  <c r="M1191" i="25" s="1"/>
  <c r="M1192" i="25" s="1"/>
  <c r="M1193" i="25" s="1"/>
  <c r="M1194" i="25" s="1"/>
  <c r="M1195" i="25" s="1"/>
  <c r="M1196" i="25" s="1"/>
  <c r="M1197" i="25" s="1"/>
  <c r="M1198" i="25" s="1"/>
  <c r="M1199" i="25" s="1"/>
  <c r="M1200" i="25" s="1"/>
  <c r="M1201" i="25" s="1"/>
  <c r="M1202" i="25" s="1"/>
  <c r="M1203" i="25" s="1"/>
  <c r="M1204" i="25" s="1"/>
  <c r="M1205" i="25" s="1"/>
  <c r="M1206" i="25" s="1"/>
  <c r="M1207" i="25" s="1"/>
  <c r="M1208" i="25" s="1"/>
  <c r="M1209" i="25" s="1"/>
  <c r="M1210" i="25" s="1"/>
  <c r="M1211" i="25" s="1"/>
  <c r="M1212" i="25" s="1"/>
  <c r="M1213" i="25" s="1"/>
  <c r="M1214" i="25" s="1"/>
  <c r="M1215" i="25" s="1"/>
  <c r="M1216" i="25" s="1"/>
  <c r="M1217" i="25" s="1"/>
  <c r="M1218" i="25" s="1"/>
  <c r="M1219" i="25" s="1"/>
  <c r="M1220" i="25" s="1"/>
  <c r="M1221" i="25" s="1"/>
  <c r="M1222" i="25" s="1"/>
  <c r="M1223" i="25" s="1"/>
  <c r="M1224" i="25" s="1"/>
  <c r="M1225" i="25" s="1"/>
  <c r="M1226" i="25" s="1"/>
  <c r="M1227" i="25" s="1"/>
  <c r="M1228" i="25" s="1"/>
  <c r="M1229" i="25" s="1"/>
  <c r="M1230" i="25" s="1"/>
  <c r="M1231" i="25" s="1"/>
  <c r="M1232" i="25" s="1"/>
  <c r="M1233" i="25" s="1"/>
  <c r="M1234" i="25" s="1"/>
  <c r="M1235" i="25" s="1"/>
  <c r="M1236" i="25" s="1"/>
  <c r="M1237" i="25" s="1"/>
  <c r="M1238" i="25" s="1"/>
  <c r="M1239" i="25" s="1"/>
  <c r="M1240" i="25" s="1"/>
  <c r="M1241" i="25" s="1"/>
  <c r="M1242" i="25" s="1"/>
  <c r="M1243" i="25" s="1"/>
  <c r="M1244" i="25" s="1"/>
  <c r="M1245" i="25" s="1"/>
  <c r="M1246" i="25" s="1"/>
  <c r="M1247" i="25" s="1"/>
  <c r="M1248" i="25" s="1"/>
  <c r="M1249" i="25" s="1"/>
  <c r="M1250" i="25" s="1"/>
  <c r="M1251" i="25" s="1"/>
  <c r="M1252" i="25" s="1"/>
  <c r="M1253" i="25" s="1"/>
  <c r="M1254" i="25" s="1"/>
  <c r="M1255" i="25" s="1"/>
  <c r="M1256" i="25" s="1"/>
  <c r="M1257" i="25" s="1"/>
  <c r="M1258" i="25" s="1"/>
  <c r="M1259" i="25" s="1"/>
  <c r="M1260" i="25" s="1"/>
  <c r="M1261" i="25" s="1"/>
  <c r="M1262" i="25" s="1"/>
  <c r="M1263" i="25" s="1"/>
  <c r="M1264" i="25" s="1"/>
  <c r="M1265" i="25" s="1"/>
  <c r="M1266" i="25" s="1"/>
  <c r="M1267" i="25" s="1"/>
  <c r="M1268" i="25" s="1"/>
  <c r="M1269" i="25" s="1"/>
  <c r="M1270" i="25" s="1"/>
  <c r="M1271" i="25" s="1"/>
  <c r="M1272" i="25" s="1"/>
  <c r="M1273" i="25" s="1"/>
  <c r="M1274" i="25" s="1"/>
  <c r="M1275" i="25" s="1"/>
  <c r="M1276" i="25" s="1"/>
  <c r="M1277" i="25" s="1"/>
  <c r="M1278" i="25" s="1"/>
  <c r="M1279" i="25" s="1"/>
  <c r="M1280" i="25" s="1"/>
  <c r="M1281" i="25" s="1"/>
  <c r="M1282" i="25" s="1"/>
  <c r="M1283" i="25" s="1"/>
  <c r="M1284" i="25" s="1"/>
  <c r="M1285" i="25" s="1"/>
  <c r="M1286" i="25" s="1"/>
  <c r="M1287" i="25" s="1"/>
  <c r="M1288" i="25" s="1"/>
  <c r="M1289" i="25" s="1"/>
  <c r="M1290" i="25" s="1"/>
  <c r="M1291" i="25" s="1"/>
  <c r="M1292" i="25" s="1"/>
  <c r="M1293" i="25" s="1"/>
  <c r="M1294" i="25" s="1"/>
  <c r="M1295" i="25" s="1"/>
  <c r="M1296" i="25" s="1"/>
  <c r="M1297" i="25" s="1"/>
  <c r="M1298" i="25" s="1"/>
  <c r="M1299" i="25" s="1"/>
  <c r="M1300" i="25" s="1"/>
  <c r="M1301" i="25" s="1"/>
  <c r="M1302" i="25" s="1"/>
  <c r="M1303" i="25" s="1"/>
  <c r="M1304" i="25" s="1"/>
  <c r="M1305" i="25" s="1"/>
  <c r="M1306" i="25" s="1"/>
  <c r="M1307" i="25" s="1"/>
  <c r="M1308" i="25" s="1"/>
  <c r="M1309" i="25" s="1"/>
  <c r="M1310" i="25" s="1"/>
  <c r="M1311" i="25" s="1"/>
  <c r="M1312" i="25" s="1"/>
  <c r="M1313" i="25" s="1"/>
  <c r="M1314" i="25" s="1"/>
  <c r="M1315" i="25" s="1"/>
  <c r="M1316" i="25" s="1"/>
  <c r="M1317" i="25" s="1"/>
  <c r="M1318" i="25" s="1"/>
  <c r="M1319" i="25" s="1"/>
  <c r="M1320" i="25" s="1"/>
  <c r="M1321" i="25" s="1"/>
  <c r="M1322" i="25" s="1"/>
  <c r="M1323" i="25" s="1"/>
  <c r="M1324" i="25" s="1"/>
  <c r="M1325" i="25" s="1"/>
  <c r="M1326" i="25" s="1"/>
  <c r="M1327" i="25" s="1"/>
  <c r="M1328" i="25" s="1"/>
  <c r="M1329" i="25" s="1"/>
  <c r="M1330" i="25" s="1"/>
  <c r="M1331" i="25" s="1"/>
  <c r="M1332" i="25" s="1"/>
  <c r="M1333" i="25" s="1"/>
  <c r="M1334" i="25" s="1"/>
  <c r="M1335" i="25" s="1"/>
  <c r="M1336" i="25" s="1"/>
  <c r="M1337" i="25" s="1"/>
  <c r="M1338" i="25" s="1"/>
  <c r="M1339" i="25" s="1"/>
  <c r="M1340" i="25" s="1"/>
  <c r="M1341" i="25" s="1"/>
  <c r="M1342" i="25" s="1"/>
  <c r="M1343" i="25" s="1"/>
  <c r="M1344" i="25" s="1"/>
  <c r="M1345" i="25" s="1"/>
  <c r="M1346" i="25" s="1"/>
  <c r="M1347" i="25" s="1"/>
  <c r="M1348" i="25" s="1"/>
  <c r="M1349" i="25" s="1"/>
  <c r="M1350" i="25" s="1"/>
  <c r="M1351" i="25" s="1"/>
  <c r="M1352" i="25" s="1"/>
  <c r="M1353" i="25" s="1"/>
  <c r="M1354" i="25" s="1"/>
  <c r="M1355" i="25" s="1"/>
  <c r="M1356" i="25" s="1"/>
  <c r="M1357" i="25" s="1"/>
  <c r="M1358" i="25" s="1"/>
  <c r="M1359" i="25" s="1"/>
  <c r="M1360" i="25" s="1"/>
  <c r="M1361" i="25" s="1"/>
  <c r="M1362" i="25" s="1"/>
  <c r="M1363" i="25" s="1"/>
  <c r="M1364" i="25" s="1"/>
  <c r="M1365" i="25" s="1"/>
  <c r="M1366" i="25" s="1"/>
  <c r="M1367" i="25" s="1"/>
  <c r="M1368" i="25" s="1"/>
  <c r="M1369" i="25" s="1"/>
  <c r="M1370" i="25" s="1"/>
  <c r="M1371" i="25" s="1"/>
  <c r="M1372" i="25" s="1"/>
  <c r="M1373" i="25" s="1"/>
  <c r="M1374" i="25" s="1"/>
  <c r="M1375" i="25" s="1"/>
  <c r="M1376" i="25" s="1"/>
  <c r="M1377" i="25" s="1"/>
  <c r="M1378" i="25" s="1"/>
  <c r="M1379" i="25" s="1"/>
  <c r="M1380" i="25" s="1"/>
  <c r="M1381" i="25" s="1"/>
  <c r="M1382" i="25" s="1"/>
  <c r="M1383" i="25" s="1"/>
  <c r="M1384" i="25" s="1"/>
  <c r="M1385" i="25" s="1"/>
  <c r="M1386" i="25" s="1"/>
  <c r="M1387" i="25" s="1"/>
  <c r="M1388" i="25" s="1"/>
  <c r="M1389" i="25" s="1"/>
  <c r="M1390" i="25" s="1"/>
  <c r="M1391" i="25" s="1"/>
  <c r="M1392" i="25" s="1"/>
  <c r="M1393" i="25" s="1"/>
  <c r="M1394" i="25" s="1"/>
  <c r="M1395" i="25" s="1"/>
  <c r="M1396" i="25" s="1"/>
  <c r="M1397" i="25" s="1"/>
  <c r="M1398" i="25" s="1"/>
  <c r="M1399" i="25" s="1"/>
  <c r="M1400" i="25" s="1"/>
  <c r="M1401" i="25" s="1"/>
  <c r="M1402" i="25" s="1"/>
  <c r="M1403" i="25" s="1"/>
  <c r="M1404" i="25" s="1"/>
  <c r="M1405" i="25" s="1"/>
  <c r="M1406" i="25" s="1"/>
  <c r="M1407" i="25" s="1"/>
  <c r="M1408" i="25" s="1"/>
  <c r="M1409" i="25" s="1"/>
  <c r="M1410" i="25" s="1"/>
  <c r="M1411" i="25" s="1"/>
  <c r="M1412" i="25" s="1"/>
  <c r="M1413" i="25" s="1"/>
  <c r="M1414" i="25" s="1"/>
  <c r="M1415" i="25" s="1"/>
  <c r="M1416" i="25" s="1"/>
  <c r="M1417" i="25" s="1"/>
  <c r="M1418" i="25" s="1"/>
  <c r="M1419" i="25" s="1"/>
  <c r="M1420" i="25" s="1"/>
  <c r="M1421" i="25" s="1"/>
  <c r="M1422" i="25" s="1"/>
  <c r="M1423" i="25" s="1"/>
  <c r="M1424" i="25" s="1"/>
  <c r="M1425" i="25" s="1"/>
  <c r="M1426" i="25" s="1"/>
  <c r="M1427" i="25" s="1"/>
  <c r="M1428" i="25" s="1"/>
  <c r="M1429" i="25" s="1"/>
  <c r="M1430" i="25" s="1"/>
  <c r="M1431" i="25" s="1"/>
  <c r="M1432" i="25" s="1"/>
  <c r="M1433" i="25" s="1"/>
  <c r="M1434" i="25" s="1"/>
  <c r="M1435" i="25" s="1"/>
  <c r="M1436" i="25" s="1"/>
  <c r="M1437" i="25" s="1"/>
  <c r="M1438" i="25" s="1"/>
  <c r="M1439" i="25" s="1"/>
  <c r="M1440" i="25" s="1"/>
  <c r="M1441" i="25" s="1"/>
  <c r="M1442" i="25" s="1"/>
  <c r="M1443" i="25" s="1"/>
  <c r="M1444" i="25" s="1"/>
  <c r="M1445" i="25" s="1"/>
  <c r="M1446" i="25" s="1"/>
  <c r="M1447" i="25" s="1"/>
  <c r="M1448" i="25" s="1"/>
  <c r="M1449" i="25" s="1"/>
  <c r="M1450" i="25" s="1"/>
  <c r="M1451" i="25" s="1"/>
  <c r="M1452" i="25" s="1"/>
  <c r="M1453" i="25" s="1"/>
  <c r="M1454" i="25" s="1"/>
  <c r="M1455" i="25" s="1"/>
  <c r="M1456" i="25" s="1"/>
  <c r="M1457" i="25" s="1"/>
  <c r="M1458" i="25" s="1"/>
  <c r="M1459" i="25" s="1"/>
  <c r="M1460" i="25" s="1"/>
  <c r="M1461" i="25" s="1"/>
  <c r="M1462" i="25" s="1"/>
  <c r="M1463" i="25" s="1"/>
  <c r="M1464" i="25" s="1"/>
  <c r="M1465" i="25" s="1"/>
  <c r="M1466" i="25" s="1"/>
  <c r="M1467" i="25" s="1"/>
  <c r="M1468" i="25" s="1"/>
  <c r="M1469" i="25" s="1"/>
  <c r="M1470" i="25" s="1"/>
  <c r="M1471" i="25" s="1"/>
  <c r="M1472" i="25" s="1"/>
  <c r="M1473" i="25" s="1"/>
  <c r="M1474" i="25" s="1"/>
  <c r="M1475" i="25" s="1"/>
  <c r="M1476" i="25" s="1"/>
  <c r="M1477" i="25" s="1"/>
  <c r="M1478" i="25" s="1"/>
  <c r="M1479" i="25" s="1"/>
  <c r="M1480" i="25" s="1"/>
  <c r="M1481" i="25" s="1"/>
  <c r="M1482" i="25" s="1"/>
  <c r="M1483" i="25" s="1"/>
  <c r="M1484" i="25" s="1"/>
  <c r="M1485" i="25" s="1"/>
  <c r="M1486" i="25" s="1"/>
  <c r="M1487" i="25" s="1"/>
  <c r="M1488" i="25" s="1"/>
  <c r="M1489" i="25" s="1"/>
  <c r="M1490" i="25" s="1"/>
  <c r="M1491" i="25" s="1"/>
  <c r="M1492" i="25" s="1"/>
  <c r="M1493" i="25" s="1"/>
  <c r="M1494" i="25" s="1"/>
  <c r="M1495" i="25" s="1"/>
  <c r="M1496" i="25" s="1"/>
  <c r="M1497" i="25" s="1"/>
  <c r="M1498" i="25" s="1"/>
  <c r="M1499" i="25" s="1"/>
  <c r="M1500" i="25" s="1"/>
  <c r="M1501" i="25" s="1"/>
  <c r="M1502" i="25" s="1"/>
  <c r="M1503" i="25" s="1"/>
  <c r="M1504" i="25" s="1"/>
  <c r="M1505" i="25" s="1"/>
  <c r="M1506" i="25" s="1"/>
  <c r="M1507" i="25" s="1"/>
  <c r="M1508" i="25" s="1"/>
  <c r="M1509" i="25" s="1"/>
  <c r="M1510" i="25" s="1"/>
  <c r="M1511" i="25" s="1"/>
  <c r="M1512" i="25" s="1"/>
  <c r="M1513" i="25" s="1"/>
  <c r="M1514" i="25" s="1"/>
  <c r="M1515" i="25" s="1"/>
  <c r="M1516" i="25" s="1"/>
  <c r="M1517" i="25" s="1"/>
  <c r="M1518" i="25" s="1"/>
  <c r="M1519" i="25" s="1"/>
  <c r="M1520" i="25" s="1"/>
  <c r="M1521" i="25" s="1"/>
  <c r="M1522" i="25" s="1"/>
  <c r="M1523" i="25" s="1"/>
  <c r="M1524" i="25" s="1"/>
  <c r="M1525" i="25" s="1"/>
  <c r="M1526" i="25" s="1"/>
  <c r="M1527" i="25" s="1"/>
  <c r="M1528" i="25" s="1"/>
  <c r="M1529" i="25" s="1"/>
  <c r="M1530" i="25" s="1"/>
  <c r="M1531" i="25" s="1"/>
  <c r="M1532" i="25" s="1"/>
  <c r="M1533" i="25" s="1"/>
  <c r="M1534" i="25" s="1"/>
  <c r="M1535" i="25" s="1"/>
  <c r="M1536" i="25" s="1"/>
  <c r="M1537" i="25" s="1"/>
  <c r="M1538" i="25" s="1"/>
  <c r="M1539" i="25" s="1"/>
  <c r="M1540" i="25" s="1"/>
  <c r="M1541" i="25" s="1"/>
  <c r="M1542" i="25" s="1"/>
  <c r="M1543" i="25" s="1"/>
  <c r="M1544" i="25" s="1"/>
  <c r="M1545" i="25" s="1"/>
  <c r="M1546" i="25" s="1"/>
  <c r="M1547" i="25" s="1"/>
  <c r="M1548" i="25" s="1"/>
  <c r="M1549" i="25" s="1"/>
  <c r="M1550" i="25" s="1"/>
  <c r="M1551" i="25" s="1"/>
  <c r="M1552" i="25" s="1"/>
  <c r="M1553" i="25" s="1"/>
  <c r="M1554" i="25" s="1"/>
  <c r="M1555" i="25" s="1"/>
  <c r="M1556" i="25" s="1"/>
  <c r="M1557" i="25" s="1"/>
  <c r="M1558" i="25" s="1"/>
  <c r="M1559" i="25" s="1"/>
  <c r="M1560" i="25" s="1"/>
  <c r="M1561" i="25" s="1"/>
  <c r="M1562" i="25" s="1"/>
  <c r="M1563" i="25" s="1"/>
  <c r="M1564" i="25" s="1"/>
  <c r="M1565" i="25" s="1"/>
  <c r="M1566" i="25" s="1"/>
  <c r="M1567" i="25" s="1"/>
  <c r="M1568" i="25" s="1"/>
  <c r="M1569" i="25" s="1"/>
  <c r="M1570" i="25" s="1"/>
  <c r="M1571" i="25" s="1"/>
  <c r="M1572" i="25" s="1"/>
  <c r="M1573" i="25" s="1"/>
  <c r="M1574" i="25" s="1"/>
  <c r="M1575" i="25" s="1"/>
  <c r="M1576" i="25" s="1"/>
  <c r="M1577" i="25" s="1"/>
  <c r="M1578" i="25" s="1"/>
  <c r="M1579" i="25" s="1"/>
  <c r="M1580" i="25" s="1"/>
  <c r="M1581" i="25" s="1"/>
  <c r="M1582" i="25" s="1"/>
  <c r="M1583" i="25" s="1"/>
  <c r="M1584" i="25" s="1"/>
  <c r="M1585" i="25" s="1"/>
  <c r="M1586" i="25" s="1"/>
  <c r="M1587" i="25" s="1"/>
  <c r="M1588" i="25" s="1"/>
  <c r="M1589" i="25" s="1"/>
  <c r="M1590" i="25" s="1"/>
  <c r="M1591" i="25" s="1"/>
  <c r="M1592" i="25" s="1"/>
  <c r="M1593" i="25" s="1"/>
  <c r="M1594" i="25" s="1"/>
  <c r="M1595" i="25" s="1"/>
  <c r="M1596" i="25" s="1"/>
  <c r="M1597" i="25" s="1"/>
  <c r="M1598" i="25" s="1"/>
  <c r="M1599" i="25" s="1"/>
  <c r="M1600" i="25" s="1"/>
  <c r="M1601" i="25" s="1"/>
  <c r="M1602" i="25" s="1"/>
  <c r="M1603" i="25" s="1"/>
  <c r="M1604" i="25" s="1"/>
  <c r="M1605" i="25" s="1"/>
  <c r="M1606" i="25" s="1"/>
  <c r="M1607" i="25" s="1"/>
  <c r="M1608" i="25" s="1"/>
  <c r="M1609" i="25" s="1"/>
  <c r="M1610" i="25" s="1"/>
  <c r="M1611" i="25" s="1"/>
  <c r="M1612" i="25" s="1"/>
  <c r="M1613" i="25" s="1"/>
  <c r="M1614" i="25" s="1"/>
  <c r="M1615" i="25" s="1"/>
  <c r="M1616" i="25" s="1"/>
  <c r="M1617" i="25" s="1"/>
  <c r="M1618" i="25" s="1"/>
  <c r="M1619" i="25" s="1"/>
  <c r="M1620" i="25" s="1"/>
  <c r="M1621" i="25" s="1"/>
  <c r="M1622" i="25" s="1"/>
  <c r="M1623" i="25" s="1"/>
  <c r="M1624" i="25" s="1"/>
  <c r="M1625" i="25" s="1"/>
  <c r="M1626" i="25" s="1"/>
  <c r="M1627" i="25" s="1"/>
  <c r="M1628" i="25" s="1"/>
  <c r="M1629" i="25" s="1"/>
  <c r="M1630" i="25" s="1"/>
  <c r="M1631" i="25" s="1"/>
  <c r="M1632" i="25" s="1"/>
  <c r="M1633" i="25" s="1"/>
  <c r="M1634" i="25" s="1"/>
  <c r="M1635" i="25" s="1"/>
  <c r="M1636" i="25" s="1"/>
  <c r="M1637" i="25" s="1"/>
  <c r="M1638" i="25" s="1"/>
  <c r="M1639" i="25" s="1"/>
  <c r="M1640" i="25" s="1"/>
  <c r="M1641" i="25" s="1"/>
  <c r="M1642" i="25" s="1"/>
  <c r="M1643" i="25" s="1"/>
  <c r="M1644" i="25" s="1"/>
  <c r="M1645" i="25" s="1"/>
  <c r="M1646" i="25" s="1"/>
  <c r="M1647" i="25" s="1"/>
  <c r="M1648" i="25" s="1"/>
  <c r="M1649" i="25" s="1"/>
  <c r="M1650" i="25" s="1"/>
  <c r="M1651" i="25" s="1"/>
  <c r="M1652" i="25" s="1"/>
  <c r="M1653" i="25" s="1"/>
  <c r="M1654" i="25" s="1"/>
  <c r="M1655" i="25" s="1"/>
  <c r="M1656" i="25" s="1"/>
  <c r="M1657" i="25" s="1"/>
  <c r="M1658" i="25" s="1"/>
  <c r="M1659" i="25" s="1"/>
  <c r="M1660" i="25" s="1"/>
  <c r="M1661" i="25" s="1"/>
  <c r="M1662" i="25" s="1"/>
  <c r="M1663" i="25" s="1"/>
  <c r="M1664" i="25" s="1"/>
  <c r="M1665" i="25" s="1"/>
  <c r="M1666" i="25" s="1"/>
  <c r="M1667" i="25" s="1"/>
  <c r="M1668" i="25" s="1"/>
  <c r="M1669" i="25" s="1"/>
  <c r="M1670" i="25" s="1"/>
  <c r="M1671" i="25" s="1"/>
  <c r="M1672" i="25" s="1"/>
  <c r="M1673" i="25" s="1"/>
  <c r="M1674" i="25" s="1"/>
  <c r="M1675" i="25" s="1"/>
  <c r="M1676" i="25" s="1"/>
  <c r="M1677" i="25" s="1"/>
  <c r="M1678" i="25" s="1"/>
  <c r="M1679" i="25" s="1"/>
  <c r="M1680" i="25" s="1"/>
  <c r="M1681" i="25" s="1"/>
  <c r="M1682" i="25" s="1"/>
  <c r="M1683" i="25" s="1"/>
  <c r="M1684" i="25" s="1"/>
  <c r="M1685" i="25" s="1"/>
  <c r="M1686" i="25" s="1"/>
  <c r="M1687" i="25" s="1"/>
  <c r="M1688" i="25" s="1"/>
  <c r="M1689" i="25" s="1"/>
  <c r="M1690" i="25" s="1"/>
  <c r="M1691" i="25" s="1"/>
  <c r="M1692" i="25" s="1"/>
  <c r="M1693" i="25" s="1"/>
  <c r="M1694" i="25" s="1"/>
  <c r="M1695" i="25" s="1"/>
  <c r="M1696" i="25" s="1"/>
  <c r="M1697" i="25" s="1"/>
  <c r="M1698" i="25" s="1"/>
  <c r="M1699" i="25" s="1"/>
  <c r="M1700" i="25" s="1"/>
  <c r="M1701" i="25" s="1"/>
  <c r="M1702" i="25" s="1"/>
  <c r="M1703" i="25" s="1"/>
  <c r="M1704" i="25" s="1"/>
  <c r="M1705" i="25" s="1"/>
  <c r="M1706" i="25" s="1"/>
  <c r="M1707" i="25" s="1"/>
  <c r="M1708" i="25" s="1"/>
  <c r="M1709" i="25" s="1"/>
  <c r="M1710" i="25" s="1"/>
  <c r="M1711" i="25" s="1"/>
  <c r="M1712" i="25" s="1"/>
  <c r="M1713" i="25" s="1"/>
  <c r="M1714" i="25" s="1"/>
  <c r="M1715" i="25" s="1"/>
  <c r="M1716" i="25" s="1"/>
  <c r="M1717" i="25" s="1"/>
  <c r="M1718" i="25" s="1"/>
  <c r="M1719" i="25" s="1"/>
  <c r="M1720" i="25" s="1"/>
  <c r="M1721" i="25" s="1"/>
  <c r="M1722" i="25" s="1"/>
  <c r="M1723" i="25" s="1"/>
  <c r="M1724" i="25" s="1"/>
  <c r="M1725" i="25" s="1"/>
  <c r="M1726" i="25" s="1"/>
  <c r="M1727" i="25" s="1"/>
  <c r="M1728" i="25" s="1"/>
  <c r="M1729" i="25" s="1"/>
  <c r="M1730" i="25" s="1"/>
  <c r="M1731" i="25" s="1"/>
  <c r="M1732" i="25" s="1"/>
  <c r="M1733" i="25" s="1"/>
  <c r="M1734" i="25" s="1"/>
  <c r="M1735" i="25" s="1"/>
  <c r="M1736" i="25" s="1"/>
  <c r="M1737" i="25" s="1"/>
  <c r="M1738" i="25" s="1"/>
  <c r="M1739" i="25" s="1"/>
  <c r="M1740" i="25" s="1"/>
  <c r="M1741" i="25" s="1"/>
  <c r="M1742" i="25" s="1"/>
  <c r="M1743" i="25" s="1"/>
  <c r="M1744" i="25" s="1"/>
  <c r="M1745" i="25" s="1"/>
  <c r="M1746" i="25" s="1"/>
  <c r="M1747" i="25" s="1"/>
  <c r="M1748" i="25" s="1"/>
  <c r="M1749" i="25" s="1"/>
  <c r="M1750" i="25" s="1"/>
  <c r="M1751" i="25" s="1"/>
  <c r="M1752" i="25" s="1"/>
  <c r="M1753" i="25" s="1"/>
  <c r="M1754" i="25" s="1"/>
  <c r="M1755" i="25" s="1"/>
  <c r="M1756" i="25" s="1"/>
  <c r="M1757" i="25" s="1"/>
  <c r="M1758" i="25" s="1"/>
  <c r="M1759" i="25" s="1"/>
  <c r="M1760" i="25" s="1"/>
  <c r="M1761" i="25" s="1"/>
  <c r="M1762" i="25" s="1"/>
  <c r="M1763" i="25" s="1"/>
  <c r="M1764" i="25" s="1"/>
  <c r="M1765" i="25" s="1"/>
  <c r="M1766" i="25" s="1"/>
  <c r="M1767" i="25" s="1"/>
  <c r="M1768" i="25" s="1"/>
  <c r="M1769" i="25" s="1"/>
  <c r="M1770" i="25" s="1"/>
  <c r="M1771" i="25" s="1"/>
  <c r="M1772" i="25" s="1"/>
  <c r="M1773" i="25" s="1"/>
  <c r="M1774" i="25" s="1"/>
  <c r="M1775" i="25" s="1"/>
  <c r="M1776" i="25" s="1"/>
  <c r="M1777" i="25" s="1"/>
  <c r="M1778" i="25" s="1"/>
  <c r="M1779" i="25" s="1"/>
  <c r="M1780" i="25" s="1"/>
  <c r="M1781" i="25" s="1"/>
  <c r="M1782" i="25" s="1"/>
  <c r="M1783" i="25" s="1"/>
  <c r="M1784" i="25" s="1"/>
  <c r="M1785" i="25" s="1"/>
  <c r="M1786" i="25" s="1"/>
  <c r="M1787" i="25" s="1"/>
  <c r="M1788" i="25" s="1"/>
  <c r="M1789" i="25" s="1"/>
  <c r="M1790" i="25" s="1"/>
  <c r="M1791" i="25" s="1"/>
  <c r="M1792" i="25" s="1"/>
  <c r="M1793" i="25" s="1"/>
  <c r="M1794" i="25" s="1"/>
  <c r="M1795" i="25" s="1"/>
  <c r="M1796" i="25" s="1"/>
  <c r="M1797" i="25" s="1"/>
  <c r="M1798" i="25" s="1"/>
  <c r="M1799" i="25" s="1"/>
  <c r="M1800" i="25" s="1"/>
  <c r="M1801" i="25" s="1"/>
  <c r="M1802" i="25" s="1"/>
  <c r="M1803" i="25" s="1"/>
  <c r="M1804" i="25" s="1"/>
  <c r="M1805" i="25" s="1"/>
  <c r="M1806" i="25" s="1"/>
  <c r="M1807" i="25" s="1"/>
  <c r="M1808" i="25" s="1"/>
  <c r="M1809" i="25" s="1"/>
  <c r="M1810" i="25" s="1"/>
  <c r="M1811" i="25" s="1"/>
  <c r="M1812" i="25" s="1"/>
  <c r="M1813" i="25" s="1"/>
  <c r="M1814" i="25" s="1"/>
  <c r="M1815" i="25" s="1"/>
  <c r="M1816" i="25" s="1"/>
  <c r="M1817" i="25" s="1"/>
  <c r="M1818" i="25" s="1"/>
  <c r="M1819" i="25" s="1"/>
  <c r="M1820" i="25" s="1"/>
  <c r="M1821" i="25" s="1"/>
  <c r="M1822" i="25" s="1"/>
  <c r="M1823" i="25" s="1"/>
  <c r="M1824" i="25" s="1"/>
  <c r="M1825" i="25" s="1"/>
  <c r="M1826" i="25" s="1"/>
  <c r="M1827" i="25" s="1"/>
  <c r="M1828" i="25" s="1"/>
  <c r="M1829" i="25" s="1"/>
  <c r="M1830" i="25" s="1"/>
  <c r="M1831" i="25" s="1"/>
  <c r="M1832" i="25" s="1"/>
  <c r="M1833" i="25" s="1"/>
  <c r="M1834" i="25" s="1"/>
  <c r="M1835" i="25" s="1"/>
  <c r="M1836" i="25" s="1"/>
  <c r="M1837" i="25" s="1"/>
  <c r="M1838" i="25" s="1"/>
  <c r="M1839" i="25" s="1"/>
  <c r="M1840" i="25" s="1"/>
  <c r="M1841" i="25" s="1"/>
  <c r="M1842" i="25" s="1"/>
  <c r="M1843" i="25" s="1"/>
  <c r="M1844" i="25" s="1"/>
  <c r="M1845" i="25" s="1"/>
  <c r="M1846" i="25" s="1"/>
  <c r="M1847" i="25" s="1"/>
  <c r="M1848" i="25" s="1"/>
  <c r="M1849" i="25" s="1"/>
  <c r="M1850" i="25" s="1"/>
  <c r="M1851" i="25" s="1"/>
  <c r="M1852" i="25" s="1"/>
  <c r="M1853" i="25" s="1"/>
  <c r="M1854" i="25" s="1"/>
  <c r="M1855" i="25" s="1"/>
  <c r="M1856" i="25" s="1"/>
  <c r="M1857" i="25" s="1"/>
  <c r="M1858" i="25" s="1"/>
  <c r="M1859" i="25" s="1"/>
  <c r="M1860" i="25" s="1"/>
  <c r="M1861" i="25" s="1"/>
  <c r="M1862" i="25" s="1"/>
  <c r="M1863" i="25" s="1"/>
  <c r="M1864" i="25" s="1"/>
  <c r="M1865" i="25" s="1"/>
  <c r="M1866" i="25" s="1"/>
  <c r="M1867" i="25" s="1"/>
  <c r="M1868" i="25" s="1"/>
  <c r="M1869" i="25" s="1"/>
  <c r="M1870" i="25" s="1"/>
  <c r="M1871" i="25" s="1"/>
  <c r="M1872" i="25" s="1"/>
  <c r="M1873" i="25" s="1"/>
  <c r="M1874" i="25" s="1"/>
  <c r="M1875" i="25" s="1"/>
  <c r="M1876" i="25" s="1"/>
  <c r="M1877" i="25" s="1"/>
  <c r="M1878" i="25" s="1"/>
  <c r="M1879" i="25" s="1"/>
  <c r="M1880" i="25" s="1"/>
  <c r="M1881" i="25" s="1"/>
  <c r="M1882" i="25" s="1"/>
  <c r="M1883" i="25" s="1"/>
  <c r="M1884" i="25" s="1"/>
  <c r="M1885" i="25" s="1"/>
  <c r="M1886" i="25" s="1"/>
  <c r="M1887" i="25" s="1"/>
  <c r="M1888" i="25" s="1"/>
  <c r="M1889" i="25" s="1"/>
  <c r="M1890" i="25" s="1"/>
  <c r="M1891" i="25" s="1"/>
  <c r="M1892" i="25" s="1"/>
  <c r="M1893" i="25" s="1"/>
  <c r="M1894" i="25" s="1"/>
  <c r="M1895" i="25" s="1"/>
  <c r="M1896" i="25" s="1"/>
  <c r="M1897" i="25" s="1"/>
  <c r="M1898" i="25" s="1"/>
  <c r="M1899" i="25" s="1"/>
  <c r="M1900" i="25" s="1"/>
  <c r="M1901" i="25" s="1"/>
  <c r="M1902" i="25" s="1"/>
  <c r="M1903" i="25" s="1"/>
  <c r="M1904" i="25" s="1"/>
  <c r="M1905" i="25" s="1"/>
  <c r="M1906" i="25" s="1"/>
  <c r="M1907" i="25" s="1"/>
  <c r="M1908" i="25" s="1"/>
  <c r="M1909" i="25" s="1"/>
  <c r="M1910" i="25" s="1"/>
  <c r="M1911" i="25" s="1"/>
  <c r="M1912" i="25" s="1"/>
  <c r="M1913" i="25" s="1"/>
  <c r="M1914" i="25" s="1"/>
  <c r="M1915" i="25" s="1"/>
  <c r="M1916" i="25" s="1"/>
  <c r="M1917" i="25" s="1"/>
  <c r="M1918" i="25" s="1"/>
  <c r="M1919" i="25" s="1"/>
  <c r="M1920" i="25" s="1"/>
  <c r="M1921" i="25" s="1"/>
  <c r="M1922" i="25" s="1"/>
  <c r="M1923" i="25" s="1"/>
  <c r="M1924" i="25" s="1"/>
  <c r="M1925" i="25" s="1"/>
  <c r="M1926" i="25" s="1"/>
  <c r="M1927" i="25" s="1"/>
  <c r="M1928" i="25" s="1"/>
  <c r="M1929" i="25" s="1"/>
  <c r="M1930" i="25" s="1"/>
  <c r="M1931" i="25" s="1"/>
  <c r="M1932" i="25" s="1"/>
  <c r="M1933" i="25" s="1"/>
  <c r="M1934" i="25" s="1"/>
  <c r="M1935" i="25" s="1"/>
  <c r="M1936" i="25" s="1"/>
  <c r="M1937" i="25" s="1"/>
  <c r="M1938" i="25" s="1"/>
  <c r="M1939" i="25" s="1"/>
  <c r="M1940" i="25" s="1"/>
  <c r="M1941" i="25" s="1"/>
  <c r="M1942" i="25" s="1"/>
  <c r="M1943" i="25" s="1"/>
  <c r="M1944" i="25" s="1"/>
  <c r="M1945" i="25" s="1"/>
  <c r="M1946" i="25" s="1"/>
  <c r="M1947" i="25" s="1"/>
  <c r="M1948" i="25" s="1"/>
  <c r="M1949" i="25" s="1"/>
  <c r="M1950" i="25" s="1"/>
  <c r="M1951" i="25" s="1"/>
  <c r="M1952" i="25" s="1"/>
  <c r="M1953" i="25" s="1"/>
  <c r="M1954" i="25" s="1"/>
  <c r="M1955" i="25" s="1"/>
  <c r="M1956" i="25" s="1"/>
  <c r="M1957" i="25" s="1"/>
  <c r="M1958" i="25" s="1"/>
  <c r="M1959" i="25" s="1"/>
  <c r="M1960" i="25" s="1"/>
  <c r="M1961" i="25" s="1"/>
  <c r="M1962" i="25" s="1"/>
  <c r="M1963" i="25" s="1"/>
  <c r="M1964" i="25" s="1"/>
  <c r="M1965" i="25" s="1"/>
  <c r="M1966" i="25" s="1"/>
  <c r="M1967" i="25" s="1"/>
  <c r="M1968" i="25" s="1"/>
  <c r="M1969" i="25" s="1"/>
  <c r="M1970" i="25" s="1"/>
  <c r="M1971" i="25" s="1"/>
  <c r="M1972" i="25" s="1"/>
  <c r="M1973" i="25" s="1"/>
  <c r="M1974" i="25" s="1"/>
  <c r="M1975" i="25" s="1"/>
  <c r="M1976" i="25" s="1"/>
  <c r="M1977" i="25" s="1"/>
  <c r="M1978" i="25" s="1"/>
  <c r="M1979" i="25" s="1"/>
  <c r="M1980" i="25" s="1"/>
  <c r="M1981" i="25" s="1"/>
  <c r="M1982" i="25" s="1"/>
  <c r="M1983" i="25" s="1"/>
  <c r="M1984" i="25" s="1"/>
  <c r="M1985" i="25" s="1"/>
  <c r="M1986" i="25" s="1"/>
  <c r="M1987" i="25" s="1"/>
  <c r="M1988" i="25" s="1"/>
  <c r="M1989" i="25" s="1"/>
  <c r="M1990" i="25" s="1"/>
  <c r="M1991" i="25" s="1"/>
  <c r="M1992" i="25" s="1"/>
  <c r="M1993" i="25" s="1"/>
  <c r="M1994" i="25" s="1"/>
  <c r="M1995" i="25" s="1"/>
  <c r="M1996" i="25" s="1"/>
  <c r="M1997" i="25" s="1"/>
  <c r="M1998" i="25" s="1"/>
  <c r="M1999" i="25" s="1"/>
  <c r="M2000" i="25" s="1"/>
  <c r="M2001" i="25" s="1"/>
  <c r="M2002" i="25" s="1"/>
  <c r="M2003" i="25" s="1"/>
  <c r="M2004" i="25" s="1"/>
  <c r="M2005" i="25" s="1"/>
  <c r="M2006" i="25" s="1"/>
  <c r="M2007" i="25" s="1"/>
  <c r="M2008" i="25" s="1"/>
  <c r="M2009" i="25" s="1"/>
  <c r="M2010" i="25" s="1"/>
  <c r="M2011" i="25" s="1"/>
  <c r="M2012" i="25" s="1"/>
  <c r="M2013" i="25" s="1"/>
  <c r="M2014" i="25" s="1"/>
  <c r="M2015" i="25" s="1"/>
  <c r="M2016" i="25" s="1"/>
  <c r="M2017" i="25" s="1"/>
  <c r="M2018" i="25" s="1"/>
  <c r="M2019" i="25" s="1"/>
  <c r="M2020" i="25" s="1"/>
  <c r="M2021" i="25" s="1"/>
  <c r="M2022" i="25" s="1"/>
  <c r="M2023" i="25" s="1"/>
  <c r="M2024" i="25" s="1"/>
  <c r="M2025" i="25" s="1"/>
  <c r="M2026" i="25" s="1"/>
  <c r="M2027" i="25" s="1"/>
  <c r="M2028" i="25" s="1"/>
  <c r="M2029" i="25" s="1"/>
  <c r="M2030" i="25" s="1"/>
  <c r="M2031" i="25" s="1"/>
  <c r="M2032" i="25" s="1"/>
  <c r="M2033" i="25" s="1"/>
  <c r="M2034" i="25" s="1"/>
  <c r="M2035" i="25" s="1"/>
  <c r="M2036" i="25" s="1"/>
  <c r="M2037" i="25" s="1"/>
  <c r="M2038" i="25" s="1"/>
  <c r="M2039" i="25" s="1"/>
  <c r="M2040" i="25" s="1"/>
  <c r="M2041" i="25" s="1"/>
  <c r="M2042" i="25" s="1"/>
  <c r="M2043" i="25" s="1"/>
  <c r="M2044" i="25" s="1"/>
  <c r="M2045" i="25" s="1"/>
  <c r="M2046" i="25" s="1"/>
  <c r="M2047" i="25" s="1"/>
  <c r="M2048" i="25" s="1"/>
  <c r="M2049" i="25" s="1"/>
  <c r="M2050" i="25" s="1"/>
  <c r="M2051" i="25" s="1"/>
  <c r="M2052" i="25" s="1"/>
  <c r="M2053" i="25" s="1"/>
  <c r="M2054" i="25" s="1"/>
  <c r="M2055" i="25" s="1"/>
  <c r="M2056" i="25" s="1"/>
  <c r="M2057" i="25" s="1"/>
  <c r="M2058" i="25" s="1"/>
  <c r="M2059" i="25" s="1"/>
  <c r="M2060" i="25" s="1"/>
  <c r="M2061" i="25" s="1"/>
  <c r="M2062" i="25" s="1"/>
  <c r="M2063" i="25" s="1"/>
  <c r="M2064" i="25" s="1"/>
  <c r="M2065" i="25" s="1"/>
  <c r="M2066" i="25" s="1"/>
  <c r="M2067" i="25" s="1"/>
  <c r="M2068" i="25" s="1"/>
  <c r="M2069" i="25" s="1"/>
  <c r="M2070" i="25" s="1"/>
  <c r="M2071" i="25" s="1"/>
  <c r="M2072" i="25" s="1"/>
  <c r="M2073" i="25" s="1"/>
  <c r="M2074" i="25" s="1"/>
  <c r="M2075" i="25" s="1"/>
  <c r="M2076" i="25" s="1"/>
  <c r="M2077" i="25" s="1"/>
  <c r="M2078" i="25" s="1"/>
  <c r="M2079" i="25" s="1"/>
  <c r="M2080" i="25" s="1"/>
  <c r="M2081" i="25" s="1"/>
  <c r="M2082" i="25" s="1"/>
  <c r="M2083" i="25" s="1"/>
  <c r="M2084" i="25" s="1"/>
  <c r="M2085" i="25" s="1"/>
  <c r="M2086" i="25" s="1"/>
  <c r="M2087" i="25" s="1"/>
  <c r="M2088" i="25" s="1"/>
  <c r="M2089" i="25" s="1"/>
  <c r="M2090" i="25" s="1"/>
  <c r="M2091" i="25" s="1"/>
  <c r="M2092" i="25" s="1"/>
  <c r="M2093" i="25" s="1"/>
  <c r="M2094" i="25" s="1"/>
  <c r="M2095" i="25" s="1"/>
  <c r="M2096" i="25" s="1"/>
  <c r="M2097" i="25" s="1"/>
  <c r="M2098" i="25" s="1"/>
  <c r="M2099" i="25" s="1"/>
  <c r="M2100" i="25" s="1"/>
  <c r="M2101" i="25" s="1"/>
  <c r="M2102" i="25" s="1"/>
  <c r="M2103" i="25" s="1"/>
  <c r="M2104" i="25" s="1"/>
  <c r="M2105" i="25" s="1"/>
  <c r="M2106" i="25" s="1"/>
  <c r="M2107" i="25" s="1"/>
  <c r="M2108" i="25" s="1"/>
  <c r="M2109" i="25" s="1"/>
  <c r="M2110" i="25" s="1"/>
  <c r="M2111" i="25" s="1"/>
  <c r="M2112" i="25" s="1"/>
  <c r="M2113" i="25" s="1"/>
  <c r="M2114" i="25" s="1"/>
  <c r="M2115" i="25" s="1"/>
  <c r="M2116" i="25" s="1"/>
  <c r="M2117" i="25" s="1"/>
  <c r="M2118" i="25" s="1"/>
  <c r="M2119" i="25" s="1"/>
  <c r="M2120" i="25" s="1"/>
  <c r="M2121" i="25" s="1"/>
  <c r="M2122" i="25" s="1"/>
  <c r="M2123" i="25" s="1"/>
  <c r="M2124" i="25" s="1"/>
  <c r="M2125" i="25" s="1"/>
  <c r="M2126" i="25" s="1"/>
  <c r="M2127" i="25" s="1"/>
  <c r="M2128" i="25" s="1"/>
  <c r="M2129" i="25" s="1"/>
  <c r="M2130" i="25" s="1"/>
  <c r="M2131" i="25" s="1"/>
  <c r="M2132" i="25" s="1"/>
  <c r="M2133" i="25" s="1"/>
  <c r="M2134" i="25" s="1"/>
  <c r="M2135" i="25" s="1"/>
  <c r="M2136" i="25" s="1"/>
  <c r="M2137" i="25" s="1"/>
  <c r="M2138" i="25" s="1"/>
  <c r="M2139" i="25" s="1"/>
  <c r="M2140" i="25" s="1"/>
  <c r="M2141" i="25" s="1"/>
  <c r="M2142" i="25" s="1"/>
  <c r="M2143" i="25" s="1"/>
  <c r="M2144" i="25" s="1"/>
  <c r="M2145" i="25" s="1"/>
  <c r="M2146" i="25" s="1"/>
  <c r="M2147" i="25" s="1"/>
  <c r="M2148" i="25" s="1"/>
  <c r="M2149" i="25" s="1"/>
  <c r="M2150" i="25" s="1"/>
  <c r="M2151" i="25" s="1"/>
  <c r="M2152" i="25" s="1"/>
  <c r="M2153" i="25" s="1"/>
  <c r="M2154" i="25" s="1"/>
  <c r="M2155" i="25" s="1"/>
  <c r="M2156" i="25" s="1"/>
  <c r="M2157" i="25" s="1"/>
  <c r="M2158" i="25" s="1"/>
  <c r="M2159" i="25" s="1"/>
  <c r="M2160" i="25" s="1"/>
  <c r="M2161" i="25" s="1"/>
  <c r="M2162" i="25" s="1"/>
  <c r="M2163" i="25" s="1"/>
  <c r="M2164" i="25" s="1"/>
  <c r="M2165" i="25" s="1"/>
  <c r="M2166" i="25" s="1"/>
  <c r="M2167" i="25" s="1"/>
  <c r="M2168" i="25" s="1"/>
  <c r="M2169" i="25" s="1"/>
  <c r="M2170" i="25" s="1"/>
  <c r="M2171" i="25" s="1"/>
  <c r="M2172" i="25" s="1"/>
  <c r="M2173" i="25" s="1"/>
  <c r="M2174" i="25" s="1"/>
  <c r="M2175" i="25" s="1"/>
  <c r="M2176" i="25" s="1"/>
  <c r="M2177" i="25" s="1"/>
  <c r="M2178" i="25" s="1"/>
  <c r="M2179" i="25" s="1"/>
  <c r="M2180" i="25" s="1"/>
  <c r="M2181" i="25" s="1"/>
  <c r="M2182" i="25" s="1"/>
  <c r="M2183" i="25" s="1"/>
  <c r="M2184" i="25" s="1"/>
  <c r="M2185" i="25" s="1"/>
  <c r="M2186" i="25" s="1"/>
  <c r="M2187" i="25" s="1"/>
  <c r="M2188" i="25" s="1"/>
  <c r="M2189" i="25" s="1"/>
  <c r="M2190" i="25" s="1"/>
  <c r="M2191" i="25" s="1"/>
  <c r="M2192" i="25" s="1"/>
  <c r="M2193" i="25" s="1"/>
  <c r="M2194" i="25" s="1"/>
  <c r="M2195" i="25" s="1"/>
  <c r="M2196" i="25" s="1"/>
  <c r="M2197" i="25" s="1"/>
  <c r="M2198" i="25" s="1"/>
  <c r="M2199" i="25" s="1"/>
  <c r="M2200" i="25" s="1"/>
  <c r="M2201" i="25" s="1"/>
  <c r="M2202" i="25" s="1"/>
  <c r="M2203" i="25" s="1"/>
  <c r="M2204" i="25" s="1"/>
  <c r="M2205" i="25" s="1"/>
  <c r="M2206" i="25" s="1"/>
  <c r="M2207" i="25" s="1"/>
  <c r="M2208" i="25" s="1"/>
  <c r="M2209" i="25" s="1"/>
  <c r="M2210" i="25" s="1"/>
  <c r="M2211" i="25" s="1"/>
  <c r="M2212" i="25" s="1"/>
  <c r="M2213" i="25" s="1"/>
  <c r="M2214" i="25" s="1"/>
  <c r="M2215" i="25" s="1"/>
  <c r="M2216" i="25" s="1"/>
  <c r="M2217" i="25" s="1"/>
  <c r="M2218" i="25" s="1"/>
  <c r="M2219" i="25" s="1"/>
  <c r="M2220" i="25" s="1"/>
  <c r="M2221" i="25" s="1"/>
  <c r="M2222" i="25" s="1"/>
  <c r="M2223" i="25" s="1"/>
  <c r="M2224" i="25" s="1"/>
  <c r="M2225" i="25" s="1"/>
  <c r="M2226" i="25" s="1"/>
  <c r="M2227" i="25" s="1"/>
  <c r="M2228" i="25" s="1"/>
  <c r="M2229" i="25" s="1"/>
  <c r="M2230" i="25" s="1"/>
  <c r="M2231" i="25" s="1"/>
  <c r="M2232" i="25" s="1"/>
  <c r="M2233" i="25" s="1"/>
  <c r="M2234" i="25" s="1"/>
  <c r="M2235" i="25" s="1"/>
  <c r="M2236" i="25" s="1"/>
  <c r="M2237" i="25" s="1"/>
  <c r="M2238" i="25" s="1"/>
  <c r="M2239" i="25" s="1"/>
  <c r="M2240" i="25" s="1"/>
  <c r="M2241" i="25" s="1"/>
  <c r="M2242" i="25" s="1"/>
  <c r="M2243" i="25" s="1"/>
  <c r="M2244" i="25" s="1"/>
  <c r="M2245" i="25" s="1"/>
  <c r="M2246" i="25" s="1"/>
  <c r="M2247" i="25" s="1"/>
  <c r="M2248" i="25" s="1"/>
  <c r="M2249" i="25" s="1"/>
  <c r="M2250" i="25" s="1"/>
  <c r="M2251" i="25" s="1"/>
  <c r="M2252" i="25" s="1"/>
  <c r="M2253" i="25" s="1"/>
  <c r="M2254" i="25" s="1"/>
  <c r="M2255" i="25" s="1"/>
  <c r="M2256" i="25" s="1"/>
  <c r="M2257" i="25" s="1"/>
  <c r="M2258" i="25" s="1"/>
  <c r="M2259" i="25" s="1"/>
  <c r="M2260" i="25" s="1"/>
  <c r="M2261" i="25" s="1"/>
  <c r="M2262" i="25" s="1"/>
  <c r="M2263" i="25" s="1"/>
  <c r="M2264" i="25" s="1"/>
  <c r="M2265" i="25" s="1"/>
  <c r="M2266" i="25" s="1"/>
  <c r="M2267" i="25" s="1"/>
  <c r="M2268" i="25" s="1"/>
  <c r="M2269" i="25" s="1"/>
  <c r="M2270" i="25" s="1"/>
  <c r="M2271" i="25" s="1"/>
  <c r="M2272" i="25" s="1"/>
  <c r="M2273" i="25" s="1"/>
  <c r="M2274" i="25" s="1"/>
  <c r="M2275" i="25" s="1"/>
  <c r="M2276" i="25" s="1"/>
  <c r="M2277" i="25" s="1"/>
  <c r="M2278" i="25" s="1"/>
  <c r="M2279" i="25" s="1"/>
  <c r="M2280" i="25" s="1"/>
  <c r="M2281" i="25" s="1"/>
  <c r="M2282" i="25" s="1"/>
  <c r="M2283" i="25" s="1"/>
  <c r="M2284" i="25" s="1"/>
  <c r="M2285" i="25" s="1"/>
  <c r="M2286" i="25" s="1"/>
  <c r="M2287" i="25" s="1"/>
  <c r="M2288" i="25" s="1"/>
  <c r="M2289" i="25" s="1"/>
  <c r="M2290" i="25" s="1"/>
  <c r="M2291" i="25" s="1"/>
  <c r="M2292" i="25" s="1"/>
  <c r="M2293" i="25" s="1"/>
  <c r="M2294" i="25" s="1"/>
  <c r="M2295" i="25" s="1"/>
  <c r="M2296" i="25" s="1"/>
  <c r="M2297" i="25" s="1"/>
  <c r="M2298" i="25" s="1"/>
  <c r="M2299" i="25" s="1"/>
  <c r="M2300" i="25" s="1"/>
  <c r="M2301" i="25" s="1"/>
  <c r="M2302" i="25" s="1"/>
  <c r="M2303" i="25" s="1"/>
  <c r="M2304" i="25" s="1"/>
  <c r="M2305" i="25" s="1"/>
  <c r="M2306" i="25" s="1"/>
  <c r="M2307" i="25" s="1"/>
  <c r="M2308" i="25" s="1"/>
  <c r="M2309" i="25" s="1"/>
  <c r="M2310" i="25" s="1"/>
  <c r="M2311" i="25" s="1"/>
  <c r="M2312" i="25" s="1"/>
  <c r="M2313" i="25" s="1"/>
  <c r="M2314" i="25" s="1"/>
  <c r="M2315" i="25" s="1"/>
  <c r="M2316" i="25" s="1"/>
  <c r="M2317" i="25" s="1"/>
  <c r="M2318" i="25" s="1"/>
  <c r="M2319" i="25" s="1"/>
  <c r="M2320" i="25" s="1"/>
  <c r="M2321" i="25" s="1"/>
  <c r="M2322" i="25" s="1"/>
  <c r="M2323" i="25" s="1"/>
  <c r="M2324" i="25" s="1"/>
  <c r="M2325" i="25" s="1"/>
  <c r="M2326" i="25" s="1"/>
  <c r="M2327" i="25" s="1"/>
  <c r="M2328" i="25" s="1"/>
  <c r="M2329" i="25" s="1"/>
  <c r="M2330" i="25" s="1"/>
  <c r="M2331" i="25" s="1"/>
  <c r="M2332" i="25" s="1"/>
  <c r="M2333" i="25" s="1"/>
  <c r="M2334" i="25" s="1"/>
  <c r="M2335" i="25" s="1"/>
  <c r="M2336" i="25" s="1"/>
  <c r="M2337" i="25" s="1"/>
  <c r="M2338" i="25" s="1"/>
  <c r="M2339" i="25" s="1"/>
  <c r="M2340" i="25" s="1"/>
  <c r="M2341" i="25" s="1"/>
  <c r="M2342" i="25" s="1"/>
  <c r="M2343" i="25" s="1"/>
  <c r="M2344" i="25" s="1"/>
  <c r="M2345" i="25" s="1"/>
  <c r="M2346" i="25" s="1"/>
  <c r="M2347" i="25" s="1"/>
  <c r="M2348" i="25" s="1"/>
  <c r="M2349" i="25" s="1"/>
  <c r="M2350" i="25" s="1"/>
  <c r="M2351" i="25" s="1"/>
  <c r="M2352" i="25" s="1"/>
  <c r="M2353" i="25" s="1"/>
  <c r="M2354" i="25" s="1"/>
  <c r="M2355" i="25" s="1"/>
  <c r="M2356" i="25" s="1"/>
  <c r="M2357" i="25" s="1"/>
  <c r="M2358" i="25" s="1"/>
  <c r="M2359" i="25" s="1"/>
  <c r="M2360" i="25" s="1"/>
  <c r="M2361" i="25" s="1"/>
  <c r="M2362" i="25" s="1"/>
  <c r="M2363" i="25" s="1"/>
  <c r="M2364" i="25" s="1"/>
  <c r="M2365" i="25" s="1"/>
  <c r="M2366" i="25" s="1"/>
  <c r="M2367" i="25" s="1"/>
  <c r="M2368" i="25" s="1"/>
  <c r="M2369" i="25" s="1"/>
  <c r="M2370" i="25" s="1"/>
  <c r="M2371" i="25" s="1"/>
  <c r="M2372" i="25" s="1"/>
  <c r="M2373" i="25" s="1"/>
  <c r="M2374" i="25" s="1"/>
  <c r="M2375" i="25" s="1"/>
  <c r="M2376" i="25" s="1"/>
  <c r="M2377" i="25" s="1"/>
  <c r="M2378" i="25" s="1"/>
  <c r="M2379" i="25" s="1"/>
  <c r="M2380" i="25" s="1"/>
  <c r="M2381" i="25" s="1"/>
  <c r="M2382" i="25" s="1"/>
  <c r="M2383" i="25" s="1"/>
  <c r="M2384" i="25" s="1"/>
  <c r="M2385" i="25" s="1"/>
  <c r="M2386" i="25" s="1"/>
  <c r="M2387" i="25" s="1"/>
  <c r="M2388" i="25" s="1"/>
  <c r="M2389" i="25" s="1"/>
  <c r="M2390" i="25" s="1"/>
  <c r="M2391" i="25" s="1"/>
  <c r="M2392" i="25" s="1"/>
  <c r="M2393" i="25" s="1"/>
  <c r="M2394" i="25" s="1"/>
  <c r="M2395" i="25" s="1"/>
  <c r="M2396" i="25" s="1"/>
  <c r="M2397" i="25" s="1"/>
  <c r="M2398" i="25" s="1"/>
  <c r="M2399" i="25" s="1"/>
  <c r="M2400" i="25" s="1"/>
  <c r="M2401" i="25" s="1"/>
  <c r="M2402" i="25" s="1"/>
  <c r="M2403" i="25" s="1"/>
  <c r="M2404" i="25" s="1"/>
  <c r="M2405" i="25" s="1"/>
  <c r="M2406" i="25" s="1"/>
  <c r="M2407" i="25" s="1"/>
  <c r="M2408" i="25" s="1"/>
  <c r="M2409" i="25" s="1"/>
  <c r="M2410" i="25" s="1"/>
  <c r="M2411" i="25" s="1"/>
  <c r="M2412" i="25" s="1"/>
  <c r="M2413" i="25" s="1"/>
  <c r="M2414" i="25" s="1"/>
  <c r="M2415" i="25" s="1"/>
  <c r="M2416" i="25" s="1"/>
  <c r="M2417" i="25" s="1"/>
  <c r="M2418" i="25" s="1"/>
  <c r="M2419" i="25" s="1"/>
  <c r="M2420" i="25" s="1"/>
  <c r="M2421" i="25" s="1"/>
  <c r="M2422" i="25" s="1"/>
  <c r="M2423" i="25" s="1"/>
  <c r="M2424" i="25" s="1"/>
  <c r="M2425" i="25" s="1"/>
  <c r="M2426" i="25" s="1"/>
  <c r="M2427" i="25" s="1"/>
  <c r="M2428" i="25" s="1"/>
  <c r="M2429" i="25" s="1"/>
  <c r="M2430" i="25" s="1"/>
  <c r="M2431" i="25" s="1"/>
  <c r="M2432" i="25" s="1"/>
  <c r="M2433" i="25" s="1"/>
  <c r="M2434" i="25" s="1"/>
  <c r="M2435" i="25" s="1"/>
  <c r="M2436" i="25" s="1"/>
  <c r="M2437" i="25" s="1"/>
  <c r="M2438" i="25" s="1"/>
  <c r="M2439" i="25" s="1"/>
  <c r="M2440" i="25" s="1"/>
  <c r="M2441" i="25" s="1"/>
  <c r="M2442" i="25" s="1"/>
  <c r="M2443" i="25" s="1"/>
  <c r="M2444" i="25" s="1"/>
  <c r="M2445" i="25" s="1"/>
  <c r="M2446" i="25" s="1"/>
  <c r="M2447" i="25" s="1"/>
  <c r="M2448" i="25" s="1"/>
  <c r="M2449" i="25" s="1"/>
  <c r="M2450" i="25" s="1"/>
  <c r="M2451" i="25" s="1"/>
  <c r="M2452" i="25" s="1"/>
  <c r="M2453" i="25" s="1"/>
  <c r="M2454" i="25" s="1"/>
  <c r="M2455" i="25" s="1"/>
  <c r="M2456" i="25" s="1"/>
  <c r="M2457" i="25" s="1"/>
  <c r="M2458" i="25" s="1"/>
  <c r="M2459" i="25" s="1"/>
  <c r="M2460" i="25" s="1"/>
  <c r="M2461" i="25" s="1"/>
  <c r="M2462" i="25" s="1"/>
  <c r="M2463" i="25" s="1"/>
  <c r="M2464" i="25" s="1"/>
  <c r="M2465" i="25" s="1"/>
  <c r="M2466" i="25" s="1"/>
  <c r="M2467" i="25" s="1"/>
  <c r="M2468" i="25" s="1"/>
  <c r="M2469" i="25" s="1"/>
  <c r="M2470" i="25" s="1"/>
  <c r="M2471" i="25" s="1"/>
  <c r="M2472" i="25" s="1"/>
  <c r="M2473" i="25" s="1"/>
  <c r="M2474" i="25" s="1"/>
  <c r="M2475" i="25" s="1"/>
  <c r="M2476" i="25" s="1"/>
  <c r="M2477" i="25" s="1"/>
  <c r="M2478" i="25" s="1"/>
  <c r="M2479" i="25" s="1"/>
  <c r="M2480" i="25" s="1"/>
  <c r="M2481" i="25" s="1"/>
  <c r="M2482" i="25" s="1"/>
  <c r="M2483" i="25" s="1"/>
  <c r="M2484" i="25" s="1"/>
  <c r="M2485" i="25" s="1"/>
  <c r="M2486" i="25" s="1"/>
  <c r="M2487" i="25" s="1"/>
  <c r="M2488" i="25" s="1"/>
  <c r="M2489" i="25" s="1"/>
  <c r="M2490" i="25" s="1"/>
  <c r="M2491" i="25" s="1"/>
  <c r="M2492" i="25" s="1"/>
  <c r="M2493" i="25" s="1"/>
  <c r="M2494" i="25" s="1"/>
  <c r="M2495" i="25" s="1"/>
  <c r="M2496" i="25" s="1"/>
  <c r="M2497" i="25" s="1"/>
  <c r="M2498" i="25" s="1"/>
  <c r="M2499" i="25" s="1"/>
  <c r="M2500" i="25" s="1"/>
  <c r="M2501" i="25" s="1"/>
  <c r="M2502" i="25" s="1"/>
  <c r="M2503" i="25" s="1"/>
  <c r="M2504" i="25" s="1"/>
  <c r="M2505" i="25" s="1"/>
  <c r="M2506" i="25" s="1"/>
  <c r="M2507" i="25" s="1"/>
  <c r="M2508" i="25" s="1"/>
  <c r="M2509" i="25" s="1"/>
  <c r="M2510" i="25" s="1"/>
  <c r="M2511" i="25" s="1"/>
  <c r="M2512" i="25" s="1"/>
  <c r="M2513" i="25" s="1"/>
  <c r="M2514" i="25" s="1"/>
  <c r="M2515" i="25" s="1"/>
  <c r="M2516" i="25" s="1"/>
  <c r="M2517" i="25" s="1"/>
  <c r="M2518" i="25" s="1"/>
  <c r="M2519" i="25" s="1"/>
  <c r="M2520" i="25" s="1"/>
  <c r="M2521" i="25" s="1"/>
  <c r="M2522" i="25" s="1"/>
  <c r="M2523" i="25" s="1"/>
  <c r="M2524" i="25" s="1"/>
  <c r="M2525" i="25" s="1"/>
  <c r="M2526" i="25" s="1"/>
  <c r="M2527" i="25" s="1"/>
  <c r="M2528" i="25" s="1"/>
  <c r="M2529" i="25" s="1"/>
  <c r="M2530" i="25" s="1"/>
  <c r="M2531" i="25" s="1"/>
  <c r="M2532" i="25" s="1"/>
  <c r="M2533" i="25" s="1"/>
  <c r="M2534" i="25" s="1"/>
  <c r="M2535" i="25" s="1"/>
  <c r="M2536" i="25" s="1"/>
  <c r="M2537" i="25" s="1"/>
  <c r="M2538" i="25" s="1"/>
  <c r="M2539" i="25" s="1"/>
  <c r="M2540" i="25" s="1"/>
  <c r="M2541" i="25" s="1"/>
  <c r="M2542" i="25" s="1"/>
  <c r="M2543" i="25" s="1"/>
  <c r="M2544" i="25" s="1"/>
  <c r="M2545" i="25" s="1"/>
  <c r="M2546" i="25" s="1"/>
  <c r="M2547" i="25" s="1"/>
  <c r="M2548" i="25" s="1"/>
  <c r="M2549" i="25" s="1"/>
  <c r="M2550" i="25" s="1"/>
  <c r="M2551" i="25" s="1"/>
  <c r="M2552" i="25" s="1"/>
  <c r="M2553" i="25" s="1"/>
  <c r="M2554" i="25" s="1"/>
  <c r="M2555" i="25" s="1"/>
  <c r="M2556" i="25" s="1"/>
  <c r="M2557" i="25" s="1"/>
  <c r="M2558" i="25" s="1"/>
  <c r="M2559" i="25" s="1"/>
  <c r="M2560" i="25" s="1"/>
  <c r="M2561" i="25" s="1"/>
  <c r="M2562" i="25" s="1"/>
  <c r="M2563" i="25" s="1"/>
  <c r="M2564" i="25" s="1"/>
  <c r="M2565" i="25" s="1"/>
  <c r="M2566" i="25" s="1"/>
  <c r="M2567" i="25" s="1"/>
  <c r="M2568" i="25" s="1"/>
  <c r="M2569" i="25" s="1"/>
  <c r="M2570" i="25" s="1"/>
  <c r="M2571" i="25" s="1"/>
  <c r="M2572" i="25" s="1"/>
  <c r="M2573" i="25" s="1"/>
  <c r="M2574" i="25" s="1"/>
  <c r="M2575" i="25" s="1"/>
  <c r="M2576" i="25" s="1"/>
  <c r="M2577" i="25" s="1"/>
  <c r="M2578" i="25" s="1"/>
  <c r="M2579" i="25" s="1"/>
  <c r="M2580" i="25" s="1"/>
  <c r="M2581" i="25" s="1"/>
  <c r="M2582" i="25" s="1"/>
  <c r="M2583" i="25" s="1"/>
  <c r="M2584" i="25" s="1"/>
  <c r="M2585" i="25" s="1"/>
  <c r="M2586" i="25" s="1"/>
  <c r="M2587" i="25" s="1"/>
  <c r="M2588" i="25" s="1"/>
  <c r="M2589" i="25" s="1"/>
  <c r="M2590" i="25" s="1"/>
  <c r="M2591" i="25" s="1"/>
  <c r="M2592" i="25" s="1"/>
  <c r="M2593" i="25" s="1"/>
  <c r="M2594" i="25" s="1"/>
  <c r="M2595" i="25" s="1"/>
  <c r="M2596" i="25" s="1"/>
  <c r="M2597" i="25" s="1"/>
  <c r="M2598" i="25" s="1"/>
  <c r="M2599" i="25" s="1"/>
  <c r="M2600" i="25" s="1"/>
  <c r="M2601" i="25" s="1"/>
  <c r="M2602" i="25" s="1"/>
  <c r="M2603" i="25" s="1"/>
  <c r="M2604" i="25" s="1"/>
  <c r="M2605" i="25" s="1"/>
  <c r="M2606" i="25" s="1"/>
  <c r="M2607" i="25" s="1"/>
  <c r="M2608" i="25" s="1"/>
  <c r="M2609" i="25" s="1"/>
  <c r="M2610" i="25" s="1"/>
  <c r="M2611" i="25" s="1"/>
  <c r="M2612" i="25" s="1"/>
  <c r="M2613" i="25" s="1"/>
  <c r="M2614" i="25" s="1"/>
  <c r="M2615" i="25" s="1"/>
  <c r="M2616" i="25" s="1"/>
  <c r="M2617" i="25" s="1"/>
  <c r="M2618" i="25" s="1"/>
  <c r="M2619" i="25" s="1"/>
  <c r="M2620" i="25" s="1"/>
  <c r="M2621" i="25" s="1"/>
  <c r="M2622" i="25" s="1"/>
  <c r="M2623" i="25" s="1"/>
  <c r="M2624" i="25" s="1"/>
  <c r="M2625" i="25" s="1"/>
  <c r="M2626" i="25" s="1"/>
  <c r="M2627" i="25" s="1"/>
  <c r="M2628" i="25" s="1"/>
  <c r="M2629" i="25" s="1"/>
  <c r="M2630" i="25" s="1"/>
  <c r="M2631" i="25" s="1"/>
  <c r="M2632" i="25" s="1"/>
  <c r="M2633" i="25" s="1"/>
  <c r="M2634" i="25" s="1"/>
  <c r="M2635" i="25" s="1"/>
  <c r="M2636" i="25" s="1"/>
  <c r="M2637" i="25" s="1"/>
  <c r="M2638" i="25" s="1"/>
  <c r="M2639" i="25" s="1"/>
  <c r="M2640" i="25" s="1"/>
  <c r="M2641" i="25" s="1"/>
  <c r="M2642" i="25" s="1"/>
  <c r="M2643" i="25" s="1"/>
  <c r="M2644" i="25" s="1"/>
  <c r="M2645" i="25" s="1"/>
  <c r="M2646" i="25" s="1"/>
  <c r="M2647" i="25" s="1"/>
  <c r="M2648" i="25" s="1"/>
  <c r="M2649" i="25" s="1"/>
  <c r="M2650" i="25" s="1"/>
  <c r="M2651" i="25" s="1"/>
  <c r="M2652" i="25" s="1"/>
  <c r="M2653" i="25" s="1"/>
  <c r="M2654" i="25" s="1"/>
  <c r="M2655" i="25" s="1"/>
  <c r="M2656" i="25" s="1"/>
  <c r="M2657" i="25" s="1"/>
  <c r="M2658" i="25" s="1"/>
  <c r="M2659" i="25" s="1"/>
  <c r="M2660" i="25" s="1"/>
  <c r="M2661" i="25" s="1"/>
  <c r="M2662" i="25" s="1"/>
  <c r="M2663" i="25" s="1"/>
  <c r="M2664" i="25" s="1"/>
  <c r="M2665" i="25" s="1"/>
  <c r="M2666" i="25" s="1"/>
  <c r="M2667" i="25" s="1"/>
  <c r="M2668" i="25" s="1"/>
  <c r="M2669" i="25" s="1"/>
  <c r="M2670" i="25" s="1"/>
  <c r="M2671" i="25" s="1"/>
  <c r="M2672" i="25" s="1"/>
  <c r="M2673" i="25" s="1"/>
  <c r="M2674" i="25" s="1"/>
  <c r="M2675" i="25" s="1"/>
  <c r="M2676" i="25" s="1"/>
  <c r="M2677" i="25" s="1"/>
  <c r="M2678" i="25" s="1"/>
  <c r="M2679" i="25" s="1"/>
  <c r="M2680" i="25" s="1"/>
  <c r="M2681" i="25" s="1"/>
  <c r="M2682" i="25" s="1"/>
  <c r="M2683" i="25" s="1"/>
  <c r="M2684" i="25" s="1"/>
  <c r="M2685" i="25" s="1"/>
  <c r="M2686" i="25" s="1"/>
  <c r="M2687" i="25" s="1"/>
  <c r="M2688" i="25" s="1"/>
  <c r="M2689" i="25" s="1"/>
  <c r="M2690" i="25" s="1"/>
  <c r="M2691" i="25" s="1"/>
  <c r="M2692" i="25" s="1"/>
  <c r="M2693" i="25" s="1"/>
  <c r="M2694" i="25" s="1"/>
  <c r="M2695" i="25" s="1"/>
  <c r="M2696" i="25" s="1"/>
  <c r="M2697" i="25" s="1"/>
  <c r="M2698" i="25" s="1"/>
  <c r="M2699" i="25" s="1"/>
  <c r="M2700" i="25" s="1"/>
  <c r="M2701" i="25" s="1"/>
  <c r="M2702" i="25" s="1"/>
  <c r="M2703" i="25" s="1"/>
  <c r="M2704" i="25" s="1"/>
  <c r="M2705" i="25" s="1"/>
  <c r="M2706" i="25" s="1"/>
  <c r="M2707" i="25" s="1"/>
  <c r="M2708" i="25" s="1"/>
  <c r="M2709" i="25" s="1"/>
  <c r="M2710" i="25" s="1"/>
  <c r="M2711" i="25" s="1"/>
  <c r="M2712" i="25" s="1"/>
  <c r="M2713" i="25" s="1"/>
  <c r="M2714" i="25" s="1"/>
  <c r="M2715" i="25" s="1"/>
  <c r="M2716" i="25" s="1"/>
  <c r="M2717" i="25" s="1"/>
  <c r="M2718" i="25" s="1"/>
  <c r="M2719" i="25" s="1"/>
  <c r="M2720" i="25" s="1"/>
  <c r="M2721" i="25" s="1"/>
  <c r="M2722" i="25" s="1"/>
  <c r="M2723" i="25" s="1"/>
  <c r="M2724" i="25" s="1"/>
  <c r="M2725" i="25" s="1"/>
  <c r="M2726" i="25" s="1"/>
  <c r="M2727" i="25" s="1"/>
  <c r="M2728" i="25" s="1"/>
  <c r="M2729" i="25" s="1"/>
  <c r="M2730" i="25" s="1"/>
  <c r="M2731" i="25" s="1"/>
  <c r="M2732" i="25" s="1"/>
  <c r="M2733" i="25" s="1"/>
  <c r="M2734" i="25" s="1"/>
  <c r="M2735" i="25" s="1"/>
  <c r="M2736" i="25" s="1"/>
  <c r="M2737" i="25" s="1"/>
  <c r="M2738" i="25" s="1"/>
  <c r="M2739" i="25" s="1"/>
  <c r="M2740" i="25" s="1"/>
  <c r="M2741" i="25" s="1"/>
  <c r="M2742" i="25" s="1"/>
  <c r="M2743" i="25" s="1"/>
  <c r="M2744" i="25" s="1"/>
  <c r="M2745" i="25" s="1"/>
  <c r="M2746" i="25" s="1"/>
  <c r="M2747" i="25" s="1"/>
  <c r="M2748" i="25" s="1"/>
  <c r="M2749" i="25" s="1"/>
  <c r="M2750" i="25" s="1"/>
  <c r="M2751" i="25" s="1"/>
  <c r="M2752" i="25" s="1"/>
  <c r="M2753" i="25" s="1"/>
  <c r="M2754" i="25" s="1"/>
  <c r="M2755" i="25" s="1"/>
  <c r="M2756" i="25" s="1"/>
  <c r="M2757" i="25" s="1"/>
  <c r="M2758" i="25" s="1"/>
  <c r="M2759" i="25" s="1"/>
  <c r="M2760" i="25" s="1"/>
  <c r="M2761" i="25" s="1"/>
  <c r="M2762" i="25" s="1"/>
  <c r="M2763" i="25" s="1"/>
  <c r="M2764" i="25" s="1"/>
  <c r="M2765" i="25" s="1"/>
  <c r="M2766" i="25" s="1"/>
  <c r="M2767" i="25" s="1"/>
  <c r="M2768" i="25" s="1"/>
  <c r="M2769" i="25" s="1"/>
  <c r="M2770" i="25" s="1"/>
  <c r="M2771" i="25" s="1"/>
  <c r="M2772" i="25" s="1"/>
  <c r="M2773" i="25" s="1"/>
  <c r="M2774" i="25" s="1"/>
  <c r="M2775" i="25" s="1"/>
  <c r="M2776" i="25" s="1"/>
  <c r="M2777" i="25" s="1"/>
  <c r="M2778" i="25" s="1"/>
  <c r="M2779" i="25" s="1"/>
  <c r="M2780" i="25" s="1"/>
  <c r="M2781" i="25" s="1"/>
  <c r="M2782" i="25" s="1"/>
  <c r="M2783" i="25" s="1"/>
  <c r="M2784" i="25" s="1"/>
  <c r="M2785" i="25" s="1"/>
  <c r="M2786" i="25" s="1"/>
  <c r="M2787" i="25" s="1"/>
  <c r="M2788" i="25" s="1"/>
  <c r="M2789" i="25" s="1"/>
  <c r="M2790" i="25" s="1"/>
  <c r="M2791" i="25" s="1"/>
  <c r="M2792" i="25" s="1"/>
  <c r="M2793" i="25" s="1"/>
  <c r="M2794" i="25" s="1"/>
  <c r="M2795" i="25" s="1"/>
  <c r="M2796" i="25" s="1"/>
  <c r="M2797" i="25" s="1"/>
  <c r="M2798" i="25" s="1"/>
  <c r="M2799" i="25" s="1"/>
  <c r="M2800" i="25" s="1"/>
  <c r="M2801" i="25" s="1"/>
  <c r="M2802" i="25" s="1"/>
  <c r="M2803" i="25" s="1"/>
  <c r="M2804" i="25" s="1"/>
  <c r="M2805" i="25" s="1"/>
  <c r="M2806" i="25" s="1"/>
  <c r="M2807" i="25" s="1"/>
  <c r="M2808" i="25" s="1"/>
  <c r="M2809" i="25" s="1"/>
  <c r="M2810" i="25" s="1"/>
  <c r="M2811" i="25" s="1"/>
  <c r="M2812" i="25" s="1"/>
  <c r="M2813" i="25" s="1"/>
  <c r="M2814" i="25" s="1"/>
  <c r="M2815" i="25" s="1"/>
  <c r="M2816" i="25" s="1"/>
  <c r="M2817" i="25" s="1"/>
  <c r="M2818" i="25" s="1"/>
  <c r="M2819" i="25" s="1"/>
  <c r="M2820" i="25" s="1"/>
  <c r="M2821" i="25" s="1"/>
  <c r="M2822" i="25" s="1"/>
  <c r="M2823" i="25" s="1"/>
  <c r="M2824" i="25" s="1"/>
  <c r="M2825" i="25" s="1"/>
  <c r="M2826" i="25" s="1"/>
  <c r="M2827" i="25" s="1"/>
  <c r="M2828" i="25" s="1"/>
  <c r="M2829" i="25" s="1"/>
  <c r="M2830" i="25" s="1"/>
  <c r="M2831" i="25" s="1"/>
  <c r="M2832" i="25" s="1"/>
  <c r="M2833" i="25" s="1"/>
  <c r="M2834" i="25" s="1"/>
  <c r="M2835" i="25" s="1"/>
  <c r="M2836" i="25" s="1"/>
  <c r="M2837" i="25" s="1"/>
  <c r="M2838" i="25" s="1"/>
  <c r="M2839" i="25" s="1"/>
  <c r="M2840" i="25" s="1"/>
  <c r="M2841" i="25" s="1"/>
  <c r="M2842" i="25" s="1"/>
  <c r="M2843" i="25" s="1"/>
  <c r="M2844" i="25" s="1"/>
  <c r="M2845" i="25" s="1"/>
  <c r="M2846" i="25" s="1"/>
  <c r="M2847" i="25" s="1"/>
  <c r="M2848" i="25" s="1"/>
  <c r="M2849" i="25" s="1"/>
  <c r="M2850" i="25" s="1"/>
  <c r="M2851" i="25" s="1"/>
  <c r="M2852" i="25" s="1"/>
  <c r="M2853" i="25" s="1"/>
  <c r="M2854" i="25" s="1"/>
  <c r="M2855" i="25" s="1"/>
  <c r="M2856" i="25" s="1"/>
  <c r="M2857" i="25" s="1"/>
  <c r="M2858" i="25" s="1"/>
  <c r="M2859" i="25" s="1"/>
  <c r="M2860" i="25" s="1"/>
  <c r="M2861" i="25" s="1"/>
  <c r="M2862" i="25" s="1"/>
  <c r="M2863" i="25" s="1"/>
  <c r="M2864" i="25" s="1"/>
  <c r="M2865" i="25" s="1"/>
  <c r="M2866" i="25" s="1"/>
  <c r="M2867" i="25" s="1"/>
  <c r="M2868" i="25" s="1"/>
  <c r="M2869" i="25" s="1"/>
  <c r="M2870" i="25" s="1"/>
  <c r="M2871" i="25" s="1"/>
  <c r="M2872" i="25" s="1"/>
  <c r="M2873" i="25" s="1"/>
  <c r="M2874" i="25" s="1"/>
  <c r="M2875" i="25" s="1"/>
  <c r="M2876" i="25" s="1"/>
  <c r="M2877" i="25" s="1"/>
  <c r="M2878" i="25" s="1"/>
  <c r="M2879" i="25" s="1"/>
  <c r="M2880" i="25" s="1"/>
  <c r="M2881" i="25" s="1"/>
  <c r="M2882" i="25" s="1"/>
  <c r="M2883" i="25" s="1"/>
  <c r="M2884" i="25" s="1"/>
  <c r="M2885" i="25" s="1"/>
  <c r="M2886" i="25" s="1"/>
  <c r="M2887" i="25" s="1"/>
  <c r="M2888" i="25" s="1"/>
  <c r="M2889" i="25" s="1"/>
  <c r="M2890" i="25" s="1"/>
  <c r="M2891" i="25" s="1"/>
  <c r="M2892" i="25" s="1"/>
  <c r="M2893" i="25" s="1"/>
  <c r="M2894" i="25" s="1"/>
  <c r="M2895" i="25" s="1"/>
  <c r="M2896" i="25" s="1"/>
  <c r="M2897" i="25" s="1"/>
  <c r="M2898" i="25" s="1"/>
  <c r="M2899" i="25" s="1"/>
  <c r="M2900" i="25" s="1"/>
  <c r="M2901" i="25" s="1"/>
  <c r="M2902" i="25" s="1"/>
  <c r="M2903" i="25" s="1"/>
  <c r="M2904" i="25" s="1"/>
  <c r="M2905" i="25" s="1"/>
  <c r="M2906" i="25" s="1"/>
  <c r="M2907" i="25" s="1"/>
  <c r="M2908" i="25" s="1"/>
  <c r="M2909" i="25" s="1"/>
  <c r="M2910" i="25" s="1"/>
  <c r="M2911" i="25" s="1"/>
  <c r="M2912" i="25" s="1"/>
  <c r="M2913" i="25" s="1"/>
  <c r="M2914" i="25" s="1"/>
  <c r="M2915" i="25" s="1"/>
  <c r="M2916" i="25" s="1"/>
  <c r="M2917" i="25" s="1"/>
  <c r="M2918" i="25" s="1"/>
  <c r="M2919" i="25" s="1"/>
  <c r="M2920" i="25" s="1"/>
  <c r="M2921" i="25" s="1"/>
  <c r="M2922" i="25" s="1"/>
  <c r="M2923" i="25" s="1"/>
  <c r="M2924" i="25" s="1"/>
  <c r="M2925" i="25" s="1"/>
  <c r="M2926" i="25" s="1"/>
  <c r="M2927" i="25" s="1"/>
  <c r="M2928" i="25" s="1"/>
  <c r="M2929" i="25" s="1"/>
  <c r="M2930" i="25" s="1"/>
  <c r="M2931" i="25" s="1"/>
  <c r="M2932" i="25" s="1"/>
  <c r="M2933" i="25" s="1"/>
  <c r="M2934" i="25" s="1"/>
  <c r="M2935" i="25" s="1"/>
  <c r="M2936" i="25" s="1"/>
  <c r="M2937" i="25" s="1"/>
  <c r="M2938" i="25" s="1"/>
  <c r="M2939" i="25" s="1"/>
  <c r="M2940" i="25" s="1"/>
  <c r="M2941" i="25" s="1"/>
  <c r="M2942" i="25" s="1"/>
  <c r="M2943" i="25" s="1"/>
  <c r="M2944" i="25" s="1"/>
  <c r="M2945" i="25" s="1"/>
  <c r="M2946" i="25" s="1"/>
  <c r="M2947" i="25" s="1"/>
  <c r="M2948" i="25" s="1"/>
  <c r="M2949" i="25" s="1"/>
  <c r="M2950" i="25" s="1"/>
  <c r="M2951" i="25" s="1"/>
  <c r="M2952" i="25" s="1"/>
  <c r="M2953" i="25" s="1"/>
  <c r="M2954" i="25" s="1"/>
  <c r="M2955" i="25" s="1"/>
  <c r="M2956" i="25" s="1"/>
  <c r="M2957" i="25" s="1"/>
  <c r="M2958" i="25" s="1"/>
  <c r="M2959" i="25" s="1"/>
  <c r="M2960" i="25" s="1"/>
  <c r="M2961" i="25" s="1"/>
  <c r="M2962" i="25" s="1"/>
  <c r="M2963" i="25" s="1"/>
  <c r="M2964" i="25" s="1"/>
  <c r="M2965" i="25" s="1"/>
  <c r="M2966" i="25" s="1"/>
  <c r="M2967" i="25" s="1"/>
  <c r="M2968" i="25" s="1"/>
  <c r="M2969" i="25" s="1"/>
  <c r="M2970" i="25" s="1"/>
  <c r="M2971" i="25" s="1"/>
  <c r="M2972" i="25" s="1"/>
  <c r="M2973" i="25" s="1"/>
  <c r="M2974" i="25" s="1"/>
  <c r="M2975" i="25" s="1"/>
  <c r="M2976" i="25" s="1"/>
  <c r="M2977" i="25" s="1"/>
  <c r="M2978" i="25" s="1"/>
  <c r="M2979" i="25" s="1"/>
  <c r="M2980" i="25" s="1"/>
  <c r="M2981" i="25" s="1"/>
  <c r="M2982" i="25" s="1"/>
  <c r="M2983" i="25" s="1"/>
  <c r="M2984" i="25" s="1"/>
  <c r="M2985" i="25" s="1"/>
  <c r="M2986" i="25" s="1"/>
  <c r="M2987" i="25" s="1"/>
  <c r="M2988" i="25" s="1"/>
  <c r="M2989" i="25" s="1"/>
  <c r="M2990" i="25" s="1"/>
  <c r="M2991" i="25" s="1"/>
  <c r="M2992" i="25" s="1"/>
  <c r="M2993" i="25" s="1"/>
  <c r="M2994" i="25" s="1"/>
  <c r="M2995" i="25" s="1"/>
  <c r="M2996" i="25" s="1"/>
  <c r="M2997" i="25" s="1"/>
  <c r="M2998" i="25" s="1"/>
  <c r="M2999" i="25" s="1"/>
  <c r="M3000" i="25" s="1"/>
  <c r="M3001" i="25" s="1"/>
  <c r="M3002" i="25" s="1"/>
  <c r="M3003" i="25" s="1"/>
  <c r="M3004" i="25" s="1"/>
  <c r="M3005" i="25" s="1"/>
  <c r="M3006" i="25" s="1"/>
  <c r="M3007" i="25" s="1"/>
  <c r="M3008" i="25" s="1"/>
  <c r="M3009" i="25" s="1"/>
  <c r="M3010" i="25" s="1"/>
  <c r="M3011" i="25" s="1"/>
  <c r="M3012" i="25" s="1"/>
  <c r="M3013" i="25" s="1"/>
  <c r="M3014" i="25" s="1"/>
  <c r="M3015" i="25" s="1"/>
  <c r="M3016" i="25" s="1"/>
  <c r="M3017" i="25" s="1"/>
  <c r="M3018" i="25" s="1"/>
  <c r="M3019" i="25" s="1"/>
  <c r="M3020" i="25" s="1"/>
  <c r="M3021" i="25" s="1"/>
  <c r="M3022" i="25" s="1"/>
  <c r="M3023" i="25" s="1"/>
  <c r="M3024" i="25" s="1"/>
  <c r="M3025" i="25" s="1"/>
  <c r="M3026" i="25" s="1"/>
  <c r="M3027" i="25" s="1"/>
  <c r="M3028" i="25" s="1"/>
  <c r="M3029" i="25" s="1"/>
  <c r="M3030" i="25" s="1"/>
  <c r="M3031" i="25" s="1"/>
  <c r="M3032" i="25" s="1"/>
  <c r="M3033" i="25" s="1"/>
  <c r="M3034" i="25" s="1"/>
  <c r="M3035" i="25" s="1"/>
  <c r="M3036" i="25" s="1"/>
  <c r="M3037" i="25" s="1"/>
  <c r="M3038" i="25" s="1"/>
  <c r="M3039" i="25" s="1"/>
  <c r="M3040" i="25" s="1"/>
  <c r="M3041" i="25" s="1"/>
  <c r="M3042" i="25" s="1"/>
  <c r="M3043" i="25" s="1"/>
  <c r="M3044" i="25" s="1"/>
  <c r="M3045" i="25" s="1"/>
  <c r="M3046" i="25" s="1"/>
  <c r="M3047" i="25" s="1"/>
  <c r="M3048" i="25" s="1"/>
  <c r="M3049" i="25" s="1"/>
  <c r="M3050" i="25" s="1"/>
  <c r="M3051" i="25" s="1"/>
  <c r="M3052" i="25" s="1"/>
  <c r="M3053" i="25" s="1"/>
  <c r="M3054" i="25" s="1"/>
  <c r="M3055" i="25" s="1"/>
  <c r="M3056" i="25" s="1"/>
  <c r="M3057" i="25" s="1"/>
  <c r="M3058" i="25" s="1"/>
  <c r="M3059" i="25" s="1"/>
  <c r="M3060" i="25" s="1"/>
  <c r="M3061" i="25" s="1"/>
  <c r="M3062" i="25" s="1"/>
  <c r="M3063" i="25" s="1"/>
  <c r="M3064" i="25" s="1"/>
  <c r="M3065" i="25" s="1"/>
  <c r="M3066" i="25" s="1"/>
  <c r="M3067" i="25" s="1"/>
  <c r="M3068" i="25" s="1"/>
  <c r="M3069" i="25" s="1"/>
  <c r="M3070" i="25" s="1"/>
  <c r="M3071" i="25" s="1"/>
  <c r="M3072" i="25" s="1"/>
  <c r="M3073" i="25" s="1"/>
  <c r="M3074" i="25" s="1"/>
  <c r="M3075" i="25" s="1"/>
  <c r="M3076" i="25" s="1"/>
  <c r="M3077" i="25" s="1"/>
  <c r="M3078" i="25" s="1"/>
  <c r="M3079" i="25" s="1"/>
  <c r="M3080" i="25" s="1"/>
  <c r="M3081" i="25" s="1"/>
  <c r="M3082" i="25" s="1"/>
  <c r="M3083" i="25" s="1"/>
  <c r="M3084" i="25" s="1"/>
  <c r="M3085" i="25" s="1"/>
  <c r="M3086" i="25" s="1"/>
  <c r="M3087" i="25" s="1"/>
  <c r="M3088" i="25" s="1"/>
  <c r="M3089" i="25" s="1"/>
  <c r="M3090" i="25" s="1"/>
  <c r="M3091" i="25" s="1"/>
  <c r="M3092" i="25" s="1"/>
  <c r="M3093" i="25" s="1"/>
  <c r="M3094" i="25" s="1"/>
  <c r="M3095" i="25" s="1"/>
  <c r="M3096" i="25" s="1"/>
  <c r="M3097" i="25" s="1"/>
  <c r="M3098" i="25" s="1"/>
  <c r="M3099" i="25" s="1"/>
  <c r="M3100" i="25" s="1"/>
  <c r="M3101" i="25" s="1"/>
  <c r="M3102" i="25" s="1"/>
  <c r="M3103" i="25" s="1"/>
  <c r="M3104" i="25" s="1"/>
  <c r="M3105" i="25" s="1"/>
  <c r="M3106" i="25" s="1"/>
  <c r="M3107" i="25" s="1"/>
  <c r="M3108" i="25" s="1"/>
  <c r="M3109" i="25" s="1"/>
  <c r="M3110" i="25" s="1"/>
  <c r="M3111" i="25" s="1"/>
  <c r="M3112" i="25" s="1"/>
  <c r="M3113" i="25" s="1"/>
  <c r="M3114" i="25" s="1"/>
  <c r="M3115" i="25" s="1"/>
  <c r="M3116" i="25" s="1"/>
  <c r="M3117" i="25" s="1"/>
  <c r="M3118" i="25" s="1"/>
  <c r="M3119" i="25" s="1"/>
  <c r="M3120" i="25" s="1"/>
  <c r="M3121" i="25" s="1"/>
  <c r="M3122" i="25" s="1"/>
  <c r="M3123" i="25" s="1"/>
  <c r="M3124" i="25" s="1"/>
  <c r="M3125" i="25" s="1"/>
  <c r="M3126" i="25" s="1"/>
  <c r="M3127" i="25" s="1"/>
  <c r="M3128" i="25" s="1"/>
  <c r="M3129" i="25" s="1"/>
  <c r="M3130" i="25" s="1"/>
  <c r="M3131" i="25" s="1"/>
  <c r="M3132" i="25" s="1"/>
  <c r="M3133" i="25" s="1"/>
  <c r="M3134" i="25" s="1"/>
  <c r="M3135" i="25" s="1"/>
  <c r="M3136" i="25" s="1"/>
  <c r="M3137" i="25" s="1"/>
  <c r="M3138" i="25" s="1"/>
  <c r="M3139" i="25" s="1"/>
  <c r="M3140" i="25" s="1"/>
  <c r="M3141" i="25" s="1"/>
  <c r="M3142" i="25" s="1"/>
  <c r="M3143" i="25" s="1"/>
  <c r="M3144" i="25" s="1"/>
  <c r="M3145" i="25" s="1"/>
  <c r="M3146" i="25" s="1"/>
  <c r="M3147" i="25" s="1"/>
  <c r="M3148" i="25" s="1"/>
  <c r="M3149" i="25" s="1"/>
  <c r="M3150" i="25" s="1"/>
  <c r="M3151" i="25" s="1"/>
  <c r="M3152" i="25" s="1"/>
  <c r="M3153" i="25" s="1"/>
  <c r="M3154" i="25" s="1"/>
  <c r="M3155" i="25" s="1"/>
  <c r="M3156" i="25" s="1"/>
  <c r="M3157" i="25" s="1"/>
  <c r="M3158" i="25" s="1"/>
  <c r="M3159" i="25" s="1"/>
  <c r="M3160" i="25" s="1"/>
  <c r="M3161" i="25" s="1"/>
  <c r="M3162" i="25" s="1"/>
  <c r="M3163" i="25" s="1"/>
  <c r="M3164" i="25" s="1"/>
  <c r="M3165" i="25" s="1"/>
  <c r="M3166" i="25" s="1"/>
  <c r="M3167" i="25" s="1"/>
  <c r="M3168" i="25" s="1"/>
  <c r="M3169" i="25" s="1"/>
  <c r="M3170" i="25" s="1"/>
  <c r="M3171" i="25" s="1"/>
  <c r="M3172" i="25" s="1"/>
  <c r="M3173" i="25" s="1"/>
  <c r="M3174" i="25" s="1"/>
  <c r="M3175" i="25" s="1"/>
  <c r="M3176" i="25" s="1"/>
  <c r="M3177" i="25" s="1"/>
  <c r="M3178" i="25" s="1"/>
  <c r="M3179" i="25" s="1"/>
  <c r="M3180" i="25" s="1"/>
  <c r="M3181" i="25" s="1"/>
  <c r="M3182" i="25" s="1"/>
  <c r="M3183" i="25" s="1"/>
  <c r="M3184" i="25" s="1"/>
  <c r="M3185" i="25" s="1"/>
  <c r="M3186" i="25" s="1"/>
  <c r="M3187" i="25" s="1"/>
  <c r="M3188" i="25" s="1"/>
  <c r="M3189" i="25" s="1"/>
  <c r="M3190" i="25" s="1"/>
  <c r="M3191" i="25" s="1"/>
  <c r="M3192" i="25" s="1"/>
  <c r="M3193" i="25" s="1"/>
  <c r="M3194" i="25" s="1"/>
  <c r="M3195" i="25" s="1"/>
  <c r="M3196" i="25" s="1"/>
  <c r="M3197" i="25" s="1"/>
  <c r="M3198" i="25" s="1"/>
  <c r="M3199" i="25" s="1"/>
  <c r="M3200" i="25" s="1"/>
  <c r="M3201" i="25" s="1"/>
  <c r="M3202" i="25" s="1"/>
  <c r="M3203" i="25" s="1"/>
  <c r="M3204" i="25" s="1"/>
  <c r="M3205" i="25" s="1"/>
  <c r="M3206" i="25" s="1"/>
  <c r="M3207" i="25" s="1"/>
  <c r="M3208" i="25" s="1"/>
  <c r="M3209" i="25" s="1"/>
  <c r="M3210" i="25" s="1"/>
  <c r="M3211" i="25" s="1"/>
  <c r="M3212" i="25" s="1"/>
  <c r="M3213" i="25" s="1"/>
  <c r="M3214" i="25" s="1"/>
  <c r="M3215" i="25" s="1"/>
  <c r="M3216" i="25" s="1"/>
  <c r="M3217" i="25" s="1"/>
  <c r="M3218" i="25" s="1"/>
  <c r="M3219" i="25" s="1"/>
  <c r="M3220" i="25" s="1"/>
  <c r="M3221" i="25" s="1"/>
  <c r="M3222" i="25" s="1"/>
  <c r="M3223" i="25" s="1"/>
  <c r="M3224" i="25" s="1"/>
  <c r="M3225" i="25" s="1"/>
  <c r="M3226" i="25" s="1"/>
  <c r="M3227" i="25" s="1"/>
  <c r="M3228" i="25" s="1"/>
  <c r="M3229" i="25" s="1"/>
  <c r="M3230" i="25" s="1"/>
  <c r="M3231" i="25" s="1"/>
  <c r="M3232" i="25" s="1"/>
  <c r="M3233" i="25" s="1"/>
  <c r="M3234" i="25" s="1"/>
  <c r="M3235" i="25" s="1"/>
  <c r="M3236" i="25" s="1"/>
  <c r="M3237" i="25" s="1"/>
  <c r="M3238" i="25" s="1"/>
  <c r="M3239" i="25" s="1"/>
  <c r="M3240" i="25" s="1"/>
  <c r="M3241" i="25" s="1"/>
  <c r="M3242" i="25" s="1"/>
  <c r="M3243" i="25" s="1"/>
  <c r="M3244" i="25" s="1"/>
  <c r="M3245" i="25" s="1"/>
  <c r="M3246" i="25" s="1"/>
  <c r="M3247" i="25" s="1"/>
  <c r="M3248" i="25" s="1"/>
  <c r="M3249" i="25" s="1"/>
  <c r="M3250" i="25" s="1"/>
  <c r="M3251" i="25" s="1"/>
  <c r="M3252" i="25" s="1"/>
  <c r="M3253" i="25" s="1"/>
  <c r="M3254" i="25" s="1"/>
  <c r="M3255" i="25" s="1"/>
  <c r="M3256" i="25" s="1"/>
  <c r="M3257" i="25" s="1"/>
  <c r="M3258" i="25" s="1"/>
  <c r="M3259" i="25" s="1"/>
  <c r="M3260" i="25" s="1"/>
  <c r="M3261" i="25" s="1"/>
  <c r="M3262" i="25" s="1"/>
  <c r="M3263" i="25" s="1"/>
  <c r="M3264" i="25" s="1"/>
  <c r="M3265" i="25" s="1"/>
  <c r="M3266" i="25" s="1"/>
  <c r="M3267" i="25" s="1"/>
  <c r="M3268" i="25" s="1"/>
  <c r="M3269" i="25" s="1"/>
  <c r="M3270" i="25" s="1"/>
  <c r="M3271" i="25" s="1"/>
  <c r="M3272" i="25" s="1"/>
  <c r="M3273" i="25" s="1"/>
  <c r="M3274" i="25" s="1"/>
  <c r="M3275" i="25" s="1"/>
  <c r="M3276" i="25" s="1"/>
  <c r="M3277" i="25" s="1"/>
  <c r="M3278" i="25" s="1"/>
  <c r="M3279" i="25" s="1"/>
  <c r="M3280" i="25" s="1"/>
  <c r="M3281" i="25" s="1"/>
  <c r="M3282" i="25" s="1"/>
  <c r="M3283" i="25" s="1"/>
  <c r="M3284" i="25" s="1"/>
  <c r="M3285" i="25" s="1"/>
  <c r="M3286" i="25" s="1"/>
  <c r="M3287" i="25" s="1"/>
  <c r="M3288" i="25" s="1"/>
  <c r="M3289" i="25" s="1"/>
  <c r="M3290" i="25" s="1"/>
  <c r="M3291" i="25" s="1"/>
  <c r="M3292" i="25" s="1"/>
  <c r="M3293" i="25" s="1"/>
  <c r="M3294" i="25" s="1"/>
  <c r="M3295" i="25" s="1"/>
  <c r="M3296" i="25" s="1"/>
  <c r="M3297" i="25" s="1"/>
  <c r="M3298" i="25" s="1"/>
  <c r="M3299" i="25" s="1"/>
  <c r="M3300" i="25" s="1"/>
  <c r="M3301" i="25" s="1"/>
  <c r="M3302" i="25" s="1"/>
  <c r="M3303" i="25" s="1"/>
  <c r="M3304" i="25" s="1"/>
  <c r="M3305" i="25" s="1"/>
  <c r="M3306" i="25" s="1"/>
  <c r="M3307" i="25" s="1"/>
  <c r="M3308" i="25" s="1"/>
  <c r="M3309" i="25" s="1"/>
  <c r="M3310" i="25" s="1"/>
  <c r="M3311" i="25" s="1"/>
  <c r="M3312" i="25" s="1"/>
  <c r="M3313" i="25" s="1"/>
  <c r="M3314" i="25" s="1"/>
  <c r="M3315" i="25" s="1"/>
  <c r="M3316" i="25" s="1"/>
  <c r="M3317" i="25" s="1"/>
  <c r="M3318" i="25" s="1"/>
  <c r="M3319" i="25" s="1"/>
  <c r="M3320" i="25" s="1"/>
  <c r="M3321" i="25" s="1"/>
  <c r="M3322" i="25" s="1"/>
  <c r="M3323" i="25" s="1"/>
  <c r="M3324" i="25" s="1"/>
  <c r="M3325" i="25" s="1"/>
  <c r="M3326" i="25" s="1"/>
  <c r="M3327" i="25" s="1"/>
  <c r="M3328" i="25" s="1"/>
  <c r="M3329" i="25" s="1"/>
  <c r="M3330" i="25" s="1"/>
  <c r="M3331" i="25" s="1"/>
  <c r="M3332" i="25" s="1"/>
  <c r="M3333" i="25" s="1"/>
  <c r="M3334" i="25" s="1"/>
  <c r="M3335" i="25" s="1"/>
  <c r="M3336" i="25" s="1"/>
  <c r="M3337" i="25" s="1"/>
  <c r="M3338" i="25" s="1"/>
  <c r="M3339" i="25" s="1"/>
  <c r="M3340" i="25" s="1"/>
  <c r="M3341" i="25" s="1"/>
  <c r="M3342" i="25" s="1"/>
  <c r="M3343" i="25" s="1"/>
  <c r="M3344" i="25" s="1"/>
  <c r="M3345" i="25" s="1"/>
  <c r="M3346" i="25" s="1"/>
  <c r="M3347" i="25" s="1"/>
  <c r="M3348" i="25" s="1"/>
  <c r="M3349" i="25" s="1"/>
  <c r="M3350" i="25" s="1"/>
  <c r="M3351" i="25" s="1"/>
  <c r="M3352" i="25" s="1"/>
  <c r="M3353" i="25" s="1"/>
  <c r="M3354" i="25" s="1"/>
  <c r="M3355" i="25" s="1"/>
  <c r="M3356" i="25" s="1"/>
  <c r="M3357" i="25" s="1"/>
  <c r="M3358" i="25" s="1"/>
  <c r="M3359" i="25" s="1"/>
  <c r="M3360" i="25" s="1"/>
  <c r="M3361" i="25" s="1"/>
  <c r="M3362" i="25" s="1"/>
  <c r="M3363" i="25" s="1"/>
  <c r="M3364" i="25" s="1"/>
  <c r="M3365" i="25" s="1"/>
  <c r="M3366" i="25" s="1"/>
  <c r="M3367" i="25" s="1"/>
  <c r="M3368" i="25" s="1"/>
  <c r="M3369" i="25" s="1"/>
  <c r="M3370" i="25" s="1"/>
  <c r="M3371" i="25" s="1"/>
  <c r="M3372" i="25" s="1"/>
  <c r="M3373" i="25" s="1"/>
  <c r="M3374" i="25" s="1"/>
  <c r="M3375" i="25" s="1"/>
  <c r="M3376" i="25" s="1"/>
  <c r="M3377" i="25" s="1"/>
  <c r="M3378" i="25" s="1"/>
  <c r="M3379" i="25" s="1"/>
  <c r="M3380" i="25" s="1"/>
  <c r="M3381" i="25" s="1"/>
  <c r="M3382" i="25" s="1"/>
  <c r="M3383" i="25" s="1"/>
  <c r="M3384" i="25" s="1"/>
  <c r="M3385" i="25" s="1"/>
  <c r="M3386" i="25" s="1"/>
  <c r="M3387" i="25" s="1"/>
  <c r="M3388" i="25" s="1"/>
  <c r="M3389" i="25" s="1"/>
  <c r="M3390" i="25" s="1"/>
  <c r="M3391" i="25" s="1"/>
  <c r="M3392" i="25" s="1"/>
  <c r="M3393" i="25" s="1"/>
  <c r="M3394" i="25" s="1"/>
  <c r="M3395" i="25" s="1"/>
  <c r="M3396" i="25" s="1"/>
  <c r="M3397" i="25" s="1"/>
  <c r="M3398" i="25" s="1"/>
  <c r="M3399" i="25" s="1"/>
  <c r="M3400" i="25" s="1"/>
  <c r="M3401" i="25" s="1"/>
  <c r="M3402" i="25" s="1"/>
  <c r="M3403" i="25" s="1"/>
  <c r="M3404" i="25" s="1"/>
  <c r="M3405" i="25" s="1"/>
  <c r="M3406" i="25" s="1"/>
  <c r="M3407" i="25" s="1"/>
  <c r="M3408" i="25" s="1"/>
  <c r="M3409" i="25" s="1"/>
  <c r="M3410" i="25" s="1"/>
  <c r="M3411" i="25" s="1"/>
  <c r="M3412" i="25" s="1"/>
  <c r="M3413" i="25" s="1"/>
  <c r="M3414" i="25" s="1"/>
  <c r="M3415" i="25" s="1"/>
  <c r="M3416" i="25" s="1"/>
  <c r="M3417" i="25" s="1"/>
  <c r="M3418" i="25" s="1"/>
  <c r="M3419" i="25" s="1"/>
  <c r="M3420" i="25" s="1"/>
  <c r="M3421" i="25" s="1"/>
  <c r="M3422" i="25" s="1"/>
  <c r="M3423" i="25" s="1"/>
  <c r="M3424" i="25" s="1"/>
  <c r="M3425" i="25" s="1"/>
  <c r="M3426" i="25" s="1"/>
  <c r="M3427" i="25" s="1"/>
  <c r="M3428" i="25" s="1"/>
  <c r="M3429" i="25" s="1"/>
  <c r="M3430" i="25" s="1"/>
  <c r="M3431" i="25" s="1"/>
  <c r="M3432" i="25" s="1"/>
  <c r="M3433" i="25" s="1"/>
  <c r="M3434" i="25" s="1"/>
  <c r="M3435" i="25" s="1"/>
  <c r="M3436" i="25" s="1"/>
  <c r="M3437" i="25" s="1"/>
  <c r="M3438" i="25" s="1"/>
  <c r="M3439" i="25" s="1"/>
  <c r="M3440" i="25" s="1"/>
  <c r="M3441" i="25" s="1"/>
  <c r="M3442" i="25" s="1"/>
  <c r="M3443" i="25" s="1"/>
  <c r="M3444" i="25" s="1"/>
  <c r="M3445" i="25" s="1"/>
  <c r="M3446" i="25" s="1"/>
  <c r="M3447" i="25" s="1"/>
  <c r="M3448" i="25" s="1"/>
  <c r="M3449" i="25" s="1"/>
  <c r="M3450" i="25" s="1"/>
  <c r="M3451" i="25" s="1"/>
  <c r="M3452" i="25" s="1"/>
  <c r="M3453" i="25" s="1"/>
  <c r="M3454" i="25" s="1"/>
  <c r="M3455" i="25" s="1"/>
  <c r="M3456" i="25" s="1"/>
  <c r="M3457" i="25" s="1"/>
  <c r="M3458" i="25" s="1"/>
  <c r="M3459" i="25" s="1"/>
  <c r="M3460" i="25" s="1"/>
  <c r="M3461" i="25" s="1"/>
  <c r="M3462" i="25" s="1"/>
  <c r="M3463" i="25" s="1"/>
  <c r="M3464" i="25" s="1"/>
  <c r="M3465" i="25" s="1"/>
  <c r="M3466" i="25" s="1"/>
  <c r="M3467" i="25" s="1"/>
  <c r="M3468" i="25" s="1"/>
  <c r="M3469" i="25" s="1"/>
  <c r="M3470" i="25" s="1"/>
  <c r="M3471" i="25" s="1"/>
  <c r="M3472" i="25" s="1"/>
  <c r="M3473" i="25" s="1"/>
  <c r="M3474" i="25" s="1"/>
  <c r="M3475" i="25" s="1"/>
  <c r="M3476" i="25" s="1"/>
  <c r="M3477" i="25" s="1"/>
  <c r="M3478" i="25" s="1"/>
  <c r="M3479" i="25" s="1"/>
  <c r="M3480" i="25" s="1"/>
  <c r="M3481" i="25" s="1"/>
  <c r="M3482" i="25" s="1"/>
  <c r="M3483" i="25" s="1"/>
  <c r="M3484" i="25" s="1"/>
  <c r="M3485" i="25" s="1"/>
  <c r="M3486" i="25" s="1"/>
  <c r="M3487" i="25" s="1"/>
  <c r="M3488" i="25" s="1"/>
  <c r="M3489" i="25" s="1"/>
  <c r="M3490" i="25" s="1"/>
  <c r="M3491" i="25" s="1"/>
  <c r="M3492" i="25" s="1"/>
  <c r="M3493" i="25" s="1"/>
  <c r="M3494" i="25" s="1"/>
  <c r="M3495" i="25" s="1"/>
  <c r="M3496" i="25" s="1"/>
  <c r="M3497" i="25" s="1"/>
  <c r="M3498" i="25" s="1"/>
  <c r="M3499" i="25" s="1"/>
  <c r="M3500" i="25" s="1"/>
  <c r="M3501" i="25" s="1"/>
  <c r="M3502" i="25" s="1"/>
  <c r="M3503" i="25" s="1"/>
  <c r="M3504" i="25" s="1"/>
  <c r="M3505" i="25" s="1"/>
  <c r="M3506" i="25" s="1"/>
  <c r="M3507" i="25" s="1"/>
  <c r="M3508" i="25" s="1"/>
  <c r="M3509" i="25" s="1"/>
  <c r="M3510" i="25" s="1"/>
  <c r="M3511" i="25" s="1"/>
  <c r="M3512" i="25" s="1"/>
  <c r="M3513" i="25" s="1"/>
  <c r="M3514" i="25" s="1"/>
  <c r="M3515" i="25" s="1"/>
  <c r="M3516" i="25" s="1"/>
  <c r="M3517" i="25" s="1"/>
  <c r="M3518" i="25" s="1"/>
  <c r="M3519" i="25" s="1"/>
  <c r="M3520" i="25" s="1"/>
  <c r="M3521" i="25" s="1"/>
  <c r="M3522" i="25" s="1"/>
  <c r="M3523" i="25" s="1"/>
  <c r="M3524" i="25" s="1"/>
  <c r="M3525" i="25" s="1"/>
  <c r="M3526" i="25" s="1"/>
  <c r="M3527" i="25" s="1"/>
  <c r="M3528" i="25" s="1"/>
  <c r="M3529" i="25" s="1"/>
  <c r="M3530" i="25" s="1"/>
  <c r="M3531" i="25" s="1"/>
  <c r="M3532" i="25" s="1"/>
  <c r="M3533" i="25" s="1"/>
  <c r="M3534" i="25" s="1"/>
  <c r="M3535" i="25" s="1"/>
  <c r="M3536" i="25" s="1"/>
  <c r="M3537" i="25" s="1"/>
  <c r="M3538" i="25" s="1"/>
  <c r="M3539" i="25" s="1"/>
  <c r="M3540" i="25" s="1"/>
  <c r="M3541" i="25" s="1"/>
  <c r="M3542" i="25" s="1"/>
  <c r="M3543" i="25" s="1"/>
  <c r="M3544" i="25" s="1"/>
  <c r="M3545" i="25" s="1"/>
  <c r="M3546" i="25" s="1"/>
  <c r="M3547" i="25" s="1"/>
  <c r="M3548" i="25" s="1"/>
  <c r="M3549" i="25" s="1"/>
  <c r="M3550" i="25" s="1"/>
  <c r="M3551" i="25" s="1"/>
  <c r="M3552" i="25" s="1"/>
  <c r="M3553" i="25" s="1"/>
  <c r="M3554" i="25" s="1"/>
  <c r="M3555" i="25" s="1"/>
  <c r="M3556" i="25" s="1"/>
  <c r="M3557" i="25" s="1"/>
  <c r="M3558" i="25" s="1"/>
  <c r="M3559" i="25" s="1"/>
  <c r="M3560" i="25" s="1"/>
  <c r="M3561" i="25" s="1"/>
  <c r="M3562" i="25" s="1"/>
  <c r="M3563" i="25" s="1"/>
  <c r="M3564" i="25" s="1"/>
  <c r="M3565" i="25" s="1"/>
  <c r="M3566" i="25" s="1"/>
  <c r="M3567" i="25" s="1"/>
  <c r="M3568" i="25" s="1"/>
  <c r="M3569" i="25" s="1"/>
  <c r="M3570" i="25" s="1"/>
  <c r="M3571" i="25" s="1"/>
  <c r="M3572" i="25" s="1"/>
  <c r="M3573" i="25" s="1"/>
  <c r="M3574" i="25" s="1"/>
  <c r="M3575" i="25" s="1"/>
  <c r="M3576" i="25" s="1"/>
  <c r="M3577" i="25" s="1"/>
  <c r="M3578" i="25" s="1"/>
  <c r="M3579" i="25" s="1"/>
  <c r="M3580" i="25" s="1"/>
  <c r="M3581" i="25" s="1"/>
  <c r="M3582" i="25" s="1"/>
  <c r="M3583" i="25" s="1"/>
  <c r="M3584" i="25" s="1"/>
  <c r="M3585" i="25" s="1"/>
  <c r="M3586" i="25" s="1"/>
  <c r="M3587" i="25" s="1"/>
  <c r="M3588" i="25" s="1"/>
  <c r="M3589" i="25" s="1"/>
  <c r="M3590" i="25" s="1"/>
  <c r="M3591" i="25" s="1"/>
  <c r="M3592" i="25" s="1"/>
  <c r="M3593" i="25" s="1"/>
  <c r="M3594" i="25" s="1"/>
  <c r="M3595" i="25" s="1"/>
  <c r="M3596" i="25" s="1"/>
  <c r="M3597" i="25" s="1"/>
  <c r="M3598" i="25" s="1"/>
  <c r="M3599" i="25" s="1"/>
  <c r="M3600" i="25" s="1"/>
  <c r="M3601" i="25" s="1"/>
  <c r="M3602" i="25" s="1"/>
  <c r="M3603" i="25" s="1"/>
  <c r="M3604" i="25" s="1"/>
  <c r="M3605" i="25" s="1"/>
  <c r="M3606" i="25" s="1"/>
  <c r="M3607" i="25" s="1"/>
  <c r="M3608" i="25" s="1"/>
  <c r="M3609" i="25" s="1"/>
  <c r="M3610" i="25" s="1"/>
  <c r="M3611" i="25" s="1"/>
  <c r="M3612" i="25" s="1"/>
  <c r="M3613" i="25" s="1"/>
  <c r="M3614" i="25" s="1"/>
  <c r="M3615" i="25" s="1"/>
  <c r="M3616" i="25" s="1"/>
  <c r="M3617" i="25" s="1"/>
  <c r="M3618" i="25" s="1"/>
  <c r="M3619" i="25" s="1"/>
  <c r="M3620" i="25" s="1"/>
  <c r="M3621" i="25" s="1"/>
  <c r="M3622" i="25" s="1"/>
  <c r="M3623" i="25" s="1"/>
  <c r="M3624" i="25" s="1"/>
  <c r="M3625" i="25" s="1"/>
  <c r="M3626" i="25" s="1"/>
  <c r="M3627" i="25" s="1"/>
  <c r="M3628" i="25" s="1"/>
  <c r="M3629" i="25" s="1"/>
  <c r="M3630" i="25" s="1"/>
  <c r="M3631" i="25" s="1"/>
  <c r="M3632" i="25" s="1"/>
  <c r="M3633" i="25" s="1"/>
  <c r="M3634" i="25" s="1"/>
  <c r="M3635" i="25" s="1"/>
  <c r="M3636" i="25" s="1"/>
  <c r="M3637" i="25" s="1"/>
  <c r="M3638" i="25" s="1"/>
  <c r="M3639" i="25" s="1"/>
  <c r="M3640" i="25" s="1"/>
  <c r="M3641" i="25" s="1"/>
  <c r="M3642" i="25" s="1"/>
  <c r="M3643" i="25" s="1"/>
  <c r="M3644" i="25" s="1"/>
  <c r="M3645" i="25" s="1"/>
  <c r="M3646" i="25" s="1"/>
  <c r="M3647" i="25" s="1"/>
  <c r="M3648" i="25" s="1"/>
  <c r="M3649" i="25" s="1"/>
  <c r="M3650" i="25" s="1"/>
  <c r="M3651" i="25" s="1"/>
  <c r="M3652" i="25" s="1"/>
  <c r="M3653" i="25" s="1"/>
  <c r="M3654" i="25" s="1"/>
  <c r="M3655" i="25" s="1"/>
  <c r="M3656" i="25" s="1"/>
  <c r="M3657" i="25" s="1"/>
  <c r="M3658" i="25" s="1"/>
  <c r="M3659" i="25" s="1"/>
  <c r="M3660" i="25" s="1"/>
  <c r="M3661" i="25" s="1"/>
  <c r="M3662" i="25" s="1"/>
  <c r="M3663" i="25" s="1"/>
  <c r="M3664" i="25" s="1"/>
  <c r="M3665" i="25" s="1"/>
  <c r="M3666" i="25" s="1"/>
  <c r="M3667" i="25" s="1"/>
  <c r="M3668" i="25" s="1"/>
  <c r="M3669" i="25" s="1"/>
  <c r="M3670" i="25" s="1"/>
  <c r="M3671" i="25" s="1"/>
  <c r="M3672" i="25" s="1"/>
  <c r="M3673" i="25" s="1"/>
  <c r="M3674" i="25" s="1"/>
  <c r="M3675" i="25" s="1"/>
  <c r="M3676" i="25" s="1"/>
  <c r="M3677" i="25" s="1"/>
  <c r="M3678" i="25" s="1"/>
  <c r="M3679" i="25" s="1"/>
  <c r="M3680" i="25" s="1"/>
  <c r="M3681" i="25" s="1"/>
  <c r="M3682" i="25" s="1"/>
  <c r="M3683" i="25" s="1"/>
  <c r="M3684" i="25" s="1"/>
  <c r="M3685" i="25" s="1"/>
  <c r="M3686" i="25" s="1"/>
  <c r="M3687" i="25" s="1"/>
  <c r="M3688" i="25" s="1"/>
  <c r="M3689" i="25" s="1"/>
  <c r="M3690" i="25" s="1"/>
  <c r="M3691" i="25" s="1"/>
  <c r="M3692" i="25" s="1"/>
  <c r="M3693" i="25" s="1"/>
  <c r="M3694" i="25" s="1"/>
  <c r="M3695" i="25" s="1"/>
  <c r="M3696" i="25" s="1"/>
  <c r="M3697" i="25" s="1"/>
  <c r="M3698" i="25" s="1"/>
  <c r="M3699" i="25" s="1"/>
  <c r="M3700" i="25" s="1"/>
  <c r="M3701" i="25" s="1"/>
  <c r="M3702" i="25" s="1"/>
  <c r="M3703" i="25" s="1"/>
  <c r="M3704" i="25" s="1"/>
  <c r="M3705" i="25" s="1"/>
  <c r="M3706" i="25" s="1"/>
  <c r="M3707" i="25" s="1"/>
  <c r="M3708" i="25" s="1"/>
  <c r="M3709" i="25" s="1"/>
  <c r="M3710" i="25" s="1"/>
  <c r="M3711" i="25" s="1"/>
  <c r="M3712" i="25" s="1"/>
  <c r="M3713" i="25" s="1"/>
  <c r="M3714" i="25" s="1"/>
  <c r="M3715" i="25" s="1"/>
  <c r="M3716" i="25" s="1"/>
  <c r="M3717" i="25" s="1"/>
  <c r="M3718" i="25" s="1"/>
  <c r="M3719" i="25" s="1"/>
  <c r="M3720" i="25" s="1"/>
  <c r="M3721" i="25" s="1"/>
  <c r="M3722" i="25" s="1"/>
  <c r="M3723" i="25" s="1"/>
  <c r="M3724" i="25" s="1"/>
  <c r="M3725" i="25" s="1"/>
  <c r="M3726" i="25" s="1"/>
  <c r="M3727" i="25" s="1"/>
  <c r="M3728" i="25" s="1"/>
  <c r="M3729" i="25" s="1"/>
  <c r="M3730" i="25" s="1"/>
  <c r="M3731" i="25" s="1"/>
  <c r="M3732" i="25" s="1"/>
  <c r="M3733" i="25" s="1"/>
  <c r="M3734" i="25" s="1"/>
  <c r="M3735" i="25" s="1"/>
  <c r="M3736" i="25" s="1"/>
  <c r="M3737" i="25" s="1"/>
  <c r="M3738" i="25" s="1"/>
  <c r="M3739" i="25" s="1"/>
  <c r="M3740" i="25" s="1"/>
  <c r="M3741" i="25" s="1"/>
  <c r="M3742" i="25" s="1"/>
  <c r="M3743" i="25" s="1"/>
  <c r="M3744" i="25" s="1"/>
  <c r="M3745" i="25" s="1"/>
  <c r="M3746" i="25" s="1"/>
  <c r="M3747" i="25" s="1"/>
  <c r="M3748" i="25" s="1"/>
  <c r="M3749" i="25" s="1"/>
  <c r="M3750" i="25" s="1"/>
  <c r="M3751" i="25" s="1"/>
  <c r="M3752" i="25" s="1"/>
  <c r="M3753" i="25" s="1"/>
  <c r="M3754" i="25" s="1"/>
  <c r="M3755" i="25" s="1"/>
  <c r="M3756" i="25" s="1"/>
  <c r="M3757" i="25" s="1"/>
  <c r="M3758" i="25" s="1"/>
  <c r="M3759" i="25" s="1"/>
  <c r="M3760" i="25" s="1"/>
  <c r="M3761" i="25" s="1"/>
  <c r="M3762" i="25" s="1"/>
  <c r="M3763" i="25" s="1"/>
  <c r="M3764" i="25" s="1"/>
  <c r="M3765" i="25" s="1"/>
  <c r="M3766" i="25" s="1"/>
  <c r="M3767" i="25" s="1"/>
  <c r="M3768" i="25" s="1"/>
  <c r="M3769" i="25" s="1"/>
  <c r="M3770" i="25" s="1"/>
  <c r="M3771" i="25" s="1"/>
  <c r="M3772" i="25" s="1"/>
  <c r="M3773" i="25" s="1"/>
  <c r="M3774" i="25" s="1"/>
  <c r="M3775" i="25" s="1"/>
  <c r="M3776" i="25" s="1"/>
  <c r="M3777" i="25" s="1"/>
  <c r="M3778" i="25" s="1"/>
  <c r="M3779" i="25" s="1"/>
  <c r="M3780" i="25" s="1"/>
  <c r="M3781" i="25" s="1"/>
  <c r="M3782" i="25" s="1"/>
  <c r="M3783" i="25" s="1"/>
  <c r="M3784" i="25" s="1"/>
  <c r="M3785" i="25" s="1"/>
  <c r="M3786" i="25" s="1"/>
  <c r="M3787" i="25" s="1"/>
  <c r="M3788" i="25" s="1"/>
  <c r="M3789" i="25" s="1"/>
  <c r="M3790" i="25" s="1"/>
  <c r="M3791" i="25" s="1"/>
  <c r="M3792" i="25" s="1"/>
  <c r="M3793" i="25" s="1"/>
  <c r="M3794" i="25" s="1"/>
  <c r="M3795" i="25" s="1"/>
  <c r="M3796" i="25" s="1"/>
  <c r="M3797" i="25" s="1"/>
  <c r="M3798" i="25" s="1"/>
  <c r="M3799" i="25" s="1"/>
  <c r="M3800" i="25" s="1"/>
  <c r="M3801" i="25" s="1"/>
  <c r="M3802" i="25" s="1"/>
  <c r="M3803" i="25" s="1"/>
  <c r="M3804" i="25" s="1"/>
  <c r="M3805" i="25" s="1"/>
  <c r="M3806" i="25" s="1"/>
  <c r="M3807" i="25" s="1"/>
  <c r="M3808" i="25" s="1"/>
  <c r="M3809" i="25" s="1"/>
  <c r="M3810" i="25" s="1"/>
  <c r="M3811" i="25" s="1"/>
  <c r="M3812" i="25" s="1"/>
  <c r="M3813" i="25" s="1"/>
  <c r="M3814" i="25" s="1"/>
  <c r="M3815" i="25" s="1"/>
  <c r="M3816" i="25" s="1"/>
  <c r="M3817" i="25" s="1"/>
  <c r="M3818" i="25" s="1"/>
  <c r="M3819" i="25" s="1"/>
  <c r="M3820" i="25" s="1"/>
  <c r="M3821" i="25" s="1"/>
  <c r="M3822" i="25" s="1"/>
  <c r="M3823" i="25" s="1"/>
  <c r="M3824" i="25" s="1"/>
  <c r="M3825" i="25" s="1"/>
  <c r="M3826" i="25" s="1"/>
  <c r="M3827" i="25" s="1"/>
  <c r="M3828" i="25" s="1"/>
  <c r="M3829" i="25" s="1"/>
  <c r="M3830" i="25" s="1"/>
  <c r="M3831" i="25" s="1"/>
  <c r="M3832" i="25" s="1"/>
  <c r="M3833" i="25" s="1"/>
  <c r="M3834" i="25" s="1"/>
  <c r="M3835" i="25" s="1"/>
  <c r="M3836" i="25" s="1"/>
  <c r="M3837" i="25" s="1"/>
  <c r="M3838" i="25" s="1"/>
  <c r="M3839" i="25" s="1"/>
  <c r="M3840" i="25" s="1"/>
  <c r="M3841" i="25" s="1"/>
  <c r="M3842" i="25" s="1"/>
  <c r="M3843" i="25" s="1"/>
  <c r="M3844" i="25" s="1"/>
  <c r="M3845" i="25" s="1"/>
  <c r="M3846" i="25" s="1"/>
  <c r="M3847" i="25" s="1"/>
  <c r="M3848" i="25" s="1"/>
  <c r="M3849" i="25" s="1"/>
  <c r="M3850" i="25" s="1"/>
  <c r="M3851" i="25" s="1"/>
  <c r="M3852" i="25" s="1"/>
  <c r="M3853" i="25" s="1"/>
  <c r="M3854" i="25" s="1"/>
  <c r="M3855" i="25" s="1"/>
  <c r="M3856" i="25" s="1"/>
  <c r="M3857" i="25" s="1"/>
  <c r="M3858" i="25" s="1"/>
  <c r="M3859" i="25" s="1"/>
  <c r="M3860" i="25" s="1"/>
  <c r="M3861" i="25" s="1"/>
  <c r="M3862" i="25" s="1"/>
  <c r="M3863" i="25" s="1"/>
  <c r="M3864" i="25" s="1"/>
  <c r="M3865" i="25" s="1"/>
  <c r="M3866" i="25" s="1"/>
  <c r="M3867" i="25" s="1"/>
  <c r="M3868" i="25" s="1"/>
  <c r="M3869" i="25" s="1"/>
  <c r="M3870" i="25" s="1"/>
  <c r="M3871" i="25" s="1"/>
  <c r="M3872" i="25" s="1"/>
  <c r="M3873" i="25" s="1"/>
  <c r="M3874" i="25" s="1"/>
  <c r="M3875" i="25" s="1"/>
  <c r="M3876" i="25" s="1"/>
  <c r="M3877" i="25" s="1"/>
  <c r="M3878" i="25" s="1"/>
  <c r="M3879" i="25" s="1"/>
  <c r="M3880" i="25" s="1"/>
  <c r="M3881" i="25" s="1"/>
  <c r="M3882" i="25" s="1"/>
  <c r="M3883" i="25" s="1"/>
  <c r="M3884" i="25" s="1"/>
  <c r="M3885" i="25" s="1"/>
  <c r="M3886" i="25" s="1"/>
  <c r="M3887" i="25" s="1"/>
  <c r="M3888" i="25" s="1"/>
  <c r="M3889" i="25" s="1"/>
  <c r="M3890" i="25" s="1"/>
  <c r="M3891" i="25" s="1"/>
  <c r="M3892" i="25" s="1"/>
  <c r="M3893" i="25" s="1"/>
  <c r="M3894" i="25" s="1"/>
  <c r="M3895" i="25" s="1"/>
  <c r="M3896" i="25" s="1"/>
  <c r="M3897" i="25" s="1"/>
  <c r="M3898" i="25" s="1"/>
  <c r="M3899" i="25" s="1"/>
  <c r="M3900" i="25" s="1"/>
  <c r="M3901" i="25" s="1"/>
  <c r="M3902" i="25" s="1"/>
  <c r="M3903" i="25" s="1"/>
  <c r="M3904" i="25" s="1"/>
  <c r="M3905" i="25" s="1"/>
  <c r="M3906" i="25" s="1"/>
  <c r="M3907" i="25" s="1"/>
  <c r="M3908" i="25" s="1"/>
  <c r="M3909" i="25" s="1"/>
  <c r="M3910" i="25" s="1"/>
  <c r="M3911" i="25" s="1"/>
  <c r="M3912" i="25" s="1"/>
  <c r="M3913" i="25" s="1"/>
  <c r="M3914" i="25" s="1"/>
  <c r="M3915" i="25" s="1"/>
  <c r="M3916" i="25" s="1"/>
  <c r="M3917" i="25" s="1"/>
  <c r="M3918" i="25" s="1"/>
  <c r="M3919" i="25" s="1"/>
  <c r="M3920" i="25" s="1"/>
  <c r="M3921" i="25" s="1"/>
  <c r="M3922" i="25" s="1"/>
  <c r="M3923" i="25" s="1"/>
  <c r="M3924" i="25" s="1"/>
  <c r="M3925" i="25" s="1"/>
  <c r="M3926" i="25" s="1"/>
  <c r="M3927" i="25" s="1"/>
  <c r="M3928" i="25" s="1"/>
  <c r="M3929" i="25" s="1"/>
  <c r="M3930" i="25" s="1"/>
  <c r="M3931" i="25" s="1"/>
  <c r="M3932" i="25" s="1"/>
  <c r="M3933" i="25" s="1"/>
  <c r="M3934" i="25" s="1"/>
  <c r="M3935" i="25" s="1"/>
  <c r="M3936" i="25" s="1"/>
  <c r="M3937" i="25" s="1"/>
  <c r="M3938" i="25" s="1"/>
  <c r="M3939" i="25" s="1"/>
  <c r="M3940" i="25" s="1"/>
  <c r="M3941" i="25" s="1"/>
  <c r="M3942" i="25" s="1"/>
  <c r="M3943" i="25" s="1"/>
  <c r="M3944" i="25" s="1"/>
  <c r="M3945" i="25" s="1"/>
  <c r="M3946" i="25" s="1"/>
  <c r="M3947" i="25" s="1"/>
  <c r="M3948" i="25" s="1"/>
  <c r="M3949" i="25" s="1"/>
  <c r="M3950" i="25" s="1"/>
  <c r="M3951" i="25" s="1"/>
  <c r="M3952" i="25" s="1"/>
  <c r="M3953" i="25" s="1"/>
  <c r="M3954" i="25" s="1"/>
  <c r="M3955" i="25" s="1"/>
  <c r="M3956" i="25" s="1"/>
  <c r="M3957" i="25" s="1"/>
  <c r="M3958" i="25" s="1"/>
  <c r="M3959" i="25" s="1"/>
  <c r="M3960" i="25" s="1"/>
  <c r="M3961" i="25" s="1"/>
  <c r="M3962" i="25" s="1"/>
  <c r="M3963" i="25" s="1"/>
  <c r="M3964" i="25" s="1"/>
  <c r="M3965" i="25" s="1"/>
  <c r="M3966" i="25" s="1"/>
  <c r="M3967" i="25" s="1"/>
  <c r="M3968" i="25" s="1"/>
  <c r="M3969" i="25" s="1"/>
  <c r="M3970" i="25" s="1"/>
  <c r="M3971" i="25" s="1"/>
  <c r="M3972" i="25" s="1"/>
  <c r="M3973" i="25" s="1"/>
  <c r="M3974" i="25" s="1"/>
  <c r="M3975" i="25" s="1"/>
  <c r="M3976" i="25" s="1"/>
  <c r="M3977" i="25" s="1"/>
  <c r="M3978" i="25" s="1"/>
  <c r="M3979" i="25" s="1"/>
  <c r="M3980" i="25" s="1"/>
  <c r="M3981" i="25" s="1"/>
  <c r="M3982" i="25" s="1"/>
  <c r="M3983" i="25" s="1"/>
  <c r="M3984" i="25" s="1"/>
  <c r="M3985" i="25" s="1"/>
  <c r="M3986" i="25" s="1"/>
  <c r="M3987" i="25" s="1"/>
  <c r="M3988" i="25" s="1"/>
  <c r="M3989" i="25" s="1"/>
  <c r="M3990" i="25" s="1"/>
  <c r="M3991" i="25" s="1"/>
  <c r="M3992" i="25" s="1"/>
  <c r="M3993" i="25" s="1"/>
  <c r="M3994" i="25" s="1"/>
  <c r="M3995" i="25" s="1"/>
  <c r="M3996" i="25" s="1"/>
  <c r="M3997" i="25" s="1"/>
  <c r="M3998" i="25" s="1"/>
  <c r="M3999" i="25" s="1"/>
  <c r="M4000" i="25" s="1"/>
  <c r="M4001" i="25" s="1"/>
  <c r="M4002" i="25" s="1"/>
  <c r="M4003" i="25" s="1"/>
  <c r="M4004" i="25" s="1"/>
  <c r="M4005" i="25" s="1"/>
  <c r="M4006" i="25" s="1"/>
  <c r="M4007" i="25" s="1"/>
  <c r="M4008" i="25" s="1"/>
  <c r="M4009" i="25" s="1"/>
  <c r="M4010" i="25" s="1"/>
  <c r="M4011" i="25" s="1"/>
  <c r="M4012" i="25" s="1"/>
  <c r="M4013" i="25" s="1"/>
  <c r="M4014" i="25" s="1"/>
  <c r="M4015" i="25" s="1"/>
  <c r="M4016" i="25" s="1"/>
  <c r="M4017" i="25" s="1"/>
  <c r="M4018" i="25" s="1"/>
  <c r="M4019" i="25" s="1"/>
  <c r="M4020" i="25" s="1"/>
  <c r="M4021" i="25" s="1"/>
  <c r="M4022" i="25" s="1"/>
  <c r="M4023" i="25" s="1"/>
  <c r="M4024" i="25" s="1"/>
  <c r="M4025" i="25" s="1"/>
  <c r="M4026" i="25" s="1"/>
  <c r="M4027" i="25" s="1"/>
  <c r="M4028" i="25" s="1"/>
  <c r="M4029" i="25" s="1"/>
  <c r="M4030" i="25" s="1"/>
  <c r="M4031" i="25" s="1"/>
  <c r="M4032" i="25" s="1"/>
  <c r="M4033" i="25" s="1"/>
  <c r="M4034" i="25" s="1"/>
  <c r="M4035" i="25" s="1"/>
  <c r="M4036" i="25" s="1"/>
  <c r="M4037" i="25" s="1"/>
  <c r="M4038" i="25" s="1"/>
  <c r="M4039" i="25" s="1"/>
  <c r="M4040" i="25" s="1"/>
  <c r="M4041" i="25" s="1"/>
  <c r="M4042" i="25" s="1"/>
  <c r="M4043" i="25" s="1"/>
  <c r="M4044" i="25" s="1"/>
  <c r="M4045" i="25" s="1"/>
  <c r="M4046" i="25" s="1"/>
  <c r="M4047" i="25" s="1"/>
  <c r="M4048" i="25" s="1"/>
  <c r="M4049" i="25" s="1"/>
  <c r="M4050" i="25" s="1"/>
  <c r="M4051" i="25" s="1"/>
  <c r="M4052" i="25" s="1"/>
  <c r="M4053" i="25" s="1"/>
  <c r="M4054" i="25" s="1"/>
  <c r="M4055" i="25" s="1"/>
  <c r="M4056" i="25" s="1"/>
  <c r="M4057" i="25" s="1"/>
  <c r="M4058" i="25" s="1"/>
  <c r="O472" i="25"/>
  <c r="X472" i="25" s="1"/>
  <c r="H40" i="19"/>
  <c r="N473" i="25" l="1"/>
  <c r="N474" i="25" s="1"/>
  <c r="N475" i="25" s="1"/>
  <c r="N476" i="25" s="1"/>
  <c r="N477" i="25" s="1"/>
  <c r="N478" i="25" s="1"/>
  <c r="N479" i="25" s="1"/>
  <c r="N480" i="25" s="1"/>
  <c r="N481" i="25" s="1"/>
  <c r="N482" i="25" s="1"/>
  <c r="N483" i="25" s="1"/>
  <c r="N484" i="25" s="1"/>
  <c r="N485" i="25" s="1"/>
  <c r="N486" i="25" s="1"/>
  <c r="N487" i="25" s="1"/>
  <c r="N488" i="25" s="1"/>
  <c r="N489" i="25" s="1"/>
  <c r="N490" i="25" s="1"/>
  <c r="N491" i="25" s="1"/>
  <c r="N492" i="25" s="1"/>
  <c r="N493" i="25" s="1"/>
  <c r="N494" i="25" s="1"/>
  <c r="N495" i="25" s="1"/>
  <c r="N496" i="25" s="1"/>
  <c r="N497" i="25" s="1"/>
  <c r="N498" i="25" s="1"/>
  <c r="N499" i="25" s="1"/>
  <c r="N500" i="25" s="1"/>
  <c r="N501" i="25" s="1"/>
  <c r="N502" i="25" s="1"/>
  <c r="N503" i="25" s="1"/>
  <c r="N504" i="25" s="1"/>
  <c r="N505" i="25" s="1"/>
  <c r="N506" i="25" s="1"/>
  <c r="N507" i="25" s="1"/>
  <c r="N508" i="25" s="1"/>
  <c r="N509" i="25" s="1"/>
  <c r="N510" i="25" s="1"/>
  <c r="N511" i="25" s="1"/>
  <c r="N512" i="25" s="1"/>
  <c r="N513" i="25" s="1"/>
  <c r="N514" i="25" s="1"/>
  <c r="N515" i="25" s="1"/>
  <c r="N516" i="25" s="1"/>
  <c r="N517" i="25" s="1"/>
  <c r="N518" i="25" s="1"/>
  <c r="N519" i="25" s="1"/>
  <c r="N520" i="25" s="1"/>
  <c r="N521" i="25" s="1"/>
  <c r="N522" i="25" s="1"/>
  <c r="N523" i="25" s="1"/>
  <c r="N524" i="25" s="1"/>
  <c r="N525" i="25" s="1"/>
  <c r="N526" i="25" s="1"/>
  <c r="N527" i="25" s="1"/>
  <c r="N528" i="25" s="1"/>
  <c r="N529" i="25" s="1"/>
  <c r="N530" i="25" s="1"/>
  <c r="N531" i="25" s="1"/>
  <c r="N532" i="25" s="1"/>
  <c r="N533" i="25" s="1"/>
  <c r="N534" i="25" s="1"/>
  <c r="N535" i="25" s="1"/>
  <c r="N536" i="25" s="1"/>
  <c r="N537" i="25" s="1"/>
  <c r="N538" i="25" s="1"/>
  <c r="N539" i="25" s="1"/>
  <c r="N540" i="25" s="1"/>
  <c r="N541" i="25" s="1"/>
  <c r="N542" i="25" s="1"/>
  <c r="N543" i="25" s="1"/>
  <c r="N544" i="25" s="1"/>
  <c r="N545" i="25" s="1"/>
  <c r="N546" i="25" s="1"/>
  <c r="N547" i="25" s="1"/>
  <c r="N548" i="25" s="1"/>
  <c r="N549" i="25" s="1"/>
  <c r="N550" i="25" s="1"/>
  <c r="N551" i="25" s="1"/>
  <c r="N552" i="25" s="1"/>
  <c r="N553" i="25" s="1"/>
  <c r="N554" i="25" s="1"/>
  <c r="N555" i="25" s="1"/>
  <c r="N556" i="25" s="1"/>
  <c r="N557" i="25" s="1"/>
  <c r="N558" i="25" s="1"/>
  <c r="N559" i="25" s="1"/>
  <c r="N560" i="25" s="1"/>
  <c r="N561" i="25" s="1"/>
  <c r="N562" i="25" s="1"/>
  <c r="N563" i="25" s="1"/>
  <c r="N564" i="25" s="1"/>
  <c r="N565" i="25" s="1"/>
  <c r="N566" i="25" s="1"/>
  <c r="N567" i="25" s="1"/>
  <c r="N568" i="25" s="1"/>
  <c r="N569" i="25" s="1"/>
  <c r="N570" i="25" s="1"/>
  <c r="N571" i="25" s="1"/>
  <c r="N572" i="25" s="1"/>
  <c r="N573" i="25" s="1"/>
  <c r="N574" i="25" s="1"/>
  <c r="N575" i="25" s="1"/>
  <c r="N576" i="25" s="1"/>
  <c r="N577" i="25" s="1"/>
  <c r="N578" i="25" s="1"/>
  <c r="N579" i="25" s="1"/>
  <c r="N580" i="25" s="1"/>
  <c r="N581" i="25" s="1"/>
  <c r="N582" i="25" s="1"/>
  <c r="N583" i="25" s="1"/>
  <c r="N584" i="25" s="1"/>
  <c r="N585" i="25" s="1"/>
  <c r="N586" i="25" s="1"/>
  <c r="N587" i="25" s="1"/>
  <c r="N588" i="25" s="1"/>
  <c r="N589" i="25" s="1"/>
  <c r="N590" i="25" s="1"/>
  <c r="N591" i="25" s="1"/>
  <c r="N592" i="25" s="1"/>
  <c r="N593" i="25" s="1"/>
  <c r="N594" i="25" s="1"/>
  <c r="N595" i="25" s="1"/>
  <c r="N596" i="25" s="1"/>
  <c r="N597" i="25" s="1"/>
  <c r="N598" i="25" s="1"/>
  <c r="N599" i="25" s="1"/>
  <c r="N600" i="25" s="1"/>
  <c r="N601" i="25" s="1"/>
  <c r="N602" i="25" s="1"/>
  <c r="N603" i="25" s="1"/>
  <c r="N604" i="25" s="1"/>
  <c r="N605" i="25" s="1"/>
  <c r="N606" i="25" s="1"/>
  <c r="N607" i="25" s="1"/>
  <c r="N608" i="25" s="1"/>
  <c r="N609" i="25" s="1"/>
  <c r="N610" i="25" s="1"/>
  <c r="N611" i="25" s="1"/>
  <c r="N612" i="25" s="1"/>
  <c r="N613" i="25" s="1"/>
  <c r="N614" i="25" s="1"/>
  <c r="N615" i="25" s="1"/>
  <c r="N616" i="25" s="1"/>
  <c r="N617" i="25" s="1"/>
  <c r="N618" i="25" s="1"/>
  <c r="N619" i="25" s="1"/>
  <c r="N620" i="25" s="1"/>
  <c r="N621" i="25" s="1"/>
  <c r="N622" i="25" s="1"/>
  <c r="N623" i="25" s="1"/>
  <c r="N624" i="25" s="1"/>
  <c r="N625" i="25" s="1"/>
  <c r="N626" i="25" s="1"/>
  <c r="N627" i="25" s="1"/>
  <c r="N628" i="25" s="1"/>
  <c r="N629" i="25" s="1"/>
  <c r="N630" i="25" s="1"/>
  <c r="N631" i="25" s="1"/>
  <c r="N632" i="25" s="1"/>
  <c r="N633" i="25" s="1"/>
  <c r="N634" i="25" s="1"/>
  <c r="N635" i="25" s="1"/>
  <c r="N636" i="25" s="1"/>
  <c r="N637" i="25" s="1"/>
  <c r="N638" i="25" s="1"/>
  <c r="N639" i="25" s="1"/>
  <c r="N640" i="25" s="1"/>
  <c r="N641" i="25" s="1"/>
  <c r="N642" i="25" s="1"/>
  <c r="N643" i="25" s="1"/>
  <c r="N644" i="25" s="1"/>
  <c r="N645" i="25" s="1"/>
  <c r="N646" i="25" s="1"/>
  <c r="N647" i="25" s="1"/>
  <c r="N648" i="25" s="1"/>
  <c r="N649" i="25" s="1"/>
  <c r="N650" i="25" s="1"/>
  <c r="N651" i="25" s="1"/>
  <c r="N652" i="25" s="1"/>
  <c r="N653" i="25" s="1"/>
  <c r="N654" i="25" s="1"/>
  <c r="N655" i="25" s="1"/>
  <c r="N656" i="25" s="1"/>
  <c r="N657" i="25" s="1"/>
  <c r="N658" i="25" s="1"/>
  <c r="N659" i="25" s="1"/>
  <c r="N660" i="25" s="1"/>
  <c r="N661" i="25" s="1"/>
  <c r="N662" i="25" s="1"/>
  <c r="N663" i="25" s="1"/>
  <c r="N664" i="25" s="1"/>
  <c r="N665" i="25" s="1"/>
  <c r="N666" i="25" s="1"/>
  <c r="N667" i="25" s="1"/>
  <c r="N668" i="25" s="1"/>
  <c r="N669" i="25" s="1"/>
  <c r="N670" i="25" s="1"/>
  <c r="N671" i="25" s="1"/>
  <c r="N672" i="25" s="1"/>
  <c r="N673" i="25" s="1"/>
  <c r="N674" i="25" s="1"/>
  <c r="N675" i="25" s="1"/>
  <c r="N676" i="25" s="1"/>
  <c r="N677" i="25" s="1"/>
  <c r="N678" i="25" s="1"/>
  <c r="N679" i="25" s="1"/>
  <c r="N680" i="25" s="1"/>
  <c r="N681" i="25" s="1"/>
  <c r="N682" i="25" s="1"/>
  <c r="N683" i="25" s="1"/>
  <c r="N684" i="25" s="1"/>
  <c r="N685" i="25" s="1"/>
  <c r="N686" i="25" s="1"/>
  <c r="N687" i="25" s="1"/>
  <c r="N688" i="25" s="1"/>
  <c r="N689" i="25" s="1"/>
  <c r="N690" i="25" s="1"/>
  <c r="N691" i="25" s="1"/>
  <c r="N692" i="25" s="1"/>
  <c r="N693" i="25" s="1"/>
  <c r="N694" i="25" s="1"/>
  <c r="N695" i="25" s="1"/>
  <c r="N696" i="25" s="1"/>
  <c r="N697" i="25" s="1"/>
  <c r="N698" i="25" s="1"/>
  <c r="N699" i="25" s="1"/>
  <c r="N700" i="25" s="1"/>
  <c r="N701" i="25" s="1"/>
  <c r="N702" i="25" s="1"/>
  <c r="N703" i="25" s="1"/>
  <c r="N704" i="25" s="1"/>
  <c r="N705" i="25" s="1"/>
  <c r="N706" i="25" s="1"/>
  <c r="N707" i="25" s="1"/>
  <c r="N708" i="25" s="1"/>
  <c r="N709" i="25" s="1"/>
  <c r="N710" i="25" s="1"/>
  <c r="N711" i="25" s="1"/>
  <c r="N712" i="25" s="1"/>
  <c r="N713" i="25" s="1"/>
  <c r="N714" i="25" s="1"/>
  <c r="N715" i="25" s="1"/>
  <c r="N716" i="25" s="1"/>
  <c r="N717" i="25" s="1"/>
  <c r="N718" i="25" s="1"/>
  <c r="N719" i="25" s="1"/>
  <c r="N720" i="25" s="1"/>
  <c r="N721" i="25" s="1"/>
  <c r="N722" i="25" s="1"/>
  <c r="N723" i="25" s="1"/>
  <c r="N724" i="25" s="1"/>
  <c r="N725" i="25" s="1"/>
  <c r="N726" i="25" s="1"/>
  <c r="N727" i="25" s="1"/>
  <c r="N728" i="25" s="1"/>
  <c r="N729" i="25" s="1"/>
  <c r="N730" i="25" s="1"/>
  <c r="N731" i="25" s="1"/>
  <c r="N732" i="25" s="1"/>
  <c r="N733" i="25" s="1"/>
  <c r="N734" i="25" s="1"/>
  <c r="N735" i="25" s="1"/>
  <c r="N736" i="25" s="1"/>
  <c r="N737" i="25" s="1"/>
  <c r="N738" i="25" s="1"/>
  <c r="N739" i="25" s="1"/>
  <c r="N740" i="25" s="1"/>
  <c r="N741" i="25" s="1"/>
  <c r="N742" i="25" s="1"/>
  <c r="N743" i="25" s="1"/>
  <c r="N744" i="25" s="1"/>
  <c r="N745" i="25" s="1"/>
  <c r="N746" i="25" s="1"/>
  <c r="N747" i="25" s="1"/>
  <c r="N748" i="25" s="1"/>
  <c r="N749" i="25" s="1"/>
  <c r="N750" i="25" s="1"/>
  <c r="N751" i="25" s="1"/>
  <c r="N752" i="25" s="1"/>
  <c r="N753" i="25" s="1"/>
  <c r="N754" i="25" s="1"/>
  <c r="N755" i="25" s="1"/>
  <c r="N756" i="25" s="1"/>
  <c r="N757" i="25" s="1"/>
  <c r="N758" i="25" s="1"/>
  <c r="N759" i="25" s="1"/>
  <c r="N760" i="25" s="1"/>
  <c r="N761" i="25" s="1"/>
  <c r="N762" i="25" s="1"/>
  <c r="N763" i="25" s="1"/>
  <c r="N764" i="25" s="1"/>
  <c r="N765" i="25" s="1"/>
  <c r="N766" i="25" s="1"/>
  <c r="N767" i="25" s="1"/>
  <c r="N768" i="25" s="1"/>
  <c r="N769" i="25" s="1"/>
  <c r="N770" i="25" s="1"/>
  <c r="N771" i="25" s="1"/>
  <c r="N772" i="25" s="1"/>
  <c r="N773" i="25" s="1"/>
  <c r="N774" i="25" s="1"/>
  <c r="N775" i="25" s="1"/>
  <c r="N776" i="25" s="1"/>
  <c r="N777" i="25" s="1"/>
  <c r="N778" i="25" s="1"/>
  <c r="N779" i="25" s="1"/>
  <c r="N780" i="25" s="1"/>
  <c r="N781" i="25" s="1"/>
  <c r="N782" i="25" s="1"/>
  <c r="N783" i="25" s="1"/>
  <c r="N784" i="25" s="1"/>
  <c r="N785" i="25" s="1"/>
  <c r="N786" i="25" s="1"/>
  <c r="N787" i="25" s="1"/>
  <c r="N788" i="25" s="1"/>
  <c r="N789" i="25" s="1"/>
  <c r="N790" i="25" s="1"/>
  <c r="N791" i="25" s="1"/>
  <c r="N792" i="25" s="1"/>
  <c r="N793" i="25" s="1"/>
  <c r="N794" i="25" s="1"/>
  <c r="N795" i="25" s="1"/>
  <c r="N796" i="25" s="1"/>
  <c r="N797" i="25" s="1"/>
  <c r="N798" i="25" s="1"/>
  <c r="N799" i="25" s="1"/>
  <c r="N800" i="25" s="1"/>
  <c r="N801" i="25" s="1"/>
  <c r="N802" i="25" s="1"/>
  <c r="N803" i="25" s="1"/>
  <c r="N804" i="25" s="1"/>
  <c r="N805" i="25" s="1"/>
  <c r="N806" i="25" s="1"/>
  <c r="N807" i="25" s="1"/>
  <c r="N808" i="25" s="1"/>
  <c r="N809" i="25" s="1"/>
  <c r="N810" i="25" s="1"/>
  <c r="N811" i="25" s="1"/>
  <c r="N812" i="25" s="1"/>
  <c r="N813" i="25" s="1"/>
  <c r="N814" i="25" s="1"/>
  <c r="N815" i="25" s="1"/>
  <c r="N816" i="25" s="1"/>
  <c r="N817" i="25" s="1"/>
  <c r="N818" i="25" s="1"/>
  <c r="N819" i="25" s="1"/>
  <c r="N820" i="25" s="1"/>
  <c r="N821" i="25" s="1"/>
  <c r="N822" i="25" s="1"/>
  <c r="N823" i="25" s="1"/>
  <c r="N824" i="25" s="1"/>
  <c r="N825" i="25" s="1"/>
  <c r="N826" i="25" s="1"/>
  <c r="N827" i="25" s="1"/>
  <c r="N828" i="25" s="1"/>
  <c r="N829" i="25" s="1"/>
  <c r="N830" i="25" s="1"/>
  <c r="N831" i="25" s="1"/>
  <c r="N832" i="25" s="1"/>
  <c r="N833" i="25" s="1"/>
  <c r="N834" i="25" s="1"/>
  <c r="N835" i="25" s="1"/>
  <c r="N836" i="25" s="1"/>
  <c r="N837" i="25" s="1"/>
  <c r="N838" i="25" s="1"/>
  <c r="N839" i="25" s="1"/>
  <c r="N840" i="25" s="1"/>
  <c r="N841" i="25" s="1"/>
  <c r="N842" i="25" s="1"/>
  <c r="N843" i="25" s="1"/>
  <c r="N844" i="25" s="1"/>
  <c r="N845" i="25" s="1"/>
  <c r="N846" i="25" s="1"/>
  <c r="N847" i="25" s="1"/>
  <c r="N848" i="25" s="1"/>
  <c r="N849" i="25" s="1"/>
  <c r="N850" i="25" s="1"/>
  <c r="N851" i="25" s="1"/>
  <c r="N852" i="25" s="1"/>
  <c r="N853" i="25" s="1"/>
  <c r="N854" i="25" s="1"/>
  <c r="N855" i="25" s="1"/>
  <c r="N856" i="25" s="1"/>
  <c r="N857" i="25" s="1"/>
  <c r="N858" i="25" s="1"/>
  <c r="N859" i="25" s="1"/>
  <c r="N860" i="25" s="1"/>
  <c r="N861" i="25" s="1"/>
  <c r="N862" i="25" s="1"/>
  <c r="N863" i="25" s="1"/>
  <c r="N864" i="25" s="1"/>
  <c r="N865" i="25" s="1"/>
  <c r="N866" i="25" s="1"/>
  <c r="N867" i="25" s="1"/>
  <c r="N868" i="25" s="1"/>
  <c r="N869" i="25" s="1"/>
  <c r="N870" i="25" s="1"/>
  <c r="N871" i="25" s="1"/>
  <c r="N872" i="25" s="1"/>
  <c r="N873" i="25" s="1"/>
  <c r="N874" i="25" s="1"/>
  <c r="N875" i="25" s="1"/>
  <c r="N876" i="25" s="1"/>
  <c r="N877" i="25" s="1"/>
  <c r="N878" i="25" s="1"/>
  <c r="N879" i="25" s="1"/>
  <c r="N880" i="25" s="1"/>
  <c r="N881" i="25" s="1"/>
  <c r="N882" i="25" s="1"/>
  <c r="N883" i="25" s="1"/>
  <c r="N884" i="25" s="1"/>
  <c r="N885" i="25" s="1"/>
  <c r="N886" i="25" s="1"/>
  <c r="N887" i="25" s="1"/>
  <c r="N888" i="25" s="1"/>
  <c r="N889" i="25" s="1"/>
  <c r="N890" i="25" s="1"/>
  <c r="N891" i="25" s="1"/>
  <c r="N892" i="25" s="1"/>
  <c r="N893" i="25" s="1"/>
  <c r="N894" i="25" s="1"/>
  <c r="N895" i="25" s="1"/>
  <c r="N896" i="25" s="1"/>
  <c r="N897" i="25" s="1"/>
  <c r="N898" i="25" s="1"/>
  <c r="N899" i="25" s="1"/>
  <c r="N900" i="25" s="1"/>
  <c r="N901" i="25" s="1"/>
  <c r="N902" i="25" s="1"/>
  <c r="N903" i="25" s="1"/>
  <c r="N904" i="25" s="1"/>
  <c r="N905" i="25" s="1"/>
  <c r="N906" i="25" s="1"/>
  <c r="N907" i="25" s="1"/>
  <c r="N908" i="25" s="1"/>
  <c r="N909" i="25" s="1"/>
  <c r="N910" i="25" s="1"/>
  <c r="N911" i="25" s="1"/>
  <c r="N912" i="25" s="1"/>
  <c r="N913" i="25" s="1"/>
  <c r="N914" i="25" s="1"/>
  <c r="N915" i="25" s="1"/>
  <c r="N916" i="25" s="1"/>
  <c r="N917" i="25" s="1"/>
  <c r="N918" i="25" s="1"/>
  <c r="N919" i="25" s="1"/>
  <c r="N920" i="25" s="1"/>
  <c r="N921" i="25" s="1"/>
  <c r="N922" i="25" s="1"/>
  <c r="N923" i="25" s="1"/>
  <c r="N924" i="25" s="1"/>
  <c r="N925" i="25" s="1"/>
  <c r="N926" i="25" s="1"/>
  <c r="N927" i="25" s="1"/>
  <c r="N928" i="25" s="1"/>
  <c r="N929" i="25" s="1"/>
  <c r="N930" i="25" s="1"/>
  <c r="N931" i="25" s="1"/>
  <c r="N932" i="25" s="1"/>
  <c r="N933" i="25" s="1"/>
  <c r="N934" i="25" s="1"/>
  <c r="N935" i="25" s="1"/>
  <c r="N936" i="25" s="1"/>
  <c r="N937" i="25" s="1"/>
  <c r="N938" i="25" s="1"/>
  <c r="N939" i="25" s="1"/>
  <c r="N940" i="25" s="1"/>
  <c r="N941" i="25" s="1"/>
  <c r="N942" i="25" s="1"/>
  <c r="N943" i="25" s="1"/>
  <c r="N944" i="25" s="1"/>
  <c r="N945" i="25" s="1"/>
  <c r="N946" i="25" s="1"/>
  <c r="N947" i="25" s="1"/>
  <c r="N948" i="25" s="1"/>
  <c r="N949" i="25" s="1"/>
  <c r="N950" i="25" s="1"/>
  <c r="N951" i="25" s="1"/>
  <c r="N952" i="25" s="1"/>
  <c r="N953" i="25" s="1"/>
  <c r="N954" i="25" s="1"/>
  <c r="N955" i="25" s="1"/>
  <c r="N956" i="25" s="1"/>
  <c r="N957" i="25" s="1"/>
  <c r="N958" i="25" s="1"/>
  <c r="N959" i="25" s="1"/>
  <c r="N960" i="25" s="1"/>
  <c r="N961" i="25" s="1"/>
  <c r="N962" i="25" s="1"/>
  <c r="N963" i="25" s="1"/>
  <c r="N964" i="25" s="1"/>
  <c r="N965" i="25" s="1"/>
  <c r="N966" i="25" s="1"/>
  <c r="N967" i="25" s="1"/>
  <c r="N968" i="25" s="1"/>
  <c r="N969" i="25" s="1"/>
  <c r="N970" i="25" s="1"/>
  <c r="N971" i="25" s="1"/>
  <c r="N972" i="25" s="1"/>
  <c r="N973" i="25" s="1"/>
  <c r="N974" i="25" s="1"/>
  <c r="N975" i="25" s="1"/>
  <c r="N976" i="25" s="1"/>
  <c r="N977" i="25" s="1"/>
  <c r="N978" i="25" s="1"/>
  <c r="N979" i="25" s="1"/>
  <c r="N980" i="25" s="1"/>
  <c r="N981" i="25" s="1"/>
  <c r="N982" i="25" s="1"/>
  <c r="N983" i="25" s="1"/>
  <c r="N984" i="25" s="1"/>
  <c r="N985" i="25" s="1"/>
  <c r="N986" i="25" s="1"/>
  <c r="N987" i="25" s="1"/>
  <c r="N988" i="25" s="1"/>
  <c r="N989" i="25" s="1"/>
  <c r="N990" i="25" s="1"/>
  <c r="N991" i="25" s="1"/>
  <c r="N992" i="25" s="1"/>
  <c r="N993" i="25" s="1"/>
  <c r="N994" i="25" s="1"/>
  <c r="N995" i="25" s="1"/>
  <c r="N996" i="25" s="1"/>
  <c r="N997" i="25" s="1"/>
  <c r="N998" i="25" s="1"/>
  <c r="N999" i="25" s="1"/>
  <c r="N1000" i="25" s="1"/>
  <c r="N1001" i="25" s="1"/>
  <c r="N1002" i="25" s="1"/>
  <c r="N1003" i="25" s="1"/>
  <c r="N1004" i="25" s="1"/>
  <c r="N1005" i="25" s="1"/>
  <c r="N1006" i="25" s="1"/>
  <c r="N1007" i="25" s="1"/>
  <c r="N1008" i="25" s="1"/>
  <c r="N1009" i="25" s="1"/>
  <c r="N1010" i="25" s="1"/>
  <c r="N1011" i="25" s="1"/>
  <c r="N1012" i="25" s="1"/>
  <c r="N1013" i="25" s="1"/>
  <c r="N1014" i="25" s="1"/>
  <c r="N1015" i="25" s="1"/>
  <c r="N1016" i="25" s="1"/>
  <c r="N1017" i="25" s="1"/>
  <c r="N1018" i="25" s="1"/>
  <c r="N1019" i="25" s="1"/>
  <c r="N1020" i="25" s="1"/>
  <c r="N1021" i="25" s="1"/>
  <c r="N1022" i="25" s="1"/>
  <c r="N1023" i="25" s="1"/>
  <c r="N1024" i="25" s="1"/>
  <c r="N1025" i="25" s="1"/>
  <c r="N1026" i="25" s="1"/>
  <c r="N1027" i="25" s="1"/>
  <c r="N1028" i="25" s="1"/>
  <c r="N1029" i="25" s="1"/>
  <c r="N1030" i="25" s="1"/>
  <c r="N1031" i="25" s="1"/>
  <c r="N1032" i="25" s="1"/>
  <c r="N1033" i="25" s="1"/>
  <c r="N1034" i="25" s="1"/>
  <c r="N1035" i="25" s="1"/>
  <c r="N1036" i="25" s="1"/>
  <c r="N1037" i="25" s="1"/>
  <c r="N1038" i="25" s="1"/>
  <c r="N1039" i="25" s="1"/>
  <c r="N1040" i="25" s="1"/>
  <c r="N1041" i="25" s="1"/>
  <c r="N1042" i="25" s="1"/>
  <c r="N1043" i="25" s="1"/>
  <c r="N1044" i="25" s="1"/>
  <c r="N1045" i="25" s="1"/>
  <c r="N1046" i="25" s="1"/>
  <c r="N1047" i="25" s="1"/>
  <c r="N1048" i="25" s="1"/>
  <c r="N1049" i="25" s="1"/>
  <c r="N1050" i="25" s="1"/>
  <c r="N1051" i="25" s="1"/>
  <c r="N1052" i="25" s="1"/>
  <c r="N1053" i="25" s="1"/>
  <c r="N1054" i="25" s="1"/>
  <c r="N1055" i="25" s="1"/>
  <c r="N1056" i="25" s="1"/>
  <c r="N1057" i="25" s="1"/>
  <c r="N1058" i="25" s="1"/>
  <c r="N1059" i="25" s="1"/>
  <c r="N1060" i="25" s="1"/>
  <c r="N1061" i="25" s="1"/>
  <c r="N1062" i="25" s="1"/>
  <c r="N1063" i="25" s="1"/>
  <c r="N1064" i="25" s="1"/>
  <c r="N1065" i="25" s="1"/>
  <c r="N1066" i="25" s="1"/>
  <c r="N1067" i="25" s="1"/>
  <c r="N1068" i="25" s="1"/>
  <c r="N1069" i="25" s="1"/>
  <c r="N1070" i="25" s="1"/>
  <c r="N1071" i="25" s="1"/>
  <c r="N1072" i="25" s="1"/>
  <c r="N1073" i="25" s="1"/>
  <c r="N1074" i="25" s="1"/>
  <c r="N1075" i="25" s="1"/>
  <c r="N1076" i="25" s="1"/>
  <c r="N1077" i="25" s="1"/>
  <c r="N1078" i="25" s="1"/>
  <c r="N1079" i="25" s="1"/>
  <c r="N1080" i="25" s="1"/>
  <c r="N1081" i="25" s="1"/>
  <c r="N1082" i="25" s="1"/>
  <c r="N1083" i="25" s="1"/>
  <c r="N1084" i="25" s="1"/>
  <c r="N1085" i="25" s="1"/>
  <c r="N1086" i="25" s="1"/>
  <c r="N1087" i="25" s="1"/>
  <c r="N1088" i="25" s="1"/>
  <c r="N1089" i="25" s="1"/>
  <c r="N1090" i="25" s="1"/>
  <c r="N1091" i="25" s="1"/>
  <c r="N1092" i="25" s="1"/>
  <c r="N1093" i="25" s="1"/>
  <c r="N1094" i="25" s="1"/>
  <c r="N1095" i="25" s="1"/>
  <c r="N1096" i="25" s="1"/>
  <c r="N1097" i="25" s="1"/>
  <c r="N1098" i="25" s="1"/>
  <c r="N1099" i="25" s="1"/>
  <c r="N1100" i="25" s="1"/>
  <c r="N1101" i="25" s="1"/>
  <c r="N1102" i="25" s="1"/>
  <c r="N1103" i="25" s="1"/>
  <c r="N1104" i="25" s="1"/>
  <c r="N1105" i="25" s="1"/>
  <c r="N1106" i="25" s="1"/>
  <c r="N1107" i="25" s="1"/>
  <c r="N1108" i="25" s="1"/>
  <c r="N1109" i="25" s="1"/>
  <c r="N1110" i="25" s="1"/>
  <c r="N1111" i="25" s="1"/>
  <c r="N1112" i="25" s="1"/>
  <c r="N1113" i="25" s="1"/>
  <c r="N1114" i="25" s="1"/>
  <c r="N1115" i="25" s="1"/>
  <c r="N1116" i="25" s="1"/>
  <c r="N1117" i="25" s="1"/>
  <c r="N1118" i="25" s="1"/>
  <c r="N1119" i="25" s="1"/>
  <c r="N1120" i="25" s="1"/>
  <c r="N1121" i="25" s="1"/>
  <c r="N1122" i="25" s="1"/>
  <c r="N1123" i="25" s="1"/>
  <c r="N1124" i="25" s="1"/>
  <c r="N1125" i="25" s="1"/>
  <c r="N1126" i="25" s="1"/>
  <c r="N1127" i="25" s="1"/>
  <c r="N1128" i="25" s="1"/>
  <c r="N1129" i="25" s="1"/>
  <c r="N1130" i="25" s="1"/>
  <c r="N1131" i="25" s="1"/>
  <c r="N1132" i="25" s="1"/>
  <c r="N1133" i="25" s="1"/>
  <c r="N1134" i="25" s="1"/>
  <c r="N1135" i="25" s="1"/>
  <c r="N1136" i="25" s="1"/>
  <c r="N1137" i="25" s="1"/>
  <c r="N1138" i="25" s="1"/>
  <c r="N1139" i="25" s="1"/>
  <c r="N1140" i="25" s="1"/>
  <c r="N1141" i="25" s="1"/>
  <c r="N1142" i="25" s="1"/>
  <c r="N1143" i="25" s="1"/>
  <c r="N1144" i="25" s="1"/>
  <c r="N1145" i="25" s="1"/>
  <c r="N1146" i="25" s="1"/>
  <c r="N1147" i="25" s="1"/>
  <c r="N1148" i="25" s="1"/>
  <c r="N1149" i="25" s="1"/>
  <c r="N1150" i="25" s="1"/>
  <c r="N1151" i="25" s="1"/>
  <c r="N1152" i="25" s="1"/>
  <c r="N1153" i="25" s="1"/>
  <c r="N1154" i="25" s="1"/>
  <c r="N1155" i="25" s="1"/>
  <c r="N1156" i="25" s="1"/>
  <c r="N1157" i="25" s="1"/>
  <c r="N1158" i="25" s="1"/>
  <c r="N1159" i="25" s="1"/>
  <c r="N1160" i="25" s="1"/>
  <c r="N1161" i="25" s="1"/>
  <c r="N1162" i="25" s="1"/>
  <c r="N1163" i="25" s="1"/>
  <c r="N1164" i="25" s="1"/>
  <c r="N1165" i="25" s="1"/>
  <c r="N1166" i="25" s="1"/>
  <c r="N1167" i="25" s="1"/>
  <c r="N1168" i="25" s="1"/>
  <c r="N1169" i="25" s="1"/>
  <c r="N1170" i="25" s="1"/>
  <c r="N1171" i="25" s="1"/>
  <c r="N1172" i="25" s="1"/>
  <c r="N1173" i="25" s="1"/>
  <c r="N1174" i="25" s="1"/>
  <c r="N1175" i="25" s="1"/>
  <c r="N1176" i="25" s="1"/>
  <c r="N1177" i="25" s="1"/>
  <c r="N1178" i="25" s="1"/>
  <c r="N1179" i="25" s="1"/>
  <c r="N1180" i="25" s="1"/>
  <c r="N1181" i="25" s="1"/>
  <c r="N1182" i="25" s="1"/>
  <c r="N1183" i="25" s="1"/>
  <c r="N1184" i="25" s="1"/>
  <c r="N1185" i="25" s="1"/>
  <c r="N1186" i="25" s="1"/>
  <c r="N1187" i="25" s="1"/>
  <c r="N1188" i="25" s="1"/>
  <c r="N1189" i="25" s="1"/>
  <c r="N1190" i="25" s="1"/>
  <c r="N1191" i="25" s="1"/>
  <c r="N1192" i="25" s="1"/>
  <c r="N1193" i="25" s="1"/>
  <c r="N1194" i="25" s="1"/>
  <c r="N1195" i="25" s="1"/>
  <c r="N1196" i="25" s="1"/>
  <c r="N1197" i="25" s="1"/>
  <c r="N1198" i="25" s="1"/>
  <c r="N1199" i="25" s="1"/>
  <c r="N1200" i="25" s="1"/>
  <c r="N1201" i="25" s="1"/>
  <c r="N1202" i="25" s="1"/>
  <c r="N1203" i="25" s="1"/>
  <c r="N1204" i="25" s="1"/>
  <c r="N1205" i="25" s="1"/>
  <c r="N1206" i="25" s="1"/>
  <c r="N1207" i="25" s="1"/>
  <c r="N1208" i="25" s="1"/>
  <c r="N1209" i="25" s="1"/>
  <c r="N1210" i="25" s="1"/>
  <c r="N1211" i="25" s="1"/>
  <c r="N1212" i="25" s="1"/>
  <c r="N1213" i="25" s="1"/>
  <c r="N1214" i="25" s="1"/>
  <c r="N1215" i="25" s="1"/>
  <c r="N1216" i="25" s="1"/>
  <c r="N1217" i="25" s="1"/>
  <c r="N1218" i="25" s="1"/>
  <c r="N1219" i="25" s="1"/>
  <c r="N1220" i="25" s="1"/>
  <c r="N1221" i="25" s="1"/>
  <c r="N1222" i="25" s="1"/>
  <c r="N1223" i="25" s="1"/>
  <c r="N1224" i="25" s="1"/>
  <c r="N1225" i="25" s="1"/>
  <c r="N1226" i="25" s="1"/>
  <c r="N1227" i="25" s="1"/>
  <c r="N1228" i="25" s="1"/>
  <c r="N1229" i="25" s="1"/>
  <c r="N1230" i="25" s="1"/>
  <c r="N1231" i="25" s="1"/>
  <c r="N1232" i="25" s="1"/>
  <c r="N1233" i="25" s="1"/>
  <c r="N1234" i="25" s="1"/>
  <c r="N1235" i="25" s="1"/>
  <c r="N1236" i="25" s="1"/>
  <c r="N1237" i="25" s="1"/>
  <c r="N1238" i="25" s="1"/>
  <c r="N1239" i="25" s="1"/>
  <c r="N1240" i="25" s="1"/>
  <c r="N1241" i="25" s="1"/>
  <c r="N1242" i="25" s="1"/>
  <c r="N1243" i="25" s="1"/>
  <c r="N1244" i="25" s="1"/>
  <c r="N1245" i="25" s="1"/>
  <c r="N1246" i="25" s="1"/>
  <c r="N1247" i="25" s="1"/>
  <c r="N1248" i="25" s="1"/>
  <c r="N1249" i="25" s="1"/>
  <c r="N1250" i="25" s="1"/>
  <c r="N1251" i="25" s="1"/>
  <c r="N1252" i="25" s="1"/>
  <c r="N1253" i="25" s="1"/>
  <c r="N1254" i="25" s="1"/>
  <c r="N1255" i="25" s="1"/>
  <c r="N1256" i="25" s="1"/>
  <c r="N1257" i="25" s="1"/>
  <c r="N1258" i="25" s="1"/>
  <c r="N1259" i="25" s="1"/>
  <c r="N1260" i="25" s="1"/>
  <c r="N1261" i="25" s="1"/>
  <c r="N1262" i="25" s="1"/>
  <c r="N1263" i="25" s="1"/>
  <c r="N1264" i="25" s="1"/>
  <c r="N1265" i="25" s="1"/>
  <c r="N1266" i="25" s="1"/>
  <c r="N1267" i="25" s="1"/>
  <c r="N1268" i="25" s="1"/>
  <c r="N1269" i="25" s="1"/>
  <c r="N1270" i="25" s="1"/>
  <c r="N1271" i="25" s="1"/>
  <c r="N1272" i="25" s="1"/>
  <c r="N1273" i="25" s="1"/>
  <c r="N1274" i="25" s="1"/>
  <c r="N1275" i="25" s="1"/>
  <c r="N1276" i="25" s="1"/>
  <c r="N1277" i="25" s="1"/>
  <c r="N1278" i="25" s="1"/>
  <c r="N1279" i="25" s="1"/>
  <c r="N1280" i="25" s="1"/>
  <c r="N1281" i="25" s="1"/>
  <c r="N1282" i="25" s="1"/>
  <c r="N1283" i="25" s="1"/>
  <c r="N1284" i="25" s="1"/>
  <c r="N1285" i="25" s="1"/>
  <c r="N1286" i="25" s="1"/>
  <c r="N1287" i="25" s="1"/>
  <c r="N1288" i="25" s="1"/>
  <c r="N1289" i="25" s="1"/>
  <c r="N1290" i="25" s="1"/>
  <c r="N1291" i="25" s="1"/>
  <c r="N1292" i="25" s="1"/>
  <c r="N1293" i="25" s="1"/>
  <c r="N1294" i="25" s="1"/>
  <c r="N1295" i="25" s="1"/>
  <c r="N1296" i="25" s="1"/>
  <c r="N1297" i="25" s="1"/>
  <c r="N1298" i="25" s="1"/>
  <c r="N1299" i="25" s="1"/>
  <c r="N1300" i="25" s="1"/>
  <c r="N1301" i="25" s="1"/>
  <c r="N1302" i="25" s="1"/>
  <c r="N1303" i="25" s="1"/>
  <c r="N1304" i="25" s="1"/>
  <c r="N1305" i="25" s="1"/>
  <c r="N1306" i="25" s="1"/>
  <c r="N1307" i="25" s="1"/>
  <c r="N1308" i="25" s="1"/>
  <c r="N1309" i="25" s="1"/>
  <c r="N1310" i="25" s="1"/>
  <c r="N1311" i="25" s="1"/>
  <c r="N1312" i="25" s="1"/>
  <c r="N1313" i="25" s="1"/>
  <c r="N1314" i="25" s="1"/>
  <c r="N1315" i="25" s="1"/>
  <c r="N1316" i="25" s="1"/>
  <c r="N1317" i="25" s="1"/>
  <c r="N1318" i="25" s="1"/>
  <c r="N1319" i="25" s="1"/>
  <c r="N1320" i="25" s="1"/>
  <c r="N1321" i="25" s="1"/>
  <c r="N1322" i="25" s="1"/>
  <c r="N1323" i="25" s="1"/>
  <c r="N1324" i="25" s="1"/>
  <c r="N1325" i="25" s="1"/>
  <c r="N1326" i="25" s="1"/>
  <c r="N1327" i="25" s="1"/>
  <c r="N1328" i="25" s="1"/>
  <c r="N1329" i="25" s="1"/>
  <c r="N1330" i="25" s="1"/>
  <c r="N1331" i="25" s="1"/>
  <c r="N1332" i="25" s="1"/>
  <c r="N1333" i="25" s="1"/>
  <c r="N1334" i="25" s="1"/>
  <c r="N1335" i="25" s="1"/>
  <c r="N1336" i="25" s="1"/>
  <c r="N1337" i="25" s="1"/>
  <c r="N1338" i="25" s="1"/>
  <c r="N1339" i="25" s="1"/>
  <c r="N1340" i="25" s="1"/>
  <c r="N1341" i="25" s="1"/>
  <c r="N1342" i="25" s="1"/>
  <c r="N1343" i="25" s="1"/>
  <c r="N1344" i="25" s="1"/>
  <c r="N1345" i="25" s="1"/>
  <c r="N1346" i="25" s="1"/>
  <c r="N1347" i="25" s="1"/>
  <c r="N1348" i="25" s="1"/>
  <c r="N1349" i="25" s="1"/>
  <c r="N1350" i="25" s="1"/>
  <c r="N1351" i="25" s="1"/>
  <c r="N1352" i="25" s="1"/>
  <c r="N1353" i="25" s="1"/>
  <c r="N1354" i="25" s="1"/>
  <c r="N1355" i="25" s="1"/>
  <c r="N1356" i="25" s="1"/>
  <c r="N1357" i="25" s="1"/>
  <c r="N1358" i="25" s="1"/>
  <c r="N1359" i="25" s="1"/>
  <c r="N1360" i="25" s="1"/>
  <c r="N1361" i="25" s="1"/>
  <c r="N1362" i="25" s="1"/>
  <c r="N1363" i="25" s="1"/>
  <c r="N1364" i="25" s="1"/>
  <c r="N1365" i="25" s="1"/>
  <c r="N1366" i="25" s="1"/>
  <c r="N1367" i="25" s="1"/>
  <c r="N1368" i="25" s="1"/>
  <c r="N1369" i="25" s="1"/>
  <c r="N1370" i="25" s="1"/>
  <c r="N1371" i="25" s="1"/>
  <c r="N1372" i="25" s="1"/>
  <c r="N1373" i="25" s="1"/>
  <c r="N1374" i="25" s="1"/>
  <c r="N1375" i="25" s="1"/>
  <c r="N1376" i="25" s="1"/>
  <c r="N1377" i="25" s="1"/>
  <c r="N1378" i="25" s="1"/>
  <c r="N1379" i="25" s="1"/>
  <c r="N1380" i="25" s="1"/>
  <c r="N1381" i="25" s="1"/>
  <c r="N1382" i="25" s="1"/>
  <c r="N1383" i="25" s="1"/>
  <c r="N1384" i="25" s="1"/>
  <c r="N1385" i="25" s="1"/>
  <c r="N1386" i="25" s="1"/>
  <c r="N1387" i="25" s="1"/>
  <c r="N1388" i="25" s="1"/>
  <c r="N1389" i="25" s="1"/>
  <c r="N1390" i="25" s="1"/>
  <c r="N1391" i="25" s="1"/>
  <c r="N1392" i="25" s="1"/>
  <c r="N1393" i="25" s="1"/>
  <c r="N1394" i="25" s="1"/>
  <c r="N1395" i="25" s="1"/>
  <c r="N1396" i="25" s="1"/>
  <c r="N1397" i="25" s="1"/>
  <c r="N1398" i="25" s="1"/>
  <c r="N1399" i="25" s="1"/>
  <c r="N1400" i="25" s="1"/>
  <c r="N1401" i="25" s="1"/>
  <c r="N1402" i="25" s="1"/>
  <c r="N1403" i="25" s="1"/>
  <c r="N1404" i="25" s="1"/>
  <c r="N1405" i="25" s="1"/>
  <c r="N1406" i="25" s="1"/>
  <c r="N1407" i="25" s="1"/>
  <c r="N1408" i="25" s="1"/>
  <c r="N1409" i="25" s="1"/>
  <c r="N1410" i="25" s="1"/>
  <c r="N1411" i="25" s="1"/>
  <c r="N1412" i="25" s="1"/>
  <c r="N1413" i="25" s="1"/>
  <c r="N1414" i="25" s="1"/>
  <c r="N1415" i="25" s="1"/>
  <c r="N1416" i="25" s="1"/>
  <c r="N1417" i="25" s="1"/>
  <c r="N1418" i="25" s="1"/>
  <c r="N1419" i="25" s="1"/>
  <c r="N1420" i="25" s="1"/>
  <c r="N1421" i="25" s="1"/>
  <c r="N1422" i="25" s="1"/>
  <c r="N1423" i="25" s="1"/>
  <c r="N1424" i="25" s="1"/>
  <c r="N1425" i="25" s="1"/>
  <c r="N1426" i="25" s="1"/>
  <c r="N1427" i="25" s="1"/>
  <c r="N1428" i="25" s="1"/>
  <c r="N1429" i="25" s="1"/>
  <c r="N1430" i="25" s="1"/>
  <c r="N1431" i="25" s="1"/>
  <c r="N1432" i="25" s="1"/>
  <c r="N1433" i="25" s="1"/>
  <c r="N1434" i="25" s="1"/>
  <c r="N1435" i="25" s="1"/>
  <c r="N1436" i="25" s="1"/>
  <c r="N1437" i="25" s="1"/>
  <c r="N1438" i="25" s="1"/>
  <c r="N1439" i="25" s="1"/>
  <c r="N1440" i="25" s="1"/>
  <c r="N1441" i="25" s="1"/>
  <c r="N1442" i="25" s="1"/>
  <c r="N1443" i="25" s="1"/>
  <c r="N1444" i="25" s="1"/>
  <c r="N1445" i="25" s="1"/>
  <c r="N1446" i="25" s="1"/>
  <c r="N1447" i="25" s="1"/>
  <c r="N1448" i="25" s="1"/>
  <c r="N1449" i="25" s="1"/>
  <c r="N1450" i="25" s="1"/>
  <c r="N1451" i="25" s="1"/>
  <c r="N1452" i="25" s="1"/>
  <c r="N1453" i="25" s="1"/>
  <c r="N1454" i="25" s="1"/>
  <c r="N1455" i="25" s="1"/>
  <c r="N1456" i="25" s="1"/>
  <c r="N1457" i="25" s="1"/>
  <c r="N1458" i="25" s="1"/>
  <c r="N1459" i="25" s="1"/>
  <c r="N1460" i="25" s="1"/>
  <c r="N1461" i="25" s="1"/>
  <c r="N1462" i="25" s="1"/>
  <c r="N1463" i="25" s="1"/>
  <c r="N1464" i="25" s="1"/>
  <c r="N1465" i="25" s="1"/>
  <c r="N1466" i="25" s="1"/>
  <c r="N1467" i="25" s="1"/>
  <c r="N1468" i="25" s="1"/>
  <c r="N1469" i="25" s="1"/>
  <c r="N1470" i="25" s="1"/>
  <c r="N1471" i="25" s="1"/>
  <c r="N1472" i="25" s="1"/>
  <c r="N1473" i="25" s="1"/>
  <c r="N1474" i="25" s="1"/>
  <c r="N1475" i="25" s="1"/>
  <c r="N1476" i="25" s="1"/>
  <c r="N1477" i="25" s="1"/>
  <c r="N1478" i="25" s="1"/>
  <c r="N1479" i="25" s="1"/>
  <c r="N1480" i="25" s="1"/>
  <c r="N1481" i="25" s="1"/>
  <c r="N1482" i="25" s="1"/>
  <c r="N1483" i="25" s="1"/>
  <c r="N1484" i="25" s="1"/>
  <c r="N1485" i="25" s="1"/>
  <c r="N1486" i="25" s="1"/>
  <c r="N1487" i="25" s="1"/>
  <c r="N1488" i="25" s="1"/>
  <c r="N1489" i="25" s="1"/>
  <c r="N1490" i="25" s="1"/>
  <c r="N1491" i="25" s="1"/>
  <c r="N1492" i="25" s="1"/>
  <c r="N1493" i="25" s="1"/>
  <c r="N1494" i="25" s="1"/>
  <c r="N1495" i="25" s="1"/>
  <c r="N1496" i="25" s="1"/>
  <c r="N1497" i="25" s="1"/>
  <c r="N1498" i="25" s="1"/>
  <c r="N1499" i="25" s="1"/>
  <c r="N1500" i="25" s="1"/>
  <c r="N1501" i="25" s="1"/>
  <c r="N1502" i="25" s="1"/>
  <c r="N1503" i="25" s="1"/>
  <c r="N1504" i="25" s="1"/>
  <c r="N1505" i="25" s="1"/>
  <c r="N1506" i="25" s="1"/>
  <c r="N1507" i="25" s="1"/>
  <c r="N1508" i="25" s="1"/>
  <c r="N1509" i="25" s="1"/>
  <c r="N1510" i="25" s="1"/>
  <c r="N1511" i="25" s="1"/>
  <c r="N1512" i="25" s="1"/>
  <c r="N1513" i="25" s="1"/>
  <c r="N1514" i="25" s="1"/>
  <c r="N1515" i="25" s="1"/>
  <c r="N1516" i="25" s="1"/>
  <c r="N1517" i="25" s="1"/>
  <c r="N1518" i="25" s="1"/>
  <c r="N1519" i="25" s="1"/>
  <c r="N1520" i="25" s="1"/>
  <c r="N1521" i="25" s="1"/>
  <c r="N1522" i="25" s="1"/>
  <c r="N1523" i="25" s="1"/>
  <c r="N1524" i="25" s="1"/>
  <c r="N1525" i="25" s="1"/>
  <c r="N1526" i="25" s="1"/>
  <c r="N1527" i="25" s="1"/>
  <c r="N1528" i="25" s="1"/>
  <c r="N1529" i="25" s="1"/>
  <c r="N1530" i="25" s="1"/>
  <c r="N1531" i="25" s="1"/>
  <c r="N1532" i="25" s="1"/>
  <c r="N1533" i="25" s="1"/>
  <c r="N1534" i="25" s="1"/>
  <c r="N1535" i="25" s="1"/>
  <c r="N1536" i="25" s="1"/>
  <c r="N1537" i="25" s="1"/>
  <c r="N1538" i="25" s="1"/>
  <c r="N1539" i="25" s="1"/>
  <c r="N1540" i="25" s="1"/>
  <c r="N1541" i="25" s="1"/>
  <c r="N1542" i="25" s="1"/>
  <c r="N1543" i="25" s="1"/>
  <c r="N1544" i="25" s="1"/>
  <c r="N1545" i="25" s="1"/>
  <c r="N1546" i="25" s="1"/>
  <c r="N1547" i="25" s="1"/>
  <c r="N1548" i="25" s="1"/>
  <c r="N1549" i="25" s="1"/>
  <c r="N1550" i="25" s="1"/>
  <c r="N1551" i="25" s="1"/>
  <c r="N1552" i="25" s="1"/>
  <c r="N1553" i="25" s="1"/>
  <c r="N1554" i="25" s="1"/>
  <c r="N1555" i="25" s="1"/>
  <c r="N1556" i="25" s="1"/>
  <c r="N1557" i="25" s="1"/>
  <c r="N1558" i="25" s="1"/>
  <c r="N1559" i="25" s="1"/>
  <c r="N1560" i="25" s="1"/>
  <c r="N1561" i="25" s="1"/>
  <c r="N1562" i="25" s="1"/>
  <c r="N1563" i="25" s="1"/>
  <c r="N1564" i="25" s="1"/>
  <c r="N1565" i="25" s="1"/>
  <c r="N1566" i="25" s="1"/>
  <c r="N1567" i="25" s="1"/>
  <c r="N1568" i="25" s="1"/>
  <c r="N1569" i="25" s="1"/>
  <c r="N1570" i="25" s="1"/>
  <c r="N1571" i="25" s="1"/>
  <c r="N1572" i="25" s="1"/>
  <c r="N1573" i="25" s="1"/>
  <c r="N1574" i="25" s="1"/>
  <c r="N1575" i="25" s="1"/>
  <c r="N1576" i="25" s="1"/>
  <c r="N1577" i="25" s="1"/>
  <c r="N1578" i="25" s="1"/>
  <c r="N1579" i="25" s="1"/>
  <c r="N1580" i="25" s="1"/>
  <c r="N1581" i="25" s="1"/>
  <c r="N1582" i="25" s="1"/>
  <c r="N1583" i="25" s="1"/>
  <c r="N1584" i="25" s="1"/>
  <c r="N1585" i="25" s="1"/>
  <c r="N1586" i="25" s="1"/>
  <c r="N1587" i="25" s="1"/>
  <c r="N1588" i="25" s="1"/>
  <c r="N1589" i="25" s="1"/>
  <c r="N1590" i="25" s="1"/>
  <c r="N1591" i="25" s="1"/>
  <c r="N1592" i="25" s="1"/>
  <c r="N1593" i="25" s="1"/>
  <c r="N1594" i="25" s="1"/>
  <c r="N1595" i="25" s="1"/>
  <c r="N1596" i="25" s="1"/>
  <c r="N1597" i="25" s="1"/>
  <c r="N1598" i="25" s="1"/>
  <c r="N1599" i="25" s="1"/>
  <c r="N1600" i="25" s="1"/>
  <c r="N1601" i="25" s="1"/>
  <c r="N1602" i="25" s="1"/>
  <c r="N1603" i="25" s="1"/>
  <c r="N1604" i="25" s="1"/>
  <c r="N1605" i="25" s="1"/>
  <c r="N1606" i="25" s="1"/>
  <c r="N1607" i="25" s="1"/>
  <c r="N1608" i="25" s="1"/>
  <c r="N1609" i="25" s="1"/>
  <c r="N1610" i="25" s="1"/>
  <c r="N1611" i="25" s="1"/>
  <c r="N1612" i="25" s="1"/>
  <c r="N1613" i="25" s="1"/>
  <c r="N1614" i="25" s="1"/>
  <c r="N1615" i="25" s="1"/>
  <c r="N1616" i="25" s="1"/>
  <c r="N1617" i="25" s="1"/>
  <c r="N1618" i="25" s="1"/>
  <c r="N1619" i="25" s="1"/>
  <c r="N1620" i="25" s="1"/>
  <c r="N1621" i="25" s="1"/>
  <c r="N1622" i="25" s="1"/>
  <c r="N1623" i="25" s="1"/>
  <c r="N1624" i="25" s="1"/>
  <c r="N1625" i="25" s="1"/>
  <c r="N1626" i="25" s="1"/>
  <c r="N1627" i="25" s="1"/>
  <c r="N1628" i="25" s="1"/>
  <c r="N1629" i="25" s="1"/>
  <c r="N1630" i="25" s="1"/>
  <c r="N1631" i="25" s="1"/>
  <c r="N1632" i="25" s="1"/>
  <c r="N1633" i="25" s="1"/>
  <c r="N1634" i="25" s="1"/>
  <c r="N1635" i="25" s="1"/>
  <c r="N1636" i="25" s="1"/>
  <c r="N1637" i="25" s="1"/>
  <c r="N1638" i="25" s="1"/>
  <c r="N1639" i="25" s="1"/>
  <c r="N1640" i="25" s="1"/>
  <c r="N1641" i="25" s="1"/>
  <c r="N1642" i="25" s="1"/>
  <c r="N1643" i="25" s="1"/>
  <c r="N1644" i="25" s="1"/>
  <c r="N1645" i="25" s="1"/>
  <c r="N1646" i="25" s="1"/>
  <c r="N1647" i="25" s="1"/>
  <c r="N1648" i="25" s="1"/>
  <c r="N1649" i="25" s="1"/>
  <c r="N1650" i="25" s="1"/>
  <c r="N1651" i="25" s="1"/>
  <c r="N1652" i="25" s="1"/>
  <c r="N1653" i="25" s="1"/>
  <c r="N1654" i="25" s="1"/>
  <c r="N1655" i="25" s="1"/>
  <c r="N1656" i="25" s="1"/>
  <c r="N1657" i="25" s="1"/>
  <c r="N1658" i="25" s="1"/>
  <c r="N1659" i="25" s="1"/>
  <c r="N1660" i="25" s="1"/>
  <c r="N1661" i="25" s="1"/>
  <c r="N1662" i="25" s="1"/>
  <c r="N1663" i="25" s="1"/>
  <c r="N1664" i="25" s="1"/>
  <c r="N1665" i="25" s="1"/>
  <c r="N1666" i="25" s="1"/>
  <c r="N1667" i="25" s="1"/>
  <c r="N1668" i="25" s="1"/>
  <c r="N1669" i="25" s="1"/>
  <c r="N1670" i="25" s="1"/>
  <c r="N1671" i="25" s="1"/>
  <c r="N1672" i="25" s="1"/>
  <c r="N1673" i="25" s="1"/>
  <c r="N1674" i="25" s="1"/>
  <c r="N1675" i="25" s="1"/>
  <c r="N1676" i="25" s="1"/>
  <c r="N1677" i="25" s="1"/>
  <c r="N1678" i="25" s="1"/>
  <c r="N1679" i="25" s="1"/>
  <c r="N1680" i="25" s="1"/>
  <c r="N1681" i="25" s="1"/>
  <c r="N1682" i="25" s="1"/>
  <c r="N1683" i="25" s="1"/>
  <c r="N1684" i="25" s="1"/>
  <c r="N1685" i="25" s="1"/>
  <c r="N1686" i="25" s="1"/>
  <c r="N1687" i="25" s="1"/>
  <c r="N1688" i="25" s="1"/>
  <c r="N1689" i="25" s="1"/>
  <c r="N1690" i="25" s="1"/>
  <c r="N1691" i="25" s="1"/>
  <c r="N1692" i="25" s="1"/>
  <c r="N1693" i="25" s="1"/>
  <c r="N1694" i="25" s="1"/>
  <c r="N1695" i="25" s="1"/>
  <c r="N1696" i="25" s="1"/>
  <c r="N1697" i="25" s="1"/>
  <c r="N1698" i="25" s="1"/>
  <c r="N1699" i="25" s="1"/>
  <c r="N1700" i="25" s="1"/>
  <c r="N1701" i="25" s="1"/>
  <c r="N1702" i="25" s="1"/>
  <c r="N1703" i="25" s="1"/>
  <c r="N1704" i="25" s="1"/>
  <c r="N1705" i="25" s="1"/>
  <c r="N1706" i="25" s="1"/>
  <c r="N1707" i="25" s="1"/>
  <c r="N1708" i="25" s="1"/>
  <c r="N1709" i="25" s="1"/>
  <c r="N1710" i="25" s="1"/>
  <c r="N1711" i="25" s="1"/>
  <c r="N1712" i="25" s="1"/>
  <c r="N1713" i="25" s="1"/>
  <c r="N1714" i="25" s="1"/>
  <c r="N1715" i="25" s="1"/>
  <c r="N1716" i="25" s="1"/>
  <c r="N1717" i="25" s="1"/>
  <c r="N1718" i="25" s="1"/>
  <c r="N1719" i="25" s="1"/>
  <c r="N1720" i="25" s="1"/>
  <c r="N1721" i="25" s="1"/>
  <c r="N1722" i="25" s="1"/>
  <c r="N1723" i="25" s="1"/>
  <c r="N1724" i="25" s="1"/>
  <c r="N1725" i="25" s="1"/>
  <c r="N1726" i="25" s="1"/>
  <c r="N1727" i="25" s="1"/>
  <c r="N1728" i="25" s="1"/>
  <c r="N1729" i="25" s="1"/>
  <c r="N1730" i="25" s="1"/>
  <c r="N1731" i="25" s="1"/>
  <c r="N1732" i="25" s="1"/>
  <c r="N1733" i="25" s="1"/>
  <c r="N1734" i="25" s="1"/>
  <c r="N1735" i="25" s="1"/>
  <c r="N1736" i="25" s="1"/>
  <c r="N1737" i="25" s="1"/>
  <c r="N1738" i="25" s="1"/>
  <c r="N1739" i="25" s="1"/>
  <c r="N1740" i="25" s="1"/>
  <c r="N1741" i="25" s="1"/>
  <c r="N1742" i="25" s="1"/>
  <c r="N1743" i="25" s="1"/>
  <c r="N1744" i="25" s="1"/>
  <c r="N1745" i="25" s="1"/>
  <c r="N1746" i="25" s="1"/>
  <c r="N1747" i="25" s="1"/>
  <c r="N1748" i="25" s="1"/>
  <c r="N1749" i="25" s="1"/>
  <c r="N1750" i="25" s="1"/>
  <c r="N1751" i="25" s="1"/>
  <c r="N1752" i="25" s="1"/>
  <c r="N1753" i="25" s="1"/>
  <c r="N1754" i="25" s="1"/>
  <c r="N1755" i="25" s="1"/>
  <c r="N1756" i="25" s="1"/>
  <c r="N1757" i="25" s="1"/>
  <c r="N1758" i="25" s="1"/>
  <c r="N1759" i="25" s="1"/>
  <c r="N1760" i="25" s="1"/>
  <c r="N1761" i="25" s="1"/>
  <c r="N1762" i="25" s="1"/>
  <c r="N1763" i="25" s="1"/>
  <c r="N1764" i="25" s="1"/>
  <c r="N1765" i="25" s="1"/>
  <c r="N1766" i="25" s="1"/>
  <c r="N1767" i="25" s="1"/>
  <c r="N1768" i="25" s="1"/>
  <c r="N1769" i="25" s="1"/>
  <c r="N1770" i="25" s="1"/>
  <c r="N1771" i="25" s="1"/>
  <c r="N1772" i="25" s="1"/>
  <c r="N1773" i="25" s="1"/>
  <c r="N1774" i="25" s="1"/>
  <c r="N1775" i="25" s="1"/>
  <c r="N1776" i="25" s="1"/>
  <c r="N1777" i="25" s="1"/>
  <c r="N1778" i="25" s="1"/>
  <c r="N1779" i="25" s="1"/>
  <c r="N1780" i="25" s="1"/>
  <c r="N1781" i="25" s="1"/>
  <c r="N1782" i="25" s="1"/>
  <c r="N1783" i="25" s="1"/>
  <c r="N1784" i="25" s="1"/>
  <c r="N1785" i="25" s="1"/>
  <c r="N1786" i="25" s="1"/>
  <c r="N1787" i="25" s="1"/>
  <c r="N1788" i="25" s="1"/>
  <c r="N1789" i="25" s="1"/>
  <c r="N1790" i="25" s="1"/>
  <c r="N1791" i="25" s="1"/>
  <c r="N1792" i="25" s="1"/>
  <c r="N1793" i="25" s="1"/>
  <c r="N1794" i="25" s="1"/>
  <c r="N1795" i="25" s="1"/>
  <c r="N1796" i="25" s="1"/>
  <c r="N1797" i="25" s="1"/>
  <c r="N1798" i="25" s="1"/>
  <c r="N1799" i="25" s="1"/>
  <c r="N1800" i="25" s="1"/>
  <c r="N1801" i="25" s="1"/>
  <c r="N1802" i="25" s="1"/>
  <c r="N1803" i="25" s="1"/>
  <c r="N1804" i="25" s="1"/>
  <c r="N1805" i="25" s="1"/>
  <c r="N1806" i="25" s="1"/>
  <c r="N1807" i="25" s="1"/>
  <c r="N1808" i="25" s="1"/>
  <c r="N1809" i="25" s="1"/>
  <c r="N1810" i="25" s="1"/>
  <c r="N1811" i="25" s="1"/>
  <c r="N1812" i="25" s="1"/>
  <c r="N1813" i="25" s="1"/>
  <c r="N1814" i="25" s="1"/>
  <c r="N1815" i="25" s="1"/>
  <c r="N1816" i="25" s="1"/>
  <c r="N1817" i="25" s="1"/>
  <c r="N1818" i="25" s="1"/>
  <c r="N1819" i="25" s="1"/>
  <c r="N1820" i="25" s="1"/>
  <c r="N1821" i="25" s="1"/>
  <c r="N1822" i="25" s="1"/>
  <c r="N1823" i="25" s="1"/>
  <c r="N1824" i="25" s="1"/>
  <c r="N1825" i="25" s="1"/>
  <c r="N1826" i="25" s="1"/>
  <c r="N1827" i="25" s="1"/>
  <c r="N1828" i="25" s="1"/>
  <c r="N1829" i="25" s="1"/>
  <c r="N1830" i="25" s="1"/>
  <c r="N1831" i="25" s="1"/>
  <c r="N1832" i="25" s="1"/>
  <c r="N1833" i="25" s="1"/>
  <c r="N1834" i="25" s="1"/>
  <c r="N1835" i="25" s="1"/>
  <c r="N1836" i="25" s="1"/>
  <c r="N1837" i="25" s="1"/>
  <c r="N1838" i="25" s="1"/>
  <c r="N1839" i="25" s="1"/>
  <c r="N1840" i="25" s="1"/>
  <c r="N1841" i="25" s="1"/>
  <c r="N1842" i="25" s="1"/>
  <c r="N1843" i="25" s="1"/>
  <c r="N1844" i="25" s="1"/>
  <c r="N1845" i="25" s="1"/>
  <c r="N1846" i="25" s="1"/>
  <c r="N1847" i="25" s="1"/>
  <c r="N1848" i="25" s="1"/>
  <c r="N1849" i="25" s="1"/>
  <c r="N1850" i="25" s="1"/>
  <c r="N1851" i="25" s="1"/>
  <c r="N1852" i="25" s="1"/>
  <c r="N1853" i="25" s="1"/>
  <c r="N1854" i="25" s="1"/>
  <c r="N1855" i="25" s="1"/>
  <c r="N1856" i="25" s="1"/>
  <c r="N1857" i="25" s="1"/>
  <c r="N1858" i="25" s="1"/>
  <c r="N1859" i="25" s="1"/>
  <c r="N1860" i="25" s="1"/>
  <c r="N1861" i="25" s="1"/>
  <c r="N1862" i="25" s="1"/>
  <c r="N1863" i="25" s="1"/>
  <c r="N1864" i="25" s="1"/>
  <c r="N1865" i="25" s="1"/>
  <c r="N1866" i="25" s="1"/>
  <c r="N1867" i="25" s="1"/>
  <c r="N1868" i="25" s="1"/>
  <c r="N1869" i="25" s="1"/>
  <c r="N1870" i="25" s="1"/>
  <c r="N1871" i="25" s="1"/>
  <c r="N1872" i="25" s="1"/>
  <c r="N1873" i="25" s="1"/>
  <c r="N1874" i="25" s="1"/>
  <c r="N1875" i="25" s="1"/>
  <c r="N1876" i="25" s="1"/>
  <c r="N1877" i="25" s="1"/>
  <c r="N1878" i="25" s="1"/>
  <c r="N1879" i="25" s="1"/>
  <c r="N1880" i="25" s="1"/>
  <c r="N1881" i="25" s="1"/>
  <c r="N1882" i="25" s="1"/>
  <c r="N1883" i="25" s="1"/>
  <c r="N1884" i="25" s="1"/>
  <c r="N1885" i="25" s="1"/>
  <c r="N1886" i="25" s="1"/>
  <c r="N1887" i="25" s="1"/>
  <c r="N1888" i="25" s="1"/>
  <c r="N1889" i="25" s="1"/>
  <c r="N1890" i="25" s="1"/>
  <c r="N1891" i="25" s="1"/>
  <c r="N1892" i="25" s="1"/>
  <c r="N1893" i="25" s="1"/>
  <c r="N1894" i="25" s="1"/>
  <c r="N1895" i="25" s="1"/>
  <c r="N1896" i="25" s="1"/>
  <c r="N1897" i="25" s="1"/>
  <c r="N1898" i="25" s="1"/>
  <c r="N1899" i="25" s="1"/>
  <c r="N1900" i="25" s="1"/>
  <c r="N1901" i="25" s="1"/>
  <c r="N1902" i="25" s="1"/>
  <c r="N1903" i="25" s="1"/>
  <c r="N1904" i="25" s="1"/>
  <c r="N1905" i="25" s="1"/>
  <c r="N1906" i="25" s="1"/>
  <c r="N1907" i="25" s="1"/>
  <c r="N1908" i="25" s="1"/>
  <c r="N1909" i="25" s="1"/>
  <c r="N1910" i="25" s="1"/>
  <c r="N1911" i="25" s="1"/>
  <c r="N1912" i="25" s="1"/>
  <c r="N1913" i="25" s="1"/>
  <c r="N1914" i="25" s="1"/>
  <c r="N1915" i="25" s="1"/>
  <c r="N1916" i="25" s="1"/>
  <c r="N1917" i="25" s="1"/>
  <c r="N1918" i="25" s="1"/>
  <c r="N1919" i="25" s="1"/>
  <c r="N1920" i="25" s="1"/>
  <c r="N1921" i="25" s="1"/>
  <c r="N1922" i="25" s="1"/>
  <c r="N1923" i="25" s="1"/>
  <c r="N1924" i="25" s="1"/>
  <c r="N1925" i="25" s="1"/>
  <c r="N1926" i="25" s="1"/>
  <c r="N1927" i="25" s="1"/>
  <c r="N1928" i="25" s="1"/>
  <c r="N1929" i="25" s="1"/>
  <c r="N1930" i="25" s="1"/>
  <c r="N1931" i="25" s="1"/>
  <c r="N1932" i="25" s="1"/>
  <c r="N1933" i="25" s="1"/>
  <c r="N1934" i="25" s="1"/>
  <c r="N1935" i="25" s="1"/>
  <c r="N1936" i="25" s="1"/>
  <c r="N1937" i="25" s="1"/>
  <c r="N1938" i="25" s="1"/>
  <c r="N1939" i="25" s="1"/>
  <c r="N1940" i="25" s="1"/>
  <c r="N1941" i="25" s="1"/>
  <c r="N1942" i="25" s="1"/>
  <c r="N1943" i="25" s="1"/>
  <c r="N1944" i="25" s="1"/>
  <c r="N1945" i="25" s="1"/>
  <c r="N1946" i="25" s="1"/>
  <c r="N1947" i="25" s="1"/>
  <c r="N1948" i="25" s="1"/>
  <c r="N1949" i="25" s="1"/>
  <c r="N1950" i="25" s="1"/>
  <c r="N1951" i="25" s="1"/>
  <c r="N1952" i="25" s="1"/>
  <c r="N1953" i="25" s="1"/>
  <c r="N1954" i="25" s="1"/>
  <c r="N1955" i="25" s="1"/>
  <c r="N1956" i="25" s="1"/>
  <c r="N1957" i="25" s="1"/>
  <c r="N1958" i="25" s="1"/>
  <c r="N1959" i="25" s="1"/>
  <c r="N1960" i="25" s="1"/>
  <c r="N1961" i="25" s="1"/>
  <c r="N1962" i="25" s="1"/>
  <c r="N1963" i="25" s="1"/>
  <c r="N1964" i="25" s="1"/>
  <c r="N1965" i="25" s="1"/>
  <c r="N1966" i="25" s="1"/>
  <c r="N1967" i="25" s="1"/>
  <c r="N1968" i="25" s="1"/>
  <c r="N1969" i="25" s="1"/>
  <c r="N1970" i="25" s="1"/>
  <c r="N1971" i="25" s="1"/>
  <c r="N1972" i="25" s="1"/>
  <c r="N1973" i="25" s="1"/>
  <c r="N1974" i="25" s="1"/>
  <c r="N1975" i="25" s="1"/>
  <c r="N1976" i="25" s="1"/>
  <c r="N1977" i="25" s="1"/>
  <c r="N1978" i="25" s="1"/>
  <c r="N1979" i="25" s="1"/>
  <c r="N1980" i="25" s="1"/>
  <c r="N1981" i="25" s="1"/>
  <c r="N1982" i="25" s="1"/>
  <c r="N1983" i="25" s="1"/>
  <c r="N1984" i="25" s="1"/>
  <c r="N1985" i="25" s="1"/>
  <c r="N1986" i="25" s="1"/>
  <c r="N1987" i="25" s="1"/>
  <c r="N1988" i="25" s="1"/>
  <c r="N1989" i="25" s="1"/>
  <c r="N1990" i="25" s="1"/>
  <c r="N1991" i="25" s="1"/>
  <c r="N1992" i="25" s="1"/>
  <c r="N1993" i="25" s="1"/>
  <c r="N1994" i="25" s="1"/>
  <c r="N1995" i="25" s="1"/>
  <c r="N1996" i="25" s="1"/>
  <c r="N1997" i="25" s="1"/>
  <c r="N1998" i="25" s="1"/>
  <c r="N1999" i="25" s="1"/>
  <c r="N2000" i="25" s="1"/>
  <c r="N2001" i="25" s="1"/>
  <c r="N2002" i="25" s="1"/>
  <c r="N2003" i="25" s="1"/>
  <c r="N2004" i="25" s="1"/>
  <c r="N2005" i="25" s="1"/>
  <c r="N2006" i="25" s="1"/>
  <c r="N2007" i="25" s="1"/>
  <c r="N2008" i="25" s="1"/>
  <c r="N2009" i="25" s="1"/>
  <c r="N2010" i="25" s="1"/>
  <c r="N2011" i="25" s="1"/>
  <c r="N2012" i="25" s="1"/>
  <c r="N2013" i="25" s="1"/>
  <c r="N2014" i="25" s="1"/>
  <c r="N2015" i="25" s="1"/>
  <c r="N2016" i="25" s="1"/>
  <c r="N2017" i="25" s="1"/>
  <c r="N2018" i="25" s="1"/>
  <c r="N2019" i="25" s="1"/>
  <c r="N2020" i="25" s="1"/>
  <c r="N2021" i="25" s="1"/>
  <c r="N2022" i="25" s="1"/>
  <c r="N2023" i="25" s="1"/>
  <c r="N2024" i="25" s="1"/>
  <c r="N2025" i="25" s="1"/>
  <c r="N2026" i="25" s="1"/>
  <c r="N2027" i="25" s="1"/>
  <c r="N2028" i="25" s="1"/>
  <c r="N2029" i="25" s="1"/>
  <c r="N2030" i="25" s="1"/>
  <c r="N2031" i="25" s="1"/>
  <c r="N2032" i="25" s="1"/>
  <c r="N2033" i="25" s="1"/>
  <c r="N2034" i="25" s="1"/>
  <c r="N2035" i="25" s="1"/>
  <c r="N2036" i="25" s="1"/>
  <c r="N2037" i="25" s="1"/>
  <c r="N2038" i="25" s="1"/>
  <c r="N2039" i="25" s="1"/>
  <c r="N2040" i="25" s="1"/>
  <c r="N2041" i="25" s="1"/>
  <c r="N2042" i="25" s="1"/>
  <c r="N2043" i="25" s="1"/>
  <c r="N2044" i="25" s="1"/>
  <c r="N2045" i="25" s="1"/>
  <c r="N2046" i="25" s="1"/>
  <c r="N2047" i="25" s="1"/>
  <c r="N2048" i="25" s="1"/>
  <c r="N2049" i="25" s="1"/>
  <c r="N2050" i="25" s="1"/>
  <c r="N2051" i="25" s="1"/>
  <c r="N2052" i="25" s="1"/>
  <c r="N2053" i="25" s="1"/>
  <c r="N2054" i="25" s="1"/>
  <c r="N2055" i="25" s="1"/>
  <c r="N2056" i="25" s="1"/>
  <c r="N2057" i="25" s="1"/>
  <c r="N2058" i="25" s="1"/>
  <c r="N2059" i="25" s="1"/>
  <c r="N2060" i="25" s="1"/>
  <c r="N2061" i="25" s="1"/>
  <c r="N2062" i="25" s="1"/>
  <c r="N2063" i="25" s="1"/>
  <c r="N2064" i="25" s="1"/>
  <c r="N2065" i="25" s="1"/>
  <c r="N2066" i="25" s="1"/>
  <c r="N2067" i="25" s="1"/>
  <c r="N2068" i="25" s="1"/>
  <c r="N2069" i="25" s="1"/>
  <c r="N2070" i="25" s="1"/>
  <c r="N2071" i="25" s="1"/>
  <c r="N2072" i="25" s="1"/>
  <c r="N2073" i="25" s="1"/>
  <c r="N2074" i="25" s="1"/>
  <c r="N2075" i="25" s="1"/>
  <c r="N2076" i="25" s="1"/>
  <c r="N2077" i="25" s="1"/>
  <c r="N2078" i="25" s="1"/>
  <c r="N2079" i="25" s="1"/>
  <c r="N2080" i="25" s="1"/>
  <c r="N2081" i="25" s="1"/>
  <c r="N2082" i="25" s="1"/>
  <c r="N2083" i="25" s="1"/>
  <c r="N2084" i="25" s="1"/>
  <c r="N2085" i="25" s="1"/>
  <c r="N2086" i="25" s="1"/>
  <c r="N2087" i="25" s="1"/>
  <c r="N2088" i="25" s="1"/>
  <c r="N2089" i="25" s="1"/>
  <c r="N2090" i="25" s="1"/>
  <c r="N2091" i="25" s="1"/>
  <c r="N2092" i="25" s="1"/>
  <c r="N2093" i="25" s="1"/>
  <c r="N2094" i="25" s="1"/>
  <c r="N2095" i="25" s="1"/>
  <c r="N2096" i="25" s="1"/>
  <c r="N2097" i="25" s="1"/>
  <c r="N2098" i="25" s="1"/>
  <c r="N2099" i="25" s="1"/>
  <c r="N2100" i="25" s="1"/>
  <c r="N2101" i="25" s="1"/>
  <c r="N2102" i="25" s="1"/>
  <c r="N2103" i="25" s="1"/>
  <c r="N2104" i="25" s="1"/>
  <c r="N2105" i="25" s="1"/>
  <c r="N2106" i="25" s="1"/>
  <c r="N2107" i="25" s="1"/>
  <c r="N2108" i="25" s="1"/>
  <c r="N2109" i="25" s="1"/>
  <c r="N2110" i="25" s="1"/>
  <c r="N2111" i="25" s="1"/>
  <c r="N2112" i="25" s="1"/>
  <c r="N2113" i="25" s="1"/>
  <c r="N2114" i="25" s="1"/>
  <c r="N2115" i="25" s="1"/>
  <c r="N2116" i="25" s="1"/>
  <c r="N2117" i="25" s="1"/>
  <c r="N2118" i="25" s="1"/>
  <c r="N2119" i="25" s="1"/>
  <c r="N2120" i="25" s="1"/>
  <c r="N2121" i="25" s="1"/>
  <c r="N2122" i="25" s="1"/>
  <c r="N2123" i="25" s="1"/>
  <c r="N2124" i="25" s="1"/>
  <c r="N2125" i="25" s="1"/>
  <c r="N2126" i="25" s="1"/>
  <c r="N2127" i="25" s="1"/>
  <c r="N2128" i="25" s="1"/>
  <c r="N2129" i="25" s="1"/>
  <c r="N2130" i="25" s="1"/>
  <c r="N2131" i="25" s="1"/>
  <c r="N2132" i="25" s="1"/>
  <c r="N2133" i="25" s="1"/>
  <c r="N2134" i="25" s="1"/>
  <c r="N2135" i="25" s="1"/>
  <c r="N2136" i="25" s="1"/>
  <c r="N2137" i="25" s="1"/>
  <c r="N2138" i="25" s="1"/>
  <c r="N2139" i="25" s="1"/>
  <c r="N2140" i="25" s="1"/>
  <c r="N2141" i="25" s="1"/>
  <c r="N2142" i="25" s="1"/>
  <c r="N2143" i="25" s="1"/>
  <c r="N2144" i="25" s="1"/>
  <c r="N2145" i="25" s="1"/>
  <c r="N2146" i="25" s="1"/>
  <c r="N2147" i="25" s="1"/>
  <c r="N2148" i="25" s="1"/>
  <c r="N2149" i="25" s="1"/>
  <c r="N2150" i="25" s="1"/>
  <c r="N2151" i="25" s="1"/>
  <c r="N2152" i="25" s="1"/>
  <c r="N2153" i="25" s="1"/>
  <c r="N2154" i="25" s="1"/>
  <c r="N2155" i="25" s="1"/>
  <c r="N2156" i="25" s="1"/>
  <c r="N2157" i="25" s="1"/>
  <c r="N2158" i="25" s="1"/>
  <c r="N2159" i="25" s="1"/>
  <c r="N2160" i="25" s="1"/>
  <c r="N2161" i="25" s="1"/>
  <c r="N2162" i="25" s="1"/>
  <c r="N2163" i="25" s="1"/>
  <c r="N2164" i="25" s="1"/>
  <c r="N2165" i="25" s="1"/>
  <c r="N2166" i="25" s="1"/>
  <c r="N2167" i="25" s="1"/>
  <c r="N2168" i="25" s="1"/>
  <c r="N2169" i="25" s="1"/>
  <c r="N2170" i="25" s="1"/>
  <c r="N2171" i="25" s="1"/>
  <c r="N2172" i="25" s="1"/>
  <c r="N2173" i="25" s="1"/>
  <c r="N2174" i="25" s="1"/>
  <c r="N2175" i="25" s="1"/>
  <c r="N2176" i="25" s="1"/>
  <c r="N2177" i="25" s="1"/>
  <c r="N2178" i="25" s="1"/>
  <c r="N2179" i="25" s="1"/>
  <c r="N2180" i="25" s="1"/>
  <c r="N2181" i="25" s="1"/>
  <c r="N2182" i="25" s="1"/>
  <c r="N2183" i="25" s="1"/>
  <c r="N2184" i="25" s="1"/>
  <c r="N2185" i="25" s="1"/>
  <c r="N2186" i="25" s="1"/>
  <c r="N2187" i="25" s="1"/>
  <c r="N2188" i="25" s="1"/>
  <c r="N2189" i="25" s="1"/>
  <c r="N2190" i="25" s="1"/>
  <c r="N2191" i="25" s="1"/>
  <c r="N2192" i="25" s="1"/>
  <c r="N2193" i="25" s="1"/>
  <c r="N2194" i="25" s="1"/>
  <c r="N2195" i="25" s="1"/>
  <c r="N2196" i="25" s="1"/>
  <c r="N2197" i="25" s="1"/>
  <c r="N2198" i="25" s="1"/>
  <c r="N2199" i="25" s="1"/>
  <c r="N2200" i="25" s="1"/>
  <c r="N2201" i="25" s="1"/>
  <c r="N2202" i="25" s="1"/>
  <c r="N2203" i="25" s="1"/>
  <c r="N2204" i="25" s="1"/>
  <c r="N2205" i="25" s="1"/>
  <c r="N2206" i="25" s="1"/>
  <c r="N2207" i="25" s="1"/>
  <c r="N2208" i="25" s="1"/>
  <c r="N2209" i="25" s="1"/>
  <c r="N2210" i="25" s="1"/>
  <c r="N2211" i="25" s="1"/>
  <c r="N2212" i="25" s="1"/>
  <c r="N2213" i="25" s="1"/>
  <c r="N2214" i="25" s="1"/>
  <c r="N2215" i="25" s="1"/>
  <c r="N2216" i="25" s="1"/>
  <c r="N2217" i="25" s="1"/>
  <c r="N2218" i="25" s="1"/>
  <c r="N2219" i="25" s="1"/>
  <c r="N2220" i="25" s="1"/>
  <c r="N2221" i="25" s="1"/>
  <c r="N2222" i="25" s="1"/>
  <c r="N2223" i="25" s="1"/>
  <c r="N2224" i="25" s="1"/>
  <c r="N2225" i="25" s="1"/>
  <c r="N2226" i="25" s="1"/>
  <c r="N2227" i="25" s="1"/>
  <c r="N2228" i="25" s="1"/>
  <c r="N2229" i="25" s="1"/>
  <c r="N2230" i="25" s="1"/>
  <c r="N2231" i="25" s="1"/>
  <c r="N2232" i="25" s="1"/>
  <c r="N2233" i="25" s="1"/>
  <c r="N2234" i="25" s="1"/>
  <c r="N2235" i="25" s="1"/>
  <c r="N2236" i="25" s="1"/>
  <c r="N2237" i="25" s="1"/>
  <c r="N2238" i="25" s="1"/>
  <c r="N2239" i="25" s="1"/>
  <c r="N2240" i="25" s="1"/>
  <c r="N2241" i="25" s="1"/>
  <c r="N2242" i="25" s="1"/>
  <c r="N2243" i="25" s="1"/>
  <c r="N2244" i="25" s="1"/>
  <c r="N2245" i="25" s="1"/>
  <c r="N2246" i="25" s="1"/>
  <c r="N2247" i="25" s="1"/>
  <c r="N2248" i="25" s="1"/>
  <c r="N2249" i="25" s="1"/>
  <c r="N2250" i="25" s="1"/>
  <c r="N2251" i="25" s="1"/>
  <c r="N2252" i="25" s="1"/>
  <c r="N2253" i="25" s="1"/>
  <c r="N2254" i="25" s="1"/>
  <c r="N2255" i="25" s="1"/>
  <c r="N2256" i="25" s="1"/>
  <c r="N2257" i="25" s="1"/>
  <c r="N2258" i="25" s="1"/>
  <c r="N2259" i="25" s="1"/>
  <c r="N2260" i="25" s="1"/>
  <c r="N2261" i="25" s="1"/>
  <c r="N2262" i="25" s="1"/>
  <c r="N2263" i="25" s="1"/>
  <c r="N2264" i="25" s="1"/>
  <c r="N2265" i="25" s="1"/>
  <c r="N2266" i="25" s="1"/>
  <c r="N2267" i="25" s="1"/>
  <c r="N2268" i="25" s="1"/>
  <c r="N2269" i="25" s="1"/>
  <c r="N2270" i="25" s="1"/>
  <c r="N2271" i="25" s="1"/>
  <c r="N2272" i="25" s="1"/>
  <c r="N2273" i="25" s="1"/>
  <c r="N2274" i="25" s="1"/>
  <c r="N2275" i="25" s="1"/>
  <c r="N2276" i="25" s="1"/>
  <c r="N2277" i="25" s="1"/>
  <c r="N2278" i="25" s="1"/>
  <c r="N2279" i="25" s="1"/>
  <c r="N2280" i="25" s="1"/>
  <c r="N2281" i="25" s="1"/>
  <c r="N2282" i="25" s="1"/>
  <c r="N2283" i="25" s="1"/>
  <c r="N2284" i="25" s="1"/>
  <c r="N2285" i="25" s="1"/>
  <c r="N2286" i="25" s="1"/>
  <c r="N2287" i="25" s="1"/>
  <c r="N2288" i="25" s="1"/>
  <c r="N2289" i="25" s="1"/>
  <c r="N2290" i="25" s="1"/>
  <c r="N2291" i="25" s="1"/>
  <c r="N2292" i="25" s="1"/>
  <c r="N2293" i="25" s="1"/>
  <c r="N2294" i="25" s="1"/>
  <c r="N2295" i="25" s="1"/>
  <c r="N2296" i="25" s="1"/>
  <c r="N2297" i="25" s="1"/>
  <c r="N2298" i="25" s="1"/>
  <c r="N2299" i="25" s="1"/>
  <c r="N2300" i="25" s="1"/>
  <c r="N2301" i="25" s="1"/>
  <c r="N2302" i="25" s="1"/>
  <c r="N2303" i="25" s="1"/>
  <c r="N2304" i="25" s="1"/>
  <c r="N2305" i="25" s="1"/>
  <c r="N2306" i="25" s="1"/>
  <c r="N2307" i="25" s="1"/>
  <c r="N2308" i="25" s="1"/>
  <c r="N2309" i="25" s="1"/>
  <c r="N2310" i="25" s="1"/>
  <c r="N2311" i="25" s="1"/>
  <c r="N2312" i="25" s="1"/>
  <c r="N2313" i="25" s="1"/>
  <c r="N2314" i="25" s="1"/>
  <c r="N2315" i="25" s="1"/>
  <c r="N2316" i="25" s="1"/>
  <c r="N2317" i="25" s="1"/>
  <c r="N2318" i="25" s="1"/>
  <c r="N2319" i="25" s="1"/>
  <c r="N2320" i="25" s="1"/>
  <c r="N2321" i="25" s="1"/>
  <c r="N2322" i="25" s="1"/>
  <c r="N2323" i="25" s="1"/>
  <c r="N2324" i="25" s="1"/>
  <c r="N2325" i="25" s="1"/>
  <c r="N2326" i="25" s="1"/>
  <c r="N2327" i="25" s="1"/>
  <c r="N2328" i="25" s="1"/>
  <c r="N2329" i="25" s="1"/>
  <c r="N2330" i="25" s="1"/>
  <c r="N2331" i="25" s="1"/>
  <c r="N2332" i="25" s="1"/>
  <c r="N2333" i="25" s="1"/>
  <c r="N2334" i="25" s="1"/>
  <c r="N2335" i="25" s="1"/>
  <c r="N2336" i="25" s="1"/>
  <c r="N2337" i="25" s="1"/>
  <c r="N2338" i="25" s="1"/>
  <c r="N2339" i="25" s="1"/>
  <c r="N2340" i="25" s="1"/>
  <c r="N2341" i="25" s="1"/>
  <c r="N2342" i="25" s="1"/>
  <c r="N2343" i="25" s="1"/>
  <c r="N2344" i="25" s="1"/>
  <c r="N2345" i="25" s="1"/>
  <c r="N2346" i="25" s="1"/>
  <c r="N2347" i="25" s="1"/>
  <c r="N2348" i="25" s="1"/>
  <c r="N2349" i="25" s="1"/>
  <c r="N2350" i="25" s="1"/>
  <c r="N2351" i="25" s="1"/>
  <c r="N2352" i="25" s="1"/>
  <c r="N2353" i="25" s="1"/>
  <c r="N2354" i="25" s="1"/>
  <c r="N2355" i="25" s="1"/>
  <c r="N2356" i="25" s="1"/>
  <c r="N2357" i="25" s="1"/>
  <c r="N2358" i="25" s="1"/>
  <c r="N2359" i="25" s="1"/>
  <c r="N2360" i="25" s="1"/>
  <c r="N2361" i="25" s="1"/>
  <c r="N2362" i="25" s="1"/>
  <c r="N2363" i="25" s="1"/>
  <c r="N2364" i="25" s="1"/>
  <c r="N2365" i="25" s="1"/>
  <c r="N2366" i="25" s="1"/>
  <c r="N2367" i="25" s="1"/>
  <c r="N2368" i="25" s="1"/>
  <c r="N2369" i="25" s="1"/>
  <c r="N2370" i="25" s="1"/>
  <c r="N2371" i="25" s="1"/>
  <c r="N2372" i="25" s="1"/>
  <c r="N2373" i="25" s="1"/>
  <c r="N2374" i="25" s="1"/>
  <c r="N2375" i="25" s="1"/>
  <c r="N2376" i="25" s="1"/>
  <c r="N2377" i="25" s="1"/>
  <c r="N2378" i="25" s="1"/>
  <c r="N2379" i="25" s="1"/>
  <c r="N2380" i="25" s="1"/>
  <c r="N2381" i="25" s="1"/>
  <c r="N2382" i="25" s="1"/>
  <c r="N2383" i="25" s="1"/>
  <c r="N2384" i="25" s="1"/>
  <c r="N2385" i="25" s="1"/>
  <c r="N2386" i="25" s="1"/>
  <c r="N2387" i="25" s="1"/>
  <c r="N2388" i="25" s="1"/>
  <c r="N2389" i="25" s="1"/>
  <c r="N2390" i="25" s="1"/>
  <c r="N2391" i="25" s="1"/>
  <c r="N2392" i="25" s="1"/>
  <c r="N2393" i="25" s="1"/>
  <c r="N2394" i="25" s="1"/>
  <c r="N2395" i="25" s="1"/>
  <c r="N2396" i="25" s="1"/>
  <c r="N2397" i="25" s="1"/>
  <c r="N2398" i="25" s="1"/>
  <c r="N2399" i="25" s="1"/>
  <c r="N2400" i="25" s="1"/>
  <c r="N2401" i="25" s="1"/>
  <c r="N2402" i="25" s="1"/>
  <c r="N2403" i="25" s="1"/>
  <c r="N2404" i="25" s="1"/>
  <c r="N2405" i="25" s="1"/>
  <c r="N2406" i="25" s="1"/>
  <c r="N2407" i="25" s="1"/>
  <c r="N2408" i="25" s="1"/>
  <c r="N2409" i="25" s="1"/>
  <c r="N2410" i="25" s="1"/>
  <c r="N2411" i="25" s="1"/>
  <c r="N2412" i="25" s="1"/>
  <c r="N2413" i="25" s="1"/>
  <c r="N2414" i="25" s="1"/>
  <c r="N2415" i="25" s="1"/>
  <c r="N2416" i="25" s="1"/>
  <c r="N2417" i="25" s="1"/>
  <c r="N2418" i="25" s="1"/>
  <c r="N2419" i="25" s="1"/>
  <c r="N2420" i="25" s="1"/>
  <c r="N2421" i="25" s="1"/>
  <c r="N2422" i="25" s="1"/>
  <c r="N2423" i="25" s="1"/>
  <c r="N2424" i="25" s="1"/>
  <c r="N2425" i="25" s="1"/>
  <c r="N2426" i="25" s="1"/>
  <c r="N2427" i="25" s="1"/>
  <c r="N2428" i="25" s="1"/>
  <c r="N2429" i="25" s="1"/>
  <c r="N2430" i="25" s="1"/>
  <c r="N2431" i="25" s="1"/>
  <c r="N2432" i="25" s="1"/>
  <c r="N2433" i="25" s="1"/>
  <c r="N2434" i="25" s="1"/>
  <c r="N2435" i="25" s="1"/>
  <c r="N2436" i="25" s="1"/>
  <c r="N2437" i="25" s="1"/>
  <c r="N2438" i="25" s="1"/>
  <c r="N2439" i="25" s="1"/>
  <c r="N2440" i="25" s="1"/>
  <c r="N2441" i="25" s="1"/>
  <c r="N2442" i="25" s="1"/>
  <c r="N2443" i="25" s="1"/>
  <c r="N2444" i="25" s="1"/>
  <c r="N2445" i="25" s="1"/>
  <c r="N2446" i="25" s="1"/>
  <c r="N2447" i="25" s="1"/>
  <c r="N2448" i="25" s="1"/>
  <c r="N2449" i="25" s="1"/>
  <c r="N2450" i="25" s="1"/>
  <c r="N2451" i="25" s="1"/>
  <c r="N2452" i="25" s="1"/>
  <c r="N2453" i="25" s="1"/>
  <c r="N2454" i="25" s="1"/>
  <c r="N2455" i="25" s="1"/>
  <c r="N2456" i="25" s="1"/>
  <c r="N2457" i="25" s="1"/>
  <c r="N2458" i="25" s="1"/>
  <c r="N2459" i="25" s="1"/>
  <c r="N2460" i="25" s="1"/>
  <c r="N2461" i="25" s="1"/>
  <c r="N2462" i="25" s="1"/>
  <c r="N2463" i="25" s="1"/>
  <c r="N2464" i="25" s="1"/>
  <c r="N2465" i="25" s="1"/>
  <c r="N2466" i="25" s="1"/>
  <c r="N2467" i="25" s="1"/>
  <c r="N2468" i="25" s="1"/>
  <c r="N2469" i="25" s="1"/>
  <c r="N2470" i="25" s="1"/>
  <c r="N2471" i="25" s="1"/>
  <c r="N2472" i="25" s="1"/>
  <c r="N2473" i="25" s="1"/>
  <c r="N2474" i="25" s="1"/>
  <c r="N2475" i="25" s="1"/>
  <c r="N2476" i="25" s="1"/>
  <c r="N2477" i="25" s="1"/>
  <c r="N2478" i="25" s="1"/>
  <c r="N2479" i="25" s="1"/>
  <c r="N2480" i="25" s="1"/>
  <c r="N2481" i="25" s="1"/>
  <c r="N2482" i="25" s="1"/>
  <c r="N2483" i="25" s="1"/>
  <c r="N2484" i="25" s="1"/>
  <c r="N2485" i="25" s="1"/>
  <c r="N2486" i="25" s="1"/>
  <c r="N2487" i="25" s="1"/>
  <c r="N2488" i="25" s="1"/>
  <c r="N2489" i="25" s="1"/>
  <c r="N2490" i="25" s="1"/>
  <c r="N2491" i="25" s="1"/>
  <c r="N2492" i="25" s="1"/>
  <c r="N2493" i="25" s="1"/>
  <c r="N2494" i="25" s="1"/>
  <c r="N2495" i="25" s="1"/>
  <c r="N2496" i="25" s="1"/>
  <c r="N2497" i="25" s="1"/>
  <c r="N2498" i="25" s="1"/>
  <c r="N2499" i="25" s="1"/>
  <c r="N2500" i="25" s="1"/>
  <c r="N2501" i="25" s="1"/>
  <c r="N2502" i="25" s="1"/>
  <c r="N2503" i="25" s="1"/>
  <c r="N2504" i="25" s="1"/>
  <c r="N2505" i="25" s="1"/>
  <c r="N2506" i="25" s="1"/>
  <c r="N2507" i="25" s="1"/>
  <c r="N2508" i="25" s="1"/>
  <c r="N2509" i="25" s="1"/>
  <c r="N2510" i="25" s="1"/>
  <c r="N2511" i="25" s="1"/>
  <c r="N2512" i="25" s="1"/>
  <c r="N2513" i="25" s="1"/>
  <c r="N2514" i="25" s="1"/>
  <c r="N2515" i="25" s="1"/>
  <c r="N2516" i="25" s="1"/>
  <c r="N2517" i="25" s="1"/>
  <c r="N2518" i="25" s="1"/>
  <c r="N2519" i="25" s="1"/>
  <c r="N2520" i="25" s="1"/>
  <c r="N2521" i="25" s="1"/>
  <c r="N2522" i="25" s="1"/>
  <c r="N2523" i="25" s="1"/>
  <c r="N2524" i="25" s="1"/>
  <c r="N2525" i="25" s="1"/>
  <c r="N2526" i="25" s="1"/>
  <c r="N2527" i="25" s="1"/>
  <c r="N2528" i="25" s="1"/>
  <c r="N2529" i="25" s="1"/>
  <c r="N2530" i="25" s="1"/>
  <c r="N2531" i="25" s="1"/>
  <c r="N2532" i="25" s="1"/>
  <c r="N2533" i="25" s="1"/>
  <c r="N2534" i="25" s="1"/>
  <c r="N2535" i="25" s="1"/>
  <c r="N2536" i="25" s="1"/>
  <c r="N2537" i="25" s="1"/>
  <c r="N2538" i="25" s="1"/>
  <c r="N2539" i="25" s="1"/>
  <c r="N2540" i="25" s="1"/>
  <c r="N2541" i="25" s="1"/>
  <c r="N2542" i="25" s="1"/>
  <c r="N2543" i="25" s="1"/>
  <c r="N2544" i="25" s="1"/>
  <c r="N2545" i="25" s="1"/>
  <c r="N2546" i="25" s="1"/>
  <c r="N2547" i="25" s="1"/>
  <c r="N2548" i="25" s="1"/>
  <c r="N2549" i="25" s="1"/>
  <c r="N2550" i="25" s="1"/>
  <c r="N2551" i="25" s="1"/>
  <c r="N2552" i="25" s="1"/>
  <c r="N2553" i="25" s="1"/>
  <c r="N2554" i="25" s="1"/>
  <c r="N2555" i="25" s="1"/>
  <c r="N2556" i="25" s="1"/>
  <c r="N2557" i="25" s="1"/>
  <c r="N2558" i="25" s="1"/>
  <c r="N2559" i="25" s="1"/>
  <c r="N2560" i="25" s="1"/>
  <c r="N2561" i="25" s="1"/>
  <c r="N2562" i="25" s="1"/>
  <c r="N2563" i="25" s="1"/>
  <c r="N2564" i="25" s="1"/>
  <c r="N2565" i="25" s="1"/>
  <c r="N2566" i="25" s="1"/>
  <c r="N2567" i="25" s="1"/>
  <c r="N2568" i="25" s="1"/>
  <c r="N2569" i="25" s="1"/>
  <c r="N2570" i="25" s="1"/>
  <c r="N2571" i="25" s="1"/>
  <c r="N2572" i="25" s="1"/>
  <c r="N2573" i="25" s="1"/>
  <c r="N2574" i="25" s="1"/>
  <c r="N2575" i="25" s="1"/>
  <c r="N2576" i="25" s="1"/>
  <c r="N2577" i="25" s="1"/>
  <c r="N2578" i="25" s="1"/>
  <c r="N2579" i="25" s="1"/>
  <c r="N2580" i="25" s="1"/>
  <c r="N2581" i="25" s="1"/>
  <c r="N2582" i="25" s="1"/>
  <c r="N2583" i="25" s="1"/>
  <c r="N2584" i="25" s="1"/>
  <c r="N2585" i="25" s="1"/>
  <c r="N2586" i="25" s="1"/>
  <c r="N2587" i="25" s="1"/>
  <c r="N2588" i="25" s="1"/>
  <c r="N2589" i="25" s="1"/>
  <c r="N2590" i="25" s="1"/>
  <c r="N2591" i="25" s="1"/>
  <c r="N2592" i="25" s="1"/>
  <c r="N2593" i="25" s="1"/>
  <c r="N2594" i="25" s="1"/>
  <c r="N2595" i="25" s="1"/>
  <c r="N2596" i="25" s="1"/>
  <c r="N2597" i="25" s="1"/>
  <c r="N2598" i="25" s="1"/>
  <c r="N2599" i="25" s="1"/>
  <c r="N2600" i="25" s="1"/>
  <c r="N2601" i="25" s="1"/>
  <c r="N2602" i="25" s="1"/>
  <c r="N2603" i="25" s="1"/>
  <c r="N2604" i="25" s="1"/>
  <c r="N2605" i="25" s="1"/>
  <c r="N2606" i="25" s="1"/>
  <c r="N2607" i="25" s="1"/>
  <c r="N2608" i="25" s="1"/>
  <c r="N2609" i="25" s="1"/>
  <c r="N2610" i="25" s="1"/>
  <c r="N2611" i="25" s="1"/>
  <c r="N2612" i="25" s="1"/>
  <c r="N2613" i="25" s="1"/>
  <c r="N2614" i="25" s="1"/>
  <c r="N2615" i="25" s="1"/>
  <c r="N2616" i="25" s="1"/>
  <c r="N2617" i="25" s="1"/>
  <c r="N2618" i="25" s="1"/>
  <c r="N2619" i="25" s="1"/>
  <c r="N2620" i="25" s="1"/>
  <c r="N2621" i="25" s="1"/>
  <c r="N2622" i="25" s="1"/>
  <c r="N2623" i="25" s="1"/>
  <c r="N2624" i="25" s="1"/>
  <c r="N2625" i="25" s="1"/>
  <c r="N2626" i="25" s="1"/>
  <c r="N2627" i="25" s="1"/>
  <c r="N2628" i="25" s="1"/>
  <c r="N2629" i="25" s="1"/>
  <c r="N2630" i="25" s="1"/>
  <c r="N2631" i="25" s="1"/>
  <c r="N2632" i="25" s="1"/>
  <c r="N2633" i="25" s="1"/>
  <c r="N2634" i="25" s="1"/>
  <c r="N2635" i="25" s="1"/>
  <c r="N2636" i="25" s="1"/>
  <c r="N2637" i="25" s="1"/>
  <c r="N2638" i="25" s="1"/>
  <c r="N2639" i="25" s="1"/>
  <c r="N2640" i="25" s="1"/>
  <c r="N2641" i="25" s="1"/>
  <c r="N2642" i="25" s="1"/>
  <c r="N2643" i="25" s="1"/>
  <c r="N2644" i="25" s="1"/>
  <c r="N2645" i="25" s="1"/>
  <c r="N2646" i="25" s="1"/>
  <c r="N2647" i="25" s="1"/>
  <c r="N2648" i="25" s="1"/>
  <c r="N2649" i="25" s="1"/>
  <c r="N2650" i="25" s="1"/>
  <c r="N2651" i="25" s="1"/>
  <c r="N2652" i="25" s="1"/>
  <c r="N2653" i="25" s="1"/>
  <c r="N2654" i="25" s="1"/>
  <c r="N2655" i="25" s="1"/>
  <c r="N2656" i="25" s="1"/>
  <c r="N2657" i="25" s="1"/>
  <c r="N2658" i="25" s="1"/>
  <c r="N2659" i="25" s="1"/>
  <c r="N2660" i="25" s="1"/>
  <c r="N2661" i="25" s="1"/>
  <c r="N2662" i="25" s="1"/>
  <c r="N2663" i="25" s="1"/>
  <c r="N2664" i="25" s="1"/>
  <c r="N2665" i="25" s="1"/>
  <c r="N2666" i="25" s="1"/>
  <c r="N2667" i="25" s="1"/>
  <c r="N2668" i="25" s="1"/>
  <c r="N2669" i="25" s="1"/>
  <c r="N2670" i="25" s="1"/>
  <c r="N2671" i="25" s="1"/>
  <c r="N2672" i="25" s="1"/>
  <c r="N2673" i="25" s="1"/>
  <c r="N2674" i="25" s="1"/>
  <c r="N2675" i="25" s="1"/>
  <c r="N2676" i="25" s="1"/>
  <c r="N2677" i="25" s="1"/>
  <c r="N2678" i="25" s="1"/>
  <c r="N2679" i="25" s="1"/>
  <c r="N2680" i="25" s="1"/>
  <c r="N2681" i="25" s="1"/>
  <c r="N2682" i="25" s="1"/>
  <c r="N2683" i="25" s="1"/>
  <c r="N2684" i="25" s="1"/>
  <c r="N2685" i="25" s="1"/>
  <c r="N2686" i="25" s="1"/>
  <c r="N2687" i="25" s="1"/>
  <c r="N2688" i="25" s="1"/>
  <c r="N2689" i="25" s="1"/>
  <c r="N2690" i="25" s="1"/>
  <c r="N2691" i="25" s="1"/>
  <c r="N2692" i="25" s="1"/>
  <c r="N2693" i="25" s="1"/>
  <c r="N2694" i="25" s="1"/>
  <c r="N2695" i="25" s="1"/>
  <c r="N2696" i="25" s="1"/>
  <c r="N2697" i="25" s="1"/>
  <c r="N2698" i="25" s="1"/>
  <c r="N2699" i="25" s="1"/>
  <c r="N2700" i="25" s="1"/>
  <c r="N2701" i="25" s="1"/>
  <c r="N2702" i="25" s="1"/>
  <c r="N2703" i="25" s="1"/>
  <c r="N2704" i="25" s="1"/>
  <c r="N2705" i="25" s="1"/>
  <c r="N2706" i="25" s="1"/>
  <c r="N2707" i="25" s="1"/>
  <c r="N2708" i="25" s="1"/>
  <c r="N2709" i="25" s="1"/>
  <c r="N2710" i="25" s="1"/>
  <c r="N2711" i="25" s="1"/>
  <c r="N2712" i="25" s="1"/>
  <c r="N2713" i="25" s="1"/>
  <c r="N2714" i="25" s="1"/>
  <c r="N2715" i="25" s="1"/>
  <c r="N2716" i="25" s="1"/>
  <c r="N2717" i="25" s="1"/>
  <c r="N2718" i="25" s="1"/>
  <c r="N2719" i="25" s="1"/>
  <c r="N2720" i="25" s="1"/>
  <c r="N2721" i="25" s="1"/>
  <c r="N2722" i="25" s="1"/>
  <c r="N2723" i="25" s="1"/>
  <c r="N2724" i="25" s="1"/>
  <c r="N2725" i="25" s="1"/>
  <c r="N2726" i="25" s="1"/>
  <c r="N2727" i="25" s="1"/>
  <c r="N2728" i="25" s="1"/>
  <c r="N2729" i="25" s="1"/>
  <c r="N2730" i="25" s="1"/>
  <c r="N2731" i="25" s="1"/>
  <c r="N2732" i="25" s="1"/>
  <c r="N2733" i="25" s="1"/>
  <c r="N2734" i="25" s="1"/>
  <c r="N2735" i="25" s="1"/>
  <c r="N2736" i="25" s="1"/>
  <c r="N2737" i="25" s="1"/>
  <c r="N2738" i="25" s="1"/>
  <c r="N2739" i="25" s="1"/>
  <c r="N2740" i="25" s="1"/>
  <c r="N2741" i="25" s="1"/>
  <c r="N2742" i="25" s="1"/>
  <c r="N2743" i="25" s="1"/>
  <c r="N2744" i="25" s="1"/>
  <c r="N2745" i="25" s="1"/>
  <c r="N2746" i="25" s="1"/>
  <c r="N2747" i="25" s="1"/>
  <c r="N2748" i="25" s="1"/>
  <c r="N2749" i="25" s="1"/>
  <c r="N2750" i="25" s="1"/>
  <c r="N2751" i="25" s="1"/>
  <c r="N2752" i="25" s="1"/>
  <c r="N2753" i="25" s="1"/>
  <c r="N2754" i="25" s="1"/>
  <c r="N2755" i="25" s="1"/>
  <c r="N2756" i="25" s="1"/>
  <c r="N2757" i="25" s="1"/>
  <c r="N2758" i="25" s="1"/>
  <c r="N2759" i="25" s="1"/>
  <c r="N2760" i="25" s="1"/>
  <c r="N2761" i="25" s="1"/>
  <c r="N2762" i="25" s="1"/>
  <c r="N2763" i="25" s="1"/>
  <c r="N2764" i="25" s="1"/>
  <c r="N2765" i="25" s="1"/>
  <c r="N2766" i="25" s="1"/>
  <c r="N2767" i="25" s="1"/>
  <c r="N2768" i="25" s="1"/>
  <c r="N2769" i="25" s="1"/>
  <c r="N2770" i="25" s="1"/>
  <c r="N2771" i="25" s="1"/>
  <c r="N2772" i="25" s="1"/>
  <c r="N2773" i="25" s="1"/>
  <c r="N2774" i="25" s="1"/>
  <c r="N2775" i="25" s="1"/>
  <c r="N2776" i="25" s="1"/>
  <c r="N2777" i="25" s="1"/>
  <c r="N2778" i="25" s="1"/>
  <c r="N2779" i="25" s="1"/>
  <c r="N2780" i="25" s="1"/>
  <c r="N2781" i="25" s="1"/>
  <c r="N2782" i="25" s="1"/>
  <c r="N2783" i="25" s="1"/>
  <c r="N2784" i="25" s="1"/>
  <c r="N2785" i="25" s="1"/>
  <c r="N2786" i="25" s="1"/>
  <c r="N2787" i="25" s="1"/>
  <c r="N2788" i="25" s="1"/>
  <c r="N2789" i="25" s="1"/>
  <c r="N2790" i="25" s="1"/>
  <c r="N2791" i="25" s="1"/>
  <c r="N2792" i="25" s="1"/>
  <c r="N2793" i="25" s="1"/>
  <c r="N2794" i="25" s="1"/>
  <c r="N2795" i="25" s="1"/>
  <c r="N2796" i="25" s="1"/>
  <c r="N2797" i="25" s="1"/>
  <c r="N2798" i="25" s="1"/>
  <c r="N2799" i="25" s="1"/>
  <c r="N2800" i="25" s="1"/>
  <c r="N2801" i="25" s="1"/>
  <c r="N2802" i="25" s="1"/>
  <c r="N2803" i="25" s="1"/>
  <c r="N2804" i="25" s="1"/>
  <c r="N2805" i="25" s="1"/>
  <c r="N2806" i="25" s="1"/>
  <c r="N2807" i="25" s="1"/>
  <c r="N2808" i="25" s="1"/>
  <c r="N2809" i="25" s="1"/>
  <c r="N2810" i="25" s="1"/>
  <c r="N2811" i="25" s="1"/>
  <c r="N2812" i="25" s="1"/>
  <c r="N2813" i="25" s="1"/>
  <c r="N2814" i="25" s="1"/>
  <c r="N2815" i="25" s="1"/>
  <c r="N2816" i="25" s="1"/>
  <c r="N2817" i="25" s="1"/>
  <c r="N2818" i="25" s="1"/>
  <c r="N2819" i="25" s="1"/>
  <c r="N2820" i="25" s="1"/>
  <c r="N2821" i="25" s="1"/>
  <c r="N2822" i="25" s="1"/>
  <c r="N2823" i="25" s="1"/>
  <c r="N2824" i="25" s="1"/>
  <c r="N2825" i="25" s="1"/>
  <c r="N2826" i="25" s="1"/>
  <c r="N2827" i="25" s="1"/>
  <c r="N2828" i="25" s="1"/>
  <c r="N2829" i="25" s="1"/>
  <c r="N2830" i="25" s="1"/>
  <c r="N2831" i="25" s="1"/>
  <c r="N2832" i="25" s="1"/>
  <c r="N2833" i="25" s="1"/>
  <c r="N2834" i="25" s="1"/>
  <c r="N2835" i="25" s="1"/>
  <c r="N2836" i="25" s="1"/>
  <c r="N2837" i="25" s="1"/>
  <c r="N2838" i="25" s="1"/>
  <c r="N2839" i="25" s="1"/>
  <c r="N2840" i="25" s="1"/>
  <c r="N2841" i="25" s="1"/>
  <c r="N2842" i="25" s="1"/>
  <c r="N2843" i="25" s="1"/>
  <c r="N2844" i="25" s="1"/>
  <c r="N2845" i="25" s="1"/>
  <c r="N2846" i="25" s="1"/>
  <c r="N2847" i="25" s="1"/>
  <c r="N2848" i="25" s="1"/>
  <c r="N2849" i="25" s="1"/>
  <c r="N2850" i="25" s="1"/>
  <c r="N2851" i="25" s="1"/>
  <c r="N2852" i="25" s="1"/>
  <c r="N2853" i="25" s="1"/>
  <c r="N2854" i="25" s="1"/>
  <c r="N2855" i="25" s="1"/>
  <c r="N2856" i="25" s="1"/>
  <c r="N2857" i="25" s="1"/>
  <c r="N2858" i="25" s="1"/>
  <c r="N2859" i="25" s="1"/>
  <c r="N2860" i="25" s="1"/>
  <c r="N2861" i="25" s="1"/>
  <c r="N2862" i="25" s="1"/>
  <c r="N2863" i="25" s="1"/>
  <c r="N2864" i="25" s="1"/>
  <c r="N2865" i="25" s="1"/>
  <c r="N2866" i="25" s="1"/>
  <c r="N2867" i="25" s="1"/>
  <c r="N2868" i="25" s="1"/>
  <c r="N2869" i="25" s="1"/>
  <c r="N2870" i="25" s="1"/>
  <c r="N2871" i="25" s="1"/>
  <c r="N2872" i="25" s="1"/>
  <c r="N2873" i="25" s="1"/>
  <c r="N2874" i="25" s="1"/>
  <c r="N2875" i="25" s="1"/>
  <c r="N2876" i="25" s="1"/>
  <c r="N2877" i="25" s="1"/>
  <c r="N2878" i="25" s="1"/>
  <c r="N2879" i="25" s="1"/>
  <c r="N2880" i="25" s="1"/>
  <c r="N2881" i="25" s="1"/>
  <c r="N2882" i="25" s="1"/>
  <c r="N2883" i="25" s="1"/>
  <c r="N2884" i="25" s="1"/>
  <c r="N2885" i="25" s="1"/>
  <c r="N2886" i="25" s="1"/>
  <c r="N2887" i="25" s="1"/>
  <c r="N2888" i="25" s="1"/>
  <c r="N2889" i="25" s="1"/>
  <c r="N2890" i="25" s="1"/>
  <c r="N2891" i="25" s="1"/>
  <c r="N2892" i="25" s="1"/>
  <c r="N2893" i="25" s="1"/>
  <c r="N2894" i="25" s="1"/>
  <c r="N2895" i="25" s="1"/>
  <c r="N2896" i="25" s="1"/>
  <c r="N2897" i="25" s="1"/>
  <c r="N2898" i="25" s="1"/>
  <c r="N2899" i="25" s="1"/>
  <c r="N2900" i="25" s="1"/>
  <c r="N2901" i="25" s="1"/>
  <c r="N2902" i="25" s="1"/>
  <c r="N2903" i="25" s="1"/>
  <c r="N2904" i="25" s="1"/>
  <c r="N2905" i="25" s="1"/>
  <c r="N2906" i="25" s="1"/>
  <c r="N2907" i="25" s="1"/>
  <c r="N2908" i="25" s="1"/>
  <c r="N2909" i="25" s="1"/>
  <c r="N2910" i="25" s="1"/>
  <c r="N2911" i="25" s="1"/>
  <c r="N2912" i="25" s="1"/>
  <c r="N2913" i="25" s="1"/>
  <c r="N2914" i="25" s="1"/>
  <c r="N2915" i="25" s="1"/>
  <c r="N2916" i="25" s="1"/>
  <c r="N2917" i="25" s="1"/>
  <c r="N2918" i="25" s="1"/>
  <c r="N2919" i="25" s="1"/>
  <c r="N2920" i="25" s="1"/>
  <c r="N2921" i="25" s="1"/>
  <c r="N2922" i="25" s="1"/>
  <c r="N2923" i="25" s="1"/>
  <c r="N2924" i="25" s="1"/>
  <c r="N2925" i="25" s="1"/>
  <c r="N2926" i="25" s="1"/>
  <c r="N2927" i="25" s="1"/>
  <c r="N2928" i="25" s="1"/>
  <c r="N2929" i="25" s="1"/>
  <c r="N2930" i="25" s="1"/>
  <c r="N2931" i="25" s="1"/>
  <c r="N2932" i="25" s="1"/>
  <c r="N2933" i="25" s="1"/>
  <c r="N2934" i="25" s="1"/>
  <c r="N2935" i="25" s="1"/>
  <c r="N2936" i="25" s="1"/>
  <c r="N2937" i="25" s="1"/>
  <c r="N2938" i="25" s="1"/>
  <c r="N2939" i="25" s="1"/>
  <c r="N2940" i="25" s="1"/>
  <c r="N2941" i="25" s="1"/>
  <c r="N2942" i="25" s="1"/>
  <c r="N2943" i="25" s="1"/>
  <c r="N2944" i="25" s="1"/>
  <c r="N2945" i="25" s="1"/>
  <c r="N2946" i="25" s="1"/>
  <c r="N2947" i="25" s="1"/>
  <c r="N2948" i="25" s="1"/>
  <c r="N2949" i="25" s="1"/>
  <c r="N2950" i="25" s="1"/>
  <c r="N2951" i="25" s="1"/>
  <c r="N2952" i="25" s="1"/>
  <c r="N2953" i="25" s="1"/>
  <c r="N2954" i="25" s="1"/>
  <c r="N2955" i="25" s="1"/>
  <c r="N2956" i="25" s="1"/>
  <c r="N2957" i="25" s="1"/>
  <c r="N2958" i="25" s="1"/>
  <c r="N2959" i="25" s="1"/>
  <c r="N2960" i="25" s="1"/>
  <c r="N2961" i="25" s="1"/>
  <c r="N2962" i="25" s="1"/>
  <c r="N2963" i="25" s="1"/>
  <c r="N2964" i="25" s="1"/>
  <c r="N2965" i="25" s="1"/>
  <c r="N2966" i="25" s="1"/>
  <c r="N2967" i="25" s="1"/>
  <c r="N2968" i="25" s="1"/>
  <c r="N2969" i="25" s="1"/>
  <c r="N2970" i="25" s="1"/>
  <c r="N2971" i="25" s="1"/>
  <c r="N2972" i="25" s="1"/>
  <c r="N2973" i="25" s="1"/>
  <c r="N2974" i="25" s="1"/>
  <c r="N2975" i="25" s="1"/>
  <c r="N2976" i="25" s="1"/>
  <c r="N2977" i="25" s="1"/>
  <c r="N2978" i="25" s="1"/>
  <c r="N2979" i="25" s="1"/>
  <c r="N2980" i="25" s="1"/>
  <c r="N2981" i="25" s="1"/>
  <c r="N2982" i="25" s="1"/>
  <c r="N2983" i="25" s="1"/>
  <c r="N2984" i="25" s="1"/>
  <c r="N2985" i="25" s="1"/>
  <c r="N2986" i="25" s="1"/>
  <c r="N2987" i="25" s="1"/>
  <c r="N2988" i="25" s="1"/>
  <c r="N2989" i="25" s="1"/>
  <c r="N2990" i="25" s="1"/>
  <c r="N2991" i="25" s="1"/>
  <c r="N2992" i="25" s="1"/>
  <c r="N2993" i="25" s="1"/>
  <c r="N2994" i="25" s="1"/>
  <c r="N2995" i="25" s="1"/>
  <c r="N2996" i="25" s="1"/>
  <c r="N2997" i="25" s="1"/>
  <c r="N2998" i="25" s="1"/>
  <c r="N2999" i="25" s="1"/>
  <c r="N3000" i="25" s="1"/>
  <c r="N3001" i="25" s="1"/>
  <c r="N3002" i="25" s="1"/>
  <c r="N3003" i="25" s="1"/>
  <c r="N3004" i="25" s="1"/>
  <c r="N3005" i="25" s="1"/>
  <c r="N3006" i="25" s="1"/>
  <c r="N3007" i="25" s="1"/>
  <c r="N3008" i="25" s="1"/>
  <c r="N3009" i="25" s="1"/>
  <c r="N3010" i="25" s="1"/>
  <c r="N3011" i="25" s="1"/>
  <c r="N3012" i="25" s="1"/>
  <c r="N3013" i="25" s="1"/>
  <c r="N3014" i="25" s="1"/>
  <c r="N3015" i="25" s="1"/>
  <c r="N3016" i="25" s="1"/>
  <c r="N3017" i="25" s="1"/>
  <c r="N3018" i="25" s="1"/>
  <c r="N3019" i="25" s="1"/>
  <c r="N3020" i="25" s="1"/>
  <c r="N3021" i="25" s="1"/>
  <c r="N3022" i="25" s="1"/>
  <c r="N3023" i="25" s="1"/>
  <c r="N3024" i="25" s="1"/>
  <c r="N3025" i="25" s="1"/>
  <c r="N3026" i="25" s="1"/>
  <c r="N3027" i="25" s="1"/>
  <c r="N3028" i="25" s="1"/>
  <c r="N3029" i="25" s="1"/>
  <c r="N3030" i="25" s="1"/>
  <c r="N3031" i="25" s="1"/>
  <c r="N3032" i="25" s="1"/>
  <c r="N3033" i="25" s="1"/>
  <c r="N3034" i="25" s="1"/>
  <c r="N3035" i="25" s="1"/>
  <c r="N3036" i="25" s="1"/>
  <c r="N3037" i="25" s="1"/>
  <c r="N3038" i="25" s="1"/>
  <c r="N3039" i="25" s="1"/>
  <c r="N3040" i="25" s="1"/>
  <c r="N3041" i="25" s="1"/>
  <c r="N3042" i="25" s="1"/>
  <c r="N3043" i="25" s="1"/>
  <c r="N3044" i="25" s="1"/>
  <c r="N3045" i="25" s="1"/>
  <c r="N3046" i="25" s="1"/>
  <c r="N3047" i="25" s="1"/>
  <c r="N3048" i="25" s="1"/>
  <c r="N3049" i="25" s="1"/>
  <c r="N3050" i="25" s="1"/>
  <c r="N3051" i="25" s="1"/>
  <c r="N3052" i="25" s="1"/>
  <c r="N3053" i="25" s="1"/>
  <c r="N3054" i="25" s="1"/>
  <c r="N3055" i="25" s="1"/>
  <c r="N3056" i="25" s="1"/>
  <c r="N3057" i="25" s="1"/>
  <c r="N3058" i="25" s="1"/>
  <c r="N3059" i="25" s="1"/>
  <c r="N3060" i="25" s="1"/>
  <c r="N3061" i="25" s="1"/>
  <c r="N3062" i="25" s="1"/>
  <c r="N3063" i="25" s="1"/>
  <c r="N3064" i="25" s="1"/>
  <c r="N3065" i="25" s="1"/>
  <c r="N3066" i="25" s="1"/>
  <c r="N3067" i="25" s="1"/>
  <c r="N3068" i="25" s="1"/>
  <c r="N3069" i="25" s="1"/>
  <c r="N3070" i="25" s="1"/>
  <c r="N3071" i="25" s="1"/>
  <c r="N3072" i="25" s="1"/>
  <c r="N3073" i="25" s="1"/>
  <c r="N3074" i="25" s="1"/>
  <c r="N3075" i="25" s="1"/>
  <c r="N3076" i="25" s="1"/>
  <c r="N3077" i="25" s="1"/>
  <c r="N3078" i="25" s="1"/>
  <c r="N3079" i="25" s="1"/>
  <c r="N3080" i="25" s="1"/>
  <c r="N3081" i="25" s="1"/>
  <c r="N3082" i="25" s="1"/>
  <c r="N3083" i="25" s="1"/>
  <c r="N3084" i="25" s="1"/>
  <c r="N3085" i="25" s="1"/>
  <c r="N3086" i="25" s="1"/>
  <c r="N3087" i="25" s="1"/>
  <c r="N3088" i="25" s="1"/>
  <c r="N3089" i="25" s="1"/>
  <c r="N3090" i="25" s="1"/>
  <c r="N3091" i="25" s="1"/>
  <c r="N3092" i="25" s="1"/>
  <c r="N3093" i="25" s="1"/>
  <c r="N3094" i="25" s="1"/>
  <c r="N3095" i="25" s="1"/>
  <c r="N3096" i="25" s="1"/>
  <c r="N3097" i="25" s="1"/>
  <c r="N3098" i="25" s="1"/>
  <c r="N3099" i="25" s="1"/>
  <c r="N3100" i="25" s="1"/>
  <c r="N3101" i="25" s="1"/>
  <c r="N3102" i="25" s="1"/>
  <c r="N3103" i="25" s="1"/>
  <c r="N3104" i="25" s="1"/>
  <c r="N3105" i="25" s="1"/>
  <c r="N3106" i="25" s="1"/>
  <c r="N3107" i="25" s="1"/>
  <c r="N3108" i="25" s="1"/>
  <c r="N3109" i="25" s="1"/>
  <c r="N3110" i="25" s="1"/>
  <c r="N3111" i="25" s="1"/>
  <c r="N3112" i="25" s="1"/>
  <c r="N3113" i="25" s="1"/>
  <c r="N3114" i="25" s="1"/>
  <c r="N3115" i="25" s="1"/>
  <c r="N3116" i="25" s="1"/>
  <c r="N3117" i="25" s="1"/>
  <c r="N3118" i="25" s="1"/>
  <c r="N3119" i="25" s="1"/>
  <c r="N3120" i="25" s="1"/>
  <c r="N3121" i="25" s="1"/>
  <c r="N3122" i="25" s="1"/>
  <c r="N3123" i="25" s="1"/>
  <c r="N3124" i="25" s="1"/>
  <c r="N3125" i="25" s="1"/>
  <c r="N3126" i="25" s="1"/>
  <c r="N3127" i="25" s="1"/>
  <c r="N3128" i="25" s="1"/>
  <c r="N3129" i="25" s="1"/>
  <c r="N3130" i="25" s="1"/>
  <c r="N3131" i="25" s="1"/>
  <c r="N3132" i="25" s="1"/>
  <c r="N3133" i="25" s="1"/>
  <c r="N3134" i="25" s="1"/>
  <c r="N3135" i="25" s="1"/>
  <c r="N3136" i="25" s="1"/>
  <c r="N3137" i="25" s="1"/>
  <c r="N3138" i="25" s="1"/>
  <c r="N3139" i="25" s="1"/>
  <c r="N3140" i="25" s="1"/>
  <c r="N3141" i="25" s="1"/>
  <c r="N3142" i="25" s="1"/>
  <c r="N3143" i="25" s="1"/>
  <c r="N3144" i="25" s="1"/>
  <c r="N3145" i="25" s="1"/>
  <c r="N3146" i="25" s="1"/>
  <c r="N3147" i="25" s="1"/>
  <c r="N3148" i="25" s="1"/>
  <c r="N3149" i="25" s="1"/>
  <c r="N3150" i="25" s="1"/>
  <c r="N3151" i="25" s="1"/>
  <c r="N3152" i="25" s="1"/>
  <c r="N3153" i="25" s="1"/>
  <c r="N3154" i="25" s="1"/>
  <c r="N3155" i="25" s="1"/>
  <c r="N3156" i="25" s="1"/>
  <c r="N3157" i="25" s="1"/>
  <c r="N3158" i="25" s="1"/>
  <c r="N3159" i="25" s="1"/>
  <c r="N3160" i="25" s="1"/>
  <c r="N3161" i="25" s="1"/>
  <c r="N3162" i="25" s="1"/>
  <c r="N3163" i="25" s="1"/>
  <c r="N3164" i="25" s="1"/>
  <c r="N3165" i="25" s="1"/>
  <c r="N3166" i="25" s="1"/>
  <c r="N3167" i="25" s="1"/>
  <c r="N3168" i="25" s="1"/>
  <c r="N3169" i="25" s="1"/>
  <c r="N3170" i="25" s="1"/>
  <c r="N3171" i="25" s="1"/>
  <c r="N3172" i="25" s="1"/>
  <c r="N3173" i="25" s="1"/>
  <c r="N3174" i="25" s="1"/>
  <c r="N3175" i="25" s="1"/>
  <c r="N3176" i="25" s="1"/>
  <c r="N3177" i="25" s="1"/>
  <c r="N3178" i="25" s="1"/>
  <c r="N3179" i="25" s="1"/>
  <c r="N3180" i="25" s="1"/>
  <c r="N3181" i="25" s="1"/>
  <c r="N3182" i="25" s="1"/>
  <c r="N3183" i="25" s="1"/>
  <c r="N3184" i="25" s="1"/>
  <c r="N3185" i="25" s="1"/>
  <c r="N3186" i="25" s="1"/>
  <c r="N3187" i="25" s="1"/>
  <c r="N3188" i="25" s="1"/>
  <c r="N3189" i="25" s="1"/>
  <c r="N3190" i="25" s="1"/>
  <c r="N3191" i="25" s="1"/>
  <c r="N3192" i="25" s="1"/>
  <c r="N3193" i="25" s="1"/>
  <c r="N3194" i="25" s="1"/>
  <c r="N3195" i="25" s="1"/>
  <c r="N3196" i="25" s="1"/>
  <c r="N3197" i="25" s="1"/>
  <c r="N3198" i="25" s="1"/>
  <c r="N3199" i="25" s="1"/>
  <c r="N3200" i="25" s="1"/>
  <c r="N3201" i="25" s="1"/>
  <c r="N3202" i="25" s="1"/>
  <c r="N3203" i="25" s="1"/>
  <c r="N3204" i="25" s="1"/>
  <c r="N3205" i="25" s="1"/>
  <c r="N3206" i="25" s="1"/>
  <c r="N3207" i="25" s="1"/>
  <c r="N3208" i="25" s="1"/>
  <c r="N3209" i="25" s="1"/>
  <c r="N3210" i="25" s="1"/>
  <c r="N3211" i="25" s="1"/>
  <c r="N3212" i="25" s="1"/>
  <c r="N3213" i="25" s="1"/>
  <c r="N3214" i="25" s="1"/>
  <c r="N3215" i="25" s="1"/>
  <c r="N3216" i="25" s="1"/>
  <c r="N3217" i="25" s="1"/>
  <c r="N3218" i="25" s="1"/>
  <c r="N3219" i="25" s="1"/>
  <c r="N3220" i="25" s="1"/>
  <c r="N3221" i="25" s="1"/>
  <c r="N3222" i="25" s="1"/>
  <c r="N3223" i="25" s="1"/>
  <c r="N3224" i="25" s="1"/>
  <c r="N3225" i="25" s="1"/>
  <c r="N3226" i="25" s="1"/>
  <c r="N3227" i="25" s="1"/>
  <c r="N3228" i="25" s="1"/>
  <c r="N3229" i="25" s="1"/>
  <c r="N3230" i="25" s="1"/>
  <c r="N3231" i="25" s="1"/>
  <c r="N3232" i="25" s="1"/>
  <c r="N3233" i="25" s="1"/>
  <c r="N3234" i="25" s="1"/>
  <c r="N3235" i="25" s="1"/>
  <c r="N3236" i="25" s="1"/>
  <c r="N3237" i="25" s="1"/>
  <c r="N3238" i="25" s="1"/>
  <c r="N3239" i="25" s="1"/>
  <c r="N3240" i="25" s="1"/>
  <c r="N3241" i="25" s="1"/>
  <c r="N3242" i="25" s="1"/>
  <c r="N3243" i="25" s="1"/>
  <c r="N3244" i="25" s="1"/>
  <c r="N3245" i="25" s="1"/>
  <c r="N3246" i="25" s="1"/>
  <c r="N3247" i="25" s="1"/>
  <c r="N3248" i="25" s="1"/>
  <c r="N3249" i="25" s="1"/>
  <c r="N3250" i="25" s="1"/>
  <c r="N3251" i="25" s="1"/>
  <c r="N3252" i="25" s="1"/>
  <c r="N3253" i="25" s="1"/>
  <c r="N3254" i="25" s="1"/>
  <c r="N3255" i="25" s="1"/>
  <c r="N3256" i="25" s="1"/>
  <c r="N3257" i="25" s="1"/>
  <c r="N3258" i="25" s="1"/>
  <c r="N3259" i="25" s="1"/>
  <c r="N3260" i="25" s="1"/>
  <c r="N3261" i="25" s="1"/>
  <c r="N3262" i="25" s="1"/>
  <c r="N3263" i="25" s="1"/>
  <c r="N3264" i="25" s="1"/>
  <c r="N3265" i="25" s="1"/>
  <c r="N3266" i="25" s="1"/>
  <c r="N3267" i="25" s="1"/>
  <c r="N3268" i="25" s="1"/>
  <c r="N3269" i="25" s="1"/>
  <c r="N3270" i="25" s="1"/>
  <c r="N3271" i="25" s="1"/>
  <c r="N3272" i="25" s="1"/>
  <c r="N3273" i="25" s="1"/>
  <c r="N3274" i="25" s="1"/>
  <c r="N3275" i="25" s="1"/>
  <c r="N3276" i="25" s="1"/>
  <c r="N3277" i="25" s="1"/>
  <c r="N3278" i="25" s="1"/>
  <c r="N3279" i="25" s="1"/>
  <c r="N3280" i="25" s="1"/>
  <c r="N3281" i="25" s="1"/>
  <c r="N3282" i="25" s="1"/>
  <c r="N3283" i="25" s="1"/>
  <c r="N3284" i="25" s="1"/>
  <c r="N3285" i="25" s="1"/>
  <c r="N3286" i="25" s="1"/>
  <c r="N3287" i="25" s="1"/>
  <c r="N3288" i="25" s="1"/>
  <c r="N3289" i="25" s="1"/>
  <c r="N3290" i="25" s="1"/>
  <c r="N3291" i="25" s="1"/>
  <c r="N3292" i="25" s="1"/>
  <c r="N3293" i="25" s="1"/>
  <c r="N3294" i="25" s="1"/>
  <c r="N3295" i="25" s="1"/>
  <c r="N3296" i="25" s="1"/>
  <c r="N3297" i="25" s="1"/>
  <c r="N3298" i="25" s="1"/>
  <c r="N3299" i="25" s="1"/>
  <c r="N3300" i="25" s="1"/>
  <c r="N3301" i="25" s="1"/>
  <c r="N3302" i="25" s="1"/>
  <c r="N3303" i="25" s="1"/>
  <c r="N3304" i="25" s="1"/>
  <c r="N3305" i="25" s="1"/>
  <c r="N3306" i="25" s="1"/>
  <c r="N3307" i="25" s="1"/>
  <c r="N3308" i="25" s="1"/>
  <c r="N3309" i="25" s="1"/>
  <c r="N3310" i="25" s="1"/>
  <c r="N3311" i="25" s="1"/>
  <c r="N3312" i="25" s="1"/>
  <c r="N3313" i="25" s="1"/>
  <c r="N3314" i="25" s="1"/>
  <c r="N3315" i="25" s="1"/>
  <c r="N3316" i="25" s="1"/>
  <c r="N3317" i="25" s="1"/>
  <c r="N3318" i="25" s="1"/>
  <c r="N3319" i="25" s="1"/>
  <c r="N3320" i="25" s="1"/>
  <c r="N3321" i="25" s="1"/>
  <c r="N3322" i="25" s="1"/>
  <c r="N3323" i="25" s="1"/>
  <c r="N3324" i="25" s="1"/>
  <c r="N3325" i="25" s="1"/>
  <c r="N3326" i="25" s="1"/>
  <c r="N3327" i="25" s="1"/>
  <c r="N3328" i="25" s="1"/>
  <c r="N3329" i="25" s="1"/>
  <c r="N3330" i="25" s="1"/>
  <c r="N3331" i="25" s="1"/>
  <c r="N3332" i="25" s="1"/>
  <c r="N3333" i="25" s="1"/>
  <c r="N3334" i="25" s="1"/>
  <c r="N3335" i="25" s="1"/>
  <c r="N3336" i="25" s="1"/>
  <c r="N3337" i="25" s="1"/>
  <c r="N3338" i="25" s="1"/>
  <c r="N3339" i="25" s="1"/>
  <c r="N3340" i="25" s="1"/>
  <c r="N3341" i="25" s="1"/>
  <c r="N3342" i="25" s="1"/>
  <c r="N3343" i="25" s="1"/>
  <c r="N3344" i="25" s="1"/>
  <c r="N3345" i="25" s="1"/>
  <c r="N3346" i="25" s="1"/>
  <c r="N3347" i="25" s="1"/>
  <c r="N3348" i="25" s="1"/>
  <c r="N3349" i="25" s="1"/>
  <c r="N3350" i="25" s="1"/>
  <c r="N3351" i="25" s="1"/>
  <c r="N3352" i="25" s="1"/>
  <c r="N3353" i="25" s="1"/>
  <c r="N3354" i="25" s="1"/>
  <c r="N3355" i="25" s="1"/>
  <c r="N3356" i="25" s="1"/>
  <c r="N3357" i="25" s="1"/>
  <c r="N3358" i="25" s="1"/>
  <c r="N3359" i="25" s="1"/>
  <c r="N3360" i="25" s="1"/>
  <c r="N3361" i="25" s="1"/>
  <c r="N3362" i="25" s="1"/>
  <c r="N3363" i="25" s="1"/>
  <c r="N3364" i="25" s="1"/>
  <c r="N3365" i="25" s="1"/>
  <c r="N3366" i="25" s="1"/>
  <c r="N3367" i="25" s="1"/>
  <c r="N3368" i="25" s="1"/>
  <c r="N3369" i="25" s="1"/>
  <c r="N3370" i="25" s="1"/>
  <c r="N3371" i="25" s="1"/>
  <c r="N3372" i="25" s="1"/>
  <c r="N3373" i="25" s="1"/>
  <c r="N3374" i="25" s="1"/>
  <c r="N3375" i="25" s="1"/>
  <c r="N3376" i="25" s="1"/>
  <c r="N3377" i="25" s="1"/>
  <c r="N3378" i="25" s="1"/>
  <c r="N3379" i="25" s="1"/>
  <c r="N3380" i="25" s="1"/>
  <c r="N3381" i="25" s="1"/>
  <c r="N3382" i="25" s="1"/>
  <c r="N3383" i="25" s="1"/>
  <c r="N3384" i="25" s="1"/>
  <c r="N3385" i="25" s="1"/>
  <c r="N3386" i="25" s="1"/>
  <c r="N3387" i="25" s="1"/>
  <c r="N3388" i="25" s="1"/>
  <c r="N3389" i="25" s="1"/>
  <c r="N3390" i="25" s="1"/>
  <c r="N3391" i="25" s="1"/>
  <c r="N3392" i="25" s="1"/>
  <c r="N3393" i="25" s="1"/>
  <c r="N3394" i="25" s="1"/>
  <c r="N3395" i="25" s="1"/>
  <c r="N3396" i="25" s="1"/>
  <c r="N3397" i="25" s="1"/>
  <c r="N3398" i="25" s="1"/>
  <c r="N3399" i="25" s="1"/>
  <c r="N3400" i="25" s="1"/>
  <c r="N3401" i="25" s="1"/>
  <c r="N3402" i="25" s="1"/>
  <c r="N3403" i="25" s="1"/>
  <c r="N3404" i="25" s="1"/>
  <c r="N3405" i="25" s="1"/>
  <c r="N3406" i="25" s="1"/>
  <c r="N3407" i="25" s="1"/>
  <c r="N3408" i="25" s="1"/>
  <c r="N3409" i="25" s="1"/>
  <c r="N3410" i="25" s="1"/>
  <c r="N3411" i="25" s="1"/>
  <c r="N3412" i="25" s="1"/>
  <c r="N3413" i="25" s="1"/>
  <c r="N3414" i="25" s="1"/>
  <c r="N3415" i="25" s="1"/>
  <c r="N3416" i="25" s="1"/>
  <c r="N3417" i="25" s="1"/>
  <c r="N3418" i="25" s="1"/>
  <c r="N3419" i="25" s="1"/>
  <c r="N3420" i="25" s="1"/>
  <c r="N3421" i="25" s="1"/>
  <c r="N3422" i="25" s="1"/>
  <c r="N3423" i="25" s="1"/>
  <c r="N3424" i="25" s="1"/>
  <c r="N3425" i="25" s="1"/>
  <c r="N3426" i="25" s="1"/>
  <c r="N3427" i="25" s="1"/>
  <c r="N3428" i="25" s="1"/>
  <c r="N3429" i="25" s="1"/>
  <c r="N3430" i="25" s="1"/>
  <c r="N3431" i="25" s="1"/>
  <c r="N3432" i="25" s="1"/>
  <c r="N3433" i="25" s="1"/>
  <c r="N3434" i="25" s="1"/>
  <c r="N3435" i="25" s="1"/>
  <c r="N3436" i="25" s="1"/>
  <c r="N3437" i="25" s="1"/>
  <c r="N3438" i="25" s="1"/>
  <c r="N3439" i="25" s="1"/>
  <c r="N3440" i="25" s="1"/>
  <c r="N3441" i="25" s="1"/>
  <c r="N3442" i="25" s="1"/>
  <c r="N3443" i="25" s="1"/>
  <c r="N3444" i="25" s="1"/>
  <c r="N3445" i="25" s="1"/>
  <c r="N3446" i="25" s="1"/>
  <c r="N3447" i="25" s="1"/>
  <c r="N3448" i="25" s="1"/>
  <c r="N3449" i="25" s="1"/>
  <c r="N3450" i="25" s="1"/>
  <c r="N3451" i="25" s="1"/>
  <c r="N3452" i="25" s="1"/>
  <c r="N3453" i="25" s="1"/>
  <c r="N3454" i="25" s="1"/>
  <c r="N3455" i="25" s="1"/>
  <c r="N3456" i="25" s="1"/>
  <c r="N3457" i="25" s="1"/>
  <c r="N3458" i="25" s="1"/>
  <c r="N3459" i="25" s="1"/>
  <c r="N3460" i="25" s="1"/>
  <c r="N3461" i="25" s="1"/>
  <c r="N3462" i="25" s="1"/>
  <c r="N3463" i="25" s="1"/>
  <c r="N3464" i="25" s="1"/>
  <c r="N3465" i="25" s="1"/>
  <c r="N3466" i="25" s="1"/>
  <c r="N3467" i="25" s="1"/>
  <c r="N3468" i="25" s="1"/>
  <c r="N3469" i="25" s="1"/>
  <c r="N3470" i="25" s="1"/>
  <c r="N3471" i="25" s="1"/>
  <c r="N3472" i="25" s="1"/>
  <c r="N3473" i="25" s="1"/>
  <c r="N3474" i="25" s="1"/>
  <c r="N3475" i="25" s="1"/>
  <c r="N3476" i="25" s="1"/>
  <c r="N3477" i="25" s="1"/>
  <c r="N3478" i="25" s="1"/>
  <c r="N3479" i="25" s="1"/>
  <c r="N3480" i="25" s="1"/>
  <c r="N3481" i="25" s="1"/>
  <c r="N3482" i="25" s="1"/>
  <c r="N3483" i="25" s="1"/>
  <c r="N3484" i="25" s="1"/>
  <c r="N3485" i="25" s="1"/>
  <c r="N3486" i="25" s="1"/>
  <c r="N3487" i="25" s="1"/>
  <c r="N3488" i="25" s="1"/>
  <c r="N3489" i="25" s="1"/>
  <c r="N3490" i="25" s="1"/>
  <c r="N3491" i="25" s="1"/>
  <c r="N3492" i="25" s="1"/>
  <c r="N3493" i="25" s="1"/>
  <c r="N3494" i="25" s="1"/>
  <c r="N3495" i="25" s="1"/>
  <c r="N3496" i="25" s="1"/>
  <c r="N3497" i="25" s="1"/>
  <c r="N3498" i="25" s="1"/>
  <c r="N3499" i="25" s="1"/>
  <c r="N3500" i="25" s="1"/>
  <c r="N3501" i="25" s="1"/>
  <c r="N3502" i="25" s="1"/>
  <c r="N3503" i="25" s="1"/>
  <c r="N3504" i="25" s="1"/>
  <c r="N3505" i="25" s="1"/>
  <c r="N3506" i="25" s="1"/>
  <c r="N3507" i="25" s="1"/>
  <c r="N3508" i="25" s="1"/>
  <c r="N3509" i="25" s="1"/>
  <c r="N3510" i="25" s="1"/>
  <c r="N3511" i="25" s="1"/>
  <c r="N3512" i="25" s="1"/>
  <c r="N3513" i="25" s="1"/>
  <c r="N3514" i="25" s="1"/>
  <c r="N3515" i="25" s="1"/>
  <c r="N3516" i="25" s="1"/>
  <c r="N3517" i="25" s="1"/>
  <c r="N3518" i="25" s="1"/>
  <c r="N3519" i="25" s="1"/>
  <c r="N3520" i="25" s="1"/>
  <c r="N3521" i="25" s="1"/>
  <c r="N3522" i="25" s="1"/>
  <c r="N3523" i="25" s="1"/>
  <c r="N3524" i="25" s="1"/>
  <c r="N3525" i="25" s="1"/>
  <c r="N3526" i="25" s="1"/>
  <c r="N3527" i="25" s="1"/>
  <c r="N3528" i="25" s="1"/>
  <c r="N3529" i="25" s="1"/>
  <c r="N3530" i="25" s="1"/>
  <c r="N3531" i="25" s="1"/>
  <c r="N3532" i="25" s="1"/>
  <c r="N3533" i="25" s="1"/>
  <c r="N3534" i="25" s="1"/>
  <c r="N3535" i="25" s="1"/>
  <c r="N3536" i="25" s="1"/>
  <c r="N3537" i="25" s="1"/>
  <c r="N3538" i="25" s="1"/>
  <c r="N3539" i="25" s="1"/>
  <c r="N3540" i="25" s="1"/>
  <c r="N3541" i="25" s="1"/>
  <c r="N3542" i="25" s="1"/>
  <c r="N3543" i="25" s="1"/>
  <c r="N3544" i="25" s="1"/>
  <c r="N3545" i="25" s="1"/>
  <c r="N3546" i="25" s="1"/>
  <c r="N3547" i="25" s="1"/>
  <c r="N3548" i="25" s="1"/>
  <c r="N3549" i="25" s="1"/>
  <c r="N3550" i="25" s="1"/>
  <c r="N3551" i="25" s="1"/>
  <c r="N3552" i="25" s="1"/>
  <c r="N3553" i="25" s="1"/>
  <c r="N3554" i="25" s="1"/>
  <c r="N3555" i="25" s="1"/>
  <c r="N3556" i="25" s="1"/>
  <c r="N3557" i="25" s="1"/>
  <c r="N3558" i="25" s="1"/>
  <c r="N3559" i="25" s="1"/>
  <c r="N3560" i="25" s="1"/>
  <c r="N3561" i="25" s="1"/>
  <c r="N3562" i="25" s="1"/>
  <c r="N3563" i="25" s="1"/>
  <c r="N3564" i="25" s="1"/>
  <c r="N3565" i="25" s="1"/>
  <c r="N3566" i="25" s="1"/>
  <c r="N3567" i="25" s="1"/>
  <c r="N3568" i="25" s="1"/>
  <c r="N3569" i="25" s="1"/>
  <c r="N3570" i="25" s="1"/>
  <c r="N3571" i="25" s="1"/>
  <c r="N3572" i="25" s="1"/>
  <c r="N3573" i="25" s="1"/>
  <c r="N3574" i="25" s="1"/>
  <c r="N3575" i="25" s="1"/>
  <c r="N3576" i="25" s="1"/>
  <c r="N3577" i="25" s="1"/>
  <c r="N3578" i="25" s="1"/>
  <c r="N3579" i="25" s="1"/>
  <c r="N3580" i="25" s="1"/>
  <c r="N3581" i="25" s="1"/>
  <c r="N3582" i="25" s="1"/>
  <c r="N3583" i="25" s="1"/>
  <c r="N3584" i="25" s="1"/>
  <c r="N3585" i="25" s="1"/>
  <c r="N3586" i="25" s="1"/>
  <c r="N3587" i="25" s="1"/>
  <c r="N3588" i="25" s="1"/>
  <c r="N3589" i="25" s="1"/>
  <c r="N3590" i="25" s="1"/>
  <c r="N3591" i="25" s="1"/>
  <c r="N3592" i="25" s="1"/>
  <c r="N3593" i="25" s="1"/>
  <c r="N3594" i="25" s="1"/>
  <c r="N3595" i="25" s="1"/>
  <c r="N3596" i="25" s="1"/>
  <c r="N3597" i="25" s="1"/>
  <c r="N3598" i="25" s="1"/>
  <c r="N3599" i="25" s="1"/>
  <c r="N3600" i="25" s="1"/>
  <c r="N3601" i="25" s="1"/>
  <c r="N3602" i="25" s="1"/>
  <c r="N3603" i="25" s="1"/>
  <c r="N3604" i="25" s="1"/>
  <c r="N3605" i="25" s="1"/>
  <c r="N3606" i="25" s="1"/>
  <c r="N3607" i="25" s="1"/>
  <c r="N3608" i="25" s="1"/>
  <c r="N3609" i="25" s="1"/>
  <c r="N3610" i="25" s="1"/>
  <c r="N3611" i="25" s="1"/>
  <c r="N3612" i="25" s="1"/>
  <c r="N3613" i="25" s="1"/>
  <c r="N3614" i="25" s="1"/>
  <c r="N3615" i="25" s="1"/>
  <c r="N3616" i="25" s="1"/>
  <c r="N3617" i="25" s="1"/>
  <c r="N3618" i="25" s="1"/>
  <c r="N3619" i="25" s="1"/>
  <c r="N3620" i="25" s="1"/>
  <c r="N3621" i="25" s="1"/>
  <c r="N3622" i="25" s="1"/>
  <c r="N3623" i="25" s="1"/>
  <c r="N3624" i="25" s="1"/>
  <c r="N3625" i="25" s="1"/>
  <c r="N3626" i="25" s="1"/>
  <c r="N3627" i="25" s="1"/>
  <c r="N3628" i="25" s="1"/>
  <c r="N3629" i="25" s="1"/>
  <c r="N3630" i="25" s="1"/>
  <c r="N3631" i="25" s="1"/>
  <c r="N3632" i="25" s="1"/>
  <c r="N3633" i="25" s="1"/>
  <c r="N3634" i="25" s="1"/>
  <c r="N3635" i="25" s="1"/>
  <c r="N3636" i="25" s="1"/>
  <c r="N3637" i="25" s="1"/>
  <c r="N3638" i="25" s="1"/>
  <c r="N3639" i="25" s="1"/>
  <c r="N3640" i="25" s="1"/>
  <c r="N3641" i="25" s="1"/>
  <c r="N3642" i="25" s="1"/>
  <c r="N3643" i="25" s="1"/>
  <c r="N3644" i="25" s="1"/>
  <c r="N3645" i="25" s="1"/>
  <c r="N3646" i="25" s="1"/>
  <c r="N3647" i="25" s="1"/>
  <c r="N3648" i="25" s="1"/>
  <c r="N3649" i="25" s="1"/>
  <c r="N3650" i="25" s="1"/>
  <c r="N3651" i="25" s="1"/>
  <c r="N3652" i="25" s="1"/>
  <c r="N3653" i="25" s="1"/>
  <c r="N3654" i="25" s="1"/>
  <c r="N3655" i="25" s="1"/>
  <c r="N3656" i="25" s="1"/>
  <c r="N3657" i="25" s="1"/>
  <c r="N3658" i="25" s="1"/>
  <c r="N3659" i="25" s="1"/>
  <c r="N3660" i="25" s="1"/>
  <c r="N3661" i="25" s="1"/>
  <c r="N3662" i="25" s="1"/>
  <c r="N3663" i="25" s="1"/>
  <c r="N3664" i="25" s="1"/>
  <c r="N3665" i="25" s="1"/>
  <c r="N3666" i="25" s="1"/>
  <c r="N3667" i="25" s="1"/>
  <c r="N3668" i="25" s="1"/>
  <c r="N3669" i="25" s="1"/>
  <c r="N3670" i="25" s="1"/>
  <c r="N3671" i="25" s="1"/>
  <c r="N3672" i="25" s="1"/>
  <c r="N3673" i="25" s="1"/>
  <c r="N3674" i="25" s="1"/>
  <c r="N3675" i="25" s="1"/>
  <c r="N3676" i="25" s="1"/>
  <c r="N3677" i="25" s="1"/>
  <c r="N3678" i="25" s="1"/>
  <c r="N3679" i="25" s="1"/>
  <c r="N3680" i="25" s="1"/>
  <c r="N3681" i="25" s="1"/>
  <c r="N3682" i="25" s="1"/>
  <c r="N3683" i="25" s="1"/>
  <c r="N3684" i="25" s="1"/>
  <c r="N3685" i="25" s="1"/>
  <c r="N3686" i="25" s="1"/>
  <c r="N3687" i="25" s="1"/>
  <c r="N3688" i="25" s="1"/>
  <c r="N3689" i="25" s="1"/>
  <c r="N3690" i="25" s="1"/>
  <c r="N3691" i="25" s="1"/>
  <c r="N3692" i="25" s="1"/>
  <c r="N3693" i="25" s="1"/>
  <c r="N3694" i="25" s="1"/>
  <c r="N3695" i="25" s="1"/>
  <c r="N3696" i="25" s="1"/>
  <c r="N3697" i="25" s="1"/>
  <c r="N3698" i="25" s="1"/>
  <c r="N3699" i="25" s="1"/>
  <c r="N3700" i="25" s="1"/>
  <c r="N3701" i="25" s="1"/>
  <c r="N3702" i="25" s="1"/>
  <c r="N3703" i="25" s="1"/>
  <c r="N3704" i="25" s="1"/>
  <c r="N3705" i="25" s="1"/>
  <c r="N3706" i="25" s="1"/>
  <c r="N3707" i="25" s="1"/>
  <c r="N3708" i="25" s="1"/>
  <c r="N3709" i="25" s="1"/>
  <c r="N3710" i="25" s="1"/>
  <c r="N3711" i="25" s="1"/>
  <c r="N3712" i="25" s="1"/>
  <c r="N3713" i="25" s="1"/>
  <c r="N3714" i="25" s="1"/>
  <c r="N3715" i="25" s="1"/>
  <c r="N3716" i="25" s="1"/>
  <c r="N3717" i="25" s="1"/>
  <c r="N3718" i="25" s="1"/>
  <c r="N3719" i="25" s="1"/>
  <c r="N3720" i="25" s="1"/>
  <c r="N3721" i="25" s="1"/>
  <c r="N3722" i="25" s="1"/>
  <c r="N3723" i="25" s="1"/>
  <c r="N3724" i="25" s="1"/>
  <c r="N3725" i="25" s="1"/>
  <c r="N3726" i="25" s="1"/>
  <c r="N3727" i="25" s="1"/>
  <c r="N3728" i="25" s="1"/>
  <c r="N3729" i="25" s="1"/>
  <c r="N3730" i="25" s="1"/>
  <c r="N3731" i="25" s="1"/>
  <c r="N3732" i="25" s="1"/>
  <c r="N3733" i="25" s="1"/>
  <c r="N3734" i="25" s="1"/>
  <c r="N3735" i="25" s="1"/>
  <c r="N3736" i="25" s="1"/>
  <c r="N3737" i="25" s="1"/>
  <c r="N3738" i="25" s="1"/>
  <c r="N3739" i="25" s="1"/>
  <c r="N3740" i="25" s="1"/>
  <c r="N3741" i="25" s="1"/>
  <c r="N3742" i="25" s="1"/>
  <c r="N3743" i="25" s="1"/>
  <c r="N3744" i="25" s="1"/>
  <c r="N3745" i="25" s="1"/>
  <c r="N3746" i="25" s="1"/>
  <c r="N3747" i="25" s="1"/>
  <c r="N3748" i="25" s="1"/>
  <c r="N3749" i="25" s="1"/>
  <c r="N3750" i="25" s="1"/>
  <c r="N3751" i="25" s="1"/>
  <c r="N3752" i="25" s="1"/>
  <c r="N3753" i="25" s="1"/>
  <c r="N3754" i="25" s="1"/>
  <c r="N3755" i="25" s="1"/>
  <c r="N3756" i="25" s="1"/>
  <c r="N3757" i="25" s="1"/>
  <c r="N3758" i="25" s="1"/>
  <c r="N3759" i="25" s="1"/>
  <c r="N3760" i="25" s="1"/>
  <c r="N3761" i="25" s="1"/>
  <c r="N3762" i="25" s="1"/>
  <c r="N3763" i="25" s="1"/>
  <c r="N3764" i="25" s="1"/>
  <c r="N3765" i="25" s="1"/>
  <c r="N3766" i="25" s="1"/>
  <c r="N3767" i="25" s="1"/>
  <c r="N3768" i="25" s="1"/>
  <c r="N3769" i="25" s="1"/>
  <c r="N3770" i="25" s="1"/>
  <c r="N3771" i="25" s="1"/>
  <c r="N3772" i="25" s="1"/>
  <c r="N3773" i="25" s="1"/>
  <c r="N3774" i="25" s="1"/>
  <c r="N3775" i="25" s="1"/>
  <c r="N3776" i="25" s="1"/>
  <c r="N3777" i="25" s="1"/>
  <c r="N3778" i="25" s="1"/>
  <c r="N3779" i="25" s="1"/>
  <c r="N3780" i="25" s="1"/>
  <c r="N3781" i="25" s="1"/>
  <c r="N3782" i="25" s="1"/>
  <c r="N3783" i="25" s="1"/>
  <c r="N3784" i="25" s="1"/>
  <c r="N3785" i="25" s="1"/>
  <c r="N3786" i="25" s="1"/>
  <c r="N3787" i="25" s="1"/>
  <c r="N3788" i="25" s="1"/>
  <c r="N3789" i="25" s="1"/>
  <c r="N3790" i="25" s="1"/>
  <c r="N3791" i="25" s="1"/>
  <c r="N3792" i="25" s="1"/>
  <c r="N3793" i="25" s="1"/>
  <c r="N3794" i="25" s="1"/>
  <c r="N3795" i="25" s="1"/>
  <c r="N3796" i="25" s="1"/>
  <c r="N3797" i="25" s="1"/>
  <c r="N3798" i="25" s="1"/>
  <c r="N3799" i="25" s="1"/>
  <c r="N3800" i="25" s="1"/>
  <c r="N3801" i="25" s="1"/>
  <c r="N3802" i="25" s="1"/>
  <c r="N3803" i="25" s="1"/>
  <c r="N3804" i="25" s="1"/>
  <c r="N3805" i="25" s="1"/>
  <c r="N3806" i="25" s="1"/>
  <c r="N3807" i="25" s="1"/>
  <c r="N3808" i="25" s="1"/>
  <c r="N3809" i="25" s="1"/>
  <c r="N3810" i="25" s="1"/>
  <c r="N3811" i="25" s="1"/>
  <c r="N3812" i="25" s="1"/>
  <c r="N3813" i="25" s="1"/>
  <c r="N3814" i="25" s="1"/>
  <c r="N3815" i="25" s="1"/>
  <c r="N3816" i="25" s="1"/>
  <c r="N3817" i="25" s="1"/>
  <c r="N3818" i="25" s="1"/>
  <c r="N3819" i="25" s="1"/>
  <c r="N3820" i="25" s="1"/>
  <c r="N3821" i="25" s="1"/>
  <c r="N3822" i="25" s="1"/>
  <c r="N3823" i="25" s="1"/>
  <c r="N3824" i="25" s="1"/>
  <c r="N3825" i="25" s="1"/>
  <c r="N3826" i="25" s="1"/>
  <c r="N3827" i="25" s="1"/>
  <c r="N3828" i="25" s="1"/>
  <c r="N3829" i="25" s="1"/>
  <c r="N3830" i="25" s="1"/>
  <c r="N3831" i="25" s="1"/>
  <c r="N3832" i="25" s="1"/>
  <c r="N3833" i="25" s="1"/>
  <c r="N3834" i="25" s="1"/>
  <c r="N3835" i="25" s="1"/>
  <c r="N3836" i="25" s="1"/>
  <c r="N3837" i="25" s="1"/>
  <c r="N3838" i="25" s="1"/>
  <c r="N3839" i="25" s="1"/>
  <c r="N3840" i="25" s="1"/>
  <c r="N3841" i="25" s="1"/>
  <c r="N3842" i="25" s="1"/>
  <c r="N3843" i="25" s="1"/>
  <c r="N3844" i="25" s="1"/>
  <c r="N3845" i="25" s="1"/>
  <c r="N3846" i="25" s="1"/>
  <c r="N3847" i="25" s="1"/>
  <c r="N3848" i="25" s="1"/>
  <c r="N3849" i="25" s="1"/>
  <c r="N3850" i="25" s="1"/>
  <c r="N3851" i="25" s="1"/>
  <c r="N3852" i="25" s="1"/>
  <c r="N3853" i="25" s="1"/>
  <c r="N3854" i="25" s="1"/>
  <c r="N3855" i="25" s="1"/>
  <c r="N3856" i="25" s="1"/>
  <c r="N3857" i="25" s="1"/>
  <c r="N3858" i="25" s="1"/>
  <c r="N3859" i="25" s="1"/>
  <c r="N3860" i="25" s="1"/>
  <c r="N3861" i="25" s="1"/>
  <c r="N3862" i="25" s="1"/>
  <c r="N3863" i="25" s="1"/>
  <c r="N3864" i="25" s="1"/>
  <c r="N3865" i="25" s="1"/>
  <c r="N3866" i="25" s="1"/>
  <c r="N3867" i="25" s="1"/>
  <c r="N3868" i="25" s="1"/>
  <c r="N3869" i="25" s="1"/>
  <c r="N3870" i="25" s="1"/>
  <c r="N3871" i="25" s="1"/>
  <c r="N3872" i="25" s="1"/>
  <c r="N3873" i="25" s="1"/>
  <c r="N3874" i="25" s="1"/>
  <c r="N3875" i="25" s="1"/>
  <c r="N3876" i="25" s="1"/>
  <c r="N3877" i="25" s="1"/>
  <c r="N3878" i="25" s="1"/>
  <c r="N3879" i="25" s="1"/>
  <c r="N3880" i="25" s="1"/>
  <c r="N3881" i="25" s="1"/>
  <c r="N3882" i="25" s="1"/>
  <c r="N3883" i="25" s="1"/>
  <c r="N3884" i="25" s="1"/>
  <c r="N3885" i="25" s="1"/>
  <c r="N3886" i="25" s="1"/>
  <c r="N3887" i="25" s="1"/>
  <c r="N3888" i="25" s="1"/>
  <c r="N3889" i="25" s="1"/>
  <c r="N3890" i="25" s="1"/>
  <c r="N3891" i="25" s="1"/>
  <c r="N3892" i="25" s="1"/>
  <c r="N3893" i="25" s="1"/>
  <c r="N3894" i="25" s="1"/>
  <c r="N3895" i="25" s="1"/>
  <c r="N3896" i="25" s="1"/>
  <c r="N3897" i="25" s="1"/>
  <c r="N3898" i="25" s="1"/>
  <c r="N3899" i="25" s="1"/>
  <c r="N3900" i="25" s="1"/>
  <c r="N3901" i="25" s="1"/>
  <c r="N3902" i="25" s="1"/>
  <c r="N3903" i="25" s="1"/>
  <c r="N3904" i="25" s="1"/>
  <c r="N3905" i="25" s="1"/>
  <c r="N3906" i="25" s="1"/>
  <c r="N3907" i="25" s="1"/>
  <c r="N3908" i="25" s="1"/>
  <c r="N3909" i="25" s="1"/>
  <c r="N3910" i="25" s="1"/>
  <c r="N3911" i="25" s="1"/>
  <c r="N3912" i="25" s="1"/>
  <c r="N3913" i="25" s="1"/>
  <c r="N3914" i="25" s="1"/>
  <c r="N3915" i="25" s="1"/>
  <c r="N3916" i="25" s="1"/>
  <c r="N3917" i="25" s="1"/>
  <c r="N3918" i="25" s="1"/>
  <c r="N3919" i="25" s="1"/>
  <c r="N3920" i="25" s="1"/>
  <c r="N3921" i="25" s="1"/>
  <c r="N3922" i="25" s="1"/>
  <c r="N3923" i="25" s="1"/>
  <c r="N3924" i="25" s="1"/>
  <c r="N3925" i="25" s="1"/>
  <c r="N3926" i="25" s="1"/>
  <c r="N3927" i="25" s="1"/>
  <c r="N3928" i="25" s="1"/>
  <c r="N3929" i="25" s="1"/>
  <c r="N3930" i="25" s="1"/>
  <c r="N3931" i="25" s="1"/>
  <c r="N3932" i="25" s="1"/>
  <c r="N3933" i="25" s="1"/>
  <c r="N3934" i="25" s="1"/>
  <c r="N3935" i="25" s="1"/>
  <c r="N3936" i="25" s="1"/>
  <c r="N3937" i="25" s="1"/>
  <c r="N3938" i="25" s="1"/>
  <c r="N3939" i="25" s="1"/>
  <c r="N3940" i="25" s="1"/>
  <c r="N3941" i="25" s="1"/>
  <c r="N3942" i="25" s="1"/>
  <c r="N3943" i="25" s="1"/>
  <c r="N3944" i="25" s="1"/>
  <c r="N3945" i="25" s="1"/>
  <c r="N3946" i="25" s="1"/>
  <c r="N3947" i="25" s="1"/>
  <c r="N3948" i="25" s="1"/>
  <c r="N3949" i="25" s="1"/>
  <c r="N3950" i="25" s="1"/>
  <c r="N3951" i="25" s="1"/>
  <c r="N3952" i="25" s="1"/>
  <c r="N3953" i="25" s="1"/>
  <c r="N3954" i="25" s="1"/>
  <c r="N3955" i="25" s="1"/>
  <c r="N3956" i="25" s="1"/>
  <c r="N3957" i="25" s="1"/>
  <c r="N3958" i="25" s="1"/>
  <c r="N3959" i="25" s="1"/>
  <c r="N3960" i="25" s="1"/>
  <c r="N3961" i="25" s="1"/>
  <c r="N3962" i="25" s="1"/>
  <c r="N3963" i="25" s="1"/>
  <c r="N3964" i="25" s="1"/>
  <c r="N3965" i="25" s="1"/>
  <c r="N3966" i="25" s="1"/>
  <c r="N3967" i="25" s="1"/>
  <c r="N3968" i="25" s="1"/>
  <c r="N3969" i="25" s="1"/>
  <c r="N3970" i="25" s="1"/>
  <c r="N3971" i="25" s="1"/>
  <c r="N3972" i="25" s="1"/>
  <c r="N3973" i="25" s="1"/>
  <c r="N3974" i="25" s="1"/>
  <c r="N3975" i="25" s="1"/>
  <c r="N3976" i="25" s="1"/>
  <c r="N3977" i="25" s="1"/>
  <c r="N3978" i="25" s="1"/>
  <c r="N3979" i="25" s="1"/>
  <c r="N3980" i="25" s="1"/>
  <c r="N3981" i="25" s="1"/>
  <c r="N3982" i="25" s="1"/>
  <c r="N3983" i="25" s="1"/>
  <c r="N3984" i="25" s="1"/>
  <c r="N3985" i="25" s="1"/>
  <c r="N3986" i="25" s="1"/>
  <c r="O473" i="25"/>
  <c r="O474" i="25" s="1"/>
  <c r="O475" i="25" s="1"/>
  <c r="O476" i="25" s="1"/>
  <c r="O477" i="25" s="1"/>
  <c r="O478" i="25" s="1"/>
  <c r="O479" i="25" s="1"/>
  <c r="O480" i="25" s="1"/>
  <c r="O481" i="25" s="1"/>
  <c r="O482" i="25" s="1"/>
  <c r="O483" i="25" s="1"/>
  <c r="O484" i="25" s="1"/>
  <c r="O485" i="25" s="1"/>
  <c r="O486" i="25" s="1"/>
  <c r="O487" i="25" s="1"/>
  <c r="O488" i="25" s="1"/>
  <c r="O489" i="25" s="1"/>
  <c r="O490" i="25" s="1"/>
  <c r="O491" i="25" s="1"/>
  <c r="O492" i="25" s="1"/>
  <c r="O493" i="25" s="1"/>
  <c r="O494" i="25" s="1"/>
  <c r="O495" i="25" s="1"/>
  <c r="O496" i="25" s="1"/>
  <c r="O497" i="25" s="1"/>
  <c r="O498" i="25" s="1"/>
  <c r="O499" i="25" s="1"/>
  <c r="O500" i="25" s="1"/>
  <c r="O501" i="25" s="1"/>
  <c r="O502" i="25" s="1"/>
  <c r="O503" i="25" s="1"/>
  <c r="O504" i="25" s="1"/>
  <c r="O505" i="25" s="1"/>
  <c r="O506" i="25" s="1"/>
  <c r="O507" i="25" s="1"/>
  <c r="O508" i="25" s="1"/>
  <c r="O509" i="25" s="1"/>
  <c r="O510" i="25" s="1"/>
  <c r="O511" i="25" s="1"/>
  <c r="O512" i="25" s="1"/>
  <c r="O513" i="25" s="1"/>
  <c r="O514" i="25" s="1"/>
  <c r="O515" i="25" s="1"/>
  <c r="O516" i="25" s="1"/>
  <c r="O517" i="25" s="1"/>
  <c r="O518" i="25" s="1"/>
  <c r="O519" i="25" s="1"/>
  <c r="O520" i="25" s="1"/>
  <c r="O521" i="25" s="1"/>
  <c r="O522" i="25" s="1"/>
  <c r="O523" i="25" s="1"/>
  <c r="O524" i="25" s="1"/>
  <c r="O525" i="25" s="1"/>
  <c r="O526" i="25" s="1"/>
  <c r="O527" i="25" s="1"/>
  <c r="O528" i="25" s="1"/>
  <c r="O529" i="25" s="1"/>
  <c r="O530" i="25" s="1"/>
  <c r="O531" i="25" s="1"/>
  <c r="O532" i="25" s="1"/>
  <c r="O533" i="25" s="1"/>
  <c r="O534" i="25" s="1"/>
  <c r="O535" i="25" s="1"/>
  <c r="O536" i="25" s="1"/>
  <c r="O537" i="25" s="1"/>
  <c r="O538" i="25" s="1"/>
  <c r="O539" i="25" s="1"/>
  <c r="O540" i="25" s="1"/>
  <c r="O541" i="25" s="1"/>
  <c r="O542" i="25" s="1"/>
  <c r="O543" i="25" s="1"/>
  <c r="O544" i="25" s="1"/>
  <c r="O545" i="25" s="1"/>
  <c r="O546" i="25" s="1"/>
  <c r="O547" i="25" s="1"/>
  <c r="O548" i="25" s="1"/>
  <c r="O549" i="25" s="1"/>
  <c r="O550" i="25" s="1"/>
  <c r="O551" i="25" s="1"/>
  <c r="O552" i="25" s="1"/>
  <c r="O553" i="25" s="1"/>
  <c r="O554" i="25" s="1"/>
  <c r="O555" i="25" s="1"/>
  <c r="O556" i="25" s="1"/>
  <c r="O557" i="25" s="1"/>
  <c r="O558" i="25" s="1"/>
  <c r="O559" i="25" s="1"/>
  <c r="O560" i="25" s="1"/>
  <c r="O561" i="25" s="1"/>
  <c r="O562" i="25" s="1"/>
  <c r="O563" i="25" s="1"/>
  <c r="O564" i="25" s="1"/>
  <c r="O565" i="25" s="1"/>
  <c r="O566" i="25" s="1"/>
  <c r="O567" i="25" s="1"/>
  <c r="O568" i="25" s="1"/>
  <c r="O569" i="25" s="1"/>
  <c r="O570" i="25" s="1"/>
  <c r="O571" i="25" s="1"/>
  <c r="O572" i="25" s="1"/>
  <c r="O573" i="25" s="1"/>
  <c r="O574" i="25" s="1"/>
  <c r="O575" i="25" s="1"/>
  <c r="O576" i="25" s="1"/>
  <c r="O577" i="25" s="1"/>
  <c r="O578" i="25" s="1"/>
  <c r="O579" i="25" s="1"/>
  <c r="O580" i="25" s="1"/>
  <c r="O581" i="25" s="1"/>
  <c r="O582" i="25" s="1"/>
  <c r="O583" i="25" s="1"/>
  <c r="O584" i="25" s="1"/>
  <c r="O585" i="25" s="1"/>
  <c r="O586" i="25" s="1"/>
  <c r="O587" i="25" s="1"/>
  <c r="O588" i="25" s="1"/>
  <c r="O589" i="25" s="1"/>
  <c r="O590" i="25" s="1"/>
  <c r="O591" i="25" s="1"/>
  <c r="O592" i="25" s="1"/>
  <c r="O593" i="25" s="1"/>
  <c r="O594" i="25" s="1"/>
  <c r="O595" i="25" s="1"/>
  <c r="O596" i="25" s="1"/>
  <c r="O597" i="25" s="1"/>
  <c r="O598" i="25" s="1"/>
  <c r="O599" i="25" s="1"/>
  <c r="O600" i="25" s="1"/>
  <c r="O601" i="25" s="1"/>
  <c r="O602" i="25" s="1"/>
  <c r="O603" i="25" s="1"/>
  <c r="O604" i="25" s="1"/>
  <c r="O605" i="25" s="1"/>
  <c r="O606" i="25" s="1"/>
  <c r="O607" i="25" s="1"/>
  <c r="O608" i="25" s="1"/>
  <c r="O609" i="25" s="1"/>
  <c r="O610" i="25" s="1"/>
  <c r="O611" i="25" s="1"/>
  <c r="O612" i="25" s="1"/>
  <c r="O613" i="25" s="1"/>
  <c r="O614" i="25" s="1"/>
  <c r="O615" i="25" s="1"/>
  <c r="O616" i="25" s="1"/>
  <c r="O617" i="25" s="1"/>
  <c r="O618" i="25" s="1"/>
  <c r="O619" i="25" s="1"/>
  <c r="O620" i="25" s="1"/>
  <c r="O621" i="25" s="1"/>
  <c r="O622" i="25" s="1"/>
  <c r="O623" i="25" s="1"/>
  <c r="O624" i="25" s="1"/>
  <c r="O625" i="25" s="1"/>
  <c r="O626" i="25" s="1"/>
  <c r="O627" i="25" s="1"/>
  <c r="O628" i="25" s="1"/>
  <c r="O629" i="25" s="1"/>
  <c r="O630" i="25" s="1"/>
  <c r="O631" i="25" s="1"/>
  <c r="O632" i="25" s="1"/>
  <c r="O633" i="25" s="1"/>
  <c r="O634" i="25" s="1"/>
  <c r="O635" i="25" s="1"/>
  <c r="O636" i="25" s="1"/>
  <c r="O637" i="25" s="1"/>
  <c r="O638" i="25" s="1"/>
  <c r="O639" i="25" s="1"/>
  <c r="O640" i="25" s="1"/>
  <c r="O641" i="25" s="1"/>
  <c r="O642" i="25" s="1"/>
  <c r="O643" i="25" s="1"/>
  <c r="O644" i="25" s="1"/>
  <c r="O645" i="25" s="1"/>
  <c r="O646" i="25" s="1"/>
  <c r="O647" i="25" s="1"/>
  <c r="O648" i="25" s="1"/>
  <c r="O649" i="25" s="1"/>
  <c r="O650" i="25" s="1"/>
  <c r="O651" i="25" s="1"/>
  <c r="O652" i="25" s="1"/>
  <c r="O653" i="25" s="1"/>
  <c r="O654" i="25" s="1"/>
  <c r="O655" i="25" s="1"/>
  <c r="O656" i="25" s="1"/>
  <c r="O657" i="25" s="1"/>
  <c r="O658" i="25" s="1"/>
  <c r="O659" i="25" s="1"/>
  <c r="O660" i="25" s="1"/>
  <c r="O661" i="25" s="1"/>
  <c r="O662" i="25" s="1"/>
  <c r="O663" i="25" s="1"/>
  <c r="O664" i="25" s="1"/>
  <c r="O665" i="25" s="1"/>
  <c r="O666" i="25" s="1"/>
  <c r="O667" i="25" s="1"/>
  <c r="O668" i="25" s="1"/>
  <c r="O669" i="25" s="1"/>
  <c r="O670" i="25" s="1"/>
  <c r="O671" i="25" s="1"/>
  <c r="O672" i="25" s="1"/>
  <c r="O673" i="25" s="1"/>
  <c r="O674" i="25" s="1"/>
  <c r="O675" i="25" s="1"/>
  <c r="O676" i="25" s="1"/>
  <c r="O677" i="25" s="1"/>
  <c r="O678" i="25" s="1"/>
  <c r="O679" i="25" s="1"/>
  <c r="O680" i="25" s="1"/>
  <c r="O681" i="25" s="1"/>
  <c r="O682" i="25" s="1"/>
  <c r="O683" i="25" s="1"/>
  <c r="O684" i="25" s="1"/>
  <c r="O685" i="25" s="1"/>
  <c r="O686" i="25" s="1"/>
  <c r="O687" i="25" s="1"/>
  <c r="O688" i="25" s="1"/>
  <c r="O689" i="25" s="1"/>
  <c r="O690" i="25" s="1"/>
  <c r="O691" i="25" s="1"/>
  <c r="O692" i="25" s="1"/>
  <c r="O693" i="25" s="1"/>
  <c r="O694" i="25" s="1"/>
  <c r="O695" i="25" s="1"/>
  <c r="O696" i="25" s="1"/>
  <c r="O697" i="25" s="1"/>
  <c r="O698" i="25" s="1"/>
  <c r="O699" i="25" s="1"/>
  <c r="O700" i="25" s="1"/>
  <c r="O701" i="25" s="1"/>
  <c r="O702" i="25" s="1"/>
  <c r="O703" i="25" s="1"/>
  <c r="O704" i="25" s="1"/>
  <c r="O705" i="25" s="1"/>
  <c r="O706" i="25" s="1"/>
  <c r="O707" i="25" s="1"/>
  <c r="O708" i="25" s="1"/>
  <c r="O709" i="25" s="1"/>
  <c r="O710" i="25" s="1"/>
  <c r="O711" i="25" s="1"/>
  <c r="O712" i="25" s="1"/>
  <c r="O713" i="25" s="1"/>
  <c r="O714" i="25" s="1"/>
  <c r="O715" i="25" s="1"/>
  <c r="O716" i="25" s="1"/>
  <c r="O717" i="25" s="1"/>
  <c r="O718" i="25" s="1"/>
  <c r="O719" i="25" s="1"/>
  <c r="O720" i="25" s="1"/>
  <c r="O721" i="25" s="1"/>
  <c r="O722" i="25" s="1"/>
  <c r="O723" i="25" s="1"/>
  <c r="O724" i="25" s="1"/>
  <c r="O725" i="25" s="1"/>
  <c r="O726" i="25" s="1"/>
  <c r="O727" i="25" s="1"/>
  <c r="O728" i="25" s="1"/>
  <c r="O729" i="25" s="1"/>
  <c r="O730" i="25" s="1"/>
  <c r="O731" i="25" s="1"/>
  <c r="O732" i="25" s="1"/>
  <c r="O733" i="25" s="1"/>
  <c r="O734" i="25" s="1"/>
  <c r="O735" i="25" s="1"/>
  <c r="O736" i="25" s="1"/>
  <c r="O737" i="25" s="1"/>
  <c r="O738" i="25" s="1"/>
  <c r="O739" i="25" s="1"/>
  <c r="O740" i="25" s="1"/>
  <c r="O741" i="25" s="1"/>
  <c r="O742" i="25" s="1"/>
  <c r="O743" i="25" s="1"/>
  <c r="O744" i="25" s="1"/>
  <c r="O745" i="25" s="1"/>
  <c r="O746" i="25" s="1"/>
  <c r="O747" i="25" s="1"/>
  <c r="O748" i="25" s="1"/>
  <c r="O749" i="25" s="1"/>
  <c r="O750" i="25" s="1"/>
  <c r="O751" i="25" s="1"/>
  <c r="O752" i="25" s="1"/>
  <c r="O753" i="25" s="1"/>
  <c r="O754" i="25" s="1"/>
  <c r="O755" i="25" s="1"/>
  <c r="O756" i="25" s="1"/>
  <c r="O757" i="25" s="1"/>
  <c r="O758" i="25" s="1"/>
  <c r="O759" i="25" s="1"/>
  <c r="O760" i="25" s="1"/>
  <c r="O761" i="25" s="1"/>
  <c r="O762" i="25" s="1"/>
  <c r="O763" i="25" s="1"/>
  <c r="O764" i="25" s="1"/>
  <c r="O765" i="25" s="1"/>
  <c r="O766" i="25" s="1"/>
  <c r="O767" i="25" s="1"/>
  <c r="O768" i="25" s="1"/>
  <c r="O769" i="25" s="1"/>
  <c r="O770" i="25" s="1"/>
  <c r="O771" i="25" s="1"/>
  <c r="O772" i="25" s="1"/>
  <c r="O773" i="25" s="1"/>
  <c r="O774" i="25" s="1"/>
  <c r="O775" i="25" s="1"/>
  <c r="O776" i="25" s="1"/>
  <c r="O777" i="25" s="1"/>
  <c r="O778" i="25" s="1"/>
  <c r="O779" i="25" s="1"/>
  <c r="O780" i="25" s="1"/>
  <c r="O781" i="25" s="1"/>
  <c r="O782" i="25" s="1"/>
  <c r="O783" i="25" s="1"/>
  <c r="O784" i="25" s="1"/>
  <c r="O785" i="25" s="1"/>
  <c r="O786" i="25" s="1"/>
  <c r="O787" i="25" s="1"/>
  <c r="O788" i="25" s="1"/>
  <c r="O789" i="25" s="1"/>
  <c r="O790" i="25" s="1"/>
  <c r="O791" i="25" s="1"/>
  <c r="O792" i="25" s="1"/>
  <c r="O793" i="25" s="1"/>
  <c r="O794" i="25" s="1"/>
  <c r="O795" i="25" s="1"/>
  <c r="O796" i="25" s="1"/>
  <c r="O797" i="25" s="1"/>
  <c r="O798" i="25" s="1"/>
  <c r="O799" i="25" s="1"/>
  <c r="O800" i="25" s="1"/>
  <c r="O801" i="25" s="1"/>
  <c r="O802" i="25" s="1"/>
  <c r="O803" i="25" s="1"/>
  <c r="O804" i="25" s="1"/>
  <c r="O805" i="25" s="1"/>
  <c r="O806" i="25" s="1"/>
  <c r="O807" i="25" s="1"/>
  <c r="O808" i="25" s="1"/>
  <c r="O809" i="25" s="1"/>
  <c r="O810" i="25" s="1"/>
  <c r="O811" i="25" s="1"/>
  <c r="O812" i="25" s="1"/>
  <c r="O813" i="25" s="1"/>
  <c r="O814" i="25" s="1"/>
  <c r="O815" i="25" s="1"/>
  <c r="O816" i="25" s="1"/>
  <c r="O817" i="25" s="1"/>
  <c r="O818" i="25" s="1"/>
  <c r="O819" i="25" s="1"/>
  <c r="O820" i="25" s="1"/>
  <c r="O821" i="25" s="1"/>
  <c r="O822" i="25" s="1"/>
  <c r="O823" i="25" s="1"/>
  <c r="O824" i="25" s="1"/>
  <c r="O825" i="25" s="1"/>
  <c r="O826" i="25" s="1"/>
  <c r="O827" i="25" s="1"/>
  <c r="O828" i="25" s="1"/>
  <c r="O829" i="25" s="1"/>
  <c r="O830" i="25" s="1"/>
  <c r="O831" i="25" s="1"/>
  <c r="O832" i="25" s="1"/>
  <c r="O833" i="25" s="1"/>
  <c r="O834" i="25" s="1"/>
  <c r="O835" i="25" s="1"/>
  <c r="O836" i="25" s="1"/>
  <c r="O837" i="25" s="1"/>
  <c r="O838" i="25" s="1"/>
  <c r="O839" i="25" s="1"/>
  <c r="O840" i="25" s="1"/>
  <c r="O841" i="25" s="1"/>
  <c r="O842" i="25" s="1"/>
  <c r="O843" i="25" s="1"/>
  <c r="O844" i="25" s="1"/>
  <c r="O845" i="25" s="1"/>
  <c r="O846" i="25" s="1"/>
  <c r="O847" i="25" s="1"/>
  <c r="O848" i="25" s="1"/>
  <c r="O849" i="25" s="1"/>
  <c r="O850" i="25" s="1"/>
  <c r="O851" i="25" s="1"/>
  <c r="O852" i="25" s="1"/>
  <c r="O853" i="25" s="1"/>
  <c r="O854" i="25" s="1"/>
  <c r="O855" i="25" s="1"/>
  <c r="O856" i="25" s="1"/>
  <c r="O857" i="25" s="1"/>
  <c r="O858" i="25" s="1"/>
  <c r="O859" i="25" s="1"/>
  <c r="O860" i="25" s="1"/>
  <c r="O861" i="25" s="1"/>
  <c r="O862" i="25" s="1"/>
  <c r="O863" i="25" s="1"/>
  <c r="O864" i="25" s="1"/>
  <c r="O865" i="25" s="1"/>
  <c r="O866" i="25" s="1"/>
  <c r="O867" i="25" s="1"/>
  <c r="O868" i="25" s="1"/>
  <c r="O869" i="25" s="1"/>
  <c r="O870" i="25" s="1"/>
  <c r="O871" i="25" s="1"/>
  <c r="O872" i="25" s="1"/>
  <c r="O873" i="25" s="1"/>
  <c r="O874" i="25" s="1"/>
  <c r="O875" i="25" s="1"/>
  <c r="O876" i="25" s="1"/>
  <c r="O877" i="25" s="1"/>
  <c r="O878" i="25" s="1"/>
  <c r="O879" i="25" s="1"/>
  <c r="O880" i="25" s="1"/>
  <c r="O881" i="25" s="1"/>
  <c r="O882" i="25" s="1"/>
  <c r="O883" i="25" s="1"/>
  <c r="O884" i="25" s="1"/>
  <c r="O885" i="25" s="1"/>
  <c r="O886" i="25" s="1"/>
  <c r="O887" i="25" s="1"/>
  <c r="O888" i="25" s="1"/>
  <c r="O889" i="25" s="1"/>
  <c r="O890" i="25" s="1"/>
  <c r="O891" i="25" s="1"/>
  <c r="O892" i="25" s="1"/>
  <c r="O893" i="25" s="1"/>
  <c r="O894" i="25" s="1"/>
  <c r="O895" i="25" s="1"/>
  <c r="O896" i="25" s="1"/>
  <c r="O897" i="25" s="1"/>
  <c r="O898" i="25" s="1"/>
  <c r="O899" i="25" s="1"/>
  <c r="O900" i="25" s="1"/>
  <c r="O901" i="25" s="1"/>
  <c r="O902" i="25" s="1"/>
  <c r="O903" i="25" s="1"/>
  <c r="O904" i="25" s="1"/>
  <c r="O905" i="25" s="1"/>
  <c r="O906" i="25" s="1"/>
  <c r="O907" i="25" s="1"/>
  <c r="O908" i="25" s="1"/>
  <c r="O909" i="25" s="1"/>
  <c r="O910" i="25" s="1"/>
  <c r="O911" i="25" s="1"/>
  <c r="O912" i="25" s="1"/>
  <c r="O913" i="25" s="1"/>
  <c r="O914" i="25" s="1"/>
  <c r="O915" i="25" s="1"/>
  <c r="O916" i="25" s="1"/>
  <c r="O917" i="25" s="1"/>
  <c r="O918" i="25" s="1"/>
  <c r="O919" i="25" s="1"/>
  <c r="O920" i="25" s="1"/>
  <c r="O921" i="25" s="1"/>
  <c r="O922" i="25" s="1"/>
  <c r="O923" i="25" s="1"/>
  <c r="O924" i="25" s="1"/>
  <c r="O925" i="25" s="1"/>
  <c r="O926" i="25" s="1"/>
  <c r="O927" i="25" s="1"/>
  <c r="O928" i="25" s="1"/>
  <c r="O929" i="25" s="1"/>
  <c r="O930" i="25" s="1"/>
  <c r="O931" i="25" s="1"/>
  <c r="O932" i="25" s="1"/>
  <c r="O933" i="25" s="1"/>
  <c r="O934" i="25" s="1"/>
  <c r="O935" i="25" s="1"/>
  <c r="O936" i="25" s="1"/>
  <c r="O937" i="25" s="1"/>
  <c r="O938" i="25" s="1"/>
  <c r="O939" i="25" s="1"/>
  <c r="O940" i="25" s="1"/>
  <c r="O941" i="25" s="1"/>
  <c r="O942" i="25" s="1"/>
  <c r="O943" i="25" s="1"/>
  <c r="O944" i="25" s="1"/>
  <c r="O945" i="25" s="1"/>
  <c r="O946" i="25" s="1"/>
  <c r="O947" i="25" s="1"/>
  <c r="O948" i="25" s="1"/>
  <c r="O949" i="25" s="1"/>
  <c r="O950" i="25" s="1"/>
  <c r="O951" i="25" s="1"/>
  <c r="O952" i="25" s="1"/>
  <c r="O953" i="25" s="1"/>
  <c r="O954" i="25" s="1"/>
  <c r="O955" i="25" s="1"/>
  <c r="O956" i="25" s="1"/>
  <c r="O957" i="25" s="1"/>
  <c r="O958" i="25" s="1"/>
  <c r="O959" i="25" s="1"/>
  <c r="O960" i="25" s="1"/>
  <c r="O961" i="25" s="1"/>
  <c r="O962" i="25" s="1"/>
  <c r="O963" i="25" s="1"/>
  <c r="O964" i="25" s="1"/>
  <c r="O965" i="25" s="1"/>
  <c r="O966" i="25" s="1"/>
  <c r="O967" i="25" s="1"/>
  <c r="O968" i="25" s="1"/>
  <c r="O969" i="25" s="1"/>
  <c r="O970" i="25" s="1"/>
  <c r="O971" i="25" s="1"/>
  <c r="O972" i="25" s="1"/>
  <c r="O973" i="25" s="1"/>
  <c r="O974" i="25" s="1"/>
  <c r="O975" i="25" s="1"/>
  <c r="O976" i="25" s="1"/>
  <c r="O977" i="25" s="1"/>
  <c r="O978" i="25" s="1"/>
  <c r="O979" i="25" s="1"/>
  <c r="O980" i="25" s="1"/>
  <c r="O981" i="25" s="1"/>
  <c r="O982" i="25" s="1"/>
  <c r="O983" i="25" s="1"/>
  <c r="O984" i="25" s="1"/>
  <c r="O985" i="25" s="1"/>
  <c r="O986" i="25" s="1"/>
  <c r="O987" i="25" s="1"/>
  <c r="O988" i="25" s="1"/>
  <c r="O989" i="25" s="1"/>
  <c r="O990" i="25" s="1"/>
  <c r="O991" i="25" s="1"/>
  <c r="O992" i="25" s="1"/>
  <c r="O993" i="25" s="1"/>
  <c r="O994" i="25" s="1"/>
  <c r="O995" i="25" s="1"/>
  <c r="O996" i="25" s="1"/>
  <c r="O997" i="25" s="1"/>
  <c r="O998" i="25" s="1"/>
  <c r="O999" i="25" s="1"/>
  <c r="O1000" i="25" s="1"/>
  <c r="O1001" i="25" s="1"/>
  <c r="O1002" i="25" s="1"/>
  <c r="O1003" i="25" s="1"/>
  <c r="O1004" i="25" s="1"/>
  <c r="O1005" i="25" s="1"/>
  <c r="O1006" i="25" s="1"/>
  <c r="O1007" i="25" s="1"/>
  <c r="O1008" i="25" s="1"/>
  <c r="O1009" i="25" s="1"/>
  <c r="O1010" i="25" s="1"/>
  <c r="O1011" i="25" s="1"/>
  <c r="O1012" i="25" s="1"/>
  <c r="O1013" i="25" s="1"/>
  <c r="O1014" i="25" s="1"/>
  <c r="O1015" i="25" s="1"/>
  <c r="O1016" i="25" s="1"/>
  <c r="O1017" i="25" s="1"/>
  <c r="O1018" i="25" s="1"/>
  <c r="O1019" i="25" s="1"/>
  <c r="O1020" i="25" s="1"/>
  <c r="O1021" i="25" s="1"/>
  <c r="O1022" i="25" s="1"/>
  <c r="O1023" i="25" s="1"/>
  <c r="O1024" i="25" s="1"/>
  <c r="O1025" i="25" s="1"/>
  <c r="O1026" i="25" s="1"/>
  <c r="O1027" i="25" s="1"/>
  <c r="O1028" i="25" s="1"/>
  <c r="O1029" i="25" s="1"/>
  <c r="O1030" i="25" s="1"/>
  <c r="O1031" i="25" s="1"/>
  <c r="O1032" i="25" s="1"/>
  <c r="O1033" i="25" s="1"/>
  <c r="O1034" i="25" s="1"/>
  <c r="O1035" i="25" s="1"/>
  <c r="O1036" i="25" s="1"/>
  <c r="O1037" i="25" s="1"/>
  <c r="O1038" i="25" s="1"/>
  <c r="O1039" i="25" s="1"/>
  <c r="O1040" i="25" s="1"/>
  <c r="O1041" i="25" s="1"/>
  <c r="O1042" i="25" s="1"/>
  <c r="O1043" i="25" s="1"/>
  <c r="O1044" i="25" s="1"/>
  <c r="O1045" i="25" s="1"/>
  <c r="O1046" i="25" s="1"/>
  <c r="O1047" i="25" s="1"/>
  <c r="O1048" i="25" s="1"/>
  <c r="O1049" i="25" s="1"/>
  <c r="O1050" i="25" s="1"/>
  <c r="O1051" i="25" s="1"/>
  <c r="O1052" i="25" s="1"/>
  <c r="O1053" i="25" s="1"/>
  <c r="O1054" i="25" s="1"/>
  <c r="O1055" i="25" s="1"/>
  <c r="O1056" i="25" s="1"/>
  <c r="O1057" i="25" s="1"/>
  <c r="O1058" i="25" s="1"/>
  <c r="O1059" i="25" s="1"/>
  <c r="O1060" i="25" s="1"/>
  <c r="O1061" i="25" s="1"/>
  <c r="O1062" i="25" s="1"/>
  <c r="O1063" i="25" s="1"/>
  <c r="O1064" i="25" s="1"/>
  <c r="O1065" i="25" s="1"/>
  <c r="O1066" i="25" s="1"/>
  <c r="O1067" i="25" s="1"/>
  <c r="O1068" i="25" s="1"/>
  <c r="O1069" i="25" s="1"/>
  <c r="O1070" i="25" s="1"/>
  <c r="O1071" i="25" s="1"/>
  <c r="O1072" i="25" s="1"/>
  <c r="O1073" i="25" s="1"/>
  <c r="O1074" i="25" s="1"/>
  <c r="O1075" i="25" s="1"/>
  <c r="O1076" i="25" s="1"/>
  <c r="O1077" i="25" s="1"/>
  <c r="O1078" i="25" s="1"/>
  <c r="O1079" i="25" s="1"/>
  <c r="O1080" i="25" s="1"/>
  <c r="O1081" i="25" s="1"/>
  <c r="O1082" i="25" s="1"/>
  <c r="O1083" i="25" s="1"/>
  <c r="O1084" i="25" s="1"/>
  <c r="O1085" i="25" s="1"/>
  <c r="O1086" i="25" s="1"/>
  <c r="O1087" i="25" s="1"/>
  <c r="O1088" i="25" s="1"/>
  <c r="O1089" i="25" s="1"/>
  <c r="O1090" i="25" s="1"/>
  <c r="O1091" i="25" s="1"/>
  <c r="O1092" i="25" s="1"/>
  <c r="O1093" i="25" s="1"/>
  <c r="O1094" i="25" s="1"/>
  <c r="O1095" i="25" s="1"/>
  <c r="O1096" i="25" s="1"/>
  <c r="O1097" i="25" s="1"/>
  <c r="O1098" i="25" s="1"/>
  <c r="O1099" i="25" s="1"/>
  <c r="O1100" i="25" s="1"/>
  <c r="O1101" i="25" s="1"/>
  <c r="O1102" i="25" s="1"/>
  <c r="O1103" i="25" s="1"/>
  <c r="O1104" i="25" s="1"/>
  <c r="O1105" i="25" s="1"/>
  <c r="O1106" i="25" s="1"/>
  <c r="O1107" i="25" s="1"/>
  <c r="O1108" i="25" s="1"/>
  <c r="O1109" i="25" s="1"/>
  <c r="O1110" i="25" s="1"/>
  <c r="O1111" i="25" s="1"/>
  <c r="O1112" i="25" s="1"/>
  <c r="O1113" i="25" s="1"/>
  <c r="O1114" i="25" s="1"/>
  <c r="O1115" i="25" s="1"/>
  <c r="O1116" i="25" s="1"/>
  <c r="O1117" i="25" s="1"/>
  <c r="O1118" i="25" s="1"/>
  <c r="O1119" i="25" s="1"/>
  <c r="O1120" i="25" s="1"/>
  <c r="O1121" i="25" s="1"/>
  <c r="O1122" i="25" s="1"/>
  <c r="O1123" i="25" s="1"/>
  <c r="O1124" i="25" s="1"/>
  <c r="O1125" i="25" s="1"/>
  <c r="O1126" i="25" s="1"/>
  <c r="O1127" i="25" s="1"/>
  <c r="O1128" i="25" s="1"/>
  <c r="O1129" i="25" s="1"/>
  <c r="O1130" i="25" s="1"/>
  <c r="O1131" i="25" s="1"/>
  <c r="O1132" i="25" s="1"/>
  <c r="O1133" i="25" s="1"/>
  <c r="O1134" i="25" s="1"/>
  <c r="O1135" i="25" s="1"/>
  <c r="O1136" i="25" s="1"/>
  <c r="O1137" i="25" s="1"/>
  <c r="O1138" i="25" s="1"/>
  <c r="O1139" i="25" s="1"/>
  <c r="O1140" i="25" s="1"/>
  <c r="O1141" i="25" s="1"/>
  <c r="O1142" i="25" s="1"/>
  <c r="O1143" i="25" s="1"/>
  <c r="O1144" i="25" s="1"/>
  <c r="O1145" i="25" s="1"/>
  <c r="O1146" i="25" s="1"/>
  <c r="O1147" i="25" s="1"/>
  <c r="O1148" i="25" s="1"/>
  <c r="O1149" i="25" s="1"/>
  <c r="O1150" i="25" s="1"/>
  <c r="O1151" i="25" s="1"/>
  <c r="O1152" i="25" s="1"/>
  <c r="O1153" i="25" s="1"/>
  <c r="O1154" i="25" s="1"/>
  <c r="O1155" i="25" s="1"/>
  <c r="O1156" i="25" s="1"/>
  <c r="O1157" i="25" s="1"/>
  <c r="O1158" i="25" s="1"/>
  <c r="O1159" i="25" s="1"/>
  <c r="O1160" i="25" s="1"/>
  <c r="O1161" i="25" s="1"/>
  <c r="O1162" i="25" s="1"/>
  <c r="O1163" i="25" s="1"/>
  <c r="O1164" i="25" s="1"/>
  <c r="O1165" i="25" s="1"/>
  <c r="O1166" i="25" s="1"/>
  <c r="O1167" i="25" s="1"/>
  <c r="O1168" i="25" s="1"/>
  <c r="O1169" i="25" s="1"/>
  <c r="O1170" i="25" s="1"/>
  <c r="O1171" i="25" s="1"/>
  <c r="O1172" i="25" s="1"/>
  <c r="O1173" i="25" s="1"/>
  <c r="O1174" i="25" s="1"/>
  <c r="O1175" i="25" s="1"/>
  <c r="O1176" i="25" s="1"/>
  <c r="O1177" i="25" s="1"/>
  <c r="O1178" i="25" s="1"/>
  <c r="O1179" i="25" s="1"/>
  <c r="O1180" i="25" s="1"/>
  <c r="O1181" i="25" s="1"/>
  <c r="O1182" i="25" s="1"/>
  <c r="O1183" i="25" s="1"/>
  <c r="O1184" i="25" s="1"/>
  <c r="O1185" i="25" s="1"/>
  <c r="O1186" i="25" s="1"/>
  <c r="O1187" i="25" s="1"/>
  <c r="O1188" i="25" s="1"/>
  <c r="O1189" i="25" s="1"/>
  <c r="O1190" i="25" s="1"/>
  <c r="O1191" i="25" s="1"/>
  <c r="O1192" i="25" s="1"/>
  <c r="O1193" i="25" s="1"/>
  <c r="O1194" i="25" s="1"/>
  <c r="O1195" i="25" s="1"/>
  <c r="O1196" i="25" s="1"/>
  <c r="O1197" i="25" s="1"/>
  <c r="O1198" i="25" s="1"/>
  <c r="O1199" i="25" s="1"/>
  <c r="O1200" i="25" s="1"/>
  <c r="O1201" i="25" s="1"/>
  <c r="O1202" i="25" s="1"/>
  <c r="O1203" i="25" s="1"/>
  <c r="O1204" i="25" s="1"/>
  <c r="O1205" i="25" s="1"/>
  <c r="O1206" i="25" s="1"/>
  <c r="O1207" i="25" s="1"/>
  <c r="O1208" i="25" s="1"/>
  <c r="O1209" i="25" s="1"/>
  <c r="O1210" i="25" s="1"/>
  <c r="O1211" i="25" s="1"/>
  <c r="O1212" i="25" s="1"/>
  <c r="O1213" i="25" s="1"/>
  <c r="O1214" i="25" s="1"/>
  <c r="O1215" i="25" s="1"/>
  <c r="O1216" i="25" s="1"/>
  <c r="O1217" i="25" s="1"/>
  <c r="O1218" i="25" s="1"/>
  <c r="O1219" i="25" s="1"/>
  <c r="O1220" i="25" s="1"/>
  <c r="O1221" i="25" s="1"/>
  <c r="O1222" i="25" s="1"/>
  <c r="O1223" i="25" s="1"/>
  <c r="O1224" i="25" s="1"/>
  <c r="O1225" i="25" s="1"/>
  <c r="O1226" i="25" s="1"/>
  <c r="O1227" i="25" s="1"/>
  <c r="O1228" i="25" s="1"/>
  <c r="O1229" i="25" s="1"/>
  <c r="O1230" i="25" s="1"/>
  <c r="O1231" i="25" s="1"/>
  <c r="O1232" i="25" s="1"/>
  <c r="O1233" i="25" s="1"/>
  <c r="O1234" i="25" s="1"/>
  <c r="O1235" i="25" s="1"/>
  <c r="O1236" i="25" s="1"/>
  <c r="O1237" i="25" s="1"/>
  <c r="O1238" i="25" s="1"/>
  <c r="O1239" i="25" s="1"/>
  <c r="O1240" i="25" s="1"/>
  <c r="O1241" i="25" s="1"/>
  <c r="O1242" i="25" s="1"/>
  <c r="O1243" i="25" s="1"/>
  <c r="O1244" i="25" s="1"/>
  <c r="O1245" i="25" s="1"/>
  <c r="O1246" i="25" s="1"/>
  <c r="O1247" i="25" s="1"/>
  <c r="O1248" i="25" s="1"/>
  <c r="O1249" i="25" s="1"/>
  <c r="O1250" i="25" s="1"/>
  <c r="O1251" i="25" s="1"/>
  <c r="O1252" i="25" s="1"/>
  <c r="O1253" i="25" s="1"/>
  <c r="O1254" i="25" s="1"/>
  <c r="O1255" i="25" s="1"/>
  <c r="O1256" i="25" s="1"/>
  <c r="O1257" i="25" s="1"/>
  <c r="O1258" i="25" s="1"/>
  <c r="O1259" i="25" s="1"/>
  <c r="O1260" i="25" s="1"/>
  <c r="O1261" i="25" s="1"/>
  <c r="O1262" i="25" s="1"/>
  <c r="O1263" i="25" s="1"/>
  <c r="O1264" i="25" s="1"/>
  <c r="O1265" i="25" s="1"/>
  <c r="O1266" i="25" s="1"/>
  <c r="O1267" i="25" s="1"/>
  <c r="O1268" i="25" s="1"/>
  <c r="O1269" i="25" s="1"/>
  <c r="O1270" i="25" s="1"/>
  <c r="O1271" i="25" s="1"/>
  <c r="O1272" i="25" s="1"/>
  <c r="O1273" i="25" s="1"/>
  <c r="O1274" i="25" s="1"/>
  <c r="O1275" i="25" s="1"/>
  <c r="O1276" i="25" s="1"/>
  <c r="O1277" i="25" s="1"/>
  <c r="O1278" i="25" s="1"/>
  <c r="O1279" i="25" s="1"/>
  <c r="O1280" i="25" s="1"/>
  <c r="O1281" i="25" s="1"/>
  <c r="O1282" i="25" s="1"/>
  <c r="O1283" i="25" s="1"/>
  <c r="O1284" i="25" s="1"/>
  <c r="O1285" i="25" s="1"/>
  <c r="O1286" i="25" s="1"/>
  <c r="O1287" i="25" s="1"/>
  <c r="O1288" i="25" s="1"/>
  <c r="O1289" i="25" s="1"/>
  <c r="O1290" i="25" s="1"/>
  <c r="O1291" i="25" s="1"/>
  <c r="O1292" i="25" s="1"/>
  <c r="O1293" i="25" s="1"/>
  <c r="O1294" i="25" s="1"/>
  <c r="O1295" i="25" s="1"/>
  <c r="O1296" i="25" s="1"/>
  <c r="O1297" i="25" s="1"/>
  <c r="O1298" i="25" s="1"/>
  <c r="O1299" i="25" s="1"/>
  <c r="O1300" i="25" s="1"/>
  <c r="O1301" i="25" s="1"/>
  <c r="O1302" i="25" s="1"/>
  <c r="O1303" i="25" s="1"/>
  <c r="O1304" i="25" s="1"/>
  <c r="O1305" i="25" s="1"/>
  <c r="O1306" i="25" s="1"/>
  <c r="O1307" i="25" s="1"/>
  <c r="O1308" i="25" s="1"/>
  <c r="O1309" i="25" s="1"/>
  <c r="O1310" i="25" s="1"/>
  <c r="O1311" i="25" s="1"/>
  <c r="O1312" i="25" s="1"/>
  <c r="O1313" i="25" s="1"/>
  <c r="O1314" i="25" s="1"/>
  <c r="O1315" i="25" s="1"/>
  <c r="O1316" i="25" s="1"/>
  <c r="O1317" i="25" s="1"/>
  <c r="O1318" i="25" s="1"/>
  <c r="O1319" i="25" s="1"/>
  <c r="O1320" i="25" s="1"/>
  <c r="O1321" i="25" s="1"/>
  <c r="O1322" i="25" s="1"/>
  <c r="O1323" i="25" s="1"/>
  <c r="O1324" i="25" s="1"/>
  <c r="O1325" i="25" s="1"/>
  <c r="O1326" i="25" s="1"/>
  <c r="O1327" i="25" s="1"/>
  <c r="O1328" i="25" s="1"/>
  <c r="O1329" i="25" s="1"/>
  <c r="O1330" i="25" s="1"/>
  <c r="O1331" i="25" s="1"/>
  <c r="O1332" i="25" s="1"/>
  <c r="O1333" i="25" s="1"/>
  <c r="O1334" i="25" s="1"/>
  <c r="O1335" i="25" s="1"/>
  <c r="O1336" i="25" s="1"/>
  <c r="O1337" i="25" s="1"/>
  <c r="O1338" i="25" s="1"/>
  <c r="O1339" i="25" s="1"/>
  <c r="O1340" i="25" s="1"/>
  <c r="O1341" i="25" s="1"/>
  <c r="O1342" i="25" s="1"/>
  <c r="O1343" i="25" s="1"/>
  <c r="O1344" i="25" s="1"/>
  <c r="O1345" i="25" s="1"/>
  <c r="O1346" i="25" s="1"/>
  <c r="O1347" i="25" s="1"/>
  <c r="O1348" i="25" s="1"/>
  <c r="O1349" i="25" s="1"/>
  <c r="O1350" i="25" s="1"/>
  <c r="O1351" i="25" s="1"/>
  <c r="O1352" i="25" s="1"/>
  <c r="O1353" i="25" s="1"/>
  <c r="O1354" i="25" s="1"/>
  <c r="O1355" i="25" s="1"/>
  <c r="O1356" i="25" s="1"/>
  <c r="O1357" i="25" s="1"/>
  <c r="O1358" i="25" s="1"/>
  <c r="O1359" i="25" s="1"/>
  <c r="O1360" i="25" s="1"/>
  <c r="O1361" i="25" s="1"/>
  <c r="O1362" i="25" s="1"/>
  <c r="O1363" i="25" s="1"/>
  <c r="O1364" i="25" s="1"/>
  <c r="O1365" i="25" s="1"/>
  <c r="O1366" i="25" s="1"/>
  <c r="O1367" i="25" s="1"/>
  <c r="O1368" i="25" s="1"/>
  <c r="O1369" i="25" s="1"/>
  <c r="O1370" i="25" s="1"/>
  <c r="O1371" i="25" s="1"/>
  <c r="O1372" i="25" s="1"/>
  <c r="O1373" i="25" s="1"/>
  <c r="O1374" i="25" s="1"/>
  <c r="O1375" i="25" s="1"/>
  <c r="O1376" i="25" s="1"/>
  <c r="O1377" i="25" s="1"/>
  <c r="O1378" i="25" s="1"/>
  <c r="O1379" i="25" s="1"/>
  <c r="O1380" i="25" s="1"/>
  <c r="O1381" i="25" s="1"/>
  <c r="O1382" i="25" s="1"/>
  <c r="O1383" i="25" s="1"/>
  <c r="O1384" i="25" s="1"/>
  <c r="O1385" i="25" s="1"/>
  <c r="O1386" i="25" s="1"/>
  <c r="O1387" i="25" s="1"/>
  <c r="O1388" i="25" s="1"/>
  <c r="O1389" i="25" s="1"/>
  <c r="O1390" i="25" s="1"/>
  <c r="O1391" i="25" s="1"/>
  <c r="O1392" i="25" s="1"/>
  <c r="O1393" i="25" s="1"/>
  <c r="O1394" i="25" s="1"/>
  <c r="O1395" i="25" s="1"/>
  <c r="O1396" i="25" s="1"/>
  <c r="O1397" i="25" s="1"/>
  <c r="O1398" i="25" s="1"/>
  <c r="O1399" i="25" s="1"/>
  <c r="O1400" i="25" s="1"/>
  <c r="O1401" i="25" s="1"/>
  <c r="O1402" i="25" s="1"/>
  <c r="O1403" i="25" s="1"/>
  <c r="O1404" i="25" s="1"/>
  <c r="O1405" i="25" s="1"/>
  <c r="O1406" i="25" s="1"/>
  <c r="O1407" i="25" s="1"/>
  <c r="O1408" i="25" s="1"/>
  <c r="O1409" i="25" s="1"/>
  <c r="O1410" i="25" s="1"/>
  <c r="O1411" i="25" s="1"/>
  <c r="O1412" i="25" s="1"/>
  <c r="O1413" i="25" s="1"/>
  <c r="O1414" i="25" s="1"/>
  <c r="O1415" i="25" s="1"/>
  <c r="O1416" i="25" s="1"/>
  <c r="O1417" i="25" s="1"/>
  <c r="O1418" i="25" s="1"/>
  <c r="O1419" i="25" s="1"/>
  <c r="O1420" i="25" s="1"/>
  <c r="O1421" i="25" s="1"/>
  <c r="O1422" i="25" s="1"/>
  <c r="O1423" i="25" s="1"/>
  <c r="O1424" i="25" s="1"/>
  <c r="O1425" i="25" s="1"/>
  <c r="O1426" i="25" s="1"/>
  <c r="O1427" i="25" s="1"/>
  <c r="O1428" i="25" s="1"/>
  <c r="O1429" i="25" s="1"/>
  <c r="O1430" i="25" s="1"/>
  <c r="O1431" i="25" s="1"/>
  <c r="O1432" i="25" s="1"/>
  <c r="O1433" i="25" s="1"/>
  <c r="O1434" i="25" s="1"/>
  <c r="O1435" i="25" s="1"/>
  <c r="O1436" i="25" s="1"/>
  <c r="O1437" i="25" s="1"/>
  <c r="O1438" i="25" s="1"/>
  <c r="O1439" i="25" s="1"/>
  <c r="O1440" i="25" s="1"/>
  <c r="O1441" i="25" s="1"/>
  <c r="O1442" i="25" s="1"/>
  <c r="O1443" i="25" s="1"/>
  <c r="O1444" i="25" s="1"/>
  <c r="O1445" i="25" s="1"/>
  <c r="O1446" i="25" s="1"/>
  <c r="O1447" i="25" s="1"/>
  <c r="O1448" i="25" s="1"/>
  <c r="O1449" i="25" s="1"/>
  <c r="O1450" i="25" s="1"/>
  <c r="O1451" i="25" s="1"/>
  <c r="O1452" i="25" s="1"/>
  <c r="O1453" i="25" s="1"/>
  <c r="O1454" i="25" s="1"/>
  <c r="O1455" i="25" s="1"/>
  <c r="O1456" i="25" s="1"/>
  <c r="O1457" i="25" s="1"/>
  <c r="O1458" i="25" s="1"/>
  <c r="O1459" i="25" s="1"/>
  <c r="O1460" i="25" s="1"/>
  <c r="O1461" i="25" s="1"/>
  <c r="O1462" i="25" s="1"/>
  <c r="O1463" i="25" s="1"/>
  <c r="O1464" i="25" s="1"/>
  <c r="O1465" i="25" s="1"/>
  <c r="O1466" i="25" s="1"/>
  <c r="O1467" i="25" s="1"/>
  <c r="O1468" i="25" s="1"/>
  <c r="O1469" i="25" s="1"/>
  <c r="O1470" i="25" s="1"/>
  <c r="O1471" i="25" s="1"/>
  <c r="O1472" i="25" s="1"/>
  <c r="O1473" i="25" s="1"/>
  <c r="O1474" i="25" s="1"/>
  <c r="O1475" i="25" s="1"/>
  <c r="O1476" i="25" s="1"/>
  <c r="O1477" i="25" s="1"/>
  <c r="O1478" i="25" s="1"/>
  <c r="O1479" i="25" s="1"/>
  <c r="O1480" i="25" s="1"/>
  <c r="O1481" i="25" s="1"/>
  <c r="O1482" i="25" s="1"/>
  <c r="O1483" i="25" s="1"/>
  <c r="O1484" i="25" s="1"/>
  <c r="O1485" i="25" s="1"/>
  <c r="O1486" i="25" s="1"/>
  <c r="O1487" i="25" s="1"/>
  <c r="O1488" i="25" s="1"/>
  <c r="O1489" i="25" s="1"/>
  <c r="O1490" i="25" s="1"/>
  <c r="O1491" i="25" s="1"/>
  <c r="O1492" i="25" s="1"/>
  <c r="O1493" i="25" s="1"/>
  <c r="O1494" i="25" s="1"/>
  <c r="O1495" i="25" s="1"/>
  <c r="O1496" i="25" s="1"/>
  <c r="O1497" i="25" s="1"/>
  <c r="O1498" i="25" s="1"/>
  <c r="O1499" i="25" s="1"/>
  <c r="O1500" i="25" s="1"/>
  <c r="O1501" i="25" s="1"/>
  <c r="O1502" i="25" s="1"/>
  <c r="O1503" i="25" s="1"/>
  <c r="O1504" i="25" s="1"/>
  <c r="O1505" i="25" s="1"/>
  <c r="O1506" i="25" s="1"/>
  <c r="O1507" i="25" s="1"/>
  <c r="O1508" i="25" s="1"/>
  <c r="O1509" i="25" s="1"/>
  <c r="O1510" i="25" s="1"/>
  <c r="O1511" i="25" s="1"/>
  <c r="O1512" i="25" s="1"/>
  <c r="O1513" i="25" s="1"/>
  <c r="O1514" i="25" s="1"/>
  <c r="O1515" i="25" s="1"/>
  <c r="O1516" i="25" s="1"/>
  <c r="O1517" i="25" s="1"/>
  <c r="O1518" i="25" s="1"/>
  <c r="O1519" i="25" s="1"/>
  <c r="O1520" i="25" s="1"/>
  <c r="O1521" i="25" s="1"/>
  <c r="O1522" i="25" s="1"/>
  <c r="O1523" i="25" s="1"/>
  <c r="O1524" i="25" s="1"/>
  <c r="O1525" i="25" s="1"/>
  <c r="O1526" i="25" s="1"/>
  <c r="O1527" i="25" s="1"/>
  <c r="O1528" i="25" s="1"/>
  <c r="O1529" i="25" s="1"/>
  <c r="O1530" i="25" s="1"/>
  <c r="O1531" i="25" s="1"/>
  <c r="O1532" i="25" s="1"/>
  <c r="O1533" i="25" s="1"/>
  <c r="O1534" i="25" s="1"/>
  <c r="O1535" i="25" s="1"/>
  <c r="O1536" i="25" s="1"/>
  <c r="O1537" i="25" s="1"/>
  <c r="O1538" i="25" s="1"/>
  <c r="O1539" i="25" s="1"/>
  <c r="O1540" i="25" s="1"/>
  <c r="O1541" i="25" s="1"/>
  <c r="O1542" i="25" s="1"/>
  <c r="O1543" i="25" s="1"/>
  <c r="O1544" i="25" s="1"/>
  <c r="O1545" i="25" s="1"/>
  <c r="O1546" i="25" s="1"/>
  <c r="O1547" i="25" s="1"/>
  <c r="O1548" i="25" s="1"/>
  <c r="O1549" i="25" s="1"/>
  <c r="O1550" i="25" s="1"/>
  <c r="O1551" i="25" s="1"/>
  <c r="O1552" i="25" s="1"/>
  <c r="O1553" i="25" s="1"/>
  <c r="O1554" i="25" s="1"/>
  <c r="O1555" i="25" s="1"/>
  <c r="O1556" i="25" s="1"/>
  <c r="O1557" i="25" s="1"/>
  <c r="O1558" i="25" s="1"/>
  <c r="O1559" i="25" s="1"/>
  <c r="O1560" i="25" s="1"/>
  <c r="O1561" i="25" s="1"/>
  <c r="O1562" i="25" s="1"/>
  <c r="O1563" i="25" s="1"/>
  <c r="O1564" i="25" s="1"/>
  <c r="O1565" i="25" s="1"/>
  <c r="O1566" i="25" s="1"/>
  <c r="O1567" i="25" s="1"/>
  <c r="O1568" i="25" s="1"/>
  <c r="O1569" i="25" s="1"/>
  <c r="O1570" i="25" s="1"/>
  <c r="O1571" i="25" s="1"/>
  <c r="O1572" i="25" s="1"/>
  <c r="O1573" i="25" s="1"/>
  <c r="O1574" i="25" s="1"/>
  <c r="O1575" i="25" s="1"/>
  <c r="O1576" i="25" s="1"/>
  <c r="O1577" i="25" s="1"/>
  <c r="O1578" i="25" s="1"/>
  <c r="O1579" i="25" s="1"/>
  <c r="O1580" i="25" s="1"/>
  <c r="O1581" i="25" s="1"/>
  <c r="O1582" i="25" s="1"/>
  <c r="O1583" i="25" s="1"/>
  <c r="O1584" i="25" s="1"/>
  <c r="O1585" i="25" s="1"/>
  <c r="O1586" i="25" s="1"/>
  <c r="O1587" i="25" s="1"/>
  <c r="O1588" i="25" s="1"/>
  <c r="O1589" i="25" s="1"/>
  <c r="O1590" i="25" s="1"/>
  <c r="O1591" i="25" s="1"/>
  <c r="O1592" i="25" s="1"/>
  <c r="O1593" i="25" s="1"/>
  <c r="O1594" i="25" s="1"/>
  <c r="O1595" i="25" s="1"/>
  <c r="O1596" i="25" s="1"/>
  <c r="O1597" i="25" s="1"/>
  <c r="O1598" i="25" s="1"/>
  <c r="O1599" i="25" s="1"/>
  <c r="O1600" i="25" s="1"/>
  <c r="O1601" i="25" s="1"/>
  <c r="O1602" i="25" s="1"/>
  <c r="O1603" i="25" s="1"/>
  <c r="O1604" i="25" s="1"/>
  <c r="O1605" i="25" s="1"/>
  <c r="O1606" i="25" s="1"/>
  <c r="O1607" i="25" s="1"/>
  <c r="O1608" i="25" s="1"/>
  <c r="O1609" i="25" s="1"/>
  <c r="O1610" i="25" s="1"/>
  <c r="O1611" i="25" s="1"/>
  <c r="O1612" i="25" s="1"/>
  <c r="O1613" i="25" s="1"/>
  <c r="O1614" i="25" s="1"/>
  <c r="O1615" i="25" s="1"/>
  <c r="O1616" i="25" s="1"/>
  <c r="O1617" i="25" s="1"/>
  <c r="O1618" i="25" s="1"/>
  <c r="O1619" i="25" s="1"/>
  <c r="O1620" i="25" s="1"/>
  <c r="O1621" i="25" s="1"/>
  <c r="O1622" i="25" s="1"/>
  <c r="O1623" i="25" s="1"/>
  <c r="O1624" i="25" s="1"/>
  <c r="O1625" i="25" s="1"/>
  <c r="O1626" i="25" s="1"/>
  <c r="O1627" i="25" s="1"/>
  <c r="O1628" i="25" s="1"/>
  <c r="O1629" i="25" s="1"/>
  <c r="O1630" i="25" s="1"/>
  <c r="O1631" i="25" s="1"/>
  <c r="O1632" i="25" s="1"/>
  <c r="O1633" i="25" s="1"/>
  <c r="O1634" i="25" s="1"/>
  <c r="O1635" i="25" s="1"/>
  <c r="O1636" i="25" s="1"/>
  <c r="O1637" i="25" s="1"/>
  <c r="O1638" i="25" s="1"/>
  <c r="O1639" i="25" s="1"/>
  <c r="O1640" i="25" s="1"/>
  <c r="O1641" i="25" s="1"/>
  <c r="O1642" i="25" s="1"/>
  <c r="O1643" i="25" s="1"/>
  <c r="O1644" i="25" s="1"/>
  <c r="O1645" i="25" s="1"/>
  <c r="O1646" i="25" s="1"/>
  <c r="O1647" i="25" s="1"/>
  <c r="O1648" i="25" s="1"/>
  <c r="O1649" i="25" s="1"/>
  <c r="O1650" i="25" s="1"/>
  <c r="O1651" i="25" s="1"/>
  <c r="O1652" i="25" s="1"/>
  <c r="O1653" i="25" s="1"/>
  <c r="O1654" i="25" s="1"/>
  <c r="O1655" i="25" s="1"/>
  <c r="O1656" i="25" s="1"/>
  <c r="O1657" i="25" s="1"/>
  <c r="O1658" i="25" s="1"/>
  <c r="O1659" i="25" s="1"/>
  <c r="O1660" i="25" s="1"/>
  <c r="O1661" i="25" s="1"/>
  <c r="O1662" i="25" s="1"/>
  <c r="O1663" i="25" s="1"/>
  <c r="O1664" i="25" s="1"/>
  <c r="O1665" i="25" s="1"/>
  <c r="O1666" i="25" s="1"/>
  <c r="O1667" i="25" s="1"/>
  <c r="O1668" i="25" s="1"/>
  <c r="O1669" i="25" s="1"/>
  <c r="O1670" i="25" s="1"/>
  <c r="O1671" i="25" s="1"/>
  <c r="O1672" i="25" s="1"/>
  <c r="O1673" i="25" s="1"/>
  <c r="O1674" i="25" s="1"/>
  <c r="O1675" i="25" s="1"/>
  <c r="O1676" i="25" s="1"/>
  <c r="O1677" i="25" s="1"/>
  <c r="O1678" i="25" s="1"/>
  <c r="O1679" i="25" s="1"/>
  <c r="O1680" i="25" s="1"/>
  <c r="O1681" i="25" s="1"/>
  <c r="O1682" i="25" s="1"/>
  <c r="O1683" i="25" s="1"/>
  <c r="O1684" i="25" s="1"/>
  <c r="O1685" i="25" s="1"/>
  <c r="O1686" i="25" s="1"/>
  <c r="O1687" i="25" s="1"/>
  <c r="O1688" i="25" s="1"/>
  <c r="O1689" i="25" s="1"/>
  <c r="O1690" i="25" s="1"/>
  <c r="O1691" i="25" s="1"/>
  <c r="O1692" i="25" s="1"/>
  <c r="O1693" i="25" s="1"/>
  <c r="O1694" i="25" s="1"/>
  <c r="O1695" i="25" s="1"/>
  <c r="O1696" i="25" s="1"/>
  <c r="O1697" i="25" s="1"/>
  <c r="O1698" i="25" s="1"/>
  <c r="O1699" i="25" s="1"/>
  <c r="O1700" i="25" s="1"/>
  <c r="O1701" i="25" s="1"/>
  <c r="O1702" i="25" s="1"/>
  <c r="O1703" i="25" s="1"/>
  <c r="O1704" i="25" s="1"/>
  <c r="O1705" i="25" s="1"/>
  <c r="O1706" i="25" s="1"/>
  <c r="O1707" i="25" s="1"/>
  <c r="O1708" i="25" s="1"/>
  <c r="O1709" i="25" s="1"/>
  <c r="O1710" i="25" s="1"/>
  <c r="O1711" i="25" s="1"/>
  <c r="O1712" i="25" s="1"/>
  <c r="O1713" i="25" s="1"/>
  <c r="O1714" i="25" s="1"/>
  <c r="O1715" i="25" s="1"/>
  <c r="O1716" i="25" s="1"/>
  <c r="O1717" i="25" s="1"/>
  <c r="O1718" i="25" s="1"/>
  <c r="O1719" i="25" s="1"/>
  <c r="O1720" i="25" s="1"/>
  <c r="O1721" i="25" s="1"/>
  <c r="O1722" i="25" s="1"/>
  <c r="O1723" i="25" s="1"/>
  <c r="O1724" i="25" s="1"/>
  <c r="O1725" i="25" s="1"/>
  <c r="O1726" i="25" s="1"/>
  <c r="O1727" i="25" s="1"/>
  <c r="O1728" i="25" s="1"/>
  <c r="O1729" i="25" s="1"/>
  <c r="O1730" i="25" s="1"/>
  <c r="O1731" i="25" s="1"/>
  <c r="O1732" i="25" s="1"/>
  <c r="O1733" i="25" s="1"/>
  <c r="O1734" i="25" s="1"/>
  <c r="O1735" i="25" s="1"/>
  <c r="O1736" i="25" s="1"/>
  <c r="O1737" i="25" s="1"/>
  <c r="O1738" i="25" s="1"/>
  <c r="O1739" i="25" s="1"/>
  <c r="O1740" i="25" s="1"/>
  <c r="O1741" i="25" s="1"/>
  <c r="O1742" i="25" s="1"/>
  <c r="O1743" i="25" s="1"/>
  <c r="O1744" i="25" s="1"/>
  <c r="O1745" i="25" s="1"/>
  <c r="O1746" i="25" s="1"/>
  <c r="O1747" i="25" s="1"/>
  <c r="O1748" i="25" s="1"/>
  <c r="O1749" i="25" s="1"/>
  <c r="O1750" i="25" s="1"/>
  <c r="O1751" i="25" s="1"/>
  <c r="O1752" i="25" s="1"/>
  <c r="O1753" i="25" s="1"/>
  <c r="O1754" i="25" s="1"/>
  <c r="O1755" i="25" s="1"/>
  <c r="O1756" i="25" s="1"/>
  <c r="O1757" i="25" s="1"/>
  <c r="O1758" i="25" s="1"/>
  <c r="O1759" i="25" s="1"/>
  <c r="O1760" i="25" s="1"/>
  <c r="O1761" i="25" s="1"/>
  <c r="O1762" i="25" s="1"/>
  <c r="O1763" i="25" s="1"/>
  <c r="O1764" i="25" s="1"/>
  <c r="O1765" i="25" s="1"/>
  <c r="O1766" i="25" s="1"/>
  <c r="O1767" i="25" s="1"/>
  <c r="O1768" i="25" s="1"/>
  <c r="O1769" i="25" s="1"/>
  <c r="O1770" i="25" s="1"/>
  <c r="O1771" i="25" s="1"/>
  <c r="O1772" i="25" s="1"/>
  <c r="O1773" i="25" s="1"/>
  <c r="O1774" i="25" s="1"/>
  <c r="O1775" i="25" s="1"/>
  <c r="O1776" i="25" s="1"/>
  <c r="O1777" i="25" s="1"/>
  <c r="O1778" i="25" s="1"/>
  <c r="O1779" i="25" s="1"/>
  <c r="O1780" i="25" s="1"/>
  <c r="O1781" i="25" s="1"/>
  <c r="O1782" i="25" s="1"/>
  <c r="O1783" i="25" s="1"/>
  <c r="O1784" i="25" s="1"/>
  <c r="O1785" i="25" s="1"/>
  <c r="O1786" i="25" s="1"/>
  <c r="O1787" i="25" s="1"/>
  <c r="O1788" i="25" s="1"/>
  <c r="O1789" i="25" s="1"/>
  <c r="O1790" i="25" s="1"/>
  <c r="O1791" i="25" s="1"/>
  <c r="O1792" i="25" s="1"/>
  <c r="O1793" i="25" s="1"/>
  <c r="O1794" i="25" s="1"/>
  <c r="O1795" i="25" s="1"/>
  <c r="O1796" i="25" s="1"/>
  <c r="O1797" i="25" s="1"/>
  <c r="O1798" i="25" s="1"/>
  <c r="O1799" i="25" s="1"/>
  <c r="O1800" i="25" s="1"/>
  <c r="O1801" i="25" s="1"/>
  <c r="O1802" i="25" s="1"/>
  <c r="O1803" i="25" s="1"/>
  <c r="O1804" i="25" s="1"/>
  <c r="O1805" i="25" s="1"/>
  <c r="O1806" i="25" s="1"/>
  <c r="O1807" i="25" s="1"/>
  <c r="O1808" i="25" s="1"/>
  <c r="O1809" i="25" s="1"/>
  <c r="O1810" i="25" s="1"/>
  <c r="O1811" i="25" s="1"/>
  <c r="O1812" i="25" s="1"/>
  <c r="O1813" i="25" s="1"/>
  <c r="O1814" i="25" s="1"/>
  <c r="O1815" i="25" s="1"/>
  <c r="O1816" i="25" s="1"/>
  <c r="O1817" i="25" s="1"/>
  <c r="O1818" i="25" s="1"/>
  <c r="O1819" i="25" s="1"/>
  <c r="O1820" i="25" s="1"/>
  <c r="O1821" i="25" s="1"/>
  <c r="O1822" i="25" s="1"/>
  <c r="O1823" i="25" s="1"/>
  <c r="O1824" i="25" s="1"/>
  <c r="O1825" i="25" s="1"/>
  <c r="O1826" i="25" s="1"/>
  <c r="O1827" i="25" s="1"/>
  <c r="O1828" i="25" s="1"/>
  <c r="O1829" i="25" s="1"/>
  <c r="O1830" i="25" s="1"/>
  <c r="O1831" i="25" s="1"/>
  <c r="O1832" i="25" s="1"/>
  <c r="O1833" i="25" s="1"/>
  <c r="O1834" i="25" s="1"/>
  <c r="O1835" i="25" s="1"/>
  <c r="O1836" i="25" s="1"/>
  <c r="O1837" i="25" s="1"/>
  <c r="O1838" i="25" s="1"/>
  <c r="O1839" i="25" s="1"/>
  <c r="O1840" i="25" s="1"/>
  <c r="O1841" i="25" s="1"/>
  <c r="O1842" i="25" s="1"/>
  <c r="O1843" i="25" s="1"/>
  <c r="O1844" i="25" s="1"/>
  <c r="O1845" i="25" s="1"/>
  <c r="O1846" i="25" s="1"/>
  <c r="O1847" i="25" s="1"/>
  <c r="O1848" i="25" s="1"/>
  <c r="O1849" i="25" s="1"/>
  <c r="O1850" i="25" s="1"/>
  <c r="O1851" i="25" s="1"/>
  <c r="O1852" i="25" s="1"/>
  <c r="O1853" i="25" s="1"/>
  <c r="O1854" i="25" s="1"/>
  <c r="O1855" i="25" s="1"/>
  <c r="O1856" i="25" s="1"/>
  <c r="O1857" i="25" s="1"/>
  <c r="O1858" i="25" s="1"/>
  <c r="O1859" i="25" s="1"/>
  <c r="O1860" i="25" s="1"/>
  <c r="O1861" i="25" s="1"/>
  <c r="O1862" i="25" s="1"/>
  <c r="O1863" i="25" s="1"/>
  <c r="O1864" i="25" s="1"/>
  <c r="O1865" i="25" s="1"/>
  <c r="O1866" i="25" s="1"/>
  <c r="O1867" i="25" s="1"/>
  <c r="O1868" i="25" s="1"/>
  <c r="O1869" i="25" s="1"/>
  <c r="O1870" i="25" s="1"/>
  <c r="O1871" i="25" s="1"/>
  <c r="O1872" i="25" s="1"/>
  <c r="O1873" i="25" s="1"/>
  <c r="O1874" i="25" s="1"/>
  <c r="O1875" i="25" s="1"/>
  <c r="O1876" i="25" s="1"/>
  <c r="O1877" i="25" s="1"/>
  <c r="O1878" i="25" s="1"/>
  <c r="O1879" i="25" s="1"/>
  <c r="O1880" i="25" s="1"/>
  <c r="O1881" i="25" s="1"/>
  <c r="O1882" i="25" s="1"/>
  <c r="O1883" i="25" s="1"/>
  <c r="O1884" i="25" s="1"/>
  <c r="O1885" i="25" s="1"/>
  <c r="O1886" i="25" s="1"/>
  <c r="O1887" i="25" s="1"/>
  <c r="O1888" i="25" s="1"/>
  <c r="O1889" i="25" s="1"/>
  <c r="O1890" i="25" s="1"/>
  <c r="O1891" i="25" s="1"/>
  <c r="O1892" i="25" s="1"/>
  <c r="O1893" i="25" s="1"/>
  <c r="O1894" i="25" s="1"/>
  <c r="O1895" i="25" s="1"/>
  <c r="O1896" i="25" s="1"/>
  <c r="O1897" i="25" s="1"/>
  <c r="O1898" i="25" s="1"/>
  <c r="O1899" i="25" s="1"/>
  <c r="O1900" i="25" s="1"/>
  <c r="O1901" i="25" s="1"/>
  <c r="O1902" i="25" s="1"/>
  <c r="O1903" i="25" s="1"/>
  <c r="O1904" i="25" s="1"/>
  <c r="O1905" i="25" s="1"/>
  <c r="O1906" i="25" s="1"/>
  <c r="O1907" i="25" s="1"/>
  <c r="O1908" i="25" s="1"/>
  <c r="O1909" i="25" s="1"/>
  <c r="O1910" i="25" s="1"/>
  <c r="O1911" i="25" s="1"/>
  <c r="O1912" i="25" s="1"/>
  <c r="O1913" i="25" s="1"/>
  <c r="O1914" i="25" s="1"/>
  <c r="O1915" i="25" s="1"/>
  <c r="O1916" i="25" s="1"/>
  <c r="O1917" i="25" s="1"/>
  <c r="O1918" i="25" s="1"/>
  <c r="O1919" i="25" s="1"/>
  <c r="O1920" i="25" s="1"/>
  <c r="O1921" i="25" s="1"/>
  <c r="O1922" i="25" s="1"/>
  <c r="O1923" i="25" s="1"/>
  <c r="O1924" i="25" s="1"/>
  <c r="O1925" i="25" s="1"/>
  <c r="O1926" i="25" s="1"/>
  <c r="O1927" i="25" s="1"/>
  <c r="O1928" i="25" s="1"/>
  <c r="O1929" i="25" s="1"/>
  <c r="O1930" i="25" s="1"/>
  <c r="O1931" i="25" s="1"/>
  <c r="O1932" i="25" s="1"/>
  <c r="O1933" i="25" s="1"/>
  <c r="O1934" i="25" s="1"/>
  <c r="O1935" i="25" s="1"/>
  <c r="O1936" i="25" s="1"/>
  <c r="O1937" i="25" s="1"/>
  <c r="O1938" i="25" s="1"/>
  <c r="O1939" i="25" s="1"/>
  <c r="O1940" i="25" s="1"/>
  <c r="O1941" i="25" s="1"/>
  <c r="O1942" i="25" s="1"/>
  <c r="O1943" i="25" s="1"/>
  <c r="O1944" i="25" s="1"/>
  <c r="O1945" i="25" s="1"/>
  <c r="O1946" i="25" s="1"/>
  <c r="O1947" i="25" s="1"/>
  <c r="O1948" i="25" s="1"/>
  <c r="O1949" i="25" s="1"/>
  <c r="O1950" i="25" s="1"/>
  <c r="O1951" i="25" s="1"/>
  <c r="O1952" i="25" s="1"/>
  <c r="O1953" i="25" s="1"/>
  <c r="O1954" i="25" s="1"/>
  <c r="O1955" i="25" s="1"/>
  <c r="O1956" i="25" s="1"/>
  <c r="O1957" i="25" s="1"/>
  <c r="O1958" i="25" s="1"/>
  <c r="O1959" i="25" s="1"/>
  <c r="O1960" i="25" s="1"/>
  <c r="O1961" i="25" s="1"/>
  <c r="O1962" i="25" s="1"/>
  <c r="O1963" i="25" s="1"/>
  <c r="O1964" i="25" s="1"/>
  <c r="O1965" i="25" s="1"/>
  <c r="O1966" i="25" s="1"/>
  <c r="O1967" i="25" s="1"/>
  <c r="O1968" i="25" s="1"/>
  <c r="O1969" i="25" s="1"/>
  <c r="O1970" i="25" s="1"/>
  <c r="O1971" i="25" s="1"/>
  <c r="O1972" i="25" s="1"/>
  <c r="O1973" i="25" s="1"/>
  <c r="O1974" i="25" s="1"/>
  <c r="O1975" i="25" s="1"/>
  <c r="O1976" i="25" s="1"/>
  <c r="O1977" i="25" s="1"/>
  <c r="O1978" i="25" s="1"/>
  <c r="O1979" i="25" s="1"/>
  <c r="O1980" i="25" s="1"/>
  <c r="O1981" i="25" s="1"/>
  <c r="O1982" i="25" s="1"/>
  <c r="O1983" i="25" s="1"/>
  <c r="O1984" i="25" s="1"/>
  <c r="O1985" i="25" s="1"/>
  <c r="O1986" i="25" s="1"/>
  <c r="O1987" i="25" s="1"/>
  <c r="O1988" i="25" s="1"/>
  <c r="O1989" i="25" s="1"/>
  <c r="O1990" i="25" s="1"/>
  <c r="O1991" i="25" s="1"/>
  <c r="O1992" i="25" s="1"/>
  <c r="O1993" i="25" s="1"/>
  <c r="O1994" i="25" s="1"/>
  <c r="O1995" i="25" s="1"/>
  <c r="O1996" i="25" s="1"/>
  <c r="O1997" i="25" s="1"/>
  <c r="O1998" i="25" s="1"/>
  <c r="O1999" i="25" s="1"/>
  <c r="O2000" i="25" s="1"/>
  <c r="O2001" i="25" s="1"/>
  <c r="O2002" i="25" s="1"/>
  <c r="O2003" i="25" s="1"/>
  <c r="O2004" i="25" s="1"/>
  <c r="O2005" i="25" s="1"/>
  <c r="O2006" i="25" s="1"/>
  <c r="O2007" i="25" s="1"/>
  <c r="O2008" i="25" s="1"/>
  <c r="O2009" i="25" s="1"/>
  <c r="O2010" i="25" s="1"/>
  <c r="O2011" i="25" s="1"/>
  <c r="O2012" i="25" s="1"/>
  <c r="O2013" i="25" s="1"/>
  <c r="O2014" i="25" s="1"/>
  <c r="O2015" i="25" s="1"/>
  <c r="O2016" i="25" s="1"/>
  <c r="O2017" i="25" s="1"/>
  <c r="O2018" i="25" s="1"/>
  <c r="O2019" i="25" s="1"/>
  <c r="O2020" i="25" s="1"/>
  <c r="O2021" i="25" s="1"/>
  <c r="O2022" i="25" s="1"/>
  <c r="O2023" i="25" s="1"/>
  <c r="O2024" i="25" s="1"/>
  <c r="O2025" i="25" s="1"/>
  <c r="O2026" i="25" s="1"/>
  <c r="O2027" i="25" s="1"/>
  <c r="O2028" i="25" s="1"/>
  <c r="O2029" i="25" s="1"/>
  <c r="O2030" i="25" s="1"/>
  <c r="O2031" i="25" s="1"/>
  <c r="O2032" i="25" s="1"/>
  <c r="O2033" i="25" s="1"/>
  <c r="O2034" i="25" s="1"/>
  <c r="O2035" i="25" s="1"/>
  <c r="O2036" i="25" s="1"/>
  <c r="O2037" i="25" s="1"/>
  <c r="O2038" i="25" s="1"/>
  <c r="O2039" i="25" s="1"/>
  <c r="O2040" i="25" s="1"/>
  <c r="O2041" i="25" s="1"/>
  <c r="O2042" i="25" s="1"/>
  <c r="O2043" i="25" s="1"/>
  <c r="O2044" i="25" s="1"/>
  <c r="O2045" i="25" s="1"/>
  <c r="O2046" i="25" s="1"/>
  <c r="O2047" i="25" s="1"/>
  <c r="O2048" i="25" s="1"/>
  <c r="O2049" i="25" s="1"/>
  <c r="O2050" i="25" s="1"/>
  <c r="O2051" i="25" s="1"/>
  <c r="O2052" i="25" s="1"/>
  <c r="O2053" i="25" s="1"/>
  <c r="O2054" i="25" s="1"/>
  <c r="O2055" i="25" s="1"/>
  <c r="O2056" i="25" s="1"/>
  <c r="O2057" i="25" s="1"/>
  <c r="O2058" i="25" s="1"/>
  <c r="O2059" i="25" s="1"/>
  <c r="O2060" i="25" s="1"/>
  <c r="O2061" i="25" s="1"/>
  <c r="O2062" i="25" s="1"/>
  <c r="O2063" i="25" s="1"/>
  <c r="O2064" i="25" s="1"/>
  <c r="O2065" i="25" s="1"/>
  <c r="O2066" i="25" s="1"/>
  <c r="O2067" i="25" s="1"/>
  <c r="O2068" i="25" s="1"/>
  <c r="O2069" i="25" s="1"/>
  <c r="O2070" i="25" s="1"/>
  <c r="O2071" i="25" s="1"/>
  <c r="O2072" i="25" s="1"/>
  <c r="O2073" i="25" s="1"/>
  <c r="O2074" i="25" s="1"/>
  <c r="O2075" i="25" s="1"/>
  <c r="O2076" i="25" s="1"/>
  <c r="O2077" i="25" s="1"/>
  <c r="O2078" i="25" s="1"/>
  <c r="O2079" i="25" s="1"/>
  <c r="O2080" i="25" s="1"/>
  <c r="O2081" i="25" s="1"/>
  <c r="O2082" i="25" s="1"/>
  <c r="O2083" i="25" s="1"/>
  <c r="O2084" i="25" s="1"/>
  <c r="O2085" i="25" s="1"/>
  <c r="O2086" i="25" s="1"/>
  <c r="O2087" i="25" s="1"/>
  <c r="O2088" i="25" s="1"/>
  <c r="O2089" i="25" s="1"/>
  <c r="O2090" i="25" s="1"/>
  <c r="O2091" i="25" s="1"/>
  <c r="O2092" i="25" s="1"/>
  <c r="O2093" i="25" s="1"/>
  <c r="O2094" i="25" s="1"/>
  <c r="O2095" i="25" s="1"/>
  <c r="O2096" i="25" s="1"/>
  <c r="O2097" i="25" s="1"/>
  <c r="O2098" i="25" s="1"/>
  <c r="O2099" i="25" s="1"/>
  <c r="O2100" i="25" s="1"/>
  <c r="O2101" i="25" s="1"/>
  <c r="O2102" i="25" s="1"/>
  <c r="O2103" i="25" s="1"/>
  <c r="O2104" i="25" s="1"/>
  <c r="O2105" i="25" s="1"/>
  <c r="O2106" i="25" s="1"/>
  <c r="O2107" i="25" s="1"/>
  <c r="O2108" i="25" s="1"/>
  <c r="O2109" i="25" s="1"/>
  <c r="O2110" i="25" s="1"/>
  <c r="O2111" i="25" s="1"/>
  <c r="O2112" i="25" s="1"/>
  <c r="O2113" i="25" s="1"/>
  <c r="O2114" i="25" s="1"/>
  <c r="O2115" i="25" s="1"/>
  <c r="O2116" i="25" s="1"/>
  <c r="O2117" i="25" s="1"/>
  <c r="O2118" i="25" s="1"/>
  <c r="O2119" i="25" s="1"/>
  <c r="O2120" i="25" s="1"/>
  <c r="O2121" i="25" s="1"/>
  <c r="O2122" i="25" s="1"/>
  <c r="O2123" i="25" s="1"/>
  <c r="O2124" i="25" s="1"/>
  <c r="O2125" i="25" s="1"/>
  <c r="O2126" i="25" s="1"/>
  <c r="O2127" i="25" s="1"/>
  <c r="O2128" i="25" s="1"/>
  <c r="O2129" i="25" s="1"/>
  <c r="O2130" i="25" s="1"/>
  <c r="O2131" i="25" s="1"/>
  <c r="O2132" i="25" s="1"/>
  <c r="O2133" i="25" s="1"/>
  <c r="O2134" i="25" s="1"/>
  <c r="O2135" i="25" s="1"/>
  <c r="O2136" i="25" s="1"/>
  <c r="O2137" i="25" s="1"/>
  <c r="O2138" i="25" s="1"/>
  <c r="O2139" i="25" s="1"/>
  <c r="O2140" i="25" s="1"/>
  <c r="O2141" i="25" s="1"/>
  <c r="O2142" i="25" s="1"/>
  <c r="O2143" i="25" s="1"/>
  <c r="O2144" i="25" s="1"/>
  <c r="O2145" i="25" s="1"/>
  <c r="O2146" i="25" s="1"/>
  <c r="O2147" i="25" s="1"/>
  <c r="O2148" i="25" s="1"/>
  <c r="O2149" i="25" s="1"/>
  <c r="O2150" i="25" s="1"/>
  <c r="O2151" i="25" s="1"/>
  <c r="O2152" i="25" s="1"/>
  <c r="O2153" i="25" s="1"/>
  <c r="O2154" i="25" s="1"/>
  <c r="O2155" i="25" s="1"/>
  <c r="O2156" i="25" s="1"/>
  <c r="O2157" i="25" s="1"/>
  <c r="O2158" i="25" s="1"/>
  <c r="O2159" i="25" s="1"/>
  <c r="O2160" i="25" s="1"/>
  <c r="O2161" i="25" s="1"/>
  <c r="O2162" i="25" s="1"/>
  <c r="O2163" i="25" s="1"/>
  <c r="O2164" i="25" s="1"/>
  <c r="O2165" i="25" s="1"/>
  <c r="O2166" i="25" s="1"/>
  <c r="O2167" i="25" s="1"/>
  <c r="O2168" i="25" s="1"/>
  <c r="O2169" i="25" s="1"/>
  <c r="O2170" i="25" s="1"/>
  <c r="O2171" i="25" s="1"/>
  <c r="O2172" i="25" s="1"/>
  <c r="O2173" i="25" s="1"/>
  <c r="O2174" i="25" s="1"/>
  <c r="O2175" i="25" s="1"/>
  <c r="O2176" i="25" s="1"/>
  <c r="O2177" i="25" s="1"/>
  <c r="O2178" i="25" s="1"/>
  <c r="O2179" i="25" s="1"/>
  <c r="O2180" i="25" s="1"/>
  <c r="O2181" i="25" s="1"/>
  <c r="O2182" i="25" s="1"/>
  <c r="O2183" i="25" s="1"/>
  <c r="O2184" i="25" s="1"/>
  <c r="O2185" i="25" s="1"/>
  <c r="O2186" i="25" s="1"/>
  <c r="O2187" i="25" s="1"/>
  <c r="O2188" i="25" s="1"/>
  <c r="O2189" i="25" s="1"/>
  <c r="O2190" i="25" s="1"/>
  <c r="O2191" i="25" s="1"/>
  <c r="O2192" i="25" s="1"/>
  <c r="O2193" i="25" s="1"/>
  <c r="O2194" i="25" s="1"/>
  <c r="O2195" i="25" s="1"/>
  <c r="O2196" i="25" s="1"/>
  <c r="O2197" i="25" s="1"/>
  <c r="O2198" i="25" s="1"/>
  <c r="O2199" i="25" s="1"/>
  <c r="O2200" i="25" s="1"/>
  <c r="O2201" i="25" s="1"/>
  <c r="O2202" i="25" s="1"/>
  <c r="O2203" i="25" s="1"/>
  <c r="O2204" i="25" s="1"/>
  <c r="O2205" i="25" s="1"/>
  <c r="O2206" i="25" s="1"/>
  <c r="O2207" i="25" s="1"/>
  <c r="O2208" i="25" s="1"/>
  <c r="O2209" i="25" s="1"/>
  <c r="O2210" i="25" s="1"/>
  <c r="O2211" i="25" s="1"/>
  <c r="O2212" i="25" s="1"/>
  <c r="O2213" i="25" s="1"/>
  <c r="O2214" i="25" s="1"/>
  <c r="O2215" i="25" s="1"/>
  <c r="O2216" i="25" s="1"/>
  <c r="O2217" i="25" s="1"/>
  <c r="O2218" i="25" s="1"/>
  <c r="O2219" i="25" s="1"/>
  <c r="O2220" i="25" s="1"/>
  <c r="O2221" i="25" s="1"/>
  <c r="O2222" i="25" s="1"/>
  <c r="O2223" i="25" s="1"/>
  <c r="O2224" i="25" s="1"/>
  <c r="O2225" i="25" s="1"/>
  <c r="O2226" i="25" s="1"/>
  <c r="O2227" i="25" s="1"/>
  <c r="O2228" i="25" s="1"/>
  <c r="O2229" i="25" s="1"/>
  <c r="O2230" i="25" s="1"/>
  <c r="O2231" i="25" s="1"/>
  <c r="O2232" i="25" s="1"/>
  <c r="O2233" i="25" s="1"/>
  <c r="O2234" i="25" s="1"/>
  <c r="O2235" i="25" s="1"/>
  <c r="O2236" i="25" s="1"/>
  <c r="O2237" i="25" s="1"/>
  <c r="O2238" i="25" s="1"/>
  <c r="O2239" i="25" s="1"/>
  <c r="O2240" i="25" s="1"/>
  <c r="O2241" i="25" s="1"/>
  <c r="O2242" i="25" s="1"/>
  <c r="O2243" i="25" s="1"/>
  <c r="O2244" i="25" s="1"/>
  <c r="O2245" i="25" s="1"/>
  <c r="O2246" i="25" s="1"/>
  <c r="O2247" i="25" s="1"/>
  <c r="O2248" i="25" s="1"/>
  <c r="O2249" i="25" s="1"/>
  <c r="O2250" i="25" s="1"/>
  <c r="O2251" i="25" s="1"/>
  <c r="O2252" i="25" s="1"/>
  <c r="O2253" i="25" s="1"/>
  <c r="O2254" i="25" s="1"/>
  <c r="O2255" i="25" s="1"/>
  <c r="O2256" i="25" s="1"/>
  <c r="O2257" i="25" s="1"/>
  <c r="O2258" i="25" s="1"/>
  <c r="O2259" i="25" s="1"/>
  <c r="O2260" i="25" s="1"/>
  <c r="O2261" i="25" s="1"/>
  <c r="O2262" i="25" s="1"/>
  <c r="O2263" i="25" s="1"/>
  <c r="O2264" i="25" s="1"/>
  <c r="O2265" i="25" s="1"/>
  <c r="O2266" i="25" s="1"/>
  <c r="O2267" i="25" s="1"/>
  <c r="O2268" i="25" s="1"/>
  <c r="O2269" i="25" s="1"/>
  <c r="O2270" i="25" s="1"/>
  <c r="O2271" i="25" s="1"/>
  <c r="O2272" i="25" s="1"/>
  <c r="O2273" i="25" s="1"/>
  <c r="O2274" i="25" s="1"/>
  <c r="O2275" i="25" s="1"/>
  <c r="O2276" i="25" s="1"/>
  <c r="O2277" i="25" s="1"/>
  <c r="O2278" i="25" s="1"/>
  <c r="O2279" i="25" s="1"/>
  <c r="O2280" i="25" s="1"/>
  <c r="O2281" i="25" s="1"/>
  <c r="O2282" i="25" s="1"/>
  <c r="O2283" i="25" s="1"/>
  <c r="O2284" i="25" s="1"/>
  <c r="O2285" i="25" s="1"/>
  <c r="O2286" i="25" s="1"/>
  <c r="O2287" i="25" s="1"/>
  <c r="O2288" i="25" s="1"/>
  <c r="O2289" i="25" s="1"/>
  <c r="O2290" i="25" s="1"/>
  <c r="O2291" i="25" s="1"/>
  <c r="O2292" i="25" s="1"/>
  <c r="O2293" i="25" s="1"/>
  <c r="O2294" i="25" s="1"/>
  <c r="O2295" i="25" s="1"/>
  <c r="O2296" i="25" s="1"/>
  <c r="O2297" i="25" s="1"/>
  <c r="O2298" i="25" s="1"/>
  <c r="O2299" i="25" s="1"/>
  <c r="O2300" i="25" s="1"/>
  <c r="O2301" i="25" s="1"/>
  <c r="O2302" i="25" s="1"/>
  <c r="O2303" i="25" s="1"/>
  <c r="O2304" i="25" s="1"/>
  <c r="O2305" i="25" s="1"/>
  <c r="O2306" i="25" s="1"/>
  <c r="O2307" i="25" s="1"/>
  <c r="O2308" i="25" s="1"/>
  <c r="O2309" i="25" s="1"/>
  <c r="O2310" i="25" s="1"/>
  <c r="O2311" i="25" s="1"/>
  <c r="O2312" i="25" s="1"/>
  <c r="O2313" i="25" s="1"/>
  <c r="O2314" i="25" s="1"/>
  <c r="O2315" i="25" s="1"/>
  <c r="O2316" i="25" s="1"/>
  <c r="O2317" i="25" s="1"/>
  <c r="O2318" i="25" s="1"/>
  <c r="O2319" i="25" s="1"/>
  <c r="O2320" i="25" s="1"/>
  <c r="O2321" i="25" s="1"/>
  <c r="O2322" i="25" s="1"/>
  <c r="O2323" i="25" s="1"/>
  <c r="O2324" i="25" s="1"/>
  <c r="O2325" i="25" s="1"/>
  <c r="O2326" i="25" s="1"/>
  <c r="O2327" i="25" s="1"/>
  <c r="O2328" i="25" s="1"/>
  <c r="O2329" i="25" s="1"/>
  <c r="O2330" i="25" s="1"/>
  <c r="O2331" i="25" s="1"/>
  <c r="O2332" i="25" s="1"/>
  <c r="O2333" i="25" s="1"/>
  <c r="O2334" i="25" s="1"/>
  <c r="O2335" i="25" s="1"/>
  <c r="O2336" i="25" s="1"/>
  <c r="O2337" i="25" s="1"/>
  <c r="O2338" i="25" s="1"/>
  <c r="O2339" i="25" s="1"/>
  <c r="O2340" i="25" s="1"/>
  <c r="O2341" i="25" s="1"/>
  <c r="O2342" i="25" s="1"/>
  <c r="O2343" i="25" s="1"/>
  <c r="O2344" i="25" s="1"/>
  <c r="O2345" i="25" s="1"/>
  <c r="O2346" i="25" s="1"/>
  <c r="O2347" i="25" s="1"/>
  <c r="O2348" i="25" s="1"/>
  <c r="O2349" i="25" s="1"/>
  <c r="O2350" i="25" s="1"/>
  <c r="O2351" i="25" s="1"/>
  <c r="O2352" i="25" s="1"/>
  <c r="O2353" i="25" s="1"/>
  <c r="O2354" i="25" s="1"/>
  <c r="O2355" i="25" s="1"/>
  <c r="O2356" i="25" s="1"/>
  <c r="O2357" i="25" s="1"/>
  <c r="O2358" i="25" s="1"/>
  <c r="O2359" i="25" s="1"/>
  <c r="O2360" i="25" s="1"/>
  <c r="O2361" i="25" s="1"/>
  <c r="O2362" i="25" s="1"/>
  <c r="O2363" i="25" s="1"/>
  <c r="O2364" i="25" s="1"/>
  <c r="O2365" i="25" s="1"/>
  <c r="O2366" i="25" s="1"/>
  <c r="O2367" i="25" s="1"/>
  <c r="O2368" i="25" s="1"/>
  <c r="O2369" i="25" s="1"/>
  <c r="O2370" i="25" s="1"/>
  <c r="O2371" i="25" s="1"/>
  <c r="O2372" i="25" s="1"/>
  <c r="O2373" i="25" s="1"/>
  <c r="O2374" i="25" s="1"/>
  <c r="O2375" i="25" s="1"/>
  <c r="O2376" i="25" s="1"/>
  <c r="O2377" i="25" s="1"/>
  <c r="O2378" i="25" s="1"/>
  <c r="O2379" i="25" s="1"/>
  <c r="O2380" i="25" s="1"/>
  <c r="O2381" i="25" s="1"/>
  <c r="O2382" i="25" s="1"/>
  <c r="O2383" i="25" s="1"/>
  <c r="O2384" i="25" s="1"/>
  <c r="O2385" i="25" s="1"/>
  <c r="O2386" i="25" s="1"/>
  <c r="O2387" i="25" s="1"/>
  <c r="O2388" i="25" s="1"/>
  <c r="O2389" i="25" s="1"/>
  <c r="O2390" i="25" s="1"/>
  <c r="O2391" i="25" s="1"/>
  <c r="O2392" i="25" s="1"/>
  <c r="O2393" i="25" s="1"/>
  <c r="O2394" i="25" s="1"/>
  <c r="O2395" i="25" s="1"/>
  <c r="O2396" i="25" s="1"/>
  <c r="O2397" i="25" s="1"/>
  <c r="O2398" i="25" s="1"/>
  <c r="O2399" i="25" s="1"/>
  <c r="O2400" i="25" s="1"/>
  <c r="O2401" i="25" s="1"/>
  <c r="O2402" i="25" s="1"/>
  <c r="O2403" i="25" s="1"/>
  <c r="O2404" i="25" s="1"/>
  <c r="O2405" i="25" s="1"/>
  <c r="O2406" i="25" s="1"/>
  <c r="O2407" i="25" s="1"/>
  <c r="O2408" i="25" s="1"/>
  <c r="O2409" i="25" s="1"/>
  <c r="O2410" i="25" s="1"/>
  <c r="O2411" i="25" s="1"/>
  <c r="O2412" i="25" s="1"/>
  <c r="O2413" i="25" s="1"/>
  <c r="O2414" i="25" s="1"/>
  <c r="O2415" i="25" s="1"/>
  <c r="O2416" i="25" s="1"/>
  <c r="O2417" i="25" s="1"/>
  <c r="O2418" i="25" s="1"/>
  <c r="O2419" i="25" s="1"/>
  <c r="O2420" i="25" s="1"/>
  <c r="O2421" i="25" s="1"/>
  <c r="O2422" i="25" s="1"/>
  <c r="O2423" i="25" s="1"/>
  <c r="O2424" i="25" s="1"/>
  <c r="O2425" i="25" s="1"/>
  <c r="O2426" i="25" s="1"/>
  <c r="O2427" i="25" s="1"/>
  <c r="O2428" i="25" s="1"/>
  <c r="O2429" i="25" s="1"/>
  <c r="O2430" i="25" s="1"/>
  <c r="O2431" i="25" s="1"/>
  <c r="O2432" i="25" s="1"/>
  <c r="O2433" i="25" s="1"/>
  <c r="O2434" i="25" s="1"/>
  <c r="O2435" i="25" s="1"/>
  <c r="O2436" i="25" s="1"/>
  <c r="O2437" i="25" s="1"/>
  <c r="O2438" i="25" s="1"/>
  <c r="O2439" i="25" s="1"/>
  <c r="O2440" i="25" s="1"/>
  <c r="O2441" i="25" s="1"/>
  <c r="O2442" i="25" s="1"/>
  <c r="O2443" i="25" s="1"/>
  <c r="O2444" i="25" s="1"/>
  <c r="O2445" i="25" s="1"/>
  <c r="O2446" i="25" s="1"/>
  <c r="O2447" i="25" s="1"/>
  <c r="O2448" i="25" s="1"/>
  <c r="O2449" i="25" s="1"/>
  <c r="O2450" i="25" s="1"/>
  <c r="O2451" i="25" s="1"/>
  <c r="O2452" i="25" s="1"/>
  <c r="O2453" i="25" s="1"/>
  <c r="O2454" i="25" s="1"/>
  <c r="O2455" i="25" s="1"/>
  <c r="O2456" i="25" s="1"/>
  <c r="O2457" i="25" s="1"/>
  <c r="O2458" i="25" s="1"/>
  <c r="O2459" i="25" s="1"/>
  <c r="O2460" i="25" s="1"/>
  <c r="O2461" i="25" s="1"/>
  <c r="O2462" i="25" s="1"/>
  <c r="O2463" i="25" s="1"/>
  <c r="O2464" i="25" s="1"/>
  <c r="O2465" i="25" s="1"/>
  <c r="O2466" i="25" s="1"/>
  <c r="O2467" i="25" s="1"/>
  <c r="O2468" i="25" s="1"/>
  <c r="O2469" i="25" s="1"/>
  <c r="O2470" i="25" s="1"/>
  <c r="O2471" i="25" s="1"/>
  <c r="O2472" i="25" s="1"/>
  <c r="O2473" i="25" s="1"/>
  <c r="O2474" i="25" s="1"/>
  <c r="O2475" i="25" s="1"/>
  <c r="O2476" i="25" s="1"/>
  <c r="O2477" i="25" s="1"/>
  <c r="O2478" i="25" s="1"/>
  <c r="O2479" i="25" s="1"/>
  <c r="O2480" i="25" s="1"/>
  <c r="O2481" i="25" s="1"/>
  <c r="O2482" i="25" s="1"/>
  <c r="O2483" i="25" s="1"/>
  <c r="O2484" i="25" s="1"/>
  <c r="O2485" i="25" s="1"/>
  <c r="O2486" i="25" s="1"/>
  <c r="O2487" i="25" s="1"/>
  <c r="O2488" i="25" s="1"/>
  <c r="O2489" i="25" s="1"/>
  <c r="O2490" i="25" s="1"/>
  <c r="O2491" i="25" s="1"/>
  <c r="O2492" i="25" s="1"/>
  <c r="O2493" i="25" s="1"/>
  <c r="O2494" i="25" s="1"/>
  <c r="O2495" i="25" s="1"/>
  <c r="O2496" i="25" s="1"/>
  <c r="O2497" i="25" s="1"/>
  <c r="O2498" i="25" s="1"/>
  <c r="O2499" i="25" s="1"/>
  <c r="O2500" i="25" s="1"/>
  <c r="O2501" i="25" s="1"/>
  <c r="O2502" i="25" s="1"/>
  <c r="O2503" i="25" s="1"/>
  <c r="O2504" i="25" s="1"/>
  <c r="O2505" i="25" s="1"/>
  <c r="O2506" i="25" s="1"/>
  <c r="O2507" i="25" s="1"/>
  <c r="O2508" i="25" s="1"/>
  <c r="O2509" i="25" s="1"/>
  <c r="O2510" i="25" s="1"/>
  <c r="O2511" i="25" s="1"/>
  <c r="O2512" i="25" s="1"/>
  <c r="O2513" i="25" s="1"/>
  <c r="O2514" i="25" s="1"/>
  <c r="O2515" i="25" s="1"/>
  <c r="O2516" i="25" s="1"/>
  <c r="O2517" i="25" s="1"/>
  <c r="O2518" i="25" s="1"/>
  <c r="O2519" i="25" s="1"/>
  <c r="O2520" i="25" s="1"/>
  <c r="O2521" i="25" s="1"/>
  <c r="O2522" i="25" s="1"/>
  <c r="O2523" i="25" s="1"/>
  <c r="O2524" i="25" s="1"/>
  <c r="O2525" i="25" s="1"/>
  <c r="O2526" i="25" s="1"/>
  <c r="O2527" i="25" s="1"/>
  <c r="O2528" i="25" s="1"/>
  <c r="O2529" i="25" s="1"/>
  <c r="O2530" i="25" s="1"/>
  <c r="O2531" i="25" s="1"/>
  <c r="O2532" i="25" s="1"/>
  <c r="O2533" i="25" s="1"/>
  <c r="O2534" i="25" s="1"/>
  <c r="O2535" i="25" s="1"/>
  <c r="O2536" i="25" s="1"/>
  <c r="O2537" i="25" s="1"/>
  <c r="O2538" i="25" s="1"/>
  <c r="O2539" i="25" s="1"/>
  <c r="O2540" i="25" s="1"/>
  <c r="O2541" i="25" s="1"/>
  <c r="O2542" i="25" s="1"/>
  <c r="O2543" i="25" s="1"/>
  <c r="O2544" i="25" s="1"/>
  <c r="O2545" i="25" s="1"/>
  <c r="O2546" i="25" s="1"/>
  <c r="O2547" i="25" s="1"/>
  <c r="O2548" i="25" s="1"/>
  <c r="O2549" i="25" s="1"/>
  <c r="O2550" i="25" s="1"/>
  <c r="O2551" i="25" s="1"/>
  <c r="O2552" i="25" s="1"/>
  <c r="O2553" i="25" s="1"/>
  <c r="O2554" i="25" s="1"/>
  <c r="O2555" i="25" s="1"/>
  <c r="O2556" i="25" s="1"/>
  <c r="O2557" i="25" s="1"/>
  <c r="O2558" i="25" s="1"/>
  <c r="O2559" i="25" s="1"/>
  <c r="O2560" i="25" s="1"/>
  <c r="O2561" i="25" s="1"/>
  <c r="O2562" i="25" s="1"/>
  <c r="O2563" i="25" s="1"/>
  <c r="O2564" i="25" s="1"/>
  <c r="O2565" i="25" s="1"/>
  <c r="O2566" i="25" s="1"/>
  <c r="O2567" i="25" s="1"/>
  <c r="O2568" i="25" s="1"/>
  <c r="O2569" i="25" s="1"/>
  <c r="O2570" i="25" s="1"/>
  <c r="O2571" i="25" s="1"/>
  <c r="O2572" i="25" s="1"/>
  <c r="O2573" i="25" s="1"/>
  <c r="O2574" i="25" s="1"/>
  <c r="O2575" i="25" s="1"/>
  <c r="O2576" i="25" s="1"/>
  <c r="O2577" i="25" s="1"/>
  <c r="O2578" i="25" s="1"/>
  <c r="O2579" i="25" s="1"/>
  <c r="O2580" i="25" s="1"/>
  <c r="O2581" i="25" s="1"/>
  <c r="O2582" i="25" s="1"/>
  <c r="O2583" i="25" s="1"/>
  <c r="O2584" i="25" s="1"/>
  <c r="O2585" i="25" s="1"/>
  <c r="O2586" i="25" s="1"/>
  <c r="O2587" i="25" s="1"/>
  <c r="O2588" i="25" s="1"/>
  <c r="O2589" i="25" s="1"/>
  <c r="O2590" i="25" s="1"/>
  <c r="O2591" i="25" s="1"/>
  <c r="O2592" i="25" s="1"/>
  <c r="O2593" i="25" s="1"/>
  <c r="O2594" i="25" s="1"/>
  <c r="O2595" i="25" s="1"/>
  <c r="O2596" i="25" s="1"/>
  <c r="O2597" i="25" s="1"/>
  <c r="O2598" i="25" s="1"/>
  <c r="O2599" i="25" s="1"/>
  <c r="O2600" i="25" s="1"/>
  <c r="O2601" i="25" s="1"/>
  <c r="O2602" i="25" s="1"/>
  <c r="O2603" i="25" s="1"/>
  <c r="O2604" i="25" s="1"/>
  <c r="O2605" i="25" s="1"/>
  <c r="O2606" i="25" s="1"/>
  <c r="O2607" i="25" s="1"/>
  <c r="O2608" i="25" s="1"/>
  <c r="O2609" i="25" s="1"/>
  <c r="O2610" i="25" s="1"/>
  <c r="O2611" i="25" s="1"/>
  <c r="O2612" i="25" s="1"/>
  <c r="O2613" i="25" s="1"/>
  <c r="O2614" i="25" s="1"/>
  <c r="O2615" i="25" s="1"/>
  <c r="O2616" i="25" s="1"/>
  <c r="O2617" i="25" s="1"/>
  <c r="O2618" i="25" s="1"/>
  <c r="O2619" i="25" s="1"/>
  <c r="O2620" i="25" s="1"/>
  <c r="O2621" i="25" s="1"/>
  <c r="O2622" i="25" s="1"/>
  <c r="O2623" i="25" s="1"/>
  <c r="O2624" i="25" s="1"/>
  <c r="O2625" i="25" s="1"/>
  <c r="O2626" i="25" s="1"/>
  <c r="O2627" i="25" s="1"/>
  <c r="O2628" i="25" s="1"/>
  <c r="O2629" i="25" s="1"/>
  <c r="O2630" i="25" s="1"/>
  <c r="O2631" i="25" s="1"/>
  <c r="O2632" i="25" s="1"/>
  <c r="O2633" i="25" s="1"/>
  <c r="O2634" i="25" s="1"/>
  <c r="O2635" i="25" s="1"/>
  <c r="O2636" i="25" s="1"/>
  <c r="O2637" i="25" s="1"/>
  <c r="O2638" i="25" s="1"/>
  <c r="O2639" i="25" s="1"/>
  <c r="O2640" i="25" s="1"/>
  <c r="O2641" i="25" s="1"/>
  <c r="O2642" i="25" s="1"/>
  <c r="O2643" i="25" s="1"/>
  <c r="O2644" i="25" s="1"/>
  <c r="O2645" i="25" s="1"/>
  <c r="O2646" i="25" s="1"/>
  <c r="O2647" i="25" s="1"/>
  <c r="O2648" i="25" s="1"/>
  <c r="O2649" i="25" s="1"/>
  <c r="O2650" i="25" s="1"/>
  <c r="O2651" i="25" s="1"/>
  <c r="O2652" i="25" s="1"/>
  <c r="O2653" i="25" s="1"/>
  <c r="O2654" i="25" s="1"/>
  <c r="O2655" i="25" s="1"/>
  <c r="O2656" i="25" s="1"/>
  <c r="O2657" i="25" s="1"/>
  <c r="O2658" i="25" s="1"/>
  <c r="O2659" i="25" s="1"/>
  <c r="O2660" i="25" s="1"/>
  <c r="O2661" i="25" s="1"/>
  <c r="O2662" i="25" s="1"/>
  <c r="O2663" i="25" s="1"/>
  <c r="O2664" i="25" s="1"/>
  <c r="O2665" i="25" s="1"/>
  <c r="O2666" i="25" s="1"/>
  <c r="O2667" i="25" s="1"/>
  <c r="O2668" i="25" s="1"/>
  <c r="O2669" i="25" s="1"/>
  <c r="O2670" i="25" s="1"/>
  <c r="O2671" i="25" s="1"/>
  <c r="O2672" i="25" s="1"/>
  <c r="O2673" i="25" s="1"/>
  <c r="O2674" i="25" s="1"/>
  <c r="O2675" i="25" s="1"/>
  <c r="O2676" i="25" s="1"/>
  <c r="O2677" i="25" s="1"/>
  <c r="O2678" i="25" s="1"/>
  <c r="O2679" i="25" s="1"/>
  <c r="O2680" i="25" s="1"/>
  <c r="O2681" i="25" s="1"/>
  <c r="O2682" i="25" s="1"/>
  <c r="O2683" i="25" s="1"/>
  <c r="O2684" i="25" s="1"/>
  <c r="O2685" i="25" s="1"/>
  <c r="O2686" i="25" s="1"/>
  <c r="O2687" i="25" s="1"/>
  <c r="O2688" i="25" s="1"/>
  <c r="O2689" i="25" s="1"/>
  <c r="O2690" i="25" s="1"/>
  <c r="O2691" i="25" s="1"/>
  <c r="O2692" i="25" s="1"/>
  <c r="O2693" i="25" s="1"/>
  <c r="O2694" i="25" s="1"/>
  <c r="O2695" i="25" s="1"/>
  <c r="O2696" i="25" s="1"/>
  <c r="O2697" i="25" s="1"/>
  <c r="O2698" i="25" s="1"/>
  <c r="O2699" i="25" s="1"/>
  <c r="O2700" i="25" s="1"/>
  <c r="O2701" i="25" s="1"/>
  <c r="O2702" i="25" s="1"/>
  <c r="O2703" i="25" s="1"/>
  <c r="O2704" i="25" s="1"/>
  <c r="O2705" i="25" s="1"/>
  <c r="O2706" i="25" s="1"/>
  <c r="O2707" i="25" s="1"/>
  <c r="O2708" i="25" s="1"/>
  <c r="O2709" i="25" s="1"/>
  <c r="O2710" i="25" s="1"/>
  <c r="O2711" i="25" s="1"/>
  <c r="O2712" i="25" s="1"/>
  <c r="O2713" i="25" s="1"/>
  <c r="O2714" i="25" s="1"/>
  <c r="O2715" i="25" s="1"/>
  <c r="O2716" i="25" s="1"/>
  <c r="O2717" i="25" s="1"/>
  <c r="O2718" i="25" s="1"/>
  <c r="O2719" i="25" s="1"/>
  <c r="O2720" i="25" s="1"/>
  <c r="O2721" i="25" s="1"/>
  <c r="O2722" i="25" s="1"/>
  <c r="O2723" i="25" s="1"/>
  <c r="O2724" i="25" s="1"/>
  <c r="O2725" i="25" s="1"/>
  <c r="O2726" i="25" s="1"/>
  <c r="O2727" i="25" s="1"/>
  <c r="O2728" i="25" s="1"/>
  <c r="O2729" i="25" s="1"/>
  <c r="O2730" i="25" s="1"/>
  <c r="O2731" i="25" s="1"/>
  <c r="O2732" i="25" s="1"/>
  <c r="O2733" i="25" s="1"/>
  <c r="O2734" i="25" s="1"/>
  <c r="O2735" i="25" s="1"/>
  <c r="O2736" i="25" s="1"/>
  <c r="O2737" i="25" s="1"/>
  <c r="O2738" i="25" s="1"/>
  <c r="O2739" i="25" s="1"/>
  <c r="O2740" i="25" s="1"/>
  <c r="O2741" i="25" s="1"/>
  <c r="O2742" i="25" s="1"/>
  <c r="O2743" i="25" s="1"/>
  <c r="O2744" i="25" s="1"/>
  <c r="O2745" i="25" s="1"/>
  <c r="O2746" i="25" s="1"/>
  <c r="O2747" i="25" s="1"/>
  <c r="O2748" i="25" s="1"/>
  <c r="O2749" i="25" s="1"/>
  <c r="O2750" i="25" s="1"/>
  <c r="O2751" i="25" s="1"/>
  <c r="O2752" i="25" s="1"/>
  <c r="O2753" i="25" s="1"/>
  <c r="O2754" i="25" s="1"/>
  <c r="O2755" i="25" s="1"/>
  <c r="O2756" i="25" s="1"/>
  <c r="O2757" i="25" s="1"/>
  <c r="O2758" i="25" s="1"/>
  <c r="O2759" i="25" s="1"/>
  <c r="O2760" i="25" s="1"/>
  <c r="O2761" i="25" s="1"/>
  <c r="O2762" i="25" s="1"/>
  <c r="O2763" i="25" s="1"/>
  <c r="O2764" i="25" s="1"/>
  <c r="O2765" i="25" s="1"/>
  <c r="O2766" i="25" s="1"/>
  <c r="O2767" i="25" s="1"/>
  <c r="O2768" i="25" s="1"/>
  <c r="O2769" i="25" s="1"/>
  <c r="O2770" i="25" s="1"/>
  <c r="O2771" i="25" s="1"/>
  <c r="O2772" i="25" s="1"/>
  <c r="O2773" i="25" s="1"/>
  <c r="O2774" i="25" s="1"/>
  <c r="O2775" i="25" s="1"/>
  <c r="O2776" i="25" s="1"/>
  <c r="O2777" i="25" s="1"/>
  <c r="O2778" i="25" s="1"/>
  <c r="O2779" i="25" s="1"/>
  <c r="O2780" i="25" s="1"/>
  <c r="O2781" i="25" s="1"/>
  <c r="O2782" i="25" s="1"/>
  <c r="O2783" i="25" s="1"/>
  <c r="O2784" i="25" s="1"/>
  <c r="O2785" i="25" s="1"/>
  <c r="O2786" i="25" s="1"/>
  <c r="O2787" i="25" s="1"/>
  <c r="O2788" i="25" s="1"/>
  <c r="O2789" i="25" s="1"/>
  <c r="O2790" i="25" s="1"/>
  <c r="O2791" i="25" s="1"/>
  <c r="O2792" i="25" s="1"/>
  <c r="O2793" i="25" s="1"/>
  <c r="O2794" i="25" s="1"/>
  <c r="O2795" i="25" s="1"/>
  <c r="O2796" i="25" s="1"/>
  <c r="O2797" i="25" s="1"/>
  <c r="O2798" i="25" s="1"/>
  <c r="O2799" i="25" s="1"/>
  <c r="O2800" i="25" s="1"/>
  <c r="O2801" i="25" s="1"/>
  <c r="O2802" i="25" s="1"/>
  <c r="O2803" i="25" s="1"/>
  <c r="O2804" i="25" s="1"/>
  <c r="O2805" i="25" s="1"/>
  <c r="O2806" i="25" s="1"/>
  <c r="O2807" i="25" s="1"/>
  <c r="O2808" i="25" s="1"/>
  <c r="O2809" i="25" s="1"/>
  <c r="O2810" i="25" s="1"/>
  <c r="O2811" i="25" s="1"/>
  <c r="O2812" i="25" s="1"/>
  <c r="O2813" i="25" s="1"/>
  <c r="O2814" i="25" s="1"/>
  <c r="O2815" i="25" s="1"/>
  <c r="O2816" i="25" s="1"/>
  <c r="O2817" i="25" s="1"/>
  <c r="O2818" i="25" s="1"/>
  <c r="O2819" i="25" s="1"/>
  <c r="O2820" i="25" s="1"/>
  <c r="O2821" i="25" s="1"/>
  <c r="O2822" i="25" s="1"/>
  <c r="O2823" i="25" s="1"/>
  <c r="O2824" i="25" s="1"/>
  <c r="O2825" i="25" s="1"/>
  <c r="O2826" i="25" s="1"/>
  <c r="O2827" i="25" s="1"/>
  <c r="O2828" i="25" s="1"/>
  <c r="O2829" i="25" s="1"/>
  <c r="O2830" i="25" s="1"/>
  <c r="O2831" i="25" s="1"/>
  <c r="O2832" i="25" s="1"/>
  <c r="O2833" i="25" s="1"/>
  <c r="O2834" i="25" s="1"/>
  <c r="O2835" i="25" s="1"/>
  <c r="O2836" i="25" s="1"/>
  <c r="O2837" i="25" s="1"/>
  <c r="O2838" i="25" s="1"/>
  <c r="O2839" i="25" s="1"/>
  <c r="O2840" i="25" s="1"/>
  <c r="O2841" i="25" s="1"/>
  <c r="O2842" i="25" s="1"/>
  <c r="O2843" i="25" s="1"/>
  <c r="O2844" i="25" s="1"/>
  <c r="O2845" i="25" s="1"/>
  <c r="O2846" i="25" s="1"/>
  <c r="O2847" i="25" s="1"/>
  <c r="O2848" i="25" s="1"/>
  <c r="O2849" i="25" s="1"/>
  <c r="O2850" i="25" s="1"/>
  <c r="O2851" i="25" s="1"/>
  <c r="O2852" i="25" s="1"/>
  <c r="O2853" i="25" s="1"/>
  <c r="O2854" i="25" s="1"/>
  <c r="O2855" i="25" s="1"/>
  <c r="O2856" i="25" s="1"/>
  <c r="O2857" i="25" s="1"/>
  <c r="O2858" i="25" s="1"/>
  <c r="O2859" i="25" s="1"/>
  <c r="O2860" i="25" s="1"/>
  <c r="O2861" i="25" s="1"/>
  <c r="O2862" i="25" s="1"/>
  <c r="O2863" i="25" s="1"/>
  <c r="O2864" i="25" s="1"/>
  <c r="O2865" i="25" s="1"/>
  <c r="O2866" i="25" s="1"/>
  <c r="O2867" i="25" s="1"/>
  <c r="O2868" i="25" s="1"/>
  <c r="O2869" i="25" s="1"/>
  <c r="O2870" i="25" s="1"/>
  <c r="O2871" i="25" s="1"/>
  <c r="O2872" i="25" s="1"/>
  <c r="O2873" i="25" s="1"/>
  <c r="O2874" i="25" s="1"/>
  <c r="O2875" i="25" s="1"/>
  <c r="O2876" i="25" s="1"/>
  <c r="O2877" i="25" s="1"/>
  <c r="O2878" i="25" s="1"/>
  <c r="O2879" i="25" s="1"/>
  <c r="O2880" i="25" s="1"/>
  <c r="O2881" i="25" s="1"/>
  <c r="O2882" i="25" s="1"/>
  <c r="O2883" i="25" s="1"/>
  <c r="O2884" i="25" s="1"/>
  <c r="O2885" i="25" s="1"/>
  <c r="O2886" i="25" s="1"/>
  <c r="O2887" i="25" s="1"/>
  <c r="O2888" i="25" s="1"/>
  <c r="O2889" i="25" s="1"/>
  <c r="O2890" i="25" s="1"/>
  <c r="O2891" i="25" s="1"/>
  <c r="O2892" i="25" s="1"/>
  <c r="O2893" i="25" s="1"/>
  <c r="O2894" i="25" s="1"/>
  <c r="O2895" i="25" s="1"/>
  <c r="O2896" i="25" s="1"/>
  <c r="O2897" i="25" s="1"/>
  <c r="O2898" i="25" s="1"/>
  <c r="O2899" i="25" s="1"/>
  <c r="O2900" i="25" s="1"/>
  <c r="O2901" i="25" s="1"/>
  <c r="O2902" i="25" s="1"/>
  <c r="O2903" i="25" s="1"/>
  <c r="O2904" i="25" s="1"/>
  <c r="O2905" i="25" s="1"/>
  <c r="O2906" i="25" s="1"/>
  <c r="O2907" i="25" s="1"/>
  <c r="O2908" i="25" s="1"/>
  <c r="O2909" i="25" s="1"/>
  <c r="O2910" i="25" s="1"/>
  <c r="O2911" i="25" s="1"/>
  <c r="O2912" i="25" s="1"/>
  <c r="O2913" i="25" s="1"/>
  <c r="O2914" i="25" s="1"/>
  <c r="O2915" i="25" s="1"/>
  <c r="O2916" i="25" s="1"/>
  <c r="O2917" i="25" s="1"/>
  <c r="O2918" i="25" s="1"/>
  <c r="O2919" i="25" s="1"/>
  <c r="O2920" i="25" s="1"/>
  <c r="O2921" i="25" s="1"/>
  <c r="O2922" i="25" s="1"/>
  <c r="O2923" i="25" s="1"/>
  <c r="O2924" i="25" s="1"/>
  <c r="O2925" i="25" s="1"/>
  <c r="O2926" i="25" s="1"/>
  <c r="O2927" i="25" s="1"/>
  <c r="O2928" i="25" s="1"/>
  <c r="O2929" i="25" s="1"/>
  <c r="O2930" i="25" s="1"/>
  <c r="O2931" i="25" s="1"/>
  <c r="O2932" i="25" s="1"/>
  <c r="O2933" i="25" s="1"/>
  <c r="O2934" i="25" s="1"/>
  <c r="O2935" i="25" s="1"/>
  <c r="O2936" i="25" s="1"/>
  <c r="O2937" i="25" s="1"/>
  <c r="O2938" i="25" s="1"/>
  <c r="O2939" i="25" s="1"/>
  <c r="O2940" i="25" s="1"/>
  <c r="O2941" i="25" s="1"/>
  <c r="O2942" i="25" s="1"/>
  <c r="O2943" i="25" s="1"/>
  <c r="O2944" i="25" s="1"/>
  <c r="O2945" i="25" s="1"/>
  <c r="O2946" i="25" s="1"/>
  <c r="O2947" i="25" s="1"/>
  <c r="O2948" i="25" s="1"/>
  <c r="O2949" i="25" s="1"/>
  <c r="O2950" i="25" s="1"/>
  <c r="O2951" i="25" s="1"/>
  <c r="O2952" i="25" s="1"/>
  <c r="O2953" i="25" s="1"/>
  <c r="O2954" i="25" s="1"/>
  <c r="O2955" i="25" s="1"/>
  <c r="O2956" i="25" s="1"/>
  <c r="O2957" i="25" s="1"/>
  <c r="O2958" i="25" s="1"/>
  <c r="O2959" i="25" s="1"/>
  <c r="O2960" i="25" s="1"/>
  <c r="O2961" i="25" s="1"/>
  <c r="O2962" i="25" s="1"/>
  <c r="O2963" i="25" s="1"/>
  <c r="O2964" i="25" s="1"/>
  <c r="O2965" i="25" s="1"/>
  <c r="O2966" i="25" s="1"/>
  <c r="O2967" i="25" s="1"/>
  <c r="O2968" i="25" s="1"/>
  <c r="O2969" i="25" s="1"/>
  <c r="O2970" i="25" s="1"/>
  <c r="O2971" i="25" s="1"/>
  <c r="O2972" i="25" s="1"/>
  <c r="O2973" i="25" s="1"/>
  <c r="O2974" i="25" s="1"/>
  <c r="O2975" i="25" s="1"/>
  <c r="O2976" i="25" s="1"/>
  <c r="O2977" i="25" s="1"/>
  <c r="O2978" i="25" s="1"/>
  <c r="O2979" i="25" s="1"/>
  <c r="O2980" i="25" s="1"/>
  <c r="O2981" i="25" s="1"/>
  <c r="O2982" i="25" s="1"/>
  <c r="O2983" i="25" s="1"/>
  <c r="O2984" i="25" s="1"/>
  <c r="O2985" i="25" s="1"/>
  <c r="O2986" i="25" s="1"/>
  <c r="O2987" i="25" s="1"/>
  <c r="O2988" i="25" s="1"/>
  <c r="O2989" i="25" s="1"/>
  <c r="O2990" i="25" s="1"/>
  <c r="O2991" i="25" s="1"/>
  <c r="O2992" i="25" s="1"/>
  <c r="O2993" i="25" s="1"/>
  <c r="O2994" i="25" s="1"/>
  <c r="O2995" i="25" s="1"/>
  <c r="O2996" i="25" s="1"/>
  <c r="O2997" i="25" s="1"/>
  <c r="O2998" i="25" s="1"/>
  <c r="O2999" i="25" s="1"/>
  <c r="O3000" i="25" s="1"/>
  <c r="O3001" i="25" s="1"/>
  <c r="O3002" i="25" s="1"/>
  <c r="O3003" i="25" s="1"/>
  <c r="O3004" i="25" s="1"/>
  <c r="O3005" i="25" s="1"/>
  <c r="O3006" i="25" s="1"/>
  <c r="O3007" i="25" s="1"/>
  <c r="O3008" i="25" s="1"/>
  <c r="O3009" i="25" s="1"/>
  <c r="O3010" i="25" s="1"/>
  <c r="O3011" i="25" s="1"/>
  <c r="O3012" i="25" s="1"/>
  <c r="O3013" i="25" s="1"/>
  <c r="O3014" i="25" s="1"/>
  <c r="O3015" i="25" s="1"/>
  <c r="O3016" i="25" s="1"/>
  <c r="O3017" i="25" s="1"/>
  <c r="O3018" i="25" s="1"/>
  <c r="O3019" i="25" s="1"/>
  <c r="O3020" i="25" s="1"/>
  <c r="O3021" i="25" s="1"/>
  <c r="O3022" i="25" s="1"/>
  <c r="O3023" i="25" s="1"/>
  <c r="O3024" i="25" s="1"/>
  <c r="O3025" i="25" s="1"/>
  <c r="O3026" i="25" s="1"/>
  <c r="O3027" i="25" s="1"/>
  <c r="O3028" i="25" s="1"/>
  <c r="O3029" i="25" s="1"/>
  <c r="O3030" i="25" s="1"/>
  <c r="O3031" i="25" s="1"/>
  <c r="O3032" i="25" s="1"/>
  <c r="O3033" i="25" s="1"/>
  <c r="O3034" i="25" s="1"/>
  <c r="O3035" i="25" s="1"/>
  <c r="O3036" i="25" s="1"/>
  <c r="O3037" i="25" s="1"/>
  <c r="O3038" i="25" s="1"/>
  <c r="O3039" i="25" s="1"/>
  <c r="O3040" i="25" s="1"/>
  <c r="O3041" i="25" s="1"/>
  <c r="O3042" i="25" s="1"/>
  <c r="O3043" i="25" s="1"/>
  <c r="O3044" i="25" s="1"/>
  <c r="O3045" i="25" s="1"/>
  <c r="O3046" i="25" s="1"/>
  <c r="O3047" i="25" s="1"/>
  <c r="O3048" i="25" s="1"/>
  <c r="O3049" i="25" s="1"/>
  <c r="O3050" i="25" s="1"/>
  <c r="O3051" i="25" s="1"/>
  <c r="O3052" i="25" s="1"/>
  <c r="O3053" i="25" s="1"/>
  <c r="O3054" i="25" s="1"/>
  <c r="O3055" i="25" s="1"/>
  <c r="O3056" i="25" s="1"/>
  <c r="O3057" i="25" s="1"/>
  <c r="O3058" i="25" s="1"/>
  <c r="O3059" i="25" s="1"/>
  <c r="O3060" i="25" s="1"/>
  <c r="O3061" i="25" s="1"/>
  <c r="O3062" i="25" s="1"/>
  <c r="O3063" i="25" s="1"/>
  <c r="O3064" i="25" s="1"/>
  <c r="O3065" i="25" s="1"/>
  <c r="O3066" i="25" s="1"/>
  <c r="O3067" i="25" s="1"/>
  <c r="O3068" i="25" s="1"/>
  <c r="O3069" i="25" s="1"/>
  <c r="O3070" i="25" s="1"/>
  <c r="O3071" i="25" s="1"/>
  <c r="O3072" i="25" s="1"/>
  <c r="O3073" i="25" s="1"/>
  <c r="O3074" i="25" s="1"/>
  <c r="O3075" i="25" s="1"/>
  <c r="O3076" i="25" s="1"/>
  <c r="O3077" i="25" s="1"/>
  <c r="O3078" i="25" s="1"/>
  <c r="O3079" i="25" s="1"/>
  <c r="O3080" i="25" s="1"/>
  <c r="O3081" i="25" s="1"/>
  <c r="O3082" i="25" s="1"/>
  <c r="O3083" i="25" s="1"/>
  <c r="O3084" i="25" s="1"/>
  <c r="O3085" i="25" s="1"/>
  <c r="O3086" i="25" s="1"/>
  <c r="O3087" i="25" s="1"/>
  <c r="O3088" i="25" s="1"/>
  <c r="O3089" i="25" s="1"/>
  <c r="O3090" i="25" s="1"/>
  <c r="O3091" i="25" s="1"/>
  <c r="O3092" i="25" s="1"/>
  <c r="O3093" i="25" s="1"/>
  <c r="O3094" i="25" s="1"/>
  <c r="O3095" i="25" s="1"/>
  <c r="O3096" i="25" s="1"/>
  <c r="O3097" i="25" s="1"/>
  <c r="O3098" i="25" s="1"/>
  <c r="O3099" i="25" s="1"/>
  <c r="O3100" i="25" s="1"/>
  <c r="O3101" i="25" s="1"/>
  <c r="O3102" i="25" s="1"/>
  <c r="O3103" i="25" s="1"/>
  <c r="O3104" i="25" s="1"/>
  <c r="O3105" i="25" s="1"/>
  <c r="O3106" i="25" s="1"/>
  <c r="O3107" i="25" s="1"/>
  <c r="O3108" i="25" s="1"/>
  <c r="O3109" i="25" s="1"/>
  <c r="O3110" i="25" s="1"/>
  <c r="O3111" i="25" s="1"/>
  <c r="O3112" i="25" s="1"/>
  <c r="O3113" i="25" s="1"/>
  <c r="O3114" i="25" s="1"/>
  <c r="O3115" i="25" s="1"/>
  <c r="O3116" i="25" s="1"/>
  <c r="O3117" i="25" s="1"/>
  <c r="O3118" i="25" s="1"/>
  <c r="O3119" i="25" s="1"/>
  <c r="O3120" i="25" s="1"/>
  <c r="O3121" i="25" s="1"/>
  <c r="O3122" i="25" s="1"/>
  <c r="O3123" i="25" s="1"/>
  <c r="O3124" i="25" s="1"/>
  <c r="O3125" i="25" s="1"/>
  <c r="O3126" i="25" s="1"/>
  <c r="O3127" i="25" s="1"/>
  <c r="O3128" i="25" s="1"/>
  <c r="O3129" i="25" s="1"/>
  <c r="O3130" i="25" s="1"/>
  <c r="O3131" i="25" s="1"/>
  <c r="O3132" i="25" s="1"/>
  <c r="O3133" i="25" s="1"/>
  <c r="O3134" i="25" s="1"/>
  <c r="O3135" i="25" s="1"/>
  <c r="O3136" i="25" s="1"/>
  <c r="O3137" i="25" s="1"/>
  <c r="O3138" i="25" s="1"/>
  <c r="O3139" i="25" s="1"/>
  <c r="O3140" i="25" s="1"/>
  <c r="O3141" i="25" s="1"/>
  <c r="O3142" i="25" s="1"/>
  <c r="O3143" i="25" s="1"/>
  <c r="O3144" i="25" s="1"/>
  <c r="O3145" i="25" s="1"/>
  <c r="O3146" i="25" s="1"/>
  <c r="O3147" i="25" s="1"/>
  <c r="O3148" i="25" s="1"/>
  <c r="O3149" i="25" s="1"/>
  <c r="O3150" i="25" s="1"/>
  <c r="O3151" i="25" s="1"/>
  <c r="O3152" i="25" s="1"/>
  <c r="O3153" i="25" s="1"/>
  <c r="O3154" i="25" s="1"/>
  <c r="O3155" i="25" s="1"/>
  <c r="O3156" i="25" s="1"/>
  <c r="O3157" i="25" s="1"/>
  <c r="O3158" i="25" s="1"/>
  <c r="O3159" i="25" s="1"/>
  <c r="O3160" i="25" s="1"/>
  <c r="O3161" i="25" s="1"/>
  <c r="O3162" i="25" s="1"/>
  <c r="O3163" i="25" s="1"/>
  <c r="O3164" i="25" s="1"/>
  <c r="O3165" i="25" s="1"/>
  <c r="O3166" i="25" s="1"/>
  <c r="O3167" i="25" s="1"/>
  <c r="O3168" i="25" s="1"/>
  <c r="O3169" i="25" s="1"/>
  <c r="O3170" i="25" s="1"/>
  <c r="O3171" i="25" s="1"/>
  <c r="O3172" i="25" s="1"/>
  <c r="O3173" i="25" s="1"/>
  <c r="O3174" i="25" s="1"/>
  <c r="O3175" i="25" s="1"/>
  <c r="O3176" i="25" s="1"/>
  <c r="O3177" i="25" s="1"/>
  <c r="O3178" i="25" s="1"/>
  <c r="O3179" i="25" s="1"/>
  <c r="O3180" i="25" s="1"/>
  <c r="O3181" i="25" s="1"/>
  <c r="O3182" i="25" s="1"/>
  <c r="O3183" i="25" s="1"/>
  <c r="O3184" i="25" s="1"/>
  <c r="O3185" i="25" s="1"/>
  <c r="O3186" i="25" s="1"/>
  <c r="O3187" i="25" s="1"/>
  <c r="O3188" i="25" s="1"/>
  <c r="O3189" i="25" s="1"/>
  <c r="O3190" i="25" s="1"/>
  <c r="O3191" i="25" s="1"/>
  <c r="O3192" i="25" s="1"/>
  <c r="O3193" i="25" s="1"/>
  <c r="O3194" i="25" s="1"/>
  <c r="O3195" i="25" s="1"/>
  <c r="O3196" i="25" s="1"/>
  <c r="O3197" i="25" s="1"/>
  <c r="O3198" i="25" s="1"/>
  <c r="O3199" i="25" s="1"/>
  <c r="O3200" i="25" s="1"/>
  <c r="O3201" i="25" s="1"/>
  <c r="O3202" i="25" s="1"/>
  <c r="O3203" i="25" s="1"/>
  <c r="O3204" i="25" s="1"/>
  <c r="O3205" i="25" s="1"/>
  <c r="O3206" i="25" s="1"/>
  <c r="O3207" i="25" s="1"/>
  <c r="O3208" i="25" s="1"/>
  <c r="O3209" i="25" s="1"/>
  <c r="O3210" i="25" s="1"/>
  <c r="O3211" i="25" s="1"/>
  <c r="O3212" i="25" s="1"/>
  <c r="O3213" i="25" s="1"/>
  <c r="O3214" i="25" s="1"/>
  <c r="O3215" i="25" s="1"/>
  <c r="O3216" i="25" s="1"/>
  <c r="O3217" i="25" s="1"/>
  <c r="O3218" i="25" s="1"/>
  <c r="O3219" i="25" s="1"/>
  <c r="O3220" i="25" s="1"/>
  <c r="O3221" i="25" s="1"/>
  <c r="O3222" i="25" s="1"/>
  <c r="O3223" i="25" s="1"/>
  <c r="O3224" i="25" s="1"/>
  <c r="O3225" i="25" s="1"/>
  <c r="O3226" i="25" s="1"/>
  <c r="O3227" i="25" s="1"/>
  <c r="O3228" i="25" s="1"/>
  <c r="O3229" i="25" s="1"/>
  <c r="O3230" i="25" s="1"/>
  <c r="O3231" i="25" s="1"/>
  <c r="O3232" i="25" s="1"/>
  <c r="O3233" i="25" s="1"/>
  <c r="O3234" i="25" s="1"/>
  <c r="O3235" i="25" s="1"/>
  <c r="O3236" i="25" s="1"/>
  <c r="O3237" i="25" s="1"/>
  <c r="O3238" i="25" s="1"/>
  <c r="O3239" i="25" s="1"/>
  <c r="O3240" i="25" s="1"/>
  <c r="O3241" i="25" s="1"/>
  <c r="O3242" i="25" s="1"/>
  <c r="O3243" i="25" s="1"/>
  <c r="O3244" i="25" s="1"/>
  <c r="O3245" i="25" s="1"/>
  <c r="O3246" i="25" s="1"/>
  <c r="O3247" i="25" s="1"/>
  <c r="O3248" i="25" s="1"/>
  <c r="O3249" i="25" s="1"/>
  <c r="O3250" i="25" s="1"/>
  <c r="O3251" i="25" s="1"/>
  <c r="O3252" i="25" s="1"/>
  <c r="O3253" i="25" s="1"/>
  <c r="O3254" i="25" s="1"/>
  <c r="O3255" i="25" s="1"/>
  <c r="O3256" i="25" s="1"/>
  <c r="O3257" i="25" s="1"/>
  <c r="O3258" i="25" s="1"/>
  <c r="O3259" i="25" s="1"/>
  <c r="O3260" i="25" s="1"/>
  <c r="O3261" i="25" s="1"/>
  <c r="O3262" i="25" s="1"/>
  <c r="O3263" i="25" s="1"/>
  <c r="O3264" i="25" s="1"/>
  <c r="O3265" i="25" s="1"/>
  <c r="O3266" i="25" s="1"/>
  <c r="O3267" i="25" s="1"/>
  <c r="O3268" i="25" s="1"/>
  <c r="O3269" i="25" s="1"/>
  <c r="O3270" i="25" s="1"/>
  <c r="O3271" i="25" s="1"/>
  <c r="O3272" i="25" s="1"/>
  <c r="O3273" i="25" s="1"/>
  <c r="O3274" i="25" s="1"/>
  <c r="O3275" i="25" s="1"/>
  <c r="O3276" i="25" s="1"/>
  <c r="O3277" i="25" s="1"/>
  <c r="O3278" i="25" s="1"/>
  <c r="O3279" i="25" s="1"/>
  <c r="O3280" i="25" s="1"/>
  <c r="O3281" i="25" s="1"/>
  <c r="O3282" i="25" s="1"/>
  <c r="O3283" i="25" s="1"/>
  <c r="O3284" i="25" s="1"/>
  <c r="O3285" i="25" s="1"/>
  <c r="O3286" i="25" s="1"/>
  <c r="O3287" i="25" s="1"/>
  <c r="O3288" i="25" s="1"/>
  <c r="O3289" i="25" s="1"/>
  <c r="O3290" i="25" s="1"/>
  <c r="O3291" i="25" s="1"/>
  <c r="O3292" i="25" s="1"/>
  <c r="O3293" i="25" s="1"/>
  <c r="O3294" i="25" s="1"/>
  <c r="O3295" i="25" s="1"/>
  <c r="O3296" i="25" s="1"/>
  <c r="O3297" i="25" s="1"/>
  <c r="O3298" i="25" s="1"/>
  <c r="O3299" i="25" s="1"/>
  <c r="O3300" i="25" s="1"/>
  <c r="O3301" i="25" s="1"/>
  <c r="O3302" i="25" s="1"/>
  <c r="O3303" i="25" s="1"/>
  <c r="O3304" i="25" s="1"/>
  <c r="O3305" i="25" s="1"/>
  <c r="O3306" i="25" s="1"/>
  <c r="O3307" i="25" s="1"/>
  <c r="O3308" i="25" s="1"/>
  <c r="O3309" i="25" s="1"/>
  <c r="O3310" i="25" s="1"/>
  <c r="O3311" i="25" s="1"/>
  <c r="O3312" i="25" s="1"/>
  <c r="O3313" i="25" s="1"/>
  <c r="O3314" i="25" s="1"/>
  <c r="O3315" i="25" s="1"/>
  <c r="O3316" i="25" s="1"/>
  <c r="O3317" i="25" s="1"/>
  <c r="O3318" i="25" s="1"/>
  <c r="O3319" i="25" s="1"/>
  <c r="O3320" i="25" s="1"/>
  <c r="O3321" i="25" s="1"/>
  <c r="O3322" i="25" s="1"/>
  <c r="O3323" i="25" s="1"/>
  <c r="O3324" i="25" s="1"/>
  <c r="O3325" i="25" s="1"/>
  <c r="O3326" i="25" s="1"/>
  <c r="O3327" i="25" s="1"/>
  <c r="O3328" i="25" s="1"/>
  <c r="O3329" i="25" s="1"/>
  <c r="O3330" i="25" s="1"/>
  <c r="O3331" i="25" s="1"/>
  <c r="O3332" i="25" s="1"/>
  <c r="O3333" i="25" s="1"/>
  <c r="O3334" i="25" s="1"/>
  <c r="O3335" i="25" s="1"/>
  <c r="O3336" i="25" s="1"/>
  <c r="O3337" i="25" s="1"/>
  <c r="O3338" i="25" s="1"/>
  <c r="O3339" i="25" s="1"/>
  <c r="O3340" i="25" s="1"/>
  <c r="O3341" i="25" s="1"/>
  <c r="O3342" i="25" s="1"/>
  <c r="O3343" i="25" s="1"/>
  <c r="O3344" i="25" s="1"/>
  <c r="O3345" i="25" s="1"/>
  <c r="O3346" i="25" s="1"/>
  <c r="O3347" i="25" s="1"/>
  <c r="O3348" i="25" s="1"/>
  <c r="O3349" i="25" s="1"/>
  <c r="O3350" i="25" s="1"/>
  <c r="O3351" i="25" s="1"/>
  <c r="O3352" i="25" s="1"/>
  <c r="O3353" i="25" s="1"/>
  <c r="O3354" i="25" s="1"/>
  <c r="O3355" i="25" s="1"/>
  <c r="O3356" i="25" s="1"/>
  <c r="O3357" i="25" s="1"/>
  <c r="O3358" i="25" s="1"/>
  <c r="O3359" i="25" s="1"/>
  <c r="O3360" i="25" s="1"/>
  <c r="O3361" i="25" s="1"/>
  <c r="O3362" i="25" s="1"/>
  <c r="O3363" i="25" s="1"/>
  <c r="O3364" i="25" s="1"/>
  <c r="O3365" i="25" s="1"/>
  <c r="O3366" i="25" s="1"/>
  <c r="O3367" i="25" s="1"/>
  <c r="O3368" i="25" s="1"/>
  <c r="O3369" i="25" s="1"/>
  <c r="O3370" i="25" s="1"/>
  <c r="O3371" i="25" s="1"/>
  <c r="O3372" i="25" s="1"/>
  <c r="O3373" i="25" s="1"/>
  <c r="O3374" i="25" s="1"/>
  <c r="O3375" i="25" s="1"/>
  <c r="O3376" i="25" s="1"/>
  <c r="O3377" i="25" s="1"/>
  <c r="O3378" i="25" s="1"/>
  <c r="O3379" i="25" s="1"/>
  <c r="O3380" i="25" s="1"/>
  <c r="O3381" i="25" s="1"/>
  <c r="O3382" i="25" s="1"/>
  <c r="O3383" i="25" s="1"/>
  <c r="O3384" i="25" s="1"/>
  <c r="O3385" i="25" s="1"/>
  <c r="O3386" i="25" s="1"/>
  <c r="O3387" i="25" s="1"/>
  <c r="O3388" i="25" s="1"/>
  <c r="O3389" i="25" s="1"/>
  <c r="O3390" i="25" s="1"/>
  <c r="O3391" i="25" s="1"/>
  <c r="O3392" i="25" s="1"/>
  <c r="O3393" i="25" s="1"/>
  <c r="O3394" i="25" s="1"/>
  <c r="O3395" i="25" s="1"/>
  <c r="O3396" i="25" s="1"/>
  <c r="O3397" i="25" s="1"/>
  <c r="O3398" i="25" s="1"/>
  <c r="O3399" i="25" s="1"/>
  <c r="O3400" i="25" s="1"/>
  <c r="O3401" i="25" s="1"/>
  <c r="O3402" i="25" s="1"/>
  <c r="O3403" i="25" s="1"/>
  <c r="O3404" i="25" s="1"/>
  <c r="O3405" i="25" s="1"/>
  <c r="O3406" i="25" s="1"/>
  <c r="O3407" i="25" s="1"/>
  <c r="O3408" i="25" s="1"/>
  <c r="O3409" i="25" s="1"/>
  <c r="O3410" i="25" s="1"/>
  <c r="O3411" i="25" s="1"/>
  <c r="O3412" i="25" s="1"/>
  <c r="O3413" i="25" s="1"/>
  <c r="O3414" i="25" s="1"/>
  <c r="O3415" i="25" s="1"/>
  <c r="O3416" i="25" s="1"/>
  <c r="O3417" i="25" s="1"/>
  <c r="O3418" i="25" s="1"/>
  <c r="O3419" i="25" s="1"/>
  <c r="O3420" i="25" s="1"/>
  <c r="O3421" i="25" s="1"/>
  <c r="O3422" i="25" s="1"/>
  <c r="O3423" i="25" s="1"/>
  <c r="O3424" i="25" s="1"/>
  <c r="O3425" i="25" s="1"/>
  <c r="O3426" i="25" s="1"/>
  <c r="O3427" i="25" s="1"/>
  <c r="O3428" i="25" s="1"/>
  <c r="O3429" i="25" s="1"/>
  <c r="O3430" i="25" s="1"/>
  <c r="O3431" i="25" s="1"/>
  <c r="O3432" i="25" s="1"/>
  <c r="O3433" i="25" s="1"/>
  <c r="O3434" i="25" s="1"/>
  <c r="O3435" i="25" s="1"/>
  <c r="O3436" i="25" s="1"/>
  <c r="O3437" i="25" s="1"/>
  <c r="O3438" i="25" s="1"/>
  <c r="O3439" i="25" s="1"/>
  <c r="O3440" i="25" s="1"/>
  <c r="O3441" i="25" s="1"/>
  <c r="O3442" i="25" s="1"/>
  <c r="O3443" i="25" s="1"/>
  <c r="O3444" i="25" s="1"/>
  <c r="O3445" i="25" s="1"/>
  <c r="O3446" i="25" s="1"/>
  <c r="O3447" i="25" s="1"/>
  <c r="O3448" i="25" s="1"/>
  <c r="O3449" i="25" s="1"/>
  <c r="O3450" i="25" s="1"/>
  <c r="O3451" i="25" s="1"/>
  <c r="O3452" i="25" s="1"/>
  <c r="O3453" i="25" s="1"/>
  <c r="O3454" i="25" s="1"/>
  <c r="O3455" i="25" s="1"/>
  <c r="O3456" i="25" s="1"/>
  <c r="O3457" i="25" s="1"/>
  <c r="O3458" i="25" s="1"/>
  <c r="O3459" i="25" s="1"/>
  <c r="O3460" i="25" s="1"/>
  <c r="O3461" i="25" s="1"/>
  <c r="O3462" i="25" s="1"/>
  <c r="O3463" i="25" s="1"/>
  <c r="O3464" i="25" s="1"/>
  <c r="O3465" i="25" s="1"/>
  <c r="O3466" i="25" s="1"/>
  <c r="O3467" i="25" s="1"/>
  <c r="O3468" i="25" s="1"/>
  <c r="O3469" i="25" s="1"/>
  <c r="O3470" i="25" s="1"/>
  <c r="O3471" i="25" s="1"/>
  <c r="O3472" i="25" s="1"/>
  <c r="O3473" i="25" s="1"/>
  <c r="O3474" i="25" s="1"/>
  <c r="O3475" i="25" s="1"/>
  <c r="O3476" i="25" s="1"/>
  <c r="O3477" i="25" s="1"/>
  <c r="O3478" i="25" s="1"/>
  <c r="O3479" i="25" s="1"/>
  <c r="O3480" i="25" s="1"/>
  <c r="O3481" i="25" s="1"/>
  <c r="O3482" i="25" s="1"/>
  <c r="O3483" i="25" s="1"/>
  <c r="O3484" i="25" s="1"/>
  <c r="O3485" i="25" s="1"/>
  <c r="O3486" i="25" s="1"/>
  <c r="O3487" i="25" s="1"/>
  <c r="O3488" i="25" s="1"/>
  <c r="O3489" i="25" s="1"/>
  <c r="O3490" i="25" s="1"/>
  <c r="O3491" i="25" s="1"/>
  <c r="O3492" i="25" s="1"/>
  <c r="O3493" i="25" s="1"/>
  <c r="O3494" i="25" s="1"/>
  <c r="O3495" i="25" s="1"/>
  <c r="O3496" i="25" s="1"/>
  <c r="O3497" i="25" s="1"/>
  <c r="O3498" i="25" s="1"/>
  <c r="O3499" i="25" s="1"/>
  <c r="O3500" i="25" s="1"/>
  <c r="O3501" i="25" s="1"/>
  <c r="O3502" i="25" s="1"/>
  <c r="O3503" i="25" s="1"/>
  <c r="O3504" i="25" s="1"/>
  <c r="O3505" i="25" s="1"/>
  <c r="O3506" i="25" s="1"/>
  <c r="O3507" i="25" s="1"/>
  <c r="O3508" i="25" s="1"/>
  <c r="O3509" i="25" s="1"/>
  <c r="O3510" i="25" s="1"/>
  <c r="O3511" i="25" s="1"/>
  <c r="O3512" i="25" s="1"/>
  <c r="O3513" i="25" s="1"/>
  <c r="O3514" i="25" s="1"/>
  <c r="O3515" i="25" s="1"/>
  <c r="O3516" i="25" s="1"/>
  <c r="O3517" i="25" s="1"/>
  <c r="O3518" i="25" s="1"/>
  <c r="O3519" i="25" s="1"/>
  <c r="O3520" i="25" s="1"/>
  <c r="O3521" i="25" s="1"/>
  <c r="O3522" i="25" s="1"/>
  <c r="O3523" i="25" s="1"/>
  <c r="O3524" i="25" s="1"/>
  <c r="O3525" i="25" s="1"/>
  <c r="O3526" i="25" s="1"/>
  <c r="O3527" i="25" s="1"/>
  <c r="O3528" i="25" s="1"/>
  <c r="O3529" i="25" s="1"/>
  <c r="O3530" i="25" s="1"/>
  <c r="O3531" i="25" s="1"/>
  <c r="O3532" i="25" s="1"/>
  <c r="O3533" i="25" s="1"/>
  <c r="O3534" i="25" s="1"/>
  <c r="O3535" i="25" s="1"/>
  <c r="O3536" i="25" s="1"/>
  <c r="O3537" i="25" s="1"/>
  <c r="O3538" i="25" s="1"/>
  <c r="O3539" i="25" s="1"/>
  <c r="O3540" i="25" s="1"/>
  <c r="O3541" i="25" s="1"/>
  <c r="O3542" i="25" s="1"/>
  <c r="O3543" i="25" s="1"/>
  <c r="O3544" i="25" s="1"/>
  <c r="O3545" i="25" s="1"/>
  <c r="O3546" i="25" s="1"/>
  <c r="O3547" i="25" s="1"/>
  <c r="O3548" i="25" s="1"/>
  <c r="O3549" i="25" s="1"/>
  <c r="O3550" i="25" s="1"/>
  <c r="O3551" i="25" s="1"/>
  <c r="O3552" i="25" s="1"/>
  <c r="O3553" i="25" s="1"/>
  <c r="O3554" i="25" s="1"/>
  <c r="O3555" i="25" s="1"/>
  <c r="O3556" i="25" s="1"/>
  <c r="O3557" i="25" s="1"/>
  <c r="O3558" i="25" s="1"/>
  <c r="O3559" i="25" s="1"/>
  <c r="O3560" i="25" s="1"/>
  <c r="O3561" i="25" s="1"/>
  <c r="O3562" i="25" s="1"/>
  <c r="O3563" i="25" s="1"/>
  <c r="O3564" i="25" s="1"/>
  <c r="O3565" i="25" s="1"/>
  <c r="O3566" i="25" s="1"/>
  <c r="O3567" i="25" s="1"/>
  <c r="O3568" i="25" s="1"/>
  <c r="O3569" i="25" s="1"/>
  <c r="O3570" i="25" s="1"/>
  <c r="O3571" i="25" s="1"/>
  <c r="O3572" i="25" s="1"/>
  <c r="O3573" i="25" s="1"/>
  <c r="O3574" i="25" s="1"/>
  <c r="O3575" i="25" s="1"/>
  <c r="O3576" i="25" s="1"/>
  <c r="O3577" i="25" s="1"/>
  <c r="O3578" i="25" s="1"/>
  <c r="O3579" i="25" s="1"/>
  <c r="O3580" i="25" s="1"/>
  <c r="O3581" i="25" s="1"/>
  <c r="O3582" i="25" s="1"/>
  <c r="O3583" i="25" s="1"/>
  <c r="O3584" i="25" s="1"/>
  <c r="O3585" i="25" s="1"/>
  <c r="O3586" i="25" s="1"/>
  <c r="O3587" i="25" s="1"/>
  <c r="O3588" i="25" s="1"/>
  <c r="O3589" i="25" s="1"/>
  <c r="O3590" i="25" s="1"/>
  <c r="O3591" i="25" s="1"/>
  <c r="O3592" i="25" s="1"/>
  <c r="O3593" i="25" s="1"/>
  <c r="O3594" i="25" s="1"/>
  <c r="O3595" i="25" s="1"/>
  <c r="O3596" i="25" s="1"/>
  <c r="O3597" i="25" s="1"/>
  <c r="O3598" i="25" s="1"/>
  <c r="O3599" i="25" s="1"/>
  <c r="O3600" i="25" s="1"/>
  <c r="O3601" i="25" s="1"/>
  <c r="O3602" i="25" s="1"/>
  <c r="O3603" i="25" s="1"/>
  <c r="O3604" i="25" s="1"/>
  <c r="O3605" i="25" s="1"/>
  <c r="O3606" i="25" s="1"/>
  <c r="O3607" i="25" s="1"/>
  <c r="O3608" i="25" s="1"/>
  <c r="O3609" i="25" s="1"/>
  <c r="O3610" i="25" s="1"/>
  <c r="O3611" i="25" s="1"/>
  <c r="O3612" i="25" s="1"/>
  <c r="O3613" i="25" s="1"/>
  <c r="O3614" i="25" s="1"/>
  <c r="O3615" i="25" s="1"/>
  <c r="O3616" i="25" s="1"/>
  <c r="O3617" i="25" s="1"/>
  <c r="O3618" i="25" s="1"/>
  <c r="O3619" i="25" s="1"/>
  <c r="O3620" i="25" s="1"/>
  <c r="O3621" i="25" s="1"/>
  <c r="O3622" i="25" s="1"/>
  <c r="O3623" i="25" s="1"/>
  <c r="O3624" i="25" s="1"/>
  <c r="O3625" i="25" s="1"/>
  <c r="O3626" i="25" s="1"/>
  <c r="O3627" i="25" s="1"/>
  <c r="O3628" i="25" s="1"/>
  <c r="O3629" i="25" s="1"/>
  <c r="O3630" i="25" s="1"/>
  <c r="O3631" i="25" s="1"/>
  <c r="O3632" i="25" s="1"/>
  <c r="O3633" i="25" s="1"/>
  <c r="O3634" i="25" s="1"/>
  <c r="O3635" i="25" s="1"/>
  <c r="O3636" i="25" s="1"/>
  <c r="O3637" i="25" s="1"/>
  <c r="O3638" i="25" s="1"/>
  <c r="O3639" i="25" s="1"/>
  <c r="O3640" i="25" s="1"/>
  <c r="O3641" i="25" s="1"/>
  <c r="O3642" i="25" s="1"/>
  <c r="O3643" i="25" s="1"/>
  <c r="O3644" i="25" s="1"/>
  <c r="O3645" i="25" s="1"/>
  <c r="O3646" i="25" s="1"/>
  <c r="O3647" i="25" s="1"/>
  <c r="O3648" i="25" s="1"/>
  <c r="O3649" i="25" s="1"/>
  <c r="O3650" i="25" s="1"/>
  <c r="O3651" i="25" s="1"/>
  <c r="O3652" i="25" s="1"/>
  <c r="O3653" i="25" s="1"/>
  <c r="O3654" i="25" s="1"/>
  <c r="O3655" i="25" s="1"/>
  <c r="O3656" i="25" s="1"/>
  <c r="O3657" i="25" s="1"/>
  <c r="O3658" i="25" s="1"/>
  <c r="O3659" i="25" s="1"/>
  <c r="O3660" i="25" s="1"/>
  <c r="O3661" i="25" s="1"/>
  <c r="O3662" i="25" s="1"/>
  <c r="O3663" i="25" s="1"/>
  <c r="O3664" i="25" s="1"/>
  <c r="O3665" i="25" s="1"/>
  <c r="O3666" i="25" s="1"/>
  <c r="O3667" i="25" s="1"/>
  <c r="O3668" i="25" s="1"/>
  <c r="O3669" i="25" s="1"/>
  <c r="O3670" i="25" s="1"/>
  <c r="O3671" i="25" s="1"/>
  <c r="O3672" i="25" s="1"/>
  <c r="O3673" i="25" s="1"/>
  <c r="O3674" i="25" s="1"/>
  <c r="O3675" i="25" s="1"/>
  <c r="O3676" i="25" s="1"/>
  <c r="O3677" i="25" s="1"/>
  <c r="O3678" i="25" s="1"/>
  <c r="O3679" i="25" s="1"/>
  <c r="O3680" i="25" s="1"/>
  <c r="O3681" i="25" s="1"/>
  <c r="O3682" i="25" s="1"/>
  <c r="O3683" i="25" s="1"/>
  <c r="O3684" i="25" s="1"/>
  <c r="O3685" i="25" s="1"/>
  <c r="O3686" i="25" s="1"/>
  <c r="O3687" i="25" s="1"/>
  <c r="O3688" i="25" s="1"/>
  <c r="O3689" i="25" s="1"/>
  <c r="O3690" i="25" s="1"/>
  <c r="O3691" i="25" s="1"/>
  <c r="O3692" i="25" s="1"/>
  <c r="O3693" i="25" s="1"/>
  <c r="O3694" i="25" s="1"/>
  <c r="O3695" i="25" s="1"/>
  <c r="O3696" i="25" s="1"/>
  <c r="O3697" i="25" s="1"/>
  <c r="O3698" i="25" s="1"/>
  <c r="O3699" i="25" s="1"/>
  <c r="O3700" i="25" s="1"/>
  <c r="O3701" i="25" s="1"/>
  <c r="O3702" i="25" s="1"/>
  <c r="O3703" i="25" s="1"/>
  <c r="O3704" i="25" s="1"/>
  <c r="O3705" i="25" s="1"/>
  <c r="O3706" i="25" s="1"/>
  <c r="O3707" i="25" s="1"/>
  <c r="O3708" i="25" s="1"/>
  <c r="O3709" i="25" s="1"/>
  <c r="O3710" i="25" s="1"/>
  <c r="O3711" i="25" s="1"/>
  <c r="O3712" i="25" s="1"/>
  <c r="O3713" i="25" s="1"/>
  <c r="O3714" i="25" s="1"/>
  <c r="O3715" i="25" s="1"/>
  <c r="O3716" i="25" s="1"/>
  <c r="O3717" i="25" s="1"/>
  <c r="O3718" i="25" s="1"/>
  <c r="O3719" i="25" s="1"/>
  <c r="O3720" i="25" s="1"/>
  <c r="O3721" i="25" s="1"/>
  <c r="O3722" i="25" s="1"/>
  <c r="O3723" i="25" s="1"/>
  <c r="O3724" i="25" s="1"/>
  <c r="O3725" i="25" s="1"/>
  <c r="O3726" i="25" s="1"/>
  <c r="O3727" i="25" s="1"/>
  <c r="O3728" i="25" s="1"/>
  <c r="O3729" i="25" s="1"/>
  <c r="O3730" i="25" s="1"/>
  <c r="O3731" i="25" s="1"/>
  <c r="O3732" i="25" s="1"/>
  <c r="O3733" i="25" s="1"/>
  <c r="O3734" i="25" s="1"/>
  <c r="O3735" i="25" s="1"/>
  <c r="O3736" i="25" s="1"/>
  <c r="O3737" i="25" s="1"/>
  <c r="O3738" i="25" s="1"/>
  <c r="O3739" i="25" s="1"/>
  <c r="O3740" i="25" s="1"/>
  <c r="O3741" i="25" s="1"/>
  <c r="O3742" i="25" s="1"/>
  <c r="O3743" i="25" s="1"/>
  <c r="O3744" i="25" s="1"/>
  <c r="O3745" i="25" s="1"/>
  <c r="O3746" i="25" s="1"/>
  <c r="O3747" i="25" s="1"/>
  <c r="O3748" i="25" s="1"/>
  <c r="O3749" i="25" s="1"/>
  <c r="O3750" i="25" s="1"/>
  <c r="O3751" i="25" s="1"/>
  <c r="O3752" i="25" s="1"/>
  <c r="O3753" i="25" s="1"/>
  <c r="O3754" i="25" s="1"/>
  <c r="O3755" i="25" s="1"/>
  <c r="O3756" i="25" s="1"/>
  <c r="O3757" i="25" s="1"/>
  <c r="O3758" i="25" s="1"/>
  <c r="O3759" i="25" s="1"/>
  <c r="O3760" i="25" s="1"/>
  <c r="O3761" i="25" s="1"/>
  <c r="O3762" i="25" s="1"/>
  <c r="O3763" i="25" s="1"/>
  <c r="O3764" i="25" s="1"/>
  <c r="O3765" i="25" s="1"/>
  <c r="O3766" i="25" s="1"/>
  <c r="O3767" i="25" s="1"/>
  <c r="O3768" i="25" s="1"/>
  <c r="O3769" i="25" s="1"/>
  <c r="O3770" i="25" s="1"/>
  <c r="O3771" i="25" s="1"/>
  <c r="O3772" i="25" s="1"/>
  <c r="O3773" i="25" s="1"/>
  <c r="O3774" i="25" s="1"/>
  <c r="O3775" i="25" s="1"/>
  <c r="O3776" i="25" s="1"/>
  <c r="O3777" i="25" s="1"/>
  <c r="O3778" i="25" s="1"/>
  <c r="O3779" i="25" s="1"/>
  <c r="O3780" i="25" s="1"/>
  <c r="O3781" i="25" s="1"/>
  <c r="O3782" i="25" s="1"/>
  <c r="O3783" i="25" s="1"/>
  <c r="O3784" i="25" s="1"/>
  <c r="O3785" i="25" s="1"/>
  <c r="O3786" i="25" s="1"/>
  <c r="O3787" i="25" s="1"/>
  <c r="O3788" i="25" s="1"/>
  <c r="O3789" i="25" s="1"/>
  <c r="O3790" i="25" s="1"/>
  <c r="O3791" i="25" s="1"/>
  <c r="O3792" i="25" s="1"/>
  <c r="O3793" i="25" s="1"/>
  <c r="O3794" i="25" s="1"/>
  <c r="O3795" i="25" s="1"/>
  <c r="O3796" i="25" s="1"/>
  <c r="O3797" i="25" s="1"/>
  <c r="O3798" i="25" s="1"/>
  <c r="O3799" i="25" s="1"/>
  <c r="O3800" i="25" s="1"/>
  <c r="O3801" i="25" s="1"/>
  <c r="O3802" i="25" s="1"/>
  <c r="O3803" i="25" s="1"/>
  <c r="O3804" i="25" s="1"/>
  <c r="O3805" i="25" s="1"/>
  <c r="O3806" i="25" s="1"/>
  <c r="O3807" i="25" s="1"/>
  <c r="O3808" i="25" s="1"/>
  <c r="O3809" i="25" s="1"/>
  <c r="O3810" i="25" s="1"/>
  <c r="O3811" i="25" s="1"/>
  <c r="O3812" i="25" s="1"/>
  <c r="O3813" i="25" s="1"/>
  <c r="O3814" i="25" s="1"/>
  <c r="O3815" i="25" s="1"/>
  <c r="O3816" i="25" s="1"/>
  <c r="O3817" i="25" s="1"/>
  <c r="O3818" i="25" s="1"/>
  <c r="O3819" i="25" s="1"/>
  <c r="O3820" i="25" s="1"/>
  <c r="O3821" i="25" s="1"/>
  <c r="O3822" i="25" s="1"/>
  <c r="O3823" i="25" s="1"/>
  <c r="O3824" i="25" s="1"/>
  <c r="O3825" i="25" s="1"/>
  <c r="O3826" i="25" s="1"/>
  <c r="O3827" i="25" s="1"/>
  <c r="O3828" i="25" s="1"/>
  <c r="O3829" i="25" s="1"/>
  <c r="O3830" i="25" s="1"/>
  <c r="O3831" i="25" s="1"/>
  <c r="O3832" i="25" s="1"/>
  <c r="O3833" i="25" s="1"/>
  <c r="O3834" i="25" s="1"/>
  <c r="O3835" i="25" s="1"/>
  <c r="O3836" i="25" s="1"/>
  <c r="O3837" i="25" s="1"/>
  <c r="O3838" i="25" s="1"/>
  <c r="O3839" i="25" s="1"/>
  <c r="O3840" i="25" s="1"/>
  <c r="O3841" i="25" s="1"/>
  <c r="O3842" i="25" s="1"/>
  <c r="O3843" i="25" s="1"/>
  <c r="O3844" i="25" s="1"/>
  <c r="O3845" i="25" s="1"/>
  <c r="O3846" i="25" s="1"/>
  <c r="O3847" i="25" s="1"/>
  <c r="O3848" i="25" s="1"/>
  <c r="O3849" i="25" s="1"/>
  <c r="O3850" i="25" s="1"/>
  <c r="O3851" i="25" s="1"/>
  <c r="O3852" i="25" s="1"/>
  <c r="O3853" i="25" s="1"/>
  <c r="O3854" i="25" s="1"/>
  <c r="O3855" i="25" s="1"/>
  <c r="O3856" i="25" s="1"/>
  <c r="O3857" i="25" s="1"/>
  <c r="O3858" i="25" s="1"/>
  <c r="O3859" i="25" s="1"/>
  <c r="O3860" i="25" s="1"/>
  <c r="O3861" i="25" s="1"/>
  <c r="O3862" i="25" s="1"/>
  <c r="O3863" i="25" s="1"/>
  <c r="O3864" i="25" s="1"/>
  <c r="O3865" i="25" s="1"/>
  <c r="O3866" i="25" s="1"/>
  <c r="O3867" i="25" s="1"/>
  <c r="O3868" i="25" s="1"/>
  <c r="O3869" i="25" s="1"/>
  <c r="O3870" i="25" s="1"/>
  <c r="O3871" i="25" s="1"/>
  <c r="O3872" i="25" s="1"/>
  <c r="O3873" i="25" s="1"/>
  <c r="O3874" i="25" s="1"/>
  <c r="O3875" i="25" s="1"/>
  <c r="O3876" i="25" s="1"/>
  <c r="O3877" i="25" s="1"/>
  <c r="O3878" i="25" s="1"/>
  <c r="O3879" i="25" s="1"/>
  <c r="O3880" i="25" s="1"/>
  <c r="O3881" i="25" s="1"/>
  <c r="O3882" i="25" s="1"/>
  <c r="O3883" i="25" s="1"/>
  <c r="O3884" i="25" s="1"/>
  <c r="O3885" i="25" s="1"/>
  <c r="O3886" i="25" s="1"/>
  <c r="O3887" i="25" s="1"/>
  <c r="O3888" i="25" s="1"/>
  <c r="O3889" i="25" s="1"/>
  <c r="O3890" i="25" s="1"/>
  <c r="O3891" i="25" s="1"/>
  <c r="O3892" i="25" s="1"/>
  <c r="O3893" i="25" s="1"/>
  <c r="O3894" i="25" s="1"/>
  <c r="O3895" i="25" s="1"/>
  <c r="O3896" i="25" s="1"/>
  <c r="O3897" i="25" s="1"/>
  <c r="O3898" i="25" s="1"/>
  <c r="O3899" i="25" s="1"/>
  <c r="O3900" i="25" s="1"/>
  <c r="O3901" i="25" s="1"/>
  <c r="O3902" i="25" s="1"/>
  <c r="O3903" i="25" s="1"/>
  <c r="O3904" i="25" s="1"/>
  <c r="O3905" i="25" s="1"/>
  <c r="O3906" i="25" s="1"/>
  <c r="O3907" i="25" s="1"/>
  <c r="O3908" i="25" s="1"/>
  <c r="O3909" i="25" s="1"/>
  <c r="O3910" i="25" s="1"/>
  <c r="O3911" i="25" s="1"/>
  <c r="O3912" i="25" s="1"/>
  <c r="O3913" i="25" s="1"/>
  <c r="O3914" i="25" s="1"/>
  <c r="O3915" i="25" s="1"/>
  <c r="O3916" i="25" s="1"/>
  <c r="O3917" i="25" s="1"/>
  <c r="O3918" i="25" s="1"/>
  <c r="O3919" i="25" s="1"/>
  <c r="O3920" i="25" s="1"/>
  <c r="O3921" i="25" s="1"/>
  <c r="O3922" i="25" s="1"/>
  <c r="O3923" i="25" s="1"/>
  <c r="O3924" i="25" s="1"/>
  <c r="O3925" i="25" s="1"/>
  <c r="O3926" i="25" s="1"/>
  <c r="O3927" i="25" s="1"/>
  <c r="O3928" i="25" s="1"/>
  <c r="O3929" i="25" s="1"/>
  <c r="O3930" i="25" s="1"/>
  <c r="O3931" i="25" s="1"/>
  <c r="O3932" i="25" s="1"/>
  <c r="O3933" i="25" s="1"/>
  <c r="O3934" i="25" s="1"/>
  <c r="O3935" i="25" s="1"/>
  <c r="O3936" i="25" s="1"/>
  <c r="O3937" i="25" s="1"/>
  <c r="O3938" i="25" s="1"/>
  <c r="O3939" i="25" s="1"/>
  <c r="O3940" i="25" s="1"/>
  <c r="O3941" i="25" s="1"/>
  <c r="O3942" i="25" s="1"/>
  <c r="O3943" i="25" s="1"/>
  <c r="O3944" i="25" s="1"/>
  <c r="O3945" i="25" s="1"/>
  <c r="O3946" i="25" s="1"/>
  <c r="O3947" i="25" s="1"/>
  <c r="O3948" i="25" s="1"/>
  <c r="O3949" i="25" s="1"/>
  <c r="O3950" i="25" s="1"/>
  <c r="O3951" i="25" s="1"/>
  <c r="O3952" i="25" s="1"/>
  <c r="O3953" i="25" s="1"/>
  <c r="O3954" i="25" s="1"/>
  <c r="O3955" i="25" s="1"/>
  <c r="O3956" i="25" s="1"/>
  <c r="O3957" i="25" s="1"/>
  <c r="O3958" i="25" s="1"/>
  <c r="O3959" i="25" s="1"/>
  <c r="O3960" i="25" s="1"/>
  <c r="O3961" i="25" s="1"/>
  <c r="O3962" i="25" s="1"/>
  <c r="O3963" i="25" s="1"/>
  <c r="O3964" i="25" s="1"/>
  <c r="O3965" i="25" s="1"/>
  <c r="O3966" i="25" s="1"/>
  <c r="O3967" i="25" s="1"/>
  <c r="O3968" i="25" s="1"/>
  <c r="O3969" i="25" s="1"/>
  <c r="O3970" i="25" s="1"/>
  <c r="O3971" i="25" s="1"/>
  <c r="O3972" i="25" s="1"/>
  <c r="O3973" i="25" s="1"/>
  <c r="O3974" i="25" s="1"/>
  <c r="O3975" i="25" s="1"/>
  <c r="O3976" i="25" s="1"/>
  <c r="O3977" i="25" s="1"/>
  <c r="O3978" i="25" s="1"/>
  <c r="O3979" i="25" s="1"/>
  <c r="O3980" i="25" s="1"/>
  <c r="O3981" i="25" s="1"/>
  <c r="O3982" i="25" s="1"/>
  <c r="O3983" i="25" s="1"/>
  <c r="O3984" i="25" s="1"/>
  <c r="O3985" i="25" s="1"/>
  <c r="O3986" i="25" s="1"/>
  <c r="W472" i="25"/>
  <c r="E65" i="19"/>
  <c r="E67" i="19" s="1"/>
  <c r="G65" i="19"/>
  <c r="G67" i="19" s="1"/>
  <c r="I65" i="19"/>
  <c r="I67" i="19" s="1"/>
  <c r="K65" i="19"/>
  <c r="K67" i="19" s="1"/>
  <c r="H65" i="19"/>
  <c r="H67" i="19" s="1"/>
  <c r="L65" i="19"/>
  <c r="L67" i="19" s="1"/>
  <c r="N65" i="19"/>
  <c r="N67" i="19" s="1"/>
  <c r="J65" i="19"/>
  <c r="J67" i="19" s="1"/>
  <c r="M65" i="19"/>
  <c r="M67" i="19" s="1"/>
  <c r="F65" i="19"/>
  <c r="F67" i="19" s="1"/>
  <c r="O3987" i="25" l="1"/>
  <c r="N3987" i="25"/>
  <c r="X473" i="25"/>
  <c r="X474" i="25" s="1"/>
  <c r="W473" i="25"/>
  <c r="N3988" i="25" l="1"/>
  <c r="O3988" i="25"/>
  <c r="X475" i="25"/>
  <c r="W474" i="25"/>
  <c r="O3989" i="25" l="1"/>
  <c r="N3989" i="25"/>
  <c r="X476" i="25"/>
  <c r="W475" i="25"/>
  <c r="N3990" i="25" l="1"/>
  <c r="O3990" i="25"/>
  <c r="X477" i="25"/>
  <c r="W476" i="25"/>
  <c r="O3991" i="25" l="1"/>
  <c r="N3991" i="25"/>
  <c r="X478" i="25"/>
  <c r="W477" i="25"/>
  <c r="N3992" i="25" l="1"/>
  <c r="O3992" i="25"/>
  <c r="X479" i="25"/>
  <c r="W478" i="25"/>
  <c r="O3993" i="25" l="1"/>
  <c r="N3993" i="25"/>
  <c r="X480" i="25"/>
  <c r="W479" i="25"/>
  <c r="N3994" i="25" l="1"/>
  <c r="O3994" i="25"/>
  <c r="X481" i="25"/>
  <c r="W480" i="25"/>
  <c r="O3995" i="25" l="1"/>
  <c r="N3995" i="25"/>
  <c r="X482" i="25"/>
  <c r="W481" i="25"/>
  <c r="N3996" i="25" l="1"/>
  <c r="O3996" i="25"/>
  <c r="X483" i="25"/>
  <c r="W482" i="25"/>
  <c r="O3997" i="25" l="1"/>
  <c r="N3997" i="25"/>
  <c r="X484" i="25"/>
  <c r="W483" i="25"/>
  <c r="N3998" i="25" l="1"/>
  <c r="O3998" i="25"/>
  <c r="X485" i="25"/>
  <c r="W484" i="25"/>
  <c r="O3999" i="25" l="1"/>
  <c r="N3999" i="25"/>
  <c r="X486" i="25"/>
  <c r="W485" i="25"/>
  <c r="N4000" i="25" l="1"/>
  <c r="O4000" i="25"/>
  <c r="X487" i="25"/>
  <c r="W486" i="25"/>
  <c r="O4001" i="25" l="1"/>
  <c r="N4001" i="25"/>
  <c r="X488" i="25"/>
  <c r="W487" i="25"/>
  <c r="N4002" i="25" l="1"/>
  <c r="O4002" i="25"/>
  <c r="X489" i="25"/>
  <c r="W488" i="25"/>
  <c r="O4003" i="25" l="1"/>
  <c r="N4003" i="25"/>
  <c r="X490" i="25"/>
  <c r="W489" i="25"/>
  <c r="N4004" i="25" l="1"/>
  <c r="O4004" i="25"/>
  <c r="X491" i="25"/>
  <c r="W490" i="25"/>
  <c r="O4005" i="25" l="1"/>
  <c r="N4005" i="25"/>
  <c r="X492" i="25"/>
  <c r="W491" i="25"/>
  <c r="N4006" i="25" l="1"/>
  <c r="O4006" i="25"/>
  <c r="X493" i="25"/>
  <c r="W492" i="25"/>
  <c r="O4007" i="25" l="1"/>
  <c r="N4007" i="25"/>
  <c r="X494" i="25"/>
  <c r="W493" i="25"/>
  <c r="N4008" i="25" l="1"/>
  <c r="O4008" i="25"/>
  <c r="X495" i="25"/>
  <c r="W494" i="25"/>
  <c r="O4009" i="25" l="1"/>
  <c r="N4009" i="25"/>
  <c r="X496" i="25"/>
  <c r="W495" i="25"/>
  <c r="N4010" i="25" l="1"/>
  <c r="O4010" i="25"/>
  <c r="X497" i="25"/>
  <c r="W496" i="25"/>
  <c r="O4011" i="25" l="1"/>
  <c r="N4011" i="25"/>
  <c r="X498" i="25"/>
  <c r="W497" i="25"/>
  <c r="N4012" i="25" l="1"/>
  <c r="O4012" i="25"/>
  <c r="X499" i="25"/>
  <c r="W498" i="25"/>
  <c r="O4013" i="25" l="1"/>
  <c r="N4013" i="25"/>
  <c r="X500" i="25"/>
  <c r="W499" i="25"/>
  <c r="N4014" i="25" l="1"/>
  <c r="O4014" i="25"/>
  <c r="X501" i="25"/>
  <c r="W500" i="25"/>
  <c r="O4015" i="25" l="1"/>
  <c r="N4015" i="25"/>
  <c r="X502" i="25"/>
  <c r="W501" i="25"/>
  <c r="N4016" i="25" l="1"/>
  <c r="O4016" i="25"/>
  <c r="X503" i="25"/>
  <c r="W502" i="25"/>
  <c r="O4017" i="25" l="1"/>
  <c r="N4017" i="25"/>
  <c r="X504" i="25"/>
  <c r="W503" i="25"/>
  <c r="N4018" i="25" l="1"/>
  <c r="O4018" i="25"/>
  <c r="X505" i="25"/>
  <c r="W504" i="25"/>
  <c r="O4019" i="25" l="1"/>
  <c r="N4019" i="25"/>
  <c r="X506" i="25"/>
  <c r="W505" i="25"/>
  <c r="N4020" i="25" l="1"/>
  <c r="O4020" i="25"/>
  <c r="X507" i="25"/>
  <c r="W506" i="25"/>
  <c r="O4021" i="25" l="1"/>
  <c r="N4021" i="25"/>
  <c r="X508" i="25"/>
  <c r="W507" i="25"/>
  <c r="N4022" i="25" l="1"/>
  <c r="O4022" i="25"/>
  <c r="X509" i="25"/>
  <c r="W508" i="25"/>
  <c r="O4023" i="25" l="1"/>
  <c r="N4023" i="25"/>
  <c r="X510" i="25"/>
  <c r="W509" i="25"/>
  <c r="N4024" i="25" l="1"/>
  <c r="O4024" i="25"/>
  <c r="X511" i="25"/>
  <c r="W510" i="25"/>
  <c r="O4025" i="25" l="1"/>
  <c r="N4025" i="25"/>
  <c r="X512" i="25"/>
  <c r="W511" i="25"/>
  <c r="N4026" i="25" l="1"/>
  <c r="O4026" i="25"/>
  <c r="X513" i="25"/>
  <c r="W512" i="25"/>
  <c r="O4027" i="25" l="1"/>
  <c r="N4027" i="25"/>
  <c r="X514" i="25"/>
  <c r="W513" i="25"/>
  <c r="N4028" i="25" l="1"/>
  <c r="O4028" i="25"/>
  <c r="X515" i="25"/>
  <c r="X516" i="25" s="1"/>
  <c r="W514" i="25"/>
  <c r="O4029" i="25" l="1"/>
  <c r="N4029" i="25"/>
  <c r="X517" i="25"/>
  <c r="W515" i="25"/>
  <c r="N4030" i="25" l="1"/>
  <c r="O4030" i="25"/>
  <c r="X518" i="25"/>
  <c r="W516" i="25"/>
  <c r="O4031" i="25" l="1"/>
  <c r="N4031" i="25"/>
  <c r="X519" i="25"/>
  <c r="W517" i="25"/>
  <c r="N4032" i="25" l="1"/>
  <c r="O4032" i="25"/>
  <c r="X520" i="25"/>
  <c r="W518" i="25"/>
  <c r="O4033" i="25" l="1"/>
  <c r="N4033" i="25"/>
  <c r="X521" i="25"/>
  <c r="W519" i="25"/>
  <c r="N4034" i="25" l="1"/>
  <c r="O4034" i="25"/>
  <c r="X522" i="25"/>
  <c r="W520" i="25"/>
  <c r="N4035" i="25" l="1"/>
  <c r="O4035" i="25"/>
  <c r="X523" i="25"/>
  <c r="W521" i="25"/>
  <c r="O4036" i="25" l="1"/>
  <c r="N4036" i="25"/>
  <c r="X524" i="25"/>
  <c r="W522" i="25"/>
  <c r="N4037" i="25" l="1"/>
  <c r="O4037" i="25"/>
  <c r="X525" i="25"/>
  <c r="W523" i="25"/>
  <c r="O4038" i="25" l="1"/>
  <c r="N4038" i="25"/>
  <c r="X526" i="25"/>
  <c r="W524" i="25"/>
  <c r="N4039" i="25" l="1"/>
  <c r="O4039" i="25"/>
  <c r="X527" i="25"/>
  <c r="W525" i="25"/>
  <c r="O4040" i="25" l="1"/>
  <c r="N4040" i="25"/>
  <c r="X528" i="25"/>
  <c r="W526" i="25"/>
  <c r="N4041" i="25" l="1"/>
  <c r="O4041" i="25"/>
  <c r="X529" i="25"/>
  <c r="W527" i="25"/>
  <c r="O4042" i="25" l="1"/>
  <c r="N4042" i="25"/>
  <c r="X530" i="25"/>
  <c r="W528" i="25"/>
  <c r="N4043" i="25" l="1"/>
  <c r="O4043" i="25"/>
  <c r="X531" i="25"/>
  <c r="W529" i="25"/>
  <c r="O4044" i="25" l="1"/>
  <c r="N4044" i="25"/>
  <c r="X532" i="25"/>
  <c r="W530" i="25"/>
  <c r="N4045" i="25" l="1"/>
  <c r="O4045" i="25"/>
  <c r="X533" i="25"/>
  <c r="W531" i="25"/>
  <c r="O4046" i="25" l="1"/>
  <c r="N4046" i="25"/>
  <c r="X534" i="25"/>
  <c r="W532" i="25"/>
  <c r="N4047" i="25" l="1"/>
  <c r="O4047" i="25"/>
  <c r="X535" i="25"/>
  <c r="W533" i="25"/>
  <c r="O4048" i="25" l="1"/>
  <c r="N4048" i="25"/>
  <c r="X536" i="25"/>
  <c r="W534" i="25"/>
  <c r="N4049" i="25" l="1"/>
  <c r="O4049" i="25"/>
  <c r="X537" i="25"/>
  <c r="W535" i="25"/>
  <c r="O4050" i="25" l="1"/>
  <c r="N4050" i="25"/>
  <c r="X538" i="25"/>
  <c r="W536" i="25"/>
  <c r="N4051" i="25" l="1"/>
  <c r="O4051" i="25"/>
  <c r="X539" i="25"/>
  <c r="W537" i="25"/>
  <c r="O4052" i="25" l="1"/>
  <c r="N4052" i="25"/>
  <c r="X540" i="25"/>
  <c r="W538" i="25"/>
  <c r="N4053" i="25" l="1"/>
  <c r="O4053" i="25"/>
  <c r="X541" i="25"/>
  <c r="W539" i="25"/>
  <c r="O4054" i="25" l="1"/>
  <c r="N4054" i="25"/>
  <c r="X542" i="25"/>
  <c r="W540" i="25"/>
  <c r="N4055" i="25" l="1"/>
  <c r="O4055" i="25"/>
  <c r="X543" i="25"/>
  <c r="W541" i="25"/>
  <c r="O4056" i="25" l="1"/>
  <c r="N4056" i="25"/>
  <c r="X544" i="25"/>
  <c r="W542" i="25"/>
  <c r="N4057" i="25" l="1"/>
  <c r="O4057" i="25"/>
  <c r="X545" i="25"/>
  <c r="W543" i="25"/>
  <c r="O4058" i="25" l="1"/>
  <c r="N4058" i="25"/>
  <c r="N3" i="25" s="1"/>
  <c r="X546" i="25"/>
  <c r="W544" i="25"/>
  <c r="N7" i="25" l="1"/>
  <c r="N4" i="25"/>
  <c r="S4" i="25" s="1"/>
  <c r="N8" i="25"/>
  <c r="S8" i="25" s="1"/>
  <c r="N6" i="25"/>
  <c r="S6" i="25" s="1"/>
  <c r="N10" i="25"/>
  <c r="S10" i="25" s="1"/>
  <c r="N5" i="25"/>
  <c r="S5" i="25" s="1"/>
  <c r="N9" i="25"/>
  <c r="S9" i="25" s="1"/>
  <c r="X547" i="25"/>
  <c r="W545" i="25"/>
  <c r="S7" i="25" l="1"/>
  <c r="S12" i="25"/>
  <c r="X548" i="25"/>
  <c r="W546" i="25"/>
  <c r="X549" i="25" l="1"/>
  <c r="W547" i="25"/>
  <c r="X550" i="25" l="1"/>
  <c r="W548" i="25"/>
  <c r="X551" i="25" l="1"/>
  <c r="W549" i="25"/>
  <c r="X552" i="25" l="1"/>
  <c r="W550" i="25"/>
  <c r="X553" i="25" l="1"/>
  <c r="W551" i="25"/>
  <c r="X554" i="25" l="1"/>
  <c r="W552" i="25"/>
  <c r="X555" i="25" l="1"/>
  <c r="W553" i="25"/>
  <c r="X556" i="25" l="1"/>
  <c r="W554" i="25"/>
  <c r="X557" i="25" l="1"/>
  <c r="W555" i="25"/>
  <c r="X558" i="25" l="1"/>
  <c r="W556" i="25"/>
  <c r="X559" i="25" l="1"/>
  <c r="W557" i="25"/>
  <c r="X560" i="25" l="1"/>
  <c r="W558" i="25"/>
  <c r="X561" i="25" l="1"/>
  <c r="W559" i="25"/>
  <c r="X562" i="25" l="1"/>
  <c r="W560" i="25"/>
  <c r="X563" i="25" l="1"/>
  <c r="W561" i="25"/>
  <c r="X564" i="25" l="1"/>
  <c r="W562" i="25"/>
  <c r="X565" i="25" l="1"/>
  <c r="W563" i="25"/>
  <c r="X566" i="25" l="1"/>
  <c r="W564" i="25"/>
  <c r="X567" i="25" l="1"/>
  <c r="W565" i="25"/>
  <c r="X568" i="25" l="1"/>
  <c r="W566" i="25"/>
  <c r="X569" i="25" l="1"/>
  <c r="W567" i="25"/>
  <c r="X570" i="25" l="1"/>
  <c r="W568" i="25"/>
  <c r="X571" i="25" l="1"/>
  <c r="W569" i="25"/>
  <c r="X572" i="25" l="1"/>
  <c r="W570" i="25"/>
  <c r="X573" i="25" l="1"/>
  <c r="W571" i="25"/>
  <c r="X574" i="25" l="1"/>
  <c r="W572" i="25"/>
  <c r="X575" i="25" l="1"/>
  <c r="W573" i="25"/>
  <c r="X576" i="25" l="1"/>
  <c r="W574" i="25"/>
  <c r="X577" i="25" l="1"/>
  <c r="W575" i="25"/>
  <c r="X578" i="25" l="1"/>
  <c r="W576" i="25"/>
  <c r="X579" i="25" l="1"/>
  <c r="W577" i="25"/>
  <c r="X580" i="25" l="1"/>
  <c r="W578" i="25"/>
  <c r="X581" i="25" l="1"/>
  <c r="W579" i="25"/>
  <c r="X582" i="25" l="1"/>
  <c r="W580" i="25"/>
  <c r="X583" i="25" l="1"/>
  <c r="W581" i="25"/>
  <c r="X584" i="25" l="1"/>
  <c r="W582" i="25"/>
  <c r="X585" i="25" l="1"/>
  <c r="W583" i="25"/>
  <c r="X586" i="25" l="1"/>
  <c r="W584" i="25"/>
  <c r="X587" i="25" l="1"/>
  <c r="W585" i="25"/>
  <c r="X588" i="25" l="1"/>
  <c r="W586" i="25"/>
  <c r="X589" i="25" l="1"/>
  <c r="W587" i="25"/>
  <c r="X590" i="25" l="1"/>
  <c r="W588" i="25"/>
  <c r="X591" i="25" l="1"/>
  <c r="W589" i="25"/>
  <c r="X592" i="25" l="1"/>
  <c r="W590" i="25"/>
  <c r="X593" i="25" l="1"/>
  <c r="W591" i="25"/>
  <c r="X594" i="25" l="1"/>
  <c r="W592" i="25"/>
  <c r="X595" i="25" l="1"/>
  <c r="W593" i="25"/>
  <c r="X596" i="25" l="1"/>
  <c r="W594" i="25"/>
  <c r="X597" i="25" l="1"/>
  <c r="W595" i="25"/>
  <c r="X598" i="25" l="1"/>
  <c r="W596" i="25"/>
  <c r="X599" i="25" l="1"/>
  <c r="W597" i="25"/>
  <c r="X600" i="25" l="1"/>
  <c r="W598" i="25"/>
  <c r="X601" i="25" l="1"/>
  <c r="W599" i="25"/>
  <c r="X602" i="25" l="1"/>
  <c r="W600" i="25"/>
  <c r="X603" i="25" l="1"/>
  <c r="W601" i="25"/>
  <c r="X604" i="25" l="1"/>
  <c r="W602" i="25"/>
  <c r="X605" i="25" l="1"/>
  <c r="W603" i="25"/>
  <c r="X606" i="25" l="1"/>
  <c r="W604" i="25"/>
  <c r="X607" i="25" l="1"/>
  <c r="W605" i="25"/>
  <c r="X608" i="25" l="1"/>
  <c r="W606" i="25"/>
  <c r="X609" i="25" l="1"/>
  <c r="W607" i="25"/>
  <c r="X610" i="25" l="1"/>
  <c r="W608" i="25"/>
  <c r="X611" i="25" l="1"/>
  <c r="W609" i="25"/>
  <c r="X612" i="25" l="1"/>
  <c r="W610" i="25"/>
  <c r="X613" i="25" l="1"/>
  <c r="W611" i="25"/>
  <c r="X614" i="25" l="1"/>
  <c r="W612" i="25"/>
  <c r="X615" i="25" l="1"/>
  <c r="W613" i="25"/>
  <c r="X616" i="25" l="1"/>
  <c r="W614" i="25"/>
  <c r="X617" i="25" l="1"/>
  <c r="W615" i="25"/>
  <c r="X618" i="25" l="1"/>
  <c r="W616" i="25"/>
  <c r="X619" i="25" l="1"/>
  <c r="W617" i="25"/>
  <c r="X620" i="25" l="1"/>
  <c r="W618" i="25"/>
  <c r="X621" i="25" l="1"/>
  <c r="W619" i="25"/>
  <c r="X622" i="25" l="1"/>
  <c r="W620" i="25"/>
  <c r="X623" i="25" l="1"/>
  <c r="W621" i="25"/>
  <c r="X624" i="25" l="1"/>
  <c r="W622" i="25"/>
  <c r="X625" i="25" l="1"/>
  <c r="W623" i="25"/>
  <c r="X626" i="25" l="1"/>
  <c r="W624" i="25"/>
  <c r="X627" i="25" l="1"/>
  <c r="W625" i="25"/>
  <c r="X628" i="25" l="1"/>
  <c r="W626" i="25"/>
  <c r="X629" i="25" l="1"/>
  <c r="W627" i="25"/>
  <c r="X630" i="25" l="1"/>
  <c r="W628" i="25"/>
  <c r="X631" i="25" l="1"/>
  <c r="W629" i="25"/>
  <c r="X632" i="25" l="1"/>
  <c r="W630" i="25"/>
  <c r="X633" i="25" l="1"/>
  <c r="W631" i="25"/>
  <c r="X634" i="25" l="1"/>
  <c r="W632" i="25"/>
  <c r="X635" i="25" l="1"/>
  <c r="W633" i="25"/>
  <c r="X636" i="25" l="1"/>
  <c r="W634" i="25"/>
  <c r="X637" i="25" l="1"/>
  <c r="W635" i="25"/>
  <c r="X638" i="25" l="1"/>
  <c r="W636" i="25"/>
  <c r="X639" i="25" l="1"/>
  <c r="W637" i="25"/>
  <c r="X640" i="25" l="1"/>
  <c r="W638" i="25"/>
  <c r="X641" i="25" l="1"/>
  <c r="W639" i="25"/>
  <c r="X642" i="25" l="1"/>
  <c r="W640" i="25"/>
  <c r="X643" i="25" l="1"/>
  <c r="W641" i="25"/>
  <c r="X644" i="25" l="1"/>
  <c r="W642" i="25"/>
  <c r="X645" i="25" l="1"/>
  <c r="W643" i="25"/>
  <c r="X646" i="25" l="1"/>
  <c r="W644" i="25"/>
  <c r="X647" i="25" l="1"/>
  <c r="W645" i="25"/>
  <c r="X648" i="25" l="1"/>
  <c r="W646" i="25"/>
  <c r="X649" i="25" l="1"/>
  <c r="W647" i="25"/>
  <c r="X650" i="25" l="1"/>
  <c r="W648" i="25"/>
  <c r="X651" i="25" l="1"/>
  <c r="W649" i="25"/>
  <c r="X652" i="25" l="1"/>
  <c r="W650" i="25"/>
  <c r="X653" i="25" l="1"/>
  <c r="W651" i="25"/>
  <c r="X654" i="25" l="1"/>
  <c r="W652" i="25"/>
  <c r="X655" i="25" l="1"/>
  <c r="W653" i="25"/>
  <c r="X656" i="25" l="1"/>
  <c r="W654" i="25"/>
  <c r="X657" i="25" l="1"/>
  <c r="W655" i="25"/>
  <c r="X658" i="25" l="1"/>
  <c r="W656" i="25"/>
  <c r="X659" i="25" l="1"/>
  <c r="W657" i="25"/>
  <c r="X660" i="25" l="1"/>
  <c r="W658" i="25"/>
  <c r="X661" i="25" l="1"/>
  <c r="W659" i="25"/>
  <c r="X662" i="25" l="1"/>
  <c r="W660" i="25"/>
  <c r="X663" i="25" l="1"/>
  <c r="W661" i="25"/>
  <c r="X664" i="25" l="1"/>
  <c r="W662" i="25"/>
  <c r="X665" i="25" l="1"/>
  <c r="W663" i="25"/>
  <c r="X666" i="25" l="1"/>
  <c r="W664" i="25"/>
  <c r="X667" i="25" l="1"/>
  <c r="W665" i="25"/>
  <c r="X668" i="25" l="1"/>
  <c r="W666" i="25"/>
  <c r="X669" i="25" l="1"/>
  <c r="W667" i="25"/>
  <c r="X670" i="25" l="1"/>
  <c r="W668" i="25"/>
  <c r="X671" i="25" l="1"/>
  <c r="W669" i="25"/>
  <c r="X672" i="25" l="1"/>
  <c r="W670" i="25"/>
  <c r="X673" i="25" l="1"/>
  <c r="W671" i="25"/>
  <c r="X674" i="25" l="1"/>
  <c r="W672" i="25"/>
  <c r="X675" i="25" l="1"/>
  <c r="W673" i="25"/>
  <c r="X676" i="25" l="1"/>
  <c r="W674" i="25"/>
  <c r="X677" i="25" l="1"/>
  <c r="W675" i="25"/>
  <c r="X678" i="25" l="1"/>
  <c r="W676" i="25"/>
  <c r="X679" i="25" l="1"/>
  <c r="W677" i="25"/>
  <c r="X680" i="25" l="1"/>
  <c r="W678" i="25"/>
  <c r="X681" i="25" l="1"/>
  <c r="W679" i="25"/>
  <c r="X682" i="25" l="1"/>
  <c r="W680" i="25"/>
  <c r="X683" i="25" l="1"/>
  <c r="W681" i="25"/>
  <c r="X684" i="25" l="1"/>
  <c r="W682" i="25"/>
  <c r="X685" i="25" l="1"/>
  <c r="W683" i="25"/>
  <c r="X686" i="25" l="1"/>
  <c r="W684" i="25"/>
  <c r="X687" i="25" l="1"/>
  <c r="W685" i="25"/>
  <c r="X688" i="25" l="1"/>
  <c r="W686" i="25"/>
  <c r="X689" i="25" l="1"/>
  <c r="W687" i="25"/>
  <c r="X690" i="25" l="1"/>
  <c r="W688" i="25"/>
  <c r="X691" i="25" l="1"/>
  <c r="W689" i="25"/>
  <c r="X692" i="25" l="1"/>
  <c r="W690" i="25"/>
  <c r="X693" i="25" l="1"/>
  <c r="W691" i="25"/>
  <c r="X694" i="25" l="1"/>
  <c r="W692" i="25"/>
  <c r="X695" i="25" l="1"/>
  <c r="W693" i="25"/>
  <c r="X696" i="25" l="1"/>
  <c r="W694" i="25"/>
  <c r="X697" i="25" l="1"/>
  <c r="W695" i="25"/>
  <c r="X698" i="25" l="1"/>
  <c r="W696" i="25"/>
  <c r="X699" i="25" l="1"/>
  <c r="W697" i="25"/>
  <c r="X700" i="25" l="1"/>
  <c r="W698" i="25"/>
  <c r="X701" i="25" l="1"/>
  <c r="W699" i="25"/>
  <c r="X702" i="25" l="1"/>
  <c r="W700" i="25"/>
  <c r="X703" i="25" l="1"/>
  <c r="W701" i="25"/>
  <c r="X704" i="25" l="1"/>
  <c r="W702" i="25"/>
  <c r="X705" i="25" l="1"/>
  <c r="W703" i="25"/>
  <c r="X706" i="25" l="1"/>
  <c r="W704" i="25"/>
  <c r="X707" i="25" l="1"/>
  <c r="W705" i="25"/>
  <c r="X708" i="25" l="1"/>
  <c r="W706" i="25"/>
  <c r="X709" i="25" l="1"/>
  <c r="W707" i="25"/>
  <c r="X710" i="25" l="1"/>
  <c r="W708" i="25"/>
  <c r="X711" i="25" l="1"/>
  <c r="W709" i="25"/>
  <c r="X712" i="25" l="1"/>
  <c r="W710" i="25"/>
  <c r="X713" i="25" l="1"/>
  <c r="W711" i="25"/>
  <c r="X714" i="25" l="1"/>
  <c r="W712" i="25"/>
  <c r="X715" i="25" l="1"/>
  <c r="W713" i="25"/>
  <c r="X716" i="25" l="1"/>
  <c r="W714" i="25"/>
  <c r="X717" i="25" l="1"/>
  <c r="W715" i="25"/>
  <c r="X718" i="25" l="1"/>
  <c r="W716" i="25"/>
  <c r="X719" i="25" l="1"/>
  <c r="W717" i="25"/>
  <c r="X720" i="25" l="1"/>
  <c r="W718" i="25"/>
  <c r="X721" i="25" l="1"/>
  <c r="W719" i="25"/>
  <c r="X722" i="25" l="1"/>
  <c r="W720" i="25"/>
  <c r="X723" i="25" l="1"/>
  <c r="W721" i="25"/>
  <c r="X724" i="25" l="1"/>
  <c r="W722" i="25"/>
  <c r="X725" i="25" l="1"/>
  <c r="W723" i="25"/>
  <c r="X726" i="25" l="1"/>
  <c r="W724" i="25"/>
  <c r="X727" i="25" l="1"/>
  <c r="W725" i="25"/>
  <c r="X728" i="25" l="1"/>
  <c r="W726" i="25"/>
  <c r="X729" i="25" l="1"/>
  <c r="W727" i="25"/>
  <c r="X730" i="25" l="1"/>
  <c r="W728" i="25"/>
  <c r="X731" i="25" l="1"/>
  <c r="W729" i="25"/>
  <c r="X732" i="25" l="1"/>
  <c r="W730" i="25"/>
  <c r="X733" i="25" l="1"/>
  <c r="W731" i="25"/>
  <c r="X734" i="25" l="1"/>
  <c r="W732" i="25"/>
  <c r="X735" i="25" l="1"/>
  <c r="W733" i="25"/>
  <c r="X736" i="25" l="1"/>
  <c r="W734" i="25"/>
  <c r="X737" i="25" l="1"/>
  <c r="W735" i="25"/>
  <c r="X738" i="25" l="1"/>
  <c r="W736" i="25"/>
  <c r="X739" i="25" l="1"/>
  <c r="W737" i="25"/>
  <c r="X740" i="25" l="1"/>
  <c r="W738" i="25"/>
  <c r="X741" i="25" l="1"/>
  <c r="W739" i="25"/>
  <c r="X742" i="25" l="1"/>
  <c r="W740" i="25"/>
  <c r="X743" i="25" l="1"/>
  <c r="W741" i="25"/>
  <c r="X744" i="25" l="1"/>
  <c r="W742" i="25"/>
  <c r="X745" i="25" l="1"/>
  <c r="W743" i="25"/>
  <c r="X746" i="25" l="1"/>
  <c r="W744" i="25"/>
  <c r="X747" i="25" l="1"/>
  <c r="W745" i="25"/>
  <c r="X748" i="25" l="1"/>
  <c r="W746" i="25"/>
  <c r="X749" i="25" l="1"/>
  <c r="W747" i="25"/>
  <c r="X750" i="25" l="1"/>
  <c r="W748" i="25"/>
  <c r="X751" i="25" l="1"/>
  <c r="W749" i="25"/>
  <c r="X752" i="25" l="1"/>
  <c r="W750" i="25"/>
  <c r="X753" i="25" l="1"/>
  <c r="W751" i="25"/>
  <c r="X754" i="25" l="1"/>
  <c r="W752" i="25"/>
  <c r="X755" i="25" l="1"/>
  <c r="W753" i="25"/>
  <c r="X756" i="25" l="1"/>
  <c r="W754" i="25"/>
  <c r="X757" i="25" l="1"/>
  <c r="W755" i="25"/>
  <c r="X758" i="25" l="1"/>
  <c r="W756" i="25"/>
  <c r="X759" i="25" l="1"/>
  <c r="W757" i="25"/>
  <c r="X760" i="25" l="1"/>
  <c r="W758" i="25"/>
  <c r="X761" i="25" l="1"/>
  <c r="W759" i="25"/>
  <c r="X762" i="25" l="1"/>
  <c r="W760" i="25"/>
  <c r="X763" i="25" l="1"/>
  <c r="W761" i="25"/>
  <c r="X764" i="25" l="1"/>
  <c r="W762" i="25"/>
  <c r="X765" i="25" l="1"/>
  <c r="W763" i="25"/>
  <c r="X766" i="25" l="1"/>
  <c r="W764" i="25"/>
  <c r="X767" i="25" l="1"/>
  <c r="W765" i="25"/>
  <c r="X768" i="25" l="1"/>
  <c r="W766" i="25"/>
  <c r="X769" i="25" l="1"/>
  <c r="W767" i="25"/>
  <c r="X770" i="25" l="1"/>
  <c r="W768" i="25"/>
  <c r="X771" i="25" l="1"/>
  <c r="W769" i="25"/>
  <c r="X772" i="25" l="1"/>
  <c r="W770" i="25"/>
  <c r="X773" i="25" l="1"/>
  <c r="W771" i="25"/>
  <c r="X774" i="25" l="1"/>
  <c r="W772" i="25"/>
  <c r="X775" i="25" l="1"/>
  <c r="W773" i="25"/>
  <c r="X776" i="25" l="1"/>
  <c r="W774" i="25"/>
  <c r="X777" i="25" l="1"/>
  <c r="W775" i="25"/>
  <c r="X778" i="25" l="1"/>
  <c r="W776" i="25"/>
  <c r="X779" i="25" l="1"/>
  <c r="W777" i="25"/>
  <c r="X780" i="25" l="1"/>
  <c r="W778" i="25"/>
  <c r="X781" i="25" l="1"/>
  <c r="W779" i="25"/>
  <c r="X782" i="25" l="1"/>
  <c r="W780" i="25"/>
  <c r="X783" i="25" l="1"/>
  <c r="W781" i="25"/>
  <c r="X784" i="25" l="1"/>
  <c r="W782" i="25"/>
  <c r="X785" i="25" l="1"/>
  <c r="W783" i="25"/>
  <c r="X786" i="25" l="1"/>
  <c r="W784" i="25"/>
  <c r="X787" i="25" l="1"/>
  <c r="W785" i="25"/>
  <c r="X788" i="25" l="1"/>
  <c r="W786" i="25"/>
  <c r="X789" i="25" l="1"/>
  <c r="W787" i="25"/>
  <c r="X790" i="25" l="1"/>
  <c r="W788" i="25"/>
  <c r="X791" i="25" l="1"/>
  <c r="W789" i="25"/>
  <c r="X792" i="25" l="1"/>
  <c r="W790" i="25"/>
  <c r="X793" i="25" l="1"/>
  <c r="W791" i="25"/>
  <c r="X794" i="25" l="1"/>
  <c r="W792" i="25"/>
  <c r="X795" i="25" l="1"/>
  <c r="W793" i="25"/>
  <c r="X796" i="25" l="1"/>
  <c r="W794" i="25"/>
  <c r="X797" i="25" l="1"/>
  <c r="W795" i="25"/>
  <c r="X798" i="25" l="1"/>
  <c r="W796" i="25"/>
  <c r="X799" i="25" l="1"/>
  <c r="W797" i="25"/>
  <c r="X800" i="25" l="1"/>
  <c r="W798" i="25"/>
  <c r="X801" i="25" l="1"/>
  <c r="W799" i="25"/>
  <c r="X802" i="25" l="1"/>
  <c r="W800" i="25"/>
  <c r="X803" i="25" l="1"/>
  <c r="W801" i="25"/>
  <c r="X804" i="25" l="1"/>
  <c r="W802" i="25"/>
  <c r="X805" i="25" l="1"/>
  <c r="W803" i="25"/>
  <c r="X806" i="25" l="1"/>
  <c r="W804" i="25"/>
  <c r="X807" i="25" l="1"/>
  <c r="W805" i="25"/>
  <c r="X808" i="25" l="1"/>
  <c r="W806" i="25"/>
  <c r="X809" i="25" l="1"/>
  <c r="W807" i="25"/>
  <c r="X810" i="25" l="1"/>
  <c r="W808" i="25"/>
  <c r="X811" i="25" l="1"/>
  <c r="W809" i="25"/>
  <c r="X812" i="25" l="1"/>
  <c r="W810" i="25"/>
  <c r="X813" i="25" l="1"/>
  <c r="W811" i="25"/>
  <c r="X814" i="25" l="1"/>
  <c r="W812" i="25"/>
  <c r="X815" i="25" l="1"/>
  <c r="W813" i="25"/>
  <c r="X816" i="25" l="1"/>
  <c r="W814" i="25"/>
  <c r="X817" i="25" l="1"/>
  <c r="W815" i="25"/>
  <c r="X818" i="25" l="1"/>
  <c r="W816" i="25"/>
  <c r="X819" i="25" l="1"/>
  <c r="W817" i="25"/>
  <c r="X820" i="25" l="1"/>
  <c r="W818" i="25"/>
  <c r="X821" i="25" l="1"/>
  <c r="W819" i="25"/>
  <c r="X822" i="25" l="1"/>
  <c r="W820" i="25"/>
  <c r="X823" i="25" l="1"/>
  <c r="W821" i="25"/>
  <c r="X824" i="25" l="1"/>
  <c r="W822" i="25"/>
  <c r="X825" i="25" l="1"/>
  <c r="W823" i="25"/>
  <c r="X826" i="25" l="1"/>
  <c r="W824" i="25"/>
  <c r="X827" i="25" l="1"/>
  <c r="W825" i="25"/>
  <c r="X828" i="25" l="1"/>
  <c r="W826" i="25"/>
  <c r="X829" i="25" l="1"/>
  <c r="W827" i="25"/>
  <c r="X830" i="25" l="1"/>
  <c r="W828" i="25"/>
  <c r="X831" i="25" l="1"/>
  <c r="W829" i="25"/>
  <c r="X832" i="25" l="1"/>
  <c r="W830" i="25"/>
  <c r="X833" i="25" l="1"/>
  <c r="W831" i="25"/>
  <c r="X834" i="25" l="1"/>
  <c r="W832" i="25"/>
  <c r="X835" i="25" l="1"/>
  <c r="W833" i="25"/>
  <c r="X836" i="25" l="1"/>
  <c r="W834" i="25"/>
  <c r="X837" i="25" l="1"/>
  <c r="W835" i="25"/>
  <c r="X838" i="25" l="1"/>
  <c r="W836" i="25"/>
  <c r="X839" i="25" l="1"/>
  <c r="W837" i="25"/>
  <c r="X840" i="25" l="1"/>
  <c r="W838" i="25"/>
  <c r="X841" i="25" l="1"/>
  <c r="W839" i="25"/>
  <c r="X842" i="25" l="1"/>
  <c r="W840" i="25"/>
  <c r="X843" i="25" l="1"/>
  <c r="W841" i="25"/>
  <c r="X844" i="25" l="1"/>
  <c r="W842" i="25"/>
  <c r="X845" i="25" l="1"/>
  <c r="W843" i="25"/>
  <c r="X846" i="25" l="1"/>
  <c r="W844" i="25"/>
  <c r="X847" i="25" l="1"/>
  <c r="W845" i="25"/>
  <c r="X848" i="25" l="1"/>
  <c r="W846" i="25"/>
  <c r="X849" i="25" l="1"/>
  <c r="W847" i="25"/>
  <c r="X850" i="25" l="1"/>
  <c r="W848" i="25"/>
  <c r="X851" i="25" l="1"/>
  <c r="W849" i="25"/>
  <c r="X852" i="25" l="1"/>
  <c r="W850" i="25"/>
  <c r="X853" i="25" l="1"/>
  <c r="W851" i="25"/>
  <c r="X854" i="25" l="1"/>
  <c r="W852" i="25"/>
  <c r="X855" i="25" l="1"/>
  <c r="W853" i="25"/>
  <c r="X856" i="25" l="1"/>
  <c r="W854" i="25"/>
  <c r="X857" i="25" l="1"/>
  <c r="W855" i="25"/>
  <c r="X858" i="25" l="1"/>
  <c r="W856" i="25"/>
  <c r="X859" i="25" l="1"/>
  <c r="W857" i="25"/>
  <c r="X860" i="25" l="1"/>
  <c r="W858" i="25"/>
  <c r="X861" i="25" l="1"/>
  <c r="W859" i="25"/>
  <c r="X862" i="25" l="1"/>
  <c r="W860" i="25"/>
  <c r="X863" i="25" l="1"/>
  <c r="W861" i="25"/>
  <c r="X864" i="25" l="1"/>
  <c r="W862" i="25"/>
  <c r="X865" i="25" l="1"/>
  <c r="W863" i="25"/>
  <c r="X866" i="25" l="1"/>
  <c r="W864" i="25"/>
  <c r="X867" i="25" l="1"/>
  <c r="W865" i="25"/>
  <c r="X868" i="25" l="1"/>
  <c r="W866" i="25"/>
  <c r="X869" i="25" l="1"/>
  <c r="W867" i="25"/>
  <c r="X870" i="25" l="1"/>
  <c r="W868" i="25"/>
  <c r="X871" i="25" l="1"/>
  <c r="W869" i="25"/>
  <c r="X872" i="25" l="1"/>
  <c r="W870" i="25"/>
  <c r="X873" i="25" l="1"/>
  <c r="W871" i="25"/>
  <c r="X874" i="25" l="1"/>
  <c r="W872" i="25"/>
  <c r="X875" i="25" l="1"/>
  <c r="W873" i="25"/>
  <c r="X876" i="25" l="1"/>
  <c r="W874" i="25"/>
  <c r="X877" i="25" l="1"/>
  <c r="W875" i="25"/>
  <c r="X878" i="25" l="1"/>
  <c r="W876" i="25"/>
  <c r="X879" i="25" l="1"/>
  <c r="W877" i="25"/>
  <c r="X880" i="25" l="1"/>
  <c r="W878" i="25"/>
  <c r="X881" i="25" l="1"/>
  <c r="W879" i="25"/>
  <c r="X882" i="25" l="1"/>
  <c r="W880" i="25"/>
  <c r="X883" i="25" l="1"/>
  <c r="W881" i="25"/>
  <c r="X884" i="25" l="1"/>
  <c r="W882" i="25"/>
  <c r="X885" i="25" l="1"/>
  <c r="W883" i="25"/>
  <c r="X886" i="25" l="1"/>
  <c r="W884" i="25"/>
  <c r="X887" i="25" l="1"/>
  <c r="W885" i="25"/>
  <c r="X888" i="25" l="1"/>
  <c r="W886" i="25"/>
  <c r="X889" i="25" l="1"/>
  <c r="W887" i="25"/>
  <c r="X890" i="25" l="1"/>
  <c r="W888" i="25"/>
  <c r="X891" i="25" l="1"/>
  <c r="W889" i="25"/>
  <c r="X892" i="25" l="1"/>
  <c r="W890" i="25"/>
  <c r="X893" i="25" l="1"/>
  <c r="W891" i="25"/>
  <c r="X894" i="25" l="1"/>
  <c r="W892" i="25"/>
  <c r="X895" i="25" l="1"/>
  <c r="W893" i="25"/>
  <c r="X896" i="25" l="1"/>
  <c r="W894" i="25"/>
  <c r="X897" i="25" l="1"/>
  <c r="W895" i="25"/>
  <c r="X898" i="25" l="1"/>
  <c r="W896" i="25"/>
  <c r="X899" i="25" l="1"/>
  <c r="W897" i="25"/>
  <c r="X900" i="25" l="1"/>
  <c r="W898" i="25"/>
  <c r="X901" i="25" l="1"/>
  <c r="W899" i="25"/>
  <c r="X902" i="25" l="1"/>
  <c r="W900" i="25"/>
  <c r="X903" i="25" l="1"/>
  <c r="W901" i="25"/>
  <c r="X904" i="25" l="1"/>
  <c r="W902" i="25"/>
  <c r="X905" i="25" l="1"/>
  <c r="W903" i="25"/>
  <c r="X906" i="25" l="1"/>
  <c r="W904" i="25"/>
  <c r="X907" i="25" l="1"/>
  <c r="W905" i="25"/>
  <c r="X908" i="25" l="1"/>
  <c r="W906" i="25"/>
  <c r="X909" i="25" l="1"/>
  <c r="W907" i="25"/>
  <c r="X910" i="25" l="1"/>
  <c r="W908" i="25"/>
  <c r="X911" i="25" l="1"/>
  <c r="W909" i="25"/>
  <c r="X912" i="25" l="1"/>
  <c r="W910" i="25"/>
  <c r="X913" i="25" l="1"/>
  <c r="W911" i="25"/>
  <c r="X914" i="25" l="1"/>
  <c r="W912" i="25"/>
  <c r="X915" i="25" l="1"/>
  <c r="W913" i="25"/>
  <c r="X916" i="25" l="1"/>
  <c r="W914" i="25"/>
  <c r="X917" i="25" l="1"/>
  <c r="W915" i="25"/>
  <c r="X918" i="25" l="1"/>
  <c r="W916" i="25"/>
  <c r="X919" i="25" l="1"/>
  <c r="W917" i="25"/>
  <c r="X920" i="25" l="1"/>
  <c r="W918" i="25"/>
  <c r="X921" i="25" l="1"/>
  <c r="W919" i="25"/>
  <c r="X922" i="25" l="1"/>
  <c r="W920" i="25"/>
  <c r="X923" i="25" l="1"/>
  <c r="W921" i="25"/>
  <c r="X924" i="25" l="1"/>
  <c r="W922" i="25"/>
  <c r="X925" i="25" l="1"/>
  <c r="W923" i="25"/>
  <c r="X926" i="25" l="1"/>
  <c r="W924" i="25"/>
  <c r="X927" i="25" l="1"/>
  <c r="W925" i="25"/>
  <c r="X928" i="25" l="1"/>
  <c r="W926" i="25"/>
  <c r="X929" i="25" l="1"/>
  <c r="W927" i="25"/>
  <c r="X930" i="25" l="1"/>
  <c r="W928" i="25"/>
  <c r="X931" i="25" l="1"/>
  <c r="W929" i="25"/>
  <c r="X932" i="25" l="1"/>
  <c r="W930" i="25"/>
  <c r="X933" i="25" l="1"/>
  <c r="W931" i="25"/>
  <c r="X934" i="25" l="1"/>
  <c r="W932" i="25"/>
  <c r="X935" i="25" l="1"/>
  <c r="W933" i="25"/>
  <c r="X936" i="25" l="1"/>
  <c r="W934" i="25"/>
  <c r="X937" i="25" l="1"/>
  <c r="W935" i="25"/>
  <c r="X938" i="25" l="1"/>
  <c r="W936" i="25"/>
  <c r="X939" i="25" l="1"/>
  <c r="W937" i="25"/>
  <c r="X940" i="25" l="1"/>
  <c r="W938" i="25"/>
  <c r="X941" i="25" l="1"/>
  <c r="W939" i="25"/>
  <c r="X942" i="25" l="1"/>
  <c r="W940" i="25"/>
  <c r="X943" i="25" l="1"/>
  <c r="W941" i="25"/>
  <c r="X944" i="25" l="1"/>
  <c r="W942" i="25"/>
  <c r="X945" i="25" l="1"/>
  <c r="W943" i="25"/>
  <c r="X946" i="25" l="1"/>
  <c r="W944" i="25"/>
  <c r="X947" i="25" l="1"/>
  <c r="W945" i="25"/>
  <c r="X948" i="25" l="1"/>
  <c r="W946" i="25"/>
  <c r="X949" i="25" l="1"/>
  <c r="W947" i="25"/>
  <c r="X950" i="25" l="1"/>
  <c r="W948" i="25"/>
  <c r="X951" i="25" l="1"/>
  <c r="W949" i="25"/>
  <c r="X952" i="25" l="1"/>
  <c r="W950" i="25"/>
  <c r="X953" i="25" l="1"/>
  <c r="W951" i="25"/>
  <c r="X954" i="25" l="1"/>
  <c r="W952" i="25"/>
  <c r="X955" i="25" l="1"/>
  <c r="W953" i="25"/>
  <c r="X956" i="25" l="1"/>
  <c r="W954" i="25"/>
  <c r="X957" i="25" l="1"/>
  <c r="W955" i="25"/>
  <c r="X958" i="25" l="1"/>
  <c r="W956" i="25"/>
  <c r="X959" i="25" l="1"/>
  <c r="W957" i="25"/>
  <c r="X960" i="25" l="1"/>
  <c r="W958" i="25"/>
  <c r="X961" i="25" l="1"/>
  <c r="W959" i="25"/>
  <c r="X962" i="25" l="1"/>
  <c r="W960" i="25"/>
  <c r="X963" i="25" l="1"/>
  <c r="W961" i="25"/>
  <c r="X964" i="25" l="1"/>
  <c r="W962" i="25"/>
  <c r="X965" i="25" l="1"/>
  <c r="W963" i="25"/>
  <c r="X966" i="25" l="1"/>
  <c r="W964" i="25"/>
  <c r="X967" i="25" l="1"/>
  <c r="W965" i="25"/>
  <c r="X968" i="25" l="1"/>
  <c r="W966" i="25"/>
  <c r="X969" i="25" l="1"/>
  <c r="W967" i="25"/>
  <c r="X970" i="25" l="1"/>
  <c r="W968" i="25"/>
  <c r="X971" i="25" l="1"/>
  <c r="W969" i="25"/>
  <c r="X972" i="25" l="1"/>
  <c r="W970" i="25"/>
  <c r="X973" i="25" l="1"/>
  <c r="W971" i="25"/>
  <c r="X974" i="25" l="1"/>
  <c r="W972" i="25"/>
  <c r="X975" i="25" l="1"/>
  <c r="W973" i="25"/>
  <c r="X976" i="25" l="1"/>
  <c r="W974" i="25"/>
  <c r="X977" i="25" l="1"/>
  <c r="W975" i="25"/>
  <c r="X978" i="25" l="1"/>
  <c r="W976" i="25"/>
  <c r="X979" i="25" l="1"/>
  <c r="W977" i="25"/>
  <c r="X980" i="25" l="1"/>
  <c r="W978" i="25"/>
  <c r="X981" i="25" l="1"/>
  <c r="W979" i="25"/>
  <c r="X982" i="25" l="1"/>
  <c r="W980" i="25"/>
  <c r="X983" i="25" l="1"/>
  <c r="W981" i="25"/>
  <c r="X984" i="25" l="1"/>
  <c r="W982" i="25"/>
  <c r="X985" i="25" l="1"/>
  <c r="W983" i="25"/>
  <c r="X986" i="25" l="1"/>
  <c r="W984" i="25"/>
  <c r="X987" i="25" l="1"/>
  <c r="W985" i="25"/>
  <c r="X988" i="25" l="1"/>
  <c r="W986" i="25"/>
  <c r="X989" i="25" l="1"/>
  <c r="W987" i="25"/>
  <c r="X990" i="25" l="1"/>
  <c r="W988" i="25"/>
  <c r="X991" i="25" l="1"/>
  <c r="W989" i="25"/>
  <c r="X992" i="25" l="1"/>
  <c r="W990" i="25"/>
  <c r="X993" i="25" l="1"/>
  <c r="W991" i="25"/>
  <c r="X994" i="25" l="1"/>
  <c r="W992" i="25"/>
  <c r="X995" i="25" l="1"/>
  <c r="W993" i="25"/>
  <c r="X996" i="25" l="1"/>
  <c r="W994" i="25"/>
  <c r="X997" i="25" l="1"/>
  <c r="W995" i="25"/>
  <c r="X998" i="25" l="1"/>
  <c r="W996" i="25"/>
  <c r="X999" i="25" l="1"/>
  <c r="W997" i="25"/>
  <c r="X1000" i="25" l="1"/>
  <c r="W998" i="25"/>
  <c r="X1001" i="25" l="1"/>
  <c r="W999" i="25"/>
  <c r="X1002" i="25" l="1"/>
  <c r="W1000" i="25"/>
  <c r="X1003" i="25" l="1"/>
  <c r="W1001" i="25"/>
  <c r="X1004" i="25" l="1"/>
  <c r="W1002" i="25"/>
  <c r="X1005" i="25" l="1"/>
  <c r="W1003" i="25"/>
  <c r="X1006" i="25" l="1"/>
  <c r="W1004" i="25"/>
  <c r="X1007" i="25" l="1"/>
  <c r="W1005" i="25"/>
  <c r="X1008" i="25" l="1"/>
  <c r="W1006" i="25"/>
  <c r="X1009" i="25" l="1"/>
  <c r="W1007" i="25"/>
  <c r="X1010" i="25" l="1"/>
  <c r="W1008" i="25"/>
  <c r="X1011" i="25" l="1"/>
  <c r="W1009" i="25"/>
  <c r="X1012" i="25" l="1"/>
  <c r="W1010" i="25"/>
  <c r="X1013" i="25" l="1"/>
  <c r="W1011" i="25"/>
  <c r="X1014" i="25" l="1"/>
  <c r="W1012" i="25"/>
  <c r="X1015" i="25" l="1"/>
  <c r="W1013" i="25"/>
  <c r="X1016" i="25" l="1"/>
  <c r="W1014" i="25"/>
  <c r="X1017" i="25" l="1"/>
  <c r="W1015" i="25"/>
  <c r="X1018" i="25" l="1"/>
  <c r="W1016" i="25"/>
  <c r="X1019" i="25" l="1"/>
  <c r="W1017" i="25"/>
  <c r="X1020" i="25" l="1"/>
  <c r="W1018" i="25"/>
  <c r="X1021" i="25" l="1"/>
  <c r="W1019" i="25"/>
  <c r="X1022" i="25" l="1"/>
  <c r="W1020" i="25"/>
  <c r="X1023" i="25" l="1"/>
  <c r="W1021" i="25"/>
  <c r="X1024" i="25" l="1"/>
  <c r="W1022" i="25"/>
  <c r="X1025" i="25" l="1"/>
  <c r="W1023" i="25"/>
  <c r="X1026" i="25" l="1"/>
  <c r="W1024" i="25"/>
  <c r="X1027" i="25" l="1"/>
  <c r="W1025" i="25"/>
  <c r="X1028" i="25" l="1"/>
  <c r="W1026" i="25"/>
  <c r="X1029" i="25" l="1"/>
  <c r="W1027" i="25"/>
  <c r="X1030" i="25" l="1"/>
  <c r="W1028" i="25"/>
  <c r="X1031" i="25" l="1"/>
  <c r="W1029" i="25"/>
  <c r="X1032" i="25" l="1"/>
  <c r="W1030" i="25"/>
  <c r="X1033" i="25" l="1"/>
  <c r="W1031" i="25"/>
  <c r="X1034" i="25" l="1"/>
  <c r="W1032" i="25"/>
  <c r="X1035" i="25" l="1"/>
  <c r="W1033" i="25"/>
  <c r="X1036" i="25" l="1"/>
  <c r="W1034" i="25"/>
  <c r="X1037" i="25" l="1"/>
  <c r="W1035" i="25"/>
  <c r="X1038" i="25" l="1"/>
  <c r="W1036" i="25"/>
  <c r="X1039" i="25" l="1"/>
  <c r="W1037" i="25"/>
  <c r="X1040" i="25" l="1"/>
  <c r="W1038" i="25"/>
  <c r="X1041" i="25" l="1"/>
  <c r="W1039" i="25"/>
  <c r="X1042" i="25" l="1"/>
  <c r="W1040" i="25"/>
  <c r="X1043" i="25" l="1"/>
  <c r="W1041" i="25"/>
  <c r="X1044" i="25" l="1"/>
  <c r="W1042" i="25"/>
  <c r="X1045" i="25" l="1"/>
  <c r="W1043" i="25"/>
  <c r="X1046" i="25" l="1"/>
  <c r="W1044" i="25"/>
  <c r="X1047" i="25" l="1"/>
  <c r="W1045" i="25"/>
  <c r="X1048" i="25" l="1"/>
  <c r="W1046" i="25"/>
  <c r="X1049" i="25" l="1"/>
  <c r="W1047" i="25"/>
  <c r="X1050" i="25" l="1"/>
  <c r="W1048" i="25"/>
  <c r="X1051" i="25" l="1"/>
  <c r="W1049" i="25"/>
  <c r="X1052" i="25" l="1"/>
  <c r="W1050" i="25"/>
  <c r="X1053" i="25" l="1"/>
  <c r="W1051" i="25"/>
  <c r="X1054" i="25" l="1"/>
  <c r="W1052" i="25"/>
  <c r="X1055" i="25" l="1"/>
  <c r="W1053" i="25"/>
  <c r="X1056" i="25" l="1"/>
  <c r="W1054" i="25"/>
  <c r="X1057" i="25" l="1"/>
  <c r="W1055" i="25"/>
  <c r="X1058" i="25" l="1"/>
  <c r="W1056" i="25"/>
  <c r="X1059" i="25" l="1"/>
  <c r="W1057" i="25"/>
  <c r="X1060" i="25" l="1"/>
  <c r="W1058" i="25"/>
  <c r="X1061" i="25" l="1"/>
  <c r="W1059" i="25"/>
  <c r="X1062" i="25" l="1"/>
  <c r="W1060" i="25"/>
  <c r="X1063" i="25" l="1"/>
  <c r="W1061" i="25"/>
  <c r="X1064" i="25" l="1"/>
  <c r="W1062" i="25"/>
  <c r="X1065" i="25" l="1"/>
  <c r="W1063" i="25"/>
  <c r="X1066" i="25" l="1"/>
  <c r="W1064" i="25"/>
  <c r="X1067" i="25" l="1"/>
  <c r="W1065" i="25"/>
  <c r="X1068" i="25" l="1"/>
  <c r="W1066" i="25"/>
  <c r="X1069" i="25" l="1"/>
  <c r="W1067" i="25"/>
  <c r="X1070" i="25" l="1"/>
  <c r="W1068" i="25"/>
  <c r="X1071" i="25" l="1"/>
  <c r="W1069" i="25"/>
  <c r="X1072" i="25" l="1"/>
  <c r="W1070" i="25"/>
  <c r="X1073" i="25" l="1"/>
  <c r="W1071" i="25"/>
  <c r="X1074" i="25" l="1"/>
  <c r="W1072" i="25"/>
  <c r="X1075" i="25" l="1"/>
  <c r="W1073" i="25"/>
  <c r="X1076" i="25" l="1"/>
  <c r="W1074" i="25"/>
  <c r="X1077" i="25" l="1"/>
  <c r="W1075" i="25"/>
  <c r="X1078" i="25" l="1"/>
  <c r="W1076" i="25"/>
  <c r="X1079" i="25" l="1"/>
  <c r="W1077" i="25"/>
  <c r="X1080" i="25" l="1"/>
  <c r="W1078" i="25"/>
  <c r="X1081" i="25" l="1"/>
  <c r="W1079" i="25"/>
  <c r="X1082" i="25" l="1"/>
  <c r="W1080" i="25"/>
  <c r="X1083" i="25" l="1"/>
  <c r="W1081" i="25"/>
  <c r="X1084" i="25" l="1"/>
  <c r="W1082" i="25"/>
  <c r="X1085" i="25" l="1"/>
  <c r="W1083" i="25"/>
  <c r="X1086" i="25" l="1"/>
  <c r="W1084" i="25"/>
  <c r="X1087" i="25" l="1"/>
  <c r="W1085" i="25"/>
  <c r="X1088" i="25" l="1"/>
  <c r="W1086" i="25"/>
  <c r="X1089" i="25" l="1"/>
  <c r="W1087" i="25"/>
  <c r="X1090" i="25" l="1"/>
  <c r="W1088" i="25"/>
  <c r="X1091" i="25" l="1"/>
  <c r="W1089" i="25"/>
  <c r="X1092" i="25" l="1"/>
  <c r="W1090" i="25"/>
  <c r="X1093" i="25" l="1"/>
  <c r="W1091" i="25"/>
  <c r="X1094" i="25" l="1"/>
  <c r="W1092" i="25"/>
  <c r="X1095" i="25" l="1"/>
  <c r="W1093" i="25"/>
  <c r="X1096" i="25" l="1"/>
  <c r="W1094" i="25"/>
  <c r="X1097" i="25" l="1"/>
  <c r="W1095" i="25"/>
  <c r="X1098" i="25" l="1"/>
  <c r="W1096" i="25"/>
  <c r="X1099" i="25" l="1"/>
  <c r="W1097" i="25"/>
  <c r="X1100" i="25" l="1"/>
  <c r="W1098" i="25"/>
  <c r="X1101" i="25" l="1"/>
  <c r="W1099" i="25"/>
  <c r="X1102" i="25" l="1"/>
  <c r="W1100" i="25"/>
  <c r="X1103" i="25" l="1"/>
  <c r="W1101" i="25"/>
  <c r="X1104" i="25" l="1"/>
  <c r="W1102" i="25"/>
  <c r="X1105" i="25" l="1"/>
  <c r="W1103" i="25"/>
  <c r="X1106" i="25" l="1"/>
  <c r="W1104" i="25"/>
  <c r="X1107" i="25" l="1"/>
  <c r="W1105" i="25"/>
  <c r="X1108" i="25" l="1"/>
  <c r="W1106" i="25"/>
  <c r="X1109" i="25" l="1"/>
  <c r="W1107" i="25"/>
  <c r="X1110" i="25" l="1"/>
  <c r="W1108" i="25"/>
  <c r="X1111" i="25" l="1"/>
  <c r="W1109" i="25"/>
  <c r="X1112" i="25" l="1"/>
  <c r="W1110" i="25"/>
  <c r="X1113" i="25" l="1"/>
  <c r="W1111" i="25"/>
  <c r="X1114" i="25" l="1"/>
  <c r="W1112" i="25"/>
  <c r="X1115" i="25" l="1"/>
  <c r="W1113" i="25"/>
  <c r="X1116" i="25" l="1"/>
  <c r="W1114" i="25"/>
  <c r="X1117" i="25" l="1"/>
  <c r="W1115" i="25"/>
  <c r="X1118" i="25" l="1"/>
  <c r="W1116" i="25"/>
  <c r="X1119" i="25" l="1"/>
  <c r="W1117" i="25"/>
  <c r="X1120" i="25" l="1"/>
  <c r="W1118" i="25"/>
  <c r="X1121" i="25" l="1"/>
  <c r="W1119" i="25"/>
  <c r="X1122" i="25" l="1"/>
  <c r="W1120" i="25"/>
  <c r="X1123" i="25" l="1"/>
  <c r="W1121" i="25"/>
  <c r="X1124" i="25" l="1"/>
  <c r="W1122" i="25"/>
  <c r="X1125" i="25" l="1"/>
  <c r="W1123" i="25"/>
  <c r="X1126" i="25" l="1"/>
  <c r="W1124" i="25"/>
  <c r="X1127" i="25" l="1"/>
  <c r="W1125" i="25"/>
  <c r="X1128" i="25" l="1"/>
  <c r="W1126" i="25"/>
  <c r="X1129" i="25" l="1"/>
  <c r="W1127" i="25"/>
  <c r="X1130" i="25" l="1"/>
  <c r="W1128" i="25"/>
  <c r="X1131" i="25" l="1"/>
  <c r="W1129" i="25"/>
  <c r="X1132" i="25" l="1"/>
  <c r="W1130" i="25"/>
  <c r="X1133" i="25" l="1"/>
  <c r="W1131" i="25"/>
  <c r="X1134" i="25" l="1"/>
  <c r="W1132" i="25"/>
  <c r="X1135" i="25" l="1"/>
  <c r="W1133" i="25"/>
  <c r="X1136" i="25" l="1"/>
  <c r="W1134" i="25"/>
  <c r="X1137" i="25" l="1"/>
  <c r="W1135" i="25"/>
  <c r="X1138" i="25" l="1"/>
  <c r="W1136" i="25"/>
  <c r="X1139" i="25" l="1"/>
  <c r="W1137" i="25"/>
  <c r="X1140" i="25" l="1"/>
  <c r="W1138" i="25"/>
  <c r="X1141" i="25" l="1"/>
  <c r="W1139" i="25"/>
  <c r="X1142" i="25" l="1"/>
  <c r="W1140" i="25"/>
  <c r="X1143" i="25" l="1"/>
  <c r="W1141" i="25"/>
  <c r="X1144" i="25" l="1"/>
  <c r="W1142" i="25"/>
  <c r="X1145" i="25" l="1"/>
  <c r="W1143" i="25"/>
  <c r="X1146" i="25" l="1"/>
  <c r="W1144" i="25"/>
  <c r="X1147" i="25" l="1"/>
  <c r="W1145" i="25"/>
  <c r="X1148" i="25" l="1"/>
  <c r="W1146" i="25"/>
  <c r="X1149" i="25" l="1"/>
  <c r="W1147" i="25"/>
  <c r="X1150" i="25" l="1"/>
  <c r="W1148" i="25"/>
  <c r="X1151" i="25" l="1"/>
  <c r="W1149" i="25"/>
  <c r="X1152" i="25" l="1"/>
  <c r="W1150" i="25"/>
  <c r="X1153" i="25" l="1"/>
  <c r="W1151" i="25"/>
  <c r="X1154" i="25" l="1"/>
  <c r="W1152" i="25"/>
  <c r="X1155" i="25" l="1"/>
  <c r="W1153" i="25"/>
  <c r="X1156" i="25" l="1"/>
  <c r="W1154" i="25"/>
  <c r="X1157" i="25" l="1"/>
  <c r="W1155" i="25"/>
  <c r="X1158" i="25" l="1"/>
  <c r="W1156" i="25"/>
  <c r="X1159" i="25" l="1"/>
  <c r="W1157" i="25"/>
  <c r="X1160" i="25" l="1"/>
  <c r="W1158" i="25"/>
  <c r="X1161" i="25" l="1"/>
  <c r="W1159" i="25"/>
  <c r="X1162" i="25" l="1"/>
  <c r="W1160" i="25"/>
  <c r="X1163" i="25" l="1"/>
  <c r="W1161" i="25"/>
  <c r="X1164" i="25" l="1"/>
  <c r="W1162" i="25"/>
  <c r="X1165" i="25" l="1"/>
  <c r="W1163" i="25"/>
  <c r="X1166" i="25" l="1"/>
  <c r="W1164" i="25"/>
  <c r="X1167" i="25" l="1"/>
  <c r="W1165" i="25"/>
  <c r="X1168" i="25" l="1"/>
  <c r="W1166" i="25"/>
  <c r="X1169" i="25" l="1"/>
  <c r="W1167" i="25"/>
  <c r="X1170" i="25" l="1"/>
  <c r="W1168" i="25"/>
  <c r="X1171" i="25" l="1"/>
  <c r="W1169" i="25"/>
  <c r="X1172" i="25" l="1"/>
  <c r="W1170" i="25"/>
  <c r="X1173" i="25" l="1"/>
  <c r="W1171" i="25"/>
  <c r="X1174" i="25" l="1"/>
  <c r="W1172" i="25"/>
  <c r="X1175" i="25" l="1"/>
  <c r="W1173" i="25"/>
  <c r="X1176" i="25" l="1"/>
  <c r="W1174" i="25"/>
  <c r="X1177" i="25" l="1"/>
  <c r="W1175" i="25"/>
  <c r="X1178" i="25" l="1"/>
  <c r="W1176" i="25"/>
  <c r="X1179" i="25" l="1"/>
  <c r="W1177" i="25"/>
  <c r="X1180" i="25" l="1"/>
  <c r="W1178" i="25"/>
  <c r="X1181" i="25" l="1"/>
  <c r="W1179" i="25"/>
  <c r="X1182" i="25" l="1"/>
  <c r="W1180" i="25"/>
  <c r="X1183" i="25" l="1"/>
  <c r="W1181" i="25"/>
  <c r="X1184" i="25" l="1"/>
  <c r="W1182" i="25"/>
  <c r="X1185" i="25" l="1"/>
  <c r="W1183" i="25"/>
  <c r="X1186" i="25" l="1"/>
  <c r="W1184" i="25"/>
  <c r="X1187" i="25" l="1"/>
  <c r="W1185" i="25"/>
  <c r="X1188" i="25" l="1"/>
  <c r="W1186" i="25"/>
  <c r="X1189" i="25" l="1"/>
  <c r="W1187" i="25"/>
  <c r="X1190" i="25" l="1"/>
  <c r="W1188" i="25"/>
  <c r="X1191" i="25" l="1"/>
  <c r="W1189" i="25"/>
  <c r="X1192" i="25" l="1"/>
  <c r="W1190" i="25"/>
  <c r="X1193" i="25" l="1"/>
  <c r="W1191" i="25"/>
  <c r="X1194" i="25" l="1"/>
  <c r="W1192" i="25"/>
  <c r="X1195" i="25" l="1"/>
  <c r="W1193" i="25"/>
  <c r="X1196" i="25" l="1"/>
  <c r="W1194" i="25"/>
  <c r="X1197" i="25" l="1"/>
  <c r="W1195" i="25"/>
  <c r="X1198" i="25" l="1"/>
  <c r="W1196" i="25"/>
  <c r="X1199" i="25" l="1"/>
  <c r="W1197" i="25"/>
  <c r="X1200" i="25" l="1"/>
  <c r="W1198" i="25"/>
  <c r="X1201" i="25" l="1"/>
  <c r="W1199" i="25"/>
  <c r="X1202" i="25" l="1"/>
  <c r="W1200" i="25"/>
  <c r="X1203" i="25" l="1"/>
  <c r="W1201" i="25"/>
  <c r="X1204" i="25" l="1"/>
  <c r="W1202" i="25"/>
  <c r="X1205" i="25" l="1"/>
  <c r="W1203" i="25"/>
  <c r="X1206" i="25" l="1"/>
  <c r="W1204" i="25"/>
  <c r="X1207" i="25" l="1"/>
  <c r="W1205" i="25"/>
  <c r="X1208" i="25" l="1"/>
  <c r="W1206" i="25"/>
  <c r="X1209" i="25" l="1"/>
  <c r="W1207" i="25"/>
  <c r="X1210" i="25" l="1"/>
  <c r="W1208" i="25"/>
  <c r="X1211" i="25" l="1"/>
  <c r="W1209" i="25"/>
  <c r="X1212" i="25" l="1"/>
  <c r="W1210" i="25"/>
  <c r="X1213" i="25" l="1"/>
  <c r="W1211" i="25"/>
  <c r="X1214" i="25" l="1"/>
  <c r="W1212" i="25"/>
  <c r="X1215" i="25" l="1"/>
  <c r="W1213" i="25"/>
  <c r="X1216" i="25" l="1"/>
  <c r="W1214" i="25"/>
  <c r="X1217" i="25" l="1"/>
  <c r="W1215" i="25"/>
  <c r="X1218" i="25" l="1"/>
  <c r="W1216" i="25"/>
  <c r="X1219" i="25" l="1"/>
  <c r="W1217" i="25"/>
  <c r="X1220" i="25" l="1"/>
  <c r="W1218" i="25"/>
  <c r="X1221" i="25" l="1"/>
  <c r="W1219" i="25"/>
  <c r="X1222" i="25" l="1"/>
  <c r="W1220" i="25"/>
  <c r="X1223" i="25" l="1"/>
  <c r="W1221" i="25"/>
  <c r="X1224" i="25" l="1"/>
  <c r="W1222" i="25"/>
  <c r="X1225" i="25" l="1"/>
  <c r="W1223" i="25"/>
  <c r="X1226" i="25" l="1"/>
  <c r="W1224" i="25"/>
  <c r="X1227" i="25" l="1"/>
  <c r="W1225" i="25"/>
  <c r="X1228" i="25" l="1"/>
  <c r="W1226" i="25"/>
  <c r="X1229" i="25" l="1"/>
  <c r="W1227" i="25"/>
  <c r="X1230" i="25" l="1"/>
  <c r="W1228" i="25"/>
  <c r="X1231" i="25" l="1"/>
  <c r="W1229" i="25"/>
  <c r="X1232" i="25" l="1"/>
  <c r="W1230" i="25"/>
  <c r="X1233" i="25" l="1"/>
  <c r="W1231" i="25"/>
  <c r="X1234" i="25" l="1"/>
  <c r="W1232" i="25"/>
  <c r="X1235" i="25" l="1"/>
  <c r="W1233" i="25"/>
  <c r="X1236" i="25" l="1"/>
  <c r="W1234" i="25"/>
  <c r="X1237" i="25" l="1"/>
  <c r="W1235" i="25"/>
  <c r="X1238" i="25" l="1"/>
  <c r="W1236" i="25"/>
  <c r="X1239" i="25" l="1"/>
  <c r="W1237" i="25"/>
  <c r="X1240" i="25" l="1"/>
  <c r="W1238" i="25"/>
  <c r="X1241" i="25" l="1"/>
  <c r="W1239" i="25"/>
  <c r="X1242" i="25" l="1"/>
  <c r="W1240" i="25"/>
  <c r="X1243" i="25" l="1"/>
  <c r="W1241" i="25"/>
  <c r="X1244" i="25" l="1"/>
  <c r="W1242" i="25"/>
  <c r="X1245" i="25" l="1"/>
  <c r="W1243" i="25"/>
  <c r="X1246" i="25" l="1"/>
  <c r="W1244" i="25"/>
  <c r="X1247" i="25" l="1"/>
  <c r="W1245" i="25"/>
  <c r="X1248" i="25" l="1"/>
  <c r="W1246" i="25"/>
  <c r="X1249" i="25" l="1"/>
  <c r="W1247" i="25"/>
  <c r="X1250" i="25" l="1"/>
  <c r="W1248" i="25"/>
  <c r="X1251" i="25" l="1"/>
  <c r="W1249" i="25"/>
  <c r="X1252" i="25" l="1"/>
  <c r="W1250" i="25"/>
  <c r="X1253" i="25" l="1"/>
  <c r="W1251" i="25"/>
  <c r="X1254" i="25" l="1"/>
  <c r="W1252" i="25"/>
  <c r="X1255" i="25" l="1"/>
  <c r="W1253" i="25"/>
  <c r="X1256" i="25" l="1"/>
  <c r="W1254" i="25"/>
  <c r="X1257" i="25" l="1"/>
  <c r="W1255" i="25"/>
  <c r="X1258" i="25" l="1"/>
  <c r="W1256" i="25"/>
  <c r="X1259" i="25" l="1"/>
  <c r="W1257" i="25"/>
  <c r="X1260" i="25" l="1"/>
  <c r="W1258" i="25"/>
  <c r="X1261" i="25" l="1"/>
  <c r="W1259" i="25"/>
  <c r="X1262" i="25" l="1"/>
  <c r="W1260" i="25"/>
  <c r="X1263" i="25" l="1"/>
  <c r="W1261" i="25"/>
  <c r="X1264" i="25" l="1"/>
  <c r="W1262" i="25"/>
  <c r="X1265" i="25" l="1"/>
  <c r="W1263" i="25"/>
  <c r="X1266" i="25" l="1"/>
  <c r="W1264" i="25"/>
  <c r="X1267" i="25" l="1"/>
  <c r="W1265" i="25"/>
  <c r="X1268" i="25" l="1"/>
  <c r="W1266" i="25"/>
  <c r="X1269" i="25" l="1"/>
  <c r="W1267" i="25"/>
  <c r="X1270" i="25" l="1"/>
  <c r="W1268" i="25"/>
  <c r="X1271" i="25" l="1"/>
  <c r="W1269" i="25"/>
  <c r="X1272" i="25" l="1"/>
  <c r="W1270" i="25"/>
  <c r="X1273" i="25" l="1"/>
  <c r="W1271" i="25"/>
  <c r="X1274" i="25" l="1"/>
  <c r="W1272" i="25"/>
  <c r="X1275" i="25" l="1"/>
  <c r="W1273" i="25"/>
  <c r="X1276" i="25" l="1"/>
  <c r="W1274" i="25"/>
  <c r="X1277" i="25" l="1"/>
  <c r="W1275" i="25"/>
  <c r="X1278" i="25" l="1"/>
  <c r="W1276" i="25"/>
  <c r="X1279" i="25" l="1"/>
  <c r="W1277" i="25"/>
  <c r="X1280" i="25" l="1"/>
  <c r="W1278" i="25"/>
  <c r="X1281" i="25" l="1"/>
  <c r="W1279" i="25"/>
  <c r="X1282" i="25" l="1"/>
  <c r="W1280" i="25"/>
  <c r="X1283" i="25" l="1"/>
  <c r="W1281" i="25"/>
  <c r="X1284" i="25" l="1"/>
  <c r="W1282" i="25"/>
  <c r="X1285" i="25" l="1"/>
  <c r="W1283" i="25"/>
  <c r="X1286" i="25" l="1"/>
  <c r="W1284" i="25"/>
  <c r="X1287" i="25" l="1"/>
  <c r="W1285" i="25"/>
  <c r="X1288" i="25" l="1"/>
  <c r="W1286" i="25"/>
  <c r="X1289" i="25" l="1"/>
  <c r="W1287" i="25"/>
  <c r="X1290" i="25" l="1"/>
  <c r="W1288" i="25"/>
  <c r="X1291" i="25" l="1"/>
  <c r="W1289" i="25"/>
  <c r="X1292" i="25" l="1"/>
  <c r="W1290" i="25"/>
  <c r="X1293" i="25" l="1"/>
  <c r="W1291" i="25"/>
  <c r="X1294" i="25" l="1"/>
  <c r="W1292" i="25"/>
  <c r="X1295" i="25" l="1"/>
  <c r="W1293" i="25"/>
  <c r="X1296" i="25" l="1"/>
  <c r="W1294" i="25"/>
  <c r="X1297" i="25" l="1"/>
  <c r="W1295" i="25"/>
  <c r="X1298" i="25" l="1"/>
  <c r="W1296" i="25"/>
  <c r="X1299" i="25" l="1"/>
  <c r="W1297" i="25"/>
  <c r="X1300" i="25" l="1"/>
  <c r="W1298" i="25"/>
  <c r="X1301" i="25" l="1"/>
  <c r="W1299" i="25"/>
  <c r="X1302" i="25" l="1"/>
  <c r="W1300" i="25"/>
  <c r="X1303" i="25" l="1"/>
  <c r="W1301" i="25"/>
  <c r="X1304" i="25" l="1"/>
  <c r="W1302" i="25"/>
  <c r="X1305" i="25" l="1"/>
  <c r="W1303" i="25"/>
  <c r="X1306" i="25" l="1"/>
  <c r="W1304" i="25"/>
  <c r="X1307" i="25" l="1"/>
  <c r="W1305" i="25"/>
  <c r="X1308" i="25" l="1"/>
  <c r="W1306" i="25"/>
  <c r="X1309" i="25" l="1"/>
  <c r="W1307" i="25"/>
  <c r="X1310" i="25" l="1"/>
  <c r="W1308" i="25"/>
  <c r="X1311" i="25" l="1"/>
  <c r="W1309" i="25"/>
  <c r="X1312" i="25" l="1"/>
  <c r="W1310" i="25"/>
  <c r="X1313" i="25" l="1"/>
  <c r="W1311" i="25"/>
  <c r="X1314" i="25" l="1"/>
  <c r="W1312" i="25"/>
  <c r="X1315" i="25" l="1"/>
  <c r="W1313" i="25"/>
  <c r="X1316" i="25" l="1"/>
  <c r="W1314" i="25"/>
  <c r="X1317" i="25" l="1"/>
  <c r="W1315" i="25"/>
  <c r="X1318" i="25" l="1"/>
  <c r="W1316" i="25"/>
  <c r="X1319" i="25" l="1"/>
  <c r="W1317" i="25"/>
  <c r="X1320" i="25" l="1"/>
  <c r="W1318" i="25"/>
  <c r="X1321" i="25" l="1"/>
  <c r="W1319" i="25"/>
  <c r="X1322" i="25" l="1"/>
  <c r="W1320" i="25"/>
  <c r="X1323" i="25" l="1"/>
  <c r="W1321" i="25"/>
  <c r="X1324" i="25" l="1"/>
  <c r="W1322" i="25"/>
  <c r="X1325" i="25" l="1"/>
  <c r="W1323" i="25"/>
  <c r="X1326" i="25" l="1"/>
  <c r="W1324" i="25"/>
  <c r="X1327" i="25" l="1"/>
  <c r="W1325" i="25"/>
  <c r="X1328" i="25" l="1"/>
  <c r="W1326" i="25"/>
  <c r="X1329" i="25" l="1"/>
  <c r="W1327" i="25"/>
  <c r="X1330" i="25" l="1"/>
  <c r="W1328" i="25"/>
  <c r="X1331" i="25" l="1"/>
  <c r="W1329" i="25"/>
  <c r="X1332" i="25" l="1"/>
  <c r="W1330" i="25"/>
  <c r="X1333" i="25" l="1"/>
  <c r="W1331" i="25"/>
  <c r="X1334" i="25" l="1"/>
  <c r="W1332" i="25"/>
  <c r="X1335" i="25" l="1"/>
  <c r="W1333" i="25"/>
  <c r="X1336" i="25" l="1"/>
  <c r="W1334" i="25"/>
  <c r="X1337" i="25" l="1"/>
  <c r="W1335" i="25"/>
  <c r="X1338" i="25" l="1"/>
  <c r="W1336" i="25"/>
  <c r="X1339" i="25" l="1"/>
  <c r="W1337" i="25"/>
  <c r="X1340" i="25" l="1"/>
  <c r="W1338" i="25"/>
  <c r="X1341" i="25" l="1"/>
  <c r="W1339" i="25"/>
  <c r="X1342" i="25" l="1"/>
  <c r="W1340" i="25"/>
  <c r="X1343" i="25" l="1"/>
  <c r="W1341" i="25"/>
  <c r="X1344" i="25" l="1"/>
  <c r="W1342" i="25"/>
  <c r="X1345" i="25" l="1"/>
  <c r="W1343" i="25"/>
  <c r="X1346" i="25" l="1"/>
  <c r="W1344" i="25"/>
  <c r="X1347" i="25" l="1"/>
  <c r="W1345" i="25"/>
  <c r="X1348" i="25" l="1"/>
  <c r="W1346" i="25"/>
  <c r="X1349" i="25" l="1"/>
  <c r="W1347" i="25"/>
  <c r="X1350" i="25" l="1"/>
  <c r="W1348" i="25"/>
  <c r="X1351" i="25" l="1"/>
  <c r="W1349" i="25"/>
  <c r="X1352" i="25" l="1"/>
  <c r="W1350" i="25"/>
  <c r="X1353" i="25" l="1"/>
  <c r="W1351" i="25"/>
  <c r="X1354" i="25" l="1"/>
  <c r="W1352" i="25"/>
  <c r="X1355" i="25" l="1"/>
  <c r="W1353" i="25"/>
  <c r="X1356" i="25" l="1"/>
  <c r="W1354" i="25"/>
  <c r="X1357" i="25" l="1"/>
  <c r="W1355" i="25"/>
  <c r="X1358" i="25" l="1"/>
  <c r="W1356" i="25"/>
  <c r="X1359" i="25" l="1"/>
  <c r="W1357" i="25"/>
  <c r="X1360" i="25" l="1"/>
  <c r="W1358" i="25"/>
  <c r="X1361" i="25" l="1"/>
  <c r="W1359" i="25"/>
  <c r="X1362" i="25" l="1"/>
  <c r="W1360" i="25"/>
  <c r="X1363" i="25" l="1"/>
  <c r="W1361" i="25"/>
  <c r="X1364" i="25" l="1"/>
  <c r="W1362" i="25"/>
  <c r="X1365" i="25" l="1"/>
  <c r="W1363" i="25"/>
  <c r="X1366" i="25" l="1"/>
  <c r="W1364" i="25"/>
  <c r="X1367" i="25" l="1"/>
  <c r="W1365" i="25"/>
  <c r="X1368" i="25" l="1"/>
  <c r="W1366" i="25"/>
  <c r="X1369" i="25" l="1"/>
  <c r="W1367" i="25"/>
  <c r="X1370" i="25" l="1"/>
  <c r="W1368" i="25"/>
  <c r="X1371" i="25" l="1"/>
  <c r="W1369" i="25"/>
  <c r="X1372" i="25" l="1"/>
  <c r="W1370" i="25"/>
  <c r="X1373" i="25" l="1"/>
  <c r="W1371" i="25"/>
  <c r="X1374" i="25" l="1"/>
  <c r="W1372" i="25"/>
  <c r="X1375" i="25" l="1"/>
  <c r="W1373" i="25"/>
  <c r="X1376" i="25" l="1"/>
  <c r="W1374" i="25"/>
  <c r="X1377" i="25" l="1"/>
  <c r="W1375" i="25"/>
  <c r="X1378" i="25" l="1"/>
  <c r="W1376" i="25"/>
  <c r="X1379" i="25" l="1"/>
  <c r="W1377" i="25"/>
  <c r="X1380" i="25" l="1"/>
  <c r="W1378" i="25"/>
  <c r="X1381" i="25" l="1"/>
  <c r="W1379" i="25"/>
  <c r="X1382" i="25" l="1"/>
  <c r="W1380" i="25"/>
  <c r="X1383" i="25" l="1"/>
  <c r="W1381" i="25"/>
  <c r="X1384" i="25" l="1"/>
  <c r="W1382" i="25"/>
  <c r="X1385" i="25" l="1"/>
  <c r="W1383" i="25"/>
  <c r="X1386" i="25" l="1"/>
  <c r="W1384" i="25"/>
  <c r="X1387" i="25" l="1"/>
  <c r="W1385" i="25"/>
  <c r="X1388" i="25" l="1"/>
  <c r="W1386" i="25"/>
  <c r="X1389" i="25" l="1"/>
  <c r="W1387" i="25"/>
  <c r="X1390" i="25" l="1"/>
  <c r="W1388" i="25"/>
  <c r="X1391" i="25" l="1"/>
  <c r="W1389" i="25"/>
  <c r="X1392" i="25" l="1"/>
  <c r="W1390" i="25"/>
  <c r="X1393" i="25" l="1"/>
  <c r="W1391" i="25"/>
  <c r="X1394" i="25" l="1"/>
  <c r="W1392" i="25"/>
  <c r="X1395" i="25" l="1"/>
  <c r="W1393" i="25"/>
  <c r="X1396" i="25" l="1"/>
  <c r="W1394" i="25"/>
  <c r="X1397" i="25" l="1"/>
  <c r="W1395" i="25"/>
  <c r="X1398" i="25" l="1"/>
  <c r="W1396" i="25"/>
  <c r="X1399" i="25" l="1"/>
  <c r="W1397" i="25"/>
  <c r="X1400" i="25" l="1"/>
  <c r="W1398" i="25"/>
  <c r="X1401" i="25" l="1"/>
  <c r="W1399" i="25"/>
  <c r="X1402" i="25" l="1"/>
  <c r="W1400" i="25"/>
  <c r="X1403" i="25" l="1"/>
  <c r="W1401" i="25"/>
  <c r="X1404" i="25" l="1"/>
  <c r="W1402" i="25"/>
  <c r="X1405" i="25" l="1"/>
  <c r="W1403" i="25"/>
  <c r="X1406" i="25" l="1"/>
  <c r="W1404" i="25"/>
  <c r="X1407" i="25" l="1"/>
  <c r="W1405" i="25"/>
  <c r="X1408" i="25" l="1"/>
  <c r="W1406" i="25"/>
  <c r="X1409" i="25" l="1"/>
  <c r="W1407" i="25"/>
  <c r="X1410" i="25" l="1"/>
  <c r="W1408" i="25"/>
  <c r="X1411" i="25" l="1"/>
  <c r="W1409" i="25"/>
  <c r="X1412" i="25" l="1"/>
  <c r="W1410" i="25"/>
  <c r="X1413" i="25" l="1"/>
  <c r="W1411" i="25"/>
  <c r="X1414" i="25" l="1"/>
  <c r="W1412" i="25"/>
  <c r="X1415" i="25" l="1"/>
  <c r="W1413" i="25"/>
  <c r="X1416" i="25" l="1"/>
  <c r="W1414" i="25"/>
  <c r="X1417" i="25" l="1"/>
  <c r="W1415" i="25"/>
  <c r="X1418" i="25" l="1"/>
  <c r="W1416" i="25"/>
  <c r="X1419" i="25" l="1"/>
  <c r="W1417" i="25"/>
  <c r="X1420" i="25" l="1"/>
  <c r="W1418" i="25"/>
  <c r="X1421" i="25" l="1"/>
  <c r="W1419" i="25"/>
  <c r="X1422" i="25" l="1"/>
  <c r="W1420" i="25"/>
  <c r="X1423" i="25" l="1"/>
  <c r="W1421" i="25"/>
  <c r="X1424" i="25" l="1"/>
  <c r="W1422" i="25"/>
  <c r="X1425" i="25" l="1"/>
  <c r="W1423" i="25"/>
  <c r="X1426" i="25" l="1"/>
  <c r="W1424" i="25"/>
  <c r="X1427" i="25" l="1"/>
  <c r="W1425" i="25"/>
  <c r="X1428" i="25" l="1"/>
  <c r="W1426" i="25"/>
  <c r="X1429" i="25" l="1"/>
  <c r="W1427" i="25"/>
  <c r="X1430" i="25" l="1"/>
  <c r="W1428" i="25"/>
  <c r="X1431" i="25" l="1"/>
  <c r="W1429" i="25"/>
  <c r="X1432" i="25" l="1"/>
  <c r="W1430" i="25"/>
  <c r="X1433" i="25" l="1"/>
  <c r="W1431" i="25"/>
  <c r="X1434" i="25" l="1"/>
  <c r="W1432" i="25"/>
  <c r="X1435" i="25" l="1"/>
  <c r="W1433" i="25"/>
  <c r="X1436" i="25" l="1"/>
  <c r="W1434" i="25"/>
  <c r="X1437" i="25" l="1"/>
  <c r="W1435" i="25"/>
  <c r="X1438" i="25" l="1"/>
  <c r="W1436" i="25"/>
  <c r="X1439" i="25" l="1"/>
  <c r="W1437" i="25"/>
  <c r="X1440" i="25" l="1"/>
  <c r="W1438" i="25"/>
  <c r="X1441" i="25" l="1"/>
  <c r="W1439" i="25"/>
  <c r="X1442" i="25" l="1"/>
  <c r="W1440" i="25"/>
  <c r="X1443" i="25" l="1"/>
  <c r="W1441" i="25"/>
  <c r="X1444" i="25" l="1"/>
  <c r="W1442" i="25"/>
  <c r="X1445" i="25" l="1"/>
  <c r="W1443" i="25"/>
  <c r="X1446" i="25" l="1"/>
  <c r="W1444" i="25"/>
  <c r="X1447" i="25" l="1"/>
  <c r="W1445" i="25"/>
  <c r="X1448" i="25" l="1"/>
  <c r="W1446" i="25"/>
  <c r="X1449" i="25" l="1"/>
  <c r="W1447" i="25"/>
  <c r="X1450" i="25" l="1"/>
  <c r="W1448" i="25"/>
  <c r="X1451" i="25" l="1"/>
  <c r="W1449" i="25"/>
  <c r="X1452" i="25" l="1"/>
  <c r="W1450" i="25"/>
  <c r="X1453" i="25" l="1"/>
  <c r="W1451" i="25"/>
  <c r="X1454" i="25" l="1"/>
  <c r="W1452" i="25"/>
  <c r="X1455" i="25" l="1"/>
  <c r="W1453" i="25"/>
  <c r="X1456" i="25" l="1"/>
  <c r="W1454" i="25"/>
  <c r="X1457" i="25" l="1"/>
  <c r="W1455" i="25"/>
  <c r="X1458" i="25" l="1"/>
  <c r="W1456" i="25"/>
  <c r="X1459" i="25" l="1"/>
  <c r="W1457" i="25"/>
  <c r="X1460" i="25" l="1"/>
  <c r="W1458" i="25"/>
  <c r="X1461" i="25" l="1"/>
  <c r="W1459" i="25"/>
  <c r="X1462" i="25" l="1"/>
  <c r="W1460" i="25"/>
  <c r="X1463" i="25" l="1"/>
  <c r="W1461" i="25"/>
  <c r="X1464" i="25" l="1"/>
  <c r="W1462" i="25"/>
  <c r="X1465" i="25" l="1"/>
  <c r="W1463" i="25"/>
  <c r="X1466" i="25" l="1"/>
  <c r="W1464" i="25"/>
  <c r="X1467" i="25" l="1"/>
  <c r="W1465" i="25"/>
  <c r="X1468" i="25" l="1"/>
  <c r="W1466" i="25"/>
  <c r="X1469" i="25" l="1"/>
  <c r="W1467" i="25"/>
  <c r="X1470" i="25" l="1"/>
  <c r="W1468" i="25"/>
  <c r="X1471" i="25" l="1"/>
  <c r="W1469" i="25"/>
  <c r="X1472" i="25" l="1"/>
  <c r="W1470" i="25"/>
  <c r="X1473" i="25" l="1"/>
  <c r="W1471" i="25"/>
  <c r="X1474" i="25" l="1"/>
  <c r="W1472" i="25"/>
  <c r="X1475" i="25" l="1"/>
  <c r="W1473" i="25"/>
  <c r="X1476" i="25" l="1"/>
  <c r="W1474" i="25"/>
  <c r="X1477" i="25" l="1"/>
  <c r="W1475" i="25"/>
  <c r="X1478" i="25" l="1"/>
  <c r="W1476" i="25"/>
  <c r="X1479" i="25" l="1"/>
  <c r="W1477" i="25"/>
  <c r="X1480" i="25" l="1"/>
  <c r="W1478" i="25"/>
  <c r="X1481" i="25" l="1"/>
  <c r="W1479" i="25"/>
  <c r="X1482" i="25" l="1"/>
  <c r="W1480" i="25"/>
  <c r="X1483" i="25" l="1"/>
  <c r="W1481" i="25"/>
  <c r="X1484" i="25" l="1"/>
  <c r="W1482" i="25"/>
  <c r="X1485" i="25" l="1"/>
  <c r="W1483" i="25"/>
  <c r="X1486" i="25" l="1"/>
  <c r="W1484" i="25"/>
  <c r="X1487" i="25" l="1"/>
  <c r="W1485" i="25"/>
  <c r="X1488" i="25" l="1"/>
  <c r="W1486" i="25"/>
  <c r="X1489" i="25" l="1"/>
  <c r="W1487" i="25"/>
  <c r="X1490" i="25" l="1"/>
  <c r="W1488" i="25"/>
  <c r="X1491" i="25" l="1"/>
  <c r="W1489" i="25"/>
  <c r="X1492" i="25" l="1"/>
  <c r="W1490" i="25"/>
  <c r="X1493" i="25" l="1"/>
  <c r="W1491" i="25"/>
  <c r="X1494" i="25" l="1"/>
  <c r="W1492" i="25"/>
  <c r="X1495" i="25" l="1"/>
  <c r="W1493" i="25"/>
  <c r="X1496" i="25" l="1"/>
  <c r="W1494" i="25"/>
  <c r="X1497" i="25" l="1"/>
  <c r="W1495" i="25"/>
  <c r="X1498" i="25" l="1"/>
  <c r="W1496" i="25"/>
  <c r="X1499" i="25" l="1"/>
  <c r="W1497" i="25"/>
  <c r="X1500" i="25" l="1"/>
  <c r="W1498" i="25"/>
  <c r="X1501" i="25" l="1"/>
  <c r="W1499" i="25"/>
  <c r="X1502" i="25" l="1"/>
  <c r="W1500" i="25"/>
  <c r="X1503" i="25" l="1"/>
  <c r="W1501" i="25"/>
  <c r="X1504" i="25" l="1"/>
  <c r="W1502" i="25"/>
  <c r="X1505" i="25" l="1"/>
  <c r="W1503" i="25"/>
  <c r="X1506" i="25" l="1"/>
  <c r="W1504" i="25"/>
  <c r="X1507" i="25" l="1"/>
  <c r="W1505" i="25"/>
  <c r="X1508" i="25" l="1"/>
  <c r="W1506" i="25"/>
  <c r="X1509" i="25" l="1"/>
  <c r="W1507" i="25"/>
  <c r="X1510" i="25" l="1"/>
  <c r="W1508" i="25"/>
  <c r="X1511" i="25" l="1"/>
  <c r="W1509" i="25"/>
  <c r="X1512" i="25" l="1"/>
  <c r="W1510" i="25"/>
  <c r="X1513" i="25" l="1"/>
  <c r="W1511" i="25"/>
  <c r="X1514" i="25" l="1"/>
  <c r="W1512" i="25"/>
  <c r="X1515" i="25" l="1"/>
  <c r="W1513" i="25"/>
  <c r="X1516" i="25" l="1"/>
  <c r="W1514" i="25"/>
  <c r="X1517" i="25" l="1"/>
  <c r="W1515" i="25"/>
  <c r="X1518" i="25" l="1"/>
  <c r="W1516" i="25"/>
  <c r="X1519" i="25" l="1"/>
  <c r="W1517" i="25"/>
  <c r="X1520" i="25" l="1"/>
  <c r="W1518" i="25"/>
  <c r="X1521" i="25" l="1"/>
  <c r="W1519" i="25"/>
  <c r="X1522" i="25" l="1"/>
  <c r="W1520" i="25"/>
  <c r="X1523" i="25" l="1"/>
  <c r="W1521" i="25"/>
  <c r="X1524" i="25" l="1"/>
  <c r="W1522" i="25"/>
  <c r="X1525" i="25" l="1"/>
  <c r="W1523" i="25"/>
  <c r="X1526" i="25" l="1"/>
  <c r="W1524" i="25"/>
  <c r="X1527" i="25" l="1"/>
  <c r="W1525" i="25"/>
  <c r="X1528" i="25" l="1"/>
  <c r="W1526" i="25"/>
  <c r="X1529" i="25" l="1"/>
  <c r="W1527" i="25"/>
  <c r="X1530" i="25" l="1"/>
  <c r="W1528" i="25"/>
  <c r="X1531" i="25" l="1"/>
  <c r="W1529" i="25"/>
  <c r="X1532" i="25" l="1"/>
  <c r="W1530" i="25"/>
  <c r="X1533" i="25" l="1"/>
  <c r="W1531" i="25"/>
  <c r="X1534" i="25" l="1"/>
  <c r="W1532" i="25"/>
  <c r="X1535" i="25" l="1"/>
  <c r="W1533" i="25"/>
  <c r="X1536" i="25" l="1"/>
  <c r="W1534" i="25"/>
  <c r="X1537" i="25" l="1"/>
  <c r="W1535" i="25"/>
  <c r="X1538" i="25" l="1"/>
  <c r="W1536" i="25"/>
  <c r="X1539" i="25" l="1"/>
  <c r="W1537" i="25"/>
  <c r="X1540" i="25" l="1"/>
  <c r="W1538" i="25"/>
  <c r="X1541" i="25" l="1"/>
  <c r="W1539" i="25"/>
  <c r="X1542" i="25" l="1"/>
  <c r="W1540" i="25"/>
  <c r="X1543" i="25" l="1"/>
  <c r="W1541" i="25"/>
  <c r="X1544" i="25" l="1"/>
  <c r="W1542" i="25"/>
  <c r="X1545" i="25" l="1"/>
  <c r="W1543" i="25"/>
  <c r="X1546" i="25" l="1"/>
  <c r="W1544" i="25"/>
  <c r="X1547" i="25" l="1"/>
  <c r="W1545" i="25"/>
  <c r="X1548" i="25" l="1"/>
  <c r="W1546" i="25"/>
  <c r="X1549" i="25" l="1"/>
  <c r="W1547" i="25"/>
  <c r="X1550" i="25" l="1"/>
  <c r="W1548" i="25"/>
  <c r="X1551" i="25" l="1"/>
  <c r="W1549" i="25"/>
  <c r="X1552" i="25" l="1"/>
  <c r="W1550" i="25"/>
  <c r="X1553" i="25" l="1"/>
  <c r="W1551" i="25"/>
  <c r="X1554" i="25" l="1"/>
  <c r="W1552" i="25"/>
  <c r="X1555" i="25" l="1"/>
  <c r="W1553" i="25"/>
  <c r="X1556" i="25" l="1"/>
  <c r="W1554" i="25"/>
  <c r="X1557" i="25" l="1"/>
  <c r="W1555" i="25"/>
  <c r="X1558" i="25" l="1"/>
  <c r="W1556" i="25"/>
  <c r="X1559" i="25" l="1"/>
  <c r="W1557" i="25"/>
  <c r="X1560" i="25" l="1"/>
  <c r="W1558" i="25"/>
  <c r="X1561" i="25" l="1"/>
  <c r="W1559" i="25"/>
  <c r="X1562" i="25" l="1"/>
  <c r="W1560" i="25"/>
  <c r="X1563" i="25" l="1"/>
  <c r="W1561" i="25"/>
  <c r="X1564" i="25" l="1"/>
  <c r="W1562" i="25"/>
  <c r="X1565" i="25" l="1"/>
  <c r="W1563" i="25"/>
  <c r="X1566" i="25" l="1"/>
  <c r="W1564" i="25"/>
  <c r="X1567" i="25" l="1"/>
  <c r="W1565" i="25"/>
  <c r="X1568" i="25" l="1"/>
  <c r="W1566" i="25"/>
  <c r="X1569" i="25" l="1"/>
  <c r="W1567" i="25"/>
  <c r="X1570" i="25" l="1"/>
  <c r="W1568" i="25"/>
  <c r="X1571" i="25" l="1"/>
  <c r="W1569" i="25"/>
  <c r="X1572" i="25" l="1"/>
  <c r="W1570" i="25"/>
  <c r="X1573" i="25" l="1"/>
  <c r="W1571" i="25"/>
  <c r="X1574" i="25" l="1"/>
  <c r="W1572" i="25"/>
  <c r="X1575" i="25" l="1"/>
  <c r="W1573" i="25"/>
  <c r="X1576" i="25" l="1"/>
  <c r="W1574" i="25"/>
  <c r="X1577" i="25" l="1"/>
  <c r="W1575" i="25"/>
  <c r="X1578" i="25" l="1"/>
  <c r="W1576" i="25"/>
  <c r="X1579" i="25" l="1"/>
  <c r="W1577" i="25"/>
  <c r="X1580" i="25" l="1"/>
  <c r="W1578" i="25"/>
  <c r="X1581" i="25" l="1"/>
  <c r="W1579" i="25"/>
  <c r="X1582" i="25" l="1"/>
  <c r="W1580" i="25"/>
  <c r="X1583" i="25" l="1"/>
  <c r="W1581" i="25"/>
  <c r="X1584" i="25" l="1"/>
  <c r="W1582" i="25"/>
  <c r="X1585" i="25" l="1"/>
  <c r="W1583" i="25"/>
  <c r="X1586" i="25" l="1"/>
  <c r="W1584" i="25"/>
  <c r="X1587" i="25" l="1"/>
  <c r="W1585" i="25"/>
  <c r="X1588" i="25" l="1"/>
  <c r="W1586" i="25"/>
  <c r="X1589" i="25" l="1"/>
  <c r="W1587" i="25"/>
  <c r="X1590" i="25" l="1"/>
  <c r="W1588" i="25"/>
  <c r="X1591" i="25" l="1"/>
  <c r="W1589" i="25"/>
  <c r="X1592" i="25" l="1"/>
  <c r="W1590" i="25"/>
  <c r="X1593" i="25" l="1"/>
  <c r="W1591" i="25"/>
  <c r="X1594" i="25" l="1"/>
  <c r="W1592" i="25"/>
  <c r="X1595" i="25" l="1"/>
  <c r="W1593" i="25"/>
  <c r="X1596" i="25" l="1"/>
  <c r="W1594" i="25"/>
  <c r="X1597" i="25" l="1"/>
  <c r="W1595" i="25"/>
  <c r="X1598" i="25" l="1"/>
  <c r="W1596" i="25"/>
  <c r="X1599" i="25" l="1"/>
  <c r="W1597" i="25"/>
  <c r="X1600" i="25" l="1"/>
  <c r="W1598" i="25"/>
  <c r="X1601" i="25" l="1"/>
  <c r="W1599" i="25"/>
  <c r="X1602" i="25" l="1"/>
  <c r="W1600" i="25"/>
  <c r="X1603" i="25" l="1"/>
  <c r="W1601" i="25"/>
  <c r="X1604" i="25" l="1"/>
  <c r="W1602" i="25"/>
  <c r="X1605" i="25" l="1"/>
  <c r="W1603" i="25"/>
  <c r="X1606" i="25" l="1"/>
  <c r="W1604" i="25"/>
  <c r="X1607" i="25" l="1"/>
  <c r="W1605" i="25"/>
  <c r="X1608" i="25" l="1"/>
  <c r="W1606" i="25"/>
  <c r="X1609" i="25" l="1"/>
  <c r="W1607" i="25"/>
  <c r="X1610" i="25" l="1"/>
  <c r="W1608" i="25"/>
  <c r="X1611" i="25" l="1"/>
  <c r="W1609" i="25"/>
  <c r="X1612" i="25" l="1"/>
  <c r="W1610" i="25"/>
  <c r="X1613" i="25" l="1"/>
  <c r="W1611" i="25"/>
  <c r="X1614" i="25" l="1"/>
  <c r="W1612" i="25"/>
  <c r="X1615" i="25" l="1"/>
  <c r="W1613" i="25"/>
  <c r="X1616" i="25" l="1"/>
  <c r="W1614" i="25"/>
  <c r="X1617" i="25" l="1"/>
  <c r="W1615" i="25"/>
  <c r="X1618" i="25" l="1"/>
  <c r="W1616" i="25"/>
  <c r="X1619" i="25" l="1"/>
  <c r="W1617" i="25"/>
  <c r="X1620" i="25" l="1"/>
  <c r="W1618" i="25"/>
  <c r="X1621" i="25" l="1"/>
  <c r="W1619" i="25"/>
  <c r="X1622" i="25" l="1"/>
  <c r="W1620" i="25"/>
  <c r="X1623" i="25" l="1"/>
  <c r="W1621" i="25"/>
  <c r="X1624" i="25" l="1"/>
  <c r="W1622" i="25"/>
  <c r="X1625" i="25" l="1"/>
  <c r="W1623" i="25"/>
  <c r="X1626" i="25" l="1"/>
  <c r="W1624" i="25"/>
  <c r="X1627" i="25" l="1"/>
  <c r="W1625" i="25"/>
  <c r="X1628" i="25" l="1"/>
  <c r="W1626" i="25"/>
  <c r="X1629" i="25" l="1"/>
  <c r="W1627" i="25"/>
  <c r="X1630" i="25" l="1"/>
  <c r="W1628" i="25"/>
  <c r="X1631" i="25" l="1"/>
  <c r="W1629" i="25"/>
  <c r="X1632" i="25" l="1"/>
  <c r="W1630" i="25"/>
  <c r="X1633" i="25" l="1"/>
  <c r="W1631" i="25"/>
  <c r="X1634" i="25" l="1"/>
  <c r="W1632" i="25"/>
  <c r="X1635" i="25" l="1"/>
  <c r="W1633" i="25"/>
  <c r="X1636" i="25" l="1"/>
  <c r="W1634" i="25"/>
  <c r="X1637" i="25" l="1"/>
  <c r="W1635" i="25"/>
  <c r="X1638" i="25" l="1"/>
  <c r="W1636" i="25"/>
  <c r="X1639" i="25" l="1"/>
  <c r="W1637" i="25"/>
  <c r="X1640" i="25" l="1"/>
  <c r="W1638" i="25"/>
  <c r="X1641" i="25" l="1"/>
  <c r="W1639" i="25"/>
  <c r="X1642" i="25" l="1"/>
  <c r="W1640" i="25"/>
  <c r="X1643" i="25" l="1"/>
  <c r="W1641" i="25"/>
  <c r="X1644" i="25" l="1"/>
  <c r="W1642" i="25"/>
  <c r="X1645" i="25" l="1"/>
  <c r="W1643" i="25"/>
  <c r="X1646" i="25" l="1"/>
  <c r="W1644" i="25"/>
  <c r="X1647" i="25" l="1"/>
  <c r="W1645" i="25"/>
  <c r="X1648" i="25" l="1"/>
  <c r="W1646" i="25"/>
  <c r="X1649" i="25" l="1"/>
  <c r="W1647" i="25"/>
  <c r="X1650" i="25" l="1"/>
  <c r="W1648" i="25"/>
  <c r="X1651" i="25" l="1"/>
  <c r="W1649" i="25"/>
  <c r="X1652" i="25" l="1"/>
  <c r="W1650" i="25"/>
  <c r="X1653" i="25" l="1"/>
  <c r="W1651" i="25"/>
  <c r="X1654" i="25" l="1"/>
  <c r="W1652" i="25"/>
  <c r="X1655" i="25" l="1"/>
  <c r="W1653" i="25"/>
  <c r="X1656" i="25" l="1"/>
  <c r="W1654" i="25"/>
  <c r="X1657" i="25" l="1"/>
  <c r="W1655" i="25"/>
  <c r="X1658" i="25" l="1"/>
  <c r="W1656" i="25"/>
  <c r="X1659" i="25" l="1"/>
  <c r="W1657" i="25"/>
  <c r="X1660" i="25" l="1"/>
  <c r="W1658" i="25"/>
  <c r="X1661" i="25" l="1"/>
  <c r="W1659" i="25"/>
  <c r="X1662" i="25" l="1"/>
  <c r="W1660" i="25"/>
  <c r="X1663" i="25" l="1"/>
  <c r="W1661" i="25"/>
  <c r="X1664" i="25" l="1"/>
  <c r="W1662" i="25"/>
  <c r="X1665" i="25" l="1"/>
  <c r="W1663" i="25"/>
  <c r="X1666" i="25" l="1"/>
  <c r="W1664" i="25"/>
  <c r="X1667" i="25" l="1"/>
  <c r="W1665" i="25"/>
  <c r="X1668" i="25" l="1"/>
  <c r="W1666" i="25"/>
  <c r="X1669" i="25" l="1"/>
  <c r="W1667" i="25"/>
  <c r="X1670" i="25" l="1"/>
  <c r="W1668" i="25"/>
  <c r="X1671" i="25" l="1"/>
  <c r="W1669" i="25"/>
  <c r="X1672" i="25" l="1"/>
  <c r="W1670" i="25"/>
  <c r="X1673" i="25" l="1"/>
  <c r="W1671" i="25"/>
  <c r="X1674" i="25" l="1"/>
  <c r="W1672" i="25"/>
  <c r="X1675" i="25" l="1"/>
  <c r="W1673" i="25"/>
  <c r="X1676" i="25" l="1"/>
  <c r="W1674" i="25"/>
  <c r="X1677" i="25" l="1"/>
  <c r="W1675" i="25"/>
  <c r="X1678" i="25" l="1"/>
  <c r="W1676" i="25"/>
  <c r="X1679" i="25" l="1"/>
  <c r="W1677" i="25"/>
  <c r="X1680" i="25" l="1"/>
  <c r="W1678" i="25"/>
  <c r="X1681" i="25" l="1"/>
  <c r="W1679" i="25"/>
  <c r="X1682" i="25" l="1"/>
  <c r="W1680" i="25"/>
  <c r="X1683" i="25" l="1"/>
  <c r="W1681" i="25"/>
  <c r="X1684" i="25" l="1"/>
  <c r="W1682" i="25"/>
  <c r="X1685" i="25" l="1"/>
  <c r="W1683" i="25"/>
  <c r="X1686" i="25" l="1"/>
  <c r="W1684" i="25"/>
  <c r="X1687" i="25" l="1"/>
  <c r="W1685" i="25"/>
  <c r="X1688" i="25" l="1"/>
  <c r="W1686" i="25"/>
  <c r="X1689" i="25" l="1"/>
  <c r="W1687" i="25"/>
  <c r="X1690" i="25" l="1"/>
  <c r="W1688" i="25"/>
  <c r="X1691" i="25" l="1"/>
  <c r="W1689" i="25"/>
  <c r="X1692" i="25" l="1"/>
  <c r="W1690" i="25"/>
  <c r="X1693" i="25" l="1"/>
  <c r="W1691" i="25"/>
  <c r="X1694" i="25" l="1"/>
  <c r="W1692" i="25"/>
  <c r="X1695" i="25" l="1"/>
  <c r="W1693" i="25"/>
  <c r="X1696" i="25" l="1"/>
  <c r="W1694" i="25"/>
  <c r="X1697" i="25" l="1"/>
  <c r="W1695" i="25"/>
  <c r="X1698" i="25" l="1"/>
  <c r="W1696" i="25"/>
  <c r="X1699" i="25" l="1"/>
  <c r="W1697" i="25"/>
  <c r="X1700" i="25" l="1"/>
  <c r="W1698" i="25"/>
  <c r="X1701" i="25" l="1"/>
  <c r="W1699" i="25"/>
  <c r="X1702" i="25" l="1"/>
  <c r="W1700" i="25"/>
  <c r="X1703" i="25" l="1"/>
  <c r="W1701" i="25"/>
  <c r="X1704" i="25" l="1"/>
  <c r="W1702" i="25"/>
  <c r="X1705" i="25" l="1"/>
  <c r="W1703" i="25"/>
  <c r="X1706" i="25" l="1"/>
  <c r="W1704" i="25"/>
  <c r="X1707" i="25" l="1"/>
  <c r="W1705" i="25"/>
  <c r="X1708" i="25" l="1"/>
  <c r="W1706" i="25"/>
  <c r="X1709" i="25" l="1"/>
  <c r="W1707" i="25"/>
  <c r="X1710" i="25" l="1"/>
  <c r="W1708" i="25"/>
  <c r="X1711" i="25" l="1"/>
  <c r="W1709" i="25"/>
  <c r="X1712" i="25" l="1"/>
  <c r="W1710" i="25"/>
  <c r="X1713" i="25" l="1"/>
  <c r="W1711" i="25"/>
  <c r="X1714" i="25" l="1"/>
  <c r="W1712" i="25"/>
  <c r="X1715" i="25" l="1"/>
  <c r="W1713" i="25"/>
  <c r="X1716" i="25" l="1"/>
  <c r="W1714" i="25"/>
  <c r="X1717" i="25" l="1"/>
  <c r="W1715" i="25"/>
  <c r="X1718" i="25" l="1"/>
  <c r="W1716" i="25"/>
  <c r="X1719" i="25" l="1"/>
  <c r="W1717" i="25"/>
  <c r="X1720" i="25" l="1"/>
  <c r="W1718" i="25"/>
  <c r="X1721" i="25" l="1"/>
  <c r="W1719" i="25"/>
  <c r="X1722" i="25" l="1"/>
  <c r="W1720" i="25"/>
  <c r="X1723" i="25" l="1"/>
  <c r="W1721" i="25"/>
  <c r="X1724" i="25" l="1"/>
  <c r="W1722" i="25"/>
  <c r="X1725" i="25" l="1"/>
  <c r="W1723" i="25"/>
  <c r="X1726" i="25" l="1"/>
  <c r="W1724" i="25"/>
  <c r="X1727" i="25" l="1"/>
  <c r="W1725" i="25"/>
  <c r="X1728" i="25" l="1"/>
  <c r="W1726" i="25"/>
  <c r="X1729" i="25" l="1"/>
  <c r="W1727" i="25"/>
  <c r="X1730" i="25" l="1"/>
  <c r="W1728" i="25"/>
  <c r="X1731" i="25" l="1"/>
  <c r="W1729" i="25"/>
  <c r="X1732" i="25" l="1"/>
  <c r="W1730" i="25"/>
  <c r="X1733" i="25" l="1"/>
  <c r="W1731" i="25"/>
  <c r="X1734" i="25" l="1"/>
  <c r="W1732" i="25"/>
  <c r="X1735" i="25" l="1"/>
  <c r="W1733" i="25"/>
  <c r="X1736" i="25" l="1"/>
  <c r="W1734" i="25"/>
  <c r="X1737" i="25" l="1"/>
  <c r="W1735" i="25"/>
  <c r="X1738" i="25" l="1"/>
  <c r="W1736" i="25"/>
  <c r="X1739" i="25" l="1"/>
  <c r="W1737" i="25"/>
  <c r="X1740" i="25" l="1"/>
  <c r="W1738" i="25"/>
  <c r="X1741" i="25" l="1"/>
  <c r="W1739" i="25"/>
  <c r="X1742" i="25" l="1"/>
  <c r="W1740" i="25"/>
  <c r="X1743" i="25" l="1"/>
  <c r="W1741" i="25"/>
  <c r="X1744" i="25" l="1"/>
  <c r="W1742" i="25"/>
  <c r="X1745" i="25" l="1"/>
  <c r="W1743" i="25"/>
  <c r="X1746" i="25" l="1"/>
  <c r="W1744" i="25"/>
  <c r="X1747" i="25" l="1"/>
  <c r="W1745" i="25"/>
  <c r="X1748" i="25" l="1"/>
  <c r="W1746" i="25"/>
  <c r="X1749" i="25" l="1"/>
  <c r="W1747" i="25"/>
  <c r="X1750" i="25" l="1"/>
  <c r="W1748" i="25"/>
  <c r="X1751" i="25" l="1"/>
  <c r="W1749" i="25"/>
  <c r="X1752" i="25" l="1"/>
  <c r="W1750" i="25"/>
  <c r="X1753" i="25" l="1"/>
  <c r="W1751" i="25"/>
  <c r="X1754" i="25" l="1"/>
  <c r="W1752" i="25"/>
  <c r="X1755" i="25" l="1"/>
  <c r="W1753" i="25"/>
  <c r="X1756" i="25" l="1"/>
  <c r="W1754" i="25"/>
  <c r="X1757" i="25" l="1"/>
  <c r="W1755" i="25"/>
  <c r="X1758" i="25" l="1"/>
  <c r="W1756" i="25"/>
  <c r="X1759" i="25" l="1"/>
  <c r="W1757" i="25"/>
  <c r="X1760" i="25" l="1"/>
  <c r="W1758" i="25"/>
  <c r="X1761" i="25" l="1"/>
  <c r="W1759" i="25"/>
  <c r="X1762" i="25" l="1"/>
  <c r="W1760" i="25"/>
  <c r="X1763" i="25" l="1"/>
  <c r="W1761" i="25"/>
  <c r="X1764" i="25" l="1"/>
  <c r="W1762" i="25"/>
  <c r="X1765" i="25" l="1"/>
  <c r="W1763" i="25"/>
  <c r="X1766" i="25" l="1"/>
  <c r="W1764" i="25"/>
  <c r="X1767" i="25" l="1"/>
  <c r="W1765" i="25"/>
  <c r="X1768" i="25" l="1"/>
  <c r="W1766" i="25"/>
  <c r="X1769" i="25" l="1"/>
  <c r="W1767" i="25"/>
  <c r="X1770" i="25" l="1"/>
  <c r="W1768" i="25"/>
  <c r="X1771" i="25" l="1"/>
  <c r="W1769" i="25"/>
  <c r="X1772" i="25" l="1"/>
  <c r="W1770" i="25"/>
  <c r="X1773" i="25" l="1"/>
  <c r="W1771" i="25"/>
  <c r="X1774" i="25" l="1"/>
  <c r="W1772" i="25"/>
  <c r="X1775" i="25" l="1"/>
  <c r="W1773" i="25"/>
  <c r="X1776" i="25" l="1"/>
  <c r="W1774" i="25"/>
  <c r="X1777" i="25" l="1"/>
  <c r="W1775" i="25"/>
  <c r="X1778" i="25" l="1"/>
  <c r="W1776" i="25"/>
  <c r="X1779" i="25" l="1"/>
  <c r="W1777" i="25"/>
  <c r="X1780" i="25" l="1"/>
  <c r="W1778" i="25"/>
  <c r="X1781" i="25" l="1"/>
  <c r="W1779" i="25"/>
  <c r="X1782" i="25" l="1"/>
  <c r="W1780" i="25"/>
  <c r="X1783" i="25" l="1"/>
  <c r="W1781" i="25"/>
  <c r="X1784" i="25" l="1"/>
  <c r="W1782" i="25"/>
  <c r="X1785" i="25" l="1"/>
  <c r="W1783" i="25"/>
  <c r="X1786" i="25" l="1"/>
  <c r="W1784" i="25"/>
  <c r="X1787" i="25" l="1"/>
  <c r="W1785" i="25"/>
  <c r="X1788" i="25" l="1"/>
  <c r="W1786" i="25"/>
  <c r="X1789" i="25" l="1"/>
  <c r="W1787" i="25"/>
  <c r="X1790" i="25" l="1"/>
  <c r="W1788" i="25"/>
  <c r="X1791" i="25" l="1"/>
  <c r="W1789" i="25"/>
  <c r="X1792" i="25" l="1"/>
  <c r="W1790" i="25"/>
  <c r="X1793" i="25" l="1"/>
  <c r="W1791" i="25"/>
  <c r="X1794" i="25" l="1"/>
  <c r="W1792" i="25"/>
  <c r="X1795" i="25" l="1"/>
  <c r="W1793" i="25"/>
  <c r="X1796" i="25" l="1"/>
  <c r="W1794" i="25"/>
  <c r="X1797" i="25" l="1"/>
  <c r="W1795" i="25"/>
  <c r="X1798" i="25" l="1"/>
  <c r="W1796" i="25"/>
  <c r="X1799" i="25" l="1"/>
  <c r="W1797" i="25"/>
  <c r="X1800" i="25" l="1"/>
  <c r="W1798" i="25"/>
  <c r="X1801" i="25" l="1"/>
  <c r="W1799" i="25"/>
  <c r="X1802" i="25" l="1"/>
  <c r="W1800" i="25"/>
  <c r="X1803" i="25" l="1"/>
  <c r="W1801" i="25"/>
  <c r="X1804" i="25" l="1"/>
  <c r="W1802" i="25"/>
  <c r="X1805" i="25" l="1"/>
  <c r="W1803" i="25"/>
  <c r="X1806" i="25" l="1"/>
  <c r="W1804" i="25"/>
  <c r="X1807" i="25" l="1"/>
  <c r="W1805" i="25"/>
  <c r="X1808" i="25" l="1"/>
  <c r="W1806" i="25"/>
  <c r="X1809" i="25" l="1"/>
  <c r="W1807" i="25"/>
  <c r="X1810" i="25" l="1"/>
  <c r="W1808" i="25"/>
  <c r="X1811" i="25" l="1"/>
  <c r="W1809" i="25"/>
  <c r="X1812" i="25" l="1"/>
  <c r="W1810" i="25"/>
  <c r="X1813" i="25" l="1"/>
  <c r="W1811" i="25"/>
  <c r="X1814" i="25" l="1"/>
  <c r="W1812" i="25"/>
  <c r="X1815" i="25" l="1"/>
  <c r="W1813" i="25"/>
  <c r="X1816" i="25" l="1"/>
  <c r="W1814" i="25"/>
  <c r="X1817" i="25" l="1"/>
  <c r="W1815" i="25"/>
  <c r="X1818" i="25" l="1"/>
  <c r="W1816" i="25"/>
  <c r="X1819" i="25" l="1"/>
  <c r="W1817" i="25"/>
  <c r="X1820" i="25" l="1"/>
  <c r="W1818" i="25"/>
  <c r="X1821" i="25" l="1"/>
  <c r="W1819" i="25"/>
  <c r="X1822" i="25" l="1"/>
  <c r="W1820" i="25"/>
  <c r="X1823" i="25" l="1"/>
  <c r="W1821" i="25"/>
  <c r="X1824" i="25" l="1"/>
  <c r="W1822" i="25"/>
  <c r="X1825" i="25" l="1"/>
  <c r="W1823" i="25"/>
  <c r="X1826" i="25" l="1"/>
  <c r="W1824" i="25"/>
  <c r="X1827" i="25" l="1"/>
  <c r="W1825" i="25"/>
  <c r="X1828" i="25" l="1"/>
  <c r="W1826" i="25"/>
  <c r="X1829" i="25" l="1"/>
  <c r="W1827" i="25"/>
  <c r="X1830" i="25" l="1"/>
  <c r="W1828" i="25"/>
  <c r="X1831" i="25" l="1"/>
  <c r="W1829" i="25"/>
  <c r="X1832" i="25" l="1"/>
  <c r="W1830" i="25"/>
  <c r="X1833" i="25" l="1"/>
  <c r="W1831" i="25"/>
  <c r="X1834" i="25" l="1"/>
  <c r="W1832" i="25"/>
  <c r="X1835" i="25" l="1"/>
  <c r="W1833" i="25"/>
  <c r="X1836" i="25" l="1"/>
  <c r="W1834" i="25"/>
  <c r="X1837" i="25" l="1"/>
  <c r="W1835" i="25"/>
  <c r="X1838" i="25" l="1"/>
  <c r="W1836" i="25"/>
  <c r="X1839" i="25" l="1"/>
  <c r="W1837" i="25"/>
  <c r="X1840" i="25" l="1"/>
  <c r="W1838" i="25"/>
  <c r="X1841" i="25" l="1"/>
  <c r="W1839" i="25"/>
  <c r="X1842" i="25" l="1"/>
  <c r="W1840" i="25"/>
  <c r="X1843" i="25" l="1"/>
  <c r="W1841" i="25"/>
  <c r="X1844" i="25" l="1"/>
  <c r="W1842" i="25"/>
  <c r="X1845" i="25" l="1"/>
  <c r="W1843" i="25"/>
  <c r="X1846" i="25" l="1"/>
  <c r="W1844" i="25"/>
  <c r="X1847" i="25" l="1"/>
  <c r="W1845" i="25"/>
  <c r="X1848" i="25" l="1"/>
  <c r="W1846" i="25"/>
  <c r="X1849" i="25" l="1"/>
  <c r="W1847" i="25"/>
  <c r="X1850" i="25" l="1"/>
  <c r="W1848" i="25"/>
  <c r="X1851" i="25" l="1"/>
  <c r="W1849" i="25"/>
  <c r="X1852" i="25" l="1"/>
  <c r="W1850" i="25"/>
  <c r="X1853" i="25" l="1"/>
  <c r="W1851" i="25"/>
  <c r="X1854" i="25" l="1"/>
  <c r="W1852" i="25"/>
  <c r="X1855" i="25" l="1"/>
  <c r="W1853" i="25"/>
  <c r="X1856" i="25" l="1"/>
  <c r="W1854" i="25"/>
  <c r="X1857" i="25" l="1"/>
  <c r="W1855" i="25"/>
  <c r="X1858" i="25" l="1"/>
  <c r="W1856" i="25"/>
  <c r="X1859" i="25" l="1"/>
  <c r="W1857" i="25"/>
  <c r="X1860" i="25" l="1"/>
  <c r="W1858" i="25"/>
  <c r="X1861" i="25" l="1"/>
  <c r="W1859" i="25"/>
  <c r="X1862" i="25" l="1"/>
  <c r="W1860" i="25"/>
  <c r="X1863" i="25" l="1"/>
  <c r="W1861" i="25"/>
  <c r="X1864" i="25" l="1"/>
  <c r="W1862" i="25"/>
  <c r="X1865" i="25" l="1"/>
  <c r="W1863" i="25"/>
  <c r="X1866" i="25" l="1"/>
  <c r="W1864" i="25"/>
  <c r="X1867" i="25" l="1"/>
  <c r="W1865" i="25"/>
  <c r="X1868" i="25" l="1"/>
  <c r="W1866" i="25"/>
  <c r="X1869" i="25" l="1"/>
  <c r="W1867" i="25"/>
  <c r="X1870" i="25" l="1"/>
  <c r="W1868" i="25"/>
  <c r="X1871" i="25" l="1"/>
  <c r="W1869" i="25"/>
  <c r="X1872" i="25" l="1"/>
  <c r="W1870" i="25"/>
  <c r="X1873" i="25" l="1"/>
  <c r="W1871" i="25"/>
  <c r="X1874" i="25" l="1"/>
  <c r="W1872" i="25"/>
  <c r="X1875" i="25" l="1"/>
  <c r="W1873" i="25"/>
  <c r="X1876" i="25" l="1"/>
  <c r="W1874" i="25"/>
  <c r="X1877" i="25" l="1"/>
  <c r="W1875" i="25"/>
  <c r="X1878" i="25" l="1"/>
  <c r="W1876" i="25"/>
  <c r="X1879" i="25" l="1"/>
  <c r="W1877" i="25"/>
  <c r="X1880" i="25" l="1"/>
  <c r="W1878" i="25"/>
  <c r="X1881" i="25" l="1"/>
  <c r="W1879" i="25"/>
  <c r="X1882" i="25" l="1"/>
  <c r="W1880" i="25"/>
  <c r="X1883" i="25" l="1"/>
  <c r="W1881" i="25"/>
  <c r="X1884" i="25" l="1"/>
  <c r="W1882" i="25"/>
  <c r="X1885" i="25" l="1"/>
  <c r="W1883" i="25"/>
  <c r="X1886" i="25" l="1"/>
  <c r="W1884" i="25"/>
  <c r="X1887" i="25" l="1"/>
  <c r="W1885" i="25"/>
  <c r="X1888" i="25" l="1"/>
  <c r="W1886" i="25"/>
  <c r="X1889" i="25" l="1"/>
  <c r="W1887" i="25"/>
  <c r="X1890" i="25" l="1"/>
  <c r="W1888" i="25"/>
  <c r="X1891" i="25" l="1"/>
  <c r="W1889" i="25"/>
  <c r="X1892" i="25" l="1"/>
  <c r="W1890" i="25"/>
  <c r="X1893" i="25" l="1"/>
  <c r="W1891" i="25"/>
  <c r="X1894" i="25" l="1"/>
  <c r="W1892" i="25"/>
  <c r="X1895" i="25" l="1"/>
  <c r="W1893" i="25"/>
  <c r="X1896" i="25" l="1"/>
  <c r="W1894" i="25"/>
  <c r="X1897" i="25" l="1"/>
  <c r="W1895" i="25"/>
  <c r="X1898" i="25" l="1"/>
  <c r="W1896" i="25"/>
  <c r="X1899" i="25" l="1"/>
  <c r="W1897" i="25"/>
  <c r="X1900" i="25" l="1"/>
  <c r="W1898" i="25"/>
  <c r="X1901" i="25" l="1"/>
  <c r="W1899" i="25"/>
  <c r="X1902" i="25" l="1"/>
  <c r="W1900" i="25"/>
  <c r="X1903" i="25" l="1"/>
  <c r="W1901" i="25"/>
  <c r="X1904" i="25" l="1"/>
  <c r="W1902" i="25"/>
  <c r="X1905" i="25" l="1"/>
  <c r="W1903" i="25"/>
  <c r="X1906" i="25" l="1"/>
  <c r="W1904" i="25"/>
  <c r="X1907" i="25" l="1"/>
  <c r="W1905" i="25"/>
  <c r="X1908" i="25" l="1"/>
  <c r="W1906" i="25"/>
  <c r="X1909" i="25" l="1"/>
  <c r="W1907" i="25"/>
  <c r="X1910" i="25" l="1"/>
  <c r="W1908" i="25"/>
  <c r="X1911" i="25" l="1"/>
  <c r="W1909" i="25"/>
  <c r="X1912" i="25" l="1"/>
  <c r="W1910" i="25"/>
  <c r="X1913" i="25" l="1"/>
  <c r="W1911" i="25"/>
  <c r="X1914" i="25" l="1"/>
  <c r="W1912" i="25"/>
  <c r="X1915" i="25" l="1"/>
  <c r="W1913" i="25"/>
  <c r="X1916" i="25" l="1"/>
  <c r="W1914" i="25"/>
  <c r="X1917" i="25" l="1"/>
  <c r="W1915" i="25"/>
  <c r="X1918" i="25" l="1"/>
  <c r="W1916" i="25"/>
  <c r="X1919" i="25" l="1"/>
  <c r="W1917" i="25"/>
  <c r="X1920" i="25" l="1"/>
  <c r="W1918" i="25"/>
  <c r="X1921" i="25" l="1"/>
  <c r="W1919" i="25"/>
  <c r="X1922" i="25" l="1"/>
  <c r="W1920" i="25"/>
  <c r="X1923" i="25" l="1"/>
  <c r="W1921" i="25"/>
  <c r="X1924" i="25" l="1"/>
  <c r="W1922" i="25"/>
  <c r="X1925" i="25" l="1"/>
  <c r="W1923" i="25"/>
  <c r="X1926" i="25" l="1"/>
  <c r="W1924" i="25"/>
  <c r="X1927" i="25" l="1"/>
  <c r="W1925" i="25"/>
  <c r="X1928" i="25" l="1"/>
  <c r="W1926" i="25"/>
  <c r="X1929" i="25" l="1"/>
  <c r="W1927" i="25"/>
  <c r="X1930" i="25" l="1"/>
  <c r="W1928" i="25"/>
  <c r="X1931" i="25" l="1"/>
  <c r="W1929" i="25"/>
  <c r="X1932" i="25" l="1"/>
  <c r="W1930" i="25"/>
  <c r="X1933" i="25" l="1"/>
  <c r="W1931" i="25"/>
  <c r="X1934" i="25" l="1"/>
  <c r="W1932" i="25"/>
  <c r="X1935" i="25" l="1"/>
  <c r="W1933" i="25"/>
  <c r="X1936" i="25" l="1"/>
  <c r="W1934" i="25"/>
  <c r="X1937" i="25" l="1"/>
  <c r="W1935" i="25"/>
  <c r="X1938" i="25" l="1"/>
  <c r="W1936" i="25"/>
  <c r="X1939" i="25" l="1"/>
  <c r="W1937" i="25"/>
  <c r="X1940" i="25" l="1"/>
  <c r="W1938" i="25"/>
  <c r="X1941" i="25" l="1"/>
  <c r="W1939" i="25"/>
  <c r="X1942" i="25" l="1"/>
  <c r="W1940" i="25"/>
  <c r="X1943" i="25" l="1"/>
  <c r="W1941" i="25"/>
  <c r="X1944" i="25" l="1"/>
  <c r="W1942" i="25"/>
  <c r="X1945" i="25" l="1"/>
  <c r="W1943" i="25"/>
  <c r="X1946" i="25" l="1"/>
  <c r="W1944" i="25"/>
  <c r="X1947" i="25" l="1"/>
  <c r="W1945" i="25"/>
  <c r="X1948" i="25" l="1"/>
  <c r="W1946" i="25"/>
  <c r="X1949" i="25" l="1"/>
  <c r="W1947" i="25"/>
  <c r="X1950" i="25" l="1"/>
  <c r="W1948" i="25"/>
  <c r="X1951" i="25" l="1"/>
  <c r="W1949" i="25"/>
  <c r="X1952" i="25" l="1"/>
  <c r="W1950" i="25"/>
  <c r="X1953" i="25" l="1"/>
  <c r="W1951" i="25"/>
  <c r="X1954" i="25" l="1"/>
  <c r="W1952" i="25"/>
  <c r="X1955" i="25" l="1"/>
  <c r="W1953" i="25"/>
  <c r="X1956" i="25" l="1"/>
  <c r="W1954" i="25"/>
  <c r="X1957" i="25" l="1"/>
  <c r="W1955" i="25"/>
  <c r="X1958" i="25" l="1"/>
  <c r="W1956" i="25"/>
  <c r="X1959" i="25" l="1"/>
  <c r="W1957" i="25"/>
  <c r="X1960" i="25" l="1"/>
  <c r="W1958" i="25"/>
  <c r="X1961" i="25" l="1"/>
  <c r="W1959" i="25"/>
  <c r="X1962" i="25" l="1"/>
  <c r="W1960" i="25"/>
  <c r="X1963" i="25" l="1"/>
  <c r="W1961" i="25"/>
  <c r="X1964" i="25" l="1"/>
  <c r="W1962" i="25"/>
  <c r="X1965" i="25" l="1"/>
  <c r="W1963" i="25"/>
  <c r="X1966" i="25" l="1"/>
  <c r="W1964" i="25"/>
  <c r="X1967" i="25" l="1"/>
  <c r="W1965" i="25"/>
  <c r="X1968" i="25" l="1"/>
  <c r="W1966" i="25"/>
  <c r="X1969" i="25" l="1"/>
  <c r="W1967" i="25"/>
  <c r="X1970" i="25" l="1"/>
  <c r="W1968" i="25"/>
  <c r="X1971" i="25" l="1"/>
  <c r="W1969" i="25"/>
  <c r="X1972" i="25" l="1"/>
  <c r="W1970" i="25"/>
  <c r="X1973" i="25" l="1"/>
  <c r="W1971" i="25"/>
  <c r="X1974" i="25" l="1"/>
  <c r="W1972" i="25"/>
  <c r="X1975" i="25" l="1"/>
  <c r="W1973" i="25"/>
  <c r="X1976" i="25" l="1"/>
  <c r="W1974" i="25"/>
  <c r="X1977" i="25" l="1"/>
  <c r="W1975" i="25"/>
  <c r="X1978" i="25" l="1"/>
  <c r="W1976" i="25"/>
  <c r="X1979" i="25" l="1"/>
  <c r="W1977" i="25"/>
  <c r="X1980" i="25" l="1"/>
  <c r="W1978" i="25"/>
  <c r="X1981" i="25" l="1"/>
  <c r="W1979" i="25"/>
  <c r="X1982" i="25" l="1"/>
  <c r="W1980" i="25"/>
  <c r="X1983" i="25" l="1"/>
  <c r="W1981" i="25"/>
  <c r="X1984" i="25" l="1"/>
  <c r="W1982" i="25"/>
  <c r="X1985" i="25" l="1"/>
  <c r="W1983" i="25"/>
  <c r="X1986" i="25" l="1"/>
  <c r="W1984" i="25"/>
  <c r="X1987" i="25" l="1"/>
  <c r="W1985" i="25"/>
  <c r="X1988" i="25" l="1"/>
  <c r="W1986" i="25"/>
  <c r="X1989" i="25" l="1"/>
  <c r="W1987" i="25"/>
  <c r="X1990" i="25" l="1"/>
  <c r="W1988" i="25"/>
  <c r="X1991" i="25" l="1"/>
  <c r="W1989" i="25"/>
  <c r="X1992" i="25" l="1"/>
  <c r="W1990" i="25"/>
  <c r="X1993" i="25" l="1"/>
  <c r="W1991" i="25"/>
  <c r="X1994" i="25" l="1"/>
  <c r="W1992" i="25"/>
  <c r="X1995" i="25" l="1"/>
  <c r="W1993" i="25"/>
  <c r="X1996" i="25" l="1"/>
  <c r="W1994" i="25"/>
  <c r="X1997" i="25" l="1"/>
  <c r="W1995" i="25"/>
  <c r="X1998" i="25" l="1"/>
  <c r="W1996" i="25"/>
  <c r="X1999" i="25" l="1"/>
  <c r="W1997" i="25"/>
  <c r="X2000" i="25" l="1"/>
  <c r="W1998" i="25"/>
  <c r="X2001" i="25" l="1"/>
  <c r="W1999" i="25"/>
  <c r="X2002" i="25" l="1"/>
  <c r="W2000" i="25"/>
  <c r="X2003" i="25" l="1"/>
  <c r="W2001" i="25"/>
  <c r="X2004" i="25" l="1"/>
  <c r="W2002" i="25"/>
  <c r="X2005" i="25" l="1"/>
  <c r="W2003" i="25"/>
  <c r="X2006" i="25" l="1"/>
  <c r="W2004" i="25"/>
  <c r="X2007" i="25" l="1"/>
  <c r="W2005" i="25"/>
  <c r="X2008" i="25" l="1"/>
  <c r="W2006" i="25"/>
  <c r="X2009" i="25" l="1"/>
  <c r="W2007" i="25"/>
  <c r="X2010" i="25" l="1"/>
  <c r="W2008" i="25"/>
  <c r="X2011" i="25" l="1"/>
  <c r="W2009" i="25"/>
  <c r="X2012" i="25" l="1"/>
  <c r="W2010" i="25"/>
  <c r="X2013" i="25" l="1"/>
  <c r="W2011" i="25"/>
  <c r="X2014" i="25" l="1"/>
  <c r="W2012" i="25"/>
  <c r="X2015" i="25" l="1"/>
  <c r="W2013" i="25"/>
  <c r="X2016" i="25" l="1"/>
  <c r="W2014" i="25"/>
  <c r="X2017" i="25" l="1"/>
  <c r="W2015" i="25"/>
  <c r="X2018" i="25" l="1"/>
  <c r="W2016" i="25"/>
  <c r="X2019" i="25" l="1"/>
  <c r="W2017" i="25"/>
  <c r="X2020" i="25" l="1"/>
  <c r="W2018" i="25"/>
  <c r="X2021" i="25" l="1"/>
  <c r="W2019" i="25"/>
  <c r="X2022" i="25" l="1"/>
  <c r="W2020" i="25"/>
  <c r="X2023" i="25" l="1"/>
  <c r="W2021" i="25"/>
  <c r="X2024" i="25" l="1"/>
  <c r="W2022" i="25"/>
  <c r="X2025" i="25" l="1"/>
  <c r="W2023" i="25"/>
  <c r="X2026" i="25" l="1"/>
  <c r="W2024" i="25"/>
  <c r="X2027" i="25" l="1"/>
  <c r="W2025" i="25"/>
  <c r="X2028" i="25" l="1"/>
  <c r="W2026" i="25"/>
  <c r="X2029" i="25" l="1"/>
  <c r="W2027" i="25"/>
  <c r="X2030" i="25" l="1"/>
  <c r="W2028" i="25"/>
  <c r="X2031" i="25" l="1"/>
  <c r="W2029" i="25"/>
  <c r="X2032" i="25" l="1"/>
  <c r="W2030" i="25"/>
  <c r="X2033" i="25" l="1"/>
  <c r="W2031" i="25"/>
  <c r="X2034" i="25" l="1"/>
  <c r="W2032" i="25"/>
  <c r="X2035" i="25" l="1"/>
  <c r="W2033" i="25"/>
  <c r="X2036" i="25" l="1"/>
  <c r="W2034" i="25"/>
  <c r="X2037" i="25" l="1"/>
  <c r="W2035" i="25"/>
  <c r="X2038" i="25" l="1"/>
  <c r="W2036" i="25"/>
  <c r="X2039" i="25" l="1"/>
  <c r="W2037" i="25"/>
  <c r="X2040" i="25" l="1"/>
  <c r="W2038" i="25"/>
  <c r="X2041" i="25" l="1"/>
  <c r="W2039" i="25"/>
  <c r="X2042" i="25" l="1"/>
  <c r="W2040" i="25"/>
  <c r="X2043" i="25" l="1"/>
  <c r="W2041" i="25"/>
  <c r="X2044" i="25" l="1"/>
  <c r="W2042" i="25"/>
  <c r="X2045" i="25" l="1"/>
  <c r="W2043" i="25"/>
  <c r="X2046" i="25" l="1"/>
  <c r="W2044" i="25"/>
  <c r="X2047" i="25" l="1"/>
  <c r="W2045" i="25"/>
  <c r="X2048" i="25" l="1"/>
  <c r="W2046" i="25"/>
  <c r="X2049" i="25" l="1"/>
  <c r="W2047" i="25"/>
  <c r="X2050" i="25" l="1"/>
  <c r="W2048" i="25"/>
  <c r="X2051" i="25" l="1"/>
  <c r="W2049" i="25"/>
  <c r="X2052" i="25" l="1"/>
  <c r="W2050" i="25"/>
  <c r="X2053" i="25" l="1"/>
  <c r="W2051" i="25"/>
  <c r="X2054" i="25" l="1"/>
  <c r="W2052" i="25"/>
  <c r="X2055" i="25" l="1"/>
  <c r="W2053" i="25"/>
  <c r="X2056" i="25" l="1"/>
  <c r="W2054" i="25"/>
  <c r="X2057" i="25" l="1"/>
  <c r="W2055" i="25"/>
  <c r="X2058" i="25" l="1"/>
  <c r="W2056" i="25"/>
  <c r="X2059" i="25" l="1"/>
  <c r="W2057" i="25"/>
  <c r="X2060" i="25" l="1"/>
  <c r="W2058" i="25"/>
  <c r="X2061" i="25" l="1"/>
  <c r="W2059" i="25"/>
  <c r="X2062" i="25" l="1"/>
  <c r="W2060" i="25"/>
  <c r="X2063" i="25" l="1"/>
  <c r="W2061" i="25"/>
  <c r="X2064" i="25" l="1"/>
  <c r="W2062" i="25"/>
  <c r="X2065" i="25" l="1"/>
  <c r="W2063" i="25"/>
  <c r="X2066" i="25" l="1"/>
  <c r="W2064" i="25"/>
  <c r="X2067" i="25" l="1"/>
  <c r="W2065" i="25"/>
  <c r="X2068" i="25" l="1"/>
  <c r="W2066" i="25"/>
  <c r="X2069" i="25" l="1"/>
  <c r="W2067" i="25"/>
  <c r="X2070" i="25" l="1"/>
  <c r="W2068" i="25"/>
  <c r="X2071" i="25" l="1"/>
  <c r="W2069" i="25"/>
  <c r="X2072" i="25" l="1"/>
  <c r="W2070" i="25"/>
  <c r="X2073" i="25" l="1"/>
  <c r="W2071" i="25"/>
  <c r="X2074" i="25" l="1"/>
  <c r="W2072" i="25"/>
  <c r="X2075" i="25" l="1"/>
  <c r="W2073" i="25"/>
  <c r="X2076" i="25" l="1"/>
  <c r="W2074" i="25"/>
  <c r="X2077" i="25" l="1"/>
  <c r="W2075" i="25"/>
  <c r="X2078" i="25" l="1"/>
  <c r="W2076" i="25"/>
  <c r="X2079" i="25" l="1"/>
  <c r="W2077" i="25"/>
  <c r="X2080" i="25" l="1"/>
  <c r="W2078" i="25"/>
  <c r="X2081" i="25" l="1"/>
  <c r="W2079" i="25"/>
  <c r="X2082" i="25" l="1"/>
  <c r="W2080" i="25"/>
  <c r="X2083" i="25" l="1"/>
  <c r="W2081" i="25"/>
  <c r="X2084" i="25" l="1"/>
  <c r="W2082" i="25"/>
  <c r="X2085" i="25" l="1"/>
  <c r="W2083" i="25"/>
  <c r="X2086" i="25" l="1"/>
  <c r="W2084" i="25"/>
  <c r="X2087" i="25" l="1"/>
  <c r="W2085" i="25"/>
  <c r="X2088" i="25" l="1"/>
  <c r="W2086" i="25"/>
  <c r="X2089" i="25" l="1"/>
  <c r="W2087" i="25"/>
  <c r="X2090" i="25" l="1"/>
  <c r="W2088" i="25"/>
  <c r="X2091" i="25" l="1"/>
  <c r="W2089" i="25"/>
  <c r="X2092" i="25" l="1"/>
  <c r="W2090" i="25"/>
  <c r="X2093" i="25" l="1"/>
  <c r="W2091" i="25"/>
  <c r="X2094" i="25" l="1"/>
  <c r="W2092" i="25"/>
  <c r="X2095" i="25" l="1"/>
  <c r="W2093" i="25"/>
  <c r="X2096" i="25" l="1"/>
  <c r="W2094" i="25"/>
  <c r="X2097" i="25" l="1"/>
  <c r="W2095" i="25"/>
  <c r="X2098" i="25" l="1"/>
  <c r="W2096" i="25"/>
  <c r="X2099" i="25" l="1"/>
  <c r="W2097" i="25"/>
  <c r="X2100" i="25" l="1"/>
  <c r="W2098" i="25"/>
  <c r="X2101" i="25" l="1"/>
  <c r="W2099" i="25"/>
  <c r="X2102" i="25" l="1"/>
  <c r="W2100" i="25"/>
  <c r="X2103" i="25" l="1"/>
  <c r="W2101" i="25"/>
  <c r="X2104" i="25" l="1"/>
  <c r="W2102" i="25"/>
  <c r="X2105" i="25" l="1"/>
  <c r="W2103" i="25"/>
  <c r="X2106" i="25" l="1"/>
  <c r="W2104" i="25"/>
  <c r="X2107" i="25" l="1"/>
  <c r="W2105" i="25"/>
  <c r="X2108" i="25" l="1"/>
  <c r="W2106" i="25"/>
  <c r="X2109" i="25" l="1"/>
  <c r="W2107" i="25"/>
  <c r="X2110" i="25" l="1"/>
  <c r="W2108" i="25"/>
  <c r="X2111" i="25" l="1"/>
  <c r="W2109" i="25"/>
  <c r="X2112" i="25" l="1"/>
  <c r="W2110" i="25"/>
  <c r="X2113" i="25" l="1"/>
  <c r="W2111" i="25"/>
  <c r="X2114" i="25" l="1"/>
  <c r="W2112" i="25"/>
  <c r="X2115" i="25" l="1"/>
  <c r="W2113" i="25"/>
  <c r="X2116" i="25" l="1"/>
  <c r="W2114" i="25"/>
  <c r="X2117" i="25" l="1"/>
  <c r="W2115" i="25"/>
  <c r="X2118" i="25" l="1"/>
  <c r="W2116" i="25"/>
  <c r="X2119" i="25" l="1"/>
  <c r="W2117" i="25"/>
  <c r="X2120" i="25" l="1"/>
  <c r="W2118" i="25"/>
  <c r="X2121" i="25" l="1"/>
  <c r="W2119" i="25"/>
  <c r="X2122" i="25" l="1"/>
  <c r="W2120" i="25"/>
  <c r="X2123" i="25" l="1"/>
  <c r="W2121" i="25"/>
  <c r="X2124" i="25" l="1"/>
  <c r="W2122" i="25"/>
  <c r="X2125" i="25" l="1"/>
  <c r="W2123" i="25"/>
  <c r="X2126" i="25" l="1"/>
  <c r="W2124" i="25"/>
  <c r="X2127" i="25" l="1"/>
  <c r="W2125" i="25"/>
  <c r="X2128" i="25" l="1"/>
  <c r="W2126" i="25"/>
  <c r="X2129" i="25" l="1"/>
  <c r="W2127" i="25"/>
  <c r="X2130" i="25" l="1"/>
  <c r="W2128" i="25"/>
  <c r="X2131" i="25" l="1"/>
  <c r="W2129" i="25"/>
  <c r="X2132" i="25" l="1"/>
  <c r="W2130" i="25"/>
  <c r="X2133" i="25" l="1"/>
  <c r="W2131" i="25"/>
  <c r="X2134" i="25" l="1"/>
  <c r="W2132" i="25"/>
  <c r="X2135" i="25" l="1"/>
  <c r="W2133" i="25"/>
  <c r="X2136" i="25" l="1"/>
  <c r="W2134" i="25"/>
  <c r="X2137" i="25" l="1"/>
  <c r="W2135" i="25"/>
  <c r="X2138" i="25" l="1"/>
  <c r="W2136" i="25"/>
  <c r="X2139" i="25" l="1"/>
  <c r="W2137" i="25"/>
  <c r="X2140" i="25" l="1"/>
  <c r="W2138" i="25"/>
  <c r="X2141" i="25" l="1"/>
  <c r="W2139" i="25"/>
  <c r="X2142" i="25" l="1"/>
  <c r="W2140" i="25"/>
  <c r="X2143" i="25" l="1"/>
  <c r="W2141" i="25"/>
  <c r="X2144" i="25" l="1"/>
  <c r="W2142" i="25"/>
  <c r="X2145" i="25" l="1"/>
  <c r="W2143" i="25"/>
  <c r="X2146" i="25" l="1"/>
  <c r="W2144" i="25"/>
  <c r="X2147" i="25" l="1"/>
  <c r="W2145" i="25"/>
  <c r="X2148" i="25" l="1"/>
  <c r="W2146" i="25"/>
  <c r="X2149" i="25" l="1"/>
  <c r="W2147" i="25"/>
  <c r="X2150" i="25" l="1"/>
  <c r="W2148" i="25"/>
  <c r="X2151" i="25" l="1"/>
  <c r="W2149" i="25"/>
  <c r="X2152" i="25" l="1"/>
  <c r="W2150" i="25"/>
  <c r="X2153" i="25" l="1"/>
  <c r="W2151" i="25"/>
  <c r="X2154" i="25" l="1"/>
  <c r="W2152" i="25"/>
  <c r="X2155" i="25" l="1"/>
  <c r="W2153" i="25"/>
  <c r="X2156" i="25" l="1"/>
  <c r="W2154" i="25"/>
  <c r="X2157" i="25" l="1"/>
  <c r="W2155" i="25"/>
  <c r="X2158" i="25" l="1"/>
  <c r="W2156" i="25"/>
  <c r="X2159" i="25" l="1"/>
  <c r="W2157" i="25"/>
  <c r="X2160" i="25" l="1"/>
  <c r="W2158" i="25"/>
  <c r="X2161" i="25" l="1"/>
  <c r="W2159" i="25"/>
  <c r="X2162" i="25" l="1"/>
  <c r="W2160" i="25"/>
  <c r="X2163" i="25" l="1"/>
  <c r="W2161" i="25"/>
  <c r="X2164" i="25" l="1"/>
  <c r="W2162" i="25"/>
  <c r="X2165" i="25" l="1"/>
  <c r="W2163" i="25"/>
  <c r="X2166" i="25" l="1"/>
  <c r="W2164" i="25"/>
  <c r="X2167" i="25" l="1"/>
  <c r="W2165" i="25"/>
  <c r="X2168" i="25" l="1"/>
  <c r="W2166" i="25"/>
  <c r="X2169" i="25" l="1"/>
  <c r="W2167" i="25"/>
  <c r="X2170" i="25" l="1"/>
  <c r="W2168" i="25"/>
  <c r="X2171" i="25" l="1"/>
  <c r="W2169" i="25"/>
  <c r="X2172" i="25" l="1"/>
  <c r="W2170" i="25"/>
  <c r="X2173" i="25" l="1"/>
  <c r="W2171" i="25"/>
  <c r="X2174" i="25" l="1"/>
  <c r="W2172" i="25"/>
  <c r="X2175" i="25" l="1"/>
  <c r="W2173" i="25"/>
  <c r="X2176" i="25" l="1"/>
  <c r="W2174" i="25"/>
  <c r="X2177" i="25" l="1"/>
  <c r="W2175" i="25"/>
  <c r="X2178" i="25" l="1"/>
  <c r="W2176" i="25"/>
  <c r="X2179" i="25" l="1"/>
  <c r="W2177" i="25"/>
  <c r="X2180" i="25" l="1"/>
  <c r="W2178" i="25"/>
  <c r="X2181" i="25" l="1"/>
  <c r="W2179" i="25"/>
  <c r="X2182" i="25" l="1"/>
  <c r="W2180" i="25"/>
  <c r="X2183" i="25" l="1"/>
  <c r="W2181" i="25"/>
  <c r="X2184" i="25" l="1"/>
  <c r="W2182" i="25"/>
  <c r="X2185" i="25" l="1"/>
  <c r="W2183" i="25"/>
  <c r="X2186" i="25" l="1"/>
  <c r="W2184" i="25"/>
  <c r="X2187" i="25" l="1"/>
  <c r="W2185" i="25"/>
  <c r="X2188" i="25" l="1"/>
  <c r="W2186" i="25"/>
  <c r="X2189" i="25" l="1"/>
  <c r="W2187" i="25"/>
  <c r="X2190" i="25" l="1"/>
  <c r="W2188" i="25"/>
  <c r="X2191" i="25" l="1"/>
  <c r="W2189" i="25"/>
  <c r="X2192" i="25" l="1"/>
  <c r="W2190" i="25"/>
  <c r="X2193" i="25" l="1"/>
  <c r="W2191" i="25"/>
  <c r="X2194" i="25" l="1"/>
  <c r="W2192" i="25"/>
  <c r="X2195" i="25" l="1"/>
  <c r="W2193" i="25"/>
  <c r="X2196" i="25" l="1"/>
  <c r="W2194" i="25"/>
  <c r="X2197" i="25" l="1"/>
  <c r="W2195" i="25"/>
  <c r="X2198" i="25" l="1"/>
  <c r="W2196" i="25"/>
  <c r="X2199" i="25" l="1"/>
  <c r="W2197" i="25"/>
  <c r="X2200" i="25" l="1"/>
  <c r="W2198" i="25"/>
  <c r="X2201" i="25" l="1"/>
  <c r="W2199" i="25"/>
  <c r="X2202" i="25" l="1"/>
  <c r="W2200" i="25"/>
  <c r="X2203" i="25" l="1"/>
  <c r="W2201" i="25"/>
  <c r="X2204" i="25" l="1"/>
  <c r="W2202" i="25"/>
  <c r="X2205" i="25" l="1"/>
  <c r="W2203" i="25"/>
  <c r="X2206" i="25" l="1"/>
  <c r="W2204" i="25"/>
  <c r="X2207" i="25" l="1"/>
  <c r="W2205" i="25"/>
  <c r="X2208" i="25" l="1"/>
  <c r="W2206" i="25"/>
  <c r="X2209" i="25" l="1"/>
  <c r="W2207" i="25"/>
  <c r="X2210" i="25" l="1"/>
  <c r="W2208" i="25"/>
  <c r="X2211" i="25" l="1"/>
  <c r="W2209" i="25"/>
  <c r="X2212" i="25" l="1"/>
  <c r="W2210" i="25"/>
  <c r="X2213" i="25" l="1"/>
  <c r="W2211" i="25"/>
  <c r="X2214" i="25" l="1"/>
  <c r="W2212" i="25"/>
  <c r="X2215" i="25" l="1"/>
  <c r="W2213" i="25"/>
  <c r="X2216" i="25" l="1"/>
  <c r="W2214" i="25"/>
  <c r="X2217" i="25" l="1"/>
  <c r="W2215" i="25"/>
  <c r="X2218" i="25" l="1"/>
  <c r="W2216" i="25"/>
  <c r="X2219" i="25" l="1"/>
  <c r="W2217" i="25"/>
  <c r="X2220" i="25" l="1"/>
  <c r="W2218" i="25"/>
  <c r="X2221" i="25" l="1"/>
  <c r="W2219" i="25"/>
  <c r="X2222" i="25" l="1"/>
  <c r="W2220" i="25"/>
  <c r="X2223" i="25" l="1"/>
  <c r="W2221" i="25"/>
  <c r="X2224" i="25" l="1"/>
  <c r="W2222" i="25"/>
  <c r="X2225" i="25" l="1"/>
  <c r="W2223" i="25"/>
  <c r="X2226" i="25" l="1"/>
  <c r="W2224" i="25"/>
  <c r="X2227" i="25" l="1"/>
  <c r="W2225" i="25"/>
  <c r="X2228" i="25" l="1"/>
  <c r="W2226" i="25"/>
  <c r="X2229" i="25" l="1"/>
  <c r="W2227" i="25"/>
  <c r="X2230" i="25" l="1"/>
  <c r="W2228" i="25"/>
  <c r="X2231" i="25" l="1"/>
  <c r="W2229" i="25"/>
  <c r="X2232" i="25" l="1"/>
  <c r="W2230" i="25"/>
  <c r="X2233" i="25" l="1"/>
  <c r="W2231" i="25"/>
  <c r="X2234" i="25" l="1"/>
  <c r="W2232" i="25"/>
  <c r="X2235" i="25" l="1"/>
  <c r="W2233" i="25"/>
  <c r="X2236" i="25" l="1"/>
  <c r="W2234" i="25"/>
  <c r="X2237" i="25" l="1"/>
  <c r="W2235" i="25"/>
  <c r="X2238" i="25" l="1"/>
  <c r="W2236" i="25"/>
  <c r="X2239" i="25" l="1"/>
  <c r="W2237" i="25"/>
  <c r="X2240" i="25" l="1"/>
  <c r="W2238" i="25"/>
  <c r="X2241" i="25" l="1"/>
  <c r="W2239" i="25"/>
  <c r="X2242" i="25" l="1"/>
  <c r="W2240" i="25"/>
  <c r="X2243" i="25" l="1"/>
  <c r="W2241" i="25"/>
  <c r="X2244" i="25" l="1"/>
  <c r="W2242" i="25"/>
  <c r="X2245" i="25" l="1"/>
  <c r="W2243" i="25"/>
  <c r="X2246" i="25" l="1"/>
  <c r="W2244" i="25"/>
  <c r="X2247" i="25" l="1"/>
  <c r="W2245" i="25"/>
  <c r="X2248" i="25" l="1"/>
  <c r="W2246" i="25"/>
  <c r="X2249" i="25" l="1"/>
  <c r="W2247" i="25"/>
  <c r="X2250" i="25" l="1"/>
  <c r="W2248" i="25"/>
  <c r="X2251" i="25" l="1"/>
  <c r="W2249" i="25"/>
  <c r="X2252" i="25" l="1"/>
  <c r="W2250" i="25"/>
  <c r="X2253" i="25" l="1"/>
  <c r="W2251" i="25"/>
  <c r="X2254" i="25" l="1"/>
  <c r="W2252" i="25"/>
  <c r="X2255" i="25" l="1"/>
  <c r="W2253" i="25"/>
  <c r="X2256" i="25" l="1"/>
  <c r="W2254" i="25"/>
  <c r="X2257" i="25" l="1"/>
  <c r="W2255" i="25"/>
  <c r="X2258" i="25" l="1"/>
  <c r="W2256" i="25"/>
  <c r="X2259" i="25" l="1"/>
  <c r="W2257" i="25"/>
  <c r="X2260" i="25" l="1"/>
  <c r="W2258" i="25"/>
  <c r="X2261" i="25" l="1"/>
  <c r="W2259" i="25"/>
  <c r="X2262" i="25" l="1"/>
  <c r="W2260" i="25"/>
  <c r="X2263" i="25" l="1"/>
  <c r="W2261" i="25"/>
  <c r="X2264" i="25" l="1"/>
  <c r="W2262" i="25"/>
  <c r="X2265" i="25" l="1"/>
  <c r="W2263" i="25"/>
  <c r="X2266" i="25" l="1"/>
  <c r="W2264" i="25"/>
  <c r="X2267" i="25" l="1"/>
  <c r="W2265" i="25"/>
  <c r="X2268" i="25" l="1"/>
  <c r="W2266" i="25"/>
  <c r="X2269" i="25" l="1"/>
  <c r="W2267" i="25"/>
  <c r="X2270" i="25" l="1"/>
  <c r="W2268" i="25"/>
  <c r="X2271" i="25" l="1"/>
  <c r="W2269" i="25"/>
  <c r="X2272" i="25" l="1"/>
  <c r="W2270" i="25"/>
  <c r="X2273" i="25" l="1"/>
  <c r="W2271" i="25"/>
  <c r="X2274" i="25" l="1"/>
  <c r="W2272" i="25"/>
  <c r="X2275" i="25" l="1"/>
  <c r="W2273" i="25"/>
  <c r="X2276" i="25" l="1"/>
  <c r="W2274" i="25"/>
  <c r="X2277" i="25" l="1"/>
  <c r="W2275" i="25"/>
  <c r="X2278" i="25" l="1"/>
  <c r="W2276" i="25"/>
  <c r="X2279" i="25" l="1"/>
  <c r="W2277" i="25"/>
  <c r="X2280" i="25" l="1"/>
  <c r="W2278" i="25"/>
  <c r="X2281" i="25" l="1"/>
  <c r="W2279" i="25"/>
  <c r="X2282" i="25" l="1"/>
  <c r="W2280" i="25"/>
  <c r="X2283" i="25" l="1"/>
  <c r="W2281" i="25"/>
  <c r="X2284" i="25" l="1"/>
  <c r="W2282" i="25"/>
  <c r="X2285" i="25" l="1"/>
  <c r="W2283" i="25"/>
  <c r="X2286" i="25" l="1"/>
  <c r="W2284" i="25"/>
  <c r="X2287" i="25" l="1"/>
  <c r="W2285" i="25"/>
  <c r="X2288" i="25" l="1"/>
  <c r="W2286" i="25"/>
  <c r="X2289" i="25" l="1"/>
  <c r="W2287" i="25"/>
  <c r="X2290" i="25" l="1"/>
  <c r="W2288" i="25"/>
  <c r="X2291" i="25" l="1"/>
  <c r="W2289" i="25"/>
  <c r="X2292" i="25" l="1"/>
  <c r="W2290" i="25"/>
  <c r="X2293" i="25" l="1"/>
  <c r="W2291" i="25"/>
  <c r="X2294" i="25" l="1"/>
  <c r="W2292" i="25"/>
  <c r="X2295" i="25" l="1"/>
  <c r="W2293" i="25"/>
  <c r="X2296" i="25" l="1"/>
  <c r="W2294" i="25"/>
  <c r="X2297" i="25" l="1"/>
  <c r="W2295" i="25"/>
  <c r="X2298" i="25" l="1"/>
  <c r="W2296" i="25"/>
  <c r="X2299" i="25" l="1"/>
  <c r="W2297" i="25"/>
  <c r="X2300" i="25" l="1"/>
  <c r="W2298" i="25"/>
  <c r="X2301" i="25" l="1"/>
  <c r="W2299" i="25"/>
  <c r="X2302" i="25" l="1"/>
  <c r="W2300" i="25"/>
  <c r="X2303" i="25" l="1"/>
  <c r="W2301" i="25"/>
  <c r="X2304" i="25" l="1"/>
  <c r="W2302" i="25"/>
  <c r="X2305" i="25" l="1"/>
  <c r="W2303" i="25"/>
  <c r="X2306" i="25" l="1"/>
  <c r="W2304" i="25"/>
  <c r="X2307" i="25" l="1"/>
  <c r="W2305" i="25"/>
  <c r="X2308" i="25" l="1"/>
  <c r="W2306" i="25"/>
  <c r="X2309" i="25" l="1"/>
  <c r="W2307" i="25"/>
  <c r="X2310" i="25" l="1"/>
  <c r="W2308" i="25"/>
  <c r="X2311" i="25" l="1"/>
  <c r="W2309" i="25"/>
  <c r="X2312" i="25" l="1"/>
  <c r="W2310" i="25"/>
  <c r="X2313" i="25" l="1"/>
  <c r="W2311" i="25"/>
  <c r="X2314" i="25" l="1"/>
  <c r="W2312" i="25"/>
  <c r="X2315" i="25" l="1"/>
  <c r="W2313" i="25"/>
  <c r="X2316" i="25" l="1"/>
  <c r="W2314" i="25"/>
  <c r="X2317" i="25" l="1"/>
  <c r="W2315" i="25"/>
  <c r="X2318" i="25" l="1"/>
  <c r="W2316" i="25"/>
  <c r="X2319" i="25" l="1"/>
  <c r="W2317" i="25"/>
  <c r="X2320" i="25" l="1"/>
  <c r="W2318" i="25"/>
  <c r="X2321" i="25" l="1"/>
  <c r="W2319" i="25"/>
  <c r="X2322" i="25" l="1"/>
  <c r="W2320" i="25"/>
  <c r="X2323" i="25" l="1"/>
  <c r="W2321" i="25"/>
  <c r="X2324" i="25" l="1"/>
  <c r="W2322" i="25"/>
  <c r="X2325" i="25" l="1"/>
  <c r="W2323" i="25"/>
  <c r="X2326" i="25" l="1"/>
  <c r="W2324" i="25"/>
  <c r="X2327" i="25" l="1"/>
  <c r="W2325" i="25"/>
  <c r="X2328" i="25" l="1"/>
  <c r="W2326" i="25"/>
  <c r="X2329" i="25" l="1"/>
  <c r="W2327" i="25"/>
  <c r="X2330" i="25" l="1"/>
  <c r="W2328" i="25"/>
  <c r="X2331" i="25" l="1"/>
  <c r="W2329" i="25"/>
  <c r="X2332" i="25" l="1"/>
  <c r="W2330" i="25"/>
  <c r="X2333" i="25" l="1"/>
  <c r="W2331" i="25"/>
  <c r="X2334" i="25" l="1"/>
  <c r="W2332" i="25"/>
  <c r="X2335" i="25" l="1"/>
  <c r="W2333" i="25"/>
  <c r="X2336" i="25" l="1"/>
  <c r="W2334" i="25"/>
  <c r="X2337" i="25" l="1"/>
  <c r="W2335" i="25"/>
  <c r="X2338" i="25" l="1"/>
  <c r="W2336" i="25"/>
  <c r="X2339" i="25" l="1"/>
  <c r="W2337" i="25"/>
  <c r="X2340" i="25" l="1"/>
  <c r="W2338" i="25"/>
  <c r="X2341" i="25" l="1"/>
  <c r="W2339" i="25"/>
  <c r="X2342" i="25" l="1"/>
  <c r="W2340" i="25"/>
  <c r="X2343" i="25" l="1"/>
  <c r="W2341" i="25"/>
  <c r="X2344" i="25" l="1"/>
  <c r="W2342" i="25"/>
  <c r="X2345" i="25" l="1"/>
  <c r="W2343" i="25"/>
  <c r="X2346" i="25" l="1"/>
  <c r="W2344" i="25"/>
  <c r="X2347" i="25" l="1"/>
  <c r="W2345" i="25"/>
  <c r="X2348" i="25" l="1"/>
  <c r="W2346" i="25"/>
  <c r="X2349" i="25" l="1"/>
  <c r="W2347" i="25"/>
  <c r="X2350" i="25" l="1"/>
  <c r="W2348" i="25"/>
  <c r="X2351" i="25" l="1"/>
  <c r="W2349" i="25"/>
  <c r="X2352" i="25" l="1"/>
  <c r="W2350" i="25"/>
  <c r="X2353" i="25" l="1"/>
  <c r="W2351" i="25"/>
  <c r="X2354" i="25" l="1"/>
  <c r="W2352" i="25"/>
  <c r="X2355" i="25" l="1"/>
  <c r="W2353" i="25"/>
  <c r="X2356" i="25" l="1"/>
  <c r="W2354" i="25"/>
  <c r="X2357" i="25" l="1"/>
  <c r="W2355" i="25"/>
  <c r="X2358" i="25" l="1"/>
  <c r="W2356" i="25"/>
  <c r="X2359" i="25" l="1"/>
  <c r="W2357" i="25"/>
  <c r="X2360" i="25" l="1"/>
  <c r="W2358" i="25"/>
  <c r="X2361" i="25" l="1"/>
  <c r="W2359" i="25"/>
  <c r="X2362" i="25" l="1"/>
  <c r="W2360" i="25"/>
  <c r="X2363" i="25" l="1"/>
  <c r="W2361" i="25"/>
  <c r="X2364" i="25" l="1"/>
  <c r="W2362" i="25"/>
  <c r="X2365" i="25" l="1"/>
  <c r="W2363" i="25"/>
  <c r="X2366" i="25" l="1"/>
  <c r="W2364" i="25"/>
  <c r="X2367" i="25" l="1"/>
  <c r="W2365" i="25"/>
  <c r="X2368" i="25" l="1"/>
  <c r="W2366" i="25"/>
  <c r="X2369" i="25" l="1"/>
  <c r="W2367" i="25"/>
  <c r="X2370" i="25" l="1"/>
  <c r="W2368" i="25"/>
  <c r="X2371" i="25" l="1"/>
  <c r="W2369" i="25"/>
  <c r="X2372" i="25" l="1"/>
  <c r="W2370" i="25"/>
  <c r="X2373" i="25" l="1"/>
  <c r="W2371" i="25"/>
  <c r="X2374" i="25" l="1"/>
  <c r="W2372" i="25"/>
  <c r="X2375" i="25" l="1"/>
  <c r="W2373" i="25"/>
  <c r="X2376" i="25" l="1"/>
  <c r="W2374" i="25"/>
  <c r="X2377" i="25" l="1"/>
  <c r="W2375" i="25"/>
  <c r="X2378" i="25" l="1"/>
  <c r="W2376" i="25"/>
  <c r="X2379" i="25" l="1"/>
  <c r="W2377" i="25"/>
  <c r="X2380" i="25" l="1"/>
  <c r="W2378" i="25"/>
  <c r="X2381" i="25" l="1"/>
  <c r="W2379" i="25"/>
  <c r="X2382" i="25" l="1"/>
  <c r="W2380" i="25"/>
  <c r="X2383" i="25" l="1"/>
  <c r="W2381" i="25"/>
  <c r="X2384" i="25" l="1"/>
  <c r="W2382" i="25"/>
  <c r="X2385" i="25" l="1"/>
  <c r="W2383" i="25"/>
  <c r="X2386" i="25" l="1"/>
  <c r="W2384" i="25"/>
  <c r="X2387" i="25" l="1"/>
  <c r="W2385" i="25"/>
  <c r="X2388" i="25" l="1"/>
  <c r="W2386" i="25"/>
  <c r="X2389" i="25" l="1"/>
  <c r="W2387" i="25"/>
  <c r="X2390" i="25" l="1"/>
  <c r="W2388" i="25"/>
  <c r="X2391" i="25" l="1"/>
  <c r="W2389" i="25"/>
  <c r="X2392" i="25" l="1"/>
  <c r="W2390" i="25"/>
  <c r="X2393" i="25" l="1"/>
  <c r="W2391" i="25"/>
  <c r="X2394" i="25" l="1"/>
  <c r="W2392" i="25"/>
  <c r="X2395" i="25" l="1"/>
  <c r="W2393" i="25"/>
  <c r="X2396" i="25" l="1"/>
  <c r="W2394" i="25"/>
  <c r="X2397" i="25" l="1"/>
  <c r="W2395" i="25"/>
  <c r="X2398" i="25" l="1"/>
  <c r="W2396" i="25"/>
  <c r="X2399" i="25" l="1"/>
  <c r="W2397" i="25"/>
  <c r="X2400" i="25" l="1"/>
  <c r="W2398" i="25"/>
  <c r="X2401" i="25" l="1"/>
  <c r="W2399" i="25"/>
  <c r="X2402" i="25" l="1"/>
  <c r="W2400" i="25"/>
  <c r="X2403" i="25" l="1"/>
  <c r="W2401" i="25"/>
  <c r="X2404" i="25" l="1"/>
  <c r="W2402" i="25"/>
  <c r="X2405" i="25" l="1"/>
  <c r="W2403" i="25"/>
  <c r="X2406" i="25" l="1"/>
  <c r="W2404" i="25"/>
  <c r="X2407" i="25" l="1"/>
  <c r="W2405" i="25"/>
  <c r="X2408" i="25" l="1"/>
  <c r="W2406" i="25"/>
  <c r="X2409" i="25" l="1"/>
  <c r="W2407" i="25"/>
  <c r="X2410" i="25" l="1"/>
  <c r="W2408" i="25"/>
  <c r="X2411" i="25" l="1"/>
  <c r="W2409" i="25"/>
  <c r="X2412" i="25" l="1"/>
  <c r="W2410" i="25"/>
  <c r="X2413" i="25" l="1"/>
  <c r="W2411" i="25"/>
  <c r="X2414" i="25" l="1"/>
  <c r="W2412" i="25"/>
  <c r="X2415" i="25" l="1"/>
  <c r="W2413" i="25"/>
  <c r="X2416" i="25" l="1"/>
  <c r="W2414" i="25"/>
  <c r="X2417" i="25" l="1"/>
  <c r="W2415" i="25"/>
  <c r="X2418" i="25" l="1"/>
  <c r="W2416" i="25"/>
  <c r="X2419" i="25" l="1"/>
  <c r="W2417" i="25"/>
  <c r="X2420" i="25" l="1"/>
  <c r="W2418" i="25"/>
  <c r="X2421" i="25" l="1"/>
  <c r="W2419" i="25"/>
  <c r="X2422" i="25" l="1"/>
  <c r="W2420" i="25"/>
  <c r="X2423" i="25" l="1"/>
  <c r="W2421" i="25"/>
  <c r="X2424" i="25" l="1"/>
  <c r="W2422" i="25"/>
  <c r="X2425" i="25" l="1"/>
  <c r="W2423" i="25"/>
  <c r="X2426" i="25" l="1"/>
  <c r="W2424" i="25"/>
  <c r="X2427" i="25" l="1"/>
  <c r="W2425" i="25"/>
  <c r="X2428" i="25" l="1"/>
  <c r="W2426" i="25"/>
  <c r="X2429" i="25" l="1"/>
  <c r="W2427" i="25"/>
  <c r="X2430" i="25" l="1"/>
  <c r="W2428" i="25"/>
  <c r="X2431" i="25" l="1"/>
  <c r="W2429" i="25"/>
  <c r="X2432" i="25" l="1"/>
  <c r="W2430" i="25"/>
  <c r="X2433" i="25" l="1"/>
  <c r="W2431" i="25"/>
  <c r="X2434" i="25" l="1"/>
  <c r="W2432" i="25"/>
  <c r="X2435" i="25" l="1"/>
  <c r="W2433" i="25"/>
  <c r="X2436" i="25" l="1"/>
  <c r="W2434" i="25"/>
  <c r="X2437" i="25" l="1"/>
  <c r="W2435" i="25"/>
  <c r="X2438" i="25" l="1"/>
  <c r="W2436" i="25"/>
  <c r="X2439" i="25" l="1"/>
  <c r="W2437" i="25"/>
  <c r="X2440" i="25" l="1"/>
  <c r="W2438" i="25"/>
  <c r="X2441" i="25" l="1"/>
  <c r="W2439" i="25"/>
  <c r="X2442" i="25" l="1"/>
  <c r="W2440" i="25"/>
  <c r="X2443" i="25" l="1"/>
  <c r="W2441" i="25"/>
  <c r="X2444" i="25" l="1"/>
  <c r="W2442" i="25"/>
  <c r="X2445" i="25" l="1"/>
  <c r="W2443" i="25"/>
  <c r="X2446" i="25" l="1"/>
  <c r="W2444" i="25"/>
  <c r="X2447" i="25" l="1"/>
  <c r="W2445" i="25"/>
  <c r="X2448" i="25" l="1"/>
  <c r="W2446" i="25"/>
  <c r="X2449" i="25" l="1"/>
  <c r="W2447" i="25"/>
  <c r="X2450" i="25" l="1"/>
  <c r="W2448" i="25"/>
  <c r="X2451" i="25" l="1"/>
  <c r="W2449" i="25"/>
  <c r="X2452" i="25" l="1"/>
  <c r="W2450" i="25"/>
  <c r="X2453" i="25" l="1"/>
  <c r="W2451" i="25"/>
  <c r="X2454" i="25" l="1"/>
  <c r="W2452" i="25"/>
  <c r="X2455" i="25" l="1"/>
  <c r="W2453" i="25"/>
  <c r="X2456" i="25" l="1"/>
  <c r="W2454" i="25"/>
  <c r="X2457" i="25" l="1"/>
  <c r="W2455" i="25"/>
  <c r="X2458" i="25" l="1"/>
  <c r="W2456" i="25"/>
  <c r="X2459" i="25" l="1"/>
  <c r="W2457" i="25"/>
  <c r="X2460" i="25" l="1"/>
  <c r="W2458" i="25"/>
  <c r="X2461" i="25" l="1"/>
  <c r="W2459" i="25"/>
  <c r="X2462" i="25" l="1"/>
  <c r="W2460" i="25"/>
  <c r="X2463" i="25" l="1"/>
  <c r="W2461" i="25"/>
  <c r="X2464" i="25" l="1"/>
  <c r="W2462" i="25"/>
  <c r="X2465" i="25" l="1"/>
  <c r="W2463" i="25"/>
  <c r="X2466" i="25" l="1"/>
  <c r="W2464" i="25"/>
  <c r="X2467" i="25" l="1"/>
  <c r="W2465" i="25"/>
  <c r="X2468" i="25" l="1"/>
  <c r="W2466" i="25"/>
  <c r="X2469" i="25" l="1"/>
  <c r="W2467" i="25"/>
  <c r="X2470" i="25" l="1"/>
  <c r="W2468" i="25"/>
  <c r="X2471" i="25" l="1"/>
  <c r="W2469" i="25"/>
  <c r="X2472" i="25" l="1"/>
  <c r="W2470" i="25"/>
  <c r="X2473" i="25" l="1"/>
  <c r="W2471" i="25"/>
  <c r="X2474" i="25" l="1"/>
  <c r="W2472" i="25"/>
  <c r="X2475" i="25" l="1"/>
  <c r="W2473" i="25"/>
  <c r="X2476" i="25" l="1"/>
  <c r="W2474" i="25"/>
  <c r="X2477" i="25" l="1"/>
  <c r="W2475" i="25"/>
  <c r="X2478" i="25" l="1"/>
  <c r="W2476" i="25"/>
  <c r="X2479" i="25" l="1"/>
  <c r="W2477" i="25"/>
  <c r="X2480" i="25" l="1"/>
  <c r="W2478" i="25"/>
  <c r="X2481" i="25" l="1"/>
  <c r="W2479" i="25"/>
  <c r="X2482" i="25" l="1"/>
  <c r="W2480" i="25"/>
  <c r="X2483" i="25" l="1"/>
  <c r="W2481" i="25"/>
  <c r="X2484" i="25" l="1"/>
  <c r="W2482" i="25"/>
  <c r="X2485" i="25" l="1"/>
  <c r="W2483" i="25"/>
  <c r="X2486" i="25" l="1"/>
  <c r="W2484" i="25"/>
  <c r="X2487" i="25" l="1"/>
  <c r="W2485" i="25"/>
  <c r="X2488" i="25" l="1"/>
  <c r="W2486" i="25"/>
  <c r="X2489" i="25" l="1"/>
  <c r="W2487" i="25"/>
  <c r="X2490" i="25" l="1"/>
  <c r="W2488" i="25"/>
  <c r="X2491" i="25" l="1"/>
  <c r="W2489" i="25"/>
  <c r="X2492" i="25" l="1"/>
  <c r="W2490" i="25"/>
  <c r="X2493" i="25" l="1"/>
  <c r="W2491" i="25"/>
  <c r="X2494" i="25" l="1"/>
  <c r="W2492" i="25"/>
  <c r="X2495" i="25" l="1"/>
  <c r="W2493" i="25"/>
  <c r="X2496" i="25" l="1"/>
  <c r="W2494" i="25"/>
  <c r="X2497" i="25" l="1"/>
  <c r="W2495" i="25"/>
  <c r="X2498" i="25" l="1"/>
  <c r="W2496" i="25"/>
  <c r="X2499" i="25" l="1"/>
  <c r="W2497" i="25"/>
  <c r="X2500" i="25" l="1"/>
  <c r="W2498" i="25"/>
  <c r="X2501" i="25" l="1"/>
  <c r="W2499" i="25"/>
  <c r="X2502" i="25" l="1"/>
  <c r="W2500" i="25"/>
  <c r="X2503" i="25" l="1"/>
  <c r="W2501" i="25"/>
  <c r="X2504" i="25" l="1"/>
  <c r="W2502" i="25"/>
  <c r="X2505" i="25" l="1"/>
  <c r="W2503" i="25"/>
  <c r="X2506" i="25" l="1"/>
  <c r="W2504" i="25"/>
  <c r="X2507" i="25" l="1"/>
  <c r="W2505" i="25"/>
  <c r="X2508" i="25" l="1"/>
  <c r="W2506" i="25"/>
  <c r="X2509" i="25" l="1"/>
  <c r="W2507" i="25"/>
  <c r="X2510" i="25" l="1"/>
  <c r="W2508" i="25"/>
  <c r="X2511" i="25" l="1"/>
  <c r="W2509" i="25"/>
  <c r="X2512" i="25" l="1"/>
  <c r="W2510" i="25"/>
  <c r="X2513" i="25" l="1"/>
  <c r="W2511" i="25"/>
  <c r="X2514" i="25" l="1"/>
  <c r="W2512" i="25"/>
  <c r="X2515" i="25" l="1"/>
  <c r="W2513" i="25"/>
  <c r="X2516" i="25" l="1"/>
  <c r="W2514" i="25"/>
  <c r="X2517" i="25" l="1"/>
  <c r="W2515" i="25"/>
  <c r="X2518" i="25" l="1"/>
  <c r="W2516" i="25"/>
  <c r="X2519" i="25" l="1"/>
  <c r="W2517" i="25"/>
  <c r="X2520" i="25" l="1"/>
  <c r="W2518" i="25"/>
  <c r="X2521" i="25" l="1"/>
  <c r="W2519" i="25"/>
  <c r="X2522" i="25" l="1"/>
  <c r="W2520" i="25"/>
  <c r="X2523" i="25" l="1"/>
  <c r="W2521" i="25"/>
  <c r="X2524" i="25" l="1"/>
  <c r="W2522" i="25"/>
  <c r="X2525" i="25" l="1"/>
  <c r="W2523" i="25"/>
  <c r="X2526" i="25" l="1"/>
  <c r="W2524" i="25"/>
  <c r="X2527" i="25" l="1"/>
  <c r="W2525" i="25"/>
  <c r="X2528" i="25" l="1"/>
  <c r="W2526" i="25"/>
  <c r="X2529" i="25" l="1"/>
  <c r="W2527" i="25"/>
  <c r="X2530" i="25" l="1"/>
  <c r="W2528" i="25"/>
  <c r="X2531" i="25" l="1"/>
  <c r="W2529" i="25"/>
  <c r="X2532" i="25" l="1"/>
  <c r="W2530" i="25"/>
  <c r="X2533" i="25" l="1"/>
  <c r="W2531" i="25"/>
  <c r="X2534" i="25" l="1"/>
  <c r="W2532" i="25"/>
  <c r="X2535" i="25" l="1"/>
  <c r="W2533" i="25"/>
  <c r="X2536" i="25" l="1"/>
  <c r="W2534" i="25"/>
  <c r="X2537" i="25" l="1"/>
  <c r="W2535" i="25"/>
  <c r="X2538" i="25" l="1"/>
  <c r="W2536" i="25"/>
  <c r="X2539" i="25" l="1"/>
  <c r="W2537" i="25"/>
  <c r="X2540" i="25" l="1"/>
  <c r="W2538" i="25"/>
  <c r="X2541" i="25" l="1"/>
  <c r="W2539" i="25"/>
  <c r="X2542" i="25" l="1"/>
  <c r="W2540" i="25"/>
  <c r="X2543" i="25" l="1"/>
  <c r="W2541" i="25"/>
  <c r="X2544" i="25" l="1"/>
  <c r="W2542" i="25"/>
  <c r="X2545" i="25" l="1"/>
  <c r="W2543" i="25"/>
  <c r="X2546" i="25" l="1"/>
  <c r="W2544" i="25"/>
  <c r="X2547" i="25" l="1"/>
  <c r="W2545" i="25"/>
  <c r="X2548" i="25" l="1"/>
  <c r="W2546" i="25"/>
  <c r="X2549" i="25" l="1"/>
  <c r="W2547" i="25"/>
  <c r="X2550" i="25" l="1"/>
  <c r="W2548" i="25"/>
  <c r="X2551" i="25" l="1"/>
  <c r="W2549" i="25"/>
  <c r="X2552" i="25" l="1"/>
  <c r="W2550" i="25"/>
  <c r="X2553" i="25" l="1"/>
  <c r="W2551" i="25"/>
  <c r="X2554" i="25" l="1"/>
  <c r="W2552" i="25"/>
  <c r="X2555" i="25" l="1"/>
  <c r="W2553" i="25"/>
  <c r="X2556" i="25" l="1"/>
  <c r="W2554" i="25"/>
  <c r="X2557" i="25" l="1"/>
  <c r="W2555" i="25"/>
  <c r="X2558" i="25" l="1"/>
  <c r="W2556" i="25"/>
  <c r="X2559" i="25" l="1"/>
  <c r="W2557" i="25"/>
  <c r="X2560" i="25" l="1"/>
  <c r="W2558" i="25"/>
  <c r="X2561" i="25" l="1"/>
  <c r="W2559" i="25"/>
  <c r="X2562" i="25" l="1"/>
  <c r="W2560" i="25"/>
  <c r="X2563" i="25" l="1"/>
  <c r="W2561" i="25"/>
  <c r="X2564" i="25" l="1"/>
  <c r="W2562" i="25"/>
  <c r="X2565" i="25" l="1"/>
  <c r="W2563" i="25"/>
  <c r="X2566" i="25" l="1"/>
  <c r="W2564" i="25"/>
  <c r="X2567" i="25" l="1"/>
  <c r="W2565" i="25"/>
  <c r="X2568" i="25" l="1"/>
  <c r="W2566" i="25"/>
  <c r="X2569" i="25" l="1"/>
  <c r="W2567" i="25"/>
  <c r="X2570" i="25" l="1"/>
  <c r="W2568" i="25"/>
  <c r="X2571" i="25" l="1"/>
  <c r="W2569" i="25"/>
  <c r="X2572" i="25" l="1"/>
  <c r="W2570" i="25"/>
  <c r="X2573" i="25" l="1"/>
  <c r="W2571" i="25"/>
  <c r="X2574" i="25" l="1"/>
  <c r="W2572" i="25"/>
  <c r="X2575" i="25" l="1"/>
  <c r="W2573" i="25"/>
  <c r="X2576" i="25" l="1"/>
  <c r="W2574" i="25"/>
  <c r="X2577" i="25" l="1"/>
  <c r="W2575" i="25"/>
  <c r="X2578" i="25" l="1"/>
  <c r="W2576" i="25"/>
  <c r="X2579" i="25" l="1"/>
  <c r="W2577" i="25"/>
  <c r="X2580" i="25" l="1"/>
  <c r="W2578" i="25"/>
  <c r="X2581" i="25" l="1"/>
  <c r="W2579" i="25"/>
  <c r="X2582" i="25" l="1"/>
  <c r="W2580" i="25"/>
  <c r="X2583" i="25" l="1"/>
  <c r="W2581" i="25"/>
  <c r="X2584" i="25" l="1"/>
  <c r="W2582" i="25"/>
  <c r="X2585" i="25" l="1"/>
  <c r="W2583" i="25"/>
  <c r="X2586" i="25" l="1"/>
  <c r="W2584" i="25"/>
  <c r="X2587" i="25" l="1"/>
  <c r="W2585" i="25"/>
  <c r="X2588" i="25" l="1"/>
  <c r="W2586" i="25"/>
  <c r="X2589" i="25" l="1"/>
  <c r="W2587" i="25"/>
  <c r="X2590" i="25" l="1"/>
  <c r="W2588" i="25"/>
  <c r="X2591" i="25" l="1"/>
  <c r="W2589" i="25"/>
  <c r="X2592" i="25" l="1"/>
  <c r="W2590" i="25"/>
  <c r="X2593" i="25" l="1"/>
  <c r="W2591" i="25"/>
  <c r="X2594" i="25" l="1"/>
  <c r="W2592" i="25"/>
  <c r="X2595" i="25" l="1"/>
  <c r="W2593" i="25"/>
  <c r="X2596" i="25" l="1"/>
  <c r="W2594" i="25"/>
  <c r="X2597" i="25" l="1"/>
  <c r="W2595" i="25"/>
  <c r="X2598" i="25" l="1"/>
  <c r="W2596" i="25"/>
  <c r="X2599" i="25" l="1"/>
  <c r="W2597" i="25"/>
  <c r="X2600" i="25" l="1"/>
  <c r="W2598" i="25"/>
  <c r="X2601" i="25" l="1"/>
  <c r="W2599" i="25"/>
  <c r="X2602" i="25" l="1"/>
  <c r="W2600" i="25"/>
  <c r="X2603" i="25" l="1"/>
  <c r="W2601" i="25"/>
  <c r="X2604" i="25" l="1"/>
  <c r="W2602" i="25"/>
  <c r="X2605" i="25" l="1"/>
  <c r="W2603" i="25"/>
  <c r="X2606" i="25" l="1"/>
  <c r="W2604" i="25"/>
  <c r="X2607" i="25" l="1"/>
  <c r="W2605" i="25"/>
  <c r="X2608" i="25" l="1"/>
  <c r="W2606" i="25"/>
  <c r="X2609" i="25" l="1"/>
  <c r="W2607" i="25"/>
  <c r="X2610" i="25" l="1"/>
  <c r="W2608" i="25"/>
  <c r="X2611" i="25" l="1"/>
  <c r="W2609" i="25"/>
  <c r="X2612" i="25" l="1"/>
  <c r="W2610" i="25"/>
  <c r="X2613" i="25" l="1"/>
  <c r="W2611" i="25"/>
  <c r="X2614" i="25" l="1"/>
  <c r="W2612" i="25"/>
  <c r="X2615" i="25" l="1"/>
  <c r="W2613" i="25"/>
  <c r="X2616" i="25" l="1"/>
  <c r="W2614" i="25"/>
  <c r="X2617" i="25" l="1"/>
  <c r="W2615" i="25"/>
  <c r="X2618" i="25" l="1"/>
  <c r="W2616" i="25"/>
  <c r="X2619" i="25" l="1"/>
  <c r="W2617" i="25"/>
  <c r="X2620" i="25" l="1"/>
  <c r="W2618" i="25"/>
  <c r="X2621" i="25" l="1"/>
  <c r="W2619" i="25"/>
  <c r="X2622" i="25" l="1"/>
  <c r="W2620" i="25"/>
  <c r="X2623" i="25" l="1"/>
  <c r="W2621" i="25"/>
  <c r="X2624" i="25" l="1"/>
  <c r="W2622" i="25"/>
  <c r="X2625" i="25" l="1"/>
  <c r="W2623" i="25"/>
  <c r="X2626" i="25" l="1"/>
  <c r="W2624" i="25"/>
  <c r="X2627" i="25" l="1"/>
  <c r="W2625" i="25"/>
  <c r="X2628" i="25" l="1"/>
  <c r="W2626" i="25"/>
  <c r="X2629" i="25" l="1"/>
  <c r="W2627" i="25"/>
  <c r="X2630" i="25" l="1"/>
  <c r="W2628" i="25"/>
  <c r="X2631" i="25" l="1"/>
  <c r="W2629" i="25"/>
  <c r="X2632" i="25" l="1"/>
  <c r="W2630" i="25"/>
  <c r="X2633" i="25" l="1"/>
  <c r="W2631" i="25"/>
  <c r="X2634" i="25" l="1"/>
  <c r="W2632" i="25"/>
  <c r="X2635" i="25" l="1"/>
  <c r="W2633" i="25"/>
  <c r="X2636" i="25" l="1"/>
  <c r="W2634" i="25"/>
  <c r="X2637" i="25" l="1"/>
  <c r="W2635" i="25"/>
  <c r="X2638" i="25" l="1"/>
  <c r="W2636" i="25"/>
  <c r="X2639" i="25" l="1"/>
  <c r="W2637" i="25"/>
  <c r="X2640" i="25" l="1"/>
  <c r="W2638" i="25"/>
  <c r="X2641" i="25" l="1"/>
  <c r="W2639" i="25"/>
  <c r="X2642" i="25" l="1"/>
  <c r="W2640" i="25"/>
  <c r="X2643" i="25" l="1"/>
  <c r="W2641" i="25"/>
  <c r="X2644" i="25" l="1"/>
  <c r="W2642" i="25"/>
  <c r="X2645" i="25" l="1"/>
  <c r="W2643" i="25"/>
  <c r="X2646" i="25" l="1"/>
  <c r="W2644" i="25"/>
  <c r="X2647" i="25" l="1"/>
  <c r="W2645" i="25"/>
  <c r="X2648" i="25" l="1"/>
  <c r="W2646" i="25"/>
  <c r="X2649" i="25" l="1"/>
  <c r="W2647" i="25"/>
  <c r="X2650" i="25" l="1"/>
  <c r="W2648" i="25"/>
  <c r="X2651" i="25" l="1"/>
  <c r="W2649" i="25"/>
  <c r="X2652" i="25" l="1"/>
  <c r="W2650" i="25"/>
  <c r="X2653" i="25" l="1"/>
  <c r="W2651" i="25"/>
  <c r="X2654" i="25" l="1"/>
  <c r="W2652" i="25"/>
  <c r="X2655" i="25" l="1"/>
  <c r="W2653" i="25"/>
  <c r="X2656" i="25" l="1"/>
  <c r="W2654" i="25"/>
  <c r="X2657" i="25" l="1"/>
  <c r="W2655" i="25"/>
  <c r="X2658" i="25" l="1"/>
  <c r="W2656" i="25"/>
  <c r="X2659" i="25" l="1"/>
  <c r="W2657" i="25"/>
  <c r="X2660" i="25" l="1"/>
  <c r="W2658" i="25"/>
  <c r="X2661" i="25" l="1"/>
  <c r="W2659" i="25"/>
  <c r="X2662" i="25" l="1"/>
  <c r="W2660" i="25"/>
  <c r="X2663" i="25" l="1"/>
  <c r="W2661" i="25"/>
  <c r="X2664" i="25" l="1"/>
  <c r="W2662" i="25"/>
  <c r="X2665" i="25" l="1"/>
  <c r="W2663" i="25"/>
  <c r="X2666" i="25" l="1"/>
  <c r="W2664" i="25"/>
  <c r="X2667" i="25" l="1"/>
  <c r="W2665" i="25"/>
  <c r="X2668" i="25" l="1"/>
  <c r="W2666" i="25"/>
  <c r="X2669" i="25" l="1"/>
  <c r="W2667" i="25"/>
  <c r="X2670" i="25" l="1"/>
  <c r="W2668" i="25"/>
  <c r="X2671" i="25" l="1"/>
  <c r="W2669" i="25"/>
  <c r="X2672" i="25" l="1"/>
  <c r="W2670" i="25"/>
  <c r="X2673" i="25" l="1"/>
  <c r="W2671" i="25"/>
  <c r="X2674" i="25" l="1"/>
  <c r="W2672" i="25"/>
  <c r="X2675" i="25" l="1"/>
  <c r="W2673" i="25"/>
  <c r="X2676" i="25" l="1"/>
  <c r="W2674" i="25"/>
  <c r="X2677" i="25" l="1"/>
  <c r="W2675" i="25"/>
  <c r="X2678" i="25" l="1"/>
  <c r="W2676" i="25"/>
  <c r="X2679" i="25" l="1"/>
  <c r="W2677" i="25"/>
  <c r="X2680" i="25" l="1"/>
  <c r="W2678" i="25"/>
  <c r="X2681" i="25" l="1"/>
  <c r="W2679" i="25"/>
  <c r="X2682" i="25" l="1"/>
  <c r="W2680" i="25"/>
  <c r="X2683" i="25" l="1"/>
  <c r="W2681" i="25"/>
  <c r="X2684" i="25" l="1"/>
  <c r="W2682" i="25"/>
  <c r="X2685" i="25" l="1"/>
  <c r="W2683" i="25"/>
  <c r="X2686" i="25" l="1"/>
  <c r="W2684" i="25"/>
  <c r="X2687" i="25" l="1"/>
  <c r="W2685" i="25"/>
  <c r="X2688" i="25" l="1"/>
  <c r="W2686" i="25"/>
  <c r="X2689" i="25" l="1"/>
  <c r="W2687" i="25"/>
  <c r="X2690" i="25" l="1"/>
  <c r="W2688" i="25"/>
  <c r="X2691" i="25" l="1"/>
  <c r="W2689" i="25"/>
  <c r="X2692" i="25" l="1"/>
  <c r="W2690" i="25"/>
  <c r="X2693" i="25" l="1"/>
  <c r="W2691" i="25"/>
  <c r="X2694" i="25" l="1"/>
  <c r="W2692" i="25"/>
  <c r="X2695" i="25" l="1"/>
  <c r="W2693" i="25"/>
  <c r="X2696" i="25" l="1"/>
  <c r="W2694" i="25"/>
  <c r="X2697" i="25" l="1"/>
  <c r="W2695" i="25"/>
  <c r="X2698" i="25" l="1"/>
  <c r="W2696" i="25"/>
  <c r="X2699" i="25" l="1"/>
  <c r="W2697" i="25"/>
  <c r="X2700" i="25" l="1"/>
  <c r="W2698" i="25"/>
  <c r="X2701" i="25" l="1"/>
  <c r="W2699" i="25"/>
  <c r="X2702" i="25" l="1"/>
  <c r="W2700" i="25"/>
  <c r="X2703" i="25" l="1"/>
  <c r="W2701" i="25"/>
  <c r="X2704" i="25" l="1"/>
  <c r="W2702" i="25"/>
  <c r="X2705" i="25" l="1"/>
  <c r="W2703" i="25"/>
  <c r="X2706" i="25" l="1"/>
  <c r="W2704" i="25"/>
  <c r="X2707" i="25" l="1"/>
  <c r="W2705" i="25"/>
  <c r="X2708" i="25" l="1"/>
  <c r="W2706" i="25"/>
  <c r="X2709" i="25" l="1"/>
  <c r="W2707" i="25"/>
  <c r="X2710" i="25" l="1"/>
  <c r="W2708" i="25"/>
  <c r="X2711" i="25" l="1"/>
  <c r="W2709" i="25"/>
  <c r="X2712" i="25" l="1"/>
  <c r="W2710" i="25"/>
  <c r="X2713" i="25" l="1"/>
  <c r="W2711" i="25"/>
  <c r="X2714" i="25" l="1"/>
  <c r="W2712" i="25"/>
  <c r="X2715" i="25" l="1"/>
  <c r="W2713" i="25"/>
  <c r="X2716" i="25" l="1"/>
  <c r="W2714" i="25"/>
  <c r="X2717" i="25" l="1"/>
  <c r="W2715" i="25"/>
  <c r="X2718" i="25" l="1"/>
  <c r="W2716" i="25"/>
  <c r="X2719" i="25" l="1"/>
  <c r="W2717" i="25"/>
  <c r="X2720" i="25" l="1"/>
  <c r="W2718" i="25"/>
  <c r="X2721" i="25" l="1"/>
  <c r="W2719" i="25"/>
  <c r="X2722" i="25" l="1"/>
  <c r="W2720" i="25"/>
  <c r="X2723" i="25" l="1"/>
  <c r="W2721" i="25"/>
  <c r="X2724" i="25" l="1"/>
  <c r="W2722" i="25"/>
  <c r="X2725" i="25" l="1"/>
  <c r="W2723" i="25"/>
  <c r="X2726" i="25" l="1"/>
  <c r="W2724" i="25"/>
  <c r="X2727" i="25" l="1"/>
  <c r="W2725" i="25"/>
  <c r="X2728" i="25" l="1"/>
  <c r="W2726" i="25"/>
  <c r="X2729" i="25" l="1"/>
  <c r="W2727" i="25"/>
  <c r="X2730" i="25" l="1"/>
  <c r="W2728" i="25"/>
  <c r="X2731" i="25" l="1"/>
  <c r="W2729" i="25"/>
  <c r="X2732" i="25" l="1"/>
  <c r="W2730" i="25"/>
  <c r="X2733" i="25" l="1"/>
  <c r="W2731" i="25"/>
  <c r="X2734" i="25" l="1"/>
  <c r="W2732" i="25"/>
  <c r="X2735" i="25" l="1"/>
  <c r="W2733" i="25"/>
  <c r="X2736" i="25" l="1"/>
  <c r="W2734" i="25"/>
  <c r="X2737" i="25" l="1"/>
  <c r="W2735" i="25"/>
  <c r="X2738" i="25" l="1"/>
  <c r="W2736" i="25"/>
  <c r="X2739" i="25" l="1"/>
  <c r="W2737" i="25"/>
  <c r="X2740" i="25" l="1"/>
  <c r="W2738" i="25"/>
  <c r="X2741" i="25" l="1"/>
  <c r="W2739" i="25"/>
  <c r="X2742" i="25" l="1"/>
  <c r="W2740" i="25"/>
  <c r="X2743" i="25" l="1"/>
  <c r="W2741" i="25"/>
  <c r="X2744" i="25" l="1"/>
  <c r="W2742" i="25"/>
  <c r="X2745" i="25" l="1"/>
  <c r="W2743" i="25"/>
  <c r="X2746" i="25" l="1"/>
  <c r="W2744" i="25"/>
  <c r="X2747" i="25" l="1"/>
  <c r="W2745" i="25"/>
  <c r="X2748" i="25" l="1"/>
  <c r="W2746" i="25"/>
  <c r="X2749" i="25" l="1"/>
  <c r="W2747" i="25"/>
  <c r="X2750" i="25" l="1"/>
  <c r="W2748" i="25"/>
  <c r="X2751" i="25" l="1"/>
  <c r="W2749" i="25"/>
  <c r="X2752" i="25" l="1"/>
  <c r="W2750" i="25"/>
  <c r="X2753" i="25" l="1"/>
  <c r="W2751" i="25"/>
  <c r="X2754" i="25" l="1"/>
  <c r="W2752" i="25"/>
  <c r="X2755" i="25" l="1"/>
  <c r="W2753" i="25"/>
  <c r="X2756" i="25" l="1"/>
  <c r="W2754" i="25"/>
  <c r="X2757" i="25" l="1"/>
  <c r="W2755" i="25"/>
  <c r="X2758" i="25" l="1"/>
  <c r="W2756" i="25"/>
  <c r="X2759" i="25" l="1"/>
  <c r="W2757" i="25"/>
  <c r="X2760" i="25" l="1"/>
  <c r="W2758" i="25"/>
  <c r="X2761" i="25" l="1"/>
  <c r="W2759" i="25"/>
  <c r="X2762" i="25" l="1"/>
  <c r="W2760" i="25"/>
  <c r="X2763" i="25" l="1"/>
  <c r="W2761" i="25"/>
  <c r="X2764" i="25" l="1"/>
  <c r="W2762" i="25"/>
  <c r="X2765" i="25" l="1"/>
  <c r="W2763" i="25"/>
  <c r="X2766" i="25" l="1"/>
  <c r="W2764" i="25"/>
  <c r="X2767" i="25" l="1"/>
  <c r="W2765" i="25"/>
  <c r="X2768" i="25" l="1"/>
  <c r="W2766" i="25"/>
  <c r="X2769" i="25" l="1"/>
  <c r="W2767" i="25"/>
  <c r="X2770" i="25" l="1"/>
  <c r="W2768" i="25"/>
  <c r="X2771" i="25" l="1"/>
  <c r="W2769" i="25"/>
  <c r="X2772" i="25" l="1"/>
  <c r="W2770" i="25"/>
  <c r="X2773" i="25" l="1"/>
  <c r="W2771" i="25"/>
  <c r="X2774" i="25" l="1"/>
  <c r="W2772" i="25"/>
  <c r="X2775" i="25" l="1"/>
  <c r="W2773" i="25"/>
  <c r="X2776" i="25" l="1"/>
  <c r="W2774" i="25"/>
  <c r="X2777" i="25" l="1"/>
  <c r="W2775" i="25"/>
  <c r="X2778" i="25" l="1"/>
  <c r="W2776" i="25"/>
  <c r="X2779" i="25" l="1"/>
  <c r="W2777" i="25"/>
  <c r="X2780" i="25" l="1"/>
  <c r="W2778" i="25"/>
  <c r="X2781" i="25" l="1"/>
  <c r="W2779" i="25"/>
  <c r="X2782" i="25" l="1"/>
  <c r="W2780" i="25"/>
  <c r="X2783" i="25" l="1"/>
  <c r="W2781" i="25"/>
  <c r="X2784" i="25" l="1"/>
  <c r="W2782" i="25"/>
  <c r="X2785" i="25" l="1"/>
  <c r="W2783" i="25"/>
  <c r="X2786" i="25" l="1"/>
  <c r="W2784" i="25"/>
  <c r="X2787" i="25" l="1"/>
  <c r="W2785" i="25"/>
  <c r="X2788" i="25" l="1"/>
  <c r="W2786" i="25"/>
  <c r="X2789" i="25" l="1"/>
  <c r="W2787" i="25"/>
  <c r="X2790" i="25" l="1"/>
  <c r="W2788" i="25"/>
  <c r="X2791" i="25" l="1"/>
  <c r="W2789" i="25"/>
  <c r="X2792" i="25" l="1"/>
  <c r="W2790" i="25"/>
  <c r="X2793" i="25" l="1"/>
  <c r="W2791" i="25"/>
  <c r="X2794" i="25" l="1"/>
  <c r="W2792" i="25"/>
  <c r="X2795" i="25" l="1"/>
  <c r="W2793" i="25"/>
  <c r="X2796" i="25" l="1"/>
  <c r="W2794" i="25"/>
  <c r="X2797" i="25" l="1"/>
  <c r="W2795" i="25"/>
  <c r="X2798" i="25" l="1"/>
  <c r="W2796" i="25"/>
  <c r="X2799" i="25" l="1"/>
  <c r="W2797" i="25"/>
  <c r="X2800" i="25" l="1"/>
  <c r="W2798" i="25"/>
  <c r="X2801" i="25" l="1"/>
  <c r="W2799" i="25"/>
  <c r="X2802" i="25" l="1"/>
  <c r="W2800" i="25"/>
  <c r="X2803" i="25" l="1"/>
  <c r="W2801" i="25"/>
  <c r="X2804" i="25" l="1"/>
  <c r="W2802" i="25"/>
  <c r="X2805" i="25" l="1"/>
  <c r="W2803" i="25"/>
  <c r="X2806" i="25" l="1"/>
  <c r="W2804" i="25"/>
  <c r="X2807" i="25" l="1"/>
  <c r="W2805" i="25"/>
  <c r="X2808" i="25" l="1"/>
  <c r="W2806" i="25"/>
  <c r="X2809" i="25" l="1"/>
  <c r="W2807" i="25"/>
  <c r="X2810" i="25" l="1"/>
  <c r="W2808" i="25"/>
  <c r="X2811" i="25" l="1"/>
  <c r="W2809" i="25"/>
  <c r="X2812" i="25" l="1"/>
  <c r="W2810" i="25"/>
  <c r="X2813" i="25" l="1"/>
  <c r="W2811" i="25"/>
  <c r="X2814" i="25" l="1"/>
  <c r="W2812" i="25"/>
  <c r="X2815" i="25" l="1"/>
  <c r="W2813" i="25"/>
  <c r="X2816" i="25" l="1"/>
  <c r="W2814" i="25"/>
  <c r="X2817" i="25" l="1"/>
  <c r="W2815" i="25"/>
  <c r="X2818" i="25" l="1"/>
  <c r="W2816" i="25"/>
  <c r="X2819" i="25" l="1"/>
  <c r="W2817" i="25"/>
  <c r="X2820" i="25" l="1"/>
  <c r="W2818" i="25"/>
  <c r="X2821" i="25" l="1"/>
  <c r="W2819" i="25"/>
  <c r="X2822" i="25" l="1"/>
  <c r="W2820" i="25"/>
  <c r="X2823" i="25" l="1"/>
  <c r="W2821" i="25"/>
  <c r="X2824" i="25" l="1"/>
  <c r="W2822" i="25"/>
  <c r="X2825" i="25" l="1"/>
  <c r="W2823" i="25"/>
  <c r="X2826" i="25" l="1"/>
  <c r="W2824" i="25"/>
  <c r="X2827" i="25" l="1"/>
  <c r="W2825" i="25"/>
  <c r="X2828" i="25" l="1"/>
  <c r="W2826" i="25"/>
  <c r="X2829" i="25" l="1"/>
  <c r="W2827" i="25"/>
  <c r="X2830" i="25" l="1"/>
  <c r="W2828" i="25"/>
  <c r="X2831" i="25" l="1"/>
  <c r="W2829" i="25"/>
  <c r="X2832" i="25" l="1"/>
  <c r="W2830" i="25"/>
  <c r="X2833" i="25" l="1"/>
  <c r="W2831" i="25"/>
  <c r="X2834" i="25" l="1"/>
  <c r="W2832" i="25"/>
  <c r="X2835" i="25" l="1"/>
  <c r="W2833" i="25"/>
  <c r="X2836" i="25" l="1"/>
  <c r="W2834" i="25"/>
  <c r="X2837" i="25" l="1"/>
  <c r="W2835" i="25"/>
  <c r="X2838" i="25" l="1"/>
  <c r="W2836" i="25"/>
  <c r="X2839" i="25" l="1"/>
  <c r="W2837" i="25"/>
  <c r="X2840" i="25" l="1"/>
  <c r="W2838" i="25"/>
  <c r="X2841" i="25" l="1"/>
  <c r="W2839" i="25"/>
  <c r="X2842" i="25" l="1"/>
  <c r="W2840" i="25"/>
  <c r="X2843" i="25" l="1"/>
  <c r="W2841" i="25"/>
  <c r="X2844" i="25" l="1"/>
  <c r="W2842" i="25"/>
  <c r="X2845" i="25" l="1"/>
  <c r="W2843" i="25"/>
  <c r="X2846" i="25" l="1"/>
  <c r="W2844" i="25"/>
  <c r="X2847" i="25" l="1"/>
  <c r="W2845" i="25"/>
  <c r="X2848" i="25" l="1"/>
  <c r="W2846" i="25"/>
  <c r="X2849" i="25" l="1"/>
  <c r="W2847" i="25"/>
  <c r="X2850" i="25" l="1"/>
  <c r="W2848" i="25"/>
  <c r="X2851" i="25" l="1"/>
  <c r="W2849" i="25"/>
  <c r="X2852" i="25" l="1"/>
  <c r="W2850" i="25"/>
  <c r="X2853" i="25" l="1"/>
  <c r="W2851" i="25"/>
  <c r="X2854" i="25" l="1"/>
  <c r="W2852" i="25"/>
  <c r="X2855" i="25" l="1"/>
  <c r="W2853" i="25"/>
  <c r="X2856" i="25" l="1"/>
  <c r="W2854" i="25"/>
  <c r="X2857" i="25" l="1"/>
  <c r="W2855" i="25"/>
  <c r="X2858" i="25" l="1"/>
  <c r="W2856" i="25"/>
  <c r="X2859" i="25" l="1"/>
  <c r="W2857" i="25"/>
  <c r="X2860" i="25" l="1"/>
  <c r="W2858" i="25"/>
  <c r="X2861" i="25" l="1"/>
  <c r="W2859" i="25"/>
  <c r="X2862" i="25" l="1"/>
  <c r="W2860" i="25"/>
  <c r="X2863" i="25" l="1"/>
  <c r="W2861" i="25"/>
  <c r="X2864" i="25" l="1"/>
  <c r="W2862" i="25"/>
  <c r="X2865" i="25" l="1"/>
  <c r="W2863" i="25"/>
  <c r="X2866" i="25" l="1"/>
  <c r="W2864" i="25"/>
  <c r="X2867" i="25" l="1"/>
  <c r="W2865" i="25"/>
  <c r="X2868" i="25" l="1"/>
  <c r="W2866" i="25"/>
  <c r="X2869" i="25" l="1"/>
  <c r="W2867" i="25"/>
  <c r="X2870" i="25" l="1"/>
  <c r="W2868" i="25"/>
  <c r="X2871" i="25" l="1"/>
  <c r="W2869" i="25"/>
  <c r="X2872" i="25" l="1"/>
  <c r="W2870" i="25"/>
  <c r="X2873" i="25" l="1"/>
  <c r="W2871" i="25"/>
  <c r="X2874" i="25" l="1"/>
  <c r="W2872" i="25"/>
  <c r="X2875" i="25" l="1"/>
  <c r="W2873" i="25"/>
  <c r="X2876" i="25" l="1"/>
  <c r="W2874" i="25"/>
  <c r="X2877" i="25" l="1"/>
  <c r="W2875" i="25"/>
  <c r="X2878" i="25" l="1"/>
  <c r="W2876" i="25"/>
  <c r="X2879" i="25" l="1"/>
  <c r="W2877" i="25"/>
  <c r="X2880" i="25" l="1"/>
  <c r="W2878" i="25"/>
  <c r="X2881" i="25" l="1"/>
  <c r="W2879" i="25"/>
  <c r="X2882" i="25" l="1"/>
  <c r="W2880" i="25"/>
  <c r="X2883" i="25" l="1"/>
  <c r="W2881" i="25"/>
  <c r="X2884" i="25" l="1"/>
  <c r="W2882" i="25"/>
  <c r="X2885" i="25" l="1"/>
  <c r="W2883" i="25"/>
  <c r="X2886" i="25" l="1"/>
  <c r="W2884" i="25"/>
  <c r="X2887" i="25" l="1"/>
  <c r="W2885" i="25"/>
  <c r="X2888" i="25" l="1"/>
  <c r="W2886" i="25"/>
  <c r="X2889" i="25" l="1"/>
  <c r="W2887" i="25"/>
  <c r="X2890" i="25" l="1"/>
  <c r="W2888" i="25"/>
  <c r="X2891" i="25" l="1"/>
  <c r="W2889" i="25"/>
  <c r="X2892" i="25" l="1"/>
  <c r="W2890" i="25"/>
  <c r="X2893" i="25" l="1"/>
  <c r="W2891" i="25"/>
  <c r="X2894" i="25" l="1"/>
  <c r="W2892" i="25"/>
  <c r="X2895" i="25" l="1"/>
  <c r="W2893" i="25"/>
  <c r="X2896" i="25" l="1"/>
  <c r="W2894" i="25"/>
  <c r="X2897" i="25" l="1"/>
  <c r="W2895" i="25"/>
  <c r="X2898" i="25" l="1"/>
  <c r="W2896" i="25"/>
  <c r="X2899" i="25" l="1"/>
  <c r="W2897" i="25"/>
  <c r="X2900" i="25" l="1"/>
  <c r="W2898" i="25"/>
  <c r="X2901" i="25" l="1"/>
  <c r="W2899" i="25"/>
  <c r="X2902" i="25" l="1"/>
  <c r="W2900" i="25"/>
  <c r="X2903" i="25" l="1"/>
  <c r="W2901" i="25"/>
  <c r="X2904" i="25" l="1"/>
  <c r="W2902" i="25"/>
  <c r="X2905" i="25" l="1"/>
  <c r="W2903" i="25"/>
  <c r="X2906" i="25" l="1"/>
  <c r="W2904" i="25"/>
  <c r="X2907" i="25" l="1"/>
  <c r="W2905" i="25"/>
  <c r="X2908" i="25" l="1"/>
  <c r="W2906" i="25"/>
  <c r="X2909" i="25" l="1"/>
  <c r="W2907" i="25"/>
  <c r="X2910" i="25" l="1"/>
  <c r="W2908" i="25"/>
  <c r="X2911" i="25" l="1"/>
  <c r="W2909" i="25"/>
  <c r="X2912" i="25" l="1"/>
  <c r="W2910" i="25"/>
  <c r="X2913" i="25" l="1"/>
  <c r="W2911" i="25"/>
  <c r="X2914" i="25" l="1"/>
  <c r="W2912" i="25"/>
  <c r="X2915" i="25" l="1"/>
  <c r="W2913" i="25"/>
  <c r="X2916" i="25" l="1"/>
  <c r="W2914" i="25"/>
  <c r="X2917" i="25" l="1"/>
  <c r="W2915" i="25"/>
  <c r="X2918" i="25" l="1"/>
  <c r="W2916" i="25"/>
  <c r="X2919" i="25" l="1"/>
  <c r="W2917" i="25"/>
  <c r="X2920" i="25" l="1"/>
  <c r="W2918" i="25"/>
  <c r="X2921" i="25" l="1"/>
  <c r="W2919" i="25"/>
  <c r="X2922" i="25" l="1"/>
  <c r="W2920" i="25"/>
  <c r="X2923" i="25" l="1"/>
  <c r="W2921" i="25"/>
  <c r="X2924" i="25" l="1"/>
  <c r="W2922" i="25"/>
  <c r="X2925" i="25" l="1"/>
  <c r="W2923" i="25"/>
  <c r="X2926" i="25" l="1"/>
  <c r="W2924" i="25"/>
  <c r="X2927" i="25" l="1"/>
  <c r="W2925" i="25"/>
  <c r="X2928" i="25" l="1"/>
  <c r="W2926" i="25"/>
  <c r="X2929" i="25" l="1"/>
  <c r="W2927" i="25"/>
  <c r="X2930" i="25" l="1"/>
  <c r="W2928" i="25"/>
  <c r="X2931" i="25" l="1"/>
  <c r="W2929" i="25"/>
  <c r="X2932" i="25" l="1"/>
  <c r="W2930" i="25"/>
  <c r="X2933" i="25" l="1"/>
  <c r="W2931" i="25"/>
  <c r="X2934" i="25" l="1"/>
  <c r="W2932" i="25"/>
  <c r="X2935" i="25" l="1"/>
  <c r="W2933" i="25"/>
  <c r="X2936" i="25" l="1"/>
  <c r="W2934" i="25"/>
  <c r="X2937" i="25" l="1"/>
  <c r="W2935" i="25"/>
  <c r="X2938" i="25" l="1"/>
  <c r="W2936" i="25"/>
  <c r="X2939" i="25" l="1"/>
  <c r="W2937" i="25"/>
  <c r="X2940" i="25" l="1"/>
  <c r="W2938" i="25"/>
  <c r="X2941" i="25" l="1"/>
  <c r="W2939" i="25"/>
  <c r="X2942" i="25" l="1"/>
  <c r="W2940" i="25"/>
  <c r="X2943" i="25" l="1"/>
  <c r="W2941" i="25"/>
  <c r="X2944" i="25" l="1"/>
  <c r="W2942" i="25"/>
  <c r="X2945" i="25" l="1"/>
  <c r="W2943" i="25"/>
  <c r="X2946" i="25" l="1"/>
  <c r="W2944" i="25"/>
  <c r="X2947" i="25" l="1"/>
  <c r="W2945" i="25"/>
  <c r="X2948" i="25" l="1"/>
  <c r="W2946" i="25"/>
  <c r="X2949" i="25" l="1"/>
  <c r="W2947" i="25"/>
  <c r="X2950" i="25" l="1"/>
  <c r="W2948" i="25"/>
  <c r="X2951" i="25" l="1"/>
  <c r="W2949" i="25"/>
  <c r="X2952" i="25" l="1"/>
  <c r="W2950" i="25"/>
  <c r="X2953" i="25" l="1"/>
  <c r="W2951" i="25"/>
  <c r="X2954" i="25" l="1"/>
  <c r="W2952" i="25"/>
  <c r="X2955" i="25" l="1"/>
  <c r="W2953" i="25"/>
  <c r="X2956" i="25" l="1"/>
  <c r="W2954" i="25"/>
  <c r="X2957" i="25" l="1"/>
  <c r="W2955" i="25"/>
  <c r="X2958" i="25" l="1"/>
  <c r="W2956" i="25"/>
  <c r="X2959" i="25" l="1"/>
  <c r="W2957" i="25"/>
  <c r="X2960" i="25" l="1"/>
  <c r="W2958" i="25"/>
  <c r="X2961" i="25" l="1"/>
  <c r="W2959" i="25"/>
  <c r="X2962" i="25" l="1"/>
  <c r="W2960" i="25"/>
  <c r="X2963" i="25" l="1"/>
  <c r="W2961" i="25"/>
  <c r="X2964" i="25" l="1"/>
  <c r="W2962" i="25"/>
  <c r="X2965" i="25" l="1"/>
  <c r="W2963" i="25"/>
  <c r="X2966" i="25" l="1"/>
  <c r="W2964" i="25"/>
  <c r="X2967" i="25" l="1"/>
  <c r="W2965" i="25"/>
  <c r="X2968" i="25" l="1"/>
  <c r="W2966" i="25"/>
  <c r="X2969" i="25" l="1"/>
  <c r="W2967" i="25"/>
  <c r="X2970" i="25" l="1"/>
  <c r="W2968" i="25"/>
  <c r="X2971" i="25" l="1"/>
  <c r="W2969" i="25"/>
  <c r="X2972" i="25" l="1"/>
  <c r="W2970" i="25"/>
  <c r="X2973" i="25" l="1"/>
  <c r="W2971" i="25"/>
  <c r="X2974" i="25" l="1"/>
  <c r="W2972" i="25"/>
  <c r="X2975" i="25" l="1"/>
  <c r="W2973" i="25"/>
  <c r="X2976" i="25" l="1"/>
  <c r="W2974" i="25"/>
  <c r="X2977" i="25" l="1"/>
  <c r="W2975" i="25"/>
  <c r="X2978" i="25" l="1"/>
  <c r="W2976" i="25"/>
  <c r="X2979" i="25" l="1"/>
  <c r="W2977" i="25"/>
  <c r="X2980" i="25" l="1"/>
  <c r="W2978" i="25"/>
  <c r="X2981" i="25" l="1"/>
  <c r="W2979" i="25"/>
  <c r="X2982" i="25" l="1"/>
  <c r="W2980" i="25"/>
  <c r="X2983" i="25" l="1"/>
  <c r="W2981" i="25"/>
  <c r="X2984" i="25" l="1"/>
  <c r="W2982" i="25"/>
  <c r="X2985" i="25" l="1"/>
  <c r="W2983" i="25"/>
  <c r="X2986" i="25" l="1"/>
  <c r="W2984" i="25"/>
  <c r="X2987" i="25" l="1"/>
  <c r="W2985" i="25"/>
  <c r="X2988" i="25" l="1"/>
  <c r="W2986" i="25"/>
  <c r="X2989" i="25" l="1"/>
  <c r="W2987" i="25"/>
  <c r="X2990" i="25" l="1"/>
  <c r="W2988" i="25"/>
  <c r="X2991" i="25" l="1"/>
  <c r="W2989" i="25"/>
  <c r="X2992" i="25" l="1"/>
  <c r="W2990" i="25"/>
  <c r="X2993" i="25" l="1"/>
  <c r="W2991" i="25"/>
  <c r="X2994" i="25" l="1"/>
  <c r="W2992" i="25"/>
  <c r="X2995" i="25" l="1"/>
  <c r="W2993" i="25"/>
  <c r="X2996" i="25" l="1"/>
  <c r="W2994" i="25"/>
  <c r="X2997" i="25" l="1"/>
  <c r="W2995" i="25"/>
  <c r="X2998" i="25" l="1"/>
  <c r="W2996" i="25"/>
  <c r="X2999" i="25" l="1"/>
  <c r="W2997" i="25"/>
  <c r="X3000" i="25" l="1"/>
  <c r="W2998" i="25"/>
  <c r="X3001" i="25" l="1"/>
  <c r="W2999" i="25"/>
  <c r="X3002" i="25" l="1"/>
  <c r="W3000" i="25"/>
  <c r="X3003" i="25" l="1"/>
  <c r="W3001" i="25"/>
  <c r="X3004" i="25" l="1"/>
  <c r="W3002" i="25"/>
  <c r="X3005" i="25" l="1"/>
  <c r="W3003" i="25"/>
  <c r="X3006" i="25" l="1"/>
  <c r="W3004" i="25"/>
  <c r="X3007" i="25" l="1"/>
  <c r="W3005" i="25"/>
  <c r="X3008" i="25" l="1"/>
  <c r="W3006" i="25"/>
  <c r="X3009" i="25" l="1"/>
  <c r="W3007" i="25"/>
  <c r="X3010" i="25" l="1"/>
  <c r="W3008" i="25"/>
  <c r="X3011" i="25" l="1"/>
  <c r="W3009" i="25"/>
  <c r="X3012" i="25" l="1"/>
  <c r="W3010" i="25"/>
  <c r="X3013" i="25" l="1"/>
  <c r="W3011" i="25"/>
  <c r="X3014" i="25" l="1"/>
  <c r="W3012" i="25"/>
  <c r="X3015" i="25" l="1"/>
  <c r="W3013" i="25"/>
  <c r="X3016" i="25" l="1"/>
  <c r="W3014" i="25"/>
  <c r="X3017" i="25" l="1"/>
  <c r="W3015" i="25"/>
  <c r="X3018" i="25" l="1"/>
  <c r="W3016" i="25"/>
  <c r="X3019" i="25" l="1"/>
  <c r="W3017" i="25"/>
  <c r="X3020" i="25" l="1"/>
  <c r="W3018" i="25"/>
  <c r="X3021" i="25" l="1"/>
  <c r="W3019" i="25"/>
  <c r="X3022" i="25" l="1"/>
  <c r="W3020" i="25"/>
  <c r="X3023" i="25" l="1"/>
  <c r="W3021" i="25"/>
  <c r="X3024" i="25" l="1"/>
  <c r="W3022" i="25"/>
  <c r="X3025" i="25" l="1"/>
  <c r="W3023" i="25"/>
  <c r="X3026" i="25" l="1"/>
  <c r="W3024" i="25"/>
  <c r="X3027" i="25" l="1"/>
  <c r="W3025" i="25"/>
  <c r="X3028" i="25" l="1"/>
  <c r="W3026" i="25"/>
  <c r="X3029" i="25" l="1"/>
  <c r="W3027" i="25"/>
  <c r="X3030" i="25" l="1"/>
  <c r="W3028" i="25"/>
  <c r="X3031" i="25" l="1"/>
  <c r="W3029" i="25"/>
  <c r="X3032" i="25" l="1"/>
  <c r="W3030" i="25"/>
  <c r="X3033" i="25" l="1"/>
  <c r="W3031" i="25"/>
  <c r="X3034" i="25" l="1"/>
  <c r="W3032" i="25"/>
  <c r="X3035" i="25" l="1"/>
  <c r="W3033" i="25"/>
  <c r="X3036" i="25" l="1"/>
  <c r="W3034" i="25"/>
  <c r="X3037" i="25" l="1"/>
  <c r="W3035" i="25"/>
  <c r="X3038" i="25" l="1"/>
  <c r="W3036" i="25"/>
  <c r="X3039" i="25" l="1"/>
  <c r="W3037" i="25"/>
  <c r="X3040" i="25" l="1"/>
  <c r="W3038" i="25"/>
  <c r="X3041" i="25" l="1"/>
  <c r="W3039" i="25"/>
  <c r="X3042" i="25" l="1"/>
  <c r="W3040" i="25"/>
  <c r="X3043" i="25" l="1"/>
  <c r="W3041" i="25"/>
  <c r="X3044" i="25" l="1"/>
  <c r="W3042" i="25"/>
  <c r="X3045" i="25" l="1"/>
  <c r="W3043" i="25"/>
  <c r="X3046" i="25" l="1"/>
  <c r="W3044" i="25"/>
  <c r="X3047" i="25" l="1"/>
  <c r="W3045" i="25"/>
  <c r="X3048" i="25" l="1"/>
  <c r="W3046" i="25"/>
  <c r="X3049" i="25" l="1"/>
  <c r="W3047" i="25"/>
  <c r="X3050" i="25" l="1"/>
  <c r="W3048" i="25"/>
  <c r="X3051" i="25" l="1"/>
  <c r="W3049" i="25"/>
  <c r="X3052" i="25" l="1"/>
  <c r="W3050" i="25"/>
  <c r="X3053" i="25" l="1"/>
  <c r="W3051" i="25"/>
  <c r="X3054" i="25" l="1"/>
  <c r="W3052" i="25"/>
  <c r="X3055" i="25" l="1"/>
  <c r="W3053" i="25"/>
  <c r="X3056" i="25" l="1"/>
  <c r="W3054" i="25"/>
  <c r="X3057" i="25" l="1"/>
  <c r="W3055" i="25"/>
  <c r="X3058" i="25" l="1"/>
  <c r="W3056" i="25"/>
  <c r="X3059" i="25" l="1"/>
  <c r="W3057" i="25"/>
  <c r="X3060" i="25" l="1"/>
  <c r="W3058" i="25"/>
  <c r="X3061" i="25" l="1"/>
  <c r="W3059" i="25"/>
  <c r="X3062" i="25" l="1"/>
  <c r="W3060" i="25"/>
  <c r="X3063" i="25" l="1"/>
  <c r="W3061" i="25"/>
  <c r="X3064" i="25" l="1"/>
  <c r="W3062" i="25"/>
  <c r="X3065" i="25" l="1"/>
  <c r="W3063" i="25"/>
  <c r="X3066" i="25" l="1"/>
  <c r="W3064" i="25"/>
  <c r="X3067" i="25" l="1"/>
  <c r="W3065" i="25"/>
  <c r="X3068" i="25" l="1"/>
  <c r="W3066" i="25"/>
  <c r="X3069" i="25" l="1"/>
  <c r="W3067" i="25"/>
  <c r="X3070" i="25" l="1"/>
  <c r="W3068" i="25"/>
  <c r="X3071" i="25" l="1"/>
  <c r="W3069" i="25"/>
  <c r="X3072" i="25" l="1"/>
  <c r="W3070" i="25"/>
  <c r="X3073" i="25" l="1"/>
  <c r="W3071" i="25"/>
  <c r="X3074" i="25" l="1"/>
  <c r="W3072" i="25"/>
  <c r="X3075" i="25" l="1"/>
  <c r="W3073" i="25"/>
  <c r="X3076" i="25" l="1"/>
  <c r="W3074" i="25"/>
  <c r="X3077" i="25" l="1"/>
  <c r="W3075" i="25"/>
  <c r="X3078" i="25" l="1"/>
  <c r="W3076" i="25"/>
  <c r="X3079" i="25" l="1"/>
  <c r="W3077" i="25"/>
  <c r="X3080" i="25" l="1"/>
  <c r="W3078" i="25"/>
  <c r="X3081" i="25" l="1"/>
  <c r="W3079" i="25"/>
  <c r="X3082" i="25" l="1"/>
  <c r="W3080" i="25"/>
  <c r="X3083" i="25" l="1"/>
  <c r="W3081" i="25"/>
  <c r="X3084" i="25" l="1"/>
  <c r="W3082" i="25"/>
  <c r="X3085" i="25" l="1"/>
  <c r="W3083" i="25"/>
  <c r="X3086" i="25" l="1"/>
  <c r="W3084" i="25"/>
  <c r="X3087" i="25" l="1"/>
  <c r="W3085" i="25"/>
  <c r="X3088" i="25" l="1"/>
  <c r="W3086" i="25"/>
  <c r="X3089" i="25" l="1"/>
  <c r="W3087" i="25"/>
  <c r="X3090" i="25" l="1"/>
  <c r="W3088" i="25"/>
  <c r="X3091" i="25" l="1"/>
  <c r="W3089" i="25"/>
  <c r="X3092" i="25" l="1"/>
  <c r="W3090" i="25"/>
  <c r="X3093" i="25" l="1"/>
  <c r="W3091" i="25"/>
  <c r="X3094" i="25" l="1"/>
  <c r="W3092" i="25"/>
  <c r="X3095" i="25" l="1"/>
  <c r="W3093" i="25"/>
  <c r="X3096" i="25" l="1"/>
  <c r="W3094" i="25"/>
  <c r="X3097" i="25" l="1"/>
  <c r="W3095" i="25"/>
  <c r="X3098" i="25" l="1"/>
  <c r="W3096" i="25"/>
  <c r="X3099" i="25" l="1"/>
  <c r="W3097" i="25"/>
  <c r="X3100" i="25" l="1"/>
  <c r="W3098" i="25"/>
  <c r="X3101" i="25" l="1"/>
  <c r="W3099" i="25"/>
  <c r="X3102" i="25" l="1"/>
  <c r="W3100" i="25"/>
  <c r="X3103" i="25" l="1"/>
  <c r="W3101" i="25"/>
  <c r="X3104" i="25" l="1"/>
  <c r="W3102" i="25"/>
  <c r="X3105" i="25" l="1"/>
  <c r="W3103" i="25"/>
  <c r="X3106" i="25" l="1"/>
  <c r="W3104" i="25"/>
  <c r="X3107" i="25" l="1"/>
  <c r="W3105" i="25"/>
  <c r="X3108" i="25" l="1"/>
  <c r="W3106" i="25"/>
  <c r="X3109" i="25" l="1"/>
  <c r="W3107" i="25"/>
  <c r="X3110" i="25" l="1"/>
  <c r="W3108" i="25"/>
  <c r="X3111" i="25" l="1"/>
  <c r="W3109" i="25"/>
  <c r="X3112" i="25" l="1"/>
  <c r="W3110" i="25"/>
  <c r="X3113" i="25" l="1"/>
  <c r="W3111" i="25"/>
  <c r="X3114" i="25" l="1"/>
  <c r="W3112" i="25"/>
  <c r="X3115" i="25" l="1"/>
  <c r="W3113" i="25"/>
  <c r="X3116" i="25" l="1"/>
  <c r="W3114" i="25"/>
  <c r="X3117" i="25" l="1"/>
  <c r="W3115" i="25"/>
  <c r="X3118" i="25" l="1"/>
  <c r="W3116" i="25"/>
  <c r="X3119" i="25" l="1"/>
  <c r="W3117" i="25"/>
  <c r="X3120" i="25" l="1"/>
  <c r="W3118" i="25"/>
  <c r="X3121" i="25" l="1"/>
  <c r="W3119" i="25"/>
  <c r="X3122" i="25" l="1"/>
  <c r="W3120" i="25"/>
  <c r="X3123" i="25" l="1"/>
  <c r="W3121" i="25"/>
  <c r="X3124" i="25" l="1"/>
  <c r="W3122" i="25"/>
  <c r="X3125" i="25" l="1"/>
  <c r="W3123" i="25"/>
  <c r="X3126" i="25" l="1"/>
  <c r="W3124" i="25"/>
  <c r="X3127" i="25" l="1"/>
  <c r="W3125" i="25"/>
  <c r="X3128" i="25" l="1"/>
  <c r="W3126" i="25"/>
  <c r="X3129" i="25" l="1"/>
  <c r="W3127" i="25"/>
  <c r="X3130" i="25" l="1"/>
  <c r="W3128" i="25"/>
  <c r="X3131" i="25" l="1"/>
  <c r="W3129" i="25"/>
  <c r="X3132" i="25" l="1"/>
  <c r="W3130" i="25"/>
  <c r="X3133" i="25" l="1"/>
  <c r="W3131" i="25"/>
  <c r="X3134" i="25" l="1"/>
  <c r="W3132" i="25"/>
  <c r="X3135" i="25" l="1"/>
  <c r="W3133" i="25"/>
  <c r="X3136" i="25" l="1"/>
  <c r="W3134" i="25"/>
  <c r="X3137" i="25" l="1"/>
  <c r="W3135" i="25"/>
  <c r="X3138" i="25" l="1"/>
  <c r="W3136" i="25"/>
  <c r="X3139" i="25" l="1"/>
  <c r="W3137" i="25"/>
  <c r="X3140" i="25" l="1"/>
  <c r="W3138" i="25"/>
  <c r="X3141" i="25" l="1"/>
  <c r="W3139" i="25"/>
  <c r="X3142" i="25" l="1"/>
  <c r="W3140" i="25"/>
  <c r="X3143" i="25" l="1"/>
  <c r="W3141" i="25"/>
  <c r="X3144" i="25" l="1"/>
  <c r="W3142" i="25"/>
  <c r="X3145" i="25" l="1"/>
  <c r="W3143" i="25"/>
  <c r="X3146" i="25" l="1"/>
  <c r="W3144" i="25"/>
  <c r="X3147" i="25" l="1"/>
  <c r="W3145" i="25"/>
  <c r="X3148" i="25" l="1"/>
  <c r="W3146" i="25"/>
  <c r="X3149" i="25" l="1"/>
  <c r="W3147" i="25"/>
  <c r="X3150" i="25" l="1"/>
  <c r="W3148" i="25"/>
  <c r="X3151" i="25" l="1"/>
  <c r="W3149" i="25"/>
  <c r="X3152" i="25" l="1"/>
  <c r="W3150" i="25"/>
  <c r="X3153" i="25" l="1"/>
  <c r="W3151" i="25"/>
  <c r="X3154" i="25" l="1"/>
  <c r="W3152" i="25"/>
  <c r="X3155" i="25" l="1"/>
  <c r="W3153" i="25"/>
  <c r="X3156" i="25" l="1"/>
  <c r="W3154" i="25"/>
  <c r="X3157" i="25" l="1"/>
  <c r="W3155" i="25"/>
  <c r="X3158" i="25" l="1"/>
  <c r="W3156" i="25"/>
  <c r="X3159" i="25" l="1"/>
  <c r="W3157" i="25"/>
  <c r="X3160" i="25" l="1"/>
  <c r="W3158" i="25"/>
  <c r="X3161" i="25" l="1"/>
  <c r="W3159" i="25"/>
  <c r="X3162" i="25" l="1"/>
  <c r="W3160" i="25"/>
  <c r="X3163" i="25" l="1"/>
  <c r="W3161" i="25"/>
  <c r="X3164" i="25" l="1"/>
  <c r="W3162" i="25"/>
  <c r="X3165" i="25" l="1"/>
  <c r="W3163" i="25"/>
  <c r="X3166" i="25" l="1"/>
  <c r="W3164" i="25"/>
  <c r="X3167" i="25" l="1"/>
  <c r="W3165" i="25"/>
  <c r="X3168" i="25" l="1"/>
  <c r="W3166" i="25"/>
  <c r="X3169" i="25" l="1"/>
  <c r="W3167" i="25"/>
  <c r="X3170" i="25" l="1"/>
  <c r="W3168" i="25"/>
  <c r="X3171" i="25" l="1"/>
  <c r="W3169" i="25"/>
  <c r="X3172" i="25" l="1"/>
  <c r="W3170" i="25"/>
  <c r="X3173" i="25" l="1"/>
  <c r="W3171" i="25"/>
  <c r="X3174" i="25" l="1"/>
  <c r="W3172" i="25"/>
  <c r="X3175" i="25" l="1"/>
  <c r="W3173" i="25"/>
  <c r="X3176" i="25" l="1"/>
  <c r="W3174" i="25"/>
  <c r="X3177" i="25" l="1"/>
  <c r="W3175" i="25"/>
  <c r="X3178" i="25" l="1"/>
  <c r="W3176" i="25"/>
  <c r="X3179" i="25" l="1"/>
  <c r="W3177" i="25"/>
  <c r="X3180" i="25" l="1"/>
  <c r="W3178" i="25"/>
  <c r="X3181" i="25" l="1"/>
  <c r="W3179" i="25"/>
  <c r="X3182" i="25" l="1"/>
  <c r="W3180" i="25"/>
  <c r="X3183" i="25" l="1"/>
  <c r="W3181" i="25"/>
  <c r="X3184" i="25" l="1"/>
  <c r="W3182" i="25"/>
  <c r="X3185" i="25" l="1"/>
  <c r="W3183" i="25"/>
  <c r="X3186" i="25" l="1"/>
  <c r="W3184" i="25"/>
  <c r="X3187" i="25" l="1"/>
  <c r="W3185" i="25"/>
  <c r="X3188" i="25" l="1"/>
  <c r="W3186" i="25"/>
  <c r="X3189" i="25" l="1"/>
  <c r="W3187" i="25"/>
  <c r="X3190" i="25" l="1"/>
  <c r="W3188" i="25"/>
  <c r="X3191" i="25" l="1"/>
  <c r="W3189" i="25"/>
  <c r="X3192" i="25" l="1"/>
  <c r="W3190" i="25"/>
  <c r="X3193" i="25" l="1"/>
  <c r="W3191" i="25"/>
  <c r="X3194" i="25" l="1"/>
  <c r="W3192" i="25"/>
  <c r="X3195" i="25" l="1"/>
  <c r="W3193" i="25"/>
  <c r="X3196" i="25" l="1"/>
  <c r="W3194" i="25"/>
  <c r="X3197" i="25" l="1"/>
  <c r="W3195" i="25"/>
  <c r="X3198" i="25" l="1"/>
  <c r="W3196" i="25"/>
  <c r="X3199" i="25" l="1"/>
  <c r="W3197" i="25"/>
  <c r="X3200" i="25" l="1"/>
  <c r="W3198" i="25"/>
  <c r="X3201" i="25" l="1"/>
  <c r="W3199" i="25"/>
  <c r="X3202" i="25" l="1"/>
  <c r="W3200" i="25"/>
  <c r="X3203" i="25" l="1"/>
  <c r="W3201" i="25"/>
  <c r="X3204" i="25" l="1"/>
  <c r="W3202" i="25"/>
  <c r="X3205" i="25" l="1"/>
  <c r="W3203" i="25"/>
  <c r="X3206" i="25" l="1"/>
  <c r="W3204" i="25"/>
  <c r="X3207" i="25" l="1"/>
  <c r="W3205" i="25"/>
  <c r="X3208" i="25" l="1"/>
  <c r="W3206" i="25"/>
  <c r="X3209" i="25" l="1"/>
  <c r="W3207" i="25"/>
  <c r="X3210" i="25" l="1"/>
  <c r="W3208" i="25"/>
  <c r="X3211" i="25" l="1"/>
  <c r="W3209" i="25"/>
  <c r="X3212" i="25" l="1"/>
  <c r="W3210" i="25"/>
  <c r="X3213" i="25" l="1"/>
  <c r="W3211" i="25"/>
  <c r="X3214" i="25" l="1"/>
  <c r="W3212" i="25"/>
  <c r="X3215" i="25" l="1"/>
  <c r="W3213" i="25"/>
  <c r="X3216" i="25" l="1"/>
  <c r="W3214" i="25"/>
  <c r="X3217" i="25" l="1"/>
  <c r="W3215" i="25"/>
  <c r="X3218" i="25" l="1"/>
  <c r="W3216" i="25"/>
  <c r="X3219" i="25" l="1"/>
  <c r="W3217" i="25"/>
  <c r="X3220" i="25" l="1"/>
  <c r="W3218" i="25"/>
  <c r="X3221" i="25" l="1"/>
  <c r="W3219" i="25"/>
  <c r="X3222" i="25" l="1"/>
  <c r="W3220" i="25"/>
  <c r="X3223" i="25" l="1"/>
  <c r="W3221" i="25"/>
  <c r="X3224" i="25" l="1"/>
  <c r="W3222" i="25"/>
  <c r="X3225" i="25" l="1"/>
  <c r="W3223" i="25"/>
  <c r="X3226" i="25" l="1"/>
  <c r="W3224" i="25"/>
  <c r="X3227" i="25" l="1"/>
  <c r="W3225" i="25"/>
  <c r="X3228" i="25" l="1"/>
  <c r="W3226" i="25"/>
  <c r="X3229" i="25" l="1"/>
  <c r="W3227" i="25"/>
  <c r="X3230" i="25" l="1"/>
  <c r="W3228" i="25"/>
  <c r="X3231" i="25" l="1"/>
  <c r="W3229" i="25"/>
  <c r="X3232" i="25" l="1"/>
  <c r="W3230" i="25"/>
  <c r="X3233" i="25" l="1"/>
  <c r="W3231" i="25"/>
  <c r="X3234" i="25" l="1"/>
  <c r="W3232" i="25"/>
  <c r="X3235" i="25" l="1"/>
  <c r="W3233" i="25"/>
  <c r="X3236" i="25" l="1"/>
  <c r="W3234" i="25"/>
  <c r="X3237" i="25" l="1"/>
  <c r="W3235" i="25"/>
  <c r="X3238" i="25" l="1"/>
  <c r="W3236" i="25"/>
  <c r="X3239" i="25" l="1"/>
  <c r="W3237" i="25"/>
  <c r="X3240" i="25" l="1"/>
  <c r="W3238" i="25"/>
  <c r="X3241" i="25" l="1"/>
  <c r="W3239" i="25"/>
  <c r="X3242" i="25" l="1"/>
  <c r="W3240" i="25"/>
  <c r="X3243" i="25" l="1"/>
  <c r="W3241" i="25"/>
  <c r="X3244" i="25" l="1"/>
  <c r="W3242" i="25"/>
  <c r="X3245" i="25" l="1"/>
  <c r="W3243" i="25"/>
  <c r="X3246" i="25" l="1"/>
  <c r="W3244" i="25"/>
  <c r="X3247" i="25" l="1"/>
  <c r="W3245" i="25"/>
  <c r="X3248" i="25" l="1"/>
  <c r="W3246" i="25"/>
  <c r="X3249" i="25" l="1"/>
  <c r="W3247" i="25"/>
  <c r="X3250" i="25" l="1"/>
  <c r="W3248" i="25"/>
  <c r="X3251" i="25" l="1"/>
  <c r="W3249" i="25"/>
  <c r="X3252" i="25" l="1"/>
  <c r="W3250" i="25"/>
  <c r="X3253" i="25" l="1"/>
  <c r="W3251" i="25"/>
  <c r="X3254" i="25" l="1"/>
  <c r="W3252" i="25"/>
  <c r="X3255" i="25" l="1"/>
  <c r="W3253" i="25"/>
  <c r="X3256" i="25" l="1"/>
  <c r="W3254" i="25"/>
  <c r="X3257" i="25" l="1"/>
  <c r="W3255" i="25"/>
  <c r="X3258" i="25" l="1"/>
  <c r="W3256" i="25"/>
  <c r="X3259" i="25" l="1"/>
  <c r="W3257" i="25"/>
  <c r="X3260" i="25" l="1"/>
  <c r="W3258" i="25"/>
  <c r="X3261" i="25" l="1"/>
  <c r="W3259" i="25"/>
  <c r="X3262" i="25" l="1"/>
  <c r="W3260" i="25"/>
  <c r="X3263" i="25" l="1"/>
  <c r="W3261" i="25"/>
  <c r="X3264" i="25" l="1"/>
  <c r="W3262" i="25"/>
  <c r="X3265" i="25" l="1"/>
  <c r="W3263" i="25"/>
  <c r="X3266" i="25" l="1"/>
  <c r="W3264" i="25"/>
  <c r="X3267" i="25" l="1"/>
  <c r="W3265" i="25"/>
  <c r="X3268" i="25" l="1"/>
  <c r="W3266" i="25"/>
  <c r="X3269" i="25" l="1"/>
  <c r="W3267" i="25"/>
  <c r="X3270" i="25" l="1"/>
  <c r="W3268" i="25"/>
  <c r="X3271" i="25" l="1"/>
  <c r="W3269" i="25"/>
  <c r="X3272" i="25" l="1"/>
  <c r="W3270" i="25"/>
  <c r="X3273" i="25" l="1"/>
  <c r="W3271" i="25"/>
  <c r="X3274" i="25" l="1"/>
  <c r="W3272" i="25"/>
  <c r="X3275" i="25" l="1"/>
  <c r="W3273" i="25"/>
  <c r="X3276" i="25" l="1"/>
  <c r="W3274" i="25"/>
  <c r="X3277" i="25" l="1"/>
  <c r="W3275" i="25"/>
  <c r="X3278" i="25" l="1"/>
  <c r="W3276" i="25"/>
  <c r="X3279" i="25" l="1"/>
  <c r="W3277" i="25"/>
  <c r="X3280" i="25" l="1"/>
  <c r="W3278" i="25"/>
  <c r="X3281" i="25" l="1"/>
  <c r="W3279" i="25"/>
  <c r="X3282" i="25" l="1"/>
  <c r="W3280" i="25"/>
  <c r="X3283" i="25" l="1"/>
  <c r="W3281" i="25"/>
  <c r="X3284" i="25" l="1"/>
  <c r="W3282" i="25"/>
  <c r="X3285" i="25" l="1"/>
  <c r="W3283" i="25"/>
  <c r="X3286" i="25" l="1"/>
  <c r="W3284" i="25"/>
  <c r="X3287" i="25" l="1"/>
  <c r="W3285" i="25"/>
  <c r="X3288" i="25" l="1"/>
  <c r="W3286" i="25"/>
  <c r="X3289" i="25" l="1"/>
  <c r="W3287" i="25"/>
  <c r="X3290" i="25" l="1"/>
  <c r="W3288" i="25"/>
  <c r="X3291" i="25" l="1"/>
  <c r="W3289" i="25"/>
  <c r="X3292" i="25" l="1"/>
  <c r="W3290" i="25"/>
  <c r="X3293" i="25" l="1"/>
  <c r="W3291" i="25"/>
  <c r="X3294" i="25" l="1"/>
  <c r="W3292" i="25"/>
  <c r="X3295" i="25" l="1"/>
  <c r="W3293" i="25"/>
  <c r="X3296" i="25" l="1"/>
  <c r="W3294" i="25"/>
  <c r="X3297" i="25" l="1"/>
  <c r="W3295" i="25"/>
  <c r="X3298" i="25" l="1"/>
  <c r="W3296" i="25"/>
  <c r="X3299" i="25" l="1"/>
  <c r="W3297" i="25"/>
  <c r="X3300" i="25" l="1"/>
  <c r="W3298" i="25"/>
  <c r="X3301" i="25" l="1"/>
  <c r="W3299" i="25"/>
  <c r="X3302" i="25" l="1"/>
  <c r="W3300" i="25"/>
  <c r="X3303" i="25" l="1"/>
  <c r="W3301" i="25"/>
  <c r="X3304" i="25" l="1"/>
  <c r="W3302" i="25"/>
  <c r="X3305" i="25" l="1"/>
  <c r="W3303" i="25"/>
  <c r="X3306" i="25" l="1"/>
  <c r="W3304" i="25"/>
  <c r="X3307" i="25" l="1"/>
  <c r="W3305" i="25"/>
  <c r="X3308" i="25" l="1"/>
  <c r="W3306" i="25"/>
  <c r="X3309" i="25" l="1"/>
  <c r="W3307" i="25"/>
  <c r="X3310" i="25" l="1"/>
  <c r="W3308" i="25"/>
  <c r="X3311" i="25" l="1"/>
  <c r="W3309" i="25"/>
  <c r="X3312" i="25" l="1"/>
  <c r="W3310" i="25"/>
  <c r="X3313" i="25" l="1"/>
  <c r="W3311" i="25"/>
  <c r="X3314" i="25" l="1"/>
  <c r="W3312" i="25"/>
  <c r="X3315" i="25" l="1"/>
  <c r="W3313" i="25"/>
  <c r="X3316" i="25" l="1"/>
  <c r="W3314" i="25"/>
  <c r="X3317" i="25" l="1"/>
  <c r="W3315" i="25"/>
  <c r="X3318" i="25" l="1"/>
  <c r="W3316" i="25"/>
  <c r="X3319" i="25" l="1"/>
  <c r="W3317" i="25"/>
  <c r="X3320" i="25" l="1"/>
  <c r="W3318" i="25"/>
  <c r="X3321" i="25" l="1"/>
  <c r="W3319" i="25"/>
  <c r="X3322" i="25" l="1"/>
  <c r="W3320" i="25"/>
  <c r="X3323" i="25" l="1"/>
  <c r="W3321" i="25"/>
  <c r="X3324" i="25" l="1"/>
  <c r="W3322" i="25"/>
  <c r="X3325" i="25" l="1"/>
  <c r="W3323" i="25"/>
  <c r="X3326" i="25" l="1"/>
  <c r="W3324" i="25"/>
  <c r="X3327" i="25" l="1"/>
  <c r="W3325" i="25"/>
  <c r="X3328" i="25" l="1"/>
  <c r="W3326" i="25"/>
  <c r="X3329" i="25" l="1"/>
  <c r="W3327" i="25"/>
  <c r="X3330" i="25" l="1"/>
  <c r="W3328" i="25"/>
  <c r="X3331" i="25" l="1"/>
  <c r="W3329" i="25"/>
  <c r="X3332" i="25" l="1"/>
  <c r="W3330" i="25"/>
  <c r="X3333" i="25" l="1"/>
  <c r="W3331" i="25"/>
  <c r="X3334" i="25" l="1"/>
  <c r="W3332" i="25"/>
  <c r="X3335" i="25" l="1"/>
  <c r="W3333" i="25"/>
  <c r="X3336" i="25" l="1"/>
  <c r="W3334" i="25"/>
  <c r="X3337" i="25" l="1"/>
  <c r="W3335" i="25"/>
  <c r="X3338" i="25" l="1"/>
  <c r="W3336" i="25"/>
  <c r="X3339" i="25" l="1"/>
  <c r="W3337" i="25"/>
  <c r="X3340" i="25" l="1"/>
  <c r="W3338" i="25"/>
  <c r="X3341" i="25" l="1"/>
  <c r="W3339" i="25"/>
  <c r="X3342" i="25" l="1"/>
  <c r="W3340" i="25"/>
  <c r="X3343" i="25" l="1"/>
  <c r="W3341" i="25"/>
  <c r="X3344" i="25" l="1"/>
  <c r="W3342" i="25"/>
  <c r="X3345" i="25" l="1"/>
  <c r="W3343" i="25"/>
  <c r="X3346" i="25" l="1"/>
  <c r="W3344" i="25"/>
  <c r="X3347" i="25" l="1"/>
  <c r="W3345" i="25"/>
  <c r="X3348" i="25" l="1"/>
  <c r="W3346" i="25"/>
  <c r="X3349" i="25" l="1"/>
  <c r="W3347" i="25"/>
  <c r="X3350" i="25" l="1"/>
  <c r="W3348" i="25"/>
  <c r="X3351" i="25" l="1"/>
  <c r="W3349" i="25"/>
  <c r="X3352" i="25" l="1"/>
  <c r="W3350" i="25"/>
  <c r="X3353" i="25" l="1"/>
  <c r="W3351" i="25"/>
  <c r="X3354" i="25" l="1"/>
  <c r="W3352" i="25"/>
  <c r="X3355" i="25" l="1"/>
  <c r="W3353" i="25"/>
  <c r="X3356" i="25" l="1"/>
  <c r="W3354" i="25"/>
  <c r="X3357" i="25" l="1"/>
  <c r="W3355" i="25"/>
  <c r="X3358" i="25" l="1"/>
  <c r="W3356" i="25"/>
  <c r="X3359" i="25" l="1"/>
  <c r="W3357" i="25"/>
  <c r="X3360" i="25" l="1"/>
  <c r="W3358" i="25"/>
  <c r="X3361" i="25" l="1"/>
  <c r="W3359" i="25"/>
  <c r="X3362" i="25" l="1"/>
  <c r="W3360" i="25"/>
  <c r="X3363" i="25" l="1"/>
  <c r="W3361" i="25"/>
  <c r="X3364" i="25" l="1"/>
  <c r="W3362" i="25"/>
  <c r="X3365" i="25" l="1"/>
  <c r="W3363" i="25"/>
  <c r="X3366" i="25" l="1"/>
  <c r="W3364" i="25"/>
  <c r="X3367" i="25" l="1"/>
  <c r="W3365" i="25"/>
  <c r="X3368" i="25" l="1"/>
  <c r="W3366" i="25"/>
  <c r="X3369" i="25" l="1"/>
  <c r="W3367" i="25"/>
  <c r="X3370" i="25" l="1"/>
  <c r="W3368" i="25"/>
  <c r="X3371" i="25" l="1"/>
  <c r="W3369" i="25"/>
  <c r="X3372" i="25" l="1"/>
  <c r="W3370" i="25"/>
  <c r="X3373" i="25" l="1"/>
  <c r="W3371" i="25"/>
  <c r="X3374" i="25" l="1"/>
  <c r="W3372" i="25"/>
  <c r="X3375" i="25" l="1"/>
  <c r="W3373" i="25"/>
  <c r="X3376" i="25" l="1"/>
  <c r="W3374" i="25"/>
  <c r="X3377" i="25" l="1"/>
  <c r="W3375" i="25"/>
  <c r="X3378" i="25" l="1"/>
  <c r="W3376" i="25"/>
  <c r="X3379" i="25" l="1"/>
  <c r="W3377" i="25"/>
  <c r="X3380" i="25" l="1"/>
  <c r="W3378" i="25"/>
  <c r="X3381" i="25" l="1"/>
  <c r="W3379" i="25"/>
  <c r="X3382" i="25" l="1"/>
  <c r="W3380" i="25"/>
  <c r="X3383" i="25" l="1"/>
  <c r="W3381" i="25"/>
  <c r="X3384" i="25" l="1"/>
  <c r="W3382" i="25"/>
  <c r="X3385" i="25" l="1"/>
  <c r="W3383" i="25"/>
  <c r="X3386" i="25" l="1"/>
  <c r="W3384" i="25"/>
  <c r="X3387" i="25" l="1"/>
  <c r="W3385" i="25"/>
  <c r="X3388" i="25" l="1"/>
  <c r="W3386" i="25"/>
  <c r="X3389" i="25" l="1"/>
  <c r="W3387" i="25"/>
  <c r="X3390" i="25" l="1"/>
  <c r="W3388" i="25"/>
  <c r="X3391" i="25" l="1"/>
  <c r="W3389" i="25"/>
  <c r="X3392" i="25" l="1"/>
  <c r="W3390" i="25"/>
  <c r="X3393" i="25" l="1"/>
  <c r="W3391" i="25"/>
  <c r="X3394" i="25" l="1"/>
  <c r="W3392" i="25"/>
  <c r="X3395" i="25" l="1"/>
  <c r="W3393" i="25"/>
  <c r="X3396" i="25" l="1"/>
  <c r="W3394" i="25"/>
  <c r="X3397" i="25" l="1"/>
  <c r="W3395" i="25"/>
  <c r="X3398" i="25" l="1"/>
  <c r="W3396" i="25"/>
  <c r="X3399" i="25" l="1"/>
  <c r="W3397" i="25"/>
  <c r="X3400" i="25" l="1"/>
  <c r="W3398" i="25"/>
  <c r="X3401" i="25" l="1"/>
  <c r="W3399" i="25"/>
  <c r="X3402" i="25" l="1"/>
  <c r="W3400" i="25"/>
  <c r="X3403" i="25" l="1"/>
  <c r="W3401" i="25"/>
  <c r="X3404" i="25" l="1"/>
  <c r="W3402" i="25"/>
  <c r="X3405" i="25" l="1"/>
  <c r="W3403" i="25"/>
  <c r="X3406" i="25" l="1"/>
  <c r="W3404" i="25"/>
  <c r="X3407" i="25" l="1"/>
  <c r="W3405" i="25"/>
  <c r="X3408" i="25" l="1"/>
  <c r="W3406" i="25"/>
  <c r="X3409" i="25" l="1"/>
  <c r="W3407" i="25"/>
  <c r="X3410" i="25" l="1"/>
  <c r="W3408" i="25"/>
  <c r="X3411" i="25" l="1"/>
  <c r="W3409" i="25"/>
  <c r="X3412" i="25" l="1"/>
  <c r="W3410" i="25"/>
  <c r="X3413" i="25" l="1"/>
  <c r="W3411" i="25"/>
  <c r="X3414" i="25" l="1"/>
  <c r="W3412" i="25"/>
  <c r="X3415" i="25" l="1"/>
  <c r="W3413" i="25"/>
  <c r="X3416" i="25" l="1"/>
  <c r="W3414" i="25"/>
  <c r="X3417" i="25" l="1"/>
  <c r="W3415" i="25"/>
  <c r="X3418" i="25" l="1"/>
  <c r="W3416" i="25"/>
  <c r="X3419" i="25" l="1"/>
  <c r="W3417" i="25"/>
  <c r="X3420" i="25" l="1"/>
  <c r="W3418" i="25"/>
  <c r="X3421" i="25" l="1"/>
  <c r="W3419" i="25"/>
  <c r="X3422" i="25" l="1"/>
  <c r="W3420" i="25"/>
  <c r="X3423" i="25" l="1"/>
  <c r="W3421" i="25"/>
  <c r="X3424" i="25" l="1"/>
  <c r="W3422" i="25"/>
  <c r="X3425" i="25" l="1"/>
  <c r="W3423" i="25"/>
  <c r="X3426" i="25" l="1"/>
  <c r="W3424" i="25"/>
  <c r="X3427" i="25" l="1"/>
  <c r="W3425" i="25"/>
  <c r="X3428" i="25" l="1"/>
  <c r="W3426" i="25"/>
  <c r="X3429" i="25" l="1"/>
  <c r="W3427" i="25"/>
  <c r="X3430" i="25" l="1"/>
  <c r="W3428" i="25"/>
  <c r="X3431" i="25" l="1"/>
  <c r="W3429" i="25"/>
  <c r="X3432" i="25" l="1"/>
  <c r="W3430" i="25"/>
  <c r="X3433" i="25" l="1"/>
  <c r="W3431" i="25"/>
  <c r="X3434" i="25" l="1"/>
  <c r="W3432" i="25"/>
  <c r="X3435" i="25" l="1"/>
  <c r="W3433" i="25"/>
  <c r="X3436" i="25" l="1"/>
  <c r="W3434" i="25"/>
  <c r="X3437" i="25" l="1"/>
  <c r="W3435" i="25"/>
  <c r="X3438" i="25" l="1"/>
  <c r="W3436" i="25"/>
  <c r="X3439" i="25" l="1"/>
  <c r="W3437" i="25"/>
  <c r="X3440" i="25" l="1"/>
  <c r="W3438" i="25"/>
  <c r="X3441" i="25" l="1"/>
  <c r="W3439" i="25"/>
  <c r="X3442" i="25" l="1"/>
  <c r="W3440" i="25"/>
  <c r="X3443" i="25" l="1"/>
  <c r="W3441" i="25"/>
  <c r="X3444" i="25" l="1"/>
  <c r="W3442" i="25"/>
  <c r="X3445" i="25" l="1"/>
  <c r="W3443" i="25"/>
  <c r="X3446" i="25" l="1"/>
  <c r="W3444" i="25"/>
  <c r="X3447" i="25" l="1"/>
  <c r="W3445" i="25"/>
  <c r="X3448" i="25" l="1"/>
  <c r="W3446" i="25"/>
  <c r="X3449" i="25" l="1"/>
  <c r="W3447" i="25"/>
  <c r="X3450" i="25" l="1"/>
  <c r="W3448" i="25"/>
  <c r="X3451" i="25" l="1"/>
  <c r="W3449" i="25"/>
  <c r="X3452" i="25" l="1"/>
  <c r="W3450" i="25"/>
  <c r="X3453" i="25" l="1"/>
  <c r="W3451" i="25"/>
  <c r="X3454" i="25" l="1"/>
  <c r="W3452" i="25"/>
  <c r="X3455" i="25" l="1"/>
  <c r="W3453" i="25"/>
  <c r="X3456" i="25" l="1"/>
  <c r="W3454" i="25"/>
  <c r="X3457" i="25" l="1"/>
  <c r="W3455" i="25"/>
  <c r="X3458" i="25" l="1"/>
  <c r="W3456" i="25"/>
  <c r="X3459" i="25" l="1"/>
  <c r="W3457" i="25"/>
  <c r="X3460" i="25" l="1"/>
  <c r="W3458" i="25"/>
  <c r="X3461" i="25" l="1"/>
  <c r="W3459" i="25"/>
  <c r="X3462" i="25" l="1"/>
  <c r="W3460" i="25"/>
  <c r="X3463" i="25" l="1"/>
  <c r="W3461" i="25"/>
  <c r="X3464" i="25" l="1"/>
  <c r="W3462" i="25"/>
  <c r="X3465" i="25" l="1"/>
  <c r="W3463" i="25"/>
  <c r="X3466" i="25" l="1"/>
  <c r="W3464" i="25"/>
  <c r="X3467" i="25" l="1"/>
  <c r="W3465" i="25"/>
  <c r="X3468" i="25" l="1"/>
  <c r="W3466" i="25"/>
  <c r="X3469" i="25" l="1"/>
  <c r="W3467" i="25"/>
  <c r="X3470" i="25" l="1"/>
  <c r="W3468" i="25"/>
  <c r="X3471" i="25" l="1"/>
  <c r="W3469" i="25"/>
  <c r="X3472" i="25" l="1"/>
  <c r="W3470" i="25"/>
  <c r="X3473" i="25" l="1"/>
  <c r="W3471" i="25"/>
  <c r="X3474" i="25" l="1"/>
  <c r="W3472" i="25"/>
  <c r="X3475" i="25" l="1"/>
  <c r="W3473" i="25"/>
  <c r="X3476" i="25" l="1"/>
  <c r="W3474" i="25"/>
  <c r="X3477" i="25" l="1"/>
  <c r="W3475" i="25"/>
  <c r="X3478" i="25" l="1"/>
  <c r="W3476" i="25"/>
  <c r="X3479" i="25" l="1"/>
  <c r="W3477" i="25"/>
  <c r="X3480" i="25" l="1"/>
  <c r="W3478" i="25"/>
  <c r="X3481" i="25" l="1"/>
  <c r="W3479" i="25"/>
  <c r="X3482" i="25" l="1"/>
  <c r="W3480" i="25"/>
  <c r="X3483" i="25" l="1"/>
  <c r="W3481" i="25"/>
  <c r="X3484" i="25" l="1"/>
  <c r="W3482" i="25"/>
  <c r="X3485" i="25" l="1"/>
  <c r="W3483" i="25"/>
  <c r="X3486" i="25" l="1"/>
  <c r="W3484" i="25"/>
  <c r="X3487" i="25" l="1"/>
  <c r="W3485" i="25"/>
  <c r="X3488" i="25" l="1"/>
  <c r="W3486" i="25"/>
  <c r="X3489" i="25" l="1"/>
  <c r="W3487" i="25"/>
  <c r="X3490" i="25" l="1"/>
  <c r="W3488" i="25"/>
  <c r="X3491" i="25" l="1"/>
  <c r="W3489" i="25"/>
  <c r="X3492" i="25" l="1"/>
  <c r="W3490" i="25"/>
  <c r="X3493" i="25" l="1"/>
  <c r="W3491" i="25"/>
  <c r="X3494" i="25" l="1"/>
  <c r="W3492" i="25"/>
  <c r="X3495" i="25" l="1"/>
  <c r="W3493" i="25"/>
  <c r="X3496" i="25" l="1"/>
  <c r="W3494" i="25"/>
  <c r="X3497" i="25" l="1"/>
  <c r="W3495" i="25"/>
  <c r="X3498" i="25" l="1"/>
  <c r="W3496" i="25"/>
  <c r="X3499" i="25" l="1"/>
  <c r="W3497" i="25"/>
  <c r="X3500" i="25" l="1"/>
  <c r="W3498" i="25"/>
  <c r="X3501" i="25" l="1"/>
  <c r="W3499" i="25"/>
  <c r="X3502" i="25" l="1"/>
  <c r="W3500" i="25"/>
  <c r="X3503" i="25" l="1"/>
  <c r="W3501" i="25"/>
  <c r="X3504" i="25" l="1"/>
  <c r="W3502" i="25"/>
  <c r="X3505" i="25" l="1"/>
  <c r="W3503" i="25"/>
  <c r="X3506" i="25" l="1"/>
  <c r="W3504" i="25"/>
  <c r="X3507" i="25" l="1"/>
  <c r="W3505" i="25"/>
  <c r="X3508" i="25" l="1"/>
  <c r="W3506" i="25"/>
  <c r="X3509" i="25" l="1"/>
  <c r="W3507" i="25"/>
  <c r="X3510" i="25" l="1"/>
  <c r="W3508" i="25"/>
  <c r="X3511" i="25" l="1"/>
  <c r="W3509" i="25"/>
  <c r="X3512" i="25" l="1"/>
  <c r="W3510" i="25"/>
  <c r="X3513" i="25" l="1"/>
  <c r="W3511" i="25"/>
  <c r="X3514" i="25" l="1"/>
  <c r="W3512" i="25"/>
  <c r="X3515" i="25" l="1"/>
  <c r="W3513" i="25"/>
  <c r="X3516" i="25" l="1"/>
  <c r="W3514" i="25"/>
  <c r="X3517" i="25" l="1"/>
  <c r="W3515" i="25"/>
  <c r="X3518" i="25" l="1"/>
  <c r="W3516" i="25"/>
  <c r="X3519" i="25" l="1"/>
  <c r="W3517" i="25"/>
  <c r="X3520" i="25" l="1"/>
  <c r="W3518" i="25"/>
  <c r="X3521" i="25" l="1"/>
  <c r="W3519" i="25"/>
  <c r="X3522" i="25" l="1"/>
  <c r="W3520" i="25"/>
  <c r="X3523" i="25" l="1"/>
  <c r="W3521" i="25"/>
  <c r="X3524" i="25" l="1"/>
  <c r="W3522" i="25"/>
  <c r="X3525" i="25" l="1"/>
  <c r="W3523" i="25"/>
  <c r="X3526" i="25" l="1"/>
  <c r="W3524" i="25"/>
  <c r="X3527" i="25" l="1"/>
  <c r="W3525" i="25"/>
  <c r="X3528" i="25" l="1"/>
  <c r="W3526" i="25"/>
  <c r="X3529" i="25" l="1"/>
  <c r="W3527" i="25"/>
  <c r="X3530" i="25" l="1"/>
  <c r="W3528" i="25"/>
  <c r="X3531" i="25" l="1"/>
  <c r="W3529" i="25"/>
  <c r="X3532" i="25" l="1"/>
  <c r="W3530" i="25"/>
  <c r="X3533" i="25" l="1"/>
  <c r="W3531" i="25"/>
  <c r="X3534" i="25" l="1"/>
  <c r="W3532" i="25"/>
  <c r="X3535" i="25" l="1"/>
  <c r="W3533" i="25"/>
  <c r="X3536" i="25" l="1"/>
  <c r="W3534" i="25"/>
  <c r="X3537" i="25" l="1"/>
  <c r="W3535" i="25"/>
  <c r="X3538" i="25" l="1"/>
  <c r="W3536" i="25"/>
  <c r="X3539" i="25" l="1"/>
  <c r="W3537" i="25"/>
  <c r="X3540" i="25" l="1"/>
  <c r="W3538" i="25"/>
  <c r="X3541" i="25" l="1"/>
  <c r="W3539" i="25"/>
  <c r="X3542" i="25" l="1"/>
  <c r="W3540" i="25"/>
  <c r="X3543" i="25" l="1"/>
  <c r="W3541" i="25"/>
  <c r="X3544" i="25" l="1"/>
  <c r="W3542" i="25"/>
  <c r="X3545" i="25" l="1"/>
  <c r="W3543" i="25"/>
  <c r="X3546" i="25" l="1"/>
  <c r="W3544" i="25"/>
  <c r="X3547" i="25" l="1"/>
  <c r="W3545" i="25"/>
  <c r="X3548" i="25" l="1"/>
  <c r="W3546" i="25"/>
  <c r="X3549" i="25" l="1"/>
  <c r="W3547" i="25"/>
  <c r="X3550" i="25" l="1"/>
  <c r="W3548" i="25"/>
  <c r="X3551" i="25" l="1"/>
  <c r="W3549" i="25"/>
  <c r="X3552" i="25" l="1"/>
  <c r="W3550" i="25"/>
  <c r="X3553" i="25" l="1"/>
  <c r="W3551" i="25"/>
  <c r="X3554" i="25" l="1"/>
  <c r="W3552" i="25"/>
  <c r="X3555" i="25" l="1"/>
  <c r="W3553" i="25"/>
  <c r="X3556" i="25" l="1"/>
  <c r="W3554" i="25"/>
  <c r="X3557" i="25" l="1"/>
  <c r="W3555" i="25"/>
  <c r="X3558" i="25" l="1"/>
  <c r="W3556" i="25"/>
  <c r="X3559" i="25" l="1"/>
  <c r="W3557" i="25"/>
  <c r="X3560" i="25" l="1"/>
  <c r="W3558" i="25"/>
  <c r="X3561" i="25" l="1"/>
  <c r="W3559" i="25"/>
  <c r="X3562" i="25" l="1"/>
  <c r="W3560" i="25"/>
  <c r="X3563" i="25" l="1"/>
  <c r="W3561" i="25"/>
  <c r="X3564" i="25" l="1"/>
  <c r="W3562" i="25"/>
  <c r="X3565" i="25" l="1"/>
  <c r="W3563" i="25"/>
  <c r="X3566" i="25" l="1"/>
  <c r="W3564" i="25"/>
  <c r="X3567" i="25" l="1"/>
  <c r="W3565" i="25"/>
  <c r="X3568" i="25" l="1"/>
  <c r="W3566" i="25"/>
  <c r="X3569" i="25" l="1"/>
  <c r="W3567" i="25"/>
  <c r="X3570" i="25" l="1"/>
  <c r="W3568" i="25"/>
  <c r="X3571" i="25" l="1"/>
  <c r="W3569" i="25"/>
  <c r="X3572" i="25" l="1"/>
  <c r="W3570" i="25"/>
  <c r="X3573" i="25" l="1"/>
  <c r="W3571" i="25"/>
  <c r="X3574" i="25" l="1"/>
  <c r="W3572" i="25"/>
  <c r="X3575" i="25" l="1"/>
  <c r="W3573" i="25"/>
  <c r="X3576" i="25" l="1"/>
  <c r="W3574" i="25"/>
  <c r="X3577" i="25" l="1"/>
  <c r="W3575" i="25"/>
  <c r="X3578" i="25" l="1"/>
  <c r="W3576" i="25"/>
  <c r="X3579" i="25" l="1"/>
  <c r="W3577" i="25"/>
  <c r="X3580" i="25" l="1"/>
  <c r="W3578" i="25"/>
  <c r="X3581" i="25" l="1"/>
  <c r="W3579" i="25"/>
  <c r="X3582" i="25" l="1"/>
  <c r="W3580" i="25"/>
  <c r="X3583" i="25" l="1"/>
  <c r="W3581" i="25"/>
  <c r="X3584" i="25" l="1"/>
  <c r="W3582" i="25"/>
  <c r="X3585" i="25" l="1"/>
  <c r="W3583" i="25"/>
  <c r="X3586" i="25" l="1"/>
  <c r="W3584" i="25"/>
  <c r="X3587" i="25" l="1"/>
  <c r="W3585" i="25"/>
  <c r="X3588" i="25" l="1"/>
  <c r="W3586" i="25"/>
  <c r="X3589" i="25" l="1"/>
  <c r="W3587" i="25"/>
  <c r="X3590" i="25" l="1"/>
  <c r="W3588" i="25"/>
  <c r="X3591" i="25" l="1"/>
  <c r="W3589" i="25"/>
  <c r="X3592" i="25" l="1"/>
  <c r="W3590" i="25"/>
  <c r="X3593" i="25" l="1"/>
  <c r="W3591" i="25"/>
  <c r="X3594" i="25" l="1"/>
  <c r="W3592" i="25"/>
  <c r="X3595" i="25" l="1"/>
  <c r="W3593" i="25"/>
  <c r="X3596" i="25" l="1"/>
  <c r="W3594" i="25"/>
  <c r="X3597" i="25" l="1"/>
  <c r="W3595" i="25"/>
  <c r="X3598" i="25" l="1"/>
  <c r="W3596" i="25"/>
  <c r="X3599" i="25" l="1"/>
  <c r="W3597" i="25"/>
  <c r="X3600" i="25" l="1"/>
  <c r="W3598" i="25"/>
  <c r="X3601" i="25" l="1"/>
  <c r="W3599" i="25"/>
  <c r="X3602" i="25" l="1"/>
  <c r="W3600" i="25"/>
  <c r="X3603" i="25" l="1"/>
  <c r="W3601" i="25"/>
  <c r="X3604" i="25" l="1"/>
  <c r="W3602" i="25"/>
  <c r="X3605" i="25" l="1"/>
  <c r="W3603" i="25"/>
  <c r="X3606" i="25" l="1"/>
  <c r="W3604" i="25"/>
  <c r="X3607" i="25" l="1"/>
  <c r="W3605" i="25"/>
  <c r="X3608" i="25" l="1"/>
  <c r="W3606" i="25"/>
  <c r="X3609" i="25" l="1"/>
  <c r="W3607" i="25"/>
  <c r="X3610" i="25" l="1"/>
  <c r="W3608" i="25"/>
  <c r="X3611" i="25" l="1"/>
  <c r="W3609" i="25"/>
  <c r="X3612" i="25" l="1"/>
  <c r="W3610" i="25"/>
  <c r="X3613" i="25" l="1"/>
  <c r="W3611" i="25"/>
  <c r="X3614" i="25" l="1"/>
  <c r="W3612" i="25"/>
  <c r="X3615" i="25" l="1"/>
  <c r="W3613" i="25"/>
  <c r="X3616" i="25" l="1"/>
  <c r="W3614" i="25"/>
  <c r="X3617" i="25" l="1"/>
  <c r="W3615" i="25"/>
  <c r="X3618" i="25" l="1"/>
  <c r="W3616" i="25"/>
  <c r="X3619" i="25" l="1"/>
  <c r="W3617" i="25"/>
  <c r="X3620" i="25" l="1"/>
  <c r="W3618" i="25"/>
  <c r="X3621" i="25" l="1"/>
  <c r="W3619" i="25"/>
  <c r="X3622" i="25" l="1"/>
  <c r="W3620" i="25"/>
  <c r="X3623" i="25" l="1"/>
  <c r="W3621" i="25"/>
  <c r="X3624" i="25" l="1"/>
  <c r="W3622" i="25"/>
  <c r="X3625" i="25" l="1"/>
  <c r="W3623" i="25"/>
  <c r="X3626" i="25" l="1"/>
  <c r="W3624" i="25"/>
  <c r="X3627" i="25" l="1"/>
  <c r="W3625" i="25"/>
  <c r="X3628" i="25" l="1"/>
  <c r="W3626" i="25"/>
  <c r="X3629" i="25" l="1"/>
  <c r="W3627" i="25"/>
  <c r="X3630" i="25" l="1"/>
  <c r="W3628" i="25"/>
  <c r="X3631" i="25" l="1"/>
  <c r="W3629" i="25"/>
  <c r="X3632" i="25" l="1"/>
  <c r="W3630" i="25"/>
  <c r="X3633" i="25" l="1"/>
  <c r="W3631" i="25"/>
  <c r="X3634" i="25" l="1"/>
  <c r="W3632" i="25"/>
  <c r="X3635" i="25" l="1"/>
  <c r="W3633" i="25"/>
  <c r="X3636" i="25" l="1"/>
  <c r="W3634" i="25"/>
  <c r="X3637" i="25" l="1"/>
  <c r="W3635" i="25"/>
  <c r="X3638" i="25" l="1"/>
  <c r="W3636" i="25"/>
  <c r="X3639" i="25" l="1"/>
  <c r="W3637" i="25"/>
  <c r="X3640" i="25" l="1"/>
  <c r="W3638" i="25"/>
  <c r="X3641" i="25" l="1"/>
  <c r="W3639" i="25"/>
  <c r="X3642" i="25" l="1"/>
  <c r="W3640" i="25"/>
  <c r="X3643" i="25" l="1"/>
  <c r="W3641" i="25"/>
  <c r="X3644" i="25" l="1"/>
  <c r="W3642" i="25"/>
  <c r="X3645" i="25" l="1"/>
  <c r="W3643" i="25"/>
  <c r="X3646" i="25" l="1"/>
  <c r="W3644" i="25"/>
  <c r="X3647" i="25" l="1"/>
  <c r="W3645" i="25"/>
  <c r="X3648" i="25" l="1"/>
  <c r="W3646" i="25"/>
  <c r="X3649" i="25" l="1"/>
  <c r="W3647" i="25"/>
  <c r="X3650" i="25" l="1"/>
  <c r="W3648" i="25"/>
  <c r="X3651" i="25" l="1"/>
  <c r="W3649" i="25"/>
  <c r="X3652" i="25" l="1"/>
  <c r="W3650" i="25"/>
  <c r="X3653" i="25" l="1"/>
  <c r="W3651" i="25"/>
  <c r="X3654" i="25" l="1"/>
  <c r="W3652" i="25"/>
  <c r="X3655" i="25" l="1"/>
  <c r="W3653" i="25"/>
  <c r="X3656" i="25" l="1"/>
  <c r="W3654" i="25"/>
  <c r="X3657" i="25" l="1"/>
  <c r="W3655" i="25"/>
  <c r="X3658" i="25" l="1"/>
  <c r="W3656" i="25"/>
  <c r="X3659" i="25" l="1"/>
  <c r="W3657" i="25"/>
  <c r="X3660" i="25" l="1"/>
  <c r="W3658" i="25"/>
  <c r="X3661" i="25" l="1"/>
  <c r="W3659" i="25"/>
  <c r="X3662" i="25" l="1"/>
  <c r="W3660" i="25"/>
  <c r="X3663" i="25" l="1"/>
  <c r="W3661" i="25"/>
  <c r="X3664" i="25" l="1"/>
  <c r="W3662" i="25"/>
  <c r="X3665" i="25" l="1"/>
  <c r="W3663" i="25"/>
  <c r="X3666" i="25" l="1"/>
  <c r="W3664" i="25"/>
  <c r="X3667" i="25" l="1"/>
  <c r="W3665" i="25"/>
  <c r="X3668" i="25" l="1"/>
  <c r="W3666" i="25"/>
  <c r="X3669" i="25" l="1"/>
  <c r="W3667" i="25"/>
  <c r="X3670" i="25" l="1"/>
  <c r="W3668" i="25"/>
  <c r="X3671" i="25" l="1"/>
  <c r="W3669" i="25"/>
  <c r="X3672" i="25" l="1"/>
  <c r="W3670" i="25"/>
  <c r="X3673" i="25" l="1"/>
  <c r="W3671" i="25"/>
  <c r="X3674" i="25" l="1"/>
  <c r="W3672" i="25"/>
  <c r="X3675" i="25" l="1"/>
  <c r="W3673" i="25"/>
  <c r="X3676" i="25" l="1"/>
  <c r="W3674" i="25"/>
  <c r="X3677" i="25" l="1"/>
  <c r="W3675" i="25"/>
  <c r="X3678" i="25" l="1"/>
  <c r="W3676" i="25"/>
  <c r="X3679" i="25" l="1"/>
  <c r="W3677" i="25"/>
  <c r="X3680" i="25" l="1"/>
  <c r="W3678" i="25"/>
  <c r="X3681" i="25" l="1"/>
  <c r="W3679" i="25"/>
  <c r="X3682" i="25" l="1"/>
  <c r="W3680" i="25"/>
  <c r="X3683" i="25" l="1"/>
  <c r="W3681" i="25"/>
  <c r="X3684" i="25" l="1"/>
  <c r="W3682" i="25"/>
  <c r="X3685" i="25" l="1"/>
  <c r="W3683" i="25"/>
  <c r="X3686" i="25" l="1"/>
  <c r="W3684" i="25"/>
  <c r="X3687" i="25" l="1"/>
  <c r="W3685" i="25"/>
  <c r="X3688" i="25" l="1"/>
  <c r="W3686" i="25"/>
  <c r="X3689" i="25" l="1"/>
  <c r="W3687" i="25"/>
  <c r="X3690" i="25" l="1"/>
  <c r="W3688" i="25"/>
  <c r="X3691" i="25" l="1"/>
  <c r="W3689" i="25"/>
  <c r="X3692" i="25" l="1"/>
  <c r="W3690" i="25"/>
  <c r="X3693" i="25" l="1"/>
  <c r="W3691" i="25"/>
  <c r="X3694" i="25" l="1"/>
  <c r="W3692" i="25"/>
  <c r="X3695" i="25" l="1"/>
  <c r="W3693" i="25"/>
  <c r="X3696" i="25" l="1"/>
  <c r="W3694" i="25"/>
  <c r="X3697" i="25" l="1"/>
  <c r="W3695" i="25"/>
  <c r="X3698" i="25" l="1"/>
  <c r="W3696" i="25"/>
  <c r="X3699" i="25" l="1"/>
  <c r="W3697" i="25"/>
  <c r="X3700" i="25" l="1"/>
  <c r="W3698" i="25"/>
  <c r="X3701" i="25" l="1"/>
  <c r="W3699" i="25"/>
  <c r="X3702" i="25" l="1"/>
  <c r="W3700" i="25"/>
  <c r="X3703" i="25" l="1"/>
  <c r="W3701" i="25"/>
  <c r="X3704" i="25" l="1"/>
  <c r="W3702" i="25"/>
  <c r="X3705" i="25" l="1"/>
  <c r="W3703" i="25"/>
  <c r="X3706" i="25" l="1"/>
  <c r="W3704" i="25"/>
  <c r="X3707" i="25" l="1"/>
  <c r="W3705" i="25"/>
  <c r="X3708" i="25" l="1"/>
  <c r="W3706" i="25"/>
  <c r="X3709" i="25" l="1"/>
  <c r="W3707" i="25"/>
  <c r="X3710" i="25" l="1"/>
  <c r="W3708" i="25"/>
  <c r="X3711" i="25" l="1"/>
  <c r="W3709" i="25"/>
  <c r="X3712" i="25" l="1"/>
  <c r="W3710" i="25"/>
  <c r="X3713" i="25" l="1"/>
  <c r="W3711" i="25"/>
  <c r="X3714" i="25" l="1"/>
  <c r="W3712" i="25"/>
  <c r="X3715" i="25" l="1"/>
  <c r="W3713" i="25"/>
  <c r="X3716" i="25" l="1"/>
  <c r="W3714" i="25"/>
  <c r="X3717" i="25" l="1"/>
  <c r="W3715" i="25"/>
  <c r="X3718" i="25" l="1"/>
  <c r="W3716" i="25"/>
  <c r="X3719" i="25" l="1"/>
  <c r="W3717" i="25"/>
  <c r="X3720" i="25" l="1"/>
  <c r="W3718" i="25"/>
  <c r="X3721" i="25" l="1"/>
  <c r="W3719" i="25"/>
  <c r="X3722" i="25" l="1"/>
  <c r="W3720" i="25"/>
  <c r="X3723" i="25" l="1"/>
  <c r="W3721" i="25"/>
  <c r="X3724" i="25" l="1"/>
  <c r="W3722" i="25"/>
  <c r="X3725" i="25" l="1"/>
  <c r="W3723" i="25"/>
  <c r="X3726" i="25" l="1"/>
  <c r="W3724" i="25"/>
  <c r="X3727" i="25" l="1"/>
  <c r="W3725" i="25"/>
  <c r="X3728" i="25" l="1"/>
  <c r="W3726" i="25"/>
  <c r="X3729" i="25" l="1"/>
  <c r="W3727" i="25"/>
  <c r="X3730" i="25" l="1"/>
  <c r="W3728" i="25"/>
  <c r="X3731" i="25" l="1"/>
  <c r="W3729" i="25"/>
  <c r="X3732" i="25" l="1"/>
  <c r="W3730" i="25"/>
  <c r="X3733" i="25" l="1"/>
  <c r="W3731" i="25"/>
  <c r="X3734" i="25" l="1"/>
  <c r="W3732" i="25"/>
  <c r="X3735" i="25" l="1"/>
  <c r="W3733" i="25"/>
  <c r="X3736" i="25" l="1"/>
  <c r="W3734" i="25"/>
  <c r="X3737" i="25" l="1"/>
  <c r="W3735" i="25"/>
  <c r="X3738" i="25" l="1"/>
  <c r="W3736" i="25"/>
  <c r="X3739" i="25" l="1"/>
  <c r="W3737" i="25"/>
  <c r="X3740" i="25" l="1"/>
  <c r="W3738" i="25"/>
  <c r="X3741" i="25" l="1"/>
  <c r="W3739" i="25"/>
  <c r="X3742" i="25" l="1"/>
  <c r="W3740" i="25"/>
  <c r="X3743" i="25" l="1"/>
  <c r="W3741" i="25"/>
  <c r="X3744" i="25" l="1"/>
  <c r="W3742" i="25"/>
  <c r="X3745" i="25" l="1"/>
  <c r="W3743" i="25"/>
  <c r="X3746" i="25" l="1"/>
  <c r="W3744" i="25"/>
  <c r="X3747" i="25" l="1"/>
  <c r="W3745" i="25"/>
  <c r="X3748" i="25" l="1"/>
  <c r="W3746" i="25"/>
  <c r="X3749" i="25" l="1"/>
  <c r="W3747" i="25"/>
  <c r="X3750" i="25" l="1"/>
  <c r="W3748" i="25"/>
  <c r="X3751" i="25" l="1"/>
  <c r="W3749" i="25"/>
  <c r="X3752" i="25" l="1"/>
  <c r="W3750" i="25"/>
  <c r="X3753" i="25" l="1"/>
  <c r="W3751" i="25"/>
  <c r="X3754" i="25" l="1"/>
  <c r="W3752" i="25"/>
  <c r="X3755" i="25" l="1"/>
  <c r="W3753" i="25"/>
  <c r="X3756" i="25" l="1"/>
  <c r="W3754" i="25"/>
  <c r="X3757" i="25" l="1"/>
  <c r="W3755" i="25"/>
  <c r="X3758" i="25" l="1"/>
  <c r="W3756" i="25"/>
  <c r="X3759" i="25" l="1"/>
  <c r="W3757" i="25"/>
  <c r="X3760" i="25" l="1"/>
  <c r="W3758" i="25"/>
  <c r="X3761" i="25" l="1"/>
  <c r="W3759" i="25"/>
  <c r="X3762" i="25" l="1"/>
  <c r="W3760" i="25"/>
  <c r="X3763" i="25" l="1"/>
  <c r="W3761" i="25"/>
  <c r="X3764" i="25" l="1"/>
  <c r="W3762" i="25"/>
  <c r="X3765" i="25" l="1"/>
  <c r="W3763" i="25"/>
  <c r="X3766" i="25" l="1"/>
  <c r="W3764" i="25"/>
  <c r="X3767" i="25" l="1"/>
  <c r="W3765" i="25"/>
  <c r="X3768" i="25" l="1"/>
  <c r="W3766" i="25"/>
  <c r="X3769" i="25" l="1"/>
  <c r="W3767" i="25"/>
  <c r="X3770" i="25" l="1"/>
  <c r="W3768" i="25"/>
  <c r="X3771" i="25" l="1"/>
  <c r="W3769" i="25"/>
  <c r="X3772" i="25" l="1"/>
  <c r="W3770" i="25"/>
  <c r="X3773" i="25" l="1"/>
  <c r="W3771" i="25"/>
  <c r="X3774" i="25" l="1"/>
  <c r="W3772" i="25"/>
  <c r="X3775" i="25" l="1"/>
  <c r="W3773" i="25"/>
  <c r="X3776" i="25" l="1"/>
  <c r="W3774" i="25"/>
  <c r="X3777" i="25" l="1"/>
  <c r="W3775" i="25"/>
  <c r="X3778" i="25" l="1"/>
  <c r="W3776" i="25"/>
  <c r="X3779" i="25" l="1"/>
  <c r="W3777" i="25"/>
  <c r="X3780" i="25" l="1"/>
  <c r="W3778" i="25"/>
  <c r="X3781" i="25" l="1"/>
  <c r="W3779" i="25"/>
  <c r="X3782" i="25" l="1"/>
  <c r="W3780" i="25"/>
  <c r="X3783" i="25" l="1"/>
  <c r="W3781" i="25"/>
  <c r="X3784" i="25" l="1"/>
  <c r="W3782" i="25"/>
  <c r="X3785" i="25" l="1"/>
  <c r="W3783" i="25"/>
  <c r="X3786" i="25" l="1"/>
  <c r="W3784" i="25"/>
  <c r="X3787" i="25" l="1"/>
  <c r="W3785" i="25"/>
  <c r="X3788" i="25" l="1"/>
  <c r="W3786" i="25"/>
  <c r="X3789" i="25" l="1"/>
  <c r="W3787" i="25"/>
  <c r="X3790" i="25" l="1"/>
  <c r="W3788" i="25"/>
  <c r="X3791" i="25" l="1"/>
  <c r="W3789" i="25"/>
  <c r="X3792" i="25" l="1"/>
  <c r="W3790" i="25"/>
  <c r="X3793" i="25" l="1"/>
  <c r="W3791" i="25"/>
  <c r="X3794" i="25" l="1"/>
  <c r="W3792" i="25"/>
  <c r="X3795" i="25" l="1"/>
  <c r="W3793" i="25"/>
  <c r="X3796" i="25" l="1"/>
  <c r="W3794" i="25"/>
  <c r="X3797" i="25" l="1"/>
  <c r="W3795" i="25"/>
  <c r="X3798" i="25" l="1"/>
  <c r="W3796" i="25"/>
  <c r="X3799" i="25" l="1"/>
  <c r="W3797" i="25"/>
  <c r="X3800" i="25" l="1"/>
  <c r="W3798" i="25"/>
  <c r="X3801" i="25" l="1"/>
  <c r="W3799" i="25"/>
  <c r="X3802" i="25" l="1"/>
  <c r="W3800" i="25"/>
  <c r="X3803" i="25" l="1"/>
  <c r="W3801" i="25"/>
  <c r="X3804" i="25" l="1"/>
  <c r="W3802" i="25"/>
  <c r="X3805" i="25" l="1"/>
  <c r="W3803" i="25"/>
  <c r="X3806" i="25" l="1"/>
  <c r="W3804" i="25"/>
  <c r="X3807" i="25" l="1"/>
  <c r="W3805" i="25"/>
  <c r="X3808" i="25" l="1"/>
  <c r="W3806" i="25"/>
  <c r="X3809" i="25" l="1"/>
  <c r="W3807" i="25"/>
  <c r="X3810" i="25" l="1"/>
  <c r="W3808" i="25"/>
  <c r="X3811" i="25" l="1"/>
  <c r="W3809" i="25"/>
  <c r="X3812" i="25" l="1"/>
  <c r="W3810" i="25"/>
  <c r="X3813" i="25" l="1"/>
  <c r="W3811" i="25"/>
  <c r="X3814" i="25" l="1"/>
  <c r="W3812" i="25"/>
  <c r="X3815" i="25" l="1"/>
  <c r="W3813" i="25"/>
  <c r="X3816" i="25" l="1"/>
  <c r="W3814" i="25"/>
  <c r="X3817" i="25" l="1"/>
  <c r="W3815" i="25"/>
  <c r="X3818" i="25" l="1"/>
  <c r="W3816" i="25"/>
  <c r="X3819" i="25" l="1"/>
  <c r="W3817" i="25"/>
  <c r="X3820" i="25" l="1"/>
  <c r="W3818" i="25"/>
  <c r="X3821" i="25" l="1"/>
  <c r="W3819" i="25"/>
  <c r="X3822" i="25" l="1"/>
  <c r="W3820" i="25"/>
  <c r="X3823" i="25" l="1"/>
  <c r="W3821" i="25"/>
  <c r="X3824" i="25" l="1"/>
  <c r="W3822" i="25"/>
  <c r="X3825" i="25" l="1"/>
  <c r="W3823" i="25"/>
  <c r="X3826" i="25" l="1"/>
  <c r="W3824" i="25"/>
  <c r="X3827" i="25" l="1"/>
  <c r="W3825" i="25"/>
  <c r="X3828" i="25" l="1"/>
  <c r="W3826" i="25"/>
  <c r="X3829" i="25" l="1"/>
  <c r="W3827" i="25"/>
  <c r="X3830" i="25" l="1"/>
  <c r="W3828" i="25"/>
  <c r="X3831" i="25" l="1"/>
  <c r="W3829" i="25"/>
  <c r="X3832" i="25" l="1"/>
  <c r="W3830" i="25"/>
  <c r="X3833" i="25" l="1"/>
  <c r="W3831" i="25"/>
  <c r="X3834" i="25" l="1"/>
  <c r="W3832" i="25"/>
  <c r="X3835" i="25" l="1"/>
  <c r="W3833" i="25"/>
  <c r="X3836" i="25" l="1"/>
  <c r="W3834" i="25"/>
  <c r="X3837" i="25" l="1"/>
  <c r="W3835" i="25"/>
  <c r="X3838" i="25" l="1"/>
  <c r="W3836" i="25"/>
  <c r="X3839" i="25" l="1"/>
  <c r="W3837" i="25"/>
  <c r="X3840" i="25" l="1"/>
  <c r="W3838" i="25"/>
  <c r="X3841" i="25" l="1"/>
  <c r="W3839" i="25"/>
  <c r="X3842" i="25" l="1"/>
  <c r="W3840" i="25"/>
  <c r="X3843" i="25" l="1"/>
  <c r="W3841" i="25"/>
  <c r="X3844" i="25" l="1"/>
  <c r="W3842" i="25"/>
  <c r="X3845" i="25" l="1"/>
  <c r="W3843" i="25"/>
  <c r="X3846" i="25" l="1"/>
  <c r="W3844" i="25"/>
  <c r="X3847" i="25" l="1"/>
  <c r="W3845" i="25"/>
  <c r="X3848" i="25" l="1"/>
  <c r="W3846" i="25"/>
  <c r="X3849" i="25" l="1"/>
  <c r="W3847" i="25"/>
  <c r="X3850" i="25" l="1"/>
  <c r="W3848" i="25"/>
  <c r="X3851" i="25" l="1"/>
  <c r="W3849" i="25"/>
  <c r="X3852" i="25" l="1"/>
  <c r="W3850" i="25"/>
  <c r="X3853" i="25" l="1"/>
  <c r="W3851" i="25"/>
  <c r="X3854" i="25" l="1"/>
  <c r="W3852" i="25"/>
  <c r="X3855" i="25" l="1"/>
  <c r="W3853" i="25"/>
  <c r="X3856" i="25" l="1"/>
  <c r="W3854" i="25"/>
  <c r="X3857" i="25" l="1"/>
  <c r="W3855" i="25"/>
  <c r="X3858" i="25" l="1"/>
  <c r="W3856" i="25"/>
  <c r="X3859" i="25" l="1"/>
  <c r="W3857" i="25"/>
  <c r="X3860" i="25" l="1"/>
  <c r="W3858" i="25"/>
  <c r="X3861" i="25" l="1"/>
  <c r="W3859" i="25"/>
  <c r="X3862" i="25" l="1"/>
  <c r="W3860" i="25"/>
  <c r="X3863" i="25" l="1"/>
  <c r="W3861" i="25"/>
  <c r="X3864" i="25" l="1"/>
  <c r="W3862" i="25"/>
  <c r="X3865" i="25" l="1"/>
  <c r="W3863" i="25"/>
  <c r="X3866" i="25" l="1"/>
  <c r="W3864" i="25"/>
  <c r="X3867" i="25" l="1"/>
  <c r="W3865" i="25"/>
  <c r="X3868" i="25" l="1"/>
  <c r="W3866" i="25"/>
  <c r="X3869" i="25" l="1"/>
  <c r="W3867" i="25"/>
  <c r="X3870" i="25" l="1"/>
  <c r="W3868" i="25"/>
  <c r="X3871" i="25" l="1"/>
  <c r="W3869" i="25"/>
  <c r="X3872" i="25" l="1"/>
  <c r="W3870" i="25"/>
  <c r="X3873" i="25" l="1"/>
  <c r="W3871" i="25"/>
  <c r="X3874" i="25" l="1"/>
  <c r="W3872" i="25"/>
  <c r="X3875" i="25" l="1"/>
  <c r="W3873" i="25"/>
  <c r="X3876" i="25" l="1"/>
  <c r="W3874" i="25"/>
  <c r="X3877" i="25" l="1"/>
  <c r="W3875" i="25"/>
  <c r="X3878" i="25" l="1"/>
  <c r="W3876" i="25"/>
  <c r="X3879" i="25" l="1"/>
  <c r="W3877" i="25"/>
  <c r="X3880" i="25" l="1"/>
  <c r="W3878" i="25"/>
  <c r="X3881" i="25" l="1"/>
  <c r="W3879" i="25"/>
  <c r="X3882" i="25" l="1"/>
  <c r="W3880" i="25"/>
  <c r="X3883" i="25" l="1"/>
  <c r="W3881" i="25"/>
  <c r="X3884" i="25" l="1"/>
  <c r="W3882" i="25"/>
  <c r="X3885" i="25" l="1"/>
  <c r="W3883" i="25"/>
  <c r="X3886" i="25" l="1"/>
  <c r="W3884" i="25"/>
  <c r="X3887" i="25" l="1"/>
  <c r="W3885" i="25"/>
  <c r="X3888" i="25" l="1"/>
  <c r="W3886" i="25"/>
  <c r="X3889" i="25" l="1"/>
  <c r="W3887" i="25"/>
  <c r="X3890" i="25" l="1"/>
  <c r="W3888" i="25"/>
  <c r="X3891" i="25" l="1"/>
  <c r="W3889" i="25"/>
  <c r="X3892" i="25" l="1"/>
  <c r="W3890" i="25"/>
  <c r="X3893" i="25" l="1"/>
  <c r="W3891" i="25"/>
  <c r="X3894" i="25" l="1"/>
  <c r="W3892" i="25"/>
  <c r="X3895" i="25" l="1"/>
  <c r="W3893" i="25"/>
  <c r="X3896" i="25" l="1"/>
  <c r="W3894" i="25"/>
  <c r="X3897" i="25" l="1"/>
  <c r="W3895" i="25"/>
  <c r="X3898" i="25" l="1"/>
  <c r="W3896" i="25"/>
  <c r="X3899" i="25" l="1"/>
  <c r="W3897" i="25"/>
  <c r="X3900" i="25" l="1"/>
  <c r="W3898" i="25"/>
  <c r="X3901" i="25" l="1"/>
  <c r="W3899" i="25"/>
  <c r="X3902" i="25" l="1"/>
  <c r="W3900" i="25"/>
  <c r="X3903" i="25" l="1"/>
  <c r="W3901" i="25"/>
  <c r="X3904" i="25" l="1"/>
  <c r="W3902" i="25"/>
  <c r="X3905" i="25" l="1"/>
  <c r="W3903" i="25"/>
  <c r="X3906" i="25" l="1"/>
  <c r="W3904" i="25"/>
  <c r="X3907" i="25" l="1"/>
  <c r="W3905" i="25"/>
  <c r="X3908" i="25" l="1"/>
  <c r="W3906" i="25"/>
  <c r="X3909" i="25" l="1"/>
  <c r="W3907" i="25"/>
  <c r="X3910" i="25" l="1"/>
  <c r="W3908" i="25"/>
  <c r="X3911" i="25" l="1"/>
  <c r="W3909" i="25"/>
  <c r="X3912" i="25" l="1"/>
  <c r="W3910" i="25"/>
  <c r="X3913" i="25" l="1"/>
  <c r="W3911" i="25"/>
  <c r="X3914" i="25" l="1"/>
  <c r="W3912" i="25"/>
  <c r="X3915" i="25" l="1"/>
  <c r="W3913" i="25"/>
  <c r="X3916" i="25" l="1"/>
  <c r="W3914" i="25"/>
  <c r="X3917" i="25" l="1"/>
  <c r="W3915" i="25"/>
  <c r="X3918" i="25" l="1"/>
  <c r="W3916" i="25"/>
  <c r="X3919" i="25" l="1"/>
  <c r="W3917" i="25"/>
  <c r="X3920" i="25" l="1"/>
  <c r="W3918" i="25"/>
  <c r="X3921" i="25" l="1"/>
  <c r="W3919" i="25"/>
  <c r="X3922" i="25" l="1"/>
  <c r="W3920" i="25"/>
  <c r="X3923" i="25" l="1"/>
  <c r="W3921" i="25"/>
  <c r="X3924" i="25" l="1"/>
  <c r="W3922" i="25"/>
  <c r="X3925" i="25" l="1"/>
  <c r="W3923" i="25"/>
  <c r="X3926" i="25" l="1"/>
  <c r="W3924" i="25"/>
  <c r="X3927" i="25" l="1"/>
  <c r="W3925" i="25"/>
  <c r="X3928" i="25" l="1"/>
  <c r="W3926" i="25"/>
  <c r="X3929" i="25" l="1"/>
  <c r="W3927" i="25"/>
  <c r="X3930" i="25" l="1"/>
  <c r="W3928" i="25"/>
  <c r="X3931" i="25" l="1"/>
  <c r="W3929" i="25"/>
  <c r="X3932" i="25" l="1"/>
  <c r="W3930" i="25"/>
  <c r="X3933" i="25" l="1"/>
  <c r="W3931" i="25"/>
  <c r="X3934" i="25" l="1"/>
  <c r="W3932" i="25"/>
  <c r="X3935" i="25" l="1"/>
  <c r="W3933" i="25"/>
  <c r="X3936" i="25" l="1"/>
  <c r="W3934" i="25"/>
  <c r="X3937" i="25" l="1"/>
  <c r="W3935" i="25"/>
  <c r="X3938" i="25" l="1"/>
  <c r="W3936" i="25"/>
  <c r="X3939" i="25" l="1"/>
  <c r="W3937" i="25"/>
  <c r="X3940" i="25" l="1"/>
  <c r="W3938" i="25"/>
  <c r="X3941" i="25" l="1"/>
  <c r="W3939" i="25"/>
  <c r="X3942" i="25" l="1"/>
  <c r="W3940" i="25"/>
  <c r="X3943" i="25" l="1"/>
  <c r="W3941" i="25"/>
  <c r="X3944" i="25" l="1"/>
  <c r="W3942" i="25"/>
  <c r="X3945" i="25" l="1"/>
  <c r="W3943" i="25"/>
  <c r="X3946" i="25" l="1"/>
  <c r="W3944" i="25"/>
  <c r="X3947" i="25" l="1"/>
  <c r="W3945" i="25"/>
  <c r="X3948" i="25" l="1"/>
  <c r="W3946" i="25"/>
  <c r="X3949" i="25" l="1"/>
  <c r="W3947" i="25"/>
  <c r="X3950" i="25" l="1"/>
  <c r="W3948" i="25"/>
  <c r="X3951" i="25" l="1"/>
  <c r="W3949" i="25"/>
  <c r="X3952" i="25" l="1"/>
  <c r="W3950" i="25"/>
  <c r="X3953" i="25" l="1"/>
  <c r="W3951" i="25"/>
  <c r="X3954" i="25" l="1"/>
  <c r="W3952" i="25"/>
  <c r="X3955" i="25" l="1"/>
  <c r="W3953" i="25"/>
  <c r="X3956" i="25" l="1"/>
  <c r="W3954" i="25"/>
  <c r="X3957" i="25" l="1"/>
  <c r="W3955" i="25"/>
  <c r="X3958" i="25" l="1"/>
  <c r="W3956" i="25"/>
  <c r="X3959" i="25" l="1"/>
  <c r="W3957" i="25"/>
  <c r="X3960" i="25" l="1"/>
  <c r="W3958" i="25"/>
  <c r="X3961" i="25" l="1"/>
  <c r="W3959" i="25"/>
  <c r="X3962" i="25" l="1"/>
  <c r="W3960" i="25"/>
  <c r="X3963" i="25" l="1"/>
  <c r="W3961" i="25"/>
  <c r="X3964" i="25" l="1"/>
  <c r="W3962" i="25"/>
  <c r="X3965" i="25" l="1"/>
  <c r="W3963" i="25"/>
  <c r="X3966" i="25" l="1"/>
  <c r="W3964" i="25"/>
  <c r="X3967" i="25" l="1"/>
  <c r="W3965" i="25"/>
  <c r="X3968" i="25" l="1"/>
  <c r="W3966" i="25"/>
  <c r="X3969" i="25" l="1"/>
  <c r="W3967" i="25"/>
  <c r="X3970" i="25" l="1"/>
  <c r="W3968" i="25"/>
  <c r="X3971" i="25" l="1"/>
  <c r="W3969" i="25"/>
  <c r="X3972" i="25" l="1"/>
  <c r="W3970" i="25"/>
  <c r="X3973" i="25" l="1"/>
  <c r="W3971" i="25"/>
  <c r="X3974" i="25" l="1"/>
  <c r="W3972" i="25"/>
  <c r="X3975" i="25" l="1"/>
  <c r="W3973" i="25"/>
  <c r="X3976" i="25" l="1"/>
  <c r="W3974" i="25"/>
  <c r="X3977" i="25" l="1"/>
  <c r="W3975" i="25"/>
  <c r="X3978" i="25" l="1"/>
  <c r="W3976" i="25"/>
  <c r="X3979" i="25" l="1"/>
  <c r="W3977" i="25"/>
  <c r="X3980" i="25" l="1"/>
  <c r="W3978" i="25"/>
  <c r="X3981" i="25" l="1"/>
  <c r="W3979" i="25"/>
  <c r="X3982" i="25" l="1"/>
  <c r="W3980" i="25"/>
  <c r="X3983" i="25" l="1"/>
  <c r="W3981" i="25"/>
  <c r="X3984" i="25" l="1"/>
  <c r="W3982" i="25"/>
  <c r="X3985" i="25" l="1"/>
  <c r="X3986" i="25" s="1"/>
  <c r="X3987" i="25" s="1"/>
  <c r="X3988" i="25" s="1"/>
  <c r="X3989" i="25" s="1"/>
  <c r="X3990" i="25" s="1"/>
  <c r="X3991" i="25" s="1"/>
  <c r="X3992" i="25" s="1"/>
  <c r="X3993" i="25" s="1"/>
  <c r="X3994" i="25" s="1"/>
  <c r="X3995" i="25" s="1"/>
  <c r="X3996" i="25" s="1"/>
  <c r="X3997" i="25" s="1"/>
  <c r="X3998" i="25" s="1"/>
  <c r="X3999" i="25" s="1"/>
  <c r="X4000" i="25" s="1"/>
  <c r="X4001" i="25" s="1"/>
  <c r="X4002" i="25" s="1"/>
  <c r="X4003" i="25" s="1"/>
  <c r="X4004" i="25" s="1"/>
  <c r="X4005" i="25" s="1"/>
  <c r="X4006" i="25" s="1"/>
  <c r="X4007" i="25" s="1"/>
  <c r="X4008" i="25" s="1"/>
  <c r="X4009" i="25" s="1"/>
  <c r="X4010" i="25" s="1"/>
  <c r="X4011" i="25" s="1"/>
  <c r="X4012" i="25" s="1"/>
  <c r="X4013" i="25" s="1"/>
  <c r="X4014" i="25" s="1"/>
  <c r="X4015" i="25" s="1"/>
  <c r="X4016" i="25" s="1"/>
  <c r="X4017" i="25" s="1"/>
  <c r="X4018" i="25" s="1"/>
  <c r="X4019" i="25" s="1"/>
  <c r="X4020" i="25" s="1"/>
  <c r="X4021" i="25" s="1"/>
  <c r="X4022" i="25" s="1"/>
  <c r="X4023" i="25" s="1"/>
  <c r="X4024" i="25" s="1"/>
  <c r="X4025" i="25" s="1"/>
  <c r="X4026" i="25" s="1"/>
  <c r="X4027" i="25" s="1"/>
  <c r="X4028" i="25" s="1"/>
  <c r="X4029" i="25" s="1"/>
  <c r="X4030" i="25" s="1"/>
  <c r="X4031" i="25" s="1"/>
  <c r="X4032" i="25" s="1"/>
  <c r="X4033" i="25" s="1"/>
  <c r="X4034" i="25" s="1"/>
  <c r="X4035" i="25" s="1"/>
  <c r="X4036" i="25" s="1"/>
  <c r="X4037" i="25" s="1"/>
  <c r="X4038" i="25" s="1"/>
  <c r="X4039" i="25" s="1"/>
  <c r="X4040" i="25" s="1"/>
  <c r="X4041" i="25" s="1"/>
  <c r="X4042" i="25" s="1"/>
  <c r="X4043" i="25" s="1"/>
  <c r="X4044" i="25" s="1"/>
  <c r="X4045" i="25" s="1"/>
  <c r="X4046" i="25" s="1"/>
  <c r="X4047" i="25" s="1"/>
  <c r="X4048" i="25" s="1"/>
  <c r="X4049" i="25" s="1"/>
  <c r="X4050" i="25" s="1"/>
  <c r="X4051" i="25" s="1"/>
  <c r="X4052" i="25" s="1"/>
  <c r="X4053" i="25" s="1"/>
  <c r="X4054" i="25" s="1"/>
  <c r="X4055" i="25" s="1"/>
  <c r="X4056" i="25" s="1"/>
  <c r="X4057" i="25" s="1"/>
  <c r="X4058" i="25" s="1"/>
  <c r="W3983" i="25"/>
  <c r="W3984" i="25" l="1"/>
  <c r="W3985" i="25" l="1"/>
  <c r="W3986" i="25" l="1"/>
  <c r="N12" i="25" l="1"/>
  <c r="W3987" i="25"/>
  <c r="W3988" i="25" s="1"/>
  <c r="W3989" i="25" s="1"/>
  <c r="W3990" i="25" s="1"/>
  <c r="W3991" i="25" s="1"/>
  <c r="W3992" i="25" s="1"/>
  <c r="W3993" i="25" s="1"/>
  <c r="W3994" i="25" s="1"/>
  <c r="W3995" i="25" s="1"/>
  <c r="W3996" i="25" s="1"/>
  <c r="W3997" i="25" s="1"/>
  <c r="W3998" i="25" s="1"/>
  <c r="W3999" i="25" s="1"/>
  <c r="W4000" i="25" s="1"/>
  <c r="W4001" i="25" s="1"/>
  <c r="W4002" i="25" s="1"/>
  <c r="W4003" i="25" s="1"/>
  <c r="W4004" i="25" s="1"/>
  <c r="W4005" i="25" s="1"/>
  <c r="W4006" i="25" s="1"/>
  <c r="W4007" i="25" s="1"/>
  <c r="W4008" i="25" s="1"/>
  <c r="W4009" i="25" s="1"/>
  <c r="W4010" i="25" s="1"/>
  <c r="W4011" i="25" s="1"/>
  <c r="W4012" i="25" s="1"/>
  <c r="W4013" i="25" s="1"/>
  <c r="W4014" i="25" s="1"/>
  <c r="W4015" i="25" s="1"/>
  <c r="W4016" i="25" s="1"/>
  <c r="W4017" i="25" s="1"/>
  <c r="W4018" i="25" s="1"/>
  <c r="W4019" i="25" s="1"/>
  <c r="W4020" i="25" s="1"/>
  <c r="W4021" i="25" s="1"/>
  <c r="W4022" i="25" s="1"/>
  <c r="W4023" i="25" s="1"/>
  <c r="W4024" i="25" s="1"/>
  <c r="W4025" i="25" s="1"/>
  <c r="W4026" i="25" s="1"/>
  <c r="W4027" i="25" s="1"/>
  <c r="W4028" i="25" s="1"/>
  <c r="W4029" i="25" s="1"/>
  <c r="W4030" i="25" s="1"/>
  <c r="W4031" i="25" s="1"/>
  <c r="W4032" i="25" s="1"/>
  <c r="W4033" i="25" s="1"/>
  <c r="W4034" i="25" s="1"/>
  <c r="W4035" i="25" s="1"/>
  <c r="W4036" i="25" s="1"/>
  <c r="W4037" i="25" s="1"/>
  <c r="W4038" i="25" s="1"/>
  <c r="W4039" i="25" s="1"/>
  <c r="W4040" i="25" s="1"/>
  <c r="W4041" i="25" s="1"/>
  <c r="W4042" i="25" s="1"/>
  <c r="W4043" i="25" s="1"/>
  <c r="W4044" i="25" s="1"/>
  <c r="W4045" i="25" s="1"/>
  <c r="W4046" i="25" s="1"/>
  <c r="W4047" i="25" s="1"/>
  <c r="W4048" i="25" s="1"/>
  <c r="W4049" i="25" s="1"/>
  <c r="W4050" i="25" s="1"/>
  <c r="W4051" i="25" s="1"/>
  <c r="W4052" i="25" s="1"/>
  <c r="W4053" i="25" s="1"/>
  <c r="W4054" i="25" s="1"/>
  <c r="W4055" i="25" s="1"/>
  <c r="W4056" i="25" s="1"/>
  <c r="W4057" i="25" s="1"/>
  <c r="W4058" i="25" s="1"/>
  <c r="N11" i="25" s="1"/>
  <c r="F35" i="28" l="1"/>
  <c r="F26" i="28"/>
  <c r="F13" i="28"/>
  <c r="F27" i="28"/>
  <c r="F18" i="28"/>
  <c r="F17" i="28"/>
  <c r="F40" i="28"/>
  <c r="F12" i="28"/>
  <c r="F23" i="28"/>
  <c r="F43" i="28"/>
  <c r="F11" i="28"/>
  <c r="F29" i="28"/>
  <c r="F41" i="28"/>
  <c r="F21" i="28"/>
  <c r="F34" i="28"/>
  <c r="F39" i="28"/>
  <c r="F20" i="28"/>
  <c r="F37" i="28"/>
  <c r="F10" i="28"/>
  <c r="F24" i="28"/>
  <c r="F14" i="28"/>
  <c r="F28" i="28"/>
  <c r="F31" i="28"/>
  <c r="F19" i="28"/>
  <c r="F44" i="28"/>
  <c r="F25" i="28"/>
  <c r="F33" i="28"/>
  <c r="F38" i="28"/>
  <c r="F15" i="28"/>
  <c r="F22" i="28"/>
  <c r="F30" i="28"/>
  <c r="F42" i="28"/>
  <c r="F16" i="28"/>
  <c r="F9" i="28"/>
  <c r="F36" i="28"/>
  <c r="T16" i="19" l="1"/>
  <c r="T11" i="19"/>
  <c r="E4" i="19"/>
  <c r="E12" i="19"/>
  <c r="E17" i="19"/>
  <c r="E7" i="19"/>
  <c r="I53" i="19" l="1"/>
  <c r="I54" i="19" s="1"/>
  <c r="I55" i="19" s="1"/>
  <c r="I57" i="19" s="1"/>
  <c r="H45" i="19"/>
  <c r="H46" i="19" s="1"/>
  <c r="H48" i="19" s="1"/>
  <c r="H53" i="19"/>
  <c r="H54" i="19" s="1"/>
  <c r="H55" i="19" s="1"/>
  <c r="H57" i="19" s="1"/>
  <c r="G45" i="19"/>
  <c r="G46" i="19" s="1"/>
  <c r="G48" i="19" s="1"/>
  <c r="F45" i="19"/>
  <c r="F46" i="19" s="1"/>
  <c r="F48" i="19" s="1"/>
  <c r="G53" i="19"/>
  <c r="G54" i="19" s="1"/>
  <c r="G55" i="19" s="1"/>
  <c r="G57" i="19" s="1"/>
  <c r="E45" i="19"/>
  <c r="E46" i="19" s="1"/>
  <c r="E48" i="19" s="1"/>
  <c r="F53" i="19"/>
  <c r="F54" i="19" s="1"/>
  <c r="F55" i="19" s="1"/>
  <c r="F57" i="19" s="1"/>
  <c r="D7" i="19"/>
  <c r="D9" i="19" s="1"/>
  <c r="D17" i="19"/>
  <c r="D19" i="19" s="1"/>
  <c r="D12" i="19"/>
  <c r="D14" i="19" s="1"/>
  <c r="D4" i="19"/>
  <c r="D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ware4</author>
  </authors>
  <commentList>
    <comment ref="B6" authorId="0" shapeId="0" xr:uid="{7406970E-6684-0047-98AD-00CBABB5EB54}">
      <text>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ware4</author>
  </authors>
  <commentList>
    <comment ref="S6" authorId="0" shapeId="0" xr:uid="{9BD07789-14A8-4CB8-A101-3880CCE8DA8E}">
      <text>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<sst xmlns="http://schemas.openxmlformats.org/spreadsheetml/2006/main" count="1606" uniqueCount="722">
  <si>
    <t>MVRV处理</t>
    <phoneticPr fontId="2" type="noConversion"/>
  </si>
  <si>
    <t>S2F处理2</t>
    <phoneticPr fontId="2" type="noConversion"/>
  </si>
  <si>
    <t>MVRV理论</t>
    <phoneticPr fontId="2" type="noConversion"/>
  </si>
  <si>
    <t>S2F理论</t>
    <phoneticPr fontId="2" type="noConversion"/>
  </si>
  <si>
    <t>S2F(月,$)</t>
    <phoneticPr fontId="2" type="noConversion"/>
  </si>
  <si>
    <t>MVRV</t>
    <phoneticPr fontId="2" type="noConversion"/>
  </si>
  <si>
    <t>价格</t>
    <phoneticPr fontId="2" type="noConversion"/>
  </si>
  <si>
    <t>A1</t>
    <phoneticPr fontId="2" type="noConversion"/>
  </si>
  <si>
    <t>B1</t>
    <phoneticPr fontId="2" type="noConversion"/>
  </si>
  <si>
    <t>MVRV处理2</t>
    <phoneticPr fontId="2" type="noConversion"/>
  </si>
  <si>
    <t>S2F处理</t>
    <phoneticPr fontId="2" type="noConversion"/>
  </si>
  <si>
    <t>A2</t>
    <phoneticPr fontId="2" type="noConversion"/>
  </si>
  <si>
    <t>牛熊指数</t>
    <phoneticPr fontId="2" type="noConversion"/>
  </si>
  <si>
    <t>S2F(月预测价格,$)</t>
    <phoneticPr fontId="2" type="noConversion"/>
  </si>
  <si>
    <t>比特币价格</t>
    <phoneticPr fontId="2" type="noConversion"/>
  </si>
  <si>
    <t>输入数据</t>
    <phoneticPr fontId="2" type="noConversion"/>
  </si>
  <si>
    <r>
      <rPr>
        <sz val="12"/>
        <color theme="4"/>
        <rFont val="等线"/>
        <family val="2"/>
        <charset val="134"/>
        <scheme val="minor"/>
      </rPr>
      <t>输入数据</t>
    </r>
    <phoneticPr fontId="2" type="noConversion"/>
  </si>
  <si>
    <r>
      <rPr>
        <sz val="12"/>
        <color theme="4"/>
        <rFont val="等线"/>
        <family val="2"/>
        <charset val="134"/>
      </rPr>
      <t>输入数据</t>
    </r>
    <phoneticPr fontId="2" type="noConversion"/>
  </si>
  <si>
    <r>
      <t>时钟</t>
    </r>
    <r>
      <rPr>
        <sz val="12"/>
        <color theme="1"/>
        <rFont val="等线 (正文)"/>
        <family val="3"/>
        <charset val="134"/>
      </rPr>
      <t>x</t>
    </r>
    <r>
      <rPr>
        <sz val="12"/>
        <color theme="1"/>
        <rFont val="等线 (正文)"/>
        <family val="2"/>
        <charset val="134"/>
      </rPr>
      <t>轴</t>
    </r>
    <phoneticPr fontId="2" type="noConversion"/>
  </si>
  <si>
    <r>
      <rPr>
        <sz val="12"/>
        <color theme="1"/>
        <rFont val="等线"/>
        <family val="2"/>
        <charset val="134"/>
      </rPr>
      <t>时钟</t>
    </r>
    <r>
      <rPr>
        <sz val="12"/>
        <color theme="1"/>
        <rFont val="等线 (正文)"/>
        <family val="3"/>
        <charset val="134"/>
      </rPr>
      <t>y</t>
    </r>
    <r>
      <rPr>
        <sz val="12"/>
        <color theme="1"/>
        <rFont val="等线"/>
        <family val="2"/>
        <charset val="134"/>
      </rPr>
      <t>轴</t>
    </r>
    <phoneticPr fontId="2" type="noConversion"/>
  </si>
  <si>
    <t>神经网络
推荐仓位</t>
    <phoneticPr fontId="2" type="noConversion"/>
  </si>
  <si>
    <t>此表格经 BFM Unity 创始人 Guhhhhaa 审计</t>
    <phoneticPr fontId="2" type="noConversion"/>
  </si>
  <si>
    <t>基本信息设置1</t>
    <phoneticPr fontId="2" type="noConversion"/>
  </si>
  <si>
    <t>信用卡存款准备金率(%)</t>
    <phoneticPr fontId="2" type="noConversion"/>
  </si>
  <si>
    <t>变更策略资金占用率(%)</t>
    <phoneticPr fontId="2" type="noConversion"/>
  </si>
  <si>
    <t>场内外综合流动准备金(¥)</t>
    <phoneticPr fontId="2" type="noConversion"/>
  </si>
  <si>
    <t>交易所流动准备金占用率(%)</t>
    <phoneticPr fontId="2" type="noConversion"/>
  </si>
  <si>
    <t>交易所资金银行卡折算率(%)</t>
    <phoneticPr fontId="2" type="noConversion"/>
  </si>
  <si>
    <t>银行卡生活流动准备金(¥)</t>
    <phoneticPr fontId="2" type="noConversion"/>
  </si>
  <si>
    <t>信用卡手续费准备金率(%)</t>
    <phoneticPr fontId="2" type="noConversion"/>
  </si>
  <si>
    <t>https://www.bfm-unity.com/</t>
  </si>
  <si>
    <t>基本信息设置2</t>
    <phoneticPr fontId="2" type="noConversion"/>
  </si>
  <si>
    <t>纳指收益率(%)</t>
    <phoneticPr fontId="2" type="noConversion"/>
  </si>
  <si>
    <t>纳指夏普率</t>
    <phoneticPr fontId="2" type="noConversion"/>
  </si>
  <si>
    <t>纳指最大仓位理论(%)</t>
    <phoneticPr fontId="2" type="noConversion"/>
  </si>
  <si>
    <t>纳指最大仓位实际(%)</t>
    <phoneticPr fontId="2" type="noConversion"/>
  </si>
  <si>
    <t>巴菲特(%)</t>
    <phoneticPr fontId="2" type="noConversion"/>
  </si>
  <si>
    <t>S2F月目标价</t>
    <phoneticPr fontId="2" type="noConversion"/>
  </si>
  <si>
    <t>CAPE</t>
    <phoneticPr fontId="2" type="noConversion"/>
  </si>
  <si>
    <t>监测面板</t>
    <phoneticPr fontId="2" type="noConversion"/>
  </si>
  <si>
    <t>当前仓位</t>
    <phoneticPr fontId="2" type="noConversion"/>
  </si>
  <si>
    <t>仓位变化</t>
    <phoneticPr fontId="2" type="noConversion"/>
  </si>
  <si>
    <t>操作顺序</t>
    <phoneticPr fontId="2" type="noConversion"/>
  </si>
  <si>
    <t>图例</t>
    <phoneticPr fontId="2" type="noConversion"/>
  </si>
  <si>
    <t>理论数值</t>
    <phoneticPr fontId="2" type="noConversion"/>
  </si>
  <si>
    <t>实际数值</t>
    <phoneticPr fontId="2" type="noConversion"/>
  </si>
  <si>
    <t>¥</t>
    <phoneticPr fontId="2" type="noConversion"/>
  </si>
  <si>
    <t>$</t>
    <phoneticPr fontId="2" type="noConversion"/>
  </si>
  <si>
    <t>¥(+)</t>
    <phoneticPr fontId="2" type="noConversion"/>
  </si>
  <si>
    <t>基金份额</t>
    <phoneticPr fontId="2" type="noConversion"/>
  </si>
  <si>
    <t>$(-)</t>
    <phoneticPr fontId="2" type="noConversion"/>
  </si>
  <si>
    <t>%</t>
    <phoneticPr fontId="2" type="noConversion"/>
  </si>
  <si>
    <r>
      <rPr>
        <sz val="12"/>
        <color theme="0"/>
        <rFont val="等线"/>
        <family val="2"/>
        <charset val="134"/>
        <scheme val="minor"/>
      </rPr>
      <t>杠</t>
    </r>
    <r>
      <rPr>
        <sz val="12"/>
        <color theme="0"/>
        <rFont val="等线 (正文)"/>
        <family val="3"/>
        <charset val="134"/>
      </rPr>
      <t>杆率</t>
    </r>
    <phoneticPr fontId="2" type="noConversion"/>
  </si>
  <si>
    <t>推荐杠杆率</t>
    <phoneticPr fontId="2" type="noConversion"/>
  </si>
  <si>
    <t>$/¥</t>
    <phoneticPr fontId="2" type="noConversion"/>
  </si>
  <si>
    <t>USDT/DAI</t>
    <phoneticPr fontId="2" type="noConversion"/>
  </si>
  <si>
    <t>BTC/ETH</t>
    <phoneticPr fontId="2" type="noConversion"/>
  </si>
  <si>
    <t>零钱</t>
    <phoneticPr fontId="2" type="noConversion"/>
  </si>
  <si>
    <t>纳指</t>
    <phoneticPr fontId="2" type="noConversion"/>
  </si>
  <si>
    <t>负债(交通)</t>
    <phoneticPr fontId="2" type="noConversion"/>
  </si>
  <si>
    <t>负债(浦发)</t>
    <phoneticPr fontId="2" type="noConversion"/>
  </si>
  <si>
    <t>总负债</t>
    <phoneticPr fontId="2" type="noConversion"/>
  </si>
  <si>
    <t>净资产</t>
    <phoneticPr fontId="2" type="noConversion"/>
  </si>
  <si>
    <t>流入币圈资金(¥)</t>
    <phoneticPr fontId="2" type="noConversion"/>
  </si>
  <si>
    <t>总资本</t>
    <phoneticPr fontId="2" type="noConversion"/>
  </si>
  <si>
    <t>买，+</t>
    <phoneticPr fontId="2" type="noConversion"/>
  </si>
  <si>
    <t>动作</t>
    <phoneticPr fontId="2" type="noConversion"/>
  </si>
  <si>
    <t>卖，-</t>
    <phoneticPr fontId="2" type="noConversion"/>
  </si>
  <si>
    <t>现金</t>
    <phoneticPr fontId="2" type="noConversion"/>
  </si>
  <si>
    <t>买，-</t>
    <phoneticPr fontId="2" type="noConversion"/>
  </si>
  <si>
    <t>状态</t>
    <phoneticPr fontId="2" type="noConversion"/>
  </si>
  <si>
    <t>卖，+</t>
    <phoneticPr fontId="2" type="noConversion"/>
  </si>
  <si>
    <t>杠杆计算器</t>
    <phoneticPr fontId="2" type="noConversion"/>
  </si>
  <si>
    <t>杠杆倍数</t>
    <phoneticPr fontId="2" type="noConversion"/>
  </si>
  <si>
    <t>代币价值($)</t>
    <phoneticPr fontId="2" type="noConversion"/>
  </si>
  <si>
    <t>杠杆代币比重</t>
    <phoneticPr fontId="2" type="noConversion"/>
  </si>
  <si>
    <t>记录仪</t>
    <phoneticPr fontId="2" type="noConversion"/>
  </si>
  <si>
    <t>同架策略</t>
    <phoneticPr fontId="2" type="noConversion"/>
  </si>
  <si>
    <t>日期</t>
    <phoneticPr fontId="2" type="noConversion"/>
  </si>
  <si>
    <t>今天</t>
    <phoneticPr fontId="2" type="noConversion"/>
  </si>
  <si>
    <t>基金净值</t>
    <phoneticPr fontId="2" type="noConversion"/>
  </si>
  <si>
    <t>纳斯达克指数金额</t>
    <phoneticPr fontId="2" type="noConversion"/>
  </si>
  <si>
    <t>其他金额</t>
    <phoneticPr fontId="2" type="noConversion"/>
  </si>
  <si>
    <t>USDT/DAI($)</t>
    <phoneticPr fontId="2" type="noConversion"/>
  </si>
  <si>
    <t>USDT/DAI(¥)</t>
    <phoneticPr fontId="2" type="noConversion"/>
  </si>
  <si>
    <t>BTC/ETH($)</t>
    <phoneticPr fontId="2" type="noConversion"/>
  </si>
  <si>
    <t>BTC/ETH(¥)</t>
    <phoneticPr fontId="2" type="noConversion"/>
  </si>
  <si>
    <t>非DeFi净资产</t>
    <phoneticPr fontId="2" type="noConversion"/>
  </si>
  <si>
    <t>非DeFi总资本</t>
    <phoneticPr fontId="2" type="noConversion"/>
  </si>
  <si>
    <t>DeFi资产</t>
    <phoneticPr fontId="2" type="noConversion"/>
  </si>
  <si>
    <t>卓尔金历法</t>
    <phoneticPr fontId="2" type="noConversion"/>
  </si>
  <si>
    <t>+加，-去 (¥)</t>
    <phoneticPr fontId="2" type="noConversion"/>
  </si>
  <si>
    <t>其他负债</t>
    <phoneticPr fontId="2" type="noConversion"/>
  </si>
  <si>
    <t>今日</t>
    <phoneticPr fontId="2" type="noConversion"/>
  </si>
  <si>
    <t>对象</t>
    <phoneticPr fontId="2" type="noConversion"/>
  </si>
  <si>
    <t>A</t>
    <phoneticPr fontId="2" type="noConversion"/>
  </si>
  <si>
    <t>B</t>
    <phoneticPr fontId="2" type="noConversion"/>
  </si>
  <si>
    <t>else</t>
    <phoneticPr fontId="2" type="noConversion"/>
  </si>
  <si>
    <t>C</t>
    <phoneticPr fontId="2" type="noConversion"/>
  </si>
  <si>
    <t>B&amp;C</t>
    <phoneticPr fontId="2" type="noConversion"/>
  </si>
  <si>
    <t>A&amp;C</t>
    <phoneticPr fontId="2" type="noConversion"/>
  </si>
  <si>
    <t>A&amp;B</t>
    <phoneticPr fontId="2" type="noConversion"/>
  </si>
  <si>
    <t>2c</t>
    <phoneticPr fontId="2" type="noConversion"/>
  </si>
  <si>
    <t>2b</t>
    <phoneticPr fontId="2" type="noConversion"/>
  </si>
  <si>
    <t>2a</t>
    <phoneticPr fontId="2" type="noConversion"/>
  </si>
  <si>
    <t>a+b-c=1-2c</t>
    <phoneticPr fontId="2" type="noConversion"/>
  </si>
  <si>
    <t>ReLU(a-b-c=2a-1)</t>
    <phoneticPr fontId="2" type="noConversion"/>
  </si>
  <si>
    <t>a-b-c=2a-1</t>
    <phoneticPr fontId="2" type="noConversion"/>
  </si>
  <si>
    <t>b-a-c=2b-1</t>
    <phoneticPr fontId="2" type="noConversion"/>
  </si>
  <si>
    <t>c-a-b=2c-1</t>
    <phoneticPr fontId="2" type="noConversion"/>
  </si>
  <si>
    <t>ReLU(b-a-c=2b-1)</t>
    <phoneticPr fontId="2" type="noConversion"/>
  </si>
  <si>
    <t>ReLU(c-a-b=2c-1)</t>
    <phoneticPr fontId="2" type="noConversion"/>
  </si>
  <si>
    <t>a+c-b=1-2b</t>
    <phoneticPr fontId="2" type="noConversion"/>
  </si>
  <si>
    <t>b+c-a=1-2a</t>
    <phoneticPr fontId="2" type="noConversion"/>
  </si>
  <si>
    <t>if b &gt;= (a+c), if 2b-1&gt;=0</t>
    <phoneticPr fontId="2" type="noConversion"/>
  </si>
  <si>
    <t>if a &gt;= (b+c), if 2a-1&gt;=0</t>
    <phoneticPr fontId="2" type="noConversion"/>
  </si>
  <si>
    <t>if c &gt;= (a+b), if 2c-1&gt;=0</t>
    <phoneticPr fontId="2" type="noConversion"/>
  </si>
  <si>
    <t>ReLU(b+c-a=1-2a)-ReLU(c-a-b=2c-1)-ReLU(b-a-c=2b-1)</t>
    <phoneticPr fontId="2" type="noConversion"/>
  </si>
  <si>
    <t>ReLU(a+c-b=1-2b)-ReLU(c-b-a=2c-1)-ReLU(a-b-c=2a-1)</t>
    <phoneticPr fontId="2" type="noConversion"/>
  </si>
  <si>
    <t>ReLU(a+b-c=1-2c)-ReLU(a-c-b=2a-1)-ReLU(b-c-a=2b-1)</t>
    <phoneticPr fontId="2" type="noConversion"/>
  </si>
  <si>
    <t>ReLU(1-2a)-ReLU(2c-1)-ReLU(2b-1)</t>
    <phoneticPr fontId="2" type="noConversion"/>
  </si>
  <si>
    <t>ReLU(1-2b)-ReLU(2c-1)-ReLU(2a-1)</t>
    <phoneticPr fontId="2" type="noConversion"/>
  </si>
  <si>
    <t>ReLU(1-2c)-ReLU(2a-1)-ReLU(2b-1)</t>
    <phoneticPr fontId="2" type="noConversion"/>
  </si>
  <si>
    <t>ReLU(2a-1)</t>
    <phoneticPr fontId="2" type="noConversion"/>
  </si>
  <si>
    <t>ReLU(2b-1)</t>
    <phoneticPr fontId="2" type="noConversion"/>
  </si>
  <si>
    <t>ReLU(2c-1)</t>
    <phoneticPr fontId="2" type="noConversion"/>
  </si>
  <si>
    <t>注释：ReLU(x)=MAX(x,0)</t>
    <phoneticPr fontId="2" type="noConversion"/>
  </si>
  <si>
    <t>总结2</t>
    <phoneticPr fontId="2" type="noConversion"/>
  </si>
  <si>
    <t>总结1</t>
    <phoneticPr fontId="2" type="noConversion"/>
  </si>
  <si>
    <t>MAX(1-2a,0)-MAX(2c-1,0)-MAX(2b-1,0)</t>
    <phoneticPr fontId="2" type="noConversion"/>
  </si>
  <si>
    <t>MAX(1-2b,0)-MAX(2c-1,0)-MAX(2a-1,0)</t>
    <phoneticPr fontId="2" type="noConversion"/>
  </si>
  <si>
    <t>MAX(1-2c,0)-MAX(2a-1,0)-MAX(2b-1,0)</t>
    <phoneticPr fontId="2" type="noConversion"/>
  </si>
  <si>
    <t>MAX(2a-1,0)</t>
    <phoneticPr fontId="2" type="noConversion"/>
  </si>
  <si>
    <t>MAX(2b-1,0)</t>
    <phoneticPr fontId="2" type="noConversion"/>
  </si>
  <si>
    <t>MAX(2c-1,0)</t>
    <phoneticPr fontId="2" type="noConversion"/>
  </si>
  <si>
    <t>a+b+c=1</t>
    <phoneticPr fontId="2" type="noConversion"/>
  </si>
  <si>
    <t>D</t>
    <phoneticPr fontId="2" type="noConversion"/>
  </si>
  <si>
    <t>MAX(1-2c,0)
+MAX(1-2d,0)
-MAX(2a-1,0)
-MAX(2b-1,0)</t>
    <phoneticPr fontId="2" type="noConversion"/>
  </si>
  <si>
    <t>MAX(2d-1,0)</t>
    <phoneticPr fontId="2" type="noConversion"/>
  </si>
  <si>
    <t>MAX(1-2b,0)
+MAX(1-2d,0)
-MAX(2c-1,0)
-MAX(2a-1,0)</t>
    <phoneticPr fontId="2" type="noConversion"/>
  </si>
  <si>
    <t>MAX(1-2b,0)
+MAX(1-2c,0)
-MAX(2a-1,0)
-MAX(2d-1,0)</t>
    <phoneticPr fontId="2" type="noConversion"/>
  </si>
  <si>
    <t>MAX(1-2a,0)
+MAX(1-2c,0)
-MAX(2b-1,0)
-MAX(2d-1,0)</t>
    <phoneticPr fontId="2" type="noConversion"/>
  </si>
  <si>
    <t>MAX(1-2a,0)
+MAX(1-2d,0)
-MAX(2c-1,0)
-MAX(2b-1,0)</t>
    <phoneticPr fontId="2" type="noConversion"/>
  </si>
  <si>
    <t>MAX(1-2a,0)
+MAX(1-2b,0)
-MAX(2c-1,0)
-MAX(2d-1,0)</t>
    <phoneticPr fontId="2" type="noConversion"/>
  </si>
  <si>
    <t>MAX(1-2b,0)
-MAX(2c-1,0)
-MAX(2a-1,0)</t>
    <phoneticPr fontId="2" type="noConversion"/>
  </si>
  <si>
    <t>MAX(1-2c,0)
-MAX(2a-1,0)
-MAX(2b-1,0)</t>
    <phoneticPr fontId="2" type="noConversion"/>
  </si>
  <si>
    <t>MAX(1-2a,0)
-MAX(2c-1,0)
-MAX(2b-1,0)</t>
    <phoneticPr fontId="2" type="noConversion"/>
  </si>
  <si>
    <t>ReLU(b+c-a=1-2a)
-ReLU(c-a-b=2c-1)
-ReLU(b-a-c=2b-1)</t>
    <phoneticPr fontId="2" type="noConversion"/>
  </si>
  <si>
    <t>ReLU(a+c-b=1-2b)
-ReLU(c-b-a=2c-1)
-ReLU(a-b-c=2a-1)</t>
    <phoneticPr fontId="2" type="noConversion"/>
  </si>
  <si>
    <t>ReLU(a+b-c=1-2c)
-ReLU(a-c-b=2a-1)
-ReLU(b-c-a=2b-1)</t>
    <phoneticPr fontId="2" type="noConversion"/>
  </si>
  <si>
    <t>ReLU(1-2b)
-ReLU(2c-1)
-ReLU(2a-1)</t>
    <phoneticPr fontId="2" type="noConversion"/>
  </si>
  <si>
    <t>ReLU(1-2c)
-ReLU(2a-1)
-ReLU(2b-1)</t>
    <phoneticPr fontId="2" type="noConversion"/>
  </si>
  <si>
    <t>ReLU(1-2a)
-ReLU(2c-1)
-ReLU(2b-1)</t>
    <phoneticPr fontId="2" type="noConversion"/>
  </si>
  <si>
    <t>if a &gt;= (b+c), 
if 2a-1&gt;=0</t>
    <phoneticPr fontId="2" type="noConversion"/>
  </si>
  <si>
    <t>if c &gt;= (a+b), 
if 2c-1&gt;=0</t>
    <phoneticPr fontId="2" type="noConversion"/>
  </si>
  <si>
    <t>if b &gt;= (a+c), 
if 2b-1&gt;=0</t>
    <phoneticPr fontId="2" type="noConversion"/>
  </si>
  <si>
    <t>注释：
ReLU(x)=MAX(x,0)</t>
    <phoneticPr fontId="2" type="noConversion"/>
  </si>
  <si>
    <t>调仓价值($)</t>
    <phoneticPr fontId="2" type="noConversion"/>
  </si>
  <si>
    <t>价值/份额比例</t>
    <phoneticPr fontId="2" type="noConversion"/>
  </si>
  <si>
    <t>份额</t>
    <phoneticPr fontId="2" type="noConversion"/>
  </si>
  <si>
    <t>USDT/DAI调仓计算器</t>
    <phoneticPr fontId="2" type="noConversion"/>
  </si>
  <si>
    <t>统筹
中间点</t>
    <phoneticPr fontId="2" type="noConversion"/>
  </si>
  <si>
    <t>峰值</t>
    <phoneticPr fontId="2" type="noConversion"/>
  </si>
  <si>
    <t>谷值</t>
    <phoneticPr fontId="2" type="noConversion"/>
  </si>
  <si>
    <t>密度
参数</t>
    <phoneticPr fontId="2" type="noConversion"/>
  </si>
  <si>
    <t>神经网络</t>
    <phoneticPr fontId="2" type="noConversion"/>
  </si>
  <si>
    <t>居家服务</t>
    <phoneticPr fontId="2" type="noConversion"/>
  </si>
  <si>
    <t>哈布历1</t>
    <phoneticPr fontId="2" type="noConversion"/>
  </si>
  <si>
    <t>哈布历2</t>
    <phoneticPr fontId="2" type="noConversion"/>
  </si>
  <si>
    <t>CROSS</t>
    <phoneticPr fontId="2" type="noConversion"/>
  </si>
  <si>
    <t>d2</t>
    <phoneticPr fontId="2" type="noConversion"/>
  </si>
  <si>
    <t>x1</t>
    <phoneticPr fontId="2" type="noConversion"/>
  </si>
  <si>
    <t>y1</t>
    <phoneticPr fontId="2" type="noConversion"/>
  </si>
  <si>
    <t>x2</t>
    <phoneticPr fontId="2" type="noConversion"/>
  </si>
  <si>
    <t>y2</t>
    <phoneticPr fontId="2" type="noConversion"/>
  </si>
  <si>
    <t>r</t>
    <phoneticPr fontId="2" type="noConversion"/>
  </si>
  <si>
    <t>px</t>
    <phoneticPr fontId="2" type="noConversion"/>
  </si>
  <si>
    <t>py</t>
    <phoneticPr fontId="2" type="noConversion"/>
  </si>
  <si>
    <t>d</t>
    <phoneticPr fontId="2" type="noConversion"/>
  </si>
  <si>
    <t>d_end</t>
    <phoneticPr fontId="2" type="noConversion"/>
  </si>
  <si>
    <t>x</t>
    <phoneticPr fontId="2" type="noConversion"/>
  </si>
  <si>
    <t>y</t>
    <phoneticPr fontId="2" type="noConversion"/>
  </si>
  <si>
    <t>距离误差分析</t>
    <phoneticPr fontId="2" type="noConversion"/>
  </si>
  <si>
    <t>dx</t>
    <phoneticPr fontId="2" type="noConversion"/>
  </si>
  <si>
    <t>dy</t>
    <phoneticPr fontId="2" type="noConversion"/>
  </si>
  <si>
    <t>dx_end</t>
    <phoneticPr fontId="2" type="noConversion"/>
  </si>
  <si>
    <t>dy_end</t>
    <phoneticPr fontId="2" type="noConversion"/>
  </si>
  <si>
    <t>S2F
(月预测价格,$)</t>
    <phoneticPr fontId="2" type="noConversion"/>
  </si>
  <si>
    <t>USDT</t>
    <phoneticPr fontId="2" type="noConversion"/>
  </si>
  <si>
    <t>哈布历法</t>
    <phoneticPr fontId="2" type="noConversion"/>
  </si>
  <si>
    <t xml:space="preserve">                                                                                                                                                                                                                                                            </t>
  </si>
  <si>
    <t>说明</t>
    <phoneticPr fontId="2" type="noConversion"/>
  </si>
  <si>
    <t xml:space="preserve">                                                                                                                                                                  </t>
  </si>
  <si>
    <t>第一位填满后：将第一位复制到第二位，修改第二位的图表指向，清空第一位，修改时间后，重新填写</t>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</si>
  <si>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Q2
</t>
    </r>
    <r>
      <rPr>
        <sz val="48"/>
        <color theme="1"/>
        <rFont val="等线"/>
        <family val="2"/>
        <charset val="134"/>
      </rPr>
      <t>财报</t>
    </r>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</si>
  <si>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Q1
</t>
    </r>
    <r>
      <rPr>
        <sz val="48"/>
        <color theme="1"/>
        <rFont val="等线"/>
        <family val="2"/>
        <charset val="134"/>
      </rPr>
      <t>财报</t>
    </r>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</si>
  <si>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Q3
</t>
    </r>
    <r>
      <rPr>
        <sz val="48"/>
        <color theme="1"/>
        <rFont val="等线"/>
        <family val="2"/>
        <charset val="134"/>
      </rPr>
      <t>财报</t>
    </r>
    <phoneticPr fontId="2" type="noConversion"/>
  </si>
  <si>
    <t>B2</t>
    <phoneticPr fontId="2" type="noConversion"/>
  </si>
  <si>
    <t>目录</t>
  </si>
  <si>
    <t>目录</t>
    <phoneticPr fontId="2" type="noConversion"/>
  </si>
  <si>
    <t>平均值</t>
    <phoneticPr fontId="2" type="noConversion"/>
  </si>
  <si>
    <t>LN(MVRV/A1)</t>
    <phoneticPr fontId="2" type="noConversion"/>
  </si>
  <si>
    <t>LN(MVRV/A1)/B1</t>
    <phoneticPr fontId="2" type="noConversion"/>
  </si>
  <si>
    <t>LN(S2F处理/A2)</t>
    <phoneticPr fontId="2" type="noConversion"/>
  </si>
  <si>
    <t>LN(S2F处理/A2)/B2</t>
    <phoneticPr fontId="2" type="noConversion"/>
  </si>
  <si>
    <t>MVRV A1</t>
    <phoneticPr fontId="2" type="noConversion"/>
  </si>
  <si>
    <t>S2F处理 A2</t>
    <phoneticPr fontId="2" type="noConversion"/>
  </si>
  <si>
    <t>LN(S2F处理/A2) B2</t>
    <phoneticPr fontId="2" type="noConversion"/>
  </si>
  <si>
    <t>LN(MVRV/A1) B1</t>
    <phoneticPr fontId="2" type="noConversion"/>
  </si>
  <si>
    <t>X0</t>
    <phoneticPr fontId="2" type="noConversion"/>
  </si>
  <si>
    <t>Y0</t>
    <phoneticPr fontId="2" type="noConversion"/>
  </si>
  <si>
    <t>比坊梦联合体</t>
    <phoneticPr fontId="2" type="noConversion"/>
  </si>
  <si>
    <t>负债折算(0～1)</t>
    <phoneticPr fontId="2" type="noConversion"/>
  </si>
  <si>
    <t>总计</t>
    <phoneticPr fontId="2" type="noConversion"/>
  </si>
  <si>
    <t>级别</t>
    <phoneticPr fontId="2" type="noConversion"/>
  </si>
  <si>
    <t>数量</t>
    <phoneticPr fontId="2" type="noConversion"/>
  </si>
  <si>
    <t>单元</t>
    <phoneticPr fontId="2" type="noConversion"/>
  </si>
  <si>
    <t>n</t>
    <phoneticPr fontId="2" type="noConversion"/>
  </si>
  <si>
    <t>总量</t>
    <phoneticPr fontId="2" type="noConversion"/>
  </si>
  <si>
    <t>1S</t>
    <phoneticPr fontId="2" type="noConversion"/>
  </si>
  <si>
    <t>1L</t>
    <phoneticPr fontId="2" type="noConversion"/>
  </si>
  <si>
    <t>2L</t>
    <phoneticPr fontId="2" type="noConversion"/>
  </si>
  <si>
    <t>比例</t>
    <phoneticPr fontId="2" type="noConversion"/>
  </si>
  <si>
    <t>`</t>
    <phoneticPr fontId="2" type="noConversion"/>
  </si>
  <si>
    <t>币安驾驶舱</t>
    <phoneticPr fontId="2" type="noConversion"/>
  </si>
  <si>
    <t>派网驾驶舱</t>
    <phoneticPr fontId="2" type="noConversion"/>
  </si>
  <si>
    <t>买加卖减</t>
    <phoneticPr fontId="2" type="noConversion"/>
  </si>
  <si>
    <t>派网</t>
    <phoneticPr fontId="2" type="noConversion"/>
  </si>
  <si>
    <t>币安</t>
    <phoneticPr fontId="2" type="noConversion"/>
  </si>
  <si>
    <t>份额变化</t>
    <phoneticPr fontId="2" type="noConversion"/>
  </si>
  <si>
    <t>输入当前仓位</t>
    <phoneticPr fontId="2" type="noConversion"/>
  </si>
  <si>
    <t>·</t>
    <phoneticPr fontId="2" type="noConversion"/>
  </si>
  <si>
    <t xml:space="preserve">                                                                                                                              </t>
    <phoneticPr fontId="2" type="noConversion"/>
  </si>
  <si>
    <t>z</t>
    <phoneticPr fontId="2" type="noConversion"/>
  </si>
  <si>
    <t>中间值</t>
    <phoneticPr fontId="2" type="noConversion"/>
  </si>
  <si>
    <t>理论值</t>
    <phoneticPr fontId="2" type="noConversion"/>
  </si>
  <si>
    <t>平均值</t>
  </si>
  <si>
    <t>扩散
范围</t>
    <phoneticPr fontId="2" type="noConversion"/>
  </si>
  <si>
    <t>熊</t>
    <phoneticPr fontId="2" type="noConversion"/>
  </si>
  <si>
    <t>振</t>
    <phoneticPr fontId="2" type="noConversion"/>
  </si>
  <si>
    <t>X</t>
    <phoneticPr fontId="2" type="noConversion"/>
  </si>
  <si>
    <t>Y</t>
    <phoneticPr fontId="2" type="noConversion"/>
  </si>
  <si>
    <t>MVRV实验</t>
    <phoneticPr fontId="2" type="noConversion"/>
  </si>
  <si>
    <t>S2F实验</t>
    <phoneticPr fontId="2" type="noConversion"/>
  </si>
  <si>
    <t>dy_mid</t>
    <phoneticPr fontId="2" type="noConversion"/>
  </si>
  <si>
    <t>dx_mid</t>
    <phoneticPr fontId="2" type="noConversion"/>
  </si>
  <si>
    <t>误差</t>
  </si>
  <si>
    <t>d_end</t>
  </si>
  <si>
    <t>说明：
红色是牛市开端，减半。
绿色是熊市开端，牛市顶峰。
黄色是震荡市开端，熊市末期。
需要你每周期人工判断，手动输入，这会影响到神经网络和卓尔金历法的参数。
当然，不需要你计算，这个表格内已经帮你自动计算了。</t>
    <phoneticPr fontId="2" type="noConversion"/>
  </si>
  <si>
    <t>卓尔金历法变化量</t>
    <phoneticPr fontId="2" type="noConversion"/>
  </si>
  <si>
    <t>相对上次
变化量</t>
    <phoneticPr fontId="2" type="noConversion"/>
  </si>
  <si>
    <t>认购费率（前端）</t>
  </si>
  <si>
    <t>适用金额</t>
  </si>
  <si>
    <t>适用期限</t>
  </si>
  <si>
    <t>小于100万元</t>
  </si>
  <si>
    <t>---</t>
  </si>
  <si>
    <t>大于等于100万元，小于500万元</t>
  </si>
  <si>
    <t>大于等于500万元，小于1000万元</t>
  </si>
  <si>
    <t>大于等于1000万元</t>
  </si>
  <si>
    <t>申购费率（前端）</t>
  </si>
  <si>
    <t>小于7天</t>
    <phoneticPr fontId="2" type="noConversion"/>
  </si>
  <si>
    <t>适用期限</t>
    <phoneticPr fontId="2" type="noConversion"/>
  </si>
  <si>
    <t>管理费和业绩分成</t>
    <phoneticPr fontId="2" type="noConversion"/>
  </si>
  <si>
    <t>结算后手动输入</t>
    <phoneticPr fontId="2" type="noConversion"/>
  </si>
  <si>
    <t>结算前手动输入</t>
    <phoneticPr fontId="2" type="noConversion"/>
  </si>
  <si>
    <t>基金浮存金存入份额</t>
    <phoneticPr fontId="2" type="noConversion"/>
  </si>
  <si>
    <t>结算前基金浮存金份额</t>
    <phoneticPr fontId="2" type="noConversion"/>
  </si>
  <si>
    <t xml:space="preserve">结算后基金浮存金份额 </t>
    <phoneticPr fontId="2" type="noConversion"/>
  </si>
  <si>
    <t>结算前基金总资产USD价值</t>
    <phoneticPr fontId="2" type="noConversion"/>
  </si>
  <si>
    <t>结算前基金总份额</t>
    <phoneticPr fontId="2" type="noConversion"/>
  </si>
  <si>
    <t>(精确到小数点后8位)</t>
  </si>
  <si>
    <t>结算后基金总资产USD价值</t>
    <phoneticPr fontId="2" type="noConversion"/>
  </si>
  <si>
    <t>结算后基金总份额</t>
    <phoneticPr fontId="2" type="noConversion"/>
  </si>
  <si>
    <t>结算前基金净值，每份USD价值</t>
    <phoneticPr fontId="2" type="noConversion"/>
  </si>
  <si>
    <t>结算后基金净值，每份USD价值</t>
    <phoneticPr fontId="2" type="noConversion"/>
  </si>
  <si>
    <t>结算后基金客户份额</t>
    <phoneticPr fontId="2" type="noConversion"/>
  </si>
  <si>
    <t>结算前基金客户份额</t>
    <phoneticPr fontId="2" type="noConversion"/>
  </si>
  <si>
    <t>所有申购赎回费，管理费和业绩分成都会计入基金浮存金</t>
    <phoneticPr fontId="2" type="noConversion"/>
  </si>
  <si>
    <t>基金浮存金每四周用于回购BFM代币的比例</t>
  </si>
  <si>
    <t>上一列函数计算</t>
    <phoneticPr fontId="2" type="noConversion"/>
  </si>
  <si>
    <t>上一列引用</t>
    <phoneticPr fontId="2" type="noConversion"/>
  </si>
  <si>
    <t>其他表格引用</t>
    <phoneticPr fontId="2" type="noConversion"/>
  </si>
  <si>
    <t>同列上一列函数计算</t>
    <phoneticPr fontId="2" type="noConversion"/>
  </si>
  <si>
    <t>同列函数计算</t>
    <phoneticPr fontId="2" type="noConversion"/>
  </si>
  <si>
    <t>李四</t>
    <phoneticPr fontId="2" type="noConversion"/>
  </si>
  <si>
    <t>王五</t>
    <phoneticPr fontId="2" type="noConversion"/>
  </si>
  <si>
    <t>累计基金份额</t>
    <phoneticPr fontId="2" type="noConversion"/>
  </si>
  <si>
    <t>(精确到小数点后8位)</t>
    <phoneticPr fontId="2" type="noConversion"/>
  </si>
  <si>
    <t>净赎回减少份额（扣除赎回手续费）</t>
    <phoneticPr fontId="2" type="noConversion"/>
  </si>
  <si>
    <t>净申购增加份额（扣除申购手续费）</t>
    <phoneticPr fontId="2" type="noConversion"/>
  </si>
  <si>
    <t>赎回减少份额（未扣除赎回手续费）</t>
    <phoneticPr fontId="2" type="noConversion"/>
  </si>
  <si>
    <t>申购增加金额USD（未扣除申购手续费）</t>
    <phoneticPr fontId="2" type="noConversion"/>
  </si>
  <si>
    <t>结算前</t>
    <phoneticPr fontId="2" type="noConversion"/>
  </si>
  <si>
    <t>结算中</t>
    <phoneticPr fontId="2" type="noConversion"/>
  </si>
  <si>
    <t>结算后</t>
    <phoneticPr fontId="2" type="noConversion"/>
  </si>
  <si>
    <t>浮存金</t>
    <phoneticPr fontId="2" type="noConversion"/>
  </si>
  <si>
    <t>每周计提</t>
    <phoneticPr fontId="2" type="noConversion"/>
  </si>
  <si>
    <t>费率年</t>
    <phoneticPr fontId="2" type="noConversion"/>
  </si>
  <si>
    <t>费率四周</t>
    <phoneticPr fontId="2" type="noConversion"/>
  </si>
  <si>
    <t>费率一周</t>
    <phoneticPr fontId="2" type="noConversion"/>
  </si>
  <si>
    <t>每周计提，盈利收取，不盈利不收取</t>
    <phoneticPr fontId="2" type="noConversion"/>
  </si>
  <si>
    <t>业绩分成（每次结算后计入基金净值）</t>
    <phoneticPr fontId="2" type="noConversion"/>
  </si>
  <si>
    <t>管理费（每次结算后计入基金净值）</t>
    <phoneticPr fontId="2" type="noConversion"/>
  </si>
  <si>
    <t>每笔</t>
    <phoneticPr fontId="2" type="noConversion"/>
  </si>
  <si>
    <t>2021 Q4</t>
    <phoneticPr fontId="2" type="noConversion"/>
  </si>
  <si>
    <t>2022 Q1</t>
    <phoneticPr fontId="2" type="noConversion"/>
  </si>
  <si>
    <t>基金浮存金管理人支取份额</t>
    <phoneticPr fontId="2" type="noConversion"/>
  </si>
  <si>
    <t>基金浮存金回购BFM代币份额</t>
    <phoneticPr fontId="2" type="noConversion"/>
  </si>
  <si>
    <t>不予赎回</t>
    <phoneticPr fontId="2" type="noConversion"/>
  </si>
  <si>
    <t>赎回费率</t>
    <phoneticPr fontId="2" type="noConversion"/>
  </si>
  <si>
    <t>单次总计份额变化</t>
    <phoneticPr fontId="2" type="noConversion"/>
  </si>
  <si>
    <t>主链</t>
    <phoneticPr fontId="2" type="noConversion"/>
  </si>
  <si>
    <t>侧链2</t>
    <phoneticPr fontId="2" type="noConversion"/>
  </si>
  <si>
    <t>侧链3</t>
    <phoneticPr fontId="2" type="noConversion"/>
  </si>
  <si>
    <t>侧链0</t>
    <phoneticPr fontId="2" type="noConversion"/>
  </si>
  <si>
    <t>默认</t>
    <phoneticPr fontId="2" type="noConversion"/>
  </si>
  <si>
    <t>大于等于2年（&gt;104周）</t>
    <phoneticPr fontId="2" type="noConversion"/>
  </si>
  <si>
    <t>大于等于1年，小于2年（52-104周）</t>
    <phoneticPr fontId="2" type="noConversion"/>
  </si>
  <si>
    <t>大于等于7天，小于1年（1-52周）</t>
    <phoneticPr fontId="2" type="noConversion"/>
  </si>
  <si>
    <t>持有期数</t>
    <phoneticPr fontId="2" type="noConversion"/>
  </si>
  <si>
    <t>小于16万USDT</t>
    <phoneticPr fontId="2" type="noConversion"/>
  </si>
  <si>
    <t>大于等于16万USDT，小于80万USDT</t>
    <phoneticPr fontId="2" type="noConversion"/>
  </si>
  <si>
    <t>大于等于80万USDT，小于160万USDT</t>
    <phoneticPr fontId="2" type="noConversion"/>
  </si>
  <si>
    <t>大于等于160万USDT</t>
    <phoneticPr fontId="2" type="noConversion"/>
  </si>
  <si>
    <t>2021 Q3</t>
    <phoneticPr fontId="2" type="noConversion"/>
  </si>
  <si>
    <t>当前总资产USD</t>
    <phoneticPr fontId="2" type="noConversion"/>
  </si>
  <si>
    <t>币安支付ID</t>
    <phoneticPr fontId="2" type="noConversion"/>
  </si>
  <si>
    <t>111111111</t>
    <phoneticPr fontId="2" type="noConversion"/>
  </si>
  <si>
    <t>群主份额
不收手续费</t>
    <phoneticPr fontId="2" type="noConversion"/>
  </si>
  <si>
    <t>王天佑</t>
    <phoneticPr fontId="2" type="noConversion"/>
  </si>
  <si>
    <t>132322045</t>
    <phoneticPr fontId="2" type="noConversion"/>
  </si>
  <si>
    <t>上一周期浮存金支取份额</t>
    <phoneticPr fontId="2" type="noConversion"/>
  </si>
  <si>
    <t>基金业绩基准</t>
    <phoneticPr fontId="2" type="noConversion"/>
  </si>
  <si>
    <t>累计</t>
    <phoneticPr fontId="2" type="noConversion"/>
  </si>
  <si>
    <t>总计</t>
  </si>
  <si>
    <t>母亲</t>
    <phoneticPr fontId="2" type="noConversion"/>
  </si>
  <si>
    <t>父亲</t>
    <phoneticPr fontId="2" type="noConversion"/>
  </si>
  <si>
    <t>奶奶</t>
    <phoneticPr fontId="2" type="noConversion"/>
  </si>
  <si>
    <r>
      <rPr>
        <sz val="24"/>
        <color theme="0"/>
        <rFont val="等线"/>
        <family val="2"/>
        <charset val="134"/>
      </rPr>
      <t>输
入</t>
    </r>
    <phoneticPr fontId="2" type="noConversion"/>
  </si>
  <si>
    <t xml:space="preserve"> </t>
    <phoneticPr fontId="2" type="noConversion"/>
  </si>
  <si>
    <t>BTC市值1/根号0</t>
    <phoneticPr fontId="2" type="noConversion"/>
  </si>
  <si>
    <t>ETH/BNB(USD)</t>
    <phoneticPr fontId="2" type="noConversion"/>
  </si>
  <si>
    <t>BTC/ETH(USD)</t>
    <phoneticPr fontId="2" type="noConversion"/>
  </si>
  <si>
    <t>BTC/WBTC(USD)</t>
    <phoneticPr fontId="2" type="noConversion"/>
  </si>
  <si>
    <t>BTC/USDT(USD)</t>
    <phoneticPr fontId="2" type="noConversion"/>
  </si>
  <si>
    <t>USDT/USDC(USD)</t>
    <phoneticPr fontId="2" type="noConversion"/>
  </si>
  <si>
    <t>USDT/BUSD(USD)</t>
    <phoneticPr fontId="2" type="noConversion"/>
  </si>
  <si>
    <t>BUSD/DAI(USD)</t>
    <phoneticPr fontId="2" type="noConversion"/>
  </si>
  <si>
    <t>BTC总仓位(USD)</t>
    <phoneticPr fontId="2" type="noConversion"/>
  </si>
  <si>
    <t>说明：输入，以美元，计价的，仓位价值</t>
    <phoneticPr fontId="2" type="noConversion"/>
  </si>
  <si>
    <t>USDT市值1/根号0</t>
    <phoneticPr fontId="2" type="noConversion"/>
  </si>
  <si>
    <t>BTC/BNB(USD)</t>
    <phoneticPr fontId="2" type="noConversion"/>
  </si>
  <si>
    <t>USDT/DAI(USD)</t>
    <phoneticPr fontId="2" type="noConversion"/>
  </si>
  <si>
    <t>USD总仓位(USD)</t>
    <phoneticPr fontId="2" type="noConversion"/>
  </si>
  <si>
    <t>BNB价格(USD)</t>
    <phoneticPr fontId="2" type="noConversion"/>
  </si>
  <si>
    <t>ETH价格(USD)</t>
    <phoneticPr fontId="2" type="noConversion"/>
  </si>
  <si>
    <t>BTC价格(USD)</t>
    <phoneticPr fontId="2" type="noConversion"/>
  </si>
  <si>
    <t>BNB</t>
    <phoneticPr fontId="2" type="noConversion"/>
  </si>
  <si>
    <t>ETH</t>
    <phoneticPr fontId="2" type="noConversion"/>
  </si>
  <si>
    <t>BTC/WBTC</t>
    <phoneticPr fontId="2" type="noConversion"/>
  </si>
  <si>
    <t>USDT/USDC</t>
    <phoneticPr fontId="2" type="noConversion"/>
  </si>
  <si>
    <t>BUSD</t>
    <phoneticPr fontId="2" type="noConversion"/>
  </si>
  <si>
    <t>DAI</t>
    <phoneticPr fontId="2" type="noConversion"/>
  </si>
  <si>
    <t>说明：输入，以美元，计价的，市值</t>
    <phoneticPr fontId="2" type="noConversion"/>
  </si>
  <si>
    <t>市值</t>
    <phoneticPr fontId="2" type="noConversion"/>
  </si>
  <si>
    <t>输出</t>
    <phoneticPr fontId="2" type="noConversion"/>
  </si>
  <si>
    <t>BTC</t>
    <phoneticPr fontId="2" type="noConversion"/>
  </si>
  <si>
    <t>说明：输出，调仓步骤（币种见说明）</t>
    <phoneticPr fontId="2" type="noConversion"/>
  </si>
  <si>
    <t>第〇步(USD)</t>
    <phoneticPr fontId="2" type="noConversion"/>
  </si>
  <si>
    <t>第〇步</t>
    <phoneticPr fontId="2" type="noConversion"/>
  </si>
  <si>
    <t>第一步(数量)</t>
    <phoneticPr fontId="2" type="noConversion"/>
  </si>
  <si>
    <t>第一步</t>
    <phoneticPr fontId="2" type="noConversion"/>
  </si>
  <si>
    <t>第二步(数量)</t>
    <phoneticPr fontId="2" type="noConversion"/>
  </si>
  <si>
    <t>第二步</t>
    <phoneticPr fontId="2" type="noConversion"/>
  </si>
  <si>
    <t>ETH(BNB)</t>
    <phoneticPr fontId="2" type="noConversion"/>
  </si>
  <si>
    <t>BTC(ETH)</t>
    <phoneticPr fontId="2" type="noConversion"/>
  </si>
  <si>
    <t>BTC(WBTC)</t>
    <phoneticPr fontId="2" type="noConversion"/>
  </si>
  <si>
    <t>USDT(BTC)</t>
    <phoneticPr fontId="2" type="noConversion"/>
  </si>
  <si>
    <t>USDT(USDC)</t>
    <phoneticPr fontId="2" type="noConversion"/>
  </si>
  <si>
    <t>USDT(BUSD)</t>
    <phoneticPr fontId="2" type="noConversion"/>
  </si>
  <si>
    <t>BUSD(DAI)</t>
    <phoneticPr fontId="2" type="noConversion"/>
  </si>
  <si>
    <t>说明：输出，调仓后，以括号外币种，计价的，仓位</t>
    <phoneticPr fontId="2" type="noConversion"/>
  </si>
  <si>
    <t>BTC(BNB)</t>
    <phoneticPr fontId="2" type="noConversion"/>
  </si>
  <si>
    <t>USDT(DAI)</t>
    <phoneticPr fontId="2" type="noConversion"/>
  </si>
  <si>
    <t>ETH/BNB</t>
    <phoneticPr fontId="2" type="noConversion"/>
  </si>
  <si>
    <t>BTC/USDT</t>
    <phoneticPr fontId="2" type="noConversion"/>
  </si>
  <si>
    <t>USDT/BUSD</t>
    <phoneticPr fontId="2" type="noConversion"/>
  </si>
  <si>
    <t>BUSD/DAI</t>
    <phoneticPr fontId="2" type="noConversion"/>
  </si>
  <si>
    <t>BTC/BNB</t>
    <phoneticPr fontId="2" type="noConversion"/>
  </si>
  <si>
    <t>输
出</t>
    <phoneticPr fontId="2" type="noConversion"/>
  </si>
  <si>
    <t>计算准备</t>
    <phoneticPr fontId="2" type="noConversion"/>
  </si>
  <si>
    <t>BTC卓尔金历法总仓位(USD)</t>
    <phoneticPr fontId="2" type="noConversion"/>
  </si>
  <si>
    <t>USD卓尔金历法总仓位(USD)</t>
    <phoneticPr fontId="2" type="noConversion"/>
  </si>
  <si>
    <t>初始</t>
    <phoneticPr fontId="2" type="noConversion"/>
  </si>
  <si>
    <t>结果</t>
    <phoneticPr fontId="2" type="noConversion"/>
  </si>
  <si>
    <t>输入与
计算
准备</t>
    <phoneticPr fontId="2" type="noConversion"/>
  </si>
  <si>
    <t>计算单独比例</t>
    <phoneticPr fontId="2" type="noConversion"/>
  </si>
  <si>
    <t>计算
组合比例</t>
    <phoneticPr fontId="2" type="noConversion"/>
  </si>
  <si>
    <t>BTC市值/根号</t>
    <phoneticPr fontId="2" type="noConversion"/>
  </si>
  <si>
    <t>BTC总仓位比例</t>
    <phoneticPr fontId="2" type="noConversion"/>
  </si>
  <si>
    <t>USDT市值/根号</t>
    <phoneticPr fontId="2" type="noConversion"/>
  </si>
  <si>
    <t>USD总仓位比例</t>
    <phoneticPr fontId="2" type="noConversion"/>
  </si>
  <si>
    <t>计算数量</t>
    <phoneticPr fontId="2" type="noConversion"/>
  </si>
  <si>
    <t>计
算
·
核
心
算
法</t>
    <phoneticPr fontId="2" type="noConversion"/>
  </si>
  <si>
    <t>B
T
C</t>
    <phoneticPr fontId="2" type="noConversion"/>
  </si>
  <si>
    <t>市值1</t>
    <phoneticPr fontId="2" type="noConversion"/>
  </si>
  <si>
    <t>根号市值0</t>
    <phoneticPr fontId="2" type="noConversion"/>
  </si>
  <si>
    <t>解除联系后调仓</t>
    <phoneticPr fontId="2" type="noConversion"/>
  </si>
  <si>
    <t>参
考</t>
    <phoneticPr fontId="2" type="noConversion"/>
  </si>
  <si>
    <t>原比例</t>
    <phoneticPr fontId="2" type="noConversion"/>
  </si>
  <si>
    <t>a</t>
    <phoneticPr fontId="2" type="noConversion"/>
  </si>
  <si>
    <t>b</t>
    <phoneticPr fontId="2" type="noConversion"/>
  </si>
  <si>
    <t>c</t>
    <phoneticPr fontId="2" type="noConversion"/>
  </si>
  <si>
    <t>根号市值</t>
    <phoneticPr fontId="2" type="noConversion"/>
  </si>
  <si>
    <t>根号市值百分比</t>
    <phoneticPr fontId="2" type="noConversion"/>
  </si>
  <si>
    <t>x_2</t>
    <phoneticPr fontId="2" type="noConversion"/>
  </si>
  <si>
    <t>y_2</t>
    <phoneticPr fontId="2" type="noConversion"/>
  </si>
  <si>
    <t>z_2</t>
    <phoneticPr fontId="2" type="noConversion"/>
  </si>
  <si>
    <t>市值百分比</t>
    <phoneticPr fontId="2" type="noConversion"/>
  </si>
  <si>
    <t>(x_2-a)*(z_2-c)&gt;0</t>
    <phoneticPr fontId="2" type="noConversion"/>
  </si>
  <si>
    <t>x_1</t>
    <phoneticPr fontId="2" type="noConversion"/>
  </si>
  <si>
    <t>y_1</t>
    <phoneticPr fontId="2" type="noConversion"/>
  </si>
  <si>
    <t>z_1</t>
    <phoneticPr fontId="2" type="noConversion"/>
  </si>
  <si>
    <t>(y_2-b)*(z_2-c)&gt;0</t>
    <phoneticPr fontId="2" type="noConversion"/>
  </si>
  <si>
    <t>(x_2-a)*(y_2-b)&gt;0</t>
    <phoneticPr fontId="2" type="noConversion"/>
  </si>
  <si>
    <t>end</t>
    <phoneticPr fontId="2" type="noConversion"/>
  </si>
  <si>
    <t>重新建立联系</t>
    <phoneticPr fontId="2" type="noConversion"/>
  </si>
  <si>
    <t>WBTC</t>
    <phoneticPr fontId="2" type="noConversion"/>
  </si>
  <si>
    <t>U
S
D</t>
    <phoneticPr fontId="2" type="noConversion"/>
  </si>
  <si>
    <t>USDT</t>
  </si>
  <si>
    <t>BUSD</t>
  </si>
  <si>
    <t>DAI</t>
  </si>
  <si>
    <t>USDC</t>
    <phoneticPr fontId="2" type="noConversion"/>
  </si>
  <si>
    <t>基金费率</t>
    <phoneticPr fontId="2" type="noConversion"/>
  </si>
  <si>
    <t>基金申赎记录</t>
    <phoneticPr fontId="2" type="noConversion"/>
  </si>
  <si>
    <t>基金结算中枢</t>
    <phoneticPr fontId="2" type="noConversion"/>
  </si>
  <si>
    <t>(精确到小数点后2位)</t>
    <phoneticPr fontId="2" type="noConversion"/>
  </si>
  <si>
    <t xml:space="preserve">                                                                                                                                                                                                                                                               </t>
  </si>
  <si>
    <t xml:space="preserve">                                                                                                   </t>
    <phoneticPr fontId="2" type="noConversion"/>
  </si>
  <si>
    <t>归一化算法</t>
    <phoneticPr fontId="2" type="noConversion"/>
  </si>
  <si>
    <r>
      <rPr>
        <sz val="18"/>
        <color theme="7" tint="0.59999389629810485"/>
        <rFont val="等线"/>
        <family val="4"/>
        <charset val="134"/>
      </rPr>
      <t xml:space="preserve">定义 a_1, b_1
定义 f_1(), f_2()
</t>
    </r>
    <r>
      <rPr>
        <sz val="18"/>
        <color theme="0" tint="-4.9989318521683403E-2"/>
        <rFont val="等线"/>
        <family val="2"/>
        <charset val="134"/>
      </rPr>
      <t xml:space="preserve">
</t>
    </r>
    <r>
      <rPr>
        <sz val="18"/>
        <color theme="4" tint="0.59999389629810485"/>
        <rFont val="等线"/>
        <family val="4"/>
        <charset val="134"/>
      </rPr>
      <t xml:space="preserve">f_2() = LN(f_1()/a_1)
        /b_1 
        * 4 
</t>
    </r>
    <r>
      <rPr>
        <sz val="18"/>
        <color theme="2" tint="-0.249977111117893"/>
        <rFont val="等线"/>
        <family val="4"/>
        <charset val="134"/>
      </rPr>
      <t xml:space="preserve"># 因为sigmod函数x取(-4,4)时，y在约(0,1), 所以这里最后*4
# 你也可以*5，大概覆盖增长区间就行
</t>
    </r>
    <r>
      <rPr>
        <sz val="18"/>
        <color theme="0" tint="-4.9989318521683403E-2"/>
        <rFont val="等线"/>
        <family val="2"/>
        <charset val="134"/>
      </rPr>
      <t xml:space="preserve">
</t>
    </r>
    <r>
      <rPr>
        <sz val="18"/>
        <color theme="4" tint="0.59999389629810485"/>
        <rFont val="等线"/>
        <family val="4"/>
        <charset val="134"/>
      </rPr>
      <t xml:space="preserve">a_1 = 几何平均数(f_1()) </t>
    </r>
    <r>
      <rPr>
        <sz val="18"/>
        <color theme="0" tint="-4.9989318521683403E-2"/>
        <rFont val="等线"/>
        <family val="2"/>
        <charset val="134"/>
      </rPr>
      <t xml:space="preserve">
</t>
    </r>
    <r>
      <rPr>
        <sz val="18"/>
        <color theme="2" tint="-0.249977111117893"/>
        <rFont val="等线"/>
        <family val="4"/>
        <charset val="134"/>
      </rPr>
      <t># 几何平均数：GEOMEAN</t>
    </r>
    <r>
      <rPr>
        <sz val="18"/>
        <color theme="0" tint="-4.9989318521683403E-2"/>
        <rFont val="等线"/>
        <family val="2"/>
        <charset val="134"/>
      </rPr>
      <t xml:space="preserve">
</t>
    </r>
    <r>
      <rPr>
        <sz val="18"/>
        <color theme="4" tint="0.59999389629810485"/>
        <rFont val="等线"/>
        <family val="4"/>
        <charset val="134"/>
      </rPr>
      <t>b_1 =   算数平均数(极大值(LN(f_1()/a_1),N)
      - 算数平均数(极小值(LN(f_1()/a_1),N)</t>
    </r>
    <r>
      <rPr>
        <sz val="18"/>
        <color theme="0" tint="-4.9989318521683403E-2"/>
        <rFont val="等线"/>
        <family val="2"/>
        <charset val="134"/>
      </rPr>
      <t xml:space="preserve">
</t>
    </r>
    <r>
      <rPr>
        <sz val="18"/>
        <color theme="2" tint="-0.249977111117893"/>
        <rFont val="等线"/>
        <family val="4"/>
        <charset val="134"/>
      </rPr>
      <t># 算数平均数：AVERAGE</t>
    </r>
    <phoneticPr fontId="2" type="noConversion"/>
  </si>
  <si>
    <t>Time</t>
  </si>
  <si>
    <t>Price</t>
  </si>
  <si>
    <t>Expected price (month)</t>
  </si>
  <si>
    <t>MVRV</t>
  </si>
  <si>
    <t>仓位</t>
    <phoneticPr fontId="2" type="noConversion"/>
  </si>
  <si>
    <t>比特币</t>
    <phoneticPr fontId="2" type="noConversion"/>
  </si>
  <si>
    <t>价格变化环比</t>
    <phoneticPr fontId="2" type="noConversion"/>
  </si>
  <si>
    <t>价格预测环比</t>
    <phoneticPr fontId="2" type="noConversion"/>
  </si>
  <si>
    <t>价格变化同比</t>
    <phoneticPr fontId="2" type="noConversion"/>
  </si>
  <si>
    <t>价格预测同比</t>
    <phoneticPr fontId="2" type="noConversion"/>
  </si>
  <si>
    <t>参数实验室</t>
    <phoneticPr fontId="2" type="noConversion"/>
  </si>
  <si>
    <t>回测实验室</t>
    <phoneticPr fontId="2" type="noConversion"/>
  </si>
  <si>
    <t>最高</t>
    <phoneticPr fontId="2" type="noConversion"/>
  </si>
  <si>
    <t xml:space="preserve">席勒市盈率 </t>
  </si>
  <si>
    <t>最低</t>
    <phoneticPr fontId="2" type="noConversion"/>
  </si>
  <si>
    <t>当前</t>
    <phoneticPr fontId="2" type="noConversion"/>
  </si>
  <si>
    <t>中国</t>
    <phoneticPr fontId="2" type="noConversion"/>
  </si>
  <si>
    <t>美国</t>
    <phoneticPr fontId="2" type="noConversion"/>
  </si>
  <si>
    <t>006479</t>
    <phoneticPr fontId="2" type="noConversion"/>
  </si>
  <si>
    <t>判断比例</t>
    <phoneticPr fontId="2" type="noConversion"/>
  </si>
  <si>
    <t>同架策略比例</t>
    <phoneticPr fontId="2" type="noConversion"/>
  </si>
  <si>
    <t>最大比例</t>
    <phoneticPr fontId="2" type="noConversion"/>
  </si>
  <si>
    <t>最小比例</t>
    <phoneticPr fontId="2" type="noConversion"/>
  </si>
  <si>
    <t>主动</t>
    <phoneticPr fontId="2" type="noConversion"/>
  </si>
  <si>
    <t>被动</t>
    <phoneticPr fontId="2" type="noConversion"/>
  </si>
  <si>
    <t>满仓比例</t>
    <phoneticPr fontId="2" type="noConversion"/>
  </si>
  <si>
    <t>同架策略
中间过程</t>
    <phoneticPr fontId="2" type="noConversion"/>
  </si>
  <si>
    <t>货币</t>
    <phoneticPr fontId="2" type="noConversion"/>
  </si>
  <si>
    <t>中股</t>
    <phoneticPr fontId="2" type="noConversion"/>
  </si>
  <si>
    <t>美股</t>
    <phoneticPr fontId="2" type="noConversion"/>
  </si>
  <si>
    <t>腾讯</t>
    <phoneticPr fontId="2" type="noConversion"/>
  </si>
  <si>
    <t>阿里</t>
    <phoneticPr fontId="2" type="noConversion"/>
  </si>
  <si>
    <t>美团</t>
    <phoneticPr fontId="2" type="noConversion"/>
  </si>
  <si>
    <t>京东</t>
    <phoneticPr fontId="2" type="noConversion"/>
  </si>
  <si>
    <t>拼多多</t>
    <phoneticPr fontId="2" type="noConversion"/>
  </si>
  <si>
    <t>苹果</t>
    <phoneticPr fontId="2" type="noConversion"/>
  </si>
  <si>
    <t>微软</t>
    <phoneticPr fontId="2" type="noConversion"/>
  </si>
  <si>
    <t>谷歌</t>
    <phoneticPr fontId="2" type="noConversion"/>
  </si>
  <si>
    <t>亚马逊</t>
    <phoneticPr fontId="2" type="noConversion"/>
  </si>
  <si>
    <t>脸书</t>
    <phoneticPr fontId="2" type="noConversion"/>
  </si>
  <si>
    <t>中国市值</t>
    <phoneticPr fontId="2" type="noConversion"/>
  </si>
  <si>
    <t>美国市值</t>
    <phoneticPr fontId="2" type="noConversion"/>
  </si>
  <si>
    <t>中国市值比例</t>
    <phoneticPr fontId="2" type="noConversion"/>
  </si>
  <si>
    <t>美国市值比例</t>
    <phoneticPr fontId="2" type="noConversion"/>
  </si>
  <si>
    <t>AssetDash市值排名</t>
    <phoneticPr fontId="2" type="noConversion"/>
  </si>
  <si>
    <t>底仓比例</t>
    <phoneticPr fontId="2" type="noConversion"/>
  </si>
  <si>
    <t>互联网目标仓位</t>
    <phoneticPr fontId="2" type="noConversion"/>
  </si>
  <si>
    <t>数字货币</t>
    <phoneticPr fontId="2" type="noConversion"/>
  </si>
  <si>
    <t>互联网</t>
    <phoneticPr fontId="2" type="noConversion"/>
  </si>
  <si>
    <t>且慢驾驶舱</t>
    <phoneticPr fontId="2" type="noConversion"/>
  </si>
  <si>
    <t>预算</t>
    <phoneticPr fontId="2" type="noConversion"/>
  </si>
  <si>
    <t>决算</t>
    <phoneticPr fontId="2" type="noConversion"/>
  </si>
  <si>
    <t>低保</t>
    <phoneticPr fontId="2" type="noConversion"/>
  </si>
  <si>
    <t>低保后</t>
    <phoneticPr fontId="2" type="noConversion"/>
  </si>
  <si>
    <t>冲正</t>
    <phoneticPr fontId="2" type="noConversion"/>
  </si>
  <si>
    <t>原来</t>
    <phoneticPr fontId="2" type="noConversion"/>
  </si>
  <si>
    <t>低保后扭曲</t>
    <phoneticPr fontId="2" type="noConversion"/>
  </si>
  <si>
    <t>增加</t>
    <phoneticPr fontId="2" type="noConversion"/>
  </si>
  <si>
    <t>目标比例</t>
    <phoneticPr fontId="2" type="noConversion"/>
  </si>
  <si>
    <t>目标仓位</t>
    <phoneticPr fontId="2" type="noConversion"/>
  </si>
  <si>
    <t>原仓位</t>
    <phoneticPr fontId="2" type="noConversion"/>
  </si>
  <si>
    <t>改变仓位</t>
    <phoneticPr fontId="2" type="noConversion"/>
  </si>
  <si>
    <t>BTCDOWN</t>
    <phoneticPr fontId="2" type="noConversion"/>
  </si>
  <si>
    <t>ETHDOWN</t>
    <phoneticPr fontId="2" type="noConversion"/>
  </si>
  <si>
    <t>BTCUP</t>
    <phoneticPr fontId="2" type="noConversion"/>
  </si>
  <si>
    <t>ETHUP</t>
    <phoneticPr fontId="2" type="noConversion"/>
  </si>
  <si>
    <t>XLM</t>
    <phoneticPr fontId="2" type="noConversion"/>
  </si>
  <si>
    <t>TRX</t>
    <phoneticPr fontId="2" type="noConversion"/>
  </si>
  <si>
    <t>ATOM</t>
    <phoneticPr fontId="2" type="noConversion"/>
  </si>
  <si>
    <t>XTZ</t>
    <phoneticPr fontId="2" type="noConversion"/>
  </si>
  <si>
    <t>AAVE</t>
    <phoneticPr fontId="2" type="noConversion"/>
  </si>
  <si>
    <t>CAKE</t>
    <phoneticPr fontId="2" type="noConversion"/>
  </si>
  <si>
    <t>AXS</t>
    <phoneticPr fontId="2" type="noConversion"/>
  </si>
  <si>
    <t>AVAX</t>
    <phoneticPr fontId="2" type="noConversion"/>
  </si>
  <si>
    <t>3L</t>
    <phoneticPr fontId="2" type="noConversion"/>
  </si>
  <si>
    <t>2S</t>
    <phoneticPr fontId="2" type="noConversion"/>
  </si>
  <si>
    <t>投资额</t>
    <phoneticPr fontId="2" type="noConversion"/>
  </si>
  <si>
    <t>目标杠杆率</t>
    <phoneticPr fontId="2" type="noConversion"/>
  </si>
  <si>
    <t>可用杠杆率</t>
    <phoneticPr fontId="2" type="noConversion"/>
  </si>
  <si>
    <t>卓尔金历</t>
    <phoneticPr fontId="2" type="noConversion"/>
  </si>
  <si>
    <t>总指挥室</t>
    <phoneticPr fontId="2" type="noConversion"/>
  </si>
  <si>
    <t>旧驾驶舱（待拆除）</t>
    <phoneticPr fontId="2" type="noConversion"/>
  </si>
  <si>
    <t>输出到指挥室</t>
    <phoneticPr fontId="2" type="noConversion"/>
  </si>
  <si>
    <t>从指挥室输入</t>
    <phoneticPr fontId="2" type="noConversion"/>
  </si>
  <si>
    <t>卓尔金历法杠杆率</t>
    <phoneticPr fontId="2" type="noConversion"/>
  </si>
  <si>
    <t>实现杠杆率</t>
    <phoneticPr fontId="2" type="noConversion"/>
  </si>
  <si>
    <t>0均有，
1派网，
2币安</t>
    <phoneticPr fontId="2" type="noConversion"/>
  </si>
  <si>
    <t>派网引用指挥室</t>
    <phoneticPr fontId="2" type="noConversion"/>
  </si>
  <si>
    <t>币安引用指挥室</t>
    <phoneticPr fontId="2" type="noConversion"/>
  </si>
  <si>
    <t>e^x-1</t>
    <phoneticPr fontId="2" type="noConversion"/>
  </si>
  <si>
    <t>e^100x-1</t>
    <phoneticPr fontId="2" type="noConversion"/>
  </si>
  <si>
    <t>x^2</t>
    <phoneticPr fontId="2" type="noConversion"/>
  </si>
  <si>
    <t>(100x)^3</t>
    <phoneticPr fontId="2" type="noConversion"/>
  </si>
  <si>
    <t>e^x-1占比</t>
    <phoneticPr fontId="2" type="noConversion"/>
  </si>
  <si>
    <t>e^100x-1占比</t>
    <phoneticPr fontId="2" type="noConversion"/>
  </si>
  <si>
    <t>(100x)^3占比</t>
    <phoneticPr fontId="2" type="noConversion"/>
  </si>
  <si>
    <t>x^3占比</t>
    <phoneticPr fontId="2" type="noConversion"/>
  </si>
  <si>
    <t>市值占比修正幂率</t>
    <phoneticPr fontId="2" type="noConversion"/>
  </si>
  <si>
    <t>BTC</t>
    <phoneticPr fontId="78" type="noConversion"/>
  </si>
  <si>
    <t>ETH</t>
    <phoneticPr fontId="78" type="noConversion"/>
  </si>
  <si>
    <t>每天</t>
    <phoneticPr fontId="2" type="noConversion"/>
  </si>
  <si>
    <t>每年</t>
    <phoneticPr fontId="2" type="noConversion"/>
  </si>
  <si>
    <t>每月</t>
    <phoneticPr fontId="2" type="noConversion"/>
  </si>
  <si>
    <t>每周</t>
    <phoneticPr fontId="2" type="noConversion"/>
  </si>
  <si>
    <t>每秒</t>
    <phoneticPr fontId="2" type="noConversion"/>
  </si>
  <si>
    <t>每分</t>
    <phoneticPr fontId="2" type="noConversion"/>
  </si>
  <si>
    <t>每时</t>
    <phoneticPr fontId="2" type="noConversion"/>
  </si>
  <si>
    <t>币本位</t>
    <phoneticPr fontId="2" type="noConversion"/>
  </si>
  <si>
    <t>provider</t>
  </si>
  <si>
    <t>endpoint</t>
  </si>
  <si>
    <t>ADA</t>
    <phoneticPr fontId="78" type="noConversion"/>
  </si>
  <si>
    <t>BNB</t>
    <phoneticPr fontId="78" type="noConversion"/>
  </si>
  <si>
    <t>USD</t>
    <phoneticPr fontId="2" type="noConversion"/>
  </si>
  <si>
    <t>CNY</t>
    <phoneticPr fontId="2" type="noConversion"/>
  </si>
  <si>
    <t>CryptoSheets(🔥)</t>
  </si>
  <si>
    <t>列1</t>
  </si>
  <si>
    <t>卓尔金历法2</t>
  </si>
  <si>
    <t>比特币3</t>
  </si>
  <si>
    <t>币本位4</t>
  </si>
  <si>
    <t>列2</t>
    <phoneticPr fontId="2" type="noConversion"/>
  </si>
  <si>
    <t>美国修幂市值</t>
    <phoneticPr fontId="2" type="noConversion"/>
  </si>
  <si>
    <t>中国修幂市值</t>
    <phoneticPr fontId="2" type="noConversion"/>
  </si>
  <si>
    <t>中国修幂市值比例</t>
    <phoneticPr fontId="2" type="noConversion"/>
  </si>
  <si>
    <t>美国修幂市值比例</t>
    <phoneticPr fontId="2" type="noConversion"/>
  </si>
  <si>
    <t>Legend</t>
  </si>
  <si>
    <t>Trend</t>
  </si>
  <si>
    <t>CoinMarketCap</t>
  </si>
  <si>
    <t>Get Front Page</t>
  </si>
  <si>
    <t>arguments</t>
  </si>
  <si>
    <t>fields</t>
  </si>
  <si>
    <t>name,symbol,quote__USD__price,quote__USD__market_cap,quote__USD__volume_24h</t>
  </si>
  <si>
    <t>formatDates</t>
  </si>
  <si>
    <t>orderBy</t>
  </si>
  <si>
    <t>limit</t>
  </si>
  <si>
    <t>quote__USD__percent_change_1h,quote__USD__percent_change_24h,quote__USD__percent_change_7d</t>
  </si>
  <si>
    <t>parameters</t>
  </si>
  <si>
    <t>examples</t>
  </si>
  <si>
    <t>inputs</t>
  </si>
  <si>
    <t>circulating_supply</t>
  </si>
  <si>
    <t>total_supply</t>
  </si>
  <si>
    <t>platform</t>
  </si>
  <si>
    <t>cmc_rank</t>
  </si>
  <si>
    <t>last_updated</t>
  </si>
  <si>
    <t>quote__USD__price</t>
  </si>
  <si>
    <t>quote__USD__volume_24h</t>
  </si>
  <si>
    <t>quote__USD__percent_change_1h</t>
  </si>
  <si>
    <t>quote__USD__percent_change_24h</t>
  </si>
  <si>
    <t>quote__USD__percent_change_7d</t>
  </si>
  <si>
    <t>quote__USD__market_cap</t>
  </si>
  <si>
    <t>quote__USD__last_updated</t>
  </si>
  <si>
    <t>tags</t>
  </si>
  <si>
    <t>platform__id</t>
  </si>
  <si>
    <t>platform__name</t>
  </si>
  <si>
    <t>platform__symbol</t>
  </si>
  <si>
    <t>platform__slug</t>
  </si>
  <si>
    <t>platform__token_address</t>
  </si>
  <si>
    <t>quote__USD__price,quote__USD__volume_24h,quote__USD__percent_change_1h,quote__USD__percent_change_24h,quote__USD__percent_change_7d,quote__USD__market_cap,quote__USD__last_updated,last_updated</t>
  </si>
  <si>
    <t>circulating_supply,total_supply,max_supply,quote__USD__last_updated,last_updated</t>
  </si>
  <si>
    <t>币种</t>
    <phoneticPr fontId="2" type="noConversion"/>
  </si>
  <si>
    <t>修幂市值</t>
    <phoneticPr fontId="2" type="noConversion"/>
  </si>
  <si>
    <t>修幂市占比</t>
    <phoneticPr fontId="2" type="noConversion"/>
  </si>
  <si>
    <t>市占比修幂</t>
    <phoneticPr fontId="2" type="noConversion"/>
  </si>
  <si>
    <t>时间窗口</t>
    <phoneticPr fontId="2" type="noConversion"/>
  </si>
  <si>
    <t>目标收益</t>
    <phoneticPr fontId="2" type="noConversion"/>
  </si>
  <si>
    <t>寄存器</t>
    <phoneticPr fontId="2" type="noConversion"/>
  </si>
  <si>
    <t>实际收益</t>
    <phoneticPr fontId="2" type="noConversion"/>
  </si>
  <si>
    <t>当前
改变系数
(先寄存1)</t>
    <phoneticPr fontId="2" type="noConversion"/>
  </si>
  <si>
    <t>当前价格
(后寄存2)</t>
    <phoneticPr fontId="2" type="noConversion"/>
  </si>
  <si>
    <t>改变系数后仓位</t>
    <phoneticPr fontId="2" type="noConversion"/>
  </si>
  <si>
    <t>止损熔断器</t>
    <phoneticPr fontId="2" type="noConversion"/>
  </si>
  <si>
    <t>涨跌停板</t>
    <phoneticPr fontId="2" type="noConversion"/>
  </si>
  <si>
    <t>波动熔断器参数</t>
    <phoneticPr fontId="2" type="noConversion"/>
  </si>
  <si>
    <t>波动熔断后卓尔金历法</t>
    <phoneticPr fontId="2" type="noConversion"/>
  </si>
  <si>
    <t>20日波动率</t>
    <phoneticPr fontId="2" type="noConversion"/>
  </si>
  <si>
    <t>当日价格变化</t>
    <phoneticPr fontId="2" type="noConversion"/>
  </si>
  <si>
    <t>SOL</t>
    <phoneticPr fontId="2" type="noConversion"/>
  </si>
  <si>
    <t>DOGE</t>
    <phoneticPr fontId="2" type="noConversion"/>
  </si>
  <si>
    <t>DOT</t>
    <phoneticPr fontId="2" type="noConversion"/>
  </si>
  <si>
    <t>UNI</t>
    <phoneticPr fontId="2" type="noConversion"/>
  </si>
  <si>
    <t>LUNA</t>
    <phoneticPr fontId="2" type="noConversion"/>
  </si>
  <si>
    <t>LINK</t>
    <phoneticPr fontId="2" type="noConversion"/>
  </si>
  <si>
    <t>LTC</t>
    <phoneticPr fontId="2" type="noConversion"/>
  </si>
  <si>
    <t>FIL</t>
    <phoneticPr fontId="2" type="noConversion"/>
  </si>
  <si>
    <t>ALGO</t>
    <phoneticPr fontId="2" type="noConversion"/>
  </si>
  <si>
    <t>MATIC</t>
    <phoneticPr fontId="2" type="noConversion"/>
  </si>
  <si>
    <t>NEAR</t>
    <phoneticPr fontId="2" type="noConversion"/>
  </si>
  <si>
    <t>GRT</t>
    <phoneticPr fontId="2" type="noConversion"/>
  </si>
  <si>
    <t>卓尔金历法最大回撤</t>
    <phoneticPr fontId="2" type="noConversion"/>
  </si>
  <si>
    <t>比特币最大回撤</t>
    <phoneticPr fontId="2" type="noConversion"/>
  </si>
  <si>
    <t>币本位最大回撤</t>
    <phoneticPr fontId="2" type="noConversion"/>
  </si>
  <si>
    <t>止损熔断器参数1</t>
    <phoneticPr fontId="2" type="noConversion"/>
  </si>
  <si>
    <t>止损熔断后卓尔金历法1</t>
    <phoneticPr fontId="2" type="noConversion"/>
  </si>
  <si>
    <t>止损熔断器参数2</t>
    <phoneticPr fontId="2" type="noConversion"/>
  </si>
  <si>
    <t>止损熔断后卓尔金历法2</t>
    <phoneticPr fontId="2" type="noConversion"/>
  </si>
  <si>
    <t>止损熔断后卓尔金历法1最大回撤</t>
    <phoneticPr fontId="2" type="noConversion"/>
  </si>
  <si>
    <t>止损熔断后卓尔金历法2最大回撤</t>
    <phoneticPr fontId="2" type="noConversion"/>
  </si>
  <si>
    <t>熔断器
改变系数(前)
仓位</t>
    <phoneticPr fontId="2" type="noConversion"/>
  </si>
  <si>
    <t>最大回撤</t>
    <phoneticPr fontId="2" type="noConversion"/>
  </si>
  <si>
    <t>回本周期</t>
    <phoneticPr fontId="2" type="noConversion"/>
  </si>
  <si>
    <t>熔断后卓尔金历法1</t>
    <phoneticPr fontId="2" type="noConversion"/>
  </si>
  <si>
    <t>空置</t>
    <phoneticPr fontId="2" type="noConversion"/>
  </si>
  <si>
    <t>空置2</t>
    <phoneticPr fontId="2" type="noConversion"/>
  </si>
  <si>
    <t>熔断后卓尔金历法1-2</t>
    <phoneticPr fontId="2" type="noConversion"/>
  </si>
  <si>
    <t xml:space="preserve">✅    </t>
    <phoneticPr fontId="2" type="noConversion"/>
  </si>
  <si>
    <t xml:space="preserve">⚠️ </t>
    <phoneticPr fontId="2" type="noConversion"/>
  </si>
  <si>
    <t xml:space="preserve">☠️ </t>
    <phoneticPr fontId="2" type="noConversion"/>
  </si>
  <si>
    <t>如果出现加载问题，可能是因为：
1，Office版本不是365
2，没有安装好插件
3，没有科学上网</t>
    <phoneticPr fontId="2" type="noConversion"/>
  </si>
  <si>
    <t>FTM</t>
    <phoneticPr fontId="2" type="noConversion"/>
  </si>
  <si>
    <t>KSM</t>
    <phoneticPr fontId="2" type="noConversion"/>
  </si>
  <si>
    <t>MKR</t>
    <phoneticPr fontId="2" type="noConversion"/>
  </si>
  <si>
    <t>COMP</t>
    <phoneticPr fontId="2" type="noConversion"/>
  </si>
  <si>
    <t>KLAY</t>
    <phoneticPr fontId="2" type="noConversion"/>
  </si>
  <si>
    <t>修幂</t>
    <phoneticPr fontId="2" type="noConversion"/>
  </si>
  <si>
    <t>挂载数</t>
    <phoneticPr fontId="2" type="noConversion"/>
  </si>
  <si>
    <t>币圈驾驶舱</t>
    <phoneticPr fontId="2" type="noConversion"/>
  </si>
  <si>
    <t>BTT</t>
    <phoneticPr fontId="2" type="noConversion"/>
  </si>
  <si>
    <t>HBAR</t>
    <phoneticPr fontId="2" type="noConversion"/>
  </si>
  <si>
    <t>QNT</t>
    <phoneticPr fontId="2" type="noConversion"/>
  </si>
  <si>
    <t>EGLD</t>
    <phoneticPr fontId="2" type="noConversion"/>
  </si>
  <si>
    <t>USDT2</t>
    <phoneticPr fontId="2" type="noConversion"/>
  </si>
  <si>
    <t>当前Excel时间</t>
    <phoneticPr fontId="2" type="noConversion"/>
  </si>
  <si>
    <t>当前Unix时间</t>
    <phoneticPr fontId="2" type="noConversion"/>
  </si>
  <si>
    <t>S2F预测价格(月)</t>
    <phoneticPr fontId="2" type="noConversion"/>
  </si>
  <si>
    <t>RUNE</t>
    <phoneticPr fontId="2" type="noConversion"/>
  </si>
  <si>
    <t>挂载数</t>
  </si>
  <si>
    <t>修幂</t>
  </si>
  <si>
    <t>修幂避险市占比</t>
    <phoneticPr fontId="2" type="noConversion"/>
  </si>
  <si>
    <t>修幂避险市值</t>
    <phoneticPr fontId="2" type="noConversion"/>
  </si>
  <si>
    <r>
      <rPr>
        <sz val="48"/>
        <color theme="1"/>
        <rFont val="等线"/>
        <family val="3"/>
        <charset val="134"/>
      </rPr>
      <t xml:space="preserve">2021
</t>
    </r>
    <r>
      <rPr>
        <sz val="48"/>
        <color theme="1"/>
        <rFont val="等线"/>
        <family val="2"/>
        <charset val="134"/>
      </rPr>
      <t xml:space="preserve">年
</t>
    </r>
    <r>
      <rPr>
        <sz val="48"/>
        <color theme="1"/>
        <rFont val="等线"/>
        <family val="3"/>
        <charset val="134"/>
      </rPr>
      <t xml:space="preserve">Q4
</t>
    </r>
    <r>
      <rPr>
        <sz val="48"/>
        <color theme="1"/>
        <rFont val="等线"/>
        <family val="2"/>
        <charset val="134"/>
      </rPr>
      <t>财报</t>
    </r>
    <phoneticPr fontId="2" type="noConversion"/>
  </si>
  <si>
    <t>Hover for Help</t>
  </si>
  <si>
    <t>title</t>
  </si>
  <si>
    <t>Crypto Exchange Rankings Dashboard</t>
  </si>
  <si>
    <t>DATA</t>
  </si>
  <si>
    <t>Top 25 Ranked by Coingecko Trust Score</t>
  </si>
  <si>
    <t>Top 25 Ranked by Trade Volume (24h BTC)</t>
  </si>
  <si>
    <t>Coingecko</t>
  </si>
  <si>
    <t>sort by</t>
  </si>
  <si>
    <t>trust_score</t>
  </si>
  <si>
    <t>order</t>
  </si>
  <si>
    <t>DESC</t>
  </si>
  <si>
    <t>trade_volume_24h_btc</t>
  </si>
  <si>
    <t>exchanges</t>
  </si>
  <si>
    <t>Total</t>
  </si>
  <si>
    <t>Total Top 25</t>
  </si>
  <si>
    <t>ARGUMENTS</t>
  </si>
  <si>
    <t>_fields</t>
  </si>
  <si>
    <t>name,year_established,trust_score,trade_volume_24h_btc,trade_volume_24h_btc_normalized</t>
  </si>
  <si>
    <t>_formatDates</t>
  </si>
  <si>
    <t>_orderBy</t>
  </si>
  <si>
    <t>_limit</t>
  </si>
  <si>
    <t>_showHeaders</t>
  </si>
  <si>
    <t>_path</t>
  </si>
  <si>
    <t>controls</t>
  </si>
  <si>
    <t>use defaults</t>
  </si>
  <si>
    <t>show descriptions</t>
  </si>
  <si>
    <t>PARAMETERS</t>
  </si>
  <si>
    <t>user inputs</t>
  </si>
  <si>
    <t>Top 250 - Top 25 TrustScore</t>
  </si>
  <si>
    <t>Top 250 Ranked by Coingecko Trust Score</t>
  </si>
  <si>
    <t>交易所排名</t>
    <phoneticPr fontId="2" type="noConversion"/>
  </si>
  <si>
    <t>币种排名</t>
    <phoneticPr fontId="2" type="noConversion"/>
  </si>
  <si>
    <t>MVRV和S2F</t>
    <phoneticPr fontId="2" type="noConversion"/>
  </si>
  <si>
    <t>比较器</t>
    <phoneticPr fontId="2" type="noConversion"/>
  </si>
  <si>
    <t>纳指理论仓位</t>
    <phoneticPr fontId="2" type="noConversion"/>
  </si>
  <si>
    <t>纳指实际仓位</t>
    <phoneticPr fontId="2" type="noConversion"/>
  </si>
  <si>
    <t>考虑现实问题</t>
    <phoneticPr fontId="2" type="noConversion"/>
  </si>
  <si>
    <t>纳指仓位</t>
    <phoneticPr fontId="2" type="noConversion"/>
  </si>
  <si>
    <t>调仓判断</t>
    <phoneticPr fontId="2" type="noConversion"/>
  </si>
  <si>
    <t>加密货币仓位</t>
    <phoneticPr fontId="2" type="noConversion"/>
  </si>
  <si>
    <t>S2F</t>
    <phoneticPr fontId="2" type="noConversion"/>
  </si>
  <si>
    <t>加密货币实际仓位</t>
    <phoneticPr fontId="2" type="noConversion"/>
  </si>
  <si>
    <t>CNY现金</t>
    <phoneticPr fontId="2" type="noConversion"/>
  </si>
  <si>
    <t>旧驾驶舱逻辑架构（参考）</t>
    <phoneticPr fontId="2" type="noConversion"/>
  </si>
  <si>
    <t>币圈空间站</t>
    <phoneticPr fontId="2" type="noConversion"/>
  </si>
  <si>
    <t>投资管理系统：泰坦旗舰架构</t>
    <phoneticPr fontId="2" type="noConversion"/>
  </si>
  <si>
    <t>仓位管理</t>
    <phoneticPr fontId="2" type="noConversion"/>
  </si>
  <si>
    <t>数据接口</t>
    <phoneticPr fontId="2" type="noConversion"/>
  </si>
  <si>
    <t>基金管理</t>
    <phoneticPr fontId="2" type="noConversion"/>
  </si>
  <si>
    <t>客服记录</t>
    <phoneticPr fontId="2" type="noConversion"/>
  </si>
  <si>
    <t>宏观调控</t>
    <phoneticPr fontId="2" type="noConversion"/>
  </si>
  <si>
    <t>微观交易</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</si>
</sst>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8" formatCode="&quot;¥&quot;#,##0.00_);[Red]\(&quot;¥&quot;#,##0.00\)"/>
    <numFmt numFmtId="43" formatCode="_(* #,##0.00_);_(* \(#,##0.00\);_(* &quot;-&quot;??_);_(@_)"/>
    <numFmt numFmtId="24" formatCode="\$#,##0_);[Red]\(\$#,##0\)"/>
    <numFmt numFmtId="176" formatCode="0.00_ "/>
    <numFmt numFmtId="177" formatCode="#,##0.00_ "/>
    <numFmt numFmtId="178" formatCode="yyyy\-mm\-dd;@"/>
    <numFmt numFmtId="179" formatCode="0.0_ "/>
    <numFmt numFmtId="180" formatCode="#,##0_ "/>
    <numFmt numFmtId="181" formatCode="0.00000000_ "/>
    <numFmt numFmtId="182" formatCode="\$#,##0.00"/>
    <numFmt numFmtId="183" formatCode="&quot;¥&quot;#,##0.00"/>
    <numFmt numFmtId="184" formatCode="0.00_);[Red]\(0.00\)"/>
    <numFmt numFmtId="185" formatCode="0.000%"/>
    <numFmt numFmtId="186" formatCode="0.0000_ "/>
    <numFmt numFmtId="187" formatCode="0.000000_ "/>
    <numFmt numFmtId="188" formatCode="[$-F800]dddd\,\ mmmm\ dd\,\ yyyy"/>
    <numFmt numFmtId="189" formatCode="[$₿]\ #,##0.000000" x16r2:formatCode16="[$₿-x-xbt2]\ #,##0.000000"/>
    <numFmt numFmtId="190" formatCode="&quot;$&quot;#,##0"/>
    <numFmt numFmtId="191" formatCode="_(* #,##0_);_(* \(#,##0\);_(* &quot;-&quot;??_);_(@_)"/>
    <numFmt numFmtId="192" formatCode="&quot;$&quot;#,##0.000"/>
    <numFmt numFmtId="193" formatCode="\Ξ0.000000"/>
    <numFmt numFmtId="194" formatCode="0.00&quot;年&quot;"/>
    <numFmt numFmtId="195" formatCode="yyyy/m/d\ h:mm;@"/>
    <numFmt numFmtId="196" formatCode="0_ "/>
  </numFmts>
  <fonts count="123">
    <font>
      <sz val="12"/>
      <color theme="1"/>
      <name val="等线"/>
      <family val="2"/>
      <charset val="134"/>
      <scheme val="minor"/>
    </font>
    <font>
      <sz val="12"/>
      <color theme="1"/>
      <name val="等线"/>
      <family val="2"/>
      <charset val="134"/>
    </font>
    <font>
      <sz val="9"/>
      <name val="等线"/>
      <family val="2"/>
      <charset val="134"/>
      <scheme val="minor"/>
    </font>
    <font>
      <sz val="12"/>
      <color rgb="FF000000"/>
      <name val="等线"/>
      <family val="4"/>
      <charset val="134"/>
      <scheme val="minor"/>
    </font>
    <font>
      <u/>
      <sz val="12"/>
      <color theme="10"/>
      <name val="等线"/>
      <family val="2"/>
      <charset val="134"/>
      <scheme val="minor"/>
    </font>
    <font>
      <sz val="12"/>
      <color theme="4"/>
      <name val="等线"/>
      <family val="2"/>
      <charset val="134"/>
      <scheme val="minor"/>
    </font>
    <font>
      <sz val="12"/>
      <color theme="4"/>
      <name val="等线 (正文)"/>
      <family val="3"/>
      <charset val="134"/>
    </font>
    <font>
      <sz val="12"/>
      <color theme="4"/>
      <name val="等线"/>
      <family val="2"/>
      <charset val="134"/>
    </font>
    <font>
      <sz val="12"/>
      <color theme="4"/>
      <name val="等线 (正文)"/>
      <family val="3"/>
      <charset val="134"/>
    </font>
    <font>
      <sz val="12"/>
      <color theme="1"/>
      <name val="等线 (正文)"/>
      <family val="2"/>
      <charset val="134"/>
    </font>
    <font>
      <sz val="12"/>
      <color theme="1"/>
      <name val="等线 (正文)"/>
      <family val="3"/>
      <charset val="134"/>
    </font>
    <font>
      <sz val="12"/>
      <color theme="1"/>
      <name val="等线 (正文)"/>
      <family val="3"/>
      <charset val="134"/>
    </font>
    <font>
      <sz val="12"/>
      <color rgb="FFFF0000"/>
      <name val="等线"/>
      <family val="2"/>
      <charset val="134"/>
      <scheme val="minor"/>
    </font>
    <font>
      <sz val="12"/>
      <color theme="0"/>
      <name val="等线"/>
      <family val="2"/>
      <charset val="134"/>
      <scheme val="minor"/>
    </font>
    <font>
      <sz val="12"/>
      <color theme="0"/>
      <name val="等线"/>
      <family val="4"/>
      <charset val="134"/>
      <scheme val="minor"/>
    </font>
    <font>
      <sz val="12"/>
      <color theme="1"/>
      <name val="等线"/>
      <family val="4"/>
      <charset val="134"/>
      <scheme val="minor"/>
    </font>
    <font>
      <sz val="12"/>
      <color theme="0"/>
      <name val="等线 (正文)"/>
      <family val="3"/>
      <charset val="134"/>
    </font>
    <font>
      <sz val="12"/>
      <color theme="0"/>
      <name val="等线 (正文)"/>
      <family val="3"/>
      <charset val="134"/>
    </font>
    <font>
      <sz val="12"/>
      <color theme="9" tint="-0.249977111117893"/>
      <name val="等线"/>
      <family val="2"/>
      <charset val="134"/>
      <scheme val="minor"/>
    </font>
    <font>
      <sz val="12"/>
      <color theme="2" tint="-0.249977111117893"/>
      <name val="等线"/>
      <family val="2"/>
      <charset val="134"/>
      <scheme val="minor"/>
    </font>
    <font>
      <sz val="12"/>
      <color theme="1" tint="0.499984740745262"/>
      <name val="等线"/>
      <family val="2"/>
      <charset val="134"/>
      <scheme val="minor"/>
    </font>
    <font>
      <sz val="12"/>
      <color theme="8"/>
      <name val="等线"/>
      <family val="2"/>
      <charset val="134"/>
      <scheme val="minor"/>
    </font>
    <font>
      <sz val="12"/>
      <color rgb="FFFF0000"/>
      <name val="等线"/>
      <family val="4"/>
      <charset val="134"/>
      <scheme val="minor"/>
    </font>
    <font>
      <sz val="12"/>
      <color theme="7" tint="-0.249977111117893"/>
      <name val="等线"/>
      <family val="4"/>
      <charset val="134"/>
      <scheme val="minor"/>
    </font>
    <font>
      <sz val="12"/>
      <color theme="9" tint="-0.249977111117893"/>
      <name val="等线"/>
      <family val="4"/>
      <charset val="134"/>
      <scheme val="minor"/>
    </font>
    <font>
      <sz val="12"/>
      <color theme="4"/>
      <name val="等线"/>
      <family val="4"/>
      <charset val="134"/>
      <scheme val="minor"/>
    </font>
    <font>
      <sz val="48"/>
      <color theme="1"/>
      <name val="等线"/>
      <family val="2"/>
      <charset val="134"/>
    </font>
    <font>
      <sz val="48"/>
      <color theme="1"/>
      <name val="等线 (正文)"/>
      <family val="3"/>
      <charset val="134"/>
    </font>
    <font>
      <sz val="48"/>
      <color theme="1"/>
      <name val="等线"/>
      <family val="2"/>
      <charset val="134"/>
      <scheme val="minor"/>
    </font>
    <font>
      <sz val="12"/>
      <color rgb="FF9C5700"/>
      <name val="等线"/>
      <family val="2"/>
      <charset val="134"/>
      <scheme val="minor"/>
    </font>
    <font>
      <sz val="11"/>
      <color theme="1"/>
      <name val="等线"/>
      <family val="3"/>
      <charset val="134"/>
      <scheme val="minor"/>
    </font>
    <font>
      <sz val="11"/>
      <color theme="0"/>
      <name val="等线"/>
      <family val="3"/>
      <charset val="134"/>
      <scheme val="minor"/>
    </font>
    <font>
      <sz val="10"/>
      <color theme="1"/>
      <name val="等线"/>
      <family val="2"/>
      <charset val="134"/>
      <scheme val="minor"/>
    </font>
    <font>
      <sz val="9"/>
      <color theme="1"/>
      <name val="等线"/>
      <family val="2"/>
      <charset val="134"/>
      <scheme val="minor"/>
    </font>
    <font>
      <sz val="3"/>
      <color theme="1"/>
      <name val="等线"/>
      <family val="4"/>
      <charset val="134"/>
      <scheme val="minor"/>
    </font>
    <font>
      <sz val="24"/>
      <color theme="1"/>
      <name val="等线"/>
      <family val="4"/>
      <charset val="134"/>
      <scheme val="minor"/>
    </font>
    <font>
      <sz val="12"/>
      <color theme="4" tint="0.79998168889431442"/>
      <name val="等线"/>
      <family val="2"/>
      <charset val="134"/>
      <scheme val="minor"/>
    </font>
    <font>
      <sz val="12"/>
      <color theme="1" tint="0.249977111117893"/>
      <name val="等线"/>
      <family val="2"/>
      <charset val="134"/>
      <scheme val="minor"/>
    </font>
    <font>
      <sz val="48"/>
      <color theme="0"/>
      <name val="等线"/>
      <family val="4"/>
      <charset val="134"/>
      <scheme val="minor"/>
    </font>
    <font>
      <sz val="48"/>
      <color theme="0"/>
      <name val="等线"/>
      <family val="2"/>
      <charset val="134"/>
      <scheme val="minor"/>
    </font>
    <font>
      <u/>
      <sz val="24"/>
      <color theme="10"/>
      <name val="等线"/>
      <family val="4"/>
      <charset val="134"/>
      <scheme val="minor"/>
    </font>
    <font>
      <u/>
      <sz val="48"/>
      <color theme="10"/>
      <name val="等线"/>
      <family val="4"/>
      <charset val="134"/>
      <scheme val="minor"/>
    </font>
    <font>
      <u/>
      <sz val="72"/>
      <color theme="10"/>
      <name val="等线"/>
      <family val="2"/>
      <charset val="134"/>
      <scheme val="minor"/>
    </font>
    <font>
      <sz val="36"/>
      <color theme="1"/>
      <name val="等线"/>
      <family val="4"/>
      <charset val="134"/>
      <scheme val="minor"/>
    </font>
    <font>
      <u/>
      <sz val="72"/>
      <color theme="10"/>
      <name val="等线"/>
      <family val="4"/>
      <charset val="134"/>
      <scheme val="minor"/>
    </font>
    <font>
      <sz val="36"/>
      <color theme="1"/>
      <name val="等线"/>
      <family val="2"/>
      <charset val="134"/>
    </font>
    <font>
      <u/>
      <sz val="24"/>
      <color theme="4"/>
      <name val="等线"/>
      <family val="2"/>
      <charset val="134"/>
      <scheme val="minor"/>
    </font>
    <font>
      <sz val="18"/>
      <color theme="1"/>
      <name val="等线"/>
      <family val="2"/>
      <charset val="134"/>
    </font>
    <font>
      <sz val="16"/>
      <color theme="1"/>
      <name val="等线"/>
      <family val="2"/>
      <charset val="134"/>
    </font>
    <font>
      <sz val="12"/>
      <color rgb="FFFFFF00"/>
      <name val="等线"/>
      <family val="2"/>
      <charset val="134"/>
      <scheme val="minor"/>
    </font>
    <font>
      <sz val="18"/>
      <color theme="1"/>
      <name val="等线"/>
      <family val="4"/>
      <charset val="134"/>
      <scheme val="minor"/>
    </font>
    <font>
      <sz val="14"/>
      <color theme="1"/>
      <name val="等线"/>
      <family val="2"/>
      <charset val="134"/>
      <scheme val="minor"/>
    </font>
    <font>
      <sz val="48"/>
      <color theme="5" tint="0.59999389629810485"/>
      <name val="等线"/>
      <family val="4"/>
      <charset val="134"/>
      <scheme val="minor"/>
    </font>
    <font>
      <sz val="24"/>
      <color theme="0"/>
      <name val="等线"/>
      <family val="2"/>
      <charset val="134"/>
    </font>
    <font>
      <sz val="36"/>
      <color theme="1"/>
      <name val="等线"/>
      <family val="2"/>
      <charset val="134"/>
      <scheme val="minor"/>
    </font>
    <font>
      <sz val="28"/>
      <color theme="1"/>
      <name val="等线"/>
      <family val="2"/>
      <charset val="134"/>
      <scheme val="minor"/>
    </font>
    <font>
      <sz val="36"/>
      <color theme="1"/>
      <name val="等线"/>
      <family val="4"/>
      <charset val="134"/>
    </font>
    <font>
      <u/>
      <sz val="48"/>
      <color theme="10"/>
      <name val="等线"/>
      <family val="2"/>
      <charset val="134"/>
      <scheme val="minor"/>
    </font>
    <font>
      <u/>
      <sz val="24"/>
      <color theme="0" tint="-4.9989318521683403E-2"/>
      <name val="等线"/>
      <family val="4"/>
      <charset val="134"/>
      <scheme val="minor"/>
    </font>
    <font>
      <sz val="18"/>
      <color theme="0" tint="-4.9989318521683403E-2"/>
      <name val="等线"/>
      <family val="2"/>
      <charset val="134"/>
    </font>
    <font>
      <sz val="18"/>
      <color theme="4" tint="0.59999389629810485"/>
      <name val="等线"/>
      <family val="4"/>
      <charset val="134"/>
    </font>
    <font>
      <sz val="18"/>
      <color theme="7" tint="0.59999389629810485"/>
      <name val="等线"/>
      <family val="4"/>
      <charset val="134"/>
    </font>
    <font>
      <sz val="18"/>
      <color theme="2" tint="-0.249977111117893"/>
      <name val="等线"/>
      <family val="4"/>
      <charset val="134"/>
    </font>
    <font>
      <sz val="18"/>
      <color theme="0" tint="-4.9989318521683403E-2"/>
      <name val="等线"/>
      <family val="4"/>
      <charset val="134"/>
    </font>
    <font>
      <sz val="18"/>
      <color theme="2" tint="-0.249977111117893"/>
      <name val="等线 (正文)"/>
      <family val="3"/>
      <charset val="134"/>
    </font>
    <font>
      <u/>
      <sz val="36"/>
      <color theme="2" tint="-0.249977111117893"/>
      <name val="等线"/>
      <family val="2"/>
      <charset val="134"/>
      <scheme val="minor"/>
    </font>
    <font>
      <sz val="12"/>
      <color theme="2" tint="-9.9978637043366805E-2"/>
      <name val="等线"/>
      <family val="2"/>
      <charset val="134"/>
      <scheme val="minor"/>
    </font>
    <font>
      <b/>
      <sz val="12"/>
      <color theme="1"/>
      <name val="等线"/>
      <family val="4"/>
      <charset val="134"/>
      <scheme val="minor"/>
    </font>
    <font>
      <b/>
      <sz val="12"/>
      <color theme="8" tint="-0.249977111117893"/>
      <name val="等线"/>
      <family val="4"/>
      <charset val="134"/>
      <scheme val="minor"/>
    </font>
    <font>
      <sz val="16"/>
      <color rgb="FF000000"/>
      <name val="Arial"/>
      <family val="2"/>
    </font>
    <font>
      <u/>
      <sz val="28"/>
      <color theme="10"/>
      <name val="等线"/>
      <family val="2"/>
      <charset val="134"/>
      <scheme val="minor"/>
    </font>
    <font>
      <u/>
      <sz val="28"/>
      <color theme="10"/>
      <name val="等线"/>
      <family val="4"/>
      <charset val="134"/>
      <scheme val="minor"/>
    </font>
    <font>
      <u/>
      <sz val="20"/>
      <color theme="10"/>
      <name val="等线"/>
      <family val="2"/>
      <charset val="134"/>
      <scheme val="minor"/>
    </font>
    <font>
      <u/>
      <sz val="20"/>
      <color theme="10"/>
      <name val="等线"/>
      <family val="4"/>
      <charset val="134"/>
      <scheme val="minor"/>
    </font>
    <font>
      <sz val="12"/>
      <color theme="1"/>
      <name val="等线"/>
      <family val="2"/>
      <charset val="134"/>
      <scheme val="minor"/>
    </font>
    <font>
      <sz val="12"/>
      <color rgb="FF3F3F76"/>
      <name val="等线"/>
      <family val="2"/>
      <charset val="134"/>
      <scheme val="minor"/>
    </font>
    <font>
      <b/>
      <sz val="12"/>
      <color rgb="FFFA7D00"/>
      <name val="等线"/>
      <family val="2"/>
      <charset val="134"/>
      <scheme val="minor"/>
    </font>
    <font>
      <i/>
      <sz val="12"/>
      <color rgb="FF7F7F7F"/>
      <name val="等线"/>
      <family val="2"/>
      <charset val="134"/>
      <scheme val="minor"/>
    </font>
    <font>
      <sz val="9"/>
      <name val="等线"/>
      <family val="3"/>
      <charset val="134"/>
      <scheme val="minor"/>
    </font>
    <font>
      <sz val="12"/>
      <color theme="1"/>
      <name val="Helvetica Neue"/>
      <family val="2"/>
    </font>
    <font>
      <b/>
      <sz val="9"/>
      <color theme="1"/>
      <name val="Arial"/>
      <family val="2"/>
    </font>
    <font>
      <sz val="9"/>
      <color rgb="FFFA7D00"/>
      <name val="Arial"/>
      <family val="2"/>
    </font>
    <font>
      <sz val="14"/>
      <color rgb="FF222222"/>
      <name val="Arial"/>
      <family val="2"/>
    </font>
    <font>
      <sz val="26"/>
      <color theme="0"/>
      <name val="等线"/>
      <family val="2"/>
      <charset val="134"/>
    </font>
    <font>
      <sz val="26"/>
      <color theme="0"/>
      <name val="等线"/>
      <family val="4"/>
      <charset val="134"/>
    </font>
    <font>
      <sz val="24"/>
      <color theme="1"/>
      <name val="等线"/>
      <family val="2"/>
      <charset val="134"/>
      <scheme val="minor"/>
    </font>
    <font>
      <sz val="16"/>
      <color rgb="FF000000"/>
      <name val="等线"/>
      <family val="4"/>
      <charset val="134"/>
      <scheme val="minor"/>
    </font>
    <font>
      <sz val="18"/>
      <color rgb="FF000000"/>
      <name val="等线"/>
      <family val="4"/>
      <charset val="134"/>
      <scheme val="minor"/>
    </font>
    <font>
      <u/>
      <sz val="36"/>
      <color theme="10"/>
      <name val="等线"/>
      <family val="4"/>
      <charset val="134"/>
      <scheme val="minor"/>
    </font>
    <font>
      <sz val="8"/>
      <color theme="1"/>
      <name val="等线"/>
      <family val="2"/>
      <charset val="134"/>
      <scheme val="minor"/>
    </font>
    <font>
      <sz val="9"/>
      <color indexed="81"/>
      <name val="Tahoma"/>
      <family val="2"/>
    </font>
    <font>
      <sz val="60"/>
      <color theme="1"/>
      <name val="等线"/>
      <family val="4"/>
      <charset val="134"/>
      <scheme val="minor"/>
    </font>
    <font>
      <sz val="26"/>
      <color theme="1"/>
      <name val="等线"/>
      <family val="4"/>
      <charset val="134"/>
      <scheme val="minor"/>
    </font>
    <font>
      <sz val="28"/>
      <color theme="1"/>
      <name val="等线"/>
      <family val="4"/>
      <charset val="134"/>
      <scheme val="minor"/>
    </font>
    <font>
      <sz val="28"/>
      <color rgb="FFFFFF00"/>
      <name val="等线"/>
      <family val="4"/>
      <charset val="134"/>
      <scheme val="minor"/>
    </font>
    <font>
      <sz val="28"/>
      <color rgb="FF000000"/>
      <name val="等线"/>
      <family val="4"/>
      <charset val="134"/>
      <scheme val="minor"/>
    </font>
    <font>
      <sz val="16"/>
      <color theme="1"/>
      <name val="等线"/>
      <family val="2"/>
      <charset val="134"/>
      <scheme val="minor"/>
    </font>
    <font>
      <sz val="10"/>
      <color theme="5" tint="0.39997558519241921"/>
      <name val="等线"/>
      <family val="2"/>
      <charset val="134"/>
      <scheme val="minor"/>
    </font>
    <font>
      <sz val="14.5"/>
      <color theme="1"/>
      <name val="等线"/>
      <family val="2"/>
      <charset val="134"/>
      <scheme val="minor"/>
    </font>
    <font>
      <u/>
      <sz val="24"/>
      <color theme="10"/>
      <name val="等线"/>
      <family val="2"/>
      <charset val="134"/>
      <scheme val="minor"/>
    </font>
    <font>
      <sz val="9"/>
      <color theme="5" tint="0.79998168889431442"/>
      <name val="等线"/>
      <family val="2"/>
      <charset val="134"/>
      <scheme val="minor"/>
    </font>
    <font>
      <sz val="18"/>
      <color theme="1"/>
      <name val="等线 (正文)"/>
      <family val="3"/>
      <charset val="134"/>
    </font>
    <font>
      <sz val="16"/>
      <color theme="5" tint="0.79998168889431442"/>
      <name val="等线"/>
      <family val="4"/>
      <charset val="134"/>
      <scheme val="minor"/>
    </font>
    <font>
      <sz val="24"/>
      <color theme="0"/>
      <name val="等线"/>
      <family val="2"/>
      <charset val="134"/>
      <scheme val="minor"/>
    </font>
    <font>
      <sz val="18"/>
      <color rgb="FFFFFF00"/>
      <name val="等线"/>
      <family val="4"/>
      <charset val="134"/>
      <scheme val="minor"/>
    </font>
    <font>
      <b/>
      <sz val="12"/>
      <color theme="0"/>
      <name val="等线"/>
      <family val="2"/>
      <charset val="134"/>
      <scheme val="minor"/>
    </font>
    <font>
      <sz val="12"/>
      <color theme="0"/>
      <name val="Helvetica Neue"/>
      <family val="2"/>
    </font>
    <font>
      <b/>
      <sz val="13"/>
      <color theme="3"/>
      <name val="等线"/>
      <family val="2"/>
      <charset val="134"/>
      <scheme val="minor"/>
    </font>
    <font>
      <sz val="48"/>
      <color theme="1"/>
      <name val="等线"/>
      <family val="3"/>
      <charset val="134"/>
    </font>
    <font>
      <sz val="9"/>
      <name val="Arial"/>
      <family val="2"/>
    </font>
    <font>
      <sz val="9"/>
      <color theme="0"/>
      <name val="Arial"/>
      <family val="2"/>
    </font>
    <font>
      <b/>
      <sz val="9"/>
      <color theme="4"/>
      <name val="Arial"/>
      <family val="2"/>
    </font>
    <font>
      <b/>
      <sz val="9"/>
      <name val="Arial"/>
      <family val="2"/>
    </font>
    <font>
      <b/>
      <sz val="9"/>
      <color rgb="FF3F3F76"/>
      <name val="Arial"/>
      <family val="2"/>
    </font>
    <font>
      <sz val="9"/>
      <color theme="4"/>
      <name val="Arial"/>
      <family val="2"/>
    </font>
    <font>
      <sz val="9"/>
      <color rgb="FF7F7F7F"/>
      <name val="Arial"/>
      <family val="2"/>
    </font>
    <font>
      <i/>
      <sz val="9"/>
      <color theme="0"/>
      <name val="Arial"/>
      <family val="2"/>
    </font>
    <font>
      <b/>
      <sz val="9"/>
      <color theme="0"/>
      <name val="Arial"/>
      <family val="2"/>
    </font>
    <font>
      <u/>
      <sz val="12"/>
      <color theme="8" tint="-0.249977111117893"/>
      <name val="等线"/>
      <family val="4"/>
      <charset val="134"/>
      <scheme val="minor"/>
    </font>
    <font>
      <u/>
      <sz val="12"/>
      <color theme="10"/>
      <name val="等线"/>
      <family val="4"/>
      <charset val="134"/>
      <scheme val="minor"/>
    </font>
    <font>
      <b/>
      <sz val="12"/>
      <color theme="0"/>
      <name val="等线"/>
      <family val="4"/>
      <charset val="134"/>
      <scheme val="minor"/>
    </font>
    <font>
      <u/>
      <sz val="36"/>
      <color theme="10"/>
      <name val="等线"/>
      <family val="2"/>
      <charset val="134"/>
      <scheme val="minor"/>
    </font>
    <font>
      <u/>
      <sz val="36"/>
      <color theme="2" tint="-9.9978637043366805E-2"/>
      <name val="等线"/>
      <family val="4"/>
      <charset val="134"/>
      <scheme val="minor"/>
    </font>
  </fonts>
  <fills count="6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2" tint="-0.749992370372631"/>
        <bgColor indexed="64"/>
      </patternFill>
    </fill>
    <fill>
      <patternFill patternType="solid">
        <fgColor theme="1"/>
        <bgColor indexed="64"/>
      </patternFill>
    </fill>
    <fill>
      <patternFill patternType="solid">
        <fgColor theme="1" tint="0.34998626667073579"/>
        <bgColor indexed="64"/>
      </patternFill>
    </fill>
    <fill>
      <patternFill patternType="solid">
        <fgColor theme="1" tint="4.9989318521683403E-2"/>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89999084444715716"/>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4" tint="0.59999389629810485"/>
        <bgColor indexed="64"/>
      </patternFill>
    </fill>
    <fill>
      <patternFill patternType="solid">
        <fgColor rgb="FFFFEB9C"/>
      </patternFill>
    </fill>
    <fill>
      <patternFill patternType="solid">
        <fgColor theme="4"/>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8CBAD"/>
        <bgColor rgb="FF000000"/>
      </patternFill>
    </fill>
    <fill>
      <patternFill patternType="solid">
        <fgColor theme="7" tint="0.39997558519241921"/>
        <bgColor indexed="64"/>
      </patternFill>
    </fill>
    <fill>
      <patternFill patternType="solid">
        <fgColor theme="7" tint="-0.249977111117893"/>
        <bgColor indexed="64"/>
      </patternFill>
    </fill>
    <fill>
      <patternFill patternType="solid">
        <fgColor rgb="FF757171"/>
        <bgColor rgb="FF000000"/>
      </patternFill>
    </fill>
    <fill>
      <patternFill patternType="solid">
        <fgColor rgb="FF595959"/>
        <bgColor rgb="FF000000"/>
      </patternFill>
    </fill>
    <fill>
      <patternFill patternType="solid">
        <fgColor theme="7" tint="-0.499984740745262"/>
        <bgColor indexed="64"/>
      </patternFill>
    </fill>
    <fill>
      <patternFill patternType="solid">
        <fgColor theme="3"/>
        <bgColor indexed="64"/>
      </patternFill>
    </fill>
    <fill>
      <patternFill patternType="solid">
        <fgColor theme="3" tint="0.39997558519241921"/>
        <bgColor indexed="64"/>
      </patternFill>
    </fill>
    <fill>
      <patternFill patternType="solid">
        <fgColor rgb="FFFF0000"/>
        <bgColor indexed="64"/>
      </patternFill>
    </fill>
    <fill>
      <patternFill patternType="solid">
        <fgColor theme="9" tint="-0.499984740745262"/>
        <bgColor indexed="64"/>
      </patternFill>
    </fill>
    <fill>
      <patternFill patternType="solid">
        <fgColor theme="5" tint="-0.499984740745262"/>
        <bgColor indexed="64"/>
      </patternFill>
    </fill>
    <fill>
      <patternFill patternType="solid">
        <fgColor rgb="FFA6A6A6"/>
        <bgColor rgb="FF000000"/>
      </patternFill>
    </fill>
    <fill>
      <patternFill patternType="solid">
        <fgColor theme="1" tint="0.34998626667073579"/>
        <bgColor rgb="FF000000"/>
      </patternFill>
    </fill>
    <fill>
      <patternFill patternType="solid">
        <fgColor theme="7"/>
        <bgColor indexed="64"/>
      </patternFill>
    </fill>
    <fill>
      <patternFill patternType="solid">
        <fgColor rgb="FFFFCC99"/>
      </patternFill>
    </fill>
    <fill>
      <patternFill patternType="solid">
        <fgColor rgb="FFF2F2F2"/>
      </patternFill>
    </fill>
    <fill>
      <patternFill patternType="solid">
        <fgColor theme="4" tint="0.79998168889431442"/>
        <bgColor indexed="65"/>
      </patternFill>
    </fill>
    <fill>
      <patternFill patternType="solid">
        <fgColor rgb="FFD9E1F2"/>
        <bgColor rgb="FF000000"/>
      </patternFill>
    </fill>
    <fill>
      <patternFill patternType="solid">
        <fgColor rgb="FFC6E0B4"/>
        <bgColor rgb="FF000000"/>
      </patternFill>
    </fill>
    <fill>
      <patternFill patternType="solid">
        <fgColor rgb="FFFCE4D6"/>
        <bgColor rgb="FF000000"/>
      </patternFill>
    </fill>
    <fill>
      <patternFill patternType="solid">
        <fgColor theme="5" tint="-0.249977111117893"/>
        <bgColor indexed="64"/>
      </patternFill>
    </fill>
    <fill>
      <patternFill patternType="solid">
        <fgColor theme="8" tint="-0.499984740745262"/>
        <bgColor indexed="64"/>
      </patternFill>
    </fill>
    <fill>
      <patternFill patternType="solid">
        <fgColor theme="9" tint="-0.249977111117893"/>
        <bgColor indexed="64"/>
      </patternFill>
    </fill>
    <fill>
      <patternFill patternType="solid">
        <fgColor theme="3" tint="-0.249977111117893"/>
        <bgColor indexed="64"/>
      </patternFill>
    </fill>
  </fills>
  <borders count="254">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1"/>
      </left>
      <right style="thin">
        <color theme="1"/>
      </right>
      <top style="thin">
        <color theme="1"/>
      </top>
      <bottom style="thin">
        <color theme="1"/>
      </bottom>
      <diagonal/>
    </border>
    <border>
      <left style="thin">
        <color theme="1"/>
      </left>
      <right/>
      <top/>
      <bottom/>
      <diagonal/>
    </border>
    <border>
      <left/>
      <right style="thin">
        <color indexed="64"/>
      </right>
      <top style="medium">
        <color theme="1"/>
      </top>
      <bottom style="thin">
        <color indexed="64"/>
      </bottom>
      <diagonal/>
    </border>
    <border>
      <left/>
      <right/>
      <top style="medium">
        <color theme="1"/>
      </top>
      <bottom/>
      <diagonal/>
    </border>
    <border>
      <left style="thin">
        <color indexed="64"/>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style="thin">
        <color theme="1"/>
      </left>
      <right style="medium">
        <color theme="1"/>
      </right>
      <top style="medium">
        <color theme="1"/>
      </top>
      <bottom style="thin">
        <color theme="1"/>
      </bottom>
      <diagonal/>
    </border>
    <border>
      <left/>
      <right/>
      <top style="thin">
        <color theme="1"/>
      </top>
      <bottom/>
      <diagonal/>
    </border>
    <border>
      <left/>
      <right style="thin">
        <color theme="1"/>
      </right>
      <top style="thin">
        <color theme="1"/>
      </top>
      <bottom/>
      <diagonal/>
    </border>
    <border>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top style="thin">
        <color indexed="64"/>
      </top>
      <bottom style="medium">
        <color theme="1"/>
      </bottom>
      <diagonal/>
    </border>
    <border>
      <left style="thin">
        <color theme="1"/>
      </left>
      <right style="medium">
        <color theme="1"/>
      </right>
      <top style="thin">
        <color theme="1"/>
      </top>
      <bottom style="medium">
        <color theme="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style="medium">
        <color indexed="64"/>
      </left>
      <right/>
      <top style="thin">
        <color rgb="FFFF0000"/>
      </top>
      <bottom style="thin">
        <color rgb="FFFF0000"/>
      </bottom>
      <diagonal/>
    </border>
    <border>
      <left/>
      <right style="thin">
        <color rgb="FFFF0000"/>
      </right>
      <top style="thin">
        <color rgb="FFFF0000"/>
      </top>
      <bottom style="thin">
        <color rgb="FFFF0000"/>
      </bottom>
      <diagonal/>
    </border>
    <border>
      <left/>
      <right style="thin">
        <color indexed="64"/>
      </right>
      <top/>
      <bottom/>
      <diagonal/>
    </border>
    <border>
      <left style="thin">
        <color indexed="64"/>
      </left>
      <right style="medium">
        <color indexed="64"/>
      </right>
      <top/>
      <bottom style="thin">
        <color rgb="FFFF0000"/>
      </bottom>
      <diagonal/>
    </border>
    <border>
      <left style="medium">
        <color rgb="FFFF0000"/>
      </left>
      <right style="medium">
        <color rgb="FFFF0000"/>
      </right>
      <top/>
      <bottom/>
      <diagonal/>
    </border>
    <border>
      <left style="medium">
        <color indexed="64"/>
      </left>
      <right/>
      <top/>
      <bottom/>
      <diagonal/>
    </border>
    <border>
      <left style="medium">
        <color rgb="FFFF0000"/>
      </left>
      <right style="medium">
        <color rgb="FFFF0000"/>
      </right>
      <top/>
      <bottom style="medium">
        <color rgb="FFFF0000"/>
      </bottom>
      <diagonal/>
    </border>
    <border>
      <left style="thin">
        <color rgb="FFFF0000"/>
      </left>
      <right style="thin">
        <color rgb="FFFF0000"/>
      </right>
      <top style="thin">
        <color rgb="FFFF0000"/>
      </top>
      <bottom style="thin">
        <color rgb="FFFF0000"/>
      </bottom>
      <diagonal/>
    </border>
    <border>
      <left/>
      <right style="medium">
        <color indexed="64"/>
      </right>
      <top/>
      <bottom/>
      <diagonal/>
    </border>
    <border>
      <left style="medium">
        <color indexed="64"/>
      </left>
      <right style="thin">
        <color rgb="FFFF0000"/>
      </right>
      <top style="thin">
        <color rgb="FFFF0000"/>
      </top>
      <bottom/>
      <diagonal/>
    </border>
    <border>
      <left style="thin">
        <color rgb="FFFF0000"/>
      </left>
      <right style="thin">
        <color rgb="FFFF0000"/>
      </right>
      <top style="thin">
        <color rgb="FFFF0000"/>
      </top>
      <bottom/>
      <diagonal/>
    </border>
    <border>
      <left/>
      <right style="thin">
        <color theme="1"/>
      </right>
      <top style="thin">
        <color rgb="FFFF0000"/>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1"/>
      </right>
      <top/>
      <bottom/>
      <diagonal/>
    </border>
    <border>
      <left style="thin">
        <color indexed="64"/>
      </left>
      <right/>
      <top style="medium">
        <color indexed="64"/>
      </top>
      <bottom/>
      <diagonal/>
    </border>
    <border>
      <left style="medium">
        <color indexed="64"/>
      </left>
      <right style="medium">
        <color indexed="64"/>
      </right>
      <top/>
      <bottom/>
      <diagonal/>
    </border>
    <border>
      <left style="medium">
        <color indexed="64"/>
      </left>
      <right/>
      <top style="medium">
        <color indexed="64"/>
      </top>
      <bottom style="thin">
        <color theme="1"/>
      </bottom>
      <diagonal/>
    </border>
    <border>
      <left/>
      <right/>
      <top style="medium">
        <color indexed="64"/>
      </top>
      <bottom style="thin">
        <color theme="1"/>
      </bottom>
      <diagonal/>
    </border>
    <border>
      <left style="medium">
        <color theme="1"/>
      </left>
      <right/>
      <top style="medium">
        <color indexed="64"/>
      </top>
      <bottom style="thin">
        <color theme="1"/>
      </bottom>
      <diagonal/>
    </border>
    <border>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right style="medium">
        <color indexed="64"/>
      </right>
      <top style="medium">
        <color indexed="64"/>
      </top>
      <bottom/>
      <diagonal/>
    </border>
    <border>
      <left style="medium">
        <color indexed="64"/>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medium">
        <color indexed="64"/>
      </right>
      <top/>
      <bottom style="thin">
        <color indexed="64"/>
      </bottom>
      <diagonal/>
    </border>
    <border>
      <left style="medium">
        <color indexed="64"/>
      </left>
      <right style="medium">
        <color indexed="64"/>
      </right>
      <top style="medium">
        <color theme="1"/>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thin">
        <color theme="1"/>
      </left>
      <right style="medium">
        <color indexed="64"/>
      </right>
      <top style="thin">
        <color theme="1"/>
      </top>
      <bottom style="thin">
        <color theme="1"/>
      </bottom>
      <diagonal/>
    </border>
    <border>
      <left/>
      <right/>
      <top style="medium">
        <color indexed="64"/>
      </top>
      <bottom style="medium">
        <color theme="1"/>
      </bottom>
      <diagonal/>
    </border>
    <border>
      <left/>
      <right style="medium">
        <color indexed="64"/>
      </right>
      <top style="medium">
        <color indexed="64"/>
      </top>
      <bottom style="medium">
        <color theme="1"/>
      </bottom>
      <diagonal/>
    </border>
    <border>
      <left style="medium">
        <color indexed="64"/>
      </left>
      <right style="medium">
        <color theme="1"/>
      </right>
      <top style="medium">
        <color indexed="64"/>
      </top>
      <bottom style="medium">
        <color theme="1"/>
      </bottom>
      <diagonal/>
    </border>
    <border>
      <left style="thin">
        <color theme="1"/>
      </left>
      <right style="medium">
        <color indexed="64"/>
      </right>
      <top style="thin">
        <color theme="1"/>
      </top>
      <bottom style="medium">
        <color indexed="64"/>
      </bottom>
      <diagonal/>
    </border>
    <border>
      <left style="medium">
        <color indexed="64"/>
      </left>
      <right style="medium">
        <color indexed="64"/>
      </right>
      <top style="medium">
        <color indexed="64"/>
      </top>
      <bottom style="thin">
        <color theme="1"/>
      </bottom>
      <diagonal/>
    </border>
    <border>
      <left/>
      <right style="medium">
        <color indexed="64"/>
      </right>
      <top style="medium">
        <color indexed="64"/>
      </top>
      <bottom style="medium">
        <color indexed="64"/>
      </bottom>
      <diagonal/>
    </border>
    <border>
      <left style="medium">
        <color theme="1"/>
      </left>
      <right/>
      <top style="thin">
        <color theme="1"/>
      </top>
      <bottom/>
      <diagonal/>
    </border>
    <border>
      <left style="medium">
        <color indexed="64"/>
      </left>
      <right style="medium">
        <color indexed="64"/>
      </right>
      <top style="thin">
        <color theme="1"/>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indexed="64"/>
      </bottom>
      <diagonal/>
    </border>
    <border>
      <left/>
      <right style="thick">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theme="1"/>
      </top>
      <bottom style="thin">
        <color indexed="64"/>
      </bottom>
      <diagonal/>
    </border>
    <border>
      <left/>
      <right/>
      <top style="thin">
        <color indexed="64"/>
      </top>
      <bottom style="medium">
        <color theme="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theme="1"/>
      </left>
      <right style="medium">
        <color indexed="64"/>
      </right>
      <top style="medium">
        <color indexed="64"/>
      </top>
      <bottom style="thin">
        <color theme="1"/>
      </bottom>
      <diagonal/>
    </border>
    <border>
      <left/>
      <right style="medium">
        <color theme="1"/>
      </right>
      <top/>
      <bottom style="medium">
        <color theme="1"/>
      </bottom>
      <diagonal/>
    </border>
    <border>
      <left style="medium">
        <color indexed="64"/>
      </left>
      <right/>
      <top/>
      <bottom style="thin">
        <color rgb="FFFF0000"/>
      </bottom>
      <diagonal/>
    </border>
    <border>
      <left/>
      <right style="thin">
        <color rgb="FFFF0000"/>
      </right>
      <top/>
      <bottom style="thin">
        <color rgb="FFFF0000"/>
      </bottom>
      <diagonal/>
    </border>
    <border>
      <left style="thin">
        <color indexed="64"/>
      </left>
      <right style="medium">
        <color indexed="64"/>
      </right>
      <top/>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medium">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top style="thin">
        <color theme="1"/>
      </top>
      <bottom style="medium">
        <color theme="1"/>
      </bottom>
      <diagonal/>
    </border>
    <border>
      <left style="medium">
        <color theme="1"/>
      </left>
      <right style="thin">
        <color theme="1"/>
      </right>
      <top/>
      <bottom style="thin">
        <color theme="1"/>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medium">
        <color rgb="FFFF0000"/>
      </right>
      <top style="medium">
        <color rgb="FFFF0000"/>
      </top>
      <bottom/>
      <diagonal/>
    </border>
    <border>
      <left/>
      <right style="thick">
        <color theme="1"/>
      </right>
      <top/>
      <bottom/>
      <diagonal/>
    </border>
    <border>
      <left style="medium">
        <color indexed="64"/>
      </left>
      <right style="thick">
        <color theme="1"/>
      </right>
      <top/>
      <bottom/>
      <diagonal/>
    </border>
    <border>
      <left style="thin">
        <color indexed="64"/>
      </left>
      <right style="thick">
        <color theme="1"/>
      </right>
      <top style="thin">
        <color indexed="64"/>
      </top>
      <bottom style="medium">
        <color theme="1"/>
      </bottom>
      <diagonal/>
    </border>
    <border>
      <left/>
      <right/>
      <top/>
      <bottom style="thick">
        <color theme="1"/>
      </bottom>
      <diagonal/>
    </border>
    <border>
      <left style="thin">
        <color indexed="64"/>
      </left>
      <right style="thick">
        <color theme="1"/>
      </right>
      <top/>
      <bottom style="thin">
        <color indexed="64"/>
      </bottom>
      <diagonal/>
    </border>
    <border>
      <left style="thin">
        <color theme="1"/>
      </left>
      <right style="thin">
        <color theme="1"/>
      </right>
      <top/>
      <bottom/>
      <diagonal/>
    </border>
    <border>
      <left style="thin">
        <color theme="1"/>
      </left>
      <right style="thin">
        <color theme="1"/>
      </right>
      <top/>
      <bottom style="thin">
        <color theme="1"/>
      </bottom>
      <diagonal/>
    </border>
    <border>
      <left style="thick">
        <color theme="1"/>
      </left>
      <right/>
      <top style="thick">
        <color theme="1"/>
      </top>
      <bottom/>
      <diagonal/>
    </border>
    <border>
      <left/>
      <right style="medium">
        <color theme="1"/>
      </right>
      <top style="thick">
        <color theme="1"/>
      </top>
      <bottom/>
      <diagonal/>
    </border>
    <border>
      <left style="thick">
        <color theme="1"/>
      </left>
      <right/>
      <top/>
      <bottom style="medium">
        <color theme="1"/>
      </bottom>
      <diagonal/>
    </border>
    <border>
      <left style="thick">
        <color theme="1"/>
      </left>
      <right/>
      <top/>
      <bottom style="thick">
        <color theme="1"/>
      </bottom>
      <diagonal/>
    </border>
    <border>
      <left/>
      <right style="thick">
        <color theme="1"/>
      </right>
      <top/>
      <bottom style="thick">
        <color theme="1"/>
      </bottom>
      <diagonal/>
    </border>
    <border>
      <left/>
      <right style="medium">
        <color indexed="64"/>
      </right>
      <top/>
      <bottom style="thick">
        <color theme="1"/>
      </bottom>
      <diagonal/>
    </border>
    <border>
      <left style="medium">
        <color indexed="64"/>
      </left>
      <right/>
      <top/>
      <bottom style="thick">
        <color theme="1"/>
      </bottom>
      <diagonal/>
    </border>
    <border>
      <left style="thin">
        <color theme="1"/>
      </left>
      <right style="thin">
        <color theme="1"/>
      </right>
      <top style="thin">
        <color theme="1"/>
      </top>
      <bottom style="thick">
        <color theme="1"/>
      </bottom>
      <diagonal/>
    </border>
    <border>
      <left style="thin">
        <color theme="1"/>
      </left>
      <right style="medium">
        <color indexed="64"/>
      </right>
      <top style="thin">
        <color theme="1"/>
      </top>
      <bottom style="thick">
        <color theme="1"/>
      </bottom>
      <diagonal/>
    </border>
    <border>
      <left/>
      <right/>
      <top style="medium">
        <color theme="1"/>
      </top>
      <bottom style="thick">
        <color theme="1"/>
      </bottom>
      <diagonal/>
    </border>
    <border>
      <left/>
      <right style="medium">
        <color indexed="64"/>
      </right>
      <top style="medium">
        <color theme="1"/>
      </top>
      <bottom style="thick">
        <color theme="1"/>
      </bottom>
      <diagonal/>
    </border>
    <border>
      <left style="medium">
        <color indexed="64"/>
      </left>
      <right style="medium">
        <color theme="1"/>
      </right>
      <top/>
      <bottom style="thick">
        <color theme="1"/>
      </bottom>
      <diagonal/>
    </border>
    <border>
      <left style="thin">
        <color indexed="64"/>
      </left>
      <right/>
      <top/>
      <bottom style="thin">
        <color theme="1"/>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theme="0"/>
      </right>
      <top/>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indexed="64"/>
      </left>
      <right/>
      <top style="thin">
        <color indexed="64"/>
      </top>
      <bottom/>
      <diagonal/>
    </border>
    <border>
      <left style="thin">
        <color indexed="64"/>
      </left>
      <right/>
      <top/>
      <bottom style="medium">
        <color indexed="64"/>
      </bottom>
      <diagonal/>
    </border>
    <border>
      <left style="medium">
        <color indexed="64"/>
      </left>
      <right style="medium">
        <color indexed="64"/>
      </right>
      <top/>
      <bottom style="thin">
        <color indexed="64"/>
      </bottom>
      <diagonal/>
    </border>
    <border>
      <left/>
      <right style="thin">
        <color rgb="FFFF0000"/>
      </right>
      <top/>
      <bottom/>
      <diagonal/>
    </border>
    <border>
      <left style="thin">
        <color indexed="64"/>
      </left>
      <right style="thin">
        <color rgb="FFFF0000"/>
      </right>
      <top style="thin">
        <color indexed="64"/>
      </top>
      <bottom style="thin">
        <color indexed="64"/>
      </bottom>
      <diagonal/>
    </border>
    <border>
      <left style="thin">
        <color indexed="64"/>
      </left>
      <right style="thin">
        <color rgb="FFFF0000"/>
      </right>
      <top style="thin">
        <color indexed="64"/>
      </top>
      <bottom/>
      <diagonal/>
    </border>
    <border>
      <left style="thin">
        <color indexed="64"/>
      </left>
      <right style="thin">
        <color rgb="FFFF0000"/>
      </right>
      <top style="medium">
        <color indexed="64"/>
      </top>
      <bottom style="thin">
        <color indexed="64"/>
      </bottom>
      <diagonal/>
    </border>
    <border>
      <left style="thin">
        <color indexed="64"/>
      </left>
      <right style="thin">
        <color rgb="FFFF0000"/>
      </right>
      <top style="thin">
        <color indexed="64"/>
      </top>
      <bottom style="medium">
        <color indexed="64"/>
      </bottom>
      <diagonal/>
    </border>
    <border>
      <left/>
      <right style="thin">
        <color rgb="FFFF0000"/>
      </right>
      <top style="thin">
        <color indexed="64"/>
      </top>
      <bottom style="thin">
        <color indexed="64"/>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medium">
        <color rgb="FFFF0000"/>
      </left>
      <right style="medium">
        <color rgb="FFFF0000"/>
      </right>
      <top style="medium">
        <color rgb="FFFF0000"/>
      </top>
      <bottom style="medium">
        <color rgb="FFFF0000"/>
      </bottom>
      <diagonal/>
    </border>
    <border>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rgb="FFFF0000"/>
      </left>
      <right style="thin">
        <color indexed="64"/>
      </right>
      <top style="thin">
        <color indexed="64"/>
      </top>
      <bottom style="thin">
        <color indexed="64"/>
      </bottom>
      <diagonal/>
    </border>
    <border>
      <left/>
      <right/>
      <top style="thin">
        <color rgb="FFFF0000"/>
      </top>
      <bottom/>
      <diagonal/>
    </border>
    <border>
      <left style="thin">
        <color rgb="FFFF0000"/>
      </left>
      <right/>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thin">
        <color rgb="FFFF0000"/>
      </left>
      <right style="thin">
        <color theme="1"/>
      </right>
      <top style="thin">
        <color theme="1"/>
      </top>
      <bottom style="thin">
        <color theme="1"/>
      </bottom>
      <diagonal/>
    </border>
    <border>
      <left style="thin">
        <color theme="1"/>
      </left>
      <right/>
      <top style="thin">
        <color theme="1"/>
      </top>
      <bottom style="thin">
        <color theme="1"/>
      </bottom>
      <diagonal/>
    </border>
    <border>
      <left style="medium">
        <color theme="1"/>
      </left>
      <right style="thin">
        <color indexed="64"/>
      </right>
      <top style="thin">
        <color theme="1"/>
      </top>
      <bottom style="thin">
        <color indexed="64"/>
      </bottom>
      <diagonal/>
    </border>
    <border>
      <left/>
      <right style="thin">
        <color rgb="FFFF0000"/>
      </right>
      <top style="thin">
        <color rgb="FFFF0000"/>
      </top>
      <bottom/>
      <diagonal/>
    </border>
    <border>
      <left style="medium">
        <color rgb="FFFF0000"/>
      </left>
      <right/>
      <top style="medium">
        <color rgb="FFFF0000"/>
      </top>
      <bottom/>
      <diagonal/>
    </border>
    <border>
      <left/>
      <right style="medium">
        <color rgb="FFFF0000"/>
      </right>
      <top style="medium">
        <color rgb="FFFF0000"/>
      </top>
      <bottom/>
      <diagonal/>
    </border>
    <border>
      <left style="thin">
        <color indexed="64"/>
      </left>
      <right style="thin">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1"/>
      </left>
      <right style="thin">
        <color theme="1"/>
      </right>
      <top style="thin">
        <color theme="1"/>
      </top>
      <bottom/>
      <diagonal/>
    </border>
    <border>
      <left style="thin">
        <color theme="1"/>
      </left>
      <right style="thin">
        <color theme="1"/>
      </right>
      <top style="thin">
        <color indexed="64"/>
      </top>
      <bottom/>
      <diagonal/>
    </border>
    <border>
      <left style="thin">
        <color theme="1"/>
      </left>
      <right style="thin">
        <color theme="1"/>
      </right>
      <top style="thin">
        <color indexed="64"/>
      </top>
      <bottom style="thin">
        <color theme="1"/>
      </bottom>
      <diagonal/>
    </border>
    <border>
      <left style="thin">
        <color rgb="FFFF0000"/>
      </left>
      <right/>
      <top style="thin">
        <color theme="1"/>
      </top>
      <bottom style="thin">
        <color theme="1"/>
      </bottom>
      <diagonal/>
    </border>
    <border>
      <left style="medium">
        <color theme="1"/>
      </left>
      <right style="thin">
        <color indexed="64"/>
      </right>
      <top style="medium">
        <color theme="1"/>
      </top>
      <bottom style="medium">
        <color theme="1"/>
      </bottom>
      <diagonal/>
    </border>
    <border>
      <left style="medium">
        <color indexed="64"/>
      </left>
      <right style="thin">
        <color indexed="64"/>
      </right>
      <top style="medium">
        <color theme="1"/>
      </top>
      <bottom style="medium">
        <color theme="1"/>
      </bottom>
      <diagonal/>
    </border>
    <border>
      <left style="medium">
        <color indexed="64"/>
      </left>
      <right style="medium">
        <color theme="1"/>
      </right>
      <top style="medium">
        <color theme="1"/>
      </top>
      <bottom style="medium">
        <color theme="1"/>
      </bottom>
      <diagonal/>
    </border>
    <border>
      <left style="medium">
        <color indexed="64"/>
      </left>
      <right/>
      <top style="medium">
        <color theme="1"/>
      </top>
      <bottom style="medium">
        <color indexed="64"/>
      </bottom>
      <diagonal/>
    </border>
    <border>
      <left style="medium">
        <color theme="1"/>
      </left>
      <right style="medium">
        <color theme="1"/>
      </right>
      <top style="medium">
        <color theme="1"/>
      </top>
      <bottom style="medium">
        <color theme="1"/>
      </bottom>
      <diagonal/>
    </border>
    <border>
      <left style="thin">
        <color indexed="64"/>
      </left>
      <right style="medium">
        <color rgb="FFFF0000"/>
      </right>
      <top style="medium">
        <color rgb="FFFF0000"/>
      </top>
      <bottom/>
      <diagonal/>
    </border>
    <border>
      <left style="medium">
        <color rgb="FFFF0000"/>
      </left>
      <right/>
      <top/>
      <bottom style="medium">
        <color rgb="FFFF0000"/>
      </bottom>
      <diagonal/>
    </border>
    <border>
      <left style="thin">
        <color indexed="64"/>
      </left>
      <right style="medium">
        <color rgb="FFFF0000"/>
      </right>
      <top/>
      <bottom style="medium">
        <color rgb="FFFF0000"/>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thin">
        <color rgb="FF7F7F7F"/>
      </left>
      <right style="thin">
        <color rgb="FF7F7F7F"/>
      </right>
      <top/>
      <bottom style="thin">
        <color rgb="FF7F7F7F"/>
      </bottom>
      <diagonal/>
    </border>
    <border>
      <left/>
      <right/>
      <top style="medium">
        <color rgb="FFFF0000"/>
      </top>
      <bottom/>
      <diagonal/>
    </border>
    <border>
      <left style="medium">
        <color rgb="FFFF0000"/>
      </left>
      <right/>
      <top/>
      <bottom/>
      <diagonal/>
    </border>
    <border>
      <left/>
      <right style="medium">
        <color rgb="FFFF0000"/>
      </right>
      <top/>
      <bottom/>
      <diagonal/>
    </border>
    <border>
      <left/>
      <right/>
      <top/>
      <bottom style="medium">
        <color rgb="FFFF0000"/>
      </bottom>
      <diagonal/>
    </border>
    <border>
      <left/>
      <right style="medium">
        <color rgb="FFFF0000"/>
      </right>
      <top/>
      <bottom style="medium">
        <color rgb="FFFF0000"/>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ck">
        <color rgb="FF00B0F0"/>
      </left>
      <right style="thick">
        <color rgb="FF00B0F0"/>
      </right>
      <top/>
      <bottom style="thick">
        <color rgb="FF00B0F0"/>
      </bottom>
      <diagonal/>
    </border>
    <border>
      <left style="thick">
        <color rgb="FF00B0F0"/>
      </left>
      <right style="thick">
        <color rgb="FF00B0F0"/>
      </right>
      <top/>
      <bottom/>
      <diagonal/>
    </border>
    <border>
      <left style="medium">
        <color rgb="FFFF0000"/>
      </left>
      <right style="thick">
        <color rgb="FF00B0F0"/>
      </right>
      <top/>
      <bottom/>
      <diagonal/>
    </border>
    <border>
      <left/>
      <right style="thick">
        <color rgb="FF00B0F0"/>
      </right>
      <top/>
      <bottom/>
      <diagonal/>
    </border>
    <border>
      <left style="medium">
        <color rgb="FFFF0000"/>
      </left>
      <right style="thick">
        <color rgb="FF00B0F0"/>
      </right>
      <top style="medium">
        <color rgb="FFFF0000"/>
      </top>
      <bottom/>
      <diagonal/>
    </border>
    <border>
      <left/>
      <right style="thick">
        <color rgb="FF00B0F0"/>
      </right>
      <top style="thick">
        <color rgb="FF00B0F0"/>
      </top>
      <bottom/>
      <diagonal/>
    </border>
    <border>
      <left/>
      <right/>
      <top style="thick">
        <color rgb="FF00B0F0"/>
      </top>
      <bottom/>
      <diagonal/>
    </border>
    <border>
      <left style="thin">
        <color theme="0"/>
      </left>
      <right style="thin">
        <color theme="0"/>
      </right>
      <top/>
      <bottom style="thick">
        <color theme="0"/>
      </bottom>
      <diagonal/>
    </border>
    <border>
      <left/>
      <right/>
      <top/>
      <bottom style="thick">
        <color theme="4" tint="0.499984740745262"/>
      </bottom>
      <diagonal/>
    </border>
    <border>
      <left style="thin">
        <color theme="0"/>
      </left>
      <right style="thin">
        <color theme="0"/>
      </right>
      <top style="thin">
        <color theme="0"/>
      </top>
      <bottom style="thin">
        <color theme="0"/>
      </bottom>
      <diagonal/>
    </border>
    <border>
      <left style="thick">
        <color indexed="64"/>
      </left>
      <right/>
      <top style="thick">
        <color indexed="64"/>
      </top>
      <bottom/>
      <diagonal/>
    </border>
    <border>
      <left/>
      <right/>
      <top style="thick">
        <color indexed="64"/>
      </top>
      <bottom/>
      <diagonal/>
    </border>
    <border>
      <left style="thin">
        <color theme="0"/>
      </left>
      <right style="thin">
        <color theme="0"/>
      </right>
      <top/>
      <bottom style="thin">
        <color theme="0"/>
      </bottom>
      <diagonal/>
    </border>
    <border>
      <left style="thin">
        <color rgb="FF7F7F7F"/>
      </left>
      <right/>
      <top style="thick">
        <color theme="4" tint="0.499984740745262"/>
      </top>
      <bottom style="thin">
        <color rgb="FF7F7F7F"/>
      </bottom>
      <diagonal/>
    </border>
    <border>
      <left/>
      <right style="thin">
        <color rgb="FF7F7F7F"/>
      </right>
      <top style="thick">
        <color theme="4" tint="0.499984740745262"/>
      </top>
      <bottom style="thin">
        <color rgb="FF7F7F7F"/>
      </bottom>
      <diagonal/>
    </border>
    <border>
      <left style="thin">
        <color theme="0"/>
      </left>
      <right style="thin">
        <color theme="0"/>
      </right>
      <top/>
      <bottom/>
      <diagonal/>
    </border>
    <border>
      <left/>
      <right/>
      <top style="thin">
        <color indexed="64"/>
      </top>
      <bottom style="thin">
        <color theme="0" tint="-4.9989318521683403E-2"/>
      </bottom>
      <diagonal/>
    </border>
    <border>
      <left/>
      <right/>
      <top style="thin">
        <color theme="0" tint="-4.9989318521683403E-2"/>
      </top>
      <bottom style="thin">
        <color theme="0" tint="-4.9989318521683403E-2"/>
      </bottom>
      <diagonal/>
    </border>
    <border>
      <left/>
      <right/>
      <top style="thin">
        <color theme="0" tint="-4.9989318521683403E-2"/>
      </top>
      <bottom/>
      <diagonal/>
    </border>
    <border>
      <left style="thin">
        <color theme="1"/>
      </left>
      <right style="thin">
        <color theme="1"/>
      </right>
      <top style="thick">
        <color rgb="FFFF0000"/>
      </top>
      <bottom style="thin">
        <color theme="1"/>
      </bottom>
      <diagonal/>
    </border>
    <border>
      <left/>
      <right/>
      <top/>
      <bottom style="thick">
        <color rgb="FFFF0000"/>
      </bottom>
      <diagonal/>
    </border>
    <border>
      <left/>
      <right/>
      <top style="thin">
        <color indexed="64"/>
      </top>
      <bottom/>
      <diagonal/>
    </border>
    <border>
      <left style="thin">
        <color indexed="64"/>
      </left>
      <right style="thick">
        <color indexed="64"/>
      </right>
      <top style="thick">
        <color indexed="64"/>
      </top>
      <bottom/>
      <diagonal/>
    </border>
    <border>
      <left style="thick">
        <color indexed="64"/>
      </left>
      <right/>
      <top style="thick">
        <color indexed="64"/>
      </top>
      <bottom style="thin">
        <color indexed="64"/>
      </bottom>
      <diagonal/>
    </border>
    <border>
      <left style="thick">
        <color indexed="64"/>
      </left>
      <right style="thick">
        <color indexed="64"/>
      </right>
      <top/>
      <bottom/>
      <diagonal/>
    </border>
    <border>
      <left style="thick">
        <color indexed="64"/>
      </left>
      <right/>
      <top/>
      <bottom/>
      <diagonal/>
    </border>
    <border>
      <left style="thick">
        <color indexed="64"/>
      </left>
      <right/>
      <top/>
      <bottom style="thick">
        <color indexed="64"/>
      </bottom>
      <diagonal/>
    </border>
    <border>
      <left/>
      <right/>
      <top style="thin">
        <color indexed="64"/>
      </top>
      <bottom style="thick">
        <color indexed="64"/>
      </bottom>
      <diagonal/>
    </border>
    <border>
      <left/>
      <right style="thick">
        <color indexed="64"/>
      </right>
      <top/>
      <bottom style="thick">
        <color indexed="64"/>
      </bottom>
      <diagonal/>
    </border>
    <border>
      <left/>
      <right/>
      <top style="thick">
        <color indexed="64"/>
      </top>
      <bottom style="thick">
        <color indexed="64"/>
      </bottom>
      <diagonal/>
    </border>
    <border>
      <left style="medium">
        <color theme="1"/>
      </left>
      <right/>
      <top/>
      <bottom style="thin">
        <color theme="1"/>
      </bottom>
      <diagonal/>
    </border>
    <border>
      <left style="medium">
        <color theme="1"/>
      </left>
      <right/>
      <top style="thin">
        <color theme="1"/>
      </top>
      <bottom style="thin">
        <color indexed="64"/>
      </bottom>
      <diagonal/>
    </border>
    <border>
      <left/>
      <right style="medium">
        <color theme="1"/>
      </right>
      <top style="thin">
        <color theme="1"/>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style="medium">
        <color theme="1"/>
      </bottom>
      <diagonal/>
    </border>
    <border>
      <left style="medium">
        <color theme="1"/>
      </left>
      <right/>
      <top style="medium">
        <color theme="1"/>
      </top>
      <bottom style="thin">
        <color theme="1"/>
      </bottom>
      <diagonal/>
    </border>
    <border>
      <left/>
      <right style="medium">
        <color theme="1"/>
      </right>
      <top style="medium">
        <color theme="1"/>
      </top>
      <bottom style="thin">
        <color theme="1"/>
      </bottom>
      <diagonal/>
    </border>
    <border>
      <left/>
      <right style="medium">
        <color theme="1"/>
      </right>
      <top style="thin">
        <color indexed="64"/>
      </top>
      <bottom style="thin">
        <color indexed="64"/>
      </bottom>
      <diagonal/>
    </border>
    <border>
      <left/>
      <right style="medium">
        <color theme="1"/>
      </right>
      <top style="thin">
        <color indexed="64"/>
      </top>
      <bottom style="medium">
        <color theme="1"/>
      </bottom>
      <diagonal/>
    </border>
    <border>
      <left style="thick">
        <color rgb="FFFF0000"/>
      </left>
      <right/>
      <top style="thick">
        <color rgb="FFFF0000"/>
      </top>
      <bottom style="thin">
        <color theme="1"/>
      </bottom>
      <diagonal/>
    </border>
    <border>
      <left/>
      <right/>
      <top style="thick">
        <color rgb="FFFF0000"/>
      </top>
      <bottom/>
      <diagonal/>
    </border>
    <border>
      <left style="thin">
        <color theme="1"/>
      </left>
      <right/>
      <top style="thick">
        <color rgb="FFFF0000"/>
      </top>
      <bottom style="thin">
        <color theme="1"/>
      </bottom>
      <diagonal/>
    </border>
    <border>
      <left/>
      <right style="thick">
        <color rgb="FFFF0000"/>
      </right>
      <top style="thick">
        <color rgb="FFFF0000"/>
      </top>
      <bottom style="thick">
        <color rgb="FFFF0000"/>
      </bottom>
      <diagonal/>
    </border>
    <border>
      <left style="thin">
        <color theme="1"/>
      </left>
      <right style="thick">
        <color rgb="FFFF0000"/>
      </right>
      <top style="thin">
        <color theme="1"/>
      </top>
      <bottom style="thin">
        <color theme="1"/>
      </bottom>
      <diagonal/>
    </border>
    <border>
      <left style="thick">
        <color rgb="FFFF0000"/>
      </left>
      <right style="thick">
        <color rgb="FFFF0000"/>
      </right>
      <top style="thin">
        <color theme="1"/>
      </top>
      <bottom style="thick">
        <color rgb="FFFF0000"/>
      </bottom>
      <diagonal/>
    </border>
  </borders>
  <cellStyleXfs count="10">
    <xf numFmtId="0" fontId="0" fillId="0" borderId="0">
      <alignment vertical="center"/>
    </xf>
    <xf numFmtId="0" fontId="4" fillId="0" borderId="0" applyNumberFormat="0" applyFill="0" applyBorder="0" applyAlignment="0" applyProtection="0">
      <alignment vertical="center"/>
    </xf>
    <xf numFmtId="0" fontId="29" fillId="31" borderId="0" applyNumberFormat="0" applyBorder="0" applyAlignment="0" applyProtection="0">
      <alignment vertical="center"/>
    </xf>
    <xf numFmtId="43" fontId="74" fillId="0" borderId="0" applyFont="0" applyFill="0" applyBorder="0" applyAlignment="0" applyProtection="0">
      <alignment vertical="center"/>
    </xf>
    <xf numFmtId="9" fontId="74" fillId="0" borderId="0" applyFont="0" applyFill="0" applyBorder="0" applyAlignment="0" applyProtection="0">
      <alignment vertical="center"/>
    </xf>
    <xf numFmtId="0" fontId="75" fillId="55" borderId="199" applyNumberFormat="0" applyAlignment="0" applyProtection="0">
      <alignment vertical="center"/>
    </xf>
    <xf numFmtId="0" fontId="76" fillId="56" borderId="199" applyNumberFormat="0" applyAlignment="0" applyProtection="0">
      <alignment vertical="center"/>
    </xf>
    <xf numFmtId="0" fontId="77" fillId="0" borderId="0" applyNumberFormat="0" applyFill="0" applyBorder="0" applyAlignment="0" applyProtection="0">
      <alignment vertical="center"/>
    </xf>
    <xf numFmtId="0" fontId="74" fillId="57" borderId="0" applyNumberFormat="0" applyBorder="0" applyAlignment="0" applyProtection="0">
      <alignment vertical="center"/>
    </xf>
    <xf numFmtId="0" fontId="107" fillId="0" borderId="217" applyNumberFormat="0" applyFill="0" applyAlignment="0" applyProtection="0">
      <alignment vertical="center"/>
    </xf>
  </cellStyleXfs>
  <cellXfs count="1468">
    <xf numFmtId="0" fontId="0" fillId="0" borderId="0" xfId="0">
      <alignment vertical="center"/>
    </xf>
    <xf numFmtId="177" fontId="0" fillId="3" borderId="6" xfId="0" applyNumberFormat="1" applyFill="1" applyBorder="1">
      <alignment vertical="center"/>
    </xf>
    <xf numFmtId="177" fontId="0" fillId="4" borderId="7" xfId="0" applyNumberFormat="1" applyFill="1" applyBorder="1">
      <alignment vertical="center"/>
    </xf>
    <xf numFmtId="177" fontId="0" fillId="4" borderId="6" xfId="0" applyNumberFormat="1" applyFill="1" applyBorder="1">
      <alignment vertical="center"/>
    </xf>
    <xf numFmtId="0" fontId="3" fillId="0" borderId="0" xfId="0" applyFont="1">
      <alignment vertical="center"/>
    </xf>
    <xf numFmtId="178" fontId="0" fillId="4" borderId="6" xfId="0" applyNumberFormat="1" applyFill="1" applyBorder="1">
      <alignment vertical="center"/>
    </xf>
    <xf numFmtId="177" fontId="4" fillId="7" borderId="1" xfId="1" applyNumberFormat="1" applyFill="1" applyBorder="1">
      <alignment vertical="center"/>
    </xf>
    <xf numFmtId="176" fontId="0" fillId="7" borderId="2" xfId="0" applyNumberFormat="1" applyFill="1" applyBorder="1">
      <alignment vertical="center"/>
    </xf>
    <xf numFmtId="0" fontId="0" fillId="4" borderId="11" xfId="0" applyFill="1" applyBorder="1">
      <alignment vertical="center"/>
    </xf>
    <xf numFmtId="177" fontId="5" fillId="7" borderId="12" xfId="0" applyNumberFormat="1" applyFont="1" applyFill="1" applyBorder="1">
      <alignment vertical="center"/>
    </xf>
    <xf numFmtId="177" fontId="0" fillId="7" borderId="13" xfId="0" applyNumberFormat="1" applyFill="1" applyBorder="1">
      <alignment vertical="center"/>
    </xf>
    <xf numFmtId="0" fontId="0" fillId="4" borderId="13" xfId="0" applyFill="1" applyBorder="1">
      <alignment vertical="center"/>
    </xf>
    <xf numFmtId="177" fontId="1" fillId="7" borderId="12" xfId="0" applyNumberFormat="1" applyFont="1" applyFill="1" applyBorder="1">
      <alignment vertical="center"/>
    </xf>
    <xf numFmtId="177" fontId="1" fillId="8" borderId="12" xfId="0" applyNumberFormat="1" applyFont="1" applyFill="1" applyBorder="1">
      <alignment vertical="center"/>
    </xf>
    <xf numFmtId="177" fontId="0" fillId="8" borderId="13" xfId="0" applyNumberFormat="1" applyFill="1" applyBorder="1">
      <alignment vertical="center"/>
    </xf>
    <xf numFmtId="177" fontId="0" fillId="4" borderId="13" xfId="0" applyNumberFormat="1" applyFill="1" applyBorder="1">
      <alignment vertical="center"/>
    </xf>
    <xf numFmtId="177" fontId="1" fillId="8" borderId="16" xfId="0" applyNumberFormat="1" applyFont="1" applyFill="1" applyBorder="1">
      <alignment vertical="center"/>
    </xf>
    <xf numFmtId="177" fontId="0" fillId="8" borderId="17" xfId="0" applyNumberFormat="1" applyFill="1" applyBorder="1">
      <alignment vertical="center"/>
    </xf>
    <xf numFmtId="177" fontId="0" fillId="4" borderId="17" xfId="0" applyNumberFormat="1" applyFill="1" applyBorder="1">
      <alignment vertical="center"/>
    </xf>
    <xf numFmtId="177" fontId="0" fillId="3" borderId="7" xfId="0" applyNumberFormat="1" applyFill="1" applyBorder="1">
      <alignment vertical="center"/>
    </xf>
    <xf numFmtId="177" fontId="1" fillId="8" borderId="20" xfId="0" applyNumberFormat="1" applyFont="1" applyFill="1" applyBorder="1">
      <alignment vertical="center"/>
    </xf>
    <xf numFmtId="177" fontId="0" fillId="8" borderId="11" xfId="0" applyNumberFormat="1" applyFill="1" applyBorder="1">
      <alignment vertical="center"/>
    </xf>
    <xf numFmtId="177" fontId="0" fillId="4" borderId="11" xfId="0" applyNumberFormat="1" applyFill="1" applyBorder="1">
      <alignment vertical="center"/>
    </xf>
    <xf numFmtId="177" fontId="1" fillId="9" borderId="3" xfId="0" applyNumberFormat="1" applyFont="1" applyFill="1" applyBorder="1">
      <alignment vertical="center"/>
    </xf>
    <xf numFmtId="177" fontId="0" fillId="9" borderId="21" xfId="0" applyNumberFormat="1" applyFill="1" applyBorder="1">
      <alignment vertical="center"/>
    </xf>
    <xf numFmtId="177" fontId="0" fillId="4" borderId="21" xfId="0" applyNumberFormat="1" applyFill="1" applyBorder="1">
      <alignment vertical="center"/>
    </xf>
    <xf numFmtId="177" fontId="4" fillId="0" borderId="0" xfId="1" applyNumberFormat="1" applyFill="1" applyBorder="1">
      <alignment vertical="center"/>
    </xf>
    <xf numFmtId="176" fontId="0" fillId="0" borderId="0" xfId="0" applyNumberFormat="1" applyFill="1" applyBorder="1">
      <alignment vertical="center"/>
    </xf>
    <xf numFmtId="0" fontId="0" fillId="0" borderId="0" xfId="0" applyFill="1" applyBorder="1">
      <alignment vertical="center"/>
    </xf>
    <xf numFmtId="177" fontId="5" fillId="0" borderId="0" xfId="0" applyNumberFormat="1" applyFont="1" applyFill="1" applyBorder="1">
      <alignment vertical="center"/>
    </xf>
    <xf numFmtId="177" fontId="0" fillId="0" borderId="0" xfId="0" applyNumberFormat="1" applyFill="1" applyBorder="1">
      <alignment vertical="center"/>
    </xf>
    <xf numFmtId="177" fontId="1" fillId="0" borderId="0" xfId="0" applyNumberFormat="1" applyFont="1" applyFill="1" applyBorder="1">
      <alignment vertical="center"/>
    </xf>
    <xf numFmtId="0" fontId="0" fillId="0" borderId="0" xfId="0" applyBorder="1">
      <alignment vertical="center"/>
    </xf>
    <xf numFmtId="176" fontId="0" fillId="3" borderId="24" xfId="0" applyNumberFormat="1" applyFill="1" applyBorder="1">
      <alignment vertical="center"/>
    </xf>
    <xf numFmtId="0" fontId="0" fillId="12" borderId="0" xfId="0" applyFill="1">
      <alignment vertical="center"/>
    </xf>
    <xf numFmtId="0" fontId="0" fillId="12" borderId="0" xfId="0" applyFill="1" applyBorder="1">
      <alignment vertical="center"/>
    </xf>
    <xf numFmtId="177" fontId="0" fillId="12" borderId="0" xfId="0" applyNumberFormat="1" applyFill="1" applyBorder="1">
      <alignment vertical="center"/>
    </xf>
    <xf numFmtId="177" fontId="6" fillId="12" borderId="0" xfId="0" applyNumberFormat="1" applyFont="1" applyFill="1" applyBorder="1">
      <alignment vertical="center"/>
    </xf>
    <xf numFmtId="177" fontId="8" fillId="12" borderId="0" xfId="0" applyNumberFormat="1" applyFont="1" applyFill="1" applyBorder="1">
      <alignment vertical="center"/>
    </xf>
    <xf numFmtId="177" fontId="0" fillId="3" borderId="24" xfId="0" applyNumberFormat="1" applyFill="1" applyBorder="1">
      <alignment vertical="center"/>
    </xf>
    <xf numFmtId="177" fontId="0" fillId="3" borderId="22" xfId="0" applyNumberFormat="1" applyFill="1" applyBorder="1">
      <alignment vertical="center"/>
    </xf>
    <xf numFmtId="179" fontId="0" fillId="0" borderId="0" xfId="0" applyNumberFormat="1">
      <alignment vertical="center"/>
    </xf>
    <xf numFmtId="0" fontId="0" fillId="14" borderId="0" xfId="0" applyFill="1">
      <alignment vertical="center"/>
    </xf>
    <xf numFmtId="0" fontId="0" fillId="15" borderId="29" xfId="0" applyFill="1" applyBorder="1">
      <alignment vertical="center"/>
    </xf>
    <xf numFmtId="0" fontId="0" fillId="15" borderId="30" xfId="0" applyFill="1" applyBorder="1" applyAlignment="1">
      <alignment horizontal="center" vertical="center" wrapText="1"/>
    </xf>
    <xf numFmtId="0" fontId="0" fillId="14" borderId="30" xfId="0" applyFill="1" applyBorder="1" applyAlignment="1">
      <alignment horizontal="center" vertical="center" wrapText="1"/>
    </xf>
    <xf numFmtId="0" fontId="0" fillId="16" borderId="31" xfId="0" applyFill="1" applyBorder="1" applyAlignment="1">
      <alignment horizontal="center" vertical="center" wrapText="1"/>
    </xf>
    <xf numFmtId="0" fontId="0" fillId="16" borderId="32" xfId="0" applyFill="1" applyBorder="1" applyAlignment="1">
      <alignment horizontal="center" vertical="center" wrapText="1"/>
    </xf>
    <xf numFmtId="0" fontId="0" fillId="15" borderId="36" xfId="0" applyFill="1" applyBorder="1">
      <alignment vertical="center"/>
    </xf>
    <xf numFmtId="0" fontId="0" fillId="14" borderId="36" xfId="0" applyFill="1" applyBorder="1">
      <alignment vertical="center"/>
    </xf>
    <xf numFmtId="0" fontId="15" fillId="14" borderId="36" xfId="0" applyFont="1" applyFill="1" applyBorder="1">
      <alignment vertical="center"/>
    </xf>
    <xf numFmtId="0" fontId="0" fillId="3" borderId="37" xfId="0" applyFill="1" applyBorder="1">
      <alignment vertical="center"/>
    </xf>
    <xf numFmtId="0" fontId="0" fillId="3" borderId="38" xfId="0" applyFill="1" applyBorder="1">
      <alignment vertical="center"/>
    </xf>
    <xf numFmtId="0" fontId="4" fillId="16" borderId="42" xfId="1" applyFill="1" applyBorder="1" applyAlignment="1">
      <alignment horizontal="center" vertical="center" wrapText="1"/>
    </xf>
    <xf numFmtId="0" fontId="4" fillId="16" borderId="43" xfId="1" applyFill="1" applyBorder="1" applyAlignment="1">
      <alignment horizontal="center" vertical="center" wrapText="1"/>
    </xf>
    <xf numFmtId="0" fontId="4" fillId="16" borderId="44" xfId="1" applyFill="1" applyBorder="1" applyAlignment="1">
      <alignment horizontal="center" vertical="center" wrapText="1"/>
    </xf>
    <xf numFmtId="178" fontId="0" fillId="0" borderId="0" xfId="0" applyNumberFormat="1">
      <alignment vertical="center"/>
    </xf>
    <xf numFmtId="177" fontId="0" fillId="0" borderId="0" xfId="0" applyNumberFormat="1">
      <alignment vertical="center"/>
    </xf>
    <xf numFmtId="177" fontId="0" fillId="2" borderId="27" xfId="0" applyNumberFormat="1" applyFill="1" applyBorder="1" applyAlignment="1">
      <alignment horizontal="center" vertical="center"/>
    </xf>
    <xf numFmtId="177" fontId="0" fillId="15" borderId="50" xfId="0" applyNumberFormat="1" applyFill="1" applyBorder="1">
      <alignment vertical="center"/>
    </xf>
    <xf numFmtId="177" fontId="0" fillId="15" borderId="51" xfId="0" applyNumberFormat="1" applyFill="1" applyBorder="1">
      <alignment vertical="center"/>
    </xf>
    <xf numFmtId="177" fontId="13" fillId="18" borderId="52" xfId="0" applyNumberFormat="1" applyFont="1" applyFill="1" applyBorder="1" applyAlignment="1">
      <alignment horizontal="center" vertical="center"/>
    </xf>
    <xf numFmtId="177" fontId="0" fillId="15" borderId="53" xfId="0" applyNumberFormat="1" applyFill="1" applyBorder="1">
      <alignment vertical="center"/>
    </xf>
    <xf numFmtId="177" fontId="19" fillId="19" borderId="54" xfId="0" applyNumberFormat="1" applyFont="1" applyFill="1" applyBorder="1">
      <alignment vertical="center"/>
    </xf>
    <xf numFmtId="177" fontId="12" fillId="3" borderId="55" xfId="0" applyNumberFormat="1" applyFont="1" applyFill="1" applyBorder="1">
      <alignment vertical="center"/>
    </xf>
    <xf numFmtId="177" fontId="18" fillId="2" borderId="56" xfId="0" applyNumberFormat="1" applyFont="1" applyFill="1" applyBorder="1">
      <alignment vertical="center"/>
    </xf>
    <xf numFmtId="177" fontId="14" fillId="20" borderId="27" xfId="0" applyNumberFormat="1" applyFont="1" applyFill="1" applyBorder="1" applyAlignment="1">
      <alignment horizontal="center" vertical="center"/>
    </xf>
    <xf numFmtId="177" fontId="14" fillId="20" borderId="56" xfId="0" applyNumberFormat="1" applyFont="1" applyFill="1" applyBorder="1">
      <alignment vertical="center"/>
    </xf>
    <xf numFmtId="177" fontId="14" fillId="20" borderId="59" xfId="0" applyNumberFormat="1" applyFont="1" applyFill="1" applyBorder="1">
      <alignment vertical="center"/>
    </xf>
    <xf numFmtId="177" fontId="0" fillId="2" borderId="53" xfId="0" applyNumberFormat="1" applyFill="1" applyBorder="1">
      <alignment vertical="center"/>
    </xf>
    <xf numFmtId="177" fontId="12" fillId="2" borderId="50" xfId="0" applyNumberFormat="1" applyFont="1" applyFill="1" applyBorder="1">
      <alignment vertical="center"/>
    </xf>
    <xf numFmtId="177" fontId="0" fillId="2" borderId="39" xfId="0" applyNumberFormat="1" applyFill="1" applyBorder="1" applyAlignment="1">
      <alignment horizontal="center" vertical="center"/>
    </xf>
    <xf numFmtId="177" fontId="0" fillId="2" borderId="60" xfId="0" applyNumberFormat="1" applyFill="1" applyBorder="1">
      <alignment vertical="center"/>
    </xf>
    <xf numFmtId="177" fontId="0" fillId="2" borderId="61" xfId="0" applyNumberFormat="1" applyFill="1" applyBorder="1">
      <alignment vertical="center"/>
    </xf>
    <xf numFmtId="177" fontId="0" fillId="14" borderId="61" xfId="0" applyNumberFormat="1" applyFill="1" applyBorder="1">
      <alignment vertical="center"/>
    </xf>
    <xf numFmtId="177" fontId="0" fillId="15" borderId="61" xfId="0" applyNumberFormat="1" applyFill="1" applyBorder="1">
      <alignment vertical="center"/>
    </xf>
    <xf numFmtId="177" fontId="12" fillId="2" borderId="4" xfId="0" applyNumberFormat="1" applyFont="1" applyFill="1" applyBorder="1">
      <alignment vertical="center"/>
    </xf>
    <xf numFmtId="177" fontId="18" fillId="2" borderId="62" xfId="0" applyNumberFormat="1" applyFont="1" applyFill="1" applyBorder="1">
      <alignment vertical="center"/>
    </xf>
    <xf numFmtId="177" fontId="23" fillId="4" borderId="47" xfId="0" applyNumberFormat="1" applyFont="1" applyFill="1" applyBorder="1">
      <alignment vertical="center"/>
    </xf>
    <xf numFmtId="177" fontId="24" fillId="5" borderId="64" xfId="0" applyNumberFormat="1" applyFont="1" applyFill="1" applyBorder="1">
      <alignment vertical="center"/>
    </xf>
    <xf numFmtId="177" fontId="0" fillId="2" borderId="45" xfId="0" applyNumberFormat="1" applyFill="1" applyBorder="1" applyAlignment="1">
      <alignment horizontal="center" vertical="center"/>
    </xf>
    <xf numFmtId="177" fontId="12" fillId="2" borderId="70" xfId="0" applyNumberFormat="1" applyFont="1" applyFill="1" applyBorder="1">
      <alignment vertical="center"/>
    </xf>
    <xf numFmtId="177" fontId="18" fillId="2" borderId="71" xfId="0" applyNumberFormat="1" applyFont="1" applyFill="1" applyBorder="1">
      <alignment vertical="center"/>
    </xf>
    <xf numFmtId="177" fontId="22" fillId="4" borderId="46" xfId="0" applyNumberFormat="1" applyFont="1" applyFill="1" applyBorder="1">
      <alignment vertical="center"/>
    </xf>
    <xf numFmtId="177" fontId="25" fillId="5" borderId="71" xfId="0" applyNumberFormat="1" applyFont="1" applyFill="1" applyBorder="1">
      <alignment vertical="center"/>
    </xf>
    <xf numFmtId="180" fontId="13" fillId="22" borderId="22" xfId="0" applyNumberFormat="1" applyFont="1" applyFill="1" applyBorder="1" applyAlignment="1">
      <alignment horizontal="center" vertical="center"/>
    </xf>
    <xf numFmtId="177" fontId="0" fillId="23" borderId="24" xfId="0" applyNumberFormat="1" applyFill="1" applyBorder="1" applyAlignment="1">
      <alignment horizontal="center" vertical="center"/>
    </xf>
    <xf numFmtId="177" fontId="12" fillId="2" borderId="26" xfId="0" applyNumberFormat="1" applyFont="1" applyFill="1" applyBorder="1">
      <alignment vertical="center"/>
    </xf>
    <xf numFmtId="177" fontId="18" fillId="2" borderId="75" xfId="0" applyNumberFormat="1" applyFont="1" applyFill="1" applyBorder="1">
      <alignment vertical="center"/>
    </xf>
    <xf numFmtId="177" fontId="22" fillId="4" borderId="61" xfId="0" applyNumberFormat="1" applyFont="1" applyFill="1" applyBorder="1">
      <alignment vertical="center"/>
    </xf>
    <xf numFmtId="177" fontId="23" fillId="4" borderId="4" xfId="0" applyNumberFormat="1" applyFont="1" applyFill="1" applyBorder="1">
      <alignment vertical="center"/>
    </xf>
    <xf numFmtId="177" fontId="24" fillId="5" borderId="61" xfId="0" applyNumberFormat="1" applyFont="1" applyFill="1" applyBorder="1">
      <alignment vertical="center"/>
    </xf>
    <xf numFmtId="177" fontId="25" fillId="5" borderId="62" xfId="0" applyNumberFormat="1" applyFont="1" applyFill="1" applyBorder="1">
      <alignment vertical="center"/>
    </xf>
    <xf numFmtId="180" fontId="13" fillId="22" borderId="76" xfId="0" applyNumberFormat="1" applyFont="1" applyFill="1" applyBorder="1" applyAlignment="1">
      <alignment horizontal="center" vertical="center"/>
    </xf>
    <xf numFmtId="177" fontId="0" fillId="25" borderId="25" xfId="0" applyNumberFormat="1" applyFill="1" applyBorder="1" applyAlignment="1">
      <alignment horizontal="center" vertical="center"/>
    </xf>
    <xf numFmtId="177" fontId="21" fillId="14" borderId="53" xfId="0" applyNumberFormat="1" applyFont="1" applyFill="1" applyBorder="1" applyAlignment="1">
      <alignment horizontal="center" vertical="center"/>
    </xf>
    <xf numFmtId="177" fontId="18" fillId="14" borderId="56" xfId="0" applyNumberFormat="1" applyFont="1" applyFill="1" applyBorder="1">
      <alignment vertical="center"/>
    </xf>
    <xf numFmtId="177" fontId="12" fillId="13" borderId="26" xfId="0" applyNumberFormat="1" applyFont="1" applyFill="1" applyBorder="1">
      <alignment vertical="center"/>
    </xf>
    <xf numFmtId="177" fontId="21" fillId="15" borderId="53" xfId="0" applyNumberFormat="1" applyFont="1" applyFill="1" applyBorder="1">
      <alignment vertical="center"/>
    </xf>
    <xf numFmtId="177" fontId="18" fillId="2" borderId="79" xfId="0" applyNumberFormat="1" applyFont="1" applyFill="1" applyBorder="1">
      <alignment vertical="center"/>
    </xf>
    <xf numFmtId="177" fontId="0" fillId="20" borderId="80" xfId="0" applyNumberFormat="1" applyFill="1" applyBorder="1">
      <alignment vertical="center"/>
    </xf>
    <xf numFmtId="177" fontId="0" fillId="26" borderId="80" xfId="0" applyNumberFormat="1" applyFill="1" applyBorder="1">
      <alignment vertical="center"/>
    </xf>
    <xf numFmtId="177" fontId="0" fillId="0" borderId="81" xfId="0" applyNumberFormat="1" applyBorder="1">
      <alignment vertical="center"/>
    </xf>
    <xf numFmtId="180" fontId="13" fillId="22" borderId="82" xfId="0" applyNumberFormat="1" applyFont="1" applyFill="1" applyBorder="1" applyAlignment="1">
      <alignment horizontal="center" vertical="center"/>
    </xf>
    <xf numFmtId="177" fontId="0" fillId="23" borderId="71" xfId="0" applyNumberFormat="1" applyFill="1" applyBorder="1" applyAlignment="1">
      <alignment horizontal="center" vertical="center"/>
    </xf>
    <xf numFmtId="0" fontId="0" fillId="15" borderId="0" xfId="0" applyFill="1">
      <alignment vertical="center"/>
    </xf>
    <xf numFmtId="177" fontId="0" fillId="20" borderId="23" xfId="0" applyNumberFormat="1" applyFill="1" applyBorder="1">
      <alignment vertical="center"/>
    </xf>
    <xf numFmtId="177" fontId="0" fillId="20" borderId="46" xfId="0" applyNumberFormat="1" applyFill="1" applyBorder="1">
      <alignment vertical="center"/>
    </xf>
    <xf numFmtId="177" fontId="0" fillId="20" borderId="71" xfId="0" applyNumberFormat="1" applyFill="1" applyBorder="1">
      <alignment vertical="center"/>
    </xf>
    <xf numFmtId="177" fontId="0" fillId="20" borderId="53" xfId="0" applyNumberFormat="1" applyFill="1" applyBorder="1">
      <alignment vertical="center"/>
    </xf>
    <xf numFmtId="177" fontId="0" fillId="24" borderId="56" xfId="0" applyNumberFormat="1" applyFill="1" applyBorder="1">
      <alignment vertical="center"/>
    </xf>
    <xf numFmtId="177" fontId="0" fillId="26" borderId="0" xfId="0" applyNumberFormat="1" applyFill="1">
      <alignment vertical="center"/>
    </xf>
    <xf numFmtId="177" fontId="0" fillId="2" borderId="15" xfId="0" applyNumberFormat="1" applyFill="1" applyBorder="1">
      <alignment vertical="center"/>
    </xf>
    <xf numFmtId="0" fontId="0" fillId="20" borderId="0" xfId="0" applyFill="1">
      <alignment vertical="center"/>
    </xf>
    <xf numFmtId="177" fontId="3" fillId="0" borderId="0" xfId="0" applyNumberFormat="1" applyFont="1">
      <alignment vertical="center"/>
    </xf>
    <xf numFmtId="0" fontId="0" fillId="28" borderId="0" xfId="0" applyFill="1">
      <alignment vertical="center"/>
    </xf>
    <xf numFmtId="0" fontId="0" fillId="29" borderId="0" xfId="0" applyFill="1">
      <alignment vertical="center"/>
    </xf>
    <xf numFmtId="0" fontId="0" fillId="28" borderId="0" xfId="0" applyFill="1" applyAlignment="1">
      <alignment horizontal="center" vertical="center"/>
    </xf>
    <xf numFmtId="0" fontId="0" fillId="3" borderId="0" xfId="0" applyFill="1">
      <alignment vertical="center"/>
    </xf>
    <xf numFmtId="178" fontId="0" fillId="2" borderId="15" xfId="0" applyNumberFormat="1" applyFill="1" applyBorder="1">
      <alignment vertical="center"/>
    </xf>
    <xf numFmtId="176" fontId="0" fillId="0" borderId="0" xfId="0" applyNumberFormat="1">
      <alignment vertical="center"/>
    </xf>
    <xf numFmtId="176" fontId="0" fillId="16" borderId="15" xfId="0" applyNumberFormat="1" applyFill="1" applyBorder="1">
      <alignment vertical="center"/>
    </xf>
    <xf numFmtId="176" fontId="0" fillId="16" borderId="19" xfId="0" applyNumberFormat="1" applyFill="1" applyBorder="1">
      <alignment vertical="center"/>
    </xf>
    <xf numFmtId="176" fontId="0" fillId="3" borderId="2" xfId="0" applyNumberFormat="1" applyFill="1" applyBorder="1">
      <alignment vertical="center"/>
    </xf>
    <xf numFmtId="177" fontId="0" fillId="3" borderId="13" xfId="0" applyNumberFormat="1" applyFill="1" applyBorder="1">
      <alignment vertical="center"/>
    </xf>
    <xf numFmtId="177" fontId="0" fillId="2" borderId="14" xfId="0" applyNumberFormat="1" applyFill="1" applyBorder="1">
      <alignment vertical="center"/>
    </xf>
    <xf numFmtId="177" fontId="1" fillId="8" borderId="13" xfId="0" applyNumberFormat="1" applyFont="1" applyFill="1" applyBorder="1">
      <alignment vertical="center"/>
    </xf>
    <xf numFmtId="177" fontId="1" fillId="9" borderId="89" xfId="0" applyNumberFormat="1" applyFont="1" applyFill="1" applyBorder="1">
      <alignment vertical="center"/>
    </xf>
    <xf numFmtId="177" fontId="0" fillId="16" borderId="15" xfId="0" applyNumberFormat="1" applyFill="1" applyBorder="1">
      <alignment vertical="center"/>
    </xf>
    <xf numFmtId="177" fontId="15" fillId="2" borderId="15" xfId="0" applyNumberFormat="1" applyFont="1" applyFill="1" applyBorder="1">
      <alignment vertical="center"/>
    </xf>
    <xf numFmtId="177" fontId="15" fillId="0" borderId="0" xfId="0" applyNumberFormat="1" applyFont="1">
      <alignment vertical="center"/>
    </xf>
    <xf numFmtId="177" fontId="14" fillId="0" borderId="0" xfId="0" applyNumberFormat="1" applyFont="1">
      <alignment vertical="center"/>
    </xf>
    <xf numFmtId="177" fontId="15" fillId="16" borderId="15" xfId="0" applyNumberFormat="1" applyFont="1" applyFill="1" applyBorder="1">
      <alignment vertical="center"/>
    </xf>
    <xf numFmtId="177" fontId="14" fillId="20" borderId="0" xfId="0" applyNumberFormat="1" applyFont="1" applyFill="1" applyBorder="1" applyAlignment="1">
      <alignment horizontal="center" vertical="center"/>
    </xf>
    <xf numFmtId="178" fontId="0" fillId="2" borderId="14" xfId="0" applyNumberFormat="1" applyFill="1" applyBorder="1">
      <alignment vertical="center"/>
    </xf>
    <xf numFmtId="177" fontId="15" fillId="2" borderId="14" xfId="0" applyNumberFormat="1" applyFont="1" applyFill="1" applyBorder="1">
      <alignment vertical="center"/>
    </xf>
    <xf numFmtId="177" fontId="0" fillId="2" borderId="0" xfId="0" applyNumberFormat="1" applyFill="1" applyBorder="1">
      <alignment vertical="center"/>
    </xf>
    <xf numFmtId="0" fontId="0" fillId="0" borderId="0" xfId="0" applyFill="1">
      <alignment vertical="center"/>
    </xf>
    <xf numFmtId="178" fontId="0" fillId="0" borderId="0" xfId="0" applyNumberFormat="1" applyFill="1">
      <alignment vertical="center"/>
    </xf>
    <xf numFmtId="176" fontId="0" fillId="0" borderId="0" xfId="0" applyNumberFormat="1" applyFill="1">
      <alignment vertical="center"/>
    </xf>
    <xf numFmtId="177" fontId="0" fillId="0" borderId="0" xfId="0" applyNumberFormat="1" applyFill="1">
      <alignment vertical="center"/>
    </xf>
    <xf numFmtId="177" fontId="15" fillId="0" borderId="0" xfId="0" applyNumberFormat="1" applyFont="1" applyFill="1">
      <alignment vertical="center"/>
    </xf>
    <xf numFmtId="177" fontId="0" fillId="3" borderId="2" xfId="0" applyNumberFormat="1" applyFill="1" applyBorder="1">
      <alignment vertical="center"/>
    </xf>
    <xf numFmtId="177" fontId="0" fillId="16" borderId="90" xfId="0" applyNumberFormat="1" applyFill="1" applyBorder="1">
      <alignment vertical="center"/>
    </xf>
    <xf numFmtId="0" fontId="0" fillId="0" borderId="0" xfId="0" applyAlignment="1">
      <alignment horizontal="center" vertical="center"/>
    </xf>
    <xf numFmtId="179" fontId="31" fillId="32" borderId="22" xfId="0" applyNumberFormat="1" applyFont="1" applyFill="1" applyBorder="1">
      <alignment vertical="center"/>
    </xf>
    <xf numFmtId="179" fontId="0" fillId="0" borderId="0" xfId="0" applyNumberFormat="1" applyFill="1">
      <alignment vertical="center"/>
    </xf>
    <xf numFmtId="177" fontId="0" fillId="2" borderId="1" xfId="0" applyNumberFormat="1" applyFill="1" applyBorder="1">
      <alignment vertical="center"/>
    </xf>
    <xf numFmtId="177" fontId="0" fillId="26" borderId="2" xfId="0" applyNumberFormat="1" applyFill="1" applyBorder="1">
      <alignment vertical="center"/>
    </xf>
    <xf numFmtId="177" fontId="0" fillId="2" borderId="12" xfId="0" applyNumberFormat="1" applyFill="1" applyBorder="1">
      <alignment vertical="center"/>
    </xf>
    <xf numFmtId="177" fontId="0" fillId="2" borderId="13" xfId="0" applyNumberFormat="1" applyFill="1" applyBorder="1">
      <alignment vertical="center"/>
    </xf>
    <xf numFmtId="0" fontId="0" fillId="2" borderId="60" xfId="0" applyFill="1" applyBorder="1">
      <alignment vertical="center"/>
    </xf>
    <xf numFmtId="177" fontId="0" fillId="2" borderId="89" xfId="0" applyNumberFormat="1" applyFill="1" applyBorder="1">
      <alignment vertical="center"/>
    </xf>
    <xf numFmtId="0" fontId="0" fillId="14" borderId="0" xfId="0" applyFill="1" applyBorder="1">
      <alignment vertical="center"/>
    </xf>
    <xf numFmtId="0" fontId="34" fillId="0" borderId="0" xfId="0" applyFont="1">
      <alignment vertical="center"/>
    </xf>
    <xf numFmtId="0" fontId="34" fillId="2" borderId="15" xfId="0" applyFont="1" applyFill="1" applyBorder="1" applyAlignment="1">
      <alignment horizontal="right" vertical="center" wrapText="1"/>
    </xf>
    <xf numFmtId="0" fontId="34" fillId="2" borderId="15" xfId="0" applyFont="1" applyFill="1" applyBorder="1">
      <alignment vertical="center"/>
    </xf>
    <xf numFmtId="0" fontId="34" fillId="17" borderId="15" xfId="0" applyFont="1" applyFill="1" applyBorder="1" applyAlignment="1">
      <alignment horizontal="center" vertical="center"/>
    </xf>
    <xf numFmtId="0" fontId="34" fillId="17" borderId="15" xfId="0" applyFont="1" applyFill="1" applyBorder="1">
      <alignment vertical="center"/>
    </xf>
    <xf numFmtId="0" fontId="34" fillId="2" borderId="15" xfId="0" applyFont="1" applyFill="1" applyBorder="1" applyAlignment="1">
      <alignment horizontal="right" vertical="center"/>
    </xf>
    <xf numFmtId="179" fontId="0" fillId="17" borderId="1" xfId="0" applyNumberFormat="1" applyFill="1" applyBorder="1">
      <alignment vertical="center"/>
    </xf>
    <xf numFmtId="179" fontId="0" fillId="2" borderId="90" xfId="0" applyNumberFormat="1" applyFill="1" applyBorder="1">
      <alignment vertical="center"/>
    </xf>
    <xf numFmtId="179" fontId="0" fillId="3" borderId="2" xfId="0" applyNumberFormat="1" applyFill="1" applyBorder="1">
      <alignment vertical="center"/>
    </xf>
    <xf numFmtId="179" fontId="30" fillId="2" borderId="12" xfId="0" applyNumberFormat="1" applyFont="1" applyFill="1" applyBorder="1">
      <alignment vertical="center"/>
    </xf>
    <xf numFmtId="179" fontId="0" fillId="3" borderId="88" xfId="0" applyNumberFormat="1" applyFill="1" applyBorder="1">
      <alignment vertical="center"/>
    </xf>
    <xf numFmtId="179" fontId="33" fillId="2" borderId="0" xfId="0" applyNumberFormat="1" applyFont="1" applyFill="1" applyBorder="1" applyAlignment="1">
      <alignment horizontal="right" wrapText="1"/>
    </xf>
    <xf numFmtId="179" fontId="0" fillId="2" borderId="56" xfId="0" applyNumberFormat="1" applyFill="1" applyBorder="1">
      <alignment vertical="center"/>
    </xf>
    <xf numFmtId="179" fontId="0" fillId="2" borderId="61" xfId="0" applyNumberFormat="1" applyFill="1" applyBorder="1">
      <alignment vertical="center"/>
    </xf>
    <xf numFmtId="179" fontId="0" fillId="2" borderId="98" xfId="0" applyNumberFormat="1" applyFill="1" applyBorder="1">
      <alignment vertical="center"/>
    </xf>
    <xf numFmtId="179" fontId="0" fillId="2" borderId="45" xfId="0" applyNumberFormat="1" applyFill="1" applyBorder="1">
      <alignment vertical="center"/>
    </xf>
    <xf numFmtId="179" fontId="0" fillId="2" borderId="18" xfId="0" applyNumberFormat="1" applyFill="1" applyBorder="1">
      <alignment vertical="center"/>
    </xf>
    <xf numFmtId="179" fontId="0" fillId="2" borderId="19" xfId="0" applyNumberFormat="1" applyFill="1" applyBorder="1">
      <alignment vertical="center"/>
    </xf>
    <xf numFmtId="179" fontId="0" fillId="0" borderId="46" xfId="0" applyNumberFormat="1" applyBorder="1">
      <alignment vertical="center"/>
    </xf>
    <xf numFmtId="179" fontId="0" fillId="0" borderId="71" xfId="0" applyNumberFormat="1" applyBorder="1">
      <alignment vertical="center"/>
    </xf>
    <xf numFmtId="179" fontId="0" fillId="0" borderId="53" xfId="0" applyNumberFormat="1" applyBorder="1">
      <alignment vertical="center"/>
    </xf>
    <xf numFmtId="179" fontId="0" fillId="0" borderId="60" xfId="0" applyNumberFormat="1" applyBorder="1">
      <alignment vertical="center"/>
    </xf>
    <xf numFmtId="0" fontId="0" fillId="2" borderId="1" xfId="0" applyFill="1" applyBorder="1" applyAlignment="1">
      <alignment horizontal="center" vertical="center"/>
    </xf>
    <xf numFmtId="0" fontId="0" fillId="2" borderId="88" xfId="0" applyFill="1" applyBorder="1" applyAlignment="1">
      <alignment horizontal="center" vertical="center"/>
    </xf>
    <xf numFmtId="177" fontId="0" fillId="16" borderId="2" xfId="0" applyNumberFormat="1" applyFill="1" applyBorder="1">
      <alignment vertical="center"/>
    </xf>
    <xf numFmtId="177" fontId="0" fillId="16" borderId="89" xfId="0" applyNumberFormat="1" applyFill="1" applyBorder="1">
      <alignment vertical="center"/>
    </xf>
    <xf numFmtId="177" fontId="10" fillId="2" borderId="15" xfId="0" applyNumberFormat="1" applyFont="1" applyFill="1" applyBorder="1">
      <alignment vertical="center"/>
    </xf>
    <xf numFmtId="177" fontId="10" fillId="2" borderId="10" xfId="0" applyNumberFormat="1" applyFont="1" applyFill="1" applyBorder="1">
      <alignment vertical="center"/>
    </xf>
    <xf numFmtId="177" fontId="0" fillId="2" borderId="7" xfId="0" applyNumberFormat="1" applyFill="1" applyBorder="1" applyAlignment="1">
      <alignment horizontal="center" vertical="center"/>
    </xf>
    <xf numFmtId="177" fontId="0" fillId="2" borderId="5" xfId="0" applyNumberFormat="1" applyFill="1" applyBorder="1" applyAlignment="1">
      <alignment horizontal="center" vertical="center"/>
    </xf>
    <xf numFmtId="177" fontId="0" fillId="2" borderId="6" xfId="0" applyNumberFormat="1" applyFill="1" applyBorder="1" applyAlignment="1">
      <alignment horizontal="center" vertical="center"/>
    </xf>
    <xf numFmtId="177" fontId="10" fillId="2" borderId="98" xfId="0" applyNumberFormat="1" applyFont="1" applyFill="1" applyBorder="1">
      <alignment vertical="center"/>
    </xf>
    <xf numFmtId="0" fontId="36" fillId="13" borderId="0" xfId="0" applyFont="1" applyFill="1">
      <alignment vertical="center"/>
    </xf>
    <xf numFmtId="0" fontId="0" fillId="13" borderId="0" xfId="0" applyFill="1">
      <alignment vertical="center"/>
    </xf>
    <xf numFmtId="0" fontId="0" fillId="18" borderId="0" xfId="0" applyFill="1">
      <alignment vertical="center"/>
    </xf>
    <xf numFmtId="0" fontId="0" fillId="24" borderId="0" xfId="0" applyFill="1">
      <alignment vertical="center"/>
    </xf>
    <xf numFmtId="0" fontId="0" fillId="26" borderId="0" xfId="0" applyFill="1" applyBorder="1">
      <alignment vertical="center"/>
    </xf>
    <xf numFmtId="177" fontId="0" fillId="26" borderId="0" xfId="0" applyNumberFormat="1" applyFill="1" applyBorder="1">
      <alignment vertical="center"/>
    </xf>
    <xf numFmtId="0" fontId="0" fillId="26" borderId="0" xfId="0" applyFill="1">
      <alignment vertical="center"/>
    </xf>
    <xf numFmtId="177" fontId="10" fillId="11" borderId="8" xfId="0" applyNumberFormat="1" applyFont="1" applyFill="1" applyBorder="1">
      <alignment vertical="center"/>
    </xf>
    <xf numFmtId="177" fontId="9" fillId="11" borderId="15" xfId="0" applyNumberFormat="1" applyFont="1" applyFill="1" applyBorder="1">
      <alignment vertical="center"/>
    </xf>
    <xf numFmtId="177" fontId="10" fillId="11" borderId="24" xfId="0" applyNumberFormat="1" applyFont="1" applyFill="1" applyBorder="1">
      <alignment vertical="center"/>
    </xf>
    <xf numFmtId="177" fontId="11" fillId="11" borderId="18" xfId="0" applyNumberFormat="1" applyFont="1" applyFill="1" applyBorder="1">
      <alignment vertical="center"/>
    </xf>
    <xf numFmtId="177" fontId="15" fillId="11" borderId="1" xfId="0" applyNumberFormat="1" applyFont="1" applyFill="1" applyBorder="1">
      <alignment vertical="center"/>
    </xf>
    <xf numFmtId="177" fontId="0" fillId="11" borderId="90" xfId="0" applyNumberFormat="1" applyFill="1" applyBorder="1">
      <alignment vertical="center"/>
    </xf>
    <xf numFmtId="177" fontId="0" fillId="11" borderId="102" xfId="0" applyNumberFormat="1" applyFill="1" applyBorder="1">
      <alignment vertical="center"/>
    </xf>
    <xf numFmtId="177" fontId="0" fillId="11" borderId="2" xfId="0" applyNumberFormat="1" applyFill="1" applyBorder="1">
      <alignment vertical="center"/>
    </xf>
    <xf numFmtId="177" fontId="0" fillId="11" borderId="88" xfId="0" applyNumberFormat="1" applyFill="1" applyBorder="1">
      <alignment vertical="center"/>
    </xf>
    <xf numFmtId="177" fontId="0" fillId="11" borderId="91" xfId="0" applyNumberFormat="1" applyFill="1" applyBorder="1">
      <alignment vertical="center"/>
    </xf>
    <xf numFmtId="177" fontId="0" fillId="11" borderId="103" xfId="0" applyNumberFormat="1" applyFill="1" applyBorder="1">
      <alignment vertical="center"/>
    </xf>
    <xf numFmtId="177" fontId="0" fillId="11" borderId="89" xfId="0" applyNumberFormat="1" applyFill="1" applyBorder="1">
      <alignment vertical="center"/>
    </xf>
    <xf numFmtId="0" fontId="0" fillId="33" borderId="0" xfId="0" applyFill="1">
      <alignment vertical="center"/>
    </xf>
    <xf numFmtId="0" fontId="0" fillId="33" borderId="0" xfId="0" applyFill="1" applyBorder="1">
      <alignment vertical="center"/>
    </xf>
    <xf numFmtId="0" fontId="37" fillId="20" borderId="0" xfId="0" applyFont="1" applyFill="1">
      <alignment vertical="center"/>
    </xf>
    <xf numFmtId="0" fontId="34" fillId="17" borderId="90" xfId="0" applyFont="1" applyFill="1" applyBorder="1" applyAlignment="1">
      <alignment horizontal="center" vertical="center" wrapText="1"/>
    </xf>
    <xf numFmtId="0" fontId="34" fillId="17" borderId="2" xfId="0" applyFont="1" applyFill="1" applyBorder="1" applyAlignment="1">
      <alignment horizontal="center" vertical="center" wrapText="1"/>
    </xf>
    <xf numFmtId="0" fontId="34" fillId="2" borderId="13" xfId="0" applyFont="1" applyFill="1" applyBorder="1" applyAlignment="1">
      <alignment horizontal="right" vertical="center" wrapText="1"/>
    </xf>
    <xf numFmtId="0" fontId="34" fillId="2" borderId="91" xfId="0" applyFont="1" applyFill="1" applyBorder="1" applyAlignment="1">
      <alignment horizontal="right" vertical="center" wrapText="1"/>
    </xf>
    <xf numFmtId="0" fontId="34" fillId="2" borderId="89" xfId="0" applyFont="1" applyFill="1" applyBorder="1" applyAlignment="1">
      <alignment horizontal="right" vertical="center" wrapText="1"/>
    </xf>
    <xf numFmtId="0" fontId="34" fillId="17" borderId="12"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34" fillId="2" borderId="23" xfId="0" applyFont="1" applyFill="1" applyBorder="1" applyAlignment="1">
      <alignment vertical="center" wrapText="1"/>
    </xf>
    <xf numFmtId="0" fontId="34" fillId="2" borderId="23" xfId="0" applyFont="1" applyFill="1" applyBorder="1" applyAlignment="1">
      <alignment horizontal="center" vertical="center"/>
    </xf>
    <xf numFmtId="179" fontId="33" fillId="26" borderId="0" xfId="0" applyNumberFormat="1" applyFont="1" applyFill="1" applyAlignment="1">
      <alignment horizontal="right" wrapText="1"/>
    </xf>
    <xf numFmtId="179" fontId="0" fillId="26" borderId="0" xfId="0" applyNumberFormat="1" applyFill="1">
      <alignment vertical="center"/>
    </xf>
    <xf numFmtId="179" fontId="32" fillId="26" borderId="0" xfId="0" applyNumberFormat="1" applyFont="1" applyFill="1" applyAlignment="1">
      <alignment horizontal="right" vertical="center"/>
    </xf>
    <xf numFmtId="179" fontId="0" fillId="26" borderId="0" xfId="0" applyNumberFormat="1" applyFill="1" applyAlignment="1">
      <alignment horizontal="right" vertical="center"/>
    </xf>
    <xf numFmtId="179" fontId="0" fillId="12" borderId="0" xfId="0" applyNumberFormat="1" applyFill="1">
      <alignment vertical="center"/>
    </xf>
    <xf numFmtId="179" fontId="0" fillId="33" borderId="0" xfId="0" applyNumberFormat="1" applyFill="1">
      <alignment vertical="center"/>
    </xf>
    <xf numFmtId="179" fontId="0" fillId="34" borderId="0" xfId="0" applyNumberFormat="1" applyFill="1">
      <alignment vertical="center"/>
    </xf>
    <xf numFmtId="0" fontId="0" fillId="34" borderId="0" xfId="0" applyFill="1">
      <alignment vertical="center"/>
    </xf>
    <xf numFmtId="179" fontId="33" fillId="20" borderId="0" xfId="0" applyNumberFormat="1" applyFont="1" applyFill="1" applyAlignment="1">
      <alignment horizontal="right" wrapText="1"/>
    </xf>
    <xf numFmtId="177" fontId="4" fillId="2" borderId="27" xfId="1" applyNumberFormat="1" applyFill="1" applyBorder="1" applyAlignment="1">
      <alignment horizontal="center" vertical="center"/>
    </xf>
    <xf numFmtId="0" fontId="0" fillId="15" borderId="0" xfId="0" applyFill="1" applyBorder="1">
      <alignment vertical="center"/>
    </xf>
    <xf numFmtId="177" fontId="0" fillId="20" borderId="0" xfId="0" applyNumberFormat="1" applyFill="1" applyBorder="1">
      <alignment vertical="center"/>
    </xf>
    <xf numFmtId="0" fontId="0" fillId="15" borderId="46" xfId="0" applyFill="1" applyBorder="1">
      <alignment vertical="center"/>
    </xf>
    <xf numFmtId="0" fontId="0" fillId="15" borderId="46" xfId="0" applyFill="1" applyBorder="1" applyAlignment="1">
      <alignment horizontal="center" vertical="center" wrapText="1"/>
    </xf>
    <xf numFmtId="0" fontId="0" fillId="16" borderId="90" xfId="0" applyFill="1" applyBorder="1" applyAlignment="1">
      <alignment horizontal="center" vertical="center" wrapText="1"/>
    </xf>
    <xf numFmtId="0" fontId="0" fillId="14" borderId="108" xfId="0" applyFill="1" applyBorder="1" applyAlignment="1">
      <alignment horizontal="center" vertical="center" wrapText="1"/>
    </xf>
    <xf numFmtId="0" fontId="0" fillId="15" borderId="61" xfId="0" applyFill="1" applyBorder="1">
      <alignment vertical="center"/>
    </xf>
    <xf numFmtId="176" fontId="0" fillId="15" borderId="61" xfId="0" applyNumberFormat="1" applyFill="1" applyBorder="1">
      <alignment vertical="center"/>
    </xf>
    <xf numFmtId="176" fontId="0" fillId="3" borderId="91" xfId="0" applyNumberFormat="1" applyFill="1" applyBorder="1">
      <alignment vertical="center"/>
    </xf>
    <xf numFmtId="176" fontId="0" fillId="2" borderId="91" xfId="0" applyNumberFormat="1" applyFill="1" applyBorder="1">
      <alignment vertical="center"/>
    </xf>
    <xf numFmtId="176" fontId="15" fillId="15" borderId="61" xfId="0" applyNumberFormat="1" applyFont="1" applyFill="1" applyBorder="1">
      <alignment vertical="center"/>
    </xf>
    <xf numFmtId="176" fontId="15" fillId="14" borderId="83" xfId="0" applyNumberFormat="1" applyFont="1" applyFill="1" applyBorder="1">
      <alignment vertical="center"/>
    </xf>
    <xf numFmtId="177" fontId="0" fillId="14" borderId="0" xfId="0" applyNumberFormat="1" applyFill="1" applyBorder="1">
      <alignment vertical="center"/>
    </xf>
    <xf numFmtId="177" fontId="0" fillId="15" borderId="0" xfId="0" applyNumberFormat="1" applyFill="1" applyBorder="1">
      <alignment vertical="center"/>
    </xf>
    <xf numFmtId="177" fontId="0" fillId="15" borderId="112" xfId="0" applyNumberFormat="1" applyFill="1" applyBorder="1">
      <alignment vertical="center"/>
    </xf>
    <xf numFmtId="178" fontId="0" fillId="2" borderId="116" xfId="0" applyNumberFormat="1" applyFill="1" applyBorder="1" applyAlignment="1">
      <alignment horizontal="center" vertical="center"/>
    </xf>
    <xf numFmtId="178" fontId="0" fillId="2" borderId="117" xfId="0" applyNumberFormat="1" applyFill="1" applyBorder="1" applyAlignment="1">
      <alignment horizontal="right" vertical="center"/>
    </xf>
    <xf numFmtId="178" fontId="0" fillId="2" borderId="118" xfId="0" applyNumberFormat="1" applyFill="1" applyBorder="1" applyAlignment="1">
      <alignment horizontal="right" vertical="center"/>
    </xf>
    <xf numFmtId="178" fontId="0" fillId="2" borderId="36" xfId="0" applyNumberFormat="1" applyFill="1" applyBorder="1" applyAlignment="1">
      <alignment horizontal="right" vertical="center"/>
    </xf>
    <xf numFmtId="178" fontId="0" fillId="2" borderId="37" xfId="0" applyNumberFormat="1" applyFill="1" applyBorder="1" applyAlignment="1">
      <alignment horizontal="right" vertical="center"/>
    </xf>
    <xf numFmtId="177" fontId="12" fillId="2" borderId="0" xfId="0" applyNumberFormat="1" applyFont="1" applyFill="1" applyBorder="1">
      <alignment vertical="center"/>
    </xf>
    <xf numFmtId="177" fontId="20" fillId="14" borderId="0" xfId="0" applyNumberFormat="1" applyFont="1" applyFill="1" applyBorder="1">
      <alignment vertical="center"/>
    </xf>
    <xf numFmtId="177" fontId="20" fillId="0" borderId="0" xfId="0" applyNumberFormat="1" applyFont="1" applyBorder="1">
      <alignment vertical="center"/>
    </xf>
    <xf numFmtId="177" fontId="21" fillId="14" borderId="0" xfId="0" applyNumberFormat="1" applyFont="1" applyFill="1" applyBorder="1" applyAlignment="1">
      <alignment horizontal="center" vertical="center"/>
    </xf>
    <xf numFmtId="177" fontId="21" fillId="14" borderId="0" xfId="0" applyNumberFormat="1" applyFont="1" applyFill="1" applyBorder="1">
      <alignment vertical="center"/>
    </xf>
    <xf numFmtId="177" fontId="22" fillId="14" borderId="0" xfId="0" applyNumberFormat="1" applyFont="1" applyFill="1" applyBorder="1">
      <alignment vertical="center"/>
    </xf>
    <xf numFmtId="177" fontId="23" fillId="14" borderId="0" xfId="0" applyNumberFormat="1" applyFont="1" applyFill="1" applyBorder="1">
      <alignment vertical="center"/>
    </xf>
    <xf numFmtId="177" fontId="24" fillId="14" borderId="0" xfId="0" applyNumberFormat="1" applyFont="1" applyFill="1" applyBorder="1">
      <alignment vertical="center"/>
    </xf>
    <xf numFmtId="177" fontId="25" fillId="14" borderId="0" xfId="0" applyNumberFormat="1" applyFont="1" applyFill="1" applyBorder="1">
      <alignment vertical="center"/>
    </xf>
    <xf numFmtId="180" fontId="13" fillId="14" borderId="0" xfId="0" applyNumberFormat="1" applyFont="1" applyFill="1" applyBorder="1" applyAlignment="1">
      <alignment horizontal="center" vertical="center"/>
    </xf>
    <xf numFmtId="177" fontId="0" fillId="14" borderId="0" xfId="0" applyNumberFormat="1" applyFill="1" applyBorder="1" applyAlignment="1">
      <alignment horizontal="center" vertical="center"/>
    </xf>
    <xf numFmtId="177" fontId="21" fillId="15" borderId="0" xfId="0" applyNumberFormat="1" applyFont="1" applyFill="1" applyBorder="1">
      <alignment vertical="center"/>
    </xf>
    <xf numFmtId="177" fontId="0" fillId="14" borderId="53" xfId="0" applyNumberFormat="1" applyFill="1" applyBorder="1">
      <alignment vertical="center"/>
    </xf>
    <xf numFmtId="178" fontId="0" fillId="15" borderId="0" xfId="0" applyNumberFormat="1" applyFill="1" applyBorder="1">
      <alignment vertical="center"/>
    </xf>
    <xf numFmtId="177" fontId="0" fillId="2" borderId="0" xfId="0" applyNumberFormat="1" applyFill="1" applyBorder="1" applyAlignment="1">
      <alignment horizontal="center" vertical="center" wrapText="1"/>
    </xf>
    <xf numFmtId="0" fontId="0" fillId="34" borderId="0" xfId="0" applyFont="1" applyFill="1">
      <alignment vertical="center"/>
    </xf>
    <xf numFmtId="0" fontId="0" fillId="3" borderId="120" xfId="0" applyFill="1" applyBorder="1">
      <alignment vertical="center"/>
    </xf>
    <xf numFmtId="0" fontId="0" fillId="3" borderId="121" xfId="0" applyFill="1" applyBorder="1">
      <alignment vertical="center"/>
    </xf>
    <xf numFmtId="0" fontId="0" fillId="3" borderId="122" xfId="0" applyFill="1" applyBorder="1">
      <alignment vertical="center"/>
    </xf>
    <xf numFmtId="177" fontId="13" fillId="18" borderId="123" xfId="0" applyNumberFormat="1" applyFont="1" applyFill="1" applyBorder="1" applyAlignment="1">
      <alignment horizontal="center" vertical="center"/>
    </xf>
    <xf numFmtId="177" fontId="14" fillId="21" borderId="55" xfId="0" applyNumberFormat="1" applyFont="1" applyFill="1" applyBorder="1">
      <alignment vertical="center"/>
    </xf>
    <xf numFmtId="177" fontId="18" fillId="3" borderId="55" xfId="0" applyNumberFormat="1" applyFont="1" applyFill="1" applyBorder="1">
      <alignment vertical="center"/>
    </xf>
    <xf numFmtId="0" fontId="3" fillId="29" borderId="0" xfId="0" applyFont="1" applyFill="1">
      <alignment vertical="center"/>
    </xf>
    <xf numFmtId="177" fontId="18" fillId="29" borderId="0" xfId="0" applyNumberFormat="1" applyFont="1" applyFill="1">
      <alignment vertical="center"/>
    </xf>
    <xf numFmtId="177" fontId="13" fillId="14" borderId="124" xfId="0" applyNumberFormat="1" applyFont="1" applyFill="1" applyBorder="1" applyAlignment="1">
      <alignment horizontal="center" vertical="center"/>
    </xf>
    <xf numFmtId="177" fontId="17" fillId="19" borderId="124" xfId="0" applyNumberFormat="1" applyFont="1" applyFill="1" applyBorder="1" applyAlignment="1">
      <alignment horizontal="center" vertical="center"/>
    </xf>
    <xf numFmtId="177" fontId="13" fillId="19" borderId="124" xfId="0" applyNumberFormat="1" applyFont="1" applyFill="1" applyBorder="1" applyAlignment="1">
      <alignment horizontal="center" vertical="center"/>
    </xf>
    <xf numFmtId="49" fontId="13" fillId="19" borderId="124" xfId="0" applyNumberFormat="1" applyFont="1" applyFill="1" applyBorder="1" applyAlignment="1">
      <alignment horizontal="center" vertical="center"/>
    </xf>
    <xf numFmtId="177" fontId="0" fillId="15" borderId="124" xfId="0" applyNumberFormat="1" applyFill="1" applyBorder="1">
      <alignment vertical="center"/>
    </xf>
    <xf numFmtId="177" fontId="0" fillId="14" borderId="124" xfId="0" applyNumberFormat="1" applyFill="1" applyBorder="1">
      <alignment vertical="center"/>
    </xf>
    <xf numFmtId="177" fontId="0" fillId="20" borderId="127" xfId="0" applyNumberFormat="1" applyFill="1" applyBorder="1">
      <alignment vertical="center"/>
    </xf>
    <xf numFmtId="177" fontId="0" fillId="20" borderId="125" xfId="0" applyNumberFormat="1" applyFill="1" applyBorder="1">
      <alignment vertical="center"/>
    </xf>
    <xf numFmtId="177" fontId="21" fillId="15" borderId="137" xfId="0" applyNumberFormat="1" applyFont="1" applyFill="1" applyBorder="1">
      <alignment vertical="center"/>
    </xf>
    <xf numFmtId="177" fontId="21" fillId="15" borderId="127" xfId="0" applyNumberFormat="1" applyFont="1" applyFill="1" applyBorder="1">
      <alignment vertical="center"/>
    </xf>
    <xf numFmtId="177" fontId="12" fillId="2" borderId="138" xfId="0" applyNumberFormat="1" applyFont="1" applyFill="1" applyBorder="1">
      <alignment vertical="center"/>
    </xf>
    <xf numFmtId="177" fontId="18" fillId="2" borderId="139" xfId="0" applyNumberFormat="1" applyFont="1" applyFill="1" applyBorder="1">
      <alignment vertical="center"/>
    </xf>
    <xf numFmtId="177" fontId="0" fillId="4" borderId="140" xfId="0" applyNumberFormat="1" applyFill="1" applyBorder="1">
      <alignment vertical="center"/>
    </xf>
    <xf numFmtId="177" fontId="0" fillId="26" borderId="140" xfId="0" applyNumberFormat="1" applyFill="1" applyBorder="1">
      <alignment vertical="center"/>
    </xf>
    <xf numFmtId="177" fontId="0" fillId="0" borderId="141" xfId="0" applyNumberFormat="1" applyBorder="1">
      <alignment vertical="center"/>
    </xf>
    <xf numFmtId="180" fontId="13" fillId="22" borderId="142" xfId="0" applyNumberFormat="1" applyFont="1" applyFill="1" applyBorder="1" applyAlignment="1">
      <alignment horizontal="center" vertical="center"/>
    </xf>
    <xf numFmtId="177" fontId="0" fillId="25" borderId="136" xfId="0" applyNumberFormat="1" applyFill="1" applyBorder="1" applyAlignment="1">
      <alignment horizontal="center" vertical="center"/>
    </xf>
    <xf numFmtId="0" fontId="0" fillId="20" borderId="63" xfId="0" applyFill="1" applyBorder="1">
      <alignment vertical="center"/>
    </xf>
    <xf numFmtId="0" fontId="0" fillId="34" borderId="63" xfId="0" applyFill="1" applyBorder="1">
      <alignment vertical="center"/>
    </xf>
    <xf numFmtId="0" fontId="0" fillId="14" borderId="33" xfId="0" applyFill="1" applyBorder="1">
      <alignment vertical="center"/>
    </xf>
    <xf numFmtId="0" fontId="0" fillId="14" borderId="34" xfId="0" applyFill="1" applyBorder="1">
      <alignment vertical="center"/>
    </xf>
    <xf numFmtId="0" fontId="0" fillId="14" borderId="143" xfId="0" applyFill="1" applyBorder="1">
      <alignment vertical="center"/>
    </xf>
    <xf numFmtId="0" fontId="0" fillId="14" borderId="40" xfId="0" applyFill="1" applyBorder="1">
      <alignment vertical="center"/>
    </xf>
    <xf numFmtId="0" fontId="0" fillId="14" borderId="41" xfId="0" applyFill="1" applyBorder="1">
      <alignment vertical="center"/>
    </xf>
    <xf numFmtId="177" fontId="5" fillId="11" borderId="23" xfId="0" applyNumberFormat="1" applyFont="1" applyFill="1" applyBorder="1" applyAlignment="1">
      <alignment horizontal="center" vertical="center" wrapText="1"/>
    </xf>
    <xf numFmtId="177" fontId="5" fillId="11" borderId="23" xfId="0" applyNumberFormat="1" applyFont="1" applyFill="1" applyBorder="1" applyAlignment="1">
      <alignment horizontal="center" vertical="center"/>
    </xf>
    <xf numFmtId="177" fontId="5" fillId="11" borderId="22" xfId="0" applyNumberFormat="1" applyFont="1" applyFill="1" applyBorder="1" applyAlignment="1">
      <alignment horizontal="center" vertical="center"/>
    </xf>
    <xf numFmtId="176" fontId="29" fillId="31" borderId="23" xfId="2" applyNumberFormat="1" applyBorder="1">
      <alignment vertical="center"/>
    </xf>
    <xf numFmtId="176" fontId="29" fillId="31" borderId="46" xfId="2" applyNumberFormat="1" applyBorder="1">
      <alignment vertical="center"/>
    </xf>
    <xf numFmtId="176" fontId="29" fillId="31" borderId="71" xfId="2" applyNumberFormat="1" applyBorder="1">
      <alignment vertical="center"/>
    </xf>
    <xf numFmtId="176" fontId="29" fillId="31" borderId="53" xfId="2" applyNumberFormat="1" applyBorder="1">
      <alignment vertical="center"/>
    </xf>
    <xf numFmtId="176" fontId="29" fillId="31" borderId="0" xfId="2" applyNumberFormat="1" applyBorder="1">
      <alignment vertical="center"/>
    </xf>
    <xf numFmtId="176" fontId="29" fillId="31" borderId="56" xfId="2" applyNumberFormat="1" applyBorder="1">
      <alignment vertical="center"/>
    </xf>
    <xf numFmtId="176" fontId="29" fillId="31" borderId="60" xfId="2" applyNumberFormat="1" applyBorder="1">
      <alignment vertical="center"/>
    </xf>
    <xf numFmtId="176" fontId="29" fillId="31" borderId="61" xfId="2" applyNumberFormat="1" applyBorder="1">
      <alignment vertical="center"/>
    </xf>
    <xf numFmtId="176" fontId="29" fillId="31" borderId="62" xfId="2" applyNumberFormat="1" applyBorder="1">
      <alignment vertical="center"/>
    </xf>
    <xf numFmtId="0" fontId="0" fillId="15" borderId="56" xfId="0" applyFill="1" applyBorder="1">
      <alignment vertical="center"/>
    </xf>
    <xf numFmtId="0" fontId="0" fillId="4" borderId="0" xfId="0" applyFill="1">
      <alignment vertical="center"/>
    </xf>
    <xf numFmtId="0" fontId="0" fillId="17" borderId="0" xfId="0" applyFill="1">
      <alignment vertical="center"/>
    </xf>
    <xf numFmtId="0" fontId="0" fillId="5" borderId="0" xfId="0" applyFill="1">
      <alignment vertical="center"/>
    </xf>
    <xf numFmtId="176" fontId="0" fillId="3" borderId="0" xfId="0" applyNumberFormat="1" applyFill="1">
      <alignment vertical="center"/>
    </xf>
    <xf numFmtId="177" fontId="13" fillId="14" borderId="146" xfId="0" applyNumberFormat="1" applyFont="1" applyFill="1" applyBorder="1">
      <alignment vertical="center"/>
    </xf>
    <xf numFmtId="177" fontId="0" fillId="14" borderId="147" xfId="0" applyNumberFormat="1" applyFill="1" applyBorder="1">
      <alignment vertical="center"/>
    </xf>
    <xf numFmtId="177" fontId="0" fillId="14" borderId="148" xfId="0" applyNumberFormat="1" applyFill="1" applyBorder="1">
      <alignment vertical="center"/>
    </xf>
    <xf numFmtId="177" fontId="13" fillId="14" borderId="149" xfId="0" applyNumberFormat="1" applyFont="1" applyFill="1" applyBorder="1" applyAlignment="1">
      <alignment horizontal="center" vertical="center"/>
    </xf>
    <xf numFmtId="0" fontId="28" fillId="2" borderId="22" xfId="0" applyFont="1" applyFill="1" applyBorder="1" applyAlignment="1">
      <alignment horizontal="center" vertical="center"/>
    </xf>
    <xf numFmtId="177" fontId="4" fillId="16" borderId="15" xfId="1" applyNumberFormat="1" applyFill="1" applyBorder="1" applyAlignment="1">
      <alignment horizontal="right" vertical="center"/>
    </xf>
    <xf numFmtId="177" fontId="4" fillId="16" borderId="19" xfId="1" applyNumberFormat="1" applyFill="1" applyBorder="1" applyAlignment="1">
      <alignment horizontal="right" vertical="center"/>
    </xf>
    <xf numFmtId="177" fontId="5" fillId="3" borderId="1" xfId="0" applyNumberFormat="1" applyFont="1" applyFill="1" applyBorder="1" applyAlignment="1">
      <alignment horizontal="right" vertical="center"/>
    </xf>
    <xf numFmtId="177" fontId="5" fillId="3" borderId="12" xfId="0" applyNumberFormat="1" applyFont="1" applyFill="1" applyBorder="1" applyAlignment="1">
      <alignment horizontal="right" vertical="center"/>
    </xf>
    <xf numFmtId="177" fontId="1" fillId="25" borderId="12" xfId="0" applyNumberFormat="1" applyFont="1" applyFill="1" applyBorder="1" applyAlignment="1">
      <alignment horizontal="right" vertical="center"/>
    </xf>
    <xf numFmtId="177" fontId="1" fillId="17" borderId="88" xfId="0" applyNumberFormat="1" applyFont="1" applyFill="1" applyBorder="1" applyAlignment="1">
      <alignment horizontal="right" vertical="center"/>
    </xf>
    <xf numFmtId="177" fontId="0" fillId="16" borderId="10" xfId="0" applyNumberFormat="1" applyFill="1" applyBorder="1" applyAlignment="1">
      <alignment horizontal="right" vertical="center"/>
    </xf>
    <xf numFmtId="177" fontId="0" fillId="16" borderId="15" xfId="0" applyNumberFormat="1" applyFill="1" applyBorder="1" applyAlignment="1">
      <alignment horizontal="right" vertical="center"/>
    </xf>
    <xf numFmtId="177" fontId="0" fillId="2" borderId="15" xfId="0" applyNumberFormat="1" applyFill="1" applyBorder="1" applyAlignment="1">
      <alignment horizontal="right" vertical="center"/>
    </xf>
    <xf numFmtId="177" fontId="15" fillId="16" borderId="15" xfId="0" applyNumberFormat="1" applyFont="1" applyFill="1" applyBorder="1" applyAlignment="1">
      <alignment horizontal="right" vertical="center"/>
    </xf>
    <xf numFmtId="177" fontId="15" fillId="2" borderId="15" xfId="0" applyNumberFormat="1" applyFont="1" applyFill="1" applyBorder="1" applyAlignment="1">
      <alignment horizontal="right" vertical="center"/>
    </xf>
    <xf numFmtId="178" fontId="0" fillId="2" borderId="15" xfId="0" applyNumberFormat="1" applyFill="1" applyBorder="1" applyAlignment="1">
      <alignment horizontal="right" vertical="center"/>
    </xf>
    <xf numFmtId="178" fontId="0" fillId="2" borderId="15" xfId="0" applyNumberFormat="1" applyFill="1" applyBorder="1" applyAlignment="1">
      <alignment horizontal="center" vertical="center"/>
    </xf>
    <xf numFmtId="0" fontId="0" fillId="26" borderId="15" xfId="0" applyFill="1" applyBorder="1" applyAlignment="1">
      <alignment horizontal="center" vertical="center"/>
    </xf>
    <xf numFmtId="24" fontId="0" fillId="0" borderId="0" xfId="0" applyNumberFormat="1">
      <alignment vertical="center"/>
    </xf>
    <xf numFmtId="0" fontId="4" fillId="2" borderId="22" xfId="1" applyFill="1" applyBorder="1" applyAlignment="1">
      <alignment horizontal="center" vertical="center"/>
    </xf>
    <xf numFmtId="0" fontId="0" fillId="26" borderId="15" xfId="0" applyFill="1" applyBorder="1" applyAlignment="1">
      <alignment horizontal="right" vertical="center"/>
    </xf>
    <xf numFmtId="177" fontId="0" fillId="7" borderId="45" xfId="0" applyNumberFormat="1" applyFill="1" applyBorder="1">
      <alignment vertical="center"/>
    </xf>
    <xf numFmtId="177" fontId="0" fillId="8" borderId="45" xfId="0" applyNumberFormat="1" applyFill="1" applyBorder="1">
      <alignment vertical="center"/>
    </xf>
    <xf numFmtId="177" fontId="0" fillId="8" borderId="150" xfId="0" applyNumberFormat="1" applyFill="1" applyBorder="1">
      <alignment vertical="center"/>
    </xf>
    <xf numFmtId="177" fontId="0" fillId="3" borderId="101" xfId="0" applyNumberFormat="1" applyFill="1" applyBorder="1">
      <alignment vertical="center"/>
    </xf>
    <xf numFmtId="177" fontId="0" fillId="8" borderId="98" xfId="0" applyNumberFormat="1" applyFill="1" applyBorder="1">
      <alignment vertical="center"/>
    </xf>
    <xf numFmtId="177" fontId="0" fillId="4" borderId="101" xfId="0" applyNumberFormat="1" applyFill="1" applyBorder="1">
      <alignment vertical="center"/>
    </xf>
    <xf numFmtId="177" fontId="0" fillId="9" borderId="151" xfId="0" applyNumberFormat="1" applyFill="1" applyBorder="1">
      <alignment vertical="center"/>
    </xf>
    <xf numFmtId="176" fontId="0" fillId="7" borderId="102" xfId="0" applyNumberFormat="1" applyFill="1" applyBorder="1">
      <alignment vertical="center"/>
    </xf>
    <xf numFmtId="178" fontId="0" fillId="17" borderId="22" xfId="0" applyNumberFormat="1" applyFill="1" applyBorder="1">
      <alignment vertical="center"/>
    </xf>
    <xf numFmtId="0" fontId="0" fillId="17" borderId="152" xfId="0" applyFill="1" applyBorder="1">
      <alignment vertical="center"/>
    </xf>
    <xf numFmtId="177" fontId="0" fillId="17" borderId="96" xfId="0" applyNumberFormat="1" applyFill="1" applyBorder="1">
      <alignment vertical="center"/>
    </xf>
    <xf numFmtId="177" fontId="0" fillId="4" borderId="22" xfId="0" applyNumberFormat="1" applyFill="1" applyBorder="1">
      <alignment vertical="center"/>
    </xf>
    <xf numFmtId="177" fontId="0" fillId="17" borderId="25" xfId="0" applyNumberFormat="1" applyFill="1" applyBorder="1">
      <alignment vertical="center"/>
    </xf>
    <xf numFmtId="0" fontId="0" fillId="17" borderId="96" xfId="0" applyFill="1" applyBorder="1">
      <alignment vertical="center"/>
    </xf>
    <xf numFmtId="178" fontId="0" fillId="5" borderId="22" xfId="0" applyNumberFormat="1" applyFill="1" applyBorder="1">
      <alignment vertical="center"/>
    </xf>
    <xf numFmtId="0" fontId="0" fillId="5" borderId="152" xfId="0" applyFill="1" applyBorder="1">
      <alignment vertical="center"/>
    </xf>
    <xf numFmtId="177" fontId="0" fillId="5" borderId="96" xfId="0" applyNumberFormat="1" applyFill="1" applyBorder="1">
      <alignment vertical="center"/>
    </xf>
    <xf numFmtId="177" fontId="0" fillId="5" borderId="145" xfId="0" applyNumberFormat="1" applyFill="1" applyBorder="1">
      <alignment vertical="center"/>
    </xf>
    <xf numFmtId="177" fontId="0" fillId="5" borderId="152" xfId="0" applyNumberFormat="1" applyFill="1" applyBorder="1">
      <alignment vertical="center"/>
    </xf>
    <xf numFmtId="177" fontId="0" fillId="5" borderId="25" xfId="0" applyNumberFormat="1" applyFill="1" applyBorder="1">
      <alignment vertical="center"/>
    </xf>
    <xf numFmtId="177" fontId="0" fillId="30" borderId="13" xfId="0" applyNumberFormat="1" applyFill="1" applyBorder="1" applyAlignment="1">
      <alignment horizontal="right" vertical="center"/>
    </xf>
    <xf numFmtId="177" fontId="4" fillId="3" borderId="15" xfId="1" applyNumberFormat="1" applyFill="1" applyBorder="1" applyAlignment="1">
      <alignment horizontal="right" vertical="center"/>
    </xf>
    <xf numFmtId="176" fontId="0" fillId="3" borderId="15" xfId="0" applyNumberFormat="1" applyFill="1" applyBorder="1">
      <alignment vertical="center"/>
    </xf>
    <xf numFmtId="177" fontId="4" fillId="3" borderId="19" xfId="1" applyNumberFormat="1" applyFill="1" applyBorder="1" applyAlignment="1">
      <alignment horizontal="right" vertical="center"/>
    </xf>
    <xf numFmtId="177" fontId="0" fillId="3" borderId="10" xfId="0" applyNumberFormat="1" applyFill="1" applyBorder="1" applyAlignment="1">
      <alignment horizontal="right" vertical="center"/>
    </xf>
    <xf numFmtId="177" fontId="0" fillId="3" borderId="15" xfId="0" applyNumberFormat="1" applyFill="1" applyBorder="1" applyAlignment="1">
      <alignment horizontal="right" vertical="center"/>
    </xf>
    <xf numFmtId="177" fontId="0" fillId="3" borderId="15" xfId="0" applyNumberFormat="1" applyFill="1" applyBorder="1">
      <alignment vertical="center"/>
    </xf>
    <xf numFmtId="177" fontId="15" fillId="3" borderId="15" xfId="0" applyNumberFormat="1" applyFont="1" applyFill="1" applyBorder="1" applyAlignment="1">
      <alignment horizontal="right" vertical="center"/>
    </xf>
    <xf numFmtId="177" fontId="15" fillId="3" borderId="15" xfId="0" applyNumberFormat="1" applyFont="1" applyFill="1" applyBorder="1">
      <alignment vertical="center"/>
    </xf>
    <xf numFmtId="177" fontId="0" fillId="3" borderId="0" xfId="0" applyNumberFormat="1" applyFill="1">
      <alignment vertical="center"/>
    </xf>
    <xf numFmtId="176" fontId="0" fillId="3" borderId="14" xfId="0" applyNumberFormat="1" applyFill="1" applyBorder="1">
      <alignment vertical="center"/>
    </xf>
    <xf numFmtId="177" fontId="0" fillId="3" borderId="14" xfId="0" applyNumberFormat="1" applyFill="1" applyBorder="1">
      <alignment vertical="center"/>
    </xf>
    <xf numFmtId="177" fontId="15" fillId="3" borderId="14" xfId="0" applyNumberFormat="1" applyFont="1" applyFill="1" applyBorder="1">
      <alignment vertical="center"/>
    </xf>
    <xf numFmtId="0" fontId="0" fillId="13" borderId="0" xfId="0" applyFill="1" applyBorder="1">
      <alignment vertical="center"/>
    </xf>
    <xf numFmtId="0" fontId="0" fillId="15" borderId="153" xfId="0" applyFill="1" applyBorder="1">
      <alignment vertical="center"/>
    </xf>
    <xf numFmtId="178" fontId="0" fillId="2" borderId="154" xfId="0" applyNumberFormat="1" applyFill="1" applyBorder="1" applyAlignment="1">
      <alignment horizontal="center" vertical="center"/>
    </xf>
    <xf numFmtId="176" fontId="0" fillId="3" borderId="154" xfId="0" applyNumberFormat="1" applyFill="1" applyBorder="1">
      <alignment vertical="center"/>
    </xf>
    <xf numFmtId="176" fontId="0" fillId="3" borderId="155" xfId="0" applyNumberFormat="1" applyFill="1" applyBorder="1">
      <alignment vertical="center"/>
    </xf>
    <xf numFmtId="177" fontId="0" fillId="3" borderId="156" xfId="0" applyNumberFormat="1" applyFill="1" applyBorder="1">
      <alignment vertical="center"/>
    </xf>
    <xf numFmtId="177" fontId="0" fillId="3" borderId="154" xfId="0" applyNumberFormat="1" applyFill="1" applyBorder="1">
      <alignment vertical="center"/>
    </xf>
    <xf numFmtId="177" fontId="0" fillId="8" borderId="154" xfId="0" applyNumberFormat="1" applyFill="1" applyBorder="1">
      <alignment vertical="center"/>
    </xf>
    <xf numFmtId="177" fontId="0" fillId="2" borderId="154" xfId="0" applyNumberFormat="1" applyFill="1" applyBorder="1">
      <alignment vertical="center"/>
    </xf>
    <xf numFmtId="177" fontId="15" fillId="3" borderId="154" xfId="0" applyNumberFormat="1" applyFont="1" applyFill="1" applyBorder="1">
      <alignment vertical="center"/>
    </xf>
    <xf numFmtId="177" fontId="15" fillId="2" borderId="154" xfId="0" applyNumberFormat="1" applyFont="1" applyFill="1" applyBorder="1">
      <alignment vertical="center"/>
    </xf>
    <xf numFmtId="177" fontId="0" fillId="2" borderId="158" xfId="0" applyNumberFormat="1" applyFill="1" applyBorder="1">
      <alignment vertical="center"/>
    </xf>
    <xf numFmtId="0" fontId="0" fillId="13" borderId="153" xfId="0" applyFill="1" applyBorder="1">
      <alignment vertical="center"/>
    </xf>
    <xf numFmtId="0" fontId="46" fillId="2" borderId="22" xfId="0" applyFont="1" applyFill="1" applyBorder="1" applyAlignment="1">
      <alignment horizontal="center" vertical="center"/>
    </xf>
    <xf numFmtId="178" fontId="0" fillId="2" borderId="22" xfId="0" applyNumberFormat="1" applyFill="1" applyBorder="1">
      <alignment vertical="center"/>
    </xf>
    <xf numFmtId="177" fontId="0" fillId="2" borderId="95" xfId="0" applyNumberFormat="1" applyFill="1" applyBorder="1">
      <alignment vertical="center"/>
    </xf>
    <xf numFmtId="177" fontId="0" fillId="2" borderId="96" xfId="0" applyNumberFormat="1" applyFill="1" applyBorder="1">
      <alignment vertical="center"/>
    </xf>
    <xf numFmtId="177" fontId="0" fillId="2" borderId="97" xfId="0" applyNumberFormat="1" applyFill="1" applyBorder="1">
      <alignment vertical="center"/>
    </xf>
    <xf numFmtId="177" fontId="0" fillId="2" borderId="22" xfId="0" applyNumberFormat="1" applyFill="1" applyBorder="1">
      <alignment vertical="center"/>
    </xf>
    <xf numFmtId="178" fontId="0" fillId="4" borderId="22" xfId="0" applyNumberFormat="1" applyFill="1" applyBorder="1">
      <alignment vertical="center"/>
    </xf>
    <xf numFmtId="0" fontId="0" fillId="2" borderId="0" xfId="0" applyFill="1">
      <alignment vertical="center"/>
    </xf>
    <xf numFmtId="0" fontId="0" fillId="4" borderId="0" xfId="0" applyFill="1" applyAlignment="1">
      <alignment horizontal="center" vertical="center"/>
    </xf>
    <xf numFmtId="0" fontId="0" fillId="17" borderId="0" xfId="0" applyFill="1" applyAlignment="1">
      <alignment horizontal="left" vertical="center"/>
    </xf>
    <xf numFmtId="0" fontId="0" fillId="10" borderId="0" xfId="0" applyFill="1">
      <alignment vertical="center"/>
    </xf>
    <xf numFmtId="0" fontId="0" fillId="10" borderId="15" xfId="0" applyFill="1" applyBorder="1">
      <alignment vertical="center"/>
    </xf>
    <xf numFmtId="0" fontId="0" fillId="10" borderId="15" xfId="0" applyFill="1" applyBorder="1" applyAlignment="1">
      <alignment vertical="center"/>
    </xf>
    <xf numFmtId="0" fontId="0" fillId="36" borderId="15" xfId="0" applyFill="1" applyBorder="1" applyAlignment="1">
      <alignment horizontal="center" vertical="center"/>
    </xf>
    <xf numFmtId="176" fontId="0" fillId="2" borderId="0" xfId="0" applyNumberFormat="1" applyFill="1">
      <alignment vertical="center"/>
    </xf>
    <xf numFmtId="0" fontId="0" fillId="2" borderId="15" xfId="0" applyFill="1" applyBorder="1" applyAlignment="1">
      <alignment horizontal="right" vertical="center"/>
    </xf>
    <xf numFmtId="0" fontId="0" fillId="11" borderId="15" xfId="0" applyFill="1" applyBorder="1" applyAlignment="1">
      <alignment horizontal="center" vertical="center"/>
    </xf>
    <xf numFmtId="0" fontId="0" fillId="2" borderId="15" xfId="0" applyFill="1" applyBorder="1">
      <alignment vertical="center"/>
    </xf>
    <xf numFmtId="176" fontId="0" fillId="37" borderId="0" xfId="0" applyNumberFormat="1" applyFill="1">
      <alignment vertical="center"/>
    </xf>
    <xf numFmtId="176" fontId="49" fillId="38" borderId="0" xfId="0" applyNumberFormat="1" applyFont="1" applyFill="1">
      <alignment vertical="center"/>
    </xf>
    <xf numFmtId="0" fontId="0" fillId="2" borderId="0" xfId="0" applyFill="1" applyAlignment="1">
      <alignment horizontal="right" vertical="center"/>
    </xf>
    <xf numFmtId="177" fontId="48" fillId="0" borderId="167" xfId="0" applyNumberFormat="1" applyFont="1" applyFill="1" applyBorder="1" applyAlignment="1">
      <alignment horizontal="center" vertical="center"/>
    </xf>
    <xf numFmtId="0" fontId="0" fillId="39" borderId="168" xfId="0" applyFill="1" applyBorder="1">
      <alignment vertical="center"/>
    </xf>
    <xf numFmtId="0" fontId="0" fillId="39" borderId="0" xfId="0" applyFill="1">
      <alignment vertical="center"/>
    </xf>
    <xf numFmtId="176" fontId="49" fillId="2" borderId="0" xfId="0" applyNumberFormat="1" applyFont="1" applyFill="1">
      <alignment vertical="center"/>
    </xf>
    <xf numFmtId="176" fontId="0" fillId="29" borderId="0" xfId="0" applyNumberFormat="1" applyFill="1">
      <alignment vertical="center"/>
    </xf>
    <xf numFmtId="0" fontId="0" fillId="39" borderId="169" xfId="0" applyFill="1" applyBorder="1">
      <alignment vertical="center"/>
    </xf>
    <xf numFmtId="0" fontId="0" fillId="8" borderId="8" xfId="0" applyFill="1" applyBorder="1">
      <alignment vertical="center"/>
    </xf>
    <xf numFmtId="0" fontId="0" fillId="8" borderId="85" xfId="0" applyFill="1" applyBorder="1">
      <alignment vertical="center"/>
    </xf>
    <xf numFmtId="0" fontId="0" fillId="8" borderId="62" xfId="0" applyFill="1" applyBorder="1">
      <alignment vertical="center"/>
    </xf>
    <xf numFmtId="0" fontId="3" fillId="41" borderId="71" xfId="0" applyFont="1" applyFill="1" applyBorder="1">
      <alignment vertical="center"/>
    </xf>
    <xf numFmtId="0" fontId="0" fillId="0" borderId="46" xfId="0" applyBorder="1">
      <alignment vertical="center"/>
    </xf>
    <xf numFmtId="0" fontId="0" fillId="0" borderId="61" xfId="0" applyBorder="1">
      <alignment vertical="center"/>
    </xf>
    <xf numFmtId="0" fontId="0" fillId="0" borderId="23" xfId="0" applyBorder="1">
      <alignment vertical="center"/>
    </xf>
    <xf numFmtId="0" fontId="0" fillId="0" borderId="9" xfId="0" applyBorder="1">
      <alignment vertical="center"/>
    </xf>
    <xf numFmtId="0" fontId="0" fillId="0" borderId="60" xfId="0" applyBorder="1">
      <alignment vertical="center"/>
    </xf>
    <xf numFmtId="0" fontId="0" fillId="40" borderId="22" xfId="0" applyFill="1" applyBorder="1" applyAlignment="1">
      <alignment horizontal="center" vertical="center"/>
    </xf>
    <xf numFmtId="0" fontId="0" fillId="30" borderId="22" xfId="0" applyFill="1" applyBorder="1" applyAlignment="1">
      <alignment horizontal="center" vertical="center"/>
    </xf>
    <xf numFmtId="0" fontId="0" fillId="3" borderId="22" xfId="0" applyFill="1" applyBorder="1" applyAlignment="1">
      <alignment horizontal="center" vertical="center"/>
    </xf>
    <xf numFmtId="179" fontId="3" fillId="35" borderId="19" xfId="0" applyNumberFormat="1" applyFont="1" applyFill="1" applyBorder="1">
      <alignment vertical="center"/>
    </xf>
    <xf numFmtId="179" fontId="3" fillId="35" borderId="18" xfId="0" applyNumberFormat="1" applyFont="1" applyFill="1" applyBorder="1">
      <alignment vertical="center"/>
    </xf>
    <xf numFmtId="176" fontId="29" fillId="0" borderId="0" xfId="2" applyNumberFormat="1" applyFill="1" applyBorder="1">
      <alignment vertical="center"/>
    </xf>
    <xf numFmtId="176" fontId="33" fillId="26" borderId="0" xfId="0" applyNumberFormat="1" applyFont="1" applyFill="1" applyAlignment="1">
      <alignment horizontal="right" wrapText="1"/>
    </xf>
    <xf numFmtId="176" fontId="0" fillId="12" borderId="0" xfId="0" applyNumberFormat="1" applyFill="1">
      <alignment vertical="center"/>
    </xf>
    <xf numFmtId="176" fontId="0" fillId="33" borderId="0" xfId="0" applyNumberFormat="1" applyFill="1">
      <alignment vertical="center"/>
    </xf>
    <xf numFmtId="176" fontId="0" fillId="34" borderId="0" xfId="0" applyNumberFormat="1" applyFill="1">
      <alignment vertical="center"/>
    </xf>
    <xf numFmtId="176" fontId="33" fillId="20" borderId="0" xfId="0" applyNumberFormat="1" applyFont="1" applyFill="1" applyAlignment="1">
      <alignment horizontal="right" wrapText="1"/>
    </xf>
    <xf numFmtId="176" fontId="3" fillId="0" borderId="0" xfId="0" applyNumberFormat="1" applyFont="1" applyFill="1" applyBorder="1">
      <alignment vertical="center"/>
    </xf>
    <xf numFmtId="176" fontId="0" fillId="26" borderId="0" xfId="0" applyNumberFormat="1" applyFill="1">
      <alignment vertical="center"/>
    </xf>
    <xf numFmtId="176" fontId="0" fillId="17" borderId="1" xfId="0" applyNumberFormat="1" applyFill="1" applyBorder="1">
      <alignment vertical="center"/>
    </xf>
    <xf numFmtId="176" fontId="0" fillId="2" borderId="90" xfId="0" applyNumberFormat="1" applyFill="1" applyBorder="1">
      <alignment vertical="center"/>
    </xf>
    <xf numFmtId="176" fontId="32" fillId="26" borderId="0" xfId="0" applyNumberFormat="1" applyFont="1" applyFill="1" applyAlignment="1">
      <alignment horizontal="right" vertical="center"/>
    </xf>
    <xf numFmtId="176" fontId="30" fillId="2" borderId="12" xfId="0" applyNumberFormat="1" applyFont="1" applyFill="1" applyBorder="1">
      <alignment vertical="center"/>
    </xf>
    <xf numFmtId="176" fontId="33" fillId="2" borderId="0" xfId="0" applyNumberFormat="1" applyFont="1" applyFill="1" applyBorder="1" applyAlignment="1">
      <alignment horizontal="right" wrapText="1"/>
    </xf>
    <xf numFmtId="176" fontId="0" fillId="2" borderId="56" xfId="0" applyNumberFormat="1" applyFill="1" applyBorder="1">
      <alignment vertical="center"/>
    </xf>
    <xf numFmtId="176" fontId="0" fillId="2" borderId="18" xfId="0" applyNumberFormat="1" applyFill="1" applyBorder="1">
      <alignment vertical="center"/>
    </xf>
    <xf numFmtId="176" fontId="0" fillId="2" borderId="19" xfId="0" applyNumberFormat="1" applyFill="1" applyBorder="1">
      <alignment vertical="center"/>
    </xf>
    <xf numFmtId="176" fontId="0" fillId="26" borderId="0" xfId="0" applyNumberFormat="1" applyFill="1" applyAlignment="1">
      <alignment horizontal="right" vertical="center"/>
    </xf>
    <xf numFmtId="176" fontId="0" fillId="3" borderId="88" xfId="0" applyNumberFormat="1" applyFill="1" applyBorder="1">
      <alignment vertical="center"/>
    </xf>
    <xf numFmtId="176" fontId="0" fillId="2" borderId="61" xfId="0" applyNumberFormat="1" applyFill="1" applyBorder="1">
      <alignment vertical="center"/>
    </xf>
    <xf numFmtId="176" fontId="31" fillId="32" borderId="22" xfId="0" applyNumberFormat="1" applyFont="1" applyFill="1" applyBorder="1">
      <alignment vertical="center"/>
    </xf>
    <xf numFmtId="176" fontId="0" fillId="0" borderId="46" xfId="0" applyNumberFormat="1" applyBorder="1">
      <alignment vertical="center"/>
    </xf>
    <xf numFmtId="176" fontId="0" fillId="0" borderId="71" xfId="0" applyNumberFormat="1" applyBorder="1">
      <alignment vertical="center"/>
    </xf>
    <xf numFmtId="176" fontId="0" fillId="2" borderId="98" xfId="0" applyNumberFormat="1" applyFill="1" applyBorder="1">
      <alignment vertical="center"/>
    </xf>
    <xf numFmtId="176" fontId="0" fillId="0" borderId="53" xfId="0" applyNumberFormat="1" applyBorder="1">
      <alignment vertical="center"/>
    </xf>
    <xf numFmtId="176" fontId="0" fillId="2" borderId="45" xfId="0" applyNumberFormat="1" applyFill="1" applyBorder="1">
      <alignment vertical="center"/>
    </xf>
    <xf numFmtId="176" fontId="0" fillId="0" borderId="60" xfId="0" applyNumberFormat="1" applyBorder="1">
      <alignment vertical="center"/>
    </xf>
    <xf numFmtId="176" fontId="0" fillId="0" borderId="9" xfId="0" applyNumberFormat="1" applyBorder="1">
      <alignment vertical="center"/>
    </xf>
    <xf numFmtId="176" fontId="0" fillId="0" borderId="22" xfId="0" applyNumberFormat="1" applyBorder="1">
      <alignment vertical="center"/>
    </xf>
    <xf numFmtId="176" fontId="29" fillId="31" borderId="65" xfId="2" applyNumberFormat="1" applyBorder="1">
      <alignment vertical="center"/>
    </xf>
    <xf numFmtId="176" fontId="29" fillId="31" borderId="22" xfId="2" applyNumberFormat="1" applyBorder="1">
      <alignment vertical="center"/>
    </xf>
    <xf numFmtId="176" fontId="29" fillId="31" borderId="8" xfId="2" applyNumberFormat="1" applyBorder="1">
      <alignment vertical="center"/>
    </xf>
    <xf numFmtId="176" fontId="29" fillId="31" borderId="85" xfId="2" applyNumberFormat="1" applyBorder="1">
      <alignment vertical="center"/>
    </xf>
    <xf numFmtId="176" fontId="29" fillId="31" borderId="25" xfId="2" applyNumberFormat="1" applyBorder="1">
      <alignment vertical="center"/>
    </xf>
    <xf numFmtId="176" fontId="29" fillId="31" borderId="9" xfId="2" applyNumberFormat="1" applyBorder="1">
      <alignment vertical="center"/>
    </xf>
    <xf numFmtId="177" fontId="0" fillId="26" borderId="0" xfId="0" applyNumberFormat="1" applyFill="1" applyBorder="1" applyAlignment="1">
      <alignment horizontal="right" vertical="center"/>
    </xf>
    <xf numFmtId="177" fontId="10" fillId="2" borderId="20" xfId="0" applyNumberFormat="1" applyFont="1" applyFill="1" applyBorder="1">
      <alignment vertical="center"/>
    </xf>
    <xf numFmtId="177" fontId="10" fillId="2" borderId="12" xfId="0" applyNumberFormat="1" applyFont="1" applyFill="1" applyBorder="1">
      <alignment vertical="center"/>
    </xf>
    <xf numFmtId="177" fontId="10" fillId="2" borderId="88" xfId="0" applyNumberFormat="1" applyFont="1" applyFill="1" applyBorder="1">
      <alignment vertical="center"/>
    </xf>
    <xf numFmtId="177" fontId="10" fillId="2" borderId="91" xfId="0" applyNumberFormat="1" applyFont="1" applyFill="1" applyBorder="1">
      <alignment vertical="center"/>
    </xf>
    <xf numFmtId="177" fontId="10" fillId="2" borderId="151" xfId="0" applyNumberFormat="1" applyFont="1" applyFill="1" applyBorder="1">
      <alignment vertical="center"/>
    </xf>
    <xf numFmtId="177" fontId="47" fillId="0" borderId="22" xfId="0" applyNumberFormat="1" applyFont="1" applyFill="1" applyBorder="1" applyAlignment="1">
      <alignment vertical="center"/>
    </xf>
    <xf numFmtId="177" fontId="47" fillId="0" borderId="22" xfId="0" applyNumberFormat="1" applyFont="1" applyFill="1" applyBorder="1" applyAlignment="1">
      <alignment horizontal="center" vertical="center"/>
    </xf>
    <xf numFmtId="177" fontId="50" fillId="16" borderId="22" xfId="0" applyNumberFormat="1" applyFont="1" applyFill="1" applyBorder="1" applyAlignment="1">
      <alignment vertical="center"/>
    </xf>
    <xf numFmtId="176" fontId="0" fillId="13" borderId="53" xfId="0" applyNumberFormat="1" applyFill="1" applyBorder="1">
      <alignment vertical="center"/>
    </xf>
    <xf numFmtId="176" fontId="0" fillId="13" borderId="60" xfId="0" applyNumberFormat="1" applyFill="1" applyBorder="1">
      <alignment vertical="center"/>
    </xf>
    <xf numFmtId="176" fontId="0" fillId="13" borderId="46" xfId="0" applyNumberFormat="1" applyFill="1" applyBorder="1">
      <alignment vertical="center"/>
    </xf>
    <xf numFmtId="176" fontId="0" fillId="13" borderId="71" xfId="0" applyNumberFormat="1" applyFill="1" applyBorder="1">
      <alignment vertical="center"/>
    </xf>
    <xf numFmtId="176" fontId="0" fillId="3" borderId="144" xfId="0" applyNumberFormat="1" applyFill="1" applyBorder="1">
      <alignment vertical="center"/>
    </xf>
    <xf numFmtId="176" fontId="0" fillId="3" borderId="3" xfId="0" applyNumberFormat="1" applyFill="1" applyBorder="1">
      <alignment vertical="center"/>
    </xf>
    <xf numFmtId="176" fontId="0" fillId="2" borderId="22" xfId="0" applyNumberFormat="1" applyFill="1" applyBorder="1">
      <alignment vertical="center"/>
    </xf>
    <xf numFmtId="176" fontId="30" fillId="2" borderId="22" xfId="0" applyNumberFormat="1" applyFont="1" applyFill="1" applyBorder="1">
      <alignment vertical="center"/>
    </xf>
    <xf numFmtId="176" fontId="33" fillId="2" borderId="61" xfId="0" applyNumberFormat="1" applyFont="1" applyFill="1" applyBorder="1" applyAlignment="1">
      <alignment horizontal="right" wrapText="1"/>
    </xf>
    <xf numFmtId="177" fontId="1" fillId="17" borderId="3" xfId="0" applyNumberFormat="1" applyFont="1" applyFill="1" applyBorder="1" applyAlignment="1">
      <alignment horizontal="right" vertical="center"/>
    </xf>
    <xf numFmtId="177" fontId="1" fillId="17" borderId="14" xfId="0" applyNumberFormat="1" applyFont="1" applyFill="1" applyBorder="1" applyAlignment="1">
      <alignment horizontal="right" vertical="center"/>
    </xf>
    <xf numFmtId="177" fontId="0" fillId="9" borderId="94" xfId="0" applyNumberFormat="1" applyFill="1" applyBorder="1">
      <alignment vertical="center"/>
    </xf>
    <xf numFmtId="177" fontId="0" fillId="2" borderId="172" xfId="0" applyNumberFormat="1" applyFill="1" applyBorder="1">
      <alignment vertical="center"/>
    </xf>
    <xf numFmtId="180" fontId="0" fillId="2" borderId="14" xfId="0" applyNumberFormat="1" applyFill="1" applyBorder="1">
      <alignment vertical="center"/>
    </xf>
    <xf numFmtId="180" fontId="0" fillId="9" borderId="157" xfId="0" applyNumberFormat="1" applyFill="1" applyBorder="1">
      <alignment vertical="center"/>
    </xf>
    <xf numFmtId="180" fontId="47" fillId="0" borderId="22" xfId="0" applyNumberFormat="1" applyFont="1" applyFill="1" applyBorder="1" applyAlignment="1">
      <alignment vertical="center"/>
    </xf>
    <xf numFmtId="0" fontId="0" fillId="33" borderId="0" xfId="0" applyFill="1" applyAlignment="1">
      <alignment vertical="center" wrapText="1"/>
    </xf>
    <xf numFmtId="0" fontId="0" fillId="43" borderId="0" xfId="0" applyFill="1">
      <alignment vertical="center"/>
    </xf>
    <xf numFmtId="0" fontId="0" fillId="16" borderId="0" xfId="0" applyFill="1">
      <alignment vertical="center"/>
    </xf>
    <xf numFmtId="10" fontId="0" fillId="16" borderId="174" xfId="0" applyNumberFormat="1" applyFill="1" applyBorder="1">
      <alignment vertical="center"/>
    </xf>
    <xf numFmtId="0" fontId="0" fillId="16" borderId="174" xfId="0" applyFill="1" applyBorder="1">
      <alignment vertical="center"/>
    </xf>
    <xf numFmtId="10" fontId="0" fillId="0" borderId="174" xfId="0" applyNumberFormat="1" applyBorder="1">
      <alignment vertical="center"/>
    </xf>
    <xf numFmtId="0" fontId="0" fillId="0" borderId="174" xfId="0" applyBorder="1">
      <alignment vertical="center"/>
    </xf>
    <xf numFmtId="0" fontId="0" fillId="43" borderId="0" xfId="0" applyFill="1" applyAlignment="1">
      <alignment horizontal="center" vertical="center"/>
    </xf>
    <xf numFmtId="181" fontId="0" fillId="10" borderId="0" xfId="0" applyNumberFormat="1" applyFill="1">
      <alignment vertical="center"/>
    </xf>
    <xf numFmtId="181" fontId="0" fillId="17" borderId="0" xfId="0" applyNumberFormat="1" applyFill="1">
      <alignment vertical="center"/>
    </xf>
    <xf numFmtId="0" fontId="0" fillId="4" borderId="173" xfId="0" applyFill="1" applyBorder="1">
      <alignment vertical="center"/>
    </xf>
    <xf numFmtId="181" fontId="0" fillId="4" borderId="173" xfId="0" applyNumberFormat="1" applyFill="1" applyBorder="1">
      <alignment vertical="center"/>
    </xf>
    <xf numFmtId="181" fontId="0" fillId="4" borderId="0" xfId="0" applyNumberFormat="1" applyFill="1">
      <alignment vertical="center"/>
    </xf>
    <xf numFmtId="0" fontId="0" fillId="21" borderId="0" xfId="0" applyFill="1">
      <alignment vertical="center"/>
    </xf>
    <xf numFmtId="0" fontId="0" fillId="43" borderId="174" xfId="0" applyFill="1" applyBorder="1">
      <alignment vertical="center"/>
    </xf>
    <xf numFmtId="0" fontId="0" fillId="15" borderId="23" xfId="0" applyFill="1" applyBorder="1" applyAlignment="1">
      <alignment horizontal="center" vertical="center"/>
    </xf>
    <xf numFmtId="0" fontId="0" fillId="15" borderId="71" xfId="0" applyFill="1" applyBorder="1" applyAlignment="1">
      <alignment horizontal="center" vertical="center"/>
    </xf>
    <xf numFmtId="0" fontId="0" fillId="15" borderId="60" xfId="0" applyFill="1" applyBorder="1" applyAlignment="1">
      <alignment horizontal="center" vertical="center"/>
    </xf>
    <xf numFmtId="0" fontId="0" fillId="17" borderId="8" xfId="0" applyFill="1" applyBorder="1" applyAlignment="1">
      <alignment horizontal="center" vertical="center"/>
    </xf>
    <xf numFmtId="0" fontId="34" fillId="17" borderId="12"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0" fillId="43" borderId="0" xfId="0" applyFill="1" applyAlignment="1">
      <alignment horizontal="right" vertical="center"/>
    </xf>
    <xf numFmtId="0" fontId="0" fillId="26" borderId="18" xfId="0" applyFill="1" applyBorder="1" applyAlignment="1">
      <alignment horizontal="right" vertical="center"/>
    </xf>
    <xf numFmtId="178" fontId="0" fillId="2" borderId="26" xfId="0" applyNumberFormat="1" applyFill="1" applyBorder="1">
      <alignment vertical="center"/>
    </xf>
    <xf numFmtId="184" fontId="0" fillId="13" borderId="0" xfId="0" applyNumberFormat="1" applyFill="1">
      <alignment vertical="center"/>
    </xf>
    <xf numFmtId="184" fontId="0" fillId="26" borderId="18" xfId="0" applyNumberFormat="1" applyFill="1" applyBorder="1" applyAlignment="1">
      <alignment horizontal="right" vertical="center"/>
    </xf>
    <xf numFmtId="184" fontId="0" fillId="26" borderId="15" xfId="0" applyNumberFormat="1" applyFill="1" applyBorder="1" applyAlignment="1">
      <alignment horizontal="right" vertical="center"/>
    </xf>
    <xf numFmtId="184" fontId="0" fillId="26" borderId="15" xfId="0" applyNumberFormat="1" applyFill="1" applyBorder="1" applyAlignment="1">
      <alignment horizontal="center" vertical="center"/>
    </xf>
    <xf numFmtId="184" fontId="0" fillId="0" borderId="0" xfId="0" applyNumberFormat="1">
      <alignment vertical="center"/>
    </xf>
    <xf numFmtId="181" fontId="0" fillId="13" borderId="0" xfId="0" applyNumberFormat="1" applyFill="1">
      <alignment vertical="center"/>
    </xf>
    <xf numFmtId="181" fontId="0" fillId="26" borderId="18" xfId="0" applyNumberFormat="1" applyFill="1" applyBorder="1" applyAlignment="1">
      <alignment horizontal="right" vertical="center"/>
    </xf>
    <xf numFmtId="181" fontId="0" fillId="26" borderId="15" xfId="0" applyNumberFormat="1" applyFill="1" applyBorder="1" applyAlignment="1">
      <alignment horizontal="right" vertical="center"/>
    </xf>
    <xf numFmtId="181" fontId="0" fillId="26" borderId="15" xfId="0" applyNumberFormat="1" applyFill="1" applyBorder="1" applyAlignment="1">
      <alignment horizontal="center" vertical="center"/>
    </xf>
    <xf numFmtId="181" fontId="0" fillId="0" borderId="0" xfId="0" applyNumberFormat="1">
      <alignment vertical="center"/>
    </xf>
    <xf numFmtId="181" fontId="0" fillId="13" borderId="0" xfId="0" applyNumberFormat="1" applyFill="1" applyAlignment="1">
      <alignment horizontal="center" vertical="center"/>
    </xf>
    <xf numFmtId="181" fontId="0" fillId="26" borderId="74" xfId="0" applyNumberFormat="1" applyFill="1" applyBorder="1" applyAlignment="1">
      <alignment horizontal="right" vertical="center"/>
    </xf>
    <xf numFmtId="181" fontId="0" fillId="26" borderId="14" xfId="0" applyNumberFormat="1" applyFill="1" applyBorder="1" applyAlignment="1">
      <alignment horizontal="right" vertical="center"/>
    </xf>
    <xf numFmtId="181" fontId="0" fillId="26" borderId="26" xfId="0" applyNumberFormat="1" applyFill="1" applyBorder="1" applyAlignment="1">
      <alignment horizontal="center" vertical="center"/>
    </xf>
    <xf numFmtId="181" fontId="0" fillId="0" borderId="0" xfId="0" applyNumberFormat="1" applyAlignment="1">
      <alignment horizontal="center" vertical="center"/>
    </xf>
    <xf numFmtId="181" fontId="0" fillId="17" borderId="74" xfId="0" applyNumberFormat="1" applyFill="1" applyBorder="1" applyAlignment="1">
      <alignment horizontal="right" vertical="center"/>
    </xf>
    <xf numFmtId="181" fontId="0" fillId="2" borderId="74" xfId="0" applyNumberFormat="1" applyFill="1" applyBorder="1" applyAlignment="1">
      <alignment horizontal="right" vertical="center" wrapText="1"/>
    </xf>
    <xf numFmtId="181" fontId="0" fillId="26" borderId="15" xfId="0" applyNumberFormat="1" applyFill="1" applyBorder="1">
      <alignment vertical="center"/>
    </xf>
    <xf numFmtId="181" fontId="0" fillId="26" borderId="26" xfId="0" applyNumberFormat="1" applyFill="1" applyBorder="1">
      <alignment vertical="center"/>
    </xf>
    <xf numFmtId="181" fontId="0" fillId="26" borderId="168" xfId="0" applyNumberFormat="1" applyFill="1" applyBorder="1" applyAlignment="1">
      <alignment horizontal="right" vertical="center"/>
    </xf>
    <xf numFmtId="181" fontId="0" fillId="20" borderId="0" xfId="0" applyNumberFormat="1" applyFill="1">
      <alignment vertical="center"/>
    </xf>
    <xf numFmtId="181" fontId="0" fillId="0" borderId="0" xfId="0" applyNumberFormat="1" applyAlignment="1">
      <alignment horizontal="right" vertical="center"/>
    </xf>
    <xf numFmtId="181" fontId="0" fillId="23" borderId="0" xfId="0" applyNumberFormat="1" applyFill="1">
      <alignment vertical="center"/>
    </xf>
    <xf numFmtId="181" fontId="0" fillId="13" borderId="0" xfId="0" applyNumberFormat="1" applyFill="1" applyAlignment="1">
      <alignment horizontal="right" vertical="center"/>
    </xf>
    <xf numFmtId="181" fontId="0" fillId="43" borderId="0" xfId="0" applyNumberFormat="1" applyFill="1">
      <alignment vertical="center"/>
    </xf>
    <xf numFmtId="181" fontId="0" fillId="43" borderId="0" xfId="0" applyNumberFormat="1" applyFill="1" applyAlignment="1">
      <alignment horizontal="center" vertical="center"/>
    </xf>
    <xf numFmtId="181" fontId="0" fillId="46" borderId="0" xfId="0" applyNumberFormat="1" applyFill="1">
      <alignment vertical="center"/>
    </xf>
    <xf numFmtId="182" fontId="0" fillId="13" borderId="0" xfId="0" applyNumberFormat="1" applyFill="1" applyAlignment="1">
      <alignment horizontal="center" vertical="center"/>
    </xf>
    <xf numFmtId="182" fontId="0" fillId="2" borderId="74" xfId="0" applyNumberFormat="1" applyFill="1" applyBorder="1" applyAlignment="1">
      <alignment horizontal="right" vertical="center"/>
    </xf>
    <xf numFmtId="182" fontId="0" fillId="26" borderId="14" xfId="0" applyNumberFormat="1" applyFill="1" applyBorder="1" applyAlignment="1">
      <alignment horizontal="right" vertical="center"/>
    </xf>
    <xf numFmtId="182" fontId="0" fillId="0" borderId="0" xfId="0" applyNumberFormat="1" applyAlignment="1">
      <alignment horizontal="center" vertical="center"/>
    </xf>
    <xf numFmtId="182" fontId="0" fillId="43" borderId="0" xfId="0" applyNumberFormat="1" applyFill="1" applyAlignment="1">
      <alignment horizontal="center" vertical="center"/>
    </xf>
    <xf numFmtId="182" fontId="0" fillId="26" borderId="15" xfId="0" applyNumberFormat="1" applyFill="1" applyBorder="1">
      <alignment vertical="center"/>
    </xf>
    <xf numFmtId="182" fontId="0" fillId="26" borderId="26" xfId="0" applyNumberFormat="1" applyFill="1" applyBorder="1">
      <alignment vertical="center"/>
    </xf>
    <xf numFmtId="181" fontId="0" fillId="0" borderId="174" xfId="0" applyNumberFormat="1" applyBorder="1" applyAlignment="1">
      <alignment horizontal="center" vertical="center"/>
    </xf>
    <xf numFmtId="181" fontId="0" fillId="0" borderId="174" xfId="0" applyNumberFormat="1" applyBorder="1">
      <alignment vertical="center"/>
    </xf>
    <xf numFmtId="178" fontId="0" fillId="2" borderId="178" xfId="0" applyNumberFormat="1" applyFill="1" applyBorder="1">
      <alignment vertical="center"/>
    </xf>
    <xf numFmtId="181" fontId="0" fillId="26" borderId="178" xfId="0" applyNumberFormat="1" applyFill="1" applyBorder="1" applyAlignment="1">
      <alignment horizontal="center" vertical="center"/>
    </xf>
    <xf numFmtId="182" fontId="0" fillId="26" borderId="178" xfId="0" applyNumberFormat="1" applyFill="1" applyBorder="1">
      <alignment vertical="center"/>
    </xf>
    <xf numFmtId="181" fontId="0" fillId="26" borderId="178" xfId="0" applyNumberFormat="1" applyFill="1" applyBorder="1">
      <alignment vertical="center"/>
    </xf>
    <xf numFmtId="181" fontId="0" fillId="46" borderId="174" xfId="0" applyNumberFormat="1" applyFill="1" applyBorder="1">
      <alignment vertical="center"/>
    </xf>
    <xf numFmtId="181" fontId="0" fillId="13" borderId="174" xfId="0" applyNumberFormat="1" applyFill="1" applyBorder="1">
      <alignment vertical="center"/>
    </xf>
    <xf numFmtId="181" fontId="0" fillId="20" borderId="174" xfId="0" applyNumberFormat="1" applyFill="1" applyBorder="1">
      <alignment vertical="center"/>
    </xf>
    <xf numFmtId="181" fontId="0" fillId="23" borderId="174" xfId="0" applyNumberFormat="1" applyFill="1" applyBorder="1">
      <alignment vertical="center"/>
    </xf>
    <xf numFmtId="181" fontId="0" fillId="26" borderId="179" xfId="0" applyNumberFormat="1" applyFill="1" applyBorder="1" applyAlignment="1">
      <alignment horizontal="center" vertical="center"/>
    </xf>
    <xf numFmtId="182" fontId="0" fillId="26" borderId="179" xfId="0" applyNumberFormat="1" applyFill="1" applyBorder="1">
      <alignment vertical="center"/>
    </xf>
    <xf numFmtId="181" fontId="0" fillId="26" borderId="179" xfId="0" applyNumberFormat="1" applyFill="1" applyBorder="1">
      <alignment vertical="center"/>
    </xf>
    <xf numFmtId="182" fontId="0" fillId="0" borderId="174" xfId="0" applyNumberFormat="1" applyBorder="1" applyAlignment="1">
      <alignment horizontal="center" vertical="center"/>
    </xf>
    <xf numFmtId="184" fontId="0" fillId="0" borderId="174" xfId="0" applyNumberFormat="1" applyBorder="1">
      <alignment vertical="center"/>
    </xf>
    <xf numFmtId="181" fontId="0" fillId="2" borderId="178" xfId="0" applyNumberFormat="1" applyFill="1" applyBorder="1">
      <alignment vertical="center"/>
    </xf>
    <xf numFmtId="181" fontId="0" fillId="2" borderId="26" xfId="0" applyNumberFormat="1" applyFill="1" applyBorder="1">
      <alignment vertical="center"/>
    </xf>
    <xf numFmtId="181" fontId="0" fillId="2" borderId="179" xfId="0" applyNumberFormat="1" applyFill="1" applyBorder="1">
      <alignment vertical="center"/>
    </xf>
    <xf numFmtId="182" fontId="0" fillId="2" borderId="178" xfId="0" applyNumberFormat="1" applyFill="1" applyBorder="1">
      <alignment vertical="center"/>
    </xf>
    <xf numFmtId="182" fontId="0" fillId="2" borderId="26" xfId="0" applyNumberFormat="1" applyFill="1" applyBorder="1">
      <alignment vertical="center"/>
    </xf>
    <xf numFmtId="182" fontId="0" fillId="2" borderId="179" xfId="0" applyNumberFormat="1" applyFill="1" applyBorder="1">
      <alignment vertical="center"/>
    </xf>
    <xf numFmtId="10" fontId="0" fillId="16" borderId="0" xfId="0" applyNumberFormat="1" applyFill="1">
      <alignment vertical="center"/>
    </xf>
    <xf numFmtId="185" fontId="0" fillId="16" borderId="0" xfId="0" applyNumberFormat="1" applyFill="1">
      <alignment vertical="center"/>
    </xf>
    <xf numFmtId="183" fontId="0" fillId="16" borderId="0" xfId="0" applyNumberFormat="1" applyFill="1">
      <alignment vertical="center"/>
    </xf>
    <xf numFmtId="182" fontId="0" fillId="16" borderId="0" xfId="0" applyNumberFormat="1" applyFill="1">
      <alignment vertical="center"/>
    </xf>
    <xf numFmtId="10" fontId="0" fillId="16" borderId="0" xfId="0" applyNumberFormat="1" applyFill="1" applyAlignment="1">
      <alignment horizontal="right" vertical="center"/>
    </xf>
    <xf numFmtId="10" fontId="0" fillId="0" borderId="0" xfId="0" applyNumberFormat="1">
      <alignment vertical="center"/>
    </xf>
    <xf numFmtId="181" fontId="0" fillId="49" borderId="0" xfId="0" applyNumberFormat="1" applyFill="1">
      <alignment vertical="center"/>
    </xf>
    <xf numFmtId="0" fontId="0" fillId="49" borderId="0" xfId="0" applyFill="1">
      <alignment vertical="center"/>
    </xf>
    <xf numFmtId="0" fontId="39" fillId="46" borderId="176" xfId="0" applyFont="1" applyFill="1" applyBorder="1">
      <alignment vertical="center"/>
    </xf>
    <xf numFmtId="182" fontId="0" fillId="43" borderId="0" xfId="0" applyNumberFormat="1" applyFill="1">
      <alignment vertical="center"/>
    </xf>
    <xf numFmtId="181" fontId="0" fillId="26" borderId="50" xfId="0" applyNumberFormat="1" applyFill="1" applyBorder="1" applyAlignment="1">
      <alignment horizontal="right" vertical="center"/>
    </xf>
    <xf numFmtId="0" fontId="38" fillId="46" borderId="161" xfId="0" applyFont="1" applyFill="1" applyBorder="1">
      <alignment vertical="center"/>
    </xf>
    <xf numFmtId="181" fontId="0" fillId="26" borderId="26" xfId="0" applyNumberFormat="1" applyFill="1" applyBorder="1" applyAlignment="1">
      <alignment horizontal="right" vertical="center"/>
    </xf>
    <xf numFmtId="0" fontId="39" fillId="46" borderId="177" xfId="0" applyFont="1" applyFill="1" applyBorder="1">
      <alignment vertical="center"/>
    </xf>
    <xf numFmtId="0" fontId="38" fillId="46" borderId="176" xfId="0" applyFont="1" applyFill="1" applyBorder="1">
      <alignment vertical="center"/>
    </xf>
    <xf numFmtId="181" fontId="0" fillId="26" borderId="0" xfId="0" applyNumberFormat="1" applyFill="1" applyAlignment="1">
      <alignment horizontal="right" vertical="center"/>
    </xf>
    <xf numFmtId="49" fontId="0" fillId="26" borderId="0" xfId="0" applyNumberFormat="1" applyFill="1" applyAlignment="1">
      <alignment horizontal="center" vertical="center"/>
    </xf>
    <xf numFmtId="182" fontId="0" fillId="13" borderId="0" xfId="0" applyNumberFormat="1" applyFill="1">
      <alignment vertical="center"/>
    </xf>
    <xf numFmtId="0" fontId="38" fillId="46" borderId="177" xfId="0" applyFont="1" applyFill="1" applyBorder="1">
      <alignment vertical="center"/>
    </xf>
    <xf numFmtId="182" fontId="0" fillId="28" borderId="0" xfId="0" applyNumberFormat="1" applyFill="1">
      <alignment vertical="center"/>
    </xf>
    <xf numFmtId="181" fontId="0" fillId="26" borderId="180" xfId="0" applyNumberFormat="1" applyFill="1" applyBorder="1" applyAlignment="1">
      <alignment horizontal="right" vertical="center"/>
    </xf>
    <xf numFmtId="181" fontId="3" fillId="44" borderId="0" xfId="0" applyNumberFormat="1" applyFont="1" applyFill="1">
      <alignment vertical="center"/>
    </xf>
    <xf numFmtId="184" fontId="38" fillId="46" borderId="176" xfId="0" applyNumberFormat="1" applyFont="1" applyFill="1" applyBorder="1">
      <alignment vertical="center"/>
    </xf>
    <xf numFmtId="184" fontId="38" fillId="46" borderId="177" xfId="0" applyNumberFormat="1" applyFont="1" applyFill="1" applyBorder="1">
      <alignment vertical="center"/>
    </xf>
    <xf numFmtId="181" fontId="3" fillId="45" borderId="0" xfId="0" applyNumberFormat="1" applyFont="1" applyFill="1">
      <alignment vertical="center"/>
    </xf>
    <xf numFmtId="0" fontId="0" fillId="0" borderId="153" xfId="0" applyBorder="1">
      <alignment vertical="center"/>
    </xf>
    <xf numFmtId="0" fontId="0" fillId="43" borderId="153" xfId="0" applyFill="1" applyBorder="1">
      <alignment vertical="center"/>
    </xf>
    <xf numFmtId="0" fontId="0" fillId="21" borderId="153" xfId="0" applyFill="1" applyBorder="1">
      <alignment vertical="center"/>
    </xf>
    <xf numFmtId="178" fontId="0" fillId="2" borderId="153" xfId="0" applyNumberFormat="1" applyFill="1" applyBorder="1">
      <alignment vertical="center"/>
    </xf>
    <xf numFmtId="178" fontId="0" fillId="2" borderId="0" xfId="0" applyNumberFormat="1" applyFill="1">
      <alignment vertical="center"/>
    </xf>
    <xf numFmtId="182" fontId="0" fillId="0" borderId="0" xfId="0" applyNumberFormat="1">
      <alignment vertical="center"/>
    </xf>
    <xf numFmtId="182" fontId="0" fillId="28" borderId="153" xfId="0" applyNumberFormat="1" applyFill="1" applyBorder="1">
      <alignment vertical="center"/>
    </xf>
    <xf numFmtId="181" fontId="0" fillId="10" borderId="153" xfId="0" applyNumberFormat="1" applyFill="1" applyBorder="1">
      <alignment vertical="center"/>
    </xf>
    <xf numFmtId="182" fontId="0" fillId="43" borderId="173" xfId="0" applyNumberFormat="1" applyFill="1" applyBorder="1">
      <alignment vertical="center"/>
    </xf>
    <xf numFmtId="182" fontId="0" fillId="5" borderId="173" xfId="0" applyNumberFormat="1" applyFill="1" applyBorder="1">
      <alignment vertical="center"/>
    </xf>
    <xf numFmtId="182" fontId="0" fillId="5" borderId="181" xfId="0" applyNumberFormat="1" applyFill="1" applyBorder="1">
      <alignment vertical="center"/>
    </xf>
    <xf numFmtId="181" fontId="0" fillId="5" borderId="153" xfId="0" applyNumberFormat="1" applyFill="1" applyBorder="1">
      <alignment vertical="center"/>
    </xf>
    <xf numFmtId="181" fontId="0" fillId="5" borderId="0" xfId="0" applyNumberFormat="1" applyFill="1">
      <alignment vertical="center"/>
    </xf>
    <xf numFmtId="182" fontId="0" fillId="28" borderId="173" xfId="0" applyNumberFormat="1" applyFill="1" applyBorder="1">
      <alignment vertical="center"/>
    </xf>
    <xf numFmtId="182" fontId="0" fillId="28" borderId="181" xfId="0" applyNumberFormat="1" applyFill="1" applyBorder="1">
      <alignment vertical="center"/>
    </xf>
    <xf numFmtId="181" fontId="0" fillId="17" borderId="153" xfId="0" applyNumberFormat="1" applyFill="1" applyBorder="1">
      <alignment vertical="center"/>
    </xf>
    <xf numFmtId="0" fontId="0" fillId="43" borderId="173" xfId="0" applyFill="1" applyBorder="1">
      <alignment vertical="center"/>
    </xf>
    <xf numFmtId="181" fontId="0" fillId="4" borderId="181" xfId="0" applyNumberFormat="1" applyFill="1" applyBorder="1">
      <alignment vertical="center"/>
    </xf>
    <xf numFmtId="181" fontId="0" fillId="4" borderId="153" xfId="0" applyNumberFormat="1" applyFill="1" applyBorder="1">
      <alignment vertical="center"/>
    </xf>
    <xf numFmtId="182" fontId="0" fillId="4" borderId="0" xfId="0" applyNumberFormat="1" applyFill="1">
      <alignment vertical="center"/>
    </xf>
    <xf numFmtId="182" fontId="0" fillId="4" borderId="153" xfId="0" applyNumberFormat="1" applyFill="1" applyBorder="1">
      <alignment vertical="center"/>
    </xf>
    <xf numFmtId="14" fontId="0" fillId="26" borderId="15" xfId="0" applyNumberFormat="1" applyFill="1" applyBorder="1">
      <alignment vertical="center"/>
    </xf>
    <xf numFmtId="0" fontId="0" fillId="26" borderId="15" xfId="0" applyFill="1" applyBorder="1">
      <alignment vertical="center"/>
    </xf>
    <xf numFmtId="0" fontId="0" fillId="13" borderId="0" xfId="0" applyFill="1" applyAlignment="1">
      <alignment horizontal="center" vertical="center"/>
    </xf>
    <xf numFmtId="14" fontId="0" fillId="26" borderId="15" xfId="0" applyNumberFormat="1" applyFill="1" applyBorder="1" applyAlignment="1">
      <alignment horizontal="center" vertical="center"/>
    </xf>
    <xf numFmtId="0" fontId="53" fillId="20" borderId="0" xfId="0" applyFont="1" applyFill="1" applyAlignment="1">
      <alignment vertical="center" wrapText="1"/>
    </xf>
    <xf numFmtId="0" fontId="0" fillId="15" borderId="0" xfId="0" applyFill="1" applyAlignment="1">
      <alignment horizontal="center" vertical="center"/>
    </xf>
    <xf numFmtId="0" fontId="0" fillId="15" borderId="24" xfId="0" applyFill="1" applyBorder="1" applyAlignment="1">
      <alignment horizontal="center" vertical="center"/>
    </xf>
    <xf numFmtId="0" fontId="0" fillId="15" borderId="46" xfId="0" applyFill="1" applyBorder="1" applyAlignment="1">
      <alignment horizontal="center" vertical="center"/>
    </xf>
    <xf numFmtId="0" fontId="0" fillId="15" borderId="24" xfId="0" applyFill="1" applyBorder="1">
      <alignment vertical="center"/>
    </xf>
    <xf numFmtId="0" fontId="54" fillId="0" borderId="0" xfId="0" applyFont="1">
      <alignment vertical="center"/>
    </xf>
    <xf numFmtId="0" fontId="0" fillId="26" borderId="97" xfId="0" applyFill="1" applyBorder="1" applyAlignment="1">
      <alignment horizontal="center" vertical="center"/>
    </xf>
    <xf numFmtId="176" fontId="0" fillId="26" borderId="12" xfId="0" applyNumberFormat="1" applyFill="1" applyBorder="1">
      <alignment vertical="center"/>
    </xf>
    <xf numFmtId="176" fontId="0" fillId="26" borderId="15" xfId="0" applyNumberFormat="1" applyFill="1" applyBorder="1">
      <alignment vertical="center"/>
    </xf>
    <xf numFmtId="176" fontId="0" fillId="26" borderId="13" xfId="0" applyNumberFormat="1" applyFill="1" applyBorder="1">
      <alignment vertical="center"/>
    </xf>
    <xf numFmtId="176" fontId="0" fillId="13" borderId="145" xfId="0" applyNumberFormat="1" applyFill="1" applyBorder="1">
      <alignment vertical="center"/>
    </xf>
    <xf numFmtId="0" fontId="0" fillId="15" borderId="53" xfId="0" applyFill="1" applyBorder="1">
      <alignment vertical="center"/>
    </xf>
    <xf numFmtId="0" fontId="0" fillId="15" borderId="60" xfId="0" applyFill="1" applyBorder="1">
      <alignment vertical="center"/>
    </xf>
    <xf numFmtId="176" fontId="0" fillId="26" borderId="91" xfId="0" applyNumberFormat="1" applyFill="1" applyBorder="1">
      <alignment vertical="center"/>
    </xf>
    <xf numFmtId="0" fontId="0" fillId="15" borderId="62" xfId="0" applyFill="1" applyBorder="1">
      <alignment vertical="center"/>
    </xf>
    <xf numFmtId="176" fontId="0" fillId="13" borderId="97" xfId="0" applyNumberFormat="1" applyFill="1" applyBorder="1">
      <alignment vertical="center"/>
    </xf>
    <xf numFmtId="0" fontId="4" fillId="15" borderId="15" xfId="1" applyFill="1" applyBorder="1" applyAlignment="1">
      <alignment horizontal="center" vertical="center"/>
    </xf>
    <xf numFmtId="176" fontId="15" fillId="26" borderId="15" xfId="0" applyNumberFormat="1" applyFont="1" applyFill="1" applyBorder="1" applyAlignment="1">
      <alignment horizontal="center" vertical="center"/>
    </xf>
    <xf numFmtId="0" fontId="0" fillId="15" borderId="90" xfId="0" applyFill="1" applyBorder="1" applyAlignment="1">
      <alignment horizontal="center" vertical="center"/>
    </xf>
    <xf numFmtId="0" fontId="53" fillId="0" borderId="0" xfId="0" applyFont="1" applyAlignment="1">
      <alignment vertical="center" wrapText="1"/>
    </xf>
    <xf numFmtId="0" fontId="0" fillId="15" borderId="88" xfId="0" applyFill="1" applyBorder="1" applyAlignment="1">
      <alignment horizontal="center" vertical="center"/>
    </xf>
    <xf numFmtId="176" fontId="0" fillId="26" borderId="184" xfId="0" applyNumberFormat="1" applyFill="1" applyBorder="1" applyAlignment="1">
      <alignment horizontal="center" vertical="center"/>
    </xf>
    <xf numFmtId="0" fontId="0" fillId="15" borderId="61" xfId="0" applyFill="1" applyBorder="1" applyAlignment="1">
      <alignment horizontal="center" vertical="center"/>
    </xf>
    <xf numFmtId="0" fontId="0" fillId="15" borderId="89" xfId="0" applyFill="1" applyBorder="1" applyAlignment="1">
      <alignment horizontal="center" vertical="center"/>
    </xf>
    <xf numFmtId="0" fontId="0" fillId="15" borderId="1" xfId="0" applyFill="1" applyBorder="1">
      <alignment vertical="center"/>
    </xf>
    <xf numFmtId="0" fontId="15" fillId="15" borderId="90" xfId="0" applyFont="1" applyFill="1" applyBorder="1" applyAlignment="1">
      <alignment horizontal="center" vertical="center"/>
    </xf>
    <xf numFmtId="0" fontId="0" fillId="15" borderId="2" xfId="0" applyFill="1" applyBorder="1">
      <alignment vertical="center"/>
    </xf>
    <xf numFmtId="0" fontId="0" fillId="15" borderId="12" xfId="0" applyFill="1" applyBorder="1" applyAlignment="1">
      <alignment horizontal="center" vertical="center"/>
    </xf>
    <xf numFmtId="176" fontId="0" fillId="17" borderId="15" xfId="0" applyNumberFormat="1" applyFill="1" applyBorder="1">
      <alignment vertical="center"/>
    </xf>
    <xf numFmtId="0" fontId="0" fillId="15" borderId="13" xfId="0" applyFill="1" applyBorder="1" applyAlignment="1">
      <alignment horizontal="center" vertical="center"/>
    </xf>
    <xf numFmtId="0" fontId="13" fillId="13" borderId="12" xfId="0" applyFont="1" applyFill="1" applyBorder="1" applyAlignment="1">
      <alignment horizontal="center" vertical="center"/>
    </xf>
    <xf numFmtId="176" fontId="0" fillId="5" borderId="15" xfId="0" applyNumberFormat="1" applyFill="1" applyBorder="1">
      <alignment vertical="center"/>
    </xf>
    <xf numFmtId="0" fontId="13" fillId="13" borderId="13" xfId="0" applyFont="1" applyFill="1" applyBorder="1" applyAlignment="1">
      <alignment horizontal="center" vertical="center"/>
    </xf>
    <xf numFmtId="0" fontId="13" fillId="13" borderId="88" xfId="0" applyFont="1" applyFill="1" applyBorder="1" applyAlignment="1">
      <alignment horizontal="center" vertical="center"/>
    </xf>
    <xf numFmtId="0" fontId="13" fillId="13" borderId="89" xfId="0" applyFont="1" applyFill="1" applyBorder="1" applyAlignment="1">
      <alignment horizontal="center" vertical="center"/>
    </xf>
    <xf numFmtId="0" fontId="0" fillId="15" borderId="71" xfId="0" applyFill="1" applyBorder="1">
      <alignment vertical="center"/>
    </xf>
    <xf numFmtId="0" fontId="0" fillId="15" borderId="53" xfId="0" applyFill="1" applyBorder="1" applyAlignment="1">
      <alignment horizontal="center" vertical="center"/>
    </xf>
    <xf numFmtId="186" fontId="0" fillId="4" borderId="0" xfId="0" applyNumberFormat="1" applyFill="1">
      <alignment vertical="center"/>
    </xf>
    <xf numFmtId="187" fontId="0" fillId="17" borderId="0" xfId="0" applyNumberFormat="1" applyFill="1">
      <alignment vertical="center"/>
    </xf>
    <xf numFmtId="186" fontId="0" fillId="3" borderId="0" xfId="0" applyNumberFormat="1" applyFill="1">
      <alignment vertical="center"/>
    </xf>
    <xf numFmtId="176" fontId="0" fillId="5" borderId="0" xfId="0" applyNumberFormat="1" applyFill="1">
      <alignment vertical="center"/>
    </xf>
    <xf numFmtId="176" fontId="0" fillId="17" borderId="0" xfId="0" applyNumberFormat="1" applyFill="1">
      <alignment vertical="center"/>
    </xf>
    <xf numFmtId="176" fontId="0" fillId="4" borderId="0" xfId="0" applyNumberFormat="1" applyFill="1">
      <alignment vertical="center"/>
    </xf>
    <xf numFmtId="187" fontId="0" fillId="17" borderId="61" xfId="0" applyNumberFormat="1" applyFill="1" applyBorder="1">
      <alignment vertical="center"/>
    </xf>
    <xf numFmtId="176" fontId="0" fillId="17" borderId="61" xfId="0" applyNumberFormat="1" applyFill="1" applyBorder="1">
      <alignment vertical="center"/>
    </xf>
    <xf numFmtId="0" fontId="13" fillId="34" borderId="0" xfId="0" applyFont="1" applyFill="1">
      <alignment vertical="center"/>
    </xf>
    <xf numFmtId="0" fontId="0" fillId="26" borderId="12" xfId="0" applyFill="1" applyBorder="1">
      <alignment vertical="center"/>
    </xf>
    <xf numFmtId="0" fontId="0" fillId="26" borderId="13" xfId="0" applyFill="1" applyBorder="1">
      <alignment vertical="center"/>
    </xf>
    <xf numFmtId="0" fontId="0" fillId="13" borderId="96" xfId="0" applyFill="1" applyBorder="1">
      <alignment vertical="center"/>
    </xf>
    <xf numFmtId="0" fontId="0" fillId="15" borderId="65" xfId="0" applyFill="1" applyBorder="1">
      <alignment vertical="center"/>
    </xf>
    <xf numFmtId="0" fontId="0" fillId="26" borderId="91" xfId="0" applyFill="1" applyBorder="1">
      <alignment vertical="center"/>
    </xf>
    <xf numFmtId="0" fontId="0" fillId="13" borderId="97" xfId="0" applyFill="1" applyBorder="1">
      <alignment vertical="center"/>
    </xf>
    <xf numFmtId="0" fontId="15" fillId="15" borderId="19" xfId="0" applyFont="1" applyFill="1" applyBorder="1" applyAlignment="1">
      <alignment horizontal="center" vertical="center"/>
    </xf>
    <xf numFmtId="0" fontId="0" fillId="15" borderId="91" xfId="0" applyFill="1" applyBorder="1" applyAlignment="1">
      <alignment horizontal="center" vertical="center"/>
    </xf>
    <xf numFmtId="0" fontId="0" fillId="15" borderId="1" xfId="0" applyFill="1" applyBorder="1" applyAlignment="1">
      <alignment horizontal="center" vertical="center"/>
    </xf>
    <xf numFmtId="0" fontId="0" fillId="13" borderId="90" xfId="0" applyFill="1" applyBorder="1">
      <alignment vertical="center"/>
    </xf>
    <xf numFmtId="0" fontId="0" fillId="13" borderId="102" xfId="0" applyFill="1" applyBorder="1">
      <alignment vertical="center"/>
    </xf>
    <xf numFmtId="0" fontId="0" fillId="15" borderId="23" xfId="0" applyFill="1" applyBorder="1">
      <alignment vertical="center"/>
    </xf>
    <xf numFmtId="0" fontId="0" fillId="13" borderId="107" xfId="0" applyFill="1" applyBorder="1">
      <alignment vertical="center"/>
    </xf>
    <xf numFmtId="0" fontId="0" fillId="17" borderId="15" xfId="0" applyFill="1" applyBorder="1">
      <alignment vertical="center"/>
    </xf>
    <xf numFmtId="0" fontId="0" fillId="17" borderId="14" xfId="0" applyFill="1" applyBorder="1">
      <alignment vertical="center"/>
    </xf>
    <xf numFmtId="0" fontId="0" fillId="13" borderId="91" xfId="0" applyFill="1" applyBorder="1">
      <alignment vertical="center"/>
    </xf>
    <xf numFmtId="0" fontId="15" fillId="15" borderId="15" xfId="0" applyFont="1" applyFill="1" applyBorder="1" applyAlignment="1">
      <alignment horizontal="center" vertical="center"/>
    </xf>
    <xf numFmtId="0" fontId="15" fillId="26" borderId="15" xfId="0" applyFont="1" applyFill="1" applyBorder="1" applyAlignment="1">
      <alignment horizontal="center" vertical="center"/>
    </xf>
    <xf numFmtId="0" fontId="0" fillId="26" borderId="10" xfId="0" applyFill="1" applyBorder="1" applyAlignment="1">
      <alignment horizontal="center" vertical="center"/>
    </xf>
    <xf numFmtId="0" fontId="0" fillId="15" borderId="45" xfId="0" applyFill="1" applyBorder="1" applyAlignment="1">
      <alignment horizontal="center" vertical="center"/>
    </xf>
    <xf numFmtId="0" fontId="0" fillId="13" borderId="65" xfId="0" applyFill="1" applyBorder="1" applyAlignment="1">
      <alignment horizontal="center" vertical="center"/>
    </xf>
    <xf numFmtId="0" fontId="0" fillId="13" borderId="53" xfId="0" applyFill="1" applyBorder="1">
      <alignment vertical="center"/>
    </xf>
    <xf numFmtId="0" fontId="0" fillId="4" borderId="56" xfId="0" applyFill="1" applyBorder="1">
      <alignment vertical="center"/>
    </xf>
    <xf numFmtId="0" fontId="13" fillId="19" borderId="0" xfId="0" applyFont="1" applyFill="1">
      <alignment vertical="center"/>
    </xf>
    <xf numFmtId="0" fontId="0" fillId="4" borderId="53" xfId="0" applyFill="1" applyBorder="1">
      <alignment vertical="center"/>
    </xf>
    <xf numFmtId="0" fontId="0" fillId="13" borderId="56" xfId="0" applyFill="1" applyBorder="1">
      <alignment vertical="center"/>
    </xf>
    <xf numFmtId="0" fontId="13" fillId="13" borderId="95" xfId="0" applyFont="1" applyFill="1" applyBorder="1" applyAlignment="1">
      <alignment horizontal="center" vertical="center"/>
    </xf>
    <xf numFmtId="0" fontId="0" fillId="5" borderId="107" xfId="0" applyFill="1" applyBorder="1">
      <alignment vertical="center"/>
    </xf>
    <xf numFmtId="0" fontId="0" fillId="5" borderId="90" xfId="0" applyFill="1" applyBorder="1">
      <alignment vertical="center"/>
    </xf>
    <xf numFmtId="0" fontId="0" fillId="5" borderId="2" xfId="0" applyFill="1" applyBorder="1">
      <alignment vertical="center"/>
    </xf>
    <xf numFmtId="0" fontId="0" fillId="5" borderId="1" xfId="0" applyFill="1" applyBorder="1">
      <alignment vertical="center"/>
    </xf>
    <xf numFmtId="0" fontId="13" fillId="13" borderId="144" xfId="0" applyFont="1" applyFill="1" applyBorder="1" applyAlignment="1">
      <alignment horizontal="center" vertical="center"/>
    </xf>
    <xf numFmtId="0" fontId="0" fillId="13" borderId="25" xfId="0" applyFill="1" applyBorder="1" applyAlignment="1">
      <alignment horizontal="center" vertical="center"/>
    </xf>
    <xf numFmtId="0" fontId="0" fillId="13" borderId="61" xfId="0" applyFill="1" applyBorder="1">
      <alignment vertical="center"/>
    </xf>
    <xf numFmtId="0" fontId="0" fillId="13" borderId="62" xfId="0" applyFill="1" applyBorder="1">
      <alignment vertical="center"/>
    </xf>
    <xf numFmtId="0" fontId="0" fillId="17" borderId="61" xfId="0" applyFill="1" applyBorder="1">
      <alignment vertical="center"/>
    </xf>
    <xf numFmtId="0" fontId="13" fillId="13" borderId="96" xfId="0" applyFont="1" applyFill="1" applyBorder="1" applyAlignment="1">
      <alignment horizontal="center" vertical="center"/>
    </xf>
    <xf numFmtId="0" fontId="0" fillId="3" borderId="14" xfId="0" applyFill="1" applyBorder="1">
      <alignment vertical="center"/>
    </xf>
    <xf numFmtId="0" fontId="0" fillId="3" borderId="15" xfId="0" applyFill="1" applyBorder="1">
      <alignment vertical="center"/>
    </xf>
    <xf numFmtId="0" fontId="0" fillId="3" borderId="13" xfId="0" applyFill="1" applyBorder="1">
      <alignment vertical="center"/>
    </xf>
    <xf numFmtId="0" fontId="0" fillId="3" borderId="12" xfId="0" applyFill="1" applyBorder="1">
      <alignment vertical="center"/>
    </xf>
    <xf numFmtId="0" fontId="13" fillId="13" borderId="185" xfId="0" applyFont="1" applyFill="1" applyBorder="1" applyAlignment="1">
      <alignment horizontal="center" vertical="center"/>
    </xf>
    <xf numFmtId="0" fontId="0" fillId="15" borderId="97" xfId="0" applyFill="1" applyBorder="1" applyAlignment="1">
      <alignment horizontal="center" vertical="center"/>
    </xf>
    <xf numFmtId="0" fontId="0" fillId="15" borderId="99" xfId="0" applyFill="1" applyBorder="1">
      <alignment vertical="center"/>
    </xf>
    <xf numFmtId="0" fontId="0" fillId="15" borderId="91" xfId="0" applyFill="1" applyBorder="1">
      <alignment vertical="center"/>
    </xf>
    <xf numFmtId="0" fontId="0" fillId="15" borderId="89" xfId="0" applyFill="1" applyBorder="1">
      <alignment vertical="center"/>
    </xf>
    <xf numFmtId="0" fontId="0" fillId="15" borderId="88" xfId="0" applyFill="1" applyBorder="1">
      <alignment vertical="center"/>
    </xf>
    <xf numFmtId="0" fontId="0" fillId="15" borderId="186" xfId="0" applyFill="1" applyBorder="1" applyAlignment="1">
      <alignment horizontal="center" vertical="center"/>
    </xf>
    <xf numFmtId="0" fontId="34" fillId="0" borderId="0" xfId="0" applyFont="1" applyAlignment="1">
      <alignment horizontal="center" vertical="center" wrapText="1"/>
    </xf>
    <xf numFmtId="0" fontId="0" fillId="11" borderId="23" xfId="0" applyFill="1" applyBorder="1">
      <alignment vertical="center"/>
    </xf>
    <xf numFmtId="0" fontId="0" fillId="33" borderId="46" xfId="0" applyFill="1" applyBorder="1" applyAlignment="1">
      <alignment horizontal="center" vertical="center"/>
    </xf>
    <xf numFmtId="0" fontId="0" fillId="33" borderId="71" xfId="0" applyFill="1" applyBorder="1" applyAlignment="1">
      <alignment horizontal="center" vertical="center"/>
    </xf>
    <xf numFmtId="0" fontId="0" fillId="11" borderId="8" xfId="0" applyFill="1" applyBorder="1">
      <alignment vertical="center"/>
    </xf>
    <xf numFmtId="0" fontId="0" fillId="33" borderId="9" xfId="0" applyFill="1" applyBorder="1" applyAlignment="1">
      <alignment horizontal="center" vertical="center"/>
    </xf>
    <xf numFmtId="0" fontId="0" fillId="33" borderId="85" xfId="0" applyFill="1" applyBorder="1" applyAlignment="1">
      <alignment horizontal="center" vertical="center"/>
    </xf>
    <xf numFmtId="0" fontId="0" fillId="33" borderId="46" xfId="0" applyFill="1" applyBorder="1">
      <alignment vertical="center"/>
    </xf>
    <xf numFmtId="0" fontId="0" fillId="33" borderId="71" xfId="0" applyFill="1" applyBorder="1">
      <alignment vertical="center"/>
    </xf>
    <xf numFmtId="0" fontId="34" fillId="2" borderId="1" xfId="0" applyFont="1" applyFill="1" applyBorder="1">
      <alignment vertical="center"/>
    </xf>
    <xf numFmtId="176" fontId="0" fillId="3" borderId="61" xfId="0" applyNumberFormat="1" applyFill="1" applyBorder="1" applyAlignment="1">
      <alignment horizontal="center" vertical="center"/>
    </xf>
    <xf numFmtId="176" fontId="0" fillId="3" borderId="62" xfId="0" applyNumberFormat="1" applyFill="1" applyBorder="1" applyAlignment="1">
      <alignment horizontal="center" vertical="center"/>
    </xf>
    <xf numFmtId="0" fontId="34" fillId="0" borderId="0" xfId="0" applyFont="1" applyAlignment="1">
      <alignment horizontal="right" vertical="center" wrapText="1"/>
    </xf>
    <xf numFmtId="0" fontId="0" fillId="33" borderId="23" xfId="0" applyFill="1" applyBorder="1" applyAlignment="1">
      <alignment horizontal="center" vertical="center"/>
    </xf>
    <xf numFmtId="176" fontId="0" fillId="3" borderId="46" xfId="0" applyNumberFormat="1" applyFill="1" applyBorder="1" applyAlignment="1">
      <alignment horizontal="center" vertical="center"/>
    </xf>
    <xf numFmtId="176" fontId="0" fillId="3" borderId="71" xfId="0" applyNumberFormat="1" applyFill="1" applyBorder="1" applyAlignment="1">
      <alignment horizontal="center" vertical="center"/>
    </xf>
    <xf numFmtId="0" fontId="0" fillId="33" borderId="60" xfId="0" applyFill="1" applyBorder="1" applyAlignment="1">
      <alignment horizontal="center" vertical="center"/>
    </xf>
    <xf numFmtId="176" fontId="0" fillId="5" borderId="61" xfId="0" applyNumberFormat="1" applyFill="1" applyBorder="1" applyAlignment="1">
      <alignment horizontal="center" vertical="center"/>
    </xf>
    <xf numFmtId="176" fontId="0" fillId="5" borderId="62" xfId="0" applyNumberFormat="1" applyFill="1" applyBorder="1" applyAlignment="1">
      <alignment horizontal="center" vertical="center"/>
    </xf>
    <xf numFmtId="176" fontId="0" fillId="5" borderId="61" xfId="0" applyNumberFormat="1" applyFill="1" applyBorder="1">
      <alignment vertical="center"/>
    </xf>
    <xf numFmtId="176" fontId="0" fillId="5" borderId="62" xfId="0" applyNumberFormat="1" applyFill="1" applyBorder="1">
      <alignment vertical="center"/>
    </xf>
    <xf numFmtId="0" fontId="0" fillId="33" borderId="53" xfId="0" applyFill="1" applyBorder="1" applyAlignment="1">
      <alignment horizontal="right" vertical="center"/>
    </xf>
    <xf numFmtId="0" fontId="0" fillId="33" borderId="0" xfId="0" applyFill="1" applyAlignment="1">
      <alignment horizontal="center" vertical="center"/>
    </xf>
    <xf numFmtId="0" fontId="0" fillId="33" borderId="56" xfId="0" applyFill="1" applyBorder="1" applyAlignment="1">
      <alignment horizontal="center" vertical="center"/>
    </xf>
    <xf numFmtId="0" fontId="0" fillId="33" borderId="0" xfId="0" applyFill="1" applyAlignment="1">
      <alignment horizontal="right" vertical="center"/>
    </xf>
    <xf numFmtId="0" fontId="0" fillId="33" borderId="53" xfId="0" applyFill="1" applyBorder="1">
      <alignment vertical="center"/>
    </xf>
    <xf numFmtId="176" fontId="0" fillId="11" borderId="0" xfId="0" applyNumberFormat="1" applyFill="1">
      <alignment vertical="center"/>
    </xf>
    <xf numFmtId="176" fontId="0" fillId="11" borderId="56" xfId="0" applyNumberFormat="1" applyFill="1" applyBorder="1">
      <alignment vertical="center"/>
    </xf>
    <xf numFmtId="176" fontId="0" fillId="11" borderId="61" xfId="0" applyNumberFormat="1" applyFill="1" applyBorder="1">
      <alignment vertical="center"/>
    </xf>
    <xf numFmtId="176" fontId="0" fillId="11" borderId="62" xfId="0" applyNumberFormat="1" applyFill="1" applyBorder="1">
      <alignment vertical="center"/>
    </xf>
    <xf numFmtId="176" fontId="0" fillId="17" borderId="9" xfId="0" applyNumberFormat="1" applyFill="1" applyBorder="1">
      <alignment vertical="center"/>
    </xf>
    <xf numFmtId="176" fontId="0" fillId="17" borderId="85" xfId="0" applyNumberFormat="1" applyFill="1" applyBorder="1">
      <alignment vertical="center"/>
    </xf>
    <xf numFmtId="0" fontId="34" fillId="11" borderId="1" xfId="0" applyFont="1" applyFill="1" applyBorder="1">
      <alignment vertical="center"/>
    </xf>
    <xf numFmtId="0" fontId="0" fillId="33" borderId="90" xfId="0" applyFill="1" applyBorder="1" applyAlignment="1">
      <alignment horizontal="center" vertical="center"/>
    </xf>
    <xf numFmtId="0" fontId="0" fillId="33" borderId="2" xfId="0" applyFill="1" applyBorder="1" applyAlignment="1">
      <alignment horizontal="center" vertical="center"/>
    </xf>
    <xf numFmtId="0" fontId="0" fillId="33" borderId="12" xfId="0" applyFill="1" applyBorder="1" applyAlignment="1">
      <alignment horizontal="center" vertical="center"/>
    </xf>
    <xf numFmtId="176" fontId="0" fillId="11" borderId="15" xfId="0" applyNumberFormat="1" applyFill="1" applyBorder="1">
      <alignment vertical="center"/>
    </xf>
    <xf numFmtId="176" fontId="0" fillId="13" borderId="15" xfId="0" applyNumberFormat="1" applyFill="1" applyBorder="1">
      <alignment vertical="center"/>
    </xf>
    <xf numFmtId="176" fontId="0" fillId="13" borderId="13" xfId="0" applyNumberFormat="1" applyFill="1" applyBorder="1">
      <alignment vertical="center"/>
    </xf>
    <xf numFmtId="176" fontId="0" fillId="15" borderId="15" xfId="0" applyNumberFormat="1" applyFill="1" applyBorder="1">
      <alignment vertical="center"/>
    </xf>
    <xf numFmtId="0" fontId="0" fillId="33" borderId="88" xfId="0" applyFill="1" applyBorder="1" applyAlignment="1">
      <alignment horizontal="center" vertical="center"/>
    </xf>
    <xf numFmtId="176" fontId="0" fillId="11" borderId="91" xfId="0" applyNumberFormat="1" applyFill="1" applyBorder="1">
      <alignment vertical="center"/>
    </xf>
    <xf numFmtId="176" fontId="0" fillId="15" borderId="89" xfId="0" applyNumberFormat="1" applyFill="1" applyBorder="1">
      <alignment vertical="center"/>
    </xf>
    <xf numFmtId="0" fontId="3" fillId="52" borderId="46" xfId="0" applyFont="1" applyFill="1" applyBorder="1" applyAlignment="1">
      <alignment horizontal="center" vertical="center"/>
    </xf>
    <xf numFmtId="0" fontId="3" fillId="52" borderId="71" xfId="0" applyFont="1" applyFill="1" applyBorder="1" applyAlignment="1">
      <alignment horizontal="center" vertical="center"/>
    </xf>
    <xf numFmtId="176" fontId="0" fillId="3" borderId="61" xfId="0" applyNumberFormat="1" applyFill="1" applyBorder="1">
      <alignment vertical="center"/>
    </xf>
    <xf numFmtId="176" fontId="0" fillId="3" borderId="62" xfId="0" applyNumberFormat="1" applyFill="1" applyBorder="1">
      <alignment vertical="center"/>
    </xf>
    <xf numFmtId="176" fontId="0" fillId="3" borderId="46" xfId="0" applyNumberFormat="1" applyFill="1" applyBorder="1">
      <alignment vertical="center"/>
    </xf>
    <xf numFmtId="176" fontId="0" fillId="3" borderId="71" xfId="0" applyNumberFormat="1" applyFill="1" applyBorder="1">
      <alignment vertical="center"/>
    </xf>
    <xf numFmtId="0" fontId="3" fillId="52" borderId="90" xfId="0" applyFont="1" applyFill="1" applyBorder="1" applyAlignment="1">
      <alignment horizontal="center" vertical="center"/>
    </xf>
    <xf numFmtId="0" fontId="3" fillId="52" borderId="2" xfId="0" applyFont="1" applyFill="1" applyBorder="1" applyAlignment="1">
      <alignment horizontal="center" vertical="center"/>
    </xf>
    <xf numFmtId="0" fontId="0" fillId="2" borderId="0" xfId="0" applyFill="1" applyAlignment="1">
      <alignment horizontal="center" vertical="center"/>
    </xf>
    <xf numFmtId="182" fontId="0" fillId="17" borderId="0" xfId="0" applyNumberFormat="1" applyFill="1">
      <alignment vertical="center"/>
    </xf>
    <xf numFmtId="182" fontId="0" fillId="17" borderId="153" xfId="0" applyNumberFormat="1" applyFill="1" applyBorder="1">
      <alignment vertical="center"/>
    </xf>
    <xf numFmtId="182" fontId="0" fillId="10" borderId="0" xfId="0" applyNumberFormat="1" applyFill="1">
      <alignment vertical="center"/>
    </xf>
    <xf numFmtId="182" fontId="0" fillId="10" borderId="153" xfId="0" applyNumberFormat="1" applyFill="1" applyBorder="1">
      <alignment vertical="center"/>
    </xf>
    <xf numFmtId="182" fontId="0" fillId="28" borderId="0" xfId="0" applyNumberFormat="1" applyFill="1" applyAlignment="1">
      <alignment horizontal="right" vertical="center"/>
    </xf>
    <xf numFmtId="0" fontId="0" fillId="10" borderId="0" xfId="0" applyFill="1" applyAlignment="1">
      <alignment horizontal="right" vertical="center"/>
    </xf>
    <xf numFmtId="182" fontId="0" fillId="10" borderId="0" xfId="0" applyNumberFormat="1" applyFill="1" applyAlignment="1">
      <alignment horizontal="right" vertical="center"/>
    </xf>
    <xf numFmtId="182" fontId="0" fillId="5" borderId="173" xfId="0" applyNumberFormat="1" applyFill="1" applyBorder="1" applyAlignment="1">
      <alignment horizontal="right" vertical="center"/>
    </xf>
    <xf numFmtId="0" fontId="0" fillId="5" borderId="0" xfId="0" applyFill="1" applyAlignment="1">
      <alignment horizontal="right" vertical="center"/>
    </xf>
    <xf numFmtId="182" fontId="0" fillId="28" borderId="173" xfId="0" applyNumberFormat="1" applyFill="1" applyBorder="1" applyAlignment="1">
      <alignment horizontal="right" vertical="center"/>
    </xf>
    <xf numFmtId="0" fontId="0" fillId="17" borderId="0" xfId="0" applyFill="1" applyAlignment="1">
      <alignment horizontal="right" vertical="center"/>
    </xf>
    <xf numFmtId="182" fontId="0" fillId="17" borderId="0" xfId="0" applyNumberFormat="1" applyFill="1" applyAlignment="1">
      <alignment horizontal="right" vertical="center"/>
    </xf>
    <xf numFmtId="0" fontId="0" fillId="4" borderId="173" xfId="0" applyFill="1" applyBorder="1" applyAlignment="1">
      <alignment horizontal="right" vertical="center"/>
    </xf>
    <xf numFmtId="0" fontId="0" fillId="4" borderId="0" xfId="0" applyFill="1" applyAlignment="1">
      <alignment horizontal="right" vertical="center"/>
    </xf>
    <xf numFmtId="182" fontId="0" fillId="4" borderId="0" xfId="0" applyNumberFormat="1" applyFill="1" applyAlignment="1">
      <alignment horizontal="right" vertical="center"/>
    </xf>
    <xf numFmtId="181" fontId="49" fillId="38" borderId="0" xfId="0" applyNumberFormat="1" applyFont="1" applyFill="1">
      <alignment vertical="center"/>
    </xf>
    <xf numFmtId="176" fontId="29" fillId="31" borderId="159" xfId="2" applyNumberFormat="1" applyBorder="1">
      <alignment vertical="center"/>
    </xf>
    <xf numFmtId="176" fontId="29" fillId="31" borderId="29" xfId="2" applyNumberFormat="1" applyBorder="1">
      <alignment vertical="center"/>
    </xf>
    <xf numFmtId="176" fontId="29" fillId="31" borderId="160" xfId="2" applyNumberFormat="1" applyBorder="1">
      <alignment vertical="center"/>
    </xf>
    <xf numFmtId="176" fontId="29" fillId="31" borderId="161" xfId="2" applyNumberFormat="1" applyBorder="1">
      <alignment vertical="center"/>
    </xf>
    <xf numFmtId="176" fontId="29" fillId="31" borderId="162" xfId="2" applyNumberFormat="1" applyBorder="1">
      <alignment vertical="center"/>
    </xf>
    <xf numFmtId="176" fontId="29" fillId="31" borderId="163" xfId="2" applyNumberFormat="1" applyBorder="1">
      <alignment vertical="center"/>
    </xf>
    <xf numFmtId="176" fontId="29" fillId="31" borderId="164" xfId="2" applyNumberFormat="1" applyBorder="1">
      <alignment vertical="center"/>
    </xf>
    <xf numFmtId="176" fontId="29" fillId="31" borderId="109" xfId="2" applyNumberFormat="1" applyBorder="1">
      <alignment vertical="center"/>
    </xf>
    <xf numFmtId="0" fontId="0" fillId="0" borderId="63" xfId="0" applyBorder="1">
      <alignment vertical="center"/>
    </xf>
    <xf numFmtId="179" fontId="3" fillId="35" borderId="187" xfId="0" applyNumberFormat="1" applyFont="1" applyFill="1" applyBorder="1">
      <alignment vertical="center"/>
    </xf>
    <xf numFmtId="179" fontId="3" fillId="35" borderId="188" xfId="0" applyNumberFormat="1" applyFont="1" applyFill="1" applyBorder="1">
      <alignment vertical="center"/>
    </xf>
    <xf numFmtId="179" fontId="3" fillId="35" borderId="189" xfId="0" applyNumberFormat="1" applyFont="1" applyFill="1" applyBorder="1">
      <alignment vertical="center"/>
    </xf>
    <xf numFmtId="0" fontId="0" fillId="0" borderId="130" xfId="0" applyBorder="1">
      <alignment vertical="center"/>
    </xf>
    <xf numFmtId="0" fontId="0" fillId="0" borderId="187" xfId="0" applyBorder="1">
      <alignment vertical="center"/>
    </xf>
    <xf numFmtId="0" fontId="0" fillId="0" borderId="129" xfId="0" applyBorder="1">
      <alignment vertical="center"/>
    </xf>
    <xf numFmtId="0" fontId="14" fillId="46" borderId="175" xfId="0" applyFont="1" applyFill="1" applyBorder="1">
      <alignment vertical="center"/>
    </xf>
    <xf numFmtId="0" fontId="13" fillId="46" borderId="175" xfId="0" applyFont="1" applyFill="1" applyBorder="1">
      <alignment vertical="center"/>
    </xf>
    <xf numFmtId="0" fontId="14" fillId="46" borderId="175" xfId="0" applyFont="1" applyFill="1" applyBorder="1" applyAlignment="1">
      <alignment vertical="center" wrapText="1"/>
    </xf>
    <xf numFmtId="184" fontId="14" fillId="46" borderId="175" xfId="0" applyNumberFormat="1" applyFont="1" applyFill="1" applyBorder="1">
      <alignment vertical="center"/>
    </xf>
    <xf numFmtId="49" fontId="0" fillId="26" borderId="174" xfId="0" applyNumberFormat="1" applyFill="1" applyBorder="1" applyAlignment="1">
      <alignment horizontal="center" vertical="center"/>
    </xf>
    <xf numFmtId="178" fontId="0" fillId="2" borderId="179" xfId="0" applyNumberFormat="1" applyFill="1" applyBorder="1">
      <alignment vertical="center"/>
    </xf>
    <xf numFmtId="182" fontId="0" fillId="26" borderId="190" xfId="0" applyNumberFormat="1" applyFill="1" applyBorder="1">
      <alignment vertical="center"/>
    </xf>
    <xf numFmtId="181" fontId="0" fillId="26" borderId="190" xfId="0" applyNumberFormat="1" applyFill="1" applyBorder="1">
      <alignment vertical="center"/>
    </xf>
    <xf numFmtId="181" fontId="0" fillId="2" borderId="190" xfId="0" applyNumberFormat="1" applyFill="1" applyBorder="1">
      <alignment vertical="center"/>
    </xf>
    <xf numFmtId="178" fontId="0" fillId="2" borderId="190" xfId="0" applyNumberFormat="1" applyFill="1" applyBorder="1">
      <alignment vertical="center"/>
    </xf>
    <xf numFmtId="177" fontId="1" fillId="25" borderId="191" xfId="0" applyNumberFormat="1" applyFont="1" applyFill="1" applyBorder="1" applyAlignment="1">
      <alignment horizontal="right" vertical="center"/>
    </xf>
    <xf numFmtId="177" fontId="1" fillId="25" borderId="192" xfId="0" applyNumberFormat="1" applyFont="1" applyFill="1" applyBorder="1" applyAlignment="1">
      <alignment horizontal="right" vertical="center"/>
    </xf>
    <xf numFmtId="177" fontId="1" fillId="25" borderId="193" xfId="0" applyNumberFormat="1" applyFont="1" applyFill="1" applyBorder="1" applyAlignment="1">
      <alignment horizontal="right" vertical="center"/>
    </xf>
    <xf numFmtId="22" fontId="0" fillId="0" borderId="0" xfId="0" applyNumberFormat="1">
      <alignment vertical="center"/>
    </xf>
    <xf numFmtId="0" fontId="66" fillId="20" borderId="0" xfId="0" applyFont="1" applyFill="1">
      <alignment vertical="center"/>
    </xf>
    <xf numFmtId="177" fontId="0" fillId="15" borderId="0" xfId="0" applyNumberFormat="1" applyFill="1">
      <alignment vertical="center"/>
    </xf>
    <xf numFmtId="176" fontId="0" fillId="5" borderId="152" xfId="0" applyNumberFormat="1" applyFill="1" applyBorder="1">
      <alignment vertical="center"/>
    </xf>
    <xf numFmtId="0" fontId="0" fillId="54" borderId="0" xfId="0" applyFont="1" applyFill="1">
      <alignment vertical="center"/>
    </xf>
    <xf numFmtId="0" fontId="0" fillId="54" borderId="0" xfId="0" applyFill="1">
      <alignment vertical="center"/>
    </xf>
    <xf numFmtId="0" fontId="0" fillId="54" borderId="56" xfId="0" applyFill="1" applyBorder="1">
      <alignment vertical="center"/>
    </xf>
    <xf numFmtId="0" fontId="0" fillId="0" borderId="0" xfId="0" applyFill="1" applyBorder="1" applyAlignment="1">
      <alignment horizontal="center" vertical="center"/>
    </xf>
    <xf numFmtId="0" fontId="0" fillId="8" borderId="194" xfId="0" applyFill="1" applyBorder="1">
      <alignment vertical="center"/>
    </xf>
    <xf numFmtId="0" fontId="3" fillId="41" borderId="81" xfId="0" applyFont="1" applyFill="1" applyBorder="1">
      <alignment vertical="center"/>
    </xf>
    <xf numFmtId="0" fontId="19" fillId="20" borderId="0" xfId="0" applyFont="1" applyFill="1" applyAlignment="1">
      <alignment vertical="center" wrapText="1"/>
    </xf>
    <xf numFmtId="0" fontId="0" fillId="20" borderId="0" xfId="0" applyFill="1" applyAlignment="1">
      <alignment horizontal="center" vertical="center" wrapText="1"/>
    </xf>
    <xf numFmtId="0" fontId="0" fillId="20" borderId="0" xfId="0" applyFill="1" applyAlignment="1">
      <alignment horizontal="center" vertical="center"/>
    </xf>
    <xf numFmtId="177" fontId="6" fillId="12" borderId="0" xfId="0" applyNumberFormat="1" applyFont="1" applyFill="1">
      <alignment vertical="center"/>
    </xf>
    <xf numFmtId="180" fontId="47" fillId="0" borderId="22" xfId="0" applyNumberFormat="1" applyFont="1" applyBorder="1">
      <alignment vertical="center"/>
    </xf>
    <xf numFmtId="177" fontId="47" fillId="0" borderId="22" xfId="0" applyNumberFormat="1" applyFont="1" applyBorder="1">
      <alignment vertical="center"/>
    </xf>
    <xf numFmtId="177" fontId="47" fillId="0" borderId="22" xfId="0" applyNumberFormat="1" applyFont="1" applyBorder="1" applyAlignment="1">
      <alignment horizontal="center" vertical="center"/>
    </xf>
    <xf numFmtId="177" fontId="0" fillId="26" borderId="0" xfId="0" applyNumberFormat="1" applyFill="1" applyAlignment="1">
      <alignment horizontal="right" vertical="center"/>
    </xf>
    <xf numFmtId="177" fontId="50" fillId="16" borderId="22" xfId="0" applyNumberFormat="1" applyFont="1" applyFill="1" applyBorder="1">
      <alignment vertical="center"/>
    </xf>
    <xf numFmtId="177" fontId="0" fillId="12" borderId="0" xfId="0" applyNumberFormat="1" applyFill="1">
      <alignment vertical="center"/>
    </xf>
    <xf numFmtId="0" fontId="0" fillId="2" borderId="10" xfId="0" applyFill="1" applyBorder="1" applyAlignment="1">
      <alignment horizontal="center" vertical="center"/>
    </xf>
    <xf numFmtId="0" fontId="0" fillId="2" borderId="19" xfId="0" applyFill="1" applyBorder="1" applyAlignment="1">
      <alignment horizontal="center" vertical="center"/>
    </xf>
    <xf numFmtId="0" fontId="0" fillId="2" borderId="165" xfId="0" applyFill="1" applyBorder="1" applyAlignment="1">
      <alignment horizontal="center" vertical="center"/>
    </xf>
    <xf numFmtId="49" fontId="0" fillId="0" borderId="0" xfId="0" applyNumberFormat="1" applyAlignment="1">
      <alignment horizontal="center" vertical="center"/>
    </xf>
    <xf numFmtId="0" fontId="4" fillId="0" borderId="0" xfId="1" applyAlignment="1">
      <alignment horizontal="center" vertical="center"/>
    </xf>
    <xf numFmtId="176" fontId="0" fillId="0" borderId="0" xfId="0" applyNumberFormat="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69" fillId="0" borderId="0" xfId="0" applyFont="1">
      <alignment vertical="center"/>
    </xf>
    <xf numFmtId="176" fontId="0" fillId="16" borderId="0" xfId="0" applyNumberFormat="1" applyFill="1" applyAlignment="1">
      <alignment horizontal="center" vertical="center"/>
    </xf>
    <xf numFmtId="0" fontId="0" fillId="16" borderId="0" xfId="0" applyFill="1" applyAlignment="1">
      <alignment horizontal="center" vertical="center"/>
    </xf>
    <xf numFmtId="10" fontId="0" fillId="4" borderId="0" xfId="0" applyNumberFormat="1" applyFill="1" applyAlignment="1">
      <alignment horizontal="center" vertical="center"/>
    </xf>
    <xf numFmtId="10" fontId="0" fillId="3" borderId="0" xfId="0" applyNumberFormat="1" applyFill="1" applyAlignment="1">
      <alignment horizontal="center" vertical="center"/>
    </xf>
    <xf numFmtId="9" fontId="0" fillId="5" borderId="0" xfId="0" applyNumberFormat="1" applyFill="1">
      <alignment vertical="center"/>
    </xf>
    <xf numFmtId="10" fontId="21" fillId="9" borderId="66" xfId="0" applyNumberFormat="1" applyFont="1" applyFill="1" applyBorder="1">
      <alignment vertical="center"/>
    </xf>
    <xf numFmtId="10" fontId="21" fillId="2" borderId="67" xfId="0" applyNumberFormat="1" applyFont="1" applyFill="1" applyBorder="1">
      <alignment vertical="center"/>
    </xf>
    <xf numFmtId="10" fontId="21" fillId="17" borderId="68" xfId="0" applyNumberFormat="1" applyFont="1" applyFill="1" applyBorder="1">
      <alignment vertical="center"/>
    </xf>
    <xf numFmtId="10" fontId="21" fillId="17" borderId="84" xfId="0" applyNumberFormat="1" applyFont="1" applyFill="1" applyBorder="1">
      <alignment vertical="center"/>
    </xf>
    <xf numFmtId="10" fontId="21" fillId="2" borderId="69" xfId="0" applyNumberFormat="1" applyFont="1" applyFill="1" applyBorder="1">
      <alignment vertical="center"/>
    </xf>
    <xf numFmtId="10" fontId="21" fillId="17" borderId="86" xfId="0" applyNumberFormat="1" applyFont="1" applyFill="1" applyBorder="1">
      <alignment vertical="center"/>
    </xf>
    <xf numFmtId="10" fontId="21" fillId="17" borderId="87" xfId="0" applyNumberFormat="1" applyFont="1" applyFill="1" applyBorder="1">
      <alignment vertical="center"/>
    </xf>
    <xf numFmtId="10" fontId="21" fillId="2" borderId="74" xfId="0" applyNumberFormat="1" applyFont="1" applyFill="1" applyBorder="1">
      <alignment vertical="center"/>
    </xf>
    <xf numFmtId="0" fontId="0" fillId="0" borderId="0" xfId="0" applyAlignment="1">
      <alignment horizontal="right" vertical="center"/>
    </xf>
    <xf numFmtId="0" fontId="0" fillId="9" borderId="175" xfId="0" applyFill="1" applyBorder="1" applyAlignment="1">
      <alignment horizontal="center" vertical="center"/>
    </xf>
    <xf numFmtId="0" fontId="67" fillId="0" borderId="0" xfId="0" applyFont="1" applyAlignment="1">
      <alignment horizontal="center" vertical="center"/>
    </xf>
    <xf numFmtId="10" fontId="0" fillId="9" borderId="177" xfId="0" applyNumberFormat="1" applyFill="1" applyBorder="1" applyAlignment="1">
      <alignment horizontal="center" vertical="center"/>
    </xf>
    <xf numFmtId="10" fontId="0" fillId="17" borderId="175" xfId="0" applyNumberFormat="1" applyFill="1" applyBorder="1" applyAlignment="1">
      <alignment horizontal="center" vertical="center"/>
    </xf>
    <xf numFmtId="0" fontId="0" fillId="17" borderId="177" xfId="0" applyFill="1" applyBorder="1" applyAlignment="1">
      <alignment horizontal="center" vertical="center"/>
    </xf>
    <xf numFmtId="10" fontId="0" fillId="16" borderId="159" xfId="0" applyNumberFormat="1" applyFill="1" applyBorder="1" applyAlignment="1">
      <alignment horizontal="center" vertical="center"/>
    </xf>
    <xf numFmtId="10" fontId="0" fillId="16" borderId="160" xfId="0" applyNumberFormat="1" applyFill="1" applyBorder="1" applyAlignment="1">
      <alignment horizontal="center" vertical="center"/>
    </xf>
    <xf numFmtId="10" fontId="0" fillId="0" borderId="161" xfId="0" applyNumberFormat="1" applyBorder="1" applyAlignment="1">
      <alignment horizontal="center" vertical="center"/>
    </xf>
    <xf numFmtId="10" fontId="0" fillId="0" borderId="162" xfId="0" applyNumberFormat="1" applyBorder="1" applyAlignment="1">
      <alignment horizontal="center" vertical="center"/>
    </xf>
    <xf numFmtId="10" fontId="0" fillId="16" borderId="163" xfId="0" applyNumberFormat="1" applyFill="1" applyBorder="1" applyAlignment="1">
      <alignment horizontal="center" vertical="center"/>
    </xf>
    <xf numFmtId="10" fontId="0" fillId="0" borderId="109" xfId="0" applyNumberFormat="1" applyBorder="1" applyAlignment="1">
      <alignment horizontal="center" vertical="center"/>
    </xf>
    <xf numFmtId="176" fontId="0" fillId="0" borderId="0" xfId="0" applyNumberFormat="1" applyFont="1" applyFill="1" applyAlignment="1">
      <alignment horizontal="center" vertical="center"/>
    </xf>
    <xf numFmtId="176" fontId="0" fillId="9" borderId="0" xfId="0" applyNumberFormat="1" applyFill="1" applyAlignment="1">
      <alignment horizontal="center" vertical="center"/>
    </xf>
    <xf numFmtId="10" fontId="0" fillId="16" borderId="195" xfId="0" applyNumberFormat="1" applyFill="1" applyBorder="1" applyAlignment="1">
      <alignment horizontal="center" vertical="center"/>
    </xf>
    <xf numFmtId="0" fontId="0" fillId="0" borderId="0" xfId="0" applyFont="1" applyFill="1">
      <alignment vertical="center"/>
    </xf>
    <xf numFmtId="0" fontId="0" fillId="0" borderId="0" xfId="0" applyFont="1" applyFill="1" applyBorder="1">
      <alignment vertical="center"/>
    </xf>
    <xf numFmtId="179" fontId="0" fillId="3" borderId="0" xfId="0" applyNumberFormat="1" applyFill="1">
      <alignment vertical="center"/>
    </xf>
    <xf numFmtId="9" fontId="0" fillId="2" borderId="0" xfId="0" applyNumberFormat="1" applyFill="1">
      <alignment vertical="center"/>
    </xf>
    <xf numFmtId="182" fontId="0" fillId="3" borderId="0" xfId="0" applyNumberFormat="1" applyFill="1" applyAlignment="1">
      <alignment horizontal="center" vertical="center"/>
    </xf>
    <xf numFmtId="182" fontId="0" fillId="9" borderId="0" xfId="0" applyNumberFormat="1" applyFill="1" applyAlignment="1">
      <alignment horizontal="center" vertical="center"/>
    </xf>
    <xf numFmtId="182" fontId="0" fillId="16" borderId="77" xfId="0" applyNumberFormat="1" applyFill="1" applyBorder="1" applyAlignment="1">
      <alignment horizontal="center" vertical="center"/>
    </xf>
    <xf numFmtId="182" fontId="0" fillId="16" borderId="78" xfId="0" applyNumberFormat="1" applyFill="1" applyBorder="1" applyAlignment="1">
      <alignment horizontal="center" vertical="center"/>
    </xf>
    <xf numFmtId="182" fontId="0" fillId="16" borderId="115" xfId="0" applyNumberFormat="1" applyFill="1" applyBorder="1" applyAlignment="1">
      <alignment horizontal="center" vertical="center"/>
    </xf>
    <xf numFmtId="0" fontId="4" fillId="0" borderId="195" xfId="1" applyBorder="1" applyAlignment="1">
      <alignment horizontal="center" vertical="center"/>
    </xf>
    <xf numFmtId="0" fontId="0" fillId="38" borderId="0" xfId="0" applyFill="1" applyAlignment="1">
      <alignment horizontal="center" vertical="center"/>
    </xf>
    <xf numFmtId="176" fontId="0" fillId="10" borderId="0" xfId="0" applyNumberFormat="1" applyFill="1">
      <alignment vertical="center"/>
    </xf>
    <xf numFmtId="0" fontId="0" fillId="16" borderId="0" xfId="0" applyFill="1" applyAlignment="1">
      <alignment vertical="center" wrapText="1"/>
    </xf>
    <xf numFmtId="0" fontId="12" fillId="30" borderId="167" xfId="0" applyFont="1" applyFill="1" applyBorder="1" applyAlignment="1">
      <alignment horizontal="center" vertical="center"/>
    </xf>
    <xf numFmtId="0" fontId="0" fillId="39" borderId="0" xfId="0" applyFill="1" applyAlignment="1">
      <alignment horizontal="center" vertical="center"/>
    </xf>
    <xf numFmtId="0" fontId="0" fillId="39" borderId="169" xfId="0" applyFill="1" applyBorder="1" applyAlignment="1">
      <alignment horizontal="center" vertical="center"/>
    </xf>
    <xf numFmtId="176" fontId="0" fillId="39" borderId="0" xfId="0" applyNumberFormat="1" applyFill="1" applyAlignment="1">
      <alignment horizontal="center" vertical="center"/>
    </xf>
    <xf numFmtId="176" fontId="0" fillId="39" borderId="169" xfId="0" applyNumberFormat="1" applyFill="1" applyBorder="1" applyAlignment="1">
      <alignment horizontal="center" vertical="center"/>
    </xf>
    <xf numFmtId="0" fontId="0" fillId="39" borderId="182" xfId="0" applyFill="1" applyBorder="1" applyAlignment="1">
      <alignment horizontal="center" vertical="center"/>
    </xf>
    <xf numFmtId="0" fontId="0" fillId="39" borderId="196" xfId="0" applyFill="1" applyBorder="1" applyAlignment="1">
      <alignment horizontal="center" vertical="center"/>
    </xf>
    <xf numFmtId="176" fontId="0" fillId="39" borderId="197" xfId="0" applyNumberFormat="1" applyFill="1" applyBorder="1" applyAlignment="1">
      <alignment horizontal="center" vertical="center"/>
    </xf>
    <xf numFmtId="176" fontId="0" fillId="39" borderId="198" xfId="0" applyNumberFormat="1" applyFill="1" applyBorder="1" applyAlignment="1">
      <alignment horizontal="center" vertical="center"/>
    </xf>
    <xf numFmtId="10" fontId="0" fillId="2" borderId="0" xfId="0" applyNumberFormat="1" applyFill="1">
      <alignment vertical="center"/>
    </xf>
    <xf numFmtId="10" fontId="0" fillId="37" borderId="0" xfId="0" applyNumberFormat="1" applyFill="1">
      <alignment vertical="center"/>
    </xf>
    <xf numFmtId="0" fontId="0" fillId="0" borderId="0" xfId="0" applyAlignment="1">
      <alignment vertical="center" wrapText="1"/>
    </xf>
    <xf numFmtId="0" fontId="0" fillId="37" borderId="0" xfId="0" applyFill="1">
      <alignment vertical="center"/>
    </xf>
    <xf numFmtId="0" fontId="0" fillId="0" borderId="0" xfId="0" applyAlignment="1"/>
    <xf numFmtId="188" fontId="0" fillId="0" borderId="0" xfId="0" applyNumberFormat="1" applyAlignment="1"/>
    <xf numFmtId="4" fontId="0" fillId="0" borderId="0" xfId="0" applyNumberFormat="1" applyAlignment="1"/>
    <xf numFmtId="8" fontId="0" fillId="0" borderId="0" xfId="0" applyNumberFormat="1">
      <alignment vertical="center"/>
    </xf>
    <xf numFmtId="189" fontId="0" fillId="0" borderId="0" xfId="0" applyNumberFormat="1">
      <alignment vertical="center"/>
    </xf>
    <xf numFmtId="0" fontId="79" fillId="0" borderId="0" xfId="0" applyFont="1">
      <alignment vertical="center"/>
    </xf>
    <xf numFmtId="177" fontId="3" fillId="58" borderId="15" xfId="0" applyNumberFormat="1" applyFont="1" applyFill="1" applyBorder="1">
      <alignment vertical="center"/>
    </xf>
    <xf numFmtId="0" fontId="0" fillId="38" borderId="0" xfId="0" applyFill="1">
      <alignment vertical="center"/>
    </xf>
    <xf numFmtId="190" fontId="0" fillId="0" borderId="0" xfId="0" applyNumberFormat="1" applyAlignment="1"/>
    <xf numFmtId="10" fontId="0" fillId="0" borderId="0" xfId="4" applyNumberFormat="1" applyFont="1" applyAlignment="1"/>
    <xf numFmtId="191" fontId="0" fillId="0" borderId="0" xfId="3" applyNumberFormat="1" applyFont="1" applyAlignment="1"/>
    <xf numFmtId="0" fontId="77" fillId="0" borderId="0" xfId="7" applyAlignment="1"/>
    <xf numFmtId="0" fontId="77" fillId="2" borderId="0" xfId="7" applyFill="1" applyAlignment="1"/>
    <xf numFmtId="0" fontId="80" fillId="0" borderId="200" xfId="0" applyFont="1" applyBorder="1" applyAlignment="1">
      <alignment horizontal="left" wrapText="1"/>
    </xf>
    <xf numFmtId="0" fontId="80" fillId="0" borderId="200" xfId="0" applyFont="1" applyBorder="1" applyAlignment="1">
      <alignment horizontal="right" wrapText="1"/>
    </xf>
    <xf numFmtId="190" fontId="80" fillId="0" borderId="200" xfId="0" applyNumberFormat="1" applyFont="1" applyBorder="1" applyAlignment="1">
      <alignment horizontal="right" wrapText="1"/>
    </xf>
    <xf numFmtId="0" fontId="80" fillId="0" borderId="200" xfId="0" applyFont="1" applyBorder="1" applyAlignment="1">
      <alignment horizontal="center" wrapText="1"/>
    </xf>
    <xf numFmtId="10" fontId="80" fillId="0" borderId="200" xfId="0" applyNumberFormat="1" applyFont="1" applyBorder="1" applyAlignment="1">
      <alignment horizontal="right" wrapText="1"/>
    </xf>
    <xf numFmtId="191" fontId="80" fillId="0" borderId="200" xfId="3" applyNumberFormat="1" applyFont="1" applyBorder="1" applyAlignment="1">
      <alignment horizontal="right" wrapText="1"/>
    </xf>
    <xf numFmtId="0" fontId="80" fillId="0" borderId="0" xfId="0" applyFont="1" applyAlignment="1"/>
    <xf numFmtId="0" fontId="75" fillId="55" borderId="199" xfId="5" applyAlignment="1"/>
    <xf numFmtId="0" fontId="81" fillId="56" borderId="201" xfId="6" applyFont="1" applyBorder="1" applyAlignment="1"/>
    <xf numFmtId="190" fontId="80" fillId="0" borderId="0" xfId="0" applyNumberFormat="1" applyFont="1" applyAlignment="1">
      <alignment wrapText="1"/>
    </xf>
    <xf numFmtId="0" fontId="80" fillId="0" borderId="0" xfId="0" applyFont="1" applyAlignment="1">
      <alignment wrapText="1"/>
    </xf>
    <xf numFmtId="192" fontId="0" fillId="0" borderId="0" xfId="0" applyNumberFormat="1" applyAlignment="1"/>
    <xf numFmtId="0" fontId="76" fillId="56" borderId="199" xfId="6" applyAlignment="1"/>
    <xf numFmtId="191" fontId="80" fillId="0" borderId="0" xfId="3" applyNumberFormat="1" applyFont="1" applyAlignment="1">
      <alignment wrapText="1"/>
    </xf>
    <xf numFmtId="191" fontId="80" fillId="0" borderId="0" xfId="3" applyNumberFormat="1" applyFont="1" applyAlignment="1"/>
    <xf numFmtId="0" fontId="75" fillId="55" borderId="0" xfId="5" applyBorder="1" applyAlignment="1"/>
    <xf numFmtId="188" fontId="82" fillId="0" borderId="0" xfId="0" applyNumberFormat="1" applyFont="1">
      <alignment vertical="center"/>
    </xf>
    <xf numFmtId="0" fontId="0" fillId="33" borderId="0" xfId="0" applyFill="1" applyAlignment="1">
      <alignment horizontal="right" vertical="top"/>
    </xf>
    <xf numFmtId="0" fontId="89" fillId="0" borderId="0" xfId="0" applyFont="1" applyFill="1" applyBorder="1">
      <alignment vertical="center"/>
    </xf>
    <xf numFmtId="0" fontId="89" fillId="0" borderId="0" xfId="0" applyFont="1">
      <alignment vertical="center"/>
    </xf>
    <xf numFmtId="0" fontId="89" fillId="0" borderId="0" xfId="0" applyFont="1" applyFill="1" applyBorder="1" applyAlignment="1">
      <alignment horizontal="center" vertical="center"/>
    </xf>
    <xf numFmtId="0" fontId="3" fillId="0" borderId="0" xfId="0" applyFont="1" applyFill="1" applyBorder="1">
      <alignment vertical="center"/>
    </xf>
    <xf numFmtId="0" fontId="0" fillId="0" borderId="182" xfId="0" applyBorder="1">
      <alignment vertical="center"/>
    </xf>
    <xf numFmtId="0" fontId="0" fillId="0" borderId="202" xfId="0" applyBorder="1">
      <alignment vertical="center"/>
    </xf>
    <xf numFmtId="0" fontId="0" fillId="0" borderId="202" xfId="0" applyFill="1" applyBorder="1">
      <alignment vertical="center"/>
    </xf>
    <xf numFmtId="0" fontId="0" fillId="0" borderId="183" xfId="0" applyBorder="1">
      <alignment vertical="center"/>
    </xf>
    <xf numFmtId="0" fontId="0" fillId="0" borderId="203" xfId="0" applyBorder="1">
      <alignment vertical="center"/>
    </xf>
    <xf numFmtId="0" fontId="0" fillId="0" borderId="204" xfId="0" applyBorder="1">
      <alignment vertical="center"/>
    </xf>
    <xf numFmtId="0" fontId="0" fillId="0" borderId="197" xfId="0" applyBorder="1">
      <alignment vertical="center"/>
    </xf>
    <xf numFmtId="0" fontId="0" fillId="0" borderId="205" xfId="0" applyBorder="1">
      <alignment vertical="center"/>
    </xf>
    <xf numFmtId="0" fontId="0" fillId="0" borderId="205" xfId="0" applyFill="1" applyBorder="1">
      <alignment vertical="center"/>
    </xf>
    <xf numFmtId="0" fontId="0" fillId="0" borderId="206" xfId="0" applyFill="1" applyBorder="1">
      <alignment vertical="center"/>
    </xf>
    <xf numFmtId="0" fontId="35" fillId="0" borderId="0" xfId="0" applyFont="1" applyBorder="1">
      <alignment vertical="center"/>
    </xf>
    <xf numFmtId="0" fontId="35" fillId="0" borderId="0" xfId="0" applyFont="1" applyFill="1" applyBorder="1">
      <alignment vertical="center"/>
    </xf>
    <xf numFmtId="176" fontId="93" fillId="2" borderId="0" xfId="0" applyNumberFormat="1" applyFont="1" applyFill="1" applyBorder="1">
      <alignment vertical="center"/>
    </xf>
    <xf numFmtId="176" fontId="93" fillId="3" borderId="0" xfId="0" applyNumberFormat="1" applyFont="1" applyFill="1" applyBorder="1">
      <alignment vertical="center"/>
    </xf>
    <xf numFmtId="176" fontId="94" fillId="38" borderId="0" xfId="0" applyNumberFormat="1" applyFont="1" applyFill="1" applyBorder="1">
      <alignment vertical="center"/>
    </xf>
    <xf numFmtId="0" fontId="93" fillId="0" borderId="0" xfId="0" applyFont="1" applyBorder="1">
      <alignment vertical="center"/>
    </xf>
    <xf numFmtId="0" fontId="93" fillId="8" borderId="8" xfId="0" applyFont="1" applyFill="1" applyBorder="1">
      <alignment vertical="center"/>
    </xf>
    <xf numFmtId="0" fontId="93" fillId="40" borderId="22" xfId="0" applyFont="1" applyFill="1" applyBorder="1" applyAlignment="1">
      <alignment horizontal="center" vertical="center"/>
    </xf>
    <xf numFmtId="0" fontId="95" fillId="41" borderId="71" xfId="0" applyFont="1" applyFill="1" applyBorder="1">
      <alignment vertical="center"/>
    </xf>
    <xf numFmtId="0" fontId="93" fillId="30" borderId="22" xfId="0" applyFont="1" applyFill="1" applyBorder="1" applyAlignment="1">
      <alignment horizontal="center" vertical="center"/>
    </xf>
    <xf numFmtId="0" fontId="93" fillId="0" borderId="46" xfId="0" applyFont="1" applyBorder="1">
      <alignment vertical="center"/>
    </xf>
    <xf numFmtId="0" fontId="93" fillId="54" borderId="0" xfId="0" applyFont="1" applyFill="1" applyBorder="1">
      <alignment vertical="center"/>
    </xf>
    <xf numFmtId="0" fontId="93" fillId="0" borderId="60" xfId="0" applyFont="1" applyBorder="1">
      <alignment vertical="center"/>
    </xf>
    <xf numFmtId="0" fontId="93" fillId="3" borderId="24" xfId="0" applyFont="1" applyFill="1" applyBorder="1" applyAlignment="1">
      <alignment horizontal="center" vertical="center"/>
    </xf>
    <xf numFmtId="0" fontId="93" fillId="30" borderId="24" xfId="0" applyFont="1" applyFill="1" applyBorder="1" applyAlignment="1">
      <alignment horizontal="center" vertical="center"/>
    </xf>
    <xf numFmtId="0" fontId="93" fillId="0" borderId="23" xfId="0" applyFont="1" applyBorder="1">
      <alignment vertical="center"/>
    </xf>
    <xf numFmtId="0" fontId="93" fillId="0" borderId="0" xfId="0" applyFont="1" applyFill="1" applyBorder="1" applyAlignment="1">
      <alignment horizontal="center" vertical="center"/>
    </xf>
    <xf numFmtId="0" fontId="93" fillId="0" borderId="0" xfId="0" applyFont="1" applyFill="1" applyBorder="1">
      <alignment vertical="center"/>
    </xf>
    <xf numFmtId="0" fontId="93" fillId="3" borderId="22" xfId="0" applyFont="1" applyFill="1" applyBorder="1" applyAlignment="1">
      <alignment horizontal="center" vertical="center"/>
    </xf>
    <xf numFmtId="0" fontId="92" fillId="3" borderId="0" xfId="0" applyFont="1" applyFill="1" applyBorder="1" applyAlignment="1">
      <alignment horizontal="center" vertical="center"/>
    </xf>
    <xf numFmtId="10" fontId="86" fillId="59" borderId="167" xfId="0" applyNumberFormat="1" applyFont="1" applyFill="1" applyBorder="1" applyAlignment="1">
      <alignment vertical="center"/>
    </xf>
    <xf numFmtId="182" fontId="85" fillId="12" borderId="0" xfId="0" applyNumberFormat="1" applyFont="1" applyFill="1" applyBorder="1">
      <alignment vertical="center"/>
    </xf>
    <xf numFmtId="10" fontId="47" fillId="0" borderId="0" xfId="0" applyNumberFormat="1" applyFont="1" applyBorder="1">
      <alignment vertical="center"/>
    </xf>
    <xf numFmtId="177" fontId="1" fillId="11" borderId="0" xfId="0" applyNumberFormat="1" applyFont="1" applyFill="1" applyBorder="1" applyAlignment="1">
      <alignment horizontal="center" wrapText="1"/>
    </xf>
    <xf numFmtId="180" fontId="47" fillId="0" borderId="0" xfId="0" applyNumberFormat="1" applyFont="1" applyBorder="1">
      <alignment vertical="center"/>
    </xf>
    <xf numFmtId="177" fontId="87" fillId="60" borderId="0" xfId="0" applyNumberFormat="1" applyFont="1" applyFill="1" applyBorder="1">
      <alignment vertical="center"/>
    </xf>
    <xf numFmtId="9" fontId="47" fillId="39" borderId="0" xfId="0" applyNumberFormat="1" applyFont="1" applyFill="1" applyBorder="1">
      <alignment vertical="center"/>
    </xf>
    <xf numFmtId="10" fontId="47" fillId="39" borderId="0" xfId="0" applyNumberFormat="1" applyFont="1" applyFill="1" applyBorder="1" applyAlignment="1">
      <alignment vertical="center" wrapText="1"/>
    </xf>
    <xf numFmtId="0" fontId="0" fillId="12" borderId="0" xfId="0" applyFill="1" applyAlignment="1">
      <alignment horizontal="right" vertical="center"/>
    </xf>
    <xf numFmtId="0" fontId="0" fillId="34" borderId="0" xfId="0" applyFont="1" applyFill="1" applyAlignment="1">
      <alignment horizontal="right" vertical="center"/>
    </xf>
    <xf numFmtId="9" fontId="96" fillId="3" borderId="0" xfId="0" applyNumberFormat="1" applyFont="1" applyFill="1" applyAlignment="1">
      <alignment horizontal="right" vertical="center"/>
    </xf>
    <xf numFmtId="9" fontId="96" fillId="3" borderId="167" xfId="0" applyNumberFormat="1" applyFont="1" applyFill="1" applyBorder="1" applyAlignment="1">
      <alignment horizontal="right" vertical="center"/>
    </xf>
    <xf numFmtId="0" fontId="97" fillId="34" borderId="0" xfId="0" applyFont="1" applyFill="1" applyAlignment="1">
      <alignment horizontal="right" vertical="center" wrapText="1"/>
    </xf>
    <xf numFmtId="194" fontId="0" fillId="0" borderId="0" xfId="0" applyNumberFormat="1">
      <alignment vertical="center"/>
    </xf>
    <xf numFmtId="49" fontId="0" fillId="0" borderId="0" xfId="0" applyNumberFormat="1" applyAlignment="1">
      <alignment horizontal="right" vertical="center"/>
    </xf>
    <xf numFmtId="176" fontId="0" fillId="0" borderId="203" xfId="0" applyNumberFormat="1" applyFill="1" applyBorder="1" applyAlignment="1">
      <alignment horizontal="right" vertical="center"/>
    </xf>
    <xf numFmtId="176" fontId="0" fillId="0" borderId="197" xfId="0" applyNumberFormat="1" applyFill="1" applyBorder="1" applyAlignment="1">
      <alignment horizontal="right" vertical="center"/>
    </xf>
    <xf numFmtId="176" fontId="0" fillId="0" borderId="0" xfId="0" applyNumberFormat="1" applyBorder="1">
      <alignment vertical="center"/>
    </xf>
    <xf numFmtId="176" fontId="100" fillId="51" borderId="0" xfId="0" applyNumberFormat="1" applyFont="1" applyFill="1" applyBorder="1" applyAlignment="1">
      <alignment horizontal="center" wrapText="1"/>
    </xf>
    <xf numFmtId="49" fontId="0" fillId="0" borderId="205" xfId="0" applyNumberFormat="1" applyBorder="1" applyAlignment="1">
      <alignment horizontal="right" vertical="center"/>
    </xf>
    <xf numFmtId="176" fontId="100" fillId="61" borderId="0" xfId="0" applyNumberFormat="1" applyFont="1" applyFill="1" applyBorder="1" applyAlignment="1">
      <alignment horizontal="center" wrapText="1"/>
    </xf>
    <xf numFmtId="176" fontId="101" fillId="3" borderId="209" xfId="0" applyNumberFormat="1" applyFont="1" applyFill="1" applyBorder="1" applyAlignment="1">
      <alignment horizontal="center" vertical="center"/>
    </xf>
    <xf numFmtId="176" fontId="101" fillId="3" borderId="210" xfId="0" applyNumberFormat="1" applyFont="1" applyFill="1" applyBorder="1" applyAlignment="1">
      <alignment horizontal="center" vertical="center"/>
    </xf>
    <xf numFmtId="176" fontId="101" fillId="3" borderId="212" xfId="0" applyNumberFormat="1" applyFont="1" applyFill="1" applyBorder="1" applyAlignment="1">
      <alignment horizontal="center" vertical="center"/>
    </xf>
    <xf numFmtId="176" fontId="0" fillId="0" borderId="211" xfId="0" applyNumberFormat="1" applyFill="1" applyBorder="1" applyAlignment="1">
      <alignment horizontal="right" vertical="center"/>
    </xf>
    <xf numFmtId="176" fontId="101" fillId="3" borderId="214" xfId="0" applyNumberFormat="1" applyFont="1" applyFill="1" applyBorder="1" applyAlignment="1">
      <alignment horizontal="center" vertical="center"/>
    </xf>
    <xf numFmtId="49" fontId="0" fillId="0" borderId="213" xfId="0" applyNumberFormat="1" applyBorder="1" applyAlignment="1">
      <alignment horizontal="right" vertical="center"/>
    </xf>
    <xf numFmtId="176" fontId="0" fillId="0" borderId="202" xfId="0" applyNumberFormat="1" applyBorder="1">
      <alignment vertical="center"/>
    </xf>
    <xf numFmtId="176" fontId="0" fillId="0" borderId="215" xfId="0" applyNumberFormat="1" applyBorder="1">
      <alignment vertical="center"/>
    </xf>
    <xf numFmtId="0" fontId="92" fillId="3" borderId="167" xfId="0" applyFont="1" applyFill="1" applyBorder="1" applyAlignment="1">
      <alignment horizontal="center" vertical="center"/>
    </xf>
    <xf numFmtId="0" fontId="103" fillId="0" borderId="202" xfId="0" applyFont="1" applyBorder="1" applyAlignment="1">
      <alignment horizontal="center"/>
    </xf>
    <xf numFmtId="177" fontId="5" fillId="11" borderId="8" xfId="0" applyNumberFormat="1" applyFont="1" applyFill="1" applyBorder="1" applyAlignment="1">
      <alignment horizontal="center" vertical="center"/>
    </xf>
    <xf numFmtId="0" fontId="0" fillId="12" borderId="61" xfId="0" applyFill="1" applyBorder="1">
      <alignment vertical="center"/>
    </xf>
    <xf numFmtId="177" fontId="0" fillId="3" borderId="195" xfId="0" applyNumberFormat="1" applyFill="1" applyBorder="1">
      <alignment vertical="center"/>
    </xf>
    <xf numFmtId="10" fontId="50" fillId="5" borderId="0" xfId="0" applyNumberFormat="1" applyFont="1" applyFill="1">
      <alignment vertical="center"/>
    </xf>
    <xf numFmtId="176" fontId="50" fillId="2" borderId="0" xfId="0" applyNumberFormat="1" applyFont="1" applyFill="1" applyBorder="1">
      <alignment vertical="center"/>
    </xf>
    <xf numFmtId="176" fontId="50" fillId="3" borderId="0" xfId="0" applyNumberFormat="1" applyFont="1" applyFill="1" applyBorder="1">
      <alignment vertical="center"/>
    </xf>
    <xf numFmtId="176" fontId="104" fillId="38" borderId="0" xfId="0" applyNumberFormat="1" applyFont="1" applyFill="1" applyBorder="1">
      <alignment vertical="center"/>
    </xf>
    <xf numFmtId="0" fontId="0" fillId="4" borderId="0" xfId="0" applyFill="1" applyBorder="1">
      <alignment vertical="center"/>
    </xf>
    <xf numFmtId="0" fontId="0" fillId="17" borderId="0" xfId="0" applyFill="1" applyBorder="1">
      <alignment vertical="center"/>
    </xf>
    <xf numFmtId="0" fontId="0" fillId="5" borderId="0" xfId="0" applyFill="1" applyBorder="1">
      <alignment vertical="center"/>
    </xf>
    <xf numFmtId="0" fontId="0" fillId="6" borderId="0" xfId="0" applyFont="1" applyFill="1" applyBorder="1">
      <alignment vertical="center"/>
    </xf>
    <xf numFmtId="188" fontId="74" fillId="4" borderId="0" xfId="8" applyNumberFormat="1" applyFill="1" applyBorder="1" applyAlignment="1">
      <alignment horizontal="right"/>
    </xf>
    <xf numFmtId="182" fontId="74" fillId="4" borderId="0" xfId="8" applyNumberFormat="1" applyFill="1" applyBorder="1" applyAlignment="1"/>
    <xf numFmtId="10" fontId="74" fillId="4" borderId="0" xfId="8" applyNumberFormat="1" applyFill="1" applyBorder="1" applyAlignment="1"/>
    <xf numFmtId="183" fontId="74" fillId="4" borderId="0" xfId="8" applyNumberFormat="1" applyFill="1" applyBorder="1" applyAlignment="1"/>
    <xf numFmtId="189" fontId="74" fillId="4" borderId="0" xfId="8" applyNumberFormat="1" applyFill="1" applyBorder="1" applyAlignment="1"/>
    <xf numFmtId="193" fontId="74" fillId="4" borderId="0" xfId="8" applyNumberFormat="1" applyFill="1" applyBorder="1" applyAlignment="1"/>
    <xf numFmtId="188" fontId="74" fillId="17" borderId="0" xfId="8" applyNumberFormat="1" applyFill="1" applyBorder="1" applyAlignment="1">
      <alignment horizontal="right"/>
    </xf>
    <xf numFmtId="182" fontId="74" fillId="17" borderId="0" xfId="8" applyNumberFormat="1" applyFill="1" applyBorder="1" applyAlignment="1"/>
    <xf numFmtId="10" fontId="74" fillId="17" borderId="0" xfId="8" applyNumberFormat="1" applyFill="1" applyBorder="1" applyAlignment="1"/>
    <xf numFmtId="183" fontId="74" fillId="17" borderId="0" xfId="8" applyNumberFormat="1" applyFill="1" applyBorder="1" applyAlignment="1"/>
    <xf numFmtId="189" fontId="74" fillId="17" borderId="0" xfId="8" applyNumberFormat="1" applyFill="1" applyBorder="1" applyAlignment="1"/>
    <xf numFmtId="193" fontId="74" fillId="17" borderId="0" xfId="8" applyNumberFormat="1" applyFill="1" applyBorder="1" applyAlignment="1"/>
    <xf numFmtId="188" fontId="74" fillId="5" borderId="0" xfId="8" applyNumberFormat="1" applyFill="1" applyBorder="1" applyAlignment="1">
      <alignment horizontal="right"/>
    </xf>
    <xf numFmtId="182" fontId="74" fillId="5" borderId="0" xfId="8" applyNumberFormat="1" applyFill="1" applyBorder="1" applyAlignment="1"/>
    <xf numFmtId="10" fontId="74" fillId="5" borderId="0" xfId="8" applyNumberFormat="1" applyFill="1" applyBorder="1" applyAlignment="1"/>
    <xf numFmtId="183" fontId="74" fillId="5" borderId="0" xfId="8" applyNumberFormat="1" applyFill="1" applyBorder="1" applyAlignment="1"/>
    <xf numFmtId="189" fontId="74" fillId="5" borderId="0" xfId="8" applyNumberFormat="1" applyFill="1" applyBorder="1" applyAlignment="1"/>
    <xf numFmtId="193" fontId="74" fillId="5" borderId="0" xfId="8" applyNumberFormat="1" applyFill="1" applyBorder="1" applyAlignment="1"/>
    <xf numFmtId="188" fontId="74" fillId="6" borderId="0" xfId="8" applyNumberFormat="1" applyFill="1" applyBorder="1" applyAlignment="1">
      <alignment horizontal="right"/>
    </xf>
    <xf numFmtId="182" fontId="74" fillId="6" borderId="0" xfId="8" applyNumberFormat="1" applyFill="1" applyBorder="1" applyAlignment="1"/>
    <xf numFmtId="10" fontId="74" fillId="6" borderId="0" xfId="8" applyNumberFormat="1" applyFill="1" applyBorder="1" applyAlignment="1"/>
    <xf numFmtId="183" fontId="74" fillId="6" borderId="0" xfId="8" applyNumberFormat="1" applyFill="1" applyBorder="1" applyAlignment="1"/>
    <xf numFmtId="189" fontId="74" fillId="6" borderId="0" xfId="8" applyNumberFormat="1" applyFill="1" applyBorder="1" applyAlignment="1"/>
    <xf numFmtId="193" fontId="74" fillId="6" borderId="0" xfId="8" applyNumberFormat="1" applyFill="1" applyBorder="1" applyAlignment="1"/>
    <xf numFmtId="0" fontId="93" fillId="8" borderId="8" xfId="0" applyFont="1" applyFill="1" applyBorder="1" applyAlignment="1">
      <alignment horizontal="center" vertical="center"/>
    </xf>
    <xf numFmtId="0" fontId="0" fillId="30" borderId="0" xfId="0" applyFill="1">
      <alignment vertical="center"/>
    </xf>
    <xf numFmtId="0" fontId="106" fillId="62" borderId="0" xfId="0" applyFont="1" applyFill="1" applyAlignment="1">
      <alignment horizontal="center" vertical="center"/>
    </xf>
    <xf numFmtId="0" fontId="13" fillId="62" borderId="0" xfId="0" applyFont="1" applyFill="1" applyAlignment="1">
      <alignment horizontal="center" vertical="center"/>
    </xf>
    <xf numFmtId="195" fontId="0" fillId="30" borderId="0" xfId="0" applyNumberFormat="1" applyFill="1">
      <alignment vertical="center"/>
    </xf>
    <xf numFmtId="0" fontId="74" fillId="38" borderId="0" xfId="8" applyFill="1">
      <alignment vertical="center"/>
    </xf>
    <xf numFmtId="0" fontId="74" fillId="38" borderId="0" xfId="8" applyFill="1" applyAlignment="1">
      <alignment horizontal="center" vertical="center"/>
    </xf>
    <xf numFmtId="0" fontId="105" fillId="38" borderId="216" xfId="8" applyFont="1" applyFill="1" applyBorder="1">
      <alignment vertical="center"/>
    </xf>
    <xf numFmtId="10" fontId="50" fillId="5" borderId="23" xfId="0" applyNumberFormat="1" applyFont="1" applyFill="1" applyBorder="1">
      <alignment vertical="center"/>
    </xf>
    <xf numFmtId="10" fontId="50" fillId="5" borderId="46" xfId="0" applyNumberFormat="1" applyFont="1" applyFill="1" applyBorder="1">
      <alignment vertical="center"/>
    </xf>
    <xf numFmtId="10" fontId="50" fillId="5" borderId="71" xfId="0" applyNumberFormat="1" applyFont="1" applyFill="1" applyBorder="1">
      <alignment vertical="center"/>
    </xf>
    <xf numFmtId="176" fontId="50" fillId="2" borderId="53" xfId="0" applyNumberFormat="1" applyFont="1" applyFill="1" applyBorder="1">
      <alignment vertical="center"/>
    </xf>
    <xf numFmtId="176" fontId="50" fillId="2" borderId="56" xfId="0" applyNumberFormat="1" applyFont="1" applyFill="1" applyBorder="1">
      <alignment vertical="center"/>
    </xf>
    <xf numFmtId="176" fontId="50" fillId="3" borderId="53" xfId="0" applyNumberFormat="1" applyFont="1" applyFill="1" applyBorder="1">
      <alignment vertical="center"/>
    </xf>
    <xf numFmtId="176" fontId="50" fillId="3" borderId="56" xfId="0" applyNumberFormat="1" applyFont="1" applyFill="1" applyBorder="1">
      <alignment vertical="center"/>
    </xf>
    <xf numFmtId="196" fontId="104" fillId="38" borderId="60" xfId="0" applyNumberFormat="1" applyFont="1" applyFill="1" applyBorder="1">
      <alignment vertical="center"/>
    </xf>
    <xf numFmtId="0" fontId="93" fillId="0" borderId="0" xfId="0" applyFont="1" applyFill="1" applyBorder="1" applyAlignment="1">
      <alignment vertical="center"/>
    </xf>
    <xf numFmtId="0" fontId="0" fillId="63" borderId="71" xfId="0" applyFill="1" applyBorder="1" applyAlignment="1">
      <alignment vertical="center"/>
    </xf>
    <xf numFmtId="0" fontId="0" fillId="63" borderId="0" xfId="0" applyFill="1" applyBorder="1">
      <alignment vertical="center"/>
    </xf>
    <xf numFmtId="0" fontId="0" fillId="0" borderId="203" xfId="0" applyFill="1" applyBorder="1">
      <alignment vertical="center"/>
    </xf>
    <xf numFmtId="176" fontId="93" fillId="0" borderId="0" xfId="0" applyNumberFormat="1" applyFont="1" applyFill="1" applyBorder="1">
      <alignment vertical="center"/>
    </xf>
    <xf numFmtId="176" fontId="94" fillId="0" borderId="0" xfId="0" applyNumberFormat="1" applyFont="1" applyFill="1" applyBorder="1">
      <alignment vertical="center"/>
    </xf>
    <xf numFmtId="0" fontId="91" fillId="54" borderId="0" xfId="0" applyFont="1" applyFill="1" applyBorder="1" applyAlignment="1">
      <alignment vertical="center" wrapText="1"/>
    </xf>
    <xf numFmtId="0" fontId="95" fillId="41" borderId="71" xfId="0" applyFont="1" applyFill="1" applyBorder="1" applyAlignment="1">
      <alignment horizontal="center" vertical="center"/>
    </xf>
    <xf numFmtId="0" fontId="93" fillId="0" borderId="219" xfId="0" applyFont="1" applyFill="1" applyBorder="1" applyAlignment="1">
      <alignment horizontal="center" vertical="center"/>
    </xf>
    <xf numFmtId="0" fontId="93" fillId="0" borderId="220" xfId="0" applyFont="1" applyFill="1" applyBorder="1" applyAlignment="1">
      <alignment horizontal="center" vertical="center"/>
    </xf>
    <xf numFmtId="0" fontId="93" fillId="0" borderId="46" xfId="0" applyFont="1" applyFill="1" applyBorder="1" applyAlignment="1">
      <alignment horizontal="center" vertical="center"/>
    </xf>
    <xf numFmtId="0" fontId="93" fillId="54" borderId="0" xfId="0" applyFont="1" applyFill="1" applyAlignment="1">
      <alignment horizontal="center" vertical="center"/>
    </xf>
    <xf numFmtId="182" fontId="74" fillId="15" borderId="0" xfId="8" applyNumberFormat="1" applyFill="1" applyBorder="1" applyAlignment="1"/>
    <xf numFmtId="10" fontId="74" fillId="15" borderId="0" xfId="8" applyNumberFormat="1" applyFill="1" applyBorder="1" applyAlignment="1"/>
    <xf numFmtId="0" fontId="109" fillId="0" borderId="0" xfId="0" applyFont="1" applyAlignment="1"/>
    <xf numFmtId="9" fontId="0" fillId="0" borderId="0" xfId="4" applyFont="1" applyAlignment="1"/>
    <xf numFmtId="0" fontId="110" fillId="0" borderId="0" xfId="0" applyFont="1" applyAlignment="1"/>
    <xf numFmtId="0" fontId="111" fillId="2" borderId="0" xfId="7" applyFont="1" applyFill="1" applyAlignment="1"/>
    <xf numFmtId="0" fontId="112" fillId="55" borderId="218" xfId="5" applyFont="1" applyBorder="1" applyAlignment="1"/>
    <xf numFmtId="0" fontId="112" fillId="55" borderId="0" xfId="5" applyFont="1" applyBorder="1" applyAlignment="1"/>
    <xf numFmtId="0" fontId="107" fillId="0" borderId="217" xfId="9" applyAlignment="1"/>
    <xf numFmtId="0" fontId="0" fillId="0" borderId="0" xfId="0" applyAlignment="1">
      <alignment wrapText="1"/>
    </xf>
    <xf numFmtId="0" fontId="112" fillId="55" borderId="221" xfId="5" applyFont="1" applyBorder="1" applyAlignment="1">
      <alignment wrapText="1"/>
    </xf>
    <xf numFmtId="0" fontId="77" fillId="0" borderId="0" xfId="7" applyAlignment="1">
      <alignment horizontal="right"/>
    </xf>
    <xf numFmtId="9" fontId="113" fillId="55" borderId="199" xfId="5" applyNumberFormat="1" applyFont="1" applyAlignment="1">
      <alignment horizontal="center"/>
    </xf>
    <xf numFmtId="0" fontId="110" fillId="0" borderId="0" xfId="0" applyFont="1" applyAlignment="1">
      <alignment wrapText="1"/>
    </xf>
    <xf numFmtId="0" fontId="112" fillId="55" borderId="218" xfId="5" quotePrefix="1" applyFont="1" applyBorder="1" applyAlignment="1"/>
    <xf numFmtId="0" fontId="109" fillId="0" borderId="0" xfId="0" applyFont="1" applyAlignment="1">
      <alignment wrapText="1"/>
    </xf>
    <xf numFmtId="0" fontId="80" fillId="0" borderId="200" xfId="0" applyFont="1" applyBorder="1" applyAlignment="1">
      <alignment wrapText="1"/>
    </xf>
    <xf numFmtId="0" fontId="111" fillId="0" borderId="200" xfId="0" applyFont="1" applyBorder="1" applyAlignment="1">
      <alignment wrapText="1"/>
    </xf>
    <xf numFmtId="0" fontId="80" fillId="11" borderId="0" xfId="0" applyFont="1" applyFill="1" applyAlignment="1"/>
    <xf numFmtId="0" fontId="0" fillId="11" borderId="0" xfId="0" applyFill="1" applyAlignment="1"/>
    <xf numFmtId="4" fontId="0" fillId="11" borderId="0" xfId="3" applyNumberFormat="1" applyFont="1" applyFill="1" applyAlignment="1"/>
    <xf numFmtId="4" fontId="0" fillId="0" borderId="0" xfId="3" applyNumberFormat="1" applyFont="1" applyAlignment="1"/>
    <xf numFmtId="0" fontId="112" fillId="0" borderId="0" xfId="0" applyFont="1" applyAlignment="1"/>
    <xf numFmtId="4" fontId="110" fillId="0" borderId="0" xfId="0" applyNumberFormat="1" applyFont="1" applyAlignment="1"/>
    <xf numFmtId="0" fontId="109" fillId="55" borderId="221" xfId="5" applyFont="1" applyBorder="1" applyAlignment="1"/>
    <xf numFmtId="0" fontId="113" fillId="55" borderId="221" xfId="5" applyFont="1" applyBorder="1" applyAlignment="1"/>
    <xf numFmtId="0" fontId="109" fillId="55" borderId="218" xfId="5" applyFont="1" applyBorder="1" applyAlignment="1"/>
    <xf numFmtId="0" fontId="113" fillId="55" borderId="218" xfId="5" applyFont="1" applyBorder="1" applyAlignment="1"/>
    <xf numFmtId="9" fontId="113" fillId="55" borderId="218" xfId="5" quotePrefix="1" applyNumberFormat="1" applyFont="1" applyBorder="1" applyAlignment="1"/>
    <xf numFmtId="0" fontId="75" fillId="55" borderId="218" xfId="5" applyBorder="1" applyAlignment="1"/>
    <xf numFmtId="0" fontId="109" fillId="55" borderId="224" xfId="5" applyFont="1" applyBorder="1" applyAlignment="1"/>
    <xf numFmtId="0" fontId="107" fillId="0" borderId="217" xfId="9" applyAlignment="1">
      <alignment horizontal="right"/>
    </xf>
    <xf numFmtId="0" fontId="114" fillId="0" borderId="0" xfId="7" applyFont="1" applyAlignment="1">
      <alignment horizontal="center"/>
    </xf>
    <xf numFmtId="0" fontId="115" fillId="0" borderId="0" xfId="7" applyFont="1" applyAlignment="1"/>
    <xf numFmtId="0" fontId="77" fillId="0" borderId="0" xfId="7" applyAlignment="1">
      <alignment horizontal="left"/>
    </xf>
    <xf numFmtId="0" fontId="80" fillId="0" borderId="0" xfId="0" applyFont="1" applyAlignment="1">
      <alignment horizontal="center"/>
    </xf>
    <xf numFmtId="0" fontId="75" fillId="2" borderId="0" xfId="5" applyFill="1" applyBorder="1" applyAlignment="1"/>
    <xf numFmtId="4" fontId="80" fillId="0" borderId="0" xfId="0" applyNumberFormat="1" applyFont="1" applyAlignment="1"/>
    <xf numFmtId="0" fontId="116" fillId="0" borderId="0" xfId="7" applyFont="1" applyAlignment="1">
      <alignment horizontal="right"/>
    </xf>
    <xf numFmtId="4" fontId="117" fillId="0" borderId="0" xfId="0" applyNumberFormat="1" applyFont="1" applyAlignment="1"/>
    <xf numFmtId="0" fontId="117" fillId="0" borderId="200" xfId="0" applyFont="1" applyBorder="1" applyAlignment="1">
      <alignment wrapText="1"/>
    </xf>
    <xf numFmtId="0" fontId="110" fillId="11" borderId="0" xfId="0" applyFont="1" applyFill="1" applyAlignment="1"/>
    <xf numFmtId="191" fontId="0" fillId="0" borderId="225" xfId="3" applyNumberFormat="1" applyFont="1" applyBorder="1" applyAlignment="1"/>
    <xf numFmtId="191" fontId="0" fillId="0" borderId="226" xfId="3" applyNumberFormat="1" applyFont="1" applyBorder="1" applyAlignment="1"/>
    <xf numFmtId="191" fontId="0" fillId="0" borderId="227" xfId="3" applyNumberFormat="1" applyFont="1" applyBorder="1" applyAlignment="1"/>
    <xf numFmtId="0" fontId="117" fillId="0" borderId="0" xfId="0" applyFont="1" applyAlignment="1"/>
    <xf numFmtId="9" fontId="47" fillId="0" borderId="22" xfId="0" applyNumberFormat="1" applyFont="1" applyBorder="1">
      <alignment vertical="center"/>
    </xf>
    <xf numFmtId="0" fontId="57" fillId="2" borderId="22" xfId="1" applyFont="1" applyFill="1" applyBorder="1" applyAlignment="1">
      <alignment horizontal="center" vertical="center"/>
    </xf>
    <xf numFmtId="0" fontId="119" fillId="26" borderId="26" xfId="1" applyFont="1" applyFill="1" applyBorder="1" applyAlignment="1">
      <alignment horizontal="center" vertical="center" wrapText="1"/>
    </xf>
    <xf numFmtId="0" fontId="118" fillId="15" borderId="26" xfId="1" applyFont="1" applyFill="1" applyBorder="1" applyAlignment="1">
      <alignment horizontal="center" vertical="center"/>
    </xf>
    <xf numFmtId="0" fontId="119" fillId="15" borderId="26" xfId="1" applyFont="1" applyFill="1" applyBorder="1" applyAlignment="1">
      <alignment horizontal="center" vertical="center" wrapText="1"/>
    </xf>
    <xf numFmtId="0" fontId="20" fillId="38" borderId="0" xfId="0" applyFont="1" applyFill="1" applyAlignment="1">
      <alignment horizontal="center" vertical="center"/>
    </xf>
    <xf numFmtId="0" fontId="68" fillId="38" borderId="0" xfId="0" applyFont="1" applyFill="1" applyAlignment="1">
      <alignment horizontal="center" vertical="center"/>
    </xf>
    <xf numFmtId="0" fontId="118" fillId="64" borderId="26" xfId="1" applyFont="1" applyFill="1" applyBorder="1" applyAlignment="1">
      <alignment horizontal="center" vertical="center"/>
    </xf>
    <xf numFmtId="0" fontId="119" fillId="64" borderId="26" xfId="1" applyFont="1" applyFill="1" applyBorder="1" applyAlignment="1">
      <alignment horizontal="center" vertical="center"/>
    </xf>
    <xf numFmtId="0" fontId="119" fillId="26" borderId="228" xfId="1" applyFont="1" applyFill="1" applyBorder="1" applyAlignment="1">
      <alignment horizontal="center" vertical="center"/>
    </xf>
    <xf numFmtId="0" fontId="0" fillId="28" borderId="230" xfId="0" applyFill="1" applyBorder="1">
      <alignment vertical="center"/>
    </xf>
    <xf numFmtId="0" fontId="0" fillId="28" borderId="230" xfId="0" applyFill="1" applyBorder="1" applyAlignment="1">
      <alignment horizontal="center" vertical="center"/>
    </xf>
    <xf numFmtId="0" fontId="0" fillId="29" borderId="0" xfId="0" applyFill="1" applyAlignment="1">
      <alignment horizontal="center" vertical="center"/>
    </xf>
    <xf numFmtId="0" fontId="0" fillId="29" borderId="92" xfId="0" applyFill="1" applyBorder="1">
      <alignment vertical="center"/>
    </xf>
    <xf numFmtId="0" fontId="0" fillId="29" borderId="92" xfId="0" applyFill="1" applyBorder="1" applyAlignment="1">
      <alignment horizontal="center" vertical="center"/>
    </xf>
    <xf numFmtId="0" fontId="0" fillId="28" borderId="93" xfId="0" applyFill="1" applyBorder="1">
      <alignment vertical="center"/>
    </xf>
    <xf numFmtId="0" fontId="0" fillId="3" borderId="0" xfId="0" applyFill="1" applyAlignment="1">
      <alignment horizontal="center" vertical="center"/>
    </xf>
    <xf numFmtId="0" fontId="0" fillId="30" borderId="15" xfId="0" applyFill="1" applyBorder="1" applyAlignment="1">
      <alignment horizontal="center" vertical="center"/>
    </xf>
    <xf numFmtId="0" fontId="0" fillId="6" borderId="45" xfId="0" applyFill="1" applyBorder="1" applyAlignment="1">
      <alignment horizontal="center" vertical="center"/>
    </xf>
    <xf numFmtId="0" fontId="0" fillId="10" borderId="94" xfId="0" applyFill="1" applyBorder="1" applyAlignment="1">
      <alignment horizontal="center" vertical="center"/>
    </xf>
    <xf numFmtId="0" fontId="0" fillId="3" borderId="94" xfId="0" applyFill="1" applyBorder="1" applyAlignment="1">
      <alignment horizontal="center" vertical="center"/>
    </xf>
    <xf numFmtId="0" fontId="0" fillId="3" borderId="14" xfId="0" applyFill="1" applyBorder="1" applyAlignment="1">
      <alignment horizontal="center" vertical="center"/>
    </xf>
    <xf numFmtId="0" fontId="0" fillId="3" borderId="231" xfId="0" applyFill="1" applyBorder="1" applyAlignment="1">
      <alignment horizontal="center" vertical="center"/>
    </xf>
    <xf numFmtId="0" fontId="0" fillId="16" borderId="93" xfId="0" applyFill="1" applyBorder="1">
      <alignment vertical="center"/>
    </xf>
    <xf numFmtId="0" fontId="0" fillId="29" borderId="232" xfId="0" applyFill="1" applyBorder="1" applyAlignment="1">
      <alignment horizontal="center" vertical="center"/>
    </xf>
    <xf numFmtId="0" fontId="0" fillId="28" borderId="94" xfId="0" applyFill="1" applyBorder="1" applyAlignment="1">
      <alignment horizontal="center" vertical="center"/>
    </xf>
    <xf numFmtId="0" fontId="0" fillId="28" borderId="14" xfId="0" applyFill="1" applyBorder="1" applyAlignment="1">
      <alignment horizontal="center" vertical="center"/>
    </xf>
    <xf numFmtId="0" fontId="0" fillId="28" borderId="93" xfId="0" applyFill="1" applyBorder="1" applyAlignment="1">
      <alignment horizontal="center" vertical="center"/>
    </xf>
    <xf numFmtId="0" fontId="0" fillId="9" borderId="15" xfId="0" applyFill="1" applyBorder="1" applyAlignment="1">
      <alignment horizontal="center" vertical="center"/>
    </xf>
    <xf numFmtId="0" fontId="0" fillId="28" borderId="45" xfId="0" applyFill="1" applyBorder="1" applyAlignment="1">
      <alignment horizontal="center" vertical="center"/>
    </xf>
    <xf numFmtId="0" fontId="0" fillId="5" borderId="94" xfId="0" applyFill="1" applyBorder="1" applyAlignment="1">
      <alignment horizontal="center" vertical="center"/>
    </xf>
    <xf numFmtId="0" fontId="0" fillId="5" borderId="93" xfId="0" applyFill="1" applyBorder="1" applyAlignment="1">
      <alignment horizontal="center" vertical="center"/>
    </xf>
    <xf numFmtId="0" fontId="0" fillId="30" borderId="19" xfId="0" applyFill="1" applyBorder="1" applyAlignment="1">
      <alignment horizontal="center" vertical="center"/>
    </xf>
    <xf numFmtId="0" fontId="0" fillId="23" borderId="15" xfId="0" applyFill="1" applyBorder="1" applyAlignment="1">
      <alignment horizontal="center" vertical="center"/>
    </xf>
    <xf numFmtId="0" fontId="0" fillId="23" borderId="94" xfId="0" applyFill="1" applyBorder="1" applyAlignment="1">
      <alignment horizontal="center" vertical="center"/>
    </xf>
    <xf numFmtId="0" fontId="0" fillId="23" borderId="14" xfId="0" applyFill="1" applyBorder="1" applyAlignment="1">
      <alignment horizontal="center" vertical="center"/>
    </xf>
    <xf numFmtId="0" fontId="0" fillId="23" borderId="93" xfId="0" applyFill="1" applyBorder="1" applyAlignment="1">
      <alignment horizontal="center" vertical="center"/>
    </xf>
    <xf numFmtId="0" fontId="0" fillId="16" borderId="233" xfId="0" applyFill="1" applyBorder="1">
      <alignment vertical="center"/>
    </xf>
    <xf numFmtId="0" fontId="0" fillId="29" borderId="234" xfId="0" applyFill="1" applyBorder="1" applyAlignment="1">
      <alignment horizontal="center" vertical="center"/>
    </xf>
    <xf numFmtId="0" fontId="0" fillId="29" borderId="93" xfId="0" applyFill="1" applyBorder="1" applyAlignment="1">
      <alignment horizontal="center" vertical="center"/>
    </xf>
    <xf numFmtId="0" fontId="0" fillId="16" borderId="93" xfId="0" applyFill="1" applyBorder="1" applyAlignment="1">
      <alignment horizontal="center" vertical="center"/>
    </xf>
    <xf numFmtId="0" fontId="0" fillId="29" borderId="235" xfId="0" applyFill="1" applyBorder="1" applyAlignment="1">
      <alignment horizontal="center" vertical="center"/>
    </xf>
    <xf numFmtId="0" fontId="0" fillId="29" borderId="236" xfId="0" applyFill="1" applyBorder="1" applyAlignment="1">
      <alignment horizontal="center" vertical="center"/>
    </xf>
    <xf numFmtId="0" fontId="0" fillId="29" borderId="237" xfId="0" applyFill="1" applyBorder="1" applyAlignment="1">
      <alignment horizontal="center" vertical="center"/>
    </xf>
    <xf numFmtId="0" fontId="0" fillId="16" borderId="235" xfId="0" applyFill="1" applyBorder="1">
      <alignment vertical="center"/>
    </xf>
    <xf numFmtId="0" fontId="0" fillId="16" borderId="237" xfId="0" applyFill="1" applyBorder="1">
      <alignment vertical="center"/>
    </xf>
    <xf numFmtId="0" fontId="0" fillId="38" borderId="0" xfId="0" applyFill="1" applyBorder="1" applyAlignment="1">
      <alignment horizontal="center" vertical="center"/>
    </xf>
    <xf numFmtId="0" fontId="0" fillId="29" borderId="239" xfId="0" applyFill="1" applyBorder="1" applyAlignment="1">
      <alignment horizontal="center" vertical="center"/>
    </xf>
    <xf numFmtId="0" fontId="0" fillId="3" borderId="180" xfId="0" applyFill="1" applyBorder="1" applyAlignment="1">
      <alignment horizontal="center" vertical="center"/>
    </xf>
    <xf numFmtId="0" fontId="0" fillId="29" borderId="46" xfId="0" applyFill="1" applyBorder="1" applyAlignment="1">
      <alignment horizontal="center" vertical="center"/>
    </xf>
    <xf numFmtId="0" fontId="119" fillId="4" borderId="228" xfId="1" applyFont="1" applyFill="1" applyBorder="1" applyAlignment="1">
      <alignment horizontal="center" vertical="center"/>
    </xf>
    <xf numFmtId="0" fontId="118" fillId="26" borderId="248" xfId="1" applyFont="1" applyFill="1" applyBorder="1" applyAlignment="1">
      <alignment horizontal="center" vertical="center"/>
    </xf>
    <xf numFmtId="0" fontId="118" fillId="26" borderId="250" xfId="1" applyFont="1" applyFill="1" applyBorder="1" applyAlignment="1">
      <alignment horizontal="center" vertical="center"/>
    </xf>
    <xf numFmtId="0" fontId="118" fillId="4" borderId="251" xfId="1" applyFont="1" applyFill="1" applyBorder="1" applyAlignment="1">
      <alignment horizontal="center" vertical="center"/>
    </xf>
    <xf numFmtId="0" fontId="118" fillId="64" borderId="252" xfId="1" applyFont="1" applyFill="1" applyBorder="1" applyAlignment="1">
      <alignment horizontal="center" vertical="center"/>
    </xf>
    <xf numFmtId="0" fontId="42" fillId="2" borderId="22" xfId="1" applyFont="1" applyFill="1" applyBorder="1" applyAlignment="1">
      <alignment horizontal="center" vertical="center"/>
    </xf>
    <xf numFmtId="0" fontId="4" fillId="4" borderId="253" xfId="1" applyFill="1" applyBorder="1" applyAlignment="1">
      <alignment horizontal="center" vertical="center" wrapText="1"/>
    </xf>
    <xf numFmtId="0" fontId="0" fillId="16" borderId="238" xfId="0" applyFill="1" applyBorder="1" applyAlignment="1">
      <alignment horizontal="center" vertical="center"/>
    </xf>
    <xf numFmtId="0" fontId="40" fillId="2" borderId="77" xfId="1" applyFont="1" applyFill="1" applyBorder="1" applyAlignment="1">
      <alignment horizontal="center" vertical="center"/>
    </xf>
    <xf numFmtId="0" fontId="40" fillId="2" borderId="78" xfId="1" applyFont="1" applyFill="1" applyBorder="1" applyAlignment="1">
      <alignment horizontal="center" vertical="center"/>
    </xf>
    <xf numFmtId="0" fontId="40" fillId="2" borderId="115" xfId="1" applyFont="1" applyFill="1" applyBorder="1" applyAlignment="1">
      <alignment horizontal="center" vertical="center"/>
    </xf>
    <xf numFmtId="0" fontId="85" fillId="15" borderId="77" xfId="0" applyFont="1" applyFill="1" applyBorder="1" applyAlignment="1">
      <alignment horizontal="center" vertical="center"/>
    </xf>
    <xf numFmtId="0" fontId="35" fillId="15" borderId="78" xfId="0" applyFont="1" applyFill="1" applyBorder="1" applyAlignment="1">
      <alignment horizontal="center" vertical="center"/>
    </xf>
    <xf numFmtId="0" fontId="35" fillId="15" borderId="115" xfId="0" applyFont="1" applyFill="1" applyBorder="1" applyAlignment="1">
      <alignment horizontal="center" vertical="center"/>
    </xf>
    <xf numFmtId="0" fontId="85" fillId="15" borderId="8" xfId="0" applyFont="1" applyFill="1" applyBorder="1" applyAlignment="1">
      <alignment horizontal="center" vertical="center"/>
    </xf>
    <xf numFmtId="0" fontId="35" fillId="15" borderId="9" xfId="0" applyFont="1" applyFill="1" applyBorder="1" applyAlignment="1">
      <alignment horizontal="center" vertical="center"/>
    </xf>
    <xf numFmtId="0" fontId="35" fillId="15" borderId="85" xfId="0" applyFont="1" applyFill="1" applyBorder="1" applyAlignment="1">
      <alignment horizontal="center" vertical="center"/>
    </xf>
    <xf numFmtId="0" fontId="0" fillId="28" borderId="244" xfId="0" applyFill="1" applyBorder="1" applyAlignment="1">
      <alignment horizontal="center" vertical="center"/>
    </xf>
    <xf numFmtId="0" fontId="0" fillId="28" borderId="245" xfId="0" applyFill="1" applyBorder="1" applyAlignment="1">
      <alignment horizontal="center" vertical="center"/>
    </xf>
    <xf numFmtId="0" fontId="0" fillId="3" borderId="24" xfId="0" applyFill="1" applyBorder="1" applyAlignment="1">
      <alignment horizontal="center" vertical="center"/>
    </xf>
    <xf numFmtId="0" fontId="0" fillId="3" borderId="65" xfId="0" applyFill="1" applyBorder="1" applyAlignment="1">
      <alignment horizontal="center" vertical="center"/>
    </xf>
    <xf numFmtId="0" fontId="0" fillId="3" borderId="25" xfId="0" applyFill="1" applyBorder="1" applyAlignment="1">
      <alignment horizontal="center" vertical="center"/>
    </xf>
    <xf numFmtId="0" fontId="0" fillId="4" borderId="24" xfId="0" applyFill="1" applyBorder="1" applyAlignment="1">
      <alignment horizontal="center" vertical="center"/>
    </xf>
    <xf numFmtId="0" fontId="0" fillId="4" borderId="65" xfId="0" applyFill="1" applyBorder="1" applyAlignment="1">
      <alignment horizontal="center" vertical="center"/>
    </xf>
    <xf numFmtId="0" fontId="0" fillId="4" borderId="25" xfId="0" applyFill="1" applyBorder="1" applyAlignment="1">
      <alignment horizontal="center" vertical="center"/>
    </xf>
    <xf numFmtId="0" fontId="0" fillId="17" borderId="240" xfId="0" applyFill="1" applyBorder="1" applyAlignment="1">
      <alignment horizontal="center" vertical="center"/>
    </xf>
    <xf numFmtId="0" fontId="0" fillId="17" borderId="241" xfId="0" applyFill="1" applyBorder="1" applyAlignment="1">
      <alignment horizontal="center" vertical="center"/>
    </xf>
    <xf numFmtId="0" fontId="0" fillId="17" borderId="242" xfId="0" applyFill="1" applyBorder="1" applyAlignment="1">
      <alignment horizontal="center" vertical="center"/>
    </xf>
    <xf numFmtId="0" fontId="0" fillId="17" borderId="246" xfId="0" applyFill="1" applyBorder="1" applyAlignment="1">
      <alignment horizontal="center" vertical="center"/>
    </xf>
    <xf numFmtId="0" fontId="0" fillId="17" borderId="243" xfId="0" applyFill="1" applyBorder="1" applyAlignment="1">
      <alignment horizontal="center" vertical="center"/>
    </xf>
    <xf numFmtId="0" fontId="0" fillId="17" borderId="247" xfId="0" applyFill="1" applyBorder="1" applyAlignment="1">
      <alignment horizontal="center" vertical="center"/>
    </xf>
    <xf numFmtId="178" fontId="108" fillId="2" borderId="24" xfId="0" applyNumberFormat="1" applyFont="1" applyFill="1" applyBorder="1" applyAlignment="1">
      <alignment horizontal="center" vertical="center" wrapText="1"/>
    </xf>
    <xf numFmtId="178" fontId="28" fillId="2" borderId="65" xfId="0" applyNumberFormat="1" applyFont="1" applyFill="1" applyBorder="1" applyAlignment="1">
      <alignment horizontal="center" vertical="center" wrapText="1"/>
    </xf>
    <xf numFmtId="178" fontId="28" fillId="2" borderId="25" xfId="0" applyNumberFormat="1" applyFont="1" applyFill="1" applyBorder="1" applyAlignment="1">
      <alignment horizontal="center" vertical="center" wrapText="1"/>
    </xf>
    <xf numFmtId="178" fontId="26" fillId="2" borderId="24" xfId="0" applyNumberFormat="1" applyFont="1" applyFill="1" applyBorder="1" applyAlignment="1">
      <alignment horizontal="center" vertical="center" wrapText="1"/>
    </xf>
    <xf numFmtId="0" fontId="4" fillId="2" borderId="8" xfId="1" applyFill="1" applyBorder="1" applyAlignment="1">
      <alignment horizontal="center" vertical="center"/>
    </xf>
    <xf numFmtId="0" fontId="4" fillId="2" borderId="9" xfId="1" applyFill="1" applyBorder="1" applyAlignment="1">
      <alignment horizontal="center" vertical="center"/>
    </xf>
    <xf numFmtId="0" fontId="4" fillId="2" borderId="85" xfId="1" applyFill="1" applyBorder="1" applyAlignment="1">
      <alignment horizontal="center" vertical="center"/>
    </xf>
    <xf numFmtId="0" fontId="43" fillId="2" borderId="8" xfId="0" applyFont="1" applyFill="1" applyBorder="1" applyAlignment="1">
      <alignment horizontal="center" vertical="center"/>
    </xf>
    <xf numFmtId="0" fontId="43" fillId="2" borderId="9" xfId="0" applyFont="1" applyFill="1" applyBorder="1" applyAlignment="1">
      <alignment horizontal="center" vertical="center"/>
    </xf>
    <xf numFmtId="0" fontId="43" fillId="2" borderId="85" xfId="0" applyFont="1" applyFill="1" applyBorder="1" applyAlignment="1">
      <alignment horizontal="center" vertical="center"/>
    </xf>
    <xf numFmtId="0" fontId="70" fillId="0" borderId="0" xfId="1" applyFont="1" applyAlignment="1">
      <alignment horizontal="center" vertical="center"/>
    </xf>
    <xf numFmtId="0" fontId="71" fillId="0" borderId="0" xfId="1" applyFont="1" applyAlignment="1">
      <alignment horizontal="center" vertical="center"/>
    </xf>
    <xf numFmtId="0" fontId="89" fillId="0" borderId="0" xfId="0" applyFont="1" applyFill="1" applyBorder="1" applyAlignment="1">
      <alignment horizontal="center" vertical="center"/>
    </xf>
    <xf numFmtId="0" fontId="0" fillId="0" borderId="0" xfId="0" applyFill="1" applyBorder="1" applyAlignment="1">
      <alignment horizontal="center" vertical="center"/>
    </xf>
    <xf numFmtId="10" fontId="93" fillId="4" borderId="202" xfId="0" applyNumberFormat="1" applyFont="1" applyFill="1" applyBorder="1" applyAlignment="1">
      <alignment horizontal="center" vertical="center"/>
    </xf>
    <xf numFmtId="10" fontId="93" fillId="4" borderId="0" xfId="0" applyNumberFormat="1" applyFont="1" applyFill="1" applyBorder="1" applyAlignment="1">
      <alignment horizontal="center" vertical="center"/>
    </xf>
    <xf numFmtId="10" fontId="93" fillId="17" borderId="0" xfId="0" applyNumberFormat="1" applyFont="1" applyFill="1" applyBorder="1" applyAlignment="1">
      <alignment horizontal="center" vertical="center"/>
    </xf>
    <xf numFmtId="10" fontId="93" fillId="5" borderId="0" xfId="0" applyNumberFormat="1" applyFont="1" applyFill="1" applyBorder="1" applyAlignment="1">
      <alignment horizontal="center" vertical="center"/>
    </xf>
    <xf numFmtId="0" fontId="93" fillId="63" borderId="23" xfId="0" applyFont="1" applyFill="1" applyBorder="1" applyAlignment="1">
      <alignment horizontal="center" vertical="center"/>
    </xf>
    <xf numFmtId="0" fontId="93" fillId="63" borderId="46" xfId="0" applyFont="1" applyFill="1" applyBorder="1" applyAlignment="1">
      <alignment horizontal="center" vertical="center"/>
    </xf>
    <xf numFmtId="0" fontId="93" fillId="63" borderId="71" xfId="0" applyFont="1" applyFill="1" applyBorder="1" applyAlignment="1">
      <alignment horizontal="center" vertical="center"/>
    </xf>
    <xf numFmtId="0" fontId="93" fillId="63" borderId="53" xfId="0" applyFont="1" applyFill="1" applyBorder="1" applyAlignment="1">
      <alignment horizontal="center" vertical="center"/>
    </xf>
    <xf numFmtId="0" fontId="93" fillId="63" borderId="0" xfId="0" applyFont="1" applyFill="1" applyBorder="1" applyAlignment="1">
      <alignment horizontal="center" vertical="center"/>
    </xf>
    <xf numFmtId="0" fontId="93" fillId="63" borderId="61" xfId="0" applyFont="1" applyFill="1" applyBorder="1" applyAlignment="1">
      <alignment horizontal="center" vertical="center"/>
    </xf>
    <xf numFmtId="0" fontId="93" fillId="63" borderId="62" xfId="0" applyFont="1" applyFill="1" applyBorder="1" applyAlignment="1">
      <alignment horizontal="center" vertical="center"/>
    </xf>
    <xf numFmtId="0" fontId="93" fillId="23" borderId="8" xfId="0" applyFont="1" applyFill="1" applyBorder="1" applyAlignment="1">
      <alignment horizontal="center" vertical="center"/>
    </xf>
    <xf numFmtId="0" fontId="93" fillId="23" borderId="9" xfId="0" applyFont="1" applyFill="1" applyBorder="1" applyAlignment="1">
      <alignment horizontal="center" vertical="center"/>
    </xf>
    <xf numFmtId="0" fontId="93" fillId="23" borderId="85" xfId="0" applyFont="1" applyFill="1" applyBorder="1" applyAlignment="1">
      <alignment horizontal="center" vertical="center"/>
    </xf>
    <xf numFmtId="0" fontId="93" fillId="8" borderId="24" xfId="0" applyFont="1" applyFill="1" applyBorder="1" applyAlignment="1">
      <alignment horizontal="center" vertical="center"/>
    </xf>
    <xf numFmtId="0" fontId="93" fillId="8" borderId="25" xfId="0" applyFont="1" applyFill="1" applyBorder="1" applyAlignment="1">
      <alignment horizontal="center" vertical="center"/>
    </xf>
    <xf numFmtId="0" fontId="93" fillId="25" borderId="24" xfId="0" applyFont="1" applyFill="1" applyBorder="1" applyAlignment="1">
      <alignment horizontal="center" vertical="center"/>
    </xf>
    <xf numFmtId="0" fontId="93" fillId="25" borderId="25" xfId="0" applyFont="1" applyFill="1" applyBorder="1" applyAlignment="1">
      <alignment horizontal="center" vertical="center"/>
    </xf>
    <xf numFmtId="0" fontId="93" fillId="23" borderId="23" xfId="0" applyFont="1" applyFill="1" applyBorder="1" applyAlignment="1">
      <alignment horizontal="center" vertical="center"/>
    </xf>
    <xf numFmtId="0" fontId="93" fillId="23" borderId="46" xfId="0" applyFont="1" applyFill="1" applyBorder="1" applyAlignment="1">
      <alignment horizontal="center" vertical="center"/>
    </xf>
    <xf numFmtId="0" fontId="93" fillId="23" borderId="60" xfId="0" applyFont="1" applyFill="1" applyBorder="1" applyAlignment="1">
      <alignment horizontal="center" vertical="center"/>
    </xf>
    <xf numFmtId="0" fontId="93" fillId="23" borderId="61" xfId="0" applyFont="1" applyFill="1" applyBorder="1" applyAlignment="1">
      <alignment horizontal="center" vertical="center"/>
    </xf>
    <xf numFmtId="0" fontId="93" fillId="8" borderId="71" xfId="0" applyFont="1" applyFill="1" applyBorder="1" applyAlignment="1">
      <alignment horizontal="center" vertical="center"/>
    </xf>
    <xf numFmtId="0" fontId="93" fillId="8" borderId="62" xfId="0" applyFont="1" applyFill="1" applyBorder="1" applyAlignment="1">
      <alignment horizontal="center" vertical="center"/>
    </xf>
    <xf numFmtId="0" fontId="93" fillId="17" borderId="8" xfId="0" applyFont="1" applyFill="1" applyBorder="1" applyAlignment="1">
      <alignment horizontal="center" vertical="center"/>
    </xf>
    <xf numFmtId="0" fontId="93" fillId="17" borderId="9" xfId="0" applyFont="1" applyFill="1" applyBorder="1" applyAlignment="1">
      <alignment horizontal="center" vertical="center"/>
    </xf>
    <xf numFmtId="0" fontId="93" fillId="17" borderId="85" xfId="0" applyFont="1" applyFill="1" applyBorder="1" applyAlignment="1">
      <alignment horizontal="center" vertical="center"/>
    </xf>
    <xf numFmtId="0" fontId="93" fillId="9" borderId="8" xfId="0" applyFont="1" applyFill="1" applyBorder="1" applyAlignment="1">
      <alignment horizontal="center" vertical="center"/>
    </xf>
    <xf numFmtId="0" fontId="93" fillId="9" borderId="9" xfId="0" applyFont="1" applyFill="1" applyBorder="1" applyAlignment="1">
      <alignment horizontal="center" vertical="center"/>
    </xf>
    <xf numFmtId="0" fontId="93" fillId="9" borderId="85" xfId="0" applyFont="1" applyFill="1" applyBorder="1" applyAlignment="1">
      <alignment horizontal="center" vertical="center"/>
    </xf>
    <xf numFmtId="0" fontId="93" fillId="8" borderId="8" xfId="0" applyFont="1" applyFill="1" applyBorder="1" applyAlignment="1">
      <alignment horizontal="center" vertical="center"/>
    </xf>
    <xf numFmtId="0" fontId="93" fillId="8" borderId="85" xfId="0" applyFont="1" applyFill="1" applyBorder="1" applyAlignment="1">
      <alignment horizontal="center" vertical="center"/>
    </xf>
    <xf numFmtId="0" fontId="93" fillId="25" borderId="8" xfId="0" applyFont="1" applyFill="1" applyBorder="1" applyAlignment="1">
      <alignment horizontal="center" vertical="center"/>
    </xf>
    <xf numFmtId="0" fontId="93" fillId="25" borderId="85" xfId="0" applyFont="1" applyFill="1" applyBorder="1" applyAlignment="1">
      <alignment horizontal="center" vertical="center"/>
    </xf>
    <xf numFmtId="0" fontId="93" fillId="5" borderId="0" xfId="0" applyFont="1" applyFill="1" applyBorder="1" applyAlignment="1">
      <alignment horizontal="center" vertical="center"/>
    </xf>
    <xf numFmtId="0" fontId="57" fillId="2" borderId="53" xfId="1" applyFont="1" applyFill="1" applyBorder="1" applyAlignment="1">
      <alignment horizontal="center" vertical="center" wrapText="1"/>
    </xf>
    <xf numFmtId="0" fontId="41" fillId="2" borderId="0" xfId="1" applyFont="1" applyFill="1" applyBorder="1" applyAlignment="1">
      <alignment horizontal="center" vertical="center" wrapText="1"/>
    </xf>
    <xf numFmtId="0" fontId="41" fillId="2" borderId="53" xfId="1" applyFont="1" applyFill="1" applyBorder="1" applyAlignment="1">
      <alignment horizontal="center" vertical="center" wrapText="1"/>
    </xf>
    <xf numFmtId="0" fontId="99" fillId="2" borderId="24" xfId="1" applyFont="1" applyFill="1" applyBorder="1" applyAlignment="1">
      <alignment horizontal="center" vertical="center"/>
    </xf>
    <xf numFmtId="0" fontId="40" fillId="2" borderId="65" xfId="1" applyFont="1" applyFill="1" applyBorder="1" applyAlignment="1">
      <alignment horizontal="center" vertical="center"/>
    </xf>
    <xf numFmtId="0" fontId="40" fillId="2" borderId="25" xfId="1" applyFont="1" applyFill="1" applyBorder="1" applyAlignment="1">
      <alignment horizontal="center" vertical="center"/>
    </xf>
    <xf numFmtId="0" fontId="0" fillId="23" borderId="8" xfId="0" applyFill="1" applyBorder="1" applyAlignment="1">
      <alignment horizontal="center" vertical="center"/>
    </xf>
    <xf numFmtId="0" fontId="0" fillId="23" borderId="9" xfId="0" applyFill="1" applyBorder="1" applyAlignment="1">
      <alignment horizontal="center" vertical="center"/>
    </xf>
    <xf numFmtId="0" fontId="0" fillId="23" borderId="85" xfId="0" applyFill="1" applyBorder="1" applyAlignment="1">
      <alignment horizontal="center" vertical="center"/>
    </xf>
    <xf numFmtId="0" fontId="0" fillId="23" borderId="60" xfId="0" applyFill="1" applyBorder="1" applyAlignment="1">
      <alignment horizontal="center" vertical="center"/>
    </xf>
    <xf numFmtId="0" fontId="0" fillId="23" borderId="61" xfId="0" applyFill="1" applyBorder="1" applyAlignment="1">
      <alignment horizontal="center" vertical="center"/>
    </xf>
    <xf numFmtId="0" fontId="0" fillId="23" borderId="62" xfId="0" applyFill="1" applyBorder="1" applyAlignment="1">
      <alignment horizontal="center" vertical="center"/>
    </xf>
    <xf numFmtId="0" fontId="0" fillId="8" borderId="8" xfId="0" applyFill="1" applyBorder="1" applyAlignment="1">
      <alignment horizontal="center" vertical="center"/>
    </xf>
    <xf numFmtId="0" fontId="0" fillId="8" borderId="85" xfId="0" applyFill="1" applyBorder="1" applyAlignment="1">
      <alignment horizontal="center" vertical="center"/>
    </xf>
    <xf numFmtId="0" fontId="0" fillId="25" borderId="8" xfId="0" applyFill="1" applyBorder="1" applyAlignment="1">
      <alignment horizontal="center" vertical="center"/>
    </xf>
    <xf numFmtId="0" fontId="0" fillId="25" borderId="85"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9" borderId="85" xfId="0" applyFill="1" applyBorder="1" applyAlignment="1">
      <alignment horizontal="center" vertical="center"/>
    </xf>
    <xf numFmtId="0" fontId="0" fillId="17" borderId="8" xfId="0" applyFill="1" applyBorder="1" applyAlignment="1">
      <alignment horizontal="center" vertical="center"/>
    </xf>
    <xf numFmtId="0" fontId="0" fillId="17" borderId="9" xfId="0" applyFill="1" applyBorder="1" applyAlignment="1">
      <alignment horizontal="center" vertical="center"/>
    </xf>
    <xf numFmtId="0" fontId="0" fillId="17" borderId="85" xfId="0" applyFill="1" applyBorder="1" applyAlignment="1">
      <alignment horizontal="center" vertical="center"/>
    </xf>
    <xf numFmtId="0" fontId="0" fillId="8" borderId="71" xfId="0" applyFill="1" applyBorder="1" applyAlignment="1">
      <alignment horizontal="center" vertical="center"/>
    </xf>
    <xf numFmtId="0" fontId="0" fillId="8" borderId="62" xfId="0" applyFill="1" applyBorder="1" applyAlignment="1">
      <alignment horizontal="center" vertical="center"/>
    </xf>
    <xf numFmtId="0" fontId="0" fillId="25" borderId="23" xfId="0" applyFill="1" applyBorder="1" applyAlignment="1">
      <alignment horizontal="center" vertical="center"/>
    </xf>
    <xf numFmtId="0" fontId="0" fillId="25" borderId="71" xfId="0" applyFill="1" applyBorder="1" applyAlignment="1">
      <alignment horizontal="center" vertical="center"/>
    </xf>
    <xf numFmtId="0" fontId="0" fillId="25" borderId="60" xfId="0" applyFill="1" applyBorder="1" applyAlignment="1">
      <alignment horizontal="center" vertical="center"/>
    </xf>
    <xf numFmtId="0" fontId="0" fillId="25" borderId="62" xfId="0" applyFill="1" applyBorder="1" applyAlignment="1">
      <alignment horizontal="center" vertical="center"/>
    </xf>
    <xf numFmtId="0" fontId="0" fillId="30" borderId="8" xfId="0" applyFill="1" applyBorder="1" applyAlignment="1">
      <alignment horizontal="center" vertical="center"/>
    </xf>
    <xf numFmtId="0" fontId="0" fillId="30" borderId="85" xfId="0" applyFill="1" applyBorder="1" applyAlignment="1">
      <alignment horizontal="center" vertical="center"/>
    </xf>
    <xf numFmtId="0" fontId="0" fillId="40" borderId="8" xfId="0" applyFill="1" applyBorder="1" applyAlignment="1">
      <alignment horizontal="center" vertical="center"/>
    </xf>
    <xf numFmtId="0" fontId="0" fillId="40" borderId="85" xfId="0" applyFill="1" applyBorder="1" applyAlignment="1">
      <alignment horizontal="center" vertical="center"/>
    </xf>
    <xf numFmtId="0" fontId="0" fillId="23" borderId="23" xfId="0" applyFill="1" applyBorder="1" applyAlignment="1">
      <alignment horizontal="center" vertical="center"/>
    </xf>
    <xf numFmtId="0" fontId="0" fillId="23" borderId="46" xfId="0" applyFill="1" applyBorder="1" applyAlignment="1">
      <alignment horizontal="center" vertical="center"/>
    </xf>
    <xf numFmtId="0" fontId="0" fillId="23" borderId="71" xfId="0" applyFill="1" applyBorder="1" applyAlignment="1">
      <alignment horizontal="center" vertical="center"/>
    </xf>
    <xf numFmtId="0" fontId="0" fillId="8" borderId="23" xfId="0" applyFill="1" applyBorder="1" applyAlignment="1">
      <alignment horizontal="center" vertical="center"/>
    </xf>
    <xf numFmtId="0" fontId="0" fillId="8" borderId="60" xfId="0" applyFill="1" applyBorder="1" applyAlignment="1">
      <alignment horizontal="center" vertical="center"/>
    </xf>
    <xf numFmtId="0" fontId="0" fillId="23" borderId="159" xfId="0" applyFill="1" applyBorder="1" applyAlignment="1">
      <alignment horizontal="center" vertical="center"/>
    </xf>
    <xf numFmtId="0" fontId="0" fillId="23" borderId="29" xfId="0" applyFill="1" applyBorder="1" applyAlignment="1">
      <alignment horizontal="center" vertical="center"/>
    </xf>
    <xf numFmtId="0" fontId="0" fillId="23" borderId="163" xfId="0" applyFill="1" applyBorder="1" applyAlignment="1">
      <alignment horizontal="center" vertical="center"/>
    </xf>
    <xf numFmtId="0" fontId="0" fillId="23" borderId="164" xfId="0" applyFill="1" applyBorder="1" applyAlignment="1">
      <alignment horizontal="center" vertical="center"/>
    </xf>
    <xf numFmtId="0" fontId="0" fillId="8" borderId="29" xfId="0" applyFill="1" applyBorder="1" applyAlignment="1">
      <alignment horizontal="center" vertical="center"/>
    </xf>
    <xf numFmtId="0" fontId="0" fillId="8" borderId="160" xfId="0" applyFill="1" applyBorder="1" applyAlignment="1">
      <alignment horizontal="center" vertical="center"/>
    </xf>
    <xf numFmtId="0" fontId="0" fillId="8" borderId="164" xfId="0" applyFill="1" applyBorder="1" applyAlignment="1">
      <alignment horizontal="center" vertical="center"/>
    </xf>
    <xf numFmtId="0" fontId="0" fillId="8" borderId="109" xfId="0" applyFill="1" applyBorder="1" applyAlignment="1">
      <alignment horizontal="center" vertical="center"/>
    </xf>
    <xf numFmtId="0" fontId="0" fillId="8" borderId="46" xfId="0" applyFill="1" applyBorder="1" applyAlignment="1">
      <alignment horizontal="center" vertical="center"/>
    </xf>
    <xf numFmtId="0" fontId="0" fillId="8" borderId="61" xfId="0" applyFill="1" applyBorder="1" applyAlignment="1">
      <alignment horizontal="center" vertical="center"/>
    </xf>
    <xf numFmtId="0" fontId="72" fillId="2" borderId="24" xfId="1" applyFont="1" applyFill="1" applyBorder="1" applyAlignment="1">
      <alignment horizontal="center" vertical="center"/>
    </xf>
    <xf numFmtId="0" fontId="73" fillId="2" borderId="65" xfId="1" applyFont="1" applyFill="1" applyBorder="1" applyAlignment="1">
      <alignment horizontal="center" vertical="center"/>
    </xf>
    <xf numFmtId="0" fontId="73" fillId="2" borderId="25" xfId="1" applyFont="1" applyFill="1" applyBorder="1" applyAlignment="1">
      <alignment horizontal="center" vertical="center"/>
    </xf>
    <xf numFmtId="0" fontId="70" fillId="2" borderId="53" xfId="1" applyFont="1" applyFill="1" applyBorder="1" applyAlignment="1">
      <alignment horizontal="center" vertical="center" wrapText="1"/>
    </xf>
    <xf numFmtId="0" fontId="71" fillId="2" borderId="0" xfId="1" applyFont="1" applyFill="1" applyBorder="1" applyAlignment="1">
      <alignment horizontal="center" vertical="center" wrapText="1"/>
    </xf>
    <xf numFmtId="0" fontId="71" fillId="2" borderId="53" xfId="1" applyFont="1" applyFill="1" applyBorder="1" applyAlignment="1">
      <alignment horizontal="center" vertical="center" wrapText="1"/>
    </xf>
    <xf numFmtId="0" fontId="91" fillId="54" borderId="0" xfId="0" applyFont="1" applyFill="1" applyBorder="1" applyAlignment="1">
      <alignment horizontal="center" vertical="center" wrapText="1"/>
    </xf>
    <xf numFmtId="0" fontId="93" fillId="17" borderId="0" xfId="0" applyFont="1" applyFill="1" applyBorder="1" applyAlignment="1">
      <alignment horizontal="center" vertical="center"/>
    </xf>
    <xf numFmtId="0" fontId="93" fillId="4" borderId="0" xfId="0" applyFont="1" applyFill="1" applyBorder="1" applyAlignment="1">
      <alignment horizontal="center" vertical="center"/>
    </xf>
    <xf numFmtId="0" fontId="44" fillId="2" borderId="53" xfId="1" applyFont="1" applyFill="1" applyBorder="1" applyAlignment="1">
      <alignment horizontal="center" vertical="center"/>
    </xf>
    <xf numFmtId="0" fontId="44" fillId="2" borderId="0" xfId="1" applyFont="1" applyFill="1" applyBorder="1" applyAlignment="1">
      <alignment horizontal="center" vertical="center"/>
    </xf>
    <xf numFmtId="0" fontId="4" fillId="0" borderId="0" xfId="1" applyAlignment="1">
      <alignment horizontal="center" vertical="center" wrapText="1"/>
    </xf>
    <xf numFmtId="0" fontId="99" fillId="2" borderId="0" xfId="1" applyFont="1" applyFill="1" applyBorder="1" applyAlignment="1">
      <alignment horizontal="center" vertical="center"/>
    </xf>
    <xf numFmtId="0" fontId="40" fillId="2" borderId="0" xfId="1" applyFont="1" applyFill="1" applyBorder="1" applyAlignment="1">
      <alignment horizontal="center" vertical="center"/>
    </xf>
    <xf numFmtId="0" fontId="40" fillId="2" borderId="61" xfId="1" applyFont="1" applyFill="1" applyBorder="1" applyAlignment="1">
      <alignment horizontal="center" vertical="center"/>
    </xf>
    <xf numFmtId="177" fontId="83" fillId="38" borderId="8" xfId="0" applyNumberFormat="1" applyFont="1" applyFill="1" applyBorder="1" applyAlignment="1">
      <alignment horizontal="center" vertical="center" wrapText="1"/>
    </xf>
    <xf numFmtId="177" fontId="84" fillId="38" borderId="166" xfId="0" applyNumberFormat="1" applyFont="1" applyFill="1" applyBorder="1" applyAlignment="1">
      <alignment horizontal="center" vertical="center" wrapText="1"/>
    </xf>
    <xf numFmtId="177" fontId="48" fillId="0" borderId="60" xfId="0" applyNumberFormat="1" applyFont="1" applyBorder="1" applyAlignment="1">
      <alignment horizontal="center" vertical="center"/>
    </xf>
    <xf numFmtId="177" fontId="48" fillId="0" borderId="62" xfId="0" applyNumberFormat="1" applyFont="1" applyBorder="1" applyAlignment="1">
      <alignment horizontal="center" vertical="center"/>
    </xf>
    <xf numFmtId="0" fontId="4" fillId="2" borderId="0" xfId="1" applyFill="1" applyAlignment="1">
      <alignment horizontal="center" vertical="center"/>
    </xf>
    <xf numFmtId="0" fontId="0" fillId="9" borderId="0" xfId="0" applyFill="1" applyAlignment="1">
      <alignment horizontal="center" vertical="center"/>
    </xf>
    <xf numFmtId="0" fontId="51" fillId="42" borderId="0" xfId="0" applyFont="1" applyFill="1" applyAlignment="1">
      <alignment horizontal="left" vertical="center" wrapText="1"/>
    </xf>
    <xf numFmtId="177" fontId="1" fillId="11" borderId="170" xfId="0" applyNumberFormat="1" applyFont="1" applyFill="1" applyBorder="1" applyAlignment="1">
      <alignment horizontal="center" vertical="center" wrapText="1"/>
    </xf>
    <xf numFmtId="177" fontId="1" fillId="11" borderId="171" xfId="0" applyNumberFormat="1" applyFont="1" applyFill="1" applyBorder="1" applyAlignment="1">
      <alignment horizontal="center" vertical="center" wrapText="1"/>
    </xf>
    <xf numFmtId="0" fontId="41" fillId="2" borderId="23" xfId="1" applyFont="1" applyFill="1" applyBorder="1" applyAlignment="1">
      <alignment horizontal="center" vertical="center"/>
    </xf>
    <xf numFmtId="0" fontId="41" fillId="2" borderId="71" xfId="1" applyFont="1" applyFill="1" applyBorder="1" applyAlignment="1">
      <alignment horizontal="center" vertical="center"/>
    </xf>
    <xf numFmtId="0" fontId="41" fillId="2" borderId="60" xfId="1" applyFont="1" applyFill="1" applyBorder="1" applyAlignment="1">
      <alignment horizontal="center" vertical="center"/>
    </xf>
    <xf numFmtId="0" fontId="41" fillId="2" borderId="62" xfId="1" applyFont="1" applyFill="1" applyBorder="1" applyAlignment="1">
      <alignment horizontal="center" vertical="center"/>
    </xf>
    <xf numFmtId="177" fontId="35" fillId="16" borderId="24" xfId="0" applyNumberFormat="1" applyFont="1" applyFill="1" applyBorder="1" applyAlignment="1">
      <alignment horizontal="center" vertical="center"/>
    </xf>
    <xf numFmtId="177" fontId="35" fillId="16" borderId="65" xfId="0" applyNumberFormat="1" applyFont="1" applyFill="1" applyBorder="1" applyAlignment="1">
      <alignment horizontal="center" vertical="center"/>
    </xf>
    <xf numFmtId="177" fontId="35" fillId="16" borderId="25" xfId="0" applyNumberFormat="1" applyFont="1" applyFill="1" applyBorder="1" applyAlignment="1">
      <alignment horizontal="center" vertical="center"/>
    </xf>
    <xf numFmtId="0" fontId="58" fillId="29" borderId="23" xfId="1" applyFont="1" applyFill="1" applyBorder="1" applyAlignment="1">
      <alignment horizontal="center" vertical="center"/>
    </xf>
    <xf numFmtId="0" fontId="58" fillId="29" borderId="46" xfId="1" applyFont="1" applyFill="1" applyBorder="1" applyAlignment="1">
      <alignment horizontal="center" vertical="center"/>
    </xf>
    <xf numFmtId="0" fontId="58" fillId="29" borderId="71" xfId="1" applyFont="1" applyFill="1" applyBorder="1" applyAlignment="1">
      <alignment horizontal="center" vertical="center"/>
    </xf>
    <xf numFmtId="0" fontId="58" fillId="29" borderId="60" xfId="1" applyFont="1" applyFill="1" applyBorder="1" applyAlignment="1">
      <alignment horizontal="center" vertical="center"/>
    </xf>
    <xf numFmtId="0" fontId="58" fillId="29" borderId="61" xfId="1" applyFont="1" applyFill="1" applyBorder="1" applyAlignment="1">
      <alignment horizontal="center" vertical="center"/>
    </xf>
    <xf numFmtId="0" fontId="58" fillId="29" borderId="62" xfId="1" applyFont="1" applyFill="1" applyBorder="1" applyAlignment="1">
      <alignment horizontal="center" vertical="center"/>
    </xf>
    <xf numFmtId="177" fontId="45" fillId="0" borderId="23" xfId="0" applyNumberFormat="1" applyFont="1" applyFill="1" applyBorder="1" applyAlignment="1">
      <alignment horizontal="center" vertical="center"/>
    </xf>
    <xf numFmtId="177" fontId="45" fillId="0" borderId="71" xfId="0" applyNumberFormat="1" applyFont="1" applyFill="1" applyBorder="1" applyAlignment="1">
      <alignment horizontal="center" vertical="center"/>
    </xf>
    <xf numFmtId="177" fontId="45" fillId="0" borderId="60" xfId="0" applyNumberFormat="1" applyFont="1" applyFill="1" applyBorder="1" applyAlignment="1">
      <alignment horizontal="center" vertical="center"/>
    </xf>
    <xf numFmtId="177" fontId="45" fillId="0" borderId="62" xfId="0" applyNumberFormat="1" applyFont="1" applyFill="1" applyBorder="1" applyAlignment="1">
      <alignment horizontal="center" vertical="center"/>
    </xf>
    <xf numFmtId="177" fontId="48" fillId="0" borderId="60" xfId="0" applyNumberFormat="1" applyFont="1" applyFill="1" applyBorder="1" applyAlignment="1">
      <alignment horizontal="center" vertical="center"/>
    </xf>
    <xf numFmtId="177" fontId="48" fillId="0" borderId="62" xfId="0" applyNumberFormat="1" applyFont="1" applyFill="1" applyBorder="1" applyAlignment="1">
      <alignment horizontal="center" vertical="center"/>
    </xf>
    <xf numFmtId="177" fontId="83" fillId="14" borderId="207" xfId="0" applyNumberFormat="1" applyFont="1" applyFill="1" applyBorder="1" applyAlignment="1">
      <alignment horizontal="center" vertical="center" wrapText="1"/>
    </xf>
    <xf numFmtId="177" fontId="83" fillId="14" borderId="208" xfId="0" applyNumberFormat="1" applyFont="1" applyFill="1" applyBorder="1" applyAlignment="1">
      <alignment horizontal="center" vertical="center" wrapText="1"/>
    </xf>
    <xf numFmtId="0" fontId="98" fillId="42" borderId="0" xfId="0" applyFont="1" applyFill="1" applyAlignment="1">
      <alignment horizontal="left" vertical="center" wrapText="1"/>
    </xf>
    <xf numFmtId="0" fontId="0" fillId="20" borderId="0" xfId="0" applyFill="1" applyAlignment="1">
      <alignment horizontal="center" vertical="center"/>
    </xf>
    <xf numFmtId="9" fontId="45" fillId="0" borderId="23" xfId="0" applyNumberFormat="1" applyFont="1" applyBorder="1" applyAlignment="1">
      <alignment horizontal="center" vertical="center"/>
    </xf>
    <xf numFmtId="9" fontId="45" fillId="0" borderId="71" xfId="0" applyNumberFormat="1" applyFont="1" applyBorder="1" applyAlignment="1">
      <alignment horizontal="center" vertical="center"/>
    </xf>
    <xf numFmtId="9" fontId="45" fillId="0" borderId="60" xfId="0" applyNumberFormat="1" applyFont="1" applyBorder="1" applyAlignment="1">
      <alignment horizontal="center" vertical="center"/>
    </xf>
    <xf numFmtId="9" fontId="45" fillId="0" borderId="62" xfId="0" applyNumberFormat="1" applyFont="1" applyBorder="1" applyAlignment="1">
      <alignment horizontal="center" vertical="center"/>
    </xf>
    <xf numFmtId="0" fontId="88" fillId="2" borderId="23" xfId="1" applyFont="1" applyFill="1" applyBorder="1" applyAlignment="1">
      <alignment horizontal="center" vertical="center"/>
    </xf>
    <xf numFmtId="0" fontId="88" fillId="2" borderId="71" xfId="1" applyFont="1" applyFill="1" applyBorder="1" applyAlignment="1">
      <alignment horizontal="center" vertical="center"/>
    </xf>
    <xf numFmtId="177" fontId="0" fillId="2" borderId="0" xfId="0" applyNumberFormat="1" applyFill="1" applyBorder="1" applyAlignment="1">
      <alignment horizontal="center" vertical="center" wrapText="1"/>
    </xf>
    <xf numFmtId="177" fontId="13" fillId="27" borderId="124" xfId="0" applyNumberFormat="1" applyFont="1" applyFill="1" applyBorder="1" applyAlignment="1">
      <alignment horizontal="center" vertical="center"/>
    </xf>
    <xf numFmtId="177" fontId="13" fillId="27" borderId="135" xfId="0" applyNumberFormat="1" applyFont="1" applyFill="1" applyBorder="1" applyAlignment="1">
      <alignment horizontal="center" vertical="center"/>
    </xf>
    <xf numFmtId="177" fontId="0" fillId="2" borderId="134" xfId="0" applyNumberFormat="1" applyFill="1" applyBorder="1" applyAlignment="1">
      <alignment horizontal="center" vertical="center" wrapText="1"/>
    </xf>
    <xf numFmtId="177" fontId="0" fillId="2" borderId="136" xfId="0" applyNumberFormat="1" applyFill="1" applyBorder="1" applyAlignment="1">
      <alignment horizontal="center" vertical="center" wrapText="1"/>
    </xf>
    <xf numFmtId="177" fontId="13" fillId="24" borderId="125" xfId="0" applyNumberFormat="1" applyFont="1" applyFill="1" applyBorder="1" applyAlignment="1">
      <alignment horizontal="center" vertical="center"/>
    </xf>
    <xf numFmtId="177" fontId="0" fillId="2" borderId="8" xfId="0" applyNumberFormat="1" applyFill="1" applyBorder="1" applyAlignment="1">
      <alignment horizontal="center" vertical="center"/>
    </xf>
    <xf numFmtId="177" fontId="0" fillId="2" borderId="85" xfId="0" applyNumberFormat="1" applyFill="1" applyBorder="1" applyAlignment="1">
      <alignment horizontal="center" vertical="center"/>
    </xf>
    <xf numFmtId="177" fontId="0" fillId="2" borderId="33" xfId="0" applyNumberFormat="1" applyFill="1" applyBorder="1" applyAlignment="1">
      <alignment horizontal="center" vertical="center" wrapText="1"/>
    </xf>
    <xf numFmtId="10" fontId="21" fillId="2" borderId="72" xfId="0" applyNumberFormat="1" applyFont="1" applyFill="1" applyBorder="1" applyAlignment="1">
      <alignment horizontal="center" vertical="center"/>
    </xf>
    <xf numFmtId="10" fontId="21" fillId="2" borderId="73" xfId="0" applyNumberFormat="1" applyFont="1" applyFill="1" applyBorder="1" applyAlignment="1">
      <alignment horizontal="center" vertical="center"/>
    </xf>
    <xf numFmtId="177" fontId="0" fillId="13" borderId="0" xfId="0" applyNumberFormat="1" applyFill="1" applyBorder="1" applyAlignment="1">
      <alignment horizontal="center" vertical="center" wrapText="1"/>
    </xf>
    <xf numFmtId="177" fontId="0" fillId="2" borderId="41" xfId="0" applyNumberFormat="1" applyFill="1" applyBorder="1" applyAlignment="1">
      <alignment horizontal="center" vertical="center" wrapText="1"/>
    </xf>
    <xf numFmtId="177" fontId="0" fillId="2" borderId="74" xfId="0" applyNumberFormat="1" applyFill="1" applyBorder="1" applyAlignment="1">
      <alignment horizontal="center" vertical="center" wrapText="1"/>
    </xf>
    <xf numFmtId="177" fontId="0" fillId="2" borderId="34" xfId="0" applyNumberFormat="1" applyFill="1" applyBorder="1" applyAlignment="1">
      <alignment horizontal="center" vertical="center" wrapText="1"/>
    </xf>
    <xf numFmtId="177" fontId="0" fillId="3" borderId="110" xfId="0" applyNumberFormat="1" applyFill="1" applyBorder="1" applyAlignment="1">
      <alignment horizontal="center" vertical="center"/>
    </xf>
    <xf numFmtId="177" fontId="0" fillId="3" borderId="111" xfId="0" applyNumberFormat="1" applyFill="1" applyBorder="1" applyAlignment="1">
      <alignment horizontal="center" vertical="center"/>
    </xf>
    <xf numFmtId="177" fontId="0" fillId="3" borderId="48" xfId="0" applyNumberFormat="1" applyFill="1" applyBorder="1" applyAlignment="1">
      <alignment horizontal="center" vertical="center"/>
    </xf>
    <xf numFmtId="177" fontId="0" fillId="3" borderId="49" xfId="0" applyNumberFormat="1" applyFill="1" applyBorder="1" applyAlignment="1">
      <alignment horizontal="center" vertical="center"/>
    </xf>
    <xf numFmtId="177" fontId="0" fillId="3" borderId="57" xfId="0" applyNumberFormat="1" applyFill="1" applyBorder="1" applyAlignment="1">
      <alignment horizontal="center" vertical="center"/>
    </xf>
    <xf numFmtId="177" fontId="0" fillId="3" borderId="58" xfId="0" applyNumberFormat="1" applyFill="1" applyBorder="1" applyAlignment="1">
      <alignment horizontal="center" vertical="center"/>
    </xf>
    <xf numFmtId="177" fontId="14" fillId="20" borderId="15" xfId="0" applyNumberFormat="1" applyFont="1" applyFill="1" applyBorder="1" applyAlignment="1">
      <alignment horizontal="center" vertical="center"/>
    </xf>
    <xf numFmtId="0" fontId="0" fillId="15" borderId="23" xfId="0" applyFill="1" applyBorder="1" applyAlignment="1">
      <alignment horizontal="center" vertical="center"/>
    </xf>
    <xf numFmtId="0" fontId="0" fillId="15" borderId="71" xfId="0" applyFill="1" applyBorder="1" applyAlignment="1">
      <alignment horizontal="center" vertical="center"/>
    </xf>
    <xf numFmtId="0" fontId="0" fillId="15" borderId="60" xfId="0" applyFill="1" applyBorder="1" applyAlignment="1">
      <alignment horizontal="center" vertical="center"/>
    </xf>
    <xf numFmtId="0" fontId="0" fillId="15" borderId="62" xfId="0" applyFill="1" applyBorder="1" applyAlignment="1">
      <alignment horizontal="center" vertical="center"/>
    </xf>
    <xf numFmtId="0" fontId="0" fillId="16" borderId="106" xfId="0" applyFill="1" applyBorder="1" applyAlignment="1">
      <alignment horizontal="center" vertical="center" wrapText="1"/>
    </xf>
    <xf numFmtId="0" fontId="0" fillId="16" borderId="107" xfId="0" applyFill="1" applyBorder="1" applyAlignment="1">
      <alignment horizontal="center" vertical="center" wrapText="1"/>
    </xf>
    <xf numFmtId="176" fontId="0" fillId="3" borderId="100" xfId="0" applyNumberFormat="1" applyFill="1" applyBorder="1" applyAlignment="1">
      <alignment horizontal="center" vertical="center"/>
    </xf>
    <xf numFmtId="176" fontId="0" fillId="3" borderId="99" xfId="0" applyNumberFormat="1" applyFill="1" applyBorder="1" applyAlignment="1">
      <alignment horizontal="center" vertical="center"/>
    </xf>
    <xf numFmtId="0" fontId="13" fillId="13" borderId="26" xfId="0" applyFont="1" applyFill="1" applyBorder="1" applyAlignment="1">
      <alignment horizontal="center" vertical="center"/>
    </xf>
    <xf numFmtId="0" fontId="14" fillId="13" borderId="26" xfId="0" applyFont="1" applyFill="1" applyBorder="1" applyAlignment="1">
      <alignment horizontal="center" vertical="center"/>
    </xf>
    <xf numFmtId="0" fontId="0" fillId="16" borderId="104" xfId="0" applyFill="1" applyBorder="1" applyAlignment="1">
      <alignment horizontal="center" vertical="center" wrapText="1"/>
    </xf>
    <xf numFmtId="0" fontId="0" fillId="16" borderId="28" xfId="0" applyFill="1" applyBorder="1" applyAlignment="1">
      <alignment horizontal="center" vertical="center" wrapText="1"/>
    </xf>
    <xf numFmtId="0" fontId="0" fillId="3" borderId="105" xfId="0" applyFill="1" applyBorder="1" applyAlignment="1">
      <alignment horizontal="center" vertical="center"/>
    </xf>
    <xf numFmtId="0" fontId="0" fillId="3" borderId="35" xfId="0" applyFill="1" applyBorder="1" applyAlignment="1">
      <alignment horizontal="center" vertical="center"/>
    </xf>
    <xf numFmtId="0" fontId="0" fillId="15" borderId="131" xfId="0" applyFill="1" applyBorder="1" applyAlignment="1">
      <alignment horizontal="center" vertical="center"/>
    </xf>
    <xf numFmtId="0" fontId="0" fillId="15" borderId="132" xfId="0" applyFill="1" applyBorder="1" applyAlignment="1">
      <alignment horizontal="center" vertical="center"/>
    </xf>
    <xf numFmtId="0" fontId="0" fillId="15" borderId="133" xfId="0" applyFill="1" applyBorder="1" applyAlignment="1">
      <alignment horizontal="center" vertical="center"/>
    </xf>
    <xf numFmtId="0" fontId="0" fillId="15" borderId="109" xfId="0" applyFill="1" applyBorder="1" applyAlignment="1">
      <alignment horizontal="center" vertical="center"/>
    </xf>
    <xf numFmtId="0" fontId="0" fillId="2" borderId="119" xfId="0" applyFill="1" applyBorder="1" applyAlignment="1">
      <alignment horizontal="center" vertical="center"/>
    </xf>
    <xf numFmtId="0" fontId="0" fillId="2" borderId="130" xfId="0" applyFill="1" applyBorder="1" applyAlignment="1">
      <alignment horizontal="center" vertical="center"/>
    </xf>
    <xf numFmtId="0" fontId="0" fillId="2" borderId="129" xfId="0" applyFill="1" applyBorder="1" applyAlignment="1">
      <alignment horizontal="center" vertical="center"/>
    </xf>
    <xf numFmtId="0" fontId="0" fillId="2" borderId="27" xfId="0" applyFill="1" applyBorder="1" applyAlignment="1">
      <alignment horizontal="center" vertical="center"/>
    </xf>
    <xf numFmtId="0" fontId="0" fillId="2" borderId="10" xfId="0" applyFill="1" applyBorder="1" applyAlignment="1">
      <alignment horizontal="center" vertical="center"/>
    </xf>
    <xf numFmtId="0" fontId="0" fillId="2" borderId="36" xfId="0" applyFill="1" applyBorder="1" applyAlignment="1">
      <alignment horizontal="center" vertical="center"/>
    </xf>
    <xf numFmtId="0" fontId="0" fillId="2" borderId="128" xfId="0" applyFill="1" applyBorder="1" applyAlignment="1">
      <alignment horizontal="center" vertical="center"/>
    </xf>
    <xf numFmtId="0" fontId="0" fillId="2" borderId="19" xfId="0" applyFill="1" applyBorder="1" applyAlignment="1">
      <alignment horizontal="center" vertical="center"/>
    </xf>
    <xf numFmtId="0" fontId="0" fillId="2" borderId="126" xfId="0" applyFill="1" applyBorder="1" applyAlignment="1">
      <alignment horizontal="center" vertical="center"/>
    </xf>
    <xf numFmtId="178" fontId="0" fillId="2" borderId="113" xfId="0" applyNumberFormat="1" applyFill="1" applyBorder="1" applyAlignment="1">
      <alignment horizontal="center" vertical="center"/>
    </xf>
    <xf numFmtId="178" fontId="0" fillId="2" borderId="114" xfId="0" applyNumberFormat="1" applyFill="1" applyBorder="1" applyAlignment="1">
      <alignment horizontal="center" vertical="center"/>
    </xf>
    <xf numFmtId="0" fontId="0" fillId="17" borderId="77" xfId="0" applyFill="1" applyBorder="1" applyAlignment="1">
      <alignment horizontal="center" vertical="center"/>
    </xf>
    <xf numFmtId="0" fontId="0" fillId="17" borderId="115" xfId="0" applyFill="1" applyBorder="1" applyAlignment="1">
      <alignment horizontal="center" vertical="center"/>
    </xf>
    <xf numFmtId="0" fontId="41" fillId="2" borderId="24" xfId="1" applyFont="1" applyFill="1" applyBorder="1" applyAlignment="1">
      <alignment horizontal="center" vertical="center" wrapText="1"/>
    </xf>
    <xf numFmtId="0" fontId="41" fillId="2" borderId="25" xfId="1" applyFont="1" applyFill="1" applyBorder="1" applyAlignment="1">
      <alignment horizontal="center" vertical="center" wrapText="1"/>
    </xf>
    <xf numFmtId="176" fontId="57" fillId="2" borderId="8" xfId="1" applyNumberFormat="1" applyFont="1" applyFill="1" applyBorder="1" applyAlignment="1">
      <alignment horizontal="center" vertical="center"/>
    </xf>
    <xf numFmtId="176" fontId="41" fillId="2" borderId="9" xfId="1" applyNumberFormat="1" applyFont="1" applyFill="1" applyBorder="1" applyAlignment="1">
      <alignment horizontal="center" vertical="center"/>
    </xf>
    <xf numFmtId="176" fontId="41" fillId="2" borderId="85" xfId="1" applyNumberFormat="1" applyFont="1" applyFill="1" applyBorder="1" applyAlignment="1">
      <alignment horizontal="center" vertical="center"/>
    </xf>
    <xf numFmtId="0" fontId="42" fillId="35" borderId="8" xfId="1" applyFont="1" applyFill="1" applyBorder="1" applyAlignment="1">
      <alignment horizontal="center" vertical="center"/>
    </xf>
    <xf numFmtId="0" fontId="44" fillId="35" borderId="9" xfId="1" applyFont="1" applyFill="1" applyBorder="1" applyAlignment="1">
      <alignment horizontal="center" vertical="center"/>
    </xf>
    <xf numFmtId="0" fontId="44" fillId="35" borderId="85" xfId="1" applyFont="1" applyFill="1" applyBorder="1" applyAlignment="1">
      <alignment horizontal="center" vertical="center"/>
    </xf>
    <xf numFmtId="0" fontId="4" fillId="2" borderId="77" xfId="1" applyFill="1" applyBorder="1" applyAlignment="1">
      <alignment horizontal="center" vertical="center"/>
    </xf>
    <xf numFmtId="0" fontId="4" fillId="2" borderId="78" xfId="1" applyFill="1" applyBorder="1" applyAlignment="1">
      <alignment horizontal="center" vertical="center"/>
    </xf>
    <xf numFmtId="0" fontId="4" fillId="2" borderId="115" xfId="1" applyFill="1" applyBorder="1" applyAlignment="1">
      <alignment horizontal="center" vertical="center"/>
    </xf>
    <xf numFmtId="0" fontId="63" fillId="20" borderId="0" xfId="0" applyFont="1" applyFill="1" applyBorder="1" applyAlignment="1">
      <alignment horizontal="left" vertical="top" wrapText="1"/>
    </xf>
    <xf numFmtId="0" fontId="65" fillId="20" borderId="0" xfId="1" applyFont="1" applyFill="1" applyAlignment="1">
      <alignment horizontal="center" vertical="center"/>
    </xf>
    <xf numFmtId="0" fontId="64" fillId="20" borderId="23" xfId="0" applyFont="1" applyFill="1" applyBorder="1" applyAlignment="1">
      <alignment horizontal="left" vertical="top" wrapText="1"/>
    </xf>
    <xf numFmtId="0" fontId="64" fillId="20" borderId="46" xfId="0" applyFont="1" applyFill="1" applyBorder="1" applyAlignment="1">
      <alignment horizontal="left" vertical="top" wrapText="1"/>
    </xf>
    <xf numFmtId="0" fontId="64" fillId="20" borderId="71" xfId="0" applyFont="1" applyFill="1" applyBorder="1" applyAlignment="1">
      <alignment horizontal="left" vertical="top" wrapText="1"/>
    </xf>
    <xf numFmtId="0" fontId="64" fillId="20" borderId="53" xfId="0" applyFont="1" applyFill="1" applyBorder="1" applyAlignment="1">
      <alignment horizontal="left" vertical="top" wrapText="1"/>
    </xf>
    <xf numFmtId="0" fontId="64" fillId="20" borderId="0" xfId="0" applyFont="1" applyFill="1" applyBorder="1" applyAlignment="1">
      <alignment horizontal="left" vertical="top" wrapText="1"/>
    </xf>
    <xf numFmtId="0" fontId="64" fillId="20" borderId="56" xfId="0" applyFont="1" applyFill="1" applyBorder="1" applyAlignment="1">
      <alignment horizontal="left" vertical="top" wrapText="1"/>
    </xf>
    <xf numFmtId="0" fontId="64" fillId="20" borderId="60" xfId="0" applyFont="1" applyFill="1" applyBorder="1" applyAlignment="1">
      <alignment horizontal="left" vertical="top" wrapText="1"/>
    </xf>
    <xf numFmtId="0" fontId="64" fillId="20" borderId="61" xfId="0" applyFont="1" applyFill="1" applyBorder="1" applyAlignment="1">
      <alignment horizontal="left" vertical="top" wrapText="1"/>
    </xf>
    <xf numFmtId="0" fontId="64" fillId="20" borderId="62" xfId="0" applyFont="1" applyFill="1" applyBorder="1" applyAlignment="1">
      <alignment horizontal="left" vertical="top" wrapText="1"/>
    </xf>
    <xf numFmtId="0" fontId="4" fillId="35" borderId="159" xfId="1" applyFill="1" applyBorder="1" applyAlignment="1">
      <alignment horizontal="center" vertical="center"/>
    </xf>
    <xf numFmtId="0" fontId="4" fillId="35" borderId="29" xfId="1" applyFill="1" applyBorder="1" applyAlignment="1">
      <alignment horizontal="center" vertical="center"/>
    </xf>
    <xf numFmtId="0" fontId="4" fillId="35" borderId="160" xfId="1" applyFill="1" applyBorder="1" applyAlignment="1">
      <alignment horizontal="center" vertical="center"/>
    </xf>
    <xf numFmtId="0" fontId="4" fillId="35" borderId="161" xfId="1" applyFill="1" applyBorder="1" applyAlignment="1">
      <alignment horizontal="center" vertical="center"/>
    </xf>
    <xf numFmtId="0" fontId="4" fillId="35" borderId="0" xfId="1" applyFill="1" applyBorder="1" applyAlignment="1">
      <alignment horizontal="center" vertical="center"/>
    </xf>
    <xf numFmtId="0" fontId="4" fillId="35" borderId="162" xfId="1" applyFill="1" applyBorder="1" applyAlignment="1">
      <alignment horizontal="center" vertical="center"/>
    </xf>
    <xf numFmtId="0" fontId="4" fillId="35" borderId="163" xfId="1" applyFill="1" applyBorder="1" applyAlignment="1">
      <alignment horizontal="center" vertical="center"/>
    </xf>
    <xf numFmtId="0" fontId="4" fillId="35" borderId="164" xfId="1" applyFill="1" applyBorder="1" applyAlignment="1">
      <alignment horizontal="center" vertical="center"/>
    </xf>
    <xf numFmtId="0" fontId="4" fillId="35" borderId="109" xfId="1" applyFill="1" applyBorder="1" applyAlignment="1">
      <alignment horizontal="center" vertical="center"/>
    </xf>
    <xf numFmtId="0" fontId="44" fillId="2" borderId="0" xfId="1" applyFont="1" applyFill="1" applyAlignment="1">
      <alignment horizontal="center" vertical="center"/>
    </xf>
    <xf numFmtId="0" fontId="39" fillId="14" borderId="0" xfId="0" applyFont="1" applyFill="1" applyAlignment="1">
      <alignment horizontal="center" vertical="center" wrapText="1"/>
    </xf>
    <xf numFmtId="0" fontId="53" fillId="50" borderId="0" xfId="0" applyFont="1" applyFill="1" applyAlignment="1">
      <alignment horizontal="center" vertical="center" wrapText="1"/>
    </xf>
    <xf numFmtId="0" fontId="54" fillId="2" borderId="0" xfId="0" applyFont="1" applyFill="1" applyAlignment="1">
      <alignment horizontal="left" vertical="center"/>
    </xf>
    <xf numFmtId="0" fontId="53" fillId="51" borderId="0" xfId="0" applyFont="1" applyFill="1" applyAlignment="1">
      <alignment horizontal="center" vertical="center" wrapText="1"/>
    </xf>
    <xf numFmtId="0" fontId="55" fillId="2" borderId="0" xfId="0" applyFont="1" applyFill="1" applyAlignment="1">
      <alignment horizontal="left" vertical="center"/>
    </xf>
    <xf numFmtId="0" fontId="53" fillId="13" borderId="0" xfId="0" applyFont="1" applyFill="1" applyAlignment="1">
      <alignment horizontal="center" vertical="center" wrapText="1"/>
    </xf>
    <xf numFmtId="0" fontId="0" fillId="34" borderId="0" xfId="0" applyFill="1" applyAlignment="1">
      <alignment horizontal="center" vertical="center"/>
    </xf>
    <xf numFmtId="0" fontId="38" fillId="13" borderId="0" xfId="0" applyFont="1" applyFill="1" applyAlignment="1">
      <alignment horizontal="center" vertical="center" wrapText="1"/>
    </xf>
    <xf numFmtId="0" fontId="56" fillId="12" borderId="0" xfId="0" applyFont="1" applyFill="1" applyAlignment="1">
      <alignment horizontal="center" vertical="center"/>
    </xf>
    <xf numFmtId="0" fontId="56" fillId="12" borderId="61" xfId="0" applyFont="1" applyFill="1" applyBorder="1" applyAlignment="1">
      <alignment horizontal="center" vertical="center"/>
    </xf>
    <xf numFmtId="0" fontId="16" fillId="13" borderId="0" xfId="0" applyFont="1" applyFill="1" applyAlignment="1">
      <alignment horizontal="center" vertical="center"/>
    </xf>
    <xf numFmtId="0" fontId="53" fillId="0" borderId="0" xfId="0" applyFont="1" applyAlignment="1">
      <alignment horizontal="center" vertical="center" wrapText="1"/>
    </xf>
    <xf numFmtId="0" fontId="16" fillId="0" borderId="0" xfId="0" applyFont="1" applyAlignment="1">
      <alignment horizontal="center" vertical="center"/>
    </xf>
    <xf numFmtId="0" fontId="0" fillId="33" borderId="23" xfId="0" applyFill="1" applyBorder="1" applyAlignment="1">
      <alignment horizontal="center" vertical="center"/>
    </xf>
    <xf numFmtId="0" fontId="0" fillId="33" borderId="60" xfId="0" applyFill="1" applyBorder="1" applyAlignment="1">
      <alignment horizontal="center" vertical="center"/>
    </xf>
    <xf numFmtId="176" fontId="0" fillId="3" borderId="46" xfId="0" applyNumberFormat="1" applyFill="1" applyBorder="1" applyAlignment="1">
      <alignment horizontal="center" vertical="center"/>
    </xf>
    <xf numFmtId="176" fontId="0" fillId="3" borderId="61" xfId="0" applyNumberFormat="1" applyFill="1" applyBorder="1" applyAlignment="1">
      <alignment horizontal="center" vertical="center"/>
    </xf>
    <xf numFmtId="176" fontId="0" fillId="3" borderId="71" xfId="0" applyNumberFormat="1" applyFill="1" applyBorder="1" applyAlignment="1">
      <alignment horizontal="center" vertical="center"/>
    </xf>
    <xf numFmtId="176" fontId="0" fillId="3" borderId="62" xfId="0" applyNumberFormat="1" applyFill="1" applyBorder="1" applyAlignment="1">
      <alignment horizontal="center" vertical="center"/>
    </xf>
    <xf numFmtId="0" fontId="56" fillId="26" borderId="0" xfId="0" applyFont="1" applyFill="1" applyAlignment="1">
      <alignment horizontal="center" vertical="center"/>
    </xf>
    <xf numFmtId="0" fontId="34" fillId="17" borderId="12" xfId="0" applyFont="1" applyFill="1" applyBorder="1" applyAlignment="1">
      <alignment horizontal="center" vertical="center" wrapText="1"/>
    </xf>
    <xf numFmtId="0" fontId="34" fillId="17" borderId="15"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34" fillId="17" borderId="91" xfId="0" applyFont="1" applyFill="1" applyBorder="1" applyAlignment="1">
      <alignment horizontal="center" vertical="center" wrapText="1"/>
    </xf>
    <xf numFmtId="0" fontId="34" fillId="2" borderId="1" xfId="0" applyFont="1" applyFill="1" applyBorder="1" applyAlignment="1">
      <alignment horizontal="center" vertical="center"/>
    </xf>
    <xf numFmtId="0" fontId="34" fillId="2" borderId="90" xfId="0" applyFont="1" applyFill="1" applyBorder="1" applyAlignment="1">
      <alignment horizontal="center" vertical="center"/>
    </xf>
    <xf numFmtId="181" fontId="52" fillId="47" borderId="0" xfId="0" applyNumberFormat="1" applyFont="1" applyFill="1" applyAlignment="1">
      <alignment horizontal="center" vertical="center"/>
    </xf>
    <xf numFmtId="181" fontId="52" fillId="48" borderId="174" xfId="0" applyNumberFormat="1" applyFont="1" applyFill="1" applyBorder="1" applyAlignment="1">
      <alignment horizontal="center" vertical="center"/>
    </xf>
    <xf numFmtId="181" fontId="52" fillId="48" borderId="0" xfId="0" applyNumberFormat="1" applyFont="1" applyFill="1" applyAlignment="1">
      <alignment horizontal="center" vertical="center"/>
    </xf>
    <xf numFmtId="0" fontId="52" fillId="47" borderId="0" xfId="0" applyFont="1" applyFill="1" applyAlignment="1">
      <alignment horizontal="center" vertical="center"/>
    </xf>
    <xf numFmtId="0" fontId="52" fillId="48" borderId="0" xfId="0" applyFont="1" applyFill="1" applyAlignment="1">
      <alignment horizontal="center" vertical="center"/>
    </xf>
    <xf numFmtId="0" fontId="102" fillId="19" borderId="0" xfId="0" applyFont="1" applyFill="1" applyAlignment="1">
      <alignment horizontal="center" wrapText="1"/>
    </xf>
    <xf numFmtId="9" fontId="113" fillId="55" borderId="222" xfId="5" applyNumberFormat="1" applyFont="1" applyBorder="1" applyAlignment="1">
      <alignment horizontal="center"/>
    </xf>
    <xf numFmtId="9" fontId="113" fillId="55" borderId="223" xfId="5" applyNumberFormat="1" applyFont="1" applyBorder="1" applyAlignment="1">
      <alignment horizontal="center"/>
    </xf>
    <xf numFmtId="9" fontId="113" fillId="55" borderId="199" xfId="5" applyNumberFormat="1" applyFont="1" applyAlignment="1">
      <alignment horizontal="center"/>
    </xf>
    <xf numFmtId="0" fontId="120" fillId="38" borderId="229" xfId="0" applyFont="1" applyFill="1" applyBorder="1" applyAlignment="1">
      <alignment horizontal="center" vertical="center"/>
    </xf>
    <xf numFmtId="0" fontId="120" fillId="38" borderId="0" xfId="0" applyFont="1" applyFill="1" applyBorder="1" applyAlignment="1">
      <alignment horizontal="center" vertical="center"/>
    </xf>
    <xf numFmtId="0" fontId="120" fillId="38" borderId="0" xfId="0" applyFont="1" applyFill="1" applyAlignment="1">
      <alignment horizontal="center" vertical="center"/>
    </xf>
    <xf numFmtId="0" fontId="119" fillId="17" borderId="74" xfId="1" applyFont="1" applyFill="1" applyBorder="1" applyAlignment="1">
      <alignment horizontal="center" vertical="center"/>
    </xf>
    <xf numFmtId="0" fontId="121" fillId="2" borderId="22" xfId="1" applyFont="1" applyFill="1" applyBorder="1" applyAlignment="1">
      <alignment horizontal="center" vertical="center"/>
    </xf>
    <xf numFmtId="0" fontId="73" fillId="26" borderId="195" xfId="1" applyFont="1" applyFill="1" applyBorder="1" applyAlignment="1">
      <alignment horizontal="center" vertical="center" wrapText="1"/>
    </xf>
    <xf numFmtId="0" fontId="73" fillId="0" borderId="195" xfId="1" applyFont="1" applyBorder="1" applyAlignment="1">
      <alignment horizontal="center" vertical="center"/>
    </xf>
    <xf numFmtId="0" fontId="54" fillId="0" borderId="0" xfId="0" applyFont="1" applyAlignment="1">
      <alignment horizontal="center" vertical="center"/>
    </xf>
    <xf numFmtId="176" fontId="44" fillId="35" borderId="8" xfId="1" applyNumberFormat="1" applyFont="1" applyFill="1" applyBorder="1" applyAlignment="1">
      <alignment horizontal="center" vertical="center"/>
    </xf>
    <xf numFmtId="176" fontId="44" fillId="35" borderId="9" xfId="1" applyNumberFormat="1" applyFont="1" applyFill="1" applyBorder="1" applyAlignment="1">
      <alignment horizontal="center" vertical="center"/>
    </xf>
    <xf numFmtId="176" fontId="44" fillId="35" borderId="85" xfId="1" applyNumberFormat="1" applyFont="1" applyFill="1" applyBorder="1" applyAlignment="1">
      <alignment horizontal="center" vertical="center"/>
    </xf>
    <xf numFmtId="0" fontId="122" fillId="53" borderId="159" xfId="1" applyFont="1" applyFill="1" applyBorder="1" applyAlignment="1">
      <alignment horizontal="center" vertical="center"/>
    </xf>
    <xf numFmtId="0" fontId="122" fillId="53" borderId="29" xfId="1" applyFont="1" applyFill="1" applyBorder="1" applyAlignment="1">
      <alignment horizontal="center" vertical="center"/>
    </xf>
    <xf numFmtId="0" fontId="122" fillId="53" borderId="160" xfId="1" applyFont="1" applyFill="1" applyBorder="1" applyAlignment="1">
      <alignment horizontal="center" vertical="center"/>
    </xf>
    <xf numFmtId="0" fontId="122" fillId="53" borderId="161" xfId="1" applyFont="1" applyFill="1" applyBorder="1" applyAlignment="1">
      <alignment horizontal="center" vertical="center"/>
    </xf>
    <xf numFmtId="0" fontId="122" fillId="53" borderId="0" xfId="1" applyFont="1" applyFill="1" applyBorder="1" applyAlignment="1">
      <alignment horizontal="center" vertical="center"/>
    </xf>
    <xf numFmtId="0" fontId="122" fillId="53" borderId="162" xfId="1" applyFont="1" applyFill="1" applyBorder="1" applyAlignment="1">
      <alignment horizontal="center" vertical="center"/>
    </xf>
    <xf numFmtId="0" fontId="122" fillId="53" borderId="163" xfId="1" applyFont="1" applyFill="1" applyBorder="1" applyAlignment="1">
      <alignment horizontal="center" vertical="center"/>
    </xf>
    <xf numFmtId="0" fontId="122" fillId="53" borderId="164" xfId="1" applyFont="1" applyFill="1" applyBorder="1" applyAlignment="1">
      <alignment horizontal="center" vertical="center"/>
    </xf>
    <xf numFmtId="0" fontId="122" fillId="53" borderId="109" xfId="1" applyFont="1" applyFill="1" applyBorder="1" applyAlignment="1">
      <alignment horizontal="center" vertical="center"/>
    </xf>
    <xf numFmtId="0" fontId="99" fillId="2" borderId="22" xfId="1" applyFont="1" applyFill="1" applyBorder="1" applyAlignment="1">
      <alignment horizontal="center" vertical="center"/>
    </xf>
    <xf numFmtId="181" fontId="121" fillId="2" borderId="22" xfId="1" applyNumberFormat="1" applyFont="1" applyFill="1" applyBorder="1" applyAlignment="1">
      <alignment horizontal="center" vertical="center"/>
    </xf>
    <xf numFmtId="0" fontId="0" fillId="0" borderId="204" xfId="0" applyFill="1" applyBorder="1">
      <alignment vertical="center"/>
    </xf>
    <xf numFmtId="0" fontId="0" fillId="40" borderId="0" xfId="0" applyFont="1" applyFill="1" applyBorder="1">
      <alignment vertical="center"/>
    </xf>
    <xf numFmtId="188" fontId="74" fillId="40" borderId="0" xfId="8" applyNumberFormat="1" applyFill="1" applyBorder="1" applyAlignment="1">
      <alignment horizontal="right"/>
    </xf>
    <xf numFmtId="182" fontId="74" fillId="40" borderId="0" xfId="8" applyNumberFormat="1" applyFill="1" applyBorder="1" applyAlignment="1"/>
    <xf numFmtId="10" fontId="74" fillId="40" borderId="0" xfId="8" applyNumberFormat="1" applyFill="1" applyBorder="1" applyAlignment="1"/>
    <xf numFmtId="183" fontId="74" fillId="40" borderId="0" xfId="8" applyNumberFormat="1" applyFill="1" applyBorder="1" applyAlignment="1"/>
    <xf numFmtId="189" fontId="74" fillId="40" borderId="0" xfId="8" applyNumberFormat="1" applyFill="1" applyBorder="1" applyAlignment="1"/>
    <xf numFmtId="193" fontId="74" fillId="40" borderId="0" xfId="8" applyNumberFormat="1" applyFill="1" applyBorder="1" applyAlignment="1"/>
    <xf numFmtId="0" fontId="4" fillId="4" borderId="249" xfId="1" applyFill="1" applyBorder="1" applyAlignment="1">
      <alignment horizontal="center" vertical="center"/>
    </xf>
  </cellXfs>
  <cellStyles count="10">
    <cellStyle name="20% - 着色 1" xfId="8" builtinId="30"/>
    <cellStyle name="百分比" xfId="4" builtinId="5"/>
    <cellStyle name="标题 2" xfId="9" builtinId="17"/>
    <cellStyle name="常规" xfId="0" builtinId="0"/>
    <cellStyle name="超链接" xfId="1" builtinId="8"/>
    <cellStyle name="计算" xfId="6" builtinId="22"/>
    <cellStyle name="解释性文本" xfId="7" builtinId="53"/>
    <cellStyle name="千位分隔" xfId="3" builtinId="3"/>
    <cellStyle name="适中" xfId="2" builtinId="28"/>
    <cellStyle name="输入" xfId="5" builtinId="20"/>
  </cellStyles>
  <dxfs count="32">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font>
      <fill>
        <patternFill>
          <bgColor rgb="FFFFCC99"/>
        </patternFill>
      </fill>
      <border>
        <top style="thin">
          <color theme="0"/>
        </top>
        <bottom style="thin">
          <color theme="0"/>
        </bottom>
        <vertical/>
        <horizontal/>
      </border>
    </dxf>
    <dxf>
      <font>
        <b/>
        <i val="0"/>
      </font>
      <fill>
        <patternFill>
          <bgColor rgb="FFFFCC99"/>
        </patternFill>
      </fill>
      <border>
        <top style="thin">
          <color theme="0"/>
        </top>
        <bottom style="thin">
          <color theme="0"/>
        </bottom>
      </border>
    </dxf>
    <dxf>
      <numFmt numFmtId="182" formatCode="\$#,##0.00"/>
      <fill>
        <patternFill patternType="solid">
          <fgColor indexed="64"/>
          <bgColor theme="8" tint="0.59999389629810485"/>
        </patternFill>
      </fill>
      <alignment horizontal="general" vertical="bottom" textRotation="0" wrapText="0" indent="0" justifyLastLine="0" shrinkToFit="0" readingOrder="0"/>
    </dxf>
    <dxf>
      <numFmt numFmtId="193" formatCode="\Ξ0.000000"/>
      <fill>
        <patternFill patternType="solid">
          <fgColor indexed="64"/>
          <bgColor theme="8" tint="0.59999389629810485"/>
        </patternFill>
      </fill>
      <alignment horizontal="general" vertical="bottom" textRotation="0" wrapText="0" indent="0" justifyLastLine="0" shrinkToFit="0" readingOrder="0"/>
    </dxf>
    <dxf>
      <numFmt numFmtId="189" formatCode="[$₿]\ #,##0.000000" x16r2:formatCode16="[$₿-x-xbt2]\ #,##0.000000"/>
      <fill>
        <patternFill patternType="solid">
          <fgColor indexed="64"/>
          <bgColor theme="8" tint="0.59999389629810485"/>
        </patternFill>
      </fill>
      <alignment horizontal="general" vertical="bottom" textRotation="0" wrapText="0" indent="0" justifyLastLine="0" shrinkToFit="0" readingOrder="0"/>
    </dxf>
    <dxf>
      <numFmt numFmtId="183" formatCode="&quot;¥&quot;#,##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dxf>
    <dxf>
      <numFmt numFmtId="14" formatCode="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182" formatCode="\$#,##0.00"/>
      <alignment horizontal="general" vertical="bottom" textRotation="0" wrapText="0" indent="0" justifyLastLine="0" shrinkToFit="0" readingOrder="0"/>
    </dxf>
    <dxf>
      <numFmt numFmtId="182" formatCode="\$#,##0.00"/>
      <alignment horizontal="general" vertical="bottom" textRotation="0" wrapText="0" indent="0" justifyLastLine="0" shrinkToFit="0" readingOrder="0"/>
    </dxf>
    <dxf>
      <numFmt numFmtId="188" formatCode="[$-F800]dddd\,\ mmmm\ dd\,\ yyyy"/>
      <alignment horizontal="right" vertical="bottom" textRotation="0" wrapText="0" indent="0" justifyLastLine="0" shrinkToFit="0" readingOrder="0"/>
    </dxf>
    <dxf>
      <alignment horizontal="general" vertical="bottom" textRotation="0" wrapText="0" indent="0" justifyLastLine="0" shrinkToFit="0" readingOrder="0"/>
    </dxf>
    <dxf>
      <fill>
        <patternFill patternType="solid">
          <fgColor indexed="64"/>
          <bgColor theme="4" tint="-0.249977111117893"/>
        </patternFill>
      </fill>
      <alignment horizontal="center" vertical="center" textRotation="0" wrapText="0" indent="0" justifyLastLine="0" shrinkToFit="0" readingOrder="0"/>
    </dxf>
    <dxf>
      <numFmt numFmtId="189" formatCode="[$₿]\ #,##0.000000" x16r2:formatCode16="[$₿-x-xbt2]\ #,##0.000000"/>
    </dxf>
    <dxf>
      <numFmt numFmtId="189" formatCode="[$₿]\ #,##0.000000" x16r2:formatCode16="[$₿-x-xbt2]\ #,##0.000000"/>
    </dxf>
    <dxf>
      <numFmt numFmtId="189" formatCode="[$₿]\ #,##0.000000" x16r2:formatCode16="[$₿-x-xbt2]\ #,##0.000000"/>
    </dxf>
    <dxf>
      <numFmt numFmtId="12" formatCode="&quot;¥&quot;#,##0.00_);[Red]\(&quot;¥&quot;#,##0.00\)"/>
    </dxf>
    <dxf>
      <numFmt numFmtId="12" formatCode="&quot;¥&quot;#,##0.00_);[Red]\(&quot;¥&quot;#,##0.00\)"/>
    </dxf>
    <dxf>
      <numFmt numFmtId="14" formatCode="0.00%"/>
    </dxf>
    <dxf>
      <numFmt numFmtId="14" formatCode="0.00%"/>
    </dxf>
    <dxf>
      <numFmt numFmtId="14" formatCode="0.00%"/>
    </dxf>
    <dxf>
      <numFmt numFmtId="14" formatCode="0.00%"/>
    </dxf>
    <dxf>
      <numFmt numFmtId="14" formatCode="0.00%"/>
    </dxf>
    <dxf>
      <alignment horizontal="center" vertical="center" textRotation="0" wrapText="0" indent="0" justifyLastLine="0" shrinkToFit="0" readingOrder="0"/>
    </dxf>
  </dxfs>
  <tableStyles count="0" defaultTableStyle="TableStyleMedium2" defaultPivotStyle="PivotStyleLight16"/>
  <colors>
    <mruColors>
      <color rgb="FFD9D9D9"/>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17/06/relationships/rdRichValue" Target="richData/rdrichvalue.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3.3008247564560049E-2"/>
          <c:y val="6.7534622688292995E-2"/>
          <c:w val="0.95700423682994684"/>
          <c:h val="0.904511049022098"/>
        </c:manualLayout>
      </c:layout>
      <c:lineChart>
        <c:grouping val="standard"/>
        <c:varyColors val="0"/>
        <c:ser>
          <c:idx val="4"/>
          <c:order val="0"/>
          <c:spPr>
            <a:ln w="22225" cap="rnd">
              <a:solidFill>
                <a:schemeClr val="accent5"/>
              </a:solidFill>
            </a:ln>
            <a:effectLst>
              <a:glow rad="139700">
                <a:schemeClr val="accent5">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记录仪!$E$123:$Q$123</c:f>
              <c:numCache>
                <c:formatCode>#,##0.00_ </c:formatCode>
                <c:ptCount val="13"/>
                <c:pt idx="0">
                  <c:v>123524.11678699999</c:v>
                </c:pt>
                <c:pt idx="1">
                  <c:v>122047.97279999999</c:v>
                </c:pt>
                <c:pt idx="2">
                  <c:v>128694.62</c:v>
                </c:pt>
                <c:pt idx="3">
                  <c:v>134841.57</c:v>
                </c:pt>
                <c:pt idx="4">
                  <c:v>129667.06</c:v>
                </c:pt>
                <c:pt idx="5">
                  <c:v>135763.98560000001</c:v>
                </c:pt>
                <c:pt idx="6">
                  <c:v>131731.35280000002</c:v>
                </c:pt>
                <c:pt idx="7">
                  <c:v>134673.42980000001</c:v>
                </c:pt>
                <c:pt idx="8">
                  <c:v>234050.8216</c:v>
                </c:pt>
                <c:pt idx="9">
                  <c:v>222481.6752</c:v>
                </c:pt>
              </c:numCache>
            </c:numRef>
          </c:val>
          <c:smooth val="0"/>
          <c:extLst>
            <c:ext xmlns:c16="http://schemas.microsoft.com/office/drawing/2014/chart" uri="{C3380CC4-5D6E-409C-BE32-E72D297353CC}">
              <c16:uniqueId val="{00000012-4BBC-B143-A973-3BC39DE1B5DC}"/>
            </c:ext>
          </c:extLst>
        </c:ser>
        <c:dLbls>
          <c:dLblPos val="ctr"/>
          <c:showLegendKey val="0"/>
          <c:showVal val="1"/>
          <c:showCatName val="0"/>
          <c:showSerName val="0"/>
          <c:showPercent val="0"/>
          <c:showBubbleSize val="0"/>
        </c:dLbls>
        <c:smooth val="0"/>
        <c:axId val="2029728704"/>
        <c:axId val="2029730352"/>
      </c:lineChart>
      <c:catAx>
        <c:axId val="20297287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029730352"/>
        <c:crosses val="autoZero"/>
        <c:auto val="1"/>
        <c:lblAlgn val="ctr"/>
        <c:lblOffset val="100"/>
        <c:noMultiLvlLbl val="0"/>
      </c:catAx>
      <c:valAx>
        <c:axId val="2029730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029728704"/>
        <c:crosses val="autoZero"/>
        <c:crossBetween val="between"/>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zh-CN"/>
        </a:p>
      </c:txPr>
    </c:title>
    <c:autoTitleDeleted val="0"/>
    <c:plotArea>
      <c:layout/>
      <c:lineChart>
        <c:grouping val="standard"/>
        <c:varyColors val="0"/>
        <c:ser>
          <c:idx val="0"/>
          <c:order val="0"/>
          <c:spPr>
            <a:ln w="25400" cap="rnd">
              <a:solidFill>
                <a:schemeClr val="lt1"/>
              </a:solidFill>
              <a:round/>
            </a:ln>
            <a:effectLst>
              <a:outerShdw dist="25400" dir="2700000" algn="tl" rotWithShape="0">
                <a:schemeClr val="accent1"/>
              </a:outerShdw>
            </a:effectLst>
          </c:spPr>
          <c:marker>
            <c:symbol val="none"/>
          </c:marker>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val>
            <c:numRef>
              <c:f>记录仪!$E$33:$Q$33</c:f>
              <c:numCache>
                <c:formatCode>#,##0.00_ </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0-E95E-3B4C-963E-7D6A6545692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55710479"/>
        <c:axId val="955712511"/>
      </c:lineChart>
      <c:catAx>
        <c:axId val="9557104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1"/>
        <c:axPos val="l"/>
        <c:numFmt formatCode="#,##0.00_ " sourceLinked="1"/>
        <c:majorTickMark val="none"/>
        <c:minorTickMark val="none"/>
        <c:tickLblPos val="nextTo"/>
        <c:crossAx val="9557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记录仪!$E$94:$Q$94</c:f>
              <c:numCache>
                <c:formatCode>#,##0.00_ </c:formatCode>
                <c:ptCount val="13"/>
                <c:pt idx="0">
                  <c:v>157224.91219999999</c:v>
                </c:pt>
                <c:pt idx="1">
                  <c:v>161273.34600000002</c:v>
                </c:pt>
                <c:pt idx="2">
                  <c:v>146304.07200000001</c:v>
                </c:pt>
                <c:pt idx="3">
                  <c:v>132981.36600000004</c:v>
                </c:pt>
                <c:pt idx="4">
                  <c:v>170865.54739999998</c:v>
                </c:pt>
                <c:pt idx="5">
                  <c:v>215332.16880000004</c:v>
                </c:pt>
                <c:pt idx="6">
                  <c:v>187452.55000000005</c:v>
                </c:pt>
                <c:pt idx="7">
                  <c:v>105481.37199999997</c:v>
                </c:pt>
                <c:pt idx="8">
                  <c:v>110287.94839999999</c:v>
                </c:pt>
                <c:pt idx="9">
                  <c:v>124117.33000000002</c:v>
                </c:pt>
                <c:pt idx="10">
                  <c:v>128220.81</c:v>
                </c:pt>
                <c:pt idx="11">
                  <c:v>35460.010000000009</c:v>
                </c:pt>
                <c:pt idx="12">
                  <c:v>15865.940000000002</c:v>
                </c:pt>
              </c:numCache>
            </c:numRef>
          </c:val>
          <c:smooth val="0"/>
          <c:extLst>
            <c:ext xmlns:c16="http://schemas.microsoft.com/office/drawing/2014/chart" uri="{C3380CC4-5D6E-409C-BE32-E72D297353CC}">
              <c16:uniqueId val="{00000000-C581-3F4A-AF61-1DCB02D13B5C}"/>
            </c:ext>
          </c:extLst>
        </c:ser>
        <c:dLbls>
          <c:dLblPos val="ctr"/>
          <c:showLegendKey val="0"/>
          <c:showVal val="1"/>
          <c:showCatName val="0"/>
          <c:showSerName val="0"/>
          <c:showPercent val="0"/>
          <c:showBubbleSize val="0"/>
        </c:dLbls>
        <c:smooth val="0"/>
        <c:axId val="955710479"/>
        <c:axId val="955712511"/>
      </c:lineChart>
      <c:catAx>
        <c:axId val="9557104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zh-CN"/>
        </a:p>
      </c:txPr>
    </c:title>
    <c:autoTitleDeleted val="0"/>
    <c:plotArea>
      <c:layout/>
      <c:lineChart>
        <c:grouping val="standard"/>
        <c:varyColors val="0"/>
        <c:ser>
          <c:idx val="0"/>
          <c:order val="0"/>
          <c:spPr>
            <a:ln w="25400" cap="rnd">
              <a:solidFill>
                <a:schemeClr val="lt1"/>
              </a:solidFill>
              <a:round/>
            </a:ln>
            <a:effectLst>
              <a:outerShdw dist="25400" dir="2700000" algn="tl" rotWithShape="0">
                <a:schemeClr val="accent1"/>
              </a:outerShdw>
            </a:effectLst>
          </c:spPr>
          <c:marker>
            <c:symbol val="none"/>
          </c:marker>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val>
            <c:numRef>
              <c:f>记录仪!$E$64:$Q$64</c:f>
              <c:numCache>
                <c:formatCode>#,##0.00_ </c:formatCode>
                <c:ptCount val="13"/>
                <c:pt idx="0">
                  <c:v>74873.891700000037</c:v>
                </c:pt>
                <c:pt idx="1">
                  <c:v>46839.287899999996</c:v>
                </c:pt>
                <c:pt idx="2">
                  <c:v>1781.960000000021</c:v>
                </c:pt>
                <c:pt idx="3">
                  <c:v>78444.941400000011</c:v>
                </c:pt>
                <c:pt idx="4">
                  <c:v>136309.2757</c:v>
                </c:pt>
                <c:pt idx="5">
                  <c:v>164270.01700000005</c:v>
                </c:pt>
                <c:pt idx="6">
                  <c:v>240470.36</c:v>
                </c:pt>
                <c:pt idx="7">
                  <c:v>267484.61</c:v>
                </c:pt>
                <c:pt idx="8">
                  <c:v>244438.19400000002</c:v>
                </c:pt>
                <c:pt idx="9">
                  <c:v>334700.67799999996</c:v>
                </c:pt>
                <c:pt idx="10">
                  <c:v>230599.25049999997</c:v>
                </c:pt>
                <c:pt idx="11">
                  <c:v>246523.76520000002</c:v>
                </c:pt>
                <c:pt idx="12">
                  <c:v>69348.121999999974</c:v>
                </c:pt>
              </c:numCache>
            </c:numRef>
          </c:val>
          <c:smooth val="0"/>
          <c:extLst>
            <c:ext xmlns:c16="http://schemas.microsoft.com/office/drawing/2014/chart" uri="{C3380CC4-5D6E-409C-BE32-E72D297353CC}">
              <c16:uniqueId val="{00000000-8C59-4943-ABCD-F731CC0D4AD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55710479"/>
        <c:axId val="955712511"/>
      </c:lineChart>
      <c:catAx>
        <c:axId val="9557104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1"/>
        <c:axPos val="l"/>
        <c:numFmt formatCode="#,##0.00_ " sourceLinked="1"/>
        <c:majorTickMark val="none"/>
        <c:minorTickMark val="none"/>
        <c:tickLblPos val="nextTo"/>
        <c:crossAx val="9557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A-1E4F-9E59-EFC241B719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A-1E4F-9E59-EFC241B719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AA-1E4F-9E59-EFC241B719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EAA-1E4F-9E59-EFC241B719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EAA-1E4F-9E59-EFC241B719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EAA-1E4F-9E59-EFC241B719A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EAA-1E4F-9E59-EFC241B719A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EAA-1E4F-9E59-EFC241B719A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EAA-1E4F-9E59-EFC241B719A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EAA-1E4F-9E59-EFC241B719AC}"/>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5-D860-9A40-9C0F-F3066B48240B}"/>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D860-9A40-9C0F-F3066B48240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6-D860-9A40-9C0F-F3066B48240B}"/>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860-9A40-9C0F-F3066B48240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E-D860-9A40-9C0F-F3066B48240B}"/>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860-9A40-9C0F-F3066B48240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4-D860-9A40-9C0F-F3066B4824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币安</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D88-B84F-86B7-7AF828DE6C00}"/>
              </c:ext>
            </c:extLst>
          </c:dPt>
          <c:val>
            <c:numRef>
              <c:f>币圈空间站!$E$75:$N$75</c:f>
              <c:numCache>
                <c:formatCode>General</c:formatCode>
                <c:ptCount val="10"/>
                <c:pt idx="0">
                  <c:v>0.75</c:v>
                </c:pt>
                <c:pt idx="1">
                  <c:v>0.25</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FD88-B84F-86B7-7AF828DE6C00}"/>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FD88-B84F-86B7-7AF828DE6C00}"/>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FD88-B84F-86B7-7AF828DE6C00}"/>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D88-B84F-86B7-7AF828DE6C00}"/>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FD88-B84F-86B7-7AF828DE6C00}"/>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FD88-B84F-86B7-7AF828DE6C00}"/>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FD88-B84F-86B7-7AF828DE6C0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FCE0-9447-B5DE-452A2AD2897D}"/>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FCE0-9447-B5DE-452A2AD2897D}"/>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FCE0-9447-B5DE-452A2AD2897D}"/>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FCE0-9447-B5DE-452A2AD2897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AA93-534F-A5EB-B18068ADB66B}"/>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AA93-534F-A5EB-B18068ADB66B}"/>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AA93-534F-A5EB-B18068ADB66B}"/>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AA93-534F-A5EB-B18068ADB66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zh-CN" altLang="zh-CN" sz="1800" b="1" i="0" baseline="0">
                <a:effectLst/>
              </a:rPr>
              <a:t>比坊梦全球互联网</a:t>
            </a:r>
            <a:r>
              <a:rPr lang="en-US" altLang="zh-CN" sz="1800" b="1" i="0" baseline="0">
                <a:effectLst/>
              </a:rPr>
              <a:t>-</a:t>
            </a:r>
            <a:r>
              <a:rPr lang="zh-CN" altLang="en-US" sz="1800" b="1" i="0" baseline="0">
                <a:effectLst/>
              </a:rPr>
              <a:t>主</a:t>
            </a:r>
            <a:r>
              <a:rPr lang="zh-CN" altLang="zh-CN" sz="1800" b="1" i="0" baseline="0">
                <a:effectLst/>
              </a:rPr>
              <a:t>动</a:t>
            </a:r>
            <a:endParaRPr lang="zh-CN" altLang="zh-C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zh-CN"/>
        </a:p>
      </c:txPr>
    </c:title>
    <c:autoTitleDeleted val="0"/>
    <c:plotArea>
      <c:layout/>
      <c:pieChart>
        <c:varyColors val="1"/>
        <c:ser>
          <c:idx val="4"/>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6-737A-2343-A826-B70A53492FB1}"/>
            </c:ext>
          </c:extLst>
        </c:ser>
        <c:ser>
          <c:idx val="5"/>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D-737A-2343-A826-B70A53492FB1}"/>
            </c:ext>
          </c:extLst>
        </c:ser>
        <c:ser>
          <c:idx val="6"/>
          <c:order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4-737A-2343-A826-B70A53492FB1}"/>
            </c:ext>
          </c:extLst>
        </c:ser>
        <c:ser>
          <c:idx val="7"/>
          <c:order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B-737A-2343-A826-B70A53492FB1}"/>
            </c:ext>
          </c:extLst>
        </c:ser>
        <c:ser>
          <c:idx val="2"/>
          <c:order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2-737A-2343-A826-B70A53492FB1}"/>
            </c:ext>
          </c:extLst>
        </c:ser>
        <c:ser>
          <c:idx val="3"/>
          <c:order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9-737A-2343-A826-B70A53492FB1}"/>
            </c:ext>
          </c:extLst>
        </c:ser>
        <c:ser>
          <c:idx val="1"/>
          <c:order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0-737A-2343-A826-B70A53492FB1}"/>
            </c:ext>
          </c:extLst>
        </c:ser>
        <c:ser>
          <c:idx val="0"/>
          <c:order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7-737A-2343-A826-B70A53492FB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比坊梦全球互联网</a:t>
            </a:r>
            <a:r>
              <a:rPr lang="en-US" altLang="zh-CN"/>
              <a:t>-</a:t>
            </a:r>
            <a:r>
              <a:rPr lang="zh-CN" altLang="en-US"/>
              <a:t>被动</a:t>
            </a:r>
            <a:endParaRPr lang="zh-CN"/>
          </a:p>
        </c:rich>
      </c:tx>
      <c:layout>
        <c:manualLayout>
          <c:xMode val="edge"/>
          <c:yMode val="edge"/>
          <c:x val="0.11820956995760146"/>
          <c:y val="2.47422680412371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D2-984D-A1D6-1E1B6F39F63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D2-984D-A1D6-1E1B6F39F63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且慢驾驶舱!$C$21:$C$22</c:f>
              <c:strCache>
                <c:ptCount val="2"/>
                <c:pt idx="0">
                  <c:v>中股</c:v>
                </c:pt>
                <c:pt idx="1">
                  <c:v>美股</c:v>
                </c:pt>
              </c:strCache>
            </c:strRef>
          </c:cat>
          <c:val>
            <c:numRef>
              <c:f>且慢驾驶舱!$I$21:$I$22</c:f>
              <c:numCache>
                <c:formatCode>General</c:formatCode>
                <c:ptCount val="2"/>
              </c:numCache>
            </c:numRef>
          </c:val>
          <c:extLst>
            <c:ext xmlns:c16="http://schemas.microsoft.com/office/drawing/2014/chart" uri="{C3380CC4-5D6E-409C-BE32-E72D297353CC}">
              <c16:uniqueId val="{00000004-67D2-984D-A1D6-1E1B6F39F63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zh-CN" altLang="zh-CN" sz="1800" b="1" i="0" baseline="0">
                <a:effectLst/>
              </a:rPr>
              <a:t>比坊梦全球互联网</a:t>
            </a:r>
            <a:r>
              <a:rPr lang="en-US" altLang="zh-CN" sz="1800" b="1" i="0" baseline="0">
                <a:effectLst/>
              </a:rPr>
              <a:t>-</a:t>
            </a:r>
            <a:r>
              <a:rPr lang="zh-CN" altLang="en-US" sz="1800" b="1" i="0" baseline="0">
                <a:effectLst/>
              </a:rPr>
              <a:t>主</a:t>
            </a:r>
            <a:r>
              <a:rPr lang="zh-CN" altLang="zh-CN" sz="1800" b="1" i="0" baseline="0">
                <a:effectLst/>
              </a:rPr>
              <a:t>动</a:t>
            </a:r>
            <a:endParaRPr lang="zh-CN" altLang="zh-C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zh-CN"/>
        </a:p>
      </c:txPr>
    </c:title>
    <c:autoTitleDeleted val="0"/>
    <c:plotArea>
      <c:layout/>
      <c:pieChart>
        <c:varyColors val="1"/>
        <c:ser>
          <c:idx val="4"/>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且慢驾驶舱!$N$17:$N$19</c:f>
              <c:numCache>
                <c:formatCode>0.00%</c:formatCode>
                <c:ptCount val="3"/>
                <c:pt idx="0">
                  <c:v>0.3024084053082029</c:v>
                </c:pt>
                <c:pt idx="1">
                  <c:v>6.1897152802664952E-2</c:v>
                </c:pt>
                <c:pt idx="2">
                  <c:v>0.63569444188913216</c:v>
                </c:pt>
              </c:numCache>
            </c:numRef>
          </c:val>
          <c:extLst>
            <c:ext xmlns:c16="http://schemas.microsoft.com/office/drawing/2014/chart" uri="{C3380CC4-5D6E-409C-BE32-E72D297353CC}">
              <c16:uniqueId val="{00000006-5A29-7447-98E3-BF440DE0AB6B}"/>
            </c:ext>
          </c:extLst>
        </c:ser>
        <c:ser>
          <c:idx val="5"/>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D-5A29-7447-98E3-BF440DE0AB6B}"/>
            </c:ext>
          </c:extLst>
        </c:ser>
        <c:ser>
          <c:idx val="6"/>
          <c:order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4-5A29-7447-98E3-BF440DE0AB6B}"/>
            </c:ext>
          </c:extLst>
        </c:ser>
        <c:ser>
          <c:idx val="7"/>
          <c:order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B-5A29-7447-98E3-BF440DE0AB6B}"/>
            </c:ext>
          </c:extLst>
        </c:ser>
        <c:ser>
          <c:idx val="2"/>
          <c:order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2-5A29-7447-98E3-BF440DE0AB6B}"/>
            </c:ext>
          </c:extLst>
        </c:ser>
        <c:ser>
          <c:idx val="3"/>
          <c:order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9-5A29-7447-98E3-BF440DE0AB6B}"/>
            </c:ext>
          </c:extLst>
        </c:ser>
        <c:ser>
          <c:idx val="1"/>
          <c:order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0-5A29-7447-98E3-BF440DE0AB6B}"/>
            </c:ext>
          </c:extLst>
        </c:ser>
        <c:ser>
          <c:idx val="0"/>
          <c:order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7-5A29-7447-98E3-BF440DE0AB6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比坊梦全球互联网</a:t>
            </a:r>
            <a:r>
              <a:rPr lang="en-US" altLang="zh-CN"/>
              <a:t>-</a:t>
            </a:r>
            <a:r>
              <a:rPr lang="zh-CN" altLang="en-US"/>
              <a:t>被动</a:t>
            </a:r>
            <a:endParaRPr lang="zh-CN"/>
          </a:p>
        </c:rich>
      </c:tx>
      <c:layout>
        <c:manualLayout>
          <c:xMode val="edge"/>
          <c:yMode val="edge"/>
          <c:x val="0.11820956995760146"/>
          <c:y val="2.47422680412371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10-1F4A-B7FE-E769D62D3B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10-1F4A-B7FE-E769D62D3B7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且慢驾驶舱!$C$21:$C$22</c:f>
              <c:strCache>
                <c:ptCount val="2"/>
                <c:pt idx="0">
                  <c:v>中股</c:v>
                </c:pt>
                <c:pt idx="1">
                  <c:v>美股</c:v>
                </c:pt>
              </c:strCache>
            </c:strRef>
          </c:cat>
          <c:val>
            <c:numRef>
              <c:f>且慢驾驶舱!$N$21:$N$22</c:f>
              <c:numCache>
                <c:formatCode>0.00%</c:formatCode>
                <c:ptCount val="2"/>
                <c:pt idx="0">
                  <c:v>0.83009550245778019</c:v>
                </c:pt>
                <c:pt idx="1">
                  <c:v>0.16990449754221978</c:v>
                </c:pt>
              </c:numCache>
            </c:numRef>
          </c:val>
          <c:extLst>
            <c:ext xmlns:c16="http://schemas.microsoft.com/office/drawing/2014/chart" uri="{C3380CC4-5D6E-409C-BE32-E72D297353CC}">
              <c16:uniqueId val="{00000004-0F10-1F4A-B7FE-E769D62D3B7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19050" cap="rnd">
              <a:solidFill>
                <a:srgbClr val="00B0F0"/>
              </a:solidFill>
              <a:round/>
            </a:ln>
            <a:effectLst/>
          </c:spPr>
          <c:marker>
            <c:symbol val="circle"/>
            <c:size val="5"/>
            <c:spPr>
              <a:solidFill>
                <a:srgbClr val="00B0F0"/>
              </a:solidFill>
              <a:ln w="9525">
                <a:solidFill>
                  <a:schemeClr val="accent1"/>
                </a:solidFill>
              </a:ln>
              <a:effectLst/>
            </c:spPr>
          </c:marker>
          <c:xVal>
            <c:numRef>
              <c:f>卓尔金历!$D$47:$J$47</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卓尔金历!$D$48:$J$48</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2E61-EB40-A0CE-A126A5AECBF3}"/>
            </c:ext>
          </c:extLst>
        </c:ser>
        <c:ser>
          <c:idx val="1"/>
          <c:order val="1"/>
          <c:tx>
            <c:v>实际</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(卓尔金历!$S$42,卓尔金历!$U$42,卓尔金历!$W$42)</c:f>
              <c:numCache>
                <c:formatCode>#,##0.00_ </c:formatCode>
                <c:ptCount val="3"/>
                <c:pt idx="0">
                  <c:v>0.14813655468287767</c:v>
                </c:pt>
                <c:pt idx="1">
                  <c:v>-7.2714895967875268E-2</c:v>
                </c:pt>
                <c:pt idx="2">
                  <c:v>3.7710829357501204E-2</c:v>
                </c:pt>
              </c:numCache>
            </c:numRef>
          </c:xVal>
          <c:yVal>
            <c:numRef>
              <c:f>(卓尔金历!$S$43,卓尔金历!$U$43,卓尔金历!$W$43)</c:f>
              <c:numCache>
                <c:formatCode>#,##0.00_ </c:formatCode>
                <c:ptCount val="3"/>
                <c:pt idx="0">
                  <c:v>2.7601150823867234E-3</c:v>
                </c:pt>
                <c:pt idx="1">
                  <c:v>0.10862995623009114</c:v>
                </c:pt>
                <c:pt idx="2">
                  <c:v>5.5695035656238935E-2</c:v>
                </c:pt>
              </c:numCache>
            </c:numRef>
          </c:yVal>
          <c:smooth val="0"/>
          <c:extLst>
            <c:ext xmlns:c16="http://schemas.microsoft.com/office/drawing/2014/chart" uri="{C3380CC4-5D6E-409C-BE32-E72D297353CC}">
              <c16:uniqueId val="{00000001-2E61-EB40-A0CE-A126A5AECBF3}"/>
            </c:ext>
          </c:extLst>
        </c:ser>
        <c:ser>
          <c:idx val="2"/>
          <c:order val="2"/>
          <c:tx>
            <c:v>理论</c:v>
          </c:tx>
          <c:spPr>
            <a:ln w="19050"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卓尔金历!$D$49:$H$49</c:f>
              <c:numCache>
                <c:formatCode>#,##0.00_ </c:formatCode>
                <c:ptCount val="5"/>
                <c:pt idx="0">
                  <c:v>0</c:v>
                </c:pt>
                <c:pt idx="1">
                  <c:v>1</c:v>
                </c:pt>
                <c:pt idx="2">
                  <c:v>-1</c:v>
                </c:pt>
                <c:pt idx="3">
                  <c:v>0</c:v>
                </c:pt>
                <c:pt idx="4">
                  <c:v>0</c:v>
                </c:pt>
              </c:numCache>
            </c:numRef>
          </c:xVal>
          <c:yVal>
            <c:numRef>
              <c:f>卓尔金历!$D$50:$H$50</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3-C3C9-084F-8646-A9CC28D6FC65}"/>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19050" cap="rnd">
              <a:solidFill>
                <a:srgbClr val="00B0F0"/>
              </a:solidFill>
              <a:round/>
            </a:ln>
            <a:effectLst/>
          </c:spPr>
          <c:marker>
            <c:symbol val="circle"/>
            <c:size val="5"/>
            <c:spPr>
              <a:solidFill>
                <a:srgbClr val="00B0F0"/>
              </a:solidFill>
              <a:ln w="9525">
                <a:solidFill>
                  <a:schemeClr val="accent1"/>
                </a:solidFill>
              </a:ln>
              <a:effectLst/>
            </c:spPr>
          </c:marker>
          <c:xVal>
            <c:numRef>
              <c:f>卓尔金历!$D$47:$J$47</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卓尔金历!$D$48:$J$48</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A583-6D47-8321-B517A0B19000}"/>
            </c:ext>
          </c:extLst>
        </c:ser>
        <c:ser>
          <c:idx val="1"/>
          <c:order val="1"/>
          <c:tx>
            <c:v>实际</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(卓尔金历!$S$42,卓尔金历!$U$42,卓尔金历!$W$42)</c:f>
              <c:numCache>
                <c:formatCode>#,##0.00_ </c:formatCode>
                <c:ptCount val="3"/>
                <c:pt idx="0">
                  <c:v>0.14813655468287767</c:v>
                </c:pt>
                <c:pt idx="1">
                  <c:v>-7.2714895967875268E-2</c:v>
                </c:pt>
                <c:pt idx="2">
                  <c:v>3.7710829357501204E-2</c:v>
                </c:pt>
              </c:numCache>
            </c:numRef>
          </c:xVal>
          <c:yVal>
            <c:numRef>
              <c:f>(卓尔金历!$S$43,卓尔金历!$U$43,卓尔金历!$W$43)</c:f>
              <c:numCache>
                <c:formatCode>#,##0.00_ </c:formatCode>
                <c:ptCount val="3"/>
                <c:pt idx="0">
                  <c:v>2.7601150823867234E-3</c:v>
                </c:pt>
                <c:pt idx="1">
                  <c:v>0.10862995623009114</c:v>
                </c:pt>
                <c:pt idx="2">
                  <c:v>5.5695035656238935E-2</c:v>
                </c:pt>
              </c:numCache>
            </c:numRef>
          </c:yVal>
          <c:smooth val="0"/>
          <c:extLst>
            <c:ext xmlns:c16="http://schemas.microsoft.com/office/drawing/2014/chart" uri="{C3380CC4-5D6E-409C-BE32-E72D297353CC}">
              <c16:uniqueId val="{00000001-A583-6D47-8321-B517A0B19000}"/>
            </c:ext>
          </c:extLst>
        </c:ser>
        <c:ser>
          <c:idx val="2"/>
          <c:order val="2"/>
          <c:tx>
            <c:v>理论</c:v>
          </c:tx>
          <c:spPr>
            <a:ln w="19050"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卓尔金历!$D$49:$H$49</c:f>
              <c:numCache>
                <c:formatCode>#,##0.00_ </c:formatCode>
                <c:ptCount val="5"/>
                <c:pt idx="0">
                  <c:v>0</c:v>
                </c:pt>
                <c:pt idx="1">
                  <c:v>1</c:v>
                </c:pt>
                <c:pt idx="2">
                  <c:v>-1</c:v>
                </c:pt>
                <c:pt idx="3">
                  <c:v>0</c:v>
                </c:pt>
                <c:pt idx="4">
                  <c:v>0</c:v>
                </c:pt>
              </c:numCache>
            </c:numRef>
          </c:xVal>
          <c:yVal>
            <c:numRef>
              <c:f>卓尔金历!$D$50:$H$50</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2-A583-6D47-8321-B517A0B19000}"/>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t>资产负债表</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C4B-1745-85C9-518B6139C11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C4B-1745-85C9-518B6139C11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总负债
</a:t>
                    </a:r>
                    <a:fld id="{E4CEA22D-B5F8-5A49-8501-111492B5F771}"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4B-1745-85C9-518B6139C11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净资产
</a:t>
                    </a:r>
                    <a:fld id="{FE19E2F2-8D0D-A344-9ECB-5F54A39335F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C4B-1745-85C9-518B6139C11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2"/>
              <c:pt idx="0">
                <c:v>0</c:v>
              </c:pt>
              <c:pt idx="1">
                <c:v>217494.91219999999</c:v>
              </c:pt>
            </c:numLit>
          </c:val>
          <c:extLst>
            <c:ext xmlns:c16="http://schemas.microsoft.com/office/drawing/2014/chart" uri="{C3380CC4-5D6E-409C-BE32-E72D297353CC}">
              <c16:uniqueId val="{00000004-0C4B-1745-85C9-518B6139C11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ltLang="en-US"/>
              <a:t>资本分布</a:t>
            </a:r>
            <a:endParaRPr lang="zh-CN"/>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F3B-C845-A3EB-601BB189940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F3B-C845-A3EB-601BB189940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F3B-C845-A3EB-601BB189940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F3B-C845-A3EB-601BB189940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F3B-C845-A3EB-601BB189940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F3B-C845-A3EB-601BB1899408}"/>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加密货币
</a:t>
                    </a:r>
                    <a:fld id="{BA31A7EB-47C0-D443-90A3-CA2E69F60050}"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F3B-C845-A3EB-601BB1899408}"/>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纳指
</a:t>
                    </a:r>
                    <a:fld id="{8B348B03-8BF1-8146-8C20-DB31A26E39D7}"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F3B-C845-A3EB-601BB189940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zh-CN"/>
                </a:p>
              </c:txPr>
              <c:dLblPos val="outEnd"/>
              <c:showLegendKey val="0"/>
              <c:showVal val="0"/>
              <c:showCatName val="1"/>
              <c:showSerName val="0"/>
              <c:showPercent val="1"/>
              <c:showBubbleSize val="0"/>
              <c:extLst>
                <c:ext xmlns:c16="http://schemas.microsoft.com/office/drawing/2014/chart" uri="{C3380CC4-5D6E-409C-BE32-E72D297353CC}">
                  <c16:uniqueId val="{00000005-9F3B-C845-A3EB-601BB189940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zh-CN"/>
                </a:p>
              </c:txPr>
              <c:dLblPos val="outEnd"/>
              <c:showLegendKey val="0"/>
              <c:showVal val="0"/>
              <c:showCatName val="1"/>
              <c:showSerName val="0"/>
              <c:showPercent val="1"/>
              <c:showBubbleSize val="0"/>
              <c:extLst>
                <c:ext xmlns:c16="http://schemas.microsoft.com/office/drawing/2014/chart" uri="{C3380CC4-5D6E-409C-BE32-E72D297353CC}">
                  <c16:uniqueId val="{00000007-9F3B-C845-A3EB-601BB1899408}"/>
                </c:ext>
              </c:extLst>
            </c:dLbl>
            <c:dLbl>
              <c:idx val="4"/>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稳定币
</a:t>
                    </a:r>
                    <a:fld id="{720FAB4C-CD95-6F4F-B6D3-F89B32CA7E8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F3B-C845-A3EB-601BB1899408}"/>
                </c:ext>
              </c:extLst>
            </c:dLbl>
            <c:dLbl>
              <c:idx val="5"/>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a:t>零钱</a:t>
                    </a:r>
                    <a:r>
                      <a:rPr lang="zh-CN" altLang="en-US" baseline="0"/>
                      <a:t>
</a:t>
                    </a:r>
                    <a:fld id="{72124E8A-855F-3D41-B497-21600B7D3A15}"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F3B-C845-A3EB-601BB189940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6"/>
              <c:pt idx="0">
                <c:v>-154.28141466093464</c:v>
              </c:pt>
              <c:pt idx="1">
                <c:v>2602.1641704158569</c:v>
              </c:pt>
              <c:pt idx="4">
                <c:v>28922.446931279355</c:v>
              </c:pt>
              <c:pt idx="5">
                <c:v>1043.2190760059614</c:v>
              </c:pt>
            </c:numLit>
          </c:val>
          <c:extLst>
            <c:ext xmlns:c16="http://schemas.microsoft.com/office/drawing/2014/chart" uri="{C3380CC4-5D6E-409C-BE32-E72D297353CC}">
              <c16:uniqueId val="{0000000C-9F3B-C845-A3EB-601BB189940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t>非稳定币资本分布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CB0-B64C-95F1-CCD75125217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CB0-B64C-95F1-CCD75125217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CB0-B64C-95F1-CCD75125217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零钱
</a:t>
                    </a:r>
                    <a:fld id="{2ED172FE-892E-154B-9770-6A9E2872BACA}"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B0-B64C-95F1-CCD75125217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a:t>加密货币</a:t>
                    </a:r>
                    <a:r>
                      <a:rPr lang="zh-CN" altLang="en-US" baseline="0"/>
                      <a:t>
</a:t>
                    </a:r>
                    <a:fld id="{FDA53C2E-631C-624C-94E2-825FA748F83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B0-B64C-95F1-CCD751252174}"/>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纳指
</a:t>
                    </a:r>
                    <a:fld id="{2FD2C4C3-E5B7-7D41-8F1E-7DAB23E42824}"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B0-B64C-95F1-CCD75125217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3"/>
              <c:pt idx="0">
                <c:v>1043.2190760059614</c:v>
              </c:pt>
              <c:pt idx="1">
                <c:v>-154.28141466093464</c:v>
              </c:pt>
              <c:pt idx="2">
                <c:v>2602.1641704158569</c:v>
              </c:pt>
            </c:numLit>
          </c:val>
          <c:extLst>
            <c:ext xmlns:c16="http://schemas.microsoft.com/office/drawing/2014/chart" uri="{C3380CC4-5D6E-409C-BE32-E72D297353CC}">
              <c16:uniqueId val="{00000006-ECB0-B64C-95F1-CCD75125217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t>资产负债表</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7D3-FA4F-B282-278894EFED1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7D3-FA4F-B282-278894EFED16}"/>
              </c:ext>
            </c:extLst>
          </c:dPt>
          <c:dLbls>
            <c:dLbl>
              <c:idx val="0"/>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总负债
</a:t>
                    </a:r>
                    <a:fld id="{FE19E2F2-8D0D-A344-9ECB-5F54A39335F3}"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D3-FA4F-B282-278894EFED16}"/>
                </c:ext>
              </c:extLst>
            </c:dLbl>
            <c:dLbl>
              <c:idx val="1"/>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净资产
</a:t>
                    </a:r>
                    <a:fld id="{B3019BB4-BFD5-0545-A2D8-8973D345A118}"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7D3-FA4F-B282-278894EFED1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'旧驾驶舱（待拆除）'!$J$23:$J$24</c:f>
              <c:numCache>
                <c:formatCode>#,##0.00_ </c:formatCode>
                <c:ptCount val="2"/>
                <c:pt idx="0">
                  <c:v>#N/A</c:v>
                </c:pt>
                <c:pt idx="1">
                  <c:v>#N/A</c:v>
                </c:pt>
              </c:numCache>
            </c:numRef>
          </c:val>
          <c:extLst>
            <c:ext xmlns:c16="http://schemas.microsoft.com/office/drawing/2014/chart" uri="{C3380CC4-5D6E-409C-BE32-E72D297353CC}">
              <c16:uniqueId val="{00000004-A7D3-FA4F-B282-278894EFED1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t>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D2A-B04B-A7D2-8E64AA2336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D2A-B04B-A7D2-8E64AA2336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D2A-B04B-A7D2-8E64AA2336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D2A-B04B-A7D2-8E64AA2336AD}"/>
              </c:ext>
            </c:extLst>
          </c:dPt>
          <c:dLbls>
            <c:dLbl>
              <c:idx val="0"/>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稳定币</a:t>
                    </a:r>
                    <a:br>
                      <a:rPr lang="zh-CN" altLang="en-US"/>
                    </a:br>
                    <a:fld id="{21AC7D85-D452-074B-93EF-C3D05449B28B}"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D2A-B04B-A7D2-8E64AA2336AD}"/>
                </c:ext>
              </c:extLst>
            </c:dLbl>
            <c:dLbl>
              <c:idx val="1"/>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加密货币</a:t>
                    </a:r>
                  </a:p>
                  <a:p>
                    <a:pPr>
                      <a:defRPr/>
                    </a:pPr>
                    <a:fld id="{F6884658-D910-7343-A775-AFFE08FDD6F4}"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D2A-B04B-A7D2-8E64AA2336AD}"/>
                </c:ext>
              </c:extLst>
            </c:dLbl>
            <c:dLbl>
              <c:idx val="2"/>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零钱</a:t>
                    </a:r>
                    <a:br>
                      <a:rPr lang="zh-CN" altLang="en-US"/>
                    </a:br>
                    <a:fld id="{139A7799-0C75-D146-9622-51752EB4659A}"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D2A-B04B-A7D2-8E64AA2336AD}"/>
                </c:ext>
              </c:extLst>
            </c:dLbl>
            <c:dLbl>
              <c:idx val="3"/>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纳指</a:t>
                    </a:r>
                    <a:br>
                      <a:rPr lang="zh-CN" altLang="en-US"/>
                    </a:br>
                    <a:fld id="{21BFF7AD-83B1-6B4E-BB99-63D3CA6B749F}"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D2A-B04B-A7D2-8E64AA2336AD}"/>
                </c:ext>
              </c:extLst>
            </c:dLbl>
            <c:spPr>
              <a:noFill/>
              <a:ln>
                <a:noFill/>
              </a:ln>
              <a:effectLst/>
            </c:sp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'旧驾驶舱（待拆除）'!$J$16:$J$19</c:f>
              <c:numCache>
                <c:formatCode>#,##0.00_ </c:formatCode>
                <c:ptCount val="4"/>
                <c:pt idx="0">
                  <c:v>#N/A</c:v>
                </c:pt>
                <c:pt idx="1">
                  <c:v>#N/A</c:v>
                </c:pt>
                <c:pt idx="2">
                  <c:v>#N/A</c:v>
                </c:pt>
                <c:pt idx="3">
                  <c:v>#N/A</c:v>
                </c:pt>
              </c:numCache>
            </c:numRef>
          </c:val>
          <c:extLst>
            <c:ext xmlns:c16="http://schemas.microsoft.com/office/drawing/2014/chart" uri="{C3380CC4-5D6E-409C-BE32-E72D297353CC}">
              <c16:uniqueId val="{0000000C-AD2A-B04B-A7D2-8E64AA2336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solidFill>
                  <a:schemeClr val="bg1">
                    <a:lumMod val="95000"/>
                  </a:schemeClr>
                </a:solidFill>
              </a:rPr>
              <a:t>非稳定币资本分布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513-D340-B3A3-D336784C009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513-D340-B3A3-D336784C009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513-D340-B3A3-D336784C009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加密货币</a:t>
                    </a:r>
                  </a:p>
                  <a:p>
                    <a:pPr>
                      <a:defRPr>
                        <a:solidFill>
                          <a:schemeClr val="bg1">
                            <a:lumMod val="95000"/>
                          </a:schemeClr>
                        </a:solidFill>
                      </a:defRPr>
                    </a:pPr>
                    <a:fld id="{8D415C06-63E5-7C43-B0CE-14AFC897F89B}" type="PERCENTAGE">
                      <a:rPr lang="en-US" altLang="zh-CN">
                        <a:solidFill>
                          <a:schemeClr val="bg1">
                            <a:lumMod val="95000"/>
                          </a:schemeClr>
                        </a:solidFill>
                      </a:rPr>
                      <a:pPr>
                        <a:defRPr>
                          <a:solidFill>
                            <a:schemeClr val="bg1">
                              <a:lumMod val="95000"/>
                            </a:schemeClr>
                          </a:solidFill>
                        </a:defRPr>
                      </a:pPr>
                      <a:t>[百分比]</a:t>
                    </a:fld>
                    <a:endParaRPr lang="zh-CN" alt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13-D340-B3A3-D336784C009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零钱</a:t>
                    </a:r>
                    <a:br>
                      <a:rPr lang="zh-CN" altLang="en-US">
                        <a:solidFill>
                          <a:schemeClr val="bg1">
                            <a:lumMod val="95000"/>
                          </a:schemeClr>
                        </a:solidFill>
                      </a:rPr>
                    </a:br>
                    <a:fld id="{E35A57DA-1218-D545-AD8C-858501A4D43D}" type="PERCENTAGE">
                      <a:rPr lang="en-US" altLang="zh-CN">
                        <a:solidFill>
                          <a:schemeClr val="bg1">
                            <a:lumMod val="95000"/>
                          </a:schemeClr>
                        </a:solidFill>
                      </a:rPr>
                      <a:pPr>
                        <a:defRPr>
                          <a:solidFill>
                            <a:schemeClr val="bg1">
                              <a:lumMod val="95000"/>
                            </a:schemeClr>
                          </a:solidFill>
                        </a:defRPr>
                      </a:pPr>
                      <a:t>[百分比]</a:t>
                    </a:fld>
                    <a:endParaRPr lang="zh-CN" altLang="en-US">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13-D340-B3A3-D336784C0094}"/>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纳指</a:t>
                    </a:r>
                    <a:br>
                      <a:rPr lang="zh-CN" altLang="en-US">
                        <a:solidFill>
                          <a:schemeClr val="bg1">
                            <a:lumMod val="95000"/>
                          </a:schemeClr>
                        </a:solidFill>
                      </a:rPr>
                    </a:br>
                    <a:fld id="{B5737FE1-C582-2F41-8FC1-891E71477D81}" type="PERCENTAGE">
                      <a:rPr lang="en-US" altLang="zh-CN">
                        <a:solidFill>
                          <a:schemeClr val="bg1">
                            <a:lumMod val="95000"/>
                          </a:schemeClr>
                        </a:solidFill>
                      </a:rPr>
                      <a:pPr>
                        <a:defRPr>
                          <a:solidFill>
                            <a:schemeClr val="bg1">
                              <a:lumMod val="95000"/>
                            </a:schemeClr>
                          </a:solidFill>
                        </a:defRPr>
                      </a:pPr>
                      <a:t>[百分比]</a:t>
                    </a:fld>
                    <a:endParaRPr lang="zh-CN" altLang="en-US">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513-D340-B3A3-D336784C009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'旧驾驶舱（待拆除）'!$J$17:$J$19</c:f>
              <c:numCache>
                <c:formatCode>#,##0.00_ </c:formatCode>
                <c:ptCount val="3"/>
                <c:pt idx="0">
                  <c:v>#N/A</c:v>
                </c:pt>
                <c:pt idx="1">
                  <c:v>#N/A</c:v>
                </c:pt>
                <c:pt idx="2">
                  <c:v>#N/A</c:v>
                </c:pt>
              </c:numCache>
            </c:numRef>
          </c:val>
          <c:extLst>
            <c:ext xmlns:c16="http://schemas.microsoft.com/office/drawing/2014/chart" uri="{C3380CC4-5D6E-409C-BE32-E72D297353CC}">
              <c16:uniqueId val="{00000006-8513-D340-B3A3-D336784C009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卓尔金历法回测结果</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卓尔金历法</c:v>
          </c:tx>
          <c:spPr>
            <a:ln w="28575" cap="rnd">
              <a:solidFill>
                <a:schemeClr val="accent1"/>
              </a:solidFill>
              <a:round/>
            </a:ln>
            <a:effectLst/>
          </c:spPr>
          <c:marker>
            <c:symbol val="none"/>
          </c:marker>
          <c:val>
            <c:numRef>
              <c:f>回测实验室!$I$470:$I$4058</c:f>
              <c:numCache>
                <c:formatCode>General</c:formatCode>
                <c:ptCount val="3589"/>
                <c:pt idx="0">
                  <c:v>1</c:v>
                </c:pt>
                <c:pt idx="1">
                  <c:v>0.99655700578143802</c:v>
                </c:pt>
                <c:pt idx="2">
                  <c:v>0.99751170787724863</c:v>
                </c:pt>
                <c:pt idx="3">
                  <c:v>1.0042512336608183</c:v>
                </c:pt>
                <c:pt idx="4">
                  <c:v>1.0235303017480697</c:v>
                </c:pt>
                <c:pt idx="5">
                  <c:v>1.0381994450023164</c:v>
                </c:pt>
                <c:pt idx="6">
                  <c:v>1.0416553358586074</c:v>
                </c:pt>
                <c:pt idx="7">
                  <c:v>1.0423953312336018</c:v>
                </c:pt>
                <c:pt idx="8">
                  <c:v>1.0381562126995971</c:v>
                </c:pt>
                <c:pt idx="9">
                  <c:v>1.039561158825461</c:v>
                </c:pt>
                <c:pt idx="10">
                  <c:v>1.0416684027600225</c:v>
                </c:pt>
                <c:pt idx="11">
                  <c:v>1.0476432623244816</c:v>
                </c:pt>
                <c:pt idx="12">
                  <c:v>1.0470976231072213</c:v>
                </c:pt>
                <c:pt idx="13">
                  <c:v>1.0469594604187153</c:v>
                </c:pt>
                <c:pt idx="14">
                  <c:v>1.0468208523885256</c:v>
                </c:pt>
                <c:pt idx="15">
                  <c:v>1.0479129087506429</c:v>
                </c:pt>
                <c:pt idx="16">
                  <c:v>1.0506388231367854</c:v>
                </c:pt>
                <c:pt idx="17">
                  <c:v>1.0513959755236408</c:v>
                </c:pt>
                <c:pt idx="18">
                  <c:v>1.0529366441107371</c:v>
                </c:pt>
                <c:pt idx="19">
                  <c:v>1.0516266950281479</c:v>
                </c:pt>
                <c:pt idx="20">
                  <c:v>1.0522940877810254</c:v>
                </c:pt>
                <c:pt idx="21">
                  <c:v>1.0522940877810254</c:v>
                </c:pt>
                <c:pt idx="22">
                  <c:v>1.0522954025443652</c:v>
                </c:pt>
                <c:pt idx="23">
                  <c:v>1.0522020571476425</c:v>
                </c:pt>
                <c:pt idx="24">
                  <c:v>1.056513016787717</c:v>
                </c:pt>
                <c:pt idx="25">
                  <c:v>1.055298286818583</c:v>
                </c:pt>
                <c:pt idx="26">
                  <c:v>1.0557958559249798</c:v>
                </c:pt>
                <c:pt idx="27">
                  <c:v>1.0557950134551222</c:v>
                </c:pt>
                <c:pt idx="28">
                  <c:v>1.0553173457063416</c:v>
                </c:pt>
                <c:pt idx="29">
                  <c:v>1.0553737836120158</c:v>
                </c:pt>
                <c:pt idx="30">
                  <c:v>1.0530862578165505</c:v>
                </c:pt>
                <c:pt idx="31">
                  <c:v>1.0585456058076341</c:v>
                </c:pt>
                <c:pt idx="32">
                  <c:v>1.0581351049724017</c:v>
                </c:pt>
                <c:pt idx="33">
                  <c:v>1.0561686554703924</c:v>
                </c:pt>
                <c:pt idx="34">
                  <c:v>1.0566893149021435</c:v>
                </c:pt>
                <c:pt idx="35">
                  <c:v>1.0553272556422255</c:v>
                </c:pt>
                <c:pt idx="36">
                  <c:v>1.0428673662029182</c:v>
                </c:pt>
                <c:pt idx="37">
                  <c:v>1.0172776967400217</c:v>
                </c:pt>
                <c:pt idx="38">
                  <c:v>1.020018570460538</c:v>
                </c:pt>
                <c:pt idx="39">
                  <c:v>1.0393017668888691</c:v>
                </c:pt>
                <c:pt idx="40">
                  <c:v>1.0067610854317357</c:v>
                </c:pt>
                <c:pt idx="41">
                  <c:v>0.92375876774552323</c:v>
                </c:pt>
                <c:pt idx="42">
                  <c:v>0.93409744230924141</c:v>
                </c:pt>
                <c:pt idx="43">
                  <c:v>0.92851843058579808</c:v>
                </c:pt>
                <c:pt idx="44">
                  <c:v>0.91387909103429765</c:v>
                </c:pt>
                <c:pt idx="45">
                  <c:v>0.95377413366002817</c:v>
                </c:pt>
                <c:pt idx="46">
                  <c:v>0.95197585279416985</c:v>
                </c:pt>
                <c:pt idx="47">
                  <c:v>0.92719255696936287</c:v>
                </c:pt>
                <c:pt idx="48">
                  <c:v>0.93194478362614952</c:v>
                </c:pt>
                <c:pt idx="49">
                  <c:v>0.95084741113325721</c:v>
                </c:pt>
                <c:pt idx="50">
                  <c:v>0.93118236644014007</c:v>
                </c:pt>
                <c:pt idx="51">
                  <c:v>0.91889771053479541</c:v>
                </c:pt>
                <c:pt idx="52">
                  <c:v>0.93541371225867143</c:v>
                </c:pt>
                <c:pt idx="53">
                  <c:v>0.99449580791262804</c:v>
                </c:pt>
                <c:pt idx="54">
                  <c:v>0.96963410291472674</c:v>
                </c:pt>
                <c:pt idx="55">
                  <c:v>0.93986939886151155</c:v>
                </c:pt>
                <c:pt idx="56">
                  <c:v>0.93163963690768148</c:v>
                </c:pt>
                <c:pt idx="57">
                  <c:v>0.94898012348334448</c:v>
                </c:pt>
                <c:pt idx="58">
                  <c:v>0.93980353142273199</c:v>
                </c:pt>
                <c:pt idx="59">
                  <c:v>0.9368494040106059</c:v>
                </c:pt>
                <c:pt idx="60">
                  <c:v>0.94102928344991865</c:v>
                </c:pt>
                <c:pt idx="61">
                  <c:v>0.97562473886950951</c:v>
                </c:pt>
                <c:pt idx="62">
                  <c:v>0.99889442280711427</c:v>
                </c:pt>
                <c:pt idx="63">
                  <c:v>1.0022348115733577</c:v>
                </c:pt>
                <c:pt idx="64">
                  <c:v>0.98362931709754264</c:v>
                </c:pt>
                <c:pt idx="65">
                  <c:v>0.99906786868396369</c:v>
                </c:pt>
                <c:pt idx="66">
                  <c:v>0.99149730755381449</c:v>
                </c:pt>
                <c:pt idx="67">
                  <c:v>0.9919320193415132</c:v>
                </c:pt>
                <c:pt idx="68">
                  <c:v>0.95347087216711135</c:v>
                </c:pt>
                <c:pt idx="69">
                  <c:v>0.95201440002039051</c:v>
                </c:pt>
                <c:pt idx="70">
                  <c:v>0.9603666191596234</c:v>
                </c:pt>
                <c:pt idx="71">
                  <c:v>0.96563199130532773</c:v>
                </c:pt>
                <c:pt idx="72">
                  <c:v>0.97817246472818165</c:v>
                </c:pt>
                <c:pt idx="73">
                  <c:v>0.99270909235647165</c:v>
                </c:pt>
                <c:pt idx="74">
                  <c:v>0.98070496533041984</c:v>
                </c:pt>
                <c:pt idx="75">
                  <c:v>0.98503031649325112</c:v>
                </c:pt>
                <c:pt idx="76">
                  <c:v>0.97374945774622612</c:v>
                </c:pt>
                <c:pt idx="77">
                  <c:v>0.96913468425020755</c:v>
                </c:pt>
                <c:pt idx="78">
                  <c:v>0.98441389024210157</c:v>
                </c:pt>
                <c:pt idx="79">
                  <c:v>0.98861913205994167</c:v>
                </c:pt>
                <c:pt idx="80">
                  <c:v>1.0013509030768011</c:v>
                </c:pt>
                <c:pt idx="81">
                  <c:v>1.03392974174434</c:v>
                </c:pt>
                <c:pt idx="82">
                  <c:v>1.036064837946485</c:v>
                </c:pt>
                <c:pt idx="83">
                  <c:v>1.0368851046832654</c:v>
                </c:pt>
                <c:pt idx="84">
                  <c:v>1.0353828381382644</c:v>
                </c:pt>
                <c:pt idx="85">
                  <c:v>1.0383348260844021</c:v>
                </c:pt>
                <c:pt idx="86">
                  <c:v>1.0364919531910401</c:v>
                </c:pt>
                <c:pt idx="87">
                  <c:v>1.0368901730358842</c:v>
                </c:pt>
                <c:pt idx="88">
                  <c:v>1.0383132037536522</c:v>
                </c:pt>
                <c:pt idx="89">
                  <c:v>1.03583103943842</c:v>
                </c:pt>
                <c:pt idx="90">
                  <c:v>1.0265889060637015</c:v>
                </c:pt>
                <c:pt idx="91">
                  <c:v>1.0261735510960044</c:v>
                </c:pt>
                <c:pt idx="92">
                  <c:v>1.0338484327355</c:v>
                </c:pt>
                <c:pt idx="93">
                  <c:v>1.0291124257413897</c:v>
                </c:pt>
                <c:pt idx="94">
                  <c:v>1.0280671886253705</c:v>
                </c:pt>
                <c:pt idx="95">
                  <c:v>1.0307512198652509</c:v>
                </c:pt>
                <c:pt idx="96">
                  <c:v>1.0309997928357164</c:v>
                </c:pt>
                <c:pt idx="97">
                  <c:v>1.0290877506208755</c:v>
                </c:pt>
                <c:pt idx="98">
                  <c:v>1.0357380895798933</c:v>
                </c:pt>
                <c:pt idx="99">
                  <c:v>1.0386647958977901</c:v>
                </c:pt>
                <c:pt idx="100">
                  <c:v>1.0348708054756188</c:v>
                </c:pt>
                <c:pt idx="101">
                  <c:v>1.0322688437329466</c:v>
                </c:pt>
                <c:pt idx="102">
                  <c:v>1.0320922272093276</c:v>
                </c:pt>
                <c:pt idx="103">
                  <c:v>1.0336918209497459</c:v>
                </c:pt>
                <c:pt idx="104">
                  <c:v>1.0338045487617531</c:v>
                </c:pt>
                <c:pt idx="105">
                  <c:v>1.0359349756859852</c:v>
                </c:pt>
                <c:pt idx="106">
                  <c:v>1.0368091878347077</c:v>
                </c:pt>
                <c:pt idx="107">
                  <c:v>1.0343868205994582</c:v>
                </c:pt>
                <c:pt idx="108">
                  <c:v>1.0350032300038805</c:v>
                </c:pt>
                <c:pt idx="109">
                  <c:v>1.023180767326044</c:v>
                </c:pt>
                <c:pt idx="110">
                  <c:v>1.0207722418500571</c:v>
                </c:pt>
                <c:pt idx="111">
                  <c:v>1.0227628473804213</c:v>
                </c:pt>
                <c:pt idx="112">
                  <c:v>1.0223882301331804</c:v>
                </c:pt>
                <c:pt idx="113">
                  <c:v>1.0271995569885854</c:v>
                </c:pt>
                <c:pt idx="114">
                  <c:v>1.0255077867900564</c:v>
                </c:pt>
                <c:pt idx="115">
                  <c:v>1.0478526997341158</c:v>
                </c:pt>
                <c:pt idx="116">
                  <c:v>1.0452173282508739</c:v>
                </c:pt>
                <c:pt idx="117">
                  <c:v>1.0455838517264553</c:v>
                </c:pt>
                <c:pt idx="118">
                  <c:v>1.0491152070295602</c:v>
                </c:pt>
                <c:pt idx="119">
                  <c:v>1.0494497810452255</c:v>
                </c:pt>
                <c:pt idx="120">
                  <c:v>1.0496333808958471</c:v>
                </c:pt>
                <c:pt idx="121">
                  <c:v>1.0519520918995102</c:v>
                </c:pt>
                <c:pt idx="122">
                  <c:v>1.0506783147404553</c:v>
                </c:pt>
                <c:pt idx="123">
                  <c:v>1.0470942261642098</c:v>
                </c:pt>
                <c:pt idx="124">
                  <c:v>1.0474682536299453</c:v>
                </c:pt>
                <c:pt idx="125">
                  <c:v>1.0471390677932904</c:v>
                </c:pt>
                <c:pt idx="126">
                  <c:v>1.0463102143950875</c:v>
                </c:pt>
                <c:pt idx="127">
                  <c:v>1.0455368620564089</c:v>
                </c:pt>
                <c:pt idx="128">
                  <c:v>1.0468204308837827</c:v>
                </c:pt>
                <c:pt idx="129">
                  <c:v>1.0444689769649635</c:v>
                </c:pt>
                <c:pt idx="130">
                  <c:v>1.0447267780357654</c:v>
                </c:pt>
                <c:pt idx="131">
                  <c:v>1.0452200749348908</c:v>
                </c:pt>
                <c:pt idx="132">
                  <c:v>1.045114349450422</c:v>
                </c:pt>
                <c:pt idx="133">
                  <c:v>1.0447479812767717</c:v>
                </c:pt>
                <c:pt idx="134">
                  <c:v>1.0478421747109674</c:v>
                </c:pt>
                <c:pt idx="135">
                  <c:v>1.047804545705453</c:v>
                </c:pt>
                <c:pt idx="136">
                  <c:v>1.0477767964944604</c:v>
                </c:pt>
                <c:pt idx="137">
                  <c:v>1.0477888976001664</c:v>
                </c:pt>
                <c:pt idx="138">
                  <c:v>1.0477573161942337</c:v>
                </c:pt>
                <c:pt idx="139">
                  <c:v>1.0477181150210195</c:v>
                </c:pt>
                <c:pt idx="140">
                  <c:v>1.0477112044513412</c:v>
                </c:pt>
                <c:pt idx="141">
                  <c:v>1.0478051480650812</c:v>
                </c:pt>
                <c:pt idx="142">
                  <c:v>1.0478488498669729</c:v>
                </c:pt>
                <c:pt idx="143">
                  <c:v>1.047673884880618</c:v>
                </c:pt>
                <c:pt idx="144">
                  <c:v>1.0485970497226897</c:v>
                </c:pt>
                <c:pt idx="145">
                  <c:v>1.0515573179828825</c:v>
                </c:pt>
                <c:pt idx="146">
                  <c:v>1.0519620936545482</c:v>
                </c:pt>
                <c:pt idx="147">
                  <c:v>1.0562653084959308</c:v>
                </c:pt>
                <c:pt idx="148">
                  <c:v>1.0553115444123204</c:v>
                </c:pt>
                <c:pt idx="149">
                  <c:v>1.0547013543117008</c:v>
                </c:pt>
                <c:pt idx="150">
                  <c:v>1.0520492234557621</c:v>
                </c:pt>
                <c:pt idx="151">
                  <c:v>1.0549510677948539</c:v>
                </c:pt>
                <c:pt idx="152">
                  <c:v>1.0556393497923087</c:v>
                </c:pt>
                <c:pt idx="153">
                  <c:v>1.0549429098998955</c:v>
                </c:pt>
                <c:pt idx="154">
                  <c:v>1.0551867032473203</c:v>
                </c:pt>
                <c:pt idx="155">
                  <c:v>1.0505172522762094</c:v>
                </c:pt>
                <c:pt idx="156">
                  <c:v>1.0477673006505677</c:v>
                </c:pt>
                <c:pt idx="157">
                  <c:v>1.0491142769582784</c:v>
                </c:pt>
                <c:pt idx="158">
                  <c:v>1.0509894958393755</c:v>
                </c:pt>
                <c:pt idx="159">
                  <c:v>1.0525230797536502</c:v>
                </c:pt>
                <c:pt idx="160">
                  <c:v>1.0537696226266486</c:v>
                </c:pt>
                <c:pt idx="161">
                  <c:v>1.0524002313491838</c:v>
                </c:pt>
                <c:pt idx="162">
                  <c:v>1.0526058401576015</c:v>
                </c:pt>
                <c:pt idx="163">
                  <c:v>1.0524795078877371</c:v>
                </c:pt>
                <c:pt idx="164">
                  <c:v>1.0525268381205788</c:v>
                </c:pt>
                <c:pt idx="165">
                  <c:v>1.0524800679387429</c:v>
                </c:pt>
                <c:pt idx="166">
                  <c:v>1.0524505456891387</c:v>
                </c:pt>
                <c:pt idx="167">
                  <c:v>1.0515417453756206</c:v>
                </c:pt>
                <c:pt idx="168">
                  <c:v>1.0515036221670522</c:v>
                </c:pt>
                <c:pt idx="169">
                  <c:v>1.0514378420594463</c:v>
                </c:pt>
                <c:pt idx="170">
                  <c:v>1.0513604113316066</c:v>
                </c:pt>
                <c:pt idx="171">
                  <c:v>1.0517243539145444</c:v>
                </c:pt>
                <c:pt idx="172">
                  <c:v>1.0518618211334392</c:v>
                </c:pt>
                <c:pt idx="173">
                  <c:v>1.05211406458444</c:v>
                </c:pt>
                <c:pt idx="174">
                  <c:v>1.0521656664441246</c:v>
                </c:pt>
                <c:pt idx="175">
                  <c:v>1.0522500948843718</c:v>
                </c:pt>
                <c:pt idx="176">
                  <c:v>1.0521645730875151</c:v>
                </c:pt>
                <c:pt idx="177">
                  <c:v>1.0521205007504792</c:v>
                </c:pt>
                <c:pt idx="178">
                  <c:v>1.0521660477920056</c:v>
                </c:pt>
                <c:pt idx="179">
                  <c:v>1.052161408865036</c:v>
                </c:pt>
                <c:pt idx="180">
                  <c:v>1.0529969145036449</c:v>
                </c:pt>
                <c:pt idx="181">
                  <c:v>1.0524284327801785</c:v>
                </c:pt>
                <c:pt idx="182">
                  <c:v>1.053158747661328</c:v>
                </c:pt>
                <c:pt idx="183">
                  <c:v>1.0519981987265306</c:v>
                </c:pt>
                <c:pt idx="184">
                  <c:v>1.0529874628670031</c:v>
                </c:pt>
                <c:pt idx="185">
                  <c:v>1.0528995704527238</c:v>
                </c:pt>
                <c:pt idx="186">
                  <c:v>1.0532898034799756</c:v>
                </c:pt>
                <c:pt idx="187">
                  <c:v>1.0528785697366245</c:v>
                </c:pt>
                <c:pt idx="188">
                  <c:v>1.0548344085298416</c:v>
                </c:pt>
                <c:pt idx="189">
                  <c:v>1.0589130431291591</c:v>
                </c:pt>
                <c:pt idx="190">
                  <c:v>1.0578175928206335</c:v>
                </c:pt>
                <c:pt idx="191">
                  <c:v>1.0559464048842726</c:v>
                </c:pt>
                <c:pt idx="192">
                  <c:v>1.0585594611831759</c:v>
                </c:pt>
                <c:pt idx="193">
                  <c:v>1.065957256780095</c:v>
                </c:pt>
                <c:pt idx="194">
                  <c:v>1.0669545703029277</c:v>
                </c:pt>
                <c:pt idx="195">
                  <c:v>1.0734691350126979</c:v>
                </c:pt>
                <c:pt idx="196">
                  <c:v>1.0758651410675719</c:v>
                </c:pt>
                <c:pt idx="197">
                  <c:v>1.0717224791087281</c:v>
                </c:pt>
                <c:pt idx="198">
                  <c:v>1.0664705913576706</c:v>
                </c:pt>
                <c:pt idx="199">
                  <c:v>1.0717513826132532</c:v>
                </c:pt>
                <c:pt idx="200">
                  <c:v>1.0789088960773718</c:v>
                </c:pt>
                <c:pt idx="201">
                  <c:v>1.0885276013787633</c:v>
                </c:pt>
                <c:pt idx="202">
                  <c:v>1.0897406935315539</c:v>
                </c:pt>
                <c:pt idx="203">
                  <c:v>1.1160422963502956</c:v>
                </c:pt>
                <c:pt idx="204">
                  <c:v>1.112865958928831</c:v>
                </c:pt>
                <c:pt idx="205">
                  <c:v>1.1052679095574898</c:v>
                </c:pt>
                <c:pt idx="206">
                  <c:v>1.1112354184539286</c:v>
                </c:pt>
                <c:pt idx="207">
                  <c:v>1.1159297315344392</c:v>
                </c:pt>
                <c:pt idx="208">
                  <c:v>1.1213680767327772</c:v>
                </c:pt>
                <c:pt idx="209">
                  <c:v>1.1217592557620044</c:v>
                </c:pt>
                <c:pt idx="210">
                  <c:v>1.1195929863217386</c:v>
                </c:pt>
                <c:pt idx="211">
                  <c:v>1.115819310919119</c:v>
                </c:pt>
                <c:pt idx="212">
                  <c:v>1.1132986570372621</c:v>
                </c:pt>
                <c:pt idx="213">
                  <c:v>1.1121798125158466</c:v>
                </c:pt>
                <c:pt idx="214">
                  <c:v>1.1150364850296985</c:v>
                </c:pt>
                <c:pt idx="215">
                  <c:v>1.1223466741011339</c:v>
                </c:pt>
                <c:pt idx="216">
                  <c:v>1.1216700007113096</c:v>
                </c:pt>
                <c:pt idx="217">
                  <c:v>1.1224001432143087</c:v>
                </c:pt>
                <c:pt idx="218">
                  <c:v>1.1230584403881507</c:v>
                </c:pt>
                <c:pt idx="219">
                  <c:v>1.1220599543315004</c:v>
                </c:pt>
                <c:pt idx="220">
                  <c:v>1.1242220518121147</c:v>
                </c:pt>
                <c:pt idx="221">
                  <c:v>1.119193498008785</c:v>
                </c:pt>
                <c:pt idx="222">
                  <c:v>1.1197277536037777</c:v>
                </c:pt>
                <c:pt idx="223">
                  <c:v>1.1224094473423167</c:v>
                </c:pt>
                <c:pt idx="224">
                  <c:v>1.1220501073736684</c:v>
                </c:pt>
                <c:pt idx="225">
                  <c:v>1.1239262052449885</c:v>
                </c:pt>
                <c:pt idx="226">
                  <c:v>1.1248026694766127</c:v>
                </c:pt>
                <c:pt idx="227">
                  <c:v>1.1300629988158779</c:v>
                </c:pt>
                <c:pt idx="228">
                  <c:v>1.1341661661436844</c:v>
                </c:pt>
                <c:pt idx="229">
                  <c:v>1.1333934560940595</c:v>
                </c:pt>
                <c:pt idx="230">
                  <c:v>1.1515573674442374</c:v>
                </c:pt>
                <c:pt idx="231">
                  <c:v>1.1494412356954631</c:v>
                </c:pt>
                <c:pt idx="232">
                  <c:v>1.1467909674269663</c:v>
                </c:pt>
                <c:pt idx="233">
                  <c:v>1.1485147590176279</c:v>
                </c:pt>
                <c:pt idx="234">
                  <c:v>1.1675400625833745</c:v>
                </c:pt>
                <c:pt idx="235">
                  <c:v>1.1752765432303254</c:v>
                </c:pt>
                <c:pt idx="236">
                  <c:v>1.1830338152506741</c:v>
                </c:pt>
                <c:pt idx="237">
                  <c:v>1.1785435365366479</c:v>
                </c:pt>
                <c:pt idx="238">
                  <c:v>1.1698246652539925</c:v>
                </c:pt>
                <c:pt idx="239">
                  <c:v>1.1762619947350881</c:v>
                </c:pt>
                <c:pt idx="240">
                  <c:v>1.1653942667780239</c:v>
                </c:pt>
                <c:pt idx="241">
                  <c:v>1.1661148403104382</c:v>
                </c:pt>
                <c:pt idx="242">
                  <c:v>1.1691834748117558</c:v>
                </c:pt>
                <c:pt idx="243">
                  <c:v>1.1730998814572065</c:v>
                </c:pt>
                <c:pt idx="244">
                  <c:v>1.1755992052871254</c:v>
                </c:pt>
                <c:pt idx="245">
                  <c:v>1.1755992052871254</c:v>
                </c:pt>
                <c:pt idx="246">
                  <c:v>1.1753045010026131</c:v>
                </c:pt>
                <c:pt idx="247">
                  <c:v>1.1729811020317533</c:v>
                </c:pt>
                <c:pt idx="248">
                  <c:v>1.1805012652901119</c:v>
                </c:pt>
                <c:pt idx="249">
                  <c:v>1.1837325232781468</c:v>
                </c:pt>
                <c:pt idx="250">
                  <c:v>1.1873889655609076</c:v>
                </c:pt>
                <c:pt idx="251">
                  <c:v>1.2049522165032387</c:v>
                </c:pt>
                <c:pt idx="252">
                  <c:v>1.2122151200322144</c:v>
                </c:pt>
                <c:pt idx="253">
                  <c:v>1.212368133905793</c:v>
                </c:pt>
                <c:pt idx="254">
                  <c:v>1.2111235948082666</c:v>
                </c:pt>
                <c:pt idx="255">
                  <c:v>1.2110374289783092</c:v>
                </c:pt>
                <c:pt idx="256">
                  <c:v>1.2124645000056529</c:v>
                </c:pt>
                <c:pt idx="257">
                  <c:v>1.2122093661952749</c:v>
                </c:pt>
                <c:pt idx="258">
                  <c:v>1.2122722682455489</c:v>
                </c:pt>
                <c:pt idx="259">
                  <c:v>1.2157985387118213</c:v>
                </c:pt>
                <c:pt idx="260">
                  <c:v>1.2171059900387102</c:v>
                </c:pt>
                <c:pt idx="261">
                  <c:v>1.2171891243574953</c:v>
                </c:pt>
                <c:pt idx="262">
                  <c:v>1.2174882616278577</c:v>
                </c:pt>
                <c:pt idx="263">
                  <c:v>1.2182942239272883</c:v>
                </c:pt>
                <c:pt idx="264">
                  <c:v>1.2238299009809992</c:v>
                </c:pt>
                <c:pt idx="265">
                  <c:v>1.2523778325658148</c:v>
                </c:pt>
                <c:pt idx="266">
                  <c:v>1.0325831291372687</c:v>
                </c:pt>
                <c:pt idx="267">
                  <c:v>1.0328158927581257</c:v>
                </c:pt>
                <c:pt idx="268">
                  <c:v>1.016035105425241</c:v>
                </c:pt>
                <c:pt idx="269">
                  <c:v>1.0051307602024211</c:v>
                </c:pt>
                <c:pt idx="270">
                  <c:v>1.0050036686734556</c:v>
                </c:pt>
                <c:pt idx="271">
                  <c:v>1.0049279599584164</c:v>
                </c:pt>
                <c:pt idx="272">
                  <c:v>1.0036899064728284</c:v>
                </c:pt>
                <c:pt idx="273">
                  <c:v>0.99938981168803032</c:v>
                </c:pt>
                <c:pt idx="274">
                  <c:v>0.99968576603692083</c:v>
                </c:pt>
                <c:pt idx="275">
                  <c:v>0.99934840030710947</c:v>
                </c:pt>
                <c:pt idx="276">
                  <c:v>0.99802743481791889</c:v>
                </c:pt>
                <c:pt idx="277">
                  <c:v>0.99806503062197793</c:v>
                </c:pt>
                <c:pt idx="278">
                  <c:v>0.9981519595880477</c:v>
                </c:pt>
                <c:pt idx="279">
                  <c:v>0.99867958543578605</c:v>
                </c:pt>
                <c:pt idx="280">
                  <c:v>1.001038023471726</c:v>
                </c:pt>
                <c:pt idx="281">
                  <c:v>1.0018280970384155</c:v>
                </c:pt>
                <c:pt idx="282">
                  <c:v>1.0008392736706093</c:v>
                </c:pt>
                <c:pt idx="283">
                  <c:v>1.001059930655386</c:v>
                </c:pt>
                <c:pt idx="284">
                  <c:v>1.0009645761962227</c:v>
                </c:pt>
                <c:pt idx="285">
                  <c:v>1.0013737836680334</c:v>
                </c:pt>
                <c:pt idx="286">
                  <c:v>1.0006929763778485</c:v>
                </c:pt>
                <c:pt idx="287">
                  <c:v>1.0013611814929861</c:v>
                </c:pt>
                <c:pt idx="288">
                  <c:v>1.0012222467674627</c:v>
                </c:pt>
                <c:pt idx="289">
                  <c:v>1.001285858816725</c:v>
                </c:pt>
                <c:pt idx="290">
                  <c:v>1.0007236744506043</c:v>
                </c:pt>
                <c:pt idx="291">
                  <c:v>1.0001294396770792</c:v>
                </c:pt>
                <c:pt idx="292">
                  <c:v>1.0000052855864434</c:v>
                </c:pt>
                <c:pt idx="293">
                  <c:v>0.99988151938197789</c:v>
                </c:pt>
                <c:pt idx="294">
                  <c:v>0.99890098665051474</c:v>
                </c:pt>
                <c:pt idx="295">
                  <c:v>0.99894828724917728</c:v>
                </c:pt>
                <c:pt idx="296">
                  <c:v>0.99901875841406496</c:v>
                </c:pt>
                <c:pt idx="297">
                  <c:v>0.99903038569013258</c:v>
                </c:pt>
                <c:pt idx="298">
                  <c:v>0.99923932704576302</c:v>
                </c:pt>
                <c:pt idx="299">
                  <c:v>1.0006139309962268</c:v>
                </c:pt>
                <c:pt idx="300">
                  <c:v>1.0015663009906868</c:v>
                </c:pt>
                <c:pt idx="301">
                  <c:v>1.0019306129975714</c:v>
                </c:pt>
                <c:pt idx="302">
                  <c:v>1.0018577555054005</c:v>
                </c:pt>
                <c:pt idx="303">
                  <c:v>1.0018325910353685</c:v>
                </c:pt>
                <c:pt idx="304">
                  <c:v>1.0017796392503622</c:v>
                </c:pt>
                <c:pt idx="305">
                  <c:v>1.0018351125027118</c:v>
                </c:pt>
                <c:pt idx="306">
                  <c:v>1.0018765306959083</c:v>
                </c:pt>
                <c:pt idx="307">
                  <c:v>1.0018984710840464</c:v>
                </c:pt>
                <c:pt idx="308">
                  <c:v>1.0019446318165666</c:v>
                </c:pt>
                <c:pt idx="309">
                  <c:v>1.0019290482581451</c:v>
                </c:pt>
                <c:pt idx="310">
                  <c:v>1.0019497049616757</c:v>
                </c:pt>
                <c:pt idx="311">
                  <c:v>1.0019497049616757</c:v>
                </c:pt>
                <c:pt idx="312">
                  <c:v>1.0021952900410067</c:v>
                </c:pt>
                <c:pt idx="313">
                  <c:v>1.0023992156543413</c:v>
                </c:pt>
                <c:pt idx="314">
                  <c:v>1.0022366749148279</c:v>
                </c:pt>
                <c:pt idx="315">
                  <c:v>1.0015764428431804</c:v>
                </c:pt>
                <c:pt idx="316">
                  <c:v>1.0001479265971416</c:v>
                </c:pt>
                <c:pt idx="317">
                  <c:v>0.99457205424932882</c:v>
                </c:pt>
                <c:pt idx="318">
                  <c:v>0.99430589953470738</c:v>
                </c:pt>
                <c:pt idx="319">
                  <c:v>0.99528113583661848</c:v>
                </c:pt>
                <c:pt idx="320">
                  <c:v>0.99714157046007668</c:v>
                </c:pt>
                <c:pt idx="321">
                  <c:v>0.99607391158208192</c:v>
                </c:pt>
                <c:pt idx="322">
                  <c:v>0.9957157467036073</c:v>
                </c:pt>
                <c:pt idx="323">
                  <c:v>0.99405269889835646</c:v>
                </c:pt>
                <c:pt idx="324">
                  <c:v>0.99257719768580199</c:v>
                </c:pt>
                <c:pt idx="325">
                  <c:v>0.9934060919454285</c:v>
                </c:pt>
                <c:pt idx="326">
                  <c:v>0.99354887038324102</c:v>
                </c:pt>
                <c:pt idx="327">
                  <c:v>0.99321827406466912</c:v>
                </c:pt>
                <c:pt idx="328">
                  <c:v>0.99429702221781358</c:v>
                </c:pt>
                <c:pt idx="329">
                  <c:v>0.99265360542496273</c:v>
                </c:pt>
                <c:pt idx="330">
                  <c:v>0.99265043493680716</c:v>
                </c:pt>
                <c:pt idx="331">
                  <c:v>0.99092566550636141</c:v>
                </c:pt>
                <c:pt idx="332">
                  <c:v>0.99218754414886967</c:v>
                </c:pt>
                <c:pt idx="333">
                  <c:v>0.99123282012683755</c:v>
                </c:pt>
                <c:pt idx="334">
                  <c:v>0.99123282012683755</c:v>
                </c:pt>
                <c:pt idx="335">
                  <c:v>0.97865612379772127</c:v>
                </c:pt>
                <c:pt idx="336">
                  <c:v>0.9670019826638897</c:v>
                </c:pt>
                <c:pt idx="337">
                  <c:v>0.96823014637006655</c:v>
                </c:pt>
                <c:pt idx="338">
                  <c:v>0.97418930206628629</c:v>
                </c:pt>
                <c:pt idx="339">
                  <c:v>0.97248508271947365</c:v>
                </c:pt>
                <c:pt idx="340">
                  <c:v>0.97742228413495169</c:v>
                </c:pt>
                <c:pt idx="341">
                  <c:v>0.98269042678477025</c:v>
                </c:pt>
                <c:pt idx="342">
                  <c:v>0.97471667241384186</c:v>
                </c:pt>
                <c:pt idx="343">
                  <c:v>0.97296984566854072</c:v>
                </c:pt>
                <c:pt idx="344">
                  <c:v>0.97528947223248319</c:v>
                </c:pt>
                <c:pt idx="345">
                  <c:v>0.97799288277674368</c:v>
                </c:pt>
                <c:pt idx="346">
                  <c:v>0.97710977938316068</c:v>
                </c:pt>
                <c:pt idx="347">
                  <c:v>0.97967933819528752</c:v>
                </c:pt>
                <c:pt idx="348">
                  <c:v>0.97986557528658336</c:v>
                </c:pt>
                <c:pt idx="349">
                  <c:v>0.97994955604242528</c:v>
                </c:pt>
                <c:pt idx="350">
                  <c:v>0.97897608161079763</c:v>
                </c:pt>
                <c:pt idx="351">
                  <c:v>0.98024686852378062</c:v>
                </c:pt>
                <c:pt idx="352">
                  <c:v>0.9800577052696412</c:v>
                </c:pt>
                <c:pt idx="353">
                  <c:v>0.98240891340234637</c:v>
                </c:pt>
                <c:pt idx="354">
                  <c:v>0.98146006217913151</c:v>
                </c:pt>
                <c:pt idx="355">
                  <c:v>0.98143993151605224</c:v>
                </c:pt>
                <c:pt idx="356">
                  <c:v>0.98559560602397323</c:v>
                </c:pt>
                <c:pt idx="357">
                  <c:v>0.99686057768178826</c:v>
                </c:pt>
                <c:pt idx="358">
                  <c:v>0.99749688573059125</c:v>
                </c:pt>
                <c:pt idx="359">
                  <c:v>0.99531719333702473</c:v>
                </c:pt>
                <c:pt idx="360">
                  <c:v>0.9971431359901235</c:v>
                </c:pt>
                <c:pt idx="361">
                  <c:v>0.99632641209253003</c:v>
                </c:pt>
                <c:pt idx="362">
                  <c:v>0.99678141741992243</c:v>
                </c:pt>
                <c:pt idx="363">
                  <c:v>1.009600454834245</c:v>
                </c:pt>
                <c:pt idx="364">
                  <c:v>1.0084286425137556</c:v>
                </c:pt>
                <c:pt idx="365">
                  <c:v>1.0094471071055109</c:v>
                </c:pt>
                <c:pt idx="366">
                  <c:v>1.0107817994560024</c:v>
                </c:pt>
                <c:pt idx="367">
                  <c:v>1.0063282972667682</c:v>
                </c:pt>
                <c:pt idx="368">
                  <c:v>1.0056272540843367</c:v>
                </c:pt>
                <c:pt idx="369">
                  <c:v>1.0089316465678222</c:v>
                </c:pt>
                <c:pt idx="370">
                  <c:v>1.0112003892155439</c:v>
                </c:pt>
                <c:pt idx="371">
                  <c:v>1.0202570291332445</c:v>
                </c:pt>
                <c:pt idx="372">
                  <c:v>1.0200208346545256</c:v>
                </c:pt>
                <c:pt idx="373">
                  <c:v>1.0149259741234156</c:v>
                </c:pt>
                <c:pt idx="374">
                  <c:v>1.0284684004071756</c:v>
                </c:pt>
                <c:pt idx="375">
                  <c:v>1.0909629737240885</c:v>
                </c:pt>
                <c:pt idx="376">
                  <c:v>1.0881707312631059</c:v>
                </c:pt>
                <c:pt idx="377">
                  <c:v>1.0803472934539051</c:v>
                </c:pt>
                <c:pt idx="378">
                  <c:v>1.1005301982522011</c:v>
                </c:pt>
                <c:pt idx="379">
                  <c:v>1.0924850576868992</c:v>
                </c:pt>
                <c:pt idx="380">
                  <c:v>1.0891396234393993</c:v>
                </c:pt>
                <c:pt idx="381">
                  <c:v>1.0937060002878338</c:v>
                </c:pt>
                <c:pt idx="382">
                  <c:v>1.1070932936928257</c:v>
                </c:pt>
                <c:pt idx="383">
                  <c:v>1.1230136889179319</c:v>
                </c:pt>
                <c:pt idx="384">
                  <c:v>1.1231536909979836</c:v>
                </c:pt>
                <c:pt idx="385">
                  <c:v>1.1114747512911702</c:v>
                </c:pt>
                <c:pt idx="386">
                  <c:v>1.0983009881191901</c:v>
                </c:pt>
                <c:pt idx="387">
                  <c:v>1.0762781951226768</c:v>
                </c:pt>
                <c:pt idx="388">
                  <c:v>1.0703561901715417</c:v>
                </c:pt>
                <c:pt idx="389">
                  <c:v>1.0762976053954938</c:v>
                </c:pt>
                <c:pt idx="390">
                  <c:v>1.1135938154159608</c:v>
                </c:pt>
                <c:pt idx="391">
                  <c:v>1.1040693333631182</c:v>
                </c:pt>
                <c:pt idx="392">
                  <c:v>1.1008838360896738</c:v>
                </c:pt>
                <c:pt idx="393">
                  <c:v>1.08404729445846</c:v>
                </c:pt>
                <c:pt idx="394">
                  <c:v>1.0762384407981502</c:v>
                </c:pt>
                <c:pt idx="395">
                  <c:v>1.085226629247406</c:v>
                </c:pt>
                <c:pt idx="396">
                  <c:v>1.0812214329951468</c:v>
                </c:pt>
                <c:pt idx="397">
                  <c:v>1.0970268123510771</c:v>
                </c:pt>
                <c:pt idx="398">
                  <c:v>1.0907456505194404</c:v>
                </c:pt>
                <c:pt idx="399">
                  <c:v>1.0906776193869494</c:v>
                </c:pt>
                <c:pt idx="400">
                  <c:v>1.087785855680466</c:v>
                </c:pt>
                <c:pt idx="401">
                  <c:v>1.0945987319531254</c:v>
                </c:pt>
                <c:pt idx="402">
                  <c:v>1.1027740685093632</c:v>
                </c:pt>
                <c:pt idx="403">
                  <c:v>1.0746350285316153</c:v>
                </c:pt>
                <c:pt idx="404">
                  <c:v>1.0713758040919279</c:v>
                </c:pt>
                <c:pt idx="405">
                  <c:v>1.0873007988406125</c:v>
                </c:pt>
                <c:pt idx="406">
                  <c:v>1.1011734814714431</c:v>
                </c:pt>
                <c:pt idx="407">
                  <c:v>1.0929795003371467</c:v>
                </c:pt>
                <c:pt idx="408">
                  <c:v>1.0948856742301207</c:v>
                </c:pt>
                <c:pt idx="409">
                  <c:v>1.1130887820651485</c:v>
                </c:pt>
                <c:pt idx="410">
                  <c:v>1.1343094679886927</c:v>
                </c:pt>
                <c:pt idx="411">
                  <c:v>1.1380566594446302</c:v>
                </c:pt>
                <c:pt idx="412">
                  <c:v>1.1890968534483695</c:v>
                </c:pt>
                <c:pt idx="413">
                  <c:v>1.1886530087966547</c:v>
                </c:pt>
                <c:pt idx="414">
                  <c:v>1.203445446599819</c:v>
                </c:pt>
                <c:pt idx="415">
                  <c:v>1.1854511361388778</c:v>
                </c:pt>
                <c:pt idx="416">
                  <c:v>1.2126362869383944</c:v>
                </c:pt>
                <c:pt idx="417">
                  <c:v>1.2052033804099915</c:v>
                </c:pt>
                <c:pt idx="418">
                  <c:v>1.2763707409182274</c:v>
                </c:pt>
                <c:pt idx="419">
                  <c:v>1.3933365590713465</c:v>
                </c:pt>
                <c:pt idx="420">
                  <c:v>1.4287095362592577</c:v>
                </c:pt>
                <c:pt idx="421">
                  <c:v>1.4129935394896795</c:v>
                </c:pt>
                <c:pt idx="422">
                  <c:v>1.4270804595914108</c:v>
                </c:pt>
                <c:pt idx="423">
                  <c:v>1.6182499712542158</c:v>
                </c:pt>
                <c:pt idx="424">
                  <c:v>1.7065157345552324</c:v>
                </c:pt>
                <c:pt idx="425">
                  <c:v>1.7531469236434856</c:v>
                </c:pt>
                <c:pt idx="426">
                  <c:v>1.6294735751331146</c:v>
                </c:pt>
                <c:pt idx="427">
                  <c:v>1.7255608171282404</c:v>
                </c:pt>
                <c:pt idx="428">
                  <c:v>1.8196617719206907</c:v>
                </c:pt>
                <c:pt idx="429">
                  <c:v>1.8072285581039793</c:v>
                </c:pt>
                <c:pt idx="430">
                  <c:v>1.9943828183683232</c:v>
                </c:pt>
                <c:pt idx="431">
                  <c:v>2.1746626110868288</c:v>
                </c:pt>
                <c:pt idx="432">
                  <c:v>2.2153580013011438</c:v>
                </c:pt>
                <c:pt idx="433">
                  <c:v>2.382445928090648</c:v>
                </c:pt>
                <c:pt idx="434">
                  <c:v>2.4047350469783311</c:v>
                </c:pt>
                <c:pt idx="435">
                  <c:v>2.1913994322442103</c:v>
                </c:pt>
                <c:pt idx="436">
                  <c:v>2.4092591218162074</c:v>
                </c:pt>
                <c:pt idx="437">
                  <c:v>2.3703534018429617</c:v>
                </c:pt>
                <c:pt idx="438">
                  <c:v>2.4113430145481463</c:v>
                </c:pt>
                <c:pt idx="439">
                  <c:v>2.5525179487665728</c:v>
                </c:pt>
                <c:pt idx="440">
                  <c:v>2.7955997303183611</c:v>
                </c:pt>
                <c:pt idx="441">
                  <c:v>2.9318140665525227</c:v>
                </c:pt>
                <c:pt idx="442">
                  <c:v>3.2087629546339889</c:v>
                </c:pt>
                <c:pt idx="443">
                  <c:v>3.302578079716358</c:v>
                </c:pt>
                <c:pt idx="444">
                  <c:v>3.5034182190199346</c:v>
                </c:pt>
                <c:pt idx="445">
                  <c:v>3.6646703987436449</c:v>
                </c:pt>
                <c:pt idx="446">
                  <c:v>3.3593705617618368</c:v>
                </c:pt>
                <c:pt idx="447">
                  <c:v>4.2745697884508083</c:v>
                </c:pt>
                <c:pt idx="448">
                  <c:v>4.2326022679424486</c:v>
                </c:pt>
                <c:pt idx="449">
                  <c:v>4.2720790786701386</c:v>
                </c:pt>
                <c:pt idx="450">
                  <c:v>4.1359128147324169</c:v>
                </c:pt>
                <c:pt idx="451">
                  <c:v>4.1810681567091681</c:v>
                </c:pt>
                <c:pt idx="452">
                  <c:v>4.9927358975172176</c:v>
                </c:pt>
                <c:pt idx="453">
                  <c:v>5.0769757779828337</c:v>
                </c:pt>
                <c:pt idx="454">
                  <c:v>5.1153659454571194</c:v>
                </c:pt>
                <c:pt idx="455">
                  <c:v>5.3004128249962301</c:v>
                </c:pt>
                <c:pt idx="456">
                  <c:v>5.1316443264548157</c:v>
                </c:pt>
                <c:pt idx="457">
                  <c:v>5.1651542628541662</c:v>
                </c:pt>
                <c:pt idx="458">
                  <c:v>5.3520088325992132</c:v>
                </c:pt>
                <c:pt idx="459">
                  <c:v>5.6104432925555656</c:v>
                </c:pt>
                <c:pt idx="460">
                  <c:v>5.5335866871706445</c:v>
                </c:pt>
                <c:pt idx="461">
                  <c:v>6.484850313461501</c:v>
                </c:pt>
                <c:pt idx="462">
                  <c:v>6.955308573166473</c:v>
                </c:pt>
                <c:pt idx="463">
                  <c:v>6.8463336008542264</c:v>
                </c:pt>
                <c:pt idx="464">
                  <c:v>6.954384140799525</c:v>
                </c:pt>
                <c:pt idx="465">
                  <c:v>7.6743950482297887</c:v>
                </c:pt>
                <c:pt idx="466">
                  <c:v>9.6102485889596441</c:v>
                </c:pt>
                <c:pt idx="467">
                  <c:v>9.9779068894314111</c:v>
                </c:pt>
                <c:pt idx="468">
                  <c:v>10.510812678374117</c:v>
                </c:pt>
                <c:pt idx="469">
                  <c:v>11.712037908268917</c:v>
                </c:pt>
                <c:pt idx="470">
                  <c:v>13.281803755166443</c:v>
                </c:pt>
                <c:pt idx="471">
                  <c:v>12.739202816723706</c:v>
                </c:pt>
                <c:pt idx="472">
                  <c:v>14.213253847229144</c:v>
                </c:pt>
                <c:pt idx="473">
                  <c:v>11.514813028383326</c:v>
                </c:pt>
                <c:pt idx="474">
                  <c:v>13.007292306240736</c:v>
                </c:pt>
                <c:pt idx="475">
                  <c:v>13.16075058912209</c:v>
                </c:pt>
                <c:pt idx="476">
                  <c:v>13.028279075139318</c:v>
                </c:pt>
                <c:pt idx="477">
                  <c:v>13.058397126670894</c:v>
                </c:pt>
                <c:pt idx="478">
                  <c:v>13.298559327321307</c:v>
                </c:pt>
                <c:pt idx="479">
                  <c:v>15.846253199000007</c:v>
                </c:pt>
                <c:pt idx="480">
                  <c:v>20.899984469851198</c:v>
                </c:pt>
                <c:pt idx="481">
                  <c:v>25.181065352129501</c:v>
                </c:pt>
                <c:pt idx="482">
                  <c:v>30.844794545358631</c:v>
                </c:pt>
                <c:pt idx="483">
                  <c:v>29.867224346703168</c:v>
                </c:pt>
                <c:pt idx="484">
                  <c:v>24.560534431856976</c:v>
                </c:pt>
                <c:pt idx="485">
                  <c:v>30.567614631130354</c:v>
                </c:pt>
                <c:pt idx="486">
                  <c:v>32.588388867277864</c:v>
                </c:pt>
                <c:pt idx="487">
                  <c:v>37.471809675779319</c:v>
                </c:pt>
                <c:pt idx="488">
                  <c:v>48.731084826548162</c:v>
                </c:pt>
                <c:pt idx="489">
                  <c:v>45.273218009453288</c:v>
                </c:pt>
                <c:pt idx="490">
                  <c:v>50.378623033211831</c:v>
                </c:pt>
                <c:pt idx="491">
                  <c:v>52.522120091586828</c:v>
                </c:pt>
                <c:pt idx="492">
                  <c:v>53.598707506363972</c:v>
                </c:pt>
                <c:pt idx="493">
                  <c:v>67.709436089562203</c:v>
                </c:pt>
                <c:pt idx="494">
                  <c:v>88.160690484375849</c:v>
                </c:pt>
                <c:pt idx="495">
                  <c:v>117.24268681309233</c:v>
                </c:pt>
                <c:pt idx="496">
                  <c:v>111.61726449614883</c:v>
                </c:pt>
                <c:pt idx="497">
                  <c:v>131.00499100719301</c:v>
                </c:pt>
                <c:pt idx="498">
                  <c:v>131.64159109081925</c:v>
                </c:pt>
                <c:pt idx="499">
                  <c:v>171.94301110718382</c:v>
                </c:pt>
                <c:pt idx="500">
                  <c:v>231.48812432693563</c:v>
                </c:pt>
                <c:pt idx="501">
                  <c:v>349.99731227927128</c:v>
                </c:pt>
                <c:pt idx="502">
                  <c:v>130.2383457613326</c:v>
                </c:pt>
                <c:pt idx="503">
                  <c:v>67.244413771878897</c:v>
                </c:pt>
                <c:pt idx="504">
                  <c:v>67.816181386072884</c:v>
                </c:pt>
                <c:pt idx="505">
                  <c:v>45.018018073063814</c:v>
                </c:pt>
                <c:pt idx="506">
                  <c:v>42.820768951122517</c:v>
                </c:pt>
                <c:pt idx="507">
                  <c:v>38.001278128250732</c:v>
                </c:pt>
                <c:pt idx="508">
                  <c:v>30.313948526806598</c:v>
                </c:pt>
                <c:pt idx="509">
                  <c:v>40.941114708816414</c:v>
                </c:pt>
                <c:pt idx="510">
                  <c:v>50.919484334575557</c:v>
                </c:pt>
                <c:pt idx="511">
                  <c:v>58.180835614667451</c:v>
                </c:pt>
                <c:pt idx="512">
                  <c:v>65.202028717331117</c:v>
                </c:pt>
                <c:pt idx="513">
                  <c:v>58.210360065552699</c:v>
                </c:pt>
                <c:pt idx="514">
                  <c:v>65.104338797205386</c:v>
                </c:pt>
                <c:pt idx="515">
                  <c:v>80.418845062951362</c:v>
                </c:pt>
                <c:pt idx="516">
                  <c:v>92.181682709195982</c:v>
                </c:pt>
                <c:pt idx="517">
                  <c:v>77.357010794376819</c:v>
                </c:pt>
                <c:pt idx="518">
                  <c:v>72.549608987798976</c:v>
                </c:pt>
                <c:pt idx="519">
                  <c:v>63.914199840334163</c:v>
                </c:pt>
                <c:pt idx="520">
                  <c:v>69.454009634133442</c:v>
                </c:pt>
                <c:pt idx="521">
                  <c:v>70.23082380718472</c:v>
                </c:pt>
                <c:pt idx="522">
                  <c:v>76.560337733720033</c:v>
                </c:pt>
                <c:pt idx="523">
                  <c:v>70.247802164381071</c:v>
                </c:pt>
                <c:pt idx="524">
                  <c:v>56.318080292313297</c:v>
                </c:pt>
                <c:pt idx="525">
                  <c:v>47.62811261028363</c:v>
                </c:pt>
                <c:pt idx="526">
                  <c:v>40.553372256862829</c:v>
                </c:pt>
                <c:pt idx="527">
                  <c:v>54.598083521522824</c:v>
                </c:pt>
                <c:pt idx="528">
                  <c:v>58.831016795568225</c:v>
                </c:pt>
                <c:pt idx="529">
                  <c:v>59.968893946792456</c:v>
                </c:pt>
                <c:pt idx="530">
                  <c:v>51.100487725919734</c:v>
                </c:pt>
                <c:pt idx="531">
                  <c:v>55.636546970590288</c:v>
                </c:pt>
                <c:pt idx="532">
                  <c:v>55.897368830155386</c:v>
                </c:pt>
                <c:pt idx="533">
                  <c:v>60.348752613660743</c:v>
                </c:pt>
                <c:pt idx="534">
                  <c:v>55.784653479364188</c:v>
                </c:pt>
                <c:pt idx="535">
                  <c:v>57.017719904532811</c:v>
                </c:pt>
                <c:pt idx="536">
                  <c:v>58.926784558901879</c:v>
                </c:pt>
                <c:pt idx="537">
                  <c:v>57.074929063841502</c:v>
                </c:pt>
                <c:pt idx="538">
                  <c:v>56.839309478804942</c:v>
                </c:pt>
                <c:pt idx="539">
                  <c:v>57.820884004887922</c:v>
                </c:pt>
                <c:pt idx="540">
                  <c:v>63.744277909606488</c:v>
                </c:pt>
                <c:pt idx="541">
                  <c:v>64.373106145709087</c:v>
                </c:pt>
                <c:pt idx="542">
                  <c:v>61.71638432600497</c:v>
                </c:pt>
                <c:pt idx="543">
                  <c:v>63.374132629262661</c:v>
                </c:pt>
                <c:pt idx="544">
                  <c:v>63.631703454012722</c:v>
                </c:pt>
                <c:pt idx="545">
                  <c:v>63.712311045653621</c:v>
                </c:pt>
                <c:pt idx="546">
                  <c:v>66.050571629247671</c:v>
                </c:pt>
                <c:pt idx="547">
                  <c:v>71.186232643796458</c:v>
                </c:pt>
                <c:pt idx="548">
                  <c:v>70.38254435323843</c:v>
                </c:pt>
                <c:pt idx="549">
                  <c:v>73.678262555431118</c:v>
                </c:pt>
                <c:pt idx="550">
                  <c:v>68.76422428546114</c:v>
                </c:pt>
                <c:pt idx="551">
                  <c:v>68.920711799837051</c:v>
                </c:pt>
                <c:pt idx="552">
                  <c:v>71.437933708864747</c:v>
                </c:pt>
                <c:pt idx="553">
                  <c:v>67.569355459900663</c:v>
                </c:pt>
                <c:pt idx="554">
                  <c:v>68.060319812809993</c:v>
                </c:pt>
                <c:pt idx="555">
                  <c:v>69.004096653815253</c:v>
                </c:pt>
                <c:pt idx="556">
                  <c:v>63.284584589159309</c:v>
                </c:pt>
                <c:pt idx="557">
                  <c:v>63.180643685178076</c:v>
                </c:pt>
                <c:pt idx="558">
                  <c:v>63.287364786580611</c:v>
                </c:pt>
                <c:pt idx="559">
                  <c:v>63.577578721572777</c:v>
                </c:pt>
                <c:pt idx="560">
                  <c:v>61.762838397220143</c:v>
                </c:pt>
                <c:pt idx="561">
                  <c:v>56.270845309533868</c:v>
                </c:pt>
                <c:pt idx="562">
                  <c:v>55.283018737191689</c:v>
                </c:pt>
                <c:pt idx="563">
                  <c:v>55.052474499069852</c:v>
                </c:pt>
                <c:pt idx="564">
                  <c:v>58.833985627160402</c:v>
                </c:pt>
                <c:pt idx="565">
                  <c:v>60.752743282257079</c:v>
                </c:pt>
                <c:pt idx="566">
                  <c:v>60.433572222856895</c:v>
                </c:pt>
                <c:pt idx="567">
                  <c:v>60.123070355757136</c:v>
                </c:pt>
                <c:pt idx="568">
                  <c:v>59.989480064561398</c:v>
                </c:pt>
                <c:pt idx="569">
                  <c:v>60.129397146175556</c:v>
                </c:pt>
                <c:pt idx="570">
                  <c:v>60.142908945174213</c:v>
                </c:pt>
                <c:pt idx="571">
                  <c:v>60.192355465997728</c:v>
                </c:pt>
                <c:pt idx="572">
                  <c:v>60.457927456230365</c:v>
                </c:pt>
                <c:pt idx="573">
                  <c:v>60.533691522338529</c:v>
                </c:pt>
                <c:pt idx="574">
                  <c:v>60.700712843595007</c:v>
                </c:pt>
                <c:pt idx="575">
                  <c:v>60.693547700785381</c:v>
                </c:pt>
                <c:pt idx="576">
                  <c:v>60.734095172531951</c:v>
                </c:pt>
                <c:pt idx="577">
                  <c:v>60.756287914689288</c:v>
                </c:pt>
                <c:pt idx="578">
                  <c:v>60.592936721166353</c:v>
                </c:pt>
                <c:pt idx="579">
                  <c:v>60.631508417422253</c:v>
                </c:pt>
                <c:pt idx="580">
                  <c:v>60.622311585599114</c:v>
                </c:pt>
                <c:pt idx="581">
                  <c:v>60.508029744563117</c:v>
                </c:pt>
                <c:pt idx="582">
                  <c:v>60.307320785006759</c:v>
                </c:pt>
                <c:pt idx="583">
                  <c:v>60.376764011578125</c:v>
                </c:pt>
                <c:pt idx="584">
                  <c:v>60.446701857982305</c:v>
                </c:pt>
                <c:pt idx="585">
                  <c:v>60.651450737405028</c:v>
                </c:pt>
                <c:pt idx="586">
                  <c:v>60.817657807387903</c:v>
                </c:pt>
                <c:pt idx="587">
                  <c:v>60.024827142305305</c:v>
                </c:pt>
                <c:pt idx="588">
                  <c:v>59.979200281289913</c:v>
                </c:pt>
                <c:pt idx="589">
                  <c:v>59.923650671783015</c:v>
                </c:pt>
                <c:pt idx="590">
                  <c:v>59.968461120539601</c:v>
                </c:pt>
                <c:pt idx="591">
                  <c:v>62.208372682122295</c:v>
                </c:pt>
                <c:pt idx="592">
                  <c:v>62.080295940301653</c:v>
                </c:pt>
                <c:pt idx="593">
                  <c:v>62.151349378959523</c:v>
                </c:pt>
                <c:pt idx="594">
                  <c:v>64.068259789656679</c:v>
                </c:pt>
                <c:pt idx="595">
                  <c:v>65.467001735101846</c:v>
                </c:pt>
                <c:pt idx="596">
                  <c:v>64.889191862037364</c:v>
                </c:pt>
                <c:pt idx="597">
                  <c:v>66.176820942526291</c:v>
                </c:pt>
                <c:pt idx="598">
                  <c:v>65.922540396520404</c:v>
                </c:pt>
                <c:pt idx="599">
                  <c:v>68.265989240206522</c:v>
                </c:pt>
                <c:pt idx="600">
                  <c:v>68.539737569444711</c:v>
                </c:pt>
                <c:pt idx="601">
                  <c:v>68.421958719142054</c:v>
                </c:pt>
                <c:pt idx="602">
                  <c:v>67.798824779418098</c:v>
                </c:pt>
                <c:pt idx="603">
                  <c:v>68.197559705000202</c:v>
                </c:pt>
                <c:pt idx="604">
                  <c:v>68.028876704615627</c:v>
                </c:pt>
                <c:pt idx="605">
                  <c:v>68.184193625904285</c:v>
                </c:pt>
                <c:pt idx="606">
                  <c:v>68.373075123561989</c:v>
                </c:pt>
                <c:pt idx="607">
                  <c:v>68.775417328020637</c:v>
                </c:pt>
                <c:pt idx="608">
                  <c:v>68.769587687635848</c:v>
                </c:pt>
                <c:pt idx="609">
                  <c:v>69.023965584239548</c:v>
                </c:pt>
                <c:pt idx="610">
                  <c:v>68.734483258681422</c:v>
                </c:pt>
                <c:pt idx="611">
                  <c:v>68.721322151369321</c:v>
                </c:pt>
                <c:pt idx="612">
                  <c:v>69.348242996013724</c:v>
                </c:pt>
                <c:pt idx="613">
                  <c:v>69.734189729392</c:v>
                </c:pt>
                <c:pt idx="614">
                  <c:v>70.610278527101428</c:v>
                </c:pt>
                <c:pt idx="615">
                  <c:v>70.472845470355765</c:v>
                </c:pt>
                <c:pt idx="616">
                  <c:v>70.312693959335647</c:v>
                </c:pt>
                <c:pt idx="617">
                  <c:v>70.455710653563514</c:v>
                </c:pt>
                <c:pt idx="618">
                  <c:v>70.533646740262455</c:v>
                </c:pt>
                <c:pt idx="619">
                  <c:v>70.646724857572764</c:v>
                </c:pt>
                <c:pt idx="620">
                  <c:v>70.621816726021919</c:v>
                </c:pt>
                <c:pt idx="621">
                  <c:v>70.653509720386793</c:v>
                </c:pt>
                <c:pt idx="622">
                  <c:v>70.646569668896817</c:v>
                </c:pt>
                <c:pt idx="623">
                  <c:v>70.640661706167521</c:v>
                </c:pt>
                <c:pt idx="624">
                  <c:v>70.631220556623603</c:v>
                </c:pt>
                <c:pt idx="625">
                  <c:v>70.637177155261455</c:v>
                </c:pt>
                <c:pt idx="626">
                  <c:v>70.641515157852552</c:v>
                </c:pt>
                <c:pt idx="627">
                  <c:v>70.65315330699832</c:v>
                </c:pt>
                <c:pt idx="628">
                  <c:v>70.44365951582914</c:v>
                </c:pt>
                <c:pt idx="629">
                  <c:v>70.413395866828367</c:v>
                </c:pt>
                <c:pt idx="630">
                  <c:v>70.579942567873928</c:v>
                </c:pt>
                <c:pt idx="631">
                  <c:v>70.560253950789544</c:v>
                </c:pt>
                <c:pt idx="632">
                  <c:v>70.475578853403121</c:v>
                </c:pt>
                <c:pt idx="633">
                  <c:v>70.327570993133151</c:v>
                </c:pt>
                <c:pt idx="634">
                  <c:v>70.141393482245761</c:v>
                </c:pt>
                <c:pt idx="635">
                  <c:v>70.151500874998376</c:v>
                </c:pt>
                <c:pt idx="636">
                  <c:v>70.105671464130054</c:v>
                </c:pt>
                <c:pt idx="637">
                  <c:v>70.161336261432979</c:v>
                </c:pt>
                <c:pt idx="638">
                  <c:v>70.388252464842481</c:v>
                </c:pt>
                <c:pt idx="639">
                  <c:v>70.228742950720914</c:v>
                </c:pt>
                <c:pt idx="640">
                  <c:v>70.126890874080757</c:v>
                </c:pt>
                <c:pt idx="641">
                  <c:v>70.088191317537706</c:v>
                </c:pt>
                <c:pt idx="642">
                  <c:v>69.886751374547913</c:v>
                </c:pt>
                <c:pt idx="643">
                  <c:v>70.071581901241075</c:v>
                </c:pt>
                <c:pt idx="644">
                  <c:v>70.11219076576316</c:v>
                </c:pt>
                <c:pt idx="645">
                  <c:v>69.839156088623866</c:v>
                </c:pt>
                <c:pt idx="646">
                  <c:v>69.661786216037342</c:v>
                </c:pt>
                <c:pt idx="647">
                  <c:v>69.680687855694515</c:v>
                </c:pt>
                <c:pt idx="648">
                  <c:v>69.804244364462207</c:v>
                </c:pt>
                <c:pt idx="649">
                  <c:v>69.697753846207519</c:v>
                </c:pt>
                <c:pt idx="650">
                  <c:v>70.965383875148575</c:v>
                </c:pt>
                <c:pt idx="651">
                  <c:v>71.114669982369122</c:v>
                </c:pt>
                <c:pt idx="652">
                  <c:v>71.702193799686938</c:v>
                </c:pt>
                <c:pt idx="653">
                  <c:v>71.585395235798828</c:v>
                </c:pt>
                <c:pt idx="654">
                  <c:v>71.788835705423594</c:v>
                </c:pt>
                <c:pt idx="655">
                  <c:v>71.459687577286374</c:v>
                </c:pt>
                <c:pt idx="656">
                  <c:v>71.644925310705929</c:v>
                </c:pt>
                <c:pt idx="657">
                  <c:v>71.379952943525581</c:v>
                </c:pt>
                <c:pt idx="658">
                  <c:v>71.251630088110929</c:v>
                </c:pt>
                <c:pt idx="659">
                  <c:v>71.510751486089305</c:v>
                </c:pt>
                <c:pt idx="660">
                  <c:v>71.898338346055397</c:v>
                </c:pt>
                <c:pt idx="661">
                  <c:v>71.704466657612883</c:v>
                </c:pt>
                <c:pt idx="662">
                  <c:v>72.097291677504131</c:v>
                </c:pt>
                <c:pt idx="663">
                  <c:v>71.892136414913878</c:v>
                </c:pt>
                <c:pt idx="664">
                  <c:v>71.876900895414195</c:v>
                </c:pt>
                <c:pt idx="665">
                  <c:v>71.938630974158656</c:v>
                </c:pt>
                <c:pt idx="666">
                  <c:v>72.10856812674939</c:v>
                </c:pt>
                <c:pt idx="667">
                  <c:v>72.116404227823793</c:v>
                </c:pt>
                <c:pt idx="668">
                  <c:v>72.034162166006666</c:v>
                </c:pt>
                <c:pt idx="669">
                  <c:v>72.185008928577588</c:v>
                </c:pt>
                <c:pt idx="670">
                  <c:v>71.996904477229236</c:v>
                </c:pt>
                <c:pt idx="671">
                  <c:v>71.98682670439031</c:v>
                </c:pt>
                <c:pt idx="672">
                  <c:v>71.860396740682546</c:v>
                </c:pt>
                <c:pt idx="673">
                  <c:v>71.41302492446323</c:v>
                </c:pt>
                <c:pt idx="674">
                  <c:v>71.050018937709254</c:v>
                </c:pt>
                <c:pt idx="675">
                  <c:v>71.420603405689235</c:v>
                </c:pt>
                <c:pt idx="676">
                  <c:v>71.467367080311973</c:v>
                </c:pt>
                <c:pt idx="677">
                  <c:v>71.577271083859856</c:v>
                </c:pt>
                <c:pt idx="678">
                  <c:v>73.281071371939589</c:v>
                </c:pt>
                <c:pt idx="679">
                  <c:v>73.054542842681172</c:v>
                </c:pt>
                <c:pt idx="680">
                  <c:v>72.809666765184133</c:v>
                </c:pt>
                <c:pt idx="681">
                  <c:v>72.831658547048036</c:v>
                </c:pt>
                <c:pt idx="682">
                  <c:v>72.779959875951334</c:v>
                </c:pt>
                <c:pt idx="683">
                  <c:v>73.033134226187073</c:v>
                </c:pt>
                <c:pt idx="684">
                  <c:v>72.935040858184266</c:v>
                </c:pt>
                <c:pt idx="685">
                  <c:v>72.648681942327443</c:v>
                </c:pt>
                <c:pt idx="686">
                  <c:v>72.716477034585765</c:v>
                </c:pt>
                <c:pt idx="687">
                  <c:v>72.494208000718828</c:v>
                </c:pt>
                <c:pt idx="688">
                  <c:v>72.39100019196583</c:v>
                </c:pt>
                <c:pt idx="689">
                  <c:v>72.135740292415136</c:v>
                </c:pt>
                <c:pt idx="690">
                  <c:v>72.163422404372099</c:v>
                </c:pt>
                <c:pt idx="691">
                  <c:v>71.621159746836994</c:v>
                </c:pt>
                <c:pt idx="692">
                  <c:v>72.432193349189987</c:v>
                </c:pt>
                <c:pt idx="693">
                  <c:v>72.216615458919733</c:v>
                </c:pt>
                <c:pt idx="694">
                  <c:v>71.113875789111745</c:v>
                </c:pt>
                <c:pt idx="695">
                  <c:v>77.242935291427514</c:v>
                </c:pt>
                <c:pt idx="696">
                  <c:v>76.738719812693617</c:v>
                </c:pt>
                <c:pt idx="697">
                  <c:v>85.808381473469325</c:v>
                </c:pt>
                <c:pt idx="698">
                  <c:v>87.346249316213374</c:v>
                </c:pt>
                <c:pt idx="699">
                  <c:v>84.191943070969373</c:v>
                </c:pt>
                <c:pt idx="700">
                  <c:v>81.091125323489422</c:v>
                </c:pt>
                <c:pt idx="701">
                  <c:v>81.143878542658271</c:v>
                </c:pt>
                <c:pt idx="702">
                  <c:v>81.607857385369385</c:v>
                </c:pt>
                <c:pt idx="703">
                  <c:v>79.98949964228963</c:v>
                </c:pt>
                <c:pt idx="704">
                  <c:v>79.38384661501432</c:v>
                </c:pt>
                <c:pt idx="705">
                  <c:v>79.060986859877261</c:v>
                </c:pt>
                <c:pt idx="706">
                  <c:v>79.205475670970017</c:v>
                </c:pt>
                <c:pt idx="707">
                  <c:v>78.864571142116517</c:v>
                </c:pt>
                <c:pt idx="708">
                  <c:v>78.29897201610963</c:v>
                </c:pt>
                <c:pt idx="709">
                  <c:v>78.64113686221576</c:v>
                </c:pt>
                <c:pt idx="710">
                  <c:v>76.746525042820977</c:v>
                </c:pt>
                <c:pt idx="711">
                  <c:v>75.039027723203731</c:v>
                </c:pt>
                <c:pt idx="712">
                  <c:v>71.827026357995592</c:v>
                </c:pt>
                <c:pt idx="713">
                  <c:v>67.666766791904251</c:v>
                </c:pt>
                <c:pt idx="714">
                  <c:v>75.92121958202452</c:v>
                </c:pt>
                <c:pt idx="715">
                  <c:v>85.917944583429588</c:v>
                </c:pt>
                <c:pt idx="716">
                  <c:v>89.095923662292222</c:v>
                </c:pt>
                <c:pt idx="717">
                  <c:v>95.755599585384729</c:v>
                </c:pt>
                <c:pt idx="718">
                  <c:v>106.1943327573339</c:v>
                </c:pt>
                <c:pt idx="719">
                  <c:v>111.23454272827071</c:v>
                </c:pt>
                <c:pt idx="720">
                  <c:v>124.01350646975428</c:v>
                </c:pt>
                <c:pt idx="721">
                  <c:v>130.29457963204402</c:v>
                </c:pt>
                <c:pt idx="722">
                  <c:v>134.45859277826818</c:v>
                </c:pt>
                <c:pt idx="723">
                  <c:v>140.7265768854401</c:v>
                </c:pt>
                <c:pt idx="724">
                  <c:v>168.02799988382921</c:v>
                </c:pt>
                <c:pt idx="725">
                  <c:v>237.05766268998892</c:v>
                </c:pt>
                <c:pt idx="726">
                  <c:v>180.44726931625544</c:v>
                </c:pt>
                <c:pt idx="727">
                  <c:v>245.50057957754717</c:v>
                </c:pt>
                <c:pt idx="728">
                  <c:v>326.01287521523562</c:v>
                </c:pt>
                <c:pt idx="729">
                  <c:v>332.09513846451387</c:v>
                </c:pt>
                <c:pt idx="730">
                  <c:v>389.64172026743483</c:v>
                </c:pt>
                <c:pt idx="731">
                  <c:v>367.74867536026733</c:v>
                </c:pt>
                <c:pt idx="732">
                  <c:v>377.59936962490639</c:v>
                </c:pt>
                <c:pt idx="733">
                  <c:v>457.27144075343676</c:v>
                </c:pt>
                <c:pt idx="734">
                  <c:v>501.68001381311609</c:v>
                </c:pt>
                <c:pt idx="735">
                  <c:v>489.84880618859194</c:v>
                </c:pt>
                <c:pt idx="736">
                  <c:v>456.20703954845118</c:v>
                </c:pt>
                <c:pt idx="737">
                  <c:v>463.21620587556555</c:v>
                </c:pt>
                <c:pt idx="738">
                  <c:v>492.73809258152255</c:v>
                </c:pt>
                <c:pt idx="739">
                  <c:v>485.76759209160736</c:v>
                </c:pt>
                <c:pt idx="740">
                  <c:v>476.33952742141634</c:v>
                </c:pt>
                <c:pt idx="741">
                  <c:v>463.88931103497447</c:v>
                </c:pt>
                <c:pt idx="742">
                  <c:v>493.86391179276507</c:v>
                </c:pt>
                <c:pt idx="743">
                  <c:v>586.60509656448198</c:v>
                </c:pt>
                <c:pt idx="744">
                  <c:v>634.37077516348018</c:v>
                </c:pt>
                <c:pt idx="745">
                  <c:v>529.7812110749187</c:v>
                </c:pt>
                <c:pt idx="746">
                  <c:v>494.29697612553286</c:v>
                </c:pt>
                <c:pt idx="747">
                  <c:v>483.71970167470465</c:v>
                </c:pt>
                <c:pt idx="748">
                  <c:v>525.72544747056031</c:v>
                </c:pt>
                <c:pt idx="749">
                  <c:v>501.03642296844095</c:v>
                </c:pt>
                <c:pt idx="750">
                  <c:v>506.57515328779056</c:v>
                </c:pt>
                <c:pt idx="751">
                  <c:v>526.42212297092453</c:v>
                </c:pt>
                <c:pt idx="752">
                  <c:v>517.67689867386957</c:v>
                </c:pt>
                <c:pt idx="753">
                  <c:v>636.76800217330469</c:v>
                </c:pt>
                <c:pt idx="754">
                  <c:v>659.08414765175212</c:v>
                </c:pt>
                <c:pt idx="755">
                  <c:v>746.40841485243322</c:v>
                </c:pt>
                <c:pt idx="756">
                  <c:v>572.67221078589102</c:v>
                </c:pt>
                <c:pt idx="757">
                  <c:v>633.51254852848137</c:v>
                </c:pt>
                <c:pt idx="758">
                  <c:v>661.82425105222978</c:v>
                </c:pt>
                <c:pt idx="759">
                  <c:v>625.44985474636701</c:v>
                </c:pt>
                <c:pt idx="760">
                  <c:v>600.99446842534519</c:v>
                </c:pt>
                <c:pt idx="761">
                  <c:v>615.65056012016521</c:v>
                </c:pt>
                <c:pt idx="762">
                  <c:v>580.27815621309185</c:v>
                </c:pt>
                <c:pt idx="763">
                  <c:v>547.813741877079</c:v>
                </c:pt>
                <c:pt idx="764">
                  <c:v>552.41423664590775</c:v>
                </c:pt>
                <c:pt idx="765">
                  <c:v>559.98888243820386</c:v>
                </c:pt>
                <c:pt idx="766">
                  <c:v>535.49767345415557</c:v>
                </c:pt>
                <c:pt idx="767">
                  <c:v>538.89438703216138</c:v>
                </c:pt>
                <c:pt idx="768">
                  <c:v>524.33851680621035</c:v>
                </c:pt>
                <c:pt idx="769">
                  <c:v>522.96151481492177</c:v>
                </c:pt>
                <c:pt idx="770">
                  <c:v>503.75745787922489</c:v>
                </c:pt>
                <c:pt idx="771">
                  <c:v>499.27528925548143</c:v>
                </c:pt>
                <c:pt idx="772">
                  <c:v>468.71000493073848</c:v>
                </c:pt>
                <c:pt idx="773">
                  <c:v>419.03377856457797</c:v>
                </c:pt>
                <c:pt idx="774">
                  <c:v>439.89302812082292</c:v>
                </c:pt>
                <c:pt idx="775">
                  <c:v>468.74365718670862</c:v>
                </c:pt>
                <c:pt idx="776">
                  <c:v>477.34244129314214</c:v>
                </c:pt>
                <c:pt idx="777">
                  <c:v>479.96673190804967</c:v>
                </c:pt>
                <c:pt idx="778">
                  <c:v>442.19754607333869</c:v>
                </c:pt>
                <c:pt idx="779">
                  <c:v>461.8743225887016</c:v>
                </c:pt>
                <c:pt idx="780">
                  <c:v>476.73113736930884</c:v>
                </c:pt>
                <c:pt idx="781">
                  <c:v>475.95613245638674</c:v>
                </c:pt>
                <c:pt idx="782">
                  <c:v>461.18380015049587</c:v>
                </c:pt>
                <c:pt idx="783">
                  <c:v>466.32736603930522</c:v>
                </c:pt>
                <c:pt idx="784">
                  <c:v>481.62021685981614</c:v>
                </c:pt>
                <c:pt idx="785">
                  <c:v>473.9028880434073</c:v>
                </c:pt>
                <c:pt idx="786">
                  <c:v>476.36698559804768</c:v>
                </c:pt>
                <c:pt idx="787">
                  <c:v>459.76294402708811</c:v>
                </c:pt>
                <c:pt idx="788">
                  <c:v>458.85067356827614</c:v>
                </c:pt>
                <c:pt idx="789">
                  <c:v>466.4768239797977</c:v>
                </c:pt>
                <c:pt idx="790">
                  <c:v>469.77011810640141</c:v>
                </c:pt>
                <c:pt idx="791">
                  <c:v>479.40013494448755</c:v>
                </c:pt>
                <c:pt idx="792">
                  <c:v>494.47938483140217</c:v>
                </c:pt>
                <c:pt idx="793">
                  <c:v>465.83045639592314</c:v>
                </c:pt>
                <c:pt idx="794">
                  <c:v>445.03406525988095</c:v>
                </c:pt>
                <c:pt idx="795">
                  <c:v>489.47468475690056</c:v>
                </c:pt>
                <c:pt idx="796">
                  <c:v>483.22369926467326</c:v>
                </c:pt>
                <c:pt idx="797">
                  <c:v>476.62558263109946</c:v>
                </c:pt>
                <c:pt idx="798">
                  <c:v>479.91572501711443</c:v>
                </c:pt>
                <c:pt idx="799">
                  <c:v>477.87512243997679</c:v>
                </c:pt>
                <c:pt idx="800">
                  <c:v>467.18500775196446</c:v>
                </c:pt>
                <c:pt idx="801">
                  <c:v>474.10624668723642</c:v>
                </c:pt>
                <c:pt idx="802">
                  <c:v>480.04642282925425</c:v>
                </c:pt>
                <c:pt idx="803">
                  <c:v>473.23248645568964</c:v>
                </c:pt>
                <c:pt idx="804">
                  <c:v>478.69057397341436</c:v>
                </c:pt>
                <c:pt idx="805">
                  <c:v>501.22922961255824</c:v>
                </c:pt>
                <c:pt idx="806">
                  <c:v>539.38038974535061</c:v>
                </c:pt>
                <c:pt idx="807">
                  <c:v>568.92826083215346</c:v>
                </c:pt>
                <c:pt idx="808">
                  <c:v>564.78676004091085</c:v>
                </c:pt>
                <c:pt idx="809">
                  <c:v>583.41453577554535</c:v>
                </c:pt>
                <c:pt idx="810">
                  <c:v>608.9427245707011</c:v>
                </c:pt>
                <c:pt idx="811">
                  <c:v>594.49834195221956</c:v>
                </c:pt>
                <c:pt idx="812">
                  <c:v>677.07107575404291</c:v>
                </c:pt>
                <c:pt idx="813">
                  <c:v>589.9668685778679</c:v>
                </c:pt>
                <c:pt idx="814">
                  <c:v>577.40174416995831</c:v>
                </c:pt>
                <c:pt idx="815">
                  <c:v>614.50305851293206</c:v>
                </c:pt>
                <c:pt idx="816">
                  <c:v>590.37456721448325</c:v>
                </c:pt>
                <c:pt idx="817">
                  <c:v>605.42108871219284</c:v>
                </c:pt>
                <c:pt idx="818">
                  <c:v>605.50566536409531</c:v>
                </c:pt>
                <c:pt idx="819">
                  <c:v>679.22582856017266</c:v>
                </c:pt>
                <c:pt idx="820">
                  <c:v>657.74598999904458</c:v>
                </c:pt>
                <c:pt idx="821">
                  <c:v>607.64880436240446</c:v>
                </c:pt>
                <c:pt idx="822">
                  <c:v>641.45769810107902</c:v>
                </c:pt>
                <c:pt idx="823">
                  <c:v>729.71546519300625</c:v>
                </c:pt>
                <c:pt idx="824">
                  <c:v>638.23103508009672</c:v>
                </c:pt>
                <c:pt idx="825">
                  <c:v>618.86035466520752</c:v>
                </c:pt>
                <c:pt idx="826">
                  <c:v>629.55177979499797</c:v>
                </c:pt>
                <c:pt idx="827">
                  <c:v>644.01605528149628</c:v>
                </c:pt>
                <c:pt idx="828">
                  <c:v>640.85641005126195</c:v>
                </c:pt>
                <c:pt idx="829">
                  <c:v>626.98965664870434</c:v>
                </c:pt>
                <c:pt idx="830">
                  <c:v>542.59663641056704</c:v>
                </c:pt>
                <c:pt idx="831">
                  <c:v>541.35674049649299</c:v>
                </c:pt>
                <c:pt idx="832">
                  <c:v>542.28608167250945</c:v>
                </c:pt>
                <c:pt idx="833">
                  <c:v>547.85905299982846</c:v>
                </c:pt>
                <c:pt idx="834">
                  <c:v>574.86092537255593</c:v>
                </c:pt>
                <c:pt idx="835">
                  <c:v>574.47195380373978</c:v>
                </c:pt>
                <c:pt idx="836">
                  <c:v>559.95340326807457</c:v>
                </c:pt>
                <c:pt idx="837">
                  <c:v>567.07760416806298</c:v>
                </c:pt>
                <c:pt idx="838">
                  <c:v>562.72254938253718</c:v>
                </c:pt>
                <c:pt idx="839">
                  <c:v>559.13086248205775</c:v>
                </c:pt>
                <c:pt idx="840">
                  <c:v>564.70349239110544</c:v>
                </c:pt>
                <c:pt idx="841">
                  <c:v>565.90933288130179</c:v>
                </c:pt>
                <c:pt idx="842">
                  <c:v>563.71488534615776</c:v>
                </c:pt>
                <c:pt idx="843">
                  <c:v>573.81841290189777</c:v>
                </c:pt>
                <c:pt idx="844">
                  <c:v>578.49247120757252</c:v>
                </c:pt>
                <c:pt idx="845">
                  <c:v>578.50448680706245</c:v>
                </c:pt>
                <c:pt idx="846">
                  <c:v>589.89405360610715</c:v>
                </c:pt>
                <c:pt idx="847">
                  <c:v>592.74104737252878</c:v>
                </c:pt>
                <c:pt idx="848">
                  <c:v>625.56277663377932</c:v>
                </c:pt>
                <c:pt idx="849">
                  <c:v>624.21104155900991</c:v>
                </c:pt>
                <c:pt idx="850">
                  <c:v>635.75702925011296</c:v>
                </c:pt>
                <c:pt idx="851">
                  <c:v>617.76114574353142</c:v>
                </c:pt>
                <c:pt idx="852">
                  <c:v>606.05330140292358</c:v>
                </c:pt>
                <c:pt idx="853">
                  <c:v>646.79506376799145</c:v>
                </c:pt>
                <c:pt idx="854">
                  <c:v>671.393891084796</c:v>
                </c:pt>
                <c:pt idx="855">
                  <c:v>710.09131706492462</c:v>
                </c:pt>
                <c:pt idx="856">
                  <c:v>717.96468602143045</c:v>
                </c:pt>
                <c:pt idx="857">
                  <c:v>730.98043611121534</c:v>
                </c:pt>
                <c:pt idx="858">
                  <c:v>757.62049625113411</c:v>
                </c:pt>
                <c:pt idx="859">
                  <c:v>723.09170232034967</c:v>
                </c:pt>
                <c:pt idx="860">
                  <c:v>803.54941114850283</c:v>
                </c:pt>
                <c:pt idx="861">
                  <c:v>786.49435722505757</c:v>
                </c:pt>
                <c:pt idx="862">
                  <c:v>760.05142644414025</c:v>
                </c:pt>
                <c:pt idx="863">
                  <c:v>739.83639891678399</c:v>
                </c:pt>
                <c:pt idx="864">
                  <c:v>753.5072985257242</c:v>
                </c:pt>
                <c:pt idx="865">
                  <c:v>757.31541042264257</c:v>
                </c:pt>
                <c:pt idx="866">
                  <c:v>754.90998068281351</c:v>
                </c:pt>
                <c:pt idx="867">
                  <c:v>799.04145184292452</c:v>
                </c:pt>
                <c:pt idx="868">
                  <c:v>886.02886110867462</c:v>
                </c:pt>
                <c:pt idx="869">
                  <c:v>764.25418291093172</c:v>
                </c:pt>
                <c:pt idx="870">
                  <c:v>786.55988404593518</c:v>
                </c:pt>
                <c:pt idx="871">
                  <c:v>814.31932974932386</c:v>
                </c:pt>
                <c:pt idx="872">
                  <c:v>728.96069483398969</c:v>
                </c:pt>
                <c:pt idx="873">
                  <c:v>640.63691106024203</c:v>
                </c:pt>
                <c:pt idx="874">
                  <c:v>636.12729647523349</c:v>
                </c:pt>
                <c:pt idx="875">
                  <c:v>666.66821976536664</c:v>
                </c:pt>
                <c:pt idx="876">
                  <c:v>695.96941452057581</c:v>
                </c:pt>
                <c:pt idx="877">
                  <c:v>650.74793489060755</c:v>
                </c:pt>
                <c:pt idx="878">
                  <c:v>646.77937601363772</c:v>
                </c:pt>
                <c:pt idx="879">
                  <c:v>658.05992039737134</c:v>
                </c:pt>
                <c:pt idx="880">
                  <c:v>667.58012811013123</c:v>
                </c:pt>
                <c:pt idx="881">
                  <c:v>670.84915997974701</c:v>
                </c:pt>
                <c:pt idx="882">
                  <c:v>712.09353823263848</c:v>
                </c:pt>
                <c:pt idx="883">
                  <c:v>718.73323439052638</c:v>
                </c:pt>
                <c:pt idx="884">
                  <c:v>712.50314636279757</c:v>
                </c:pt>
                <c:pt idx="885">
                  <c:v>757.33236328598412</c:v>
                </c:pt>
                <c:pt idx="886">
                  <c:v>720.53598389790761</c:v>
                </c:pt>
                <c:pt idx="887">
                  <c:v>722.25815922234165</c:v>
                </c:pt>
                <c:pt idx="888">
                  <c:v>715.49868211865146</c:v>
                </c:pt>
                <c:pt idx="889">
                  <c:v>723.26960579155229</c:v>
                </c:pt>
                <c:pt idx="890">
                  <c:v>730.20199216153469</c:v>
                </c:pt>
                <c:pt idx="891">
                  <c:v>741.44272377286268</c:v>
                </c:pt>
                <c:pt idx="892">
                  <c:v>746.98794626255108</c:v>
                </c:pt>
                <c:pt idx="893">
                  <c:v>750.98668442446979</c:v>
                </c:pt>
                <c:pt idx="894">
                  <c:v>745.22933291127629</c:v>
                </c:pt>
                <c:pt idx="895">
                  <c:v>730.55544957345023</c:v>
                </c:pt>
                <c:pt idx="896">
                  <c:v>728.57933272430921</c:v>
                </c:pt>
                <c:pt idx="897">
                  <c:v>715.52943924733574</c:v>
                </c:pt>
                <c:pt idx="898">
                  <c:v>714.18829560203744</c:v>
                </c:pt>
                <c:pt idx="899">
                  <c:v>740.03463880276661</c:v>
                </c:pt>
                <c:pt idx="900">
                  <c:v>727.737066690745</c:v>
                </c:pt>
                <c:pt idx="901">
                  <c:v>729.89067353671214</c:v>
                </c:pt>
                <c:pt idx="902">
                  <c:v>723.19962711080746</c:v>
                </c:pt>
                <c:pt idx="903">
                  <c:v>717.61690826621634</c:v>
                </c:pt>
                <c:pt idx="904">
                  <c:v>717.1722170903605</c:v>
                </c:pt>
                <c:pt idx="905">
                  <c:v>718.0404400280454</c:v>
                </c:pt>
                <c:pt idx="906">
                  <c:v>719.17145754332034</c:v>
                </c:pt>
                <c:pt idx="907">
                  <c:v>722.13343055577309</c:v>
                </c:pt>
                <c:pt idx="908">
                  <c:v>669.41032006605235</c:v>
                </c:pt>
                <c:pt idx="909">
                  <c:v>658.48450105617712</c:v>
                </c:pt>
                <c:pt idx="910">
                  <c:v>630.22013960749666</c:v>
                </c:pt>
                <c:pt idx="911">
                  <c:v>622.51160902941945</c:v>
                </c:pt>
                <c:pt idx="912">
                  <c:v>587.51630632314493</c:v>
                </c:pt>
                <c:pt idx="913">
                  <c:v>558.37633450957503</c:v>
                </c:pt>
                <c:pt idx="914">
                  <c:v>560.10709341118115</c:v>
                </c:pt>
                <c:pt idx="915">
                  <c:v>567.79003934130378</c:v>
                </c:pt>
                <c:pt idx="916">
                  <c:v>575.5050594028412</c:v>
                </c:pt>
                <c:pt idx="917">
                  <c:v>573.14612456862142</c:v>
                </c:pt>
                <c:pt idx="918">
                  <c:v>533.42997087993376</c:v>
                </c:pt>
                <c:pt idx="919">
                  <c:v>509.75689836704902</c:v>
                </c:pt>
                <c:pt idx="920">
                  <c:v>527.92107325844461</c:v>
                </c:pt>
                <c:pt idx="921">
                  <c:v>503.46110951980029</c:v>
                </c:pt>
                <c:pt idx="922">
                  <c:v>515.84568141042735</c:v>
                </c:pt>
                <c:pt idx="923">
                  <c:v>510.71933240576703</c:v>
                </c:pt>
                <c:pt idx="924">
                  <c:v>502.75035731479403</c:v>
                </c:pt>
                <c:pt idx="925">
                  <c:v>505.83382627286272</c:v>
                </c:pt>
                <c:pt idx="926">
                  <c:v>502.53338752204019</c:v>
                </c:pt>
                <c:pt idx="927">
                  <c:v>509.49932436280028</c:v>
                </c:pt>
                <c:pt idx="928">
                  <c:v>502.16553546387667</c:v>
                </c:pt>
                <c:pt idx="929">
                  <c:v>507.63407677024156</c:v>
                </c:pt>
                <c:pt idx="930">
                  <c:v>516.87518207204937</c:v>
                </c:pt>
                <c:pt idx="931">
                  <c:v>535.95327496807113</c:v>
                </c:pt>
                <c:pt idx="932">
                  <c:v>556.94804200030615</c:v>
                </c:pt>
                <c:pt idx="933">
                  <c:v>579.57146088522734</c:v>
                </c:pt>
                <c:pt idx="934">
                  <c:v>543.08617551190082</c:v>
                </c:pt>
                <c:pt idx="935">
                  <c:v>545.78668628218395</c:v>
                </c:pt>
                <c:pt idx="936">
                  <c:v>532.43445208558478</c:v>
                </c:pt>
                <c:pt idx="937">
                  <c:v>534.2788938217609</c:v>
                </c:pt>
                <c:pt idx="938">
                  <c:v>550.83205274637692</c:v>
                </c:pt>
                <c:pt idx="939">
                  <c:v>548.84184695145609</c:v>
                </c:pt>
                <c:pt idx="940">
                  <c:v>537.99257027256488</c:v>
                </c:pt>
                <c:pt idx="941">
                  <c:v>546.8495979485624</c:v>
                </c:pt>
                <c:pt idx="942">
                  <c:v>546.34693570908451</c:v>
                </c:pt>
                <c:pt idx="943">
                  <c:v>565.87194959567478</c:v>
                </c:pt>
                <c:pt idx="944">
                  <c:v>567.47927049292639</c:v>
                </c:pt>
                <c:pt idx="945">
                  <c:v>564.25220527924603</c:v>
                </c:pt>
                <c:pt idx="946">
                  <c:v>553.77085883183042</c:v>
                </c:pt>
                <c:pt idx="947">
                  <c:v>539.37672952152093</c:v>
                </c:pt>
                <c:pt idx="948">
                  <c:v>517.48467793385271</c:v>
                </c:pt>
                <c:pt idx="949">
                  <c:v>495.90194003193562</c:v>
                </c:pt>
                <c:pt idx="950">
                  <c:v>502.50753923838613</c:v>
                </c:pt>
                <c:pt idx="951">
                  <c:v>503.78960672837025</c:v>
                </c:pt>
                <c:pt idx="952">
                  <c:v>502.68982400252395</c:v>
                </c:pt>
                <c:pt idx="953">
                  <c:v>512.5351706040002</c:v>
                </c:pt>
                <c:pt idx="954">
                  <c:v>511.72830076796004</c:v>
                </c:pt>
                <c:pt idx="955">
                  <c:v>510.27686450439745</c:v>
                </c:pt>
                <c:pt idx="956">
                  <c:v>519.4616849218686</c:v>
                </c:pt>
                <c:pt idx="957">
                  <c:v>517.64465497953665</c:v>
                </c:pt>
                <c:pt idx="958">
                  <c:v>525.37431503432686</c:v>
                </c:pt>
                <c:pt idx="959">
                  <c:v>513.69977757440222</c:v>
                </c:pt>
                <c:pt idx="960">
                  <c:v>514.15830673831726</c:v>
                </c:pt>
                <c:pt idx="961">
                  <c:v>513.77718280442787</c:v>
                </c:pt>
                <c:pt idx="962">
                  <c:v>520.43529234184791</c:v>
                </c:pt>
                <c:pt idx="963">
                  <c:v>517.46530613560731</c:v>
                </c:pt>
                <c:pt idx="964">
                  <c:v>522.88288931172497</c:v>
                </c:pt>
                <c:pt idx="965">
                  <c:v>520.38274565399718</c:v>
                </c:pt>
                <c:pt idx="966">
                  <c:v>519.74225561107301</c:v>
                </c:pt>
                <c:pt idx="967">
                  <c:v>514.64836005082748</c:v>
                </c:pt>
                <c:pt idx="968">
                  <c:v>516.89792514765065</c:v>
                </c:pt>
                <c:pt idx="969">
                  <c:v>520.20261220545615</c:v>
                </c:pt>
                <c:pt idx="970">
                  <c:v>519.06580582613822</c:v>
                </c:pt>
                <c:pt idx="971">
                  <c:v>518.40120837731286</c:v>
                </c:pt>
                <c:pt idx="972">
                  <c:v>534.2241618735477</c:v>
                </c:pt>
                <c:pt idx="973">
                  <c:v>533.78209654001171</c:v>
                </c:pt>
                <c:pt idx="974">
                  <c:v>536.67372684115105</c:v>
                </c:pt>
                <c:pt idx="975">
                  <c:v>536.84585509744375</c:v>
                </c:pt>
                <c:pt idx="976">
                  <c:v>547.82243649461054</c:v>
                </c:pt>
                <c:pt idx="977">
                  <c:v>546.82926247764499</c:v>
                </c:pt>
                <c:pt idx="978">
                  <c:v>553.34434576636193</c:v>
                </c:pt>
                <c:pt idx="979">
                  <c:v>551.89990477784693</c:v>
                </c:pt>
                <c:pt idx="980">
                  <c:v>545.25628760673317</c:v>
                </c:pt>
                <c:pt idx="981">
                  <c:v>536.55045684020058</c:v>
                </c:pt>
                <c:pt idx="982">
                  <c:v>542.34414499655622</c:v>
                </c:pt>
                <c:pt idx="983">
                  <c:v>544.18178763067544</c:v>
                </c:pt>
                <c:pt idx="984">
                  <c:v>541.84708062187462</c:v>
                </c:pt>
                <c:pt idx="985">
                  <c:v>544.26554941871416</c:v>
                </c:pt>
                <c:pt idx="986">
                  <c:v>544.10696119295994</c:v>
                </c:pt>
                <c:pt idx="987">
                  <c:v>541.85916055296843</c:v>
                </c:pt>
                <c:pt idx="988">
                  <c:v>539.34755932184032</c:v>
                </c:pt>
                <c:pt idx="989">
                  <c:v>541.9586415940546</c:v>
                </c:pt>
                <c:pt idx="990">
                  <c:v>541.3088697594427</c:v>
                </c:pt>
                <c:pt idx="991">
                  <c:v>549.23651008281445</c:v>
                </c:pt>
                <c:pt idx="992">
                  <c:v>558.30794105304676</c:v>
                </c:pt>
                <c:pt idx="993">
                  <c:v>583.17069820912866</c:v>
                </c:pt>
                <c:pt idx="994">
                  <c:v>605.44479098680222</c:v>
                </c:pt>
                <c:pt idx="995">
                  <c:v>629.63841440047929</c:v>
                </c:pt>
                <c:pt idx="996">
                  <c:v>616.09456239477038</c:v>
                </c:pt>
                <c:pt idx="997">
                  <c:v>630.77665926807447</c:v>
                </c:pt>
                <c:pt idx="998">
                  <c:v>667.43999408835964</c:v>
                </c:pt>
                <c:pt idx="999">
                  <c:v>645.4055012191136</c:v>
                </c:pt>
                <c:pt idx="1000">
                  <c:v>615.71530790192742</c:v>
                </c:pt>
                <c:pt idx="1001">
                  <c:v>593.33938248112815</c:v>
                </c:pt>
                <c:pt idx="1002">
                  <c:v>600.6398728268357</c:v>
                </c:pt>
                <c:pt idx="1003">
                  <c:v>617.64287042762294</c:v>
                </c:pt>
                <c:pt idx="1004">
                  <c:v>606.46199563338484</c:v>
                </c:pt>
                <c:pt idx="1005">
                  <c:v>616.0033435601174</c:v>
                </c:pt>
                <c:pt idx="1006">
                  <c:v>605.88375214845848</c:v>
                </c:pt>
                <c:pt idx="1007">
                  <c:v>605.47991350616758</c:v>
                </c:pt>
                <c:pt idx="1008">
                  <c:v>609.84513666620228</c:v>
                </c:pt>
                <c:pt idx="1009">
                  <c:v>607.4571920566583</c:v>
                </c:pt>
                <c:pt idx="1010">
                  <c:v>613.62777870817285</c:v>
                </c:pt>
                <c:pt idx="1011">
                  <c:v>647.60043474726263</c:v>
                </c:pt>
                <c:pt idx="1012">
                  <c:v>639.31344657809689</c:v>
                </c:pt>
                <c:pt idx="1013">
                  <c:v>638.33738465155398</c:v>
                </c:pt>
                <c:pt idx="1014">
                  <c:v>644.96067111777688</c:v>
                </c:pt>
                <c:pt idx="1015">
                  <c:v>631.67647524137476</c:v>
                </c:pt>
                <c:pt idx="1016">
                  <c:v>635.7926917795387</c:v>
                </c:pt>
                <c:pt idx="1017">
                  <c:v>632.31516380827316</c:v>
                </c:pt>
                <c:pt idx="1018">
                  <c:v>634.73866192332866</c:v>
                </c:pt>
                <c:pt idx="1019">
                  <c:v>642.55039414473049</c:v>
                </c:pt>
                <c:pt idx="1020">
                  <c:v>651.09333061542213</c:v>
                </c:pt>
                <c:pt idx="1021">
                  <c:v>635.92750972440081</c:v>
                </c:pt>
                <c:pt idx="1022">
                  <c:v>647.97116805558505</c:v>
                </c:pt>
                <c:pt idx="1023">
                  <c:v>646.17493473122556</c:v>
                </c:pt>
                <c:pt idx="1024">
                  <c:v>640.67147685911402</c:v>
                </c:pt>
                <c:pt idx="1025">
                  <c:v>644.23140721984396</c:v>
                </c:pt>
                <c:pt idx="1026">
                  <c:v>645.28845739172277</c:v>
                </c:pt>
                <c:pt idx="1027">
                  <c:v>653.7241264546949</c:v>
                </c:pt>
                <c:pt idx="1028">
                  <c:v>673.51095282937501</c:v>
                </c:pt>
                <c:pt idx="1029">
                  <c:v>712.23496053633403</c:v>
                </c:pt>
                <c:pt idx="1030">
                  <c:v>752.16676797360526</c:v>
                </c:pt>
                <c:pt idx="1031">
                  <c:v>730.09631154988131</c:v>
                </c:pt>
                <c:pt idx="1032">
                  <c:v>747.02502286901904</c:v>
                </c:pt>
                <c:pt idx="1033">
                  <c:v>747.26425331775488</c:v>
                </c:pt>
                <c:pt idx="1034">
                  <c:v>694.42741112632325</c:v>
                </c:pt>
                <c:pt idx="1035">
                  <c:v>702.77106205180417</c:v>
                </c:pt>
                <c:pt idx="1036">
                  <c:v>729.36294100075929</c:v>
                </c:pt>
                <c:pt idx="1037">
                  <c:v>738.69498224168206</c:v>
                </c:pt>
                <c:pt idx="1038">
                  <c:v>748.60944030051337</c:v>
                </c:pt>
                <c:pt idx="1039">
                  <c:v>777.16860617191105</c:v>
                </c:pt>
                <c:pt idx="1040">
                  <c:v>776.94797158592382</c:v>
                </c:pt>
                <c:pt idx="1041">
                  <c:v>772.38958777097582</c:v>
                </c:pt>
                <c:pt idx="1042">
                  <c:v>771.65968851226501</c:v>
                </c:pt>
                <c:pt idx="1043">
                  <c:v>785.3519439418908</c:v>
                </c:pt>
                <c:pt idx="1044">
                  <c:v>816.76971438673422</c:v>
                </c:pt>
                <c:pt idx="1045">
                  <c:v>874.91439423773261</c:v>
                </c:pt>
                <c:pt idx="1046">
                  <c:v>888.96409736609019</c:v>
                </c:pt>
                <c:pt idx="1047">
                  <c:v>877.13831803280198</c:v>
                </c:pt>
                <c:pt idx="1048">
                  <c:v>864.06494499203995</c:v>
                </c:pt>
                <c:pt idx="1049">
                  <c:v>818.43568056068818</c:v>
                </c:pt>
                <c:pt idx="1050">
                  <c:v>792.59561834968224</c:v>
                </c:pt>
                <c:pt idx="1051">
                  <c:v>808.1152992600895</c:v>
                </c:pt>
                <c:pt idx="1052">
                  <c:v>810.05442095482317</c:v>
                </c:pt>
                <c:pt idx="1053">
                  <c:v>789.64936296775545</c:v>
                </c:pt>
                <c:pt idx="1054">
                  <c:v>737.95007790358648</c:v>
                </c:pt>
                <c:pt idx="1055">
                  <c:v>747.81598915193513</c:v>
                </c:pt>
                <c:pt idx="1056">
                  <c:v>754.47813096115863</c:v>
                </c:pt>
                <c:pt idx="1057">
                  <c:v>768.46126214705794</c:v>
                </c:pt>
                <c:pt idx="1058">
                  <c:v>772.03710589317257</c:v>
                </c:pt>
                <c:pt idx="1059">
                  <c:v>755.41762457323068</c:v>
                </c:pt>
                <c:pt idx="1060">
                  <c:v>768.5507378843397</c:v>
                </c:pt>
                <c:pt idx="1061">
                  <c:v>766.41706723783761</c:v>
                </c:pt>
                <c:pt idx="1062">
                  <c:v>763.21656201075632</c:v>
                </c:pt>
                <c:pt idx="1063">
                  <c:v>782.68091698988746</c:v>
                </c:pt>
                <c:pt idx="1064">
                  <c:v>801.64486065046162</c:v>
                </c:pt>
                <c:pt idx="1065">
                  <c:v>809.97763834470118</c:v>
                </c:pt>
                <c:pt idx="1066">
                  <c:v>810.99375077617685</c:v>
                </c:pt>
                <c:pt idx="1067">
                  <c:v>811.92048462835533</c:v>
                </c:pt>
                <c:pt idx="1068">
                  <c:v>804.23318540523405</c:v>
                </c:pt>
                <c:pt idx="1069">
                  <c:v>804.48777742755237</c:v>
                </c:pt>
                <c:pt idx="1070">
                  <c:v>831.28999477023831</c:v>
                </c:pt>
                <c:pt idx="1071">
                  <c:v>822.25810845136959</c:v>
                </c:pt>
                <c:pt idx="1072">
                  <c:v>848.98711135223266</c:v>
                </c:pt>
                <c:pt idx="1073">
                  <c:v>856.65702016020862</c:v>
                </c:pt>
                <c:pt idx="1074">
                  <c:v>847.42722524127225</c:v>
                </c:pt>
                <c:pt idx="1075">
                  <c:v>855.34260798897037</c:v>
                </c:pt>
                <c:pt idx="1076">
                  <c:v>836.40233800028705</c:v>
                </c:pt>
                <c:pt idx="1077">
                  <c:v>830.03553103085403</c:v>
                </c:pt>
                <c:pt idx="1078">
                  <c:v>818.12750996091813</c:v>
                </c:pt>
                <c:pt idx="1079">
                  <c:v>824.85543895260196</c:v>
                </c:pt>
                <c:pt idx="1080">
                  <c:v>815.72933504242064</c:v>
                </c:pt>
                <c:pt idx="1081">
                  <c:v>799.28231952486499</c:v>
                </c:pt>
                <c:pt idx="1082">
                  <c:v>786.69241171326212</c:v>
                </c:pt>
                <c:pt idx="1083">
                  <c:v>770.09835866904803</c:v>
                </c:pt>
                <c:pt idx="1084">
                  <c:v>691.69380443566786</c:v>
                </c:pt>
                <c:pt idx="1085">
                  <c:v>756.10704692188983</c:v>
                </c:pt>
                <c:pt idx="1086">
                  <c:v>742.70863210959715</c:v>
                </c:pt>
                <c:pt idx="1087">
                  <c:v>753.59373055355934</c:v>
                </c:pt>
                <c:pt idx="1088">
                  <c:v>723.71783455887987</c:v>
                </c:pt>
                <c:pt idx="1089">
                  <c:v>758.32864829249388</c:v>
                </c:pt>
                <c:pt idx="1090">
                  <c:v>758.78468582994435</c:v>
                </c:pt>
                <c:pt idx="1091">
                  <c:v>784.39745548631663</c:v>
                </c:pt>
                <c:pt idx="1092">
                  <c:v>801.5165116674001</c:v>
                </c:pt>
                <c:pt idx="1093">
                  <c:v>793.03064044548182</c:v>
                </c:pt>
                <c:pt idx="1094">
                  <c:v>795.4057799302841</c:v>
                </c:pt>
                <c:pt idx="1095">
                  <c:v>769.99849847223209</c:v>
                </c:pt>
                <c:pt idx="1096">
                  <c:v>745.82320979527765</c:v>
                </c:pt>
                <c:pt idx="1097">
                  <c:v>777.67629530210115</c:v>
                </c:pt>
                <c:pt idx="1098">
                  <c:v>773.23183160276494</c:v>
                </c:pt>
                <c:pt idx="1099">
                  <c:v>785.54598912667473</c:v>
                </c:pt>
                <c:pt idx="1100">
                  <c:v>764.10710762683129</c:v>
                </c:pt>
                <c:pt idx="1101">
                  <c:v>761.42629832242176</c:v>
                </c:pt>
                <c:pt idx="1102">
                  <c:v>762.74894318714246</c:v>
                </c:pt>
                <c:pt idx="1103">
                  <c:v>761.47110803307703</c:v>
                </c:pt>
                <c:pt idx="1104">
                  <c:v>767.38039514659943</c:v>
                </c:pt>
                <c:pt idx="1105">
                  <c:v>768.08388207323912</c:v>
                </c:pt>
                <c:pt idx="1106">
                  <c:v>771.22612528626155</c:v>
                </c:pt>
                <c:pt idx="1107">
                  <c:v>769.47343224327994</c:v>
                </c:pt>
                <c:pt idx="1108">
                  <c:v>769.0031512313866</c:v>
                </c:pt>
                <c:pt idx="1109">
                  <c:v>778.44227191287052</c:v>
                </c:pt>
                <c:pt idx="1110">
                  <c:v>798.20641917650846</c:v>
                </c:pt>
                <c:pt idx="1111">
                  <c:v>799.0200032347725</c:v>
                </c:pt>
                <c:pt idx="1112">
                  <c:v>796.87161843134925</c:v>
                </c:pt>
                <c:pt idx="1113">
                  <c:v>791.38331938927286</c:v>
                </c:pt>
                <c:pt idx="1114">
                  <c:v>801.73807148567255</c:v>
                </c:pt>
                <c:pt idx="1115">
                  <c:v>802.84212886849184</c:v>
                </c:pt>
                <c:pt idx="1116">
                  <c:v>797.40629281720931</c:v>
                </c:pt>
                <c:pt idx="1117">
                  <c:v>804.07093807531851</c:v>
                </c:pt>
                <c:pt idx="1118">
                  <c:v>818.33689242812886</c:v>
                </c:pt>
                <c:pt idx="1119">
                  <c:v>832.23332482064143</c:v>
                </c:pt>
                <c:pt idx="1120">
                  <c:v>843.75731243868302</c:v>
                </c:pt>
                <c:pt idx="1121">
                  <c:v>838.50357802817837</c:v>
                </c:pt>
                <c:pt idx="1122">
                  <c:v>823.81873281482785</c:v>
                </c:pt>
                <c:pt idx="1123">
                  <c:v>831.60156027133735</c:v>
                </c:pt>
                <c:pt idx="1124">
                  <c:v>818.66825182461798</c:v>
                </c:pt>
                <c:pt idx="1125">
                  <c:v>817.43951928644708</c:v>
                </c:pt>
                <c:pt idx="1126">
                  <c:v>835.33291289823842</c:v>
                </c:pt>
                <c:pt idx="1127">
                  <c:v>835.64652888752812</c:v>
                </c:pt>
                <c:pt idx="1128">
                  <c:v>827.26791924590498</c:v>
                </c:pt>
                <c:pt idx="1129">
                  <c:v>836.8555832598098</c:v>
                </c:pt>
                <c:pt idx="1130">
                  <c:v>832.9178249956509</c:v>
                </c:pt>
                <c:pt idx="1131">
                  <c:v>839.67768716801402</c:v>
                </c:pt>
                <c:pt idx="1132">
                  <c:v>843.75057545688264</c:v>
                </c:pt>
                <c:pt idx="1133">
                  <c:v>834.84432246787958</c:v>
                </c:pt>
                <c:pt idx="1134">
                  <c:v>840.75322665118802</c:v>
                </c:pt>
                <c:pt idx="1135">
                  <c:v>838.98947049691719</c:v>
                </c:pt>
                <c:pt idx="1136">
                  <c:v>886.74903249899376</c:v>
                </c:pt>
                <c:pt idx="1137">
                  <c:v>906.13920691626254</c:v>
                </c:pt>
                <c:pt idx="1138">
                  <c:v>898.15104056135885</c:v>
                </c:pt>
                <c:pt idx="1139">
                  <c:v>885.26864363680193</c:v>
                </c:pt>
                <c:pt idx="1140">
                  <c:v>870.63865139676852</c:v>
                </c:pt>
                <c:pt idx="1141">
                  <c:v>885.0913060499953</c:v>
                </c:pt>
                <c:pt idx="1142">
                  <c:v>891.40225755228391</c:v>
                </c:pt>
                <c:pt idx="1143">
                  <c:v>895.7019169299607</c:v>
                </c:pt>
                <c:pt idx="1144">
                  <c:v>904.97626299335002</c:v>
                </c:pt>
                <c:pt idx="1145">
                  <c:v>938.46947716467128</c:v>
                </c:pt>
                <c:pt idx="1146">
                  <c:v>976.23834450040954</c:v>
                </c:pt>
                <c:pt idx="1147">
                  <c:v>981.28301555529686</c:v>
                </c:pt>
                <c:pt idx="1148">
                  <c:v>965.36469754315135</c:v>
                </c:pt>
                <c:pt idx="1149">
                  <c:v>988.7035224764677</c:v>
                </c:pt>
                <c:pt idx="1150">
                  <c:v>973.56996673833953</c:v>
                </c:pt>
                <c:pt idx="1151">
                  <c:v>976.19348946703462</c:v>
                </c:pt>
                <c:pt idx="1152">
                  <c:v>975.14896132547574</c:v>
                </c:pt>
                <c:pt idx="1153">
                  <c:v>970.09020975671649</c:v>
                </c:pt>
                <c:pt idx="1154">
                  <c:v>959.21055192749338</c:v>
                </c:pt>
                <c:pt idx="1155">
                  <c:v>962.65200615952813</c:v>
                </c:pt>
                <c:pt idx="1156">
                  <c:v>960.17103280389972</c:v>
                </c:pt>
                <c:pt idx="1157">
                  <c:v>949.78573800448817</c:v>
                </c:pt>
                <c:pt idx="1158">
                  <c:v>910.31988791453341</c:v>
                </c:pt>
                <c:pt idx="1159">
                  <c:v>963.50206259397169</c:v>
                </c:pt>
                <c:pt idx="1160">
                  <c:v>960.24434330450424</c:v>
                </c:pt>
                <c:pt idx="1161">
                  <c:v>982.7646260211153</c:v>
                </c:pt>
                <c:pt idx="1162">
                  <c:v>981.81972178904709</c:v>
                </c:pt>
                <c:pt idx="1163">
                  <c:v>982.28306799382017</c:v>
                </c:pt>
                <c:pt idx="1164">
                  <c:v>998.52654974608924</c:v>
                </c:pt>
                <c:pt idx="1165">
                  <c:v>993.06758254917679</c:v>
                </c:pt>
                <c:pt idx="1166">
                  <c:v>990.36921945667279</c:v>
                </c:pt>
                <c:pt idx="1167">
                  <c:v>999.57841742838821</c:v>
                </c:pt>
                <c:pt idx="1168">
                  <c:v>998.53951454190076</c:v>
                </c:pt>
                <c:pt idx="1169">
                  <c:v>1003.149748821616</c:v>
                </c:pt>
                <c:pt idx="1170">
                  <c:v>998.69311757792218</c:v>
                </c:pt>
                <c:pt idx="1171">
                  <c:v>999.57897655847171</c:v>
                </c:pt>
                <c:pt idx="1172">
                  <c:v>1001.6805819105817</c:v>
                </c:pt>
                <c:pt idx="1173">
                  <c:v>1004.345017249128</c:v>
                </c:pt>
                <c:pt idx="1174">
                  <c:v>1002.4723730323742</c:v>
                </c:pt>
                <c:pt idx="1175">
                  <c:v>1003.1098304353764</c:v>
                </c:pt>
                <c:pt idx="1176">
                  <c:v>996.13496001643614</c:v>
                </c:pt>
                <c:pt idx="1177">
                  <c:v>991.00455890187141</c:v>
                </c:pt>
                <c:pt idx="1178">
                  <c:v>984.66617484548942</c:v>
                </c:pt>
                <c:pt idx="1179">
                  <c:v>1002.958623832158</c:v>
                </c:pt>
                <c:pt idx="1180">
                  <c:v>1002.8891096328987</c:v>
                </c:pt>
                <c:pt idx="1181">
                  <c:v>1001.4827587014277</c:v>
                </c:pt>
                <c:pt idx="1182">
                  <c:v>1003.3347179446299</c:v>
                </c:pt>
                <c:pt idx="1183">
                  <c:v>995.90268374884977</c:v>
                </c:pt>
                <c:pt idx="1184">
                  <c:v>997.6833673808917</c:v>
                </c:pt>
                <c:pt idx="1185">
                  <c:v>996.62272192537444</c:v>
                </c:pt>
                <c:pt idx="1186">
                  <c:v>1004.9998126351178</c:v>
                </c:pt>
                <c:pt idx="1187">
                  <c:v>1003.3640404055188</c:v>
                </c:pt>
                <c:pt idx="1188">
                  <c:v>1003.9841268153406</c:v>
                </c:pt>
                <c:pt idx="1189">
                  <c:v>1003.7132230560816</c:v>
                </c:pt>
                <c:pt idx="1190">
                  <c:v>990.84103714856474</c:v>
                </c:pt>
                <c:pt idx="1191">
                  <c:v>989.57273518742579</c:v>
                </c:pt>
                <c:pt idx="1192">
                  <c:v>997.63458939895236</c:v>
                </c:pt>
                <c:pt idx="1193">
                  <c:v>986.27452655119203</c:v>
                </c:pt>
                <c:pt idx="1194">
                  <c:v>971.52673914424884</c:v>
                </c:pt>
                <c:pt idx="1195">
                  <c:v>960.37058286941385</c:v>
                </c:pt>
                <c:pt idx="1196">
                  <c:v>956.77204637966997</c:v>
                </c:pt>
                <c:pt idx="1197">
                  <c:v>978.64962552432291</c:v>
                </c:pt>
                <c:pt idx="1198">
                  <c:v>973.79291648180867</c:v>
                </c:pt>
                <c:pt idx="1199">
                  <c:v>967.64494276974096</c:v>
                </c:pt>
                <c:pt idx="1200">
                  <c:v>969.28975080957423</c:v>
                </c:pt>
                <c:pt idx="1201">
                  <c:v>954.25000810077199</c:v>
                </c:pt>
                <c:pt idx="1202">
                  <c:v>944.04333467215008</c:v>
                </c:pt>
                <c:pt idx="1203">
                  <c:v>942.61536581412258</c:v>
                </c:pt>
                <c:pt idx="1204">
                  <c:v>942.05817328133332</c:v>
                </c:pt>
                <c:pt idx="1205">
                  <c:v>954.56011590385526</c:v>
                </c:pt>
                <c:pt idx="1206">
                  <c:v>960.17012157899092</c:v>
                </c:pt>
                <c:pt idx="1207">
                  <c:v>958.69020298197563</c:v>
                </c:pt>
                <c:pt idx="1208">
                  <c:v>950.42581298426171</c:v>
                </c:pt>
                <c:pt idx="1209">
                  <c:v>954.01043984670878</c:v>
                </c:pt>
                <c:pt idx="1210">
                  <c:v>975.31820990212225</c:v>
                </c:pt>
                <c:pt idx="1211">
                  <c:v>980.97572692829704</c:v>
                </c:pt>
                <c:pt idx="1212">
                  <c:v>980.27622529930966</c:v>
                </c:pt>
                <c:pt idx="1213">
                  <c:v>980.3801592164175</c:v>
                </c:pt>
                <c:pt idx="1214">
                  <c:v>978.77244431673489</c:v>
                </c:pt>
                <c:pt idx="1215">
                  <c:v>978.56709946957017</c:v>
                </c:pt>
                <c:pt idx="1216">
                  <c:v>990.2877178678649</c:v>
                </c:pt>
                <c:pt idx="1217">
                  <c:v>991.00458636842461</c:v>
                </c:pt>
                <c:pt idx="1218">
                  <c:v>987.49252552020982</c:v>
                </c:pt>
                <c:pt idx="1219">
                  <c:v>991.12936716320996</c:v>
                </c:pt>
                <c:pt idx="1220">
                  <c:v>989.73789947964929</c:v>
                </c:pt>
                <c:pt idx="1221">
                  <c:v>992.03912633349637</c:v>
                </c:pt>
                <c:pt idx="1222">
                  <c:v>990.72851213899617</c:v>
                </c:pt>
                <c:pt idx="1223">
                  <c:v>991.49548613092827</c:v>
                </c:pt>
                <c:pt idx="1224">
                  <c:v>990.49061131258497</c:v>
                </c:pt>
                <c:pt idx="1225">
                  <c:v>988.25132106297644</c:v>
                </c:pt>
                <c:pt idx="1226">
                  <c:v>987.46763114375892</c:v>
                </c:pt>
                <c:pt idx="1227">
                  <c:v>988.86040535040024</c:v>
                </c:pt>
                <c:pt idx="1228">
                  <c:v>981.66284419097735</c:v>
                </c:pt>
                <c:pt idx="1229">
                  <c:v>989.00530338334318</c:v>
                </c:pt>
                <c:pt idx="1230">
                  <c:v>988.79547165876056</c:v>
                </c:pt>
                <c:pt idx="1231">
                  <c:v>992.20450154739842</c:v>
                </c:pt>
                <c:pt idx="1232">
                  <c:v>993.10223296095228</c:v>
                </c:pt>
                <c:pt idx="1233">
                  <c:v>995.36195180172115</c:v>
                </c:pt>
                <c:pt idx="1234">
                  <c:v>995.29053665169693</c:v>
                </c:pt>
                <c:pt idx="1235">
                  <c:v>995.39156777785183</c:v>
                </c:pt>
                <c:pt idx="1236">
                  <c:v>997.41049399690962</c:v>
                </c:pt>
                <c:pt idx="1237">
                  <c:v>998.33095614761896</c:v>
                </c:pt>
                <c:pt idx="1238">
                  <c:v>997.610250443018</c:v>
                </c:pt>
                <c:pt idx="1239">
                  <c:v>997.14094529159411</c:v>
                </c:pt>
                <c:pt idx="1240">
                  <c:v>998.07354459557575</c:v>
                </c:pt>
                <c:pt idx="1241">
                  <c:v>998.01430636594637</c:v>
                </c:pt>
                <c:pt idx="1242">
                  <c:v>998.02826710362274</c:v>
                </c:pt>
                <c:pt idx="1243">
                  <c:v>997.69970614942372</c:v>
                </c:pt>
                <c:pt idx="1244">
                  <c:v>997.04284665775174</c:v>
                </c:pt>
                <c:pt idx="1245">
                  <c:v>997.09393493982247</c:v>
                </c:pt>
                <c:pt idx="1246">
                  <c:v>997.23574192631474</c:v>
                </c:pt>
                <c:pt idx="1247">
                  <c:v>997.36801705428672</c:v>
                </c:pt>
                <c:pt idx="1248">
                  <c:v>999.3603608345793</c:v>
                </c:pt>
                <c:pt idx="1249">
                  <c:v>998.82360497891648</c:v>
                </c:pt>
                <c:pt idx="1250">
                  <c:v>998.07150778311973</c:v>
                </c:pt>
                <c:pt idx="1251">
                  <c:v>998.11773495208138</c:v>
                </c:pt>
                <c:pt idx="1252">
                  <c:v>996.55808148464246</c:v>
                </c:pt>
                <c:pt idx="1253">
                  <c:v>996.43374671352967</c:v>
                </c:pt>
                <c:pt idx="1254">
                  <c:v>996.47539557402888</c:v>
                </c:pt>
                <c:pt idx="1255">
                  <c:v>995.57522343799303</c:v>
                </c:pt>
                <c:pt idx="1256">
                  <c:v>995.56120795001505</c:v>
                </c:pt>
                <c:pt idx="1257">
                  <c:v>996.4270191507477</c:v>
                </c:pt>
                <c:pt idx="1258">
                  <c:v>996.46565625777805</c:v>
                </c:pt>
                <c:pt idx="1259">
                  <c:v>996.41120657334</c:v>
                </c:pt>
                <c:pt idx="1260">
                  <c:v>996.78619153349541</c:v>
                </c:pt>
                <c:pt idx="1261">
                  <c:v>994.07099011235221</c:v>
                </c:pt>
                <c:pt idx="1262">
                  <c:v>995.31601305278014</c:v>
                </c:pt>
                <c:pt idx="1263">
                  <c:v>995.5040926240514</c:v>
                </c:pt>
                <c:pt idx="1264">
                  <c:v>994.64861939454659</c:v>
                </c:pt>
                <c:pt idx="1265">
                  <c:v>995.06938373414243</c:v>
                </c:pt>
                <c:pt idx="1266">
                  <c:v>995.01745721912505</c:v>
                </c:pt>
                <c:pt idx="1267">
                  <c:v>995.44358761723913</c:v>
                </c:pt>
                <c:pt idx="1268">
                  <c:v>995.37031281146858</c:v>
                </c:pt>
                <c:pt idx="1269">
                  <c:v>995.37801163534334</c:v>
                </c:pt>
                <c:pt idx="1270">
                  <c:v>995.37841703432719</c:v>
                </c:pt>
                <c:pt idx="1271">
                  <c:v>995.42030933856313</c:v>
                </c:pt>
                <c:pt idx="1272">
                  <c:v>995.65241407313476</c:v>
                </c:pt>
                <c:pt idx="1273">
                  <c:v>995.56151494686026</c:v>
                </c:pt>
                <c:pt idx="1274">
                  <c:v>995.45677949527044</c:v>
                </c:pt>
                <c:pt idx="1275">
                  <c:v>995.2746139267482</c:v>
                </c:pt>
                <c:pt idx="1276">
                  <c:v>994.35135503863819</c:v>
                </c:pt>
                <c:pt idx="1277">
                  <c:v>993.96857096855956</c:v>
                </c:pt>
                <c:pt idx="1278">
                  <c:v>994.25361740519816</c:v>
                </c:pt>
                <c:pt idx="1279">
                  <c:v>994.24207313277327</c:v>
                </c:pt>
                <c:pt idx="1280">
                  <c:v>994.29003788317027</c:v>
                </c:pt>
                <c:pt idx="1281">
                  <c:v>994.21038606723562</c:v>
                </c:pt>
                <c:pt idx="1282">
                  <c:v>994.23144013445312</c:v>
                </c:pt>
                <c:pt idx="1283">
                  <c:v>994.5349024658741</c:v>
                </c:pt>
                <c:pt idx="1284">
                  <c:v>994.62561118514554</c:v>
                </c:pt>
                <c:pt idx="1285">
                  <c:v>996.09902430186946</c:v>
                </c:pt>
                <c:pt idx="1286">
                  <c:v>995.58683399192694</c:v>
                </c:pt>
                <c:pt idx="1287">
                  <c:v>995.52213247687791</c:v>
                </c:pt>
                <c:pt idx="1288">
                  <c:v>995.77021850407493</c:v>
                </c:pt>
                <c:pt idx="1289">
                  <c:v>995.66225788972622</c:v>
                </c:pt>
                <c:pt idx="1290">
                  <c:v>995.69492346066431</c:v>
                </c:pt>
                <c:pt idx="1291">
                  <c:v>995.94945930055758</c:v>
                </c:pt>
                <c:pt idx="1292">
                  <c:v>995.28266383032576</c:v>
                </c:pt>
                <c:pt idx="1293">
                  <c:v>995.22545212672799</c:v>
                </c:pt>
                <c:pt idx="1294">
                  <c:v>995.25986499663156</c:v>
                </c:pt>
                <c:pt idx="1295">
                  <c:v>995.19789863244762</c:v>
                </c:pt>
                <c:pt idx="1296">
                  <c:v>995.12129133479357</c:v>
                </c:pt>
                <c:pt idx="1297">
                  <c:v>994.96641359817363</c:v>
                </c:pt>
                <c:pt idx="1298">
                  <c:v>994.89676162893261</c:v>
                </c:pt>
                <c:pt idx="1299">
                  <c:v>994.03147494820212</c:v>
                </c:pt>
                <c:pt idx="1300">
                  <c:v>989.59211493073883</c:v>
                </c:pt>
                <c:pt idx="1301">
                  <c:v>991.02549107599611</c:v>
                </c:pt>
                <c:pt idx="1302">
                  <c:v>990.65101110813021</c:v>
                </c:pt>
                <c:pt idx="1303">
                  <c:v>992.16545410051469</c:v>
                </c:pt>
                <c:pt idx="1304">
                  <c:v>991.96040965920088</c:v>
                </c:pt>
                <c:pt idx="1305">
                  <c:v>992.19236830041677</c:v>
                </c:pt>
                <c:pt idx="1306">
                  <c:v>990.98406567010818</c:v>
                </c:pt>
                <c:pt idx="1307">
                  <c:v>991.65250163397377</c:v>
                </c:pt>
                <c:pt idx="1308">
                  <c:v>992.53926966443714</c:v>
                </c:pt>
                <c:pt idx="1309">
                  <c:v>992.0391438679062</c:v>
                </c:pt>
                <c:pt idx="1310">
                  <c:v>991.82149990402752</c:v>
                </c:pt>
                <c:pt idx="1311">
                  <c:v>988.73288205755637</c:v>
                </c:pt>
                <c:pt idx="1312">
                  <c:v>989.52465952198588</c:v>
                </c:pt>
                <c:pt idx="1313">
                  <c:v>985.19020242267572</c:v>
                </c:pt>
                <c:pt idx="1314">
                  <c:v>980.03402270898493</c:v>
                </c:pt>
                <c:pt idx="1315">
                  <c:v>983.51673529586958</c:v>
                </c:pt>
                <c:pt idx="1316">
                  <c:v>985.39649058042653</c:v>
                </c:pt>
                <c:pt idx="1317">
                  <c:v>984.90492971590868</c:v>
                </c:pt>
                <c:pt idx="1318">
                  <c:v>981.87381017176449</c:v>
                </c:pt>
                <c:pt idx="1319">
                  <c:v>973.79158086229779</c:v>
                </c:pt>
                <c:pt idx="1320">
                  <c:v>975.28131102436828</c:v>
                </c:pt>
                <c:pt idx="1321">
                  <c:v>977.42618170580965</c:v>
                </c:pt>
                <c:pt idx="1322">
                  <c:v>976.36412079363834</c:v>
                </c:pt>
                <c:pt idx="1323">
                  <c:v>975.21259002312513</c:v>
                </c:pt>
                <c:pt idx="1324">
                  <c:v>961.74267526746416</c:v>
                </c:pt>
                <c:pt idx="1325">
                  <c:v>954.77356287684358</c:v>
                </c:pt>
                <c:pt idx="1326">
                  <c:v>939.56452540020007</c:v>
                </c:pt>
                <c:pt idx="1327">
                  <c:v>960.23997765350236</c:v>
                </c:pt>
                <c:pt idx="1328">
                  <c:v>961.23357585040208</c:v>
                </c:pt>
                <c:pt idx="1329">
                  <c:v>960.5749864617394</c:v>
                </c:pt>
                <c:pt idx="1330">
                  <c:v>972.74304748138059</c:v>
                </c:pt>
                <c:pt idx="1331">
                  <c:v>971.65390291221536</c:v>
                </c:pt>
                <c:pt idx="1332">
                  <c:v>975.33566813043149</c:v>
                </c:pt>
                <c:pt idx="1333">
                  <c:v>976.02592952451914</c:v>
                </c:pt>
                <c:pt idx="1334">
                  <c:v>971.66003049499841</c:v>
                </c:pt>
                <c:pt idx="1335">
                  <c:v>974.82271761058144</c:v>
                </c:pt>
                <c:pt idx="1336">
                  <c:v>973.86328275711639</c:v>
                </c:pt>
                <c:pt idx="1337">
                  <c:v>975.52313802783999</c:v>
                </c:pt>
                <c:pt idx="1338">
                  <c:v>963.49897200727503</c:v>
                </c:pt>
                <c:pt idx="1339">
                  <c:v>962.0846715738536</c:v>
                </c:pt>
                <c:pt idx="1340">
                  <c:v>958.69341442356631</c:v>
                </c:pt>
                <c:pt idx="1341">
                  <c:v>956.05152457376028</c:v>
                </c:pt>
                <c:pt idx="1342">
                  <c:v>957.10298843744681</c:v>
                </c:pt>
                <c:pt idx="1343">
                  <c:v>962.22396428206685</c:v>
                </c:pt>
                <c:pt idx="1344">
                  <c:v>962.86133063796365</c:v>
                </c:pt>
                <c:pt idx="1345">
                  <c:v>965.96571232693259</c:v>
                </c:pt>
                <c:pt idx="1346">
                  <c:v>970.91457142073432</c:v>
                </c:pt>
                <c:pt idx="1347">
                  <c:v>968.41931147502305</c:v>
                </c:pt>
                <c:pt idx="1348">
                  <c:v>968.4527086507361</c:v>
                </c:pt>
                <c:pt idx="1349">
                  <c:v>965.8220296837294</c:v>
                </c:pt>
                <c:pt idx="1350">
                  <c:v>969.09776801428234</c:v>
                </c:pt>
                <c:pt idx="1351">
                  <c:v>971.0351085012951</c:v>
                </c:pt>
                <c:pt idx="1352">
                  <c:v>970.42914299650761</c:v>
                </c:pt>
                <c:pt idx="1353">
                  <c:v>982.09875933017622</c:v>
                </c:pt>
                <c:pt idx="1354">
                  <c:v>978.76138046067547</c:v>
                </c:pt>
                <c:pt idx="1355">
                  <c:v>979.78258252942703</c:v>
                </c:pt>
                <c:pt idx="1356">
                  <c:v>976.85617224251121</c:v>
                </c:pt>
                <c:pt idx="1357">
                  <c:v>978.74131201522562</c:v>
                </c:pt>
                <c:pt idx="1358">
                  <c:v>980.00389929840151</c:v>
                </c:pt>
                <c:pt idx="1359">
                  <c:v>978.28242481664938</c:v>
                </c:pt>
                <c:pt idx="1360">
                  <c:v>981.45838309083172</c:v>
                </c:pt>
                <c:pt idx="1361">
                  <c:v>983.83918992542647</c:v>
                </c:pt>
                <c:pt idx="1362">
                  <c:v>984.00765728072975</c:v>
                </c:pt>
                <c:pt idx="1363">
                  <c:v>988.14004528418673</c:v>
                </c:pt>
                <c:pt idx="1364">
                  <c:v>988.43473166127478</c:v>
                </c:pt>
                <c:pt idx="1365">
                  <c:v>987.6113967249288</c:v>
                </c:pt>
                <c:pt idx="1366">
                  <c:v>987.55572168648644</c:v>
                </c:pt>
                <c:pt idx="1367">
                  <c:v>987.79554773218092</c:v>
                </c:pt>
                <c:pt idx="1368">
                  <c:v>988.20422232559588</c:v>
                </c:pt>
                <c:pt idx="1369">
                  <c:v>995.05450240100618</c:v>
                </c:pt>
                <c:pt idx="1370">
                  <c:v>991.90679456958071</c:v>
                </c:pt>
                <c:pt idx="1371">
                  <c:v>991.54558486055021</c:v>
                </c:pt>
                <c:pt idx="1372">
                  <c:v>992.31055628376396</c:v>
                </c:pt>
                <c:pt idx="1373">
                  <c:v>990.10165549970532</c:v>
                </c:pt>
                <c:pt idx="1374">
                  <c:v>990.62934339472838</c:v>
                </c:pt>
                <c:pt idx="1375">
                  <c:v>990.99063326688122</c:v>
                </c:pt>
                <c:pt idx="1376">
                  <c:v>990.35569039742632</c:v>
                </c:pt>
                <c:pt idx="1377">
                  <c:v>990.89402785562095</c:v>
                </c:pt>
                <c:pt idx="1378">
                  <c:v>990.31447143009291</c:v>
                </c:pt>
                <c:pt idx="1379">
                  <c:v>990.42978043948642</c:v>
                </c:pt>
                <c:pt idx="1380">
                  <c:v>989.96110747765977</c:v>
                </c:pt>
                <c:pt idx="1381">
                  <c:v>988.10724042032723</c:v>
                </c:pt>
                <c:pt idx="1382">
                  <c:v>985.88460740047435</c:v>
                </c:pt>
                <c:pt idx="1383">
                  <c:v>985.58613821506617</c:v>
                </c:pt>
                <c:pt idx="1384">
                  <c:v>984.81299776898004</c:v>
                </c:pt>
                <c:pt idx="1385">
                  <c:v>986.17380927525824</c:v>
                </c:pt>
                <c:pt idx="1386">
                  <c:v>985.86268641240122</c:v>
                </c:pt>
                <c:pt idx="1387">
                  <c:v>985.77606608191479</c:v>
                </c:pt>
                <c:pt idx="1388">
                  <c:v>987.02167691348018</c:v>
                </c:pt>
                <c:pt idx="1389">
                  <c:v>989.01746857769035</c:v>
                </c:pt>
                <c:pt idx="1390">
                  <c:v>987.95231323566099</c:v>
                </c:pt>
                <c:pt idx="1391">
                  <c:v>988.17848080181898</c:v>
                </c:pt>
                <c:pt idx="1392">
                  <c:v>988.4169845012425</c:v>
                </c:pt>
                <c:pt idx="1393">
                  <c:v>987.57457017068657</c:v>
                </c:pt>
                <c:pt idx="1394">
                  <c:v>987.74635253880354</c:v>
                </c:pt>
                <c:pt idx="1395">
                  <c:v>988.14154341398876</c:v>
                </c:pt>
                <c:pt idx="1396">
                  <c:v>988.78086243146504</c:v>
                </c:pt>
                <c:pt idx="1397">
                  <c:v>988.28032791586008</c:v>
                </c:pt>
                <c:pt idx="1398">
                  <c:v>988.5451793435725</c:v>
                </c:pt>
                <c:pt idx="1399">
                  <c:v>988.36211253424665</c:v>
                </c:pt>
                <c:pt idx="1400">
                  <c:v>987.25688870620309</c:v>
                </c:pt>
                <c:pt idx="1401">
                  <c:v>988.0450456030884</c:v>
                </c:pt>
                <c:pt idx="1402">
                  <c:v>988.23644715259968</c:v>
                </c:pt>
                <c:pt idx="1403">
                  <c:v>987.16293045858868</c:v>
                </c:pt>
                <c:pt idx="1404">
                  <c:v>987.53781862212554</c:v>
                </c:pt>
                <c:pt idx="1405">
                  <c:v>987.55342112714459</c:v>
                </c:pt>
                <c:pt idx="1406">
                  <c:v>987.59832408766943</c:v>
                </c:pt>
                <c:pt idx="1407">
                  <c:v>987.09716218954566</c:v>
                </c:pt>
                <c:pt idx="1408">
                  <c:v>986.94100665946314</c:v>
                </c:pt>
                <c:pt idx="1409">
                  <c:v>986.6176987037602</c:v>
                </c:pt>
                <c:pt idx="1410">
                  <c:v>986.8619787610055</c:v>
                </c:pt>
                <c:pt idx="1411">
                  <c:v>985.59351930983075</c:v>
                </c:pt>
                <c:pt idx="1412">
                  <c:v>983.95861131899665</c:v>
                </c:pt>
                <c:pt idx="1413">
                  <c:v>984.60056114630356</c:v>
                </c:pt>
                <c:pt idx="1414">
                  <c:v>984.42354245857769</c:v>
                </c:pt>
                <c:pt idx="1415">
                  <c:v>984.43787392760419</c:v>
                </c:pt>
                <c:pt idx="1416">
                  <c:v>984.10790310488233</c:v>
                </c:pt>
                <c:pt idx="1417">
                  <c:v>983.47093939605236</c:v>
                </c:pt>
                <c:pt idx="1418">
                  <c:v>982.55165953070332</c:v>
                </c:pt>
                <c:pt idx="1419">
                  <c:v>982.53568312096024</c:v>
                </c:pt>
                <c:pt idx="1420">
                  <c:v>981.20554832587629</c:v>
                </c:pt>
                <c:pt idx="1421">
                  <c:v>978.68349690275261</c:v>
                </c:pt>
                <c:pt idx="1422">
                  <c:v>972.94242308622836</c:v>
                </c:pt>
                <c:pt idx="1423">
                  <c:v>975.23478964705282</c:v>
                </c:pt>
                <c:pt idx="1424">
                  <c:v>976.45807142363424</c:v>
                </c:pt>
                <c:pt idx="1425">
                  <c:v>974.9895645042219</c:v>
                </c:pt>
                <c:pt idx="1426">
                  <c:v>975.56674559102828</c:v>
                </c:pt>
                <c:pt idx="1427">
                  <c:v>970.18953405475702</c:v>
                </c:pt>
                <c:pt idx="1428">
                  <c:v>969.9129801996562</c:v>
                </c:pt>
                <c:pt idx="1429">
                  <c:v>967.63947821455338</c:v>
                </c:pt>
                <c:pt idx="1430">
                  <c:v>959.71330550185871</c:v>
                </c:pt>
                <c:pt idx="1431">
                  <c:v>963.20202416177631</c:v>
                </c:pt>
                <c:pt idx="1432">
                  <c:v>956.73116498653292</c:v>
                </c:pt>
                <c:pt idx="1433">
                  <c:v>950.7418679595944</c:v>
                </c:pt>
                <c:pt idx="1434">
                  <c:v>941.5692944923685</c:v>
                </c:pt>
                <c:pt idx="1435">
                  <c:v>935.918360531698</c:v>
                </c:pt>
                <c:pt idx="1436">
                  <c:v>932.72313490324564</c:v>
                </c:pt>
                <c:pt idx="1437">
                  <c:v>938.3351028060988</c:v>
                </c:pt>
                <c:pt idx="1438">
                  <c:v>927.51918350332585</c:v>
                </c:pt>
                <c:pt idx="1439">
                  <c:v>891.89983877608461</c:v>
                </c:pt>
                <c:pt idx="1440">
                  <c:v>843.87556338680918</c:v>
                </c:pt>
                <c:pt idx="1441">
                  <c:v>920.90728779838059</c:v>
                </c:pt>
                <c:pt idx="1442">
                  <c:v>935.58634850287183</c:v>
                </c:pt>
                <c:pt idx="1443">
                  <c:v>925.92131484169295</c:v>
                </c:pt>
                <c:pt idx="1444">
                  <c:v>928.08187858168003</c:v>
                </c:pt>
                <c:pt idx="1445">
                  <c:v>929.10671435132997</c:v>
                </c:pt>
                <c:pt idx="1446">
                  <c:v>946.18968955802313</c:v>
                </c:pt>
                <c:pt idx="1447">
                  <c:v>992.28364492241315</c:v>
                </c:pt>
                <c:pt idx="1448">
                  <c:v>976.50322577687996</c:v>
                </c:pt>
                <c:pt idx="1449">
                  <c:v>975.97468869003205</c:v>
                </c:pt>
                <c:pt idx="1450">
                  <c:v>973.45284083139961</c:v>
                </c:pt>
                <c:pt idx="1451">
                  <c:v>974.16260257087765</c:v>
                </c:pt>
                <c:pt idx="1452">
                  <c:v>985.79653861996144</c:v>
                </c:pt>
                <c:pt idx="1453">
                  <c:v>985.84999564721215</c:v>
                </c:pt>
                <c:pt idx="1454">
                  <c:v>973.41848810629847</c:v>
                </c:pt>
                <c:pt idx="1455">
                  <c:v>974.05172488479889</c:v>
                </c:pt>
                <c:pt idx="1456">
                  <c:v>981.11575873658774</c:v>
                </c:pt>
                <c:pt idx="1457">
                  <c:v>985.7183050215906</c:v>
                </c:pt>
                <c:pt idx="1458">
                  <c:v>981.64025528328204</c:v>
                </c:pt>
                <c:pt idx="1459">
                  <c:v>985.42501928622596</c:v>
                </c:pt>
                <c:pt idx="1460">
                  <c:v>984.15799642594652</c:v>
                </c:pt>
                <c:pt idx="1461">
                  <c:v>986.75883273320574</c:v>
                </c:pt>
                <c:pt idx="1462">
                  <c:v>981.99290191590399</c:v>
                </c:pt>
                <c:pt idx="1463">
                  <c:v>959.4480962381474</c:v>
                </c:pt>
                <c:pt idx="1464">
                  <c:v>947.33660082877054</c:v>
                </c:pt>
                <c:pt idx="1465">
                  <c:v>951.5977690148037</c:v>
                </c:pt>
                <c:pt idx="1466">
                  <c:v>942.00787938623955</c:v>
                </c:pt>
                <c:pt idx="1467">
                  <c:v>929.72550635790219</c:v>
                </c:pt>
                <c:pt idx="1468">
                  <c:v>946.1512293038752</c:v>
                </c:pt>
                <c:pt idx="1469">
                  <c:v>948.06515410236341</c:v>
                </c:pt>
                <c:pt idx="1470">
                  <c:v>947.00970749299233</c:v>
                </c:pt>
                <c:pt idx="1471">
                  <c:v>946.00427890653407</c:v>
                </c:pt>
                <c:pt idx="1472">
                  <c:v>930.4304536883584</c:v>
                </c:pt>
                <c:pt idx="1473">
                  <c:v>912.1854906831752</c:v>
                </c:pt>
                <c:pt idx="1474">
                  <c:v>913.06667665095506</c:v>
                </c:pt>
                <c:pt idx="1475">
                  <c:v>912.07902022652786</c:v>
                </c:pt>
                <c:pt idx="1476">
                  <c:v>894.66792994586592</c:v>
                </c:pt>
                <c:pt idx="1477">
                  <c:v>892.52798693627744</c:v>
                </c:pt>
                <c:pt idx="1478">
                  <c:v>864.98763758680423</c:v>
                </c:pt>
                <c:pt idx="1479">
                  <c:v>888.35214031439443</c:v>
                </c:pt>
                <c:pt idx="1480">
                  <c:v>879.22758867085054</c:v>
                </c:pt>
                <c:pt idx="1481">
                  <c:v>871.40534502284891</c:v>
                </c:pt>
                <c:pt idx="1482">
                  <c:v>856.28485314853742</c:v>
                </c:pt>
                <c:pt idx="1483">
                  <c:v>860.83539697900255</c:v>
                </c:pt>
                <c:pt idx="1484">
                  <c:v>862.863273229745</c:v>
                </c:pt>
                <c:pt idx="1485">
                  <c:v>854.67272505403571</c:v>
                </c:pt>
                <c:pt idx="1486">
                  <c:v>855.49794342132691</c:v>
                </c:pt>
                <c:pt idx="1487">
                  <c:v>878.31606171360181</c:v>
                </c:pt>
                <c:pt idx="1488">
                  <c:v>883.44517133501699</c:v>
                </c:pt>
                <c:pt idx="1489">
                  <c:v>880.21440897131401</c:v>
                </c:pt>
                <c:pt idx="1490">
                  <c:v>876.24774010439876</c:v>
                </c:pt>
                <c:pt idx="1491">
                  <c:v>865.55888384069635</c:v>
                </c:pt>
                <c:pt idx="1492">
                  <c:v>863.97710151660351</c:v>
                </c:pt>
                <c:pt idx="1493">
                  <c:v>902.55063135740068</c:v>
                </c:pt>
                <c:pt idx="1494">
                  <c:v>897.6403064251092</c:v>
                </c:pt>
                <c:pt idx="1495">
                  <c:v>901.73674190929501</c:v>
                </c:pt>
                <c:pt idx="1496">
                  <c:v>890.16200360080779</c:v>
                </c:pt>
                <c:pt idx="1497">
                  <c:v>893.3490510907576</c:v>
                </c:pt>
                <c:pt idx="1498">
                  <c:v>889.71040157140578</c:v>
                </c:pt>
                <c:pt idx="1499">
                  <c:v>886.12249753705476</c:v>
                </c:pt>
                <c:pt idx="1500">
                  <c:v>886.9373274343144</c:v>
                </c:pt>
                <c:pt idx="1501">
                  <c:v>893.17817618790718</c:v>
                </c:pt>
                <c:pt idx="1502">
                  <c:v>886.48192738011335</c:v>
                </c:pt>
                <c:pt idx="1503">
                  <c:v>888.10773201263498</c:v>
                </c:pt>
                <c:pt idx="1504">
                  <c:v>889.57867896801588</c:v>
                </c:pt>
                <c:pt idx="1505">
                  <c:v>866.44188686204484</c:v>
                </c:pt>
                <c:pt idx="1506">
                  <c:v>866.92688980559797</c:v>
                </c:pt>
                <c:pt idx="1507">
                  <c:v>871.01055657946313</c:v>
                </c:pt>
                <c:pt idx="1508">
                  <c:v>874.63567610251334</c:v>
                </c:pt>
                <c:pt idx="1509">
                  <c:v>872.32344870395764</c:v>
                </c:pt>
                <c:pt idx="1510">
                  <c:v>874.60175820721304</c:v>
                </c:pt>
                <c:pt idx="1511">
                  <c:v>889.36894574215046</c:v>
                </c:pt>
                <c:pt idx="1512">
                  <c:v>890.98650730937175</c:v>
                </c:pt>
                <c:pt idx="1513">
                  <c:v>956.77046201693202</c:v>
                </c:pt>
                <c:pt idx="1514">
                  <c:v>949.51045301895101</c:v>
                </c:pt>
                <c:pt idx="1515">
                  <c:v>945.12126789656838</c:v>
                </c:pt>
                <c:pt idx="1516">
                  <c:v>945.38291828131412</c:v>
                </c:pt>
                <c:pt idx="1517">
                  <c:v>950.43256890978762</c:v>
                </c:pt>
                <c:pt idx="1518">
                  <c:v>923.33956372539888</c:v>
                </c:pt>
                <c:pt idx="1519">
                  <c:v>930.14310811003929</c:v>
                </c:pt>
                <c:pt idx="1520">
                  <c:v>964.05011041037903</c:v>
                </c:pt>
                <c:pt idx="1521">
                  <c:v>953.56194542341291</c:v>
                </c:pt>
                <c:pt idx="1522">
                  <c:v>940.70546019966673</c:v>
                </c:pt>
                <c:pt idx="1523">
                  <c:v>953.24257172064301</c:v>
                </c:pt>
                <c:pt idx="1524">
                  <c:v>954.10711272613923</c:v>
                </c:pt>
                <c:pt idx="1525">
                  <c:v>950.77454123362827</c:v>
                </c:pt>
                <c:pt idx="1526">
                  <c:v>966.02040248778724</c:v>
                </c:pt>
                <c:pt idx="1527">
                  <c:v>966.48392536227436</c:v>
                </c:pt>
                <c:pt idx="1528">
                  <c:v>968.34861541025157</c:v>
                </c:pt>
                <c:pt idx="1529">
                  <c:v>978.78860094825359</c:v>
                </c:pt>
                <c:pt idx="1530">
                  <c:v>973.91974636553584</c:v>
                </c:pt>
                <c:pt idx="1531">
                  <c:v>972.23838630759292</c:v>
                </c:pt>
                <c:pt idx="1532">
                  <c:v>978.06555944821821</c:v>
                </c:pt>
                <c:pt idx="1533">
                  <c:v>957.86440036232386</c:v>
                </c:pt>
                <c:pt idx="1534">
                  <c:v>961.60237957629818</c:v>
                </c:pt>
                <c:pt idx="1535">
                  <c:v>974.82969413434432</c:v>
                </c:pt>
                <c:pt idx="1536">
                  <c:v>974.81667587217771</c:v>
                </c:pt>
                <c:pt idx="1537">
                  <c:v>979.62933551340063</c:v>
                </c:pt>
                <c:pt idx="1538">
                  <c:v>975.99748957118425</c:v>
                </c:pt>
                <c:pt idx="1539">
                  <c:v>968.88536151664482</c:v>
                </c:pt>
                <c:pt idx="1540">
                  <c:v>971.46691198352835</c:v>
                </c:pt>
                <c:pt idx="1541">
                  <c:v>963.81523025716274</c:v>
                </c:pt>
                <c:pt idx="1542">
                  <c:v>951.36162862799495</c:v>
                </c:pt>
                <c:pt idx="1543">
                  <c:v>931.89934650482962</c:v>
                </c:pt>
                <c:pt idx="1544">
                  <c:v>942.06490848850535</c:v>
                </c:pt>
                <c:pt idx="1545">
                  <c:v>934.87323271805121</c:v>
                </c:pt>
                <c:pt idx="1546">
                  <c:v>923.69718619171988</c:v>
                </c:pt>
                <c:pt idx="1547">
                  <c:v>916.63881253037789</c:v>
                </c:pt>
                <c:pt idx="1548">
                  <c:v>917.14981828675661</c:v>
                </c:pt>
                <c:pt idx="1549">
                  <c:v>898.76257115826184</c:v>
                </c:pt>
                <c:pt idx="1550">
                  <c:v>900.36410413991018</c:v>
                </c:pt>
                <c:pt idx="1551">
                  <c:v>898.69168346879098</c:v>
                </c:pt>
                <c:pt idx="1552">
                  <c:v>915.74923514036095</c:v>
                </c:pt>
                <c:pt idx="1553">
                  <c:v>911.51132848331702</c:v>
                </c:pt>
                <c:pt idx="1554">
                  <c:v>916.23669195671221</c:v>
                </c:pt>
                <c:pt idx="1555">
                  <c:v>904.72241296666562</c:v>
                </c:pt>
                <c:pt idx="1556">
                  <c:v>906.72443948278362</c:v>
                </c:pt>
                <c:pt idx="1557">
                  <c:v>906.56369230423104</c:v>
                </c:pt>
                <c:pt idx="1558">
                  <c:v>901.63352656916663</c:v>
                </c:pt>
                <c:pt idx="1559">
                  <c:v>904.76889277702958</c:v>
                </c:pt>
                <c:pt idx="1560">
                  <c:v>916.51117112533404</c:v>
                </c:pt>
                <c:pt idx="1561">
                  <c:v>914.62504090843083</c:v>
                </c:pt>
                <c:pt idx="1562">
                  <c:v>924.96546775583158</c:v>
                </c:pt>
                <c:pt idx="1563">
                  <c:v>936.4755547196462</c:v>
                </c:pt>
                <c:pt idx="1564">
                  <c:v>929.60739234843675</c:v>
                </c:pt>
                <c:pt idx="1565">
                  <c:v>925.20454082354706</c:v>
                </c:pt>
                <c:pt idx="1566">
                  <c:v>926.62047394690171</c:v>
                </c:pt>
                <c:pt idx="1567">
                  <c:v>925.38421599407468</c:v>
                </c:pt>
                <c:pt idx="1568">
                  <c:v>923.40347668031427</c:v>
                </c:pt>
                <c:pt idx="1569">
                  <c:v>920.80800797794041</c:v>
                </c:pt>
                <c:pt idx="1570">
                  <c:v>926.0075343498803</c:v>
                </c:pt>
                <c:pt idx="1571">
                  <c:v>925.31403770637769</c:v>
                </c:pt>
                <c:pt idx="1572">
                  <c:v>924.45611058045097</c:v>
                </c:pt>
                <c:pt idx="1573">
                  <c:v>924.39630143271756</c:v>
                </c:pt>
                <c:pt idx="1574">
                  <c:v>923.69502560970284</c:v>
                </c:pt>
                <c:pt idx="1575">
                  <c:v>923.08634551509056</c:v>
                </c:pt>
                <c:pt idx="1576">
                  <c:v>927.1798767969799</c:v>
                </c:pt>
                <c:pt idx="1577">
                  <c:v>925.76478703650776</c:v>
                </c:pt>
                <c:pt idx="1578">
                  <c:v>925.96411618423519</c:v>
                </c:pt>
                <c:pt idx="1579">
                  <c:v>924.59191648903709</c:v>
                </c:pt>
                <c:pt idx="1580">
                  <c:v>923.18970473031084</c:v>
                </c:pt>
                <c:pt idx="1581">
                  <c:v>923.73889681410981</c:v>
                </c:pt>
                <c:pt idx="1582">
                  <c:v>924.09732542150516</c:v>
                </c:pt>
                <c:pt idx="1583">
                  <c:v>923.25233648937217</c:v>
                </c:pt>
                <c:pt idx="1584">
                  <c:v>923.39334615857013</c:v>
                </c:pt>
                <c:pt idx="1585">
                  <c:v>919.67314214082364</c:v>
                </c:pt>
                <c:pt idx="1586">
                  <c:v>919.60093756948356</c:v>
                </c:pt>
                <c:pt idx="1587">
                  <c:v>925.05757178994475</c:v>
                </c:pt>
                <c:pt idx="1588">
                  <c:v>924.71600145261925</c:v>
                </c:pt>
                <c:pt idx="1589">
                  <c:v>924.35723837153887</c:v>
                </c:pt>
                <c:pt idx="1590">
                  <c:v>922.22814675629536</c:v>
                </c:pt>
                <c:pt idx="1591">
                  <c:v>922.24395522184841</c:v>
                </c:pt>
                <c:pt idx="1592">
                  <c:v>921.80596657974058</c:v>
                </c:pt>
                <c:pt idx="1593">
                  <c:v>920.92553173066426</c:v>
                </c:pt>
                <c:pt idx="1594">
                  <c:v>920.36662001628088</c:v>
                </c:pt>
                <c:pt idx="1595">
                  <c:v>921.55024514404613</c:v>
                </c:pt>
                <c:pt idx="1596">
                  <c:v>920.58283976212988</c:v>
                </c:pt>
                <c:pt idx="1597">
                  <c:v>923.78766655011532</c:v>
                </c:pt>
                <c:pt idx="1598">
                  <c:v>923.05156975530747</c:v>
                </c:pt>
                <c:pt idx="1599">
                  <c:v>921.59844721002787</c:v>
                </c:pt>
                <c:pt idx="1600">
                  <c:v>918.71960459368722</c:v>
                </c:pt>
                <c:pt idx="1601">
                  <c:v>919.03082626054322</c:v>
                </c:pt>
                <c:pt idx="1602">
                  <c:v>920.03461852196676</c:v>
                </c:pt>
                <c:pt idx="1603">
                  <c:v>919.20922135080662</c:v>
                </c:pt>
                <c:pt idx="1604">
                  <c:v>917.49102592010047</c:v>
                </c:pt>
                <c:pt idx="1605">
                  <c:v>917.08851541381284</c:v>
                </c:pt>
                <c:pt idx="1606">
                  <c:v>917.87350660916889</c:v>
                </c:pt>
                <c:pt idx="1607">
                  <c:v>918.09508444823018</c:v>
                </c:pt>
                <c:pt idx="1608">
                  <c:v>914.59306981772761</c:v>
                </c:pt>
                <c:pt idx="1609">
                  <c:v>909.57128106189111</c:v>
                </c:pt>
                <c:pt idx="1610">
                  <c:v>908.23813962314705</c:v>
                </c:pt>
                <c:pt idx="1611">
                  <c:v>908.75514519086153</c:v>
                </c:pt>
                <c:pt idx="1612">
                  <c:v>903.83602159983036</c:v>
                </c:pt>
                <c:pt idx="1613">
                  <c:v>901.75609453144921</c:v>
                </c:pt>
                <c:pt idx="1614">
                  <c:v>899.02718325019634</c:v>
                </c:pt>
                <c:pt idx="1615">
                  <c:v>897.70028233936068</c:v>
                </c:pt>
                <c:pt idx="1616">
                  <c:v>911.88931490438404</c:v>
                </c:pt>
                <c:pt idx="1617">
                  <c:v>909.99026770104513</c:v>
                </c:pt>
                <c:pt idx="1618">
                  <c:v>907.19073889890194</c:v>
                </c:pt>
                <c:pt idx="1619">
                  <c:v>910.46077651187352</c:v>
                </c:pt>
                <c:pt idx="1620">
                  <c:v>908.78196387069443</c:v>
                </c:pt>
                <c:pt idx="1621">
                  <c:v>913.85421241356858</c:v>
                </c:pt>
                <c:pt idx="1622">
                  <c:v>910.58361636581697</c:v>
                </c:pt>
                <c:pt idx="1623">
                  <c:v>911.83269921058206</c:v>
                </c:pt>
                <c:pt idx="1624">
                  <c:v>911.84471264853062</c:v>
                </c:pt>
                <c:pt idx="1625">
                  <c:v>905.79128938236283</c:v>
                </c:pt>
                <c:pt idx="1626">
                  <c:v>905.32970178283972</c:v>
                </c:pt>
                <c:pt idx="1627">
                  <c:v>906.49338619973366</c:v>
                </c:pt>
                <c:pt idx="1628">
                  <c:v>904.7081137801797</c:v>
                </c:pt>
                <c:pt idx="1629">
                  <c:v>908.91679102865533</c:v>
                </c:pt>
                <c:pt idx="1630">
                  <c:v>909.83637586578834</c:v>
                </c:pt>
                <c:pt idx="1631">
                  <c:v>908.53863546345826</c:v>
                </c:pt>
                <c:pt idx="1632">
                  <c:v>907.9881034732349</c:v>
                </c:pt>
                <c:pt idx="1633">
                  <c:v>907.743701918792</c:v>
                </c:pt>
                <c:pt idx="1634">
                  <c:v>907.0527341898129</c:v>
                </c:pt>
                <c:pt idx="1635">
                  <c:v>908.28807171036885</c:v>
                </c:pt>
                <c:pt idx="1636">
                  <c:v>908.37289829999577</c:v>
                </c:pt>
                <c:pt idx="1637">
                  <c:v>908.73484917742633</c:v>
                </c:pt>
                <c:pt idx="1638">
                  <c:v>914.97619341180894</c:v>
                </c:pt>
                <c:pt idx="1639">
                  <c:v>915.10242630657297</c:v>
                </c:pt>
                <c:pt idx="1640">
                  <c:v>914.8729067985339</c:v>
                </c:pt>
                <c:pt idx="1641">
                  <c:v>915.14139061167612</c:v>
                </c:pt>
                <c:pt idx="1642">
                  <c:v>913.5440964901677</c:v>
                </c:pt>
                <c:pt idx="1643">
                  <c:v>911.66690338528554</c:v>
                </c:pt>
                <c:pt idx="1644">
                  <c:v>910.63013804382319</c:v>
                </c:pt>
                <c:pt idx="1645">
                  <c:v>895.53782024504471</c:v>
                </c:pt>
                <c:pt idx="1646">
                  <c:v>883.01647001425295</c:v>
                </c:pt>
                <c:pt idx="1647">
                  <c:v>873.77492817924292</c:v>
                </c:pt>
                <c:pt idx="1648">
                  <c:v>868.61230999322356</c:v>
                </c:pt>
                <c:pt idx="1649">
                  <c:v>865.36883340182078</c:v>
                </c:pt>
                <c:pt idx="1650">
                  <c:v>869.76397493898003</c:v>
                </c:pt>
                <c:pt idx="1651">
                  <c:v>868.4008356309098</c:v>
                </c:pt>
                <c:pt idx="1652">
                  <c:v>863.30104586790958</c:v>
                </c:pt>
                <c:pt idx="1653">
                  <c:v>854.55743682463833</c:v>
                </c:pt>
                <c:pt idx="1654">
                  <c:v>855.30318676611103</c:v>
                </c:pt>
                <c:pt idx="1655">
                  <c:v>853.40109079641729</c:v>
                </c:pt>
                <c:pt idx="1656">
                  <c:v>853.58939067377719</c:v>
                </c:pt>
                <c:pt idx="1657">
                  <c:v>855.68581701887797</c:v>
                </c:pt>
                <c:pt idx="1658">
                  <c:v>855.12328222181259</c:v>
                </c:pt>
                <c:pt idx="1659">
                  <c:v>855.54748348815781</c:v>
                </c:pt>
                <c:pt idx="1660">
                  <c:v>853.89840148919245</c:v>
                </c:pt>
                <c:pt idx="1661">
                  <c:v>845.09318692999261</c:v>
                </c:pt>
                <c:pt idx="1662">
                  <c:v>833.43207721544059</c:v>
                </c:pt>
                <c:pt idx="1663">
                  <c:v>833.21271135249253</c:v>
                </c:pt>
                <c:pt idx="1664">
                  <c:v>837.49351159601247</c:v>
                </c:pt>
                <c:pt idx="1665">
                  <c:v>825.10771169142856</c:v>
                </c:pt>
                <c:pt idx="1666">
                  <c:v>824.03099639153925</c:v>
                </c:pt>
                <c:pt idx="1667">
                  <c:v>820.11863579110866</c:v>
                </c:pt>
                <c:pt idx="1668">
                  <c:v>820.31908673835733</c:v>
                </c:pt>
                <c:pt idx="1669">
                  <c:v>816.79642003339472</c:v>
                </c:pt>
                <c:pt idx="1670">
                  <c:v>836.28322620381334</c:v>
                </c:pt>
                <c:pt idx="1671">
                  <c:v>853.42431801009286</c:v>
                </c:pt>
                <c:pt idx="1672">
                  <c:v>893.32534056723273</c:v>
                </c:pt>
                <c:pt idx="1673">
                  <c:v>873.58667395768271</c:v>
                </c:pt>
                <c:pt idx="1674">
                  <c:v>866.51405334045523</c:v>
                </c:pt>
                <c:pt idx="1675">
                  <c:v>874.84529929360178</c:v>
                </c:pt>
                <c:pt idx="1676">
                  <c:v>879.73292209750571</c:v>
                </c:pt>
                <c:pt idx="1677">
                  <c:v>877.54223788364709</c:v>
                </c:pt>
                <c:pt idx="1678">
                  <c:v>882.71933470407282</c:v>
                </c:pt>
                <c:pt idx="1679">
                  <c:v>881.78765682173071</c:v>
                </c:pt>
                <c:pt idx="1680">
                  <c:v>868.26518306039372</c:v>
                </c:pt>
                <c:pt idx="1681">
                  <c:v>867.46430353146752</c:v>
                </c:pt>
                <c:pt idx="1682">
                  <c:v>870.26514345978444</c:v>
                </c:pt>
                <c:pt idx="1683">
                  <c:v>869.60954772048899</c:v>
                </c:pt>
                <c:pt idx="1684">
                  <c:v>868.56171213398204</c:v>
                </c:pt>
                <c:pt idx="1685">
                  <c:v>868.59026395859735</c:v>
                </c:pt>
                <c:pt idx="1686">
                  <c:v>878.85820293986899</c:v>
                </c:pt>
                <c:pt idx="1687">
                  <c:v>879.87350107533689</c:v>
                </c:pt>
                <c:pt idx="1688">
                  <c:v>876.04395557251007</c:v>
                </c:pt>
                <c:pt idx="1689">
                  <c:v>878.71759110350285</c:v>
                </c:pt>
                <c:pt idx="1690">
                  <c:v>878.83877370329515</c:v>
                </c:pt>
                <c:pt idx="1691">
                  <c:v>878.36347957549617</c:v>
                </c:pt>
                <c:pt idx="1692">
                  <c:v>876.11013326475893</c:v>
                </c:pt>
                <c:pt idx="1693">
                  <c:v>878.12848737562672</c:v>
                </c:pt>
                <c:pt idx="1694">
                  <c:v>877.67245930605657</c:v>
                </c:pt>
                <c:pt idx="1695">
                  <c:v>877.68266974213554</c:v>
                </c:pt>
                <c:pt idx="1696">
                  <c:v>877.77813096671935</c:v>
                </c:pt>
                <c:pt idx="1697">
                  <c:v>881.1760164518289</c:v>
                </c:pt>
                <c:pt idx="1698">
                  <c:v>879.10174594469981</c:v>
                </c:pt>
                <c:pt idx="1699">
                  <c:v>878.281108544885</c:v>
                </c:pt>
                <c:pt idx="1700">
                  <c:v>869.29436312799862</c:v>
                </c:pt>
                <c:pt idx="1701">
                  <c:v>870.9622383370554</c:v>
                </c:pt>
                <c:pt idx="1702">
                  <c:v>854.63877265856559</c:v>
                </c:pt>
                <c:pt idx="1703">
                  <c:v>857.08637716668363</c:v>
                </c:pt>
                <c:pt idx="1704">
                  <c:v>858.18261896473041</c:v>
                </c:pt>
                <c:pt idx="1705">
                  <c:v>847.42450960738176</c:v>
                </c:pt>
                <c:pt idx="1706">
                  <c:v>855.81789797217471</c:v>
                </c:pt>
                <c:pt idx="1707">
                  <c:v>858.33497167064615</c:v>
                </c:pt>
                <c:pt idx="1708">
                  <c:v>858.80778957362122</c:v>
                </c:pt>
                <c:pt idx="1709">
                  <c:v>859.59591430778744</c:v>
                </c:pt>
                <c:pt idx="1710">
                  <c:v>828.61460164406731</c:v>
                </c:pt>
                <c:pt idx="1711">
                  <c:v>801.4900946778306</c:v>
                </c:pt>
                <c:pt idx="1712">
                  <c:v>769.72354945716143</c:v>
                </c:pt>
                <c:pt idx="1713">
                  <c:v>703.60405712857721</c:v>
                </c:pt>
                <c:pt idx="1714">
                  <c:v>735.74720347917139</c:v>
                </c:pt>
                <c:pt idx="1715">
                  <c:v>733.09617072653612</c:v>
                </c:pt>
                <c:pt idx="1716">
                  <c:v>730.26227095946717</c:v>
                </c:pt>
                <c:pt idx="1717">
                  <c:v>763.43950656354275</c:v>
                </c:pt>
                <c:pt idx="1718">
                  <c:v>763.00853818723408</c:v>
                </c:pt>
                <c:pt idx="1719">
                  <c:v>758.9057527598959</c:v>
                </c:pt>
                <c:pt idx="1720">
                  <c:v>761.09718839879588</c:v>
                </c:pt>
                <c:pt idx="1721">
                  <c:v>768.29705046675576</c:v>
                </c:pt>
                <c:pt idx="1722">
                  <c:v>763.27043537180259</c:v>
                </c:pt>
                <c:pt idx="1723">
                  <c:v>761.95205236156505</c:v>
                </c:pt>
                <c:pt idx="1724">
                  <c:v>752.65798948918905</c:v>
                </c:pt>
                <c:pt idx="1725">
                  <c:v>734.4864481038951</c:v>
                </c:pt>
                <c:pt idx="1726">
                  <c:v>727.75286863749079</c:v>
                </c:pt>
                <c:pt idx="1727">
                  <c:v>747.10476243553569</c:v>
                </c:pt>
                <c:pt idx="1728">
                  <c:v>736.27113861173291</c:v>
                </c:pt>
                <c:pt idx="1729">
                  <c:v>737.59274900316132</c:v>
                </c:pt>
                <c:pt idx="1730">
                  <c:v>745.92373111803772</c:v>
                </c:pt>
                <c:pt idx="1731">
                  <c:v>751.6109776503439</c:v>
                </c:pt>
                <c:pt idx="1732">
                  <c:v>747.66338461922567</c:v>
                </c:pt>
                <c:pt idx="1733">
                  <c:v>751.5693943757982</c:v>
                </c:pt>
                <c:pt idx="1734">
                  <c:v>750.77300966370376</c:v>
                </c:pt>
                <c:pt idx="1735">
                  <c:v>738.87135695010852</c:v>
                </c:pt>
                <c:pt idx="1736">
                  <c:v>745.74832379048291</c:v>
                </c:pt>
                <c:pt idx="1737">
                  <c:v>739.50218384940126</c:v>
                </c:pt>
                <c:pt idx="1738">
                  <c:v>734.0774938769116</c:v>
                </c:pt>
                <c:pt idx="1739">
                  <c:v>737.79500446079953</c:v>
                </c:pt>
                <c:pt idx="1740">
                  <c:v>743.20806841673823</c:v>
                </c:pt>
                <c:pt idx="1741">
                  <c:v>737.58931534455462</c:v>
                </c:pt>
                <c:pt idx="1742">
                  <c:v>733.36568914115389</c:v>
                </c:pt>
                <c:pt idx="1743">
                  <c:v>732.36180864706273</c:v>
                </c:pt>
                <c:pt idx="1744">
                  <c:v>737.38461501554866</c:v>
                </c:pt>
                <c:pt idx="1745">
                  <c:v>786.52634565687094</c:v>
                </c:pt>
                <c:pt idx="1746">
                  <c:v>793.16032331975168</c:v>
                </c:pt>
                <c:pt idx="1747">
                  <c:v>796.25677304301303</c:v>
                </c:pt>
                <c:pt idx="1748">
                  <c:v>800.49996629309601</c:v>
                </c:pt>
                <c:pt idx="1749">
                  <c:v>833.29777588020011</c:v>
                </c:pt>
                <c:pt idx="1750">
                  <c:v>825.11097708815385</c:v>
                </c:pt>
                <c:pt idx="1751">
                  <c:v>827.29973483738513</c:v>
                </c:pt>
                <c:pt idx="1752">
                  <c:v>826.04778813005044</c:v>
                </c:pt>
                <c:pt idx="1753">
                  <c:v>793.37503151811723</c:v>
                </c:pt>
                <c:pt idx="1754">
                  <c:v>797.08976321544935</c:v>
                </c:pt>
                <c:pt idx="1755">
                  <c:v>801.78283773148962</c:v>
                </c:pt>
                <c:pt idx="1756">
                  <c:v>801.84248810762847</c:v>
                </c:pt>
                <c:pt idx="1757">
                  <c:v>797.79176582384264</c:v>
                </c:pt>
                <c:pt idx="1758">
                  <c:v>797.08073923385575</c:v>
                </c:pt>
                <c:pt idx="1759">
                  <c:v>796.39222980883403</c:v>
                </c:pt>
                <c:pt idx="1760">
                  <c:v>799.9231962020956</c:v>
                </c:pt>
                <c:pt idx="1761">
                  <c:v>799.72574064985531</c:v>
                </c:pt>
                <c:pt idx="1762">
                  <c:v>780.18092788807246</c:v>
                </c:pt>
                <c:pt idx="1763">
                  <c:v>777.84126849841323</c:v>
                </c:pt>
                <c:pt idx="1764">
                  <c:v>781.00455510835593</c:v>
                </c:pt>
                <c:pt idx="1765">
                  <c:v>789.26423457501369</c:v>
                </c:pt>
                <c:pt idx="1766">
                  <c:v>788.17709470117063</c:v>
                </c:pt>
                <c:pt idx="1767">
                  <c:v>793.58942297173439</c:v>
                </c:pt>
                <c:pt idx="1768">
                  <c:v>795.38320146820547</c:v>
                </c:pt>
                <c:pt idx="1769">
                  <c:v>792.91356333627198</c:v>
                </c:pt>
                <c:pt idx="1770">
                  <c:v>793.4392921325001</c:v>
                </c:pt>
                <c:pt idx="1771">
                  <c:v>792.75773080713782</c:v>
                </c:pt>
                <c:pt idx="1772">
                  <c:v>805.45510768345866</c:v>
                </c:pt>
                <c:pt idx="1773">
                  <c:v>806.21134048100771</c:v>
                </c:pt>
                <c:pt idx="1774">
                  <c:v>804.64141517338942</c:v>
                </c:pt>
                <c:pt idx="1775">
                  <c:v>801.43157328956659</c:v>
                </c:pt>
                <c:pt idx="1776">
                  <c:v>801.62265777784796</c:v>
                </c:pt>
                <c:pt idx="1777">
                  <c:v>804.43032087277641</c:v>
                </c:pt>
                <c:pt idx="1778">
                  <c:v>811.24679596840065</c:v>
                </c:pt>
                <c:pt idx="1779">
                  <c:v>817.06744849159315</c:v>
                </c:pt>
                <c:pt idx="1780">
                  <c:v>814.43108739952606</c:v>
                </c:pt>
                <c:pt idx="1781">
                  <c:v>815.88556193222132</c:v>
                </c:pt>
                <c:pt idx="1782">
                  <c:v>845.34073609877009</c:v>
                </c:pt>
                <c:pt idx="1783">
                  <c:v>857.28920053438526</c:v>
                </c:pt>
                <c:pt idx="1784">
                  <c:v>851.64027033412094</c:v>
                </c:pt>
                <c:pt idx="1785">
                  <c:v>854.98907808862714</c:v>
                </c:pt>
                <c:pt idx="1786">
                  <c:v>860.53408954902875</c:v>
                </c:pt>
                <c:pt idx="1787">
                  <c:v>861.38683211567434</c:v>
                </c:pt>
                <c:pt idx="1788">
                  <c:v>855.90226427232005</c:v>
                </c:pt>
                <c:pt idx="1789">
                  <c:v>856.14918642211967</c:v>
                </c:pt>
                <c:pt idx="1790">
                  <c:v>853.13046896073911</c:v>
                </c:pt>
                <c:pt idx="1791">
                  <c:v>840.30007833941227</c:v>
                </c:pt>
                <c:pt idx="1792">
                  <c:v>841.94459277577175</c:v>
                </c:pt>
                <c:pt idx="1793">
                  <c:v>852.0837425908876</c:v>
                </c:pt>
                <c:pt idx="1794">
                  <c:v>891.64925495105399</c:v>
                </c:pt>
                <c:pt idx="1795">
                  <c:v>882.79184797541404</c:v>
                </c:pt>
                <c:pt idx="1796">
                  <c:v>890.50263940346269</c:v>
                </c:pt>
                <c:pt idx="1797">
                  <c:v>905.69677721363291</c:v>
                </c:pt>
                <c:pt idx="1798">
                  <c:v>956.30881794774655</c:v>
                </c:pt>
                <c:pt idx="1799">
                  <c:v>956.78922652421511</c:v>
                </c:pt>
                <c:pt idx="1800">
                  <c:v>993.99106717534869</c:v>
                </c:pt>
                <c:pt idx="1801">
                  <c:v>1011.501803979296</c:v>
                </c:pt>
                <c:pt idx="1802">
                  <c:v>988.85678968039451</c:v>
                </c:pt>
                <c:pt idx="1803">
                  <c:v>1045.1574767661073</c:v>
                </c:pt>
                <c:pt idx="1804">
                  <c:v>1043.6283060346052</c:v>
                </c:pt>
                <c:pt idx="1805">
                  <c:v>1071.3254668675586</c:v>
                </c:pt>
                <c:pt idx="1806">
                  <c:v>1000.487989742948</c:v>
                </c:pt>
                <c:pt idx="1807">
                  <c:v>997.30999603379996</c:v>
                </c:pt>
                <c:pt idx="1808">
                  <c:v>1014.8100157652113</c:v>
                </c:pt>
                <c:pt idx="1809">
                  <c:v>992.10038360708609</c:v>
                </c:pt>
                <c:pt idx="1810">
                  <c:v>994.90989304544996</c:v>
                </c:pt>
                <c:pt idx="1811">
                  <c:v>1064.1428714702088</c:v>
                </c:pt>
                <c:pt idx="1812">
                  <c:v>1023.5169806009228</c:v>
                </c:pt>
                <c:pt idx="1813">
                  <c:v>1020.8646777829459</c:v>
                </c:pt>
                <c:pt idx="1814">
                  <c:v>1000.1793933346584</c:v>
                </c:pt>
                <c:pt idx="1815">
                  <c:v>971.93690366702128</c:v>
                </c:pt>
                <c:pt idx="1816">
                  <c:v>988.22814009112801</c:v>
                </c:pt>
                <c:pt idx="1817">
                  <c:v>1004.6951160185336</c:v>
                </c:pt>
                <c:pt idx="1818">
                  <c:v>1015.6637450896818</c:v>
                </c:pt>
                <c:pt idx="1819">
                  <c:v>1079.0050745267031</c:v>
                </c:pt>
                <c:pt idx="1820">
                  <c:v>1101.8489077920431</c:v>
                </c:pt>
                <c:pt idx="1821">
                  <c:v>1095.927666709161</c:v>
                </c:pt>
                <c:pt idx="1822">
                  <c:v>1104.7791783123428</c:v>
                </c:pt>
                <c:pt idx="1823">
                  <c:v>1060.2528141807738</c:v>
                </c:pt>
                <c:pt idx="1824">
                  <c:v>1076.077774793042</c:v>
                </c:pt>
                <c:pt idx="1825">
                  <c:v>1081.6798864851894</c:v>
                </c:pt>
                <c:pt idx="1826">
                  <c:v>1075.8448194260839</c:v>
                </c:pt>
                <c:pt idx="1827">
                  <c:v>1069.7027622021662</c:v>
                </c:pt>
                <c:pt idx="1828">
                  <c:v>1062.0359862675018</c:v>
                </c:pt>
                <c:pt idx="1829">
                  <c:v>1066.6339555784348</c:v>
                </c:pt>
                <c:pt idx="1830">
                  <c:v>1066.6452708949128</c:v>
                </c:pt>
                <c:pt idx="1831">
                  <c:v>1065.6608345982368</c:v>
                </c:pt>
                <c:pt idx="1832">
                  <c:v>1089.987549557319</c:v>
                </c:pt>
                <c:pt idx="1833">
                  <c:v>1105.2754998043156</c:v>
                </c:pt>
                <c:pt idx="1834">
                  <c:v>1153.6183351433363</c:v>
                </c:pt>
                <c:pt idx="1835">
                  <c:v>1142.1355659895137</c:v>
                </c:pt>
                <c:pt idx="1836">
                  <c:v>1145.6894997904117</c:v>
                </c:pt>
                <c:pt idx="1837">
                  <c:v>1100.4998196669669</c:v>
                </c:pt>
                <c:pt idx="1838">
                  <c:v>1130.6985084009923</c:v>
                </c:pt>
                <c:pt idx="1839">
                  <c:v>1135.8689521686549</c:v>
                </c:pt>
                <c:pt idx="1840">
                  <c:v>1150.8628229426286</c:v>
                </c:pt>
                <c:pt idx="1841">
                  <c:v>1151.8971703120746</c:v>
                </c:pt>
                <c:pt idx="1842">
                  <c:v>1156.6563298665847</c:v>
                </c:pt>
                <c:pt idx="1843">
                  <c:v>1140.7397753788414</c:v>
                </c:pt>
                <c:pt idx="1844">
                  <c:v>1168.5546833755966</c:v>
                </c:pt>
                <c:pt idx="1845">
                  <c:v>1171.7999790818717</c:v>
                </c:pt>
                <c:pt idx="1846">
                  <c:v>1171.8902224560397</c:v>
                </c:pt>
                <c:pt idx="1847">
                  <c:v>1167.173036974347</c:v>
                </c:pt>
                <c:pt idx="1848">
                  <c:v>1177.9297183918513</c:v>
                </c:pt>
                <c:pt idx="1849">
                  <c:v>1193.208904414952</c:v>
                </c:pt>
                <c:pt idx="1850">
                  <c:v>1194.9648282305654</c:v>
                </c:pt>
                <c:pt idx="1851">
                  <c:v>1197.1073826498434</c:v>
                </c:pt>
                <c:pt idx="1852">
                  <c:v>1201.0029710012509</c:v>
                </c:pt>
                <c:pt idx="1853">
                  <c:v>1243.0010508783446</c:v>
                </c:pt>
                <c:pt idx="1854">
                  <c:v>1376.1014547562766</c:v>
                </c:pt>
                <c:pt idx="1855">
                  <c:v>1525.9642921942566</c:v>
                </c:pt>
                <c:pt idx="1856">
                  <c:v>1455.7772916083291</c:v>
                </c:pt>
                <c:pt idx="1857">
                  <c:v>1387.7000643228482</c:v>
                </c:pt>
                <c:pt idx="1858">
                  <c:v>1472.6036799112703</c:v>
                </c:pt>
                <c:pt idx="1859">
                  <c:v>1571.6094083257231</c:v>
                </c:pt>
                <c:pt idx="1860">
                  <c:v>1666.8025015370517</c:v>
                </c:pt>
                <c:pt idx="1861">
                  <c:v>1710.0892383876837</c:v>
                </c:pt>
                <c:pt idx="1862">
                  <c:v>1630.9455880369012</c:v>
                </c:pt>
                <c:pt idx="1863">
                  <c:v>1640.3489750303552</c:v>
                </c:pt>
                <c:pt idx="1864">
                  <c:v>1706.9982183582929</c:v>
                </c:pt>
                <c:pt idx="1865">
                  <c:v>1886.6456982443378</c:v>
                </c:pt>
                <c:pt idx="1866">
                  <c:v>1902.7050151687579</c:v>
                </c:pt>
                <c:pt idx="1867">
                  <c:v>2148.7785152185947</c:v>
                </c:pt>
                <c:pt idx="1868">
                  <c:v>1885.6220306994371</c:v>
                </c:pt>
                <c:pt idx="1869">
                  <c:v>1414.0527273291566</c:v>
                </c:pt>
                <c:pt idx="1870">
                  <c:v>1414.4658551385703</c:v>
                </c:pt>
                <c:pt idx="1871">
                  <c:v>1469.3182877374954</c:v>
                </c:pt>
                <c:pt idx="1872">
                  <c:v>1455.6839009839509</c:v>
                </c:pt>
                <c:pt idx="1873">
                  <c:v>1460.5334897290397</c:v>
                </c:pt>
                <c:pt idx="1874">
                  <c:v>1203.4047505881504</c:v>
                </c:pt>
                <c:pt idx="1875">
                  <c:v>1088.3850471856631</c:v>
                </c:pt>
                <c:pt idx="1876">
                  <c:v>1153.2777815974987</c:v>
                </c:pt>
                <c:pt idx="1877">
                  <c:v>1241.6681870366988</c:v>
                </c:pt>
                <c:pt idx="1878">
                  <c:v>1212.5996692047238</c:v>
                </c:pt>
                <c:pt idx="1879">
                  <c:v>1222.9955394222322</c:v>
                </c:pt>
                <c:pt idx="1880">
                  <c:v>1366.1536311035122</c:v>
                </c:pt>
                <c:pt idx="1881">
                  <c:v>1400.3848233442188</c:v>
                </c:pt>
                <c:pt idx="1882">
                  <c:v>1378.3116889350181</c:v>
                </c:pt>
                <c:pt idx="1883">
                  <c:v>1380.7861670155389</c:v>
                </c:pt>
                <c:pt idx="1884">
                  <c:v>1467.5060727790676</c:v>
                </c:pt>
                <c:pt idx="1885">
                  <c:v>1422.2425343881084</c:v>
                </c:pt>
                <c:pt idx="1886">
                  <c:v>1461.4630988066936</c:v>
                </c:pt>
                <c:pt idx="1887">
                  <c:v>1418.7250250610871</c:v>
                </c:pt>
                <c:pt idx="1888">
                  <c:v>1399.5305128770444</c:v>
                </c:pt>
                <c:pt idx="1889">
                  <c:v>1418.4776452544465</c:v>
                </c:pt>
                <c:pt idx="1890">
                  <c:v>1451.3573167058698</c:v>
                </c:pt>
                <c:pt idx="1891">
                  <c:v>1458.3943719202582</c:v>
                </c:pt>
                <c:pt idx="1892">
                  <c:v>1457.2949197132677</c:v>
                </c:pt>
                <c:pt idx="1893">
                  <c:v>1453.9205794166101</c:v>
                </c:pt>
                <c:pt idx="1894">
                  <c:v>1540.5206943077467</c:v>
                </c:pt>
                <c:pt idx="1895">
                  <c:v>1593.500977713805</c:v>
                </c:pt>
                <c:pt idx="1896">
                  <c:v>1660.4887629784969</c:v>
                </c:pt>
                <c:pt idx="1897">
                  <c:v>1730.1455607713722</c:v>
                </c:pt>
                <c:pt idx="1898">
                  <c:v>1748.2076101647572</c:v>
                </c:pt>
                <c:pt idx="1899">
                  <c:v>1754.6442698289502</c:v>
                </c:pt>
                <c:pt idx="1900">
                  <c:v>1793.511409113981</c:v>
                </c:pt>
                <c:pt idx="1901">
                  <c:v>1854.4862020438081</c:v>
                </c:pt>
                <c:pt idx="1902">
                  <c:v>1830.3894400037643</c:v>
                </c:pt>
                <c:pt idx="1903">
                  <c:v>1614.1965900996636</c:v>
                </c:pt>
                <c:pt idx="1904">
                  <c:v>1563.2241555165829</c:v>
                </c:pt>
                <c:pt idx="1905">
                  <c:v>1672.7025993813074</c:v>
                </c:pt>
                <c:pt idx="1906">
                  <c:v>1664.2259296808716</c:v>
                </c:pt>
                <c:pt idx="1907">
                  <c:v>1641.1197819589743</c:v>
                </c:pt>
                <c:pt idx="1908">
                  <c:v>1667.6969548845766</c:v>
                </c:pt>
                <c:pt idx="1909">
                  <c:v>1679.1029255646527</c:v>
                </c:pt>
                <c:pt idx="1910">
                  <c:v>1719.4501615769636</c:v>
                </c:pt>
                <c:pt idx="1911">
                  <c:v>1787.6213266448826</c:v>
                </c:pt>
                <c:pt idx="1912">
                  <c:v>1834.7790155583673</c:v>
                </c:pt>
                <c:pt idx="1913">
                  <c:v>1798.8153491087544</c:v>
                </c:pt>
                <c:pt idx="1914">
                  <c:v>1837.8907481795168</c:v>
                </c:pt>
                <c:pt idx="1915">
                  <c:v>1988.031675504378</c:v>
                </c:pt>
                <c:pt idx="1916">
                  <c:v>2021.226269899252</c:v>
                </c:pt>
                <c:pt idx="1917">
                  <c:v>2126.7070171466112</c:v>
                </c:pt>
                <c:pt idx="1918">
                  <c:v>2250.4383279619219</c:v>
                </c:pt>
                <c:pt idx="1919">
                  <c:v>2199.9725498363155</c:v>
                </c:pt>
                <c:pt idx="1920">
                  <c:v>2177.9464088687614</c:v>
                </c:pt>
                <c:pt idx="1921">
                  <c:v>2210.2652575376742</c:v>
                </c:pt>
                <c:pt idx="1922">
                  <c:v>2251.5010127190262</c:v>
                </c:pt>
                <c:pt idx="1923">
                  <c:v>2353.4581449348784</c:v>
                </c:pt>
                <c:pt idx="1924">
                  <c:v>2442.7489508482249</c:v>
                </c:pt>
                <c:pt idx="1925">
                  <c:v>2597.0398475968354</c:v>
                </c:pt>
                <c:pt idx="1926">
                  <c:v>2605.7051793437772</c:v>
                </c:pt>
                <c:pt idx="1927">
                  <c:v>2547.4855265921155</c:v>
                </c:pt>
                <c:pt idx="1928">
                  <c:v>2611.6071618259257</c:v>
                </c:pt>
                <c:pt idx="1929">
                  <c:v>2430.8742541092161</c:v>
                </c:pt>
                <c:pt idx="1930">
                  <c:v>2338.9939847481755</c:v>
                </c:pt>
                <c:pt idx="1931">
                  <c:v>2234.6674271607194</c:v>
                </c:pt>
                <c:pt idx="1932">
                  <c:v>2481.4545642762669</c:v>
                </c:pt>
                <c:pt idx="1933">
                  <c:v>2307.8112973675516</c:v>
                </c:pt>
                <c:pt idx="1934">
                  <c:v>2273.3182250690238</c:v>
                </c:pt>
                <c:pt idx="1935">
                  <c:v>2461.189581468514</c:v>
                </c:pt>
                <c:pt idx="1936">
                  <c:v>2478.4306892520076</c:v>
                </c:pt>
                <c:pt idx="1937">
                  <c:v>2530.6387118071866</c:v>
                </c:pt>
                <c:pt idx="1938">
                  <c:v>2423.8003683974803</c:v>
                </c:pt>
                <c:pt idx="1939">
                  <c:v>2204.1772474076474</c:v>
                </c:pt>
                <c:pt idx="1940">
                  <c:v>1903.5428125977917</c:v>
                </c:pt>
                <c:pt idx="1941">
                  <c:v>1724.7684813544981</c:v>
                </c:pt>
                <c:pt idx="1942">
                  <c:v>1883.8401270382305</c:v>
                </c:pt>
                <c:pt idx="1943">
                  <c:v>1994.0139038714685</c:v>
                </c:pt>
                <c:pt idx="1944">
                  <c:v>1824.1428914383025</c:v>
                </c:pt>
                <c:pt idx="1945">
                  <c:v>1866.6827841912213</c:v>
                </c:pt>
                <c:pt idx="1946">
                  <c:v>1656.2006608056283</c:v>
                </c:pt>
                <c:pt idx="1947">
                  <c:v>1577.7387560543812</c:v>
                </c:pt>
                <c:pt idx="1948">
                  <c:v>1690.515842706239</c:v>
                </c:pt>
                <c:pt idx="1949">
                  <c:v>1786.8898104240257</c:v>
                </c:pt>
                <c:pt idx="1950">
                  <c:v>1877.9096300791666</c:v>
                </c:pt>
                <c:pt idx="1951">
                  <c:v>1825.4611979852791</c:v>
                </c:pt>
                <c:pt idx="1952">
                  <c:v>1759.688701514282</c:v>
                </c:pt>
                <c:pt idx="1953">
                  <c:v>1816.5266290659451</c:v>
                </c:pt>
                <c:pt idx="1954">
                  <c:v>1944.9867431872065</c:v>
                </c:pt>
                <c:pt idx="1955">
                  <c:v>1948.729896490921</c:v>
                </c:pt>
                <c:pt idx="1956">
                  <c:v>2093.7829138783113</c:v>
                </c:pt>
                <c:pt idx="1957">
                  <c:v>2105.1083426521218</c:v>
                </c:pt>
                <c:pt idx="1958">
                  <c:v>2070.8892917640578</c:v>
                </c:pt>
                <c:pt idx="1959">
                  <c:v>2168.9530608918035</c:v>
                </c:pt>
                <c:pt idx="1960">
                  <c:v>2243.4544790166351</c:v>
                </c:pt>
                <c:pt idx="1961">
                  <c:v>2277.5172962686997</c:v>
                </c:pt>
                <c:pt idx="1962">
                  <c:v>2255.2216084278803</c:v>
                </c:pt>
                <c:pt idx="1963">
                  <c:v>2289.1213253811316</c:v>
                </c:pt>
                <c:pt idx="1964">
                  <c:v>2318.9495034537981</c:v>
                </c:pt>
                <c:pt idx="1965">
                  <c:v>2334.728020733166</c:v>
                </c:pt>
                <c:pt idx="1966">
                  <c:v>2262.0622589017626</c:v>
                </c:pt>
                <c:pt idx="1967">
                  <c:v>2220.8424947286412</c:v>
                </c:pt>
                <c:pt idx="1968">
                  <c:v>2282.4647274183953</c:v>
                </c:pt>
                <c:pt idx="1969">
                  <c:v>2248.5450641892608</c:v>
                </c:pt>
                <c:pt idx="1970">
                  <c:v>2238.950179876641</c:v>
                </c:pt>
                <c:pt idx="1971">
                  <c:v>2376.9198973548082</c:v>
                </c:pt>
                <c:pt idx="1972">
                  <c:v>2360.4465686063213</c:v>
                </c:pt>
                <c:pt idx="1973">
                  <c:v>2395.2608763415392</c:v>
                </c:pt>
                <c:pt idx="1974">
                  <c:v>2411.6109378291776</c:v>
                </c:pt>
                <c:pt idx="1975">
                  <c:v>2360.5624900751827</c:v>
                </c:pt>
                <c:pt idx="1976">
                  <c:v>2398.5652739158099</c:v>
                </c:pt>
                <c:pt idx="1977">
                  <c:v>2415.4657394966925</c:v>
                </c:pt>
                <c:pt idx="1978">
                  <c:v>2543.8172051326023</c:v>
                </c:pt>
                <c:pt idx="1979">
                  <c:v>2624.1477137616739</c:v>
                </c:pt>
                <c:pt idx="1980">
                  <c:v>2715.7320478175393</c:v>
                </c:pt>
                <c:pt idx="1981">
                  <c:v>2749.3251159573852</c:v>
                </c:pt>
                <c:pt idx="1982">
                  <c:v>2774.395681527697</c:v>
                </c:pt>
                <c:pt idx="1983">
                  <c:v>2778.4294482354512</c:v>
                </c:pt>
                <c:pt idx="1984">
                  <c:v>3044.6817995576489</c:v>
                </c:pt>
                <c:pt idx="1985">
                  <c:v>3404.2046940949926</c:v>
                </c:pt>
                <c:pt idx="1986">
                  <c:v>3375.5114363998428</c:v>
                </c:pt>
                <c:pt idx="1987">
                  <c:v>3819.5975483154516</c:v>
                </c:pt>
                <c:pt idx="1988">
                  <c:v>4067.6897207465495</c:v>
                </c:pt>
                <c:pt idx="1989">
                  <c:v>3862.5771037886248</c:v>
                </c:pt>
                <c:pt idx="1990">
                  <c:v>3850.5710482047384</c:v>
                </c:pt>
                <c:pt idx="1991">
                  <c:v>4317.6874021532813</c:v>
                </c:pt>
                <c:pt idx="1992">
                  <c:v>5048.1031118130468</c:v>
                </c:pt>
                <c:pt idx="1993">
                  <c:v>4868.1541596162006</c:v>
                </c:pt>
                <c:pt idx="1994">
                  <c:v>5362.9564545977073</c:v>
                </c:pt>
                <c:pt idx="1995">
                  <c:v>4985.504076103949</c:v>
                </c:pt>
                <c:pt idx="1996">
                  <c:v>4869.3488684558206</c:v>
                </c:pt>
                <c:pt idx="1997">
                  <c:v>5138.0785654028596</c:v>
                </c:pt>
                <c:pt idx="1998">
                  <c:v>4799.5514423567174</c:v>
                </c:pt>
                <c:pt idx="1999">
                  <c:v>4763.1938665239586</c:v>
                </c:pt>
                <c:pt idx="2000">
                  <c:v>5157.8040755296115</c:v>
                </c:pt>
                <c:pt idx="2001">
                  <c:v>5199.938348249545</c:v>
                </c:pt>
                <c:pt idx="2002">
                  <c:v>6029.4557513727568</c:v>
                </c:pt>
                <c:pt idx="2003">
                  <c:v>6210.9849085514843</c:v>
                </c:pt>
                <c:pt idx="2004">
                  <c:v>6746.6116612122687</c:v>
                </c:pt>
                <c:pt idx="2005">
                  <c:v>7890.370809258694</c:v>
                </c:pt>
                <c:pt idx="2006">
                  <c:v>8042.9346041553081</c:v>
                </c:pt>
                <c:pt idx="2007">
                  <c:v>9329.5690615957446</c:v>
                </c:pt>
                <c:pt idx="2008">
                  <c:v>11835.756990436437</c:v>
                </c:pt>
                <c:pt idx="2009">
                  <c:v>8440.6486563581457</c:v>
                </c:pt>
                <c:pt idx="2010">
                  <c:v>5850.8116328235174</c:v>
                </c:pt>
                <c:pt idx="2011">
                  <c:v>6888.5795464518187</c:v>
                </c:pt>
                <c:pt idx="2012">
                  <c:v>6838.3771438230578</c:v>
                </c:pt>
                <c:pt idx="2013">
                  <c:v>7287.0586916812326</c:v>
                </c:pt>
                <c:pt idx="2014">
                  <c:v>6958.4366423435604</c:v>
                </c:pt>
                <c:pt idx="2015">
                  <c:v>8425.3146679558795</c:v>
                </c:pt>
                <c:pt idx="2016">
                  <c:v>8234.9220205864694</c:v>
                </c:pt>
                <c:pt idx="2017">
                  <c:v>9129.6859902083197</c:v>
                </c:pt>
                <c:pt idx="2018">
                  <c:v>9151.1492175597468</c:v>
                </c:pt>
                <c:pt idx="2019">
                  <c:v>9512.8694623441079</c:v>
                </c:pt>
                <c:pt idx="2020">
                  <c:v>11682.76608771047</c:v>
                </c:pt>
                <c:pt idx="2021">
                  <c:v>11519.143507088207</c:v>
                </c:pt>
                <c:pt idx="2022">
                  <c:v>10670.978224121376</c:v>
                </c:pt>
                <c:pt idx="2023">
                  <c:v>11812.945591801394</c:v>
                </c:pt>
                <c:pt idx="2024">
                  <c:v>11906.222104613735</c:v>
                </c:pt>
                <c:pt idx="2025">
                  <c:v>12216.940099507156</c:v>
                </c:pt>
                <c:pt idx="2026">
                  <c:v>10831.733839456274</c:v>
                </c:pt>
                <c:pt idx="2027">
                  <c:v>10501.401661261916</c:v>
                </c:pt>
                <c:pt idx="2028">
                  <c:v>9847.4794994647345</c:v>
                </c:pt>
                <c:pt idx="2029">
                  <c:v>7188.3867906678142</c:v>
                </c:pt>
                <c:pt idx="2030">
                  <c:v>8544.1655096239974</c:v>
                </c:pt>
                <c:pt idx="2031">
                  <c:v>9297.0795275047749</c:v>
                </c:pt>
                <c:pt idx="2032">
                  <c:v>9134.0127957572331</c:v>
                </c:pt>
                <c:pt idx="2033">
                  <c:v>9199.0984336871206</c:v>
                </c:pt>
                <c:pt idx="2034">
                  <c:v>9752.6071506063799</c:v>
                </c:pt>
                <c:pt idx="2035">
                  <c:v>10138.377837244634</c:v>
                </c:pt>
                <c:pt idx="2036">
                  <c:v>10176.921976913203</c:v>
                </c:pt>
                <c:pt idx="2037">
                  <c:v>10525.676838814759</c:v>
                </c:pt>
                <c:pt idx="2038">
                  <c:v>9985.8006580018791</c:v>
                </c:pt>
                <c:pt idx="2039">
                  <c:v>9558.4197131745586</c:v>
                </c:pt>
                <c:pt idx="2040">
                  <c:v>8494.462879249857</c:v>
                </c:pt>
                <c:pt idx="2041">
                  <c:v>8052.609151844058</c:v>
                </c:pt>
                <c:pt idx="2042">
                  <c:v>8910.4203463517078</c:v>
                </c:pt>
                <c:pt idx="2043">
                  <c:v>8890.869255694839</c:v>
                </c:pt>
                <c:pt idx="2044">
                  <c:v>8966.5825081637249</c:v>
                </c:pt>
                <c:pt idx="2045">
                  <c:v>8698.3882012487429</c:v>
                </c:pt>
                <c:pt idx="2046">
                  <c:v>8303.387127528038</c:v>
                </c:pt>
                <c:pt idx="2047">
                  <c:v>8776.2764734535849</c:v>
                </c:pt>
                <c:pt idx="2048">
                  <c:v>9433.0989419370744</c:v>
                </c:pt>
                <c:pt idx="2049">
                  <c:v>9040.5821688281194</c:v>
                </c:pt>
                <c:pt idx="2050">
                  <c:v>9249.8476037682685</c:v>
                </c:pt>
                <c:pt idx="2051">
                  <c:v>8946.2531642366157</c:v>
                </c:pt>
                <c:pt idx="2052">
                  <c:v>8760.071356109418</c:v>
                </c:pt>
                <c:pt idx="2053">
                  <c:v>9211.2641870008683</c:v>
                </c:pt>
                <c:pt idx="2054">
                  <c:v>8426.7957861090472</c:v>
                </c:pt>
                <c:pt idx="2055">
                  <c:v>7839.0743872466574</c:v>
                </c:pt>
                <c:pt idx="2056">
                  <c:v>7631.5727474653868</c:v>
                </c:pt>
                <c:pt idx="2057">
                  <c:v>7841.155200655332</c:v>
                </c:pt>
                <c:pt idx="2058">
                  <c:v>7653.2307758384813</c:v>
                </c:pt>
                <c:pt idx="2059">
                  <c:v>6873.136279968754</c:v>
                </c:pt>
                <c:pt idx="2060">
                  <c:v>6196.3419870876123</c:v>
                </c:pt>
                <c:pt idx="2061">
                  <c:v>5534.3710815438353</c:v>
                </c:pt>
                <c:pt idx="2062">
                  <c:v>6944.849716767304</c:v>
                </c:pt>
                <c:pt idx="2063">
                  <c:v>8014.97776956899</c:v>
                </c:pt>
                <c:pt idx="2064">
                  <c:v>7736.2442150826546</c:v>
                </c:pt>
                <c:pt idx="2065">
                  <c:v>10551.546605206597</c:v>
                </c:pt>
                <c:pt idx="2066">
                  <c:v>9943.8894097541888</c:v>
                </c:pt>
                <c:pt idx="2067">
                  <c:v>11228.256931090886</c:v>
                </c:pt>
                <c:pt idx="2068">
                  <c:v>10778.416279637884</c:v>
                </c:pt>
                <c:pt idx="2069">
                  <c:v>10886.698696745796</c:v>
                </c:pt>
                <c:pt idx="2070">
                  <c:v>9776.4889546154263</c:v>
                </c:pt>
                <c:pt idx="2071">
                  <c:v>9429.6401423004954</c:v>
                </c:pt>
                <c:pt idx="2072">
                  <c:v>10581.240050773873</c:v>
                </c:pt>
                <c:pt idx="2073">
                  <c:v>11114.682710541443</c:v>
                </c:pt>
                <c:pt idx="2074">
                  <c:v>10495.731233264649</c:v>
                </c:pt>
                <c:pt idx="2075">
                  <c:v>10793.967444588125</c:v>
                </c:pt>
                <c:pt idx="2076">
                  <c:v>11529.93325787407</c:v>
                </c:pt>
                <c:pt idx="2077">
                  <c:v>10523.640748069512</c:v>
                </c:pt>
                <c:pt idx="2078">
                  <c:v>10635.279474889303</c:v>
                </c:pt>
                <c:pt idx="2079">
                  <c:v>11247.76195983964</c:v>
                </c:pt>
                <c:pt idx="2080">
                  <c:v>11694.214340274038</c:v>
                </c:pt>
                <c:pt idx="2081">
                  <c:v>14531.308240740569</c:v>
                </c:pt>
                <c:pt idx="2082">
                  <c:v>14039.369952335574</c:v>
                </c:pt>
                <c:pt idx="2083">
                  <c:v>15184.006008692055</c:v>
                </c:pt>
                <c:pt idx="2084">
                  <c:v>15639.850229323512</c:v>
                </c:pt>
                <c:pt idx="2085">
                  <c:v>15123.556269361474</c:v>
                </c:pt>
                <c:pt idx="2086">
                  <c:v>15737.082210605004</c:v>
                </c:pt>
                <c:pt idx="2087">
                  <c:v>17700.612465170278</c:v>
                </c:pt>
                <c:pt idx="2088">
                  <c:v>20433.465632490348</c:v>
                </c:pt>
                <c:pt idx="2089">
                  <c:v>21666.923519900676</c:v>
                </c:pt>
                <c:pt idx="2090">
                  <c:v>24686.099449986417</c:v>
                </c:pt>
                <c:pt idx="2091">
                  <c:v>22700.916790077546</c:v>
                </c:pt>
                <c:pt idx="2092">
                  <c:v>24669.697809029247</c:v>
                </c:pt>
                <c:pt idx="2093">
                  <c:v>24409.976625075211</c:v>
                </c:pt>
                <c:pt idx="2094">
                  <c:v>22933.456090908901</c:v>
                </c:pt>
                <c:pt idx="2095">
                  <c:v>22137.361782478059</c:v>
                </c:pt>
                <c:pt idx="2096">
                  <c:v>22008.057091894974</c:v>
                </c:pt>
                <c:pt idx="2097">
                  <c:v>19950.920249057483</c:v>
                </c:pt>
                <c:pt idx="2098">
                  <c:v>21841.413662934894</c:v>
                </c:pt>
                <c:pt idx="2099">
                  <c:v>22348.131477010251</c:v>
                </c:pt>
                <c:pt idx="2100">
                  <c:v>24883.722497219551</c:v>
                </c:pt>
                <c:pt idx="2101">
                  <c:v>24696.664380845363</c:v>
                </c:pt>
                <c:pt idx="2102">
                  <c:v>24113.219213601733</c:v>
                </c:pt>
                <c:pt idx="2103">
                  <c:v>24127.663804368476</c:v>
                </c:pt>
                <c:pt idx="2104">
                  <c:v>24890.469750813856</c:v>
                </c:pt>
                <c:pt idx="2105">
                  <c:v>27025.045686920454</c:v>
                </c:pt>
                <c:pt idx="2106">
                  <c:v>26900.276315952964</c:v>
                </c:pt>
                <c:pt idx="2107">
                  <c:v>28782.464507125311</c:v>
                </c:pt>
                <c:pt idx="2108">
                  <c:v>30982.173527098981</c:v>
                </c:pt>
                <c:pt idx="2109">
                  <c:v>27613.081778256943</c:v>
                </c:pt>
                <c:pt idx="2110">
                  <c:v>26581.690285218832</c:v>
                </c:pt>
                <c:pt idx="2111">
                  <c:v>21546.041830307462</c:v>
                </c:pt>
                <c:pt idx="2112">
                  <c:v>25771.368540770138</c:v>
                </c:pt>
                <c:pt idx="2113">
                  <c:v>25948.33553101755</c:v>
                </c:pt>
                <c:pt idx="2114">
                  <c:v>26898.022468391438</c:v>
                </c:pt>
                <c:pt idx="2115">
                  <c:v>22792.158858965518</c:v>
                </c:pt>
                <c:pt idx="2116">
                  <c:v>22314.085783572478</c:v>
                </c:pt>
                <c:pt idx="2117">
                  <c:v>23088.952301283185</c:v>
                </c:pt>
                <c:pt idx="2118">
                  <c:v>23327.615007570268</c:v>
                </c:pt>
                <c:pt idx="2119">
                  <c:v>21610.587727817092</c:v>
                </c:pt>
                <c:pt idx="2120">
                  <c:v>20455.005944666664</c:v>
                </c:pt>
                <c:pt idx="2121">
                  <c:v>20083.728065026953</c:v>
                </c:pt>
                <c:pt idx="2122">
                  <c:v>22535.424770785565</c:v>
                </c:pt>
                <c:pt idx="2123">
                  <c:v>21613.911517728764</c:v>
                </c:pt>
                <c:pt idx="2124">
                  <c:v>22557.746228378524</c:v>
                </c:pt>
                <c:pt idx="2125">
                  <c:v>25198.181856539035</c:v>
                </c:pt>
                <c:pt idx="2126">
                  <c:v>24623.391353598457</c:v>
                </c:pt>
                <c:pt idx="2127">
                  <c:v>24448.186895094899</c:v>
                </c:pt>
                <c:pt idx="2128">
                  <c:v>22678.723248651593</c:v>
                </c:pt>
                <c:pt idx="2129">
                  <c:v>22418.418301208156</c:v>
                </c:pt>
                <c:pt idx="2130">
                  <c:v>23622.014246072773</c:v>
                </c:pt>
                <c:pt idx="2131">
                  <c:v>23560.830235624901</c:v>
                </c:pt>
                <c:pt idx="2132">
                  <c:v>25001.416704229432</c:v>
                </c:pt>
                <c:pt idx="2133">
                  <c:v>24686.357643184449</c:v>
                </c:pt>
                <c:pt idx="2134">
                  <c:v>27062.099148784375</c:v>
                </c:pt>
                <c:pt idx="2135">
                  <c:v>26464.574723737325</c:v>
                </c:pt>
                <c:pt idx="2136">
                  <c:v>27391.654374632042</c:v>
                </c:pt>
                <c:pt idx="2137">
                  <c:v>28401.72998853536</c:v>
                </c:pt>
                <c:pt idx="2138">
                  <c:v>29326.057175033038</c:v>
                </c:pt>
                <c:pt idx="2139">
                  <c:v>29462.334552082266</c:v>
                </c:pt>
                <c:pt idx="2140">
                  <c:v>28285.539242770301</c:v>
                </c:pt>
                <c:pt idx="2141">
                  <c:v>27746.776584835938</c:v>
                </c:pt>
                <c:pt idx="2142">
                  <c:v>28600.476573472712</c:v>
                </c:pt>
                <c:pt idx="2143">
                  <c:v>28852.313524559864</c:v>
                </c:pt>
                <c:pt idx="2144">
                  <c:v>29433.77139805691</c:v>
                </c:pt>
                <c:pt idx="2145">
                  <c:v>31485.828877754873</c:v>
                </c:pt>
                <c:pt idx="2146">
                  <c:v>33626.396323532972</c:v>
                </c:pt>
                <c:pt idx="2147">
                  <c:v>33367.252027690993</c:v>
                </c:pt>
                <c:pt idx="2148">
                  <c:v>34089.81675226496</c:v>
                </c:pt>
                <c:pt idx="2149">
                  <c:v>44512.272153929734</c:v>
                </c:pt>
                <c:pt idx="2150">
                  <c:v>43963.373236070503</c:v>
                </c:pt>
                <c:pt idx="2151">
                  <c:v>46543.607131230572</c:v>
                </c:pt>
                <c:pt idx="2152">
                  <c:v>44309.356224276096</c:v>
                </c:pt>
                <c:pt idx="2153">
                  <c:v>43480.536622099571</c:v>
                </c:pt>
                <c:pt idx="2154">
                  <c:v>41953.982728545416</c:v>
                </c:pt>
                <c:pt idx="2155">
                  <c:v>43147.828136384574</c:v>
                </c:pt>
                <c:pt idx="2156">
                  <c:v>44003.298618699351</c:v>
                </c:pt>
                <c:pt idx="2157">
                  <c:v>49739.886701299161</c:v>
                </c:pt>
                <c:pt idx="2158">
                  <c:v>48183.674171779428</c:v>
                </c:pt>
                <c:pt idx="2159">
                  <c:v>48816.405039275858</c:v>
                </c:pt>
                <c:pt idx="2160">
                  <c:v>43760.306429895478</c:v>
                </c:pt>
                <c:pt idx="2161">
                  <c:v>40896.528843061424</c:v>
                </c:pt>
                <c:pt idx="2162">
                  <c:v>44814.351707673995</c:v>
                </c:pt>
                <c:pt idx="2163">
                  <c:v>47652.940093597288</c:v>
                </c:pt>
                <c:pt idx="2164">
                  <c:v>45774.077558185469</c:v>
                </c:pt>
                <c:pt idx="2165">
                  <c:v>44805.079732476406</c:v>
                </c:pt>
                <c:pt idx="2166">
                  <c:v>50071.004604193855</c:v>
                </c:pt>
                <c:pt idx="2167">
                  <c:v>50238.03314282983</c:v>
                </c:pt>
                <c:pt idx="2168">
                  <c:v>54695.334124861081</c:v>
                </c:pt>
                <c:pt idx="2169">
                  <c:v>60875.885879795831</c:v>
                </c:pt>
                <c:pt idx="2170">
                  <c:v>64185.35430367315</c:v>
                </c:pt>
                <c:pt idx="2171">
                  <c:v>65600.448582583616</c:v>
                </c:pt>
                <c:pt idx="2172">
                  <c:v>69187.120231697234</c:v>
                </c:pt>
                <c:pt idx="2173">
                  <c:v>69271.946054444037</c:v>
                </c:pt>
                <c:pt idx="2174">
                  <c:v>65279.114599225904</c:v>
                </c:pt>
                <c:pt idx="2175">
                  <c:v>68358.070779165471</c:v>
                </c:pt>
                <c:pt idx="2176">
                  <c:v>69501.913054434553</c:v>
                </c:pt>
                <c:pt idx="2177">
                  <c:v>67253.973804543406</c:v>
                </c:pt>
                <c:pt idx="2178">
                  <c:v>60856.035930657672</c:v>
                </c:pt>
                <c:pt idx="2179">
                  <c:v>52236.46249495486</c:v>
                </c:pt>
                <c:pt idx="2180">
                  <c:v>50415.097608786455</c:v>
                </c:pt>
                <c:pt idx="2181">
                  <c:v>59113.867785136244</c:v>
                </c:pt>
                <c:pt idx="2182">
                  <c:v>62807.6802211861</c:v>
                </c:pt>
                <c:pt idx="2183">
                  <c:v>67459.641985769063</c:v>
                </c:pt>
                <c:pt idx="2184">
                  <c:v>79300.208170037891</c:v>
                </c:pt>
                <c:pt idx="2185">
                  <c:v>71777.768139980064</c:v>
                </c:pt>
                <c:pt idx="2186">
                  <c:v>76954.770951158294</c:v>
                </c:pt>
                <c:pt idx="2187">
                  <c:v>79896.071199335347</c:v>
                </c:pt>
                <c:pt idx="2188">
                  <c:v>81609.947511871884</c:v>
                </c:pt>
                <c:pt idx="2189">
                  <c:v>83083.618268852559</c:v>
                </c:pt>
                <c:pt idx="2190">
                  <c:v>84579.128121429036</c:v>
                </c:pt>
                <c:pt idx="2191">
                  <c:v>81751.297975527981</c:v>
                </c:pt>
                <c:pt idx="2192">
                  <c:v>84256.39686897902</c:v>
                </c:pt>
                <c:pt idx="2193">
                  <c:v>95856.066713276188</c:v>
                </c:pt>
                <c:pt idx="2194">
                  <c:v>111528.63696158185</c:v>
                </c:pt>
                <c:pt idx="2195">
                  <c:v>113967.91041758217</c:v>
                </c:pt>
                <c:pt idx="2196">
                  <c:v>129088.46327588706</c:v>
                </c:pt>
                <c:pt idx="2197">
                  <c:v>133785.37276439223</c:v>
                </c:pt>
                <c:pt idx="2198">
                  <c:v>118115.416664622</c:v>
                </c:pt>
                <c:pt idx="2199">
                  <c:v>143320.77878359071</c:v>
                </c:pt>
                <c:pt idx="2200">
                  <c:v>141842.23811387297</c:v>
                </c:pt>
                <c:pt idx="2201">
                  <c:v>150638.45647871488</c:v>
                </c:pt>
                <c:pt idx="2202">
                  <c:v>156055.20117564252</c:v>
                </c:pt>
                <c:pt idx="2203">
                  <c:v>173728.00757023937</c:v>
                </c:pt>
                <c:pt idx="2204">
                  <c:v>222779.76505692382</c:v>
                </c:pt>
                <c:pt idx="2205">
                  <c:v>279017.37622419413</c:v>
                </c:pt>
                <c:pt idx="2206">
                  <c:v>267079.50091014121</c:v>
                </c:pt>
                <c:pt idx="2207">
                  <c:v>211663.67912444266</c:v>
                </c:pt>
                <c:pt idx="2208">
                  <c:v>303190.60997653793</c:v>
                </c:pt>
                <c:pt idx="2209">
                  <c:v>293553.28405543143</c:v>
                </c:pt>
                <c:pt idx="2210">
                  <c:v>296557.56841146131</c:v>
                </c:pt>
                <c:pt idx="2211">
                  <c:v>300305.3546926264</c:v>
                </c:pt>
                <c:pt idx="2212">
                  <c:v>291307.49235174147</c:v>
                </c:pt>
                <c:pt idx="2213">
                  <c:v>291359.78900322033</c:v>
                </c:pt>
                <c:pt idx="2214">
                  <c:v>304323.63586424332</c:v>
                </c:pt>
                <c:pt idx="2215">
                  <c:v>305556.63333018869</c:v>
                </c:pt>
                <c:pt idx="2216">
                  <c:v>305130.97434603644</c:v>
                </c:pt>
                <c:pt idx="2217">
                  <c:v>315647.34868095547</c:v>
                </c:pt>
                <c:pt idx="2218">
                  <c:v>321670.43420385534</c:v>
                </c:pt>
                <c:pt idx="2219">
                  <c:v>355953.72242378141</c:v>
                </c:pt>
                <c:pt idx="2220">
                  <c:v>342973.70364490902</c:v>
                </c:pt>
                <c:pt idx="2221">
                  <c:v>351373.86905053398</c:v>
                </c:pt>
                <c:pt idx="2222">
                  <c:v>362123.2852769593</c:v>
                </c:pt>
                <c:pt idx="2223">
                  <c:v>343585.99939042708</c:v>
                </c:pt>
                <c:pt idx="2224">
                  <c:v>320447.99820391735</c:v>
                </c:pt>
                <c:pt idx="2225">
                  <c:v>340946.5780414404</c:v>
                </c:pt>
                <c:pt idx="2226">
                  <c:v>336372.71503026964</c:v>
                </c:pt>
                <c:pt idx="2227">
                  <c:v>358473.36557000258</c:v>
                </c:pt>
                <c:pt idx="2228">
                  <c:v>363945.44129566022</c:v>
                </c:pt>
                <c:pt idx="2229">
                  <c:v>357021.8825974249</c:v>
                </c:pt>
                <c:pt idx="2230">
                  <c:v>359306.8882616334</c:v>
                </c:pt>
                <c:pt idx="2231">
                  <c:v>333902.64200689236</c:v>
                </c:pt>
                <c:pt idx="2232">
                  <c:v>331427.77195911558</c:v>
                </c:pt>
                <c:pt idx="2233">
                  <c:v>328509.5254046878</c:v>
                </c:pt>
                <c:pt idx="2234">
                  <c:v>311281.36575681739</c:v>
                </c:pt>
                <c:pt idx="2235">
                  <c:v>310467.78668894002</c:v>
                </c:pt>
                <c:pt idx="2236">
                  <c:v>325845.93730830407</c:v>
                </c:pt>
                <c:pt idx="2237">
                  <c:v>334002.88224597438</c:v>
                </c:pt>
                <c:pt idx="2238">
                  <c:v>351367.28880902805</c:v>
                </c:pt>
                <c:pt idx="2239">
                  <c:v>363595.23185013217</c:v>
                </c:pt>
                <c:pt idx="2240">
                  <c:v>359062.60325864173</c:v>
                </c:pt>
                <c:pt idx="2241">
                  <c:v>351203.35886794026</c:v>
                </c:pt>
                <c:pt idx="2242">
                  <c:v>348359.95394619281</c:v>
                </c:pt>
                <c:pt idx="2243">
                  <c:v>360570.80694676819</c:v>
                </c:pt>
                <c:pt idx="2244">
                  <c:v>370464.40320126608</c:v>
                </c:pt>
                <c:pt idx="2245">
                  <c:v>424381.69279125467</c:v>
                </c:pt>
                <c:pt idx="2246">
                  <c:v>402053.0374434035</c:v>
                </c:pt>
                <c:pt idx="2247">
                  <c:v>409846.62035651167</c:v>
                </c:pt>
                <c:pt idx="2248">
                  <c:v>392926.97276614117</c:v>
                </c:pt>
                <c:pt idx="2249">
                  <c:v>376371.7184438986</c:v>
                </c:pt>
                <c:pt idx="2250">
                  <c:v>398695.26398018817</c:v>
                </c:pt>
                <c:pt idx="2251">
                  <c:v>417346.23029774497</c:v>
                </c:pt>
                <c:pt idx="2252">
                  <c:v>421707.69211195823</c:v>
                </c:pt>
                <c:pt idx="2253">
                  <c:v>398015.89189025573</c:v>
                </c:pt>
                <c:pt idx="2254">
                  <c:v>400617.54546185583</c:v>
                </c:pt>
                <c:pt idx="2255">
                  <c:v>414260.01246284565</c:v>
                </c:pt>
                <c:pt idx="2256">
                  <c:v>401148.95171693567</c:v>
                </c:pt>
                <c:pt idx="2257">
                  <c:v>401885.37903284241</c:v>
                </c:pt>
                <c:pt idx="2258">
                  <c:v>415165.70417826867</c:v>
                </c:pt>
                <c:pt idx="2259">
                  <c:v>450374.57779668679</c:v>
                </c:pt>
                <c:pt idx="2260">
                  <c:v>448384.63737765438</c:v>
                </c:pt>
                <c:pt idx="2261">
                  <c:v>495458.14084786264</c:v>
                </c:pt>
                <c:pt idx="2262">
                  <c:v>519175.16610814212</c:v>
                </c:pt>
                <c:pt idx="2263">
                  <c:v>477514.91349858098</c:v>
                </c:pt>
                <c:pt idx="2264">
                  <c:v>524512.98903610895</c:v>
                </c:pt>
                <c:pt idx="2265">
                  <c:v>638227.0070644347</c:v>
                </c:pt>
                <c:pt idx="2266">
                  <c:v>555143.61356880201</c:v>
                </c:pt>
                <c:pt idx="2267">
                  <c:v>509080.61518370896</c:v>
                </c:pt>
                <c:pt idx="2268">
                  <c:v>517561.75355432491</c:v>
                </c:pt>
                <c:pt idx="2269">
                  <c:v>473863.27138058643</c:v>
                </c:pt>
                <c:pt idx="2270">
                  <c:v>506124.37320560071</c:v>
                </c:pt>
                <c:pt idx="2271">
                  <c:v>489932.48352495622</c:v>
                </c:pt>
                <c:pt idx="2272">
                  <c:v>482658.60803999787</c:v>
                </c:pt>
                <c:pt idx="2273">
                  <c:v>475757.27724409563</c:v>
                </c:pt>
                <c:pt idx="2274">
                  <c:v>439417.40721526428</c:v>
                </c:pt>
                <c:pt idx="2275">
                  <c:v>428303.47743914038</c:v>
                </c:pt>
                <c:pt idx="2276">
                  <c:v>413207.66769936937</c:v>
                </c:pt>
                <c:pt idx="2277">
                  <c:v>401926.77616548009</c:v>
                </c:pt>
                <c:pt idx="2278">
                  <c:v>411302.30465264193</c:v>
                </c:pt>
                <c:pt idx="2279">
                  <c:v>386695.13111961685</c:v>
                </c:pt>
                <c:pt idx="2280">
                  <c:v>401571.70510615705</c:v>
                </c:pt>
                <c:pt idx="2281">
                  <c:v>404272.11380433728</c:v>
                </c:pt>
                <c:pt idx="2282">
                  <c:v>430016.30312756111</c:v>
                </c:pt>
                <c:pt idx="2283">
                  <c:v>414035.36245026841</c:v>
                </c:pt>
                <c:pt idx="2284">
                  <c:v>436393.58869635407</c:v>
                </c:pt>
                <c:pt idx="2285">
                  <c:v>438968.00683450582</c:v>
                </c:pt>
                <c:pt idx="2286">
                  <c:v>419146.38360589003</c:v>
                </c:pt>
                <c:pt idx="2287">
                  <c:v>402541.15135957359</c:v>
                </c:pt>
                <c:pt idx="2288">
                  <c:v>416084.83716628182</c:v>
                </c:pt>
                <c:pt idx="2289">
                  <c:v>401484.95348573761</c:v>
                </c:pt>
                <c:pt idx="2290">
                  <c:v>392524.35638969106</c:v>
                </c:pt>
                <c:pt idx="2291">
                  <c:v>395999.30720606318</c:v>
                </c:pt>
                <c:pt idx="2292">
                  <c:v>388748.8944188563</c:v>
                </c:pt>
                <c:pt idx="2293">
                  <c:v>393358.16580683703</c:v>
                </c:pt>
                <c:pt idx="2294">
                  <c:v>412642.42135500378</c:v>
                </c:pt>
                <c:pt idx="2295">
                  <c:v>435293.91187347099</c:v>
                </c:pt>
                <c:pt idx="2296">
                  <c:v>465972.26080793515</c:v>
                </c:pt>
                <c:pt idx="2297">
                  <c:v>444126.45797540288</c:v>
                </c:pt>
                <c:pt idx="2298">
                  <c:v>465178.73460235324</c:v>
                </c:pt>
                <c:pt idx="2299">
                  <c:v>440012.45277466177</c:v>
                </c:pt>
                <c:pt idx="2300">
                  <c:v>448336.41664101434</c:v>
                </c:pt>
                <c:pt idx="2301">
                  <c:v>455473.60861164884</c:v>
                </c:pt>
                <c:pt idx="2302">
                  <c:v>506957.38824450813</c:v>
                </c:pt>
                <c:pt idx="2303">
                  <c:v>491980.96011580084</c:v>
                </c:pt>
                <c:pt idx="2304">
                  <c:v>492352.71341584233</c:v>
                </c:pt>
                <c:pt idx="2305">
                  <c:v>512194.8838632424</c:v>
                </c:pt>
                <c:pt idx="2306">
                  <c:v>487241.27858602966</c:v>
                </c:pt>
                <c:pt idx="2307">
                  <c:v>477006.6498274146</c:v>
                </c:pt>
                <c:pt idx="2308">
                  <c:v>456272.72363288957</c:v>
                </c:pt>
                <c:pt idx="2309">
                  <c:v>458285.36563634302</c:v>
                </c:pt>
                <c:pt idx="2310">
                  <c:v>480295.96212068031</c:v>
                </c:pt>
                <c:pt idx="2311">
                  <c:v>462060.41147825762</c:v>
                </c:pt>
                <c:pt idx="2312">
                  <c:v>475433.47079785576</c:v>
                </c:pt>
                <c:pt idx="2313">
                  <c:v>478260.68943193951</c:v>
                </c:pt>
                <c:pt idx="2314">
                  <c:v>496562.35318211868</c:v>
                </c:pt>
                <c:pt idx="2315">
                  <c:v>500363.42597669049</c:v>
                </c:pt>
                <c:pt idx="2316">
                  <c:v>511748.50327454362</c:v>
                </c:pt>
                <c:pt idx="2317">
                  <c:v>534484.71078101662</c:v>
                </c:pt>
                <c:pt idx="2318">
                  <c:v>545586.12030216097</c:v>
                </c:pt>
                <c:pt idx="2319">
                  <c:v>546722.63287845941</c:v>
                </c:pt>
                <c:pt idx="2320">
                  <c:v>544247.64462266036</c:v>
                </c:pt>
                <c:pt idx="2321">
                  <c:v>523724.18939592422</c:v>
                </c:pt>
                <c:pt idx="2322">
                  <c:v>523185.66250461846</c:v>
                </c:pt>
                <c:pt idx="2323">
                  <c:v>548542.76003720274</c:v>
                </c:pt>
                <c:pt idx="2324">
                  <c:v>556266.70000774693</c:v>
                </c:pt>
                <c:pt idx="2325">
                  <c:v>547268.21138986968</c:v>
                </c:pt>
                <c:pt idx="2326">
                  <c:v>543086.40527680074</c:v>
                </c:pt>
                <c:pt idx="2327">
                  <c:v>535195.69602196827</c:v>
                </c:pt>
                <c:pt idx="2328">
                  <c:v>553565.81848910451</c:v>
                </c:pt>
                <c:pt idx="2329">
                  <c:v>549662.63682586199</c:v>
                </c:pt>
                <c:pt idx="2330">
                  <c:v>544109.12735565391</c:v>
                </c:pt>
                <c:pt idx="2331">
                  <c:v>506473.8742981489</c:v>
                </c:pt>
                <c:pt idx="2332">
                  <c:v>498947.12920311454</c:v>
                </c:pt>
                <c:pt idx="2333">
                  <c:v>495295.76956342731</c:v>
                </c:pt>
                <c:pt idx="2334">
                  <c:v>496532.1076451994</c:v>
                </c:pt>
                <c:pt idx="2335">
                  <c:v>497800.7850271854</c:v>
                </c:pt>
                <c:pt idx="2336">
                  <c:v>500731.09965405462</c:v>
                </c:pt>
                <c:pt idx="2337">
                  <c:v>491275.62550314242</c:v>
                </c:pt>
                <c:pt idx="2338">
                  <c:v>487670.70101866819</c:v>
                </c:pt>
                <c:pt idx="2339">
                  <c:v>466372.42692584626</c:v>
                </c:pt>
                <c:pt idx="2340">
                  <c:v>467797.82518113247</c:v>
                </c:pt>
                <c:pt idx="2341">
                  <c:v>467965.61349115812</c:v>
                </c:pt>
                <c:pt idx="2342">
                  <c:v>454799.354433642</c:v>
                </c:pt>
                <c:pt idx="2343">
                  <c:v>447570.06168472051</c:v>
                </c:pt>
                <c:pt idx="2344">
                  <c:v>466598.03300469095</c:v>
                </c:pt>
                <c:pt idx="2345">
                  <c:v>455345.0557427234</c:v>
                </c:pt>
                <c:pt idx="2346">
                  <c:v>457655.45534904045</c:v>
                </c:pt>
                <c:pt idx="2347">
                  <c:v>449050.2194872353</c:v>
                </c:pt>
                <c:pt idx="2348">
                  <c:v>453468.13469368912</c:v>
                </c:pt>
                <c:pt idx="2349">
                  <c:v>463685.64262986195</c:v>
                </c:pt>
                <c:pt idx="2350">
                  <c:v>459357.54031705874</c:v>
                </c:pt>
                <c:pt idx="2351">
                  <c:v>456007.01655524614</c:v>
                </c:pt>
                <c:pt idx="2352">
                  <c:v>444035.04460617882</c:v>
                </c:pt>
                <c:pt idx="2353">
                  <c:v>438634.10236573959</c:v>
                </c:pt>
                <c:pt idx="2354">
                  <c:v>443120.5155614473</c:v>
                </c:pt>
                <c:pt idx="2355">
                  <c:v>452027.02256103605</c:v>
                </c:pt>
                <c:pt idx="2356">
                  <c:v>452135.40346635389</c:v>
                </c:pt>
                <c:pt idx="2357">
                  <c:v>461145.02016656712</c:v>
                </c:pt>
                <c:pt idx="2358">
                  <c:v>453336.55398890923</c:v>
                </c:pt>
                <c:pt idx="2359">
                  <c:v>463556.49240763683</c:v>
                </c:pt>
                <c:pt idx="2360">
                  <c:v>488931.13109848357</c:v>
                </c:pt>
                <c:pt idx="2361">
                  <c:v>482163.92341618548</c:v>
                </c:pt>
                <c:pt idx="2362">
                  <c:v>482939.61904502677</c:v>
                </c:pt>
                <c:pt idx="2363">
                  <c:v>471834.53727873362</c:v>
                </c:pt>
                <c:pt idx="2364">
                  <c:v>490362.540929418</c:v>
                </c:pt>
                <c:pt idx="2365">
                  <c:v>485831.86984040448</c:v>
                </c:pt>
                <c:pt idx="2366">
                  <c:v>497508.25685802544</c:v>
                </c:pt>
                <c:pt idx="2367">
                  <c:v>489804.25157961628</c:v>
                </c:pt>
                <c:pt idx="2368">
                  <c:v>488937.88421003683</c:v>
                </c:pt>
                <c:pt idx="2369">
                  <c:v>481192.20580801077</c:v>
                </c:pt>
                <c:pt idx="2370">
                  <c:v>485939.62337016413</c:v>
                </c:pt>
                <c:pt idx="2371">
                  <c:v>499826.16886454116</c:v>
                </c:pt>
                <c:pt idx="2372">
                  <c:v>511373.25367532193</c:v>
                </c:pt>
                <c:pt idx="2373">
                  <c:v>514181.91680777259</c:v>
                </c:pt>
                <c:pt idx="2374">
                  <c:v>521648.77766868792</c:v>
                </c:pt>
                <c:pt idx="2375">
                  <c:v>527374.90996753261</c:v>
                </c:pt>
                <c:pt idx="2376">
                  <c:v>531547.42288560094</c:v>
                </c:pt>
                <c:pt idx="2377">
                  <c:v>536369.87230221869</c:v>
                </c:pt>
                <c:pt idx="2378">
                  <c:v>516997.86521788011</c:v>
                </c:pt>
                <c:pt idx="2379">
                  <c:v>516859.84546938015</c:v>
                </c:pt>
                <c:pt idx="2380">
                  <c:v>516558.73947459646</c:v>
                </c:pt>
                <c:pt idx="2381">
                  <c:v>519115.87007126375</c:v>
                </c:pt>
                <c:pt idx="2382">
                  <c:v>512109.54652468453</c:v>
                </c:pt>
                <c:pt idx="2383">
                  <c:v>513592.58474685432</c:v>
                </c:pt>
                <c:pt idx="2384">
                  <c:v>522145.29047580238</c:v>
                </c:pt>
                <c:pt idx="2385">
                  <c:v>512861.75994376326</c:v>
                </c:pt>
                <c:pt idx="2386">
                  <c:v>509341.320764545</c:v>
                </c:pt>
                <c:pt idx="2387">
                  <c:v>512116.20020088356</c:v>
                </c:pt>
                <c:pt idx="2388">
                  <c:v>511004.91911910044</c:v>
                </c:pt>
                <c:pt idx="2389">
                  <c:v>525752.29623859574</c:v>
                </c:pt>
                <c:pt idx="2390">
                  <c:v>555469.7485002086</c:v>
                </c:pt>
                <c:pt idx="2391">
                  <c:v>549955.20896390197</c:v>
                </c:pt>
                <c:pt idx="2392">
                  <c:v>565662.55923556478</c:v>
                </c:pt>
                <c:pt idx="2393">
                  <c:v>570757.65947642585</c:v>
                </c:pt>
                <c:pt idx="2394">
                  <c:v>565066.70146093622</c:v>
                </c:pt>
                <c:pt idx="2395">
                  <c:v>571138.79219020659</c:v>
                </c:pt>
                <c:pt idx="2396">
                  <c:v>568192.05065832753</c:v>
                </c:pt>
                <c:pt idx="2397">
                  <c:v>572758.11834461079</c:v>
                </c:pt>
                <c:pt idx="2398">
                  <c:v>559311.81535489555</c:v>
                </c:pt>
                <c:pt idx="2399">
                  <c:v>562405.27565819048</c:v>
                </c:pt>
                <c:pt idx="2400">
                  <c:v>555786.10649283184</c:v>
                </c:pt>
                <c:pt idx="2401">
                  <c:v>562152.39811017434</c:v>
                </c:pt>
                <c:pt idx="2402">
                  <c:v>598112.4831808958</c:v>
                </c:pt>
                <c:pt idx="2403">
                  <c:v>610329.29627239448</c:v>
                </c:pt>
                <c:pt idx="2404">
                  <c:v>591070.15305855765</c:v>
                </c:pt>
                <c:pt idx="2405">
                  <c:v>586579.19419333362</c:v>
                </c:pt>
                <c:pt idx="2406">
                  <c:v>596084.25173345057</c:v>
                </c:pt>
                <c:pt idx="2407">
                  <c:v>594264.67367254756</c:v>
                </c:pt>
                <c:pt idx="2408">
                  <c:v>608620.10046948481</c:v>
                </c:pt>
                <c:pt idx="2409">
                  <c:v>573717.46659251757</c:v>
                </c:pt>
                <c:pt idx="2410">
                  <c:v>576760.4244422795</c:v>
                </c:pt>
                <c:pt idx="2411">
                  <c:v>578868.32238635502</c:v>
                </c:pt>
                <c:pt idx="2412">
                  <c:v>561036.76116918749</c:v>
                </c:pt>
                <c:pt idx="2413">
                  <c:v>569388.85401296453</c:v>
                </c:pt>
                <c:pt idx="2414">
                  <c:v>560384.6262058646</c:v>
                </c:pt>
                <c:pt idx="2415">
                  <c:v>566169.4556785468</c:v>
                </c:pt>
                <c:pt idx="2416">
                  <c:v>562359.29795631487</c:v>
                </c:pt>
                <c:pt idx="2417">
                  <c:v>552593.99999485048</c:v>
                </c:pt>
                <c:pt idx="2418">
                  <c:v>556038.79962118517</c:v>
                </c:pt>
                <c:pt idx="2419">
                  <c:v>560209.33877860545</c:v>
                </c:pt>
                <c:pt idx="2420">
                  <c:v>577382.27150790289</c:v>
                </c:pt>
                <c:pt idx="2421">
                  <c:v>584640.10085685074</c:v>
                </c:pt>
                <c:pt idx="2422">
                  <c:v>583185.11552592076</c:v>
                </c:pt>
                <c:pt idx="2423">
                  <c:v>584661.39869827719</c:v>
                </c:pt>
                <c:pt idx="2424">
                  <c:v>581150.04806040623</c:v>
                </c:pt>
                <c:pt idx="2425">
                  <c:v>576405.8177631615</c:v>
                </c:pt>
                <c:pt idx="2426">
                  <c:v>562357.88889932411</c:v>
                </c:pt>
                <c:pt idx="2427">
                  <c:v>534719.31887389114</c:v>
                </c:pt>
                <c:pt idx="2428">
                  <c:v>538154.59265879495</c:v>
                </c:pt>
                <c:pt idx="2429">
                  <c:v>536923.4235144736</c:v>
                </c:pt>
                <c:pt idx="2430">
                  <c:v>538172.51020789298</c:v>
                </c:pt>
                <c:pt idx="2431">
                  <c:v>536150.42195719294</c:v>
                </c:pt>
                <c:pt idx="2432">
                  <c:v>525849.05209899449</c:v>
                </c:pt>
                <c:pt idx="2433">
                  <c:v>513720.47913628101</c:v>
                </c:pt>
                <c:pt idx="2434">
                  <c:v>504552.63169964543</c:v>
                </c:pt>
                <c:pt idx="2435">
                  <c:v>505486.80039215373</c:v>
                </c:pt>
                <c:pt idx="2436">
                  <c:v>518779.57783393725</c:v>
                </c:pt>
                <c:pt idx="2437">
                  <c:v>508536.05786517903</c:v>
                </c:pt>
                <c:pt idx="2438">
                  <c:v>507534.10288294847</c:v>
                </c:pt>
                <c:pt idx="2439">
                  <c:v>510123.25984141626</c:v>
                </c:pt>
                <c:pt idx="2440">
                  <c:v>510395.13186197926</c:v>
                </c:pt>
                <c:pt idx="2441">
                  <c:v>532442.76108874462</c:v>
                </c:pt>
                <c:pt idx="2442">
                  <c:v>526704.83308091178</c:v>
                </c:pt>
                <c:pt idx="2443">
                  <c:v>542982.4480673247</c:v>
                </c:pt>
                <c:pt idx="2444">
                  <c:v>537339.46760656603</c:v>
                </c:pt>
                <c:pt idx="2445">
                  <c:v>561887.91171597771</c:v>
                </c:pt>
                <c:pt idx="2446">
                  <c:v>560671.29428266047</c:v>
                </c:pt>
                <c:pt idx="2447">
                  <c:v>559315.1137055119</c:v>
                </c:pt>
                <c:pt idx="2448">
                  <c:v>587383.33701688098</c:v>
                </c:pt>
                <c:pt idx="2449">
                  <c:v>596324.56892874115</c:v>
                </c:pt>
                <c:pt idx="2450">
                  <c:v>588479.17462086515</c:v>
                </c:pt>
                <c:pt idx="2451">
                  <c:v>608803.3707315505</c:v>
                </c:pt>
                <c:pt idx="2452">
                  <c:v>596593.45350890665</c:v>
                </c:pt>
                <c:pt idx="2453">
                  <c:v>587567.2122930662</c:v>
                </c:pt>
                <c:pt idx="2454">
                  <c:v>614567.63984527916</c:v>
                </c:pt>
                <c:pt idx="2455">
                  <c:v>589248.01315330679</c:v>
                </c:pt>
                <c:pt idx="2456">
                  <c:v>591348.33759111096</c:v>
                </c:pt>
                <c:pt idx="2457">
                  <c:v>585941.99038123118</c:v>
                </c:pt>
                <c:pt idx="2458">
                  <c:v>585394.56042453204</c:v>
                </c:pt>
                <c:pt idx="2459">
                  <c:v>592309.61931720574</c:v>
                </c:pt>
                <c:pt idx="2460">
                  <c:v>586140.78198282584</c:v>
                </c:pt>
                <c:pt idx="2461">
                  <c:v>586132.45356060122</c:v>
                </c:pt>
                <c:pt idx="2462">
                  <c:v>575147.99702495197</c:v>
                </c:pt>
                <c:pt idx="2463">
                  <c:v>588341.85181651835</c:v>
                </c:pt>
                <c:pt idx="2464">
                  <c:v>583125.12257362891</c:v>
                </c:pt>
                <c:pt idx="2465">
                  <c:v>573657.0175399523</c:v>
                </c:pt>
                <c:pt idx="2466">
                  <c:v>576620.61420063395</c:v>
                </c:pt>
                <c:pt idx="2467">
                  <c:v>573441.3282076075</c:v>
                </c:pt>
                <c:pt idx="2468">
                  <c:v>561966.2947928512</c:v>
                </c:pt>
                <c:pt idx="2469">
                  <c:v>555563.16718110337</c:v>
                </c:pt>
                <c:pt idx="2470">
                  <c:v>558890.7206511884</c:v>
                </c:pt>
                <c:pt idx="2471">
                  <c:v>560093.7422634773</c:v>
                </c:pt>
                <c:pt idx="2472">
                  <c:v>555874.69861405296</c:v>
                </c:pt>
                <c:pt idx="2473">
                  <c:v>546063.4068267477</c:v>
                </c:pt>
                <c:pt idx="2474">
                  <c:v>545959.23019752721</c:v>
                </c:pt>
                <c:pt idx="2475">
                  <c:v>543759.06937601941</c:v>
                </c:pt>
                <c:pt idx="2476">
                  <c:v>540736.69316169119</c:v>
                </c:pt>
                <c:pt idx="2477">
                  <c:v>585679.2632696915</c:v>
                </c:pt>
                <c:pt idx="2478">
                  <c:v>580900.68078807101</c:v>
                </c:pt>
                <c:pt idx="2479">
                  <c:v>581557.78304062644</c:v>
                </c:pt>
                <c:pt idx="2480">
                  <c:v>598158.9570192151</c:v>
                </c:pt>
                <c:pt idx="2481">
                  <c:v>591378.14179200737</c:v>
                </c:pt>
                <c:pt idx="2482">
                  <c:v>591189.03647046164</c:v>
                </c:pt>
                <c:pt idx="2483">
                  <c:v>595561.49511749728</c:v>
                </c:pt>
                <c:pt idx="2484">
                  <c:v>587710.44519486383</c:v>
                </c:pt>
                <c:pt idx="2485">
                  <c:v>580794.13412970456</c:v>
                </c:pt>
                <c:pt idx="2486">
                  <c:v>581755.73838889832</c:v>
                </c:pt>
                <c:pt idx="2487">
                  <c:v>583290.22286295483</c:v>
                </c:pt>
                <c:pt idx="2488">
                  <c:v>584024.41945483547</c:v>
                </c:pt>
                <c:pt idx="2489">
                  <c:v>594679.56030461483</c:v>
                </c:pt>
                <c:pt idx="2490">
                  <c:v>591368.59539714898</c:v>
                </c:pt>
                <c:pt idx="2491">
                  <c:v>587892.02778654278</c:v>
                </c:pt>
                <c:pt idx="2492">
                  <c:v>572943.85884882556</c:v>
                </c:pt>
                <c:pt idx="2493">
                  <c:v>573641.07865313918</c:v>
                </c:pt>
                <c:pt idx="2494">
                  <c:v>570584.50113194436</c:v>
                </c:pt>
                <c:pt idx="2495">
                  <c:v>576596.26461978769</c:v>
                </c:pt>
                <c:pt idx="2496">
                  <c:v>585279.04699549428</c:v>
                </c:pt>
                <c:pt idx="2497">
                  <c:v>583930.88248251635</c:v>
                </c:pt>
                <c:pt idx="2498">
                  <c:v>582328.52290303598</c:v>
                </c:pt>
                <c:pt idx="2499">
                  <c:v>575042.3739783921</c:v>
                </c:pt>
                <c:pt idx="2500">
                  <c:v>578586.50946722727</c:v>
                </c:pt>
                <c:pt idx="2501">
                  <c:v>577393.9825872035</c:v>
                </c:pt>
                <c:pt idx="2502">
                  <c:v>576369.20562743105</c:v>
                </c:pt>
                <c:pt idx="2503">
                  <c:v>577909.87183101138</c:v>
                </c:pt>
                <c:pt idx="2504">
                  <c:v>583785.84772481013</c:v>
                </c:pt>
                <c:pt idx="2505">
                  <c:v>577235.86743989214</c:v>
                </c:pt>
                <c:pt idx="2506">
                  <c:v>578338.49173675722</c:v>
                </c:pt>
                <c:pt idx="2507">
                  <c:v>576383.04088830738</c:v>
                </c:pt>
                <c:pt idx="2508">
                  <c:v>579145.83955812349</c:v>
                </c:pt>
                <c:pt idx="2509">
                  <c:v>577986.37734776048</c:v>
                </c:pt>
                <c:pt idx="2510">
                  <c:v>575540.74146651512</c:v>
                </c:pt>
                <c:pt idx="2511">
                  <c:v>578503.97391242103</c:v>
                </c:pt>
                <c:pt idx="2512">
                  <c:v>590490.07542449853</c:v>
                </c:pt>
                <c:pt idx="2513">
                  <c:v>590762.67089066457</c:v>
                </c:pt>
                <c:pt idx="2514">
                  <c:v>589481.69519911218</c:v>
                </c:pt>
                <c:pt idx="2515">
                  <c:v>589281.11134070985</c:v>
                </c:pt>
                <c:pt idx="2516">
                  <c:v>575496.26884206652</c:v>
                </c:pt>
                <c:pt idx="2517">
                  <c:v>575557.47295607103</c:v>
                </c:pt>
                <c:pt idx="2518">
                  <c:v>578118.21594659367</c:v>
                </c:pt>
                <c:pt idx="2519">
                  <c:v>578258.21506249474</c:v>
                </c:pt>
                <c:pt idx="2520">
                  <c:v>580886.85194001882</c:v>
                </c:pt>
                <c:pt idx="2521">
                  <c:v>580055.32359382953</c:v>
                </c:pt>
                <c:pt idx="2522">
                  <c:v>578667.47700236004</c:v>
                </c:pt>
                <c:pt idx="2523">
                  <c:v>580565.34556017036</c:v>
                </c:pt>
                <c:pt idx="2524">
                  <c:v>581038.68774350383</c:v>
                </c:pt>
                <c:pt idx="2525">
                  <c:v>579986.72122254444</c:v>
                </c:pt>
                <c:pt idx="2526">
                  <c:v>580964.15087691706</c:v>
                </c:pt>
                <c:pt idx="2527">
                  <c:v>580320.30594879284</c:v>
                </c:pt>
                <c:pt idx="2528">
                  <c:v>580174.88686755858</c:v>
                </c:pt>
                <c:pt idx="2529">
                  <c:v>580513.89515944012</c:v>
                </c:pt>
                <c:pt idx="2530">
                  <c:v>581061.69946698099</c:v>
                </c:pt>
                <c:pt idx="2531">
                  <c:v>585789.9635763173</c:v>
                </c:pt>
                <c:pt idx="2532">
                  <c:v>586040.2879493119</c:v>
                </c:pt>
                <c:pt idx="2533">
                  <c:v>583596.08400549134</c:v>
                </c:pt>
                <c:pt idx="2534">
                  <c:v>584909.12469056435</c:v>
                </c:pt>
                <c:pt idx="2535">
                  <c:v>584358.71736320714</c:v>
                </c:pt>
                <c:pt idx="2536">
                  <c:v>584485.30939446448</c:v>
                </c:pt>
                <c:pt idx="2537">
                  <c:v>582168.03045884205</c:v>
                </c:pt>
                <c:pt idx="2538">
                  <c:v>582383.63645624043</c:v>
                </c:pt>
                <c:pt idx="2539">
                  <c:v>578472.51294616098</c:v>
                </c:pt>
                <c:pt idx="2540">
                  <c:v>580226.55049687915</c:v>
                </c:pt>
                <c:pt idx="2541">
                  <c:v>582980.66333337105</c:v>
                </c:pt>
                <c:pt idx="2542">
                  <c:v>582924.92161850131</c:v>
                </c:pt>
                <c:pt idx="2543">
                  <c:v>582510.0180493712</c:v>
                </c:pt>
                <c:pt idx="2544">
                  <c:v>583074.33057464566</c:v>
                </c:pt>
                <c:pt idx="2545">
                  <c:v>584854.12566524593</c:v>
                </c:pt>
                <c:pt idx="2546">
                  <c:v>584924.51798405091</c:v>
                </c:pt>
                <c:pt idx="2547">
                  <c:v>615870.5743898456</c:v>
                </c:pt>
                <c:pt idx="2548">
                  <c:v>619625.53416578285</c:v>
                </c:pt>
                <c:pt idx="2549">
                  <c:v>619840.78299805336</c:v>
                </c:pt>
                <c:pt idx="2550">
                  <c:v>618043.55799372098</c:v>
                </c:pt>
                <c:pt idx="2551">
                  <c:v>629405.24547698384</c:v>
                </c:pt>
                <c:pt idx="2552">
                  <c:v>657558.78864379448</c:v>
                </c:pt>
                <c:pt idx="2553">
                  <c:v>653971.91976869258</c:v>
                </c:pt>
                <c:pt idx="2554">
                  <c:v>656548.06772749324</c:v>
                </c:pt>
                <c:pt idx="2555">
                  <c:v>658618.97867008124</c:v>
                </c:pt>
                <c:pt idx="2556">
                  <c:v>659593.10774859588</c:v>
                </c:pt>
                <c:pt idx="2557">
                  <c:v>661120.1103077312</c:v>
                </c:pt>
                <c:pt idx="2558">
                  <c:v>659915.94019989646</c:v>
                </c:pt>
                <c:pt idx="2559">
                  <c:v>661177.02364025021</c:v>
                </c:pt>
                <c:pt idx="2560">
                  <c:v>659493.6010452183</c:v>
                </c:pt>
                <c:pt idx="2561">
                  <c:v>657936.45975537924</c:v>
                </c:pt>
                <c:pt idx="2562">
                  <c:v>659214.29133559181</c:v>
                </c:pt>
                <c:pt idx="2563">
                  <c:v>660148.20595652203</c:v>
                </c:pt>
                <c:pt idx="2564">
                  <c:v>660652.79497520067</c:v>
                </c:pt>
                <c:pt idx="2565">
                  <c:v>660214.64904914214</c:v>
                </c:pt>
                <c:pt idx="2566">
                  <c:v>660029.46129424078</c:v>
                </c:pt>
                <c:pt idx="2567">
                  <c:v>660027.07534365368</c:v>
                </c:pt>
                <c:pt idx="2568">
                  <c:v>660040.18402740743</c:v>
                </c:pt>
                <c:pt idx="2569">
                  <c:v>656614.7418594833</c:v>
                </c:pt>
                <c:pt idx="2570">
                  <c:v>657011.02807118488</c:v>
                </c:pt>
                <c:pt idx="2571">
                  <c:v>658568.16773668851</c:v>
                </c:pt>
                <c:pt idx="2572">
                  <c:v>659538.76236860082</c:v>
                </c:pt>
                <c:pt idx="2573">
                  <c:v>658169.7475930627</c:v>
                </c:pt>
                <c:pt idx="2574">
                  <c:v>657638.29886520805</c:v>
                </c:pt>
                <c:pt idx="2575">
                  <c:v>656983.94513304543</c:v>
                </c:pt>
                <c:pt idx="2576">
                  <c:v>653017.17286935484</c:v>
                </c:pt>
                <c:pt idx="2577">
                  <c:v>649294.37995927304</c:v>
                </c:pt>
                <c:pt idx="2578">
                  <c:v>651947.94669780193</c:v>
                </c:pt>
                <c:pt idx="2579">
                  <c:v>652059.31251524854</c:v>
                </c:pt>
                <c:pt idx="2580">
                  <c:v>660209.21131474595</c:v>
                </c:pt>
                <c:pt idx="2581">
                  <c:v>667244.41372841876</c:v>
                </c:pt>
                <c:pt idx="2582">
                  <c:v>670002.31168846658</c:v>
                </c:pt>
                <c:pt idx="2583">
                  <c:v>669868.49917497532</c:v>
                </c:pt>
                <c:pt idx="2584">
                  <c:v>669772.58446370997</c:v>
                </c:pt>
                <c:pt idx="2585">
                  <c:v>670069.11887576943</c:v>
                </c:pt>
                <c:pt idx="2586">
                  <c:v>669589.80731808662</c:v>
                </c:pt>
                <c:pt idx="2587">
                  <c:v>671364.70165135816</c:v>
                </c:pt>
                <c:pt idx="2588">
                  <c:v>671425.95230907667</c:v>
                </c:pt>
                <c:pt idx="2589">
                  <c:v>671453.2480649912</c:v>
                </c:pt>
                <c:pt idx="2590">
                  <c:v>672192.29881040857</c:v>
                </c:pt>
                <c:pt idx="2591">
                  <c:v>670967.97423085908</c:v>
                </c:pt>
                <c:pt idx="2592">
                  <c:v>671038.10060702101</c:v>
                </c:pt>
                <c:pt idx="2593">
                  <c:v>671749.91596483253</c:v>
                </c:pt>
                <c:pt idx="2594">
                  <c:v>671920.92371474428</c:v>
                </c:pt>
                <c:pt idx="2595">
                  <c:v>670984.41018915898</c:v>
                </c:pt>
                <c:pt idx="2596">
                  <c:v>670335.75383816892</c:v>
                </c:pt>
                <c:pt idx="2597">
                  <c:v>670929.74946871481</c:v>
                </c:pt>
                <c:pt idx="2598">
                  <c:v>670548.98678441194</c:v>
                </c:pt>
                <c:pt idx="2599">
                  <c:v>670690.31060301943</c:v>
                </c:pt>
                <c:pt idx="2600">
                  <c:v>666333.65082424926</c:v>
                </c:pt>
                <c:pt idx="2601">
                  <c:v>666116.75181351369</c:v>
                </c:pt>
                <c:pt idx="2602">
                  <c:v>665261.04506241053</c:v>
                </c:pt>
                <c:pt idx="2603">
                  <c:v>673573.36808275885</c:v>
                </c:pt>
                <c:pt idx="2604">
                  <c:v>678112.7212440212</c:v>
                </c:pt>
                <c:pt idx="2605">
                  <c:v>678554.28444522223</c:v>
                </c:pt>
                <c:pt idx="2606">
                  <c:v>678448.47911864007</c:v>
                </c:pt>
                <c:pt idx="2607">
                  <c:v>679850.61043884035</c:v>
                </c:pt>
                <c:pt idx="2608">
                  <c:v>678255.28419636167</c:v>
                </c:pt>
                <c:pt idx="2609">
                  <c:v>679028.02469477861</c:v>
                </c:pt>
                <c:pt idx="2610">
                  <c:v>679393.45988103573</c:v>
                </c:pt>
                <c:pt idx="2611">
                  <c:v>679041.17181657557</c:v>
                </c:pt>
                <c:pt idx="2612">
                  <c:v>677552.82357162528</c:v>
                </c:pt>
                <c:pt idx="2613">
                  <c:v>677968.34466793435</c:v>
                </c:pt>
                <c:pt idx="2614">
                  <c:v>683247.97151572886</c:v>
                </c:pt>
                <c:pt idx="2615">
                  <c:v>683477.37646841723</c:v>
                </c:pt>
                <c:pt idx="2616">
                  <c:v>682824.18281138048</c:v>
                </c:pt>
                <c:pt idx="2617">
                  <c:v>683283.37115131167</c:v>
                </c:pt>
                <c:pt idx="2618">
                  <c:v>683191.0630438173</c:v>
                </c:pt>
                <c:pt idx="2619">
                  <c:v>683021.32339315012</c:v>
                </c:pt>
                <c:pt idx="2620">
                  <c:v>683211.10546620633</c:v>
                </c:pt>
                <c:pt idx="2621">
                  <c:v>683503.56965286774</c:v>
                </c:pt>
                <c:pt idx="2622">
                  <c:v>683956.1985717112</c:v>
                </c:pt>
                <c:pt idx="2623">
                  <c:v>683624.0851229711</c:v>
                </c:pt>
                <c:pt idx="2624">
                  <c:v>683693.89779456891</c:v>
                </c:pt>
                <c:pt idx="2625">
                  <c:v>683720.21525640809</c:v>
                </c:pt>
                <c:pt idx="2626">
                  <c:v>683510.93403741519</c:v>
                </c:pt>
                <c:pt idx="2627">
                  <c:v>683534.93938370782</c:v>
                </c:pt>
                <c:pt idx="2628">
                  <c:v>683721.60921469668</c:v>
                </c:pt>
                <c:pt idx="2629">
                  <c:v>683593.60947646562</c:v>
                </c:pt>
                <c:pt idx="2630">
                  <c:v>684049.47818150383</c:v>
                </c:pt>
                <c:pt idx="2631">
                  <c:v>683920.4499560853</c:v>
                </c:pt>
                <c:pt idx="2632">
                  <c:v>683807.13882201712</c:v>
                </c:pt>
                <c:pt idx="2633">
                  <c:v>681706.40526024229</c:v>
                </c:pt>
                <c:pt idx="2634">
                  <c:v>681953.59686040529</c:v>
                </c:pt>
                <c:pt idx="2635">
                  <c:v>681921.51731224579</c:v>
                </c:pt>
                <c:pt idx="2636">
                  <c:v>682021.34680662712</c:v>
                </c:pt>
                <c:pt idx="2637">
                  <c:v>681975.66153409705</c:v>
                </c:pt>
                <c:pt idx="2638">
                  <c:v>682024.1259643716</c:v>
                </c:pt>
                <c:pt idx="2639">
                  <c:v>681980.04004679213</c:v>
                </c:pt>
                <c:pt idx="2640">
                  <c:v>681984.8983803374</c:v>
                </c:pt>
                <c:pt idx="2641">
                  <c:v>681957.07718125684</c:v>
                </c:pt>
                <c:pt idx="2642">
                  <c:v>680747.06641483807</c:v>
                </c:pt>
                <c:pt idx="2643">
                  <c:v>675739.45068545011</c:v>
                </c:pt>
                <c:pt idx="2644">
                  <c:v>674267.95522206463</c:v>
                </c:pt>
                <c:pt idx="2645">
                  <c:v>675229.29740011704</c:v>
                </c:pt>
                <c:pt idx="2646">
                  <c:v>674553.4711558501</c:v>
                </c:pt>
                <c:pt idx="2647">
                  <c:v>674180.63663625252</c:v>
                </c:pt>
                <c:pt idx="2648">
                  <c:v>667683.05803670152</c:v>
                </c:pt>
                <c:pt idx="2649">
                  <c:v>675681.78386840492</c:v>
                </c:pt>
                <c:pt idx="2650">
                  <c:v>675112.01719259215</c:v>
                </c:pt>
                <c:pt idx="2651">
                  <c:v>674850.4941407108</c:v>
                </c:pt>
                <c:pt idx="2652">
                  <c:v>674976.23796863668</c:v>
                </c:pt>
                <c:pt idx="2653">
                  <c:v>674929.43292851234</c:v>
                </c:pt>
                <c:pt idx="2654">
                  <c:v>675212.56846850296</c:v>
                </c:pt>
                <c:pt idx="2655">
                  <c:v>674988.20876833994</c:v>
                </c:pt>
                <c:pt idx="2656">
                  <c:v>678211.26528881548</c:v>
                </c:pt>
                <c:pt idx="2657">
                  <c:v>677827.23204388446</c:v>
                </c:pt>
                <c:pt idx="2658">
                  <c:v>675486.60971771437</c:v>
                </c:pt>
                <c:pt idx="2659">
                  <c:v>675504.35621512926</c:v>
                </c:pt>
                <c:pt idx="2660">
                  <c:v>674683.54337286542</c:v>
                </c:pt>
                <c:pt idx="2661">
                  <c:v>674366.12381704722</c:v>
                </c:pt>
                <c:pt idx="2662">
                  <c:v>674519.46111319494</c:v>
                </c:pt>
                <c:pt idx="2663">
                  <c:v>674675.73644590855</c:v>
                </c:pt>
                <c:pt idx="2664">
                  <c:v>674756.79385528725</c:v>
                </c:pt>
                <c:pt idx="2665">
                  <c:v>675352.61428656057</c:v>
                </c:pt>
                <c:pt idx="2666">
                  <c:v>674849.37900630955</c:v>
                </c:pt>
                <c:pt idx="2667">
                  <c:v>674658.92073947284</c:v>
                </c:pt>
                <c:pt idx="2668">
                  <c:v>671466.30949450785</c:v>
                </c:pt>
                <c:pt idx="2669">
                  <c:v>672762.54549282428</c:v>
                </c:pt>
                <c:pt idx="2670">
                  <c:v>673050.02678108471</c:v>
                </c:pt>
                <c:pt idx="2671">
                  <c:v>671777.28387905483</c:v>
                </c:pt>
                <c:pt idx="2672">
                  <c:v>672378.77008687134</c:v>
                </c:pt>
                <c:pt idx="2673">
                  <c:v>671142.17873747018</c:v>
                </c:pt>
                <c:pt idx="2674">
                  <c:v>672460.33034942416</c:v>
                </c:pt>
                <c:pt idx="2675">
                  <c:v>672745.46017782041</c:v>
                </c:pt>
                <c:pt idx="2676">
                  <c:v>672679.78822884941</c:v>
                </c:pt>
                <c:pt idx="2677">
                  <c:v>672753.39595008979</c:v>
                </c:pt>
                <c:pt idx="2678">
                  <c:v>675044.1795698225</c:v>
                </c:pt>
                <c:pt idx="2679">
                  <c:v>671364.66912188474</c:v>
                </c:pt>
                <c:pt idx="2680">
                  <c:v>670986.45802937122</c:v>
                </c:pt>
                <c:pt idx="2681">
                  <c:v>670553.48802401731</c:v>
                </c:pt>
                <c:pt idx="2682">
                  <c:v>670808.64469615999</c:v>
                </c:pt>
                <c:pt idx="2683">
                  <c:v>670007.09346176882</c:v>
                </c:pt>
                <c:pt idx="2684">
                  <c:v>669318.31765252782</c:v>
                </c:pt>
                <c:pt idx="2685">
                  <c:v>647608.56908974727</c:v>
                </c:pt>
                <c:pt idx="2686">
                  <c:v>638629.51602899609</c:v>
                </c:pt>
                <c:pt idx="2687">
                  <c:v>638051.53100181674</c:v>
                </c:pt>
                <c:pt idx="2688">
                  <c:v>637905.62954628421</c:v>
                </c:pt>
                <c:pt idx="2689">
                  <c:v>636873.34121311561</c:v>
                </c:pt>
                <c:pt idx="2690">
                  <c:v>631420.11270341114</c:v>
                </c:pt>
                <c:pt idx="2691">
                  <c:v>628309.82242872415</c:v>
                </c:pt>
                <c:pt idx="2692">
                  <c:v>629134.37002336967</c:v>
                </c:pt>
                <c:pt idx="2693">
                  <c:v>626596.32807703479</c:v>
                </c:pt>
                <c:pt idx="2694">
                  <c:v>635725.0636113073</c:v>
                </c:pt>
                <c:pt idx="2695">
                  <c:v>634895.05953204341</c:v>
                </c:pt>
                <c:pt idx="2696">
                  <c:v>633727.16462742887</c:v>
                </c:pt>
                <c:pt idx="2697">
                  <c:v>633882.21899310721</c:v>
                </c:pt>
                <c:pt idx="2698">
                  <c:v>631123.42746443243</c:v>
                </c:pt>
                <c:pt idx="2699">
                  <c:v>633899.04991098633</c:v>
                </c:pt>
                <c:pt idx="2700">
                  <c:v>628797.35662074096</c:v>
                </c:pt>
                <c:pt idx="2701">
                  <c:v>627324.15662597655</c:v>
                </c:pt>
                <c:pt idx="2702">
                  <c:v>626729.18816717528</c:v>
                </c:pt>
                <c:pt idx="2703">
                  <c:v>625483.70486462559</c:v>
                </c:pt>
                <c:pt idx="2704">
                  <c:v>627545.82050800067</c:v>
                </c:pt>
                <c:pt idx="2705">
                  <c:v>625166.48648166342</c:v>
                </c:pt>
                <c:pt idx="2706">
                  <c:v>617982.01397726091</c:v>
                </c:pt>
                <c:pt idx="2707">
                  <c:v>620650.18744051119</c:v>
                </c:pt>
                <c:pt idx="2708">
                  <c:v>620539.16483432741</c:v>
                </c:pt>
                <c:pt idx="2709">
                  <c:v>627421.17690522608</c:v>
                </c:pt>
                <c:pt idx="2710">
                  <c:v>626609.87245710008</c:v>
                </c:pt>
                <c:pt idx="2711">
                  <c:v>625816.03873210959</c:v>
                </c:pt>
                <c:pt idx="2712">
                  <c:v>627998.4573395882</c:v>
                </c:pt>
                <c:pt idx="2713">
                  <c:v>625440.41783463652</c:v>
                </c:pt>
                <c:pt idx="2714">
                  <c:v>624158.28259995591</c:v>
                </c:pt>
                <c:pt idx="2715">
                  <c:v>617910.42172110232</c:v>
                </c:pt>
                <c:pt idx="2716">
                  <c:v>607477.62601832824</c:v>
                </c:pt>
                <c:pt idx="2717">
                  <c:v>612243.18983812362</c:v>
                </c:pt>
                <c:pt idx="2718">
                  <c:v>608995.99447943433</c:v>
                </c:pt>
                <c:pt idx="2719">
                  <c:v>610567.81319711823</c:v>
                </c:pt>
                <c:pt idx="2720">
                  <c:v>604420.82420988847</c:v>
                </c:pt>
                <c:pt idx="2721">
                  <c:v>602732.90091879177</c:v>
                </c:pt>
                <c:pt idx="2722">
                  <c:v>598831.32139739767</c:v>
                </c:pt>
                <c:pt idx="2723">
                  <c:v>590771.70041311102</c:v>
                </c:pt>
                <c:pt idx="2724">
                  <c:v>576524.32366064342</c:v>
                </c:pt>
                <c:pt idx="2725">
                  <c:v>575448.60125631152</c:v>
                </c:pt>
                <c:pt idx="2726">
                  <c:v>556598.05502732703</c:v>
                </c:pt>
                <c:pt idx="2727">
                  <c:v>548625.6557485885</c:v>
                </c:pt>
                <c:pt idx="2728">
                  <c:v>549935.1039879577</c:v>
                </c:pt>
                <c:pt idx="2729">
                  <c:v>550113.55786932423</c:v>
                </c:pt>
                <c:pt idx="2730">
                  <c:v>569707.88721958222</c:v>
                </c:pt>
                <c:pt idx="2731">
                  <c:v>563953.35364302865</c:v>
                </c:pt>
                <c:pt idx="2732">
                  <c:v>549256.31822055031</c:v>
                </c:pt>
                <c:pt idx="2733">
                  <c:v>551732.88289770391</c:v>
                </c:pt>
                <c:pt idx="2734">
                  <c:v>547843.93480054359</c:v>
                </c:pt>
                <c:pt idx="2735">
                  <c:v>547467.94877973048</c:v>
                </c:pt>
                <c:pt idx="2736">
                  <c:v>553237.37249464332</c:v>
                </c:pt>
                <c:pt idx="2737">
                  <c:v>543933.91120645741</c:v>
                </c:pt>
                <c:pt idx="2738">
                  <c:v>544721.20816886972</c:v>
                </c:pt>
                <c:pt idx="2739">
                  <c:v>546840.18074992846</c:v>
                </c:pt>
                <c:pt idx="2740">
                  <c:v>525950.54182023054</c:v>
                </c:pt>
                <c:pt idx="2741">
                  <c:v>529586.81612249825</c:v>
                </c:pt>
                <c:pt idx="2742">
                  <c:v>529235.13919383322</c:v>
                </c:pt>
                <c:pt idx="2743">
                  <c:v>527945.05624018167</c:v>
                </c:pt>
                <c:pt idx="2744">
                  <c:v>538732.08244479913</c:v>
                </c:pt>
                <c:pt idx="2745">
                  <c:v>534526.76897377102</c:v>
                </c:pt>
                <c:pt idx="2746">
                  <c:v>529035.2088808812</c:v>
                </c:pt>
                <c:pt idx="2747">
                  <c:v>538614.54816202482</c:v>
                </c:pt>
                <c:pt idx="2748">
                  <c:v>550497.40244026808</c:v>
                </c:pt>
                <c:pt idx="2749">
                  <c:v>561307.63371363666</c:v>
                </c:pt>
                <c:pt idx="2750">
                  <c:v>559982.77060562442</c:v>
                </c:pt>
                <c:pt idx="2751">
                  <c:v>552739.06563645904</c:v>
                </c:pt>
                <c:pt idx="2752">
                  <c:v>553341.06365617085</c:v>
                </c:pt>
                <c:pt idx="2753">
                  <c:v>558730.87000967108</c:v>
                </c:pt>
                <c:pt idx="2754">
                  <c:v>553628.43794036261</c:v>
                </c:pt>
                <c:pt idx="2755">
                  <c:v>557050.54196513072</c:v>
                </c:pt>
                <c:pt idx="2756">
                  <c:v>545056.11576957803</c:v>
                </c:pt>
                <c:pt idx="2757">
                  <c:v>543586.77262688009</c:v>
                </c:pt>
                <c:pt idx="2758">
                  <c:v>536632.7920733114</c:v>
                </c:pt>
                <c:pt idx="2759">
                  <c:v>529402.21842142649</c:v>
                </c:pt>
                <c:pt idx="2760">
                  <c:v>517026.9025786813</c:v>
                </c:pt>
                <c:pt idx="2761">
                  <c:v>514694.33754138974</c:v>
                </c:pt>
                <c:pt idx="2762">
                  <c:v>519821.64527723246</c:v>
                </c:pt>
                <c:pt idx="2763">
                  <c:v>518702.32104449579</c:v>
                </c:pt>
                <c:pt idx="2764">
                  <c:v>512741.30158227053</c:v>
                </c:pt>
                <c:pt idx="2765">
                  <c:v>502127.41306466871</c:v>
                </c:pt>
                <c:pt idx="2766">
                  <c:v>479924.51336084632</c:v>
                </c:pt>
                <c:pt idx="2767">
                  <c:v>480671.85297530296</c:v>
                </c:pt>
                <c:pt idx="2768">
                  <c:v>478021.61451778573</c:v>
                </c:pt>
                <c:pt idx="2769">
                  <c:v>468603.69758931128</c:v>
                </c:pt>
                <c:pt idx="2770">
                  <c:v>447493.35006851412</c:v>
                </c:pt>
                <c:pt idx="2771">
                  <c:v>465721.61429782695</c:v>
                </c:pt>
                <c:pt idx="2772">
                  <c:v>460691.81542245595</c:v>
                </c:pt>
                <c:pt idx="2773">
                  <c:v>460221.98510486266</c:v>
                </c:pt>
                <c:pt idx="2774">
                  <c:v>476024.24527048401</c:v>
                </c:pt>
                <c:pt idx="2775">
                  <c:v>496368.56206849345</c:v>
                </c:pt>
                <c:pt idx="2776">
                  <c:v>489990.34378219617</c:v>
                </c:pt>
                <c:pt idx="2777">
                  <c:v>469041.55754593574</c:v>
                </c:pt>
                <c:pt idx="2778">
                  <c:v>460920.39667810535</c:v>
                </c:pt>
                <c:pt idx="2779">
                  <c:v>472090.75770694681</c:v>
                </c:pt>
                <c:pt idx="2780">
                  <c:v>468225.74590089085</c:v>
                </c:pt>
                <c:pt idx="2781">
                  <c:v>471140.39146873576</c:v>
                </c:pt>
                <c:pt idx="2782">
                  <c:v>460258.7045019017</c:v>
                </c:pt>
                <c:pt idx="2783">
                  <c:v>450598.14045120368</c:v>
                </c:pt>
                <c:pt idx="2784">
                  <c:v>450239.83497462847</c:v>
                </c:pt>
                <c:pt idx="2785">
                  <c:v>463475.02592001058</c:v>
                </c:pt>
                <c:pt idx="2786">
                  <c:v>468682.89621129062</c:v>
                </c:pt>
                <c:pt idx="2787">
                  <c:v>470440.43603900645</c:v>
                </c:pt>
                <c:pt idx="2788">
                  <c:v>491121.30229732214</c:v>
                </c:pt>
                <c:pt idx="2789">
                  <c:v>493695.10995688761</c:v>
                </c:pt>
                <c:pt idx="2790">
                  <c:v>495462.05444701121</c:v>
                </c:pt>
                <c:pt idx="2791">
                  <c:v>517137.95968838106</c:v>
                </c:pt>
                <c:pt idx="2792">
                  <c:v>499246.04278599122</c:v>
                </c:pt>
                <c:pt idx="2793">
                  <c:v>498164.25118795788</c:v>
                </c:pt>
                <c:pt idx="2794">
                  <c:v>493594.20369661157</c:v>
                </c:pt>
                <c:pt idx="2795">
                  <c:v>496726.17469210672</c:v>
                </c:pt>
                <c:pt idx="2796">
                  <c:v>499920.82267752342</c:v>
                </c:pt>
                <c:pt idx="2797">
                  <c:v>509293.56847473944</c:v>
                </c:pt>
                <c:pt idx="2798">
                  <c:v>511635.79844160669</c:v>
                </c:pt>
                <c:pt idx="2799">
                  <c:v>507976.94920325762</c:v>
                </c:pt>
                <c:pt idx="2800">
                  <c:v>514307.43177818676</c:v>
                </c:pt>
                <c:pt idx="2801">
                  <c:v>523270.98001764849</c:v>
                </c:pt>
                <c:pt idx="2802">
                  <c:v>519652.10722983745</c:v>
                </c:pt>
                <c:pt idx="2803">
                  <c:v>519641.70256249967</c:v>
                </c:pt>
                <c:pt idx="2804">
                  <c:v>516083.85750811209</c:v>
                </c:pt>
                <c:pt idx="2805">
                  <c:v>505558.70520775835</c:v>
                </c:pt>
                <c:pt idx="2806">
                  <c:v>507249.63592848845</c:v>
                </c:pt>
                <c:pt idx="2807">
                  <c:v>489045.89701340738</c:v>
                </c:pt>
                <c:pt idx="2808">
                  <c:v>484719.74885945866</c:v>
                </c:pt>
                <c:pt idx="2809">
                  <c:v>484144.98989437439</c:v>
                </c:pt>
                <c:pt idx="2810">
                  <c:v>463153.69796541968</c:v>
                </c:pt>
                <c:pt idx="2811">
                  <c:v>462894.95948511886</c:v>
                </c:pt>
                <c:pt idx="2812">
                  <c:v>462685.20419574354</c:v>
                </c:pt>
                <c:pt idx="2813">
                  <c:v>461512.38830380584</c:v>
                </c:pt>
                <c:pt idx="2814">
                  <c:v>461686.47150930273</c:v>
                </c:pt>
                <c:pt idx="2815">
                  <c:v>468734.0497857547</c:v>
                </c:pt>
                <c:pt idx="2816">
                  <c:v>469662.44109691086</c:v>
                </c:pt>
                <c:pt idx="2817">
                  <c:v>470365.22364139499</c:v>
                </c:pt>
                <c:pt idx="2818">
                  <c:v>478479.03391347599</c:v>
                </c:pt>
                <c:pt idx="2819">
                  <c:v>489928.80519943009</c:v>
                </c:pt>
                <c:pt idx="2820">
                  <c:v>503938.71660349373</c:v>
                </c:pt>
                <c:pt idx="2821">
                  <c:v>497991.0508979322</c:v>
                </c:pt>
                <c:pt idx="2822">
                  <c:v>495691.61452850746</c:v>
                </c:pt>
                <c:pt idx="2823">
                  <c:v>493185.34318682196</c:v>
                </c:pt>
                <c:pt idx="2824">
                  <c:v>485813.91689208418</c:v>
                </c:pt>
                <c:pt idx="2825">
                  <c:v>485725.14842814038</c:v>
                </c:pt>
                <c:pt idx="2826">
                  <c:v>501464.49510067224</c:v>
                </c:pt>
                <c:pt idx="2827">
                  <c:v>499589.82217273279</c:v>
                </c:pt>
                <c:pt idx="2828">
                  <c:v>492580.89529644791</c:v>
                </c:pt>
                <c:pt idx="2829">
                  <c:v>503848.25115754682</c:v>
                </c:pt>
                <c:pt idx="2830">
                  <c:v>501046.52521354379</c:v>
                </c:pt>
                <c:pt idx="2831">
                  <c:v>493915.84531661519</c:v>
                </c:pt>
                <c:pt idx="2832">
                  <c:v>499691.42583896132</c:v>
                </c:pt>
                <c:pt idx="2833">
                  <c:v>496639.96417889482</c:v>
                </c:pt>
                <c:pt idx="2834">
                  <c:v>516356.76334242517</c:v>
                </c:pt>
                <c:pt idx="2835">
                  <c:v>514872.07635620266</c:v>
                </c:pt>
                <c:pt idx="2836">
                  <c:v>515635.24273504195</c:v>
                </c:pt>
                <c:pt idx="2837">
                  <c:v>516605.53055512527</c:v>
                </c:pt>
                <c:pt idx="2838">
                  <c:v>507132.45096536208</c:v>
                </c:pt>
                <c:pt idx="2839">
                  <c:v>490689.53760389681</c:v>
                </c:pt>
                <c:pt idx="2840">
                  <c:v>494551.71618580987</c:v>
                </c:pt>
                <c:pt idx="2841">
                  <c:v>492466.92068645562</c:v>
                </c:pt>
                <c:pt idx="2842">
                  <c:v>484607.37763316312</c:v>
                </c:pt>
                <c:pt idx="2843">
                  <c:v>494514.13522657717</c:v>
                </c:pt>
                <c:pt idx="2844">
                  <c:v>495998.6565842678</c:v>
                </c:pt>
                <c:pt idx="2845">
                  <c:v>497028.57965119259</c:v>
                </c:pt>
                <c:pt idx="2846">
                  <c:v>500939.49012203148</c:v>
                </c:pt>
                <c:pt idx="2847">
                  <c:v>506337.46185701911</c:v>
                </c:pt>
                <c:pt idx="2848">
                  <c:v>497529.12772886519</c:v>
                </c:pt>
                <c:pt idx="2849">
                  <c:v>498071.3848556499</c:v>
                </c:pt>
                <c:pt idx="2850">
                  <c:v>497734.13450005371</c:v>
                </c:pt>
                <c:pt idx="2851">
                  <c:v>499723.60378413618</c:v>
                </c:pt>
                <c:pt idx="2852">
                  <c:v>503948.98465791345</c:v>
                </c:pt>
                <c:pt idx="2853">
                  <c:v>503334.74786766962</c:v>
                </c:pt>
                <c:pt idx="2854">
                  <c:v>506256.03860979353</c:v>
                </c:pt>
                <c:pt idx="2855">
                  <c:v>515288.69584029779</c:v>
                </c:pt>
                <c:pt idx="2856">
                  <c:v>503020.12415723078</c:v>
                </c:pt>
                <c:pt idx="2857">
                  <c:v>507128.97548264812</c:v>
                </c:pt>
                <c:pt idx="2858">
                  <c:v>508794.85928572383</c:v>
                </c:pt>
                <c:pt idx="2859">
                  <c:v>512140.64860138169</c:v>
                </c:pt>
                <c:pt idx="2860">
                  <c:v>523508.5536697412</c:v>
                </c:pt>
                <c:pt idx="2861">
                  <c:v>566415.41209314158</c:v>
                </c:pt>
                <c:pt idx="2862">
                  <c:v>575298.22524683317</c:v>
                </c:pt>
                <c:pt idx="2863">
                  <c:v>586390.39659307222</c:v>
                </c:pt>
                <c:pt idx="2864">
                  <c:v>581330.48840883048</c:v>
                </c:pt>
                <c:pt idx="2865">
                  <c:v>586254.9637465619</c:v>
                </c:pt>
                <c:pt idx="2866">
                  <c:v>573221.93066161079</c:v>
                </c:pt>
                <c:pt idx="2867">
                  <c:v>571075.80532484478</c:v>
                </c:pt>
                <c:pt idx="2868">
                  <c:v>574515.49830122699</c:v>
                </c:pt>
                <c:pt idx="2869">
                  <c:v>578272.10862060427</c:v>
                </c:pt>
                <c:pt idx="2870">
                  <c:v>578008.41489799914</c:v>
                </c:pt>
                <c:pt idx="2871">
                  <c:v>581974.43458176765</c:v>
                </c:pt>
                <c:pt idx="2872">
                  <c:v>582155.70646364812</c:v>
                </c:pt>
                <c:pt idx="2873">
                  <c:v>576611.11476810952</c:v>
                </c:pt>
                <c:pt idx="2874">
                  <c:v>574772.67201217229</c:v>
                </c:pt>
                <c:pt idx="2875">
                  <c:v>558883.58136465307</c:v>
                </c:pt>
                <c:pt idx="2876">
                  <c:v>562680.25372726517</c:v>
                </c:pt>
                <c:pt idx="2877">
                  <c:v>568918.68764551578</c:v>
                </c:pt>
                <c:pt idx="2878">
                  <c:v>567149.00747525762</c:v>
                </c:pt>
                <c:pt idx="2879">
                  <c:v>566152.64835574618</c:v>
                </c:pt>
                <c:pt idx="2880">
                  <c:v>570964.83448536834</c:v>
                </c:pt>
                <c:pt idx="2881">
                  <c:v>571565.71594033961</c:v>
                </c:pt>
                <c:pt idx="2882">
                  <c:v>583211.45763652702</c:v>
                </c:pt>
                <c:pt idx="2883">
                  <c:v>579170.88108659186</c:v>
                </c:pt>
                <c:pt idx="2884">
                  <c:v>584911.84286114026</c:v>
                </c:pt>
                <c:pt idx="2885">
                  <c:v>581397.04315936146</c:v>
                </c:pt>
                <c:pt idx="2886">
                  <c:v>581974.61074083159</c:v>
                </c:pt>
                <c:pt idx="2887">
                  <c:v>573918.02288394107</c:v>
                </c:pt>
                <c:pt idx="2888">
                  <c:v>574431.60895317153</c:v>
                </c:pt>
                <c:pt idx="2889">
                  <c:v>603065.32464496768</c:v>
                </c:pt>
                <c:pt idx="2890">
                  <c:v>603758.34352295671</c:v>
                </c:pt>
                <c:pt idx="2891">
                  <c:v>592067.65479059517</c:v>
                </c:pt>
                <c:pt idx="2892">
                  <c:v>536940.88535892754</c:v>
                </c:pt>
                <c:pt idx="2893">
                  <c:v>528837.53070461075</c:v>
                </c:pt>
                <c:pt idx="2894">
                  <c:v>533313.65010582306</c:v>
                </c:pt>
                <c:pt idx="2895">
                  <c:v>533599.11570705264</c:v>
                </c:pt>
                <c:pt idx="2896">
                  <c:v>541079.12748646317</c:v>
                </c:pt>
                <c:pt idx="2897">
                  <c:v>536909.61744153907</c:v>
                </c:pt>
                <c:pt idx="2898">
                  <c:v>539024.80019106541</c:v>
                </c:pt>
                <c:pt idx="2899">
                  <c:v>534492.66224931926</c:v>
                </c:pt>
                <c:pt idx="2900">
                  <c:v>537772.29991675226</c:v>
                </c:pt>
                <c:pt idx="2901">
                  <c:v>534123.34933945211</c:v>
                </c:pt>
                <c:pt idx="2902">
                  <c:v>532658.09877756808</c:v>
                </c:pt>
                <c:pt idx="2903">
                  <c:v>532924.98330734298</c:v>
                </c:pt>
                <c:pt idx="2904">
                  <c:v>536274.51286092424</c:v>
                </c:pt>
                <c:pt idx="2905">
                  <c:v>547523.53841102286</c:v>
                </c:pt>
                <c:pt idx="2906">
                  <c:v>546739.95636762411</c:v>
                </c:pt>
                <c:pt idx="2907">
                  <c:v>546353.35883823619</c:v>
                </c:pt>
                <c:pt idx="2908">
                  <c:v>548001.84517382702</c:v>
                </c:pt>
                <c:pt idx="2909">
                  <c:v>550493.60301693087</c:v>
                </c:pt>
                <c:pt idx="2910">
                  <c:v>548146.88474791904</c:v>
                </c:pt>
                <c:pt idx="2911">
                  <c:v>550570.9540013579</c:v>
                </c:pt>
                <c:pt idx="2912">
                  <c:v>554843.5463438289</c:v>
                </c:pt>
                <c:pt idx="2913">
                  <c:v>554228.01256958314</c:v>
                </c:pt>
                <c:pt idx="2914">
                  <c:v>552807.58968918934</c:v>
                </c:pt>
                <c:pt idx="2915">
                  <c:v>555609.83563547675</c:v>
                </c:pt>
                <c:pt idx="2916">
                  <c:v>564931.70728821703</c:v>
                </c:pt>
                <c:pt idx="2917">
                  <c:v>564688.17102384008</c:v>
                </c:pt>
                <c:pt idx="2918">
                  <c:v>577028.48754353903</c:v>
                </c:pt>
                <c:pt idx="2919">
                  <c:v>596838.38808539917</c:v>
                </c:pt>
                <c:pt idx="2920">
                  <c:v>591664.14065291139</c:v>
                </c:pt>
                <c:pt idx="2921">
                  <c:v>597423.72849885409</c:v>
                </c:pt>
                <c:pt idx="2922">
                  <c:v>592150.31245412887</c:v>
                </c:pt>
                <c:pt idx="2923">
                  <c:v>597098.88935512304</c:v>
                </c:pt>
                <c:pt idx="2924">
                  <c:v>591021.36296279787</c:v>
                </c:pt>
                <c:pt idx="2925">
                  <c:v>581938.58044472383</c:v>
                </c:pt>
                <c:pt idx="2926">
                  <c:v>575833.11599927244</c:v>
                </c:pt>
                <c:pt idx="2927">
                  <c:v>580846.01475433621</c:v>
                </c:pt>
                <c:pt idx="2928">
                  <c:v>587808.07582542091</c:v>
                </c:pt>
                <c:pt idx="2929">
                  <c:v>590177.3655119685</c:v>
                </c:pt>
                <c:pt idx="2930">
                  <c:v>588863.09515968442</c:v>
                </c:pt>
                <c:pt idx="2931">
                  <c:v>584790.02137828863</c:v>
                </c:pt>
                <c:pt idx="2932">
                  <c:v>588599.0723219288</c:v>
                </c:pt>
                <c:pt idx="2933">
                  <c:v>585807.81039160013</c:v>
                </c:pt>
                <c:pt idx="2934">
                  <c:v>582159.49844487605</c:v>
                </c:pt>
                <c:pt idx="2935">
                  <c:v>581795.48341744218</c:v>
                </c:pt>
                <c:pt idx="2936">
                  <c:v>583531.44973033876</c:v>
                </c:pt>
                <c:pt idx="2937">
                  <c:v>592339.96112539223</c:v>
                </c:pt>
                <c:pt idx="2938">
                  <c:v>596074.37701492582</c:v>
                </c:pt>
                <c:pt idx="2939">
                  <c:v>596747.37260789447</c:v>
                </c:pt>
                <c:pt idx="2940">
                  <c:v>593650.13825617079</c:v>
                </c:pt>
                <c:pt idx="2941">
                  <c:v>598285.55553269759</c:v>
                </c:pt>
                <c:pt idx="2942">
                  <c:v>598847.14953812584</c:v>
                </c:pt>
                <c:pt idx="2943">
                  <c:v>599484.05529436201</c:v>
                </c:pt>
                <c:pt idx="2944">
                  <c:v>612195.80246773793</c:v>
                </c:pt>
                <c:pt idx="2945">
                  <c:v>610239.29935846489</c:v>
                </c:pt>
                <c:pt idx="2946">
                  <c:v>598297.99206242722</c:v>
                </c:pt>
                <c:pt idx="2947">
                  <c:v>596777.94824749976</c:v>
                </c:pt>
                <c:pt idx="2948">
                  <c:v>598337.06768005539</c:v>
                </c:pt>
                <c:pt idx="2949">
                  <c:v>597215.00841752905</c:v>
                </c:pt>
                <c:pt idx="2950">
                  <c:v>582643.01306402532</c:v>
                </c:pt>
                <c:pt idx="2951">
                  <c:v>592687.80477388669</c:v>
                </c:pt>
                <c:pt idx="2952">
                  <c:v>595854.84604817571</c:v>
                </c:pt>
                <c:pt idx="2953">
                  <c:v>595295.74113502982</c:v>
                </c:pt>
                <c:pt idx="2954">
                  <c:v>594003.46134932095</c:v>
                </c:pt>
                <c:pt idx="2955">
                  <c:v>591246.67744191724</c:v>
                </c:pt>
                <c:pt idx="2956">
                  <c:v>588207.09723090625</c:v>
                </c:pt>
                <c:pt idx="2957">
                  <c:v>592702.21524726518</c:v>
                </c:pt>
                <c:pt idx="2958">
                  <c:v>595403.28048751119</c:v>
                </c:pt>
                <c:pt idx="2959">
                  <c:v>595100.6629905178</c:v>
                </c:pt>
                <c:pt idx="2960">
                  <c:v>599512.56190727407</c:v>
                </c:pt>
                <c:pt idx="2961">
                  <c:v>592452.30069923785</c:v>
                </c:pt>
                <c:pt idx="2962">
                  <c:v>589883.280570045</c:v>
                </c:pt>
                <c:pt idx="2963">
                  <c:v>584826.37520972895</c:v>
                </c:pt>
                <c:pt idx="2964">
                  <c:v>581924.59566661902</c:v>
                </c:pt>
                <c:pt idx="2965">
                  <c:v>571280.91769925097</c:v>
                </c:pt>
                <c:pt idx="2966">
                  <c:v>553277.83919630316</c:v>
                </c:pt>
                <c:pt idx="2967">
                  <c:v>566311.6675766398</c:v>
                </c:pt>
                <c:pt idx="2968">
                  <c:v>562688.75657088112</c:v>
                </c:pt>
                <c:pt idx="2969">
                  <c:v>560654.47744558309</c:v>
                </c:pt>
                <c:pt idx="2970">
                  <c:v>556599.53767047892</c:v>
                </c:pt>
                <c:pt idx="2971">
                  <c:v>559598.73487232905</c:v>
                </c:pt>
                <c:pt idx="2972">
                  <c:v>537429.94106500049</c:v>
                </c:pt>
                <c:pt idx="2973">
                  <c:v>534331.50681586843</c:v>
                </c:pt>
                <c:pt idx="2974">
                  <c:v>537815.7189026369</c:v>
                </c:pt>
                <c:pt idx="2975">
                  <c:v>533377.67905220762</c:v>
                </c:pt>
                <c:pt idx="2976">
                  <c:v>530893.37386073312</c:v>
                </c:pt>
                <c:pt idx="2977">
                  <c:v>539491.08399328485</c:v>
                </c:pt>
                <c:pt idx="2978">
                  <c:v>539731.79215809074</c:v>
                </c:pt>
                <c:pt idx="2979">
                  <c:v>539369.16564812593</c:v>
                </c:pt>
                <c:pt idx="2980">
                  <c:v>539391.99187948729</c:v>
                </c:pt>
                <c:pt idx="2981">
                  <c:v>548544.89913326537</c:v>
                </c:pt>
                <c:pt idx="2982">
                  <c:v>545250.10421822988</c:v>
                </c:pt>
                <c:pt idx="2983">
                  <c:v>550524.05336971802</c:v>
                </c:pt>
                <c:pt idx="2984">
                  <c:v>545114.20394056069</c:v>
                </c:pt>
                <c:pt idx="2985">
                  <c:v>534551.35683780618</c:v>
                </c:pt>
                <c:pt idx="2986">
                  <c:v>526969.9343180107</c:v>
                </c:pt>
                <c:pt idx="2987">
                  <c:v>517439.75357213983</c:v>
                </c:pt>
                <c:pt idx="2988">
                  <c:v>515456.93093463656</c:v>
                </c:pt>
                <c:pt idx="2989">
                  <c:v>517563.22276495659</c:v>
                </c:pt>
                <c:pt idx="2990">
                  <c:v>515447.37633583503</c:v>
                </c:pt>
                <c:pt idx="2991">
                  <c:v>512640.50239129597</c:v>
                </c:pt>
                <c:pt idx="2992">
                  <c:v>516495.33577422082</c:v>
                </c:pt>
                <c:pt idx="2993">
                  <c:v>520444.92525213509</c:v>
                </c:pt>
                <c:pt idx="2994">
                  <c:v>513177.04532890761</c:v>
                </c:pt>
                <c:pt idx="2995">
                  <c:v>504044.19396709639</c:v>
                </c:pt>
                <c:pt idx="2996">
                  <c:v>503244.67036754958</c:v>
                </c:pt>
                <c:pt idx="2997">
                  <c:v>503031.12266812223</c:v>
                </c:pt>
                <c:pt idx="2998">
                  <c:v>497802.47590243118</c:v>
                </c:pt>
                <c:pt idx="2999">
                  <c:v>500591.56470165565</c:v>
                </c:pt>
                <c:pt idx="3000">
                  <c:v>498647.92639241565</c:v>
                </c:pt>
                <c:pt idx="3001">
                  <c:v>492034.10174441169</c:v>
                </c:pt>
                <c:pt idx="3002">
                  <c:v>492408.72986784251</c:v>
                </c:pt>
                <c:pt idx="3003">
                  <c:v>492000.91087549966</c:v>
                </c:pt>
                <c:pt idx="3004">
                  <c:v>493091.90917860623</c:v>
                </c:pt>
                <c:pt idx="3005">
                  <c:v>500161.25401798321</c:v>
                </c:pt>
                <c:pt idx="3006">
                  <c:v>507639.07554790849</c:v>
                </c:pt>
                <c:pt idx="3007">
                  <c:v>500268.42229338747</c:v>
                </c:pt>
                <c:pt idx="3008">
                  <c:v>493609.55768260075</c:v>
                </c:pt>
                <c:pt idx="3009">
                  <c:v>506342.51088932512</c:v>
                </c:pt>
                <c:pt idx="3010">
                  <c:v>503366.2593971928</c:v>
                </c:pt>
                <c:pt idx="3011">
                  <c:v>505373.91010253091</c:v>
                </c:pt>
                <c:pt idx="3012">
                  <c:v>499086.92744732293</c:v>
                </c:pt>
                <c:pt idx="3013">
                  <c:v>502238.33096223033</c:v>
                </c:pt>
                <c:pt idx="3014">
                  <c:v>508953.56964626518</c:v>
                </c:pt>
                <c:pt idx="3015">
                  <c:v>518417.2714422014</c:v>
                </c:pt>
                <c:pt idx="3016">
                  <c:v>521594.22037556488</c:v>
                </c:pt>
                <c:pt idx="3017">
                  <c:v>528143.45967639529</c:v>
                </c:pt>
                <c:pt idx="3018">
                  <c:v>528361.9008776336</c:v>
                </c:pt>
                <c:pt idx="3019">
                  <c:v>529876.60408208077</c:v>
                </c:pt>
                <c:pt idx="3020">
                  <c:v>524484.40224305273</c:v>
                </c:pt>
                <c:pt idx="3021">
                  <c:v>526162.01487872424</c:v>
                </c:pt>
                <c:pt idx="3022">
                  <c:v>525309.8745572737</c:v>
                </c:pt>
                <c:pt idx="3023">
                  <c:v>517256.98731362011</c:v>
                </c:pt>
                <c:pt idx="3024">
                  <c:v>516446.39096712018</c:v>
                </c:pt>
                <c:pt idx="3025">
                  <c:v>515340.94293543615</c:v>
                </c:pt>
                <c:pt idx="3026">
                  <c:v>531961.62259630323</c:v>
                </c:pt>
                <c:pt idx="3027">
                  <c:v>559388.43449082598</c:v>
                </c:pt>
                <c:pt idx="3028">
                  <c:v>547973.95731379755</c:v>
                </c:pt>
                <c:pt idx="3029">
                  <c:v>555252.52088137832</c:v>
                </c:pt>
                <c:pt idx="3030">
                  <c:v>613507.59374330076</c:v>
                </c:pt>
                <c:pt idx="3031">
                  <c:v>648657.88055206777</c:v>
                </c:pt>
                <c:pt idx="3032">
                  <c:v>644101.17982515681</c:v>
                </c:pt>
                <c:pt idx="3033">
                  <c:v>643876.62792324729</c:v>
                </c:pt>
                <c:pt idx="3034">
                  <c:v>653450.71993024775</c:v>
                </c:pt>
                <c:pt idx="3035">
                  <c:v>648998.01891604543</c:v>
                </c:pt>
                <c:pt idx="3036">
                  <c:v>647476.9798401891</c:v>
                </c:pt>
                <c:pt idx="3037">
                  <c:v>629083.14939163299</c:v>
                </c:pt>
                <c:pt idx="3038">
                  <c:v>609182.1818398746</c:v>
                </c:pt>
                <c:pt idx="3039">
                  <c:v>620789.63350495172</c:v>
                </c:pt>
                <c:pt idx="3040">
                  <c:v>625279.9175300895</c:v>
                </c:pt>
                <c:pt idx="3041">
                  <c:v>621047.43905142078</c:v>
                </c:pt>
                <c:pt idx="3042">
                  <c:v>613882.14938737405</c:v>
                </c:pt>
                <c:pt idx="3043">
                  <c:v>611518.49865703017</c:v>
                </c:pt>
                <c:pt idx="3044">
                  <c:v>612682.28316103609</c:v>
                </c:pt>
                <c:pt idx="3045">
                  <c:v>611678.42043190706</c:v>
                </c:pt>
                <c:pt idx="3046">
                  <c:v>622697.23285330483</c:v>
                </c:pt>
                <c:pt idx="3047">
                  <c:v>625650.21406613174</c:v>
                </c:pt>
                <c:pt idx="3048">
                  <c:v>618203.49542231788</c:v>
                </c:pt>
                <c:pt idx="3049">
                  <c:v>616895.84293301683</c:v>
                </c:pt>
                <c:pt idx="3050">
                  <c:v>621059.10154979466</c:v>
                </c:pt>
                <c:pt idx="3051">
                  <c:v>609264.52658212883</c:v>
                </c:pt>
                <c:pt idx="3052">
                  <c:v>610998.34272106295</c:v>
                </c:pt>
                <c:pt idx="3053">
                  <c:v>610976.40202064766</c:v>
                </c:pt>
                <c:pt idx="3054">
                  <c:v>609924.53801714699</c:v>
                </c:pt>
                <c:pt idx="3055">
                  <c:v>601752.38995588082</c:v>
                </c:pt>
                <c:pt idx="3056">
                  <c:v>599021.04701707</c:v>
                </c:pt>
                <c:pt idx="3057">
                  <c:v>599845.84168367763</c:v>
                </c:pt>
                <c:pt idx="3058">
                  <c:v>599759.49168688664</c:v>
                </c:pt>
                <c:pt idx="3059">
                  <c:v>607061.04089136177</c:v>
                </c:pt>
                <c:pt idx="3060">
                  <c:v>605728.06228948163</c:v>
                </c:pt>
                <c:pt idx="3061">
                  <c:v>601503.80192877771</c:v>
                </c:pt>
                <c:pt idx="3062">
                  <c:v>607973.35823445034</c:v>
                </c:pt>
                <c:pt idx="3063">
                  <c:v>603925.02570244623</c:v>
                </c:pt>
                <c:pt idx="3064">
                  <c:v>609644.59515180369</c:v>
                </c:pt>
                <c:pt idx="3065">
                  <c:v>598242.40946532076</c:v>
                </c:pt>
                <c:pt idx="3066">
                  <c:v>598020.68112633703</c:v>
                </c:pt>
                <c:pt idx="3067">
                  <c:v>592034.70734212687</c:v>
                </c:pt>
                <c:pt idx="3068">
                  <c:v>596269.14669440698</c:v>
                </c:pt>
                <c:pt idx="3069">
                  <c:v>598024.15045855276</c:v>
                </c:pt>
                <c:pt idx="3070">
                  <c:v>607695.58008166298</c:v>
                </c:pt>
                <c:pt idx="3071">
                  <c:v>595551.79812920175</c:v>
                </c:pt>
                <c:pt idx="3072">
                  <c:v>578740.57755391765</c:v>
                </c:pt>
                <c:pt idx="3073">
                  <c:v>579961.99220569187</c:v>
                </c:pt>
                <c:pt idx="3074">
                  <c:v>578496.21487650485</c:v>
                </c:pt>
                <c:pt idx="3075">
                  <c:v>578078.97294000559</c:v>
                </c:pt>
                <c:pt idx="3076">
                  <c:v>573369.18360488769</c:v>
                </c:pt>
                <c:pt idx="3077">
                  <c:v>571890.05721265159</c:v>
                </c:pt>
                <c:pt idx="3078">
                  <c:v>548964.2748138227</c:v>
                </c:pt>
                <c:pt idx="3079">
                  <c:v>536475.46529339859</c:v>
                </c:pt>
                <c:pt idx="3080">
                  <c:v>538899.78263655247</c:v>
                </c:pt>
                <c:pt idx="3081">
                  <c:v>533889.20162645215</c:v>
                </c:pt>
                <c:pt idx="3082">
                  <c:v>536757.59368578519</c:v>
                </c:pt>
                <c:pt idx="3083">
                  <c:v>536299.1420747122</c:v>
                </c:pt>
                <c:pt idx="3084">
                  <c:v>537148.81081064173</c:v>
                </c:pt>
                <c:pt idx="3085">
                  <c:v>522493.83074372058</c:v>
                </c:pt>
                <c:pt idx="3086">
                  <c:v>516767.11162150686</c:v>
                </c:pt>
                <c:pt idx="3087">
                  <c:v>506795.41123216395</c:v>
                </c:pt>
                <c:pt idx="3088">
                  <c:v>513783.70936134108</c:v>
                </c:pt>
                <c:pt idx="3089">
                  <c:v>540432.67688519775</c:v>
                </c:pt>
                <c:pt idx="3090">
                  <c:v>533365.8997113111</c:v>
                </c:pt>
                <c:pt idx="3091">
                  <c:v>533196.98770803935</c:v>
                </c:pt>
                <c:pt idx="3092">
                  <c:v>526566.54305131163</c:v>
                </c:pt>
                <c:pt idx="3093">
                  <c:v>515591.83302123955</c:v>
                </c:pt>
                <c:pt idx="3094">
                  <c:v>519305.02089401666</c:v>
                </c:pt>
                <c:pt idx="3095">
                  <c:v>520676.04029032623</c:v>
                </c:pt>
                <c:pt idx="3096">
                  <c:v>517330.71350303054</c:v>
                </c:pt>
                <c:pt idx="3097">
                  <c:v>518024.4915878895</c:v>
                </c:pt>
                <c:pt idx="3098">
                  <c:v>518032.26973583025</c:v>
                </c:pt>
                <c:pt idx="3099">
                  <c:v>517933.36598986801</c:v>
                </c:pt>
                <c:pt idx="3100">
                  <c:v>515385.7879087209</c:v>
                </c:pt>
                <c:pt idx="3101">
                  <c:v>516554.51311527542</c:v>
                </c:pt>
                <c:pt idx="3102">
                  <c:v>516510.46515371627</c:v>
                </c:pt>
                <c:pt idx="3103">
                  <c:v>514376.4468375115</c:v>
                </c:pt>
                <c:pt idx="3104">
                  <c:v>509319.68991607882</c:v>
                </c:pt>
                <c:pt idx="3105">
                  <c:v>506969.8996562048</c:v>
                </c:pt>
                <c:pt idx="3106">
                  <c:v>527236.30472364102</c:v>
                </c:pt>
                <c:pt idx="3107">
                  <c:v>545654.59404033876</c:v>
                </c:pt>
                <c:pt idx="3108">
                  <c:v>539589.55193222919</c:v>
                </c:pt>
                <c:pt idx="3109">
                  <c:v>547672.40341294452</c:v>
                </c:pt>
                <c:pt idx="3110">
                  <c:v>543965.50504551176</c:v>
                </c:pt>
                <c:pt idx="3111">
                  <c:v>547851.68163034087</c:v>
                </c:pt>
                <c:pt idx="3112">
                  <c:v>543251.18686922861</c:v>
                </c:pt>
                <c:pt idx="3113">
                  <c:v>549153.6111214807</c:v>
                </c:pt>
                <c:pt idx="3114">
                  <c:v>566757.48922536348</c:v>
                </c:pt>
                <c:pt idx="3115">
                  <c:v>558483.78728830046</c:v>
                </c:pt>
                <c:pt idx="3116">
                  <c:v>554392.33276660542</c:v>
                </c:pt>
                <c:pt idx="3117">
                  <c:v>540807.06798590056</c:v>
                </c:pt>
                <c:pt idx="3118">
                  <c:v>560020.46344824741</c:v>
                </c:pt>
                <c:pt idx="3119">
                  <c:v>560653.10172257444</c:v>
                </c:pt>
                <c:pt idx="3120">
                  <c:v>565375.13563833619</c:v>
                </c:pt>
                <c:pt idx="3121">
                  <c:v>544204.96010361752</c:v>
                </c:pt>
                <c:pt idx="3122">
                  <c:v>535844.98314052192</c:v>
                </c:pt>
                <c:pt idx="3123">
                  <c:v>537288.69548296416</c:v>
                </c:pt>
                <c:pt idx="3124">
                  <c:v>536893.79764852999</c:v>
                </c:pt>
                <c:pt idx="3125">
                  <c:v>527417.43056141911</c:v>
                </c:pt>
                <c:pt idx="3126">
                  <c:v>539327.66686852486</c:v>
                </c:pt>
                <c:pt idx="3127">
                  <c:v>534615.74747333094</c:v>
                </c:pt>
                <c:pt idx="3128">
                  <c:v>534020.40898842248</c:v>
                </c:pt>
                <c:pt idx="3129">
                  <c:v>533199.85637396923</c:v>
                </c:pt>
                <c:pt idx="3130">
                  <c:v>524323.96113216283</c:v>
                </c:pt>
                <c:pt idx="3131">
                  <c:v>532662.3419793559</c:v>
                </c:pt>
                <c:pt idx="3132">
                  <c:v>541509.5459964833</c:v>
                </c:pt>
                <c:pt idx="3133">
                  <c:v>554338.66257923725</c:v>
                </c:pt>
                <c:pt idx="3134">
                  <c:v>517719.68526506302</c:v>
                </c:pt>
                <c:pt idx="3135">
                  <c:v>518914.60560430103</c:v>
                </c:pt>
                <c:pt idx="3136">
                  <c:v>512587.57243901264</c:v>
                </c:pt>
                <c:pt idx="3137">
                  <c:v>511658.19385893212</c:v>
                </c:pt>
                <c:pt idx="3138">
                  <c:v>511791.30813558475</c:v>
                </c:pt>
                <c:pt idx="3139">
                  <c:v>512821.96300129191</c:v>
                </c:pt>
                <c:pt idx="3140">
                  <c:v>515873.21571310901</c:v>
                </c:pt>
                <c:pt idx="3141">
                  <c:v>522116.66880075709</c:v>
                </c:pt>
                <c:pt idx="3142">
                  <c:v>509302.83398196206</c:v>
                </c:pt>
                <c:pt idx="3143">
                  <c:v>511297.45207775169</c:v>
                </c:pt>
                <c:pt idx="3144">
                  <c:v>509808.20020504418</c:v>
                </c:pt>
                <c:pt idx="3145">
                  <c:v>506256.54324828146</c:v>
                </c:pt>
                <c:pt idx="3146">
                  <c:v>525297.78551286191</c:v>
                </c:pt>
                <c:pt idx="3147">
                  <c:v>522499.20897032914</c:v>
                </c:pt>
                <c:pt idx="3148">
                  <c:v>532114.64838391799</c:v>
                </c:pt>
                <c:pt idx="3149">
                  <c:v>519989.31455127476</c:v>
                </c:pt>
                <c:pt idx="3150">
                  <c:v>520693.23835717374</c:v>
                </c:pt>
                <c:pt idx="3151">
                  <c:v>520793.87030709843</c:v>
                </c:pt>
                <c:pt idx="3152">
                  <c:v>519195.26183192548</c:v>
                </c:pt>
                <c:pt idx="3153">
                  <c:v>523821.48981379915</c:v>
                </c:pt>
                <c:pt idx="3154">
                  <c:v>520869.17768185661</c:v>
                </c:pt>
                <c:pt idx="3155">
                  <c:v>520012.80997395015</c:v>
                </c:pt>
                <c:pt idx="3156">
                  <c:v>512538.43323026673</c:v>
                </c:pt>
                <c:pt idx="3157">
                  <c:v>513260.66182562429</c:v>
                </c:pt>
                <c:pt idx="3158">
                  <c:v>515881.23727677827</c:v>
                </c:pt>
                <c:pt idx="3159">
                  <c:v>513255.26308681269</c:v>
                </c:pt>
                <c:pt idx="3160">
                  <c:v>516142.61599501857</c:v>
                </c:pt>
                <c:pt idx="3161">
                  <c:v>528003.72306335415</c:v>
                </c:pt>
                <c:pt idx="3162">
                  <c:v>527988.01828411105</c:v>
                </c:pt>
                <c:pt idx="3163">
                  <c:v>543032.39172631863</c:v>
                </c:pt>
                <c:pt idx="3164">
                  <c:v>544360.23484564258</c:v>
                </c:pt>
                <c:pt idx="3165">
                  <c:v>548076.85667177453</c:v>
                </c:pt>
                <c:pt idx="3166">
                  <c:v>577135.80089307087</c:v>
                </c:pt>
                <c:pt idx="3167">
                  <c:v>607108.88213047769</c:v>
                </c:pt>
                <c:pt idx="3168">
                  <c:v>686407.29092978511</c:v>
                </c:pt>
                <c:pt idx="3169">
                  <c:v>687923.94615661819</c:v>
                </c:pt>
                <c:pt idx="3170">
                  <c:v>671858.81858666497</c:v>
                </c:pt>
                <c:pt idx="3171">
                  <c:v>702726.33216712193</c:v>
                </c:pt>
                <c:pt idx="3172">
                  <c:v>734576.07115372072</c:v>
                </c:pt>
                <c:pt idx="3173">
                  <c:v>678987.17780216667</c:v>
                </c:pt>
                <c:pt idx="3174">
                  <c:v>703030.88283323857</c:v>
                </c:pt>
                <c:pt idx="3175">
                  <c:v>688469.21008757723</c:v>
                </c:pt>
                <c:pt idx="3176">
                  <c:v>732521.78190382314</c:v>
                </c:pt>
                <c:pt idx="3177">
                  <c:v>750397.55862865492</c:v>
                </c:pt>
                <c:pt idx="3178">
                  <c:v>731513.43199559883</c:v>
                </c:pt>
                <c:pt idx="3179">
                  <c:v>742289.81762306753</c:v>
                </c:pt>
                <c:pt idx="3180">
                  <c:v>723308.7283490313</c:v>
                </c:pt>
                <c:pt idx="3181">
                  <c:v>761932.08950804919</c:v>
                </c:pt>
                <c:pt idx="3182">
                  <c:v>715553.26874528301</c:v>
                </c:pt>
                <c:pt idx="3183">
                  <c:v>724232.89188701916</c:v>
                </c:pt>
                <c:pt idx="3184">
                  <c:v>715391.51751086768</c:v>
                </c:pt>
                <c:pt idx="3185">
                  <c:v>741112.33419352211</c:v>
                </c:pt>
                <c:pt idx="3186">
                  <c:v>754903.50240398047</c:v>
                </c:pt>
                <c:pt idx="3187">
                  <c:v>755184.56103573367</c:v>
                </c:pt>
                <c:pt idx="3188">
                  <c:v>813112.41576155496</c:v>
                </c:pt>
                <c:pt idx="3189">
                  <c:v>761130.56509532069</c:v>
                </c:pt>
                <c:pt idx="3190">
                  <c:v>736420.59956152155</c:v>
                </c:pt>
                <c:pt idx="3191">
                  <c:v>747675.07543081662</c:v>
                </c:pt>
                <c:pt idx="3192">
                  <c:v>737711.2025354855</c:v>
                </c:pt>
                <c:pt idx="3193">
                  <c:v>723411.53646394424</c:v>
                </c:pt>
                <c:pt idx="3194">
                  <c:v>729399.51807879342</c:v>
                </c:pt>
                <c:pt idx="3195">
                  <c:v>739606.75242738368</c:v>
                </c:pt>
                <c:pt idx="3196">
                  <c:v>704896.43671783432</c:v>
                </c:pt>
                <c:pt idx="3197">
                  <c:v>710636.76648879074</c:v>
                </c:pt>
                <c:pt idx="3198">
                  <c:v>695522.20552433375</c:v>
                </c:pt>
                <c:pt idx="3199">
                  <c:v>714190.97742671974</c:v>
                </c:pt>
                <c:pt idx="3200">
                  <c:v>710887.9119980752</c:v>
                </c:pt>
                <c:pt idx="3201">
                  <c:v>720271.72363968205</c:v>
                </c:pt>
                <c:pt idx="3202">
                  <c:v>735335.00356947759</c:v>
                </c:pt>
                <c:pt idx="3203">
                  <c:v>765057.20601159253</c:v>
                </c:pt>
                <c:pt idx="3204">
                  <c:v>689705.00541620119</c:v>
                </c:pt>
                <c:pt idx="3205">
                  <c:v>626380.68105027929</c:v>
                </c:pt>
                <c:pt idx="3206">
                  <c:v>608469.09933033702</c:v>
                </c:pt>
                <c:pt idx="3207">
                  <c:v>595496.10854589904</c:v>
                </c:pt>
                <c:pt idx="3208">
                  <c:v>588756.88610658352</c:v>
                </c:pt>
                <c:pt idx="3209">
                  <c:v>586085.21465732111</c:v>
                </c:pt>
                <c:pt idx="3210">
                  <c:v>580399.56475661544</c:v>
                </c:pt>
                <c:pt idx="3211">
                  <c:v>594935.29706043017</c:v>
                </c:pt>
                <c:pt idx="3212">
                  <c:v>608324.00403061556</c:v>
                </c:pt>
                <c:pt idx="3213">
                  <c:v>598266.54580711119</c:v>
                </c:pt>
                <c:pt idx="3214">
                  <c:v>603122.74933768914</c:v>
                </c:pt>
                <c:pt idx="3215">
                  <c:v>596926.59734128031</c:v>
                </c:pt>
                <c:pt idx="3216">
                  <c:v>628505.86863606551</c:v>
                </c:pt>
                <c:pt idx="3217">
                  <c:v>637796.7321355124</c:v>
                </c:pt>
                <c:pt idx="3218">
                  <c:v>655356.16434133949</c:v>
                </c:pt>
                <c:pt idx="3219">
                  <c:v>641395.88599644625</c:v>
                </c:pt>
                <c:pt idx="3220">
                  <c:v>646807.2770829784</c:v>
                </c:pt>
                <c:pt idx="3221">
                  <c:v>662423.69769731455</c:v>
                </c:pt>
                <c:pt idx="3222">
                  <c:v>639982.66793293925</c:v>
                </c:pt>
                <c:pt idx="3223">
                  <c:v>604894.10116065014</c:v>
                </c:pt>
                <c:pt idx="3224">
                  <c:v>607412.57262259698</c:v>
                </c:pt>
                <c:pt idx="3225">
                  <c:v>607574.82965230383</c:v>
                </c:pt>
                <c:pt idx="3226">
                  <c:v>614204.34833342454</c:v>
                </c:pt>
                <c:pt idx="3227">
                  <c:v>623454.27293856698</c:v>
                </c:pt>
                <c:pt idx="3228">
                  <c:v>629144.85700517904</c:v>
                </c:pt>
                <c:pt idx="3229">
                  <c:v>630229.68711369834</c:v>
                </c:pt>
                <c:pt idx="3230">
                  <c:v>644177.44675403018</c:v>
                </c:pt>
                <c:pt idx="3231">
                  <c:v>629421.62454721564</c:v>
                </c:pt>
                <c:pt idx="3232">
                  <c:v>633808.07963999896</c:v>
                </c:pt>
                <c:pt idx="3233">
                  <c:v>630611.74469912844</c:v>
                </c:pt>
                <c:pt idx="3234">
                  <c:v>612193.42661830562</c:v>
                </c:pt>
                <c:pt idx="3235">
                  <c:v>614615.18951620418</c:v>
                </c:pt>
                <c:pt idx="3236">
                  <c:v>618575.18236335798</c:v>
                </c:pt>
                <c:pt idx="3237">
                  <c:v>628992.35267317423</c:v>
                </c:pt>
                <c:pt idx="3238">
                  <c:v>628761.83615016181</c:v>
                </c:pt>
                <c:pt idx="3239">
                  <c:v>621241.9326534007</c:v>
                </c:pt>
                <c:pt idx="3240">
                  <c:v>644919.6945819729</c:v>
                </c:pt>
                <c:pt idx="3241">
                  <c:v>659473.41543063149</c:v>
                </c:pt>
                <c:pt idx="3242">
                  <c:v>682094.3918576513</c:v>
                </c:pt>
                <c:pt idx="3243">
                  <c:v>687762.89340492862</c:v>
                </c:pt>
                <c:pt idx="3244">
                  <c:v>698452.06315076421</c:v>
                </c:pt>
                <c:pt idx="3245">
                  <c:v>687223.71729030891</c:v>
                </c:pt>
                <c:pt idx="3246">
                  <c:v>681747.00898116874</c:v>
                </c:pt>
                <c:pt idx="3247">
                  <c:v>687699.85862579674</c:v>
                </c:pt>
                <c:pt idx="3248">
                  <c:v>681300.29758216371</c:v>
                </c:pt>
                <c:pt idx="3249">
                  <c:v>683502.55388677353</c:v>
                </c:pt>
                <c:pt idx="3250">
                  <c:v>690184.84891137527</c:v>
                </c:pt>
                <c:pt idx="3251">
                  <c:v>724672.60488620226</c:v>
                </c:pt>
                <c:pt idx="3252">
                  <c:v>736406.21825009002</c:v>
                </c:pt>
                <c:pt idx="3253">
                  <c:v>813499.41007220349</c:v>
                </c:pt>
                <c:pt idx="3254">
                  <c:v>839827.44836456713</c:v>
                </c:pt>
                <c:pt idx="3255">
                  <c:v>841534.10437288263</c:v>
                </c:pt>
                <c:pt idx="3256">
                  <c:v>862160.98420780688</c:v>
                </c:pt>
                <c:pt idx="3257">
                  <c:v>840478.76171023736</c:v>
                </c:pt>
                <c:pt idx="3258">
                  <c:v>849017.12320031202</c:v>
                </c:pt>
                <c:pt idx="3259">
                  <c:v>918305.77522529964</c:v>
                </c:pt>
                <c:pt idx="3260">
                  <c:v>873217.2653934448</c:v>
                </c:pt>
                <c:pt idx="3261">
                  <c:v>895163.81915355613</c:v>
                </c:pt>
                <c:pt idx="3262">
                  <c:v>907373.92563155608</c:v>
                </c:pt>
                <c:pt idx="3263">
                  <c:v>946811.06991148146</c:v>
                </c:pt>
                <c:pt idx="3264">
                  <c:v>937610.89600675646</c:v>
                </c:pt>
                <c:pt idx="3265">
                  <c:v>906825.75002679636</c:v>
                </c:pt>
                <c:pt idx="3266">
                  <c:v>927326.41949569725</c:v>
                </c:pt>
                <c:pt idx="3267">
                  <c:v>952508.86392098269</c:v>
                </c:pt>
                <c:pt idx="3268">
                  <c:v>1106639.5701690477</c:v>
                </c:pt>
                <c:pt idx="3269">
                  <c:v>1153036.6225061</c:v>
                </c:pt>
                <c:pt idx="3270">
                  <c:v>1144993.1970586998</c:v>
                </c:pt>
                <c:pt idx="3271">
                  <c:v>1136916.4870757088</c:v>
                </c:pt>
                <c:pt idx="3272">
                  <c:v>1097457.5375126605</c:v>
                </c:pt>
                <c:pt idx="3273">
                  <c:v>1116276.2804597714</c:v>
                </c:pt>
                <c:pt idx="3274">
                  <c:v>1187656.0037490751</c:v>
                </c:pt>
                <c:pt idx="3275">
                  <c:v>1255263.2016627628</c:v>
                </c:pt>
                <c:pt idx="3276">
                  <c:v>1250694.4800677099</c:v>
                </c:pt>
                <c:pt idx="3277">
                  <c:v>1226131.0871268399</c:v>
                </c:pt>
                <c:pt idx="3278">
                  <c:v>1236632.8258000922</c:v>
                </c:pt>
                <c:pt idx="3279">
                  <c:v>1300342.7496722874</c:v>
                </c:pt>
                <c:pt idx="3280">
                  <c:v>1440341.0083190124</c:v>
                </c:pt>
                <c:pt idx="3281">
                  <c:v>1538666.9679402024</c:v>
                </c:pt>
                <c:pt idx="3282">
                  <c:v>1575453.8286129795</c:v>
                </c:pt>
                <c:pt idx="3283">
                  <c:v>1676949.4361668751</c:v>
                </c:pt>
                <c:pt idx="3284">
                  <c:v>1692788.1765092281</c:v>
                </c:pt>
                <c:pt idx="3285">
                  <c:v>1604112.440062599</c:v>
                </c:pt>
                <c:pt idx="3286">
                  <c:v>1605426.8425188118</c:v>
                </c:pt>
                <c:pt idx="3287">
                  <c:v>1792440.4957055047</c:v>
                </c:pt>
                <c:pt idx="3288">
                  <c:v>1753353.1687053151</c:v>
                </c:pt>
                <c:pt idx="3289">
                  <c:v>1347512.2488209023</c:v>
                </c:pt>
                <c:pt idx="3290">
                  <c:v>1292638.506604543</c:v>
                </c:pt>
                <c:pt idx="3291">
                  <c:v>1436119.4480125115</c:v>
                </c:pt>
                <c:pt idx="3292">
                  <c:v>1530727.8066040447</c:v>
                </c:pt>
                <c:pt idx="3293">
                  <c:v>1721495.163901506</c:v>
                </c:pt>
                <c:pt idx="3294">
                  <c:v>1715847.0100534807</c:v>
                </c:pt>
                <c:pt idx="3295">
                  <c:v>1654379.4281911557</c:v>
                </c:pt>
                <c:pt idx="3296">
                  <c:v>1755214.1924149243</c:v>
                </c:pt>
                <c:pt idx="3297">
                  <c:v>1656905.2860640706</c:v>
                </c:pt>
                <c:pt idx="3298">
                  <c:v>1677480.0681120313</c:v>
                </c:pt>
                <c:pt idx="3299">
                  <c:v>1684847.6292783297</c:v>
                </c:pt>
                <c:pt idx="3300">
                  <c:v>1706884.336590627</c:v>
                </c:pt>
                <c:pt idx="3301">
                  <c:v>1633020.5062312095</c:v>
                </c:pt>
                <c:pt idx="3302">
                  <c:v>1559526.5858803629</c:v>
                </c:pt>
                <c:pt idx="3303">
                  <c:v>1523044.2586073815</c:v>
                </c:pt>
                <c:pt idx="3304">
                  <c:v>1519437.1551292948</c:v>
                </c:pt>
                <c:pt idx="3305">
                  <c:v>1563927.9157529725</c:v>
                </c:pt>
                <c:pt idx="3306">
                  <c:v>1694052.4472430041</c:v>
                </c:pt>
                <c:pt idx="3307">
                  <c:v>1695104.2778482148</c:v>
                </c:pt>
                <c:pt idx="3308">
                  <c:v>1730548.7385785382</c:v>
                </c:pt>
                <c:pt idx="3309">
                  <c:v>1948431.9428639973</c:v>
                </c:pt>
                <c:pt idx="3310">
                  <c:v>2451144.2978278389</c:v>
                </c:pt>
                <c:pt idx="3311">
                  <c:v>2290894.9146717074</c:v>
                </c:pt>
                <c:pt idx="3312">
                  <c:v>2493100.1941306749</c:v>
                </c:pt>
                <c:pt idx="3313">
                  <c:v>2562359.188203169</c:v>
                </c:pt>
                <c:pt idx="3314">
                  <c:v>2364678.8302407009</c:v>
                </c:pt>
                <c:pt idx="3315">
                  <c:v>2461516.5526823178</c:v>
                </c:pt>
                <c:pt idx="3316">
                  <c:v>2454259.0724361767</c:v>
                </c:pt>
                <c:pt idx="3317">
                  <c:v>2625613.2682080492</c:v>
                </c:pt>
                <c:pt idx="3318">
                  <c:v>2588590.533004879</c:v>
                </c:pt>
                <c:pt idx="3319">
                  <c:v>2942160.3906352334</c:v>
                </c:pt>
                <c:pt idx="3320">
                  <c:v>3376011.3257721392</c:v>
                </c:pt>
                <c:pt idx="3321">
                  <c:v>3265153.6805649977</c:v>
                </c:pt>
                <c:pt idx="3322">
                  <c:v>3182184.2157571483</c:v>
                </c:pt>
                <c:pt idx="3323">
                  <c:v>3568574.9670953932</c:v>
                </c:pt>
                <c:pt idx="3324">
                  <c:v>3740077.2604987947</c:v>
                </c:pt>
                <c:pt idx="3325">
                  <c:v>3853475.1147673158</c:v>
                </c:pt>
                <c:pt idx="3326">
                  <c:v>4517349.1627583634</c:v>
                </c:pt>
                <c:pt idx="3327">
                  <c:v>5130724.3447046643</c:v>
                </c:pt>
                <c:pt idx="3328">
                  <c:v>4524201.3627856169</c:v>
                </c:pt>
                <c:pt idx="3329">
                  <c:v>4626813.0180654759</c:v>
                </c:pt>
                <c:pt idx="3330">
                  <c:v>5404166.6673264522</c:v>
                </c:pt>
                <c:pt idx="3331">
                  <c:v>6886168.1060995534</c:v>
                </c:pt>
                <c:pt idx="3332">
                  <c:v>7569504.0002989043</c:v>
                </c:pt>
                <c:pt idx="3333">
                  <c:v>7556179.3145730672</c:v>
                </c:pt>
                <c:pt idx="3334">
                  <c:v>7172199.1656630011</c:v>
                </c:pt>
                <c:pt idx="3335">
                  <c:v>4078528.8218034799</c:v>
                </c:pt>
                <c:pt idx="3336">
                  <c:v>4650115.0604391797</c:v>
                </c:pt>
                <c:pt idx="3337">
                  <c:v>4873189.31285094</c:v>
                </c:pt>
                <c:pt idx="3338">
                  <c:v>6269820.4065400744</c:v>
                </c:pt>
                <c:pt idx="3339">
                  <c:v>5010325.4791119006</c:v>
                </c:pt>
                <c:pt idx="3340">
                  <c:v>5508805.7413241463</c:v>
                </c:pt>
                <c:pt idx="3341">
                  <c:v>5014177.2822399801</c:v>
                </c:pt>
                <c:pt idx="3342">
                  <c:v>5227451.2250141539</c:v>
                </c:pt>
                <c:pt idx="3343">
                  <c:v>5459392.1974603459</c:v>
                </c:pt>
                <c:pt idx="3344">
                  <c:v>4533819.0365317371</c:v>
                </c:pt>
                <c:pt idx="3345">
                  <c:v>3780531.8553296216</c:v>
                </c:pt>
                <c:pt idx="3346">
                  <c:v>4003466.1732687657</c:v>
                </c:pt>
                <c:pt idx="3347">
                  <c:v>3893378.1104630576</c:v>
                </c:pt>
                <c:pt idx="3348">
                  <c:v>3905429.6537588527</c:v>
                </c:pt>
                <c:pt idx="3349">
                  <c:v>4482873.2068206053</c:v>
                </c:pt>
                <c:pt idx="3350">
                  <c:v>3825372.9405556703</c:v>
                </c:pt>
                <c:pt idx="3351">
                  <c:v>3525212.8688298604</c:v>
                </c:pt>
                <c:pt idx="3352">
                  <c:v>3840786.3530538329</c:v>
                </c:pt>
                <c:pt idx="3353">
                  <c:v>5026274.6503007784</c:v>
                </c:pt>
                <c:pt idx="3354">
                  <c:v>4301558.6220702445</c:v>
                </c:pt>
                <c:pt idx="3355">
                  <c:v>3981777.5415980392</c:v>
                </c:pt>
                <c:pt idx="3356">
                  <c:v>4066659.6339585232</c:v>
                </c:pt>
                <c:pt idx="3357">
                  <c:v>4373659.7882724525</c:v>
                </c:pt>
                <c:pt idx="3358">
                  <c:v>4930000.7352703018</c:v>
                </c:pt>
                <c:pt idx="3359">
                  <c:v>4872709.4185290765</c:v>
                </c:pt>
                <c:pt idx="3360">
                  <c:v>5206385.3177611604</c:v>
                </c:pt>
                <c:pt idx="3361">
                  <c:v>6016916.2875334015</c:v>
                </c:pt>
                <c:pt idx="3362">
                  <c:v>5182750.1043947442</c:v>
                </c:pt>
                <c:pt idx="3363">
                  <c:v>6746106.2461362369</c:v>
                </c:pt>
                <c:pt idx="3364">
                  <c:v>7793226.9825353893</c:v>
                </c:pt>
                <c:pt idx="3365">
                  <c:v>6891582.9923183555</c:v>
                </c:pt>
                <c:pt idx="3366">
                  <c:v>8076900.0186132267</c:v>
                </c:pt>
                <c:pt idx="3367">
                  <c:v>7750561.9667453738</c:v>
                </c:pt>
                <c:pt idx="3368">
                  <c:v>7796923.83451619</c:v>
                </c:pt>
                <c:pt idx="3369">
                  <c:v>8255656.5185946608</c:v>
                </c:pt>
                <c:pt idx="3370">
                  <c:v>8071168.3879891932</c:v>
                </c:pt>
                <c:pt idx="3371">
                  <c:v>8456356.0308366083</c:v>
                </c:pt>
                <c:pt idx="3372">
                  <c:v>9234048.3203388788</c:v>
                </c:pt>
                <c:pt idx="3373">
                  <c:v>9394995.3497072291</c:v>
                </c:pt>
                <c:pt idx="3374">
                  <c:v>10229933.20432166</c:v>
                </c:pt>
                <c:pt idx="3375">
                  <c:v>11322865.581850963</c:v>
                </c:pt>
                <c:pt idx="3376">
                  <c:v>11662082.533307699</c:v>
                </c:pt>
                <c:pt idx="3377">
                  <c:v>9951661.410697164</c:v>
                </c:pt>
                <c:pt idx="3378">
                  <c:v>7963442.9082784643</c:v>
                </c:pt>
                <c:pt idx="3379">
                  <c:v>8417284.6766094733</c:v>
                </c:pt>
                <c:pt idx="3380">
                  <c:v>8808196.5549422782</c:v>
                </c:pt>
                <c:pt idx="3381">
                  <c:v>7736815.3455597274</c:v>
                </c:pt>
                <c:pt idx="3382">
                  <c:v>7410437.4674814604</c:v>
                </c:pt>
                <c:pt idx="3383">
                  <c:v>6442996.4249945041</c:v>
                </c:pt>
                <c:pt idx="3384">
                  <c:v>8082960.1010456635</c:v>
                </c:pt>
                <c:pt idx="3385">
                  <c:v>7916350.4198785452</c:v>
                </c:pt>
                <c:pt idx="3386">
                  <c:v>8619382.7400957104</c:v>
                </c:pt>
                <c:pt idx="3387">
                  <c:v>8198495.3378343312</c:v>
                </c:pt>
                <c:pt idx="3388">
                  <c:v>7707534.5697581219</c:v>
                </c:pt>
                <c:pt idx="3389">
                  <c:v>7477336.6345373252</c:v>
                </c:pt>
                <c:pt idx="3390">
                  <c:v>8482495.0217038095</c:v>
                </c:pt>
                <c:pt idx="3391">
                  <c:v>8659266.017547749</c:v>
                </c:pt>
                <c:pt idx="3392">
                  <c:v>9698969.8960720692</c:v>
                </c:pt>
                <c:pt idx="3393">
                  <c:v>10565578.553755071</c:v>
                </c:pt>
                <c:pt idx="3394">
                  <c:v>10602188.725653702</c:v>
                </c:pt>
                <c:pt idx="3395">
                  <c:v>10815138.232676532</c:v>
                </c:pt>
                <c:pt idx="3396">
                  <c:v>11893037.18284389</c:v>
                </c:pt>
                <c:pt idx="3397">
                  <c:v>11891606.564104043</c:v>
                </c:pt>
                <c:pt idx="3398">
                  <c:v>10449530.235229967</c:v>
                </c:pt>
                <c:pt idx="3399">
                  <c:v>10260679.547987636</c:v>
                </c:pt>
                <c:pt idx="3400">
                  <c:v>9959724.5693020523</c:v>
                </c:pt>
                <c:pt idx="3401">
                  <c:v>11657721.746426102</c:v>
                </c:pt>
                <c:pt idx="3402">
                  <c:v>11496315.904511932</c:v>
                </c:pt>
                <c:pt idx="3403">
                  <c:v>11567413.776778817</c:v>
                </c:pt>
                <c:pt idx="3404">
                  <c:v>10756654.314634476</c:v>
                </c:pt>
                <c:pt idx="3405">
                  <c:v>10731990.895272655</c:v>
                </c:pt>
                <c:pt idx="3406">
                  <c:v>9985244.1954771578</c:v>
                </c:pt>
                <c:pt idx="3407">
                  <c:v>10372885.030136935</c:v>
                </c:pt>
                <c:pt idx="3408">
                  <c:v>8535797.1535266768</c:v>
                </c:pt>
                <c:pt idx="3409">
                  <c:v>9249723.9303362705</c:v>
                </c:pt>
                <c:pt idx="3410">
                  <c:v>9813261.9775058907</c:v>
                </c:pt>
                <c:pt idx="3411">
                  <c:v>10290317.406544447</c:v>
                </c:pt>
                <c:pt idx="3412">
                  <c:v>10818490.563424435</c:v>
                </c:pt>
                <c:pt idx="3413">
                  <c:v>11175279.112942712</c:v>
                </c:pt>
                <c:pt idx="3414">
                  <c:v>11434526.113783928</c:v>
                </c:pt>
                <c:pt idx="3415">
                  <c:v>11284315.659624055</c:v>
                </c:pt>
                <c:pt idx="3416">
                  <c:v>11484071.344170444</c:v>
                </c:pt>
                <c:pt idx="3417">
                  <c:v>11257224.146550039</c:v>
                </c:pt>
                <c:pt idx="3418">
                  <c:v>10894658.566925887</c:v>
                </c:pt>
                <c:pt idx="3419">
                  <c:v>11273977.766712535</c:v>
                </c:pt>
                <c:pt idx="3420">
                  <c:v>10910618.513527669</c:v>
                </c:pt>
                <c:pt idx="3421">
                  <c:v>10368434.38055478</c:v>
                </c:pt>
                <c:pt idx="3422">
                  <c:v>10828192.222260805</c:v>
                </c:pt>
                <c:pt idx="3423">
                  <c:v>10958150.971010571</c:v>
                </c:pt>
                <c:pt idx="3424">
                  <c:v>11744250.167991273</c:v>
                </c:pt>
                <c:pt idx="3425">
                  <c:v>11522070.647815153</c:v>
                </c:pt>
                <c:pt idx="3426">
                  <c:v>11596959.402493002</c:v>
                </c:pt>
                <c:pt idx="3427">
                  <c:v>12828131.060448948</c:v>
                </c:pt>
                <c:pt idx="3428">
                  <c:v>12740631.513880325</c:v>
                </c:pt>
                <c:pt idx="3429">
                  <c:v>12633531.960202288</c:v>
                </c:pt>
                <c:pt idx="3430">
                  <c:v>12138984.446131747</c:v>
                </c:pt>
                <c:pt idx="3431">
                  <c:v>11700855.220064737</c:v>
                </c:pt>
                <c:pt idx="3432">
                  <c:v>9859557.0878993943</c:v>
                </c:pt>
                <c:pt idx="3433">
                  <c:v>9578985.6685987357</c:v>
                </c:pt>
                <c:pt idx="3434">
                  <c:v>9810070.080070382</c:v>
                </c:pt>
                <c:pt idx="3435">
                  <c:v>10051512.048550885</c:v>
                </c:pt>
                <c:pt idx="3436">
                  <c:v>9575790.7316364646</c:v>
                </c:pt>
                <c:pt idx="3437">
                  <c:v>8082838.1562351193</c:v>
                </c:pt>
                <c:pt idx="3438">
                  <c:v>8190237.6318076598</c:v>
                </c:pt>
                <c:pt idx="3439">
                  <c:v>8208766.5908206133</c:v>
                </c:pt>
                <c:pt idx="3440">
                  <c:v>9091958.4783540703</c:v>
                </c:pt>
                <c:pt idx="3441">
                  <c:v>9545009.8057181723</c:v>
                </c:pt>
                <c:pt idx="3442">
                  <c:v>9335790.3570488524</c:v>
                </c:pt>
                <c:pt idx="3443">
                  <c:v>9141047.0298658367</c:v>
                </c:pt>
                <c:pt idx="3444">
                  <c:v>10193836.082876818</c:v>
                </c:pt>
                <c:pt idx="3445">
                  <c:v>10253943.738340823</c:v>
                </c:pt>
                <c:pt idx="3446">
                  <c:v>9992816.39616579</c:v>
                </c:pt>
                <c:pt idx="3447">
                  <c:v>10343689.113954976</c:v>
                </c:pt>
                <c:pt idx="3448">
                  <c:v>9131810.6250332072</c:v>
                </c:pt>
                <c:pt idx="3449">
                  <c:v>10180968.03344013</c:v>
                </c:pt>
                <c:pt idx="3450">
                  <c:v>10048828.998240869</c:v>
                </c:pt>
                <c:pt idx="3451">
                  <c:v>10164171.989278933</c:v>
                </c:pt>
                <c:pt idx="3452">
                  <c:v>10206278.554231493</c:v>
                </c:pt>
                <c:pt idx="3453">
                  <c:v>10149575.890715681</c:v>
                </c:pt>
                <c:pt idx="3454">
                  <c:v>10379668.631105594</c:v>
                </c:pt>
                <c:pt idx="3455">
                  <c:v>9740157.2939950209</c:v>
                </c:pt>
                <c:pt idx="3456">
                  <c:v>9597995.3262467012</c:v>
                </c:pt>
                <c:pt idx="3457">
                  <c:v>8026265.2788357567</c:v>
                </c:pt>
                <c:pt idx="3458">
                  <c:v>8415931.0744463988</c:v>
                </c:pt>
                <c:pt idx="3459">
                  <c:v>7860749.7688591452</c:v>
                </c:pt>
                <c:pt idx="3460">
                  <c:v>7574625.1382882958</c:v>
                </c:pt>
                <c:pt idx="3461">
                  <c:v>6549690.1255119368</c:v>
                </c:pt>
                <c:pt idx="3462">
                  <c:v>6504507.8151923902</c:v>
                </c:pt>
                <c:pt idx="3463">
                  <c:v>5480212.0356057612</c:v>
                </c:pt>
                <c:pt idx="3464">
                  <c:v>6053748.7308605947</c:v>
                </c:pt>
                <c:pt idx="3465">
                  <c:v>5265158.1937186383</c:v>
                </c:pt>
                <c:pt idx="3466">
                  <c:v>5479518.6692038374</c:v>
                </c:pt>
                <c:pt idx="3467">
                  <c:v>4744411.0287299696</c:v>
                </c:pt>
                <c:pt idx="3468">
                  <c:v>5318303.6702338969</c:v>
                </c:pt>
                <c:pt idx="3469">
                  <c:v>5410180.537630504</c:v>
                </c:pt>
                <c:pt idx="3470">
                  <c:v>5509915.9443622548</c:v>
                </c:pt>
                <c:pt idx="3471">
                  <c:v>5677073.5490072705</c:v>
                </c:pt>
                <c:pt idx="3472">
                  <c:v>5199672.6162558049</c:v>
                </c:pt>
                <c:pt idx="3473">
                  <c:v>4849041.9160015546</c:v>
                </c:pt>
                <c:pt idx="3474">
                  <c:v>5010769.3782271706</c:v>
                </c:pt>
                <c:pt idx="3475">
                  <c:v>5220247.924759848</c:v>
                </c:pt>
                <c:pt idx="3476">
                  <c:v>5118726.320010257</c:v>
                </c:pt>
                <c:pt idx="3477">
                  <c:v>5397647.1619253214</c:v>
                </c:pt>
                <c:pt idx="3478">
                  <c:v>5494925.3142181933</c:v>
                </c:pt>
                <c:pt idx="3479">
                  <c:v>5200701.3131320067</c:v>
                </c:pt>
                <c:pt idx="3480">
                  <c:v>5100561.3370086309</c:v>
                </c:pt>
                <c:pt idx="3481">
                  <c:v>5082492.974922427</c:v>
                </c:pt>
                <c:pt idx="3482">
                  <c:v>5069341.810732224</c:v>
                </c:pt>
                <c:pt idx="3483">
                  <c:v>4454406.7573928433</c:v>
                </c:pt>
                <c:pt idx="3484">
                  <c:v>5170769.4808874754</c:v>
                </c:pt>
                <c:pt idx="3485">
                  <c:v>5246516.7908898033</c:v>
                </c:pt>
                <c:pt idx="3486">
                  <c:v>5246879.8680819646</c:v>
                </c:pt>
                <c:pt idx="3487">
                  <c:v>4981865.9991264762</c:v>
                </c:pt>
                <c:pt idx="3488">
                  <c:v>5080301.4022374796</c:v>
                </c:pt>
                <c:pt idx="3489">
                  <c:v>5995703.7888084855</c:v>
                </c:pt>
                <c:pt idx="3490">
                  <c:v>5866997.1677839132</c:v>
                </c:pt>
                <c:pt idx="3491">
                  <c:v>5593015.8736246778</c:v>
                </c:pt>
                <c:pt idx="3492">
                  <c:v>5642652.6458145464</c:v>
                </c:pt>
                <c:pt idx="3493">
                  <c:v>5138722.562282701</c:v>
                </c:pt>
                <c:pt idx="3494">
                  <c:v>5093771.0381718455</c:v>
                </c:pt>
                <c:pt idx="3495">
                  <c:v>4816790.2201367952</c:v>
                </c:pt>
                <c:pt idx="3496">
                  <c:v>4520641.5690462729</c:v>
                </c:pt>
                <c:pt idx="3497">
                  <c:v>4376303.4738449259</c:v>
                </c:pt>
                <c:pt idx="3498">
                  <c:v>4668411.8677648287</c:v>
                </c:pt>
                <c:pt idx="3499">
                  <c:v>4723731.8560341606</c:v>
                </c:pt>
                <c:pt idx="3500">
                  <c:v>4486605.880485733</c:v>
                </c:pt>
                <c:pt idx="3501">
                  <c:v>4327526.9483336685</c:v>
                </c:pt>
                <c:pt idx="3502">
                  <c:v>4580866.8549162745</c:v>
                </c:pt>
                <c:pt idx="3503">
                  <c:v>4886803.5205245893</c:v>
                </c:pt>
                <c:pt idx="3504">
                  <c:v>5113287.1496980488</c:v>
                </c:pt>
                <c:pt idx="3505">
                  <c:v>4724700.0927728647</c:v>
                </c:pt>
                <c:pt idx="3506">
                  <c:v>4588174.1241695667</c:v>
                </c:pt>
                <c:pt idx="3507">
                  <c:v>4610953.5317433299</c:v>
                </c:pt>
                <c:pt idx="3508">
                  <c:v>4799977.4077420598</c:v>
                </c:pt>
                <c:pt idx="3509">
                  <c:v>4970156.5780833121</c:v>
                </c:pt>
                <c:pt idx="3510">
                  <c:v>4605575.6609122446</c:v>
                </c:pt>
                <c:pt idx="3511">
                  <c:v>4683406.4616892114</c:v>
                </c:pt>
                <c:pt idx="3512">
                  <c:v>4774079.9170680046</c:v>
                </c:pt>
                <c:pt idx="3513">
                  <c:v>4478890.0026464052</c:v>
                </c:pt>
                <c:pt idx="3514">
                  <c:v>4607538.3467148114</c:v>
                </c:pt>
                <c:pt idx="3515">
                  <c:v>4653196.8328607138</c:v>
                </c:pt>
                <c:pt idx="3516">
                  <c:v>4665279.9725291999</c:v>
                </c:pt>
                <c:pt idx="3517">
                  <c:v>4560742.1721373871</c:v>
                </c:pt>
                <c:pt idx="3518">
                  <c:v>4448978.1388266413</c:v>
                </c:pt>
                <c:pt idx="3519">
                  <c:v>4454496.9495583409</c:v>
                </c:pt>
                <c:pt idx="3520">
                  <c:v>4258944.352887244</c:v>
                </c:pt>
                <c:pt idx="3521">
                  <c:v>4324748.2161404816</c:v>
                </c:pt>
                <c:pt idx="3522">
                  <c:v>4263095.0874301754</c:v>
                </c:pt>
                <c:pt idx="3523">
                  <c:v>4203267.7228754181</c:v>
                </c:pt>
                <c:pt idx="3524">
                  <c:v>4098375.420741376</c:v>
                </c:pt>
                <c:pt idx="3525">
                  <c:v>3988288.0815635873</c:v>
                </c:pt>
                <c:pt idx="3526">
                  <c:v>4248486.38350474</c:v>
                </c:pt>
                <c:pt idx="3527">
                  <c:v>4335242.9792604614</c:v>
                </c:pt>
                <c:pt idx="3528">
                  <c:v>4309932.9016016722</c:v>
                </c:pt>
                <c:pt idx="3529">
                  <c:v>4553096.457184351</c:v>
                </c:pt>
                <c:pt idx="3530">
                  <c:v>4605027.1782518262</c:v>
                </c:pt>
                <c:pt idx="3531">
                  <c:v>5345758.9268732928</c:v>
                </c:pt>
                <c:pt idx="3532">
                  <c:v>5275953.4416216295</c:v>
                </c:pt>
                <c:pt idx="3533">
                  <c:v>5548315.080896779</c:v>
                </c:pt>
                <c:pt idx="3534">
                  <c:v>5602535.5819119634</c:v>
                </c:pt>
                <c:pt idx="3535">
                  <c:v>5435693.4288686756</c:v>
                </c:pt>
                <c:pt idx="3536">
                  <c:v>5908896.9169775182</c:v>
                </c:pt>
                <c:pt idx="3537">
                  <c:v>5861644.6177687822</c:v>
                </c:pt>
                <c:pt idx="3538">
                  <c:v>5592930.1258016508</c:v>
                </c:pt>
                <c:pt idx="3539">
                  <c:v>5340494.5573242828</c:v>
                </c:pt>
                <c:pt idx="3540">
                  <c:v>5515341.7515722634</c:v>
                </c:pt>
                <c:pt idx="3541">
                  <c:v>5440524.5434551714</c:v>
                </c:pt>
                <c:pt idx="3542">
                  <c:v>5973601.5759418346</c:v>
                </c:pt>
                <c:pt idx="3543">
                  <c:v>6244156.8232102217</c:v>
                </c:pt>
                <c:pt idx="3544">
                  <c:v>6357016.9778102273</c:v>
                </c:pt>
                <c:pt idx="3545">
                  <c:v>6735111.7090386562</c:v>
                </c:pt>
                <c:pt idx="3546">
                  <c:v>6571096.8922893303</c:v>
                </c:pt>
                <c:pt idx="3547">
                  <c:v>6823575.3563770456</c:v>
                </c:pt>
                <c:pt idx="3548">
                  <c:v>6398953.4630834414</c:v>
                </c:pt>
                <c:pt idx="3549">
                  <c:v>6823269.2622422883</c:v>
                </c:pt>
                <c:pt idx="3550">
                  <c:v>6933415.8517904179</c:v>
                </c:pt>
                <c:pt idx="3551">
                  <c:v>6771909.1217766795</c:v>
                </c:pt>
                <c:pt idx="3552">
                  <c:v>6806831.2397113992</c:v>
                </c:pt>
                <c:pt idx="3553">
                  <c:v>6697428.2376647433</c:v>
                </c:pt>
                <c:pt idx="3554">
                  <c:v>6706195.6374289291</c:v>
                </c:pt>
                <c:pt idx="3555">
                  <c:v>6706263.2631304143</c:v>
                </c:pt>
                <c:pt idx="3556">
                  <c:v>7282894.6485607326</c:v>
                </c:pt>
                <c:pt idx="3557">
                  <c:v>7404909.2705408381</c:v>
                </c:pt>
                <c:pt idx="3558">
                  <c:v>7252913.0362065481</c:v>
                </c:pt>
                <c:pt idx="3559">
                  <c:v>7476200.1042642202</c:v>
                </c:pt>
                <c:pt idx="3560">
                  <c:v>7204009.9935713531</c:v>
                </c:pt>
                <c:pt idx="3561">
                  <c:v>7307530.9688422643</c:v>
                </c:pt>
                <c:pt idx="3562">
                  <c:v>6892966.7330129342</c:v>
                </c:pt>
                <c:pt idx="3563">
                  <c:v>7171195.8915171809</c:v>
                </c:pt>
                <c:pt idx="3564">
                  <c:v>7294941.8099653283</c:v>
                </c:pt>
                <c:pt idx="3565">
                  <c:v>7229500.5452074157</c:v>
                </c:pt>
                <c:pt idx="3566">
                  <c:v>7148108.0706596132</c:v>
                </c:pt>
                <c:pt idx="3567">
                  <c:v>7027509.6412805468</c:v>
                </c:pt>
                <c:pt idx="3568">
                  <c:v>7044636.8967201523</c:v>
                </c:pt>
                <c:pt idx="3569">
                  <c:v>7451251.095283295</c:v>
                </c:pt>
                <c:pt idx="3570">
                  <c:v>7663538.7223520027</c:v>
                </c:pt>
                <c:pt idx="3571">
                  <c:v>7502023.8219058709</c:v>
                </c:pt>
                <c:pt idx="3572">
                  <c:v>7585029.5420483639</c:v>
                </c:pt>
                <c:pt idx="3573">
                  <c:v>7904344.1682602083</c:v>
                </c:pt>
                <c:pt idx="3574">
                  <c:v>6832400.737020025</c:v>
                </c:pt>
                <c:pt idx="3575">
                  <c:v>6684131.7881542509</c:v>
                </c:pt>
                <c:pt idx="3576">
                  <c:v>6867553.4249614188</c:v>
                </c:pt>
                <c:pt idx="3577">
                  <c:v>6574941.0548175853</c:v>
                </c:pt>
                <c:pt idx="3578">
                  <c:v>6596060.3896296853</c:v>
                </c:pt>
                <c:pt idx="3579">
                  <c:v>6659480.102592879</c:v>
                </c:pt>
                <c:pt idx="3580">
                  <c:v>6375639.2128664944</c:v>
                </c:pt>
                <c:pt idx="3581">
                  <c:v>6772359.0965954047</c:v>
                </c:pt>
                <c:pt idx="3582">
                  <c:v>7055316.0801711977</c:v>
                </c:pt>
                <c:pt idx="3583">
                  <c:v>7009728.9390861075</c:v>
                </c:pt>
                <c:pt idx="3584">
                  <c:v>6908880.1885973671</c:v>
                </c:pt>
                <c:pt idx="3585">
                  <c:v>7069328.9394289264</c:v>
                </c:pt>
                <c:pt idx="3586">
                  <c:v>6931219.3369849604</c:v>
                </c:pt>
                <c:pt idx="3587">
                  <c:v>6194232.8095009094</c:v>
                </c:pt>
                <c:pt idx="3588">
                  <c:v>6085247.8071298748</c:v>
                </c:pt>
              </c:numCache>
            </c:numRef>
          </c:val>
          <c:smooth val="0"/>
          <c:extLst>
            <c:ext xmlns:c16="http://schemas.microsoft.com/office/drawing/2014/chart" uri="{C3380CC4-5D6E-409C-BE32-E72D297353CC}">
              <c16:uniqueId val="{00000000-5F9C-0E44-85EA-3DAC9A85DC15}"/>
            </c:ext>
          </c:extLst>
        </c:ser>
        <c:ser>
          <c:idx val="1"/>
          <c:order val="1"/>
          <c:tx>
            <c:v>比特币</c:v>
          </c:tx>
          <c:spPr>
            <a:ln w="28575" cap="rnd">
              <a:solidFill>
                <a:schemeClr val="accent2"/>
              </a:solidFill>
              <a:round/>
            </a:ln>
            <a:effectLst/>
          </c:spPr>
          <c:marker>
            <c:symbol val="none"/>
          </c:marker>
          <c:val>
            <c:numRef>
              <c:f>回测实验室!$J$470:$J$4058</c:f>
              <c:numCache>
                <c:formatCode>General</c:formatCode>
                <c:ptCount val="3589"/>
                <c:pt idx="0">
                  <c:v>1</c:v>
                </c:pt>
                <c:pt idx="1">
                  <c:v>0.98559514783927227</c:v>
                </c:pt>
                <c:pt idx="2">
                  <c:v>0.98954550895814219</c:v>
                </c:pt>
                <c:pt idx="3">
                  <c:v>1.0175172578907465</c:v>
                </c:pt>
                <c:pt idx="4">
                  <c:v>1.0974023382945615</c:v>
                </c:pt>
                <c:pt idx="5">
                  <c:v>1.1851482382985516</c:v>
                </c:pt>
                <c:pt idx="6">
                  <c:v>1.2210207094688961</c:v>
                </c:pt>
                <c:pt idx="7">
                  <c:v>1.243007062766849</c:v>
                </c:pt>
                <c:pt idx="8">
                  <c:v>1.1148796935477436</c:v>
                </c:pt>
                <c:pt idx="9">
                  <c:v>1.1284864929571845</c:v>
                </c:pt>
                <c:pt idx="10">
                  <c:v>1.1491161565779497</c:v>
                </c:pt>
                <c:pt idx="11">
                  <c:v>1.2090499181995928</c:v>
                </c:pt>
                <c:pt idx="12">
                  <c:v>1.1930888631738559</c:v>
                </c:pt>
                <c:pt idx="13">
                  <c:v>1.1890985994174215</c:v>
                </c:pt>
                <c:pt idx="14">
                  <c:v>1.1851083356609873</c:v>
                </c:pt>
                <c:pt idx="15">
                  <c:v>1.2170304457124614</c:v>
                </c:pt>
                <c:pt idx="16">
                  <c:v>1.2972746498543553</c:v>
                </c:pt>
                <c:pt idx="17">
                  <c:v>1.2509476876421528</c:v>
                </c:pt>
                <c:pt idx="18">
                  <c:v>1.296795818203583</c:v>
                </c:pt>
                <c:pt idx="19">
                  <c:v>1.2569330832768044</c:v>
                </c:pt>
                <c:pt idx="20">
                  <c:v>1.276884402058976</c:v>
                </c:pt>
                <c:pt idx="21">
                  <c:v>1.276884402058976</c:v>
                </c:pt>
                <c:pt idx="22">
                  <c:v>1.2769243046965402</c:v>
                </c:pt>
                <c:pt idx="23">
                  <c:v>1.2740912174294718</c:v>
                </c:pt>
                <c:pt idx="24">
                  <c:v>1.4046526475400023</c:v>
                </c:pt>
                <c:pt idx="25">
                  <c:v>1.5761541837915487</c:v>
                </c:pt>
                <c:pt idx="26">
                  <c:v>1.5522126012529427</c:v>
                </c:pt>
                <c:pt idx="27">
                  <c:v>1.5522525038905068</c:v>
                </c:pt>
                <c:pt idx="28">
                  <c:v>1.5748772993894895</c:v>
                </c:pt>
                <c:pt idx="29">
                  <c:v>1.5721639200351143</c:v>
                </c:pt>
                <c:pt idx="30">
                  <c:v>1.6858864370934916</c:v>
                </c:pt>
                <c:pt idx="31">
                  <c:v>1.6032879773353017</c:v>
                </c:pt>
                <c:pt idx="32">
                  <c:v>1.6240373488687603</c:v>
                </c:pt>
                <c:pt idx="33">
                  <c:v>1.6701248952555763</c:v>
                </c:pt>
                <c:pt idx="34">
                  <c:v>1.6623438809305295</c:v>
                </c:pt>
                <c:pt idx="35">
                  <c:v>1.6950640437332909</c:v>
                </c:pt>
                <c:pt idx="36">
                  <c:v>1.8842025457882767</c:v>
                </c:pt>
                <c:pt idx="37">
                  <c:v>2.1019512389768962</c:v>
                </c:pt>
                <c:pt idx="38">
                  <c:v>2.0816407964566457</c:v>
                </c:pt>
                <c:pt idx="39">
                  <c:v>1.947567934240453</c:v>
                </c:pt>
                <c:pt idx="40">
                  <c:v>2.2240932125613502</c:v>
                </c:pt>
                <c:pt idx="41">
                  <c:v>2.7722756474202943</c:v>
                </c:pt>
                <c:pt idx="42">
                  <c:v>2.6722397350464866</c:v>
                </c:pt>
                <c:pt idx="43">
                  <c:v>2.7173696181317579</c:v>
                </c:pt>
                <c:pt idx="44">
                  <c:v>2.8385140257771031</c:v>
                </c:pt>
                <c:pt idx="45">
                  <c:v>2.5241211444076446</c:v>
                </c:pt>
                <c:pt idx="46">
                  <c:v>2.5378077490922144</c:v>
                </c:pt>
                <c:pt idx="47">
                  <c:v>2.7532819919396667</c:v>
                </c:pt>
                <c:pt idx="48">
                  <c:v>2.7133793543753235</c:v>
                </c:pt>
                <c:pt idx="49">
                  <c:v>2.5577590678743856</c:v>
                </c:pt>
                <c:pt idx="50">
                  <c:v>2.6934280355931515</c:v>
                </c:pt>
                <c:pt idx="51">
                  <c:v>2.7939028769801673</c:v>
                </c:pt>
                <c:pt idx="52">
                  <c:v>2.6664937552372203</c:v>
                </c:pt>
                <c:pt idx="53">
                  <c:v>2.2345477036032073</c:v>
                </c:pt>
                <c:pt idx="54">
                  <c:v>2.3622361438091048</c:v>
                </c:pt>
                <c:pt idx="55">
                  <c:v>2.5377279438170852</c:v>
                </c:pt>
                <c:pt idx="56">
                  <c:v>2.5896013726507312</c:v>
                </c:pt>
                <c:pt idx="57">
                  <c:v>2.4659830014763968</c:v>
                </c:pt>
                <c:pt idx="58">
                  <c:v>2.5177367223973501</c:v>
                </c:pt>
                <c:pt idx="59">
                  <c:v>2.5362116435896405</c:v>
                </c:pt>
                <c:pt idx="60">
                  <c:v>2.5097960975220452</c:v>
                </c:pt>
                <c:pt idx="61">
                  <c:v>2.2944016599497221</c:v>
                </c:pt>
                <c:pt idx="62">
                  <c:v>2.1308008459359158</c:v>
                </c:pt>
                <c:pt idx="63">
                  <c:v>2.1116475799050312</c:v>
                </c:pt>
                <c:pt idx="64">
                  <c:v>2.2452017078328872</c:v>
                </c:pt>
                <c:pt idx="65">
                  <c:v>2.1471210246997323</c:v>
                </c:pt>
                <c:pt idx="66">
                  <c:v>2.1908543154702524</c:v>
                </c:pt>
                <c:pt idx="67">
                  <c:v>2.1881808387534414</c:v>
                </c:pt>
                <c:pt idx="68">
                  <c:v>2.4243246478592235</c:v>
                </c:pt>
                <c:pt idx="69">
                  <c:v>2.4340608914249233</c:v>
                </c:pt>
                <c:pt idx="70">
                  <c:v>2.3779178803718928</c:v>
                </c:pt>
                <c:pt idx="71">
                  <c:v>2.3436415147041223</c:v>
                </c:pt>
                <c:pt idx="72">
                  <c:v>2.269981245760345</c:v>
                </c:pt>
                <c:pt idx="73">
                  <c:v>2.1760903395714459</c:v>
                </c:pt>
                <c:pt idx="74">
                  <c:v>2.2704600774111174</c:v>
                </c:pt>
                <c:pt idx="75">
                  <c:v>2.2345477036032086</c:v>
                </c:pt>
                <c:pt idx="76">
                  <c:v>2.3263237700011978</c:v>
                </c:pt>
                <c:pt idx="77">
                  <c:v>2.3592833486293454</c:v>
                </c:pt>
                <c:pt idx="78">
                  <c:v>2.2347472167910309</c:v>
                </c:pt>
                <c:pt idx="79">
                  <c:v>2.2005107537608248</c:v>
                </c:pt>
                <c:pt idx="80">
                  <c:v>2.0988787358844427</c:v>
                </c:pt>
                <c:pt idx="81">
                  <c:v>1.7808148118590648</c:v>
                </c:pt>
                <c:pt idx="82">
                  <c:v>1.7258289772953999</c:v>
                </c:pt>
                <c:pt idx="83">
                  <c:v>1.7053988268624565</c:v>
                </c:pt>
                <c:pt idx="84">
                  <c:v>1.7597063165875273</c:v>
                </c:pt>
                <c:pt idx="85">
                  <c:v>1.6846893579665625</c:v>
                </c:pt>
                <c:pt idx="86">
                  <c:v>1.7504090020350356</c:v>
                </c:pt>
                <c:pt idx="87">
                  <c:v>1.7403535373688213</c:v>
                </c:pt>
                <c:pt idx="88">
                  <c:v>1.7046406767487343</c:v>
                </c:pt>
                <c:pt idx="89">
                  <c:v>1.765572004309486</c:v>
                </c:pt>
                <c:pt idx="90">
                  <c:v>2.0011172738518033</c:v>
                </c:pt>
                <c:pt idx="91">
                  <c:v>2.0066238378356829</c:v>
                </c:pt>
                <c:pt idx="92">
                  <c:v>1.9045528909460934</c:v>
                </c:pt>
                <c:pt idx="93">
                  <c:v>1.9640078209169645</c:v>
                </c:pt>
                <c:pt idx="94">
                  <c:v>1.9775747176888412</c:v>
                </c:pt>
                <c:pt idx="95">
                  <c:v>1.9424603966322191</c:v>
                </c:pt>
                <c:pt idx="96">
                  <c:v>1.9392681856270717</c:v>
                </c:pt>
                <c:pt idx="97">
                  <c:v>1.9637285024540139</c:v>
                </c:pt>
                <c:pt idx="98">
                  <c:v>1.8774190974023399</c:v>
                </c:pt>
                <c:pt idx="99">
                  <c:v>1.8412673077690451</c:v>
                </c:pt>
                <c:pt idx="100">
                  <c:v>1.9233071306013345</c:v>
                </c:pt>
                <c:pt idx="101">
                  <c:v>1.9888671641195499</c:v>
                </c:pt>
                <c:pt idx="102">
                  <c:v>1.9911815170982818</c:v>
                </c:pt>
                <c:pt idx="103">
                  <c:v>1.9701927297394375</c:v>
                </c:pt>
                <c:pt idx="104">
                  <c:v>1.9672798371972404</c:v>
                </c:pt>
                <c:pt idx="105">
                  <c:v>1.9397071146402796</c:v>
                </c:pt>
                <c:pt idx="106">
                  <c:v>1.9285742787598275</c:v>
                </c:pt>
                <c:pt idx="107">
                  <c:v>1.9592195044092431</c:v>
                </c:pt>
                <c:pt idx="108">
                  <c:v>1.9512788795339389</c:v>
                </c:pt>
                <c:pt idx="109">
                  <c:v>2.1028689996408776</c:v>
                </c:pt>
                <c:pt idx="110">
                  <c:v>2.1467619009616552</c:v>
                </c:pt>
                <c:pt idx="111">
                  <c:v>2.1254538925022959</c:v>
                </c:pt>
                <c:pt idx="112">
                  <c:v>2.1323570488009271</c:v>
                </c:pt>
                <c:pt idx="113">
                  <c:v>2.0812816727185686</c:v>
                </c:pt>
                <c:pt idx="114">
                  <c:v>2.1066198475719262</c:v>
                </c:pt>
                <c:pt idx="115">
                  <c:v>1.8729899046326977</c:v>
                </c:pt>
                <c:pt idx="116">
                  <c:v>1.9304497027253515</c:v>
                </c:pt>
                <c:pt idx="117">
                  <c:v>1.9212720960855525</c:v>
                </c:pt>
                <c:pt idx="118">
                  <c:v>1.8771397789393891</c:v>
                </c:pt>
                <c:pt idx="119">
                  <c:v>1.8698375962651146</c:v>
                </c:pt>
                <c:pt idx="120">
                  <c:v>1.8658473325086802</c:v>
                </c:pt>
                <c:pt idx="121">
                  <c:v>1.8155700091776077</c:v>
                </c:pt>
                <c:pt idx="122">
                  <c:v>1.843142731734569</c:v>
                </c:pt>
                <c:pt idx="123">
                  <c:v>1.919835601133236</c:v>
                </c:pt>
                <c:pt idx="124">
                  <c:v>1.9105382865807441</c:v>
                </c:pt>
                <c:pt idx="125">
                  <c:v>1.91867842464387</c:v>
                </c:pt>
                <c:pt idx="126">
                  <c:v>1.9392681856270713</c:v>
                </c:pt>
                <c:pt idx="127">
                  <c:v>1.958700770120906</c:v>
                </c:pt>
                <c:pt idx="128">
                  <c:v>1.926100315230838</c:v>
                </c:pt>
                <c:pt idx="129">
                  <c:v>1.9847571924504224</c:v>
                </c:pt>
                <c:pt idx="130">
                  <c:v>1.9759786121862666</c:v>
                </c:pt>
                <c:pt idx="131">
                  <c:v>1.959259407046807</c:v>
                </c:pt>
                <c:pt idx="132">
                  <c:v>1.9628107417900336</c:v>
                </c:pt>
                <c:pt idx="133">
                  <c:v>1.9751406567974161</c:v>
                </c:pt>
                <c:pt idx="134">
                  <c:v>1.8703164279158868</c:v>
                </c:pt>
                <c:pt idx="135">
                  <c:v>1.9123339052711403</c:v>
                </c:pt>
                <c:pt idx="136">
                  <c:v>1.9440165994972287</c:v>
                </c:pt>
                <c:pt idx="137">
                  <c:v>1.92997087107458</c:v>
                </c:pt>
                <c:pt idx="138">
                  <c:v>1.9663620765332608</c:v>
                </c:pt>
                <c:pt idx="139">
                  <c:v>1.9630900602529844</c:v>
                </c:pt>
                <c:pt idx="140">
                  <c:v>1.9711902956785465</c:v>
                </c:pt>
                <c:pt idx="141">
                  <c:v>1.979051115278722</c:v>
                </c:pt>
                <c:pt idx="142">
                  <c:v>1.9827221579346417</c:v>
                </c:pt>
                <c:pt idx="143">
                  <c:v>1.9679980846733993</c:v>
                </c:pt>
                <c:pt idx="144">
                  <c:v>1.9855153425641459</c:v>
                </c:pt>
                <c:pt idx="145">
                  <c:v>2.0421371852679484</c:v>
                </c:pt>
                <c:pt idx="146">
                  <c:v>2.0500778101432524</c:v>
                </c:pt>
                <c:pt idx="147">
                  <c:v>2.1347911096923524</c:v>
                </c:pt>
                <c:pt idx="148">
                  <c:v>2.098918638522008</c:v>
                </c:pt>
                <c:pt idx="149">
                  <c:v>2.0763337456605897</c:v>
                </c:pt>
                <c:pt idx="150">
                  <c:v>1.9791708231914145</c:v>
                </c:pt>
                <c:pt idx="151">
                  <c:v>2.0343162683053366</c:v>
                </c:pt>
                <c:pt idx="152">
                  <c:v>2.0477235545269559</c:v>
                </c:pt>
                <c:pt idx="153">
                  <c:v>2.0340768524799504</c:v>
                </c:pt>
                <c:pt idx="154">
                  <c:v>2.038825266350107</c:v>
                </c:pt>
                <c:pt idx="155">
                  <c:v>1.9869119348788966</c:v>
                </c:pt>
                <c:pt idx="156">
                  <c:v>1.9569849567056392</c:v>
                </c:pt>
                <c:pt idx="157">
                  <c:v>1.9748214356969003</c:v>
                </c:pt>
                <c:pt idx="158">
                  <c:v>1.9951318782171508</c:v>
                </c:pt>
                <c:pt idx="159">
                  <c:v>2.0245401221020716</c:v>
                </c:pt>
                <c:pt idx="160">
                  <c:v>2.0487610231036277</c:v>
                </c:pt>
                <c:pt idx="161">
                  <c:v>2.0218666453852605</c:v>
                </c:pt>
                <c:pt idx="162">
                  <c:v>2.0258569091416945</c:v>
                </c:pt>
                <c:pt idx="163">
                  <c:v>2.0150432943617576</c:v>
                </c:pt>
                <c:pt idx="164">
                  <c:v>2.0190734607557559</c:v>
                </c:pt>
                <c:pt idx="165">
                  <c:v>2.0150831969993219</c:v>
                </c:pt>
                <c:pt idx="166">
                  <c:v>2.0125693308327688</c:v>
                </c:pt>
                <c:pt idx="167">
                  <c:v>1.9352779218706362</c:v>
                </c:pt>
                <c:pt idx="168">
                  <c:v>1.9791708231914136</c:v>
                </c:pt>
                <c:pt idx="169">
                  <c:v>1.9736642592075344</c:v>
                </c:pt>
                <c:pt idx="170">
                  <c:v>1.9672000319221106</c:v>
                </c:pt>
                <c:pt idx="171">
                  <c:v>1.9974861338334469</c:v>
                </c:pt>
                <c:pt idx="172">
                  <c:v>2.0090978013646712</c:v>
                </c:pt>
                <c:pt idx="173">
                  <c:v>2.0305255177367232</c:v>
                </c:pt>
                <c:pt idx="174">
                  <c:v>2.0349547105063652</c:v>
                </c:pt>
                <c:pt idx="175">
                  <c:v>2.0422169905430758</c:v>
                </c:pt>
                <c:pt idx="176">
                  <c:v>2.0348350025936721</c:v>
                </c:pt>
                <c:pt idx="177">
                  <c:v>2.0310442520250596</c:v>
                </c:pt>
                <c:pt idx="178">
                  <c:v>2.0349547105063652</c:v>
                </c:pt>
                <c:pt idx="179">
                  <c:v>2.0345556841307215</c:v>
                </c:pt>
                <c:pt idx="180">
                  <c:v>2.050875862894538</c:v>
                </c:pt>
                <c:pt idx="181">
                  <c:v>2.0426160169187186</c:v>
                </c:pt>
                <c:pt idx="182">
                  <c:v>2.0531902158732698</c:v>
                </c:pt>
                <c:pt idx="183">
                  <c:v>2.0363114001835525</c:v>
                </c:pt>
                <c:pt idx="184">
                  <c:v>2.0505965444315875</c:v>
                </c:pt>
                <c:pt idx="185">
                  <c:v>2.0493196600295285</c:v>
                </c:pt>
                <c:pt idx="186">
                  <c:v>2.0549858345636656</c:v>
                </c:pt>
                <c:pt idx="187">
                  <c:v>2.049000438929014</c:v>
                </c:pt>
                <c:pt idx="188">
                  <c:v>2.0669965284705332</c:v>
                </c:pt>
                <c:pt idx="189">
                  <c:v>2.1047843262439661</c:v>
                </c:pt>
                <c:pt idx="190">
                  <c:v>2.0944894457523655</c:v>
                </c:pt>
                <c:pt idx="191">
                  <c:v>2.0769721878616192</c:v>
                </c:pt>
                <c:pt idx="192">
                  <c:v>2.1012728941383041</c:v>
                </c:pt>
                <c:pt idx="193">
                  <c:v>2.1707034835002612</c:v>
                </c:pt>
                <c:pt idx="194">
                  <c:v>2.17868401101313</c:v>
                </c:pt>
                <c:pt idx="195">
                  <c:v>2.2309564662224197</c:v>
                </c:pt>
                <c:pt idx="196">
                  <c:v>2.2477155739994439</c:v>
                </c:pt>
                <c:pt idx="197">
                  <c:v>2.2185866485774732</c:v>
                </c:pt>
                <c:pt idx="198">
                  <c:v>2.181995929930971</c:v>
                </c:pt>
                <c:pt idx="199">
                  <c:v>2.2244523362994322</c:v>
                </c:pt>
                <c:pt idx="200">
                  <c:v>2.2744503411675541</c:v>
                </c:pt>
                <c:pt idx="201">
                  <c:v>2.3658273811898995</c:v>
                </c:pt>
                <c:pt idx="202">
                  <c:v>2.3758429432185499</c:v>
                </c:pt>
                <c:pt idx="203">
                  <c:v>2.5936714416822988</c:v>
                </c:pt>
                <c:pt idx="204">
                  <c:v>2.5537688041179556</c:v>
                </c:pt>
                <c:pt idx="205">
                  <c:v>2.4595187741909772</c:v>
                </c:pt>
                <c:pt idx="206">
                  <c:v>2.5178564303100464</c:v>
                </c:pt>
                <c:pt idx="207">
                  <c:v>2.5931926100315263</c:v>
                </c:pt>
                <c:pt idx="208">
                  <c:v>2.6615059255416815</c:v>
                </c:pt>
                <c:pt idx="209">
                  <c:v>2.6655360919356808</c:v>
                </c:pt>
                <c:pt idx="210">
                  <c:v>2.6127449024380547</c:v>
                </c:pt>
                <c:pt idx="211">
                  <c:v>2.5651410558237933</c:v>
                </c:pt>
                <c:pt idx="212">
                  <c:v>2.533817485335784</c:v>
                </c:pt>
                <c:pt idx="213">
                  <c:v>2.5157814931567013</c:v>
                </c:pt>
                <c:pt idx="214">
                  <c:v>2.5615498184430026</c:v>
                </c:pt>
                <c:pt idx="215">
                  <c:v>2.6523283189018829</c:v>
                </c:pt>
                <c:pt idx="216">
                  <c:v>2.6359283348629376</c:v>
                </c:pt>
                <c:pt idx="217">
                  <c:v>2.6535253980288127</c:v>
                </c:pt>
                <c:pt idx="218">
                  <c:v>2.6694864530545499</c:v>
                </c:pt>
                <c:pt idx="219">
                  <c:v>2.6451458441403002</c:v>
                </c:pt>
                <c:pt idx="220">
                  <c:v>2.6974182993495894</c:v>
                </c:pt>
                <c:pt idx="221">
                  <c:v>2.5736802202625619</c:v>
                </c:pt>
                <c:pt idx="222">
                  <c:v>2.5977016080762962</c:v>
                </c:pt>
                <c:pt idx="223">
                  <c:v>2.6615059255416806</c:v>
                </c:pt>
                <c:pt idx="224">
                  <c:v>2.6527672479150897</c:v>
                </c:pt>
                <c:pt idx="225">
                  <c:v>2.6982562547384403</c:v>
                </c:pt>
                <c:pt idx="226">
                  <c:v>2.7129803279996829</c:v>
                </c:pt>
                <c:pt idx="227">
                  <c:v>2.8017636965803461</c:v>
                </c:pt>
                <c:pt idx="228">
                  <c:v>2.8729500019951342</c:v>
                </c:pt>
                <c:pt idx="229">
                  <c:v>2.8530385858505269</c:v>
                </c:pt>
                <c:pt idx="230">
                  <c:v>3.0982003910458502</c:v>
                </c:pt>
                <c:pt idx="231">
                  <c:v>3.0585770719444572</c:v>
                </c:pt>
                <c:pt idx="232">
                  <c:v>3.0094968277403154</c:v>
                </c:pt>
                <c:pt idx="233">
                  <c:v>3.0409800087785825</c:v>
                </c:pt>
                <c:pt idx="234">
                  <c:v>3.3915645824189</c:v>
                </c:pt>
                <c:pt idx="235">
                  <c:v>3.5114321056621871</c:v>
                </c:pt>
                <c:pt idx="236">
                  <c:v>3.6350504768365215</c:v>
                </c:pt>
                <c:pt idx="237">
                  <c:v>3.5393639519572262</c:v>
                </c:pt>
                <c:pt idx="238">
                  <c:v>3.3997047204820254</c:v>
                </c:pt>
                <c:pt idx="239">
                  <c:v>3.529587805753962</c:v>
                </c:pt>
                <c:pt idx="240">
                  <c:v>3.3556522086109908</c:v>
                </c:pt>
                <c:pt idx="241">
                  <c:v>3.3700570607717193</c:v>
                </c:pt>
                <c:pt idx="242">
                  <c:v>3.4316268305335003</c:v>
                </c:pt>
                <c:pt idx="243">
                  <c:v>3.5114321056621867</c:v>
                </c:pt>
                <c:pt idx="244">
                  <c:v>3.5513347432265299</c:v>
                </c:pt>
                <c:pt idx="245">
                  <c:v>3.5513347432265299</c:v>
                </c:pt>
                <c:pt idx="246">
                  <c:v>3.5465863293563729</c:v>
                </c:pt>
                <c:pt idx="247">
                  <c:v>3.475639439766971</c:v>
                </c:pt>
                <c:pt idx="248">
                  <c:v>3.6303419656039293</c:v>
                </c:pt>
                <c:pt idx="249">
                  <c:v>3.7308966122660729</c:v>
                </c:pt>
                <c:pt idx="250">
                  <c:v>3.810821595307452</c:v>
                </c:pt>
                <c:pt idx="251">
                  <c:v>4.2017477355253208</c:v>
                </c:pt>
                <c:pt idx="252">
                  <c:v>4.3773193408084312</c:v>
                </c:pt>
                <c:pt idx="253">
                  <c:v>4.3829057100674396</c:v>
                </c:pt>
                <c:pt idx="254">
                  <c:v>4.337416703244088</c:v>
                </c:pt>
                <c:pt idx="255">
                  <c:v>4.3315111128845656</c:v>
                </c:pt>
                <c:pt idx="256">
                  <c:v>4.4291927696420768</c:v>
                </c:pt>
                <c:pt idx="257">
                  <c:v>4.4113562906508159</c:v>
                </c:pt>
                <c:pt idx="258">
                  <c:v>4.4136706436295476</c:v>
                </c:pt>
                <c:pt idx="259">
                  <c:v>4.5434739236263555</c:v>
                </c:pt>
                <c:pt idx="260">
                  <c:v>4.5928733889310118</c:v>
                </c:pt>
                <c:pt idx="261">
                  <c:v>4.6382825904792346</c:v>
                </c:pt>
                <c:pt idx="262">
                  <c:v>4.8032799968077926</c:v>
                </c:pt>
                <c:pt idx="263">
                  <c:v>4.8641315190934158</c:v>
                </c:pt>
                <c:pt idx="264">
                  <c:v>5.2870994772754525</c:v>
                </c:pt>
                <c:pt idx="265">
                  <c:v>5.3868560711863109</c:v>
                </c:pt>
                <c:pt idx="266">
                  <c:v>4.6221619249032413</c:v>
                </c:pt>
                <c:pt idx="267">
                  <c:v>4.6326962212202272</c:v>
                </c:pt>
                <c:pt idx="268">
                  <c:v>3.1922110051474437</c:v>
                </c:pt>
                <c:pt idx="269">
                  <c:v>4.0301663939986474</c:v>
                </c:pt>
                <c:pt idx="270">
                  <c:v>3.9563465145046126</c:v>
                </c:pt>
                <c:pt idx="271">
                  <c:v>3.9131718606599941</c:v>
                </c:pt>
                <c:pt idx="272">
                  <c:v>4.0301663939986474</c:v>
                </c:pt>
                <c:pt idx="273">
                  <c:v>4.2296795818203625</c:v>
                </c:pt>
                <c:pt idx="274">
                  <c:v>4.1993136746338973</c:v>
                </c:pt>
                <c:pt idx="275">
                  <c:v>4.233669845576796</c:v>
                </c:pt>
                <c:pt idx="276">
                  <c:v>4.3693388132955624</c:v>
                </c:pt>
                <c:pt idx="277">
                  <c:v>4.365348549539128</c:v>
                </c:pt>
                <c:pt idx="278">
                  <c:v>4.356131040261765</c:v>
                </c:pt>
                <c:pt idx="279">
                  <c:v>4.300307250309249</c:v>
                </c:pt>
                <c:pt idx="280">
                  <c:v>4.054107976537253</c:v>
                </c:pt>
                <c:pt idx="281">
                  <c:v>3.9764574438370417</c:v>
                </c:pt>
                <c:pt idx="282">
                  <c:v>4.0717050397031285</c:v>
                </c:pt>
                <c:pt idx="283">
                  <c:v>4.2017477355253225</c:v>
                </c:pt>
                <c:pt idx="284">
                  <c:v>4.1437692031443323</c:v>
                </c:pt>
                <c:pt idx="285">
                  <c:v>4.3891704241650427</c:v>
                </c:pt>
                <c:pt idx="286">
                  <c:v>4.4615139060691957</c:v>
                </c:pt>
                <c:pt idx="287">
                  <c:v>4.3892901320777353</c:v>
                </c:pt>
                <c:pt idx="288">
                  <c:v>4.4040541079765427</c:v>
                </c:pt>
                <c:pt idx="289">
                  <c:v>4.3972706595906041</c:v>
                </c:pt>
                <c:pt idx="290">
                  <c:v>4.4571246159371185</c:v>
                </c:pt>
                <c:pt idx="291">
                  <c:v>4.5212880571405822</c:v>
                </c:pt>
                <c:pt idx="292">
                  <c:v>4.5348948565500233</c:v>
                </c:pt>
                <c:pt idx="293">
                  <c:v>4.5485016559594644</c:v>
                </c:pt>
                <c:pt idx="294">
                  <c:v>4.6566378037588345</c:v>
                </c:pt>
                <c:pt idx="295">
                  <c:v>4.6885599138103089</c:v>
                </c:pt>
                <c:pt idx="296">
                  <c:v>4.73644307888752</c:v>
                </c:pt>
                <c:pt idx="297">
                  <c:v>4.7444236064003897</c:v>
                </c:pt>
                <c:pt idx="298">
                  <c:v>4.8880731016320249</c:v>
                </c:pt>
                <c:pt idx="299">
                  <c:v>5.0167591077770313</c:v>
                </c:pt>
                <c:pt idx="300">
                  <c:v>4.901041458840437</c:v>
                </c:pt>
                <c:pt idx="301">
                  <c:v>4.9351582139579495</c:v>
                </c:pt>
                <c:pt idx="302">
                  <c:v>4.8832049798491743</c:v>
                </c:pt>
                <c:pt idx="303">
                  <c:v>4.8654483061330422</c:v>
                </c:pt>
                <c:pt idx="304">
                  <c:v>4.8282191452855097</c:v>
                </c:pt>
                <c:pt idx="305">
                  <c:v>4.8669247037229217</c:v>
                </c:pt>
                <c:pt idx="306">
                  <c:v>4.8960536291448919</c:v>
                </c:pt>
                <c:pt idx="307">
                  <c:v>4.9115757551574211</c:v>
                </c:pt>
                <c:pt idx="308">
                  <c:v>4.9443358205977468</c:v>
                </c:pt>
                <c:pt idx="309">
                  <c:v>4.9332029847172949</c:v>
                </c:pt>
                <c:pt idx="310">
                  <c:v>4.9479270579785384</c:v>
                </c:pt>
                <c:pt idx="311">
                  <c:v>4.9479270579785384</c:v>
                </c:pt>
                <c:pt idx="312">
                  <c:v>5.1234986632616479</c:v>
                </c:pt>
                <c:pt idx="313">
                  <c:v>5.1434499820438191</c:v>
                </c:pt>
                <c:pt idx="314">
                  <c:v>5.1274889270180815</c:v>
                </c:pt>
                <c:pt idx="315">
                  <c:v>5.0628466541638462</c:v>
                </c:pt>
                <c:pt idx="316">
                  <c:v>4.9898248274210983</c:v>
                </c:pt>
                <c:pt idx="317">
                  <c:v>4.7085112325924801</c:v>
                </c:pt>
                <c:pt idx="318">
                  <c:v>4.6997725549658886</c:v>
                </c:pt>
                <c:pt idx="319">
                  <c:v>4.7464187382786056</c:v>
                </c:pt>
                <c:pt idx="320">
                  <c:v>4.8361996727983767</c:v>
                </c:pt>
                <c:pt idx="321">
                  <c:v>4.8002872989904679</c:v>
                </c:pt>
                <c:pt idx="322">
                  <c:v>4.7883165077211647</c:v>
                </c:pt>
                <c:pt idx="323">
                  <c:v>4.7328518415067284</c:v>
                </c:pt>
                <c:pt idx="324">
                  <c:v>4.6841307210406651</c:v>
                </c:pt>
                <c:pt idx="325">
                  <c:v>4.7237141375044933</c:v>
                </c:pt>
                <c:pt idx="326">
                  <c:v>4.7284226487370855</c:v>
                </c:pt>
                <c:pt idx="327">
                  <c:v>4.7125014963489127</c:v>
                </c:pt>
                <c:pt idx="328">
                  <c:v>4.7642951199074295</c:v>
                </c:pt>
                <c:pt idx="329">
                  <c:v>4.6846095526914366</c:v>
                </c:pt>
                <c:pt idx="330">
                  <c:v>4.6845297474163088</c:v>
                </c:pt>
                <c:pt idx="331">
                  <c:v>4.6411156777463036</c:v>
                </c:pt>
                <c:pt idx="332">
                  <c:v>4.6726387614221343</c:v>
                </c:pt>
                <c:pt idx="333">
                  <c:v>4.6486572762459639</c:v>
                </c:pt>
                <c:pt idx="334">
                  <c:v>4.6486572762459639</c:v>
                </c:pt>
                <c:pt idx="335">
                  <c:v>4.3340648816886835</c:v>
                </c:pt>
                <c:pt idx="336">
                  <c:v>4.0583376561190736</c:v>
                </c:pt>
                <c:pt idx="337">
                  <c:v>4.0942101272894176</c:v>
                </c:pt>
                <c:pt idx="338">
                  <c:v>4.2695822193847048</c:v>
                </c:pt>
                <c:pt idx="339">
                  <c:v>4.2296795818203625</c:v>
                </c:pt>
                <c:pt idx="340">
                  <c:v>4.3443996648178489</c:v>
                </c:pt>
                <c:pt idx="341">
                  <c:v>4.4694944335820654</c:v>
                </c:pt>
                <c:pt idx="342">
                  <c:v>4.2177087905510602</c:v>
                </c:pt>
                <c:pt idx="343">
                  <c:v>4.1773273213359445</c:v>
                </c:pt>
                <c:pt idx="344">
                  <c:v>4.2466382027852081</c:v>
                </c:pt>
                <c:pt idx="345">
                  <c:v>4.3095247595866129</c:v>
                </c:pt>
                <c:pt idx="346">
                  <c:v>4.2887354854155895</c:v>
                </c:pt>
                <c:pt idx="347">
                  <c:v>4.3489884681377475</c:v>
                </c:pt>
                <c:pt idx="348">
                  <c:v>4.3573680220262601</c:v>
                </c:pt>
                <c:pt idx="349">
                  <c:v>4.3593631539044777</c:v>
                </c:pt>
                <c:pt idx="350">
                  <c:v>4.3154702525837001</c:v>
                </c:pt>
                <c:pt idx="351">
                  <c:v>4.3453972307569577</c:v>
                </c:pt>
                <c:pt idx="352">
                  <c:v>4.3368979689557525</c:v>
                </c:pt>
                <c:pt idx="353">
                  <c:v>4.3924823430828814</c:v>
                </c:pt>
                <c:pt idx="354">
                  <c:v>4.3698176449463348</c:v>
                </c:pt>
                <c:pt idx="355">
                  <c:v>4.3693388132955624</c:v>
                </c:pt>
                <c:pt idx="356">
                  <c:v>4.4681776465424399</c:v>
                </c:pt>
                <c:pt idx="357">
                  <c:v>4.6881209847970995</c:v>
                </c:pt>
                <c:pt idx="358">
                  <c:v>4.7040820398228362</c:v>
                </c:pt>
                <c:pt idx="359">
                  <c:v>4.649255815809429</c:v>
                </c:pt>
                <c:pt idx="360">
                  <c:v>4.7084713299549135</c:v>
                </c:pt>
                <c:pt idx="361">
                  <c:v>4.6816966601492398</c:v>
                </c:pt>
                <c:pt idx="362">
                  <c:v>4.6965404413231759</c:v>
                </c:pt>
                <c:pt idx="363">
                  <c:v>4.956665735605128</c:v>
                </c:pt>
                <c:pt idx="364">
                  <c:v>4.9259806073181487</c:v>
                </c:pt>
                <c:pt idx="365">
                  <c:v>4.952515861298437</c:v>
                </c:pt>
                <c:pt idx="366">
                  <c:v>4.9806871234188632</c:v>
                </c:pt>
                <c:pt idx="367">
                  <c:v>4.8862774829416269</c:v>
                </c:pt>
                <c:pt idx="368">
                  <c:v>4.8681217828498511</c:v>
                </c:pt>
                <c:pt idx="369">
                  <c:v>4.9270579785323863</c:v>
                </c:pt>
                <c:pt idx="370">
                  <c:v>4.9678783767607086</c:v>
                </c:pt>
                <c:pt idx="371">
                  <c:v>5.013766409959703</c:v>
                </c:pt>
                <c:pt idx="372">
                  <c:v>5.0125693308327728</c:v>
                </c:pt>
                <c:pt idx="373">
                  <c:v>4.9878296955428798</c:v>
                </c:pt>
                <c:pt idx="374">
                  <c:v>5.0592554167830546</c:v>
                </c:pt>
                <c:pt idx="375">
                  <c:v>5.3509436973784021</c:v>
                </c:pt>
                <c:pt idx="376">
                  <c:v>5.3389729061090998</c:v>
                </c:pt>
                <c:pt idx="377">
                  <c:v>5.3066517696819817</c:v>
                </c:pt>
                <c:pt idx="378">
                  <c:v>5.3868161685487479</c:v>
                </c:pt>
                <c:pt idx="379">
                  <c:v>5.3549738637724014</c:v>
                </c:pt>
                <c:pt idx="380">
                  <c:v>5.3421651171142477</c:v>
                </c:pt>
                <c:pt idx="381">
                  <c:v>5.3602809145684596</c:v>
                </c:pt>
                <c:pt idx="382">
                  <c:v>5.4096005745979872</c:v>
                </c:pt>
                <c:pt idx="383">
                  <c:v>5.4662224173017897</c:v>
                </c:pt>
                <c:pt idx="384">
                  <c:v>5.4667012489525613</c:v>
                </c:pt>
                <c:pt idx="385">
                  <c:v>5.4267587087506532</c:v>
                </c:pt>
                <c:pt idx="386">
                  <c:v>5.3829057100674405</c:v>
                </c:pt>
                <c:pt idx="387">
                  <c:v>5.3070507960576254</c:v>
                </c:pt>
                <c:pt idx="388">
                  <c:v>5.2871393799130182</c:v>
                </c:pt>
                <c:pt idx="389">
                  <c:v>5.3066517696819817</c:v>
                </c:pt>
                <c:pt idx="390">
                  <c:v>5.4263596823750113</c:v>
                </c:pt>
                <c:pt idx="391">
                  <c:v>5.3966721200271399</c:v>
                </c:pt>
                <c:pt idx="392">
                  <c:v>5.3868560711863109</c:v>
                </c:pt>
                <c:pt idx="393">
                  <c:v>5.3355412792785657</c:v>
                </c:pt>
                <c:pt idx="394">
                  <c:v>5.3118391125653455</c:v>
                </c:pt>
                <c:pt idx="395">
                  <c:v>5.3389729061090989</c:v>
                </c:pt>
                <c:pt idx="396">
                  <c:v>5.3270021148397957</c:v>
                </c:pt>
                <c:pt idx="397">
                  <c:v>5.3740473245281564</c:v>
                </c:pt>
                <c:pt idx="398">
                  <c:v>5.3556123059734295</c:v>
                </c:pt>
                <c:pt idx="399">
                  <c:v>5.3554127927856081</c:v>
                </c:pt>
                <c:pt idx="400">
                  <c:v>5.3469534336219668</c:v>
                </c:pt>
                <c:pt idx="401">
                  <c:v>5.366904752404138</c:v>
                </c:pt>
                <c:pt idx="402">
                  <c:v>5.3908463349427436</c:v>
                </c:pt>
                <c:pt idx="403">
                  <c:v>5.3086868041977615</c:v>
                </c:pt>
                <c:pt idx="404">
                  <c:v>5.2990702685447548</c:v>
                </c:pt>
                <c:pt idx="405">
                  <c:v>5.3461154782331155</c:v>
                </c:pt>
                <c:pt idx="406">
                  <c:v>5.38685607118631</c:v>
                </c:pt>
                <c:pt idx="407">
                  <c:v>5.3629144886477036</c:v>
                </c:pt>
                <c:pt idx="408">
                  <c:v>5.3685008579067128</c:v>
                </c:pt>
                <c:pt idx="409">
                  <c:v>5.4218107816926748</c:v>
                </c:pt>
                <c:pt idx="410">
                  <c:v>5.4837396751925356</c:v>
                </c:pt>
                <c:pt idx="411">
                  <c:v>5.4945931926100364</c:v>
                </c:pt>
                <c:pt idx="412">
                  <c:v>5.642232951598106</c:v>
                </c:pt>
                <c:pt idx="413">
                  <c:v>5.6410358724711749</c:v>
                </c:pt>
                <c:pt idx="414">
                  <c:v>5.6809385100355181</c:v>
                </c:pt>
                <c:pt idx="415">
                  <c:v>5.6326563185826624</c:v>
                </c:pt>
                <c:pt idx="416">
                  <c:v>5.7060771717010539</c:v>
                </c:pt>
                <c:pt idx="417">
                  <c:v>5.6861258529188818</c:v>
                </c:pt>
                <c:pt idx="418">
                  <c:v>5.8776585132277281</c:v>
                </c:pt>
                <c:pt idx="419">
                  <c:v>6.1849088224731696</c:v>
                </c:pt>
                <c:pt idx="420">
                  <c:v>6.2667092294800737</c:v>
                </c:pt>
                <c:pt idx="421">
                  <c:v>6.2307968556721649</c:v>
                </c:pt>
                <c:pt idx="422">
                  <c:v>6.264714097601856</c:v>
                </c:pt>
                <c:pt idx="423">
                  <c:v>6.7036431108096295</c:v>
                </c:pt>
                <c:pt idx="424">
                  <c:v>6.8877538805315073</c:v>
                </c:pt>
                <c:pt idx="425">
                  <c:v>6.9829615737600301</c:v>
                </c:pt>
                <c:pt idx="426">
                  <c:v>6.7419496428713988</c:v>
                </c:pt>
                <c:pt idx="427">
                  <c:v>6.9430589361956869</c:v>
                </c:pt>
                <c:pt idx="428">
                  <c:v>7.1345915965045332</c:v>
                </c:pt>
                <c:pt idx="429">
                  <c:v>7.1099317664897699</c:v>
                </c:pt>
                <c:pt idx="430">
                  <c:v>7.4701727784206584</c:v>
                </c:pt>
                <c:pt idx="431">
                  <c:v>7.7911495949882337</c:v>
                </c:pt>
                <c:pt idx="432">
                  <c:v>7.8608196001755752</c:v>
                </c:pt>
                <c:pt idx="433">
                  <c:v>8.1441283268824112</c:v>
                </c:pt>
                <c:pt idx="434">
                  <c:v>8.1796416743146754</c:v>
                </c:pt>
                <c:pt idx="435">
                  <c:v>7.8328877538805344</c:v>
                </c:pt>
                <c:pt idx="436">
                  <c:v>8.215953074498227</c:v>
                </c:pt>
                <c:pt idx="437">
                  <c:v>8.1521487570328421</c:v>
                </c:pt>
                <c:pt idx="438">
                  <c:v>8.2199433382546605</c:v>
                </c:pt>
                <c:pt idx="439">
                  <c:v>8.4513786361278491</c:v>
                </c:pt>
                <c:pt idx="440">
                  <c:v>8.8384342205019752</c:v>
                </c:pt>
                <c:pt idx="441">
                  <c:v>9.0419376720801257</c:v>
                </c:pt>
                <c:pt idx="442">
                  <c:v>9.4369737839671206</c:v>
                </c:pt>
                <c:pt idx="443">
                  <c:v>9.5645824188978903</c:v>
                </c:pt>
                <c:pt idx="444">
                  <c:v>9.8360001596105509</c:v>
                </c:pt>
                <c:pt idx="445">
                  <c:v>10.043414069670007</c:v>
                </c:pt>
                <c:pt idx="446">
                  <c:v>9.6564382905710087</c:v>
                </c:pt>
                <c:pt idx="447">
                  <c:v>10.861697458201991</c:v>
                </c:pt>
                <c:pt idx="448">
                  <c:v>10.813614779936957</c:v>
                </c:pt>
                <c:pt idx="449">
                  <c:v>10.859822034236467</c:v>
                </c:pt>
                <c:pt idx="450">
                  <c:v>10.699732652328322</c:v>
                </c:pt>
                <c:pt idx="451">
                  <c:v>10.753760823590444</c:v>
                </c:pt>
                <c:pt idx="452">
                  <c:v>11.738398308128174</c:v>
                </c:pt>
                <c:pt idx="453">
                  <c:v>11.82913690594949</c:v>
                </c:pt>
                <c:pt idx="454">
                  <c:v>11.870116914728069</c:v>
                </c:pt>
                <c:pt idx="455">
                  <c:v>12.068712341885805</c:v>
                </c:pt>
                <c:pt idx="456">
                  <c:v>11.890985994174221</c:v>
                </c:pt>
                <c:pt idx="457">
                  <c:v>11.92689836798213</c:v>
                </c:pt>
                <c:pt idx="458">
                  <c:v>12.130401819560278</c:v>
                </c:pt>
                <c:pt idx="459">
                  <c:v>12.40972028251068</c:v>
                </c:pt>
                <c:pt idx="460">
                  <c:v>12.330393839032764</c:v>
                </c:pt>
                <c:pt idx="461">
                  <c:v>13.3195004189777</c:v>
                </c:pt>
                <c:pt idx="462">
                  <c:v>13.76640995969834</c:v>
                </c:pt>
                <c:pt idx="463">
                  <c:v>13.666653365787482</c:v>
                </c:pt>
                <c:pt idx="464">
                  <c:v>13.76640995969834</c:v>
                </c:pt>
                <c:pt idx="465">
                  <c:v>14.425601532261286</c:v>
                </c:pt>
                <c:pt idx="466">
                  <c:v>16.092733729699535</c:v>
                </c:pt>
                <c:pt idx="467">
                  <c:v>16.368101831531067</c:v>
                </c:pt>
                <c:pt idx="468">
                  <c:v>16.759107777024063</c:v>
                </c:pt>
                <c:pt idx="469">
                  <c:v>17.628985275926741</c:v>
                </c:pt>
                <c:pt idx="470">
                  <c:v>18.694385698894699</c:v>
                </c:pt>
                <c:pt idx="471">
                  <c:v>18.355213279597784</c:v>
                </c:pt>
                <c:pt idx="472">
                  <c:v>19.312876581142017</c:v>
                </c:pt>
                <c:pt idx="473">
                  <c:v>17.672838274609958</c:v>
                </c:pt>
                <c:pt idx="474">
                  <c:v>18.722317545189746</c:v>
                </c:pt>
                <c:pt idx="475">
                  <c:v>18.821914528550348</c:v>
                </c:pt>
                <c:pt idx="476">
                  <c:v>18.734288336459052</c:v>
                </c:pt>
                <c:pt idx="477">
                  <c:v>18.754319460516349</c:v>
                </c:pt>
                <c:pt idx="478">
                  <c:v>18.913850205498591</c:v>
                </c:pt>
                <c:pt idx="479">
                  <c:v>20.589760983201</c:v>
                </c:pt>
                <c:pt idx="480">
                  <c:v>23.598419855552461</c:v>
                </c:pt>
                <c:pt idx="481">
                  <c:v>25.732732133594038</c:v>
                </c:pt>
                <c:pt idx="482">
                  <c:v>28.271018714337025</c:v>
                </c:pt>
                <c:pt idx="483">
                  <c:v>27.877977734328248</c:v>
                </c:pt>
                <c:pt idx="484">
                  <c:v>25.677347272654728</c:v>
                </c:pt>
                <c:pt idx="485">
                  <c:v>28.530385858505255</c:v>
                </c:pt>
                <c:pt idx="486">
                  <c:v>29.368341247356454</c:v>
                </c:pt>
                <c:pt idx="487">
                  <c:v>31.323570488009263</c:v>
                </c:pt>
                <c:pt idx="488">
                  <c:v>35.481425322213802</c:v>
                </c:pt>
                <c:pt idx="489">
                  <c:v>34.388093052950808</c:v>
                </c:pt>
                <c:pt idx="490">
                  <c:v>36.111886995730423</c:v>
                </c:pt>
                <c:pt idx="491">
                  <c:v>36.786241570567817</c:v>
                </c:pt>
                <c:pt idx="492">
                  <c:v>37.121423726108297</c:v>
                </c:pt>
                <c:pt idx="493">
                  <c:v>41.498743066916724</c:v>
                </c:pt>
                <c:pt idx="494">
                  <c:v>47.077131798411877</c:v>
                </c:pt>
                <c:pt idx="495">
                  <c:v>53.868560711863054</c:v>
                </c:pt>
                <c:pt idx="496">
                  <c:v>52.71936475000998</c:v>
                </c:pt>
                <c:pt idx="497">
                  <c:v>56.790870276525283</c:v>
                </c:pt>
                <c:pt idx="498">
                  <c:v>56.91357088703564</c:v>
                </c:pt>
                <c:pt idx="499">
                  <c:v>64.762379793304333</c:v>
                </c:pt>
                <c:pt idx="500">
                  <c:v>74.817445433143121</c:v>
                </c:pt>
                <c:pt idx="501">
                  <c:v>91.776066397988899</c:v>
                </c:pt>
                <c:pt idx="502">
                  <c:v>65.839351981165947</c:v>
                </c:pt>
                <c:pt idx="503">
                  <c:v>49.838394317864413</c:v>
                </c:pt>
                <c:pt idx="504">
                  <c:v>46.68608595028131</c:v>
                </c:pt>
                <c:pt idx="505">
                  <c:v>37.109452934838984</c:v>
                </c:pt>
                <c:pt idx="506">
                  <c:v>35.912373807908693</c:v>
                </c:pt>
                <c:pt idx="507">
                  <c:v>32.874186983759614</c:v>
                </c:pt>
                <c:pt idx="508">
                  <c:v>27.275727225569604</c:v>
                </c:pt>
                <c:pt idx="509">
                  <c:v>37.137384781134017</c:v>
                </c:pt>
                <c:pt idx="510">
                  <c:v>43.497865208890296</c:v>
                </c:pt>
                <c:pt idx="511">
                  <c:v>47.276644986233578</c:v>
                </c:pt>
                <c:pt idx="512">
                  <c:v>50.522924065280698</c:v>
                </c:pt>
                <c:pt idx="513">
                  <c:v>47.563943976696848</c:v>
                </c:pt>
                <c:pt idx="514">
                  <c:v>50.835960256972974</c:v>
                </c:pt>
                <c:pt idx="515">
                  <c:v>57.250309245441102</c:v>
                </c:pt>
                <c:pt idx="516">
                  <c:v>61.529867124216878</c:v>
                </c:pt>
                <c:pt idx="517">
                  <c:v>56.546027692430449</c:v>
                </c:pt>
                <c:pt idx="518">
                  <c:v>54.626710825585548</c:v>
                </c:pt>
                <c:pt idx="519">
                  <c:v>51.075415984996582</c:v>
                </c:pt>
                <c:pt idx="520">
                  <c:v>53.646861657555533</c:v>
                </c:pt>
                <c:pt idx="521">
                  <c:v>53.988268624556056</c:v>
                </c:pt>
                <c:pt idx="522">
                  <c:v>56.645784286341296</c:v>
                </c:pt>
                <c:pt idx="523">
                  <c:v>53.988268624556056</c:v>
                </c:pt>
                <c:pt idx="524">
                  <c:v>46.686085950281289</c:v>
                </c:pt>
                <c:pt idx="525">
                  <c:v>41.271298032799947</c:v>
                </c:pt>
                <c:pt idx="526">
                  <c:v>36.315390447308552</c:v>
                </c:pt>
                <c:pt idx="527">
                  <c:v>44.391684290331568</c:v>
                </c:pt>
                <c:pt idx="528">
                  <c:v>46.602290411396169</c:v>
                </c:pt>
                <c:pt idx="529">
                  <c:v>47.216791029887048</c:v>
                </c:pt>
                <c:pt idx="530">
                  <c:v>42.456406368460932</c:v>
                </c:pt>
                <c:pt idx="531">
                  <c:v>44.946330952475932</c:v>
                </c:pt>
                <c:pt idx="532">
                  <c:v>45.089980447707568</c:v>
                </c:pt>
                <c:pt idx="533">
                  <c:v>47.396352898926594</c:v>
                </c:pt>
                <c:pt idx="534">
                  <c:v>45.093970711464003</c:v>
                </c:pt>
                <c:pt idx="535">
                  <c:v>45.773512629184758</c:v>
                </c:pt>
                <c:pt idx="536">
                  <c:v>46.757910697897103</c:v>
                </c:pt>
                <c:pt idx="537">
                  <c:v>45.688520011172706</c:v>
                </c:pt>
                <c:pt idx="538">
                  <c:v>45.551254937951363</c:v>
                </c:pt>
                <c:pt idx="539">
                  <c:v>46.087546386816129</c:v>
                </c:pt>
                <c:pt idx="540">
                  <c:v>49.120146841706188</c:v>
                </c:pt>
                <c:pt idx="541">
                  <c:v>49.431387414708063</c:v>
                </c:pt>
                <c:pt idx="542">
                  <c:v>48.08307729140892</c:v>
                </c:pt>
                <c:pt idx="543">
                  <c:v>48.912653126371609</c:v>
                </c:pt>
                <c:pt idx="544">
                  <c:v>49.04034156657751</c:v>
                </c:pt>
                <c:pt idx="545">
                  <c:v>49.080244204141856</c:v>
                </c:pt>
                <c:pt idx="546">
                  <c:v>50.17676868441</c:v>
                </c:pt>
                <c:pt idx="547">
                  <c:v>52.55177367223969</c:v>
                </c:pt>
                <c:pt idx="548">
                  <c:v>52.180679142891314</c:v>
                </c:pt>
                <c:pt idx="549">
                  <c:v>53.708950161605642</c:v>
                </c:pt>
                <c:pt idx="550">
                  <c:v>51.468417062367791</c:v>
                </c:pt>
                <c:pt idx="551">
                  <c:v>51.545828179242612</c:v>
                </c:pt>
                <c:pt idx="552">
                  <c:v>52.723355013766373</c:v>
                </c:pt>
                <c:pt idx="553">
                  <c:v>50.836359283348592</c:v>
                </c:pt>
                <c:pt idx="554">
                  <c:v>51.067395554846136</c:v>
                </c:pt>
                <c:pt idx="555">
                  <c:v>51.510314831810341</c:v>
                </c:pt>
                <c:pt idx="556">
                  <c:v>48.401899365548019</c:v>
                </c:pt>
                <c:pt idx="557">
                  <c:v>48.346035672957939</c:v>
                </c:pt>
                <c:pt idx="558">
                  <c:v>48.405490602928815</c:v>
                </c:pt>
                <c:pt idx="559">
                  <c:v>48.567096285064402</c:v>
                </c:pt>
                <c:pt idx="560">
                  <c:v>47.484138701568135</c:v>
                </c:pt>
                <c:pt idx="561">
                  <c:v>43.92881369458518</c:v>
                </c:pt>
                <c:pt idx="562">
                  <c:v>43.254858146123425</c:v>
                </c:pt>
                <c:pt idx="563">
                  <c:v>39.802761262519418</c:v>
                </c:pt>
                <c:pt idx="564">
                  <c:v>42.292805554447106</c:v>
                </c:pt>
                <c:pt idx="565">
                  <c:v>43.453972307569494</c:v>
                </c:pt>
                <c:pt idx="566">
                  <c:v>43.254459119747779</c:v>
                </c:pt>
                <c:pt idx="567">
                  <c:v>41.007541598499628</c:v>
                </c:pt>
                <c:pt idx="568">
                  <c:v>39.263796336937837</c:v>
                </c:pt>
                <c:pt idx="569">
                  <c:v>39.898647300586532</c:v>
                </c:pt>
                <c:pt idx="570">
                  <c:v>40.070228642113207</c:v>
                </c:pt>
                <c:pt idx="571">
                  <c:v>40.700690315629828</c:v>
                </c:pt>
                <c:pt idx="572">
                  <c:v>42.516260324807433</c:v>
                </c:pt>
                <c:pt idx="573">
                  <c:v>43.054945931926071</c:v>
                </c:pt>
                <c:pt idx="574">
                  <c:v>44.256015322612789</c:v>
                </c:pt>
                <c:pt idx="575">
                  <c:v>43.499860340768493</c:v>
                </c:pt>
                <c:pt idx="576">
                  <c:v>42.79557878775784</c:v>
                </c:pt>
                <c:pt idx="577">
                  <c:v>43.094848569490409</c:v>
                </c:pt>
                <c:pt idx="578">
                  <c:v>40.87745900003987</c:v>
                </c:pt>
                <c:pt idx="579">
                  <c:v>41.375443916842876</c:v>
                </c:pt>
                <c:pt idx="580">
                  <c:v>41.255336977774206</c:v>
                </c:pt>
                <c:pt idx="581">
                  <c:v>39.76696859662421</c:v>
                </c:pt>
                <c:pt idx="582">
                  <c:v>37.241570567814513</c:v>
                </c:pt>
                <c:pt idx="583">
                  <c:v>38.062567335700869</c:v>
                </c:pt>
                <c:pt idx="584">
                  <c:v>38.906667730736984</c:v>
                </c:pt>
                <c:pt idx="585">
                  <c:v>35.708471329954889</c:v>
                </c:pt>
                <c:pt idx="586">
                  <c:v>36.230397829296493</c:v>
                </c:pt>
                <c:pt idx="587">
                  <c:v>31.443278400702265</c:v>
                </c:pt>
                <c:pt idx="588">
                  <c:v>31.315589960496371</c:v>
                </c:pt>
                <c:pt idx="589">
                  <c:v>27.057579506005329</c:v>
                </c:pt>
                <c:pt idx="590">
                  <c:v>27.166952635569192</c:v>
                </c:pt>
                <c:pt idx="591">
                  <c:v>30.92534216511709</c:v>
                </c:pt>
                <c:pt idx="592">
                  <c:v>30.482223374965063</c:v>
                </c:pt>
                <c:pt idx="593">
                  <c:v>30.725030924544093</c:v>
                </c:pt>
                <c:pt idx="594">
                  <c:v>34.216511711424104</c:v>
                </c:pt>
                <c:pt idx="595">
                  <c:v>37.430270140856294</c:v>
                </c:pt>
                <c:pt idx="596">
                  <c:v>35.139140497186844</c:v>
                </c:pt>
                <c:pt idx="597">
                  <c:v>38.138940983999014</c:v>
                </c:pt>
                <c:pt idx="598">
                  <c:v>37.508479310482393</c:v>
                </c:pt>
                <c:pt idx="599">
                  <c:v>38.825665376481354</c:v>
                </c:pt>
                <c:pt idx="600">
                  <c:v>39.495471050636418</c:v>
                </c:pt>
                <c:pt idx="601">
                  <c:v>39.024779537927429</c:v>
                </c:pt>
                <c:pt idx="602">
                  <c:v>35.428314911615637</c:v>
                </c:pt>
                <c:pt idx="603">
                  <c:v>36.53964327042015</c:v>
                </c:pt>
                <c:pt idx="604">
                  <c:v>35.625074817445409</c:v>
                </c:pt>
                <c:pt idx="605">
                  <c:v>36.058896293044945</c:v>
                </c:pt>
                <c:pt idx="606">
                  <c:v>36.591676309804058</c:v>
                </c:pt>
                <c:pt idx="607">
                  <c:v>37.740154024180981</c:v>
                </c:pt>
                <c:pt idx="608">
                  <c:v>37.717968157695204</c:v>
                </c:pt>
                <c:pt idx="609">
                  <c:v>38.685567215992954</c:v>
                </c:pt>
                <c:pt idx="610">
                  <c:v>37.560352739316045</c:v>
                </c:pt>
                <c:pt idx="611">
                  <c:v>37.510474442360618</c:v>
                </c:pt>
                <c:pt idx="612">
                  <c:v>39.334384102789173</c:v>
                </c:pt>
                <c:pt idx="613">
                  <c:v>40.501177127808127</c:v>
                </c:pt>
                <c:pt idx="614">
                  <c:v>44.028570288496041</c:v>
                </c:pt>
                <c:pt idx="615">
                  <c:v>42.388571884601546</c:v>
                </c:pt>
                <c:pt idx="616">
                  <c:v>40.545070029128901</c:v>
                </c:pt>
                <c:pt idx="617">
                  <c:v>41.379035154223672</c:v>
                </c:pt>
                <c:pt idx="618">
                  <c:v>41.841905749970053</c:v>
                </c:pt>
                <c:pt idx="619">
                  <c:v>42.520250588563883</c:v>
                </c:pt>
                <c:pt idx="620">
                  <c:v>42.233350624476252</c:v>
                </c:pt>
                <c:pt idx="621">
                  <c:v>42.596065599936132</c:v>
                </c:pt>
                <c:pt idx="622">
                  <c:v>41.990343561709409</c:v>
                </c:pt>
                <c:pt idx="623">
                  <c:v>41.481983959139683</c:v>
                </c:pt>
                <c:pt idx="624">
                  <c:v>41.37584294321853</c:v>
                </c:pt>
                <c:pt idx="625">
                  <c:v>41.291249351582124</c:v>
                </c:pt>
                <c:pt idx="626">
                  <c:v>41.658353617174079</c:v>
                </c:pt>
                <c:pt idx="627">
                  <c:v>42.651929292526212</c:v>
                </c:pt>
                <c:pt idx="628">
                  <c:v>44.112365827381161</c:v>
                </c:pt>
                <c:pt idx="629">
                  <c:v>44.571645185746746</c:v>
                </c:pt>
                <c:pt idx="630">
                  <c:v>43.35421571365864</c:v>
                </c:pt>
                <c:pt idx="631">
                  <c:v>43.49387494513384</c:v>
                </c:pt>
                <c:pt idx="632">
                  <c:v>44.758788555923516</c:v>
                </c:pt>
                <c:pt idx="633">
                  <c:v>47.036830134471863</c:v>
                </c:pt>
                <c:pt idx="634">
                  <c:v>47.962970352340257</c:v>
                </c:pt>
                <c:pt idx="635">
                  <c:v>47.883165077211572</c:v>
                </c:pt>
                <c:pt idx="636">
                  <c:v>48.641315190934087</c:v>
                </c:pt>
                <c:pt idx="637">
                  <c:v>48.354016200470817</c:v>
                </c:pt>
                <c:pt idx="638">
                  <c:v>47.484138701568135</c:v>
                </c:pt>
                <c:pt idx="639">
                  <c:v>48.08267826503328</c:v>
                </c:pt>
                <c:pt idx="640">
                  <c:v>48.601412553369741</c:v>
                </c:pt>
                <c:pt idx="641">
                  <c:v>48.800925741191449</c:v>
                </c:pt>
                <c:pt idx="642">
                  <c:v>50.420972826303775</c:v>
                </c:pt>
                <c:pt idx="643">
                  <c:v>48.880731016320134</c:v>
                </c:pt>
                <c:pt idx="644">
                  <c:v>48.553529388292517</c:v>
                </c:pt>
                <c:pt idx="645">
                  <c:v>53.138342444435516</c:v>
                </c:pt>
                <c:pt idx="646">
                  <c:v>54.698535573201333</c:v>
                </c:pt>
                <c:pt idx="647">
                  <c:v>54.526954231674658</c:v>
                </c:pt>
                <c:pt idx="648">
                  <c:v>53.988268624556028</c:v>
                </c:pt>
                <c:pt idx="649">
                  <c:v>54.447148956545966</c:v>
                </c:pt>
                <c:pt idx="650">
                  <c:v>50.788077091895723</c:v>
                </c:pt>
                <c:pt idx="651">
                  <c:v>50.193527792187012</c:v>
                </c:pt>
                <c:pt idx="652">
                  <c:v>48.354016200470802</c:v>
                </c:pt>
                <c:pt idx="653">
                  <c:v>49.263796336937816</c:v>
                </c:pt>
                <c:pt idx="654">
                  <c:v>48.222337496508466</c:v>
                </c:pt>
                <c:pt idx="655">
                  <c:v>50.776106300626417</c:v>
                </c:pt>
                <c:pt idx="656">
                  <c:v>49.255815809424952</c:v>
                </c:pt>
                <c:pt idx="657">
                  <c:v>53.673037787797718</c:v>
                </c:pt>
                <c:pt idx="658">
                  <c:v>54.391285263955901</c:v>
                </c:pt>
                <c:pt idx="659">
                  <c:v>52.918877937831645</c:v>
                </c:pt>
                <c:pt idx="660">
                  <c:v>51.322772435257924</c:v>
                </c:pt>
                <c:pt idx="661">
                  <c:v>52.092893340249745</c:v>
                </c:pt>
                <c:pt idx="662">
                  <c:v>50.504768365188887</c:v>
                </c:pt>
                <c:pt idx="663">
                  <c:v>52.164718087865559</c:v>
                </c:pt>
                <c:pt idx="664">
                  <c:v>52.292406528071467</c:v>
                </c:pt>
                <c:pt idx="665">
                  <c:v>51.773672239734999</c:v>
                </c:pt>
                <c:pt idx="666">
                  <c:v>50.863892103267979</c:v>
                </c:pt>
                <c:pt idx="667">
                  <c:v>50.800047883165028</c:v>
                </c:pt>
                <c:pt idx="668">
                  <c:v>51.230996368859927</c:v>
                </c:pt>
                <c:pt idx="669">
                  <c:v>50.432943617573066</c:v>
                </c:pt>
                <c:pt idx="670">
                  <c:v>51.410558237899465</c:v>
                </c:pt>
                <c:pt idx="671">
                  <c:v>51.442480347950934</c:v>
                </c:pt>
                <c:pt idx="672">
                  <c:v>51.94525358126166</c:v>
                </c:pt>
                <c:pt idx="673">
                  <c:v>53.744862535413525</c:v>
                </c:pt>
                <c:pt idx="674">
                  <c:v>55.265153026614996</c:v>
                </c:pt>
                <c:pt idx="675">
                  <c:v>53.661066996528405</c:v>
                </c:pt>
                <c:pt idx="676">
                  <c:v>53.465544072463132</c:v>
                </c:pt>
                <c:pt idx="677">
                  <c:v>52.515861298431766</c:v>
                </c:pt>
                <c:pt idx="678">
                  <c:v>48.5176170144846</c:v>
                </c:pt>
                <c:pt idx="679">
                  <c:v>50.249391484777085</c:v>
                </c:pt>
                <c:pt idx="680">
                  <c:v>51.502334304297449</c:v>
                </c:pt>
                <c:pt idx="681">
                  <c:v>51.386616655360861</c:v>
                </c:pt>
                <c:pt idx="682">
                  <c:v>51.657954590798397</c:v>
                </c:pt>
                <c:pt idx="683">
                  <c:v>50.321216232392906</c:v>
                </c:pt>
                <c:pt idx="684">
                  <c:v>50.823989465703633</c:v>
                </c:pt>
                <c:pt idx="685">
                  <c:v>52.308367583097194</c:v>
                </c:pt>
                <c:pt idx="686">
                  <c:v>51.945253581261674</c:v>
                </c:pt>
                <c:pt idx="687">
                  <c:v>53.126371653166224</c:v>
                </c:pt>
                <c:pt idx="688">
                  <c:v>53.688998842823473</c:v>
                </c:pt>
                <c:pt idx="689">
                  <c:v>55.875663381349469</c:v>
                </c:pt>
                <c:pt idx="690">
                  <c:v>55.716052831092099</c:v>
                </c:pt>
                <c:pt idx="691">
                  <c:v>60.5562427676469</c:v>
                </c:pt>
                <c:pt idx="692">
                  <c:v>57.511671521487528</c:v>
                </c:pt>
                <c:pt idx="693">
                  <c:v>58.46534455927533</c:v>
                </c:pt>
                <c:pt idx="694">
                  <c:v>65.121104505007722</c:v>
                </c:pt>
                <c:pt idx="695">
                  <c:v>69.087426678903412</c:v>
                </c:pt>
                <c:pt idx="696">
                  <c:v>71.10250987590274</c:v>
                </c:pt>
                <c:pt idx="697">
                  <c:v>76.888392322732471</c:v>
                </c:pt>
                <c:pt idx="698">
                  <c:v>77.814133514225233</c:v>
                </c:pt>
                <c:pt idx="699">
                  <c:v>75.958660867483303</c:v>
                </c:pt>
                <c:pt idx="700">
                  <c:v>74.079246638202747</c:v>
                </c:pt>
                <c:pt idx="701">
                  <c:v>73.923626351701813</c:v>
                </c:pt>
                <c:pt idx="702">
                  <c:v>72.734527752284393</c:v>
                </c:pt>
                <c:pt idx="703">
                  <c:v>78.129364350983565</c:v>
                </c:pt>
                <c:pt idx="704">
                  <c:v>79.809265392442398</c:v>
                </c:pt>
                <c:pt idx="705">
                  <c:v>80.731016320178725</c:v>
                </c:pt>
                <c:pt idx="706">
                  <c:v>80.312038625753132</c:v>
                </c:pt>
                <c:pt idx="707">
                  <c:v>81.29364350983596</c:v>
                </c:pt>
                <c:pt idx="708">
                  <c:v>82.646342923267198</c:v>
                </c:pt>
                <c:pt idx="709">
                  <c:v>81.808387534415999</c:v>
                </c:pt>
                <c:pt idx="710">
                  <c:v>86.381229799289699</c:v>
                </c:pt>
                <c:pt idx="711">
                  <c:v>91.947647739515546</c:v>
                </c:pt>
                <c:pt idx="712">
                  <c:v>102.47795379274565</c:v>
                </c:pt>
                <c:pt idx="713">
                  <c:v>117.39754997805349</c:v>
                </c:pt>
                <c:pt idx="714">
                  <c:v>127.61262519452531</c:v>
                </c:pt>
                <c:pt idx="715">
                  <c:v>140.98798930609306</c:v>
                </c:pt>
                <c:pt idx="716">
                  <c:v>125.9965683731694</c:v>
                </c:pt>
                <c:pt idx="717">
                  <c:v>132.64035752763252</c:v>
                </c:pt>
                <c:pt idx="718">
                  <c:v>144.16822951997119</c:v>
                </c:pt>
                <c:pt idx="719">
                  <c:v>149.61493954750401</c:v>
                </c:pt>
                <c:pt idx="720">
                  <c:v>163.01025497785395</c:v>
                </c:pt>
                <c:pt idx="721">
                  <c:v>170.77929851163154</c:v>
                </c:pt>
                <c:pt idx="722">
                  <c:v>176.08235904393271</c:v>
                </c:pt>
                <c:pt idx="723">
                  <c:v>187.00770120904986</c:v>
                </c:pt>
                <c:pt idx="724">
                  <c:v>222.85224053309915</c:v>
                </c:pt>
                <c:pt idx="725">
                  <c:v>269.22708591037861</c:v>
                </c:pt>
                <c:pt idx="726">
                  <c:v>192.56613862176283</c:v>
                </c:pt>
                <c:pt idx="727">
                  <c:v>247.55197318542747</c:v>
                </c:pt>
                <c:pt idx="728">
                  <c:v>291.74813455169374</c:v>
                </c:pt>
                <c:pt idx="729">
                  <c:v>294.73644307888742</c:v>
                </c:pt>
                <c:pt idx="730">
                  <c:v>322.77642552172688</c:v>
                </c:pt>
                <c:pt idx="731">
                  <c:v>310.02753281991932</c:v>
                </c:pt>
                <c:pt idx="732">
                  <c:v>315.86528869558271</c:v>
                </c:pt>
                <c:pt idx="733">
                  <c:v>362.71497545987779</c:v>
                </c:pt>
                <c:pt idx="734">
                  <c:v>392.5541678304935</c:v>
                </c:pt>
                <c:pt idx="735">
                  <c:v>411.47599856350502</c:v>
                </c:pt>
                <c:pt idx="736">
                  <c:v>458.53716930689114</c:v>
                </c:pt>
                <c:pt idx="737">
                  <c:v>448.05474641873815</c:v>
                </c:pt>
                <c:pt idx="738">
                  <c:v>398.16447867204016</c:v>
                </c:pt>
                <c:pt idx="739">
                  <c:v>411.2525437931447</c:v>
                </c:pt>
                <c:pt idx="740">
                  <c:v>429.79928973305124</c:v>
                </c:pt>
                <c:pt idx="741">
                  <c:v>449.75060851522272</c:v>
                </c:pt>
                <c:pt idx="742">
                  <c:v>400.18754239655232</c:v>
                </c:pt>
                <c:pt idx="743">
                  <c:v>305.38286580742982</c:v>
                </c:pt>
                <c:pt idx="744">
                  <c:v>277.10785682933636</c:v>
                </c:pt>
                <c:pt idx="745">
                  <c:v>334.31227804157845</c:v>
                </c:pt>
                <c:pt idx="746">
                  <c:v>367.81453254060079</c:v>
                </c:pt>
                <c:pt idx="747">
                  <c:v>382.19544311879008</c:v>
                </c:pt>
                <c:pt idx="748">
                  <c:v>340.32560552252494</c:v>
                </c:pt>
                <c:pt idx="749">
                  <c:v>361.57775028929399</c:v>
                </c:pt>
                <c:pt idx="750">
                  <c:v>356.26271896572354</c:v>
                </c:pt>
                <c:pt idx="751">
                  <c:v>339.23227325326189</c:v>
                </c:pt>
                <c:pt idx="752">
                  <c:v>346.72598858784551</c:v>
                </c:pt>
                <c:pt idx="753">
                  <c:v>266.99253820677541</c:v>
                </c:pt>
                <c:pt idx="754">
                  <c:v>256.992937233151</c:v>
                </c:pt>
                <c:pt idx="755">
                  <c:v>223.51462431666724</c:v>
                </c:pt>
                <c:pt idx="756">
                  <c:v>284.08283787558349</c:v>
                </c:pt>
                <c:pt idx="757">
                  <c:v>254.69853557320127</c:v>
                </c:pt>
                <c:pt idx="758">
                  <c:v>243.28239096604275</c:v>
                </c:pt>
                <c:pt idx="759">
                  <c:v>257.4278759826023</c:v>
                </c:pt>
                <c:pt idx="760">
                  <c:v>267.91428913451165</c:v>
                </c:pt>
                <c:pt idx="761">
                  <c:v>261.25054866126635</c:v>
                </c:pt>
                <c:pt idx="762">
                  <c:v>276.88839232273233</c:v>
                </c:pt>
                <c:pt idx="763">
                  <c:v>293.81908144128312</c:v>
                </c:pt>
                <c:pt idx="764">
                  <c:v>291.20944894457506</c:v>
                </c:pt>
                <c:pt idx="765">
                  <c:v>287.09548701169132</c:v>
                </c:pt>
                <c:pt idx="766">
                  <c:v>300.37508479310463</c:v>
                </c:pt>
                <c:pt idx="767">
                  <c:v>298.36000159610535</c:v>
                </c:pt>
                <c:pt idx="768">
                  <c:v>306.88320497984898</c:v>
                </c:pt>
                <c:pt idx="769">
                  <c:v>307.70918957743089</c:v>
                </c:pt>
                <c:pt idx="770">
                  <c:v>320.05905590359504</c:v>
                </c:pt>
                <c:pt idx="771">
                  <c:v>323.17146163361377</c:v>
                </c:pt>
                <c:pt idx="772">
                  <c:v>344.79470092973128</c:v>
                </c:pt>
                <c:pt idx="773">
                  <c:v>389.38190814412815</c:v>
                </c:pt>
                <c:pt idx="774">
                  <c:v>366.74514185387636</c:v>
                </c:pt>
                <c:pt idx="775">
                  <c:v>342.18506843302322</c:v>
                </c:pt>
                <c:pt idx="776">
                  <c:v>335.57320138861161</c:v>
                </c:pt>
                <c:pt idx="777">
                  <c:v>333.6299429392281</c:v>
                </c:pt>
                <c:pt idx="778">
                  <c:v>362.32392961174713</c:v>
                </c:pt>
                <c:pt idx="779">
                  <c:v>344.5473045768324</c:v>
                </c:pt>
                <c:pt idx="780">
                  <c:v>333.23091656358474</c:v>
                </c:pt>
                <c:pt idx="781">
                  <c:v>333.80152428075485</c:v>
                </c:pt>
                <c:pt idx="782">
                  <c:v>344.41961613662653</c:v>
                </c:pt>
                <c:pt idx="783">
                  <c:v>340.37348868760216</c:v>
                </c:pt>
                <c:pt idx="784">
                  <c:v>328.93340249790504</c:v>
                </c:pt>
                <c:pt idx="785">
                  <c:v>334.50780096564375</c:v>
                </c:pt>
                <c:pt idx="786">
                  <c:v>332.66828937392756</c:v>
                </c:pt>
                <c:pt idx="787">
                  <c:v>345.34136706436288</c:v>
                </c:pt>
                <c:pt idx="788">
                  <c:v>346.04365348549527</c:v>
                </c:pt>
                <c:pt idx="789">
                  <c:v>340.14923586449049</c:v>
                </c:pt>
                <c:pt idx="790">
                  <c:v>337.68804117952186</c:v>
                </c:pt>
                <c:pt idx="791">
                  <c:v>330.59335222058166</c:v>
                </c:pt>
                <c:pt idx="792">
                  <c:v>320.19871513507036</c:v>
                </c:pt>
                <c:pt idx="793">
                  <c:v>339.3120785283906</c:v>
                </c:pt>
                <c:pt idx="794">
                  <c:v>355.33298751047431</c:v>
                </c:pt>
                <c:pt idx="795">
                  <c:v>320.55384860939296</c:v>
                </c:pt>
                <c:pt idx="796">
                  <c:v>324.77155739994396</c:v>
                </c:pt>
                <c:pt idx="797">
                  <c:v>329.34040940106127</c:v>
                </c:pt>
                <c:pt idx="798">
                  <c:v>326.99812457603434</c:v>
                </c:pt>
                <c:pt idx="799">
                  <c:v>328.4306292645943</c:v>
                </c:pt>
                <c:pt idx="800">
                  <c:v>336.0001596105501</c:v>
                </c:pt>
                <c:pt idx="801">
                  <c:v>331.02430070627656</c:v>
                </c:pt>
                <c:pt idx="802">
                  <c:v>326.87841666334134</c:v>
                </c:pt>
                <c:pt idx="803">
                  <c:v>331.65875264354958</c:v>
                </c:pt>
                <c:pt idx="804">
                  <c:v>327.79617732732117</c:v>
                </c:pt>
                <c:pt idx="805">
                  <c:v>312.52144766769067</c:v>
                </c:pt>
                <c:pt idx="806">
                  <c:v>289.66122660707856</c:v>
                </c:pt>
                <c:pt idx="807">
                  <c:v>274.25880850724218</c:v>
                </c:pt>
                <c:pt idx="808">
                  <c:v>276.2858624955108</c:v>
                </c:pt>
                <c:pt idx="809">
                  <c:v>266.68927816128632</c:v>
                </c:pt>
                <c:pt idx="810">
                  <c:v>254.65065240812402</c:v>
                </c:pt>
                <c:pt idx="811">
                  <c:v>260.99916204461101</c:v>
                </c:pt>
                <c:pt idx="812">
                  <c:v>224.79948924623903</c:v>
                </c:pt>
                <c:pt idx="813">
                  <c:v>257.19644068472911</c:v>
                </c:pt>
                <c:pt idx="814">
                  <c:v>262.74689756992927</c:v>
                </c:pt>
                <c:pt idx="815">
                  <c:v>245.88803319899435</c:v>
                </c:pt>
                <c:pt idx="816">
                  <c:v>256.03527393160675</c:v>
                </c:pt>
                <c:pt idx="817">
                  <c:v>249.51917321734956</c:v>
                </c:pt>
                <c:pt idx="818">
                  <c:v>249.48326084354161</c:v>
                </c:pt>
                <c:pt idx="819">
                  <c:v>219.16922708591025</c:v>
                </c:pt>
                <c:pt idx="820">
                  <c:v>226.44746817764641</c:v>
                </c:pt>
                <c:pt idx="821">
                  <c:v>244.89046725988575</c:v>
                </c:pt>
                <c:pt idx="822">
                  <c:v>230.85271936474987</c:v>
                </c:pt>
                <c:pt idx="823">
                  <c:v>198.70715454291519</c:v>
                </c:pt>
                <c:pt idx="824">
                  <c:v>224.85934320258556</c:v>
                </c:pt>
                <c:pt idx="825">
                  <c:v>232.02585690914159</c:v>
                </c:pt>
                <c:pt idx="826">
                  <c:v>227.96775866884786</c:v>
                </c:pt>
                <c:pt idx="827">
                  <c:v>222.74051314791896</c:v>
                </c:pt>
                <c:pt idx="828">
                  <c:v>223.8657675272334</c:v>
                </c:pt>
                <c:pt idx="829">
                  <c:v>228.85359722277627</c:v>
                </c:pt>
                <c:pt idx="830">
                  <c:v>264.19536331351486</c:v>
                </c:pt>
                <c:pt idx="831">
                  <c:v>264.84178604205721</c:v>
                </c:pt>
                <c:pt idx="832">
                  <c:v>264.35497386377222</c:v>
                </c:pt>
                <c:pt idx="833">
                  <c:v>261.44607158533159</c:v>
                </c:pt>
                <c:pt idx="834">
                  <c:v>248.17046406767471</c:v>
                </c:pt>
                <c:pt idx="835">
                  <c:v>248.35002593671425</c:v>
                </c:pt>
                <c:pt idx="836">
                  <c:v>255.06164957503677</c:v>
                </c:pt>
                <c:pt idx="837">
                  <c:v>251.65396432704182</c:v>
                </c:pt>
                <c:pt idx="838">
                  <c:v>253.64510594150255</c:v>
                </c:pt>
                <c:pt idx="839">
                  <c:v>255.31303619169211</c:v>
                </c:pt>
                <c:pt idx="840">
                  <c:v>252.69143290371474</c:v>
                </c:pt>
                <c:pt idx="841">
                  <c:v>252.1248154503011</c:v>
                </c:pt>
                <c:pt idx="842">
                  <c:v>253.17026455448686</c:v>
                </c:pt>
                <c:pt idx="843">
                  <c:v>248.31810382666274</c:v>
                </c:pt>
                <c:pt idx="844">
                  <c:v>246.19408642911279</c:v>
                </c:pt>
                <c:pt idx="845">
                  <c:v>246.18850005985379</c:v>
                </c:pt>
                <c:pt idx="846">
                  <c:v>240.89342005506546</c:v>
                </c:pt>
                <c:pt idx="847">
                  <c:v>239.65085192131184</c:v>
                </c:pt>
                <c:pt idx="848">
                  <c:v>225.72004309484839</c:v>
                </c:pt>
                <c:pt idx="849">
                  <c:v>226.25274330633235</c:v>
                </c:pt>
                <c:pt idx="850">
                  <c:v>221.94405650213466</c:v>
                </c:pt>
                <c:pt idx="851">
                  <c:v>228.65847332508665</c:v>
                </c:pt>
                <c:pt idx="852">
                  <c:v>233.20777303379739</c:v>
                </c:pt>
                <c:pt idx="853">
                  <c:v>216.74993017038415</c:v>
                </c:pt>
                <c:pt idx="854">
                  <c:v>208.40509157655308</c:v>
                </c:pt>
                <c:pt idx="855">
                  <c:v>196.03607198435805</c:v>
                </c:pt>
                <c:pt idx="856">
                  <c:v>193.75324208930198</c:v>
                </c:pt>
                <c:pt idx="857">
                  <c:v>190.13447188859172</c:v>
                </c:pt>
                <c:pt idx="858">
                  <c:v>182.99549100195512</c:v>
                </c:pt>
                <c:pt idx="859">
                  <c:v>192.11045050077797</c:v>
                </c:pt>
                <c:pt idx="860">
                  <c:v>170.45768325286292</c:v>
                </c:pt>
                <c:pt idx="861">
                  <c:v>174.32784007022852</c:v>
                </c:pt>
                <c:pt idx="862">
                  <c:v>180.36630621284056</c:v>
                </c:pt>
                <c:pt idx="863">
                  <c:v>185.30864690156008</c:v>
                </c:pt>
                <c:pt idx="864">
                  <c:v>181.78085471449651</c:v>
                </c:pt>
                <c:pt idx="865">
                  <c:v>180.83436415147031</c:v>
                </c:pt>
                <c:pt idx="866">
                  <c:v>181.42612026654953</c:v>
                </c:pt>
                <c:pt idx="867">
                  <c:v>170.6827341287258</c:v>
                </c:pt>
                <c:pt idx="868">
                  <c:v>152.38218746259119</c:v>
                </c:pt>
                <c:pt idx="869">
                  <c:v>174.81944056502124</c:v>
                </c:pt>
                <c:pt idx="870">
                  <c:v>169.55708072303568</c:v>
                </c:pt>
                <c:pt idx="871">
                  <c:v>163.38533977095875</c:v>
                </c:pt>
                <c:pt idx="872">
                  <c:v>181.70583775587554</c:v>
                </c:pt>
                <c:pt idx="873">
                  <c:v>205.75435936315372</c:v>
                </c:pt>
                <c:pt idx="874">
                  <c:v>207.3021826742746</c:v>
                </c:pt>
                <c:pt idx="875">
                  <c:v>197.05358924224879</c:v>
                </c:pt>
                <c:pt idx="876">
                  <c:v>188.28618171661134</c:v>
                </c:pt>
                <c:pt idx="877">
                  <c:v>201.3638721519491</c:v>
                </c:pt>
                <c:pt idx="878">
                  <c:v>202.62838673636315</c:v>
                </c:pt>
                <c:pt idx="879">
                  <c:v>198.98926619049507</c:v>
                </c:pt>
                <c:pt idx="880">
                  <c:v>195.91197478153296</c:v>
                </c:pt>
                <c:pt idx="881">
                  <c:v>194.88647699612935</c:v>
                </c:pt>
                <c:pt idx="882">
                  <c:v>182.07852839072655</c:v>
                </c:pt>
                <c:pt idx="883">
                  <c:v>180.22305574398459</c:v>
                </c:pt>
                <c:pt idx="884">
                  <c:v>181.89417820517929</c:v>
                </c:pt>
                <c:pt idx="885">
                  <c:v>169.86393200590553</c:v>
                </c:pt>
                <c:pt idx="886">
                  <c:v>178.53956346514497</c:v>
                </c:pt>
                <c:pt idx="887">
                  <c:v>178.08307729140887</c:v>
                </c:pt>
                <c:pt idx="888">
                  <c:v>179.86592713778373</c:v>
                </c:pt>
                <c:pt idx="889">
                  <c:v>177.77622600853906</c:v>
                </c:pt>
                <c:pt idx="890">
                  <c:v>175.95347352459987</c:v>
                </c:pt>
                <c:pt idx="891">
                  <c:v>172.98950560632048</c:v>
                </c:pt>
                <c:pt idx="892">
                  <c:v>171.57376002553758</c:v>
                </c:pt>
                <c:pt idx="893">
                  <c:v>170.52033039383895</c:v>
                </c:pt>
                <c:pt idx="894">
                  <c:v>171.95083995052062</c:v>
                </c:pt>
                <c:pt idx="895">
                  <c:v>175.65579984836987</c:v>
                </c:pt>
                <c:pt idx="896">
                  <c:v>176.17573121583325</c:v>
                </c:pt>
                <c:pt idx="897">
                  <c:v>179.70910977215581</c:v>
                </c:pt>
                <c:pt idx="898">
                  <c:v>180.06943058936182</c:v>
                </c:pt>
                <c:pt idx="899">
                  <c:v>172.93843023023811</c:v>
                </c:pt>
                <c:pt idx="900">
                  <c:v>176.08315709668398</c:v>
                </c:pt>
                <c:pt idx="901">
                  <c:v>175.51294840588955</c:v>
                </c:pt>
                <c:pt idx="902">
                  <c:v>177.31455249191961</c:v>
                </c:pt>
                <c:pt idx="903">
                  <c:v>178.84721280076604</c:v>
                </c:pt>
                <c:pt idx="904">
                  <c:v>178.97131000359116</c:v>
                </c:pt>
                <c:pt idx="905">
                  <c:v>178.72870196719992</c:v>
                </c:pt>
                <c:pt idx="906">
                  <c:v>178.41347113044162</c:v>
                </c:pt>
                <c:pt idx="907">
                  <c:v>177.59067874386486</c:v>
                </c:pt>
                <c:pt idx="908">
                  <c:v>192.85024540122089</c:v>
                </c:pt>
                <c:pt idx="909">
                  <c:v>196.3712541398985</c:v>
                </c:pt>
                <c:pt idx="910">
                  <c:v>206.01532261282452</c:v>
                </c:pt>
                <c:pt idx="911">
                  <c:v>208.7678065520129</c:v>
                </c:pt>
                <c:pt idx="912">
                  <c:v>221.58732692230942</c:v>
                </c:pt>
                <c:pt idx="913">
                  <c:v>234.15945093970694</c:v>
                </c:pt>
                <c:pt idx="914">
                  <c:v>233.34783129164819</c:v>
                </c:pt>
                <c:pt idx="915">
                  <c:v>229.68636526874405</c:v>
                </c:pt>
                <c:pt idx="916">
                  <c:v>226.11627628586228</c:v>
                </c:pt>
                <c:pt idx="917">
                  <c:v>227.17648936594688</c:v>
                </c:pt>
                <c:pt idx="918">
                  <c:v>246.22999880292065</c:v>
                </c:pt>
                <c:pt idx="919">
                  <c:v>258.73269223095622</c:v>
                </c:pt>
                <c:pt idx="920">
                  <c:v>248.66086748334044</c:v>
                </c:pt>
                <c:pt idx="921">
                  <c:v>262.21818762220158</c:v>
                </c:pt>
                <c:pt idx="922">
                  <c:v>255.00179561869015</c:v>
                </c:pt>
                <c:pt idx="923">
                  <c:v>257.77024061290433</c:v>
                </c:pt>
                <c:pt idx="924">
                  <c:v>262.27006105103527</c:v>
                </c:pt>
                <c:pt idx="925">
                  <c:v>260.47045209688343</c:v>
                </c:pt>
                <c:pt idx="926">
                  <c:v>262.37181277682441</c:v>
                </c:pt>
                <c:pt idx="927">
                  <c:v>258.30294082438837</c:v>
                </c:pt>
                <c:pt idx="928">
                  <c:v>262.55696101512302</c:v>
                </c:pt>
                <c:pt idx="929">
                  <c:v>259.4333825465863</c:v>
                </c:pt>
                <c:pt idx="930">
                  <c:v>254.02976736762298</c:v>
                </c:pt>
                <c:pt idx="931">
                  <c:v>243.78915446310998</c:v>
                </c:pt>
                <c:pt idx="932">
                  <c:v>233.35900403016635</c:v>
                </c:pt>
                <c:pt idx="933">
                  <c:v>223.22892143170657</c:v>
                </c:pt>
                <c:pt idx="934">
                  <c:v>239.30409800087784</c:v>
                </c:pt>
                <c:pt idx="935">
                  <c:v>238.00446909540716</c:v>
                </c:pt>
                <c:pt idx="936">
                  <c:v>244.36375244403649</c:v>
                </c:pt>
                <c:pt idx="937">
                  <c:v>243.43920833167064</c:v>
                </c:pt>
                <c:pt idx="938">
                  <c:v>235.20170783288768</c:v>
                </c:pt>
                <c:pt idx="939">
                  <c:v>236.12984318263429</c:v>
                </c:pt>
                <c:pt idx="940">
                  <c:v>241.22780415785479</c:v>
                </c:pt>
                <c:pt idx="941">
                  <c:v>236.8903874546107</c:v>
                </c:pt>
                <c:pt idx="942">
                  <c:v>237.12820717449421</c:v>
                </c:pt>
                <c:pt idx="943">
                  <c:v>228.07190455289094</c:v>
                </c:pt>
                <c:pt idx="944">
                  <c:v>227.3795937911496</c:v>
                </c:pt>
                <c:pt idx="945">
                  <c:v>228.76142213000279</c:v>
                </c:pt>
                <c:pt idx="946">
                  <c:v>233.40249790511149</c:v>
                </c:pt>
                <c:pt idx="947">
                  <c:v>239.77135788675625</c:v>
                </c:pt>
                <c:pt idx="948">
                  <c:v>249.98763018235502</c:v>
                </c:pt>
                <c:pt idx="949">
                  <c:v>261.13084074857341</c:v>
                </c:pt>
                <c:pt idx="950">
                  <c:v>257.54918000079795</c:v>
                </c:pt>
                <c:pt idx="951">
                  <c:v>256.83133155101541</c:v>
                </c:pt>
                <c:pt idx="952">
                  <c:v>257.44383703762804</c:v>
                </c:pt>
                <c:pt idx="953">
                  <c:v>252.05498583456352</c:v>
                </c:pt>
                <c:pt idx="954">
                  <c:v>252.49870316427902</c:v>
                </c:pt>
                <c:pt idx="955">
                  <c:v>253.29954910019538</c:v>
                </c:pt>
                <c:pt idx="956">
                  <c:v>248.20118909859931</c:v>
                </c:pt>
                <c:pt idx="957">
                  <c:v>249.17202027053975</c:v>
                </c:pt>
                <c:pt idx="958">
                  <c:v>245.108335660987</c:v>
                </c:pt>
                <c:pt idx="959">
                  <c:v>251.05702086907925</c:v>
                </c:pt>
                <c:pt idx="960">
                  <c:v>250.80643230517521</c:v>
                </c:pt>
                <c:pt idx="961">
                  <c:v>251.01432504688543</c:v>
                </c:pt>
                <c:pt idx="962">
                  <c:v>247.37680060651991</c:v>
                </c:pt>
                <c:pt idx="963">
                  <c:v>248.91863852200612</c:v>
                </c:pt>
                <c:pt idx="964">
                  <c:v>246.07238338454152</c:v>
                </c:pt>
                <c:pt idx="965">
                  <c:v>247.41829934958679</c:v>
                </c:pt>
                <c:pt idx="966">
                  <c:v>247.76664937552354</c:v>
                </c:pt>
                <c:pt idx="967">
                  <c:v>250.62288017237921</c:v>
                </c:pt>
                <c:pt idx="968">
                  <c:v>249.39786919915389</c:v>
                </c:pt>
                <c:pt idx="969">
                  <c:v>247.57391963608779</c:v>
                </c:pt>
                <c:pt idx="970">
                  <c:v>248.19280954471074</c:v>
                </c:pt>
                <c:pt idx="971">
                  <c:v>248.55632257292191</c:v>
                </c:pt>
                <c:pt idx="972">
                  <c:v>239.87789792905295</c:v>
                </c:pt>
                <c:pt idx="973">
                  <c:v>240.11811180719027</c:v>
                </c:pt>
                <c:pt idx="974">
                  <c:v>238.54395275527699</c:v>
                </c:pt>
                <c:pt idx="975">
                  <c:v>238.44858545149819</c:v>
                </c:pt>
                <c:pt idx="976">
                  <c:v>232.37141375044877</c:v>
                </c:pt>
                <c:pt idx="977">
                  <c:v>232.89653246079556</c:v>
                </c:pt>
                <c:pt idx="978">
                  <c:v>229.4377718367183</c:v>
                </c:pt>
                <c:pt idx="979">
                  <c:v>230.16280276126241</c:v>
                </c:pt>
                <c:pt idx="980">
                  <c:v>233.61637604245627</c:v>
                </c:pt>
                <c:pt idx="981">
                  <c:v>238.26583137145354</c:v>
                </c:pt>
                <c:pt idx="982">
                  <c:v>235.05885639040727</c:v>
                </c:pt>
                <c:pt idx="983">
                  <c:v>234.06607876780637</c:v>
                </c:pt>
                <c:pt idx="984">
                  <c:v>235.31782450819983</c:v>
                </c:pt>
                <c:pt idx="985">
                  <c:v>234.00861896971369</c:v>
                </c:pt>
                <c:pt idx="986">
                  <c:v>234.09361158772577</c:v>
                </c:pt>
                <c:pt idx="987">
                  <c:v>235.29907026854454</c:v>
                </c:pt>
                <c:pt idx="988">
                  <c:v>236.65855313036175</c:v>
                </c:pt>
                <c:pt idx="989">
                  <c:v>235.23043773193388</c:v>
                </c:pt>
                <c:pt idx="990">
                  <c:v>235.58197996887577</c:v>
                </c:pt>
                <c:pt idx="991">
                  <c:v>231.63441203463529</c:v>
                </c:pt>
                <c:pt idx="992">
                  <c:v>227.25709269382688</c:v>
                </c:pt>
                <c:pt idx="993">
                  <c:v>215.34655440724615</c:v>
                </c:pt>
                <c:pt idx="994">
                  <c:v>206.13662663102019</c:v>
                </c:pt>
                <c:pt idx="995">
                  <c:v>196.91313195802229</c:v>
                </c:pt>
                <c:pt idx="996">
                  <c:v>202.04580822792371</c:v>
                </c:pt>
                <c:pt idx="997">
                  <c:v>196.37165316627417</c:v>
                </c:pt>
                <c:pt idx="998">
                  <c:v>183.56450261362264</c:v>
                </c:pt>
                <c:pt idx="999">
                  <c:v>190.51514305095554</c:v>
                </c:pt>
                <c:pt idx="1000">
                  <c:v>201.13523003870543</c:v>
                </c:pt>
                <c:pt idx="1001">
                  <c:v>209.50480826782638</c:v>
                </c:pt>
                <c:pt idx="1002">
                  <c:v>206.55321016719193</c:v>
                </c:pt>
                <c:pt idx="1003">
                  <c:v>200.00598539563453</c:v>
                </c:pt>
                <c:pt idx="1004">
                  <c:v>204.06009337217176</c:v>
                </c:pt>
                <c:pt idx="1005">
                  <c:v>200.46526475400015</c:v>
                </c:pt>
                <c:pt idx="1006">
                  <c:v>204.23606400383053</c:v>
                </c:pt>
                <c:pt idx="1007">
                  <c:v>204.38849207932628</c:v>
                </c:pt>
                <c:pt idx="1008">
                  <c:v>202.73851801604073</c:v>
                </c:pt>
                <c:pt idx="1009">
                  <c:v>203.64750009975643</c:v>
                </c:pt>
                <c:pt idx="1010">
                  <c:v>201.33115198914632</c:v>
                </c:pt>
                <c:pt idx="1011">
                  <c:v>189.61414149475266</c:v>
                </c:pt>
                <c:pt idx="1012">
                  <c:v>192.26926299828403</c:v>
                </c:pt>
                <c:pt idx="1013">
                  <c:v>192.59047923067698</c:v>
                </c:pt>
                <c:pt idx="1014">
                  <c:v>190.403814692151</c:v>
                </c:pt>
                <c:pt idx="1015">
                  <c:v>194.79509995610695</c:v>
                </c:pt>
                <c:pt idx="1016">
                  <c:v>193.40608914249216</c:v>
                </c:pt>
                <c:pt idx="1017">
                  <c:v>194.56366465823373</c:v>
                </c:pt>
                <c:pt idx="1018">
                  <c:v>193.7476557200429</c:v>
                </c:pt>
                <c:pt idx="1019">
                  <c:v>191.13842224971052</c:v>
                </c:pt>
                <c:pt idx="1020">
                  <c:v>188.35760743785144</c:v>
                </c:pt>
                <c:pt idx="1021">
                  <c:v>193.38972906109072</c:v>
                </c:pt>
                <c:pt idx="1022">
                  <c:v>189.38190814412812</c:v>
                </c:pt>
                <c:pt idx="1023">
                  <c:v>189.98403894497406</c:v>
                </c:pt>
                <c:pt idx="1024">
                  <c:v>191.83991061809164</c:v>
                </c:pt>
                <c:pt idx="1025">
                  <c:v>190.61729380312019</c:v>
                </c:pt>
                <c:pt idx="1026">
                  <c:v>190.25856909141675</c:v>
                </c:pt>
                <c:pt idx="1027">
                  <c:v>187.4677786201666</c:v>
                </c:pt>
                <c:pt idx="1028">
                  <c:v>181.10091377040004</c:v>
                </c:pt>
                <c:pt idx="1029">
                  <c:v>169.67838474123118</c:v>
                </c:pt>
                <c:pt idx="1030">
                  <c:v>159.19356769482442</c:v>
                </c:pt>
                <c:pt idx="1031">
                  <c:v>164.74522165915147</c:v>
                </c:pt>
                <c:pt idx="1032">
                  <c:v>160.53509436973766</c:v>
                </c:pt>
                <c:pt idx="1033">
                  <c:v>160.47843262439631</c:v>
                </c:pt>
                <c:pt idx="1034">
                  <c:v>173.53776784645447</c:v>
                </c:pt>
                <c:pt idx="1035">
                  <c:v>171.13802322333487</c:v>
                </c:pt>
                <c:pt idx="1036">
                  <c:v>163.84222497107041</c:v>
                </c:pt>
                <c:pt idx="1037">
                  <c:v>161.48038785363693</c:v>
                </c:pt>
                <c:pt idx="1038">
                  <c:v>158.96931487171284</c:v>
                </c:pt>
                <c:pt idx="1039">
                  <c:v>152.08491281273675</c:v>
                </c:pt>
                <c:pt idx="1040">
                  <c:v>152.13678624157038</c:v>
                </c:pt>
                <c:pt idx="1041">
                  <c:v>153.23610390646803</c:v>
                </c:pt>
                <c:pt idx="1042">
                  <c:v>153.41007940624857</c:v>
                </c:pt>
                <c:pt idx="1043">
                  <c:v>150.13965923147501</c:v>
                </c:pt>
                <c:pt idx="1044">
                  <c:v>143.09644467499282</c:v>
                </c:pt>
                <c:pt idx="1045">
                  <c:v>130.91177526834505</c:v>
                </c:pt>
                <c:pt idx="1046">
                  <c:v>128.24707713179825</c:v>
                </c:pt>
                <c:pt idx="1047">
                  <c:v>130.45010175172564</c:v>
                </c:pt>
                <c:pt idx="1048">
                  <c:v>132.96077570727411</c:v>
                </c:pt>
                <c:pt idx="1049">
                  <c:v>142.48473724113148</c:v>
                </c:pt>
                <c:pt idx="1050">
                  <c:v>148.12297992897314</c:v>
                </c:pt>
                <c:pt idx="1051">
                  <c:v>144.48784964686149</c:v>
                </c:pt>
                <c:pt idx="1052">
                  <c:v>144.0533099237858</c:v>
                </c:pt>
                <c:pt idx="1053">
                  <c:v>148.71034675392028</c:v>
                </c:pt>
                <c:pt idx="1054">
                  <c:v>161.5909181596902</c:v>
                </c:pt>
                <c:pt idx="1055">
                  <c:v>158.8603806711622</c:v>
                </c:pt>
                <c:pt idx="1056">
                  <c:v>156.93228522405315</c:v>
                </c:pt>
                <c:pt idx="1057">
                  <c:v>153.08447388372355</c:v>
                </c:pt>
                <c:pt idx="1058">
                  <c:v>152.06296636207637</c:v>
                </c:pt>
                <c:pt idx="1059">
                  <c:v>156.75711264514567</c:v>
                </c:pt>
                <c:pt idx="1060">
                  <c:v>152.84904832209392</c:v>
                </c:pt>
                <c:pt idx="1061">
                  <c:v>153.45756354495015</c:v>
                </c:pt>
                <c:pt idx="1062">
                  <c:v>154.37652128805698</c:v>
                </c:pt>
                <c:pt idx="1063">
                  <c:v>148.7306970990781</c:v>
                </c:pt>
                <c:pt idx="1064">
                  <c:v>143.37975340169973</c:v>
                </c:pt>
                <c:pt idx="1065">
                  <c:v>141.16675312238127</c:v>
                </c:pt>
                <c:pt idx="1066">
                  <c:v>140.90379474083224</c:v>
                </c:pt>
                <c:pt idx="1067">
                  <c:v>140.63684609552678</c:v>
                </c:pt>
                <c:pt idx="1068">
                  <c:v>142.61402178683997</c:v>
                </c:pt>
                <c:pt idx="1069">
                  <c:v>142.54698535573189</c:v>
                </c:pt>
                <c:pt idx="1070">
                  <c:v>135.664578428634</c:v>
                </c:pt>
                <c:pt idx="1071">
                  <c:v>137.85323809903821</c:v>
                </c:pt>
                <c:pt idx="1072">
                  <c:v>131.3590838354414</c:v>
                </c:pt>
                <c:pt idx="1073">
                  <c:v>129.67080324009405</c:v>
                </c:pt>
                <c:pt idx="1074">
                  <c:v>131.91612465583964</c:v>
                </c:pt>
                <c:pt idx="1075">
                  <c:v>130.16320178763803</c:v>
                </c:pt>
                <c:pt idx="1076">
                  <c:v>134.34020988787344</c:v>
                </c:pt>
                <c:pt idx="1077">
                  <c:v>135.82219384701312</c:v>
                </c:pt>
                <c:pt idx="1078">
                  <c:v>138.71553409680362</c:v>
                </c:pt>
                <c:pt idx="1079">
                  <c:v>137.0623678225129</c:v>
                </c:pt>
                <c:pt idx="1080">
                  <c:v>139.31407366026878</c:v>
                </c:pt>
                <c:pt idx="1081">
                  <c:v>143.62714975459861</c:v>
                </c:pt>
                <c:pt idx="1082">
                  <c:v>146.77506883204964</c:v>
                </c:pt>
                <c:pt idx="1083">
                  <c:v>151.0829575834961</c:v>
                </c:pt>
                <c:pt idx="1084">
                  <c:v>174.88767407525614</c:v>
                </c:pt>
                <c:pt idx="1085">
                  <c:v>153.61557798970492</c:v>
                </c:pt>
                <c:pt idx="1086">
                  <c:v>157.67886357288197</c:v>
                </c:pt>
                <c:pt idx="1087">
                  <c:v>154.36494952316326</c:v>
                </c:pt>
                <c:pt idx="1088">
                  <c:v>163.49986034076829</c:v>
                </c:pt>
                <c:pt idx="1089">
                  <c:v>153.155500578588</c:v>
                </c:pt>
                <c:pt idx="1090">
                  <c:v>153.02342284825005</c:v>
                </c:pt>
                <c:pt idx="1091">
                  <c:v>145.61629623718105</c:v>
                </c:pt>
                <c:pt idx="1092">
                  <c:v>140.89741031882187</c:v>
                </c:pt>
                <c:pt idx="1093">
                  <c:v>143.11240573001854</c:v>
                </c:pt>
                <c:pt idx="1094">
                  <c:v>142.47595866086726</c:v>
                </c:pt>
                <c:pt idx="1095">
                  <c:v>149.46410757751065</c:v>
                </c:pt>
                <c:pt idx="1096">
                  <c:v>156.88759426998101</c:v>
                </c:pt>
                <c:pt idx="1097">
                  <c:v>147.27903914448723</c:v>
                </c:pt>
                <c:pt idx="1098">
                  <c:v>148.57148557519628</c:v>
                </c:pt>
                <c:pt idx="1099">
                  <c:v>144.93835042496286</c:v>
                </c:pt>
                <c:pt idx="1100">
                  <c:v>151.19588204780311</c:v>
                </c:pt>
                <c:pt idx="1101">
                  <c:v>152.03503451578123</c:v>
                </c:pt>
                <c:pt idx="1102">
                  <c:v>151.61725390048258</c:v>
                </c:pt>
                <c:pt idx="1103">
                  <c:v>152.01907346075552</c:v>
                </c:pt>
                <c:pt idx="1104">
                  <c:v>150.1528271018712</c:v>
                </c:pt>
                <c:pt idx="1105">
                  <c:v>149.9074258808505</c:v>
                </c:pt>
                <c:pt idx="1106">
                  <c:v>148.81409361158751</c:v>
                </c:pt>
                <c:pt idx="1107">
                  <c:v>149.41702246518474</c:v>
                </c:pt>
                <c:pt idx="1108">
                  <c:v>149.57982522644727</c:v>
                </c:pt>
                <c:pt idx="1109">
                  <c:v>146.30661186704421</c:v>
                </c:pt>
                <c:pt idx="1110">
                  <c:v>139.95211683492261</c:v>
                </c:pt>
                <c:pt idx="1111">
                  <c:v>139.67399545109913</c:v>
                </c:pt>
                <c:pt idx="1112">
                  <c:v>140.40620885040482</c:v>
                </c:pt>
                <c:pt idx="1113">
                  <c:v>142.29160847532</c:v>
                </c:pt>
                <c:pt idx="1114">
                  <c:v>138.66166553609173</c:v>
                </c:pt>
                <c:pt idx="1115">
                  <c:v>138.28937392761642</c:v>
                </c:pt>
                <c:pt idx="1116">
                  <c:v>140.1149195961851</c:v>
                </c:pt>
                <c:pt idx="1117">
                  <c:v>137.83169067475342</c:v>
                </c:pt>
                <c:pt idx="1118">
                  <c:v>133.25645425162585</c:v>
                </c:pt>
                <c:pt idx="1119">
                  <c:v>128.25386058018418</c:v>
                </c:pt>
                <c:pt idx="1120">
                  <c:v>124.26399585012555</c:v>
                </c:pt>
                <c:pt idx="1121">
                  <c:v>126.34451937273039</c:v>
                </c:pt>
                <c:pt idx="1122">
                  <c:v>131.23618371174319</c:v>
                </c:pt>
                <c:pt idx="1123">
                  <c:v>128.49527153744847</c:v>
                </c:pt>
                <c:pt idx="1124">
                  <c:v>132.93164678185212</c:v>
                </c:pt>
                <c:pt idx="1125">
                  <c:v>133.37456605881633</c:v>
                </c:pt>
                <c:pt idx="1126">
                  <c:v>126.92031443278384</c:v>
                </c:pt>
                <c:pt idx="1127">
                  <c:v>126.81497146961398</c:v>
                </c:pt>
                <c:pt idx="1128">
                  <c:v>129.6376840509156</c:v>
                </c:pt>
                <c:pt idx="1129">
                  <c:v>126.31618850005968</c:v>
                </c:pt>
                <c:pt idx="1130">
                  <c:v>127.63018235505351</c:v>
                </c:pt>
                <c:pt idx="1131">
                  <c:v>125.30306053230102</c:v>
                </c:pt>
                <c:pt idx="1132">
                  <c:v>123.93759227484921</c:v>
                </c:pt>
                <c:pt idx="1133">
                  <c:v>126.8297354455128</c:v>
                </c:pt>
                <c:pt idx="1134">
                  <c:v>125.15023343042959</c:v>
                </c:pt>
                <c:pt idx="1135">
                  <c:v>125.64143489884665</c:v>
                </c:pt>
                <c:pt idx="1136">
                  <c:v>112.22457204421197</c:v>
                </c:pt>
                <c:pt idx="1137">
                  <c:v>106.42951199074245</c:v>
                </c:pt>
                <c:pt idx="1138">
                  <c:v>109.40026335740778</c:v>
                </c:pt>
                <c:pt idx="1139">
                  <c:v>113.01943258449369</c:v>
                </c:pt>
                <c:pt idx="1140">
                  <c:v>117.21559395076</c:v>
                </c:pt>
                <c:pt idx="1141">
                  <c:v>112.72774430389833</c:v>
                </c:pt>
                <c:pt idx="1142">
                  <c:v>110.87386776265896</c:v>
                </c:pt>
                <c:pt idx="1143">
                  <c:v>109.61454052112829</c:v>
                </c:pt>
                <c:pt idx="1144">
                  <c:v>106.93428035593138</c:v>
                </c:pt>
                <c:pt idx="1145">
                  <c:v>97.588284585610978</c:v>
                </c:pt>
                <c:pt idx="1146">
                  <c:v>82.921272096085445</c:v>
                </c:pt>
                <c:pt idx="1147">
                  <c:v>81.77885958261831</c:v>
                </c:pt>
                <c:pt idx="1148">
                  <c:v>87.024061290451201</c:v>
                </c:pt>
                <c:pt idx="1149">
                  <c:v>78.70555843741262</c:v>
                </c:pt>
                <c:pt idx="1150">
                  <c:v>84.003032600454802</c:v>
                </c:pt>
                <c:pt idx="1151">
                  <c:v>83.108016439886583</c:v>
                </c:pt>
                <c:pt idx="1152">
                  <c:v>83.555325006982869</c:v>
                </c:pt>
                <c:pt idx="1153">
                  <c:v>85.269143290371403</c:v>
                </c:pt>
                <c:pt idx="1154">
                  <c:v>92.145165795458979</c:v>
                </c:pt>
                <c:pt idx="1155">
                  <c:v>90.43773193408073</c:v>
                </c:pt>
                <c:pt idx="1156">
                  <c:v>92.943617573121472</c:v>
                </c:pt>
                <c:pt idx="1157">
                  <c:v>98.299349587007598</c:v>
                </c:pt>
                <c:pt idx="1158">
                  <c:v>119.47368421052619</c:v>
                </c:pt>
                <c:pt idx="1159">
                  <c:v>103.03778779777332</c:v>
                </c:pt>
                <c:pt idx="1160">
                  <c:v>104.62112445632643</c:v>
                </c:pt>
                <c:pt idx="1161">
                  <c:v>91.948844818642399</c:v>
                </c:pt>
                <c:pt idx="1162">
                  <c:v>92.899325645425051</c:v>
                </c:pt>
                <c:pt idx="1163">
                  <c:v>92.584094808666748</c:v>
                </c:pt>
                <c:pt idx="1164">
                  <c:v>84.882885758748557</c:v>
                </c:pt>
                <c:pt idx="1165">
                  <c:v>89.666812976337638</c:v>
                </c:pt>
                <c:pt idx="1166">
                  <c:v>95.584773153505338</c:v>
                </c:pt>
                <c:pt idx="1167">
                  <c:v>89.193966721200169</c:v>
                </c:pt>
                <c:pt idx="1168">
                  <c:v>90.149634890866182</c:v>
                </c:pt>
                <c:pt idx="1169">
                  <c:v>87.343681417341571</c:v>
                </c:pt>
                <c:pt idx="1170">
                  <c:v>91.343920833166948</c:v>
                </c:pt>
                <c:pt idx="1171">
                  <c:v>90.761342324727536</c:v>
                </c:pt>
                <c:pt idx="1172">
                  <c:v>88.794142292805418</c:v>
                </c:pt>
                <c:pt idx="1173">
                  <c:v>86.359283348629219</c:v>
                </c:pt>
                <c:pt idx="1174">
                  <c:v>88.019233071305877</c:v>
                </c:pt>
                <c:pt idx="1175">
                  <c:v>87.442240932125472</c:v>
                </c:pt>
                <c:pt idx="1176">
                  <c:v>93.710147240732454</c:v>
                </c:pt>
                <c:pt idx="1177">
                  <c:v>98.899086229599604</c:v>
                </c:pt>
                <c:pt idx="1178">
                  <c:v>104.84098798930592</c:v>
                </c:pt>
                <c:pt idx="1179">
                  <c:v>94.781932085710693</c:v>
                </c:pt>
                <c:pt idx="1180">
                  <c:v>94.852559754199589</c:v>
                </c:pt>
                <c:pt idx="1181">
                  <c:v>96.417940225848767</c:v>
                </c:pt>
                <c:pt idx="1182">
                  <c:v>94.501017517257722</c:v>
                </c:pt>
                <c:pt idx="1183">
                  <c:v>98.230318024021201</c:v>
                </c:pt>
                <c:pt idx="1184">
                  <c:v>97.294601173137366</c:v>
                </c:pt>
                <c:pt idx="1185">
                  <c:v>97.845656597900941</c:v>
                </c:pt>
                <c:pt idx="1186">
                  <c:v>93.598020829176633</c:v>
                </c:pt>
                <c:pt idx="1187">
                  <c:v>94.409640477235371</c:v>
                </c:pt>
                <c:pt idx="1188">
                  <c:v>94.098798930609135</c:v>
                </c:pt>
                <c:pt idx="1189">
                  <c:v>94.234068871952246</c:v>
                </c:pt>
                <c:pt idx="1190">
                  <c:v>100.47563943976677</c:v>
                </c:pt>
                <c:pt idx="1191">
                  <c:v>100.89780934519752</c:v>
                </c:pt>
                <c:pt idx="1192">
                  <c:v>98.199592993096644</c:v>
                </c:pt>
                <c:pt idx="1193">
                  <c:v>103.28159291329135</c:v>
                </c:pt>
                <c:pt idx="1194">
                  <c:v>107.85483420454069</c:v>
                </c:pt>
                <c:pt idx="1195">
                  <c:v>111.30202306372429</c:v>
                </c:pt>
                <c:pt idx="1196">
                  <c:v>112.53700969634069</c:v>
                </c:pt>
                <c:pt idx="1197">
                  <c:v>106.60189138502031</c:v>
                </c:pt>
                <c:pt idx="1198">
                  <c:v>108.16846893579644</c:v>
                </c:pt>
                <c:pt idx="1199">
                  <c:v>110.19073460755733</c:v>
                </c:pt>
                <c:pt idx="1200">
                  <c:v>109.63608794541297</c:v>
                </c:pt>
                <c:pt idx="1201">
                  <c:v>114.3709349187979</c:v>
                </c:pt>
                <c:pt idx="1202">
                  <c:v>117.7758269821633</c:v>
                </c:pt>
                <c:pt idx="1203">
                  <c:v>118.16966601492335</c:v>
                </c:pt>
                <c:pt idx="1204">
                  <c:v>118.32408922229736</c:v>
                </c:pt>
                <c:pt idx="1205">
                  <c:v>114.79629703523379</c:v>
                </c:pt>
                <c:pt idx="1206">
                  <c:v>112.91847891145584</c:v>
                </c:pt>
                <c:pt idx="1207">
                  <c:v>113.40289693148695</c:v>
                </c:pt>
                <c:pt idx="1208">
                  <c:v>116.12385778699948</c:v>
                </c:pt>
                <c:pt idx="1209">
                  <c:v>114.90483220940884</c:v>
                </c:pt>
                <c:pt idx="1210">
                  <c:v>106.48058736682475</c:v>
                </c:pt>
                <c:pt idx="1211">
                  <c:v>103.67343681417321</c:v>
                </c:pt>
                <c:pt idx="1212">
                  <c:v>104.009417022465</c:v>
                </c:pt>
                <c:pt idx="1213">
                  <c:v>103.93639519572226</c:v>
                </c:pt>
                <c:pt idx="1214">
                  <c:v>104.83859383105204</c:v>
                </c:pt>
                <c:pt idx="1215">
                  <c:v>104.9842384581619</c:v>
                </c:pt>
                <c:pt idx="1216">
                  <c:v>98.465743585650841</c:v>
                </c:pt>
                <c:pt idx="1217">
                  <c:v>97.796177327321175</c:v>
                </c:pt>
                <c:pt idx="1218">
                  <c:v>101.05183352619592</c:v>
                </c:pt>
                <c:pt idx="1219">
                  <c:v>99.122540999959938</c:v>
                </c:pt>
                <c:pt idx="1220">
                  <c:v>100.42975140656782</c:v>
                </c:pt>
                <c:pt idx="1221">
                  <c:v>97.681656757511519</c:v>
                </c:pt>
                <c:pt idx="1222">
                  <c:v>98.893898886716258</c:v>
                </c:pt>
                <c:pt idx="1223">
                  <c:v>97.992897330513401</c:v>
                </c:pt>
                <c:pt idx="1224">
                  <c:v>98.925820996767726</c:v>
                </c:pt>
                <c:pt idx="1225">
                  <c:v>101.02669486453037</c:v>
                </c:pt>
                <c:pt idx="1226">
                  <c:v>101.77925860899389</c:v>
                </c:pt>
                <c:pt idx="1227">
                  <c:v>101.0350744184189</c:v>
                </c:pt>
                <c:pt idx="1228">
                  <c:v>104.37731934080826</c:v>
                </c:pt>
                <c:pt idx="1229">
                  <c:v>100.82917680858688</c:v>
                </c:pt>
                <c:pt idx="1230">
                  <c:v>100.9708311719403</c:v>
                </c:pt>
                <c:pt idx="1231">
                  <c:v>97.700810023542402</c:v>
                </c:pt>
                <c:pt idx="1232">
                  <c:v>96.870436135828427</c:v>
                </c:pt>
                <c:pt idx="1233">
                  <c:v>94.276365667770477</c:v>
                </c:pt>
                <c:pt idx="1234">
                  <c:v>94.696141414947377</c:v>
                </c:pt>
                <c:pt idx="1235">
                  <c:v>94.099596983360456</c:v>
                </c:pt>
                <c:pt idx="1236">
                  <c:v>89.463708551135099</c:v>
                </c:pt>
                <c:pt idx="1237">
                  <c:v>88.612585291887655</c:v>
                </c:pt>
                <c:pt idx="1238">
                  <c:v>90.166393998643173</c:v>
                </c:pt>
                <c:pt idx="1239">
                  <c:v>91.196680100554502</c:v>
                </c:pt>
                <c:pt idx="1240">
                  <c:v>89.124935158213816</c:v>
                </c:pt>
                <c:pt idx="1241">
                  <c:v>89.253421651170996</c:v>
                </c:pt>
                <c:pt idx="1242">
                  <c:v>89.223095646622099</c:v>
                </c:pt>
                <c:pt idx="1243">
                  <c:v>89.93655480627254</c:v>
                </c:pt>
                <c:pt idx="1244">
                  <c:v>93.611188699572892</c:v>
                </c:pt>
                <c:pt idx="1245">
                  <c:v>93.313515023342902</c:v>
                </c:pt>
                <c:pt idx="1246">
                  <c:v>92.489924584014858</c:v>
                </c:pt>
                <c:pt idx="1247">
                  <c:v>91.728582259287208</c:v>
                </c:pt>
                <c:pt idx="1248">
                  <c:v>87.277842065360389</c:v>
                </c:pt>
                <c:pt idx="1249">
                  <c:v>87.9669606160966</c:v>
                </c:pt>
                <c:pt idx="1250">
                  <c:v>89.759786121862533</c:v>
                </c:pt>
                <c:pt idx="1251">
                  <c:v>89.64726068393108</c:v>
                </c:pt>
                <c:pt idx="1252">
                  <c:v>93.438809305294953</c:v>
                </c:pt>
                <c:pt idx="1253">
                  <c:v>93.827860021547295</c:v>
                </c:pt>
                <c:pt idx="1254">
                  <c:v>93.696979370336251</c:v>
                </c:pt>
                <c:pt idx="1255">
                  <c:v>96.521687083516085</c:v>
                </c:pt>
                <c:pt idx="1256">
                  <c:v>96.54243645504954</c:v>
                </c:pt>
                <c:pt idx="1257">
                  <c:v>93.740473245281379</c:v>
                </c:pt>
                <c:pt idx="1258">
                  <c:v>93.619169227085777</c:v>
                </c:pt>
                <c:pt idx="1259">
                  <c:v>93.757631379434045</c:v>
                </c:pt>
                <c:pt idx="1260">
                  <c:v>92.580104544910284</c:v>
                </c:pt>
                <c:pt idx="1261">
                  <c:v>98.122979928973166</c:v>
                </c:pt>
                <c:pt idx="1262">
                  <c:v>96.24635888432212</c:v>
                </c:pt>
                <c:pt idx="1263">
                  <c:v>95.968636526874292</c:v>
                </c:pt>
                <c:pt idx="1264">
                  <c:v>97.227963768404962</c:v>
                </c:pt>
                <c:pt idx="1265">
                  <c:v>96.599896253142205</c:v>
                </c:pt>
                <c:pt idx="1266">
                  <c:v>96.912732931646644</c:v>
                </c:pt>
                <c:pt idx="1267">
                  <c:v>94.337017676868314</c:v>
                </c:pt>
                <c:pt idx="1268">
                  <c:v>94.767966162563212</c:v>
                </c:pt>
                <c:pt idx="1269">
                  <c:v>94.722477155739853</c:v>
                </c:pt>
                <c:pt idx="1270">
                  <c:v>94.720082997485989</c:v>
                </c:pt>
                <c:pt idx="1271">
                  <c:v>94.472686644587085</c:v>
                </c:pt>
                <c:pt idx="1272">
                  <c:v>93.105622281632691</c:v>
                </c:pt>
                <c:pt idx="1273">
                  <c:v>93.633135150233301</c:v>
                </c:pt>
                <c:pt idx="1274">
                  <c:v>94.244443557719038</c:v>
                </c:pt>
                <c:pt idx="1275">
                  <c:v>94.50780096564371</c:v>
                </c:pt>
                <c:pt idx="1276">
                  <c:v>95.846534455927411</c:v>
                </c:pt>
                <c:pt idx="1277">
                  <c:v>96.409959698335939</c:v>
                </c:pt>
                <c:pt idx="1278">
                  <c:v>94.694146283069188</c:v>
                </c:pt>
                <c:pt idx="1279">
                  <c:v>94.76237979330422</c:v>
                </c:pt>
                <c:pt idx="1280">
                  <c:v>94.478672040221738</c:v>
                </c:pt>
                <c:pt idx="1281">
                  <c:v>94.73125573600403</c:v>
                </c:pt>
                <c:pt idx="1282">
                  <c:v>94.606759506803272</c:v>
                </c:pt>
                <c:pt idx="1283">
                  <c:v>92.814732053788632</c:v>
                </c:pt>
                <c:pt idx="1284">
                  <c:v>92.532221379833089</c:v>
                </c:pt>
                <c:pt idx="1285">
                  <c:v>88.822074139100479</c:v>
                </c:pt>
                <c:pt idx="1286">
                  <c:v>90.058257850843816</c:v>
                </c:pt>
                <c:pt idx="1287">
                  <c:v>90.21667132197426</c:v>
                </c:pt>
                <c:pt idx="1288">
                  <c:v>89.608156099118034</c:v>
                </c:pt>
                <c:pt idx="1289">
                  <c:v>89.871114480667046</c:v>
                </c:pt>
                <c:pt idx="1290">
                  <c:v>89.791309205538354</c:v>
                </c:pt>
                <c:pt idx="1291">
                  <c:v>89.170025138661515</c:v>
                </c:pt>
                <c:pt idx="1292">
                  <c:v>91.16236383224917</c:v>
                </c:pt>
                <c:pt idx="1293">
                  <c:v>91.487570328398576</c:v>
                </c:pt>
                <c:pt idx="1294">
                  <c:v>91.29124935158201</c:v>
                </c:pt>
                <c:pt idx="1295">
                  <c:v>91.643988667650802</c:v>
                </c:pt>
                <c:pt idx="1296">
                  <c:v>91.879414229280414</c:v>
                </c:pt>
                <c:pt idx="1297">
                  <c:v>92.766848888711408</c:v>
                </c:pt>
                <c:pt idx="1298">
                  <c:v>93.169865528111274</c:v>
                </c:pt>
                <c:pt idx="1299">
                  <c:v>94.407246318981549</c:v>
                </c:pt>
                <c:pt idx="1300">
                  <c:v>100.7114640277721</c:v>
                </c:pt>
                <c:pt idx="1301">
                  <c:v>99.332827899924041</c:v>
                </c:pt>
                <c:pt idx="1302">
                  <c:v>99.687562347871051</c:v>
                </c:pt>
                <c:pt idx="1303">
                  <c:v>97.360440525118577</c:v>
                </c:pt>
                <c:pt idx="1304">
                  <c:v>97.667690834364009</c:v>
                </c:pt>
                <c:pt idx="1305">
                  <c:v>97.318941782051652</c:v>
                </c:pt>
                <c:pt idx="1306">
                  <c:v>98.439008818482762</c:v>
                </c:pt>
                <c:pt idx="1307">
                  <c:v>97.425082797972806</c:v>
                </c:pt>
                <c:pt idx="1308">
                  <c:v>96.094728861577607</c:v>
                </c:pt>
                <c:pt idx="1309">
                  <c:v>96.834124735644878</c:v>
                </c:pt>
                <c:pt idx="1310">
                  <c:v>97.158533179043005</c:v>
                </c:pt>
                <c:pt idx="1311">
                  <c:v>100.01795618690382</c:v>
                </c:pt>
                <c:pt idx="1312">
                  <c:v>99.261003152308234</c:v>
                </c:pt>
                <c:pt idx="1313">
                  <c:v>102.52543793144713</c:v>
                </c:pt>
                <c:pt idx="1314">
                  <c:v>105.36570767327706</c:v>
                </c:pt>
                <c:pt idx="1315">
                  <c:v>103.38374366545612</c:v>
                </c:pt>
                <c:pt idx="1316">
                  <c:v>102.07533617972133</c:v>
                </c:pt>
                <c:pt idx="1317">
                  <c:v>102.41251346714003</c:v>
                </c:pt>
                <c:pt idx="1318">
                  <c:v>104.08084274370519</c:v>
                </c:pt>
                <c:pt idx="1319">
                  <c:v>108.11579745421156</c:v>
                </c:pt>
                <c:pt idx="1320">
                  <c:v>107.52882965564008</c:v>
                </c:pt>
                <c:pt idx="1321">
                  <c:v>106.27708391524664</c:v>
                </c:pt>
                <c:pt idx="1322">
                  <c:v>106.82095686524863</c:v>
                </c:pt>
                <c:pt idx="1323">
                  <c:v>107.4143090858304</c:v>
                </c:pt>
                <c:pt idx="1324">
                  <c:v>114.14229280555428</c:v>
                </c:pt>
                <c:pt idx="1325">
                  <c:v>116.96021707034815</c:v>
                </c:pt>
                <c:pt idx="1326">
                  <c:v>123.64191373049739</c:v>
                </c:pt>
                <c:pt idx="1327">
                  <c:v>116.32855831770463</c:v>
                </c:pt>
                <c:pt idx="1328">
                  <c:v>115.92035433542141</c:v>
                </c:pt>
                <c:pt idx="1329">
                  <c:v>116.18969713898073</c:v>
                </c:pt>
                <c:pt idx="1330">
                  <c:v>110.96644188180825</c:v>
                </c:pt>
                <c:pt idx="1331">
                  <c:v>111.52986712421676</c:v>
                </c:pt>
                <c:pt idx="1332">
                  <c:v>109.53952356250733</c:v>
                </c:pt>
                <c:pt idx="1333">
                  <c:v>109.17441442879358</c:v>
                </c:pt>
                <c:pt idx="1334">
                  <c:v>111.47440245800232</c:v>
                </c:pt>
                <c:pt idx="1335">
                  <c:v>110.18674434380098</c:v>
                </c:pt>
                <c:pt idx="1336">
                  <c:v>110.69749810462456</c:v>
                </c:pt>
                <c:pt idx="1337">
                  <c:v>110.02793184629488</c:v>
                </c:pt>
                <c:pt idx="1338">
                  <c:v>114.62710985196105</c:v>
                </c:pt>
                <c:pt idx="1339">
                  <c:v>115.19771756913116</c:v>
                </c:pt>
                <c:pt idx="1340">
                  <c:v>116.58114201348691</c:v>
                </c:pt>
                <c:pt idx="1341">
                  <c:v>117.67567136187684</c:v>
                </c:pt>
                <c:pt idx="1342">
                  <c:v>117.23474721679086</c:v>
                </c:pt>
                <c:pt idx="1343">
                  <c:v>115.10753760823573</c:v>
                </c:pt>
                <c:pt idx="1344">
                  <c:v>114.84896851681877</c:v>
                </c:pt>
                <c:pt idx="1345">
                  <c:v>113.59323251266891</c:v>
                </c:pt>
                <c:pt idx="1346">
                  <c:v>111.61964805873652</c:v>
                </c:pt>
                <c:pt idx="1347">
                  <c:v>112.59247436255519</c:v>
                </c:pt>
                <c:pt idx="1348">
                  <c:v>112.57930649215895</c:v>
                </c:pt>
                <c:pt idx="1349">
                  <c:v>113.61637604245621</c:v>
                </c:pt>
                <c:pt idx="1350">
                  <c:v>112.30956466222399</c:v>
                </c:pt>
                <c:pt idx="1351">
                  <c:v>111.25214476676891</c:v>
                </c:pt>
                <c:pt idx="1352">
                  <c:v>111.56697657715156</c:v>
                </c:pt>
                <c:pt idx="1353">
                  <c:v>104.46550416982545</c:v>
                </c:pt>
                <c:pt idx="1354">
                  <c:v>106.13742468377141</c:v>
                </c:pt>
                <c:pt idx="1355">
                  <c:v>105.55125493795123</c:v>
                </c:pt>
                <c:pt idx="1356">
                  <c:v>107.03603208172042</c:v>
                </c:pt>
                <c:pt idx="1357">
                  <c:v>106.06320577790174</c:v>
                </c:pt>
                <c:pt idx="1358">
                  <c:v>105.33897290610891</c:v>
                </c:pt>
                <c:pt idx="1359">
                  <c:v>106.21044651051415</c:v>
                </c:pt>
                <c:pt idx="1360">
                  <c:v>104.38529986832111</c:v>
                </c:pt>
                <c:pt idx="1361">
                  <c:v>103.04497027253481</c:v>
                </c:pt>
                <c:pt idx="1362">
                  <c:v>102.9124935158212</c:v>
                </c:pt>
                <c:pt idx="1363">
                  <c:v>92.414907625393866</c:v>
                </c:pt>
                <c:pt idx="1364">
                  <c:v>91.495151829535757</c:v>
                </c:pt>
                <c:pt idx="1365">
                  <c:v>93.170264554486877</c:v>
                </c:pt>
                <c:pt idx="1366">
                  <c:v>93.250468855991201</c:v>
                </c:pt>
                <c:pt idx="1367">
                  <c:v>91.845097960975039</c:v>
                </c:pt>
                <c:pt idx="1368">
                  <c:v>90.57699213918022</c:v>
                </c:pt>
                <c:pt idx="1369">
                  <c:v>81.346714017796401</c:v>
                </c:pt>
                <c:pt idx="1370">
                  <c:v>89.636885998164288</c:v>
                </c:pt>
                <c:pt idx="1371">
                  <c:v>90.726228003670855</c:v>
                </c:pt>
                <c:pt idx="1372">
                  <c:v>88.390327600654217</c:v>
                </c:pt>
                <c:pt idx="1373">
                  <c:v>92.714975459877721</c:v>
                </c:pt>
                <c:pt idx="1374">
                  <c:v>91.960416583535988</c:v>
                </c:pt>
                <c:pt idx="1375">
                  <c:v>90.841147599856171</c:v>
                </c:pt>
                <c:pt idx="1376">
                  <c:v>92.120426160169004</c:v>
                </c:pt>
                <c:pt idx="1377">
                  <c:v>90.449303698974333</c:v>
                </c:pt>
                <c:pt idx="1378">
                  <c:v>91.612066557599277</c:v>
                </c:pt>
                <c:pt idx="1379">
                  <c:v>90.950081800406835</c:v>
                </c:pt>
                <c:pt idx="1380">
                  <c:v>91.607278241091564</c:v>
                </c:pt>
                <c:pt idx="1381">
                  <c:v>94.226886397190668</c:v>
                </c:pt>
                <c:pt idx="1382">
                  <c:v>96.22999880292069</c:v>
                </c:pt>
                <c:pt idx="1383">
                  <c:v>96.505327002114655</c:v>
                </c:pt>
                <c:pt idx="1384">
                  <c:v>97.220781293643313</c:v>
                </c:pt>
                <c:pt idx="1385">
                  <c:v>95.169386696460435</c:v>
                </c:pt>
                <c:pt idx="1386">
                  <c:v>95.627868002074734</c:v>
                </c:pt>
                <c:pt idx="1387">
                  <c:v>95.70727425082778</c:v>
                </c:pt>
                <c:pt idx="1388">
                  <c:v>93.860580184349985</c:v>
                </c:pt>
                <c:pt idx="1389">
                  <c:v>90.962451618051773</c:v>
                </c:pt>
                <c:pt idx="1390">
                  <c:v>92.458401500338994</c:v>
                </c:pt>
                <c:pt idx="1391">
                  <c:v>92.13519013606782</c:v>
                </c:pt>
                <c:pt idx="1392">
                  <c:v>91.795618690395258</c:v>
                </c:pt>
                <c:pt idx="1393">
                  <c:v>92.990303659071685</c:v>
                </c:pt>
                <c:pt idx="1394">
                  <c:v>92.7433063325484</c:v>
                </c:pt>
                <c:pt idx="1395">
                  <c:v>92.17668887913473</c:v>
                </c:pt>
                <c:pt idx="1396">
                  <c:v>90.865887235146062</c:v>
                </c:pt>
                <c:pt idx="1397">
                  <c:v>92.400941702246342</c:v>
                </c:pt>
                <c:pt idx="1398">
                  <c:v>91.856669725868699</c:v>
                </c:pt>
                <c:pt idx="1399">
                  <c:v>92.230557439846592</c:v>
                </c:pt>
                <c:pt idx="1400">
                  <c:v>94.497426279876905</c:v>
                </c:pt>
                <c:pt idx="1401">
                  <c:v>93.345437133394313</c:v>
                </c:pt>
                <c:pt idx="1402">
                  <c:v>93.06931088144907</c:v>
                </c:pt>
                <c:pt idx="1403">
                  <c:v>94.6131439288135</c:v>
                </c:pt>
                <c:pt idx="1404">
                  <c:v>94.273572483140939</c:v>
                </c:pt>
                <c:pt idx="1405">
                  <c:v>94.250827979729266</c:v>
                </c:pt>
                <c:pt idx="1406">
                  <c:v>94.185387654123744</c:v>
                </c:pt>
                <c:pt idx="1407">
                  <c:v>94.637085511352097</c:v>
                </c:pt>
                <c:pt idx="1408">
                  <c:v>94.860939308088064</c:v>
                </c:pt>
                <c:pt idx="1409">
                  <c:v>95.154622720561633</c:v>
                </c:pt>
                <c:pt idx="1410">
                  <c:v>94.931966002952592</c:v>
                </c:pt>
                <c:pt idx="1411">
                  <c:v>96.085152228562094</c:v>
                </c:pt>
                <c:pt idx="1412">
                  <c:v>97.591476796616035</c:v>
                </c:pt>
                <c:pt idx="1413">
                  <c:v>96.98974502214574</c:v>
                </c:pt>
                <c:pt idx="1414">
                  <c:v>97.15454291528647</c:v>
                </c:pt>
                <c:pt idx="1415">
                  <c:v>97.133394517377354</c:v>
                </c:pt>
                <c:pt idx="1416">
                  <c:v>97.620206695662333</c:v>
                </c:pt>
                <c:pt idx="1417">
                  <c:v>98.412673077690187</c:v>
                </c:pt>
                <c:pt idx="1418">
                  <c:v>99.788116994533084</c:v>
                </c:pt>
                <c:pt idx="1419">
                  <c:v>99.808467339690893</c:v>
                </c:pt>
                <c:pt idx="1420">
                  <c:v>101.50313235704853</c:v>
                </c:pt>
                <c:pt idx="1421">
                  <c:v>103.46195283508213</c:v>
                </c:pt>
                <c:pt idx="1422">
                  <c:v>107.59786121862628</c:v>
                </c:pt>
                <c:pt idx="1423">
                  <c:v>105.87366824947101</c:v>
                </c:pt>
                <c:pt idx="1424">
                  <c:v>104.96867642951172</c:v>
                </c:pt>
                <c:pt idx="1425">
                  <c:v>106.04445153824639</c:v>
                </c:pt>
                <c:pt idx="1426">
                  <c:v>105.61749331630793</c:v>
                </c:pt>
                <c:pt idx="1427">
                  <c:v>109.5846135429549</c:v>
                </c:pt>
                <c:pt idx="1428">
                  <c:v>109.72626790630832</c:v>
                </c:pt>
                <c:pt idx="1429">
                  <c:v>110.89262200231407</c:v>
                </c:pt>
                <c:pt idx="1430">
                  <c:v>115.12349866326136</c:v>
                </c:pt>
                <c:pt idx="1431">
                  <c:v>113.17425481824318</c:v>
                </c:pt>
                <c:pt idx="1432">
                  <c:v>116.71561390207862</c:v>
                </c:pt>
                <c:pt idx="1433">
                  <c:v>120.43453972307539</c:v>
                </c:pt>
                <c:pt idx="1434">
                  <c:v>124.60157216391973</c:v>
                </c:pt>
                <c:pt idx="1435">
                  <c:v>127.56593910857474</c:v>
                </c:pt>
                <c:pt idx="1436">
                  <c:v>129.59139699134079</c:v>
                </c:pt>
                <c:pt idx="1437">
                  <c:v>126.5005386856068</c:v>
                </c:pt>
                <c:pt idx="1438">
                  <c:v>133.28199193966685</c:v>
                </c:pt>
                <c:pt idx="1439">
                  <c:v>156.45385259965644</c:v>
                </c:pt>
                <c:pt idx="1440">
                  <c:v>194.1398986473001</c:v>
                </c:pt>
                <c:pt idx="1441">
                  <c:v>156.90355532500661</c:v>
                </c:pt>
                <c:pt idx="1442">
                  <c:v>149.83161086947811</c:v>
                </c:pt>
                <c:pt idx="1443">
                  <c:v>154.87969354774313</c:v>
                </c:pt>
                <c:pt idx="1444">
                  <c:v>153.8577869997203</c:v>
                </c:pt>
                <c:pt idx="1445">
                  <c:v>153.42205019751768</c:v>
                </c:pt>
                <c:pt idx="1446">
                  <c:v>142.86820158812463</c:v>
                </c:pt>
                <c:pt idx="1447">
                  <c:v>124.57004908024392</c:v>
                </c:pt>
                <c:pt idx="1448">
                  <c:v>131.67471369857518</c:v>
                </c:pt>
                <c:pt idx="1449">
                  <c:v>131.91333147120997</c:v>
                </c:pt>
                <c:pt idx="1450">
                  <c:v>133.05454690555015</c:v>
                </c:pt>
                <c:pt idx="1451">
                  <c:v>132.72973943577642</c:v>
                </c:pt>
                <c:pt idx="1452">
                  <c:v>127.99090219863504</c:v>
                </c:pt>
                <c:pt idx="1453">
                  <c:v>127.97015282710161</c:v>
                </c:pt>
                <c:pt idx="1454">
                  <c:v>133.37296995331363</c:v>
                </c:pt>
                <c:pt idx="1455">
                  <c:v>133.0824787518452</c:v>
                </c:pt>
                <c:pt idx="1456">
                  <c:v>130.19711902956757</c:v>
                </c:pt>
                <c:pt idx="1457">
                  <c:v>128.37117433462325</c:v>
                </c:pt>
                <c:pt idx="1458">
                  <c:v>129.95890028330845</c:v>
                </c:pt>
                <c:pt idx="1459">
                  <c:v>128.74625912772808</c:v>
                </c:pt>
                <c:pt idx="1460">
                  <c:v>129.14688160887405</c:v>
                </c:pt>
                <c:pt idx="1461">
                  <c:v>128.32089701129215</c:v>
                </c:pt>
                <c:pt idx="1462">
                  <c:v>129.8208371573358</c:v>
                </c:pt>
                <c:pt idx="1463">
                  <c:v>138.39232273253231</c:v>
                </c:pt>
                <c:pt idx="1464">
                  <c:v>143.41646382825871</c:v>
                </c:pt>
                <c:pt idx="1465">
                  <c:v>141.91053828658039</c:v>
                </c:pt>
                <c:pt idx="1466">
                  <c:v>145.57838873149478</c:v>
                </c:pt>
                <c:pt idx="1467">
                  <c:v>150.44651051434462</c:v>
                </c:pt>
                <c:pt idx="1468">
                  <c:v>144.2416503730893</c:v>
                </c:pt>
                <c:pt idx="1469">
                  <c:v>143.56051234986597</c:v>
                </c:pt>
                <c:pt idx="1470">
                  <c:v>143.93360201109257</c:v>
                </c:pt>
                <c:pt idx="1471">
                  <c:v>144.29033159091779</c:v>
                </c:pt>
                <c:pt idx="1472">
                  <c:v>151.00714257212366</c:v>
                </c:pt>
                <c:pt idx="1473">
                  <c:v>157.81213838234669</c:v>
                </c:pt>
                <c:pt idx="1474">
                  <c:v>157.46179322453176</c:v>
                </c:pt>
                <c:pt idx="1475">
                  <c:v>157.8939387893536</c:v>
                </c:pt>
                <c:pt idx="1476">
                  <c:v>165.54127927855993</c:v>
                </c:pt>
                <c:pt idx="1477">
                  <c:v>166.37324927177644</c:v>
                </c:pt>
                <c:pt idx="1478">
                  <c:v>179.33761621643146</c:v>
                </c:pt>
                <c:pt idx="1479">
                  <c:v>169.91101711823111</c:v>
                </c:pt>
                <c:pt idx="1480">
                  <c:v>173.89449742627946</c:v>
                </c:pt>
                <c:pt idx="1481">
                  <c:v>177.13139938549895</c:v>
                </c:pt>
                <c:pt idx="1482">
                  <c:v>184.12633175052827</c:v>
                </c:pt>
                <c:pt idx="1483">
                  <c:v>182.35944295917915</c:v>
                </c:pt>
                <c:pt idx="1484">
                  <c:v>181.58373568492834</c:v>
                </c:pt>
                <c:pt idx="1485">
                  <c:v>184.69614141494708</c:v>
                </c:pt>
                <c:pt idx="1486">
                  <c:v>184.37412712980284</c:v>
                </c:pt>
                <c:pt idx="1487">
                  <c:v>175.98858784565618</c:v>
                </c:pt>
                <c:pt idx="1488">
                  <c:v>173.98866765093132</c:v>
                </c:pt>
                <c:pt idx="1489">
                  <c:v>175.22684649455286</c:v>
                </c:pt>
                <c:pt idx="1490">
                  <c:v>176.7634970671557</c:v>
                </c:pt>
                <c:pt idx="1491">
                  <c:v>181.2748892701803</c:v>
                </c:pt>
                <c:pt idx="1492">
                  <c:v>181.96799808467293</c:v>
                </c:pt>
                <c:pt idx="1493">
                  <c:v>167.24272774430349</c:v>
                </c:pt>
                <c:pt idx="1494">
                  <c:v>168.89190375483778</c:v>
                </c:pt>
                <c:pt idx="1495">
                  <c:v>167.49491241371015</c:v>
                </c:pt>
                <c:pt idx="1496">
                  <c:v>171.67870396233153</c:v>
                </c:pt>
                <c:pt idx="1497">
                  <c:v>170.56462232153507</c:v>
                </c:pt>
                <c:pt idx="1498">
                  <c:v>171.91652368221497</c:v>
                </c:pt>
                <c:pt idx="1499">
                  <c:v>173.26563185826544</c:v>
                </c:pt>
                <c:pt idx="1500">
                  <c:v>172.95558836439048</c:v>
                </c:pt>
                <c:pt idx="1501">
                  <c:v>170.58736682494671</c:v>
                </c:pt>
                <c:pt idx="1502">
                  <c:v>173.07609432983477</c:v>
                </c:pt>
                <c:pt idx="1503">
                  <c:v>172.45840150033877</c:v>
                </c:pt>
                <c:pt idx="1504">
                  <c:v>171.90255775906749</c:v>
                </c:pt>
                <c:pt idx="1505">
                  <c:v>181.25693308327638</c:v>
                </c:pt>
                <c:pt idx="1506">
                  <c:v>181.04465105143407</c:v>
                </c:pt>
                <c:pt idx="1507">
                  <c:v>179.38510035513306</c:v>
                </c:pt>
                <c:pt idx="1508">
                  <c:v>177.93224532141534</c:v>
                </c:pt>
                <c:pt idx="1509">
                  <c:v>178.84761182714135</c:v>
                </c:pt>
                <c:pt idx="1510">
                  <c:v>177.93862974342562</c:v>
                </c:pt>
                <c:pt idx="1511">
                  <c:v>172.49311679501974</c:v>
                </c:pt>
                <c:pt idx="1512">
                  <c:v>171.83392522245677</c:v>
                </c:pt>
                <c:pt idx="1513">
                  <c:v>149.82163521008701</c:v>
                </c:pt>
                <c:pt idx="1514">
                  <c:v>152.73732093691353</c:v>
                </c:pt>
                <c:pt idx="1515">
                  <c:v>154.54810262958341</c:v>
                </c:pt>
                <c:pt idx="1516">
                  <c:v>154.43837037628148</c:v>
                </c:pt>
                <c:pt idx="1517">
                  <c:v>152.51266908742627</c:v>
                </c:pt>
                <c:pt idx="1518">
                  <c:v>166.52966761102866</c:v>
                </c:pt>
                <c:pt idx="1519">
                  <c:v>163.70974821435655</c:v>
                </c:pt>
                <c:pt idx="1520">
                  <c:v>151.04664618331233</c:v>
                </c:pt>
                <c:pt idx="1521">
                  <c:v>155.26116276285825</c:v>
                </c:pt>
                <c:pt idx="1522">
                  <c:v>161.18032001915287</c:v>
                </c:pt>
                <c:pt idx="1523">
                  <c:v>156.62224173017799</c:v>
                </c:pt>
                <c:pt idx="1524">
                  <c:v>156.25793064921555</c:v>
                </c:pt>
                <c:pt idx="1525">
                  <c:v>157.65771517497268</c:v>
                </c:pt>
                <c:pt idx="1526">
                  <c:v>151.75611507920635</c:v>
                </c:pt>
                <c:pt idx="1527">
                  <c:v>151.58612984318225</c:v>
                </c:pt>
                <c:pt idx="1528">
                  <c:v>150.90339571445634</c:v>
                </c:pt>
                <c:pt idx="1529">
                  <c:v>147.10546267108219</c:v>
                </c:pt>
                <c:pt idx="1530">
                  <c:v>148.81369458521172</c:v>
                </c:pt>
                <c:pt idx="1531">
                  <c:v>149.41343122780378</c:v>
                </c:pt>
                <c:pt idx="1532">
                  <c:v>147.63536969793665</c:v>
                </c:pt>
                <c:pt idx="1533">
                  <c:v>155.45588763417226</c:v>
                </c:pt>
                <c:pt idx="1534">
                  <c:v>154.16862854634655</c:v>
                </c:pt>
                <c:pt idx="1535">
                  <c:v>150.4892063365385</c:v>
                </c:pt>
                <c:pt idx="1536">
                  <c:v>150.49319660029494</c:v>
                </c:pt>
                <c:pt idx="1537">
                  <c:v>149.01799608954119</c:v>
                </c:pt>
                <c:pt idx="1538">
                  <c:v>150.11491959618496</c:v>
                </c:pt>
                <c:pt idx="1539">
                  <c:v>152.4360560233028</c:v>
                </c:pt>
                <c:pt idx="1540">
                  <c:v>151.62962371812745</c:v>
                </c:pt>
                <c:pt idx="1541">
                  <c:v>153.81309604564828</c:v>
                </c:pt>
                <c:pt idx="1542">
                  <c:v>157.44663022225734</c:v>
                </c:pt>
                <c:pt idx="1543">
                  <c:v>163.75284306292608</c:v>
                </c:pt>
                <c:pt idx="1544">
                  <c:v>160.69071465623841</c:v>
                </c:pt>
                <c:pt idx="1545">
                  <c:v>162.7935836558793</c:v>
                </c:pt>
                <c:pt idx="1546">
                  <c:v>166.32097681656722</c:v>
                </c:pt>
                <c:pt idx="1547">
                  <c:v>168.6245560831567</c:v>
                </c:pt>
                <c:pt idx="1548">
                  <c:v>168.45417182075695</c:v>
                </c:pt>
                <c:pt idx="1549">
                  <c:v>175.02613622760424</c:v>
                </c:pt>
                <c:pt idx="1550">
                  <c:v>174.4192171102506</c:v>
                </c:pt>
                <c:pt idx="1551">
                  <c:v>175.04967878376723</c:v>
                </c:pt>
                <c:pt idx="1552">
                  <c:v>169.02757272255661</c:v>
                </c:pt>
                <c:pt idx="1553">
                  <c:v>170.67116236383188</c:v>
                </c:pt>
                <c:pt idx="1554">
                  <c:v>168.81209847970914</c:v>
                </c:pt>
                <c:pt idx="1555">
                  <c:v>173.26962212202187</c:v>
                </c:pt>
                <c:pt idx="1556">
                  <c:v>172.46398786959779</c:v>
                </c:pt>
                <c:pt idx="1557">
                  <c:v>172.5282311160764</c:v>
                </c:pt>
                <c:pt idx="1558">
                  <c:v>175.16180519532304</c:v>
                </c:pt>
                <c:pt idx="1559">
                  <c:v>173.61637604245604</c:v>
                </c:pt>
                <c:pt idx="1560">
                  <c:v>167.89952515861262</c:v>
                </c:pt>
                <c:pt idx="1561">
                  <c:v>168.69358764614302</c:v>
                </c:pt>
                <c:pt idx="1562">
                  <c:v>163.30074617932206</c:v>
                </c:pt>
                <c:pt idx="1563">
                  <c:v>158.08906268704322</c:v>
                </c:pt>
                <c:pt idx="1564">
                  <c:v>162.42687841666293</c:v>
                </c:pt>
                <c:pt idx="1565">
                  <c:v>165.30505566417901</c:v>
                </c:pt>
                <c:pt idx="1566">
                  <c:v>164.35856510115281</c:v>
                </c:pt>
                <c:pt idx="1567">
                  <c:v>165.17896332947569</c:v>
                </c:pt>
                <c:pt idx="1568">
                  <c:v>166.50173576473367</c:v>
                </c:pt>
                <c:pt idx="1569">
                  <c:v>168.25266350105704</c:v>
                </c:pt>
                <c:pt idx="1570">
                  <c:v>164.6981365468254</c:v>
                </c:pt>
                <c:pt idx="1571">
                  <c:v>165.39363951957188</c:v>
                </c:pt>
                <c:pt idx="1572">
                  <c:v>166.2583296755912</c:v>
                </c:pt>
                <c:pt idx="1573">
                  <c:v>166.31898168468896</c:v>
                </c:pt>
                <c:pt idx="1574">
                  <c:v>167.03044571246122</c:v>
                </c:pt>
                <c:pt idx="1575">
                  <c:v>167.4422409321252</c:v>
                </c:pt>
                <c:pt idx="1576">
                  <c:v>163.25525717249869</c:v>
                </c:pt>
                <c:pt idx="1577">
                  <c:v>164.66022904113919</c:v>
                </c:pt>
                <c:pt idx="1578">
                  <c:v>164.46031682694186</c:v>
                </c:pt>
                <c:pt idx="1579">
                  <c:v>165.83456366465785</c:v>
                </c:pt>
                <c:pt idx="1580">
                  <c:v>167.2527034036946</c:v>
                </c:pt>
                <c:pt idx="1581">
                  <c:v>166.69167231953995</c:v>
                </c:pt>
                <c:pt idx="1582">
                  <c:v>166.32696221220186</c:v>
                </c:pt>
                <c:pt idx="1583">
                  <c:v>166.89597382386938</c:v>
                </c:pt>
                <c:pt idx="1584">
                  <c:v>166.80060652009061</c:v>
                </c:pt>
                <c:pt idx="1585">
                  <c:v>169.80687123418818</c:v>
                </c:pt>
                <c:pt idx="1586">
                  <c:v>169.85674953114361</c:v>
                </c:pt>
                <c:pt idx="1587">
                  <c:v>166.08595028131322</c:v>
                </c:pt>
                <c:pt idx="1588">
                  <c:v>166.31539044730818</c:v>
                </c:pt>
                <c:pt idx="1589">
                  <c:v>166.55680140457244</c:v>
                </c:pt>
                <c:pt idx="1590">
                  <c:v>167.99209927776187</c:v>
                </c:pt>
                <c:pt idx="1591">
                  <c:v>167.98132556561953</c:v>
                </c:pt>
                <c:pt idx="1592">
                  <c:v>168.27979729460083</c:v>
                </c:pt>
                <c:pt idx="1593">
                  <c:v>168.88113004269547</c:v>
                </c:pt>
                <c:pt idx="1594">
                  <c:v>169.26459438968882</c:v>
                </c:pt>
                <c:pt idx="1595">
                  <c:v>168.45018155700058</c:v>
                </c:pt>
                <c:pt idx="1596">
                  <c:v>169.11176728781737</c:v>
                </c:pt>
                <c:pt idx="1597">
                  <c:v>166.90914169426563</c:v>
                </c:pt>
                <c:pt idx="1598">
                  <c:v>167.40672758469299</c:v>
                </c:pt>
                <c:pt idx="1599">
                  <c:v>168.39272175890792</c:v>
                </c:pt>
                <c:pt idx="1600">
                  <c:v>170.36071984358128</c:v>
                </c:pt>
                <c:pt idx="1601">
                  <c:v>170.10254977853998</c:v>
                </c:pt>
                <c:pt idx="1602">
                  <c:v>169.40744583216915</c:v>
                </c:pt>
                <c:pt idx="1603">
                  <c:v>169.97605841746102</c:v>
                </c:pt>
                <c:pt idx="1604">
                  <c:v>171.39739036750291</c:v>
                </c:pt>
                <c:pt idx="1605">
                  <c:v>171.73376960217033</c:v>
                </c:pt>
                <c:pt idx="1606">
                  <c:v>171.07617413510994</c:v>
                </c:pt>
                <c:pt idx="1607">
                  <c:v>170.89142492318703</c:v>
                </c:pt>
                <c:pt idx="1608">
                  <c:v>173.80750967638923</c:v>
                </c:pt>
                <c:pt idx="1609">
                  <c:v>176.8844020589757</c:v>
                </c:pt>
                <c:pt idx="1610">
                  <c:v>177.84685367702764</c:v>
                </c:pt>
                <c:pt idx="1611">
                  <c:v>177.52045010175132</c:v>
                </c:pt>
                <c:pt idx="1612">
                  <c:v>181.08774590000357</c:v>
                </c:pt>
                <c:pt idx="1613">
                  <c:v>182.63477115837313</c:v>
                </c:pt>
                <c:pt idx="1614">
                  <c:v>184.68656478193162</c:v>
                </c:pt>
                <c:pt idx="1615">
                  <c:v>185.69849567056337</c:v>
                </c:pt>
                <c:pt idx="1616">
                  <c:v>176.23518614580379</c:v>
                </c:pt>
                <c:pt idx="1617">
                  <c:v>178.28817684848923</c:v>
                </c:pt>
                <c:pt idx="1618">
                  <c:v>181.35629065081156</c:v>
                </c:pt>
                <c:pt idx="1619">
                  <c:v>179.24863333466294</c:v>
                </c:pt>
                <c:pt idx="1620">
                  <c:v>180.47563943976652</c:v>
                </c:pt>
                <c:pt idx="1621">
                  <c:v>177.22796376840466</c:v>
                </c:pt>
                <c:pt idx="1622">
                  <c:v>179.27297394357723</c:v>
                </c:pt>
                <c:pt idx="1623">
                  <c:v>178.48010853517374</c:v>
                </c:pt>
                <c:pt idx="1624">
                  <c:v>178.47252703403652</c:v>
                </c:pt>
                <c:pt idx="1625">
                  <c:v>182.87099477275405</c:v>
                </c:pt>
                <c:pt idx="1626">
                  <c:v>183.21695064043692</c:v>
                </c:pt>
                <c:pt idx="1627">
                  <c:v>182.34268385140214</c:v>
                </c:pt>
                <c:pt idx="1628">
                  <c:v>183.67583097242684</c:v>
                </c:pt>
                <c:pt idx="1629">
                  <c:v>180.92095287498461</c:v>
                </c:pt>
                <c:pt idx="1630">
                  <c:v>180.33079286540797</c:v>
                </c:pt>
                <c:pt idx="1631">
                  <c:v>181.28566298232269</c:v>
                </c:pt>
                <c:pt idx="1632">
                  <c:v>181.69346793823027</c:v>
                </c:pt>
                <c:pt idx="1633">
                  <c:v>181.87502493914803</c:v>
                </c:pt>
                <c:pt idx="1634">
                  <c:v>182.38897091097675</c:v>
                </c:pt>
                <c:pt idx="1635">
                  <c:v>181.46682095686481</c:v>
                </c:pt>
                <c:pt idx="1636">
                  <c:v>181.39100594549257</c:v>
                </c:pt>
                <c:pt idx="1637">
                  <c:v>181.15797454211679</c:v>
                </c:pt>
                <c:pt idx="1638">
                  <c:v>176.50293284386055</c:v>
                </c:pt>
                <c:pt idx="1639">
                  <c:v>176.39399864330989</c:v>
                </c:pt>
                <c:pt idx="1640">
                  <c:v>176.59191572562904</c:v>
                </c:pt>
                <c:pt idx="1641">
                  <c:v>176.3600814013802</c:v>
                </c:pt>
                <c:pt idx="1642">
                  <c:v>177.73712142372568</c:v>
                </c:pt>
                <c:pt idx="1643">
                  <c:v>178.91464825824943</c:v>
                </c:pt>
                <c:pt idx="1644">
                  <c:v>179.57064761980723</c:v>
                </c:pt>
                <c:pt idx="1645">
                  <c:v>189.1660348749048</c:v>
                </c:pt>
                <c:pt idx="1646">
                  <c:v>198.98487690036265</c:v>
                </c:pt>
                <c:pt idx="1647">
                  <c:v>208.23151510314784</c:v>
                </c:pt>
                <c:pt idx="1648">
                  <c:v>213.69418618570637</c:v>
                </c:pt>
                <c:pt idx="1649">
                  <c:v>217.23714137504439</c:v>
                </c:pt>
                <c:pt idx="1650">
                  <c:v>212.33829456127</c:v>
                </c:pt>
                <c:pt idx="1651">
                  <c:v>213.81588923027766</c:v>
                </c:pt>
                <c:pt idx="1652">
                  <c:v>219.39108575076764</c:v>
                </c:pt>
                <c:pt idx="1653">
                  <c:v>231.75811021108441</c:v>
                </c:pt>
                <c:pt idx="1654">
                  <c:v>230.63245680539436</c:v>
                </c:pt>
                <c:pt idx="1655">
                  <c:v>233.48709149674744</c:v>
                </c:pt>
                <c:pt idx="1656">
                  <c:v>233.29675591556548</c:v>
                </c:pt>
                <c:pt idx="1657">
                  <c:v>230.10773712142321</c:v>
                </c:pt>
                <c:pt idx="1658">
                  <c:v>230.94968277403086</c:v>
                </c:pt>
                <c:pt idx="1659">
                  <c:v>230.31203862575262</c:v>
                </c:pt>
                <c:pt idx="1660">
                  <c:v>232.78280994373677</c:v>
                </c:pt>
                <c:pt idx="1661">
                  <c:v>250.64163441203414</c:v>
                </c:pt>
                <c:pt idx="1662">
                  <c:v>276.36486971788781</c:v>
                </c:pt>
                <c:pt idx="1663">
                  <c:v>276.76948246279028</c:v>
                </c:pt>
                <c:pt idx="1664">
                  <c:v>270.46326962212152</c:v>
                </c:pt>
                <c:pt idx="1665">
                  <c:v>292.71218227524787</c:v>
                </c:pt>
                <c:pt idx="1666">
                  <c:v>294.8377957783004</c:v>
                </c:pt>
                <c:pt idx="1667">
                  <c:v>301.04744423606348</c:v>
                </c:pt>
                <c:pt idx="1668">
                  <c:v>300.72104066078708</c:v>
                </c:pt>
                <c:pt idx="1669">
                  <c:v>304.85216072782356</c:v>
                </c:pt>
                <c:pt idx="1670">
                  <c:v>284.53573281193837</c:v>
                </c:pt>
                <c:pt idx="1671">
                  <c:v>268.24667810542229</c:v>
                </c:pt>
                <c:pt idx="1672">
                  <c:v>236.637803758828</c:v>
                </c:pt>
                <c:pt idx="1673">
                  <c:v>259.83200989585362</c:v>
                </c:pt>
                <c:pt idx="1674">
                  <c:v>271.53345836159718</c:v>
                </c:pt>
                <c:pt idx="1675">
                  <c:v>261.89298112605195</c:v>
                </c:pt>
                <c:pt idx="1676">
                  <c:v>257.2131997925058</c:v>
                </c:pt>
                <c:pt idx="1677">
                  <c:v>259.26180120505916</c:v>
                </c:pt>
                <c:pt idx="1678">
                  <c:v>254.36973783967071</c:v>
                </c:pt>
                <c:pt idx="1679">
                  <c:v>255.22844260005539</c:v>
                </c:pt>
                <c:pt idx="1680">
                  <c:v>269.68157695223601</c:v>
                </c:pt>
                <c:pt idx="1681">
                  <c:v>270.60013566896714</c:v>
                </c:pt>
                <c:pt idx="1682">
                  <c:v>267.80615298671188</c:v>
                </c:pt>
                <c:pt idx="1683">
                  <c:v>268.55113523003814</c:v>
                </c:pt>
                <c:pt idx="1684">
                  <c:v>269.45492997087052</c:v>
                </c:pt>
                <c:pt idx="1685">
                  <c:v>269.43019033558068</c:v>
                </c:pt>
                <c:pt idx="1686">
                  <c:v>257.66888791349061</c:v>
                </c:pt>
                <c:pt idx="1687">
                  <c:v>256.71681098120536</c:v>
                </c:pt>
                <c:pt idx="1688">
                  <c:v>260.84274370535843</c:v>
                </c:pt>
                <c:pt idx="1689">
                  <c:v>258.29655640237775</c:v>
                </c:pt>
                <c:pt idx="1690">
                  <c:v>258.13854195762298</c:v>
                </c:pt>
                <c:pt idx="1691">
                  <c:v>258.75783089262154</c:v>
                </c:pt>
                <c:pt idx="1692">
                  <c:v>266.42352659510749</c:v>
                </c:pt>
                <c:pt idx="1693">
                  <c:v>261.85706875224412</c:v>
                </c:pt>
                <c:pt idx="1694">
                  <c:v>265.15382466781011</c:v>
                </c:pt>
                <c:pt idx="1695">
                  <c:v>265.21288057140532</c:v>
                </c:pt>
                <c:pt idx="1696">
                  <c:v>265.76513307529586</c:v>
                </c:pt>
                <c:pt idx="1697">
                  <c:v>271.24855352938789</c:v>
                </c:pt>
                <c:pt idx="1698">
                  <c:v>267.84525757152505</c:v>
                </c:pt>
                <c:pt idx="1699">
                  <c:v>267.59826024500177</c:v>
                </c:pt>
                <c:pt idx="1700">
                  <c:v>264.7743505845732</c:v>
                </c:pt>
                <c:pt idx="1701">
                  <c:v>265.27632576513258</c:v>
                </c:pt>
                <c:pt idx="1702">
                  <c:v>260.55903595227596</c:v>
                </c:pt>
                <c:pt idx="1703">
                  <c:v>261.23897689637238</c:v>
                </c:pt>
                <c:pt idx="1704">
                  <c:v>261.54343402098829</c:v>
                </c:pt>
                <c:pt idx="1705">
                  <c:v>258.6768285383659</c:v>
                </c:pt>
                <c:pt idx="1706">
                  <c:v>260.83476317784556</c:v>
                </c:pt>
                <c:pt idx="1707">
                  <c:v>261.45524919197106</c:v>
                </c:pt>
                <c:pt idx="1708">
                  <c:v>261.56777462990249</c:v>
                </c:pt>
                <c:pt idx="1709">
                  <c:v>261.75531702645492</c:v>
                </c:pt>
                <c:pt idx="1710">
                  <c:v>254.66222417301731</c:v>
                </c:pt>
                <c:pt idx="1711">
                  <c:v>248.39312078528343</c:v>
                </c:pt>
                <c:pt idx="1712">
                  <c:v>240.69749810462426</c:v>
                </c:pt>
                <c:pt idx="1713">
                  <c:v>220.95127887953353</c:v>
                </c:pt>
                <c:pt idx="1714">
                  <c:v>228.81648776984116</c:v>
                </c:pt>
                <c:pt idx="1715">
                  <c:v>228.17405530505522</c:v>
                </c:pt>
                <c:pt idx="1716">
                  <c:v>227.49890267746653</c:v>
                </c:pt>
                <c:pt idx="1717">
                  <c:v>235.29468097841223</c:v>
                </c:pt>
                <c:pt idx="1718">
                  <c:v>235.20210685926298</c:v>
                </c:pt>
                <c:pt idx="1719">
                  <c:v>234.3206575954666</c:v>
                </c:pt>
                <c:pt idx="1720">
                  <c:v>234.81983959139649</c:v>
                </c:pt>
                <c:pt idx="1721">
                  <c:v>236.45864091616406</c:v>
                </c:pt>
                <c:pt idx="1722">
                  <c:v>235.30585371693019</c:v>
                </c:pt>
                <c:pt idx="1723">
                  <c:v>235.00299269781681</c:v>
                </c:pt>
                <c:pt idx="1724">
                  <c:v>232.86700450899752</c:v>
                </c:pt>
                <c:pt idx="1725">
                  <c:v>228.67762659111719</c:v>
                </c:pt>
                <c:pt idx="1726">
                  <c:v>227.11543833047315</c:v>
                </c:pt>
                <c:pt idx="1727">
                  <c:v>231.61565779497974</c:v>
                </c:pt>
                <c:pt idx="1728">
                  <c:v>229.11296436694411</c:v>
                </c:pt>
                <c:pt idx="1729">
                  <c:v>229.41941662343828</c:v>
                </c:pt>
                <c:pt idx="1730">
                  <c:v>231.35030525517686</c:v>
                </c:pt>
                <c:pt idx="1731">
                  <c:v>232.66469813654632</c:v>
                </c:pt>
                <c:pt idx="1732">
                  <c:v>231.75411994732798</c:v>
                </c:pt>
                <c:pt idx="1733">
                  <c:v>232.65631858265775</c:v>
                </c:pt>
                <c:pt idx="1734">
                  <c:v>232.47037229160796</c:v>
                </c:pt>
                <c:pt idx="1735">
                  <c:v>229.69075455887585</c:v>
                </c:pt>
                <c:pt idx="1736">
                  <c:v>231.3032201428509</c:v>
                </c:pt>
                <c:pt idx="1737">
                  <c:v>229.84198555524469</c:v>
                </c:pt>
                <c:pt idx="1738">
                  <c:v>228.57028849606914</c:v>
                </c:pt>
                <c:pt idx="1739">
                  <c:v>229.44335820597698</c:v>
                </c:pt>
                <c:pt idx="1740">
                  <c:v>230.71306013327438</c:v>
                </c:pt>
                <c:pt idx="1741">
                  <c:v>229.39747017277799</c:v>
                </c:pt>
                <c:pt idx="1742">
                  <c:v>228.40668768205535</c:v>
                </c:pt>
                <c:pt idx="1743">
                  <c:v>228.17086309405008</c:v>
                </c:pt>
                <c:pt idx="1744">
                  <c:v>229.35118311320338</c:v>
                </c:pt>
                <c:pt idx="1745">
                  <c:v>240.00399026375601</c:v>
                </c:pt>
                <c:pt idx="1746">
                  <c:v>241.43090858305686</c:v>
                </c:pt>
                <c:pt idx="1747">
                  <c:v>242.09528749850321</c:v>
                </c:pt>
                <c:pt idx="1748">
                  <c:v>243.00466860859461</c:v>
                </c:pt>
                <c:pt idx="1749">
                  <c:v>250.02274450341125</c:v>
                </c:pt>
                <c:pt idx="1750">
                  <c:v>248.39870715454248</c:v>
                </c:pt>
                <c:pt idx="1751">
                  <c:v>248.86317385579147</c:v>
                </c:pt>
                <c:pt idx="1752">
                  <c:v>248.61418139738996</c:v>
                </c:pt>
                <c:pt idx="1753">
                  <c:v>241.68269422608796</c:v>
                </c:pt>
                <c:pt idx="1754">
                  <c:v>242.48034795099912</c:v>
                </c:pt>
                <c:pt idx="1755">
                  <c:v>243.48669247037188</c:v>
                </c:pt>
                <c:pt idx="1756">
                  <c:v>243.49946131439251</c:v>
                </c:pt>
                <c:pt idx="1757">
                  <c:v>242.63237700011936</c:v>
                </c:pt>
                <c:pt idx="1758">
                  <c:v>242.47994892462353</c:v>
                </c:pt>
                <c:pt idx="1759">
                  <c:v>242.33230916563545</c:v>
                </c:pt>
                <c:pt idx="1760">
                  <c:v>243.08966122660667</c:v>
                </c:pt>
                <c:pt idx="1761">
                  <c:v>243.04736443078846</c:v>
                </c:pt>
                <c:pt idx="1762">
                  <c:v>238.86038067116195</c:v>
                </c:pt>
                <c:pt idx="1763">
                  <c:v>238.32009895854077</c:v>
                </c:pt>
                <c:pt idx="1764">
                  <c:v>239.05111527871952</c:v>
                </c:pt>
                <c:pt idx="1765">
                  <c:v>240.83316707234309</c:v>
                </c:pt>
                <c:pt idx="1766">
                  <c:v>240.59933761621602</c:v>
                </c:pt>
                <c:pt idx="1767">
                  <c:v>241.84549698735049</c:v>
                </c:pt>
                <c:pt idx="1768">
                  <c:v>242.23614380910536</c:v>
                </c:pt>
                <c:pt idx="1769">
                  <c:v>241.69865528111367</c:v>
                </c:pt>
                <c:pt idx="1770">
                  <c:v>241.81317585092333</c:v>
                </c:pt>
                <c:pt idx="1771">
                  <c:v>241.66473803918393</c:v>
                </c:pt>
                <c:pt idx="1772">
                  <c:v>244.4307888751442</c:v>
                </c:pt>
                <c:pt idx="1773">
                  <c:v>244.59478871553367</c:v>
                </c:pt>
                <c:pt idx="1774">
                  <c:v>244.25441921710981</c:v>
                </c:pt>
                <c:pt idx="1775">
                  <c:v>243.55811819161201</c:v>
                </c:pt>
                <c:pt idx="1776">
                  <c:v>243.59961693467892</c:v>
                </c:pt>
                <c:pt idx="1777">
                  <c:v>244.20932923666211</c:v>
                </c:pt>
                <c:pt idx="1778">
                  <c:v>245.68812098479668</c:v>
                </c:pt>
                <c:pt idx="1779">
                  <c:v>246.94784725270296</c:v>
                </c:pt>
                <c:pt idx="1780">
                  <c:v>246.37843661465979</c:v>
                </c:pt>
                <c:pt idx="1781">
                  <c:v>246.69286939866683</c:v>
                </c:pt>
                <c:pt idx="1782">
                  <c:v>253.05734009017954</c:v>
                </c:pt>
                <c:pt idx="1783">
                  <c:v>255.45269542316706</c:v>
                </c:pt>
                <c:pt idx="1784">
                  <c:v>254.32544591197433</c:v>
                </c:pt>
                <c:pt idx="1785">
                  <c:v>255.04010215075166</c:v>
                </c:pt>
                <c:pt idx="1786">
                  <c:v>256.14779936953789</c:v>
                </c:pt>
                <c:pt idx="1787">
                  <c:v>256.31778460556194</c:v>
                </c:pt>
                <c:pt idx="1788">
                  <c:v>255.22485136267463</c:v>
                </c:pt>
                <c:pt idx="1789">
                  <c:v>255.27353258050312</c:v>
                </c:pt>
                <c:pt idx="1790">
                  <c:v>254.63908064323005</c:v>
                </c:pt>
                <c:pt idx="1791">
                  <c:v>251.93966721200223</c:v>
                </c:pt>
                <c:pt idx="1792">
                  <c:v>252.28721918518767</c:v>
                </c:pt>
                <c:pt idx="1793">
                  <c:v>254.42879374326597</c:v>
                </c:pt>
                <c:pt idx="1794">
                  <c:v>262.23973504648609</c:v>
                </c:pt>
                <c:pt idx="1795">
                  <c:v>260.49519173217305</c:v>
                </c:pt>
                <c:pt idx="1796">
                  <c:v>261.99952116834879</c:v>
                </c:pt>
                <c:pt idx="1797">
                  <c:v>264.9551095327397</c:v>
                </c:pt>
                <c:pt idx="1798">
                  <c:v>274.17740712661066</c:v>
                </c:pt>
                <c:pt idx="1799">
                  <c:v>274.263197797374</c:v>
                </c:pt>
                <c:pt idx="1800">
                  <c:v>280.90539084633451</c:v>
                </c:pt>
                <c:pt idx="1801">
                  <c:v>283.85698894696895</c:v>
                </c:pt>
                <c:pt idx="1802">
                  <c:v>279.85076413550888</c:v>
                </c:pt>
                <c:pt idx="1803">
                  <c:v>289.89545508958093</c:v>
                </c:pt>
                <c:pt idx="1804">
                  <c:v>289.64247236742307</c:v>
                </c:pt>
                <c:pt idx="1805">
                  <c:v>294.00343162683009</c:v>
                </c:pt>
                <c:pt idx="1806">
                  <c:v>281.74813455169345</c:v>
                </c:pt>
                <c:pt idx="1807">
                  <c:v>281.19069470491957</c:v>
                </c:pt>
                <c:pt idx="1808">
                  <c:v>284.26399585012524</c:v>
                </c:pt>
                <c:pt idx="1809">
                  <c:v>280.51274889270138</c:v>
                </c:pt>
                <c:pt idx="1810">
                  <c:v>281.00754159849919</c:v>
                </c:pt>
                <c:pt idx="1811">
                  <c:v>293.18742268863923</c:v>
                </c:pt>
                <c:pt idx="1812">
                  <c:v>286.51131239774901</c:v>
                </c:pt>
                <c:pt idx="1813">
                  <c:v>286.04325445911928</c:v>
                </c:pt>
                <c:pt idx="1814">
                  <c:v>282.38936993735246</c:v>
                </c:pt>
                <c:pt idx="1815">
                  <c:v>277.36243565699647</c:v>
                </c:pt>
                <c:pt idx="1816">
                  <c:v>280.29328438609747</c:v>
                </c:pt>
                <c:pt idx="1817">
                  <c:v>283.23770001197033</c:v>
                </c:pt>
                <c:pt idx="1818">
                  <c:v>285.21567375603485</c:v>
                </c:pt>
                <c:pt idx="1819">
                  <c:v>295.97182873787915</c:v>
                </c:pt>
                <c:pt idx="1820">
                  <c:v>299.76098320098919</c:v>
                </c:pt>
                <c:pt idx="1821">
                  <c:v>298.77059973664223</c:v>
                </c:pt>
                <c:pt idx="1822">
                  <c:v>300.25417980128447</c:v>
                </c:pt>
                <c:pt idx="1823">
                  <c:v>292.93643509835965</c:v>
                </c:pt>
                <c:pt idx="1824">
                  <c:v>295.58038386337302</c:v>
                </c:pt>
                <c:pt idx="1825">
                  <c:v>296.51091337137348</c:v>
                </c:pt>
                <c:pt idx="1826">
                  <c:v>295.54367343681383</c:v>
                </c:pt>
                <c:pt idx="1827">
                  <c:v>294.52336299429356</c:v>
                </c:pt>
                <c:pt idx="1828">
                  <c:v>293.2468776186102</c:v>
                </c:pt>
                <c:pt idx="1829">
                  <c:v>294.01460436534819</c:v>
                </c:pt>
                <c:pt idx="1830">
                  <c:v>294.01659949722642</c:v>
                </c:pt>
                <c:pt idx="1831">
                  <c:v>293.8430230238215</c:v>
                </c:pt>
                <c:pt idx="1832">
                  <c:v>298.13375364111533</c:v>
                </c:pt>
                <c:pt idx="1833">
                  <c:v>300.66238378356775</c:v>
                </c:pt>
                <c:pt idx="1834">
                  <c:v>308.61458042376563</c:v>
                </c:pt>
                <c:pt idx="1835">
                  <c:v>306.82095686524843</c:v>
                </c:pt>
                <c:pt idx="1836">
                  <c:v>307.40792466381993</c:v>
                </c:pt>
                <c:pt idx="1837">
                  <c:v>299.95331391404937</c:v>
                </c:pt>
                <c:pt idx="1838">
                  <c:v>305.01376640995937</c:v>
                </c:pt>
                <c:pt idx="1839">
                  <c:v>305.87127409121712</c:v>
                </c:pt>
                <c:pt idx="1840">
                  <c:v>308.35361717409489</c:v>
                </c:pt>
                <c:pt idx="1841">
                  <c:v>308.52400143649464</c:v>
                </c:pt>
                <c:pt idx="1842">
                  <c:v>309.30768923825832</c:v>
                </c:pt>
                <c:pt idx="1843">
                  <c:v>306.69087426678868</c:v>
                </c:pt>
                <c:pt idx="1844">
                  <c:v>311.2884561669523</c:v>
                </c:pt>
                <c:pt idx="1845">
                  <c:v>311.81995929930935</c:v>
                </c:pt>
                <c:pt idx="1846">
                  <c:v>311.83472327520815</c:v>
                </c:pt>
                <c:pt idx="1847">
                  <c:v>311.06300626471369</c:v>
                </c:pt>
                <c:pt idx="1848">
                  <c:v>312.82550576593076</c:v>
                </c:pt>
                <c:pt idx="1849">
                  <c:v>315.32021866645351</c:v>
                </c:pt>
                <c:pt idx="1850">
                  <c:v>315.59115757551541</c:v>
                </c:pt>
                <c:pt idx="1851">
                  <c:v>315.92155141454816</c:v>
                </c:pt>
                <c:pt idx="1852">
                  <c:v>316.55360919356735</c:v>
                </c:pt>
                <c:pt idx="1853">
                  <c:v>323.01703842623959</c:v>
                </c:pt>
                <c:pt idx="1854">
                  <c:v>343.21296037668048</c:v>
                </c:pt>
                <c:pt idx="1855">
                  <c:v>364.43517816527634</c:v>
                </c:pt>
                <c:pt idx="1856">
                  <c:v>355.62427676469372</c:v>
                </c:pt>
                <c:pt idx="1857">
                  <c:v>346.56318582658275</c:v>
                </c:pt>
                <c:pt idx="1858">
                  <c:v>358.11619648058701</c:v>
                </c:pt>
                <c:pt idx="1859">
                  <c:v>371.23458760624038</c:v>
                </c:pt>
                <c:pt idx="1860">
                  <c:v>383.27600654403221</c:v>
                </c:pt>
                <c:pt idx="1861">
                  <c:v>388.42145165795426</c:v>
                </c:pt>
                <c:pt idx="1862">
                  <c:v>378.79494034555654</c:v>
                </c:pt>
                <c:pt idx="1863">
                  <c:v>379.96448665256742</c:v>
                </c:pt>
                <c:pt idx="1864">
                  <c:v>388.23191412952366</c:v>
                </c:pt>
                <c:pt idx="1865">
                  <c:v>409.35317824508172</c:v>
                </c:pt>
                <c:pt idx="1866">
                  <c:v>411.18470930928498</c:v>
                </c:pt>
                <c:pt idx="1867">
                  <c:v>439.13650692310722</c:v>
                </c:pt>
                <c:pt idx="1868">
                  <c:v>412.17030445712425</c:v>
                </c:pt>
                <c:pt idx="1869">
                  <c:v>356.00893819081404</c:v>
                </c:pt>
                <c:pt idx="1870">
                  <c:v>356.06799409440924</c:v>
                </c:pt>
                <c:pt idx="1871">
                  <c:v>363.90806432305135</c:v>
                </c:pt>
                <c:pt idx="1872">
                  <c:v>361.99074258808469</c:v>
                </c:pt>
                <c:pt idx="1873">
                  <c:v>362.6754718486888</c:v>
                </c:pt>
                <c:pt idx="1874">
                  <c:v>326.42272854235631</c:v>
                </c:pt>
                <c:pt idx="1875">
                  <c:v>306.11268504848141</c:v>
                </c:pt>
                <c:pt idx="1876">
                  <c:v>317.7873987470569</c:v>
                </c:pt>
                <c:pt idx="1877">
                  <c:v>332.76166154582785</c:v>
                </c:pt>
                <c:pt idx="1878">
                  <c:v>327.87598260244971</c:v>
                </c:pt>
                <c:pt idx="1879">
                  <c:v>329.63888113004236</c:v>
                </c:pt>
                <c:pt idx="1880">
                  <c:v>353.83823470731386</c:v>
                </c:pt>
                <c:pt idx="1881">
                  <c:v>358.98168468935768</c:v>
                </c:pt>
                <c:pt idx="1882">
                  <c:v>355.53808706755484</c:v>
                </c:pt>
                <c:pt idx="1883">
                  <c:v>355.90838354415195</c:v>
                </c:pt>
                <c:pt idx="1884">
                  <c:v>369.51199074258773</c:v>
                </c:pt>
                <c:pt idx="1885">
                  <c:v>362.73093651490325</c:v>
                </c:pt>
                <c:pt idx="1886">
                  <c:v>368.682414907625</c:v>
                </c:pt>
                <c:pt idx="1887">
                  <c:v>362.26766689278122</c:v>
                </c:pt>
                <c:pt idx="1888">
                  <c:v>359.20354335421536</c:v>
                </c:pt>
                <c:pt idx="1889">
                  <c:v>362.24372531024261</c:v>
                </c:pt>
                <c:pt idx="1890">
                  <c:v>367.23953553329835</c:v>
                </c:pt>
                <c:pt idx="1891">
                  <c:v>368.29895056063168</c:v>
                </c:pt>
                <c:pt idx="1892">
                  <c:v>368.13375364111528</c:v>
                </c:pt>
                <c:pt idx="1893">
                  <c:v>367.62659111767243</c:v>
                </c:pt>
                <c:pt idx="1894">
                  <c:v>380.65480228243035</c:v>
                </c:pt>
                <c:pt idx="1895">
                  <c:v>388.08746658154058</c:v>
                </c:pt>
                <c:pt idx="1896">
                  <c:v>397.55157415905143</c:v>
                </c:pt>
                <c:pt idx="1897">
                  <c:v>406.82734128725861</c:v>
                </c:pt>
                <c:pt idx="1898">
                  <c:v>409.18957743106773</c:v>
                </c:pt>
                <c:pt idx="1899">
                  <c:v>410.02753281991892</c:v>
                </c:pt>
                <c:pt idx="1900">
                  <c:v>415.07920673556475</c:v>
                </c:pt>
                <c:pt idx="1901">
                  <c:v>422.92805554447102</c:v>
                </c:pt>
                <c:pt idx="1902">
                  <c:v>419.87151350704232</c:v>
                </c:pt>
                <c:pt idx="1903">
                  <c:v>392.28841626431461</c:v>
                </c:pt>
                <c:pt idx="1904">
                  <c:v>385.10235026535207</c:v>
                </c:pt>
                <c:pt idx="1905">
                  <c:v>400.41498743066865</c:v>
                </c:pt>
                <c:pt idx="1906">
                  <c:v>399.23785962252055</c:v>
                </c:pt>
                <c:pt idx="1907">
                  <c:v>396.09073859782086</c:v>
                </c:pt>
                <c:pt idx="1908">
                  <c:v>399.73265232831841</c:v>
                </c:pt>
                <c:pt idx="1909">
                  <c:v>401.28486492957131</c:v>
                </c:pt>
                <c:pt idx="1910">
                  <c:v>406.75950680339918</c:v>
                </c:pt>
                <c:pt idx="1911">
                  <c:v>415.54606759506754</c:v>
                </c:pt>
                <c:pt idx="1912">
                  <c:v>421.64319061489914</c:v>
                </c:pt>
                <c:pt idx="1913">
                  <c:v>417.04640676748681</c:v>
                </c:pt>
                <c:pt idx="1914">
                  <c:v>421.982363034196</c:v>
                </c:pt>
                <c:pt idx="1915">
                  <c:v>440.10215075216416</c:v>
                </c:pt>
                <c:pt idx="1916">
                  <c:v>443.96472606839251</c:v>
                </c:pt>
                <c:pt idx="1917">
                  <c:v>456.14301105303008</c:v>
                </c:pt>
                <c:pt idx="1918">
                  <c:v>469.86153784765116</c:v>
                </c:pt>
                <c:pt idx="1919">
                  <c:v>464.41482782011832</c:v>
                </c:pt>
                <c:pt idx="1920">
                  <c:v>461.92490323610343</c:v>
                </c:pt>
                <c:pt idx="1921">
                  <c:v>465.46825745181701</c:v>
                </c:pt>
                <c:pt idx="1922">
                  <c:v>469.95730417780555</c:v>
                </c:pt>
                <c:pt idx="1923">
                  <c:v>480.95846135429491</c:v>
                </c:pt>
                <c:pt idx="1924">
                  <c:v>490.10813614779875</c:v>
                </c:pt>
                <c:pt idx="1925">
                  <c:v>505.63026216032819</c:v>
                </c:pt>
                <c:pt idx="1926">
                  <c:v>506.47619807669219</c:v>
                </c:pt>
                <c:pt idx="1927">
                  <c:v>500.80204301504256</c:v>
                </c:pt>
                <c:pt idx="1928">
                  <c:v>507.12262080523453</c:v>
                </c:pt>
                <c:pt idx="1929">
                  <c:v>489.52555763935925</c:v>
                </c:pt>
                <c:pt idx="1930">
                  <c:v>479.9608954151862</c:v>
                </c:pt>
                <c:pt idx="1931">
                  <c:v>468.05394836598634</c:v>
                </c:pt>
                <c:pt idx="1932">
                  <c:v>495.22365428354738</c:v>
                </c:pt>
                <c:pt idx="1933">
                  <c:v>475.12070547863141</c:v>
                </c:pt>
                <c:pt idx="1934">
                  <c:v>471.31798411874956</c:v>
                </c:pt>
                <c:pt idx="1935">
                  <c:v>491.45285503371701</c:v>
                </c:pt>
                <c:pt idx="1936">
                  <c:v>493.23251266908665</c:v>
                </c:pt>
                <c:pt idx="1937">
                  <c:v>498.60340768524725</c:v>
                </c:pt>
                <c:pt idx="1938">
                  <c:v>487.72195842145095</c:v>
                </c:pt>
                <c:pt idx="1939">
                  <c:v>463.14193368181571</c:v>
                </c:pt>
                <c:pt idx="1940">
                  <c:v>425.55763935996106</c:v>
                </c:pt>
                <c:pt idx="1941">
                  <c:v>399.88827261481924</c:v>
                </c:pt>
                <c:pt idx="1942">
                  <c:v>422.33350624476219</c:v>
                </c:pt>
                <c:pt idx="1943">
                  <c:v>436.66254339411768</c:v>
                </c:pt>
                <c:pt idx="1944">
                  <c:v>415.54207733131102</c:v>
                </c:pt>
                <c:pt idx="1945">
                  <c:v>421.43968716332091</c:v>
                </c:pt>
                <c:pt idx="1946">
                  <c:v>391.73137544391625</c:v>
                </c:pt>
                <c:pt idx="1947">
                  <c:v>379.07705199313614</c:v>
                </c:pt>
                <c:pt idx="1948">
                  <c:v>396.48018834044871</c:v>
                </c:pt>
                <c:pt idx="1949">
                  <c:v>410.99716691273233</c:v>
                </c:pt>
                <c:pt idx="1950">
                  <c:v>423.73807908702707</c:v>
                </c:pt>
                <c:pt idx="1951">
                  <c:v>416.53565300666321</c:v>
                </c:pt>
                <c:pt idx="1952">
                  <c:v>407.40193926818506</c:v>
                </c:pt>
                <c:pt idx="1953">
                  <c:v>415.41039862734863</c:v>
                </c:pt>
                <c:pt idx="1954">
                  <c:v>432.45281513107949</c:v>
                </c:pt>
                <c:pt idx="1955">
                  <c:v>432.93563704560802</c:v>
                </c:pt>
                <c:pt idx="1956">
                  <c:v>450.85990183951094</c:v>
                </c:pt>
                <c:pt idx="1957">
                  <c:v>452.24452336299356</c:v>
                </c:pt>
                <c:pt idx="1958">
                  <c:v>448.07070747376338</c:v>
                </c:pt>
                <c:pt idx="1959">
                  <c:v>460.11731375443844</c:v>
                </c:pt>
                <c:pt idx="1960">
                  <c:v>468.72830294082377</c:v>
                </c:pt>
                <c:pt idx="1961">
                  <c:v>472.68664458720656</c:v>
                </c:pt>
                <c:pt idx="1962">
                  <c:v>470.11292446430656</c:v>
                </c:pt>
                <c:pt idx="1963">
                  <c:v>474.04333426439428</c:v>
                </c:pt>
                <c:pt idx="1964">
                  <c:v>477.47895135868418</c:v>
                </c:pt>
                <c:pt idx="1965">
                  <c:v>479.21870635648958</c:v>
                </c:pt>
                <c:pt idx="1966">
                  <c:v>470.92294800686267</c:v>
                </c:pt>
                <c:pt idx="1967">
                  <c:v>466.05083596025645</c:v>
                </c:pt>
                <c:pt idx="1968">
                  <c:v>473.39292127209546</c:v>
                </c:pt>
                <c:pt idx="1969">
                  <c:v>469.39866725190473</c:v>
                </c:pt>
                <c:pt idx="1970">
                  <c:v>468.26144208132104</c:v>
                </c:pt>
                <c:pt idx="1971">
                  <c:v>483.98308128167218</c:v>
                </c:pt>
                <c:pt idx="1972">
                  <c:v>482.15554048122522</c:v>
                </c:pt>
                <c:pt idx="1973">
                  <c:v>486.03008658872295</c:v>
                </c:pt>
                <c:pt idx="1974">
                  <c:v>487.83767607038766</c:v>
                </c:pt>
                <c:pt idx="1975">
                  <c:v>482.21140417381537</c:v>
                </c:pt>
                <c:pt idx="1976">
                  <c:v>486.4410837556357</c:v>
                </c:pt>
                <c:pt idx="1977">
                  <c:v>488.30852719364702</c:v>
                </c:pt>
                <c:pt idx="1978">
                  <c:v>501.94724871313946</c:v>
                </c:pt>
                <c:pt idx="1979">
                  <c:v>510.2789194365742</c:v>
                </c:pt>
                <c:pt idx="1980">
                  <c:v>519.81564981445217</c:v>
                </c:pt>
                <c:pt idx="1981">
                  <c:v>523.13953952356189</c:v>
                </c:pt>
                <c:pt idx="1982">
                  <c:v>525.60552252503828</c:v>
                </c:pt>
                <c:pt idx="1983">
                  <c:v>526.00055863692523</c:v>
                </c:pt>
                <c:pt idx="1984">
                  <c:v>552.05698096644119</c:v>
                </c:pt>
                <c:pt idx="1985">
                  <c:v>585.27592673875665</c:v>
                </c:pt>
                <c:pt idx="1986">
                  <c:v>582.76206057220304</c:v>
                </c:pt>
                <c:pt idx="1987">
                  <c:v>620.68951757711102</c:v>
                </c:pt>
                <c:pt idx="1988">
                  <c:v>640.90419376720718</c:v>
                </c:pt>
                <c:pt idx="1989">
                  <c:v>624.6997326523275</c:v>
                </c:pt>
                <c:pt idx="1990">
                  <c:v>623.72610829575751</c:v>
                </c:pt>
                <c:pt idx="1991">
                  <c:v>661.66553609193488</c:v>
                </c:pt>
                <c:pt idx="1992">
                  <c:v>715.62986313395231</c:v>
                </c:pt>
                <c:pt idx="1993">
                  <c:v>703.16826942260798</c:v>
                </c:pt>
                <c:pt idx="1994">
                  <c:v>736.87801763696484</c:v>
                </c:pt>
                <c:pt idx="1995">
                  <c:v>712.14636287458507</c:v>
                </c:pt>
                <c:pt idx="1996">
                  <c:v>703.93839032759979</c:v>
                </c:pt>
                <c:pt idx="1997">
                  <c:v>722.91608475320118</c:v>
                </c:pt>
                <c:pt idx="1998">
                  <c:v>699.64885678943278</c:v>
                </c:pt>
                <c:pt idx="1999">
                  <c:v>696.9913411276475</c:v>
                </c:pt>
                <c:pt idx="2000">
                  <c:v>725.94469494433474</c:v>
                </c:pt>
                <c:pt idx="2001">
                  <c:v>728.84162643150603</c:v>
                </c:pt>
                <c:pt idx="2002">
                  <c:v>784.28634132716059</c:v>
                </c:pt>
                <c:pt idx="2003">
                  <c:v>795.67056382426767</c:v>
                </c:pt>
                <c:pt idx="2004">
                  <c:v>828.03559315270627</c:v>
                </c:pt>
                <c:pt idx="2005">
                  <c:v>894.98024819440445</c:v>
                </c:pt>
                <c:pt idx="2006">
                  <c:v>903.3238897091087</c:v>
                </c:pt>
                <c:pt idx="2007">
                  <c:v>970.16479789313951</c:v>
                </c:pt>
                <c:pt idx="2008">
                  <c:v>1089.5854115957052</c:v>
                </c:pt>
                <c:pt idx="2009">
                  <c:v>938.86516898766888</c:v>
                </c:pt>
                <c:pt idx="2010">
                  <c:v>802.98072702605543</c:v>
                </c:pt>
                <c:pt idx="2011">
                  <c:v>874.39846773871636</c:v>
                </c:pt>
                <c:pt idx="2012">
                  <c:v>871.32596464626204</c:v>
                </c:pt>
                <c:pt idx="2013">
                  <c:v>898.89070667571013</c:v>
                </c:pt>
                <c:pt idx="2014">
                  <c:v>878.83564103587128</c:v>
                </c:pt>
                <c:pt idx="2015">
                  <c:v>968.1616854874095</c:v>
                </c:pt>
                <c:pt idx="2016">
                  <c:v>957.72714576433373</c:v>
                </c:pt>
                <c:pt idx="2017">
                  <c:v>1007.3580463668635</c:v>
                </c:pt>
                <c:pt idx="2018">
                  <c:v>1008.475320218665</c:v>
                </c:pt>
                <c:pt idx="2019">
                  <c:v>1027.2814333027397</c:v>
                </c:pt>
                <c:pt idx="2020">
                  <c:v>1135.6849287737903</c:v>
                </c:pt>
                <c:pt idx="2021">
                  <c:v>1128.3947168907848</c:v>
                </c:pt>
                <c:pt idx="2022">
                  <c:v>1088.759426998123</c:v>
                </c:pt>
                <c:pt idx="2023">
                  <c:v>1143.150712262079</c:v>
                </c:pt>
                <c:pt idx="2024">
                  <c:v>1147.3644307888735</c:v>
                </c:pt>
                <c:pt idx="2025">
                  <c:v>1161.342324727663</c:v>
                </c:pt>
                <c:pt idx="2026">
                  <c:v>1100.9895854115944</c:v>
                </c:pt>
                <c:pt idx="2027">
                  <c:v>1084.5816208451365</c:v>
                </c:pt>
                <c:pt idx="2028">
                  <c:v>1051.5781493156685</c:v>
                </c:pt>
                <c:pt idx="2029">
                  <c:v>902.29839192370503</c:v>
                </c:pt>
                <c:pt idx="2030">
                  <c:v>990.27971748932475</c:v>
                </c:pt>
                <c:pt idx="2031">
                  <c:v>1034.0409401061397</c:v>
                </c:pt>
                <c:pt idx="2032">
                  <c:v>1025.0668369179191</c:v>
                </c:pt>
                <c:pt idx="2033">
                  <c:v>1028.7897530026721</c:v>
                </c:pt>
                <c:pt idx="2034">
                  <c:v>1060.3407685247982</c:v>
                </c:pt>
                <c:pt idx="2035">
                  <c:v>1081.0941303220129</c:v>
                </c:pt>
                <c:pt idx="2036">
                  <c:v>1083.189018794141</c:v>
                </c:pt>
                <c:pt idx="2037">
                  <c:v>1101.5562028650081</c:v>
                </c:pt>
                <c:pt idx="2038">
                  <c:v>1072.7584693348217</c:v>
                </c:pt>
                <c:pt idx="2039">
                  <c:v>1048.6213638721506</c:v>
                </c:pt>
                <c:pt idx="2040">
                  <c:v>988.27660508359475</c:v>
                </c:pt>
                <c:pt idx="2041">
                  <c:v>961.25453892502185</c:v>
                </c:pt>
                <c:pt idx="2042">
                  <c:v>1013.4392083316696</c:v>
                </c:pt>
                <c:pt idx="2043">
                  <c:v>1012.3059734248423</c:v>
                </c:pt>
                <c:pt idx="2044">
                  <c:v>1016.6992538206763</c:v>
                </c:pt>
                <c:pt idx="2045">
                  <c:v>1000.7142572124004</c:v>
                </c:pt>
                <c:pt idx="2046">
                  <c:v>975.95467060372584</c:v>
                </c:pt>
                <c:pt idx="2047">
                  <c:v>1005.1713818283376</c:v>
                </c:pt>
                <c:pt idx="2048">
                  <c:v>1044.7148956546014</c:v>
                </c:pt>
                <c:pt idx="2049">
                  <c:v>1022.5609512788782</c:v>
                </c:pt>
                <c:pt idx="2050">
                  <c:v>1034.6235186145791</c:v>
                </c:pt>
                <c:pt idx="2051">
                  <c:v>1017.3177447029236</c:v>
                </c:pt>
                <c:pt idx="2052">
                  <c:v>1006.1888990862285</c:v>
                </c:pt>
                <c:pt idx="2053">
                  <c:v>1033.4304297514054</c:v>
                </c:pt>
                <c:pt idx="2054">
                  <c:v>987.16731175930624</c:v>
                </c:pt>
                <c:pt idx="2055">
                  <c:v>948.07868800127596</c:v>
                </c:pt>
                <c:pt idx="2056">
                  <c:v>934.12074538126865</c:v>
                </c:pt>
                <c:pt idx="2057">
                  <c:v>948.6852080922539</c:v>
                </c:pt>
                <c:pt idx="2058">
                  <c:v>935.77670484018893</c:v>
                </c:pt>
                <c:pt idx="2059">
                  <c:v>879.03116395993675</c:v>
                </c:pt>
                <c:pt idx="2060">
                  <c:v>820.03511432105574</c:v>
                </c:pt>
                <c:pt idx="2061">
                  <c:v>758.49327640556953</c:v>
                </c:pt>
                <c:pt idx="2062">
                  <c:v>866.00694305893535</c:v>
                </c:pt>
                <c:pt idx="2063">
                  <c:v>940.22584892861323</c:v>
                </c:pt>
                <c:pt idx="2064">
                  <c:v>920.77331311599607</c:v>
                </c:pt>
                <c:pt idx="2065">
                  <c:v>1086.5488208770589</c:v>
                </c:pt>
                <c:pt idx="2066">
                  <c:v>1052.452017078328</c:v>
                </c:pt>
                <c:pt idx="2067">
                  <c:v>1120.6216830932515</c:v>
                </c:pt>
                <c:pt idx="2068">
                  <c:v>1097.0192729739426</c:v>
                </c:pt>
                <c:pt idx="2069">
                  <c:v>1102.8131359482854</c:v>
                </c:pt>
                <c:pt idx="2070">
                  <c:v>1038.9569450540673</c:v>
                </c:pt>
                <c:pt idx="2071">
                  <c:v>1018.0280116515695</c:v>
                </c:pt>
                <c:pt idx="2072">
                  <c:v>1085.7747097083109</c:v>
                </c:pt>
                <c:pt idx="2073">
                  <c:v>1115.6019312876572</c:v>
                </c:pt>
                <c:pt idx="2074">
                  <c:v>1079.5578787757863</c:v>
                </c:pt>
                <c:pt idx="2075">
                  <c:v>1096.9753800726221</c:v>
                </c:pt>
                <c:pt idx="2076">
                  <c:v>1139.4437572323523</c:v>
                </c:pt>
                <c:pt idx="2077">
                  <c:v>1078.9234268385133</c:v>
                </c:pt>
                <c:pt idx="2078">
                  <c:v>1086.0779697538001</c:v>
                </c:pt>
                <c:pt idx="2079">
                  <c:v>1123.291169546306</c:v>
                </c:pt>
                <c:pt idx="2080">
                  <c:v>1149.8184429990813</c:v>
                </c:pt>
                <c:pt idx="2081">
                  <c:v>1305.0037907505675</c:v>
                </c:pt>
                <c:pt idx="2082">
                  <c:v>1279.9130122501087</c:v>
                </c:pt>
                <c:pt idx="2083">
                  <c:v>1336.7902318343231</c:v>
                </c:pt>
                <c:pt idx="2084">
                  <c:v>1359.5826184110756</c:v>
                </c:pt>
                <c:pt idx="2085">
                  <c:v>1334.0928135349734</c:v>
                </c:pt>
                <c:pt idx="2086">
                  <c:v>1364.8298152507869</c:v>
                </c:pt>
                <c:pt idx="2087">
                  <c:v>1457.6473404892051</c:v>
                </c:pt>
                <c:pt idx="2088">
                  <c:v>1575.9945732412898</c:v>
                </c:pt>
                <c:pt idx="2089">
                  <c:v>1625.2104864131504</c:v>
                </c:pt>
                <c:pt idx="2090">
                  <c:v>1740.7565540082182</c:v>
                </c:pt>
                <c:pt idx="2091">
                  <c:v>1667.0922948006846</c:v>
                </c:pt>
                <c:pt idx="2092">
                  <c:v>1740.8603008658858</c:v>
                </c:pt>
                <c:pt idx="2093">
                  <c:v>1731.2158333665841</c:v>
                </c:pt>
                <c:pt idx="2094">
                  <c:v>1674.1031882207399</c:v>
                </c:pt>
                <c:pt idx="2095">
                  <c:v>1642.4085232033819</c:v>
                </c:pt>
                <c:pt idx="2096">
                  <c:v>1637.0695502972728</c:v>
                </c:pt>
                <c:pt idx="2097">
                  <c:v>1551.9093412074521</c:v>
                </c:pt>
                <c:pt idx="2098">
                  <c:v>1632.061769282948</c:v>
                </c:pt>
                <c:pt idx="2099">
                  <c:v>1652.6994134312263</c:v>
                </c:pt>
                <c:pt idx="2100">
                  <c:v>1751.3068113802306</c:v>
                </c:pt>
                <c:pt idx="2101">
                  <c:v>1744.3837037628173</c:v>
                </c:pt>
                <c:pt idx="2102">
                  <c:v>1722.7125813016225</c:v>
                </c:pt>
                <c:pt idx="2103">
                  <c:v>1723.2552571724973</c:v>
                </c:pt>
                <c:pt idx="2104">
                  <c:v>1751.9053509436956</c:v>
                </c:pt>
                <c:pt idx="2105">
                  <c:v>1830.9125733210947</c:v>
                </c:pt>
                <c:pt idx="2106">
                  <c:v>1826.4674194964271</c:v>
                </c:pt>
                <c:pt idx="2107">
                  <c:v>1891.6244363752428</c:v>
                </c:pt>
                <c:pt idx="2108">
                  <c:v>1966.4139499620906</c:v>
                </c:pt>
                <c:pt idx="2109">
                  <c:v>1844.9024380511535</c:v>
                </c:pt>
                <c:pt idx="2110">
                  <c:v>1806.5520130880632</c:v>
                </c:pt>
                <c:pt idx="2111">
                  <c:v>1612.1862655121488</c:v>
                </c:pt>
                <c:pt idx="2112">
                  <c:v>1791.7441442879358</c:v>
                </c:pt>
                <c:pt idx="2113">
                  <c:v>1798.5914368939771</c:v>
                </c:pt>
                <c:pt idx="2114">
                  <c:v>1835.2260484418005</c:v>
                </c:pt>
                <c:pt idx="2115">
                  <c:v>1664.6901560193116</c:v>
                </c:pt>
                <c:pt idx="2116">
                  <c:v>1643.434020988786</c:v>
                </c:pt>
                <c:pt idx="2117">
                  <c:v>1677.3951558197984</c:v>
                </c:pt>
                <c:pt idx="2118">
                  <c:v>1688.5319819640065</c:v>
                </c:pt>
                <c:pt idx="2119">
                  <c:v>1608.702765252782</c:v>
                </c:pt>
                <c:pt idx="2120">
                  <c:v>1546.0995171780842</c:v>
                </c:pt>
                <c:pt idx="2121">
                  <c:v>1351.5542077331299</c:v>
                </c:pt>
                <c:pt idx="2122">
                  <c:v>1475.5436734368129</c:v>
                </c:pt>
                <c:pt idx="2123">
                  <c:v>1428.4226487370802</c:v>
                </c:pt>
                <c:pt idx="2124">
                  <c:v>1477.13578867563</c:v>
                </c:pt>
                <c:pt idx="2125">
                  <c:v>1588.1928095447095</c:v>
                </c:pt>
                <c:pt idx="2126">
                  <c:v>1562.7349267786585</c:v>
                </c:pt>
                <c:pt idx="2127">
                  <c:v>1554.6426718806099</c:v>
                </c:pt>
                <c:pt idx="2128">
                  <c:v>1463.6686484976642</c:v>
                </c:pt>
                <c:pt idx="2129">
                  <c:v>1450.5486612665081</c:v>
                </c:pt>
                <c:pt idx="2130">
                  <c:v>1509.0858305733993</c:v>
                </c:pt>
                <c:pt idx="2131">
                  <c:v>1505.9255416783033</c:v>
                </c:pt>
                <c:pt idx="2132">
                  <c:v>1575.1366665336561</c:v>
                </c:pt>
                <c:pt idx="2133">
                  <c:v>1559.6305015761525</c:v>
                </c:pt>
                <c:pt idx="2134">
                  <c:v>1662.0086987749871</c:v>
                </c:pt>
                <c:pt idx="2135">
                  <c:v>1636.2036630621267</c:v>
                </c:pt>
                <c:pt idx="2136">
                  <c:v>1677.9338414269166</c:v>
                </c:pt>
                <c:pt idx="2137">
                  <c:v>1721.4436774270762</c:v>
                </c:pt>
                <c:pt idx="2138">
                  <c:v>1760.8395514943522</c:v>
                </c:pt>
                <c:pt idx="2139">
                  <c:v>1766.5935118311304</c:v>
                </c:pt>
                <c:pt idx="2140">
                  <c:v>1716.9745820198698</c:v>
                </c:pt>
                <c:pt idx="2141">
                  <c:v>1693.1646781852264</c:v>
                </c:pt>
                <c:pt idx="2142">
                  <c:v>1728.697976936274</c:v>
                </c:pt>
                <c:pt idx="2143">
                  <c:v>1739.0806432305162</c:v>
                </c:pt>
                <c:pt idx="2144">
                  <c:v>1762.986313395314</c:v>
                </c:pt>
                <c:pt idx="2145">
                  <c:v>1841.9815649814436</c:v>
                </c:pt>
                <c:pt idx="2146">
                  <c:v>1922.4651849487236</c:v>
                </c:pt>
                <c:pt idx="2147">
                  <c:v>1912.6650971629208</c:v>
                </c:pt>
                <c:pt idx="2148">
                  <c:v>1940.0622481145988</c:v>
                </c:pt>
                <c:pt idx="2149">
                  <c:v>2277.5587566338118</c:v>
                </c:pt>
                <c:pt idx="2150">
                  <c:v>2261.2146362874569</c:v>
                </c:pt>
                <c:pt idx="2151">
                  <c:v>2335.2938829256595</c:v>
                </c:pt>
                <c:pt idx="2152">
                  <c:v>2270.057060771715</c:v>
                </c:pt>
                <c:pt idx="2153">
                  <c:v>2246.3548940584951</c:v>
                </c:pt>
                <c:pt idx="2154">
                  <c:v>2200.4588803319875</c:v>
                </c:pt>
                <c:pt idx="2155">
                  <c:v>2236.8979689557459</c:v>
                </c:pt>
                <c:pt idx="2156">
                  <c:v>2262.7069949323627</c:v>
                </c:pt>
                <c:pt idx="2157">
                  <c:v>2427.3652288416242</c:v>
                </c:pt>
                <c:pt idx="2158">
                  <c:v>2384.0229839192348</c:v>
                </c:pt>
                <c:pt idx="2159">
                  <c:v>2402.7333306731548</c:v>
                </c:pt>
                <c:pt idx="2160">
                  <c:v>2254.0002394158228</c:v>
                </c:pt>
                <c:pt idx="2161">
                  <c:v>2156.2427676469392</c:v>
                </c:pt>
                <c:pt idx="2162">
                  <c:v>2285.8664857747071</c:v>
                </c:pt>
                <c:pt idx="2163">
                  <c:v>2376.7247915087164</c:v>
                </c:pt>
                <c:pt idx="2164">
                  <c:v>2316.2244124336594</c:v>
                </c:pt>
                <c:pt idx="2165">
                  <c:v>2285.4554886077945</c:v>
                </c:pt>
                <c:pt idx="2166">
                  <c:v>2441.7700810023516</c:v>
                </c:pt>
                <c:pt idx="2167">
                  <c:v>2446.6382027852019</c:v>
                </c:pt>
                <c:pt idx="2168">
                  <c:v>2570.5239216312175</c:v>
                </c:pt>
                <c:pt idx="2169">
                  <c:v>2740.2857028849585</c:v>
                </c:pt>
                <c:pt idx="2170">
                  <c:v>2823.8418259446926</c:v>
                </c:pt>
                <c:pt idx="2171">
                  <c:v>2858.7606240772493</c:v>
                </c:pt>
                <c:pt idx="2172">
                  <c:v>2945.0660388651668</c:v>
                </c:pt>
                <c:pt idx="2173">
                  <c:v>2947.1409760185124</c:v>
                </c:pt>
                <c:pt idx="2174">
                  <c:v>2844.9982043813075</c:v>
                </c:pt>
                <c:pt idx="2175">
                  <c:v>2923.4228482502672</c:v>
                </c:pt>
                <c:pt idx="2176">
                  <c:v>2950.8599018395093</c:v>
                </c:pt>
                <c:pt idx="2177">
                  <c:v>2895.0800047883145</c:v>
                </c:pt>
                <c:pt idx="2178">
                  <c:v>2717.2698615378458</c:v>
                </c:pt>
                <c:pt idx="2179">
                  <c:v>2462.2042216990526</c:v>
                </c:pt>
                <c:pt idx="2180">
                  <c:v>2397.6377638561894</c:v>
                </c:pt>
                <c:pt idx="2181">
                  <c:v>2656.649774550096</c:v>
                </c:pt>
                <c:pt idx="2182">
                  <c:v>2763.4890866286246</c:v>
                </c:pt>
                <c:pt idx="2183">
                  <c:v>2882.6024500219446</c:v>
                </c:pt>
                <c:pt idx="2184">
                  <c:v>3165.0253381748512</c:v>
                </c:pt>
                <c:pt idx="2185">
                  <c:v>2993.679422209806</c:v>
                </c:pt>
                <c:pt idx="2186">
                  <c:v>3114.205338972904</c:v>
                </c:pt>
                <c:pt idx="2187">
                  <c:v>3182.1355891624416</c:v>
                </c:pt>
                <c:pt idx="2188">
                  <c:v>3221.0925342165096</c:v>
                </c:pt>
                <c:pt idx="2189">
                  <c:v>3254.2875384062868</c:v>
                </c:pt>
                <c:pt idx="2190">
                  <c:v>3287.7179681576936</c:v>
                </c:pt>
                <c:pt idx="2191">
                  <c:v>3222.0222656717592</c:v>
                </c:pt>
                <c:pt idx="2192">
                  <c:v>3281.0302861019095</c:v>
                </c:pt>
                <c:pt idx="2193">
                  <c:v>3528.5583177047979</c:v>
                </c:pt>
                <c:pt idx="2194">
                  <c:v>3840.3455568413046</c:v>
                </c:pt>
                <c:pt idx="2195">
                  <c:v>3886.7243924823401</c:v>
                </c:pt>
                <c:pt idx="2196">
                  <c:v>4171.4616336139788</c:v>
                </c:pt>
                <c:pt idx="2197">
                  <c:v>4261.0430549459288</c:v>
                </c:pt>
                <c:pt idx="2198">
                  <c:v>3969.6660149235831</c:v>
                </c:pt>
                <c:pt idx="2199">
                  <c:v>4432.9835202106824</c:v>
                </c:pt>
                <c:pt idx="2200">
                  <c:v>4407.2862216192461</c:v>
                </c:pt>
                <c:pt idx="2201">
                  <c:v>4566.2583296755884</c:v>
                </c:pt>
                <c:pt idx="2202">
                  <c:v>4662.3039782929618</c:v>
                </c:pt>
                <c:pt idx="2203">
                  <c:v>4971.1503930409763</c:v>
                </c:pt>
                <c:pt idx="2204">
                  <c:v>5762.6591117672833</c:v>
                </c:pt>
                <c:pt idx="2205">
                  <c:v>6651.4105582378943</c:v>
                </c:pt>
                <c:pt idx="2206">
                  <c:v>6436.1358285782644</c:v>
                </c:pt>
                <c:pt idx="2207">
                  <c:v>5373.1295638641677</c:v>
                </c:pt>
                <c:pt idx="2208">
                  <c:v>6824.2288815290649</c:v>
                </c:pt>
                <c:pt idx="2209">
                  <c:v>6613.4631499142051</c:v>
                </c:pt>
                <c:pt idx="2210">
                  <c:v>6705.7579506005304</c:v>
                </c:pt>
                <c:pt idx="2211">
                  <c:v>6458.6010135269898</c:v>
                </c:pt>
                <c:pt idx="2212">
                  <c:v>7022.9839192370564</c:v>
                </c:pt>
                <c:pt idx="2213">
                  <c:v>7017.5970631658702</c:v>
                </c:pt>
                <c:pt idx="2214">
                  <c:v>7795.2595666573507</c:v>
                </c:pt>
                <c:pt idx="2215">
                  <c:v>7476.7966162563289</c:v>
                </c:pt>
                <c:pt idx="2216">
                  <c:v>7581.82035832568</c:v>
                </c:pt>
                <c:pt idx="2217">
                  <c:v>6879.2546187302933</c:v>
                </c:pt>
                <c:pt idx="2218">
                  <c:v>6641.9935357727109</c:v>
                </c:pt>
                <c:pt idx="2219">
                  <c:v>5562.0685527313326</c:v>
                </c:pt>
                <c:pt idx="2220">
                  <c:v>5874.0672758469309</c:v>
                </c:pt>
                <c:pt idx="2221">
                  <c:v>5656.3983879334401</c:v>
                </c:pt>
                <c:pt idx="2222">
                  <c:v>5424.0453293962719</c:v>
                </c:pt>
                <c:pt idx="2223">
                  <c:v>5851.1631618849997</c:v>
                </c:pt>
                <c:pt idx="2224">
                  <c:v>6501.6160568213554</c:v>
                </c:pt>
                <c:pt idx="2225">
                  <c:v>5914.5684529747405</c:v>
                </c:pt>
                <c:pt idx="2226">
                  <c:v>6021.1084952715364</c:v>
                </c:pt>
                <c:pt idx="2227">
                  <c:v>5460.8355612305968</c:v>
                </c:pt>
                <c:pt idx="2228">
                  <c:v>5351.3427237540391</c:v>
                </c:pt>
                <c:pt idx="2229">
                  <c:v>5503.2121623239291</c:v>
                </c:pt>
                <c:pt idx="2230">
                  <c:v>5454.9299708710741</c:v>
                </c:pt>
                <c:pt idx="2231">
                  <c:v>6061.5298671242163</c:v>
                </c:pt>
                <c:pt idx="2232">
                  <c:v>6130.6412353856585</c:v>
                </c:pt>
                <c:pt idx="2233">
                  <c:v>6213.6786241570562</c:v>
                </c:pt>
                <c:pt idx="2234">
                  <c:v>6797.6537249112152</c:v>
                </c:pt>
                <c:pt idx="2235">
                  <c:v>6826.9821635210074</c:v>
                </c:pt>
                <c:pt idx="2236">
                  <c:v>6348.0707074737629</c:v>
                </c:pt>
                <c:pt idx="2237">
                  <c:v>6144.8465743585639</c:v>
                </c:pt>
                <c:pt idx="2238">
                  <c:v>5725.2304377319333</c:v>
                </c:pt>
                <c:pt idx="2239">
                  <c:v>5427.995690515143</c:v>
                </c:pt>
                <c:pt idx="2240">
                  <c:v>5516.0209089820837</c:v>
                </c:pt>
                <c:pt idx="2241">
                  <c:v>5679.1827939826817</c:v>
                </c:pt>
                <c:pt idx="2242">
                  <c:v>5744.1043852998673</c:v>
                </c:pt>
                <c:pt idx="2243">
                  <c:v>5472.0082997486124</c:v>
                </c:pt>
                <c:pt idx="2244">
                  <c:v>5269.1033877339278</c:v>
                </c:pt>
                <c:pt idx="2245">
                  <c:v>4311.8391125653397</c:v>
                </c:pt>
                <c:pt idx="2246">
                  <c:v>4627.468975699293</c:v>
                </c:pt>
                <c:pt idx="2247">
                  <c:v>4507.322133993056</c:v>
                </c:pt>
                <c:pt idx="2248">
                  <c:v>4756.5540082199423</c:v>
                </c:pt>
                <c:pt idx="2249">
                  <c:v>5036.9498423845807</c:v>
                </c:pt>
                <c:pt idx="2250">
                  <c:v>4664.0197917082305</c:v>
                </c:pt>
                <c:pt idx="2251">
                  <c:v>4399.7446231195872</c:v>
                </c:pt>
                <c:pt idx="2252">
                  <c:v>4340.2896931487157</c:v>
                </c:pt>
                <c:pt idx="2253">
                  <c:v>4666.8927816128635</c:v>
                </c:pt>
                <c:pt idx="2254">
                  <c:v>4629.9429392282818</c:v>
                </c:pt>
                <c:pt idx="2255">
                  <c:v>4438.9689158453357</c:v>
                </c:pt>
                <c:pt idx="2256">
                  <c:v>4614.3410079406231</c:v>
                </c:pt>
                <c:pt idx="2257">
                  <c:v>4603.7668089860726</c:v>
                </c:pt>
                <c:pt idx="2258">
                  <c:v>4419.4964287139364</c:v>
                </c:pt>
                <c:pt idx="2259">
                  <c:v>3990.6627828099417</c:v>
                </c:pt>
                <c:pt idx="2260">
                  <c:v>4013.447188859182</c:v>
                </c:pt>
                <c:pt idx="2261">
                  <c:v>3503.5433542157116</c:v>
                </c:pt>
                <c:pt idx="2262">
                  <c:v>3294.4934360161187</c:v>
                </c:pt>
                <c:pt idx="2263">
                  <c:v>3662.0645624675772</c:v>
                </c:pt>
                <c:pt idx="2264">
                  <c:v>3249.6747935038488</c:v>
                </c:pt>
                <c:pt idx="2265">
                  <c:v>2494.8884721280065</c:v>
                </c:pt>
                <c:pt idx="2266">
                  <c:v>2947.4601971190286</c:v>
                </c:pt>
                <c:pt idx="2267">
                  <c:v>3264.0078209169615</c:v>
                </c:pt>
                <c:pt idx="2268">
                  <c:v>3193.715334583615</c:v>
                </c:pt>
                <c:pt idx="2269">
                  <c:v>3554.4591197478144</c:v>
                </c:pt>
                <c:pt idx="2270">
                  <c:v>3252.81912134392</c:v>
                </c:pt>
                <c:pt idx="2271">
                  <c:v>3397.597861218625</c:v>
                </c:pt>
                <c:pt idx="2272">
                  <c:v>3467.7347272654711</c:v>
                </c:pt>
                <c:pt idx="2273">
                  <c:v>3534.0688719524346</c:v>
                </c:pt>
                <c:pt idx="2274">
                  <c:v>3895.1238976896361</c:v>
                </c:pt>
                <c:pt idx="2275">
                  <c:v>4026.9342803559307</c:v>
                </c:pt>
                <c:pt idx="2276">
                  <c:v>4216.8309325246391</c:v>
                </c:pt>
                <c:pt idx="2277">
                  <c:v>4384.9008419456522</c:v>
                </c:pt>
                <c:pt idx="2278">
                  <c:v>4257.3720122900113</c:v>
                </c:pt>
                <c:pt idx="2279">
                  <c:v>4629.2246917521234</c:v>
                </c:pt>
                <c:pt idx="2280">
                  <c:v>4390.6867243924808</c:v>
                </c:pt>
                <c:pt idx="2281">
                  <c:v>4351.1831132037814</c:v>
                </c:pt>
                <c:pt idx="2282">
                  <c:v>3993.136746338932</c:v>
                </c:pt>
                <c:pt idx="2283">
                  <c:v>4199.4732851841491</c:v>
                </c:pt>
                <c:pt idx="2284">
                  <c:v>3896.1573760025522</c:v>
                </c:pt>
                <c:pt idx="2285">
                  <c:v>3862.6431507122606</c:v>
                </c:pt>
                <c:pt idx="2286">
                  <c:v>4142.2130002793165</c:v>
                </c:pt>
                <c:pt idx="2287">
                  <c:v>4381.5490203902464</c:v>
                </c:pt>
                <c:pt idx="2288">
                  <c:v>4184.3102829096988</c:v>
                </c:pt>
                <c:pt idx="2289">
                  <c:v>4407.76505327002</c:v>
                </c:pt>
                <c:pt idx="2290">
                  <c:v>4544.6311001157164</c:v>
                </c:pt>
                <c:pt idx="2291">
                  <c:v>4485.8944176210034</c:v>
                </c:pt>
                <c:pt idx="2292">
                  <c:v>4605.8018435018548</c:v>
                </c:pt>
                <c:pt idx="2293">
                  <c:v>4526.0763736482968</c:v>
                </c:pt>
                <c:pt idx="2294">
                  <c:v>4229.2007501695853</c:v>
                </c:pt>
                <c:pt idx="2295">
                  <c:v>3918.6864051713819</c:v>
                </c:pt>
                <c:pt idx="2296">
                  <c:v>3534.6833725709271</c:v>
                </c:pt>
                <c:pt idx="2297">
                  <c:v>3786.7802561749331</c:v>
                </c:pt>
                <c:pt idx="2298">
                  <c:v>3546.6421930489605</c:v>
                </c:pt>
                <c:pt idx="2299">
                  <c:v>3854.1438889110573</c:v>
                </c:pt>
                <c:pt idx="2300">
                  <c:v>3752.767247915087</c:v>
                </c:pt>
                <c:pt idx="2301">
                  <c:v>3669.7019272973939</c:v>
                </c:pt>
                <c:pt idx="2302">
                  <c:v>3152.2924065280713</c:v>
                </c:pt>
                <c:pt idx="2303">
                  <c:v>3288.2766050835958</c:v>
                </c:pt>
                <c:pt idx="2304">
                  <c:v>3284.4938350424959</c:v>
                </c:pt>
                <c:pt idx="2305">
                  <c:v>3100.0438929013203</c:v>
                </c:pt>
                <c:pt idx="2306">
                  <c:v>3320.5857707194436</c:v>
                </c:pt>
                <c:pt idx="2307">
                  <c:v>3417.6249950121692</c:v>
                </c:pt>
                <c:pt idx="2308">
                  <c:v>3634.3042975140647</c:v>
                </c:pt>
                <c:pt idx="2309">
                  <c:v>3610.9213519013597</c:v>
                </c:pt>
                <c:pt idx="2310">
                  <c:v>3357.9625713259634</c:v>
                </c:pt>
                <c:pt idx="2311">
                  <c:v>3562.3758030405797</c:v>
                </c:pt>
                <c:pt idx="2312">
                  <c:v>3418.9338015242797</c:v>
                </c:pt>
                <c:pt idx="2313">
                  <c:v>3387.981325565619</c:v>
                </c:pt>
                <c:pt idx="2314">
                  <c:v>3198.6632616415932</c:v>
                </c:pt>
                <c:pt idx="2315">
                  <c:v>3161.3143928813679</c:v>
                </c:pt>
                <c:pt idx="2316">
                  <c:v>3045.8281792426465</c:v>
                </c:pt>
                <c:pt idx="2317">
                  <c:v>2856.573959538724</c:v>
                </c:pt>
                <c:pt idx="2318">
                  <c:v>2769.1752124815439</c:v>
                </c:pt>
                <c:pt idx="2319">
                  <c:v>2760.3367782610421</c:v>
                </c:pt>
                <c:pt idx="2320">
                  <c:v>2778.7438649694732</c:v>
                </c:pt>
                <c:pt idx="2321">
                  <c:v>2939.2961174733632</c:v>
                </c:pt>
                <c:pt idx="2322">
                  <c:v>2944.1642392562126</c:v>
                </c:pt>
                <c:pt idx="2323">
                  <c:v>2733.9691153585236</c:v>
                </c:pt>
                <c:pt idx="2324">
                  <c:v>2671.505526515301</c:v>
                </c:pt>
                <c:pt idx="2325">
                  <c:v>2741.6264315071207</c:v>
                </c:pt>
                <c:pt idx="2326">
                  <c:v>2777.5388053150295</c:v>
                </c:pt>
                <c:pt idx="2327">
                  <c:v>2839.3719324847352</c:v>
                </c:pt>
                <c:pt idx="2328">
                  <c:v>2695.810223055742</c:v>
                </c:pt>
                <c:pt idx="2329">
                  <c:v>2728.3947168907844</c:v>
                </c:pt>
                <c:pt idx="2330">
                  <c:v>2770.6316587526412</c:v>
                </c:pt>
                <c:pt idx="2331">
                  <c:v>3116.6793025018933</c:v>
                </c:pt>
                <c:pt idx="2332">
                  <c:v>3191.0418578668027</c:v>
                </c:pt>
                <c:pt idx="2333">
                  <c:v>3228.5343761222593</c:v>
                </c:pt>
                <c:pt idx="2334">
                  <c:v>3214.8238298551514</c:v>
                </c:pt>
                <c:pt idx="2335">
                  <c:v>3201.6360081401363</c:v>
                </c:pt>
                <c:pt idx="2336">
                  <c:v>3171.377838075095</c:v>
                </c:pt>
                <c:pt idx="2337">
                  <c:v>3273.2612425681323</c:v>
                </c:pt>
                <c:pt idx="2338">
                  <c:v>3309.8280196320961</c:v>
                </c:pt>
                <c:pt idx="2339">
                  <c:v>3555.528510434538</c:v>
                </c:pt>
                <c:pt idx="2340">
                  <c:v>3538.9968476916306</c:v>
                </c:pt>
                <c:pt idx="2341">
                  <c:v>3537.1453653086451</c:v>
                </c:pt>
                <c:pt idx="2342">
                  <c:v>3688.5399624915185</c:v>
                </c:pt>
                <c:pt idx="2343">
                  <c:v>3774.0313634731233</c:v>
                </c:pt>
                <c:pt idx="2344">
                  <c:v>3559.3791149594967</c:v>
                </c:pt>
                <c:pt idx="2345">
                  <c:v>3689.9684769163223</c:v>
                </c:pt>
                <c:pt idx="2346">
                  <c:v>3661.4859742228941</c:v>
                </c:pt>
                <c:pt idx="2347">
                  <c:v>3771.820757352059</c:v>
                </c:pt>
                <c:pt idx="2348">
                  <c:v>3712.3498663261626</c:v>
                </c:pt>
                <c:pt idx="2349">
                  <c:v>3585.1003551334729</c:v>
                </c:pt>
                <c:pt idx="2350">
                  <c:v>3636.0081401380617</c:v>
                </c:pt>
                <c:pt idx="2351">
                  <c:v>3676.3536969793686</c:v>
                </c:pt>
                <c:pt idx="2352">
                  <c:v>3840.3814692151132</c:v>
                </c:pt>
                <c:pt idx="2353">
                  <c:v>3915.2428075495773</c:v>
                </c:pt>
                <c:pt idx="2354">
                  <c:v>3854.3274410438512</c:v>
                </c:pt>
                <c:pt idx="2355">
                  <c:v>3741.3670643629525</c:v>
                </c:pt>
                <c:pt idx="2356">
                  <c:v>3740.0023941582517</c:v>
                </c:pt>
                <c:pt idx="2357">
                  <c:v>3626.6270300466845</c:v>
                </c:pt>
                <c:pt idx="2358">
                  <c:v>3720.0470851123241</c:v>
                </c:pt>
                <c:pt idx="2359">
                  <c:v>3592.4663820278502</c:v>
                </c:pt>
                <c:pt idx="2360">
                  <c:v>3293.0848729100976</c:v>
                </c:pt>
                <c:pt idx="2361">
                  <c:v>3370.6276684888853</c:v>
                </c:pt>
                <c:pt idx="2362">
                  <c:v>3360.8515222856213</c:v>
                </c:pt>
                <c:pt idx="2363">
                  <c:v>3500.1795618690376</c:v>
                </c:pt>
                <c:pt idx="2364">
                  <c:v>3290.9301304816231</c:v>
                </c:pt>
                <c:pt idx="2365">
                  <c:v>3342.6599098200381</c:v>
                </c:pt>
                <c:pt idx="2366">
                  <c:v>3213.6786241570553</c:v>
                </c:pt>
                <c:pt idx="2367">
                  <c:v>3293.5756753521396</c:v>
                </c:pt>
                <c:pt idx="2368">
                  <c:v>3302.928853597221</c:v>
                </c:pt>
                <c:pt idx="2369">
                  <c:v>3391.9476477395137</c:v>
                </c:pt>
                <c:pt idx="2370">
                  <c:v>3335.0145644627091</c:v>
                </c:pt>
                <c:pt idx="2371">
                  <c:v>3182.0039104584798</c:v>
                </c:pt>
                <c:pt idx="2372">
                  <c:v>3074.3705358924212</c:v>
                </c:pt>
                <c:pt idx="2373">
                  <c:v>3047.1728981285651</c:v>
                </c:pt>
                <c:pt idx="2374">
                  <c:v>2975.8988069111351</c:v>
                </c:pt>
                <c:pt idx="2375">
                  <c:v>2923.2831890187922</c:v>
                </c:pt>
                <c:pt idx="2376">
                  <c:v>2886.0300865887216</c:v>
                </c:pt>
                <c:pt idx="2377">
                  <c:v>2845.9119747815312</c:v>
                </c:pt>
                <c:pt idx="2378">
                  <c:v>3011.4680180359901</c:v>
                </c:pt>
                <c:pt idx="2379">
                  <c:v>3012.6451458441384</c:v>
                </c:pt>
                <c:pt idx="2380">
                  <c:v>3015.2148757032824</c:v>
                </c:pt>
                <c:pt idx="2381">
                  <c:v>2993.3602011092917</c:v>
                </c:pt>
                <c:pt idx="2382">
                  <c:v>3054.985834563663</c:v>
                </c:pt>
                <c:pt idx="2383">
                  <c:v>3041.4907625394017</c:v>
                </c:pt>
                <c:pt idx="2384">
                  <c:v>2967.3317106260706</c:v>
                </c:pt>
                <c:pt idx="2385">
                  <c:v>3047.8073500658375</c:v>
                </c:pt>
                <c:pt idx="2386">
                  <c:v>3076.960217070347</c:v>
                </c:pt>
                <c:pt idx="2387">
                  <c:v>3053.6012130401809</c:v>
                </c:pt>
                <c:pt idx="2388">
                  <c:v>3062.83468337257</c:v>
                </c:pt>
                <c:pt idx="2389">
                  <c:v>2928.0036710426548</c:v>
                </c:pt>
                <c:pt idx="2390">
                  <c:v>2704.8361996727976</c:v>
                </c:pt>
                <c:pt idx="2391">
                  <c:v>2744.3916842903309</c:v>
                </c:pt>
                <c:pt idx="2392">
                  <c:v>2633.8893100833957</c:v>
                </c:pt>
                <c:pt idx="2393">
                  <c:v>2601.5681736562778</c:v>
                </c:pt>
                <c:pt idx="2394">
                  <c:v>2639.7789393878925</c:v>
                </c:pt>
                <c:pt idx="2395">
                  <c:v>2599.7885160209075</c:v>
                </c:pt>
                <c:pt idx="2396">
                  <c:v>2618.6983759626496</c:v>
                </c:pt>
                <c:pt idx="2397">
                  <c:v>2589.0307649335605</c:v>
                </c:pt>
                <c:pt idx="2398">
                  <c:v>2678.5643031004333</c:v>
                </c:pt>
                <c:pt idx="2399">
                  <c:v>2656.7415506164939</c:v>
                </c:pt>
                <c:pt idx="2400">
                  <c:v>2702.8011651570146</c:v>
                </c:pt>
                <c:pt idx="2401">
                  <c:v>2657.1964406847269</c:v>
                </c:pt>
                <c:pt idx="2402">
                  <c:v>2425.6254738438188</c:v>
                </c:pt>
                <c:pt idx="2403">
                  <c:v>2351.6699253820657</c:v>
                </c:pt>
                <c:pt idx="2404">
                  <c:v>2462.4396472606818</c:v>
                </c:pt>
                <c:pt idx="2405">
                  <c:v>2490.367503291965</c:v>
                </c:pt>
                <c:pt idx="2406">
                  <c:v>2430.130481624833</c:v>
                </c:pt>
                <c:pt idx="2407">
                  <c:v>2441.2034635489381</c:v>
                </c:pt>
                <c:pt idx="2408">
                  <c:v>2356.6378037588261</c:v>
                </c:pt>
                <c:pt idx="2409">
                  <c:v>2565.7874785523295</c:v>
                </c:pt>
                <c:pt idx="2410">
                  <c:v>2544.7268664458693</c:v>
                </c:pt>
                <c:pt idx="2411">
                  <c:v>2530.333985076411</c:v>
                </c:pt>
                <c:pt idx="2412">
                  <c:v>2656.805394836596</c:v>
                </c:pt>
                <c:pt idx="2413">
                  <c:v>2592.6299828418632</c:v>
                </c:pt>
                <c:pt idx="2414">
                  <c:v>2667.5870875064811</c:v>
                </c:pt>
                <c:pt idx="2415">
                  <c:v>2617.2419296915496</c:v>
                </c:pt>
                <c:pt idx="2416">
                  <c:v>2649.4433582059742</c:v>
                </c:pt>
                <c:pt idx="2417">
                  <c:v>2728.3109213518974</c:v>
                </c:pt>
                <c:pt idx="2418">
                  <c:v>2700.7142572123976</c:v>
                </c:pt>
                <c:pt idx="2419">
                  <c:v>2667.8464546506484</c:v>
                </c:pt>
                <c:pt idx="2420">
                  <c:v>2541.2832688240651</c:v>
                </c:pt>
                <c:pt idx="2421">
                  <c:v>2485.8585052471926</c:v>
                </c:pt>
                <c:pt idx="2422">
                  <c:v>2496.5923147520007</c:v>
                </c:pt>
                <c:pt idx="2423">
                  <c:v>2485.6270699493193</c:v>
                </c:pt>
                <c:pt idx="2424">
                  <c:v>2511.5278719923349</c:v>
                </c:pt>
                <c:pt idx="2425">
                  <c:v>2547.1010733809467</c:v>
                </c:pt>
                <c:pt idx="2426">
                  <c:v>2668.6405171381793</c:v>
                </c:pt>
                <c:pt idx="2427">
                  <c:v>2968.0100554646624</c:v>
                </c:pt>
                <c:pt idx="2428">
                  <c:v>2930.9045927935804</c:v>
                </c:pt>
                <c:pt idx="2429">
                  <c:v>2943.9527552771206</c:v>
                </c:pt>
                <c:pt idx="2430">
                  <c:v>2930.62527433063</c:v>
                </c:pt>
                <c:pt idx="2431">
                  <c:v>2952.0529907026826</c:v>
                </c:pt>
                <c:pt idx="2432">
                  <c:v>3062.4276764694118</c:v>
                </c:pt>
                <c:pt idx="2433">
                  <c:v>3189.9724671800777</c:v>
                </c:pt>
                <c:pt idx="2434">
                  <c:v>3308.8663660667939</c:v>
                </c:pt>
                <c:pt idx="2435">
                  <c:v>3298.4437971349871</c:v>
                </c:pt>
                <c:pt idx="2436">
                  <c:v>3159.1835920354301</c:v>
                </c:pt>
                <c:pt idx="2437">
                  <c:v>3265.3086469015566</c:v>
                </c:pt>
                <c:pt idx="2438">
                  <c:v>3276.2539403854566</c:v>
                </c:pt>
                <c:pt idx="2439">
                  <c:v>3247.8193208571051</c:v>
                </c:pt>
                <c:pt idx="2440">
                  <c:v>3244.8745062048565</c:v>
                </c:pt>
                <c:pt idx="2441">
                  <c:v>3019.8316108694753</c:v>
                </c:pt>
                <c:pt idx="2442">
                  <c:v>3075.3242089302071</c:v>
                </c:pt>
                <c:pt idx="2443">
                  <c:v>2930.3499461314364</c:v>
                </c:pt>
                <c:pt idx="2444">
                  <c:v>2982.2792386576725</c:v>
                </c:pt>
                <c:pt idx="2445">
                  <c:v>2791.7321734966654</c:v>
                </c:pt>
                <c:pt idx="2446">
                  <c:v>2801.4684170623655</c:v>
                </c:pt>
                <c:pt idx="2447">
                  <c:v>2811.851083356607</c:v>
                </c:pt>
                <c:pt idx="2448">
                  <c:v>2595.6466222417271</c:v>
                </c:pt>
                <c:pt idx="2449">
                  <c:v>2534.4998204381282</c:v>
                </c:pt>
                <c:pt idx="2450">
                  <c:v>2588.603806711621</c:v>
                </c:pt>
                <c:pt idx="2451">
                  <c:v>2455.153425641432</c:v>
                </c:pt>
                <c:pt idx="2452">
                  <c:v>2531.3554925980579</c:v>
                </c:pt>
                <c:pt idx="2453">
                  <c:v>2585.3477514863707</c:v>
                </c:pt>
                <c:pt idx="2454">
                  <c:v>2417.860420573797</c:v>
                </c:pt>
                <c:pt idx="2455">
                  <c:v>2572.0202705398797</c:v>
                </c:pt>
                <c:pt idx="2456">
                  <c:v>2559.0958062327891</c:v>
                </c:pt>
                <c:pt idx="2457">
                  <c:v>2592.0793264434751</c:v>
                </c:pt>
                <c:pt idx="2458">
                  <c:v>2595.6466222417271</c:v>
                </c:pt>
                <c:pt idx="2459">
                  <c:v>2550.4808267826475</c:v>
                </c:pt>
                <c:pt idx="2460">
                  <c:v>2589.6093531782421</c:v>
                </c:pt>
                <c:pt idx="2461">
                  <c:v>2589.6612266070756</c:v>
                </c:pt>
                <c:pt idx="2462">
                  <c:v>2661.1507920673525</c:v>
                </c:pt>
                <c:pt idx="2463">
                  <c:v>2575.0887833685774</c:v>
                </c:pt>
                <c:pt idx="2464">
                  <c:v>2608.7227165715622</c:v>
                </c:pt>
                <c:pt idx="2465">
                  <c:v>2681.3335461473966</c:v>
                </c:pt>
                <c:pt idx="2466">
                  <c:v>2660.1093332269224</c:v>
                </c:pt>
                <c:pt idx="2467">
                  <c:v>2685.2519851562151</c:v>
                </c:pt>
                <c:pt idx="2468">
                  <c:v>2767.5830972427239</c:v>
                </c:pt>
                <c:pt idx="2469">
                  <c:v>2818.3751645983757</c:v>
                </c:pt>
                <c:pt idx="2470">
                  <c:v>2791.1855073620322</c:v>
                </c:pt>
                <c:pt idx="2471">
                  <c:v>2781.9799688759385</c:v>
                </c:pt>
                <c:pt idx="2472">
                  <c:v>2815.733609991616</c:v>
                </c:pt>
                <c:pt idx="2473">
                  <c:v>2895.7822912094443</c:v>
                </c:pt>
                <c:pt idx="2474">
                  <c:v>2896.6721200271295</c:v>
                </c:pt>
                <c:pt idx="2475">
                  <c:v>2915.4742428474478</c:v>
                </c:pt>
                <c:pt idx="2476">
                  <c:v>2943.1068193607553</c:v>
                </c:pt>
                <c:pt idx="2477">
                  <c:v>2568.3133155101514</c:v>
                </c:pt>
                <c:pt idx="2478">
                  <c:v>2602.314352978728</c:v>
                </c:pt>
                <c:pt idx="2479">
                  <c:v>2597.5380072622761</c:v>
                </c:pt>
                <c:pt idx="2480">
                  <c:v>2482.7860021547385</c:v>
                </c:pt>
                <c:pt idx="2481">
                  <c:v>2531.6188500059811</c:v>
                </c:pt>
                <c:pt idx="2482">
                  <c:v>2533.0234228482464</c:v>
                </c:pt>
                <c:pt idx="2483">
                  <c:v>2500.5187342883328</c:v>
                </c:pt>
                <c:pt idx="2484">
                  <c:v>2557.7111847093056</c:v>
                </c:pt>
                <c:pt idx="2485">
                  <c:v>2612.7409121742908</c:v>
                </c:pt>
                <c:pt idx="2486">
                  <c:v>2604.8322094090381</c:v>
                </c:pt>
                <c:pt idx="2487">
                  <c:v>2592.2708591037826</c:v>
                </c:pt>
                <c:pt idx="2488">
                  <c:v>2586.3054147879134</c:v>
                </c:pt>
                <c:pt idx="2489">
                  <c:v>2504.4371732971508</c:v>
                </c:pt>
                <c:pt idx="2490">
                  <c:v>2528.6301424524122</c:v>
                </c:pt>
                <c:pt idx="2491">
                  <c:v>2555.8078288974862</c:v>
                </c:pt>
                <c:pt idx="2492">
                  <c:v>2674.6179322453172</c:v>
                </c:pt>
                <c:pt idx="2493">
                  <c:v>2668.2454810262916</c:v>
                </c:pt>
                <c:pt idx="2494">
                  <c:v>2696.081560991177</c:v>
                </c:pt>
                <c:pt idx="2495">
                  <c:v>2640.4652647539965</c:v>
                </c:pt>
                <c:pt idx="2496">
                  <c:v>2567.7706396392764</c:v>
                </c:pt>
                <c:pt idx="2497">
                  <c:v>2578.5842544192133</c:v>
                </c:pt>
                <c:pt idx="2498">
                  <c:v>2591.5206895175734</c:v>
                </c:pt>
                <c:pt idx="2499">
                  <c:v>2655.005785882443</c:v>
                </c:pt>
                <c:pt idx="2500">
                  <c:v>2622.9679581820324</c:v>
                </c:pt>
                <c:pt idx="2501">
                  <c:v>2632.8518415067197</c:v>
                </c:pt>
                <c:pt idx="2502">
                  <c:v>2641.3949962092461</c:v>
                </c:pt>
                <c:pt idx="2503">
                  <c:v>2628.4864929571813</c:v>
                </c:pt>
                <c:pt idx="2504">
                  <c:v>2579.6257132596434</c:v>
                </c:pt>
                <c:pt idx="2505">
                  <c:v>2632.540600933718</c:v>
                </c:pt>
                <c:pt idx="2506">
                  <c:v>2623.3470332388933</c:v>
                </c:pt>
                <c:pt idx="2507">
                  <c:v>2639.5634651450423</c:v>
                </c:pt>
                <c:pt idx="2508">
                  <c:v>2616.4319061489928</c:v>
                </c:pt>
                <c:pt idx="2509">
                  <c:v>2626.0085391644352</c:v>
                </c:pt>
                <c:pt idx="2510">
                  <c:v>2647.7634571645153</c:v>
                </c:pt>
                <c:pt idx="2511">
                  <c:v>2622.8402697418269</c:v>
                </c:pt>
                <c:pt idx="2512">
                  <c:v>2507.5296277083885</c:v>
                </c:pt>
                <c:pt idx="2513">
                  <c:v>2505.2312357846822</c:v>
                </c:pt>
                <c:pt idx="2514">
                  <c:v>2516.0169187183242</c:v>
                </c:pt>
                <c:pt idx="2515">
                  <c:v>2517.7167710785648</c:v>
                </c:pt>
                <c:pt idx="2516">
                  <c:v>2634.6554407246285</c:v>
                </c:pt>
                <c:pt idx="2517">
                  <c:v>2634.0608914249196</c:v>
                </c:pt>
                <c:pt idx="2518">
                  <c:v>2609.193567694821</c:v>
                </c:pt>
                <c:pt idx="2519">
                  <c:v>2607.8528390726597</c:v>
                </c:pt>
                <c:pt idx="2520">
                  <c:v>2582.6982163520979</c:v>
                </c:pt>
                <c:pt idx="2521">
                  <c:v>2590.5430748972476</c:v>
                </c:pt>
                <c:pt idx="2522">
                  <c:v>2603.6949842384552</c:v>
                </c:pt>
                <c:pt idx="2523">
                  <c:v>2585.5751965204868</c:v>
                </c:pt>
                <c:pt idx="2524">
                  <c:v>2581.1021108495238</c:v>
                </c:pt>
                <c:pt idx="2525">
                  <c:v>2591.0179162842633</c:v>
                </c:pt>
                <c:pt idx="2526">
                  <c:v>2581.7525238418229</c:v>
                </c:pt>
                <c:pt idx="2527">
                  <c:v>2589.0906188899057</c:v>
                </c:pt>
                <c:pt idx="2528">
                  <c:v>2590.7545588763387</c:v>
                </c:pt>
                <c:pt idx="2529">
                  <c:v>2586.8720322413283</c:v>
                </c:pt>
                <c:pt idx="2530">
                  <c:v>2580.6113084074832</c:v>
                </c:pt>
                <c:pt idx="2531">
                  <c:v>2526.7547184868895</c:v>
                </c:pt>
                <c:pt idx="2532">
                  <c:v>2523.9854754399239</c:v>
                </c:pt>
                <c:pt idx="2533">
                  <c:v>2550.9836000159585</c:v>
                </c:pt>
                <c:pt idx="2534">
                  <c:v>2536.2635170184722</c:v>
                </c:pt>
                <c:pt idx="2535">
                  <c:v>2542.3845816208427</c:v>
                </c:pt>
                <c:pt idx="2536">
                  <c:v>2540.9720282510648</c:v>
                </c:pt>
                <c:pt idx="2537">
                  <c:v>2566.8089860739769</c:v>
                </c:pt>
                <c:pt idx="2538">
                  <c:v>2564.3709349187952</c:v>
                </c:pt>
                <c:pt idx="2539">
                  <c:v>2608.5391644387669</c:v>
                </c:pt>
                <c:pt idx="2540">
                  <c:v>2586.1737360839525</c:v>
                </c:pt>
                <c:pt idx="2541">
                  <c:v>2554.6905550456859</c:v>
                </c:pt>
                <c:pt idx="2542">
                  <c:v>2555.317026455446</c:v>
                </c:pt>
                <c:pt idx="2543">
                  <c:v>2559.9816447867179</c:v>
                </c:pt>
                <c:pt idx="2544">
                  <c:v>2553.6211643589618</c:v>
                </c:pt>
                <c:pt idx="2545">
                  <c:v>2533.6299429392257</c:v>
                </c:pt>
                <c:pt idx="2546">
                  <c:v>2532.8478512429647</c:v>
                </c:pt>
                <c:pt idx="2547">
                  <c:v>2258.1181916124633</c:v>
                </c:pt>
                <c:pt idx="2548">
                  <c:v>2216.9586209648437</c:v>
                </c:pt>
                <c:pt idx="2549">
                  <c:v>2214.6562387773811</c:v>
                </c:pt>
                <c:pt idx="2550">
                  <c:v>2233.8533977095867</c:v>
                </c:pt>
                <c:pt idx="2551">
                  <c:v>2111.0849527153728</c:v>
                </c:pt>
                <c:pt idx="2552">
                  <c:v>1790.8503252064945</c:v>
                </c:pt>
                <c:pt idx="2553">
                  <c:v>1855.5364909620507</c:v>
                </c:pt>
                <c:pt idx="2554">
                  <c:v>1805.7260284904814</c:v>
                </c:pt>
                <c:pt idx="2555">
                  <c:v>1751.8973704161829</c:v>
                </c:pt>
                <c:pt idx="2556">
                  <c:v>1727.4091217429457</c:v>
                </c:pt>
                <c:pt idx="2557">
                  <c:v>1479.2306771477579</c:v>
                </c:pt>
                <c:pt idx="2558">
                  <c:v>1570.8192011491942</c:v>
                </c:pt>
                <c:pt idx="2559">
                  <c:v>1485.124296716011</c:v>
                </c:pt>
                <c:pt idx="2560">
                  <c:v>1606.9430589361937</c:v>
                </c:pt>
                <c:pt idx="2561">
                  <c:v>1732.6019434459895</c:v>
                </c:pt>
                <c:pt idx="2562">
                  <c:v>1682.2873343721299</c:v>
                </c:pt>
                <c:pt idx="2563">
                  <c:v>1601.2699128925401</c:v>
                </c:pt>
                <c:pt idx="2564">
                  <c:v>1684.09559625314</c:v>
                </c:pt>
                <c:pt idx="2565">
                  <c:v>1608.5139445752343</c:v>
                </c:pt>
                <c:pt idx="2566">
                  <c:v>1600.2019725390026</c:v>
                </c:pt>
                <c:pt idx="2567">
                  <c:v>1543.4830498224312</c:v>
                </c:pt>
                <c:pt idx="2568">
                  <c:v>1544.119801907344</c:v>
                </c:pt>
                <c:pt idx="2569">
                  <c:v>1361.1909182115621</c:v>
                </c:pt>
                <c:pt idx="2570">
                  <c:v>1368.9108394796679</c:v>
                </c:pt>
                <c:pt idx="2571">
                  <c:v>1398.6684351422509</c:v>
                </c:pt>
                <c:pt idx="2572">
                  <c:v>1416.7298208571069</c:v>
                </c:pt>
                <c:pt idx="2573">
                  <c:v>1389.7572331750509</c:v>
                </c:pt>
                <c:pt idx="2574">
                  <c:v>1379.2119585571186</c:v>
                </c:pt>
                <c:pt idx="2575">
                  <c:v>1371.528783208968</c:v>
                </c:pt>
                <c:pt idx="2576">
                  <c:v>1324.2182773791926</c:v>
                </c:pt>
                <c:pt idx="2577">
                  <c:v>1280.7778333466322</c:v>
                </c:pt>
                <c:pt idx="2578">
                  <c:v>1310.8976674673775</c:v>
                </c:pt>
                <c:pt idx="2579">
                  <c:v>1312.1769837636145</c:v>
                </c:pt>
                <c:pt idx="2580">
                  <c:v>1401.0542018434996</c:v>
                </c:pt>
                <c:pt idx="2581">
                  <c:v>1524.1778793503829</c:v>
                </c:pt>
                <c:pt idx="2582">
                  <c:v>1640.2374699932141</c:v>
                </c:pt>
                <c:pt idx="2583">
                  <c:v>1618.069225996566</c:v>
                </c:pt>
                <c:pt idx="2584">
                  <c:v>1580.7273318462931</c:v>
                </c:pt>
                <c:pt idx="2585">
                  <c:v>1628.0870197797353</c:v>
                </c:pt>
                <c:pt idx="2586">
                  <c:v>1666.6571574558054</c:v>
                </c:pt>
                <c:pt idx="2587">
                  <c:v>1520.34338172459</c:v>
                </c:pt>
                <c:pt idx="2588">
                  <c:v>1515.6282739715075</c:v>
                </c:pt>
                <c:pt idx="2589">
                  <c:v>1513.5337401300806</c:v>
                </c:pt>
                <c:pt idx="2590">
                  <c:v>1465.9756746378816</c:v>
                </c:pt>
                <c:pt idx="2591">
                  <c:v>1556.7425700410977</c:v>
                </c:pt>
                <c:pt idx="2592">
                  <c:v>1553.1664357767027</c:v>
                </c:pt>
                <c:pt idx="2593">
                  <c:v>1528.0079747775405</c:v>
                </c:pt>
                <c:pt idx="2594">
                  <c:v>1503.8678791269281</c:v>
                </c:pt>
                <c:pt idx="2595">
                  <c:v>1535.8753583137122</c:v>
                </c:pt>
                <c:pt idx="2596">
                  <c:v>1549.9075341127625</c:v>
                </c:pt>
                <c:pt idx="2597">
                  <c:v>1528.9354034316245</c:v>
                </c:pt>
                <c:pt idx="2598">
                  <c:v>1542.1852963169842</c:v>
                </c:pt>
                <c:pt idx="2599">
                  <c:v>1539.132121292045</c:v>
                </c:pt>
                <c:pt idx="2600">
                  <c:v>1605.3352815569986</c:v>
                </c:pt>
                <c:pt idx="2601">
                  <c:v>1608.7954941383002</c:v>
                </c:pt>
                <c:pt idx="2602">
                  <c:v>1618.1882097761438</c:v>
                </c:pt>
                <c:pt idx="2603">
                  <c:v>1526.2967647539979</c:v>
                </c:pt>
                <c:pt idx="2604">
                  <c:v>1471.4972030844717</c:v>
                </c:pt>
                <c:pt idx="2605">
                  <c:v>1460.2205430230215</c:v>
                </c:pt>
                <c:pt idx="2606">
                  <c:v>1462.9001521926477</c:v>
                </c:pt>
                <c:pt idx="2607">
                  <c:v>1430.3955161645563</c:v>
                </c:pt>
                <c:pt idx="2608">
                  <c:v>1469.8978016838892</c:v>
                </c:pt>
                <c:pt idx="2609">
                  <c:v>1460.9759157894716</c:v>
                </c:pt>
                <c:pt idx="2610">
                  <c:v>1451.7226340489187</c:v>
                </c:pt>
                <c:pt idx="2611">
                  <c:v>1460.5817478791728</c:v>
                </c:pt>
                <c:pt idx="2612">
                  <c:v>1498.2577131399364</c:v>
                </c:pt>
                <c:pt idx="2613">
                  <c:v>1489.6266015641811</c:v>
                </c:pt>
                <c:pt idx="2614">
                  <c:v>1427.8249234268362</c:v>
                </c:pt>
                <c:pt idx="2615">
                  <c:v>1422.1829704321435</c:v>
                </c:pt>
                <c:pt idx="2616">
                  <c:v>1438.178674298709</c:v>
                </c:pt>
                <c:pt idx="2617">
                  <c:v>1426.7965095127868</c:v>
                </c:pt>
                <c:pt idx="2618">
                  <c:v>1429.0649693787138</c:v>
                </c:pt>
                <c:pt idx="2619">
                  <c:v>1451.0992205019727</c:v>
                </c:pt>
                <c:pt idx="2620">
                  <c:v>1426.0771509636463</c:v>
                </c:pt>
                <c:pt idx="2621">
                  <c:v>1388.1922644228061</c:v>
                </c:pt>
                <c:pt idx="2622">
                  <c:v>1365.8632346674092</c:v>
                </c:pt>
                <c:pt idx="2623">
                  <c:v>1383.8146481824324</c:v>
                </c:pt>
                <c:pt idx="2624">
                  <c:v>1379.9896776864427</c:v>
                </c:pt>
                <c:pt idx="2625">
                  <c:v>1378.551901125252</c:v>
                </c:pt>
                <c:pt idx="2626">
                  <c:v>1389.9730086548798</c:v>
                </c:pt>
                <c:pt idx="2627">
                  <c:v>1388.6517065121081</c:v>
                </c:pt>
                <c:pt idx="2628">
                  <c:v>1378.3871542316724</c:v>
                </c:pt>
                <c:pt idx="2629">
                  <c:v>1385.371637089499</c:v>
                </c:pt>
                <c:pt idx="2630">
                  <c:v>1360.365803276004</c:v>
                </c:pt>
                <c:pt idx="2631">
                  <c:v>1367.3110260045462</c:v>
                </c:pt>
                <c:pt idx="2632">
                  <c:v>1373.4425379075028</c:v>
                </c:pt>
                <c:pt idx="2633">
                  <c:v>1466.1821438689567</c:v>
                </c:pt>
                <c:pt idx="2634">
                  <c:v>1458.0637492079295</c:v>
                </c:pt>
                <c:pt idx="2635">
                  <c:v>1459.1111088384309</c:v>
                </c:pt>
                <c:pt idx="2636">
                  <c:v>1445.8549397549948</c:v>
                </c:pt>
                <c:pt idx="2637">
                  <c:v>1451.8654060891395</c:v>
                </c:pt>
                <c:pt idx="2638">
                  <c:v>1445.4623723953523</c:v>
                </c:pt>
                <c:pt idx="2639">
                  <c:v>1451.2608252623568</c:v>
                </c:pt>
                <c:pt idx="2640">
                  <c:v>1450.6192223454741</c:v>
                </c:pt>
                <c:pt idx="2641">
                  <c:v>1454.2917046167324</c:v>
                </c:pt>
                <c:pt idx="2642">
                  <c:v>1493.6947347073112</c:v>
                </c:pt>
                <c:pt idx="2643">
                  <c:v>1566.4523191373019</c:v>
                </c:pt>
                <c:pt idx="2644">
                  <c:v>1589.039812529425</c:v>
                </c:pt>
                <c:pt idx="2645">
                  <c:v>1577.0475742907274</c:v>
                </c:pt>
                <c:pt idx="2646">
                  <c:v>1587.4995832967529</c:v>
                </c:pt>
                <c:pt idx="2647">
                  <c:v>1592.1440231874194</c:v>
                </c:pt>
                <c:pt idx="2648">
                  <c:v>1664.4126811938836</c:v>
                </c:pt>
                <c:pt idx="2649">
                  <c:v>1532.379625054863</c:v>
                </c:pt>
                <c:pt idx="2650">
                  <c:v>1540.9360512469543</c:v>
                </c:pt>
                <c:pt idx="2651">
                  <c:v>1544.8887157934607</c:v>
                </c:pt>
                <c:pt idx="2652">
                  <c:v>1542.9826077530793</c:v>
                </c:pt>
                <c:pt idx="2653">
                  <c:v>1543.691102074934</c:v>
                </c:pt>
                <c:pt idx="2654">
                  <c:v>1539.4029752124784</c:v>
                </c:pt>
                <c:pt idx="2655">
                  <c:v>1542.7900739754966</c:v>
                </c:pt>
                <c:pt idx="2656">
                  <c:v>1494.0091775787048</c:v>
                </c:pt>
                <c:pt idx="2657">
                  <c:v>1506.9274068353186</c:v>
                </c:pt>
                <c:pt idx="2658">
                  <c:v>1556.1054746578316</c:v>
                </c:pt>
                <c:pt idx="2659">
                  <c:v>1555.8347635090349</c:v>
                </c:pt>
                <c:pt idx="2660">
                  <c:v>1568.353216567572</c:v>
                </c:pt>
                <c:pt idx="2661">
                  <c:v>1573.2391623877706</c:v>
                </c:pt>
                <c:pt idx="2662">
                  <c:v>1570.5533971230168</c:v>
                </c:pt>
                <c:pt idx="2663">
                  <c:v>1567.8214650093742</c:v>
                </c:pt>
                <c:pt idx="2664">
                  <c:v>1566.0412968317275</c:v>
                </c:pt>
                <c:pt idx="2665">
                  <c:v>1552.9724238976867</c:v>
                </c:pt>
                <c:pt idx="2666">
                  <c:v>1563.9087396033649</c:v>
                </c:pt>
                <c:pt idx="2667">
                  <c:v>1568.08003726108</c:v>
                </c:pt>
                <c:pt idx="2668">
                  <c:v>1623.792357607435</c:v>
                </c:pt>
                <c:pt idx="2669">
                  <c:v>1607.1999145165767</c:v>
                </c:pt>
                <c:pt idx="2670">
                  <c:v>1603.5646361637575</c:v>
                </c:pt>
                <c:pt idx="2671">
                  <c:v>1619.6155513666624</c:v>
                </c:pt>
                <c:pt idx="2672">
                  <c:v>1611.9395986672494</c:v>
                </c:pt>
                <c:pt idx="2673">
                  <c:v>1627.6316950999535</c:v>
                </c:pt>
                <c:pt idx="2674">
                  <c:v>1610.7106585930305</c:v>
                </c:pt>
                <c:pt idx="2675">
                  <c:v>1607.095615254776</c:v>
                </c:pt>
                <c:pt idx="2676">
                  <c:v>1607.9260219424582</c:v>
                </c:pt>
                <c:pt idx="2677">
                  <c:v>1606.9946973943556</c:v>
                </c:pt>
                <c:pt idx="2678">
                  <c:v>1578.0304261082938</c:v>
                </c:pt>
                <c:pt idx="2679">
                  <c:v>1623.5599604485035</c:v>
                </c:pt>
                <c:pt idx="2680">
                  <c:v>1628.4012839591376</c:v>
                </c:pt>
                <c:pt idx="2681">
                  <c:v>1633.9632135190116</c:v>
                </c:pt>
                <c:pt idx="2682">
                  <c:v>1631.0349635289872</c:v>
                </c:pt>
                <c:pt idx="2683">
                  <c:v>1640.213813678622</c:v>
                </c:pt>
                <c:pt idx="2684">
                  <c:v>1648.1551085551232</c:v>
                </c:pt>
                <c:pt idx="2685">
                  <c:v>1899.9300688280571</c:v>
                </c:pt>
                <c:pt idx="2686">
                  <c:v>1978.6824871792799</c:v>
                </c:pt>
                <c:pt idx="2687">
                  <c:v>1984.0361626670897</c:v>
                </c:pt>
                <c:pt idx="2688">
                  <c:v>1985.3924814771931</c:v>
                </c:pt>
                <c:pt idx="2689">
                  <c:v>1996.1494420653578</c:v>
                </c:pt>
                <c:pt idx="2690">
                  <c:v>2053.3752981604857</c:v>
                </c:pt>
                <c:pt idx="2691">
                  <c:v>2079.9676497186838</c:v>
                </c:pt>
                <c:pt idx="2692">
                  <c:v>2072.1176072582871</c:v>
                </c:pt>
                <c:pt idx="2693">
                  <c:v>2094.0949754598755</c:v>
                </c:pt>
                <c:pt idx="2694">
                  <c:v>2006.3559714297094</c:v>
                </c:pt>
                <c:pt idx="2695">
                  <c:v>2013.2428873548517</c:v>
                </c:pt>
                <c:pt idx="2696">
                  <c:v>2022.9794102390147</c:v>
                </c:pt>
                <c:pt idx="2697">
                  <c:v>2021.6781054227665</c:v>
                </c:pt>
                <c:pt idx="2698">
                  <c:v>2051.1373049758568</c:v>
                </c:pt>
                <c:pt idx="2699">
                  <c:v>2020.9350448904652</c:v>
                </c:pt>
                <c:pt idx="2700">
                  <c:v>2075.3909800087768</c:v>
                </c:pt>
                <c:pt idx="2701">
                  <c:v>2091.6707980527494</c:v>
                </c:pt>
                <c:pt idx="2702">
                  <c:v>2099.2253589242227</c:v>
                </c:pt>
                <c:pt idx="2703">
                  <c:v>2115.1119608156082</c:v>
                </c:pt>
                <c:pt idx="2704">
                  <c:v>2088.5570811220605</c:v>
                </c:pt>
                <c:pt idx="2705">
                  <c:v>2118.7128414668191</c:v>
                </c:pt>
                <c:pt idx="2706">
                  <c:v>2211.4353681018297</c:v>
                </c:pt>
                <c:pt idx="2707">
                  <c:v>2168.2099816447849</c:v>
                </c:pt>
                <c:pt idx="2708">
                  <c:v>2169.6869793703345</c:v>
                </c:pt>
                <c:pt idx="2709">
                  <c:v>2089.1228095447091</c:v>
                </c:pt>
                <c:pt idx="2710">
                  <c:v>2098.167366026893</c:v>
                </c:pt>
                <c:pt idx="2711">
                  <c:v>2107.0669777742296</c:v>
                </c:pt>
                <c:pt idx="2712">
                  <c:v>2082.465095965842</c:v>
                </c:pt>
                <c:pt idx="2713">
                  <c:v>2110.8655328997229</c:v>
                </c:pt>
                <c:pt idx="2714">
                  <c:v>2127.3442129204723</c:v>
                </c:pt>
                <c:pt idx="2715">
                  <c:v>2188.586009736242</c:v>
                </c:pt>
                <c:pt idx="2716">
                  <c:v>2294.8564175411975</c:v>
                </c:pt>
                <c:pt idx="2717">
                  <c:v>2248.6846714017775</c:v>
                </c:pt>
                <c:pt idx="2718">
                  <c:v>2293.3055564422789</c:v>
                </c:pt>
                <c:pt idx="2719">
                  <c:v>2271.1605857707173</c:v>
                </c:pt>
                <c:pt idx="2720">
                  <c:v>2345.7332891744122</c:v>
                </c:pt>
                <c:pt idx="2721">
                  <c:v>2364.2564722078109</c:v>
                </c:pt>
                <c:pt idx="2722">
                  <c:v>2407.5311507920655</c:v>
                </c:pt>
                <c:pt idx="2723">
                  <c:v>2512.0020330393822</c:v>
                </c:pt>
                <c:pt idx="2724">
                  <c:v>2736.8997737520431</c:v>
                </c:pt>
                <c:pt idx="2725">
                  <c:v>2759.5738518016024</c:v>
                </c:pt>
                <c:pt idx="2726">
                  <c:v>3094.0304505007762</c:v>
                </c:pt>
                <c:pt idx="2727">
                  <c:v>3217.8629679581804</c:v>
                </c:pt>
                <c:pt idx="2728">
                  <c:v>3193.2980651211028</c:v>
                </c:pt>
                <c:pt idx="2729">
                  <c:v>3189.9837843661453</c:v>
                </c:pt>
                <c:pt idx="2730">
                  <c:v>2872.4943390128074</c:v>
                </c:pt>
                <c:pt idx="2731">
                  <c:v>2953.6755380870663</c:v>
                </c:pt>
                <c:pt idx="2732">
                  <c:v>3169.0467874386482</c:v>
                </c:pt>
                <c:pt idx="2733">
                  <c:v>3123.344435976217</c:v>
                </c:pt>
                <c:pt idx="2734">
                  <c:v>3184.860128885518</c:v>
                </c:pt>
                <c:pt idx="2735">
                  <c:v>3190.9676920314414</c:v>
                </c:pt>
                <c:pt idx="2736">
                  <c:v>3120.7367846454636</c:v>
                </c:pt>
                <c:pt idx="2737">
                  <c:v>3240.0286413151889</c:v>
                </c:pt>
                <c:pt idx="2738">
                  <c:v>3229.3685259965664</c:v>
                </c:pt>
                <c:pt idx="2739">
                  <c:v>3200.8130585371673</c:v>
                </c:pt>
                <c:pt idx="2740">
                  <c:v>3542.3241383025393</c:v>
                </c:pt>
                <c:pt idx="2741">
                  <c:v>3486.6739487650111</c:v>
                </c:pt>
                <c:pt idx="2742">
                  <c:v>3491.9351470412166</c:v>
                </c:pt>
                <c:pt idx="2743">
                  <c:v>3511.2771637205192</c:v>
                </c:pt>
                <c:pt idx="2744">
                  <c:v>3372.1810526315762</c:v>
                </c:pt>
                <c:pt idx="2745">
                  <c:v>3427.1200071824719</c:v>
                </c:pt>
                <c:pt idx="2746">
                  <c:v>3500.6051538246652</c:v>
                </c:pt>
                <c:pt idx="2747">
                  <c:v>3356.5725785084369</c:v>
                </c:pt>
                <c:pt idx="2748">
                  <c:v>3188.243422050195</c:v>
                </c:pt>
                <c:pt idx="2749">
                  <c:v>3057.4869123339026</c:v>
                </c:pt>
                <c:pt idx="2750">
                  <c:v>3075.67513786361</c:v>
                </c:pt>
                <c:pt idx="2751">
                  <c:v>3158.7670372291577</c:v>
                </c:pt>
                <c:pt idx="2752">
                  <c:v>3150.9469227085874</c:v>
                </c:pt>
                <c:pt idx="2753">
                  <c:v>3086.8475934719254</c:v>
                </c:pt>
                <c:pt idx="2754">
                  <c:v>3145.7213690594917</c:v>
                </c:pt>
                <c:pt idx="2755">
                  <c:v>3101.5220394238027</c:v>
                </c:pt>
                <c:pt idx="2756">
                  <c:v>3240.9955983400469</c:v>
                </c:pt>
                <c:pt idx="2757">
                  <c:v>3260.8556817365593</c:v>
                </c:pt>
                <c:pt idx="2758">
                  <c:v>3355.679356769479</c:v>
                </c:pt>
                <c:pt idx="2759">
                  <c:v>3469.5469470491967</c:v>
                </c:pt>
                <c:pt idx="2760">
                  <c:v>3653.8404066078733</c:v>
                </c:pt>
                <c:pt idx="2761">
                  <c:v>3691.2977363233676</c:v>
                </c:pt>
                <c:pt idx="2762">
                  <c:v>3598.7000075814976</c:v>
                </c:pt>
                <c:pt idx="2763">
                  <c:v>3616.3081608874309</c:v>
                </c:pt>
                <c:pt idx="2764">
                  <c:v>3720.9605251187068</c:v>
                </c:pt>
                <c:pt idx="2765">
                  <c:v>3914.9206911136785</c:v>
                </c:pt>
                <c:pt idx="2766">
                  <c:v>4308.3657280236184</c:v>
                </c:pt>
                <c:pt idx="2767">
                  <c:v>4289.610345157811</c:v>
                </c:pt>
                <c:pt idx="2768">
                  <c:v>4343.4171657156503</c:v>
                </c:pt>
                <c:pt idx="2769">
                  <c:v>4538.0975032919632</c:v>
                </c:pt>
                <c:pt idx="2770">
                  <c:v>5110.7238541957568</c:v>
                </c:pt>
                <c:pt idx="2771">
                  <c:v>4673.5267902318301</c:v>
                </c:pt>
                <c:pt idx="2772">
                  <c:v>4788.3559502813087</c:v>
                </c:pt>
                <c:pt idx="2773">
                  <c:v>4799.4918694385651</c:v>
                </c:pt>
                <c:pt idx="2774">
                  <c:v>4454.7603363792305</c:v>
                </c:pt>
                <c:pt idx="2775">
                  <c:v>4057.1634902837045</c:v>
                </c:pt>
                <c:pt idx="2776">
                  <c:v>4175.6538334463876</c:v>
                </c:pt>
                <c:pt idx="2777">
                  <c:v>4548.4748457763017</c:v>
                </c:pt>
                <c:pt idx="2778">
                  <c:v>4713.2176640995922</c:v>
                </c:pt>
                <c:pt idx="2779">
                  <c:v>4507.2334364151429</c:v>
                </c:pt>
                <c:pt idx="2780">
                  <c:v>4573.7776912333866</c:v>
                </c:pt>
                <c:pt idx="2781">
                  <c:v>4522.4347551973142</c:v>
                </c:pt>
                <c:pt idx="2782">
                  <c:v>4725.1946809784085</c:v>
                </c:pt>
                <c:pt idx="2783">
                  <c:v>4918.2591345117871</c:v>
                </c:pt>
                <c:pt idx="2784">
                  <c:v>4925.8721655161371</c:v>
                </c:pt>
                <c:pt idx="2785">
                  <c:v>4664.2353960336741</c:v>
                </c:pt>
                <c:pt idx="2786">
                  <c:v>4580.1550265352498</c:v>
                </c:pt>
                <c:pt idx="2787">
                  <c:v>4550.9148018834003</c:v>
                </c:pt>
                <c:pt idx="2788">
                  <c:v>4229.9605622281588</c:v>
                </c:pt>
                <c:pt idx="2789">
                  <c:v>4194.4282857826856</c:v>
                </c:pt>
                <c:pt idx="2790">
                  <c:v>4168.9054953912409</c:v>
                </c:pt>
                <c:pt idx="2791">
                  <c:v>3902.9672104066035</c:v>
                </c:pt>
                <c:pt idx="2792">
                  <c:v>4132.4506184908778</c:v>
                </c:pt>
                <c:pt idx="2793">
                  <c:v>4149.812600853913</c:v>
                </c:pt>
                <c:pt idx="2794">
                  <c:v>4218.4130194325808</c:v>
                </c:pt>
                <c:pt idx="2795">
                  <c:v>4166.5139651250911</c:v>
                </c:pt>
                <c:pt idx="2796">
                  <c:v>4118.2271086548781</c:v>
                </c:pt>
                <c:pt idx="2797">
                  <c:v>3979.0954279557836</c:v>
                </c:pt>
                <c:pt idx="2798">
                  <c:v>3947.996055225246</c:v>
                </c:pt>
                <c:pt idx="2799">
                  <c:v>4002.7204493036943</c:v>
                </c:pt>
                <c:pt idx="2800">
                  <c:v>3906.0333051354655</c:v>
                </c:pt>
                <c:pt idx="2801">
                  <c:v>3774.0819779737394</c:v>
                </c:pt>
                <c:pt idx="2802">
                  <c:v>3821.112219783723</c:v>
                </c:pt>
                <c:pt idx="2803">
                  <c:v>3821.2500754159805</c:v>
                </c:pt>
                <c:pt idx="2804">
                  <c:v>3865.7205067634923</c:v>
                </c:pt>
                <c:pt idx="2805">
                  <c:v>4007.7759175611459</c:v>
                </c:pt>
                <c:pt idx="2806">
                  <c:v>3984.9954000239368</c:v>
                </c:pt>
                <c:pt idx="2807">
                  <c:v>4228.0325210486362</c:v>
                </c:pt>
                <c:pt idx="2808">
                  <c:v>4295.4294665017305</c:v>
                </c:pt>
                <c:pt idx="2809">
                  <c:v>4304.6075447907051</c:v>
                </c:pt>
                <c:pt idx="2810">
                  <c:v>4666.4836889988374</c:v>
                </c:pt>
                <c:pt idx="2811">
                  <c:v>4671.1848034795039</c:v>
                </c:pt>
                <c:pt idx="2812">
                  <c:v>4674.7835297873135</c:v>
                </c:pt>
                <c:pt idx="2813">
                  <c:v>4696.1523686205601</c:v>
                </c:pt>
                <c:pt idx="2814">
                  <c:v>4692.9579569849511</c:v>
                </c:pt>
                <c:pt idx="2815">
                  <c:v>4563.7722070148793</c:v>
                </c:pt>
                <c:pt idx="2816">
                  <c:v>4548.4041195482969</c:v>
                </c:pt>
                <c:pt idx="2817">
                  <c:v>4536.8327309365104</c:v>
                </c:pt>
                <c:pt idx="2818">
                  <c:v>4385.0909851961169</c:v>
                </c:pt>
                <c:pt idx="2819">
                  <c:v>4196.0035660987151</c:v>
                </c:pt>
                <c:pt idx="2820">
                  <c:v>4003.7080316028855</c:v>
                </c:pt>
                <c:pt idx="2821">
                  <c:v>4095.2988384342166</c:v>
                </c:pt>
                <c:pt idx="2822">
                  <c:v>4127.4348066717175</c:v>
                </c:pt>
                <c:pt idx="2823">
                  <c:v>4160.8795351342687</c:v>
                </c:pt>
                <c:pt idx="2824">
                  <c:v>4266.5691807988469</c:v>
                </c:pt>
                <c:pt idx="2825">
                  <c:v>4267.9739910618055</c:v>
                </c:pt>
                <c:pt idx="2826">
                  <c:v>4018.7625354135876</c:v>
                </c:pt>
                <c:pt idx="2827">
                  <c:v>4045.8330729021163</c:v>
                </c:pt>
                <c:pt idx="2828">
                  <c:v>4148.1070448106584</c:v>
                </c:pt>
                <c:pt idx="2829">
                  <c:v>3986.856817365624</c:v>
                </c:pt>
                <c:pt idx="2830">
                  <c:v>4026.803042975137</c:v>
                </c:pt>
                <c:pt idx="2831">
                  <c:v>4130.0631307609401</c:v>
                </c:pt>
                <c:pt idx="2832">
                  <c:v>4036.453607198433</c:v>
                </c:pt>
                <c:pt idx="2833">
                  <c:v>4080.8681505127461</c:v>
                </c:pt>
                <c:pt idx="2834">
                  <c:v>3805.4895678544322</c:v>
                </c:pt>
                <c:pt idx="2835">
                  <c:v>3826.7040501177107</c:v>
                </c:pt>
                <c:pt idx="2836">
                  <c:v>3815.7068624556055</c:v>
                </c:pt>
                <c:pt idx="2837">
                  <c:v>3801.7858808507212</c:v>
                </c:pt>
                <c:pt idx="2838">
                  <c:v>3936.9485184150644</c:v>
                </c:pt>
                <c:pt idx="2839">
                  <c:v>4227.0057663301513</c:v>
                </c:pt>
                <c:pt idx="2840">
                  <c:v>4162.5177447029218</c:v>
                </c:pt>
                <c:pt idx="2841">
                  <c:v>4196.5294577231534</c:v>
                </c:pt>
                <c:pt idx="2842">
                  <c:v>4326.3463385339746</c:v>
                </c:pt>
                <c:pt idx="2843">
                  <c:v>4166.985350544669</c:v>
                </c:pt>
                <c:pt idx="2844">
                  <c:v>4142.7387769841562</c:v>
                </c:pt>
                <c:pt idx="2845">
                  <c:v>4127.2388001276859</c:v>
                </c:pt>
                <c:pt idx="2846">
                  <c:v>4068.7227065959041</c:v>
                </c:pt>
                <c:pt idx="2847">
                  <c:v>3989.7235154223672</c:v>
                </c:pt>
                <c:pt idx="2848">
                  <c:v>4114.7827413111972</c:v>
                </c:pt>
                <c:pt idx="2849">
                  <c:v>4107.5954606759469</c:v>
                </c:pt>
                <c:pt idx="2850">
                  <c:v>4112.0528382746061</c:v>
                </c:pt>
                <c:pt idx="2851">
                  <c:v>4085.7120094968236</c:v>
                </c:pt>
                <c:pt idx="2852">
                  <c:v>4030.3470883045325</c:v>
                </c:pt>
                <c:pt idx="2853">
                  <c:v>4038.2197689637242</c:v>
                </c:pt>
                <c:pt idx="2854">
                  <c:v>4000.6586297434214</c:v>
                </c:pt>
                <c:pt idx="2855">
                  <c:v>3886.2634447946971</c:v>
                </c:pt>
                <c:pt idx="2856">
                  <c:v>4052.9861861058971</c:v>
                </c:pt>
                <c:pt idx="2857">
                  <c:v>3999.9293771198231</c:v>
                </c:pt>
                <c:pt idx="2858">
                  <c:v>3979.9405358924182</c:v>
                </c:pt>
                <c:pt idx="2859">
                  <c:v>3940.126016918714</c:v>
                </c:pt>
                <c:pt idx="2860">
                  <c:v>3807.0774143090821</c:v>
                </c:pt>
                <c:pt idx="2861">
                  <c:v>3351.439554287535</c:v>
                </c:pt>
                <c:pt idx="2862">
                  <c:v>3271.2674302701375</c:v>
                </c:pt>
                <c:pt idx="2863">
                  <c:v>3178.9183727704371</c:v>
                </c:pt>
                <c:pt idx="2864">
                  <c:v>3220.7603016639368</c:v>
                </c:pt>
                <c:pt idx="2865">
                  <c:v>3179.143202585688</c:v>
                </c:pt>
                <c:pt idx="2866">
                  <c:v>3292.9799261801172</c:v>
                </c:pt>
                <c:pt idx="2867">
                  <c:v>3314.0027732333074</c:v>
                </c:pt>
                <c:pt idx="2868">
                  <c:v>3279.9659554686532</c:v>
                </c:pt>
                <c:pt idx="2869">
                  <c:v>3243.3952029049087</c:v>
                </c:pt>
                <c:pt idx="2870">
                  <c:v>3245.9171593312285</c:v>
                </c:pt>
                <c:pt idx="2871">
                  <c:v>3207.9394908423415</c:v>
                </c:pt>
                <c:pt idx="2872">
                  <c:v>3206.2356741550584</c:v>
                </c:pt>
                <c:pt idx="2873">
                  <c:v>3255.4214113562875</c:v>
                </c:pt>
                <c:pt idx="2874">
                  <c:v>3273.120238218743</c:v>
                </c:pt>
                <c:pt idx="2875">
                  <c:v>3427.4092701807558</c:v>
                </c:pt>
                <c:pt idx="2876">
                  <c:v>3390.0275084793075</c:v>
                </c:pt>
                <c:pt idx="2877">
                  <c:v>3322.1594537328888</c:v>
                </c:pt>
                <c:pt idx="2878">
                  <c:v>3339.7806432305138</c:v>
                </c:pt>
                <c:pt idx="2879">
                  <c:v>3349.7854068073866</c:v>
                </c:pt>
                <c:pt idx="2880">
                  <c:v>3301.2346478592203</c:v>
                </c:pt>
                <c:pt idx="2881">
                  <c:v>3294.4739296117441</c:v>
                </c:pt>
                <c:pt idx="2882">
                  <c:v>3180.0130126491331</c:v>
                </c:pt>
                <c:pt idx="2883">
                  <c:v>3219.9455859702298</c:v>
                </c:pt>
                <c:pt idx="2884">
                  <c:v>3162.0950245401195</c:v>
                </c:pt>
                <c:pt idx="2885">
                  <c:v>3196.5352663501035</c:v>
                </c:pt>
                <c:pt idx="2886">
                  <c:v>3190.7796664139478</c:v>
                </c:pt>
                <c:pt idx="2887">
                  <c:v>3276.7366026894351</c:v>
                </c:pt>
                <c:pt idx="2888">
                  <c:v>3271.030469461472</c:v>
                </c:pt>
                <c:pt idx="2889">
                  <c:v>2975.4980852350245</c:v>
                </c:pt>
                <c:pt idx="2890">
                  <c:v>2968.8034409813636</c:v>
                </c:pt>
                <c:pt idx="2891">
                  <c:v>3081.3534459363536</c:v>
                </c:pt>
                <c:pt idx="2892">
                  <c:v>3681.6231115041273</c:v>
                </c:pt>
                <c:pt idx="2893">
                  <c:v>3797.6636767754248</c:v>
                </c:pt>
                <c:pt idx="2894">
                  <c:v>3730.5319171629994</c:v>
                </c:pt>
                <c:pt idx="2895">
                  <c:v>3726.3615530058237</c:v>
                </c:pt>
                <c:pt idx="2896">
                  <c:v>3617.2666886091515</c:v>
                </c:pt>
                <c:pt idx="2897">
                  <c:v>3671.3672511272075</c:v>
                </c:pt>
                <c:pt idx="2898">
                  <c:v>3643.2953677752262</c:v>
                </c:pt>
                <c:pt idx="2899">
                  <c:v>3707.2719285778676</c:v>
                </c:pt>
                <c:pt idx="2900">
                  <c:v>3659.7634965766297</c:v>
                </c:pt>
                <c:pt idx="2901">
                  <c:v>3707.9604494743198</c:v>
                </c:pt>
                <c:pt idx="2902">
                  <c:v>3729.2045115572773</c:v>
                </c:pt>
                <c:pt idx="2903">
                  <c:v>3725.3021886581514</c:v>
                </c:pt>
                <c:pt idx="2904">
                  <c:v>3676.4019051346686</c:v>
                </c:pt>
                <c:pt idx="2905">
                  <c:v>3500.8954902368187</c:v>
                </c:pt>
                <c:pt idx="2906">
                  <c:v>3513.5481270312407</c:v>
                </c:pt>
                <c:pt idx="2907">
                  <c:v>3519.8221251149566</c:v>
                </c:pt>
                <c:pt idx="2908">
                  <c:v>3490.1074603535344</c:v>
                </c:pt>
                <c:pt idx="2909">
                  <c:v>3450.0316025716024</c:v>
                </c:pt>
                <c:pt idx="2910">
                  <c:v>3487.1724634097172</c:v>
                </c:pt>
                <c:pt idx="2911">
                  <c:v>3448.2283596236753</c:v>
                </c:pt>
                <c:pt idx="2912">
                  <c:v>3380.6520617228734</c:v>
                </c:pt>
                <c:pt idx="2913">
                  <c:v>3389.2125113957113</c:v>
                </c:pt>
                <c:pt idx="2914">
                  <c:v>3409.0388601808359</c:v>
                </c:pt>
                <c:pt idx="2915">
                  <c:v>3365.3988926310176</c:v>
                </c:pt>
                <c:pt idx="2916">
                  <c:v>3236.5191987647709</c:v>
                </c:pt>
                <c:pt idx="2917">
                  <c:v>3239.4508134960661</c:v>
                </c:pt>
                <c:pt idx="2918">
                  <c:v>3059.8366971090509</c:v>
                </c:pt>
                <c:pt idx="2919">
                  <c:v>2818.4270664886053</c:v>
                </c:pt>
                <c:pt idx="2920">
                  <c:v>2898.1165038911827</c:v>
                </c:pt>
                <c:pt idx="2921">
                  <c:v>2825.7614658417037</c:v>
                </c:pt>
                <c:pt idx="2922">
                  <c:v>2883.988570714414</c:v>
                </c:pt>
                <c:pt idx="2923">
                  <c:v>2822.175734114518</c:v>
                </c:pt>
                <c:pt idx="2924">
                  <c:v>2895.8475579716669</c:v>
                </c:pt>
                <c:pt idx="2925">
                  <c:v>3021.6865214257191</c:v>
                </c:pt>
                <c:pt idx="2926">
                  <c:v>3094.5420084374109</c:v>
                </c:pt>
                <c:pt idx="2927">
                  <c:v>3026.1917524237247</c:v>
                </c:pt>
                <c:pt idx="2928">
                  <c:v>2942.8342756643774</c:v>
                </c:pt>
                <c:pt idx="2929">
                  <c:v>2909.2935757527621</c:v>
                </c:pt>
                <c:pt idx="2930">
                  <c:v>2925.9095759133302</c:v>
                </c:pt>
                <c:pt idx="2931">
                  <c:v>2968.8528133711334</c:v>
                </c:pt>
                <c:pt idx="2932">
                  <c:v>2927.8199865544857</c:v>
                </c:pt>
                <c:pt idx="2933">
                  <c:v>2959.7277741422913</c:v>
                </c:pt>
                <c:pt idx="2934">
                  <c:v>3002.0881570974011</c:v>
                </c:pt>
                <c:pt idx="2935">
                  <c:v>3006.4020769119738</c:v>
                </c:pt>
                <c:pt idx="2936">
                  <c:v>2988.8388168369565</c:v>
                </c:pt>
                <c:pt idx="2937">
                  <c:v>2906.3537180509143</c:v>
                </c:pt>
                <c:pt idx="2938">
                  <c:v>2867.4737355188126</c:v>
                </c:pt>
                <c:pt idx="2939">
                  <c:v>2860.6040452311545</c:v>
                </c:pt>
                <c:pt idx="2940">
                  <c:v>2892.1081572264861</c:v>
                </c:pt>
                <c:pt idx="2941">
                  <c:v>2844.1901515583963</c:v>
                </c:pt>
                <c:pt idx="2942">
                  <c:v>2838.5251697929034</c:v>
                </c:pt>
                <c:pt idx="2943">
                  <c:v>2830.7825360667557</c:v>
                </c:pt>
                <c:pt idx="2944">
                  <c:v>2690.6579805943879</c:v>
                </c:pt>
                <c:pt idx="2945">
                  <c:v>2709.3207410912955</c:v>
                </c:pt>
                <c:pt idx="2946">
                  <c:v>2845.2925582777202</c:v>
                </c:pt>
                <c:pt idx="2947">
                  <c:v>2863.8322397095467</c:v>
                </c:pt>
                <c:pt idx="2948">
                  <c:v>2847.9562746735942</c:v>
                </c:pt>
                <c:pt idx="2949">
                  <c:v>2859.2888638703939</c:v>
                </c:pt>
                <c:pt idx="2950">
                  <c:v>3019.6199171634789</c:v>
                </c:pt>
                <c:pt idx="2951">
                  <c:v>2899.9838918152886</c:v>
                </c:pt>
                <c:pt idx="2952">
                  <c:v>2867.1025705771094</c:v>
                </c:pt>
                <c:pt idx="2953">
                  <c:v>2872.8110705764311</c:v>
                </c:pt>
                <c:pt idx="2954">
                  <c:v>2886.0440239887853</c:v>
                </c:pt>
                <c:pt idx="2955">
                  <c:v>2914.4652391997101</c:v>
                </c:pt>
                <c:pt idx="2956">
                  <c:v>2948.8982562111228</c:v>
                </c:pt>
                <c:pt idx="2957">
                  <c:v>2904.7759963223716</c:v>
                </c:pt>
                <c:pt idx="2958">
                  <c:v>2880.5742936163342</c:v>
                </c:pt>
                <c:pt idx="2959">
                  <c:v>2883.2509747841646</c:v>
                </c:pt>
                <c:pt idx="2960">
                  <c:v>2844.1711760857884</c:v>
                </c:pt>
                <c:pt idx="2961">
                  <c:v>2902.2858327587464</c:v>
                </c:pt>
                <c:pt idx="2962">
                  <c:v>2926.9258734333803</c:v>
                </c:pt>
                <c:pt idx="2963">
                  <c:v>2976.0525725719617</c:v>
                </c:pt>
                <c:pt idx="2964">
                  <c:v>3004.963710428472</c:v>
                </c:pt>
                <c:pt idx="2965">
                  <c:v>3120.44862636383</c:v>
                </c:pt>
                <c:pt idx="2966">
                  <c:v>3311.8085978041549</c:v>
                </c:pt>
                <c:pt idx="2967">
                  <c:v>3159.9879098457736</c:v>
                </c:pt>
                <c:pt idx="2968">
                  <c:v>3196.6290253349007</c:v>
                </c:pt>
                <c:pt idx="2969">
                  <c:v>3219.1180979537107</c:v>
                </c:pt>
                <c:pt idx="2970">
                  <c:v>3258.8186171475977</c:v>
                </c:pt>
                <c:pt idx="2971">
                  <c:v>3228.8758086421108</c:v>
                </c:pt>
                <c:pt idx="2972">
                  <c:v>3477.7923077672058</c:v>
                </c:pt>
                <c:pt idx="2973">
                  <c:v>3516.707670017156</c:v>
                </c:pt>
                <c:pt idx="2974">
                  <c:v>3472.2007975720026</c:v>
                </c:pt>
                <c:pt idx="2975">
                  <c:v>3523.9389377853213</c:v>
                </c:pt>
                <c:pt idx="2976">
                  <c:v>3551.8627815703262</c:v>
                </c:pt>
                <c:pt idx="2977">
                  <c:v>3454.0020655166572</c:v>
                </c:pt>
                <c:pt idx="2978">
                  <c:v>3451.2192948435791</c:v>
                </c:pt>
                <c:pt idx="2979">
                  <c:v>3455.4062892467155</c:v>
                </c:pt>
                <c:pt idx="2980">
                  <c:v>3455.1422335790244</c:v>
                </c:pt>
                <c:pt idx="2981">
                  <c:v>3349.2732430272104</c:v>
                </c:pt>
                <c:pt idx="2982">
                  <c:v>3383.5766257850814</c:v>
                </c:pt>
                <c:pt idx="2983">
                  <c:v>3324.4797568385511</c:v>
                </c:pt>
                <c:pt idx="2984">
                  <c:v>3380.1858543267999</c:v>
                </c:pt>
                <c:pt idx="2985">
                  <c:v>3498.4579656287033</c:v>
                </c:pt>
                <c:pt idx="2986">
                  <c:v>3594.75988283468</c:v>
                </c:pt>
                <c:pt idx="2987">
                  <c:v>3711.9646997106629</c:v>
                </c:pt>
                <c:pt idx="2988">
                  <c:v>3737.608842667089</c:v>
                </c:pt>
                <c:pt idx="2989">
                  <c:v>3710.0741468633701</c:v>
                </c:pt>
                <c:pt idx="2990">
                  <c:v>3737.4182446334908</c:v>
                </c:pt>
                <c:pt idx="2991">
                  <c:v>3774.1101742437222</c:v>
                </c:pt>
                <c:pt idx="2992">
                  <c:v>3722.9458144511759</c:v>
                </c:pt>
                <c:pt idx="2993">
                  <c:v>3671.6203907525205</c:v>
                </c:pt>
                <c:pt idx="2994">
                  <c:v>3771.1352073062098</c:v>
                </c:pt>
                <c:pt idx="2995">
                  <c:v>3901.2564315806198</c:v>
                </c:pt>
                <c:pt idx="2996">
                  <c:v>3913.2542984368902</c:v>
                </c:pt>
                <c:pt idx="2997">
                  <c:v>3916.47381492458</c:v>
                </c:pt>
                <c:pt idx="2998">
                  <c:v>3995.4009872843426</c:v>
                </c:pt>
                <c:pt idx="2999">
                  <c:v>3948.6802557909468</c:v>
                </c:pt>
                <c:pt idx="3000">
                  <c:v>3983.5303939851128</c:v>
                </c:pt>
                <c:pt idx="3001">
                  <c:v>4093.8037941963971</c:v>
                </c:pt>
                <c:pt idx="3002">
                  <c:v>4087.2983617834843</c:v>
                </c:pt>
                <c:pt idx="3003">
                  <c:v>4094.3635220271703</c:v>
                </c:pt>
                <c:pt idx="3004">
                  <c:v>4075.4144241294402</c:v>
                </c:pt>
                <c:pt idx="3005">
                  <c:v>3942.6004776457808</c:v>
                </c:pt>
                <c:pt idx="3006">
                  <c:v>3808.6116972937193</c:v>
                </c:pt>
                <c:pt idx="3007">
                  <c:v>3924.1031299962851</c:v>
                </c:pt>
                <c:pt idx="3008">
                  <c:v>4042.8324881879771</c:v>
                </c:pt>
                <c:pt idx="3009">
                  <c:v>3825.0296846441847</c:v>
                </c:pt>
                <c:pt idx="3010">
                  <c:v>3871.9858021784007</c:v>
                </c:pt>
                <c:pt idx="3011">
                  <c:v>3839.7328148261004</c:v>
                </c:pt>
                <c:pt idx="3012">
                  <c:v>3939.494226421647</c:v>
                </c:pt>
                <c:pt idx="3013">
                  <c:v>3882.949917314189</c:v>
                </c:pt>
                <c:pt idx="3014">
                  <c:v>3752.1013254658592</c:v>
                </c:pt>
                <c:pt idx="3015">
                  <c:v>3593.3198963110772</c:v>
                </c:pt>
                <c:pt idx="3016">
                  <c:v>3547.2475502458365</c:v>
                </c:pt>
                <c:pt idx="3017">
                  <c:v>3454.058848853434</c:v>
                </c:pt>
                <c:pt idx="3018">
                  <c:v>3450.4511307370776</c:v>
                </c:pt>
                <c:pt idx="3019">
                  <c:v>3427.8730674807434</c:v>
                </c:pt>
                <c:pt idx="3020">
                  <c:v>3507.4946641126812</c:v>
                </c:pt>
                <c:pt idx="3021">
                  <c:v>3479.1627220543437</c:v>
                </c:pt>
                <c:pt idx="3022">
                  <c:v>3493.3921217834045</c:v>
                </c:pt>
                <c:pt idx="3023">
                  <c:v>3605.4383040819166</c:v>
                </c:pt>
                <c:pt idx="3024">
                  <c:v>3618.2970498698337</c:v>
                </c:pt>
                <c:pt idx="3025">
                  <c:v>3635.9232853665821</c:v>
                </c:pt>
                <c:pt idx="3026">
                  <c:v>3390.5752886075138</c:v>
                </c:pt>
                <c:pt idx="3027">
                  <c:v>3073.7283411793592</c:v>
                </c:pt>
                <c:pt idx="3028">
                  <c:v>3196.5274300155988</c:v>
                </c:pt>
                <c:pt idx="3029">
                  <c:v>3107.3150318198764</c:v>
                </c:pt>
                <c:pt idx="3030">
                  <c:v>2422.3166980393812</c:v>
                </c:pt>
                <c:pt idx="3031">
                  <c:v>2095.511518278558</c:v>
                </c:pt>
                <c:pt idx="3032">
                  <c:v>2135.0938715629441</c:v>
                </c:pt>
                <c:pt idx="3033">
                  <c:v>2137.2980753971883</c:v>
                </c:pt>
                <c:pt idx="3034">
                  <c:v>2048.842408460514</c:v>
                </c:pt>
                <c:pt idx="3035">
                  <c:v>2103.6166384186563</c:v>
                </c:pt>
                <c:pt idx="3036">
                  <c:v>2120.3361457878755</c:v>
                </c:pt>
                <c:pt idx="3037">
                  <c:v>2334.1008943704137</c:v>
                </c:pt>
                <c:pt idx="3038">
                  <c:v>2626.8032781608449</c:v>
                </c:pt>
                <c:pt idx="3039">
                  <c:v>2477.170901801841</c:v>
                </c:pt>
                <c:pt idx="3040">
                  <c:v>2423.6043540471223</c:v>
                </c:pt>
                <c:pt idx="3041">
                  <c:v>2479.4959030072596</c:v>
                </c:pt>
                <c:pt idx="3042">
                  <c:v>2612.540515903353</c:v>
                </c:pt>
                <c:pt idx="3043">
                  <c:v>2650.8472645396801</c:v>
                </c:pt>
                <c:pt idx="3044">
                  <c:v>2631.635748549656</c:v>
                </c:pt>
                <c:pt idx="3045">
                  <c:v>2648.055960006182</c:v>
                </c:pt>
                <c:pt idx="3046">
                  <c:v>2488.3440109379485</c:v>
                </c:pt>
                <c:pt idx="3047">
                  <c:v>2441.5667633303906</c:v>
                </c:pt>
                <c:pt idx="3048">
                  <c:v>2545.7863141538214</c:v>
                </c:pt>
                <c:pt idx="3049">
                  <c:v>2570.8305484812622</c:v>
                </c:pt>
                <c:pt idx="3050">
                  <c:v>2490.1405104066048</c:v>
                </c:pt>
                <c:pt idx="3051">
                  <c:v>2710.0774312984681</c:v>
                </c:pt>
                <c:pt idx="3052">
                  <c:v>2680.7081845489765</c:v>
                </c:pt>
                <c:pt idx="3053">
                  <c:v>2681.2608836595468</c:v>
                </c:pt>
                <c:pt idx="3054">
                  <c:v>2707.7643695762299</c:v>
                </c:pt>
                <c:pt idx="3055">
                  <c:v>2845.9252047676023</c:v>
                </c:pt>
                <c:pt idx="3056">
                  <c:v>2918.7639326634562</c:v>
                </c:pt>
                <c:pt idx="3057">
                  <c:v>2900.5698928113757</c:v>
                </c:pt>
                <c:pt idx="3058">
                  <c:v>2902.9243265366063</c:v>
                </c:pt>
                <c:pt idx="3059">
                  <c:v>2703.6487550594111</c:v>
                </c:pt>
                <c:pt idx="3060">
                  <c:v>2726.2563854937912</c:v>
                </c:pt>
                <c:pt idx="3061">
                  <c:v>2798.6588983852157</c:v>
                </c:pt>
                <c:pt idx="3062">
                  <c:v>2700.4864537349226</c:v>
                </c:pt>
                <c:pt idx="3063">
                  <c:v>2752.2003402982682</c:v>
                </c:pt>
                <c:pt idx="3064">
                  <c:v>2677.2395941111249</c:v>
                </c:pt>
                <c:pt idx="3065">
                  <c:v>2808.8846399462072</c:v>
                </c:pt>
                <c:pt idx="3066">
                  <c:v>2811.5546610128845</c:v>
                </c:pt>
                <c:pt idx="3067">
                  <c:v>2883.7321745120271</c:v>
                </c:pt>
                <c:pt idx="3068">
                  <c:v>2836.332541995328</c:v>
                </c:pt>
                <c:pt idx="3069">
                  <c:v>2818.6184537196805</c:v>
                </c:pt>
                <c:pt idx="3070">
                  <c:v>2728.1118575008945</c:v>
                </c:pt>
                <c:pt idx="3071">
                  <c:v>2836.3554117977301</c:v>
                </c:pt>
                <c:pt idx="3072">
                  <c:v>3006.244817891301</c:v>
                </c:pt>
                <c:pt idx="3073">
                  <c:v>2993.8228426630981</c:v>
                </c:pt>
                <c:pt idx="3074">
                  <c:v>3008.6371614764334</c:v>
                </c:pt>
                <c:pt idx="3075">
                  <c:v>3012.8857470281669</c:v>
                </c:pt>
                <c:pt idx="3076">
                  <c:v>3064.4629742082871</c:v>
                </c:pt>
                <c:pt idx="3077">
                  <c:v>3081.0736130429309</c:v>
                </c:pt>
                <c:pt idx="3078">
                  <c:v>3340.5959317895486</c:v>
                </c:pt>
                <c:pt idx="3079">
                  <c:v>3513.554934852355</c:v>
                </c:pt>
                <c:pt idx="3080">
                  <c:v>3484.88447715342</c:v>
                </c:pt>
                <c:pt idx="3081">
                  <c:v>3558.6257673547284</c:v>
                </c:pt>
                <c:pt idx="3082">
                  <c:v>3521.5178396301771</c:v>
                </c:pt>
                <c:pt idx="3083">
                  <c:v>3527.3555454693292</c:v>
                </c:pt>
                <c:pt idx="3084">
                  <c:v>3516.5090664164577</c:v>
                </c:pt>
                <c:pt idx="3085">
                  <c:v>3702.7175071000302</c:v>
                </c:pt>
                <c:pt idx="3086">
                  <c:v>3787.474869108888</c:v>
                </c:pt>
                <c:pt idx="3087">
                  <c:v>3971.5301327030775</c:v>
                </c:pt>
                <c:pt idx="3088">
                  <c:v>3865.3523915251517</c:v>
                </c:pt>
                <c:pt idx="3089">
                  <c:v>3446.6347232820649</c:v>
                </c:pt>
                <c:pt idx="3090">
                  <c:v>3540.9297373498994</c:v>
                </c:pt>
                <c:pt idx="3091">
                  <c:v>3543.2759439343531</c:v>
                </c:pt>
                <c:pt idx="3092">
                  <c:v>3643.5531463289503</c:v>
                </c:pt>
                <c:pt idx="3093">
                  <c:v>3886.6445955832492</c:v>
                </c:pt>
                <c:pt idx="3094">
                  <c:v>3783.2313931973904</c:v>
                </c:pt>
                <c:pt idx="3095">
                  <c:v>3738.8835864017324</c:v>
                </c:pt>
                <c:pt idx="3096">
                  <c:v>3917.7820191905271</c:v>
                </c:pt>
                <c:pt idx="3097">
                  <c:v>3857.0716684878021</c:v>
                </c:pt>
                <c:pt idx="3098">
                  <c:v>3865.4612428677951</c:v>
                </c:pt>
                <c:pt idx="3099">
                  <c:v>3758.5524159988358</c:v>
                </c:pt>
                <c:pt idx="3100">
                  <c:v>3630.2010015216406</c:v>
                </c:pt>
                <c:pt idx="3101">
                  <c:v>3674.1799389131247</c:v>
                </c:pt>
                <c:pt idx="3102">
                  <c:v>3672.5061366007671</c:v>
                </c:pt>
                <c:pt idx="3103">
                  <c:v>3616.5106323199725</c:v>
                </c:pt>
                <c:pt idx="3104">
                  <c:v>3501.6088850493534</c:v>
                </c:pt>
                <c:pt idx="3105">
                  <c:v>3482.8275272916421</c:v>
                </c:pt>
                <c:pt idx="3106">
                  <c:v>3651.1570892068485</c:v>
                </c:pt>
                <c:pt idx="3107">
                  <c:v>3793.7506632064897</c:v>
                </c:pt>
                <c:pt idx="3108">
                  <c:v>3752.0406827166453</c:v>
                </c:pt>
                <c:pt idx="3109">
                  <c:v>3805.4204928908998</c:v>
                </c:pt>
                <c:pt idx="3110">
                  <c:v>3782.8922834075593</c:v>
                </c:pt>
                <c:pt idx="3111">
                  <c:v>3807.540270077006</c:v>
                </c:pt>
                <c:pt idx="3112">
                  <c:v>3783.5010315061986</c:v>
                </c:pt>
                <c:pt idx="3113">
                  <c:v>3818.149755892136</c:v>
                </c:pt>
                <c:pt idx="3114">
                  <c:v>3917.2075446376766</c:v>
                </c:pt>
                <c:pt idx="3115">
                  <c:v>3875.5698710710199</c:v>
                </c:pt>
                <c:pt idx="3116">
                  <c:v>3854.0099755176102</c:v>
                </c:pt>
                <c:pt idx="3117">
                  <c:v>3784.0043114287473</c:v>
                </c:pt>
                <c:pt idx="3118">
                  <c:v>3875.4396207137711</c:v>
                </c:pt>
                <c:pt idx="3119">
                  <c:v>3878.4172669135637</c:v>
                </c:pt>
                <c:pt idx="3120">
                  <c:v>3900.2928740369421</c:v>
                </c:pt>
                <c:pt idx="3121">
                  <c:v>3803.7350269085364</c:v>
                </c:pt>
                <c:pt idx="3122">
                  <c:v>3759.6621215379205</c:v>
                </c:pt>
                <c:pt idx="3123">
                  <c:v>3766.8023192596393</c:v>
                </c:pt>
                <c:pt idx="3124">
                  <c:v>3764.8508136723526</c:v>
                </c:pt>
                <c:pt idx="3125">
                  <c:v>3713.9864721197018</c:v>
                </c:pt>
                <c:pt idx="3126">
                  <c:v>3773.921341661779</c:v>
                </c:pt>
                <c:pt idx="3127">
                  <c:v>3750.359385468571</c:v>
                </c:pt>
                <c:pt idx="3128">
                  <c:v>3747.3749070354675</c:v>
                </c:pt>
                <c:pt idx="3129">
                  <c:v>3743.2601038241428</c:v>
                </c:pt>
                <c:pt idx="3130">
                  <c:v>3695.5638449187518</c:v>
                </c:pt>
                <c:pt idx="3131">
                  <c:v>3740.5495879720615</c:v>
                </c:pt>
                <c:pt idx="3132">
                  <c:v>3788.9604878668379</c:v>
                </c:pt>
                <c:pt idx="3133">
                  <c:v>3854.1812103634657</c:v>
                </c:pt>
                <c:pt idx="3134">
                  <c:v>3669.1955493630276</c:v>
                </c:pt>
                <c:pt idx="3135">
                  <c:v>3675.794407990456</c:v>
                </c:pt>
                <c:pt idx="3136">
                  <c:v>3640.8716028959266</c:v>
                </c:pt>
                <c:pt idx="3137">
                  <c:v>3635.7278080260089</c:v>
                </c:pt>
                <c:pt idx="3138">
                  <c:v>3636.5206010441648</c:v>
                </c:pt>
                <c:pt idx="3139">
                  <c:v>3642.2269732459126</c:v>
                </c:pt>
                <c:pt idx="3140">
                  <c:v>3659.1131860912096</c:v>
                </c:pt>
                <c:pt idx="3141">
                  <c:v>3693.6205201199796</c:v>
                </c:pt>
                <c:pt idx="3142">
                  <c:v>3621.4475323706079</c:v>
                </c:pt>
                <c:pt idx="3143">
                  <c:v>3632.7396841412874</c:v>
                </c:pt>
                <c:pt idx="3144">
                  <c:v>3624.3152711025818</c:v>
                </c:pt>
                <c:pt idx="3145">
                  <c:v>3604.2122646852404</c:v>
                </c:pt>
                <c:pt idx="3146">
                  <c:v>3712.1431741311126</c:v>
                </c:pt>
                <c:pt idx="3147">
                  <c:v>3696.3972851539365</c:v>
                </c:pt>
                <c:pt idx="3148">
                  <c:v>3750.556578372004</c:v>
                </c:pt>
                <c:pt idx="3149">
                  <c:v>3682.511760160201</c:v>
                </c:pt>
                <c:pt idx="3150">
                  <c:v>3686.4808069900555</c:v>
                </c:pt>
                <c:pt idx="3151">
                  <c:v>3687.0480599545817</c:v>
                </c:pt>
                <c:pt idx="3152">
                  <c:v>3678.2292753175366</c:v>
                </c:pt>
                <c:pt idx="3153">
                  <c:v>3703.7673879769673</c:v>
                </c:pt>
                <c:pt idx="3154">
                  <c:v>3687.5015532853349</c:v>
                </c:pt>
                <c:pt idx="3155">
                  <c:v>3682.7774702062479</c:v>
                </c:pt>
                <c:pt idx="3156">
                  <c:v>3641.5306844202851</c:v>
                </c:pt>
                <c:pt idx="3157">
                  <c:v>3645.5290813704069</c:v>
                </c:pt>
                <c:pt idx="3158">
                  <c:v>3660.0325856342038</c:v>
                </c:pt>
                <c:pt idx="3159">
                  <c:v>3645.5155025103059</c:v>
                </c:pt>
                <c:pt idx="3160">
                  <c:v>3661.4955879905342</c:v>
                </c:pt>
                <c:pt idx="3161">
                  <c:v>3727.0599310313537</c:v>
                </c:pt>
                <c:pt idx="3162">
                  <c:v>3726.9735506894676</c:v>
                </c:pt>
                <c:pt idx="3163">
                  <c:v>3804.1316006711518</c:v>
                </c:pt>
                <c:pt idx="3164">
                  <c:v>3810.8901184175702</c:v>
                </c:pt>
                <c:pt idx="3165">
                  <c:v>3829.7945359715391</c:v>
                </c:pt>
                <c:pt idx="3166">
                  <c:v>3977.3273876849576</c:v>
                </c:pt>
                <c:pt idx="3167">
                  <c:v>4117.8173412832975</c:v>
                </c:pt>
                <c:pt idx="3168">
                  <c:v>4448.4932397618086</c:v>
                </c:pt>
                <c:pt idx="3169">
                  <c:v>4454.6576597419371</c:v>
                </c:pt>
                <c:pt idx="3170">
                  <c:v>4389.4148897134073</c:v>
                </c:pt>
                <c:pt idx="3171">
                  <c:v>4513.3995157318022</c:v>
                </c:pt>
                <c:pt idx="3172">
                  <c:v>4641.6909718051829</c:v>
                </c:pt>
                <c:pt idx="3173">
                  <c:v>4432.6885546948934</c:v>
                </c:pt>
                <c:pt idx="3174">
                  <c:v>4529.1923991182603</c:v>
                </c:pt>
                <c:pt idx="3175">
                  <c:v>4471.5163887586978</c:v>
                </c:pt>
                <c:pt idx="3176">
                  <c:v>4647.4217800329488</c:v>
                </c:pt>
                <c:pt idx="3177">
                  <c:v>4713.6414241602379</c:v>
                </c:pt>
                <c:pt idx="3178">
                  <c:v>4644.3798419057393</c:v>
                </c:pt>
                <c:pt idx="3179">
                  <c:v>4684.3291190600821</c:v>
                </c:pt>
                <c:pt idx="3180">
                  <c:v>4614.3891550252474</c:v>
                </c:pt>
                <c:pt idx="3181">
                  <c:v>4758.2593898376645</c:v>
                </c:pt>
                <c:pt idx="3182">
                  <c:v>4589.1444693477397</c:v>
                </c:pt>
                <c:pt idx="3183">
                  <c:v>4623.3682675764221</c:v>
                </c:pt>
                <c:pt idx="3184">
                  <c:v>4588.6676182516949</c:v>
                </c:pt>
                <c:pt idx="3185">
                  <c:v>4684.9968160173466</c:v>
                </c:pt>
                <c:pt idx="3186">
                  <c:v>4735.9013762149443</c:v>
                </c:pt>
                <c:pt idx="3187">
                  <c:v>4736.9505126541526</c:v>
                </c:pt>
                <c:pt idx="3188">
                  <c:v>4953.1511772311442</c:v>
                </c:pt>
                <c:pt idx="3189">
                  <c:v>4773.3608516494442</c:v>
                </c:pt>
                <c:pt idx="3190">
                  <c:v>4681.1544490662682</c:v>
                </c:pt>
                <c:pt idx="3191">
                  <c:v>4726.0214068031491</c:v>
                </c:pt>
                <c:pt idx="3192">
                  <c:v>4688.5469976353188</c:v>
                </c:pt>
                <c:pt idx="3193">
                  <c:v>4631.5499845356026</c:v>
                </c:pt>
                <c:pt idx="3194">
                  <c:v>4655.5933738998338</c:v>
                </c:pt>
                <c:pt idx="3195">
                  <c:v>4696.4527716917419</c:v>
                </c:pt>
                <c:pt idx="3196">
                  <c:v>4558.2228818533476</c:v>
                </c:pt>
                <c:pt idx="3197">
                  <c:v>4581.0444068671932</c:v>
                </c:pt>
                <c:pt idx="3198">
                  <c:v>4521.1412178409382</c:v>
                </c:pt>
                <c:pt idx="3199">
                  <c:v>4600.1404304860835</c:v>
                </c:pt>
                <c:pt idx="3200">
                  <c:v>4586.7975924854845</c:v>
                </c:pt>
                <c:pt idx="3201">
                  <c:v>4624.7694667673968</c:v>
                </c:pt>
                <c:pt idx="3202">
                  <c:v>4684.2330188361893</c:v>
                </c:pt>
                <c:pt idx="3203">
                  <c:v>4802.9761632884456</c:v>
                </c:pt>
                <c:pt idx="3204">
                  <c:v>4521.5034526203162</c:v>
                </c:pt>
                <c:pt idx="3205">
                  <c:v>4251.2570044401164</c:v>
                </c:pt>
                <c:pt idx="3206">
                  <c:v>4161.1450523255962</c:v>
                </c:pt>
                <c:pt idx="3207">
                  <c:v>4096.6851962991805</c:v>
                </c:pt>
                <c:pt idx="3208">
                  <c:v>4063.0000567938532</c:v>
                </c:pt>
                <c:pt idx="3209">
                  <c:v>4049.6042531664243</c:v>
                </c:pt>
                <c:pt idx="3210">
                  <c:v>4021.0607793405197</c:v>
                </c:pt>
                <c:pt idx="3211">
                  <c:v>4094.2294845951787</c:v>
                </c:pt>
                <c:pt idx="3212">
                  <c:v>4161.1741501732076</c:v>
                </c:pt>
                <c:pt idx="3213">
                  <c:v>4111.1886468197099</c:v>
                </c:pt>
                <c:pt idx="3214">
                  <c:v>4135.4348902802667</c:v>
                </c:pt>
                <c:pt idx="3215">
                  <c:v>4104.5666100210192</c:v>
                </c:pt>
                <c:pt idx="3216">
                  <c:v>4262.3362288483595</c:v>
                </c:pt>
                <c:pt idx="3217">
                  <c:v>4305.9990928593734</c:v>
                </c:pt>
                <c:pt idx="3218">
                  <c:v>4388.1514226859954</c:v>
                </c:pt>
                <c:pt idx="3219">
                  <c:v>4327.3003504624212</c:v>
                </c:pt>
                <c:pt idx="3220">
                  <c:v>4353.175635168298</c:v>
                </c:pt>
                <c:pt idx="3221">
                  <c:v>4427.6656627929742</c:v>
                </c:pt>
                <c:pt idx="3222">
                  <c:v>4327.9393265593444</c:v>
                </c:pt>
                <c:pt idx="3223">
                  <c:v>4159.7633625572698</c:v>
                </c:pt>
                <c:pt idx="3224">
                  <c:v>4172.6013150292383</c:v>
                </c:pt>
                <c:pt idx="3225">
                  <c:v>4173.4275357614115</c:v>
                </c:pt>
                <c:pt idx="3226">
                  <c:v>4207.1830365470141</c:v>
                </c:pt>
                <c:pt idx="3227">
                  <c:v>4251.0901093381644</c:v>
                </c:pt>
                <c:pt idx="3228">
                  <c:v>4278.5904385965732</c:v>
                </c:pt>
                <c:pt idx="3229">
                  <c:v>4283.8191797267355</c:v>
                </c:pt>
                <c:pt idx="3230">
                  <c:v>4351.011876823778</c:v>
                </c:pt>
                <c:pt idx="3231">
                  <c:v>4280.3746709390571</c:v>
                </c:pt>
                <c:pt idx="3232">
                  <c:v>4301.516334561139</c:v>
                </c:pt>
                <c:pt idx="3233">
                  <c:v>4286.1418192699693</c:v>
                </c:pt>
                <c:pt idx="3234">
                  <c:v>4197.4180883642202</c:v>
                </c:pt>
                <c:pt idx="3235">
                  <c:v>4209.7262911350999</c:v>
                </c:pt>
                <c:pt idx="3236">
                  <c:v>4229.8317701826636</c:v>
                </c:pt>
                <c:pt idx="3237">
                  <c:v>4280.3171598504741</c:v>
                </c:pt>
                <c:pt idx="3238">
                  <c:v>4279.2053820693409</c:v>
                </c:pt>
                <c:pt idx="3239">
                  <c:v>4242.933125890896</c:v>
                </c:pt>
                <c:pt idx="3240">
                  <c:v>4354.9965390496691</c:v>
                </c:pt>
                <c:pt idx="3241">
                  <c:v>4424.6498171214935</c:v>
                </c:pt>
                <c:pt idx="3242">
                  <c:v>4525.5567678091347</c:v>
                </c:pt>
                <c:pt idx="3243">
                  <c:v>4550.5615992459889</c:v>
                </c:pt>
                <c:pt idx="3244">
                  <c:v>4597.5833022549259</c:v>
                </c:pt>
                <c:pt idx="3245">
                  <c:v>4548.4431036596188</c:v>
                </c:pt>
                <c:pt idx="3246">
                  <c:v>4524.3433634166922</c:v>
                </c:pt>
                <c:pt idx="3247">
                  <c:v>4550.6088440778785</c:v>
                </c:pt>
                <c:pt idx="3248">
                  <c:v>4522.4542752314646</c:v>
                </c:pt>
                <c:pt idx="3249">
                  <c:v>4532.1734992301872</c:v>
                </c:pt>
                <c:pt idx="3250">
                  <c:v>4561.0179299658721</c:v>
                </c:pt>
                <c:pt idx="3251">
                  <c:v>4709.3828531538129</c:v>
                </c:pt>
                <c:pt idx="3252">
                  <c:v>4756.2632744557959</c:v>
                </c:pt>
                <c:pt idx="3253">
                  <c:v>5062.3905622812617</c:v>
                </c:pt>
                <c:pt idx="3254">
                  <c:v>5155.4157375886716</c:v>
                </c:pt>
                <c:pt idx="3255">
                  <c:v>5161.3641793360875</c:v>
                </c:pt>
                <c:pt idx="3256">
                  <c:v>5233.1948483848491</c:v>
                </c:pt>
                <c:pt idx="3257">
                  <c:v>5158.4698478200671</c:v>
                </c:pt>
                <c:pt idx="3258">
                  <c:v>5188.2243220866176</c:v>
                </c:pt>
                <c:pt idx="3259">
                  <c:v>5428.6318148365071</c:v>
                </c:pt>
                <c:pt idx="3260">
                  <c:v>5283.4035581177013</c:v>
                </c:pt>
                <c:pt idx="3261">
                  <c:v>5357.4531314160531</c:v>
                </c:pt>
                <c:pt idx="3262">
                  <c:v>5398.2043000751255</c:v>
                </c:pt>
                <c:pt idx="3263">
                  <c:v>5529.0421015091852</c:v>
                </c:pt>
                <c:pt idx="3264">
                  <c:v>5500.2707037617693</c:v>
                </c:pt>
                <c:pt idx="3265">
                  <c:v>5403.5585643840905</c:v>
                </c:pt>
                <c:pt idx="3266">
                  <c:v>5470.665786370324</c:v>
                </c:pt>
                <c:pt idx="3267">
                  <c:v>5549.0851449505872</c:v>
                </c:pt>
                <c:pt idx="3268">
                  <c:v>6029.94651068643</c:v>
                </c:pt>
                <c:pt idx="3269">
                  <c:v>6158.7786284715949</c:v>
                </c:pt>
                <c:pt idx="3270">
                  <c:v>6136.8849354356826</c:v>
                </c:pt>
                <c:pt idx="3271">
                  <c:v>6114.1304352785464</c:v>
                </c:pt>
                <c:pt idx="3272">
                  <c:v>6002.5881875515206</c:v>
                </c:pt>
                <c:pt idx="3273">
                  <c:v>6056.6921621914389</c:v>
                </c:pt>
                <c:pt idx="3274">
                  <c:v>6260.268079946316</c:v>
                </c:pt>
                <c:pt idx="3275">
                  <c:v>6441.8705244984876</c:v>
                </c:pt>
                <c:pt idx="3276">
                  <c:v>6429.9224374065525</c:v>
                </c:pt>
                <c:pt idx="3277">
                  <c:v>6365.5693558357443</c:v>
                </c:pt>
                <c:pt idx="3278">
                  <c:v>6393.3529258498302</c:v>
                </c:pt>
                <c:pt idx="3279">
                  <c:v>6561.2029801296676</c:v>
                </c:pt>
                <c:pt idx="3280">
                  <c:v>6910.6556443977724</c:v>
                </c:pt>
                <c:pt idx="3281">
                  <c:v>7141.1082028096862</c:v>
                </c:pt>
                <c:pt idx="3282">
                  <c:v>7225.5680358318723</c:v>
                </c:pt>
                <c:pt idx="3283">
                  <c:v>7455.8447745924559</c:v>
                </c:pt>
                <c:pt idx="3284">
                  <c:v>7490.2444944557892</c:v>
                </c:pt>
                <c:pt idx="3285">
                  <c:v>7298.5738699510621</c:v>
                </c:pt>
                <c:pt idx="3286">
                  <c:v>7301.5725448753265</c:v>
                </c:pt>
                <c:pt idx="3287">
                  <c:v>7728.0509282831708</c:v>
                </c:pt>
                <c:pt idx="3288">
                  <c:v>7644.6835686349932</c:v>
                </c:pt>
                <c:pt idx="3289">
                  <c:v>6742.9811306612919</c:v>
                </c:pt>
                <c:pt idx="3290">
                  <c:v>6595.9386689621979</c:v>
                </c:pt>
                <c:pt idx="3291">
                  <c:v>6987.9988179085276</c:v>
                </c:pt>
                <c:pt idx="3292">
                  <c:v>7229.9706365311677</c:v>
                </c:pt>
                <c:pt idx="3293">
                  <c:v>7712.4684085883873</c:v>
                </c:pt>
                <c:pt idx="3294">
                  <c:v>7699.7804710847367</c:v>
                </c:pt>
                <c:pt idx="3295">
                  <c:v>7554.7975569179825</c:v>
                </c:pt>
                <c:pt idx="3296">
                  <c:v>7796.8273964885111</c:v>
                </c:pt>
                <c:pt idx="3297">
                  <c:v>7567.2909898038624</c:v>
                </c:pt>
                <c:pt idx="3298">
                  <c:v>7618.4865288356641</c:v>
                </c:pt>
                <c:pt idx="3299">
                  <c:v>7636.0741054039963</c:v>
                </c:pt>
                <c:pt idx="3300">
                  <c:v>7688.5702153249094</c:v>
                </c:pt>
                <c:pt idx="3301">
                  <c:v>7513.6885691702082</c:v>
                </c:pt>
                <c:pt idx="3302">
                  <c:v>7332.6105841337376</c:v>
                </c:pt>
                <c:pt idx="3303">
                  <c:v>7240.7559523719965</c:v>
                </c:pt>
                <c:pt idx="3304">
                  <c:v>7231.572992759372</c:v>
                </c:pt>
                <c:pt idx="3305">
                  <c:v>7349.3438650122343</c:v>
                </c:pt>
                <c:pt idx="3306">
                  <c:v>7670.7573075640476</c:v>
                </c:pt>
                <c:pt idx="3307">
                  <c:v>7673.3077168497121</c:v>
                </c:pt>
                <c:pt idx="3308">
                  <c:v>7756.24808271867</c:v>
                </c:pt>
                <c:pt idx="3309">
                  <c:v>8261.0523165701507</c:v>
                </c:pt>
                <c:pt idx="3310">
                  <c:v>9315.4555165713064</c:v>
                </c:pt>
                <c:pt idx="3311">
                  <c:v>9017.9495970072439</c:v>
                </c:pt>
                <c:pt idx="3312">
                  <c:v>9401.6961331935472</c:v>
                </c:pt>
                <c:pt idx="3313">
                  <c:v>9529.2832092888748</c:v>
                </c:pt>
                <c:pt idx="3314">
                  <c:v>9170.1564454663621</c:v>
                </c:pt>
                <c:pt idx="3315">
                  <c:v>9355.9309761729164</c:v>
                </c:pt>
                <c:pt idx="3316">
                  <c:v>9342.6319618613179</c:v>
                </c:pt>
                <c:pt idx="3317">
                  <c:v>9665.3183184695918</c:v>
                </c:pt>
                <c:pt idx="3318">
                  <c:v>9596.9814080120286</c:v>
                </c:pt>
                <c:pt idx="3319">
                  <c:v>10228.950547189912</c:v>
                </c:pt>
                <c:pt idx="3320">
                  <c:v>10932.812703360574</c:v>
                </c:pt>
                <c:pt idx="3321">
                  <c:v>10759.729825791881</c:v>
                </c:pt>
                <c:pt idx="3322">
                  <c:v>10627.911293209061</c:v>
                </c:pt>
                <c:pt idx="3323">
                  <c:v>11243.299267198048</c:v>
                </c:pt>
                <c:pt idx="3324">
                  <c:v>11498.164036031412</c:v>
                </c:pt>
                <c:pt idx="3325">
                  <c:v>11664.417536403664</c:v>
                </c:pt>
                <c:pt idx="3326">
                  <c:v>12622.745640888281</c:v>
                </c:pt>
                <c:pt idx="3327">
                  <c:v>13415.529092600742</c:v>
                </c:pt>
                <c:pt idx="3328">
                  <c:v>12675.374021193098</c:v>
                </c:pt>
                <c:pt idx="3329">
                  <c:v>12810.982063441652</c:v>
                </c:pt>
                <c:pt idx="3330">
                  <c:v>13806.564718162972</c:v>
                </c:pt>
                <c:pt idx="3331">
                  <c:v>15541.51590447345</c:v>
                </c:pt>
                <c:pt idx="3332">
                  <c:v>16248.378046244325</c:v>
                </c:pt>
                <c:pt idx="3333">
                  <c:v>16235.476164922709</c:v>
                </c:pt>
                <c:pt idx="3334">
                  <c:v>15857.332978632376</c:v>
                </c:pt>
                <c:pt idx="3335">
                  <c:v>12664.3267067327</c:v>
                </c:pt>
                <c:pt idx="3336">
                  <c:v>13531.454080469781</c:v>
                </c:pt>
                <c:pt idx="3337">
                  <c:v>13862.309100774395</c:v>
                </c:pt>
                <c:pt idx="3338">
                  <c:v>15778.137954433303</c:v>
                </c:pt>
                <c:pt idx="3339">
                  <c:v>14266.117165661271</c:v>
                </c:pt>
                <c:pt idx="3340">
                  <c:v>14950.565264663986</c:v>
                </c:pt>
                <c:pt idx="3341">
                  <c:v>14277.237232019001</c:v>
                </c:pt>
                <c:pt idx="3342">
                  <c:v>14577.718077657362</c:v>
                </c:pt>
                <c:pt idx="3343">
                  <c:v>14902.150666153473</c:v>
                </c:pt>
                <c:pt idx="3344">
                  <c:v>13634.899066202237</c:v>
                </c:pt>
                <c:pt idx="3345">
                  <c:v>12513.957879192543</c:v>
                </c:pt>
                <c:pt idx="3346">
                  <c:v>12924.413579660441</c:v>
                </c:pt>
                <c:pt idx="3347">
                  <c:v>12740.676057388824</c:v>
                </c:pt>
                <c:pt idx="3348">
                  <c:v>12761.796511514676</c:v>
                </c:pt>
                <c:pt idx="3349">
                  <c:v>13772.321899304028</c:v>
                </c:pt>
                <c:pt idx="3350">
                  <c:v>12671.622968086642</c:v>
                </c:pt>
                <c:pt idx="3351">
                  <c:v>12139.139563070163</c:v>
                </c:pt>
                <c:pt idx="3352">
                  <c:v>12743.576003477288</c:v>
                </c:pt>
                <c:pt idx="3353">
                  <c:v>14777.109717953641</c:v>
                </c:pt>
                <c:pt idx="3354">
                  <c:v>13656.995985064654</c:v>
                </c:pt>
                <c:pt idx="3355">
                  <c:v>13132.109919137436</c:v>
                </c:pt>
                <c:pt idx="3356">
                  <c:v>13282.032927768816</c:v>
                </c:pt>
                <c:pt idx="3357">
                  <c:v>13819.015285533151</c:v>
                </c:pt>
                <c:pt idx="3358">
                  <c:v>14700.528764350032</c:v>
                </c:pt>
                <c:pt idx="3359">
                  <c:v>14615.999073606927</c:v>
                </c:pt>
                <c:pt idx="3360">
                  <c:v>15126.140211731941</c:v>
                </c:pt>
                <c:pt idx="3361">
                  <c:v>16291.328022838919</c:v>
                </c:pt>
                <c:pt idx="3362">
                  <c:v>15158.45159902778</c:v>
                </c:pt>
                <c:pt idx="3363">
                  <c:v>17420.943329576079</c:v>
                </c:pt>
                <c:pt idx="3364">
                  <c:v>18672.340616942744</c:v>
                </c:pt>
                <c:pt idx="3365">
                  <c:v>17652.80010912905</c:v>
                </c:pt>
                <c:pt idx="3366">
                  <c:v>19117.435639520012</c:v>
                </c:pt>
                <c:pt idx="3367">
                  <c:v>18759.971397930374</c:v>
                </c:pt>
                <c:pt idx="3368">
                  <c:v>18812.931383824274</c:v>
                </c:pt>
                <c:pt idx="3369">
                  <c:v>19335.304504359687</c:v>
                </c:pt>
                <c:pt idx="3370">
                  <c:v>19135.342358580787</c:v>
                </c:pt>
                <c:pt idx="3371">
                  <c:v>19566.325351356416</c:v>
                </c:pt>
                <c:pt idx="3372">
                  <c:v>20415.548379300551</c:v>
                </c:pt>
                <c:pt idx="3373">
                  <c:v>20578.72859601042</c:v>
                </c:pt>
                <c:pt idx="3374">
                  <c:v>21432.915843942985</c:v>
                </c:pt>
                <c:pt idx="3375">
                  <c:v>22482.983751766136</c:v>
                </c:pt>
                <c:pt idx="3376">
                  <c:v>22794.944208926987</c:v>
                </c:pt>
                <c:pt idx="3377">
                  <c:v>21274.405233107987</c:v>
                </c:pt>
                <c:pt idx="3378">
                  <c:v>19289.211438724207</c:v>
                </c:pt>
                <c:pt idx="3379">
                  <c:v>19833.331861893432</c:v>
                </c:pt>
                <c:pt idx="3380">
                  <c:v>20277.65912354887</c:v>
                </c:pt>
                <c:pt idx="3381">
                  <c:v>19001.680551957517</c:v>
                </c:pt>
                <c:pt idx="3382">
                  <c:v>18592.991075411213</c:v>
                </c:pt>
                <c:pt idx="3383">
                  <c:v>17316.530045802621</c:v>
                </c:pt>
                <c:pt idx="3384">
                  <c:v>19595.697021357304</c:v>
                </c:pt>
                <c:pt idx="3385">
                  <c:v>19395.771850482281</c:v>
                </c:pt>
                <c:pt idx="3386">
                  <c:v>20273.98575214091</c:v>
                </c:pt>
                <c:pt idx="3387">
                  <c:v>19777.179329199647</c:v>
                </c:pt>
                <c:pt idx="3388">
                  <c:v>19173.342015072598</c:v>
                </c:pt>
                <c:pt idx="3389">
                  <c:v>18881.379751911951</c:v>
                </c:pt>
                <c:pt idx="3390">
                  <c:v>20175.469075265166</c:v>
                </c:pt>
                <c:pt idx="3391">
                  <c:v>20383.576702459293</c:v>
                </c:pt>
                <c:pt idx="3392">
                  <c:v>21564.194712577402</c:v>
                </c:pt>
                <c:pt idx="3393">
                  <c:v>22483.832260354302</c:v>
                </c:pt>
                <c:pt idx="3394">
                  <c:v>22521.017009788524</c:v>
                </c:pt>
                <c:pt idx="3395">
                  <c:v>22732.291016651696</c:v>
                </c:pt>
                <c:pt idx="3396">
                  <c:v>23813.663263826227</c:v>
                </c:pt>
                <c:pt idx="3397">
                  <c:v>23812.336536276369</c:v>
                </c:pt>
                <c:pt idx="3398">
                  <c:v>22448.447558071988</c:v>
                </c:pt>
                <c:pt idx="3399">
                  <c:v>22250.091207024863</c:v>
                </c:pt>
                <c:pt idx="3400">
                  <c:v>21931.014428354021</c:v>
                </c:pt>
                <c:pt idx="3401">
                  <c:v>23715.587741281233</c:v>
                </c:pt>
                <c:pt idx="3402">
                  <c:v>23557.07100872252</c:v>
                </c:pt>
                <c:pt idx="3403">
                  <c:v>23627.403315373653</c:v>
                </c:pt>
                <c:pt idx="3404">
                  <c:v>22827.92368162009</c:v>
                </c:pt>
                <c:pt idx="3405">
                  <c:v>22801.997124018715</c:v>
                </c:pt>
                <c:pt idx="3406">
                  <c:v>21992.490724213683</c:v>
                </c:pt>
                <c:pt idx="3407">
                  <c:v>22428.102519448668</c:v>
                </c:pt>
                <c:pt idx="3408">
                  <c:v>20337.874392849928</c:v>
                </c:pt>
                <c:pt idx="3409">
                  <c:v>21249.412216034838</c:v>
                </c:pt>
                <c:pt idx="3410">
                  <c:v>21899.092514765376</c:v>
                </c:pt>
                <c:pt idx="3411">
                  <c:v>22442.262735164921</c:v>
                </c:pt>
                <c:pt idx="3412">
                  <c:v>23029.98017844811</c:v>
                </c:pt>
                <c:pt idx="3413">
                  <c:v>23406.198699052115</c:v>
                </c:pt>
                <c:pt idx="3414">
                  <c:v>23678.987454829778</c:v>
                </c:pt>
                <c:pt idx="3415">
                  <c:v>23522.713957557924</c:v>
                </c:pt>
                <c:pt idx="3416">
                  <c:v>23731.909084484501</c:v>
                </c:pt>
                <c:pt idx="3417">
                  <c:v>23496.398501228763</c:v>
                </c:pt>
                <c:pt idx="3418">
                  <c:v>23104.49070966446</c:v>
                </c:pt>
                <c:pt idx="3419">
                  <c:v>23521.086561975742</c:v>
                </c:pt>
                <c:pt idx="3420">
                  <c:v>23128.492459951041</c:v>
                </c:pt>
                <c:pt idx="3421">
                  <c:v>22533.279883406056</c:v>
                </c:pt>
                <c:pt idx="3422">
                  <c:v>23059.068477743236</c:v>
                </c:pt>
                <c:pt idx="3423">
                  <c:v>23202.392393145215</c:v>
                </c:pt>
                <c:pt idx="3424">
                  <c:v>24064.378330732063</c:v>
                </c:pt>
                <c:pt idx="3425">
                  <c:v>23828.612579001841</c:v>
                </c:pt>
                <c:pt idx="3426">
                  <c:v>23908.819560361524</c:v>
                </c:pt>
                <c:pt idx="3427">
                  <c:v>25223.31761378489</c:v>
                </c:pt>
                <c:pt idx="3428">
                  <c:v>25135.392807723438</c:v>
                </c:pt>
                <c:pt idx="3429">
                  <c:v>25029.242172388378</c:v>
                </c:pt>
                <c:pt idx="3430">
                  <c:v>24528.518946520853</c:v>
                </c:pt>
                <c:pt idx="3431">
                  <c:v>24070.040909737523</c:v>
                </c:pt>
                <c:pt idx="3432">
                  <c:v>22137.459849807794</c:v>
                </c:pt>
                <c:pt idx="3433">
                  <c:v>21799.882454772083</c:v>
                </c:pt>
                <c:pt idx="3434">
                  <c:v>22092.562685153389</c:v>
                </c:pt>
                <c:pt idx="3435">
                  <c:v>22383.933666868204</c:v>
                </c:pt>
                <c:pt idx="3436">
                  <c:v>21794.349604606883</c:v>
                </c:pt>
                <c:pt idx="3437">
                  <c:v>19864.552138795148</c:v>
                </c:pt>
                <c:pt idx="3438">
                  <c:v>20017.689753343129</c:v>
                </c:pt>
                <c:pt idx="3439">
                  <c:v>20043.964182787924</c:v>
                </c:pt>
                <c:pt idx="3440">
                  <c:v>21356.380835656724</c:v>
                </c:pt>
                <c:pt idx="3441">
                  <c:v>21948.400869151355</c:v>
                </c:pt>
                <c:pt idx="3442">
                  <c:v>21686.180359113048</c:v>
                </c:pt>
                <c:pt idx="3443">
                  <c:v>21443.871976655286</c:v>
                </c:pt>
                <c:pt idx="3444">
                  <c:v>22817.810832406169</c:v>
                </c:pt>
                <c:pt idx="3445">
                  <c:v>22888.563652754998</c:v>
                </c:pt>
                <c:pt idx="3446">
                  <c:v>22582.044514065041</c:v>
                </c:pt>
                <c:pt idx="3447">
                  <c:v>23014.222908550615</c:v>
                </c:pt>
                <c:pt idx="3448">
                  <c:v>21544.558988011853</c:v>
                </c:pt>
                <c:pt idx="3449">
                  <c:v>22950.340464603767</c:v>
                </c:pt>
                <c:pt idx="3450">
                  <c:v>22784.565363918078</c:v>
                </c:pt>
                <c:pt idx="3451">
                  <c:v>22930.112817560788</c:v>
                </c:pt>
                <c:pt idx="3452">
                  <c:v>22982.978289008173</c:v>
                </c:pt>
                <c:pt idx="3453">
                  <c:v>22914.555322822307</c:v>
                </c:pt>
                <c:pt idx="3454">
                  <c:v>23203.659632112358</c:v>
                </c:pt>
                <c:pt idx="3455">
                  <c:v>22352.482220873819</c:v>
                </c:pt>
                <c:pt idx="3456">
                  <c:v>22170.917559513658</c:v>
                </c:pt>
                <c:pt idx="3457">
                  <c:v>19771.385998615377</c:v>
                </c:pt>
                <c:pt idx="3458">
                  <c:v>20425.783949921628</c:v>
                </c:pt>
                <c:pt idx="3459">
                  <c:v>19560.303785533739</c:v>
                </c:pt>
                <c:pt idx="3460">
                  <c:v>19060.130844963889</c:v>
                </c:pt>
                <c:pt idx="3461">
                  <c:v>17248.313612302387</c:v>
                </c:pt>
                <c:pt idx="3462">
                  <c:v>17155.399989772563</c:v>
                </c:pt>
                <c:pt idx="3463">
                  <c:v>15045.815790430441</c:v>
                </c:pt>
                <c:pt idx="3464">
                  <c:v>16539.449817276094</c:v>
                </c:pt>
                <c:pt idx="3465">
                  <c:v>14725.733716586101</c:v>
                </c:pt>
                <c:pt idx="3466">
                  <c:v>15271.866424510006</c:v>
                </c:pt>
                <c:pt idx="3467">
                  <c:v>13328.452752685622</c:v>
                </c:pt>
                <c:pt idx="3468">
                  <c:v>14991.899539216765</c:v>
                </c:pt>
                <c:pt idx="3469">
                  <c:v>15209.943351815144</c:v>
                </c:pt>
                <c:pt idx="3470">
                  <c:v>15446.001642558369</c:v>
                </c:pt>
                <c:pt idx="3471">
                  <c:v>15840.505540287073</c:v>
                </c:pt>
                <c:pt idx="3472">
                  <c:v>14676.362993027949</c:v>
                </c:pt>
                <c:pt idx="3473">
                  <c:v>13698.445924000536</c:v>
                </c:pt>
                <c:pt idx="3474">
                  <c:v>14169.835483437033</c:v>
                </c:pt>
                <c:pt idx="3475">
                  <c:v>14731.893265906967</c:v>
                </c:pt>
                <c:pt idx="3476">
                  <c:v>14470.909276678245</c:v>
                </c:pt>
                <c:pt idx="3477">
                  <c:v>15160.139382539741</c:v>
                </c:pt>
                <c:pt idx="3478">
                  <c:v>15398.955358671619</c:v>
                </c:pt>
                <c:pt idx="3479">
                  <c:v>14732.344491122121</c:v>
                </c:pt>
                <c:pt idx="3480">
                  <c:v>14484.39295790126</c:v>
                </c:pt>
                <c:pt idx="3481">
                  <c:v>14437.640170169565</c:v>
                </c:pt>
                <c:pt idx="3482">
                  <c:v>14403.60013273275</c:v>
                </c:pt>
                <c:pt idx="3483">
                  <c:v>12676.405389055046</c:v>
                </c:pt>
                <c:pt idx="3484">
                  <c:v>14534.728191721139</c:v>
                </c:pt>
                <c:pt idx="3485">
                  <c:v>14706.89904012268</c:v>
                </c:pt>
                <c:pt idx="3486">
                  <c:v>14707.722020877516</c:v>
                </c:pt>
                <c:pt idx="3487">
                  <c:v>14127.458615673497</c:v>
                </c:pt>
                <c:pt idx="3488">
                  <c:v>14362.566821347851</c:v>
                </c:pt>
                <c:pt idx="3489">
                  <c:v>16245.930430565475</c:v>
                </c:pt>
                <c:pt idx="3490">
                  <c:v>16000.945258669424</c:v>
                </c:pt>
                <c:pt idx="3491">
                  <c:v>15476.03487573235</c:v>
                </c:pt>
                <c:pt idx="3492">
                  <c:v>15579.259673600593</c:v>
                </c:pt>
                <c:pt idx="3493">
                  <c:v>14533.575232038005</c:v>
                </c:pt>
                <c:pt idx="3494">
                  <c:v>14426.495771538224</c:v>
                </c:pt>
                <c:pt idx="3495">
                  <c:v>13765.778609833225</c:v>
                </c:pt>
                <c:pt idx="3496">
                  <c:v>13081.229255965223</c:v>
                </c:pt>
                <c:pt idx="3497">
                  <c:v>12649.66463288478</c:v>
                </c:pt>
                <c:pt idx="3498">
                  <c:v>13419.719948396491</c:v>
                </c:pt>
                <c:pt idx="3499">
                  <c:v>13558.808239025837</c:v>
                </c:pt>
                <c:pt idx="3500">
                  <c:v>13008.295503716672</c:v>
                </c:pt>
                <c:pt idx="3501">
                  <c:v>12587.644969532043</c:v>
                </c:pt>
                <c:pt idx="3502">
                  <c:v>13259.715132893441</c:v>
                </c:pt>
                <c:pt idx="3503">
                  <c:v>13951.600738538746</c:v>
                </c:pt>
                <c:pt idx="3504">
                  <c:v>14456.787798900221</c:v>
                </c:pt>
                <c:pt idx="3505">
                  <c:v>13657.120881322509</c:v>
                </c:pt>
                <c:pt idx="3506">
                  <c:v>13360.409070293143</c:v>
                </c:pt>
                <c:pt idx="3507">
                  <c:v>13412.248053094627</c:v>
                </c:pt>
                <c:pt idx="3508">
                  <c:v>13825.732453170043</c:v>
                </c:pt>
                <c:pt idx="3509">
                  <c:v>14182.583763392058</c:v>
                </c:pt>
                <c:pt idx="3510">
                  <c:v>13425.208427694242</c:v>
                </c:pt>
                <c:pt idx="3511">
                  <c:v>13595.82462093705</c:v>
                </c:pt>
                <c:pt idx="3512">
                  <c:v>13780.811018325421</c:v>
                </c:pt>
                <c:pt idx="3513">
                  <c:v>13140.017306990161</c:v>
                </c:pt>
                <c:pt idx="3514">
                  <c:v>13423.849318118089</c:v>
                </c:pt>
                <c:pt idx="3515">
                  <c:v>13523.88645456803</c:v>
                </c:pt>
                <c:pt idx="3516">
                  <c:v>13550.296036175589</c:v>
                </c:pt>
                <c:pt idx="3517">
                  <c:v>13329.253238895431</c:v>
                </c:pt>
                <c:pt idx="3518">
                  <c:v>13083.610462569748</c:v>
                </c:pt>
                <c:pt idx="3519">
                  <c:v>13095.815650399521</c:v>
                </c:pt>
                <c:pt idx="3520">
                  <c:v>12663.471977537069</c:v>
                </c:pt>
                <c:pt idx="3521">
                  <c:v>12821.823914862754</c:v>
                </c:pt>
                <c:pt idx="3522">
                  <c:v>12673.890847432725</c:v>
                </c:pt>
                <c:pt idx="3523">
                  <c:v>12529.942734166892</c:v>
                </c:pt>
                <c:pt idx="3524">
                  <c:v>12266.3889200003</c:v>
                </c:pt>
                <c:pt idx="3525">
                  <c:v>11965.727307673937</c:v>
                </c:pt>
                <c:pt idx="3526">
                  <c:v>12739.028149078667</c:v>
                </c:pt>
                <c:pt idx="3527">
                  <c:v>12966.661487706495</c:v>
                </c:pt>
                <c:pt idx="3528">
                  <c:v>12900.418561848508</c:v>
                </c:pt>
                <c:pt idx="3529">
                  <c:v>13513.657402136565</c:v>
                </c:pt>
                <c:pt idx="3530">
                  <c:v>13638.321777198573</c:v>
                </c:pt>
                <c:pt idx="3531">
                  <c:v>15412.681425217284</c:v>
                </c:pt>
                <c:pt idx="3532">
                  <c:v>15261.421025587262</c:v>
                </c:pt>
                <c:pt idx="3533">
                  <c:v>15834.707632947184</c:v>
                </c:pt>
                <c:pt idx="3534">
                  <c:v>15950.995084819293</c:v>
                </c:pt>
                <c:pt idx="3535">
                  <c:v>15594.027041833182</c:v>
                </c:pt>
                <c:pt idx="3536">
                  <c:v>16581.809219842278</c:v>
                </c:pt>
                <c:pt idx="3537">
                  <c:v>16482.164828978144</c:v>
                </c:pt>
                <c:pt idx="3538">
                  <c:v>15871.347077720056</c:v>
                </c:pt>
                <c:pt idx="3539">
                  <c:v>15245.305287175906</c:v>
                </c:pt>
                <c:pt idx="3540">
                  <c:v>15681.511350827832</c:v>
                </c:pt>
                <c:pt idx="3541">
                  <c:v>15495.604510953168</c:v>
                </c:pt>
                <c:pt idx="3542">
                  <c:v>16722.997147110382</c:v>
                </c:pt>
                <c:pt idx="3543">
                  <c:v>17314.448318337509</c:v>
                </c:pt>
                <c:pt idx="3544">
                  <c:v>17549.630495131689</c:v>
                </c:pt>
                <c:pt idx="3545">
                  <c:v>18334.042333668895</c:v>
                </c:pt>
                <c:pt idx="3546">
                  <c:v>18020.38905373669</c:v>
                </c:pt>
                <c:pt idx="3547">
                  <c:v>18540.719861085559</c:v>
                </c:pt>
                <c:pt idx="3548">
                  <c:v>17639.680417141866</c:v>
                </c:pt>
                <c:pt idx="3549">
                  <c:v>18518.702675166009</c:v>
                </c:pt>
                <c:pt idx="3550">
                  <c:v>18736.261173891158</c:v>
                </c:pt>
                <c:pt idx="3551">
                  <c:v>18418.637213758084</c:v>
                </c:pt>
                <c:pt idx="3552">
                  <c:v>18487.762015174347</c:v>
                </c:pt>
                <c:pt idx="3553">
                  <c:v>18255.704616977946</c:v>
                </c:pt>
                <c:pt idx="3554">
                  <c:v>18274.367905126062</c:v>
                </c:pt>
                <c:pt idx="3555">
                  <c:v>18274.511819690964</c:v>
                </c:pt>
                <c:pt idx="3556">
                  <c:v>19418.049323187788</c:v>
                </c:pt>
                <c:pt idx="3557">
                  <c:v>19646.657694634974</c:v>
                </c:pt>
                <c:pt idx="3558">
                  <c:v>19363.270354958266</c:v>
                </c:pt>
                <c:pt idx="3559">
                  <c:v>19782.168549934999</c:v>
                </c:pt>
                <c:pt idx="3560">
                  <c:v>19257.812752133195</c:v>
                </c:pt>
                <c:pt idx="3561">
                  <c:v>19473.99489164379</c:v>
                </c:pt>
                <c:pt idx="3562">
                  <c:v>18669.659883389213</c:v>
                </c:pt>
                <c:pt idx="3563">
                  <c:v>19236.103299413153</c:v>
                </c:pt>
                <c:pt idx="3564">
                  <c:v>19469.360509470291</c:v>
                </c:pt>
                <c:pt idx="3565">
                  <c:v>19338.078502799486</c:v>
                </c:pt>
                <c:pt idx="3566">
                  <c:v>19174.429658084231</c:v>
                </c:pt>
                <c:pt idx="3567">
                  <c:v>18931.267122195837</c:v>
                </c:pt>
                <c:pt idx="3568">
                  <c:v>18965.947967596301</c:v>
                </c:pt>
                <c:pt idx="3569">
                  <c:v>19788.800762512503</c:v>
                </c:pt>
                <c:pt idx="3570">
                  <c:v>20184.981757840782</c:v>
                </c:pt>
                <c:pt idx="3571">
                  <c:v>19886.037457192084</c:v>
                </c:pt>
                <c:pt idx="3572">
                  <c:v>20040.654198156291</c:v>
                </c:pt>
                <c:pt idx="3573">
                  <c:v>20598.249116756822</c:v>
                </c:pt>
                <c:pt idx="3574">
                  <c:v>18692.876494497421</c:v>
                </c:pt>
                <c:pt idx="3575">
                  <c:v>18364.898395135628</c:v>
                </c:pt>
                <c:pt idx="3576">
                  <c:v>18758.467420397625</c:v>
                </c:pt>
                <c:pt idx="3577">
                  <c:v>18134.280291059611</c:v>
                </c:pt>
                <c:pt idx="3578">
                  <c:v>18183.317408956824</c:v>
                </c:pt>
                <c:pt idx="3579">
                  <c:v>18330.497480676546</c:v>
                </c:pt>
                <c:pt idx="3580">
                  <c:v>17720.348758330631</c:v>
                </c:pt>
                <c:pt idx="3581">
                  <c:v>18648.606845193801</c:v>
                </c:pt>
                <c:pt idx="3582">
                  <c:v>19257.097135983393</c:v>
                </c:pt>
                <c:pt idx="3583">
                  <c:v>19166.543967173053</c:v>
                </c:pt>
                <c:pt idx="3584">
                  <c:v>18965.865832076848</c:v>
                </c:pt>
                <c:pt idx="3585">
                  <c:v>19309.841857146996</c:v>
                </c:pt>
                <c:pt idx="3586">
                  <c:v>19035.298239801599</c:v>
                </c:pt>
                <c:pt idx="3587">
                  <c:v>17454.645702231435</c:v>
                </c:pt>
                <c:pt idx="3588">
                  <c:v>17186.270000325803</c:v>
                </c:pt>
              </c:numCache>
            </c:numRef>
          </c:val>
          <c:smooth val="0"/>
          <c:extLst>
            <c:ext xmlns:c16="http://schemas.microsoft.com/office/drawing/2014/chart" uri="{C3380CC4-5D6E-409C-BE32-E72D297353CC}">
              <c16:uniqueId val="{00000001-5F9C-0E44-85EA-3DAC9A85DC15}"/>
            </c:ext>
          </c:extLst>
        </c:ser>
        <c:ser>
          <c:idx val="2"/>
          <c:order val="2"/>
          <c:tx>
            <c:v>币本位</c:v>
          </c:tx>
          <c:spPr>
            <a:ln w="28575" cap="rnd">
              <a:solidFill>
                <a:schemeClr val="accent3"/>
              </a:solidFill>
              <a:round/>
            </a:ln>
            <a:effectLst/>
          </c:spPr>
          <c:marker>
            <c:symbol val="none"/>
          </c:marker>
          <c:val>
            <c:numRef>
              <c:f>回测实验室!$K$470:$K$4058</c:f>
              <c:numCache>
                <c:formatCode>General</c:formatCode>
                <c:ptCount val="3589"/>
                <c:pt idx="0">
                  <c:v>1</c:v>
                </c:pt>
                <c:pt idx="1">
                  <c:v>1.0111220697120897</c:v>
                </c:pt>
                <c:pt idx="2">
                  <c:v>1.0080503613497207</c:v>
                </c:pt>
                <c:pt idx="3">
                  <c:v>0.98696235948132416</c:v>
                </c:pt>
                <c:pt idx="4">
                  <c:v>0.932684637193963</c:v>
                </c:pt>
                <c:pt idx="5">
                  <c:v>0.8760080903404952</c:v>
                </c:pt>
                <c:pt idx="6">
                  <c:v>0.85310210365858019</c:v>
                </c:pt>
                <c:pt idx="7">
                  <c:v>0.83860772996196886</c:v>
                </c:pt>
                <c:pt idx="8">
                  <c:v>0.93118227796938446</c:v>
                </c:pt>
                <c:pt idx="9">
                  <c:v>0.92119946965541799</c:v>
                </c:pt>
                <c:pt idx="10">
                  <c:v>0.90649530667299549</c:v>
                </c:pt>
                <c:pt idx="11">
                  <c:v>0.86650124742949952</c:v>
                </c:pt>
                <c:pt idx="12">
                  <c:v>0.87763590410334691</c:v>
                </c:pt>
                <c:pt idx="13">
                  <c:v>0.88046479991790016</c:v>
                </c:pt>
                <c:pt idx="14">
                  <c:v>0.88331236975450633</c:v>
                </c:pt>
                <c:pt idx="15">
                  <c:v>0.86104083299015954</c:v>
                </c:pt>
                <c:pt idx="16">
                  <c:v>0.80988156459755101</c:v>
                </c:pt>
                <c:pt idx="17">
                  <c:v>0.84047957073677737</c:v>
                </c:pt>
                <c:pt idx="18">
                  <c:v>0.8119525289411732</c:v>
                </c:pt>
                <c:pt idx="19">
                  <c:v>0.83666084457461642</c:v>
                </c:pt>
                <c:pt idx="20">
                  <c:v>0.82411069168375872</c:v>
                </c:pt>
                <c:pt idx="21">
                  <c:v>0.82411069168375872</c:v>
                </c:pt>
                <c:pt idx="22">
                  <c:v>0.82408596866236494</c:v>
                </c:pt>
                <c:pt idx="23">
                  <c:v>0.825845153591515</c:v>
                </c:pt>
                <c:pt idx="24">
                  <c:v>0.75215251161061814</c:v>
                </c:pt>
                <c:pt idx="25">
                  <c:v>0.66954000926482293</c:v>
                </c:pt>
                <c:pt idx="26">
                  <c:v>0.68018765926313418</c:v>
                </c:pt>
                <c:pt idx="27">
                  <c:v>0.68016963142846776</c:v>
                </c:pt>
                <c:pt idx="28">
                  <c:v>0.67009496302692384</c:v>
                </c:pt>
                <c:pt idx="29">
                  <c:v>0.67128737033250585</c:v>
                </c:pt>
                <c:pt idx="30">
                  <c:v>0.62464839543527995</c:v>
                </c:pt>
                <c:pt idx="31">
                  <c:v>0.66023423163626482</c:v>
                </c:pt>
                <c:pt idx="32">
                  <c:v>0.65154604092661816</c:v>
                </c:pt>
                <c:pt idx="33">
                  <c:v>0.63238902579724066</c:v>
                </c:pt>
                <c:pt idx="34">
                  <c:v>0.63566228806439307</c:v>
                </c:pt>
                <c:pt idx="35">
                  <c:v>0.62258842640418577</c:v>
                </c:pt>
                <c:pt idx="36">
                  <c:v>0.55347943804344202</c:v>
                </c:pt>
                <c:pt idx="37">
                  <c:v>0.48396826618831151</c:v>
                </c:pt>
                <c:pt idx="38">
                  <c:v>0.49000700418477888</c:v>
                </c:pt>
                <c:pt idx="39">
                  <c:v>0.5336408289625052</c:v>
                </c:pt>
                <c:pt idx="40">
                  <c:v>0.45266137216987923</c:v>
                </c:pt>
                <c:pt idx="41">
                  <c:v>0.33321317402369971</c:v>
                </c:pt>
                <c:pt idx="42">
                  <c:v>0.34955600354958111</c:v>
                </c:pt>
                <c:pt idx="43">
                  <c:v>0.34169750938194848</c:v>
                </c:pt>
                <c:pt idx="44">
                  <c:v>0.32195686994504247</c:v>
                </c:pt>
                <c:pt idx="45">
                  <c:v>0.37786385006645862</c:v>
                </c:pt>
                <c:pt idx="46">
                  <c:v>0.37511740325274678</c:v>
                </c:pt>
                <c:pt idx="47">
                  <c:v>0.33675902420593051</c:v>
                </c:pt>
                <c:pt idx="48">
                  <c:v>0.34346276797727854</c:v>
                </c:pt>
                <c:pt idx="49">
                  <c:v>0.37175018674587468</c:v>
                </c:pt>
                <c:pt idx="50">
                  <c:v>0.34572387089416834</c:v>
                </c:pt>
                <c:pt idx="51">
                  <c:v>0.32889393475552742</c:v>
                </c:pt>
                <c:pt idx="52">
                  <c:v>0.35080288878285931</c:v>
                </c:pt>
                <c:pt idx="53">
                  <c:v>0.44505463289461394</c:v>
                </c:pt>
                <c:pt idx="54">
                  <c:v>0.41047297724908743</c:v>
                </c:pt>
                <c:pt idx="55">
                  <c:v>0.37035861198258357</c:v>
                </c:pt>
                <c:pt idx="56">
                  <c:v>0.35976179451667872</c:v>
                </c:pt>
                <c:pt idx="57">
                  <c:v>0.3848283313044677</c:v>
                </c:pt>
                <c:pt idx="58">
                  <c:v>0.37327315563315355</c:v>
                </c:pt>
                <c:pt idx="59">
                  <c:v>0.36938928435981438</c:v>
                </c:pt>
                <c:pt idx="60">
                  <c:v>0.37494252396798661</c:v>
                </c:pt>
                <c:pt idx="61">
                  <c:v>0.42521967966623969</c:v>
                </c:pt>
                <c:pt idx="62">
                  <c:v>0.46878826086084452</c:v>
                </c:pt>
                <c:pt idx="63">
                  <c:v>0.47462219600982469</c:v>
                </c:pt>
                <c:pt idx="64">
                  <c:v>0.43810287230137596</c:v>
                </c:pt>
                <c:pt idx="65">
                  <c:v>0.46530580120591014</c:v>
                </c:pt>
                <c:pt idx="66">
                  <c:v>0.45256195291150436</c:v>
                </c:pt>
                <c:pt idx="67">
                  <c:v>0.45331354784488248</c:v>
                </c:pt>
                <c:pt idx="68">
                  <c:v>0.39329339534169427</c:v>
                </c:pt>
                <c:pt idx="69">
                  <c:v>0.39112185047395093</c:v>
                </c:pt>
                <c:pt idx="70">
                  <c:v>0.40386870677360293</c:v>
                </c:pt>
                <c:pt idx="71">
                  <c:v>0.41202205424631072</c:v>
                </c:pt>
                <c:pt idx="72">
                  <c:v>0.43091654019394177</c:v>
                </c:pt>
                <c:pt idx="73">
                  <c:v>0.45618928327762964</c:v>
                </c:pt>
                <c:pt idx="74">
                  <c:v>0.43194107444895685</c:v>
                </c:pt>
                <c:pt idx="75">
                  <c:v>0.44081865645781004</c:v>
                </c:pt>
                <c:pt idx="76">
                  <c:v>0.41857864769430814</c:v>
                </c:pt>
                <c:pt idx="77">
                  <c:v>0.41077502827849743</c:v>
                </c:pt>
                <c:pt idx="78">
                  <c:v>0.44050346403637702</c:v>
                </c:pt>
                <c:pt idx="79">
                  <c:v>0.44926803032901491</c:v>
                </c:pt>
                <c:pt idx="80">
                  <c:v>0.47708849775680046</c:v>
                </c:pt>
                <c:pt idx="81">
                  <c:v>0.58059363323970725</c:v>
                </c:pt>
                <c:pt idx="82">
                  <c:v>0.60032879942144346</c:v>
                </c:pt>
                <c:pt idx="83">
                  <c:v>0.60800153509598498</c:v>
                </c:pt>
                <c:pt idx="84">
                  <c:v>0.5883838845030166</c:v>
                </c:pt>
                <c:pt idx="85">
                  <c:v>0.61633607476317354</c:v>
                </c:pt>
                <c:pt idx="86">
                  <c:v>0.59214272320698114</c:v>
                </c:pt>
                <c:pt idx="87">
                  <c:v>0.59579283793310267</c:v>
                </c:pt>
                <c:pt idx="88">
                  <c:v>0.60910971908404166</c:v>
                </c:pt>
                <c:pt idx="89">
                  <c:v>0.58668297691066573</c:v>
                </c:pt>
                <c:pt idx="90">
                  <c:v>0.51300786789356734</c:v>
                </c:pt>
                <c:pt idx="91">
                  <c:v>0.51139308312155862</c:v>
                </c:pt>
                <c:pt idx="92">
                  <c:v>0.54282999314444458</c:v>
                </c:pt>
                <c:pt idx="93">
                  <c:v>0.52398591022968188</c:v>
                </c:pt>
                <c:pt idx="94">
                  <c:v>0.51986262740396261</c:v>
                </c:pt>
                <c:pt idx="95">
                  <c:v>0.5306420772605388</c:v>
                </c:pt>
                <c:pt idx="96">
                  <c:v>0.5316437409106145</c:v>
                </c:pt>
                <c:pt idx="97">
                  <c:v>0.52404787593338631</c:v>
                </c:pt>
                <c:pt idx="98">
                  <c:v>0.55168187593967444</c:v>
                </c:pt>
                <c:pt idx="99">
                  <c:v>0.5641032084343468</c:v>
                </c:pt>
                <c:pt idx="100">
                  <c:v>0.53806840780133736</c:v>
                </c:pt>
                <c:pt idx="101">
                  <c:v>0.5190235237203088</c:v>
                </c:pt>
                <c:pt idx="102">
                  <c:v>0.51833156261583813</c:v>
                </c:pt>
                <c:pt idx="103">
                  <c:v>0.52466533113562652</c:v>
                </c:pt>
                <c:pt idx="104">
                  <c:v>0.52549948879392872</c:v>
                </c:pt>
                <c:pt idx="105">
                  <c:v>0.53406773005423569</c:v>
                </c:pt>
                <c:pt idx="106">
                  <c:v>0.53760396955072398</c:v>
                </c:pt>
                <c:pt idx="107">
                  <c:v>0.52795861733285132</c:v>
                </c:pt>
                <c:pt idx="108">
                  <c:v>0.53042301685297288</c:v>
                </c:pt>
                <c:pt idx="109">
                  <c:v>0.48656419753240937</c:v>
                </c:pt>
                <c:pt idx="110">
                  <c:v>0.4754939247770309</c:v>
                </c:pt>
                <c:pt idx="111">
                  <c:v>0.481197381410294</c:v>
                </c:pt>
                <c:pt idx="112">
                  <c:v>0.47946390155818064</c:v>
                </c:pt>
                <c:pt idx="113">
                  <c:v>0.49354182591098211</c:v>
                </c:pt>
                <c:pt idx="114">
                  <c:v>0.48680248976674589</c:v>
                </c:pt>
                <c:pt idx="115">
                  <c:v>0.55945453691038705</c:v>
                </c:pt>
                <c:pt idx="116">
                  <c:v>0.54143722407026051</c:v>
                </c:pt>
                <c:pt idx="117">
                  <c:v>0.54421435353001468</c:v>
                </c:pt>
                <c:pt idx="118">
                  <c:v>0.55889029618365726</c:v>
                </c:pt>
                <c:pt idx="119">
                  <c:v>0.56125183445954707</c:v>
                </c:pt>
                <c:pt idx="120">
                  <c:v>0.56255051665164257</c:v>
                </c:pt>
                <c:pt idx="121">
                  <c:v>0.57940596428777169</c:v>
                </c:pt>
                <c:pt idx="122">
                  <c:v>0.57004717901129076</c:v>
                </c:pt>
                <c:pt idx="123">
                  <c:v>0.54540827638894362</c:v>
                </c:pt>
                <c:pt idx="124">
                  <c:v>0.5482581851340862</c:v>
                </c:pt>
                <c:pt idx="125">
                  <c:v>0.54576058934297556</c:v>
                </c:pt>
                <c:pt idx="126">
                  <c:v>0.53953868894969692</c:v>
                </c:pt>
                <c:pt idx="127">
                  <c:v>0.53379100983958383</c:v>
                </c:pt>
                <c:pt idx="128">
                  <c:v>0.54349216528648148</c:v>
                </c:pt>
                <c:pt idx="129">
                  <c:v>0.52624521575631145</c:v>
                </c:pt>
                <c:pt idx="130">
                  <c:v>0.52871360630763942</c:v>
                </c:pt>
                <c:pt idx="131">
                  <c:v>0.5334771246602571</c:v>
                </c:pt>
                <c:pt idx="132">
                  <c:v>0.53245803438863615</c:v>
                </c:pt>
                <c:pt idx="133">
                  <c:v>0.52894864863486435</c:v>
                </c:pt>
                <c:pt idx="134">
                  <c:v>0.56024860770676588</c:v>
                </c:pt>
                <c:pt idx="135">
                  <c:v>0.54791924298225003</c:v>
                </c:pt>
                <c:pt idx="136">
                  <c:v>0.53897523136656433</c:v>
                </c:pt>
                <c:pt idx="137">
                  <c:v>0.54290399575656423</c:v>
                </c:pt>
                <c:pt idx="138">
                  <c:v>0.53284048176999665</c:v>
                </c:pt>
                <c:pt idx="139">
                  <c:v>0.53370863427732884</c:v>
                </c:pt>
                <c:pt idx="140">
                  <c:v>0.53151195333512213</c:v>
                </c:pt>
                <c:pt idx="141">
                  <c:v>0.52944824920174549</c:v>
                </c:pt>
                <c:pt idx="142">
                  <c:v>0.52849000838246252</c:v>
                </c:pt>
                <c:pt idx="143">
                  <c:v>0.53235513440780891</c:v>
                </c:pt>
                <c:pt idx="144">
                  <c:v>0.52812336789526104</c:v>
                </c:pt>
                <c:pt idx="145">
                  <c:v>0.51492981253603098</c:v>
                </c:pt>
                <c:pt idx="146">
                  <c:v>0.51313276425397758</c:v>
                </c:pt>
                <c:pt idx="147">
                  <c:v>0.49478625974236451</c:v>
                </c:pt>
                <c:pt idx="148">
                  <c:v>0.50278820962561821</c:v>
                </c:pt>
                <c:pt idx="149">
                  <c:v>0.50796330624398023</c:v>
                </c:pt>
                <c:pt idx="150">
                  <c:v>0.53156059655292009</c:v>
                </c:pt>
                <c:pt idx="151">
                  <c:v>0.51857770801472702</c:v>
                </c:pt>
                <c:pt idx="152">
                  <c:v>0.51551848757054108</c:v>
                </c:pt>
                <c:pt idx="153">
                  <c:v>0.51863473526760162</c:v>
                </c:pt>
                <c:pt idx="154">
                  <c:v>0.51754641295784476</c:v>
                </c:pt>
                <c:pt idx="155">
                  <c:v>0.52871857772611297</c:v>
                </c:pt>
                <c:pt idx="156">
                  <c:v>0.5353987505424489</c:v>
                </c:pt>
                <c:pt idx="157">
                  <c:v>0.53124513335457768</c:v>
                </c:pt>
                <c:pt idx="158">
                  <c:v>0.52677695510461164</c:v>
                </c:pt>
                <c:pt idx="159">
                  <c:v>0.51988254925806054</c:v>
                </c:pt>
                <c:pt idx="160">
                  <c:v>0.5143448214522911</c:v>
                </c:pt>
                <c:pt idx="161">
                  <c:v>0.52050922040343184</c:v>
                </c:pt>
                <c:pt idx="162">
                  <c:v>0.51958548276914807</c:v>
                </c:pt>
                <c:pt idx="163">
                  <c:v>0.52231111402551689</c:v>
                </c:pt>
                <c:pt idx="164">
                  <c:v>0.52129199782885027</c:v>
                </c:pt>
                <c:pt idx="165">
                  <c:v>0.52230104916065012</c:v>
                </c:pt>
                <c:pt idx="166">
                  <c:v>0.52293877759413709</c:v>
                </c:pt>
                <c:pt idx="167">
                  <c:v>0.54335438517233858</c:v>
                </c:pt>
                <c:pt idx="168">
                  <c:v>0.53128492490178403</c:v>
                </c:pt>
                <c:pt idx="169">
                  <c:v>0.53273389187359532</c:v>
                </c:pt>
                <c:pt idx="170">
                  <c:v>0.53444509672173202</c:v>
                </c:pt>
                <c:pt idx="171">
                  <c:v>0.52652398236985143</c:v>
                </c:pt>
                <c:pt idx="172">
                  <c:v>0.52354933663207759</c:v>
                </c:pt>
                <c:pt idx="173">
                  <c:v>0.51814865432331714</c:v>
                </c:pt>
                <c:pt idx="174">
                  <c:v>0.51704623253375026</c:v>
                </c:pt>
                <c:pt idx="175">
                  <c:v>0.51524891809099704</c:v>
                </c:pt>
                <c:pt idx="176">
                  <c:v>0.51707611268058062</c:v>
                </c:pt>
                <c:pt idx="177">
                  <c:v>0.51801948662687136</c:v>
                </c:pt>
                <c:pt idx="178">
                  <c:v>0.51704641993245704</c:v>
                </c:pt>
                <c:pt idx="179">
                  <c:v>0.51714554537472857</c:v>
                </c:pt>
                <c:pt idx="180">
                  <c:v>0.51343766512395339</c:v>
                </c:pt>
                <c:pt idx="181">
                  <c:v>0.51523557245368334</c:v>
                </c:pt>
                <c:pt idx="182">
                  <c:v>0.51293773928948661</c:v>
                </c:pt>
                <c:pt idx="183">
                  <c:v>0.51661951046961863</c:v>
                </c:pt>
                <c:pt idx="184">
                  <c:v>0.51350299293461676</c:v>
                </c:pt>
                <c:pt idx="185">
                  <c:v>0.51378005637127033</c:v>
                </c:pt>
                <c:pt idx="186">
                  <c:v>0.51255331582546904</c:v>
                </c:pt>
                <c:pt idx="187">
                  <c:v>0.51384985075305822</c:v>
                </c:pt>
                <c:pt idx="188">
                  <c:v>0.51032229324079348</c:v>
                </c:pt>
                <c:pt idx="189">
                  <c:v>0.50309812265602183</c:v>
                </c:pt>
                <c:pt idx="190">
                  <c:v>0.50504794615503679</c:v>
                </c:pt>
                <c:pt idx="191">
                  <c:v>0.5084066176020583</c:v>
                </c:pt>
                <c:pt idx="192">
                  <c:v>0.50377057836520223</c:v>
                </c:pt>
                <c:pt idx="193">
                  <c:v>0.49106534581187389</c:v>
                </c:pt>
                <c:pt idx="194">
                  <c:v>0.48972433125204479</c:v>
                </c:pt>
                <c:pt idx="195">
                  <c:v>0.48116991580313351</c:v>
                </c:pt>
                <c:pt idx="196">
                  <c:v>0.47864825670680611</c:v>
                </c:pt>
                <c:pt idx="197">
                  <c:v>0.48306541454934904</c:v>
                </c:pt>
                <c:pt idx="198">
                  <c:v>0.48875920286038715</c:v>
                </c:pt>
                <c:pt idx="199">
                  <c:v>0.48180460652000473</c:v>
                </c:pt>
                <c:pt idx="200">
                  <c:v>0.47436027797535057</c:v>
                </c:pt>
                <c:pt idx="201">
                  <c:v>0.46010440577084083</c:v>
                </c:pt>
                <c:pt idx="202">
                  <c:v>0.45867539209274677</c:v>
                </c:pt>
                <c:pt idx="203">
                  <c:v>0.43029439982822648</c:v>
                </c:pt>
                <c:pt idx="204">
                  <c:v>0.43577396557367809</c:v>
                </c:pt>
                <c:pt idx="205">
                  <c:v>0.44938380676563511</c:v>
                </c:pt>
                <c:pt idx="206">
                  <c:v>0.44134185137676502</c:v>
                </c:pt>
                <c:pt idx="207">
                  <c:v>0.4303304456512671</c:v>
                </c:pt>
                <c:pt idx="208">
                  <c:v>0.421328416356823</c:v>
                </c:pt>
                <c:pt idx="209">
                  <c:v>0.42083814177409851</c:v>
                </c:pt>
                <c:pt idx="210">
                  <c:v>0.42851216943414666</c:v>
                </c:pt>
                <c:pt idx="211">
                  <c:v>0.43499335382972709</c:v>
                </c:pt>
                <c:pt idx="212">
                  <c:v>0.43937602588993369</c:v>
                </c:pt>
                <c:pt idx="213">
                  <c:v>0.44208124415460587</c:v>
                </c:pt>
                <c:pt idx="214">
                  <c:v>0.43529759874334817</c:v>
                </c:pt>
                <c:pt idx="215">
                  <c:v>0.42315525800584441</c:v>
                </c:pt>
                <c:pt idx="216">
                  <c:v>0.4255312960811713</c:v>
                </c:pt>
                <c:pt idx="217">
                  <c:v>0.42298451111419183</c:v>
                </c:pt>
                <c:pt idx="218">
                  <c:v>0.42070205642103758</c:v>
                </c:pt>
                <c:pt idx="219">
                  <c:v>0.4241958744230156</c:v>
                </c:pt>
                <c:pt idx="220">
                  <c:v>0.41677705385300856</c:v>
                </c:pt>
                <c:pt idx="221">
                  <c:v>0.43486113356173167</c:v>
                </c:pt>
                <c:pt idx="222">
                  <c:v>0.4310455635560782</c:v>
                </c:pt>
                <c:pt idx="223">
                  <c:v>0.42171968755390965</c:v>
                </c:pt>
                <c:pt idx="224">
                  <c:v>0.42297344716372315</c:v>
                </c:pt>
                <c:pt idx="225">
                  <c:v>0.41653797828551242</c:v>
                </c:pt>
                <c:pt idx="226">
                  <c:v>0.41460037799313676</c:v>
                </c:pt>
                <c:pt idx="227">
                  <c:v>0.40333986773943881</c:v>
                </c:pt>
                <c:pt idx="228">
                  <c:v>0.39477407033051642</c:v>
                </c:pt>
                <c:pt idx="229">
                  <c:v>0.39725836927514968</c:v>
                </c:pt>
                <c:pt idx="230">
                  <c:v>0.37168588925763762</c:v>
                </c:pt>
                <c:pt idx="231">
                  <c:v>0.37580914544838273</c:v>
                </c:pt>
                <c:pt idx="232">
                  <c:v>0.38105737705264031</c:v>
                </c:pt>
                <c:pt idx="233">
                  <c:v>0.37767915464821877</c:v>
                </c:pt>
                <c:pt idx="234">
                  <c:v>0.34424821766203034</c:v>
                </c:pt>
                <c:pt idx="235">
                  <c:v>0.33470006193062685</c:v>
                </c:pt>
                <c:pt idx="236">
                  <c:v>0.32545182598956202</c:v>
                </c:pt>
                <c:pt idx="237">
                  <c:v>0.33298173133196074</c:v>
                </c:pt>
                <c:pt idx="238">
                  <c:v>0.34409596168932272</c:v>
                </c:pt>
                <c:pt idx="239">
                  <c:v>0.33325760951959787</c:v>
                </c:pt>
                <c:pt idx="240">
                  <c:v>0.3472929237980884</c:v>
                </c:pt>
                <c:pt idx="241">
                  <c:v>0.34602228368305615</c:v>
                </c:pt>
                <c:pt idx="242">
                  <c:v>0.34070822165415576</c:v>
                </c:pt>
                <c:pt idx="243">
                  <c:v>0.33408018328635264</c:v>
                </c:pt>
                <c:pt idx="244">
                  <c:v>0.33103024363708572</c:v>
                </c:pt>
                <c:pt idx="245">
                  <c:v>0.33103024363708572</c:v>
                </c:pt>
                <c:pt idx="246">
                  <c:v>0.33139035451476095</c:v>
                </c:pt>
                <c:pt idx="247">
                  <c:v>0.33748641720741823</c:v>
                </c:pt>
                <c:pt idx="248">
                  <c:v>0.32517632676891045</c:v>
                </c:pt>
                <c:pt idx="249">
                  <c:v>0.31727829696121518</c:v>
                </c:pt>
                <c:pt idx="250">
                  <c:v>0.31158345670734833</c:v>
                </c:pt>
                <c:pt idx="251">
                  <c:v>0.28677405031137365</c:v>
                </c:pt>
                <c:pt idx="252">
                  <c:v>0.27693093093096899</c:v>
                </c:pt>
                <c:pt idx="253">
                  <c:v>0.27661287148409552</c:v>
                </c:pt>
                <c:pt idx="254">
                  <c:v>0.27922694028969591</c:v>
                </c:pt>
                <c:pt idx="255">
                  <c:v>0.27958774603531378</c:v>
                </c:pt>
                <c:pt idx="256">
                  <c:v>0.27374389941118599</c:v>
                </c:pt>
                <c:pt idx="257">
                  <c:v>0.27479289504780291</c:v>
                </c:pt>
                <c:pt idx="258">
                  <c:v>0.27466305624668141</c:v>
                </c:pt>
                <c:pt idx="259">
                  <c:v>0.26759227832024984</c:v>
                </c:pt>
                <c:pt idx="260">
                  <c:v>0.26499881163107586</c:v>
                </c:pt>
                <c:pt idx="261">
                  <c:v>0.26242237306885036</c:v>
                </c:pt>
                <c:pt idx="262">
                  <c:v>0.25347018338239435</c:v>
                </c:pt>
                <c:pt idx="263">
                  <c:v>0.25046490193471493</c:v>
                </c:pt>
                <c:pt idx="264">
                  <c:v>0.23147472564894184</c:v>
                </c:pt>
                <c:pt idx="265">
                  <c:v>0.23248771008838409</c:v>
                </c:pt>
                <c:pt idx="266">
                  <c:v>0.22339830276692099</c:v>
                </c:pt>
                <c:pt idx="267">
                  <c:v>0.22294056062369821</c:v>
                </c:pt>
                <c:pt idx="268">
                  <c:v>0.31828569721327421</c:v>
                </c:pt>
                <c:pt idx="269">
                  <c:v>0.24940180179636484</c:v>
                </c:pt>
                <c:pt idx="270">
                  <c:v>0.25402316631997424</c:v>
                </c:pt>
                <c:pt idx="271">
                  <c:v>0.25680649757839302</c:v>
                </c:pt>
                <c:pt idx="272">
                  <c:v>0.24904428461500522</c:v>
                </c:pt>
                <c:pt idx="273">
                  <c:v>0.23628026481805381</c:v>
                </c:pt>
                <c:pt idx="274">
                  <c:v>0.2380593219495743</c:v>
                </c:pt>
                <c:pt idx="275">
                  <c:v>0.23604778755981573</c:v>
                </c:pt>
                <c:pt idx="276">
                  <c:v>0.22841612368924058</c:v>
                </c:pt>
                <c:pt idx="277">
                  <c:v>0.22863352589046956</c:v>
                </c:pt>
                <c:pt idx="278">
                  <c:v>0.22913726661631087</c:v>
                </c:pt>
                <c:pt idx="279">
                  <c:v>0.23223447240054015</c:v>
                </c:pt>
                <c:pt idx="280">
                  <c:v>0.24691942821087501</c:v>
                </c:pt>
                <c:pt idx="281">
                  <c:v>0.25193985128424051</c:v>
                </c:pt>
                <c:pt idx="282">
                  <c:v>0.24580348132083296</c:v>
                </c:pt>
                <c:pt idx="283">
                  <c:v>0.23824846079918902</c:v>
                </c:pt>
                <c:pt idx="284">
                  <c:v>0.24155895927714341</c:v>
                </c:pt>
                <c:pt idx="285">
                  <c:v>0.22814648029041296</c:v>
                </c:pt>
                <c:pt idx="286">
                  <c:v>0.22429448780078021</c:v>
                </c:pt>
                <c:pt idx="287">
                  <c:v>0.22813738699450634</c:v>
                </c:pt>
                <c:pt idx="288">
                  <c:v>0.22734104128150179</c:v>
                </c:pt>
                <c:pt idx="289">
                  <c:v>0.22770621513435496</c:v>
                </c:pt>
                <c:pt idx="290">
                  <c:v>0.2245222560913748</c:v>
                </c:pt>
                <c:pt idx="291">
                  <c:v>0.22120453884762994</c:v>
                </c:pt>
                <c:pt idx="292">
                  <c:v>0.22051344457128377</c:v>
                </c:pt>
                <c:pt idx="293">
                  <c:v>0.21982657037662706</c:v>
                </c:pt>
                <c:pt idx="294">
                  <c:v>0.2145112050252658</c:v>
                </c:pt>
                <c:pt idx="295">
                  <c:v>0.2130607917170349</c:v>
                </c:pt>
                <c:pt idx="296">
                  <c:v>0.21092172792430372</c:v>
                </c:pt>
                <c:pt idx="297">
                  <c:v>0.21056939020841361</c:v>
                </c:pt>
                <c:pt idx="298">
                  <c:v>0.20442397367423534</c:v>
                </c:pt>
                <c:pt idx="299">
                  <c:v>0.19945425114095369</c:v>
                </c:pt>
                <c:pt idx="300">
                  <c:v>0.20435785116326124</c:v>
                </c:pt>
                <c:pt idx="301">
                  <c:v>0.2030189447956994</c:v>
                </c:pt>
                <c:pt idx="302">
                  <c:v>0.20516397727304589</c:v>
                </c:pt>
                <c:pt idx="303">
                  <c:v>0.20590756041381197</c:v>
                </c:pt>
                <c:pt idx="304">
                  <c:v>0.20748429371283714</c:v>
                </c:pt>
                <c:pt idx="305">
                  <c:v>0.20584561576150229</c:v>
                </c:pt>
                <c:pt idx="306">
                  <c:v>0.20462940289951206</c:v>
                </c:pt>
                <c:pt idx="307">
                  <c:v>0.20398717662697122</c:v>
                </c:pt>
                <c:pt idx="308">
                  <c:v>0.20264493921358201</c:v>
                </c:pt>
                <c:pt idx="309">
                  <c:v>0.2030990922858939</c:v>
                </c:pt>
                <c:pt idx="310">
                  <c:v>0.20249888351648809</c:v>
                </c:pt>
                <c:pt idx="311">
                  <c:v>0.20249888351648809</c:v>
                </c:pt>
                <c:pt idx="312">
                  <c:v>0.19560760252116541</c:v>
                </c:pt>
                <c:pt idx="313">
                  <c:v>0.1948884929675207</c:v>
                </c:pt>
                <c:pt idx="314">
                  <c:v>0.19546344988358347</c:v>
                </c:pt>
                <c:pt idx="315">
                  <c:v>0.19782871401397314</c:v>
                </c:pt>
                <c:pt idx="316">
                  <c:v>0.20043748251460164</c:v>
                </c:pt>
                <c:pt idx="317">
                  <c:v>0.21122856145374916</c:v>
                </c:pt>
                <c:pt idx="318">
                  <c:v>0.21156468486631352</c:v>
                </c:pt>
                <c:pt idx="319">
                  <c:v>0.209690967172774</c:v>
                </c:pt>
                <c:pt idx="320">
                  <c:v>0.20618287869059371</c:v>
                </c:pt>
                <c:pt idx="321">
                  <c:v>0.20750297837205761</c:v>
                </c:pt>
                <c:pt idx="322">
                  <c:v>0.20794693606782566</c:v>
                </c:pt>
                <c:pt idx="323">
                  <c:v>0.21003249883729605</c:v>
                </c:pt>
                <c:pt idx="324">
                  <c:v>0.21190211307025242</c:v>
                </c:pt>
                <c:pt idx="325">
                  <c:v>0.21030190714932601</c:v>
                </c:pt>
                <c:pt idx="326">
                  <c:v>0.21012268661064129</c:v>
                </c:pt>
                <c:pt idx="327">
                  <c:v>0.21076243155236793</c:v>
                </c:pt>
                <c:pt idx="328">
                  <c:v>0.20869761364344969</c:v>
                </c:pt>
                <c:pt idx="329">
                  <c:v>0.21189676412939387</c:v>
                </c:pt>
                <c:pt idx="330">
                  <c:v>0.21189969718610294</c:v>
                </c:pt>
                <c:pt idx="331">
                  <c:v>0.2135102277794439</c:v>
                </c:pt>
                <c:pt idx="332">
                  <c:v>0.21233987791662581</c:v>
                </c:pt>
                <c:pt idx="333">
                  <c:v>0.21322992021629747</c:v>
                </c:pt>
                <c:pt idx="334">
                  <c:v>0.21322992021629747</c:v>
                </c:pt>
                <c:pt idx="335">
                  <c:v>0.22580560063429578</c:v>
                </c:pt>
                <c:pt idx="336">
                  <c:v>0.23827538874343415</c:v>
                </c:pt>
                <c:pt idx="337">
                  <c:v>0.23648765360538196</c:v>
                </c:pt>
                <c:pt idx="338">
                  <c:v>0.22816970186059046</c:v>
                </c:pt>
                <c:pt idx="339">
                  <c:v>0.2299193269625727</c:v>
                </c:pt>
                <c:pt idx="340">
                  <c:v>0.22498443042669114</c:v>
                </c:pt>
                <c:pt idx="341">
                  <c:v>0.21986612611064277</c:v>
                </c:pt>
                <c:pt idx="342">
                  <c:v>0.23110098890599115</c:v>
                </c:pt>
                <c:pt idx="343">
                  <c:v>0.23291683194157187</c:v>
                </c:pt>
                <c:pt idx="344">
                  <c:v>0.2296615406494549</c:v>
                </c:pt>
                <c:pt idx="345">
                  <c:v>0.22693752497910158</c:v>
                </c:pt>
                <c:pt idx="346">
                  <c:v>0.2278316726937232</c:v>
                </c:pt>
                <c:pt idx="347">
                  <c:v>0.22526602343804092</c:v>
                </c:pt>
                <c:pt idx="348">
                  <c:v>0.22487556027707914</c:v>
                </c:pt>
                <c:pt idx="349">
                  <c:v>0.22479190685564479</c:v>
                </c:pt>
                <c:pt idx="350">
                  <c:v>0.22685270070502242</c:v>
                </c:pt>
                <c:pt idx="351">
                  <c:v>0.22558279864163858</c:v>
                </c:pt>
                <c:pt idx="352">
                  <c:v>0.22598126870520349</c:v>
                </c:pt>
                <c:pt idx="353">
                  <c:v>0.22365688389149874</c:v>
                </c:pt>
                <c:pt idx="354">
                  <c:v>0.22459977553392499</c:v>
                </c:pt>
                <c:pt idx="355">
                  <c:v>0.2246197819518152</c:v>
                </c:pt>
                <c:pt idx="356">
                  <c:v>0.22058111471611827</c:v>
                </c:pt>
                <c:pt idx="357">
                  <c:v>0.21263542065455721</c:v>
                </c:pt>
                <c:pt idx="358">
                  <c:v>0.21204921115027126</c:v>
                </c:pt>
                <c:pt idx="359">
                  <c:v>0.21408096967960483</c:v>
                </c:pt>
                <c:pt idx="360">
                  <c:v>0.21177640599537681</c:v>
                </c:pt>
                <c:pt idx="361">
                  <c:v>0.21281310696040906</c:v>
                </c:pt>
                <c:pt idx="362">
                  <c:v>0.21223737554766908</c:v>
                </c:pt>
                <c:pt idx="363">
                  <c:v>0.20368540238289626</c:v>
                </c:pt>
                <c:pt idx="364">
                  <c:v>0.2047163240991268</c:v>
                </c:pt>
                <c:pt idx="365">
                  <c:v>0.20382511341232873</c:v>
                </c:pt>
                <c:pt idx="366">
                  <c:v>0.20294023182130291</c:v>
                </c:pt>
                <c:pt idx="367">
                  <c:v>0.20594988736925773</c:v>
                </c:pt>
                <c:pt idx="368">
                  <c:v>0.20657397225088145</c:v>
                </c:pt>
                <c:pt idx="369">
                  <c:v>0.20477365011002993</c:v>
                </c:pt>
                <c:pt idx="370">
                  <c:v>0.2035477345713311</c:v>
                </c:pt>
                <c:pt idx="371">
                  <c:v>0.20349113734268376</c:v>
                </c:pt>
                <c:pt idx="372">
                  <c:v>0.20349261373409522</c:v>
                </c:pt>
                <c:pt idx="373">
                  <c:v>0.20348047870005517</c:v>
                </c:pt>
                <c:pt idx="374">
                  <c:v>0.20328453807559113</c:v>
                </c:pt>
                <c:pt idx="375">
                  <c:v>0.20388234962341054</c:v>
                </c:pt>
                <c:pt idx="376">
                  <c:v>0.20381649249764325</c:v>
                </c:pt>
                <c:pt idx="377">
                  <c:v>0.20358360419015178</c:v>
                </c:pt>
                <c:pt idx="378">
                  <c:v>0.20430067851168066</c:v>
                </c:pt>
                <c:pt idx="379">
                  <c:v>0.20401314469110773</c:v>
                </c:pt>
                <c:pt idx="380">
                  <c:v>0.20387606889016099</c:v>
                </c:pt>
                <c:pt idx="381">
                  <c:v>0.20403893335427642</c:v>
                </c:pt>
                <c:pt idx="382">
                  <c:v>0.20465342651940602</c:v>
                </c:pt>
                <c:pt idx="383">
                  <c:v>0.20544602893642744</c:v>
                </c:pt>
                <c:pt idx="384">
                  <c:v>0.20545364376975669</c:v>
                </c:pt>
                <c:pt idx="385">
                  <c:v>0.20481374075079406</c:v>
                </c:pt>
                <c:pt idx="386">
                  <c:v>0.20403496685165415</c:v>
                </c:pt>
                <c:pt idx="387">
                  <c:v>0.20280156276668701</c:v>
                </c:pt>
                <c:pt idx="388">
                  <c:v>0.20244523801246012</c:v>
                </c:pt>
                <c:pt idx="389">
                  <c:v>0.20282046987605415</c:v>
                </c:pt>
                <c:pt idx="390">
                  <c:v>0.20521931471534202</c:v>
                </c:pt>
                <c:pt idx="391">
                  <c:v>0.20458336337794147</c:v>
                </c:pt>
                <c:pt idx="392">
                  <c:v>0.20436481345365398</c:v>
                </c:pt>
                <c:pt idx="393">
                  <c:v>0.20317475542144756</c:v>
                </c:pt>
                <c:pt idx="394">
                  <c:v>0.20261126475993402</c:v>
                </c:pt>
                <c:pt idx="395">
                  <c:v>0.20326505646912718</c:v>
                </c:pt>
                <c:pt idx="396">
                  <c:v>0.20296996503589027</c:v>
                </c:pt>
                <c:pt idx="397">
                  <c:v>0.20413419274222647</c:v>
                </c:pt>
                <c:pt idx="398">
                  <c:v>0.20366404216803885</c:v>
                </c:pt>
                <c:pt idx="399">
                  <c:v>0.2036589263214639</c:v>
                </c:pt>
                <c:pt idx="400">
                  <c:v>0.2034403084269264</c:v>
                </c:pt>
                <c:pt idx="401">
                  <c:v>0.20395344848681973</c:v>
                </c:pt>
                <c:pt idx="402">
                  <c:v>0.20456418157596692</c:v>
                </c:pt>
                <c:pt idx="403">
                  <c:v>0.20242954014199224</c:v>
                </c:pt>
                <c:pt idx="404">
                  <c:v>0.20218184507792006</c:v>
                </c:pt>
                <c:pt idx="405">
                  <c:v>0.20338146515308048</c:v>
                </c:pt>
                <c:pt idx="406">
                  <c:v>0.20441858236411714</c:v>
                </c:pt>
                <c:pt idx="407">
                  <c:v>0.20380326828831261</c:v>
                </c:pt>
                <c:pt idx="408">
                  <c:v>0.20394626045697212</c:v>
                </c:pt>
                <c:pt idx="409">
                  <c:v>0.20529834530994923</c:v>
                </c:pt>
                <c:pt idx="410">
                  <c:v>0.20684961999930582</c:v>
                </c:pt>
                <c:pt idx="411">
                  <c:v>0.20712300611722478</c:v>
                </c:pt>
                <c:pt idx="412">
                  <c:v>0.21074933694674369</c:v>
                </c:pt>
                <c:pt idx="413">
                  <c:v>0.21071537846398061</c:v>
                </c:pt>
                <c:pt idx="414">
                  <c:v>0.21183919601909137</c:v>
                </c:pt>
                <c:pt idx="415">
                  <c:v>0.21046040608370922</c:v>
                </c:pt>
                <c:pt idx="416">
                  <c:v>0.2125166292794621</c:v>
                </c:pt>
                <c:pt idx="417">
                  <c:v>0.2119551011681037</c:v>
                </c:pt>
                <c:pt idx="418">
                  <c:v>0.21715632816124697</c:v>
                </c:pt>
                <c:pt idx="419">
                  <c:v>0.22528004843152896</c:v>
                </c:pt>
                <c:pt idx="420">
                  <c:v>0.22798401584331887</c:v>
                </c:pt>
                <c:pt idx="421">
                  <c:v>0.22677573546686411</c:v>
                </c:pt>
                <c:pt idx="422">
                  <c:v>0.2277965821517218</c:v>
                </c:pt>
                <c:pt idx="423">
                  <c:v>0.24139858648572543</c:v>
                </c:pt>
                <c:pt idx="424">
                  <c:v>0.24776084688199482</c:v>
                </c:pt>
                <c:pt idx="425">
                  <c:v>0.2510606574481678</c:v>
                </c:pt>
                <c:pt idx="426">
                  <c:v>0.24169174518472394</c:v>
                </c:pt>
                <c:pt idx="427">
                  <c:v>0.24853034274741842</c:v>
                </c:pt>
                <c:pt idx="428">
                  <c:v>0.2550477833674743</c:v>
                </c:pt>
                <c:pt idx="429">
                  <c:v>0.25418367116007112</c:v>
                </c:pt>
                <c:pt idx="430">
                  <c:v>0.26697947658313398</c:v>
                </c:pt>
                <c:pt idx="431">
                  <c:v>0.27911960675042241</c:v>
                </c:pt>
                <c:pt idx="432">
                  <c:v>0.28182277599293371</c:v>
                </c:pt>
                <c:pt idx="433">
                  <c:v>0.29253541109201225</c:v>
                </c:pt>
                <c:pt idx="434">
                  <c:v>0.29399026787806198</c:v>
                </c:pt>
                <c:pt idx="435">
                  <c:v>0.27976903296725486</c:v>
                </c:pt>
                <c:pt idx="436">
                  <c:v>0.2932415874299949</c:v>
                </c:pt>
                <c:pt idx="437">
                  <c:v>0.29076424786754079</c:v>
                </c:pt>
                <c:pt idx="438">
                  <c:v>0.29335275382325765</c:v>
                </c:pt>
                <c:pt idx="439">
                  <c:v>0.30202385417393329</c:v>
                </c:pt>
                <c:pt idx="440">
                  <c:v>0.31630033788491396</c:v>
                </c:pt>
                <c:pt idx="441">
                  <c:v>0.3242462150126777</c:v>
                </c:pt>
                <c:pt idx="442">
                  <c:v>0.34002033152677547</c:v>
                </c:pt>
                <c:pt idx="443">
                  <c:v>0.34529244822973759</c:v>
                </c:pt>
                <c:pt idx="444">
                  <c:v>0.3561832210420226</c:v>
                </c:pt>
                <c:pt idx="445">
                  <c:v>0.36488293456012549</c:v>
                </c:pt>
                <c:pt idx="446">
                  <c:v>0.34788919689385694</c:v>
                </c:pt>
                <c:pt idx="447">
                  <c:v>0.39354528193224103</c:v>
                </c:pt>
                <c:pt idx="448">
                  <c:v>0.39141418980407999</c:v>
                </c:pt>
                <c:pt idx="449">
                  <c:v>0.39338389387985029</c:v>
                </c:pt>
                <c:pt idx="450">
                  <c:v>0.38654356600512063</c:v>
                </c:pt>
                <c:pt idx="451">
                  <c:v>0.38880055315505907</c:v>
                </c:pt>
                <c:pt idx="452">
                  <c:v>0.42533365851625871</c:v>
                </c:pt>
                <c:pt idx="453">
                  <c:v>0.42919241009285791</c:v>
                </c:pt>
                <c:pt idx="454">
                  <c:v>0.43094486618831307</c:v>
                </c:pt>
                <c:pt idx="455">
                  <c:v>0.43918627562284002</c:v>
                </c:pt>
                <c:pt idx="456">
                  <c:v>0.43155751162847006</c:v>
                </c:pt>
                <c:pt idx="457">
                  <c:v>0.4330676847821619</c:v>
                </c:pt>
                <c:pt idx="458">
                  <c:v>0.44120622813739746</c:v>
                </c:pt>
                <c:pt idx="459">
                  <c:v>0.45210070532069119</c:v>
                </c:pt>
                <c:pt idx="460">
                  <c:v>0.44877615098178542</c:v>
                </c:pt>
                <c:pt idx="461">
                  <c:v>0.48686888467842604</c:v>
                </c:pt>
                <c:pt idx="462">
                  <c:v>0.50523764681775341</c:v>
                </c:pt>
                <c:pt idx="463">
                  <c:v>0.50095172663067944</c:v>
                </c:pt>
                <c:pt idx="464">
                  <c:v>0.50517049551471549</c:v>
                </c:pt>
                <c:pt idx="465">
                  <c:v>0.53199826926224469</c:v>
                </c:pt>
                <c:pt idx="466">
                  <c:v>0.59717936991797071</c:v>
                </c:pt>
                <c:pt idx="467">
                  <c:v>0.60959462447931756</c:v>
                </c:pt>
                <c:pt idx="468">
                  <c:v>0.62717018222079457</c:v>
                </c:pt>
                <c:pt idx="469">
                  <c:v>0.66436256681558914</c:v>
                </c:pt>
                <c:pt idx="470">
                  <c:v>0.71047018977209431</c:v>
                </c:pt>
                <c:pt idx="471">
                  <c:v>0.69403730823894072</c:v>
                </c:pt>
                <c:pt idx="472">
                  <c:v>0.73594701377150717</c:v>
                </c:pt>
                <c:pt idx="473">
                  <c:v>0.65155425797826239</c:v>
                </c:pt>
                <c:pt idx="474">
                  <c:v>0.69474798057693721</c:v>
                </c:pt>
                <c:pt idx="475">
                  <c:v>0.69922486201703749</c:v>
                </c:pt>
                <c:pt idx="476">
                  <c:v>0.69542428520141908</c:v>
                </c:pt>
                <c:pt idx="477">
                  <c:v>0.6962874421630102</c:v>
                </c:pt>
                <c:pt idx="478">
                  <c:v>0.70311222637552562</c:v>
                </c:pt>
                <c:pt idx="479">
                  <c:v>0.76961812290724607</c:v>
                </c:pt>
                <c:pt idx="480">
                  <c:v>0.88565186134416751</c:v>
                </c:pt>
                <c:pt idx="481">
                  <c:v>0.97856167084783285</c:v>
                </c:pt>
                <c:pt idx="482">
                  <c:v>1.0910393734668067</c:v>
                </c:pt>
                <c:pt idx="483">
                  <c:v>1.0713554846528703</c:v>
                </c:pt>
                <c:pt idx="484">
                  <c:v>0.95650591048448719</c:v>
                </c:pt>
                <c:pt idx="485">
                  <c:v>1.0714055807982623</c:v>
                </c:pt>
                <c:pt idx="486">
                  <c:v>1.1096434964712643</c:v>
                </c:pt>
                <c:pt idx="487">
                  <c:v>1.19628155705058</c:v>
                </c:pt>
                <c:pt idx="488">
                  <c:v>1.3734252326114749</c:v>
                </c:pt>
                <c:pt idx="489">
                  <c:v>1.3165376149163479</c:v>
                </c:pt>
                <c:pt idx="490">
                  <c:v>1.3950703556191397</c:v>
                </c:pt>
                <c:pt idx="491">
                  <c:v>1.427765323370493</c:v>
                </c:pt>
                <c:pt idx="492">
                  <c:v>1.4438753185176689</c:v>
                </c:pt>
                <c:pt idx="493">
                  <c:v>1.6316020940774214</c:v>
                </c:pt>
                <c:pt idx="494">
                  <c:v>1.8726861029233286</c:v>
                </c:pt>
                <c:pt idx="495">
                  <c:v>2.1764584994243754</c:v>
                </c:pt>
                <c:pt idx="496">
                  <c:v>2.1171966890236043</c:v>
                </c:pt>
                <c:pt idx="497">
                  <c:v>2.3067966799822823</c:v>
                </c:pt>
                <c:pt idx="498">
                  <c:v>2.313008813875109</c:v>
                </c:pt>
                <c:pt idx="499">
                  <c:v>2.6549829029748024</c:v>
                </c:pt>
                <c:pt idx="500">
                  <c:v>3.0940394046705784</c:v>
                </c:pt>
                <c:pt idx="501">
                  <c:v>3.813601149143834</c:v>
                </c:pt>
                <c:pt idx="502">
                  <c:v>1.9781231412877311</c:v>
                </c:pt>
                <c:pt idx="503">
                  <c:v>1.3492492021913987</c:v>
                </c:pt>
                <c:pt idx="504">
                  <c:v>1.452599420270404</c:v>
                </c:pt>
                <c:pt idx="505">
                  <c:v>1.2131145708914544</c:v>
                </c:pt>
                <c:pt idx="506">
                  <c:v>1.1923681007600908</c:v>
                </c:pt>
                <c:pt idx="507">
                  <c:v>1.1559610020781346</c:v>
                </c:pt>
                <c:pt idx="508">
                  <c:v>1.1113891950931676</c:v>
                </c:pt>
                <c:pt idx="509">
                  <c:v>1.1024232037365946</c:v>
                </c:pt>
                <c:pt idx="510">
                  <c:v>1.1706203072275922</c:v>
                </c:pt>
                <c:pt idx="511">
                  <c:v>1.2306464562282085</c:v>
                </c:pt>
                <c:pt idx="512">
                  <c:v>1.2905434498027775</c:v>
                </c:pt>
                <c:pt idx="513">
                  <c:v>1.2238337530224972</c:v>
                </c:pt>
                <c:pt idx="514">
                  <c:v>1.2806749094166128</c:v>
                </c:pt>
                <c:pt idx="515">
                  <c:v>1.404688395973253</c:v>
                </c:pt>
                <c:pt idx="516">
                  <c:v>1.4981615761187819</c:v>
                </c:pt>
                <c:pt idx="517">
                  <c:v>1.3680361636566778</c:v>
                </c:pt>
                <c:pt idx="518">
                  <c:v>1.3280976996663483</c:v>
                </c:pt>
                <c:pt idx="519">
                  <c:v>1.2513691490855205</c:v>
                </c:pt>
                <c:pt idx="520">
                  <c:v>1.2946518675683176</c:v>
                </c:pt>
                <c:pt idx="521">
                  <c:v>1.3008534186488228</c:v>
                </c:pt>
                <c:pt idx="522">
                  <c:v>1.3515628514685536</c:v>
                </c:pt>
                <c:pt idx="523">
                  <c:v>1.3011679009915409</c:v>
                </c:pt>
                <c:pt idx="524">
                  <c:v>1.206314025816807</c:v>
                </c:pt>
                <c:pt idx="525">
                  <c:v>1.1540250702178465</c:v>
                </c:pt>
                <c:pt idx="526">
                  <c:v>1.116699332083551</c:v>
                </c:pt>
                <c:pt idx="527">
                  <c:v>1.2299169178722555</c:v>
                </c:pt>
                <c:pt idx="528">
                  <c:v>1.2624061237381077</c:v>
                </c:pt>
                <c:pt idx="529">
                  <c:v>1.2700755946932871</c:v>
                </c:pt>
                <c:pt idx="530">
                  <c:v>1.2035989876872886</c:v>
                </c:pt>
                <c:pt idx="531">
                  <c:v>1.2378440195578515</c:v>
                </c:pt>
                <c:pt idx="532">
                  <c:v>1.2396849205774556</c:v>
                </c:pt>
                <c:pt idx="533">
                  <c:v>1.2732784048248464</c:v>
                </c:pt>
                <c:pt idx="534">
                  <c:v>1.2370756577704156</c:v>
                </c:pt>
                <c:pt idx="535">
                  <c:v>1.2456487743564355</c:v>
                </c:pt>
                <c:pt idx="536">
                  <c:v>1.2602527289901355</c:v>
                </c:pt>
                <c:pt idx="537">
                  <c:v>1.2492181635536532</c:v>
                </c:pt>
                <c:pt idx="538">
                  <c:v>1.2478099572938188</c:v>
                </c:pt>
                <c:pt idx="539">
                  <c:v>1.2545880294774869</c:v>
                </c:pt>
                <c:pt idx="540">
                  <c:v>1.2977216480037772</c:v>
                </c:pt>
                <c:pt idx="541">
                  <c:v>1.3022718865980119</c:v>
                </c:pt>
                <c:pt idx="542">
                  <c:v>1.2835364914764291</c:v>
                </c:pt>
                <c:pt idx="543">
                  <c:v>1.2956592737982975</c:v>
                </c:pt>
                <c:pt idx="544">
                  <c:v>1.2975379334914681</c:v>
                </c:pt>
                <c:pt idx="545">
                  <c:v>1.2981253878984769</c:v>
                </c:pt>
                <c:pt idx="546">
                  <c:v>1.316357616503306</c:v>
                </c:pt>
                <c:pt idx="547">
                  <c:v>1.354592388979639</c:v>
                </c:pt>
                <c:pt idx="548">
                  <c:v>1.3488238464758808</c:v>
                </c:pt>
                <c:pt idx="549">
                  <c:v>1.3718060459893466</c:v>
                </c:pt>
                <c:pt idx="550">
                  <c:v>1.336047001448186</c:v>
                </c:pt>
                <c:pt idx="551">
                  <c:v>1.3370764276048874</c:v>
                </c:pt>
                <c:pt idx="552">
                  <c:v>1.3549580388086435</c:v>
                </c:pt>
                <c:pt idx="553">
                  <c:v>1.3291541017578918</c:v>
                </c:pt>
                <c:pt idx="554">
                  <c:v>1.3327548639075111</c:v>
                </c:pt>
                <c:pt idx="555">
                  <c:v>1.3396170627014219</c:v>
                </c:pt>
                <c:pt idx="556">
                  <c:v>1.3074814298342317</c:v>
                </c:pt>
                <c:pt idx="557">
                  <c:v>1.306842284082411</c:v>
                </c:pt>
                <c:pt idx="558">
                  <c:v>1.3074418624475497</c:v>
                </c:pt>
                <c:pt idx="559">
                  <c:v>1.3090669112356317</c:v>
                </c:pt>
                <c:pt idx="560">
                  <c:v>1.3007046160275086</c:v>
                </c:pt>
                <c:pt idx="561">
                  <c:v>1.2809552677829315</c:v>
                </c:pt>
                <c:pt idx="562">
                  <c:v>1.278076523807679</c:v>
                </c:pt>
                <c:pt idx="563">
                  <c:v>1.3831320429246312</c:v>
                </c:pt>
                <c:pt idx="564">
                  <c:v>1.3911109668858084</c:v>
                </c:pt>
                <c:pt idx="565">
                  <c:v>1.3980941224946244</c:v>
                </c:pt>
                <c:pt idx="566">
                  <c:v>1.3971639792223414</c:v>
                </c:pt>
                <c:pt idx="567">
                  <c:v>1.4661466650309245</c:v>
                </c:pt>
                <c:pt idx="568">
                  <c:v>1.5278573561702604</c:v>
                </c:pt>
                <c:pt idx="569">
                  <c:v>1.5070535272330303</c:v>
                </c:pt>
                <c:pt idx="570">
                  <c:v>1.5009375035600601</c:v>
                </c:pt>
                <c:pt idx="571">
                  <c:v>1.4789025689542847</c:v>
                </c:pt>
                <c:pt idx="572">
                  <c:v>1.4219954199723983</c:v>
                </c:pt>
                <c:pt idx="573">
                  <c:v>1.4059637101402473</c:v>
                </c:pt>
                <c:pt idx="574">
                  <c:v>1.3715810698524351</c:v>
                </c:pt>
                <c:pt idx="575">
                  <c:v>1.3952584496898441</c:v>
                </c:pt>
                <c:pt idx="576">
                  <c:v>1.4191675143299061</c:v>
                </c:pt>
                <c:pt idx="577">
                  <c:v>1.4098271587315088</c:v>
                </c:pt>
                <c:pt idx="578">
                  <c:v>1.4823068312809573</c:v>
                </c:pt>
                <c:pt idx="579">
                  <c:v>1.4653983783057547</c:v>
                </c:pt>
                <c:pt idx="580">
                  <c:v>1.4694416777702874</c:v>
                </c:pt>
                <c:pt idx="581">
                  <c:v>1.5215650546141855</c:v>
                </c:pt>
                <c:pt idx="582">
                  <c:v>1.6193549269140246</c:v>
                </c:pt>
                <c:pt idx="583">
                  <c:v>1.5862504354756859</c:v>
                </c:pt>
                <c:pt idx="584">
                  <c:v>1.5536334871009345</c:v>
                </c:pt>
                <c:pt idx="585">
                  <c:v>1.698517143928425</c:v>
                </c:pt>
                <c:pt idx="586">
                  <c:v>1.6786362129926642</c:v>
                </c:pt>
                <c:pt idx="587">
                  <c:v>1.9089875545854242</c:v>
                </c:pt>
                <c:pt idx="588">
                  <c:v>1.9153143963422621</c:v>
                </c:pt>
                <c:pt idx="589">
                  <c:v>2.214671517771321</c:v>
                </c:pt>
                <c:pt idx="590">
                  <c:v>2.20740478054296</c:v>
                </c:pt>
                <c:pt idx="591">
                  <c:v>2.0115661889843719</c:v>
                </c:pt>
                <c:pt idx="592">
                  <c:v>2.0366065551270767</c:v>
                </c:pt>
                <c:pt idx="593">
                  <c:v>2.0228246321897476</c:v>
                </c:pt>
                <c:pt idx="594">
                  <c:v>1.8724369196368362</c:v>
                </c:pt>
                <c:pt idx="595">
                  <c:v>1.7490389860596436</c:v>
                </c:pt>
                <c:pt idx="596">
                  <c:v>1.8466357157265199</c:v>
                </c:pt>
                <c:pt idx="597">
                  <c:v>1.73515098309338</c:v>
                </c:pt>
                <c:pt idx="598">
                  <c:v>1.7575370051885097</c:v>
                </c:pt>
                <c:pt idx="599">
                  <c:v>1.7582696543188838</c:v>
                </c:pt>
                <c:pt idx="600">
                  <c:v>1.73538220322961</c:v>
                </c:pt>
                <c:pt idx="601">
                  <c:v>1.7532952019022703</c:v>
                </c:pt>
                <c:pt idx="602">
                  <c:v>1.9136903617504362</c:v>
                </c:pt>
                <c:pt idx="603">
                  <c:v>1.8663991654294012</c:v>
                </c:pt>
                <c:pt idx="604">
                  <c:v>1.9095784936092892</c:v>
                </c:pt>
                <c:pt idx="605">
                  <c:v>1.8909118313489723</c:v>
                </c:pt>
                <c:pt idx="606">
                  <c:v>1.868541756455216</c:v>
                </c:pt>
                <c:pt idx="607">
                  <c:v>1.8223406635795565</c:v>
                </c:pt>
                <c:pt idx="608">
                  <c:v>1.8232580132661655</c:v>
                </c:pt>
                <c:pt idx="609">
                  <c:v>1.7842304133440348</c:v>
                </c:pt>
                <c:pt idx="610">
                  <c:v>1.8299743811174081</c:v>
                </c:pt>
                <c:pt idx="611">
                  <c:v>1.8320568633960614</c:v>
                </c:pt>
                <c:pt idx="612">
                  <c:v>1.7630438248325411</c:v>
                </c:pt>
                <c:pt idx="613">
                  <c:v>1.7217818017815703</c:v>
                </c:pt>
                <c:pt idx="614">
                  <c:v>1.6037377108643194</c:v>
                </c:pt>
                <c:pt idx="615">
                  <c:v>1.6625435190930875</c:v>
                </c:pt>
                <c:pt idx="616">
                  <c:v>1.7341860282599268</c:v>
                </c:pt>
                <c:pt idx="617">
                  <c:v>1.702690997771414</c:v>
                </c:pt>
                <c:pt idx="618">
                  <c:v>1.6857178342148753</c:v>
                </c:pt>
                <c:pt idx="619">
                  <c:v>1.6614842076347898</c:v>
                </c:pt>
                <c:pt idx="620">
                  <c:v>1.6721812425910907</c:v>
                </c:pt>
                <c:pt idx="621">
                  <c:v>1.6586862830001072</c:v>
                </c:pt>
                <c:pt idx="622">
                  <c:v>1.6824480029574882</c:v>
                </c:pt>
                <c:pt idx="623">
                  <c:v>1.7029238952444881</c:v>
                </c:pt>
                <c:pt idx="624">
                  <c:v>1.7070642078169433</c:v>
                </c:pt>
                <c:pt idx="625">
                  <c:v>1.710705737039049</c:v>
                </c:pt>
                <c:pt idx="626">
                  <c:v>1.6957346852212103</c:v>
                </c:pt>
                <c:pt idx="627">
                  <c:v>1.6565054495525173</c:v>
                </c:pt>
                <c:pt idx="628">
                  <c:v>1.5969141122805928</c:v>
                </c:pt>
                <c:pt idx="629">
                  <c:v>1.5797800501504793</c:v>
                </c:pt>
                <c:pt idx="630">
                  <c:v>1.6279833784569626</c:v>
                </c:pt>
                <c:pt idx="631">
                  <c:v>1.6223032332667322</c:v>
                </c:pt>
                <c:pt idx="632">
                  <c:v>1.5745640381966095</c:v>
                </c:pt>
                <c:pt idx="633">
                  <c:v>1.4951596608886322</c:v>
                </c:pt>
                <c:pt idx="634">
                  <c:v>1.4624072063715159</c:v>
                </c:pt>
                <c:pt idx="635">
                  <c:v>1.4650556361902796</c:v>
                </c:pt>
                <c:pt idx="636">
                  <c:v>1.4412782875820873</c:v>
                </c:pt>
                <c:pt idx="637">
                  <c:v>1.4509929427692467</c:v>
                </c:pt>
                <c:pt idx="638">
                  <c:v>1.482352936992789</c:v>
                </c:pt>
                <c:pt idx="639">
                  <c:v>1.4605830100315504</c:v>
                </c:pt>
                <c:pt idx="640">
                  <c:v>1.4428982037728564</c:v>
                </c:pt>
                <c:pt idx="641">
                  <c:v>1.4362061836539772</c:v>
                </c:pt>
                <c:pt idx="642">
                  <c:v>1.3860651125336712</c:v>
                </c:pt>
                <c:pt idx="643">
                  <c:v>1.4335215624710238</c:v>
                </c:pt>
                <c:pt idx="644">
                  <c:v>1.4440184194450956</c:v>
                </c:pt>
                <c:pt idx="645">
                  <c:v>1.3142893224727827</c:v>
                </c:pt>
                <c:pt idx="646">
                  <c:v>1.2735585237526361</c:v>
                </c:pt>
                <c:pt idx="647">
                  <c:v>1.2779127100999357</c:v>
                </c:pt>
                <c:pt idx="648">
                  <c:v>1.2929520827921575</c:v>
                </c:pt>
                <c:pt idx="649">
                  <c:v>1.2800992371856421</c:v>
                </c:pt>
                <c:pt idx="650">
                  <c:v>1.3972843221991673</c:v>
                </c:pt>
                <c:pt idx="651">
                  <c:v>1.4168095591288292</c:v>
                </c:pt>
                <c:pt idx="652">
                  <c:v>1.4828591176877011</c:v>
                </c:pt>
                <c:pt idx="653">
                  <c:v>1.4531035072123413</c:v>
                </c:pt>
                <c:pt idx="654">
                  <c:v>1.4887050158159889</c:v>
                </c:pt>
                <c:pt idx="655">
                  <c:v>1.4073487075633602</c:v>
                </c:pt>
                <c:pt idx="656">
                  <c:v>1.4545475317657186</c:v>
                </c:pt>
                <c:pt idx="657">
                  <c:v>1.3299033534441278</c:v>
                </c:pt>
                <c:pt idx="658">
                  <c:v>1.3099824676385807</c:v>
                </c:pt>
                <c:pt idx="659">
                  <c:v>1.3513278110336944</c:v>
                </c:pt>
                <c:pt idx="660">
                  <c:v>1.400905191486935</c:v>
                </c:pt>
                <c:pt idx="661">
                  <c:v>1.3764731052519632</c:v>
                </c:pt>
                <c:pt idx="662">
                  <c:v>1.427534349948592</c:v>
                </c:pt>
                <c:pt idx="663">
                  <c:v>1.3781754996513107</c:v>
                </c:pt>
                <c:pt idx="664">
                  <c:v>1.3745188961007069</c:v>
                </c:pt>
                <c:pt idx="665">
                  <c:v>1.389482875409165</c:v>
                </c:pt>
                <c:pt idx="666">
                  <c:v>1.4176769638538229</c:v>
                </c:pt>
                <c:pt idx="667">
                  <c:v>1.4196129183516564</c:v>
                </c:pt>
                <c:pt idx="668">
                  <c:v>1.4060660005002688</c:v>
                </c:pt>
                <c:pt idx="669">
                  <c:v>1.431306676761678</c:v>
                </c:pt>
                <c:pt idx="670">
                  <c:v>1.4004303190809095</c:v>
                </c:pt>
                <c:pt idx="671">
                  <c:v>1.3993653925215077</c:v>
                </c:pt>
                <c:pt idx="672">
                  <c:v>1.3833871583332673</c:v>
                </c:pt>
                <c:pt idx="673">
                  <c:v>1.3287414192827791</c:v>
                </c:pt>
                <c:pt idx="674">
                  <c:v>1.2856205953775695</c:v>
                </c:pt>
                <c:pt idx="675">
                  <c:v>1.3309575713488846</c:v>
                </c:pt>
                <c:pt idx="676">
                  <c:v>1.336699519665423</c:v>
                </c:pt>
                <c:pt idx="677">
                  <c:v>1.3629648131848748</c:v>
                </c:pt>
                <c:pt idx="678">
                  <c:v>1.5104012909385478</c:v>
                </c:pt>
                <c:pt idx="679">
                  <c:v>1.4538393537524299</c:v>
                </c:pt>
                <c:pt idx="680">
                  <c:v>1.4137158586831036</c:v>
                </c:pt>
                <c:pt idx="681">
                  <c:v>1.4173273760270018</c:v>
                </c:pt>
                <c:pt idx="682">
                  <c:v>1.408881951530371</c:v>
                </c:pt>
                <c:pt idx="683">
                  <c:v>1.4513388128161733</c:v>
                </c:pt>
                <c:pt idx="684">
                  <c:v>1.4350514712624305</c:v>
                </c:pt>
                <c:pt idx="685">
                  <c:v>1.3888539310066899</c:v>
                </c:pt>
                <c:pt idx="686">
                  <c:v>1.3998675917681329</c:v>
                </c:pt>
                <c:pt idx="687">
                  <c:v>1.3645616243848702</c:v>
                </c:pt>
                <c:pt idx="688">
                  <c:v>1.3483395435234908</c:v>
                </c:pt>
                <c:pt idx="689">
                  <c:v>1.2910046329131022</c:v>
                </c:pt>
                <c:pt idx="690">
                  <c:v>1.2951998344739457</c:v>
                </c:pt>
                <c:pt idx="691">
                  <c:v>1.1827213260513199</c:v>
                </c:pt>
                <c:pt idx="692">
                  <c:v>1.2594346753098256</c:v>
                </c:pt>
                <c:pt idx="693">
                  <c:v>1.235203794714707</c:v>
                </c:pt>
                <c:pt idx="694">
                  <c:v>1.0920250252150312</c:v>
                </c:pt>
                <c:pt idx="695">
                  <c:v>1.1180462061559817</c:v>
                </c:pt>
                <c:pt idx="696">
                  <c:v>1.0792687901823426</c:v>
                </c:pt>
                <c:pt idx="697">
                  <c:v>1.1160121688238187</c:v>
                </c:pt>
                <c:pt idx="698">
                  <c:v>1.1224985150062177</c:v>
                </c:pt>
                <c:pt idx="699">
                  <c:v>1.1083916186707106</c:v>
                </c:pt>
                <c:pt idx="700">
                  <c:v>1.0946537526161968</c:v>
                </c:pt>
                <c:pt idx="701">
                  <c:v>1.0976717802858469</c:v>
                </c:pt>
                <c:pt idx="702">
                  <c:v>1.1219961125382616</c:v>
                </c:pt>
                <c:pt idx="703">
                  <c:v>1.0238084017034839</c:v>
                </c:pt>
                <c:pt idx="704">
                  <c:v>0.99466955653161093</c:v>
                </c:pt>
                <c:pt idx="705">
                  <c:v>0.97931365742160192</c:v>
                </c:pt>
                <c:pt idx="706">
                  <c:v>0.98622170506790896</c:v>
                </c:pt>
                <c:pt idx="707">
                  <c:v>0.97011977489450896</c:v>
                </c:pt>
                <c:pt idx="708">
                  <c:v>0.94739790348383746</c:v>
                </c:pt>
                <c:pt idx="709">
                  <c:v>0.96128452390205332</c:v>
                </c:pt>
                <c:pt idx="710">
                  <c:v>0.88846298230697396</c:v>
                </c:pt>
                <c:pt idx="711">
                  <c:v>0.81610600779898856</c:v>
                </c:pt>
                <c:pt idx="712">
                  <c:v>0.70090223018368059</c:v>
                </c:pt>
                <c:pt idx="713">
                  <c:v>0.57638994003328003</c:v>
                </c:pt>
                <c:pt idx="714">
                  <c:v>0.59493501890032119</c:v>
                </c:pt>
                <c:pt idx="715">
                  <c:v>0.60939903467164691</c:v>
                </c:pt>
                <c:pt idx="716">
                  <c:v>0.7071297640298666</c:v>
                </c:pt>
                <c:pt idx="717">
                  <c:v>0.72191904010388608</c:v>
                </c:pt>
                <c:pt idx="718">
                  <c:v>0.73660010330239312</c:v>
                </c:pt>
                <c:pt idx="719">
                  <c:v>0.74347216303859021</c:v>
                </c:pt>
                <c:pt idx="720">
                  <c:v>0.76077119495704337</c:v>
                </c:pt>
                <c:pt idx="721">
                  <c:v>0.76294129773094155</c:v>
                </c:pt>
                <c:pt idx="722">
                  <c:v>0.76361194561642964</c:v>
                </c:pt>
                <c:pt idx="723">
                  <c:v>0.75251754861221687</c:v>
                </c:pt>
                <c:pt idx="724">
                  <c:v>0.75398838029125781</c:v>
                </c:pt>
                <c:pt idx="725">
                  <c:v>0.88051193619092849</c:v>
                </c:pt>
                <c:pt idx="726">
                  <c:v>0.93706645731048699</c:v>
                </c:pt>
                <c:pt idx="727">
                  <c:v>0.99171328112846946</c:v>
                </c:pt>
                <c:pt idx="728">
                  <c:v>1.1174463059247792</c:v>
                </c:pt>
                <c:pt idx="729">
                  <c:v>1.1267528880900122</c:v>
                </c:pt>
                <c:pt idx="730">
                  <c:v>1.2071566863584562</c:v>
                </c:pt>
                <c:pt idx="731">
                  <c:v>1.186180698260356</c:v>
                </c:pt>
                <c:pt idx="732">
                  <c:v>1.1954443338306171</c:v>
                </c:pt>
                <c:pt idx="733">
                  <c:v>1.2606908225216591</c:v>
                </c:pt>
                <c:pt idx="734">
                  <c:v>1.2779892685529799</c:v>
                </c:pt>
                <c:pt idx="735">
                  <c:v>1.190467506971713</c:v>
                </c:pt>
                <c:pt idx="736">
                  <c:v>0.99491834050887928</c:v>
                </c:pt>
                <c:pt idx="737">
                  <c:v>1.0338384083150811</c:v>
                </c:pt>
                <c:pt idx="738">
                  <c:v>1.2375239856275093</c:v>
                </c:pt>
                <c:pt idx="739">
                  <c:v>1.1811904860482587</c:v>
                </c:pt>
                <c:pt idx="740">
                  <c:v>1.1082836542546901</c:v>
                </c:pt>
                <c:pt idx="741">
                  <c:v>1.031436761289614</c:v>
                </c:pt>
                <c:pt idx="742">
                  <c:v>1.2340811731300405</c:v>
                </c:pt>
                <c:pt idx="743">
                  <c:v>1.920884117101668</c:v>
                </c:pt>
                <c:pt idx="744">
                  <c:v>2.2892558241471042</c:v>
                </c:pt>
                <c:pt idx="745">
                  <c:v>1.5846896625466738</c:v>
                </c:pt>
                <c:pt idx="746">
                  <c:v>1.34387560141053</c:v>
                </c:pt>
                <c:pt idx="747">
                  <c:v>1.2656344035068985</c:v>
                </c:pt>
                <c:pt idx="748">
                  <c:v>1.5447719446891999</c:v>
                </c:pt>
                <c:pt idx="749">
                  <c:v>1.3856948403699281</c:v>
                </c:pt>
                <c:pt idx="750">
                  <c:v>1.4219145768562125</c:v>
                </c:pt>
                <c:pt idx="751">
                  <c:v>1.5518043667322643</c:v>
                </c:pt>
                <c:pt idx="752">
                  <c:v>1.4930432552295181</c:v>
                </c:pt>
                <c:pt idx="753">
                  <c:v>2.3849655366778544</c:v>
                </c:pt>
                <c:pt idx="754">
                  <c:v>2.5646002366742593</c:v>
                </c:pt>
                <c:pt idx="755">
                  <c:v>3.3394164571305609</c:v>
                </c:pt>
                <c:pt idx="756">
                  <c:v>2.0158634540137119</c:v>
                </c:pt>
                <c:pt idx="757">
                  <c:v>2.4873034589804606</c:v>
                </c:pt>
                <c:pt idx="758">
                  <c:v>2.7203952099624296</c:v>
                </c:pt>
                <c:pt idx="759">
                  <c:v>2.4296119927145599</c:v>
                </c:pt>
                <c:pt idx="760">
                  <c:v>2.2432340968704514</c:v>
                </c:pt>
                <c:pt idx="761">
                  <c:v>2.3565522188372845</c:v>
                </c:pt>
                <c:pt idx="762">
                  <c:v>2.0957113851733373</c:v>
                </c:pt>
                <c:pt idx="763">
                  <c:v>1.8644593781651797</c:v>
                </c:pt>
                <c:pt idx="764">
                  <c:v>1.8969653582602224</c:v>
                </c:pt>
                <c:pt idx="765">
                  <c:v>1.9505318187582641</c:v>
                </c:pt>
                <c:pt idx="766">
                  <c:v>1.7827632868518408</c:v>
                </c:pt>
                <c:pt idx="767">
                  <c:v>1.8061884439914677</c:v>
                </c:pt>
                <c:pt idx="768">
                  <c:v>1.7085930682998447</c:v>
                </c:pt>
                <c:pt idx="769">
                  <c:v>1.6995316764282904</c:v>
                </c:pt>
                <c:pt idx="770">
                  <c:v>1.573951583582005</c:v>
                </c:pt>
                <c:pt idx="771">
                  <c:v>1.5449238207225124</c:v>
                </c:pt>
                <c:pt idx="772">
                  <c:v>1.3593886555300077</c:v>
                </c:pt>
                <c:pt idx="773">
                  <c:v>1.0761511251557028</c:v>
                </c:pt>
                <c:pt idx="774">
                  <c:v>1.1994515480073928</c:v>
                </c:pt>
                <c:pt idx="775">
                  <c:v>1.3698542117376376</c:v>
                </c:pt>
                <c:pt idx="776">
                  <c:v>1.4224688959603606</c:v>
                </c:pt>
                <c:pt idx="777">
                  <c:v>1.43862007012805</c:v>
                </c:pt>
                <c:pt idx="778">
                  <c:v>1.2204480850800585</c:v>
                </c:pt>
                <c:pt idx="779">
                  <c:v>1.3405251367616078</c:v>
                </c:pt>
                <c:pt idx="780">
                  <c:v>1.4306329745317685</c:v>
                </c:pt>
                <c:pt idx="781">
                  <c:v>1.4258656651791322</c:v>
                </c:pt>
                <c:pt idx="782">
                  <c:v>1.3390172294006348</c:v>
                </c:pt>
                <c:pt idx="783">
                  <c:v>1.3700460862488166</c:v>
                </c:pt>
                <c:pt idx="784">
                  <c:v>1.46418762339858</c:v>
                </c:pt>
                <c:pt idx="785">
                  <c:v>1.4167169993505784</c:v>
                </c:pt>
                <c:pt idx="786">
                  <c:v>1.4319579016519941</c:v>
                </c:pt>
                <c:pt idx="787">
                  <c:v>1.3313289048902153</c:v>
                </c:pt>
                <c:pt idx="788">
                  <c:v>1.3259907209583004</c:v>
                </c:pt>
                <c:pt idx="789">
                  <c:v>1.3713887164680678</c:v>
                </c:pt>
                <c:pt idx="790">
                  <c:v>1.3911363768332621</c:v>
                </c:pt>
                <c:pt idx="791">
                  <c:v>1.4501203116287034</c:v>
                </c:pt>
                <c:pt idx="792">
                  <c:v>1.5442890975462362</c:v>
                </c:pt>
                <c:pt idx="793">
                  <c:v>1.3728672979053607</c:v>
                </c:pt>
                <c:pt idx="794">
                  <c:v>1.252442303141817</c:v>
                </c:pt>
                <c:pt idx="795">
                  <c:v>1.526965553152176</c:v>
                </c:pt>
                <c:pt idx="796">
                  <c:v>1.4878879885088012</c:v>
                </c:pt>
                <c:pt idx="797">
                  <c:v>1.4472125770958113</c:v>
                </c:pt>
                <c:pt idx="798">
                  <c:v>1.4676406038699568</c:v>
                </c:pt>
                <c:pt idx="799">
                  <c:v>1.4550260537819242</c:v>
                </c:pt>
                <c:pt idx="800">
                  <c:v>1.3904309101920298</c:v>
                </c:pt>
                <c:pt idx="801">
                  <c:v>1.4322400067779884</c:v>
                </c:pt>
                <c:pt idx="802">
                  <c:v>1.4685779126361338</c:v>
                </c:pt>
                <c:pt idx="803">
                  <c:v>1.4268656644327928</c:v>
                </c:pt>
                <c:pt idx="804">
                  <c:v>1.4603299461159287</c:v>
                </c:pt>
                <c:pt idx="805">
                  <c:v>1.6038234602878321</c:v>
                </c:pt>
                <c:pt idx="806">
                  <c:v>1.8621076630218536</c:v>
                </c:pt>
                <c:pt idx="807">
                  <c:v>2.0744211058480193</c:v>
                </c:pt>
                <c:pt idx="808">
                  <c:v>2.0442115819447246</c:v>
                </c:pt>
                <c:pt idx="809">
                  <c:v>2.1876190141499139</c:v>
                </c:pt>
                <c:pt idx="810">
                  <c:v>2.3912867248215783</c:v>
                </c:pt>
                <c:pt idx="811">
                  <c:v>2.277778738042866</c:v>
                </c:pt>
                <c:pt idx="812">
                  <c:v>3.0118888527028562</c:v>
                </c:pt>
                <c:pt idx="813">
                  <c:v>2.2938376091333557</c:v>
                </c:pt>
                <c:pt idx="814">
                  <c:v>2.1975587514455222</c:v>
                </c:pt>
                <c:pt idx="815">
                  <c:v>2.4991173849262598</c:v>
                </c:pt>
                <c:pt idx="816">
                  <c:v>2.305832935239176</c:v>
                </c:pt>
                <c:pt idx="817">
                  <c:v>2.4263509729764396</c:v>
                </c:pt>
                <c:pt idx="818">
                  <c:v>2.4270392463076949</c:v>
                </c:pt>
                <c:pt idx="819">
                  <c:v>3.099093050567399</c:v>
                </c:pt>
                <c:pt idx="820">
                  <c:v>2.9046294723112012</c:v>
                </c:pt>
                <c:pt idx="821">
                  <c:v>2.4813085260585002</c:v>
                </c:pt>
                <c:pt idx="822">
                  <c:v>2.7786447561294207</c:v>
                </c:pt>
                <c:pt idx="823">
                  <c:v>3.6723160113261453</c:v>
                </c:pt>
                <c:pt idx="824">
                  <c:v>2.8383567522257085</c:v>
                </c:pt>
                <c:pt idx="825">
                  <c:v>2.6672042629608539</c:v>
                </c:pt>
                <c:pt idx="826">
                  <c:v>2.7615825302274515</c:v>
                </c:pt>
                <c:pt idx="827">
                  <c:v>2.8913287761612274</c:v>
                </c:pt>
                <c:pt idx="828">
                  <c:v>2.8626815842815332</c:v>
                </c:pt>
                <c:pt idx="829">
                  <c:v>2.7396976244090441</c:v>
                </c:pt>
                <c:pt idx="830">
                  <c:v>2.0537704735063027</c:v>
                </c:pt>
                <c:pt idx="831">
                  <c:v>2.0440760069882811</c:v>
                </c:pt>
                <c:pt idx="832">
                  <c:v>2.0513556970256253</c:v>
                </c:pt>
                <c:pt idx="833">
                  <c:v>2.0954954483644497</c:v>
                </c:pt>
                <c:pt idx="834">
                  <c:v>2.3163954160789841</c:v>
                </c:pt>
                <c:pt idx="835">
                  <c:v>2.3131543942344082</c:v>
                </c:pt>
                <c:pt idx="836">
                  <c:v>2.1953649409898506</c:v>
                </c:pt>
                <c:pt idx="837">
                  <c:v>2.2534022290668396</c:v>
                </c:pt>
                <c:pt idx="838">
                  <c:v>2.2185429018776981</c:v>
                </c:pt>
                <c:pt idx="839">
                  <c:v>2.1899816430143253</c:v>
                </c:pt>
                <c:pt idx="840">
                  <c:v>2.2347551949110969</c:v>
                </c:pt>
                <c:pt idx="841">
                  <c:v>2.2445602265313465</c:v>
                </c:pt>
                <c:pt idx="842">
                  <c:v>2.2266235979100779</c:v>
                </c:pt>
                <c:pt idx="843">
                  <c:v>2.3108198881159665</c:v>
                </c:pt>
                <c:pt idx="844">
                  <c:v>2.3497415376552482</c:v>
                </c:pt>
                <c:pt idx="845">
                  <c:v>2.3498436631541093</c:v>
                </c:pt>
                <c:pt idx="846">
                  <c:v>2.4487761163059751</c:v>
                </c:pt>
                <c:pt idx="847">
                  <c:v>2.4733525569404291</c:v>
                </c:pt>
                <c:pt idx="848">
                  <c:v>2.771409964559131</c:v>
                </c:pt>
                <c:pt idx="849">
                  <c:v>2.7589103780008819</c:v>
                </c:pt>
                <c:pt idx="850">
                  <c:v>2.8644922475948271</c:v>
                </c:pt>
                <c:pt idx="851">
                  <c:v>2.7016761581594775</c:v>
                </c:pt>
                <c:pt idx="852">
                  <c:v>2.5987697301800141</c:v>
                </c:pt>
                <c:pt idx="853">
                  <c:v>2.9840612324975364</c:v>
                </c:pt>
                <c:pt idx="854">
                  <c:v>3.2215810372280376</c:v>
                </c:pt>
                <c:pt idx="855">
                  <c:v>3.6222482417500372</c:v>
                </c:pt>
                <c:pt idx="856">
                  <c:v>3.705562179395772</c:v>
                </c:pt>
                <c:pt idx="857">
                  <c:v>3.84454448922618</c:v>
                </c:pt>
                <c:pt idx="858">
                  <c:v>4.1401047211761064</c:v>
                </c:pt>
                <c:pt idx="859">
                  <c:v>3.7639373622593291</c:v>
                </c:pt>
                <c:pt idx="860">
                  <c:v>4.714069766843477</c:v>
                </c:pt>
                <c:pt idx="861">
                  <c:v>4.5115820680633449</c:v>
                </c:pt>
                <c:pt idx="862">
                  <c:v>4.213932426754055</c:v>
                </c:pt>
                <c:pt idx="863">
                  <c:v>3.9924548114033822</c:v>
                </c:pt>
                <c:pt idx="864">
                  <c:v>4.1451411355127386</c:v>
                </c:pt>
                <c:pt idx="865">
                  <c:v>4.1878954477275165</c:v>
                </c:pt>
                <c:pt idx="866">
                  <c:v>4.1609773695965444</c:v>
                </c:pt>
                <c:pt idx="867">
                  <c:v>4.6814427711258837</c:v>
                </c:pt>
                <c:pt idx="868">
                  <c:v>5.8145172730650607</c:v>
                </c:pt>
                <c:pt idx="869">
                  <c:v>4.3716773171269807</c:v>
                </c:pt>
                <c:pt idx="870">
                  <c:v>4.6389090959329939</c:v>
                </c:pt>
                <c:pt idx="871">
                  <c:v>4.9840415969442242</c:v>
                </c:pt>
                <c:pt idx="872">
                  <c:v>4.0117626590146163</c:v>
                </c:pt>
                <c:pt idx="873">
                  <c:v>3.1136006694736724</c:v>
                </c:pt>
                <c:pt idx="874">
                  <c:v>3.0685991255323835</c:v>
                </c:pt>
                <c:pt idx="875">
                  <c:v>3.3831823227832447</c:v>
                </c:pt>
                <c:pt idx="876">
                  <c:v>3.6963382451935649</c:v>
                </c:pt>
                <c:pt idx="877">
                  <c:v>3.2317015358125087</c:v>
                </c:pt>
                <c:pt idx="878">
                  <c:v>3.1919485045061973</c:v>
                </c:pt>
                <c:pt idx="879">
                  <c:v>3.3070121469135016</c:v>
                </c:pt>
                <c:pt idx="880">
                  <c:v>3.4075514212674793</c:v>
                </c:pt>
                <c:pt idx="881">
                  <c:v>3.4422560781016673</c:v>
                </c:pt>
                <c:pt idx="882">
                  <c:v>3.9109143979049543</c:v>
                </c:pt>
                <c:pt idx="883">
                  <c:v>3.9880204639939136</c:v>
                </c:pt>
                <c:pt idx="884">
                  <c:v>3.9171300224852916</c:v>
                </c:pt>
                <c:pt idx="885">
                  <c:v>4.4584648097022415</c:v>
                </c:pt>
                <c:pt idx="886">
                  <c:v>4.0357216625466483</c:v>
                </c:pt>
                <c:pt idx="887">
                  <c:v>4.0557371885508458</c:v>
                </c:pt>
                <c:pt idx="888">
                  <c:v>3.9779556556620861</c:v>
                </c:pt>
                <c:pt idx="889">
                  <c:v>4.0684270446646327</c:v>
                </c:pt>
                <c:pt idx="890">
                  <c:v>4.1499720212084696</c:v>
                </c:pt>
                <c:pt idx="891">
                  <c:v>4.2860560886288397</c:v>
                </c:pt>
                <c:pt idx="892">
                  <c:v>4.3537423563566309</c:v>
                </c:pt>
                <c:pt idx="893">
                  <c:v>4.4040888420164803</c:v>
                </c:pt>
                <c:pt idx="894">
                  <c:v>4.3339673893173094</c:v>
                </c:pt>
                <c:pt idx="895">
                  <c:v>4.159016953633655</c:v>
                </c:pt>
                <c:pt idx="896">
                  <c:v>4.1355260891849239</c:v>
                </c:pt>
                <c:pt idx="897">
                  <c:v>3.9815980400466047</c:v>
                </c:pt>
                <c:pt idx="898">
                  <c:v>3.9661828954782647</c:v>
                </c:pt>
                <c:pt idx="899">
                  <c:v>4.2791798087766635</c:v>
                </c:pt>
                <c:pt idx="900">
                  <c:v>4.1329169620190198</c:v>
                </c:pt>
                <c:pt idx="901">
                  <c:v>4.1586143937869133</c:v>
                </c:pt>
                <c:pt idx="902">
                  <c:v>4.0786253409390314</c:v>
                </c:pt>
                <c:pt idx="903">
                  <c:v>4.0124578797078279</c:v>
                </c:pt>
                <c:pt idx="904">
                  <c:v>4.0071909686305034</c:v>
                </c:pt>
                <c:pt idx="905">
                  <c:v>4.0174881377464446</c:v>
                </c:pt>
                <c:pt idx="906">
                  <c:v>4.0309257646667263</c:v>
                </c:pt>
                <c:pt idx="907">
                  <c:v>4.066280030368544</c:v>
                </c:pt>
                <c:pt idx="908">
                  <c:v>3.4711406183246396</c:v>
                </c:pt>
                <c:pt idx="909">
                  <c:v>3.3532632051484512</c:v>
                </c:pt>
                <c:pt idx="910">
                  <c:v>3.0590935257369312</c:v>
                </c:pt>
                <c:pt idx="911">
                  <c:v>2.9818371870201426</c:v>
                </c:pt>
                <c:pt idx="912">
                  <c:v>2.6513985004617777</c:v>
                </c:pt>
                <c:pt idx="913">
                  <c:v>2.3845987521270273</c:v>
                </c:pt>
                <c:pt idx="914">
                  <c:v>2.400309830654201</c:v>
                </c:pt>
                <c:pt idx="915">
                  <c:v>2.4720232682378085</c:v>
                </c:pt>
                <c:pt idx="916">
                  <c:v>2.5451730802221073</c:v>
                </c:pt>
                <c:pt idx="917">
                  <c:v>2.5229112667788871</c:v>
                </c:pt>
                <c:pt idx="918">
                  <c:v>2.1663890406257296</c:v>
                </c:pt>
                <c:pt idx="919">
                  <c:v>1.9702067565239012</c:v>
                </c:pt>
                <c:pt idx="920">
                  <c:v>2.1230565090577183</c:v>
                </c:pt>
                <c:pt idx="921">
                  <c:v>1.9200083490973419</c:v>
                </c:pt>
                <c:pt idx="922">
                  <c:v>2.0229099962173711</c:v>
                </c:pt>
                <c:pt idx="923">
                  <c:v>1.981296720643243</c:v>
                </c:pt>
                <c:pt idx="924">
                  <c:v>1.9169185964270758</c:v>
                </c:pt>
                <c:pt idx="925">
                  <c:v>1.9420007997095772</c:v>
                </c:pt>
                <c:pt idx="926">
                  <c:v>1.9153482312122421</c:v>
                </c:pt>
                <c:pt idx="927">
                  <c:v>1.9724875091886469</c:v>
                </c:pt>
                <c:pt idx="928">
                  <c:v>1.9125965410414407</c:v>
                </c:pt>
                <c:pt idx="929">
                  <c:v>1.9567029955332984</c:v>
                </c:pt>
                <c:pt idx="930">
                  <c:v>2.0347032059595036</c:v>
                </c:pt>
                <c:pt idx="931">
                  <c:v>2.1984295246783474</c:v>
                </c:pt>
                <c:pt idx="932">
                  <c:v>2.3866576064419154</c:v>
                </c:pt>
                <c:pt idx="933">
                  <c:v>2.5963099098811813</c:v>
                </c:pt>
                <c:pt idx="934">
                  <c:v>2.2694395125231352</c:v>
                </c:pt>
                <c:pt idx="935">
                  <c:v>2.2931783102921415</c:v>
                </c:pt>
                <c:pt idx="936">
                  <c:v>2.178860190025611</c:v>
                </c:pt>
                <c:pt idx="937">
                  <c:v>2.1947117618532488</c:v>
                </c:pt>
                <c:pt idx="938">
                  <c:v>2.3419560079799533</c:v>
                </c:pt>
                <c:pt idx="939">
                  <c:v>2.3243222438722206</c:v>
                </c:pt>
                <c:pt idx="940">
                  <c:v>2.2302262052699073</c:v>
                </c:pt>
                <c:pt idx="941">
                  <c:v>2.3084499283591291</c:v>
                </c:pt>
                <c:pt idx="942">
                  <c:v>2.3040149555343588</c:v>
                </c:pt>
                <c:pt idx="943">
                  <c:v>2.4811120453657036</c:v>
                </c:pt>
                <c:pt idx="944">
                  <c:v>2.4957352637992734</c:v>
                </c:pt>
                <c:pt idx="945">
                  <c:v>2.4665531453051872</c:v>
                </c:pt>
                <c:pt idx="946">
                  <c:v>2.3726003954634751</c:v>
                </c:pt>
                <c:pt idx="947">
                  <c:v>2.2495461270910764</c:v>
                </c:pt>
                <c:pt idx="948">
                  <c:v>2.0700411358608837</c:v>
                </c:pt>
                <c:pt idx="949">
                  <c:v>1.8990554260475447</c:v>
                </c:pt>
                <c:pt idx="950">
                  <c:v>1.9511129456394667</c:v>
                </c:pt>
                <c:pt idx="951">
                  <c:v>1.9615582089847186</c:v>
                </c:pt>
                <c:pt idx="952">
                  <c:v>1.9526193743338696</c:v>
                </c:pt>
                <c:pt idx="953">
                  <c:v>2.0334260356206681</c:v>
                </c:pt>
                <c:pt idx="954">
                  <c:v>2.026657144591443</c:v>
                </c:pt>
                <c:pt idx="955">
                  <c:v>2.0145194348630757</c:v>
                </c:pt>
                <c:pt idx="956">
                  <c:v>2.0929057060863214</c:v>
                </c:pt>
                <c:pt idx="957">
                  <c:v>2.0774589956669347</c:v>
                </c:pt>
                <c:pt idx="958">
                  <c:v>2.1434371606234555</c:v>
                </c:pt>
                <c:pt idx="959">
                  <c:v>2.0461478264823567</c:v>
                </c:pt>
                <c:pt idx="960">
                  <c:v>2.0500204161937199</c:v>
                </c:pt>
                <c:pt idx="961">
                  <c:v>2.0468042320232622</c:v>
                </c:pt>
                <c:pt idx="962">
                  <c:v>2.1038160856872659</c:v>
                </c:pt>
                <c:pt idx="963">
                  <c:v>2.0788531915815529</c:v>
                </c:pt>
                <c:pt idx="964">
                  <c:v>2.1249149624994974</c:v>
                </c:pt>
                <c:pt idx="965">
                  <c:v>2.1032508388505593</c:v>
                </c:pt>
                <c:pt idx="966">
                  <c:v>2.0977086985719939</c:v>
                </c:pt>
                <c:pt idx="967">
                  <c:v>2.0534771593752761</c:v>
                </c:pt>
                <c:pt idx="968">
                  <c:v>2.0725835662007506</c:v>
                </c:pt>
                <c:pt idx="969">
                  <c:v>2.1012011805205852</c:v>
                </c:pt>
                <c:pt idx="970">
                  <c:v>2.0913813207494676</c:v>
                </c:pt>
                <c:pt idx="971">
                  <c:v>2.0856488501724728</c:v>
                </c:pt>
                <c:pt idx="972">
                  <c:v>2.2270670473840468</c:v>
                </c:pt>
                <c:pt idx="973">
                  <c:v>2.2229980592577179</c:v>
                </c:pt>
                <c:pt idx="974">
                  <c:v>2.2497896955355912</c:v>
                </c:pt>
                <c:pt idx="975">
                  <c:v>2.2514113643447939</c:v>
                </c:pt>
                <c:pt idx="976">
                  <c:v>2.357529386480107</c:v>
                </c:pt>
                <c:pt idx="977">
                  <c:v>2.3479493520140537</c:v>
                </c:pt>
                <c:pt idx="978">
                  <c:v>2.4117404093348456</c:v>
                </c:pt>
                <c:pt idx="979">
                  <c:v>2.3978675014237987</c:v>
                </c:pt>
                <c:pt idx="980">
                  <c:v>2.3339814478914827</c:v>
                </c:pt>
                <c:pt idx="981">
                  <c:v>2.2518984520433603</c:v>
                </c:pt>
                <c:pt idx="982">
                  <c:v>2.3072695635674387</c:v>
                </c:pt>
                <c:pt idx="983">
                  <c:v>2.324906669498676</c:v>
                </c:pt>
                <c:pt idx="984">
                  <c:v>2.3026180942914229</c:v>
                </c:pt>
                <c:pt idx="985">
                  <c:v>2.3258354833894179</c:v>
                </c:pt>
                <c:pt idx="986">
                  <c:v>2.324313583367728</c:v>
                </c:pt>
                <c:pt idx="987">
                  <c:v>2.3028529604241523</c:v>
                </c:pt>
                <c:pt idx="988">
                  <c:v>2.279011479567123</c:v>
                </c:pt>
                <c:pt idx="989">
                  <c:v>2.3039477663671439</c:v>
                </c:pt>
                <c:pt idx="990">
                  <c:v>2.2977515930164034</c:v>
                </c:pt>
                <c:pt idx="991">
                  <c:v>2.3711352093949216</c:v>
                </c:pt>
                <c:pt idx="992">
                  <c:v>2.4567239439484938</c:v>
                </c:pt>
                <c:pt idx="993">
                  <c:v>2.7080567869513388</c:v>
                </c:pt>
                <c:pt idx="994">
                  <c:v>2.9371043898498175</c:v>
                </c:pt>
                <c:pt idx="995">
                  <c:v>3.1975440547799772</c:v>
                </c:pt>
                <c:pt idx="996">
                  <c:v>3.0492815851926349</c:v>
                </c:pt>
                <c:pt idx="997">
                  <c:v>3.2121574020359023</c:v>
                </c:pt>
                <c:pt idx="998">
                  <c:v>3.6359970723382538</c:v>
                </c:pt>
                <c:pt idx="999">
                  <c:v>3.3876860961466577</c:v>
                </c:pt>
                <c:pt idx="1000">
                  <c:v>3.0612007045381473</c:v>
                </c:pt>
                <c:pt idx="1001">
                  <c:v>2.8321038900578168</c:v>
                </c:pt>
                <c:pt idx="1002">
                  <c:v>2.907918363218152</c:v>
                </c:pt>
                <c:pt idx="1003">
                  <c:v>3.088121933980402</c:v>
                </c:pt>
                <c:pt idx="1004">
                  <c:v>2.9719774484631776</c:v>
                </c:pt>
                <c:pt idx="1005">
                  <c:v>3.0728682313918201</c:v>
                </c:pt>
                <c:pt idx="1006">
                  <c:v>2.96658552985576</c:v>
                </c:pt>
                <c:pt idx="1007">
                  <c:v>2.9623972824809117</c:v>
                </c:pt>
                <c:pt idx="1008">
                  <c:v>3.0080378540497725</c:v>
                </c:pt>
                <c:pt idx="1009">
                  <c:v>2.9828855829759573</c:v>
                </c:pt>
                <c:pt idx="1010">
                  <c:v>3.0478531148585155</c:v>
                </c:pt>
                <c:pt idx="1011">
                  <c:v>3.4153593695182498</c:v>
                </c:pt>
                <c:pt idx="1012">
                  <c:v>3.3250943838267202</c:v>
                </c:pt>
                <c:pt idx="1013">
                  <c:v>3.3144804831550352</c:v>
                </c:pt>
                <c:pt idx="1014">
                  <c:v>3.3873306170916964</c:v>
                </c:pt>
                <c:pt idx="1015">
                  <c:v>3.2427739475156714</c:v>
                </c:pt>
                <c:pt idx="1016">
                  <c:v>3.2873457841915084</c:v>
                </c:pt>
                <c:pt idx="1017">
                  <c:v>3.2499139287851313</c:v>
                </c:pt>
                <c:pt idx="1018">
                  <c:v>3.2761101524784331</c:v>
                </c:pt>
                <c:pt idx="1019">
                  <c:v>3.3617018838068997</c:v>
                </c:pt>
                <c:pt idx="1020">
                  <c:v>3.4566871998002537</c:v>
                </c:pt>
                <c:pt idx="1021">
                  <c:v>3.2883210127644107</c:v>
                </c:pt>
                <c:pt idx="1022">
                  <c:v>3.4215051184427288</c:v>
                </c:pt>
                <c:pt idx="1023">
                  <c:v>3.4012064293378885</c:v>
                </c:pt>
                <c:pt idx="1024">
                  <c:v>3.3396151759815038</c:v>
                </c:pt>
                <c:pt idx="1025">
                  <c:v>3.379711223291423</c:v>
                </c:pt>
                <c:pt idx="1026">
                  <c:v>3.3916393909263038</c:v>
                </c:pt>
                <c:pt idx="1027">
                  <c:v>3.4871279281503758</c:v>
                </c:pt>
                <c:pt idx="1028">
                  <c:v>3.7189815269692841</c:v>
                </c:pt>
                <c:pt idx="1029">
                  <c:v>4.1975585848635424</c:v>
                </c:pt>
                <c:pt idx="1030">
                  <c:v>4.7248565307331765</c:v>
                </c:pt>
                <c:pt idx="1031">
                  <c:v>4.4316691203366689</c:v>
                </c:pt>
                <c:pt idx="1032">
                  <c:v>4.65334402924075</c:v>
                </c:pt>
                <c:pt idx="1033">
                  <c:v>4.6564777652505187</c:v>
                </c:pt>
                <c:pt idx="1034">
                  <c:v>4.0015923896217789</c:v>
                </c:pt>
                <c:pt idx="1035">
                  <c:v>4.1064577515581613</c:v>
                </c:pt>
                <c:pt idx="1036">
                  <c:v>4.4516176530777871</c:v>
                </c:pt>
                <c:pt idx="1037">
                  <c:v>4.5745182561192665</c:v>
                </c:pt>
                <c:pt idx="1038">
                  <c:v>4.7091442829997483</c:v>
                </c:pt>
                <c:pt idx="1039">
                  <c:v>5.110096667700657</c:v>
                </c:pt>
                <c:pt idx="1040">
                  <c:v>5.1069040616662367</c:v>
                </c:pt>
                <c:pt idx="1041">
                  <c:v>5.0405196169854696</c:v>
                </c:pt>
                <c:pt idx="1042">
                  <c:v>5.0300455582766253</c:v>
                </c:pt>
                <c:pt idx="1043">
                  <c:v>5.2308094207879421</c:v>
                </c:pt>
                <c:pt idx="1044">
                  <c:v>5.7078267474906097</c:v>
                </c:pt>
                <c:pt idx="1045">
                  <c:v>6.6832368016117654</c:v>
                </c:pt>
                <c:pt idx="1046">
                  <c:v>6.931651911665095</c:v>
                </c:pt>
                <c:pt idx="1047">
                  <c:v>6.7239374002343304</c:v>
                </c:pt>
                <c:pt idx="1048">
                  <c:v>6.4986454869544517</c:v>
                </c:pt>
                <c:pt idx="1049">
                  <c:v>5.74402351022077</c:v>
                </c:pt>
                <c:pt idx="1050">
                  <c:v>5.3509294690786131</c:v>
                </c:pt>
                <c:pt idx="1051">
                  <c:v>5.5929637075725074</c:v>
                </c:pt>
                <c:pt idx="1052">
                  <c:v>5.6232961351835522</c:v>
                </c:pt>
                <c:pt idx="1053">
                  <c:v>5.3099826622987738</c:v>
                </c:pt>
                <c:pt idx="1054">
                  <c:v>4.5667794100551893</c:v>
                </c:pt>
                <c:pt idx="1055">
                  <c:v>4.7073788064243605</c:v>
                </c:pt>
                <c:pt idx="1056">
                  <c:v>4.8076667582071195</c:v>
                </c:pt>
                <c:pt idx="1057">
                  <c:v>5.0198510838581081</c:v>
                </c:pt>
                <c:pt idx="1058">
                  <c:v>5.0770882902210319</c:v>
                </c:pt>
                <c:pt idx="1059">
                  <c:v>4.8190325263472111</c:v>
                </c:pt>
                <c:pt idx="1060">
                  <c:v>5.0281682897023821</c:v>
                </c:pt>
                <c:pt idx="1061">
                  <c:v>4.9943257897049955</c:v>
                </c:pt>
                <c:pt idx="1062">
                  <c:v>4.9438642329984992</c:v>
                </c:pt>
                <c:pt idx="1063">
                  <c:v>5.2624033387572879</c:v>
                </c:pt>
                <c:pt idx="1064">
                  <c:v>5.591060394730448</c:v>
                </c:pt>
                <c:pt idx="1065">
                  <c:v>5.7377365451092421</c:v>
                </c:pt>
                <c:pt idx="1066">
                  <c:v>5.7556558520503813</c:v>
                </c:pt>
                <c:pt idx="1067">
                  <c:v>5.7731704540420576</c:v>
                </c:pt>
                <c:pt idx="1068">
                  <c:v>5.6392294062591715</c:v>
                </c:pt>
                <c:pt idx="1069">
                  <c:v>5.6436674224987637</c:v>
                </c:pt>
                <c:pt idx="1070">
                  <c:v>6.12753899653723</c:v>
                </c:pt>
                <c:pt idx="1071">
                  <c:v>5.9647355389695882</c:v>
                </c:pt>
                <c:pt idx="1072">
                  <c:v>6.4631016490324464</c:v>
                </c:pt>
                <c:pt idx="1073">
                  <c:v>6.6063986553245266</c:v>
                </c:pt>
                <c:pt idx="1074">
                  <c:v>6.4239851455017591</c:v>
                </c:pt>
                <c:pt idx="1075">
                  <c:v>6.5713089125178898</c:v>
                </c:pt>
                <c:pt idx="1076">
                  <c:v>6.2260014235379497</c:v>
                </c:pt>
                <c:pt idx="1077">
                  <c:v>6.1111921956273676</c:v>
                </c:pt>
                <c:pt idx="1078">
                  <c:v>5.8978795366204766</c:v>
                </c:pt>
                <c:pt idx="1079">
                  <c:v>6.018102941434206</c:v>
                </c:pt>
                <c:pt idx="1080">
                  <c:v>5.8553261247076716</c:v>
                </c:pt>
                <c:pt idx="1081">
                  <c:v>5.5649807218935905</c:v>
                </c:pt>
                <c:pt idx="1082">
                  <c:v>5.3598504022059146</c:v>
                </c:pt>
                <c:pt idx="1083">
                  <c:v>5.097188796052345</c:v>
                </c:pt>
                <c:pt idx="1084">
                  <c:v>3.9550746391539531</c:v>
                </c:pt>
                <c:pt idx="1085">
                  <c:v>4.9220727273672917</c:v>
                </c:pt>
                <c:pt idx="1086">
                  <c:v>4.7102611934180008</c:v>
                </c:pt>
                <c:pt idx="1087">
                  <c:v>4.8818966538804762</c:v>
                </c:pt>
                <c:pt idx="1088">
                  <c:v>4.426412555035208</c:v>
                </c:pt>
                <c:pt idx="1089">
                  <c:v>4.9513641065955447</c:v>
                </c:pt>
                <c:pt idx="1090">
                  <c:v>4.9586179142157496</c:v>
                </c:pt>
                <c:pt idx="1091">
                  <c:v>5.3867422517647574</c:v>
                </c:pt>
                <c:pt idx="1092">
                  <c:v>5.6886532538371926</c:v>
                </c:pt>
                <c:pt idx="1093">
                  <c:v>5.5413130427108719</c:v>
                </c:pt>
                <c:pt idx="1094">
                  <c:v>5.5827368168377998</c:v>
                </c:pt>
                <c:pt idx="1095">
                  <c:v>5.1517284714854918</c:v>
                </c:pt>
                <c:pt idx="1096">
                  <c:v>4.7538698854150514</c:v>
                </c:pt>
                <c:pt idx="1097">
                  <c:v>5.2802917497252713</c:v>
                </c:pt>
                <c:pt idx="1098">
                  <c:v>5.2044430235666601</c:v>
                </c:pt>
                <c:pt idx="1099">
                  <c:v>5.4198629060109642</c:v>
                </c:pt>
                <c:pt idx="1100">
                  <c:v>5.0537560764072005</c:v>
                </c:pt>
                <c:pt idx="1101">
                  <c:v>5.0082291936690799</c:v>
                </c:pt>
                <c:pt idx="1102">
                  <c:v>5.0307529226705956</c:v>
                </c:pt>
                <c:pt idx="1103">
                  <c:v>5.009049790253159</c:v>
                </c:pt>
                <c:pt idx="1104">
                  <c:v>5.1106623162411067</c:v>
                </c:pt>
                <c:pt idx="1105">
                  <c:v>5.1237213737745586</c:v>
                </c:pt>
                <c:pt idx="1106">
                  <c:v>5.1824804127705919</c:v>
                </c:pt>
                <c:pt idx="1107">
                  <c:v>5.1498378133092091</c:v>
                </c:pt>
                <c:pt idx="1108">
                  <c:v>5.1410887134491636</c:v>
                </c:pt>
                <c:pt idx="1109">
                  <c:v>5.3206226429484822</c:v>
                </c:pt>
                <c:pt idx="1110">
                  <c:v>5.7034251230227193</c:v>
                </c:pt>
                <c:pt idx="1111">
                  <c:v>5.7206067647324881</c:v>
                </c:pt>
                <c:pt idx="1112">
                  <c:v>5.675472793944409</c:v>
                </c:pt>
                <c:pt idx="1113">
                  <c:v>5.5617005659651086</c:v>
                </c:pt>
                <c:pt idx="1114">
                  <c:v>5.7819734703604224</c:v>
                </c:pt>
                <c:pt idx="1115">
                  <c:v>5.8055229123295931</c:v>
                </c:pt>
                <c:pt idx="1116">
                  <c:v>5.6910876808505142</c:v>
                </c:pt>
                <c:pt idx="1117">
                  <c:v>5.8337159918665922</c:v>
                </c:pt>
                <c:pt idx="1118">
                  <c:v>6.1410675904889187</c:v>
                </c:pt>
                <c:pt idx="1119">
                  <c:v>6.4889534011362571</c:v>
                </c:pt>
                <c:pt idx="1120">
                  <c:v>6.7900384714518296</c:v>
                </c:pt>
                <c:pt idx="1121">
                  <c:v>6.6366438543685424</c:v>
                </c:pt>
                <c:pt idx="1122">
                  <c:v>6.2773749549462963</c:v>
                </c:pt>
                <c:pt idx="1123">
                  <c:v>6.4718456198520631</c:v>
                </c:pt>
                <c:pt idx="1124">
                  <c:v>6.1585654856747238</c:v>
                </c:pt>
                <c:pt idx="1125">
                  <c:v>6.128901059936477</c:v>
                </c:pt>
                <c:pt idx="1126">
                  <c:v>6.5815540769135517</c:v>
                </c:pt>
                <c:pt idx="1127">
                  <c:v>6.5894942781874661</c:v>
                </c:pt>
                <c:pt idx="1128">
                  <c:v>6.3813845896922459</c:v>
                </c:pt>
                <c:pt idx="1129">
                  <c:v>6.6250857724337875</c:v>
                </c:pt>
                <c:pt idx="1130">
                  <c:v>6.5260255029532326</c:v>
                </c:pt>
                <c:pt idx="1131">
                  <c:v>6.7011746050014418</c:v>
                </c:pt>
                <c:pt idx="1132">
                  <c:v>6.8078664428605808</c:v>
                </c:pt>
                <c:pt idx="1133">
                  <c:v>6.5824021435930238</c:v>
                </c:pt>
                <c:pt idx="1134">
                  <c:v>6.7179517257437533</c:v>
                </c:pt>
                <c:pt idx="1135">
                  <c:v>6.6776495442955088</c:v>
                </c:pt>
                <c:pt idx="1136">
                  <c:v>7.901558601173817</c:v>
                </c:pt>
                <c:pt idx="1137">
                  <c:v>8.513984419989459</c:v>
                </c:pt>
                <c:pt idx="1138">
                  <c:v>8.2097703698127589</c:v>
                </c:pt>
                <c:pt idx="1139">
                  <c:v>7.8328887642837195</c:v>
                </c:pt>
                <c:pt idx="1140">
                  <c:v>7.4276691526428387</c:v>
                </c:pt>
                <c:pt idx="1141">
                  <c:v>7.8515835787852915</c:v>
                </c:pt>
                <c:pt idx="1142">
                  <c:v>8.0397867914237047</c:v>
                </c:pt>
                <c:pt idx="1143">
                  <c:v>8.1713786571710667</c:v>
                </c:pt>
                <c:pt idx="1144">
                  <c:v>8.4629200288357591</c:v>
                </c:pt>
                <c:pt idx="1145">
                  <c:v>9.616620285413287</c:v>
                </c:pt>
                <c:pt idx="1146">
                  <c:v>11.773074867558574</c:v>
                </c:pt>
                <c:pt idx="1147">
                  <c:v>11.999225968221543</c:v>
                </c:pt>
                <c:pt idx="1148">
                  <c:v>11.093077974390939</c:v>
                </c:pt>
                <c:pt idx="1149">
                  <c:v>12.562054600790283</c:v>
                </c:pt>
                <c:pt idx="1150">
                  <c:v>11.589700235811112</c:v>
                </c:pt>
                <c:pt idx="1151">
                  <c:v>11.74608095926741</c:v>
                </c:pt>
                <c:pt idx="1152">
                  <c:v>11.670697962625132</c:v>
                </c:pt>
                <c:pt idx="1153">
                  <c:v>11.376802584414603</c:v>
                </c:pt>
                <c:pt idx="1154">
                  <c:v>10.409776179216168</c:v>
                </c:pt>
                <c:pt idx="1155">
                  <c:v>10.644362541745261</c:v>
                </c:pt>
                <c:pt idx="1156">
                  <c:v>10.330682814755999</c:v>
                </c:pt>
                <c:pt idx="1157">
                  <c:v>9.6621772371322283</c:v>
                </c:pt>
                <c:pt idx="1158">
                  <c:v>7.619417564042358</c:v>
                </c:pt>
                <c:pt idx="1159">
                  <c:v>9.3509583540844741</c:v>
                </c:pt>
                <c:pt idx="1160">
                  <c:v>9.1783026448483014</c:v>
                </c:pt>
                <c:pt idx="1161">
                  <c:v>10.688167186433889</c:v>
                </c:pt>
                <c:pt idx="1162">
                  <c:v>10.568642075362558</c:v>
                </c:pt>
                <c:pt idx="1163">
                  <c:v>10.609630844518115</c:v>
                </c:pt>
                <c:pt idx="1164">
                  <c:v>11.763579204694686</c:v>
                </c:pt>
                <c:pt idx="1165">
                  <c:v>11.075085079819214</c:v>
                </c:pt>
                <c:pt idx="1166">
                  <c:v>10.361160954644724</c:v>
                </c:pt>
                <c:pt idx="1167">
                  <c:v>11.206794071092729</c:v>
                </c:pt>
                <c:pt idx="1168">
                  <c:v>11.076467650154301</c:v>
                </c:pt>
                <c:pt idx="1169">
                  <c:v>11.48508664328461</c:v>
                </c:pt>
                <c:pt idx="1170">
                  <c:v>10.933328769650284</c:v>
                </c:pt>
                <c:pt idx="1171">
                  <c:v>11.013267884273464</c:v>
                </c:pt>
                <c:pt idx="1172">
                  <c:v>11.280930881763169</c:v>
                </c:pt>
                <c:pt idx="1173">
                  <c:v>11.629844277361872</c:v>
                </c:pt>
                <c:pt idx="1174">
                  <c:v>11.389242305943002</c:v>
                </c:pt>
                <c:pt idx="1175">
                  <c:v>11.471684848676414</c:v>
                </c:pt>
                <c:pt idx="1176">
                  <c:v>10.629958327324577</c:v>
                </c:pt>
                <c:pt idx="1177">
                  <c:v>10.020361124481985</c:v>
                </c:pt>
                <c:pt idx="1178">
                  <c:v>9.3919963339712922</c:v>
                </c:pt>
                <c:pt idx="1179">
                  <c:v>10.581749092487257</c:v>
                </c:pt>
                <c:pt idx="1180">
                  <c:v>10.573137005809649</c:v>
                </c:pt>
                <c:pt idx="1181">
                  <c:v>10.386892277055088</c:v>
                </c:pt>
                <c:pt idx="1182">
                  <c:v>10.617184283348076</c:v>
                </c:pt>
                <c:pt idx="1183">
                  <c:v>10.138445072582501</c:v>
                </c:pt>
                <c:pt idx="1184">
                  <c:v>10.254252089542948</c:v>
                </c:pt>
                <c:pt idx="1185">
                  <c:v>10.185661342342657</c:v>
                </c:pt>
                <c:pt idx="1186">
                  <c:v>10.737404527701685</c:v>
                </c:pt>
                <c:pt idx="1187">
                  <c:v>10.627771012934385</c:v>
                </c:pt>
                <c:pt idx="1188">
                  <c:v>10.669468029615386</c:v>
                </c:pt>
                <c:pt idx="1189">
                  <c:v>10.651277558862006</c:v>
                </c:pt>
                <c:pt idx="1190">
                  <c:v>9.8615051635730584</c:v>
                </c:pt>
                <c:pt idx="1191">
                  <c:v>9.8076731458246176</c:v>
                </c:pt>
                <c:pt idx="1192">
                  <c:v>10.159253811460148</c:v>
                </c:pt>
                <c:pt idx="1193">
                  <c:v>9.5493736950707699</c:v>
                </c:pt>
                <c:pt idx="1194">
                  <c:v>9.0077254887045903</c:v>
                </c:pt>
                <c:pt idx="1195">
                  <c:v>8.6285096751526993</c:v>
                </c:pt>
                <c:pt idx="1196">
                  <c:v>8.5018435176244154</c:v>
                </c:pt>
                <c:pt idx="1197">
                  <c:v>9.1804152141135713</c:v>
                </c:pt>
                <c:pt idx="1198">
                  <c:v>9.0025580103181913</c:v>
                </c:pt>
                <c:pt idx="1199">
                  <c:v>8.7815454376994051</c:v>
                </c:pt>
                <c:pt idx="1200">
                  <c:v>8.840973524084303</c:v>
                </c:pt>
                <c:pt idx="1201">
                  <c:v>8.3434660106457894</c:v>
                </c:pt>
                <c:pt idx="1202">
                  <c:v>8.0155950406964394</c:v>
                </c:pt>
                <c:pt idx="1203">
                  <c:v>7.9767963945593454</c:v>
                </c:pt>
                <c:pt idx="1204">
                  <c:v>7.9616769456933962</c:v>
                </c:pt>
                <c:pt idx="1205">
                  <c:v>8.3152518030340072</c:v>
                </c:pt>
                <c:pt idx="1206">
                  <c:v>8.5032151587155287</c:v>
                </c:pt>
                <c:pt idx="1207">
                  <c:v>8.4538422643750817</c:v>
                </c:pt>
                <c:pt idx="1208">
                  <c:v>8.1845869668538143</c:v>
                </c:pt>
                <c:pt idx="1209">
                  <c:v>8.3026137500298347</c:v>
                </c:pt>
                <c:pt idx="1210">
                  <c:v>9.159587057330544</c:v>
                </c:pt>
                <c:pt idx="1211">
                  <c:v>9.4621704177379762</c:v>
                </c:pt>
                <c:pt idx="1212">
                  <c:v>9.4248795288178542</c:v>
                </c:pt>
                <c:pt idx="1213">
                  <c:v>9.4325010730867387</c:v>
                </c:pt>
                <c:pt idx="1214">
                  <c:v>9.3359936312578942</c:v>
                </c:pt>
                <c:pt idx="1215">
                  <c:v>9.3210858490872113</c:v>
                </c:pt>
                <c:pt idx="1216">
                  <c:v>10.057180109613034</c:v>
                </c:pt>
                <c:pt idx="1217">
                  <c:v>10.133367309967126</c:v>
                </c:pt>
                <c:pt idx="1218">
                  <c:v>9.7721386249188598</c:v>
                </c:pt>
                <c:pt idx="1219">
                  <c:v>9.9990310696697193</c:v>
                </c:pt>
                <c:pt idx="1220">
                  <c:v>9.8550268781699213</c:v>
                </c:pt>
                <c:pt idx="1221">
                  <c:v>10.155838457942725</c:v>
                </c:pt>
                <c:pt idx="1222">
                  <c:v>10.018095385984159</c:v>
                </c:pt>
                <c:pt idx="1223">
                  <c:v>10.118034195751784</c:v>
                </c:pt>
                <c:pt idx="1224">
                  <c:v>10.012457832874068</c:v>
                </c:pt>
                <c:pt idx="1225">
                  <c:v>9.7820810864707717</c:v>
                </c:pt>
                <c:pt idx="1226">
                  <c:v>9.7020517209436594</c:v>
                </c:pt>
                <c:pt idx="1227">
                  <c:v>9.7872982332373972</c:v>
                </c:pt>
                <c:pt idx="1228">
                  <c:v>9.4049440088195286</c:v>
                </c:pt>
                <c:pt idx="1229">
                  <c:v>9.8087213908416722</c:v>
                </c:pt>
                <c:pt idx="1230">
                  <c:v>9.7928823619860008</c:v>
                </c:pt>
                <c:pt idx="1231">
                  <c:v>10.155540177285252</c:v>
                </c:pt>
                <c:pt idx="1232">
                  <c:v>10.25186086256965</c:v>
                </c:pt>
                <c:pt idx="1233">
                  <c:v>10.557916024355166</c:v>
                </c:pt>
                <c:pt idx="1234">
                  <c:v>10.510359997567912</c:v>
                </c:pt>
                <c:pt idx="1235">
                  <c:v>10.578064090474967</c:v>
                </c:pt>
                <c:pt idx="1236">
                  <c:v>11.148772056848237</c:v>
                </c:pt>
                <c:pt idx="1237">
                  <c:v>11.266243421960228</c:v>
                </c:pt>
                <c:pt idx="1238">
                  <c:v>11.064102779335171</c:v>
                </c:pt>
                <c:pt idx="1239">
                  <c:v>10.933961019108756</c:v>
                </c:pt>
                <c:pt idx="1240">
                  <c:v>11.198589292926881</c:v>
                </c:pt>
                <c:pt idx="1241">
                  <c:v>11.181804438450373</c:v>
                </c:pt>
                <c:pt idx="1242">
                  <c:v>11.185761487770202</c:v>
                </c:pt>
                <c:pt idx="1243">
                  <c:v>11.093372525760127</c:v>
                </c:pt>
                <c:pt idx="1244">
                  <c:v>10.650893985093694</c:v>
                </c:pt>
                <c:pt idx="1245">
                  <c:v>10.685418234329655</c:v>
                </c:pt>
                <c:pt idx="1246">
                  <c:v>10.782101363056665</c:v>
                </c:pt>
                <c:pt idx="1247">
                  <c:v>10.873034254852517</c:v>
                </c:pt>
                <c:pt idx="1248">
                  <c:v>11.450333064905307</c:v>
                </c:pt>
                <c:pt idx="1249">
                  <c:v>11.354531269279152</c:v>
                </c:pt>
                <c:pt idx="1250">
                  <c:v>11.119361474726402</c:v>
                </c:pt>
                <c:pt idx="1251">
                  <c:v>11.13383417783551</c:v>
                </c:pt>
                <c:pt idx="1252">
                  <c:v>10.665355101310885</c:v>
                </c:pt>
                <c:pt idx="1253">
                  <c:v>10.619806808816715</c:v>
                </c:pt>
                <c:pt idx="1254">
                  <c:v>10.635085594760437</c:v>
                </c:pt>
                <c:pt idx="1255">
                  <c:v>10.314523642511183</c:v>
                </c:pt>
                <c:pt idx="1256">
                  <c:v>10.312161620382881</c:v>
                </c:pt>
                <c:pt idx="1257">
                  <c:v>10.62963504081632</c:v>
                </c:pt>
                <c:pt idx="1258">
                  <c:v>10.643820752571706</c:v>
                </c:pt>
                <c:pt idx="1259">
                  <c:v>10.627521108558051</c:v>
                </c:pt>
                <c:pt idx="1260">
                  <c:v>10.766742989039917</c:v>
                </c:pt>
                <c:pt idx="1261">
                  <c:v>10.130868333105209</c:v>
                </c:pt>
                <c:pt idx="1262">
                  <c:v>10.341336800585298</c:v>
                </c:pt>
                <c:pt idx="1263">
                  <c:v>10.373223259718589</c:v>
                </c:pt>
                <c:pt idx="1264">
                  <c:v>10.230067367900242</c:v>
                </c:pt>
                <c:pt idx="1265">
                  <c:v>10.300936360496088</c:v>
                </c:pt>
                <c:pt idx="1266">
                  <c:v>10.267148878372041</c:v>
                </c:pt>
                <c:pt idx="1267">
                  <c:v>10.551993396981475</c:v>
                </c:pt>
                <c:pt idx="1268">
                  <c:v>10.503235989089697</c:v>
                </c:pt>
                <c:pt idx="1269">
                  <c:v>10.508361283655756</c:v>
                </c:pt>
                <c:pt idx="1270">
                  <c:v>10.508631174454798</c:v>
                </c:pt>
                <c:pt idx="1271">
                  <c:v>10.536593640904959</c:v>
                </c:pt>
                <c:pt idx="1272">
                  <c:v>10.693794742721472</c:v>
                </c:pt>
                <c:pt idx="1273">
                  <c:v>10.632576954189274</c:v>
                </c:pt>
                <c:pt idx="1274">
                  <c:v>10.562498349153213</c:v>
                </c:pt>
                <c:pt idx="1275">
                  <c:v>10.531137152250098</c:v>
                </c:pt>
                <c:pt idx="1276">
                  <c:v>10.37441114259447</c:v>
                </c:pt>
                <c:pt idx="1277">
                  <c:v>10.309812119812719</c:v>
                </c:pt>
                <c:pt idx="1278">
                  <c:v>10.499631248937776</c:v>
                </c:pt>
                <c:pt idx="1279">
                  <c:v>10.491949181747176</c:v>
                </c:pt>
                <c:pt idx="1280">
                  <c:v>10.523962884024007</c:v>
                </c:pt>
                <c:pt idx="1281">
                  <c:v>10.495061828778979</c:v>
                </c:pt>
                <c:pt idx="1282">
                  <c:v>10.509095177950334</c:v>
                </c:pt>
                <c:pt idx="1283">
                  <c:v>10.715269876440676</c:v>
                </c:pt>
                <c:pt idx="1284">
                  <c:v>10.748965023787044</c:v>
                </c:pt>
                <c:pt idx="1285">
                  <c:v>11.214543613808445</c:v>
                </c:pt>
                <c:pt idx="1286">
                  <c:v>11.054919979029981</c:v>
                </c:pt>
                <c:pt idx="1287">
                  <c:v>11.034791218620327</c:v>
                </c:pt>
                <c:pt idx="1288">
                  <c:v>11.112495355920796</c:v>
                </c:pt>
                <c:pt idx="1289">
                  <c:v>11.078779468167291</c:v>
                </c:pt>
                <c:pt idx="1290">
                  <c:v>11.088989928651687</c:v>
                </c:pt>
                <c:pt idx="1291">
                  <c:v>11.169105960796045</c:v>
                </c:pt>
                <c:pt idx="1292">
                  <c:v>10.917692587061232</c:v>
                </c:pt>
                <c:pt idx="1293">
                  <c:v>10.878258637258847</c:v>
                </c:pt>
                <c:pt idx="1294">
                  <c:v>10.902029187525676</c:v>
                </c:pt>
                <c:pt idx="1295">
                  <c:v>10.859390922426538</c:v>
                </c:pt>
                <c:pt idx="1296">
                  <c:v>10.830731776886592</c:v>
                </c:pt>
                <c:pt idx="1297">
                  <c:v>10.725452308850052</c:v>
                </c:pt>
                <c:pt idx="1298">
                  <c:v>10.67831058883252</c:v>
                </c:pt>
                <c:pt idx="1299">
                  <c:v>10.529186198160955</c:v>
                </c:pt>
                <c:pt idx="1300">
                  <c:v>9.8260126042637008</c:v>
                </c:pt>
                <c:pt idx="1301">
                  <c:v>9.976817453283779</c:v>
                </c:pt>
                <c:pt idx="1302">
                  <c:v>9.9375587864325663</c:v>
                </c:pt>
                <c:pt idx="1303">
                  <c:v>10.190642613665457</c:v>
                </c:pt>
                <c:pt idx="1304">
                  <c:v>10.156484720637865</c:v>
                </c:pt>
                <c:pt idx="1305">
                  <c:v>10.195264664123227</c:v>
                </c:pt>
                <c:pt idx="1306">
                  <c:v>10.066985411214771</c:v>
                </c:pt>
                <c:pt idx="1307">
                  <c:v>10.178615949347778</c:v>
                </c:pt>
                <c:pt idx="1308">
                  <c:v>10.328758730295901</c:v>
                </c:pt>
                <c:pt idx="1309">
                  <c:v>10.244726707409729</c:v>
                </c:pt>
                <c:pt idx="1310">
                  <c:v>10.208279884961895</c:v>
                </c:pt>
                <c:pt idx="1311">
                  <c:v>9.8855537520673646</c:v>
                </c:pt>
                <c:pt idx="1312">
                  <c:v>9.9689165744540968</c:v>
                </c:pt>
                <c:pt idx="1313">
                  <c:v>9.6092269616191821</c:v>
                </c:pt>
                <c:pt idx="1314">
                  <c:v>9.3012617136110407</c:v>
                </c:pt>
                <c:pt idx="1315">
                  <c:v>9.5132629214750963</c:v>
                </c:pt>
                <c:pt idx="1316">
                  <c:v>9.6536198405995464</c:v>
                </c:pt>
                <c:pt idx="1317">
                  <c:v>9.6170369847618691</c:v>
                </c:pt>
                <c:pt idx="1318">
                  <c:v>9.4337611445901572</c:v>
                </c:pt>
                <c:pt idx="1319">
                  <c:v>9.0069314919007208</c:v>
                </c:pt>
                <c:pt idx="1320">
                  <c:v>9.0699518831154045</c:v>
                </c:pt>
                <c:pt idx="1321">
                  <c:v>9.1969608658559263</c:v>
                </c:pt>
                <c:pt idx="1322">
                  <c:v>9.1401926124411315</c:v>
                </c:pt>
                <c:pt idx="1323">
                  <c:v>9.0789821051110842</c:v>
                </c:pt>
                <c:pt idx="1324">
                  <c:v>8.4258222927572461</c:v>
                </c:pt>
                <c:pt idx="1325">
                  <c:v>8.1632335061636834</c:v>
                </c:pt>
                <c:pt idx="1326">
                  <c:v>7.5990778292883059</c:v>
                </c:pt>
                <c:pt idx="1327">
                  <c:v>8.2545506584117838</c:v>
                </c:pt>
                <c:pt idx="1328">
                  <c:v>8.2921897656474037</c:v>
                </c:pt>
                <c:pt idx="1329">
                  <c:v>8.2672991677802905</c:v>
                </c:pt>
                <c:pt idx="1330">
                  <c:v>8.7661010931346386</c:v>
                </c:pt>
                <c:pt idx="1331">
                  <c:v>8.7120511121028468</c:v>
                </c:pt>
                <c:pt idx="1332">
                  <c:v>8.9039612042302583</c:v>
                </c:pt>
                <c:pt idx="1333">
                  <c:v>8.9400610448074254</c:v>
                </c:pt>
                <c:pt idx="1334">
                  <c:v>8.716440806767892</c:v>
                </c:pt>
                <c:pt idx="1335">
                  <c:v>8.8470053581851218</c:v>
                </c:pt>
                <c:pt idx="1336">
                  <c:v>8.7975184573429104</c:v>
                </c:pt>
                <c:pt idx="1337">
                  <c:v>8.8661408213199113</c:v>
                </c:pt>
                <c:pt idx="1338">
                  <c:v>8.4055069804308715</c:v>
                </c:pt>
                <c:pt idx="1339">
                  <c:v>8.3515949089572725</c:v>
                </c:pt>
                <c:pt idx="1340">
                  <c:v>8.2234004390920958</c:v>
                </c:pt>
                <c:pt idx="1341">
                  <c:v>8.1244620362836564</c:v>
                </c:pt>
                <c:pt idx="1342">
                  <c:v>8.1639873088783901</c:v>
                </c:pt>
                <c:pt idx="1343">
                  <c:v>8.3593479999282128</c:v>
                </c:pt>
                <c:pt idx="1344">
                  <c:v>8.3837177039771138</c:v>
                </c:pt>
                <c:pt idx="1345">
                  <c:v>8.5037258907056774</c:v>
                </c:pt>
                <c:pt idx="1346">
                  <c:v>8.6984199314964634</c:v>
                </c:pt>
                <c:pt idx="1347">
                  <c:v>8.6011016007752783</c:v>
                </c:pt>
                <c:pt idx="1348">
                  <c:v>8.6024042857129164</c:v>
                </c:pt>
                <c:pt idx="1349">
                  <c:v>8.5007290614763189</c:v>
                </c:pt>
                <c:pt idx="1350">
                  <c:v>8.6288088724133782</c:v>
                </c:pt>
                <c:pt idx="1351">
                  <c:v>8.7282371997141386</c:v>
                </c:pt>
                <c:pt idx="1352">
                  <c:v>8.6981755064898589</c:v>
                </c:pt>
                <c:pt idx="1353">
                  <c:v>9.4011776148958894</c:v>
                </c:pt>
                <c:pt idx="1354">
                  <c:v>9.2216424449417573</c:v>
                </c:pt>
                <c:pt idx="1355">
                  <c:v>9.2825289770869759</c:v>
                </c:pt>
                <c:pt idx="1356">
                  <c:v>9.1264236280423408</c:v>
                </c:pt>
                <c:pt idx="1357">
                  <c:v>9.2279061794976052</c:v>
                </c:pt>
                <c:pt idx="1358">
                  <c:v>9.3033363840741252</c:v>
                </c:pt>
                <c:pt idx="1359">
                  <c:v>9.2107928829750829</c:v>
                </c:pt>
                <c:pt idx="1360">
                  <c:v>9.4022662609477745</c:v>
                </c:pt>
                <c:pt idx="1361">
                  <c:v>9.5476682396370673</c:v>
                </c:pt>
                <c:pt idx="1362">
                  <c:v>9.5615957175253357</c:v>
                </c:pt>
                <c:pt idx="1363">
                  <c:v>10.692431239445016</c:v>
                </c:pt>
                <c:pt idx="1364">
                  <c:v>10.803137782675343</c:v>
                </c:pt>
                <c:pt idx="1365">
                  <c:v>10.600070756988824</c:v>
                </c:pt>
                <c:pt idx="1366">
                  <c:v>10.590356636293068</c:v>
                </c:pt>
                <c:pt idx="1367">
                  <c:v>10.755016540478785</c:v>
                </c:pt>
                <c:pt idx="1368">
                  <c:v>10.91010199154246</c:v>
                </c:pt>
                <c:pt idx="1369">
                  <c:v>12.232264258188916</c:v>
                </c:pt>
                <c:pt idx="1370">
                  <c:v>11.065832815632332</c:v>
                </c:pt>
                <c:pt idx="1371">
                  <c:v>10.928984998918191</c:v>
                </c:pt>
                <c:pt idx="1372">
                  <c:v>11.226460894759931</c:v>
                </c:pt>
                <c:pt idx="1373">
                  <c:v>10.678983094032857</c:v>
                </c:pt>
                <c:pt idx="1374">
                  <c:v>10.772345104535818</c:v>
                </c:pt>
                <c:pt idx="1375">
                  <c:v>10.909050132568451</c:v>
                </c:pt>
                <c:pt idx="1376">
                  <c:v>10.750663361842284</c:v>
                </c:pt>
                <c:pt idx="1377">
                  <c:v>10.955242189076767</c:v>
                </c:pt>
                <c:pt idx="1378">
                  <c:v>10.809869361558963</c:v>
                </c:pt>
                <c:pt idx="1379">
                  <c:v>10.889817368312208</c:v>
                </c:pt>
                <c:pt idx="1380">
                  <c:v>10.806577015335892</c:v>
                </c:pt>
                <c:pt idx="1381">
                  <c:v>10.486468121796999</c:v>
                </c:pt>
                <c:pt idx="1382">
                  <c:v>10.245085936450741</c:v>
                </c:pt>
                <c:pt idx="1383">
                  <c:v>10.212764091182963</c:v>
                </c:pt>
                <c:pt idx="1384">
                  <c:v>10.12965525132404</c:v>
                </c:pt>
                <c:pt idx="1385">
                  <c:v>10.362300772417779</c:v>
                </c:pt>
                <c:pt idx="1386">
                  <c:v>10.309365951680654</c:v>
                </c:pt>
                <c:pt idx="1387">
                  <c:v>10.299907439620648</c:v>
                </c:pt>
                <c:pt idx="1388">
                  <c:v>10.515827570795828</c:v>
                </c:pt>
                <c:pt idx="1389">
                  <c:v>10.872810164907834</c:v>
                </c:pt>
                <c:pt idx="1390">
                  <c:v>10.685370904146971</c:v>
                </c:pt>
                <c:pt idx="1391">
                  <c:v>10.725310050833448</c:v>
                </c:pt>
                <c:pt idx="1392">
                  <c:v>10.767583448998121</c:v>
                </c:pt>
                <c:pt idx="1393">
                  <c:v>10.620188678933769</c:v>
                </c:pt>
                <c:pt idx="1394">
                  <c:v>10.650324984070064</c:v>
                </c:pt>
                <c:pt idx="1395">
                  <c:v>10.720080699683997</c:v>
                </c:pt>
                <c:pt idx="1396">
                  <c:v>10.881760939313361</c:v>
                </c:pt>
                <c:pt idx="1397">
                  <c:v>10.695565539802656</c:v>
                </c:pt>
                <c:pt idx="1398">
                  <c:v>10.761822546949775</c:v>
                </c:pt>
                <c:pt idx="1399">
                  <c:v>10.71621098223182</c:v>
                </c:pt>
                <c:pt idx="1400">
                  <c:v>10.447447381076854</c:v>
                </c:pt>
                <c:pt idx="1401">
                  <c:v>10.584824239358728</c:v>
                </c:pt>
                <c:pt idx="1402">
                  <c:v>10.618284779301817</c:v>
                </c:pt>
                <c:pt idx="1403">
                  <c:v>10.433676437190647</c:v>
                </c:pt>
                <c:pt idx="1404">
                  <c:v>10.475234921204754</c:v>
                </c:pt>
                <c:pt idx="1405">
                  <c:v>10.477928335436372</c:v>
                </c:pt>
                <c:pt idx="1406">
                  <c:v>10.485685186267098</c:v>
                </c:pt>
                <c:pt idx="1407">
                  <c:v>10.430341941068541</c:v>
                </c:pt>
                <c:pt idx="1408">
                  <c:v>10.404082163408583</c:v>
                </c:pt>
                <c:pt idx="1409">
                  <c:v>10.368573491181163</c:v>
                </c:pt>
                <c:pt idx="1410">
                  <c:v>10.395465514011496</c:v>
                </c:pt>
                <c:pt idx="1411">
                  <c:v>10.257500731906578</c:v>
                </c:pt>
                <c:pt idx="1412">
                  <c:v>10.082423625677885</c:v>
                </c:pt>
                <c:pt idx="1413">
                  <c:v>10.151594489927662</c:v>
                </c:pt>
                <c:pt idx="1414">
                  <c:v>10.132552868031524</c:v>
                </c:pt>
                <c:pt idx="1415">
                  <c:v>10.134906525391598</c:v>
                </c:pt>
                <c:pt idx="1416">
                  <c:v>10.080985652621141</c:v>
                </c:pt>
                <c:pt idx="1417">
                  <c:v>9.9933363116726657</c:v>
                </c:pt>
                <c:pt idx="1418">
                  <c:v>9.8463793999092371</c:v>
                </c:pt>
                <c:pt idx="1419">
                  <c:v>9.8442117117876506</c:v>
                </c:pt>
                <c:pt idx="1420">
                  <c:v>9.6667514148664591</c:v>
                </c:pt>
                <c:pt idx="1421">
                  <c:v>9.4593565082109894</c:v>
                </c:pt>
                <c:pt idx="1422">
                  <c:v>9.0423955649947647</c:v>
                </c:pt>
                <c:pt idx="1423">
                  <c:v>9.2113063216918007</c:v>
                </c:pt>
                <c:pt idx="1424">
                  <c:v>9.3023757623479497</c:v>
                </c:pt>
                <c:pt idx="1425">
                  <c:v>9.1941591508215641</c:v>
                </c:pt>
                <c:pt idx="1426">
                  <c:v>9.2367913208218067</c:v>
                </c:pt>
                <c:pt idx="1427">
                  <c:v>8.8533371856484475</c:v>
                </c:pt>
                <c:pt idx="1428">
                  <c:v>8.8393873108655558</c:v>
                </c:pt>
                <c:pt idx="1429">
                  <c:v>8.7259139584088921</c:v>
                </c:pt>
                <c:pt idx="1430">
                  <c:v>8.3363806403160154</c:v>
                </c:pt>
                <c:pt idx="1431">
                  <c:v>8.5107874198833464</c:v>
                </c:pt>
                <c:pt idx="1432">
                  <c:v>8.1971137622529717</c:v>
                </c:pt>
                <c:pt idx="1433">
                  <c:v>7.8942624777386117</c:v>
                </c:pt>
                <c:pt idx="1434">
                  <c:v>7.5566405635210288</c:v>
                </c:pt>
                <c:pt idx="1435">
                  <c:v>7.3367418220871103</c:v>
                </c:pt>
                <c:pt idx="1436">
                  <c:v>7.1974155426811981</c:v>
                </c:pt>
                <c:pt idx="1437">
                  <c:v>7.4176372097367391</c:v>
                </c:pt>
                <c:pt idx="1438">
                  <c:v>6.9590735402813353</c:v>
                </c:pt>
                <c:pt idx="1439">
                  <c:v>5.7007214840425293</c:v>
                </c:pt>
                <c:pt idx="1440">
                  <c:v>4.3467394866621607</c:v>
                </c:pt>
                <c:pt idx="1441">
                  <c:v>5.8692569833158545</c:v>
                </c:pt>
                <c:pt idx="1442">
                  <c:v>6.2442520845476555</c:v>
                </c:pt>
                <c:pt idx="1443">
                  <c:v>5.9783261035202715</c:v>
                </c:pt>
                <c:pt idx="1444">
                  <c:v>6.0320760923421259</c:v>
                </c:pt>
                <c:pt idx="1445">
                  <c:v>6.0558877498715802</c:v>
                </c:pt>
                <c:pt idx="1446">
                  <c:v>6.6228151473887626</c:v>
                </c:pt>
                <c:pt idx="1447">
                  <c:v>7.9656679294010448</c:v>
                </c:pt>
                <c:pt idx="1448">
                  <c:v>7.4160269526938523</c:v>
                </c:pt>
                <c:pt idx="1449">
                  <c:v>7.3986054161859913</c:v>
                </c:pt>
                <c:pt idx="1450">
                  <c:v>7.3161937225821605</c:v>
                </c:pt>
                <c:pt idx="1451">
                  <c:v>7.3394448502043739</c:v>
                </c:pt>
                <c:pt idx="1452">
                  <c:v>7.7020828956268934</c:v>
                </c:pt>
                <c:pt idx="1453">
                  <c:v>7.7037494592913243</c:v>
                </c:pt>
                <c:pt idx="1454">
                  <c:v>7.2984690109775432</c:v>
                </c:pt>
                <c:pt idx="1455">
                  <c:v>7.3191582695200852</c:v>
                </c:pt>
                <c:pt idx="1456">
                  <c:v>7.5356180386278577</c:v>
                </c:pt>
                <c:pt idx="1457">
                  <c:v>7.6786576903326695</c:v>
                </c:pt>
                <c:pt idx="1458">
                  <c:v>7.5534669279543074</c:v>
                </c:pt>
                <c:pt idx="1459">
                  <c:v>7.6540089472315778</c:v>
                </c:pt>
                <c:pt idx="1460">
                  <c:v>7.6204549747202117</c:v>
                </c:pt>
                <c:pt idx="1461">
                  <c:v>7.6897750539132508</c:v>
                </c:pt>
                <c:pt idx="1462">
                  <c:v>7.5642163724902032</c:v>
                </c:pt>
                <c:pt idx="1463">
                  <c:v>6.9328130151587306</c:v>
                </c:pt>
                <c:pt idx="1464">
                  <c:v>6.605494066310313</c:v>
                </c:pt>
                <c:pt idx="1465">
                  <c:v>6.7056173593895139</c:v>
                </c:pt>
                <c:pt idx="1466">
                  <c:v>6.4707947903152148</c:v>
                </c:pt>
                <c:pt idx="1467">
                  <c:v>6.1797744805071808</c:v>
                </c:pt>
                <c:pt idx="1468">
                  <c:v>6.5594869918404344</c:v>
                </c:pt>
                <c:pt idx="1469">
                  <c:v>6.6039410042774795</c:v>
                </c:pt>
                <c:pt idx="1470">
                  <c:v>6.5794900861301926</c:v>
                </c:pt>
                <c:pt idx="1471">
                  <c:v>6.5562554917995586</c:v>
                </c:pt>
                <c:pt idx="1472">
                  <c:v>6.1614996339922694</c:v>
                </c:pt>
                <c:pt idx="1473">
                  <c:v>5.7801985324673533</c:v>
                </c:pt>
                <c:pt idx="1474">
                  <c:v>5.7986553941308969</c:v>
                </c:pt>
                <c:pt idx="1475">
                  <c:v>5.7765296579454706</c:v>
                </c:pt>
                <c:pt idx="1476">
                  <c:v>5.4045005200206813</c:v>
                </c:pt>
                <c:pt idx="1477">
                  <c:v>5.3646123450910199</c:v>
                </c:pt>
                <c:pt idx="1478">
                  <c:v>4.8232359492439345</c:v>
                </c:pt>
                <c:pt idx="1479">
                  <c:v>5.2283374873581163</c:v>
                </c:pt>
                <c:pt idx="1480">
                  <c:v>5.0560978161116843</c:v>
                </c:pt>
                <c:pt idx="1481">
                  <c:v>4.9195419222448002</c:v>
                </c:pt>
                <c:pt idx="1482">
                  <c:v>4.6505290417055232</c:v>
                </c:pt>
                <c:pt idx="1483">
                  <c:v>4.7205419308705556</c:v>
                </c:pt>
                <c:pt idx="1484">
                  <c:v>4.7518753261411373</c:v>
                </c:pt>
                <c:pt idx="1485">
                  <c:v>4.6274530615877216</c:v>
                </c:pt>
                <c:pt idx="1486">
                  <c:v>4.64001081246633</c:v>
                </c:pt>
                <c:pt idx="1487">
                  <c:v>4.9907557783456626</c:v>
                </c:pt>
                <c:pt idx="1488">
                  <c:v>5.0776017959252888</c:v>
                </c:pt>
                <c:pt idx="1489">
                  <c:v>5.0232851105876435</c:v>
                </c:pt>
                <c:pt idx="1490">
                  <c:v>4.9571758572500757</c:v>
                </c:pt>
                <c:pt idx="1491">
                  <c:v>4.7748416083742757</c:v>
                </c:pt>
                <c:pt idx="1492">
                  <c:v>4.7479617878445843</c:v>
                </c:pt>
                <c:pt idx="1493">
                  <c:v>5.3966509846533084</c:v>
                </c:pt>
                <c:pt idx="1494">
                  <c:v>5.3148806216792792</c:v>
                </c:pt>
                <c:pt idx="1495">
                  <c:v>5.3836664583698965</c:v>
                </c:pt>
                <c:pt idx="1496">
                  <c:v>5.1850461534013013</c:v>
                </c:pt>
                <c:pt idx="1497">
                  <c:v>5.237598740767508</c:v>
                </c:pt>
                <c:pt idx="1498">
                  <c:v>5.1752465819749922</c:v>
                </c:pt>
                <c:pt idx="1499">
                  <c:v>5.1142427268087403</c:v>
                </c:pt>
                <c:pt idx="1500">
                  <c:v>5.1281218249258052</c:v>
                </c:pt>
                <c:pt idx="1501">
                  <c:v>5.2358987234058691</c:v>
                </c:pt>
                <c:pt idx="1502">
                  <c:v>5.1219201057930395</c:v>
                </c:pt>
                <c:pt idx="1503">
                  <c:v>5.1496924724243742</c:v>
                </c:pt>
                <c:pt idx="1504">
                  <c:v>5.1749007726506182</c:v>
                </c:pt>
                <c:pt idx="1505">
                  <c:v>4.7801861817002509</c:v>
                </c:pt>
                <c:pt idx="1506">
                  <c:v>4.7884700529446045</c:v>
                </c:pt>
                <c:pt idx="1507">
                  <c:v>4.8555345725765529</c:v>
                </c:pt>
                <c:pt idx="1508">
                  <c:v>4.9155546512807655</c:v>
                </c:pt>
                <c:pt idx="1509">
                  <c:v>4.877467693262072</c:v>
                </c:pt>
                <c:pt idx="1510">
                  <c:v>4.915187665929114</c:v>
                </c:pt>
                <c:pt idx="1511">
                  <c:v>5.1559677410143969</c:v>
                </c:pt>
                <c:pt idx="1512">
                  <c:v>5.1851606494811646</c:v>
                </c:pt>
                <c:pt idx="1513">
                  <c:v>6.3860634058312273</c:v>
                </c:pt>
                <c:pt idx="1514">
                  <c:v>6.2166237249318774</c:v>
                </c:pt>
                <c:pt idx="1515">
                  <c:v>6.1153857719095308</c:v>
                </c:pt>
                <c:pt idx="1516">
                  <c:v>6.1214251094332015</c:v>
                </c:pt>
                <c:pt idx="1517">
                  <c:v>6.2318269990079465</c:v>
                </c:pt>
                <c:pt idx="1518">
                  <c:v>5.5445950080323669</c:v>
                </c:pt>
                <c:pt idx="1519">
                  <c:v>5.6816598782629502</c:v>
                </c:pt>
                <c:pt idx="1520">
                  <c:v>6.3824661769741926</c:v>
                </c:pt>
                <c:pt idx="1521">
                  <c:v>6.1416643316001567</c:v>
                </c:pt>
                <c:pt idx="1522">
                  <c:v>5.8363543395861468</c:v>
                </c:pt>
                <c:pt idx="1523">
                  <c:v>6.0862528922478836</c:v>
                </c:pt>
                <c:pt idx="1524">
                  <c:v>6.1059756056031516</c:v>
                </c:pt>
                <c:pt idx="1525">
                  <c:v>6.030624889993069</c:v>
                </c:pt>
                <c:pt idx="1526">
                  <c:v>6.3656110462737558</c:v>
                </c:pt>
                <c:pt idx="1527">
                  <c:v>6.3758071161399403</c:v>
                </c:pt>
                <c:pt idx="1528">
                  <c:v>6.4170101065358933</c:v>
                </c:pt>
                <c:pt idx="1529">
                  <c:v>6.6536523061469053</c:v>
                </c:pt>
                <c:pt idx="1530">
                  <c:v>6.5445572672605268</c:v>
                </c:pt>
                <c:pt idx="1531">
                  <c:v>6.5070347312034205</c:v>
                </c:pt>
                <c:pt idx="1532">
                  <c:v>6.6248728976623248</c:v>
                </c:pt>
                <c:pt idx="1533">
                  <c:v>6.1616476219699408</c:v>
                </c:pt>
                <c:pt idx="1534">
                  <c:v>6.2373414659209923</c:v>
                </c:pt>
                <c:pt idx="1535">
                  <c:v>6.4777382901092322</c:v>
                </c:pt>
                <c:pt idx="1536">
                  <c:v>6.4774800316140491</c:v>
                </c:pt>
                <c:pt idx="1537">
                  <c:v>6.5738995371053432</c:v>
                </c:pt>
                <c:pt idx="1538">
                  <c:v>6.5016688027855984</c:v>
                </c:pt>
                <c:pt idx="1539">
                  <c:v>6.3560117389059974</c:v>
                </c:pt>
                <c:pt idx="1540">
                  <c:v>6.4068411446396585</c:v>
                </c:pt>
                <c:pt idx="1541">
                  <c:v>6.2661454390796738</c:v>
                </c:pt>
                <c:pt idx="1542">
                  <c:v>6.042438807899658</c:v>
                </c:pt>
                <c:pt idx="1543">
                  <c:v>5.6908895691461323</c:v>
                </c:pt>
                <c:pt idx="1544">
                  <c:v>5.8625970424230234</c:v>
                </c:pt>
                <c:pt idx="1545">
                  <c:v>5.742690907856848</c:v>
                </c:pt>
                <c:pt idx="1546">
                  <c:v>5.553702268177819</c:v>
                </c:pt>
                <c:pt idx="1547">
                  <c:v>5.4359746517484684</c:v>
                </c:pt>
                <c:pt idx="1548">
                  <c:v>5.4445064101033163</c:v>
                </c:pt>
                <c:pt idx="1549">
                  <c:v>5.1350192064430287</c:v>
                </c:pt>
                <c:pt idx="1550">
                  <c:v>5.1620694041459254</c:v>
                </c:pt>
                <c:pt idx="1551">
                  <c:v>5.1339236364947203</c:v>
                </c:pt>
                <c:pt idx="1552">
                  <c:v>5.4177506095025105</c:v>
                </c:pt>
                <c:pt idx="1553">
                  <c:v>5.3407460045311188</c:v>
                </c:pt>
                <c:pt idx="1554">
                  <c:v>5.4275534763691242</c:v>
                </c:pt>
                <c:pt idx="1555">
                  <c:v>5.2214716110451942</c:v>
                </c:pt>
                <c:pt idx="1556">
                  <c:v>5.2574711432996057</c:v>
                </c:pt>
                <c:pt idx="1557">
                  <c:v>5.2545817367958643</c:v>
                </c:pt>
                <c:pt idx="1558">
                  <c:v>5.1474322587835548</c:v>
                </c:pt>
                <c:pt idx="1559">
                  <c:v>5.2113107841611548</c:v>
                </c:pt>
                <c:pt idx="1560">
                  <c:v>5.4586882855059731</c:v>
                </c:pt>
                <c:pt idx="1561">
                  <c:v>5.4218127296395942</c:v>
                </c:pt>
                <c:pt idx="1562">
                  <c:v>5.6641839636183811</c:v>
                </c:pt>
                <c:pt idx="1563">
                  <c:v>5.9237213429085536</c:v>
                </c:pt>
                <c:pt idx="1564">
                  <c:v>5.7232362119511793</c:v>
                </c:pt>
                <c:pt idx="1565">
                  <c:v>5.5969524773829136</c:v>
                </c:pt>
                <c:pt idx="1566">
                  <c:v>5.6377985131266053</c:v>
                </c:pt>
                <c:pt idx="1567">
                  <c:v>5.602312772409455</c:v>
                </c:pt>
                <c:pt idx="1568">
                  <c:v>5.5459090107329567</c:v>
                </c:pt>
                <c:pt idx="1569">
                  <c:v>5.4727692793532237</c:v>
                </c:pt>
                <c:pt idx="1570">
                  <c:v>5.6224530147407386</c:v>
                </c:pt>
                <c:pt idx="1571">
                  <c:v>5.5946168207809501</c:v>
                </c:pt>
                <c:pt idx="1572">
                  <c:v>5.5603596666962831</c:v>
                </c:pt>
                <c:pt idx="1573">
                  <c:v>5.5579723496937206</c:v>
                </c:pt>
                <c:pt idx="1574">
                  <c:v>5.5300997472030993</c:v>
                </c:pt>
                <c:pt idx="1575">
                  <c:v>5.5128642592001329</c:v>
                </c:pt>
                <c:pt idx="1576">
                  <c:v>5.6793263068845832</c:v>
                </c:pt>
                <c:pt idx="1577">
                  <c:v>5.6222731647313084</c:v>
                </c:pt>
                <c:pt idx="1578">
                  <c:v>5.6303194232479061</c:v>
                </c:pt>
                <c:pt idx="1579">
                  <c:v>5.5753872778819469</c:v>
                </c:pt>
                <c:pt idx="1580">
                  <c:v>5.5197296422888051</c:v>
                </c:pt>
                <c:pt idx="1581">
                  <c:v>5.5416019526359221</c:v>
                </c:pt>
                <c:pt idx="1582">
                  <c:v>5.5559081530180965</c:v>
                </c:pt>
                <c:pt idx="1583">
                  <c:v>5.5319029892459222</c:v>
                </c:pt>
                <c:pt idx="1584">
                  <c:v>5.5359112021415235</c:v>
                </c:pt>
                <c:pt idx="1585">
                  <c:v>5.4159948620245268</c:v>
                </c:pt>
                <c:pt idx="1586">
                  <c:v>5.4139793685435667</c:v>
                </c:pt>
                <c:pt idx="1587">
                  <c:v>5.569752108610631</c:v>
                </c:pt>
                <c:pt idx="1588">
                  <c:v>5.5600146141952305</c:v>
                </c:pt>
                <c:pt idx="1589">
                  <c:v>5.5498018128136479</c:v>
                </c:pt>
                <c:pt idx="1590">
                  <c:v>5.4897114252466297</c:v>
                </c:pt>
                <c:pt idx="1591">
                  <c:v>5.4901576238698437</c:v>
                </c:pt>
                <c:pt idx="1592">
                  <c:v>5.4778171913647551</c:v>
                </c:pt>
                <c:pt idx="1593">
                  <c:v>5.453099061439497</c:v>
                </c:pt>
                <c:pt idx="1594">
                  <c:v>5.4374432133005328</c:v>
                </c:pt>
                <c:pt idx="1595">
                  <c:v>5.4707583964948698</c:v>
                </c:pt>
                <c:pt idx="1596">
                  <c:v>5.4436356175934044</c:v>
                </c:pt>
                <c:pt idx="1597">
                  <c:v>5.534673878092641</c:v>
                </c:pt>
                <c:pt idx="1598">
                  <c:v>5.513826015673863</c:v>
                </c:pt>
                <c:pt idx="1599">
                  <c:v>5.4729114036739865</c:v>
                </c:pt>
                <c:pt idx="1600">
                  <c:v>5.3927901069989641</c:v>
                </c:pt>
                <c:pt idx="1601">
                  <c:v>5.4028045285449773</c:v>
                </c:pt>
                <c:pt idx="1602">
                  <c:v>5.4308983527999066</c:v>
                </c:pt>
                <c:pt idx="1603">
                  <c:v>5.4078746731097258</c:v>
                </c:pt>
                <c:pt idx="1604">
                  <c:v>5.3530046399939675</c:v>
                </c:pt>
                <c:pt idx="1605">
                  <c:v>5.3401757705446826</c:v>
                </c:pt>
                <c:pt idx="1606">
                  <c:v>5.3652912876357917</c:v>
                </c:pt>
                <c:pt idx="1607">
                  <c:v>5.3723882568180308</c:v>
                </c:pt>
                <c:pt idx="1608">
                  <c:v>5.2621032976112536</c:v>
                </c:pt>
                <c:pt idx="1609">
                  <c:v>5.142179132101357</c:v>
                </c:pt>
                <c:pt idx="1610">
                  <c:v>5.106855256897151</c:v>
                </c:pt>
                <c:pt idx="1611">
                  <c:v>5.1191575092896651</c:v>
                </c:pt>
                <c:pt idx="1612">
                  <c:v>4.9911495507759396</c:v>
                </c:pt>
                <c:pt idx="1613">
                  <c:v>4.9374830915931369</c:v>
                </c:pt>
                <c:pt idx="1614">
                  <c:v>4.8678537299760887</c:v>
                </c:pt>
                <c:pt idx="1615">
                  <c:v>4.8341817692046209</c:v>
                </c:pt>
                <c:pt idx="1616">
                  <c:v>5.1742749836003528</c:v>
                </c:pt>
                <c:pt idx="1617">
                  <c:v>5.1040415791248028</c:v>
                </c:pt>
                <c:pt idx="1618">
                  <c:v>5.0022568042353281</c:v>
                </c:pt>
                <c:pt idx="1619">
                  <c:v>5.0793178144461164</c:v>
                </c:pt>
                <c:pt idx="1620">
                  <c:v>5.0354827205031132</c:v>
                </c:pt>
                <c:pt idx="1621">
                  <c:v>5.1563770918666165</c:v>
                </c:pt>
                <c:pt idx="1622">
                  <c:v>5.0793133863691349</c:v>
                </c:pt>
                <c:pt idx="1623">
                  <c:v>5.1088757548065011</c:v>
                </c:pt>
                <c:pt idx="1624">
                  <c:v>5.1091600920439291</c:v>
                </c:pt>
                <c:pt idx="1625">
                  <c:v>4.953170897921515</c:v>
                </c:pt>
                <c:pt idx="1626">
                  <c:v>4.941298818795147</c:v>
                </c:pt>
                <c:pt idx="1627">
                  <c:v>4.9713724019685319</c:v>
                </c:pt>
                <c:pt idx="1628">
                  <c:v>4.9255697333199668</c:v>
                </c:pt>
                <c:pt idx="1629">
                  <c:v>5.023833760463952</c:v>
                </c:pt>
                <c:pt idx="1630">
                  <c:v>5.0453744555144029</c:v>
                </c:pt>
                <c:pt idx="1631">
                  <c:v>5.0116408574022238</c:v>
                </c:pt>
                <c:pt idx="1632">
                  <c:v>4.9973623915963818</c:v>
                </c:pt>
                <c:pt idx="1633">
                  <c:v>4.9910299790886956</c:v>
                </c:pt>
                <c:pt idx="1634">
                  <c:v>4.9731775428051588</c:v>
                </c:pt>
                <c:pt idx="1635">
                  <c:v>5.0052569771212978</c:v>
                </c:pt>
                <c:pt idx="1636">
                  <c:v>5.0078166420939247</c:v>
                </c:pt>
                <c:pt idx="1637">
                  <c:v>5.0162563998316161</c:v>
                </c:pt>
                <c:pt idx="1638">
                  <c:v>5.18391495636632</c:v>
                </c:pt>
                <c:pt idx="1639">
                  <c:v>5.1878319746978541</c:v>
                </c:pt>
                <c:pt idx="1640">
                  <c:v>5.180717945321871</c:v>
                </c:pt>
                <c:pt idx="1641">
                  <c:v>5.1890506249477957</c:v>
                </c:pt>
                <c:pt idx="1642">
                  <c:v>5.1398609878027486</c:v>
                </c:pt>
                <c:pt idx="1643">
                  <c:v>5.0955408752745894</c:v>
                </c:pt>
                <c:pt idx="1644">
                  <c:v>5.0711524968815542</c:v>
                </c:pt>
                <c:pt idx="1645">
                  <c:v>4.7341364470490834</c:v>
                </c:pt>
                <c:pt idx="1646">
                  <c:v>4.4376059315120928</c:v>
                </c:pt>
                <c:pt idx="1647">
                  <c:v>4.1961704391691956</c:v>
                </c:pt>
                <c:pt idx="1648">
                  <c:v>4.0647446966029044</c:v>
                </c:pt>
                <c:pt idx="1649">
                  <c:v>3.9835215466577298</c:v>
                </c:pt>
                <c:pt idx="1650">
                  <c:v>4.0961239551069788</c:v>
                </c:pt>
                <c:pt idx="1651">
                  <c:v>4.0614420132998177</c:v>
                </c:pt>
                <c:pt idx="1652">
                  <c:v>3.9349868884309895</c:v>
                </c:pt>
                <c:pt idx="1653">
                  <c:v>3.6872816923054414</c:v>
                </c:pt>
                <c:pt idx="1654">
                  <c:v>3.7085117967060826</c:v>
                </c:pt>
                <c:pt idx="1655">
                  <c:v>3.6550247181793583</c:v>
                </c:pt>
                <c:pt idx="1656">
                  <c:v>3.6588138027204602</c:v>
                </c:pt>
                <c:pt idx="1657">
                  <c:v>3.718631227803304</c:v>
                </c:pt>
                <c:pt idx="1658">
                  <c:v>3.7026389122971635</c:v>
                </c:pt>
                <c:pt idx="1659">
                  <c:v>3.7147319288783964</c:v>
                </c:pt>
                <c:pt idx="1660">
                  <c:v>3.6682193229628011</c:v>
                </c:pt>
                <c:pt idx="1661">
                  <c:v>3.3717191037013796</c:v>
                </c:pt>
                <c:pt idx="1662">
                  <c:v>3.0156947157075531</c:v>
                </c:pt>
                <c:pt idx="1663">
                  <c:v>3.0104934400219219</c:v>
                </c:pt>
                <c:pt idx="1664">
                  <c:v>3.0965147791273795</c:v>
                </c:pt>
                <c:pt idx="1665">
                  <c:v>2.818836255047116</c:v>
                </c:pt>
                <c:pt idx="1666">
                  <c:v>2.7948621519717203</c:v>
                </c:pt>
                <c:pt idx="1667">
                  <c:v>2.7242172338391302</c:v>
                </c:pt>
                <c:pt idx="1668">
                  <c:v>2.7278406756502154</c:v>
                </c:pt>
                <c:pt idx="1669">
                  <c:v>2.6793197662871164</c:v>
                </c:pt>
                <c:pt idx="1670">
                  <c:v>2.9391149503059011</c:v>
                </c:pt>
                <c:pt idx="1671">
                  <c:v>3.1814907235298282</c:v>
                </c:pt>
                <c:pt idx="1672">
                  <c:v>3.7750745078655101</c:v>
                </c:pt>
                <c:pt idx="1673">
                  <c:v>3.3621210654831768</c:v>
                </c:pt>
                <c:pt idx="1674">
                  <c:v>3.1911870403334643</c:v>
                </c:pt>
                <c:pt idx="1675">
                  <c:v>3.3404686736240907</c:v>
                </c:pt>
                <c:pt idx="1676">
                  <c:v>3.4202479608635454</c:v>
                </c:pt>
                <c:pt idx="1677">
                  <c:v>3.3847725881899913</c:v>
                </c:pt>
                <c:pt idx="1678">
                  <c:v>3.4702215059106245</c:v>
                </c:pt>
                <c:pt idx="1679">
                  <c:v>3.4548957312077384</c:v>
                </c:pt>
                <c:pt idx="1680">
                  <c:v>3.2195939851470623</c:v>
                </c:pt>
                <c:pt idx="1681">
                  <c:v>3.2057053533508251</c:v>
                </c:pt>
                <c:pt idx="1682">
                  <c:v>3.2496084714788673</c:v>
                </c:pt>
                <c:pt idx="1683">
                  <c:v>3.2381525662723054</c:v>
                </c:pt>
                <c:pt idx="1684">
                  <c:v>3.2234025639385333</c:v>
                </c:pt>
                <c:pt idx="1685">
                  <c:v>3.2238045145451251</c:v>
                </c:pt>
                <c:pt idx="1686">
                  <c:v>3.4108045020745212</c:v>
                </c:pt>
                <c:pt idx="1687">
                  <c:v>3.4274089714356641</c:v>
                </c:pt>
                <c:pt idx="1688">
                  <c:v>3.3585138046319121</c:v>
                </c:pt>
                <c:pt idx="1689">
                  <c:v>3.4019717620029946</c:v>
                </c:pt>
                <c:pt idx="1690">
                  <c:v>3.4045236601962707</c:v>
                </c:pt>
                <c:pt idx="1691">
                  <c:v>3.3945387335542958</c:v>
                </c:pt>
                <c:pt idx="1692">
                  <c:v>3.2884112918308901</c:v>
                </c:pt>
                <c:pt idx="1693">
                  <c:v>3.3534648942643872</c:v>
                </c:pt>
                <c:pt idx="1694">
                  <c:v>3.3100501582642519</c:v>
                </c:pt>
                <c:pt idx="1695">
                  <c:v>3.3093515965406901</c:v>
                </c:pt>
                <c:pt idx="1696">
                  <c:v>3.3028340505375082</c:v>
                </c:pt>
                <c:pt idx="1697">
                  <c:v>3.2485924993379167</c:v>
                </c:pt>
                <c:pt idx="1698">
                  <c:v>3.2821254851224895</c:v>
                </c:pt>
                <c:pt idx="1699">
                  <c:v>3.2820882607411854</c:v>
                </c:pt>
                <c:pt idx="1700">
                  <c:v>3.2831517146912308</c:v>
                </c:pt>
                <c:pt idx="1701">
                  <c:v>3.2832264086324021</c:v>
                </c:pt>
                <c:pt idx="1702">
                  <c:v>3.2800197066092207</c:v>
                </c:pt>
                <c:pt idx="1703">
                  <c:v>3.280851836694608</c:v>
                </c:pt>
                <c:pt idx="1704">
                  <c:v>3.2812241002229219</c:v>
                </c:pt>
                <c:pt idx="1705">
                  <c:v>3.2759969820091372</c:v>
                </c:pt>
                <c:pt idx="1706">
                  <c:v>3.2810729963499936</c:v>
                </c:pt>
                <c:pt idx="1707">
                  <c:v>3.2829135170295309</c:v>
                </c:pt>
                <c:pt idx="1708">
                  <c:v>3.2833088509804607</c:v>
                </c:pt>
                <c:pt idx="1709">
                  <c:v>3.2839673481051403</c:v>
                </c:pt>
                <c:pt idx="1710">
                  <c:v>3.2537790178142294</c:v>
                </c:pt>
                <c:pt idx="1711">
                  <c:v>3.2267000476662013</c:v>
                </c:pt>
                <c:pt idx="1712">
                  <c:v>3.1978876204296265</c:v>
                </c:pt>
                <c:pt idx="1713">
                  <c:v>3.1844307971269736</c:v>
                </c:pt>
                <c:pt idx="1714">
                  <c:v>3.2154466255912242</c:v>
                </c:pt>
                <c:pt idx="1715">
                  <c:v>3.2128813670179541</c:v>
                </c:pt>
                <c:pt idx="1716">
                  <c:v>3.2099595310786468</c:v>
                </c:pt>
                <c:pt idx="1717">
                  <c:v>3.2446101347849279</c:v>
                </c:pt>
                <c:pt idx="1718">
                  <c:v>3.2440548614804401</c:v>
                </c:pt>
                <c:pt idx="1719">
                  <c:v>3.2387488177422155</c:v>
                </c:pt>
                <c:pt idx="1720">
                  <c:v>3.2411962708226021</c:v>
                </c:pt>
                <c:pt idx="1721">
                  <c:v>3.2491815375829467</c:v>
                </c:pt>
                <c:pt idx="1722">
                  <c:v>3.2437375582249932</c:v>
                </c:pt>
                <c:pt idx="1723">
                  <c:v>3.2423078685697249</c:v>
                </c:pt>
                <c:pt idx="1724">
                  <c:v>3.2321366913967746</c:v>
                </c:pt>
                <c:pt idx="1725">
                  <c:v>3.2118859157882551</c:v>
                </c:pt>
                <c:pt idx="1726">
                  <c:v>3.204330247151872</c:v>
                </c:pt>
                <c:pt idx="1727">
                  <c:v>3.2256228682814427</c:v>
                </c:pt>
                <c:pt idx="1728">
                  <c:v>3.2135725738877499</c:v>
                </c:pt>
                <c:pt idx="1729">
                  <c:v>3.2150406441570833</c:v>
                </c:pt>
                <c:pt idx="1730">
                  <c:v>3.2242176222559635</c:v>
                </c:pt>
                <c:pt idx="1731">
                  <c:v>3.2304470066586477</c:v>
                </c:pt>
                <c:pt idx="1732">
                  <c:v>3.2261061196631635</c:v>
                </c:pt>
                <c:pt idx="1733">
                  <c:v>3.230384624644449</c:v>
                </c:pt>
                <c:pt idx="1734">
                  <c:v>3.2295427682369064</c:v>
                </c:pt>
                <c:pt idx="1735">
                  <c:v>3.2168093067965264</c:v>
                </c:pt>
                <c:pt idx="1736">
                  <c:v>3.2241156146893029</c:v>
                </c:pt>
                <c:pt idx="1737">
                  <c:v>3.2174373279230783</c:v>
                </c:pt>
                <c:pt idx="1738">
                  <c:v>3.2116050546505566</c:v>
                </c:pt>
                <c:pt idx="1739">
                  <c:v>3.215586671279727</c:v>
                </c:pt>
                <c:pt idx="1740">
                  <c:v>3.2213523932603314</c:v>
                </c:pt>
                <c:pt idx="1741">
                  <c:v>3.2153332588585908</c:v>
                </c:pt>
                <c:pt idx="1742">
                  <c:v>3.2107890385504261</c:v>
                </c:pt>
                <c:pt idx="1743">
                  <c:v>3.2097078422549923</c:v>
                </c:pt>
                <c:pt idx="1744">
                  <c:v>3.2150896498824237</c:v>
                </c:pt>
                <c:pt idx="1745">
                  <c:v>3.2771386208725359</c:v>
                </c:pt>
                <c:pt idx="1746">
                  <c:v>3.2852476427925521</c:v>
                </c:pt>
                <c:pt idx="1747">
                  <c:v>3.2890221915118278</c:v>
                </c:pt>
                <c:pt idx="1748">
                  <c:v>3.2941752554657868</c:v>
                </c:pt>
                <c:pt idx="1749">
                  <c:v>3.3328878840014124</c:v>
                </c:pt>
                <c:pt idx="1750">
                  <c:v>3.3217200948425507</c:v>
                </c:pt>
                <c:pt idx="1751">
                  <c:v>3.3243156149602906</c:v>
                </c:pt>
                <c:pt idx="1752">
                  <c:v>3.322609287559823</c:v>
                </c:pt>
                <c:pt idx="1753">
                  <c:v>3.2827134522753014</c:v>
                </c:pt>
                <c:pt idx="1754">
                  <c:v>3.2872344911700915</c:v>
                </c:pt>
                <c:pt idx="1755">
                  <c:v>3.2929226217529433</c:v>
                </c:pt>
                <c:pt idx="1756">
                  <c:v>3.2929949157971055</c:v>
                </c:pt>
                <c:pt idx="1757">
                  <c:v>3.2880680463491903</c:v>
                </c:pt>
                <c:pt idx="1758">
                  <c:v>3.2872026852893863</c:v>
                </c:pt>
                <c:pt idx="1759">
                  <c:v>3.2863642184191608</c:v>
                </c:pt>
                <c:pt idx="1760">
                  <c:v>3.2906508329715107</c:v>
                </c:pt>
                <c:pt idx="1761">
                  <c:v>3.2904110790207302</c:v>
                </c:pt>
                <c:pt idx="1762">
                  <c:v>3.266263436807229</c:v>
                </c:pt>
                <c:pt idx="1763">
                  <c:v>3.2638508959067276</c:v>
                </c:pt>
                <c:pt idx="1764">
                  <c:v>3.2671027457778252</c:v>
                </c:pt>
                <c:pt idx="1765">
                  <c:v>3.2772239977142732</c:v>
                </c:pt>
                <c:pt idx="1766">
                  <c:v>3.2758905428010983</c:v>
                </c:pt>
                <c:pt idx="1767">
                  <c:v>3.2813901141737709</c:v>
                </c:pt>
                <c:pt idx="1768">
                  <c:v>3.2835033986299282</c:v>
                </c:pt>
                <c:pt idx="1769">
                  <c:v>3.2805874009272165</c:v>
                </c:pt>
                <c:pt idx="1770">
                  <c:v>3.2812078553637276</c:v>
                </c:pt>
                <c:pt idx="1771">
                  <c:v>3.2804029964793568</c:v>
                </c:pt>
                <c:pt idx="1772">
                  <c:v>3.295227705929006</c:v>
                </c:pt>
                <c:pt idx="1773">
                  <c:v>3.2961100468033275</c:v>
                </c:pt>
                <c:pt idx="1774">
                  <c:v>3.2942757709459078</c:v>
                </c:pt>
                <c:pt idx="1775">
                  <c:v>3.2905147208399126</c:v>
                </c:pt>
                <c:pt idx="1776">
                  <c:v>3.2907385810577958</c:v>
                </c:pt>
                <c:pt idx="1777">
                  <c:v>3.294019615823959</c:v>
                </c:pt>
                <c:pt idx="1778">
                  <c:v>3.3019374022507217</c:v>
                </c:pt>
                <c:pt idx="1779">
                  <c:v>3.3086639854587756</c:v>
                </c:pt>
                <c:pt idx="1780">
                  <c:v>3.3056102579030107</c:v>
                </c:pt>
                <c:pt idx="1781">
                  <c:v>3.307292845233047</c:v>
                </c:pt>
                <c:pt idx="1782">
                  <c:v>3.3405106360381578</c:v>
                </c:pt>
                <c:pt idx="1783">
                  <c:v>3.3559606764542189</c:v>
                </c:pt>
                <c:pt idx="1784">
                  <c:v>3.3486239148436834</c:v>
                </c:pt>
                <c:pt idx="1785">
                  <c:v>3.3523711403756087</c:v>
                </c:pt>
                <c:pt idx="1786">
                  <c:v>3.3595216967199399</c:v>
                </c:pt>
                <c:pt idx="1787">
                  <c:v>3.3606206196001227</c:v>
                </c:pt>
                <c:pt idx="1788">
                  <c:v>3.3535224320929569</c:v>
                </c:pt>
                <c:pt idx="1789">
                  <c:v>3.3538501926443325</c:v>
                </c:pt>
                <c:pt idx="1790">
                  <c:v>3.3503516695304283</c:v>
                </c:pt>
                <c:pt idx="1791">
                  <c:v>3.3353226494195392</c:v>
                </c:pt>
                <c:pt idx="1792">
                  <c:v>3.3372463159053449</c:v>
                </c:pt>
                <c:pt idx="1793">
                  <c:v>3.3490067301529227</c:v>
                </c:pt>
                <c:pt idx="1794">
                  <c:v>3.4001302464441374</c:v>
                </c:pt>
                <c:pt idx="1795">
                  <c:v>3.3888988203784294</c:v>
                </c:pt>
                <c:pt idx="1796">
                  <c:v>3.3988712476740246</c:v>
                </c:pt>
                <c:pt idx="1797">
                  <c:v>3.4183027412110305</c:v>
                </c:pt>
                <c:pt idx="1798">
                  <c:v>3.4879198398215894</c:v>
                </c:pt>
                <c:pt idx="1799">
                  <c:v>3.4885804373618226</c:v>
                </c:pt>
                <c:pt idx="1800">
                  <c:v>3.5385261357233904</c:v>
                </c:pt>
                <c:pt idx="1801">
                  <c:v>3.5634204665232603</c:v>
                </c:pt>
                <c:pt idx="1802">
                  <c:v>3.5335147028634588</c:v>
                </c:pt>
                <c:pt idx="1803">
                  <c:v>3.605291005487278</c:v>
                </c:pt>
                <c:pt idx="1804">
                  <c:v>3.6031604671248658</c:v>
                </c:pt>
                <c:pt idx="1805">
                  <c:v>3.6439216404363624</c:v>
                </c:pt>
                <c:pt idx="1806">
                  <c:v>3.5510012917561462</c:v>
                </c:pt>
                <c:pt idx="1807">
                  <c:v>3.5467389739919142</c:v>
                </c:pt>
                <c:pt idx="1808">
                  <c:v>3.5699562047254751</c:v>
                </c:pt>
                <c:pt idx="1809">
                  <c:v>3.5367390164023287</c:v>
                </c:pt>
                <c:pt idx="1810">
                  <c:v>3.5405095798708754</c:v>
                </c:pt>
                <c:pt idx="1811">
                  <c:v>3.6295652170601906</c:v>
                </c:pt>
                <c:pt idx="1812">
                  <c:v>3.5723440447615782</c:v>
                </c:pt>
                <c:pt idx="1813">
                  <c:v>3.5689171545516931</c:v>
                </c:pt>
                <c:pt idx="1814">
                  <c:v>3.5418450544244857</c:v>
                </c:pt>
                <c:pt idx="1815">
                  <c:v>3.504212462530357</c:v>
                </c:pt>
                <c:pt idx="1816">
                  <c:v>3.5256932475409108</c:v>
                </c:pt>
                <c:pt idx="1817">
                  <c:v>3.5471800398607694</c:v>
                </c:pt>
                <c:pt idx="1818">
                  <c:v>3.5610376236140895</c:v>
                </c:pt>
                <c:pt idx="1819">
                  <c:v>3.6456343805690365</c:v>
                </c:pt>
                <c:pt idx="1820">
                  <c:v>3.675758252545013</c:v>
                </c:pt>
                <c:pt idx="1821">
                  <c:v>3.6681241985496231</c:v>
                </c:pt>
                <c:pt idx="1822">
                  <c:v>3.6794797629245748</c:v>
                </c:pt>
                <c:pt idx="1823">
                  <c:v>3.6193954972681066</c:v>
                </c:pt>
                <c:pt idx="1824">
                  <c:v>3.640558824398985</c:v>
                </c:pt>
                <c:pt idx="1825">
                  <c:v>3.6480272317343303</c:v>
                </c:pt>
                <c:pt idx="1826">
                  <c:v>3.6402228033350057</c:v>
                </c:pt>
                <c:pt idx="1827">
                  <c:v>3.6319793150769226</c:v>
                </c:pt>
                <c:pt idx="1828">
                  <c:v>3.6216446527651018</c:v>
                </c:pt>
                <c:pt idx="1829">
                  <c:v>3.6278264403934677</c:v>
                </c:pt>
                <c:pt idx="1830">
                  <c:v>3.6278403080604802</c:v>
                </c:pt>
                <c:pt idx="1831">
                  <c:v>3.6266331037298269</c:v>
                </c:pt>
                <c:pt idx="1832">
                  <c:v>3.6560353742079603</c:v>
                </c:pt>
                <c:pt idx="1833">
                  <c:v>3.6761349587381367</c:v>
                </c:pt>
                <c:pt idx="1834">
                  <c:v>3.7380551935014767</c:v>
                </c:pt>
                <c:pt idx="1835">
                  <c:v>3.7224822504256903</c:v>
                </c:pt>
                <c:pt idx="1836">
                  <c:v>3.7269354752104493</c:v>
                </c:pt>
                <c:pt idx="1837">
                  <c:v>3.6689036880663086</c:v>
                </c:pt>
                <c:pt idx="1838">
                  <c:v>3.7070409041185903</c:v>
                </c:pt>
                <c:pt idx="1839">
                  <c:v>3.7135522305697637</c:v>
                </c:pt>
                <c:pt idx="1840">
                  <c:v>3.7322825445983248</c:v>
                </c:pt>
                <c:pt idx="1841">
                  <c:v>3.7335739357353583</c:v>
                </c:pt>
                <c:pt idx="1842">
                  <c:v>3.7395007305350805</c:v>
                </c:pt>
                <c:pt idx="1843">
                  <c:v>3.7195100053303776</c:v>
                </c:pt>
                <c:pt idx="1844">
                  <c:v>3.7539287443054734</c:v>
                </c:pt>
                <c:pt idx="1845">
                  <c:v>3.7579376949282639</c:v>
                </c:pt>
                <c:pt idx="1846">
                  <c:v>3.758049168314697</c:v>
                </c:pt>
                <c:pt idx="1847">
                  <c:v>3.752207795423562</c:v>
                </c:pt>
                <c:pt idx="1848">
                  <c:v>3.7654529336019937</c:v>
                </c:pt>
                <c:pt idx="1849">
                  <c:v>3.7841179657341648</c:v>
                </c:pt>
                <c:pt idx="1850">
                  <c:v>3.7864331732571799</c:v>
                </c:pt>
                <c:pt idx="1851">
                  <c:v>3.789255203672429</c:v>
                </c:pt>
                <c:pt idx="1852">
                  <c:v>3.7939955069880669</c:v>
                </c:pt>
                <c:pt idx="1853">
                  <c:v>3.8480974778740094</c:v>
                </c:pt>
                <c:pt idx="1854">
                  <c:v>4.0094682125231751</c:v>
                </c:pt>
                <c:pt idx="1855">
                  <c:v>4.1872036060750721</c:v>
                </c:pt>
                <c:pt idx="1856">
                  <c:v>4.0935824315829112</c:v>
                </c:pt>
                <c:pt idx="1857">
                  <c:v>4.0041762110798507</c:v>
                </c:pt>
                <c:pt idx="1858">
                  <c:v>4.1120834365588328</c:v>
                </c:pt>
                <c:pt idx="1859">
                  <c:v>4.2334670873735814</c:v>
                </c:pt>
                <c:pt idx="1860">
                  <c:v>4.3488307983754861</c:v>
                </c:pt>
                <c:pt idx="1861">
                  <c:v>4.4026642480436333</c:v>
                </c:pt>
                <c:pt idx="1862">
                  <c:v>4.3056160849167293</c:v>
                </c:pt>
                <c:pt idx="1863">
                  <c:v>4.317111289746034</c:v>
                </c:pt>
                <c:pt idx="1864">
                  <c:v>4.396851871865425</c:v>
                </c:pt>
                <c:pt idx="1865">
                  <c:v>4.6088458536769776</c:v>
                </c:pt>
                <c:pt idx="1866">
                  <c:v>4.6273729837010569</c:v>
                </c:pt>
                <c:pt idx="1867">
                  <c:v>4.8931903436460269</c:v>
                </c:pt>
                <c:pt idx="1868">
                  <c:v>4.574861435452072</c:v>
                </c:pt>
                <c:pt idx="1869">
                  <c:v>3.9719584977702196</c:v>
                </c:pt>
                <c:pt idx="1870">
                  <c:v>3.9724599756178405</c:v>
                </c:pt>
                <c:pt idx="1871">
                  <c:v>4.0376084835348429</c:v>
                </c:pt>
                <c:pt idx="1872">
                  <c:v>4.0213290831041997</c:v>
                </c:pt>
                <c:pt idx="1873">
                  <c:v>4.0271085394448356</c:v>
                </c:pt>
                <c:pt idx="1874">
                  <c:v>3.6866450935018076</c:v>
                </c:pt>
                <c:pt idx="1875">
                  <c:v>3.5555045587649765</c:v>
                </c:pt>
                <c:pt idx="1876">
                  <c:v>3.629085942817547</c:v>
                </c:pt>
                <c:pt idx="1877">
                  <c:v>3.7314039762531253</c:v>
                </c:pt>
                <c:pt idx="1878">
                  <c:v>3.6983485633194526</c:v>
                </c:pt>
                <c:pt idx="1879">
                  <c:v>3.7101070578496507</c:v>
                </c:pt>
                <c:pt idx="1880">
                  <c:v>3.8609553663231457</c:v>
                </c:pt>
                <c:pt idx="1881">
                  <c:v>3.9009923989744273</c:v>
                </c:pt>
                <c:pt idx="1882">
                  <c:v>3.8766920874868993</c:v>
                </c:pt>
                <c:pt idx="1883">
                  <c:v>3.8796112450783182</c:v>
                </c:pt>
                <c:pt idx="1884">
                  <c:v>3.9714707764419286</c:v>
                </c:pt>
                <c:pt idx="1885">
                  <c:v>3.9209297890412329</c:v>
                </c:pt>
                <c:pt idx="1886">
                  <c:v>3.9640162907495049</c:v>
                </c:pt>
                <c:pt idx="1887">
                  <c:v>3.9162341956423643</c:v>
                </c:pt>
                <c:pt idx="1888">
                  <c:v>3.8962046415476168</c:v>
                </c:pt>
                <c:pt idx="1889">
                  <c:v>3.9158101193874244</c:v>
                </c:pt>
                <c:pt idx="1890">
                  <c:v>3.9520726291036068</c:v>
                </c:pt>
                <c:pt idx="1891">
                  <c:v>3.959811369813198</c:v>
                </c:pt>
                <c:pt idx="1892">
                  <c:v>3.9586017454241631</c:v>
                </c:pt>
                <c:pt idx="1893">
                  <c:v>3.9548841529562511</c:v>
                </c:pt>
                <c:pt idx="1894">
                  <c:v>4.0470281343376904</c:v>
                </c:pt>
                <c:pt idx="1895">
                  <c:v>4.1060356618834444</c:v>
                </c:pt>
                <c:pt idx="1896">
                  <c:v>4.176788298451493</c:v>
                </c:pt>
                <c:pt idx="1897">
                  <c:v>4.2527760186838712</c:v>
                </c:pt>
                <c:pt idx="1898">
                  <c:v>4.2723659315571423</c:v>
                </c:pt>
                <c:pt idx="1899">
                  <c:v>4.2793327993405192</c:v>
                </c:pt>
                <c:pt idx="1900">
                  <c:v>4.3208895555603597</c:v>
                </c:pt>
                <c:pt idx="1901">
                  <c:v>4.3848739229568761</c:v>
                </c:pt>
                <c:pt idx="1902">
                  <c:v>4.359403724999467</c:v>
                </c:pt>
                <c:pt idx="1903">
                  <c:v>4.1148209408560676</c:v>
                </c:pt>
                <c:pt idx="1904">
                  <c:v>4.0592433529409888</c:v>
                </c:pt>
                <c:pt idx="1905">
                  <c:v>4.1774225538221987</c:v>
                </c:pt>
                <c:pt idx="1906">
                  <c:v>4.1685072935076786</c:v>
                </c:pt>
                <c:pt idx="1907">
                  <c:v>4.1432924884045823</c:v>
                </c:pt>
                <c:pt idx="1908">
                  <c:v>4.172030844042288</c:v>
                </c:pt>
                <c:pt idx="1909">
                  <c:v>4.1843166097464168</c:v>
                </c:pt>
                <c:pt idx="1910">
                  <c:v>4.2271910866684008</c:v>
                </c:pt>
                <c:pt idx="1911">
                  <c:v>4.301860770793879</c:v>
                </c:pt>
                <c:pt idx="1912">
                  <c:v>4.3514968494632527</c:v>
                </c:pt>
                <c:pt idx="1913">
                  <c:v>4.3132258662802396</c:v>
                </c:pt>
                <c:pt idx="1914">
                  <c:v>4.3553733738170006</c:v>
                </c:pt>
                <c:pt idx="1915">
                  <c:v>4.5172050900153478</c:v>
                </c:pt>
                <c:pt idx="1916">
                  <c:v>4.5526731094124884</c:v>
                </c:pt>
                <c:pt idx="1917">
                  <c:v>4.6623689623940452</c:v>
                </c:pt>
                <c:pt idx="1918">
                  <c:v>4.7895776663711693</c:v>
                </c:pt>
                <c:pt idx="1919">
                  <c:v>4.7370850757771894</c:v>
                </c:pt>
                <c:pt idx="1920">
                  <c:v>4.7149361153961182</c:v>
                </c:pt>
                <c:pt idx="1921">
                  <c:v>4.7484768771079304</c:v>
                </c:pt>
                <c:pt idx="1922">
                  <c:v>4.7908628990415352</c:v>
                </c:pt>
                <c:pt idx="1923">
                  <c:v>4.8932669534661102</c:v>
                </c:pt>
                <c:pt idx="1924">
                  <c:v>4.9841020188891152</c:v>
                </c:pt>
                <c:pt idx="1925">
                  <c:v>5.1362429070223472</c:v>
                </c:pt>
                <c:pt idx="1926">
                  <c:v>5.1447732178506307</c:v>
                </c:pt>
                <c:pt idx="1927">
                  <c:v>5.0868113701277311</c:v>
                </c:pt>
                <c:pt idx="1928">
                  <c:v>5.1498534174616113</c:v>
                </c:pt>
                <c:pt idx="1929">
                  <c:v>4.9657759767061584</c:v>
                </c:pt>
                <c:pt idx="1930">
                  <c:v>4.8733011524300291</c:v>
                </c:pt>
                <c:pt idx="1931">
                  <c:v>4.7743800366648363</c:v>
                </c:pt>
                <c:pt idx="1932">
                  <c:v>5.010775520943664</c:v>
                </c:pt>
                <c:pt idx="1933">
                  <c:v>4.8573157741940287</c:v>
                </c:pt>
                <c:pt idx="1934">
                  <c:v>4.8233216250374538</c:v>
                </c:pt>
                <c:pt idx="1935">
                  <c:v>5.0079871472099997</c:v>
                </c:pt>
                <c:pt idx="1936">
                  <c:v>5.0248729059651529</c:v>
                </c:pt>
                <c:pt idx="1937">
                  <c:v>5.0754541040054422</c:v>
                </c:pt>
                <c:pt idx="1938">
                  <c:v>4.9696355198816429</c:v>
                </c:pt>
                <c:pt idx="1939">
                  <c:v>4.7591830648656934</c:v>
                </c:pt>
                <c:pt idx="1940">
                  <c:v>4.473055202253498</c:v>
                </c:pt>
                <c:pt idx="1941">
                  <c:v>4.3131259390940713</c:v>
                </c:pt>
                <c:pt idx="1942">
                  <c:v>4.4605509607529372</c:v>
                </c:pt>
                <c:pt idx="1943">
                  <c:v>4.5664871742198763</c:v>
                </c:pt>
                <c:pt idx="1944">
                  <c:v>4.3897910487267371</c:v>
                </c:pt>
                <c:pt idx="1945">
                  <c:v>4.4292999474153083</c:v>
                </c:pt>
                <c:pt idx="1946">
                  <c:v>4.2278989241767917</c:v>
                </c:pt>
                <c:pt idx="1947">
                  <c:v>4.1620529329297122</c:v>
                </c:pt>
                <c:pt idx="1948">
                  <c:v>4.263809119396984</c:v>
                </c:pt>
                <c:pt idx="1949">
                  <c:v>4.3476937416540364</c:v>
                </c:pt>
                <c:pt idx="1950">
                  <c:v>4.4317698190477772</c:v>
                </c:pt>
                <c:pt idx="1951">
                  <c:v>4.3824848720838734</c:v>
                </c:pt>
                <c:pt idx="1952">
                  <c:v>4.3192938763993265</c:v>
                </c:pt>
                <c:pt idx="1953">
                  <c:v>4.3728482365110297</c:v>
                </c:pt>
                <c:pt idx="1954">
                  <c:v>4.4975698507076833</c:v>
                </c:pt>
                <c:pt idx="1955">
                  <c:v>4.501200016217723</c:v>
                </c:pt>
                <c:pt idx="1956">
                  <c:v>4.643976777122262</c:v>
                </c:pt>
                <c:pt idx="1957">
                  <c:v>4.6548011836562564</c:v>
                </c:pt>
                <c:pt idx="1958">
                  <c:v>4.6217912870042239</c:v>
                </c:pt>
                <c:pt idx="1959">
                  <c:v>4.7139131609582492</c:v>
                </c:pt>
                <c:pt idx="1960">
                  <c:v>4.7862577637004096</c:v>
                </c:pt>
                <c:pt idx="1961">
                  <c:v>4.8182391492309611</c:v>
                </c:pt>
                <c:pt idx="1962">
                  <c:v>4.7971912514375221</c:v>
                </c:pt>
                <c:pt idx="1963">
                  <c:v>4.8289284120687386</c:v>
                </c:pt>
                <c:pt idx="1964">
                  <c:v>4.8566528364342361</c:v>
                </c:pt>
                <c:pt idx="1965">
                  <c:v>4.8719467536736092</c:v>
                </c:pt>
                <c:pt idx="1966">
                  <c:v>4.8034657654202872</c:v>
                </c:pt>
                <c:pt idx="1967">
                  <c:v>4.7652365865899418</c:v>
                </c:pt>
                <c:pt idx="1968">
                  <c:v>4.8215016001612048</c:v>
                </c:pt>
                <c:pt idx="1969">
                  <c:v>4.7902672526817591</c:v>
                </c:pt>
                <c:pt idx="1970">
                  <c:v>4.78141050846508</c:v>
                </c:pt>
                <c:pt idx="1971">
                  <c:v>4.9111631982264896</c:v>
                </c:pt>
                <c:pt idx="1972">
                  <c:v>4.8956122463104528</c:v>
                </c:pt>
                <c:pt idx="1973">
                  <c:v>4.9282152328326969</c:v>
                </c:pt>
                <c:pt idx="1974">
                  <c:v>4.9434700436733348</c:v>
                </c:pt>
                <c:pt idx="1975">
                  <c:v>4.8952854902293161</c:v>
                </c:pt>
                <c:pt idx="1976">
                  <c:v>4.9308443591921858</c:v>
                </c:pt>
                <c:pt idx="1977">
                  <c:v>4.9465974992871642</c:v>
                </c:pt>
                <c:pt idx="1978">
                  <c:v>5.0678974965084072</c:v>
                </c:pt>
                <c:pt idx="1979">
                  <c:v>5.1425751952660193</c:v>
                </c:pt>
                <c:pt idx="1980">
                  <c:v>5.2244137874396781</c:v>
                </c:pt>
                <c:pt idx="1981">
                  <c:v>5.2554336046961279</c:v>
                </c:pt>
                <c:pt idx="1982">
                  <c:v>5.2784751351152952</c:v>
                </c:pt>
                <c:pt idx="1983">
                  <c:v>5.2821796528799458</c:v>
                </c:pt>
                <c:pt idx="1984">
                  <c:v>5.515158587846444</c:v>
                </c:pt>
                <c:pt idx="1985">
                  <c:v>5.8164098992824131</c:v>
                </c:pt>
                <c:pt idx="1986">
                  <c:v>5.7922635407759593</c:v>
                </c:pt>
                <c:pt idx="1987">
                  <c:v>6.1537974142457239</c:v>
                </c:pt>
                <c:pt idx="1988">
                  <c:v>6.3467984143415332</c:v>
                </c:pt>
                <c:pt idx="1989">
                  <c:v>6.1830938959890931</c:v>
                </c:pt>
                <c:pt idx="1990">
                  <c:v>6.1734966630238928</c:v>
                </c:pt>
                <c:pt idx="1991">
                  <c:v>6.5254832942566345</c:v>
                </c:pt>
                <c:pt idx="1992">
                  <c:v>7.0540699485428515</c:v>
                </c:pt>
                <c:pt idx="1993">
                  <c:v>6.923170983829495</c:v>
                </c:pt>
                <c:pt idx="1994">
                  <c:v>7.2779433315106115</c:v>
                </c:pt>
                <c:pt idx="1995">
                  <c:v>7.0006733671712063</c:v>
                </c:pt>
                <c:pt idx="1996">
                  <c:v>6.9172940918731776</c:v>
                </c:pt>
                <c:pt idx="1997">
                  <c:v>7.1074342842391811</c:v>
                </c:pt>
                <c:pt idx="1998">
                  <c:v>6.8599432354981991</c:v>
                </c:pt>
                <c:pt idx="1999">
                  <c:v>6.8339354959814687</c:v>
                </c:pt>
                <c:pt idx="2000">
                  <c:v>7.1049545667182139</c:v>
                </c:pt>
                <c:pt idx="2001">
                  <c:v>7.1345243735721464</c:v>
                </c:pt>
                <c:pt idx="2002">
                  <c:v>7.6878245019156894</c:v>
                </c:pt>
                <c:pt idx="2003">
                  <c:v>7.8059754764576743</c:v>
                </c:pt>
                <c:pt idx="2004">
                  <c:v>8.1477314707268373</c:v>
                </c:pt>
                <c:pt idx="2005">
                  <c:v>8.8162513364705841</c:v>
                </c:pt>
                <c:pt idx="2006">
                  <c:v>8.9037107241183673</c:v>
                </c:pt>
                <c:pt idx="2007">
                  <c:v>9.6164786455417914</c:v>
                </c:pt>
                <c:pt idx="2008">
                  <c:v>10.862624319742764</c:v>
                </c:pt>
                <c:pt idx="2009">
                  <c:v>8.9902671173319515</c:v>
                </c:pt>
                <c:pt idx="2010">
                  <c:v>7.2863662051924543</c:v>
                </c:pt>
                <c:pt idx="2011">
                  <c:v>7.8780782453409239</c:v>
                </c:pt>
                <c:pt idx="2012">
                  <c:v>7.8482421289939168</c:v>
                </c:pt>
                <c:pt idx="2013">
                  <c:v>8.106723806980197</c:v>
                </c:pt>
                <c:pt idx="2014">
                  <c:v>7.9177906737393453</c:v>
                </c:pt>
                <c:pt idx="2015">
                  <c:v>8.7023839036908957</c:v>
                </c:pt>
                <c:pt idx="2016">
                  <c:v>8.5984009715151402</c:v>
                </c:pt>
                <c:pt idx="2017">
                  <c:v>9.0630000158686741</c:v>
                </c:pt>
                <c:pt idx="2018">
                  <c:v>9.0742421099363408</c:v>
                </c:pt>
                <c:pt idx="2019">
                  <c:v>9.2602369262724391</c:v>
                </c:pt>
                <c:pt idx="2020">
                  <c:v>10.286978185335666</c:v>
                </c:pt>
                <c:pt idx="2021">
                  <c:v>10.208434455301623</c:v>
                </c:pt>
                <c:pt idx="2022">
                  <c:v>9.8010432419794533</c:v>
                </c:pt>
                <c:pt idx="2023">
                  <c:v>10.333672948885113</c:v>
                </c:pt>
                <c:pt idx="2024">
                  <c:v>10.377018656947191</c:v>
                </c:pt>
                <c:pt idx="2025">
                  <c:v>10.519671796489508</c:v>
                </c:pt>
                <c:pt idx="2026">
                  <c:v>9.8381801090397545</c:v>
                </c:pt>
                <c:pt idx="2027">
                  <c:v>9.6824447874000743</c:v>
                </c:pt>
                <c:pt idx="2028">
                  <c:v>9.3644771012721613</c:v>
                </c:pt>
                <c:pt idx="2029">
                  <c:v>7.9667511934074655</c:v>
                </c:pt>
                <c:pt idx="2030">
                  <c:v>8.6280324222798228</c:v>
                </c:pt>
                <c:pt idx="2031">
                  <c:v>8.9910168610446615</c:v>
                </c:pt>
                <c:pt idx="2032">
                  <c:v>8.9106509612783693</c:v>
                </c:pt>
                <c:pt idx="2033">
                  <c:v>8.9416699639923678</c:v>
                </c:pt>
                <c:pt idx="2034">
                  <c:v>9.1976159364076135</c:v>
                </c:pt>
                <c:pt idx="2035">
                  <c:v>9.3778863032258197</c:v>
                </c:pt>
                <c:pt idx="2036">
                  <c:v>9.3953334093459056</c:v>
                </c:pt>
                <c:pt idx="2037">
                  <c:v>9.5552789875258366</c:v>
                </c:pt>
                <c:pt idx="2038">
                  <c:v>9.3085265168716944</c:v>
                </c:pt>
                <c:pt idx="2039">
                  <c:v>9.1152250397407837</c:v>
                </c:pt>
                <c:pt idx="2040">
                  <c:v>8.5952281330502007</c:v>
                </c:pt>
                <c:pt idx="2041">
                  <c:v>8.3771871296954821</c:v>
                </c:pt>
                <c:pt idx="2042">
                  <c:v>8.7922593413571413</c:v>
                </c:pt>
                <c:pt idx="2043">
                  <c:v>8.7827884938929817</c:v>
                </c:pt>
                <c:pt idx="2044">
                  <c:v>8.8193066675991041</c:v>
                </c:pt>
                <c:pt idx="2045">
                  <c:v>8.6921797491714159</c:v>
                </c:pt>
                <c:pt idx="2046">
                  <c:v>8.5079639225370585</c:v>
                </c:pt>
                <c:pt idx="2047">
                  <c:v>8.7311244948997064</c:v>
                </c:pt>
                <c:pt idx="2048">
                  <c:v>9.0293523919044425</c:v>
                </c:pt>
                <c:pt idx="2049">
                  <c:v>8.8411181333703439</c:v>
                </c:pt>
                <c:pt idx="2050">
                  <c:v>8.9403028612324125</c:v>
                </c:pt>
                <c:pt idx="2051">
                  <c:v>8.7939615826214599</c:v>
                </c:pt>
                <c:pt idx="2052">
                  <c:v>8.7061896270818391</c:v>
                </c:pt>
                <c:pt idx="2053">
                  <c:v>8.9132891018282319</c:v>
                </c:pt>
                <c:pt idx="2054">
                  <c:v>8.5363399757342151</c:v>
                </c:pt>
                <c:pt idx="2055">
                  <c:v>8.2683794989346993</c:v>
                </c:pt>
                <c:pt idx="2056">
                  <c:v>8.1697925939440523</c:v>
                </c:pt>
                <c:pt idx="2057">
                  <c:v>8.2652866659778539</c:v>
                </c:pt>
                <c:pt idx="2058">
                  <c:v>8.1784796909915531</c:v>
                </c:pt>
                <c:pt idx="2059">
                  <c:v>7.8189904542246786</c:v>
                </c:pt>
                <c:pt idx="2060">
                  <c:v>7.5561910445967237</c:v>
                </c:pt>
                <c:pt idx="2061">
                  <c:v>7.2965328153872573</c:v>
                </c:pt>
                <c:pt idx="2062">
                  <c:v>8.0193926531772366</c:v>
                </c:pt>
                <c:pt idx="2063">
                  <c:v>8.5245239520930554</c:v>
                </c:pt>
                <c:pt idx="2064">
                  <c:v>8.4018988223087945</c:v>
                </c:pt>
                <c:pt idx="2065">
                  <c:v>9.7110653497276083</c:v>
                </c:pt>
                <c:pt idx="2066">
                  <c:v>9.4483066670906677</c:v>
                </c:pt>
                <c:pt idx="2067">
                  <c:v>10.019667743798722</c:v>
                </c:pt>
                <c:pt idx="2068">
                  <c:v>9.8251840648326532</c:v>
                </c:pt>
                <c:pt idx="2069">
                  <c:v>9.8717528308951064</c:v>
                </c:pt>
                <c:pt idx="2070">
                  <c:v>9.4099076974808202</c:v>
                </c:pt>
                <c:pt idx="2071">
                  <c:v>9.2626529274008682</c:v>
                </c:pt>
                <c:pt idx="2072">
                  <c:v>9.7453366303001125</c:v>
                </c:pt>
                <c:pt idx="2073">
                  <c:v>9.962946817161372</c:v>
                </c:pt>
                <c:pt idx="2074">
                  <c:v>9.7222496723999274</c:v>
                </c:pt>
                <c:pt idx="2075">
                  <c:v>9.8397535994595806</c:v>
                </c:pt>
                <c:pt idx="2076">
                  <c:v>10.118913886438467</c:v>
                </c:pt>
                <c:pt idx="2077">
                  <c:v>9.7538346895535781</c:v>
                </c:pt>
                <c:pt idx="2078">
                  <c:v>9.7923719761116086</c:v>
                </c:pt>
                <c:pt idx="2079">
                  <c:v>10.013220316138137</c:v>
                </c:pt>
                <c:pt idx="2080">
                  <c:v>10.170487707408762</c:v>
                </c:pt>
                <c:pt idx="2081">
                  <c:v>11.135069755148333</c:v>
                </c:pt>
                <c:pt idx="2082">
                  <c:v>10.969003219722037</c:v>
                </c:pt>
                <c:pt idx="2083">
                  <c:v>11.35855547646903</c:v>
                </c:pt>
                <c:pt idx="2084">
                  <c:v>11.503420253784634</c:v>
                </c:pt>
                <c:pt idx="2085">
                  <c:v>11.336209981739032</c:v>
                </c:pt>
                <c:pt idx="2086">
                  <c:v>11.530435542041058</c:v>
                </c:pt>
                <c:pt idx="2087">
                  <c:v>12.143274970219975</c:v>
                </c:pt>
                <c:pt idx="2088">
                  <c:v>12.965441619805578</c:v>
                </c:pt>
                <c:pt idx="2089">
                  <c:v>13.331764532063604</c:v>
                </c:pt>
                <c:pt idx="2090">
                  <c:v>14.181247454243319</c:v>
                </c:pt>
                <c:pt idx="2091">
                  <c:v>13.617072588528542</c:v>
                </c:pt>
                <c:pt idx="2092">
                  <c:v>14.170980748287956</c:v>
                </c:pt>
                <c:pt idx="2093">
                  <c:v>14.099903752385801</c:v>
                </c:pt>
                <c:pt idx="2094">
                  <c:v>13.698950131791397</c:v>
                </c:pt>
                <c:pt idx="2095">
                  <c:v>13.478596506124413</c:v>
                </c:pt>
                <c:pt idx="2096">
                  <c:v>13.443568776841868</c:v>
                </c:pt>
                <c:pt idx="2097">
                  <c:v>12.855725343810876</c:v>
                </c:pt>
                <c:pt idx="2098">
                  <c:v>13.382712636257018</c:v>
                </c:pt>
                <c:pt idx="2099">
                  <c:v>13.522199678532301</c:v>
                </c:pt>
                <c:pt idx="2100">
                  <c:v>14.208659690878678</c:v>
                </c:pt>
                <c:pt idx="2101">
                  <c:v>14.157816498498631</c:v>
                </c:pt>
                <c:pt idx="2102">
                  <c:v>13.997238700946045</c:v>
                </c:pt>
                <c:pt idx="2103">
                  <c:v>14.001212939258311</c:v>
                </c:pt>
                <c:pt idx="2104">
                  <c:v>14.207656673578942</c:v>
                </c:pt>
                <c:pt idx="2105">
                  <c:v>14.760423889546887</c:v>
                </c:pt>
                <c:pt idx="2106">
                  <c:v>14.728035128800492</c:v>
                </c:pt>
                <c:pt idx="2107">
                  <c:v>15.215739421445978</c:v>
                </c:pt>
                <c:pt idx="2108">
                  <c:v>15.755672160328333</c:v>
                </c:pt>
                <c:pt idx="2109">
                  <c:v>14.967231442019113</c:v>
                </c:pt>
                <c:pt idx="2110">
                  <c:v>14.71404647784313</c:v>
                </c:pt>
                <c:pt idx="2111">
                  <c:v>13.36448665468742</c:v>
                </c:pt>
                <c:pt idx="2112">
                  <c:v>14.383397664744171</c:v>
                </c:pt>
                <c:pt idx="2113">
                  <c:v>14.427031619714725</c:v>
                </c:pt>
                <c:pt idx="2114">
                  <c:v>14.656517376281368</c:v>
                </c:pt>
                <c:pt idx="2115">
                  <c:v>13.691532190871628</c:v>
                </c:pt>
                <c:pt idx="2116">
                  <c:v>13.577719274757998</c:v>
                </c:pt>
                <c:pt idx="2117">
                  <c:v>13.764766293246419</c:v>
                </c:pt>
                <c:pt idx="2118">
                  <c:v>13.815323166361873</c:v>
                </c:pt>
                <c:pt idx="2119">
                  <c:v>13.433549189194894</c:v>
                </c:pt>
                <c:pt idx="2120">
                  <c:v>13.2300707149827</c:v>
                </c:pt>
                <c:pt idx="2121">
                  <c:v>14.859728119016422</c:v>
                </c:pt>
                <c:pt idx="2122">
                  <c:v>15.272624712148581</c:v>
                </c:pt>
                <c:pt idx="2123">
                  <c:v>15.131313926475753</c:v>
                </c:pt>
                <c:pt idx="2124">
                  <c:v>15.271274585123512</c:v>
                </c:pt>
                <c:pt idx="2125">
                  <c:v>15.865946316532343</c:v>
                </c:pt>
                <c:pt idx="2126">
                  <c:v>15.756601411831149</c:v>
                </c:pt>
                <c:pt idx="2127">
                  <c:v>15.725920391417391</c:v>
                </c:pt>
                <c:pt idx="2128">
                  <c:v>15.494438083325377</c:v>
                </c:pt>
                <c:pt idx="2129">
                  <c:v>15.455130117202762</c:v>
                </c:pt>
                <c:pt idx="2130">
                  <c:v>15.653194647714134</c:v>
                </c:pt>
                <c:pt idx="2131">
                  <c:v>15.645415117514474</c:v>
                </c:pt>
                <c:pt idx="2132">
                  <c:v>15.87253806950549</c:v>
                </c:pt>
                <c:pt idx="2133">
                  <c:v>15.828337300557136</c:v>
                </c:pt>
                <c:pt idx="2134">
                  <c:v>16.282766250700718</c:v>
                </c:pt>
                <c:pt idx="2135">
                  <c:v>16.174376895238908</c:v>
                </c:pt>
                <c:pt idx="2136">
                  <c:v>16.324633128168003</c:v>
                </c:pt>
                <c:pt idx="2137">
                  <c:v>16.498785502518142</c:v>
                </c:pt>
                <c:pt idx="2138">
                  <c:v>16.654587949336563</c:v>
                </c:pt>
                <c:pt idx="2139">
                  <c:v>16.677483730563246</c:v>
                </c:pt>
                <c:pt idx="2140">
                  <c:v>16.474058229502063</c:v>
                </c:pt>
                <c:pt idx="2141">
                  <c:v>16.387523873091649</c:v>
                </c:pt>
                <c:pt idx="2142">
                  <c:v>16.544519028222954</c:v>
                </c:pt>
                <c:pt idx="2143">
                  <c:v>16.59055526658258</c:v>
                </c:pt>
                <c:pt idx="2144">
                  <c:v>16.69540550282025</c:v>
                </c:pt>
                <c:pt idx="2145">
                  <c:v>17.093454938063978</c:v>
                </c:pt>
                <c:pt idx="2146">
                  <c:v>17.491290134562234</c:v>
                </c:pt>
                <c:pt idx="2147">
                  <c:v>17.445423183172547</c:v>
                </c:pt>
                <c:pt idx="2148">
                  <c:v>17.571506679950243</c:v>
                </c:pt>
                <c:pt idx="2149">
                  <c:v>19.543852392075284</c:v>
                </c:pt>
                <c:pt idx="2150">
                  <c:v>19.442370719946844</c:v>
                </c:pt>
                <c:pt idx="2151">
                  <c:v>19.930513873020843</c:v>
                </c:pt>
                <c:pt idx="2152">
                  <c:v>19.519049538434491</c:v>
                </c:pt>
                <c:pt idx="2153">
                  <c:v>19.356040640374136</c:v>
                </c:pt>
                <c:pt idx="2154">
                  <c:v>19.066015322320286</c:v>
                </c:pt>
                <c:pt idx="2155">
                  <c:v>19.289135550749922</c:v>
                </c:pt>
                <c:pt idx="2156">
                  <c:v>19.447192551775668</c:v>
                </c:pt>
                <c:pt idx="2157">
                  <c:v>20.491307245525551</c:v>
                </c:pt>
                <c:pt idx="2158">
                  <c:v>20.21107786996561</c:v>
                </c:pt>
                <c:pt idx="2159">
                  <c:v>20.317029949220103</c:v>
                </c:pt>
                <c:pt idx="2160">
                  <c:v>19.414508332633094</c:v>
                </c:pt>
                <c:pt idx="2161">
                  <c:v>18.96656974654617</c:v>
                </c:pt>
                <c:pt idx="2162">
                  <c:v>19.604973425421164</c:v>
                </c:pt>
                <c:pt idx="2163">
                  <c:v>20.049835077181054</c:v>
                </c:pt>
                <c:pt idx="2164">
                  <c:v>19.762367287239925</c:v>
                </c:pt>
                <c:pt idx="2165">
                  <c:v>19.604442071094468</c:v>
                </c:pt>
                <c:pt idx="2166">
                  <c:v>20.506027571457345</c:v>
                </c:pt>
                <c:pt idx="2167">
                  <c:v>20.533494934248921</c:v>
                </c:pt>
                <c:pt idx="2168">
                  <c:v>21.277893453779729</c:v>
                </c:pt>
                <c:pt idx="2169">
                  <c:v>22.215160198699724</c:v>
                </c:pt>
                <c:pt idx="2170">
                  <c:v>22.729798005665732</c:v>
                </c:pt>
                <c:pt idx="2171">
                  <c:v>22.947163896857621</c:v>
                </c:pt>
                <c:pt idx="2172">
                  <c:v>23.492553076452356</c:v>
                </c:pt>
                <c:pt idx="2173">
                  <c:v>23.504795535104698</c:v>
                </c:pt>
                <c:pt idx="2174">
                  <c:v>22.945221722353228</c:v>
                </c:pt>
                <c:pt idx="2175">
                  <c:v>23.382888595838704</c:v>
                </c:pt>
                <c:pt idx="2176">
                  <c:v>23.553104981740542</c:v>
                </c:pt>
                <c:pt idx="2177">
                  <c:v>23.230437049514613</c:v>
                </c:pt>
                <c:pt idx="2178">
                  <c:v>22.396022122078094</c:v>
                </c:pt>
                <c:pt idx="2179">
                  <c:v>21.215324884346476</c:v>
                </c:pt>
                <c:pt idx="2180">
                  <c:v>21.026986798749121</c:v>
                </c:pt>
                <c:pt idx="2181">
                  <c:v>22.251283684973938</c:v>
                </c:pt>
                <c:pt idx="2182">
                  <c:v>22.727674418938857</c:v>
                </c:pt>
                <c:pt idx="2183">
                  <c:v>23.402339779894209</c:v>
                </c:pt>
                <c:pt idx="2184">
                  <c:v>25.055157446470012</c:v>
                </c:pt>
                <c:pt idx="2185">
                  <c:v>23.976437693183858</c:v>
                </c:pt>
                <c:pt idx="2186">
                  <c:v>24.710885306149642</c:v>
                </c:pt>
                <c:pt idx="2187">
                  <c:v>25.107689147955039</c:v>
                </c:pt>
                <c:pt idx="2188">
                  <c:v>25.336107747591448</c:v>
                </c:pt>
                <c:pt idx="2189">
                  <c:v>25.530509301443249</c:v>
                </c:pt>
                <c:pt idx="2190">
                  <c:v>25.725785770129125</c:v>
                </c:pt>
                <c:pt idx="2191">
                  <c:v>25.372666988222583</c:v>
                </c:pt>
                <c:pt idx="2192">
                  <c:v>25.679859532501126</c:v>
                </c:pt>
                <c:pt idx="2193">
                  <c:v>27.165787860813126</c:v>
                </c:pt>
                <c:pt idx="2194">
                  <c:v>29.041302484590602</c:v>
                </c:pt>
                <c:pt idx="2195">
                  <c:v>29.322354483898486</c:v>
                </c:pt>
                <c:pt idx="2196">
                  <c:v>30.945619213103068</c:v>
                </c:pt>
                <c:pt idx="2197">
                  <c:v>31.397329489337892</c:v>
                </c:pt>
                <c:pt idx="2198">
                  <c:v>29.7544972853077</c:v>
                </c:pt>
                <c:pt idx="2199">
                  <c:v>32.330546263068271</c:v>
                </c:pt>
                <c:pt idx="2200">
                  <c:v>32.183577598860786</c:v>
                </c:pt>
                <c:pt idx="2201">
                  <c:v>32.989473131586287</c:v>
                </c:pt>
                <c:pt idx="2202">
                  <c:v>33.471691657646907</c:v>
                </c:pt>
                <c:pt idx="2203">
                  <c:v>34.94724436690511</c:v>
                </c:pt>
                <c:pt idx="2204">
                  <c:v>38.659195474882438</c:v>
                </c:pt>
                <c:pt idx="2205">
                  <c:v>41.948602297391787</c:v>
                </c:pt>
                <c:pt idx="2206">
                  <c:v>41.496871418442204</c:v>
                </c:pt>
                <c:pt idx="2207">
                  <c:v>39.392997434482396</c:v>
                </c:pt>
                <c:pt idx="2208">
                  <c:v>44.42855233023834</c:v>
                </c:pt>
                <c:pt idx="2209">
                  <c:v>44.387226087324557</c:v>
                </c:pt>
                <c:pt idx="2210">
                  <c:v>44.224317459132756</c:v>
                </c:pt>
                <c:pt idx="2211">
                  <c:v>46.496966458163683</c:v>
                </c:pt>
                <c:pt idx="2212">
                  <c:v>41.479162661017135</c:v>
                </c:pt>
                <c:pt idx="2213">
                  <c:v>41.518455160743912</c:v>
                </c:pt>
                <c:pt idx="2214">
                  <c:v>39.039576971359139</c:v>
                </c:pt>
                <c:pt idx="2215">
                  <c:v>40.867319122448258</c:v>
                </c:pt>
                <c:pt idx="2216">
                  <c:v>40.245080986516484</c:v>
                </c:pt>
                <c:pt idx="2217">
                  <c:v>45.88394617950842</c:v>
                </c:pt>
                <c:pt idx="2218">
                  <c:v>48.429802358492225</c:v>
                </c:pt>
                <c:pt idx="2219">
                  <c:v>63.996644242902271</c:v>
                </c:pt>
                <c:pt idx="2220">
                  <c:v>58.387772481795182</c:v>
                </c:pt>
                <c:pt idx="2221">
                  <c:v>62.119717345246627</c:v>
                </c:pt>
                <c:pt idx="2222">
                  <c:v>66.762584618234698</c:v>
                </c:pt>
                <c:pt idx="2223">
                  <c:v>58.720973913114747</c:v>
                </c:pt>
                <c:pt idx="2224">
                  <c:v>49.2874379851622</c:v>
                </c:pt>
                <c:pt idx="2225">
                  <c:v>57.64521634202422</c:v>
                </c:pt>
                <c:pt idx="2226">
                  <c:v>55.865579451761747</c:v>
                </c:pt>
                <c:pt idx="2227">
                  <c:v>65.64441678394374</c:v>
                </c:pt>
                <c:pt idx="2228">
                  <c:v>68.010116354563735</c:v>
                </c:pt>
                <c:pt idx="2229">
                  <c:v>64.875180543041168</c:v>
                </c:pt>
                <c:pt idx="2230">
                  <c:v>65.868286152215674</c:v>
                </c:pt>
                <c:pt idx="2231">
                  <c:v>55.085539348386725</c:v>
                </c:pt>
                <c:pt idx="2232">
                  <c:v>54.060865614861989</c:v>
                </c:pt>
                <c:pt idx="2233">
                  <c:v>52.868766679939647</c:v>
                </c:pt>
                <c:pt idx="2234">
                  <c:v>45.792471690058477</c:v>
                </c:pt>
                <c:pt idx="2235">
                  <c:v>45.47657797436176</c:v>
                </c:pt>
                <c:pt idx="2236">
                  <c:v>51.329916178261286</c:v>
                </c:pt>
                <c:pt idx="2237">
                  <c:v>54.354958777931671</c:v>
                </c:pt>
                <c:pt idx="2238">
                  <c:v>61.371728637043859</c:v>
                </c:pt>
                <c:pt idx="2239">
                  <c:v>66.985173272240615</c:v>
                </c:pt>
                <c:pt idx="2240">
                  <c:v>65.094496410257889</c:v>
                </c:pt>
                <c:pt idx="2241">
                  <c:v>61.840474520392981</c:v>
                </c:pt>
                <c:pt idx="2242">
                  <c:v>60.646522169357631</c:v>
                </c:pt>
                <c:pt idx="2243">
                  <c:v>65.893687873853011</c:v>
                </c:pt>
                <c:pt idx="2244">
                  <c:v>70.308812703064248</c:v>
                </c:pt>
                <c:pt idx="2245">
                  <c:v>98.42243221797014</c:v>
                </c:pt>
                <c:pt idx="2246">
                  <c:v>86.884004961404656</c:v>
                </c:pt>
                <c:pt idx="2247">
                  <c:v>90.929072334447682</c:v>
                </c:pt>
                <c:pt idx="2248">
                  <c:v>82.607486866986562</c:v>
                </c:pt>
                <c:pt idx="2249">
                  <c:v>74.722149360478369</c:v>
                </c:pt>
                <c:pt idx="2250">
                  <c:v>85.483184417226326</c:v>
                </c:pt>
                <c:pt idx="2251">
                  <c:v>94.856921491463865</c:v>
                </c:pt>
                <c:pt idx="2252">
                  <c:v>97.1611855258503</c:v>
                </c:pt>
                <c:pt idx="2253">
                  <c:v>85.284987359984456</c:v>
                </c:pt>
                <c:pt idx="2254">
                  <c:v>86.527534079854277</c:v>
                </c:pt>
                <c:pt idx="2255">
                  <c:v>93.323476761484827</c:v>
                </c:pt>
                <c:pt idx="2256">
                  <c:v>86.935263567780424</c:v>
                </c:pt>
                <c:pt idx="2257">
                  <c:v>87.294903436117579</c:v>
                </c:pt>
                <c:pt idx="2258">
                  <c:v>93.939594900652736</c:v>
                </c:pt>
                <c:pt idx="2259">
                  <c:v>112.85708723290445</c:v>
                </c:pt>
                <c:pt idx="2260">
                  <c:v>111.72057741841303</c:v>
                </c:pt>
                <c:pt idx="2261">
                  <c:v>141.41630080064294</c:v>
                </c:pt>
                <c:pt idx="2262">
                  <c:v>157.58876931804031</c:v>
                </c:pt>
                <c:pt idx="2263">
                  <c:v>130.39500133138594</c:v>
                </c:pt>
                <c:pt idx="2264">
                  <c:v>161.40476274260388</c:v>
                </c:pt>
                <c:pt idx="2265">
                  <c:v>255.81384266049423</c:v>
                </c:pt>
                <c:pt idx="2266">
                  <c:v>188.34643267156676</c:v>
                </c:pt>
                <c:pt idx="2267">
                  <c:v>155.96795201326827</c:v>
                </c:pt>
                <c:pt idx="2268">
                  <c:v>162.05631978211443</c:v>
                </c:pt>
                <c:pt idx="2269">
                  <c:v>133.31515581313158</c:v>
                </c:pt>
                <c:pt idx="2270">
                  <c:v>155.59560932379563</c:v>
                </c:pt>
                <c:pt idx="2271">
                  <c:v>144.19966798225818</c:v>
                </c:pt>
                <c:pt idx="2272">
                  <c:v>139.18556233411914</c:v>
                </c:pt>
                <c:pt idx="2273">
                  <c:v>134.62026193656445</c:v>
                </c:pt>
                <c:pt idx="2274">
                  <c:v>112.81217716229808</c:v>
                </c:pt>
                <c:pt idx="2275">
                  <c:v>106.35968893966745</c:v>
                </c:pt>
                <c:pt idx="2276">
                  <c:v>97.990095953877798</c:v>
                </c:pt>
                <c:pt idx="2277">
                  <c:v>91.661542792638983</c:v>
                </c:pt>
                <c:pt idx="2278">
                  <c:v>96.609434990719834</c:v>
                </c:pt>
                <c:pt idx="2279">
                  <c:v>83.533454707564857</c:v>
                </c:pt>
                <c:pt idx="2280">
                  <c:v>91.459885506115384</c:v>
                </c:pt>
                <c:pt idx="2281">
                  <c:v>92.91084821908845</c:v>
                </c:pt>
                <c:pt idx="2282">
                  <c:v>107.68884975497454</c:v>
                </c:pt>
                <c:pt idx="2283">
                  <c:v>98.592212483169249</c:v>
                </c:pt>
                <c:pt idx="2284">
                  <c:v>112.00615031215521</c:v>
                </c:pt>
                <c:pt idx="2285">
                  <c:v>113.64446305467315</c:v>
                </c:pt>
                <c:pt idx="2286">
                  <c:v>101.18899814606981</c:v>
                </c:pt>
                <c:pt idx="2287">
                  <c:v>91.87188126534322</c:v>
                </c:pt>
                <c:pt idx="2288">
                  <c:v>99.439288445154077</c:v>
                </c:pt>
                <c:pt idx="2289">
                  <c:v>91.085833440211417</c:v>
                </c:pt>
                <c:pt idx="2290">
                  <c:v>86.371005202093642</c:v>
                </c:pt>
                <c:pt idx="2291">
                  <c:v>88.276555429067102</c:v>
                </c:pt>
                <c:pt idx="2292">
                  <c:v>84.404172742977835</c:v>
                </c:pt>
                <c:pt idx="2293">
                  <c:v>86.909308048146357</c:v>
                </c:pt>
                <c:pt idx="2294">
                  <c:v>97.569835467956295</c:v>
                </c:pt>
                <c:pt idx="2295">
                  <c:v>111.0815887944046</c:v>
                </c:pt>
                <c:pt idx="2296">
                  <c:v>131.82857181038355</c:v>
                </c:pt>
                <c:pt idx="2297">
                  <c:v>117.28339854185775</c:v>
                </c:pt>
                <c:pt idx="2298">
                  <c:v>131.16032271709108</c:v>
                </c:pt>
                <c:pt idx="2299">
                  <c:v>114.16606786286385</c:v>
                </c:pt>
                <c:pt idx="2300">
                  <c:v>119.46821825683305</c:v>
                </c:pt>
                <c:pt idx="2301">
                  <c:v>124.11733095365844</c:v>
                </c:pt>
                <c:pt idx="2302">
                  <c:v>160.82181563951741</c:v>
                </c:pt>
                <c:pt idx="2303">
                  <c:v>149.61665918104646</c:v>
                </c:pt>
                <c:pt idx="2304">
                  <c:v>149.90215787982203</c:v>
                </c:pt>
                <c:pt idx="2305">
                  <c:v>165.22181670914375</c:v>
                </c:pt>
                <c:pt idx="2306">
                  <c:v>146.73353204198762</c:v>
                </c:pt>
                <c:pt idx="2307">
                  <c:v>139.57255419292019</c:v>
                </c:pt>
                <c:pt idx="2308">
                  <c:v>125.54609803724719</c:v>
                </c:pt>
                <c:pt idx="2309">
                  <c:v>126.91646285650314</c:v>
                </c:pt>
                <c:pt idx="2310">
                  <c:v>143.03195819452662</c:v>
                </c:pt>
                <c:pt idx="2311">
                  <c:v>129.70568997349386</c:v>
                </c:pt>
                <c:pt idx="2312">
                  <c:v>139.05898692331832</c:v>
                </c:pt>
                <c:pt idx="2313">
                  <c:v>141.16390955965335</c:v>
                </c:pt>
                <c:pt idx="2314">
                  <c:v>155.24058413303462</c:v>
                </c:pt>
                <c:pt idx="2315">
                  <c:v>158.27702145139577</c:v>
                </c:pt>
                <c:pt idx="2316">
                  <c:v>168.01620878095341</c:v>
                </c:pt>
                <c:pt idx="2317">
                  <c:v>187.10690440772782</c:v>
                </c:pt>
                <c:pt idx="2318">
                  <c:v>197.02116277909491</c:v>
                </c:pt>
                <c:pt idx="2319">
                  <c:v>198.0637425056822</c:v>
                </c:pt>
                <c:pt idx="2320">
                  <c:v>195.86103328333911</c:v>
                </c:pt>
                <c:pt idx="2321">
                  <c:v>178.18013853130276</c:v>
                </c:pt>
                <c:pt idx="2322">
                  <c:v>177.70260759528531</c:v>
                </c:pt>
                <c:pt idx="2323">
                  <c:v>200.63970618968338</c:v>
                </c:pt>
                <c:pt idx="2324">
                  <c:v>208.22217827613426</c:v>
                </c:pt>
                <c:pt idx="2325">
                  <c:v>199.61443510340928</c:v>
                </c:pt>
                <c:pt idx="2326">
                  <c:v>195.52792718415455</c:v>
                </c:pt>
                <c:pt idx="2327">
                  <c:v>188.49087359739389</c:v>
                </c:pt>
                <c:pt idx="2328">
                  <c:v>205.34302220340615</c:v>
                </c:pt>
                <c:pt idx="2329">
                  <c:v>201.46008692328977</c:v>
                </c:pt>
                <c:pt idx="2330">
                  <c:v>196.38450518558494</c:v>
                </c:pt>
                <c:pt idx="2331">
                  <c:v>162.50432756799214</c:v>
                </c:pt>
                <c:pt idx="2332">
                  <c:v>156.35869143272802</c:v>
                </c:pt>
                <c:pt idx="2333">
                  <c:v>153.41195473294576</c:v>
                </c:pt>
                <c:pt idx="2334">
                  <c:v>154.45079852713775</c:v>
                </c:pt>
                <c:pt idx="2335">
                  <c:v>155.48325411181364</c:v>
                </c:pt>
                <c:pt idx="2336">
                  <c:v>157.89071035382503</c:v>
                </c:pt>
                <c:pt idx="2337">
                  <c:v>150.08750878609916</c:v>
                </c:pt>
                <c:pt idx="2338">
                  <c:v>147.34019354663485</c:v>
                </c:pt>
                <c:pt idx="2339">
                  <c:v>131.16824279630055</c:v>
                </c:pt>
                <c:pt idx="2340">
                  <c:v>132.18373604550152</c:v>
                </c:pt>
                <c:pt idx="2341">
                  <c:v>132.30036234327176</c:v>
                </c:pt>
                <c:pt idx="2342">
                  <c:v>123.30064444426844</c:v>
                </c:pt>
                <c:pt idx="2343">
                  <c:v>118.59203556613683</c:v>
                </c:pt>
                <c:pt idx="2344">
                  <c:v>131.08972602655746</c:v>
                </c:pt>
                <c:pt idx="2345">
                  <c:v>123.40079829713117</c:v>
                </c:pt>
                <c:pt idx="2346">
                  <c:v>124.99172701219271</c:v>
                </c:pt>
                <c:pt idx="2347">
                  <c:v>119.05396580999866</c:v>
                </c:pt>
                <c:pt idx="2348">
                  <c:v>122.15123870920412</c:v>
                </c:pt>
                <c:pt idx="2349">
                  <c:v>129.33686555410216</c:v>
                </c:pt>
                <c:pt idx="2350">
                  <c:v>126.33567434742228</c:v>
                </c:pt>
                <c:pt idx="2351">
                  <c:v>124.03785221479609</c:v>
                </c:pt>
                <c:pt idx="2352">
                  <c:v>115.62264013760318</c:v>
                </c:pt>
                <c:pt idx="2353">
                  <c:v>112.03241380584167</c:v>
                </c:pt>
                <c:pt idx="2354">
                  <c:v>114.9670136591817</c:v>
                </c:pt>
                <c:pt idx="2355">
                  <c:v>120.81867798181499</c:v>
                </c:pt>
                <c:pt idx="2356">
                  <c:v>120.89174171989114</c:v>
                </c:pt>
                <c:pt idx="2357">
                  <c:v>127.15534747465634</c:v>
                </c:pt>
                <c:pt idx="2358">
                  <c:v>121.86312259411122</c:v>
                </c:pt>
                <c:pt idx="2359">
                  <c:v>129.03572173331563</c:v>
                </c:pt>
                <c:pt idx="2360">
                  <c:v>148.47207101176696</c:v>
                </c:pt>
                <c:pt idx="2361">
                  <c:v>143.04870511917102</c:v>
                </c:pt>
                <c:pt idx="2362">
                  <c:v>143.69561280606442</c:v>
                </c:pt>
                <c:pt idx="2363">
                  <c:v>134.80295194535159</c:v>
                </c:pt>
                <c:pt idx="2364">
                  <c:v>149.00423937522311</c:v>
                </c:pt>
                <c:pt idx="2365">
                  <c:v>145.34289546272169</c:v>
                </c:pt>
                <c:pt idx="2366">
                  <c:v>154.80958584915172</c:v>
                </c:pt>
                <c:pt idx="2367">
                  <c:v>148.71504403105837</c:v>
                </c:pt>
                <c:pt idx="2368">
                  <c:v>148.03161251188757</c:v>
                </c:pt>
                <c:pt idx="2369">
                  <c:v>141.86309925175004</c:v>
                </c:pt>
                <c:pt idx="2370">
                  <c:v>145.70839616361673</c:v>
                </c:pt>
                <c:pt idx="2371">
                  <c:v>157.07905550390214</c:v>
                </c:pt>
                <c:pt idx="2372">
                  <c:v>166.33429435560268</c:v>
                </c:pt>
                <c:pt idx="2373">
                  <c:v>168.74064386814405</c:v>
                </c:pt>
                <c:pt idx="2374">
                  <c:v>175.29116798502253</c:v>
                </c:pt>
                <c:pt idx="2375">
                  <c:v>180.40500213889555</c:v>
                </c:pt>
                <c:pt idx="2376">
                  <c:v>184.17944613802982</c:v>
                </c:pt>
                <c:pt idx="2377">
                  <c:v>188.47029600885443</c:v>
                </c:pt>
                <c:pt idx="2378">
                  <c:v>171.67635921136369</c:v>
                </c:pt>
                <c:pt idx="2379">
                  <c:v>171.56346680337515</c:v>
                </c:pt>
                <c:pt idx="2380">
                  <c:v>171.3173888988963</c:v>
                </c:pt>
                <c:pt idx="2381">
                  <c:v>173.42245342838717</c:v>
                </c:pt>
                <c:pt idx="2382">
                  <c:v>167.6307434001009</c:v>
                </c:pt>
                <c:pt idx="2383">
                  <c:v>168.86212217789068</c:v>
                </c:pt>
                <c:pt idx="2384">
                  <c:v>175.96458414338724</c:v>
                </c:pt>
                <c:pt idx="2385">
                  <c:v>168.27236798043833</c:v>
                </c:pt>
                <c:pt idx="2386">
                  <c:v>165.53393116323809</c:v>
                </c:pt>
                <c:pt idx="2387">
                  <c:v>167.70893265758761</c:v>
                </c:pt>
                <c:pt idx="2388">
                  <c:v>166.84051604000354</c:v>
                </c:pt>
                <c:pt idx="2389">
                  <c:v>179.55998533682734</c:v>
                </c:pt>
                <c:pt idx="2390">
                  <c:v>205.36169567954002</c:v>
                </c:pt>
                <c:pt idx="2391">
                  <c:v>200.39239009212866</c:v>
                </c:pt>
                <c:pt idx="2392">
                  <c:v>214.76322375052825</c:v>
                </c:pt>
                <c:pt idx="2393">
                  <c:v>219.38985311089334</c:v>
                </c:pt>
                <c:pt idx="2394">
                  <c:v>214.05834141246802</c:v>
                </c:pt>
                <c:pt idx="2395">
                  <c:v>219.68663553617046</c:v>
                </c:pt>
                <c:pt idx="2396">
                  <c:v>216.97498874778071</c:v>
                </c:pt>
                <c:pt idx="2397">
                  <c:v>221.22491787358459</c:v>
                </c:pt>
                <c:pt idx="2398">
                  <c:v>208.8102998712755</c:v>
                </c:pt>
                <c:pt idx="2399">
                  <c:v>211.6898708222804</c:v>
                </c:pt>
                <c:pt idx="2400">
                  <c:v>205.63336795089194</c:v>
                </c:pt>
                <c:pt idx="2401">
                  <c:v>211.55846421550774</c:v>
                </c:pt>
                <c:pt idx="2402">
                  <c:v>246.58072304669699</c:v>
                </c:pt>
                <c:pt idx="2403">
                  <c:v>259.5301703206656</c:v>
                </c:pt>
                <c:pt idx="2404">
                  <c:v>240.03437148849036</c:v>
                </c:pt>
                <c:pt idx="2405">
                  <c:v>235.53920994308945</c:v>
                </c:pt>
                <c:pt idx="2406">
                  <c:v>245.2889901347589</c:v>
                </c:pt>
                <c:pt idx="2407">
                  <c:v>243.4310300414804</c:v>
                </c:pt>
                <c:pt idx="2408">
                  <c:v>258.25780249249107</c:v>
                </c:pt>
                <c:pt idx="2409">
                  <c:v>223.60287879969735</c:v>
                </c:pt>
                <c:pt idx="2410">
                  <c:v>226.64924556238154</c:v>
                </c:pt>
                <c:pt idx="2411">
                  <c:v>228.77150834650564</c:v>
                </c:pt>
                <c:pt idx="2412">
                  <c:v>211.16968606716242</c:v>
                </c:pt>
                <c:pt idx="2413">
                  <c:v>219.61824779517497</c:v>
                </c:pt>
                <c:pt idx="2414">
                  <c:v>210.07172692895378</c:v>
                </c:pt>
                <c:pt idx="2415">
                  <c:v>216.3229349398631</c:v>
                </c:pt>
                <c:pt idx="2416">
                  <c:v>212.25564087435595</c:v>
                </c:pt>
                <c:pt idx="2417">
                  <c:v>202.540698594952</c:v>
                </c:pt>
                <c:pt idx="2418">
                  <c:v>205.88583117827244</c:v>
                </c:pt>
                <c:pt idx="2419">
                  <c:v>209.98560010904535</c:v>
                </c:pt>
                <c:pt idx="2420">
                  <c:v>227.20106750440164</c:v>
                </c:pt>
                <c:pt idx="2421">
                  <c:v>235.1863952122707</c:v>
                </c:pt>
                <c:pt idx="2422">
                  <c:v>233.59245002877114</c:v>
                </c:pt>
                <c:pt idx="2423">
                  <c:v>235.21686167917304</c:v>
                </c:pt>
                <c:pt idx="2424">
                  <c:v>231.39303152522604</c:v>
                </c:pt>
                <c:pt idx="2425">
                  <c:v>226.29876128082245</c:v>
                </c:pt>
                <c:pt idx="2426">
                  <c:v>210.728228582241</c:v>
                </c:pt>
                <c:pt idx="2427">
                  <c:v>180.16088519962145</c:v>
                </c:pt>
                <c:pt idx="2428">
                  <c:v>183.61382147409137</c:v>
                </c:pt>
                <c:pt idx="2429">
                  <c:v>182.38180709660602</c:v>
                </c:pt>
                <c:pt idx="2430">
                  <c:v>183.637435642745</c:v>
                </c:pt>
                <c:pt idx="2431">
                  <c:v>181.6195114538144</c:v>
                </c:pt>
                <c:pt idx="2432">
                  <c:v>171.70986800420746</c:v>
                </c:pt>
                <c:pt idx="2433">
                  <c:v>161.04229250304712</c:v>
                </c:pt>
                <c:pt idx="2434">
                  <c:v>152.48504348013321</c:v>
                </c:pt>
                <c:pt idx="2435">
                  <c:v>153.2500874597946</c:v>
                </c:pt>
                <c:pt idx="2436">
                  <c:v>164.21317809507005</c:v>
                </c:pt>
                <c:pt idx="2437">
                  <c:v>155.73904731723528</c:v>
                </c:pt>
                <c:pt idx="2438">
                  <c:v>154.91293169516533</c:v>
                </c:pt>
                <c:pt idx="2439">
                  <c:v>157.06639115220051</c:v>
                </c:pt>
                <c:pt idx="2440">
                  <c:v>157.29271837354588</c:v>
                </c:pt>
                <c:pt idx="2441">
                  <c:v>176.31538102067975</c:v>
                </c:pt>
                <c:pt idx="2442">
                  <c:v>171.26806713628841</c:v>
                </c:pt>
                <c:pt idx="2443">
                  <c:v>185.29611072020751</c:v>
                </c:pt>
                <c:pt idx="2444">
                  <c:v>180.17744973083848</c:v>
                </c:pt>
                <c:pt idx="2445">
                  <c:v>201.26855901517547</c:v>
                </c:pt>
                <c:pt idx="2446">
                  <c:v>200.13479033634201</c:v>
                </c:pt>
                <c:pt idx="2447">
                  <c:v>198.91349048180655</c:v>
                </c:pt>
                <c:pt idx="2448">
                  <c:v>226.29557197180719</c:v>
                </c:pt>
                <c:pt idx="2449">
                  <c:v>235.2829399000143</c:v>
                </c:pt>
                <c:pt idx="2450">
                  <c:v>227.33458596293553</c:v>
                </c:pt>
                <c:pt idx="2451">
                  <c:v>247.96958282657829</c:v>
                </c:pt>
                <c:pt idx="2452">
                  <c:v>235.68141861283681</c:v>
                </c:pt>
                <c:pt idx="2453">
                  <c:v>227.26815452786244</c:v>
                </c:pt>
                <c:pt idx="2454">
                  <c:v>254.17829524643628</c:v>
                </c:pt>
                <c:pt idx="2455">
                  <c:v>229.09928817536914</c:v>
                </c:pt>
                <c:pt idx="2456">
                  <c:v>231.07706094897128</c:v>
                </c:pt>
                <c:pt idx="2457">
                  <c:v>226.05094851984603</c:v>
                </c:pt>
                <c:pt idx="2458">
                  <c:v>225.52937499595254</c:v>
                </c:pt>
                <c:pt idx="2459">
                  <c:v>232.234492060223</c:v>
                </c:pt>
                <c:pt idx="2460">
                  <c:v>226.34332134437651</c:v>
                </c:pt>
                <c:pt idx="2461">
                  <c:v>226.33557144018437</c:v>
                </c:pt>
                <c:pt idx="2462">
                  <c:v>216.12754855508962</c:v>
                </c:pt>
                <c:pt idx="2463">
                  <c:v>228.47439498644573</c:v>
                </c:pt>
                <c:pt idx="2464">
                  <c:v>223.52897794365211</c:v>
                </c:pt>
                <c:pt idx="2465">
                  <c:v>213.94466882503158</c:v>
                </c:pt>
                <c:pt idx="2466">
                  <c:v>216.76575733116491</c:v>
                </c:pt>
                <c:pt idx="2467">
                  <c:v>213.55214757405622</c:v>
                </c:pt>
                <c:pt idx="2468">
                  <c:v>203.0530882171974</c:v>
                </c:pt>
                <c:pt idx="2469">
                  <c:v>197.1217934927667</c:v>
                </c:pt>
                <c:pt idx="2470">
                  <c:v>200.23417260409886</c:v>
                </c:pt>
                <c:pt idx="2471">
                  <c:v>201.32917868915629</c:v>
                </c:pt>
                <c:pt idx="2472">
                  <c:v>197.41736101793668</c:v>
                </c:pt>
                <c:pt idx="2473">
                  <c:v>188.57198225308588</c:v>
                </c:pt>
                <c:pt idx="2474">
                  <c:v>188.47809057257535</c:v>
                </c:pt>
                <c:pt idx="2475">
                  <c:v>186.50793115735016</c:v>
                </c:pt>
                <c:pt idx="2476">
                  <c:v>183.72989033375947</c:v>
                </c:pt>
                <c:pt idx="2477">
                  <c:v>228.04042627227369</c:v>
                </c:pt>
                <c:pt idx="2478">
                  <c:v>223.22463853113885</c:v>
                </c:pt>
                <c:pt idx="2479">
                  <c:v>223.88807455932866</c:v>
                </c:pt>
                <c:pt idx="2480">
                  <c:v>240.9224784174271</c:v>
                </c:pt>
                <c:pt idx="2481">
                  <c:v>233.59683144664933</c:v>
                </c:pt>
                <c:pt idx="2482">
                  <c:v>233.39264498616515</c:v>
                </c:pt>
                <c:pt idx="2483">
                  <c:v>238.17517819437523</c:v>
                </c:pt>
                <c:pt idx="2484">
                  <c:v>229.7798315573537</c:v>
                </c:pt>
                <c:pt idx="2485">
                  <c:v>222.29304536988127</c:v>
                </c:pt>
                <c:pt idx="2486">
                  <c:v>223.33712562656081</c:v>
                </c:pt>
                <c:pt idx="2487">
                  <c:v>225.01129494801862</c:v>
                </c:pt>
                <c:pt idx="2488">
                  <c:v>225.81417342109521</c:v>
                </c:pt>
                <c:pt idx="2489">
                  <c:v>237.45038072634304</c:v>
                </c:pt>
                <c:pt idx="2490">
                  <c:v>233.86915526665572</c:v>
                </c:pt>
                <c:pt idx="2491">
                  <c:v>230.02199975267516</c:v>
                </c:pt>
                <c:pt idx="2492">
                  <c:v>214.21521628991863</c:v>
                </c:pt>
                <c:pt idx="2493">
                  <c:v>214.98811962102477</c:v>
                </c:pt>
                <c:pt idx="2494">
                  <c:v>211.63473293522208</c:v>
                </c:pt>
                <c:pt idx="2495">
                  <c:v>218.36919133776496</c:v>
                </c:pt>
                <c:pt idx="2496">
                  <c:v>227.93275924274724</c:v>
                </c:pt>
                <c:pt idx="2497">
                  <c:v>226.45406349696253</c:v>
                </c:pt>
                <c:pt idx="2498">
                  <c:v>224.70533430757206</c:v>
                </c:pt>
                <c:pt idx="2499">
                  <c:v>216.58799277805173</c:v>
                </c:pt>
                <c:pt idx="2500">
                  <c:v>220.58466542162529</c:v>
                </c:pt>
                <c:pt idx="2501">
                  <c:v>219.30363626415621</c:v>
                </c:pt>
                <c:pt idx="2502">
                  <c:v>218.20636688363447</c:v>
                </c:pt>
                <c:pt idx="2503">
                  <c:v>219.86412080848598</c:v>
                </c:pt>
                <c:pt idx="2504">
                  <c:v>226.30641519971977</c:v>
                </c:pt>
                <c:pt idx="2505">
                  <c:v>219.2695023336606</c:v>
                </c:pt>
                <c:pt idx="2506">
                  <c:v>220.45824834037168</c:v>
                </c:pt>
                <c:pt idx="2507">
                  <c:v>218.36301665004123</c:v>
                </c:pt>
                <c:pt idx="2508">
                  <c:v>221.34947911201019</c:v>
                </c:pt>
                <c:pt idx="2509">
                  <c:v>220.10072272334227</c:v>
                </c:pt>
                <c:pt idx="2510">
                  <c:v>217.36863990216881</c:v>
                </c:pt>
                <c:pt idx="2511">
                  <c:v>220.56393619782446</c:v>
                </c:pt>
                <c:pt idx="2512">
                  <c:v>235.48677905917415</c:v>
                </c:pt>
                <c:pt idx="2513">
                  <c:v>235.81163385328276</c:v>
                </c:pt>
                <c:pt idx="2514">
                  <c:v>234.29162610694928</c:v>
                </c:pt>
                <c:pt idx="2515">
                  <c:v>234.05377368490409</c:v>
                </c:pt>
                <c:pt idx="2516">
                  <c:v>218.43321898812832</c:v>
                </c:pt>
                <c:pt idx="2517">
                  <c:v>218.50575847725293</c:v>
                </c:pt>
                <c:pt idx="2518">
                  <c:v>221.56969230050319</c:v>
                </c:pt>
                <c:pt idx="2519">
                  <c:v>221.7372876255244</c:v>
                </c:pt>
                <c:pt idx="2520">
                  <c:v>224.91472223204062</c:v>
                </c:pt>
                <c:pt idx="2521">
                  <c:v>223.91263407841117</c:v>
                </c:pt>
                <c:pt idx="2522">
                  <c:v>222.24856617435637</c:v>
                </c:pt>
                <c:pt idx="2523">
                  <c:v>224.54011252175556</c:v>
                </c:pt>
                <c:pt idx="2524">
                  <c:v>225.11263126752675</c:v>
                </c:pt>
                <c:pt idx="2525">
                  <c:v>223.84512186403327</c:v>
                </c:pt>
                <c:pt idx="2526">
                  <c:v>225.02704868567457</c:v>
                </c:pt>
                <c:pt idx="2527">
                  <c:v>224.14059272966276</c:v>
                </c:pt>
                <c:pt idx="2528">
                  <c:v>223.94050601195966</c:v>
                </c:pt>
                <c:pt idx="2529">
                  <c:v>224.40765833185372</c:v>
                </c:pt>
                <c:pt idx="2530">
                  <c:v>225.16436224778036</c:v>
                </c:pt>
                <c:pt idx="2531">
                  <c:v>231.83491428369001</c:v>
                </c:pt>
                <c:pt idx="2532">
                  <c:v>232.18845498592523</c:v>
                </c:pt>
                <c:pt idx="2533">
                  <c:v>228.7729658480911</c:v>
                </c:pt>
                <c:pt idx="2534">
                  <c:v>230.61843564984116</c:v>
                </c:pt>
                <c:pt idx="2535">
                  <c:v>229.84670438437831</c:v>
                </c:pt>
                <c:pt idx="2536">
                  <c:v>230.02429892813976</c:v>
                </c:pt>
                <c:pt idx="2537">
                  <c:v>226.80613696513825</c:v>
                </c:pt>
                <c:pt idx="2538">
                  <c:v>227.10584827100394</c:v>
                </c:pt>
                <c:pt idx="2539">
                  <c:v>221.76109940470096</c:v>
                </c:pt>
                <c:pt idx="2540">
                  <c:v>224.35714291007858</c:v>
                </c:pt>
                <c:pt idx="2541">
                  <c:v>228.20010908246596</c:v>
                </c:pt>
                <c:pt idx="2542">
                  <c:v>228.12234864927632</c:v>
                </c:pt>
                <c:pt idx="2543">
                  <c:v>227.54460729655051</c:v>
                </c:pt>
                <c:pt idx="2544">
                  <c:v>228.33235356624067</c:v>
                </c:pt>
                <c:pt idx="2545">
                  <c:v>230.83644369420639</c:v>
                </c:pt>
                <c:pt idx="2546">
                  <c:v>230.9355130419722</c:v>
                </c:pt>
                <c:pt idx="2547">
                  <c:v>272.73619984880793</c:v>
                </c:pt>
                <c:pt idx="2548">
                  <c:v>279.49350443722551</c:v>
                </c:pt>
                <c:pt idx="2549">
                  <c:v>279.88126199677902</c:v>
                </c:pt>
                <c:pt idx="2550">
                  <c:v>276.67149448008229</c:v>
                </c:pt>
                <c:pt idx="2551">
                  <c:v>298.14302104110703</c:v>
                </c:pt>
                <c:pt idx="2552">
                  <c:v>367.1768541393734</c:v>
                </c:pt>
                <c:pt idx="2553">
                  <c:v>352.44357788384099</c:v>
                </c:pt>
                <c:pt idx="2554">
                  <c:v>363.59229327626326</c:v>
                </c:pt>
                <c:pt idx="2555">
                  <c:v>375.94609695293906</c:v>
                </c:pt>
                <c:pt idx="2556">
                  <c:v>381.83954191643397</c:v>
                </c:pt>
                <c:pt idx="2557">
                  <c:v>446.93509979288581</c:v>
                </c:pt>
                <c:pt idx="2558">
                  <c:v>420.10941788660921</c:v>
                </c:pt>
                <c:pt idx="2559">
                  <c:v>445.19978906969698</c:v>
                </c:pt>
                <c:pt idx="2560">
                  <c:v>410.40259477632469</c:v>
                </c:pt>
                <c:pt idx="2561">
                  <c:v>379.73895980215906</c:v>
                </c:pt>
                <c:pt idx="2562">
                  <c:v>391.85594390843255</c:v>
                </c:pt>
                <c:pt idx="2563">
                  <c:v>412.26541549389867</c:v>
                </c:pt>
                <c:pt idx="2564">
                  <c:v>392.28936673491341</c:v>
                </c:pt>
                <c:pt idx="2565">
                  <c:v>410.4500624789344</c:v>
                </c:pt>
                <c:pt idx="2566">
                  <c:v>412.46634651186417</c:v>
                </c:pt>
                <c:pt idx="2567">
                  <c:v>427.62184879165727</c:v>
                </c:pt>
                <c:pt idx="2568">
                  <c:v>427.45399884912143</c:v>
                </c:pt>
                <c:pt idx="2569">
                  <c:v>482.38254683787818</c:v>
                </c:pt>
                <c:pt idx="2570">
                  <c:v>479.95165873689712</c:v>
                </c:pt>
                <c:pt idx="2571">
                  <c:v>470.85367138474754</c:v>
                </c:pt>
                <c:pt idx="2572">
                  <c:v>465.53602010691543</c:v>
                </c:pt>
                <c:pt idx="2573">
                  <c:v>473.58612848475889</c:v>
                </c:pt>
                <c:pt idx="2574">
                  <c:v>476.82177839670516</c:v>
                </c:pt>
                <c:pt idx="2575">
                  <c:v>479.0157911202557</c:v>
                </c:pt>
                <c:pt idx="2576">
                  <c:v>493.13408825753731</c:v>
                </c:pt>
                <c:pt idx="2577">
                  <c:v>506.95316787509296</c:v>
                </c:pt>
                <c:pt idx="2578">
                  <c:v>497.32939715832248</c:v>
                </c:pt>
                <c:pt idx="2579">
                  <c:v>496.92939335439178</c:v>
                </c:pt>
                <c:pt idx="2580">
                  <c:v>471.22317640962513</c:v>
                </c:pt>
                <c:pt idx="2581">
                  <c:v>437.77332210909907</c:v>
                </c:pt>
                <c:pt idx="2582">
                  <c:v>408.47884769468078</c:v>
                </c:pt>
                <c:pt idx="2583">
                  <c:v>413.99248463081329</c:v>
                </c:pt>
                <c:pt idx="2584">
                  <c:v>423.71164904285808</c:v>
                </c:pt>
                <c:pt idx="2585">
                  <c:v>411.56836872664422</c:v>
                </c:pt>
                <c:pt idx="2586">
                  <c:v>401.75617662137097</c:v>
                </c:pt>
                <c:pt idx="2587">
                  <c:v>441.5875451043176</c:v>
                </c:pt>
                <c:pt idx="2588">
                  <c:v>443.00173323482016</c:v>
                </c:pt>
                <c:pt idx="2589">
                  <c:v>443.6328244702911</c:v>
                </c:pt>
                <c:pt idx="2590">
                  <c:v>458.52895818100825</c:v>
                </c:pt>
                <c:pt idx="2591">
                  <c:v>431.00766121732357</c:v>
                </c:pt>
                <c:pt idx="2592">
                  <c:v>432.0451982156377</c:v>
                </c:pt>
                <c:pt idx="2593">
                  <c:v>439.62461391121417</c:v>
                </c:pt>
                <c:pt idx="2594">
                  <c:v>446.79518263587664</c:v>
                </c:pt>
                <c:pt idx="2595">
                  <c:v>436.87425972238702</c:v>
                </c:pt>
                <c:pt idx="2596">
                  <c:v>432.50048088959034</c:v>
                </c:pt>
                <c:pt idx="2597">
                  <c:v>438.82151460607435</c:v>
                </c:pt>
                <c:pt idx="2598">
                  <c:v>434.80442226093288</c:v>
                </c:pt>
                <c:pt idx="2599">
                  <c:v>435.75876386752265</c:v>
                </c:pt>
                <c:pt idx="2600">
                  <c:v>415.07444487109194</c:v>
                </c:pt>
                <c:pt idx="2601">
                  <c:v>414.04687807774957</c:v>
                </c:pt>
                <c:pt idx="2602">
                  <c:v>411.11475231576497</c:v>
                </c:pt>
                <c:pt idx="2603">
                  <c:v>441.31219015675669</c:v>
                </c:pt>
                <c:pt idx="2604">
                  <c:v>460.83181118020377</c:v>
                </c:pt>
                <c:pt idx="2605">
                  <c:v>464.69301345428636</c:v>
                </c:pt>
                <c:pt idx="2606">
                  <c:v>463.76950477567243</c:v>
                </c:pt>
                <c:pt idx="2607">
                  <c:v>475.28854974446705</c:v>
                </c:pt>
                <c:pt idx="2608">
                  <c:v>461.43023237354618</c:v>
                </c:pt>
                <c:pt idx="2609">
                  <c:v>464.77701470379839</c:v>
                </c:pt>
                <c:pt idx="2610">
                  <c:v>467.99122914146295</c:v>
                </c:pt>
                <c:pt idx="2611">
                  <c:v>464.9114455952722</c:v>
                </c:pt>
                <c:pt idx="2612">
                  <c:v>452.22715533475264</c:v>
                </c:pt>
                <c:pt idx="2613">
                  <c:v>455.12636788040322</c:v>
                </c:pt>
                <c:pt idx="2614">
                  <c:v>478.52363430938487</c:v>
                </c:pt>
                <c:pt idx="2615">
                  <c:v>480.58329390678631</c:v>
                </c:pt>
                <c:pt idx="2616">
                  <c:v>474.78397157039075</c:v>
                </c:pt>
                <c:pt idx="2617">
                  <c:v>478.89335766922704</c:v>
                </c:pt>
                <c:pt idx="2618">
                  <c:v>478.06858168305303</c:v>
                </c:pt>
                <c:pt idx="2619">
                  <c:v>470.69236461782083</c:v>
                </c:pt>
                <c:pt idx="2620">
                  <c:v>479.08425221211809</c:v>
                </c:pt>
                <c:pt idx="2621">
                  <c:v>492.36952774481881</c:v>
                </c:pt>
                <c:pt idx="2622">
                  <c:v>500.75013457570378</c:v>
                </c:pt>
                <c:pt idx="2623">
                  <c:v>494.01419909875597</c:v>
                </c:pt>
                <c:pt idx="2624">
                  <c:v>495.434066536486</c:v>
                </c:pt>
                <c:pt idx="2625">
                  <c:v>495.96987585183916</c:v>
                </c:pt>
                <c:pt idx="2626">
                  <c:v>491.74403371966918</c:v>
                </c:pt>
                <c:pt idx="2627">
                  <c:v>492.22921498476398</c:v>
                </c:pt>
                <c:pt idx="2628">
                  <c:v>496.03016620958743</c:v>
                </c:pt>
                <c:pt idx="2629">
                  <c:v>493.43698916242755</c:v>
                </c:pt>
                <c:pt idx="2630">
                  <c:v>502.84230648417537</c:v>
                </c:pt>
                <c:pt idx="2631">
                  <c:v>500.19376495089517</c:v>
                </c:pt>
                <c:pt idx="2632">
                  <c:v>497.87822930242567</c:v>
                </c:pt>
                <c:pt idx="2633">
                  <c:v>464.95342213168522</c:v>
                </c:pt>
                <c:pt idx="2634">
                  <c:v>467.7117836794626</c:v>
                </c:pt>
                <c:pt idx="2635">
                  <c:v>467.35407138056115</c:v>
                </c:pt>
                <c:pt idx="2636">
                  <c:v>471.7080033784012</c:v>
                </c:pt>
                <c:pt idx="2637">
                  <c:v>469.72374896039508</c:v>
                </c:pt>
                <c:pt idx="2638">
                  <c:v>471.8380353506908</c:v>
                </c:pt>
                <c:pt idx="2639">
                  <c:v>469.92244824324035</c:v>
                </c:pt>
                <c:pt idx="2640">
                  <c:v>470.13364215431471</c:v>
                </c:pt>
                <c:pt idx="2641">
                  <c:v>468.92729637138478</c:v>
                </c:pt>
                <c:pt idx="2642">
                  <c:v>455.74711525526675</c:v>
                </c:pt>
                <c:pt idx="2643">
                  <c:v>431.38207427698956</c:v>
                </c:pt>
                <c:pt idx="2644">
                  <c:v>424.32414210489071</c:v>
                </c:pt>
                <c:pt idx="2645">
                  <c:v>428.16038552533803</c:v>
                </c:pt>
                <c:pt idx="2646">
                  <c:v>424.91568391785535</c:v>
                </c:pt>
                <c:pt idx="2647">
                  <c:v>423.44199194151122</c:v>
                </c:pt>
                <c:pt idx="2648">
                  <c:v>401.15234976326445</c:v>
                </c:pt>
                <c:pt idx="2649">
                  <c:v>440.93628812391302</c:v>
                </c:pt>
                <c:pt idx="2650">
                  <c:v>438.11812738515584</c:v>
                </c:pt>
                <c:pt idx="2651">
                  <c:v>436.82790044466407</c:v>
                </c:pt>
                <c:pt idx="2652">
                  <c:v>437.44902539864006</c:v>
                </c:pt>
                <c:pt idx="2653">
                  <c:v>437.21793305753596</c:v>
                </c:pt>
                <c:pt idx="2654">
                  <c:v>438.61976320742508</c:v>
                </c:pt>
                <c:pt idx="2655">
                  <c:v>437.51137640457779</c:v>
                </c:pt>
                <c:pt idx="2656">
                  <c:v>453.95388158724154</c:v>
                </c:pt>
                <c:pt idx="2657">
                  <c:v>449.80748838285569</c:v>
                </c:pt>
                <c:pt idx="2658">
                  <c:v>434.08793344567181</c:v>
                </c:pt>
                <c:pt idx="2659">
                  <c:v>434.17487001742683</c:v>
                </c:pt>
                <c:pt idx="2660">
                  <c:v>430.18596592000353</c:v>
                </c:pt>
                <c:pt idx="2661">
                  <c:v>428.64819281102416</c:v>
                </c:pt>
                <c:pt idx="2662">
                  <c:v>429.47884634091292</c:v>
                </c:pt>
                <c:pt idx="2663">
                  <c:v>430.32689085033962</c:v>
                </c:pt>
                <c:pt idx="2664">
                  <c:v>430.8678163343418</c:v>
                </c:pt>
                <c:pt idx="2665">
                  <c:v>434.87740277547539</c:v>
                </c:pt>
                <c:pt idx="2666">
                  <c:v>431.51455191526287</c:v>
                </c:pt>
                <c:pt idx="2667">
                  <c:v>430.24520732875351</c:v>
                </c:pt>
                <c:pt idx="2668">
                  <c:v>413.51734804558077</c:v>
                </c:pt>
                <c:pt idx="2669">
                  <c:v>418.59294504453845</c:v>
                </c:pt>
                <c:pt idx="2670">
                  <c:v>419.72117094776854</c:v>
                </c:pt>
                <c:pt idx="2671">
                  <c:v>414.77576781242709</c:v>
                </c:pt>
                <c:pt idx="2672">
                  <c:v>417.12404772659823</c:v>
                </c:pt>
                <c:pt idx="2673">
                  <c:v>412.34278046929717</c:v>
                </c:pt>
                <c:pt idx="2674">
                  <c:v>417.49294124422323</c:v>
                </c:pt>
                <c:pt idx="2675">
                  <c:v>418.60948022757736</c:v>
                </c:pt>
                <c:pt idx="2676">
                  <c:v>418.35244846415088</c:v>
                </c:pt>
                <c:pt idx="2677">
                  <c:v>418.64070680564072</c:v>
                </c:pt>
                <c:pt idx="2678">
                  <c:v>427.77640304097469</c:v>
                </c:pt>
                <c:pt idx="2679">
                  <c:v>413.51393571964064</c:v>
                </c:pt>
                <c:pt idx="2680">
                  <c:v>412.05227767814057</c:v>
                </c:pt>
                <c:pt idx="2681">
                  <c:v>410.38469071765013</c:v>
                </c:pt>
                <c:pt idx="2682">
                  <c:v>411.27790617361478</c:v>
                </c:pt>
                <c:pt idx="2683">
                  <c:v>408.48765439860375</c:v>
                </c:pt>
                <c:pt idx="2684">
                  <c:v>406.10153387765456</c:v>
                </c:pt>
                <c:pt idx="2685">
                  <c:v>340.85916093175723</c:v>
                </c:pt>
                <c:pt idx="2686">
                  <c:v>322.75492413105519</c:v>
                </c:pt>
                <c:pt idx="2687">
                  <c:v>321.59269221388593</c:v>
                </c:pt>
                <c:pt idx="2688">
                  <c:v>321.29950903796248</c:v>
                </c:pt>
                <c:pt idx="2689">
                  <c:v>319.05093265670592</c:v>
                </c:pt>
                <c:pt idx="2690">
                  <c:v>307.50351057065325</c:v>
                </c:pt>
                <c:pt idx="2691">
                  <c:v>302.07672821916401</c:v>
                </c:pt>
                <c:pt idx="2692">
                  <c:v>303.61904547290919</c:v>
                </c:pt>
                <c:pt idx="2693">
                  <c:v>299.22058713666058</c:v>
                </c:pt>
                <c:pt idx="2694">
                  <c:v>316.85556933264235</c:v>
                </c:pt>
                <c:pt idx="2695">
                  <c:v>315.359395291949</c:v>
                </c:pt>
                <c:pt idx="2696">
                  <c:v>313.26426824707727</c:v>
                </c:pt>
                <c:pt idx="2697">
                  <c:v>313.54260467719308</c:v>
                </c:pt>
                <c:pt idx="2698">
                  <c:v>307.69438298128034</c:v>
                </c:pt>
                <c:pt idx="2699">
                  <c:v>313.66621679092299</c:v>
                </c:pt>
                <c:pt idx="2700">
                  <c:v>302.97778234445337</c:v>
                </c:pt>
                <c:pt idx="2701">
                  <c:v>299.91533907247111</c:v>
                </c:pt>
                <c:pt idx="2702">
                  <c:v>298.55259965435602</c:v>
                </c:pt>
                <c:pt idx="2703">
                  <c:v>295.72132182706434</c:v>
                </c:pt>
                <c:pt idx="2704">
                  <c:v>300.4685991971341</c:v>
                </c:pt>
                <c:pt idx="2705">
                  <c:v>295.06900333357612</c:v>
                </c:pt>
                <c:pt idx="2706">
                  <c:v>279.44837226136144</c:v>
                </c:pt>
                <c:pt idx="2707">
                  <c:v>286.25003698658901</c:v>
                </c:pt>
                <c:pt idx="2708">
                  <c:v>286.00400460273505</c:v>
                </c:pt>
                <c:pt idx="2709">
                  <c:v>300.32757003977304</c:v>
                </c:pt>
                <c:pt idx="2710">
                  <c:v>298.6462770334922</c:v>
                </c:pt>
                <c:pt idx="2711">
                  <c:v>297.00813753589432</c:v>
                </c:pt>
                <c:pt idx="2712">
                  <c:v>301.5649378979503</c:v>
                </c:pt>
                <c:pt idx="2713">
                  <c:v>296.29571760331936</c:v>
                </c:pt>
                <c:pt idx="2714">
                  <c:v>293.39788023448051</c:v>
                </c:pt>
                <c:pt idx="2715">
                  <c:v>282.33316806935539</c:v>
                </c:pt>
                <c:pt idx="2716">
                  <c:v>264.71269460474764</c:v>
                </c:pt>
                <c:pt idx="2717">
                  <c:v>272.2672492166123</c:v>
                </c:pt>
                <c:pt idx="2718">
                  <c:v>265.55379538006292</c:v>
                </c:pt>
                <c:pt idx="2719">
                  <c:v>268.8351572418303</c:v>
                </c:pt>
                <c:pt idx="2720">
                  <c:v>257.66817864558516</c:v>
                </c:pt>
                <c:pt idx="2721">
                  <c:v>254.93549790558146</c:v>
                </c:pt>
                <c:pt idx="2722">
                  <c:v>248.73253299355449</c:v>
                </c:pt>
                <c:pt idx="2723">
                  <c:v>235.17962670528186</c:v>
                </c:pt>
                <c:pt idx="2724">
                  <c:v>210.64867964466251</c:v>
                </c:pt>
                <c:pt idx="2725">
                  <c:v>208.52806707116278</c:v>
                </c:pt>
                <c:pt idx="2726">
                  <c:v>179.89417490614559</c:v>
                </c:pt>
                <c:pt idx="2727">
                  <c:v>170.49379082065326</c:v>
                </c:pt>
                <c:pt idx="2728">
                  <c:v>172.21540012022083</c:v>
                </c:pt>
                <c:pt idx="2729">
                  <c:v>172.45026779301722</c:v>
                </c:pt>
                <c:pt idx="2730">
                  <c:v>198.33211835514851</c:v>
                </c:pt>
                <c:pt idx="2731">
                  <c:v>190.93273664319619</c:v>
                </c:pt>
                <c:pt idx="2732">
                  <c:v>173.31909405619143</c:v>
                </c:pt>
                <c:pt idx="2733">
                  <c:v>176.6481072476584</c:v>
                </c:pt>
                <c:pt idx="2734">
                  <c:v>172.01506899213538</c:v>
                </c:pt>
                <c:pt idx="2735">
                  <c:v>171.56800118875543</c:v>
                </c:pt>
                <c:pt idx="2736">
                  <c:v>177.27780670791009</c:v>
                </c:pt>
                <c:pt idx="2737">
                  <c:v>167.87935275339552</c:v>
                </c:pt>
                <c:pt idx="2738">
                  <c:v>168.67731377940879</c:v>
                </c:pt>
                <c:pt idx="2739">
                  <c:v>170.84414826770447</c:v>
                </c:pt>
                <c:pt idx="2740">
                  <c:v>148.47611943052252</c:v>
                </c:pt>
                <c:pt idx="2741">
                  <c:v>151.88882697508302</c:v>
                </c:pt>
                <c:pt idx="2742">
                  <c:v>151.55926926141922</c:v>
                </c:pt>
                <c:pt idx="2743">
                  <c:v>150.35698739337786</c:v>
                </c:pt>
                <c:pt idx="2744">
                  <c:v>159.75775737912542</c:v>
                </c:pt>
                <c:pt idx="2745">
                  <c:v>155.96966778330588</c:v>
                </c:pt>
                <c:pt idx="2746">
                  <c:v>151.12678683651936</c:v>
                </c:pt>
                <c:pt idx="2747">
                  <c:v>160.46563438272781</c:v>
                </c:pt>
                <c:pt idx="2748">
                  <c:v>172.66479674449437</c:v>
                </c:pt>
                <c:pt idx="2749">
                  <c:v>183.58463987182466</c:v>
                </c:pt>
                <c:pt idx="2750">
                  <c:v>182.06824372049684</c:v>
                </c:pt>
                <c:pt idx="2751">
                  <c:v>174.98570142143714</c:v>
                </c:pt>
                <c:pt idx="2752">
                  <c:v>175.61103923023654</c:v>
                </c:pt>
                <c:pt idx="2753">
                  <c:v>181.00371109713251</c:v>
                </c:pt>
                <c:pt idx="2754">
                  <c:v>175.99411167998218</c:v>
                </c:pt>
                <c:pt idx="2755">
                  <c:v>179.60554040383957</c:v>
                </c:pt>
                <c:pt idx="2756">
                  <c:v>168.17551867356485</c:v>
                </c:pt>
                <c:pt idx="2757">
                  <c:v>166.70065335040971</c:v>
                </c:pt>
                <c:pt idx="2758">
                  <c:v>159.91777968617632</c:v>
                </c:pt>
                <c:pt idx="2759">
                  <c:v>152.58540279204925</c:v>
                </c:pt>
                <c:pt idx="2760">
                  <c:v>141.50232222613005</c:v>
                </c:pt>
                <c:pt idx="2761">
                  <c:v>139.43452257363538</c:v>
                </c:pt>
                <c:pt idx="2762">
                  <c:v>144.44706260096908</c:v>
                </c:pt>
                <c:pt idx="2763">
                  <c:v>143.43421466527008</c:v>
                </c:pt>
                <c:pt idx="2764">
                  <c:v>137.79810296856428</c:v>
                </c:pt>
                <c:pt idx="2765">
                  <c:v>128.25991959541545</c:v>
                </c:pt>
                <c:pt idx="2766">
                  <c:v>111.39363360895609</c:v>
                </c:pt>
                <c:pt idx="2767">
                  <c:v>112.05489876671291</c:v>
                </c:pt>
                <c:pt idx="2768">
                  <c:v>110.05657441587785</c:v>
                </c:pt>
                <c:pt idx="2769">
                  <c:v>103.25994477848555</c:v>
                </c:pt>
                <c:pt idx="2770">
                  <c:v>87.559680944439009</c:v>
                </c:pt>
                <c:pt idx="2771">
                  <c:v>99.650999170740789</c:v>
                </c:pt>
                <c:pt idx="2772">
                  <c:v>96.210854039660731</c:v>
                </c:pt>
                <c:pt idx="2773">
                  <c:v>95.88973116829105</c:v>
                </c:pt>
                <c:pt idx="2774">
                  <c:v>106.85743100096607</c:v>
                </c:pt>
                <c:pt idx="2775">
                  <c:v>122.34374169471391</c:v>
                </c:pt>
                <c:pt idx="2776">
                  <c:v>117.34457963383934</c:v>
                </c:pt>
                <c:pt idx="2777">
                  <c:v>103.12062250525275</c:v>
                </c:pt>
                <c:pt idx="2778">
                  <c:v>97.793148869172597</c:v>
                </c:pt>
                <c:pt idx="2779">
                  <c:v>104.74069390167358</c:v>
                </c:pt>
                <c:pt idx="2780">
                  <c:v>102.37177613558801</c:v>
                </c:pt>
                <c:pt idx="2781">
                  <c:v>104.17848282438734</c:v>
                </c:pt>
                <c:pt idx="2782">
                  <c:v>97.405236307977802</c:v>
                </c:pt>
                <c:pt idx="2783">
                  <c:v>91.617405290689803</c:v>
                </c:pt>
                <c:pt idx="2784">
                  <c:v>91.403069313604888</c:v>
                </c:pt>
                <c:pt idx="2785">
                  <c:v>99.367846295694221</c:v>
                </c:pt>
                <c:pt idx="2786">
                  <c:v>102.32904639602017</c:v>
                </c:pt>
                <c:pt idx="2787">
                  <c:v>103.37271878706986</c:v>
                </c:pt>
                <c:pt idx="2788">
                  <c:v>116.10540927564129</c:v>
                </c:pt>
                <c:pt idx="2789">
                  <c:v>117.70259885722744</c:v>
                </c:pt>
                <c:pt idx="2790">
                  <c:v>118.84703431026406</c:v>
                </c:pt>
                <c:pt idx="2791">
                  <c:v>132.49866878448785</c:v>
                </c:pt>
                <c:pt idx="2792">
                  <c:v>120.81113336287368</c:v>
                </c:pt>
                <c:pt idx="2793">
                  <c:v>120.04499940200911</c:v>
                </c:pt>
                <c:pt idx="2794">
                  <c:v>117.00945389245101</c:v>
                </c:pt>
                <c:pt idx="2795">
                  <c:v>119.21865109533925</c:v>
                </c:pt>
                <c:pt idx="2796">
                  <c:v>121.39224221677536</c:v>
                </c:pt>
                <c:pt idx="2797">
                  <c:v>127.99229817325175</c:v>
                </c:pt>
                <c:pt idx="2798">
                  <c:v>129.59379677303559</c:v>
                </c:pt>
                <c:pt idx="2799">
                  <c:v>126.90792565631816</c:v>
                </c:pt>
                <c:pt idx="2800">
                  <c:v>131.67000678207222</c:v>
                </c:pt>
                <c:pt idx="2801">
                  <c:v>138.64854634095323</c:v>
                </c:pt>
                <c:pt idx="2802">
                  <c:v>135.99498715042972</c:v>
                </c:pt>
                <c:pt idx="2803">
                  <c:v>135.98735814376963</c:v>
                </c:pt>
                <c:pt idx="2804">
                  <c:v>133.50263077870429</c:v>
                </c:pt>
                <c:pt idx="2805">
                  <c:v>126.1444540830033</c:v>
                </c:pt>
                <c:pt idx="2806">
                  <c:v>127.28989246146722</c:v>
                </c:pt>
                <c:pt idx="2807">
                  <c:v>115.66748708264767</c:v>
                </c:pt>
                <c:pt idx="2808">
                  <c:v>112.84546810501408</c:v>
                </c:pt>
                <c:pt idx="2809">
                  <c:v>112.47134259202579</c:v>
                </c:pt>
                <c:pt idx="2810">
                  <c:v>99.251112579113325</c:v>
                </c:pt>
                <c:pt idx="2811">
                  <c:v>99.095835202305523</c:v>
                </c:pt>
                <c:pt idx="2812">
                  <c:v>98.974680056852634</c:v>
                </c:pt>
                <c:pt idx="2813">
                  <c:v>98.274577159720593</c:v>
                </c:pt>
                <c:pt idx="2814">
                  <c:v>98.378565446582201</c:v>
                </c:pt>
                <c:pt idx="2815">
                  <c:v>102.70759111624226</c:v>
                </c:pt>
                <c:pt idx="2816">
                  <c:v>103.25873179966101</c:v>
                </c:pt>
                <c:pt idx="2817">
                  <c:v>103.67700365807853</c:v>
                </c:pt>
                <c:pt idx="2818">
                  <c:v>109.11496147487044</c:v>
                </c:pt>
                <c:pt idx="2819">
                  <c:v>116.76081716368685</c:v>
                </c:pt>
                <c:pt idx="2820">
                  <c:v>125.86799852179574</c:v>
                </c:pt>
                <c:pt idx="2821">
                  <c:v>121.60066225797884</c:v>
                </c:pt>
                <c:pt idx="2822">
                  <c:v>120.09677626579484</c:v>
                </c:pt>
                <c:pt idx="2823">
                  <c:v>118.52910881518881</c:v>
                </c:pt>
                <c:pt idx="2824">
                  <c:v>113.86523839304611</c:v>
                </c:pt>
                <c:pt idx="2825">
                  <c:v>113.80696073719501</c:v>
                </c:pt>
                <c:pt idx="2826">
                  <c:v>124.78082262431175</c:v>
                </c:pt>
                <c:pt idx="2827">
                  <c:v>123.48255925802991</c:v>
                </c:pt>
                <c:pt idx="2828">
                  <c:v>118.74835677460969</c:v>
                </c:pt>
                <c:pt idx="2829">
                  <c:v>126.37731281517959</c:v>
                </c:pt>
                <c:pt idx="2830">
                  <c:v>124.42786991721199</c:v>
                </c:pt>
                <c:pt idx="2831">
                  <c:v>119.59038631586584</c:v>
                </c:pt>
                <c:pt idx="2832">
                  <c:v>123.79466592848577</c:v>
                </c:pt>
                <c:pt idx="2833">
                  <c:v>121.69958593651056</c:v>
                </c:pt>
                <c:pt idx="2834">
                  <c:v>135.68734170346224</c:v>
                </c:pt>
                <c:pt idx="2835">
                  <c:v>134.54713759230088</c:v>
                </c:pt>
                <c:pt idx="2836">
                  <c:v>135.13492029710162</c:v>
                </c:pt>
                <c:pt idx="2837">
                  <c:v>135.88496215876447</c:v>
                </c:pt>
                <c:pt idx="2838">
                  <c:v>128.81358458035496</c:v>
                </c:pt>
                <c:pt idx="2839">
                  <c:v>116.08442588662686</c:v>
                </c:pt>
                <c:pt idx="2840">
                  <c:v>118.81071661860409</c:v>
                </c:pt>
                <c:pt idx="2841">
                  <c:v>117.35099816352674</c:v>
                </c:pt>
                <c:pt idx="2842">
                  <c:v>112.01307979364803</c:v>
                </c:pt>
                <c:pt idx="2843">
                  <c:v>118.67431575249934</c:v>
                </c:pt>
                <c:pt idx="2844">
                  <c:v>119.72723439380033</c:v>
                </c:pt>
                <c:pt idx="2845">
                  <c:v>120.42641672098446</c:v>
                </c:pt>
                <c:pt idx="2846">
                  <c:v>123.11959458675973</c:v>
                </c:pt>
                <c:pt idx="2847">
                  <c:v>126.91041369151525</c:v>
                </c:pt>
                <c:pt idx="2848">
                  <c:v>120.91261167541616</c:v>
                </c:pt>
                <c:pt idx="2849">
                  <c:v>121.2561922477359</c:v>
                </c:pt>
                <c:pt idx="2850">
                  <c:v>121.04273803760267</c:v>
                </c:pt>
                <c:pt idx="2851">
                  <c:v>122.31004109505989</c:v>
                </c:pt>
                <c:pt idx="2852">
                  <c:v>125.03860675431612</c:v>
                </c:pt>
                <c:pt idx="2853">
                  <c:v>124.64273285374804</c:v>
                </c:pt>
                <c:pt idx="2854">
                  <c:v>126.54317337799496</c:v>
                </c:pt>
                <c:pt idx="2855">
                  <c:v>132.59232246091833</c:v>
                </c:pt>
                <c:pt idx="2856">
                  <c:v>124.11098904843091</c:v>
                </c:pt>
                <c:pt idx="2857">
                  <c:v>126.78448234198821</c:v>
                </c:pt>
                <c:pt idx="2858">
                  <c:v>127.83981436336643</c:v>
                </c:pt>
                <c:pt idx="2859">
                  <c:v>129.98077888937411</c:v>
                </c:pt>
                <c:pt idx="2860">
                  <c:v>137.50930088842148</c:v>
                </c:pt>
                <c:pt idx="2861">
                  <c:v>169.00660236241464</c:v>
                </c:pt>
                <c:pt idx="2862">
                  <c:v>175.86401525091017</c:v>
                </c:pt>
                <c:pt idx="2863">
                  <c:v>184.46223772711446</c:v>
                </c:pt>
                <c:pt idx="2864">
                  <c:v>180.49480059366681</c:v>
                </c:pt>
                <c:pt idx="2865">
                  <c:v>184.40659208737247</c:v>
                </c:pt>
                <c:pt idx="2866">
                  <c:v>174.0739219526773</c:v>
                </c:pt>
                <c:pt idx="2867">
                  <c:v>172.32206621471067</c:v>
                </c:pt>
                <c:pt idx="2868">
                  <c:v>175.15898216667259</c:v>
                </c:pt>
                <c:pt idx="2869">
                  <c:v>178.2922130805033</c:v>
                </c:pt>
                <c:pt idx="2870">
                  <c:v>178.07244810187606</c:v>
                </c:pt>
                <c:pt idx="2871">
                  <c:v>181.41689899174273</c:v>
                </c:pt>
                <c:pt idx="2872">
                  <c:v>181.5698425278934</c:v>
                </c:pt>
                <c:pt idx="2873">
                  <c:v>177.12334039354965</c:v>
                </c:pt>
                <c:pt idx="2874">
                  <c:v>175.6038978650439</c:v>
                </c:pt>
                <c:pt idx="2875">
                  <c:v>163.06298352725716</c:v>
                </c:pt>
                <c:pt idx="2876">
                  <c:v>165.98102886181925</c:v>
                </c:pt>
                <c:pt idx="2877">
                  <c:v>171.24966322921671</c:v>
                </c:pt>
                <c:pt idx="2878">
                  <c:v>169.81624485572917</c:v>
                </c:pt>
                <c:pt idx="2879">
                  <c:v>169.01161704424968</c:v>
                </c:pt>
                <c:pt idx="2880">
                  <c:v>172.95493819429853</c:v>
                </c:pt>
                <c:pt idx="2881">
                  <c:v>173.4922564731599</c:v>
                </c:pt>
                <c:pt idx="2882">
                  <c:v>183.39907897127705</c:v>
                </c:pt>
                <c:pt idx="2883">
                  <c:v>179.86977283408871</c:v>
                </c:pt>
                <c:pt idx="2884">
                  <c:v>184.97604857596178</c:v>
                </c:pt>
                <c:pt idx="2885">
                  <c:v>181.88350658280629</c:v>
                </c:pt>
                <c:pt idx="2886">
                  <c:v>182.3926035591486</c:v>
                </c:pt>
                <c:pt idx="2887">
                  <c:v>175.14926967669248</c:v>
                </c:pt>
                <c:pt idx="2888">
                  <c:v>175.61181845173806</c:v>
                </c:pt>
                <c:pt idx="2889">
                  <c:v>202.67710056258818</c:v>
                </c:pt>
                <c:pt idx="2890">
                  <c:v>203.36757064771496</c:v>
                </c:pt>
                <c:pt idx="2891">
                  <c:v>192.14532353352902</c:v>
                </c:pt>
                <c:pt idx="2892">
                  <c:v>145.84352311379322</c:v>
                </c:pt>
                <c:pt idx="2893">
                  <c:v>139.25338727036612</c:v>
                </c:pt>
                <c:pt idx="2894">
                  <c:v>142.95914415105668</c:v>
                </c:pt>
                <c:pt idx="2895">
                  <c:v>143.19574419090694</c:v>
                </c:pt>
                <c:pt idx="2896">
                  <c:v>149.58231561701896</c:v>
                </c:pt>
                <c:pt idx="2897">
                  <c:v>146.2424161670815</c:v>
                </c:pt>
                <c:pt idx="2898">
                  <c:v>147.94979428753268</c:v>
                </c:pt>
                <c:pt idx="2899">
                  <c:v>144.17411847486298</c:v>
                </c:pt>
                <c:pt idx="2900">
                  <c:v>146.94181752995473</c:v>
                </c:pt>
                <c:pt idx="2901">
                  <c:v>144.04774716924911</c:v>
                </c:pt>
                <c:pt idx="2902">
                  <c:v>142.83424176035214</c:v>
                </c:pt>
                <c:pt idx="2903">
                  <c:v>143.05550431045751</c:v>
                </c:pt>
                <c:pt idx="2904">
                  <c:v>145.86939260148171</c:v>
                </c:pt>
                <c:pt idx="2905">
                  <c:v>156.39528227504601</c:v>
                </c:pt>
                <c:pt idx="2906">
                  <c:v>155.60906997724547</c:v>
                </c:pt>
                <c:pt idx="2907">
                  <c:v>155.22186616756733</c:v>
                </c:pt>
                <c:pt idx="2908">
                  <c:v>157.01575134833143</c:v>
                </c:pt>
                <c:pt idx="2909">
                  <c:v>159.5619015798583</c:v>
                </c:pt>
                <c:pt idx="2910">
                  <c:v>157.18949679131939</c:v>
                </c:pt>
                <c:pt idx="2911">
                  <c:v>159.66777619723678</c:v>
                </c:pt>
                <c:pt idx="2912">
                  <c:v>164.12323309635875</c:v>
                </c:pt>
                <c:pt idx="2913">
                  <c:v>163.52707618836996</c:v>
                </c:pt>
                <c:pt idx="2914">
                  <c:v>162.15936877289369</c:v>
                </c:pt>
                <c:pt idx="2915">
                  <c:v>165.09479362225304</c:v>
                </c:pt>
                <c:pt idx="2916">
                  <c:v>174.54915994437025</c:v>
                </c:pt>
                <c:pt idx="2917">
                  <c:v>174.31601945343931</c:v>
                </c:pt>
                <c:pt idx="2918">
                  <c:v>188.58146517711825</c:v>
                </c:pt>
                <c:pt idx="2919">
                  <c:v>211.76293514275054</c:v>
                </c:pt>
                <c:pt idx="2920">
                  <c:v>204.15471215822694</c:v>
                </c:pt>
                <c:pt idx="2921">
                  <c:v>211.42043860411295</c:v>
                </c:pt>
                <c:pt idx="2922">
                  <c:v>205.32339083002779</c:v>
                </c:pt>
                <c:pt idx="2923">
                  <c:v>211.57395768710626</c:v>
                </c:pt>
                <c:pt idx="2924">
                  <c:v>204.09270554861868</c:v>
                </c:pt>
                <c:pt idx="2925">
                  <c:v>192.58734363025465</c:v>
                </c:pt>
                <c:pt idx="2926">
                  <c:v>186.08023882992603</c:v>
                </c:pt>
                <c:pt idx="2927">
                  <c:v>191.93959348052795</c:v>
                </c:pt>
                <c:pt idx="2928">
                  <c:v>199.74216036773484</c:v>
                </c:pt>
                <c:pt idx="2929">
                  <c:v>202.8593368612735</c:v>
                </c:pt>
                <c:pt idx="2930">
                  <c:v>201.25813183268636</c:v>
                </c:pt>
                <c:pt idx="2931">
                  <c:v>196.97508032210575</c:v>
                </c:pt>
                <c:pt idx="2932">
                  <c:v>201.03663306657162</c:v>
                </c:pt>
                <c:pt idx="2933">
                  <c:v>197.92624697092731</c:v>
                </c:pt>
                <c:pt idx="2934">
                  <c:v>193.91818893411269</c:v>
                </c:pt>
                <c:pt idx="2935">
                  <c:v>193.51885361090274</c:v>
                </c:pt>
                <c:pt idx="2936">
                  <c:v>195.23684129205782</c:v>
                </c:pt>
                <c:pt idx="2937">
                  <c:v>203.8086270939632</c:v>
                </c:pt>
                <c:pt idx="2938">
                  <c:v>207.8743981615155</c:v>
                </c:pt>
                <c:pt idx="2939">
                  <c:v>208.6088683272045</c:v>
                </c:pt>
                <c:pt idx="2940">
                  <c:v>205.26553848714897</c:v>
                </c:pt>
                <c:pt idx="2941">
                  <c:v>210.35357119315083</c:v>
                </c:pt>
                <c:pt idx="2942">
                  <c:v>210.97123108540808</c:v>
                </c:pt>
                <c:pt idx="2943">
                  <c:v>211.77326327840004</c:v>
                </c:pt>
                <c:pt idx="2944">
                  <c:v>227.52642917941543</c:v>
                </c:pt>
                <c:pt idx="2945">
                  <c:v>225.23700870966823</c:v>
                </c:pt>
                <c:pt idx="2946">
                  <c:v>210.27644075538655</c:v>
                </c:pt>
                <c:pt idx="2947">
                  <c:v>208.38439485827763</c:v>
                </c:pt>
                <c:pt idx="2948">
                  <c:v>210.09348809213412</c:v>
                </c:pt>
                <c:pt idx="2949">
                  <c:v>208.86837142055182</c:v>
                </c:pt>
                <c:pt idx="2950">
                  <c:v>192.95243409685116</c:v>
                </c:pt>
                <c:pt idx="2951">
                  <c:v>204.37624031176424</c:v>
                </c:pt>
                <c:pt idx="2952">
                  <c:v>207.82473991791585</c:v>
                </c:pt>
                <c:pt idx="2953">
                  <c:v>207.21715647509788</c:v>
                </c:pt>
                <c:pt idx="2954">
                  <c:v>205.81926554548951</c:v>
                </c:pt>
                <c:pt idx="2955">
                  <c:v>202.86626496333477</c:v>
                </c:pt>
                <c:pt idx="2956">
                  <c:v>199.46673168258479</c:v>
                </c:pt>
                <c:pt idx="2957">
                  <c:v>204.04403506420576</c:v>
                </c:pt>
                <c:pt idx="2958">
                  <c:v>206.69603342881646</c:v>
                </c:pt>
                <c:pt idx="2959">
                  <c:v>206.39918903870867</c:v>
                </c:pt>
                <c:pt idx="2960">
                  <c:v>210.78638548483448</c:v>
                </c:pt>
                <c:pt idx="2961">
                  <c:v>204.13299545210083</c:v>
                </c:pt>
                <c:pt idx="2962">
                  <c:v>201.53680211863121</c:v>
                </c:pt>
                <c:pt idx="2963">
                  <c:v>196.51076751789731</c:v>
                </c:pt>
                <c:pt idx="2964">
                  <c:v>193.65445035063118</c:v>
                </c:pt>
                <c:pt idx="2965">
                  <c:v>183.07653357041431</c:v>
                </c:pt>
                <c:pt idx="2966">
                  <c:v>167.06214228779578</c:v>
                </c:pt>
                <c:pt idx="2967">
                  <c:v>179.21323870010605</c:v>
                </c:pt>
                <c:pt idx="2968">
                  <c:v>176.02566707343527</c:v>
                </c:pt>
                <c:pt idx="2969">
                  <c:v>174.16399783592067</c:v>
                </c:pt>
                <c:pt idx="2970">
                  <c:v>170.79794952124809</c:v>
                </c:pt>
                <c:pt idx="2971">
                  <c:v>173.31070255924951</c:v>
                </c:pt>
                <c:pt idx="2972">
                  <c:v>154.53192528625681</c:v>
                </c:pt>
                <c:pt idx="2973">
                  <c:v>151.94083698553817</c:v>
                </c:pt>
                <c:pt idx="2974">
                  <c:v>154.89188277322958</c:v>
                </c:pt>
                <c:pt idx="2975">
                  <c:v>151.35837722188734</c:v>
                </c:pt>
                <c:pt idx="2976">
                  <c:v>149.46899880687903</c:v>
                </c:pt>
                <c:pt idx="2977">
                  <c:v>156.19304035146448</c:v>
                </c:pt>
                <c:pt idx="2978">
                  <c:v>156.38872701149324</c:v>
                </c:pt>
                <c:pt idx="2979">
                  <c:v>156.09428255272098</c:v>
                </c:pt>
                <c:pt idx="2980">
                  <c:v>156.11281834865468</c:v>
                </c:pt>
                <c:pt idx="2981">
                  <c:v>163.78027689298591</c:v>
                </c:pt>
                <c:pt idx="2982">
                  <c:v>161.14607840208646</c:v>
                </c:pt>
                <c:pt idx="2983">
                  <c:v>165.59705386602946</c:v>
                </c:pt>
                <c:pt idx="2984">
                  <c:v>161.26752416373449</c:v>
                </c:pt>
                <c:pt idx="2985">
                  <c:v>152.79627827163065</c:v>
                </c:pt>
                <c:pt idx="2986">
                  <c:v>146.59391767287218</c:v>
                </c:pt>
                <c:pt idx="2987">
                  <c:v>139.39781097931044</c:v>
                </c:pt>
                <c:pt idx="2988">
                  <c:v>137.91088169804735</c:v>
                </c:pt>
                <c:pt idx="2989">
                  <c:v>139.50212375203421</c:v>
                </c:pt>
                <c:pt idx="2990">
                  <c:v>137.91535830274256</c:v>
                </c:pt>
                <c:pt idx="2991">
                  <c:v>135.83082600232299</c:v>
                </c:pt>
                <c:pt idx="2992">
                  <c:v>138.73297155423703</c:v>
                </c:pt>
                <c:pt idx="2993">
                  <c:v>141.74802127228267</c:v>
                </c:pt>
                <c:pt idx="2994">
                  <c:v>136.08025624079369</c:v>
                </c:pt>
                <c:pt idx="2995">
                  <c:v>129.20047754022659</c:v>
                </c:pt>
                <c:pt idx="2996">
                  <c:v>128.60004282588167</c:v>
                </c:pt>
                <c:pt idx="2997">
                  <c:v>128.4398023424061</c:v>
                </c:pt>
                <c:pt idx="2998">
                  <c:v>124.59387117506456</c:v>
                </c:pt>
                <c:pt idx="2999">
                  <c:v>126.77439860254874</c:v>
                </c:pt>
                <c:pt idx="3000">
                  <c:v>125.1773871602294</c:v>
                </c:pt>
                <c:pt idx="3001">
                  <c:v>120.18995693978947</c:v>
                </c:pt>
                <c:pt idx="3002">
                  <c:v>120.47291053471834</c:v>
                </c:pt>
                <c:pt idx="3003">
                  <c:v>120.16541966256672</c:v>
                </c:pt>
                <c:pt idx="3004">
                  <c:v>120.9918447211505</c:v>
                </c:pt>
                <c:pt idx="3005">
                  <c:v>126.86075012009364</c:v>
                </c:pt>
                <c:pt idx="3006">
                  <c:v>133.2871702065666</c:v>
                </c:pt>
                <c:pt idx="3007">
                  <c:v>127.48605368428761</c:v>
                </c:pt>
                <c:pt idx="3008">
                  <c:v>122.09498145787377</c:v>
                </c:pt>
                <c:pt idx="3009">
                  <c:v>132.37609969984496</c:v>
                </c:pt>
                <c:pt idx="3010">
                  <c:v>130.002093270589</c:v>
                </c:pt>
                <c:pt idx="3011">
                  <c:v>131.61694692692285</c:v>
                </c:pt>
                <c:pt idx="3012">
                  <c:v>126.68807180881632</c:v>
                </c:pt>
                <c:pt idx="3013">
                  <c:v>129.34452971508458</c:v>
                </c:pt>
                <c:pt idx="3014">
                  <c:v>135.6449427929758</c:v>
                </c:pt>
                <c:pt idx="3015">
                  <c:v>144.2725074309169</c:v>
                </c:pt>
                <c:pt idx="3016">
                  <c:v>147.04195661208269</c:v>
                </c:pt>
                <c:pt idx="3017">
                  <c:v>152.90517121667199</c:v>
                </c:pt>
                <c:pt idx="3018">
                  <c:v>153.12835361466665</c:v>
                </c:pt>
                <c:pt idx="3019">
                  <c:v>154.57882881045666</c:v>
                </c:pt>
                <c:pt idx="3020">
                  <c:v>149.53248756423574</c:v>
                </c:pt>
                <c:pt idx="3021">
                  <c:v>151.23236735763857</c:v>
                </c:pt>
                <c:pt idx="3022">
                  <c:v>150.37243351001169</c:v>
                </c:pt>
                <c:pt idx="3023">
                  <c:v>143.46577133992415</c:v>
                </c:pt>
                <c:pt idx="3024">
                  <c:v>142.73189399574008</c:v>
                </c:pt>
                <c:pt idx="3025">
                  <c:v>141.73592303487732</c:v>
                </c:pt>
                <c:pt idx="3026">
                  <c:v>156.89420741775544</c:v>
                </c:pt>
                <c:pt idx="3027">
                  <c:v>181.99019965316589</c:v>
                </c:pt>
                <c:pt idx="3028">
                  <c:v>171.42789145755069</c:v>
                </c:pt>
                <c:pt idx="3029">
                  <c:v>178.69205896261533</c:v>
                </c:pt>
                <c:pt idx="3030">
                  <c:v>253.27307293875847</c:v>
                </c:pt>
                <c:pt idx="3031">
                  <c:v>309.54632074030962</c:v>
                </c:pt>
                <c:pt idx="3032">
                  <c:v>301.67347131845685</c:v>
                </c:pt>
                <c:pt idx="3033">
                  <c:v>301.25729084540131</c:v>
                </c:pt>
                <c:pt idx="3034">
                  <c:v>318.9365454521444</c:v>
                </c:pt>
                <c:pt idx="3035">
                  <c:v>308.51534783634065</c:v>
                </c:pt>
                <c:pt idx="3036">
                  <c:v>305.3652512251067</c:v>
                </c:pt>
                <c:pt idx="3037">
                  <c:v>269.51840467089926</c:v>
                </c:pt>
                <c:pt idx="3038">
                  <c:v>231.91008892999145</c:v>
                </c:pt>
                <c:pt idx="3039">
                  <c:v>250.60428130065739</c:v>
                </c:pt>
                <c:pt idx="3040">
                  <c:v>257.99587151506336</c:v>
                </c:pt>
                <c:pt idx="3041">
                  <c:v>250.47326688387855</c:v>
                </c:pt>
                <c:pt idx="3042">
                  <c:v>234.97516905497963</c:v>
                </c:pt>
                <c:pt idx="3043">
                  <c:v>230.68794148848121</c:v>
                </c:pt>
                <c:pt idx="3044">
                  <c:v>232.81424243408185</c:v>
                </c:pt>
                <c:pt idx="3045">
                  <c:v>230.99150081045835</c:v>
                </c:pt>
                <c:pt idx="3046">
                  <c:v>250.24563730582707</c:v>
                </c:pt>
                <c:pt idx="3047">
                  <c:v>256.24948023650228</c:v>
                </c:pt>
                <c:pt idx="3048">
                  <c:v>242.83400848896417</c:v>
                </c:pt>
                <c:pt idx="3049">
                  <c:v>239.95974503160184</c:v>
                </c:pt>
                <c:pt idx="3050">
                  <c:v>249.407251901775</c:v>
                </c:pt>
                <c:pt idx="3051">
                  <c:v>224.81443502159067</c:v>
                </c:pt>
                <c:pt idx="3052">
                  <c:v>227.92422772561576</c:v>
                </c:pt>
                <c:pt idx="3053">
                  <c:v>227.86906180749938</c:v>
                </c:pt>
                <c:pt idx="3054">
                  <c:v>225.25022667042526</c:v>
                </c:pt>
                <c:pt idx="3055">
                  <c:v>211.44350137797096</c:v>
                </c:pt>
                <c:pt idx="3056">
                  <c:v>205.23107069863167</c:v>
                </c:pt>
                <c:pt idx="3057">
                  <c:v>206.80275388995278</c:v>
                </c:pt>
                <c:pt idx="3058">
                  <c:v>206.60527944331298</c:v>
                </c:pt>
                <c:pt idx="3059">
                  <c:v>224.53398939316804</c:v>
                </c:pt>
                <c:pt idx="3060">
                  <c:v>222.1830879562597</c:v>
                </c:pt>
                <c:pt idx="3061">
                  <c:v>214.92572827500931</c:v>
                </c:pt>
                <c:pt idx="3062">
                  <c:v>225.13475577468253</c:v>
                </c:pt>
                <c:pt idx="3063">
                  <c:v>219.43352628064721</c:v>
                </c:pt>
                <c:pt idx="3064">
                  <c:v>227.71387233805382</c:v>
                </c:pt>
                <c:pt idx="3065">
                  <c:v>212.98219263172646</c:v>
                </c:pt>
                <c:pt idx="3066">
                  <c:v>212.70106870726653</c:v>
                </c:pt>
                <c:pt idx="3067">
                  <c:v>205.3015576740612</c:v>
                </c:pt>
                <c:pt idx="3068">
                  <c:v>210.22540124118817</c:v>
                </c:pt>
                <c:pt idx="3069">
                  <c:v>212.16924542211484</c:v>
                </c:pt>
                <c:pt idx="3070">
                  <c:v>222.75317575810351</c:v>
                </c:pt>
                <c:pt idx="3071">
                  <c:v>209.97079408737812</c:v>
                </c:pt>
                <c:pt idx="3072">
                  <c:v>192.51279007937524</c:v>
                </c:pt>
                <c:pt idx="3073">
                  <c:v>193.71954276686517</c:v>
                </c:pt>
                <c:pt idx="3074">
                  <c:v>192.27849149899433</c:v>
                </c:pt>
                <c:pt idx="3075">
                  <c:v>191.86886642157202</c:v>
                </c:pt>
                <c:pt idx="3076">
                  <c:v>187.10266315194076</c:v>
                </c:pt>
                <c:pt idx="3077">
                  <c:v>185.61388951945273</c:v>
                </c:pt>
                <c:pt idx="3078">
                  <c:v>164.33124089920804</c:v>
                </c:pt>
                <c:pt idx="3079">
                  <c:v>152.68737083683655</c:v>
                </c:pt>
                <c:pt idx="3080">
                  <c:v>154.63921004255079</c:v>
                </c:pt>
                <c:pt idx="3081">
                  <c:v>150.02679026384777</c:v>
                </c:pt>
                <c:pt idx="3082">
                  <c:v>152.42222761028364</c:v>
                </c:pt>
                <c:pt idx="3083">
                  <c:v>152.04000140092353</c:v>
                </c:pt>
                <c:pt idx="3084">
                  <c:v>152.75058322486566</c:v>
                </c:pt>
                <c:pt idx="3085">
                  <c:v>141.11090833741133</c:v>
                </c:pt>
                <c:pt idx="3086">
                  <c:v>136.44106680055441</c:v>
                </c:pt>
                <c:pt idx="3087">
                  <c:v>127.60709205225949</c:v>
                </c:pt>
                <c:pt idx="3088">
                  <c:v>132.9202766836525</c:v>
                </c:pt>
                <c:pt idx="3089">
                  <c:v>156.80010220826929</c:v>
                </c:pt>
                <c:pt idx="3090">
                  <c:v>150.62877246202927</c:v>
                </c:pt>
                <c:pt idx="3091">
                  <c:v>150.48136135736371</c:v>
                </c:pt>
                <c:pt idx="3092">
                  <c:v>144.52006651305524</c:v>
                </c:pt>
                <c:pt idx="3093">
                  <c:v>132.65731412827245</c:v>
                </c:pt>
                <c:pt idx="3094">
                  <c:v>137.26493754195857</c:v>
                </c:pt>
                <c:pt idx="3095">
                  <c:v>139.25976250879214</c:v>
                </c:pt>
                <c:pt idx="3096">
                  <c:v>132.04683439991868</c:v>
                </c:pt>
                <c:pt idx="3097">
                  <c:v>134.30512474531889</c:v>
                </c:pt>
                <c:pt idx="3098">
                  <c:v>134.01564190862274</c:v>
                </c:pt>
                <c:pt idx="3099">
                  <c:v>137.80128854534735</c:v>
                </c:pt>
                <c:pt idx="3100">
                  <c:v>141.97169459561357</c:v>
                </c:pt>
                <c:pt idx="3101">
                  <c:v>140.59042336072406</c:v>
                </c:pt>
                <c:pt idx="3102">
                  <c:v>140.64250567373944</c:v>
                </c:pt>
                <c:pt idx="3103">
                  <c:v>142.23003860147418</c:v>
                </c:pt>
                <c:pt idx="3104">
                  <c:v>145.4530493370336</c:v>
                </c:pt>
                <c:pt idx="3105">
                  <c:v>145.56273478475714</c:v>
                </c:pt>
                <c:pt idx="3106">
                  <c:v>144.40252551230932</c:v>
                </c:pt>
                <c:pt idx="3107">
                  <c:v>143.82985137435202</c:v>
                </c:pt>
                <c:pt idx="3108">
                  <c:v>143.81228711559231</c:v>
                </c:pt>
                <c:pt idx="3109">
                  <c:v>143.91902404375003</c:v>
                </c:pt>
                <c:pt idx="3110">
                  <c:v>143.79619198554545</c:v>
                </c:pt>
                <c:pt idx="3111">
                  <c:v>143.88598485374936</c:v>
                </c:pt>
                <c:pt idx="3112">
                  <c:v>143.58425763477649</c:v>
                </c:pt>
                <c:pt idx="3113">
                  <c:v>143.82715352482745</c:v>
                </c:pt>
                <c:pt idx="3114">
                  <c:v>144.68405943953778</c:v>
                </c:pt>
                <c:pt idx="3115">
                  <c:v>144.10365594414185</c:v>
                </c:pt>
                <c:pt idx="3116">
                  <c:v>143.8481831360979</c:v>
                </c:pt>
                <c:pt idx="3117">
                  <c:v>142.91925258977972</c:v>
                </c:pt>
                <c:pt idx="3118">
                  <c:v>144.50501575485879</c:v>
                </c:pt>
                <c:pt idx="3119">
                  <c:v>144.55718999228284</c:v>
                </c:pt>
                <c:pt idx="3120">
                  <c:v>144.95709781228629</c:v>
                </c:pt>
                <c:pt idx="3121">
                  <c:v>143.07120665708331</c:v>
                </c:pt>
                <c:pt idx="3122">
                  <c:v>142.5247710614299</c:v>
                </c:pt>
                <c:pt idx="3123">
                  <c:v>142.6378795446233</c:v>
                </c:pt>
                <c:pt idx="3124">
                  <c:v>142.60692500716306</c:v>
                </c:pt>
                <c:pt idx="3125">
                  <c:v>142.00844147404865</c:v>
                </c:pt>
                <c:pt idx="3126">
                  <c:v>142.90909058296418</c:v>
                </c:pt>
                <c:pt idx="3127">
                  <c:v>142.5505378350656</c:v>
                </c:pt>
                <c:pt idx="3128">
                  <c:v>142.50519956939237</c:v>
                </c:pt>
                <c:pt idx="3129">
                  <c:v>142.44264133001289</c:v>
                </c:pt>
                <c:pt idx="3130">
                  <c:v>141.87928639173336</c:v>
                </c:pt>
                <c:pt idx="3131">
                  <c:v>142.40216028472403</c:v>
                </c:pt>
                <c:pt idx="3132">
                  <c:v>142.91770730534853</c:v>
                </c:pt>
                <c:pt idx="3133">
                  <c:v>143.82786701587412</c:v>
                </c:pt>
                <c:pt idx="3134">
                  <c:v>141.09896251098942</c:v>
                </c:pt>
                <c:pt idx="3135">
                  <c:v>141.17073699124262</c:v>
                </c:pt>
                <c:pt idx="3136">
                  <c:v>140.78705001058088</c:v>
                </c:pt>
                <c:pt idx="3137">
                  <c:v>140.7306104514829</c:v>
                </c:pt>
                <c:pt idx="3138">
                  <c:v>140.73653480434913</c:v>
                </c:pt>
                <c:pt idx="3139">
                  <c:v>140.79901301270925</c:v>
                </c:pt>
                <c:pt idx="3140">
                  <c:v>140.98312609569274</c:v>
                </c:pt>
                <c:pt idx="3141">
                  <c:v>141.35633748964477</c:v>
                </c:pt>
                <c:pt idx="3142">
                  <c:v>140.63515470803225</c:v>
                </c:pt>
                <c:pt idx="3143">
                  <c:v>140.74706599810025</c:v>
                </c:pt>
                <c:pt idx="3144">
                  <c:v>140.66331488042744</c:v>
                </c:pt>
                <c:pt idx="3145">
                  <c:v>140.46246615624716</c:v>
                </c:pt>
                <c:pt idx="3146">
                  <c:v>141.50795399636394</c:v>
                </c:pt>
                <c:pt idx="3147">
                  <c:v>141.35363941232026</c:v>
                </c:pt>
                <c:pt idx="3148">
                  <c:v>141.87618217851065</c:v>
                </c:pt>
                <c:pt idx="3149">
                  <c:v>141.2050655687936</c:v>
                </c:pt>
                <c:pt idx="3150">
                  <c:v>141.24398460718157</c:v>
                </c:pt>
                <c:pt idx="3151">
                  <c:v>141.24954756177323</c:v>
                </c:pt>
                <c:pt idx="3152">
                  <c:v>141.15358858022901</c:v>
                </c:pt>
                <c:pt idx="3153">
                  <c:v>141.42937040652421</c:v>
                </c:pt>
                <c:pt idx="3154">
                  <c:v>141.2525988545807</c:v>
                </c:pt>
                <c:pt idx="3155">
                  <c:v>141.20125752393824</c:v>
                </c:pt>
                <c:pt idx="3156">
                  <c:v>140.74807482004246</c:v>
                </c:pt>
                <c:pt idx="3157">
                  <c:v>140.79181659762872</c:v>
                </c:pt>
                <c:pt idx="3158">
                  <c:v>140.94990282371688</c:v>
                </c:pt>
                <c:pt idx="3159">
                  <c:v>140.79086009465178</c:v>
                </c:pt>
                <c:pt idx="3160">
                  <c:v>140.96497007614391</c:v>
                </c:pt>
                <c:pt idx="3161">
                  <c:v>141.66762349787189</c:v>
                </c:pt>
                <c:pt idx="3162">
                  <c:v>141.66669312328133</c:v>
                </c:pt>
                <c:pt idx="3163">
                  <c:v>142.74805625297321</c:v>
                </c:pt>
                <c:pt idx="3164">
                  <c:v>142.84333001752412</c:v>
                </c:pt>
                <c:pt idx="3165">
                  <c:v>143.10868416671832</c:v>
                </c:pt>
                <c:pt idx="3166">
                  <c:v>145.10643571360578</c:v>
                </c:pt>
                <c:pt idx="3167">
                  <c:v>147.43463145970316</c:v>
                </c:pt>
                <c:pt idx="3168">
                  <c:v>154.30107542807872</c:v>
                </c:pt>
                <c:pt idx="3169">
                  <c:v>154.42801640484993</c:v>
                </c:pt>
                <c:pt idx="3170">
                  <c:v>153.06341174564426</c:v>
                </c:pt>
                <c:pt idx="3171">
                  <c:v>155.69779048314138</c:v>
                </c:pt>
                <c:pt idx="3172">
                  <c:v>158.25613458882194</c:v>
                </c:pt>
                <c:pt idx="3173">
                  <c:v>153.177280430184</c:v>
                </c:pt>
                <c:pt idx="3174">
                  <c:v>155.22212811496021</c:v>
                </c:pt>
                <c:pt idx="3175">
                  <c:v>153.96772598628397</c:v>
                </c:pt>
                <c:pt idx="3176">
                  <c:v>157.61895876354691</c:v>
                </c:pt>
                <c:pt idx="3177">
                  <c:v>159.19699678096379</c:v>
                </c:pt>
                <c:pt idx="3178">
                  <c:v>157.50508289507931</c:v>
                </c:pt>
                <c:pt idx="3179">
                  <c:v>158.46235368107719</c:v>
                </c:pt>
                <c:pt idx="3180">
                  <c:v>156.7506996156404</c:v>
                </c:pt>
                <c:pt idx="3181">
                  <c:v>160.12832153188768</c:v>
                </c:pt>
                <c:pt idx="3182">
                  <c:v>155.92302084292095</c:v>
                </c:pt>
                <c:pt idx="3183">
                  <c:v>156.64616140705212</c:v>
                </c:pt>
                <c:pt idx="3184">
                  <c:v>155.90397410031528</c:v>
                </c:pt>
                <c:pt idx="3185">
                  <c:v>158.18843924498796</c:v>
                </c:pt>
                <c:pt idx="3186">
                  <c:v>159.40017378641423</c:v>
                </c:pt>
                <c:pt idx="3187">
                  <c:v>159.42420319113646</c:v>
                </c:pt>
                <c:pt idx="3188">
                  <c:v>164.1606296006681</c:v>
                </c:pt>
                <c:pt idx="3189">
                  <c:v>159.45380807158347</c:v>
                </c:pt>
                <c:pt idx="3190">
                  <c:v>157.31602269786518</c:v>
                </c:pt>
                <c:pt idx="3191">
                  <c:v>158.20391214363352</c:v>
                </c:pt>
                <c:pt idx="3192">
                  <c:v>157.34324576623678</c:v>
                </c:pt>
                <c:pt idx="3193">
                  <c:v>156.19210391323875</c:v>
                </c:pt>
                <c:pt idx="3194">
                  <c:v>156.67165482448482</c:v>
                </c:pt>
                <c:pt idx="3195">
                  <c:v>157.48199511031487</c:v>
                </c:pt>
                <c:pt idx="3196">
                  <c:v>154.64281913990732</c:v>
                </c:pt>
                <c:pt idx="3197">
                  <c:v>155.12549178163695</c:v>
                </c:pt>
                <c:pt idx="3198">
                  <c:v>153.83775290621844</c:v>
                </c:pt>
                <c:pt idx="3199">
                  <c:v>155.2541684800812</c:v>
                </c:pt>
                <c:pt idx="3200">
                  <c:v>154.98567304620494</c:v>
                </c:pt>
                <c:pt idx="3201">
                  <c:v>155.74218970597354</c:v>
                </c:pt>
                <c:pt idx="3202">
                  <c:v>156.98087618881385</c:v>
                </c:pt>
                <c:pt idx="3203">
                  <c:v>159.28815384496559</c:v>
                </c:pt>
                <c:pt idx="3204">
                  <c:v>152.53886514595075</c:v>
                </c:pt>
                <c:pt idx="3205">
                  <c:v>147.34011150021558</c:v>
                </c:pt>
                <c:pt idx="3206">
                  <c:v>146.22636117678078</c:v>
                </c:pt>
                <c:pt idx="3207">
                  <c:v>145.36047560692532</c:v>
                </c:pt>
                <c:pt idx="3208">
                  <c:v>144.90693523917309</c:v>
                </c:pt>
                <c:pt idx="3209">
                  <c:v>144.72654067346346</c:v>
                </c:pt>
                <c:pt idx="3210">
                  <c:v>144.33991342249863</c:v>
                </c:pt>
                <c:pt idx="3211">
                  <c:v>145.3106864915402</c:v>
                </c:pt>
                <c:pt idx="3212">
                  <c:v>146.19046982335365</c:v>
                </c:pt>
                <c:pt idx="3213">
                  <c:v>145.52155038419653</c:v>
                </c:pt>
                <c:pt idx="3214">
                  <c:v>145.84264178726178</c:v>
                </c:pt>
                <c:pt idx="3215">
                  <c:v>145.4298721535971</c:v>
                </c:pt>
                <c:pt idx="3216">
                  <c:v>147.45572261104363</c:v>
                </c:pt>
                <c:pt idx="3217">
                  <c:v>148.11817614944903</c:v>
                </c:pt>
                <c:pt idx="3218">
                  <c:v>149.3467524737774</c:v>
                </c:pt>
                <c:pt idx="3219">
                  <c:v>148.22079219158101</c:v>
                </c:pt>
                <c:pt idx="3220">
                  <c:v>148.5828579617997</c:v>
                </c:pt>
                <c:pt idx="3221">
                  <c:v>149.61014406843387</c:v>
                </c:pt>
                <c:pt idx="3222">
                  <c:v>147.87237519841045</c:v>
                </c:pt>
                <c:pt idx="3223">
                  <c:v>145.41550767175934</c:v>
                </c:pt>
                <c:pt idx="3224">
                  <c:v>145.57167741733809</c:v>
                </c:pt>
                <c:pt idx="3225">
                  <c:v>145.58173694070291</c:v>
                </c:pt>
                <c:pt idx="3226">
                  <c:v>145.98945256195083</c:v>
                </c:pt>
                <c:pt idx="3227">
                  <c:v>146.65750593454962</c:v>
                </c:pt>
                <c:pt idx="3228">
                  <c:v>147.04488920691034</c:v>
                </c:pt>
                <c:pt idx="3229">
                  <c:v>147.11864826047599</c:v>
                </c:pt>
                <c:pt idx="3230">
                  <c:v>148.0523301224076</c:v>
                </c:pt>
                <c:pt idx="3231">
                  <c:v>147.04825463541232</c:v>
                </c:pt>
                <c:pt idx="3232">
                  <c:v>147.34526858530762</c:v>
                </c:pt>
                <c:pt idx="3233">
                  <c:v>147.12806325352446</c:v>
                </c:pt>
                <c:pt idx="3234">
                  <c:v>145.84999962605204</c:v>
                </c:pt>
                <c:pt idx="3235">
                  <c:v>145.99884814612992</c:v>
                </c:pt>
                <c:pt idx="3236">
                  <c:v>146.24108380004083</c:v>
                </c:pt>
                <c:pt idx="3237">
                  <c:v>146.94994066634703</c:v>
                </c:pt>
                <c:pt idx="3238">
                  <c:v>146.93425064026835</c:v>
                </c:pt>
                <c:pt idx="3239">
                  <c:v>146.41803540633401</c:v>
                </c:pt>
                <c:pt idx="3240">
                  <c:v>148.08730358318604</c:v>
                </c:pt>
                <c:pt idx="3241">
                  <c:v>149.04533526670355</c:v>
                </c:pt>
                <c:pt idx="3242">
                  <c:v>150.72054707378243</c:v>
                </c:pt>
                <c:pt idx="3243">
                  <c:v>151.13802514372915</c:v>
                </c:pt>
                <c:pt idx="3244">
                  <c:v>151.91721764088584</c:v>
                </c:pt>
                <c:pt idx="3245">
                  <c:v>151.08987880652558</c:v>
                </c:pt>
                <c:pt idx="3246">
                  <c:v>150.68418867004985</c:v>
                </c:pt>
                <c:pt idx="3247">
                  <c:v>151.12260407104935</c:v>
                </c:pt>
                <c:pt idx="3248">
                  <c:v>150.6483551007918</c:v>
                </c:pt>
                <c:pt idx="3249">
                  <c:v>150.8112065883775</c:v>
                </c:pt>
                <c:pt idx="3250">
                  <c:v>151.32254674485341</c:v>
                </c:pt>
                <c:pt idx="3251">
                  <c:v>153.87846507337972</c:v>
                </c:pt>
                <c:pt idx="3252">
                  <c:v>154.82873334726165</c:v>
                </c:pt>
                <c:pt idx="3253">
                  <c:v>160.69471528597683</c:v>
                </c:pt>
                <c:pt idx="3254">
                  <c:v>162.90198329521672</c:v>
                </c:pt>
                <c:pt idx="3255">
                  <c:v>163.04489959108645</c:v>
                </c:pt>
                <c:pt idx="3256">
                  <c:v>164.7484966996596</c:v>
                </c:pt>
                <c:pt idx="3257">
                  <c:v>162.93179692916451</c:v>
                </c:pt>
                <c:pt idx="3258">
                  <c:v>163.64310224328378</c:v>
                </c:pt>
                <c:pt idx="3259">
                  <c:v>169.15970847674001</c:v>
                </c:pt>
                <c:pt idx="3260">
                  <c:v>165.27551904525399</c:v>
                </c:pt>
                <c:pt idx="3261">
                  <c:v>167.08756888685113</c:v>
                </c:pt>
                <c:pt idx="3262">
                  <c:v>168.08810396800439</c:v>
                </c:pt>
                <c:pt idx="3263">
                  <c:v>171.24323753169534</c:v>
                </c:pt>
                <c:pt idx="3264">
                  <c:v>170.46631820602965</c:v>
                </c:pt>
                <c:pt idx="3265">
                  <c:v>167.8201021089809</c:v>
                </c:pt>
                <c:pt idx="3266">
                  <c:v>169.50887802469094</c:v>
                </c:pt>
                <c:pt idx="3267">
                  <c:v>171.65151354502498</c:v>
                </c:pt>
                <c:pt idx="3268">
                  <c:v>183.5239447328151</c:v>
                </c:pt>
                <c:pt idx="3269">
                  <c:v>187.21839053861976</c:v>
                </c:pt>
                <c:pt idx="3270">
                  <c:v>186.57563390952058</c:v>
                </c:pt>
                <c:pt idx="3271">
                  <c:v>185.9490076488552</c:v>
                </c:pt>
                <c:pt idx="3272">
                  <c:v>182.83072288527555</c:v>
                </c:pt>
                <c:pt idx="3273">
                  <c:v>184.30460894612796</c:v>
                </c:pt>
                <c:pt idx="3274">
                  <c:v>189.71328201639244</c:v>
                </c:pt>
                <c:pt idx="3275">
                  <c:v>194.86004831810672</c:v>
                </c:pt>
                <c:pt idx="3276">
                  <c:v>194.51159671720171</c:v>
                </c:pt>
                <c:pt idx="3277">
                  <c:v>192.61923303101918</c:v>
                </c:pt>
                <c:pt idx="3278">
                  <c:v>193.42477103056436</c:v>
                </c:pt>
                <c:pt idx="3279">
                  <c:v>198.1866364461398</c:v>
                </c:pt>
                <c:pt idx="3280">
                  <c:v>208.42320648499489</c:v>
                </c:pt>
                <c:pt idx="3281">
                  <c:v>215.46613274040718</c:v>
                </c:pt>
                <c:pt idx="3282">
                  <c:v>218.03875083595406</c:v>
                </c:pt>
                <c:pt idx="3283">
                  <c:v>224.91742879109751</c:v>
                </c:pt>
                <c:pt idx="3284">
                  <c:v>225.99905487226945</c:v>
                </c:pt>
                <c:pt idx="3285">
                  <c:v>219.78436728124186</c:v>
                </c:pt>
                <c:pt idx="3286">
                  <c:v>219.87412062975324</c:v>
                </c:pt>
                <c:pt idx="3287">
                  <c:v>231.93952942850302</c:v>
                </c:pt>
                <c:pt idx="3288">
                  <c:v>229.3558854285433</c:v>
                </c:pt>
                <c:pt idx="3289">
                  <c:v>199.83924360896887</c:v>
                </c:pt>
                <c:pt idx="3290">
                  <c:v>195.97491296988153</c:v>
                </c:pt>
                <c:pt idx="3291">
                  <c:v>205.51226258540419</c:v>
                </c:pt>
                <c:pt idx="3292">
                  <c:v>211.71978194070027</c:v>
                </c:pt>
                <c:pt idx="3293">
                  <c:v>223.20936342306408</c:v>
                </c:pt>
                <c:pt idx="3294">
                  <c:v>222.84362736016473</c:v>
                </c:pt>
                <c:pt idx="3295">
                  <c:v>218.98395234644354</c:v>
                </c:pt>
                <c:pt idx="3296">
                  <c:v>225.11902638827522</c:v>
                </c:pt>
                <c:pt idx="3297">
                  <c:v>218.9562008777749</c:v>
                </c:pt>
                <c:pt idx="3298">
                  <c:v>220.18547407845861</c:v>
                </c:pt>
                <c:pt idx="3299">
                  <c:v>220.64317423084918</c:v>
                </c:pt>
                <c:pt idx="3300">
                  <c:v>222.00282871689899</c:v>
                </c:pt>
                <c:pt idx="3301">
                  <c:v>217.33939212382819</c:v>
                </c:pt>
                <c:pt idx="3302">
                  <c:v>212.68367765974889</c:v>
                </c:pt>
                <c:pt idx="3303">
                  <c:v>210.34326645251011</c:v>
                </c:pt>
                <c:pt idx="3304">
                  <c:v>210.1115700070558</c:v>
                </c:pt>
                <c:pt idx="3305">
                  <c:v>212.79830478450052</c:v>
                </c:pt>
                <c:pt idx="3306">
                  <c:v>220.84552793405652</c:v>
                </c:pt>
                <c:pt idx="3307">
                  <c:v>220.90920114228683</c:v>
                </c:pt>
                <c:pt idx="3308">
                  <c:v>223.11673377677181</c:v>
                </c:pt>
                <c:pt idx="3309">
                  <c:v>235.85759636890344</c:v>
                </c:pt>
                <c:pt idx="3310">
                  <c:v>263.12661720808899</c:v>
                </c:pt>
                <c:pt idx="3311">
                  <c:v>254.03722764562565</c:v>
                </c:pt>
                <c:pt idx="3312">
                  <c:v>265.17557670562837</c:v>
                </c:pt>
                <c:pt idx="3313">
                  <c:v>268.89317191302007</c:v>
                </c:pt>
                <c:pt idx="3314">
                  <c:v>257.86679260088039</c:v>
                </c:pt>
                <c:pt idx="3315">
                  <c:v>263.09691242391057</c:v>
                </c:pt>
                <c:pt idx="3316">
                  <c:v>262.69461137450378</c:v>
                </c:pt>
                <c:pt idx="3317">
                  <c:v>271.65305701217602</c:v>
                </c:pt>
                <c:pt idx="3318">
                  <c:v>269.72966008288785</c:v>
                </c:pt>
                <c:pt idx="3319">
                  <c:v>287.63071803524372</c:v>
                </c:pt>
                <c:pt idx="3320">
                  <c:v>308.79622814121808</c:v>
                </c:pt>
                <c:pt idx="3321">
                  <c:v>303.46056392031136</c:v>
                </c:pt>
                <c:pt idx="3322">
                  <c:v>299.41764924124607</c:v>
                </c:pt>
                <c:pt idx="3323">
                  <c:v>317.39571119543103</c:v>
                </c:pt>
                <c:pt idx="3324">
                  <c:v>325.27603961629347</c:v>
                </c:pt>
                <c:pt idx="3325">
                  <c:v>330.36155493756502</c:v>
                </c:pt>
                <c:pt idx="3326">
                  <c:v>357.87373771721434</c:v>
                </c:pt>
                <c:pt idx="3327">
                  <c:v>382.44666380951651</c:v>
                </c:pt>
                <c:pt idx="3328">
                  <c:v>356.9284310838637</c:v>
                </c:pt>
                <c:pt idx="3329">
                  <c:v>361.15990133721954</c:v>
                </c:pt>
                <c:pt idx="3330">
                  <c:v>391.42008005924168</c:v>
                </c:pt>
                <c:pt idx="3331">
                  <c:v>443.08213873251884</c:v>
                </c:pt>
                <c:pt idx="3332">
                  <c:v>465.86212966952297</c:v>
                </c:pt>
                <c:pt idx="3333">
                  <c:v>465.41162315266405</c:v>
                </c:pt>
                <c:pt idx="3334">
                  <c:v>452.29542542415425</c:v>
                </c:pt>
                <c:pt idx="3335">
                  <c:v>322.04861073547823</c:v>
                </c:pt>
                <c:pt idx="3336">
                  <c:v>343.65228103244158</c:v>
                </c:pt>
                <c:pt idx="3337">
                  <c:v>351.54239293212032</c:v>
                </c:pt>
                <c:pt idx="3338">
                  <c:v>397.37391222253797</c:v>
                </c:pt>
                <c:pt idx="3339">
                  <c:v>351.20456540002482</c:v>
                </c:pt>
                <c:pt idx="3340">
                  <c:v>368.46805748170198</c:v>
                </c:pt>
                <c:pt idx="3341">
                  <c:v>351.20081012556693</c:v>
                </c:pt>
                <c:pt idx="3342">
                  <c:v>358.59187269000915</c:v>
                </c:pt>
                <c:pt idx="3343">
                  <c:v>366.34928204423517</c:v>
                </c:pt>
                <c:pt idx="3344">
                  <c:v>332.51577547574419</c:v>
                </c:pt>
                <c:pt idx="3345">
                  <c:v>302.10520858597926</c:v>
                </c:pt>
                <c:pt idx="3346">
                  <c:v>309.75998629207805</c:v>
                </c:pt>
                <c:pt idx="3347">
                  <c:v>305.58646126200915</c:v>
                </c:pt>
                <c:pt idx="3348">
                  <c:v>306.0250686676498</c:v>
                </c:pt>
                <c:pt idx="3349">
                  <c:v>325.49872415101942</c:v>
                </c:pt>
                <c:pt idx="3350">
                  <c:v>301.8850032225418</c:v>
                </c:pt>
                <c:pt idx="3351">
                  <c:v>290.40055520527216</c:v>
                </c:pt>
                <c:pt idx="3352">
                  <c:v>301.3899985377584</c:v>
                </c:pt>
                <c:pt idx="3353">
                  <c:v>340.13922520951718</c:v>
                </c:pt>
                <c:pt idx="3354">
                  <c:v>314.97106880418261</c:v>
                </c:pt>
                <c:pt idx="3355">
                  <c:v>303.20927605055994</c:v>
                </c:pt>
                <c:pt idx="3356">
                  <c:v>306.17749979043771</c:v>
                </c:pt>
                <c:pt idx="3357">
                  <c:v>316.49576311353741</c:v>
                </c:pt>
                <c:pt idx="3358">
                  <c:v>335.36213658014475</c:v>
                </c:pt>
                <c:pt idx="3359">
                  <c:v>333.38189158263214</c:v>
                </c:pt>
                <c:pt idx="3360">
                  <c:v>344.19787499543679</c:v>
                </c:pt>
                <c:pt idx="3361">
                  <c:v>369.33246197598174</c:v>
                </c:pt>
                <c:pt idx="3362">
                  <c:v>341.90498089706938</c:v>
                </c:pt>
                <c:pt idx="3363">
                  <c:v>387.24115672215993</c:v>
                </c:pt>
                <c:pt idx="3364">
                  <c:v>417.36743895213863</c:v>
                </c:pt>
                <c:pt idx="3365">
                  <c:v>390.39602497704658</c:v>
                </c:pt>
                <c:pt idx="3366">
                  <c:v>422.48867321496141</c:v>
                </c:pt>
                <c:pt idx="3367">
                  <c:v>413.14359187138348</c:v>
                </c:pt>
                <c:pt idx="3368">
                  <c:v>414.44491958441614</c:v>
                </c:pt>
                <c:pt idx="3369">
                  <c:v>426.97318352204854</c:v>
                </c:pt>
                <c:pt idx="3370">
                  <c:v>421.79378015517295</c:v>
                </c:pt>
                <c:pt idx="3371">
                  <c:v>432.18927821060583</c:v>
                </c:pt>
                <c:pt idx="3372">
                  <c:v>452.30469193280828</c:v>
                </c:pt>
                <c:pt idx="3373">
                  <c:v>456.5391542958892</c:v>
                </c:pt>
                <c:pt idx="3374">
                  <c:v>477.30011533697473</c:v>
                </c:pt>
                <c:pt idx="3375">
                  <c:v>503.61934638508569</c:v>
                </c:pt>
                <c:pt idx="3376">
                  <c:v>511.60829464722178</c:v>
                </c:pt>
                <c:pt idx="3377">
                  <c:v>467.77624575891946</c:v>
                </c:pt>
                <c:pt idx="3378">
                  <c:v>412.84439924233459</c:v>
                </c:pt>
                <c:pt idx="3379">
                  <c:v>424.40093955075378</c:v>
                </c:pt>
                <c:pt idx="3380">
                  <c:v>434.37935815348305</c:v>
                </c:pt>
                <c:pt idx="3381">
                  <c:v>407.16479389306937</c:v>
                </c:pt>
                <c:pt idx="3382">
                  <c:v>398.56080376876997</c:v>
                </c:pt>
                <c:pt idx="3383">
                  <c:v>372.07202643674168</c:v>
                </c:pt>
                <c:pt idx="3384">
                  <c:v>412.48648069196338</c:v>
                </c:pt>
                <c:pt idx="3385">
                  <c:v>408.148254212513</c:v>
                </c:pt>
                <c:pt idx="3386">
                  <c:v>425.14495400518439</c:v>
                </c:pt>
                <c:pt idx="3387">
                  <c:v>414.54320666091223</c:v>
                </c:pt>
                <c:pt idx="3388">
                  <c:v>401.99223295026263</c:v>
                </c:pt>
                <c:pt idx="3389">
                  <c:v>396.01643167947839</c:v>
                </c:pt>
                <c:pt idx="3390">
                  <c:v>420.43607462407039</c:v>
                </c:pt>
                <c:pt idx="3391">
                  <c:v>424.81582815164143</c:v>
                </c:pt>
                <c:pt idx="3392">
                  <c:v>449.77194953703076</c:v>
                </c:pt>
                <c:pt idx="3393">
                  <c:v>469.91893692363715</c:v>
                </c:pt>
                <c:pt idx="3394">
                  <c:v>470.7686478388419</c:v>
                </c:pt>
                <c:pt idx="3395">
                  <c:v>475.76103195029066</c:v>
                </c:pt>
                <c:pt idx="3396">
                  <c:v>499.42073384861465</c:v>
                </c:pt>
                <c:pt idx="3397">
                  <c:v>499.38848067211052</c:v>
                </c:pt>
                <c:pt idx="3398">
                  <c:v>465.49010608408582</c:v>
                </c:pt>
                <c:pt idx="3399">
                  <c:v>461.15224663654885</c:v>
                </c:pt>
                <c:pt idx="3400">
                  <c:v>454.13879972763095</c:v>
                </c:pt>
                <c:pt idx="3401">
                  <c:v>491.56368687138826</c:v>
                </c:pt>
                <c:pt idx="3402">
                  <c:v>488.01975000436897</c:v>
                </c:pt>
                <c:pt idx="3403">
                  <c:v>489.57617654294847</c:v>
                </c:pt>
                <c:pt idx="3404">
                  <c:v>471.20598722235957</c:v>
                </c:pt>
                <c:pt idx="3405">
                  <c:v>470.66012844848592</c:v>
                </c:pt>
                <c:pt idx="3406">
                  <c:v>454.02971044491227</c:v>
                </c:pt>
                <c:pt idx="3407">
                  <c:v>462.49498909424119</c:v>
                </c:pt>
                <c:pt idx="3408">
                  <c:v>419.69957079327617</c:v>
                </c:pt>
                <c:pt idx="3409">
                  <c:v>435.29316652610351</c:v>
                </c:pt>
                <c:pt idx="3410">
                  <c:v>448.11272297650407</c:v>
                </c:pt>
                <c:pt idx="3411">
                  <c:v>458.52405918145166</c:v>
                </c:pt>
                <c:pt idx="3412">
                  <c:v>469.75683346651692</c:v>
                </c:pt>
                <c:pt idx="3413">
                  <c:v>477.44955328415972</c:v>
                </c:pt>
                <c:pt idx="3414">
                  <c:v>482.89759583666824</c:v>
                </c:pt>
                <c:pt idx="3415">
                  <c:v>479.71997108770557</c:v>
                </c:pt>
                <c:pt idx="3416">
                  <c:v>483.90845014986701</c:v>
                </c:pt>
                <c:pt idx="3417">
                  <c:v>479.10423999496487</c:v>
                </c:pt>
                <c:pt idx="3418">
                  <c:v>471.53857247191871</c:v>
                </c:pt>
                <c:pt idx="3419">
                  <c:v>479.31364637457187</c:v>
                </c:pt>
                <c:pt idx="3420">
                  <c:v>471.73928574983154</c:v>
                </c:pt>
                <c:pt idx="3421">
                  <c:v>460.13871190542022</c:v>
                </c:pt>
                <c:pt idx="3422">
                  <c:v>469.58498053432845</c:v>
                </c:pt>
                <c:pt idx="3423">
                  <c:v>472.28539132231839</c:v>
                </c:pt>
                <c:pt idx="3424">
                  <c:v>488.03463802731864</c:v>
                </c:pt>
                <c:pt idx="3425">
                  <c:v>483.53930005847627</c:v>
                </c:pt>
                <c:pt idx="3426">
                  <c:v>485.04943429827972</c:v>
                </c:pt>
                <c:pt idx="3427">
                  <c:v>508.58222763837375</c:v>
                </c:pt>
                <c:pt idx="3428">
                  <c:v>506.88014352278066</c:v>
                </c:pt>
                <c:pt idx="3429">
                  <c:v>504.75087792067785</c:v>
                </c:pt>
                <c:pt idx="3430">
                  <c:v>494.89267870588458</c:v>
                </c:pt>
                <c:pt idx="3431">
                  <c:v>486.11696440163348</c:v>
                </c:pt>
                <c:pt idx="3432">
                  <c:v>445.37888063001947</c:v>
                </c:pt>
                <c:pt idx="3433">
                  <c:v>439.40538158736064</c:v>
                </c:pt>
                <c:pt idx="3434">
                  <c:v>444.04400792593117</c:v>
                </c:pt>
                <c:pt idx="3435">
                  <c:v>449.05029643778511</c:v>
                </c:pt>
                <c:pt idx="3436">
                  <c:v>439.37033705343225</c:v>
                </c:pt>
                <c:pt idx="3437">
                  <c:v>406.89757814622294</c:v>
                </c:pt>
                <c:pt idx="3438">
                  <c:v>409.14999346714416</c:v>
                </c:pt>
                <c:pt idx="3439">
                  <c:v>409.5380791924191</c:v>
                </c:pt>
                <c:pt idx="3440">
                  <c:v>425.72562028740793</c:v>
                </c:pt>
                <c:pt idx="3441">
                  <c:v>434.88406570584175</c:v>
                </c:pt>
                <c:pt idx="3442">
                  <c:v>430.49491438568305</c:v>
                </c:pt>
                <c:pt idx="3443">
                  <c:v>426.27782145953728</c:v>
                </c:pt>
                <c:pt idx="3444">
                  <c:v>446.74908376396002</c:v>
                </c:pt>
                <c:pt idx="3445">
                  <c:v>447.99419893290684</c:v>
                </c:pt>
                <c:pt idx="3446">
                  <c:v>442.51158879533011</c:v>
                </c:pt>
                <c:pt idx="3447">
                  <c:v>449.4476808996198</c:v>
                </c:pt>
                <c:pt idx="3448">
                  <c:v>423.8569297294257</c:v>
                </c:pt>
                <c:pt idx="3449">
                  <c:v>443.60858389626952</c:v>
                </c:pt>
                <c:pt idx="3450">
                  <c:v>441.03667714260285</c:v>
                </c:pt>
                <c:pt idx="3451">
                  <c:v>443.26742175881526</c:v>
                </c:pt>
                <c:pt idx="3452">
                  <c:v>444.07989364514788</c:v>
                </c:pt>
                <c:pt idx="3453">
                  <c:v>442.93139219712305</c:v>
                </c:pt>
                <c:pt idx="3454">
                  <c:v>447.32894705716194</c:v>
                </c:pt>
                <c:pt idx="3455">
                  <c:v>435.75282591654161</c:v>
                </c:pt>
                <c:pt idx="3456">
                  <c:v>432.90925152207564</c:v>
                </c:pt>
                <c:pt idx="3457">
                  <c:v>405.95359775980546</c:v>
                </c:pt>
                <c:pt idx="3458">
                  <c:v>412.02487478962541</c:v>
                </c:pt>
                <c:pt idx="3459">
                  <c:v>401.8725810727305</c:v>
                </c:pt>
                <c:pt idx="3460">
                  <c:v>397.40677542566192</c:v>
                </c:pt>
                <c:pt idx="3461">
                  <c:v>379.72930413558578</c:v>
                </c:pt>
                <c:pt idx="3462">
                  <c:v>379.15220974562794</c:v>
                </c:pt>
                <c:pt idx="3463">
                  <c:v>364.2349548830266</c:v>
                </c:pt>
                <c:pt idx="3464">
                  <c:v>366.01874897538733</c:v>
                </c:pt>
                <c:pt idx="3465">
                  <c:v>357.54810558527953</c:v>
                </c:pt>
                <c:pt idx="3466">
                  <c:v>358.79823178715674</c:v>
                </c:pt>
                <c:pt idx="3467">
                  <c:v>355.96112442788927</c:v>
                </c:pt>
                <c:pt idx="3468">
                  <c:v>354.74515129466681</c:v>
                </c:pt>
                <c:pt idx="3469">
                  <c:v>355.70024243284621</c:v>
                </c:pt>
                <c:pt idx="3470">
                  <c:v>356.72118078641034</c:v>
                </c:pt>
                <c:pt idx="3471">
                  <c:v>358.38966973426443</c:v>
                </c:pt>
                <c:pt idx="3472">
                  <c:v>354.28890786674634</c:v>
                </c:pt>
                <c:pt idx="3473">
                  <c:v>353.98482009595915</c:v>
                </c:pt>
                <c:pt idx="3474">
                  <c:v>353.62226922706367</c:v>
                </c:pt>
                <c:pt idx="3475">
                  <c:v>354.35010494141426</c:v>
                </c:pt>
                <c:pt idx="3476">
                  <c:v>353.7252720020677</c:v>
                </c:pt>
                <c:pt idx="3477">
                  <c:v>356.04205381791593</c:v>
                </c:pt>
                <c:pt idx="3478">
                  <c:v>356.8375377569904</c:v>
                </c:pt>
                <c:pt idx="3479">
                  <c:v>353.01246968980456</c:v>
                </c:pt>
                <c:pt idx="3480">
                  <c:v>352.1418779394732</c:v>
                </c:pt>
                <c:pt idx="3481">
                  <c:v>352.03072766861561</c:v>
                </c:pt>
                <c:pt idx="3482">
                  <c:v>351.94963509240614</c:v>
                </c:pt>
                <c:pt idx="3483">
                  <c:v>351.39352369077983</c:v>
                </c:pt>
                <c:pt idx="3484">
                  <c:v>355.75274698516228</c:v>
                </c:pt>
                <c:pt idx="3485">
                  <c:v>356.73847876268815</c:v>
                </c:pt>
                <c:pt idx="3486">
                  <c:v>356.74320337534613</c:v>
                </c:pt>
                <c:pt idx="3487">
                  <c:v>352.63709734738984</c:v>
                </c:pt>
                <c:pt idx="3488">
                  <c:v>353.71820827223974</c:v>
                </c:pt>
                <c:pt idx="3489">
                  <c:v>369.05881226279462</c:v>
                </c:pt>
                <c:pt idx="3490">
                  <c:v>366.66566086807484</c:v>
                </c:pt>
                <c:pt idx="3491">
                  <c:v>361.39850540108114</c:v>
                </c:pt>
                <c:pt idx="3492">
                  <c:v>362.19003752637548</c:v>
                </c:pt>
                <c:pt idx="3493">
                  <c:v>353.5759426183609</c:v>
                </c:pt>
                <c:pt idx="3494">
                  <c:v>353.08443012344378</c:v>
                </c:pt>
                <c:pt idx="3495">
                  <c:v>349.91048139449566</c:v>
                </c:pt>
                <c:pt idx="3496">
                  <c:v>345.58232109454065</c:v>
                </c:pt>
                <c:pt idx="3497">
                  <c:v>345.96201566229996</c:v>
                </c:pt>
                <c:pt idx="3498">
                  <c:v>347.87699636926124</c:v>
                </c:pt>
                <c:pt idx="3499">
                  <c:v>348.38842564629027</c:v>
                </c:pt>
                <c:pt idx="3500">
                  <c:v>344.90344097763153</c:v>
                </c:pt>
                <c:pt idx="3501">
                  <c:v>343.79162733047343</c:v>
                </c:pt>
                <c:pt idx="3502">
                  <c:v>345.47249386621399</c:v>
                </c:pt>
                <c:pt idx="3503">
                  <c:v>350.26830340877575</c:v>
                </c:pt>
                <c:pt idx="3504">
                  <c:v>353.69455655197726</c:v>
                </c:pt>
                <c:pt idx="3505">
                  <c:v>345.9514002863055</c:v>
                </c:pt>
                <c:pt idx="3506">
                  <c:v>343.41569184220322</c:v>
                </c:pt>
                <c:pt idx="3507">
                  <c:v>343.78677709285569</c:v>
                </c:pt>
                <c:pt idx="3508">
                  <c:v>347.17707897215189</c:v>
                </c:pt>
                <c:pt idx="3509">
                  <c:v>350.44084075231979</c:v>
                </c:pt>
                <c:pt idx="3510">
                  <c:v>343.05431351155897</c:v>
                </c:pt>
                <c:pt idx="3511">
                  <c:v>344.47388019973016</c:v>
                </c:pt>
                <c:pt idx="3512">
                  <c:v>346.42953239250852</c:v>
                </c:pt>
                <c:pt idx="3513">
                  <c:v>340.8587597722377</c:v>
                </c:pt>
                <c:pt idx="3514">
                  <c:v>343.23525521819175</c:v>
                </c:pt>
                <c:pt idx="3515">
                  <c:v>344.07245642682699</c:v>
                </c:pt>
                <c:pt idx="3516">
                  <c:v>344.29358296484276</c:v>
                </c:pt>
                <c:pt idx="3517">
                  <c:v>342.16036640589226</c:v>
                </c:pt>
                <c:pt idx="3518">
                  <c:v>340.04208177509582</c:v>
                </c:pt>
                <c:pt idx="3519">
                  <c:v>340.14658334186652</c:v>
                </c:pt>
                <c:pt idx="3520">
                  <c:v>336.31727226481928</c:v>
                </c:pt>
                <c:pt idx="3521">
                  <c:v>337.29586717591218</c:v>
                </c:pt>
                <c:pt idx="3522">
                  <c:v>336.36829752985642</c:v>
                </c:pt>
                <c:pt idx="3523">
                  <c:v>335.45785579800503</c:v>
                </c:pt>
                <c:pt idx="3524">
                  <c:v>334.11425705400478</c:v>
                </c:pt>
                <c:pt idx="3525">
                  <c:v>333.30929069441464</c:v>
                </c:pt>
                <c:pt idx="3526">
                  <c:v>333.50160889722235</c:v>
                </c:pt>
                <c:pt idx="3527">
                  <c:v>334.337638363633</c:v>
                </c:pt>
                <c:pt idx="3528">
                  <c:v>334.09248552196584</c:v>
                </c:pt>
                <c:pt idx="3529">
                  <c:v>336.92555032988241</c:v>
                </c:pt>
                <c:pt idx="3530">
                  <c:v>337.65350704298589</c:v>
                </c:pt>
                <c:pt idx="3531">
                  <c:v>346.84158968775478</c:v>
                </c:pt>
                <c:pt idx="3532">
                  <c:v>345.70525462707428</c:v>
                </c:pt>
                <c:pt idx="3533">
                  <c:v>350.38948678486696</c:v>
                </c:pt>
                <c:pt idx="3534">
                  <c:v>351.23423661787393</c:v>
                </c:pt>
                <c:pt idx="3535">
                  <c:v>348.57534966988703</c:v>
                </c:pt>
                <c:pt idx="3536">
                  <c:v>356.34814263251559</c:v>
                </c:pt>
                <c:pt idx="3537">
                  <c:v>355.6356023975153</c:v>
                </c:pt>
                <c:pt idx="3538">
                  <c:v>352.39164630536726</c:v>
                </c:pt>
                <c:pt idx="3539">
                  <c:v>350.30420557183703</c:v>
                </c:pt>
                <c:pt idx="3540">
                  <c:v>351.70983384079921</c:v>
                </c:pt>
                <c:pt idx="3541">
                  <c:v>351.10114869087562</c:v>
                </c:pt>
                <c:pt idx="3542">
                  <c:v>357.2087899909755</c:v>
                </c:pt>
                <c:pt idx="3543">
                  <c:v>360.63273333387792</c:v>
                </c:pt>
                <c:pt idx="3544">
                  <c:v>362.23081617437356</c:v>
                </c:pt>
                <c:pt idx="3545">
                  <c:v>367.3555229372522</c:v>
                </c:pt>
                <c:pt idx="3546">
                  <c:v>364.64789260067357</c:v>
                </c:pt>
                <c:pt idx="3547">
                  <c:v>368.03184598559193</c:v>
                </c:pt>
                <c:pt idx="3548">
                  <c:v>362.75903597805967</c:v>
                </c:pt>
                <c:pt idx="3549">
                  <c:v>368.45287609657686</c:v>
                </c:pt>
                <c:pt idx="3550">
                  <c:v>370.05333067474965</c:v>
                </c:pt>
                <c:pt idx="3551">
                  <c:v>367.66613312293799</c:v>
                </c:pt>
                <c:pt idx="3552">
                  <c:v>368.18037976281295</c:v>
                </c:pt>
                <c:pt idx="3553">
                  <c:v>366.867693040787</c:v>
                </c:pt>
                <c:pt idx="3554">
                  <c:v>366.97278243740533</c:v>
                </c:pt>
                <c:pt idx="3555">
                  <c:v>366.97359301846575</c:v>
                </c:pt>
                <c:pt idx="3556">
                  <c:v>375.05799513362894</c:v>
                </c:pt>
                <c:pt idx="3557">
                  <c:v>376.90427479494076</c:v>
                </c:pt>
                <c:pt idx="3558">
                  <c:v>374.57066411043149</c:v>
                </c:pt>
                <c:pt idx="3559">
                  <c:v>377.92621599560607</c:v>
                </c:pt>
                <c:pt idx="3560">
                  <c:v>374.08246129993978</c:v>
                </c:pt>
                <c:pt idx="3561">
                  <c:v>375.24560366285687</c:v>
                </c:pt>
                <c:pt idx="3562">
                  <c:v>369.20687233010341</c:v>
                </c:pt>
                <c:pt idx="3563">
                  <c:v>372.79878257546875</c:v>
                </c:pt>
                <c:pt idx="3564">
                  <c:v>374.68831122711612</c:v>
                </c:pt>
                <c:pt idx="3565">
                  <c:v>373.84792621256724</c:v>
                </c:pt>
                <c:pt idx="3566">
                  <c:v>372.79377786581841</c:v>
                </c:pt>
                <c:pt idx="3567">
                  <c:v>371.21179453652047</c:v>
                </c:pt>
                <c:pt idx="3568">
                  <c:v>371.43605522677035</c:v>
                </c:pt>
                <c:pt idx="3569">
                  <c:v>376.5387900311166</c:v>
                </c:pt>
                <c:pt idx="3570">
                  <c:v>379.6653776699664</c:v>
                </c:pt>
                <c:pt idx="3571">
                  <c:v>377.25081419841393</c:v>
                </c:pt>
                <c:pt idx="3572">
                  <c:v>378.48213272130482</c:v>
                </c:pt>
                <c:pt idx="3573">
                  <c:v>383.73864319516207</c:v>
                </c:pt>
                <c:pt idx="3574">
                  <c:v>365.50825866908514</c:v>
                </c:pt>
                <c:pt idx="3575">
                  <c:v>363.96236147566702</c:v>
                </c:pt>
                <c:pt idx="3576">
                  <c:v>366.10418490232115</c:v>
                </c:pt>
                <c:pt idx="3577">
                  <c:v>362.56972701911417</c:v>
                </c:pt>
                <c:pt idx="3578">
                  <c:v>362.75340969302812</c:v>
                </c:pt>
                <c:pt idx="3579">
                  <c:v>363.30056560729469</c:v>
                </c:pt>
                <c:pt idx="3580">
                  <c:v>359.79197135548475</c:v>
                </c:pt>
                <c:pt idx="3581">
                  <c:v>363.15630185215718</c:v>
                </c:pt>
                <c:pt idx="3582">
                  <c:v>366.3748502876785</c:v>
                </c:pt>
                <c:pt idx="3583">
                  <c:v>365.72732940752485</c:v>
                </c:pt>
                <c:pt idx="3584">
                  <c:v>364.27971439682034</c:v>
                </c:pt>
                <c:pt idx="3585">
                  <c:v>366.09978433419502</c:v>
                </c:pt>
                <c:pt idx="3586">
                  <c:v>364.12454639098962</c:v>
                </c:pt>
                <c:pt idx="3587">
                  <c:v>354.87588319876505</c:v>
                </c:pt>
                <c:pt idx="3588">
                  <c:v>354.07612047375699</c:v>
                </c:pt>
              </c:numCache>
            </c:numRef>
          </c:val>
          <c:smooth val="0"/>
          <c:extLst>
            <c:ext xmlns:c16="http://schemas.microsoft.com/office/drawing/2014/chart" uri="{C3380CC4-5D6E-409C-BE32-E72D297353CC}">
              <c16:uniqueId val="{00000002-5F9C-0E44-85EA-3DAC9A85DC15}"/>
            </c:ext>
          </c:extLst>
        </c:ser>
        <c:ser>
          <c:idx val="3"/>
          <c:order val="3"/>
          <c:tx>
            <c:v>熔断后卓尔金历法</c:v>
          </c:tx>
          <c:spPr>
            <a:ln w="28575" cap="rnd">
              <a:solidFill>
                <a:schemeClr val="accent4"/>
              </a:solidFill>
              <a:round/>
            </a:ln>
            <a:effectLst/>
          </c:spPr>
          <c:marker>
            <c:symbol val="none"/>
          </c:marker>
          <c:val>
            <c:numRef>
              <c:f>回测实验室!$N$470:$N$4058</c:f>
              <c:numCache>
                <c:formatCode>General</c:formatCode>
                <c:ptCount val="3589"/>
                <c:pt idx="0">
                  <c:v>1</c:v>
                </c:pt>
                <c:pt idx="1">
                  <c:v>1</c:v>
                </c:pt>
                <c:pt idx="2">
                  <c:v>1</c:v>
                </c:pt>
                <c:pt idx="3">
                  <c:v>1.0004137572885505</c:v>
                </c:pt>
                <c:pt idx="4">
                  <c:v>1.0098846424997985</c:v>
                </c:pt>
                <c:pt idx="5">
                  <c:v>1.0243582174059762</c:v>
                </c:pt>
                <c:pt idx="6">
                  <c:v>1.0277680344831679</c:v>
                </c:pt>
                <c:pt idx="7">
                  <c:v>1.0284981642736113</c:v>
                </c:pt>
                <c:pt idx="8">
                  <c:v>1.0243155614743429</c:v>
                </c:pt>
                <c:pt idx="9">
                  <c:v>1.0243155614743429</c:v>
                </c:pt>
                <c:pt idx="10">
                  <c:v>1.0247027501030892</c:v>
                </c:pt>
                <c:pt idx="11">
                  <c:v>1.0274404523451988</c:v>
                </c:pt>
                <c:pt idx="12">
                  <c:v>1.0269053352644519</c:v>
                </c:pt>
                <c:pt idx="13">
                  <c:v>1.0267971674050052</c:v>
                </c:pt>
                <c:pt idx="14">
                  <c:v>1.0266941933907696</c:v>
                </c:pt>
                <c:pt idx="15">
                  <c:v>1.0274639261876397</c:v>
                </c:pt>
                <c:pt idx="16">
                  <c:v>1.0301366470542779</c:v>
                </c:pt>
                <c:pt idx="17">
                  <c:v>1.0308790243621864</c:v>
                </c:pt>
                <c:pt idx="18">
                  <c:v>1.0315653979998081</c:v>
                </c:pt>
                <c:pt idx="19">
                  <c:v>1.0302820366937895</c:v>
                </c:pt>
                <c:pt idx="20">
                  <c:v>1.0306287921601918</c:v>
                </c:pt>
                <c:pt idx="21">
                  <c:v>1.0306287921601918</c:v>
                </c:pt>
                <c:pt idx="22">
                  <c:v>1.0306297873620984</c:v>
                </c:pt>
                <c:pt idx="23">
                  <c:v>1.03055908651454</c:v>
                </c:pt>
                <c:pt idx="24">
                  <c:v>1.0337136320141262</c:v>
                </c:pt>
                <c:pt idx="25">
                  <c:v>1.032525115726719</c:v>
                </c:pt>
                <c:pt idx="26">
                  <c:v>1.0330119473700388</c:v>
                </c:pt>
                <c:pt idx="27">
                  <c:v>1.0330113143871669</c:v>
                </c:pt>
                <c:pt idx="28">
                  <c:v>1.0326522389763912</c:v>
                </c:pt>
                <c:pt idx="29">
                  <c:v>1.0327069680140628</c:v>
                </c:pt>
                <c:pt idx="30">
                  <c:v>1.030547101243497</c:v>
                </c:pt>
                <c:pt idx="31">
                  <c:v>1.0358896030614921</c:v>
                </c:pt>
                <c:pt idx="32">
                  <c:v>1.0357886049324114</c:v>
                </c:pt>
                <c:pt idx="33">
                  <c:v>1.0349240169913043</c:v>
                </c:pt>
                <c:pt idx="34">
                  <c:v>1.0353743838488085</c:v>
                </c:pt>
                <c:pt idx="35">
                  <c:v>1.0342801422770824</c:v>
                </c:pt>
                <c:pt idx="36">
                  <c:v>1.02206874893616</c:v>
                </c:pt>
                <c:pt idx="37">
                  <c:v>0.99698943175619992</c:v>
                </c:pt>
                <c:pt idx="38">
                  <c:v>0.99967564235718942</c:v>
                </c:pt>
                <c:pt idx="39">
                  <c:v>1.0157841407951849</c:v>
                </c:pt>
                <c:pt idx="40">
                  <c:v>1.0153526144682452</c:v>
                </c:pt>
                <c:pt idx="41">
                  <c:v>0.93164196902401963</c:v>
                </c:pt>
                <c:pt idx="42">
                  <c:v>0.94206887209000967</c:v>
                </c:pt>
                <c:pt idx="43">
                  <c:v>0.93954440400415962</c:v>
                </c:pt>
                <c:pt idx="44">
                  <c:v>0.92907587630786359</c:v>
                </c:pt>
                <c:pt idx="45">
                  <c:v>0.96963432878968003</c:v>
                </c:pt>
                <c:pt idx="46">
                  <c:v>0.96963432878968003</c:v>
                </c:pt>
                <c:pt idx="47">
                  <c:v>0.96754299806350541</c:v>
                </c:pt>
                <c:pt idx="48">
                  <c:v>0.9725020366067112</c:v>
                </c:pt>
                <c:pt idx="49">
                  <c:v>0.98785941854019732</c:v>
                </c:pt>
                <c:pt idx="50">
                  <c:v>0.98589175433600118</c:v>
                </c:pt>
                <c:pt idx="51">
                  <c:v>0.97409828448509439</c:v>
                </c:pt>
                <c:pt idx="52">
                  <c:v>0.99160644536234499</c:v>
                </c:pt>
                <c:pt idx="53">
                  <c:v>1.0105985545055465</c:v>
                </c:pt>
                <c:pt idx="54">
                  <c:v>1.0105985545055465</c:v>
                </c:pt>
                <c:pt idx="55">
                  <c:v>0.98351345785822031</c:v>
                </c:pt>
                <c:pt idx="56">
                  <c:v>0.97490153619509778</c:v>
                </c:pt>
                <c:pt idx="57">
                  <c:v>0.99304725083761414</c:v>
                </c:pt>
                <c:pt idx="58">
                  <c:v>0.99044843928127813</c:v>
                </c:pt>
                <c:pt idx="59">
                  <c:v>0.98860754779865101</c:v>
                </c:pt>
                <c:pt idx="60">
                  <c:v>0.99171015742814228</c:v>
                </c:pt>
                <c:pt idx="61">
                  <c:v>1.013274456606889</c:v>
                </c:pt>
                <c:pt idx="62">
                  <c:v>1.013274456606889</c:v>
                </c:pt>
                <c:pt idx="63">
                  <c:v>1.013274456606889</c:v>
                </c:pt>
                <c:pt idx="64">
                  <c:v>1.013274456606889</c:v>
                </c:pt>
                <c:pt idx="65">
                  <c:v>1.0286430506471198</c:v>
                </c:pt>
                <c:pt idx="66">
                  <c:v>1.026138235242249</c:v>
                </c:pt>
                <c:pt idx="67">
                  <c:v>1.026422823116997</c:v>
                </c:pt>
                <c:pt idx="68">
                  <c:v>1.0017173330357689</c:v>
                </c:pt>
                <c:pt idx="69">
                  <c:v>1.0001871621233234</c:v>
                </c:pt>
                <c:pt idx="70">
                  <c:v>1.008962010863135</c:v>
                </c:pt>
                <c:pt idx="71">
                  <c:v>1.0125442978016215</c:v>
                </c:pt>
                <c:pt idx="72">
                  <c:v>1.019184349096409</c:v>
                </c:pt>
                <c:pt idx="73">
                  <c:v>1.0231597190388535</c:v>
                </c:pt>
                <c:pt idx="74">
                  <c:v>1.0219646023712259</c:v>
                </c:pt>
                <c:pt idx="75">
                  <c:v>1.0253865477110191</c:v>
                </c:pt>
                <c:pt idx="76">
                  <c:v>1.0186258503924783</c:v>
                </c:pt>
                <c:pt idx="77">
                  <c:v>1.0137983996151188</c:v>
                </c:pt>
                <c:pt idx="78">
                  <c:v>1.0297817658424415</c:v>
                </c:pt>
                <c:pt idx="79">
                  <c:v>1.030632924126051</c:v>
                </c:pt>
                <c:pt idx="80">
                  <c:v>1.0325999111205262</c:v>
                </c:pt>
                <c:pt idx="81">
                  <c:v>1.0340652903990779</c:v>
                </c:pt>
                <c:pt idx="82">
                  <c:v>1.0340652903990779</c:v>
                </c:pt>
                <c:pt idx="83">
                  <c:v>1.0340652903990779</c:v>
                </c:pt>
                <c:pt idx="84">
                  <c:v>1.0340652903990779</c:v>
                </c:pt>
                <c:pt idx="85">
                  <c:v>1.0354997602527769</c:v>
                </c:pt>
                <c:pt idx="86">
                  <c:v>1.0351879963993289</c:v>
                </c:pt>
                <c:pt idx="87">
                  <c:v>1.03549251799376</c:v>
                </c:pt>
                <c:pt idx="88">
                  <c:v>1.0364851162884101</c:v>
                </c:pt>
                <c:pt idx="89">
                  <c:v>1.0352970793654022</c:v>
                </c:pt>
                <c:pt idx="90">
                  <c:v>1.0260597102138278</c:v>
                </c:pt>
                <c:pt idx="91">
                  <c:v>1.0256445693572747</c:v>
                </c:pt>
                <c:pt idx="92">
                  <c:v>1.0333154946755125</c:v>
                </c:pt>
                <c:pt idx="93">
                  <c:v>1.0322608517035368</c:v>
                </c:pt>
                <c:pt idx="94">
                  <c:v>1.0315271875992522</c:v>
                </c:pt>
                <c:pt idx="95">
                  <c:v>1.0336959521354132</c:v>
                </c:pt>
                <c:pt idx="96">
                  <c:v>1.0338422399519172</c:v>
                </c:pt>
                <c:pt idx="97">
                  <c:v>1.0327453466799674</c:v>
                </c:pt>
                <c:pt idx="98">
                  <c:v>1.0378497109365237</c:v>
                </c:pt>
                <c:pt idx="99">
                  <c:v>1.0385864291597766</c:v>
                </c:pt>
                <c:pt idx="100">
                  <c:v>1.0379138030833914</c:v>
                </c:pt>
                <c:pt idx="101">
                  <c:v>1.0356745566189858</c:v>
                </c:pt>
                <c:pt idx="102">
                  <c:v>1.0354973573933179</c:v>
                </c:pt>
                <c:pt idx="103">
                  <c:v>1.0371022285932345</c:v>
                </c:pt>
                <c:pt idx="104">
                  <c:v>1.0371971131142921</c:v>
                </c:pt>
                <c:pt idx="105">
                  <c:v>1.038949783251254</c:v>
                </c:pt>
                <c:pt idx="106">
                  <c:v>1.0395147612729903</c:v>
                </c:pt>
                <c:pt idx="107">
                  <c:v>1.0380869677972595</c:v>
                </c:pt>
                <c:pt idx="108">
                  <c:v>1.0386008334563406</c:v>
                </c:pt>
                <c:pt idx="109">
                  <c:v>1.029356364988355</c:v>
                </c:pt>
                <c:pt idx="110">
                  <c:v>1.0269333024092735</c:v>
                </c:pt>
                <c:pt idx="111">
                  <c:v>1.0289359226092372</c:v>
                </c:pt>
                <c:pt idx="112">
                  <c:v>1.0286161995512375</c:v>
                </c:pt>
                <c:pt idx="113">
                  <c:v>1.0329629431665341</c:v>
                </c:pt>
                <c:pt idx="114">
                  <c:v>1.0319943498933859</c:v>
                </c:pt>
                <c:pt idx="115">
                  <c:v>1.0489793340776281</c:v>
                </c:pt>
                <c:pt idx="116">
                  <c:v>1.0489793340776281</c:v>
                </c:pt>
                <c:pt idx="117">
                  <c:v>1.0491517537695472</c:v>
                </c:pt>
                <c:pt idx="118">
                  <c:v>1.0506920159302788</c:v>
                </c:pt>
                <c:pt idx="119">
                  <c:v>1.0507865495517168</c:v>
                </c:pt>
                <c:pt idx="120">
                  <c:v>1.050835331056454</c:v>
                </c:pt>
                <c:pt idx="121">
                  <c:v>1.0514312362847902</c:v>
                </c:pt>
                <c:pt idx="122">
                  <c:v>1.0512389701110865</c:v>
                </c:pt>
                <c:pt idx="123">
                  <c:v>1.0498653291884312</c:v>
                </c:pt>
                <c:pt idx="124">
                  <c:v>1.0502403465064796</c:v>
                </c:pt>
                <c:pt idx="125">
                  <c:v>1.0499347113379907</c:v>
                </c:pt>
                <c:pt idx="126">
                  <c:v>1.0491110367006016</c:v>
                </c:pt>
                <c:pt idx="127">
                  <c:v>1.048335614208683</c:v>
                </c:pt>
                <c:pt idx="128">
                  <c:v>1.0496226189656241</c:v>
                </c:pt>
                <c:pt idx="129">
                  <c:v>1.047864453261474</c:v>
                </c:pt>
                <c:pt idx="130">
                  <c:v>1.0481230924207634</c:v>
                </c:pt>
                <c:pt idx="131">
                  <c:v>1.0485845480055518</c:v>
                </c:pt>
                <c:pt idx="132">
                  <c:v>1.0484984355146203</c:v>
                </c:pt>
                <c:pt idx="133">
                  <c:v>1.0481898468436723</c:v>
                </c:pt>
                <c:pt idx="134">
                  <c:v>1.0510941622227914</c:v>
                </c:pt>
                <c:pt idx="135">
                  <c:v>1.0510874840076707</c:v>
                </c:pt>
                <c:pt idx="136">
                  <c:v>1.0510730042964838</c:v>
                </c:pt>
                <c:pt idx="137">
                  <c:v>1.0510823916750571</c:v>
                </c:pt>
                <c:pt idx="138">
                  <c:v>1.0510605971235669</c:v>
                </c:pt>
                <c:pt idx="139">
                  <c:v>1.0510222144369541</c:v>
                </c:pt>
                <c:pt idx="140">
                  <c:v>1.0510156201757124</c:v>
                </c:pt>
                <c:pt idx="141">
                  <c:v>1.0511098600817448</c:v>
                </c:pt>
                <c:pt idx="142">
                  <c:v>1.0511536997163913</c:v>
                </c:pt>
                <c:pt idx="143">
                  <c:v>1.0509781829013933</c:v>
                </c:pt>
                <c:pt idx="144">
                  <c:v>1.0517991820182957</c:v>
                </c:pt>
                <c:pt idx="145">
                  <c:v>1.0547684901385588</c:v>
                </c:pt>
                <c:pt idx="146">
                  <c:v>1.0551745018858467</c:v>
                </c:pt>
                <c:pt idx="147">
                  <c:v>1.0594908575835975</c:v>
                </c:pt>
                <c:pt idx="148">
                  <c:v>1.0585341809619677</c:v>
                </c:pt>
                <c:pt idx="149">
                  <c:v>1.0580792691678389</c:v>
                </c:pt>
                <c:pt idx="150">
                  <c:v>1.0564268636438399</c:v>
                </c:pt>
                <c:pt idx="151">
                  <c:v>1.0569426522988252</c:v>
                </c:pt>
                <c:pt idx="152">
                  <c:v>1.0573582816040044</c:v>
                </c:pt>
                <c:pt idx="153">
                  <c:v>1.0568675910487102</c:v>
                </c:pt>
                <c:pt idx="154">
                  <c:v>1.0570219003540522</c:v>
                </c:pt>
                <c:pt idx="155">
                  <c:v>1.05389977784956</c:v>
                </c:pt>
                <c:pt idx="156">
                  <c:v>1.0527747508509369</c:v>
                </c:pt>
                <c:pt idx="157">
                  <c:v>1.0531996517214821</c:v>
                </c:pt>
                <c:pt idx="158">
                  <c:v>1.0540528192353751</c:v>
                </c:pt>
                <c:pt idx="159">
                  <c:v>1.0549915627928199</c:v>
                </c:pt>
                <c:pt idx="160">
                  <c:v>1.0560355645617063</c:v>
                </c:pt>
                <c:pt idx="161">
                  <c:v>1.0546632286547375</c:v>
                </c:pt>
                <c:pt idx="162">
                  <c:v>1.0548279519236163</c:v>
                </c:pt>
                <c:pt idx="163">
                  <c:v>1.0547229274636181</c:v>
                </c:pt>
                <c:pt idx="164">
                  <c:v>1.0547590664660769</c:v>
                </c:pt>
                <c:pt idx="165">
                  <c:v>1.0547219232064615</c:v>
                </c:pt>
                <c:pt idx="166">
                  <c:v>1.0546991854034742</c:v>
                </c:pt>
                <c:pt idx="167">
                  <c:v>1.0540125718862972</c:v>
                </c:pt>
                <c:pt idx="168">
                  <c:v>1.0540006675445397</c:v>
                </c:pt>
                <c:pt idx="169">
                  <c:v>1.0539572773172134</c:v>
                </c:pt>
                <c:pt idx="170">
                  <c:v>1.0539083722208467</c:v>
                </c:pt>
                <c:pt idx="171">
                  <c:v>1.0541267405421644</c:v>
                </c:pt>
                <c:pt idx="172">
                  <c:v>1.0542416206078618</c:v>
                </c:pt>
                <c:pt idx="173">
                  <c:v>1.0544748682673621</c:v>
                </c:pt>
                <c:pt idx="174">
                  <c:v>1.0545265859147399</c:v>
                </c:pt>
                <c:pt idx="175">
                  <c:v>1.0546112038011501</c:v>
                </c:pt>
                <c:pt idx="176">
                  <c:v>1.0545254901047838</c:v>
                </c:pt>
                <c:pt idx="177">
                  <c:v>1.0544837584100737</c:v>
                </c:pt>
                <c:pt idx="178">
                  <c:v>1.0545256589992</c:v>
                </c:pt>
                <c:pt idx="179">
                  <c:v>1.0545212547042018</c:v>
                </c:pt>
                <c:pt idx="180">
                  <c:v>1.0553121249706314</c:v>
                </c:pt>
                <c:pt idx="181">
                  <c:v>1.0547423933338764</c:v>
                </c:pt>
                <c:pt idx="182">
                  <c:v>1.0554292745449505</c:v>
                </c:pt>
                <c:pt idx="183">
                  <c:v>1.0542662235585278</c:v>
                </c:pt>
                <c:pt idx="184">
                  <c:v>1.0551330955096394</c:v>
                </c:pt>
                <c:pt idx="185">
                  <c:v>1.0550466462723991</c:v>
                </c:pt>
                <c:pt idx="186">
                  <c:v>1.0554268205790949</c:v>
                </c:pt>
                <c:pt idx="187">
                  <c:v>1.0550147524846103</c:v>
                </c:pt>
                <c:pt idx="188">
                  <c:v>1.0568873440274147</c:v>
                </c:pt>
                <c:pt idx="189">
                  <c:v>1.0609739165302392</c:v>
                </c:pt>
                <c:pt idx="190">
                  <c:v>1.0598763342389055</c:v>
                </c:pt>
                <c:pt idx="191">
                  <c:v>1.0581416153643679</c:v>
                </c:pt>
                <c:pt idx="192">
                  <c:v>1.0602548168865134</c:v>
                </c:pt>
                <c:pt idx="193">
                  <c:v>1.0675592196335881</c:v>
                </c:pt>
                <c:pt idx="194">
                  <c:v>1.0685580319587478</c:v>
                </c:pt>
                <c:pt idx="195">
                  <c:v>1.0750823870148056</c:v>
                </c:pt>
                <c:pt idx="196">
                  <c:v>1.0774819938826319</c:v>
                </c:pt>
                <c:pt idx="197">
                  <c:v>1.0733331061670512</c:v>
                </c:pt>
                <c:pt idx="198">
                  <c:v>1.0691147957744334</c:v>
                </c:pt>
                <c:pt idx="199">
                  <c:v>1.0722905750360139</c:v>
                </c:pt>
                <c:pt idx="200">
                  <c:v>1.0787154503302836</c:v>
                </c:pt>
                <c:pt idx="201">
                  <c:v>1.0883324310211542</c:v>
                </c:pt>
                <c:pt idx="202">
                  <c:v>1.0895453056694653</c:v>
                </c:pt>
                <c:pt idx="203">
                  <c:v>1.1158421926746425</c:v>
                </c:pt>
                <c:pt idx="204">
                  <c:v>1.11266642476277</c:v>
                </c:pt>
                <c:pt idx="205">
                  <c:v>1.1068554313690033</c:v>
                </c:pt>
                <c:pt idx="206">
                  <c:v>1.1088490245077238</c:v>
                </c:pt>
                <c:pt idx="207">
                  <c:v>1.1121092549200697</c:v>
                </c:pt>
                <c:pt idx="208">
                  <c:v>1.1175289814992742</c:v>
                </c:pt>
                <c:pt idx="209">
                  <c:v>1.117918821295133</c:v>
                </c:pt>
                <c:pt idx="210">
                  <c:v>1.1157599682552939</c:v>
                </c:pt>
                <c:pt idx="211">
                  <c:v>1.1131372276525087</c:v>
                </c:pt>
                <c:pt idx="212">
                  <c:v>1.111871746699576</c:v>
                </c:pt>
                <c:pt idx="213">
                  <c:v>1.1114143245152739</c:v>
                </c:pt>
                <c:pt idx="214">
                  <c:v>1.1124558301139846</c:v>
                </c:pt>
                <c:pt idx="215">
                  <c:v>1.1171439577413151</c:v>
                </c:pt>
                <c:pt idx="216">
                  <c:v>1.1164704211182286</c:v>
                </c:pt>
                <c:pt idx="217">
                  <c:v>1.1171285192840432</c:v>
                </c:pt>
                <c:pt idx="218">
                  <c:v>1.1177837246058788</c:v>
                </c:pt>
                <c:pt idx="219">
                  <c:v>1.1167899281806599</c:v>
                </c:pt>
                <c:pt idx="220">
                  <c:v>1.1186420716316674</c:v>
                </c:pt>
                <c:pt idx="221">
                  <c:v>1.113638476625858</c:v>
                </c:pt>
                <c:pt idx="222">
                  <c:v>1.1137974835548348</c:v>
                </c:pt>
                <c:pt idx="223">
                  <c:v>1.114975753058034</c:v>
                </c:pt>
                <c:pt idx="224">
                  <c:v>1.1146841181900355</c:v>
                </c:pt>
                <c:pt idx="225">
                  <c:v>1.1161304312836264</c:v>
                </c:pt>
                <c:pt idx="226">
                  <c:v>1.1170008161863736</c:v>
                </c:pt>
                <c:pt idx="227">
                  <c:v>1.1222246588432394</c:v>
                </c:pt>
                <c:pt idx="228">
                  <c:v>1.1262993657927185</c:v>
                </c:pt>
                <c:pt idx="229">
                  <c:v>1.1255320154124888</c:v>
                </c:pt>
                <c:pt idx="230">
                  <c:v>1.1416598357351253</c:v>
                </c:pt>
                <c:pt idx="231">
                  <c:v>1.1395618919478685</c:v>
                </c:pt>
                <c:pt idx="232">
                  <c:v>1.137447829145785</c:v>
                </c:pt>
                <c:pt idx="233">
                  <c:v>1.1384862008069134</c:v>
                </c:pt>
                <c:pt idx="234">
                  <c:v>1.1529542622805997</c:v>
                </c:pt>
                <c:pt idx="235">
                  <c:v>1.1605940929149481</c:v>
                </c:pt>
                <c:pt idx="236">
                  <c:v>1.1682544551810115</c:v>
                </c:pt>
                <c:pt idx="237">
                  <c:v>1.1638202724509481</c:v>
                </c:pt>
                <c:pt idx="238">
                  <c:v>1.1586732001764173</c:v>
                </c:pt>
                <c:pt idx="239">
                  <c:v>1.1601868059813729</c:v>
                </c:pt>
                <c:pt idx="240">
                  <c:v>1.1513850909483863</c:v>
                </c:pt>
                <c:pt idx="241">
                  <c:v>1.1515295126884775</c:v>
                </c:pt>
                <c:pt idx="242">
                  <c:v>1.1523429940448306</c:v>
                </c:pt>
                <c:pt idx="243">
                  <c:v>1.1544567125784067</c:v>
                </c:pt>
                <c:pt idx="244">
                  <c:v>1.1566775444675561</c:v>
                </c:pt>
                <c:pt idx="245">
                  <c:v>1.1566775444675561</c:v>
                </c:pt>
                <c:pt idx="246">
                  <c:v>1.1563875835466735</c:v>
                </c:pt>
                <c:pt idx="247">
                  <c:v>1.1541482818504529</c:v>
                </c:pt>
                <c:pt idx="248">
                  <c:v>1.1591811380144881</c:v>
                </c:pt>
                <c:pt idx="249">
                  <c:v>1.1623540387321067</c:v>
                </c:pt>
                <c:pt idx="250">
                  <c:v>1.1659444448172482</c:v>
                </c:pt>
                <c:pt idx="251">
                  <c:v>1.1831904993647309</c:v>
                </c:pt>
                <c:pt idx="252">
                  <c:v>1.1903222331676071</c:v>
                </c:pt>
                <c:pt idx="253">
                  <c:v>1.1904724835750584</c:v>
                </c:pt>
                <c:pt idx="254">
                  <c:v>1.1892504211429444</c:v>
                </c:pt>
                <c:pt idx="255">
                  <c:v>1.1891792286396008</c:v>
                </c:pt>
                <c:pt idx="256">
                  <c:v>1.1903337971374954</c:v>
                </c:pt>
                <c:pt idx="257">
                  <c:v>1.1900833201979364</c:v>
                </c:pt>
                <c:pt idx="258">
                  <c:v>1.1901412744547666</c:v>
                </c:pt>
                <c:pt idx="259">
                  <c:v>1.1934179129898284</c:v>
                </c:pt>
                <c:pt idx="260">
                  <c:v>1.1947012965309247</c:v>
                </c:pt>
                <c:pt idx="261">
                  <c:v>1.1947829004990684</c:v>
                </c:pt>
                <c:pt idx="262">
                  <c:v>1.195076531199819</c:v>
                </c:pt>
                <c:pt idx="263">
                  <c:v>1.1958676572085358</c:v>
                </c:pt>
                <c:pt idx="264">
                  <c:v>1.2013014325800913</c:v>
                </c:pt>
                <c:pt idx="265">
                  <c:v>1.2293238489980489</c:v>
                </c:pt>
                <c:pt idx="266">
                  <c:v>1.0135751637513659</c:v>
                </c:pt>
                <c:pt idx="267">
                  <c:v>1.0135751637513659</c:v>
                </c:pt>
                <c:pt idx="268">
                  <c:v>1.0130017054622826</c:v>
                </c:pt>
                <c:pt idx="269">
                  <c:v>1.0130017054622826</c:v>
                </c:pt>
                <c:pt idx="270">
                  <c:v>1.0128736187091065</c:v>
                </c:pt>
                <c:pt idx="271">
                  <c:v>1.0128186711702789</c:v>
                </c:pt>
                <c:pt idx="272">
                  <c:v>1.0120699272589007</c:v>
                </c:pt>
                <c:pt idx="273">
                  <c:v>1.0077339300669483</c:v>
                </c:pt>
                <c:pt idx="274">
                  <c:v>1.0080323554017274</c:v>
                </c:pt>
                <c:pt idx="275">
                  <c:v>1.0077294882215759</c:v>
                </c:pt>
                <c:pt idx="276">
                  <c:v>1.0063974443858412</c:v>
                </c:pt>
                <c:pt idx="277">
                  <c:v>1.0064353554890881</c:v>
                </c:pt>
                <c:pt idx="278">
                  <c:v>1.0065217903569672</c:v>
                </c:pt>
                <c:pt idx="279">
                  <c:v>1.0070294911088862</c:v>
                </c:pt>
                <c:pt idx="280">
                  <c:v>1.0088544763229093</c:v>
                </c:pt>
                <c:pt idx="281">
                  <c:v>1.008931008877872</c:v>
                </c:pt>
                <c:pt idx="282">
                  <c:v>1.0088633034566157</c:v>
                </c:pt>
                <c:pt idx="283">
                  <c:v>1.0089598287212911</c:v>
                </c:pt>
                <c:pt idx="284">
                  <c:v>1.0088712229360788</c:v>
                </c:pt>
                <c:pt idx="285">
                  <c:v>1.0091713037153309</c:v>
                </c:pt>
                <c:pt idx="286">
                  <c:v>1.0084851950995271</c:v>
                </c:pt>
                <c:pt idx="287">
                  <c:v>1.0091586034093818</c:v>
                </c:pt>
                <c:pt idx="288">
                  <c:v>1.0090532184981125</c:v>
                </c:pt>
                <c:pt idx="289">
                  <c:v>1.0091047660240173</c:v>
                </c:pt>
                <c:pt idx="290">
                  <c:v>1.0086599310083968</c:v>
                </c:pt>
                <c:pt idx="291">
                  <c:v>1.008065114441121</c:v>
                </c:pt>
                <c:pt idx="292">
                  <c:v>1.0079399752315148</c:v>
                </c:pt>
                <c:pt idx="293">
                  <c:v>1.0078152269858189</c:v>
                </c:pt>
                <c:pt idx="294">
                  <c:v>1.0068269140725676</c:v>
                </c:pt>
                <c:pt idx="295">
                  <c:v>1.0068745899848168</c:v>
                </c:pt>
                <c:pt idx="296">
                  <c:v>1.0069456203135712</c:v>
                </c:pt>
                <c:pt idx="297">
                  <c:v>1.0069573398479781</c:v>
                </c:pt>
                <c:pt idx="298">
                  <c:v>1.0071679390796566</c:v>
                </c:pt>
                <c:pt idx="299">
                  <c:v>1.0085534500282023</c:v>
                </c:pt>
                <c:pt idx="300">
                  <c:v>1.009513376743054</c:v>
                </c:pt>
                <c:pt idx="301">
                  <c:v>1.0097511663222831</c:v>
                </c:pt>
                <c:pt idx="302">
                  <c:v>1.0096958081484859</c:v>
                </c:pt>
                <c:pt idx="303">
                  <c:v>1.0096797629431551</c:v>
                </c:pt>
                <c:pt idx="304">
                  <c:v>1.0096478756955629</c:v>
                </c:pt>
                <c:pt idx="305">
                  <c:v>1.0096773764843678</c:v>
                </c:pt>
                <c:pt idx="306">
                  <c:v>1.0097045150016506</c:v>
                </c:pt>
                <c:pt idx="307">
                  <c:v>1.0097209128764086</c:v>
                </c:pt>
                <c:pt idx="308">
                  <c:v>1.0097576658996683</c:v>
                </c:pt>
                <c:pt idx="309">
                  <c:v>1.0097436579256307</c:v>
                </c:pt>
                <c:pt idx="310">
                  <c:v>1.0097615873536105</c:v>
                </c:pt>
                <c:pt idx="311">
                  <c:v>1.0097615873536105</c:v>
                </c:pt>
                <c:pt idx="312">
                  <c:v>1.0099860343476537</c:v>
                </c:pt>
                <c:pt idx="313">
                  <c:v>1.0101915452132111</c:v>
                </c:pt>
                <c:pt idx="314">
                  <c:v>1.0100277409341925</c:v>
                </c:pt>
                <c:pt idx="315">
                  <c:v>1.0093939237729492</c:v>
                </c:pt>
                <c:pt idx="316">
                  <c:v>1.0082866817756697</c:v>
                </c:pt>
                <c:pt idx="317">
                  <c:v>1.0049161260892578</c:v>
                </c:pt>
                <c:pt idx="318">
                  <c:v>1.0048937759217946</c:v>
                </c:pt>
                <c:pt idx="319">
                  <c:v>1.0049733679993542</c:v>
                </c:pt>
                <c:pt idx="320">
                  <c:v>1.0054099448704028</c:v>
                </c:pt>
                <c:pt idx="321">
                  <c:v>1.0048486390276883</c:v>
                </c:pt>
                <c:pt idx="322">
                  <c:v>1.0046816176815208</c:v>
                </c:pt>
                <c:pt idx="323">
                  <c:v>1.0039355012919273</c:v>
                </c:pt>
                <c:pt idx="324">
                  <c:v>1.0033901781119641</c:v>
                </c:pt>
                <c:pt idx="325">
                  <c:v>1.0036485842397354</c:v>
                </c:pt>
                <c:pt idx="326">
                  <c:v>1.0037116945123772</c:v>
                </c:pt>
                <c:pt idx="327">
                  <c:v>1.0035604912114027</c:v>
                </c:pt>
                <c:pt idx="328">
                  <c:v>1.0040285758004448</c:v>
                </c:pt>
                <c:pt idx="329">
                  <c:v>1.0030372393265741</c:v>
                </c:pt>
                <c:pt idx="330">
                  <c:v>1.0030358146246252</c:v>
                </c:pt>
                <c:pt idx="331">
                  <c:v>1.002260966398038</c:v>
                </c:pt>
                <c:pt idx="332">
                  <c:v>1.0027480606161023</c:v>
                </c:pt>
                <c:pt idx="333">
                  <c:v>1.0022796868684143</c:v>
                </c:pt>
                <c:pt idx="334">
                  <c:v>1.0022796868684143</c:v>
                </c:pt>
                <c:pt idx="335">
                  <c:v>0.99659075223917881</c:v>
                </c:pt>
                <c:pt idx="336">
                  <c:v>0.99659075223917881</c:v>
                </c:pt>
                <c:pt idx="337">
                  <c:v>0.99659075223917881</c:v>
                </c:pt>
                <c:pt idx="338">
                  <c:v>0.99741913715229191</c:v>
                </c:pt>
                <c:pt idx="339">
                  <c:v>0.99604153845959109</c:v>
                </c:pt>
                <c:pt idx="340">
                  <c:v>0.99946387764087241</c:v>
                </c:pt>
                <c:pt idx="341">
                  <c:v>1.0048508207935067</c:v>
                </c:pt>
                <c:pt idx="342">
                  <c:v>0.99669725237964846</c:v>
                </c:pt>
                <c:pt idx="343">
                  <c:v>0.99644849168184313</c:v>
                </c:pt>
                <c:pt idx="344">
                  <c:v>0.99673093624327014</c:v>
                </c:pt>
                <c:pt idx="345">
                  <c:v>0.9977598365824627</c:v>
                </c:pt>
                <c:pt idx="346">
                  <c:v>0.99722046639341644</c:v>
                </c:pt>
                <c:pt idx="347">
                  <c:v>0.99867471965042642</c:v>
                </c:pt>
                <c:pt idx="348">
                  <c:v>0.9988207504691593</c:v>
                </c:pt>
                <c:pt idx="349">
                  <c:v>0.99888911810363079</c:v>
                </c:pt>
                <c:pt idx="350">
                  <c:v>0.99808969703095374</c:v>
                </c:pt>
                <c:pt idx="351">
                  <c:v>0.99897290006595019</c:v>
                </c:pt>
                <c:pt idx="352">
                  <c:v>0.99882105882434202</c:v>
                </c:pt>
                <c:pt idx="353">
                  <c:v>1.0006520457047769</c:v>
                </c:pt>
                <c:pt idx="354">
                  <c:v>0.99972429174805122</c:v>
                </c:pt>
                <c:pt idx="355">
                  <c:v>0.99970615975376387</c:v>
                </c:pt>
                <c:pt idx="356">
                  <c:v>1.0034429810513905</c:v>
                </c:pt>
                <c:pt idx="357">
                  <c:v>1.0149119412138432</c:v>
                </c:pt>
                <c:pt idx="358">
                  <c:v>1.0155597716642382</c:v>
                </c:pt>
                <c:pt idx="359">
                  <c:v>1.0133406089368404</c:v>
                </c:pt>
                <c:pt idx="360">
                  <c:v>1.0148685684276488</c:v>
                </c:pt>
                <c:pt idx="361">
                  <c:v>1.0140373262690912</c:v>
                </c:pt>
                <c:pt idx="362">
                  <c:v>1.0144601844023025</c:v>
                </c:pt>
                <c:pt idx="363">
                  <c:v>1.0270050699119968</c:v>
                </c:pt>
                <c:pt idx="364">
                  <c:v>1.0258130565879482</c:v>
                </c:pt>
                <c:pt idx="365">
                  <c:v>1.026751083727143</c:v>
                </c:pt>
                <c:pt idx="366">
                  <c:v>1.0280919809605247</c:v>
                </c:pt>
                <c:pt idx="367">
                  <c:v>1.0235622101530111</c:v>
                </c:pt>
                <c:pt idx="368">
                  <c:v>1.0230556718965258</c:v>
                </c:pt>
                <c:pt idx="369">
                  <c:v>1.0253081659869188</c:v>
                </c:pt>
                <c:pt idx="370">
                  <c:v>1.0272794969898018</c:v>
                </c:pt>
                <c:pt idx="371">
                  <c:v>1.0363110070951045</c:v>
                </c:pt>
                <c:pt idx="372">
                  <c:v>1.0360710960421815</c:v>
                </c:pt>
                <c:pt idx="373">
                  <c:v>1.0309149452214916</c:v>
                </c:pt>
                <c:pt idx="374">
                  <c:v>1.0435869968736819</c:v>
                </c:pt>
                <c:pt idx="375">
                  <c:v>1.1070002471620515</c:v>
                </c:pt>
                <c:pt idx="376">
                  <c:v>1.1041669584355858</c:v>
                </c:pt>
                <c:pt idx="377">
                  <c:v>1.0964998615416248</c:v>
                </c:pt>
                <c:pt idx="378">
                  <c:v>1.114454340900898</c:v>
                </c:pt>
                <c:pt idx="379">
                  <c:v>1.1063074115023248</c:v>
                </c:pt>
                <c:pt idx="380">
                  <c:v>1.1032256217889793</c:v>
                </c:pt>
                <c:pt idx="381">
                  <c:v>1.1072795260932227</c:v>
                </c:pt>
                <c:pt idx="382">
                  <c:v>1.1198605074325905</c:v>
                </c:pt>
                <c:pt idx="383">
                  <c:v>1.1359644997310585</c:v>
                </c:pt>
                <c:pt idx="384">
                  <c:v>1.1361061163421442</c:v>
                </c:pt>
                <c:pt idx="385">
                  <c:v>1.1242924928464033</c:v>
                </c:pt>
                <c:pt idx="386">
                  <c:v>1.1124544408955326</c:v>
                </c:pt>
                <c:pt idx="387">
                  <c:v>1.0950847676226385</c:v>
                </c:pt>
                <c:pt idx="388">
                  <c:v>1.0914030642463446</c:v>
                </c:pt>
                <c:pt idx="389">
                  <c:v>1.0948925828294833</c:v>
                </c:pt>
                <c:pt idx="390">
                  <c:v>1.118885551981883</c:v>
                </c:pt>
                <c:pt idx="391">
                  <c:v>1.1095354464459306</c:v>
                </c:pt>
                <c:pt idx="392">
                  <c:v>1.106669107944769</c:v>
                </c:pt>
                <c:pt idx="393">
                  <c:v>1.0919360075204227</c:v>
                </c:pt>
                <c:pt idx="394">
                  <c:v>1.0860855559868907</c:v>
                </c:pt>
                <c:pt idx="395">
                  <c:v>1.0923741754210625</c:v>
                </c:pt>
                <c:pt idx="396">
                  <c:v>1.0892643866611402</c:v>
                </c:pt>
                <c:pt idx="397">
                  <c:v>1.1011259200460781</c:v>
                </c:pt>
                <c:pt idx="398">
                  <c:v>1.0955786680257829</c:v>
                </c:pt>
                <c:pt idx="399">
                  <c:v>1.0955216955503861</c:v>
                </c:pt>
                <c:pt idx="400">
                  <c:v>1.0931013497003352</c:v>
                </c:pt>
                <c:pt idx="401">
                  <c:v>1.0986684298907365</c:v>
                </c:pt>
                <c:pt idx="402">
                  <c:v>1.1058088836173441</c:v>
                </c:pt>
                <c:pt idx="403">
                  <c:v>1.0793322894281321</c:v>
                </c:pt>
                <c:pt idx="404">
                  <c:v>1.0769759289819696</c:v>
                </c:pt>
                <c:pt idx="405">
                  <c:v>1.088180288949441</c:v>
                </c:pt>
                <c:pt idx="406">
                  <c:v>1.0997811202339314</c:v>
                </c:pt>
                <c:pt idx="407">
                  <c:v>1.0919903531986563</c:v>
                </c:pt>
                <c:pt idx="408">
                  <c:v>1.0936802623703581</c:v>
                </c:pt>
                <c:pt idx="409">
                  <c:v>1.1101043694855728</c:v>
                </c:pt>
                <c:pt idx="410">
                  <c:v>1.1312681585262827</c:v>
                </c:pt>
                <c:pt idx="411">
                  <c:v>1.1350053030160667</c:v>
                </c:pt>
                <c:pt idx="412">
                  <c:v>1.1859086481003818</c:v>
                </c:pt>
                <c:pt idx="413">
                  <c:v>1.1854659934845233</c:v>
                </c:pt>
                <c:pt idx="414">
                  <c:v>1.2001709462818209</c:v>
                </c:pt>
                <c:pt idx="415">
                  <c:v>1.1822255972220741</c:v>
                </c:pt>
                <c:pt idx="416">
                  <c:v>1.2058162216629433</c:v>
                </c:pt>
                <c:pt idx="417">
                  <c:v>1.1984251190193953</c:v>
                </c:pt>
                <c:pt idx="418">
                  <c:v>1.265411616216026</c:v>
                </c:pt>
                <c:pt idx="419">
                  <c:v>1.3813731470206958</c:v>
                </c:pt>
                <c:pt idx="420">
                  <c:v>1.4164424061307299</c:v>
                </c:pt>
                <c:pt idx="421">
                  <c:v>1.4008613494399986</c:v>
                </c:pt>
                <c:pt idx="422">
                  <c:v>1.4136044712362859</c:v>
                </c:pt>
                <c:pt idx="423">
                  <c:v>1.6021378748278168</c:v>
                </c:pt>
                <c:pt idx="424">
                  <c:v>1.689524820569916</c:v>
                </c:pt>
                <c:pt idx="425">
                  <c:v>1.7356917264952376</c:v>
                </c:pt>
                <c:pt idx="426">
                  <c:v>1.6132497309599763</c:v>
                </c:pt>
                <c:pt idx="427">
                  <c:v>1.6582136453561496</c:v>
                </c:pt>
                <c:pt idx="428">
                  <c:v>1.7421692145014955</c:v>
                </c:pt>
                <c:pt idx="429">
                  <c:v>1.7302654845429737</c:v>
                </c:pt>
                <c:pt idx="430">
                  <c:v>1.8999868187147568</c:v>
                </c:pt>
                <c:pt idx="431">
                  <c:v>2.0717338006337167</c:v>
                </c:pt>
                <c:pt idx="432">
                  <c:v>2.1105030400583278</c:v>
                </c:pt>
                <c:pt idx="433">
                  <c:v>2.2696825393713858</c:v>
                </c:pt>
                <c:pt idx="434">
                  <c:v>2.2909166934652379</c:v>
                </c:pt>
                <c:pt idx="435">
                  <c:v>2.0876784524294179</c:v>
                </c:pt>
                <c:pt idx="436">
                  <c:v>2.1607948055308595</c:v>
                </c:pt>
                <c:pt idx="437">
                  <c:v>2.1259013908448319</c:v>
                </c:pt>
                <c:pt idx="438">
                  <c:v>2.1583017247109173</c:v>
                </c:pt>
                <c:pt idx="439">
                  <c:v>2.2846620567629197</c:v>
                </c:pt>
                <c:pt idx="440">
                  <c:v>2.5022353448450132</c:v>
                </c:pt>
                <c:pt idx="441">
                  <c:v>2.6241556336843983</c:v>
                </c:pt>
                <c:pt idx="442">
                  <c:v>2.8720420850091211</c:v>
                </c:pt>
                <c:pt idx="443">
                  <c:v>2.956012447188054</c:v>
                </c:pt>
                <c:pt idx="444">
                  <c:v>3.1357768425622714</c:v>
                </c:pt>
                <c:pt idx="445">
                  <c:v>3.2801075559909849</c:v>
                </c:pt>
                <c:pt idx="446">
                  <c:v>3.006845245014762</c:v>
                </c:pt>
                <c:pt idx="447">
                  <c:v>3.3437608586486243</c:v>
                </c:pt>
                <c:pt idx="448">
                  <c:v>3.3109319754263797</c:v>
                </c:pt>
                <c:pt idx="449">
                  <c:v>3.3397238334830828</c:v>
                </c:pt>
                <c:pt idx="450">
                  <c:v>3.2335250886321929</c:v>
                </c:pt>
                <c:pt idx="451">
                  <c:v>3.2608125147158629</c:v>
                </c:pt>
                <c:pt idx="452">
                  <c:v>3.7989397777000167</c:v>
                </c:pt>
                <c:pt idx="453">
                  <c:v>3.863037346515676</c:v>
                </c:pt>
                <c:pt idx="454">
                  <c:v>3.8922481714590007</c:v>
                </c:pt>
                <c:pt idx="455">
                  <c:v>4.033049120247413</c:v>
                </c:pt>
                <c:pt idx="456">
                  <c:v>3.9046342840750228</c:v>
                </c:pt>
                <c:pt idx="457">
                  <c:v>3.9243947796565744</c:v>
                </c:pt>
                <c:pt idx="458">
                  <c:v>4.0409714431637731</c:v>
                </c:pt>
                <c:pt idx="459">
                  <c:v>4.2360993484564657</c:v>
                </c:pt>
                <c:pt idx="460">
                  <c:v>4.1780696707610083</c:v>
                </c:pt>
                <c:pt idx="461">
                  <c:v>4.8261610347539223</c:v>
                </c:pt>
                <c:pt idx="462">
                  <c:v>5.176285896811736</c:v>
                </c:pt>
                <c:pt idx="463">
                  <c:v>5.0951844465523513</c:v>
                </c:pt>
                <c:pt idx="464">
                  <c:v>5.1666947219678381</c:v>
                </c:pt>
                <c:pt idx="465">
                  <c:v>5.7016200985162104</c:v>
                </c:pt>
                <c:pt idx="466">
                  <c:v>7.1398443997469734</c:v>
                </c:pt>
                <c:pt idx="467">
                  <c:v>7.4129926990177628</c:v>
                </c:pt>
                <c:pt idx="468">
                  <c:v>7.8089100759258265</c:v>
                </c:pt>
                <c:pt idx="469">
                  <c:v>8.7013491373203458</c:v>
                </c:pt>
                <c:pt idx="470">
                  <c:v>9.8675920068087688</c:v>
                </c:pt>
                <c:pt idx="471">
                  <c:v>9.4644717091623143</c:v>
                </c:pt>
                <c:pt idx="472">
                  <c:v>10.256024921467382</c:v>
                </c:pt>
                <c:pt idx="473">
                  <c:v>8.3088792091164549</c:v>
                </c:pt>
                <c:pt idx="474">
                  <c:v>8.3088792091164549</c:v>
                </c:pt>
                <c:pt idx="475">
                  <c:v>8.3978217474747474</c:v>
                </c:pt>
                <c:pt idx="476">
                  <c:v>8.3142553057703488</c:v>
                </c:pt>
                <c:pt idx="477">
                  <c:v>8.3319051347666306</c:v>
                </c:pt>
                <c:pt idx="478">
                  <c:v>8.4751222085594318</c:v>
                </c:pt>
                <c:pt idx="479">
                  <c:v>10.098758001055771</c:v>
                </c:pt>
                <c:pt idx="480">
                  <c:v>13.319482071646471</c:v>
                </c:pt>
                <c:pt idx="481">
                  <c:v>16.047798934323083</c:v>
                </c:pt>
                <c:pt idx="482">
                  <c:v>19.657272403391801</c:v>
                </c:pt>
                <c:pt idx="483">
                  <c:v>19.034270565589001</c:v>
                </c:pt>
                <c:pt idx="484">
                  <c:v>16.370722365790215</c:v>
                </c:pt>
                <c:pt idx="485">
                  <c:v>16.370722365790215</c:v>
                </c:pt>
                <c:pt idx="486">
                  <c:v>17.452963632670823</c:v>
                </c:pt>
                <c:pt idx="487">
                  <c:v>20.068317405479881</c:v>
                </c:pt>
                <c:pt idx="488">
                  <c:v>26.09830926966551</c:v>
                </c:pt>
                <c:pt idx="489">
                  <c:v>24.246421959397964</c:v>
                </c:pt>
                <c:pt idx="490">
                  <c:v>25.693349496067373</c:v>
                </c:pt>
                <c:pt idx="491">
                  <c:v>26.786543707197641</c:v>
                </c:pt>
                <c:pt idx="492">
                  <c:v>27.335608668594091</c:v>
                </c:pt>
                <c:pt idx="493">
                  <c:v>34.532150759338599</c:v>
                </c:pt>
                <c:pt idx="494">
                  <c:v>44.962392698514336</c:v>
                </c:pt>
                <c:pt idx="495">
                  <c:v>59.794356153022896</c:v>
                </c:pt>
                <c:pt idx="496">
                  <c:v>56.925362660348</c:v>
                </c:pt>
                <c:pt idx="497">
                  <c:v>63.59023117069431</c:v>
                </c:pt>
                <c:pt idx="498">
                  <c:v>63.899238836507998</c:v>
                </c:pt>
                <c:pt idx="499">
                  <c:v>83.461673791426293</c:v>
                </c:pt>
                <c:pt idx="500">
                  <c:v>112.36505743824691</c:v>
                </c:pt>
                <c:pt idx="501">
                  <c:v>169.88978683826275</c:v>
                </c:pt>
                <c:pt idx="502">
                  <c:v>63.218099177589558</c:v>
                </c:pt>
                <c:pt idx="503">
                  <c:v>63.218099177589558</c:v>
                </c:pt>
                <c:pt idx="504">
                  <c:v>63.218099177589558</c:v>
                </c:pt>
                <c:pt idx="505">
                  <c:v>63.218099177589558</c:v>
                </c:pt>
                <c:pt idx="506">
                  <c:v>63.218099177589558</c:v>
                </c:pt>
                <c:pt idx="507">
                  <c:v>63.218099177589558</c:v>
                </c:pt>
                <c:pt idx="508">
                  <c:v>63.218099177589558</c:v>
                </c:pt>
                <c:pt idx="509">
                  <c:v>63.218099177589558</c:v>
                </c:pt>
                <c:pt idx="510">
                  <c:v>78.625924907748455</c:v>
                </c:pt>
                <c:pt idx="511">
                  <c:v>89.838341292916226</c:v>
                </c:pt>
                <c:pt idx="512">
                  <c:v>100.6799240164471</c:v>
                </c:pt>
                <c:pt idx="513">
                  <c:v>89.883930663833524</c:v>
                </c:pt>
                <c:pt idx="514">
                  <c:v>91.003281131688524</c:v>
                </c:pt>
                <c:pt idx="515">
                  <c:v>112.41000063522044</c:v>
                </c:pt>
                <c:pt idx="516">
                  <c:v>128.85217393740223</c:v>
                </c:pt>
                <c:pt idx="517">
                  <c:v>108.13014817270395</c:v>
                </c:pt>
                <c:pt idx="518">
                  <c:v>108.13014817270395</c:v>
                </c:pt>
                <c:pt idx="519">
                  <c:v>108.13014817270395</c:v>
                </c:pt>
                <c:pt idx="520">
                  <c:v>108.13014817270395</c:v>
                </c:pt>
                <c:pt idx="521">
                  <c:v>109.06045912795057</c:v>
                </c:pt>
                <c:pt idx="522">
                  <c:v>117.57705077285713</c:v>
                </c:pt>
                <c:pt idx="523">
                  <c:v>107.8826145006052</c:v>
                </c:pt>
                <c:pt idx="524">
                  <c:v>101.82448687190727</c:v>
                </c:pt>
                <c:pt idx="525">
                  <c:v>101.82448687190727</c:v>
                </c:pt>
                <c:pt idx="526">
                  <c:v>101.82448687190727</c:v>
                </c:pt>
                <c:pt idx="527">
                  <c:v>101.82448687190727</c:v>
                </c:pt>
                <c:pt idx="528">
                  <c:v>109.7188346363812</c:v>
                </c:pt>
                <c:pt idx="529">
                  <c:v>111.84095595591435</c:v>
                </c:pt>
                <c:pt idx="530">
                  <c:v>95.301530859500119</c:v>
                </c:pt>
                <c:pt idx="531">
                  <c:v>95.301530859500119</c:v>
                </c:pt>
                <c:pt idx="532">
                  <c:v>95.701865099192545</c:v>
                </c:pt>
                <c:pt idx="533">
                  <c:v>102.90311976611522</c:v>
                </c:pt>
                <c:pt idx="534">
                  <c:v>95.120688158164683</c:v>
                </c:pt>
                <c:pt idx="535">
                  <c:v>95.662698644723875</c:v>
                </c:pt>
                <c:pt idx="536">
                  <c:v>97.225858583430934</c:v>
                </c:pt>
                <c:pt idx="537">
                  <c:v>94.730703617808317</c:v>
                </c:pt>
                <c:pt idx="538">
                  <c:v>94.522943131116904</c:v>
                </c:pt>
                <c:pt idx="539">
                  <c:v>95.350332722423857</c:v>
                </c:pt>
                <c:pt idx="540">
                  <c:v>102.0586199631483</c:v>
                </c:pt>
                <c:pt idx="541">
                  <c:v>103.06541373468494</c:v>
                </c:pt>
                <c:pt idx="542">
                  <c:v>98.811834096846979</c:v>
                </c:pt>
                <c:pt idx="543">
                  <c:v>100.35985382522819</c:v>
                </c:pt>
                <c:pt idx="544">
                  <c:v>100.70527741667797</c:v>
                </c:pt>
                <c:pt idx="545">
                  <c:v>100.81840018894788</c:v>
                </c:pt>
                <c:pt idx="546">
                  <c:v>104.14538866742819</c:v>
                </c:pt>
                <c:pt idx="547">
                  <c:v>112.24305382355386</c:v>
                </c:pt>
                <c:pt idx="548">
                  <c:v>110.97583648806355</c:v>
                </c:pt>
                <c:pt idx="549">
                  <c:v>115.61169832671266</c:v>
                </c:pt>
                <c:pt idx="550">
                  <c:v>107.90087168220174</c:v>
                </c:pt>
                <c:pt idx="551">
                  <c:v>107.98991261991753</c:v>
                </c:pt>
                <c:pt idx="552">
                  <c:v>109.51077036938341</c:v>
                </c:pt>
                <c:pt idx="553">
                  <c:v>105.1541344402588</c:v>
                </c:pt>
                <c:pt idx="554">
                  <c:v>105.40849255346444</c:v>
                </c:pt>
                <c:pt idx="555">
                  <c:v>105.99658707557369</c:v>
                </c:pt>
                <c:pt idx="556">
                  <c:v>101.29745937556164</c:v>
                </c:pt>
                <c:pt idx="557">
                  <c:v>101.2905202526471</c:v>
                </c:pt>
                <c:pt idx="558">
                  <c:v>101.29753037542881</c:v>
                </c:pt>
                <c:pt idx="559">
                  <c:v>101.32529081908618</c:v>
                </c:pt>
                <c:pt idx="560">
                  <c:v>101.00491460666828</c:v>
                </c:pt>
                <c:pt idx="561">
                  <c:v>100.34897523082537</c:v>
                </c:pt>
                <c:pt idx="562">
                  <c:v>100.34897523082537</c:v>
                </c:pt>
                <c:pt idx="563">
                  <c:v>100.34897523082537</c:v>
                </c:pt>
                <c:pt idx="564">
                  <c:v>100.34897523082537</c:v>
                </c:pt>
                <c:pt idx="565">
                  <c:v>103.47717691986132</c:v>
                </c:pt>
                <c:pt idx="566">
                  <c:v>102.93354846134366</c:v>
                </c:pt>
                <c:pt idx="567">
                  <c:v>102.44178642819934</c:v>
                </c:pt>
                <c:pt idx="568">
                  <c:v>102.39812098976738</c:v>
                </c:pt>
                <c:pt idx="569">
                  <c:v>102.41417006566945</c:v>
                </c:pt>
                <c:pt idx="570">
                  <c:v>102.42140197369537</c:v>
                </c:pt>
                <c:pt idx="571">
                  <c:v>102.45339597719875</c:v>
                </c:pt>
                <c:pt idx="572">
                  <c:v>102.73381247252678</c:v>
                </c:pt>
                <c:pt idx="573">
                  <c:v>102.8625554130675</c:v>
                </c:pt>
                <c:pt idx="574">
                  <c:v>103.1463682696908</c:v>
                </c:pt>
                <c:pt idx="575">
                  <c:v>103.13419282027142</c:v>
                </c:pt>
                <c:pt idx="576">
                  <c:v>103.18510657618739</c:v>
                </c:pt>
                <c:pt idx="577">
                  <c:v>103.20607596080067</c:v>
                </c:pt>
                <c:pt idx="578">
                  <c:v>103.02210633062388</c:v>
                </c:pt>
                <c:pt idx="579">
                  <c:v>103.0314038986424</c:v>
                </c:pt>
                <c:pt idx="580">
                  <c:v>103.0262792851377</c:v>
                </c:pt>
                <c:pt idx="581">
                  <c:v>102.96541788366714</c:v>
                </c:pt>
                <c:pt idx="582">
                  <c:v>102.91738638958675</c:v>
                </c:pt>
                <c:pt idx="583">
                  <c:v>102.91788146461363</c:v>
                </c:pt>
                <c:pt idx="584">
                  <c:v>102.95853478770269</c:v>
                </c:pt>
                <c:pt idx="585">
                  <c:v>103.1956289878198</c:v>
                </c:pt>
                <c:pt idx="586">
                  <c:v>103.1956289878198</c:v>
                </c:pt>
                <c:pt idx="587">
                  <c:v>102.89519696732896</c:v>
                </c:pt>
                <c:pt idx="588">
                  <c:v>102.89519696732896</c:v>
                </c:pt>
                <c:pt idx="589">
                  <c:v>102.89519696732896</c:v>
                </c:pt>
                <c:pt idx="590">
                  <c:v>102.89519696732896</c:v>
                </c:pt>
                <c:pt idx="591">
                  <c:v>103.1325642423747</c:v>
                </c:pt>
                <c:pt idx="592">
                  <c:v>102.92023136443129</c:v>
                </c:pt>
                <c:pt idx="593">
                  <c:v>103.01223882137316</c:v>
                </c:pt>
                <c:pt idx="594">
                  <c:v>105.88051453371098</c:v>
                </c:pt>
                <c:pt idx="595">
                  <c:v>108.19210403793421</c:v>
                </c:pt>
                <c:pt idx="596">
                  <c:v>107.23720364164467</c:v>
                </c:pt>
                <c:pt idx="597">
                  <c:v>107.3750118055425</c:v>
                </c:pt>
                <c:pt idx="598">
                  <c:v>106.96242963189871</c:v>
                </c:pt>
                <c:pt idx="599">
                  <c:v>109.8044150728889</c:v>
                </c:pt>
                <c:pt idx="600">
                  <c:v>110.24473353166655</c:v>
                </c:pt>
                <c:pt idx="601">
                  <c:v>110.05528871574313</c:v>
                </c:pt>
                <c:pt idx="602">
                  <c:v>109.23549884069374</c:v>
                </c:pt>
                <c:pt idx="603">
                  <c:v>109.23549884069374</c:v>
                </c:pt>
                <c:pt idx="604">
                  <c:v>109.10600346565737</c:v>
                </c:pt>
                <c:pt idx="605">
                  <c:v>109.17973457090979</c:v>
                </c:pt>
                <c:pt idx="606">
                  <c:v>109.32552832805835</c:v>
                </c:pt>
                <c:pt idx="607">
                  <c:v>109.78087610869434</c:v>
                </c:pt>
                <c:pt idx="608">
                  <c:v>109.77157070490757</c:v>
                </c:pt>
                <c:pt idx="609">
                  <c:v>110.17396740548422</c:v>
                </c:pt>
                <c:pt idx="610">
                  <c:v>109.71190446791537</c:v>
                </c:pt>
                <c:pt idx="611">
                  <c:v>109.70023295770868</c:v>
                </c:pt>
                <c:pt idx="612">
                  <c:v>110.24496374239801</c:v>
                </c:pt>
                <c:pt idx="613">
                  <c:v>110.85851473936026</c:v>
                </c:pt>
                <c:pt idx="614">
                  <c:v>112.25125914882062</c:v>
                </c:pt>
                <c:pt idx="615">
                  <c:v>112.03277773237286</c:v>
                </c:pt>
                <c:pt idx="616">
                  <c:v>111.92307706838173</c:v>
                </c:pt>
                <c:pt idx="617">
                  <c:v>111.95598709460246</c:v>
                </c:pt>
                <c:pt idx="618">
                  <c:v>112.01281032482537</c:v>
                </c:pt>
                <c:pt idx="619">
                  <c:v>112.12589832707584</c:v>
                </c:pt>
                <c:pt idx="620">
                  <c:v>112.09121035697447</c:v>
                </c:pt>
                <c:pt idx="621">
                  <c:v>112.13079867145449</c:v>
                </c:pt>
                <c:pt idx="622">
                  <c:v>112.12068524480428</c:v>
                </c:pt>
                <c:pt idx="623">
                  <c:v>112.11394634815423</c:v>
                </c:pt>
                <c:pt idx="624">
                  <c:v>112.10516914766806</c:v>
                </c:pt>
                <c:pt idx="625">
                  <c:v>112.11049064730103</c:v>
                </c:pt>
                <c:pt idx="626">
                  <c:v>112.11424492574535</c:v>
                </c:pt>
                <c:pt idx="627">
                  <c:v>112.12682582417102</c:v>
                </c:pt>
                <c:pt idx="628">
                  <c:v>111.7943583724834</c:v>
                </c:pt>
                <c:pt idx="629">
                  <c:v>111.74632984521345</c:v>
                </c:pt>
                <c:pt idx="630">
                  <c:v>112.01064009982564</c:v>
                </c:pt>
                <c:pt idx="631">
                  <c:v>111.99243409350528</c:v>
                </c:pt>
                <c:pt idx="632">
                  <c:v>111.9075113327585</c:v>
                </c:pt>
                <c:pt idx="633">
                  <c:v>111.67249103821149</c:v>
                </c:pt>
                <c:pt idx="634">
                  <c:v>111.37686151308374</c:v>
                </c:pt>
                <c:pt idx="635">
                  <c:v>111.39291094733331</c:v>
                </c:pt>
                <c:pt idx="636">
                  <c:v>111.3219889180034</c:v>
                </c:pt>
                <c:pt idx="637">
                  <c:v>111.41037999705682</c:v>
                </c:pt>
                <c:pt idx="638">
                  <c:v>111.73818652124694</c:v>
                </c:pt>
                <c:pt idx="639">
                  <c:v>111.57114272587471</c:v>
                </c:pt>
                <c:pt idx="640">
                  <c:v>111.43323374589475</c:v>
                </c:pt>
                <c:pt idx="641">
                  <c:v>111.3717392652986</c:v>
                </c:pt>
                <c:pt idx="642">
                  <c:v>111.05164658796535</c:v>
                </c:pt>
                <c:pt idx="643">
                  <c:v>111.34534652286419</c:v>
                </c:pt>
                <c:pt idx="644">
                  <c:v>111.37975703236307</c:v>
                </c:pt>
                <c:pt idx="645">
                  <c:v>111.17211586175183</c:v>
                </c:pt>
                <c:pt idx="646">
                  <c:v>110.8897730453445</c:v>
                </c:pt>
                <c:pt idx="647">
                  <c:v>110.91986125648035</c:v>
                </c:pt>
                <c:pt idx="648">
                  <c:v>111.10711575197413</c:v>
                </c:pt>
                <c:pt idx="649">
                  <c:v>110.9700981756547</c:v>
                </c:pt>
                <c:pt idx="650">
                  <c:v>112.86369569759097</c:v>
                </c:pt>
                <c:pt idx="651">
                  <c:v>112.86369569759097</c:v>
                </c:pt>
                <c:pt idx="652">
                  <c:v>112.86369569759097</c:v>
                </c:pt>
                <c:pt idx="653">
                  <c:v>112.86369569759097</c:v>
                </c:pt>
                <c:pt idx="654">
                  <c:v>112.95590339284539</c:v>
                </c:pt>
                <c:pt idx="655">
                  <c:v>112.85511086393024</c:v>
                </c:pt>
                <c:pt idx="656">
                  <c:v>113.14765377378605</c:v>
                </c:pt>
                <c:pt idx="657">
                  <c:v>112.92062342342966</c:v>
                </c:pt>
                <c:pt idx="658">
                  <c:v>112.71762109244798</c:v>
                </c:pt>
                <c:pt idx="659">
                  <c:v>113.12754220608642</c:v>
                </c:pt>
                <c:pt idx="660">
                  <c:v>113.48708451502925</c:v>
                </c:pt>
                <c:pt idx="661">
                  <c:v>113.3903355652654</c:v>
                </c:pt>
                <c:pt idx="662">
                  <c:v>113.72915278525355</c:v>
                </c:pt>
                <c:pt idx="663">
                  <c:v>113.63486108464156</c:v>
                </c:pt>
                <c:pt idx="664">
                  <c:v>113.61575117044913</c:v>
                </c:pt>
                <c:pt idx="665">
                  <c:v>113.69683196605301</c:v>
                </c:pt>
                <c:pt idx="666">
                  <c:v>113.886181593907</c:v>
                </c:pt>
                <c:pt idx="667">
                  <c:v>113.89256417076001</c:v>
                </c:pt>
                <c:pt idx="668">
                  <c:v>113.82686539681711</c:v>
                </c:pt>
                <c:pt idx="669">
                  <c:v>113.97833258569374</c:v>
                </c:pt>
                <c:pt idx="670">
                  <c:v>113.8345189595742</c:v>
                </c:pt>
                <c:pt idx="671">
                  <c:v>113.82208443975209</c:v>
                </c:pt>
                <c:pt idx="672">
                  <c:v>113.66418675618483</c:v>
                </c:pt>
                <c:pt idx="673">
                  <c:v>112.99959066294242</c:v>
                </c:pt>
                <c:pt idx="674">
                  <c:v>112.42519225376168</c:v>
                </c:pt>
                <c:pt idx="675">
                  <c:v>113.01158238682321</c:v>
                </c:pt>
                <c:pt idx="676">
                  <c:v>113.05276275136015</c:v>
                </c:pt>
                <c:pt idx="677">
                  <c:v>113.14413031253787</c:v>
                </c:pt>
                <c:pt idx="678">
                  <c:v>114.17540247164277</c:v>
                </c:pt>
                <c:pt idx="679">
                  <c:v>114.17540247164277</c:v>
                </c:pt>
                <c:pt idx="680">
                  <c:v>113.96668460203446</c:v>
                </c:pt>
                <c:pt idx="681">
                  <c:v>113.99857207700641</c:v>
                </c:pt>
                <c:pt idx="682">
                  <c:v>113.92618544828832</c:v>
                </c:pt>
                <c:pt idx="683">
                  <c:v>114.31267100755379</c:v>
                </c:pt>
                <c:pt idx="684">
                  <c:v>114.22213849617401</c:v>
                </c:pt>
                <c:pt idx="685">
                  <c:v>113.8892449553536</c:v>
                </c:pt>
                <c:pt idx="686">
                  <c:v>113.99552536764116</c:v>
                </c:pt>
                <c:pt idx="687">
                  <c:v>113.68403804586019</c:v>
                </c:pt>
                <c:pt idx="688">
                  <c:v>113.5221895233301</c:v>
                </c:pt>
                <c:pt idx="689">
                  <c:v>113.12189580425373</c:v>
                </c:pt>
                <c:pt idx="690">
                  <c:v>113.16530636567229</c:v>
                </c:pt>
                <c:pt idx="691">
                  <c:v>112.35205464541741</c:v>
                </c:pt>
                <c:pt idx="692">
                  <c:v>113.62432239328584</c:v>
                </c:pt>
                <c:pt idx="693">
                  <c:v>113.54592641464124</c:v>
                </c:pt>
                <c:pt idx="694">
                  <c:v>112.70470437616719</c:v>
                </c:pt>
                <c:pt idx="695">
                  <c:v>122.41833384224955</c:v>
                </c:pt>
                <c:pt idx="696">
                  <c:v>121.61922880343668</c:v>
                </c:pt>
                <c:pt idx="697">
                  <c:v>135.99326656929969</c:v>
                </c:pt>
                <c:pt idx="698">
                  <c:v>138.43055378874581</c:v>
                </c:pt>
                <c:pt idx="699">
                  <c:v>133.43145693265018</c:v>
                </c:pt>
                <c:pt idx="700">
                  <c:v>130.30755603313992</c:v>
                </c:pt>
                <c:pt idx="701">
                  <c:v>130.34107100484295</c:v>
                </c:pt>
                <c:pt idx="702">
                  <c:v>130.62627073570579</c:v>
                </c:pt>
                <c:pt idx="703">
                  <c:v>129.87861493724299</c:v>
                </c:pt>
                <c:pt idx="704">
                  <c:v>128.89521865814589</c:v>
                </c:pt>
                <c:pt idx="705">
                  <c:v>128.37099262843324</c:v>
                </c:pt>
                <c:pt idx="706">
                  <c:v>128.60559850473672</c:v>
                </c:pt>
                <c:pt idx="707">
                  <c:v>128.0959651131773</c:v>
                </c:pt>
                <c:pt idx="708">
                  <c:v>127.17728940285787</c:v>
                </c:pt>
                <c:pt idx="709">
                  <c:v>127.7330514586837</c:v>
                </c:pt>
                <c:pt idx="710">
                  <c:v>125.13244782836647</c:v>
                </c:pt>
                <c:pt idx="711">
                  <c:v>122.34843488257034</c:v>
                </c:pt>
                <c:pt idx="712">
                  <c:v>117.11138222080758</c:v>
                </c:pt>
                <c:pt idx="713">
                  <c:v>110.328228679772</c:v>
                </c:pt>
                <c:pt idx="714">
                  <c:v>123.78681696810334</c:v>
                </c:pt>
                <c:pt idx="715">
                  <c:v>140.08611741193315</c:v>
                </c:pt>
                <c:pt idx="716">
                  <c:v>145.2676979598933</c:v>
                </c:pt>
                <c:pt idx="717">
                  <c:v>145.2676979598933</c:v>
                </c:pt>
                <c:pt idx="718">
                  <c:v>158.02638174324386</c:v>
                </c:pt>
                <c:pt idx="719">
                  <c:v>165.52665152462123</c:v>
                </c:pt>
                <c:pt idx="720">
                  <c:v>184.54285841684157</c:v>
                </c:pt>
                <c:pt idx="721">
                  <c:v>193.88964029803094</c:v>
                </c:pt>
                <c:pt idx="722">
                  <c:v>200.08605317566315</c:v>
                </c:pt>
                <c:pt idx="723">
                  <c:v>209.41335740708533</c:v>
                </c:pt>
                <c:pt idx="724">
                  <c:v>250.04024380351842</c:v>
                </c:pt>
                <c:pt idx="725">
                  <c:v>352.76237183967993</c:v>
                </c:pt>
                <c:pt idx="726">
                  <c:v>268.52119435278627</c:v>
                </c:pt>
                <c:pt idx="727">
                  <c:v>268.52119435278627</c:v>
                </c:pt>
                <c:pt idx="728">
                  <c:v>356.58313629165553</c:v>
                </c:pt>
                <c:pt idx="729">
                  <c:v>363.23573399580209</c:v>
                </c:pt>
                <c:pt idx="730">
                  <c:v>426.17846473489442</c:v>
                </c:pt>
                <c:pt idx="731">
                  <c:v>402.23250673916243</c:v>
                </c:pt>
                <c:pt idx="732">
                  <c:v>406.50471208434158</c:v>
                </c:pt>
                <c:pt idx="733">
                  <c:v>465.19058739419518</c:v>
                </c:pt>
                <c:pt idx="734">
                  <c:v>510.36823975956435</c:v>
                </c:pt>
                <c:pt idx="735">
                  <c:v>498.33213618098392</c:v>
                </c:pt>
                <c:pt idx="736">
                  <c:v>464.10775261021109</c:v>
                </c:pt>
                <c:pt idx="737">
                  <c:v>471.23830551655823</c:v>
                </c:pt>
                <c:pt idx="738">
                  <c:v>490.78125055477074</c:v>
                </c:pt>
                <c:pt idx="739">
                  <c:v>490.78125055477074</c:v>
                </c:pt>
                <c:pt idx="740">
                  <c:v>485.99725253737836</c:v>
                </c:pt>
                <c:pt idx="741">
                  <c:v>473.2946095506386</c:v>
                </c:pt>
                <c:pt idx="742">
                  <c:v>503.87694163853007</c:v>
                </c:pt>
                <c:pt idx="743">
                  <c:v>503.87694163853007</c:v>
                </c:pt>
                <c:pt idx="744">
                  <c:v>503.87694163853007</c:v>
                </c:pt>
                <c:pt idx="745">
                  <c:v>503.87694163853007</c:v>
                </c:pt>
                <c:pt idx="746">
                  <c:v>470.12774969115628</c:v>
                </c:pt>
                <c:pt idx="747">
                  <c:v>460.06766339564405</c:v>
                </c:pt>
                <c:pt idx="748">
                  <c:v>500.01948932000312</c:v>
                </c:pt>
                <c:pt idx="749">
                  <c:v>500.01948932000312</c:v>
                </c:pt>
                <c:pt idx="750">
                  <c:v>505.29339152174731</c:v>
                </c:pt>
                <c:pt idx="751">
                  <c:v>519.93965083942419</c:v>
                </c:pt>
                <c:pt idx="752">
                  <c:v>518.21672357847865</c:v>
                </c:pt>
                <c:pt idx="753">
                  <c:v>582.23380442134373</c:v>
                </c:pt>
                <c:pt idx="754">
                  <c:v>582.23380442134373</c:v>
                </c:pt>
                <c:pt idx="755">
                  <c:v>582.23380442134373</c:v>
                </c:pt>
                <c:pt idx="756">
                  <c:v>582.23380442134373</c:v>
                </c:pt>
                <c:pt idx="757">
                  <c:v>644.08995989558207</c:v>
                </c:pt>
                <c:pt idx="758">
                  <c:v>644.08995989558207</c:v>
                </c:pt>
                <c:pt idx="759">
                  <c:v>644.08995989558207</c:v>
                </c:pt>
                <c:pt idx="760">
                  <c:v>621.71656916602944</c:v>
                </c:pt>
                <c:pt idx="761">
                  <c:v>636.8779983049036</c:v>
                </c:pt>
                <c:pt idx="762">
                  <c:v>614.19204804398396</c:v>
                </c:pt>
                <c:pt idx="763">
                  <c:v>579.83027702763366</c:v>
                </c:pt>
                <c:pt idx="764">
                  <c:v>584.69964402659571</c:v>
                </c:pt>
                <c:pt idx="765">
                  <c:v>591.62899185334925</c:v>
                </c:pt>
                <c:pt idx="766">
                  <c:v>574.09253701097703</c:v>
                </c:pt>
                <c:pt idx="767">
                  <c:v>577.73406154444251</c:v>
                </c:pt>
                <c:pt idx="768">
                  <c:v>563.72862023320442</c:v>
                </c:pt>
                <c:pt idx="769">
                  <c:v>562.24817314086465</c:v>
                </c:pt>
                <c:pt idx="770">
                  <c:v>541.6014417407348</c:v>
                </c:pt>
                <c:pt idx="771">
                  <c:v>536.78255727406247</c:v>
                </c:pt>
                <c:pt idx="772">
                  <c:v>503.92110421054252</c:v>
                </c:pt>
                <c:pt idx="773">
                  <c:v>450.51302975062652</c:v>
                </c:pt>
                <c:pt idx="774">
                  <c:v>472.93929750426554</c:v>
                </c:pt>
                <c:pt idx="775">
                  <c:v>476.40559052439028</c:v>
                </c:pt>
                <c:pt idx="776">
                  <c:v>476.40559052439028</c:v>
                </c:pt>
                <c:pt idx="777">
                  <c:v>476.40559052439028</c:v>
                </c:pt>
                <c:pt idx="778">
                  <c:v>476.40559052439028</c:v>
                </c:pt>
                <c:pt idx="779">
                  <c:v>497.60454655356557</c:v>
                </c:pt>
                <c:pt idx="780">
                  <c:v>501.6119612466947</c:v>
                </c:pt>
                <c:pt idx="781">
                  <c:v>501.51025303273286</c:v>
                </c:pt>
                <c:pt idx="782">
                  <c:v>499.16159456381632</c:v>
                </c:pt>
                <c:pt idx="783">
                  <c:v>502.7073515521144</c:v>
                </c:pt>
                <c:pt idx="784">
                  <c:v>511.32269437687575</c:v>
                </c:pt>
                <c:pt idx="785">
                  <c:v>509.23979081166664</c:v>
                </c:pt>
                <c:pt idx="786">
                  <c:v>510.59853633444561</c:v>
                </c:pt>
                <c:pt idx="787">
                  <c:v>502.23318706779872</c:v>
                </c:pt>
                <c:pt idx="788">
                  <c:v>501.23664633751764</c:v>
                </c:pt>
                <c:pt idx="789">
                  <c:v>509.56725643995168</c:v>
                </c:pt>
                <c:pt idx="790">
                  <c:v>512.22848106600372</c:v>
                </c:pt>
                <c:pt idx="791">
                  <c:v>519.13731537258036</c:v>
                </c:pt>
                <c:pt idx="792">
                  <c:v>526.43237554794894</c:v>
                </c:pt>
                <c:pt idx="793">
                  <c:v>519.3524400396193</c:v>
                </c:pt>
                <c:pt idx="794">
                  <c:v>496.16662998313382</c:v>
                </c:pt>
                <c:pt idx="795">
                  <c:v>545.71329198376679</c:v>
                </c:pt>
                <c:pt idx="796">
                  <c:v>545.71329198376679</c:v>
                </c:pt>
                <c:pt idx="797">
                  <c:v>544.21530524618356</c:v>
                </c:pt>
                <c:pt idx="798">
                  <c:v>545.77801897081747</c:v>
                </c:pt>
                <c:pt idx="799">
                  <c:v>544.91757687213305</c:v>
                </c:pt>
                <c:pt idx="800">
                  <c:v>539.58194690701578</c:v>
                </c:pt>
                <c:pt idx="801">
                  <c:v>545.89587914338335</c:v>
                </c:pt>
                <c:pt idx="802">
                  <c:v>550.07582964349069</c:v>
                </c:pt>
                <c:pt idx="803">
                  <c:v>546.21722948593447</c:v>
                </c:pt>
                <c:pt idx="804">
                  <c:v>550.73821509250865</c:v>
                </c:pt>
                <c:pt idx="805">
                  <c:v>566.0357663464049</c:v>
                </c:pt>
                <c:pt idx="806">
                  <c:v>573.35636441499753</c:v>
                </c:pt>
                <c:pt idx="807">
                  <c:v>573.35636441499753</c:v>
                </c:pt>
                <c:pt idx="808">
                  <c:v>573.35636441499753</c:v>
                </c:pt>
                <c:pt idx="809">
                  <c:v>575.49187604229712</c:v>
                </c:pt>
                <c:pt idx="810">
                  <c:v>576.82640391956591</c:v>
                </c:pt>
                <c:pt idx="811">
                  <c:v>576.60140568311294</c:v>
                </c:pt>
                <c:pt idx="812">
                  <c:v>608.42433334855423</c:v>
                </c:pt>
                <c:pt idx="813">
                  <c:v>608.42433334855423</c:v>
                </c:pt>
                <c:pt idx="814">
                  <c:v>595.4661015418219</c:v>
                </c:pt>
                <c:pt idx="815">
                  <c:v>633.72815259545598</c:v>
                </c:pt>
                <c:pt idx="816">
                  <c:v>633.23951156407463</c:v>
                </c:pt>
                <c:pt idx="817">
                  <c:v>643.73257832844183</c:v>
                </c:pt>
                <c:pt idx="818">
                  <c:v>643.76831145045264</c:v>
                </c:pt>
                <c:pt idx="819">
                  <c:v>674.84352431952323</c:v>
                </c:pt>
                <c:pt idx="820">
                  <c:v>674.84352431952323</c:v>
                </c:pt>
                <c:pt idx="821">
                  <c:v>648.76391121009783</c:v>
                </c:pt>
                <c:pt idx="822">
                  <c:v>684.86040309508405</c:v>
                </c:pt>
                <c:pt idx="823">
                  <c:v>696.56053651854381</c:v>
                </c:pt>
                <c:pt idx="824">
                  <c:v>696.56053651854381</c:v>
                </c:pt>
                <c:pt idx="825">
                  <c:v>675.41952205685891</c:v>
                </c:pt>
                <c:pt idx="826">
                  <c:v>687.0880627814887</c:v>
                </c:pt>
                <c:pt idx="827">
                  <c:v>698.65574616275489</c:v>
                </c:pt>
                <c:pt idx="828">
                  <c:v>697.02398492692987</c:v>
                </c:pt>
                <c:pt idx="829">
                  <c:v>688.68001423402552</c:v>
                </c:pt>
                <c:pt idx="830">
                  <c:v>605.84074987486633</c:v>
                </c:pt>
                <c:pt idx="831">
                  <c:v>604.45633386499458</c:v>
                </c:pt>
                <c:pt idx="832">
                  <c:v>605.49399742054482</c:v>
                </c:pt>
                <c:pt idx="833">
                  <c:v>611.54178566578184</c:v>
                </c:pt>
                <c:pt idx="834">
                  <c:v>635.91071982479309</c:v>
                </c:pt>
                <c:pt idx="835">
                  <c:v>635.83273540226401</c:v>
                </c:pt>
                <c:pt idx="836">
                  <c:v>632.74266889963326</c:v>
                </c:pt>
                <c:pt idx="837">
                  <c:v>637.61478323761673</c:v>
                </c:pt>
                <c:pt idx="838">
                  <c:v>635.25616958539365</c:v>
                </c:pt>
                <c:pt idx="839">
                  <c:v>632.81300724542996</c:v>
                </c:pt>
                <c:pt idx="840">
                  <c:v>637.24701760141386</c:v>
                </c:pt>
                <c:pt idx="841">
                  <c:v>638.05357815478806</c:v>
                </c:pt>
                <c:pt idx="842">
                  <c:v>636.63727832646236</c:v>
                </c:pt>
                <c:pt idx="843">
                  <c:v>643.89188224844497</c:v>
                </c:pt>
                <c:pt idx="844">
                  <c:v>646.24998811108674</c:v>
                </c:pt>
                <c:pt idx="845">
                  <c:v>646.25523441139148</c:v>
                </c:pt>
                <c:pt idx="846">
                  <c:v>651.22640675700666</c:v>
                </c:pt>
                <c:pt idx="847">
                  <c:v>652.0508558006884</c:v>
                </c:pt>
                <c:pt idx="848">
                  <c:v>660.77545731127941</c:v>
                </c:pt>
                <c:pt idx="849">
                  <c:v>660.73687202182487</c:v>
                </c:pt>
                <c:pt idx="850">
                  <c:v>661.50784063319838</c:v>
                </c:pt>
                <c:pt idx="851">
                  <c:v>660.67032956325625</c:v>
                </c:pt>
                <c:pt idx="852">
                  <c:v>654.32264847908846</c:v>
                </c:pt>
                <c:pt idx="853">
                  <c:v>689.99345599152548</c:v>
                </c:pt>
                <c:pt idx="854">
                  <c:v>689.99345599152548</c:v>
                </c:pt>
                <c:pt idx="855">
                  <c:v>689.99345599152548</c:v>
                </c:pt>
                <c:pt idx="856">
                  <c:v>689.99345599152548</c:v>
                </c:pt>
                <c:pt idx="857">
                  <c:v>689.99345599152548</c:v>
                </c:pt>
                <c:pt idx="858">
                  <c:v>689.99345599152548</c:v>
                </c:pt>
                <c:pt idx="859">
                  <c:v>689.99345599152548</c:v>
                </c:pt>
                <c:pt idx="860">
                  <c:v>748.42262206009514</c:v>
                </c:pt>
                <c:pt idx="861">
                  <c:v>748.42262206009514</c:v>
                </c:pt>
                <c:pt idx="862">
                  <c:v>739.69353262814388</c:v>
                </c:pt>
                <c:pt idx="863">
                  <c:v>722.45659250067149</c:v>
                </c:pt>
                <c:pt idx="864">
                  <c:v>735.80634328659437</c:v>
                </c:pt>
                <c:pt idx="865">
                  <c:v>738.44334126021784</c:v>
                </c:pt>
                <c:pt idx="866">
                  <c:v>736.91241167646717</c:v>
                </c:pt>
                <c:pt idx="867">
                  <c:v>767.18476153353276</c:v>
                </c:pt>
                <c:pt idx="868">
                  <c:v>772.77390051938903</c:v>
                </c:pt>
                <c:pt idx="869">
                  <c:v>772.77390051938903</c:v>
                </c:pt>
                <c:pt idx="870">
                  <c:v>795.32826012297301</c:v>
                </c:pt>
                <c:pt idx="871">
                  <c:v>810.48757557364843</c:v>
                </c:pt>
                <c:pt idx="872">
                  <c:v>790.12209676183238</c:v>
                </c:pt>
                <c:pt idx="873">
                  <c:v>694.38775371176564</c:v>
                </c:pt>
                <c:pt idx="874">
                  <c:v>689.49977256717716</c:v>
                </c:pt>
                <c:pt idx="875">
                  <c:v>722.60314634035126</c:v>
                </c:pt>
                <c:pt idx="876">
                  <c:v>730.37268476464408</c:v>
                </c:pt>
                <c:pt idx="877">
                  <c:v>726.65530854026679</c:v>
                </c:pt>
                <c:pt idx="878">
                  <c:v>722.22383174166657</c:v>
                </c:pt>
                <c:pt idx="879">
                  <c:v>734.82021049320588</c:v>
                </c:pt>
                <c:pt idx="880">
                  <c:v>742.5337956213757</c:v>
                </c:pt>
                <c:pt idx="881">
                  <c:v>744.54871577410859</c:v>
                </c:pt>
                <c:pt idx="882">
                  <c:v>767.88636652180719</c:v>
                </c:pt>
                <c:pt idx="883">
                  <c:v>767.88636652180719</c:v>
                </c:pt>
                <c:pt idx="884">
                  <c:v>767.88636652180719</c:v>
                </c:pt>
                <c:pt idx="885">
                  <c:v>774.73123848808928</c:v>
                </c:pt>
                <c:pt idx="886">
                  <c:v>774.73123848808928</c:v>
                </c:pt>
                <c:pt idx="887">
                  <c:v>776.17624151225732</c:v>
                </c:pt>
                <c:pt idx="888">
                  <c:v>770.72907131961642</c:v>
                </c:pt>
                <c:pt idx="889">
                  <c:v>778.28654386447829</c:v>
                </c:pt>
                <c:pt idx="890">
                  <c:v>783.82593311861126</c:v>
                </c:pt>
                <c:pt idx="891">
                  <c:v>791.3823376818932</c:v>
                </c:pt>
                <c:pt idx="892">
                  <c:v>794.13491440806592</c:v>
                </c:pt>
                <c:pt idx="893">
                  <c:v>795.8647378500068</c:v>
                </c:pt>
                <c:pt idx="894">
                  <c:v>793.61492192823061</c:v>
                </c:pt>
                <c:pt idx="895">
                  <c:v>785.84982833388619</c:v>
                </c:pt>
                <c:pt idx="896">
                  <c:v>784.09374365869417</c:v>
                </c:pt>
                <c:pt idx="897">
                  <c:v>771.85627902323404</c:v>
                </c:pt>
                <c:pt idx="898">
                  <c:v>770.409559871071</c:v>
                </c:pt>
                <c:pt idx="899">
                  <c:v>798.29054029621932</c:v>
                </c:pt>
                <c:pt idx="900">
                  <c:v>793.05155691323262</c:v>
                </c:pt>
                <c:pt idx="901">
                  <c:v>794.63046238938318</c:v>
                </c:pt>
                <c:pt idx="902">
                  <c:v>789.97217374100694</c:v>
                </c:pt>
                <c:pt idx="903">
                  <c:v>785.11612220504787</c:v>
                </c:pt>
                <c:pt idx="904">
                  <c:v>784.66444716049079</c:v>
                </c:pt>
                <c:pt idx="905">
                  <c:v>785.55641557463923</c:v>
                </c:pt>
                <c:pt idx="906">
                  <c:v>786.69421583638757</c:v>
                </c:pt>
                <c:pt idx="907">
                  <c:v>789.59328632794995</c:v>
                </c:pt>
                <c:pt idx="908">
                  <c:v>741.64666045623119</c:v>
                </c:pt>
                <c:pt idx="909">
                  <c:v>729.54183186526529</c:v>
                </c:pt>
                <c:pt idx="910">
                  <c:v>698.22745165631761</c:v>
                </c:pt>
                <c:pt idx="911">
                  <c:v>689.68709040271222</c:v>
                </c:pt>
                <c:pt idx="912">
                  <c:v>650.91543032253537</c:v>
                </c:pt>
                <c:pt idx="913">
                  <c:v>618.63095227745475</c:v>
                </c:pt>
                <c:pt idx="914">
                  <c:v>620.54847807733245</c:v>
                </c:pt>
                <c:pt idx="915">
                  <c:v>628.60970893499245</c:v>
                </c:pt>
                <c:pt idx="916">
                  <c:v>634.75948506043005</c:v>
                </c:pt>
                <c:pt idx="917">
                  <c:v>633.33107743132666</c:v>
                </c:pt>
                <c:pt idx="918">
                  <c:v>606.09302982458678</c:v>
                </c:pt>
                <c:pt idx="919">
                  <c:v>579.19524562074241</c:v>
                </c:pt>
                <c:pt idx="920">
                  <c:v>599.83371813856729</c:v>
                </c:pt>
                <c:pt idx="921">
                  <c:v>588.57176838442081</c:v>
                </c:pt>
                <c:pt idx="922">
                  <c:v>603.04996588671213</c:v>
                </c:pt>
                <c:pt idx="923">
                  <c:v>599.57697004805277</c:v>
                </c:pt>
                <c:pt idx="924">
                  <c:v>592.60350239156855</c:v>
                </c:pt>
                <c:pt idx="925">
                  <c:v>596.23805874241179</c:v>
                </c:pt>
                <c:pt idx="926">
                  <c:v>592.75561308966621</c:v>
                </c:pt>
                <c:pt idx="927">
                  <c:v>600.97217792956462</c:v>
                </c:pt>
                <c:pt idx="928">
                  <c:v>594.37142720634017</c:v>
                </c:pt>
                <c:pt idx="929">
                  <c:v>600.84408307667661</c:v>
                </c:pt>
                <c:pt idx="930">
                  <c:v>609.79380881010627</c:v>
                </c:pt>
                <c:pt idx="931">
                  <c:v>622.34944303931957</c:v>
                </c:pt>
                <c:pt idx="932">
                  <c:v>627.57250848671151</c:v>
                </c:pt>
                <c:pt idx="933">
                  <c:v>629.46388817802904</c:v>
                </c:pt>
                <c:pt idx="934">
                  <c:v>628.47386316252403</c:v>
                </c:pt>
                <c:pt idx="935">
                  <c:v>631.59896653071803</c:v>
                </c:pt>
                <c:pt idx="936">
                  <c:v>617.42955031976692</c:v>
                </c:pt>
                <c:pt idx="937">
                  <c:v>619.56842925086812</c:v>
                </c:pt>
                <c:pt idx="938">
                  <c:v>637.65439153648708</c:v>
                </c:pt>
                <c:pt idx="939">
                  <c:v>636.60596128387988</c:v>
                </c:pt>
                <c:pt idx="940">
                  <c:v>630.12058714530792</c:v>
                </c:pt>
                <c:pt idx="941">
                  <c:v>638.88877603745914</c:v>
                </c:pt>
                <c:pt idx="942">
                  <c:v>638.52876965618577</c:v>
                </c:pt>
                <c:pt idx="943">
                  <c:v>652.86757671261262</c:v>
                </c:pt>
                <c:pt idx="944">
                  <c:v>653.35286758336292</c:v>
                </c:pt>
                <c:pt idx="945">
                  <c:v>652.42566688576471</c:v>
                </c:pt>
                <c:pt idx="946">
                  <c:v>648.27592670856984</c:v>
                </c:pt>
                <c:pt idx="947">
                  <c:v>637.28279398056918</c:v>
                </c:pt>
                <c:pt idx="948">
                  <c:v>611.41696210804446</c:v>
                </c:pt>
                <c:pt idx="949">
                  <c:v>585.91658962426038</c:v>
                </c:pt>
                <c:pt idx="950">
                  <c:v>593.72121761022663</c:v>
                </c:pt>
                <c:pt idx="951">
                  <c:v>594.91855372221823</c:v>
                </c:pt>
                <c:pt idx="952">
                  <c:v>593.93571987973644</c:v>
                </c:pt>
                <c:pt idx="953">
                  <c:v>603.16267810604586</c:v>
                </c:pt>
                <c:pt idx="954">
                  <c:v>602.65037809224145</c:v>
                </c:pt>
                <c:pt idx="955">
                  <c:v>601.682183095646</c:v>
                </c:pt>
                <c:pt idx="956">
                  <c:v>608.34139401757034</c:v>
                </c:pt>
                <c:pt idx="957">
                  <c:v>607.43535761008218</c:v>
                </c:pt>
                <c:pt idx="958">
                  <c:v>611.83949411861045</c:v>
                </c:pt>
                <c:pt idx="959">
                  <c:v>606.88299504877557</c:v>
                </c:pt>
                <c:pt idx="960">
                  <c:v>607.28135081557195</c:v>
                </c:pt>
                <c:pt idx="961">
                  <c:v>606.95536881552493</c:v>
                </c:pt>
                <c:pt idx="962">
                  <c:v>612.75094833006085</c:v>
                </c:pt>
                <c:pt idx="963">
                  <c:v>610.74489389052587</c:v>
                </c:pt>
                <c:pt idx="964">
                  <c:v>615.02203233063983</c:v>
                </c:pt>
                <c:pt idx="965">
                  <c:v>613.39862306828979</c:v>
                </c:pt>
                <c:pt idx="966">
                  <c:v>612.91874759723783</c:v>
                </c:pt>
                <c:pt idx="967">
                  <c:v>608.97130105144936</c:v>
                </c:pt>
                <c:pt idx="968">
                  <c:v>611.18933484704587</c:v>
                </c:pt>
                <c:pt idx="969">
                  <c:v>614.20217255269961</c:v>
                </c:pt>
                <c:pt idx="970">
                  <c:v>613.28291140785473</c:v>
                </c:pt>
                <c:pt idx="971">
                  <c:v>612.71513217508323</c:v>
                </c:pt>
                <c:pt idx="972">
                  <c:v>626.65631620700276</c:v>
                </c:pt>
                <c:pt idx="973">
                  <c:v>626.47597749264298</c:v>
                </c:pt>
                <c:pt idx="974">
                  <c:v>627.70816950388587</c:v>
                </c:pt>
                <c:pt idx="975">
                  <c:v>627.77394396206978</c:v>
                </c:pt>
                <c:pt idx="976">
                  <c:v>631.94184568335697</c:v>
                </c:pt>
                <c:pt idx="977">
                  <c:v>631.7146962062518</c:v>
                </c:pt>
                <c:pt idx="978">
                  <c:v>633.46680725744773</c:v>
                </c:pt>
                <c:pt idx="979">
                  <c:v>633.16920878942994</c:v>
                </c:pt>
                <c:pt idx="980">
                  <c:v>631.42948198730096</c:v>
                </c:pt>
                <c:pt idx="981">
                  <c:v>626.8169568645302</c:v>
                </c:pt>
                <c:pt idx="982">
                  <c:v>631.97175398420029</c:v>
                </c:pt>
                <c:pt idx="983">
                  <c:v>633.26720698354461</c:v>
                </c:pt>
                <c:pt idx="984">
                  <c:v>631.72961019112017</c:v>
                </c:pt>
                <c:pt idx="985">
                  <c:v>633.5557426425778</c:v>
                </c:pt>
                <c:pt idx="986">
                  <c:v>633.44634687779467</c:v>
                </c:pt>
                <c:pt idx="987">
                  <c:v>631.88108502425814</c:v>
                </c:pt>
                <c:pt idx="988">
                  <c:v>629.89876904100458</c:v>
                </c:pt>
                <c:pt idx="989">
                  <c:v>632.23190152262691</c:v>
                </c:pt>
                <c:pt idx="990">
                  <c:v>631.70542684454142</c:v>
                </c:pt>
                <c:pt idx="991">
                  <c:v>638.3423649401733</c:v>
                </c:pt>
                <c:pt idx="992">
                  <c:v>643.96943530950489</c:v>
                </c:pt>
                <c:pt idx="993">
                  <c:v>654.8558211591876</c:v>
                </c:pt>
                <c:pt idx="994">
                  <c:v>656.74746247411429</c:v>
                </c:pt>
                <c:pt idx="995">
                  <c:v>657.43528381779083</c:v>
                </c:pt>
                <c:pt idx="996">
                  <c:v>657.31803267247858</c:v>
                </c:pt>
                <c:pt idx="997">
                  <c:v>663.68642818016758</c:v>
                </c:pt>
                <c:pt idx="998">
                  <c:v>672.64010530893779</c:v>
                </c:pt>
                <c:pt idx="999">
                  <c:v>672.62197707096561</c:v>
                </c:pt>
                <c:pt idx="1000">
                  <c:v>654.69545646493623</c:v>
                </c:pt>
                <c:pt idx="1001">
                  <c:v>630.90293982747608</c:v>
                </c:pt>
                <c:pt idx="1002">
                  <c:v>638.66561487869012</c:v>
                </c:pt>
                <c:pt idx="1003">
                  <c:v>652.85330730860858</c:v>
                </c:pt>
                <c:pt idx="1004">
                  <c:v>648.07062540818936</c:v>
                </c:pt>
                <c:pt idx="1005">
                  <c:v>655.3545286346781</c:v>
                </c:pt>
                <c:pt idx="1006">
                  <c:v>649.7335475648382</c:v>
                </c:pt>
                <c:pt idx="1007">
                  <c:v>649.38297863989862</c:v>
                </c:pt>
                <c:pt idx="1008">
                  <c:v>653.22626065940995</c:v>
                </c:pt>
                <c:pt idx="1009">
                  <c:v>651.38552107877615</c:v>
                </c:pt>
                <c:pt idx="1010">
                  <c:v>656.60061770321238</c:v>
                </c:pt>
                <c:pt idx="1011">
                  <c:v>680.2723771534271</c:v>
                </c:pt>
                <c:pt idx="1012">
                  <c:v>679.6443228949563</c:v>
                </c:pt>
                <c:pt idx="1013">
                  <c:v>679.34745839647053</c:v>
                </c:pt>
                <c:pt idx="1014">
                  <c:v>681.54402587985442</c:v>
                </c:pt>
                <c:pt idx="1015">
                  <c:v>677.92842974986104</c:v>
                </c:pt>
                <c:pt idx="1016">
                  <c:v>680.62292420360802</c:v>
                </c:pt>
                <c:pt idx="1017">
                  <c:v>678.59965291104686</c:v>
                </c:pt>
                <c:pt idx="1018">
                  <c:v>680.25106308240584</c:v>
                </c:pt>
                <c:pt idx="1019">
                  <c:v>685.22605206219851</c:v>
                </c:pt>
                <c:pt idx="1020">
                  <c:v>689.52589997054281</c:v>
                </c:pt>
                <c:pt idx="1021">
                  <c:v>683.63054276624655</c:v>
                </c:pt>
                <c:pt idx="1022">
                  <c:v>693.66779502319321</c:v>
                </c:pt>
                <c:pt idx="1023">
                  <c:v>692.64909032408093</c:v>
                </c:pt>
                <c:pt idx="1024">
                  <c:v>689.23723241509595</c:v>
                </c:pt>
                <c:pt idx="1025">
                  <c:v>692.02381048647726</c:v>
                </c:pt>
                <c:pt idx="1026">
                  <c:v>692.76953509435702</c:v>
                </c:pt>
                <c:pt idx="1027">
                  <c:v>698.54633713159558</c:v>
                </c:pt>
                <c:pt idx="1028">
                  <c:v>709.01051023642776</c:v>
                </c:pt>
                <c:pt idx="1029">
                  <c:v>718.71649106709606</c:v>
                </c:pt>
                <c:pt idx="1030">
                  <c:v>719.06484542093506</c:v>
                </c:pt>
                <c:pt idx="1031">
                  <c:v>719.05465398832041</c:v>
                </c:pt>
                <c:pt idx="1032">
                  <c:v>727.94650373645118</c:v>
                </c:pt>
                <c:pt idx="1033">
                  <c:v>728.0222861119621</c:v>
                </c:pt>
                <c:pt idx="1034">
                  <c:v>711.37872117441736</c:v>
                </c:pt>
                <c:pt idx="1035">
                  <c:v>719.92604466740465</c:v>
                </c:pt>
                <c:pt idx="1036">
                  <c:v>741.41145044795701</c:v>
                </c:pt>
                <c:pt idx="1037">
                  <c:v>744.0199306990919</c:v>
                </c:pt>
                <c:pt idx="1038">
                  <c:v>746.16103530614964</c:v>
                </c:pt>
                <c:pt idx="1039">
                  <c:v>750.81430824162123</c:v>
                </c:pt>
                <c:pt idx="1040">
                  <c:v>750.80251990978138</c:v>
                </c:pt>
                <c:pt idx="1041">
                  <c:v>750.53594754414087</c:v>
                </c:pt>
                <c:pt idx="1042">
                  <c:v>750.41472284011741</c:v>
                </c:pt>
                <c:pt idx="1043">
                  <c:v>752.92155249288851</c:v>
                </c:pt>
                <c:pt idx="1044">
                  <c:v>756.74517237509701</c:v>
                </c:pt>
                <c:pt idx="1045">
                  <c:v>758.68219229441797</c:v>
                </c:pt>
                <c:pt idx="1046">
                  <c:v>758.68219229441797</c:v>
                </c:pt>
                <c:pt idx="1047">
                  <c:v>758.68219229441797</c:v>
                </c:pt>
                <c:pt idx="1048">
                  <c:v>755.71430493831849</c:v>
                </c:pt>
                <c:pt idx="1049">
                  <c:v>733.50469354596567</c:v>
                </c:pt>
                <c:pt idx="1050">
                  <c:v>710.34611509749448</c:v>
                </c:pt>
                <c:pt idx="1051">
                  <c:v>724.2552823790586</c:v>
                </c:pt>
                <c:pt idx="1052">
                  <c:v>725.34152293389729</c:v>
                </c:pt>
                <c:pt idx="1053">
                  <c:v>714.44621528325229</c:v>
                </c:pt>
                <c:pt idx="1054">
                  <c:v>667.67056994096163</c:v>
                </c:pt>
                <c:pt idx="1055">
                  <c:v>676.59689000435276</c:v>
                </c:pt>
                <c:pt idx="1056">
                  <c:v>681.06831585917007</c:v>
                </c:pt>
                <c:pt idx="1057">
                  <c:v>688.69555161191408</c:v>
                </c:pt>
                <c:pt idx="1058">
                  <c:v>689.90654727819049</c:v>
                </c:pt>
                <c:pt idx="1059">
                  <c:v>684.86659243499662</c:v>
                </c:pt>
                <c:pt idx="1060">
                  <c:v>694.52302574040311</c:v>
                </c:pt>
                <c:pt idx="1061">
                  <c:v>693.55492523758699</c:v>
                </c:pt>
                <c:pt idx="1062">
                  <c:v>691.92458903042586</c:v>
                </c:pt>
                <c:pt idx="1063">
                  <c:v>703.4724582591524</c:v>
                </c:pt>
                <c:pt idx="1064">
                  <c:v>708.39393441242305</c:v>
                </c:pt>
                <c:pt idx="1065">
                  <c:v>709.35132423238235</c:v>
                </c:pt>
                <c:pt idx="1066">
                  <c:v>709.43973988805885</c:v>
                </c:pt>
                <c:pt idx="1067">
                  <c:v>709.51799492635939</c:v>
                </c:pt>
                <c:pt idx="1068">
                  <c:v>708.88830610183265</c:v>
                </c:pt>
                <c:pt idx="1069">
                  <c:v>708.95754509342703</c:v>
                </c:pt>
                <c:pt idx="1070">
                  <c:v>716.19275726216006</c:v>
                </c:pt>
                <c:pt idx="1071">
                  <c:v>715.56753013032676</c:v>
                </c:pt>
                <c:pt idx="1072">
                  <c:v>723.17019597009005</c:v>
                </c:pt>
                <c:pt idx="1073">
                  <c:v>723.76855861263323</c:v>
                </c:pt>
                <c:pt idx="1074">
                  <c:v>723.19460810726139</c:v>
                </c:pt>
                <c:pt idx="1075">
                  <c:v>725.47892276056473</c:v>
                </c:pt>
                <c:pt idx="1076">
                  <c:v>721.14936168464715</c:v>
                </c:pt>
                <c:pt idx="1077">
                  <c:v>716.97833192814312</c:v>
                </c:pt>
                <c:pt idx="1078">
                  <c:v>707.4290295090583</c:v>
                </c:pt>
                <c:pt idx="1079">
                  <c:v>713.24662177828793</c:v>
                </c:pt>
                <c:pt idx="1080">
                  <c:v>706.79227207865119</c:v>
                </c:pt>
                <c:pt idx="1081">
                  <c:v>692.54168310607065</c:v>
                </c:pt>
                <c:pt idx="1082">
                  <c:v>681.63310207905533</c:v>
                </c:pt>
                <c:pt idx="1083">
                  <c:v>667.25511179444231</c:v>
                </c:pt>
                <c:pt idx="1084">
                  <c:v>599.32114074871208</c:v>
                </c:pt>
                <c:pt idx="1085">
                  <c:v>655.13227816039091</c:v>
                </c:pt>
                <c:pt idx="1086">
                  <c:v>655.13227816039091</c:v>
                </c:pt>
                <c:pt idx="1087">
                  <c:v>659.01271888285851</c:v>
                </c:pt>
                <c:pt idx="1088">
                  <c:v>651.84451575769401</c:v>
                </c:pt>
                <c:pt idx="1089">
                  <c:v>683.01808650701605</c:v>
                </c:pt>
                <c:pt idx="1090">
                  <c:v>683.03177301475478</c:v>
                </c:pt>
                <c:pt idx="1091">
                  <c:v>683.78988922704548</c:v>
                </c:pt>
                <c:pt idx="1092">
                  <c:v>683.91767710462045</c:v>
                </c:pt>
                <c:pt idx="1093">
                  <c:v>683.88637421096632</c:v>
                </c:pt>
                <c:pt idx="1094">
                  <c:v>684.38721079156642</c:v>
                </c:pt>
                <c:pt idx="1095">
                  <c:v>679.40497701606932</c:v>
                </c:pt>
                <c:pt idx="1096">
                  <c:v>658.55802126634228</c:v>
                </c:pt>
                <c:pt idx="1097">
                  <c:v>686.68413035908475</c:v>
                </c:pt>
                <c:pt idx="1098">
                  <c:v>686.43203360522125</c:v>
                </c:pt>
                <c:pt idx="1099">
                  <c:v>688.6000193086137</c:v>
                </c:pt>
                <c:pt idx="1100">
                  <c:v>686.2655287355542</c:v>
                </c:pt>
                <c:pt idx="1101">
                  <c:v>684.378188103046</c:v>
                </c:pt>
                <c:pt idx="1102">
                  <c:v>685.41087488512255</c:v>
                </c:pt>
                <c:pt idx="1103">
                  <c:v>684.45528111044871</c:v>
                </c:pt>
                <c:pt idx="1104">
                  <c:v>689.09070542530173</c:v>
                </c:pt>
                <c:pt idx="1105">
                  <c:v>689.53859360400247</c:v>
                </c:pt>
                <c:pt idx="1106">
                  <c:v>691.48868536633711</c:v>
                </c:pt>
                <c:pt idx="1107">
                  <c:v>690.52338316136866</c:v>
                </c:pt>
                <c:pt idx="1108">
                  <c:v>690.23802133500271</c:v>
                </c:pt>
                <c:pt idx="1109">
                  <c:v>696.1077656489158</c:v>
                </c:pt>
                <c:pt idx="1110">
                  <c:v>704.25842903575574</c:v>
                </c:pt>
                <c:pt idx="1111">
                  <c:v>704.36978837996242</c:v>
                </c:pt>
                <c:pt idx="1112">
                  <c:v>704.08490211032938</c:v>
                </c:pt>
                <c:pt idx="1113">
                  <c:v>702.9670480274126</c:v>
                </c:pt>
                <c:pt idx="1114">
                  <c:v>706.97447990630815</c:v>
                </c:pt>
                <c:pt idx="1115">
                  <c:v>707.23331882312698</c:v>
                </c:pt>
                <c:pt idx="1116">
                  <c:v>706.01243598225892</c:v>
                </c:pt>
                <c:pt idx="1117">
                  <c:v>708.70708233666255</c:v>
                </c:pt>
                <c:pt idx="1118">
                  <c:v>713.01947087579174</c:v>
                </c:pt>
                <c:pt idx="1119">
                  <c:v>715.06594933388624</c:v>
                </c:pt>
                <c:pt idx="1120">
                  <c:v>715.77956399502125</c:v>
                </c:pt>
                <c:pt idx="1121">
                  <c:v>715.6110304234586</c:v>
                </c:pt>
                <c:pt idx="1122">
                  <c:v>711.93110804992295</c:v>
                </c:pt>
                <c:pt idx="1123">
                  <c:v>717.88467817285971</c:v>
                </c:pt>
                <c:pt idx="1124">
                  <c:v>711.1555149892838</c:v>
                </c:pt>
                <c:pt idx="1125">
                  <c:v>710.08814744569156</c:v>
                </c:pt>
                <c:pt idx="1126">
                  <c:v>725.63166647252376</c:v>
                </c:pt>
                <c:pt idx="1127">
                  <c:v>725.70266658159699</c:v>
                </c:pt>
                <c:pt idx="1128">
                  <c:v>723.83039207014156</c:v>
                </c:pt>
                <c:pt idx="1129">
                  <c:v>728.84191568588903</c:v>
                </c:pt>
                <c:pt idx="1130">
                  <c:v>727.59516329627991</c:v>
                </c:pt>
                <c:pt idx="1131">
                  <c:v>730.68042219096776</c:v>
                </c:pt>
                <c:pt idx="1132">
                  <c:v>732.01630104264677</c:v>
                </c:pt>
                <c:pt idx="1133">
                  <c:v>729.58881542136851</c:v>
                </c:pt>
                <c:pt idx="1134">
                  <c:v>733.0522919942797</c:v>
                </c:pt>
                <c:pt idx="1135">
                  <c:v>732.229553043176</c:v>
                </c:pt>
                <c:pt idx="1136">
                  <c:v>757.02935009748103</c:v>
                </c:pt>
                <c:pt idx="1137">
                  <c:v>757.02935009748103</c:v>
                </c:pt>
                <c:pt idx="1138">
                  <c:v>757.02935009748103</c:v>
                </c:pt>
                <c:pt idx="1139">
                  <c:v>752.39850419461038</c:v>
                </c:pt>
                <c:pt idx="1140">
                  <c:v>740.81058285579809</c:v>
                </c:pt>
                <c:pt idx="1141">
                  <c:v>753.10808366200934</c:v>
                </c:pt>
                <c:pt idx="1142">
                  <c:v>755.33663105401376</c:v>
                </c:pt>
                <c:pt idx="1143">
                  <c:v>756.46872398405299</c:v>
                </c:pt>
                <c:pt idx="1144">
                  <c:v>758.48018945879812</c:v>
                </c:pt>
                <c:pt idx="1145">
                  <c:v>762.99582245358602</c:v>
                </c:pt>
                <c:pt idx="1146">
                  <c:v>762.99582245358602</c:v>
                </c:pt>
                <c:pt idx="1147">
                  <c:v>762.99582245358602</c:v>
                </c:pt>
                <c:pt idx="1148">
                  <c:v>762.99582245358602</c:v>
                </c:pt>
                <c:pt idx="1149">
                  <c:v>781.07284733630229</c:v>
                </c:pt>
                <c:pt idx="1150">
                  <c:v>781.07284733630229</c:v>
                </c:pt>
                <c:pt idx="1151">
                  <c:v>783.17763942907652</c:v>
                </c:pt>
                <c:pt idx="1152">
                  <c:v>782.47605798335496</c:v>
                </c:pt>
                <c:pt idx="1153">
                  <c:v>778.74382474217794</c:v>
                </c:pt>
                <c:pt idx="1154">
                  <c:v>770.01013558151715</c:v>
                </c:pt>
                <c:pt idx="1155">
                  <c:v>772.77277683320233</c:v>
                </c:pt>
                <c:pt idx="1156">
                  <c:v>771.34502640996243</c:v>
                </c:pt>
                <c:pt idx="1157">
                  <c:v>763.00209039372521</c:v>
                </c:pt>
                <c:pt idx="1158">
                  <c:v>731.29754387035064</c:v>
                </c:pt>
                <c:pt idx="1159">
                  <c:v>774.02098014488422</c:v>
                </c:pt>
                <c:pt idx="1160">
                  <c:v>774.02098014488422</c:v>
                </c:pt>
                <c:pt idx="1161">
                  <c:v>778.28302123995559</c:v>
                </c:pt>
                <c:pt idx="1162">
                  <c:v>778.28302123995559</c:v>
                </c:pt>
                <c:pt idx="1163">
                  <c:v>778.34103146848588</c:v>
                </c:pt>
                <c:pt idx="1164">
                  <c:v>780.26848804249369</c:v>
                </c:pt>
                <c:pt idx="1165">
                  <c:v>780.26848804249369</c:v>
                </c:pt>
                <c:pt idx="1166">
                  <c:v>778.44280174057462</c:v>
                </c:pt>
                <c:pt idx="1167">
                  <c:v>785.68134846642965</c:v>
                </c:pt>
                <c:pt idx="1168">
                  <c:v>785.68134846642965</c:v>
                </c:pt>
                <c:pt idx="1169">
                  <c:v>786.27519182587923</c:v>
                </c:pt>
                <c:pt idx="1170">
                  <c:v>785.97529459390796</c:v>
                </c:pt>
                <c:pt idx="1171">
                  <c:v>786.52300570437603</c:v>
                </c:pt>
                <c:pt idx="1172">
                  <c:v>787.69554675520567</c:v>
                </c:pt>
                <c:pt idx="1173">
                  <c:v>788.68920319657002</c:v>
                </c:pt>
                <c:pt idx="1174">
                  <c:v>788.28399630472472</c:v>
                </c:pt>
                <c:pt idx="1175">
                  <c:v>788.56932949127429</c:v>
                </c:pt>
                <c:pt idx="1176">
                  <c:v>785.76076556674184</c:v>
                </c:pt>
                <c:pt idx="1177">
                  <c:v>781.71385619275668</c:v>
                </c:pt>
                <c:pt idx="1178">
                  <c:v>776.71407834285912</c:v>
                </c:pt>
                <c:pt idx="1179">
                  <c:v>791.1433367232878</c:v>
                </c:pt>
                <c:pt idx="1180">
                  <c:v>791.1433367232878</c:v>
                </c:pt>
                <c:pt idx="1181">
                  <c:v>791.13070561799475</c:v>
                </c:pt>
                <c:pt idx="1182">
                  <c:v>791.51625733571154</c:v>
                </c:pt>
                <c:pt idx="1183">
                  <c:v>790.44048151347033</c:v>
                </c:pt>
                <c:pt idx="1184">
                  <c:v>791.55197291846196</c:v>
                </c:pt>
                <c:pt idx="1185">
                  <c:v>790.98649767136487</c:v>
                </c:pt>
                <c:pt idx="1186">
                  <c:v>796.02959312794724</c:v>
                </c:pt>
                <c:pt idx="1187">
                  <c:v>795.69868226718847</c:v>
                </c:pt>
                <c:pt idx="1188">
                  <c:v>795.88942728007066</c:v>
                </c:pt>
                <c:pt idx="1189">
                  <c:v>795.81031652321235</c:v>
                </c:pt>
                <c:pt idx="1190">
                  <c:v>791.82650768033159</c:v>
                </c:pt>
                <c:pt idx="1191">
                  <c:v>790.81294942535374</c:v>
                </c:pt>
                <c:pt idx="1192">
                  <c:v>797.25554680112623</c:v>
                </c:pt>
                <c:pt idx="1193">
                  <c:v>791.8865503726239</c:v>
                </c:pt>
                <c:pt idx="1194">
                  <c:v>780.04545118480371</c:v>
                </c:pt>
                <c:pt idx="1195">
                  <c:v>771.0880971519573</c:v>
                </c:pt>
                <c:pt idx="1196">
                  <c:v>768.19880763819697</c:v>
                </c:pt>
                <c:pt idx="1197">
                  <c:v>785.76446528520512</c:v>
                </c:pt>
                <c:pt idx="1198">
                  <c:v>785.00720576783226</c:v>
                </c:pt>
                <c:pt idx="1199">
                  <c:v>782.93194663032375</c:v>
                </c:pt>
                <c:pt idx="1200">
                  <c:v>783.86935646470147</c:v>
                </c:pt>
                <c:pt idx="1201">
                  <c:v>775.96107523263527</c:v>
                </c:pt>
                <c:pt idx="1202">
                  <c:v>767.66138309641531</c:v>
                </c:pt>
                <c:pt idx="1203">
                  <c:v>766.50021124305681</c:v>
                </c:pt>
                <c:pt idx="1204">
                  <c:v>766.04712273041923</c:v>
                </c:pt>
                <c:pt idx="1205">
                  <c:v>776.21324351377302</c:v>
                </c:pt>
                <c:pt idx="1206">
                  <c:v>778.69699167159035</c:v>
                </c:pt>
                <c:pt idx="1207">
                  <c:v>778.20684583887805</c:v>
                </c:pt>
                <c:pt idx="1208">
                  <c:v>775.02747529089311</c:v>
                </c:pt>
                <c:pt idx="1209">
                  <c:v>777.48442615816271</c:v>
                </c:pt>
                <c:pt idx="1210">
                  <c:v>789.73921623663011</c:v>
                </c:pt>
                <c:pt idx="1211">
                  <c:v>789.73921623663011</c:v>
                </c:pt>
                <c:pt idx="1212">
                  <c:v>789.73921623663011</c:v>
                </c:pt>
                <c:pt idx="1213">
                  <c:v>789.7433622892313</c:v>
                </c:pt>
                <c:pt idx="1214">
                  <c:v>789.67992290412531</c:v>
                </c:pt>
                <c:pt idx="1215">
                  <c:v>789.64983475520103</c:v>
                </c:pt>
                <c:pt idx="1216">
                  <c:v>791.56824684194703</c:v>
                </c:pt>
                <c:pt idx="1217">
                  <c:v>791.5742118178988</c:v>
                </c:pt>
                <c:pt idx="1218">
                  <c:v>791.54804336826703</c:v>
                </c:pt>
                <c:pt idx="1219">
                  <c:v>793.05803025265254</c:v>
                </c:pt>
                <c:pt idx="1220">
                  <c:v>792.64955595338347</c:v>
                </c:pt>
                <c:pt idx="1221">
                  <c:v>793.69705249839808</c:v>
                </c:pt>
                <c:pt idx="1222">
                  <c:v>793.35024221743697</c:v>
                </c:pt>
                <c:pt idx="1223">
                  <c:v>793.66983235933719</c:v>
                </c:pt>
                <c:pt idx="1224">
                  <c:v>793.30953281762413</c:v>
                </c:pt>
                <c:pt idx="1225">
                  <c:v>792.24529615488666</c:v>
                </c:pt>
                <c:pt idx="1226">
                  <c:v>791.66864373977739</c:v>
                </c:pt>
                <c:pt idx="1227">
                  <c:v>792.78525316821037</c:v>
                </c:pt>
                <c:pt idx="1228">
                  <c:v>787.65950169591156</c:v>
                </c:pt>
                <c:pt idx="1229">
                  <c:v>793.55089076386366</c:v>
                </c:pt>
                <c:pt idx="1230">
                  <c:v>793.46997317910234</c:v>
                </c:pt>
                <c:pt idx="1231">
                  <c:v>794.84346630746973</c:v>
                </c:pt>
                <c:pt idx="1232">
                  <c:v>795.02587320140401</c:v>
                </c:pt>
                <c:pt idx="1233">
                  <c:v>795.42512402587215</c:v>
                </c:pt>
                <c:pt idx="1234">
                  <c:v>795.41768206852566</c:v>
                </c:pt>
                <c:pt idx="1235">
                  <c:v>795.43370389393579</c:v>
                </c:pt>
                <c:pt idx="1236">
                  <c:v>795.72303131845251</c:v>
                </c:pt>
                <c:pt idx="1237">
                  <c:v>795.75559385235874</c:v>
                </c:pt>
                <c:pt idx="1238">
                  <c:v>795.73382321434053</c:v>
                </c:pt>
                <c:pt idx="1239">
                  <c:v>795.61934622444824</c:v>
                </c:pt>
                <c:pt idx="1240">
                  <c:v>795.97682141704422</c:v>
                </c:pt>
                <c:pt idx="1241">
                  <c:v>795.96200342585053</c:v>
                </c:pt>
                <c:pt idx="1242">
                  <c:v>795.96574099535826</c:v>
                </c:pt>
                <c:pt idx="1243">
                  <c:v>795.87823610042767</c:v>
                </c:pt>
                <c:pt idx="1244">
                  <c:v>795.63923907936339</c:v>
                </c:pt>
                <c:pt idx="1245">
                  <c:v>795.6800074796472</c:v>
                </c:pt>
                <c:pt idx="1246">
                  <c:v>795.78767126858179</c:v>
                </c:pt>
                <c:pt idx="1247">
                  <c:v>795.87455466353481</c:v>
                </c:pt>
                <c:pt idx="1248">
                  <c:v>797.01858550030386</c:v>
                </c:pt>
                <c:pt idx="1249">
                  <c:v>796.93891108725177</c:v>
                </c:pt>
                <c:pt idx="1250">
                  <c:v>796.75483028909184</c:v>
                </c:pt>
                <c:pt idx="1251">
                  <c:v>796.77764205785138</c:v>
                </c:pt>
                <c:pt idx="1252">
                  <c:v>796.02275354658332</c:v>
                </c:pt>
                <c:pt idx="1253">
                  <c:v>795.92343840509614</c:v>
                </c:pt>
                <c:pt idx="1254">
                  <c:v>795.95670635127271</c:v>
                </c:pt>
                <c:pt idx="1255">
                  <c:v>795.25299856278866</c:v>
                </c:pt>
                <c:pt idx="1256">
                  <c:v>795.24180316682225</c:v>
                </c:pt>
                <c:pt idx="1257">
                  <c:v>795.9334022919935</c:v>
                </c:pt>
                <c:pt idx="1258">
                  <c:v>795.95057914246263</c:v>
                </c:pt>
                <c:pt idx="1259">
                  <c:v>795.92685152848333</c:v>
                </c:pt>
                <c:pt idx="1260">
                  <c:v>796.09703208493522</c:v>
                </c:pt>
                <c:pt idx="1261">
                  <c:v>795.10140619592903</c:v>
                </c:pt>
                <c:pt idx="1262">
                  <c:v>796.0972299354072</c:v>
                </c:pt>
                <c:pt idx="1263">
                  <c:v>796.20370510463022</c:v>
                </c:pt>
                <c:pt idx="1264">
                  <c:v>795.74078401069607</c:v>
                </c:pt>
                <c:pt idx="1265">
                  <c:v>796.03602604852085</c:v>
                </c:pt>
                <c:pt idx="1266">
                  <c:v>796.00318810954514</c:v>
                </c:pt>
                <c:pt idx="1267">
                  <c:v>796.28954073060936</c:v>
                </c:pt>
                <c:pt idx="1268">
                  <c:v>796.26029849935719</c:v>
                </c:pt>
                <c:pt idx="1269">
                  <c:v>796.26380089704855</c:v>
                </c:pt>
                <c:pt idx="1270">
                  <c:v>796.26398397052435</c:v>
                </c:pt>
                <c:pt idx="1271">
                  <c:v>796.28289473964708</c:v>
                </c:pt>
                <c:pt idx="1272">
                  <c:v>796.38348695128366</c:v>
                </c:pt>
                <c:pt idx="1273">
                  <c:v>796.35280533703258</c:v>
                </c:pt>
                <c:pt idx="1274">
                  <c:v>796.31019917293554</c:v>
                </c:pt>
                <c:pt idx="1275">
                  <c:v>796.22155449433933</c:v>
                </c:pt>
                <c:pt idx="1276">
                  <c:v>795.74071420048995</c:v>
                </c:pt>
                <c:pt idx="1277">
                  <c:v>795.47499355459797</c:v>
                </c:pt>
                <c:pt idx="1278">
                  <c:v>795.69336611515564</c:v>
                </c:pt>
                <c:pt idx="1279">
                  <c:v>795.68692706742434</c:v>
                </c:pt>
                <c:pt idx="1280">
                  <c:v>795.71410306890141</c:v>
                </c:pt>
                <c:pt idx="1281">
                  <c:v>795.67103871199993</c:v>
                </c:pt>
                <c:pt idx="1282">
                  <c:v>795.68311031863436</c:v>
                </c:pt>
                <c:pt idx="1283">
                  <c:v>795.85360937141115</c:v>
                </c:pt>
                <c:pt idx="1284">
                  <c:v>795.88982064252536</c:v>
                </c:pt>
                <c:pt idx="1285">
                  <c:v>796.45063243400398</c:v>
                </c:pt>
                <c:pt idx="1286">
                  <c:v>796.37517199189176</c:v>
                </c:pt>
                <c:pt idx="1287">
                  <c:v>796.35463005143015</c:v>
                </c:pt>
                <c:pt idx="1288">
                  <c:v>796.43873104685508</c:v>
                </c:pt>
                <c:pt idx="1289">
                  <c:v>796.40590895160949</c:v>
                </c:pt>
                <c:pt idx="1290">
                  <c:v>796.41701209458438</c:v>
                </c:pt>
                <c:pt idx="1291">
                  <c:v>796.50235426698339</c:v>
                </c:pt>
                <c:pt idx="1292">
                  <c:v>796.3024523082388</c:v>
                </c:pt>
                <c:pt idx="1293">
                  <c:v>796.26966701624622</c:v>
                </c:pt>
                <c:pt idx="1294">
                  <c:v>796.29088842708825</c:v>
                </c:pt>
                <c:pt idx="1295">
                  <c:v>796.25392875649447</c:v>
                </c:pt>
                <c:pt idx="1296">
                  <c:v>796.20461727905649</c:v>
                </c:pt>
                <c:pt idx="1297">
                  <c:v>796.10005838786219</c:v>
                </c:pt>
                <c:pt idx="1298">
                  <c:v>796.04481033077548</c:v>
                </c:pt>
                <c:pt idx="1299">
                  <c:v>795.35247018232019</c:v>
                </c:pt>
                <c:pt idx="1300">
                  <c:v>791.80041368823174</c:v>
                </c:pt>
                <c:pt idx="1301">
                  <c:v>792.94729815473238</c:v>
                </c:pt>
                <c:pt idx="1302">
                  <c:v>792.71033553662778</c:v>
                </c:pt>
                <c:pt idx="1303">
                  <c:v>793.73484037086394</c:v>
                </c:pt>
                <c:pt idx="1304">
                  <c:v>793.64562572419504</c:v>
                </c:pt>
                <c:pt idx="1305">
                  <c:v>793.75550869863798</c:v>
                </c:pt>
                <c:pt idx="1306">
                  <c:v>793.21439433804358</c:v>
                </c:pt>
                <c:pt idx="1307">
                  <c:v>793.60798710770712</c:v>
                </c:pt>
                <c:pt idx="1308">
                  <c:v>794.0478875429568</c:v>
                </c:pt>
                <c:pt idx="1309">
                  <c:v>793.8516186232506</c:v>
                </c:pt>
                <c:pt idx="1310">
                  <c:v>793.74570936426301</c:v>
                </c:pt>
                <c:pt idx="1311">
                  <c:v>792.11608238477402</c:v>
                </c:pt>
                <c:pt idx="1312">
                  <c:v>792.75040908172707</c:v>
                </c:pt>
                <c:pt idx="1313">
                  <c:v>789.67943320454208</c:v>
                </c:pt>
                <c:pt idx="1314">
                  <c:v>785.54649616985046</c:v>
                </c:pt>
                <c:pt idx="1315">
                  <c:v>788.33806524439296</c:v>
                </c:pt>
                <c:pt idx="1316">
                  <c:v>789.41174691806702</c:v>
                </c:pt>
                <c:pt idx="1317">
                  <c:v>789.18539286986186</c:v>
                </c:pt>
                <c:pt idx="1318">
                  <c:v>787.66674562236324</c:v>
                </c:pt>
                <c:pt idx="1319">
                  <c:v>781.99893971177903</c:v>
                </c:pt>
                <c:pt idx="1320">
                  <c:v>783.19526080357184</c:v>
                </c:pt>
                <c:pt idx="1321">
                  <c:v>784.77481249119046</c:v>
                </c:pt>
                <c:pt idx="1322">
                  <c:v>784.13190730889357</c:v>
                </c:pt>
                <c:pt idx="1323">
                  <c:v>783.36234470113686</c:v>
                </c:pt>
                <c:pt idx="1324">
                  <c:v>773.44038833823367</c:v>
                </c:pt>
                <c:pt idx="1325">
                  <c:v>767.8357779446319</c:v>
                </c:pt>
                <c:pt idx="1326">
                  <c:v>755.60456043219847</c:v>
                </c:pt>
                <c:pt idx="1327">
                  <c:v>772.23190809088021</c:v>
                </c:pt>
                <c:pt idx="1328">
                  <c:v>772.30881961594491</c:v>
                </c:pt>
                <c:pt idx="1329">
                  <c:v>772.26061848027348</c:v>
                </c:pt>
                <c:pt idx="1330">
                  <c:v>773.4990277322031</c:v>
                </c:pt>
                <c:pt idx="1331">
                  <c:v>773.46469624203758</c:v>
                </c:pt>
                <c:pt idx="1332">
                  <c:v>773.80824209787284</c:v>
                </c:pt>
                <c:pt idx="1333">
                  <c:v>773.85493229555891</c:v>
                </c:pt>
                <c:pt idx="1334">
                  <c:v>773.57483791339655</c:v>
                </c:pt>
                <c:pt idx="1335">
                  <c:v>774.58906316869673</c:v>
                </c:pt>
                <c:pt idx="1336">
                  <c:v>774.33617996550481</c:v>
                </c:pt>
                <c:pt idx="1337">
                  <c:v>774.86743632819912</c:v>
                </c:pt>
                <c:pt idx="1338">
                  <c:v>771.37817482897253</c:v>
                </c:pt>
                <c:pt idx="1339">
                  <c:v>770.24588458405447</c:v>
                </c:pt>
                <c:pt idx="1340">
                  <c:v>767.53084094937935</c:v>
                </c:pt>
                <c:pt idx="1341">
                  <c:v>765.41574147377014</c:v>
                </c:pt>
                <c:pt idx="1342">
                  <c:v>766.2575444228479</c:v>
                </c:pt>
                <c:pt idx="1343">
                  <c:v>770.12268678117414</c:v>
                </c:pt>
                <c:pt idx="1344">
                  <c:v>770.4702757000199</c:v>
                </c:pt>
                <c:pt idx="1345">
                  <c:v>772.1048051997542</c:v>
                </c:pt>
                <c:pt idx="1346">
                  <c:v>774.27280826211393</c:v>
                </c:pt>
                <c:pt idx="1347">
                  <c:v>773.47171255532999</c:v>
                </c:pt>
                <c:pt idx="1348">
                  <c:v>773.48600319257241</c:v>
                </c:pt>
                <c:pt idx="1349">
                  <c:v>772.36236623672949</c:v>
                </c:pt>
                <c:pt idx="1350">
                  <c:v>774.13200372320432</c:v>
                </c:pt>
                <c:pt idx="1351">
                  <c:v>774.99372985952243</c:v>
                </c:pt>
                <c:pt idx="1352">
                  <c:v>774.76317512008688</c:v>
                </c:pt>
                <c:pt idx="1353">
                  <c:v>779.60745919849751</c:v>
                </c:pt>
                <c:pt idx="1354">
                  <c:v>779.56963697206538</c:v>
                </c:pt>
                <c:pt idx="1355">
                  <c:v>779.78014622353214</c:v>
                </c:pt>
                <c:pt idx="1356">
                  <c:v>779.22822981923252</c:v>
                </c:pt>
                <c:pt idx="1357">
                  <c:v>779.9077770815137</c:v>
                </c:pt>
                <c:pt idx="1358">
                  <c:v>780.29929230785797</c:v>
                </c:pt>
                <c:pt idx="1359">
                  <c:v>779.82154978315725</c:v>
                </c:pt>
                <c:pt idx="1360">
                  <c:v>781.02396267760162</c:v>
                </c:pt>
                <c:pt idx="1361">
                  <c:v>781.68754051611472</c:v>
                </c:pt>
                <c:pt idx="1362">
                  <c:v>781.72522439143165</c:v>
                </c:pt>
                <c:pt idx="1363">
                  <c:v>782.63131514696192</c:v>
                </c:pt>
                <c:pt idx="1364">
                  <c:v>782.63131514696192</c:v>
                </c:pt>
                <c:pt idx="1365">
                  <c:v>782.63131514696192</c:v>
                </c:pt>
                <c:pt idx="1366">
                  <c:v>782.61897348383616</c:v>
                </c:pt>
                <c:pt idx="1367">
                  <c:v>782.67463842456198</c:v>
                </c:pt>
                <c:pt idx="1368">
                  <c:v>782.7476391700277</c:v>
                </c:pt>
                <c:pt idx="1369">
                  <c:v>783.71284309169403</c:v>
                </c:pt>
                <c:pt idx="1370">
                  <c:v>783.71284309169403</c:v>
                </c:pt>
                <c:pt idx="1371">
                  <c:v>783.42744864781434</c:v>
                </c:pt>
                <c:pt idx="1372">
                  <c:v>784.03185818735267</c:v>
                </c:pt>
                <c:pt idx="1373">
                  <c:v>782.97315159844925</c:v>
                </c:pt>
                <c:pt idx="1374">
                  <c:v>783.39044759218041</c:v>
                </c:pt>
                <c:pt idx="1375">
                  <c:v>783.64062860204842</c:v>
                </c:pt>
                <c:pt idx="1376">
                  <c:v>783.28273250835252</c:v>
                </c:pt>
                <c:pt idx="1377">
                  <c:v>783.67784495296019</c:v>
                </c:pt>
                <c:pt idx="1378">
                  <c:v>783.37039093812757</c:v>
                </c:pt>
                <c:pt idx="1379">
                  <c:v>783.44948994698893</c:v>
                </c:pt>
                <c:pt idx="1380">
                  <c:v>783.16349195130181</c:v>
                </c:pt>
                <c:pt idx="1381">
                  <c:v>781.87016524166961</c:v>
                </c:pt>
                <c:pt idx="1382">
                  <c:v>780.11143868303748</c:v>
                </c:pt>
                <c:pt idx="1383">
                  <c:v>779.87526578421796</c:v>
                </c:pt>
                <c:pt idx="1384">
                  <c:v>779.26349468933222</c:v>
                </c:pt>
                <c:pt idx="1385">
                  <c:v>780.34027853804071</c:v>
                </c:pt>
                <c:pt idx="1386">
                  <c:v>780.17346161881483</c:v>
                </c:pt>
                <c:pt idx="1387">
                  <c:v>780.12196744010396</c:v>
                </c:pt>
                <c:pt idx="1388">
                  <c:v>780.87498256428171</c:v>
                </c:pt>
                <c:pt idx="1389">
                  <c:v>781.72555564469633</c:v>
                </c:pt>
                <c:pt idx="1390">
                  <c:v>781.48598819049289</c:v>
                </c:pt>
                <c:pt idx="1391">
                  <c:v>781.5818492995943</c:v>
                </c:pt>
                <c:pt idx="1392">
                  <c:v>781.67752953633862</c:v>
                </c:pt>
                <c:pt idx="1393">
                  <c:v>781.35864782622002</c:v>
                </c:pt>
                <c:pt idx="1394">
                  <c:v>781.45072835962367</c:v>
                </c:pt>
                <c:pt idx="1395">
                  <c:v>781.65395419810409</c:v>
                </c:pt>
                <c:pt idx="1396">
                  <c:v>781.95199081811472</c:v>
                </c:pt>
                <c:pt idx="1397">
                  <c:v>781.76939984645253</c:v>
                </c:pt>
                <c:pt idx="1398">
                  <c:v>781.92011978313599</c:v>
                </c:pt>
                <c:pt idx="1399">
                  <c:v>781.82532434979862</c:v>
                </c:pt>
                <c:pt idx="1400">
                  <c:v>781.19861068549733</c:v>
                </c:pt>
                <c:pt idx="1401">
                  <c:v>781.82226505539074</c:v>
                </c:pt>
                <c:pt idx="1402">
                  <c:v>781.94550777824895</c:v>
                </c:pt>
                <c:pt idx="1403">
                  <c:v>781.28554005768331</c:v>
                </c:pt>
                <c:pt idx="1404">
                  <c:v>781.58224356251822</c:v>
                </c:pt>
                <c:pt idx="1405">
                  <c:v>781.59391493341207</c:v>
                </c:pt>
                <c:pt idx="1406">
                  <c:v>781.6273805068397</c:v>
                </c:pt>
                <c:pt idx="1407">
                  <c:v>781.25783464910523</c:v>
                </c:pt>
                <c:pt idx="1408">
                  <c:v>781.1342422247991</c:v>
                </c:pt>
                <c:pt idx="1409">
                  <c:v>780.87835366278864</c:v>
                </c:pt>
                <c:pt idx="1410">
                  <c:v>781.07169401050896</c:v>
                </c:pt>
                <c:pt idx="1411">
                  <c:v>780.1036396253769</c:v>
                </c:pt>
                <c:pt idx="1412">
                  <c:v>778.80959938554724</c:v>
                </c:pt>
                <c:pt idx="1413">
                  <c:v>779.31770682226181</c:v>
                </c:pt>
                <c:pt idx="1414">
                  <c:v>779.19079498532096</c:v>
                </c:pt>
                <c:pt idx="1415">
                  <c:v>779.20136446019944</c:v>
                </c:pt>
                <c:pt idx="1416">
                  <c:v>778.95882021311536</c:v>
                </c:pt>
                <c:pt idx="1417">
                  <c:v>778.45463922078375</c:v>
                </c:pt>
                <c:pt idx="1418">
                  <c:v>777.72699425715859</c:v>
                </c:pt>
                <c:pt idx="1419">
                  <c:v>777.71434832143802</c:v>
                </c:pt>
                <c:pt idx="1420">
                  <c:v>776.66149606058934</c:v>
                </c:pt>
                <c:pt idx="1421">
                  <c:v>774.66519647303915</c:v>
                </c:pt>
                <c:pt idx="1422">
                  <c:v>770.12091827674919</c:v>
                </c:pt>
                <c:pt idx="1423">
                  <c:v>771.93541356337585</c:v>
                </c:pt>
                <c:pt idx="1424">
                  <c:v>772.66661760004035</c:v>
                </c:pt>
                <c:pt idx="1425">
                  <c:v>771.90370807711008</c:v>
                </c:pt>
                <c:pt idx="1426">
                  <c:v>772.27527056757003</c:v>
                </c:pt>
                <c:pt idx="1427">
                  <c:v>769.02697609412041</c:v>
                </c:pt>
                <c:pt idx="1428">
                  <c:v>768.80776390160531</c:v>
                </c:pt>
                <c:pt idx="1429">
                  <c:v>767.00565792604357</c:v>
                </c:pt>
                <c:pt idx="1430">
                  <c:v>760.72292613056811</c:v>
                </c:pt>
                <c:pt idx="1431">
                  <c:v>763.48828142178297</c:v>
                </c:pt>
                <c:pt idx="1432">
                  <c:v>759.68603469409084</c:v>
                </c:pt>
                <c:pt idx="1433">
                  <c:v>754.93027312227662</c:v>
                </c:pt>
                <c:pt idx="1434">
                  <c:v>747.64685201060502</c:v>
                </c:pt>
                <c:pt idx="1435">
                  <c:v>743.15976538689245</c:v>
                </c:pt>
                <c:pt idx="1436">
                  <c:v>740.62261767344251</c:v>
                </c:pt>
                <c:pt idx="1437">
                  <c:v>745.07876355744224</c:v>
                </c:pt>
                <c:pt idx="1438">
                  <c:v>739.62018307555331</c:v>
                </c:pt>
                <c:pt idx="1439">
                  <c:v>711.21668831581508</c:v>
                </c:pt>
                <c:pt idx="1440">
                  <c:v>672.92128269269313</c:v>
                </c:pt>
                <c:pt idx="1441">
                  <c:v>734.34774063043108</c:v>
                </c:pt>
                <c:pt idx="1442">
                  <c:v>734.34774063043108</c:v>
                </c:pt>
                <c:pt idx="1443">
                  <c:v>734.34774063043108</c:v>
                </c:pt>
                <c:pt idx="1444">
                  <c:v>735.22983256968053</c:v>
                </c:pt>
                <c:pt idx="1445">
                  <c:v>735.6056359071149</c:v>
                </c:pt>
                <c:pt idx="1446">
                  <c:v>741.59528323008726</c:v>
                </c:pt>
                <c:pt idx="1447">
                  <c:v>741.59528323008726</c:v>
                </c:pt>
                <c:pt idx="1448">
                  <c:v>741.59528323008726</c:v>
                </c:pt>
                <c:pt idx="1449">
                  <c:v>741.24550339578911</c:v>
                </c:pt>
                <c:pt idx="1450">
                  <c:v>739.52342483672749</c:v>
                </c:pt>
                <c:pt idx="1451">
                  <c:v>740.06262448809275</c:v>
                </c:pt>
                <c:pt idx="1452">
                  <c:v>748.57116948938221</c:v>
                </c:pt>
                <c:pt idx="1453">
                  <c:v>748.58893060571847</c:v>
                </c:pt>
                <c:pt idx="1454">
                  <c:v>744.46891429633968</c:v>
                </c:pt>
                <c:pt idx="1455">
                  <c:v>744.95321277920482</c:v>
                </c:pt>
                <c:pt idx="1456">
                  <c:v>750.17598653518337</c:v>
                </c:pt>
                <c:pt idx="1457">
                  <c:v>752.45106710868697</c:v>
                </c:pt>
                <c:pt idx="1458">
                  <c:v>750.86981436876442</c:v>
                </c:pt>
                <c:pt idx="1459">
                  <c:v>752.88743166579218</c:v>
                </c:pt>
                <c:pt idx="1460">
                  <c:v>752.30896511181083</c:v>
                </c:pt>
                <c:pt idx="1461">
                  <c:v>753.59153085634273</c:v>
                </c:pt>
                <c:pt idx="1462">
                  <c:v>751.47292978904568</c:v>
                </c:pt>
                <c:pt idx="1463">
                  <c:v>738.34952093018137</c:v>
                </c:pt>
                <c:pt idx="1464">
                  <c:v>729.02904088720277</c:v>
                </c:pt>
                <c:pt idx="1465">
                  <c:v>732.30825057149559</c:v>
                </c:pt>
                <c:pt idx="1466">
                  <c:v>726.11229679403505</c:v>
                </c:pt>
                <c:pt idx="1467">
                  <c:v>716.64487907402838</c:v>
                </c:pt>
                <c:pt idx="1468">
                  <c:v>729.30604643344986</c:v>
                </c:pt>
                <c:pt idx="1469">
                  <c:v>729.8516740133997</c:v>
                </c:pt>
                <c:pt idx="1470">
                  <c:v>729.57284861685821</c:v>
                </c:pt>
                <c:pt idx="1471">
                  <c:v>729.27628572170431</c:v>
                </c:pt>
                <c:pt idx="1472">
                  <c:v>724.22495161306324</c:v>
                </c:pt>
                <c:pt idx="1473">
                  <c:v>710.02350603781269</c:v>
                </c:pt>
                <c:pt idx="1474">
                  <c:v>710.70940025198809</c:v>
                </c:pt>
                <c:pt idx="1475">
                  <c:v>709.96670834194276</c:v>
                </c:pt>
                <c:pt idx="1476">
                  <c:v>696.413831693014</c:v>
                </c:pt>
                <c:pt idx="1477">
                  <c:v>694.74808973331017</c:v>
                </c:pt>
                <c:pt idx="1478">
                  <c:v>673.31054897135243</c:v>
                </c:pt>
                <c:pt idx="1479">
                  <c:v>691.49759058254278</c:v>
                </c:pt>
                <c:pt idx="1480">
                  <c:v>690.09922224581055</c:v>
                </c:pt>
                <c:pt idx="1481">
                  <c:v>686.69117430794654</c:v>
                </c:pt>
                <c:pt idx="1482">
                  <c:v>676.68825829712512</c:v>
                </c:pt>
                <c:pt idx="1483">
                  <c:v>680.28437420133582</c:v>
                </c:pt>
                <c:pt idx="1484">
                  <c:v>681.65196114234982</c:v>
                </c:pt>
                <c:pt idx="1485">
                  <c:v>676.48908489436144</c:v>
                </c:pt>
                <c:pt idx="1486">
                  <c:v>677.14226031667476</c:v>
                </c:pt>
                <c:pt idx="1487">
                  <c:v>694.72209720782462</c:v>
                </c:pt>
                <c:pt idx="1488">
                  <c:v>695.92687689869626</c:v>
                </c:pt>
                <c:pt idx="1489">
                  <c:v>695.30232426351745</c:v>
                </c:pt>
                <c:pt idx="1490">
                  <c:v>694.19268847119793</c:v>
                </c:pt>
                <c:pt idx="1491">
                  <c:v>690.0592142203044</c:v>
                </c:pt>
                <c:pt idx="1492">
                  <c:v>688.95190156765727</c:v>
                </c:pt>
                <c:pt idx="1493">
                  <c:v>717.75793528102304</c:v>
                </c:pt>
                <c:pt idx="1494">
                  <c:v>717.75793528102304</c:v>
                </c:pt>
                <c:pt idx="1495">
                  <c:v>718.25144717236799</c:v>
                </c:pt>
                <c:pt idx="1496">
                  <c:v>717.03792990585998</c:v>
                </c:pt>
                <c:pt idx="1497">
                  <c:v>718.35561326563743</c:v>
                </c:pt>
                <c:pt idx="1498">
                  <c:v>717.00273091073791</c:v>
                </c:pt>
                <c:pt idx="1499">
                  <c:v>715.31562425560935</c:v>
                </c:pt>
                <c:pt idx="1500">
                  <c:v>715.77828743708608</c:v>
                </c:pt>
                <c:pt idx="1501">
                  <c:v>719.22404024747277</c:v>
                </c:pt>
                <c:pt idx="1502">
                  <c:v>716.30679221477578</c:v>
                </c:pt>
                <c:pt idx="1503">
                  <c:v>717.31037199926834</c:v>
                </c:pt>
                <c:pt idx="1504">
                  <c:v>718.16847775806855</c:v>
                </c:pt>
                <c:pt idx="1505">
                  <c:v>705.34174748983116</c:v>
                </c:pt>
                <c:pt idx="1506">
                  <c:v>705.73657238106819</c:v>
                </c:pt>
                <c:pt idx="1507">
                  <c:v>709.00146332060717</c:v>
                </c:pt>
                <c:pt idx="1508">
                  <c:v>711.49361561601631</c:v>
                </c:pt>
                <c:pt idx="1509">
                  <c:v>710.10163625814812</c:v>
                </c:pt>
                <c:pt idx="1510">
                  <c:v>711.61991989102</c:v>
                </c:pt>
                <c:pt idx="1511">
                  <c:v>720.69240489106494</c:v>
                </c:pt>
                <c:pt idx="1512">
                  <c:v>721.21935104388137</c:v>
                </c:pt>
                <c:pt idx="1513">
                  <c:v>741.37630363359301</c:v>
                </c:pt>
                <c:pt idx="1514">
                  <c:v>741.37630363359301</c:v>
                </c:pt>
                <c:pt idx="1515">
                  <c:v>740.35727800796735</c:v>
                </c:pt>
                <c:pt idx="1516">
                  <c:v>740.45535011899608</c:v>
                </c:pt>
                <c:pt idx="1517">
                  <c:v>742.32726300909064</c:v>
                </c:pt>
                <c:pt idx="1518">
                  <c:v>734.22002130717919</c:v>
                </c:pt>
                <c:pt idx="1519">
                  <c:v>739.63005538272614</c:v>
                </c:pt>
                <c:pt idx="1520">
                  <c:v>759.61636280362507</c:v>
                </c:pt>
                <c:pt idx="1521">
                  <c:v>759.61636280362507</c:v>
                </c:pt>
                <c:pt idx="1522">
                  <c:v>755.25019509207493</c:v>
                </c:pt>
                <c:pt idx="1523">
                  <c:v>765.31567926615287</c:v>
                </c:pt>
                <c:pt idx="1524">
                  <c:v>765.70987204348205</c:v>
                </c:pt>
                <c:pt idx="1525">
                  <c:v>764.24494235309101</c:v>
                </c:pt>
                <c:pt idx="1526">
                  <c:v>772.63467660902597</c:v>
                </c:pt>
                <c:pt idx="1527">
                  <c:v>772.74332035177838</c:v>
                </c:pt>
                <c:pt idx="1528">
                  <c:v>773.17275384198126</c:v>
                </c:pt>
                <c:pt idx="1529">
                  <c:v>775.40853313471064</c:v>
                </c:pt>
                <c:pt idx="1530">
                  <c:v>774.77180981348613</c:v>
                </c:pt>
                <c:pt idx="1531">
                  <c:v>774.31369741497519</c:v>
                </c:pt>
                <c:pt idx="1532">
                  <c:v>776.18897513649176</c:v>
                </c:pt>
                <c:pt idx="1533">
                  <c:v>770.88885670669106</c:v>
                </c:pt>
                <c:pt idx="1534">
                  <c:v>773.897180767554</c:v>
                </c:pt>
                <c:pt idx="1535">
                  <c:v>783.19568315623496</c:v>
                </c:pt>
                <c:pt idx="1536">
                  <c:v>783.18987873158949</c:v>
                </c:pt>
                <c:pt idx="1537">
                  <c:v>785.3372681904832</c:v>
                </c:pt>
                <c:pt idx="1538">
                  <c:v>783.96247028253526</c:v>
                </c:pt>
                <c:pt idx="1539">
                  <c:v>780.62244976314526</c:v>
                </c:pt>
                <c:pt idx="1540">
                  <c:v>782.3298873619799</c:v>
                </c:pt>
                <c:pt idx="1541">
                  <c:v>777.68034831479235</c:v>
                </c:pt>
                <c:pt idx="1542">
                  <c:v>767.88731635082445</c:v>
                </c:pt>
                <c:pt idx="1543">
                  <c:v>752.17842170981112</c:v>
                </c:pt>
                <c:pt idx="1544">
                  <c:v>760.38350994960081</c:v>
                </c:pt>
                <c:pt idx="1545">
                  <c:v>756.23726974977205</c:v>
                </c:pt>
                <c:pt idx="1546">
                  <c:v>747.97210910602803</c:v>
                </c:pt>
                <c:pt idx="1547">
                  <c:v>742.25652751364612</c:v>
                </c:pt>
                <c:pt idx="1548">
                  <c:v>742.67031902354529</c:v>
                </c:pt>
                <c:pt idx="1549">
                  <c:v>728.01094751049584</c:v>
                </c:pt>
                <c:pt idx="1550">
                  <c:v>729.30821286271953</c:v>
                </c:pt>
                <c:pt idx="1551">
                  <c:v>728.0253006588573</c:v>
                </c:pt>
                <c:pt idx="1552">
                  <c:v>741.84353155231145</c:v>
                </c:pt>
                <c:pt idx="1553">
                  <c:v>740.21498187710984</c:v>
                </c:pt>
                <c:pt idx="1554">
                  <c:v>742.60540556469948</c:v>
                </c:pt>
                <c:pt idx="1555">
                  <c:v>737.75951739959555</c:v>
                </c:pt>
                <c:pt idx="1556">
                  <c:v>739.26589457226771</c:v>
                </c:pt>
                <c:pt idx="1557">
                  <c:v>739.153555846833</c:v>
                </c:pt>
                <c:pt idx="1558">
                  <c:v>735.68512682922585</c:v>
                </c:pt>
                <c:pt idx="1559">
                  <c:v>738.24341932647224</c:v>
                </c:pt>
                <c:pt idx="1560">
                  <c:v>746.53291925855592</c:v>
                </c:pt>
                <c:pt idx="1561">
                  <c:v>745.87244199879513</c:v>
                </c:pt>
                <c:pt idx="1562">
                  <c:v>750.10700891747695</c:v>
                </c:pt>
                <c:pt idx="1563">
                  <c:v>752.5048378196592</c:v>
                </c:pt>
                <c:pt idx="1564">
                  <c:v>751.77842543841018</c:v>
                </c:pt>
                <c:pt idx="1565">
                  <c:v>749.81701051147604</c:v>
                </c:pt>
                <c:pt idx="1566">
                  <c:v>750.75982101110833</c:v>
                </c:pt>
                <c:pt idx="1567">
                  <c:v>750.00886744699449</c:v>
                </c:pt>
                <c:pt idx="1568">
                  <c:v>748.68284977508597</c:v>
                </c:pt>
                <c:pt idx="1569">
                  <c:v>746.68716627941251</c:v>
                </c:pt>
                <c:pt idx="1570">
                  <c:v>750.90348453362117</c:v>
                </c:pt>
                <c:pt idx="1571">
                  <c:v>750.52264739486486</c:v>
                </c:pt>
                <c:pt idx="1572">
                  <c:v>750.00650000134601</c:v>
                </c:pt>
                <c:pt idx="1573">
                  <c:v>749.96663290543722</c:v>
                </c:pt>
                <c:pt idx="1574">
                  <c:v>749.49600551824926</c:v>
                </c:pt>
                <c:pt idx="1575">
                  <c:v>749.05518542721734</c:v>
                </c:pt>
                <c:pt idx="1576">
                  <c:v>752.1451518532923</c:v>
                </c:pt>
                <c:pt idx="1577">
                  <c:v>751.48529208220157</c:v>
                </c:pt>
                <c:pt idx="1578">
                  <c:v>751.59957601551207</c:v>
                </c:pt>
                <c:pt idx="1579">
                  <c:v>750.82747814119591</c:v>
                </c:pt>
                <c:pt idx="1580">
                  <c:v>749.89275452407264</c:v>
                </c:pt>
                <c:pt idx="1581">
                  <c:v>750.31723630436318</c:v>
                </c:pt>
                <c:pt idx="1582">
                  <c:v>750.58006686582542</c:v>
                </c:pt>
                <c:pt idx="1583">
                  <c:v>749.98118471029295</c:v>
                </c:pt>
                <c:pt idx="1584">
                  <c:v>750.08712367412841</c:v>
                </c:pt>
                <c:pt idx="1585">
                  <c:v>747.31661029542602</c:v>
                </c:pt>
                <c:pt idx="1586">
                  <c:v>747.25793762898707</c:v>
                </c:pt>
                <c:pt idx="1587">
                  <c:v>751.69194053980891</c:v>
                </c:pt>
                <c:pt idx="1588">
                  <c:v>751.5085292700536</c:v>
                </c:pt>
                <c:pt idx="1589">
                  <c:v>751.3097078452198</c:v>
                </c:pt>
                <c:pt idx="1590">
                  <c:v>750.09127067970655</c:v>
                </c:pt>
                <c:pt idx="1591">
                  <c:v>750.1020166718472</c:v>
                </c:pt>
                <c:pt idx="1592">
                  <c:v>749.80458126735471</c:v>
                </c:pt>
                <c:pt idx="1593">
                  <c:v>749.18719432170349</c:v>
                </c:pt>
                <c:pt idx="1594">
                  <c:v>748.77039230098785</c:v>
                </c:pt>
                <c:pt idx="1595">
                  <c:v>749.68651920715536</c:v>
                </c:pt>
                <c:pt idx="1596">
                  <c:v>748.99283574158267</c:v>
                </c:pt>
                <c:pt idx="1597">
                  <c:v>751.44763075299386</c:v>
                </c:pt>
                <c:pt idx="1598">
                  <c:v>750.99609989511305</c:v>
                </c:pt>
                <c:pt idx="1599">
                  <c:v>750.05071027697966</c:v>
                </c:pt>
                <c:pt idx="1600">
                  <c:v>747.96632168387441</c:v>
                </c:pt>
                <c:pt idx="1601">
                  <c:v>748.21969967235168</c:v>
                </c:pt>
                <c:pt idx="1602">
                  <c:v>749.01800467728856</c:v>
                </c:pt>
                <c:pt idx="1603">
                  <c:v>748.40257570008134</c:v>
                </c:pt>
                <c:pt idx="1604">
                  <c:v>747.04962364253322</c:v>
                </c:pt>
                <c:pt idx="1605">
                  <c:v>746.72188711570152</c:v>
                </c:pt>
                <c:pt idx="1606">
                  <c:v>747.36105127152018</c:v>
                </c:pt>
                <c:pt idx="1607">
                  <c:v>747.53091145205337</c:v>
                </c:pt>
                <c:pt idx="1608">
                  <c:v>744.89062310133011</c:v>
                </c:pt>
                <c:pt idx="1609">
                  <c:v>740.80062561625857</c:v>
                </c:pt>
                <c:pt idx="1610">
                  <c:v>739.71484813799032</c:v>
                </c:pt>
                <c:pt idx="1611">
                  <c:v>740.13592349072451</c:v>
                </c:pt>
                <c:pt idx="1612">
                  <c:v>736.24188755837235</c:v>
                </c:pt>
                <c:pt idx="1613">
                  <c:v>734.54763174845436</c:v>
                </c:pt>
                <c:pt idx="1614">
                  <c:v>732.32472986727828</c:v>
                </c:pt>
                <c:pt idx="1615">
                  <c:v>731.24387005659332</c:v>
                </c:pt>
                <c:pt idx="1616">
                  <c:v>742.80189592483555</c:v>
                </c:pt>
                <c:pt idx="1617">
                  <c:v>742.45945411014145</c:v>
                </c:pt>
                <c:pt idx="1618">
                  <c:v>741.54726692674251</c:v>
                </c:pt>
                <c:pt idx="1619">
                  <c:v>743.31754781577695</c:v>
                </c:pt>
                <c:pt idx="1620">
                  <c:v>742.57098759179075</c:v>
                </c:pt>
                <c:pt idx="1621">
                  <c:v>745.26196697374928</c:v>
                </c:pt>
                <c:pt idx="1622">
                  <c:v>744.0063423334766</c:v>
                </c:pt>
                <c:pt idx="1623">
                  <c:v>744.6667247081466</c:v>
                </c:pt>
                <c:pt idx="1624">
                  <c:v>744.67264408261087</c:v>
                </c:pt>
                <c:pt idx="1625">
                  <c:v>741.69189569548303</c:v>
                </c:pt>
                <c:pt idx="1626">
                  <c:v>741.32168040548754</c:v>
                </c:pt>
                <c:pt idx="1627">
                  <c:v>742.27455369098197</c:v>
                </c:pt>
                <c:pt idx="1628">
                  <c:v>740.91927901641918</c:v>
                </c:pt>
                <c:pt idx="1629">
                  <c:v>744.36601511290894</c:v>
                </c:pt>
                <c:pt idx="1630">
                  <c:v>744.9465337726939</c:v>
                </c:pt>
                <c:pt idx="1631">
                  <c:v>744.16830299302376</c:v>
                </c:pt>
                <c:pt idx="1632">
                  <c:v>743.80155083198053</c:v>
                </c:pt>
                <c:pt idx="1633">
                  <c:v>743.63183629761738</c:v>
                </c:pt>
                <c:pt idx="1634">
                  <c:v>743.14336054869534</c:v>
                </c:pt>
                <c:pt idx="1635">
                  <c:v>744.06046509229384</c:v>
                </c:pt>
                <c:pt idx="1636">
                  <c:v>744.11856745317402</c:v>
                </c:pt>
                <c:pt idx="1637">
                  <c:v>744.36490101490426</c:v>
                </c:pt>
                <c:pt idx="1638">
                  <c:v>748.52892616057363</c:v>
                </c:pt>
                <c:pt idx="1639">
                  <c:v>748.58001487011165</c:v>
                </c:pt>
                <c:pt idx="1640">
                  <c:v>748.48800658715311</c:v>
                </c:pt>
                <c:pt idx="1641">
                  <c:v>748.59941402669904</c:v>
                </c:pt>
                <c:pt idx="1642">
                  <c:v>747.95000511882438</c:v>
                </c:pt>
                <c:pt idx="1643">
                  <c:v>747.00277132879341</c:v>
                </c:pt>
                <c:pt idx="1644">
                  <c:v>746.39321359937253</c:v>
                </c:pt>
                <c:pt idx="1645">
                  <c:v>736.82395175144325</c:v>
                </c:pt>
                <c:pt idx="1646">
                  <c:v>726.52172827215873</c:v>
                </c:pt>
                <c:pt idx="1647">
                  <c:v>718.91804116792775</c:v>
                </c:pt>
                <c:pt idx="1648">
                  <c:v>714.67038054744626</c:v>
                </c:pt>
                <c:pt idx="1649">
                  <c:v>712.00173698436731</c:v>
                </c:pt>
                <c:pt idx="1650">
                  <c:v>715.61793887188833</c:v>
                </c:pt>
                <c:pt idx="1651">
                  <c:v>714.88281975312805</c:v>
                </c:pt>
                <c:pt idx="1652">
                  <c:v>711.68473281201386</c:v>
                </c:pt>
                <c:pt idx="1653">
                  <c:v>704.47671065617681</c:v>
                </c:pt>
                <c:pt idx="1654">
                  <c:v>705.09148907024439</c:v>
                </c:pt>
                <c:pt idx="1655">
                  <c:v>703.63981198716442</c:v>
                </c:pt>
                <c:pt idx="1656">
                  <c:v>703.79506757768524</c:v>
                </c:pt>
                <c:pt idx="1657">
                  <c:v>705.50206786499609</c:v>
                </c:pt>
                <c:pt idx="1658">
                  <c:v>705.13970279858484</c:v>
                </c:pt>
                <c:pt idx="1659">
                  <c:v>705.43255302802686</c:v>
                </c:pt>
                <c:pt idx="1660">
                  <c:v>704.34221169176556</c:v>
                </c:pt>
                <c:pt idx="1661">
                  <c:v>697.32764530537975</c:v>
                </c:pt>
                <c:pt idx="1662">
                  <c:v>687.70549439390891</c:v>
                </c:pt>
                <c:pt idx="1663">
                  <c:v>687.52448491112557</c:v>
                </c:pt>
                <c:pt idx="1664">
                  <c:v>691.05678217727746</c:v>
                </c:pt>
                <c:pt idx="1665">
                  <c:v>684.39462861156835</c:v>
                </c:pt>
                <c:pt idx="1666">
                  <c:v>683.50153531314606</c:v>
                </c:pt>
                <c:pt idx="1667">
                  <c:v>680.25638496224553</c:v>
                </c:pt>
                <c:pt idx="1668">
                  <c:v>680.42265119591798</c:v>
                </c:pt>
                <c:pt idx="1669">
                  <c:v>677.5491409699921</c:v>
                </c:pt>
                <c:pt idx="1670">
                  <c:v>693.71384059058551</c:v>
                </c:pt>
                <c:pt idx="1671">
                  <c:v>693.71384059058551</c:v>
                </c:pt>
                <c:pt idx="1672">
                  <c:v>693.71384059058551</c:v>
                </c:pt>
                <c:pt idx="1673">
                  <c:v>693.71384059058551</c:v>
                </c:pt>
                <c:pt idx="1674">
                  <c:v>688.09748338450629</c:v>
                </c:pt>
                <c:pt idx="1675">
                  <c:v>694.71331304326088</c:v>
                </c:pt>
                <c:pt idx="1676">
                  <c:v>696.48912473322423</c:v>
                </c:pt>
                <c:pt idx="1677">
                  <c:v>695.91223958283604</c:v>
                </c:pt>
                <c:pt idx="1678">
                  <c:v>697.77743703025499</c:v>
                </c:pt>
                <c:pt idx="1679">
                  <c:v>697.53931087589569</c:v>
                </c:pt>
                <c:pt idx="1680">
                  <c:v>693.52890995881353</c:v>
                </c:pt>
                <c:pt idx="1681">
                  <c:v>692.88920550268551</c:v>
                </c:pt>
                <c:pt idx="1682">
                  <c:v>695.12638315342133</c:v>
                </c:pt>
                <c:pt idx="1683">
                  <c:v>694.6853358941604</c:v>
                </c:pt>
                <c:pt idx="1684">
                  <c:v>693.94475054966369</c:v>
                </c:pt>
                <c:pt idx="1685">
                  <c:v>693.96610610530888</c:v>
                </c:pt>
                <c:pt idx="1686">
                  <c:v>701.63529985816638</c:v>
                </c:pt>
                <c:pt idx="1687">
                  <c:v>701.8876565475565</c:v>
                </c:pt>
                <c:pt idx="1688">
                  <c:v>700.99025749203417</c:v>
                </c:pt>
                <c:pt idx="1689">
                  <c:v>702.14407407678709</c:v>
                </c:pt>
                <c:pt idx="1690">
                  <c:v>702.18850869000232</c:v>
                </c:pt>
                <c:pt idx="1691">
                  <c:v>702.01587215054747</c:v>
                </c:pt>
                <c:pt idx="1692">
                  <c:v>701.1311550093094</c:v>
                </c:pt>
                <c:pt idx="1693">
                  <c:v>702.65577131487385</c:v>
                </c:pt>
                <c:pt idx="1694">
                  <c:v>702.40154206725572</c:v>
                </c:pt>
                <c:pt idx="1695">
                  <c:v>702.40880700624984</c:v>
                </c:pt>
                <c:pt idx="1696">
                  <c:v>702.47698955866315</c:v>
                </c:pt>
                <c:pt idx="1697">
                  <c:v>704.99039432250436</c:v>
                </c:pt>
                <c:pt idx="1698">
                  <c:v>703.33086120375151</c:v>
                </c:pt>
                <c:pt idx="1699">
                  <c:v>702.8001687244639</c:v>
                </c:pt>
                <c:pt idx="1700">
                  <c:v>697.06944836537616</c:v>
                </c:pt>
                <c:pt idx="1701">
                  <c:v>697.96341370298046</c:v>
                </c:pt>
                <c:pt idx="1702">
                  <c:v>688.84082549730351</c:v>
                </c:pt>
                <c:pt idx="1703">
                  <c:v>689.84280773225373</c:v>
                </c:pt>
                <c:pt idx="1704">
                  <c:v>690.3261282135968</c:v>
                </c:pt>
                <c:pt idx="1705">
                  <c:v>685.43164348265543</c:v>
                </c:pt>
                <c:pt idx="1706">
                  <c:v>688.62833076433049</c:v>
                </c:pt>
                <c:pt idx="1707">
                  <c:v>689.84015551469986</c:v>
                </c:pt>
                <c:pt idx="1708">
                  <c:v>690.08133346769728</c:v>
                </c:pt>
                <c:pt idx="1709">
                  <c:v>690.48742863533084</c:v>
                </c:pt>
                <c:pt idx="1710">
                  <c:v>674.25638239615375</c:v>
                </c:pt>
                <c:pt idx="1711">
                  <c:v>665.82125052864376</c:v>
                </c:pt>
                <c:pt idx="1712">
                  <c:v>659.52935189115658</c:v>
                </c:pt>
                <c:pt idx="1713">
                  <c:v>652.41579016314108</c:v>
                </c:pt>
                <c:pt idx="1714">
                  <c:v>652.41579016314108</c:v>
                </c:pt>
                <c:pt idx="1715">
                  <c:v>651.13723121192174</c:v>
                </c:pt>
                <c:pt idx="1716">
                  <c:v>649.82695111875842</c:v>
                </c:pt>
                <c:pt idx="1717">
                  <c:v>664.50049867143537</c:v>
                </c:pt>
                <c:pt idx="1718">
                  <c:v>664.12538224307832</c:v>
                </c:pt>
                <c:pt idx="1719">
                  <c:v>660.57577010014825</c:v>
                </c:pt>
                <c:pt idx="1720">
                  <c:v>662.36323208454905</c:v>
                </c:pt>
                <c:pt idx="1721">
                  <c:v>668.43874350969861</c:v>
                </c:pt>
                <c:pt idx="1722">
                  <c:v>664.06545550067119</c:v>
                </c:pt>
                <c:pt idx="1723">
                  <c:v>663.00386798979321</c:v>
                </c:pt>
                <c:pt idx="1724">
                  <c:v>655.66633559840977</c:v>
                </c:pt>
                <c:pt idx="1725">
                  <c:v>643.29833233469594</c:v>
                </c:pt>
                <c:pt idx="1726">
                  <c:v>639.95708055037323</c:v>
                </c:pt>
                <c:pt idx="1727">
                  <c:v>648.59183706502392</c:v>
                </c:pt>
                <c:pt idx="1728">
                  <c:v>640.97219518312625</c:v>
                </c:pt>
                <c:pt idx="1729">
                  <c:v>641.7504330898945</c:v>
                </c:pt>
                <c:pt idx="1730">
                  <c:v>646.80146965623703</c:v>
                </c:pt>
                <c:pt idx="1731">
                  <c:v>650.87211064174085</c:v>
                </c:pt>
                <c:pt idx="1732">
                  <c:v>647.75361014589555</c:v>
                </c:pt>
                <c:pt idx="1733">
                  <c:v>650.65609099813616</c:v>
                </c:pt>
                <c:pt idx="1734">
                  <c:v>650.02374176960768</c:v>
                </c:pt>
                <c:pt idx="1735">
                  <c:v>640.68811510496141</c:v>
                </c:pt>
                <c:pt idx="1736">
                  <c:v>645.1035907126485</c:v>
                </c:pt>
                <c:pt idx="1737">
                  <c:v>640.52319549495371</c:v>
                </c:pt>
                <c:pt idx="1738">
                  <c:v>636.9245330102566</c:v>
                </c:pt>
                <c:pt idx="1739">
                  <c:v>639.18610045166304</c:v>
                </c:pt>
                <c:pt idx="1740">
                  <c:v>642.7478988047161</c:v>
                </c:pt>
                <c:pt idx="1741">
                  <c:v>638.6463739421813</c:v>
                </c:pt>
                <c:pt idx="1742">
                  <c:v>635.82852559073376</c:v>
                </c:pt>
                <c:pt idx="1743">
                  <c:v>635.20214436899244</c:v>
                </c:pt>
                <c:pt idx="1744">
                  <c:v>638.28791951512449</c:v>
                </c:pt>
                <c:pt idx="1745">
                  <c:v>671.78038187067943</c:v>
                </c:pt>
                <c:pt idx="1746">
                  <c:v>677.44653160908354</c:v>
                </c:pt>
                <c:pt idx="1747">
                  <c:v>680.09124171831536</c:v>
                </c:pt>
                <c:pt idx="1748">
                  <c:v>683.71539747308702</c:v>
                </c:pt>
                <c:pt idx="1749">
                  <c:v>711.72834983076768</c:v>
                </c:pt>
                <c:pt idx="1750">
                  <c:v>704.73591931755186</c:v>
                </c:pt>
                <c:pt idx="1751">
                  <c:v>706.41982587021471</c:v>
                </c:pt>
                <c:pt idx="1752">
                  <c:v>705.42636043303628</c:v>
                </c:pt>
                <c:pt idx="1753">
                  <c:v>679.89294586760468</c:v>
                </c:pt>
                <c:pt idx="1754">
                  <c:v>681.56514349109864</c:v>
                </c:pt>
                <c:pt idx="1755">
                  <c:v>683.87543029570566</c:v>
                </c:pt>
                <c:pt idx="1756">
                  <c:v>683.90794806640235</c:v>
                </c:pt>
                <c:pt idx="1757">
                  <c:v>681.69703070053095</c:v>
                </c:pt>
                <c:pt idx="1758">
                  <c:v>681.32939038235315</c:v>
                </c:pt>
                <c:pt idx="1759">
                  <c:v>680.97668560716261</c:v>
                </c:pt>
                <c:pt idx="1760">
                  <c:v>682.76929759902998</c:v>
                </c:pt>
                <c:pt idx="1761">
                  <c:v>682.66118471545656</c:v>
                </c:pt>
                <c:pt idx="1762">
                  <c:v>671.98731378687648</c:v>
                </c:pt>
                <c:pt idx="1763">
                  <c:v>671.03739395714376</c:v>
                </c:pt>
                <c:pt idx="1764">
                  <c:v>672.27929845122651</c:v>
                </c:pt>
                <c:pt idx="1765">
                  <c:v>675.8480998568059</c:v>
                </c:pt>
                <c:pt idx="1766">
                  <c:v>675.27478990459269</c:v>
                </c:pt>
                <c:pt idx="1767">
                  <c:v>678.08816307513405</c:v>
                </c:pt>
                <c:pt idx="1768">
                  <c:v>679.13937569150301</c:v>
                </c:pt>
                <c:pt idx="1769">
                  <c:v>677.64107018124719</c:v>
                </c:pt>
                <c:pt idx="1770">
                  <c:v>677.94948933690034</c:v>
                </c:pt>
                <c:pt idx="1771">
                  <c:v>677.54551805741778</c:v>
                </c:pt>
                <c:pt idx="1772">
                  <c:v>685.00281452590445</c:v>
                </c:pt>
                <c:pt idx="1773">
                  <c:v>685.55724067905044</c:v>
                </c:pt>
                <c:pt idx="1774">
                  <c:v>684.39272576183066</c:v>
                </c:pt>
                <c:pt idx="1775">
                  <c:v>682.06182148281277</c:v>
                </c:pt>
                <c:pt idx="1776">
                  <c:v>682.19461593976041</c:v>
                </c:pt>
                <c:pt idx="1777">
                  <c:v>684.15194068907613</c:v>
                </c:pt>
                <c:pt idx="1778">
                  <c:v>689.12265744092463</c:v>
                </c:pt>
                <c:pt idx="1779">
                  <c:v>693.81957758846204</c:v>
                </c:pt>
                <c:pt idx="1780">
                  <c:v>691.58088977554587</c:v>
                </c:pt>
                <c:pt idx="1781">
                  <c:v>692.77245663421024</c:v>
                </c:pt>
                <c:pt idx="1782">
                  <c:v>717.38955197141036</c:v>
                </c:pt>
                <c:pt idx="1783">
                  <c:v>727.52949103050571</c:v>
                </c:pt>
                <c:pt idx="1784">
                  <c:v>722.73558564723089</c:v>
                </c:pt>
                <c:pt idx="1785">
                  <c:v>725.38590581984681</c:v>
                </c:pt>
                <c:pt idx="1786">
                  <c:v>729.97517387697269</c:v>
                </c:pt>
                <c:pt idx="1787">
                  <c:v>730.69853964588208</c:v>
                </c:pt>
                <c:pt idx="1788">
                  <c:v>726.04608204575288</c:v>
                </c:pt>
                <c:pt idx="1789">
                  <c:v>726.24189536665256</c:v>
                </c:pt>
                <c:pt idx="1790">
                  <c:v>723.84058523522833</c:v>
                </c:pt>
                <c:pt idx="1791">
                  <c:v>714.01975970204956</c:v>
                </c:pt>
                <c:pt idx="1792">
                  <c:v>715.07621857085076</c:v>
                </c:pt>
                <c:pt idx="1793">
                  <c:v>721.76815049939569</c:v>
                </c:pt>
                <c:pt idx="1794">
                  <c:v>752.15925790084816</c:v>
                </c:pt>
                <c:pt idx="1795">
                  <c:v>744.68750752284905</c:v>
                </c:pt>
                <c:pt idx="1796">
                  <c:v>750.53087845239418</c:v>
                </c:pt>
                <c:pt idx="1797">
                  <c:v>763.16504716807185</c:v>
                </c:pt>
                <c:pt idx="1798">
                  <c:v>805.81214653498432</c:v>
                </c:pt>
                <c:pt idx="1799">
                  <c:v>806.21695203186209</c:v>
                </c:pt>
                <c:pt idx="1800">
                  <c:v>837.56424749492703</c:v>
                </c:pt>
                <c:pt idx="1801">
                  <c:v>852.31927656773121</c:v>
                </c:pt>
                <c:pt idx="1802">
                  <c:v>833.23796388081814</c:v>
                </c:pt>
                <c:pt idx="1803">
                  <c:v>870.44834345316679</c:v>
                </c:pt>
                <c:pt idx="1804">
                  <c:v>869.17478979289774</c:v>
                </c:pt>
                <c:pt idx="1805">
                  <c:v>891.93450842541051</c:v>
                </c:pt>
                <c:pt idx="1806">
                  <c:v>832.95860213805759</c:v>
                </c:pt>
                <c:pt idx="1807">
                  <c:v>831.99788097622957</c:v>
                </c:pt>
                <c:pt idx="1808">
                  <c:v>837.13869954147083</c:v>
                </c:pt>
                <c:pt idx="1809">
                  <c:v>827.41362863103177</c:v>
                </c:pt>
                <c:pt idx="1810">
                  <c:v>828.38474906245722</c:v>
                </c:pt>
                <c:pt idx="1811">
                  <c:v>853.82945110609285</c:v>
                </c:pt>
                <c:pt idx="1812">
                  <c:v>821.23271712271855</c:v>
                </c:pt>
                <c:pt idx="1813">
                  <c:v>819.84500965634345</c:v>
                </c:pt>
                <c:pt idx="1814">
                  <c:v>809.28289449284443</c:v>
                </c:pt>
                <c:pt idx="1815">
                  <c:v>797.5891411403727</c:v>
                </c:pt>
                <c:pt idx="1816">
                  <c:v>802.56951321666372</c:v>
                </c:pt>
                <c:pt idx="1817">
                  <c:v>809.71067954165687</c:v>
                </c:pt>
                <c:pt idx="1818">
                  <c:v>815.84989866673095</c:v>
                </c:pt>
                <c:pt idx="1819">
                  <c:v>856.61443192993795</c:v>
                </c:pt>
                <c:pt idx="1820">
                  <c:v>874.74998821012969</c:v>
                </c:pt>
                <c:pt idx="1821">
                  <c:v>870.04915715170478</c:v>
                </c:pt>
                <c:pt idx="1822">
                  <c:v>876.72157435421309</c:v>
                </c:pt>
                <c:pt idx="1823">
                  <c:v>841.38670850225947</c:v>
                </c:pt>
                <c:pt idx="1824">
                  <c:v>849.26853477073223</c:v>
                </c:pt>
                <c:pt idx="1825">
                  <c:v>852.65317686223852</c:v>
                </c:pt>
                <c:pt idx="1826">
                  <c:v>848.91082733396263</c:v>
                </c:pt>
                <c:pt idx="1827">
                  <c:v>845.16414157428721</c:v>
                </c:pt>
                <c:pt idx="1828">
                  <c:v>840.72828825124077</c:v>
                </c:pt>
                <c:pt idx="1829">
                  <c:v>843.21722186129875</c:v>
                </c:pt>
                <c:pt idx="1830">
                  <c:v>843.22369643962566</c:v>
                </c:pt>
                <c:pt idx="1831">
                  <c:v>842.66032693435398</c:v>
                </c:pt>
                <c:pt idx="1832">
                  <c:v>856.4598713227374</c:v>
                </c:pt>
                <c:pt idx="1833">
                  <c:v>867.75746831408492</c:v>
                </c:pt>
                <c:pt idx="1834">
                  <c:v>905.71167648421113</c:v>
                </c:pt>
                <c:pt idx="1835">
                  <c:v>896.69649548009022</c:v>
                </c:pt>
                <c:pt idx="1836">
                  <c:v>899.23893751045705</c:v>
                </c:pt>
                <c:pt idx="1837">
                  <c:v>865.8829351201905</c:v>
                </c:pt>
                <c:pt idx="1838">
                  <c:v>879.94888673549576</c:v>
                </c:pt>
                <c:pt idx="1839">
                  <c:v>883.36815185270439</c:v>
                </c:pt>
                <c:pt idx="1840">
                  <c:v>893.77785365710179</c:v>
                </c:pt>
                <c:pt idx="1841">
                  <c:v>894.58114380895108</c:v>
                </c:pt>
                <c:pt idx="1842">
                  <c:v>898.27718066672855</c:v>
                </c:pt>
                <c:pt idx="1843">
                  <c:v>885.9161384781404</c:v>
                </c:pt>
                <c:pt idx="1844">
                  <c:v>904.72532615095372</c:v>
                </c:pt>
                <c:pt idx="1845">
                  <c:v>907.23791820854967</c:v>
                </c:pt>
                <c:pt idx="1846">
                  <c:v>907.30778696804271</c:v>
                </c:pt>
                <c:pt idx="1847">
                  <c:v>903.65561969324244</c:v>
                </c:pt>
                <c:pt idx="1848">
                  <c:v>911.66881907389427</c:v>
                </c:pt>
                <c:pt idx="1849">
                  <c:v>923.49427628122885</c:v>
                </c:pt>
                <c:pt idx="1850">
                  <c:v>924.85328859441643</c:v>
                </c:pt>
                <c:pt idx="1851">
                  <c:v>926.51153698286146</c:v>
                </c:pt>
                <c:pt idx="1852">
                  <c:v>929.52656103435936</c:v>
                </c:pt>
                <c:pt idx="1853">
                  <c:v>962.03133554433055</c:v>
                </c:pt>
                <c:pt idx="1854">
                  <c:v>1065.0455359053799</c:v>
                </c:pt>
                <c:pt idx="1855">
                  <c:v>1181.033165639921</c:v>
                </c:pt>
                <c:pt idx="1856">
                  <c:v>1126.7113339215832</c:v>
                </c:pt>
                <c:pt idx="1857">
                  <c:v>1093.4856449697952</c:v>
                </c:pt>
                <c:pt idx="1858">
                  <c:v>1119.2503698620412</c:v>
                </c:pt>
                <c:pt idx="1859">
                  <c:v>1186.5568811173398</c:v>
                </c:pt>
                <c:pt idx="1860">
                  <c:v>1258.4271684714206</c:v>
                </c:pt>
                <c:pt idx="1861">
                  <c:v>1291.1084283309874</c:v>
                </c:pt>
                <c:pt idx="1862">
                  <c:v>1231.3553863709567</c:v>
                </c:pt>
                <c:pt idx="1863">
                  <c:v>1235.7665181126397</c:v>
                </c:pt>
                <c:pt idx="1864">
                  <c:v>1269.3325007483047</c:v>
                </c:pt>
                <c:pt idx="1865">
                  <c:v>1402.919274562395</c:v>
                </c:pt>
                <c:pt idx="1866">
                  <c:v>1414.8610637762049</c:v>
                </c:pt>
                <c:pt idx="1867">
                  <c:v>1597.8425618392491</c:v>
                </c:pt>
                <c:pt idx="1868">
                  <c:v>1402.1580702033459</c:v>
                </c:pt>
                <c:pt idx="1869">
                  <c:v>1380.5030318568533</c:v>
                </c:pt>
                <c:pt idx="1870">
                  <c:v>1380.5030318568533</c:v>
                </c:pt>
                <c:pt idx="1871">
                  <c:v>1380.6387191830829</c:v>
                </c:pt>
                <c:pt idx="1872">
                  <c:v>1376.2961924422386</c:v>
                </c:pt>
                <c:pt idx="1873">
                  <c:v>1377.7252308264665</c:v>
                </c:pt>
                <c:pt idx="1874">
                  <c:v>1295.119725072147</c:v>
                </c:pt>
                <c:pt idx="1875">
                  <c:v>1295.119725072147</c:v>
                </c:pt>
                <c:pt idx="1876">
                  <c:v>1295.119725072147</c:v>
                </c:pt>
                <c:pt idx="1877">
                  <c:v>1352.9615663445004</c:v>
                </c:pt>
                <c:pt idx="1878">
                  <c:v>1321.2875749932994</c:v>
                </c:pt>
                <c:pt idx="1879">
                  <c:v>1330.0741100232844</c:v>
                </c:pt>
                <c:pt idx="1880">
                  <c:v>1463.6301507760622</c:v>
                </c:pt>
                <c:pt idx="1881">
                  <c:v>1500.3037751180334</c:v>
                </c:pt>
                <c:pt idx="1882">
                  <c:v>1476.6556990101196</c:v>
                </c:pt>
                <c:pt idx="1883">
                  <c:v>1478.918179546062</c:v>
                </c:pt>
                <c:pt idx="1884">
                  <c:v>1559.665722494545</c:v>
                </c:pt>
                <c:pt idx="1885">
                  <c:v>1511.5596256158419</c:v>
                </c:pt>
                <c:pt idx="1886">
                  <c:v>1541.5555173243754</c:v>
                </c:pt>
                <c:pt idx="1887">
                  <c:v>1497.8142389322729</c:v>
                </c:pt>
                <c:pt idx="1888">
                  <c:v>1483.3787441167858</c:v>
                </c:pt>
                <c:pt idx="1889">
                  <c:v>1495.8356475645226</c:v>
                </c:pt>
                <c:pt idx="1890">
                  <c:v>1521.8267178869976</c:v>
                </c:pt>
                <c:pt idx="1891">
                  <c:v>1528.9127195978181</c:v>
                </c:pt>
                <c:pt idx="1892">
                  <c:v>1527.760105122459</c:v>
                </c:pt>
                <c:pt idx="1893">
                  <c:v>1524.2468473844071</c:v>
                </c:pt>
                <c:pt idx="1894">
                  <c:v>1612.5156695588864</c:v>
                </c:pt>
                <c:pt idx="1895">
                  <c:v>1667.9719431978001</c:v>
                </c:pt>
                <c:pt idx="1896">
                  <c:v>1738.0903478433806</c:v>
                </c:pt>
                <c:pt idx="1897">
                  <c:v>1811.0024991356941</c:v>
                </c:pt>
                <c:pt idx="1898">
                  <c:v>1829.9086636414995</c:v>
                </c:pt>
                <c:pt idx="1899">
                  <c:v>1836.6461353330387</c:v>
                </c:pt>
                <c:pt idx="1900">
                  <c:v>1877.3296985981224</c:v>
                </c:pt>
                <c:pt idx="1901">
                  <c:v>1941.1540986277741</c:v>
                </c:pt>
                <c:pt idx="1902">
                  <c:v>1915.9311941132307</c:v>
                </c:pt>
                <c:pt idx="1903">
                  <c:v>1714.6231043829171</c:v>
                </c:pt>
                <c:pt idx="1904">
                  <c:v>1714.6231043829171</c:v>
                </c:pt>
                <c:pt idx="1905">
                  <c:v>1714.6231043829171</c:v>
                </c:pt>
                <c:pt idx="1906">
                  <c:v>1709.3441841226072</c:v>
                </c:pt>
                <c:pt idx="1907">
                  <c:v>1695.5734890890096</c:v>
                </c:pt>
                <c:pt idx="1908">
                  <c:v>1709.5874436212314</c:v>
                </c:pt>
                <c:pt idx="1909">
                  <c:v>1717.1974220150798</c:v>
                </c:pt>
                <c:pt idx="1910">
                  <c:v>1746.5010788516756</c:v>
                </c:pt>
                <c:pt idx="1911">
                  <c:v>1810.1099060192857</c:v>
                </c:pt>
                <c:pt idx="1912">
                  <c:v>1857.8608466547303</c:v>
                </c:pt>
                <c:pt idx="1913">
                  <c:v>1821.444751183662</c:v>
                </c:pt>
                <c:pt idx="1914">
                  <c:v>1854.4209287849962</c:v>
                </c:pt>
                <c:pt idx="1915">
                  <c:v>2005.9122392310589</c:v>
                </c:pt>
                <c:pt idx="1916">
                  <c:v>2039.4053892615257</c:v>
                </c:pt>
                <c:pt idx="1917">
                  <c:v>2145.834841323971</c:v>
                </c:pt>
                <c:pt idx="1918">
                  <c:v>2270.6790044219083</c:v>
                </c:pt>
                <c:pt idx="1919">
                  <c:v>2219.7593318373206</c:v>
                </c:pt>
                <c:pt idx="1920">
                  <c:v>2201.4713790327251</c:v>
                </c:pt>
                <c:pt idx="1921">
                  <c:v>2226.1511734825126</c:v>
                </c:pt>
                <c:pt idx="1922">
                  <c:v>2262.3953347387805</c:v>
                </c:pt>
                <c:pt idx="1923">
                  <c:v>2364.845806208888</c:v>
                </c:pt>
                <c:pt idx="1924">
                  <c:v>2454.5686629130305</c:v>
                </c:pt>
                <c:pt idx="1925">
                  <c:v>2609.6061259320536</c:v>
                </c:pt>
                <c:pt idx="1926">
                  <c:v>2618.3133865584077</c:v>
                </c:pt>
                <c:pt idx="1927">
                  <c:v>2559.8120267849094</c:v>
                </c:pt>
                <c:pt idx="1928">
                  <c:v>2613.2148497118424</c:v>
                </c:pt>
                <c:pt idx="1929">
                  <c:v>2432.3706840270238</c:v>
                </c:pt>
                <c:pt idx="1930">
                  <c:v>2389.1769165405285</c:v>
                </c:pt>
                <c:pt idx="1931">
                  <c:v>2354.0569787095083</c:v>
                </c:pt>
                <c:pt idx="1932">
                  <c:v>2407.258794260269</c:v>
                </c:pt>
                <c:pt idx="1933">
                  <c:v>2238.8074805236415</c:v>
                </c:pt>
                <c:pt idx="1934">
                  <c:v>2226.099802040299</c:v>
                </c:pt>
                <c:pt idx="1935">
                  <c:v>2287.4215465983848</c:v>
                </c:pt>
                <c:pt idx="1936">
                  <c:v>2303.2218797284504</c:v>
                </c:pt>
                <c:pt idx="1937">
                  <c:v>2351.7391371881436</c:v>
                </c:pt>
                <c:pt idx="1938">
                  <c:v>2252.45356458678</c:v>
                </c:pt>
                <c:pt idx="1939">
                  <c:v>2116.4120795846429</c:v>
                </c:pt>
                <c:pt idx="1940">
                  <c:v>2072.1631106550813</c:v>
                </c:pt>
                <c:pt idx="1941">
                  <c:v>2072.1631106550813</c:v>
                </c:pt>
                <c:pt idx="1942">
                  <c:v>2072.1631106550813</c:v>
                </c:pt>
                <c:pt idx="1943">
                  <c:v>2176.092810486537</c:v>
                </c:pt>
                <c:pt idx="1944">
                  <c:v>1990.710407611522</c:v>
                </c:pt>
                <c:pt idx="1945">
                  <c:v>2002.8264305503646</c:v>
                </c:pt>
                <c:pt idx="1946">
                  <c:v>1894.9157770401823</c:v>
                </c:pt>
                <c:pt idx="1947">
                  <c:v>1894.9157770401823</c:v>
                </c:pt>
                <c:pt idx="1948">
                  <c:v>1894.9157770401823</c:v>
                </c:pt>
                <c:pt idx="1949">
                  <c:v>1970.6908760500453</c:v>
                </c:pt>
                <c:pt idx="1950">
                  <c:v>2071.0730748223032</c:v>
                </c:pt>
                <c:pt idx="1951">
                  <c:v>2013.2297506354428</c:v>
                </c:pt>
                <c:pt idx="1952">
                  <c:v>1959.5301693815659</c:v>
                </c:pt>
                <c:pt idx="1953">
                  <c:v>1990.6873683154238</c:v>
                </c:pt>
                <c:pt idx="1954">
                  <c:v>2102.2690502378437</c:v>
                </c:pt>
                <c:pt idx="1955">
                  <c:v>2106.3148954695698</c:v>
                </c:pt>
                <c:pt idx="1956">
                  <c:v>2263.0976962599871</c:v>
                </c:pt>
                <c:pt idx="1957">
                  <c:v>2275.3389613869867</c:v>
                </c:pt>
                <c:pt idx="1958">
                  <c:v>2238.3527701635917</c:v>
                </c:pt>
                <c:pt idx="1959">
                  <c:v>2329.4001250290157</c:v>
                </c:pt>
                <c:pt idx="1960">
                  <c:v>2409.4127430169156</c:v>
                </c:pt>
                <c:pt idx="1961">
                  <c:v>2445.9953377242327</c:v>
                </c:pt>
                <c:pt idx="1962">
                  <c:v>2422.0503391069465</c:v>
                </c:pt>
                <c:pt idx="1963">
                  <c:v>2455.4289439853173</c:v>
                </c:pt>
                <c:pt idx="1964">
                  <c:v>2487.4241776908875</c:v>
                </c:pt>
                <c:pt idx="1965">
                  <c:v>2504.3490246141851</c:v>
                </c:pt>
                <c:pt idx="1966">
                  <c:v>2426.4040014040829</c:v>
                </c:pt>
                <c:pt idx="1967">
                  <c:v>2393.8840900578653</c:v>
                </c:pt>
                <c:pt idx="1968">
                  <c:v>2435.0162417423062</c:v>
                </c:pt>
                <c:pt idx="1969">
                  <c:v>2403.8977225207195</c:v>
                </c:pt>
                <c:pt idx="1970">
                  <c:v>2396.2137942370587</c:v>
                </c:pt>
                <c:pt idx="1971">
                  <c:v>2502.7292719934162</c:v>
                </c:pt>
                <c:pt idx="1972">
                  <c:v>2485.3840168538172</c:v>
                </c:pt>
                <c:pt idx="1973">
                  <c:v>2519.9261301793977</c:v>
                </c:pt>
                <c:pt idx="1974">
                  <c:v>2537.1271572490127</c:v>
                </c:pt>
                <c:pt idx="1975">
                  <c:v>2483.4218098812271</c:v>
                </c:pt>
                <c:pt idx="1976">
                  <c:v>2516.3573343465855</c:v>
                </c:pt>
                <c:pt idx="1977">
                  <c:v>2533.3396263844511</c:v>
                </c:pt>
                <c:pt idx="1978">
                  <c:v>2667.9545988442655</c:v>
                </c:pt>
                <c:pt idx="1979">
                  <c:v>2752.2052083188796</c:v>
                </c:pt>
                <c:pt idx="1980">
                  <c:v>2848.2588259819058</c:v>
                </c:pt>
                <c:pt idx="1981">
                  <c:v>2883.4912241479992</c:v>
                </c:pt>
                <c:pt idx="1982">
                  <c:v>2909.785224587175</c:v>
                </c:pt>
                <c:pt idx="1983">
                  <c:v>2914.0158377054854</c:v>
                </c:pt>
                <c:pt idx="1984">
                  <c:v>3193.261211048311</c:v>
                </c:pt>
                <c:pt idx="1985">
                  <c:v>3570.3286976331847</c:v>
                </c:pt>
                <c:pt idx="1986">
                  <c:v>3540.2352189551016</c:v>
                </c:pt>
                <c:pt idx="1987">
                  <c:v>3975.4266708657528</c:v>
                </c:pt>
                <c:pt idx="1988">
                  <c:v>4233.640324697054</c:v>
                </c:pt>
                <c:pt idx="1989">
                  <c:v>4020.1596745313777</c:v>
                </c:pt>
                <c:pt idx="1990">
                  <c:v>4012.4911020742957</c:v>
                </c:pt>
                <c:pt idx="1991">
                  <c:v>4304.0961363487086</c:v>
                </c:pt>
                <c:pt idx="1992">
                  <c:v>5032.212635080682</c:v>
                </c:pt>
                <c:pt idx="1993">
                  <c:v>4852.8301282544162</c:v>
                </c:pt>
                <c:pt idx="1994">
                  <c:v>5214.8416897894931</c:v>
                </c:pt>
                <c:pt idx="1995">
                  <c:v>4847.81383566773</c:v>
                </c:pt>
                <c:pt idx="1996">
                  <c:v>4792.786702069915</c:v>
                </c:pt>
                <c:pt idx="1997">
                  <c:v>4898.9582148056397</c:v>
                </c:pt>
                <c:pt idx="1998">
                  <c:v>4636.4440386907063</c:v>
                </c:pt>
                <c:pt idx="1999">
                  <c:v>4621.9261059167193</c:v>
                </c:pt>
                <c:pt idx="2000">
                  <c:v>4771.017715474788</c:v>
                </c:pt>
                <c:pt idx="2001">
                  <c:v>4809.9923175790391</c:v>
                </c:pt>
                <c:pt idx="2002">
                  <c:v>5577.3037872744271</c:v>
                </c:pt>
                <c:pt idx="2003">
                  <c:v>5745.2199803077938</c:v>
                </c:pt>
                <c:pt idx="2004">
                  <c:v>6240.6798094143178</c:v>
                </c:pt>
                <c:pt idx="2005">
                  <c:v>7298.6678751989848</c:v>
                </c:pt>
                <c:pt idx="2006">
                  <c:v>7439.7908332510642</c:v>
                </c:pt>
                <c:pt idx="2007">
                  <c:v>8629.9399160578414</c:v>
                </c:pt>
                <c:pt idx="2008">
                  <c:v>10948.18753301104</c:v>
                </c:pt>
                <c:pt idx="2009">
                  <c:v>7807.6801056946233</c:v>
                </c:pt>
                <c:pt idx="2010">
                  <c:v>7807.6801056946233</c:v>
                </c:pt>
                <c:pt idx="2011">
                  <c:v>7807.6801056946233</c:v>
                </c:pt>
                <c:pt idx="2012">
                  <c:v>7750.7795070124839</c:v>
                </c:pt>
                <c:pt idx="2013">
                  <c:v>8232.0229091976871</c:v>
                </c:pt>
                <c:pt idx="2014">
                  <c:v>7860.7861244983351</c:v>
                </c:pt>
                <c:pt idx="2015">
                  <c:v>8952.9975522192308</c:v>
                </c:pt>
                <c:pt idx="2016">
                  <c:v>8750.6804907162423</c:v>
                </c:pt>
                <c:pt idx="2017">
                  <c:v>9544.9127501670628</c:v>
                </c:pt>
                <c:pt idx="2018">
                  <c:v>9567.3521454130878</c:v>
                </c:pt>
                <c:pt idx="2019">
                  <c:v>9945.5237692935498</c:v>
                </c:pt>
                <c:pt idx="2020">
                  <c:v>12214.109346959325</c:v>
                </c:pt>
                <c:pt idx="2021">
                  <c:v>12043.045056503806</c:v>
                </c:pt>
                <c:pt idx="2022">
                  <c:v>11243.275517324766</c:v>
                </c:pt>
                <c:pt idx="2023">
                  <c:v>11746.06904738971</c:v>
                </c:pt>
                <c:pt idx="2024">
                  <c:v>11838.817494547031</c:v>
                </c:pt>
                <c:pt idx="2025">
                  <c:v>12147.776423877716</c:v>
                </c:pt>
                <c:pt idx="2026">
                  <c:v>10770.412222122093</c:v>
                </c:pt>
                <c:pt idx="2027">
                  <c:v>10702.756427172517</c:v>
                </c:pt>
                <c:pt idx="2028">
                  <c:v>10596.738600519129</c:v>
                </c:pt>
                <c:pt idx="2029">
                  <c:v>10353.18723638735</c:v>
                </c:pt>
                <c:pt idx="2030">
                  <c:v>10353.18723638735</c:v>
                </c:pt>
                <c:pt idx="2031">
                  <c:v>11265.512704713095</c:v>
                </c:pt>
                <c:pt idx="2032">
                  <c:v>11067.920511080327</c:v>
                </c:pt>
                <c:pt idx="2033">
                  <c:v>11136.328701236076</c:v>
                </c:pt>
                <c:pt idx="2034">
                  <c:v>11754.730981014523</c:v>
                </c:pt>
                <c:pt idx="2035">
                  <c:v>12219.696971315074</c:v>
                </c:pt>
                <c:pt idx="2036">
                  <c:v>12266.153881318929</c:v>
                </c:pt>
                <c:pt idx="2037">
                  <c:v>12686.505026060648</c:v>
                </c:pt>
                <c:pt idx="2038">
                  <c:v>12035.797049156401</c:v>
                </c:pt>
                <c:pt idx="2039">
                  <c:v>11726.435690606797</c:v>
                </c:pt>
                <c:pt idx="2040">
                  <c:v>11212.021399449288</c:v>
                </c:pt>
                <c:pt idx="2041">
                  <c:v>11184.269700769555</c:v>
                </c:pt>
                <c:pt idx="2042">
                  <c:v>11217.277849394794</c:v>
                </c:pt>
                <c:pt idx="2043">
                  <c:v>11196.180411809642</c:v>
                </c:pt>
                <c:pt idx="2044">
                  <c:v>11276.511362714142</c:v>
                </c:pt>
                <c:pt idx="2045">
                  <c:v>10969.9733448771</c:v>
                </c:pt>
                <c:pt idx="2046">
                  <c:v>10625.98977697961</c:v>
                </c:pt>
                <c:pt idx="2047">
                  <c:v>10885.894287077705</c:v>
                </c:pt>
                <c:pt idx="2048">
                  <c:v>11608.441389982692</c:v>
                </c:pt>
                <c:pt idx="2049">
                  <c:v>11125.40734324293</c:v>
                </c:pt>
                <c:pt idx="2050">
                  <c:v>11299.492458144177</c:v>
                </c:pt>
                <c:pt idx="2051">
                  <c:v>10981.943214399747</c:v>
                </c:pt>
                <c:pt idx="2052">
                  <c:v>10836.265275933818</c:v>
                </c:pt>
                <c:pt idx="2053">
                  <c:v>11132.559285357624</c:v>
                </c:pt>
                <c:pt idx="2054">
                  <c:v>10237.051711077698</c:v>
                </c:pt>
                <c:pt idx="2055">
                  <c:v>10023.942200982267</c:v>
                </c:pt>
                <c:pt idx="2056">
                  <c:v>9992.6590270182587</c:v>
                </c:pt>
                <c:pt idx="2057">
                  <c:v>10017.735757432012</c:v>
                </c:pt>
                <c:pt idx="2058">
                  <c:v>9938.601218250189</c:v>
                </c:pt>
                <c:pt idx="2059">
                  <c:v>9674.1154976663493</c:v>
                </c:pt>
                <c:pt idx="2060">
                  <c:v>9655.8409454058019</c:v>
                </c:pt>
                <c:pt idx="2061">
                  <c:v>9655.8409454058019</c:v>
                </c:pt>
                <c:pt idx="2062">
                  <c:v>9655.8409454058019</c:v>
                </c:pt>
                <c:pt idx="2063">
                  <c:v>11143.704137624698</c:v>
                </c:pt>
                <c:pt idx="2064">
                  <c:v>10756.164165122535</c:v>
                </c:pt>
                <c:pt idx="2065">
                  <c:v>13433.098291765917</c:v>
                </c:pt>
                <c:pt idx="2066">
                  <c:v>12659.494275253004</c:v>
                </c:pt>
                <c:pt idx="2067">
                  <c:v>13510.624496438339</c:v>
                </c:pt>
                <c:pt idx="2068">
                  <c:v>12969.344744619886</c:v>
                </c:pt>
                <c:pt idx="2069">
                  <c:v>13057.708733444802</c:v>
                </c:pt>
                <c:pt idx="2070">
                  <c:v>12047.165875527049</c:v>
                </c:pt>
                <c:pt idx="2071">
                  <c:v>12009.76844547608</c:v>
                </c:pt>
                <c:pt idx="2072">
                  <c:v>12098.603121999346</c:v>
                </c:pt>
                <c:pt idx="2073">
                  <c:v>12708.542127059489</c:v>
                </c:pt>
                <c:pt idx="2074">
                  <c:v>12000.832233000385</c:v>
                </c:pt>
                <c:pt idx="2075">
                  <c:v>12173.498933608409</c:v>
                </c:pt>
                <c:pt idx="2076">
                  <c:v>12798.392152237204</c:v>
                </c:pt>
                <c:pt idx="2077">
                  <c:v>11681.392957853974</c:v>
                </c:pt>
                <c:pt idx="2078">
                  <c:v>11704.7482966731</c:v>
                </c:pt>
                <c:pt idx="2079">
                  <c:v>11900.086771599021</c:v>
                </c:pt>
                <c:pt idx="2080">
                  <c:v>12284.248086257829</c:v>
                </c:pt>
                <c:pt idx="2081">
                  <c:v>15264.488083853343</c:v>
                </c:pt>
                <c:pt idx="2082">
                  <c:v>14747.728958181766</c:v>
                </c:pt>
                <c:pt idx="2083">
                  <c:v>15596.899378141818</c:v>
                </c:pt>
                <c:pt idx="2084">
                  <c:v>16065.139211373335</c:v>
                </c:pt>
                <c:pt idx="2085">
                  <c:v>15534.805850173358</c:v>
                </c:pt>
                <c:pt idx="2086">
                  <c:v>15984.488331606839</c:v>
                </c:pt>
                <c:pt idx="2087">
                  <c:v>17978.887675959566</c:v>
                </c:pt>
                <c:pt idx="2088">
                  <c:v>20754.70462731189</c:v>
                </c:pt>
                <c:pt idx="2089">
                  <c:v>22007.553976700961</c:v>
                </c:pt>
                <c:pt idx="2090">
                  <c:v>25074.195033770739</c:v>
                </c:pt>
                <c:pt idx="2091">
                  <c:v>23057.802881861047</c:v>
                </c:pt>
                <c:pt idx="2092">
                  <c:v>23764.570433646844</c:v>
                </c:pt>
                <c:pt idx="2093">
                  <c:v>23514.378379533933</c:v>
                </c:pt>
                <c:pt idx="2094">
                  <c:v>22212.428258106276</c:v>
                </c:pt>
                <c:pt idx="2095">
                  <c:v>21862.391152705135</c:v>
                </c:pt>
                <c:pt idx="2096">
                  <c:v>21821.189452966944</c:v>
                </c:pt>
                <c:pt idx="2097">
                  <c:v>21195.779886728898</c:v>
                </c:pt>
                <c:pt idx="2098">
                  <c:v>21322.140978437597</c:v>
                </c:pt>
                <c:pt idx="2099">
                  <c:v>21743.620624825195</c:v>
                </c:pt>
                <c:pt idx="2100">
                  <c:v>24210.624600520448</c:v>
                </c:pt>
                <c:pt idx="2101">
                  <c:v>24028.626355100296</c:v>
                </c:pt>
                <c:pt idx="2102">
                  <c:v>23495.249914580894</c:v>
                </c:pt>
                <c:pt idx="2103">
                  <c:v>23505.964029407412</c:v>
                </c:pt>
                <c:pt idx="2104">
                  <c:v>24075.262847403203</c:v>
                </c:pt>
                <c:pt idx="2105">
                  <c:v>26139.927646581116</c:v>
                </c:pt>
                <c:pt idx="2106">
                  <c:v>26019.244693168828</c:v>
                </c:pt>
                <c:pt idx="2107">
                  <c:v>27772.254859498025</c:v>
                </c:pt>
                <c:pt idx="2108">
                  <c:v>29894.758285301676</c:v>
                </c:pt>
                <c:pt idx="2109">
                  <c:v>26643.915235683402</c:v>
                </c:pt>
                <c:pt idx="2110">
                  <c:v>26588.328502891109</c:v>
                </c:pt>
                <c:pt idx="2111">
                  <c:v>26396.346043665777</c:v>
                </c:pt>
                <c:pt idx="2112">
                  <c:v>26396.346043665777</c:v>
                </c:pt>
                <c:pt idx="2113">
                  <c:v>26577.604633231433</c:v>
                </c:pt>
                <c:pt idx="2114">
                  <c:v>27550.322282758367</c:v>
                </c:pt>
                <c:pt idx="2115">
                  <c:v>23344.888005139583</c:v>
                </c:pt>
                <c:pt idx="2116">
                  <c:v>23344.888005139583</c:v>
                </c:pt>
                <c:pt idx="2117">
                  <c:v>23344.888005139583</c:v>
                </c:pt>
                <c:pt idx="2118">
                  <c:v>23421.078032319867</c:v>
                </c:pt>
                <c:pt idx="2119">
                  <c:v>22701.897996082622</c:v>
                </c:pt>
                <c:pt idx="2120">
                  <c:v>22561.288291666293</c:v>
                </c:pt>
                <c:pt idx="2121">
                  <c:v>22542.058369933475</c:v>
                </c:pt>
                <c:pt idx="2122">
                  <c:v>22542.058369933475</c:v>
                </c:pt>
                <c:pt idx="2123">
                  <c:v>21620.273857311236</c:v>
                </c:pt>
                <c:pt idx="2124">
                  <c:v>22103.724277348538</c:v>
                </c:pt>
                <c:pt idx="2125">
                  <c:v>24691.015600961531</c:v>
                </c:pt>
                <c:pt idx="2126">
                  <c:v>24127.793962345277</c:v>
                </c:pt>
                <c:pt idx="2127">
                  <c:v>23998.162379050053</c:v>
                </c:pt>
                <c:pt idx="2128">
                  <c:v>22790.425153914039</c:v>
                </c:pt>
                <c:pt idx="2129">
                  <c:v>22771.161499053807</c:v>
                </c:pt>
                <c:pt idx="2130">
                  <c:v>22848.860495797708</c:v>
                </c:pt>
                <c:pt idx="2131">
                  <c:v>22808.608573852245</c:v>
                </c:pt>
                <c:pt idx="2132">
                  <c:v>23726.783249462515</c:v>
                </c:pt>
                <c:pt idx="2133">
                  <c:v>23427.786670963469</c:v>
                </c:pt>
                <c:pt idx="2134">
                  <c:v>25343.285289290307</c:v>
                </c:pt>
                <c:pt idx="2135">
                  <c:v>24783.711847184772</c:v>
                </c:pt>
                <c:pt idx="2136">
                  <c:v>25445.94789532197</c:v>
                </c:pt>
                <c:pt idx="2137">
                  <c:v>26384.27498904883</c:v>
                </c:pt>
                <c:pt idx="2138">
                  <c:v>27242.944608056296</c:v>
                </c:pt>
                <c:pt idx="2139">
                  <c:v>27369.541818589052</c:v>
                </c:pt>
                <c:pt idx="2140">
                  <c:v>26276.337599717779</c:v>
                </c:pt>
                <c:pt idx="2141">
                  <c:v>25990.630143865052</c:v>
                </c:pt>
                <c:pt idx="2142">
                  <c:v>26350.400720749014</c:v>
                </c:pt>
                <c:pt idx="2143">
                  <c:v>26529.187242216776</c:v>
                </c:pt>
                <c:pt idx="2144">
                  <c:v>26990.216957271306</c:v>
                </c:pt>
                <c:pt idx="2145">
                  <c:v>28871.915222737065</c:v>
                </c:pt>
                <c:pt idx="2146">
                  <c:v>30834.775468945169</c:v>
                </c:pt>
                <c:pt idx="2147">
                  <c:v>30597.145004489088</c:v>
                </c:pt>
                <c:pt idx="2148">
                  <c:v>31208.116775942544</c:v>
                </c:pt>
                <c:pt idx="2149">
                  <c:v>40749.535189275506</c:v>
                </c:pt>
                <c:pt idx="2150">
                  <c:v>40247.03611011571</c:v>
                </c:pt>
                <c:pt idx="2151">
                  <c:v>42350.162007028142</c:v>
                </c:pt>
                <c:pt idx="2152">
                  <c:v>40317.210680177042</c:v>
                </c:pt>
                <c:pt idx="2153">
                  <c:v>39884.951560871908</c:v>
                </c:pt>
                <c:pt idx="2154">
                  <c:v>39210.366534887908</c:v>
                </c:pt>
                <c:pt idx="2155">
                  <c:v>39580.081142684088</c:v>
                </c:pt>
                <c:pt idx="2156">
                  <c:v>40038.656694280224</c:v>
                </c:pt>
                <c:pt idx="2157">
                  <c:v>44009.083994297616</c:v>
                </c:pt>
                <c:pt idx="2158">
                  <c:v>42632.171169065477</c:v>
                </c:pt>
                <c:pt idx="2159">
                  <c:v>43039.270069953825</c:v>
                </c:pt>
                <c:pt idx="2160">
                  <c:v>39263.138280079125</c:v>
                </c:pt>
                <c:pt idx="2161">
                  <c:v>39145.161464889861</c:v>
                </c:pt>
                <c:pt idx="2162">
                  <c:v>39203.24518190755</c:v>
                </c:pt>
                <c:pt idx="2163">
                  <c:v>41522.522433462502</c:v>
                </c:pt>
                <c:pt idx="2164">
                  <c:v>39885.370316031833</c:v>
                </c:pt>
                <c:pt idx="2165">
                  <c:v>39369.423006069126</c:v>
                </c:pt>
                <c:pt idx="2166">
                  <c:v>41622.99112168725</c:v>
                </c:pt>
                <c:pt idx="2167">
                  <c:v>41761.838493248302</c:v>
                </c:pt>
                <c:pt idx="2168">
                  <c:v>45467.100663806697</c:v>
                </c:pt>
                <c:pt idx="2169">
                  <c:v>50604.865580974561</c:v>
                </c:pt>
                <c:pt idx="2170">
                  <c:v>53355.958272512296</c:v>
                </c:pt>
                <c:pt idx="2171">
                  <c:v>54532.296895494655</c:v>
                </c:pt>
                <c:pt idx="2172">
                  <c:v>57513.822898169659</c:v>
                </c:pt>
                <c:pt idx="2173">
                  <c:v>57584.336851204745</c:v>
                </c:pt>
                <c:pt idx="2174">
                  <c:v>54265.178597347425</c:v>
                </c:pt>
                <c:pt idx="2175">
                  <c:v>55469.295498050793</c:v>
                </c:pt>
                <c:pt idx="2176">
                  <c:v>56296.886236805192</c:v>
                </c:pt>
                <c:pt idx="2177">
                  <c:v>54476.044555522916</c:v>
                </c:pt>
                <c:pt idx="2178">
                  <c:v>50790.446168401177</c:v>
                </c:pt>
                <c:pt idx="2179">
                  <c:v>50475.335098863732</c:v>
                </c:pt>
                <c:pt idx="2180">
                  <c:v>50475.335098863732</c:v>
                </c:pt>
                <c:pt idx="2181">
                  <c:v>50475.335098863732</c:v>
                </c:pt>
                <c:pt idx="2182">
                  <c:v>53629.356777493384</c:v>
                </c:pt>
                <c:pt idx="2183">
                  <c:v>57601.509805745547</c:v>
                </c:pt>
                <c:pt idx="2184">
                  <c:v>67711.76934896427</c:v>
                </c:pt>
                <c:pt idx="2185">
                  <c:v>61288.611881779427</c:v>
                </c:pt>
                <c:pt idx="2186">
                  <c:v>62052.619274420351</c:v>
                </c:pt>
                <c:pt idx="2187">
                  <c:v>63921.46610888643</c:v>
                </c:pt>
                <c:pt idx="2188">
                  <c:v>65292.666031261826</c:v>
                </c:pt>
                <c:pt idx="2189">
                  <c:v>66471.687651899178</c:v>
                </c:pt>
                <c:pt idx="2190">
                  <c:v>67668.181808895577</c:v>
                </c:pt>
                <c:pt idx="2191">
                  <c:v>65405.754556597778</c:v>
                </c:pt>
                <c:pt idx="2192">
                  <c:v>66798.072257565364</c:v>
                </c:pt>
                <c:pt idx="2193">
                  <c:v>75759.840823976352</c:v>
                </c:pt>
                <c:pt idx="2194">
                  <c:v>88146.656474005271</c:v>
                </c:pt>
                <c:pt idx="2195">
                  <c:v>90074.536211711427</c:v>
                </c:pt>
                <c:pt idx="2196">
                  <c:v>102025.06492620792</c:v>
                </c:pt>
                <c:pt idx="2197">
                  <c:v>105737.26726680835</c:v>
                </c:pt>
                <c:pt idx="2198">
                  <c:v>93352.517709033433</c:v>
                </c:pt>
                <c:pt idx="2199">
                  <c:v>93352.517709033433</c:v>
                </c:pt>
                <c:pt idx="2200">
                  <c:v>92389.464792179235</c:v>
                </c:pt>
                <c:pt idx="2201">
                  <c:v>97611.455815336943</c:v>
                </c:pt>
                <c:pt idx="2202">
                  <c:v>101121.42496934127</c:v>
                </c:pt>
                <c:pt idx="2203">
                  <c:v>112573.13790403231</c:v>
                </c:pt>
                <c:pt idx="2204">
                  <c:v>144357.93954432703</c:v>
                </c:pt>
                <c:pt idx="2205">
                  <c:v>180799.06637165722</c:v>
                </c:pt>
                <c:pt idx="2206">
                  <c:v>173063.50258545144</c:v>
                </c:pt>
                <c:pt idx="2207">
                  <c:v>154912.06658284648</c:v>
                </c:pt>
                <c:pt idx="2208">
                  <c:v>154912.06658284648</c:v>
                </c:pt>
                <c:pt idx="2209">
                  <c:v>149987.97584373498</c:v>
                </c:pt>
                <c:pt idx="2210">
                  <c:v>150798.62585152392</c:v>
                </c:pt>
                <c:pt idx="2211">
                  <c:v>152211.41840564023</c:v>
                </c:pt>
                <c:pt idx="2212">
                  <c:v>150734.43703152612</c:v>
                </c:pt>
                <c:pt idx="2213">
                  <c:v>150761.49746260414</c:v>
                </c:pt>
                <c:pt idx="2214">
                  <c:v>157390.90837426725</c:v>
                </c:pt>
                <c:pt idx="2215">
                  <c:v>158028.59328703189</c:v>
                </c:pt>
                <c:pt idx="2216">
                  <c:v>157945.86358456005</c:v>
                </c:pt>
                <c:pt idx="2217">
                  <c:v>161159.87619960259</c:v>
                </c:pt>
                <c:pt idx="2218">
                  <c:v>161159.87619960259</c:v>
                </c:pt>
                <c:pt idx="2219">
                  <c:v>161159.87619960259</c:v>
                </c:pt>
                <c:pt idx="2220">
                  <c:v>161159.87619960259</c:v>
                </c:pt>
                <c:pt idx="2221">
                  <c:v>164542.83335369485</c:v>
                </c:pt>
                <c:pt idx="2222">
                  <c:v>166414.45400047317</c:v>
                </c:pt>
                <c:pt idx="2223">
                  <c:v>165235.00943288274</c:v>
                </c:pt>
                <c:pt idx="2224">
                  <c:v>154107.64146360016</c:v>
                </c:pt>
                <c:pt idx="2225">
                  <c:v>163965.67711936907</c:v>
                </c:pt>
                <c:pt idx="2226">
                  <c:v>163965.67711936907</c:v>
                </c:pt>
                <c:pt idx="2227">
                  <c:v>166930.66637862369</c:v>
                </c:pt>
                <c:pt idx="2228">
                  <c:v>166930.66637862369</c:v>
                </c:pt>
                <c:pt idx="2229">
                  <c:v>166930.66637862369</c:v>
                </c:pt>
                <c:pt idx="2230">
                  <c:v>167393.93434620721</c:v>
                </c:pt>
                <c:pt idx="2231">
                  <c:v>162949.90408484035</c:v>
                </c:pt>
                <c:pt idx="2232">
                  <c:v>161742.12736740022</c:v>
                </c:pt>
                <c:pt idx="2233">
                  <c:v>160317.97572462854</c:v>
                </c:pt>
                <c:pt idx="2234">
                  <c:v>151910.35443326764</c:v>
                </c:pt>
                <c:pt idx="2235">
                  <c:v>151513.31465460869</c:v>
                </c:pt>
                <c:pt idx="2236">
                  <c:v>159018.10153909185</c:v>
                </c:pt>
                <c:pt idx="2237">
                  <c:v>159018.10153909185</c:v>
                </c:pt>
                <c:pt idx="2238">
                  <c:v>159018.10153909185</c:v>
                </c:pt>
                <c:pt idx="2239">
                  <c:v>159018.10153909185</c:v>
                </c:pt>
                <c:pt idx="2240">
                  <c:v>159018.10153909185</c:v>
                </c:pt>
                <c:pt idx="2241">
                  <c:v>158155.6774500334</c:v>
                </c:pt>
                <c:pt idx="2242">
                  <c:v>157259.70747369048</c:v>
                </c:pt>
                <c:pt idx="2243">
                  <c:v>162079.63057428747</c:v>
                </c:pt>
                <c:pt idx="2244">
                  <c:v>163153.81694283124</c:v>
                </c:pt>
                <c:pt idx="2245">
                  <c:v>165639.81407191505</c:v>
                </c:pt>
                <c:pt idx="2246">
                  <c:v>165639.81407191505</c:v>
                </c:pt>
                <c:pt idx="2247">
                  <c:v>168850.65320122521</c:v>
                </c:pt>
                <c:pt idx="2248">
                  <c:v>164645.28297154242</c:v>
                </c:pt>
                <c:pt idx="2249">
                  <c:v>157708.25720982725</c:v>
                </c:pt>
                <c:pt idx="2250">
                  <c:v>167062.32737170957</c:v>
                </c:pt>
                <c:pt idx="2251">
                  <c:v>167062.32737170957</c:v>
                </c:pt>
                <c:pt idx="2252">
                  <c:v>167062.32737170957</c:v>
                </c:pt>
                <c:pt idx="2253">
                  <c:v>167062.32737170957</c:v>
                </c:pt>
                <c:pt idx="2254">
                  <c:v>168154.33980021399</c:v>
                </c:pt>
                <c:pt idx="2255">
                  <c:v>173187.8886546336</c:v>
                </c:pt>
                <c:pt idx="2256">
                  <c:v>171406.22936492489</c:v>
                </c:pt>
                <c:pt idx="2257">
                  <c:v>171698.45380963627</c:v>
                </c:pt>
                <c:pt idx="2258">
                  <c:v>176783.09014767627</c:v>
                </c:pt>
                <c:pt idx="2259">
                  <c:v>182002.04530406976</c:v>
                </c:pt>
                <c:pt idx="2260">
                  <c:v>182002.04530406976</c:v>
                </c:pt>
                <c:pt idx="2261">
                  <c:v>183668.87345158297</c:v>
                </c:pt>
                <c:pt idx="2262">
                  <c:v>183668.87345158297</c:v>
                </c:pt>
                <c:pt idx="2263">
                  <c:v>183668.87345158297</c:v>
                </c:pt>
                <c:pt idx="2264">
                  <c:v>201745.97082457592</c:v>
                </c:pt>
                <c:pt idx="2265">
                  <c:v>201745.97082457592</c:v>
                </c:pt>
                <c:pt idx="2266">
                  <c:v>201745.97082457592</c:v>
                </c:pt>
                <c:pt idx="2267">
                  <c:v>185006.11450424424</c:v>
                </c:pt>
                <c:pt idx="2268">
                  <c:v>188088.2637940071</c:v>
                </c:pt>
                <c:pt idx="2269">
                  <c:v>177433.10306940027</c:v>
                </c:pt>
                <c:pt idx="2270">
                  <c:v>189512.93231755644</c:v>
                </c:pt>
                <c:pt idx="2271">
                  <c:v>189512.93231755644</c:v>
                </c:pt>
                <c:pt idx="2272">
                  <c:v>187599.5161669509</c:v>
                </c:pt>
                <c:pt idx="2273">
                  <c:v>184929.29761670253</c:v>
                </c:pt>
                <c:pt idx="2274">
                  <c:v>170803.80345959251</c:v>
                </c:pt>
                <c:pt idx="2275">
                  <c:v>166483.76186366449</c:v>
                </c:pt>
                <c:pt idx="2276">
                  <c:v>160615.94307106003</c:v>
                </c:pt>
                <c:pt idx="2277">
                  <c:v>156231.0025822107</c:v>
                </c:pt>
                <c:pt idx="2278">
                  <c:v>159875.31866700001</c:v>
                </c:pt>
                <c:pt idx="2279">
                  <c:v>154560.75342114831</c:v>
                </c:pt>
                <c:pt idx="2280">
                  <c:v>160506.87039714368</c:v>
                </c:pt>
                <c:pt idx="2281">
                  <c:v>160736.43699886723</c:v>
                </c:pt>
                <c:pt idx="2282">
                  <c:v>162614.21334229034</c:v>
                </c:pt>
                <c:pt idx="2283">
                  <c:v>162614.21334229034</c:v>
                </c:pt>
                <c:pt idx="2284">
                  <c:v>169547.13751617045</c:v>
                </c:pt>
                <c:pt idx="2285">
                  <c:v>169547.13751617045</c:v>
                </c:pt>
                <c:pt idx="2286">
                  <c:v>169547.13751617045</c:v>
                </c:pt>
                <c:pt idx="2287">
                  <c:v>162830.22498806103</c:v>
                </c:pt>
                <c:pt idx="2288">
                  <c:v>168308.72426602428</c:v>
                </c:pt>
                <c:pt idx="2289">
                  <c:v>166464.93850599023</c:v>
                </c:pt>
                <c:pt idx="2290">
                  <c:v>162749.66790463921</c:v>
                </c:pt>
                <c:pt idx="2291">
                  <c:v>164190.46280600847</c:v>
                </c:pt>
                <c:pt idx="2292">
                  <c:v>161777.9140436395</c:v>
                </c:pt>
                <c:pt idx="2293">
                  <c:v>163696.0630624895</c:v>
                </c:pt>
                <c:pt idx="2294">
                  <c:v>169598.74249448851</c:v>
                </c:pt>
                <c:pt idx="2295">
                  <c:v>169598.74249448851</c:v>
                </c:pt>
                <c:pt idx="2296">
                  <c:v>169598.74249448851</c:v>
                </c:pt>
                <c:pt idx="2297">
                  <c:v>169598.74249448851</c:v>
                </c:pt>
                <c:pt idx="2298">
                  <c:v>177637.98352249013</c:v>
                </c:pt>
                <c:pt idx="2299">
                  <c:v>177339.27649778518</c:v>
                </c:pt>
                <c:pt idx="2300">
                  <c:v>180694.1036631169</c:v>
                </c:pt>
                <c:pt idx="2301">
                  <c:v>182414.58188010255</c:v>
                </c:pt>
                <c:pt idx="2302">
                  <c:v>190576.27315988549</c:v>
                </c:pt>
                <c:pt idx="2303">
                  <c:v>190576.27315988549</c:v>
                </c:pt>
                <c:pt idx="2304">
                  <c:v>190671.18784147568</c:v>
                </c:pt>
                <c:pt idx="2305">
                  <c:v>195646.8924413574</c:v>
                </c:pt>
                <c:pt idx="2306">
                  <c:v>194770.69486338011</c:v>
                </c:pt>
                <c:pt idx="2307">
                  <c:v>190679.48616946765</c:v>
                </c:pt>
                <c:pt idx="2308">
                  <c:v>182391.26965408339</c:v>
                </c:pt>
                <c:pt idx="2309">
                  <c:v>183195.80674638692</c:v>
                </c:pt>
                <c:pt idx="2310">
                  <c:v>191129.42294796364</c:v>
                </c:pt>
                <c:pt idx="2311">
                  <c:v>191129.42294796364</c:v>
                </c:pt>
                <c:pt idx="2312">
                  <c:v>196274.46336600807</c:v>
                </c:pt>
                <c:pt idx="2313">
                  <c:v>196692.17020403649</c:v>
                </c:pt>
                <c:pt idx="2314">
                  <c:v>199013.27409517235</c:v>
                </c:pt>
                <c:pt idx="2315">
                  <c:v>199081.96450996611</c:v>
                </c:pt>
                <c:pt idx="2316">
                  <c:v>199249.77622133982</c:v>
                </c:pt>
                <c:pt idx="2317">
                  <c:v>199394.67491247036</c:v>
                </c:pt>
                <c:pt idx="2318">
                  <c:v>199398.1069775534</c:v>
                </c:pt>
                <c:pt idx="2319">
                  <c:v>199398.29028214744</c:v>
                </c:pt>
                <c:pt idx="2320">
                  <c:v>199397.91135469178</c:v>
                </c:pt>
                <c:pt idx="2321">
                  <c:v>198628.64053781427</c:v>
                </c:pt>
                <c:pt idx="2322">
                  <c:v>198427.43893211187</c:v>
                </c:pt>
                <c:pt idx="2323">
                  <c:v>208044.56776942601</c:v>
                </c:pt>
                <c:pt idx="2324">
                  <c:v>208044.56776942601</c:v>
                </c:pt>
                <c:pt idx="2325">
                  <c:v>208044.56776942601</c:v>
                </c:pt>
                <c:pt idx="2326">
                  <c:v>207407.02758288314</c:v>
                </c:pt>
                <c:pt idx="2327">
                  <c:v>205595.37747966376</c:v>
                </c:pt>
                <c:pt idx="2328">
                  <c:v>212238.14990913324</c:v>
                </c:pt>
                <c:pt idx="2329">
                  <c:v>211917.71217723232</c:v>
                </c:pt>
                <c:pt idx="2330">
                  <c:v>211063.82606239893</c:v>
                </c:pt>
                <c:pt idx="2331">
                  <c:v>201788.60862389754</c:v>
                </c:pt>
                <c:pt idx="2332">
                  <c:v>198789.81342977536</c:v>
                </c:pt>
                <c:pt idx="2333">
                  <c:v>197335.04385790165</c:v>
                </c:pt>
                <c:pt idx="2334">
                  <c:v>197827.6239374867</c:v>
                </c:pt>
                <c:pt idx="2335">
                  <c:v>198300.29143717221</c:v>
                </c:pt>
                <c:pt idx="2336">
                  <c:v>199323.43363434501</c:v>
                </c:pt>
                <c:pt idx="2337">
                  <c:v>196500.75185682354</c:v>
                </c:pt>
                <c:pt idx="2338">
                  <c:v>195058.85176080151</c:v>
                </c:pt>
                <c:pt idx="2339">
                  <c:v>186539.95390543572</c:v>
                </c:pt>
                <c:pt idx="2340">
                  <c:v>187110.08564883799</c:v>
                </c:pt>
                <c:pt idx="2341">
                  <c:v>187172.43002631344</c:v>
                </c:pt>
                <c:pt idx="2342">
                  <c:v>182319.52875035448</c:v>
                </c:pt>
                <c:pt idx="2343">
                  <c:v>179421.45681086575</c:v>
                </c:pt>
                <c:pt idx="2344">
                  <c:v>187049.37169313821</c:v>
                </c:pt>
                <c:pt idx="2345">
                  <c:v>186458.47617370743</c:v>
                </c:pt>
                <c:pt idx="2346">
                  <c:v>187112.74576114121</c:v>
                </c:pt>
                <c:pt idx="2347">
                  <c:v>184966.62064005519</c:v>
                </c:pt>
                <c:pt idx="2348">
                  <c:v>186786.38780762319</c:v>
                </c:pt>
                <c:pt idx="2349">
                  <c:v>189981.14900407076</c:v>
                </c:pt>
                <c:pt idx="2350">
                  <c:v>189340.03223384521</c:v>
                </c:pt>
                <c:pt idx="2351">
                  <c:v>188541.10882012488</c:v>
                </c:pt>
                <c:pt idx="2352">
                  <c:v>184838.3799368692</c:v>
                </c:pt>
                <c:pt idx="2353">
                  <c:v>182590.13078180351</c:v>
                </c:pt>
                <c:pt idx="2354">
                  <c:v>184457.68911283003</c:v>
                </c:pt>
                <c:pt idx="2355">
                  <c:v>187283.8527684971</c:v>
                </c:pt>
                <c:pt idx="2356">
                  <c:v>187302.75480529593</c:v>
                </c:pt>
                <c:pt idx="2357">
                  <c:v>188865.09188692566</c:v>
                </c:pt>
                <c:pt idx="2358">
                  <c:v>188146.45860617116</c:v>
                </c:pt>
                <c:pt idx="2359">
                  <c:v>190768.9726043994</c:v>
                </c:pt>
                <c:pt idx="2360">
                  <c:v>193842.27035405507</c:v>
                </c:pt>
                <c:pt idx="2361">
                  <c:v>193842.27035405507</c:v>
                </c:pt>
                <c:pt idx="2362">
                  <c:v>193954.46696229887</c:v>
                </c:pt>
                <c:pt idx="2363">
                  <c:v>192420.98742044775</c:v>
                </c:pt>
                <c:pt idx="2364">
                  <c:v>199805.03943771974</c:v>
                </c:pt>
                <c:pt idx="2365">
                  <c:v>199648.8406355429</c:v>
                </c:pt>
                <c:pt idx="2366">
                  <c:v>201207.24137879818</c:v>
                </c:pt>
                <c:pt idx="2367">
                  <c:v>200791.90905135547</c:v>
                </c:pt>
                <c:pt idx="2368">
                  <c:v>200609.65355664442</c:v>
                </c:pt>
                <c:pt idx="2369">
                  <c:v>198840.91535105908</c:v>
                </c:pt>
                <c:pt idx="2370">
                  <c:v>200740.57006118348</c:v>
                </c:pt>
                <c:pt idx="2371">
                  <c:v>204870.89504071107</c:v>
                </c:pt>
                <c:pt idx="2372">
                  <c:v>205889.80849899119</c:v>
                </c:pt>
                <c:pt idx="2373">
                  <c:v>206007.43519207643</c:v>
                </c:pt>
                <c:pt idx="2374">
                  <c:v>206276.55504837839</c:v>
                </c:pt>
                <c:pt idx="2375">
                  <c:v>206407.45173160516</c:v>
                </c:pt>
                <c:pt idx="2376">
                  <c:v>206476.35461244645</c:v>
                </c:pt>
                <c:pt idx="2377">
                  <c:v>206540.00224096968</c:v>
                </c:pt>
                <c:pt idx="2378">
                  <c:v>206340.37884575356</c:v>
                </c:pt>
                <c:pt idx="2379">
                  <c:v>206289.94303733791</c:v>
                </c:pt>
                <c:pt idx="2380">
                  <c:v>206179.19128776225</c:v>
                </c:pt>
                <c:pt idx="2381">
                  <c:v>207133.0909837088</c:v>
                </c:pt>
                <c:pt idx="2382">
                  <c:v>204809.67692116232</c:v>
                </c:pt>
                <c:pt idx="2383">
                  <c:v>205402.79333776812</c:v>
                </c:pt>
                <c:pt idx="2384">
                  <c:v>208592.44302690667</c:v>
                </c:pt>
                <c:pt idx="2385">
                  <c:v>206422.45277641405</c:v>
                </c:pt>
                <c:pt idx="2386">
                  <c:v>205006.23501445714</c:v>
                </c:pt>
                <c:pt idx="2387">
                  <c:v>206123.10412102976</c:v>
                </c:pt>
                <c:pt idx="2388">
                  <c:v>205727.70271186804</c:v>
                </c:pt>
                <c:pt idx="2389">
                  <c:v>211250.54735529594</c:v>
                </c:pt>
                <c:pt idx="2390">
                  <c:v>214886.98423008245</c:v>
                </c:pt>
                <c:pt idx="2391">
                  <c:v>214886.98423008245</c:v>
                </c:pt>
                <c:pt idx="2392">
                  <c:v>216258.33178851183</c:v>
                </c:pt>
                <c:pt idx="2393">
                  <c:v>216425.80934243099</c:v>
                </c:pt>
                <c:pt idx="2394">
                  <c:v>216275.059027376</c:v>
                </c:pt>
                <c:pt idx="2395">
                  <c:v>216958.95686023857</c:v>
                </c:pt>
                <c:pt idx="2396">
                  <c:v>216705.80092389096</c:v>
                </c:pt>
                <c:pt idx="2397">
                  <c:v>217293.18526771371</c:v>
                </c:pt>
                <c:pt idx="2398">
                  <c:v>215870.41038279043</c:v>
                </c:pt>
                <c:pt idx="2399">
                  <c:v>216834.26192206118</c:v>
                </c:pt>
                <c:pt idx="2400">
                  <c:v>215030.52171976888</c:v>
                </c:pt>
                <c:pt idx="2401">
                  <c:v>217423.85830949227</c:v>
                </c:pt>
                <c:pt idx="2402">
                  <c:v>227454.21847829662</c:v>
                </c:pt>
                <c:pt idx="2403">
                  <c:v>227454.21847829662</c:v>
                </c:pt>
                <c:pt idx="2404">
                  <c:v>227454.21847829662</c:v>
                </c:pt>
                <c:pt idx="2405">
                  <c:v>226210.46352879622</c:v>
                </c:pt>
                <c:pt idx="2406">
                  <c:v>229483.70229288356</c:v>
                </c:pt>
                <c:pt idx="2407">
                  <c:v>229089.34579211634</c:v>
                </c:pt>
                <c:pt idx="2408">
                  <c:v>232590.0319039957</c:v>
                </c:pt>
                <c:pt idx="2409">
                  <c:v>228618.32672376474</c:v>
                </c:pt>
                <c:pt idx="2410">
                  <c:v>229830.90255143712</c:v>
                </c:pt>
                <c:pt idx="2411">
                  <c:v>230565.52639237832</c:v>
                </c:pt>
                <c:pt idx="2412">
                  <c:v>224890.68002876287</c:v>
                </c:pt>
                <c:pt idx="2413">
                  <c:v>228238.60296234398</c:v>
                </c:pt>
                <c:pt idx="2414">
                  <c:v>225961.35678320599</c:v>
                </c:pt>
                <c:pt idx="2415">
                  <c:v>228293.94739201141</c:v>
                </c:pt>
                <c:pt idx="2416">
                  <c:v>227200.61755322394</c:v>
                </c:pt>
                <c:pt idx="2417">
                  <c:v>223651.31143463985</c:v>
                </c:pt>
                <c:pt idx="2418">
                  <c:v>225045.52482469924</c:v>
                </c:pt>
                <c:pt idx="2419">
                  <c:v>226472.60141158852</c:v>
                </c:pt>
                <c:pt idx="2420">
                  <c:v>231250.6714485407</c:v>
                </c:pt>
                <c:pt idx="2421">
                  <c:v>231801.16600233407</c:v>
                </c:pt>
                <c:pt idx="2422">
                  <c:v>231728.32313708597</c:v>
                </c:pt>
                <c:pt idx="2423">
                  <c:v>231841.09381730523</c:v>
                </c:pt>
                <c:pt idx="2424">
                  <c:v>231591.37805998168</c:v>
                </c:pt>
                <c:pt idx="2425">
                  <c:v>230951.30634032752</c:v>
                </c:pt>
                <c:pt idx="2426">
                  <c:v>227827.59336509209</c:v>
                </c:pt>
                <c:pt idx="2427">
                  <c:v>216630.40200840737</c:v>
                </c:pt>
                <c:pt idx="2428">
                  <c:v>218022.13167809631</c:v>
                </c:pt>
                <c:pt idx="2429">
                  <c:v>217618.62431383322</c:v>
                </c:pt>
                <c:pt idx="2430">
                  <c:v>218062.61992439374</c:v>
                </c:pt>
                <c:pt idx="2431">
                  <c:v>217393.76348979984</c:v>
                </c:pt>
                <c:pt idx="2432">
                  <c:v>213517.34268491136</c:v>
                </c:pt>
                <c:pt idx="2433">
                  <c:v>208592.62016383486</c:v>
                </c:pt>
                <c:pt idx="2434">
                  <c:v>204870.07960776176</c:v>
                </c:pt>
                <c:pt idx="2435">
                  <c:v>205249.39229463955</c:v>
                </c:pt>
                <c:pt idx="2436">
                  <c:v>210387.06765686275</c:v>
                </c:pt>
                <c:pt idx="2437">
                  <c:v>208983.6274329045</c:v>
                </c:pt>
                <c:pt idx="2438">
                  <c:v>208633.18285727364</c:v>
                </c:pt>
                <c:pt idx="2439">
                  <c:v>209593.54461449705</c:v>
                </c:pt>
                <c:pt idx="2440">
                  <c:v>209680.97081526459</c:v>
                </c:pt>
                <c:pt idx="2441">
                  <c:v>216671.82279980427</c:v>
                </c:pt>
                <c:pt idx="2442">
                  <c:v>216671.82279980427</c:v>
                </c:pt>
                <c:pt idx="2443">
                  <c:v>218551.89407928646</c:v>
                </c:pt>
                <c:pt idx="2444">
                  <c:v>218373.50722659999</c:v>
                </c:pt>
                <c:pt idx="2445">
                  <c:v>221858.29261261318</c:v>
                </c:pt>
                <c:pt idx="2446">
                  <c:v>221854.30331174342</c:v>
                </c:pt>
                <c:pt idx="2447">
                  <c:v>221821.25176565323</c:v>
                </c:pt>
                <c:pt idx="2448">
                  <c:v>223137.20890288154</c:v>
                </c:pt>
                <c:pt idx="2449">
                  <c:v>223137.20890288154</c:v>
                </c:pt>
                <c:pt idx="2450">
                  <c:v>223137.20890288154</c:v>
                </c:pt>
                <c:pt idx="2451">
                  <c:v>225650.75788413553</c:v>
                </c:pt>
                <c:pt idx="2452">
                  <c:v>225337.36103692607</c:v>
                </c:pt>
                <c:pt idx="2453">
                  <c:v>223484.50656519216</c:v>
                </c:pt>
                <c:pt idx="2454">
                  <c:v>232412.70815078856</c:v>
                </c:pt>
                <c:pt idx="2455">
                  <c:v>232328.02017199414</c:v>
                </c:pt>
                <c:pt idx="2456">
                  <c:v>233142.0703037635</c:v>
                </c:pt>
                <c:pt idx="2457">
                  <c:v>231207.65882694986</c:v>
                </c:pt>
                <c:pt idx="2458">
                  <c:v>230991.64768465608</c:v>
                </c:pt>
                <c:pt idx="2459">
                  <c:v>233720.27031875905</c:v>
                </c:pt>
                <c:pt idx="2460">
                  <c:v>231933.25941806758</c:v>
                </c:pt>
                <c:pt idx="2461">
                  <c:v>231930.06757291354</c:v>
                </c:pt>
                <c:pt idx="2462">
                  <c:v>227718.97232405533</c:v>
                </c:pt>
                <c:pt idx="2463">
                  <c:v>232942.8296089099</c:v>
                </c:pt>
                <c:pt idx="2464">
                  <c:v>231897.96528373074</c:v>
                </c:pt>
                <c:pt idx="2465">
                  <c:v>229241.79045722299</c:v>
                </c:pt>
                <c:pt idx="2466">
                  <c:v>230426.08731739415</c:v>
                </c:pt>
                <c:pt idx="2467">
                  <c:v>229309.25325291953</c:v>
                </c:pt>
                <c:pt idx="2468">
                  <c:v>224720.58617582766</c:v>
                </c:pt>
                <c:pt idx="2469">
                  <c:v>222160.08636720301</c:v>
                </c:pt>
                <c:pt idx="2470">
                  <c:v>223490.71735567637</c:v>
                </c:pt>
                <c:pt idx="2471">
                  <c:v>223900.87493280909</c:v>
                </c:pt>
                <c:pt idx="2472">
                  <c:v>222535.35375866108</c:v>
                </c:pt>
                <c:pt idx="2473">
                  <c:v>218627.14315097654</c:v>
                </c:pt>
                <c:pt idx="2474">
                  <c:v>218585.43400411771</c:v>
                </c:pt>
                <c:pt idx="2475">
                  <c:v>217704.55667583417</c:v>
                </c:pt>
                <c:pt idx="2476">
                  <c:v>216494.48936679054</c:v>
                </c:pt>
                <c:pt idx="2477">
                  <c:v>234488.12451197067</c:v>
                </c:pt>
                <c:pt idx="2478">
                  <c:v>234488.12451197067</c:v>
                </c:pt>
                <c:pt idx="2479">
                  <c:v>234541.77728427725</c:v>
                </c:pt>
                <c:pt idx="2480">
                  <c:v>235858.07223934331</c:v>
                </c:pt>
                <c:pt idx="2481">
                  <c:v>235687.22583496405</c:v>
                </c:pt>
                <c:pt idx="2482">
                  <c:v>235659.7613759278</c:v>
                </c:pt>
                <c:pt idx="2483">
                  <c:v>236309.69365470397</c:v>
                </c:pt>
                <c:pt idx="2484">
                  <c:v>235375.82402929399</c:v>
                </c:pt>
                <c:pt idx="2485">
                  <c:v>233577.43959679705</c:v>
                </c:pt>
                <c:pt idx="2486">
                  <c:v>233955.65073394639</c:v>
                </c:pt>
                <c:pt idx="2487">
                  <c:v>234531.24903481553</c:v>
                </c:pt>
                <c:pt idx="2488">
                  <c:v>234786.31547714482</c:v>
                </c:pt>
                <c:pt idx="2489">
                  <c:v>238357.24154719251</c:v>
                </c:pt>
                <c:pt idx="2490">
                  <c:v>237785.99513811537</c:v>
                </c:pt>
                <c:pt idx="2491">
                  <c:v>236977.93838554906</c:v>
                </c:pt>
                <c:pt idx="2492">
                  <c:v>232505.36071186612</c:v>
                </c:pt>
                <c:pt idx="2493">
                  <c:v>232788.29827999559</c:v>
                </c:pt>
                <c:pt idx="2494">
                  <c:v>231593.06791686485</c:v>
                </c:pt>
                <c:pt idx="2495">
                  <c:v>234033.16705551685</c:v>
                </c:pt>
                <c:pt idx="2496">
                  <c:v>236446.61514022996</c:v>
                </c:pt>
                <c:pt idx="2497">
                  <c:v>236230.52764012289</c:v>
                </c:pt>
                <c:pt idx="2498">
                  <c:v>235931.62886221384</c:v>
                </c:pt>
                <c:pt idx="2499">
                  <c:v>234344.20001195435</c:v>
                </c:pt>
                <c:pt idx="2500">
                  <c:v>235661.48348446158</c:v>
                </c:pt>
                <c:pt idx="2501">
                  <c:v>235300.16060148075</c:v>
                </c:pt>
                <c:pt idx="2502">
                  <c:v>234965.45572415375</c:v>
                </c:pt>
                <c:pt idx="2503">
                  <c:v>235499.97270891219</c:v>
                </c:pt>
                <c:pt idx="2504">
                  <c:v>237385.60805157156</c:v>
                </c:pt>
                <c:pt idx="2505">
                  <c:v>235883.89156231648</c:v>
                </c:pt>
                <c:pt idx="2506">
                  <c:v>236279.15975033533</c:v>
                </c:pt>
                <c:pt idx="2507">
                  <c:v>235615.72989681404</c:v>
                </c:pt>
                <c:pt idx="2508">
                  <c:v>236660.27848012248</c:v>
                </c:pt>
                <c:pt idx="2509">
                  <c:v>236280.74490977734</c:v>
                </c:pt>
                <c:pt idx="2510">
                  <c:v>235423.96944267728</c:v>
                </c:pt>
                <c:pt idx="2511">
                  <c:v>236616.13014085178</c:v>
                </c:pt>
                <c:pt idx="2512">
                  <c:v>240744.46868449412</c:v>
                </c:pt>
                <c:pt idx="2513">
                  <c:v>240775.19108740275</c:v>
                </c:pt>
                <c:pt idx="2514">
                  <c:v>240632.89031506723</c:v>
                </c:pt>
                <c:pt idx="2515">
                  <c:v>240605.18654567769</c:v>
                </c:pt>
                <c:pt idx="2516">
                  <c:v>238642.75505939164</c:v>
                </c:pt>
                <c:pt idx="2517">
                  <c:v>238668.13475197661</c:v>
                </c:pt>
                <c:pt idx="2518">
                  <c:v>239726.34441816006</c:v>
                </c:pt>
                <c:pt idx="2519">
                  <c:v>239775.85226993114</c:v>
                </c:pt>
                <c:pt idx="2520">
                  <c:v>240698.08549035044</c:v>
                </c:pt>
                <c:pt idx="2521">
                  <c:v>240449.51959746156</c:v>
                </c:pt>
                <c:pt idx="2522">
                  <c:v>240007.79021078325</c:v>
                </c:pt>
                <c:pt idx="2523">
                  <c:v>240673.2477579632</c:v>
                </c:pt>
                <c:pt idx="2524">
                  <c:v>240821.49501627142</c:v>
                </c:pt>
                <c:pt idx="2525">
                  <c:v>240500.79962334374</c:v>
                </c:pt>
                <c:pt idx="2526">
                  <c:v>240822.70560771023</c:v>
                </c:pt>
                <c:pt idx="2527">
                  <c:v>240622.31706389302</c:v>
                </c:pt>
                <c:pt idx="2528">
                  <c:v>240574.42620237282</c:v>
                </c:pt>
                <c:pt idx="2529">
                  <c:v>240687.45789399435</c:v>
                </c:pt>
                <c:pt idx="2530">
                  <c:v>240865.90350530209</c:v>
                </c:pt>
                <c:pt idx="2531">
                  <c:v>242348.86718099396</c:v>
                </c:pt>
                <c:pt idx="2532">
                  <c:v>242402.23857482051</c:v>
                </c:pt>
                <c:pt idx="2533">
                  <c:v>241889.94495670078</c:v>
                </c:pt>
                <c:pt idx="2534">
                  <c:v>242254.66665435513</c:v>
                </c:pt>
                <c:pt idx="2535">
                  <c:v>242115.36317827832</c:v>
                </c:pt>
                <c:pt idx="2536">
                  <c:v>242149.34839135059</c:v>
                </c:pt>
                <c:pt idx="2537">
                  <c:v>241532.57399630317</c:v>
                </c:pt>
                <c:pt idx="2538">
                  <c:v>241603.93920362997</c:v>
                </c:pt>
                <c:pt idx="2539">
                  <c:v>240328.24732789447</c:v>
                </c:pt>
                <c:pt idx="2540">
                  <c:v>241056.96781309866</c:v>
                </c:pt>
                <c:pt idx="2541">
                  <c:v>242051.28030991775</c:v>
                </c:pt>
                <c:pt idx="2542">
                  <c:v>242034.90927566704</c:v>
                </c:pt>
                <c:pt idx="2543">
                  <c:v>241912.40551230454</c:v>
                </c:pt>
                <c:pt idx="2544">
                  <c:v>242085.59425767238</c:v>
                </c:pt>
                <c:pt idx="2545">
                  <c:v>242610.9487958923</c:v>
                </c:pt>
                <c:pt idx="2546">
                  <c:v>242629.22555193407</c:v>
                </c:pt>
                <c:pt idx="2547">
                  <c:v>250625.84542799462</c:v>
                </c:pt>
                <c:pt idx="2548">
                  <c:v>250625.84542799462</c:v>
                </c:pt>
                <c:pt idx="2549">
                  <c:v>250625.84542799462</c:v>
                </c:pt>
                <c:pt idx="2550">
                  <c:v>250625.84542799462</c:v>
                </c:pt>
                <c:pt idx="2551">
                  <c:v>251236.05121904824</c:v>
                </c:pt>
                <c:pt idx="2552">
                  <c:v>251474.62564040392</c:v>
                </c:pt>
                <c:pt idx="2553">
                  <c:v>251474.62564040392</c:v>
                </c:pt>
                <c:pt idx="2554">
                  <c:v>252021.33192919809</c:v>
                </c:pt>
                <c:pt idx="2555">
                  <c:v>252280.10488943855</c:v>
                </c:pt>
                <c:pt idx="2556">
                  <c:v>252346.24660462141</c:v>
                </c:pt>
                <c:pt idx="2557">
                  <c:v>252427.68504187043</c:v>
                </c:pt>
                <c:pt idx="2558">
                  <c:v>252427.68504187043</c:v>
                </c:pt>
                <c:pt idx="2559">
                  <c:v>252884.03017403526</c:v>
                </c:pt>
                <c:pt idx="2560">
                  <c:v>252782.63534968969</c:v>
                </c:pt>
                <c:pt idx="2561">
                  <c:v>252185.78607286047</c:v>
                </c:pt>
                <c:pt idx="2562">
                  <c:v>252675.57647244472</c:v>
                </c:pt>
                <c:pt idx="2563">
                  <c:v>252874.7131817464</c:v>
                </c:pt>
                <c:pt idx="2564">
                  <c:v>252903.11862542588</c:v>
                </c:pt>
                <c:pt idx="2565">
                  <c:v>252745.91457253715</c:v>
                </c:pt>
                <c:pt idx="2566">
                  <c:v>252725.03149738364</c:v>
                </c:pt>
                <c:pt idx="2567">
                  <c:v>252724.78363489869</c:v>
                </c:pt>
                <c:pt idx="2568">
                  <c:v>252725.40792857096</c:v>
                </c:pt>
                <c:pt idx="2569">
                  <c:v>252554.00878872862</c:v>
                </c:pt>
                <c:pt idx="2570">
                  <c:v>252554.00878872862</c:v>
                </c:pt>
                <c:pt idx="2571">
                  <c:v>252605.8767385055</c:v>
                </c:pt>
                <c:pt idx="2572">
                  <c:v>252761.78868499913</c:v>
                </c:pt>
                <c:pt idx="2573">
                  <c:v>252438.54743599627</c:v>
                </c:pt>
                <c:pt idx="2574">
                  <c:v>252349.49637290349</c:v>
                </c:pt>
                <c:pt idx="2575">
                  <c:v>252252.51863583972</c:v>
                </c:pt>
                <c:pt idx="2576">
                  <c:v>251714.33724853001</c:v>
                </c:pt>
                <c:pt idx="2577">
                  <c:v>251474.51938165622</c:v>
                </c:pt>
                <c:pt idx="2578">
                  <c:v>251560.1873208824</c:v>
                </c:pt>
                <c:pt idx="2579">
                  <c:v>251579.20954944281</c:v>
                </c:pt>
                <c:pt idx="2580">
                  <c:v>253018.03526084879</c:v>
                </c:pt>
                <c:pt idx="2581">
                  <c:v>255714.20044888835</c:v>
                </c:pt>
                <c:pt idx="2582">
                  <c:v>256771.13499530524</c:v>
                </c:pt>
                <c:pt idx="2583">
                  <c:v>256719.85279766755</c:v>
                </c:pt>
                <c:pt idx="2584">
                  <c:v>256690.68511664646</c:v>
                </c:pt>
                <c:pt idx="2585">
                  <c:v>256749.06594141253</c:v>
                </c:pt>
                <c:pt idx="2586">
                  <c:v>256570.64807292522</c:v>
                </c:pt>
                <c:pt idx="2587">
                  <c:v>257250.74472967154</c:v>
                </c:pt>
                <c:pt idx="2588">
                  <c:v>257250.74472967154</c:v>
                </c:pt>
                <c:pt idx="2589">
                  <c:v>257250.74472967154</c:v>
                </c:pt>
                <c:pt idx="2590">
                  <c:v>257250.74472967154</c:v>
                </c:pt>
                <c:pt idx="2591">
                  <c:v>257250.74472967154</c:v>
                </c:pt>
                <c:pt idx="2592">
                  <c:v>257276.17980579066</c:v>
                </c:pt>
                <c:pt idx="2593">
                  <c:v>257525.29451114705</c:v>
                </c:pt>
                <c:pt idx="2594">
                  <c:v>257570.32622469711</c:v>
                </c:pt>
                <c:pt idx="2595">
                  <c:v>257383.25636660689</c:v>
                </c:pt>
                <c:pt idx="2596">
                  <c:v>257172.6863733886</c:v>
                </c:pt>
                <c:pt idx="2597">
                  <c:v>257397.35207614177</c:v>
                </c:pt>
                <c:pt idx="2598">
                  <c:v>257283.11269011328</c:v>
                </c:pt>
                <c:pt idx="2599">
                  <c:v>257332.69886159431</c:v>
                </c:pt>
                <c:pt idx="2600">
                  <c:v>255850.34713907121</c:v>
                </c:pt>
                <c:pt idx="2601">
                  <c:v>255767.06500688085</c:v>
                </c:pt>
                <c:pt idx="2602">
                  <c:v>255438.50157766163</c:v>
                </c:pt>
                <c:pt idx="2603">
                  <c:v>258630.16198331199</c:v>
                </c:pt>
                <c:pt idx="2604">
                  <c:v>258860.85168391655</c:v>
                </c:pt>
                <c:pt idx="2605">
                  <c:v>258870.9229752633</c:v>
                </c:pt>
                <c:pt idx="2606">
                  <c:v>258868.79360688329</c:v>
                </c:pt>
                <c:pt idx="2607">
                  <c:v>258912.01647026878</c:v>
                </c:pt>
                <c:pt idx="2608">
                  <c:v>258879.59521799008</c:v>
                </c:pt>
                <c:pt idx="2609">
                  <c:v>259019.78591313542</c:v>
                </c:pt>
                <c:pt idx="2610">
                  <c:v>259079.89891271852</c:v>
                </c:pt>
                <c:pt idx="2611">
                  <c:v>259027.57254692866</c:v>
                </c:pt>
                <c:pt idx="2612">
                  <c:v>258753.49712002926</c:v>
                </c:pt>
                <c:pt idx="2613">
                  <c:v>258892.64303475234</c:v>
                </c:pt>
                <c:pt idx="2614">
                  <c:v>260504.8976877158</c:v>
                </c:pt>
                <c:pt idx="2615">
                  <c:v>260530.50496106705</c:v>
                </c:pt>
                <c:pt idx="2616">
                  <c:v>260462.01066810283</c:v>
                </c:pt>
                <c:pt idx="2617">
                  <c:v>260540.29509724793</c:v>
                </c:pt>
                <c:pt idx="2618">
                  <c:v>260526.46612301536</c:v>
                </c:pt>
                <c:pt idx="2619">
                  <c:v>260499.46241236079</c:v>
                </c:pt>
                <c:pt idx="2620">
                  <c:v>260546.71082187223</c:v>
                </c:pt>
                <c:pt idx="2621">
                  <c:v>260600.33448281221</c:v>
                </c:pt>
                <c:pt idx="2622">
                  <c:v>260649.62792251125</c:v>
                </c:pt>
                <c:pt idx="2623">
                  <c:v>260622.36101898772</c:v>
                </c:pt>
                <c:pt idx="2624">
                  <c:v>260633.43951670639</c:v>
                </c:pt>
                <c:pt idx="2625">
                  <c:v>260637.43919304339</c:v>
                </c:pt>
                <c:pt idx="2626">
                  <c:v>260606.1400847676</c:v>
                </c:pt>
                <c:pt idx="2627">
                  <c:v>260610.88946483642</c:v>
                </c:pt>
                <c:pt idx="2628">
                  <c:v>260647.2844641814</c:v>
                </c:pt>
                <c:pt idx="2629">
                  <c:v>260625.14982953368</c:v>
                </c:pt>
                <c:pt idx="2630">
                  <c:v>260717.44602599152</c:v>
                </c:pt>
                <c:pt idx="2631">
                  <c:v>260698.5330300646</c:v>
                </c:pt>
                <c:pt idx="2632">
                  <c:v>260678.55268026324</c:v>
                </c:pt>
                <c:pt idx="2633">
                  <c:v>260253.22317380004</c:v>
                </c:pt>
                <c:pt idx="2634">
                  <c:v>260347.59284700171</c:v>
                </c:pt>
                <c:pt idx="2635">
                  <c:v>260336.38203271569</c:v>
                </c:pt>
                <c:pt idx="2636">
                  <c:v>260371.68779325069</c:v>
                </c:pt>
                <c:pt idx="2637">
                  <c:v>260357.77365185233</c:v>
                </c:pt>
                <c:pt idx="2638">
                  <c:v>260373.70960754785</c:v>
                </c:pt>
                <c:pt idx="2639">
                  <c:v>260360.19032763041</c:v>
                </c:pt>
                <c:pt idx="2640">
                  <c:v>260361.79387327807</c:v>
                </c:pt>
                <c:pt idx="2641">
                  <c:v>260352.67322161654</c:v>
                </c:pt>
                <c:pt idx="2642">
                  <c:v>259938.12303965533</c:v>
                </c:pt>
                <c:pt idx="2643">
                  <c:v>258026.00281494949</c:v>
                </c:pt>
                <c:pt idx="2644">
                  <c:v>257464.12339205574</c:v>
                </c:pt>
                <c:pt idx="2645">
                  <c:v>257831.20463807249</c:v>
                </c:pt>
                <c:pt idx="2646">
                  <c:v>257602.90192204725</c:v>
                </c:pt>
                <c:pt idx="2647">
                  <c:v>257462.52123615704</c:v>
                </c:pt>
                <c:pt idx="2648">
                  <c:v>254981.16404898366</c:v>
                </c:pt>
                <c:pt idx="2649">
                  <c:v>258035.79363547274</c:v>
                </c:pt>
                <c:pt idx="2650">
                  <c:v>258035.79363547274</c:v>
                </c:pt>
                <c:pt idx="2651">
                  <c:v>258027.26585113621</c:v>
                </c:pt>
                <c:pt idx="2652">
                  <c:v>258033.2518618269</c:v>
                </c:pt>
                <c:pt idx="2653">
                  <c:v>258031.06607739092</c:v>
                </c:pt>
                <c:pt idx="2654">
                  <c:v>258045.04866133977</c:v>
                </c:pt>
                <c:pt idx="2655">
                  <c:v>258034.44284648282</c:v>
                </c:pt>
                <c:pt idx="2656">
                  <c:v>258228.26691678714</c:v>
                </c:pt>
                <c:pt idx="2657">
                  <c:v>258216.3772255244</c:v>
                </c:pt>
                <c:pt idx="2658">
                  <c:v>258026.07462171072</c:v>
                </c:pt>
                <c:pt idx="2659">
                  <c:v>258030.90156060248</c:v>
                </c:pt>
                <c:pt idx="2660">
                  <c:v>257808.24059174993</c:v>
                </c:pt>
                <c:pt idx="2661">
                  <c:v>257707.1929509381</c:v>
                </c:pt>
                <c:pt idx="2662">
                  <c:v>257758.79952383979</c:v>
                </c:pt>
                <c:pt idx="2663">
                  <c:v>257810.02163820414</c:v>
                </c:pt>
                <c:pt idx="2664">
                  <c:v>257835.88273143207</c:v>
                </c:pt>
                <c:pt idx="2665">
                  <c:v>258022.67568385074</c:v>
                </c:pt>
                <c:pt idx="2666">
                  <c:v>257885.0467433845</c:v>
                </c:pt>
                <c:pt idx="2667">
                  <c:v>257825.11651068361</c:v>
                </c:pt>
                <c:pt idx="2668">
                  <c:v>256770.74740303526</c:v>
                </c:pt>
                <c:pt idx="2669">
                  <c:v>257266.43196887596</c:v>
                </c:pt>
                <c:pt idx="2670">
                  <c:v>257359.20214464059</c:v>
                </c:pt>
                <c:pt idx="2671">
                  <c:v>256962.70856378321</c:v>
                </c:pt>
                <c:pt idx="2672">
                  <c:v>257185.34025144303</c:v>
                </c:pt>
                <c:pt idx="2673">
                  <c:v>256760.78951223416</c:v>
                </c:pt>
                <c:pt idx="2674">
                  <c:v>257265.07855754317</c:v>
                </c:pt>
                <c:pt idx="2675">
                  <c:v>257356.83448040378</c:v>
                </c:pt>
                <c:pt idx="2676">
                  <c:v>257336.42706628083</c:v>
                </c:pt>
                <c:pt idx="2677">
                  <c:v>257359.52323461373</c:v>
                </c:pt>
                <c:pt idx="2678">
                  <c:v>258071.93582018628</c:v>
                </c:pt>
                <c:pt idx="2679">
                  <c:v>257243.29255060284</c:v>
                </c:pt>
                <c:pt idx="2680">
                  <c:v>257098.37538234523</c:v>
                </c:pt>
                <c:pt idx="2681">
                  <c:v>256932.47652755654</c:v>
                </c:pt>
                <c:pt idx="2682">
                  <c:v>257030.24357649003</c:v>
                </c:pt>
                <c:pt idx="2683">
                  <c:v>256731.527045291</c:v>
                </c:pt>
                <c:pt idx="2684">
                  <c:v>256467.60377190498</c:v>
                </c:pt>
                <c:pt idx="2685">
                  <c:v>248148.92035096596</c:v>
                </c:pt>
                <c:pt idx="2686">
                  <c:v>244708.35080147526</c:v>
                </c:pt>
                <c:pt idx="2687">
                  <c:v>244486.88004379955</c:v>
                </c:pt>
                <c:pt idx="2688">
                  <c:v>244430.97391408464</c:v>
                </c:pt>
                <c:pt idx="2689">
                  <c:v>244035.42443003948</c:v>
                </c:pt>
                <c:pt idx="2690">
                  <c:v>241945.87090697183</c:v>
                </c:pt>
                <c:pt idx="2691">
                  <c:v>240754.07819378009</c:v>
                </c:pt>
                <c:pt idx="2692">
                  <c:v>241070.0261369595</c:v>
                </c:pt>
                <c:pt idx="2693">
                  <c:v>240153.5862794024</c:v>
                </c:pt>
                <c:pt idx="2694">
                  <c:v>243652.32777934021</c:v>
                </c:pt>
                <c:pt idx="2695">
                  <c:v>243537.85980136856</c:v>
                </c:pt>
                <c:pt idx="2696">
                  <c:v>243353.16233253069</c:v>
                </c:pt>
                <c:pt idx="2697">
                  <c:v>243382.10975497242</c:v>
                </c:pt>
                <c:pt idx="2698">
                  <c:v>242872.19139087066</c:v>
                </c:pt>
                <c:pt idx="2699">
                  <c:v>243624.19302230031</c:v>
                </c:pt>
                <c:pt idx="2700">
                  <c:v>242554.3418245411</c:v>
                </c:pt>
                <c:pt idx="2701">
                  <c:v>242010.30140307875</c:v>
                </c:pt>
                <c:pt idx="2702">
                  <c:v>241780.77334406972</c:v>
                </c:pt>
                <c:pt idx="2703">
                  <c:v>241300.28843645239</c:v>
                </c:pt>
                <c:pt idx="2704">
                  <c:v>242095.81531535552</c:v>
                </c:pt>
                <c:pt idx="2705">
                  <c:v>241353.98900970159</c:v>
                </c:pt>
                <c:pt idx="2706">
                  <c:v>238580.32609692018</c:v>
                </c:pt>
                <c:pt idx="2707">
                  <c:v>239610.41059864941</c:v>
                </c:pt>
                <c:pt idx="2708">
                  <c:v>239580.34943546401</c:v>
                </c:pt>
                <c:pt idx="2709">
                  <c:v>241471.51978005038</c:v>
                </c:pt>
                <c:pt idx="2710">
                  <c:v>241375.36435115832</c:v>
                </c:pt>
                <c:pt idx="2711">
                  <c:v>241260.96762839131</c:v>
                </c:pt>
                <c:pt idx="2712">
                  <c:v>241630.24459509741</c:v>
                </c:pt>
                <c:pt idx="2713">
                  <c:v>241275.32000471247</c:v>
                </c:pt>
                <c:pt idx="2714">
                  <c:v>240993.89690081339</c:v>
                </c:pt>
                <c:pt idx="2715">
                  <c:v>239333.56419642214</c:v>
                </c:pt>
                <c:pt idx="2716">
                  <c:v>235292.65779266992</c:v>
                </c:pt>
                <c:pt idx="2717">
                  <c:v>237138.49067443339</c:v>
                </c:pt>
                <c:pt idx="2718">
                  <c:v>236267.40027996653</c:v>
                </c:pt>
                <c:pt idx="2719">
                  <c:v>236874.6296626463</c:v>
                </c:pt>
                <c:pt idx="2720">
                  <c:v>234850.29584001095</c:v>
                </c:pt>
                <c:pt idx="2721">
                  <c:v>234194.4460274445</c:v>
                </c:pt>
                <c:pt idx="2722">
                  <c:v>232678.47062067303</c:v>
                </c:pt>
                <c:pt idx="2723">
                  <c:v>229546.87042309149</c:v>
                </c:pt>
                <c:pt idx="2724">
                  <c:v>224010.99126202011</c:v>
                </c:pt>
                <c:pt idx="2725">
                  <c:v>223593.01472186809</c:v>
                </c:pt>
                <c:pt idx="2726">
                  <c:v>216268.55437685939</c:v>
                </c:pt>
                <c:pt idx="2727">
                  <c:v>213170.84454594154</c:v>
                </c:pt>
                <c:pt idx="2728">
                  <c:v>213679.6362587437</c:v>
                </c:pt>
                <c:pt idx="2729">
                  <c:v>213740.88764744598</c:v>
                </c:pt>
                <c:pt idx="2730">
                  <c:v>220359.420346709</c:v>
                </c:pt>
                <c:pt idx="2731">
                  <c:v>220359.420346709</c:v>
                </c:pt>
                <c:pt idx="2732">
                  <c:v>217879.65528223824</c:v>
                </c:pt>
                <c:pt idx="2733">
                  <c:v>218862.06192963108</c:v>
                </c:pt>
                <c:pt idx="2734">
                  <c:v>217659.31169652584</c:v>
                </c:pt>
                <c:pt idx="2735">
                  <c:v>217509.93182153007</c:v>
                </c:pt>
                <c:pt idx="2736">
                  <c:v>219802.13351420872</c:v>
                </c:pt>
                <c:pt idx="2737">
                  <c:v>217348.84067745303</c:v>
                </c:pt>
                <c:pt idx="2738">
                  <c:v>217663.4341942824</c:v>
                </c:pt>
                <c:pt idx="2739">
                  <c:v>218467.58346660744</c:v>
                </c:pt>
                <c:pt idx="2740">
                  <c:v>211612.35987181254</c:v>
                </c:pt>
                <c:pt idx="2741">
                  <c:v>213075.38828429603</c:v>
                </c:pt>
                <c:pt idx="2742">
                  <c:v>212967.85729574837</c:v>
                </c:pt>
                <c:pt idx="2743">
                  <c:v>212561.3615062593</c:v>
                </c:pt>
                <c:pt idx="2744">
                  <c:v>216329.63806249667</c:v>
                </c:pt>
                <c:pt idx="2745">
                  <c:v>215751.28634393949</c:v>
                </c:pt>
                <c:pt idx="2746">
                  <c:v>214440.37817915922</c:v>
                </c:pt>
                <c:pt idx="2747">
                  <c:v>218008.89960068182</c:v>
                </c:pt>
                <c:pt idx="2748">
                  <c:v>219650.33220237686</c:v>
                </c:pt>
                <c:pt idx="2749">
                  <c:v>219994.44889057855</c:v>
                </c:pt>
                <c:pt idx="2750">
                  <c:v>219978.98136559033</c:v>
                </c:pt>
                <c:pt idx="2751">
                  <c:v>219635.58230412772</c:v>
                </c:pt>
                <c:pt idx="2752">
                  <c:v>219763.18954434321</c:v>
                </c:pt>
                <c:pt idx="2753">
                  <c:v>220861.90819269043</c:v>
                </c:pt>
                <c:pt idx="2754">
                  <c:v>220148.43189219036</c:v>
                </c:pt>
                <c:pt idx="2755">
                  <c:v>221026.34262235023</c:v>
                </c:pt>
                <c:pt idx="2756">
                  <c:v>218615.12984696572</c:v>
                </c:pt>
                <c:pt idx="2757">
                  <c:v>218025.79485440793</c:v>
                </c:pt>
                <c:pt idx="2758">
                  <c:v>215236.64100824806</c:v>
                </c:pt>
                <c:pt idx="2759">
                  <c:v>212336.54916074532</c:v>
                </c:pt>
                <c:pt idx="2760">
                  <c:v>207372.9661431709</c:v>
                </c:pt>
                <c:pt idx="2761">
                  <c:v>206437.40374188675</c:v>
                </c:pt>
                <c:pt idx="2762">
                  <c:v>208493.90217206025</c:v>
                </c:pt>
                <c:pt idx="2763">
                  <c:v>208217.02815326586</c:v>
                </c:pt>
                <c:pt idx="2764">
                  <c:v>206562.41292799733</c:v>
                </c:pt>
                <c:pt idx="2765">
                  <c:v>202286.51313997759</c:v>
                </c:pt>
                <c:pt idx="2766">
                  <c:v>193341.87668750723</c:v>
                </c:pt>
                <c:pt idx="2767">
                  <c:v>193642.94912610826</c:v>
                </c:pt>
                <c:pt idx="2768">
                  <c:v>192646.29145234279</c:v>
                </c:pt>
                <c:pt idx="2769">
                  <c:v>188850.80038169932</c:v>
                </c:pt>
                <c:pt idx="2770">
                  <c:v>180343.17219577674</c:v>
                </c:pt>
                <c:pt idx="2771">
                  <c:v>187689.29922589633</c:v>
                </c:pt>
                <c:pt idx="2772">
                  <c:v>187689.29922589633</c:v>
                </c:pt>
                <c:pt idx="2773">
                  <c:v>187617.44148096524</c:v>
                </c:pt>
                <c:pt idx="2774">
                  <c:v>190264.75189172398</c:v>
                </c:pt>
                <c:pt idx="2775">
                  <c:v>190264.75189172398</c:v>
                </c:pt>
                <c:pt idx="2776">
                  <c:v>190264.75189172398</c:v>
                </c:pt>
                <c:pt idx="2777">
                  <c:v>186634.92252597984</c:v>
                </c:pt>
                <c:pt idx="2778">
                  <c:v>183403.45570815931</c:v>
                </c:pt>
                <c:pt idx="2779">
                  <c:v>187848.22063711952</c:v>
                </c:pt>
                <c:pt idx="2780">
                  <c:v>187337.24509873003</c:v>
                </c:pt>
                <c:pt idx="2781">
                  <c:v>187987.75880593157</c:v>
                </c:pt>
                <c:pt idx="2782">
                  <c:v>185981.15306065217</c:v>
                </c:pt>
                <c:pt idx="2783">
                  <c:v>182077.51620644101</c:v>
                </c:pt>
                <c:pt idx="2784">
                  <c:v>181932.73227290623</c:v>
                </c:pt>
                <c:pt idx="2785">
                  <c:v>187280.80293169786</c:v>
                </c:pt>
                <c:pt idx="2786">
                  <c:v>187677.39001710375</c:v>
                </c:pt>
                <c:pt idx="2787">
                  <c:v>187773.49153391976</c:v>
                </c:pt>
                <c:pt idx="2788">
                  <c:v>188790.71658055237</c:v>
                </c:pt>
                <c:pt idx="2789">
                  <c:v>188790.71658055237</c:v>
                </c:pt>
                <c:pt idx="2790">
                  <c:v>188790.71658055237</c:v>
                </c:pt>
                <c:pt idx="2791">
                  <c:v>188790.71658055237</c:v>
                </c:pt>
                <c:pt idx="2792">
                  <c:v>188790.71658055237</c:v>
                </c:pt>
                <c:pt idx="2793">
                  <c:v>188423.21257705442</c:v>
                </c:pt>
                <c:pt idx="2794">
                  <c:v>186759.38186608171</c:v>
                </c:pt>
                <c:pt idx="2795">
                  <c:v>187944.41394863164</c:v>
                </c:pt>
                <c:pt idx="2796">
                  <c:v>188925.9433700821</c:v>
                </c:pt>
                <c:pt idx="2797">
                  <c:v>191292.87926412732</c:v>
                </c:pt>
                <c:pt idx="2798">
                  <c:v>191577.30041597388</c:v>
                </c:pt>
                <c:pt idx="2799">
                  <c:v>191187.26857500093</c:v>
                </c:pt>
                <c:pt idx="2800">
                  <c:v>192370.17795459702</c:v>
                </c:pt>
                <c:pt idx="2801">
                  <c:v>193420.38591984846</c:v>
                </c:pt>
                <c:pt idx="2802">
                  <c:v>193217.64461980984</c:v>
                </c:pt>
                <c:pt idx="2803">
                  <c:v>193216.32168425689</c:v>
                </c:pt>
                <c:pt idx="2804">
                  <c:v>192763.21262730597</c:v>
                </c:pt>
                <c:pt idx="2805">
                  <c:v>190717.67956226994</c:v>
                </c:pt>
                <c:pt idx="2806">
                  <c:v>191355.5686541523</c:v>
                </c:pt>
                <c:pt idx="2807">
                  <c:v>185084.76251043612</c:v>
                </c:pt>
                <c:pt idx="2808">
                  <c:v>183447.48447876581</c:v>
                </c:pt>
                <c:pt idx="2809">
                  <c:v>183229.96066923582</c:v>
                </c:pt>
                <c:pt idx="2810">
                  <c:v>175285.57691060609</c:v>
                </c:pt>
                <c:pt idx="2811">
                  <c:v>175187.65450603989</c:v>
                </c:pt>
                <c:pt idx="2812">
                  <c:v>175108.27032521673</c:v>
                </c:pt>
                <c:pt idx="2813">
                  <c:v>174664.40533799693</c:v>
                </c:pt>
                <c:pt idx="2814">
                  <c:v>174730.28902896176</c:v>
                </c:pt>
                <c:pt idx="2815">
                  <c:v>177369.80122359455</c:v>
                </c:pt>
                <c:pt idx="2816">
                  <c:v>177571.23359175859</c:v>
                </c:pt>
                <c:pt idx="2817">
                  <c:v>177715.74849414633</c:v>
                </c:pt>
                <c:pt idx="2818">
                  <c:v>179318.26405882521</c:v>
                </c:pt>
                <c:pt idx="2819">
                  <c:v>180415.05853983754</c:v>
                </c:pt>
                <c:pt idx="2820">
                  <c:v>180864.9418221534</c:v>
                </c:pt>
                <c:pt idx="2821">
                  <c:v>180809.13819853423</c:v>
                </c:pt>
                <c:pt idx="2822">
                  <c:v>180495.49915786972</c:v>
                </c:pt>
                <c:pt idx="2823">
                  <c:v>180043.24115038957</c:v>
                </c:pt>
                <c:pt idx="2824">
                  <c:v>178376.48671206486</c:v>
                </c:pt>
                <c:pt idx="2825">
                  <c:v>178343.89356028687</c:v>
                </c:pt>
                <c:pt idx="2826">
                  <c:v>184122.91566107431</c:v>
                </c:pt>
                <c:pt idx="2827">
                  <c:v>184048.68614801942</c:v>
                </c:pt>
                <c:pt idx="2828">
                  <c:v>183504.4829459395</c:v>
                </c:pt>
                <c:pt idx="2829">
                  <c:v>186010.38246501141</c:v>
                </c:pt>
                <c:pt idx="2830">
                  <c:v>185759.64447653713</c:v>
                </c:pt>
                <c:pt idx="2831">
                  <c:v>184714.0758008564</c:v>
                </c:pt>
                <c:pt idx="2832">
                  <c:v>186414.61131329453</c:v>
                </c:pt>
                <c:pt idx="2833">
                  <c:v>185828.73786932352</c:v>
                </c:pt>
                <c:pt idx="2834">
                  <c:v>190865.91188235447</c:v>
                </c:pt>
                <c:pt idx="2835">
                  <c:v>190865.91188235447</c:v>
                </c:pt>
                <c:pt idx="2836">
                  <c:v>190890.00906348115</c:v>
                </c:pt>
                <c:pt idx="2837">
                  <c:v>190919.26125633658</c:v>
                </c:pt>
                <c:pt idx="2838">
                  <c:v>190650.05242635726</c:v>
                </c:pt>
                <c:pt idx="2839">
                  <c:v>186816.88011064191</c:v>
                </c:pt>
                <c:pt idx="2840">
                  <c:v>188287.30101390067</c:v>
                </c:pt>
                <c:pt idx="2841">
                  <c:v>187678.5895094829</c:v>
                </c:pt>
                <c:pt idx="2842">
                  <c:v>185007.58101689946</c:v>
                </c:pt>
                <c:pt idx="2843">
                  <c:v>188789.66387958699</c:v>
                </c:pt>
                <c:pt idx="2844">
                  <c:v>189037.4418008957</c:v>
                </c:pt>
                <c:pt idx="2845">
                  <c:v>189193.79709758156</c:v>
                </c:pt>
                <c:pt idx="2846">
                  <c:v>189752.8836101052</c:v>
                </c:pt>
                <c:pt idx="2847">
                  <c:v>190354.4424944011</c:v>
                </c:pt>
                <c:pt idx="2848">
                  <c:v>189669.22918957614</c:v>
                </c:pt>
                <c:pt idx="2849">
                  <c:v>189811.00843160032</c:v>
                </c:pt>
                <c:pt idx="2850">
                  <c:v>189725.21315573648</c:v>
                </c:pt>
                <c:pt idx="2851">
                  <c:v>190244.01438356345</c:v>
                </c:pt>
                <c:pt idx="2852">
                  <c:v>191236.7883693433</c:v>
                </c:pt>
                <c:pt idx="2853">
                  <c:v>191122.71794028222</c:v>
                </c:pt>
                <c:pt idx="2854">
                  <c:v>191698.67732353043</c:v>
                </c:pt>
                <c:pt idx="2855">
                  <c:v>193222.21906592799</c:v>
                </c:pt>
                <c:pt idx="2856">
                  <c:v>192068.27847846464</c:v>
                </c:pt>
                <c:pt idx="2857">
                  <c:v>193490.17471546642</c:v>
                </c:pt>
                <c:pt idx="2858">
                  <c:v>193951.00854886218</c:v>
                </c:pt>
                <c:pt idx="2859">
                  <c:v>194805.11630442055</c:v>
                </c:pt>
                <c:pt idx="2860">
                  <c:v>197258.22854959773</c:v>
                </c:pt>
                <c:pt idx="2861">
                  <c:v>201698.05749429268</c:v>
                </c:pt>
                <c:pt idx="2862">
                  <c:v>201698.05749429268</c:v>
                </c:pt>
                <c:pt idx="2863">
                  <c:v>201698.05749429268</c:v>
                </c:pt>
                <c:pt idx="2864">
                  <c:v>201698.05749429268</c:v>
                </c:pt>
                <c:pt idx="2865">
                  <c:v>202041.66843308345</c:v>
                </c:pt>
                <c:pt idx="2866">
                  <c:v>201316.71162253359</c:v>
                </c:pt>
                <c:pt idx="2867">
                  <c:v>200782.69444254431</c:v>
                </c:pt>
                <c:pt idx="2868">
                  <c:v>201757.4900591264</c:v>
                </c:pt>
                <c:pt idx="2869">
                  <c:v>202653.99284313287</c:v>
                </c:pt>
                <c:pt idx="2870">
                  <c:v>202601.8924012612</c:v>
                </c:pt>
                <c:pt idx="2871">
                  <c:v>203402.16778378672</c:v>
                </c:pt>
                <c:pt idx="2872">
                  <c:v>203432.11964745907</c:v>
                </c:pt>
                <c:pt idx="2873">
                  <c:v>202523.56101288612</c:v>
                </c:pt>
                <c:pt idx="2874">
                  <c:v>202069.41809826755</c:v>
                </c:pt>
                <c:pt idx="2875">
                  <c:v>197676.65683907998</c:v>
                </c:pt>
                <c:pt idx="2876">
                  <c:v>199019.53668880096</c:v>
                </c:pt>
                <c:pt idx="2877">
                  <c:v>200858.36060251668</c:v>
                </c:pt>
                <c:pt idx="2878">
                  <c:v>200496.95371729671</c:v>
                </c:pt>
                <c:pt idx="2879">
                  <c:v>200264.66255094152</c:v>
                </c:pt>
                <c:pt idx="2880">
                  <c:v>201465.15883955089</c:v>
                </c:pt>
                <c:pt idx="2881">
                  <c:v>201581.57511104335</c:v>
                </c:pt>
                <c:pt idx="2882">
                  <c:v>203766.21405274133</c:v>
                </c:pt>
                <c:pt idx="2883">
                  <c:v>203413.92897714698</c:v>
                </c:pt>
                <c:pt idx="2884">
                  <c:v>204303.9451965857</c:v>
                </c:pt>
                <c:pt idx="2885">
                  <c:v>203910.7947269631</c:v>
                </c:pt>
                <c:pt idx="2886">
                  <c:v>204009.37436389987</c:v>
                </c:pt>
                <c:pt idx="2887">
                  <c:v>202672.78218608283</c:v>
                </c:pt>
                <c:pt idx="2888">
                  <c:v>202833.26798763429</c:v>
                </c:pt>
                <c:pt idx="2889">
                  <c:v>211541.79263013418</c:v>
                </c:pt>
                <c:pt idx="2890">
                  <c:v>211541.79263013418</c:v>
                </c:pt>
                <c:pt idx="2891">
                  <c:v>211541.79263013418</c:v>
                </c:pt>
                <c:pt idx="2892">
                  <c:v>200132.79370729628</c:v>
                </c:pt>
                <c:pt idx="2893">
                  <c:v>197112.44817282396</c:v>
                </c:pt>
                <c:pt idx="2894">
                  <c:v>198780.82229958323</c:v>
                </c:pt>
                <c:pt idx="2895">
                  <c:v>198858.48548716909</c:v>
                </c:pt>
                <c:pt idx="2896">
                  <c:v>200858.43451376111</c:v>
                </c:pt>
                <c:pt idx="2897">
                  <c:v>200244.70352992057</c:v>
                </c:pt>
                <c:pt idx="2898">
                  <c:v>200737.77761569407</c:v>
                </c:pt>
                <c:pt idx="2899">
                  <c:v>199806.08179238281</c:v>
                </c:pt>
                <c:pt idx="2900">
                  <c:v>200811.79454311059</c:v>
                </c:pt>
                <c:pt idx="2901">
                  <c:v>199912.9096953806</c:v>
                </c:pt>
                <c:pt idx="2902">
                  <c:v>199440.7694002577</c:v>
                </c:pt>
                <c:pt idx="2903">
                  <c:v>199535.54672663833</c:v>
                </c:pt>
                <c:pt idx="2904">
                  <c:v>200705.9995276618</c:v>
                </c:pt>
                <c:pt idx="2905">
                  <c:v>203847.15522269486</c:v>
                </c:pt>
                <c:pt idx="2906">
                  <c:v>203788.25531749355</c:v>
                </c:pt>
                <c:pt idx="2907">
                  <c:v>203751.20539698401</c:v>
                </c:pt>
                <c:pt idx="2908">
                  <c:v>203926.04544271436</c:v>
                </c:pt>
                <c:pt idx="2909">
                  <c:v>204155.73968042512</c:v>
                </c:pt>
                <c:pt idx="2910">
                  <c:v>203977.97573510546</c:v>
                </c:pt>
                <c:pt idx="2911">
                  <c:v>204310.59806669809</c:v>
                </c:pt>
                <c:pt idx="2912">
                  <c:v>204795.4795343804</c:v>
                </c:pt>
                <c:pt idx="2913">
                  <c:v>204746.80294453501</c:v>
                </c:pt>
                <c:pt idx="2914">
                  <c:v>204614.0754809434</c:v>
                </c:pt>
                <c:pt idx="2915">
                  <c:v>204969.13217330127</c:v>
                </c:pt>
                <c:pt idx="2916">
                  <c:v>205916.08555667082</c:v>
                </c:pt>
                <c:pt idx="2917">
                  <c:v>205905.94437182695</c:v>
                </c:pt>
                <c:pt idx="2918">
                  <c:v>206482.28306419443</c:v>
                </c:pt>
                <c:pt idx="2919">
                  <c:v>206621.05375141476</c:v>
                </c:pt>
                <c:pt idx="2920">
                  <c:v>206621.05375141476</c:v>
                </c:pt>
                <c:pt idx="2921">
                  <c:v>207489.97570198469</c:v>
                </c:pt>
                <c:pt idx="2922">
                  <c:v>207000.57508766107</c:v>
                </c:pt>
                <c:pt idx="2923">
                  <c:v>208007.46113411829</c:v>
                </c:pt>
                <c:pt idx="2924">
                  <c:v>207178.70481507815</c:v>
                </c:pt>
                <c:pt idx="2925">
                  <c:v>204662.47477366653</c:v>
                </c:pt>
                <c:pt idx="2926">
                  <c:v>202515.23878513009</c:v>
                </c:pt>
                <c:pt idx="2927">
                  <c:v>204278.22941588901</c:v>
                </c:pt>
                <c:pt idx="2928">
                  <c:v>205900.4207206897</c:v>
                </c:pt>
                <c:pt idx="2929">
                  <c:v>206218.8564751852</c:v>
                </c:pt>
                <c:pt idx="2930">
                  <c:v>206073.33800151251</c:v>
                </c:pt>
                <c:pt idx="2931">
                  <c:v>205497.2879925764</c:v>
                </c:pt>
                <c:pt idx="2932">
                  <c:v>206338.39335423385</c:v>
                </c:pt>
                <c:pt idx="2933">
                  <c:v>205853.361583333</c:v>
                </c:pt>
                <c:pt idx="2934">
                  <c:v>205004.40553904104</c:v>
                </c:pt>
                <c:pt idx="2935">
                  <c:v>204891.48914433256</c:v>
                </c:pt>
                <c:pt idx="2936">
                  <c:v>205443.44363165175</c:v>
                </c:pt>
                <c:pt idx="2937">
                  <c:v>207993.40511224707</c:v>
                </c:pt>
                <c:pt idx="2938">
                  <c:v>208616.97144286201</c:v>
                </c:pt>
                <c:pt idx="2939">
                  <c:v>208706.08411681291</c:v>
                </c:pt>
                <c:pt idx="2940">
                  <c:v>208311.26209004509</c:v>
                </c:pt>
                <c:pt idx="2941">
                  <c:v>209177.8253655817</c:v>
                </c:pt>
                <c:pt idx="2942">
                  <c:v>209255.95062020631</c:v>
                </c:pt>
                <c:pt idx="2943">
                  <c:v>209341.80786790815</c:v>
                </c:pt>
                <c:pt idx="2944">
                  <c:v>210982.91012066332</c:v>
                </c:pt>
                <c:pt idx="2945">
                  <c:v>210922.16450995969</c:v>
                </c:pt>
                <c:pt idx="2946">
                  <c:v>210112.91991288925</c:v>
                </c:pt>
                <c:pt idx="2947">
                  <c:v>209598.92377226855</c:v>
                </c:pt>
                <c:pt idx="2948">
                  <c:v>210146.51397069285</c:v>
                </c:pt>
                <c:pt idx="2949">
                  <c:v>209785.80656818609</c:v>
                </c:pt>
                <c:pt idx="2950">
                  <c:v>204789.40259826387</c:v>
                </c:pt>
                <c:pt idx="2951">
                  <c:v>208319.98109549619</c:v>
                </c:pt>
                <c:pt idx="2952">
                  <c:v>208759.29196945016</c:v>
                </c:pt>
                <c:pt idx="2953">
                  <c:v>208695.37869507927</c:v>
                </c:pt>
                <c:pt idx="2954">
                  <c:v>208533.77813951889</c:v>
                </c:pt>
                <c:pt idx="2955">
                  <c:v>208120.44384533688</c:v>
                </c:pt>
                <c:pt idx="2956">
                  <c:v>207502.5027870003</c:v>
                </c:pt>
                <c:pt idx="2957">
                  <c:v>208704.59760055874</c:v>
                </c:pt>
                <c:pt idx="2958">
                  <c:v>209260.77001168081</c:v>
                </c:pt>
                <c:pt idx="2959">
                  <c:v>209206.49319479158</c:v>
                </c:pt>
                <c:pt idx="2960">
                  <c:v>210020.01917836536</c:v>
                </c:pt>
                <c:pt idx="2961">
                  <c:v>208991.37200193779</c:v>
                </c:pt>
                <c:pt idx="2962">
                  <c:v>208331.54919088149</c:v>
                </c:pt>
                <c:pt idx="2963">
                  <c:v>206799.53337090265</c:v>
                </c:pt>
                <c:pt idx="2964">
                  <c:v>205773.43967729114</c:v>
                </c:pt>
                <c:pt idx="2965">
                  <c:v>202009.74547623444</c:v>
                </c:pt>
                <c:pt idx="2966">
                  <c:v>195643.70524367108</c:v>
                </c:pt>
                <c:pt idx="2967">
                  <c:v>200252.57676750311</c:v>
                </c:pt>
                <c:pt idx="2968">
                  <c:v>199868.79401701374</c:v>
                </c:pt>
                <c:pt idx="2969">
                  <c:v>199524.30992412355</c:v>
                </c:pt>
                <c:pt idx="2970">
                  <c:v>198681.22686345768</c:v>
                </c:pt>
                <c:pt idx="2971">
                  <c:v>199508.42573174083</c:v>
                </c:pt>
                <c:pt idx="2972">
                  <c:v>194258.89812128129</c:v>
                </c:pt>
                <c:pt idx="2973">
                  <c:v>193138.9411238262</c:v>
                </c:pt>
                <c:pt idx="2974">
                  <c:v>194398.34099919457</c:v>
                </c:pt>
                <c:pt idx="2975">
                  <c:v>193104.36815955272</c:v>
                </c:pt>
                <c:pt idx="2976">
                  <c:v>192204.94884907905</c:v>
                </c:pt>
                <c:pt idx="2977">
                  <c:v>195317.6688746257</c:v>
                </c:pt>
                <c:pt idx="2978">
                  <c:v>195368.129337105</c:v>
                </c:pt>
                <c:pt idx="2979">
                  <c:v>195293.06059166338</c:v>
                </c:pt>
                <c:pt idx="2980">
                  <c:v>195297.94050068266</c:v>
                </c:pt>
                <c:pt idx="2981">
                  <c:v>197252.37746624765</c:v>
                </c:pt>
                <c:pt idx="2982">
                  <c:v>196880.76966359626</c:v>
                </c:pt>
                <c:pt idx="2983">
                  <c:v>197776.07263100549</c:v>
                </c:pt>
                <c:pt idx="2984">
                  <c:v>197106.19464799491</c:v>
                </c:pt>
                <c:pt idx="2985">
                  <c:v>194811.89468777509</c:v>
                </c:pt>
                <c:pt idx="2986">
                  <c:v>192048.92109016425</c:v>
                </c:pt>
                <c:pt idx="2987">
                  <c:v>188575.74205119797</c:v>
                </c:pt>
                <c:pt idx="2988">
                  <c:v>187853.12217585635</c:v>
                </c:pt>
                <c:pt idx="2989">
                  <c:v>188620.73916341277</c:v>
                </c:pt>
                <c:pt idx="2990">
                  <c:v>187936.43469460687</c:v>
                </c:pt>
                <c:pt idx="2991">
                  <c:v>186913.02492283969</c:v>
                </c:pt>
                <c:pt idx="2992">
                  <c:v>188318.52949147022</c:v>
                </c:pt>
                <c:pt idx="2993">
                  <c:v>189460.30050787964</c:v>
                </c:pt>
                <c:pt idx="2994">
                  <c:v>187804.42979006586</c:v>
                </c:pt>
                <c:pt idx="2995">
                  <c:v>184462.13309543667</c:v>
                </c:pt>
                <c:pt idx="2996">
                  <c:v>184169.53607637019</c:v>
                </c:pt>
                <c:pt idx="2997">
                  <c:v>184091.38526216487</c:v>
                </c:pt>
                <c:pt idx="2998">
                  <c:v>182177.88770154247</c:v>
                </c:pt>
                <c:pt idx="2999">
                  <c:v>183198.59436864697</c:v>
                </c:pt>
                <c:pt idx="3000">
                  <c:v>182614.37881295598</c:v>
                </c:pt>
                <c:pt idx="3001">
                  <c:v>180298.40239960869</c:v>
                </c:pt>
                <c:pt idx="3002">
                  <c:v>180435.6791694689</c:v>
                </c:pt>
                <c:pt idx="3003">
                  <c:v>180289.86846266282</c:v>
                </c:pt>
                <c:pt idx="3004">
                  <c:v>180689.65621957989</c:v>
                </c:pt>
                <c:pt idx="3005">
                  <c:v>183096.98009500574</c:v>
                </c:pt>
                <c:pt idx="3006">
                  <c:v>184374.18551729721</c:v>
                </c:pt>
                <c:pt idx="3007">
                  <c:v>183773.73225439945</c:v>
                </c:pt>
                <c:pt idx="3008">
                  <c:v>182091.72684674553</c:v>
                </c:pt>
                <c:pt idx="3009">
                  <c:v>186788.89164265519</c:v>
                </c:pt>
                <c:pt idx="3010">
                  <c:v>186594.7112032696</c:v>
                </c:pt>
                <c:pt idx="3011">
                  <c:v>186865.9252572782</c:v>
                </c:pt>
                <c:pt idx="3012">
                  <c:v>186126.57987706704</c:v>
                </c:pt>
                <c:pt idx="3013">
                  <c:v>186966.91209122245</c:v>
                </c:pt>
                <c:pt idx="3014">
                  <c:v>188362.36015169119</c:v>
                </c:pt>
                <c:pt idx="3015">
                  <c:v>189310.83616455793</c:v>
                </c:pt>
                <c:pt idx="3016">
                  <c:v>189421.86828065058</c:v>
                </c:pt>
                <c:pt idx="3017">
                  <c:v>189604.90539256562</c:v>
                </c:pt>
                <c:pt idx="3018">
                  <c:v>189608.51804574227</c:v>
                </c:pt>
                <c:pt idx="3019">
                  <c:v>189633.15921137773</c:v>
                </c:pt>
                <c:pt idx="3020">
                  <c:v>189554.42456439196</c:v>
                </c:pt>
                <c:pt idx="3021">
                  <c:v>189794.33863015124</c:v>
                </c:pt>
                <c:pt idx="3022">
                  <c:v>189687.72062917153</c:v>
                </c:pt>
                <c:pt idx="3023">
                  <c:v>188497.38101562444</c:v>
                </c:pt>
                <c:pt idx="3024">
                  <c:v>188231.70044094941</c:v>
                </c:pt>
                <c:pt idx="3025">
                  <c:v>187847.36679155903</c:v>
                </c:pt>
                <c:pt idx="3026">
                  <c:v>193905.78491528856</c:v>
                </c:pt>
                <c:pt idx="3027">
                  <c:v>193905.78491528856</c:v>
                </c:pt>
                <c:pt idx="3028">
                  <c:v>193905.78491528856</c:v>
                </c:pt>
                <c:pt idx="3029">
                  <c:v>195477.96491611519</c:v>
                </c:pt>
                <c:pt idx="3030">
                  <c:v>202658.50030650108</c:v>
                </c:pt>
                <c:pt idx="3031">
                  <c:v>202658.50030650108</c:v>
                </c:pt>
                <c:pt idx="3032">
                  <c:v>202658.50030650108</c:v>
                </c:pt>
                <c:pt idx="3033">
                  <c:v>202638.10946708676</c:v>
                </c:pt>
                <c:pt idx="3034">
                  <c:v>203555.24552308815</c:v>
                </c:pt>
                <c:pt idx="3035">
                  <c:v>203400.02584480456</c:v>
                </c:pt>
                <c:pt idx="3036">
                  <c:v>203151.95929410242</c:v>
                </c:pt>
                <c:pt idx="3037">
                  <c:v>199447.88128534402</c:v>
                </c:pt>
                <c:pt idx="3038">
                  <c:v>193138.3722521342</c:v>
                </c:pt>
                <c:pt idx="3039">
                  <c:v>196818.4607173244</c:v>
                </c:pt>
                <c:pt idx="3040">
                  <c:v>197003.03304037114</c:v>
                </c:pt>
                <c:pt idx="3041">
                  <c:v>196887.26648222032</c:v>
                </c:pt>
                <c:pt idx="3042">
                  <c:v>195889.66206299944</c:v>
                </c:pt>
                <c:pt idx="3043">
                  <c:v>195135.42162244566</c:v>
                </c:pt>
                <c:pt idx="3044">
                  <c:v>195506.78500779803</c:v>
                </c:pt>
                <c:pt idx="3045">
                  <c:v>195221.92366073874</c:v>
                </c:pt>
                <c:pt idx="3046">
                  <c:v>198684.51362983539</c:v>
                </c:pt>
                <c:pt idx="3047">
                  <c:v>198757.31662381976</c:v>
                </c:pt>
                <c:pt idx="3048">
                  <c:v>198627.02659568941</c:v>
                </c:pt>
                <c:pt idx="3049">
                  <c:v>198329.87111097781</c:v>
                </c:pt>
                <c:pt idx="3050">
                  <c:v>199477.71461219277</c:v>
                </c:pt>
                <c:pt idx="3051">
                  <c:v>197786.93191991857</c:v>
                </c:pt>
                <c:pt idx="3052">
                  <c:v>198349.78460487101</c:v>
                </c:pt>
                <c:pt idx="3053">
                  <c:v>198343.8413133838</c:v>
                </c:pt>
                <c:pt idx="3054">
                  <c:v>198057.83526368334</c:v>
                </c:pt>
                <c:pt idx="3055">
                  <c:v>195434.3872790735</c:v>
                </c:pt>
                <c:pt idx="3056">
                  <c:v>194547.31421944735</c:v>
                </c:pt>
                <c:pt idx="3057">
                  <c:v>194815.18725658034</c:v>
                </c:pt>
                <c:pt idx="3058">
                  <c:v>194789.81388654845</c:v>
                </c:pt>
                <c:pt idx="3059">
                  <c:v>196964.76535398178</c:v>
                </c:pt>
                <c:pt idx="3060">
                  <c:v>196964.76535398178</c:v>
                </c:pt>
                <c:pt idx="3061">
                  <c:v>196789.27131035505</c:v>
                </c:pt>
                <c:pt idx="3062">
                  <c:v>197918.54745850436</c:v>
                </c:pt>
                <c:pt idx="3063">
                  <c:v>197592.2660658274</c:v>
                </c:pt>
                <c:pt idx="3064">
                  <c:v>198603.10286650475</c:v>
                </c:pt>
                <c:pt idx="3065">
                  <c:v>197431.63748039192</c:v>
                </c:pt>
                <c:pt idx="3066">
                  <c:v>197358.46281348643</c:v>
                </c:pt>
                <c:pt idx="3067">
                  <c:v>195382.97497204843</c:v>
                </c:pt>
                <c:pt idx="3068">
                  <c:v>196780.42236445122</c:v>
                </c:pt>
                <c:pt idx="3069">
                  <c:v>197214.15105979322</c:v>
                </c:pt>
                <c:pt idx="3070">
                  <c:v>199374.65781776852</c:v>
                </c:pt>
                <c:pt idx="3071">
                  <c:v>197999.88681094779</c:v>
                </c:pt>
                <c:pt idx="3072">
                  <c:v>192683.01877484494</c:v>
                </c:pt>
                <c:pt idx="3073">
                  <c:v>193089.67051382337</c:v>
                </c:pt>
                <c:pt idx="3074">
                  <c:v>192632.4717489476</c:v>
                </c:pt>
                <c:pt idx="3075">
                  <c:v>192493.53506539072</c:v>
                </c:pt>
                <c:pt idx="3076">
                  <c:v>190925.23031644043</c:v>
                </c:pt>
                <c:pt idx="3077">
                  <c:v>190432.69853206849</c:v>
                </c:pt>
                <c:pt idx="3078">
                  <c:v>182798.68120110343</c:v>
                </c:pt>
                <c:pt idx="3079">
                  <c:v>178640.05373690359</c:v>
                </c:pt>
                <c:pt idx="3080">
                  <c:v>179447.32305017862</c:v>
                </c:pt>
                <c:pt idx="3081">
                  <c:v>177986.87624202852</c:v>
                </c:pt>
                <c:pt idx="3082">
                  <c:v>178943.13484572907</c:v>
                </c:pt>
                <c:pt idx="3083">
                  <c:v>178814.64786121063</c:v>
                </c:pt>
                <c:pt idx="3084">
                  <c:v>179059.98646043561</c:v>
                </c:pt>
                <c:pt idx="3085">
                  <c:v>175028.08124127644</c:v>
                </c:pt>
                <c:pt idx="3086">
                  <c:v>173109.71091651669</c:v>
                </c:pt>
                <c:pt idx="3087">
                  <c:v>169769.33159878338</c:v>
                </c:pt>
                <c:pt idx="3088">
                  <c:v>172110.31313908374</c:v>
                </c:pt>
                <c:pt idx="3089">
                  <c:v>177390.82185157275</c:v>
                </c:pt>
                <c:pt idx="3090">
                  <c:v>177390.82185157275</c:v>
                </c:pt>
                <c:pt idx="3091">
                  <c:v>177367.33872269903</c:v>
                </c:pt>
                <c:pt idx="3092">
                  <c:v>176423.03657670683</c:v>
                </c:pt>
                <c:pt idx="3093">
                  <c:v>173258.80495690173</c:v>
                </c:pt>
                <c:pt idx="3094">
                  <c:v>174506.57975125409</c:v>
                </c:pt>
                <c:pt idx="3095">
                  <c:v>174779.99861770202</c:v>
                </c:pt>
                <c:pt idx="3096">
                  <c:v>174232.92419275918</c:v>
                </c:pt>
                <c:pt idx="3097">
                  <c:v>174466.58320683031</c:v>
                </c:pt>
                <c:pt idx="3098">
                  <c:v>174468.5825903792</c:v>
                </c:pt>
                <c:pt idx="3099">
                  <c:v>174442.05232803003</c:v>
                </c:pt>
                <c:pt idx="3100">
                  <c:v>174047.44471261255</c:v>
                </c:pt>
                <c:pt idx="3101">
                  <c:v>174134.25043412141</c:v>
                </c:pt>
                <c:pt idx="3102">
                  <c:v>174128.23604431035</c:v>
                </c:pt>
                <c:pt idx="3103">
                  <c:v>173838.86673811084</c:v>
                </c:pt>
                <c:pt idx="3104">
                  <c:v>173311.61439559035</c:v>
                </c:pt>
                <c:pt idx="3105">
                  <c:v>173184.67822181282</c:v>
                </c:pt>
                <c:pt idx="3106">
                  <c:v>174193.67288847634</c:v>
                </c:pt>
                <c:pt idx="3107">
                  <c:v>179574.21220864655</c:v>
                </c:pt>
                <c:pt idx="3108">
                  <c:v>177578.21479476694</c:v>
                </c:pt>
                <c:pt idx="3109">
                  <c:v>179791.42446681391</c:v>
                </c:pt>
                <c:pt idx="3110">
                  <c:v>178574.51352939731</c:v>
                </c:pt>
                <c:pt idx="3111">
                  <c:v>179734.88242207799</c:v>
                </c:pt>
                <c:pt idx="3112">
                  <c:v>178225.58818661771</c:v>
                </c:pt>
                <c:pt idx="3113">
                  <c:v>179975.21130022715</c:v>
                </c:pt>
                <c:pt idx="3114">
                  <c:v>185744.56547961518</c:v>
                </c:pt>
                <c:pt idx="3115">
                  <c:v>183033.00859607387</c:v>
                </c:pt>
                <c:pt idx="3116">
                  <c:v>181909.88026784259</c:v>
                </c:pt>
                <c:pt idx="3117">
                  <c:v>178493.53172438915</c:v>
                </c:pt>
                <c:pt idx="3118">
                  <c:v>182004.73977191024</c:v>
                </c:pt>
                <c:pt idx="3119">
                  <c:v>182194.49173059079</c:v>
                </c:pt>
                <c:pt idx="3120">
                  <c:v>183628.69801057159</c:v>
                </c:pt>
                <c:pt idx="3121">
                  <c:v>176752.81768784299</c:v>
                </c:pt>
                <c:pt idx="3122">
                  <c:v>175064.63219427882</c:v>
                </c:pt>
                <c:pt idx="3123">
                  <c:v>175305.97417119503</c:v>
                </c:pt>
                <c:pt idx="3124">
                  <c:v>175236.30786315736</c:v>
                </c:pt>
                <c:pt idx="3125">
                  <c:v>173577.19794143573</c:v>
                </c:pt>
                <c:pt idx="3126">
                  <c:v>175245.76733705951</c:v>
                </c:pt>
                <c:pt idx="3127">
                  <c:v>174216.51169878535</c:v>
                </c:pt>
                <c:pt idx="3128">
                  <c:v>174098.53337094141</c:v>
                </c:pt>
                <c:pt idx="3129">
                  <c:v>173937.83128018235</c:v>
                </c:pt>
                <c:pt idx="3130">
                  <c:v>172227.63484474187</c:v>
                </c:pt>
                <c:pt idx="3131">
                  <c:v>173530.44446992213</c:v>
                </c:pt>
                <c:pt idx="3132">
                  <c:v>175437.47589693961</c:v>
                </c:pt>
                <c:pt idx="3133">
                  <c:v>179009.42521984634</c:v>
                </c:pt>
                <c:pt idx="3134">
                  <c:v>167184.2675614412</c:v>
                </c:pt>
                <c:pt idx="3135">
                  <c:v>167287.16552895511</c:v>
                </c:pt>
                <c:pt idx="3136">
                  <c:v>166687.19877637946</c:v>
                </c:pt>
                <c:pt idx="3137">
                  <c:v>166611.20626058072</c:v>
                </c:pt>
                <c:pt idx="3138">
                  <c:v>166621.87014697987</c:v>
                </c:pt>
                <c:pt idx="3139">
                  <c:v>166705.53843967008</c:v>
                </c:pt>
                <c:pt idx="3140">
                  <c:v>166976.64573615498</c:v>
                </c:pt>
                <c:pt idx="3141">
                  <c:v>167672.15187779829</c:v>
                </c:pt>
                <c:pt idx="3142">
                  <c:v>165662.98413058894</c:v>
                </c:pt>
                <c:pt idx="3143">
                  <c:v>165885.18663906617</c:v>
                </c:pt>
                <c:pt idx="3144">
                  <c:v>165696.68866521248</c:v>
                </c:pt>
                <c:pt idx="3145">
                  <c:v>165262.30326873381</c:v>
                </c:pt>
                <c:pt idx="3146">
                  <c:v>167403.10355804741</c:v>
                </c:pt>
                <c:pt idx="3147">
                  <c:v>166687.87527117576</c:v>
                </c:pt>
                <c:pt idx="3148">
                  <c:v>168988.45432695939</c:v>
                </c:pt>
                <c:pt idx="3149">
                  <c:v>165238.41078353921</c:v>
                </c:pt>
                <c:pt idx="3150">
                  <c:v>165395.86356403891</c:v>
                </c:pt>
                <c:pt idx="3151">
                  <c:v>165418.89018099371</c:v>
                </c:pt>
                <c:pt idx="3152">
                  <c:v>165051.92235542895</c:v>
                </c:pt>
                <c:pt idx="3153">
                  <c:v>166075.95793235922</c:v>
                </c:pt>
                <c:pt idx="3154">
                  <c:v>165324.9076679931</c:v>
                </c:pt>
                <c:pt idx="3155">
                  <c:v>165121.44354711924</c:v>
                </c:pt>
                <c:pt idx="3156">
                  <c:v>163379.64819755772</c:v>
                </c:pt>
                <c:pt idx="3157">
                  <c:v>163519.69349013802</c:v>
                </c:pt>
                <c:pt idx="3158">
                  <c:v>164041.56815487787</c:v>
                </c:pt>
                <c:pt idx="3159">
                  <c:v>163468.85648405075</c:v>
                </c:pt>
                <c:pt idx="3160">
                  <c:v>164061.3618476043</c:v>
                </c:pt>
                <c:pt idx="3161">
                  <c:v>166743.01197451388</c:v>
                </c:pt>
                <c:pt idx="3162">
                  <c:v>166738.12744667754</c:v>
                </c:pt>
                <c:pt idx="3163">
                  <c:v>171415.59987316522</c:v>
                </c:pt>
                <c:pt idx="3164">
                  <c:v>171834.75171070624</c:v>
                </c:pt>
                <c:pt idx="3165">
                  <c:v>173007.95421121045</c:v>
                </c:pt>
                <c:pt idx="3166">
                  <c:v>182180.80730665676</c:v>
                </c:pt>
                <c:pt idx="3167">
                  <c:v>191642.22025114758</c:v>
                </c:pt>
                <c:pt idx="3168">
                  <c:v>216673.84731506582</c:v>
                </c:pt>
                <c:pt idx="3169">
                  <c:v>217152.6002761588</c:v>
                </c:pt>
                <c:pt idx="3170">
                  <c:v>212081.42308415376</c:v>
                </c:pt>
                <c:pt idx="3171">
                  <c:v>219644.75465398081</c:v>
                </c:pt>
                <c:pt idx="3172">
                  <c:v>229599.73682169206</c:v>
                </c:pt>
                <c:pt idx="3173">
                  <c:v>212224.82388220559</c:v>
                </c:pt>
                <c:pt idx="3174">
                  <c:v>214569.74740805692</c:v>
                </c:pt>
                <c:pt idx="3175">
                  <c:v>211704.64252866342</c:v>
                </c:pt>
                <c:pt idx="3176">
                  <c:v>218738.30290992538</c:v>
                </c:pt>
                <c:pt idx="3177">
                  <c:v>224076.18795386775</c:v>
                </c:pt>
                <c:pt idx="3178">
                  <c:v>218437.19958014981</c:v>
                </c:pt>
                <c:pt idx="3179">
                  <c:v>220932.68309427824</c:v>
                </c:pt>
                <c:pt idx="3180">
                  <c:v>215809.08560508146</c:v>
                </c:pt>
                <c:pt idx="3181">
                  <c:v>223876.04949065714</c:v>
                </c:pt>
                <c:pt idx="3182">
                  <c:v>210248.71010519125</c:v>
                </c:pt>
                <c:pt idx="3183">
                  <c:v>211414.10394510708</c:v>
                </c:pt>
                <c:pt idx="3184">
                  <c:v>209940.63620391089</c:v>
                </c:pt>
                <c:pt idx="3185">
                  <c:v>213755.72376505952</c:v>
                </c:pt>
                <c:pt idx="3186">
                  <c:v>217042.07077533446</c:v>
                </c:pt>
                <c:pt idx="3187">
                  <c:v>217122.24764745645</c:v>
                </c:pt>
                <c:pt idx="3188">
                  <c:v>233703.50171117875</c:v>
                </c:pt>
                <c:pt idx="3189">
                  <c:v>218762.95930813541</c:v>
                </c:pt>
                <c:pt idx="3190">
                  <c:v>215599.69268952936</c:v>
                </c:pt>
                <c:pt idx="3191">
                  <c:v>216634.11377270898</c:v>
                </c:pt>
                <c:pt idx="3192">
                  <c:v>215304.99450097079</c:v>
                </c:pt>
                <c:pt idx="3193">
                  <c:v>213616.38748624621</c:v>
                </c:pt>
                <c:pt idx="3194">
                  <c:v>214198.92868463864</c:v>
                </c:pt>
                <c:pt idx="3195">
                  <c:v>215424.22645608991</c:v>
                </c:pt>
                <c:pt idx="3196">
                  <c:v>209935.82044234977</c:v>
                </c:pt>
                <c:pt idx="3197">
                  <c:v>210446.54569952536</c:v>
                </c:pt>
                <c:pt idx="3198">
                  <c:v>208766.99853763473</c:v>
                </c:pt>
                <c:pt idx="3199">
                  <c:v>210449.56089499523</c:v>
                </c:pt>
                <c:pt idx="3200">
                  <c:v>209897.46095894827</c:v>
                </c:pt>
                <c:pt idx="3201">
                  <c:v>211399.44708729209</c:v>
                </c:pt>
                <c:pt idx="3202">
                  <c:v>214355.32444680971</c:v>
                </c:pt>
                <c:pt idx="3203">
                  <c:v>221850.24308930777</c:v>
                </c:pt>
                <c:pt idx="3204">
                  <c:v>199999.71493527511</c:v>
                </c:pt>
                <c:pt idx="3205">
                  <c:v>198079.16012307542</c:v>
                </c:pt>
                <c:pt idx="3206">
                  <c:v>198027.74778066069</c:v>
                </c:pt>
                <c:pt idx="3207">
                  <c:v>198001.83610742615</c:v>
                </c:pt>
                <c:pt idx="3208">
                  <c:v>197991.33896373759</c:v>
                </c:pt>
                <c:pt idx="3209">
                  <c:v>197987.65887463582</c:v>
                </c:pt>
                <c:pt idx="3210">
                  <c:v>197980.1879467793</c:v>
                </c:pt>
                <c:pt idx="3211">
                  <c:v>197997.39722280661</c:v>
                </c:pt>
                <c:pt idx="3212">
                  <c:v>199251.68536902056</c:v>
                </c:pt>
                <c:pt idx="3213">
                  <c:v>197501.38576511064</c:v>
                </c:pt>
                <c:pt idx="3214">
                  <c:v>198196.83556082382</c:v>
                </c:pt>
                <c:pt idx="3215">
                  <c:v>197130.060059371</c:v>
                </c:pt>
                <c:pt idx="3216">
                  <c:v>201970.71616877295</c:v>
                </c:pt>
                <c:pt idx="3217">
                  <c:v>204956.34040627102</c:v>
                </c:pt>
                <c:pt idx="3218">
                  <c:v>210599.07387163109</c:v>
                </c:pt>
                <c:pt idx="3219">
                  <c:v>206112.93053401625</c:v>
                </c:pt>
                <c:pt idx="3220">
                  <c:v>207483.44078910272</c:v>
                </c:pt>
                <c:pt idx="3221">
                  <c:v>211889.17808466047</c:v>
                </c:pt>
                <c:pt idx="3222">
                  <c:v>204710.97572161697</c:v>
                </c:pt>
                <c:pt idx="3223">
                  <c:v>197349.72169195683</c:v>
                </c:pt>
                <c:pt idx="3224">
                  <c:v>197568.66771167002</c:v>
                </c:pt>
                <c:pt idx="3225">
                  <c:v>197585.21943280142</c:v>
                </c:pt>
                <c:pt idx="3226">
                  <c:v>198267.89044899354</c:v>
                </c:pt>
                <c:pt idx="3227">
                  <c:v>199582.3699555264</c:v>
                </c:pt>
                <c:pt idx="3228">
                  <c:v>200674.80417162197</c:v>
                </c:pt>
                <c:pt idx="3229">
                  <c:v>200916.5082805233</c:v>
                </c:pt>
                <c:pt idx="3230">
                  <c:v>204105.53330783272</c:v>
                </c:pt>
                <c:pt idx="3231">
                  <c:v>199631.94246081734</c:v>
                </c:pt>
                <c:pt idx="3232">
                  <c:v>200632.94361658231</c:v>
                </c:pt>
                <c:pt idx="3233">
                  <c:v>199828.58990728803</c:v>
                </c:pt>
                <c:pt idx="3234">
                  <c:v>195442.20601983464</c:v>
                </c:pt>
                <c:pt idx="3235">
                  <c:v>195839.49068854394</c:v>
                </c:pt>
                <c:pt idx="3236">
                  <c:v>196544.40678736422</c:v>
                </c:pt>
                <c:pt idx="3237">
                  <c:v>198635.05411396071</c:v>
                </c:pt>
                <c:pt idx="3238">
                  <c:v>198575.79792035371</c:v>
                </c:pt>
                <c:pt idx="3239">
                  <c:v>196650.28428073358</c:v>
                </c:pt>
                <c:pt idx="3240">
                  <c:v>201939.99369081508</c:v>
                </c:pt>
                <c:pt idx="3241">
                  <c:v>206497.11657145683</c:v>
                </c:pt>
                <c:pt idx="3242">
                  <c:v>213580.29277979609</c:v>
                </c:pt>
                <c:pt idx="3243">
                  <c:v>215355.23805796058</c:v>
                </c:pt>
                <c:pt idx="3244">
                  <c:v>218702.2762848413</c:v>
                </c:pt>
                <c:pt idx="3245">
                  <c:v>215186.40894311224</c:v>
                </c:pt>
                <c:pt idx="3246">
                  <c:v>213751.57142948825</c:v>
                </c:pt>
                <c:pt idx="3247">
                  <c:v>215186.77663945497</c:v>
                </c:pt>
                <c:pt idx="3248">
                  <c:v>213469.33669026103</c:v>
                </c:pt>
                <c:pt idx="3249">
                  <c:v>214005.198707239</c:v>
                </c:pt>
                <c:pt idx="3250">
                  <c:v>215698.69266878651</c:v>
                </c:pt>
                <c:pt idx="3251">
                  <c:v>225470.88698812909</c:v>
                </c:pt>
                <c:pt idx="3252">
                  <c:v>229121.62277542573</c:v>
                </c:pt>
                <c:pt idx="3253">
                  <c:v>253107.99982856063</c:v>
                </c:pt>
                <c:pt idx="3254">
                  <c:v>261299.56952004749</c:v>
                </c:pt>
                <c:pt idx="3255">
                  <c:v>261830.56964532327</c:v>
                </c:pt>
                <c:pt idx="3256">
                  <c:v>268248.31037516397</c:v>
                </c:pt>
                <c:pt idx="3257">
                  <c:v>261502.21578646533</c:v>
                </c:pt>
                <c:pt idx="3258">
                  <c:v>263579.2109200735</c:v>
                </c:pt>
                <c:pt idx="3259">
                  <c:v>282292.77282396139</c:v>
                </c:pt>
                <c:pt idx="3260">
                  <c:v>268432.29104727652</c:v>
                </c:pt>
                <c:pt idx="3261">
                  <c:v>272421.16752745392</c:v>
                </c:pt>
                <c:pt idx="3262">
                  <c:v>275413.88949887938</c:v>
                </c:pt>
                <c:pt idx="3263">
                  <c:v>286445.87927375193</c:v>
                </c:pt>
                <c:pt idx="3264">
                  <c:v>283662.48141608137</c:v>
                </c:pt>
                <c:pt idx="3265">
                  <c:v>275089.32384053402</c:v>
                </c:pt>
                <c:pt idx="3266">
                  <c:v>279275.92197504308</c:v>
                </c:pt>
                <c:pt idx="3267">
                  <c:v>285820.54433304479</c:v>
                </c:pt>
                <c:pt idx="3268">
                  <c:v>332070.74107862922</c:v>
                </c:pt>
                <c:pt idx="3269">
                  <c:v>345993.16349035932</c:v>
                </c:pt>
                <c:pt idx="3270">
                  <c:v>343579.56260247412</c:v>
                </c:pt>
                <c:pt idx="3271">
                  <c:v>341287.61141747417</c:v>
                </c:pt>
                <c:pt idx="3272">
                  <c:v>330720.51033217518</c:v>
                </c:pt>
                <c:pt idx="3273">
                  <c:v>334369.50874236965</c:v>
                </c:pt>
                <c:pt idx="3274">
                  <c:v>351071.54148120049</c:v>
                </c:pt>
                <c:pt idx="3275">
                  <c:v>371056.25347849494</c:v>
                </c:pt>
                <c:pt idx="3276">
                  <c:v>369705.73773327033</c:v>
                </c:pt>
                <c:pt idx="3277">
                  <c:v>362650.55697888619</c:v>
                </c:pt>
                <c:pt idx="3278">
                  <c:v>365207.09785863891</c:v>
                </c:pt>
                <c:pt idx="3279">
                  <c:v>381948.06074623333</c:v>
                </c:pt>
                <c:pt idx="3280">
                  <c:v>423069.57537108299</c:v>
                </c:pt>
                <c:pt idx="3281">
                  <c:v>451950.7373630199</c:v>
                </c:pt>
                <c:pt idx="3282">
                  <c:v>462756.09625662712</c:v>
                </c:pt>
                <c:pt idx="3283">
                  <c:v>492568.27499891719</c:v>
                </c:pt>
                <c:pt idx="3284">
                  <c:v>497220.56852687313</c:v>
                </c:pt>
                <c:pt idx="3285">
                  <c:v>471173.95460176008</c:v>
                </c:pt>
                <c:pt idx="3286">
                  <c:v>471409.0833217295</c:v>
                </c:pt>
                <c:pt idx="3287">
                  <c:v>505197.29446457786</c:v>
                </c:pt>
                <c:pt idx="3288">
                  <c:v>494180.57625515375</c:v>
                </c:pt>
                <c:pt idx="3289">
                  <c:v>398648.37766746158</c:v>
                </c:pt>
                <c:pt idx="3290">
                  <c:v>398648.37766746158</c:v>
                </c:pt>
                <c:pt idx="3291">
                  <c:v>398648.37766746158</c:v>
                </c:pt>
                <c:pt idx="3292">
                  <c:v>422499.07688446564</c:v>
                </c:pt>
                <c:pt idx="3293">
                  <c:v>475153.13596024428</c:v>
                </c:pt>
                <c:pt idx="3294">
                  <c:v>473594.1783345993</c:v>
                </c:pt>
                <c:pt idx="3295">
                  <c:v>457054.84433678043</c:v>
                </c:pt>
                <c:pt idx="3296">
                  <c:v>476399.12855417817</c:v>
                </c:pt>
                <c:pt idx="3297">
                  <c:v>449716.1872259613</c:v>
                </c:pt>
                <c:pt idx="3298">
                  <c:v>452788.66151121008</c:v>
                </c:pt>
                <c:pt idx="3299">
                  <c:v>454088.36979368265</c:v>
                </c:pt>
                <c:pt idx="3300">
                  <c:v>458179.45484830998</c:v>
                </c:pt>
                <c:pt idx="3301">
                  <c:v>442439.17246154329</c:v>
                </c:pt>
                <c:pt idx="3302">
                  <c:v>432125.29945749644</c:v>
                </c:pt>
                <c:pt idx="3303">
                  <c:v>428817.24179694575</c:v>
                </c:pt>
                <c:pt idx="3304">
                  <c:v>428548.50540182571</c:v>
                </c:pt>
                <c:pt idx="3305">
                  <c:v>431804.6010592875</c:v>
                </c:pt>
                <c:pt idx="3306">
                  <c:v>450067.1238891774</c:v>
                </c:pt>
                <c:pt idx="3307">
                  <c:v>450346.56882376381</c:v>
                </c:pt>
                <c:pt idx="3308">
                  <c:v>459763.27048767114</c:v>
                </c:pt>
                <c:pt idx="3309">
                  <c:v>517649.35734177439</c:v>
                </c:pt>
                <c:pt idx="3310">
                  <c:v>651207.38508191332</c:v>
                </c:pt>
                <c:pt idx="3311">
                  <c:v>608633.15480972081</c:v>
                </c:pt>
                <c:pt idx="3312">
                  <c:v>636140.17874806339</c:v>
                </c:pt>
                <c:pt idx="3313">
                  <c:v>653812.32404447428</c:v>
                </c:pt>
                <c:pt idx="3314">
                  <c:v>603372.14576953952</c:v>
                </c:pt>
                <c:pt idx="3315">
                  <c:v>613853.37202378095</c:v>
                </c:pt>
                <c:pt idx="3316">
                  <c:v>612525.44011862169</c:v>
                </c:pt>
                <c:pt idx="3317">
                  <c:v>643222.04870127491</c:v>
                </c:pt>
                <c:pt idx="3318">
                  <c:v>634152.22875701461</c:v>
                </c:pt>
                <c:pt idx="3319">
                  <c:v>711412.59286021744</c:v>
                </c:pt>
                <c:pt idx="3320">
                  <c:v>816317.48508260818</c:v>
                </c:pt>
                <c:pt idx="3321">
                  <c:v>789512.17390167597</c:v>
                </c:pt>
                <c:pt idx="3322">
                  <c:v>774303.00081767212</c:v>
                </c:pt>
                <c:pt idx="3323">
                  <c:v>832237.35025363415</c:v>
                </c:pt>
                <c:pt idx="3324">
                  <c:v>872233.87983211805</c:v>
                </c:pt>
                <c:pt idx="3325">
                  <c:v>898679.7106276236</c:v>
                </c:pt>
                <c:pt idx="3326">
                  <c:v>1053503.6343777601</c:v>
                </c:pt>
                <c:pt idx="3327">
                  <c:v>1196550.5763199173</c:v>
                </c:pt>
                <c:pt idx="3328">
                  <c:v>1055101.655113396</c:v>
                </c:pt>
                <c:pt idx="3329">
                  <c:v>1058859.4904949507</c:v>
                </c:pt>
                <c:pt idx="3330">
                  <c:v>1115875.5487353324</c:v>
                </c:pt>
                <c:pt idx="3331">
                  <c:v>1421885.5722077617</c:v>
                </c:pt>
                <c:pt idx="3332">
                  <c:v>1562983.7031222701</c:v>
                </c:pt>
                <c:pt idx="3333">
                  <c:v>1560232.3647732993</c:v>
                </c:pt>
                <c:pt idx="3334">
                  <c:v>1481908.405153167</c:v>
                </c:pt>
                <c:pt idx="3335">
                  <c:v>1075167.6839131573</c:v>
                </c:pt>
                <c:pt idx="3336">
                  <c:v>1075167.6839131573</c:v>
                </c:pt>
                <c:pt idx="3337">
                  <c:v>1126745.3812795447</c:v>
                </c:pt>
                <c:pt idx="3338">
                  <c:v>1449664.8356942977</c:v>
                </c:pt>
                <c:pt idx="3339">
                  <c:v>1158453.064281608</c:v>
                </c:pt>
                <c:pt idx="3340">
                  <c:v>1158453.064281608</c:v>
                </c:pt>
                <c:pt idx="3341">
                  <c:v>1082204.6355224052</c:v>
                </c:pt>
                <c:pt idx="3342">
                  <c:v>1092728.2196854502</c:v>
                </c:pt>
                <c:pt idx="3343">
                  <c:v>1119403.5101033698</c:v>
                </c:pt>
                <c:pt idx="3344">
                  <c:v>950455.23458100623</c:v>
                </c:pt>
                <c:pt idx="3345">
                  <c:v>950455.23458100623</c:v>
                </c:pt>
                <c:pt idx="3346">
                  <c:v>950455.23458100623</c:v>
                </c:pt>
                <c:pt idx="3347">
                  <c:v>937357.28198458219</c:v>
                </c:pt>
                <c:pt idx="3348">
                  <c:v>938495.52051421837</c:v>
                </c:pt>
                <c:pt idx="3349">
                  <c:v>996445.99624903675</c:v>
                </c:pt>
                <c:pt idx="3350">
                  <c:v>850297.87257345486</c:v>
                </c:pt>
                <c:pt idx="3351">
                  <c:v>850297.87257345486</c:v>
                </c:pt>
                <c:pt idx="3352">
                  <c:v>850297.87257345486</c:v>
                </c:pt>
                <c:pt idx="3353">
                  <c:v>1049965.2101620601</c:v>
                </c:pt>
                <c:pt idx="3354">
                  <c:v>898575.42949351843</c:v>
                </c:pt>
                <c:pt idx="3355">
                  <c:v>898575.42949351843</c:v>
                </c:pt>
                <c:pt idx="3356">
                  <c:v>898575.42949351843</c:v>
                </c:pt>
                <c:pt idx="3357">
                  <c:v>910408.16525135248</c:v>
                </c:pt>
                <c:pt idx="3358">
                  <c:v>1002144.506699311</c:v>
                </c:pt>
                <c:pt idx="3359">
                  <c:v>990498.63047397172</c:v>
                </c:pt>
                <c:pt idx="3360">
                  <c:v>1052367.405521624</c:v>
                </c:pt>
                <c:pt idx="3361">
                  <c:v>1216200.1458384576</c:v>
                </c:pt>
                <c:pt idx="3362">
                  <c:v>1047590.0164788819</c:v>
                </c:pt>
                <c:pt idx="3363">
                  <c:v>1047590.0164788819</c:v>
                </c:pt>
                <c:pt idx="3364">
                  <c:v>1210195.4053471696</c:v>
                </c:pt>
                <c:pt idx="3365">
                  <c:v>1070180.8238824129</c:v>
                </c:pt>
                <c:pt idx="3366">
                  <c:v>1100687.726060803</c:v>
                </c:pt>
                <c:pt idx="3367">
                  <c:v>1056215.6776994551</c:v>
                </c:pt>
                <c:pt idx="3368">
                  <c:v>1060728.6790986923</c:v>
                </c:pt>
                <c:pt idx="3369">
                  <c:v>1107999.0781074397</c:v>
                </c:pt>
                <c:pt idx="3370">
                  <c:v>1083238.7603577594</c:v>
                </c:pt>
                <c:pt idx="3371">
                  <c:v>1126766.4393136273</c:v>
                </c:pt>
                <c:pt idx="3372">
                  <c:v>1230389.9822118611</c:v>
                </c:pt>
                <c:pt idx="3373">
                  <c:v>1251835.3554362354</c:v>
                </c:pt>
                <c:pt idx="3374">
                  <c:v>1363086.5787836739</c:v>
                </c:pt>
                <c:pt idx="3375">
                  <c:v>1508714.2603699986</c:v>
                </c:pt>
                <c:pt idx="3376">
                  <c:v>1553913.1941842739</c:v>
                </c:pt>
                <c:pt idx="3377">
                  <c:v>1326008.2773355893</c:v>
                </c:pt>
                <c:pt idx="3378">
                  <c:v>1326008.2773355893</c:v>
                </c:pt>
                <c:pt idx="3379">
                  <c:v>1326008.2773355893</c:v>
                </c:pt>
                <c:pt idx="3380">
                  <c:v>1352550.0373923082</c:v>
                </c:pt>
                <c:pt idx="3381">
                  <c:v>1225329.7253941933</c:v>
                </c:pt>
                <c:pt idx="3382">
                  <c:v>1223788.3509249645</c:v>
                </c:pt>
                <c:pt idx="3383">
                  <c:v>1220589.8214505389</c:v>
                </c:pt>
                <c:pt idx="3384">
                  <c:v>1220589.8214505389</c:v>
                </c:pt>
                <c:pt idx="3385">
                  <c:v>1195430.4641797545</c:v>
                </c:pt>
                <c:pt idx="3386">
                  <c:v>1285044.5941768552</c:v>
                </c:pt>
                <c:pt idx="3387">
                  <c:v>1222295.4278685588</c:v>
                </c:pt>
                <c:pt idx="3388">
                  <c:v>1176504.3787677963</c:v>
                </c:pt>
                <c:pt idx="3389">
                  <c:v>1164776.8728019148</c:v>
                </c:pt>
                <c:pt idx="3390">
                  <c:v>1204876.7764212163</c:v>
                </c:pt>
                <c:pt idx="3391">
                  <c:v>1229985.8118043495</c:v>
                </c:pt>
                <c:pt idx="3392">
                  <c:v>1377668.1923284463</c:v>
                </c:pt>
                <c:pt idx="3393">
                  <c:v>1500763.6545970561</c:v>
                </c:pt>
                <c:pt idx="3394">
                  <c:v>1505963.8634729334</c:v>
                </c:pt>
                <c:pt idx="3395">
                  <c:v>1536211.7934635386</c:v>
                </c:pt>
                <c:pt idx="3396">
                  <c:v>1689319.5063549036</c:v>
                </c:pt>
                <c:pt idx="3397">
                  <c:v>1689116.2973590663</c:v>
                </c:pt>
                <c:pt idx="3398">
                  <c:v>1484454.1990897667</c:v>
                </c:pt>
                <c:pt idx="3399">
                  <c:v>1481107.0638117685</c:v>
                </c:pt>
                <c:pt idx="3400">
                  <c:v>1476418.8309137821</c:v>
                </c:pt>
                <c:pt idx="3401">
                  <c:v>1497631.1011832666</c:v>
                </c:pt>
                <c:pt idx="3402">
                  <c:v>1476895.7968055108</c:v>
                </c:pt>
                <c:pt idx="3403">
                  <c:v>1485096.7258427853</c:v>
                </c:pt>
                <c:pt idx="3404">
                  <c:v>1386888.403268005</c:v>
                </c:pt>
                <c:pt idx="3405">
                  <c:v>1385439.2784639057</c:v>
                </c:pt>
                <c:pt idx="3406">
                  <c:v>1342270.8494792301</c:v>
                </c:pt>
                <c:pt idx="3407">
                  <c:v>1352947.9793701016</c:v>
                </c:pt>
                <c:pt idx="3408">
                  <c:v>1231335.1549480192</c:v>
                </c:pt>
                <c:pt idx="3409">
                  <c:v>1231335.1549480192</c:v>
                </c:pt>
                <c:pt idx="3410">
                  <c:v>1282708.2773219596</c:v>
                </c:pt>
                <c:pt idx="3411">
                  <c:v>1345065.0093619064</c:v>
                </c:pt>
                <c:pt idx="3412">
                  <c:v>1414103.4271420683</c:v>
                </c:pt>
                <c:pt idx="3413">
                  <c:v>1460739.8694147638</c:v>
                </c:pt>
                <c:pt idx="3414">
                  <c:v>1494626.4888296095</c:v>
                </c:pt>
                <c:pt idx="3415">
                  <c:v>1474992.2231458018</c:v>
                </c:pt>
                <c:pt idx="3416">
                  <c:v>1498469.7454713383</c:v>
                </c:pt>
                <c:pt idx="3417">
                  <c:v>1468870.1677351997</c:v>
                </c:pt>
                <c:pt idx="3418">
                  <c:v>1428734.9159583671</c:v>
                </c:pt>
                <c:pt idx="3419">
                  <c:v>1460181.6774889177</c:v>
                </c:pt>
                <c:pt idx="3420">
                  <c:v>1417465.6124176919</c:v>
                </c:pt>
                <c:pt idx="3421">
                  <c:v>1369835.9990401128</c:v>
                </c:pt>
                <c:pt idx="3422">
                  <c:v>1394758.5471547907</c:v>
                </c:pt>
                <c:pt idx="3423">
                  <c:v>1407594.9976071173</c:v>
                </c:pt>
                <c:pt idx="3424">
                  <c:v>1494615.2532846031</c:v>
                </c:pt>
                <c:pt idx="3425">
                  <c:v>1466339.8934214641</c:v>
                </c:pt>
                <c:pt idx="3426">
                  <c:v>1474443.8361619003</c:v>
                </c:pt>
                <c:pt idx="3427">
                  <c:v>1615594.2275112106</c:v>
                </c:pt>
                <c:pt idx="3428">
                  <c:v>1604574.4022786822</c:v>
                </c:pt>
                <c:pt idx="3429">
                  <c:v>1591804.5151139759</c:v>
                </c:pt>
                <c:pt idx="3430">
                  <c:v>1536617.7029252916</c:v>
                </c:pt>
                <c:pt idx="3431">
                  <c:v>1502512.7920607151</c:v>
                </c:pt>
                <c:pt idx="3432">
                  <c:v>1398639.6400188312</c:v>
                </c:pt>
                <c:pt idx="3433">
                  <c:v>1398639.6400188312</c:v>
                </c:pt>
                <c:pt idx="3434">
                  <c:v>1398639.6400188312</c:v>
                </c:pt>
                <c:pt idx="3435">
                  <c:v>1405700.8934852213</c:v>
                </c:pt>
                <c:pt idx="3436">
                  <c:v>1378647.1625173565</c:v>
                </c:pt>
                <c:pt idx="3437">
                  <c:v>1326417.6255310236</c:v>
                </c:pt>
                <c:pt idx="3438">
                  <c:v>1326417.6255310236</c:v>
                </c:pt>
                <c:pt idx="3439">
                  <c:v>1326771.0804095869</c:v>
                </c:pt>
                <c:pt idx="3440">
                  <c:v>1346447.9145680103</c:v>
                </c:pt>
                <c:pt idx="3441">
                  <c:v>1413541.2714474946</c:v>
                </c:pt>
                <c:pt idx="3442">
                  <c:v>1382557.5080461826</c:v>
                </c:pt>
                <c:pt idx="3443">
                  <c:v>1358982.0137309253</c:v>
                </c:pt>
                <c:pt idx="3444">
                  <c:v>1465084.8595509448</c:v>
                </c:pt>
                <c:pt idx="3445">
                  <c:v>1473723.6894524128</c:v>
                </c:pt>
                <c:pt idx="3446">
                  <c:v>1436193.7829162411</c:v>
                </c:pt>
                <c:pt idx="3447">
                  <c:v>1476303.78937189</c:v>
                </c:pt>
                <c:pt idx="3448">
                  <c:v>1303338.3429297924</c:v>
                </c:pt>
                <c:pt idx="3449">
                  <c:v>1306976.5493512515</c:v>
                </c:pt>
                <c:pt idx="3450">
                  <c:v>1290013.2684832558</c:v>
                </c:pt>
                <c:pt idx="3451">
                  <c:v>1303186.1997730371</c:v>
                </c:pt>
                <c:pt idx="3452">
                  <c:v>1308515.9443645852</c:v>
                </c:pt>
                <c:pt idx="3453">
                  <c:v>1301246.2682623572</c:v>
                </c:pt>
                <c:pt idx="3454">
                  <c:v>1329403.9021319961</c:v>
                </c:pt>
                <c:pt idx="3455">
                  <c:v>1247496.7722199028</c:v>
                </c:pt>
                <c:pt idx="3456">
                  <c:v>1239494.0805015941</c:v>
                </c:pt>
                <c:pt idx="3457">
                  <c:v>1161354.4461414688</c:v>
                </c:pt>
                <c:pt idx="3458">
                  <c:v>1161354.4461414688</c:v>
                </c:pt>
                <c:pt idx="3459">
                  <c:v>1122610.9912849343</c:v>
                </c:pt>
                <c:pt idx="3460">
                  <c:v>1115324.80083251</c:v>
                </c:pt>
                <c:pt idx="3461">
                  <c:v>1098928.3658280203</c:v>
                </c:pt>
                <c:pt idx="3462">
                  <c:v>1098928.3658280203</c:v>
                </c:pt>
                <c:pt idx="3463">
                  <c:v>1098928.3658280203</c:v>
                </c:pt>
                <c:pt idx="3464">
                  <c:v>1098928.3658280203</c:v>
                </c:pt>
                <c:pt idx="3465">
                  <c:v>955776.65127615863</c:v>
                </c:pt>
                <c:pt idx="3466">
                  <c:v>955776.65127615863</c:v>
                </c:pt>
                <c:pt idx="3467">
                  <c:v>883118.84765536117</c:v>
                </c:pt>
                <c:pt idx="3468">
                  <c:v>883118.84765536117</c:v>
                </c:pt>
                <c:pt idx="3469">
                  <c:v>898375.2523837334</c:v>
                </c:pt>
                <c:pt idx="3470">
                  <c:v>914936.58902878978</c:v>
                </c:pt>
                <c:pt idx="3471">
                  <c:v>942693.56575374701</c:v>
                </c:pt>
                <c:pt idx="3472">
                  <c:v>863419.8371848542</c:v>
                </c:pt>
                <c:pt idx="3473">
                  <c:v>863419.8371848542</c:v>
                </c:pt>
                <c:pt idx="3474">
                  <c:v>863419.8371848542</c:v>
                </c:pt>
                <c:pt idx="3475">
                  <c:v>882398.33777534124</c:v>
                </c:pt>
                <c:pt idx="3476">
                  <c:v>865237.75525694573</c:v>
                </c:pt>
                <c:pt idx="3477">
                  <c:v>899623.18208488461</c:v>
                </c:pt>
                <c:pt idx="3478">
                  <c:v>915836.48360084288</c:v>
                </c:pt>
                <c:pt idx="3479">
                  <c:v>866798.31490207824</c:v>
                </c:pt>
                <c:pt idx="3480">
                  <c:v>861147.31688373664</c:v>
                </c:pt>
                <c:pt idx="3481">
                  <c:v>860380.0625244847</c:v>
                </c:pt>
                <c:pt idx="3482">
                  <c:v>859847.74074470904</c:v>
                </c:pt>
                <c:pt idx="3483">
                  <c:v>835806.2157931301</c:v>
                </c:pt>
                <c:pt idx="3484">
                  <c:v>835806.2157931301</c:v>
                </c:pt>
                <c:pt idx="3485">
                  <c:v>848050.05546990654</c:v>
                </c:pt>
                <c:pt idx="3486">
                  <c:v>848108.7434804904</c:v>
                </c:pt>
                <c:pt idx="3487">
                  <c:v>805271.74605426472</c:v>
                </c:pt>
                <c:pt idx="3488">
                  <c:v>811591.59985530598</c:v>
                </c:pt>
                <c:pt idx="3489">
                  <c:v>906861.1140713169</c:v>
                </c:pt>
                <c:pt idx="3490">
                  <c:v>887394.00331301615</c:v>
                </c:pt>
                <c:pt idx="3491">
                  <c:v>855501.84257831727</c:v>
                </c:pt>
                <c:pt idx="3492">
                  <c:v>858416.19880552182</c:v>
                </c:pt>
                <c:pt idx="3493">
                  <c:v>821176.21486269415</c:v>
                </c:pt>
                <c:pt idx="3494">
                  <c:v>821176.21486269415</c:v>
                </c:pt>
                <c:pt idx="3495">
                  <c:v>821176.21486269415</c:v>
                </c:pt>
                <c:pt idx="3496">
                  <c:v>821176.21486269415</c:v>
                </c:pt>
                <c:pt idx="3497">
                  <c:v>821176.21486269415</c:v>
                </c:pt>
                <c:pt idx="3498">
                  <c:v>821176.21486269415</c:v>
                </c:pt>
                <c:pt idx="3499">
                  <c:v>830227.04191748472</c:v>
                </c:pt>
                <c:pt idx="3500">
                  <c:v>788550.58710562089</c:v>
                </c:pt>
                <c:pt idx="3501">
                  <c:v>777936.09288641717</c:v>
                </c:pt>
                <c:pt idx="3502">
                  <c:v>786683.20586737781</c:v>
                </c:pt>
                <c:pt idx="3503">
                  <c:v>839222.44014676486</c:v>
                </c:pt>
                <c:pt idx="3504">
                  <c:v>878117.01471477246</c:v>
                </c:pt>
                <c:pt idx="3505">
                  <c:v>811384.0313336039</c:v>
                </c:pt>
                <c:pt idx="3506">
                  <c:v>807753.41098351381</c:v>
                </c:pt>
                <c:pt idx="3507">
                  <c:v>808168.27342422272</c:v>
                </c:pt>
                <c:pt idx="3508">
                  <c:v>813559.6466729017</c:v>
                </c:pt>
                <c:pt idx="3509">
                  <c:v>831840.06953555124</c:v>
                </c:pt>
                <c:pt idx="3510">
                  <c:v>770821.26444835414</c:v>
                </c:pt>
                <c:pt idx="3511">
                  <c:v>773219.04154850799</c:v>
                </c:pt>
                <c:pt idx="3512">
                  <c:v>778881.3988588833</c:v>
                </c:pt>
                <c:pt idx="3513">
                  <c:v>750653.29334859946</c:v>
                </c:pt>
                <c:pt idx="3514">
                  <c:v>754312.4462426526</c:v>
                </c:pt>
                <c:pt idx="3515">
                  <c:v>758047.9850886137</c:v>
                </c:pt>
                <c:pt idx="3516">
                  <c:v>759255.84464433568</c:v>
                </c:pt>
                <c:pt idx="3517">
                  <c:v>748308.83240340394</c:v>
                </c:pt>
                <c:pt idx="3518">
                  <c:v>739450.36910655163</c:v>
                </c:pt>
                <c:pt idx="3519">
                  <c:v>739768.70572967338</c:v>
                </c:pt>
                <c:pt idx="3520">
                  <c:v>728035.05941892113</c:v>
                </c:pt>
                <c:pt idx="3521">
                  <c:v>730049.18833985087</c:v>
                </c:pt>
                <c:pt idx="3522">
                  <c:v>726197.2346380027</c:v>
                </c:pt>
                <c:pt idx="3523">
                  <c:v>723090.23014850088</c:v>
                </c:pt>
                <c:pt idx="3524">
                  <c:v>718543.64939357853</c:v>
                </c:pt>
                <c:pt idx="3525">
                  <c:v>715243.43233440828</c:v>
                </c:pt>
                <c:pt idx="3526">
                  <c:v>720234.11027753726</c:v>
                </c:pt>
                <c:pt idx="3527">
                  <c:v>734941.71527244465</c:v>
                </c:pt>
                <c:pt idx="3528">
                  <c:v>730650.96802316303</c:v>
                </c:pt>
                <c:pt idx="3529">
                  <c:v>768656.11247943982</c:v>
                </c:pt>
                <c:pt idx="3530">
                  <c:v>777423.08382506005</c:v>
                </c:pt>
                <c:pt idx="3531">
                  <c:v>902473.8029652324</c:v>
                </c:pt>
                <c:pt idx="3532">
                  <c:v>890689.20463136246</c:v>
                </c:pt>
                <c:pt idx="3533">
                  <c:v>929774.75541028136</c:v>
                </c:pt>
                <c:pt idx="3534">
                  <c:v>938860.9108168463</c:v>
                </c:pt>
                <c:pt idx="3535">
                  <c:v>910901.86022650485</c:v>
                </c:pt>
                <c:pt idx="3536">
                  <c:v>963085.74916375533</c:v>
                </c:pt>
                <c:pt idx="3537">
                  <c:v>955384.13977327815</c:v>
                </c:pt>
                <c:pt idx="3538">
                  <c:v>915607.91010717652</c:v>
                </c:pt>
                <c:pt idx="3539">
                  <c:v>899327.94753975957</c:v>
                </c:pt>
                <c:pt idx="3540">
                  <c:v>903936.55997161299</c:v>
                </c:pt>
                <c:pt idx="3541">
                  <c:v>896656.59904250759</c:v>
                </c:pt>
                <c:pt idx="3542">
                  <c:v>939368.55173161707</c:v>
                </c:pt>
                <c:pt idx="3543">
                  <c:v>981914.25679059955</c:v>
                </c:pt>
                <c:pt idx="3544">
                  <c:v>999661.88837048085</c:v>
                </c:pt>
                <c:pt idx="3545">
                  <c:v>1059118.5320009871</c:v>
                </c:pt>
                <c:pt idx="3546">
                  <c:v>1033326.6610645581</c:v>
                </c:pt>
                <c:pt idx="3547">
                  <c:v>1062651.7772888739</c:v>
                </c:pt>
                <c:pt idx="3548">
                  <c:v>996524.39010284131</c:v>
                </c:pt>
                <c:pt idx="3549">
                  <c:v>1013538.0160268354</c:v>
                </c:pt>
                <c:pt idx="3550">
                  <c:v>1029899.3454060671</c:v>
                </c:pt>
                <c:pt idx="3551">
                  <c:v>1005908.9085023191</c:v>
                </c:pt>
                <c:pt idx="3552">
                  <c:v>1009752.675062886</c:v>
                </c:pt>
                <c:pt idx="3553">
                  <c:v>996796.41735272703</c:v>
                </c:pt>
                <c:pt idx="3554">
                  <c:v>997638.35164773546</c:v>
                </c:pt>
                <c:pt idx="3555">
                  <c:v>997644.99988139479</c:v>
                </c:pt>
                <c:pt idx="3556">
                  <c:v>1054343.3409566728</c:v>
                </c:pt>
                <c:pt idx="3557">
                  <c:v>1072007.375710971</c:v>
                </c:pt>
                <c:pt idx="3558">
                  <c:v>1050002.9083591716</c:v>
                </c:pt>
                <c:pt idx="3559">
                  <c:v>1075204.0459979703</c:v>
                </c:pt>
                <c:pt idx="3560">
                  <c:v>1036058.5035812176</c:v>
                </c:pt>
                <c:pt idx="3561">
                  <c:v>1044916.9976856263</c:v>
                </c:pt>
                <c:pt idx="3562">
                  <c:v>999478.00208707131</c:v>
                </c:pt>
                <c:pt idx="3563">
                  <c:v>1010886.7672257327</c:v>
                </c:pt>
                <c:pt idx="3564">
                  <c:v>1023906.2150871607</c:v>
                </c:pt>
                <c:pt idx="3565">
                  <c:v>1015348.9063492783</c:v>
                </c:pt>
                <c:pt idx="3566">
                  <c:v>1005796.3860250738</c:v>
                </c:pt>
                <c:pt idx="3567">
                  <c:v>993449.53285217565</c:v>
                </c:pt>
                <c:pt idx="3568">
                  <c:v>994869.86744891643</c:v>
                </c:pt>
                <c:pt idx="3569">
                  <c:v>1030163.1099399086</c:v>
                </c:pt>
                <c:pt idx="3570">
                  <c:v>1059512.6620226852</c:v>
                </c:pt>
                <c:pt idx="3571">
                  <c:v>1037182.6277750747</c:v>
                </c:pt>
                <c:pt idx="3572">
                  <c:v>1046061.6507880311</c:v>
                </c:pt>
                <c:pt idx="3573">
                  <c:v>1085365.2356709742</c:v>
                </c:pt>
                <c:pt idx="3574">
                  <c:v>938174.00637888792</c:v>
                </c:pt>
                <c:pt idx="3575">
                  <c:v>938174.00637888792</c:v>
                </c:pt>
                <c:pt idx="3576">
                  <c:v>938174.00637888792</c:v>
                </c:pt>
                <c:pt idx="3577">
                  <c:v>925085.1262327322</c:v>
                </c:pt>
                <c:pt idx="3578">
                  <c:v>925563.4281678769</c:v>
                </c:pt>
                <c:pt idx="3579">
                  <c:v>927363.55004687526</c:v>
                </c:pt>
                <c:pt idx="3580">
                  <c:v>914479.85399451642</c:v>
                </c:pt>
                <c:pt idx="3581">
                  <c:v>923594.60533297737</c:v>
                </c:pt>
                <c:pt idx="3582">
                  <c:v>960661.27977287746</c:v>
                </c:pt>
                <c:pt idx="3583">
                  <c:v>954454.07363237988</c:v>
                </c:pt>
                <c:pt idx="3584">
                  <c:v>941708.95492361707</c:v>
                </c:pt>
                <c:pt idx="3585">
                  <c:v>958760.23951199197</c:v>
                </c:pt>
                <c:pt idx="3586">
                  <c:v>940029.46652736701</c:v>
                </c:pt>
                <c:pt idx="3587">
                  <c:v>861790.50564280245</c:v>
                </c:pt>
                <c:pt idx="3588">
                  <c:v>861790.50564280245</c:v>
                </c:pt>
              </c:numCache>
            </c:numRef>
          </c:val>
          <c:smooth val="0"/>
          <c:extLst>
            <c:ext xmlns:c16="http://schemas.microsoft.com/office/drawing/2014/chart" uri="{C3380CC4-5D6E-409C-BE32-E72D297353CC}">
              <c16:uniqueId val="{00000006-B3ED-084A-9072-BBC29119F1A3}"/>
            </c:ext>
          </c:extLst>
        </c:ser>
        <c:ser>
          <c:idx val="5"/>
          <c:order val="4"/>
          <c:tx>
            <c:v>波动熔断后卓尔金历法</c:v>
          </c:tx>
          <c:spPr>
            <a:ln w="28575" cap="rnd">
              <a:solidFill>
                <a:schemeClr val="accent6"/>
              </a:solidFill>
              <a:round/>
            </a:ln>
            <a:effectLst/>
          </c:spPr>
          <c:marker>
            <c:symbol val="none"/>
          </c:marker>
          <c:val>
            <c:numRef>
              <c:f>回测实验室!$S$470:$S$4058</c:f>
              <c:numCache>
                <c:formatCode>General</c:formatCode>
                <c:ptCount val="358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1.0000012494257595</c:v>
                </c:pt>
                <c:pt idx="23">
                  <c:v>0.99991254285807418</c:v>
                </c:pt>
                <c:pt idx="24">
                  <c:v>1.0040092679942623</c:v>
                </c:pt>
                <c:pt idx="25">
                  <c:v>1.0040015942618896</c:v>
                </c:pt>
                <c:pt idx="26">
                  <c:v>1.0040030706022793</c:v>
                </c:pt>
                <c:pt idx="27">
                  <c:v>1.0040022694603548</c:v>
                </c:pt>
                <c:pt idx="28">
                  <c:v>1.0035480340285599</c:v>
                </c:pt>
                <c:pt idx="29">
                  <c:v>1.0036017033343043</c:v>
                </c:pt>
                <c:pt idx="30">
                  <c:v>1.0014263936758696</c:v>
                </c:pt>
                <c:pt idx="31">
                  <c:v>1.0015123041322018</c:v>
                </c:pt>
                <c:pt idx="32">
                  <c:v>1.0014984686834987</c:v>
                </c:pt>
                <c:pt idx="33">
                  <c:v>0.99963727330707541</c:v>
                </c:pt>
                <c:pt idx="34">
                  <c:v>0.99986147267387104</c:v>
                </c:pt>
                <c:pt idx="35">
                  <c:v>0.99857266378909804</c:v>
                </c:pt>
                <c:pt idx="36">
                  <c:v>0.98878130308989409</c:v>
                </c:pt>
                <c:pt idx="37">
                  <c:v>0.98865603496991028</c:v>
                </c:pt>
                <c:pt idx="38">
                  <c:v>0.98867545859635531</c:v>
                </c:pt>
                <c:pt idx="39">
                  <c:v>1.0073661213196585</c:v>
                </c:pt>
                <c:pt idx="40">
                  <c:v>1.0061600528468908</c:v>
                </c:pt>
                <c:pt idx="41">
                  <c:v>1.0058035256747231</c:v>
                </c:pt>
                <c:pt idx="42">
                  <c:v>1.0058035256747231</c:v>
                </c:pt>
                <c:pt idx="43">
                  <c:v>1.0006996435270481</c:v>
                </c:pt>
                <c:pt idx="44">
                  <c:v>0.98492227025356816</c:v>
                </c:pt>
                <c:pt idx="45">
                  <c:v>1.0111975047674342</c:v>
                </c:pt>
                <c:pt idx="46">
                  <c:v>1.0111049180287965</c:v>
                </c:pt>
                <c:pt idx="47">
                  <c:v>0.98478228366798271</c:v>
                </c:pt>
                <c:pt idx="48">
                  <c:v>0.98512897957233492</c:v>
                </c:pt>
                <c:pt idx="49">
                  <c:v>1.0051103416385054</c:v>
                </c:pt>
                <c:pt idx="50">
                  <c:v>0.99625617363080876</c:v>
                </c:pt>
                <c:pt idx="51">
                  <c:v>0.98952344170717843</c:v>
                </c:pt>
                <c:pt idx="52">
                  <c:v>1.0052515790815344</c:v>
                </c:pt>
                <c:pt idx="53">
                  <c:v>1.04744691910718</c:v>
                </c:pt>
                <c:pt idx="54">
                  <c:v>1.0466392994010938</c:v>
                </c:pt>
                <c:pt idx="55">
                  <c:v>1.0284579024767386</c:v>
                </c:pt>
                <c:pt idx="56">
                  <c:v>1.0258716674883768</c:v>
                </c:pt>
                <c:pt idx="57">
                  <c:v>1.0449660825107787</c:v>
                </c:pt>
                <c:pt idx="58">
                  <c:v>1.0373121709812541</c:v>
                </c:pt>
                <c:pt idx="59">
                  <c:v>1.034051540203895</c:v>
                </c:pt>
                <c:pt idx="60">
                  <c:v>1.0386651000285423</c:v>
                </c:pt>
                <c:pt idx="61">
                  <c:v>1.0768499820464403</c:v>
                </c:pt>
                <c:pt idx="62">
                  <c:v>1.0788830392207227</c:v>
                </c:pt>
                <c:pt idx="63">
                  <c:v>1.079136516238276</c:v>
                </c:pt>
                <c:pt idx="64">
                  <c:v>1.0591034179466667</c:v>
                </c:pt>
                <c:pt idx="65">
                  <c:v>1.0602504239433066</c:v>
                </c:pt>
                <c:pt idx="66">
                  <c:v>1.0566050592256231</c:v>
                </c:pt>
                <c:pt idx="67">
                  <c:v>1.0570683168368018</c:v>
                </c:pt>
                <c:pt idx="68">
                  <c:v>1.0160815765012627</c:v>
                </c:pt>
                <c:pt idx="69">
                  <c:v>1.0160420443182203</c:v>
                </c:pt>
                <c:pt idx="70">
                  <c:v>1.0249559912171728</c:v>
                </c:pt>
                <c:pt idx="71">
                  <c:v>1.030575485500981</c:v>
                </c:pt>
                <c:pt idx="72">
                  <c:v>1.0439593673550811</c:v>
                </c:pt>
                <c:pt idx="73">
                  <c:v>1.055008464843066</c:v>
                </c:pt>
                <c:pt idx="74">
                  <c:v>1.0496694971831633</c:v>
                </c:pt>
                <c:pt idx="75">
                  <c:v>1.0504084895707713</c:v>
                </c:pt>
                <c:pt idx="76">
                  <c:v>1.0383789006341499</c:v>
                </c:pt>
                <c:pt idx="77">
                  <c:v>1.0377838158868118</c:v>
                </c:pt>
                <c:pt idx="78">
                  <c:v>1.0541453319440521</c:v>
                </c:pt>
                <c:pt idx="79">
                  <c:v>1.0543083103039086</c:v>
                </c:pt>
                <c:pt idx="80">
                  <c:v>1.0678860487399349</c:v>
                </c:pt>
                <c:pt idx="81">
                  <c:v>1.0693615106229639</c:v>
                </c:pt>
                <c:pt idx="82">
                  <c:v>1.0693615106229639</c:v>
                </c:pt>
                <c:pt idx="83">
                  <c:v>1.0698711859441867</c:v>
                </c:pt>
                <c:pt idx="84">
                  <c:v>1.068321128292818</c:v>
                </c:pt>
                <c:pt idx="85">
                  <c:v>1.0699784324243675</c:v>
                </c:pt>
                <c:pt idx="86">
                  <c:v>1.0696064623038579</c:v>
                </c:pt>
                <c:pt idx="87">
                  <c:v>1.0697298906793058</c:v>
                </c:pt>
                <c:pt idx="88">
                  <c:v>1.0711979907093161</c:v>
                </c:pt>
                <c:pt idx="89">
                  <c:v>1.068723849914655</c:v>
                </c:pt>
                <c:pt idx="90">
                  <c:v>1.0664297126184503</c:v>
                </c:pt>
                <c:pt idx="91">
                  <c:v>1.0664282479637233</c:v>
                </c:pt>
                <c:pt idx="92">
                  <c:v>1.074404199567031</c:v>
                </c:pt>
                <c:pt idx="93">
                  <c:v>1.0738458703236671</c:v>
                </c:pt>
                <c:pt idx="94">
                  <c:v>1.0731520688057639</c:v>
                </c:pt>
                <c:pt idx="95">
                  <c:v>1.0759538056082663</c:v>
                </c:pt>
                <c:pt idx="96">
                  <c:v>1.076213279503023</c:v>
                </c:pt>
                <c:pt idx="97">
                  <c:v>1.0742173865485518</c:v>
                </c:pt>
                <c:pt idx="98">
                  <c:v>1.081159369612589</c:v>
                </c:pt>
                <c:pt idx="99">
                  <c:v>1.0818712885790496</c:v>
                </c:pt>
                <c:pt idx="100">
                  <c:v>1.0779194753250507</c:v>
                </c:pt>
                <c:pt idx="101">
                  <c:v>1.0773114785557196</c:v>
                </c:pt>
                <c:pt idx="102">
                  <c:v>1.0772187222715359</c:v>
                </c:pt>
                <c:pt idx="103">
                  <c:v>1.0788882555552679</c:v>
                </c:pt>
                <c:pt idx="104">
                  <c:v>1.0790059122010729</c:v>
                </c:pt>
                <c:pt idx="105">
                  <c:v>1.0812294884558999</c:v>
                </c:pt>
                <c:pt idx="106">
                  <c:v>1.0821419240590506</c:v>
                </c:pt>
                <c:pt idx="107">
                  <c:v>1.0796136428946013</c:v>
                </c:pt>
                <c:pt idx="108">
                  <c:v>1.0802040002425726</c:v>
                </c:pt>
                <c:pt idx="109">
                  <c:v>1.0678652257275698</c:v>
                </c:pt>
                <c:pt idx="110">
                  <c:v>1.0678349876330875</c:v>
                </c:pt>
                <c:pt idx="111">
                  <c:v>1.0692822245829914</c:v>
                </c:pt>
                <c:pt idx="112">
                  <c:v>1.0688905682332102</c:v>
                </c:pt>
                <c:pt idx="113">
                  <c:v>1.0739207336291476</c:v>
                </c:pt>
                <c:pt idx="114">
                  <c:v>1.0737167988034995</c:v>
                </c:pt>
                <c:pt idx="115">
                  <c:v>1.092033614552042</c:v>
                </c:pt>
                <c:pt idx="116">
                  <c:v>1.092033614552042</c:v>
                </c:pt>
                <c:pt idx="117">
                  <c:v>1.0921072050878975</c:v>
                </c:pt>
                <c:pt idx="118">
                  <c:v>1.095795688382545</c:v>
                </c:pt>
                <c:pt idx="119">
                  <c:v>1.0959700834607102</c:v>
                </c:pt>
                <c:pt idx="120">
                  <c:v>1.0961618219766864</c:v>
                </c:pt>
                <c:pt idx="121">
                  <c:v>1.0985833174480324</c:v>
                </c:pt>
                <c:pt idx="122">
                  <c:v>1.0982395331141424</c:v>
                </c:pt>
                <c:pt idx="123">
                  <c:v>1.0951422329509342</c:v>
                </c:pt>
                <c:pt idx="124">
                  <c:v>1.0951524765971137</c:v>
                </c:pt>
                <c:pt idx="125">
                  <c:v>1.0948083051312731</c:v>
                </c:pt>
                <c:pt idx="126">
                  <c:v>1.0939417195821339</c:v>
                </c:pt>
                <c:pt idx="127">
                  <c:v>1.0931331616845068</c:v>
                </c:pt>
                <c:pt idx="128">
                  <c:v>1.0944751628146698</c:v>
                </c:pt>
                <c:pt idx="129">
                  <c:v>1.0925717967859794</c:v>
                </c:pt>
                <c:pt idx="130">
                  <c:v>1.0926170131174211</c:v>
                </c:pt>
                <c:pt idx="131">
                  <c:v>1.0931329227273152</c:v>
                </c:pt>
                <c:pt idx="132">
                  <c:v>1.0930223507907293</c:v>
                </c:pt>
                <c:pt idx="133">
                  <c:v>1.0926391883141748</c:v>
                </c:pt>
                <c:pt idx="134">
                  <c:v>1.0958752194556709</c:v>
                </c:pt>
                <c:pt idx="135">
                  <c:v>1.0958746652454983</c:v>
                </c:pt>
                <c:pt idx="136">
                  <c:v>1.0958634744624236</c:v>
                </c:pt>
                <c:pt idx="137">
                  <c:v>1.0958670031125821</c:v>
                </c:pt>
                <c:pt idx="138">
                  <c:v>1.0958339725844359</c:v>
                </c:pt>
                <c:pt idx="139">
                  <c:v>1.095829715388259</c:v>
                </c:pt>
                <c:pt idx="140">
                  <c:v>1.0958224874826847</c:v>
                </c:pt>
                <c:pt idx="141">
                  <c:v>1.0959207450216462</c:v>
                </c:pt>
                <c:pt idx="142">
                  <c:v>1.0959664536263201</c:v>
                </c:pt>
                <c:pt idx="143">
                  <c:v>1.0957834541835774</c:v>
                </c:pt>
                <c:pt idx="144">
                  <c:v>1.0966995812471034</c:v>
                </c:pt>
                <c:pt idx="145">
                  <c:v>1.098700832391335</c:v>
                </c:pt>
                <c:pt idx="146">
                  <c:v>1.0987043448705898</c:v>
                </c:pt>
                <c:pt idx="147">
                  <c:v>1.1031987661730851</c:v>
                </c:pt>
                <c:pt idx="148">
                  <c:v>1.1031948033805556</c:v>
                </c:pt>
                <c:pt idx="149">
                  <c:v>1.1030821298797293</c:v>
                </c:pt>
                <c:pt idx="150">
                  <c:v>1.1013661051322829</c:v>
                </c:pt>
                <c:pt idx="151">
                  <c:v>1.1013783417546481</c:v>
                </c:pt>
                <c:pt idx="152">
                  <c:v>1.1013899530303151</c:v>
                </c:pt>
                <c:pt idx="153">
                  <c:v>1.1006633299648294</c:v>
                </c:pt>
                <c:pt idx="154">
                  <c:v>1.100917689129749</c:v>
                </c:pt>
                <c:pt idx="155">
                  <c:v>1.0960458677195666</c:v>
                </c:pt>
                <c:pt idx="156">
                  <c:v>1.0960004406545496</c:v>
                </c:pt>
                <c:pt idx="157">
                  <c:v>1.0963713982242631</c:v>
                </c:pt>
                <c:pt idx="158">
                  <c:v>1.0978672853404903</c:v>
                </c:pt>
                <c:pt idx="159">
                  <c:v>1.0988930167134625</c:v>
                </c:pt>
                <c:pt idx="160">
                  <c:v>1.0992379975604256</c:v>
                </c:pt>
                <c:pt idx="161">
                  <c:v>1.0985472340225084</c:v>
                </c:pt>
                <c:pt idx="162">
                  <c:v>1.0986338915698544</c:v>
                </c:pt>
                <c:pt idx="163">
                  <c:v>1.0985020350781107</c:v>
                </c:pt>
                <c:pt idx="164">
                  <c:v>1.09855143495403</c:v>
                </c:pt>
                <c:pt idx="165">
                  <c:v>1.098502619618869</c:v>
                </c:pt>
                <c:pt idx="166">
                  <c:v>1.0984718064286572</c:v>
                </c:pt>
                <c:pt idx="167">
                  <c:v>1.097523266351252</c:v>
                </c:pt>
                <c:pt idx="168">
                  <c:v>1.097523028411316</c:v>
                </c:pt>
                <c:pt idx="169">
                  <c:v>1.0975219855521716</c:v>
                </c:pt>
                <c:pt idx="170">
                  <c:v>1.0974411610633032</c:v>
                </c:pt>
                <c:pt idx="171">
                  <c:v>1.0978210551191139</c:v>
                </c:pt>
                <c:pt idx="172">
                  <c:v>1.0978235355439523</c:v>
                </c:pt>
                <c:pt idx="173">
                  <c:v>1.0980587228015368</c:v>
                </c:pt>
                <c:pt idx="174">
                  <c:v>1.098074073250169</c:v>
                </c:pt>
                <c:pt idx="175">
                  <c:v>1.0981621854973531</c:v>
                </c:pt>
                <c:pt idx="176">
                  <c:v>1.098072932187897</c:v>
                </c:pt>
                <c:pt idx="177">
                  <c:v>1.0980269368734803</c:v>
                </c:pt>
                <c:pt idx="178">
                  <c:v>1.0980744712371346</c:v>
                </c:pt>
                <c:pt idx="179">
                  <c:v>1.0980696299031172</c:v>
                </c:pt>
                <c:pt idx="180">
                  <c:v>1.098941590573447</c:v>
                </c:pt>
                <c:pt idx="181">
                  <c:v>1.0987113468563712</c:v>
                </c:pt>
                <c:pt idx="182">
                  <c:v>1.0994737789816391</c:v>
                </c:pt>
                <c:pt idx="183">
                  <c:v>1.0985303756858666</c:v>
                </c:pt>
                <c:pt idx="184">
                  <c:v>1.0988661261405657</c:v>
                </c:pt>
                <c:pt idx="185">
                  <c:v>1.0988214846217175</c:v>
                </c:pt>
                <c:pt idx="186">
                  <c:v>1.0992287375510439</c:v>
                </c:pt>
                <c:pt idx="187">
                  <c:v>1.0987995679653813</c:v>
                </c:pt>
                <c:pt idx="188">
                  <c:v>1.1008407101091846</c:v>
                </c:pt>
                <c:pt idx="189">
                  <c:v>1.1008784663366589</c:v>
                </c:pt>
                <c:pt idx="190">
                  <c:v>1.1008784663366589</c:v>
                </c:pt>
                <c:pt idx="191">
                  <c:v>1.1002539663279753</c:v>
                </c:pt>
                <c:pt idx="192">
                  <c:v>1.1002688856953322</c:v>
                </c:pt>
                <c:pt idx="193">
                  <c:v>1.1002926743460517</c:v>
                </c:pt>
                <c:pt idx="194">
                  <c:v>1.1002926743460517</c:v>
                </c:pt>
                <c:pt idx="195">
                  <c:v>1.1065856858352845</c:v>
                </c:pt>
                <c:pt idx="196">
                  <c:v>1.106588966980639</c:v>
                </c:pt>
                <c:pt idx="197">
                  <c:v>1.105223102364689</c:v>
                </c:pt>
                <c:pt idx="198">
                  <c:v>1.1051781106964755</c:v>
                </c:pt>
                <c:pt idx="199">
                  <c:v>1.1052160671798801</c:v>
                </c:pt>
                <c:pt idx="200">
                  <c:v>1.1052604895328071</c:v>
                </c:pt>
                <c:pt idx="201">
                  <c:v>1.1053104386135719</c:v>
                </c:pt>
                <c:pt idx="202">
                  <c:v>1.1053104386135719</c:v>
                </c:pt>
                <c:pt idx="203">
                  <c:v>1.1319878273909063</c:v>
                </c:pt>
                <c:pt idx="204">
                  <c:v>1.1319878273909063</c:v>
                </c:pt>
                <c:pt idx="205">
                  <c:v>1.1285093655253204</c:v>
                </c:pt>
                <c:pt idx="206">
                  <c:v>1.1285990374732424</c:v>
                </c:pt>
                <c:pt idx="207">
                  <c:v>1.1290908214146185</c:v>
                </c:pt>
                <c:pt idx="208">
                  <c:v>1.1292110835535807</c:v>
                </c:pt>
                <c:pt idx="209">
                  <c:v>1.1292210742380797</c:v>
                </c:pt>
                <c:pt idx="210">
                  <c:v>1.1270403950131382</c:v>
                </c:pt>
                <c:pt idx="211">
                  <c:v>1.1257644969111871</c:v>
                </c:pt>
                <c:pt idx="212">
                  <c:v>1.1246399755706611</c:v>
                </c:pt>
                <c:pt idx="213">
                  <c:v>1.1236690125802258</c:v>
                </c:pt>
                <c:pt idx="214">
                  <c:v>1.1265551955038702</c:v>
                </c:pt>
                <c:pt idx="215">
                  <c:v>1.1298221751809541</c:v>
                </c:pt>
                <c:pt idx="216">
                  <c:v>1.1298081180662938</c:v>
                </c:pt>
                <c:pt idx="217">
                  <c:v>1.1305435580145053</c:v>
                </c:pt>
                <c:pt idx="218">
                  <c:v>1.13120663136998</c:v>
                </c:pt>
                <c:pt idx="219">
                  <c:v>1.1302009009395821</c:v>
                </c:pt>
                <c:pt idx="220">
                  <c:v>1.1323786852113371</c:v>
                </c:pt>
                <c:pt idx="221">
                  <c:v>1.1305900387604804</c:v>
                </c:pt>
                <c:pt idx="222">
                  <c:v>1.1305981735110195</c:v>
                </c:pt>
                <c:pt idx="223">
                  <c:v>1.1333059013787534</c:v>
                </c:pt>
                <c:pt idx="224">
                  <c:v>1.1332369798177098</c:v>
                </c:pt>
                <c:pt idx="225">
                  <c:v>1.1351317824397724</c:v>
                </c:pt>
                <c:pt idx="226">
                  <c:v>1.1353477794635456</c:v>
                </c:pt>
                <c:pt idx="227">
                  <c:v>1.140657424787699</c:v>
                </c:pt>
                <c:pt idx="228">
                  <c:v>1.1406977165348571</c:v>
                </c:pt>
                <c:pt idx="229">
                  <c:v>1.1406862380596519</c:v>
                </c:pt>
                <c:pt idx="230">
                  <c:v>1.1589670244847714</c:v>
                </c:pt>
                <c:pt idx="231">
                  <c:v>1.1589670244847714</c:v>
                </c:pt>
                <c:pt idx="232">
                  <c:v>1.1569853970444257</c:v>
                </c:pt>
                <c:pt idx="233">
                  <c:v>1.1578623526038805</c:v>
                </c:pt>
                <c:pt idx="234">
                  <c:v>1.1756381028420497</c:v>
                </c:pt>
                <c:pt idx="235">
                  <c:v>1.1756381028420497</c:v>
                </c:pt>
                <c:pt idx="236">
                  <c:v>1.1758870473045939</c:v>
                </c:pt>
                <c:pt idx="237">
                  <c:v>1.1757421088025337</c:v>
                </c:pt>
                <c:pt idx="238">
                  <c:v>1.1729627331007617</c:v>
                </c:pt>
                <c:pt idx="239">
                  <c:v>1.1731695913647393</c:v>
                </c:pt>
                <c:pt idx="240">
                  <c:v>1.1727869208729376</c:v>
                </c:pt>
                <c:pt idx="241">
                  <c:v>1.1728074653913372</c:v>
                </c:pt>
                <c:pt idx="242">
                  <c:v>1.1758937115544892</c:v>
                </c:pt>
                <c:pt idx="243">
                  <c:v>1.1789240490230011</c:v>
                </c:pt>
                <c:pt idx="244">
                  <c:v>1.1802206625415581</c:v>
                </c:pt>
                <c:pt idx="245">
                  <c:v>1.1802206625415581</c:v>
                </c:pt>
                <c:pt idx="246">
                  <c:v>1.1799247997301878</c:v>
                </c:pt>
                <c:pt idx="247">
                  <c:v>1.177592267128597</c:v>
                </c:pt>
                <c:pt idx="248">
                  <c:v>1.1828146789445768</c:v>
                </c:pt>
                <c:pt idx="249">
                  <c:v>1.1829171942293497</c:v>
                </c:pt>
                <c:pt idx="250">
                  <c:v>1.1842589434870108</c:v>
                </c:pt>
                <c:pt idx="251">
                  <c:v>1.1952505285568109</c:v>
                </c:pt>
                <c:pt idx="252">
                  <c:v>1.1952624537830878</c:v>
                </c:pt>
                <c:pt idx="253">
                  <c:v>1.1952680352540634</c:v>
                </c:pt>
                <c:pt idx="254">
                  <c:v>1.1940410500172403</c:v>
                </c:pt>
                <c:pt idx="255">
                  <c:v>1.1939560995311636</c:v>
                </c:pt>
                <c:pt idx="256">
                  <c:v>1.1953630421382129</c:v>
                </c:pt>
                <c:pt idx="257">
                  <c:v>1.1952606135216393</c:v>
                </c:pt>
                <c:pt idx="258">
                  <c:v>1.1953226360940585</c:v>
                </c:pt>
                <c:pt idx="259">
                  <c:v>1.198799603290071</c:v>
                </c:pt>
                <c:pt idx="260">
                  <c:v>1.1988396039980624</c:v>
                </c:pt>
                <c:pt idx="261">
                  <c:v>1.1989214906329377</c:v>
                </c:pt>
                <c:pt idx="262">
                  <c:v>1.1992137495367403</c:v>
                </c:pt>
                <c:pt idx="263">
                  <c:v>1.1992270321304372</c:v>
                </c:pt>
                <c:pt idx="264">
                  <c:v>1.2032585898217389</c:v>
                </c:pt>
                <c:pt idx="265">
                  <c:v>1.2032585898217389</c:v>
                </c:pt>
                <c:pt idx="266">
                  <c:v>1.1005893012215038</c:v>
                </c:pt>
                <c:pt idx="267">
                  <c:v>1.1005893012215038</c:v>
                </c:pt>
                <c:pt idx="268">
                  <c:v>1.0827073581432214</c:v>
                </c:pt>
                <c:pt idx="269">
                  <c:v>1.0827073581432214</c:v>
                </c:pt>
                <c:pt idx="270">
                  <c:v>1.0827070163244166</c:v>
                </c:pt>
                <c:pt idx="271">
                  <c:v>1.0826254540779048</c:v>
                </c:pt>
                <c:pt idx="272">
                  <c:v>1.0812916786527857</c:v>
                </c:pt>
                <c:pt idx="273">
                  <c:v>1.076659115668706</c:v>
                </c:pt>
                <c:pt idx="274">
                  <c:v>1.0769279988955589</c:v>
                </c:pt>
                <c:pt idx="275">
                  <c:v>1.0765645660923271</c:v>
                </c:pt>
                <c:pt idx="276">
                  <c:v>1.0751415342064941</c:v>
                </c:pt>
                <c:pt idx="277">
                  <c:v>1.0751820349072219</c:v>
                </c:pt>
                <c:pt idx="278">
                  <c:v>1.0752756805713457</c:v>
                </c:pt>
                <c:pt idx="279">
                  <c:v>1.0758440742283075</c:v>
                </c:pt>
                <c:pt idx="280">
                  <c:v>1.0783847405465175</c:v>
                </c:pt>
                <c:pt idx="281">
                  <c:v>1.078974877551323</c:v>
                </c:pt>
                <c:pt idx="282">
                  <c:v>1.0779099088452619</c:v>
                </c:pt>
                <c:pt idx="283">
                  <c:v>1.0781475577431459</c:v>
                </c:pt>
                <c:pt idx="284">
                  <c:v>1.0780448604179222</c:v>
                </c:pt>
                <c:pt idx="285">
                  <c:v>1.0784855793227874</c:v>
                </c:pt>
                <c:pt idx="286">
                  <c:v>1.0780112118910872</c:v>
                </c:pt>
                <c:pt idx="287">
                  <c:v>1.0787310456692443</c:v>
                </c:pt>
                <c:pt idx="288">
                  <c:v>1.0785813761948193</c:v>
                </c:pt>
                <c:pt idx="289">
                  <c:v>1.0786499032095329</c:v>
                </c:pt>
                <c:pt idx="290">
                  <c:v>1.0780442818410072</c:v>
                </c:pt>
                <c:pt idx="291">
                  <c:v>1.0775652203392478</c:v>
                </c:pt>
                <c:pt idx="292">
                  <c:v>1.0774829852868382</c:v>
                </c:pt>
                <c:pt idx="293">
                  <c:v>1.0773496300122338</c:v>
                </c:pt>
                <c:pt idx="294">
                  <c:v>1.0762931282617969</c:v>
                </c:pt>
                <c:pt idx="295">
                  <c:v>1.0762943583349445</c:v>
                </c:pt>
                <c:pt idx="296">
                  <c:v>1.076370285906133</c:v>
                </c:pt>
                <c:pt idx="297">
                  <c:v>1.0763809984516681</c:v>
                </c:pt>
                <c:pt idx="298">
                  <c:v>1.0766061172350532</c:v>
                </c:pt>
                <c:pt idx="299">
                  <c:v>1.0766299092909157</c:v>
                </c:pt>
                <c:pt idx="300">
                  <c:v>1.0766504725980222</c:v>
                </c:pt>
                <c:pt idx="301">
                  <c:v>1.0766715335635413</c:v>
                </c:pt>
                <c:pt idx="302">
                  <c:v>1.0765932411281076</c:v>
                </c:pt>
                <c:pt idx="303">
                  <c:v>1.0765772218166265</c:v>
                </c:pt>
                <c:pt idx="304">
                  <c:v>1.0765203194098747</c:v>
                </c:pt>
                <c:pt idx="305">
                  <c:v>1.0765732316242018</c:v>
                </c:pt>
                <c:pt idx="306">
                  <c:v>1.0766090496528675</c:v>
                </c:pt>
                <c:pt idx="307">
                  <c:v>1.0766281016801662</c:v>
                </c:pt>
                <c:pt idx="308">
                  <c:v>1.0766777054506678</c:v>
                </c:pt>
                <c:pt idx="309">
                  <c:v>1.0766676689993058</c:v>
                </c:pt>
                <c:pt idx="310">
                  <c:v>1.0766898665839331</c:v>
                </c:pt>
                <c:pt idx="311">
                  <c:v>1.0766898665839331</c:v>
                </c:pt>
                <c:pt idx="312">
                  <c:v>1.0769537710144554</c:v>
                </c:pt>
                <c:pt idx="313">
                  <c:v>1.076953837555662</c:v>
                </c:pt>
                <c:pt idx="314">
                  <c:v>1.07677920765727</c:v>
                </c:pt>
                <c:pt idx="315">
                  <c:v>1.0760698700479283</c:v>
                </c:pt>
                <c:pt idx="316">
                  <c:v>1.0759505033577086</c:v>
                </c:pt>
                <c:pt idx="317">
                  <c:v>1.0758724663771815</c:v>
                </c:pt>
                <c:pt idx="318">
                  <c:v>1.0758724663771815</c:v>
                </c:pt>
                <c:pt idx="319">
                  <c:v>1.0769277048967645</c:v>
                </c:pt>
                <c:pt idx="320">
                  <c:v>1.0781430890035031</c:v>
                </c:pt>
                <c:pt idx="321">
                  <c:v>1.0781247515135302</c:v>
                </c:pt>
                <c:pt idx="322">
                  <c:v>1.0778028936851434</c:v>
                </c:pt>
                <c:pt idx="323">
                  <c:v>1.0760027436495834</c:v>
                </c:pt>
                <c:pt idx="324">
                  <c:v>1.0754065288034609</c:v>
                </c:pt>
                <c:pt idx="325">
                  <c:v>1.0758553072548922</c:v>
                </c:pt>
                <c:pt idx="326">
                  <c:v>1.0759643602967381</c:v>
                </c:pt>
                <c:pt idx="327">
                  <c:v>1.0756063408101966</c:v>
                </c:pt>
                <c:pt idx="328">
                  <c:v>1.0767745717861643</c:v>
                </c:pt>
                <c:pt idx="329">
                  <c:v>1.0759945282258008</c:v>
                </c:pt>
                <c:pt idx="330">
                  <c:v>1.0759944441887699</c:v>
                </c:pt>
                <c:pt idx="331">
                  <c:v>1.0741248612425998</c:v>
                </c:pt>
                <c:pt idx="332">
                  <c:v>1.0749819861459771</c:v>
                </c:pt>
                <c:pt idx="333">
                  <c:v>1.0739996333114323</c:v>
                </c:pt>
                <c:pt idx="334">
                  <c:v>1.0739996333114323</c:v>
                </c:pt>
                <c:pt idx="335">
                  <c:v>1.0603727971418917</c:v>
                </c:pt>
                <c:pt idx="336">
                  <c:v>1.0603727971418917</c:v>
                </c:pt>
                <c:pt idx="337">
                  <c:v>1.0603727971418917</c:v>
                </c:pt>
                <c:pt idx="338">
                  <c:v>1.0668990622224559</c:v>
                </c:pt>
                <c:pt idx="339">
                  <c:v>1.0668816691358247</c:v>
                </c:pt>
                <c:pt idx="340">
                  <c:v>1.0721109971237768</c:v>
                </c:pt>
                <c:pt idx="341">
                  <c:v>1.0722313657346161</c:v>
                </c:pt>
                <c:pt idx="342">
                  <c:v>1.0720521484621144</c:v>
                </c:pt>
                <c:pt idx="343">
                  <c:v>1.072039174910896</c:v>
                </c:pt>
                <c:pt idx="344">
                  <c:v>1.0745949895219866</c:v>
                </c:pt>
                <c:pt idx="345">
                  <c:v>1.0762339573722046</c:v>
                </c:pt>
                <c:pt idx="346">
                  <c:v>1.0755751398062618</c:v>
                </c:pt>
                <c:pt idx="347">
                  <c:v>1.0784036383403144</c:v>
                </c:pt>
                <c:pt idx="348">
                  <c:v>1.0785546995854334</c:v>
                </c:pt>
                <c:pt idx="349">
                  <c:v>1.0786471386313317</c:v>
                </c:pt>
                <c:pt idx="350">
                  <c:v>1.0775756187722416</c:v>
                </c:pt>
                <c:pt idx="351">
                  <c:v>1.0789743955348283</c:v>
                </c:pt>
                <c:pt idx="352">
                  <c:v>1.0787661803246131</c:v>
                </c:pt>
                <c:pt idx="353">
                  <c:v>1.081354195094385</c:v>
                </c:pt>
                <c:pt idx="354">
                  <c:v>1.0804888792041811</c:v>
                </c:pt>
                <c:pt idx="355">
                  <c:v>1.0804667173675193</c:v>
                </c:pt>
                <c:pt idx="356">
                  <c:v>1.0850416973024455</c:v>
                </c:pt>
                <c:pt idx="357">
                  <c:v>1.0862945612323014</c:v>
                </c:pt>
                <c:pt idx="358">
                  <c:v>1.0862974995317465</c:v>
                </c:pt>
                <c:pt idx="359">
                  <c:v>1.0839237634020888</c:v>
                </c:pt>
                <c:pt idx="360">
                  <c:v>1.0850968405421442</c:v>
                </c:pt>
                <c:pt idx="361">
                  <c:v>1.0846619338380099</c:v>
                </c:pt>
                <c:pt idx="362">
                  <c:v>1.0851572804958181</c:v>
                </c:pt>
                <c:pt idx="363">
                  <c:v>1.0991128694905516</c:v>
                </c:pt>
                <c:pt idx="364">
                  <c:v>1.0991128694905516</c:v>
                </c:pt>
                <c:pt idx="365">
                  <c:v>1.1002229208047707</c:v>
                </c:pt>
                <c:pt idx="366">
                  <c:v>1.1016776370607262</c:v>
                </c:pt>
                <c:pt idx="367">
                  <c:v>1.0968236480285523</c:v>
                </c:pt>
                <c:pt idx="368">
                  <c:v>1.0968117142011291</c:v>
                </c:pt>
                <c:pt idx="369">
                  <c:v>1.1004157298734221</c:v>
                </c:pt>
                <c:pt idx="370">
                  <c:v>1.1014115496495391</c:v>
                </c:pt>
                <c:pt idx="371">
                  <c:v>1.1091677008016683</c:v>
                </c:pt>
                <c:pt idx="372">
                  <c:v>1.1089999879670795</c:v>
                </c:pt>
                <c:pt idx="373">
                  <c:v>1.103460689086377</c:v>
                </c:pt>
                <c:pt idx="374">
                  <c:v>1.1181844575384416</c:v>
                </c:pt>
                <c:pt idx="375">
                  <c:v>1.1329747583287084</c:v>
                </c:pt>
                <c:pt idx="376">
                  <c:v>1.1329747583287084</c:v>
                </c:pt>
                <c:pt idx="377">
                  <c:v>1.1248292005531466</c:v>
                </c:pt>
                <c:pt idx="378">
                  <c:v>1.145843110438113</c:v>
                </c:pt>
                <c:pt idx="379">
                  <c:v>1.1440256554030364</c:v>
                </c:pt>
                <c:pt idx="380">
                  <c:v>1.1405223922868275</c:v>
                </c:pt>
                <c:pt idx="381">
                  <c:v>1.1453041988937833</c:v>
                </c:pt>
                <c:pt idx="382">
                  <c:v>1.1593230699107888</c:v>
                </c:pt>
                <c:pt idx="383">
                  <c:v>1.1709659686139406</c:v>
                </c:pt>
                <c:pt idx="384">
                  <c:v>1.1710486463479506</c:v>
                </c:pt>
                <c:pt idx="385">
                  <c:v>1.1588716783656874</c:v>
                </c:pt>
                <c:pt idx="386">
                  <c:v>1.1491643377597627</c:v>
                </c:pt>
                <c:pt idx="387">
                  <c:v>1.1348272141348896</c:v>
                </c:pt>
                <c:pt idx="388">
                  <c:v>1.1342545570063292</c:v>
                </c:pt>
                <c:pt idx="389">
                  <c:v>1.1405506641851502</c:v>
                </c:pt>
                <c:pt idx="390">
                  <c:v>1.1800733918184627</c:v>
                </c:pt>
                <c:pt idx="391">
                  <c:v>1.1799892567781869</c:v>
                </c:pt>
                <c:pt idx="392">
                  <c:v>1.1765847128364486</c:v>
                </c:pt>
                <c:pt idx="393">
                  <c:v>1.1585904278347865</c:v>
                </c:pt>
                <c:pt idx="394">
                  <c:v>1.1545117960229783</c:v>
                </c:pt>
                <c:pt idx="395">
                  <c:v>1.1641536831700752</c:v>
                </c:pt>
                <c:pt idx="396">
                  <c:v>1.1598571944522118</c:v>
                </c:pt>
                <c:pt idx="397">
                  <c:v>1.1768120775109392</c:v>
                </c:pt>
                <c:pt idx="398">
                  <c:v>1.1767546980859049</c:v>
                </c:pt>
                <c:pt idx="399">
                  <c:v>1.176685177751353</c:v>
                </c:pt>
                <c:pt idx="400">
                  <c:v>1.1735653782519455</c:v>
                </c:pt>
                <c:pt idx="401">
                  <c:v>1.1809154974671892</c:v>
                </c:pt>
                <c:pt idx="402">
                  <c:v>1.187750347839573</c:v>
                </c:pt>
                <c:pt idx="403">
                  <c:v>1.1696305806666136</c:v>
                </c:pt>
                <c:pt idx="404">
                  <c:v>1.1696191021393552</c:v>
                </c:pt>
                <c:pt idx="405">
                  <c:v>1.1870043912119579</c:v>
                </c:pt>
                <c:pt idx="406">
                  <c:v>1.1871175057964511</c:v>
                </c:pt>
                <c:pt idx="407">
                  <c:v>1.1862071686053608</c:v>
                </c:pt>
                <c:pt idx="408">
                  <c:v>1.1875137718845745</c:v>
                </c:pt>
                <c:pt idx="409">
                  <c:v>1.2072568754377335</c:v>
                </c:pt>
                <c:pt idx="410">
                  <c:v>1.2073905600071457</c:v>
                </c:pt>
                <c:pt idx="411">
                  <c:v>1.207411034735103</c:v>
                </c:pt>
                <c:pt idx="412">
                  <c:v>1.2615616720901965</c:v>
                </c:pt>
                <c:pt idx="413">
                  <c:v>1.2615616720901965</c:v>
                </c:pt>
                <c:pt idx="414">
                  <c:v>1.2772614368080284</c:v>
                </c:pt>
                <c:pt idx="415">
                  <c:v>1.2744520272035411</c:v>
                </c:pt>
                <c:pt idx="416">
                  <c:v>1.2746846501837616</c:v>
                </c:pt>
                <c:pt idx="417">
                  <c:v>1.2746465543043357</c:v>
                </c:pt>
                <c:pt idx="418">
                  <c:v>1.3440423477035257</c:v>
                </c:pt>
                <c:pt idx="419">
                  <c:v>1.3440423477035257</c:v>
                </c:pt>
                <c:pt idx="420">
                  <c:v>1.3440423477035257</c:v>
                </c:pt>
                <c:pt idx="421">
                  <c:v>1.3422810494576261</c:v>
                </c:pt>
                <c:pt idx="422">
                  <c:v>1.355368836613613</c:v>
                </c:pt>
                <c:pt idx="423">
                  <c:v>1.5369319691454628</c:v>
                </c:pt>
                <c:pt idx="424">
                  <c:v>1.5369319691454628</c:v>
                </c:pt>
                <c:pt idx="425">
                  <c:v>1.5374722951088566</c:v>
                </c:pt>
                <c:pt idx="426">
                  <c:v>1.5000416426228136</c:v>
                </c:pt>
                <c:pt idx="427">
                  <c:v>1.5009352859743359</c:v>
                </c:pt>
                <c:pt idx="428">
                  <c:v>1.5021584568914192</c:v>
                </c:pt>
                <c:pt idx="429">
                  <c:v>1.501986251529301</c:v>
                </c:pt>
                <c:pt idx="430">
                  <c:v>1.6575300119306391</c:v>
                </c:pt>
                <c:pt idx="431">
                  <c:v>1.658264424668533</c:v>
                </c:pt>
                <c:pt idx="432">
                  <c:v>1.658565972950014</c:v>
                </c:pt>
                <c:pt idx="433">
                  <c:v>1.7836592308799155</c:v>
                </c:pt>
                <c:pt idx="434">
                  <c:v>1.7838963350480164</c:v>
                </c:pt>
                <c:pt idx="435">
                  <c:v>1.6256383091845779</c:v>
                </c:pt>
                <c:pt idx="436">
                  <c:v>1.627778415001087</c:v>
                </c:pt>
                <c:pt idx="437">
                  <c:v>1.6274777397240652</c:v>
                </c:pt>
                <c:pt idx="438">
                  <c:v>1.6556210883849574</c:v>
                </c:pt>
                <c:pt idx="439">
                  <c:v>1.7525513869087386</c:v>
                </c:pt>
                <c:pt idx="440">
                  <c:v>1.7570678328226463</c:v>
                </c:pt>
                <c:pt idx="441">
                  <c:v>1.7581965282396168</c:v>
                </c:pt>
                <c:pt idx="442">
                  <c:v>1.7911253663237687</c:v>
                </c:pt>
                <c:pt idx="443">
                  <c:v>1.7918737527733879</c:v>
                </c:pt>
                <c:pt idx="444">
                  <c:v>1.8723425171447166</c:v>
                </c:pt>
                <c:pt idx="445">
                  <c:v>1.8743543430181115</c:v>
                </c:pt>
                <c:pt idx="446">
                  <c:v>1.8452198084251421</c:v>
                </c:pt>
                <c:pt idx="447">
                  <c:v>1.8534535909413314</c:v>
                </c:pt>
                <c:pt idx="448">
                  <c:v>1.8534535909413314</c:v>
                </c:pt>
                <c:pt idx="449">
                  <c:v>1.8707404589176404</c:v>
                </c:pt>
                <c:pt idx="450">
                  <c:v>1.8111133465919831</c:v>
                </c:pt>
                <c:pt idx="451">
                  <c:v>1.8294340114549286</c:v>
                </c:pt>
                <c:pt idx="452">
                  <c:v>2.1845807144935505</c:v>
                </c:pt>
                <c:pt idx="453">
                  <c:v>2.1847155859579113</c:v>
                </c:pt>
                <c:pt idx="454">
                  <c:v>2.2012355775624268</c:v>
                </c:pt>
                <c:pt idx="455">
                  <c:v>2.2808646361872831</c:v>
                </c:pt>
                <c:pt idx="456">
                  <c:v>2.2176469233269431</c:v>
                </c:pt>
                <c:pt idx="457">
                  <c:v>2.2314430192868664</c:v>
                </c:pt>
                <c:pt idx="458">
                  <c:v>2.3121676799766777</c:v>
                </c:pt>
                <c:pt idx="459">
                  <c:v>2.398161226758968</c:v>
                </c:pt>
                <c:pt idx="460">
                  <c:v>2.3831610348965335</c:v>
                </c:pt>
                <c:pt idx="461">
                  <c:v>2.7928436758763362</c:v>
                </c:pt>
                <c:pt idx="462">
                  <c:v>2.7944499725462562</c:v>
                </c:pt>
                <c:pt idx="463">
                  <c:v>2.7882559878060205</c:v>
                </c:pt>
                <c:pt idx="464">
                  <c:v>2.8322609373969319</c:v>
                </c:pt>
                <c:pt idx="465">
                  <c:v>3.1254944899771906</c:v>
                </c:pt>
                <c:pt idx="466">
                  <c:v>3.1478877859430963</c:v>
                </c:pt>
                <c:pt idx="467">
                  <c:v>3.1479379857950716</c:v>
                </c:pt>
                <c:pt idx="468">
                  <c:v>3.3072482575733164</c:v>
                </c:pt>
                <c:pt idx="469">
                  <c:v>3.4644483754561808</c:v>
                </c:pt>
                <c:pt idx="470">
                  <c:v>3.4737807109782919</c:v>
                </c:pt>
                <c:pt idx="471">
                  <c:v>3.4715882851636959</c:v>
                </c:pt>
                <c:pt idx="472">
                  <c:v>3.7595291499575101</c:v>
                </c:pt>
                <c:pt idx="473">
                  <c:v>3.7444050200658285</c:v>
                </c:pt>
                <c:pt idx="474">
                  <c:v>3.7485770127390627</c:v>
                </c:pt>
                <c:pt idx="475">
                  <c:v>3.7496719153012377</c:v>
                </c:pt>
                <c:pt idx="476">
                  <c:v>3.7119290288150215</c:v>
                </c:pt>
                <c:pt idx="477">
                  <c:v>3.7205100600568786</c:v>
                </c:pt>
                <c:pt idx="478">
                  <c:v>3.7889354475602421</c:v>
                </c:pt>
                <c:pt idx="479">
                  <c:v>4.5148071290215306</c:v>
                </c:pt>
                <c:pt idx="480">
                  <c:v>4.5304350467660859</c:v>
                </c:pt>
                <c:pt idx="481">
                  <c:v>4.5304350467660859</c:v>
                </c:pt>
                <c:pt idx="482">
                  <c:v>4.5514118360376408</c:v>
                </c:pt>
                <c:pt idx="483">
                  <c:v>4.548902879781231</c:v>
                </c:pt>
                <c:pt idx="484">
                  <c:v>3.7406718652238147</c:v>
                </c:pt>
                <c:pt idx="485">
                  <c:v>3.7731989779030677</c:v>
                </c:pt>
                <c:pt idx="486">
                  <c:v>3.7785104785187569</c:v>
                </c:pt>
                <c:pt idx="487">
                  <c:v>4.2332659294381054</c:v>
                </c:pt>
                <c:pt idx="488">
                  <c:v>4.2969875872478012</c:v>
                </c:pt>
                <c:pt idx="489">
                  <c:v>4.2932289874980087</c:v>
                </c:pt>
                <c:pt idx="490">
                  <c:v>4.6846635850179892</c:v>
                </c:pt>
                <c:pt idx="491">
                  <c:v>4.7433099742373122</c:v>
                </c:pt>
                <c:pt idx="492">
                  <c:v>4.8405373484131076</c:v>
                </c:pt>
                <c:pt idx="493">
                  <c:v>6.1148872702313062</c:v>
                </c:pt>
                <c:pt idx="494">
                  <c:v>6.1585759228390806</c:v>
                </c:pt>
                <c:pt idx="495">
                  <c:v>6.1846692983962175</c:v>
                </c:pt>
                <c:pt idx="496">
                  <c:v>6.18137655527934</c:v>
                </c:pt>
                <c:pt idx="497">
                  <c:v>7.2550710115672477</c:v>
                </c:pt>
                <c:pt idx="498">
                  <c:v>7.256926229413069</c:v>
                </c:pt>
                <c:pt idx="499">
                  <c:v>9.4785981917154576</c:v>
                </c:pt>
                <c:pt idx="500">
                  <c:v>9.531013887270511</c:v>
                </c:pt>
                <c:pt idx="501">
                  <c:v>9.5860769203996341</c:v>
                </c:pt>
                <c:pt idx="502">
                  <c:v>9.5860769203996341</c:v>
                </c:pt>
                <c:pt idx="503">
                  <c:v>9.5816652133190505</c:v>
                </c:pt>
                <c:pt idx="504">
                  <c:v>9.5843234141540137</c:v>
                </c:pt>
                <c:pt idx="505">
                  <c:v>6.7795277812199171</c:v>
                </c:pt>
                <c:pt idx="506">
                  <c:v>6.7569069001767321</c:v>
                </c:pt>
                <c:pt idx="507">
                  <c:v>5.996414933449751</c:v>
                </c:pt>
                <c:pt idx="508">
                  <c:v>5.2234845817182141</c:v>
                </c:pt>
                <c:pt idx="509">
                  <c:v>5.4141543566550627</c:v>
                </c:pt>
                <c:pt idx="510">
                  <c:v>5.4422220530142233</c:v>
                </c:pt>
                <c:pt idx="511">
                  <c:v>5.5532933004422347</c:v>
                </c:pt>
                <c:pt idx="512">
                  <c:v>6.128048987921658</c:v>
                </c:pt>
                <c:pt idx="513">
                  <c:v>5.4709331151754199</c:v>
                </c:pt>
                <c:pt idx="514">
                  <c:v>6.1188675463632682</c:v>
                </c:pt>
                <c:pt idx="515">
                  <c:v>7.558209948256648</c:v>
                </c:pt>
                <c:pt idx="516">
                  <c:v>8.0293659664493333</c:v>
                </c:pt>
                <c:pt idx="517">
                  <c:v>6.7380821382712695</c:v>
                </c:pt>
                <c:pt idx="518">
                  <c:v>6.3478892921103842</c:v>
                </c:pt>
                <c:pt idx="519">
                  <c:v>5.5923149751019672</c:v>
                </c:pt>
                <c:pt idx="520">
                  <c:v>6.0770329461705739</c:v>
                </c:pt>
                <c:pt idx="521">
                  <c:v>6.1450020288420051</c:v>
                </c:pt>
                <c:pt idx="522">
                  <c:v>6.6988169182547672</c:v>
                </c:pt>
                <c:pt idx="523">
                  <c:v>6.1464875879421577</c:v>
                </c:pt>
                <c:pt idx="524">
                  <c:v>4.9276756115930427</c:v>
                </c:pt>
                <c:pt idx="525">
                  <c:v>4.8364251674246255</c:v>
                </c:pt>
                <c:pt idx="526">
                  <c:v>4.6821190188278221</c:v>
                </c:pt>
                <c:pt idx="527">
                  <c:v>4.8890258734696586</c:v>
                </c:pt>
                <c:pt idx="528">
                  <c:v>4.9095738708301964</c:v>
                </c:pt>
                <c:pt idx="529">
                  <c:v>5.0045321468239239</c:v>
                </c:pt>
                <c:pt idx="530">
                  <c:v>4.2644447264551406</c:v>
                </c:pt>
                <c:pt idx="531">
                  <c:v>4.3075469434210341</c:v>
                </c:pt>
                <c:pt idx="532">
                  <c:v>4.3191260708787391</c:v>
                </c:pt>
                <c:pt idx="533">
                  <c:v>4.6630794295644309</c:v>
                </c:pt>
                <c:pt idx="534">
                  <c:v>4.4226607705707783</c:v>
                </c:pt>
                <c:pt idx="535">
                  <c:v>4.4943561372472045</c:v>
                </c:pt>
                <c:pt idx="536">
                  <c:v>4.6448359610656809</c:v>
                </c:pt>
                <c:pt idx="537">
                  <c:v>4.4988655833751148</c:v>
                </c:pt>
                <c:pt idx="538">
                  <c:v>4.480293140810983</c:v>
                </c:pt>
                <c:pt idx="539">
                  <c:v>4.5576646229195799</c:v>
                </c:pt>
                <c:pt idx="540">
                  <c:v>5.0245693289228832</c:v>
                </c:pt>
                <c:pt idx="541">
                  <c:v>5.0379548018449025</c:v>
                </c:pt>
                <c:pt idx="542">
                  <c:v>4.8300349848572202</c:v>
                </c:pt>
                <c:pt idx="543">
                  <c:v>4.9597733418310668</c:v>
                </c:pt>
                <c:pt idx="544">
                  <c:v>4.9799312967762193</c:v>
                </c:pt>
                <c:pt idx="545">
                  <c:v>4.9862397915450316</c:v>
                </c:pt>
                <c:pt idx="546">
                  <c:v>5.169236260729198</c:v>
                </c:pt>
                <c:pt idx="547">
                  <c:v>5.5711623074594803</c:v>
                </c:pt>
                <c:pt idx="548">
                  <c:v>5.552635296301097</c:v>
                </c:pt>
                <c:pt idx="549">
                  <c:v>5.8126418275272611</c:v>
                </c:pt>
                <c:pt idx="550">
                  <c:v>5.7093087729592797</c:v>
                </c:pt>
                <c:pt idx="551">
                  <c:v>5.7097386286819098</c:v>
                </c:pt>
                <c:pt idx="552">
                  <c:v>5.9182779602645805</c:v>
                </c:pt>
                <c:pt idx="553">
                  <c:v>5.8429405676944768</c:v>
                </c:pt>
                <c:pt idx="554">
                  <c:v>5.8438915551786899</c:v>
                </c:pt>
                <c:pt idx="555">
                  <c:v>5.9249274587168008</c:v>
                </c:pt>
                <c:pt idx="556">
                  <c:v>5.4338306148242959</c:v>
                </c:pt>
                <c:pt idx="557">
                  <c:v>5.4337733828938983</c:v>
                </c:pt>
                <c:pt idx="558">
                  <c:v>5.4429517996742618</c:v>
                </c:pt>
                <c:pt idx="559">
                  <c:v>5.4679112914319452</c:v>
                </c:pt>
                <c:pt idx="560">
                  <c:v>5.3118367867075671</c:v>
                </c:pt>
                <c:pt idx="561">
                  <c:v>5.1833885927877761</c:v>
                </c:pt>
                <c:pt idx="562">
                  <c:v>5.1832578472672353</c:v>
                </c:pt>
                <c:pt idx="563">
                  <c:v>5.1685092920953464</c:v>
                </c:pt>
                <c:pt idx="564">
                  <c:v>5.1696204715707719</c:v>
                </c:pt>
                <c:pt idx="565">
                  <c:v>5.172040554345827</c:v>
                </c:pt>
                <c:pt idx="566">
                  <c:v>5.1631567680594248</c:v>
                </c:pt>
                <c:pt idx="567">
                  <c:v>5.1366289664146816</c:v>
                </c:pt>
                <c:pt idx="568">
                  <c:v>5.136353860434947</c:v>
                </c:pt>
                <c:pt idx="569">
                  <c:v>5.1367181165982965</c:v>
                </c:pt>
                <c:pt idx="570">
                  <c:v>5.137717162893475</c:v>
                </c:pt>
                <c:pt idx="571">
                  <c:v>5.1419411394708625</c:v>
                </c:pt>
                <c:pt idx="572">
                  <c:v>5.1614883218026613</c:v>
                </c:pt>
                <c:pt idx="573">
                  <c:v>5.1616711351231572</c:v>
                </c:pt>
                <c:pt idx="574">
                  <c:v>5.1759129418129337</c:v>
                </c:pt>
                <c:pt idx="575">
                  <c:v>5.1757158748663512</c:v>
                </c:pt>
                <c:pt idx="576">
                  <c:v>5.1785894805288732</c:v>
                </c:pt>
                <c:pt idx="577">
                  <c:v>5.180261234837114</c:v>
                </c:pt>
                <c:pt idx="578">
                  <c:v>5.1663334277818276</c:v>
                </c:pt>
                <c:pt idx="579">
                  <c:v>5.1664076636254084</c:v>
                </c:pt>
                <c:pt idx="580">
                  <c:v>5.1656240020663882</c:v>
                </c:pt>
                <c:pt idx="581">
                  <c:v>5.1558860523641181</c:v>
                </c:pt>
                <c:pt idx="582">
                  <c:v>5.1549509216012019</c:v>
                </c:pt>
                <c:pt idx="583">
                  <c:v>5.1550439575775293</c:v>
                </c:pt>
                <c:pt idx="584">
                  <c:v>5.1583383588316822</c:v>
                </c:pt>
                <c:pt idx="585">
                  <c:v>5.1659669762407443</c:v>
                </c:pt>
                <c:pt idx="586">
                  <c:v>5.1660189690190226</c:v>
                </c:pt>
                <c:pt idx="587">
                  <c:v>5.1063711600471482</c:v>
                </c:pt>
                <c:pt idx="588">
                  <c:v>5.1063711600471482</c:v>
                </c:pt>
                <c:pt idx="589">
                  <c:v>5.1016419051953399</c:v>
                </c:pt>
                <c:pt idx="590">
                  <c:v>5.1016419051953399</c:v>
                </c:pt>
                <c:pt idx="591">
                  <c:v>5.2921958476007074</c:v>
                </c:pt>
                <c:pt idx="592">
                  <c:v>5.2921189161328765</c:v>
                </c:pt>
                <c:pt idx="593">
                  <c:v>5.2981759627542262</c:v>
                </c:pt>
                <c:pt idx="594">
                  <c:v>5.4615855871983126</c:v>
                </c:pt>
                <c:pt idx="595">
                  <c:v>5.4644222233275173</c:v>
                </c:pt>
                <c:pt idx="596">
                  <c:v>5.4624194752568824</c:v>
                </c:pt>
                <c:pt idx="597">
                  <c:v>5.4811284374181035</c:v>
                </c:pt>
                <c:pt idx="598">
                  <c:v>5.4799788961066529</c:v>
                </c:pt>
                <c:pt idx="599">
                  <c:v>5.6747840436367882</c:v>
                </c:pt>
                <c:pt idx="600">
                  <c:v>5.6932135895946061</c:v>
                </c:pt>
                <c:pt idx="601">
                  <c:v>5.6834303576347445</c:v>
                </c:pt>
                <c:pt idx="602">
                  <c:v>5.6316700979725365</c:v>
                </c:pt>
                <c:pt idx="603">
                  <c:v>5.6334367360670168</c:v>
                </c:pt>
                <c:pt idx="604">
                  <c:v>5.6201060083614554</c:v>
                </c:pt>
                <c:pt idx="605">
                  <c:v>5.632937288324003</c:v>
                </c:pt>
                <c:pt idx="606">
                  <c:v>5.6485414566018886</c:v>
                </c:pt>
                <c:pt idx="607">
                  <c:v>5.6817803685203323</c:v>
                </c:pt>
                <c:pt idx="608">
                  <c:v>5.6813384172757608</c:v>
                </c:pt>
                <c:pt idx="609">
                  <c:v>5.7023536213081716</c:v>
                </c:pt>
                <c:pt idx="610">
                  <c:v>5.6784382960515192</c:v>
                </c:pt>
                <c:pt idx="611">
                  <c:v>5.6776587555526898</c:v>
                </c:pt>
                <c:pt idx="612">
                  <c:v>5.7294540719290774</c:v>
                </c:pt>
                <c:pt idx="613">
                  <c:v>5.7311260766212664</c:v>
                </c:pt>
                <c:pt idx="614">
                  <c:v>5.7692741328249415</c:v>
                </c:pt>
                <c:pt idx="615">
                  <c:v>5.7690450811475422</c:v>
                </c:pt>
                <c:pt idx="616">
                  <c:v>5.7655146385660458</c:v>
                </c:pt>
                <c:pt idx="617">
                  <c:v>5.7660522747332017</c:v>
                </c:pt>
                <c:pt idx="618">
                  <c:v>5.7709060823958964</c:v>
                </c:pt>
                <c:pt idx="619">
                  <c:v>5.7801578824251072</c:v>
                </c:pt>
                <c:pt idx="620">
                  <c:v>5.7783428569209185</c:v>
                </c:pt>
                <c:pt idx="621">
                  <c:v>5.7809360072545211</c:v>
                </c:pt>
                <c:pt idx="622">
                  <c:v>5.7803681657741848</c:v>
                </c:pt>
                <c:pt idx="623">
                  <c:v>5.7798847707580503</c:v>
                </c:pt>
                <c:pt idx="624">
                  <c:v>5.7791382510882379</c:v>
                </c:pt>
                <c:pt idx="625">
                  <c:v>5.7796256277293763</c:v>
                </c:pt>
                <c:pt idx="626">
                  <c:v>5.7799805687386066</c:v>
                </c:pt>
                <c:pt idx="627">
                  <c:v>5.7809328172254677</c:v>
                </c:pt>
                <c:pt idx="628">
                  <c:v>5.7771883999833955</c:v>
                </c:pt>
                <c:pt idx="629">
                  <c:v>5.7771295026224303</c:v>
                </c:pt>
                <c:pt idx="630">
                  <c:v>5.7907939743941723</c:v>
                </c:pt>
                <c:pt idx="631">
                  <c:v>5.7906231034446298</c:v>
                </c:pt>
                <c:pt idx="632">
                  <c:v>5.7836741265382505</c:v>
                </c:pt>
                <c:pt idx="633">
                  <c:v>5.7833339145619549</c:v>
                </c:pt>
                <c:pt idx="634">
                  <c:v>5.7831441484029025</c:v>
                </c:pt>
                <c:pt idx="635">
                  <c:v>5.7834876003100728</c:v>
                </c:pt>
                <c:pt idx="636">
                  <c:v>5.7797092944124024</c:v>
                </c:pt>
                <c:pt idx="637">
                  <c:v>5.781064911114365</c:v>
                </c:pt>
                <c:pt idx="638">
                  <c:v>5.7997620650055897</c:v>
                </c:pt>
                <c:pt idx="639">
                  <c:v>5.7993004930197802</c:v>
                </c:pt>
                <c:pt idx="640">
                  <c:v>5.7959442334050539</c:v>
                </c:pt>
                <c:pt idx="641">
                  <c:v>5.7941780935904932</c:v>
                </c:pt>
                <c:pt idx="642">
                  <c:v>5.7775250899545796</c:v>
                </c:pt>
                <c:pt idx="643">
                  <c:v>5.7776441872768869</c:v>
                </c:pt>
                <c:pt idx="644">
                  <c:v>5.7776806773705198</c:v>
                </c:pt>
                <c:pt idx="645">
                  <c:v>5.755180921463162</c:v>
                </c:pt>
                <c:pt idx="646">
                  <c:v>5.755180921463162</c:v>
                </c:pt>
                <c:pt idx="647">
                  <c:v>5.7552193581713968</c:v>
                </c:pt>
                <c:pt idx="648">
                  <c:v>5.7654244068437146</c:v>
                </c:pt>
                <c:pt idx="649">
                  <c:v>5.7566289096840091</c:v>
                </c:pt>
                <c:pt idx="650">
                  <c:v>5.861327773975785</c:v>
                </c:pt>
                <c:pt idx="651">
                  <c:v>5.8614105151137386</c:v>
                </c:pt>
                <c:pt idx="652">
                  <c:v>5.9098353799350223</c:v>
                </c:pt>
                <c:pt idx="653">
                  <c:v>5.9095727897848507</c:v>
                </c:pt>
                <c:pt idx="654">
                  <c:v>5.9194161146394801</c:v>
                </c:pt>
                <c:pt idx="655">
                  <c:v>5.9078969670774848</c:v>
                </c:pt>
                <c:pt idx="656">
                  <c:v>5.9081407611804186</c:v>
                </c:pt>
                <c:pt idx="657">
                  <c:v>5.9049924410747225</c:v>
                </c:pt>
                <c:pt idx="658">
                  <c:v>5.9049407024938905</c:v>
                </c:pt>
                <c:pt idx="659">
                  <c:v>5.9264152496434432</c:v>
                </c:pt>
                <c:pt idx="660">
                  <c:v>5.9393448353137961</c:v>
                </c:pt>
                <c:pt idx="661">
                  <c:v>5.9343822023026966</c:v>
                </c:pt>
                <c:pt idx="662">
                  <c:v>5.9668930613234199</c:v>
                </c:pt>
                <c:pt idx="663">
                  <c:v>5.9614788467725193</c:v>
                </c:pt>
                <c:pt idx="664">
                  <c:v>5.9611740759219725</c:v>
                </c:pt>
                <c:pt idx="665">
                  <c:v>5.9662937143667572</c:v>
                </c:pt>
                <c:pt idx="666">
                  <c:v>5.9803876017762034</c:v>
                </c:pt>
                <c:pt idx="667">
                  <c:v>5.9808550974075079</c:v>
                </c:pt>
                <c:pt idx="668">
                  <c:v>5.9740344875905462</c:v>
                </c:pt>
                <c:pt idx="669">
                  <c:v>5.9865447151665023</c:v>
                </c:pt>
                <c:pt idx="670">
                  <c:v>5.973795646823282</c:v>
                </c:pt>
                <c:pt idx="671">
                  <c:v>5.973294494051018</c:v>
                </c:pt>
                <c:pt idx="672">
                  <c:v>5.9628036384226704</c:v>
                </c:pt>
                <c:pt idx="673">
                  <c:v>5.9256817964280231</c:v>
                </c:pt>
                <c:pt idx="674">
                  <c:v>5.9249179035394777</c:v>
                </c:pt>
                <c:pt idx="675">
                  <c:v>5.9275427496252071</c:v>
                </c:pt>
                <c:pt idx="676">
                  <c:v>5.927821803301649</c:v>
                </c:pt>
                <c:pt idx="677">
                  <c:v>5.9369377309636988</c:v>
                </c:pt>
                <c:pt idx="678">
                  <c:v>6.006017882283718</c:v>
                </c:pt>
                <c:pt idx="679">
                  <c:v>6.006017882283718</c:v>
                </c:pt>
                <c:pt idx="680">
                  <c:v>6.0056496914550976</c:v>
                </c:pt>
                <c:pt idx="681">
                  <c:v>6.0058393542200541</c:v>
                </c:pt>
                <c:pt idx="682">
                  <c:v>6.0015761818630375</c:v>
                </c:pt>
                <c:pt idx="683">
                  <c:v>6.0224534281932529</c:v>
                </c:pt>
                <c:pt idx="684">
                  <c:v>6.0222453846876949</c:v>
                </c:pt>
                <c:pt idx="685">
                  <c:v>5.9996529178130391</c:v>
                </c:pt>
                <c:pt idx="686">
                  <c:v>5.9997729013862262</c:v>
                </c:pt>
                <c:pt idx="687">
                  <c:v>5.9814336778622668</c:v>
                </c:pt>
                <c:pt idx="688">
                  <c:v>5.9801849418113386</c:v>
                </c:pt>
                <c:pt idx="689">
                  <c:v>5.9605295297251502</c:v>
                </c:pt>
                <c:pt idx="690">
                  <c:v>5.9605637379331311</c:v>
                </c:pt>
                <c:pt idx="691">
                  <c:v>5.9157738565050142</c:v>
                </c:pt>
                <c:pt idx="692">
                  <c:v>5.9157738565050142</c:v>
                </c:pt>
                <c:pt idx="693">
                  <c:v>5.9154341808448088</c:v>
                </c:pt>
                <c:pt idx="694">
                  <c:v>5.8450619593478796</c:v>
                </c:pt>
                <c:pt idx="695">
                  <c:v>5.8450619593478796</c:v>
                </c:pt>
                <c:pt idx="696">
                  <c:v>5.8440842828498241</c:v>
                </c:pt>
                <c:pt idx="697">
                  <c:v>6.1210488588192202</c:v>
                </c:pt>
                <c:pt idx="698">
                  <c:v>6.1227177566818884</c:v>
                </c:pt>
                <c:pt idx="699">
                  <c:v>5.9016100730783156</c:v>
                </c:pt>
                <c:pt idx="700">
                  <c:v>5.7854406369963405</c:v>
                </c:pt>
                <c:pt idx="701">
                  <c:v>5.7873983870446946</c:v>
                </c:pt>
                <c:pt idx="702">
                  <c:v>5.8204905987328193</c:v>
                </c:pt>
                <c:pt idx="703">
                  <c:v>5.7064733957691143</c:v>
                </c:pt>
                <c:pt idx="704">
                  <c:v>5.7057395441004886</c:v>
                </c:pt>
                <c:pt idx="705">
                  <c:v>5.6895385882267249</c:v>
                </c:pt>
                <c:pt idx="706">
                  <c:v>5.6999365695691058</c:v>
                </c:pt>
                <c:pt idx="707">
                  <c:v>5.6754037430911</c:v>
                </c:pt>
                <c:pt idx="708">
                  <c:v>5.6347010124435961</c:v>
                </c:pt>
                <c:pt idx="709">
                  <c:v>5.658388267069749</c:v>
                </c:pt>
                <c:pt idx="710">
                  <c:v>5.5220671288301277</c:v>
                </c:pt>
                <c:pt idx="711">
                  <c:v>5.5185598663492197</c:v>
                </c:pt>
                <c:pt idx="712">
                  <c:v>5.5129938815179322</c:v>
                </c:pt>
                <c:pt idx="713">
                  <c:v>5.512349382220421</c:v>
                </c:pt>
                <c:pt idx="714">
                  <c:v>5.512349382220421</c:v>
                </c:pt>
                <c:pt idx="715">
                  <c:v>5.5267827763794966</c:v>
                </c:pt>
                <c:pt idx="716">
                  <c:v>5.528955474562431</c:v>
                </c:pt>
                <c:pt idx="717">
                  <c:v>5.5363159011809984</c:v>
                </c:pt>
                <c:pt idx="718">
                  <c:v>5.618984171538334</c:v>
                </c:pt>
                <c:pt idx="719">
                  <c:v>5.627791911436284</c:v>
                </c:pt>
                <c:pt idx="720">
                  <c:v>5.9454433250907597</c:v>
                </c:pt>
                <c:pt idx="721">
                  <c:v>5.9547545957955519</c:v>
                </c:pt>
                <c:pt idx="722">
                  <c:v>5.9939545329901733</c:v>
                </c:pt>
                <c:pt idx="723">
                  <c:v>6.1727736108609568</c:v>
                </c:pt>
                <c:pt idx="724">
                  <c:v>6.2267064914388124</c:v>
                </c:pt>
                <c:pt idx="725">
                  <c:v>6.2267064914388124</c:v>
                </c:pt>
                <c:pt idx="726">
                  <c:v>6.2267064914388124</c:v>
                </c:pt>
                <c:pt idx="727">
                  <c:v>6.2267064914388124</c:v>
                </c:pt>
                <c:pt idx="728">
                  <c:v>6.2392677804982117</c:v>
                </c:pt>
                <c:pt idx="729">
                  <c:v>6.2464098525712481</c:v>
                </c:pt>
                <c:pt idx="730">
                  <c:v>7.3288091229055627</c:v>
                </c:pt>
                <c:pt idx="731">
                  <c:v>7.204470349738739</c:v>
                </c:pt>
                <c:pt idx="732">
                  <c:v>7.3974527845072888</c:v>
                </c:pt>
                <c:pt idx="733">
                  <c:v>8.9582879760561234</c:v>
                </c:pt>
                <c:pt idx="734">
                  <c:v>9.034669192491469</c:v>
                </c:pt>
                <c:pt idx="735">
                  <c:v>8.9294281384585172</c:v>
                </c:pt>
                <c:pt idx="736">
                  <c:v>8.3161741427995519</c:v>
                </c:pt>
                <c:pt idx="737">
                  <c:v>8.3322892073810308</c:v>
                </c:pt>
                <c:pt idx="738">
                  <c:v>8.8633261073457312</c:v>
                </c:pt>
                <c:pt idx="739">
                  <c:v>8.842150482437571</c:v>
                </c:pt>
                <c:pt idx="740">
                  <c:v>8.6705367973561245</c:v>
                </c:pt>
                <c:pt idx="741">
                  <c:v>8.4439126078876168</c:v>
                </c:pt>
                <c:pt idx="742">
                  <c:v>8.9895231732408316</c:v>
                </c:pt>
                <c:pt idx="743">
                  <c:v>9.3844848142199311</c:v>
                </c:pt>
                <c:pt idx="744">
                  <c:v>9.4265732664455335</c:v>
                </c:pt>
                <c:pt idx="745">
                  <c:v>8.4930905724995949</c:v>
                </c:pt>
                <c:pt idx="746">
                  <c:v>8.4445751516992917</c:v>
                </c:pt>
                <c:pt idx="747">
                  <c:v>8.357304656497984</c:v>
                </c:pt>
                <c:pt idx="748">
                  <c:v>9.0830448190838258</c:v>
                </c:pt>
                <c:pt idx="749">
                  <c:v>9.0347231210117069</c:v>
                </c:pt>
                <c:pt idx="750">
                  <c:v>9.0987900540802542</c:v>
                </c:pt>
                <c:pt idx="751">
                  <c:v>9.4552690664923382</c:v>
                </c:pt>
                <c:pt idx="752">
                  <c:v>9.3106148754490121</c:v>
                </c:pt>
                <c:pt idx="753">
                  <c:v>11.452513427646176</c:v>
                </c:pt>
                <c:pt idx="754">
                  <c:v>11.463912615586533</c:v>
                </c:pt>
                <c:pt idx="755">
                  <c:v>12.982804811636875</c:v>
                </c:pt>
                <c:pt idx="756">
                  <c:v>12.718243322588581</c:v>
                </c:pt>
                <c:pt idx="757">
                  <c:v>12.750391486909018</c:v>
                </c:pt>
                <c:pt idx="758">
                  <c:v>12.92941981550768</c:v>
                </c:pt>
                <c:pt idx="759">
                  <c:v>12.21880844152671</c:v>
                </c:pt>
                <c:pt idx="760">
                  <c:v>11.762918281055109</c:v>
                </c:pt>
                <c:pt idx="761">
                  <c:v>12.049773515143229</c:v>
                </c:pt>
                <c:pt idx="762">
                  <c:v>11.357449844255626</c:v>
                </c:pt>
                <c:pt idx="763">
                  <c:v>10.773993967817507</c:v>
                </c:pt>
                <c:pt idx="764">
                  <c:v>10.854224729269966</c:v>
                </c:pt>
                <c:pt idx="765">
                  <c:v>11.003056714798429</c:v>
                </c:pt>
                <c:pt idx="766">
                  <c:v>10.521836158611402</c:v>
                </c:pt>
                <c:pt idx="767">
                  <c:v>10.584790253603392</c:v>
                </c:pt>
                <c:pt idx="768">
                  <c:v>10.298888531470283</c:v>
                </c:pt>
                <c:pt idx="769">
                  <c:v>10.27184190117069</c:v>
                </c:pt>
                <c:pt idx="770">
                  <c:v>9.894641990438501</c:v>
                </c:pt>
                <c:pt idx="771">
                  <c:v>9.8066046756969474</c:v>
                </c:pt>
                <c:pt idx="772">
                  <c:v>9.2062511901078548</c:v>
                </c:pt>
                <c:pt idx="773">
                  <c:v>8.7709576059627814</c:v>
                </c:pt>
                <c:pt idx="774">
                  <c:v>8.799409863687206</c:v>
                </c:pt>
                <c:pt idx="775">
                  <c:v>9.069768358161987</c:v>
                </c:pt>
                <c:pt idx="776">
                  <c:v>9.1216236954701113</c:v>
                </c:pt>
                <c:pt idx="777">
                  <c:v>9.1717717430476355</c:v>
                </c:pt>
                <c:pt idx="778">
                  <c:v>8.4500334883573487</c:v>
                </c:pt>
                <c:pt idx="779">
                  <c:v>8.4586209616241934</c:v>
                </c:pt>
                <c:pt idx="780">
                  <c:v>8.4718914216147692</c:v>
                </c:pt>
                <c:pt idx="781">
                  <c:v>8.4653411907299301</c:v>
                </c:pt>
                <c:pt idx="782">
                  <c:v>8.2026009408946834</c:v>
                </c:pt>
                <c:pt idx="783">
                  <c:v>8.2474962980418525</c:v>
                </c:pt>
                <c:pt idx="784">
                  <c:v>8.5179666579521456</c:v>
                </c:pt>
                <c:pt idx="785">
                  <c:v>8.4629629440479857</c:v>
                </c:pt>
                <c:pt idx="786">
                  <c:v>8.5069668250573169</c:v>
                </c:pt>
                <c:pt idx="787">
                  <c:v>8.2104516695649696</c:v>
                </c:pt>
                <c:pt idx="788">
                  <c:v>8.2062269930727521</c:v>
                </c:pt>
                <c:pt idx="789">
                  <c:v>8.3426154195592819</c:v>
                </c:pt>
                <c:pt idx="790">
                  <c:v>8.4015137076400173</c:v>
                </c:pt>
                <c:pt idx="791">
                  <c:v>8.5737398994550951</c:v>
                </c:pt>
                <c:pt idx="792">
                  <c:v>8.8097885882211227</c:v>
                </c:pt>
                <c:pt idx="793">
                  <c:v>8.5726715727794076</c:v>
                </c:pt>
                <c:pt idx="794">
                  <c:v>8.559235776876168</c:v>
                </c:pt>
                <c:pt idx="795">
                  <c:v>8.5904148535821712</c:v>
                </c:pt>
                <c:pt idx="796">
                  <c:v>8.5898116277053145</c:v>
                </c:pt>
                <c:pt idx="797">
                  <c:v>8.4725231357164628</c:v>
                </c:pt>
                <c:pt idx="798">
                  <c:v>8.5310088916245519</c:v>
                </c:pt>
                <c:pt idx="799">
                  <c:v>8.4947350255635623</c:v>
                </c:pt>
                <c:pt idx="800">
                  <c:v>8.3047069462530398</c:v>
                </c:pt>
                <c:pt idx="801">
                  <c:v>8.3556436560663556</c:v>
                </c:pt>
                <c:pt idx="802">
                  <c:v>8.4446578224357989</c:v>
                </c:pt>
                <c:pt idx="803">
                  <c:v>8.3247915795848062</c:v>
                </c:pt>
                <c:pt idx="804">
                  <c:v>8.4060672303849504</c:v>
                </c:pt>
                <c:pt idx="805">
                  <c:v>8.8018583006216105</c:v>
                </c:pt>
                <c:pt idx="806">
                  <c:v>8.8158930526346708</c:v>
                </c:pt>
                <c:pt idx="807">
                  <c:v>8.8204669727262459</c:v>
                </c:pt>
                <c:pt idx="808">
                  <c:v>8.8189822417385848</c:v>
                </c:pt>
                <c:pt idx="809">
                  <c:v>9.109849583237402</c:v>
                </c:pt>
                <c:pt idx="810">
                  <c:v>9.1418693215490414</c:v>
                </c:pt>
                <c:pt idx="811">
                  <c:v>9.135584134784148</c:v>
                </c:pt>
                <c:pt idx="812">
                  <c:v>9.730224017226945</c:v>
                </c:pt>
                <c:pt idx="813">
                  <c:v>9.730224017226945</c:v>
                </c:pt>
                <c:pt idx="814">
                  <c:v>9.7294190862727028</c:v>
                </c:pt>
                <c:pt idx="815">
                  <c:v>10.354589064609449</c:v>
                </c:pt>
                <c:pt idx="816">
                  <c:v>10.335079971732911</c:v>
                </c:pt>
                <c:pt idx="817">
                  <c:v>10.422764831782665</c:v>
                </c:pt>
                <c:pt idx="818">
                  <c:v>10.423983688394737</c:v>
                </c:pt>
                <c:pt idx="819">
                  <c:v>11.693101093265968</c:v>
                </c:pt>
                <c:pt idx="820">
                  <c:v>11.687909196976443</c:v>
                </c:pt>
                <c:pt idx="821">
                  <c:v>11.094747216713063</c:v>
                </c:pt>
                <c:pt idx="822">
                  <c:v>11.121267396010877</c:v>
                </c:pt>
                <c:pt idx="823">
                  <c:v>11.363904031182168</c:v>
                </c:pt>
                <c:pt idx="824">
                  <c:v>11.338428178312489</c:v>
                </c:pt>
                <c:pt idx="825">
                  <c:v>11.32810425754589</c:v>
                </c:pt>
                <c:pt idx="826">
                  <c:v>11.523808470328325</c:v>
                </c:pt>
                <c:pt idx="827">
                  <c:v>11.788573888707015</c:v>
                </c:pt>
                <c:pt idx="828">
                  <c:v>11.730737269645653</c:v>
                </c:pt>
                <c:pt idx="829">
                  <c:v>11.476909363117642</c:v>
                </c:pt>
                <c:pt idx="830">
                  <c:v>9.9321134739319685</c:v>
                </c:pt>
                <c:pt idx="831">
                  <c:v>9.9315158434594402</c:v>
                </c:pt>
                <c:pt idx="832">
                  <c:v>9.9485651677278</c:v>
                </c:pt>
                <c:pt idx="833">
                  <c:v>10.05080468723882</c:v>
                </c:pt>
                <c:pt idx="834">
                  <c:v>10.546170318092269</c:v>
                </c:pt>
                <c:pt idx="835">
                  <c:v>10.543356686565987</c:v>
                </c:pt>
                <c:pt idx="836">
                  <c:v>10.276895885728097</c:v>
                </c:pt>
                <c:pt idx="837">
                  <c:v>10.407647249128848</c:v>
                </c:pt>
                <c:pt idx="838">
                  <c:v>10.327718375857827</c:v>
                </c:pt>
                <c:pt idx="839">
                  <c:v>10.261799690276252</c:v>
                </c:pt>
                <c:pt idx="840">
                  <c:v>10.364074874337524</c:v>
                </c:pt>
                <c:pt idx="841">
                  <c:v>10.38620581791286</c:v>
                </c:pt>
                <c:pt idx="842">
                  <c:v>10.345930843756536</c:v>
                </c:pt>
                <c:pt idx="843">
                  <c:v>10.531362167439761</c:v>
                </c:pt>
                <c:pt idx="844">
                  <c:v>10.617145752807572</c:v>
                </c:pt>
                <c:pt idx="845">
                  <c:v>10.617366276630165</c:v>
                </c:pt>
                <c:pt idx="846">
                  <c:v>10.826400441784244</c:v>
                </c:pt>
                <c:pt idx="847">
                  <c:v>10.858793009320799</c:v>
                </c:pt>
                <c:pt idx="848">
                  <c:v>11.460074742441421</c:v>
                </c:pt>
                <c:pt idx="849">
                  <c:v>11.459509257018112</c:v>
                </c:pt>
                <c:pt idx="850">
                  <c:v>11.671474992992849</c:v>
                </c:pt>
                <c:pt idx="851">
                  <c:v>11.410078925297412</c:v>
                </c:pt>
                <c:pt idx="852">
                  <c:v>11.405044925065193</c:v>
                </c:pt>
                <c:pt idx="853">
                  <c:v>11.456861168764203</c:v>
                </c:pt>
                <c:pt idx="854">
                  <c:v>11.456861168764203</c:v>
                </c:pt>
                <c:pt idx="855">
                  <c:v>11.466696679282713</c:v>
                </c:pt>
                <c:pt idx="856">
                  <c:v>11.467320797282213</c:v>
                </c:pt>
                <c:pt idx="857">
                  <c:v>11.646636354962403</c:v>
                </c:pt>
                <c:pt idx="858">
                  <c:v>11.782732023408757</c:v>
                </c:pt>
                <c:pt idx="859">
                  <c:v>11.774593666234818</c:v>
                </c:pt>
                <c:pt idx="860">
                  <c:v>11.789348584431474</c:v>
                </c:pt>
                <c:pt idx="861">
                  <c:v>11.789348584431474</c:v>
                </c:pt>
                <c:pt idx="862">
                  <c:v>11.583112652579528</c:v>
                </c:pt>
                <c:pt idx="863">
                  <c:v>11.544051221040871</c:v>
                </c:pt>
                <c:pt idx="864">
                  <c:v>11.628415184403996</c:v>
                </c:pt>
                <c:pt idx="865">
                  <c:v>11.673956834732527</c:v>
                </c:pt>
                <c:pt idx="866">
                  <c:v>11.636877326557624</c:v>
                </c:pt>
                <c:pt idx="867">
                  <c:v>12.317160445435215</c:v>
                </c:pt>
                <c:pt idx="868">
                  <c:v>12.348679799214924</c:v>
                </c:pt>
                <c:pt idx="869">
                  <c:v>12.340713005670411</c:v>
                </c:pt>
                <c:pt idx="870">
                  <c:v>12.341257621437348</c:v>
                </c:pt>
                <c:pt idx="871">
                  <c:v>12.652155835545246</c:v>
                </c:pt>
                <c:pt idx="872">
                  <c:v>11.965834991835708</c:v>
                </c:pt>
                <c:pt idx="873">
                  <c:v>11.93286246402209</c:v>
                </c:pt>
                <c:pt idx="874">
                  <c:v>11.931088195749727</c:v>
                </c:pt>
                <c:pt idx="875">
                  <c:v>12.503908213650643</c:v>
                </c:pt>
                <c:pt idx="876">
                  <c:v>12.721075734322786</c:v>
                </c:pt>
                <c:pt idx="877">
                  <c:v>12.308316048853598</c:v>
                </c:pt>
                <c:pt idx="878">
                  <c:v>12.303398608827933</c:v>
                </c:pt>
                <c:pt idx="879">
                  <c:v>12.517983425884196</c:v>
                </c:pt>
                <c:pt idx="880">
                  <c:v>12.699082135386728</c:v>
                </c:pt>
                <c:pt idx="881">
                  <c:v>12.761267485829931</c:v>
                </c:pt>
                <c:pt idx="882">
                  <c:v>13.545841089809377</c:v>
                </c:pt>
                <c:pt idx="883">
                  <c:v>13.553413425263718</c:v>
                </c:pt>
                <c:pt idx="884">
                  <c:v>13.43593039445995</c:v>
                </c:pt>
                <c:pt idx="885">
                  <c:v>14.281291206258228</c:v>
                </c:pt>
                <c:pt idx="886">
                  <c:v>14.238436656788979</c:v>
                </c:pt>
                <c:pt idx="887">
                  <c:v>14.249711090719176</c:v>
                </c:pt>
                <c:pt idx="888">
                  <c:v>14.116350747714364</c:v>
                </c:pt>
                <c:pt idx="889">
                  <c:v>14.269666312008015</c:v>
                </c:pt>
                <c:pt idx="890">
                  <c:v>14.406438048928024</c:v>
                </c:pt>
                <c:pt idx="891">
                  <c:v>14.628210798552898</c:v>
                </c:pt>
                <c:pt idx="892">
                  <c:v>14.737614641767209</c:v>
                </c:pt>
                <c:pt idx="893">
                  <c:v>14.816507296432581</c:v>
                </c:pt>
                <c:pt idx="894">
                  <c:v>14.702918277515776</c:v>
                </c:pt>
                <c:pt idx="895">
                  <c:v>14.413411547168726</c:v>
                </c:pt>
                <c:pt idx="896">
                  <c:v>14.396273854955716</c:v>
                </c:pt>
                <c:pt idx="897">
                  <c:v>14.138416087332763</c:v>
                </c:pt>
                <c:pt idx="898">
                  <c:v>14.126854863227019</c:v>
                </c:pt>
                <c:pt idx="899">
                  <c:v>14.638103145214146</c:v>
                </c:pt>
                <c:pt idx="900">
                  <c:v>14.634546997190819</c:v>
                </c:pt>
                <c:pt idx="901">
                  <c:v>14.6523667893268</c:v>
                </c:pt>
                <c:pt idx="902">
                  <c:v>14.518045760176346</c:v>
                </c:pt>
                <c:pt idx="903">
                  <c:v>14.405974121013907</c:v>
                </c:pt>
                <c:pt idx="904">
                  <c:v>14.397047060492577</c:v>
                </c:pt>
                <c:pt idx="905">
                  <c:v>14.414476411762712</c:v>
                </c:pt>
                <c:pt idx="906">
                  <c:v>14.43718129631571</c:v>
                </c:pt>
                <c:pt idx="907">
                  <c:v>14.496642139661262</c:v>
                </c:pt>
                <c:pt idx="908">
                  <c:v>13.438239311431762</c:v>
                </c:pt>
                <c:pt idx="909">
                  <c:v>13.438239311431762</c:v>
                </c:pt>
                <c:pt idx="910">
                  <c:v>13.29193201541845</c:v>
                </c:pt>
                <c:pt idx="911">
                  <c:v>13.290805875701981</c:v>
                </c:pt>
                <c:pt idx="912">
                  <c:v>12.819086919694232</c:v>
                </c:pt>
                <c:pt idx="913">
                  <c:v>12.816963194606021</c:v>
                </c:pt>
                <c:pt idx="914">
                  <c:v>12.817234808788101</c:v>
                </c:pt>
                <c:pt idx="915">
                  <c:v>12.993047833061503</c:v>
                </c:pt>
                <c:pt idx="916">
                  <c:v>13.101823594087358</c:v>
                </c:pt>
                <c:pt idx="917">
                  <c:v>13.066873782825414</c:v>
                </c:pt>
                <c:pt idx="918">
                  <c:v>12.161404923937157</c:v>
                </c:pt>
                <c:pt idx="919">
                  <c:v>12.160720797891249</c:v>
                </c:pt>
                <c:pt idx="920">
                  <c:v>12.168652063410516</c:v>
                </c:pt>
                <c:pt idx="921">
                  <c:v>12.15320913016887</c:v>
                </c:pt>
                <c:pt idx="922">
                  <c:v>12.158339561029994</c:v>
                </c:pt>
                <c:pt idx="923">
                  <c:v>12.124375429267676</c:v>
                </c:pt>
                <c:pt idx="924">
                  <c:v>11.935193544700448</c:v>
                </c:pt>
                <c:pt idx="925">
                  <c:v>11.990197881830412</c:v>
                </c:pt>
                <c:pt idx="926">
                  <c:v>11.911964850222367</c:v>
                </c:pt>
                <c:pt idx="927">
                  <c:v>12.077084217126847</c:v>
                </c:pt>
                <c:pt idx="928">
                  <c:v>11.922372251363422</c:v>
                </c:pt>
                <c:pt idx="929">
                  <c:v>12.028550142766877</c:v>
                </c:pt>
                <c:pt idx="930">
                  <c:v>12.247521058203853</c:v>
                </c:pt>
                <c:pt idx="931">
                  <c:v>12.479123352099643</c:v>
                </c:pt>
                <c:pt idx="932">
                  <c:v>12.492555415808472</c:v>
                </c:pt>
                <c:pt idx="933">
                  <c:v>12.506648381588475</c:v>
                </c:pt>
                <c:pt idx="934">
                  <c:v>12.484729478254403</c:v>
                </c:pt>
                <c:pt idx="935">
                  <c:v>12.485402838139496</c:v>
                </c:pt>
                <c:pt idx="936">
                  <c:v>12.179957456411127</c:v>
                </c:pt>
                <c:pt idx="937">
                  <c:v>12.19492578750511</c:v>
                </c:pt>
                <c:pt idx="938">
                  <c:v>12.572751950897993</c:v>
                </c:pt>
                <c:pt idx="939">
                  <c:v>12.566878607407011</c:v>
                </c:pt>
                <c:pt idx="940">
                  <c:v>12.318461793421148</c:v>
                </c:pt>
                <c:pt idx="941">
                  <c:v>12.397637443772366</c:v>
                </c:pt>
                <c:pt idx="942">
                  <c:v>12.391403200224804</c:v>
                </c:pt>
                <c:pt idx="943">
                  <c:v>12.834239617426853</c:v>
                </c:pt>
                <c:pt idx="944">
                  <c:v>12.834895370359014</c:v>
                </c:pt>
                <c:pt idx="945">
                  <c:v>12.76190760406592</c:v>
                </c:pt>
                <c:pt idx="946">
                  <c:v>12.52484698883638</c:v>
                </c:pt>
                <c:pt idx="947">
                  <c:v>12.415285991078886</c:v>
                </c:pt>
                <c:pt idx="948">
                  <c:v>12.384964387562011</c:v>
                </c:pt>
                <c:pt idx="949">
                  <c:v>12.375661891010788</c:v>
                </c:pt>
                <c:pt idx="950">
                  <c:v>12.378791363685485</c:v>
                </c:pt>
                <c:pt idx="951">
                  <c:v>12.406437228808205</c:v>
                </c:pt>
                <c:pt idx="952">
                  <c:v>12.379353729721856</c:v>
                </c:pt>
                <c:pt idx="953">
                  <c:v>12.621807470282908</c:v>
                </c:pt>
                <c:pt idx="954">
                  <c:v>12.615230318324727</c:v>
                </c:pt>
                <c:pt idx="955">
                  <c:v>12.579449215873032</c:v>
                </c:pt>
                <c:pt idx="956">
                  <c:v>12.805875279909285</c:v>
                </c:pt>
                <c:pt idx="957">
                  <c:v>12.801001112252884</c:v>
                </c:pt>
                <c:pt idx="958">
                  <c:v>12.992150361079993</c:v>
                </c:pt>
                <c:pt idx="959">
                  <c:v>12.903935678420099</c:v>
                </c:pt>
                <c:pt idx="960">
                  <c:v>12.904143896687877</c:v>
                </c:pt>
                <c:pt idx="961">
                  <c:v>12.894578597399843</c:v>
                </c:pt>
                <c:pt idx="962">
                  <c:v>13.061681224012672</c:v>
                </c:pt>
                <c:pt idx="963">
                  <c:v>13.035233933127264</c:v>
                </c:pt>
                <c:pt idx="964">
                  <c:v>13.171705814846733</c:v>
                </c:pt>
                <c:pt idx="965">
                  <c:v>13.140315023992798</c:v>
                </c:pt>
                <c:pt idx="966">
                  <c:v>13.124141849528343</c:v>
                </c:pt>
                <c:pt idx="967">
                  <c:v>12.995514617130731</c:v>
                </c:pt>
                <c:pt idx="968">
                  <c:v>13.022118192093464</c:v>
                </c:pt>
                <c:pt idx="969">
                  <c:v>13.105372589840043</c:v>
                </c:pt>
                <c:pt idx="970">
                  <c:v>13.084547656195028</c:v>
                </c:pt>
                <c:pt idx="971">
                  <c:v>13.067794564595205</c:v>
                </c:pt>
                <c:pt idx="972">
                  <c:v>13.466657650468733</c:v>
                </c:pt>
                <c:pt idx="973">
                  <c:v>13.466657650468733</c:v>
                </c:pt>
                <c:pt idx="974">
                  <c:v>13.539609882418024</c:v>
                </c:pt>
                <c:pt idx="975">
                  <c:v>13.542340204950143</c:v>
                </c:pt>
                <c:pt idx="976">
                  <c:v>13.81923272103519</c:v>
                </c:pt>
                <c:pt idx="977">
                  <c:v>13.819137208329368</c:v>
                </c:pt>
                <c:pt idx="978">
                  <c:v>13.983782438693485</c:v>
                </c:pt>
                <c:pt idx="979">
                  <c:v>13.983404978450876</c:v>
                </c:pt>
                <c:pt idx="980">
                  <c:v>13.815076648220654</c:v>
                </c:pt>
                <c:pt idx="981">
                  <c:v>13.813085096842705</c:v>
                </c:pt>
                <c:pt idx="982">
                  <c:v>13.814001798551018</c:v>
                </c:pt>
                <c:pt idx="983">
                  <c:v>13.814553046534328</c:v>
                </c:pt>
                <c:pt idx="984">
                  <c:v>13.75528437096615</c:v>
                </c:pt>
                <c:pt idx="985">
                  <c:v>13.808403959709562</c:v>
                </c:pt>
                <c:pt idx="986">
                  <c:v>13.805129247885001</c:v>
                </c:pt>
                <c:pt idx="987">
                  <c:v>13.748097854111753</c:v>
                </c:pt>
                <c:pt idx="988">
                  <c:v>13.691390615387972</c:v>
                </c:pt>
                <c:pt idx="989">
                  <c:v>13.741266758607152</c:v>
                </c:pt>
                <c:pt idx="990">
                  <c:v>13.729584546946921</c:v>
                </c:pt>
                <c:pt idx="991">
                  <c:v>13.9306586733064</c:v>
                </c:pt>
                <c:pt idx="992">
                  <c:v>13.932573731055923</c:v>
                </c:pt>
                <c:pt idx="993">
                  <c:v>13.937197574549876</c:v>
                </c:pt>
                <c:pt idx="994">
                  <c:v>13.937197574549876</c:v>
                </c:pt>
                <c:pt idx="995">
                  <c:v>13.937843826715016</c:v>
                </c:pt>
                <c:pt idx="996">
                  <c:v>13.937170282144733</c:v>
                </c:pt>
                <c:pt idx="997">
                  <c:v>13.941805100696532</c:v>
                </c:pt>
                <c:pt idx="998">
                  <c:v>13.952812436550751</c:v>
                </c:pt>
                <c:pt idx="999">
                  <c:v>13.952812436550751</c:v>
                </c:pt>
                <c:pt idx="1000">
                  <c:v>13.943579412012507</c:v>
                </c:pt>
                <c:pt idx="1001">
                  <c:v>13.939052676686021</c:v>
                </c:pt>
                <c:pt idx="1002">
                  <c:v>13.942481097681977</c:v>
                </c:pt>
                <c:pt idx="1003">
                  <c:v>14.262194264180804</c:v>
                </c:pt>
                <c:pt idx="1004">
                  <c:v>14.254748511685648</c:v>
                </c:pt>
                <c:pt idx="1005">
                  <c:v>14.35998686734389</c:v>
                </c:pt>
                <c:pt idx="1006">
                  <c:v>14.215098472756303</c:v>
                </c:pt>
                <c:pt idx="1007">
                  <c:v>14.209767155465512</c:v>
                </c:pt>
                <c:pt idx="1008">
                  <c:v>14.312212840784033</c:v>
                </c:pt>
                <c:pt idx="1009">
                  <c:v>14.256171118961625</c:v>
                </c:pt>
                <c:pt idx="1010">
                  <c:v>14.400986161665355</c:v>
                </c:pt>
                <c:pt idx="1011">
                  <c:v>15.198276907732801</c:v>
                </c:pt>
                <c:pt idx="1012">
                  <c:v>15.195603424734129</c:v>
                </c:pt>
                <c:pt idx="1013">
                  <c:v>15.173923822966822</c:v>
                </c:pt>
                <c:pt idx="1014">
                  <c:v>15.331366026279126</c:v>
                </c:pt>
                <c:pt idx="1015">
                  <c:v>15.015587284308799</c:v>
                </c:pt>
                <c:pt idx="1016">
                  <c:v>15.04970061969388</c:v>
                </c:pt>
                <c:pt idx="1017">
                  <c:v>14.967384865611093</c:v>
                </c:pt>
                <c:pt idx="1018">
                  <c:v>15.024750924635605</c:v>
                </c:pt>
                <c:pt idx="1019">
                  <c:v>15.209660617328453</c:v>
                </c:pt>
                <c:pt idx="1020">
                  <c:v>15.344707401151126</c:v>
                </c:pt>
                <c:pt idx="1021">
                  <c:v>15.152674795880422</c:v>
                </c:pt>
                <c:pt idx="1022">
                  <c:v>15.158032716681827</c:v>
                </c:pt>
                <c:pt idx="1023">
                  <c:v>15.157190672007474</c:v>
                </c:pt>
                <c:pt idx="1024">
                  <c:v>15.028097208551403</c:v>
                </c:pt>
                <c:pt idx="1025">
                  <c:v>15.084235294169011</c:v>
                </c:pt>
                <c:pt idx="1026">
                  <c:v>15.108985396898667</c:v>
                </c:pt>
                <c:pt idx="1027">
                  <c:v>15.306500785908863</c:v>
                </c:pt>
                <c:pt idx="1028">
                  <c:v>15.387092190097464</c:v>
                </c:pt>
                <c:pt idx="1029">
                  <c:v>15.39279685103177</c:v>
                </c:pt>
                <c:pt idx="1030">
                  <c:v>15.39279685103177</c:v>
                </c:pt>
                <c:pt idx="1031">
                  <c:v>15.392046045639223</c:v>
                </c:pt>
                <c:pt idx="1032">
                  <c:v>15.398368442377398</c:v>
                </c:pt>
                <c:pt idx="1033">
                  <c:v>15.398492555310414</c:v>
                </c:pt>
                <c:pt idx="1034">
                  <c:v>14.309710752195171</c:v>
                </c:pt>
                <c:pt idx="1035">
                  <c:v>14.309803295586248</c:v>
                </c:pt>
                <c:pt idx="1036">
                  <c:v>14.770503024498423</c:v>
                </c:pt>
                <c:pt idx="1037">
                  <c:v>14.774452719822374</c:v>
                </c:pt>
                <c:pt idx="1038">
                  <c:v>14.937462419071743</c:v>
                </c:pt>
                <c:pt idx="1039">
                  <c:v>15.359028113497002</c:v>
                </c:pt>
                <c:pt idx="1040">
                  <c:v>15.358935188904816</c:v>
                </c:pt>
                <c:pt idx="1041">
                  <c:v>15.268823721804864</c:v>
                </c:pt>
                <c:pt idx="1042">
                  <c:v>15.254394859359818</c:v>
                </c:pt>
                <c:pt idx="1043">
                  <c:v>15.525067377243206</c:v>
                </c:pt>
                <c:pt idx="1044">
                  <c:v>15.78646511588191</c:v>
                </c:pt>
                <c:pt idx="1045">
                  <c:v>15.807924136230724</c:v>
                </c:pt>
                <c:pt idx="1046">
                  <c:v>15.808805580444226</c:v>
                </c:pt>
                <c:pt idx="1047">
                  <c:v>15.684450566640335</c:v>
                </c:pt>
                <c:pt idx="1048">
                  <c:v>15.500710107393136</c:v>
                </c:pt>
                <c:pt idx="1049">
                  <c:v>14.932976031818951</c:v>
                </c:pt>
                <c:pt idx="1050">
                  <c:v>14.925608982107409</c:v>
                </c:pt>
                <c:pt idx="1051">
                  <c:v>14.941224093892663</c:v>
                </c:pt>
                <c:pt idx="1052">
                  <c:v>14.959283926850031</c:v>
                </c:pt>
                <c:pt idx="1053">
                  <c:v>14.582463495930602</c:v>
                </c:pt>
                <c:pt idx="1054">
                  <c:v>14.389267969570314</c:v>
                </c:pt>
                <c:pt idx="1055">
                  <c:v>14.391357362492434</c:v>
                </c:pt>
                <c:pt idx="1056">
                  <c:v>14.507145232789194</c:v>
                </c:pt>
                <c:pt idx="1057">
                  <c:v>14.776013615580569</c:v>
                </c:pt>
                <c:pt idx="1058">
                  <c:v>14.809711527626199</c:v>
                </c:pt>
                <c:pt idx="1059">
                  <c:v>14.490905964773928</c:v>
                </c:pt>
                <c:pt idx="1060">
                  <c:v>14.556799856213567</c:v>
                </c:pt>
                <c:pt idx="1061">
                  <c:v>14.538123668091702</c:v>
                </c:pt>
                <c:pt idx="1062">
                  <c:v>14.477413458493455</c:v>
                </c:pt>
                <c:pt idx="1063">
                  <c:v>14.846631749555378</c:v>
                </c:pt>
                <c:pt idx="1064">
                  <c:v>14.877756049934085</c:v>
                </c:pt>
                <c:pt idx="1065">
                  <c:v>14.895978962407318</c:v>
                </c:pt>
                <c:pt idx="1066">
                  <c:v>14.914013121010472</c:v>
                </c:pt>
                <c:pt idx="1067">
                  <c:v>14.931055571482927</c:v>
                </c:pt>
                <c:pt idx="1068">
                  <c:v>14.789687673926334</c:v>
                </c:pt>
                <c:pt idx="1069">
                  <c:v>14.793815127676289</c:v>
                </c:pt>
                <c:pt idx="1070">
                  <c:v>15.286684080449412</c:v>
                </c:pt>
                <c:pt idx="1071">
                  <c:v>15.283929349738475</c:v>
                </c:pt>
                <c:pt idx="1072">
                  <c:v>15.594146946215897</c:v>
                </c:pt>
                <c:pt idx="1073">
                  <c:v>15.596357159797339</c:v>
                </c:pt>
                <c:pt idx="1074">
                  <c:v>15.444777451614007</c:v>
                </c:pt>
                <c:pt idx="1075">
                  <c:v>15.52703357278711</c:v>
                </c:pt>
                <c:pt idx="1076">
                  <c:v>15.357717607964521</c:v>
                </c:pt>
                <c:pt idx="1077">
                  <c:v>15.356134628159298</c:v>
                </c:pt>
                <c:pt idx="1078">
                  <c:v>15.186345337314851</c:v>
                </c:pt>
                <c:pt idx="1079">
                  <c:v>15.20062828834681</c:v>
                </c:pt>
                <c:pt idx="1080">
                  <c:v>15.080997689833621</c:v>
                </c:pt>
                <c:pt idx="1081">
                  <c:v>14.976234344223299</c:v>
                </c:pt>
                <c:pt idx="1082">
                  <c:v>14.972437018092812</c:v>
                </c:pt>
                <c:pt idx="1083">
                  <c:v>14.93771784577098</c:v>
                </c:pt>
                <c:pt idx="1084">
                  <c:v>14.907667267422207</c:v>
                </c:pt>
                <c:pt idx="1085">
                  <c:v>14.907667267422207</c:v>
                </c:pt>
                <c:pt idx="1086">
                  <c:v>14.90679872398665</c:v>
                </c:pt>
                <c:pt idx="1087">
                  <c:v>15.056334787352499</c:v>
                </c:pt>
                <c:pt idx="1088">
                  <c:v>14.499650459543274</c:v>
                </c:pt>
                <c:pt idx="1089">
                  <c:v>14.527885472394201</c:v>
                </c:pt>
                <c:pt idx="1090">
                  <c:v>14.528240386552222</c:v>
                </c:pt>
                <c:pt idx="1091">
                  <c:v>15.01864099884998</c:v>
                </c:pt>
                <c:pt idx="1092">
                  <c:v>15.062908173146143</c:v>
                </c:pt>
                <c:pt idx="1093">
                  <c:v>14.972387790735475</c:v>
                </c:pt>
                <c:pt idx="1094">
                  <c:v>15.017230332258929</c:v>
                </c:pt>
                <c:pt idx="1095">
                  <c:v>14.537541841931965</c:v>
                </c:pt>
                <c:pt idx="1096">
                  <c:v>14.482072839625406</c:v>
                </c:pt>
                <c:pt idx="1097">
                  <c:v>14.556165454086555</c:v>
                </c:pt>
                <c:pt idx="1098">
                  <c:v>14.552248571353521</c:v>
                </c:pt>
                <c:pt idx="1099">
                  <c:v>14.784001422064922</c:v>
                </c:pt>
                <c:pt idx="1100">
                  <c:v>14.416443840003046</c:v>
                </c:pt>
                <c:pt idx="1101">
                  <c:v>14.400189167458834</c:v>
                </c:pt>
                <c:pt idx="1102">
                  <c:v>14.425203192184943</c:v>
                </c:pt>
                <c:pt idx="1103">
                  <c:v>14.401036614298269</c:v>
                </c:pt>
                <c:pt idx="1104">
                  <c:v>14.512793789571869</c:v>
                </c:pt>
                <c:pt idx="1105">
                  <c:v>14.526098222112175</c:v>
                </c:pt>
                <c:pt idx="1106">
                  <c:v>14.585524717857565</c:v>
                </c:pt>
                <c:pt idx="1107">
                  <c:v>14.552377568321187</c:v>
                </c:pt>
                <c:pt idx="1108">
                  <c:v>14.54348355514086</c:v>
                </c:pt>
                <c:pt idx="1109">
                  <c:v>14.721997383317419</c:v>
                </c:pt>
                <c:pt idx="1110">
                  <c:v>14.85794875236828</c:v>
                </c:pt>
                <c:pt idx="1111">
                  <c:v>14.858214107541563</c:v>
                </c:pt>
                <c:pt idx="1112">
                  <c:v>14.818263716731044</c:v>
                </c:pt>
                <c:pt idx="1113">
                  <c:v>14.716205793370863</c:v>
                </c:pt>
                <c:pt idx="1114">
                  <c:v>14.852469325921346</c:v>
                </c:pt>
                <c:pt idx="1115">
                  <c:v>14.853732605678282</c:v>
                </c:pt>
                <c:pt idx="1116">
                  <c:v>14.753161830564805</c:v>
                </c:pt>
                <c:pt idx="1117">
                  <c:v>14.832994683862369</c:v>
                </c:pt>
                <c:pt idx="1118">
                  <c:v>14.911136631243437</c:v>
                </c:pt>
                <c:pt idx="1119">
                  <c:v>14.913357438570143</c:v>
                </c:pt>
                <c:pt idx="1120">
                  <c:v>14.914662980313764</c:v>
                </c:pt>
                <c:pt idx="1121">
                  <c:v>14.913673085712402</c:v>
                </c:pt>
                <c:pt idx="1122">
                  <c:v>14.900854330267986</c:v>
                </c:pt>
                <c:pt idx="1123">
                  <c:v>14.901649272600107</c:v>
                </c:pt>
                <c:pt idx="1124">
                  <c:v>14.897274223555732</c:v>
                </c:pt>
                <c:pt idx="1125">
                  <c:v>14.897032685541944</c:v>
                </c:pt>
                <c:pt idx="1126">
                  <c:v>15.223122216572699</c:v>
                </c:pt>
                <c:pt idx="1127">
                  <c:v>15.223157822132851</c:v>
                </c:pt>
                <c:pt idx="1128">
                  <c:v>15.070522835334934</c:v>
                </c:pt>
                <c:pt idx="1129">
                  <c:v>15.09136393783082</c:v>
                </c:pt>
                <c:pt idx="1130">
                  <c:v>15.089691724735355</c:v>
                </c:pt>
                <c:pt idx="1131">
                  <c:v>15.201648364225699</c:v>
                </c:pt>
                <c:pt idx="1132">
                  <c:v>15.222733019057623</c:v>
                </c:pt>
                <c:pt idx="1133">
                  <c:v>15.092225089021479</c:v>
                </c:pt>
                <c:pt idx="1134">
                  <c:v>15.098911266830369</c:v>
                </c:pt>
                <c:pt idx="1135">
                  <c:v>15.078898055943263</c:v>
                </c:pt>
                <c:pt idx="1136">
                  <c:v>15.937265880511164</c:v>
                </c:pt>
                <c:pt idx="1137">
                  <c:v>15.937265880511164</c:v>
                </c:pt>
                <c:pt idx="1138">
                  <c:v>15.934782364693083</c:v>
                </c:pt>
                <c:pt idx="1139">
                  <c:v>15.880621432781853</c:v>
                </c:pt>
                <c:pt idx="1140">
                  <c:v>15.857894867091542</c:v>
                </c:pt>
                <c:pt idx="1141">
                  <c:v>15.866604380822627</c:v>
                </c:pt>
                <c:pt idx="1142">
                  <c:v>15.870314799356539</c:v>
                </c:pt>
                <c:pt idx="1143">
                  <c:v>15.933853465058933</c:v>
                </c:pt>
                <c:pt idx="1144">
                  <c:v>16.098837002958234</c:v>
                </c:pt>
                <c:pt idx="1145">
                  <c:v>16.323727553158793</c:v>
                </c:pt>
                <c:pt idx="1146">
                  <c:v>16.326639491997504</c:v>
                </c:pt>
                <c:pt idx="1147">
                  <c:v>16.326639491997504</c:v>
                </c:pt>
                <c:pt idx="1148">
                  <c:v>16.061789662352588</c:v>
                </c:pt>
                <c:pt idx="1149">
                  <c:v>16.074978149566274</c:v>
                </c:pt>
                <c:pt idx="1150">
                  <c:v>16.07040961213821</c:v>
                </c:pt>
                <c:pt idx="1151">
                  <c:v>16.072166493405579</c:v>
                </c:pt>
                <c:pt idx="1152">
                  <c:v>16.054969257018204</c:v>
                </c:pt>
                <c:pt idx="1153">
                  <c:v>15.971681365489378</c:v>
                </c:pt>
                <c:pt idx="1154">
                  <c:v>15.792557376332244</c:v>
                </c:pt>
                <c:pt idx="1155">
                  <c:v>15.794671398235765</c:v>
                </c:pt>
                <c:pt idx="1156">
                  <c:v>15.753964934582029</c:v>
                </c:pt>
                <c:pt idx="1157">
                  <c:v>15.607957654783668</c:v>
                </c:pt>
                <c:pt idx="1158">
                  <c:v>15.570328595311393</c:v>
                </c:pt>
                <c:pt idx="1159">
                  <c:v>15.570328595311393</c:v>
                </c:pt>
                <c:pt idx="1160">
                  <c:v>15.568644658950884</c:v>
                </c:pt>
                <c:pt idx="1161">
                  <c:v>15.933770766361702</c:v>
                </c:pt>
                <c:pt idx="1162">
                  <c:v>15.933039097257465</c:v>
                </c:pt>
                <c:pt idx="1163">
                  <c:v>15.940558311867212</c:v>
                </c:pt>
                <c:pt idx="1164">
                  <c:v>16.204158669540714</c:v>
                </c:pt>
                <c:pt idx="1165">
                  <c:v>16.196691713344876</c:v>
                </c:pt>
                <c:pt idx="1166">
                  <c:v>16.173757380427279</c:v>
                </c:pt>
                <c:pt idx="1167">
                  <c:v>16.224985552892161</c:v>
                </c:pt>
                <c:pt idx="1168">
                  <c:v>16.220753203088343</c:v>
                </c:pt>
                <c:pt idx="1169">
                  <c:v>16.295644052544596</c:v>
                </c:pt>
                <c:pt idx="1170">
                  <c:v>16.223248404231875</c:v>
                </c:pt>
                <c:pt idx="1171">
                  <c:v>16.231895168157216</c:v>
                </c:pt>
                <c:pt idx="1172">
                  <c:v>16.266022574355514</c:v>
                </c:pt>
                <c:pt idx="1173">
                  <c:v>16.309289625896074</c:v>
                </c:pt>
                <c:pt idx="1174">
                  <c:v>16.27888025822584</c:v>
                </c:pt>
                <c:pt idx="1175">
                  <c:v>16.289231758189676</c:v>
                </c:pt>
                <c:pt idx="1176">
                  <c:v>16.175968706338068</c:v>
                </c:pt>
                <c:pt idx="1177">
                  <c:v>16.167931906471114</c:v>
                </c:pt>
                <c:pt idx="1178">
                  <c:v>16.128167109707757</c:v>
                </c:pt>
                <c:pt idx="1179">
                  <c:v>16.217739770644329</c:v>
                </c:pt>
                <c:pt idx="1180">
                  <c:v>16.217694814786974</c:v>
                </c:pt>
                <c:pt idx="1181">
                  <c:v>16.19495274889951</c:v>
                </c:pt>
                <c:pt idx="1182">
                  <c:v>16.224900735698043</c:v>
                </c:pt>
                <c:pt idx="1183">
                  <c:v>16.110851492726539</c:v>
                </c:pt>
                <c:pt idx="1184">
                  <c:v>16.117572233301736</c:v>
                </c:pt>
                <c:pt idx="1185">
                  <c:v>16.100437508696576</c:v>
                </c:pt>
                <c:pt idx="1186">
                  <c:v>16.235769387560765</c:v>
                </c:pt>
                <c:pt idx="1187">
                  <c:v>16.23464299279086</c:v>
                </c:pt>
                <c:pt idx="1188">
                  <c:v>16.244676122425513</c:v>
                </c:pt>
                <c:pt idx="1189">
                  <c:v>16.240292842140526</c:v>
                </c:pt>
                <c:pt idx="1190">
                  <c:v>16.032018143895503</c:v>
                </c:pt>
                <c:pt idx="1191">
                  <c:v>16.031649166231873</c:v>
                </c:pt>
                <c:pt idx="1192">
                  <c:v>16.162255855111617</c:v>
                </c:pt>
                <c:pt idx="1193">
                  <c:v>16.083933017638383</c:v>
                </c:pt>
                <c:pt idx="1194">
                  <c:v>16.07708992065227</c:v>
                </c:pt>
                <c:pt idx="1195">
                  <c:v>16.070611353709001</c:v>
                </c:pt>
                <c:pt idx="1196">
                  <c:v>16.054636614295692</c:v>
                </c:pt>
                <c:pt idx="1197">
                  <c:v>16.421742430667461</c:v>
                </c:pt>
                <c:pt idx="1198">
                  <c:v>16.419448624468892</c:v>
                </c:pt>
                <c:pt idx="1199">
                  <c:v>16.315785579892033</c:v>
                </c:pt>
                <c:pt idx="1200">
                  <c:v>16.335900055058893</c:v>
                </c:pt>
                <c:pt idx="1201">
                  <c:v>16.082428135501722</c:v>
                </c:pt>
                <c:pt idx="1202">
                  <c:v>16.079314065889466</c:v>
                </c:pt>
                <c:pt idx="1203">
                  <c:v>16.078354513479724</c:v>
                </c:pt>
                <c:pt idx="1204">
                  <c:v>16.068850383376017</c:v>
                </c:pt>
                <c:pt idx="1205">
                  <c:v>16.282098196728263</c:v>
                </c:pt>
                <c:pt idx="1206">
                  <c:v>16.284831342153712</c:v>
                </c:pt>
                <c:pt idx="1207">
                  <c:v>16.268309854239146</c:v>
                </c:pt>
                <c:pt idx="1208">
                  <c:v>16.128068870425093</c:v>
                </c:pt>
                <c:pt idx="1209">
                  <c:v>16.139635090780796</c:v>
                </c:pt>
                <c:pt idx="1210">
                  <c:v>16.500112941890997</c:v>
                </c:pt>
                <c:pt idx="1211">
                  <c:v>16.500691501354101</c:v>
                </c:pt>
                <c:pt idx="1212">
                  <c:v>16.498232915727339</c:v>
                </c:pt>
                <c:pt idx="1213">
                  <c:v>16.499982143065548</c:v>
                </c:pt>
                <c:pt idx="1214">
                  <c:v>16.47292399946021</c:v>
                </c:pt>
                <c:pt idx="1215">
                  <c:v>16.469468007129546</c:v>
                </c:pt>
                <c:pt idx="1216">
                  <c:v>16.666728215284021</c:v>
                </c:pt>
                <c:pt idx="1217">
                  <c:v>16.666804637680443</c:v>
                </c:pt>
                <c:pt idx="1218">
                  <c:v>16.607738481137872</c:v>
                </c:pt>
                <c:pt idx="1219">
                  <c:v>16.609178172949154</c:v>
                </c:pt>
                <c:pt idx="1220">
                  <c:v>16.599517925043653</c:v>
                </c:pt>
                <c:pt idx="1221">
                  <c:v>16.629912968514336</c:v>
                </c:pt>
                <c:pt idx="1222">
                  <c:v>16.628736288491648</c:v>
                </c:pt>
                <c:pt idx="1223">
                  <c:v>16.639011554770125</c:v>
                </c:pt>
                <c:pt idx="1224">
                  <c:v>16.622148014847458</c:v>
                </c:pt>
                <c:pt idx="1225">
                  <c:v>16.584568845946631</c:v>
                </c:pt>
                <c:pt idx="1226">
                  <c:v>16.581594427359416</c:v>
                </c:pt>
                <c:pt idx="1227">
                  <c:v>16.604981945385362</c:v>
                </c:pt>
                <c:pt idx="1228">
                  <c:v>16.484120221671514</c:v>
                </c:pt>
                <c:pt idx="1229">
                  <c:v>16.486567205584116</c:v>
                </c:pt>
                <c:pt idx="1230">
                  <c:v>16.486496993691038</c:v>
                </c:pt>
                <c:pt idx="1231">
                  <c:v>16.543336818125251</c:v>
                </c:pt>
                <c:pt idx="1232">
                  <c:v>16.543596358075689</c:v>
                </c:pt>
                <c:pt idx="1233">
                  <c:v>16.581239890779223</c:v>
                </c:pt>
                <c:pt idx="1234">
                  <c:v>16.581217576117005</c:v>
                </c:pt>
                <c:pt idx="1235">
                  <c:v>16.582900721915188</c:v>
                </c:pt>
                <c:pt idx="1236">
                  <c:v>16.616535378003594</c:v>
                </c:pt>
                <c:pt idx="1237">
                  <c:v>16.616640964386807</c:v>
                </c:pt>
                <c:pt idx="1238">
                  <c:v>16.606448013268178</c:v>
                </c:pt>
                <c:pt idx="1239">
                  <c:v>16.604543763879036</c:v>
                </c:pt>
                <c:pt idx="1240">
                  <c:v>16.614155637736445</c:v>
                </c:pt>
                <c:pt idx="1241">
                  <c:v>16.614137369584917</c:v>
                </c:pt>
                <c:pt idx="1242">
                  <c:v>16.614369776687756</c:v>
                </c:pt>
                <c:pt idx="1243">
                  <c:v>16.608900158875141</c:v>
                </c:pt>
                <c:pt idx="1244">
                  <c:v>16.598714089841206</c:v>
                </c:pt>
                <c:pt idx="1245">
                  <c:v>16.598720230214038</c:v>
                </c:pt>
                <c:pt idx="1246">
                  <c:v>16.601080904983981</c:v>
                </c:pt>
                <c:pt idx="1247">
                  <c:v>16.603073637937229</c:v>
                </c:pt>
                <c:pt idx="1248">
                  <c:v>16.635180275711502</c:v>
                </c:pt>
                <c:pt idx="1249">
                  <c:v>16.635134653398879</c:v>
                </c:pt>
                <c:pt idx="1250">
                  <c:v>16.622608679781358</c:v>
                </c:pt>
                <c:pt idx="1251">
                  <c:v>16.622658892423949</c:v>
                </c:pt>
                <c:pt idx="1252">
                  <c:v>16.596684413991436</c:v>
                </c:pt>
                <c:pt idx="1253">
                  <c:v>16.596667920552999</c:v>
                </c:pt>
                <c:pt idx="1254">
                  <c:v>16.597361626792129</c:v>
                </c:pt>
                <c:pt idx="1255">
                  <c:v>16.582368298773687</c:v>
                </c:pt>
                <c:pt idx="1256">
                  <c:v>16.582364614039061</c:v>
                </c:pt>
                <c:pt idx="1257">
                  <c:v>16.596785823807803</c:v>
                </c:pt>
                <c:pt idx="1258">
                  <c:v>16.59679568082354</c:v>
                </c:pt>
                <c:pt idx="1259">
                  <c:v>16.595888785255362</c:v>
                </c:pt>
                <c:pt idx="1260">
                  <c:v>16.602134408200818</c:v>
                </c:pt>
                <c:pt idx="1261">
                  <c:v>16.578286040620764</c:v>
                </c:pt>
                <c:pt idx="1262">
                  <c:v>16.578312632782811</c:v>
                </c:pt>
                <c:pt idx="1263">
                  <c:v>16.579111511998835</c:v>
                </c:pt>
                <c:pt idx="1264">
                  <c:v>16.564864472561656</c:v>
                </c:pt>
                <c:pt idx="1265">
                  <c:v>16.569387836427538</c:v>
                </c:pt>
                <c:pt idx="1266">
                  <c:v>16.568523182584919</c:v>
                </c:pt>
                <c:pt idx="1267">
                  <c:v>16.575618888623776</c:v>
                </c:pt>
                <c:pt idx="1268">
                  <c:v>16.575594770158126</c:v>
                </c:pt>
                <c:pt idx="1269">
                  <c:v>16.5757229762972</c:v>
                </c:pt>
                <c:pt idx="1270">
                  <c:v>16.575729727281423</c:v>
                </c:pt>
                <c:pt idx="1271">
                  <c:v>16.576427346901042</c:v>
                </c:pt>
                <c:pt idx="1272">
                  <c:v>16.580292515446835</c:v>
                </c:pt>
                <c:pt idx="1273">
                  <c:v>16.579729694509055</c:v>
                </c:pt>
                <c:pt idx="1274">
                  <c:v>16.577985467305894</c:v>
                </c:pt>
                <c:pt idx="1275">
                  <c:v>16.574951746294786</c:v>
                </c:pt>
                <c:pt idx="1276">
                  <c:v>16.559576118999939</c:v>
                </c:pt>
                <c:pt idx="1277">
                  <c:v>16.558095441209641</c:v>
                </c:pt>
                <c:pt idx="1278">
                  <c:v>16.562843907349208</c:v>
                </c:pt>
                <c:pt idx="1279">
                  <c:v>16.562840735238314</c:v>
                </c:pt>
                <c:pt idx="1280">
                  <c:v>16.563639768535335</c:v>
                </c:pt>
                <c:pt idx="1281">
                  <c:v>16.56231286799748</c:v>
                </c:pt>
                <c:pt idx="1282">
                  <c:v>16.562663602664195</c:v>
                </c:pt>
                <c:pt idx="1283">
                  <c:v>16.56771890901291</c:v>
                </c:pt>
                <c:pt idx="1284">
                  <c:v>16.567724517752055</c:v>
                </c:pt>
                <c:pt idx="1285">
                  <c:v>16.592267524029197</c:v>
                </c:pt>
                <c:pt idx="1286">
                  <c:v>16.592267524029197</c:v>
                </c:pt>
                <c:pt idx="1287">
                  <c:v>16.592255011582406</c:v>
                </c:pt>
                <c:pt idx="1288">
                  <c:v>16.596389833394777</c:v>
                </c:pt>
                <c:pt idx="1289">
                  <c:v>16.595326762439718</c:v>
                </c:pt>
                <c:pt idx="1290">
                  <c:v>16.595871219979717</c:v>
                </c:pt>
                <c:pt idx="1291">
                  <c:v>16.60011372832259</c:v>
                </c:pt>
                <c:pt idx="1292">
                  <c:v>16.59387226082665</c:v>
                </c:pt>
                <c:pt idx="1293">
                  <c:v>16.59386699899547</c:v>
                </c:pt>
                <c:pt idx="1294">
                  <c:v>16.594440781131983</c:v>
                </c:pt>
                <c:pt idx="1295">
                  <c:v>16.593407586489018</c:v>
                </c:pt>
                <c:pt idx="1296">
                  <c:v>16.592130276603395</c:v>
                </c:pt>
                <c:pt idx="1297">
                  <c:v>16.58954792648656</c:v>
                </c:pt>
                <c:pt idx="1298">
                  <c:v>16.589239157201707</c:v>
                </c:pt>
                <c:pt idx="1299">
                  <c:v>16.57481107959627</c:v>
                </c:pt>
                <c:pt idx="1300">
                  <c:v>16.573974354061633</c:v>
                </c:pt>
                <c:pt idx="1301">
                  <c:v>16.573974354061633</c:v>
                </c:pt>
                <c:pt idx="1302">
                  <c:v>16.571749267792292</c:v>
                </c:pt>
                <c:pt idx="1303">
                  <c:v>16.597083082898468</c:v>
                </c:pt>
                <c:pt idx="1304">
                  <c:v>16.597028416574499</c:v>
                </c:pt>
                <c:pt idx="1305">
                  <c:v>16.600909442593522</c:v>
                </c:pt>
                <c:pt idx="1306">
                  <c:v>16.580692674972784</c:v>
                </c:pt>
                <c:pt idx="1307">
                  <c:v>16.585243273071388</c:v>
                </c:pt>
                <c:pt idx="1308">
                  <c:v>16.593062886102381</c:v>
                </c:pt>
                <c:pt idx="1309">
                  <c:v>16.590850496144231</c:v>
                </c:pt>
                <c:pt idx="1310">
                  <c:v>16.587786840526913</c:v>
                </c:pt>
                <c:pt idx="1311">
                  <c:v>16.536131039080718</c:v>
                </c:pt>
                <c:pt idx="1312">
                  <c:v>16.536248607793464</c:v>
                </c:pt>
                <c:pt idx="1313">
                  <c:v>16.470595298938111</c:v>
                </c:pt>
                <c:pt idx="1314">
                  <c:v>16.469914508575108</c:v>
                </c:pt>
                <c:pt idx="1315">
                  <c:v>16.470612380529385</c:v>
                </c:pt>
                <c:pt idx="1316">
                  <c:v>16.473125767506389</c:v>
                </c:pt>
                <c:pt idx="1317">
                  <c:v>16.468977662106507</c:v>
                </c:pt>
                <c:pt idx="1318">
                  <c:v>16.418293135552169</c:v>
                </c:pt>
                <c:pt idx="1319">
                  <c:v>16.384058773104108</c:v>
                </c:pt>
                <c:pt idx="1320">
                  <c:v>16.38427266704954</c:v>
                </c:pt>
                <c:pt idx="1321">
                  <c:v>16.420305497457605</c:v>
                </c:pt>
                <c:pt idx="1322">
                  <c:v>16.412616747935559</c:v>
                </c:pt>
                <c:pt idx="1323">
                  <c:v>16.393259591309885</c:v>
                </c:pt>
                <c:pt idx="1324">
                  <c:v>16.166831208902384</c:v>
                </c:pt>
                <c:pt idx="1325">
                  <c:v>16.166831208902384</c:v>
                </c:pt>
                <c:pt idx="1326">
                  <c:v>16.162663935155571</c:v>
                </c:pt>
                <c:pt idx="1327">
                  <c:v>16.163180196077207</c:v>
                </c:pt>
                <c:pt idx="1328">
                  <c:v>16.163263761502453</c:v>
                </c:pt>
                <c:pt idx="1329">
                  <c:v>16.152189497903134</c:v>
                </c:pt>
                <c:pt idx="1330">
                  <c:v>16.35679697798675</c:v>
                </c:pt>
                <c:pt idx="1331">
                  <c:v>16.356524390756185</c:v>
                </c:pt>
                <c:pt idx="1332">
                  <c:v>16.418502099498255</c:v>
                </c:pt>
                <c:pt idx="1333">
                  <c:v>16.424631154781306</c:v>
                </c:pt>
                <c:pt idx="1334">
                  <c:v>16.351161507049888</c:v>
                </c:pt>
                <c:pt idx="1335">
                  <c:v>16.369170864215928</c:v>
                </c:pt>
                <c:pt idx="1336">
                  <c:v>16.353949834388906</c:v>
                </c:pt>
                <c:pt idx="1337">
                  <c:v>16.381823551686171</c:v>
                </c:pt>
                <c:pt idx="1338">
                  <c:v>16.179903414247612</c:v>
                </c:pt>
                <c:pt idx="1339">
                  <c:v>16.179493251615892</c:v>
                </c:pt>
                <c:pt idx="1340">
                  <c:v>16.122462073593059</c:v>
                </c:pt>
                <c:pt idx="1341">
                  <c:v>16.082968650291143</c:v>
                </c:pt>
                <c:pt idx="1342">
                  <c:v>16.100656672245947</c:v>
                </c:pt>
                <c:pt idx="1343">
                  <c:v>16.186803173612219</c:v>
                </c:pt>
                <c:pt idx="1344">
                  <c:v>16.191847111429681</c:v>
                </c:pt>
                <c:pt idx="1345">
                  <c:v>16.244051589981126</c:v>
                </c:pt>
                <c:pt idx="1346">
                  <c:v>16.316298973081615</c:v>
                </c:pt>
                <c:pt idx="1347">
                  <c:v>16.300692973963475</c:v>
                </c:pt>
                <c:pt idx="1348">
                  <c:v>16.301204939469319</c:v>
                </c:pt>
                <c:pt idx="1349">
                  <c:v>16.256924783517384</c:v>
                </c:pt>
                <c:pt idx="1350">
                  <c:v>16.291579837262471</c:v>
                </c:pt>
                <c:pt idx="1351">
                  <c:v>16.30496836971458</c:v>
                </c:pt>
                <c:pt idx="1352">
                  <c:v>16.300653743231383</c:v>
                </c:pt>
                <c:pt idx="1353">
                  <c:v>16.496672562888961</c:v>
                </c:pt>
                <c:pt idx="1354">
                  <c:v>16.496672562888961</c:v>
                </c:pt>
                <c:pt idx="1355">
                  <c:v>16.500571945240878</c:v>
                </c:pt>
                <c:pt idx="1356">
                  <c:v>16.45128810988642</c:v>
                </c:pt>
                <c:pt idx="1357">
                  <c:v>16.461927035018718</c:v>
                </c:pt>
                <c:pt idx="1358">
                  <c:v>16.47852947549001</c:v>
                </c:pt>
                <c:pt idx="1359">
                  <c:v>16.449583296797083</c:v>
                </c:pt>
                <c:pt idx="1360">
                  <c:v>16.489023101759386</c:v>
                </c:pt>
                <c:pt idx="1361">
                  <c:v>16.489681642943122</c:v>
                </c:pt>
                <c:pt idx="1362">
                  <c:v>16.490458753432016</c:v>
                </c:pt>
                <c:pt idx="1363">
                  <c:v>16.559711236804453</c:v>
                </c:pt>
                <c:pt idx="1364">
                  <c:v>16.559711236804453</c:v>
                </c:pt>
                <c:pt idx="1365">
                  <c:v>16.545917519970821</c:v>
                </c:pt>
                <c:pt idx="1366">
                  <c:v>16.545533300046618</c:v>
                </c:pt>
                <c:pt idx="1367">
                  <c:v>16.549551351623982</c:v>
                </c:pt>
                <c:pt idx="1368">
                  <c:v>16.553762340297475</c:v>
                </c:pt>
                <c:pt idx="1369">
                  <c:v>16.633425412653228</c:v>
                </c:pt>
                <c:pt idx="1370">
                  <c:v>16.633425412653228</c:v>
                </c:pt>
                <c:pt idx="1371">
                  <c:v>16.633407951771119</c:v>
                </c:pt>
                <c:pt idx="1372">
                  <c:v>16.646240525429899</c:v>
                </c:pt>
                <c:pt idx="1373">
                  <c:v>16.626420058474721</c:v>
                </c:pt>
                <c:pt idx="1374">
                  <c:v>16.626740748124732</c:v>
                </c:pt>
                <c:pt idx="1375">
                  <c:v>16.632804643848459</c:v>
                </c:pt>
                <c:pt idx="1376">
                  <c:v>16.622147751287493</c:v>
                </c:pt>
                <c:pt idx="1377">
                  <c:v>16.631183216885283</c:v>
                </c:pt>
                <c:pt idx="1378">
                  <c:v>16.622483704940482</c:v>
                </c:pt>
                <c:pt idx="1379">
                  <c:v>16.624419173102336</c:v>
                </c:pt>
                <c:pt idx="1380">
                  <c:v>16.61655247126604</c:v>
                </c:pt>
                <c:pt idx="1381">
                  <c:v>16.585435209183487</c:v>
                </c:pt>
                <c:pt idx="1382">
                  <c:v>16.569035502635703</c:v>
                </c:pt>
                <c:pt idx="1383">
                  <c:v>16.565241489718588</c:v>
                </c:pt>
                <c:pt idx="1384">
                  <c:v>16.5522469297321</c:v>
                </c:pt>
                <c:pt idx="1385">
                  <c:v>16.575118772536538</c:v>
                </c:pt>
                <c:pt idx="1386">
                  <c:v>16.572021004201314</c:v>
                </c:pt>
                <c:pt idx="1387">
                  <c:v>16.570564945506735</c:v>
                </c:pt>
                <c:pt idx="1388">
                  <c:v>16.591503245686123</c:v>
                </c:pt>
                <c:pt idx="1389">
                  <c:v>16.61443239804931</c:v>
                </c:pt>
                <c:pt idx="1390">
                  <c:v>16.610645829410448</c:v>
                </c:pt>
                <c:pt idx="1391">
                  <c:v>16.612958323648087</c:v>
                </c:pt>
                <c:pt idx="1392">
                  <c:v>16.616967975847096</c:v>
                </c:pt>
                <c:pt idx="1393">
                  <c:v>16.602805560416421</c:v>
                </c:pt>
                <c:pt idx="1394">
                  <c:v>16.603826078435322</c:v>
                </c:pt>
                <c:pt idx="1395">
                  <c:v>16.610469160986316</c:v>
                </c:pt>
                <c:pt idx="1396">
                  <c:v>16.620256513311823</c:v>
                </c:pt>
                <c:pt idx="1397">
                  <c:v>16.61975722310553</c:v>
                </c:pt>
                <c:pt idx="1398">
                  <c:v>16.61981552037102</c:v>
                </c:pt>
                <c:pt idx="1399">
                  <c:v>16.616955354851449</c:v>
                </c:pt>
                <c:pt idx="1400">
                  <c:v>16.598373648030829</c:v>
                </c:pt>
                <c:pt idx="1401">
                  <c:v>16.598469953555234</c:v>
                </c:pt>
                <c:pt idx="1402">
                  <c:v>16.599257084929214</c:v>
                </c:pt>
                <c:pt idx="1403">
                  <c:v>16.581225388526803</c:v>
                </c:pt>
                <c:pt idx="1404">
                  <c:v>16.581296578805478</c:v>
                </c:pt>
                <c:pt idx="1405">
                  <c:v>16.58155855334277</c:v>
                </c:pt>
                <c:pt idx="1406">
                  <c:v>16.582312498449163</c:v>
                </c:pt>
                <c:pt idx="1407">
                  <c:v>16.573897717860422</c:v>
                </c:pt>
                <c:pt idx="1408">
                  <c:v>16.571275781659203</c:v>
                </c:pt>
                <c:pt idx="1409">
                  <c:v>16.565847265405235</c:v>
                </c:pt>
                <c:pt idx="1410">
                  <c:v>16.569948860302254</c:v>
                </c:pt>
                <c:pt idx="1411">
                  <c:v>16.548650736866875</c:v>
                </c:pt>
                <c:pt idx="1412">
                  <c:v>16.548442573373126</c:v>
                </c:pt>
                <c:pt idx="1413">
                  <c:v>16.548499506524696</c:v>
                </c:pt>
                <c:pt idx="1414">
                  <c:v>16.5469972715374</c:v>
                </c:pt>
                <c:pt idx="1415">
                  <c:v>16.547238166608118</c:v>
                </c:pt>
                <c:pt idx="1416">
                  <c:v>16.541691746731132</c:v>
                </c:pt>
                <c:pt idx="1417">
                  <c:v>16.534576913318531</c:v>
                </c:pt>
                <c:pt idx="1418">
                  <c:v>16.533079719619668</c:v>
                </c:pt>
                <c:pt idx="1419">
                  <c:v>16.533078477464045</c:v>
                </c:pt>
                <c:pt idx="1420">
                  <c:v>16.510696366228274</c:v>
                </c:pt>
                <c:pt idx="1421">
                  <c:v>16.510570353558496</c:v>
                </c:pt>
                <c:pt idx="1422">
                  <c:v>16.510428566990132</c:v>
                </c:pt>
                <c:pt idx="1423">
                  <c:v>16.510428566990132</c:v>
                </c:pt>
                <c:pt idx="1424">
                  <c:v>16.510573689294397</c:v>
                </c:pt>
                <c:pt idx="1425">
                  <c:v>16.5025752435191</c:v>
                </c:pt>
                <c:pt idx="1426">
                  <c:v>16.503832383581869</c:v>
                </c:pt>
                <c:pt idx="1427">
                  <c:v>16.412865160389039</c:v>
                </c:pt>
                <c:pt idx="1428">
                  <c:v>16.412865160389039</c:v>
                </c:pt>
                <c:pt idx="1429">
                  <c:v>16.374392965166237</c:v>
                </c:pt>
                <c:pt idx="1430">
                  <c:v>16.341062991923636</c:v>
                </c:pt>
                <c:pt idx="1431">
                  <c:v>16.341107936899888</c:v>
                </c:pt>
                <c:pt idx="1432">
                  <c:v>16.339601496813458</c:v>
                </c:pt>
                <c:pt idx="1433">
                  <c:v>16.339031769562162</c:v>
                </c:pt>
                <c:pt idx="1434">
                  <c:v>16.338060864737376</c:v>
                </c:pt>
                <c:pt idx="1435">
                  <c:v>16.337537907706679</c:v>
                </c:pt>
                <c:pt idx="1436">
                  <c:v>16.33687071263137</c:v>
                </c:pt>
                <c:pt idx="1437">
                  <c:v>16.346286730723474</c:v>
                </c:pt>
                <c:pt idx="1438">
                  <c:v>16.343810424727057</c:v>
                </c:pt>
                <c:pt idx="1439">
                  <c:v>16.343202399100509</c:v>
                </c:pt>
                <c:pt idx="1440">
                  <c:v>16.343202399100509</c:v>
                </c:pt>
                <c:pt idx="1441">
                  <c:v>16.343202399100509</c:v>
                </c:pt>
                <c:pt idx="1442">
                  <c:v>16.344692054529425</c:v>
                </c:pt>
                <c:pt idx="1443">
                  <c:v>16.229734702340426</c:v>
                </c:pt>
                <c:pt idx="1444">
                  <c:v>16.267458456757598</c:v>
                </c:pt>
                <c:pt idx="1445">
                  <c:v>16.285421821512934</c:v>
                </c:pt>
                <c:pt idx="1446">
                  <c:v>16.58485293411842</c:v>
                </c:pt>
                <c:pt idx="1447">
                  <c:v>16.789191859714748</c:v>
                </c:pt>
                <c:pt idx="1448">
                  <c:v>16.776064591292027</c:v>
                </c:pt>
                <c:pt idx="1449">
                  <c:v>16.771121394805878</c:v>
                </c:pt>
                <c:pt idx="1450">
                  <c:v>16.727786032663317</c:v>
                </c:pt>
                <c:pt idx="1451">
                  <c:v>16.739982558282389</c:v>
                </c:pt>
                <c:pt idx="1452">
                  <c:v>16.939899785685569</c:v>
                </c:pt>
                <c:pt idx="1453">
                  <c:v>16.940818389727063</c:v>
                </c:pt>
                <c:pt idx="1454">
                  <c:v>16.727195716408612</c:v>
                </c:pt>
                <c:pt idx="1455">
                  <c:v>16.736722668919544</c:v>
                </c:pt>
                <c:pt idx="1456">
                  <c:v>16.858101002821918</c:v>
                </c:pt>
                <c:pt idx="1457">
                  <c:v>16.937184627207543</c:v>
                </c:pt>
                <c:pt idx="1458">
                  <c:v>16.867113207223966</c:v>
                </c:pt>
                <c:pt idx="1459">
                  <c:v>16.932145221301116</c:v>
                </c:pt>
                <c:pt idx="1460">
                  <c:v>16.91037449836524</c:v>
                </c:pt>
                <c:pt idx="1461">
                  <c:v>16.955063578903548</c:v>
                </c:pt>
                <c:pt idx="1462">
                  <c:v>16.873172586556226</c:v>
                </c:pt>
                <c:pt idx="1463">
                  <c:v>16.485794636686141</c:v>
                </c:pt>
                <c:pt idx="1464">
                  <c:v>16.481796973424725</c:v>
                </c:pt>
                <c:pt idx="1465">
                  <c:v>16.492930529893222</c:v>
                </c:pt>
                <c:pt idx="1466">
                  <c:v>16.326720195460638</c:v>
                </c:pt>
                <c:pt idx="1467">
                  <c:v>16.216794642220005</c:v>
                </c:pt>
                <c:pt idx="1468">
                  <c:v>16.27110415812712</c:v>
                </c:pt>
                <c:pt idx="1469">
                  <c:v>16.271848962938993</c:v>
                </c:pt>
                <c:pt idx="1470">
                  <c:v>16.253734102645037</c:v>
                </c:pt>
                <c:pt idx="1471">
                  <c:v>16.23647771258463</c:v>
                </c:pt>
                <c:pt idx="1472">
                  <c:v>15.969180754533999</c:v>
                </c:pt>
                <c:pt idx="1473">
                  <c:v>15.965766373480802</c:v>
                </c:pt>
                <c:pt idx="1474">
                  <c:v>15.965949426160126</c:v>
                </c:pt>
                <c:pt idx="1475">
                  <c:v>15.948679195052069</c:v>
                </c:pt>
                <c:pt idx="1476">
                  <c:v>15.644227621049851</c:v>
                </c:pt>
                <c:pt idx="1477">
                  <c:v>15.64386338243022</c:v>
                </c:pt>
                <c:pt idx="1478">
                  <c:v>15.161147468718127</c:v>
                </c:pt>
                <c:pt idx="1479">
                  <c:v>15.161147468718127</c:v>
                </c:pt>
                <c:pt idx="1480">
                  <c:v>15.158959386430501</c:v>
                </c:pt>
                <c:pt idx="1481">
                  <c:v>15.113703269981244</c:v>
                </c:pt>
                <c:pt idx="1482">
                  <c:v>14.964303215084485</c:v>
                </c:pt>
                <c:pt idx="1483">
                  <c:v>14.966221984312774</c:v>
                </c:pt>
                <c:pt idx="1484">
                  <c:v>15.001478023076789</c:v>
                </c:pt>
                <c:pt idx="1485">
                  <c:v>14.859079647497603</c:v>
                </c:pt>
                <c:pt idx="1486">
                  <c:v>14.867666517913351</c:v>
                </c:pt>
                <c:pt idx="1487">
                  <c:v>15.264221735777577</c:v>
                </c:pt>
                <c:pt idx="1488">
                  <c:v>15.265912412342566</c:v>
                </c:pt>
                <c:pt idx="1489">
                  <c:v>15.210084912380285</c:v>
                </c:pt>
                <c:pt idx="1490">
                  <c:v>15.141540964825978</c:v>
                </c:pt>
                <c:pt idx="1491">
                  <c:v>14.956837772365015</c:v>
                </c:pt>
                <c:pt idx="1492">
                  <c:v>14.951786651293013</c:v>
                </c:pt>
                <c:pt idx="1493">
                  <c:v>15.619331181760872</c:v>
                </c:pt>
                <c:pt idx="1494">
                  <c:v>15.618958173515686</c:v>
                </c:pt>
                <c:pt idx="1495">
                  <c:v>15.690236227798714</c:v>
                </c:pt>
                <c:pt idx="1496">
                  <c:v>15.488835564063329</c:v>
                </c:pt>
                <c:pt idx="1497">
                  <c:v>15.507986650359097</c:v>
                </c:pt>
                <c:pt idx="1498">
                  <c:v>15.444821946593478</c:v>
                </c:pt>
                <c:pt idx="1499">
                  <c:v>15.382538153042068</c:v>
                </c:pt>
                <c:pt idx="1500">
                  <c:v>15.396683095775916</c:v>
                </c:pt>
                <c:pt idx="1501">
                  <c:v>15.50502036779681</c:v>
                </c:pt>
                <c:pt idx="1502">
                  <c:v>15.430955270000084</c:v>
                </c:pt>
                <c:pt idx="1503">
                  <c:v>15.446976756393264</c:v>
                </c:pt>
                <c:pt idx="1504">
                  <c:v>15.472561133840541</c:v>
                </c:pt>
                <c:pt idx="1505">
                  <c:v>15.070139809269353</c:v>
                </c:pt>
                <c:pt idx="1506">
                  <c:v>15.070190400139133</c:v>
                </c:pt>
                <c:pt idx="1507">
                  <c:v>15.141178665166498</c:v>
                </c:pt>
                <c:pt idx="1508">
                  <c:v>15.204195791614012</c:v>
                </c:pt>
                <c:pt idx="1509">
                  <c:v>15.164001275150845</c:v>
                </c:pt>
                <c:pt idx="1510">
                  <c:v>15.203606181179547</c:v>
                </c:pt>
                <c:pt idx="1511">
                  <c:v>15.460311020356899</c:v>
                </c:pt>
                <c:pt idx="1512">
                  <c:v>15.460831715147895</c:v>
                </c:pt>
                <c:pt idx="1513">
                  <c:v>16.602346928842763</c:v>
                </c:pt>
                <c:pt idx="1514">
                  <c:v>16.602346928842763</c:v>
                </c:pt>
                <c:pt idx="1515">
                  <c:v>16.559174444237691</c:v>
                </c:pt>
                <c:pt idx="1516">
                  <c:v>16.563758738879635</c:v>
                </c:pt>
                <c:pt idx="1517">
                  <c:v>16.652232089844897</c:v>
                </c:pt>
                <c:pt idx="1518">
                  <c:v>16.177870626400281</c:v>
                </c:pt>
                <c:pt idx="1519">
                  <c:v>16.178305536669374</c:v>
                </c:pt>
                <c:pt idx="1520">
                  <c:v>16.695911055593541</c:v>
                </c:pt>
                <c:pt idx="1521">
                  <c:v>16.693351692239105</c:v>
                </c:pt>
                <c:pt idx="1522">
                  <c:v>16.589183996759274</c:v>
                </c:pt>
                <c:pt idx="1523">
                  <c:v>16.624638767664983</c:v>
                </c:pt>
                <c:pt idx="1524">
                  <c:v>16.631839008646288</c:v>
                </c:pt>
                <c:pt idx="1525">
                  <c:v>16.573746167906556</c:v>
                </c:pt>
                <c:pt idx="1526">
                  <c:v>16.839509525652442</c:v>
                </c:pt>
                <c:pt idx="1527">
                  <c:v>16.840739700497938</c:v>
                </c:pt>
                <c:pt idx="1528">
                  <c:v>16.873231456331666</c:v>
                </c:pt>
                <c:pt idx="1529">
                  <c:v>17.05514558269083</c:v>
                </c:pt>
                <c:pt idx="1530">
                  <c:v>17.006907055676397</c:v>
                </c:pt>
                <c:pt idx="1531">
                  <c:v>16.977546593133901</c:v>
                </c:pt>
                <c:pt idx="1532">
                  <c:v>17.07930260780531</c:v>
                </c:pt>
                <c:pt idx="1533">
                  <c:v>16.7265433211466</c:v>
                </c:pt>
                <c:pt idx="1534">
                  <c:v>16.728726740241044</c:v>
                </c:pt>
                <c:pt idx="1535">
                  <c:v>16.958838619587958</c:v>
                </c:pt>
                <c:pt idx="1536">
                  <c:v>16.958749892386532</c:v>
                </c:pt>
                <c:pt idx="1537">
                  <c:v>17.042475061634033</c:v>
                </c:pt>
                <c:pt idx="1538">
                  <c:v>16.979292343789552</c:v>
                </c:pt>
                <c:pt idx="1539">
                  <c:v>16.855563642932392</c:v>
                </c:pt>
                <c:pt idx="1540">
                  <c:v>16.882878761968385</c:v>
                </c:pt>
                <c:pt idx="1541">
                  <c:v>16.749902112616905</c:v>
                </c:pt>
                <c:pt idx="1542">
                  <c:v>16.657306025664099</c:v>
                </c:pt>
                <c:pt idx="1543">
                  <c:v>16.650893353625392</c:v>
                </c:pt>
                <c:pt idx="1544">
                  <c:v>16.652285229472518</c:v>
                </c:pt>
                <c:pt idx="1545">
                  <c:v>16.636584293249481</c:v>
                </c:pt>
                <c:pt idx="1546">
                  <c:v>16.538442137168918</c:v>
                </c:pt>
                <c:pt idx="1547">
                  <c:v>16.535875344155521</c:v>
                </c:pt>
                <c:pt idx="1548">
                  <c:v>16.539174457860117</c:v>
                </c:pt>
                <c:pt idx="1549">
                  <c:v>16.207592984479856</c:v>
                </c:pt>
                <c:pt idx="1550">
                  <c:v>16.207788768299022</c:v>
                </c:pt>
                <c:pt idx="1551">
                  <c:v>16.17768290241143</c:v>
                </c:pt>
                <c:pt idx="1552">
                  <c:v>16.484742227773197</c:v>
                </c:pt>
                <c:pt idx="1553">
                  <c:v>16.483979137338491</c:v>
                </c:pt>
                <c:pt idx="1554">
                  <c:v>16.552550120866623</c:v>
                </c:pt>
                <c:pt idx="1555">
                  <c:v>16.435551149369097</c:v>
                </c:pt>
                <c:pt idx="1556">
                  <c:v>16.435998628933422</c:v>
                </c:pt>
                <c:pt idx="1557">
                  <c:v>16.433084799448686</c:v>
                </c:pt>
                <c:pt idx="1558">
                  <c:v>16.343716747002503</c:v>
                </c:pt>
                <c:pt idx="1559">
                  <c:v>16.352793107797019</c:v>
                </c:pt>
                <c:pt idx="1560">
                  <c:v>16.509352650466646</c:v>
                </c:pt>
                <c:pt idx="1561">
                  <c:v>16.509056675355868</c:v>
                </c:pt>
                <c:pt idx="1562">
                  <c:v>16.695702224335761</c:v>
                </c:pt>
                <c:pt idx="1563">
                  <c:v>16.698057619681133</c:v>
                </c:pt>
                <c:pt idx="1564">
                  <c:v>16.696476867938468</c:v>
                </c:pt>
                <c:pt idx="1565">
                  <c:v>16.695237978686514</c:v>
                </c:pt>
                <c:pt idx="1566">
                  <c:v>16.699781788341763</c:v>
                </c:pt>
                <c:pt idx="1567">
                  <c:v>16.677501643852427</c:v>
                </c:pt>
                <c:pt idx="1568">
                  <c:v>16.641804273408521</c:v>
                </c:pt>
                <c:pt idx="1569">
                  <c:v>16.597460510380174</c:v>
                </c:pt>
                <c:pt idx="1570">
                  <c:v>16.66088204317208</c:v>
                </c:pt>
                <c:pt idx="1571">
                  <c:v>16.660665332622003</c:v>
                </c:pt>
                <c:pt idx="1572">
                  <c:v>16.645217996752901</c:v>
                </c:pt>
                <c:pt idx="1573">
                  <c:v>16.644141108092825</c:v>
                </c:pt>
                <c:pt idx="1574">
                  <c:v>16.631514344294807</c:v>
                </c:pt>
                <c:pt idx="1575">
                  <c:v>16.620554805221886</c:v>
                </c:pt>
                <c:pt idx="1576">
                  <c:v>16.694260543962468</c:v>
                </c:pt>
                <c:pt idx="1577">
                  <c:v>16.69400719771096</c:v>
                </c:pt>
                <c:pt idx="1578">
                  <c:v>16.696497555884338</c:v>
                </c:pt>
                <c:pt idx="1579">
                  <c:v>16.671754773246633</c:v>
                </c:pt>
                <c:pt idx="1580">
                  <c:v>16.653918234131741</c:v>
                </c:pt>
                <c:pt idx="1581">
                  <c:v>16.660728436767762</c:v>
                </c:pt>
                <c:pt idx="1582">
                  <c:v>16.667193122527319</c:v>
                </c:pt>
                <c:pt idx="1583">
                  <c:v>16.65195274326117</c:v>
                </c:pt>
                <c:pt idx="1584">
                  <c:v>16.654496020169361</c:v>
                </c:pt>
                <c:pt idx="1585">
                  <c:v>16.587397720982423</c:v>
                </c:pt>
                <c:pt idx="1586">
                  <c:v>16.587391629280923</c:v>
                </c:pt>
                <c:pt idx="1587">
                  <c:v>16.685816201391241</c:v>
                </c:pt>
                <c:pt idx="1588">
                  <c:v>16.685800406160428</c:v>
                </c:pt>
                <c:pt idx="1589">
                  <c:v>16.679326797880044</c:v>
                </c:pt>
                <c:pt idx="1590">
                  <c:v>16.640908951014005</c:v>
                </c:pt>
                <c:pt idx="1591">
                  <c:v>16.640966934623329</c:v>
                </c:pt>
                <c:pt idx="1592">
                  <c:v>16.633063868986749</c:v>
                </c:pt>
                <c:pt idx="1593">
                  <c:v>16.617177305427713</c:v>
                </c:pt>
                <c:pt idx="1594">
                  <c:v>16.60740734678372</c:v>
                </c:pt>
                <c:pt idx="1595">
                  <c:v>16.628765079903527</c:v>
                </c:pt>
                <c:pt idx="1596">
                  <c:v>16.617004530208536</c:v>
                </c:pt>
                <c:pt idx="1597">
                  <c:v>16.66796269555299</c:v>
                </c:pt>
                <c:pt idx="1598">
                  <c:v>16.667899140764039</c:v>
                </c:pt>
                <c:pt idx="1599">
                  <c:v>16.642095182969616</c:v>
                </c:pt>
                <c:pt idx="1600">
                  <c:v>16.626278547115447</c:v>
                </c:pt>
                <c:pt idx="1601">
                  <c:v>16.626306621503602</c:v>
                </c:pt>
                <c:pt idx="1602">
                  <c:v>16.64446635831094</c:v>
                </c:pt>
                <c:pt idx="1603">
                  <c:v>16.63432824137573</c:v>
                </c:pt>
                <c:pt idx="1604">
                  <c:v>16.607096056741518</c:v>
                </c:pt>
                <c:pt idx="1605">
                  <c:v>16.607040203813614</c:v>
                </c:pt>
                <c:pt idx="1606">
                  <c:v>16.621255167933011</c:v>
                </c:pt>
                <c:pt idx="1607">
                  <c:v>16.623855781303778</c:v>
                </c:pt>
                <c:pt idx="1608">
                  <c:v>16.56044515298473</c:v>
                </c:pt>
                <c:pt idx="1609">
                  <c:v>16.56044515298473</c:v>
                </c:pt>
                <c:pt idx="1610">
                  <c:v>16.560434570136565</c:v>
                </c:pt>
                <c:pt idx="1611">
                  <c:v>16.56289222235862</c:v>
                </c:pt>
                <c:pt idx="1612">
                  <c:v>16.473236703709976</c:v>
                </c:pt>
                <c:pt idx="1613">
                  <c:v>16.473220623766032</c:v>
                </c:pt>
                <c:pt idx="1614">
                  <c:v>16.472858938504025</c:v>
                </c:pt>
                <c:pt idx="1615">
                  <c:v>16.472730352599999</c:v>
                </c:pt>
                <c:pt idx="1616">
                  <c:v>16.575928452829071</c:v>
                </c:pt>
                <c:pt idx="1617">
                  <c:v>16.575928452829071</c:v>
                </c:pt>
                <c:pt idx="1618">
                  <c:v>16.564395604516754</c:v>
                </c:pt>
                <c:pt idx="1619">
                  <c:v>16.565089892892857</c:v>
                </c:pt>
                <c:pt idx="1620">
                  <c:v>16.557549538677726</c:v>
                </c:pt>
                <c:pt idx="1621">
                  <c:v>16.630097146826515</c:v>
                </c:pt>
                <c:pt idx="1622">
                  <c:v>16.629374516808159</c:v>
                </c:pt>
                <c:pt idx="1623">
                  <c:v>16.636243784439568</c:v>
                </c:pt>
                <c:pt idx="1624">
                  <c:v>16.636462967720199</c:v>
                </c:pt>
                <c:pt idx="1625">
                  <c:v>16.526019214964293</c:v>
                </c:pt>
                <c:pt idx="1626">
                  <c:v>16.525946087445778</c:v>
                </c:pt>
                <c:pt idx="1627">
                  <c:v>16.54718805697193</c:v>
                </c:pt>
                <c:pt idx="1628">
                  <c:v>16.514599580421507</c:v>
                </c:pt>
                <c:pt idx="1629">
                  <c:v>16.576969206579729</c:v>
                </c:pt>
                <c:pt idx="1630">
                  <c:v>16.578519279543784</c:v>
                </c:pt>
                <c:pt idx="1631">
                  <c:v>16.554872594435817</c:v>
                </c:pt>
                <c:pt idx="1632">
                  <c:v>16.544841114648875</c:v>
                </c:pt>
                <c:pt idx="1633">
                  <c:v>16.54038776898172</c:v>
                </c:pt>
                <c:pt idx="1634">
                  <c:v>16.527797349297167</c:v>
                </c:pt>
                <c:pt idx="1635">
                  <c:v>16.550306964701136</c:v>
                </c:pt>
                <c:pt idx="1636">
                  <c:v>16.551852626414441</c:v>
                </c:pt>
                <c:pt idx="1637">
                  <c:v>16.558447888770292</c:v>
                </c:pt>
                <c:pt idx="1638">
                  <c:v>16.672174102037506</c:v>
                </c:pt>
                <c:pt idx="1639">
                  <c:v>16.672177816565586</c:v>
                </c:pt>
                <c:pt idx="1640">
                  <c:v>16.667996219030279</c:v>
                </c:pt>
                <c:pt idx="1641">
                  <c:v>16.672887704119706</c:v>
                </c:pt>
                <c:pt idx="1642">
                  <c:v>16.64378673044332</c:v>
                </c:pt>
                <c:pt idx="1643">
                  <c:v>16.636911034537246</c:v>
                </c:pt>
                <c:pt idx="1644">
                  <c:v>16.630446716594054</c:v>
                </c:pt>
                <c:pt idx="1645">
                  <c:v>16.372448356630485</c:v>
                </c:pt>
                <c:pt idx="1646">
                  <c:v>16.372448356630485</c:v>
                </c:pt>
                <c:pt idx="1647">
                  <c:v>16.372448356630485</c:v>
                </c:pt>
                <c:pt idx="1648">
                  <c:v>16.372221328084922</c:v>
                </c:pt>
                <c:pt idx="1649">
                  <c:v>16.371359217955298</c:v>
                </c:pt>
                <c:pt idx="1650">
                  <c:v>16.38861473676285</c:v>
                </c:pt>
                <c:pt idx="1651">
                  <c:v>16.38815396099249</c:v>
                </c:pt>
                <c:pt idx="1652">
                  <c:v>16.291912529184078</c:v>
                </c:pt>
                <c:pt idx="1653">
                  <c:v>16.289359321044888</c:v>
                </c:pt>
                <c:pt idx="1654">
                  <c:v>16.289387191149011</c:v>
                </c:pt>
                <c:pt idx="1655">
                  <c:v>16.253161466511862</c:v>
                </c:pt>
                <c:pt idx="1656">
                  <c:v>16.255499641936662</c:v>
                </c:pt>
                <c:pt idx="1657">
                  <c:v>16.295423354759794</c:v>
                </c:pt>
                <c:pt idx="1658">
                  <c:v>16.289346375304426</c:v>
                </c:pt>
                <c:pt idx="1659">
                  <c:v>16.297427036308516</c:v>
                </c:pt>
                <c:pt idx="1660">
                  <c:v>16.266013474731022</c:v>
                </c:pt>
                <c:pt idx="1661">
                  <c:v>16.141794317196283</c:v>
                </c:pt>
                <c:pt idx="1662">
                  <c:v>16.141794317196283</c:v>
                </c:pt>
                <c:pt idx="1663">
                  <c:v>16.141794317196283</c:v>
                </c:pt>
                <c:pt idx="1664">
                  <c:v>16.224726077720838</c:v>
                </c:pt>
                <c:pt idx="1665">
                  <c:v>16.131458042798545</c:v>
                </c:pt>
                <c:pt idx="1666">
                  <c:v>16.131367950590469</c:v>
                </c:pt>
                <c:pt idx="1667">
                  <c:v>16.054778928238996</c:v>
                </c:pt>
                <c:pt idx="1668">
                  <c:v>16.056786725269774</c:v>
                </c:pt>
                <c:pt idx="1669">
                  <c:v>15.98783464442683</c:v>
                </c:pt>
                <c:pt idx="1670">
                  <c:v>16.347737636800115</c:v>
                </c:pt>
                <c:pt idx="1671">
                  <c:v>16.352518906638743</c:v>
                </c:pt>
                <c:pt idx="1672">
                  <c:v>16.370970190545506</c:v>
                </c:pt>
                <c:pt idx="1673">
                  <c:v>16.369319577946381</c:v>
                </c:pt>
                <c:pt idx="1674">
                  <c:v>16.366926754948537</c:v>
                </c:pt>
                <c:pt idx="1675">
                  <c:v>16.398498318191457</c:v>
                </c:pt>
                <c:pt idx="1676">
                  <c:v>16.441210704828627</c:v>
                </c:pt>
                <c:pt idx="1677">
                  <c:v>16.400269301087686</c:v>
                </c:pt>
                <c:pt idx="1678">
                  <c:v>16.497023369880491</c:v>
                </c:pt>
                <c:pt idx="1679">
                  <c:v>16.479611366773806</c:v>
                </c:pt>
                <c:pt idx="1680">
                  <c:v>16.226891666537313</c:v>
                </c:pt>
                <c:pt idx="1681">
                  <c:v>16.22613606589703</c:v>
                </c:pt>
                <c:pt idx="1682">
                  <c:v>16.278526475036234</c:v>
                </c:pt>
                <c:pt idx="1683">
                  <c:v>16.266263393285524</c:v>
                </c:pt>
                <c:pt idx="1684">
                  <c:v>16.246663367403038</c:v>
                </c:pt>
                <c:pt idx="1685">
                  <c:v>16.24719743640075</c:v>
                </c:pt>
                <c:pt idx="1686">
                  <c:v>16.439261794954955</c:v>
                </c:pt>
                <c:pt idx="1687">
                  <c:v>16.440305975481643</c:v>
                </c:pt>
                <c:pt idx="1688">
                  <c:v>16.368751485277588</c:v>
                </c:pt>
                <c:pt idx="1689">
                  <c:v>16.418707968957026</c:v>
                </c:pt>
                <c:pt idx="1690">
                  <c:v>16.420972247875593</c:v>
                </c:pt>
                <c:pt idx="1691">
                  <c:v>16.412091447533481</c:v>
                </c:pt>
                <c:pt idx="1692">
                  <c:v>16.369988005650111</c:v>
                </c:pt>
                <c:pt idx="1693">
                  <c:v>16.383593924221245</c:v>
                </c:pt>
                <c:pt idx="1694">
                  <c:v>16.378079376989458</c:v>
                </c:pt>
                <c:pt idx="1695">
                  <c:v>16.378202257286372</c:v>
                </c:pt>
                <c:pt idx="1696">
                  <c:v>16.379983633742651</c:v>
                </c:pt>
                <c:pt idx="1697">
                  <c:v>16.443390668700481</c:v>
                </c:pt>
                <c:pt idx="1698">
                  <c:v>16.442707169682475</c:v>
                </c:pt>
                <c:pt idx="1699">
                  <c:v>16.435655703697556</c:v>
                </c:pt>
                <c:pt idx="1700">
                  <c:v>16.267482834975105</c:v>
                </c:pt>
                <c:pt idx="1701">
                  <c:v>16.286754255686741</c:v>
                </c:pt>
                <c:pt idx="1702">
                  <c:v>15.981509938075101</c:v>
                </c:pt>
                <c:pt idx="1703">
                  <c:v>15.982060024791286</c:v>
                </c:pt>
                <c:pt idx="1704">
                  <c:v>16.002501607675832</c:v>
                </c:pt>
                <c:pt idx="1705">
                  <c:v>15.801895514657769</c:v>
                </c:pt>
                <c:pt idx="1706">
                  <c:v>15.853401579581909</c:v>
                </c:pt>
                <c:pt idx="1707">
                  <c:v>15.882154730004519</c:v>
                </c:pt>
                <c:pt idx="1708">
                  <c:v>15.890903490502474</c:v>
                </c:pt>
                <c:pt idx="1709">
                  <c:v>15.905486513899747</c:v>
                </c:pt>
                <c:pt idx="1710">
                  <c:v>15.332225470479676</c:v>
                </c:pt>
                <c:pt idx="1711">
                  <c:v>15.330944170349408</c:v>
                </c:pt>
                <c:pt idx="1712">
                  <c:v>15.327900364641538</c:v>
                </c:pt>
                <c:pt idx="1713">
                  <c:v>15.323210344863362</c:v>
                </c:pt>
                <c:pt idx="1714">
                  <c:v>15.323210344863362</c:v>
                </c:pt>
                <c:pt idx="1715">
                  <c:v>15.32257320419699</c:v>
                </c:pt>
                <c:pt idx="1716">
                  <c:v>15.263341362089239</c:v>
                </c:pt>
                <c:pt idx="1717">
                  <c:v>15.956784653100469</c:v>
                </c:pt>
                <c:pt idx="1718">
                  <c:v>15.956655119064246</c:v>
                </c:pt>
                <c:pt idx="1719">
                  <c:v>15.870854333338972</c:v>
                </c:pt>
                <c:pt idx="1720">
                  <c:v>15.916683417753452</c:v>
                </c:pt>
                <c:pt idx="1721">
                  <c:v>16.067252789095239</c:v>
                </c:pt>
                <c:pt idx="1722">
                  <c:v>15.962132125993605</c:v>
                </c:pt>
                <c:pt idx="1723">
                  <c:v>15.934561028219031</c:v>
                </c:pt>
                <c:pt idx="1724">
                  <c:v>15.740196026404318</c:v>
                </c:pt>
                <c:pt idx="1725">
                  <c:v>15.367093009460103</c:v>
                </c:pt>
                <c:pt idx="1726">
                  <c:v>15.326529613945478</c:v>
                </c:pt>
                <c:pt idx="1727">
                  <c:v>15.734081938592384</c:v>
                </c:pt>
                <c:pt idx="1728">
                  <c:v>15.686611714743357</c:v>
                </c:pt>
                <c:pt idx="1729">
                  <c:v>15.709918068859578</c:v>
                </c:pt>
                <c:pt idx="1730">
                  <c:v>15.887358867504524</c:v>
                </c:pt>
                <c:pt idx="1731">
                  <c:v>16.008490992489055</c:v>
                </c:pt>
                <c:pt idx="1732">
                  <c:v>15.924411582581783</c:v>
                </c:pt>
                <c:pt idx="1733">
                  <c:v>16.007605314264818</c:v>
                </c:pt>
                <c:pt idx="1734">
                  <c:v>15.990643191745034</c:v>
                </c:pt>
                <c:pt idx="1735">
                  <c:v>15.737151018364408</c:v>
                </c:pt>
                <c:pt idx="1736">
                  <c:v>15.738882112735023</c:v>
                </c:pt>
                <c:pt idx="1737">
                  <c:v>15.677195320819807</c:v>
                </c:pt>
                <c:pt idx="1738">
                  <c:v>15.610305584733453</c:v>
                </c:pt>
                <c:pt idx="1739">
                  <c:v>15.642740016930116</c:v>
                </c:pt>
                <c:pt idx="1740">
                  <c:v>15.733249292670195</c:v>
                </c:pt>
                <c:pt idx="1741">
                  <c:v>15.682501735935983</c:v>
                </c:pt>
                <c:pt idx="1742">
                  <c:v>15.64646213260863</c:v>
                </c:pt>
                <c:pt idx="1743">
                  <c:v>15.632312576878345</c:v>
                </c:pt>
                <c:pt idx="1744">
                  <c:v>15.739524720163587</c:v>
                </c:pt>
                <c:pt idx="1745">
                  <c:v>16.252564338458207</c:v>
                </c:pt>
                <c:pt idx="1746">
                  <c:v>16.252564338458207</c:v>
                </c:pt>
                <c:pt idx="1747">
                  <c:v>16.299556980313444</c:v>
                </c:pt>
                <c:pt idx="1748">
                  <c:v>16.386416109804923</c:v>
                </c:pt>
                <c:pt idx="1749">
                  <c:v>17.057794720691284</c:v>
                </c:pt>
                <c:pt idx="1750">
                  <c:v>17.05750955166279</c:v>
                </c:pt>
                <c:pt idx="1751">
                  <c:v>17.088166063928078</c:v>
                </c:pt>
                <c:pt idx="1752">
                  <c:v>17.062306665771342</c:v>
                </c:pt>
                <c:pt idx="1753">
                  <c:v>16.387439423295117</c:v>
                </c:pt>
                <c:pt idx="1754">
                  <c:v>16.387746103866775</c:v>
                </c:pt>
                <c:pt idx="1755">
                  <c:v>16.484233246425408</c:v>
                </c:pt>
                <c:pt idx="1756">
                  <c:v>16.485459626770854</c:v>
                </c:pt>
                <c:pt idx="1757">
                  <c:v>16.402178908102268</c:v>
                </c:pt>
                <c:pt idx="1758">
                  <c:v>16.387560575553625</c:v>
                </c:pt>
                <c:pt idx="1759">
                  <c:v>16.373405184068154</c:v>
                </c:pt>
                <c:pt idx="1760">
                  <c:v>16.445999995122598</c:v>
                </c:pt>
                <c:pt idx="1761">
                  <c:v>16.441940412869453</c:v>
                </c:pt>
                <c:pt idx="1762">
                  <c:v>16.040109346948288</c:v>
                </c:pt>
                <c:pt idx="1763">
                  <c:v>16.039587104249634</c:v>
                </c:pt>
                <c:pt idx="1764">
                  <c:v>16.104816108123174</c:v>
                </c:pt>
                <c:pt idx="1765">
                  <c:v>16.275136009655771</c:v>
                </c:pt>
                <c:pt idx="1766">
                  <c:v>16.260354391289709</c:v>
                </c:pt>
                <c:pt idx="1767">
                  <c:v>16.372012515273546</c:v>
                </c:pt>
                <c:pt idx="1768">
                  <c:v>16.397201960356224</c:v>
                </c:pt>
                <c:pt idx="1769">
                  <c:v>16.346289198880296</c:v>
                </c:pt>
                <c:pt idx="1770">
                  <c:v>16.357127347375531</c:v>
                </c:pt>
                <c:pt idx="1771">
                  <c:v>16.343076637378509</c:v>
                </c:pt>
                <c:pt idx="1772">
                  <c:v>16.604839084238677</c:v>
                </c:pt>
                <c:pt idx="1773">
                  <c:v>16.604915002574604</c:v>
                </c:pt>
                <c:pt idx="1774">
                  <c:v>16.572580458287693</c:v>
                </c:pt>
                <c:pt idx="1775">
                  <c:v>16.506469813378153</c:v>
                </c:pt>
                <c:pt idx="1776">
                  <c:v>16.508923112917518</c:v>
                </c:pt>
                <c:pt idx="1777">
                  <c:v>16.566745198797225</c:v>
                </c:pt>
                <c:pt idx="1778">
                  <c:v>16.671334995565065</c:v>
                </c:pt>
                <c:pt idx="1779">
                  <c:v>16.671876777879529</c:v>
                </c:pt>
                <c:pt idx="1780">
                  <c:v>16.66901462148741</c:v>
                </c:pt>
                <c:pt idx="1781">
                  <c:v>16.694710187981912</c:v>
                </c:pt>
                <c:pt idx="1782">
                  <c:v>17.297424121394933</c:v>
                </c:pt>
                <c:pt idx="1783">
                  <c:v>17.297424121394933</c:v>
                </c:pt>
                <c:pt idx="1784">
                  <c:v>17.296898133446188</c:v>
                </c:pt>
                <c:pt idx="1785">
                  <c:v>17.323901242545663</c:v>
                </c:pt>
                <c:pt idx="1786">
                  <c:v>17.419566150973761</c:v>
                </c:pt>
                <c:pt idx="1787">
                  <c:v>17.426522736141862</c:v>
                </c:pt>
                <c:pt idx="1788">
                  <c:v>17.31556568101092</c:v>
                </c:pt>
                <c:pt idx="1789">
                  <c:v>17.317767489521501</c:v>
                </c:pt>
                <c:pt idx="1790">
                  <c:v>17.256706347442726</c:v>
                </c:pt>
                <c:pt idx="1791">
                  <c:v>17.000191183686628</c:v>
                </c:pt>
                <c:pt idx="1792">
                  <c:v>17.000324201229361</c:v>
                </c:pt>
                <c:pt idx="1793">
                  <c:v>17.205051252701391</c:v>
                </c:pt>
                <c:pt idx="1794">
                  <c:v>17.20962642908367</c:v>
                </c:pt>
                <c:pt idx="1795">
                  <c:v>17.20962642908367</c:v>
                </c:pt>
                <c:pt idx="1796">
                  <c:v>17.264461377286299</c:v>
                </c:pt>
                <c:pt idx="1797">
                  <c:v>17.411508533790645</c:v>
                </c:pt>
                <c:pt idx="1798">
                  <c:v>17.419057251874062</c:v>
                </c:pt>
                <c:pt idx="1799">
                  <c:v>17.419057251874062</c:v>
                </c:pt>
                <c:pt idx="1800">
                  <c:v>18.096344343129569</c:v>
                </c:pt>
                <c:pt idx="1801">
                  <c:v>18.097518230435135</c:v>
                </c:pt>
                <c:pt idx="1802">
                  <c:v>18.033777586123559</c:v>
                </c:pt>
                <c:pt idx="1803">
                  <c:v>18.045091927495029</c:v>
                </c:pt>
                <c:pt idx="1804">
                  <c:v>18.045077760463528</c:v>
                </c:pt>
                <c:pt idx="1805">
                  <c:v>18.523981425767271</c:v>
                </c:pt>
                <c:pt idx="1806">
                  <c:v>18.508562484083214</c:v>
                </c:pt>
                <c:pt idx="1807">
                  <c:v>18.508468275419172</c:v>
                </c:pt>
                <c:pt idx="1808">
                  <c:v>18.833240473939341</c:v>
                </c:pt>
                <c:pt idx="1809">
                  <c:v>18.628604110839223</c:v>
                </c:pt>
                <c:pt idx="1810">
                  <c:v>18.645122451515103</c:v>
                </c:pt>
                <c:pt idx="1811">
                  <c:v>19.942584030132416</c:v>
                </c:pt>
                <c:pt idx="1812">
                  <c:v>19.939981447371903</c:v>
                </c:pt>
                <c:pt idx="1813">
                  <c:v>19.939108937829282</c:v>
                </c:pt>
                <c:pt idx="1814">
                  <c:v>19.535092471200112</c:v>
                </c:pt>
                <c:pt idx="1815">
                  <c:v>19.258416358402997</c:v>
                </c:pt>
                <c:pt idx="1816">
                  <c:v>19.306740386896884</c:v>
                </c:pt>
                <c:pt idx="1817">
                  <c:v>19.525103173611047</c:v>
                </c:pt>
                <c:pt idx="1818">
                  <c:v>19.671572151253812</c:v>
                </c:pt>
                <c:pt idx="1819">
                  <c:v>20.89837928914833</c:v>
                </c:pt>
                <c:pt idx="1820">
                  <c:v>20.901801150089806</c:v>
                </c:pt>
                <c:pt idx="1821">
                  <c:v>20.84590855959577</c:v>
                </c:pt>
                <c:pt idx="1822">
                  <c:v>21.014275329683979</c:v>
                </c:pt>
                <c:pt idx="1823">
                  <c:v>20.167328452281826</c:v>
                </c:pt>
                <c:pt idx="1824">
                  <c:v>20.172284477012965</c:v>
                </c:pt>
                <c:pt idx="1825">
                  <c:v>20.254955288241767</c:v>
                </c:pt>
                <c:pt idx="1826">
                  <c:v>20.145690963497671</c:v>
                </c:pt>
                <c:pt idx="1827">
                  <c:v>20.030678106179483</c:v>
                </c:pt>
                <c:pt idx="1828">
                  <c:v>19.887114187036829</c:v>
                </c:pt>
                <c:pt idx="1829">
                  <c:v>19.973213285275843</c:v>
                </c:pt>
                <c:pt idx="1830">
                  <c:v>19.9734251698012</c:v>
                </c:pt>
                <c:pt idx="1831">
                  <c:v>19.954991145629698</c:v>
                </c:pt>
                <c:pt idx="1832">
                  <c:v>20.410520114932353</c:v>
                </c:pt>
                <c:pt idx="1833">
                  <c:v>20.414748436968967</c:v>
                </c:pt>
                <c:pt idx="1834">
                  <c:v>20.777011535641289</c:v>
                </c:pt>
                <c:pt idx="1835">
                  <c:v>20.776174377221874</c:v>
                </c:pt>
                <c:pt idx="1836">
                  <c:v>20.830422145950251</c:v>
                </c:pt>
                <c:pt idx="1837">
                  <c:v>20.008803274708075</c:v>
                </c:pt>
                <c:pt idx="1838">
                  <c:v>20.011635699491414</c:v>
                </c:pt>
                <c:pt idx="1839">
                  <c:v>20.012634907015702</c:v>
                </c:pt>
                <c:pt idx="1840">
                  <c:v>20.276808745969223</c:v>
                </c:pt>
                <c:pt idx="1841">
                  <c:v>20.283629167100646</c:v>
                </c:pt>
                <c:pt idx="1842">
                  <c:v>20.367432678419796</c:v>
                </c:pt>
                <c:pt idx="1843">
                  <c:v>20.087159840558868</c:v>
                </c:pt>
                <c:pt idx="1844">
                  <c:v>20.242874639144496</c:v>
                </c:pt>
                <c:pt idx="1845">
                  <c:v>20.243277123139446</c:v>
                </c:pt>
                <c:pt idx="1846">
                  <c:v>20.244836110734958</c:v>
                </c:pt>
                <c:pt idx="1847">
                  <c:v>20.163344990533734</c:v>
                </c:pt>
                <c:pt idx="1848">
                  <c:v>20.349170632065558</c:v>
                </c:pt>
                <c:pt idx="1849">
                  <c:v>20.507037384812342</c:v>
                </c:pt>
                <c:pt idx="1850">
                  <c:v>20.514418925628082</c:v>
                </c:pt>
                <c:pt idx="1851">
                  <c:v>20.551200978027993</c:v>
                </c:pt>
                <c:pt idx="1852">
                  <c:v>20.618078035422982</c:v>
                </c:pt>
                <c:pt idx="1853">
                  <c:v>21.339075159619892</c:v>
                </c:pt>
                <c:pt idx="1854">
                  <c:v>21.346520696235359</c:v>
                </c:pt>
                <c:pt idx="1855">
                  <c:v>21.346520696235359</c:v>
                </c:pt>
                <c:pt idx="1856">
                  <c:v>21.346520696235359</c:v>
                </c:pt>
                <c:pt idx="1857">
                  <c:v>21.329910823014004</c:v>
                </c:pt>
                <c:pt idx="1858">
                  <c:v>21.352725424669522</c:v>
                </c:pt>
                <c:pt idx="1859">
                  <c:v>21.370261960256379</c:v>
                </c:pt>
                <c:pt idx="1860">
                  <c:v>21.384161909816353</c:v>
                </c:pt>
                <c:pt idx="1861">
                  <c:v>21.392088453421298</c:v>
                </c:pt>
                <c:pt idx="1862">
                  <c:v>20.838874247685979</c:v>
                </c:pt>
                <c:pt idx="1863">
                  <c:v>20.841495243494055</c:v>
                </c:pt>
                <c:pt idx="1864">
                  <c:v>21.688308884338976</c:v>
                </c:pt>
                <c:pt idx="1865">
                  <c:v>21.932329710513496</c:v>
                </c:pt>
                <c:pt idx="1866">
                  <c:v>21.933362357293273</c:v>
                </c:pt>
                <c:pt idx="1867">
                  <c:v>24.769965614284111</c:v>
                </c:pt>
                <c:pt idx="1868">
                  <c:v>24.762542713693719</c:v>
                </c:pt>
                <c:pt idx="1869">
                  <c:v>24.703052837964847</c:v>
                </c:pt>
                <c:pt idx="1870">
                  <c:v>24.703052837964847</c:v>
                </c:pt>
                <c:pt idx="1871">
                  <c:v>25.661027564508817</c:v>
                </c:pt>
                <c:pt idx="1872">
                  <c:v>25.470102242253457</c:v>
                </c:pt>
                <c:pt idx="1873">
                  <c:v>25.554955499946836</c:v>
                </c:pt>
                <c:pt idx="1874">
                  <c:v>21.055973769838129</c:v>
                </c:pt>
                <c:pt idx="1875">
                  <c:v>21.026463781372875</c:v>
                </c:pt>
                <c:pt idx="1876">
                  <c:v>21.076973255531222</c:v>
                </c:pt>
                <c:pt idx="1877">
                  <c:v>21.597280629781924</c:v>
                </c:pt>
                <c:pt idx="1878">
                  <c:v>21.536561296160556</c:v>
                </c:pt>
                <c:pt idx="1879">
                  <c:v>21.721198734098451</c:v>
                </c:pt>
                <c:pt idx="1880">
                  <c:v>24.263779847086312</c:v>
                </c:pt>
                <c:pt idx="1881">
                  <c:v>24.28332848166831</c:v>
                </c:pt>
                <c:pt idx="1882">
                  <c:v>23.900569996612319</c:v>
                </c:pt>
                <c:pt idx="1883">
                  <c:v>23.943478605052164</c:v>
                </c:pt>
                <c:pt idx="1884">
                  <c:v>25.447242372304494</c:v>
                </c:pt>
                <c:pt idx="1885">
                  <c:v>25.160138481809334</c:v>
                </c:pt>
                <c:pt idx="1886">
                  <c:v>25.853968688856877</c:v>
                </c:pt>
                <c:pt idx="1887">
                  <c:v>25.097912089587847</c:v>
                </c:pt>
                <c:pt idx="1888">
                  <c:v>24.758352153104113</c:v>
                </c:pt>
                <c:pt idx="1889">
                  <c:v>25.093535824610395</c:v>
                </c:pt>
                <c:pt idx="1890">
                  <c:v>25.675192656657057</c:v>
                </c:pt>
                <c:pt idx="1891">
                  <c:v>25.799681468809144</c:v>
                </c:pt>
                <c:pt idx="1892">
                  <c:v>25.78023164283842</c:v>
                </c:pt>
                <c:pt idx="1893">
                  <c:v>25.720537978012693</c:v>
                </c:pt>
                <c:pt idx="1894">
                  <c:v>27.252534687799617</c:v>
                </c:pt>
                <c:pt idx="1895">
                  <c:v>27.301650611281005</c:v>
                </c:pt>
                <c:pt idx="1896">
                  <c:v>27.764217954807609</c:v>
                </c:pt>
                <c:pt idx="1897">
                  <c:v>27.794756538371651</c:v>
                </c:pt>
                <c:pt idx="1898">
                  <c:v>27.801178611257797</c:v>
                </c:pt>
                <c:pt idx="1899">
                  <c:v>27.90353872223297</c:v>
                </c:pt>
                <c:pt idx="1900">
                  <c:v>28.521630232125172</c:v>
                </c:pt>
                <c:pt idx="1901">
                  <c:v>29.039360770324659</c:v>
                </c:pt>
                <c:pt idx="1902">
                  <c:v>29.033413375765466</c:v>
                </c:pt>
                <c:pt idx="1903">
                  <c:v>26.35280694638282</c:v>
                </c:pt>
                <c:pt idx="1904">
                  <c:v>26.35280694638282</c:v>
                </c:pt>
                <c:pt idx="1905">
                  <c:v>26.76006317651191</c:v>
                </c:pt>
                <c:pt idx="1906">
                  <c:v>26.758780868955945</c:v>
                </c:pt>
                <c:pt idx="1907">
                  <c:v>26.387261393992269</c:v>
                </c:pt>
                <c:pt idx="1908">
                  <c:v>26.814590841123835</c:v>
                </c:pt>
                <c:pt idx="1909">
                  <c:v>26.976718454056584</c:v>
                </c:pt>
                <c:pt idx="1910">
                  <c:v>27.624943175562244</c:v>
                </c:pt>
                <c:pt idx="1911">
                  <c:v>28.142862407619813</c:v>
                </c:pt>
                <c:pt idx="1912">
                  <c:v>28.158506145915638</c:v>
                </c:pt>
                <c:pt idx="1913">
                  <c:v>27.931285498203739</c:v>
                </c:pt>
                <c:pt idx="1914">
                  <c:v>28.37320448084893</c:v>
                </c:pt>
                <c:pt idx="1915">
                  <c:v>29.863887072069453</c:v>
                </c:pt>
                <c:pt idx="1916">
                  <c:v>29.867607313082846</c:v>
                </c:pt>
                <c:pt idx="1917">
                  <c:v>31.373580136486893</c:v>
                </c:pt>
                <c:pt idx="1918">
                  <c:v>31.405421070358766</c:v>
                </c:pt>
                <c:pt idx="1919">
                  <c:v>31.394308267152937</c:v>
                </c:pt>
                <c:pt idx="1920">
                  <c:v>31.16903223026204</c:v>
                </c:pt>
                <c:pt idx="1921">
                  <c:v>31.631553820189282</c:v>
                </c:pt>
                <c:pt idx="1922">
                  <c:v>32.221687065457857</c:v>
                </c:pt>
                <c:pt idx="1923">
                  <c:v>33.537283882033158</c:v>
                </c:pt>
                <c:pt idx="1924">
                  <c:v>33.565616774713561</c:v>
                </c:pt>
                <c:pt idx="1925">
                  <c:v>33.606632644121333</c:v>
                </c:pt>
                <c:pt idx="1926">
                  <c:v>33.607153457319434</c:v>
                </c:pt>
                <c:pt idx="1927">
                  <c:v>32.856263901675348</c:v>
                </c:pt>
                <c:pt idx="1928">
                  <c:v>33.11079664607189</c:v>
                </c:pt>
                <c:pt idx="1929">
                  <c:v>32.777246566569787</c:v>
                </c:pt>
                <c:pt idx="1930">
                  <c:v>32.771676128429597</c:v>
                </c:pt>
                <c:pt idx="1931">
                  <c:v>32.747516268657208</c:v>
                </c:pt>
                <c:pt idx="1932">
                  <c:v>32.799406468018383</c:v>
                </c:pt>
                <c:pt idx="1933">
                  <c:v>32.797159740268874</c:v>
                </c:pt>
                <c:pt idx="1934">
                  <c:v>32.791624732536874</c:v>
                </c:pt>
                <c:pt idx="1935">
                  <c:v>35.501587178229109</c:v>
                </c:pt>
                <c:pt idx="1936">
                  <c:v>35.504622744819414</c:v>
                </c:pt>
                <c:pt idx="1937">
                  <c:v>36.252525905118837</c:v>
                </c:pt>
                <c:pt idx="1938">
                  <c:v>34.937764802286154</c:v>
                </c:pt>
                <c:pt idx="1939">
                  <c:v>34.449908437129238</c:v>
                </c:pt>
                <c:pt idx="1940">
                  <c:v>34.408258763766113</c:v>
                </c:pt>
                <c:pt idx="1941">
                  <c:v>34.403441800595949</c:v>
                </c:pt>
                <c:pt idx="1942">
                  <c:v>34.445642001450473</c:v>
                </c:pt>
                <c:pt idx="1943">
                  <c:v>34.483975244846917</c:v>
                </c:pt>
                <c:pt idx="1944">
                  <c:v>34.110049424155157</c:v>
                </c:pt>
                <c:pt idx="1945">
                  <c:v>34.132230043353729</c:v>
                </c:pt>
                <c:pt idx="1946">
                  <c:v>30.283571708765116</c:v>
                </c:pt>
                <c:pt idx="1947">
                  <c:v>30.261583172897183</c:v>
                </c:pt>
                <c:pt idx="1948">
                  <c:v>30.775112828505481</c:v>
                </c:pt>
                <c:pt idx="1949">
                  <c:v>30.836064022859272</c:v>
                </c:pt>
                <c:pt idx="1950">
                  <c:v>31.125212736579826</c:v>
                </c:pt>
                <c:pt idx="1951">
                  <c:v>30.804478760715703</c:v>
                </c:pt>
                <c:pt idx="1952">
                  <c:v>29.700054761697832</c:v>
                </c:pt>
                <c:pt idx="1953">
                  <c:v>30.398525917629723</c:v>
                </c:pt>
                <c:pt idx="1954">
                  <c:v>32.099408686290055</c:v>
                </c:pt>
                <c:pt idx="1955">
                  <c:v>32.1018906092036</c:v>
                </c:pt>
                <c:pt idx="1956">
                  <c:v>34.491383429675963</c:v>
                </c:pt>
                <c:pt idx="1957">
                  <c:v>34.49889913654922</c:v>
                </c:pt>
                <c:pt idx="1958">
                  <c:v>33.938111094804782</c:v>
                </c:pt>
                <c:pt idx="1959">
                  <c:v>35.545198013583395</c:v>
                </c:pt>
                <c:pt idx="1960">
                  <c:v>36.131466999617864</c:v>
                </c:pt>
                <c:pt idx="1961">
                  <c:v>36.584077563948732</c:v>
                </c:pt>
                <c:pt idx="1962">
                  <c:v>36.225938824608988</c:v>
                </c:pt>
                <c:pt idx="1963">
                  <c:v>36.770474699899808</c:v>
                </c:pt>
                <c:pt idx="1964">
                  <c:v>37.249608879029644</c:v>
                </c:pt>
                <c:pt idx="1965">
                  <c:v>37.503061399868102</c:v>
                </c:pt>
                <c:pt idx="1966">
                  <c:v>36.335821146000953</c:v>
                </c:pt>
                <c:pt idx="1967">
                  <c:v>36.000478023924778</c:v>
                </c:pt>
                <c:pt idx="1968">
                  <c:v>36.80849373608266</c:v>
                </c:pt>
                <c:pt idx="1969">
                  <c:v>36.657794057368719</c:v>
                </c:pt>
                <c:pt idx="1970">
                  <c:v>36.525343916224237</c:v>
                </c:pt>
                <c:pt idx="1971">
                  <c:v>38.776127085143166</c:v>
                </c:pt>
                <c:pt idx="1972">
                  <c:v>38.774263261632107</c:v>
                </c:pt>
                <c:pt idx="1973">
                  <c:v>39.34614620588102</c:v>
                </c:pt>
                <c:pt idx="1974">
                  <c:v>39.54428010775451</c:v>
                </c:pt>
                <c:pt idx="1975">
                  <c:v>38.707215519356531</c:v>
                </c:pt>
                <c:pt idx="1976">
                  <c:v>38.876099507099838</c:v>
                </c:pt>
                <c:pt idx="1977">
                  <c:v>39.025721707637366</c:v>
                </c:pt>
                <c:pt idx="1978">
                  <c:v>41.099445419288152</c:v>
                </c:pt>
                <c:pt idx="1979">
                  <c:v>41.103830599994716</c:v>
                </c:pt>
                <c:pt idx="1980">
                  <c:v>41.11886204429608</c:v>
                </c:pt>
                <c:pt idx="1981">
                  <c:v>41.123058187132436</c:v>
                </c:pt>
                <c:pt idx="1982">
                  <c:v>41.381462846406798</c:v>
                </c:pt>
                <c:pt idx="1983">
                  <c:v>41.44137051064363</c:v>
                </c:pt>
                <c:pt idx="1984">
                  <c:v>45.412629290484425</c:v>
                </c:pt>
                <c:pt idx="1985">
                  <c:v>45.412629290484425</c:v>
                </c:pt>
                <c:pt idx="1986">
                  <c:v>45.412629290484425</c:v>
                </c:pt>
                <c:pt idx="1987">
                  <c:v>51.387166291308631</c:v>
                </c:pt>
                <c:pt idx="1988">
                  <c:v>51.387166291308631</c:v>
                </c:pt>
                <c:pt idx="1989">
                  <c:v>51.354701828331798</c:v>
                </c:pt>
                <c:pt idx="1990">
                  <c:v>51.351607605975353</c:v>
                </c:pt>
                <c:pt idx="1991">
                  <c:v>57.581118869112039</c:v>
                </c:pt>
                <c:pt idx="1992">
                  <c:v>57.60164179189654</c:v>
                </c:pt>
                <c:pt idx="1993">
                  <c:v>57.60164179189654</c:v>
                </c:pt>
                <c:pt idx="1994">
                  <c:v>60.764050928703981</c:v>
                </c:pt>
                <c:pt idx="1995">
                  <c:v>60.702176309671948</c:v>
                </c:pt>
                <c:pt idx="1996">
                  <c:v>60.663815578015097</c:v>
                </c:pt>
                <c:pt idx="1997">
                  <c:v>64.011731124082928</c:v>
                </c:pt>
                <c:pt idx="1998">
                  <c:v>63.243550655007176</c:v>
                </c:pt>
                <c:pt idx="1999">
                  <c:v>63.216802607219414</c:v>
                </c:pt>
                <c:pt idx="2000">
                  <c:v>68.454043918102457</c:v>
                </c:pt>
                <c:pt idx="2001">
                  <c:v>68.468679941321355</c:v>
                </c:pt>
                <c:pt idx="2002">
                  <c:v>79.391109742689764</c:v>
                </c:pt>
                <c:pt idx="2003">
                  <c:v>79.411232015155136</c:v>
                </c:pt>
                <c:pt idx="2004">
                  <c:v>86.056683107344227</c:v>
                </c:pt>
                <c:pt idx="2005">
                  <c:v>86.510999105225849</c:v>
                </c:pt>
                <c:pt idx="2006">
                  <c:v>86.52476318036598</c:v>
                </c:pt>
                <c:pt idx="2007">
                  <c:v>100.36619633987682</c:v>
                </c:pt>
                <c:pt idx="2008">
                  <c:v>100.69085812058114</c:v>
                </c:pt>
                <c:pt idx="2009">
                  <c:v>100.69085812058114</c:v>
                </c:pt>
                <c:pt idx="2010">
                  <c:v>100.58301753130387</c:v>
                </c:pt>
                <c:pt idx="2011">
                  <c:v>100.77831377506919</c:v>
                </c:pt>
                <c:pt idx="2012">
                  <c:v>100.74435771243421</c:v>
                </c:pt>
                <c:pt idx="2013">
                  <c:v>107.35442518980676</c:v>
                </c:pt>
                <c:pt idx="2014">
                  <c:v>103.34712863446167</c:v>
                </c:pt>
                <c:pt idx="2015">
                  <c:v>125.13329121608494</c:v>
                </c:pt>
                <c:pt idx="2016">
                  <c:v>125.02625421715562</c:v>
                </c:pt>
                <c:pt idx="2017">
                  <c:v>138.61095936076617</c:v>
                </c:pt>
                <c:pt idx="2018">
                  <c:v>138.71968345078747</c:v>
                </c:pt>
                <c:pt idx="2019">
                  <c:v>144.20289836306799</c:v>
                </c:pt>
                <c:pt idx="2020">
                  <c:v>177.09574775668989</c:v>
                </c:pt>
                <c:pt idx="2021">
                  <c:v>177.00474460275152</c:v>
                </c:pt>
                <c:pt idx="2022">
                  <c:v>163.97172012483929</c:v>
                </c:pt>
                <c:pt idx="2023">
                  <c:v>177.8575615387648</c:v>
                </c:pt>
                <c:pt idx="2024">
                  <c:v>178.42590071685123</c:v>
                </c:pt>
                <c:pt idx="2025">
                  <c:v>183.08230117878358</c:v>
                </c:pt>
                <c:pt idx="2026">
                  <c:v>162.32368669498146</c:v>
                </c:pt>
                <c:pt idx="2027">
                  <c:v>160.53144378436983</c:v>
                </c:pt>
                <c:pt idx="2028">
                  <c:v>150.53515260896083</c:v>
                </c:pt>
                <c:pt idx="2029">
                  <c:v>113.0063326769144</c:v>
                </c:pt>
                <c:pt idx="2030">
                  <c:v>113.41692534509568</c:v>
                </c:pt>
                <c:pt idx="2031">
                  <c:v>113.84168985292291</c:v>
                </c:pt>
                <c:pt idx="2032">
                  <c:v>113.14892169272899</c:v>
                </c:pt>
                <c:pt idx="2033">
                  <c:v>113.95517956800489</c:v>
                </c:pt>
                <c:pt idx="2034">
                  <c:v>120.81184989104533</c:v>
                </c:pt>
                <c:pt idx="2035">
                  <c:v>124.02595784635831</c:v>
                </c:pt>
                <c:pt idx="2036">
                  <c:v>124.497480403369</c:v>
                </c:pt>
                <c:pt idx="2037">
                  <c:v>128.76390807999528</c:v>
                </c:pt>
                <c:pt idx="2038">
                  <c:v>122.15943332884031</c:v>
                </c:pt>
                <c:pt idx="2039">
                  <c:v>118.31259870500661</c:v>
                </c:pt>
                <c:pt idx="2040">
                  <c:v>106.46979313858253</c:v>
                </c:pt>
                <c:pt idx="2041">
                  <c:v>106.21858115672704</c:v>
                </c:pt>
                <c:pt idx="2042">
                  <c:v>113.12327623005122</c:v>
                </c:pt>
                <c:pt idx="2043">
                  <c:v>113.11309361205684</c:v>
                </c:pt>
                <c:pt idx="2044">
                  <c:v>114.07634703170429</c:v>
                </c:pt>
                <c:pt idx="2045">
                  <c:v>110.66427484035316</c:v>
                </c:pt>
                <c:pt idx="2046">
                  <c:v>105.63891768531296</c:v>
                </c:pt>
                <c:pt idx="2047">
                  <c:v>109.87346019066314</c:v>
                </c:pt>
                <c:pt idx="2048">
                  <c:v>113.92951928500695</c:v>
                </c:pt>
                <c:pt idx="2049">
                  <c:v>112.864164635142</c:v>
                </c:pt>
                <c:pt idx="2050">
                  <c:v>115.12943141126445</c:v>
                </c:pt>
                <c:pt idx="2051">
                  <c:v>111.35070372837146</c:v>
                </c:pt>
                <c:pt idx="2052">
                  <c:v>110.07286676060788</c:v>
                </c:pt>
                <c:pt idx="2053">
                  <c:v>115.27194006097412</c:v>
                </c:pt>
                <c:pt idx="2054">
                  <c:v>115.02125638869782</c:v>
                </c:pt>
                <c:pt idx="2055">
                  <c:v>114.9058002030596</c:v>
                </c:pt>
                <c:pt idx="2056">
                  <c:v>114.84824054489054</c:v>
                </c:pt>
                <c:pt idx="2057">
                  <c:v>117.0189346796501</c:v>
                </c:pt>
                <c:pt idx="2058">
                  <c:v>115.22086455573579</c:v>
                </c:pt>
                <c:pt idx="2059">
                  <c:v>106.22482540631638</c:v>
                </c:pt>
                <c:pt idx="2060">
                  <c:v>106.13956523162268</c:v>
                </c:pt>
                <c:pt idx="2061">
                  <c:v>106.04894649231809</c:v>
                </c:pt>
                <c:pt idx="2062">
                  <c:v>106.22135909963029</c:v>
                </c:pt>
                <c:pt idx="2063">
                  <c:v>106.22135909963029</c:v>
                </c:pt>
                <c:pt idx="2064">
                  <c:v>106.14534605602331</c:v>
                </c:pt>
                <c:pt idx="2065">
                  <c:v>143.08794764408944</c:v>
                </c:pt>
                <c:pt idx="2066">
                  <c:v>143.08794764408944</c:v>
                </c:pt>
                <c:pt idx="2067">
                  <c:v>157.97728119595914</c:v>
                </c:pt>
                <c:pt idx="2068">
                  <c:v>157.5822948200732</c:v>
                </c:pt>
                <c:pt idx="2069">
                  <c:v>159.16540233177363</c:v>
                </c:pt>
                <c:pt idx="2070">
                  <c:v>142.93394546857823</c:v>
                </c:pt>
                <c:pt idx="2071">
                  <c:v>141.99625962963378</c:v>
                </c:pt>
                <c:pt idx="2072">
                  <c:v>159.33762972704605</c:v>
                </c:pt>
                <c:pt idx="2073">
                  <c:v>159.85845627795331</c:v>
                </c:pt>
                <c:pt idx="2074">
                  <c:v>150.95630133163303</c:v>
                </c:pt>
                <c:pt idx="2075">
                  <c:v>154.56049780106628</c:v>
                </c:pt>
                <c:pt idx="2076">
                  <c:v>165.09890669010503</c:v>
                </c:pt>
                <c:pt idx="2077">
                  <c:v>156.10949836691114</c:v>
                </c:pt>
                <c:pt idx="2078">
                  <c:v>156.61588102189805</c:v>
                </c:pt>
                <c:pt idx="2079">
                  <c:v>165.63534160283183</c:v>
                </c:pt>
                <c:pt idx="2080">
                  <c:v>170.72967144706496</c:v>
                </c:pt>
                <c:pt idx="2081">
                  <c:v>212.1498212234348</c:v>
                </c:pt>
                <c:pt idx="2082">
                  <c:v>212.0125104936734</c:v>
                </c:pt>
                <c:pt idx="2083">
                  <c:v>229.29798446676605</c:v>
                </c:pt>
                <c:pt idx="2084">
                  <c:v>231.76186502128792</c:v>
                </c:pt>
                <c:pt idx="2085">
                  <c:v>224.11107237906171</c:v>
                </c:pt>
                <c:pt idx="2086">
                  <c:v>233.20271419766064</c:v>
                </c:pt>
                <c:pt idx="2087">
                  <c:v>254.79391731635587</c:v>
                </c:pt>
                <c:pt idx="2088">
                  <c:v>255.7921440420123</c:v>
                </c:pt>
                <c:pt idx="2089">
                  <c:v>256.08095697066676</c:v>
                </c:pt>
                <c:pt idx="2090">
                  <c:v>271.10492242287125</c:v>
                </c:pt>
                <c:pt idx="2091">
                  <c:v>270.55681162144731</c:v>
                </c:pt>
                <c:pt idx="2092">
                  <c:v>272.96730338610968</c:v>
                </c:pt>
                <c:pt idx="2093">
                  <c:v>272.84031563843678</c:v>
                </c:pt>
                <c:pt idx="2094">
                  <c:v>256.33664032664905</c:v>
                </c:pt>
                <c:pt idx="2095">
                  <c:v>253.07943150753883</c:v>
                </c:pt>
                <c:pt idx="2096">
                  <c:v>251.70034520311964</c:v>
                </c:pt>
                <c:pt idx="2097">
                  <c:v>228.17341362027952</c:v>
                </c:pt>
                <c:pt idx="2098">
                  <c:v>229.03771193524858</c:v>
                </c:pt>
                <c:pt idx="2099">
                  <c:v>229.25173220622091</c:v>
                </c:pt>
                <c:pt idx="2100">
                  <c:v>255.26234674674743</c:v>
                </c:pt>
                <c:pt idx="2101">
                  <c:v>255.19984960772882</c:v>
                </c:pt>
                <c:pt idx="2102">
                  <c:v>249.17089295840847</c:v>
                </c:pt>
                <c:pt idx="2103">
                  <c:v>249.32015430538522</c:v>
                </c:pt>
                <c:pt idx="2104">
                  <c:v>257.20251282193556</c:v>
                </c:pt>
                <c:pt idx="2105">
                  <c:v>276.56477307742199</c:v>
                </c:pt>
                <c:pt idx="2106">
                  <c:v>276.5253342521961</c:v>
                </c:pt>
                <c:pt idx="2107">
                  <c:v>295.87356371186183</c:v>
                </c:pt>
                <c:pt idx="2108">
                  <c:v>297.96285024667969</c:v>
                </c:pt>
                <c:pt idx="2109">
                  <c:v>296.85094303703465</c:v>
                </c:pt>
                <c:pt idx="2110">
                  <c:v>296.65998977011651</c:v>
                </c:pt>
                <c:pt idx="2111">
                  <c:v>261.50527329001358</c:v>
                </c:pt>
                <c:pt idx="2112">
                  <c:v>261.57196729243105</c:v>
                </c:pt>
                <c:pt idx="2113">
                  <c:v>261.58149347661288</c:v>
                </c:pt>
                <c:pt idx="2114">
                  <c:v>271.15515291679316</c:v>
                </c:pt>
                <c:pt idx="2115">
                  <c:v>234.10181561459419</c:v>
                </c:pt>
                <c:pt idx="2116">
                  <c:v>234.01708408074666</c:v>
                </c:pt>
                <c:pt idx="2117">
                  <c:v>242.1434310342014</c:v>
                </c:pt>
                <c:pt idx="2118">
                  <c:v>244.581195019159</c:v>
                </c:pt>
                <c:pt idx="2119">
                  <c:v>226.57881527196903</c:v>
                </c:pt>
                <c:pt idx="2120">
                  <c:v>225.69417721072389</c:v>
                </c:pt>
                <c:pt idx="2121">
                  <c:v>224.50371142601563</c:v>
                </c:pt>
                <c:pt idx="2122">
                  <c:v>224.7013547878139</c:v>
                </c:pt>
                <c:pt idx="2123">
                  <c:v>224.43532796093814</c:v>
                </c:pt>
                <c:pt idx="2124">
                  <c:v>231.21774583221568</c:v>
                </c:pt>
                <c:pt idx="2125">
                  <c:v>248.39461175348717</c:v>
                </c:pt>
                <c:pt idx="2126">
                  <c:v>248.13036683336327</c:v>
                </c:pt>
                <c:pt idx="2127">
                  <c:v>246.36482828771628</c:v>
                </c:pt>
                <c:pt idx="2128">
                  <c:v>228.53391062957192</c:v>
                </c:pt>
                <c:pt idx="2129">
                  <c:v>228.28427161650575</c:v>
                </c:pt>
                <c:pt idx="2130">
                  <c:v>240.54035587286884</c:v>
                </c:pt>
                <c:pt idx="2131">
                  <c:v>240.24811180021899</c:v>
                </c:pt>
                <c:pt idx="2132">
                  <c:v>254.9376696598512</c:v>
                </c:pt>
                <c:pt idx="2133">
                  <c:v>254.08465352979877</c:v>
                </c:pt>
                <c:pt idx="2134">
                  <c:v>278.53700353021998</c:v>
                </c:pt>
                <c:pt idx="2135">
                  <c:v>278.29948392030713</c:v>
                </c:pt>
                <c:pt idx="2136">
                  <c:v>288.04858403207277</c:v>
                </c:pt>
                <c:pt idx="2137">
                  <c:v>295.76705197875418</c:v>
                </c:pt>
                <c:pt idx="2138">
                  <c:v>302.56911360561753</c:v>
                </c:pt>
                <c:pt idx="2139">
                  <c:v>303.7484451335867</c:v>
                </c:pt>
                <c:pt idx="2140">
                  <c:v>291.6160139845166</c:v>
                </c:pt>
                <c:pt idx="2141">
                  <c:v>288.24531285547755</c:v>
                </c:pt>
                <c:pt idx="2142">
                  <c:v>297.11391132337343</c:v>
                </c:pt>
                <c:pt idx="2143">
                  <c:v>298.77616575832508</c:v>
                </c:pt>
                <c:pt idx="2144">
                  <c:v>304.79737282186113</c:v>
                </c:pt>
                <c:pt idx="2145">
                  <c:v>323.31253669412462</c:v>
                </c:pt>
                <c:pt idx="2146">
                  <c:v>323.75266608499197</c:v>
                </c:pt>
                <c:pt idx="2147">
                  <c:v>323.70630493627323</c:v>
                </c:pt>
                <c:pt idx="2148">
                  <c:v>330.71613472012911</c:v>
                </c:pt>
                <c:pt idx="2149">
                  <c:v>405.00847510460716</c:v>
                </c:pt>
                <c:pt idx="2150">
                  <c:v>405.00847510460716</c:v>
                </c:pt>
                <c:pt idx="2151">
                  <c:v>428.77863918370463</c:v>
                </c:pt>
                <c:pt idx="2152">
                  <c:v>422.95953196414547</c:v>
                </c:pt>
                <c:pt idx="2153">
                  <c:v>419.20159539371247</c:v>
                </c:pt>
                <c:pt idx="2154">
                  <c:v>404.48388771696017</c:v>
                </c:pt>
                <c:pt idx="2155">
                  <c:v>413.85856328513302</c:v>
                </c:pt>
                <c:pt idx="2156">
                  <c:v>422.06393074011936</c:v>
                </c:pt>
                <c:pt idx="2157">
                  <c:v>477.08723561004336</c:v>
                </c:pt>
                <c:pt idx="2158">
                  <c:v>476.80322624199778</c:v>
                </c:pt>
                <c:pt idx="2159">
                  <c:v>482.84937019386547</c:v>
                </c:pt>
                <c:pt idx="2160">
                  <c:v>432.83884551034589</c:v>
                </c:pt>
                <c:pt idx="2161">
                  <c:v>431.96856095044217</c:v>
                </c:pt>
                <c:pt idx="2162">
                  <c:v>437.41521016623147</c:v>
                </c:pt>
                <c:pt idx="2163">
                  <c:v>438.41883168189997</c:v>
                </c:pt>
                <c:pt idx="2164">
                  <c:v>434.16753592940421</c:v>
                </c:pt>
                <c:pt idx="2165">
                  <c:v>427.45571579299718</c:v>
                </c:pt>
                <c:pt idx="2166">
                  <c:v>477.69443200089529</c:v>
                </c:pt>
                <c:pt idx="2167">
                  <c:v>477.74845853409471</c:v>
                </c:pt>
                <c:pt idx="2168">
                  <c:v>520.13603902184445</c:v>
                </c:pt>
                <c:pt idx="2169">
                  <c:v>523.03835954328429</c:v>
                </c:pt>
                <c:pt idx="2170">
                  <c:v>524.10820030709056</c:v>
                </c:pt>
                <c:pt idx="2171">
                  <c:v>527.35952921472563</c:v>
                </c:pt>
                <c:pt idx="2172">
                  <c:v>556.19264717646058</c:v>
                </c:pt>
                <c:pt idx="2173">
                  <c:v>556.37494490663391</c:v>
                </c:pt>
                <c:pt idx="2174">
                  <c:v>524.305521316708</c:v>
                </c:pt>
                <c:pt idx="2175">
                  <c:v>527.43564039348871</c:v>
                </c:pt>
                <c:pt idx="2176">
                  <c:v>530.51744383928792</c:v>
                </c:pt>
                <c:pt idx="2177">
                  <c:v>513.35862140767767</c:v>
                </c:pt>
                <c:pt idx="2178">
                  <c:v>476.33645744694269</c:v>
                </c:pt>
                <c:pt idx="2179">
                  <c:v>474.97550157639984</c:v>
                </c:pt>
                <c:pt idx="2180">
                  <c:v>474.82424647772535</c:v>
                </c:pt>
                <c:pt idx="2181">
                  <c:v>523.02339471565347</c:v>
                </c:pt>
                <c:pt idx="2182">
                  <c:v>523.27748725322954</c:v>
                </c:pt>
                <c:pt idx="2183">
                  <c:v>530.8523620059849</c:v>
                </c:pt>
                <c:pt idx="2184">
                  <c:v>540.73195150909555</c:v>
                </c:pt>
                <c:pt idx="2185">
                  <c:v>540.01882384330406</c:v>
                </c:pt>
                <c:pt idx="2186">
                  <c:v>541.78523893305157</c:v>
                </c:pt>
                <c:pt idx="2187">
                  <c:v>547.67062264854826</c:v>
                </c:pt>
                <c:pt idx="2188">
                  <c:v>558.23610783306515</c:v>
                </c:pt>
                <c:pt idx="2189">
                  <c:v>568.31645039773389</c:v>
                </c:pt>
                <c:pt idx="2190">
                  <c:v>578.54617881664808</c:v>
                </c:pt>
                <c:pt idx="2191">
                  <c:v>559.20298668886028</c:v>
                </c:pt>
                <c:pt idx="2192">
                  <c:v>575.2930749571467</c:v>
                </c:pt>
                <c:pt idx="2193">
                  <c:v>654.49429861723775</c:v>
                </c:pt>
                <c:pt idx="2194">
                  <c:v>657.33752643938703</c:v>
                </c:pt>
                <c:pt idx="2195">
                  <c:v>657.6624434906978</c:v>
                </c:pt>
                <c:pt idx="2196">
                  <c:v>744.91700228086154</c:v>
                </c:pt>
                <c:pt idx="2197">
                  <c:v>745.8121438597276</c:v>
                </c:pt>
                <c:pt idx="2198">
                  <c:v>660.33062869175126</c:v>
                </c:pt>
                <c:pt idx="2199">
                  <c:v>665.98276989525516</c:v>
                </c:pt>
                <c:pt idx="2200">
                  <c:v>665.88596409923025</c:v>
                </c:pt>
                <c:pt idx="2201">
                  <c:v>707.18028111076671</c:v>
                </c:pt>
                <c:pt idx="2202">
                  <c:v>715.98641585810913</c:v>
                </c:pt>
                <c:pt idx="2203">
                  <c:v>784.0937254049411</c:v>
                </c:pt>
                <c:pt idx="2204">
                  <c:v>790.27788907755325</c:v>
                </c:pt>
                <c:pt idx="2205">
                  <c:v>790.27788907755325</c:v>
                </c:pt>
                <c:pt idx="2206">
                  <c:v>790.25229383199019</c:v>
                </c:pt>
                <c:pt idx="2207">
                  <c:v>685.54316186958897</c:v>
                </c:pt>
                <c:pt idx="2208">
                  <c:v>688.10492772511134</c:v>
                </c:pt>
                <c:pt idx="2209">
                  <c:v>688.10492772511134</c:v>
                </c:pt>
                <c:pt idx="2210">
                  <c:v>695.14713430891254</c:v>
                </c:pt>
                <c:pt idx="2211">
                  <c:v>703.93215000522241</c:v>
                </c:pt>
                <c:pt idx="2212">
                  <c:v>682.84066933697682</c:v>
                </c:pt>
                <c:pt idx="2213">
                  <c:v>682.85495580216093</c:v>
                </c:pt>
                <c:pt idx="2214">
                  <c:v>713.23810203381879</c:v>
                </c:pt>
                <c:pt idx="2215">
                  <c:v>713.44620368109292</c:v>
                </c:pt>
                <c:pt idx="2216">
                  <c:v>712.47710527189224</c:v>
                </c:pt>
                <c:pt idx="2217">
                  <c:v>737.03271113969117</c:v>
                </c:pt>
                <c:pt idx="2218">
                  <c:v>738.77443371829781</c:v>
                </c:pt>
                <c:pt idx="2219">
                  <c:v>817.51221670218854</c:v>
                </c:pt>
                <c:pt idx="2220">
                  <c:v>815.96164133964567</c:v>
                </c:pt>
                <c:pt idx="2221">
                  <c:v>830.91314021199912</c:v>
                </c:pt>
                <c:pt idx="2222">
                  <c:v>856.33287679138698</c:v>
                </c:pt>
                <c:pt idx="2223">
                  <c:v>812.49673590644579</c:v>
                </c:pt>
                <c:pt idx="2224">
                  <c:v>790.79276558878416</c:v>
                </c:pt>
                <c:pt idx="2225">
                  <c:v>795.66927121613855</c:v>
                </c:pt>
                <c:pt idx="2226">
                  <c:v>793.14070562257973</c:v>
                </c:pt>
                <c:pt idx="2227">
                  <c:v>845.25232104365944</c:v>
                </c:pt>
                <c:pt idx="2228">
                  <c:v>847.25420805660906</c:v>
                </c:pt>
                <c:pt idx="2229">
                  <c:v>831.13636846800603</c:v>
                </c:pt>
                <c:pt idx="2230">
                  <c:v>836.45579397733979</c:v>
                </c:pt>
                <c:pt idx="2231">
                  <c:v>777.3154611153318</c:v>
                </c:pt>
                <c:pt idx="2232">
                  <c:v>777.0780071476737</c:v>
                </c:pt>
                <c:pt idx="2233">
                  <c:v>770.23577662644868</c:v>
                </c:pt>
                <c:pt idx="2234">
                  <c:v>729.84198618802827</c:v>
                </c:pt>
                <c:pt idx="2235">
                  <c:v>729.73884005783077</c:v>
                </c:pt>
                <c:pt idx="2236">
                  <c:v>765.8844058019921</c:v>
                </c:pt>
                <c:pt idx="2237">
                  <c:v>767.43373132659462</c:v>
                </c:pt>
                <c:pt idx="2238">
                  <c:v>804.26572938751872</c:v>
                </c:pt>
                <c:pt idx="2239">
                  <c:v>806.88213271608515</c:v>
                </c:pt>
                <c:pt idx="2240">
                  <c:v>802.93841847037913</c:v>
                </c:pt>
                <c:pt idx="2241">
                  <c:v>785.3635187059042</c:v>
                </c:pt>
                <c:pt idx="2242">
                  <c:v>780.18552742690883</c:v>
                </c:pt>
                <c:pt idx="2243">
                  <c:v>807.53290384221816</c:v>
                </c:pt>
                <c:pt idx="2244">
                  <c:v>814.34507205887587</c:v>
                </c:pt>
                <c:pt idx="2245">
                  <c:v>877.297472130654</c:v>
                </c:pt>
                <c:pt idx="2246">
                  <c:v>877.297472130654</c:v>
                </c:pt>
                <c:pt idx="2247">
                  <c:v>878.2362822910618</c:v>
                </c:pt>
                <c:pt idx="2248">
                  <c:v>841.98016192945875</c:v>
                </c:pt>
                <c:pt idx="2249">
                  <c:v>834.94068559134462</c:v>
                </c:pt>
                <c:pt idx="2250">
                  <c:v>842.41955719194311</c:v>
                </c:pt>
                <c:pt idx="2251">
                  <c:v>844.63582213422967</c:v>
                </c:pt>
                <c:pt idx="2252">
                  <c:v>846.71010385754073</c:v>
                </c:pt>
                <c:pt idx="2253">
                  <c:v>799.14140401754798</c:v>
                </c:pt>
                <c:pt idx="2254">
                  <c:v>799.40572014406405</c:v>
                </c:pt>
                <c:pt idx="2255">
                  <c:v>826.62835749734063</c:v>
                </c:pt>
                <c:pt idx="2256">
                  <c:v>815.01792299018393</c:v>
                </c:pt>
                <c:pt idx="2257">
                  <c:v>815.77082365955084</c:v>
                </c:pt>
                <c:pt idx="2258">
                  <c:v>842.72801679860686</c:v>
                </c:pt>
                <c:pt idx="2259">
                  <c:v>876.41967324581617</c:v>
                </c:pt>
                <c:pt idx="2260">
                  <c:v>876.29838807203339</c:v>
                </c:pt>
                <c:pt idx="2261">
                  <c:v>968.29626617306963</c:v>
                </c:pt>
                <c:pt idx="2262">
                  <c:v>969.19788279296256</c:v>
                </c:pt>
                <c:pt idx="2263">
                  <c:v>958.18848089910693</c:v>
                </c:pt>
                <c:pt idx="2264">
                  <c:v>961.41885782690088</c:v>
                </c:pt>
                <c:pt idx="2265">
                  <c:v>969.60925894022785</c:v>
                </c:pt>
                <c:pt idx="2266">
                  <c:v>969.60925894022785</c:v>
                </c:pt>
                <c:pt idx="2267">
                  <c:v>967.57392602543962</c:v>
                </c:pt>
                <c:pt idx="2268">
                  <c:v>968.79071910325285</c:v>
                </c:pt>
                <c:pt idx="2269">
                  <c:v>886.99432731408797</c:v>
                </c:pt>
                <c:pt idx="2270">
                  <c:v>891.53120422692564</c:v>
                </c:pt>
                <c:pt idx="2271">
                  <c:v>885.51349944469064</c:v>
                </c:pt>
                <c:pt idx="2272">
                  <c:v>873.46810745321318</c:v>
                </c:pt>
                <c:pt idx="2273">
                  <c:v>860.97875732293278</c:v>
                </c:pt>
                <c:pt idx="2274">
                  <c:v>795.21443245555429</c:v>
                </c:pt>
                <c:pt idx="2275">
                  <c:v>793.45273909437435</c:v>
                </c:pt>
                <c:pt idx="2276">
                  <c:v>765.487027355387</c:v>
                </c:pt>
                <c:pt idx="2277">
                  <c:v>747.25806420012907</c:v>
                </c:pt>
                <c:pt idx="2278">
                  <c:v>764.68894883789517</c:v>
                </c:pt>
                <c:pt idx="2279">
                  <c:v>718.93954882241974</c:v>
                </c:pt>
                <c:pt idx="2280">
                  <c:v>724.857220739882</c:v>
                </c:pt>
                <c:pt idx="2281">
                  <c:v>728.62617165564927</c:v>
                </c:pt>
                <c:pt idx="2282">
                  <c:v>775.02534060262587</c:v>
                </c:pt>
                <c:pt idx="2283">
                  <c:v>768.4475002228786</c:v>
                </c:pt>
                <c:pt idx="2284">
                  <c:v>798.41624925191775</c:v>
                </c:pt>
                <c:pt idx="2285">
                  <c:v>800.04502799903491</c:v>
                </c:pt>
                <c:pt idx="2286">
                  <c:v>763.91895305958519</c:v>
                </c:pt>
                <c:pt idx="2287">
                  <c:v>761.41546477953568</c:v>
                </c:pt>
                <c:pt idx="2288">
                  <c:v>764.19473364133592</c:v>
                </c:pt>
                <c:pt idx="2289">
                  <c:v>755.25956051993489</c:v>
                </c:pt>
                <c:pt idx="2290">
                  <c:v>752.71623792114883</c:v>
                </c:pt>
                <c:pt idx="2291">
                  <c:v>757.05309527228189</c:v>
                </c:pt>
                <c:pt idx="2292">
                  <c:v>743.19209263244534</c:v>
                </c:pt>
                <c:pt idx="2293">
                  <c:v>749.39987534155398</c:v>
                </c:pt>
                <c:pt idx="2294">
                  <c:v>786.13895936236838</c:v>
                </c:pt>
                <c:pt idx="2295">
                  <c:v>787.85043470640619</c:v>
                </c:pt>
                <c:pt idx="2296">
                  <c:v>789.76377612054728</c:v>
                </c:pt>
                <c:pt idx="2297">
                  <c:v>788.94498818571685</c:v>
                </c:pt>
                <c:pt idx="2298">
                  <c:v>790.5344189330815</c:v>
                </c:pt>
                <c:pt idx="2299">
                  <c:v>788.36808376247484</c:v>
                </c:pt>
                <c:pt idx="2300">
                  <c:v>788.91085596561732</c:v>
                </c:pt>
                <c:pt idx="2301">
                  <c:v>799.96721078179792</c:v>
                </c:pt>
                <c:pt idx="2302">
                  <c:v>890.39031063810387</c:v>
                </c:pt>
                <c:pt idx="2303">
                  <c:v>890.09979217859586</c:v>
                </c:pt>
                <c:pt idx="2304">
                  <c:v>890.40418146869331</c:v>
                </c:pt>
                <c:pt idx="2305">
                  <c:v>926.2881139714832</c:v>
                </c:pt>
                <c:pt idx="2306">
                  <c:v>920.25384083942606</c:v>
                </c:pt>
                <c:pt idx="2307">
                  <c:v>919.24122775816772</c:v>
                </c:pt>
                <c:pt idx="2308">
                  <c:v>885.76418050088569</c:v>
                </c:pt>
                <c:pt idx="2309">
                  <c:v>885.99158992865773</c:v>
                </c:pt>
                <c:pt idx="2310">
                  <c:v>928.54412343004526</c:v>
                </c:pt>
                <c:pt idx="2311">
                  <c:v>926.73455838640587</c:v>
                </c:pt>
                <c:pt idx="2312">
                  <c:v>928.71750929356142</c:v>
                </c:pt>
                <c:pt idx="2313">
                  <c:v>931.58910878856432</c:v>
                </c:pt>
                <c:pt idx="2314">
                  <c:v>967.23834988054762</c:v>
                </c:pt>
                <c:pt idx="2315">
                  <c:v>968.52543128846685</c:v>
                </c:pt>
                <c:pt idx="2316">
                  <c:v>990.56288712095886</c:v>
                </c:pt>
                <c:pt idx="2317">
                  <c:v>1016.2482438336606</c:v>
                </c:pt>
                <c:pt idx="2318">
                  <c:v>1017.4170897439473</c:v>
                </c:pt>
                <c:pt idx="2319">
                  <c:v>1018.8556509939189</c:v>
                </c:pt>
                <c:pt idx="2320">
                  <c:v>1014.2433382435064</c:v>
                </c:pt>
                <c:pt idx="2321">
                  <c:v>975.99645201970282</c:v>
                </c:pt>
                <c:pt idx="2322">
                  <c:v>975.95217609960889</c:v>
                </c:pt>
                <c:pt idx="2323">
                  <c:v>1023.2533853835639</c:v>
                </c:pt>
                <c:pt idx="2324">
                  <c:v>1023.6546799684554</c:v>
                </c:pt>
                <c:pt idx="2325">
                  <c:v>1011.6680981921879</c:v>
                </c:pt>
                <c:pt idx="2326">
                  <c:v>1007.0949313429255</c:v>
                </c:pt>
                <c:pt idx="2327">
                  <c:v>992.46246546267162</c:v>
                </c:pt>
                <c:pt idx="2328">
                  <c:v>1015.0077410297362</c:v>
                </c:pt>
                <c:pt idx="2329">
                  <c:v>1014.7835288270218</c:v>
                </c:pt>
                <c:pt idx="2330">
                  <c:v>1004.5306763317238</c:v>
                </c:pt>
                <c:pt idx="2331">
                  <c:v>937.48394523191428</c:v>
                </c:pt>
                <c:pt idx="2332">
                  <c:v>937.48394523191428</c:v>
                </c:pt>
                <c:pt idx="2333">
                  <c:v>932.82283764465808</c:v>
                </c:pt>
                <c:pt idx="2334">
                  <c:v>935.15131381707397</c:v>
                </c:pt>
                <c:pt idx="2335">
                  <c:v>937.54069670351157</c:v>
                </c:pt>
                <c:pt idx="2336">
                  <c:v>943.0595494242549</c:v>
                </c:pt>
                <c:pt idx="2337">
                  <c:v>925.25143804768459</c:v>
                </c:pt>
                <c:pt idx="2338">
                  <c:v>923.25732986663218</c:v>
                </c:pt>
                <c:pt idx="2339">
                  <c:v>882.93547409667951</c:v>
                </c:pt>
                <c:pt idx="2340">
                  <c:v>882.97385266981701</c:v>
                </c:pt>
                <c:pt idx="2341">
                  <c:v>883.2905550625203</c:v>
                </c:pt>
                <c:pt idx="2342">
                  <c:v>858.43908748512729</c:v>
                </c:pt>
                <c:pt idx="2343">
                  <c:v>857.94624527496751</c:v>
                </c:pt>
                <c:pt idx="2344">
                  <c:v>879.15890020435961</c:v>
                </c:pt>
                <c:pt idx="2345">
                  <c:v>878.67165223200345</c:v>
                </c:pt>
                <c:pt idx="2346">
                  <c:v>878.88932661680656</c:v>
                </c:pt>
                <c:pt idx="2347">
                  <c:v>862.36368519034829</c:v>
                </c:pt>
                <c:pt idx="2348">
                  <c:v>864.60393080900496</c:v>
                </c:pt>
                <c:pt idx="2349">
                  <c:v>883.13044697976557</c:v>
                </c:pt>
                <c:pt idx="2350">
                  <c:v>882.19427618872419</c:v>
                </c:pt>
                <c:pt idx="2351">
                  <c:v>875.75960901668816</c:v>
                </c:pt>
                <c:pt idx="2352">
                  <c:v>852.76748588560963</c:v>
                </c:pt>
                <c:pt idx="2353">
                  <c:v>852.55814215545945</c:v>
                </c:pt>
                <c:pt idx="2354">
                  <c:v>856.14635363127616</c:v>
                </c:pt>
                <c:pt idx="2355">
                  <c:v>867.5376441924509</c:v>
                </c:pt>
                <c:pt idx="2356">
                  <c:v>867.54744682024534</c:v>
                </c:pt>
                <c:pt idx="2357">
                  <c:v>884.83490076694943</c:v>
                </c:pt>
                <c:pt idx="2358">
                  <c:v>884.20884063824349</c:v>
                </c:pt>
                <c:pt idx="2359">
                  <c:v>888.25665077335577</c:v>
                </c:pt>
                <c:pt idx="2360">
                  <c:v>889.61779896437042</c:v>
                </c:pt>
                <c:pt idx="2361">
                  <c:v>889.59088733342094</c:v>
                </c:pt>
                <c:pt idx="2362">
                  <c:v>890.15158691057911</c:v>
                </c:pt>
                <c:pt idx="2363">
                  <c:v>869.68276271971069</c:v>
                </c:pt>
                <c:pt idx="2364">
                  <c:v>870.56987382497653</c:v>
                </c:pt>
                <c:pt idx="2365">
                  <c:v>870.44626339645572</c:v>
                </c:pt>
                <c:pt idx="2366">
                  <c:v>887.39695476627048</c:v>
                </c:pt>
                <c:pt idx="2367">
                  <c:v>887.01295807735846</c:v>
                </c:pt>
                <c:pt idx="2368">
                  <c:v>886.47610978120474</c:v>
                </c:pt>
                <c:pt idx="2369">
                  <c:v>872.43269224456174</c:v>
                </c:pt>
                <c:pt idx="2370">
                  <c:v>874.60210805297709</c:v>
                </c:pt>
                <c:pt idx="2371">
                  <c:v>892.71341708173679</c:v>
                </c:pt>
                <c:pt idx="2372">
                  <c:v>893.18193071463224</c:v>
                </c:pt>
                <c:pt idx="2373">
                  <c:v>893.38059631619637</c:v>
                </c:pt>
                <c:pt idx="2374">
                  <c:v>906.35411481320807</c:v>
                </c:pt>
                <c:pt idx="2375">
                  <c:v>909.67823776171213</c:v>
                </c:pt>
                <c:pt idx="2376">
                  <c:v>914.15765604774651</c:v>
                </c:pt>
                <c:pt idx="2377">
                  <c:v>922.05939210889892</c:v>
                </c:pt>
                <c:pt idx="2378">
                  <c:v>893.44403715903184</c:v>
                </c:pt>
                <c:pt idx="2379">
                  <c:v>893.44057379891694</c:v>
                </c:pt>
                <c:pt idx="2380">
                  <c:v>892.92008393089566</c:v>
                </c:pt>
                <c:pt idx="2381">
                  <c:v>897.34032328125647</c:v>
                </c:pt>
                <c:pt idx="2382">
                  <c:v>885.22923787861339</c:v>
                </c:pt>
                <c:pt idx="2383">
                  <c:v>886.13065737611987</c:v>
                </c:pt>
                <c:pt idx="2384">
                  <c:v>900.88712967540903</c:v>
                </c:pt>
                <c:pt idx="2385">
                  <c:v>899.04174390098547</c:v>
                </c:pt>
                <c:pt idx="2386">
                  <c:v>898.89279918795137</c:v>
                </c:pt>
                <c:pt idx="2387">
                  <c:v>903.7511849929856</c:v>
                </c:pt>
                <c:pt idx="2388">
                  <c:v>901.79006446188771</c:v>
                </c:pt>
                <c:pt idx="2389">
                  <c:v>927.81532892736311</c:v>
                </c:pt>
                <c:pt idx="2390">
                  <c:v>928.28822629886031</c:v>
                </c:pt>
                <c:pt idx="2391">
                  <c:v>928.28822629886031</c:v>
                </c:pt>
                <c:pt idx="2392">
                  <c:v>946.50921212887363</c:v>
                </c:pt>
                <c:pt idx="2393">
                  <c:v>946.65556288541723</c:v>
                </c:pt>
                <c:pt idx="2394">
                  <c:v>938.78401657192842</c:v>
                </c:pt>
                <c:pt idx="2395">
                  <c:v>945.4812285222057</c:v>
                </c:pt>
                <c:pt idx="2396">
                  <c:v>942.42915408764793</c:v>
                </c:pt>
                <c:pt idx="2397">
                  <c:v>950.0026414359927</c:v>
                </c:pt>
                <c:pt idx="2398">
                  <c:v>929.40480187755907</c:v>
                </c:pt>
                <c:pt idx="2399">
                  <c:v>929.51615016014853</c:v>
                </c:pt>
                <c:pt idx="2400">
                  <c:v>918.57630854390038</c:v>
                </c:pt>
                <c:pt idx="2401">
                  <c:v>922.9033993866841</c:v>
                </c:pt>
                <c:pt idx="2402">
                  <c:v>949.08004551120928</c:v>
                </c:pt>
                <c:pt idx="2403">
                  <c:v>949.08004551120928</c:v>
                </c:pt>
                <c:pt idx="2404">
                  <c:v>948.16553616957458</c:v>
                </c:pt>
                <c:pt idx="2405">
                  <c:v>948.02647090276832</c:v>
                </c:pt>
                <c:pt idx="2406">
                  <c:v>963.38849915860658</c:v>
                </c:pt>
                <c:pt idx="2407">
                  <c:v>962.43222245445099</c:v>
                </c:pt>
                <c:pt idx="2408">
                  <c:v>985.68133337850281</c:v>
                </c:pt>
                <c:pt idx="2409">
                  <c:v>983.9966079705963</c:v>
                </c:pt>
                <c:pt idx="2410">
                  <c:v>984.02555625586785</c:v>
                </c:pt>
                <c:pt idx="2411">
                  <c:v>987.6218942829704</c:v>
                </c:pt>
                <c:pt idx="2412">
                  <c:v>957.19901642584057</c:v>
                </c:pt>
                <c:pt idx="2413">
                  <c:v>957.53064967036846</c:v>
                </c:pt>
                <c:pt idx="2414">
                  <c:v>950.9744946805007</c:v>
                </c:pt>
                <c:pt idx="2415">
                  <c:v>953.50581098171858</c:v>
                </c:pt>
                <c:pt idx="2416">
                  <c:v>948.98727454516347</c:v>
                </c:pt>
                <c:pt idx="2417">
                  <c:v>932.50823075367737</c:v>
                </c:pt>
                <c:pt idx="2418">
                  <c:v>933.92520911726035</c:v>
                </c:pt>
                <c:pt idx="2419">
                  <c:v>940.93006499670446</c:v>
                </c:pt>
                <c:pt idx="2420">
                  <c:v>969.77379820613555</c:v>
                </c:pt>
                <c:pt idx="2421">
                  <c:v>970.10337950512917</c:v>
                </c:pt>
                <c:pt idx="2422">
                  <c:v>968.67929083165075</c:v>
                </c:pt>
                <c:pt idx="2423">
                  <c:v>971.13141949267686</c:v>
                </c:pt>
                <c:pt idx="2424">
                  <c:v>965.29901301452674</c:v>
                </c:pt>
                <c:pt idx="2425">
                  <c:v>957.41877478908327</c:v>
                </c:pt>
                <c:pt idx="2426">
                  <c:v>938.92203324612774</c:v>
                </c:pt>
                <c:pt idx="2427">
                  <c:v>938.13680008419692</c:v>
                </c:pt>
                <c:pt idx="2428">
                  <c:v>938.13680008419692</c:v>
                </c:pt>
                <c:pt idx="2429">
                  <c:v>935.99056720395788</c:v>
                </c:pt>
                <c:pt idx="2430">
                  <c:v>938.16803481192301</c:v>
                </c:pt>
                <c:pt idx="2431">
                  <c:v>934.64303395366164</c:v>
                </c:pt>
                <c:pt idx="2432">
                  <c:v>916.68519379567306</c:v>
                </c:pt>
                <c:pt idx="2433">
                  <c:v>916.07399092518244</c:v>
                </c:pt>
                <c:pt idx="2434">
                  <c:v>915.66071568601831</c:v>
                </c:pt>
                <c:pt idx="2435">
                  <c:v>915.70854338755908</c:v>
                </c:pt>
                <c:pt idx="2436">
                  <c:v>939.78891474314617</c:v>
                </c:pt>
                <c:pt idx="2437">
                  <c:v>939.32370867183408</c:v>
                </c:pt>
                <c:pt idx="2438">
                  <c:v>939.23262780582832</c:v>
                </c:pt>
                <c:pt idx="2439">
                  <c:v>944.02407074550456</c:v>
                </c:pt>
                <c:pt idx="2440">
                  <c:v>944.52719175914638</c:v>
                </c:pt>
                <c:pt idx="2441">
                  <c:v>985.32810073829978</c:v>
                </c:pt>
                <c:pt idx="2442">
                  <c:v>985.20934142597616</c:v>
                </c:pt>
                <c:pt idx="2443">
                  <c:v>1006.5901653089297</c:v>
                </c:pt>
                <c:pt idx="2444">
                  <c:v>1006.3120443110423</c:v>
                </c:pt>
                <c:pt idx="2445">
                  <c:v>1043.1450073784094</c:v>
                </c:pt>
                <c:pt idx="2446">
                  <c:v>1043.1001891726314</c:v>
                </c:pt>
                <c:pt idx="2447">
                  <c:v>1040.577084760115</c:v>
                </c:pt>
                <c:pt idx="2448">
                  <c:v>1092.7965747614496</c:v>
                </c:pt>
                <c:pt idx="2449">
                  <c:v>1092.9226863667959</c:v>
                </c:pt>
                <c:pt idx="2450">
                  <c:v>1086.7372756817631</c:v>
                </c:pt>
                <c:pt idx="2451">
                  <c:v>1107.2039193328258</c:v>
                </c:pt>
                <c:pt idx="2452">
                  <c:v>1106.6992647879451</c:v>
                </c:pt>
                <c:pt idx="2453">
                  <c:v>1102.9804894354024</c:v>
                </c:pt>
                <c:pt idx="2454">
                  <c:v>1132.9232544476552</c:v>
                </c:pt>
                <c:pt idx="2455">
                  <c:v>1132.194492071688</c:v>
                </c:pt>
                <c:pt idx="2456">
                  <c:v>1132.268452421433</c:v>
                </c:pt>
                <c:pt idx="2457">
                  <c:v>1121.9167933408994</c:v>
                </c:pt>
                <c:pt idx="2458">
                  <c:v>1120.8686164365627</c:v>
                </c:pt>
                <c:pt idx="2459">
                  <c:v>1134.1090409597894</c:v>
                </c:pt>
                <c:pt idx="2460">
                  <c:v>1124.3696727093211</c:v>
                </c:pt>
                <c:pt idx="2461">
                  <c:v>1124.3542268454207</c:v>
                </c:pt>
                <c:pt idx="2462">
                  <c:v>1103.2831872528654</c:v>
                </c:pt>
                <c:pt idx="2463">
                  <c:v>1111.1687838134251</c:v>
                </c:pt>
                <c:pt idx="2464">
                  <c:v>1109.7270827975317</c:v>
                </c:pt>
                <c:pt idx="2465">
                  <c:v>1091.70862985853</c:v>
                </c:pt>
                <c:pt idx="2466">
                  <c:v>1093.3246806636166</c:v>
                </c:pt>
                <c:pt idx="2467">
                  <c:v>1087.2964677321681</c:v>
                </c:pt>
                <c:pt idx="2468">
                  <c:v>1065.5387696290832</c:v>
                </c:pt>
                <c:pt idx="2469">
                  <c:v>1063.9559821303376</c:v>
                </c:pt>
                <c:pt idx="2470">
                  <c:v>1067.2221406943672</c:v>
                </c:pt>
                <c:pt idx="2471">
                  <c:v>1069.5193541798096</c:v>
                </c:pt>
                <c:pt idx="2472">
                  <c:v>1061.462937014795</c:v>
                </c:pt>
                <c:pt idx="2473">
                  <c:v>1046.4797143022636</c:v>
                </c:pt>
                <c:pt idx="2474">
                  <c:v>1046.4751300458995</c:v>
                </c:pt>
                <c:pt idx="2475">
                  <c:v>1042.2579404565299</c:v>
                </c:pt>
                <c:pt idx="2476">
                  <c:v>1036.4647578029599</c:v>
                </c:pt>
                <c:pt idx="2477">
                  <c:v>1082.728943102504</c:v>
                </c:pt>
                <c:pt idx="2478">
                  <c:v>1082.728943102504</c:v>
                </c:pt>
                <c:pt idx="2479">
                  <c:v>1083.9078341995889</c:v>
                </c:pt>
                <c:pt idx="2480">
                  <c:v>1114.8491147688587</c:v>
                </c:pt>
                <c:pt idx="2481">
                  <c:v>1114.5479309445307</c:v>
                </c:pt>
                <c:pt idx="2482">
                  <c:v>1114.3355536239183</c:v>
                </c:pt>
                <c:pt idx="2483">
                  <c:v>1122.5772256214768</c:v>
                </c:pt>
                <c:pt idx="2484">
                  <c:v>1107.7787372829605</c:v>
                </c:pt>
                <c:pt idx="2485">
                  <c:v>1102.3706106311693</c:v>
                </c:pt>
                <c:pt idx="2486">
                  <c:v>1103.2539598255119</c:v>
                </c:pt>
                <c:pt idx="2487">
                  <c:v>1106.1639888300936</c:v>
                </c:pt>
                <c:pt idx="2488">
                  <c:v>1107.5563348678411</c:v>
                </c:pt>
                <c:pt idx="2489">
                  <c:v>1127.7629706761488</c:v>
                </c:pt>
                <c:pt idx="2490">
                  <c:v>1127.4012393258865</c:v>
                </c:pt>
                <c:pt idx="2491">
                  <c:v>1120.7734158951116</c:v>
                </c:pt>
                <c:pt idx="2492">
                  <c:v>1092.2758184284803</c:v>
                </c:pt>
                <c:pt idx="2493">
                  <c:v>1092.3054179879364</c:v>
                </c:pt>
                <c:pt idx="2494">
                  <c:v>1086.4851998913866</c:v>
                </c:pt>
                <c:pt idx="2495">
                  <c:v>1097.9325701614018</c:v>
                </c:pt>
                <c:pt idx="2496">
                  <c:v>1106.8028311943085</c:v>
                </c:pt>
                <c:pt idx="2497">
                  <c:v>1106.1726314176387</c:v>
                </c:pt>
                <c:pt idx="2498">
                  <c:v>1103.1371928654328</c:v>
                </c:pt>
                <c:pt idx="2499">
                  <c:v>1089.3346371680718</c:v>
                </c:pt>
                <c:pt idx="2500">
                  <c:v>1089.4449833599519</c:v>
                </c:pt>
                <c:pt idx="2501">
                  <c:v>1088.1651992907875</c:v>
                </c:pt>
                <c:pt idx="2502">
                  <c:v>1086.2338895468538</c:v>
                </c:pt>
                <c:pt idx="2503">
                  <c:v>1089.1374517539753</c:v>
                </c:pt>
                <c:pt idx="2504">
                  <c:v>1100.2114024225514</c:v>
                </c:pt>
                <c:pt idx="2505">
                  <c:v>1099.9990698020954</c:v>
                </c:pt>
                <c:pt idx="2506">
                  <c:v>1100.0317644652912</c:v>
                </c:pt>
                <c:pt idx="2507">
                  <c:v>1096.3123889129467</c:v>
                </c:pt>
                <c:pt idx="2508">
                  <c:v>1101.5673846274694</c:v>
                </c:pt>
                <c:pt idx="2509">
                  <c:v>1099.9830311163184</c:v>
                </c:pt>
                <c:pt idx="2510">
                  <c:v>1095.3286688768421</c:v>
                </c:pt>
                <c:pt idx="2511">
                  <c:v>1099.1729320267591</c:v>
                </c:pt>
                <c:pt idx="2512">
                  <c:v>1111.8659454889028</c:v>
                </c:pt>
                <c:pt idx="2513">
                  <c:v>1111.8671057996767</c:v>
                </c:pt>
                <c:pt idx="2514">
                  <c:v>1109.4561973165478</c:v>
                </c:pt>
                <c:pt idx="2515">
                  <c:v>1109.0786809210456</c:v>
                </c:pt>
                <c:pt idx="2516">
                  <c:v>1083.1343995910095</c:v>
                </c:pt>
                <c:pt idx="2517">
                  <c:v>1083.1344860931513</c:v>
                </c:pt>
                <c:pt idx="2518">
                  <c:v>1087.9535166389819</c:v>
                </c:pt>
                <c:pt idx="2519">
                  <c:v>1088.1156106263884</c:v>
                </c:pt>
                <c:pt idx="2520">
                  <c:v>1093.0619490381878</c:v>
                </c:pt>
                <c:pt idx="2521">
                  <c:v>1092.2088514600364</c:v>
                </c:pt>
                <c:pt idx="2522">
                  <c:v>1089.5956208421703</c:v>
                </c:pt>
                <c:pt idx="2523">
                  <c:v>1093.1691917645182</c:v>
                </c:pt>
                <c:pt idx="2524">
                  <c:v>1093.9434072331187</c:v>
                </c:pt>
                <c:pt idx="2525">
                  <c:v>1091.9628302689537</c:v>
                </c:pt>
                <c:pt idx="2526">
                  <c:v>1093.8030738688894</c:v>
                </c:pt>
                <c:pt idx="2527">
                  <c:v>1092.5908827889164</c:v>
                </c:pt>
                <c:pt idx="2528">
                  <c:v>1092.317096811222</c:v>
                </c:pt>
                <c:pt idx="2529">
                  <c:v>1092.9553604823407</c:v>
                </c:pt>
                <c:pt idx="2530">
                  <c:v>1093.9867322710516</c:v>
                </c:pt>
                <c:pt idx="2531">
                  <c:v>1102.888813077672</c:v>
                </c:pt>
                <c:pt idx="2532">
                  <c:v>1102.8935625412096</c:v>
                </c:pt>
                <c:pt idx="2533">
                  <c:v>1098.293713604867</c:v>
                </c:pt>
                <c:pt idx="2534">
                  <c:v>1098.6197691954487</c:v>
                </c:pt>
                <c:pt idx="2535">
                  <c:v>1097.8343578103165</c:v>
                </c:pt>
                <c:pt idx="2536">
                  <c:v>1098.0721861804766</c:v>
                </c:pt>
                <c:pt idx="2537">
                  <c:v>1093.71871568955</c:v>
                </c:pt>
                <c:pt idx="2538">
                  <c:v>1093.721647940308</c:v>
                </c:pt>
                <c:pt idx="2539">
                  <c:v>1086.3765232098613</c:v>
                </c:pt>
                <c:pt idx="2540">
                  <c:v>1086.3806275536435</c:v>
                </c:pt>
                <c:pt idx="2541">
                  <c:v>1086.4162717684751</c:v>
                </c:pt>
                <c:pt idx="2542">
                  <c:v>1086.4158017474185</c:v>
                </c:pt>
                <c:pt idx="2543">
                  <c:v>1085.6425327088384</c:v>
                </c:pt>
                <c:pt idx="2544">
                  <c:v>1086.6942599928254</c:v>
                </c:pt>
                <c:pt idx="2545">
                  <c:v>1090.0113209703043</c:v>
                </c:pt>
                <c:pt idx="2546">
                  <c:v>1090.0136594843734</c:v>
                </c:pt>
                <c:pt idx="2547">
                  <c:v>1147.6819964276538</c:v>
                </c:pt>
                <c:pt idx="2548">
                  <c:v>1147.6819964276538</c:v>
                </c:pt>
                <c:pt idx="2549">
                  <c:v>1147.8081801374015</c:v>
                </c:pt>
                <c:pt idx="2550">
                  <c:v>1144.4801165150911</c:v>
                </c:pt>
                <c:pt idx="2551">
                  <c:v>1165.5194514397419</c:v>
                </c:pt>
                <c:pt idx="2552">
                  <c:v>1165.8629962595471</c:v>
                </c:pt>
                <c:pt idx="2553">
                  <c:v>1165.8629962595471</c:v>
                </c:pt>
                <c:pt idx="2554">
                  <c:v>1166.7312884503892</c:v>
                </c:pt>
                <c:pt idx="2555">
                  <c:v>1168.5451846372885</c:v>
                </c:pt>
                <c:pt idx="2556">
                  <c:v>1169.2099525510801</c:v>
                </c:pt>
                <c:pt idx="2557">
                  <c:v>1171.9167524990148</c:v>
                </c:pt>
                <c:pt idx="2558">
                  <c:v>1171.9167524990148</c:v>
                </c:pt>
                <c:pt idx="2559">
                  <c:v>1172.0070786235488</c:v>
                </c:pt>
                <c:pt idx="2560">
                  <c:v>1171.859350008438</c:v>
                </c:pt>
                <c:pt idx="2561">
                  <c:v>1171.7695905200419</c:v>
                </c:pt>
                <c:pt idx="2562">
                  <c:v>1171.8637988649255</c:v>
                </c:pt>
                <c:pt idx="2563">
                  <c:v>1173.243706392064</c:v>
                </c:pt>
                <c:pt idx="2564">
                  <c:v>1173.5112844439934</c:v>
                </c:pt>
                <c:pt idx="2565">
                  <c:v>1173.3138900228419</c:v>
                </c:pt>
                <c:pt idx="2566">
                  <c:v>1173.1792054978714</c:v>
                </c:pt>
                <c:pt idx="2567">
                  <c:v>1173.1749645544314</c:v>
                </c:pt>
                <c:pt idx="2568">
                  <c:v>1173.1903300870088</c:v>
                </c:pt>
                <c:pt idx="2569">
                  <c:v>1167.1017680192272</c:v>
                </c:pt>
                <c:pt idx="2570">
                  <c:v>1167.1171686958119</c:v>
                </c:pt>
                <c:pt idx="2571">
                  <c:v>1169.8832781825915</c:v>
                </c:pt>
                <c:pt idx="2572">
                  <c:v>1171.6074465912625</c:v>
                </c:pt>
                <c:pt idx="2573">
                  <c:v>1169.1755229545779</c:v>
                </c:pt>
                <c:pt idx="2574">
                  <c:v>1168.2314551869763</c:v>
                </c:pt>
                <c:pt idx="2575">
                  <c:v>1167.0690584499698</c:v>
                </c:pt>
                <c:pt idx="2576">
                  <c:v>1160.0224674256895</c:v>
                </c:pt>
                <c:pt idx="2577">
                  <c:v>1156.4296426461531</c:v>
                </c:pt>
                <c:pt idx="2578">
                  <c:v>1159.2649851792071</c:v>
                </c:pt>
                <c:pt idx="2579">
                  <c:v>1159.4203726762719</c:v>
                </c:pt>
                <c:pt idx="2580">
                  <c:v>1173.9116291034488</c:v>
                </c:pt>
                <c:pt idx="2581">
                  <c:v>1174.2538412512533</c:v>
                </c:pt>
                <c:pt idx="2582">
                  <c:v>1174.3352534740582</c:v>
                </c:pt>
                <c:pt idx="2583">
                  <c:v>1174.3297491609737</c:v>
                </c:pt>
                <c:pt idx="2584">
                  <c:v>1174.161603474231</c:v>
                </c:pt>
                <c:pt idx="2585">
                  <c:v>1174.5502437012753</c:v>
                </c:pt>
                <c:pt idx="2586">
                  <c:v>1174.1713022155602</c:v>
                </c:pt>
                <c:pt idx="2587">
                  <c:v>1176.2697489817904</c:v>
                </c:pt>
                <c:pt idx="2588">
                  <c:v>1176.2715327349147</c:v>
                </c:pt>
                <c:pt idx="2589">
                  <c:v>1176.3193521862424</c:v>
                </c:pt>
                <c:pt idx="2590">
                  <c:v>1177.6140956350046</c:v>
                </c:pt>
                <c:pt idx="2591">
                  <c:v>1177.0077160871085</c:v>
                </c:pt>
                <c:pt idx="2592">
                  <c:v>1177.0105902421683</c:v>
                </c:pt>
                <c:pt idx="2593">
                  <c:v>1178.2591247347452</c:v>
                </c:pt>
                <c:pt idx="2594">
                  <c:v>1178.5590748157874</c:v>
                </c:pt>
                <c:pt idx="2595">
                  <c:v>1176.9164164681888</c:v>
                </c:pt>
                <c:pt idx="2596">
                  <c:v>1176.0828509592725</c:v>
                </c:pt>
                <c:pt idx="2597">
                  <c:v>1177.1249974815635</c:v>
                </c:pt>
                <c:pt idx="2598">
                  <c:v>1176.4569614104903</c:v>
                </c:pt>
                <c:pt idx="2599">
                  <c:v>1176.7049095745926</c:v>
                </c:pt>
                <c:pt idx="2600">
                  <c:v>1169.0612879656628</c:v>
                </c:pt>
                <c:pt idx="2601">
                  <c:v>1169.0473528266427</c:v>
                </c:pt>
                <c:pt idx="2602">
                  <c:v>1167.5455714805807</c:v>
                </c:pt>
                <c:pt idx="2603">
                  <c:v>1182.1338537844292</c:v>
                </c:pt>
                <c:pt idx="2604">
                  <c:v>1182.2440458342337</c:v>
                </c:pt>
                <c:pt idx="2605">
                  <c:v>1182.2658008375054</c:v>
                </c:pt>
                <c:pt idx="2606">
                  <c:v>1182.0814529938145</c:v>
                </c:pt>
                <c:pt idx="2607">
                  <c:v>1184.5244291066413</c:v>
                </c:pt>
                <c:pt idx="2608">
                  <c:v>1183.5068411633663</c:v>
                </c:pt>
                <c:pt idx="2609">
                  <c:v>1183.5452629132767</c:v>
                </c:pt>
                <c:pt idx="2610">
                  <c:v>1184.1822161285595</c:v>
                </c:pt>
                <c:pt idx="2611">
                  <c:v>1183.5681783352591</c:v>
                </c:pt>
                <c:pt idx="2612">
                  <c:v>1180.9739886246532</c:v>
                </c:pt>
                <c:pt idx="2613">
                  <c:v>1180.9887697026727</c:v>
                </c:pt>
                <c:pt idx="2614">
                  <c:v>1190.1856297987292</c:v>
                </c:pt>
                <c:pt idx="2615">
                  <c:v>1190.1891704754842</c:v>
                </c:pt>
                <c:pt idx="2616">
                  <c:v>1189.0517165617271</c:v>
                </c:pt>
                <c:pt idx="2617">
                  <c:v>1189.6347108105197</c:v>
                </c:pt>
                <c:pt idx="2618">
                  <c:v>1189.47399721291</c:v>
                </c:pt>
                <c:pt idx="2619">
                  <c:v>1189.1784709513909</c:v>
                </c:pt>
                <c:pt idx="2620">
                  <c:v>1189.312287283125</c:v>
                </c:pt>
                <c:pt idx="2621">
                  <c:v>1189.4653206261967</c:v>
                </c:pt>
                <c:pt idx="2622">
                  <c:v>1189.4786195819088</c:v>
                </c:pt>
                <c:pt idx="2623">
                  <c:v>1189.3209198415043</c:v>
                </c:pt>
                <c:pt idx="2624">
                  <c:v>1189.3808105693215</c:v>
                </c:pt>
                <c:pt idx="2625">
                  <c:v>1189.4265934616294</c:v>
                </c:pt>
                <c:pt idx="2626">
                  <c:v>1189.0625196170542</c:v>
                </c:pt>
                <c:pt idx="2627">
                  <c:v>1189.0921789254642</c:v>
                </c:pt>
                <c:pt idx="2628">
                  <c:v>1189.416913804811</c:v>
                </c:pt>
                <c:pt idx="2629">
                  <c:v>1189.2411189965351</c:v>
                </c:pt>
                <c:pt idx="2630">
                  <c:v>1190.0341893257184</c:v>
                </c:pt>
                <c:pt idx="2631">
                  <c:v>1190.031567414441</c:v>
                </c:pt>
                <c:pt idx="2632">
                  <c:v>1189.8344043869438</c:v>
                </c:pt>
                <c:pt idx="2633">
                  <c:v>1186.1790973210423</c:v>
                </c:pt>
                <c:pt idx="2634">
                  <c:v>1186.1790973210423</c:v>
                </c:pt>
                <c:pt idx="2635">
                  <c:v>1186.1232986719062</c:v>
                </c:pt>
                <c:pt idx="2636">
                  <c:v>1186.2969404857722</c:v>
                </c:pt>
                <c:pt idx="2637">
                  <c:v>1186.2387409854941</c:v>
                </c:pt>
                <c:pt idx="2638">
                  <c:v>1186.3230407457263</c:v>
                </c:pt>
                <c:pt idx="2639">
                  <c:v>1186.2463570364471</c:v>
                </c:pt>
                <c:pt idx="2640">
                  <c:v>1186.2548076950161</c:v>
                </c:pt>
                <c:pt idx="2641">
                  <c:v>1186.2064150821539</c:v>
                </c:pt>
                <c:pt idx="2642">
                  <c:v>1184.1017041238381</c:v>
                </c:pt>
                <c:pt idx="2643">
                  <c:v>1184.0196563101761</c:v>
                </c:pt>
                <c:pt idx="2644">
                  <c:v>1184.0170352018347</c:v>
                </c:pt>
                <c:pt idx="2645">
                  <c:v>1184.5271470237835</c:v>
                </c:pt>
                <c:pt idx="2646">
                  <c:v>1183.3777311822444</c:v>
                </c:pt>
                <c:pt idx="2647">
                  <c:v>1182.7236628440417</c:v>
                </c:pt>
                <c:pt idx="2648">
                  <c:v>1171.3248780921974</c:v>
                </c:pt>
                <c:pt idx="2649">
                  <c:v>1171.3827855640166</c:v>
                </c:pt>
                <c:pt idx="2650">
                  <c:v>1171.3827855640166</c:v>
                </c:pt>
                <c:pt idx="2651">
                  <c:v>1170.9290184954405</c:v>
                </c:pt>
                <c:pt idx="2652">
                  <c:v>1171.1471958521936</c:v>
                </c:pt>
                <c:pt idx="2653">
                  <c:v>1171.0659847096231</c:v>
                </c:pt>
                <c:pt idx="2654">
                  <c:v>1171.5572514758489</c:v>
                </c:pt>
                <c:pt idx="2655">
                  <c:v>1171.1679663144944</c:v>
                </c:pt>
                <c:pt idx="2656">
                  <c:v>1176.7602722264596</c:v>
                </c:pt>
                <c:pt idx="2657">
                  <c:v>1176.7483141288797</c:v>
                </c:pt>
                <c:pt idx="2658">
                  <c:v>1172.6848548193034</c:v>
                </c:pt>
                <c:pt idx="2659">
                  <c:v>1172.6854311573968</c:v>
                </c:pt>
                <c:pt idx="2660">
                  <c:v>1171.2604880715774</c:v>
                </c:pt>
                <c:pt idx="2661">
                  <c:v>1170.7094430853422</c:v>
                </c:pt>
                <c:pt idx="2662">
                  <c:v>1170.975638871633</c:v>
                </c:pt>
                <c:pt idx="2663">
                  <c:v>1171.2469351323255</c:v>
                </c:pt>
                <c:pt idx="2664">
                  <c:v>1171.3876519792136</c:v>
                </c:pt>
                <c:pt idx="2665">
                  <c:v>1172.4220049525313</c:v>
                </c:pt>
                <c:pt idx="2666">
                  <c:v>1171.5483811540093</c:v>
                </c:pt>
                <c:pt idx="2667">
                  <c:v>1171.2177428202845</c:v>
                </c:pt>
                <c:pt idx="2668">
                  <c:v>1165.6753230566324</c:v>
                </c:pt>
                <c:pt idx="2669">
                  <c:v>1165.7060380622304</c:v>
                </c:pt>
                <c:pt idx="2670">
                  <c:v>1166.1053347788591</c:v>
                </c:pt>
                <c:pt idx="2671">
                  <c:v>1163.9002204057758</c:v>
                </c:pt>
                <c:pt idx="2672">
                  <c:v>1164.2138837274699</c:v>
                </c:pt>
                <c:pt idx="2673">
                  <c:v>1162.0727441175977</c:v>
                </c:pt>
                <c:pt idx="2674">
                  <c:v>1162.8523873908373</c:v>
                </c:pt>
                <c:pt idx="2675">
                  <c:v>1162.9982891417726</c:v>
                </c:pt>
                <c:pt idx="2676">
                  <c:v>1162.8847597776687</c:v>
                </c:pt>
                <c:pt idx="2677">
                  <c:v>1163.0120079851076</c:v>
                </c:pt>
                <c:pt idx="2678">
                  <c:v>1166.9721646687944</c:v>
                </c:pt>
                <c:pt idx="2679">
                  <c:v>1166.9267074779802</c:v>
                </c:pt>
                <c:pt idx="2680">
                  <c:v>1166.9257771200207</c:v>
                </c:pt>
                <c:pt idx="2681">
                  <c:v>1166.1727904480524</c:v>
                </c:pt>
                <c:pt idx="2682">
                  <c:v>1166.6165384467854</c:v>
                </c:pt>
                <c:pt idx="2683">
                  <c:v>1165.2225448931144</c:v>
                </c:pt>
                <c:pt idx="2684">
                  <c:v>1164.3054857570014</c:v>
                </c:pt>
                <c:pt idx="2685">
                  <c:v>1129.708333066565</c:v>
                </c:pt>
                <c:pt idx="2686">
                  <c:v>1129.708333066565</c:v>
                </c:pt>
                <c:pt idx="2687">
                  <c:v>1129.6799141213705</c:v>
                </c:pt>
                <c:pt idx="2688">
                  <c:v>1129.4215933811988</c:v>
                </c:pt>
                <c:pt idx="2689">
                  <c:v>1127.5939112287379</c:v>
                </c:pt>
                <c:pt idx="2690">
                  <c:v>1117.9388874333169</c:v>
                </c:pt>
                <c:pt idx="2691">
                  <c:v>1116.7736839191932</c:v>
                </c:pt>
                <c:pt idx="2692">
                  <c:v>1118.2392555559368</c:v>
                </c:pt>
                <c:pt idx="2693">
                  <c:v>1113.7280759544569</c:v>
                </c:pt>
                <c:pt idx="2694">
                  <c:v>1129.9537201322385</c:v>
                </c:pt>
                <c:pt idx="2695">
                  <c:v>1129.9116005416236</c:v>
                </c:pt>
                <c:pt idx="2696">
                  <c:v>1127.833118466318</c:v>
                </c:pt>
                <c:pt idx="2697">
                  <c:v>1128.109066001055</c:v>
                </c:pt>
                <c:pt idx="2698">
                  <c:v>1123.1992931103616</c:v>
                </c:pt>
                <c:pt idx="2699">
                  <c:v>1127.9117948890382</c:v>
                </c:pt>
                <c:pt idx="2700">
                  <c:v>1119.3856734465835</c:v>
                </c:pt>
                <c:pt idx="2701">
                  <c:v>1118.5668323363566</c:v>
                </c:pt>
                <c:pt idx="2702">
                  <c:v>1117.5059581817875</c:v>
                </c:pt>
                <c:pt idx="2703">
                  <c:v>1115.2851664304324</c:v>
                </c:pt>
                <c:pt idx="2704">
                  <c:v>1118.9620759496308</c:v>
                </c:pt>
                <c:pt idx="2705">
                  <c:v>1114.7195418517499</c:v>
                </c:pt>
                <c:pt idx="2706">
                  <c:v>1102.371535207521</c:v>
                </c:pt>
                <c:pt idx="2707">
                  <c:v>1102.3936054957812</c:v>
                </c:pt>
                <c:pt idx="2708">
                  <c:v>1102.3903767290922</c:v>
                </c:pt>
                <c:pt idx="2709">
                  <c:v>1114.6162994579463</c:v>
                </c:pt>
                <c:pt idx="2710">
                  <c:v>1114.6070745553327</c:v>
                </c:pt>
                <c:pt idx="2711">
                  <c:v>1113.1950114443168</c:v>
                </c:pt>
                <c:pt idx="2712">
                  <c:v>1117.0770747925981</c:v>
                </c:pt>
                <c:pt idx="2713">
                  <c:v>1114.7843611742303</c:v>
                </c:pt>
                <c:pt idx="2714">
                  <c:v>1113.97130726614</c:v>
                </c:pt>
                <c:pt idx="2715">
                  <c:v>1103.6968574494183</c:v>
                </c:pt>
                <c:pt idx="2716">
                  <c:v>1103.5254256143382</c:v>
                </c:pt>
                <c:pt idx="2717">
                  <c:v>1103.5394464450287</c:v>
                </c:pt>
                <c:pt idx="2718">
                  <c:v>1103.3345773537237</c:v>
                </c:pt>
                <c:pt idx="2719">
                  <c:v>1103.5027552869283</c:v>
                </c:pt>
                <c:pt idx="2720">
                  <c:v>1094.5803386577354</c:v>
                </c:pt>
                <c:pt idx="2721">
                  <c:v>1094.5449126389242</c:v>
                </c:pt>
                <c:pt idx="2722">
                  <c:v>1087.4597609740849</c:v>
                </c:pt>
                <c:pt idx="2723">
                  <c:v>1085.2548381968707</c:v>
                </c:pt>
                <c:pt idx="2724">
                  <c:v>1085.0761725978384</c:v>
                </c:pt>
                <c:pt idx="2725">
                  <c:v>1085.0761725978384</c:v>
                </c:pt>
                <c:pt idx="2726">
                  <c:v>1049.5312455463702</c:v>
                </c:pt>
                <c:pt idx="2727">
                  <c:v>1049.5312455463702</c:v>
                </c:pt>
                <c:pt idx="2728">
                  <c:v>1049.6105210288506</c:v>
                </c:pt>
                <c:pt idx="2729">
                  <c:v>1049.9511195286418</c:v>
                </c:pt>
                <c:pt idx="2730">
                  <c:v>1087.3490126425638</c:v>
                </c:pt>
                <c:pt idx="2731">
                  <c:v>1087.2976546936077</c:v>
                </c:pt>
                <c:pt idx="2732">
                  <c:v>1074.5537384177405</c:v>
                </c:pt>
                <c:pt idx="2733">
                  <c:v>1074.6508122315831</c:v>
                </c:pt>
                <c:pt idx="2734">
                  <c:v>1067.0760213121252</c:v>
                </c:pt>
                <c:pt idx="2735">
                  <c:v>1066.4406366988881</c:v>
                </c:pt>
                <c:pt idx="2736">
                  <c:v>1077.6791903231347</c:v>
                </c:pt>
                <c:pt idx="2737">
                  <c:v>1063.63437587575</c:v>
                </c:pt>
                <c:pt idx="2738">
                  <c:v>1063.9318181353874</c:v>
                </c:pt>
                <c:pt idx="2739">
                  <c:v>1068.0705267388644</c:v>
                </c:pt>
                <c:pt idx="2740">
                  <c:v>1027.2695606788552</c:v>
                </c:pt>
                <c:pt idx="2741">
                  <c:v>1027.3284778261686</c:v>
                </c:pt>
                <c:pt idx="2742">
                  <c:v>1026.6462710324699</c:v>
                </c:pt>
                <c:pt idx="2743">
                  <c:v>1024.1436804907564</c:v>
                </c:pt>
                <c:pt idx="2744">
                  <c:v>1045.069086625673</c:v>
                </c:pt>
                <c:pt idx="2745">
                  <c:v>1042.7756728990641</c:v>
                </c:pt>
                <c:pt idx="2746">
                  <c:v>1032.0625232431114</c:v>
                </c:pt>
                <c:pt idx="2747">
                  <c:v>1048.1377228336253</c:v>
                </c:pt>
                <c:pt idx="2748">
                  <c:v>1049.2156875455025</c:v>
                </c:pt>
                <c:pt idx="2749">
                  <c:v>1049.910656608118</c:v>
                </c:pt>
                <c:pt idx="2750">
                  <c:v>1049.6963788902397</c:v>
                </c:pt>
                <c:pt idx="2751">
                  <c:v>1036.1179417042908</c:v>
                </c:pt>
                <c:pt idx="2752">
                  <c:v>1036.5372957868396</c:v>
                </c:pt>
                <c:pt idx="2753">
                  <c:v>1046.6336643186773</c:v>
                </c:pt>
                <c:pt idx="2754">
                  <c:v>1041.3214645757894</c:v>
                </c:pt>
                <c:pt idx="2755">
                  <c:v>1045.3185329596627</c:v>
                </c:pt>
                <c:pt idx="2756">
                  <c:v>1024.318722809222</c:v>
                </c:pt>
                <c:pt idx="2757">
                  <c:v>1024.2495237688825</c:v>
                </c:pt>
                <c:pt idx="2758">
                  <c:v>1011.1465351956492</c:v>
                </c:pt>
                <c:pt idx="2759">
                  <c:v>1008.4125895068858</c:v>
                </c:pt>
                <c:pt idx="2760">
                  <c:v>1007.0120805339606</c:v>
                </c:pt>
                <c:pt idx="2761">
                  <c:v>1006.9148678342277</c:v>
                </c:pt>
                <c:pt idx="2762">
                  <c:v>1016.9456026113833</c:v>
                </c:pt>
                <c:pt idx="2763">
                  <c:v>1016.5669760396719</c:v>
                </c:pt>
                <c:pt idx="2764">
                  <c:v>1004.8844072849657</c:v>
                </c:pt>
                <c:pt idx="2765">
                  <c:v>1003.9231080214173</c:v>
                </c:pt>
                <c:pt idx="2766">
                  <c:v>1003.3577340555418</c:v>
                </c:pt>
                <c:pt idx="2767">
                  <c:v>1003.3577340555418</c:v>
                </c:pt>
                <c:pt idx="2768">
                  <c:v>997.82560805943535</c:v>
                </c:pt>
                <c:pt idx="2769">
                  <c:v>978.16658344547909</c:v>
                </c:pt>
                <c:pt idx="2770">
                  <c:v>977.21528606375716</c:v>
                </c:pt>
                <c:pt idx="2771">
                  <c:v>977.21528606375716</c:v>
                </c:pt>
                <c:pt idx="2772">
                  <c:v>977.09432992724055</c:v>
                </c:pt>
                <c:pt idx="2773">
                  <c:v>976.46575696837988</c:v>
                </c:pt>
                <c:pt idx="2774">
                  <c:v>1009.9938508748864</c:v>
                </c:pt>
                <c:pt idx="2775">
                  <c:v>1011.0501048539272</c:v>
                </c:pt>
                <c:pt idx="2776">
                  <c:v>1010.7713463083617</c:v>
                </c:pt>
                <c:pt idx="2777">
                  <c:v>982.53423582933624</c:v>
                </c:pt>
                <c:pt idx="2778">
                  <c:v>982.10081859199863</c:v>
                </c:pt>
                <c:pt idx="2779">
                  <c:v>993.31451318019481</c:v>
                </c:pt>
                <c:pt idx="2780">
                  <c:v>990.84573964690719</c:v>
                </c:pt>
                <c:pt idx="2781">
                  <c:v>997.01362803997972</c:v>
                </c:pt>
                <c:pt idx="2782">
                  <c:v>973.98611777244093</c:v>
                </c:pt>
                <c:pt idx="2783">
                  <c:v>968.35679405070005</c:v>
                </c:pt>
                <c:pt idx="2784">
                  <c:v>968.07480517799661</c:v>
                </c:pt>
                <c:pt idx="2785">
                  <c:v>996.53220476963077</c:v>
                </c:pt>
                <c:pt idx="2786">
                  <c:v>997.92893390163874</c:v>
                </c:pt>
                <c:pt idx="2787">
                  <c:v>1001.6711226197256</c:v>
                </c:pt>
                <c:pt idx="2788">
                  <c:v>1045.7052339221773</c:v>
                </c:pt>
                <c:pt idx="2789">
                  <c:v>1045.9214111074673</c:v>
                </c:pt>
                <c:pt idx="2790">
                  <c:v>1049.6647843700059</c:v>
                </c:pt>
                <c:pt idx="2791">
                  <c:v>1095.5864330552949</c:v>
                </c:pt>
                <c:pt idx="2792">
                  <c:v>1094.1604241686557</c:v>
                </c:pt>
                <c:pt idx="2793">
                  <c:v>1094.0752738081972</c:v>
                </c:pt>
                <c:pt idx="2794">
                  <c:v>1084.0384717926213</c:v>
                </c:pt>
                <c:pt idx="2795">
                  <c:v>1090.9169501585104</c:v>
                </c:pt>
                <c:pt idx="2796">
                  <c:v>1097.9330806035005</c:v>
                </c:pt>
                <c:pt idx="2797">
                  <c:v>1118.5176355970998</c:v>
                </c:pt>
                <c:pt idx="2798">
                  <c:v>1119.5486264445572</c:v>
                </c:pt>
                <c:pt idx="2799">
                  <c:v>1111.5424242756742</c:v>
                </c:pt>
                <c:pt idx="2800">
                  <c:v>1124.3516720245402</c:v>
                </c:pt>
                <c:pt idx="2801">
                  <c:v>1130.7070642734791</c:v>
                </c:pt>
                <c:pt idx="2802">
                  <c:v>1130.4687218657389</c:v>
                </c:pt>
                <c:pt idx="2803">
                  <c:v>1130.4460872014643</c:v>
                </c:pt>
                <c:pt idx="2804">
                  <c:v>1122.706231064499</c:v>
                </c:pt>
                <c:pt idx="2805">
                  <c:v>1100.7475214032861</c:v>
                </c:pt>
                <c:pt idx="2806">
                  <c:v>1100.832769630375</c:v>
                </c:pt>
                <c:pt idx="2807">
                  <c:v>1061.32702944224</c:v>
                </c:pt>
                <c:pt idx="2808">
                  <c:v>1061.2313138102186</c:v>
                </c:pt>
                <c:pt idx="2809">
                  <c:v>1060.275788257145</c:v>
                </c:pt>
                <c:pt idx="2810">
                  <c:v>1014.3049343578534</c:v>
                </c:pt>
                <c:pt idx="2811">
                  <c:v>1014.3037358435885</c:v>
                </c:pt>
                <c:pt idx="2812">
                  <c:v>1013.8441162921832</c:v>
                </c:pt>
                <c:pt idx="2813">
                  <c:v>1011.2742210788667</c:v>
                </c:pt>
                <c:pt idx="2814">
                  <c:v>1011.6556753204069</c:v>
                </c:pt>
                <c:pt idx="2815">
                  <c:v>1027.0984552167499</c:v>
                </c:pt>
                <c:pt idx="2816">
                  <c:v>1027.1945915252945</c:v>
                </c:pt>
                <c:pt idx="2817">
                  <c:v>1028.7316410432982</c:v>
                </c:pt>
                <c:pt idx="2818">
                  <c:v>1046.4772840814737</c:v>
                </c:pt>
                <c:pt idx="2819">
                  <c:v>1047.0396015457252</c:v>
                </c:pt>
                <c:pt idx="2820">
                  <c:v>1047.5515353944425</c:v>
                </c:pt>
                <c:pt idx="2821">
                  <c:v>1047.3287612009749</c:v>
                </c:pt>
                <c:pt idx="2822">
                  <c:v>1045.6726178486135</c:v>
                </c:pt>
                <c:pt idx="2823">
                  <c:v>1040.3855820423048</c:v>
                </c:pt>
                <c:pt idx="2824">
                  <c:v>1024.8353923578809</c:v>
                </c:pt>
                <c:pt idx="2825">
                  <c:v>1024.7969465629703</c:v>
                </c:pt>
                <c:pt idx="2826">
                  <c:v>1058.0042747466232</c:v>
                </c:pt>
                <c:pt idx="2827">
                  <c:v>1057.9564002375434</c:v>
                </c:pt>
                <c:pt idx="2828">
                  <c:v>1043.1139460511995</c:v>
                </c:pt>
                <c:pt idx="2829">
                  <c:v>1047.8916687100786</c:v>
                </c:pt>
                <c:pt idx="2830">
                  <c:v>1047.7598522207315</c:v>
                </c:pt>
                <c:pt idx="2831">
                  <c:v>1032.8485820310918</c:v>
                </c:pt>
                <c:pt idx="2832">
                  <c:v>1033.2067902725432</c:v>
                </c:pt>
                <c:pt idx="2833">
                  <c:v>1032.4152404941306</c:v>
                </c:pt>
                <c:pt idx="2834">
                  <c:v>1068.3241392602595</c:v>
                </c:pt>
                <c:pt idx="2835">
                  <c:v>1068.31406037951</c:v>
                </c:pt>
                <c:pt idx="2836">
                  <c:v>1069.8975631763462</c:v>
                </c:pt>
                <c:pt idx="2837">
                  <c:v>1071.9108246609192</c:v>
                </c:pt>
                <c:pt idx="2838">
                  <c:v>1052.2550216263869</c:v>
                </c:pt>
                <c:pt idx="2839">
                  <c:v>1051.4710234276183</c:v>
                </c:pt>
                <c:pt idx="2840">
                  <c:v>1051.5227109629311</c:v>
                </c:pt>
                <c:pt idx="2841">
                  <c:v>1047.9365616714686</c:v>
                </c:pt>
                <c:pt idx="2842">
                  <c:v>1031.2119814456626</c:v>
                </c:pt>
                <c:pt idx="2843">
                  <c:v>1031.8732817227749</c:v>
                </c:pt>
                <c:pt idx="2844">
                  <c:v>1031.9558939239228</c:v>
                </c:pt>
                <c:pt idx="2845">
                  <c:v>1034.0987125890388</c:v>
                </c:pt>
                <c:pt idx="2846">
                  <c:v>1042.2356038031894</c:v>
                </c:pt>
                <c:pt idx="2847">
                  <c:v>1051.9092568444764</c:v>
                </c:pt>
                <c:pt idx="2848">
                  <c:v>1043.5101408771716</c:v>
                </c:pt>
                <c:pt idx="2849">
                  <c:v>1043.5422026540593</c:v>
                </c:pt>
                <c:pt idx="2850">
                  <c:v>1042.8356071948026</c:v>
                </c:pt>
                <c:pt idx="2851">
                  <c:v>1047.0038754831439</c:v>
                </c:pt>
                <c:pt idx="2852">
                  <c:v>1055.8567495854209</c:v>
                </c:pt>
                <c:pt idx="2853">
                  <c:v>1054.8636240318135</c:v>
                </c:pt>
                <c:pt idx="2854">
                  <c:v>1060.9859180958379</c:v>
                </c:pt>
                <c:pt idx="2855">
                  <c:v>1079.9161063675047</c:v>
                </c:pt>
                <c:pt idx="2856">
                  <c:v>1079.3345674286174</c:v>
                </c:pt>
                <c:pt idx="2857">
                  <c:v>1079.4364434398342</c:v>
                </c:pt>
                <c:pt idx="2858">
                  <c:v>1081.9888594336815</c:v>
                </c:pt>
                <c:pt idx="2859">
                  <c:v>1089.103921033628</c:v>
                </c:pt>
                <c:pt idx="2860">
                  <c:v>1112.2455637127082</c:v>
                </c:pt>
                <c:pt idx="2861">
                  <c:v>1113.289158478708</c:v>
                </c:pt>
                <c:pt idx="2862">
                  <c:v>1113.289158478708</c:v>
                </c:pt>
                <c:pt idx="2863">
                  <c:v>1119.9087279525295</c:v>
                </c:pt>
                <c:pt idx="2864">
                  <c:v>1119.0004248805246</c:v>
                </c:pt>
                <c:pt idx="2865">
                  <c:v>1127.3558468095075</c:v>
                </c:pt>
                <c:pt idx="2866">
                  <c:v>1104.8082638478463</c:v>
                </c:pt>
                <c:pt idx="2867">
                  <c:v>1104.6990413299482</c:v>
                </c:pt>
                <c:pt idx="2868">
                  <c:v>1111.3528436764113</c:v>
                </c:pt>
                <c:pt idx="2869">
                  <c:v>1118.6196964825911</c:v>
                </c:pt>
                <c:pt idx="2870">
                  <c:v>1118.1096027264725</c:v>
                </c:pt>
                <c:pt idx="2871">
                  <c:v>1125.7815406753452</c:v>
                </c:pt>
                <c:pt idx="2872">
                  <c:v>1126.1321961789863</c:v>
                </c:pt>
                <c:pt idx="2873">
                  <c:v>1115.4066408787694</c:v>
                </c:pt>
                <c:pt idx="2874">
                  <c:v>1112.7178603799448</c:v>
                </c:pt>
                <c:pt idx="2875">
                  <c:v>1081.9577428420043</c:v>
                </c:pt>
                <c:pt idx="2876">
                  <c:v>1082.1071266202923</c:v>
                </c:pt>
                <c:pt idx="2877">
                  <c:v>1094.1044443814392</c:v>
                </c:pt>
                <c:pt idx="2878">
                  <c:v>1092.4273808943801</c:v>
                </c:pt>
                <c:pt idx="2879">
                  <c:v>1090.5082203756947</c:v>
                </c:pt>
                <c:pt idx="2880">
                  <c:v>1099.7773257089852</c:v>
                </c:pt>
                <c:pt idx="2881">
                  <c:v>1100.7398841137015</c:v>
                </c:pt>
                <c:pt idx="2882">
                  <c:v>1123.1676330279095</c:v>
                </c:pt>
                <c:pt idx="2883">
                  <c:v>1123.0694165777472</c:v>
                </c:pt>
                <c:pt idx="2884">
                  <c:v>1127.8782864216541</c:v>
                </c:pt>
                <c:pt idx="2885">
                  <c:v>1127.6514820484524</c:v>
                </c:pt>
                <c:pt idx="2886">
                  <c:v>1128.25465078657</c:v>
                </c:pt>
                <c:pt idx="2887">
                  <c:v>1112.6356142319748</c:v>
                </c:pt>
                <c:pt idx="2888">
                  <c:v>1112.6454437861632</c:v>
                </c:pt>
                <c:pt idx="2889">
                  <c:v>1168.1075263153691</c:v>
                </c:pt>
                <c:pt idx="2890">
                  <c:v>1168.1075263153691</c:v>
                </c:pt>
                <c:pt idx="2891">
                  <c:v>1145.4892359967648</c:v>
                </c:pt>
                <c:pt idx="2892">
                  <c:v>1143.6716875467134</c:v>
                </c:pt>
                <c:pt idx="2893">
                  <c:v>1143.6716875467134</c:v>
                </c:pt>
                <c:pt idx="2894">
                  <c:v>1148.8471962213011</c:v>
                </c:pt>
                <c:pt idx="2895">
                  <c:v>1149.4621370830719</c:v>
                </c:pt>
                <c:pt idx="2896">
                  <c:v>1165.5753390586315</c:v>
                </c:pt>
                <c:pt idx="2897">
                  <c:v>1160.0525055794199</c:v>
                </c:pt>
                <c:pt idx="2898">
                  <c:v>1164.6225914349102</c:v>
                </c:pt>
                <c:pt idx="2899">
                  <c:v>1154.8304070445333</c:v>
                </c:pt>
                <c:pt idx="2900">
                  <c:v>1161.9164263109187</c:v>
                </c:pt>
                <c:pt idx="2901">
                  <c:v>1154.0324657290553</c:v>
                </c:pt>
                <c:pt idx="2902">
                  <c:v>1150.8666301202336</c:v>
                </c:pt>
                <c:pt idx="2903">
                  <c:v>1151.4432636119952</c:v>
                </c:pt>
                <c:pt idx="2904">
                  <c:v>1158.6802920147641</c:v>
                </c:pt>
                <c:pt idx="2905">
                  <c:v>1182.9850536558417</c:v>
                </c:pt>
                <c:pt idx="2906">
                  <c:v>1182.8074870253629</c:v>
                </c:pt>
                <c:pt idx="2907">
                  <c:v>1181.9711288135661</c:v>
                </c:pt>
                <c:pt idx="2908">
                  <c:v>1185.5374348010598</c:v>
                </c:pt>
                <c:pt idx="2909">
                  <c:v>1190.92805935365</c:v>
                </c:pt>
                <c:pt idx="2910">
                  <c:v>1185.8512108332538</c:v>
                </c:pt>
                <c:pt idx="2911">
                  <c:v>1191.0953990961427</c:v>
                </c:pt>
                <c:pt idx="2912">
                  <c:v>1200.3386492973113</c:v>
                </c:pt>
                <c:pt idx="2913">
                  <c:v>1199.1000000587642</c:v>
                </c:pt>
                <c:pt idx="2914">
                  <c:v>1196.0268441782684</c:v>
                </c:pt>
                <c:pt idx="2915">
                  <c:v>1202.075415600754</c:v>
                </c:pt>
                <c:pt idx="2916">
                  <c:v>1205.8795255975115</c:v>
                </c:pt>
                <c:pt idx="2917">
                  <c:v>1205.8781637440024</c:v>
                </c:pt>
                <c:pt idx="2918">
                  <c:v>1232.2306162804416</c:v>
                </c:pt>
                <c:pt idx="2919">
                  <c:v>1232.2306162804416</c:v>
                </c:pt>
                <c:pt idx="2920">
                  <c:v>1232.2306162804416</c:v>
                </c:pt>
                <c:pt idx="2921">
                  <c:v>1232.4776817965039</c:v>
                </c:pt>
                <c:pt idx="2922">
                  <c:v>1232.2116238389281</c:v>
                </c:pt>
                <c:pt idx="2923">
                  <c:v>1234.5913082734146</c:v>
                </c:pt>
                <c:pt idx="2924">
                  <c:v>1232.3038721265943</c:v>
                </c:pt>
                <c:pt idx="2925">
                  <c:v>1231.741133822271</c:v>
                </c:pt>
                <c:pt idx="2926">
                  <c:v>1231.5426290296552</c:v>
                </c:pt>
                <c:pt idx="2927">
                  <c:v>1233.5611012625391</c:v>
                </c:pt>
                <c:pt idx="2928">
                  <c:v>1237.7418360513852</c:v>
                </c:pt>
                <c:pt idx="2929">
                  <c:v>1238.0692884267553</c:v>
                </c:pt>
                <c:pt idx="2930">
                  <c:v>1235.3842286048944</c:v>
                </c:pt>
                <c:pt idx="2931">
                  <c:v>1226.8392694236504</c:v>
                </c:pt>
                <c:pt idx="2932">
                  <c:v>1232.6224404226948</c:v>
                </c:pt>
                <c:pt idx="2933">
                  <c:v>1228.0247910871692</c:v>
                </c:pt>
                <c:pt idx="2934">
                  <c:v>1220.3768604233535</c:v>
                </c:pt>
                <c:pt idx="2935">
                  <c:v>1219.7935289102077</c:v>
                </c:pt>
                <c:pt idx="2936">
                  <c:v>1223.4331592188501</c:v>
                </c:pt>
                <c:pt idx="2937">
                  <c:v>1241.9011011421956</c:v>
                </c:pt>
                <c:pt idx="2938">
                  <c:v>1242.4295755248854</c:v>
                </c:pt>
                <c:pt idx="2939">
                  <c:v>1243.5698885909649</c:v>
                </c:pt>
                <c:pt idx="2940">
                  <c:v>1237.1155202024108</c:v>
                </c:pt>
                <c:pt idx="2941">
                  <c:v>1243.4358942700906</c:v>
                </c:pt>
                <c:pt idx="2942">
                  <c:v>1243.6668962484366</c:v>
                </c:pt>
                <c:pt idx="2943">
                  <c:v>1244.989602060215</c:v>
                </c:pt>
                <c:pt idx="2944">
                  <c:v>1271.3889581650249</c:v>
                </c:pt>
                <c:pt idx="2945">
                  <c:v>1271.3791840703973</c:v>
                </c:pt>
                <c:pt idx="2946">
                  <c:v>1246.5005347557253</c:v>
                </c:pt>
                <c:pt idx="2947">
                  <c:v>1246.4933910809709</c:v>
                </c:pt>
                <c:pt idx="2948">
                  <c:v>1249.7499324365851</c:v>
                </c:pt>
                <c:pt idx="2949">
                  <c:v>1247.4062810680191</c:v>
                </c:pt>
                <c:pt idx="2950">
                  <c:v>1216.9696740245697</c:v>
                </c:pt>
                <c:pt idx="2951">
                  <c:v>1216.9978954824185</c:v>
                </c:pt>
                <c:pt idx="2952">
                  <c:v>1217.068844705628</c:v>
                </c:pt>
                <c:pt idx="2953">
                  <c:v>1216.1786963848579</c:v>
                </c:pt>
                <c:pt idx="2954">
                  <c:v>1213.538591582241</c:v>
                </c:pt>
                <c:pt idx="2955">
                  <c:v>1207.9065306971279</c:v>
                </c:pt>
                <c:pt idx="2956">
                  <c:v>1202.2784801046544</c:v>
                </c:pt>
                <c:pt idx="2957">
                  <c:v>1208.9553282169161</c:v>
                </c:pt>
                <c:pt idx="2958">
                  <c:v>1211.6706275165782</c:v>
                </c:pt>
                <c:pt idx="2959">
                  <c:v>1211.0547882283242</c:v>
                </c:pt>
                <c:pt idx="2960">
                  <c:v>1220.0331874145509</c:v>
                </c:pt>
                <c:pt idx="2961">
                  <c:v>1211.943573287796</c:v>
                </c:pt>
                <c:pt idx="2962">
                  <c:v>1211.1199268259668</c:v>
                </c:pt>
                <c:pt idx="2963">
                  <c:v>1200.7373324184202</c:v>
                </c:pt>
                <c:pt idx="2964">
                  <c:v>1198.6190791599668</c:v>
                </c:pt>
                <c:pt idx="2965">
                  <c:v>1178.5352398676389</c:v>
                </c:pt>
                <c:pt idx="2966">
                  <c:v>1178.1844336785832</c:v>
                </c:pt>
                <c:pt idx="2967">
                  <c:v>1178.2243096608609</c:v>
                </c:pt>
                <c:pt idx="2968">
                  <c:v>1178.1516010808318</c:v>
                </c:pt>
                <c:pt idx="2969">
                  <c:v>1174.6579547405179</c:v>
                </c:pt>
                <c:pt idx="2970">
                  <c:v>1166.1622279525654</c:v>
                </c:pt>
                <c:pt idx="2971">
                  <c:v>1170.8943042327967</c:v>
                </c:pt>
                <c:pt idx="2972">
                  <c:v>1126.7428240623865</c:v>
                </c:pt>
                <c:pt idx="2973">
                  <c:v>1126.7428240623865</c:v>
                </c:pt>
                <c:pt idx="2974">
                  <c:v>1133.0374178687694</c:v>
                </c:pt>
                <c:pt idx="2975">
                  <c:v>1126.057672112132</c:v>
                </c:pt>
                <c:pt idx="2976">
                  <c:v>1123.0164677351793</c:v>
                </c:pt>
                <c:pt idx="2977">
                  <c:v>1141.2034908533133</c:v>
                </c:pt>
                <c:pt idx="2978">
                  <c:v>1141.2161482755112</c:v>
                </c:pt>
                <c:pt idx="2979">
                  <c:v>1140.4494059138838</c:v>
                </c:pt>
                <c:pt idx="2980">
                  <c:v>1140.4976700039604</c:v>
                </c:pt>
                <c:pt idx="2981">
                  <c:v>1159.8506999967167</c:v>
                </c:pt>
                <c:pt idx="2982">
                  <c:v>1159.6906797570566</c:v>
                </c:pt>
                <c:pt idx="2983">
                  <c:v>1170.9078251169142</c:v>
                </c:pt>
                <c:pt idx="2984">
                  <c:v>1165.2323387199538</c:v>
                </c:pt>
                <c:pt idx="2985">
                  <c:v>1153.116237184234</c:v>
                </c:pt>
                <c:pt idx="2986">
                  <c:v>1152.7640775573343</c:v>
                </c:pt>
                <c:pt idx="2987">
                  <c:v>1152.0521307822141</c:v>
                </c:pt>
                <c:pt idx="2988">
                  <c:v>1151.9594200616889</c:v>
                </c:pt>
                <c:pt idx="2989">
                  <c:v>1156.6666275308689</c:v>
                </c:pt>
                <c:pt idx="2990">
                  <c:v>1151.9380671426889</c:v>
                </c:pt>
                <c:pt idx="2991">
                  <c:v>1145.6651766502193</c:v>
                </c:pt>
                <c:pt idx="2992">
                  <c:v>1153.3935171910314</c:v>
                </c:pt>
                <c:pt idx="2993">
                  <c:v>1158.4583873853553</c:v>
                </c:pt>
                <c:pt idx="2994">
                  <c:v>1154.077898495515</c:v>
                </c:pt>
                <c:pt idx="2995">
                  <c:v>1153.8601257455148</c:v>
                </c:pt>
                <c:pt idx="2996">
                  <c:v>1153.8466645421659</c:v>
                </c:pt>
                <c:pt idx="2997">
                  <c:v>1153.3570392858767</c:v>
                </c:pt>
                <c:pt idx="2998">
                  <c:v>1141.3687222983258</c:v>
                </c:pt>
                <c:pt idx="2999">
                  <c:v>1141.4739560513942</c:v>
                </c:pt>
                <c:pt idx="3000">
                  <c:v>1139.4290917215144</c:v>
                </c:pt>
                <c:pt idx="3001">
                  <c:v>1128.148822241729</c:v>
                </c:pt>
                <c:pt idx="3002">
                  <c:v>1128.1580735504795</c:v>
                </c:pt>
                <c:pt idx="3003">
                  <c:v>1127.2237190988792</c:v>
                </c:pt>
                <c:pt idx="3004">
                  <c:v>1129.7233062695004</c:v>
                </c:pt>
                <c:pt idx="3005">
                  <c:v>1145.9198884409743</c:v>
                </c:pt>
                <c:pt idx="3006">
                  <c:v>1146.0318563376129</c:v>
                </c:pt>
                <c:pt idx="3007">
                  <c:v>1145.904549164492</c:v>
                </c:pt>
                <c:pt idx="3008">
                  <c:v>1145.7459871804358</c:v>
                </c:pt>
                <c:pt idx="3009">
                  <c:v>1146.0525606153171</c:v>
                </c:pt>
                <c:pt idx="3010">
                  <c:v>1146.0349799824933</c:v>
                </c:pt>
                <c:pt idx="3011">
                  <c:v>1149.0226534492026</c:v>
                </c:pt>
                <c:pt idx="3012">
                  <c:v>1134.7285133120306</c:v>
                </c:pt>
                <c:pt idx="3013">
                  <c:v>1134.8746843005649</c:v>
                </c:pt>
                <c:pt idx="3014">
                  <c:v>1142.8100156342587</c:v>
                </c:pt>
                <c:pt idx="3015">
                  <c:v>1143.1465387856281</c:v>
                </c:pt>
                <c:pt idx="3016">
                  <c:v>1143.230006407402</c:v>
                </c:pt>
                <c:pt idx="3017">
                  <c:v>1152.8818070090074</c:v>
                </c:pt>
                <c:pt idx="3018">
                  <c:v>1152.8924877243717</c:v>
                </c:pt>
                <c:pt idx="3019">
                  <c:v>1156.1975896680176</c:v>
                </c:pt>
                <c:pt idx="3020">
                  <c:v>1144.4317356535951</c:v>
                </c:pt>
                <c:pt idx="3021">
                  <c:v>1144.7320977326929</c:v>
                </c:pt>
                <c:pt idx="3022">
                  <c:v>1142.8781585463728</c:v>
                </c:pt>
                <c:pt idx="3023">
                  <c:v>1125.358082511699</c:v>
                </c:pt>
                <c:pt idx="3024">
                  <c:v>1125.3275757230426</c:v>
                </c:pt>
                <c:pt idx="3025">
                  <c:v>1122.9188239622777</c:v>
                </c:pt>
                <c:pt idx="3026">
                  <c:v>1159.134991751944</c:v>
                </c:pt>
                <c:pt idx="3027">
                  <c:v>1159.2973396062462</c:v>
                </c:pt>
                <c:pt idx="3028">
                  <c:v>1159.2973396062462</c:v>
                </c:pt>
                <c:pt idx="3029">
                  <c:v>1159.7143597686047</c:v>
                </c:pt>
                <c:pt idx="3030">
                  <c:v>1182.9836029592302</c:v>
                </c:pt>
                <c:pt idx="3031">
                  <c:v>1182.9836029592302</c:v>
                </c:pt>
                <c:pt idx="3032">
                  <c:v>1182.9030560039132</c:v>
                </c:pt>
                <c:pt idx="3033">
                  <c:v>1182.4906625177339</c:v>
                </c:pt>
                <c:pt idx="3034">
                  <c:v>1200.0736495518793</c:v>
                </c:pt>
                <c:pt idx="3035">
                  <c:v>1196.4926963317134</c:v>
                </c:pt>
                <c:pt idx="3036">
                  <c:v>1193.9113375526856</c:v>
                </c:pt>
                <c:pt idx="3037">
                  <c:v>1159.9941429692221</c:v>
                </c:pt>
                <c:pt idx="3038">
                  <c:v>1158.7121431925455</c:v>
                </c:pt>
                <c:pt idx="3039">
                  <c:v>1159.3738137647265</c:v>
                </c:pt>
                <c:pt idx="3040">
                  <c:v>1162.2472528114527</c:v>
                </c:pt>
                <c:pt idx="3041">
                  <c:v>1154.3800778926618</c:v>
                </c:pt>
                <c:pt idx="3042">
                  <c:v>1141.0615016931697</c:v>
                </c:pt>
                <c:pt idx="3043">
                  <c:v>1139.1820270283922</c:v>
                </c:pt>
                <c:pt idx="3044">
                  <c:v>1141.3500111420522</c:v>
                </c:pt>
                <c:pt idx="3045">
                  <c:v>1139.4799411750128</c:v>
                </c:pt>
                <c:pt idx="3046">
                  <c:v>1160.0066024243786</c:v>
                </c:pt>
                <c:pt idx="3047">
                  <c:v>1161.6894644283982</c:v>
                </c:pt>
                <c:pt idx="3048">
                  <c:v>1147.8626097441181</c:v>
                </c:pt>
                <c:pt idx="3049">
                  <c:v>1146.3020436385229</c:v>
                </c:pt>
                <c:pt idx="3050">
                  <c:v>1154.038117588897</c:v>
                </c:pt>
                <c:pt idx="3051">
                  <c:v>1132.9859804336991</c:v>
                </c:pt>
                <c:pt idx="3052">
                  <c:v>1133.1159856330994</c:v>
                </c:pt>
                <c:pt idx="3053">
                  <c:v>1133.0752959018216</c:v>
                </c:pt>
                <c:pt idx="3054">
                  <c:v>1131.1245804354414</c:v>
                </c:pt>
                <c:pt idx="3055">
                  <c:v>1115.9690702519897</c:v>
                </c:pt>
                <c:pt idx="3056">
                  <c:v>1115.7498870590173</c:v>
                </c:pt>
                <c:pt idx="3057">
                  <c:v>1116.7858327884678</c:v>
                </c:pt>
                <c:pt idx="3058">
                  <c:v>1116.6250673944678</c:v>
                </c:pt>
                <c:pt idx="3059">
                  <c:v>1130.2190046068656</c:v>
                </c:pt>
                <c:pt idx="3060">
                  <c:v>1130.1756034786756</c:v>
                </c:pt>
                <c:pt idx="3061">
                  <c:v>1122.2939214176454</c:v>
                </c:pt>
                <c:pt idx="3062">
                  <c:v>1126.2966357923751</c:v>
                </c:pt>
                <c:pt idx="3063">
                  <c:v>1125.7697199464947</c:v>
                </c:pt>
                <c:pt idx="3064">
                  <c:v>1132.7493101464215</c:v>
                </c:pt>
                <c:pt idx="3065">
                  <c:v>1126.3550686102346</c:v>
                </c:pt>
                <c:pt idx="3066">
                  <c:v>1126.3446802006035</c:v>
                </c:pt>
                <c:pt idx="3067">
                  <c:v>1115.0703715680545</c:v>
                </c:pt>
                <c:pt idx="3068">
                  <c:v>1117.6822524792037</c:v>
                </c:pt>
                <c:pt idx="3069">
                  <c:v>1120.2566159439871</c:v>
                </c:pt>
                <c:pt idx="3070">
                  <c:v>1138.373748860138</c:v>
                </c:pt>
                <c:pt idx="3071">
                  <c:v>1136.2651540742775</c:v>
                </c:pt>
                <c:pt idx="3072">
                  <c:v>1135.3450410306052</c:v>
                </c:pt>
                <c:pt idx="3073">
                  <c:v>1135.3730253304016</c:v>
                </c:pt>
                <c:pt idx="3074">
                  <c:v>1132.5035199782137</c:v>
                </c:pt>
                <c:pt idx="3075">
                  <c:v>1131.6866987966459</c:v>
                </c:pt>
                <c:pt idx="3076">
                  <c:v>1122.4664949937298</c:v>
                </c:pt>
                <c:pt idx="3077">
                  <c:v>1120.7660560041809</c:v>
                </c:pt>
                <c:pt idx="3078">
                  <c:v>1075.8370728965217</c:v>
                </c:pt>
                <c:pt idx="3079">
                  <c:v>1075.7791017340514</c:v>
                </c:pt>
                <c:pt idx="3080">
                  <c:v>1075.8780327543991</c:v>
                </c:pt>
                <c:pt idx="3081">
                  <c:v>1065.8747367542987</c:v>
                </c:pt>
                <c:pt idx="3082">
                  <c:v>1068.2178160121637</c:v>
                </c:pt>
                <c:pt idx="3083">
                  <c:v>1067.3054373434898</c:v>
                </c:pt>
                <c:pt idx="3084">
                  <c:v>1068.9963892594114</c:v>
                </c:pt>
                <c:pt idx="3085">
                  <c:v>1039.8310621453763</c:v>
                </c:pt>
                <c:pt idx="3086">
                  <c:v>1039.6969848028452</c:v>
                </c:pt>
                <c:pt idx="3087">
                  <c:v>1034.7968568643976</c:v>
                </c:pt>
                <c:pt idx="3088">
                  <c:v>1034.9905000913311</c:v>
                </c:pt>
                <c:pt idx="3089">
                  <c:v>1043.4441527873814</c:v>
                </c:pt>
                <c:pt idx="3090">
                  <c:v>1043.4441527873814</c:v>
                </c:pt>
                <c:pt idx="3091">
                  <c:v>1043.3037970666617</c:v>
                </c:pt>
                <c:pt idx="3092">
                  <c:v>1030.3300401886647</c:v>
                </c:pt>
                <c:pt idx="3093">
                  <c:v>1022.8139068293674</c:v>
                </c:pt>
                <c:pt idx="3094">
                  <c:v>1022.9415076967358</c:v>
                </c:pt>
                <c:pt idx="3095">
                  <c:v>1024.1464526149923</c:v>
                </c:pt>
                <c:pt idx="3096">
                  <c:v>1017.5663446458674</c:v>
                </c:pt>
                <c:pt idx="3097">
                  <c:v>1017.6113107267242</c:v>
                </c:pt>
                <c:pt idx="3098">
                  <c:v>1017.6265901805909</c:v>
                </c:pt>
                <c:pt idx="3099">
                  <c:v>1017.432302898428</c:v>
                </c:pt>
                <c:pt idx="3100">
                  <c:v>1015.5369400552426</c:v>
                </c:pt>
                <c:pt idx="3101">
                  <c:v>1015.8667522424046</c:v>
                </c:pt>
                <c:pt idx="3102">
                  <c:v>1015.7801266133259</c:v>
                </c:pt>
                <c:pt idx="3103">
                  <c:v>1011.5833222082408</c:v>
                </c:pt>
                <c:pt idx="3104">
                  <c:v>1001.8844273870395</c:v>
                </c:pt>
                <c:pt idx="3105">
                  <c:v>1000.8108953517261</c:v>
                </c:pt>
                <c:pt idx="3106">
                  <c:v>1040.8188702134607</c:v>
                </c:pt>
                <c:pt idx="3107">
                  <c:v>1041.8793492224031</c:v>
                </c:pt>
                <c:pt idx="3108">
                  <c:v>1041.4432018475493</c:v>
                </c:pt>
                <c:pt idx="3109">
                  <c:v>1057.0436349841636</c:v>
                </c:pt>
                <c:pt idx="3110">
                  <c:v>1049.8890781717155</c:v>
                </c:pt>
                <c:pt idx="3111">
                  <c:v>1057.3896536942707</c:v>
                </c:pt>
                <c:pt idx="3112">
                  <c:v>1048.5103972725353</c:v>
                </c:pt>
                <c:pt idx="3113">
                  <c:v>1059.9024629452599</c:v>
                </c:pt>
                <c:pt idx="3114">
                  <c:v>1093.8791015065349</c:v>
                </c:pt>
                <c:pt idx="3115">
                  <c:v>1093.4857908658528</c:v>
                </c:pt>
                <c:pt idx="3116">
                  <c:v>1086.9510629481927</c:v>
                </c:pt>
                <c:pt idx="3117">
                  <c:v>1060.3155611184147</c:v>
                </c:pt>
                <c:pt idx="3118">
                  <c:v>1066.3939585066018</c:v>
                </c:pt>
                <c:pt idx="3119">
                  <c:v>1066.4157702835632</c:v>
                </c:pt>
                <c:pt idx="3120">
                  <c:v>1075.3975299850802</c:v>
                </c:pt>
                <c:pt idx="3121">
                  <c:v>1035.1298332925423</c:v>
                </c:pt>
                <c:pt idx="3122">
                  <c:v>1034.8826737289332</c:v>
                </c:pt>
                <c:pt idx="3123">
                  <c:v>1036.4430589954823</c:v>
                </c:pt>
                <c:pt idx="3124">
                  <c:v>1035.6812913965125</c:v>
                </c:pt>
                <c:pt idx="3125">
                  <c:v>1017.4011470821031</c:v>
                </c:pt>
                <c:pt idx="3126">
                  <c:v>1024.7725798086735</c:v>
                </c:pt>
                <c:pt idx="3127">
                  <c:v>1023.479851755849</c:v>
                </c:pt>
                <c:pt idx="3128">
                  <c:v>1022.4083627102157</c:v>
                </c:pt>
                <c:pt idx="3129">
                  <c:v>1020.8373743342283</c:v>
                </c:pt>
                <c:pt idx="3130">
                  <c:v>1003.8440359355092</c:v>
                </c:pt>
                <c:pt idx="3131">
                  <c:v>1004.0446774216755</c:v>
                </c:pt>
                <c:pt idx="3132">
                  <c:v>1005.175577765541</c:v>
                </c:pt>
                <c:pt idx="3133">
                  <c:v>1005.7590807949429</c:v>
                </c:pt>
                <c:pt idx="3134">
                  <c:v>1005.0995936672443</c:v>
                </c:pt>
                <c:pt idx="3135">
                  <c:v>1005.0995936672443</c:v>
                </c:pt>
                <c:pt idx="3136">
                  <c:v>992.84459372145398</c:v>
                </c:pt>
                <c:pt idx="3137">
                  <c:v>991.8911804467258</c:v>
                </c:pt>
                <c:pt idx="3138">
                  <c:v>992.14923333943432</c:v>
                </c:pt>
                <c:pt idx="3139">
                  <c:v>994.14724193902157</c:v>
                </c:pt>
                <c:pt idx="3140">
                  <c:v>1000.0623444244123</c:v>
                </c:pt>
                <c:pt idx="3141">
                  <c:v>1012.1657879488181</c:v>
                </c:pt>
                <c:pt idx="3142">
                  <c:v>1001.037476762238</c:v>
                </c:pt>
                <c:pt idx="3143">
                  <c:v>1001.075742157597</c:v>
                </c:pt>
                <c:pt idx="3144">
                  <c:v>998.15991709789466</c:v>
                </c:pt>
                <c:pt idx="3145">
                  <c:v>991.20608306365091</c:v>
                </c:pt>
                <c:pt idx="3146">
                  <c:v>1026.7264072161095</c:v>
                </c:pt>
                <c:pt idx="3147">
                  <c:v>1026.7012848980896</c:v>
                </c:pt>
                <c:pt idx="3148">
                  <c:v>1045.5954455615022</c:v>
                </c:pt>
                <c:pt idx="3149">
                  <c:v>1044.369726026652</c:v>
                </c:pt>
                <c:pt idx="3150">
                  <c:v>1044.3880684626977</c:v>
                </c:pt>
                <c:pt idx="3151">
                  <c:v>1044.5899124661632</c:v>
                </c:pt>
                <c:pt idx="3152">
                  <c:v>1041.3834801666358</c:v>
                </c:pt>
                <c:pt idx="3153">
                  <c:v>1050.6626045153619</c:v>
                </c:pt>
                <c:pt idx="3154">
                  <c:v>1045.9384435008076</c:v>
                </c:pt>
                <c:pt idx="3155">
                  <c:v>1044.2188026661197</c:v>
                </c:pt>
                <c:pt idx="3156">
                  <c:v>1029.2097786877382</c:v>
                </c:pt>
                <c:pt idx="3157">
                  <c:v>1029.2234869538711</c:v>
                </c:pt>
                <c:pt idx="3158">
                  <c:v>1034.4784343992274</c:v>
                </c:pt>
                <c:pt idx="3159">
                  <c:v>1029.3797299599578</c:v>
                </c:pt>
                <c:pt idx="3160">
                  <c:v>1035.0285028027579</c:v>
                </c:pt>
                <c:pt idx="3161">
                  <c:v>1055.9119609895188</c:v>
                </c:pt>
                <c:pt idx="3162">
                  <c:v>1055.9117950208151</c:v>
                </c:pt>
                <c:pt idx="3163">
                  <c:v>1085.9987114208325</c:v>
                </c:pt>
                <c:pt idx="3164">
                  <c:v>1086.0083637118421</c:v>
                </c:pt>
                <c:pt idx="3165">
                  <c:v>1093.4230904489591</c:v>
                </c:pt>
                <c:pt idx="3166">
                  <c:v>1138.6394852853277</c:v>
                </c:pt>
                <c:pt idx="3167">
                  <c:v>1138.6394852853277</c:v>
                </c:pt>
                <c:pt idx="3168">
                  <c:v>1138.7034351939215</c:v>
                </c:pt>
                <c:pt idx="3169">
                  <c:v>1138.7034351939215</c:v>
                </c:pt>
                <c:pt idx="3170">
                  <c:v>1112.1112282313084</c:v>
                </c:pt>
                <c:pt idx="3171">
                  <c:v>1130.8524628459627</c:v>
                </c:pt>
                <c:pt idx="3172">
                  <c:v>1131.5884105090136</c:v>
                </c:pt>
                <c:pt idx="3173">
                  <c:v>1130.3295586627828</c:v>
                </c:pt>
                <c:pt idx="3174">
                  <c:v>1130.6493072344483</c:v>
                </c:pt>
                <c:pt idx="3175">
                  <c:v>1127.4337272679957</c:v>
                </c:pt>
                <c:pt idx="3176">
                  <c:v>1177.8750728455307</c:v>
                </c:pt>
                <c:pt idx="3177">
                  <c:v>1178.2694633356232</c:v>
                </c:pt>
                <c:pt idx="3178">
                  <c:v>1160.7180830250875</c:v>
                </c:pt>
                <c:pt idx="3179">
                  <c:v>1170.6876601281037</c:v>
                </c:pt>
                <c:pt idx="3180">
                  <c:v>1140.7520117312833</c:v>
                </c:pt>
                <c:pt idx="3181">
                  <c:v>1176.2641230669958</c:v>
                </c:pt>
                <c:pt idx="3182">
                  <c:v>1174.7572705997129</c:v>
                </c:pt>
                <c:pt idx="3183">
                  <c:v>1175.0383498101892</c:v>
                </c:pt>
                <c:pt idx="3184">
                  <c:v>1160.6935802293181</c:v>
                </c:pt>
                <c:pt idx="3185">
                  <c:v>1202.4245570036669</c:v>
                </c:pt>
                <c:pt idx="3186">
                  <c:v>1209.720241762561</c:v>
                </c:pt>
                <c:pt idx="3187">
                  <c:v>1210.1706335210722</c:v>
                </c:pt>
                <c:pt idx="3188">
                  <c:v>1302.9990522534656</c:v>
                </c:pt>
                <c:pt idx="3189">
                  <c:v>1301.8366407434028</c:v>
                </c:pt>
                <c:pt idx="3190">
                  <c:v>1301.1119445985748</c:v>
                </c:pt>
                <c:pt idx="3191">
                  <c:v>1306.9737228694971</c:v>
                </c:pt>
                <c:pt idx="3192">
                  <c:v>1289.5563707600857</c:v>
                </c:pt>
                <c:pt idx="3193">
                  <c:v>1264.5598336071735</c:v>
                </c:pt>
                <c:pt idx="3194">
                  <c:v>1272.0244600944829</c:v>
                </c:pt>
                <c:pt idx="3195">
                  <c:v>1289.8252008949735</c:v>
                </c:pt>
                <c:pt idx="3196">
                  <c:v>1234.0030846311831</c:v>
                </c:pt>
                <c:pt idx="3197">
                  <c:v>1234.1543166445383</c:v>
                </c:pt>
                <c:pt idx="3198">
                  <c:v>1207.9050405894329</c:v>
                </c:pt>
                <c:pt idx="3199">
                  <c:v>1223.0014729368957</c:v>
                </c:pt>
                <c:pt idx="3200">
                  <c:v>1221.9899835722472</c:v>
                </c:pt>
                <c:pt idx="3201">
                  <c:v>1238.1204081303781</c:v>
                </c:pt>
                <c:pt idx="3202">
                  <c:v>1262.151589487758</c:v>
                </c:pt>
                <c:pt idx="3203">
                  <c:v>1283.9676434928617</c:v>
                </c:pt>
                <c:pt idx="3204">
                  <c:v>1282.3408958861851</c:v>
                </c:pt>
                <c:pt idx="3205">
                  <c:v>1282.2656990909506</c:v>
                </c:pt>
                <c:pt idx="3206">
                  <c:v>1282.1409529692482</c:v>
                </c:pt>
                <c:pt idx="3207">
                  <c:v>1276.5068404461872</c:v>
                </c:pt>
                <c:pt idx="3208">
                  <c:v>1268.9965407331479</c:v>
                </c:pt>
                <c:pt idx="3209">
                  <c:v>1263.2380657036501</c:v>
                </c:pt>
                <c:pt idx="3210">
                  <c:v>1250.9833129762076</c:v>
                </c:pt>
                <c:pt idx="3211">
                  <c:v>1282.3133822218431</c:v>
                </c:pt>
                <c:pt idx="3212">
                  <c:v>1288.3263454066898</c:v>
                </c:pt>
                <c:pt idx="3213">
                  <c:v>1281.2728840951042</c:v>
                </c:pt>
                <c:pt idx="3214">
                  <c:v>1288.0157754612221</c:v>
                </c:pt>
                <c:pt idx="3215">
                  <c:v>1274.783408538744</c:v>
                </c:pt>
                <c:pt idx="3216">
                  <c:v>1342.223410843282</c:v>
                </c:pt>
                <c:pt idx="3217">
                  <c:v>1342.4540201160041</c:v>
                </c:pt>
                <c:pt idx="3218">
                  <c:v>1374.6035272807494</c:v>
                </c:pt>
                <c:pt idx="3219">
                  <c:v>1367.2858778335794</c:v>
                </c:pt>
                <c:pt idx="3220">
                  <c:v>1373.9515347227273</c:v>
                </c:pt>
                <c:pt idx="3221">
                  <c:v>1407.1240202994322</c:v>
                </c:pt>
                <c:pt idx="3222">
                  <c:v>1389.7729925191429</c:v>
                </c:pt>
                <c:pt idx="3223">
                  <c:v>1382.4483569390627</c:v>
                </c:pt>
                <c:pt idx="3224">
                  <c:v>1382.5264648909865</c:v>
                </c:pt>
                <c:pt idx="3225">
                  <c:v>1382.8957767027518</c:v>
                </c:pt>
                <c:pt idx="3226">
                  <c:v>1397.9851664178268</c:v>
                </c:pt>
                <c:pt idx="3227">
                  <c:v>1414.6450581044355</c:v>
                </c:pt>
                <c:pt idx="3228">
                  <c:v>1421.0248703120742</c:v>
                </c:pt>
                <c:pt idx="3229">
                  <c:v>1423.3657032393578</c:v>
                </c:pt>
                <c:pt idx="3230">
                  <c:v>1454.8665403389164</c:v>
                </c:pt>
                <c:pt idx="3231">
                  <c:v>1453.0412279564657</c:v>
                </c:pt>
                <c:pt idx="3232">
                  <c:v>1453.4913138000518</c:v>
                </c:pt>
                <c:pt idx="3233">
                  <c:v>1446.1612635501565</c:v>
                </c:pt>
                <c:pt idx="3234">
                  <c:v>1403.9231378378934</c:v>
                </c:pt>
                <c:pt idx="3235">
                  <c:v>1403.9925382331155</c:v>
                </c:pt>
                <c:pt idx="3236">
                  <c:v>1413.0385242479372</c:v>
                </c:pt>
                <c:pt idx="3237">
                  <c:v>1436.8349250430397</c:v>
                </c:pt>
                <c:pt idx="3238">
                  <c:v>1436.7241612691103</c:v>
                </c:pt>
                <c:pt idx="3239">
                  <c:v>1419.5411415261174</c:v>
                </c:pt>
                <c:pt idx="3240">
                  <c:v>1446.6407820385787</c:v>
                </c:pt>
                <c:pt idx="3241">
                  <c:v>1446.8234309316133</c:v>
                </c:pt>
                <c:pt idx="3242">
                  <c:v>1447.500111884762</c:v>
                </c:pt>
                <c:pt idx="3243">
                  <c:v>1447.6080923467725</c:v>
                </c:pt>
                <c:pt idx="3244">
                  <c:v>1469.7724903650951</c:v>
                </c:pt>
                <c:pt idx="3245">
                  <c:v>1467.8095687606497</c:v>
                </c:pt>
                <c:pt idx="3246">
                  <c:v>1466.7735677689509</c:v>
                </c:pt>
                <c:pt idx="3247">
                  <c:v>1477.1716136624166</c:v>
                </c:pt>
                <c:pt idx="3248">
                  <c:v>1467.3126271893836</c:v>
                </c:pt>
                <c:pt idx="3249">
                  <c:v>1470.4444556937754</c:v>
                </c:pt>
                <c:pt idx="3250">
                  <c:v>1484.8203254170996</c:v>
                </c:pt>
                <c:pt idx="3251">
                  <c:v>1531.655829328208</c:v>
                </c:pt>
                <c:pt idx="3252">
                  <c:v>1531.6816280061951</c:v>
                </c:pt>
                <c:pt idx="3253">
                  <c:v>1568.4975414373714</c:v>
                </c:pt>
                <c:pt idx="3254">
                  <c:v>1568.4975414373714</c:v>
                </c:pt>
                <c:pt idx="3255">
                  <c:v>1568.5512634339038</c:v>
                </c:pt>
                <c:pt idx="3256">
                  <c:v>1606.9980931674181</c:v>
                </c:pt>
                <c:pt idx="3257">
                  <c:v>1599.7533633592263</c:v>
                </c:pt>
                <c:pt idx="3258">
                  <c:v>1603.0356681384944</c:v>
                </c:pt>
                <c:pt idx="3259">
                  <c:v>1733.8600974204535</c:v>
                </c:pt>
                <c:pt idx="3260">
                  <c:v>1733.7242441591825</c:v>
                </c:pt>
                <c:pt idx="3261">
                  <c:v>1734.3023603096647</c:v>
                </c:pt>
                <c:pt idx="3262">
                  <c:v>1743.0017870978156</c:v>
                </c:pt>
                <c:pt idx="3263">
                  <c:v>1817.8925100835634</c:v>
                </c:pt>
                <c:pt idx="3264">
                  <c:v>1817.6167297793766</c:v>
                </c:pt>
                <c:pt idx="3265">
                  <c:v>1757.9378196897135</c:v>
                </c:pt>
                <c:pt idx="3266">
                  <c:v>1765.458668569056</c:v>
                </c:pt>
                <c:pt idx="3267">
                  <c:v>1790.6211896286891</c:v>
                </c:pt>
                <c:pt idx="3268">
                  <c:v>1896.748759817681</c:v>
                </c:pt>
                <c:pt idx="3269">
                  <c:v>1896.748759817681</c:v>
                </c:pt>
                <c:pt idx="3270">
                  <c:v>1893.995958000577</c:v>
                </c:pt>
                <c:pt idx="3271">
                  <c:v>1880.6358296600558</c:v>
                </c:pt>
                <c:pt idx="3272">
                  <c:v>1815.3646200394708</c:v>
                </c:pt>
                <c:pt idx="3273">
                  <c:v>1828.0792360865764</c:v>
                </c:pt>
                <c:pt idx="3274">
                  <c:v>1944.9748400754349</c:v>
                </c:pt>
                <c:pt idx="3275">
                  <c:v>1946.9578074925432</c:v>
                </c:pt>
                <c:pt idx="3276">
                  <c:v>1946.814063838762</c:v>
                </c:pt>
                <c:pt idx="3277">
                  <c:v>1908.5790195533705</c:v>
                </c:pt>
                <c:pt idx="3278">
                  <c:v>1924.3332376771459</c:v>
                </c:pt>
                <c:pt idx="3279">
                  <c:v>2023.4727086012056</c:v>
                </c:pt>
                <c:pt idx="3280">
                  <c:v>2028.4777919222172</c:v>
                </c:pt>
                <c:pt idx="3281">
                  <c:v>2029.3360538029433</c:v>
                </c:pt>
                <c:pt idx="3282">
                  <c:v>2030.1572617835432</c:v>
                </c:pt>
                <c:pt idx="3283">
                  <c:v>2128.245116638584</c:v>
                </c:pt>
                <c:pt idx="3284">
                  <c:v>2128.5961244733312</c:v>
                </c:pt>
                <c:pt idx="3285">
                  <c:v>2017.0908389600827</c:v>
                </c:pt>
                <c:pt idx="3286">
                  <c:v>2017.1307426229846</c:v>
                </c:pt>
                <c:pt idx="3287">
                  <c:v>2252.103136968441</c:v>
                </c:pt>
                <c:pt idx="3288">
                  <c:v>2251.8564092921679</c:v>
                </c:pt>
                <c:pt idx="3289">
                  <c:v>1747.4261990208142</c:v>
                </c:pt>
                <c:pt idx="3290">
                  <c:v>1747.4261990208142</c:v>
                </c:pt>
                <c:pt idx="3291">
                  <c:v>1852.622038480416</c:v>
                </c:pt>
                <c:pt idx="3292">
                  <c:v>1854.9575172205925</c:v>
                </c:pt>
                <c:pt idx="3293">
                  <c:v>1884.6863243572866</c:v>
                </c:pt>
                <c:pt idx="3294">
                  <c:v>1884.5767952056974</c:v>
                </c:pt>
                <c:pt idx="3295">
                  <c:v>1817.064728129546</c:v>
                </c:pt>
                <c:pt idx="3296">
                  <c:v>1906.8996881941871</c:v>
                </c:pt>
                <c:pt idx="3297">
                  <c:v>1879.0192357711892</c:v>
                </c:pt>
                <c:pt idx="3298">
                  <c:v>1887.6580270613081</c:v>
                </c:pt>
                <c:pt idx="3299">
                  <c:v>1895.948698431896</c:v>
                </c:pt>
                <c:pt idx="3300">
                  <c:v>1920.7464699457335</c:v>
                </c:pt>
                <c:pt idx="3301">
                  <c:v>1837.6279548957309</c:v>
                </c:pt>
                <c:pt idx="3302">
                  <c:v>1787.2781102100801</c:v>
                </c:pt>
                <c:pt idx="3303">
                  <c:v>1764.4806959768703</c:v>
                </c:pt>
                <c:pt idx="3304">
                  <c:v>1760.3017862574018</c:v>
                </c:pt>
                <c:pt idx="3305">
                  <c:v>1811.8453233714104</c:v>
                </c:pt>
                <c:pt idx="3306">
                  <c:v>1953.6357582223304</c:v>
                </c:pt>
                <c:pt idx="3307">
                  <c:v>1953.6779741145369</c:v>
                </c:pt>
                <c:pt idx="3308">
                  <c:v>1994.5291849445298</c:v>
                </c:pt>
                <c:pt idx="3309">
                  <c:v>2245.6486132326554</c:v>
                </c:pt>
                <c:pt idx="3310">
                  <c:v>2256.7040665544905</c:v>
                </c:pt>
                <c:pt idx="3311">
                  <c:v>2256.7040665544905</c:v>
                </c:pt>
                <c:pt idx="3312">
                  <c:v>2303.9906087316836</c:v>
                </c:pt>
                <c:pt idx="3313">
                  <c:v>2306.1833386898097</c:v>
                </c:pt>
                <c:pt idx="3314">
                  <c:v>2128.2663823090893</c:v>
                </c:pt>
                <c:pt idx="3315">
                  <c:v>2131.5153348283457</c:v>
                </c:pt>
                <c:pt idx="3316">
                  <c:v>2127.3065529364685</c:v>
                </c:pt>
                <c:pt idx="3317">
                  <c:v>2275.833213235956</c:v>
                </c:pt>
                <c:pt idx="3318">
                  <c:v>2272.4640442803188</c:v>
                </c:pt>
                <c:pt idx="3319">
                  <c:v>2582.8548837591316</c:v>
                </c:pt>
                <c:pt idx="3320">
                  <c:v>2588.9454681249817</c:v>
                </c:pt>
                <c:pt idx="3321">
                  <c:v>2587.5301279721248</c:v>
                </c:pt>
                <c:pt idx="3322">
                  <c:v>2521.7794739769092</c:v>
                </c:pt>
                <c:pt idx="3323">
                  <c:v>2827.9818178998116</c:v>
                </c:pt>
                <c:pt idx="3324">
                  <c:v>2831.264048349356</c:v>
                </c:pt>
                <c:pt idx="3325">
                  <c:v>2881.9412842142692</c:v>
                </c:pt>
                <c:pt idx="3326">
                  <c:v>3378.4401506768781</c:v>
                </c:pt>
                <c:pt idx="3327">
                  <c:v>3383.3990482022368</c:v>
                </c:pt>
                <c:pt idx="3328">
                  <c:v>3374.3176271031425</c:v>
                </c:pt>
                <c:pt idx="3329">
                  <c:v>3376.7313200312738</c:v>
                </c:pt>
                <c:pt idx="3330">
                  <c:v>3944.0579882910711</c:v>
                </c:pt>
                <c:pt idx="3331">
                  <c:v>3965.3344794565937</c:v>
                </c:pt>
                <c:pt idx="3332">
                  <c:v>3965.3344794565937</c:v>
                </c:pt>
                <c:pt idx="3333">
                  <c:v>3965.0435637753917</c:v>
                </c:pt>
                <c:pt idx="3334">
                  <c:v>3763.5531074654095</c:v>
                </c:pt>
                <c:pt idx="3335">
                  <c:v>2603.9419371694953</c:v>
                </c:pt>
                <c:pt idx="3336">
                  <c:v>2603.9419371694953</c:v>
                </c:pt>
                <c:pt idx="3337">
                  <c:v>2611.637983589409</c:v>
                </c:pt>
                <c:pt idx="3338">
                  <c:v>3360.1200513231338</c:v>
                </c:pt>
                <c:pt idx="3339">
                  <c:v>3346.1319049152476</c:v>
                </c:pt>
                <c:pt idx="3340">
                  <c:v>3363.4583299934375</c:v>
                </c:pt>
                <c:pt idx="3341">
                  <c:v>3201.0263663746664</c:v>
                </c:pt>
                <c:pt idx="3342">
                  <c:v>3284.3615358149841</c:v>
                </c:pt>
                <c:pt idx="3343">
                  <c:v>3430.0880047366973</c:v>
                </c:pt>
                <c:pt idx="3344">
                  <c:v>2848.5585446835557</c:v>
                </c:pt>
                <c:pt idx="3345">
                  <c:v>2817.4213965103886</c:v>
                </c:pt>
                <c:pt idx="3346">
                  <c:v>2829.5895269613598</c:v>
                </c:pt>
                <c:pt idx="3347">
                  <c:v>2751.7809440792525</c:v>
                </c:pt>
                <c:pt idx="3348">
                  <c:v>2760.2987931674243</c:v>
                </c:pt>
                <c:pt idx="3349">
                  <c:v>3168.4271897715139</c:v>
                </c:pt>
                <c:pt idx="3350">
                  <c:v>3133.9724558863236</c:v>
                </c:pt>
                <c:pt idx="3351">
                  <c:v>3115.2234696146702</c:v>
                </c:pt>
                <c:pt idx="3352">
                  <c:v>3322.8873004402622</c:v>
                </c:pt>
                <c:pt idx="3353">
                  <c:v>3832.3115216018477</c:v>
                </c:pt>
                <c:pt idx="3354">
                  <c:v>3819.2833954445823</c:v>
                </c:pt>
                <c:pt idx="3355">
                  <c:v>3770.4123870897306</c:v>
                </c:pt>
                <c:pt idx="3356">
                  <c:v>3843.7107909644865</c:v>
                </c:pt>
                <c:pt idx="3357">
                  <c:v>4133.8800975153699</c:v>
                </c:pt>
                <c:pt idx="3358">
                  <c:v>4473.1508611847676</c:v>
                </c:pt>
                <c:pt idx="3359">
                  <c:v>4464.1825382886009</c:v>
                </c:pt>
                <c:pt idx="3360">
                  <c:v>4769.8831239084348</c:v>
                </c:pt>
                <c:pt idx="3361">
                  <c:v>5251.1532408964431</c:v>
                </c:pt>
                <c:pt idx="3362">
                  <c:v>5216.8630836600796</c:v>
                </c:pt>
                <c:pt idx="3363">
                  <c:v>5304.3462511726184</c:v>
                </c:pt>
                <c:pt idx="3364">
                  <c:v>5316.950012936838</c:v>
                </c:pt>
                <c:pt idx="3365">
                  <c:v>5274.2538973177025</c:v>
                </c:pt>
                <c:pt idx="3366">
                  <c:v>5572.8752497391051</c:v>
                </c:pt>
                <c:pt idx="3367">
                  <c:v>5560.4906789945389</c:v>
                </c:pt>
                <c:pt idx="3368">
                  <c:v>5593.7521037410925</c:v>
                </c:pt>
                <c:pt idx="3369">
                  <c:v>5922.8609896403186</c:v>
                </c:pt>
                <c:pt idx="3370">
                  <c:v>5790.5035509128656</c:v>
                </c:pt>
                <c:pt idx="3371">
                  <c:v>6066.8489703684736</c:v>
                </c:pt>
                <c:pt idx="3372">
                  <c:v>6624.7892520483556</c:v>
                </c:pt>
                <c:pt idx="3373">
                  <c:v>6674.3176760909373</c:v>
                </c:pt>
                <c:pt idx="3374">
                  <c:v>7267.4675685668499</c:v>
                </c:pt>
                <c:pt idx="3375">
                  <c:v>7523.3326906622533</c:v>
                </c:pt>
                <c:pt idx="3376">
                  <c:v>7537.0213976464274</c:v>
                </c:pt>
                <c:pt idx="3377">
                  <c:v>6431.6029988927667</c:v>
                </c:pt>
                <c:pt idx="3378">
                  <c:v>6386.668347218897</c:v>
                </c:pt>
                <c:pt idx="3379">
                  <c:v>6396.1242983128614</c:v>
                </c:pt>
                <c:pt idx="3380">
                  <c:v>6628.5821514101162</c:v>
                </c:pt>
                <c:pt idx="3381">
                  <c:v>5822.3174049808849</c:v>
                </c:pt>
                <c:pt idx="3382">
                  <c:v>5809.6680364126914</c:v>
                </c:pt>
                <c:pt idx="3383">
                  <c:v>5051.2092644016984</c:v>
                </c:pt>
                <c:pt idx="3384">
                  <c:v>5110.2833000745713</c:v>
                </c:pt>
                <c:pt idx="3385">
                  <c:v>5109.5521240256558</c:v>
                </c:pt>
                <c:pt idx="3386">
                  <c:v>5563.3193392823314</c:v>
                </c:pt>
                <c:pt idx="3387">
                  <c:v>5509.7623004012739</c:v>
                </c:pt>
                <c:pt idx="3388">
                  <c:v>5248.4218958423635</c:v>
                </c:pt>
                <c:pt idx="3389">
                  <c:v>5160.0645889088091</c:v>
                </c:pt>
                <c:pt idx="3390">
                  <c:v>5853.7182858555971</c:v>
                </c:pt>
                <c:pt idx="3391">
                  <c:v>5858.0977558106761</c:v>
                </c:pt>
                <c:pt idx="3392">
                  <c:v>6561.4699521548437</c:v>
                </c:pt>
                <c:pt idx="3393">
                  <c:v>6588.932174573969</c:v>
                </c:pt>
                <c:pt idx="3394">
                  <c:v>6595.2481102552483</c:v>
                </c:pt>
                <c:pt idx="3395">
                  <c:v>6727.71649674735</c:v>
                </c:pt>
                <c:pt idx="3396">
                  <c:v>7398.2394612118469</c:v>
                </c:pt>
                <c:pt idx="3397">
                  <c:v>7398.107850157955</c:v>
                </c:pt>
                <c:pt idx="3398">
                  <c:v>6500.9510066600733</c:v>
                </c:pt>
                <c:pt idx="3399">
                  <c:v>6495.4856650285992</c:v>
                </c:pt>
                <c:pt idx="3400">
                  <c:v>6304.9672163499645</c:v>
                </c:pt>
                <c:pt idx="3401">
                  <c:v>7379.878119832123</c:v>
                </c:pt>
                <c:pt idx="3402">
                  <c:v>7377.4782746439851</c:v>
                </c:pt>
                <c:pt idx="3403">
                  <c:v>7423.1035873423334</c:v>
                </c:pt>
                <c:pt idx="3404">
                  <c:v>6902.8186223489456</c:v>
                </c:pt>
                <c:pt idx="3405">
                  <c:v>6897.7183624321979</c:v>
                </c:pt>
                <c:pt idx="3406">
                  <c:v>6417.765623604032</c:v>
                </c:pt>
                <c:pt idx="3407">
                  <c:v>6433.2109574959786</c:v>
                </c:pt>
                <c:pt idx="3408">
                  <c:v>5701.659418007941</c:v>
                </c:pt>
                <c:pt idx="3409">
                  <c:v>5704.6465070919021</c:v>
                </c:pt>
                <c:pt idx="3410">
                  <c:v>5717.6534271923601</c:v>
                </c:pt>
                <c:pt idx="3411">
                  <c:v>5815.5374608996708</c:v>
                </c:pt>
                <c:pt idx="3412">
                  <c:v>5969.7381376494895</c:v>
                </c:pt>
                <c:pt idx="3413">
                  <c:v>6060.944666635487</c:v>
                </c:pt>
                <c:pt idx="3414">
                  <c:v>6188.9675250877663</c:v>
                </c:pt>
                <c:pt idx="3415">
                  <c:v>6107.6657191822751</c:v>
                </c:pt>
                <c:pt idx="3416">
                  <c:v>6215.7840121755444</c:v>
                </c:pt>
                <c:pt idx="3417">
                  <c:v>6093.0023660225443</c:v>
                </c:pt>
                <c:pt idx="3418">
                  <c:v>5896.7627863775651</c:v>
                </c:pt>
                <c:pt idx="3419">
                  <c:v>6066.2307672619309</c:v>
                </c:pt>
                <c:pt idx="3420">
                  <c:v>5933.0097005785974</c:v>
                </c:pt>
                <c:pt idx="3421">
                  <c:v>5708.0645937262716</c:v>
                </c:pt>
                <c:pt idx="3422">
                  <c:v>5790.6856399465842</c:v>
                </c:pt>
                <c:pt idx="3423">
                  <c:v>5810.3106174548957</c:v>
                </c:pt>
                <c:pt idx="3424">
                  <c:v>6227.1218589383234</c:v>
                </c:pt>
                <c:pt idx="3425">
                  <c:v>6224.2904977895578</c:v>
                </c:pt>
                <c:pt idx="3426">
                  <c:v>6264.745844608753</c:v>
                </c:pt>
                <c:pt idx="3427">
                  <c:v>6929.8320331937994</c:v>
                </c:pt>
                <c:pt idx="3428">
                  <c:v>6929.2527215881282</c:v>
                </c:pt>
                <c:pt idx="3429">
                  <c:v>6871.0044414305939</c:v>
                </c:pt>
                <c:pt idx="3430">
                  <c:v>6602.034673009417</c:v>
                </c:pt>
                <c:pt idx="3431">
                  <c:v>6590.3227081837376</c:v>
                </c:pt>
                <c:pt idx="3432">
                  <c:v>6468.3313010518877</c:v>
                </c:pt>
                <c:pt idx="3433">
                  <c:v>6468.3313010518877</c:v>
                </c:pt>
                <c:pt idx="3434">
                  <c:v>6560.3427319140765</c:v>
                </c:pt>
                <c:pt idx="3435">
                  <c:v>6675.9583159479434</c:v>
                </c:pt>
                <c:pt idx="3436">
                  <c:v>6443.4742696976473</c:v>
                </c:pt>
                <c:pt idx="3437">
                  <c:v>6398.6441643007829</c:v>
                </c:pt>
                <c:pt idx="3438">
                  <c:v>6398.6441643007829</c:v>
                </c:pt>
                <c:pt idx="3439">
                  <c:v>6413.1199610711183</c:v>
                </c:pt>
                <c:pt idx="3440">
                  <c:v>7103.1158892938356</c:v>
                </c:pt>
                <c:pt idx="3441">
                  <c:v>7107.5411807060027</c:v>
                </c:pt>
                <c:pt idx="3442">
                  <c:v>7060.0598018166247</c:v>
                </c:pt>
                <c:pt idx="3443">
                  <c:v>6912.7879069546398</c:v>
                </c:pt>
                <c:pt idx="3444">
                  <c:v>7708.9447815939075</c:v>
                </c:pt>
                <c:pt idx="3445">
                  <c:v>7709.7109087747549</c:v>
                </c:pt>
                <c:pt idx="3446">
                  <c:v>7513.37510179948</c:v>
                </c:pt>
                <c:pt idx="3447">
                  <c:v>7777.1884490305474</c:v>
                </c:pt>
                <c:pt idx="3448">
                  <c:v>7109.9339229944435</c:v>
                </c:pt>
                <c:pt idx="3449">
                  <c:v>7124.2133075648871</c:v>
                </c:pt>
                <c:pt idx="3450">
                  <c:v>7122.3995643018216</c:v>
                </c:pt>
                <c:pt idx="3451">
                  <c:v>7204.1522609850454</c:v>
                </c:pt>
                <c:pt idx="3452">
                  <c:v>7233.9965124818964</c:v>
                </c:pt>
                <c:pt idx="3453">
                  <c:v>7193.8068519761337</c:v>
                </c:pt>
                <c:pt idx="3454">
                  <c:v>7356.8917680582972</c:v>
                </c:pt>
                <c:pt idx="3455">
                  <c:v>6903.6195241381565</c:v>
                </c:pt>
                <c:pt idx="3456">
                  <c:v>6899.2383949730001</c:v>
                </c:pt>
                <c:pt idx="3457">
                  <c:v>5769.4461913888827</c:v>
                </c:pt>
                <c:pt idx="3458">
                  <c:v>5770.3076713505507</c:v>
                </c:pt>
                <c:pt idx="3459">
                  <c:v>5683.5695005527659</c:v>
                </c:pt>
                <c:pt idx="3460">
                  <c:v>5675.7476934552569</c:v>
                </c:pt>
                <c:pt idx="3461">
                  <c:v>5268.353192458263</c:v>
                </c:pt>
                <c:pt idx="3462">
                  <c:v>5268.0571238546681</c:v>
                </c:pt>
                <c:pt idx="3463">
                  <c:v>4438.4711149052719</c:v>
                </c:pt>
                <c:pt idx="3464">
                  <c:v>4439.7140906590903</c:v>
                </c:pt>
                <c:pt idx="3465">
                  <c:v>4428.7398316589288</c:v>
                </c:pt>
                <c:pt idx="3466">
                  <c:v>4431.8211558575977</c:v>
                </c:pt>
                <c:pt idx="3467">
                  <c:v>4135.5841841321326</c:v>
                </c:pt>
                <c:pt idx="3468">
                  <c:v>4143.0832248528795</c:v>
                </c:pt>
                <c:pt idx="3469">
                  <c:v>4144.8153847575013</c:v>
                </c:pt>
                <c:pt idx="3470">
                  <c:v>4221.2240822772073</c:v>
                </c:pt>
                <c:pt idx="3471">
                  <c:v>4349.2858736708295</c:v>
                </c:pt>
                <c:pt idx="3472">
                  <c:v>3983.5423061497941</c:v>
                </c:pt>
                <c:pt idx="3473">
                  <c:v>3967.2718344682294</c:v>
                </c:pt>
                <c:pt idx="3474">
                  <c:v>3978.8550245225392</c:v>
                </c:pt>
                <c:pt idx="3475">
                  <c:v>4113.3816414742369</c:v>
                </c:pt>
                <c:pt idx="3476">
                  <c:v>4059.6555557292299</c:v>
                </c:pt>
                <c:pt idx="3477">
                  <c:v>4280.8673327806155</c:v>
                </c:pt>
                <c:pt idx="3478">
                  <c:v>4319.1574312302873</c:v>
                </c:pt>
                <c:pt idx="3479">
                  <c:v>4087.889541665073</c:v>
                </c:pt>
                <c:pt idx="3480">
                  <c:v>4044.8393582087151</c:v>
                </c:pt>
                <c:pt idx="3481">
                  <c:v>4030.510813314183</c:v>
                </c:pt>
                <c:pt idx="3482">
                  <c:v>4020.0816971820368</c:v>
                </c:pt>
                <c:pt idx="3483">
                  <c:v>3532.42684075636</c:v>
                </c:pt>
                <c:pt idx="3484">
                  <c:v>3548.933698082089</c:v>
                </c:pt>
                <c:pt idx="3485">
                  <c:v>3549.9836870287181</c:v>
                </c:pt>
                <c:pt idx="3486">
                  <c:v>3550.2293582350972</c:v>
                </c:pt>
                <c:pt idx="3487">
                  <c:v>3370.91135562011</c:v>
                </c:pt>
                <c:pt idx="3488">
                  <c:v>3410.3264829078307</c:v>
                </c:pt>
                <c:pt idx="3489">
                  <c:v>4024.8217173963221</c:v>
                </c:pt>
                <c:pt idx="3490">
                  <c:v>4023.8063128870795</c:v>
                </c:pt>
                <c:pt idx="3491">
                  <c:v>3835.8996837336654</c:v>
                </c:pt>
                <c:pt idx="3492">
                  <c:v>3859.4235106878073</c:v>
                </c:pt>
                <c:pt idx="3493">
                  <c:v>3514.7488099389857</c:v>
                </c:pt>
                <c:pt idx="3494">
                  <c:v>3513.1598551205961</c:v>
                </c:pt>
                <c:pt idx="3495">
                  <c:v>3322.1269478173185</c:v>
                </c:pt>
                <c:pt idx="3496">
                  <c:v>3261.0561180087611</c:v>
                </c:pt>
                <c:pt idx="3497">
                  <c:v>3238.4791955245532</c:v>
                </c:pt>
                <c:pt idx="3498">
                  <c:v>3380.2731924238187</c:v>
                </c:pt>
                <c:pt idx="3499">
                  <c:v>3382.514984737451</c:v>
                </c:pt>
                <c:pt idx="3500">
                  <c:v>3212.7165732254907</c:v>
                </c:pt>
                <c:pt idx="3501">
                  <c:v>3161.8952062481717</c:v>
                </c:pt>
                <c:pt idx="3502">
                  <c:v>3289.8923096726667</c:v>
                </c:pt>
                <c:pt idx="3503">
                  <c:v>3330.3583512479477</c:v>
                </c:pt>
                <c:pt idx="3504">
                  <c:v>3365.7573494964886</c:v>
                </c:pt>
                <c:pt idx="3505">
                  <c:v>3234.8718095918243</c:v>
                </c:pt>
                <c:pt idx="3506">
                  <c:v>3230.49985112484</c:v>
                </c:pt>
                <c:pt idx="3507">
                  <c:v>3244.3793899884577</c:v>
                </c:pt>
                <c:pt idx="3508">
                  <c:v>3377.3812004131546</c:v>
                </c:pt>
                <c:pt idx="3509">
                  <c:v>3436.6795939666422</c:v>
                </c:pt>
                <c:pt idx="3510">
                  <c:v>3263.925593129461</c:v>
                </c:pt>
                <c:pt idx="3511">
                  <c:v>3265.7039231592953</c:v>
                </c:pt>
                <c:pt idx="3512">
                  <c:v>3328.9298381805875</c:v>
                </c:pt>
                <c:pt idx="3513">
                  <c:v>3123.0961422395399</c:v>
                </c:pt>
                <c:pt idx="3514">
                  <c:v>3126.0189881406477</c:v>
                </c:pt>
                <c:pt idx="3515">
                  <c:v>3145.2117209833145</c:v>
                </c:pt>
                <c:pt idx="3516">
                  <c:v>3153.3790162593746</c:v>
                </c:pt>
                <c:pt idx="3517">
                  <c:v>3082.71931135366</c:v>
                </c:pt>
                <c:pt idx="3518">
                  <c:v>3020.1486241124026</c:v>
                </c:pt>
                <c:pt idx="3519">
                  <c:v>3022.7073640340427</c:v>
                </c:pt>
                <c:pt idx="3520">
                  <c:v>2890.0103882122698</c:v>
                </c:pt>
                <c:pt idx="3521">
                  <c:v>2891.4109126329395</c:v>
                </c:pt>
                <c:pt idx="3522">
                  <c:v>2850.757119200844</c:v>
                </c:pt>
                <c:pt idx="3523">
                  <c:v>2810.7502035844464</c:v>
                </c:pt>
                <c:pt idx="3524">
                  <c:v>2742.0055196500698</c:v>
                </c:pt>
                <c:pt idx="3525">
                  <c:v>2723.7844704758891</c:v>
                </c:pt>
                <c:pt idx="3526">
                  <c:v>2728.528080916044</c:v>
                </c:pt>
                <c:pt idx="3527">
                  <c:v>2728.6944549662353</c:v>
                </c:pt>
                <c:pt idx="3528">
                  <c:v>2721.6005778621252</c:v>
                </c:pt>
                <c:pt idx="3529">
                  <c:v>2875.1514772607889</c:v>
                </c:pt>
                <c:pt idx="3530">
                  <c:v>2875.566383641089</c:v>
                </c:pt>
                <c:pt idx="3531">
                  <c:v>3338.1094334825834</c:v>
                </c:pt>
                <c:pt idx="3532">
                  <c:v>3338.1094334825834</c:v>
                </c:pt>
                <c:pt idx="3533">
                  <c:v>3510.4333494236826</c:v>
                </c:pt>
                <c:pt idx="3534">
                  <c:v>3511.9424015417635</c:v>
                </c:pt>
                <c:pt idx="3535">
                  <c:v>3407.3576071981138</c:v>
                </c:pt>
                <c:pt idx="3536">
                  <c:v>3567.3118414949313</c:v>
                </c:pt>
                <c:pt idx="3537">
                  <c:v>3566.7973049279931</c:v>
                </c:pt>
                <c:pt idx="3538">
                  <c:v>3403.2851529223854</c:v>
                </c:pt>
                <c:pt idx="3539">
                  <c:v>3388.0227930415972</c:v>
                </c:pt>
                <c:pt idx="3540">
                  <c:v>3394.6975981570727</c:v>
                </c:pt>
                <c:pt idx="3541">
                  <c:v>3376.2685286857777</c:v>
                </c:pt>
                <c:pt idx="3542">
                  <c:v>3707.0842788536652</c:v>
                </c:pt>
                <c:pt idx="3543">
                  <c:v>3709.5569489728009</c:v>
                </c:pt>
                <c:pt idx="3544">
                  <c:v>3724.5792729737605</c:v>
                </c:pt>
                <c:pt idx="3545">
                  <c:v>3946.1051559578082</c:v>
                </c:pt>
                <c:pt idx="3546">
                  <c:v>3942.430221656889</c:v>
                </c:pt>
                <c:pt idx="3547">
                  <c:v>4085.7829067627122</c:v>
                </c:pt>
                <c:pt idx="3548">
                  <c:v>3991.3970662756187</c:v>
                </c:pt>
                <c:pt idx="3549">
                  <c:v>4000.4084677849091</c:v>
                </c:pt>
                <c:pt idx="3550">
                  <c:v>4002.7000932425017</c:v>
                </c:pt>
                <c:pt idx="3551">
                  <c:v>3909.4613466990722</c:v>
                </c:pt>
                <c:pt idx="3552">
                  <c:v>3929.6220824318684</c:v>
                </c:pt>
                <c:pt idx="3553">
                  <c:v>3866.4631120406607</c:v>
                </c:pt>
                <c:pt idx="3554">
                  <c:v>3871.5245813948372</c:v>
                </c:pt>
                <c:pt idx="3555">
                  <c:v>3871.5636220938845</c:v>
                </c:pt>
                <c:pt idx="3556">
                  <c:v>4204.4561745624442</c:v>
                </c:pt>
                <c:pt idx="3557">
                  <c:v>4205.4386111397635</c:v>
                </c:pt>
                <c:pt idx="3558">
                  <c:v>4119.1160365796313</c:v>
                </c:pt>
                <c:pt idx="3559">
                  <c:v>4232.0600007800376</c:v>
                </c:pt>
                <c:pt idx="3560">
                  <c:v>4166.6666116921124</c:v>
                </c:pt>
                <c:pt idx="3561">
                  <c:v>4177.6699213326992</c:v>
                </c:pt>
                <c:pt idx="3562">
                  <c:v>3940.6661308774869</c:v>
                </c:pt>
                <c:pt idx="3563">
                  <c:v>3944.2971292819534</c:v>
                </c:pt>
                <c:pt idx="3564">
                  <c:v>3946.3517885285323</c:v>
                </c:pt>
                <c:pt idx="3565">
                  <c:v>3915.0157494897726</c:v>
                </c:pt>
                <c:pt idx="3566">
                  <c:v>3870.9390089525809</c:v>
                </c:pt>
                <c:pt idx="3567">
                  <c:v>3805.6309358111012</c:v>
                </c:pt>
                <c:pt idx="3568">
                  <c:v>3812.8912816614188</c:v>
                </c:pt>
                <c:pt idx="3569">
                  <c:v>4032.9701523584986</c:v>
                </c:pt>
                <c:pt idx="3570">
                  <c:v>4034.2733758901732</c:v>
                </c:pt>
                <c:pt idx="3571">
                  <c:v>4020.1405467602995</c:v>
                </c:pt>
                <c:pt idx="3572">
                  <c:v>4041.7275641274991</c:v>
                </c:pt>
                <c:pt idx="3573">
                  <c:v>4211.8762391240843</c:v>
                </c:pt>
                <c:pt idx="3574">
                  <c:v>4201.0896082674599</c:v>
                </c:pt>
                <c:pt idx="3575">
                  <c:v>4201.0896082674599</c:v>
                </c:pt>
                <c:pt idx="3576">
                  <c:v>4274.1591415925514</c:v>
                </c:pt>
                <c:pt idx="3577">
                  <c:v>4194.4116165163759</c:v>
                </c:pt>
                <c:pt idx="3578">
                  <c:v>4194.7885273032934</c:v>
                </c:pt>
                <c:pt idx="3579">
                  <c:v>4235.1205237721451</c:v>
                </c:pt>
                <c:pt idx="3580">
                  <c:v>4054.6108805196759</c:v>
                </c:pt>
                <c:pt idx="3581">
                  <c:v>4061.1379905571725</c:v>
                </c:pt>
                <c:pt idx="3582">
                  <c:v>4063.6045950992434</c:v>
                </c:pt>
                <c:pt idx="3583">
                  <c:v>4062.7874522910943</c:v>
                </c:pt>
                <c:pt idx="3584">
                  <c:v>4004.3362565850439</c:v>
                </c:pt>
                <c:pt idx="3585">
                  <c:v>4097.3311751159772</c:v>
                </c:pt>
                <c:pt idx="3586">
                  <c:v>4052.109279306042</c:v>
                </c:pt>
                <c:pt idx="3587">
                  <c:v>3698.7665562307311</c:v>
                </c:pt>
                <c:pt idx="3588">
                  <c:v>3698.4785161908358</c:v>
                </c:pt>
              </c:numCache>
            </c:numRef>
          </c:val>
          <c:smooth val="0"/>
          <c:extLst>
            <c:ext xmlns:c16="http://schemas.microsoft.com/office/drawing/2014/chart" uri="{C3380CC4-5D6E-409C-BE32-E72D297353CC}">
              <c16:uniqueId val="{00000008-B3ED-084A-9072-BBC29119F1A3}"/>
            </c:ext>
          </c:extLst>
        </c:ser>
        <c:ser>
          <c:idx val="6"/>
          <c:order val="5"/>
          <c:tx>
            <c:v>熔断后卓尔金历法2</c:v>
          </c:tx>
          <c:spPr>
            <a:ln w="28575" cap="rnd">
              <a:solidFill>
                <a:schemeClr val="accent1">
                  <a:lumMod val="60000"/>
                </a:schemeClr>
              </a:solidFill>
              <a:round/>
            </a:ln>
            <a:effectLst/>
          </c:spPr>
          <c:marker>
            <c:symbol val="none"/>
          </c:marker>
          <c:val>
            <c:numRef>
              <c:f>回测实验室!$O$470:$O$4058</c:f>
              <c:numCache>
                <c:formatCode>General</c:formatCode>
                <c:ptCount val="3589"/>
                <c:pt idx="0">
                  <c:v>1</c:v>
                </c:pt>
                <c:pt idx="1">
                  <c:v>1</c:v>
                </c:pt>
                <c:pt idx="2">
                  <c:v>1</c:v>
                </c:pt>
                <c:pt idx="3">
                  <c:v>1.0008866227611797</c:v>
                </c:pt>
                <c:pt idx="4">
                  <c:v>1.0201010988813544</c:v>
                </c:pt>
                <c:pt idx="5">
                  <c:v>1.0347210951118015</c:v>
                </c:pt>
                <c:pt idx="6">
                  <c:v>1.03816540746298</c:v>
                </c:pt>
                <c:pt idx="7">
                  <c:v>1.0389029235813694</c:v>
                </c:pt>
                <c:pt idx="8">
                  <c:v>1.0346780076531932</c:v>
                </c:pt>
                <c:pt idx="9">
                  <c:v>1.0349755994967642</c:v>
                </c:pt>
                <c:pt idx="10">
                  <c:v>1.0362597996015448</c:v>
                </c:pt>
                <c:pt idx="11">
                  <c:v>1.0422036361991689</c:v>
                </c:pt>
                <c:pt idx="12">
                  <c:v>1.0416608300773409</c:v>
                </c:pt>
                <c:pt idx="13">
                  <c:v>1.0415372463646995</c:v>
                </c:pt>
                <c:pt idx="14">
                  <c:v>1.0414164304658529</c:v>
                </c:pt>
                <c:pt idx="15">
                  <c:v>1.042343920202915</c:v>
                </c:pt>
                <c:pt idx="16">
                  <c:v>1.0450553480932123</c:v>
                </c:pt>
                <c:pt idx="17">
                  <c:v>1.0458084766981905</c:v>
                </c:pt>
                <c:pt idx="18">
                  <c:v>1.0469228740940812</c:v>
                </c:pt>
                <c:pt idx="19">
                  <c:v>1.0456204066891031</c:v>
                </c:pt>
                <c:pt idx="20">
                  <c:v>1.0461281560852633</c:v>
                </c:pt>
                <c:pt idx="21">
                  <c:v>1.0461281560852633</c:v>
                </c:pt>
                <c:pt idx="22">
                  <c:v>1.0461294631447293</c:v>
                </c:pt>
                <c:pt idx="23">
                  <c:v>1.0460366647066439</c:v>
                </c:pt>
                <c:pt idx="24">
                  <c:v>1.0502497230880254</c:v>
                </c:pt>
                <c:pt idx="25">
                  <c:v>1.049042194365295</c:v>
                </c:pt>
                <c:pt idx="26">
                  <c:v>1.0495368137480257</c:v>
                </c:pt>
                <c:pt idx="27">
                  <c:v>1.0495360734560106</c:v>
                </c:pt>
                <c:pt idx="28">
                  <c:v>1.0491159393163831</c:v>
                </c:pt>
                <c:pt idx="29">
                  <c:v>1.049172045573582</c:v>
                </c:pt>
                <c:pt idx="30">
                  <c:v>1.0469278941014424</c:v>
                </c:pt>
                <c:pt idx="31">
                  <c:v>1.0523553162646777</c:v>
                </c:pt>
                <c:pt idx="32">
                  <c:v>1.0520999643757321</c:v>
                </c:pt>
                <c:pt idx="33">
                  <c:v>1.0501447306430183</c:v>
                </c:pt>
                <c:pt idx="34">
                  <c:v>1.0506624204607202</c:v>
                </c:pt>
                <c:pt idx="35">
                  <c:v>1.0493563318115555</c:v>
                </c:pt>
                <c:pt idx="36">
                  <c:v>1.0369669390360867</c:v>
                </c:pt>
                <c:pt idx="37">
                  <c:v>1.0115220530670288</c:v>
                </c:pt>
                <c:pt idx="38">
                  <c:v>1.0142474192299349</c:v>
                </c:pt>
                <c:pt idx="39">
                  <c:v>1.032006118379464</c:v>
                </c:pt>
                <c:pt idx="40">
                  <c:v>1.0168044127908693</c:v>
                </c:pt>
                <c:pt idx="41">
                  <c:v>0.93297407397814303</c:v>
                </c:pt>
                <c:pt idx="42">
                  <c:v>0.94341588591437742</c:v>
                </c:pt>
                <c:pt idx="43">
                  <c:v>0.93933451343429786</c:v>
                </c:pt>
                <c:pt idx="44">
                  <c:v>0.92452464381659671</c:v>
                </c:pt>
                <c:pt idx="45">
                  <c:v>0.96488441398253566</c:v>
                </c:pt>
                <c:pt idx="46">
                  <c:v>0.9646045270219421</c:v>
                </c:pt>
                <c:pt idx="47">
                  <c:v>0.95628287818844482</c:v>
                </c:pt>
                <c:pt idx="48">
                  <c:v>0.96118420418701611</c:v>
                </c:pt>
                <c:pt idx="49">
                  <c:v>0.97852137690652075</c:v>
                </c:pt>
                <c:pt idx="50">
                  <c:v>0.96840988406408246</c:v>
                </c:pt>
                <c:pt idx="51">
                  <c:v>0.95563410283173167</c:v>
                </c:pt>
                <c:pt idx="52">
                  <c:v>0.97281039384738544</c:v>
                </c:pt>
                <c:pt idx="53">
                  <c:v>1.0128485115840564</c:v>
                </c:pt>
                <c:pt idx="54">
                  <c:v>1.0128485115840564</c:v>
                </c:pt>
                <c:pt idx="55">
                  <c:v>0.98175726169152844</c:v>
                </c:pt>
                <c:pt idx="56">
                  <c:v>0.97316071777813751</c:v>
                </c:pt>
                <c:pt idx="57">
                  <c:v>0.99127403079539655</c:v>
                </c:pt>
                <c:pt idx="58">
                  <c:v>0.985184159228774</c:v>
                </c:pt>
                <c:pt idx="59">
                  <c:v>0.98208738481427038</c:v>
                </c:pt>
                <c:pt idx="60">
                  <c:v>0.98646909958061413</c:v>
                </c:pt>
                <c:pt idx="61">
                  <c:v>1.0198494551262143</c:v>
                </c:pt>
                <c:pt idx="62">
                  <c:v>1.0275594540473261</c:v>
                </c:pt>
                <c:pt idx="63">
                  <c:v>1.0280553185611092</c:v>
                </c:pt>
                <c:pt idx="64">
                  <c:v>1.0254904180350131</c:v>
                </c:pt>
                <c:pt idx="65">
                  <c:v>1.0415860004307582</c:v>
                </c:pt>
                <c:pt idx="66">
                  <c:v>1.0363272931567291</c:v>
                </c:pt>
                <c:pt idx="67">
                  <c:v>1.036781660190121</c:v>
                </c:pt>
                <c:pt idx="68">
                  <c:v>0.99695627709448242</c:v>
                </c:pt>
                <c:pt idx="69">
                  <c:v>0.99543337892163486</c:v>
                </c:pt>
                <c:pt idx="70">
                  <c:v>1.0041665217386788</c:v>
                </c:pt>
                <c:pt idx="71">
                  <c:v>1.0087019083470827</c:v>
                </c:pt>
                <c:pt idx="72">
                  <c:v>1.0183050516115302</c:v>
                </c:pt>
                <c:pt idx="73">
                  <c:v>1.0267350168830074</c:v>
                </c:pt>
                <c:pt idx="74">
                  <c:v>1.022004246905964</c:v>
                </c:pt>
                <c:pt idx="75">
                  <c:v>1.0265117465251627</c:v>
                </c:pt>
                <c:pt idx="76">
                  <c:v>1.0161763680246201</c:v>
                </c:pt>
                <c:pt idx="77">
                  <c:v>1.0113605257839535</c:v>
                </c:pt>
                <c:pt idx="78">
                  <c:v>1.0273054569237141</c:v>
                </c:pt>
                <c:pt idx="79">
                  <c:v>1.029924246176076</c:v>
                </c:pt>
                <c:pt idx="80">
                  <c:v>1.0369129214255155</c:v>
                </c:pt>
                <c:pt idx="81">
                  <c:v>1.048416569249037</c:v>
                </c:pt>
                <c:pt idx="82">
                  <c:v>1.048416569249037</c:v>
                </c:pt>
                <c:pt idx="83">
                  <c:v>1.048416569249037</c:v>
                </c:pt>
                <c:pt idx="84">
                  <c:v>1.048416569249037</c:v>
                </c:pt>
                <c:pt idx="85">
                  <c:v>1.0514057177658496</c:v>
                </c:pt>
                <c:pt idx="86">
                  <c:v>1.0501473803440997</c:v>
                </c:pt>
                <c:pt idx="87">
                  <c:v>1.0505508465992661</c:v>
                </c:pt>
                <c:pt idx="88">
                  <c:v>1.0519293509700189</c:v>
                </c:pt>
                <c:pt idx="89">
                  <c:v>1.049901919732128</c:v>
                </c:pt>
                <c:pt idx="90">
                  <c:v>1.0405342398663093</c:v>
                </c:pt>
                <c:pt idx="91">
                  <c:v>1.0401132426559998</c:v>
                </c:pt>
                <c:pt idx="92">
                  <c:v>1.0478923810098686</c:v>
                </c:pt>
                <c:pt idx="93">
                  <c:v>1.0449574498455396</c:v>
                </c:pt>
                <c:pt idx="94">
                  <c:v>1.0438961194370058</c:v>
                </c:pt>
                <c:pt idx="95">
                  <c:v>1.0466214761323256</c:v>
                </c:pt>
                <c:pt idx="96">
                  <c:v>1.0468396384257421</c:v>
                </c:pt>
                <c:pt idx="97">
                  <c:v>1.0451826399125745</c:v>
                </c:pt>
                <c:pt idx="98">
                  <c:v>1.0519369898942026</c:v>
                </c:pt>
                <c:pt idx="99">
                  <c:v>1.0539113982038628</c:v>
                </c:pt>
                <c:pt idx="100">
                  <c:v>1.0517304904868083</c:v>
                </c:pt>
                <c:pt idx="101">
                  <c:v>1.049086138664949</c:v>
                </c:pt>
                <c:pt idx="102">
                  <c:v>1.0489066447783393</c:v>
                </c:pt>
                <c:pt idx="103">
                  <c:v>1.0505322984350935</c:v>
                </c:pt>
                <c:pt idx="104">
                  <c:v>1.0506376372177466</c:v>
                </c:pt>
                <c:pt idx="105">
                  <c:v>1.0526059169785609</c:v>
                </c:pt>
                <c:pt idx="106">
                  <c:v>1.0533269776651533</c:v>
                </c:pt>
                <c:pt idx="107">
                  <c:v>1.0514168886548696</c:v>
                </c:pt>
                <c:pt idx="108">
                  <c:v>1.0520434465781034</c:v>
                </c:pt>
                <c:pt idx="109">
                  <c:v>1.040398420831395</c:v>
                </c:pt>
                <c:pt idx="110">
                  <c:v>1.0379493657066612</c:v>
                </c:pt>
                <c:pt idx="111">
                  <c:v>1.0399734683055613</c:v>
                </c:pt>
                <c:pt idx="112">
                  <c:v>1.0396214313446537</c:v>
                </c:pt>
                <c:pt idx="113">
                  <c:v>1.0445138571029506</c:v>
                </c:pt>
                <c:pt idx="114">
                  <c:v>1.0431083589430523</c:v>
                </c:pt>
                <c:pt idx="115">
                  <c:v>1.0658367728781235</c:v>
                </c:pt>
                <c:pt idx="116">
                  <c:v>1.0654272944095917</c:v>
                </c:pt>
                <c:pt idx="117">
                  <c:v>1.0658009048582242</c:v>
                </c:pt>
                <c:pt idx="118">
                  <c:v>1.0692698051023974</c:v>
                </c:pt>
                <c:pt idx="119">
                  <c:v>1.0695407552292646</c:v>
                </c:pt>
                <c:pt idx="120">
                  <c:v>1.0696850129031168</c:v>
                </c:pt>
                <c:pt idx="121">
                  <c:v>1.0714770922445411</c:v>
                </c:pt>
                <c:pt idx="122">
                  <c:v>1.0706956941602805</c:v>
                </c:pt>
                <c:pt idx="123">
                  <c:v>1.0670433220191244</c:v>
                </c:pt>
                <c:pt idx="124">
                  <c:v>1.0674244754049347</c:v>
                </c:pt>
                <c:pt idx="125">
                  <c:v>1.067101428685282</c:v>
                </c:pt>
                <c:pt idx="126">
                  <c:v>1.0662567742620097</c:v>
                </c:pt>
                <c:pt idx="127">
                  <c:v>1.0654686789546499</c:v>
                </c:pt>
                <c:pt idx="128">
                  <c:v>1.0667767173725009</c:v>
                </c:pt>
                <c:pt idx="129">
                  <c:v>1.0646851268890309</c:v>
                </c:pt>
                <c:pt idx="130">
                  <c:v>1.064947917811339</c:v>
                </c:pt>
                <c:pt idx="131">
                  <c:v>1.0654337717613258</c:v>
                </c:pt>
                <c:pt idx="132">
                  <c:v>1.0653363739867345</c:v>
                </c:pt>
                <c:pt idx="133">
                  <c:v>1.0649766972987085</c:v>
                </c:pt>
                <c:pt idx="134">
                  <c:v>1.0681308014112869</c:v>
                </c:pt>
                <c:pt idx="135">
                  <c:v>1.0681079956353154</c:v>
                </c:pt>
                <c:pt idx="136">
                  <c:v>1.0680797087241209</c:v>
                </c:pt>
                <c:pt idx="137">
                  <c:v>1.0680920443145834</c:v>
                </c:pt>
                <c:pt idx="138">
                  <c:v>1.0680616279077135</c:v>
                </c:pt>
                <c:pt idx="139">
                  <c:v>1.0680216670615978</c:v>
                </c:pt>
                <c:pt idx="140">
                  <c:v>1.068014712123555</c:v>
                </c:pt>
                <c:pt idx="141">
                  <c:v>1.0681104762627167</c:v>
                </c:pt>
                <c:pt idx="142">
                  <c:v>1.0681550249581668</c:v>
                </c:pt>
                <c:pt idx="143">
                  <c:v>1.0679766693399968</c:v>
                </c:pt>
                <c:pt idx="144">
                  <c:v>1.0688643356928662</c:v>
                </c:pt>
                <c:pt idx="145">
                  <c:v>1.0718818200241833</c:v>
                </c:pt>
                <c:pt idx="146">
                  <c:v>1.0722944192008776</c:v>
                </c:pt>
                <c:pt idx="147">
                  <c:v>1.0766808065877147</c:v>
                </c:pt>
                <c:pt idx="148">
                  <c:v>1.0757086081499017</c:v>
                </c:pt>
                <c:pt idx="149">
                  <c:v>1.07516646991512</c:v>
                </c:pt>
                <c:pt idx="150">
                  <c:v>1.0730036585675444</c:v>
                </c:pt>
                <c:pt idx="151">
                  <c:v>1.0745248837914982</c:v>
                </c:pt>
                <c:pt idx="152">
                  <c:v>1.0752259363387759</c:v>
                </c:pt>
                <c:pt idx="153">
                  <c:v>1.0745165745329937</c:v>
                </c:pt>
                <c:pt idx="154">
                  <c:v>1.0747522489113919</c:v>
                </c:pt>
                <c:pt idx="155">
                  <c:v>1.0699962157686898</c:v>
                </c:pt>
                <c:pt idx="156">
                  <c:v>1.0677401139499554</c:v>
                </c:pt>
                <c:pt idx="157">
                  <c:v>1.0687185348350172</c:v>
                </c:pt>
                <c:pt idx="158">
                  <c:v>1.0706287949650304</c:v>
                </c:pt>
                <c:pt idx="159">
                  <c:v>1.0721910361716434</c:v>
                </c:pt>
                <c:pt idx="160">
                  <c:v>1.0734608725489563</c:v>
                </c:pt>
                <c:pt idx="161">
                  <c:v>1.0720658921623474</c:v>
                </c:pt>
                <c:pt idx="162">
                  <c:v>1.0722543382771348</c:v>
                </c:pt>
                <c:pt idx="163">
                  <c:v>1.0721302381230864</c:v>
                </c:pt>
                <c:pt idx="164">
                  <c:v>1.0721748363461343</c:v>
                </c:pt>
                <c:pt idx="165">
                  <c:v>1.0721276461763916</c:v>
                </c:pt>
                <c:pt idx="166">
                  <c:v>1.0720983085353237</c:v>
                </c:pt>
                <c:pt idx="167">
                  <c:v>1.0712037976700926</c:v>
                </c:pt>
                <c:pt idx="168">
                  <c:v>1.0711772822464094</c:v>
                </c:pt>
                <c:pt idx="169">
                  <c:v>1.0711102713912819</c:v>
                </c:pt>
                <c:pt idx="170">
                  <c:v>1.0710330685246106</c:v>
                </c:pt>
                <c:pt idx="171">
                  <c:v>1.0713868611510424</c:v>
                </c:pt>
                <c:pt idx="172">
                  <c:v>1.0715268983876194</c:v>
                </c:pt>
                <c:pt idx="173">
                  <c:v>1.071783857654758</c:v>
                </c:pt>
                <c:pt idx="174">
                  <c:v>1.0718364242367444</c:v>
                </c:pt>
                <c:pt idx="175">
                  <c:v>1.071922431108461</c:v>
                </c:pt>
                <c:pt idx="176">
                  <c:v>1.0718353104392921</c:v>
                </c:pt>
                <c:pt idx="177">
                  <c:v>1.0717916539377257</c:v>
                </c:pt>
                <c:pt idx="178">
                  <c:v>1.0718361291773435</c:v>
                </c:pt>
                <c:pt idx="179">
                  <c:v>1.0718314035263523</c:v>
                </c:pt>
                <c:pt idx="180">
                  <c:v>1.072681253824554</c:v>
                </c:pt>
                <c:pt idx="181">
                  <c:v>1.0721021451115986</c:v>
                </c:pt>
                <c:pt idx="182">
                  <c:v>1.0728232218838514</c:v>
                </c:pt>
                <c:pt idx="183">
                  <c:v>1.0716410032960573</c:v>
                </c:pt>
                <c:pt idx="184">
                  <c:v>1.0725854502812024</c:v>
                </c:pt>
                <c:pt idx="185">
                  <c:v>1.0724959220312751</c:v>
                </c:pt>
                <c:pt idx="186">
                  <c:v>1.0728915270888708</c:v>
                </c:pt>
                <c:pt idx="187">
                  <c:v>1.072472640285413</c:v>
                </c:pt>
                <c:pt idx="188">
                  <c:v>1.074420547915687</c:v>
                </c:pt>
                <c:pt idx="189">
                  <c:v>1.0785749145020542</c:v>
                </c:pt>
                <c:pt idx="190">
                  <c:v>1.0774591238991094</c:v>
                </c:pt>
                <c:pt idx="191">
                  <c:v>1.0756244093720149</c:v>
                </c:pt>
                <c:pt idx="192">
                  <c:v>1.0780229885264587</c:v>
                </c:pt>
                <c:pt idx="193">
                  <c:v>1.0855568059550846</c:v>
                </c:pt>
                <c:pt idx="194">
                  <c:v>1.0865724568880801</c:v>
                </c:pt>
                <c:pt idx="195">
                  <c:v>1.0932068036346727</c:v>
                </c:pt>
                <c:pt idx="196">
                  <c:v>1.0956468645878059</c:v>
                </c:pt>
                <c:pt idx="197">
                  <c:v>1.0914280323076277</c:v>
                </c:pt>
                <c:pt idx="198">
                  <c:v>1.0866090930475285</c:v>
                </c:pt>
                <c:pt idx="199">
                  <c:v>1.0908461038092829</c:v>
                </c:pt>
                <c:pt idx="200">
                  <c:v>1.0981311381950176</c:v>
                </c:pt>
                <c:pt idx="201">
                  <c:v>1.1079212139270671</c:v>
                </c:pt>
                <c:pt idx="202">
                  <c:v>1.1091559189807769</c:v>
                </c:pt>
                <c:pt idx="203">
                  <c:v>1.1359261209363893</c:v>
                </c:pt>
                <c:pt idx="204">
                  <c:v>1.1326931927062061</c:v>
                </c:pt>
                <c:pt idx="205">
                  <c:v>1.1258686907524142</c:v>
                </c:pt>
                <c:pt idx="206">
                  <c:v>1.1297205442053126</c:v>
                </c:pt>
                <c:pt idx="207">
                  <c:v>1.1344929460203692</c:v>
                </c:pt>
                <c:pt idx="208">
                  <c:v>1.1400217567431148</c:v>
                </c:pt>
                <c:pt idx="209">
                  <c:v>1.1404194429385341</c:v>
                </c:pt>
                <c:pt idx="210">
                  <c:v>1.1382171381430686</c:v>
                </c:pt>
                <c:pt idx="211">
                  <c:v>1.1349611487966589</c:v>
                </c:pt>
                <c:pt idx="212">
                  <c:v>1.1330880502582212</c:v>
                </c:pt>
                <c:pt idx="213">
                  <c:v>1.132333737709053</c:v>
                </c:pt>
                <c:pt idx="214">
                  <c:v>1.1341555626669759</c:v>
                </c:pt>
                <c:pt idx="215">
                  <c:v>1.1415910965807339</c:v>
                </c:pt>
                <c:pt idx="216">
                  <c:v>1.1409028205471854</c:v>
                </c:pt>
                <c:pt idx="217">
                  <c:v>1.1416104013907038</c:v>
                </c:pt>
                <c:pt idx="218">
                  <c:v>1.1422799655433884</c:v>
                </c:pt>
                <c:pt idx="219">
                  <c:v>1.1412643900600752</c:v>
                </c:pt>
                <c:pt idx="220">
                  <c:v>1.1433103079114686</c:v>
                </c:pt>
                <c:pt idx="221">
                  <c:v>1.138196373891079</c:v>
                </c:pt>
                <c:pt idx="222">
                  <c:v>1.1385492939435227</c:v>
                </c:pt>
                <c:pt idx="223">
                  <c:v>1.1411537400978888</c:v>
                </c:pt>
                <c:pt idx="224">
                  <c:v>1.1407883991341605</c:v>
                </c:pt>
                <c:pt idx="225">
                  <c:v>1.1426479833570882</c:v>
                </c:pt>
                <c:pt idx="226">
                  <c:v>1.1435390472739861</c:v>
                </c:pt>
                <c:pt idx="227">
                  <c:v>1.1488870004432028</c:v>
                </c:pt>
                <c:pt idx="228">
                  <c:v>1.1530585161980764</c:v>
                </c:pt>
                <c:pt idx="229">
                  <c:v>1.1522729347463734</c:v>
                </c:pt>
                <c:pt idx="230">
                  <c:v>1.1697616692491486</c:v>
                </c:pt>
                <c:pt idx="231">
                  <c:v>1.167612084802226</c:v>
                </c:pt>
                <c:pt idx="232">
                  <c:v>1.1651829522770694</c:v>
                </c:pt>
                <c:pt idx="233">
                  <c:v>1.166569538861955</c:v>
                </c:pt>
                <c:pt idx="234">
                  <c:v>1.185893922317319</c:v>
                </c:pt>
                <c:pt idx="235">
                  <c:v>1.1937520213011297</c:v>
                </c:pt>
                <c:pt idx="236">
                  <c:v>1.2016312385010419</c:v>
                </c:pt>
                <c:pt idx="237">
                  <c:v>1.197070372105852</c:v>
                </c:pt>
                <c:pt idx="238">
                  <c:v>1.1899953441292537</c:v>
                </c:pt>
                <c:pt idx="239">
                  <c:v>1.1936498076424842</c:v>
                </c:pt>
                <c:pt idx="240">
                  <c:v>1.1826214300841478</c:v>
                </c:pt>
                <c:pt idx="241">
                  <c:v>1.183077370836465</c:v>
                </c:pt>
                <c:pt idx="242">
                  <c:v>1.1854561490067146</c:v>
                </c:pt>
                <c:pt idx="243">
                  <c:v>1.1894270641281484</c:v>
                </c:pt>
                <c:pt idx="244">
                  <c:v>1.19196117350137</c:v>
                </c:pt>
                <c:pt idx="245">
                  <c:v>1.19196117350137</c:v>
                </c:pt>
                <c:pt idx="246">
                  <c:v>1.1916623675280218</c:v>
                </c:pt>
                <c:pt idx="247">
                  <c:v>1.1893306945264204</c:v>
                </c:pt>
                <c:pt idx="248">
                  <c:v>1.1957244206648698</c:v>
                </c:pt>
                <c:pt idx="249">
                  <c:v>1.1989973473438702</c:v>
                </c:pt>
                <c:pt idx="250">
                  <c:v>1.2027009412821403</c:v>
                </c:pt>
                <c:pt idx="251">
                  <c:v>1.2204906791464616</c:v>
                </c:pt>
                <c:pt idx="252">
                  <c:v>1.2278472414559438</c:v>
                </c:pt>
                <c:pt idx="253">
                  <c:v>1.2280022285200987</c:v>
                </c:pt>
                <c:pt idx="254">
                  <c:v>1.2267416404672609</c:v>
                </c:pt>
                <c:pt idx="255">
                  <c:v>1.2266612835500115</c:v>
                </c:pt>
                <c:pt idx="256">
                  <c:v>1.2279783122391947</c:v>
                </c:pt>
                <c:pt idx="257">
                  <c:v>1.2277199139224921</c:v>
                </c:pt>
                <c:pt idx="258">
                  <c:v>1.2277816609072121</c:v>
                </c:pt>
                <c:pt idx="259">
                  <c:v>1.2313045188024627</c:v>
                </c:pt>
                <c:pt idx="260">
                  <c:v>1.2326286450253963</c:v>
                </c:pt>
                <c:pt idx="261">
                  <c:v>1.23271283961778</c:v>
                </c:pt>
                <c:pt idx="262">
                  <c:v>1.2330157920075153</c:v>
                </c:pt>
                <c:pt idx="263">
                  <c:v>1.2338320333416468</c:v>
                </c:pt>
                <c:pt idx="264">
                  <c:v>1.2394383109886715</c:v>
                </c:pt>
                <c:pt idx="265">
                  <c:v>1.2683503355088612</c:v>
                </c:pt>
                <c:pt idx="266">
                  <c:v>1.0457524272837355</c:v>
                </c:pt>
                <c:pt idx="267">
                  <c:v>1.0457524272837355</c:v>
                </c:pt>
                <c:pt idx="268">
                  <c:v>1.0444845769924349</c:v>
                </c:pt>
                <c:pt idx="269">
                  <c:v>1.0444845769924349</c:v>
                </c:pt>
                <c:pt idx="270">
                  <c:v>1.0443525094574169</c:v>
                </c:pt>
                <c:pt idx="271">
                  <c:v>1.0442848453697537</c:v>
                </c:pt>
                <c:pt idx="272">
                  <c:v>1.0432705808294112</c:v>
                </c:pt>
                <c:pt idx="273">
                  <c:v>1.0388009111088865</c:v>
                </c:pt>
                <c:pt idx="274">
                  <c:v>1.0391085364655577</c:v>
                </c:pt>
                <c:pt idx="275">
                  <c:v>1.0387770994956387</c:v>
                </c:pt>
                <c:pt idx="276">
                  <c:v>1.0374040160955216</c:v>
                </c:pt>
                <c:pt idx="277">
                  <c:v>1.0374430952197606</c:v>
                </c:pt>
                <c:pt idx="278">
                  <c:v>1.0375328235083954</c:v>
                </c:pt>
                <c:pt idx="279">
                  <c:v>1.0380686546561846</c:v>
                </c:pt>
                <c:pt idx="280">
                  <c:v>1.0402292606524659</c:v>
                </c:pt>
                <c:pt idx="281">
                  <c:v>1.0406363752841932</c:v>
                </c:pt>
                <c:pt idx="282">
                  <c:v>1.0402015764849608</c:v>
                </c:pt>
                <c:pt idx="283">
                  <c:v>1.0404309117533355</c:v>
                </c:pt>
                <c:pt idx="284">
                  <c:v>1.0403318070705398</c:v>
                </c:pt>
                <c:pt idx="285">
                  <c:v>1.0407122751514839</c:v>
                </c:pt>
                <c:pt idx="286">
                  <c:v>1.0400047226716169</c:v>
                </c:pt>
                <c:pt idx="287">
                  <c:v>1.0406991779060004</c:v>
                </c:pt>
                <c:pt idx="288">
                  <c:v>1.040572642228073</c:v>
                </c:pt>
                <c:pt idx="289">
                  <c:v>1.0406378591065071</c:v>
                </c:pt>
                <c:pt idx="290">
                  <c:v>1.0400682743144865</c:v>
                </c:pt>
                <c:pt idx="291">
                  <c:v>1.0394506765187941</c:v>
                </c:pt>
                <c:pt idx="292">
                  <c:v>1.0393216411675843</c:v>
                </c:pt>
                <c:pt idx="293">
                  <c:v>1.0391930089527348</c:v>
                </c:pt>
                <c:pt idx="294">
                  <c:v>1.0381739254515059</c:v>
                </c:pt>
                <c:pt idx="295">
                  <c:v>1.0382230857274952</c:v>
                </c:pt>
                <c:pt idx="296">
                  <c:v>1.0382963275471153</c:v>
                </c:pt>
                <c:pt idx="297">
                  <c:v>1.0383084119628871</c:v>
                </c:pt>
                <c:pt idx="298">
                  <c:v>1.0385255680877312</c:v>
                </c:pt>
                <c:pt idx="299">
                  <c:v>1.0399542161702398</c:v>
                </c:pt>
                <c:pt idx="300">
                  <c:v>1.0409440296841359</c:v>
                </c:pt>
                <c:pt idx="301">
                  <c:v>1.0412559438745064</c:v>
                </c:pt>
                <c:pt idx="302">
                  <c:v>1.0411802267581767</c:v>
                </c:pt>
                <c:pt idx="303">
                  <c:v>1.041156177816424</c:v>
                </c:pt>
                <c:pt idx="304">
                  <c:v>1.0411069790191105</c:v>
                </c:pt>
                <c:pt idx="305">
                  <c:v>1.0411555079502939</c:v>
                </c:pt>
                <c:pt idx="306">
                  <c:v>1.0411985517400728</c:v>
                </c:pt>
                <c:pt idx="307">
                  <c:v>1.0412213532526886</c:v>
                </c:pt>
                <c:pt idx="308">
                  <c:v>1.0412693257187309</c:v>
                </c:pt>
                <c:pt idx="309">
                  <c:v>1.0412531305310382</c:v>
                </c:pt>
                <c:pt idx="310">
                  <c:v>1.0412742287062868</c:v>
                </c:pt>
                <c:pt idx="311">
                  <c:v>1.0412742287062868</c:v>
                </c:pt>
                <c:pt idx="312">
                  <c:v>1.0415294525092342</c:v>
                </c:pt>
                <c:pt idx="313">
                  <c:v>1.041741381795392</c:v>
                </c:pt>
                <c:pt idx="314">
                  <c:v>1.0415724616566546</c:v>
                </c:pt>
                <c:pt idx="315">
                  <c:v>1.0409025831027907</c:v>
                </c:pt>
                <c:pt idx="316">
                  <c:v>1.0395927673708711</c:v>
                </c:pt>
                <c:pt idx="317">
                  <c:v>1.0350427778111106</c:v>
                </c:pt>
                <c:pt idx="318">
                  <c:v>1.0349189841207238</c:v>
                </c:pt>
                <c:pt idx="319">
                  <c:v>1.0353662201788099</c:v>
                </c:pt>
                <c:pt idx="320">
                  <c:v>1.0368478478059155</c:v>
                </c:pt>
                <c:pt idx="321">
                  <c:v>1.0357376746443161</c:v>
                </c:pt>
                <c:pt idx="322">
                  <c:v>1.0353863750590775</c:v>
                </c:pt>
                <c:pt idx="323">
                  <c:v>1.0337862475628581</c:v>
                </c:pt>
                <c:pt idx="324">
                  <c:v>1.0324920379955398</c:v>
                </c:pt>
                <c:pt idx="325">
                  <c:v>1.03316206630288</c:v>
                </c:pt>
                <c:pt idx="326">
                  <c:v>1.0333105587140197</c:v>
                </c:pt>
                <c:pt idx="327">
                  <c:v>1.0329667319765181</c:v>
                </c:pt>
                <c:pt idx="328">
                  <c:v>1.0340597921682975</c:v>
                </c:pt>
                <c:pt idx="329">
                  <c:v>1.0323506537626823</c:v>
                </c:pt>
                <c:pt idx="330">
                  <c:v>1.0323477777949992</c:v>
                </c:pt>
                <c:pt idx="331">
                  <c:v>1.0307834326974477</c:v>
                </c:pt>
                <c:pt idx="332">
                  <c:v>1.0318471474365256</c:v>
                </c:pt>
                <c:pt idx="333">
                  <c:v>1.0308542612986855</c:v>
                </c:pt>
                <c:pt idx="334">
                  <c:v>1.0308542612986855</c:v>
                </c:pt>
                <c:pt idx="335">
                  <c:v>1.0182876744914424</c:v>
                </c:pt>
                <c:pt idx="336">
                  <c:v>1.012660362787148</c:v>
                </c:pt>
                <c:pt idx="337">
                  <c:v>1.0129671398352158</c:v>
                </c:pt>
                <c:pt idx="338">
                  <c:v>1.0162584905118244</c:v>
                </c:pt>
                <c:pt idx="339">
                  <c:v>1.0144806765107679</c:v>
                </c:pt>
                <c:pt idx="340">
                  <c:v>1.0192633593086928</c:v>
                </c:pt>
                <c:pt idx="341">
                  <c:v>1.0247570183563006</c:v>
                </c:pt>
                <c:pt idx="342">
                  <c:v>1.0164419269179998</c:v>
                </c:pt>
                <c:pt idx="343">
                  <c:v>1.0154042805028427</c:v>
                </c:pt>
                <c:pt idx="344">
                  <c:v>1.0166823836072085</c:v>
                </c:pt>
                <c:pt idx="345">
                  <c:v>1.0195005314025662</c:v>
                </c:pt>
                <c:pt idx="346">
                  <c:v>1.0185799476284951</c:v>
                </c:pt>
                <c:pt idx="347">
                  <c:v>1.0211598470727581</c:v>
                </c:pt>
                <c:pt idx="348">
                  <c:v>1.0213539696108707</c:v>
                </c:pt>
                <c:pt idx="349">
                  <c:v>1.0214415061878392</c:v>
                </c:pt>
                <c:pt idx="350">
                  <c:v>1.0204268139686878</c:v>
                </c:pt>
                <c:pt idx="351">
                  <c:v>1.0216495198993081</c:v>
                </c:pt>
                <c:pt idx="352">
                  <c:v>1.0214523669636755</c:v>
                </c:pt>
                <c:pt idx="353">
                  <c:v>1.0238662666133449</c:v>
                </c:pt>
                <c:pt idx="354">
                  <c:v>1.022877374161097</c:v>
                </c:pt>
                <c:pt idx="355">
                  <c:v>1.0228572210083502</c:v>
                </c:pt>
                <c:pt idx="356">
                  <c:v>1.0270140588650949</c:v>
                </c:pt>
                <c:pt idx="357">
                  <c:v>1.0387524272127024</c:v>
                </c:pt>
                <c:pt idx="358">
                  <c:v>1.0394154753309119</c:v>
                </c:pt>
                <c:pt idx="359">
                  <c:v>1.0371441840238973</c:v>
                </c:pt>
                <c:pt idx="360">
                  <c:v>1.0388774476401119</c:v>
                </c:pt>
                <c:pt idx="361">
                  <c:v>1.038026540676473</c:v>
                </c:pt>
                <c:pt idx="362">
                  <c:v>1.0384799960817686</c:v>
                </c:pt>
                <c:pt idx="363">
                  <c:v>1.051835295138462</c:v>
                </c:pt>
                <c:pt idx="364">
                  <c:v>1.0506144621326259</c:v>
                </c:pt>
                <c:pt idx="365">
                  <c:v>1.0516253503148358</c:v>
                </c:pt>
                <c:pt idx="366">
                  <c:v>1.053015810796389</c:v>
                </c:pt>
                <c:pt idx="367">
                  <c:v>1.0483762256542701</c:v>
                </c:pt>
                <c:pt idx="368">
                  <c:v>1.0477516489592229</c:v>
                </c:pt>
                <c:pt idx="369">
                  <c:v>1.0506123358683381</c:v>
                </c:pt>
                <c:pt idx="370">
                  <c:v>1.0529748041492326</c:v>
                </c:pt>
                <c:pt idx="371">
                  <c:v>1.0624055893282107</c:v>
                </c:pt>
                <c:pt idx="372">
                  <c:v>1.0621596372522202</c:v>
                </c:pt>
                <c:pt idx="373">
                  <c:v>1.0568639762685361</c:v>
                </c:pt>
                <c:pt idx="374">
                  <c:v>1.0704095236377087</c:v>
                </c:pt>
                <c:pt idx="375">
                  <c:v>1.1354526367052706</c:v>
                </c:pt>
                <c:pt idx="376">
                  <c:v>1.132546526102983</c:v>
                </c:pt>
                <c:pt idx="377">
                  <c:v>1.1245432073683783</c:v>
                </c:pt>
                <c:pt idx="378">
                  <c:v>1.1442377209902854</c:v>
                </c:pt>
                <c:pt idx="379">
                  <c:v>1.1358730679166058</c:v>
                </c:pt>
                <c:pt idx="380">
                  <c:v>1.1325518441822624</c:v>
                </c:pt>
                <c:pt idx="381">
                  <c:v>1.1370029534277264</c:v>
                </c:pt>
                <c:pt idx="382">
                  <c:v>1.1509202146806348</c:v>
                </c:pt>
                <c:pt idx="383">
                  <c:v>1.1674708566135843</c:v>
                </c:pt>
                <c:pt idx="384">
                  <c:v>1.1676164010089365</c:v>
                </c:pt>
                <c:pt idx="385">
                  <c:v>1.1554751226982602</c:v>
                </c:pt>
                <c:pt idx="386">
                  <c:v>1.1425442915907578</c:v>
                </c:pt>
                <c:pt idx="387">
                  <c:v>1.122248518154241</c:v>
                </c:pt>
                <c:pt idx="388">
                  <c:v>1.1173670805739915</c:v>
                </c:pt>
                <c:pt idx="389">
                  <c:v>1.1221296580716638</c:v>
                </c:pt>
                <c:pt idx="390">
                  <c:v>1.1566860545182234</c:v>
                </c:pt>
                <c:pt idx="391">
                  <c:v>1.1467930078664537</c:v>
                </c:pt>
                <c:pt idx="392">
                  <c:v>1.1436225351285467</c:v>
                </c:pt>
                <c:pt idx="393">
                  <c:v>1.1270962554399553</c:v>
                </c:pt>
                <c:pt idx="394">
                  <c:v>1.1199830247220595</c:v>
                </c:pt>
                <c:pt idx="395">
                  <c:v>1.1278997817367677</c:v>
                </c:pt>
                <c:pt idx="396">
                  <c:v>1.1237370936336673</c:v>
                </c:pt>
                <c:pt idx="397">
                  <c:v>1.13988259477693</c:v>
                </c:pt>
                <c:pt idx="398">
                  <c:v>1.1333560568963148</c:v>
                </c:pt>
                <c:pt idx="399">
                  <c:v>1.1332872206032669</c:v>
                </c:pt>
                <c:pt idx="400">
                  <c:v>1.1303620603013909</c:v>
                </c:pt>
                <c:pt idx="401">
                  <c:v>1.1371709343330518</c:v>
                </c:pt>
                <c:pt idx="402">
                  <c:v>1.1456642340590215</c:v>
                </c:pt>
                <c:pt idx="403">
                  <c:v>1.1164307830704259</c:v>
                </c:pt>
                <c:pt idx="404">
                  <c:v>1.1134390299514325</c:v>
                </c:pt>
                <c:pt idx="405">
                  <c:v>1.127859934471994</c:v>
                </c:pt>
                <c:pt idx="406">
                  <c:v>1.142250104091701</c:v>
                </c:pt>
                <c:pt idx="407">
                  <c:v>1.1337504662407525</c:v>
                </c:pt>
                <c:pt idx="408">
                  <c:v>1.1356606099621438</c:v>
                </c:pt>
                <c:pt idx="409">
                  <c:v>1.154541624696098</c:v>
                </c:pt>
                <c:pt idx="410">
                  <c:v>1.1765525959664027</c:v>
                </c:pt>
                <c:pt idx="411">
                  <c:v>1.1804393376003977</c:v>
                </c:pt>
                <c:pt idx="412">
                  <c:v>1.2333803333766287</c:v>
                </c:pt>
                <c:pt idx="413">
                  <c:v>1.2329199593852993</c:v>
                </c:pt>
                <c:pt idx="414">
                  <c:v>1.2482384174442347</c:v>
                </c:pt>
                <c:pt idx="415">
                  <c:v>1.2295743478129717</c:v>
                </c:pt>
                <c:pt idx="416">
                  <c:v>1.2559405677442421</c:v>
                </c:pt>
                <c:pt idx="417">
                  <c:v>1.2482422257551189</c:v>
                </c:pt>
                <c:pt idx="418">
                  <c:v>1.3199821528237139</c:v>
                </c:pt>
                <c:pt idx="419">
                  <c:v>1.4409444935472799</c:v>
                </c:pt>
                <c:pt idx="420">
                  <c:v>1.4775261050520163</c:v>
                </c:pt>
                <c:pt idx="421">
                  <c:v>1.4612731194698223</c:v>
                </c:pt>
                <c:pt idx="422">
                  <c:v>1.475203575294211</c:v>
                </c:pt>
                <c:pt idx="423">
                  <c:v>1.6728195857978949</c:v>
                </c:pt>
                <c:pt idx="424">
                  <c:v>1.7640617920257153</c:v>
                </c:pt>
                <c:pt idx="425">
                  <c:v>1.812265448939991</c:v>
                </c:pt>
                <c:pt idx="426">
                  <c:v>1.6844216650349533</c:v>
                </c:pt>
                <c:pt idx="427">
                  <c:v>1.7575591794359344</c:v>
                </c:pt>
                <c:pt idx="428">
                  <c:v>1.8534051184764391</c:v>
                </c:pt>
                <c:pt idx="429">
                  <c:v>1.84074134629493</c:v>
                </c:pt>
                <c:pt idx="430">
                  <c:v>2.0263326897290814</c:v>
                </c:pt>
                <c:pt idx="431">
                  <c:v>2.2095005519462063</c:v>
                </c:pt>
                <c:pt idx="432">
                  <c:v>2.2508478794267011</c:v>
                </c:pt>
                <c:pt idx="433">
                  <c:v>2.4206125429578647</c:v>
                </c:pt>
                <c:pt idx="434">
                  <c:v>2.443258731949967</c:v>
                </c:pt>
                <c:pt idx="435">
                  <c:v>2.2265054957919914</c:v>
                </c:pt>
                <c:pt idx="436">
                  <c:v>2.3761696216794306</c:v>
                </c:pt>
                <c:pt idx="437">
                  <c:v>2.3377982447391608</c:v>
                </c:pt>
                <c:pt idx="438">
                  <c:v>2.3758264696987008</c:v>
                </c:pt>
                <c:pt idx="439">
                  <c:v>2.514922045711955</c:v>
                </c:pt>
                <c:pt idx="440">
                  <c:v>2.7544234884465451</c:v>
                </c:pt>
                <c:pt idx="441">
                  <c:v>2.8886315308631909</c:v>
                </c:pt>
                <c:pt idx="442">
                  <c:v>3.1615012532908264</c:v>
                </c:pt>
                <c:pt idx="443">
                  <c:v>3.2539345803140054</c:v>
                </c:pt>
                <c:pt idx="444">
                  <c:v>3.451816555734589</c:v>
                </c:pt>
                <c:pt idx="445">
                  <c:v>3.6106936605566058</c:v>
                </c:pt>
                <c:pt idx="446">
                  <c:v>3.3098905688687164</c:v>
                </c:pt>
                <c:pt idx="447">
                  <c:v>3.9461860722316651</c:v>
                </c:pt>
                <c:pt idx="448">
                  <c:v>3.9074426072486763</c:v>
                </c:pt>
                <c:pt idx="449">
                  <c:v>3.9426542129733275</c:v>
                </c:pt>
                <c:pt idx="450">
                  <c:v>3.8169878841688485</c:v>
                </c:pt>
                <c:pt idx="451">
                  <c:v>3.8539680963856031</c:v>
                </c:pt>
                <c:pt idx="452">
                  <c:v>4.6021361387840551</c:v>
                </c:pt>
                <c:pt idx="453">
                  <c:v>4.6797856291988085</c:v>
                </c:pt>
                <c:pt idx="454">
                  <c:v>4.7151723952392954</c:v>
                </c:pt>
                <c:pt idx="455">
                  <c:v>4.8857423891617957</c:v>
                </c:pt>
                <c:pt idx="456">
                  <c:v>4.7301772597080225</c:v>
                </c:pt>
                <c:pt idx="457">
                  <c:v>4.7575906197735174</c:v>
                </c:pt>
                <c:pt idx="458">
                  <c:v>4.9273571051332912</c:v>
                </c:pt>
                <c:pt idx="459">
                  <c:v>5.1652862476864421</c:v>
                </c:pt>
                <c:pt idx="460">
                  <c:v>5.094527780638864</c:v>
                </c:pt>
                <c:pt idx="461">
                  <c:v>5.9275458790591644</c:v>
                </c:pt>
                <c:pt idx="462">
                  <c:v>6.3575732172067765</c:v>
                </c:pt>
                <c:pt idx="463">
                  <c:v>6.2579634934928539</c:v>
                </c:pt>
                <c:pt idx="464">
                  <c:v>6.35126072860536</c:v>
                </c:pt>
                <c:pt idx="465">
                  <c:v>7.0088282296153919</c:v>
                </c:pt>
                <c:pt idx="466">
                  <c:v>8.7767936339762205</c:v>
                </c:pt>
                <c:pt idx="467">
                  <c:v>9.1125665332086268</c:v>
                </c:pt>
                <c:pt idx="468">
                  <c:v>9.59925572679251</c:v>
                </c:pt>
                <c:pt idx="469">
                  <c:v>10.696303930397161</c:v>
                </c:pt>
                <c:pt idx="470">
                  <c:v>12.129930830299756</c:v>
                </c:pt>
                <c:pt idx="471">
                  <c:v>11.634387305256634</c:v>
                </c:pt>
                <c:pt idx="472">
                  <c:v>12.794009959718492</c:v>
                </c:pt>
                <c:pt idx="473">
                  <c:v>10.36501804251899</c:v>
                </c:pt>
                <c:pt idx="474">
                  <c:v>10.836913378515266</c:v>
                </c:pt>
                <c:pt idx="475">
                  <c:v>10.964765823101526</c:v>
                </c:pt>
                <c:pt idx="476">
                  <c:v>10.854398323982336</c:v>
                </c:pt>
                <c:pt idx="477">
                  <c:v>10.878598473109403</c:v>
                </c:pt>
                <c:pt idx="478">
                  <c:v>11.078559305920754</c:v>
                </c:pt>
                <c:pt idx="479">
                  <c:v>13.200952939397785</c:v>
                </c:pt>
                <c:pt idx="480">
                  <c:v>17.41103767280843</c:v>
                </c:pt>
                <c:pt idx="481">
                  <c:v>20.97745470193162</c:v>
                </c:pt>
                <c:pt idx="482">
                  <c:v>25.695707124278965</c:v>
                </c:pt>
                <c:pt idx="483">
                  <c:v>24.88132797576057</c:v>
                </c:pt>
                <c:pt idx="484">
                  <c:v>20.930043983682229</c:v>
                </c:pt>
                <c:pt idx="485">
                  <c:v>22.74626840788989</c:v>
                </c:pt>
                <c:pt idx="486">
                  <c:v>24.249986435018794</c:v>
                </c:pt>
                <c:pt idx="487">
                  <c:v>27.883884657018893</c:v>
                </c:pt>
                <c:pt idx="488">
                  <c:v>36.262245145666633</c:v>
                </c:pt>
                <c:pt idx="489">
                  <c:v>33.689143917798027</c:v>
                </c:pt>
                <c:pt idx="490">
                  <c:v>36.593900875443211</c:v>
                </c:pt>
                <c:pt idx="491">
                  <c:v>38.150889021571544</c:v>
                </c:pt>
                <c:pt idx="492">
                  <c:v>38.932897952505058</c:v>
                </c:pt>
                <c:pt idx="493">
                  <c:v>49.182614438670775</c:v>
                </c:pt>
                <c:pt idx="494">
                  <c:v>64.037946542704461</c:v>
                </c:pt>
                <c:pt idx="495">
                  <c:v>85.162455845220947</c:v>
                </c:pt>
                <c:pt idx="496">
                  <c:v>81.076275353288352</c:v>
                </c:pt>
                <c:pt idx="497">
                  <c:v>92.863918679770649</c:v>
                </c:pt>
                <c:pt idx="498">
                  <c:v>93.315177658095806</c:v>
                </c:pt>
                <c:pt idx="499">
                  <c:v>121.88315634581978</c:v>
                </c:pt>
                <c:pt idx="500">
                  <c:v>164.09217837852356</c:v>
                </c:pt>
                <c:pt idx="501">
                  <c:v>248.09834874043824</c:v>
                </c:pt>
                <c:pt idx="502">
                  <c:v>92.320476164943841</c:v>
                </c:pt>
                <c:pt idx="503">
                  <c:v>92.320476164943841</c:v>
                </c:pt>
                <c:pt idx="504">
                  <c:v>92.320476164943841</c:v>
                </c:pt>
                <c:pt idx="505">
                  <c:v>92.320476164943841</c:v>
                </c:pt>
                <c:pt idx="506">
                  <c:v>92.320476164943841</c:v>
                </c:pt>
                <c:pt idx="507">
                  <c:v>92.320476164943841</c:v>
                </c:pt>
                <c:pt idx="508">
                  <c:v>92.320476164943841</c:v>
                </c:pt>
                <c:pt idx="509">
                  <c:v>92.320476164943841</c:v>
                </c:pt>
                <c:pt idx="510">
                  <c:v>114.82127619815643</c:v>
                </c:pt>
                <c:pt idx="511">
                  <c:v>131.19531516966123</c:v>
                </c:pt>
                <c:pt idx="512">
                  <c:v>147.02780764315864</c:v>
                </c:pt>
                <c:pt idx="513">
                  <c:v>131.2618915534168</c:v>
                </c:pt>
                <c:pt idx="514">
                  <c:v>139.85202735043998</c:v>
                </c:pt>
                <c:pt idx="515">
                  <c:v>172.74944691885014</c:v>
                </c:pt>
                <c:pt idx="516">
                  <c:v>198.01745090466133</c:v>
                </c:pt>
                <c:pt idx="517">
                  <c:v>166.17225501763107</c:v>
                </c:pt>
                <c:pt idx="518">
                  <c:v>162.23555661841212</c:v>
                </c:pt>
                <c:pt idx="519">
                  <c:v>156.78304917312295</c:v>
                </c:pt>
                <c:pt idx="520">
                  <c:v>158.71444683102501</c:v>
                </c:pt>
                <c:pt idx="521">
                  <c:v>160.48960182086364</c:v>
                </c:pt>
                <c:pt idx="522">
                  <c:v>174.95363790533489</c:v>
                </c:pt>
                <c:pt idx="523">
                  <c:v>160.52840030902453</c:v>
                </c:pt>
                <c:pt idx="524">
                  <c:v>140.10526537464952</c:v>
                </c:pt>
                <c:pt idx="525">
                  <c:v>140.10526537464952</c:v>
                </c:pt>
                <c:pt idx="526">
                  <c:v>140.10526537464952</c:v>
                </c:pt>
                <c:pt idx="527">
                  <c:v>140.10526537464952</c:v>
                </c:pt>
                <c:pt idx="528">
                  <c:v>150.96748253360033</c:v>
                </c:pt>
                <c:pt idx="529">
                  <c:v>153.88741250098053</c:v>
                </c:pt>
                <c:pt idx="530">
                  <c:v>131.13001284727727</c:v>
                </c:pt>
                <c:pt idx="531">
                  <c:v>133.80473387633313</c:v>
                </c:pt>
                <c:pt idx="532">
                  <c:v>134.43200500311039</c:v>
                </c:pt>
                <c:pt idx="533">
                  <c:v>145.13749006580136</c:v>
                </c:pt>
                <c:pt idx="534">
                  <c:v>134.16092693774507</c:v>
                </c:pt>
                <c:pt idx="535">
                  <c:v>136.02590995336004</c:v>
                </c:pt>
                <c:pt idx="536">
                  <c:v>140.58032316393997</c:v>
                </c:pt>
                <c:pt idx="537">
                  <c:v>136.16239257605457</c:v>
                </c:pt>
                <c:pt idx="538">
                  <c:v>135.69849351587749</c:v>
                </c:pt>
                <c:pt idx="539">
                  <c:v>137.58807558707232</c:v>
                </c:pt>
                <c:pt idx="540">
                  <c:v>151.68312761404457</c:v>
                </c:pt>
                <c:pt idx="541">
                  <c:v>153.17946009614317</c:v>
                </c:pt>
                <c:pt idx="542">
                  <c:v>146.85763972216941</c:v>
                </c:pt>
                <c:pt idx="543">
                  <c:v>149.98035362821258</c:v>
                </c:pt>
                <c:pt idx="544">
                  <c:v>150.58991721161203</c:v>
                </c:pt>
                <c:pt idx="545">
                  <c:v>150.78068203312279</c:v>
                </c:pt>
                <c:pt idx="546">
                  <c:v>156.31437748034719</c:v>
                </c:pt>
                <c:pt idx="547">
                  <c:v>168.46836244425333</c:v>
                </c:pt>
                <c:pt idx="548">
                  <c:v>166.56636475175804</c:v>
                </c:pt>
                <c:pt idx="549">
                  <c:v>173.94520508835257</c:v>
                </c:pt>
                <c:pt idx="550">
                  <c:v>162.34377252146948</c:v>
                </c:pt>
                <c:pt idx="551">
                  <c:v>162.59548018793268</c:v>
                </c:pt>
                <c:pt idx="552">
                  <c:v>166.93389841046232</c:v>
                </c:pt>
                <c:pt idx="553">
                  <c:v>157.89392741917709</c:v>
                </c:pt>
                <c:pt idx="554">
                  <c:v>158.72750814693225</c:v>
                </c:pt>
                <c:pt idx="555">
                  <c:v>160.65424167403236</c:v>
                </c:pt>
                <c:pt idx="556">
                  <c:v>147.33816454164699</c:v>
                </c:pt>
                <c:pt idx="557">
                  <c:v>147.20773258442495</c:v>
                </c:pt>
                <c:pt idx="558">
                  <c:v>147.34057317863702</c:v>
                </c:pt>
                <c:pt idx="559">
                  <c:v>147.72873634590084</c:v>
                </c:pt>
                <c:pt idx="560">
                  <c:v>144.84530153244759</c:v>
                </c:pt>
                <c:pt idx="561">
                  <c:v>137.53831847960546</c:v>
                </c:pt>
                <c:pt idx="562">
                  <c:v>136.9520525823047</c:v>
                </c:pt>
                <c:pt idx="563">
                  <c:v>136.82962920354717</c:v>
                </c:pt>
                <c:pt idx="564">
                  <c:v>137.61595713280812</c:v>
                </c:pt>
                <c:pt idx="565">
                  <c:v>142.10403776167061</c:v>
                </c:pt>
                <c:pt idx="566">
                  <c:v>141.35747894264387</c:v>
                </c:pt>
                <c:pt idx="567">
                  <c:v>140.65667277247783</c:v>
                </c:pt>
                <c:pt idx="568">
                  <c:v>140.47478007536679</c:v>
                </c:pt>
                <c:pt idx="569">
                  <c:v>140.60352029291627</c:v>
                </c:pt>
                <c:pt idx="570">
                  <c:v>140.63266114953237</c:v>
                </c:pt>
                <c:pt idx="571">
                  <c:v>140.74828235791682</c:v>
                </c:pt>
                <c:pt idx="572">
                  <c:v>141.36927153799189</c:v>
                </c:pt>
                <c:pt idx="573">
                  <c:v>141.54643128006578</c:v>
                </c:pt>
                <c:pt idx="574">
                  <c:v>141.93697861621843</c:v>
                </c:pt>
                <c:pt idx="575">
                  <c:v>141.92022430355701</c:v>
                </c:pt>
                <c:pt idx="576">
                  <c:v>142.00266108156222</c:v>
                </c:pt>
                <c:pt idx="577">
                  <c:v>142.04219679099535</c:v>
                </c:pt>
                <c:pt idx="578">
                  <c:v>141.66377850606554</c:v>
                </c:pt>
                <c:pt idx="579">
                  <c:v>141.71801099150807</c:v>
                </c:pt>
                <c:pt idx="580">
                  <c:v>141.69651463181953</c:v>
                </c:pt>
                <c:pt idx="581">
                  <c:v>141.43531990325755</c:v>
                </c:pt>
                <c:pt idx="582">
                  <c:v>141.10300942166089</c:v>
                </c:pt>
                <c:pt idx="583">
                  <c:v>141.16226260900604</c:v>
                </c:pt>
                <c:pt idx="584">
                  <c:v>141.32577890210385</c:v>
                </c:pt>
                <c:pt idx="585">
                  <c:v>141.80448649034801</c:v>
                </c:pt>
                <c:pt idx="586">
                  <c:v>141.94905118955205</c:v>
                </c:pt>
                <c:pt idx="587">
                  <c:v>140.37509611087964</c:v>
                </c:pt>
                <c:pt idx="588">
                  <c:v>140.37509611087964</c:v>
                </c:pt>
                <c:pt idx="589">
                  <c:v>140.37509611087964</c:v>
                </c:pt>
                <c:pt idx="590">
                  <c:v>140.37509611087964</c:v>
                </c:pt>
                <c:pt idx="591">
                  <c:v>141.06901550716529</c:v>
                </c:pt>
                <c:pt idx="592">
                  <c:v>140.77857775579815</c:v>
                </c:pt>
                <c:pt idx="593">
                  <c:v>140.92206699208978</c:v>
                </c:pt>
                <c:pt idx="594">
                  <c:v>145.26847266169136</c:v>
                </c:pt>
                <c:pt idx="595">
                  <c:v>148.4399823410516</c:v>
                </c:pt>
                <c:pt idx="596">
                  <c:v>147.12985532925984</c:v>
                </c:pt>
                <c:pt idx="597">
                  <c:v>148.68417809198198</c:v>
                </c:pt>
                <c:pt idx="598">
                  <c:v>148.11286787415659</c:v>
                </c:pt>
                <c:pt idx="599">
                  <c:v>152.71313968505612</c:v>
                </c:pt>
                <c:pt idx="600">
                  <c:v>153.32552320585157</c:v>
                </c:pt>
                <c:pt idx="601">
                  <c:v>153.06204825707542</c:v>
                </c:pt>
                <c:pt idx="602">
                  <c:v>151.79499198723761</c:v>
                </c:pt>
                <c:pt idx="603">
                  <c:v>152.03514350637417</c:v>
                </c:pt>
                <c:pt idx="604">
                  <c:v>151.65909274617852</c:v>
                </c:pt>
                <c:pt idx="605">
                  <c:v>151.93913782909434</c:v>
                </c:pt>
                <c:pt idx="606">
                  <c:v>152.36003437974409</c:v>
                </c:pt>
                <c:pt idx="607">
                  <c:v>153.25659888255399</c:v>
                </c:pt>
                <c:pt idx="608">
                  <c:v>153.24360832731213</c:v>
                </c:pt>
                <c:pt idx="609">
                  <c:v>153.80790895155886</c:v>
                </c:pt>
                <c:pt idx="610">
                  <c:v>153.16284790941705</c:v>
                </c:pt>
                <c:pt idx="611">
                  <c:v>153.14003730784481</c:v>
                </c:pt>
                <c:pt idx="612">
                  <c:v>154.2156282148334</c:v>
                </c:pt>
                <c:pt idx="613">
                  <c:v>155.07389102545449</c:v>
                </c:pt>
                <c:pt idx="614">
                  <c:v>157.02212472934951</c:v>
                </c:pt>
                <c:pt idx="615">
                  <c:v>156.71650306875841</c:v>
                </c:pt>
                <c:pt idx="616">
                  <c:v>156.46170463347852</c:v>
                </c:pt>
                <c:pt idx="617">
                  <c:v>156.61374180767294</c:v>
                </c:pt>
                <c:pt idx="618">
                  <c:v>156.78698343772029</c:v>
                </c:pt>
                <c:pt idx="619">
                  <c:v>157.03834116166141</c:v>
                </c:pt>
                <c:pt idx="620">
                  <c:v>156.98297367409467</c:v>
                </c:pt>
                <c:pt idx="621">
                  <c:v>157.04979158562492</c:v>
                </c:pt>
                <c:pt idx="622">
                  <c:v>157.03436512423031</c:v>
                </c:pt>
                <c:pt idx="623">
                  <c:v>157.02265943679114</c:v>
                </c:pt>
                <c:pt idx="624">
                  <c:v>157.00568325014683</c:v>
                </c:pt>
                <c:pt idx="625">
                  <c:v>157.01618474880311</c:v>
                </c:pt>
                <c:pt idx="626">
                  <c:v>157.02371307348483</c:v>
                </c:pt>
                <c:pt idx="627">
                  <c:v>157.04958264024154</c:v>
                </c:pt>
                <c:pt idx="628">
                  <c:v>156.58391464201529</c:v>
                </c:pt>
                <c:pt idx="629">
                  <c:v>156.51664385193334</c:v>
                </c:pt>
                <c:pt idx="630">
                  <c:v>156.88684799237222</c:v>
                </c:pt>
                <c:pt idx="631">
                  <c:v>156.85221576714258</c:v>
                </c:pt>
                <c:pt idx="632">
                  <c:v>156.68341138570486</c:v>
                </c:pt>
                <c:pt idx="633">
                  <c:v>156.35435589107408</c:v>
                </c:pt>
                <c:pt idx="634">
                  <c:v>155.94044048940262</c:v>
                </c:pt>
                <c:pt idx="635">
                  <c:v>155.96291154678818</c:v>
                </c:pt>
                <c:pt idx="636">
                  <c:v>155.86231738257257</c:v>
                </c:pt>
                <c:pt idx="637">
                  <c:v>155.98607405051499</c:v>
                </c:pt>
                <c:pt idx="638">
                  <c:v>156.46780113348592</c:v>
                </c:pt>
                <c:pt idx="639">
                  <c:v>156.17575483218499</c:v>
                </c:pt>
                <c:pt idx="640">
                  <c:v>155.94925462326535</c:v>
                </c:pt>
                <c:pt idx="641">
                  <c:v>155.8631939563526</c:v>
                </c:pt>
                <c:pt idx="642">
                  <c:v>155.4152287240565</c:v>
                </c:pt>
                <c:pt idx="643">
                  <c:v>155.82625768185218</c:v>
                </c:pt>
                <c:pt idx="644">
                  <c:v>155.89548950325587</c:v>
                </c:pt>
                <c:pt idx="645">
                  <c:v>155.4538712025774</c:v>
                </c:pt>
                <c:pt idx="646">
                  <c:v>155.05906641293626</c:v>
                </c:pt>
                <c:pt idx="647">
                  <c:v>155.10113927322476</c:v>
                </c:pt>
                <c:pt idx="648">
                  <c:v>155.36957109303046</c:v>
                </c:pt>
                <c:pt idx="649">
                  <c:v>155.15568595964717</c:v>
                </c:pt>
                <c:pt idx="650">
                  <c:v>157.97758474159909</c:v>
                </c:pt>
                <c:pt idx="651">
                  <c:v>158.13929369493269</c:v>
                </c:pt>
                <c:pt idx="652">
                  <c:v>158.71816802350389</c:v>
                </c:pt>
                <c:pt idx="653">
                  <c:v>158.63568646508176</c:v>
                </c:pt>
                <c:pt idx="654">
                  <c:v>159.057232891735</c:v>
                </c:pt>
                <c:pt idx="655">
                  <c:v>158.48546328467981</c:v>
                </c:pt>
                <c:pt idx="656">
                  <c:v>158.89628915020086</c:v>
                </c:pt>
                <c:pt idx="657">
                  <c:v>158.44304486310961</c:v>
                </c:pt>
                <c:pt idx="658">
                  <c:v>158.15820488915344</c:v>
                </c:pt>
                <c:pt idx="659">
                  <c:v>158.73338015324143</c:v>
                </c:pt>
                <c:pt idx="660">
                  <c:v>159.41578950810043</c:v>
                </c:pt>
                <c:pt idx="661">
                  <c:v>159.15339146914118</c:v>
                </c:pt>
                <c:pt idx="662">
                  <c:v>160.02529578813088</c:v>
                </c:pt>
                <c:pt idx="663">
                  <c:v>159.67599184737443</c:v>
                </c:pt>
                <c:pt idx="664">
                  <c:v>159.64215300478696</c:v>
                </c:pt>
                <c:pt idx="665">
                  <c:v>159.77925856377956</c:v>
                </c:pt>
                <c:pt idx="666">
                  <c:v>160.12809390038794</c:v>
                </c:pt>
                <c:pt idx="667">
                  <c:v>160.14201746095563</c:v>
                </c:pt>
                <c:pt idx="668">
                  <c:v>159.99729023205626</c:v>
                </c:pt>
                <c:pt idx="669">
                  <c:v>160.33234060990344</c:v>
                </c:pt>
                <c:pt idx="670">
                  <c:v>159.96425683083177</c:v>
                </c:pt>
                <c:pt idx="671">
                  <c:v>159.94186582035161</c:v>
                </c:pt>
                <c:pt idx="672">
                  <c:v>159.66096103239568</c:v>
                </c:pt>
                <c:pt idx="673">
                  <c:v>158.66698079632573</c:v>
                </c:pt>
                <c:pt idx="674">
                  <c:v>157.86044635824294</c:v>
                </c:pt>
                <c:pt idx="675">
                  <c:v>158.68381882743313</c:v>
                </c:pt>
                <c:pt idx="676">
                  <c:v>158.76468054225256</c:v>
                </c:pt>
                <c:pt idx="677">
                  <c:v>158.949405006386</c:v>
                </c:pt>
                <c:pt idx="678">
                  <c:v>161.42359590464343</c:v>
                </c:pt>
                <c:pt idx="679">
                  <c:v>161.28707724538268</c:v>
                </c:pt>
                <c:pt idx="680">
                  <c:v>160.74644903404936</c:v>
                </c:pt>
                <c:pt idx="681">
                  <c:v>160.79500166448449</c:v>
                </c:pt>
                <c:pt idx="682">
                  <c:v>160.68282244184792</c:v>
                </c:pt>
                <c:pt idx="683">
                  <c:v>161.24177808341597</c:v>
                </c:pt>
                <c:pt idx="684">
                  <c:v>161.06802128296383</c:v>
                </c:pt>
                <c:pt idx="685">
                  <c:v>160.43563301785713</c:v>
                </c:pt>
                <c:pt idx="686">
                  <c:v>160.58535009807343</c:v>
                </c:pt>
                <c:pt idx="687">
                  <c:v>160.12052736125241</c:v>
                </c:pt>
                <c:pt idx="688">
                  <c:v>159.89256861501485</c:v>
                </c:pt>
                <c:pt idx="689">
                  <c:v>159.32876702510256</c:v>
                </c:pt>
                <c:pt idx="690">
                  <c:v>159.38990948720075</c:v>
                </c:pt>
                <c:pt idx="691">
                  <c:v>158.21833188992065</c:v>
                </c:pt>
                <c:pt idx="692">
                  <c:v>160.00998653673932</c:v>
                </c:pt>
                <c:pt idx="693">
                  <c:v>159.71666987315672</c:v>
                </c:pt>
                <c:pt idx="694">
                  <c:v>157.2778141239705</c:v>
                </c:pt>
                <c:pt idx="695">
                  <c:v>170.83304607362001</c:v>
                </c:pt>
                <c:pt idx="696">
                  <c:v>169.71790634226983</c:v>
                </c:pt>
                <c:pt idx="697">
                  <c:v>189.77667187884302</c:v>
                </c:pt>
                <c:pt idx="698">
                  <c:v>193.1778715748855</c:v>
                </c:pt>
                <c:pt idx="699">
                  <c:v>186.20170291828242</c:v>
                </c:pt>
                <c:pt idx="700">
                  <c:v>180.5930873937356</c:v>
                </c:pt>
                <c:pt idx="701">
                  <c:v>180.67100801296957</c:v>
                </c:pt>
                <c:pt idx="702">
                  <c:v>181.34519472206554</c:v>
                </c:pt>
                <c:pt idx="703">
                  <c:v>179.28667896916102</c:v>
                </c:pt>
                <c:pt idx="704">
                  <c:v>177.9291817932392</c:v>
                </c:pt>
                <c:pt idx="705">
                  <c:v>177.2055311449644</c:v>
                </c:pt>
                <c:pt idx="706">
                  <c:v>177.52938514086222</c:v>
                </c:pt>
                <c:pt idx="707">
                  <c:v>176.79558388071231</c:v>
                </c:pt>
                <c:pt idx="708">
                  <c:v>175.52764535931198</c:v>
                </c:pt>
                <c:pt idx="709">
                  <c:v>176.29469744461116</c:v>
                </c:pt>
                <c:pt idx="710">
                  <c:v>172.37641171121442</c:v>
                </c:pt>
                <c:pt idx="711">
                  <c:v>168.54129004547238</c:v>
                </c:pt>
                <c:pt idx="712">
                  <c:v>161.32697943743929</c:v>
                </c:pt>
                <c:pt idx="713">
                  <c:v>151.98283499063922</c:v>
                </c:pt>
                <c:pt idx="714">
                  <c:v>170.52273568069205</c:v>
                </c:pt>
                <c:pt idx="715">
                  <c:v>192.97586412715299</c:v>
                </c:pt>
                <c:pt idx="716">
                  <c:v>200.1137590325184</c:v>
                </c:pt>
                <c:pt idx="717">
                  <c:v>202.92107863284494</c:v>
                </c:pt>
                <c:pt idx="718">
                  <c:v>225.04238541787072</c:v>
                </c:pt>
                <c:pt idx="719">
                  <c:v>235.7233779474671</c:v>
                </c:pt>
                <c:pt idx="720">
                  <c:v>262.80399900210932</c:v>
                </c:pt>
                <c:pt idx="721">
                  <c:v>276.11457453588923</c:v>
                </c:pt>
                <c:pt idx="722">
                  <c:v>284.93876907627953</c:v>
                </c:pt>
                <c:pt idx="723">
                  <c:v>298.22160685692234</c:v>
                </c:pt>
                <c:pt idx="724">
                  <c:v>356.0775884082118</c:v>
                </c:pt>
                <c:pt idx="725">
                  <c:v>502.36223071570447</c:v>
                </c:pt>
                <c:pt idx="726">
                  <c:v>382.39596101484625</c:v>
                </c:pt>
                <c:pt idx="727">
                  <c:v>382.39596101484625</c:v>
                </c:pt>
                <c:pt idx="728">
                  <c:v>507.80330920467117</c:v>
                </c:pt>
                <c:pt idx="729">
                  <c:v>517.2771479400227</c:v>
                </c:pt>
                <c:pt idx="730">
                  <c:v>606.91270191514661</c:v>
                </c:pt>
                <c:pt idx="731">
                  <c:v>572.81171542776826</c:v>
                </c:pt>
                <c:pt idx="732">
                  <c:v>583.52550502141696</c:v>
                </c:pt>
                <c:pt idx="733">
                  <c:v>706.64722947651899</c:v>
                </c:pt>
                <c:pt idx="734">
                  <c:v>775.2742906066037</c:v>
                </c:pt>
                <c:pt idx="735">
                  <c:v>756.99086123813925</c:v>
                </c:pt>
                <c:pt idx="736">
                  <c:v>705.00235053696576</c:v>
                </c:pt>
                <c:pt idx="737">
                  <c:v>715.83400877005931</c:v>
                </c:pt>
                <c:pt idx="738">
                  <c:v>753.48826738951254</c:v>
                </c:pt>
                <c:pt idx="739">
                  <c:v>752.17434001668744</c:v>
                </c:pt>
                <c:pt idx="740">
                  <c:v>737.57569565179494</c:v>
                </c:pt>
                <c:pt idx="741">
                  <c:v>718.29747815438145</c:v>
                </c:pt>
                <c:pt idx="742">
                  <c:v>764.7108781203533</c:v>
                </c:pt>
                <c:pt idx="743">
                  <c:v>787.41669842163503</c:v>
                </c:pt>
                <c:pt idx="744">
                  <c:v>787.41669842163503</c:v>
                </c:pt>
                <c:pt idx="745">
                  <c:v>787.41669842163503</c:v>
                </c:pt>
                <c:pt idx="746">
                  <c:v>734.67628682196482</c:v>
                </c:pt>
                <c:pt idx="747">
                  <c:v>718.95522621758482</c:v>
                </c:pt>
                <c:pt idx="748">
                  <c:v>781.3885948948174</c:v>
                </c:pt>
                <c:pt idx="749">
                  <c:v>775.40415598811546</c:v>
                </c:pt>
                <c:pt idx="750">
                  <c:v>783.97589710640852</c:v>
                </c:pt>
                <c:pt idx="751">
                  <c:v>811.24183616560595</c:v>
                </c:pt>
                <c:pt idx="752">
                  <c:v>803.64737944683134</c:v>
                </c:pt>
                <c:pt idx="753">
                  <c:v>988.52573404972213</c:v>
                </c:pt>
                <c:pt idx="754">
                  <c:v>988.52573404972213</c:v>
                </c:pt>
                <c:pt idx="755">
                  <c:v>988.52573404972213</c:v>
                </c:pt>
                <c:pt idx="756">
                  <c:v>988.52573404972213</c:v>
                </c:pt>
                <c:pt idx="757">
                  <c:v>1093.546090187298</c:v>
                </c:pt>
                <c:pt idx="758">
                  <c:v>1103.7991959819906</c:v>
                </c:pt>
                <c:pt idx="759">
                  <c:v>1095.4296985148421</c:v>
                </c:pt>
                <c:pt idx="760">
                  <c:v>1052.5978771283546</c:v>
                </c:pt>
                <c:pt idx="761">
                  <c:v>1078.2669503319501</c:v>
                </c:pt>
                <c:pt idx="762">
                  <c:v>1028.0866248037216</c:v>
                </c:pt>
                <c:pt idx="763">
                  <c:v>970.56898467962151</c:v>
                </c:pt>
                <c:pt idx="764">
                  <c:v>978.71974322303879</c:v>
                </c:pt>
                <c:pt idx="765">
                  <c:v>991.22925859486145</c:v>
                </c:pt>
                <c:pt idx="766">
                  <c:v>955.18043377486447</c:v>
                </c:pt>
                <c:pt idx="767">
                  <c:v>961.23923572617923</c:v>
                </c:pt>
                <c:pt idx="768">
                  <c:v>936.60621208895907</c:v>
                </c:pt>
                <c:pt idx="769">
                  <c:v>934.14652511620807</c:v>
                </c:pt>
                <c:pt idx="770">
                  <c:v>899.84303901558383</c:v>
                </c:pt>
                <c:pt idx="771">
                  <c:v>891.83670943636673</c:v>
                </c:pt>
                <c:pt idx="772">
                  <c:v>837.23908928213348</c:v>
                </c:pt>
                <c:pt idx="773">
                  <c:v>748.50431066795977</c:v>
                </c:pt>
                <c:pt idx="774">
                  <c:v>785.7644052207952</c:v>
                </c:pt>
                <c:pt idx="775">
                  <c:v>814.41133723708276</c:v>
                </c:pt>
                <c:pt idx="776">
                  <c:v>818.4673357462658</c:v>
                </c:pt>
                <c:pt idx="777">
                  <c:v>819.5086255041291</c:v>
                </c:pt>
                <c:pt idx="778">
                  <c:v>805.24540816132424</c:v>
                </c:pt>
                <c:pt idx="779">
                  <c:v>841.07698180326554</c:v>
                </c:pt>
                <c:pt idx="780">
                  <c:v>857.99094338080454</c:v>
                </c:pt>
                <c:pt idx="781">
                  <c:v>857.33773316429415</c:v>
                </c:pt>
                <c:pt idx="782">
                  <c:v>843.38432699432929</c:v>
                </c:pt>
                <c:pt idx="783">
                  <c:v>852.79056124208228</c:v>
                </c:pt>
                <c:pt idx="784">
                  <c:v>878.24727083301548</c:v>
                </c:pt>
                <c:pt idx="785">
                  <c:v>868.72662809323322</c:v>
                </c:pt>
                <c:pt idx="786">
                  <c:v>873.24364458320122</c:v>
                </c:pt>
                <c:pt idx="787">
                  <c:v>844.08494566565207</c:v>
                </c:pt>
                <c:pt idx="788">
                  <c:v>842.41009611402467</c:v>
                </c:pt>
                <c:pt idx="789">
                  <c:v>856.41104777699297</c:v>
                </c:pt>
                <c:pt idx="790">
                  <c:v>861.67046061121471</c:v>
                </c:pt>
                <c:pt idx="791">
                  <c:v>876.18629540065183</c:v>
                </c:pt>
                <c:pt idx="792">
                  <c:v>895.19953967516437</c:v>
                </c:pt>
                <c:pt idx="793">
                  <c:v>868.01293982406207</c:v>
                </c:pt>
                <c:pt idx="794">
                  <c:v>829.2616380148379</c:v>
                </c:pt>
                <c:pt idx="795">
                  <c:v>912.07080656010885</c:v>
                </c:pt>
                <c:pt idx="796">
                  <c:v>909.1324881432422</c:v>
                </c:pt>
                <c:pt idx="797">
                  <c:v>900.6533378872474</c:v>
                </c:pt>
                <c:pt idx="798">
                  <c:v>906.87054029952787</c:v>
                </c:pt>
                <c:pt idx="799">
                  <c:v>903.22403250368779</c:v>
                </c:pt>
                <c:pt idx="800">
                  <c:v>883.01881979637392</c:v>
                </c:pt>
                <c:pt idx="801">
                  <c:v>896.10054145854951</c:v>
                </c:pt>
                <c:pt idx="802">
                  <c:v>906.05776363935956</c:v>
                </c:pt>
                <c:pt idx="803">
                  <c:v>895.74320999957456</c:v>
                </c:pt>
                <c:pt idx="804">
                  <c:v>906.07437908351096</c:v>
                </c:pt>
                <c:pt idx="805">
                  <c:v>944.94029266124505</c:v>
                </c:pt>
                <c:pt idx="806">
                  <c:v>987.13921688052528</c:v>
                </c:pt>
                <c:pt idx="807">
                  <c:v>1001.1369458241329</c:v>
                </c:pt>
                <c:pt idx="808">
                  <c:v>1000.0168242747533</c:v>
                </c:pt>
                <c:pt idx="809">
                  <c:v>1013.0675857147954</c:v>
                </c:pt>
                <c:pt idx="810">
                  <c:v>1025.953400984818</c:v>
                </c:pt>
                <c:pt idx="811">
                  <c:v>1021.3187413332383</c:v>
                </c:pt>
                <c:pt idx="812">
                  <c:v>1163.1746130888919</c:v>
                </c:pt>
                <c:pt idx="813">
                  <c:v>1163.1746130888919</c:v>
                </c:pt>
                <c:pt idx="814">
                  <c:v>1138.4013003826801</c:v>
                </c:pt>
                <c:pt idx="815">
                  <c:v>1211.5499961052128</c:v>
                </c:pt>
                <c:pt idx="816">
                  <c:v>1187.2971249747595</c:v>
                </c:pt>
                <c:pt idx="817">
                  <c:v>1217.5570526667518</c:v>
                </c:pt>
                <c:pt idx="818">
                  <c:v>1217.6940738682824</c:v>
                </c:pt>
                <c:pt idx="819">
                  <c:v>1336.9923022966607</c:v>
                </c:pt>
                <c:pt idx="820">
                  <c:v>1334.5513976569021</c:v>
                </c:pt>
                <c:pt idx="821">
                  <c:v>1232.9053669298239</c:v>
                </c:pt>
                <c:pt idx="822">
                  <c:v>1301.5028302032183</c:v>
                </c:pt>
                <c:pt idx="823">
                  <c:v>1402.1567306102779</c:v>
                </c:pt>
                <c:pt idx="824">
                  <c:v>1402.1567306102779</c:v>
                </c:pt>
                <c:pt idx="825">
                  <c:v>1359.6004642625769</c:v>
                </c:pt>
                <c:pt idx="826">
                  <c:v>1383.0889079163242</c:v>
                </c:pt>
                <c:pt idx="827">
                  <c:v>1410.6202072638198</c:v>
                </c:pt>
                <c:pt idx="828">
                  <c:v>1405.6745237456921</c:v>
                </c:pt>
                <c:pt idx="829">
                  <c:v>1378.908004151964</c:v>
                </c:pt>
                <c:pt idx="830">
                  <c:v>1193.3065195550223</c:v>
                </c:pt>
                <c:pt idx="831">
                  <c:v>1190.5796764849622</c:v>
                </c:pt>
                <c:pt idx="832">
                  <c:v>1192.6235315511633</c:v>
                </c:pt>
                <c:pt idx="833">
                  <c:v>1204.7077889828051</c:v>
                </c:pt>
                <c:pt idx="834">
                  <c:v>1258.3282250749894</c:v>
                </c:pt>
                <c:pt idx="835">
                  <c:v>1257.8575911895127</c:v>
                </c:pt>
                <c:pt idx="836">
                  <c:v>1239.5325591263315</c:v>
                </c:pt>
                <c:pt idx="837">
                  <c:v>1255.3029409505225</c:v>
                </c:pt>
                <c:pt idx="838">
                  <c:v>1246.6464043569347</c:v>
                </c:pt>
                <c:pt idx="839">
                  <c:v>1238.6894394814881</c:v>
                </c:pt>
                <c:pt idx="840">
                  <c:v>1251.0349533524875</c:v>
                </c:pt>
                <c:pt idx="841">
                  <c:v>1253.4967973865605</c:v>
                </c:pt>
                <c:pt idx="842">
                  <c:v>1249.0940961616059</c:v>
                </c:pt>
                <c:pt idx="843">
                  <c:v>1271.4817551508329</c:v>
                </c:pt>
                <c:pt idx="844">
                  <c:v>1280.322239090629</c:v>
                </c:pt>
                <c:pt idx="845">
                  <c:v>1280.3434551332075</c:v>
                </c:pt>
                <c:pt idx="846">
                  <c:v>1300.4505360771393</c:v>
                </c:pt>
                <c:pt idx="847">
                  <c:v>1304.6343490315455</c:v>
                </c:pt>
                <c:pt idx="848">
                  <c:v>1350.8928014223632</c:v>
                </c:pt>
                <c:pt idx="849">
                  <c:v>1349.8537000246815</c:v>
                </c:pt>
                <c:pt idx="850">
                  <c:v>1360.670921981646</c:v>
                </c:pt>
                <c:pt idx="851">
                  <c:v>1346.4120761281595</c:v>
                </c:pt>
                <c:pt idx="852">
                  <c:v>1320.8947979467189</c:v>
                </c:pt>
                <c:pt idx="853">
                  <c:v>1409.691578432238</c:v>
                </c:pt>
                <c:pt idx="854">
                  <c:v>1434.4001339889478</c:v>
                </c:pt>
                <c:pt idx="855">
                  <c:v>1461.2957331703903</c:v>
                </c:pt>
                <c:pt idx="856">
                  <c:v>1464.1767832237847</c:v>
                </c:pt>
                <c:pt idx="857">
                  <c:v>1468.4767242518567</c:v>
                </c:pt>
                <c:pt idx="858">
                  <c:v>1475.9093084419058</c:v>
                </c:pt>
                <c:pt idx="859">
                  <c:v>1469.2470884310669</c:v>
                </c:pt>
                <c:pt idx="860">
                  <c:v>1632.7287796996347</c:v>
                </c:pt>
                <c:pt idx="861">
                  <c:v>1627.9136020938406</c:v>
                </c:pt>
                <c:pt idx="862">
                  <c:v>1579.6223833233341</c:v>
                </c:pt>
                <c:pt idx="863">
                  <c:v>1537.6092920367328</c:v>
                </c:pt>
                <c:pt idx="864">
                  <c:v>1566.0216576624096</c:v>
                </c:pt>
                <c:pt idx="865">
                  <c:v>1572.7850463223131</c:v>
                </c:pt>
                <c:pt idx="866">
                  <c:v>1568.6858227129942</c:v>
                </c:pt>
                <c:pt idx="867">
                  <c:v>1653.7608351829883</c:v>
                </c:pt>
                <c:pt idx="868">
                  <c:v>1745.2244895752617</c:v>
                </c:pt>
                <c:pt idx="869">
                  <c:v>1723.1814583153671</c:v>
                </c:pt>
                <c:pt idx="870">
                  <c:v>1773.4746349443285</c:v>
                </c:pt>
                <c:pt idx="871">
                  <c:v>1821.6711781471913</c:v>
                </c:pt>
                <c:pt idx="872">
                  <c:v>1715.5191542245091</c:v>
                </c:pt>
                <c:pt idx="873">
                  <c:v>1507.660014614856</c:v>
                </c:pt>
                <c:pt idx="874">
                  <c:v>1497.0471924783837</c:v>
                </c:pt>
                <c:pt idx="875">
                  <c:v>1568.921491412782</c:v>
                </c:pt>
                <c:pt idx="876">
                  <c:v>1611.8345074192355</c:v>
                </c:pt>
                <c:pt idx="877">
                  <c:v>1568.8119583440439</c:v>
                </c:pt>
                <c:pt idx="878">
                  <c:v>1559.2446246810807</c:v>
                </c:pt>
                <c:pt idx="879">
                  <c:v>1586.4395675721512</c:v>
                </c:pt>
                <c:pt idx="880">
                  <c:v>1606.2417638392465</c:v>
                </c:pt>
                <c:pt idx="881">
                  <c:v>1612.2263492861123</c:v>
                </c:pt>
                <c:pt idx="882">
                  <c:v>1684.6281785666713</c:v>
                </c:pt>
                <c:pt idx="883">
                  <c:v>1690.3412213821273</c:v>
                </c:pt>
                <c:pt idx="884">
                  <c:v>1685.4270037212561</c:v>
                </c:pt>
                <c:pt idx="885">
                  <c:v>1753.186984200812</c:v>
                </c:pt>
                <c:pt idx="886">
                  <c:v>1726.2588808847227</c:v>
                </c:pt>
                <c:pt idx="887">
                  <c:v>1730.3848655887232</c:v>
                </c:pt>
                <c:pt idx="888">
                  <c:v>1714.5068389212661</c:v>
                </c:pt>
                <c:pt idx="889">
                  <c:v>1733.1278400703839</c:v>
                </c:pt>
                <c:pt idx="890">
                  <c:v>1748.2651070499435</c:v>
                </c:pt>
                <c:pt idx="891">
                  <c:v>1770.8682752092645</c:v>
                </c:pt>
                <c:pt idx="892">
                  <c:v>1780.5602268468558</c:v>
                </c:pt>
                <c:pt idx="893">
                  <c:v>1787.0992191608887</c:v>
                </c:pt>
                <c:pt idx="894">
                  <c:v>1778.1410332354994</c:v>
                </c:pt>
                <c:pt idx="895">
                  <c:v>1745.6313775893234</c:v>
                </c:pt>
                <c:pt idx="896">
                  <c:v>1740.90952987789</c:v>
                </c:pt>
                <c:pt idx="897">
                  <c:v>1709.7273608297994</c:v>
                </c:pt>
                <c:pt idx="898">
                  <c:v>1706.5227547585503</c:v>
                </c:pt>
                <c:pt idx="899">
                  <c:v>1768.2814997155258</c:v>
                </c:pt>
                <c:pt idx="900">
                  <c:v>1747.78683817193</c:v>
                </c:pt>
                <c:pt idx="901">
                  <c:v>1752.9590986932949</c:v>
                </c:pt>
                <c:pt idx="902">
                  <c:v>1737.2869382039351</c:v>
                </c:pt>
                <c:pt idx="903">
                  <c:v>1723.876001354977</c:v>
                </c:pt>
                <c:pt idx="904">
                  <c:v>1722.8077538858304</c:v>
                </c:pt>
                <c:pt idx="905">
                  <c:v>1724.89341918839</c:v>
                </c:pt>
                <c:pt idx="906">
                  <c:v>1727.5822391975285</c:v>
                </c:pt>
                <c:pt idx="907">
                  <c:v>1734.5288810198952</c:v>
                </c:pt>
                <c:pt idx="908">
                  <c:v>1615.246627684332</c:v>
                </c:pt>
                <c:pt idx="909">
                  <c:v>1588.8832870225851</c:v>
                </c:pt>
                <c:pt idx="910">
                  <c:v>1520.6830917983355</c:v>
                </c:pt>
                <c:pt idx="911">
                  <c:v>1502.0828735952277</c:v>
                </c:pt>
                <c:pt idx="912">
                  <c:v>1417.6413240900981</c:v>
                </c:pt>
                <c:pt idx="913">
                  <c:v>1347.328333997503</c:v>
                </c:pt>
                <c:pt idx="914">
                  <c:v>1351.504550579999</c:v>
                </c:pt>
                <c:pt idx="915">
                  <c:v>1369.5521479937122</c:v>
                </c:pt>
                <c:pt idx="916">
                  <c:v>1385.4969429229457</c:v>
                </c:pt>
                <c:pt idx="917">
                  <c:v>1381.2088343913058</c:v>
                </c:pt>
                <c:pt idx="918">
                  <c:v>1294.2463696906432</c:v>
                </c:pt>
                <c:pt idx="919">
                  <c:v>1236.8090492703386</c:v>
                </c:pt>
                <c:pt idx="920">
                  <c:v>1280.8802839121322</c:v>
                </c:pt>
                <c:pt idx="921">
                  <c:v>1239.1826772896</c:v>
                </c:pt>
                <c:pt idx="922">
                  <c:v>1269.6651647396247</c:v>
                </c:pt>
                <c:pt idx="923">
                  <c:v>1259.7003192679365</c:v>
                </c:pt>
                <c:pt idx="924">
                  <c:v>1240.0446692281191</c:v>
                </c:pt>
                <c:pt idx="925">
                  <c:v>1247.6501123442724</c:v>
                </c:pt>
                <c:pt idx="926">
                  <c:v>1239.9362374973002</c:v>
                </c:pt>
                <c:pt idx="927">
                  <c:v>1257.1237870839375</c:v>
                </c:pt>
                <c:pt idx="928">
                  <c:v>1241.1724174494586</c:v>
                </c:pt>
                <c:pt idx="929">
                  <c:v>1254.6886828117824</c:v>
                </c:pt>
                <c:pt idx="930">
                  <c:v>1275.4534793393414</c:v>
                </c:pt>
                <c:pt idx="931">
                  <c:v>1311.4422074492445</c:v>
                </c:pt>
                <c:pt idx="932">
                  <c:v>1338.6198164771556</c:v>
                </c:pt>
                <c:pt idx="933">
                  <c:v>1357.9837521887837</c:v>
                </c:pt>
                <c:pt idx="934">
                  <c:v>1337.6360787363371</c:v>
                </c:pt>
                <c:pt idx="935">
                  <c:v>1344.2875104984178</c:v>
                </c:pt>
                <c:pt idx="936">
                  <c:v>1312.7650457752627</c:v>
                </c:pt>
                <c:pt idx="937">
                  <c:v>1317.3126828237982</c:v>
                </c:pt>
                <c:pt idx="938">
                  <c:v>1356.9463205268232</c:v>
                </c:pt>
                <c:pt idx="939">
                  <c:v>1353.4160242570017</c:v>
                </c:pt>
                <c:pt idx="940">
                  <c:v>1330.6950969289517</c:v>
                </c:pt>
                <c:pt idx="941">
                  <c:v>1352.6024688018435</c:v>
                </c:pt>
                <c:pt idx="942">
                  <c:v>1351.5299458213153</c:v>
                </c:pt>
                <c:pt idx="943">
                  <c:v>1394.783033537781</c:v>
                </c:pt>
                <c:pt idx="944">
                  <c:v>1397.2957114532485</c:v>
                </c:pt>
                <c:pt idx="945">
                  <c:v>1392.3730266070636</c:v>
                </c:pt>
                <c:pt idx="946">
                  <c:v>1371.2033454019524</c:v>
                </c:pt>
                <c:pt idx="947">
                  <c:v>1335.5617475286372</c:v>
                </c:pt>
                <c:pt idx="948">
                  <c:v>1281.3543910092887</c:v>
                </c:pt>
                <c:pt idx="949">
                  <c:v>1227.9129324311489</c:v>
                </c:pt>
                <c:pt idx="950">
                  <c:v>1244.2691916777555</c:v>
                </c:pt>
                <c:pt idx="951">
                  <c:v>1247.1111047841734</c:v>
                </c:pt>
                <c:pt idx="952">
                  <c:v>1244.7258013542826</c:v>
                </c:pt>
                <c:pt idx="953">
                  <c:v>1267.9885352577494</c:v>
                </c:pt>
                <c:pt idx="954">
                  <c:v>1266.3883277476734</c:v>
                </c:pt>
                <c:pt idx="955">
                  <c:v>1263.3018707890822</c:v>
                </c:pt>
                <c:pt idx="956">
                  <c:v>1285.2023676666861</c:v>
                </c:pt>
                <c:pt idx="957">
                  <c:v>1281.5383947595005</c:v>
                </c:pt>
                <c:pt idx="958">
                  <c:v>1299.5857812527488</c:v>
                </c:pt>
                <c:pt idx="959">
                  <c:v>1275.7438834344218</c:v>
                </c:pt>
                <c:pt idx="960">
                  <c:v>1276.8826142686128</c:v>
                </c:pt>
                <c:pt idx="961">
                  <c:v>1275.9433321849265</c:v>
                </c:pt>
                <c:pt idx="962">
                  <c:v>1292.4784582153516</c:v>
                </c:pt>
                <c:pt idx="963">
                  <c:v>1285.9191796207697</c:v>
                </c:pt>
                <c:pt idx="964">
                  <c:v>1299.3820611526473</c:v>
                </c:pt>
                <c:pt idx="965">
                  <c:v>1293.7118427915036</c:v>
                </c:pt>
                <c:pt idx="966">
                  <c:v>1292.1195348976673</c:v>
                </c:pt>
                <c:pt idx="967">
                  <c:v>1279.4557156852325</c:v>
                </c:pt>
                <c:pt idx="968">
                  <c:v>1285.0483088893616</c:v>
                </c:pt>
                <c:pt idx="969">
                  <c:v>1292.9572347393614</c:v>
                </c:pt>
                <c:pt idx="970">
                  <c:v>1290.3891935415709</c:v>
                </c:pt>
                <c:pt idx="971">
                  <c:v>1288.7523465493355</c:v>
                </c:pt>
                <c:pt idx="972">
                  <c:v>1328.0884208448485</c:v>
                </c:pt>
                <c:pt idx="973">
                  <c:v>1327.2825784833631</c:v>
                </c:pt>
                <c:pt idx="974">
                  <c:v>1332.7906486424133</c:v>
                </c:pt>
                <c:pt idx="975">
                  <c:v>1333.1017105038866</c:v>
                </c:pt>
                <c:pt idx="976">
                  <c:v>1352.8757468331937</c:v>
                </c:pt>
                <c:pt idx="977">
                  <c:v>1351.442852968373</c:v>
                </c:pt>
                <c:pt idx="978">
                  <c:v>1362.0408598413421</c:v>
                </c:pt>
                <c:pt idx="979">
                  <c:v>1359.9661682661499</c:v>
                </c:pt>
                <c:pt idx="980">
                  <c:v>1348.719585576921</c:v>
                </c:pt>
                <c:pt idx="981">
                  <c:v>1327.1852635884889</c:v>
                </c:pt>
                <c:pt idx="982">
                  <c:v>1341.5162504414784</c:v>
                </c:pt>
                <c:pt idx="983">
                  <c:v>1345.5943616935374</c:v>
                </c:pt>
                <c:pt idx="984">
                  <c:v>1340.5820774150293</c:v>
                </c:pt>
                <c:pt idx="985">
                  <c:v>1346.5656030992677</c:v>
                </c:pt>
                <c:pt idx="986">
                  <c:v>1346.1899170612407</c:v>
                </c:pt>
                <c:pt idx="987">
                  <c:v>1340.7988125474371</c:v>
                </c:pt>
                <c:pt idx="988">
                  <c:v>1334.5840021438396</c:v>
                </c:pt>
                <c:pt idx="989">
                  <c:v>1341.0449725673643</c:v>
                </c:pt>
                <c:pt idx="990">
                  <c:v>1339.5112718328205</c:v>
                </c:pt>
                <c:pt idx="991">
                  <c:v>1359.1288398525576</c:v>
                </c:pt>
                <c:pt idx="992">
                  <c:v>1378.7031788448328</c:v>
                </c:pt>
                <c:pt idx="993">
                  <c:v>1424.5113870698369</c:v>
                </c:pt>
                <c:pt idx="994">
                  <c:v>1448.8523806268072</c:v>
                </c:pt>
                <c:pt idx="995">
                  <c:v>1466.2909183825493</c:v>
                </c:pt>
                <c:pt idx="996">
                  <c:v>1460.0381733616064</c:v>
                </c:pt>
                <c:pt idx="997">
                  <c:v>1494.8322183158311</c:v>
                </c:pt>
                <c:pt idx="998">
                  <c:v>1563.0771448751548</c:v>
                </c:pt>
                <c:pt idx="999">
                  <c:v>1542.7401091634968</c:v>
                </c:pt>
                <c:pt idx="1000">
                  <c:v>1471.7703823906058</c:v>
                </c:pt>
                <c:pt idx="1001">
                  <c:v>1418.2842600053575</c:v>
                </c:pt>
                <c:pt idx="1002">
                  <c:v>1435.7349313299892</c:v>
                </c:pt>
                <c:pt idx="1003">
                  <c:v>1472.0035528197275</c:v>
                </c:pt>
                <c:pt idx="1004">
                  <c:v>1453.9827678707336</c:v>
                </c:pt>
                <c:pt idx="1005">
                  <c:v>1476.8579942948386</c:v>
                </c:pt>
                <c:pt idx="1006">
                  <c:v>1455.861601313858</c:v>
                </c:pt>
                <c:pt idx="1007">
                  <c:v>1454.8912284158339</c:v>
                </c:pt>
                <c:pt idx="1008">
                  <c:v>1465.3803045089378</c:v>
                </c:pt>
                <c:pt idx="1009">
                  <c:v>1459.9962457162223</c:v>
                </c:pt>
                <c:pt idx="1010">
                  <c:v>1474.8269752933572</c:v>
                </c:pt>
                <c:pt idx="1011">
                  <c:v>1549.3836724414195</c:v>
                </c:pt>
                <c:pt idx="1012">
                  <c:v>1539.3288695272813</c:v>
                </c:pt>
                <c:pt idx="1013">
                  <c:v>1537.0595720881518</c:v>
                </c:pt>
                <c:pt idx="1014">
                  <c:v>1553.0078560307363</c:v>
                </c:pt>
                <c:pt idx="1015">
                  <c:v>1523.7952235081491</c:v>
                </c:pt>
                <c:pt idx="1016">
                  <c:v>1533.7247861016947</c:v>
                </c:pt>
                <c:pt idx="1017">
                  <c:v>1525.7929129969712</c:v>
                </c:pt>
                <c:pt idx="1018">
                  <c:v>1531.640876892606</c:v>
                </c:pt>
                <c:pt idx="1019">
                  <c:v>1549.886829036134</c:v>
                </c:pt>
                <c:pt idx="1020">
                  <c:v>1567.7807850129323</c:v>
                </c:pt>
                <c:pt idx="1021">
                  <c:v>1539.5940158048809</c:v>
                </c:pt>
                <c:pt idx="1022">
                  <c:v>1568.7519685770858</c:v>
                </c:pt>
                <c:pt idx="1023">
                  <c:v>1565.0917469756971</c:v>
                </c:pt>
                <c:pt idx="1024">
                  <c:v>1552.4846934764448</c:v>
                </c:pt>
                <c:pt idx="1025">
                  <c:v>1561.1111699070329</c:v>
                </c:pt>
                <c:pt idx="1026">
                  <c:v>1563.5479185994541</c:v>
                </c:pt>
                <c:pt idx="1027">
                  <c:v>1582.7130107426481</c:v>
                </c:pt>
                <c:pt idx="1028">
                  <c:v>1622.5972850565338</c:v>
                </c:pt>
                <c:pt idx="1029">
                  <c:v>1680.1167268780862</c:v>
                </c:pt>
                <c:pt idx="1030">
                  <c:v>1710.2095395987992</c:v>
                </c:pt>
                <c:pt idx="1031">
                  <c:v>1701.7459258377726</c:v>
                </c:pt>
                <c:pt idx="1032">
                  <c:v>1741.2042343667813</c:v>
                </c:pt>
                <c:pt idx="1033">
                  <c:v>1741.6529821650931</c:v>
                </c:pt>
                <c:pt idx="1034">
                  <c:v>1642.8152055976657</c:v>
                </c:pt>
                <c:pt idx="1035">
                  <c:v>1662.5538800666748</c:v>
                </c:pt>
                <c:pt idx="1036">
                  <c:v>1718.8167941222175</c:v>
                </c:pt>
                <c:pt idx="1037">
                  <c:v>1732.0797186106372</c:v>
                </c:pt>
                <c:pt idx="1038">
                  <c:v>1744.5557637489776</c:v>
                </c:pt>
                <c:pt idx="1039">
                  <c:v>1776.0300761177548</c:v>
                </c:pt>
                <c:pt idx="1040">
                  <c:v>1775.8705178489342</c:v>
                </c:pt>
                <c:pt idx="1041">
                  <c:v>1772.4569979276891</c:v>
                </c:pt>
                <c:pt idx="1042">
                  <c:v>1771.5119878535343</c:v>
                </c:pt>
                <c:pt idx="1043">
                  <c:v>1790.415285253797</c:v>
                </c:pt>
                <c:pt idx="1044">
                  <c:v>1826.473726362146</c:v>
                </c:pt>
                <c:pt idx="1045">
                  <c:v>1868.4733147607592</c:v>
                </c:pt>
                <c:pt idx="1046">
                  <c:v>1871.8605865667121</c:v>
                </c:pt>
                <c:pt idx="1047">
                  <c:v>1869.4865940528678</c:v>
                </c:pt>
                <c:pt idx="1048">
                  <c:v>1851.1589100756307</c:v>
                </c:pt>
                <c:pt idx="1049">
                  <c:v>1753.4035041864679</c:v>
                </c:pt>
                <c:pt idx="1050">
                  <c:v>1698.0441684374023</c:v>
                </c:pt>
                <c:pt idx="1051">
                  <c:v>1731.2932844504303</c:v>
                </c:pt>
                <c:pt idx="1052">
                  <c:v>1734.6687558943918</c:v>
                </c:pt>
                <c:pt idx="1053">
                  <c:v>1699.9808787801592</c:v>
                </c:pt>
                <c:pt idx="1054">
                  <c:v>1588.6811042506372</c:v>
                </c:pt>
                <c:pt idx="1055">
                  <c:v>1609.9207344719555</c:v>
                </c:pt>
                <c:pt idx="1056">
                  <c:v>1622.4117055837219</c:v>
                </c:pt>
                <c:pt idx="1057">
                  <c:v>1646.1709265921534</c:v>
                </c:pt>
                <c:pt idx="1058">
                  <c:v>1651.089829244582</c:v>
                </c:pt>
                <c:pt idx="1059">
                  <c:v>1629.4295845311262</c:v>
                </c:pt>
                <c:pt idx="1060">
                  <c:v>1657.7576016040798</c:v>
                </c:pt>
                <c:pt idx="1061">
                  <c:v>1654.0318410216453</c:v>
                </c:pt>
                <c:pt idx="1062">
                  <c:v>1647.5399216179908</c:v>
                </c:pt>
                <c:pt idx="1063">
                  <c:v>1689.5572250582829</c:v>
                </c:pt>
                <c:pt idx="1064">
                  <c:v>1719.0568563610595</c:v>
                </c:pt>
                <c:pt idx="1065">
                  <c:v>1728.3942486412493</c:v>
                </c:pt>
                <c:pt idx="1066">
                  <c:v>1729.3936750322978</c:v>
                </c:pt>
                <c:pt idx="1067">
                  <c:v>1730.2916123494372</c:v>
                </c:pt>
                <c:pt idx="1068">
                  <c:v>1722.9555575452755</c:v>
                </c:pt>
                <c:pt idx="1069">
                  <c:v>1723.4508562577098</c:v>
                </c:pt>
                <c:pt idx="1070">
                  <c:v>1775.4047551699264</c:v>
                </c:pt>
                <c:pt idx="1071">
                  <c:v>1764.3887366770398</c:v>
                </c:pt>
                <c:pt idx="1072">
                  <c:v>1821.7434178606791</c:v>
                </c:pt>
                <c:pt idx="1073">
                  <c:v>1832.2783037992237</c:v>
                </c:pt>
                <c:pt idx="1074">
                  <c:v>1820.8824492244064</c:v>
                </c:pt>
                <c:pt idx="1075">
                  <c:v>1837.8903775690187</c:v>
                </c:pt>
                <c:pt idx="1076">
                  <c:v>1801.324465952257</c:v>
                </c:pt>
                <c:pt idx="1077">
                  <c:v>1787.6125421053498</c:v>
                </c:pt>
                <c:pt idx="1078">
                  <c:v>1761.9667389795063</c:v>
                </c:pt>
                <c:pt idx="1079">
                  <c:v>1776.456396106583</c:v>
                </c:pt>
                <c:pt idx="1080">
                  <c:v>1758.5913410235071</c:v>
                </c:pt>
                <c:pt idx="1081">
                  <c:v>1723.1340173349474</c:v>
                </c:pt>
                <c:pt idx="1082">
                  <c:v>1695.9920452240417</c:v>
                </c:pt>
                <c:pt idx="1083">
                  <c:v>1660.2177304575853</c:v>
                </c:pt>
                <c:pt idx="1084">
                  <c:v>1491.1891516772721</c:v>
                </c:pt>
                <c:pt idx="1085">
                  <c:v>1630.0545395177458</c:v>
                </c:pt>
                <c:pt idx="1086">
                  <c:v>1628.0099743014489</c:v>
                </c:pt>
                <c:pt idx="1087">
                  <c:v>1650.3622839748853</c:v>
                </c:pt>
                <c:pt idx="1088">
                  <c:v>1598.9099903280196</c:v>
                </c:pt>
                <c:pt idx="1089">
                  <c:v>1675.3756696432022</c:v>
                </c:pt>
                <c:pt idx="1090">
                  <c:v>1675.8962173886466</c:v>
                </c:pt>
                <c:pt idx="1091">
                  <c:v>1704.9310738346392</c:v>
                </c:pt>
                <c:pt idx="1092">
                  <c:v>1716.9667003982011</c:v>
                </c:pt>
                <c:pt idx="1093">
                  <c:v>1712.5425388473814</c:v>
                </c:pt>
                <c:pt idx="1094">
                  <c:v>1716.4308320043574</c:v>
                </c:pt>
                <c:pt idx="1095">
                  <c:v>1676.2792275269028</c:v>
                </c:pt>
                <c:pt idx="1096">
                  <c:v>1623.6498596657309</c:v>
                </c:pt>
                <c:pt idx="1097">
                  <c:v>1692.9937164052801</c:v>
                </c:pt>
                <c:pt idx="1098">
                  <c:v>1687.8451718247788</c:v>
                </c:pt>
                <c:pt idx="1099">
                  <c:v>1709.8715144776706</c:v>
                </c:pt>
                <c:pt idx="1100">
                  <c:v>1678.775978176395</c:v>
                </c:pt>
                <c:pt idx="1101">
                  <c:v>1672.8861255400386</c:v>
                </c:pt>
                <c:pt idx="1102">
                  <c:v>1675.79203284595</c:v>
                </c:pt>
                <c:pt idx="1103">
                  <c:v>1673.0435108474617</c:v>
                </c:pt>
                <c:pt idx="1104">
                  <c:v>1686.0269246036978</c:v>
                </c:pt>
                <c:pt idx="1105">
                  <c:v>1687.4276103582833</c:v>
                </c:pt>
                <c:pt idx="1106">
                  <c:v>1693.6053643459418</c:v>
                </c:pt>
                <c:pt idx="1107">
                  <c:v>1690.352901082156</c:v>
                </c:pt>
                <c:pt idx="1108">
                  <c:v>1689.3428534195652</c:v>
                </c:pt>
                <c:pt idx="1109">
                  <c:v>1710.0786736048219</c:v>
                </c:pt>
                <c:pt idx="1110">
                  <c:v>1746.2381645729167</c:v>
                </c:pt>
                <c:pt idx="1111">
                  <c:v>1747.2286505599309</c:v>
                </c:pt>
                <c:pt idx="1112">
                  <c:v>1744.65400227755</c:v>
                </c:pt>
                <c:pt idx="1113">
                  <c:v>1736.0063624110385</c:v>
                </c:pt>
                <c:pt idx="1114">
                  <c:v>1758.7209118337016</c:v>
                </c:pt>
                <c:pt idx="1115">
                  <c:v>1760.6708103323726</c:v>
                </c:pt>
                <c:pt idx="1116">
                  <c:v>1751.2699038184378</c:v>
                </c:pt>
                <c:pt idx="1117">
                  <c:v>1765.9068495828328</c:v>
                </c:pt>
                <c:pt idx="1118">
                  <c:v>1793.3374830537875</c:v>
                </c:pt>
                <c:pt idx="1119">
                  <c:v>1813.2383860494456</c:v>
                </c:pt>
                <c:pt idx="1120">
                  <c:v>1824.940543484428</c:v>
                </c:pt>
                <c:pt idx="1121">
                  <c:v>1820.9031409087022</c:v>
                </c:pt>
                <c:pt idx="1122">
                  <c:v>1792.0914446643926</c:v>
                </c:pt>
                <c:pt idx="1123">
                  <c:v>1809.0217934711668</c:v>
                </c:pt>
                <c:pt idx="1124">
                  <c:v>1785.3763224542242</c:v>
                </c:pt>
                <c:pt idx="1125">
                  <c:v>1782.6966656147292</c:v>
                </c:pt>
                <c:pt idx="1126">
                  <c:v>1821.7191160537743</c:v>
                </c:pt>
                <c:pt idx="1127">
                  <c:v>1822.1502115455348</c:v>
                </c:pt>
                <c:pt idx="1128">
                  <c:v>1810.7076182353717</c:v>
                </c:pt>
                <c:pt idx="1129">
                  <c:v>1831.6929071208438</c:v>
                </c:pt>
                <c:pt idx="1130">
                  <c:v>1824.7610378142763</c:v>
                </c:pt>
                <c:pt idx="1131">
                  <c:v>1839.5705817367962</c:v>
                </c:pt>
                <c:pt idx="1132">
                  <c:v>1847.2505825961266</c:v>
                </c:pt>
                <c:pt idx="1133">
                  <c:v>1831.8650532587255</c:v>
                </c:pt>
                <c:pt idx="1134">
                  <c:v>1844.83072216866</c:v>
                </c:pt>
                <c:pt idx="1135">
                  <c:v>1841.3521018226295</c:v>
                </c:pt>
                <c:pt idx="1136">
                  <c:v>1946.1712598301376</c:v>
                </c:pt>
                <c:pt idx="1137">
                  <c:v>1954.0100595945039</c:v>
                </c:pt>
                <c:pt idx="1138">
                  <c:v>1952.0887923708142</c:v>
                </c:pt>
                <c:pt idx="1139">
                  <c:v>1924.0895121611265</c:v>
                </c:pt>
                <c:pt idx="1140">
                  <c:v>1892.2919162173625</c:v>
                </c:pt>
                <c:pt idx="1141">
                  <c:v>1923.7040773065889</c:v>
                </c:pt>
                <c:pt idx="1142">
                  <c:v>1933.4086031875895</c:v>
                </c:pt>
                <c:pt idx="1143">
                  <c:v>1939.1776656700238</c:v>
                </c:pt>
                <c:pt idx="1144">
                  <c:v>1950.5209359000717</c:v>
                </c:pt>
                <c:pt idx="1145">
                  <c:v>1983.6850934420518</c:v>
                </c:pt>
                <c:pt idx="1146">
                  <c:v>1995.8729963329195</c:v>
                </c:pt>
                <c:pt idx="1147">
                  <c:v>1995.8729963329195</c:v>
                </c:pt>
                <c:pt idx="1148">
                  <c:v>1995.8729963329195</c:v>
                </c:pt>
                <c:pt idx="1149">
                  <c:v>2044.12556924044</c:v>
                </c:pt>
                <c:pt idx="1150">
                  <c:v>2035.6855584145292</c:v>
                </c:pt>
                <c:pt idx="1151">
                  <c:v>2041.1712117455056</c:v>
                </c:pt>
                <c:pt idx="1152">
                  <c:v>2039.1649291778417</c:v>
                </c:pt>
                <c:pt idx="1153">
                  <c:v>2028.5864132858535</c:v>
                </c:pt>
                <c:pt idx="1154">
                  <c:v>2005.8356156470484</c:v>
                </c:pt>
                <c:pt idx="1155">
                  <c:v>2013.0321497702012</c:v>
                </c:pt>
                <c:pt idx="1156">
                  <c:v>2008.5785216121556</c:v>
                </c:pt>
                <c:pt idx="1157">
                  <c:v>1986.8535587023771</c:v>
                </c:pt>
                <c:pt idx="1158">
                  <c:v>1904.2950809732972</c:v>
                </c:pt>
                <c:pt idx="1159">
                  <c:v>2015.5466915137727</c:v>
                </c:pt>
                <c:pt idx="1160">
                  <c:v>2015.5466915137727</c:v>
                </c:pt>
                <c:pt idx="1161">
                  <c:v>2039.3288343255838</c:v>
                </c:pt>
                <c:pt idx="1162">
                  <c:v>2039.2551834042697</c:v>
                </c:pt>
                <c:pt idx="1163">
                  <c:v>2039.6170430945795</c:v>
                </c:pt>
                <c:pt idx="1164">
                  <c:v>2051.9702365518606</c:v>
                </c:pt>
                <c:pt idx="1165">
                  <c:v>2050.4724339715176</c:v>
                </c:pt>
                <c:pt idx="1166">
                  <c:v>2044.9008905687788</c:v>
                </c:pt>
                <c:pt idx="1167">
                  <c:v>2063.915917251571</c:v>
                </c:pt>
                <c:pt idx="1168">
                  <c:v>2062.8664831444144</c:v>
                </c:pt>
                <c:pt idx="1169">
                  <c:v>2070.8670280928964</c:v>
                </c:pt>
                <c:pt idx="1170">
                  <c:v>2064.9763955486264</c:v>
                </c:pt>
                <c:pt idx="1171">
                  <c:v>2066.8080672127467</c:v>
                </c:pt>
                <c:pt idx="1172">
                  <c:v>2070.9417852035403</c:v>
                </c:pt>
                <c:pt idx="1173">
                  <c:v>2075.314327472187</c:v>
                </c:pt>
                <c:pt idx="1174">
                  <c:v>2072.8862874617948</c:v>
                </c:pt>
                <c:pt idx="1175">
                  <c:v>2074.2044052923411</c:v>
                </c:pt>
                <c:pt idx="1176">
                  <c:v>2060.5042164612519</c:v>
                </c:pt>
                <c:pt idx="1177">
                  <c:v>2049.8919866399797</c:v>
                </c:pt>
                <c:pt idx="1178">
                  <c:v>2036.7810452535732</c:v>
                </c:pt>
                <c:pt idx="1179">
                  <c:v>2074.6189585678603</c:v>
                </c:pt>
                <c:pt idx="1180">
                  <c:v>2074.5805637655499</c:v>
                </c:pt>
                <c:pt idx="1181">
                  <c:v>2073.7327782895172</c:v>
                </c:pt>
                <c:pt idx="1182">
                  <c:v>2076.9223522574289</c:v>
                </c:pt>
                <c:pt idx="1183">
                  <c:v>2066.0698678938438</c:v>
                </c:pt>
                <c:pt idx="1184">
                  <c:v>2069.7640208030061</c:v>
                </c:pt>
                <c:pt idx="1185">
                  <c:v>2067.7237640607964</c:v>
                </c:pt>
                <c:pt idx="1186">
                  <c:v>2085.1039713881646</c:v>
                </c:pt>
                <c:pt idx="1187">
                  <c:v>2082.8357126756164</c:v>
                </c:pt>
                <c:pt idx="1188">
                  <c:v>2084.0614726994077</c:v>
                </c:pt>
                <c:pt idx="1189">
                  <c:v>2083.539446918001</c:v>
                </c:pt>
                <c:pt idx="1190">
                  <c:v>2057.4769142954765</c:v>
                </c:pt>
                <c:pt idx="1191">
                  <c:v>2054.8432910324468</c:v>
                </c:pt>
                <c:pt idx="1192">
                  <c:v>2071.5836946943359</c:v>
                </c:pt>
                <c:pt idx="1193">
                  <c:v>2052.8137523089649</c:v>
                </c:pt>
                <c:pt idx="1194">
                  <c:v>2022.1179774611994</c:v>
                </c:pt>
                <c:pt idx="1195">
                  <c:v>1998.8977579306684</c:v>
                </c:pt>
                <c:pt idx="1196">
                  <c:v>1991.4078299284081</c:v>
                </c:pt>
                <c:pt idx="1197">
                  <c:v>2036.9434228351972</c:v>
                </c:pt>
                <c:pt idx="1198">
                  <c:v>2030.907565258944</c:v>
                </c:pt>
                <c:pt idx="1199">
                  <c:v>2018.0855718848684</c:v>
                </c:pt>
                <c:pt idx="1200">
                  <c:v>2021.5159245142188</c:v>
                </c:pt>
                <c:pt idx="1201">
                  <c:v>1991.3557268832669</c:v>
                </c:pt>
                <c:pt idx="1202">
                  <c:v>1970.0561540124568</c:v>
                </c:pt>
                <c:pt idx="1203">
                  <c:v>1967.0762284802543</c:v>
                </c:pt>
                <c:pt idx="1204">
                  <c:v>1965.913463448316</c:v>
                </c:pt>
                <c:pt idx="1205">
                  <c:v>1992.0028685593254</c:v>
                </c:pt>
                <c:pt idx="1206">
                  <c:v>2001.0434596511523</c:v>
                </c:pt>
                <c:pt idx="1207">
                  <c:v>1998.959362500374</c:v>
                </c:pt>
                <c:pt idx="1208">
                  <c:v>1984.8948334237816</c:v>
                </c:pt>
                <c:pt idx="1209">
                  <c:v>1992.3810645865092</c:v>
                </c:pt>
                <c:pt idx="1210">
                  <c:v>2033.312046236075</c:v>
                </c:pt>
                <c:pt idx="1211">
                  <c:v>2038.0844927916776</c:v>
                </c:pt>
                <c:pt idx="1212">
                  <c:v>2037.6148810062812</c:v>
                </c:pt>
                <c:pt idx="1213">
                  <c:v>2037.7076136806681</c:v>
                </c:pt>
                <c:pt idx="1214">
                  <c:v>2036.280946564968</c:v>
                </c:pt>
                <c:pt idx="1215">
                  <c:v>2035.9771419097235</c:v>
                </c:pt>
                <c:pt idx="1216">
                  <c:v>2054.4278371076925</c:v>
                </c:pt>
                <c:pt idx="1217">
                  <c:v>2055.0193364209972</c:v>
                </c:pt>
                <c:pt idx="1218">
                  <c:v>2052.2732172628375</c:v>
                </c:pt>
                <c:pt idx="1219">
                  <c:v>2059.8315455604857</c:v>
                </c:pt>
                <c:pt idx="1220">
                  <c:v>2057.3614922923234</c:v>
                </c:pt>
                <c:pt idx="1221">
                  <c:v>2062.1450370233306</c:v>
                </c:pt>
                <c:pt idx="1222">
                  <c:v>2059.9901812249691</c:v>
                </c:pt>
                <c:pt idx="1223">
                  <c:v>2061.5849257723162</c:v>
                </c:pt>
                <c:pt idx="1224">
                  <c:v>2059.6409484710234</c:v>
                </c:pt>
                <c:pt idx="1225">
                  <c:v>2054.9845349311781</c:v>
                </c:pt>
                <c:pt idx="1226">
                  <c:v>2053.3549184258936</c:v>
                </c:pt>
                <c:pt idx="1227">
                  <c:v>2056.2510738817955</c:v>
                </c:pt>
                <c:pt idx="1228">
                  <c:v>2042.1203722678961</c:v>
                </c:pt>
                <c:pt idx="1229">
                  <c:v>2057.3946444765311</c:v>
                </c:pt>
                <c:pt idx="1230">
                  <c:v>2057.0714962888219</c:v>
                </c:pt>
                <c:pt idx="1231">
                  <c:v>2062.6480278873064</c:v>
                </c:pt>
                <c:pt idx="1232">
                  <c:v>2063.752406787919</c:v>
                </c:pt>
                <c:pt idx="1233">
                  <c:v>2066.3508317170222</c:v>
                </c:pt>
                <c:pt idx="1234">
                  <c:v>2066.2855782324723</c:v>
                </c:pt>
                <c:pt idx="1235">
                  <c:v>2066.4084734729149</c:v>
                </c:pt>
                <c:pt idx="1236">
                  <c:v>2068.7460276724005</c:v>
                </c:pt>
                <c:pt idx="1237">
                  <c:v>2069.410057270939</c:v>
                </c:pt>
                <c:pt idx="1238">
                  <c:v>2068.9282114248417</c:v>
                </c:pt>
                <c:pt idx="1239">
                  <c:v>2068.0555244663328</c:v>
                </c:pt>
                <c:pt idx="1240">
                  <c:v>2069.989721584423</c:v>
                </c:pt>
                <c:pt idx="1241">
                  <c:v>2069.8881845282654</c:v>
                </c:pt>
                <c:pt idx="1242">
                  <c:v>2069.913480800119</c:v>
                </c:pt>
                <c:pt idx="1243">
                  <c:v>2069.3196884914323</c:v>
                </c:pt>
                <c:pt idx="1244">
                  <c:v>2067.9573023242206</c:v>
                </c:pt>
                <c:pt idx="1245">
                  <c:v>2068.063264055279</c:v>
                </c:pt>
                <c:pt idx="1246">
                  <c:v>2068.3502395769292</c:v>
                </c:pt>
                <c:pt idx="1247">
                  <c:v>2068.5998753535173</c:v>
                </c:pt>
                <c:pt idx="1248">
                  <c:v>2072.1234243017711</c:v>
                </c:pt>
                <c:pt idx="1249">
                  <c:v>2071.5261964612992</c:v>
                </c:pt>
                <c:pt idx="1250">
                  <c:v>2070.2859262532247</c:v>
                </c:pt>
                <c:pt idx="1251">
                  <c:v>2070.3818146305257</c:v>
                </c:pt>
                <c:pt idx="1252">
                  <c:v>2067.1776306040128</c:v>
                </c:pt>
                <c:pt idx="1253">
                  <c:v>2066.9197208420774</c:v>
                </c:pt>
                <c:pt idx="1254">
                  <c:v>2067.0061137923367</c:v>
                </c:pt>
                <c:pt idx="1255">
                  <c:v>2065.1587692397652</c:v>
                </c:pt>
                <c:pt idx="1256">
                  <c:v>2065.1296963910027</c:v>
                </c:pt>
                <c:pt idx="1257">
                  <c:v>2066.9256808144846</c:v>
                </c:pt>
                <c:pt idx="1258">
                  <c:v>2066.9880569267034</c:v>
                </c:pt>
                <c:pt idx="1259">
                  <c:v>2066.9010225945663</c:v>
                </c:pt>
                <c:pt idx="1260">
                  <c:v>2067.538085631696</c:v>
                </c:pt>
                <c:pt idx="1261">
                  <c:v>2063.3680952733253</c:v>
                </c:pt>
                <c:pt idx="1262">
                  <c:v>2065.9523580057808</c:v>
                </c:pt>
                <c:pt idx="1263">
                  <c:v>2066.285710903258</c:v>
                </c:pt>
                <c:pt idx="1264">
                  <c:v>2064.8029323048581</c:v>
                </c:pt>
                <c:pt idx="1265">
                  <c:v>2065.6764020159362</c:v>
                </c:pt>
                <c:pt idx="1266">
                  <c:v>2065.5739267483282</c:v>
                </c:pt>
                <c:pt idx="1267">
                  <c:v>2066.458538202482</c:v>
                </c:pt>
                <c:pt idx="1268">
                  <c:v>2066.337310782053</c:v>
                </c:pt>
                <c:pt idx="1269">
                  <c:v>2066.3524384885427</c:v>
                </c:pt>
                <c:pt idx="1270">
                  <c:v>2066.3532321507419</c:v>
                </c:pt>
                <c:pt idx="1271">
                  <c:v>2066.4352301794952</c:v>
                </c:pt>
                <c:pt idx="1272">
                  <c:v>2066.880474959672</c:v>
                </c:pt>
                <c:pt idx="1273">
                  <c:v>2066.7253828741759</c:v>
                </c:pt>
                <c:pt idx="1274">
                  <c:v>2066.5079584227105</c:v>
                </c:pt>
                <c:pt idx="1275">
                  <c:v>2066.1297937400686</c:v>
                </c:pt>
                <c:pt idx="1276">
                  <c:v>2064.2131642296126</c:v>
                </c:pt>
                <c:pt idx="1277">
                  <c:v>2063.4185276934327</c:v>
                </c:pt>
                <c:pt idx="1278">
                  <c:v>2064.0102668246204</c:v>
                </c:pt>
                <c:pt idx="1279">
                  <c:v>2063.9895599476504</c:v>
                </c:pt>
                <c:pt idx="1280">
                  <c:v>2064.0779432048344</c:v>
                </c:pt>
                <c:pt idx="1281">
                  <c:v>2063.9345288362192</c:v>
                </c:pt>
                <c:pt idx="1282">
                  <c:v>2063.9762631551639</c:v>
                </c:pt>
                <c:pt idx="1283">
                  <c:v>2064.5717599049358</c:v>
                </c:pt>
                <c:pt idx="1284">
                  <c:v>2064.72400084932</c:v>
                </c:pt>
                <c:pt idx="1285">
                  <c:v>2067.1393579395358</c:v>
                </c:pt>
                <c:pt idx="1286">
                  <c:v>2066.5570977111038</c:v>
                </c:pt>
                <c:pt idx="1287">
                  <c:v>2066.4227956386053</c:v>
                </c:pt>
                <c:pt idx="1288">
                  <c:v>2066.9377521676015</c:v>
                </c:pt>
                <c:pt idx="1289">
                  <c:v>2066.7252038255415</c:v>
                </c:pt>
                <c:pt idx="1290">
                  <c:v>2066.7930087043746</c:v>
                </c:pt>
                <c:pt idx="1291">
                  <c:v>2067.3177719341647</c:v>
                </c:pt>
                <c:pt idx="1292">
                  <c:v>2066.0157424795384</c:v>
                </c:pt>
                <c:pt idx="1293">
                  <c:v>2065.8969819659851</c:v>
                </c:pt>
                <c:pt idx="1294">
                  <c:v>2065.9684164775549</c:v>
                </c:pt>
                <c:pt idx="1295">
                  <c:v>2065.8418948970179</c:v>
                </c:pt>
                <c:pt idx="1296">
                  <c:v>2065.6828726913182</c:v>
                </c:pt>
                <c:pt idx="1297">
                  <c:v>2065.3613759143095</c:v>
                </c:pt>
                <c:pt idx="1298">
                  <c:v>2065.2167916498952</c:v>
                </c:pt>
                <c:pt idx="1299">
                  <c:v>2063.4206207791508</c:v>
                </c:pt>
                <c:pt idx="1300">
                  <c:v>2054.2053522147689</c:v>
                </c:pt>
                <c:pt idx="1301">
                  <c:v>2057.1807689596067</c:v>
                </c:pt>
                <c:pt idx="1302">
                  <c:v>2056.4847126240579</c:v>
                </c:pt>
                <c:pt idx="1303">
                  <c:v>2059.6285330280725</c:v>
                </c:pt>
                <c:pt idx="1304">
                  <c:v>2059.2787925265734</c:v>
                </c:pt>
                <c:pt idx="1305">
                  <c:v>2059.7242089463525</c:v>
                </c:pt>
                <c:pt idx="1306">
                  <c:v>2057.4673102271313</c:v>
                </c:pt>
                <c:pt idx="1307">
                  <c:v>2058.8551076623035</c:v>
                </c:pt>
                <c:pt idx="1308">
                  <c:v>2060.5513321051649</c:v>
                </c:pt>
                <c:pt idx="1309">
                  <c:v>2059.6945399503597</c:v>
                </c:pt>
                <c:pt idx="1310">
                  <c:v>2059.2426625352145</c:v>
                </c:pt>
                <c:pt idx="1311">
                  <c:v>2052.8300029605466</c:v>
                </c:pt>
                <c:pt idx="1312">
                  <c:v>2054.47390958502</c:v>
                </c:pt>
                <c:pt idx="1313">
                  <c:v>2045.9949241299184</c:v>
                </c:pt>
                <c:pt idx="1314">
                  <c:v>2035.2868217795594</c:v>
                </c:pt>
                <c:pt idx="1315">
                  <c:v>2042.5195492848136</c:v>
                </c:pt>
                <c:pt idx="1316">
                  <c:v>2045.8623520642016</c:v>
                </c:pt>
                <c:pt idx="1317">
                  <c:v>2045.0729338653273</c:v>
                </c:pt>
                <c:pt idx="1318">
                  <c:v>2039.5238995359596</c:v>
                </c:pt>
                <c:pt idx="1319">
                  <c:v>2022.7356934880727</c:v>
                </c:pt>
                <c:pt idx="1320">
                  <c:v>2025.8301239922032</c:v>
                </c:pt>
                <c:pt idx="1321">
                  <c:v>2030.1006116594799</c:v>
                </c:pt>
                <c:pt idx="1322">
                  <c:v>2028.1742531116211</c:v>
                </c:pt>
                <c:pt idx="1323">
                  <c:v>2025.7822100093792</c:v>
                </c:pt>
                <c:pt idx="1324">
                  <c:v>1997.8015276827557</c:v>
                </c:pt>
                <c:pt idx="1325">
                  <c:v>1983.3247827710227</c:v>
                </c:pt>
                <c:pt idx="1326">
                  <c:v>1951.7314687933801</c:v>
                </c:pt>
                <c:pt idx="1327">
                  <c:v>1994.6800153842778</c:v>
                </c:pt>
                <c:pt idx="1328">
                  <c:v>1995.8113339297142</c:v>
                </c:pt>
                <c:pt idx="1329">
                  <c:v>1995.0819021599721</c:v>
                </c:pt>
                <c:pt idx="1330">
                  <c:v>2010.4857403418519</c:v>
                </c:pt>
                <c:pt idx="1331">
                  <c:v>2009.5849022038367</c:v>
                </c:pt>
                <c:pt idx="1332">
                  <c:v>2013.8980175888996</c:v>
                </c:pt>
                <c:pt idx="1333">
                  <c:v>2014.5952590357783</c:v>
                </c:pt>
                <c:pt idx="1334">
                  <c:v>2010.2990589725512</c:v>
                </c:pt>
                <c:pt idx="1335">
                  <c:v>2016.8424452730478</c:v>
                </c:pt>
                <c:pt idx="1336">
                  <c:v>2015.0326066955988</c:v>
                </c:pt>
                <c:pt idx="1337">
                  <c:v>2018.4670338396579</c:v>
                </c:pt>
                <c:pt idx="1338">
                  <c:v>1994.7373200829018</c:v>
                </c:pt>
                <c:pt idx="1339">
                  <c:v>1991.809285971482</c:v>
                </c:pt>
                <c:pt idx="1340">
                  <c:v>1984.7883472925512</c:v>
                </c:pt>
                <c:pt idx="1341">
                  <c:v>1979.318827934396</c:v>
                </c:pt>
                <c:pt idx="1342">
                  <c:v>1981.4956794625762</c:v>
                </c:pt>
                <c:pt idx="1343">
                  <c:v>1991.7941841739514</c:v>
                </c:pt>
                <c:pt idx="1344">
                  <c:v>1992.8981106337915</c:v>
                </c:pt>
                <c:pt idx="1345">
                  <c:v>1998.1820962332049</c:v>
                </c:pt>
                <c:pt idx="1346">
                  <c:v>2005.8975651463654</c:v>
                </c:pt>
                <c:pt idx="1347">
                  <c:v>2002.5279391606527</c:v>
                </c:pt>
                <c:pt idx="1348">
                  <c:v>2002.5927857867039</c:v>
                </c:pt>
                <c:pt idx="1349">
                  <c:v>1997.489423658106</c:v>
                </c:pt>
                <c:pt idx="1350">
                  <c:v>2004.2642252973826</c:v>
                </c:pt>
                <c:pt idx="1351">
                  <c:v>2007.9189134324231</c:v>
                </c:pt>
                <c:pt idx="1352">
                  <c:v>2006.8582004401296</c:v>
                </c:pt>
                <c:pt idx="1353">
                  <c:v>2029.5232362991514</c:v>
                </c:pt>
                <c:pt idx="1354">
                  <c:v>2026.1956831032644</c:v>
                </c:pt>
                <c:pt idx="1355">
                  <c:v>2028.3097379327537</c:v>
                </c:pt>
                <c:pt idx="1356">
                  <c:v>2022.507191291616</c:v>
                </c:pt>
                <c:pt idx="1357">
                  <c:v>2026.4102313247788</c:v>
                </c:pt>
                <c:pt idx="1358">
                  <c:v>2028.8428167515999</c:v>
                </c:pt>
                <c:pt idx="1359">
                  <c:v>2025.6994058889034</c:v>
                </c:pt>
                <c:pt idx="1360">
                  <c:v>2032.2757652570529</c:v>
                </c:pt>
                <c:pt idx="1361">
                  <c:v>2036.5584393441843</c:v>
                </c:pt>
                <c:pt idx="1362">
                  <c:v>2036.8316705849011</c:v>
                </c:pt>
                <c:pt idx="1363">
                  <c:v>2043.4677728715944</c:v>
                </c:pt>
                <c:pt idx="1364">
                  <c:v>2043.5721313976539</c:v>
                </c:pt>
                <c:pt idx="1365">
                  <c:v>2043.3027956376734</c:v>
                </c:pt>
                <c:pt idx="1366">
                  <c:v>2043.215523384315</c:v>
                </c:pt>
                <c:pt idx="1367">
                  <c:v>2043.6054477448813</c:v>
                </c:pt>
                <c:pt idx="1368">
                  <c:v>2044.1933650879669</c:v>
                </c:pt>
                <c:pt idx="1369">
                  <c:v>2053.0075636713159</c:v>
                </c:pt>
                <c:pt idx="1370">
                  <c:v>2052.1128259638344</c:v>
                </c:pt>
                <c:pt idx="1371">
                  <c:v>2051.3655349070314</c:v>
                </c:pt>
                <c:pt idx="1372">
                  <c:v>2052.9481510133701</c:v>
                </c:pt>
                <c:pt idx="1373">
                  <c:v>2049.2771165456097</c:v>
                </c:pt>
                <c:pt idx="1374">
                  <c:v>2050.3693061424478</c:v>
                </c:pt>
                <c:pt idx="1375">
                  <c:v>2051.070598208556</c:v>
                </c:pt>
                <c:pt idx="1376">
                  <c:v>2049.9527475824061</c:v>
                </c:pt>
                <c:pt idx="1377">
                  <c:v>2051.0670607148018</c:v>
                </c:pt>
                <c:pt idx="1378">
                  <c:v>2050.0336797647587</c:v>
                </c:pt>
                <c:pt idx="1379">
                  <c:v>2050.2723790463069</c:v>
                </c:pt>
                <c:pt idx="1380">
                  <c:v>2049.3557442258316</c:v>
                </c:pt>
                <c:pt idx="1381">
                  <c:v>2045.5179842630632</c:v>
                </c:pt>
                <c:pt idx="1382">
                  <c:v>2040.9168280033521</c:v>
                </c:pt>
                <c:pt idx="1383">
                  <c:v>2040.298955710218</c:v>
                </c:pt>
                <c:pt idx="1384">
                  <c:v>2038.6984485768448</c:v>
                </c:pt>
                <c:pt idx="1385">
                  <c:v>2041.5155156880019</c:v>
                </c:pt>
                <c:pt idx="1386">
                  <c:v>2040.9752700483925</c:v>
                </c:pt>
                <c:pt idx="1387">
                  <c:v>2040.7965666312291</c:v>
                </c:pt>
                <c:pt idx="1388">
                  <c:v>2043.3752844515157</c:v>
                </c:pt>
                <c:pt idx="1389">
                  <c:v>2046.8980096132116</c:v>
                </c:pt>
                <c:pt idx="1390">
                  <c:v>2045.4618392012426</c:v>
                </c:pt>
                <c:pt idx="1391">
                  <c:v>2045.9300977595185</c:v>
                </c:pt>
                <c:pt idx="1392">
                  <c:v>2046.4107097860938</c:v>
                </c:pt>
                <c:pt idx="1393">
                  <c:v>2044.7609565161949</c:v>
                </c:pt>
                <c:pt idx="1394">
                  <c:v>2045.1166297888296</c:v>
                </c:pt>
                <c:pt idx="1395">
                  <c:v>2045.9182640954534</c:v>
                </c:pt>
                <c:pt idx="1396">
                  <c:v>2047.1545673137907</c:v>
                </c:pt>
                <c:pt idx="1397">
                  <c:v>2046.2918332211671</c:v>
                </c:pt>
                <c:pt idx="1398">
                  <c:v>2046.8402234888231</c:v>
                </c:pt>
                <c:pt idx="1399">
                  <c:v>2046.478230026489</c:v>
                </c:pt>
                <c:pt idx="1400">
                  <c:v>2044.1897808086226</c:v>
                </c:pt>
                <c:pt idx="1401">
                  <c:v>2045.8217190535897</c:v>
                </c:pt>
                <c:pt idx="1402">
                  <c:v>2046.1811214949619</c:v>
                </c:pt>
                <c:pt idx="1403">
                  <c:v>2044.2109251063832</c:v>
                </c:pt>
                <c:pt idx="1404">
                  <c:v>2044.9872412097839</c:v>
                </c:pt>
                <c:pt idx="1405">
                  <c:v>2045.0186648969902</c:v>
                </c:pt>
                <c:pt idx="1406">
                  <c:v>2045.1089334344872</c:v>
                </c:pt>
                <c:pt idx="1407">
                  <c:v>2044.1067916999675</c:v>
                </c:pt>
                <c:pt idx="1408">
                  <c:v>2043.7834207170188</c:v>
                </c:pt>
                <c:pt idx="1409">
                  <c:v>2043.1139060903156</c:v>
                </c:pt>
                <c:pt idx="1410">
                  <c:v>2043.6197676642507</c:v>
                </c:pt>
                <c:pt idx="1411">
                  <c:v>2041.0399645629138</c:v>
                </c:pt>
                <c:pt idx="1412">
                  <c:v>2037.6542761606481</c:v>
                </c:pt>
                <c:pt idx="1413">
                  <c:v>2038.9836733483398</c:v>
                </c:pt>
                <c:pt idx="1414">
                  <c:v>2038.634357473914</c:v>
                </c:pt>
                <c:pt idx="1415">
                  <c:v>2038.6640363914635</c:v>
                </c:pt>
                <c:pt idx="1416">
                  <c:v>2037.9818389689319</c:v>
                </c:pt>
                <c:pt idx="1417">
                  <c:v>2036.6627554958877</c:v>
                </c:pt>
                <c:pt idx="1418">
                  <c:v>2034.7590255648504</c:v>
                </c:pt>
                <c:pt idx="1419">
                  <c:v>2034.7259401350864</c:v>
                </c:pt>
                <c:pt idx="1420">
                  <c:v>2031.9713737433226</c:v>
                </c:pt>
                <c:pt idx="1421">
                  <c:v>2026.7484759482177</c:v>
                </c:pt>
                <c:pt idx="1422">
                  <c:v>2014.8593282873342</c:v>
                </c:pt>
                <c:pt idx="1423">
                  <c:v>2019.6065733856412</c:v>
                </c:pt>
                <c:pt idx="1424">
                  <c:v>2021.8297367637108</c:v>
                </c:pt>
                <c:pt idx="1425">
                  <c:v>2019.3355680146708</c:v>
                </c:pt>
                <c:pt idx="1426">
                  <c:v>2020.5309882942367</c:v>
                </c:pt>
                <c:pt idx="1427">
                  <c:v>2009.7366083052345</c:v>
                </c:pt>
                <c:pt idx="1428">
                  <c:v>2009.1637301332332</c:v>
                </c:pt>
                <c:pt idx="1429">
                  <c:v>2004.4541965749606</c:v>
                </c:pt>
                <c:pt idx="1430">
                  <c:v>1988.0352197613504</c:v>
                </c:pt>
                <c:pt idx="1431">
                  <c:v>1995.2620608689956</c:v>
                </c:pt>
                <c:pt idx="1432">
                  <c:v>1983.5916045549855</c:v>
                </c:pt>
                <c:pt idx="1433">
                  <c:v>1971.1739895189073</c:v>
                </c:pt>
                <c:pt idx="1434">
                  <c:v>1952.1564845105811</c:v>
                </c:pt>
                <c:pt idx="1435">
                  <c:v>1940.4403979310887</c:v>
                </c:pt>
                <c:pt idx="1436">
                  <c:v>1933.8157336960251</c:v>
                </c:pt>
                <c:pt idx="1437">
                  <c:v>1945.4510319119961</c:v>
                </c:pt>
                <c:pt idx="1438">
                  <c:v>1927.1123428249546</c:v>
                </c:pt>
                <c:pt idx="1439">
                  <c:v>1853.105810035051</c:v>
                </c:pt>
                <c:pt idx="1440">
                  <c:v>1753.3254761034827</c:v>
                </c:pt>
                <c:pt idx="1441">
                  <c:v>1913.3747662345233</c:v>
                </c:pt>
                <c:pt idx="1442">
                  <c:v>1913.3747662345233</c:v>
                </c:pt>
                <c:pt idx="1443">
                  <c:v>1913.3747662345233</c:v>
                </c:pt>
                <c:pt idx="1444">
                  <c:v>1917.839474060846</c:v>
                </c:pt>
                <c:pt idx="1445">
                  <c:v>1919.850502296184</c:v>
                </c:pt>
                <c:pt idx="1446">
                  <c:v>1952.6452169133984</c:v>
                </c:pt>
                <c:pt idx="1447">
                  <c:v>1994.5772237805706</c:v>
                </c:pt>
                <c:pt idx="1448">
                  <c:v>1994.2758692197585</c:v>
                </c:pt>
                <c:pt idx="1449">
                  <c:v>1993.1964577744457</c:v>
                </c:pt>
                <c:pt idx="1450">
                  <c:v>1988.0461825909581</c:v>
                </c:pt>
                <c:pt idx="1451">
                  <c:v>1989.4957023391498</c:v>
                </c:pt>
                <c:pt idx="1452">
                  <c:v>2012.8121542433892</c:v>
                </c:pt>
                <c:pt idx="1453">
                  <c:v>2012.890052350187</c:v>
                </c:pt>
                <c:pt idx="1454">
                  <c:v>1994.7974535834098</c:v>
                </c:pt>
                <c:pt idx="1455">
                  <c:v>1996.0951268130661</c:v>
                </c:pt>
                <c:pt idx="1456">
                  <c:v>2010.3303702550547</c:v>
                </c:pt>
                <c:pt idx="1457">
                  <c:v>2018.0681384611596</c:v>
                </c:pt>
                <c:pt idx="1458">
                  <c:v>2011.9518328670392</c:v>
                </c:pt>
                <c:pt idx="1459">
                  <c:v>2019.7090156350735</c:v>
                </c:pt>
                <c:pt idx="1460">
                  <c:v>2017.297264035956</c:v>
                </c:pt>
                <c:pt idx="1461">
                  <c:v>2022.6283795538841</c:v>
                </c:pt>
                <c:pt idx="1462">
                  <c:v>2013.3366358754492</c:v>
                </c:pt>
                <c:pt idx="1463">
                  <c:v>1967.114017431709</c:v>
                </c:pt>
                <c:pt idx="1464">
                  <c:v>1942.2823538062789</c:v>
                </c:pt>
                <c:pt idx="1465">
                  <c:v>1951.0188385648032</c:v>
                </c:pt>
                <c:pt idx="1466">
                  <c:v>1932.934331628732</c:v>
                </c:pt>
                <c:pt idx="1467">
                  <c:v>1907.7317605888672</c:v>
                </c:pt>
                <c:pt idx="1468">
                  <c:v>1941.4361960812535</c:v>
                </c:pt>
                <c:pt idx="1469">
                  <c:v>1944.1260551422697</c:v>
                </c:pt>
                <c:pt idx="1470">
                  <c:v>1942.6971359021286</c:v>
                </c:pt>
                <c:pt idx="1471">
                  <c:v>1941.1599213363413</c:v>
                </c:pt>
                <c:pt idx="1472">
                  <c:v>1914.7492626144362</c:v>
                </c:pt>
                <c:pt idx="1473">
                  <c:v>1877.2026310288977</c:v>
                </c:pt>
                <c:pt idx="1474">
                  <c:v>1879.0160391942734</c:v>
                </c:pt>
                <c:pt idx="1475">
                  <c:v>1877.0179947388881</c:v>
                </c:pt>
                <c:pt idx="1476">
                  <c:v>1841.1867465245512</c:v>
                </c:pt>
                <c:pt idx="1477">
                  <c:v>1836.7828391353476</c:v>
                </c:pt>
                <c:pt idx="1478">
                  <c:v>1780.1060269688778</c:v>
                </c:pt>
                <c:pt idx="1479">
                  <c:v>1828.1891328020988</c:v>
                </c:pt>
                <c:pt idx="1480">
                  <c:v>1816.9516613952248</c:v>
                </c:pt>
                <c:pt idx="1481">
                  <c:v>1800.7867471281916</c:v>
                </c:pt>
                <c:pt idx="1482">
                  <c:v>1769.5397717305302</c:v>
                </c:pt>
                <c:pt idx="1483">
                  <c:v>1778.9436146940052</c:v>
                </c:pt>
                <c:pt idx="1484">
                  <c:v>1782.8270698478389</c:v>
                </c:pt>
                <c:pt idx="1485">
                  <c:v>1767.654206079266</c:v>
                </c:pt>
                <c:pt idx="1486">
                  <c:v>1769.3609420907421</c:v>
                </c:pt>
                <c:pt idx="1487">
                  <c:v>1815.9253301435199</c:v>
                </c:pt>
                <c:pt idx="1488">
                  <c:v>1822.7530704479227</c:v>
                </c:pt>
                <c:pt idx="1489">
                  <c:v>1818.8338479211941</c:v>
                </c:pt>
                <c:pt idx="1490">
                  <c:v>1812.1048482120782</c:v>
                </c:pt>
                <c:pt idx="1491">
                  <c:v>1789.999994332524</c:v>
                </c:pt>
                <c:pt idx="1492">
                  <c:v>1786.7288242203326</c:v>
                </c:pt>
                <c:pt idx="1493">
                  <c:v>1866.499963406191</c:v>
                </c:pt>
                <c:pt idx="1494">
                  <c:v>1862.6229802139951</c:v>
                </c:pt>
                <c:pt idx="1495">
                  <c:v>1868.6126280899375</c:v>
                </c:pt>
                <c:pt idx="1496">
                  <c:v>1852.7792130076637</c:v>
                </c:pt>
                <c:pt idx="1497">
                  <c:v>1859.4127193990412</c:v>
                </c:pt>
                <c:pt idx="1498">
                  <c:v>1852.2147086969671</c:v>
                </c:pt>
                <c:pt idx="1499">
                  <c:v>1844.745347190031</c:v>
                </c:pt>
                <c:pt idx="1500">
                  <c:v>1846.4416743523579</c:v>
                </c:pt>
                <c:pt idx="1501">
                  <c:v>1859.2563746463809</c:v>
                </c:pt>
                <c:pt idx="1502">
                  <c:v>1846.9460530518834</c:v>
                </c:pt>
                <c:pt idx="1503">
                  <c:v>1850.333345399674</c:v>
                </c:pt>
                <c:pt idx="1504">
                  <c:v>1853.3144415871216</c:v>
                </c:pt>
                <c:pt idx="1505">
                  <c:v>1807.5808597059645</c:v>
                </c:pt>
                <c:pt idx="1506">
                  <c:v>1808.5926783298803</c:v>
                </c:pt>
                <c:pt idx="1507">
                  <c:v>1817.0358458488665</c:v>
                </c:pt>
                <c:pt idx="1508">
                  <c:v>1824.0057877133531</c:v>
                </c:pt>
                <c:pt idx="1509">
                  <c:v>1819.8365380984985</c:v>
                </c:pt>
                <c:pt idx="1510">
                  <c:v>1824.5895352640352</c:v>
                </c:pt>
                <c:pt idx="1511">
                  <c:v>1854.2005989089241</c:v>
                </c:pt>
                <c:pt idx="1512">
                  <c:v>1856.6842015853854</c:v>
                </c:pt>
                <c:pt idx="1513">
                  <c:v>1954.6931019895078</c:v>
                </c:pt>
                <c:pt idx="1514">
                  <c:v>1954.4665782469644</c:v>
                </c:pt>
                <c:pt idx="1515">
                  <c:v>1948.571973502907</c:v>
                </c:pt>
                <c:pt idx="1516">
                  <c:v>1949.1114223798818</c:v>
                </c:pt>
                <c:pt idx="1517">
                  <c:v>1959.4658984657729</c:v>
                </c:pt>
                <c:pt idx="1518">
                  <c:v>1909.204289278179</c:v>
                </c:pt>
                <c:pt idx="1519">
                  <c:v>1923.2720890690184</c:v>
                </c:pt>
                <c:pt idx="1520">
                  <c:v>1984.3124806431492</c:v>
                </c:pt>
                <c:pt idx="1521">
                  <c:v>1976.6238163825208</c:v>
                </c:pt>
                <c:pt idx="1522">
                  <c:v>1949.9738068994527</c:v>
                </c:pt>
                <c:pt idx="1523">
                  <c:v>1975.9617915709696</c:v>
                </c:pt>
                <c:pt idx="1524">
                  <c:v>1977.3667198387843</c:v>
                </c:pt>
                <c:pt idx="1525">
                  <c:v>1972.0483780903273</c:v>
                </c:pt>
                <c:pt idx="1526">
                  <c:v>2003.6705710024812</c:v>
                </c:pt>
                <c:pt idx="1527">
                  <c:v>2004.3570505269101</c:v>
                </c:pt>
                <c:pt idx="1528">
                  <c:v>2007.0946579548361</c:v>
                </c:pt>
                <c:pt idx="1529">
                  <c:v>2021.8862112466431</c:v>
                </c:pt>
                <c:pt idx="1530">
                  <c:v>2016.3330803170807</c:v>
                </c:pt>
                <c:pt idx="1531">
                  <c:v>2013.0876768410649</c:v>
                </c:pt>
                <c:pt idx="1532">
                  <c:v>2025.1532469784083</c:v>
                </c:pt>
                <c:pt idx="1533">
                  <c:v>1987.1280092061545</c:v>
                </c:pt>
                <c:pt idx="1534">
                  <c:v>1994.8825965894093</c:v>
                </c:pt>
                <c:pt idx="1535">
                  <c:v>2020.5873149993579</c:v>
                </c:pt>
                <c:pt idx="1536">
                  <c:v>2020.5666468692436</c:v>
                </c:pt>
                <c:pt idx="1537">
                  <c:v>2028.2160338788137</c:v>
                </c:pt>
                <c:pt idx="1538">
                  <c:v>2022.8818696104056</c:v>
                </c:pt>
                <c:pt idx="1539">
                  <c:v>2008.8722335383029</c:v>
                </c:pt>
                <c:pt idx="1540">
                  <c:v>2014.2247811753962</c:v>
                </c:pt>
                <c:pt idx="1541">
                  <c:v>1999.0010848257557</c:v>
                </c:pt>
                <c:pt idx="1542">
                  <c:v>1973.1716909905372</c:v>
                </c:pt>
                <c:pt idx="1543">
                  <c:v>1932.8059426022162</c:v>
                </c:pt>
                <c:pt idx="1544">
                  <c:v>1953.8898275578517</c:v>
                </c:pt>
                <c:pt idx="1545">
                  <c:v>1941.1047673919952</c:v>
                </c:pt>
                <c:pt idx="1546">
                  <c:v>1917.8996135447899</c:v>
                </c:pt>
                <c:pt idx="1547">
                  <c:v>1903.244104878411</c:v>
                </c:pt>
                <c:pt idx="1548">
                  <c:v>1904.3051211479512</c:v>
                </c:pt>
                <c:pt idx="1549">
                  <c:v>1866.4218447027793</c:v>
                </c:pt>
                <c:pt idx="1550">
                  <c:v>1869.7476798430969</c:v>
                </c:pt>
                <c:pt idx="1551">
                  <c:v>1866.3666387663932</c:v>
                </c:pt>
                <c:pt idx="1552">
                  <c:v>1901.7910740476591</c:v>
                </c:pt>
                <c:pt idx="1553">
                  <c:v>1895.3030411771599</c:v>
                </c:pt>
                <c:pt idx="1554">
                  <c:v>1905.1284766730582</c:v>
                </c:pt>
                <c:pt idx="1555">
                  <c:v>1883.1791622324927</c:v>
                </c:pt>
                <c:pt idx="1556">
                  <c:v>1887.3463792300552</c:v>
                </c:pt>
                <c:pt idx="1557">
                  <c:v>1887.0236691297441</c:v>
                </c:pt>
                <c:pt idx="1558">
                  <c:v>1877.0008300188006</c:v>
                </c:pt>
                <c:pt idx="1559">
                  <c:v>1883.5279663786976</c:v>
                </c:pt>
                <c:pt idx="1560">
                  <c:v>1906.3251421251382</c:v>
                </c:pt>
                <c:pt idx="1561">
                  <c:v>1903.586815343026</c:v>
                </c:pt>
                <c:pt idx="1562">
                  <c:v>1921.9410737753376</c:v>
                </c:pt>
                <c:pt idx="1563">
                  <c:v>1937.3565182963814</c:v>
                </c:pt>
                <c:pt idx="1564">
                  <c:v>1930.4310992582091</c:v>
                </c:pt>
                <c:pt idx="1565">
                  <c:v>1921.2880980525156</c:v>
                </c:pt>
                <c:pt idx="1566">
                  <c:v>1924.228437553139</c:v>
                </c:pt>
                <c:pt idx="1567">
                  <c:v>1921.7735080425771</c:v>
                </c:pt>
                <c:pt idx="1568">
                  <c:v>1917.6600465487109</c:v>
                </c:pt>
                <c:pt idx="1569">
                  <c:v>1912.2699578623401</c:v>
                </c:pt>
                <c:pt idx="1570">
                  <c:v>1923.0679722041223</c:v>
                </c:pt>
                <c:pt idx="1571">
                  <c:v>1921.8602064244258</c:v>
                </c:pt>
                <c:pt idx="1572">
                  <c:v>1920.1195273567416</c:v>
                </c:pt>
                <c:pt idx="1573">
                  <c:v>1919.9953021921685</c:v>
                </c:pt>
                <c:pt idx="1574">
                  <c:v>1918.5387339609431</c:v>
                </c:pt>
                <c:pt idx="1575">
                  <c:v>1917.2744894801049</c:v>
                </c:pt>
                <c:pt idx="1576">
                  <c:v>1925.776861047822</c:v>
                </c:pt>
                <c:pt idx="1577">
                  <c:v>1923.3991548308497</c:v>
                </c:pt>
                <c:pt idx="1578">
                  <c:v>1923.8132875777858</c:v>
                </c:pt>
                <c:pt idx="1579">
                  <c:v>1920.9888031944276</c:v>
                </c:pt>
                <c:pt idx="1580">
                  <c:v>1918.0754821495614</c:v>
                </c:pt>
                <c:pt idx="1581">
                  <c:v>1919.2165172645848</c:v>
                </c:pt>
                <c:pt idx="1582">
                  <c:v>1919.9421270289793</c:v>
                </c:pt>
                <c:pt idx="1583">
                  <c:v>1918.2601243618269</c:v>
                </c:pt>
                <c:pt idx="1584">
                  <c:v>1918.5531030144457</c:v>
                </c:pt>
                <c:pt idx="1585">
                  <c:v>1910.8573018087345</c:v>
                </c:pt>
                <c:pt idx="1586">
                  <c:v>1910.7072782557491</c:v>
                </c:pt>
                <c:pt idx="1587">
                  <c:v>1922.0448381623</c:v>
                </c:pt>
                <c:pt idx="1588">
                  <c:v>1921.4555006128605</c:v>
                </c:pt>
                <c:pt idx="1589">
                  <c:v>1920.8027428094636</c:v>
                </c:pt>
                <c:pt idx="1590">
                  <c:v>1916.7184852928031</c:v>
                </c:pt>
                <c:pt idx="1591">
                  <c:v>1916.7513409134608</c:v>
                </c:pt>
                <c:pt idx="1592">
                  <c:v>1915.8414905420184</c:v>
                </c:pt>
                <c:pt idx="1593">
                  <c:v>1914.0116329855109</c:v>
                </c:pt>
                <c:pt idx="1594">
                  <c:v>1912.8500151496678</c:v>
                </c:pt>
                <c:pt idx="1595">
                  <c:v>1915.3100102150443</c:v>
                </c:pt>
                <c:pt idx="1596">
                  <c:v>1913.3733017613336</c:v>
                </c:pt>
                <c:pt idx="1597">
                  <c:v>1920.0343318696998</c:v>
                </c:pt>
                <c:pt idx="1598">
                  <c:v>1918.6566327226765</c:v>
                </c:pt>
                <c:pt idx="1599">
                  <c:v>1915.6418967099969</c:v>
                </c:pt>
                <c:pt idx="1600">
                  <c:v>1909.6579114433207</c:v>
                </c:pt>
                <c:pt idx="1601">
                  <c:v>1910.3048192869678</c:v>
                </c:pt>
                <c:pt idx="1602">
                  <c:v>1912.3671542411364</c:v>
                </c:pt>
                <c:pt idx="1603">
                  <c:v>1910.7243004554298</c:v>
                </c:pt>
                <c:pt idx="1604">
                  <c:v>1907.1527547331652</c:v>
                </c:pt>
                <c:pt idx="1605">
                  <c:v>1906.3160718674058</c:v>
                </c:pt>
                <c:pt idx="1606">
                  <c:v>1907.9478024003156</c:v>
                </c:pt>
                <c:pt idx="1607">
                  <c:v>1908.3949141377163</c:v>
                </c:pt>
                <c:pt idx="1608">
                  <c:v>1901.3867090226443</c:v>
                </c:pt>
                <c:pt idx="1609">
                  <c:v>1890.9466972720961</c:v>
                </c:pt>
                <c:pt idx="1610">
                  <c:v>1888.1751724305832</c:v>
                </c:pt>
                <c:pt idx="1611">
                  <c:v>1889.2499974510033</c:v>
                </c:pt>
                <c:pt idx="1612">
                  <c:v>1879.1668061597136</c:v>
                </c:pt>
                <c:pt idx="1613">
                  <c:v>1874.8424267228147</c:v>
                </c:pt>
                <c:pt idx="1614">
                  <c:v>1869.1687432513281</c:v>
                </c:pt>
                <c:pt idx="1615">
                  <c:v>1866.4099816097064</c:v>
                </c:pt>
                <c:pt idx="1616">
                  <c:v>1895.9104201522148</c:v>
                </c:pt>
                <c:pt idx="1617">
                  <c:v>1893.4992439376636</c:v>
                </c:pt>
                <c:pt idx="1618">
                  <c:v>1887.7201000398607</c:v>
                </c:pt>
                <c:pt idx="1619">
                  <c:v>1894.5245298749637</c:v>
                </c:pt>
                <c:pt idx="1620">
                  <c:v>1891.3413389987452</c:v>
                </c:pt>
                <c:pt idx="1621">
                  <c:v>1901.8976151267989</c:v>
                </c:pt>
                <c:pt idx="1622">
                  <c:v>1896.0266515471101</c:v>
                </c:pt>
                <c:pt idx="1623">
                  <c:v>1898.6275048033074</c:v>
                </c:pt>
                <c:pt idx="1624">
                  <c:v>1898.6516741411979</c:v>
                </c:pt>
                <c:pt idx="1625">
                  <c:v>1886.4770003046474</c:v>
                </c:pt>
                <c:pt idx="1626">
                  <c:v>1885.515659209482</c:v>
                </c:pt>
                <c:pt idx="1627">
                  <c:v>1887.9392460929243</c:v>
                </c:pt>
                <c:pt idx="1628">
                  <c:v>1884.3566293379579</c:v>
                </c:pt>
                <c:pt idx="1629">
                  <c:v>1893.1226045216797</c:v>
                </c:pt>
                <c:pt idx="1630">
                  <c:v>1894.818483104606</c:v>
                </c:pt>
                <c:pt idx="1631">
                  <c:v>1892.4851284352285</c:v>
                </c:pt>
                <c:pt idx="1632">
                  <c:v>1891.3383708141901</c:v>
                </c:pt>
                <c:pt idx="1633">
                  <c:v>1890.8292826047341</c:v>
                </c:pt>
                <c:pt idx="1634">
                  <c:v>1889.3899974711364</c:v>
                </c:pt>
                <c:pt idx="1635">
                  <c:v>1891.9632043717518</c:v>
                </c:pt>
                <c:pt idx="1636">
                  <c:v>1892.1330732753252</c:v>
                </c:pt>
                <c:pt idx="1637">
                  <c:v>1892.8555794834363</c:v>
                </c:pt>
                <c:pt idx="1638">
                  <c:v>1905.191724595134</c:v>
                </c:pt>
                <c:pt idx="1639">
                  <c:v>1905.3921780433932</c:v>
                </c:pt>
                <c:pt idx="1640">
                  <c:v>1905.0294393804172</c:v>
                </c:pt>
                <c:pt idx="1641">
                  <c:v>1905.4743214175221</c:v>
                </c:pt>
                <c:pt idx="1642">
                  <c:v>1902.8542812411374</c:v>
                </c:pt>
                <c:pt idx="1643">
                  <c:v>1898.9442073322095</c:v>
                </c:pt>
                <c:pt idx="1644">
                  <c:v>1896.7846910305625</c:v>
                </c:pt>
                <c:pt idx="1645">
                  <c:v>1865.3483524371725</c:v>
                </c:pt>
                <c:pt idx="1646">
                  <c:v>1839.2671758578235</c:v>
                </c:pt>
                <c:pt idx="1647">
                  <c:v>1820.0176316775473</c:v>
                </c:pt>
                <c:pt idx="1648">
                  <c:v>1809.26422617099</c:v>
                </c:pt>
                <c:pt idx="1649">
                  <c:v>1802.5082706109154</c:v>
                </c:pt>
                <c:pt idx="1650">
                  <c:v>1811.663071044497</c:v>
                </c:pt>
                <c:pt idx="1651">
                  <c:v>1809.3128885878223</c:v>
                </c:pt>
                <c:pt idx="1652">
                  <c:v>1798.68747809915</c:v>
                </c:pt>
                <c:pt idx="1653">
                  <c:v>1780.4701711993125</c:v>
                </c:pt>
                <c:pt idx="1654">
                  <c:v>1782.0239409855769</c:v>
                </c:pt>
                <c:pt idx="1655">
                  <c:v>1778.2079734589058</c:v>
                </c:pt>
                <c:pt idx="1656">
                  <c:v>1778.6003286444495</c:v>
                </c:pt>
                <c:pt idx="1657">
                  <c:v>1782.9413895966761</c:v>
                </c:pt>
                <c:pt idx="1658">
                  <c:v>1781.8982081869271</c:v>
                </c:pt>
                <c:pt idx="1659">
                  <c:v>1782.7821549722926</c:v>
                </c:pt>
                <c:pt idx="1660">
                  <c:v>1779.418293615091</c:v>
                </c:pt>
                <c:pt idx="1661">
                  <c:v>1761.0693192657761</c:v>
                </c:pt>
                <c:pt idx="1662">
                  <c:v>1736.7690138503558</c:v>
                </c:pt>
                <c:pt idx="1663">
                  <c:v>1736.3118826168934</c:v>
                </c:pt>
                <c:pt idx="1664">
                  <c:v>1745.2325390455114</c:v>
                </c:pt>
                <c:pt idx="1665">
                  <c:v>1723.9148208988313</c:v>
                </c:pt>
                <c:pt idx="1666">
                  <c:v>1721.6652170749103</c:v>
                </c:pt>
                <c:pt idx="1667">
                  <c:v>1713.4910401423535</c:v>
                </c:pt>
                <c:pt idx="1668">
                  <c:v>1713.9098465041518</c:v>
                </c:pt>
                <c:pt idx="1669">
                  <c:v>1706.6108276865089</c:v>
                </c:pt>
                <c:pt idx="1670">
                  <c:v>1747.32647431741</c:v>
                </c:pt>
                <c:pt idx="1671">
                  <c:v>1764.906938695558</c:v>
                </c:pt>
                <c:pt idx="1672">
                  <c:v>1787.6974164825115</c:v>
                </c:pt>
                <c:pt idx="1673">
                  <c:v>1786.60866309675</c:v>
                </c:pt>
                <c:pt idx="1674">
                  <c:v>1772.1441507109448</c:v>
                </c:pt>
                <c:pt idx="1675">
                  <c:v>1789.1827304397862</c:v>
                </c:pt>
                <c:pt idx="1676">
                  <c:v>1796.46740720248</c:v>
                </c:pt>
                <c:pt idx="1677">
                  <c:v>1793.6523045714637</c:v>
                </c:pt>
                <c:pt idx="1678">
                  <c:v>1803.0705748744847</c:v>
                </c:pt>
                <c:pt idx="1679">
                  <c:v>1801.6209109818624</c:v>
                </c:pt>
                <c:pt idx="1680">
                  <c:v>1777.5213573255448</c:v>
                </c:pt>
                <c:pt idx="1681">
                  <c:v>1775.8817885681137</c:v>
                </c:pt>
                <c:pt idx="1682">
                  <c:v>1781.6156966968326</c:v>
                </c:pt>
                <c:pt idx="1683">
                  <c:v>1780.3794213350661</c:v>
                </c:pt>
                <c:pt idx="1684">
                  <c:v>1778.2341540480984</c:v>
                </c:pt>
                <c:pt idx="1685">
                  <c:v>1778.292609111201</c:v>
                </c:pt>
                <c:pt idx="1686">
                  <c:v>1799.2997437690169</c:v>
                </c:pt>
                <c:pt idx="1687">
                  <c:v>1800.6842152976749</c:v>
                </c:pt>
                <c:pt idx="1688">
                  <c:v>1795.6115666429678</c:v>
                </c:pt>
                <c:pt idx="1689">
                  <c:v>1801.0916693865577</c:v>
                </c:pt>
                <c:pt idx="1690">
                  <c:v>1801.3215324795608</c:v>
                </c:pt>
                <c:pt idx="1691">
                  <c:v>1800.4242017898691</c:v>
                </c:pt>
                <c:pt idx="1692">
                  <c:v>1795.8070265899637</c:v>
                </c:pt>
                <c:pt idx="1693">
                  <c:v>1799.9441485759135</c:v>
                </c:pt>
                <c:pt idx="1694">
                  <c:v>1799.1318004082461</c:v>
                </c:pt>
                <c:pt idx="1695">
                  <c:v>1799.1527306767659</c:v>
                </c:pt>
                <c:pt idx="1696">
                  <c:v>1799.3484156649795</c:v>
                </c:pt>
                <c:pt idx="1697">
                  <c:v>1806.3137063786014</c:v>
                </c:pt>
                <c:pt idx="1698">
                  <c:v>1802.0616804747972</c:v>
                </c:pt>
                <c:pt idx="1699">
                  <c:v>1800.54070700529</c:v>
                </c:pt>
                <c:pt idx="1700">
                  <c:v>1784.0004870823543</c:v>
                </c:pt>
                <c:pt idx="1701">
                  <c:v>1786.8257375461953</c:v>
                </c:pt>
                <c:pt idx="1702">
                  <c:v>1757.1056099469204</c:v>
                </c:pt>
                <c:pt idx="1703">
                  <c:v>1760.9648429385102</c:v>
                </c:pt>
                <c:pt idx="1704">
                  <c:v>1762.8846155759679</c:v>
                </c:pt>
                <c:pt idx="1705">
                  <c:v>1743.204981777335</c:v>
                </c:pt>
                <c:pt idx="1706">
                  <c:v>1757.2928174448937</c:v>
                </c:pt>
                <c:pt idx="1707">
                  <c:v>1762.4612481844049</c:v>
                </c:pt>
                <c:pt idx="1708">
                  <c:v>1763.4321083484961</c:v>
                </c:pt>
                <c:pt idx="1709">
                  <c:v>1765.0504034763294</c:v>
                </c:pt>
                <c:pt idx="1710">
                  <c:v>1701.4349563724877</c:v>
                </c:pt>
                <c:pt idx="1711">
                  <c:v>1657.2689179870208</c:v>
                </c:pt>
                <c:pt idx="1712">
                  <c:v>1614.9777063897827</c:v>
                </c:pt>
                <c:pt idx="1713">
                  <c:v>1546.7987230993056</c:v>
                </c:pt>
                <c:pt idx="1714">
                  <c:v>1559.7618445855583</c:v>
                </c:pt>
                <c:pt idx="1715">
                  <c:v>1554.1417352371927</c:v>
                </c:pt>
                <c:pt idx="1716">
                  <c:v>1548.2628140184975</c:v>
                </c:pt>
                <c:pt idx="1717">
                  <c:v>1615.5387386475632</c:v>
                </c:pt>
                <c:pt idx="1718">
                  <c:v>1614.6267526931124</c:v>
                </c:pt>
                <c:pt idx="1719">
                  <c:v>1605.9708127984795</c:v>
                </c:pt>
                <c:pt idx="1720">
                  <c:v>1610.4619452825593</c:v>
                </c:pt>
                <c:pt idx="1721">
                  <c:v>1625.6966670086067</c:v>
                </c:pt>
                <c:pt idx="1722">
                  <c:v>1615.0604796104694</c:v>
                </c:pt>
                <c:pt idx="1723">
                  <c:v>1612.3747144427039</c:v>
                </c:pt>
                <c:pt idx="1724">
                  <c:v>1593.6261261527884</c:v>
                </c:pt>
                <c:pt idx="1725">
                  <c:v>1559.4949778523587</c:v>
                </c:pt>
                <c:pt idx="1726">
                  <c:v>1548.5552444532962</c:v>
                </c:pt>
                <c:pt idx="1727">
                  <c:v>1578.4192959153379</c:v>
                </c:pt>
                <c:pt idx="1728">
                  <c:v>1555.5309384212255</c:v>
                </c:pt>
                <c:pt idx="1729">
                  <c:v>1558.0926353005264</c:v>
                </c:pt>
                <c:pt idx="1730">
                  <c:v>1575.0089942947336</c:v>
                </c:pt>
                <c:pt idx="1731">
                  <c:v>1587.0175470025656</c:v>
                </c:pt>
                <c:pt idx="1732">
                  <c:v>1578.6822517566197</c:v>
                </c:pt>
                <c:pt idx="1733">
                  <c:v>1586.6831548098064</c:v>
                </c:pt>
                <c:pt idx="1734">
                  <c:v>1585.0018593540783</c:v>
                </c:pt>
                <c:pt idx="1735">
                  <c:v>1560.0289823635082</c:v>
                </c:pt>
                <c:pt idx="1736">
                  <c:v>1573.1419228617028</c:v>
                </c:pt>
                <c:pt idx="1737">
                  <c:v>1559.9658093071557</c:v>
                </c:pt>
                <c:pt idx="1738">
                  <c:v>1549.0748032272363</c:v>
                </c:pt>
                <c:pt idx="1739">
                  <c:v>1556.2254243621917</c:v>
                </c:pt>
                <c:pt idx="1740">
                  <c:v>1567.6431592356976</c:v>
                </c:pt>
                <c:pt idx="1741">
                  <c:v>1555.7915658645338</c:v>
                </c:pt>
                <c:pt idx="1742">
                  <c:v>1547.2707968673199</c:v>
                </c:pt>
                <c:pt idx="1743">
                  <c:v>1545.3118947493201</c:v>
                </c:pt>
                <c:pt idx="1744">
                  <c:v>1555.0367409119281</c:v>
                </c:pt>
                <c:pt idx="1745">
                  <c:v>1658.6694925359122</c:v>
                </c:pt>
                <c:pt idx="1746">
                  <c:v>1672.6595850793417</c:v>
                </c:pt>
                <c:pt idx="1747">
                  <c:v>1679.1895464970428</c:v>
                </c:pt>
                <c:pt idx="1748">
                  <c:v>1688.1378229708196</c:v>
                </c:pt>
                <c:pt idx="1749">
                  <c:v>1757.3036258514574</c:v>
                </c:pt>
                <c:pt idx="1750">
                  <c:v>1740.0388597404681</c:v>
                </c:pt>
                <c:pt idx="1751">
                  <c:v>1744.425582819214</c:v>
                </c:pt>
                <c:pt idx="1752">
                  <c:v>1741.7857561969679</c:v>
                </c:pt>
                <c:pt idx="1753">
                  <c:v>1673.4193008591817</c:v>
                </c:pt>
                <c:pt idx="1754">
                  <c:v>1679.5385716152152</c:v>
                </c:pt>
                <c:pt idx="1755">
                  <c:v>1688.3301326716862</c:v>
                </c:pt>
                <c:pt idx="1756">
                  <c:v>1688.4557396599143</c:v>
                </c:pt>
                <c:pt idx="1757">
                  <c:v>1679.9260528557543</c:v>
                </c:pt>
                <c:pt idx="1758">
                  <c:v>1678.4695601028423</c:v>
                </c:pt>
                <c:pt idx="1759">
                  <c:v>1677.0659271161269</c:v>
                </c:pt>
                <c:pt idx="1760">
                  <c:v>1684.2310623381748</c:v>
                </c:pt>
                <c:pt idx="1761">
                  <c:v>1683.8153214569336</c:v>
                </c:pt>
                <c:pt idx="1762">
                  <c:v>1642.7185953569524</c:v>
                </c:pt>
                <c:pt idx="1763">
                  <c:v>1638.4463173034496</c:v>
                </c:pt>
                <c:pt idx="1764">
                  <c:v>1644.125013424052</c:v>
                </c:pt>
                <c:pt idx="1765">
                  <c:v>1660.6900477510192</c:v>
                </c:pt>
                <c:pt idx="1766">
                  <c:v>1658.4025978832615</c:v>
                </c:pt>
                <c:pt idx="1767">
                  <c:v>1669.7062027401605</c:v>
                </c:pt>
                <c:pt idx="1768">
                  <c:v>1673.4802992631257</c:v>
                </c:pt>
                <c:pt idx="1769">
                  <c:v>1668.2841991286614</c:v>
                </c:pt>
                <c:pt idx="1770">
                  <c:v>1669.3715785346624</c:v>
                </c:pt>
                <c:pt idx="1771">
                  <c:v>1667.9396567000661</c:v>
                </c:pt>
                <c:pt idx="1772">
                  <c:v>1694.4910604056313</c:v>
                </c:pt>
                <c:pt idx="1773">
                  <c:v>1696.081999121903</c:v>
                </c:pt>
                <c:pt idx="1774">
                  <c:v>1692.779239757803</c:v>
                </c:pt>
                <c:pt idx="1775">
                  <c:v>1686.0982634807438</c:v>
                </c:pt>
                <c:pt idx="1776">
                  <c:v>1686.4873422921562</c:v>
                </c:pt>
                <c:pt idx="1777">
                  <c:v>1692.23710480313</c:v>
                </c:pt>
                <c:pt idx="1778">
                  <c:v>1706.5765594227255</c:v>
                </c:pt>
                <c:pt idx="1779">
                  <c:v>1718.821155279363</c:v>
                </c:pt>
                <c:pt idx="1780">
                  <c:v>1713.2751832468634</c:v>
                </c:pt>
                <c:pt idx="1781">
                  <c:v>1716.2809865539466</c:v>
                </c:pt>
                <c:pt idx="1782">
                  <c:v>1778.2423175743897</c:v>
                </c:pt>
                <c:pt idx="1783">
                  <c:v>1803.376874779688</c:v>
                </c:pt>
                <c:pt idx="1784">
                  <c:v>1791.4938951690137</c:v>
                </c:pt>
                <c:pt idx="1785">
                  <c:v>1798.3009030862918</c:v>
                </c:pt>
                <c:pt idx="1786">
                  <c:v>1809.9637410948851</c:v>
                </c:pt>
                <c:pt idx="1787">
                  <c:v>1811.7573169042125</c:v>
                </c:pt>
                <c:pt idx="1788">
                  <c:v>1800.2216101232661</c:v>
                </c:pt>
                <c:pt idx="1789">
                  <c:v>1800.7240444083254</c:v>
                </c:pt>
                <c:pt idx="1790">
                  <c:v>1794.5420009097782</c:v>
                </c:pt>
                <c:pt idx="1791">
                  <c:v>1768.7630856744374</c:v>
                </c:pt>
                <c:pt idx="1792">
                  <c:v>1771.8017422697806</c:v>
                </c:pt>
                <c:pt idx="1793">
                  <c:v>1791.4956251638503</c:v>
                </c:pt>
                <c:pt idx="1794">
                  <c:v>1874.6816299631892</c:v>
                </c:pt>
                <c:pt idx="1795">
                  <c:v>1856.0590403584331</c:v>
                </c:pt>
                <c:pt idx="1796">
                  <c:v>1871.4469710399549</c:v>
                </c:pt>
                <c:pt idx="1797">
                  <c:v>1903.3784015873757</c:v>
                </c:pt>
                <c:pt idx="1798">
                  <c:v>2009.7427694610724</c:v>
                </c:pt>
                <c:pt idx="1799">
                  <c:v>2010.752378119724</c:v>
                </c:pt>
                <c:pt idx="1800">
                  <c:v>2088.9343721116938</c:v>
                </c:pt>
                <c:pt idx="1801">
                  <c:v>2125.7342802785888</c:v>
                </c:pt>
                <c:pt idx="1802">
                  <c:v>2078.1443669603927</c:v>
                </c:pt>
                <c:pt idx="1803">
                  <c:v>2183.7065087488268</c:v>
                </c:pt>
                <c:pt idx="1804">
                  <c:v>2180.5115260274656</c:v>
                </c:pt>
                <c:pt idx="1805">
                  <c:v>2237.9949665049676</c:v>
                </c:pt>
                <c:pt idx="1806">
                  <c:v>2090.0157368985574</c:v>
                </c:pt>
                <c:pt idx="1807">
                  <c:v>2085.4910329016229</c:v>
                </c:pt>
                <c:pt idx="1808">
                  <c:v>2110.0551838856991</c:v>
                </c:pt>
                <c:pt idx="1809">
                  <c:v>2062.8359247978228</c:v>
                </c:pt>
                <c:pt idx="1810">
                  <c:v>2068.0887047587412</c:v>
                </c:pt>
                <c:pt idx="1811">
                  <c:v>2205.8039138520217</c:v>
                </c:pt>
                <c:pt idx="1812">
                  <c:v>2121.5927130013424</c:v>
                </c:pt>
                <c:pt idx="1813">
                  <c:v>2117.0512871058108</c:v>
                </c:pt>
                <c:pt idx="1814">
                  <c:v>2082.0589746458077</c:v>
                </c:pt>
                <c:pt idx="1815">
                  <c:v>2038.7805254083626</c:v>
                </c:pt>
                <c:pt idx="1816">
                  <c:v>2060.5153734563883</c:v>
                </c:pt>
                <c:pt idx="1817">
                  <c:v>2094.2315227751374</c:v>
                </c:pt>
                <c:pt idx="1818">
                  <c:v>2117.0950247432338</c:v>
                </c:pt>
                <c:pt idx="1819">
                  <c:v>2249.1265303079999</c:v>
                </c:pt>
                <c:pt idx="1820">
                  <c:v>2296.743240056604</c:v>
                </c:pt>
                <c:pt idx="1821">
                  <c:v>2284.4007397975561</c:v>
                </c:pt>
                <c:pt idx="1822">
                  <c:v>2302.3855315685041</c:v>
                </c:pt>
                <c:pt idx="1823">
                  <c:v>2209.5915519548771</c:v>
                </c:pt>
                <c:pt idx="1824">
                  <c:v>2236.4306985206367</c:v>
                </c:pt>
                <c:pt idx="1825">
                  <c:v>2248.0736623085186</c:v>
                </c:pt>
                <c:pt idx="1826">
                  <c:v>2235.9465434286399</c:v>
                </c:pt>
                <c:pt idx="1827">
                  <c:v>2223.4995174954674</c:v>
                </c:pt>
                <c:pt idx="1828">
                  <c:v>2208.3702190968384</c:v>
                </c:pt>
                <c:pt idx="1829">
                  <c:v>2217.1464447007238</c:v>
                </c:pt>
                <c:pt idx="1830">
                  <c:v>2217.169965153611</c:v>
                </c:pt>
                <c:pt idx="1831">
                  <c:v>2215.1236779303376</c:v>
                </c:pt>
                <c:pt idx="1832">
                  <c:v>2265.462065950378</c:v>
                </c:pt>
                <c:pt idx="1833">
                  <c:v>2297.2369897692547</c:v>
                </c:pt>
                <c:pt idx="1834">
                  <c:v>2397.714155463043</c:v>
                </c:pt>
                <c:pt idx="1835">
                  <c:v>2373.848031542072</c:v>
                </c:pt>
                <c:pt idx="1836">
                  <c:v>2380.9066681890622</c:v>
                </c:pt>
                <c:pt idx="1837">
                  <c:v>2286.9960486373225</c:v>
                </c:pt>
                <c:pt idx="1838">
                  <c:v>2338.1269973595427</c:v>
                </c:pt>
                <c:pt idx="1839">
                  <c:v>2348.8187547746979</c:v>
                </c:pt>
                <c:pt idx="1840">
                  <c:v>2379.8239907337738</c:v>
                </c:pt>
                <c:pt idx="1841">
                  <c:v>2381.9628769984861</c:v>
                </c:pt>
                <c:pt idx="1842">
                  <c:v>2391.8041559569929</c:v>
                </c:pt>
                <c:pt idx="1843">
                  <c:v>2358.8909386172395</c:v>
                </c:pt>
                <c:pt idx="1844">
                  <c:v>2412.6908250357178</c:v>
                </c:pt>
                <c:pt idx="1845">
                  <c:v>2419.3913203453935</c:v>
                </c:pt>
                <c:pt idx="1846">
                  <c:v>2419.5776439843066</c:v>
                </c:pt>
                <c:pt idx="1847">
                  <c:v>2409.8381681227279</c:v>
                </c:pt>
                <c:pt idx="1848">
                  <c:v>2431.6273817961219</c:v>
                </c:pt>
                <c:pt idx="1849">
                  <c:v>2463.1685565582725</c:v>
                </c:pt>
                <c:pt idx="1850">
                  <c:v>2466.7933504349589</c:v>
                </c:pt>
                <c:pt idx="1851">
                  <c:v>2471.216274750017</c:v>
                </c:pt>
                <c:pt idx="1852">
                  <c:v>2479.2580272888872</c:v>
                </c:pt>
                <c:pt idx="1853">
                  <c:v>2565.9556285272906</c:v>
                </c:pt>
                <c:pt idx="1854">
                  <c:v>2840.7178503681321</c:v>
                </c:pt>
                <c:pt idx="1855">
                  <c:v>3150.0831489407487</c:v>
                </c:pt>
                <c:pt idx="1856">
                  <c:v>3005.1945110142992</c:v>
                </c:pt>
                <c:pt idx="1857">
                  <c:v>2890.6175970706363</c:v>
                </c:pt>
                <c:pt idx="1858">
                  <c:v>3006.7419514512781</c:v>
                </c:pt>
                <c:pt idx="1859">
                  <c:v>3208.8904868098639</c:v>
                </c:pt>
                <c:pt idx="1860">
                  <c:v>3403.2544360186284</c:v>
                </c:pt>
                <c:pt idx="1861">
                  <c:v>3491.6367003071909</c:v>
                </c:pt>
                <c:pt idx="1862">
                  <c:v>3330.0422829178306</c:v>
                </c:pt>
                <c:pt idx="1863">
                  <c:v>3345.6068053196555</c:v>
                </c:pt>
                <c:pt idx="1864">
                  <c:v>3469.5467253953261</c:v>
                </c:pt>
                <c:pt idx="1865">
                  <c:v>3834.6878947655</c:v>
                </c:pt>
                <c:pt idx="1866">
                  <c:v>3867.3291417498085</c:v>
                </c:pt>
                <c:pt idx="1867">
                  <c:v>4367.4840318501547</c:v>
                </c:pt>
                <c:pt idx="1868">
                  <c:v>3832.6072467952172</c:v>
                </c:pt>
                <c:pt idx="1869">
                  <c:v>3323.7693377965784</c:v>
                </c:pt>
                <c:pt idx="1870">
                  <c:v>3323.7693377965784</c:v>
                </c:pt>
                <c:pt idx="1871">
                  <c:v>3324.4693828899394</c:v>
                </c:pt>
                <c:pt idx="1872">
                  <c:v>3302.0626772206256</c:v>
                </c:pt>
                <c:pt idx="1873">
                  <c:v>3309.7312945166677</c:v>
                </c:pt>
                <c:pt idx="1874">
                  <c:v>2867.4582234081076</c:v>
                </c:pt>
                <c:pt idx="1875">
                  <c:v>2818.2893878368959</c:v>
                </c:pt>
                <c:pt idx="1876">
                  <c:v>2834.1061080369791</c:v>
                </c:pt>
                <c:pt idx="1877">
                  <c:v>3051.3198547547072</c:v>
                </c:pt>
                <c:pt idx="1878">
                  <c:v>2979.885838376566</c:v>
                </c:pt>
                <c:pt idx="1879">
                  <c:v>3002.5675197783744</c:v>
                </c:pt>
                <c:pt idx="1880">
                  <c:v>3354.0339171772821</c:v>
                </c:pt>
                <c:pt idx="1881">
                  <c:v>3438.0746701254011</c:v>
                </c:pt>
                <c:pt idx="1882">
                  <c:v>3383.8830771878843</c:v>
                </c:pt>
                <c:pt idx="1883">
                  <c:v>3389.5129478401209</c:v>
                </c:pt>
                <c:pt idx="1884">
                  <c:v>3594.0490910342046</c:v>
                </c:pt>
                <c:pt idx="1885">
                  <c:v>3483.1947770190354</c:v>
                </c:pt>
                <c:pt idx="1886">
                  <c:v>3565.7828890411479</c:v>
                </c:pt>
                <c:pt idx="1887">
                  <c:v>3461.5074597148141</c:v>
                </c:pt>
                <c:pt idx="1888">
                  <c:v>3420.9002786558772</c:v>
                </c:pt>
                <c:pt idx="1889">
                  <c:v>3458.462390558454</c:v>
                </c:pt>
                <c:pt idx="1890">
                  <c:v>3538.6279874637671</c:v>
                </c:pt>
                <c:pt idx="1891">
                  <c:v>3555.7853891899535</c:v>
                </c:pt>
                <c:pt idx="1892">
                  <c:v>3553.104758923545</c:v>
                </c:pt>
                <c:pt idx="1893">
                  <c:v>3544.9057998876665</c:v>
                </c:pt>
                <c:pt idx="1894">
                  <c:v>3753.1134776804693</c:v>
                </c:pt>
                <c:pt idx="1895">
                  <c:v>3882.1873787564691</c:v>
                </c:pt>
                <c:pt idx="1896">
                  <c:v>4045.3872375093279</c:v>
                </c:pt>
                <c:pt idx="1897">
                  <c:v>4215.0895125741754</c:v>
                </c:pt>
                <c:pt idx="1898">
                  <c:v>4259.0934141532489</c:v>
                </c:pt>
                <c:pt idx="1899">
                  <c:v>4274.7748095581837</c:v>
                </c:pt>
                <c:pt idx="1900">
                  <c:v>4369.4653806284305</c:v>
                </c:pt>
                <c:pt idx="1901">
                  <c:v>4518.0160089901901</c:v>
                </c:pt>
                <c:pt idx="1902">
                  <c:v>4459.3099606293226</c:v>
                </c:pt>
                <c:pt idx="1903">
                  <c:v>3961.6874021398462</c:v>
                </c:pt>
                <c:pt idx="1904">
                  <c:v>3902.8118557652278</c:v>
                </c:pt>
                <c:pt idx="1905">
                  <c:v>4013.445674301659</c:v>
                </c:pt>
                <c:pt idx="1906">
                  <c:v>3993.1069402348371</c:v>
                </c:pt>
                <c:pt idx="1907">
                  <c:v>3938.9116635660207</c:v>
                </c:pt>
                <c:pt idx="1908">
                  <c:v>3997.5127576188715</c:v>
                </c:pt>
                <c:pt idx="1909">
                  <c:v>4024.8531645033986</c:v>
                </c:pt>
                <c:pt idx="1910">
                  <c:v>4121.5665333330708</c:v>
                </c:pt>
                <c:pt idx="1911">
                  <c:v>4284.9745801383187</c:v>
                </c:pt>
                <c:pt idx="1912">
                  <c:v>4398.0127808134075</c:v>
                </c:pt>
                <c:pt idx="1913">
                  <c:v>4311.8069416637954</c:v>
                </c:pt>
                <c:pt idx="1914">
                  <c:v>4397.6706675258192</c:v>
                </c:pt>
                <c:pt idx="1915">
                  <c:v>4756.9250751916088</c:v>
                </c:pt>
                <c:pt idx="1916">
                  <c:v>4836.3524808931452</c:v>
                </c:pt>
                <c:pt idx="1917">
                  <c:v>5088.744843506588</c:v>
                </c:pt>
                <c:pt idx="1918">
                  <c:v>5384.8068138745157</c:v>
                </c:pt>
                <c:pt idx="1919">
                  <c:v>5264.0532422072802</c:v>
                </c:pt>
                <c:pt idx="1920">
                  <c:v>5216.0168694436288</c:v>
                </c:pt>
                <c:pt idx="1921">
                  <c:v>5283.6740301488526</c:v>
                </c:pt>
                <c:pt idx="1922">
                  <c:v>5382.2487546179009</c:v>
                </c:pt>
                <c:pt idx="1923">
                  <c:v>5625.9788905552923</c:v>
                </c:pt>
                <c:pt idx="1924">
                  <c:v>5839.4299732823474</c:v>
                </c:pt>
                <c:pt idx="1925">
                  <c:v>6208.2648004411485</c:v>
                </c:pt>
                <c:pt idx="1926">
                  <c:v>6228.9794129329302</c:v>
                </c:pt>
                <c:pt idx="1927">
                  <c:v>6089.8044129010641</c:v>
                </c:pt>
                <c:pt idx="1928">
                  <c:v>6229.9690830010986</c:v>
                </c:pt>
                <c:pt idx="1929">
                  <c:v>5798.8321019825717</c:v>
                </c:pt>
                <c:pt idx="1930">
                  <c:v>5637.7547519715281</c:v>
                </c:pt>
                <c:pt idx="1931">
                  <c:v>5480.5375677657785</c:v>
                </c:pt>
                <c:pt idx="1932">
                  <c:v>5787.2291344829709</c:v>
                </c:pt>
                <c:pt idx="1933">
                  <c:v>5382.2596509679624</c:v>
                </c:pt>
                <c:pt idx="1934">
                  <c:v>5326.762310825924</c:v>
                </c:pt>
                <c:pt idx="1935">
                  <c:v>5611.8893474327333</c:v>
                </c:pt>
                <c:pt idx="1936">
                  <c:v>5651.2017148491423</c:v>
                </c:pt>
                <c:pt idx="1937">
                  <c:v>5770.2440055503412</c:v>
                </c:pt>
                <c:pt idx="1938">
                  <c:v>5526.6362128826386</c:v>
                </c:pt>
                <c:pt idx="1939">
                  <c:v>5109.352848296181</c:v>
                </c:pt>
                <c:pt idx="1940">
                  <c:v>4752.2341536842714</c:v>
                </c:pt>
                <c:pt idx="1941">
                  <c:v>4665.311542110705</c:v>
                </c:pt>
                <c:pt idx="1942">
                  <c:v>4710.4946453047951</c:v>
                </c:pt>
                <c:pt idx="1943">
                  <c:v>4985.9813909034792</c:v>
                </c:pt>
                <c:pt idx="1944">
                  <c:v>4561.2232158469951</c:v>
                </c:pt>
                <c:pt idx="1945">
                  <c:v>4628.2886225159182</c:v>
                </c:pt>
                <c:pt idx="1946">
                  <c:v>4106.4152623720774</c:v>
                </c:pt>
                <c:pt idx="1947">
                  <c:v>4016.6406119632816</c:v>
                </c:pt>
                <c:pt idx="1948">
                  <c:v>4116.436665117737</c:v>
                </c:pt>
                <c:pt idx="1949">
                  <c:v>4351.1090202973783</c:v>
                </c:pt>
                <c:pt idx="1950">
                  <c:v>4572.7439280667304</c:v>
                </c:pt>
                <c:pt idx="1951">
                  <c:v>4445.0310469182195</c:v>
                </c:pt>
                <c:pt idx="1952">
                  <c:v>4305.6705035534196</c:v>
                </c:pt>
                <c:pt idx="1953">
                  <c:v>4406.4126919510381</c:v>
                </c:pt>
                <c:pt idx="1954">
                  <c:v>4718.0229200733011</c:v>
                </c:pt>
                <c:pt idx="1955">
                  <c:v>4727.1028190197248</c:v>
                </c:pt>
                <c:pt idx="1956">
                  <c:v>5078.9630376338873</c:v>
                </c:pt>
                <c:pt idx="1957">
                  <c:v>5106.435529527037</c:v>
                </c:pt>
                <c:pt idx="1958">
                  <c:v>5023.4291712788145</c:v>
                </c:pt>
                <c:pt idx="1959">
                  <c:v>5244.5341768833841</c:v>
                </c:pt>
                <c:pt idx="1960">
                  <c:v>5424.6788008621552</c:v>
                </c:pt>
                <c:pt idx="1961">
                  <c:v>5507.0427821121384</c:v>
                </c:pt>
                <c:pt idx="1962">
                  <c:v>5453.1317505703937</c:v>
                </c:pt>
                <c:pt idx="1963">
                  <c:v>5531.6917275866372</c:v>
                </c:pt>
                <c:pt idx="1964">
                  <c:v>5603.7719113951907</c:v>
                </c:pt>
                <c:pt idx="1965">
                  <c:v>5641.9009054944136</c:v>
                </c:pt>
                <c:pt idx="1966">
                  <c:v>5466.3031382879808</c:v>
                </c:pt>
                <c:pt idx="1967">
                  <c:v>5379.8679880877462</c:v>
                </c:pt>
                <c:pt idx="1968">
                  <c:v>5499.1648282699443</c:v>
                </c:pt>
                <c:pt idx="1969">
                  <c:v>5417.441848380834</c:v>
                </c:pt>
                <c:pt idx="1970">
                  <c:v>5395.8148884560605</c:v>
                </c:pt>
                <c:pt idx="1971">
                  <c:v>5701.1283902396308</c:v>
                </c:pt>
                <c:pt idx="1972">
                  <c:v>5661.616515096398</c:v>
                </c:pt>
                <c:pt idx="1973">
                  <c:v>5742.7110572297152</c:v>
                </c:pt>
                <c:pt idx="1974">
                  <c:v>5781.9108286695837</c:v>
                </c:pt>
                <c:pt idx="1975">
                  <c:v>5659.5206171202517</c:v>
                </c:pt>
                <c:pt idx="1976">
                  <c:v>5742.6057534407119</c:v>
                </c:pt>
                <c:pt idx="1977">
                  <c:v>5783.0685717496581</c:v>
                </c:pt>
                <c:pt idx="1978">
                  <c:v>6090.3655517563793</c:v>
                </c:pt>
                <c:pt idx="1979">
                  <c:v>6282.6915418166845</c:v>
                </c:pt>
                <c:pt idx="1980">
                  <c:v>6501.9612566723608</c:v>
                </c:pt>
                <c:pt idx="1981">
                  <c:v>6582.3892310424999</c:v>
                </c:pt>
                <c:pt idx="1982">
                  <c:v>6642.4127691349377</c:v>
                </c:pt>
                <c:pt idx="1983">
                  <c:v>6652.0703474197135</c:v>
                </c:pt>
                <c:pt idx="1984">
                  <c:v>7289.5273727496142</c:v>
                </c:pt>
                <c:pt idx="1985">
                  <c:v>8150.291207328617</c:v>
                </c:pt>
                <c:pt idx="1986">
                  <c:v>8081.5942789952378</c:v>
                </c:pt>
                <c:pt idx="1987">
                  <c:v>9109.930294799191</c:v>
                </c:pt>
                <c:pt idx="1988">
                  <c:v>9701.6424762381412</c:v>
                </c:pt>
                <c:pt idx="1989">
                  <c:v>9212.4386741531198</c:v>
                </c:pt>
                <c:pt idx="1990">
                  <c:v>9189.3346555870285</c:v>
                </c:pt>
                <c:pt idx="1991">
                  <c:v>10078.068550282989</c:v>
                </c:pt>
                <c:pt idx="1992">
                  <c:v>11782.957975229225</c:v>
                </c:pt>
                <c:pt idx="1993">
                  <c:v>11362.932691581553</c:v>
                </c:pt>
                <c:pt idx="1994">
                  <c:v>12364.226746044476</c:v>
                </c:pt>
                <c:pt idx="1995">
                  <c:v>11494.015169083106</c:v>
                </c:pt>
                <c:pt idx="1996">
                  <c:v>11294.884197178766</c:v>
                </c:pt>
                <c:pt idx="1997">
                  <c:v>11717.586579092696</c:v>
                </c:pt>
                <c:pt idx="1998">
                  <c:v>10945.562402511559</c:v>
                </c:pt>
                <c:pt idx="1999">
                  <c:v>10883.034634445536</c:v>
                </c:pt>
                <c:pt idx="2000">
                  <c:v>11543.229278602064</c:v>
                </c:pt>
                <c:pt idx="2001">
                  <c:v>11637.526301786957</c:v>
                </c:pt>
                <c:pt idx="2002">
                  <c:v>13493.996503955039</c:v>
                </c:pt>
                <c:pt idx="2003">
                  <c:v>13900.261001671595</c:v>
                </c:pt>
                <c:pt idx="2004">
                  <c:v>15099.000295211288</c:v>
                </c:pt>
                <c:pt idx="2005">
                  <c:v>17658.747406978575</c:v>
                </c:pt>
                <c:pt idx="2006">
                  <c:v>18000.187065855964</c:v>
                </c:pt>
                <c:pt idx="2007">
                  <c:v>20879.69088618278</c:v>
                </c:pt>
                <c:pt idx="2008">
                  <c:v>26488.570450865049</c:v>
                </c:pt>
                <c:pt idx="2009">
                  <c:v>18890.276030979727</c:v>
                </c:pt>
                <c:pt idx="2010">
                  <c:v>18890.276030979727</c:v>
                </c:pt>
                <c:pt idx="2011">
                  <c:v>18890.276030979727</c:v>
                </c:pt>
                <c:pt idx="2012">
                  <c:v>18752.607991192897</c:v>
                </c:pt>
                <c:pt idx="2013">
                  <c:v>19949.980412043082</c:v>
                </c:pt>
                <c:pt idx="2014">
                  <c:v>19050.302815822233</c:v>
                </c:pt>
                <c:pt idx="2015">
                  <c:v>22381.724411596002</c:v>
                </c:pt>
                <c:pt idx="2016">
                  <c:v>21875.949146059222</c:v>
                </c:pt>
                <c:pt idx="2017">
                  <c:v>24057.168998147947</c:v>
                </c:pt>
                <c:pt idx="2018">
                  <c:v>24113.725651705663</c:v>
                </c:pt>
                <c:pt idx="2019">
                  <c:v>25066.876183735105</c:v>
                </c:pt>
                <c:pt idx="2020">
                  <c:v>30784.659892937831</c:v>
                </c:pt>
                <c:pt idx="2021">
                  <c:v>30353.506392350344</c:v>
                </c:pt>
                <c:pt idx="2022">
                  <c:v>28228.151162436261</c:v>
                </c:pt>
                <c:pt idx="2023">
                  <c:v>30330.007145242409</c:v>
                </c:pt>
                <c:pt idx="2024">
                  <c:v>30569.496718617327</c:v>
                </c:pt>
                <c:pt idx="2025">
                  <c:v>31367.272254958873</c:v>
                </c:pt>
                <c:pt idx="2026">
                  <c:v>27810.723599208141</c:v>
                </c:pt>
                <c:pt idx="2027">
                  <c:v>27299.307496679954</c:v>
                </c:pt>
                <c:pt idx="2028">
                  <c:v>26390.972007780802</c:v>
                </c:pt>
                <c:pt idx="2029">
                  <c:v>23468.327121701917</c:v>
                </c:pt>
                <c:pt idx="2030">
                  <c:v>23468.327121701917</c:v>
                </c:pt>
                <c:pt idx="2031">
                  <c:v>25536.362021802841</c:v>
                </c:pt>
                <c:pt idx="2032">
                  <c:v>25088.465337333473</c:v>
                </c:pt>
                <c:pt idx="2033">
                  <c:v>25255.383881360016</c:v>
                </c:pt>
                <c:pt idx="2034">
                  <c:v>26774.997485697972</c:v>
                </c:pt>
                <c:pt idx="2035">
                  <c:v>27834.09983702697</c:v>
                </c:pt>
                <c:pt idx="2036">
                  <c:v>27939.919668255396</c:v>
                </c:pt>
                <c:pt idx="2037">
                  <c:v>28897.398053915429</c:v>
                </c:pt>
                <c:pt idx="2038">
                  <c:v>27415.21147953318</c:v>
                </c:pt>
                <c:pt idx="2039">
                  <c:v>26476.208908597593</c:v>
                </c:pt>
                <c:pt idx="2040">
                  <c:v>24523.106899491126</c:v>
                </c:pt>
                <c:pt idx="2041">
                  <c:v>24049.383884081493</c:v>
                </c:pt>
                <c:pt idx="2042">
                  <c:v>24802.055183326534</c:v>
                </c:pt>
                <c:pt idx="2043">
                  <c:v>24747.634941573917</c:v>
                </c:pt>
                <c:pt idx="2044">
                  <c:v>24956.581611382448</c:v>
                </c:pt>
                <c:pt idx="2045">
                  <c:v>24210.119611825983</c:v>
                </c:pt>
                <c:pt idx="2046">
                  <c:v>23242.769118953111</c:v>
                </c:pt>
                <c:pt idx="2047">
                  <c:v>24187.333661873836</c:v>
                </c:pt>
                <c:pt idx="2048">
                  <c:v>25997.53007602282</c:v>
                </c:pt>
                <c:pt idx="2049">
                  <c:v>24915.757619584663</c:v>
                </c:pt>
                <c:pt idx="2050">
                  <c:v>25399.059382424723</c:v>
                </c:pt>
                <c:pt idx="2051">
                  <c:v>24565.422599620106</c:v>
                </c:pt>
                <c:pt idx="2052">
                  <c:v>24119.515281221895</c:v>
                </c:pt>
                <c:pt idx="2053">
                  <c:v>25112.507587774562</c:v>
                </c:pt>
                <c:pt idx="2054">
                  <c:v>22973.825180036627</c:v>
                </c:pt>
                <c:pt idx="2055">
                  <c:v>21919.507352409499</c:v>
                </c:pt>
                <c:pt idx="2056">
                  <c:v>21653.213699844</c:v>
                </c:pt>
                <c:pt idx="2057">
                  <c:v>21895.43857489013</c:v>
                </c:pt>
                <c:pt idx="2058">
                  <c:v>21413.807191039574</c:v>
                </c:pt>
                <c:pt idx="2059">
                  <c:v>19618.713889971499</c:v>
                </c:pt>
                <c:pt idx="2060">
                  <c:v>18765.954951971493</c:v>
                </c:pt>
                <c:pt idx="2061">
                  <c:v>18334.731795712512</c:v>
                </c:pt>
                <c:pt idx="2062">
                  <c:v>18763.570086278465</c:v>
                </c:pt>
                <c:pt idx="2063">
                  <c:v>21654.838225826301</c:v>
                </c:pt>
                <c:pt idx="2064">
                  <c:v>20901.756906820257</c:v>
                </c:pt>
                <c:pt idx="2065">
                  <c:v>27305.900184982202</c:v>
                </c:pt>
                <c:pt idx="2066">
                  <c:v>25733.3698871468</c:v>
                </c:pt>
                <c:pt idx="2067">
                  <c:v>28260.310199974574</c:v>
                </c:pt>
                <c:pt idx="2068">
                  <c:v>27128.109856801151</c:v>
                </c:pt>
                <c:pt idx="2069">
                  <c:v>27356.793357765655</c:v>
                </c:pt>
                <c:pt idx="2070">
                  <c:v>24566.987251685267</c:v>
                </c:pt>
                <c:pt idx="2071">
                  <c:v>24080.949493690856</c:v>
                </c:pt>
                <c:pt idx="2072">
                  <c:v>25468.55749920756</c:v>
                </c:pt>
                <c:pt idx="2073">
                  <c:v>26752.529414373301</c:v>
                </c:pt>
                <c:pt idx="2074">
                  <c:v>25262.741713442108</c:v>
                </c:pt>
                <c:pt idx="2075">
                  <c:v>25803.400949772789</c:v>
                </c:pt>
                <c:pt idx="2076">
                  <c:v>27562.755984242925</c:v>
                </c:pt>
                <c:pt idx="2077">
                  <c:v>25157.17441874924</c:v>
                </c:pt>
                <c:pt idx="2078">
                  <c:v>25315.761943462931</c:v>
                </c:pt>
                <c:pt idx="2079">
                  <c:v>26498.644381941893</c:v>
                </c:pt>
                <c:pt idx="2080">
                  <c:v>27550.443211330636</c:v>
                </c:pt>
                <c:pt idx="2081">
                  <c:v>34234.363320510369</c:v>
                </c:pt>
                <c:pt idx="2082">
                  <c:v>33075.404070763674</c:v>
                </c:pt>
                <c:pt idx="2083">
                  <c:v>35375.966856344603</c:v>
                </c:pt>
                <c:pt idx="2084">
                  <c:v>36438.000817045322</c:v>
                </c:pt>
                <c:pt idx="2085">
                  <c:v>35235.12998010726</c:v>
                </c:pt>
                <c:pt idx="2086">
                  <c:v>36459.803432132241</c:v>
                </c:pt>
                <c:pt idx="2087">
                  <c:v>41008.926716641166</c:v>
                </c:pt>
                <c:pt idx="2088">
                  <c:v>47340.423747407403</c:v>
                </c:pt>
                <c:pt idx="2089">
                  <c:v>50198.109277351949</c:v>
                </c:pt>
                <c:pt idx="2090">
                  <c:v>57192.961274996764</c:v>
                </c:pt>
                <c:pt idx="2091">
                  <c:v>52593.673517042538</c:v>
                </c:pt>
                <c:pt idx="2092">
                  <c:v>55680.368053644743</c:v>
                </c:pt>
                <c:pt idx="2093">
                  <c:v>55094.168286390355</c:v>
                </c:pt>
                <c:pt idx="2094">
                  <c:v>51902.655117990093</c:v>
                </c:pt>
                <c:pt idx="2095">
                  <c:v>50612.061941720101</c:v>
                </c:pt>
                <c:pt idx="2096">
                  <c:v>50430.928235816413</c:v>
                </c:pt>
                <c:pt idx="2097">
                  <c:v>47614.401230481082</c:v>
                </c:pt>
                <c:pt idx="2098">
                  <c:v>49238.864965966808</c:v>
                </c:pt>
                <c:pt idx="2099">
                  <c:v>50381.199908573893</c:v>
                </c:pt>
                <c:pt idx="2100">
                  <c:v>56097.387778998913</c:v>
                </c:pt>
                <c:pt idx="2101">
                  <c:v>55675.687541318461</c:v>
                </c:pt>
                <c:pt idx="2102">
                  <c:v>54400.102027978908</c:v>
                </c:pt>
                <c:pt idx="2103">
                  <c:v>54428.705875438456</c:v>
                </c:pt>
                <c:pt idx="2104">
                  <c:v>55956.886754088075</c:v>
                </c:pt>
                <c:pt idx="2105">
                  <c:v>60755.680232897881</c:v>
                </c:pt>
                <c:pt idx="2106">
                  <c:v>60475.183093570959</c:v>
                </c:pt>
                <c:pt idx="2107">
                  <c:v>64628.095613245867</c:v>
                </c:pt>
                <c:pt idx="2108">
                  <c:v>69567.318410827502</c:v>
                </c:pt>
                <c:pt idx="2109">
                  <c:v>62002.365673022221</c:v>
                </c:pt>
                <c:pt idx="2110">
                  <c:v>60779.746119338139</c:v>
                </c:pt>
                <c:pt idx="2111">
                  <c:v>55666.425397078376</c:v>
                </c:pt>
                <c:pt idx="2112">
                  <c:v>56529.693830171906</c:v>
                </c:pt>
                <c:pt idx="2113">
                  <c:v>56917.872275600872</c:v>
                </c:pt>
                <c:pt idx="2114">
                  <c:v>59001.017829913573</c:v>
                </c:pt>
                <c:pt idx="2115">
                  <c:v>49994.774627031038</c:v>
                </c:pt>
                <c:pt idx="2116">
                  <c:v>49690.550916905275</c:v>
                </c:pt>
                <c:pt idx="2117">
                  <c:v>50142.30854333179</c:v>
                </c:pt>
                <c:pt idx="2118">
                  <c:v>50628.679261981371</c:v>
                </c:pt>
                <c:pt idx="2119">
                  <c:v>46902.15928115671</c:v>
                </c:pt>
                <c:pt idx="2120">
                  <c:v>45299.99038466272</c:v>
                </c:pt>
                <c:pt idx="2121">
                  <c:v>44930.88348324877</c:v>
                </c:pt>
                <c:pt idx="2122">
                  <c:v>45026.222314741332</c:v>
                </c:pt>
                <c:pt idx="2123">
                  <c:v>43185.020694618965</c:v>
                </c:pt>
                <c:pt idx="2124">
                  <c:v>44610.750461383468</c:v>
                </c:pt>
                <c:pt idx="2125">
                  <c:v>49832.540516323803</c:v>
                </c:pt>
                <c:pt idx="2126">
                  <c:v>48695.820764507604</c:v>
                </c:pt>
                <c:pt idx="2127">
                  <c:v>48391.762249660605</c:v>
                </c:pt>
                <c:pt idx="2128">
                  <c:v>45439.838713054378</c:v>
                </c:pt>
                <c:pt idx="2129">
                  <c:v>45196.770745786765</c:v>
                </c:pt>
                <c:pt idx="2130">
                  <c:v>46250.194192786177</c:v>
                </c:pt>
                <c:pt idx="2131">
                  <c:v>46130.400328671567</c:v>
                </c:pt>
                <c:pt idx="2132">
                  <c:v>48905.839609682647</c:v>
                </c:pt>
                <c:pt idx="2133">
                  <c:v>48289.545417664456</c:v>
                </c:pt>
                <c:pt idx="2134">
                  <c:v>52587.287108885277</c:v>
                </c:pt>
                <c:pt idx="2135">
                  <c:v>51426.172875958808</c:v>
                </c:pt>
                <c:pt idx="2136">
                  <c:v>53013.996675041752</c:v>
                </c:pt>
                <c:pt idx="2137">
                  <c:v>54968.903980188072</c:v>
                </c:pt>
                <c:pt idx="2138">
                  <c:v>56757.853187908091</c:v>
                </c:pt>
                <c:pt idx="2139">
                  <c:v>57021.605362747956</c:v>
                </c:pt>
                <c:pt idx="2140">
                  <c:v>54744.027609983714</c:v>
                </c:pt>
                <c:pt idx="2141">
                  <c:v>53925.04418424367</c:v>
                </c:pt>
                <c:pt idx="2142">
                  <c:v>55090.122900957489</c:v>
                </c:pt>
                <c:pt idx="2143">
                  <c:v>55575.210222868125</c:v>
                </c:pt>
                <c:pt idx="2144">
                  <c:v>56695.212039285143</c:v>
                </c:pt>
                <c:pt idx="2145">
                  <c:v>60647.87690016524</c:v>
                </c:pt>
                <c:pt idx="2146">
                  <c:v>64771.029301586423</c:v>
                </c:pt>
                <c:pt idx="2147">
                  <c:v>64271.86660161036</c:v>
                </c:pt>
                <c:pt idx="2148">
                  <c:v>65609.465931701037</c:v>
                </c:pt>
                <c:pt idx="2149">
                  <c:v>85668.586154304328</c:v>
                </c:pt>
                <c:pt idx="2150">
                  <c:v>84612.172002449428</c:v>
                </c:pt>
                <c:pt idx="2151">
                  <c:v>89305.861243140534</c:v>
                </c:pt>
                <c:pt idx="2152">
                  <c:v>85018.877191469292</c:v>
                </c:pt>
                <c:pt idx="2153">
                  <c:v>83767.962590397161</c:v>
                </c:pt>
                <c:pt idx="2154">
                  <c:v>81639.131343234432</c:v>
                </c:pt>
                <c:pt idx="2155">
                  <c:v>83058.246824142174</c:v>
                </c:pt>
                <c:pt idx="2156">
                  <c:v>84705.001285253791</c:v>
                </c:pt>
                <c:pt idx="2157">
                  <c:v>95747.757536783902</c:v>
                </c:pt>
                <c:pt idx="2158">
                  <c:v>92752.096110231665</c:v>
                </c:pt>
                <c:pt idx="2159">
                  <c:v>93803.939433391701</c:v>
                </c:pt>
                <c:pt idx="2160">
                  <c:v>84088.312743102171</c:v>
                </c:pt>
                <c:pt idx="2161">
                  <c:v>81187.70726867819</c:v>
                </c:pt>
                <c:pt idx="2162">
                  <c:v>83928.990441566857</c:v>
                </c:pt>
                <c:pt idx="2163">
                  <c:v>89245.141371602571</c:v>
                </c:pt>
                <c:pt idx="2164">
                  <c:v>85726.37941774854</c:v>
                </c:pt>
                <c:pt idx="2165">
                  <c:v>84264.53493556047</c:v>
                </c:pt>
                <c:pt idx="2166">
                  <c:v>91432.59303522484</c:v>
                </c:pt>
                <c:pt idx="2167">
                  <c:v>91737.59694954798</c:v>
                </c:pt>
                <c:pt idx="2168">
                  <c:v>99876.890138233794</c:v>
                </c:pt>
                <c:pt idx="2169">
                  <c:v>111162.94037447694</c:v>
                </c:pt>
                <c:pt idx="2170">
                  <c:v>117206.22394658161</c:v>
                </c:pt>
                <c:pt idx="2171">
                  <c:v>119790.26915064485</c:v>
                </c:pt>
                <c:pt idx="2172">
                  <c:v>126339.74208087075</c:v>
                </c:pt>
                <c:pt idx="2173">
                  <c:v>126494.63901156737</c:v>
                </c:pt>
                <c:pt idx="2174">
                  <c:v>119203.49443819434</c:v>
                </c:pt>
                <c:pt idx="2175">
                  <c:v>123337.20444386135</c:v>
                </c:pt>
                <c:pt idx="2176">
                  <c:v>125401.01793286628</c:v>
                </c:pt>
                <c:pt idx="2177">
                  <c:v>121345.10266666616</c:v>
                </c:pt>
                <c:pt idx="2178">
                  <c:v>111468.43659359166</c:v>
                </c:pt>
                <c:pt idx="2179">
                  <c:v>104298.30023208869</c:v>
                </c:pt>
                <c:pt idx="2180">
                  <c:v>103831.08960777841</c:v>
                </c:pt>
                <c:pt idx="2181">
                  <c:v>105671.63694141229</c:v>
                </c:pt>
                <c:pt idx="2182">
                  <c:v>112274.6764868991</c:v>
                </c:pt>
                <c:pt idx="2183">
                  <c:v>120590.49869699559</c:v>
                </c:pt>
                <c:pt idx="2184">
                  <c:v>141756.63209149204</c:v>
                </c:pt>
                <c:pt idx="2185">
                  <c:v>128309.55813823447</c:v>
                </c:pt>
                <c:pt idx="2186">
                  <c:v>133736.48580406068</c:v>
                </c:pt>
                <c:pt idx="2187">
                  <c:v>138848.04879130507</c:v>
                </c:pt>
                <c:pt idx="2188">
                  <c:v>141826.52293018508</c:v>
                </c:pt>
                <c:pt idx="2189">
                  <c:v>144387.55385568665</c:v>
                </c:pt>
                <c:pt idx="2190">
                  <c:v>146986.53803427468</c:v>
                </c:pt>
                <c:pt idx="2191">
                  <c:v>142072.17000368671</c:v>
                </c:pt>
                <c:pt idx="2192">
                  <c:v>145761.09616149039</c:v>
                </c:pt>
                <c:pt idx="2193">
                  <c:v>165828.18488646101</c:v>
                </c:pt>
                <c:pt idx="2194">
                  <c:v>192941.27189175246</c:v>
                </c:pt>
                <c:pt idx="2195">
                  <c:v>197161.14345043214</c:v>
                </c:pt>
                <c:pt idx="2196">
                  <c:v>223319.25655633124</c:v>
                </c:pt>
                <c:pt idx="2197">
                  <c:v>231444.77225670507</c:v>
                </c:pt>
                <c:pt idx="2198">
                  <c:v>204336.20765173231</c:v>
                </c:pt>
                <c:pt idx="2199">
                  <c:v>225161.61308800799</c:v>
                </c:pt>
                <c:pt idx="2200">
                  <c:v>222838.77752267412</c:v>
                </c:pt>
                <c:pt idx="2201">
                  <c:v>236045.94119354972</c:v>
                </c:pt>
                <c:pt idx="2202">
                  <c:v>244533.81759695749</c:v>
                </c:pt>
                <c:pt idx="2203">
                  <c:v>272226.57492107042</c:v>
                </c:pt>
                <c:pt idx="2204">
                  <c:v>349089.20703903964</c:v>
                </c:pt>
                <c:pt idx="2205">
                  <c:v>437211.85625332518</c:v>
                </c:pt>
                <c:pt idx="2206">
                  <c:v>418505.5638481382</c:v>
                </c:pt>
                <c:pt idx="2207">
                  <c:v>353141.01922056905</c:v>
                </c:pt>
                <c:pt idx="2208">
                  <c:v>353141.01922056905</c:v>
                </c:pt>
                <c:pt idx="2209">
                  <c:v>341915.95160187298</c:v>
                </c:pt>
                <c:pt idx="2210">
                  <c:v>344589.55846000626</c:v>
                </c:pt>
                <c:pt idx="2211">
                  <c:v>348944.3554956945</c:v>
                </c:pt>
                <c:pt idx="2212">
                  <c:v>341433.05581772723</c:v>
                </c:pt>
                <c:pt idx="2213">
                  <c:v>341494.35120487743</c:v>
                </c:pt>
                <c:pt idx="2214">
                  <c:v>356599.86340263608</c:v>
                </c:pt>
                <c:pt idx="2215">
                  <c:v>358044.66320165026</c:v>
                </c:pt>
                <c:pt idx="2216">
                  <c:v>357701.55404492951</c:v>
                </c:pt>
                <c:pt idx="2217">
                  <c:v>370029.77949166088</c:v>
                </c:pt>
                <c:pt idx="2218">
                  <c:v>372092.14949106507</c:v>
                </c:pt>
                <c:pt idx="2219">
                  <c:v>380623.50671431457</c:v>
                </c:pt>
                <c:pt idx="2220">
                  <c:v>380623.50671431457</c:v>
                </c:pt>
                <c:pt idx="2221">
                  <c:v>389945.7969648217</c:v>
                </c:pt>
                <c:pt idx="2222">
                  <c:v>398498.13182214834</c:v>
                </c:pt>
                <c:pt idx="2223">
                  <c:v>388463.02776789188</c:v>
                </c:pt>
                <c:pt idx="2224">
                  <c:v>362302.88732749224</c:v>
                </c:pt>
                <c:pt idx="2225">
                  <c:v>385478.8619095576</c:v>
                </c:pt>
                <c:pt idx="2226">
                  <c:v>383874.69137544936</c:v>
                </c:pt>
                <c:pt idx="2227">
                  <c:v>406573.51653197542</c:v>
                </c:pt>
                <c:pt idx="2228">
                  <c:v>408188.46733636298</c:v>
                </c:pt>
                <c:pt idx="2229">
                  <c:v>406477.38214705925</c:v>
                </c:pt>
                <c:pt idx="2230">
                  <c:v>409078.9120976085</c:v>
                </c:pt>
                <c:pt idx="2231">
                  <c:v>382094.19488402008</c:v>
                </c:pt>
                <c:pt idx="2232">
                  <c:v>379262.13140388642</c:v>
                </c:pt>
                <c:pt idx="2233">
                  <c:v>375922.69970312103</c:v>
                </c:pt>
                <c:pt idx="2234">
                  <c:v>356208.0315279272</c:v>
                </c:pt>
                <c:pt idx="2235">
                  <c:v>355277.03009275836</c:v>
                </c:pt>
                <c:pt idx="2236">
                  <c:v>372874.68084626697</c:v>
                </c:pt>
                <c:pt idx="2237">
                  <c:v>377206.59199873259</c:v>
                </c:pt>
                <c:pt idx="2238">
                  <c:v>384081.79959928419</c:v>
                </c:pt>
                <c:pt idx="2239">
                  <c:v>386323.24338587391</c:v>
                </c:pt>
                <c:pt idx="2240">
                  <c:v>385835.95393343479</c:v>
                </c:pt>
                <c:pt idx="2241">
                  <c:v>380497.39543842833</c:v>
                </c:pt>
                <c:pt idx="2242">
                  <c:v>377416.82078108704</c:v>
                </c:pt>
                <c:pt idx="2243">
                  <c:v>390646.18674665433</c:v>
                </c:pt>
                <c:pt idx="2244">
                  <c:v>397486.07069108443</c:v>
                </c:pt>
                <c:pt idx="2245">
                  <c:v>423944.01606853848</c:v>
                </c:pt>
                <c:pt idx="2246">
                  <c:v>423944.01606853848</c:v>
                </c:pt>
                <c:pt idx="2247">
                  <c:v>432161.94388412253</c:v>
                </c:pt>
                <c:pt idx="2248">
                  <c:v>417859.81791528099</c:v>
                </c:pt>
                <c:pt idx="2249">
                  <c:v>400254.06408287428</c:v>
                </c:pt>
                <c:pt idx="2250">
                  <c:v>423994.13111708441</c:v>
                </c:pt>
                <c:pt idx="2251">
                  <c:v>432609.79051600397</c:v>
                </c:pt>
                <c:pt idx="2252">
                  <c:v>433723.51937434357</c:v>
                </c:pt>
                <c:pt idx="2253">
                  <c:v>428340.5021856947</c:v>
                </c:pt>
                <c:pt idx="2254">
                  <c:v>431140.37430155399</c:v>
                </c:pt>
                <c:pt idx="2255">
                  <c:v>444934.21338282229</c:v>
                </c:pt>
                <c:pt idx="2256">
                  <c:v>435873.05374903028</c:v>
                </c:pt>
                <c:pt idx="2257">
                  <c:v>436673.22740441345</c:v>
                </c:pt>
                <c:pt idx="2258">
                  <c:v>450850.49943168194</c:v>
                </c:pt>
                <c:pt idx="2259">
                  <c:v>476929.46047488018</c:v>
                </c:pt>
                <c:pt idx="2260">
                  <c:v>476557.60188843287</c:v>
                </c:pt>
                <c:pt idx="2261">
                  <c:v>494738.7427333378</c:v>
                </c:pt>
                <c:pt idx="2262">
                  <c:v>494991.83056485147</c:v>
                </c:pt>
                <c:pt idx="2263">
                  <c:v>494760.84866456786</c:v>
                </c:pt>
                <c:pt idx="2264">
                  <c:v>543456.3073428818</c:v>
                </c:pt>
                <c:pt idx="2265">
                  <c:v>559916.34535156447</c:v>
                </c:pt>
                <c:pt idx="2266">
                  <c:v>559916.34535156447</c:v>
                </c:pt>
                <c:pt idx="2267">
                  <c:v>513457.32991605706</c:v>
                </c:pt>
                <c:pt idx="2268">
                  <c:v>522011.38311027194</c:v>
                </c:pt>
                <c:pt idx="2269">
                  <c:v>485188.3799911004</c:v>
                </c:pt>
                <c:pt idx="2270">
                  <c:v>518220.50692848233</c:v>
                </c:pt>
                <c:pt idx="2271">
                  <c:v>512389.8542876807</c:v>
                </c:pt>
                <c:pt idx="2272">
                  <c:v>504782.56119082548</c:v>
                </c:pt>
                <c:pt idx="2273">
                  <c:v>497564.88936906453</c:v>
                </c:pt>
                <c:pt idx="2274">
                  <c:v>459559.28383146459</c:v>
                </c:pt>
                <c:pt idx="2275">
                  <c:v>447935.91724515503</c:v>
                </c:pt>
                <c:pt idx="2276">
                  <c:v>432148.15053643502</c:v>
                </c:pt>
                <c:pt idx="2277">
                  <c:v>420350.16905193072</c:v>
                </c:pt>
                <c:pt idx="2278">
                  <c:v>430155.45005890471</c:v>
                </c:pt>
                <c:pt idx="2279">
                  <c:v>410138.29520831438</c:v>
                </c:pt>
                <c:pt idx="2280">
                  <c:v>425916.75271232828</c:v>
                </c:pt>
                <c:pt idx="2281">
                  <c:v>427653.3983105935</c:v>
                </c:pt>
                <c:pt idx="2282">
                  <c:v>443031.09468230658</c:v>
                </c:pt>
                <c:pt idx="2283">
                  <c:v>439578.48511117458</c:v>
                </c:pt>
                <c:pt idx="2284">
                  <c:v>463316.05951753398</c:v>
                </c:pt>
                <c:pt idx="2285">
                  <c:v>464541.15150916146</c:v>
                </c:pt>
                <c:pt idx="2286">
                  <c:v>455756.97727298067</c:v>
                </c:pt>
                <c:pt idx="2287">
                  <c:v>437701.35100134165</c:v>
                </c:pt>
                <c:pt idx="2288">
                  <c:v>452428.01821315818</c:v>
                </c:pt>
                <c:pt idx="2289">
                  <c:v>442012.33288837085</c:v>
                </c:pt>
                <c:pt idx="2290">
                  <c:v>432147.21990690264</c:v>
                </c:pt>
                <c:pt idx="2291">
                  <c:v>435972.94513939641</c:v>
                </c:pt>
                <c:pt idx="2292">
                  <c:v>428778.79123602528</c:v>
                </c:pt>
                <c:pt idx="2293">
                  <c:v>433862.68431608571</c:v>
                </c:pt>
                <c:pt idx="2294">
                  <c:v>452319.95084144984</c:v>
                </c:pt>
                <c:pt idx="2295">
                  <c:v>463069.44975655165</c:v>
                </c:pt>
                <c:pt idx="2296">
                  <c:v>469273.47274730011</c:v>
                </c:pt>
                <c:pt idx="2297">
                  <c:v>468222.12564702478</c:v>
                </c:pt>
                <c:pt idx="2298">
                  <c:v>490416.57395103871</c:v>
                </c:pt>
                <c:pt idx="2299">
                  <c:v>476738.41661646997</c:v>
                </c:pt>
                <c:pt idx="2300">
                  <c:v>485757.1462651281</c:v>
                </c:pt>
                <c:pt idx="2301">
                  <c:v>491936.16515111149</c:v>
                </c:pt>
                <c:pt idx="2302">
                  <c:v>528854.62646634481</c:v>
                </c:pt>
                <c:pt idx="2303">
                  <c:v>528854.62646634481</c:v>
                </c:pt>
                <c:pt idx="2304">
                  <c:v>529254.242444542</c:v>
                </c:pt>
                <c:pt idx="2305">
                  <c:v>550396.12144944875</c:v>
                </c:pt>
                <c:pt idx="2306">
                  <c:v>535219.96621282364</c:v>
                </c:pt>
                <c:pt idx="2307">
                  <c:v>523977.53274273011</c:v>
                </c:pt>
                <c:pt idx="2308">
                  <c:v>501201.93517945125</c:v>
                </c:pt>
                <c:pt idx="2309">
                  <c:v>503412.76220176945</c:v>
                </c:pt>
                <c:pt idx="2310">
                  <c:v>526402.34000646498</c:v>
                </c:pt>
                <c:pt idx="2311">
                  <c:v>517568.98081833235</c:v>
                </c:pt>
                <c:pt idx="2312">
                  <c:v>532548.58199282771</c:v>
                </c:pt>
                <c:pt idx="2313">
                  <c:v>534741.27921808802</c:v>
                </c:pt>
                <c:pt idx="2314">
                  <c:v>547929.71391819825</c:v>
                </c:pt>
                <c:pt idx="2315">
                  <c:v>549478.95154640009</c:v>
                </c:pt>
                <c:pt idx="2316">
                  <c:v>553685.09714219638</c:v>
                </c:pt>
                <c:pt idx="2317">
                  <c:v>559651.24805916881</c:v>
                </c:pt>
                <c:pt idx="2318">
                  <c:v>561132.22876089031</c:v>
                </c:pt>
                <c:pt idx="2319">
                  <c:v>561246.34398563602</c:v>
                </c:pt>
                <c:pt idx="2320">
                  <c:v>561004.34902515798</c:v>
                </c:pt>
                <c:pt idx="2321">
                  <c:v>554370.55222135829</c:v>
                </c:pt>
                <c:pt idx="2322">
                  <c:v>553800.51276898244</c:v>
                </c:pt>
                <c:pt idx="2323">
                  <c:v>580641.41194166243</c:v>
                </c:pt>
                <c:pt idx="2324">
                  <c:v>584358.06463563559</c:v>
                </c:pt>
                <c:pt idx="2325">
                  <c:v>580810.94189801847</c:v>
                </c:pt>
                <c:pt idx="2326">
                  <c:v>576372.82783106389</c:v>
                </c:pt>
                <c:pt idx="2327">
                  <c:v>567998.48746347078</c:v>
                </c:pt>
                <c:pt idx="2328">
                  <c:v>587494.53695229883</c:v>
                </c:pt>
                <c:pt idx="2329">
                  <c:v>584952.18265689339</c:v>
                </c:pt>
                <c:pt idx="2330">
                  <c:v>579042.12570857455</c:v>
                </c:pt>
                <c:pt idx="2331">
                  <c:v>538990.60692978126</c:v>
                </c:pt>
                <c:pt idx="2332">
                  <c:v>530980.62830531597</c:v>
                </c:pt>
                <c:pt idx="2333">
                  <c:v>527094.84337506432</c:v>
                </c:pt>
                <c:pt idx="2334">
                  <c:v>528410.55707103375</c:v>
                </c:pt>
                <c:pt idx="2335">
                  <c:v>529716.88464069238</c:v>
                </c:pt>
                <c:pt idx="2336">
                  <c:v>532639.36199997331</c:v>
                </c:pt>
                <c:pt idx="2337">
                  <c:v>523893.24934067251</c:v>
                </c:pt>
                <c:pt idx="2338">
                  <c:v>520048.98045421037</c:v>
                </c:pt>
                <c:pt idx="2339">
                  <c:v>497336.63438898639</c:v>
                </c:pt>
                <c:pt idx="2340">
                  <c:v>498856.67015872692</c:v>
                </c:pt>
                <c:pt idx="2341">
                  <c:v>499029.24294408661</c:v>
                </c:pt>
                <c:pt idx="2342">
                  <c:v>485541.84301851975</c:v>
                </c:pt>
                <c:pt idx="2343">
                  <c:v>477823.88104075292</c:v>
                </c:pt>
                <c:pt idx="2344">
                  <c:v>498138.06173062458</c:v>
                </c:pt>
                <c:pt idx="2345">
                  <c:v>491344.42876888049</c:v>
                </c:pt>
                <c:pt idx="2346">
                  <c:v>493837.48751735431</c:v>
                </c:pt>
                <c:pt idx="2347">
                  <c:v>485099.48316106998</c:v>
                </c:pt>
                <c:pt idx="2348">
                  <c:v>489872.06379970629</c:v>
                </c:pt>
                <c:pt idx="2349">
                  <c:v>499580.28536441602</c:v>
                </c:pt>
                <c:pt idx="2350">
                  <c:v>496552.84756480739</c:v>
                </c:pt>
                <c:pt idx="2351">
                  <c:v>492931.02367221762</c:v>
                </c:pt>
                <c:pt idx="2352">
                  <c:v>479989.65177665191</c:v>
                </c:pt>
                <c:pt idx="2353">
                  <c:v>474151.38198974024</c:v>
                </c:pt>
                <c:pt idx="2354">
                  <c:v>479001.07107102399</c:v>
                </c:pt>
                <c:pt idx="2355">
                  <c:v>487484.41662086331</c:v>
                </c:pt>
                <c:pt idx="2356">
                  <c:v>487564.3475642447</c:v>
                </c:pt>
                <c:pt idx="2357">
                  <c:v>494189.92452846724</c:v>
                </c:pt>
                <c:pt idx="2358">
                  <c:v>489804.90886989143</c:v>
                </c:pt>
                <c:pt idx="2359">
                  <c:v>500846.98337677808</c:v>
                </c:pt>
                <c:pt idx="2360">
                  <c:v>521079.883859394</c:v>
                </c:pt>
                <c:pt idx="2361">
                  <c:v>519145.90654178732</c:v>
                </c:pt>
                <c:pt idx="2362">
                  <c:v>519981.09804176964</c:v>
                </c:pt>
                <c:pt idx="2363">
                  <c:v>508289.19135177333</c:v>
                </c:pt>
                <c:pt idx="2364">
                  <c:v>528248.69674805948</c:v>
                </c:pt>
                <c:pt idx="2365">
                  <c:v>525597.04922330391</c:v>
                </c:pt>
                <c:pt idx="2366">
                  <c:v>538229.14469301212</c:v>
                </c:pt>
                <c:pt idx="2367">
                  <c:v>532351.44987728237</c:v>
                </c:pt>
                <c:pt idx="2368">
                  <c:v>531409.82488355355</c:v>
                </c:pt>
                <c:pt idx="2369">
                  <c:v>522991.31256091915</c:v>
                </c:pt>
                <c:pt idx="2370">
                  <c:v>528151.11796120857</c:v>
                </c:pt>
                <c:pt idx="2371">
                  <c:v>541308.6127831341</c:v>
                </c:pt>
                <c:pt idx="2372">
                  <c:v>548389.36628951097</c:v>
                </c:pt>
                <c:pt idx="2373">
                  <c:v>549654.08707776049</c:v>
                </c:pt>
                <c:pt idx="2374">
                  <c:v>552779.19220975472</c:v>
                </c:pt>
                <c:pt idx="2375">
                  <c:v>554730.36530828453</c:v>
                </c:pt>
                <c:pt idx="2376">
                  <c:v>555951.04431911337</c:v>
                </c:pt>
                <c:pt idx="2377">
                  <c:v>557217.29757281125</c:v>
                </c:pt>
                <c:pt idx="2378">
                  <c:v>552701.48636044282</c:v>
                </c:pt>
                <c:pt idx="2379">
                  <c:v>552553.93503523397</c:v>
                </c:pt>
                <c:pt idx="2380">
                  <c:v>552232.03480688611</c:v>
                </c:pt>
                <c:pt idx="2381">
                  <c:v>554965.75959896075</c:v>
                </c:pt>
                <c:pt idx="2382">
                  <c:v>547890.33068993059</c:v>
                </c:pt>
                <c:pt idx="2383">
                  <c:v>549476.98789537535</c:v>
                </c:pt>
                <c:pt idx="2384">
                  <c:v>558318.47375560016</c:v>
                </c:pt>
                <c:pt idx="2385">
                  <c:v>550513.43790408107</c:v>
                </c:pt>
                <c:pt idx="2386">
                  <c:v>546734.54615029506</c:v>
                </c:pt>
                <c:pt idx="2387">
                  <c:v>549713.14299174328</c:v>
                </c:pt>
                <c:pt idx="2388">
                  <c:v>548589.45886913768</c:v>
                </c:pt>
                <c:pt idx="2389">
                  <c:v>564421.50926831877</c:v>
                </c:pt>
                <c:pt idx="2390">
                  <c:v>585595.513968796</c:v>
                </c:pt>
                <c:pt idx="2391">
                  <c:v>583983.7182850329</c:v>
                </c:pt>
                <c:pt idx="2392">
                  <c:v>596593.98997366219</c:v>
                </c:pt>
                <c:pt idx="2393">
                  <c:v>599407.0369731161</c:v>
                </c:pt>
                <c:pt idx="2394">
                  <c:v>596571.67852690211</c:v>
                </c:pt>
                <c:pt idx="2395">
                  <c:v>602695.70844428684</c:v>
                </c:pt>
                <c:pt idx="2396">
                  <c:v>600068.96057231526</c:v>
                </c:pt>
                <c:pt idx="2397">
                  <c:v>604891.19539104647</c:v>
                </c:pt>
                <c:pt idx="2398">
                  <c:v>591919.5803547682</c:v>
                </c:pt>
                <c:pt idx="2399">
                  <c:v>595193.38876414101</c:v>
                </c:pt>
                <c:pt idx="2400">
                  <c:v>588624.32261730544</c:v>
                </c:pt>
                <c:pt idx="2401">
                  <c:v>595366.76192455855</c:v>
                </c:pt>
                <c:pt idx="2402">
                  <c:v>628542.2960842154</c:v>
                </c:pt>
                <c:pt idx="2403">
                  <c:v>632280.10502338118</c:v>
                </c:pt>
                <c:pt idx="2404">
                  <c:v>627824.27586448123</c:v>
                </c:pt>
                <c:pt idx="2405">
                  <c:v>623054.05868652626</c:v>
                </c:pt>
                <c:pt idx="2406">
                  <c:v>633150.1629074798</c:v>
                </c:pt>
                <c:pt idx="2407">
                  <c:v>631574.57709851034</c:v>
                </c:pt>
                <c:pt idx="2408">
                  <c:v>646288.14555693569</c:v>
                </c:pt>
                <c:pt idx="2409">
                  <c:v>620003.92847929255</c:v>
                </c:pt>
                <c:pt idx="2410">
                  <c:v>623292.38652860851</c:v>
                </c:pt>
                <c:pt idx="2411">
                  <c:v>625427.50166113907</c:v>
                </c:pt>
                <c:pt idx="2412">
                  <c:v>608150.07492026128</c:v>
                </c:pt>
                <c:pt idx="2413">
                  <c:v>617203.53850809962</c:v>
                </c:pt>
                <c:pt idx="2414">
                  <c:v>609244.28947672015</c:v>
                </c:pt>
                <c:pt idx="2415">
                  <c:v>615533.49542030634</c:v>
                </c:pt>
                <c:pt idx="2416">
                  <c:v>611988.37809254404</c:v>
                </c:pt>
                <c:pt idx="2417">
                  <c:v>601361.2774422206</c:v>
                </c:pt>
                <c:pt idx="2418">
                  <c:v>605110.08597768133</c:v>
                </c:pt>
                <c:pt idx="2419">
                  <c:v>609297.96994070709</c:v>
                </c:pt>
                <c:pt idx="2420">
                  <c:v>624930.06122333847</c:v>
                </c:pt>
                <c:pt idx="2421">
                  <c:v>629121.87861501658</c:v>
                </c:pt>
                <c:pt idx="2422">
                  <c:v>628425.60880907485</c:v>
                </c:pt>
                <c:pt idx="2423">
                  <c:v>629357.94635028078</c:v>
                </c:pt>
                <c:pt idx="2424">
                  <c:v>627217.02155963937</c:v>
                </c:pt>
                <c:pt idx="2425">
                  <c:v>622569.93785479187</c:v>
                </c:pt>
                <c:pt idx="2426">
                  <c:v>607396.9157751617</c:v>
                </c:pt>
                <c:pt idx="2427">
                  <c:v>577544.7833142099</c:v>
                </c:pt>
                <c:pt idx="2428">
                  <c:v>581255.18685434305</c:v>
                </c:pt>
                <c:pt idx="2429">
                  <c:v>580052.41746102902</c:v>
                </c:pt>
                <c:pt idx="2430">
                  <c:v>581401.83848534164</c:v>
                </c:pt>
                <c:pt idx="2431">
                  <c:v>579292.87432990945</c:v>
                </c:pt>
                <c:pt idx="2432">
                  <c:v>568162.58344455098</c:v>
                </c:pt>
                <c:pt idx="2433">
                  <c:v>555058.05977852037</c:v>
                </c:pt>
                <c:pt idx="2434">
                  <c:v>545152.50254031166</c:v>
                </c:pt>
                <c:pt idx="2435">
                  <c:v>546161.84104836814</c:v>
                </c:pt>
                <c:pt idx="2436">
                  <c:v>560178.63724609418</c:v>
                </c:pt>
                <c:pt idx="2437">
                  <c:v>552865.59929041844</c:v>
                </c:pt>
                <c:pt idx="2438">
                  <c:v>551776.3029993386</c:v>
                </c:pt>
                <c:pt idx="2439">
                  <c:v>554591.15907760663</c:v>
                </c:pt>
                <c:pt idx="2440">
                  <c:v>554867.13303257211</c:v>
                </c:pt>
                <c:pt idx="2441">
                  <c:v>577091.60266668152</c:v>
                </c:pt>
                <c:pt idx="2442">
                  <c:v>574380.33547348029</c:v>
                </c:pt>
                <c:pt idx="2443">
                  <c:v>592131.34394992562</c:v>
                </c:pt>
                <c:pt idx="2444">
                  <c:v>588193.76987602143</c:v>
                </c:pt>
                <c:pt idx="2445">
                  <c:v>615065.50135262671</c:v>
                </c:pt>
                <c:pt idx="2446">
                  <c:v>614383.79061856784</c:v>
                </c:pt>
                <c:pt idx="2447">
                  <c:v>613453.38331866497</c:v>
                </c:pt>
                <c:pt idx="2448">
                  <c:v>636462.57041060668</c:v>
                </c:pt>
                <c:pt idx="2449">
                  <c:v>639450.24160421861</c:v>
                </c:pt>
                <c:pt idx="2450">
                  <c:v>637322.81763263734</c:v>
                </c:pt>
                <c:pt idx="2451">
                  <c:v>658272.95051687432</c:v>
                </c:pt>
                <c:pt idx="2452">
                  <c:v>650656.130891965</c:v>
                </c:pt>
                <c:pt idx="2453">
                  <c:v>640811.94109830575</c:v>
                </c:pt>
                <c:pt idx="2454">
                  <c:v>670259.11927336664</c:v>
                </c:pt>
                <c:pt idx="2455">
                  <c:v>656311.62084760214</c:v>
                </c:pt>
                <c:pt idx="2456">
                  <c:v>658650.98781246354</c:v>
                </c:pt>
                <c:pt idx="2457">
                  <c:v>652860.49635086791</c:v>
                </c:pt>
                <c:pt idx="2458">
                  <c:v>652250.54622079548</c:v>
                </c:pt>
                <c:pt idx="2459">
                  <c:v>659955.35122722469</c:v>
                </c:pt>
                <c:pt idx="2460">
                  <c:v>653995.68211923423</c:v>
                </c:pt>
                <c:pt idx="2461">
                  <c:v>653986.38955277042</c:v>
                </c:pt>
                <c:pt idx="2462">
                  <c:v>641730.31154973619</c:v>
                </c:pt>
                <c:pt idx="2463">
                  <c:v>656451.55997575924</c:v>
                </c:pt>
                <c:pt idx="2464">
                  <c:v>652068.98093559383</c:v>
                </c:pt>
                <c:pt idx="2465">
                  <c:v>641481.44601092406</c:v>
                </c:pt>
                <c:pt idx="2466">
                  <c:v>644795.43366061721</c:v>
                </c:pt>
                <c:pt idx="2467">
                  <c:v>641455.24039842328</c:v>
                </c:pt>
                <c:pt idx="2468">
                  <c:v>628619.19256655581</c:v>
                </c:pt>
                <c:pt idx="2469">
                  <c:v>621456.61191626743</c:v>
                </c:pt>
                <c:pt idx="2470">
                  <c:v>625178.83510824363</c:v>
                </c:pt>
                <c:pt idx="2471">
                  <c:v>626425.36351815646</c:v>
                </c:pt>
                <c:pt idx="2472">
                  <c:v>622164.56058826798</c:v>
                </c:pt>
                <c:pt idx="2473">
                  <c:v>611183.24041148787</c:v>
                </c:pt>
                <c:pt idx="2474">
                  <c:v>611066.64038111386</c:v>
                </c:pt>
                <c:pt idx="2475">
                  <c:v>608604.10324072978</c:v>
                </c:pt>
                <c:pt idx="2476">
                  <c:v>605221.2988533231</c:v>
                </c:pt>
                <c:pt idx="2477">
                  <c:v>655523.4163137282</c:v>
                </c:pt>
                <c:pt idx="2478">
                  <c:v>655378.28069421719</c:v>
                </c:pt>
                <c:pt idx="2479">
                  <c:v>655719.73191798024</c:v>
                </c:pt>
                <c:pt idx="2480">
                  <c:v>664220.08717102162</c:v>
                </c:pt>
                <c:pt idx="2481">
                  <c:v>661954.70837066323</c:v>
                </c:pt>
                <c:pt idx="2482">
                  <c:v>661754.71403217816</c:v>
                </c:pt>
                <c:pt idx="2483">
                  <c:v>666467.93426480633</c:v>
                </c:pt>
                <c:pt idx="2484">
                  <c:v>658836.74331376341</c:v>
                </c:pt>
                <c:pt idx="2485">
                  <c:v>651083.40168920939</c:v>
                </c:pt>
                <c:pt idx="2486">
                  <c:v>652161.38188109419</c:v>
                </c:pt>
                <c:pt idx="2487">
                  <c:v>653841.79497202369</c:v>
                </c:pt>
                <c:pt idx="2488">
                  <c:v>654616.14589915227</c:v>
                </c:pt>
                <c:pt idx="2489">
                  <c:v>665655.64583967079</c:v>
                </c:pt>
                <c:pt idx="2490">
                  <c:v>663058.32874485943</c:v>
                </c:pt>
                <c:pt idx="2491">
                  <c:v>659160.3079037139</c:v>
                </c:pt>
                <c:pt idx="2492">
                  <c:v>642400.02000411332</c:v>
                </c:pt>
                <c:pt idx="2493">
                  <c:v>643181.7615470601</c:v>
                </c:pt>
                <c:pt idx="2494">
                  <c:v>639817.02404924762</c:v>
                </c:pt>
                <c:pt idx="2495">
                  <c:v>646558.23173443566</c:v>
                </c:pt>
                <c:pt idx="2496">
                  <c:v>654760.18029177026</c:v>
                </c:pt>
                <c:pt idx="2497">
                  <c:v>653756.87371482595</c:v>
                </c:pt>
                <c:pt idx="2498">
                  <c:v>652316.11910768168</c:v>
                </c:pt>
                <c:pt idx="2499">
                  <c:v>644420.62549011852</c:v>
                </c:pt>
                <c:pt idx="2500">
                  <c:v>648392.35716049233</c:v>
                </c:pt>
                <c:pt idx="2501">
                  <c:v>647179.15054828289</c:v>
                </c:pt>
                <c:pt idx="2502">
                  <c:v>646030.51668245136</c:v>
                </c:pt>
                <c:pt idx="2503">
                  <c:v>647757.39135551918</c:v>
                </c:pt>
                <c:pt idx="2504">
                  <c:v>654097.66123026295</c:v>
                </c:pt>
                <c:pt idx="2505">
                  <c:v>648036.07302074169</c:v>
                </c:pt>
                <c:pt idx="2506">
                  <c:v>649273.93844051671</c:v>
                </c:pt>
                <c:pt idx="2507">
                  <c:v>647137.21301007736</c:v>
                </c:pt>
                <c:pt idx="2508">
                  <c:v>650239.16033409524</c:v>
                </c:pt>
                <c:pt idx="2509">
                  <c:v>649024.52045508672</c:v>
                </c:pt>
                <c:pt idx="2510">
                  <c:v>646278.30061800906</c:v>
                </c:pt>
                <c:pt idx="2511">
                  <c:v>649605.73287692515</c:v>
                </c:pt>
                <c:pt idx="2512">
                  <c:v>662097.14262946637</c:v>
                </c:pt>
                <c:pt idx="2513">
                  <c:v>662285.53992935107</c:v>
                </c:pt>
                <c:pt idx="2514">
                  <c:v>661406.58163312229</c:v>
                </c:pt>
                <c:pt idx="2515">
                  <c:v>661237.10869682417</c:v>
                </c:pt>
                <c:pt idx="2516">
                  <c:v>649247.18582523277</c:v>
                </c:pt>
                <c:pt idx="2517">
                  <c:v>649316.2333602556</c:v>
                </c:pt>
                <c:pt idx="2518">
                  <c:v>652200.15993288893</c:v>
                </c:pt>
                <c:pt idx="2519">
                  <c:v>652346.45542336348</c:v>
                </c:pt>
                <c:pt idx="2520">
                  <c:v>655082.48186836508</c:v>
                </c:pt>
                <c:pt idx="2521">
                  <c:v>654281.04066725692</c:v>
                </c:pt>
                <c:pt idx="2522">
                  <c:v>652787.45020156412</c:v>
                </c:pt>
                <c:pt idx="2523">
                  <c:v>654928.41167928278</c:v>
                </c:pt>
                <c:pt idx="2524">
                  <c:v>655433.99420137517</c:v>
                </c:pt>
                <c:pt idx="2525">
                  <c:v>654325.2743226788</c:v>
                </c:pt>
                <c:pt idx="2526">
                  <c:v>655427.98392503033</c:v>
                </c:pt>
                <c:pt idx="2527">
                  <c:v>654721.45896996174</c:v>
                </c:pt>
                <c:pt idx="2528">
                  <c:v>654557.39613767446</c:v>
                </c:pt>
                <c:pt idx="2529">
                  <c:v>654939.867681731</c:v>
                </c:pt>
                <c:pt idx="2530">
                  <c:v>655550.82867687696</c:v>
                </c:pt>
                <c:pt idx="2531">
                  <c:v>660726.66114153946</c:v>
                </c:pt>
                <c:pt idx="2532">
                  <c:v>660956.93729098991</c:v>
                </c:pt>
                <c:pt idx="2533">
                  <c:v>658727.48831960687</c:v>
                </c:pt>
                <c:pt idx="2534">
                  <c:v>660209.5681625749</c:v>
                </c:pt>
                <c:pt idx="2535">
                  <c:v>659615.68922434701</c:v>
                </c:pt>
                <c:pt idx="2536">
                  <c:v>659758.58448280219</c:v>
                </c:pt>
                <c:pt idx="2537">
                  <c:v>657153.97591956751</c:v>
                </c:pt>
                <c:pt idx="2538">
                  <c:v>657397.35297053808</c:v>
                </c:pt>
                <c:pt idx="2539">
                  <c:v>653014.49439875479</c:v>
                </c:pt>
                <c:pt idx="2540">
                  <c:v>654994.55726899405</c:v>
                </c:pt>
                <c:pt idx="2541">
                  <c:v>657899.92295691464</c:v>
                </c:pt>
                <c:pt idx="2542">
                  <c:v>657846.6052008057</c:v>
                </c:pt>
                <c:pt idx="2543">
                  <c:v>657445.97881641227</c:v>
                </c:pt>
                <c:pt idx="2544">
                  <c:v>658028.99488117592</c:v>
                </c:pt>
                <c:pt idx="2545">
                  <c:v>659832.72969377483</c:v>
                </c:pt>
                <c:pt idx="2546">
                  <c:v>659899.78147998638</c:v>
                </c:pt>
                <c:pt idx="2547">
                  <c:v>689307.19934649649</c:v>
                </c:pt>
                <c:pt idx="2548">
                  <c:v>689913.83481164044</c:v>
                </c:pt>
                <c:pt idx="2549">
                  <c:v>689943.61197558499</c:v>
                </c:pt>
                <c:pt idx="2550">
                  <c:v>689697.03444500547</c:v>
                </c:pt>
                <c:pt idx="2551">
                  <c:v>694858.15992441552</c:v>
                </c:pt>
                <c:pt idx="2552">
                  <c:v>702198.20218096371</c:v>
                </c:pt>
                <c:pt idx="2553">
                  <c:v>702198.20218096371</c:v>
                </c:pt>
                <c:pt idx="2554">
                  <c:v>704964.32471702271</c:v>
                </c:pt>
                <c:pt idx="2555">
                  <c:v>706731.9371434343</c:v>
                </c:pt>
                <c:pt idx="2556">
                  <c:v>707373.63256134663</c:v>
                </c:pt>
                <c:pt idx="2557">
                  <c:v>708271.59857527411</c:v>
                </c:pt>
                <c:pt idx="2558">
                  <c:v>708271.59857527411</c:v>
                </c:pt>
                <c:pt idx="2559">
                  <c:v>709625.0885121373</c:v>
                </c:pt>
                <c:pt idx="2560">
                  <c:v>708571.31970938435</c:v>
                </c:pt>
                <c:pt idx="2561">
                  <c:v>706898.30020325631</c:v>
                </c:pt>
                <c:pt idx="2562">
                  <c:v>708271.22453144169</c:v>
                </c:pt>
                <c:pt idx="2563">
                  <c:v>709052.03013717209</c:v>
                </c:pt>
                <c:pt idx="2564">
                  <c:v>709318.60214675218</c:v>
                </c:pt>
                <c:pt idx="2565">
                  <c:v>708848.18098427181</c:v>
                </c:pt>
                <c:pt idx="2566">
                  <c:v>708717.5221386638</c:v>
                </c:pt>
                <c:pt idx="2567">
                  <c:v>708715.90503637621</c:v>
                </c:pt>
                <c:pt idx="2568">
                  <c:v>708722.38381724455</c:v>
                </c:pt>
                <c:pt idx="2569">
                  <c:v>706979.74595302122</c:v>
                </c:pt>
                <c:pt idx="2570">
                  <c:v>706998.94300555403</c:v>
                </c:pt>
                <c:pt idx="2571">
                  <c:v>707385.47180856543</c:v>
                </c:pt>
                <c:pt idx="2572">
                  <c:v>708367.96658809925</c:v>
                </c:pt>
                <c:pt idx="2573">
                  <c:v>706897.59628068283</c:v>
                </c:pt>
                <c:pt idx="2574">
                  <c:v>706409.8213314754</c:v>
                </c:pt>
                <c:pt idx="2575">
                  <c:v>705843.98920120567</c:v>
                </c:pt>
                <c:pt idx="2576">
                  <c:v>702559.18614481378</c:v>
                </c:pt>
                <c:pt idx="2577">
                  <c:v>700285.63668910961</c:v>
                </c:pt>
                <c:pt idx="2578">
                  <c:v>701503.07763989607</c:v>
                </c:pt>
                <c:pt idx="2579">
                  <c:v>701622.90847006964</c:v>
                </c:pt>
                <c:pt idx="2580">
                  <c:v>710392.2881717151</c:v>
                </c:pt>
                <c:pt idx="2581">
                  <c:v>717962.24244491826</c:v>
                </c:pt>
                <c:pt idx="2582">
                  <c:v>720929.77062962949</c:v>
                </c:pt>
                <c:pt idx="2583">
                  <c:v>720785.7869105055</c:v>
                </c:pt>
                <c:pt idx="2584">
                  <c:v>720693.23759726551</c:v>
                </c:pt>
                <c:pt idx="2585">
                  <c:v>720928.92467819282</c:v>
                </c:pt>
                <c:pt idx="2586">
                  <c:v>720413.23225761717</c:v>
                </c:pt>
                <c:pt idx="2587">
                  <c:v>722322.84520209918</c:v>
                </c:pt>
                <c:pt idx="2588">
                  <c:v>722344.54835054767</c:v>
                </c:pt>
                <c:pt idx="2589">
                  <c:v>722353.99041672598</c:v>
                </c:pt>
                <c:pt idx="2590">
                  <c:v>722606.93463647633</c:v>
                </c:pt>
                <c:pt idx="2591">
                  <c:v>722288.72926560359</c:v>
                </c:pt>
                <c:pt idx="2592">
                  <c:v>722364.21944258863</c:v>
                </c:pt>
                <c:pt idx="2593">
                  <c:v>723117.03243893862</c:v>
                </c:pt>
                <c:pt idx="2594">
                  <c:v>723275.50619247998</c:v>
                </c:pt>
                <c:pt idx="2595">
                  <c:v>722512.40677807841</c:v>
                </c:pt>
                <c:pt idx="2596">
                  <c:v>721813.93710544682</c:v>
                </c:pt>
                <c:pt idx="2597">
                  <c:v>722453.5484080707</c:v>
                </c:pt>
                <c:pt idx="2598">
                  <c:v>722085.92804115021</c:v>
                </c:pt>
                <c:pt idx="2599">
                  <c:v>722238.1137020411</c:v>
                </c:pt>
                <c:pt idx="2600">
                  <c:v>717617.56717148575</c:v>
                </c:pt>
                <c:pt idx="2601">
                  <c:v>717383.97467587423</c:v>
                </c:pt>
                <c:pt idx="2602">
                  <c:v>716462.40903652937</c:v>
                </c:pt>
                <c:pt idx="2603">
                  <c:v>725414.48434598907</c:v>
                </c:pt>
                <c:pt idx="2604">
                  <c:v>728182.36811560206</c:v>
                </c:pt>
                <c:pt idx="2605">
                  <c:v>728377.1950505462</c:v>
                </c:pt>
                <c:pt idx="2606">
                  <c:v>728333.26144305582</c:v>
                </c:pt>
                <c:pt idx="2607">
                  <c:v>729005.96152999823</c:v>
                </c:pt>
                <c:pt idx="2608">
                  <c:v>728371.21815292304</c:v>
                </c:pt>
                <c:pt idx="2609">
                  <c:v>729201.05604915845</c:v>
                </c:pt>
                <c:pt idx="2610">
                  <c:v>729575.29581180145</c:v>
                </c:pt>
                <c:pt idx="2611">
                  <c:v>729231.98495804402</c:v>
                </c:pt>
                <c:pt idx="2612">
                  <c:v>727633.62658152555</c:v>
                </c:pt>
                <c:pt idx="2613">
                  <c:v>728079.86060448294</c:v>
                </c:pt>
                <c:pt idx="2614">
                  <c:v>733500.19916012068</c:v>
                </c:pt>
                <c:pt idx="2615">
                  <c:v>733661.01602837059</c:v>
                </c:pt>
                <c:pt idx="2616">
                  <c:v>733216.9902694911</c:v>
                </c:pt>
                <c:pt idx="2617">
                  <c:v>733710.06696631364</c:v>
                </c:pt>
                <c:pt idx="2618">
                  <c:v>733616.93943152134</c:v>
                </c:pt>
                <c:pt idx="2619">
                  <c:v>733436.20371546492</c:v>
                </c:pt>
                <c:pt idx="2620">
                  <c:v>733639.99390243017</c:v>
                </c:pt>
                <c:pt idx="2621">
                  <c:v>733912.67462158273</c:v>
                </c:pt>
                <c:pt idx="2622">
                  <c:v>734249.0197350235</c:v>
                </c:pt>
                <c:pt idx="2623">
                  <c:v>734032.59889959008</c:v>
                </c:pt>
                <c:pt idx="2624">
                  <c:v>734107.55936087901</c:v>
                </c:pt>
                <c:pt idx="2625">
                  <c:v>734135.22069516883</c:v>
                </c:pt>
                <c:pt idx="2626">
                  <c:v>733917.00375470927</c:v>
                </c:pt>
                <c:pt idx="2627">
                  <c:v>733942.77939478727</c:v>
                </c:pt>
                <c:pt idx="2628">
                  <c:v>734141.75975960807</c:v>
                </c:pt>
                <c:pt idx="2629">
                  <c:v>734013.02366707078</c:v>
                </c:pt>
                <c:pt idx="2630">
                  <c:v>734502.51561366254</c:v>
                </c:pt>
                <c:pt idx="2631">
                  <c:v>734383.07505075878</c:v>
                </c:pt>
                <c:pt idx="2632">
                  <c:v>734261.40332844097</c:v>
                </c:pt>
                <c:pt idx="2633">
                  <c:v>732005.66850861267</c:v>
                </c:pt>
                <c:pt idx="2634">
                  <c:v>732271.09898004553</c:v>
                </c:pt>
                <c:pt idx="2635">
                  <c:v>732238.10957764066</c:v>
                </c:pt>
                <c:pt idx="2636">
                  <c:v>732343.29175730771</c:v>
                </c:pt>
                <c:pt idx="2637">
                  <c:v>732298.49787927861</c:v>
                </c:pt>
                <c:pt idx="2638">
                  <c:v>732350.53848936548</c:v>
                </c:pt>
                <c:pt idx="2639">
                  <c:v>732304.7944226322</c:v>
                </c:pt>
                <c:pt idx="2640">
                  <c:v>732310.01126291964</c:v>
                </c:pt>
                <c:pt idx="2641">
                  <c:v>732280.23797662207</c:v>
                </c:pt>
                <c:pt idx="2642">
                  <c:v>730980.93776897585</c:v>
                </c:pt>
                <c:pt idx="2643">
                  <c:v>725603.79870742594</c:v>
                </c:pt>
                <c:pt idx="2644">
                  <c:v>724023.71825344302</c:v>
                </c:pt>
                <c:pt idx="2645">
                  <c:v>725056.00005309959</c:v>
                </c:pt>
                <c:pt idx="2646">
                  <c:v>724372.14259389054</c:v>
                </c:pt>
                <c:pt idx="2647">
                  <c:v>723971.77264348313</c:v>
                </c:pt>
                <c:pt idx="2648">
                  <c:v>716994.31995353696</c:v>
                </c:pt>
                <c:pt idx="2649">
                  <c:v>725583.7860470165</c:v>
                </c:pt>
                <c:pt idx="2650">
                  <c:v>725342.7314760834</c:v>
                </c:pt>
                <c:pt idx="2651">
                  <c:v>725180.66276632354</c:v>
                </c:pt>
                <c:pt idx="2652">
                  <c:v>725269.9483951109</c:v>
                </c:pt>
                <c:pt idx="2653">
                  <c:v>725237.02936054219</c:v>
                </c:pt>
                <c:pt idx="2654">
                  <c:v>725440.74354359822</c:v>
                </c:pt>
                <c:pt idx="2655">
                  <c:v>725282.76575317874</c:v>
                </c:pt>
                <c:pt idx="2656">
                  <c:v>727801.95251796907</c:v>
                </c:pt>
                <c:pt idx="2657">
                  <c:v>727574.58698122203</c:v>
                </c:pt>
                <c:pt idx="2658">
                  <c:v>725477.21697449416</c:v>
                </c:pt>
                <c:pt idx="2659">
                  <c:v>725496.27683352085</c:v>
                </c:pt>
                <c:pt idx="2660">
                  <c:v>724615.88986704382</c:v>
                </c:pt>
                <c:pt idx="2661">
                  <c:v>724274.97855216195</c:v>
                </c:pt>
                <c:pt idx="2662">
                  <c:v>724439.66411829041</c:v>
                </c:pt>
                <c:pt idx="2663">
                  <c:v>724605.31620215508</c:v>
                </c:pt>
                <c:pt idx="2664">
                  <c:v>724690.09513979906</c:v>
                </c:pt>
                <c:pt idx="2665">
                  <c:v>725307.86352239514</c:v>
                </c:pt>
                <c:pt idx="2666">
                  <c:v>724819.37032473716</c:v>
                </c:pt>
                <c:pt idx="2667">
                  <c:v>724614.80935848865</c:v>
                </c:pt>
                <c:pt idx="2668">
                  <c:v>721185.79757563036</c:v>
                </c:pt>
                <c:pt idx="2669">
                  <c:v>722578.01484561653</c:v>
                </c:pt>
                <c:pt idx="2670">
                  <c:v>722862.67960574641</c:v>
                </c:pt>
                <c:pt idx="2671">
                  <c:v>721624.22441942594</c:v>
                </c:pt>
                <c:pt idx="2672">
                  <c:v>722270.3418583906</c:v>
                </c:pt>
                <c:pt idx="2673">
                  <c:v>720990.08830224245</c:v>
                </c:pt>
                <c:pt idx="2674">
                  <c:v>722406.14331593004</c:v>
                </c:pt>
                <c:pt idx="2675">
                  <c:v>722688.12333986734</c:v>
                </c:pt>
                <c:pt idx="2676">
                  <c:v>722624.29258224042</c:v>
                </c:pt>
                <c:pt idx="2677">
                  <c:v>722697.17501059489</c:v>
                </c:pt>
                <c:pt idx="2678">
                  <c:v>724955.33052245469</c:v>
                </c:pt>
                <c:pt idx="2679">
                  <c:v>721828.53168607608</c:v>
                </c:pt>
                <c:pt idx="2680">
                  <c:v>721421.89194148907</c:v>
                </c:pt>
                <c:pt idx="2681">
                  <c:v>720956.3772702486</c:v>
                </c:pt>
                <c:pt idx="2682">
                  <c:v>721230.71307383443</c:v>
                </c:pt>
                <c:pt idx="2683">
                  <c:v>720380.71118704649</c:v>
                </c:pt>
                <c:pt idx="2684">
                  <c:v>719640.15065843216</c:v>
                </c:pt>
                <c:pt idx="2685">
                  <c:v>696298.18269725237</c:v>
                </c:pt>
                <c:pt idx="2686">
                  <c:v>686644.0511323614</c:v>
                </c:pt>
                <c:pt idx="2687">
                  <c:v>686022.61104762496</c:v>
                </c:pt>
                <c:pt idx="2688">
                  <c:v>685865.74017965153</c:v>
                </c:pt>
                <c:pt idx="2689">
                  <c:v>684755.84058178926</c:v>
                </c:pt>
                <c:pt idx="2690">
                  <c:v>678892.6181317264</c:v>
                </c:pt>
                <c:pt idx="2691">
                  <c:v>675548.48470098828</c:v>
                </c:pt>
                <c:pt idx="2692">
                  <c:v>676435.02484128636</c:v>
                </c:pt>
                <c:pt idx="2693">
                  <c:v>673784.84324151208</c:v>
                </c:pt>
                <c:pt idx="2694">
                  <c:v>683601.05723023636</c:v>
                </c:pt>
                <c:pt idx="2695">
                  <c:v>682994.22363909066</c:v>
                </c:pt>
                <c:pt idx="2696">
                  <c:v>681998.79676963144</c:v>
                </c:pt>
                <c:pt idx="2697">
                  <c:v>682157.42597297649</c:v>
                </c:pt>
                <c:pt idx="2698">
                  <c:v>679348.93320604612</c:v>
                </c:pt>
                <c:pt idx="2699">
                  <c:v>682336.64696534141</c:v>
                </c:pt>
                <c:pt idx="2700">
                  <c:v>677462.85942983651</c:v>
                </c:pt>
                <c:pt idx="2701">
                  <c:v>675875.64175079158</c:v>
                </c:pt>
                <c:pt idx="2702">
                  <c:v>675234.62596227706</c:v>
                </c:pt>
                <c:pt idx="2703">
                  <c:v>673892.74901156593</c:v>
                </c:pt>
                <c:pt idx="2704">
                  <c:v>676114.46121427556</c:v>
                </c:pt>
                <c:pt idx="2705">
                  <c:v>673796.8506197104</c:v>
                </c:pt>
                <c:pt idx="2706">
                  <c:v>666053.51336234401</c:v>
                </c:pt>
                <c:pt idx="2707">
                  <c:v>668929.23833372386</c:v>
                </c:pt>
                <c:pt idx="2708">
                  <c:v>668827.44749496493</c:v>
                </c:pt>
                <c:pt idx="2709">
                  <c:v>675302.8093687956</c:v>
                </c:pt>
                <c:pt idx="2710">
                  <c:v>674756.74846617645</c:v>
                </c:pt>
                <c:pt idx="2711">
                  <c:v>674101.01814283023</c:v>
                </c:pt>
                <c:pt idx="2712">
                  <c:v>676230.7585476574</c:v>
                </c:pt>
                <c:pt idx="2713">
                  <c:v>673957.87181225943</c:v>
                </c:pt>
                <c:pt idx="2714">
                  <c:v>672576.27716391149</c:v>
                </c:pt>
                <c:pt idx="2715">
                  <c:v>665843.7493303736</c:v>
                </c:pt>
                <c:pt idx="2716">
                  <c:v>654601.64762348845</c:v>
                </c:pt>
                <c:pt idx="2717">
                  <c:v>659736.89177847037</c:v>
                </c:pt>
                <c:pt idx="2718">
                  <c:v>656775.62724566692</c:v>
                </c:pt>
                <c:pt idx="2719">
                  <c:v>658470.76519990875</c:v>
                </c:pt>
                <c:pt idx="2720">
                  <c:v>652330.54549359845</c:v>
                </c:pt>
                <c:pt idx="2721">
                  <c:v>650508.82811205089</c:v>
                </c:pt>
                <c:pt idx="2722">
                  <c:v>646297.98792333854</c:v>
                </c:pt>
                <c:pt idx="2723">
                  <c:v>637599.5170193552</c:v>
                </c:pt>
                <c:pt idx="2724">
                  <c:v>622222.81476734509</c:v>
                </c:pt>
                <c:pt idx="2725">
                  <c:v>621061.82468442584</c:v>
                </c:pt>
                <c:pt idx="2726">
                  <c:v>600717.08040715789</c:v>
                </c:pt>
                <c:pt idx="2727">
                  <c:v>592112.74488117616</c:v>
                </c:pt>
                <c:pt idx="2728">
                  <c:v>593525.98719525419</c:v>
                </c:pt>
                <c:pt idx="2729">
                  <c:v>593707.35403448355</c:v>
                </c:pt>
                <c:pt idx="2730">
                  <c:v>613463.25534481567</c:v>
                </c:pt>
                <c:pt idx="2731">
                  <c:v>612075.8883779929</c:v>
                </c:pt>
                <c:pt idx="2732">
                  <c:v>596124.74462713872</c:v>
                </c:pt>
                <c:pt idx="2733">
                  <c:v>598812.63630311203</c:v>
                </c:pt>
                <c:pt idx="2734">
                  <c:v>595056.86002069723</c:v>
                </c:pt>
                <c:pt idx="2735">
                  <c:v>594648.4717065359</c:v>
                </c:pt>
                <c:pt idx="2736">
                  <c:v>600915.10156559409</c:v>
                </c:pt>
                <c:pt idx="2737">
                  <c:v>592508.96927149151</c:v>
                </c:pt>
                <c:pt idx="2738">
                  <c:v>593366.5743997962</c:v>
                </c:pt>
                <c:pt idx="2739">
                  <c:v>595616.76135521813</c:v>
                </c:pt>
                <c:pt idx="2740">
                  <c:v>574934.09369908925</c:v>
                </c:pt>
                <c:pt idx="2741">
                  <c:v>578909.0265191606</c:v>
                </c:pt>
                <c:pt idx="2742">
                  <c:v>578570.7350163284</c:v>
                </c:pt>
                <c:pt idx="2743">
                  <c:v>577259.97908020078</c:v>
                </c:pt>
                <c:pt idx="2744">
                  <c:v>589054.6127217405</c:v>
                </c:pt>
                <c:pt idx="2745">
                  <c:v>585848.02866213047</c:v>
                </c:pt>
                <c:pt idx="2746">
                  <c:v>579829.21007073263</c:v>
                </c:pt>
                <c:pt idx="2747">
                  <c:v>590328.28581303474</c:v>
                </c:pt>
                <c:pt idx="2748">
                  <c:v>599258.30556295451</c:v>
                </c:pt>
                <c:pt idx="2749">
                  <c:v>604235.83657245396</c:v>
                </c:pt>
                <c:pt idx="2750">
                  <c:v>603821.59299314208</c:v>
                </c:pt>
                <c:pt idx="2751">
                  <c:v>600031.62707974249</c:v>
                </c:pt>
                <c:pt idx="2752">
                  <c:v>600685.13227545458</c:v>
                </c:pt>
                <c:pt idx="2753">
                  <c:v>606425.4329689563</c:v>
                </c:pt>
                <c:pt idx="2754">
                  <c:v>601836.56572843064</c:v>
                </c:pt>
                <c:pt idx="2755">
                  <c:v>605556.65521930635</c:v>
                </c:pt>
                <c:pt idx="2756">
                  <c:v>593917.38527242665</c:v>
                </c:pt>
                <c:pt idx="2757">
                  <c:v>592316.32363467768</c:v>
                </c:pt>
                <c:pt idx="2758">
                  <c:v>584738.95714319369</c:v>
                </c:pt>
                <c:pt idx="2759">
                  <c:v>576860.20251022559</c:v>
                </c:pt>
                <c:pt idx="2760">
                  <c:v>563375.50797218503</c:v>
                </c:pt>
                <c:pt idx="2761">
                  <c:v>560833.8413660411</c:v>
                </c:pt>
                <c:pt idx="2762">
                  <c:v>566420.78391352389</c:v>
                </c:pt>
                <c:pt idx="2763">
                  <c:v>565434.85577151761</c:v>
                </c:pt>
                <c:pt idx="2764">
                  <c:v>559141.09275110683</c:v>
                </c:pt>
                <c:pt idx="2765">
                  <c:v>547566.71556370938</c:v>
                </c:pt>
                <c:pt idx="2766">
                  <c:v>523354.59618824976</c:v>
                </c:pt>
                <c:pt idx="2767">
                  <c:v>524169.5652328615</c:v>
                </c:pt>
                <c:pt idx="2768">
                  <c:v>521375.61142555281</c:v>
                </c:pt>
                <c:pt idx="2769">
                  <c:v>511103.53993796586</c:v>
                </c:pt>
                <c:pt idx="2770">
                  <c:v>488078.59710736922</c:v>
                </c:pt>
                <c:pt idx="2771">
                  <c:v>507960.06714794808</c:v>
                </c:pt>
                <c:pt idx="2772">
                  <c:v>506059.30333122727</c:v>
                </c:pt>
                <c:pt idx="2773">
                  <c:v>505543.20559463714</c:v>
                </c:pt>
                <c:pt idx="2774">
                  <c:v>522901.62287656777</c:v>
                </c:pt>
                <c:pt idx="2775">
                  <c:v>532986.69119649718</c:v>
                </c:pt>
                <c:pt idx="2776">
                  <c:v>532003.36599407753</c:v>
                </c:pt>
                <c:pt idx="2777">
                  <c:v>509258.37737827143</c:v>
                </c:pt>
                <c:pt idx="2778">
                  <c:v>500440.88745772385</c:v>
                </c:pt>
                <c:pt idx="2779">
                  <c:v>512569.023740659</c:v>
                </c:pt>
                <c:pt idx="2780">
                  <c:v>509773.68726178614</c:v>
                </c:pt>
                <c:pt idx="2781">
                  <c:v>512946.96346709761</c:v>
                </c:pt>
                <c:pt idx="2782">
                  <c:v>502115.68316126132</c:v>
                </c:pt>
                <c:pt idx="2783">
                  <c:v>491576.56533341086</c:v>
                </c:pt>
                <c:pt idx="2784">
                  <c:v>491185.67473777139</c:v>
                </c:pt>
                <c:pt idx="2785">
                  <c:v>505624.50420108868</c:v>
                </c:pt>
                <c:pt idx="2786">
                  <c:v>509000.6040830636</c:v>
                </c:pt>
                <c:pt idx="2787">
                  <c:v>509978.62628384336</c:v>
                </c:pt>
                <c:pt idx="2788">
                  <c:v>520905.73415502853</c:v>
                </c:pt>
                <c:pt idx="2789">
                  <c:v>521519.4182883274</c:v>
                </c:pt>
                <c:pt idx="2790">
                  <c:v>521912.0890308235</c:v>
                </c:pt>
                <c:pt idx="2791">
                  <c:v>526492.29796466627</c:v>
                </c:pt>
                <c:pt idx="2792">
                  <c:v>524619.03042552923</c:v>
                </c:pt>
                <c:pt idx="2793">
                  <c:v>523482.25935346284</c:v>
                </c:pt>
                <c:pt idx="2794">
                  <c:v>518679.95011425577</c:v>
                </c:pt>
                <c:pt idx="2795">
                  <c:v>521971.09605465911</c:v>
                </c:pt>
                <c:pt idx="2796">
                  <c:v>525012.58297286346</c:v>
                </c:pt>
                <c:pt idx="2797">
                  <c:v>533141.0407859392</c:v>
                </c:pt>
                <c:pt idx="2798">
                  <c:v>534643.22713365138</c:v>
                </c:pt>
                <c:pt idx="2799">
                  <c:v>532440.65214785794</c:v>
                </c:pt>
                <c:pt idx="2800">
                  <c:v>539076.00494465826</c:v>
                </c:pt>
                <c:pt idx="2801">
                  <c:v>546737.47845890187</c:v>
                </c:pt>
                <c:pt idx="2802">
                  <c:v>544449.81904109777</c:v>
                </c:pt>
                <c:pt idx="2803">
                  <c:v>544438.91786477144</c:v>
                </c:pt>
                <c:pt idx="2804">
                  <c:v>540711.29303830105</c:v>
                </c:pt>
                <c:pt idx="2805">
                  <c:v>529683.88222714257</c:v>
                </c:pt>
                <c:pt idx="2806">
                  <c:v>531455.50387959811</c:v>
                </c:pt>
                <c:pt idx="2807">
                  <c:v>513211.27943176188</c:v>
                </c:pt>
                <c:pt idx="2808">
                  <c:v>508671.36192573997</c:v>
                </c:pt>
                <c:pt idx="2809">
                  <c:v>508068.2022107988</c:v>
                </c:pt>
                <c:pt idx="2810">
                  <c:v>486039.66081299802</c:v>
                </c:pt>
                <c:pt idx="2811">
                  <c:v>485768.13720483705</c:v>
                </c:pt>
                <c:pt idx="2812">
                  <c:v>485548.01720979105</c:v>
                </c:pt>
                <c:pt idx="2813">
                  <c:v>484317.24858845089</c:v>
                </c:pt>
                <c:pt idx="2814">
                  <c:v>484499.93382344878</c:v>
                </c:pt>
                <c:pt idx="2815">
                  <c:v>491857.32362255087</c:v>
                </c:pt>
                <c:pt idx="2816">
                  <c:v>492622.6461999499</c:v>
                </c:pt>
                <c:pt idx="2817">
                  <c:v>493186.84442004486</c:v>
                </c:pt>
                <c:pt idx="2818">
                  <c:v>499571.82470170193</c:v>
                </c:pt>
                <c:pt idx="2819">
                  <c:v>506251.34905799804</c:v>
                </c:pt>
                <c:pt idx="2820">
                  <c:v>511675.51334972412</c:v>
                </c:pt>
                <c:pt idx="2821">
                  <c:v>510204.99557444669</c:v>
                </c:pt>
                <c:pt idx="2822">
                  <c:v>507866.83293617406</c:v>
                </c:pt>
                <c:pt idx="2823">
                  <c:v>505299.00235063711</c:v>
                </c:pt>
                <c:pt idx="2824">
                  <c:v>497746.51847395935</c:v>
                </c:pt>
                <c:pt idx="2825">
                  <c:v>497655.56967166695</c:v>
                </c:pt>
                <c:pt idx="2826">
                  <c:v>513781.50747811247</c:v>
                </c:pt>
                <c:pt idx="2827">
                  <c:v>512717.58206934156</c:v>
                </c:pt>
                <c:pt idx="2828">
                  <c:v>507146.78629248991</c:v>
                </c:pt>
                <c:pt idx="2829">
                  <c:v>518747.32413212984</c:v>
                </c:pt>
                <c:pt idx="2830">
                  <c:v>516719.38935672125</c:v>
                </c:pt>
                <c:pt idx="2831">
                  <c:v>509365.65995909926</c:v>
                </c:pt>
                <c:pt idx="2832">
                  <c:v>515321.90212526411</c:v>
                </c:pt>
                <c:pt idx="2833">
                  <c:v>512719.88649802899</c:v>
                </c:pt>
                <c:pt idx="2834">
                  <c:v>533075.06481305533</c:v>
                </c:pt>
                <c:pt idx="2835">
                  <c:v>532332.47119836556</c:v>
                </c:pt>
                <c:pt idx="2836">
                  <c:v>532858.76748519752</c:v>
                </c:pt>
                <c:pt idx="2837">
                  <c:v>533512.88629111578</c:v>
                </c:pt>
                <c:pt idx="2838">
                  <c:v>527308.66557390825</c:v>
                </c:pt>
                <c:pt idx="2839">
                  <c:v>510211.57252400235</c:v>
                </c:pt>
                <c:pt idx="2840">
                  <c:v>514227.40750036796</c:v>
                </c:pt>
                <c:pt idx="2841">
                  <c:v>512312.31859495351</c:v>
                </c:pt>
                <c:pt idx="2842">
                  <c:v>504136.05221930234</c:v>
                </c:pt>
                <c:pt idx="2843">
                  <c:v>514442.03164501791</c:v>
                </c:pt>
                <c:pt idx="2844">
                  <c:v>515551.79487852257</c:v>
                </c:pt>
                <c:pt idx="2845">
                  <c:v>516286.8757063236</c:v>
                </c:pt>
                <c:pt idx="2846">
                  <c:v>518996.64147656242</c:v>
                </c:pt>
                <c:pt idx="2847">
                  <c:v>522322.97907974751</c:v>
                </c:pt>
                <c:pt idx="2848">
                  <c:v>517720.19758711831</c:v>
                </c:pt>
                <c:pt idx="2849">
                  <c:v>518284.46096623648</c:v>
                </c:pt>
                <c:pt idx="2850">
                  <c:v>517938.20696175512</c:v>
                </c:pt>
                <c:pt idx="2851">
                  <c:v>520008.43297677051</c:v>
                </c:pt>
                <c:pt idx="2852">
                  <c:v>524190.16018068854</c:v>
                </c:pt>
                <c:pt idx="2853">
                  <c:v>523645.42299607792</c:v>
                </c:pt>
                <c:pt idx="2854">
                  <c:v>526431.009763023</c:v>
                </c:pt>
                <c:pt idx="2855">
                  <c:v>534428.18734215305</c:v>
                </c:pt>
                <c:pt idx="2856">
                  <c:v>525960.94107336714</c:v>
                </c:pt>
                <c:pt idx="2857">
                  <c:v>530257.18133506202</c:v>
                </c:pt>
                <c:pt idx="2858">
                  <c:v>531824.8409973525</c:v>
                </c:pt>
                <c:pt idx="2859">
                  <c:v>534852.16297105153</c:v>
                </c:pt>
                <c:pt idx="2860">
                  <c:v>544343.5920155003</c:v>
                </c:pt>
                <c:pt idx="2861">
                  <c:v>570810.62054264161</c:v>
                </c:pt>
                <c:pt idx="2862">
                  <c:v>571265.67065806442</c:v>
                </c:pt>
                <c:pt idx="2863">
                  <c:v>571723.25183865055</c:v>
                </c:pt>
                <c:pt idx="2864">
                  <c:v>571562.50258998654</c:v>
                </c:pt>
                <c:pt idx="2865">
                  <c:v>573806.78496292036</c:v>
                </c:pt>
                <c:pt idx="2866">
                  <c:v>568477.55952760472</c:v>
                </c:pt>
                <c:pt idx="2867">
                  <c:v>566349.19697092974</c:v>
                </c:pt>
                <c:pt idx="2868">
                  <c:v>569760.42072938068</c:v>
                </c:pt>
                <c:pt idx="2869">
                  <c:v>573193.6253314123</c:v>
                </c:pt>
                <c:pt idx="2870">
                  <c:v>572973.27271601011</c:v>
                </c:pt>
                <c:pt idx="2871">
                  <c:v>576387.75661159342</c:v>
                </c:pt>
                <c:pt idx="2872">
                  <c:v>576529.74304138182</c:v>
                </c:pt>
                <c:pt idx="2873">
                  <c:v>572204.68507579109</c:v>
                </c:pt>
                <c:pt idx="2874">
                  <c:v>570380.29159594292</c:v>
                </c:pt>
                <c:pt idx="2875">
                  <c:v>554612.62448504998</c:v>
                </c:pt>
                <c:pt idx="2876">
                  <c:v>558380.28289111122</c:v>
                </c:pt>
                <c:pt idx="2877">
                  <c:v>564055.21629957226</c:v>
                </c:pt>
                <c:pt idx="2878">
                  <c:v>562692.84378303424</c:v>
                </c:pt>
                <c:pt idx="2879">
                  <c:v>561753.60071210354</c:v>
                </c:pt>
                <c:pt idx="2880">
                  <c:v>566528.39580219635</c:v>
                </c:pt>
                <c:pt idx="2881">
                  <c:v>567058.59281475132</c:v>
                </c:pt>
                <c:pt idx="2882">
                  <c:v>577172.44759283634</c:v>
                </c:pt>
                <c:pt idx="2883">
                  <c:v>574601.17285588116</c:v>
                </c:pt>
                <c:pt idx="2884">
                  <c:v>580296.83794661809</c:v>
                </c:pt>
                <c:pt idx="2885">
                  <c:v>577288.38442845736</c:v>
                </c:pt>
                <c:pt idx="2886">
                  <c:v>577861.87041351374</c:v>
                </c:pt>
                <c:pt idx="2887">
                  <c:v>569972.25686451886</c:v>
                </c:pt>
                <c:pt idx="2888">
                  <c:v>570482.31195828028</c:v>
                </c:pt>
                <c:pt idx="2889">
                  <c:v>598540.85670952254</c:v>
                </c:pt>
                <c:pt idx="2890">
                  <c:v>598751.09587409836</c:v>
                </c:pt>
                <c:pt idx="2891">
                  <c:v>595268.26257492346</c:v>
                </c:pt>
                <c:pt idx="2892">
                  <c:v>539843.48806572752</c:v>
                </c:pt>
                <c:pt idx="2893">
                  <c:v>531696.32818108622</c:v>
                </c:pt>
                <c:pt idx="2894">
                  <c:v>536196.64465248678</c:v>
                </c:pt>
                <c:pt idx="2895">
                  <c:v>536444.89440768689</c:v>
                </c:pt>
                <c:pt idx="2896">
                  <c:v>542893.72620248061</c:v>
                </c:pt>
                <c:pt idx="2897">
                  <c:v>540108.49902878446</c:v>
                </c:pt>
                <c:pt idx="2898">
                  <c:v>542236.28393504501</c:v>
                </c:pt>
                <c:pt idx="2899">
                  <c:v>537943.45696990716</c:v>
                </c:pt>
                <c:pt idx="2900">
                  <c:v>541244.26865365054</c:v>
                </c:pt>
                <c:pt idx="2901">
                  <c:v>537931.29803265014</c:v>
                </c:pt>
                <c:pt idx="2902">
                  <c:v>536455.60119656881</c:v>
                </c:pt>
                <c:pt idx="2903">
                  <c:v>536724.38843776355</c:v>
                </c:pt>
                <c:pt idx="2904">
                  <c:v>540070.83034656313</c:v>
                </c:pt>
                <c:pt idx="2905">
                  <c:v>550181.96484895737</c:v>
                </c:pt>
                <c:pt idx="2906">
                  <c:v>549735.49913258257</c:v>
                </c:pt>
                <c:pt idx="2907">
                  <c:v>549469.0923739284</c:v>
                </c:pt>
                <c:pt idx="2908">
                  <c:v>550702.2540209716</c:v>
                </c:pt>
                <c:pt idx="2909">
                  <c:v>552444.67248876812</c:v>
                </c:pt>
                <c:pt idx="2910">
                  <c:v>550949.68927908409</c:v>
                </c:pt>
                <c:pt idx="2911">
                  <c:v>553355.13620714366</c:v>
                </c:pt>
                <c:pt idx="2912">
                  <c:v>557232.96464613394</c:v>
                </c:pt>
                <c:pt idx="2913">
                  <c:v>556758.2973598442</c:v>
                </c:pt>
                <c:pt idx="2914">
                  <c:v>555544.3604266945</c:v>
                </c:pt>
                <c:pt idx="2915">
                  <c:v>558360.47938205081</c:v>
                </c:pt>
                <c:pt idx="2916">
                  <c:v>566812.35095220117</c:v>
                </c:pt>
                <c:pt idx="2917">
                  <c:v>566656.39498039929</c:v>
                </c:pt>
                <c:pt idx="2918">
                  <c:v>574927.37543248816</c:v>
                </c:pt>
                <c:pt idx="2919">
                  <c:v>582526.38291716308</c:v>
                </c:pt>
                <c:pt idx="2920">
                  <c:v>581753.96695777704</c:v>
                </c:pt>
                <c:pt idx="2921">
                  <c:v>587417.08366064413</c:v>
                </c:pt>
                <c:pt idx="2922">
                  <c:v>583220.94742543064</c:v>
                </c:pt>
                <c:pt idx="2923">
                  <c:v>588094.90197363333</c:v>
                </c:pt>
                <c:pt idx="2924">
                  <c:v>583089.14193740732</c:v>
                </c:pt>
                <c:pt idx="2925">
                  <c:v>574128.26133857656</c:v>
                </c:pt>
                <c:pt idx="2926">
                  <c:v>568104.73960531608</c:v>
                </c:pt>
                <c:pt idx="2927">
                  <c:v>573050.3592002769</c:v>
                </c:pt>
                <c:pt idx="2928">
                  <c:v>578759.99163582106</c:v>
                </c:pt>
                <c:pt idx="2929">
                  <c:v>580291.10927223635</c:v>
                </c:pt>
                <c:pt idx="2930">
                  <c:v>579516.80325998878</c:v>
                </c:pt>
                <c:pt idx="2931">
                  <c:v>576365.44117526442</c:v>
                </c:pt>
                <c:pt idx="2932">
                  <c:v>580119.61831121473</c:v>
                </c:pt>
                <c:pt idx="2933">
                  <c:v>577659.04186092771</c:v>
                </c:pt>
                <c:pt idx="2934">
                  <c:v>574061.47906615108</c:v>
                </c:pt>
                <c:pt idx="2935">
                  <c:v>573702.52760077221</c:v>
                </c:pt>
                <c:pt idx="2936">
                  <c:v>575414.34608325432</c:v>
                </c:pt>
                <c:pt idx="2937">
                  <c:v>583712.67540210031</c:v>
                </c:pt>
                <c:pt idx="2938">
                  <c:v>586487.21728222538</c:v>
                </c:pt>
                <c:pt idx="2939">
                  <c:v>586935.43730305822</c:v>
                </c:pt>
                <c:pt idx="2940">
                  <c:v>584911.14778750751</c:v>
                </c:pt>
                <c:pt idx="2941">
                  <c:v>589478.32812650607</c:v>
                </c:pt>
                <c:pt idx="2942">
                  <c:v>589961.61730034463</c:v>
                </c:pt>
                <c:pt idx="2943">
                  <c:v>590501.31320436182</c:v>
                </c:pt>
                <c:pt idx="2944">
                  <c:v>601046.85938201193</c:v>
                </c:pt>
                <c:pt idx="2945">
                  <c:v>600040.85735474061</c:v>
                </c:pt>
                <c:pt idx="2946">
                  <c:v>591224.97040698538</c:v>
                </c:pt>
                <c:pt idx="2947">
                  <c:v>589722.89640469791</c:v>
                </c:pt>
                <c:pt idx="2948">
                  <c:v>591263.58407639829</c:v>
                </c:pt>
                <c:pt idx="2949">
                  <c:v>590201.74769867538</c:v>
                </c:pt>
                <c:pt idx="2950">
                  <c:v>575800.87530954392</c:v>
                </c:pt>
                <c:pt idx="2951">
                  <c:v>585727.70825725945</c:v>
                </c:pt>
                <c:pt idx="2952">
                  <c:v>587910.23248018464</c:v>
                </c:pt>
                <c:pt idx="2953">
                  <c:v>587558.87373186101</c:v>
                </c:pt>
                <c:pt idx="2954">
                  <c:v>586663.34201977693</c:v>
                </c:pt>
                <c:pt idx="2955">
                  <c:v>584341.06994275481</c:v>
                </c:pt>
                <c:pt idx="2956">
                  <c:v>581336.99123847578</c:v>
                </c:pt>
                <c:pt idx="2957">
                  <c:v>585779.60744490032</c:v>
                </c:pt>
                <c:pt idx="2958">
                  <c:v>588143.98658033309</c:v>
                </c:pt>
                <c:pt idx="2959">
                  <c:v>587896.07947812718</c:v>
                </c:pt>
                <c:pt idx="2960">
                  <c:v>591643.26199559623</c:v>
                </c:pt>
                <c:pt idx="2961">
                  <c:v>586273.20031549805</c:v>
                </c:pt>
                <c:pt idx="2962">
                  <c:v>583730.97429824865</c:v>
                </c:pt>
                <c:pt idx="2963">
                  <c:v>578726.81094908796</c:v>
                </c:pt>
                <c:pt idx="2964">
                  <c:v>575855.29609913076</c:v>
                </c:pt>
                <c:pt idx="2965">
                  <c:v>565322.62851105398</c:v>
                </c:pt>
                <c:pt idx="2966">
                  <c:v>547507.31673490384</c:v>
                </c:pt>
                <c:pt idx="2967">
                  <c:v>560405.2061816731</c:v>
                </c:pt>
                <c:pt idx="2968">
                  <c:v>558075.63716638356</c:v>
                </c:pt>
                <c:pt idx="2969">
                  <c:v>556058.03577348636</c:v>
                </c:pt>
                <c:pt idx="2970">
                  <c:v>552036.33981415443</c:v>
                </c:pt>
                <c:pt idx="2971">
                  <c:v>555010.94854742719</c:v>
                </c:pt>
                <c:pt idx="2972">
                  <c:v>534567.25543894968</c:v>
                </c:pt>
                <c:pt idx="2973">
                  <c:v>531485.32537484809</c:v>
                </c:pt>
                <c:pt idx="2974">
                  <c:v>534950.97838424332</c:v>
                </c:pt>
                <c:pt idx="2975">
                  <c:v>530963.3823909167</c:v>
                </c:pt>
                <c:pt idx="2976">
                  <c:v>528490.32223268028</c:v>
                </c:pt>
                <c:pt idx="2977">
                  <c:v>537049.11543322878</c:v>
                </c:pt>
                <c:pt idx="2978">
                  <c:v>537238.29825702403</c:v>
                </c:pt>
                <c:pt idx="2979">
                  <c:v>536955.07535796484</c:v>
                </c:pt>
                <c:pt idx="2980">
                  <c:v>536973.80857608758</c:v>
                </c:pt>
                <c:pt idx="2981">
                  <c:v>544481.05021342332</c:v>
                </c:pt>
                <c:pt idx="2982">
                  <c:v>542417.31630776695</c:v>
                </c:pt>
                <c:pt idx="2983">
                  <c:v>547487.42047926318</c:v>
                </c:pt>
                <c:pt idx="2984">
                  <c:v>542982.0587289118</c:v>
                </c:pt>
                <c:pt idx="2985">
                  <c:v>532460.52686562226</c:v>
                </c:pt>
                <c:pt idx="2986">
                  <c:v>524908.75812040514</c:v>
                </c:pt>
                <c:pt idx="2987">
                  <c:v>515415.85347025248</c:v>
                </c:pt>
                <c:pt idx="2988">
                  <c:v>513440.7863925228</c:v>
                </c:pt>
                <c:pt idx="2989">
                  <c:v>515538.83972894948</c:v>
                </c:pt>
                <c:pt idx="2990">
                  <c:v>513549.88280738483</c:v>
                </c:pt>
                <c:pt idx="2991">
                  <c:v>510753.34168320621</c:v>
                </c:pt>
                <c:pt idx="2992">
                  <c:v>514593.98443924426</c:v>
                </c:pt>
                <c:pt idx="2993">
                  <c:v>518121.49534136656</c:v>
                </c:pt>
                <c:pt idx="2994">
                  <c:v>512318.52586476033</c:v>
                </c:pt>
                <c:pt idx="2995">
                  <c:v>503200.95330532081</c:v>
                </c:pt>
                <c:pt idx="2996">
                  <c:v>502402.76726866484</c:v>
                </c:pt>
                <c:pt idx="2997">
                  <c:v>502189.57682383055</c:v>
                </c:pt>
                <c:pt idx="2998">
                  <c:v>496969.67732199386</c:v>
                </c:pt>
                <c:pt idx="2999">
                  <c:v>499754.10011551291</c:v>
                </c:pt>
                <c:pt idx="3000">
                  <c:v>497987.05534784991</c:v>
                </c:pt>
                <c:pt idx="3001">
                  <c:v>491381.99617338419</c:v>
                </c:pt>
                <c:pt idx="3002">
                  <c:v>491756.12779243558</c:v>
                </c:pt>
                <c:pt idx="3003">
                  <c:v>491353.79361479403</c:v>
                </c:pt>
                <c:pt idx="3004">
                  <c:v>492443.35695341631</c:v>
                </c:pt>
                <c:pt idx="3005">
                  <c:v>499253.78570831864</c:v>
                </c:pt>
                <c:pt idx="3006">
                  <c:v>504661.49799952802</c:v>
                </c:pt>
                <c:pt idx="3007">
                  <c:v>500731.17558492318</c:v>
                </c:pt>
                <c:pt idx="3008">
                  <c:v>494066.15145780641</c:v>
                </c:pt>
                <c:pt idx="3009">
                  <c:v>506810.88277353148</c:v>
                </c:pt>
                <c:pt idx="3010">
                  <c:v>505057.94737924868</c:v>
                </c:pt>
                <c:pt idx="3011">
                  <c:v>507052.91932775883</c:v>
                </c:pt>
                <c:pt idx="3012">
                  <c:v>501203.41575274186</c:v>
                </c:pt>
                <c:pt idx="3013">
                  <c:v>504368.18349002849</c:v>
                </c:pt>
                <c:pt idx="3014">
                  <c:v>510372.44113969099</c:v>
                </c:pt>
                <c:pt idx="3015">
                  <c:v>516646.70266094385</c:v>
                </c:pt>
                <c:pt idx="3016">
                  <c:v>518063.21396300307</c:v>
                </c:pt>
                <c:pt idx="3017">
                  <c:v>520688.43819341087</c:v>
                </c:pt>
                <c:pt idx="3018">
                  <c:v>520757.90836145467</c:v>
                </c:pt>
                <c:pt idx="3019">
                  <c:v>521235.64702491678</c:v>
                </c:pt>
                <c:pt idx="3020">
                  <c:v>519623.09967172478</c:v>
                </c:pt>
                <c:pt idx="3021">
                  <c:v>521285.16297440446</c:v>
                </c:pt>
                <c:pt idx="3022">
                  <c:v>520493.01787044987</c:v>
                </c:pt>
                <c:pt idx="3023">
                  <c:v>512513.97200242343</c:v>
                </c:pt>
                <c:pt idx="3024">
                  <c:v>511710.80846200819</c:v>
                </c:pt>
                <c:pt idx="3025">
                  <c:v>510615.49689453555</c:v>
                </c:pt>
                <c:pt idx="3026">
                  <c:v>527083.77235391783</c:v>
                </c:pt>
                <c:pt idx="3027">
                  <c:v>540250.04671664175</c:v>
                </c:pt>
                <c:pt idx="3028">
                  <c:v>538722.0184980724</c:v>
                </c:pt>
                <c:pt idx="3029">
                  <c:v>545877.69150873017</c:v>
                </c:pt>
                <c:pt idx="3030">
                  <c:v>590938.18614085217</c:v>
                </c:pt>
                <c:pt idx="3031">
                  <c:v>590938.18614085217</c:v>
                </c:pt>
                <c:pt idx="3032">
                  <c:v>590938.18614085217</c:v>
                </c:pt>
                <c:pt idx="3033">
                  <c:v>590810.77554294805</c:v>
                </c:pt>
                <c:pt idx="3034">
                  <c:v>596540.77088802308</c:v>
                </c:pt>
                <c:pt idx="3035">
                  <c:v>594727.73195341043</c:v>
                </c:pt>
                <c:pt idx="3036">
                  <c:v>593333.88467894972</c:v>
                </c:pt>
                <c:pt idx="3037">
                  <c:v>576478.17673260474</c:v>
                </c:pt>
                <c:pt idx="3038">
                  <c:v>558241.3609785235</c:v>
                </c:pt>
                <c:pt idx="3039">
                  <c:v>568878.1783513407</c:v>
                </c:pt>
                <c:pt idx="3040">
                  <c:v>571202.31903277722</c:v>
                </c:pt>
                <c:pt idx="3041">
                  <c:v>569379.23073694296</c:v>
                </c:pt>
                <c:pt idx="3042">
                  <c:v>562810.05926889263</c:v>
                </c:pt>
                <c:pt idx="3043">
                  <c:v>560643.05309521023</c:v>
                </c:pt>
                <c:pt idx="3044">
                  <c:v>561710.0162351703</c:v>
                </c:pt>
                <c:pt idx="3045">
                  <c:v>560840.62600151903</c:v>
                </c:pt>
                <c:pt idx="3046">
                  <c:v>570943.64328933915</c:v>
                </c:pt>
                <c:pt idx="3047">
                  <c:v>572403.65975468955</c:v>
                </c:pt>
                <c:pt idx="3048">
                  <c:v>569257.45376057795</c:v>
                </c:pt>
                <c:pt idx="3049">
                  <c:v>568053.33419157634</c:v>
                </c:pt>
                <c:pt idx="3050">
                  <c:v>571886.96828954387</c:v>
                </c:pt>
                <c:pt idx="3051">
                  <c:v>563630.41129283048</c:v>
                </c:pt>
                <c:pt idx="3052">
                  <c:v>565234.36402740981</c:v>
                </c:pt>
                <c:pt idx="3053">
                  <c:v>565215.74710640148</c:v>
                </c:pt>
                <c:pt idx="3054">
                  <c:v>564316.65782056667</c:v>
                </c:pt>
                <c:pt idx="3055">
                  <c:v>556755.59248592542</c:v>
                </c:pt>
                <c:pt idx="3056">
                  <c:v>554228.48917638743</c:v>
                </c:pt>
                <c:pt idx="3057">
                  <c:v>554991.60877666029</c:v>
                </c:pt>
                <c:pt idx="3058">
                  <c:v>554915.52027823403</c:v>
                </c:pt>
                <c:pt idx="3059">
                  <c:v>561528.96416913054</c:v>
                </c:pt>
                <c:pt idx="3060">
                  <c:v>560954.92205110891</c:v>
                </c:pt>
                <c:pt idx="3061">
                  <c:v>558062.60736302193</c:v>
                </c:pt>
                <c:pt idx="3062">
                  <c:v>564064.92596657597</c:v>
                </c:pt>
                <c:pt idx="3063">
                  <c:v>561315.49733349169</c:v>
                </c:pt>
                <c:pt idx="3064">
                  <c:v>566631.52636584605</c:v>
                </c:pt>
                <c:pt idx="3065">
                  <c:v>558238.93342553137</c:v>
                </c:pt>
                <c:pt idx="3066">
                  <c:v>558032.03169221035</c:v>
                </c:pt>
                <c:pt idx="3067">
                  <c:v>552446.33003024152</c:v>
                </c:pt>
                <c:pt idx="3068">
                  <c:v>556397.61945785768</c:v>
                </c:pt>
                <c:pt idx="3069">
                  <c:v>557829.62926469697</c:v>
                </c:pt>
                <c:pt idx="3070">
                  <c:v>565341.82424593682</c:v>
                </c:pt>
                <c:pt idx="3071">
                  <c:v>558242.08147468616</c:v>
                </c:pt>
                <c:pt idx="3072">
                  <c:v>542484.0386049361</c:v>
                </c:pt>
                <c:pt idx="3073">
                  <c:v>543628.93491738453</c:v>
                </c:pt>
                <c:pt idx="3074">
                  <c:v>542298.35599001776</c:v>
                </c:pt>
                <c:pt idx="3075">
                  <c:v>541907.22185569687</c:v>
                </c:pt>
                <c:pt idx="3076">
                  <c:v>537492.13503608992</c:v>
                </c:pt>
                <c:pt idx="3077">
                  <c:v>536105.56103580492</c:v>
                </c:pt>
                <c:pt idx="3078">
                  <c:v>514614.29837071756</c:v>
                </c:pt>
                <c:pt idx="3079">
                  <c:v>502906.94282191026</c:v>
                </c:pt>
                <c:pt idx="3080">
                  <c:v>505179.56496840273</c:v>
                </c:pt>
                <c:pt idx="3081">
                  <c:v>500775.31360553432</c:v>
                </c:pt>
                <c:pt idx="3082">
                  <c:v>503465.79681568383</c:v>
                </c:pt>
                <c:pt idx="3083">
                  <c:v>503070.0360879142</c:v>
                </c:pt>
                <c:pt idx="3084">
                  <c:v>503846.82558767183</c:v>
                </c:pt>
                <c:pt idx="3085">
                  <c:v>490764.11750817014</c:v>
                </c:pt>
                <c:pt idx="3086">
                  <c:v>485385.16738309414</c:v>
                </c:pt>
                <c:pt idx="3087">
                  <c:v>476019.02283997874</c:v>
                </c:pt>
                <c:pt idx="3088">
                  <c:v>482582.93950741168</c:v>
                </c:pt>
                <c:pt idx="3089">
                  <c:v>502501.31411027501</c:v>
                </c:pt>
                <c:pt idx="3090">
                  <c:v>501599.65429239452</c:v>
                </c:pt>
                <c:pt idx="3091">
                  <c:v>501440.80236261652</c:v>
                </c:pt>
                <c:pt idx="3092">
                  <c:v>495205.25421561347</c:v>
                </c:pt>
                <c:pt idx="3093">
                  <c:v>484884.17677136179</c:v>
                </c:pt>
                <c:pt idx="3094">
                  <c:v>488376.21432816068</c:v>
                </c:pt>
                <c:pt idx="3095">
                  <c:v>489403.49305453472</c:v>
                </c:pt>
                <c:pt idx="3096">
                  <c:v>487122.59499740839</c:v>
                </c:pt>
                <c:pt idx="3097">
                  <c:v>487775.86179991544</c:v>
                </c:pt>
                <c:pt idx="3098">
                  <c:v>487782.31873280281</c:v>
                </c:pt>
                <c:pt idx="3099">
                  <c:v>487693.5830255418</c:v>
                </c:pt>
                <c:pt idx="3100">
                  <c:v>485890.83676653582</c:v>
                </c:pt>
                <c:pt idx="3101">
                  <c:v>486502.85688237246</c:v>
                </c:pt>
                <c:pt idx="3102">
                  <c:v>486463.35870109242</c:v>
                </c:pt>
                <c:pt idx="3103">
                  <c:v>484556.41833076719</c:v>
                </c:pt>
                <c:pt idx="3104">
                  <c:v>480563.23733930924</c:v>
                </c:pt>
                <c:pt idx="3105">
                  <c:v>479155.79653602903</c:v>
                </c:pt>
                <c:pt idx="3106">
                  <c:v>490816.96050708712</c:v>
                </c:pt>
                <c:pt idx="3107">
                  <c:v>507962.98914580198</c:v>
                </c:pt>
                <c:pt idx="3108">
                  <c:v>502316.89553240751</c:v>
                </c:pt>
                <c:pt idx="3109">
                  <c:v>509209.41780404293</c:v>
                </c:pt>
                <c:pt idx="3110">
                  <c:v>505762.85458892334</c:v>
                </c:pt>
                <c:pt idx="3111">
                  <c:v>509212.69172448415</c:v>
                </c:pt>
                <c:pt idx="3112">
                  <c:v>504936.66155223217</c:v>
                </c:pt>
                <c:pt idx="3113">
                  <c:v>510158.18684949743</c:v>
                </c:pt>
                <c:pt idx="3114">
                  <c:v>526512.01272465813</c:v>
                </c:pt>
                <c:pt idx="3115">
                  <c:v>518825.82675908582</c:v>
                </c:pt>
                <c:pt idx="3116">
                  <c:v>515333.55549642909</c:v>
                </c:pt>
                <c:pt idx="3117">
                  <c:v>504223.97028606676</c:v>
                </c:pt>
                <c:pt idx="3118">
                  <c:v>517796.61267259612</c:v>
                </c:pt>
                <c:pt idx="3119">
                  <c:v>518381.55193263059</c:v>
                </c:pt>
                <c:pt idx="3120">
                  <c:v>522747.55875933031</c:v>
                </c:pt>
                <c:pt idx="3121">
                  <c:v>503173.55049172958</c:v>
                </c:pt>
                <c:pt idx="3122">
                  <c:v>496905.78770441061</c:v>
                </c:pt>
                <c:pt idx="3123">
                  <c:v>497895.2886450066</c:v>
                </c:pt>
                <c:pt idx="3124">
                  <c:v>497602.06632889574</c:v>
                </c:pt>
                <c:pt idx="3125">
                  <c:v>490592.43268550275</c:v>
                </c:pt>
                <c:pt idx="3126">
                  <c:v>498521.75390293414</c:v>
                </c:pt>
                <c:pt idx="3127">
                  <c:v>494166.34166387696</c:v>
                </c:pt>
                <c:pt idx="3128">
                  <c:v>493642.29392723955</c:v>
                </c:pt>
                <c:pt idx="3129">
                  <c:v>492924.3540050413</c:v>
                </c:pt>
                <c:pt idx="3130">
                  <c:v>485222.92871452874</c:v>
                </c:pt>
                <c:pt idx="3131">
                  <c:v>491760.48205726082</c:v>
                </c:pt>
                <c:pt idx="3132">
                  <c:v>499928.33055984962</c:v>
                </c:pt>
                <c:pt idx="3133">
                  <c:v>511772.33014063543</c:v>
                </c:pt>
                <c:pt idx="3134">
                  <c:v>477965.23600751918</c:v>
                </c:pt>
                <c:pt idx="3135">
                  <c:v>478663.90680411755</c:v>
                </c:pt>
                <c:pt idx="3136">
                  <c:v>474623.95483629173</c:v>
                </c:pt>
                <c:pt idx="3137">
                  <c:v>474071.50677770987</c:v>
                </c:pt>
                <c:pt idx="3138">
                  <c:v>474149.8304290559</c:v>
                </c:pt>
                <c:pt idx="3139">
                  <c:v>474763.02108500851</c:v>
                </c:pt>
                <c:pt idx="3140">
                  <c:v>476722.19413961872</c:v>
                </c:pt>
                <c:pt idx="3141">
                  <c:v>481599.56865466572</c:v>
                </c:pt>
                <c:pt idx="3142">
                  <c:v>469780.10819630069</c:v>
                </c:pt>
                <c:pt idx="3143">
                  <c:v>471345.29880400334</c:v>
                </c:pt>
                <c:pt idx="3144">
                  <c:v>470037.19522189733</c:v>
                </c:pt>
                <c:pt idx="3145">
                  <c:v>466972.39750193723</c:v>
                </c:pt>
                <c:pt idx="3146">
                  <c:v>482714.29533567157</c:v>
                </c:pt>
                <c:pt idx="3147">
                  <c:v>480142.58660030598</c:v>
                </c:pt>
                <c:pt idx="3148">
                  <c:v>488692.21931368386</c:v>
                </c:pt>
                <c:pt idx="3149">
                  <c:v>477556.35541933298</c:v>
                </c:pt>
                <c:pt idx="3150">
                  <c:v>478113.23382557399</c:v>
                </c:pt>
                <c:pt idx="3151">
                  <c:v>478196.09019598045</c:v>
                </c:pt>
                <c:pt idx="3152">
                  <c:v>476872.49046412238</c:v>
                </c:pt>
                <c:pt idx="3153">
                  <c:v>480634.01566528121</c:v>
                </c:pt>
                <c:pt idx="3154">
                  <c:v>477925.1126075291</c:v>
                </c:pt>
                <c:pt idx="3155">
                  <c:v>477165.71250829636</c:v>
                </c:pt>
                <c:pt idx="3156">
                  <c:v>470602.17529014841</c:v>
                </c:pt>
                <c:pt idx="3157">
                  <c:v>471182.49088080926</c:v>
                </c:pt>
                <c:pt idx="3158">
                  <c:v>473374.25569826807</c:v>
                </c:pt>
                <c:pt idx="3159">
                  <c:v>470964.65347233776</c:v>
                </c:pt>
                <c:pt idx="3160">
                  <c:v>473533.81617647107</c:v>
                </c:pt>
                <c:pt idx="3161">
                  <c:v>484415.76066252933</c:v>
                </c:pt>
                <c:pt idx="3162">
                  <c:v>484401.3523501429</c:v>
                </c:pt>
                <c:pt idx="3163">
                  <c:v>498201.33317982714</c:v>
                </c:pt>
                <c:pt idx="3164">
                  <c:v>499419.55371764413</c:v>
                </c:pt>
                <c:pt idx="3165">
                  <c:v>502829.34285161784</c:v>
                </c:pt>
                <c:pt idx="3166">
                  <c:v>529489.27137968328</c:v>
                </c:pt>
                <c:pt idx="3167">
                  <c:v>556987.86862636311</c:v>
                </c:pt>
                <c:pt idx="3168">
                  <c:v>629739.64841846935</c:v>
                </c:pt>
                <c:pt idx="3169">
                  <c:v>631131.09332579863</c:v>
                </c:pt>
                <c:pt idx="3170">
                  <c:v>616392.25252182607</c:v>
                </c:pt>
                <c:pt idx="3171">
                  <c:v>641542.858665623</c:v>
                </c:pt>
                <c:pt idx="3172">
                  <c:v>670619.57268913742</c:v>
                </c:pt>
                <c:pt idx="3173">
                  <c:v>619870.57422648522</c:v>
                </c:pt>
                <c:pt idx="3174">
                  <c:v>634270.28391676536</c:v>
                </c:pt>
                <c:pt idx="3175">
                  <c:v>621132.8293152377</c:v>
                </c:pt>
                <c:pt idx="3176">
                  <c:v>657010.35351435177</c:v>
                </c:pt>
                <c:pt idx="3177">
                  <c:v>673043.41993703367</c:v>
                </c:pt>
                <c:pt idx="3178">
                  <c:v>656105.94855871098</c:v>
                </c:pt>
                <c:pt idx="3179">
                  <c:v>664686.46647973894</c:v>
                </c:pt>
                <c:pt idx="3180">
                  <c:v>647689.772115945</c:v>
                </c:pt>
                <c:pt idx="3181">
                  <c:v>678330.30602880451</c:v>
                </c:pt>
                <c:pt idx="3182">
                  <c:v>637040.32741460158</c:v>
                </c:pt>
                <c:pt idx="3183">
                  <c:v>642669.49498768698</c:v>
                </c:pt>
                <c:pt idx="3184">
                  <c:v>635038.43772126071</c:v>
                </c:pt>
                <c:pt idx="3185">
                  <c:v>655972.4420992916</c:v>
                </c:pt>
                <c:pt idx="3186">
                  <c:v>668179.26402495964</c:v>
                </c:pt>
                <c:pt idx="3187">
                  <c:v>668428.03429707349</c:v>
                </c:pt>
                <c:pt idx="3188">
                  <c:v>719701.0661666895</c:v>
                </c:pt>
                <c:pt idx="3189">
                  <c:v>673690.95413222106</c:v>
                </c:pt>
                <c:pt idx="3190">
                  <c:v>657884.61179009988</c:v>
                </c:pt>
                <c:pt idx="3191">
                  <c:v>664078.51845405484</c:v>
                </c:pt>
                <c:pt idx="3192">
                  <c:v>655849.44896110741</c:v>
                </c:pt>
                <c:pt idx="3193">
                  <c:v>644744.38530886848</c:v>
                </c:pt>
                <c:pt idx="3194">
                  <c:v>648973.30119248759</c:v>
                </c:pt>
                <c:pt idx="3195">
                  <c:v>657713.28732968296</c:v>
                </c:pt>
                <c:pt idx="3196">
                  <c:v>626846.29514139798</c:v>
                </c:pt>
                <c:pt idx="3197">
                  <c:v>630803.21118427615</c:v>
                </c:pt>
                <c:pt idx="3198">
                  <c:v>618204.10867731087</c:v>
                </c:pt>
                <c:pt idx="3199">
                  <c:v>632229.88143566088</c:v>
                </c:pt>
                <c:pt idx="3200">
                  <c:v>629305.87829038105</c:v>
                </c:pt>
                <c:pt idx="3201">
                  <c:v>637428.72656347672</c:v>
                </c:pt>
                <c:pt idx="3202">
                  <c:v>650759.48359361396</c:v>
                </c:pt>
                <c:pt idx="3203">
                  <c:v>677063.14793517964</c:v>
                </c:pt>
                <c:pt idx="3204">
                  <c:v>610377.67953089182</c:v>
                </c:pt>
                <c:pt idx="3205">
                  <c:v>579426.51881137246</c:v>
                </c:pt>
                <c:pt idx="3206">
                  <c:v>574453.97568250319</c:v>
                </c:pt>
                <c:pt idx="3207">
                  <c:v>571373.47728301049</c:v>
                </c:pt>
                <c:pt idx="3208">
                  <c:v>569939.59080694988</c:v>
                </c:pt>
                <c:pt idx="3209">
                  <c:v>569402.10813795112</c:v>
                </c:pt>
                <c:pt idx="3210">
                  <c:v>568283.06192611554</c:v>
                </c:pt>
                <c:pt idx="3211">
                  <c:v>571011.06961615128</c:v>
                </c:pt>
                <c:pt idx="3212">
                  <c:v>581129.9283404079</c:v>
                </c:pt>
                <c:pt idx="3213">
                  <c:v>571522.07144509198</c:v>
                </c:pt>
                <c:pt idx="3214">
                  <c:v>575735.46150023316</c:v>
                </c:pt>
                <c:pt idx="3215">
                  <c:v>569820.6714627234</c:v>
                </c:pt>
                <c:pt idx="3216">
                  <c:v>598246.9518017699</c:v>
                </c:pt>
                <c:pt idx="3217">
                  <c:v>607090.51404282346</c:v>
                </c:pt>
                <c:pt idx="3218">
                  <c:v>623804.56130431162</c:v>
                </c:pt>
                <c:pt idx="3219">
                  <c:v>610516.38949414087</c:v>
                </c:pt>
                <c:pt idx="3220">
                  <c:v>615121.58003642911</c:v>
                </c:pt>
                <c:pt idx="3221">
                  <c:v>629972.98580002191</c:v>
                </c:pt>
                <c:pt idx="3222">
                  <c:v>608631.29380706651</c:v>
                </c:pt>
                <c:pt idx="3223">
                  <c:v>581003.50339344167</c:v>
                </c:pt>
                <c:pt idx="3224">
                  <c:v>582411.73437950294</c:v>
                </c:pt>
                <c:pt idx="3225">
                  <c:v>582518.02549333964</c:v>
                </c:pt>
                <c:pt idx="3226">
                  <c:v>586901.72104489105</c:v>
                </c:pt>
                <c:pt idx="3227">
                  <c:v>595338.26821072039</c:v>
                </c:pt>
                <c:pt idx="3228">
                  <c:v>600772.22321010847</c:v>
                </c:pt>
                <c:pt idx="3229">
                  <c:v>601808.1305831779</c:v>
                </c:pt>
                <c:pt idx="3230">
                  <c:v>615126.88615214126</c:v>
                </c:pt>
                <c:pt idx="3231">
                  <c:v>601036.50932751095</c:v>
                </c:pt>
                <c:pt idx="3232">
                  <c:v>604705.65184062975</c:v>
                </c:pt>
                <c:pt idx="3233">
                  <c:v>601656.08231633785</c:v>
                </c:pt>
                <c:pt idx="3234">
                  <c:v>584563.29836098012</c:v>
                </c:pt>
                <c:pt idx="3235">
                  <c:v>586456.91214619321</c:v>
                </c:pt>
                <c:pt idx="3236">
                  <c:v>589913.84977917641</c:v>
                </c:pt>
                <c:pt idx="3237">
                  <c:v>599848.34637147456</c:v>
                </c:pt>
                <c:pt idx="3238">
                  <c:v>599628.51070168836</c:v>
                </c:pt>
                <c:pt idx="3239">
                  <c:v>592471.26807670132</c:v>
                </c:pt>
                <c:pt idx="3240">
                  <c:v>613548.30986409215</c:v>
                </c:pt>
                <c:pt idx="3241">
                  <c:v>627394.08152209094</c:v>
                </c:pt>
                <c:pt idx="3242">
                  <c:v>648914.68629020802</c:v>
                </c:pt>
                <c:pt idx="3243">
                  <c:v>654307.45002965047</c:v>
                </c:pt>
                <c:pt idx="3244">
                  <c:v>664476.65727592446</c:v>
                </c:pt>
                <c:pt idx="3245">
                  <c:v>653794.5015236222</c:v>
                </c:pt>
                <c:pt idx="3246">
                  <c:v>649009.63930199028</c:v>
                </c:pt>
                <c:pt idx="3247">
                  <c:v>654003.2490565714</c:v>
                </c:pt>
                <c:pt idx="3248">
                  <c:v>647917.26014356618</c:v>
                </c:pt>
                <c:pt idx="3249">
                  <c:v>649912.61740206473</c:v>
                </c:pt>
                <c:pt idx="3250">
                  <c:v>656266.51882495708</c:v>
                </c:pt>
                <c:pt idx="3251">
                  <c:v>689059.41422302835</c:v>
                </c:pt>
                <c:pt idx="3252">
                  <c:v>700216.39283202332</c:v>
                </c:pt>
                <c:pt idx="3253">
                  <c:v>773520.92958330689</c:v>
                </c:pt>
                <c:pt idx="3254">
                  <c:v>798555.10711541655</c:v>
                </c:pt>
                <c:pt idx="3255">
                  <c:v>800177.89150307083</c:v>
                </c:pt>
                <c:pt idx="3256">
                  <c:v>819791.08736623393</c:v>
                </c:pt>
                <c:pt idx="3257">
                  <c:v>799174.41242572793</c:v>
                </c:pt>
                <c:pt idx="3258">
                  <c:v>806407.53170720709</c:v>
                </c:pt>
                <c:pt idx="3259">
                  <c:v>872218.79667224479</c:v>
                </c:pt>
                <c:pt idx="3260">
                  <c:v>829393.14224397275</c:v>
                </c:pt>
                <c:pt idx="3261">
                  <c:v>845978.05244769284</c:v>
                </c:pt>
                <c:pt idx="3262">
                  <c:v>857517.26111254341</c:v>
                </c:pt>
                <c:pt idx="3263">
                  <c:v>894787.487855596</c:v>
                </c:pt>
                <c:pt idx="3264">
                  <c:v>886092.82768774102</c:v>
                </c:pt>
                <c:pt idx="3265">
                  <c:v>858155.78365664335</c:v>
                </c:pt>
                <c:pt idx="3266">
                  <c:v>874282.53586159204</c:v>
                </c:pt>
                <c:pt idx="3267">
                  <c:v>898024.52240318689</c:v>
                </c:pt>
                <c:pt idx="3268">
                  <c:v>1043338.8172185753</c:v>
                </c:pt>
                <c:pt idx="3269">
                  <c:v>1087081.9175130767</c:v>
                </c:pt>
                <c:pt idx="3270">
                  <c:v>1079498.5830481846</c:v>
                </c:pt>
                <c:pt idx="3271">
                  <c:v>1072090.6649228279</c:v>
                </c:pt>
                <c:pt idx="3272">
                  <c:v>1036917.4907825663</c:v>
                </c:pt>
                <c:pt idx="3273">
                  <c:v>1051382.7566092757</c:v>
                </c:pt>
                <c:pt idx="3274">
                  <c:v>1118612.896272375</c:v>
                </c:pt>
                <c:pt idx="3275">
                  <c:v>1182289.8222748204</c:v>
                </c:pt>
                <c:pt idx="3276">
                  <c:v>1177986.698407664</c:v>
                </c:pt>
                <c:pt idx="3277">
                  <c:v>1155179.0878340076</c:v>
                </c:pt>
                <c:pt idx="3278">
                  <c:v>1164187.1628133946</c:v>
                </c:pt>
                <c:pt idx="3279">
                  <c:v>1224164.7681044724</c:v>
                </c:pt>
                <c:pt idx="3280">
                  <c:v>1355961.5085211736</c:v>
                </c:pt>
                <c:pt idx="3281">
                  <c:v>1448527.2382787</c:v>
                </c:pt>
                <c:pt idx="3282">
                  <c:v>1483159.0142286418</c:v>
                </c:pt>
                <c:pt idx="3283">
                  <c:v>1578708.704428514</c:v>
                </c:pt>
                <c:pt idx="3284">
                  <c:v>1593619.5638178173</c:v>
                </c:pt>
                <c:pt idx="3285">
                  <c:v>1510138.7181938165</c:v>
                </c:pt>
                <c:pt idx="3286">
                  <c:v>1511134.2189106694</c:v>
                </c:pt>
                <c:pt idx="3287">
                  <c:v>1655119.6654477518</c:v>
                </c:pt>
                <c:pt idx="3288">
                  <c:v>1619026.8613949527</c:v>
                </c:pt>
                <c:pt idx="3289">
                  <c:v>1275161.7947514458</c:v>
                </c:pt>
                <c:pt idx="3290">
                  <c:v>1270449.0929983656</c:v>
                </c:pt>
                <c:pt idx="3291">
                  <c:v>1281115.1601988755</c:v>
                </c:pt>
                <c:pt idx="3292">
                  <c:v>1365512.1806841025</c:v>
                </c:pt>
                <c:pt idx="3293">
                  <c:v>1535689.4969533577</c:v>
                </c:pt>
                <c:pt idx="3294">
                  <c:v>1530650.9637506669</c:v>
                </c:pt>
                <c:pt idx="3295">
                  <c:v>1476506.8855867037</c:v>
                </c:pt>
                <c:pt idx="3296">
                  <c:v>1552586.5561110168</c:v>
                </c:pt>
                <c:pt idx="3297">
                  <c:v>1465626.7497204868</c:v>
                </c:pt>
                <c:pt idx="3298">
                  <c:v>1479733.1334983283</c:v>
                </c:pt>
                <c:pt idx="3299">
                  <c:v>1486210.0746848872</c:v>
                </c:pt>
                <c:pt idx="3300">
                  <c:v>1505648.732431313</c:v>
                </c:pt>
                <c:pt idx="3301">
                  <c:v>1440493.1854682902</c:v>
                </c:pt>
                <c:pt idx="3302">
                  <c:v>1386929.054643946</c:v>
                </c:pt>
                <c:pt idx="3303">
                  <c:v>1365057.561992473</c:v>
                </c:pt>
                <c:pt idx="3304">
                  <c:v>1363086.7537970913</c:v>
                </c:pt>
                <c:pt idx="3305">
                  <c:v>1387181.9043375924</c:v>
                </c:pt>
                <c:pt idx="3306">
                  <c:v>1502600.52023107</c:v>
                </c:pt>
                <c:pt idx="3307">
                  <c:v>1503533.4790760907</c:v>
                </c:pt>
                <c:pt idx="3308">
                  <c:v>1534972.2135847949</c:v>
                </c:pt>
                <c:pt idx="3309">
                  <c:v>1728231.5289275746</c:v>
                </c:pt>
                <c:pt idx="3310">
                  <c:v>2174130.2656075372</c:v>
                </c:pt>
                <c:pt idx="3311">
                  <c:v>2031991.3330798063</c:v>
                </c:pt>
                <c:pt idx="3312">
                  <c:v>2167585.6134095332</c:v>
                </c:pt>
                <c:pt idx="3313">
                  <c:v>2227801.7248615245</c:v>
                </c:pt>
                <c:pt idx="3314">
                  <c:v>2055931.7370520281</c:v>
                </c:pt>
                <c:pt idx="3315">
                  <c:v>2115885.6103795031</c:v>
                </c:pt>
                <c:pt idx="3316">
                  <c:v>2109647.1806587321</c:v>
                </c:pt>
                <c:pt idx="3317">
                  <c:v>2255341.3849272449</c:v>
                </c:pt>
                <c:pt idx="3318">
                  <c:v>2223539.7072399976</c:v>
                </c:pt>
                <c:pt idx="3319">
                  <c:v>2510843.6164104328</c:v>
                </c:pt>
                <c:pt idx="3320">
                  <c:v>2881092.5853074011</c:v>
                </c:pt>
                <c:pt idx="3321">
                  <c:v>2786486.5224684728</c:v>
                </c:pt>
                <c:pt idx="3322">
                  <c:v>2724243.9394640531</c:v>
                </c:pt>
                <c:pt idx="3323">
                  <c:v>2987808.4147600099</c:v>
                </c:pt>
                <c:pt idx="3324">
                  <c:v>3131399.624166043</c:v>
                </c:pt>
                <c:pt idx="3325">
                  <c:v>3226342.5821599979</c:v>
                </c:pt>
                <c:pt idx="3326">
                  <c:v>3782174.667857476</c:v>
                </c:pt>
                <c:pt idx="3327">
                  <c:v>4295726.308756806</c:v>
                </c:pt>
                <c:pt idx="3328">
                  <c:v>3787911.7088583866</c:v>
                </c:pt>
                <c:pt idx="3329">
                  <c:v>3837613.273385792</c:v>
                </c:pt>
                <c:pt idx="3330">
                  <c:v>4436462.8679665094</c:v>
                </c:pt>
                <c:pt idx="3331">
                  <c:v>5653087.8830944225</c:v>
                </c:pt>
                <c:pt idx="3332">
                  <c:v>6214061.3888327088</c:v>
                </c:pt>
                <c:pt idx="3333">
                  <c:v>6203122.7044639597</c:v>
                </c:pt>
                <c:pt idx="3334">
                  <c:v>5889812.6044164645</c:v>
                </c:pt>
                <c:pt idx="3335">
                  <c:v>3814002.0712561021</c:v>
                </c:pt>
                <c:pt idx="3336">
                  <c:v>3814002.0712561021</c:v>
                </c:pt>
                <c:pt idx="3337">
                  <c:v>3996966.5032506101</c:v>
                </c:pt>
                <c:pt idx="3338">
                  <c:v>5142476.6282426463</c:v>
                </c:pt>
                <c:pt idx="3339">
                  <c:v>4109444.9291315442</c:v>
                </c:pt>
                <c:pt idx="3340">
                  <c:v>4218977.7368530035</c:v>
                </c:pt>
                <c:pt idx="3341">
                  <c:v>3840161.2465135939</c:v>
                </c:pt>
                <c:pt idx="3342">
                  <c:v>3947301.1312227994</c:v>
                </c:pt>
                <c:pt idx="3343">
                  <c:v>4122442.0983030405</c:v>
                </c:pt>
                <c:pt idx="3344">
                  <c:v>3423532.4714316647</c:v>
                </c:pt>
                <c:pt idx="3345">
                  <c:v>3224248.68302566</c:v>
                </c:pt>
                <c:pt idx="3346">
                  <c:v>3249024.8192193643</c:v>
                </c:pt>
                <c:pt idx="3347">
                  <c:v>3159682.5260975305</c:v>
                </c:pt>
                <c:pt idx="3348">
                  <c:v>3168400.776249561</c:v>
                </c:pt>
                <c:pt idx="3349">
                  <c:v>3611417.4567881837</c:v>
                </c:pt>
                <c:pt idx="3350">
                  <c:v>3081733.0713767703</c:v>
                </c:pt>
                <c:pt idx="3351">
                  <c:v>2987562.305253054</c:v>
                </c:pt>
                <c:pt idx="3352">
                  <c:v>3058279.8796442435</c:v>
                </c:pt>
                <c:pt idx="3353">
                  <c:v>4002241.525451839</c:v>
                </c:pt>
                <c:pt idx="3354">
                  <c:v>3425176.2466630642</c:v>
                </c:pt>
                <c:pt idx="3355">
                  <c:v>3317997.3674986628</c:v>
                </c:pt>
                <c:pt idx="3356">
                  <c:v>3339028.2216050285</c:v>
                </c:pt>
                <c:pt idx="3357">
                  <c:v>3508196.8517028331</c:v>
                </c:pt>
                <c:pt idx="3358">
                  <c:v>3954448.6529894047</c:v>
                </c:pt>
                <c:pt idx="3359">
                  <c:v>3908494.1831057593</c:v>
                </c:pt>
                <c:pt idx="3360">
                  <c:v>4164384.793836033</c:v>
                </c:pt>
                <c:pt idx="3361">
                  <c:v>4812696.9412174253</c:v>
                </c:pt>
                <c:pt idx="3362">
                  <c:v>4145479.907406209</c:v>
                </c:pt>
                <c:pt idx="3363">
                  <c:v>4731647.0463202791</c:v>
                </c:pt>
                <c:pt idx="3364">
                  <c:v>5466086.3745418685</c:v>
                </c:pt>
                <c:pt idx="3365">
                  <c:v>4833682.8861464234</c:v>
                </c:pt>
                <c:pt idx="3366">
                  <c:v>5318262.4749747319</c:v>
                </c:pt>
                <c:pt idx="3367">
                  <c:v>5103384.0672433525</c:v>
                </c:pt>
                <c:pt idx="3368">
                  <c:v>5129550.5096321171</c:v>
                </c:pt>
                <c:pt idx="3369">
                  <c:v>5416132.0221421029</c:v>
                </c:pt>
                <c:pt idx="3370">
                  <c:v>5295098.3926994503</c:v>
                </c:pt>
                <c:pt idx="3371">
                  <c:v>5527835.9838104881</c:v>
                </c:pt>
                <c:pt idx="3372">
                  <c:v>6036205.7126353169</c:v>
                </c:pt>
                <c:pt idx="3373">
                  <c:v>6141415.1878732871</c:v>
                </c:pt>
                <c:pt idx="3374">
                  <c:v>6687205.7742857859</c:v>
                </c:pt>
                <c:pt idx="3375">
                  <c:v>7401644.8189933589</c:v>
                </c:pt>
                <c:pt idx="3376">
                  <c:v>7623387.5724610761</c:v>
                </c:pt>
                <c:pt idx="3377">
                  <c:v>6505302.2654378042</c:v>
                </c:pt>
                <c:pt idx="3378">
                  <c:v>5867933.2548597343</c:v>
                </c:pt>
                <c:pt idx="3379">
                  <c:v>5915022.2289081775</c:v>
                </c:pt>
                <c:pt idx="3380">
                  <c:v>6189725.121672187</c:v>
                </c:pt>
                <c:pt idx="3381">
                  <c:v>5436840.5617923625</c:v>
                </c:pt>
                <c:pt idx="3382">
                  <c:v>5317741.8179047499</c:v>
                </c:pt>
                <c:pt idx="3383">
                  <c:v>5016472.7655697176</c:v>
                </c:pt>
                <c:pt idx="3384">
                  <c:v>5279963.4195427662</c:v>
                </c:pt>
                <c:pt idx="3385">
                  <c:v>5171130.39167835</c:v>
                </c:pt>
                <c:pt idx="3386">
                  <c:v>5594572.3605836444</c:v>
                </c:pt>
                <c:pt idx="3387">
                  <c:v>5321387.4819663139</c:v>
                </c:pt>
                <c:pt idx="3388">
                  <c:v>5062375.8299816791</c:v>
                </c:pt>
                <c:pt idx="3389">
                  <c:v>4968148.7167953458</c:v>
                </c:pt>
                <c:pt idx="3390">
                  <c:v>5335945.0515159676</c:v>
                </c:pt>
                <c:pt idx="3391">
                  <c:v>5447143.5041070487</c:v>
                </c:pt>
                <c:pt idx="3392">
                  <c:v>6101173.0969873127</c:v>
                </c:pt>
                <c:pt idx="3393">
                  <c:v>6646316.4972171765</c:v>
                </c:pt>
                <c:pt idx="3394">
                  <c:v>6669346.262053798</c:v>
                </c:pt>
                <c:pt idx="3395">
                  <c:v>6803302.9416998057</c:v>
                </c:pt>
                <c:pt idx="3396">
                  <c:v>7481359.2864973405</c:v>
                </c:pt>
                <c:pt idx="3397">
                  <c:v>7480459.3504565926</c:v>
                </c:pt>
                <c:pt idx="3398">
                  <c:v>6573701.9687524885</c:v>
                </c:pt>
                <c:pt idx="3399">
                  <c:v>6506910.8268986074</c:v>
                </c:pt>
                <c:pt idx="3400">
                  <c:v>6406856.8033497361</c:v>
                </c:pt>
                <c:pt idx="3401">
                  <c:v>6916746.6708664885</c:v>
                </c:pt>
                <c:pt idx="3402">
                  <c:v>6820981.5339039005</c:v>
                </c:pt>
                <c:pt idx="3403">
                  <c:v>6861011.2137363227</c:v>
                </c:pt>
                <c:pt idx="3404">
                  <c:v>6380123.2755368669</c:v>
                </c:pt>
                <c:pt idx="3405">
                  <c:v>6369276.0825768588</c:v>
                </c:pt>
                <c:pt idx="3406">
                  <c:v>6043506.3639492886</c:v>
                </c:pt>
                <c:pt idx="3407">
                  <c:v>6169192.3751974739</c:v>
                </c:pt>
                <c:pt idx="3408">
                  <c:v>5076598.7054494433</c:v>
                </c:pt>
                <c:pt idx="3409">
                  <c:v>5198893.0691815913</c:v>
                </c:pt>
                <c:pt idx="3410">
                  <c:v>5515634.8519326961</c:v>
                </c:pt>
                <c:pt idx="3411">
                  <c:v>5783768.2775703873</c:v>
                </c:pt>
                <c:pt idx="3412">
                  <c:v>6080632.8959429814</c:v>
                </c:pt>
                <c:pt idx="3413">
                  <c:v>6281169.2072128132</c:v>
                </c:pt>
                <c:pt idx="3414">
                  <c:v>6426881.386952485</c:v>
                </c:pt>
                <c:pt idx="3415">
                  <c:v>6342454.2089164816</c:v>
                </c:pt>
                <c:pt idx="3416">
                  <c:v>6449068.0506243324</c:v>
                </c:pt>
                <c:pt idx="3417">
                  <c:v>6321678.2973997463</c:v>
                </c:pt>
                <c:pt idx="3418">
                  <c:v>6133509.5507201189</c:v>
                </c:pt>
                <c:pt idx="3419">
                  <c:v>6305721.6760347076</c:v>
                </c:pt>
                <c:pt idx="3420">
                  <c:v>6102488.8538305787</c:v>
                </c:pt>
                <c:pt idx="3421">
                  <c:v>5837904.7896871706</c:v>
                </c:pt>
                <c:pt idx="3422">
                  <c:v>6019356.9971083868</c:v>
                </c:pt>
                <c:pt idx="3423">
                  <c:v>6091600.6447612382</c:v>
                </c:pt>
                <c:pt idx="3424">
                  <c:v>6528590.6431507496</c:v>
                </c:pt>
                <c:pt idx="3425">
                  <c:v>6405081.7672520643</c:v>
                </c:pt>
                <c:pt idx="3426">
                  <c:v>6443596.2878373498</c:v>
                </c:pt>
                <c:pt idx="3427">
                  <c:v>7127669.8324243985</c:v>
                </c:pt>
                <c:pt idx="3428">
                  <c:v>7079052.6273546079</c:v>
                </c:pt>
                <c:pt idx="3429">
                  <c:v>7021129.8082641847</c:v>
                </c:pt>
                <c:pt idx="3430">
                  <c:v>6762233.7190019544</c:v>
                </c:pt>
                <c:pt idx="3431">
                  <c:v>6567467.1075253068</c:v>
                </c:pt>
                <c:pt idx="3432">
                  <c:v>5860509.2556320354</c:v>
                </c:pt>
                <c:pt idx="3433">
                  <c:v>5816403.1219089767</c:v>
                </c:pt>
                <c:pt idx="3434">
                  <c:v>5849189.36626596</c:v>
                </c:pt>
                <c:pt idx="3435">
                  <c:v>5946106.5299517289</c:v>
                </c:pt>
                <c:pt idx="3436">
                  <c:v>5664687.2155959466</c:v>
                </c:pt>
                <c:pt idx="3437">
                  <c:v>4959225.5670069354</c:v>
                </c:pt>
                <c:pt idx="3438">
                  <c:v>4976255.9108118564</c:v>
                </c:pt>
                <c:pt idx="3439">
                  <c:v>4982006.9915658617</c:v>
                </c:pt>
                <c:pt idx="3440">
                  <c:v>5278867.497949372</c:v>
                </c:pt>
                <c:pt idx="3441">
                  <c:v>5541912.905890801</c:v>
                </c:pt>
                <c:pt idx="3442">
                  <c:v>5420438.3357914332</c:v>
                </c:pt>
                <c:pt idx="3443">
                  <c:v>5317688.6299192719</c:v>
                </c:pt>
                <c:pt idx="3444">
                  <c:v>5826730.4598304611</c:v>
                </c:pt>
                <c:pt idx="3445">
                  <c:v>5861087.6050811503</c:v>
                </c:pt>
                <c:pt idx="3446">
                  <c:v>5711828.9132426949</c:v>
                </c:pt>
                <c:pt idx="3447">
                  <c:v>5891867.1479773438</c:v>
                </c:pt>
                <c:pt idx="3448">
                  <c:v>5201569.2303238148</c:v>
                </c:pt>
                <c:pt idx="3449">
                  <c:v>5507634.3898747703</c:v>
                </c:pt>
                <c:pt idx="3450">
                  <c:v>5436150.6672937851</c:v>
                </c:pt>
                <c:pt idx="3451">
                  <c:v>5495104.9644625774</c:v>
                </c:pt>
                <c:pt idx="3452">
                  <c:v>5517869.2382618925</c:v>
                </c:pt>
                <c:pt idx="3453">
                  <c:v>5487213.8058161754</c:v>
                </c:pt>
                <c:pt idx="3454">
                  <c:v>5608780.713541924</c:v>
                </c:pt>
                <c:pt idx="3455">
                  <c:v>5263212.952069453</c:v>
                </c:pt>
                <c:pt idx="3456">
                  <c:v>5207921.7189239226</c:v>
                </c:pt>
                <c:pt idx="3457">
                  <c:v>4632180.3188910745</c:v>
                </c:pt>
                <c:pt idx="3458">
                  <c:v>4658473.1614889912</c:v>
                </c:pt>
                <c:pt idx="3459">
                  <c:v>4351163.4664640985</c:v>
                </c:pt>
                <c:pt idx="3460">
                  <c:v>4244052.185353552</c:v>
                </c:pt>
                <c:pt idx="3461">
                  <c:v>3931543.4793280116</c:v>
                </c:pt>
                <c:pt idx="3462">
                  <c:v>3927502.4238421842</c:v>
                </c:pt>
                <c:pt idx="3463">
                  <c:v>3839141.370710474</c:v>
                </c:pt>
                <c:pt idx="3464">
                  <c:v>3842618.5340120825</c:v>
                </c:pt>
                <c:pt idx="3465">
                  <c:v>3342060.4916340257</c:v>
                </c:pt>
                <c:pt idx="3466">
                  <c:v>3364137.1245762254</c:v>
                </c:pt>
                <c:pt idx="3467">
                  <c:v>2912819.581344441</c:v>
                </c:pt>
                <c:pt idx="3468">
                  <c:v>2922627.5658418229</c:v>
                </c:pt>
                <c:pt idx="3469">
                  <c:v>2973117.699908332</c:v>
                </c:pt>
                <c:pt idx="3470">
                  <c:v>3027926.4259756501</c:v>
                </c:pt>
                <c:pt idx="3471">
                  <c:v>3119786.4350063354</c:v>
                </c:pt>
                <c:pt idx="3472">
                  <c:v>2857434.9010337242</c:v>
                </c:pt>
                <c:pt idx="3473">
                  <c:v>2772930.4692621129</c:v>
                </c:pt>
                <c:pt idx="3474">
                  <c:v>2792843.8250847822</c:v>
                </c:pt>
                <c:pt idx="3475">
                  <c:v>2909600.518720224</c:v>
                </c:pt>
                <c:pt idx="3476">
                  <c:v>2853015.5982148806</c:v>
                </c:pt>
                <c:pt idx="3477">
                  <c:v>2987437.2790145939</c:v>
                </c:pt>
                <c:pt idx="3478">
                  <c:v>3041277.8450751817</c:v>
                </c:pt>
                <c:pt idx="3479">
                  <c:v>2878433.6051948969</c:v>
                </c:pt>
                <c:pt idx="3480">
                  <c:v>2841338.5364081501</c:v>
                </c:pt>
                <c:pt idx="3481">
                  <c:v>2835468.1385101718</c:v>
                </c:pt>
                <c:pt idx="3482">
                  <c:v>2831294.5227204347</c:v>
                </c:pt>
                <c:pt idx="3483">
                  <c:v>2639441.2447973047</c:v>
                </c:pt>
                <c:pt idx="3484">
                  <c:v>2659338.5868959138</c:v>
                </c:pt>
                <c:pt idx="3485">
                  <c:v>2698295.6019180156</c:v>
                </c:pt>
                <c:pt idx="3486">
                  <c:v>2698482.3333495185</c:v>
                </c:pt>
                <c:pt idx="3487">
                  <c:v>2562185.0935710114</c:v>
                </c:pt>
                <c:pt idx="3488">
                  <c:v>2597552.0135949939</c:v>
                </c:pt>
                <c:pt idx="3489">
                  <c:v>3065596.1559051215</c:v>
                </c:pt>
                <c:pt idx="3490">
                  <c:v>2999788.6149473861</c:v>
                </c:pt>
                <c:pt idx="3491">
                  <c:v>2875840.5779354079</c:v>
                </c:pt>
                <c:pt idx="3492">
                  <c:v>2892763.3590146997</c:v>
                </c:pt>
                <c:pt idx="3493">
                  <c:v>2665049.0709776869</c:v>
                </c:pt>
                <c:pt idx="3494">
                  <c:v>2655037.0506447782</c:v>
                </c:pt>
                <c:pt idx="3495">
                  <c:v>2596524.5639461572</c:v>
                </c:pt>
                <c:pt idx="3496">
                  <c:v>2554461.1256270059</c:v>
                </c:pt>
                <c:pt idx="3497">
                  <c:v>2541135.0658047157</c:v>
                </c:pt>
                <c:pt idx="3498">
                  <c:v>2561863.4930741801</c:v>
                </c:pt>
                <c:pt idx="3499">
                  <c:v>2592221.1955217896</c:v>
                </c:pt>
                <c:pt idx="3500">
                  <c:v>2462094.6348788072</c:v>
                </c:pt>
                <c:pt idx="3501">
                  <c:v>2401875.2791970945</c:v>
                </c:pt>
                <c:pt idx="3502">
                  <c:v>2474908.902535974</c:v>
                </c:pt>
                <c:pt idx="3503">
                  <c:v>2640197.5697919508</c:v>
                </c:pt>
                <c:pt idx="3504">
                  <c:v>2762560.0762504139</c:v>
                </c:pt>
                <c:pt idx="3505">
                  <c:v>2552617.8105060477</c:v>
                </c:pt>
                <c:pt idx="3506">
                  <c:v>2510026.3348924271</c:v>
                </c:pt>
                <c:pt idx="3507">
                  <c:v>2516027.7813259987</c:v>
                </c:pt>
                <c:pt idx="3508">
                  <c:v>2578803.2314413209</c:v>
                </c:pt>
                <c:pt idx="3509">
                  <c:v>2670232.5356068308</c:v>
                </c:pt>
                <c:pt idx="3510">
                  <c:v>2474360.2704986376</c:v>
                </c:pt>
                <c:pt idx="3511">
                  <c:v>2499116.1635532142</c:v>
                </c:pt>
                <c:pt idx="3512">
                  <c:v>2547500.4965800405</c:v>
                </c:pt>
                <c:pt idx="3513">
                  <c:v>2389983.9768238566</c:v>
                </c:pt>
                <c:pt idx="3514">
                  <c:v>2434246.2449341244</c:v>
                </c:pt>
                <c:pt idx="3515">
                  <c:v>2458368.4529520534</c:v>
                </c:pt>
                <c:pt idx="3516">
                  <c:v>2464752.1952351751</c:v>
                </c:pt>
                <c:pt idx="3517">
                  <c:v>2409522.9754417292</c:v>
                </c:pt>
                <c:pt idx="3518">
                  <c:v>2357834.5391784054</c:v>
                </c:pt>
                <c:pt idx="3519">
                  <c:v>2360034.3984061065</c:v>
                </c:pt>
                <c:pt idx="3520">
                  <c:v>2278944.5138395564</c:v>
                </c:pt>
                <c:pt idx="3521">
                  <c:v>2299553.0025578709</c:v>
                </c:pt>
                <c:pt idx="3522">
                  <c:v>2266944.8916681227</c:v>
                </c:pt>
                <c:pt idx="3523">
                  <c:v>2238089.2269889833</c:v>
                </c:pt>
                <c:pt idx="3524">
                  <c:v>2191826.6191152437</c:v>
                </c:pt>
                <c:pt idx="3525">
                  <c:v>2150895.7592094974</c:v>
                </c:pt>
                <c:pt idx="3526">
                  <c:v>2230184.595687171</c:v>
                </c:pt>
                <c:pt idx="3527">
                  <c:v>2275726.2794689271</c:v>
                </c:pt>
                <c:pt idx="3528">
                  <c:v>2262440.1017070222</c:v>
                </c:pt>
                <c:pt idx="3529">
                  <c:v>2385103.7152566398</c:v>
                </c:pt>
                <c:pt idx="3530">
                  <c:v>2412307.2144398279</c:v>
                </c:pt>
                <c:pt idx="3531">
                  <c:v>2800333.7063578474</c:v>
                </c:pt>
                <c:pt idx="3532">
                  <c:v>2763766.6527527515</c:v>
                </c:pt>
                <c:pt idx="3533">
                  <c:v>2895744.2140685292</c:v>
                </c:pt>
                <c:pt idx="3534">
                  <c:v>2924042.6614006227</c:v>
                </c:pt>
                <c:pt idx="3535">
                  <c:v>2836965.3789655836</c:v>
                </c:pt>
                <c:pt idx="3536">
                  <c:v>3041713.4391222633</c:v>
                </c:pt>
                <c:pt idx="3537">
                  <c:v>3017389.4484431096</c:v>
                </c:pt>
                <c:pt idx="3538">
                  <c:v>2885413.9560323325</c:v>
                </c:pt>
                <c:pt idx="3539">
                  <c:v>2796338.3352697915</c:v>
                </c:pt>
                <c:pt idx="3540">
                  <c:v>2840087.8122177301</c:v>
                </c:pt>
                <c:pt idx="3541">
                  <c:v>2801561.1985483351</c:v>
                </c:pt>
                <c:pt idx="3542">
                  <c:v>3051204.3559543118</c:v>
                </c:pt>
                <c:pt idx="3543">
                  <c:v>3189398.9339650562</c:v>
                </c:pt>
                <c:pt idx="3544">
                  <c:v>3247045.7975784736</c:v>
                </c:pt>
                <c:pt idx="3545">
                  <c:v>3440169.5398002113</c:v>
                </c:pt>
                <c:pt idx="3546">
                  <c:v>3356393.8281220035</c:v>
                </c:pt>
                <c:pt idx="3547">
                  <c:v>3468500.5757883866</c:v>
                </c:pt>
                <c:pt idx="3548">
                  <c:v>3252660.4619974839</c:v>
                </c:pt>
                <c:pt idx="3549">
                  <c:v>3388269.0022695214</c:v>
                </c:pt>
                <c:pt idx="3550">
                  <c:v>3442965.1106492435</c:v>
                </c:pt>
                <c:pt idx="3551">
                  <c:v>3362764.8098943485</c:v>
                </c:pt>
                <c:pt idx="3552">
                  <c:v>3377860.4231128814</c:v>
                </c:pt>
                <c:pt idx="3553">
                  <c:v>3323929.7330183396</c:v>
                </c:pt>
                <c:pt idx="3554">
                  <c:v>3327837.6511938316</c:v>
                </c:pt>
                <c:pt idx="3555">
                  <c:v>3327868.9134263825</c:v>
                </c:pt>
                <c:pt idx="3556">
                  <c:v>3594509.569617901</c:v>
                </c:pt>
                <c:pt idx="3557">
                  <c:v>3654730.5047686617</c:v>
                </c:pt>
                <c:pt idx="3558">
                  <c:v>3579711.9928685254</c:v>
                </c:pt>
                <c:pt idx="3559">
                  <c:v>3677772.589164339</c:v>
                </c:pt>
                <c:pt idx="3560">
                  <c:v>3543873.9087936971</c:v>
                </c:pt>
                <c:pt idx="3561">
                  <c:v>3584486.8759388509</c:v>
                </c:pt>
                <c:pt idx="3562">
                  <c:v>3381135.0093645132</c:v>
                </c:pt>
                <c:pt idx="3563">
                  <c:v>3474548.5867545377</c:v>
                </c:pt>
                <c:pt idx="3564">
                  <c:v>3534505.2819229481</c:v>
                </c:pt>
                <c:pt idx="3565">
                  <c:v>3502798.0384701509</c:v>
                </c:pt>
                <c:pt idx="3566">
                  <c:v>3465393.6732912511</c:v>
                </c:pt>
                <c:pt idx="3567">
                  <c:v>3413524.5749427713</c:v>
                </c:pt>
                <c:pt idx="3568">
                  <c:v>3420190.1824321472</c:v>
                </c:pt>
                <c:pt idx="3569">
                  <c:v>3590200.9382371549</c:v>
                </c:pt>
                <c:pt idx="3570">
                  <c:v>3692486.4776898068</c:v>
                </c:pt>
                <c:pt idx="3571">
                  <c:v>3614664.5200472781</c:v>
                </c:pt>
                <c:pt idx="3572">
                  <c:v>3650133.6992045194</c:v>
                </c:pt>
                <c:pt idx="3573">
                  <c:v>3803797.0529625313</c:v>
                </c:pt>
                <c:pt idx="3574">
                  <c:v>3287947.1382957431</c:v>
                </c:pt>
                <c:pt idx="3575">
                  <c:v>3267017.5592500567</c:v>
                </c:pt>
                <c:pt idx="3576">
                  <c:v>3289790.2103588837</c:v>
                </c:pt>
                <c:pt idx="3577">
                  <c:v>3155833.4550485024</c:v>
                </c:pt>
                <c:pt idx="3578">
                  <c:v>3163058.2892066301</c:v>
                </c:pt>
                <c:pt idx="3579">
                  <c:v>3187426.4779335768</c:v>
                </c:pt>
                <c:pt idx="3580">
                  <c:v>3051571.7334946152</c:v>
                </c:pt>
                <c:pt idx="3581">
                  <c:v>3193168.8404858592</c:v>
                </c:pt>
                <c:pt idx="3582">
                  <c:v>3326583.1220183186</c:v>
                </c:pt>
                <c:pt idx="3583">
                  <c:v>3305088.7747216839</c:v>
                </c:pt>
                <c:pt idx="3584">
                  <c:v>3259246.7371206512</c:v>
                </c:pt>
                <c:pt idx="3585">
                  <c:v>3326382.0651236419</c:v>
                </c:pt>
                <c:pt idx="3586">
                  <c:v>3261396.3630114305</c:v>
                </c:pt>
                <c:pt idx="3587">
                  <c:v>2952283.0392369702</c:v>
                </c:pt>
                <c:pt idx="3588">
                  <c:v>2935353.5848124484</c:v>
                </c:pt>
              </c:numCache>
            </c:numRef>
          </c:val>
          <c:smooth val="0"/>
          <c:extLst>
            <c:ext xmlns:c16="http://schemas.microsoft.com/office/drawing/2014/chart" uri="{C3380CC4-5D6E-409C-BE32-E72D297353CC}">
              <c16:uniqueId val="{00000001-1E1F-C947-80BA-F00295C524FF}"/>
            </c:ext>
          </c:extLst>
        </c:ser>
        <c:dLbls>
          <c:showLegendKey val="0"/>
          <c:showVal val="0"/>
          <c:showCatName val="0"/>
          <c:showSerName val="0"/>
          <c:showPercent val="0"/>
          <c:showBubbleSize val="0"/>
        </c:dLbls>
        <c:smooth val="0"/>
        <c:axId val="857282096"/>
        <c:axId val="857650480"/>
      </c:lineChart>
      <c:catAx>
        <c:axId val="857282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7650480"/>
        <c:crosses val="autoZero"/>
        <c:auto val="1"/>
        <c:lblAlgn val="ctr"/>
        <c:lblOffset val="100"/>
        <c:noMultiLvlLbl val="0"/>
      </c:catAx>
      <c:valAx>
        <c:axId val="857650480"/>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728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val>
            <c:numRef>
              <c:f>'CryptoSheets(🔥)'!$F$9:$F$42</c:f>
              <c:numCache>
                <c:formatCode>0.00%</c:formatCode>
                <c:ptCount val="34"/>
                <c:pt idx="0">
                  <c:v>0.41667596389880202</c:v>
                </c:pt>
                <c:pt idx="1">
                  <c:v>0.20839714516730332</c:v>
                </c:pt>
                <c:pt idx="2">
                  <c:v>6.0662170515741971E-2</c:v>
                </c:pt>
                <c:pt idx="3">
                  <c:v>5.0669282273501148E-2</c:v>
                </c:pt>
                <c:pt idx="4">
                  <c:v>3.7211186261901195E-2</c:v>
                </c:pt>
                <c:pt idx="5">
                  <c:v>2.9025067362946001E-2</c:v>
                </c:pt>
                <c:pt idx="6">
                  <c:v>2.7836070442182163E-2</c:v>
                </c:pt>
                <c:pt idx="7">
                  <c:v>1.6840763588842768E-2</c:v>
                </c:pt>
                <c:pt idx="8">
                  <c:v>1.6605774093942531E-2</c:v>
                </c:pt>
                <c:pt idx="9">
                  <c:v>1.409371871818983E-2</c:v>
                </c:pt>
                <c:pt idx="10">
                  <c:v>1.3456094283242254E-2</c:v>
                </c:pt>
                <c:pt idx="11">
                  <c:v>1.2505047848775926E-2</c:v>
                </c:pt>
                <c:pt idx="12">
                  <c:v>1.2252036977834162E-2</c:v>
                </c:pt>
                <c:pt idx="13">
                  <c:v>1.0903996142414468E-2</c:v>
                </c:pt>
                <c:pt idx="14">
                  <c:v>9.6475481533610623E-3</c:v>
                </c:pt>
                <c:pt idx="15">
                  <c:v>8.8370042841221363E-3</c:v>
                </c:pt>
                <c:pt idx="16">
                  <c:v>8.6967121851424366E-3</c:v>
                </c:pt>
                <c:pt idx="17">
                  <c:v>8.5567644816022647E-3</c:v>
                </c:pt>
                <c:pt idx="18">
                  <c:v>8.1768311106046668E-3</c:v>
                </c:pt>
                <c:pt idx="19">
                  <c:v>6.2046366227303494E-3</c:v>
                </c:pt>
                <c:pt idx="20">
                  <c:v>6.0912643070118984E-3</c:v>
                </c:pt>
                <c:pt idx="21">
                  <c:v>5.8005855144363586E-3</c:v>
                </c:pt>
                <c:pt idx="22">
                  <c:v>5.4289867902907749E-3</c:v>
                </c:pt>
                <c:pt idx="23">
                  <c:v>5.4253489750786732E-3</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0-673C-9D4E-9B22-0847D805CD74}"/>
            </c:ext>
          </c:extLst>
        </c:ser>
        <c:dLbls>
          <c:showLegendKey val="0"/>
          <c:showVal val="0"/>
          <c:showCatName val="0"/>
          <c:showSerName val="0"/>
          <c:showPercent val="0"/>
          <c:showBubbleSize val="0"/>
        </c:dLbls>
        <c:gapWidth val="219"/>
        <c:axId val="1110497360"/>
        <c:axId val="1110499040"/>
      </c:barChart>
      <c:catAx>
        <c:axId val="11104973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10499040"/>
        <c:crosses val="autoZero"/>
        <c:auto val="1"/>
        <c:lblAlgn val="ctr"/>
        <c:lblOffset val="100"/>
        <c:noMultiLvlLbl val="0"/>
      </c:catAx>
      <c:valAx>
        <c:axId val="111049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104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0"/>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i="0" baseline="0">
                <a:effectLst/>
              </a:rPr>
              <a:t>Top 250 Trade Volume (24h BTC Normalized)</a:t>
            </a:r>
            <a:endParaRPr lang="en-US" sz="900" b="1">
              <a:effectLst/>
            </a:endParaRPr>
          </a:p>
        </c:rich>
      </c:tx>
      <c:layout>
        <c:manualLayout>
          <c:xMode val="edge"/>
          <c:yMode val="edge"/>
          <c:x val="1.4599406528189911E-2"/>
          <c:y val="2.5293593465660461E-2"/>
        </c:manualLayout>
      </c:layout>
      <c:overlay val="0"/>
      <c:spPr>
        <a:noFill/>
        <a:ln>
          <a:noFill/>
        </a:ln>
        <a:effectLst/>
      </c:spPr>
    </c:title>
    <c:autoTitleDeleted val="0"/>
    <c:plotArea>
      <c:layout/>
      <c:bubbleChart>
        <c:varyColors val="0"/>
        <c:ser>
          <c:idx val="0"/>
          <c:order val="0"/>
          <c:tx>
            <c:strRef>
              <c:f>交易所排名!$T$67</c:f>
              <c:strCache>
                <c:ptCount val="1"/>
                <c:pt idx="0">
                  <c:v>trade_volume_24h_btc_normalized</c:v>
                </c:pt>
              </c:strCache>
            </c:strRef>
          </c:tx>
          <c:spPr>
            <a:solidFill>
              <a:schemeClr val="accent4">
                <a:alpha val="75000"/>
              </a:schemeClr>
            </a:solidFill>
            <a:ln>
              <a:noFill/>
            </a:ln>
            <a:effectLst/>
          </c:spPr>
          <c:invertIfNegative val="0"/>
          <c:dLbls>
            <c:dLbl>
              <c:idx val="0"/>
              <c:tx>
                <c:rich>
                  <a:bodyPr/>
                  <a:lstStyle/>
                  <a:p>
                    <a:fld id="{78947CAA-0480-A14E-B8DA-8896730728C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3E6-7C41-89A9-AAEBE96233CB}"/>
                </c:ext>
              </c:extLst>
            </c:dLbl>
            <c:dLbl>
              <c:idx val="1"/>
              <c:tx>
                <c:rich>
                  <a:bodyPr/>
                  <a:lstStyle/>
                  <a:p>
                    <a:fld id="{3ABBFFEC-E4D0-6547-A28A-BFB44AC887C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3E6-7C41-89A9-AAEBE96233CB}"/>
                </c:ext>
              </c:extLst>
            </c:dLbl>
            <c:dLbl>
              <c:idx val="2"/>
              <c:tx>
                <c:rich>
                  <a:bodyPr/>
                  <a:lstStyle/>
                  <a:p>
                    <a:fld id="{BE908C5D-2E49-064D-97B9-1F09557412B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3E6-7C41-89A9-AAEBE96233CB}"/>
                </c:ext>
              </c:extLst>
            </c:dLbl>
            <c:dLbl>
              <c:idx val="3"/>
              <c:tx>
                <c:rich>
                  <a:bodyPr/>
                  <a:lstStyle/>
                  <a:p>
                    <a:fld id="{790F04D3-A4AB-6F48-9625-3F40AE736D0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3E6-7C41-89A9-AAEBE96233CB}"/>
                </c:ext>
              </c:extLst>
            </c:dLbl>
            <c:dLbl>
              <c:idx val="4"/>
              <c:tx>
                <c:rich>
                  <a:bodyPr/>
                  <a:lstStyle/>
                  <a:p>
                    <a:fld id="{CC4A573A-5FAB-8D42-B62C-AED4FE4EBB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3E6-7C41-89A9-AAEBE96233CB}"/>
                </c:ext>
              </c:extLst>
            </c:dLbl>
            <c:dLbl>
              <c:idx val="5"/>
              <c:tx>
                <c:rich>
                  <a:bodyPr/>
                  <a:lstStyle/>
                  <a:p>
                    <a:fld id="{34301EA1-62B6-E843-AC04-84D3EDF7CB5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3E6-7C41-89A9-AAEBE96233CB}"/>
                </c:ext>
              </c:extLst>
            </c:dLbl>
            <c:dLbl>
              <c:idx val="6"/>
              <c:tx>
                <c:rich>
                  <a:bodyPr/>
                  <a:lstStyle/>
                  <a:p>
                    <a:fld id="{225DD9B3-2C4B-384C-BFF6-C94F0F63401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3E6-7C41-89A9-AAEBE96233CB}"/>
                </c:ext>
              </c:extLst>
            </c:dLbl>
            <c:dLbl>
              <c:idx val="7"/>
              <c:tx>
                <c:rich>
                  <a:bodyPr/>
                  <a:lstStyle/>
                  <a:p>
                    <a:fld id="{E841EEC8-1538-5249-9976-D92F8D99A80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3E6-7C41-89A9-AAEBE96233CB}"/>
                </c:ext>
              </c:extLst>
            </c:dLbl>
            <c:dLbl>
              <c:idx val="8"/>
              <c:tx>
                <c:rich>
                  <a:bodyPr/>
                  <a:lstStyle/>
                  <a:p>
                    <a:fld id="{ADE53F37-AC1C-F54D-A6C3-8EF95EFF8DA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3E6-7C41-89A9-AAEBE96233CB}"/>
                </c:ext>
              </c:extLst>
            </c:dLbl>
            <c:dLbl>
              <c:idx val="9"/>
              <c:tx>
                <c:rich>
                  <a:bodyPr/>
                  <a:lstStyle/>
                  <a:p>
                    <a:fld id="{19BA8261-E7E1-7B4D-A7D9-318E497E746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3E6-7C41-89A9-AAEBE96233CB}"/>
                </c:ext>
              </c:extLst>
            </c:dLbl>
            <c:dLbl>
              <c:idx val="10"/>
              <c:tx>
                <c:rich>
                  <a:bodyPr/>
                  <a:lstStyle/>
                  <a:p>
                    <a:fld id="{F05A304D-B7CE-4540-87A3-4AA68A6B993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3E6-7C41-89A9-AAEBE96233CB}"/>
                </c:ext>
              </c:extLst>
            </c:dLbl>
            <c:dLbl>
              <c:idx val="11"/>
              <c:tx>
                <c:rich>
                  <a:bodyPr/>
                  <a:lstStyle/>
                  <a:p>
                    <a:fld id="{DB15BDE5-9C72-3345-B417-F0370ACB196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3E6-7C41-89A9-AAEBE96233CB}"/>
                </c:ext>
              </c:extLst>
            </c:dLbl>
            <c:dLbl>
              <c:idx val="12"/>
              <c:tx>
                <c:rich>
                  <a:bodyPr/>
                  <a:lstStyle/>
                  <a:p>
                    <a:fld id="{F6783CA6-9EEB-764D-B547-2E646D86F1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3E6-7C41-89A9-AAEBE96233CB}"/>
                </c:ext>
              </c:extLst>
            </c:dLbl>
            <c:dLbl>
              <c:idx val="13"/>
              <c:tx>
                <c:rich>
                  <a:bodyPr/>
                  <a:lstStyle/>
                  <a:p>
                    <a:fld id="{FAEC4E31-0D78-AE4C-A368-050C9EE51AE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3E6-7C41-89A9-AAEBE96233CB}"/>
                </c:ext>
              </c:extLst>
            </c:dLbl>
            <c:dLbl>
              <c:idx val="14"/>
              <c:tx>
                <c:rich>
                  <a:bodyPr/>
                  <a:lstStyle/>
                  <a:p>
                    <a:fld id="{02CE6CDB-0F8C-054C-9109-681A75D283C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3E6-7C41-89A9-AAEBE96233CB}"/>
                </c:ext>
              </c:extLst>
            </c:dLbl>
            <c:dLbl>
              <c:idx val="15"/>
              <c:tx>
                <c:rich>
                  <a:bodyPr/>
                  <a:lstStyle/>
                  <a:p>
                    <a:fld id="{54C3BD2C-3285-3047-B26A-93845C68EE1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3E6-7C41-89A9-AAEBE96233CB}"/>
                </c:ext>
              </c:extLst>
            </c:dLbl>
            <c:dLbl>
              <c:idx val="16"/>
              <c:tx>
                <c:rich>
                  <a:bodyPr/>
                  <a:lstStyle/>
                  <a:p>
                    <a:fld id="{77A6C1F0-2398-F14E-9D1B-9C3E88CE912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3E6-7C41-89A9-AAEBE96233CB}"/>
                </c:ext>
              </c:extLst>
            </c:dLbl>
            <c:dLbl>
              <c:idx val="17"/>
              <c:tx>
                <c:rich>
                  <a:bodyPr/>
                  <a:lstStyle/>
                  <a:p>
                    <a:fld id="{53AFE61F-A06D-9242-BFBF-B453FA88D8E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3E6-7C41-89A9-AAEBE96233CB}"/>
                </c:ext>
              </c:extLst>
            </c:dLbl>
            <c:dLbl>
              <c:idx val="18"/>
              <c:tx>
                <c:rich>
                  <a:bodyPr/>
                  <a:lstStyle/>
                  <a:p>
                    <a:fld id="{B908A865-D962-2245-AF3B-244741C72EC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3E6-7C41-89A9-AAEBE96233CB}"/>
                </c:ext>
              </c:extLst>
            </c:dLbl>
            <c:dLbl>
              <c:idx val="19"/>
              <c:tx>
                <c:rich>
                  <a:bodyPr/>
                  <a:lstStyle/>
                  <a:p>
                    <a:fld id="{C5C7C1FB-439D-EC48-9D58-3E7EC125DBE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3E6-7C41-89A9-AAEBE96233CB}"/>
                </c:ext>
              </c:extLst>
            </c:dLbl>
            <c:dLbl>
              <c:idx val="20"/>
              <c:tx>
                <c:rich>
                  <a:bodyPr/>
                  <a:lstStyle/>
                  <a:p>
                    <a:fld id="{CAE3B105-85DE-2E44-ADAB-B453DD29CD0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3E6-7C41-89A9-AAEBE96233CB}"/>
                </c:ext>
              </c:extLst>
            </c:dLbl>
            <c:dLbl>
              <c:idx val="21"/>
              <c:tx>
                <c:rich>
                  <a:bodyPr/>
                  <a:lstStyle/>
                  <a:p>
                    <a:fld id="{E065765A-EEDD-B940-A7E7-74F2FB93B22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3E6-7C41-89A9-AAEBE96233CB}"/>
                </c:ext>
              </c:extLst>
            </c:dLbl>
            <c:dLbl>
              <c:idx val="22"/>
              <c:tx>
                <c:rich>
                  <a:bodyPr/>
                  <a:lstStyle/>
                  <a:p>
                    <a:fld id="{A1437DEA-0352-6F45-8178-EFD86E4A908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3E6-7C41-89A9-AAEBE96233CB}"/>
                </c:ext>
              </c:extLst>
            </c:dLbl>
            <c:dLbl>
              <c:idx val="23"/>
              <c:tx>
                <c:rich>
                  <a:bodyPr/>
                  <a:lstStyle/>
                  <a:p>
                    <a:fld id="{780FEB86-178A-4C4F-AF9A-2F100DD14B3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3E6-7C41-89A9-AAEBE96233CB}"/>
                </c:ext>
              </c:extLst>
            </c:dLbl>
            <c:dLbl>
              <c:idx val="24"/>
              <c:tx>
                <c:rich>
                  <a:bodyPr/>
                  <a:lstStyle/>
                  <a:p>
                    <a:fld id="{258F673D-01CB-6D48-B010-A9F2E3FABDF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3E6-7C41-89A9-AAEBE96233CB}"/>
                </c:ext>
              </c:extLst>
            </c:dLbl>
            <c:dLbl>
              <c:idx val="25"/>
              <c:tx>
                <c:rich>
                  <a:bodyPr/>
                  <a:lstStyle/>
                  <a:p>
                    <a:fld id="{3D1C2061-79F0-2249-A52A-C56BEAFA450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3E6-7C41-89A9-AAEBE96233CB}"/>
                </c:ext>
              </c:extLst>
            </c:dLbl>
            <c:dLbl>
              <c:idx val="26"/>
              <c:tx>
                <c:rich>
                  <a:bodyPr/>
                  <a:lstStyle/>
                  <a:p>
                    <a:fld id="{6C12E90F-D649-D14E-9B11-31C39FF0374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3E6-7C41-89A9-AAEBE96233CB}"/>
                </c:ext>
              </c:extLst>
            </c:dLbl>
            <c:dLbl>
              <c:idx val="27"/>
              <c:tx>
                <c:rich>
                  <a:bodyPr/>
                  <a:lstStyle/>
                  <a:p>
                    <a:fld id="{7DA6B08E-2D62-2747-B7C5-A3991980D96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3E6-7C41-89A9-AAEBE96233CB}"/>
                </c:ext>
              </c:extLst>
            </c:dLbl>
            <c:dLbl>
              <c:idx val="28"/>
              <c:tx>
                <c:rich>
                  <a:bodyPr/>
                  <a:lstStyle/>
                  <a:p>
                    <a:fld id="{52A3D703-545D-634E-8F48-A0EBC78E266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3E6-7C41-89A9-AAEBE96233CB}"/>
                </c:ext>
              </c:extLst>
            </c:dLbl>
            <c:dLbl>
              <c:idx val="29"/>
              <c:tx>
                <c:rich>
                  <a:bodyPr/>
                  <a:lstStyle/>
                  <a:p>
                    <a:fld id="{6D9AD607-0B79-2A4F-A862-E0BBBF5D8C6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3E6-7C41-89A9-AAEBE96233CB}"/>
                </c:ext>
              </c:extLst>
            </c:dLbl>
            <c:dLbl>
              <c:idx val="30"/>
              <c:tx>
                <c:rich>
                  <a:bodyPr/>
                  <a:lstStyle/>
                  <a:p>
                    <a:fld id="{1A0E0997-718E-544F-844E-F08151A3910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3E6-7C41-89A9-AAEBE96233CB}"/>
                </c:ext>
              </c:extLst>
            </c:dLbl>
            <c:dLbl>
              <c:idx val="31"/>
              <c:tx>
                <c:rich>
                  <a:bodyPr/>
                  <a:lstStyle/>
                  <a:p>
                    <a:fld id="{5CBC97EE-F4E4-C842-9413-1C49B8A8C53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3E6-7C41-89A9-AAEBE96233CB}"/>
                </c:ext>
              </c:extLst>
            </c:dLbl>
            <c:dLbl>
              <c:idx val="32"/>
              <c:tx>
                <c:rich>
                  <a:bodyPr/>
                  <a:lstStyle/>
                  <a:p>
                    <a:fld id="{37A5967D-8226-1541-B576-521BDD6F1CC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3E6-7C41-89A9-AAEBE96233CB}"/>
                </c:ext>
              </c:extLst>
            </c:dLbl>
            <c:dLbl>
              <c:idx val="33"/>
              <c:tx>
                <c:rich>
                  <a:bodyPr/>
                  <a:lstStyle/>
                  <a:p>
                    <a:fld id="{C605AB87-5332-1046-BC77-6AEB4B88DAE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3E6-7C41-89A9-AAEBE96233CB}"/>
                </c:ext>
              </c:extLst>
            </c:dLbl>
            <c:dLbl>
              <c:idx val="34"/>
              <c:tx>
                <c:rich>
                  <a:bodyPr/>
                  <a:lstStyle/>
                  <a:p>
                    <a:fld id="{3EF4CCC5-6315-3F47-A84F-3746412E48B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3E6-7C41-89A9-AAEBE96233CB}"/>
                </c:ext>
              </c:extLst>
            </c:dLbl>
            <c:dLbl>
              <c:idx val="35"/>
              <c:tx>
                <c:rich>
                  <a:bodyPr/>
                  <a:lstStyle/>
                  <a:p>
                    <a:fld id="{1230BEFD-8BB0-C745-B50D-B13C989BA32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3E6-7C41-89A9-AAEBE96233CB}"/>
                </c:ext>
              </c:extLst>
            </c:dLbl>
            <c:dLbl>
              <c:idx val="36"/>
              <c:tx>
                <c:rich>
                  <a:bodyPr/>
                  <a:lstStyle/>
                  <a:p>
                    <a:fld id="{82CB448D-131F-9745-9FD0-EF01156CD2B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3E6-7C41-89A9-AAEBE96233CB}"/>
                </c:ext>
              </c:extLst>
            </c:dLbl>
            <c:dLbl>
              <c:idx val="37"/>
              <c:tx>
                <c:rich>
                  <a:bodyPr/>
                  <a:lstStyle/>
                  <a:p>
                    <a:fld id="{D6F41443-04FF-2149-A079-AEC0AD3C0F0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3E6-7C41-89A9-AAEBE96233CB}"/>
                </c:ext>
              </c:extLst>
            </c:dLbl>
            <c:dLbl>
              <c:idx val="38"/>
              <c:tx>
                <c:rich>
                  <a:bodyPr/>
                  <a:lstStyle/>
                  <a:p>
                    <a:fld id="{1FBF9986-C5E5-AF4F-8FFC-CC5C0B75A3D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3E6-7C41-89A9-AAEBE96233CB}"/>
                </c:ext>
              </c:extLst>
            </c:dLbl>
            <c:dLbl>
              <c:idx val="39"/>
              <c:tx>
                <c:rich>
                  <a:bodyPr/>
                  <a:lstStyle/>
                  <a:p>
                    <a:fld id="{6EBF411B-B8BB-1749-88EB-A683DB0CD72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3E6-7C41-89A9-AAEBE96233CB}"/>
                </c:ext>
              </c:extLst>
            </c:dLbl>
            <c:dLbl>
              <c:idx val="40"/>
              <c:tx>
                <c:rich>
                  <a:bodyPr/>
                  <a:lstStyle/>
                  <a:p>
                    <a:fld id="{2D507818-5FB7-BB45-A845-2CD6833072E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3E6-7C41-89A9-AAEBE96233CB}"/>
                </c:ext>
              </c:extLst>
            </c:dLbl>
            <c:dLbl>
              <c:idx val="41"/>
              <c:tx>
                <c:rich>
                  <a:bodyPr/>
                  <a:lstStyle/>
                  <a:p>
                    <a:fld id="{5C3E6FFC-E4C0-1840-A6A3-AEF7D01C044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3E6-7C41-89A9-AAEBE96233CB}"/>
                </c:ext>
              </c:extLst>
            </c:dLbl>
            <c:dLbl>
              <c:idx val="42"/>
              <c:tx>
                <c:rich>
                  <a:bodyPr/>
                  <a:lstStyle/>
                  <a:p>
                    <a:fld id="{48515FAB-6CD7-7542-A881-5C4680B7E2E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3E6-7C41-89A9-AAEBE96233CB}"/>
                </c:ext>
              </c:extLst>
            </c:dLbl>
            <c:dLbl>
              <c:idx val="43"/>
              <c:tx>
                <c:rich>
                  <a:bodyPr/>
                  <a:lstStyle/>
                  <a:p>
                    <a:fld id="{46EA6443-E50B-204C-903C-A01FE61BEE5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3E6-7C41-89A9-AAEBE96233CB}"/>
                </c:ext>
              </c:extLst>
            </c:dLbl>
            <c:dLbl>
              <c:idx val="44"/>
              <c:tx>
                <c:rich>
                  <a:bodyPr/>
                  <a:lstStyle/>
                  <a:p>
                    <a:fld id="{464BBF6C-DCCD-034F-91DB-76D5C5B21CF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3E6-7C41-89A9-AAEBE96233CB}"/>
                </c:ext>
              </c:extLst>
            </c:dLbl>
            <c:dLbl>
              <c:idx val="45"/>
              <c:tx>
                <c:rich>
                  <a:bodyPr/>
                  <a:lstStyle/>
                  <a:p>
                    <a:fld id="{54CD14F5-C963-524F-AF39-4EEABDA68ED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3E6-7C41-89A9-AAEBE96233CB}"/>
                </c:ext>
              </c:extLst>
            </c:dLbl>
            <c:dLbl>
              <c:idx val="46"/>
              <c:tx>
                <c:rich>
                  <a:bodyPr/>
                  <a:lstStyle/>
                  <a:p>
                    <a:fld id="{E20F27FA-AF25-AD43-B657-19255A75DAD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3E6-7C41-89A9-AAEBE96233CB}"/>
                </c:ext>
              </c:extLst>
            </c:dLbl>
            <c:dLbl>
              <c:idx val="47"/>
              <c:tx>
                <c:rich>
                  <a:bodyPr/>
                  <a:lstStyle/>
                  <a:p>
                    <a:fld id="{FEA78222-13B1-AA45-88CB-FAD7EACB363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3E6-7C41-89A9-AAEBE96233CB}"/>
                </c:ext>
              </c:extLst>
            </c:dLbl>
            <c:dLbl>
              <c:idx val="48"/>
              <c:tx>
                <c:rich>
                  <a:bodyPr/>
                  <a:lstStyle/>
                  <a:p>
                    <a:fld id="{810C4150-2B62-8B45-A4B0-8D33F50D1EE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73E6-7C41-89A9-AAEBE96233CB}"/>
                </c:ext>
              </c:extLst>
            </c:dLbl>
            <c:dLbl>
              <c:idx val="49"/>
              <c:tx>
                <c:rich>
                  <a:bodyPr/>
                  <a:lstStyle/>
                  <a:p>
                    <a:fld id="{C869A922-26FC-3B4A-9C72-55A8DD9C199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3E6-7C41-89A9-AAEBE96233CB}"/>
                </c:ext>
              </c:extLst>
            </c:dLbl>
            <c:dLbl>
              <c:idx val="50"/>
              <c:tx>
                <c:rich>
                  <a:bodyPr/>
                  <a:lstStyle/>
                  <a:p>
                    <a:fld id="{E23D4C5B-F55A-AA48-BC4E-535E4F71E71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3E6-7C41-89A9-AAEBE96233CB}"/>
                </c:ext>
              </c:extLst>
            </c:dLbl>
            <c:dLbl>
              <c:idx val="51"/>
              <c:tx>
                <c:rich>
                  <a:bodyPr/>
                  <a:lstStyle/>
                  <a:p>
                    <a:fld id="{5A039824-DE85-864C-ABC8-0C690C6F7D6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3E6-7C41-89A9-AAEBE96233CB}"/>
                </c:ext>
              </c:extLst>
            </c:dLbl>
            <c:dLbl>
              <c:idx val="52"/>
              <c:tx>
                <c:rich>
                  <a:bodyPr/>
                  <a:lstStyle/>
                  <a:p>
                    <a:fld id="{9EC78A04-9DCF-6741-9C1A-DC1146AA27A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3E6-7C41-89A9-AAEBE96233CB}"/>
                </c:ext>
              </c:extLst>
            </c:dLbl>
            <c:dLbl>
              <c:idx val="53"/>
              <c:tx>
                <c:rich>
                  <a:bodyPr/>
                  <a:lstStyle/>
                  <a:p>
                    <a:fld id="{F722521F-2C21-4647-A8EB-01EA7C3A075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3E6-7C41-89A9-AAEBE96233CB}"/>
                </c:ext>
              </c:extLst>
            </c:dLbl>
            <c:dLbl>
              <c:idx val="54"/>
              <c:tx>
                <c:rich>
                  <a:bodyPr/>
                  <a:lstStyle/>
                  <a:p>
                    <a:fld id="{F6F31539-16A3-434A-A72C-A6057885E74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73E6-7C41-89A9-AAEBE96233CB}"/>
                </c:ext>
              </c:extLst>
            </c:dLbl>
            <c:dLbl>
              <c:idx val="55"/>
              <c:tx>
                <c:rich>
                  <a:bodyPr/>
                  <a:lstStyle/>
                  <a:p>
                    <a:fld id="{123F9224-B4A7-164D-930F-9D77591BCA3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73E6-7C41-89A9-AAEBE96233CB}"/>
                </c:ext>
              </c:extLst>
            </c:dLbl>
            <c:dLbl>
              <c:idx val="56"/>
              <c:tx>
                <c:rich>
                  <a:bodyPr/>
                  <a:lstStyle/>
                  <a:p>
                    <a:fld id="{848B678F-CD04-E94F-B83A-4E57FDD9919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73E6-7C41-89A9-AAEBE96233CB}"/>
                </c:ext>
              </c:extLst>
            </c:dLbl>
            <c:dLbl>
              <c:idx val="57"/>
              <c:tx>
                <c:rich>
                  <a:bodyPr/>
                  <a:lstStyle/>
                  <a:p>
                    <a:fld id="{AE4EF0A9-B377-4048-9CFC-4054CBDD666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73E6-7C41-89A9-AAEBE96233CB}"/>
                </c:ext>
              </c:extLst>
            </c:dLbl>
            <c:dLbl>
              <c:idx val="58"/>
              <c:tx>
                <c:rich>
                  <a:bodyPr/>
                  <a:lstStyle/>
                  <a:p>
                    <a:fld id="{FC9BFB0C-FADB-BC47-8E03-5E21D467DB3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73E6-7C41-89A9-AAEBE96233CB}"/>
                </c:ext>
              </c:extLst>
            </c:dLbl>
            <c:dLbl>
              <c:idx val="59"/>
              <c:tx>
                <c:rich>
                  <a:bodyPr/>
                  <a:lstStyle/>
                  <a:p>
                    <a:fld id="{B2346D58-68A2-9F42-B67A-AB14346BA58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73E6-7C41-89A9-AAEBE96233CB}"/>
                </c:ext>
              </c:extLst>
            </c:dLbl>
            <c:dLbl>
              <c:idx val="60"/>
              <c:tx>
                <c:rich>
                  <a:bodyPr/>
                  <a:lstStyle/>
                  <a:p>
                    <a:fld id="{CCCAD177-2606-C345-B306-D89D1A8AC0A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73E6-7C41-89A9-AAEBE96233CB}"/>
                </c:ext>
              </c:extLst>
            </c:dLbl>
            <c:dLbl>
              <c:idx val="61"/>
              <c:tx>
                <c:rich>
                  <a:bodyPr/>
                  <a:lstStyle/>
                  <a:p>
                    <a:fld id="{916E480A-E364-7D45-ABDD-6F06199795F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73E6-7C41-89A9-AAEBE96233CB}"/>
                </c:ext>
              </c:extLst>
            </c:dLbl>
            <c:dLbl>
              <c:idx val="62"/>
              <c:tx>
                <c:rich>
                  <a:bodyPr/>
                  <a:lstStyle/>
                  <a:p>
                    <a:fld id="{C609D119-F084-474A-8F7E-05AFA1E8597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73E6-7C41-89A9-AAEBE96233CB}"/>
                </c:ext>
              </c:extLst>
            </c:dLbl>
            <c:dLbl>
              <c:idx val="63"/>
              <c:tx>
                <c:rich>
                  <a:bodyPr/>
                  <a:lstStyle/>
                  <a:p>
                    <a:fld id="{CD8CC8EC-7E2C-0448-9D82-9E97A19E78F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73E6-7C41-89A9-AAEBE96233CB}"/>
                </c:ext>
              </c:extLst>
            </c:dLbl>
            <c:dLbl>
              <c:idx val="64"/>
              <c:tx>
                <c:rich>
                  <a:bodyPr/>
                  <a:lstStyle/>
                  <a:p>
                    <a:fld id="{0B068FFD-EECE-7B4D-B0F5-D25ED9BE389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73E6-7C41-89A9-AAEBE96233CB}"/>
                </c:ext>
              </c:extLst>
            </c:dLbl>
            <c:dLbl>
              <c:idx val="65"/>
              <c:tx>
                <c:rich>
                  <a:bodyPr/>
                  <a:lstStyle/>
                  <a:p>
                    <a:fld id="{755EB847-B41B-174D-BA8B-F199CBF655C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73E6-7C41-89A9-AAEBE96233CB}"/>
                </c:ext>
              </c:extLst>
            </c:dLbl>
            <c:dLbl>
              <c:idx val="66"/>
              <c:tx>
                <c:rich>
                  <a:bodyPr/>
                  <a:lstStyle/>
                  <a:p>
                    <a:fld id="{F39F1510-1D8E-7946-A1BF-29D7B55E7FE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73E6-7C41-89A9-AAEBE96233CB}"/>
                </c:ext>
              </c:extLst>
            </c:dLbl>
            <c:dLbl>
              <c:idx val="67"/>
              <c:tx>
                <c:rich>
                  <a:bodyPr/>
                  <a:lstStyle/>
                  <a:p>
                    <a:fld id="{78D31319-BC7C-9446-82B8-7EB7ED8F5A7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73E6-7C41-89A9-AAEBE96233CB}"/>
                </c:ext>
              </c:extLst>
            </c:dLbl>
            <c:dLbl>
              <c:idx val="68"/>
              <c:tx>
                <c:rich>
                  <a:bodyPr/>
                  <a:lstStyle/>
                  <a:p>
                    <a:fld id="{D06FD10E-313C-434C-A3DF-743C1939027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73E6-7C41-89A9-AAEBE96233CB}"/>
                </c:ext>
              </c:extLst>
            </c:dLbl>
            <c:dLbl>
              <c:idx val="69"/>
              <c:tx>
                <c:rich>
                  <a:bodyPr/>
                  <a:lstStyle/>
                  <a:p>
                    <a:fld id="{1415AF8C-983D-E541-9DAF-02036CC5D62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73E6-7C41-89A9-AAEBE96233CB}"/>
                </c:ext>
              </c:extLst>
            </c:dLbl>
            <c:dLbl>
              <c:idx val="70"/>
              <c:tx>
                <c:rich>
                  <a:bodyPr/>
                  <a:lstStyle/>
                  <a:p>
                    <a:fld id="{C2BF8433-D215-7540-AB6B-4AB64DE5D6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73E6-7C41-89A9-AAEBE96233CB}"/>
                </c:ext>
              </c:extLst>
            </c:dLbl>
            <c:dLbl>
              <c:idx val="71"/>
              <c:tx>
                <c:rich>
                  <a:bodyPr/>
                  <a:lstStyle/>
                  <a:p>
                    <a:fld id="{72E6AE35-37D6-8C43-B939-3CC38715E2D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73E6-7C41-89A9-AAEBE96233CB}"/>
                </c:ext>
              </c:extLst>
            </c:dLbl>
            <c:dLbl>
              <c:idx val="72"/>
              <c:tx>
                <c:rich>
                  <a:bodyPr/>
                  <a:lstStyle/>
                  <a:p>
                    <a:fld id="{CB6BEC7B-5060-9049-9171-7FA8C2BB402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73E6-7C41-89A9-AAEBE96233CB}"/>
                </c:ext>
              </c:extLst>
            </c:dLbl>
            <c:dLbl>
              <c:idx val="73"/>
              <c:tx>
                <c:rich>
                  <a:bodyPr/>
                  <a:lstStyle/>
                  <a:p>
                    <a:fld id="{9E94AA70-0395-D545-B9DF-4BC054A74E6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73E6-7C41-89A9-AAEBE96233CB}"/>
                </c:ext>
              </c:extLst>
            </c:dLbl>
            <c:dLbl>
              <c:idx val="74"/>
              <c:tx>
                <c:rich>
                  <a:bodyPr/>
                  <a:lstStyle/>
                  <a:p>
                    <a:fld id="{096DE855-83FF-1147-866E-53C9447EF0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73E6-7C41-89A9-AAEBE96233CB}"/>
                </c:ext>
              </c:extLst>
            </c:dLbl>
            <c:dLbl>
              <c:idx val="75"/>
              <c:tx>
                <c:rich>
                  <a:bodyPr/>
                  <a:lstStyle/>
                  <a:p>
                    <a:fld id="{BDB1D31C-BCA4-DD4E-B804-303D53248F3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73E6-7C41-89A9-AAEBE96233CB}"/>
                </c:ext>
              </c:extLst>
            </c:dLbl>
            <c:dLbl>
              <c:idx val="76"/>
              <c:tx>
                <c:rich>
                  <a:bodyPr/>
                  <a:lstStyle/>
                  <a:p>
                    <a:fld id="{F884D7FA-4ECD-574F-B43C-0486F2A6E31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73E6-7C41-89A9-AAEBE96233CB}"/>
                </c:ext>
              </c:extLst>
            </c:dLbl>
            <c:dLbl>
              <c:idx val="77"/>
              <c:tx>
                <c:rich>
                  <a:bodyPr/>
                  <a:lstStyle/>
                  <a:p>
                    <a:fld id="{D4A95F2F-7330-A94A-A26E-C6227982C69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73E6-7C41-89A9-AAEBE96233CB}"/>
                </c:ext>
              </c:extLst>
            </c:dLbl>
            <c:dLbl>
              <c:idx val="78"/>
              <c:tx>
                <c:rich>
                  <a:bodyPr/>
                  <a:lstStyle/>
                  <a:p>
                    <a:fld id="{270E6B0D-B2E2-9644-8696-20E530A9E58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73E6-7C41-89A9-AAEBE96233CB}"/>
                </c:ext>
              </c:extLst>
            </c:dLbl>
            <c:dLbl>
              <c:idx val="79"/>
              <c:tx>
                <c:rich>
                  <a:bodyPr/>
                  <a:lstStyle/>
                  <a:p>
                    <a:fld id="{FF0D4908-E699-0345-A65C-ED45149E606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73E6-7C41-89A9-AAEBE96233CB}"/>
                </c:ext>
              </c:extLst>
            </c:dLbl>
            <c:dLbl>
              <c:idx val="80"/>
              <c:tx>
                <c:rich>
                  <a:bodyPr/>
                  <a:lstStyle/>
                  <a:p>
                    <a:fld id="{B4C80566-495F-BC4F-9B0F-A6E6B6F4286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73E6-7C41-89A9-AAEBE96233CB}"/>
                </c:ext>
              </c:extLst>
            </c:dLbl>
            <c:dLbl>
              <c:idx val="81"/>
              <c:tx>
                <c:rich>
                  <a:bodyPr/>
                  <a:lstStyle/>
                  <a:p>
                    <a:fld id="{4219F857-4586-EB4D-AB4A-899E2140687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73E6-7C41-89A9-AAEBE96233CB}"/>
                </c:ext>
              </c:extLst>
            </c:dLbl>
            <c:dLbl>
              <c:idx val="82"/>
              <c:tx>
                <c:rich>
                  <a:bodyPr/>
                  <a:lstStyle/>
                  <a:p>
                    <a:fld id="{8EB0BFE8-F64A-B440-B48B-F4B7BBED5EC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73E6-7C41-89A9-AAEBE96233CB}"/>
                </c:ext>
              </c:extLst>
            </c:dLbl>
            <c:dLbl>
              <c:idx val="83"/>
              <c:tx>
                <c:rich>
                  <a:bodyPr/>
                  <a:lstStyle/>
                  <a:p>
                    <a:fld id="{2B241ABE-11DA-024A-82F9-1815C279F13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73E6-7C41-89A9-AAEBE96233CB}"/>
                </c:ext>
              </c:extLst>
            </c:dLbl>
            <c:dLbl>
              <c:idx val="84"/>
              <c:tx>
                <c:rich>
                  <a:bodyPr/>
                  <a:lstStyle/>
                  <a:p>
                    <a:fld id="{54F8B533-D9A5-1D48-903F-C0A23A72076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73E6-7C41-89A9-AAEBE96233CB}"/>
                </c:ext>
              </c:extLst>
            </c:dLbl>
            <c:dLbl>
              <c:idx val="85"/>
              <c:tx>
                <c:rich>
                  <a:bodyPr/>
                  <a:lstStyle/>
                  <a:p>
                    <a:fld id="{963155B5-8C56-1747-A6C6-566A0B53E4F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73E6-7C41-89A9-AAEBE96233CB}"/>
                </c:ext>
              </c:extLst>
            </c:dLbl>
            <c:dLbl>
              <c:idx val="86"/>
              <c:tx>
                <c:rich>
                  <a:bodyPr/>
                  <a:lstStyle/>
                  <a:p>
                    <a:fld id="{C6FC0BBB-4B6B-464F-BEC5-08653CC816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73E6-7C41-89A9-AAEBE96233CB}"/>
                </c:ext>
              </c:extLst>
            </c:dLbl>
            <c:dLbl>
              <c:idx val="87"/>
              <c:tx>
                <c:rich>
                  <a:bodyPr/>
                  <a:lstStyle/>
                  <a:p>
                    <a:fld id="{DF518138-F64A-344D-849C-9F34541AF00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73E6-7C41-89A9-AAEBE96233CB}"/>
                </c:ext>
              </c:extLst>
            </c:dLbl>
            <c:dLbl>
              <c:idx val="88"/>
              <c:tx>
                <c:rich>
                  <a:bodyPr/>
                  <a:lstStyle/>
                  <a:p>
                    <a:fld id="{32D1A47E-9C2F-874A-BB4B-A774FA19FFB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73E6-7C41-89A9-AAEBE96233CB}"/>
                </c:ext>
              </c:extLst>
            </c:dLbl>
            <c:dLbl>
              <c:idx val="89"/>
              <c:tx>
                <c:rich>
                  <a:bodyPr/>
                  <a:lstStyle/>
                  <a:p>
                    <a:fld id="{04106B5E-2315-B142-9335-A13E429C82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73E6-7C41-89A9-AAEBE96233CB}"/>
                </c:ext>
              </c:extLst>
            </c:dLbl>
            <c:dLbl>
              <c:idx val="90"/>
              <c:tx>
                <c:rich>
                  <a:bodyPr/>
                  <a:lstStyle/>
                  <a:p>
                    <a:fld id="{448C9155-966C-3442-BE35-B91FE95682D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73E6-7C41-89A9-AAEBE96233CB}"/>
                </c:ext>
              </c:extLst>
            </c:dLbl>
            <c:dLbl>
              <c:idx val="91"/>
              <c:tx>
                <c:rich>
                  <a:bodyPr/>
                  <a:lstStyle/>
                  <a:p>
                    <a:fld id="{C784FCAC-8393-F243-9759-7AE963666EE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73E6-7C41-89A9-AAEBE96233CB}"/>
                </c:ext>
              </c:extLst>
            </c:dLbl>
            <c:dLbl>
              <c:idx val="92"/>
              <c:tx>
                <c:rich>
                  <a:bodyPr/>
                  <a:lstStyle/>
                  <a:p>
                    <a:fld id="{D10D4AF2-88C7-084E-B4FD-529F16E5606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73E6-7C41-89A9-AAEBE96233CB}"/>
                </c:ext>
              </c:extLst>
            </c:dLbl>
            <c:dLbl>
              <c:idx val="93"/>
              <c:tx>
                <c:rich>
                  <a:bodyPr/>
                  <a:lstStyle/>
                  <a:p>
                    <a:fld id="{AF4109CD-6108-A440-9625-D2840A10D3B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73E6-7C41-89A9-AAEBE96233CB}"/>
                </c:ext>
              </c:extLst>
            </c:dLbl>
            <c:dLbl>
              <c:idx val="94"/>
              <c:tx>
                <c:rich>
                  <a:bodyPr/>
                  <a:lstStyle/>
                  <a:p>
                    <a:fld id="{FA690BCD-6C48-6844-B8E6-30BB7F17C64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73E6-7C41-89A9-AAEBE96233CB}"/>
                </c:ext>
              </c:extLst>
            </c:dLbl>
            <c:dLbl>
              <c:idx val="95"/>
              <c:tx>
                <c:rich>
                  <a:bodyPr/>
                  <a:lstStyle/>
                  <a:p>
                    <a:fld id="{BD428DD2-73F7-884B-A8A9-DCE6864FE3B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73E6-7C41-89A9-AAEBE96233CB}"/>
                </c:ext>
              </c:extLst>
            </c:dLbl>
            <c:dLbl>
              <c:idx val="96"/>
              <c:tx>
                <c:rich>
                  <a:bodyPr/>
                  <a:lstStyle/>
                  <a:p>
                    <a:fld id="{8E2F2891-855C-DD40-8E98-49CD0DC4E75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73E6-7C41-89A9-AAEBE96233CB}"/>
                </c:ext>
              </c:extLst>
            </c:dLbl>
            <c:dLbl>
              <c:idx val="97"/>
              <c:tx>
                <c:rich>
                  <a:bodyPr/>
                  <a:lstStyle/>
                  <a:p>
                    <a:fld id="{E61079BB-9704-8540-BD34-6E3AC3389EB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73E6-7C41-89A9-AAEBE96233CB}"/>
                </c:ext>
              </c:extLst>
            </c:dLbl>
            <c:dLbl>
              <c:idx val="98"/>
              <c:tx>
                <c:rich>
                  <a:bodyPr/>
                  <a:lstStyle/>
                  <a:p>
                    <a:fld id="{C20D9720-FFC9-1A46-8856-6F1D4E25F50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73E6-7C41-89A9-AAEBE96233CB}"/>
                </c:ext>
              </c:extLst>
            </c:dLbl>
            <c:dLbl>
              <c:idx val="99"/>
              <c:tx>
                <c:rich>
                  <a:bodyPr/>
                  <a:lstStyle/>
                  <a:p>
                    <a:fld id="{C326DA16-ED24-8644-B798-B602F0C7686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73E6-7C41-89A9-AAEBE96233CB}"/>
                </c:ext>
              </c:extLst>
            </c:dLbl>
            <c:dLbl>
              <c:idx val="1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73E6-7C41-89A9-AAEBE96233CB}"/>
                </c:ext>
              </c:extLst>
            </c:dLbl>
            <c:dLbl>
              <c:idx val="1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73E6-7C41-89A9-AAEBE96233CB}"/>
                </c:ext>
              </c:extLst>
            </c:dLbl>
            <c:dLbl>
              <c:idx val="1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73E6-7C41-89A9-AAEBE96233CB}"/>
                </c:ext>
              </c:extLst>
            </c:dLbl>
            <c:dLbl>
              <c:idx val="1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73E6-7C41-89A9-AAEBE96233CB}"/>
                </c:ext>
              </c:extLst>
            </c:dLbl>
            <c:dLbl>
              <c:idx val="1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73E6-7C41-89A9-AAEBE96233CB}"/>
                </c:ext>
              </c:extLst>
            </c:dLbl>
            <c:dLbl>
              <c:idx val="1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73E6-7C41-89A9-AAEBE96233CB}"/>
                </c:ext>
              </c:extLst>
            </c:dLbl>
            <c:dLbl>
              <c:idx val="1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73E6-7C41-89A9-AAEBE96233CB}"/>
                </c:ext>
              </c:extLst>
            </c:dLbl>
            <c:dLbl>
              <c:idx val="1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73E6-7C41-89A9-AAEBE96233CB}"/>
                </c:ext>
              </c:extLst>
            </c:dLbl>
            <c:dLbl>
              <c:idx val="1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73E6-7C41-89A9-AAEBE96233CB}"/>
                </c:ext>
              </c:extLst>
            </c:dLbl>
            <c:dLbl>
              <c:idx val="1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73E6-7C41-89A9-AAEBE96233CB}"/>
                </c:ext>
              </c:extLst>
            </c:dLbl>
            <c:dLbl>
              <c:idx val="1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73E6-7C41-89A9-AAEBE96233CB}"/>
                </c:ext>
              </c:extLst>
            </c:dLbl>
            <c:dLbl>
              <c:idx val="1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73E6-7C41-89A9-AAEBE96233CB}"/>
                </c:ext>
              </c:extLst>
            </c:dLbl>
            <c:dLbl>
              <c:idx val="1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73E6-7C41-89A9-AAEBE96233CB}"/>
                </c:ext>
              </c:extLst>
            </c:dLbl>
            <c:dLbl>
              <c:idx val="1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73E6-7C41-89A9-AAEBE96233CB}"/>
                </c:ext>
              </c:extLst>
            </c:dLbl>
            <c:dLbl>
              <c:idx val="1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73E6-7C41-89A9-AAEBE96233CB}"/>
                </c:ext>
              </c:extLst>
            </c:dLbl>
            <c:dLbl>
              <c:idx val="1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73E6-7C41-89A9-AAEBE96233CB}"/>
                </c:ext>
              </c:extLst>
            </c:dLbl>
            <c:dLbl>
              <c:idx val="1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73E6-7C41-89A9-AAEBE96233CB}"/>
                </c:ext>
              </c:extLst>
            </c:dLbl>
            <c:dLbl>
              <c:idx val="1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73E6-7C41-89A9-AAEBE96233CB}"/>
                </c:ext>
              </c:extLst>
            </c:dLbl>
            <c:dLbl>
              <c:idx val="1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73E6-7C41-89A9-AAEBE96233CB}"/>
                </c:ext>
              </c:extLst>
            </c:dLbl>
            <c:dLbl>
              <c:idx val="1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73E6-7C41-89A9-AAEBE96233CB}"/>
                </c:ext>
              </c:extLst>
            </c:dLbl>
            <c:dLbl>
              <c:idx val="1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73E6-7C41-89A9-AAEBE96233CB}"/>
                </c:ext>
              </c:extLst>
            </c:dLbl>
            <c:dLbl>
              <c:idx val="1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73E6-7C41-89A9-AAEBE96233CB}"/>
                </c:ext>
              </c:extLst>
            </c:dLbl>
            <c:dLbl>
              <c:idx val="1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73E6-7C41-89A9-AAEBE96233CB}"/>
                </c:ext>
              </c:extLst>
            </c:dLbl>
            <c:dLbl>
              <c:idx val="1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73E6-7C41-89A9-AAEBE96233CB}"/>
                </c:ext>
              </c:extLst>
            </c:dLbl>
            <c:dLbl>
              <c:idx val="1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73E6-7C41-89A9-AAEBE96233CB}"/>
                </c:ext>
              </c:extLst>
            </c:dLbl>
            <c:dLbl>
              <c:idx val="1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73E6-7C41-89A9-AAEBE96233CB}"/>
                </c:ext>
              </c:extLst>
            </c:dLbl>
            <c:dLbl>
              <c:idx val="1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73E6-7C41-89A9-AAEBE96233CB}"/>
                </c:ext>
              </c:extLst>
            </c:dLbl>
            <c:dLbl>
              <c:idx val="1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73E6-7C41-89A9-AAEBE96233CB}"/>
                </c:ext>
              </c:extLst>
            </c:dLbl>
            <c:dLbl>
              <c:idx val="1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73E6-7C41-89A9-AAEBE96233CB}"/>
                </c:ext>
              </c:extLst>
            </c:dLbl>
            <c:dLbl>
              <c:idx val="1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73E6-7C41-89A9-AAEBE96233CB}"/>
                </c:ext>
              </c:extLst>
            </c:dLbl>
            <c:dLbl>
              <c:idx val="1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73E6-7C41-89A9-AAEBE96233CB}"/>
                </c:ext>
              </c:extLst>
            </c:dLbl>
            <c:dLbl>
              <c:idx val="1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73E6-7C41-89A9-AAEBE96233CB}"/>
                </c:ext>
              </c:extLst>
            </c:dLbl>
            <c:dLbl>
              <c:idx val="1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73E6-7C41-89A9-AAEBE96233CB}"/>
                </c:ext>
              </c:extLst>
            </c:dLbl>
            <c:dLbl>
              <c:idx val="1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73E6-7C41-89A9-AAEBE96233CB}"/>
                </c:ext>
              </c:extLst>
            </c:dLbl>
            <c:dLbl>
              <c:idx val="1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73E6-7C41-89A9-AAEBE96233CB}"/>
                </c:ext>
              </c:extLst>
            </c:dLbl>
            <c:dLbl>
              <c:idx val="1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73E6-7C41-89A9-AAEBE96233CB}"/>
                </c:ext>
              </c:extLst>
            </c:dLbl>
            <c:dLbl>
              <c:idx val="1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73E6-7C41-89A9-AAEBE96233CB}"/>
                </c:ext>
              </c:extLst>
            </c:dLbl>
            <c:dLbl>
              <c:idx val="1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73E6-7C41-89A9-AAEBE96233CB}"/>
                </c:ext>
              </c:extLst>
            </c:dLbl>
            <c:dLbl>
              <c:idx val="1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73E6-7C41-89A9-AAEBE96233CB}"/>
                </c:ext>
              </c:extLst>
            </c:dLbl>
            <c:dLbl>
              <c:idx val="1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73E6-7C41-89A9-AAEBE96233CB}"/>
                </c:ext>
              </c:extLst>
            </c:dLbl>
            <c:dLbl>
              <c:idx val="1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73E6-7C41-89A9-AAEBE96233CB}"/>
                </c:ext>
              </c:extLst>
            </c:dLbl>
            <c:dLbl>
              <c:idx val="1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73E6-7C41-89A9-AAEBE96233CB}"/>
                </c:ext>
              </c:extLst>
            </c:dLbl>
            <c:dLbl>
              <c:idx val="1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73E6-7C41-89A9-AAEBE96233CB}"/>
                </c:ext>
              </c:extLst>
            </c:dLbl>
            <c:dLbl>
              <c:idx val="1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73E6-7C41-89A9-AAEBE96233CB}"/>
                </c:ext>
              </c:extLst>
            </c:dLbl>
            <c:dLbl>
              <c:idx val="1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73E6-7C41-89A9-AAEBE96233CB}"/>
                </c:ext>
              </c:extLst>
            </c:dLbl>
            <c:dLbl>
              <c:idx val="1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73E6-7C41-89A9-AAEBE96233CB}"/>
                </c:ext>
              </c:extLst>
            </c:dLbl>
            <c:dLbl>
              <c:idx val="1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73E6-7C41-89A9-AAEBE96233CB}"/>
                </c:ext>
              </c:extLst>
            </c:dLbl>
            <c:dLbl>
              <c:idx val="1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73E6-7C41-89A9-AAEBE96233CB}"/>
                </c:ext>
              </c:extLst>
            </c:dLbl>
            <c:dLbl>
              <c:idx val="1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73E6-7C41-89A9-AAEBE96233CB}"/>
                </c:ext>
              </c:extLst>
            </c:dLbl>
            <c:dLbl>
              <c:idx val="1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5-73E6-7C41-89A9-AAEBE96233CB}"/>
                </c:ext>
              </c:extLst>
            </c:dLbl>
            <c:dLbl>
              <c:idx val="1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6-73E6-7C41-89A9-AAEBE96233CB}"/>
                </c:ext>
              </c:extLst>
            </c:dLbl>
            <c:dLbl>
              <c:idx val="15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7-73E6-7C41-89A9-AAEBE96233CB}"/>
                </c:ext>
              </c:extLst>
            </c:dLbl>
            <c:dLbl>
              <c:idx val="15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8-73E6-7C41-89A9-AAEBE96233CB}"/>
                </c:ext>
              </c:extLst>
            </c:dLbl>
            <c:dLbl>
              <c:idx val="15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9-73E6-7C41-89A9-AAEBE96233CB}"/>
                </c:ext>
              </c:extLst>
            </c:dLbl>
            <c:dLbl>
              <c:idx val="15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A-73E6-7C41-89A9-AAEBE96233CB}"/>
                </c:ext>
              </c:extLst>
            </c:dLbl>
            <c:dLbl>
              <c:idx val="15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B-73E6-7C41-89A9-AAEBE96233CB}"/>
                </c:ext>
              </c:extLst>
            </c:dLbl>
            <c:dLbl>
              <c:idx val="15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C-73E6-7C41-89A9-AAEBE96233CB}"/>
                </c:ext>
              </c:extLst>
            </c:dLbl>
            <c:dLbl>
              <c:idx val="15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D-73E6-7C41-89A9-AAEBE96233CB}"/>
                </c:ext>
              </c:extLst>
            </c:dLbl>
            <c:dLbl>
              <c:idx val="15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E-73E6-7C41-89A9-AAEBE96233CB}"/>
                </c:ext>
              </c:extLst>
            </c:dLbl>
            <c:dLbl>
              <c:idx val="15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F-73E6-7C41-89A9-AAEBE96233CB}"/>
                </c:ext>
              </c:extLst>
            </c:dLbl>
            <c:dLbl>
              <c:idx val="16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0-73E6-7C41-89A9-AAEBE96233CB}"/>
                </c:ext>
              </c:extLst>
            </c:dLbl>
            <c:dLbl>
              <c:idx val="16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1-73E6-7C41-89A9-AAEBE96233CB}"/>
                </c:ext>
              </c:extLst>
            </c:dLbl>
            <c:dLbl>
              <c:idx val="16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2-73E6-7C41-89A9-AAEBE96233CB}"/>
                </c:ext>
              </c:extLst>
            </c:dLbl>
            <c:dLbl>
              <c:idx val="16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3-73E6-7C41-89A9-AAEBE96233CB}"/>
                </c:ext>
              </c:extLst>
            </c:dLbl>
            <c:dLbl>
              <c:idx val="16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4-73E6-7C41-89A9-AAEBE96233CB}"/>
                </c:ext>
              </c:extLst>
            </c:dLbl>
            <c:dLbl>
              <c:idx val="16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5-73E6-7C41-89A9-AAEBE96233CB}"/>
                </c:ext>
              </c:extLst>
            </c:dLbl>
            <c:dLbl>
              <c:idx val="16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6-73E6-7C41-89A9-AAEBE96233CB}"/>
                </c:ext>
              </c:extLst>
            </c:dLbl>
            <c:dLbl>
              <c:idx val="16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7-73E6-7C41-89A9-AAEBE96233CB}"/>
                </c:ext>
              </c:extLst>
            </c:dLbl>
            <c:dLbl>
              <c:idx val="16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8-73E6-7C41-89A9-AAEBE96233CB}"/>
                </c:ext>
              </c:extLst>
            </c:dLbl>
            <c:dLbl>
              <c:idx val="16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9-73E6-7C41-89A9-AAEBE96233CB}"/>
                </c:ext>
              </c:extLst>
            </c:dLbl>
            <c:dLbl>
              <c:idx val="17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A-73E6-7C41-89A9-AAEBE96233CB}"/>
                </c:ext>
              </c:extLst>
            </c:dLbl>
            <c:dLbl>
              <c:idx val="17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B-73E6-7C41-89A9-AAEBE96233CB}"/>
                </c:ext>
              </c:extLst>
            </c:dLbl>
            <c:dLbl>
              <c:idx val="17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C-73E6-7C41-89A9-AAEBE96233CB}"/>
                </c:ext>
              </c:extLst>
            </c:dLbl>
            <c:dLbl>
              <c:idx val="17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D-73E6-7C41-89A9-AAEBE96233CB}"/>
                </c:ext>
              </c:extLst>
            </c:dLbl>
            <c:dLbl>
              <c:idx val="17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E-73E6-7C41-89A9-AAEBE96233CB}"/>
                </c:ext>
              </c:extLst>
            </c:dLbl>
            <c:dLbl>
              <c:idx val="17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F-73E6-7C41-89A9-AAEBE96233CB}"/>
                </c:ext>
              </c:extLst>
            </c:dLbl>
            <c:dLbl>
              <c:idx val="17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0-73E6-7C41-89A9-AAEBE96233CB}"/>
                </c:ext>
              </c:extLst>
            </c:dLbl>
            <c:dLbl>
              <c:idx val="17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1-73E6-7C41-89A9-AAEBE96233CB}"/>
                </c:ext>
              </c:extLst>
            </c:dLbl>
            <c:dLbl>
              <c:idx val="17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2-73E6-7C41-89A9-AAEBE96233CB}"/>
                </c:ext>
              </c:extLst>
            </c:dLbl>
            <c:dLbl>
              <c:idx val="17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3-73E6-7C41-89A9-AAEBE96233CB}"/>
                </c:ext>
              </c:extLst>
            </c:dLbl>
            <c:dLbl>
              <c:idx val="18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4-73E6-7C41-89A9-AAEBE96233CB}"/>
                </c:ext>
              </c:extLst>
            </c:dLbl>
            <c:dLbl>
              <c:idx val="18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5-73E6-7C41-89A9-AAEBE96233CB}"/>
                </c:ext>
              </c:extLst>
            </c:dLbl>
            <c:dLbl>
              <c:idx val="18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6-73E6-7C41-89A9-AAEBE96233CB}"/>
                </c:ext>
              </c:extLst>
            </c:dLbl>
            <c:dLbl>
              <c:idx val="18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7-73E6-7C41-89A9-AAEBE96233CB}"/>
                </c:ext>
              </c:extLst>
            </c:dLbl>
            <c:dLbl>
              <c:idx val="18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8-73E6-7C41-89A9-AAEBE96233CB}"/>
                </c:ext>
              </c:extLst>
            </c:dLbl>
            <c:dLbl>
              <c:idx val="18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9-73E6-7C41-89A9-AAEBE96233CB}"/>
                </c:ext>
              </c:extLst>
            </c:dLbl>
            <c:dLbl>
              <c:idx val="18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A-73E6-7C41-89A9-AAEBE96233CB}"/>
                </c:ext>
              </c:extLst>
            </c:dLbl>
            <c:dLbl>
              <c:idx val="18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B-73E6-7C41-89A9-AAEBE96233CB}"/>
                </c:ext>
              </c:extLst>
            </c:dLbl>
            <c:dLbl>
              <c:idx val="18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C-73E6-7C41-89A9-AAEBE96233CB}"/>
                </c:ext>
              </c:extLst>
            </c:dLbl>
            <c:dLbl>
              <c:idx val="18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D-73E6-7C41-89A9-AAEBE96233CB}"/>
                </c:ext>
              </c:extLst>
            </c:dLbl>
            <c:dLbl>
              <c:idx val="19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E-73E6-7C41-89A9-AAEBE96233CB}"/>
                </c:ext>
              </c:extLst>
            </c:dLbl>
            <c:dLbl>
              <c:idx val="19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F-73E6-7C41-89A9-AAEBE96233CB}"/>
                </c:ext>
              </c:extLst>
            </c:dLbl>
            <c:dLbl>
              <c:idx val="19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0-73E6-7C41-89A9-AAEBE96233CB}"/>
                </c:ext>
              </c:extLst>
            </c:dLbl>
            <c:dLbl>
              <c:idx val="19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1-73E6-7C41-89A9-AAEBE96233CB}"/>
                </c:ext>
              </c:extLst>
            </c:dLbl>
            <c:dLbl>
              <c:idx val="19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2-73E6-7C41-89A9-AAEBE96233CB}"/>
                </c:ext>
              </c:extLst>
            </c:dLbl>
            <c:dLbl>
              <c:idx val="19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3-73E6-7C41-89A9-AAEBE96233CB}"/>
                </c:ext>
              </c:extLst>
            </c:dLbl>
            <c:dLbl>
              <c:idx val="19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4-73E6-7C41-89A9-AAEBE96233CB}"/>
                </c:ext>
              </c:extLst>
            </c:dLbl>
            <c:dLbl>
              <c:idx val="19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5-73E6-7C41-89A9-AAEBE96233CB}"/>
                </c:ext>
              </c:extLst>
            </c:dLbl>
            <c:dLbl>
              <c:idx val="19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6-73E6-7C41-89A9-AAEBE96233CB}"/>
                </c:ext>
              </c:extLst>
            </c:dLbl>
            <c:dLbl>
              <c:idx val="19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7-73E6-7C41-89A9-AAEBE96233CB}"/>
                </c:ext>
              </c:extLst>
            </c:dLbl>
            <c:dLbl>
              <c:idx val="2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8-73E6-7C41-89A9-AAEBE96233CB}"/>
                </c:ext>
              </c:extLst>
            </c:dLbl>
            <c:dLbl>
              <c:idx val="2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9-73E6-7C41-89A9-AAEBE96233CB}"/>
                </c:ext>
              </c:extLst>
            </c:dLbl>
            <c:dLbl>
              <c:idx val="2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A-73E6-7C41-89A9-AAEBE96233CB}"/>
                </c:ext>
              </c:extLst>
            </c:dLbl>
            <c:dLbl>
              <c:idx val="2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B-73E6-7C41-89A9-AAEBE96233CB}"/>
                </c:ext>
              </c:extLst>
            </c:dLbl>
            <c:dLbl>
              <c:idx val="2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C-73E6-7C41-89A9-AAEBE96233CB}"/>
                </c:ext>
              </c:extLst>
            </c:dLbl>
            <c:dLbl>
              <c:idx val="2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D-73E6-7C41-89A9-AAEBE96233CB}"/>
                </c:ext>
              </c:extLst>
            </c:dLbl>
            <c:dLbl>
              <c:idx val="2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E-73E6-7C41-89A9-AAEBE96233CB}"/>
                </c:ext>
              </c:extLst>
            </c:dLbl>
            <c:dLbl>
              <c:idx val="2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F-73E6-7C41-89A9-AAEBE96233CB}"/>
                </c:ext>
              </c:extLst>
            </c:dLbl>
            <c:dLbl>
              <c:idx val="2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0-73E6-7C41-89A9-AAEBE96233CB}"/>
                </c:ext>
              </c:extLst>
            </c:dLbl>
            <c:dLbl>
              <c:idx val="2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1-73E6-7C41-89A9-AAEBE96233CB}"/>
                </c:ext>
              </c:extLst>
            </c:dLbl>
            <c:dLbl>
              <c:idx val="2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2-73E6-7C41-89A9-AAEBE96233CB}"/>
                </c:ext>
              </c:extLst>
            </c:dLbl>
            <c:dLbl>
              <c:idx val="2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3-73E6-7C41-89A9-AAEBE96233CB}"/>
                </c:ext>
              </c:extLst>
            </c:dLbl>
            <c:dLbl>
              <c:idx val="2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4-73E6-7C41-89A9-AAEBE96233CB}"/>
                </c:ext>
              </c:extLst>
            </c:dLbl>
            <c:dLbl>
              <c:idx val="2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5-73E6-7C41-89A9-AAEBE96233CB}"/>
                </c:ext>
              </c:extLst>
            </c:dLbl>
            <c:dLbl>
              <c:idx val="2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6-73E6-7C41-89A9-AAEBE96233CB}"/>
                </c:ext>
              </c:extLst>
            </c:dLbl>
            <c:dLbl>
              <c:idx val="2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7-73E6-7C41-89A9-AAEBE96233CB}"/>
                </c:ext>
              </c:extLst>
            </c:dLbl>
            <c:dLbl>
              <c:idx val="2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8-73E6-7C41-89A9-AAEBE96233CB}"/>
                </c:ext>
              </c:extLst>
            </c:dLbl>
            <c:dLbl>
              <c:idx val="2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9-73E6-7C41-89A9-AAEBE96233CB}"/>
                </c:ext>
              </c:extLst>
            </c:dLbl>
            <c:dLbl>
              <c:idx val="2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A-73E6-7C41-89A9-AAEBE96233CB}"/>
                </c:ext>
              </c:extLst>
            </c:dLbl>
            <c:dLbl>
              <c:idx val="2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B-73E6-7C41-89A9-AAEBE96233CB}"/>
                </c:ext>
              </c:extLst>
            </c:dLbl>
            <c:dLbl>
              <c:idx val="2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C-73E6-7C41-89A9-AAEBE96233CB}"/>
                </c:ext>
              </c:extLst>
            </c:dLbl>
            <c:dLbl>
              <c:idx val="2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D-73E6-7C41-89A9-AAEBE96233CB}"/>
                </c:ext>
              </c:extLst>
            </c:dLbl>
            <c:dLbl>
              <c:idx val="2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E-73E6-7C41-89A9-AAEBE96233CB}"/>
                </c:ext>
              </c:extLst>
            </c:dLbl>
            <c:dLbl>
              <c:idx val="2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F-73E6-7C41-89A9-AAEBE96233CB}"/>
                </c:ext>
              </c:extLst>
            </c:dLbl>
            <c:dLbl>
              <c:idx val="2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0-73E6-7C41-89A9-AAEBE96233CB}"/>
                </c:ext>
              </c:extLst>
            </c:dLbl>
            <c:dLbl>
              <c:idx val="2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1-73E6-7C41-89A9-AAEBE96233CB}"/>
                </c:ext>
              </c:extLst>
            </c:dLbl>
            <c:dLbl>
              <c:idx val="2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2-73E6-7C41-89A9-AAEBE96233CB}"/>
                </c:ext>
              </c:extLst>
            </c:dLbl>
            <c:dLbl>
              <c:idx val="2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3-73E6-7C41-89A9-AAEBE96233CB}"/>
                </c:ext>
              </c:extLst>
            </c:dLbl>
            <c:dLbl>
              <c:idx val="2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4-73E6-7C41-89A9-AAEBE96233CB}"/>
                </c:ext>
              </c:extLst>
            </c:dLbl>
            <c:dLbl>
              <c:idx val="2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5-73E6-7C41-89A9-AAEBE96233CB}"/>
                </c:ext>
              </c:extLst>
            </c:dLbl>
            <c:dLbl>
              <c:idx val="2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6-73E6-7C41-89A9-AAEBE96233CB}"/>
                </c:ext>
              </c:extLst>
            </c:dLbl>
            <c:dLbl>
              <c:idx val="2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7-73E6-7C41-89A9-AAEBE96233CB}"/>
                </c:ext>
              </c:extLst>
            </c:dLbl>
            <c:dLbl>
              <c:idx val="2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8-73E6-7C41-89A9-AAEBE96233CB}"/>
                </c:ext>
              </c:extLst>
            </c:dLbl>
            <c:dLbl>
              <c:idx val="2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9-73E6-7C41-89A9-AAEBE96233CB}"/>
                </c:ext>
              </c:extLst>
            </c:dLbl>
            <c:dLbl>
              <c:idx val="2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A-73E6-7C41-89A9-AAEBE96233CB}"/>
                </c:ext>
              </c:extLst>
            </c:dLbl>
            <c:dLbl>
              <c:idx val="2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B-73E6-7C41-89A9-AAEBE96233CB}"/>
                </c:ext>
              </c:extLst>
            </c:dLbl>
            <c:dLbl>
              <c:idx val="2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C-73E6-7C41-89A9-AAEBE96233CB}"/>
                </c:ext>
              </c:extLst>
            </c:dLbl>
            <c:dLbl>
              <c:idx val="2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D-73E6-7C41-89A9-AAEBE96233CB}"/>
                </c:ext>
              </c:extLst>
            </c:dLbl>
            <c:dLbl>
              <c:idx val="2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E-73E6-7C41-89A9-AAEBE96233CB}"/>
                </c:ext>
              </c:extLst>
            </c:dLbl>
            <c:dLbl>
              <c:idx val="2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F-73E6-7C41-89A9-AAEBE96233CB}"/>
                </c:ext>
              </c:extLst>
            </c:dLbl>
            <c:dLbl>
              <c:idx val="2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0-73E6-7C41-89A9-AAEBE96233CB}"/>
                </c:ext>
              </c:extLst>
            </c:dLbl>
            <c:dLbl>
              <c:idx val="2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1-73E6-7C41-89A9-AAEBE96233CB}"/>
                </c:ext>
              </c:extLst>
            </c:dLbl>
            <c:dLbl>
              <c:idx val="2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2-73E6-7C41-89A9-AAEBE96233CB}"/>
                </c:ext>
              </c:extLst>
            </c:dLbl>
            <c:dLbl>
              <c:idx val="2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3-73E6-7C41-89A9-AAEBE96233CB}"/>
                </c:ext>
              </c:extLst>
            </c:dLbl>
            <c:dLbl>
              <c:idx val="2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4-73E6-7C41-89A9-AAEBE96233CB}"/>
                </c:ext>
              </c:extLst>
            </c:dLbl>
            <c:dLbl>
              <c:idx val="2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5-73E6-7C41-89A9-AAEBE96233CB}"/>
                </c:ext>
              </c:extLst>
            </c:dLbl>
            <c:dLbl>
              <c:idx val="2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6-73E6-7C41-89A9-AAEBE96233CB}"/>
                </c:ext>
              </c:extLst>
            </c:dLbl>
            <c:dLbl>
              <c:idx val="2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7-73E6-7C41-89A9-AAEBE96233CB}"/>
                </c:ext>
              </c:extLst>
            </c:dLbl>
            <c:dLbl>
              <c:idx val="2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8-73E6-7C41-89A9-AAEBE96233CB}"/>
                </c:ext>
              </c:extLst>
            </c:dLbl>
            <c:dLbl>
              <c:idx val="2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9-73E6-7C41-89A9-AAEBE96233CB}"/>
                </c:ext>
              </c:extLst>
            </c:dLbl>
            <c:dLbl>
              <c:idx val="2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C-73E6-7C41-89A9-AAEBE96233CB}"/>
                </c:ext>
              </c:extLst>
            </c:dLbl>
            <c:spPr>
              <a:solidFill>
                <a:schemeClr val="bg1">
                  <a:lumMod val="95000"/>
                  <a:alpha val="50000"/>
                </a:schemeClr>
              </a:solidFill>
              <a:ln w="6350">
                <a:solidFill>
                  <a:schemeClr val="accent1">
                    <a:lumMod val="20000"/>
                    <a:lumOff val="80000"/>
                    <a:alpha val="50000"/>
                  </a:schemeClr>
                </a:solid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zh-CN"/>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xVal>
            <c:numRef>
              <c:f>交易所排名!$Q$68:$Q$318</c:f>
              <c:numCache>
                <c:formatCode>General</c:formatCode>
                <c:ptCount val="251"/>
                <c:pt idx="0">
                  <c:v>10</c:v>
                </c:pt>
                <c:pt idx="1">
                  <c:v>5</c:v>
                </c:pt>
                <c:pt idx="2">
                  <c:v>3</c:v>
                </c:pt>
                <c:pt idx="3">
                  <c:v>7</c:v>
                </c:pt>
                <c:pt idx="4">
                  <c:v>8</c:v>
                </c:pt>
                <c:pt idx="5">
                  <c:v>10</c:v>
                </c:pt>
                <c:pt idx="6">
                  <c:v>6</c:v>
                </c:pt>
                <c:pt idx="7">
                  <c:v>7</c:v>
                </c:pt>
                <c:pt idx="8">
                  <c:v>5</c:v>
                </c:pt>
                <c:pt idx="9">
                  <c:v>10</c:v>
                </c:pt>
                <c:pt idx="10">
                  <c:v>7</c:v>
                </c:pt>
                <c:pt idx="11">
                  <c:v>10</c:v>
                </c:pt>
                <c:pt idx="12">
                  <c:v>4</c:v>
                </c:pt>
                <c:pt idx="13">
                  <c:v>4</c:v>
                </c:pt>
                <c:pt idx="14">
                  <c:v>9</c:v>
                </c:pt>
                <c:pt idx="15">
                  <c:v>8</c:v>
                </c:pt>
                <c:pt idx="16">
                  <c:v>10</c:v>
                </c:pt>
                <c:pt idx="17">
                  <c:v>2</c:v>
                </c:pt>
                <c:pt idx="18">
                  <c:v>6</c:v>
                </c:pt>
                <c:pt idx="19">
                  <c:v>7</c:v>
                </c:pt>
                <c:pt idx="20">
                  <c:v>8</c:v>
                </c:pt>
                <c:pt idx="21">
                  <c:v>10</c:v>
                </c:pt>
                <c:pt idx="22">
                  <c:v>6</c:v>
                </c:pt>
                <c:pt idx="23">
                  <c:v>7</c:v>
                </c:pt>
                <c:pt idx="24">
                  <c:v>8</c:v>
                </c:pt>
                <c:pt idx="25">
                  <c:v>8</c:v>
                </c:pt>
                <c:pt idx="26">
                  <c:v>10</c:v>
                </c:pt>
                <c:pt idx="27">
                  <c:v>8</c:v>
                </c:pt>
                <c:pt idx="28">
                  <c:v>8</c:v>
                </c:pt>
                <c:pt idx="29">
                  <c:v>7</c:v>
                </c:pt>
                <c:pt idx="30">
                  <c:v>10</c:v>
                </c:pt>
                <c:pt idx="31">
                  <c:v>7</c:v>
                </c:pt>
                <c:pt idx="32">
                  <c:v>8</c:v>
                </c:pt>
                <c:pt idx="33">
                  <c:v>6</c:v>
                </c:pt>
                <c:pt idx="34">
                  <c:v>10</c:v>
                </c:pt>
                <c:pt idx="35">
                  <c:v>4</c:v>
                </c:pt>
                <c:pt idx="36">
                  <c:v>7</c:v>
                </c:pt>
                <c:pt idx="37">
                  <c:v>3</c:v>
                </c:pt>
                <c:pt idx="38">
                  <c:v>8</c:v>
                </c:pt>
                <c:pt idx="39">
                  <c:v>9</c:v>
                </c:pt>
                <c:pt idx="40">
                  <c:v>10</c:v>
                </c:pt>
                <c:pt idx="41">
                  <c:v>8</c:v>
                </c:pt>
                <c:pt idx="42">
                  <c:v>7</c:v>
                </c:pt>
                <c:pt idx="43">
                  <c:v>6</c:v>
                </c:pt>
                <c:pt idx="44">
                  <c:v>8</c:v>
                </c:pt>
                <c:pt idx="45">
                  <c:v>8</c:v>
                </c:pt>
                <c:pt idx="46">
                  <c:v>6</c:v>
                </c:pt>
                <c:pt idx="47">
                  <c:v>6</c:v>
                </c:pt>
                <c:pt idx="48">
                  <c:v>7</c:v>
                </c:pt>
                <c:pt idx="49">
                  <c:v>7</c:v>
                </c:pt>
                <c:pt idx="50">
                  <c:v>2</c:v>
                </c:pt>
                <c:pt idx="51">
                  <c:v>2</c:v>
                </c:pt>
                <c:pt idx="52">
                  <c:v>7</c:v>
                </c:pt>
                <c:pt idx="53">
                  <c:v>6</c:v>
                </c:pt>
                <c:pt idx="54">
                  <c:v>2</c:v>
                </c:pt>
                <c:pt idx="55">
                  <c:v>3</c:v>
                </c:pt>
                <c:pt idx="56">
                  <c:v>3</c:v>
                </c:pt>
                <c:pt idx="57">
                  <c:v>4</c:v>
                </c:pt>
                <c:pt idx="58">
                  <c:v>6</c:v>
                </c:pt>
                <c:pt idx="59">
                  <c:v>6</c:v>
                </c:pt>
                <c:pt idx="60">
                  <c:v>6</c:v>
                </c:pt>
                <c:pt idx="61">
                  <c:v>6</c:v>
                </c:pt>
                <c:pt idx="62">
                  <c:v>6</c:v>
                </c:pt>
                <c:pt idx="63">
                  <c:v>0</c:v>
                </c:pt>
                <c:pt idx="64">
                  <c:v>7</c:v>
                </c:pt>
                <c:pt idx="65">
                  <c:v>9</c:v>
                </c:pt>
                <c:pt idx="66">
                  <c:v>6</c:v>
                </c:pt>
                <c:pt idx="67">
                  <c:v>1</c:v>
                </c:pt>
                <c:pt idx="68">
                  <c:v>9</c:v>
                </c:pt>
                <c:pt idx="69">
                  <c:v>5</c:v>
                </c:pt>
                <c:pt idx="70">
                  <c:v>7</c:v>
                </c:pt>
                <c:pt idx="71">
                  <c:v>4</c:v>
                </c:pt>
                <c:pt idx="72">
                  <c:v>9</c:v>
                </c:pt>
                <c:pt idx="73">
                  <c:v>5</c:v>
                </c:pt>
                <c:pt idx="74">
                  <c:v>9</c:v>
                </c:pt>
                <c:pt idx="75">
                  <c:v>5</c:v>
                </c:pt>
                <c:pt idx="76">
                  <c:v>7</c:v>
                </c:pt>
                <c:pt idx="77">
                  <c:v>7</c:v>
                </c:pt>
                <c:pt idx="78">
                  <c:v>7</c:v>
                </c:pt>
                <c:pt idx="79">
                  <c:v>6</c:v>
                </c:pt>
                <c:pt idx="80">
                  <c:v>8</c:v>
                </c:pt>
                <c:pt idx="81">
                  <c:v>3</c:v>
                </c:pt>
                <c:pt idx="82">
                  <c:v>2</c:v>
                </c:pt>
                <c:pt idx="83">
                  <c:v>9</c:v>
                </c:pt>
                <c:pt idx="84">
                  <c:v>7</c:v>
                </c:pt>
                <c:pt idx="85">
                  <c:v>7</c:v>
                </c:pt>
                <c:pt idx="86">
                  <c:v>10</c:v>
                </c:pt>
                <c:pt idx="87">
                  <c:v>2</c:v>
                </c:pt>
                <c:pt idx="88">
                  <c:v>9</c:v>
                </c:pt>
                <c:pt idx="89">
                  <c:v>8</c:v>
                </c:pt>
                <c:pt idx="90">
                  <c:v>0</c:v>
                </c:pt>
                <c:pt idx="91">
                  <c:v>3</c:v>
                </c:pt>
                <c:pt idx="92">
                  <c:v>8</c:v>
                </c:pt>
                <c:pt idx="93">
                  <c:v>7</c:v>
                </c:pt>
                <c:pt idx="94">
                  <c:v>10</c:v>
                </c:pt>
                <c:pt idx="95">
                  <c:v>5</c:v>
                </c:pt>
                <c:pt idx="96">
                  <c:v>7</c:v>
                </c:pt>
                <c:pt idx="97">
                  <c:v>6</c:v>
                </c:pt>
                <c:pt idx="98">
                  <c:v>7</c:v>
                </c:pt>
                <c:pt idx="99">
                  <c:v>9</c:v>
                </c:pt>
                <c:pt idx="100">
                  <c:v>4</c:v>
                </c:pt>
                <c:pt idx="101">
                  <c:v>3</c:v>
                </c:pt>
                <c:pt idx="102">
                  <c:v>7</c:v>
                </c:pt>
                <c:pt idx="103">
                  <c:v>9</c:v>
                </c:pt>
                <c:pt idx="104">
                  <c:v>1</c:v>
                </c:pt>
                <c:pt idx="105">
                  <c:v>7</c:v>
                </c:pt>
                <c:pt idx="106">
                  <c:v>5</c:v>
                </c:pt>
                <c:pt idx="107">
                  <c:v>4</c:v>
                </c:pt>
                <c:pt idx="108">
                  <c:v>5</c:v>
                </c:pt>
                <c:pt idx="109">
                  <c:v>7</c:v>
                </c:pt>
                <c:pt idx="110">
                  <c:v>6</c:v>
                </c:pt>
                <c:pt idx="111">
                  <c:v>3</c:v>
                </c:pt>
                <c:pt idx="112">
                  <c:v>9</c:v>
                </c:pt>
                <c:pt idx="113">
                  <c:v>8</c:v>
                </c:pt>
                <c:pt idx="114">
                  <c:v>5</c:v>
                </c:pt>
                <c:pt idx="115">
                  <c:v>7</c:v>
                </c:pt>
                <c:pt idx="116">
                  <c:v>6</c:v>
                </c:pt>
                <c:pt idx="117">
                  <c:v>8</c:v>
                </c:pt>
                <c:pt idx="118">
                  <c:v>5</c:v>
                </c:pt>
                <c:pt idx="119">
                  <c:v>6</c:v>
                </c:pt>
                <c:pt idx="120">
                  <c:v>5</c:v>
                </c:pt>
                <c:pt idx="121">
                  <c:v>3</c:v>
                </c:pt>
                <c:pt idx="122">
                  <c:v>6</c:v>
                </c:pt>
                <c:pt idx="123">
                  <c:v>5</c:v>
                </c:pt>
                <c:pt idx="124">
                  <c:v>5</c:v>
                </c:pt>
                <c:pt idx="125">
                  <c:v>6</c:v>
                </c:pt>
                <c:pt idx="126">
                  <c:v>6</c:v>
                </c:pt>
                <c:pt idx="127">
                  <c:v>7</c:v>
                </c:pt>
                <c:pt idx="128">
                  <c:v>6</c:v>
                </c:pt>
                <c:pt idx="129">
                  <c:v>6</c:v>
                </c:pt>
                <c:pt idx="130">
                  <c:v>7</c:v>
                </c:pt>
                <c:pt idx="131">
                  <c:v>4</c:v>
                </c:pt>
                <c:pt idx="132">
                  <c:v>6</c:v>
                </c:pt>
                <c:pt idx="133">
                  <c:v>3</c:v>
                </c:pt>
                <c:pt idx="134">
                  <c:v>7</c:v>
                </c:pt>
                <c:pt idx="135">
                  <c:v>6</c:v>
                </c:pt>
                <c:pt idx="136">
                  <c:v>5</c:v>
                </c:pt>
                <c:pt idx="137">
                  <c:v>6</c:v>
                </c:pt>
                <c:pt idx="138">
                  <c:v>5</c:v>
                </c:pt>
                <c:pt idx="139">
                  <c:v>7</c:v>
                </c:pt>
                <c:pt idx="140">
                  <c:v>3</c:v>
                </c:pt>
                <c:pt idx="141">
                  <c:v>7</c:v>
                </c:pt>
                <c:pt idx="142">
                  <c:v>5</c:v>
                </c:pt>
                <c:pt idx="143">
                  <c:v>5</c:v>
                </c:pt>
                <c:pt idx="144">
                  <c:v>6</c:v>
                </c:pt>
                <c:pt idx="145">
                  <c:v>6</c:v>
                </c:pt>
                <c:pt idx="146">
                  <c:v>6</c:v>
                </c:pt>
                <c:pt idx="147">
                  <c:v>4</c:v>
                </c:pt>
                <c:pt idx="148">
                  <c:v>5</c:v>
                </c:pt>
                <c:pt idx="149">
                  <c:v>4</c:v>
                </c:pt>
                <c:pt idx="150">
                  <c:v>7</c:v>
                </c:pt>
                <c:pt idx="151">
                  <c:v>5</c:v>
                </c:pt>
                <c:pt idx="152">
                  <c:v>3</c:v>
                </c:pt>
                <c:pt idx="153">
                  <c:v>7</c:v>
                </c:pt>
                <c:pt idx="154">
                  <c:v>5</c:v>
                </c:pt>
                <c:pt idx="155">
                  <c:v>9</c:v>
                </c:pt>
                <c:pt idx="156">
                  <c:v>8</c:v>
                </c:pt>
                <c:pt idx="157">
                  <c:v>6</c:v>
                </c:pt>
                <c:pt idx="158">
                  <c:v>7</c:v>
                </c:pt>
                <c:pt idx="159">
                  <c:v>7</c:v>
                </c:pt>
                <c:pt idx="160">
                  <c:v>9</c:v>
                </c:pt>
                <c:pt idx="161">
                  <c:v>5</c:v>
                </c:pt>
                <c:pt idx="162">
                  <c:v>7</c:v>
                </c:pt>
                <c:pt idx="163">
                  <c:v>6</c:v>
                </c:pt>
                <c:pt idx="164">
                  <c:v>7</c:v>
                </c:pt>
                <c:pt idx="165">
                  <c:v>4</c:v>
                </c:pt>
                <c:pt idx="166">
                  <c:v>8</c:v>
                </c:pt>
                <c:pt idx="167">
                  <c:v>7</c:v>
                </c:pt>
                <c:pt idx="168">
                  <c:v>5</c:v>
                </c:pt>
                <c:pt idx="169">
                  <c:v>3</c:v>
                </c:pt>
                <c:pt idx="170">
                  <c:v>5</c:v>
                </c:pt>
                <c:pt idx="171">
                  <c:v>7</c:v>
                </c:pt>
                <c:pt idx="172">
                  <c:v>6</c:v>
                </c:pt>
                <c:pt idx="173">
                  <c:v>4</c:v>
                </c:pt>
                <c:pt idx="174">
                  <c:v>7</c:v>
                </c:pt>
                <c:pt idx="175">
                  <c:v>3</c:v>
                </c:pt>
                <c:pt idx="176">
                  <c:v>5</c:v>
                </c:pt>
                <c:pt idx="177">
                  <c:v>6</c:v>
                </c:pt>
                <c:pt idx="178">
                  <c:v>3</c:v>
                </c:pt>
                <c:pt idx="179">
                  <c:v>5</c:v>
                </c:pt>
                <c:pt idx="180">
                  <c:v>7</c:v>
                </c:pt>
                <c:pt idx="181">
                  <c:v>4</c:v>
                </c:pt>
                <c:pt idx="182">
                  <c:v>4</c:v>
                </c:pt>
                <c:pt idx="183">
                  <c:v>5</c:v>
                </c:pt>
                <c:pt idx="184">
                  <c:v>3</c:v>
                </c:pt>
                <c:pt idx="185">
                  <c:v>4</c:v>
                </c:pt>
                <c:pt idx="186">
                  <c:v>4</c:v>
                </c:pt>
                <c:pt idx="187">
                  <c:v>5</c:v>
                </c:pt>
                <c:pt idx="188">
                  <c:v>8</c:v>
                </c:pt>
                <c:pt idx="189">
                  <c:v>6</c:v>
                </c:pt>
                <c:pt idx="190">
                  <c:v>8</c:v>
                </c:pt>
                <c:pt idx="191">
                  <c:v>3</c:v>
                </c:pt>
                <c:pt idx="192">
                  <c:v>5</c:v>
                </c:pt>
                <c:pt idx="193">
                  <c:v>4</c:v>
                </c:pt>
                <c:pt idx="194">
                  <c:v>6</c:v>
                </c:pt>
                <c:pt idx="195">
                  <c:v>4</c:v>
                </c:pt>
                <c:pt idx="196">
                  <c:v>5</c:v>
                </c:pt>
                <c:pt idx="197">
                  <c:v>7</c:v>
                </c:pt>
                <c:pt idx="198">
                  <c:v>5</c:v>
                </c:pt>
                <c:pt idx="199">
                  <c:v>3</c:v>
                </c:pt>
                <c:pt idx="200">
                  <c:v>5</c:v>
                </c:pt>
                <c:pt idx="201">
                  <c:v>8</c:v>
                </c:pt>
                <c:pt idx="202">
                  <c:v>7</c:v>
                </c:pt>
                <c:pt idx="203">
                  <c:v>2</c:v>
                </c:pt>
                <c:pt idx="204">
                  <c:v>3</c:v>
                </c:pt>
                <c:pt idx="205">
                  <c:v>4</c:v>
                </c:pt>
                <c:pt idx="206">
                  <c:v>1</c:v>
                </c:pt>
                <c:pt idx="207">
                  <c:v>2</c:v>
                </c:pt>
                <c:pt idx="208">
                  <c:v>3</c:v>
                </c:pt>
                <c:pt idx="209">
                  <c:v>5</c:v>
                </c:pt>
                <c:pt idx="210">
                  <c:v>5</c:v>
                </c:pt>
                <c:pt idx="211">
                  <c:v>5</c:v>
                </c:pt>
                <c:pt idx="212">
                  <c:v>4</c:v>
                </c:pt>
                <c:pt idx="213">
                  <c:v>4</c:v>
                </c:pt>
                <c:pt idx="214">
                  <c:v>3</c:v>
                </c:pt>
                <c:pt idx="215">
                  <c:v>5</c:v>
                </c:pt>
                <c:pt idx="216">
                  <c:v>4</c:v>
                </c:pt>
                <c:pt idx="217">
                  <c:v>2</c:v>
                </c:pt>
                <c:pt idx="218">
                  <c:v>5</c:v>
                </c:pt>
                <c:pt idx="219">
                  <c:v>5</c:v>
                </c:pt>
                <c:pt idx="220">
                  <c:v>5</c:v>
                </c:pt>
                <c:pt idx="221">
                  <c:v>5</c:v>
                </c:pt>
                <c:pt idx="222">
                  <c:v>6</c:v>
                </c:pt>
                <c:pt idx="223">
                  <c:v>4</c:v>
                </c:pt>
                <c:pt idx="224">
                  <c:v>7</c:v>
                </c:pt>
                <c:pt idx="225">
                  <c:v>4</c:v>
                </c:pt>
                <c:pt idx="226">
                  <c:v>1</c:v>
                </c:pt>
                <c:pt idx="227">
                  <c:v>6</c:v>
                </c:pt>
                <c:pt idx="228">
                  <c:v>3</c:v>
                </c:pt>
                <c:pt idx="229">
                  <c:v>6</c:v>
                </c:pt>
                <c:pt idx="230">
                  <c:v>2</c:v>
                </c:pt>
                <c:pt idx="231">
                  <c:v>7</c:v>
                </c:pt>
                <c:pt idx="232">
                  <c:v>2</c:v>
                </c:pt>
                <c:pt idx="233">
                  <c:v>6</c:v>
                </c:pt>
                <c:pt idx="234">
                  <c:v>3</c:v>
                </c:pt>
                <c:pt idx="235">
                  <c:v>3</c:v>
                </c:pt>
                <c:pt idx="236">
                  <c:v>2</c:v>
                </c:pt>
                <c:pt idx="237">
                  <c:v>4</c:v>
                </c:pt>
                <c:pt idx="238">
                  <c:v>4</c:v>
                </c:pt>
                <c:pt idx="239">
                  <c:v>3</c:v>
                </c:pt>
                <c:pt idx="240">
                  <c:v>5</c:v>
                </c:pt>
                <c:pt idx="241">
                  <c:v>1</c:v>
                </c:pt>
                <c:pt idx="242">
                  <c:v>2</c:v>
                </c:pt>
                <c:pt idx="243">
                  <c:v>2</c:v>
                </c:pt>
                <c:pt idx="244">
                  <c:v>3</c:v>
                </c:pt>
                <c:pt idx="245">
                  <c:v>3</c:v>
                </c:pt>
                <c:pt idx="246">
                  <c:v>3</c:v>
                </c:pt>
                <c:pt idx="247">
                  <c:v>3</c:v>
                </c:pt>
                <c:pt idx="248">
                  <c:v>3</c:v>
                </c:pt>
                <c:pt idx="249">
                  <c:v>2</c:v>
                </c:pt>
              </c:numCache>
            </c:numRef>
          </c:xVal>
          <c:yVal>
            <c:numRef>
              <c:f>交易所排名!$T$68:$T$318</c:f>
              <c:numCache>
                <c:formatCode>_(* #,##0_);_(* \(#,##0\);_(* "-"??_);_(@_)</c:formatCode>
                <c:ptCount val="251"/>
                <c:pt idx="0">
                  <c:v>446692.43762578897</c:v>
                </c:pt>
                <c:pt idx="1">
                  <c:v>9744.4304629635062</c:v>
                </c:pt>
                <c:pt idx="2">
                  <c:v>214.23499950240046</c:v>
                </c:pt>
                <c:pt idx="3">
                  <c:v>4828.3102809664451</c:v>
                </c:pt>
                <c:pt idx="4">
                  <c:v>132213.46261145396</c:v>
                </c:pt>
                <c:pt idx="5">
                  <c:v>116013.93120572752</c:v>
                </c:pt>
                <c:pt idx="6">
                  <c:v>110729.72428069217</c:v>
                </c:pt>
                <c:pt idx="7">
                  <c:v>31045.825279742305</c:v>
                </c:pt>
                <c:pt idx="8">
                  <c:v>5901.865667361807</c:v>
                </c:pt>
                <c:pt idx="9">
                  <c:v>94051.844259287478</c:v>
                </c:pt>
                <c:pt idx="10">
                  <c:v>74530.564955555572</c:v>
                </c:pt>
                <c:pt idx="11">
                  <c:v>70307.006571103761</c:v>
                </c:pt>
                <c:pt idx="12">
                  <c:v>1876.8043907025108</c:v>
                </c:pt>
                <c:pt idx="13">
                  <c:v>54404.061565915268</c:v>
                </c:pt>
                <c:pt idx="14">
                  <c:v>48360.566666943472</c:v>
                </c:pt>
                <c:pt idx="15">
                  <c:v>43028.202539244223</c:v>
                </c:pt>
                <c:pt idx="16">
                  <c:v>42064.430996179872</c:v>
                </c:pt>
                <c:pt idx="17">
                  <c:v>84.636049186133519</c:v>
                </c:pt>
                <c:pt idx="18">
                  <c:v>1024.00803260098</c:v>
                </c:pt>
                <c:pt idx="19">
                  <c:v>32448.89399838182</c:v>
                </c:pt>
                <c:pt idx="20">
                  <c:v>31711.96715350014</c:v>
                </c:pt>
                <c:pt idx="21">
                  <c:v>31639.245547928698</c:v>
                </c:pt>
                <c:pt idx="22">
                  <c:v>28146.930363948013</c:v>
                </c:pt>
                <c:pt idx="23">
                  <c:v>26118.039010346103</c:v>
                </c:pt>
                <c:pt idx="24">
                  <c:v>25193.248972156562</c:v>
                </c:pt>
                <c:pt idx="25">
                  <c:v>24785.061722976101</c:v>
                </c:pt>
                <c:pt idx="26">
                  <c:v>24526.084211836154</c:v>
                </c:pt>
                <c:pt idx="27">
                  <c:v>22147.550805332234</c:v>
                </c:pt>
                <c:pt idx="28">
                  <c:v>21600.409271069359</c:v>
                </c:pt>
                <c:pt idx="29">
                  <c:v>18888.553584014393</c:v>
                </c:pt>
                <c:pt idx="30">
                  <c:v>18388.638452517855</c:v>
                </c:pt>
                <c:pt idx="31">
                  <c:v>17611.45098824962</c:v>
                </c:pt>
                <c:pt idx="32">
                  <c:v>16831.166710720125</c:v>
                </c:pt>
                <c:pt idx="33">
                  <c:v>16793.569056601307</c:v>
                </c:pt>
                <c:pt idx="34">
                  <c:v>16682.022432116828</c:v>
                </c:pt>
                <c:pt idx="35">
                  <c:v>1818.3526192333372</c:v>
                </c:pt>
                <c:pt idx="36">
                  <c:v>14864.572964337311</c:v>
                </c:pt>
                <c:pt idx="37">
                  <c:v>14834.768321257541</c:v>
                </c:pt>
                <c:pt idx="38">
                  <c:v>14451.935604289152</c:v>
                </c:pt>
                <c:pt idx="39">
                  <c:v>14085.704138595216</c:v>
                </c:pt>
                <c:pt idx="40">
                  <c:v>14064.058101500885</c:v>
                </c:pt>
                <c:pt idx="41">
                  <c:v>13440.865057876657</c:v>
                </c:pt>
                <c:pt idx="42">
                  <c:v>12275.82308553586</c:v>
                </c:pt>
                <c:pt idx="43">
                  <c:v>10862.788671481676</c:v>
                </c:pt>
                <c:pt idx="44">
                  <c:v>10360.309632630177</c:v>
                </c:pt>
                <c:pt idx="45">
                  <c:v>10277.934332918256</c:v>
                </c:pt>
                <c:pt idx="46">
                  <c:v>10194.783431110249</c:v>
                </c:pt>
                <c:pt idx="47">
                  <c:v>9413.5812300457728</c:v>
                </c:pt>
                <c:pt idx="48">
                  <c:v>9180.9314171550341</c:v>
                </c:pt>
                <c:pt idx="49">
                  <c:v>9021.3649005771022</c:v>
                </c:pt>
                <c:pt idx="50">
                  <c:v>44.874738578897883</c:v>
                </c:pt>
                <c:pt idx="51">
                  <c:v>789.05483355822378</c:v>
                </c:pt>
                <c:pt idx="52">
                  <c:v>8905.5551755250635</c:v>
                </c:pt>
                <c:pt idx="53">
                  <c:v>4222.5453914269419</c:v>
                </c:pt>
                <c:pt idx="54">
                  <c:v>374.69084275111203</c:v>
                </c:pt>
                <c:pt idx="55">
                  <c:v>6715.2533650610467</c:v>
                </c:pt>
                <c:pt idx="56">
                  <c:v>616.25623313653466</c:v>
                </c:pt>
                <c:pt idx="57">
                  <c:v>57.922796161760125</c:v>
                </c:pt>
                <c:pt idx="58">
                  <c:v>7694.3871535207036</c:v>
                </c:pt>
                <c:pt idx="59">
                  <c:v>0</c:v>
                </c:pt>
                <c:pt idx="60">
                  <c:v>7443.9920835458743</c:v>
                </c:pt>
                <c:pt idx="61">
                  <c:v>7396.6553409580356</c:v>
                </c:pt>
                <c:pt idx="62">
                  <c:v>7353.4665578510103</c:v>
                </c:pt>
                <c:pt idx="63">
                  <c:v>7298.7830230737409</c:v>
                </c:pt>
                <c:pt idx="64">
                  <c:v>7235.0909567270746</c:v>
                </c:pt>
                <c:pt idx="65">
                  <c:v>6704.3378467252696</c:v>
                </c:pt>
                <c:pt idx="66">
                  <c:v>6617.5505028011385</c:v>
                </c:pt>
                <c:pt idx="67">
                  <c:v>295.60903429281848</c:v>
                </c:pt>
                <c:pt idx="68">
                  <c:v>6296.5483645885251</c:v>
                </c:pt>
                <c:pt idx="69">
                  <c:v>6201.1773004916977</c:v>
                </c:pt>
                <c:pt idx="70">
                  <c:v>6106.5239369346482</c:v>
                </c:pt>
                <c:pt idx="71">
                  <c:v>5368.8109244672441</c:v>
                </c:pt>
                <c:pt idx="72">
                  <c:v>5013.6128588636411</c:v>
                </c:pt>
                <c:pt idx="73">
                  <c:v>1635.2390003170881</c:v>
                </c:pt>
                <c:pt idx="74">
                  <c:v>4571.3164441148019</c:v>
                </c:pt>
                <c:pt idx="75">
                  <c:v>4509.0736829424977</c:v>
                </c:pt>
                <c:pt idx="76">
                  <c:v>4437.1142164282792</c:v>
                </c:pt>
                <c:pt idx="77">
                  <c:v>4307.0701196199725</c:v>
                </c:pt>
                <c:pt idx="78">
                  <c:v>4217.1523481963686</c:v>
                </c:pt>
                <c:pt idx="79">
                  <c:v>4134.6044420701301</c:v>
                </c:pt>
                <c:pt idx="80">
                  <c:v>4019.429525400034</c:v>
                </c:pt>
                <c:pt idx="81">
                  <c:v>57.922796161760125</c:v>
                </c:pt>
                <c:pt idx="82">
                  <c:v>11.461131660622247</c:v>
                </c:pt>
                <c:pt idx="83">
                  <c:v>3659.7655108456456</c:v>
                </c:pt>
                <c:pt idx="84">
                  <c:v>3641.8223152203018</c:v>
                </c:pt>
                <c:pt idx="85">
                  <c:v>3473.3790306149567</c:v>
                </c:pt>
                <c:pt idx="86">
                  <c:v>3216.5187303089201</c:v>
                </c:pt>
                <c:pt idx="87">
                  <c:v>85.958487454666852</c:v>
                </c:pt>
                <c:pt idx="88">
                  <c:v>3072.4297193448169</c:v>
                </c:pt>
                <c:pt idx="89">
                  <c:v>2889.2057668843854</c:v>
                </c:pt>
                <c:pt idx="90">
                  <c:v>0</c:v>
                </c:pt>
                <c:pt idx="91">
                  <c:v>170.15372388462256</c:v>
                </c:pt>
                <c:pt idx="92">
                  <c:v>2322.7398344823291</c:v>
                </c:pt>
                <c:pt idx="93">
                  <c:v>2282.3861262076034</c:v>
                </c:pt>
                <c:pt idx="94">
                  <c:v>2118.3843098358061</c:v>
                </c:pt>
                <c:pt idx="95">
                  <c:v>0</c:v>
                </c:pt>
                <c:pt idx="96">
                  <c:v>2077.9604840689954</c:v>
                </c:pt>
                <c:pt idx="97">
                  <c:v>2027.5810684514656</c:v>
                </c:pt>
                <c:pt idx="98">
                  <c:v>2010.3919440887837</c:v>
                </c:pt>
                <c:pt idx="99">
                  <c:v>1995.6326126946763</c:v>
                </c:pt>
                <c:pt idx="100">
                  <c:v>0</c:v>
                </c:pt>
                <c:pt idx="101">
                  <c:v>1755.1430947194392</c:v>
                </c:pt>
                <c:pt idx="102">
                  <c:v>1659.7731127460445</c:v>
                </c:pt>
                <c:pt idx="103">
                  <c:v>1592.9254799570288</c:v>
                </c:pt>
                <c:pt idx="104">
                  <c:v>185.75849545331593</c:v>
                </c:pt>
                <c:pt idx="105">
                  <c:v>1354.642396204752</c:v>
                </c:pt>
                <c:pt idx="106">
                  <c:v>1316.7957554858951</c:v>
                </c:pt>
                <c:pt idx="107">
                  <c:v>1307.8636522258573</c:v>
                </c:pt>
                <c:pt idx="108">
                  <c:v>1293.9708168295276</c:v>
                </c:pt>
                <c:pt idx="109">
                  <c:v>1288.8422154806344</c:v>
                </c:pt>
                <c:pt idx="110">
                  <c:v>383.06628511848965</c:v>
                </c:pt>
                <c:pt idx="111">
                  <c:v>565.12195341991242</c:v>
                </c:pt>
                <c:pt idx="112">
                  <c:v>1175.2489937347511</c:v>
                </c:pt>
                <c:pt idx="113">
                  <c:v>1154.4819655716792</c:v>
                </c:pt>
                <c:pt idx="114">
                  <c:v>1103.741484894198</c:v>
                </c:pt>
                <c:pt idx="115">
                  <c:v>1067.6036607814046</c:v>
                </c:pt>
                <c:pt idx="116">
                  <c:v>1020.5688212461861</c:v>
                </c:pt>
                <c:pt idx="117">
                  <c:v>1003.400647053954</c:v>
                </c:pt>
                <c:pt idx="118">
                  <c:v>997.16052490440359</c:v>
                </c:pt>
                <c:pt idx="119">
                  <c:v>977.61569016753356</c:v>
                </c:pt>
                <c:pt idx="120">
                  <c:v>967.73084236626414</c:v>
                </c:pt>
                <c:pt idx="121">
                  <c:v>959.52593531079162</c:v>
                </c:pt>
                <c:pt idx="122">
                  <c:v>947.61182917294536</c:v>
                </c:pt>
                <c:pt idx="123">
                  <c:v>919.9335516000541</c:v>
                </c:pt>
                <c:pt idx="124">
                  <c:v>0</c:v>
                </c:pt>
                <c:pt idx="125">
                  <c:v>844.80754033263622</c:v>
                </c:pt>
                <c:pt idx="126">
                  <c:v>838.45717942266435</c:v>
                </c:pt>
                <c:pt idx="127">
                  <c:v>694.74975907325711</c:v>
                </c:pt>
                <c:pt idx="128">
                  <c:v>687.44201570688074</c:v>
                </c:pt>
                <c:pt idx="129">
                  <c:v>620.9434940123507</c:v>
                </c:pt>
                <c:pt idx="130">
                  <c:v>616.99296470919967</c:v>
                </c:pt>
                <c:pt idx="131">
                  <c:v>609.17842720819874</c:v>
                </c:pt>
                <c:pt idx="132">
                  <c:v>589.64456422686885</c:v>
                </c:pt>
                <c:pt idx="133">
                  <c:v>581.28753078245074</c:v>
                </c:pt>
                <c:pt idx="134">
                  <c:v>574.97322232435693</c:v>
                </c:pt>
                <c:pt idx="135">
                  <c:v>561.61820460877516</c:v>
                </c:pt>
                <c:pt idx="136">
                  <c:v>553.00320028683541</c:v>
                </c:pt>
                <c:pt idx="137">
                  <c:v>535.57929513095621</c:v>
                </c:pt>
                <c:pt idx="138">
                  <c:v>452.27848588710765</c:v>
                </c:pt>
                <c:pt idx="139">
                  <c:v>450.69358714149087</c:v>
                </c:pt>
                <c:pt idx="140">
                  <c:v>56.953008098169001</c:v>
                </c:pt>
                <c:pt idx="141">
                  <c:v>443.15838888427879</c:v>
                </c:pt>
                <c:pt idx="142">
                  <c:v>376.94335044233299</c:v>
                </c:pt>
                <c:pt idx="143">
                  <c:v>351.51217186295207</c:v>
                </c:pt>
                <c:pt idx="144">
                  <c:v>349.1424519508584</c:v>
                </c:pt>
                <c:pt idx="145">
                  <c:v>338.35800886467342</c:v>
                </c:pt>
                <c:pt idx="146">
                  <c:v>0</c:v>
                </c:pt>
                <c:pt idx="147">
                  <c:v>167.24435969384925</c:v>
                </c:pt>
                <c:pt idx="148">
                  <c:v>251.96857143121832</c:v>
                </c:pt>
                <c:pt idx="149">
                  <c:v>324.5195834849402</c:v>
                </c:pt>
                <c:pt idx="150">
                  <c:v>316.35227008817617</c:v>
                </c:pt>
                <c:pt idx="151">
                  <c:v>298.20279704852607</c:v>
                </c:pt>
                <c:pt idx="152">
                  <c:v>282.2655534192956</c:v>
                </c:pt>
                <c:pt idx="153">
                  <c:v>279.17583845565463</c:v>
                </c:pt>
                <c:pt idx="154">
                  <c:v>267.523444558221</c:v>
                </c:pt>
                <c:pt idx="155">
                  <c:v>243.11796219131151</c:v>
                </c:pt>
                <c:pt idx="156">
                  <c:v>238.7219534947142</c:v>
                </c:pt>
                <c:pt idx="157">
                  <c:v>213.58473632644751</c:v>
                </c:pt>
                <c:pt idx="158">
                  <c:v>213.0549679441219</c:v>
                </c:pt>
                <c:pt idx="159">
                  <c:v>185.73570610178925</c:v>
                </c:pt>
                <c:pt idx="160">
                  <c:v>179.9698100424423</c:v>
                </c:pt>
                <c:pt idx="161">
                  <c:v>163.86284257367811</c:v>
                </c:pt>
                <c:pt idx="162">
                  <c:v>154.86942972615682</c:v>
                </c:pt>
                <c:pt idx="163">
                  <c:v>146.97163873792519</c:v>
                </c:pt>
                <c:pt idx="164">
                  <c:v>138.54989608005954</c:v>
                </c:pt>
                <c:pt idx="165">
                  <c:v>138.38240367555869</c:v>
                </c:pt>
                <c:pt idx="166">
                  <c:v>127.8974052846099</c:v>
                </c:pt>
                <c:pt idx="167">
                  <c:v>124.50873761619036</c:v>
                </c:pt>
                <c:pt idx="168">
                  <c:v>121.17326709536977</c:v>
                </c:pt>
                <c:pt idx="169">
                  <c:v>117.00282692072294</c:v>
                </c:pt>
                <c:pt idx="170">
                  <c:v>113.09479760053418</c:v>
                </c:pt>
                <c:pt idx="171">
                  <c:v>112.83455881619844</c:v>
                </c:pt>
                <c:pt idx="172">
                  <c:v>100.2262750464601</c:v>
                </c:pt>
                <c:pt idx="173">
                  <c:v>94.101718330738819</c:v>
                </c:pt>
                <c:pt idx="174">
                  <c:v>79.161368555896928</c:v>
                </c:pt>
                <c:pt idx="175">
                  <c:v>4.1436399080711208</c:v>
                </c:pt>
                <c:pt idx="176">
                  <c:v>72.942337778208781</c:v>
                </c:pt>
                <c:pt idx="177">
                  <c:v>64.268743571113006</c:v>
                </c:pt>
                <c:pt idx="178">
                  <c:v>61.518302604459706</c:v>
                </c:pt>
                <c:pt idx="179">
                  <c:v>61.459509511261572</c:v>
                </c:pt>
                <c:pt idx="180">
                  <c:v>58.524676490769522</c:v>
                </c:pt>
                <c:pt idx="181">
                  <c:v>58.36347036045359</c:v>
                </c:pt>
                <c:pt idx="182">
                  <c:v>57.955893675366887</c:v>
                </c:pt>
                <c:pt idx="183">
                  <c:v>0</c:v>
                </c:pt>
                <c:pt idx="184">
                  <c:v>57.225182288696089</c:v>
                </c:pt>
                <c:pt idx="185">
                  <c:v>49.134446059109422</c:v>
                </c:pt>
                <c:pt idx="186">
                  <c:v>42.898971250935631</c:v>
                </c:pt>
                <c:pt idx="187">
                  <c:v>41.575211367036097</c:v>
                </c:pt>
                <c:pt idx="188">
                  <c:v>41.375184006989507</c:v>
                </c:pt>
                <c:pt idx="189">
                  <c:v>0</c:v>
                </c:pt>
                <c:pt idx="190">
                  <c:v>32.535206604548307</c:v>
                </c:pt>
                <c:pt idx="191">
                  <c:v>30.59610371883522</c:v>
                </c:pt>
                <c:pt idx="192">
                  <c:v>30.384217893252064</c:v>
                </c:pt>
                <c:pt idx="193">
                  <c:v>29.93238164138188</c:v>
                </c:pt>
                <c:pt idx="194">
                  <c:v>28.418918082819911</c:v>
                </c:pt>
                <c:pt idx="195">
                  <c:v>27.222929871943023</c:v>
                </c:pt>
                <c:pt idx="196">
                  <c:v>26.943205158379357</c:v>
                </c:pt>
                <c:pt idx="197">
                  <c:v>22.722891210993655</c:v>
                </c:pt>
                <c:pt idx="198">
                  <c:v>22.483987106924598</c:v>
                </c:pt>
                <c:pt idx="199">
                  <c:v>20.922515357945045</c:v>
                </c:pt>
                <c:pt idx="200">
                  <c:v>20.581562263929829</c:v>
                </c:pt>
                <c:pt idx="201">
                  <c:v>19.451264489862602</c:v>
                </c:pt>
                <c:pt idx="202">
                  <c:v>16.168985769285836</c:v>
                </c:pt>
                <c:pt idx="203">
                  <c:v>15.433871181619205</c:v>
                </c:pt>
                <c:pt idx="204">
                  <c:v>15.14833418546055</c:v>
                </c:pt>
                <c:pt idx="205">
                  <c:v>13.35407337666161</c:v>
                </c:pt>
                <c:pt idx="206">
                  <c:v>3.3501769469511191</c:v>
                </c:pt>
                <c:pt idx="207">
                  <c:v>9.3830601291149041</c:v>
                </c:pt>
                <c:pt idx="208">
                  <c:v>8.2806983435569546</c:v>
                </c:pt>
                <c:pt idx="209">
                  <c:v>7.0561609241231373</c:v>
                </c:pt>
                <c:pt idx="210">
                  <c:v>5.7923785728056476</c:v>
                </c:pt>
                <c:pt idx="211">
                  <c:v>5.6224764293895166</c:v>
                </c:pt>
                <c:pt idx="212">
                  <c:v>5.0136700947742296</c:v>
                </c:pt>
                <c:pt idx="213">
                  <c:v>4.4619207657788715</c:v>
                </c:pt>
                <c:pt idx="214">
                  <c:v>4.2307434482975852</c:v>
                </c:pt>
                <c:pt idx="215">
                  <c:v>4.0411371456678271</c:v>
                </c:pt>
                <c:pt idx="216">
                  <c:v>3.3831666342169369</c:v>
                </c:pt>
                <c:pt idx="217">
                  <c:v>3.0579680934010187</c:v>
                </c:pt>
                <c:pt idx="218">
                  <c:v>0</c:v>
                </c:pt>
                <c:pt idx="219">
                  <c:v>2.8206716655809854</c:v>
                </c:pt>
                <c:pt idx="220">
                  <c:v>1.8995778960698264</c:v>
                </c:pt>
                <c:pt idx="221">
                  <c:v>1.7291299488616936</c:v>
                </c:pt>
                <c:pt idx="222">
                  <c:v>1.7225359024774727</c:v>
                </c:pt>
                <c:pt idx="223">
                  <c:v>1.5155055852778454</c:v>
                </c:pt>
                <c:pt idx="224">
                  <c:v>0</c:v>
                </c:pt>
                <c:pt idx="225">
                  <c:v>1.1347585179375044</c:v>
                </c:pt>
                <c:pt idx="226">
                  <c:v>1.0977684127424101</c:v>
                </c:pt>
                <c:pt idx="227">
                  <c:v>0.99858984323501332</c:v>
                </c:pt>
                <c:pt idx="228">
                  <c:v>0.91031219291421572</c:v>
                </c:pt>
                <c:pt idx="229">
                  <c:v>0.82319230544838595</c:v>
                </c:pt>
                <c:pt idx="230">
                  <c:v>0</c:v>
                </c:pt>
                <c:pt idx="231">
                  <c:v>0</c:v>
                </c:pt>
                <c:pt idx="232">
                  <c:v>0.67298855210448105</c:v>
                </c:pt>
                <c:pt idx="233">
                  <c:v>0.5366794478918322</c:v>
                </c:pt>
                <c:pt idx="234">
                  <c:v>0.49846026029125551</c:v>
                </c:pt>
                <c:pt idx="235">
                  <c:v>0.46167533428980179</c:v>
                </c:pt>
                <c:pt idx="236">
                  <c:v>0.37459603897255112</c:v>
                </c:pt>
                <c:pt idx="237">
                  <c:v>0.28619766525328738</c:v>
                </c:pt>
                <c:pt idx="238">
                  <c:v>0.27559134769972021</c:v>
                </c:pt>
                <c:pt idx="239">
                  <c:v>0.25651108610110068</c:v>
                </c:pt>
                <c:pt idx="240">
                  <c:v>0</c:v>
                </c:pt>
                <c:pt idx="241">
                  <c:v>0.20687963474682899</c:v>
                </c:pt>
                <c:pt idx="242">
                  <c:v>0.13365074368989119</c:v>
                </c:pt>
                <c:pt idx="243">
                  <c:v>0.13129705397852551</c:v>
                </c:pt>
                <c:pt idx="244">
                  <c:v>9.5534039863392498E-2</c:v>
                </c:pt>
                <c:pt idx="245">
                  <c:v>5.4186741190890203E-2</c:v>
                </c:pt>
                <c:pt idx="246">
                  <c:v>0</c:v>
                </c:pt>
                <c:pt idx="247">
                  <c:v>2.8797499124571801E-2</c:v>
                </c:pt>
                <c:pt idx="248">
                  <c:v>2.6321596667744699E-2</c:v>
                </c:pt>
                <c:pt idx="249">
                  <c:v>1.6597268226684801E-2</c:v>
                </c:pt>
              </c:numCache>
            </c:numRef>
          </c:yVal>
          <c:bubbleSize>
            <c:numRef>
              <c:f>交易所排名!$T$68:$T$318</c:f>
              <c:numCache>
                <c:formatCode>_(* #,##0_);_(* \(#,##0\);_(* "-"??_);_(@_)</c:formatCode>
                <c:ptCount val="251"/>
                <c:pt idx="0">
                  <c:v>446692.43762578897</c:v>
                </c:pt>
                <c:pt idx="1">
                  <c:v>9744.4304629635062</c:v>
                </c:pt>
                <c:pt idx="2">
                  <c:v>214.23499950240046</c:v>
                </c:pt>
                <c:pt idx="3">
                  <c:v>4828.3102809664451</c:v>
                </c:pt>
                <c:pt idx="4">
                  <c:v>132213.46261145396</c:v>
                </c:pt>
                <c:pt idx="5">
                  <c:v>116013.93120572752</c:v>
                </c:pt>
                <c:pt idx="6">
                  <c:v>110729.72428069217</c:v>
                </c:pt>
                <c:pt idx="7">
                  <c:v>31045.825279742305</c:v>
                </c:pt>
                <c:pt idx="8">
                  <c:v>5901.865667361807</c:v>
                </c:pt>
                <c:pt idx="9">
                  <c:v>94051.844259287478</c:v>
                </c:pt>
                <c:pt idx="10">
                  <c:v>74530.564955555572</c:v>
                </c:pt>
                <c:pt idx="11">
                  <c:v>70307.006571103761</c:v>
                </c:pt>
                <c:pt idx="12">
                  <c:v>1876.8043907025108</c:v>
                </c:pt>
                <c:pt idx="13">
                  <c:v>54404.061565915268</c:v>
                </c:pt>
                <c:pt idx="14">
                  <c:v>48360.566666943472</c:v>
                </c:pt>
                <c:pt idx="15">
                  <c:v>43028.202539244223</c:v>
                </c:pt>
                <c:pt idx="16">
                  <c:v>42064.430996179872</c:v>
                </c:pt>
                <c:pt idx="17">
                  <c:v>84.636049186133519</c:v>
                </c:pt>
                <c:pt idx="18">
                  <c:v>1024.00803260098</c:v>
                </c:pt>
                <c:pt idx="19">
                  <c:v>32448.89399838182</c:v>
                </c:pt>
                <c:pt idx="20">
                  <c:v>31711.96715350014</c:v>
                </c:pt>
                <c:pt idx="21">
                  <c:v>31639.245547928698</c:v>
                </c:pt>
                <c:pt idx="22">
                  <c:v>28146.930363948013</c:v>
                </c:pt>
                <c:pt idx="23">
                  <c:v>26118.039010346103</c:v>
                </c:pt>
                <c:pt idx="24">
                  <c:v>25193.248972156562</c:v>
                </c:pt>
                <c:pt idx="25">
                  <c:v>24785.061722976101</c:v>
                </c:pt>
                <c:pt idx="26">
                  <c:v>24526.084211836154</c:v>
                </c:pt>
                <c:pt idx="27">
                  <c:v>22147.550805332234</c:v>
                </c:pt>
                <c:pt idx="28">
                  <c:v>21600.409271069359</c:v>
                </c:pt>
                <c:pt idx="29">
                  <c:v>18888.553584014393</c:v>
                </c:pt>
                <c:pt idx="30">
                  <c:v>18388.638452517855</c:v>
                </c:pt>
                <c:pt idx="31">
                  <c:v>17611.45098824962</c:v>
                </c:pt>
                <c:pt idx="32">
                  <c:v>16831.166710720125</c:v>
                </c:pt>
                <c:pt idx="33">
                  <c:v>16793.569056601307</c:v>
                </c:pt>
                <c:pt idx="34">
                  <c:v>16682.022432116828</c:v>
                </c:pt>
                <c:pt idx="35">
                  <c:v>1818.3526192333372</c:v>
                </c:pt>
                <c:pt idx="36">
                  <c:v>14864.572964337311</c:v>
                </c:pt>
                <c:pt idx="37">
                  <c:v>14834.768321257541</c:v>
                </c:pt>
                <c:pt idx="38">
                  <c:v>14451.935604289152</c:v>
                </c:pt>
                <c:pt idx="39">
                  <c:v>14085.704138595216</c:v>
                </c:pt>
                <c:pt idx="40">
                  <c:v>14064.058101500885</c:v>
                </c:pt>
                <c:pt idx="41">
                  <c:v>13440.865057876657</c:v>
                </c:pt>
                <c:pt idx="42">
                  <c:v>12275.82308553586</c:v>
                </c:pt>
                <c:pt idx="43">
                  <c:v>10862.788671481676</c:v>
                </c:pt>
                <c:pt idx="44">
                  <c:v>10360.309632630177</c:v>
                </c:pt>
                <c:pt idx="45">
                  <c:v>10277.934332918256</c:v>
                </c:pt>
                <c:pt idx="46">
                  <c:v>10194.783431110249</c:v>
                </c:pt>
                <c:pt idx="47">
                  <c:v>9413.5812300457728</c:v>
                </c:pt>
                <c:pt idx="48">
                  <c:v>9180.9314171550341</c:v>
                </c:pt>
                <c:pt idx="49">
                  <c:v>9021.3649005771022</c:v>
                </c:pt>
                <c:pt idx="50">
                  <c:v>44.874738578897883</c:v>
                </c:pt>
                <c:pt idx="51">
                  <c:v>789.05483355822378</c:v>
                </c:pt>
                <c:pt idx="52">
                  <c:v>8905.5551755250635</c:v>
                </c:pt>
                <c:pt idx="53">
                  <c:v>4222.5453914269419</c:v>
                </c:pt>
                <c:pt idx="54">
                  <c:v>374.69084275111203</c:v>
                </c:pt>
                <c:pt idx="55">
                  <c:v>6715.2533650610467</c:v>
                </c:pt>
                <c:pt idx="56">
                  <c:v>616.25623313653466</c:v>
                </c:pt>
                <c:pt idx="57">
                  <c:v>57.922796161760125</c:v>
                </c:pt>
                <c:pt idx="58">
                  <c:v>7694.3871535207036</c:v>
                </c:pt>
                <c:pt idx="59">
                  <c:v>0</c:v>
                </c:pt>
                <c:pt idx="60">
                  <c:v>7443.9920835458743</c:v>
                </c:pt>
                <c:pt idx="61">
                  <c:v>7396.6553409580356</c:v>
                </c:pt>
                <c:pt idx="62">
                  <c:v>7353.4665578510103</c:v>
                </c:pt>
                <c:pt idx="63">
                  <c:v>7298.7830230737409</c:v>
                </c:pt>
                <c:pt idx="64">
                  <c:v>7235.0909567270746</c:v>
                </c:pt>
                <c:pt idx="65">
                  <c:v>6704.3378467252696</c:v>
                </c:pt>
                <c:pt idx="66">
                  <c:v>6617.5505028011385</c:v>
                </c:pt>
                <c:pt idx="67">
                  <c:v>295.60903429281848</c:v>
                </c:pt>
                <c:pt idx="68">
                  <c:v>6296.5483645885251</c:v>
                </c:pt>
                <c:pt idx="69">
                  <c:v>6201.1773004916977</c:v>
                </c:pt>
                <c:pt idx="70">
                  <c:v>6106.5239369346482</c:v>
                </c:pt>
                <c:pt idx="71">
                  <c:v>5368.8109244672441</c:v>
                </c:pt>
                <c:pt idx="72">
                  <c:v>5013.6128588636411</c:v>
                </c:pt>
                <c:pt idx="73">
                  <c:v>1635.2390003170881</c:v>
                </c:pt>
                <c:pt idx="74">
                  <c:v>4571.3164441148019</c:v>
                </c:pt>
                <c:pt idx="75">
                  <c:v>4509.0736829424977</c:v>
                </c:pt>
                <c:pt idx="76">
                  <c:v>4437.1142164282792</c:v>
                </c:pt>
                <c:pt idx="77">
                  <c:v>4307.0701196199725</c:v>
                </c:pt>
                <c:pt idx="78">
                  <c:v>4217.1523481963686</c:v>
                </c:pt>
                <c:pt idx="79">
                  <c:v>4134.6044420701301</c:v>
                </c:pt>
                <c:pt idx="80">
                  <c:v>4019.429525400034</c:v>
                </c:pt>
                <c:pt idx="81">
                  <c:v>57.922796161760125</c:v>
                </c:pt>
                <c:pt idx="82">
                  <c:v>11.461131660622247</c:v>
                </c:pt>
                <c:pt idx="83">
                  <c:v>3659.7655108456456</c:v>
                </c:pt>
                <c:pt idx="84">
                  <c:v>3641.8223152203018</c:v>
                </c:pt>
                <c:pt idx="85">
                  <c:v>3473.3790306149567</c:v>
                </c:pt>
                <c:pt idx="86">
                  <c:v>3216.5187303089201</c:v>
                </c:pt>
                <c:pt idx="87">
                  <c:v>85.958487454666852</c:v>
                </c:pt>
                <c:pt idx="88">
                  <c:v>3072.4297193448169</c:v>
                </c:pt>
                <c:pt idx="89">
                  <c:v>2889.2057668843854</c:v>
                </c:pt>
                <c:pt idx="90">
                  <c:v>0</c:v>
                </c:pt>
                <c:pt idx="91">
                  <c:v>170.15372388462256</c:v>
                </c:pt>
                <c:pt idx="92">
                  <c:v>2322.7398344823291</c:v>
                </c:pt>
                <c:pt idx="93">
                  <c:v>2282.3861262076034</c:v>
                </c:pt>
                <c:pt idx="94">
                  <c:v>2118.3843098358061</c:v>
                </c:pt>
                <c:pt idx="95">
                  <c:v>0</c:v>
                </c:pt>
                <c:pt idx="96">
                  <c:v>2077.9604840689954</c:v>
                </c:pt>
                <c:pt idx="97">
                  <c:v>2027.5810684514656</c:v>
                </c:pt>
                <c:pt idx="98">
                  <c:v>2010.3919440887837</c:v>
                </c:pt>
                <c:pt idx="99">
                  <c:v>1995.6326126946763</c:v>
                </c:pt>
                <c:pt idx="100">
                  <c:v>0</c:v>
                </c:pt>
                <c:pt idx="101">
                  <c:v>1755.1430947194392</c:v>
                </c:pt>
                <c:pt idx="102">
                  <c:v>1659.7731127460445</c:v>
                </c:pt>
                <c:pt idx="103">
                  <c:v>1592.9254799570288</c:v>
                </c:pt>
                <c:pt idx="104">
                  <c:v>185.75849545331593</c:v>
                </c:pt>
                <c:pt idx="105">
                  <c:v>1354.642396204752</c:v>
                </c:pt>
                <c:pt idx="106">
                  <c:v>1316.7957554858951</c:v>
                </c:pt>
                <c:pt idx="107">
                  <c:v>1307.8636522258573</c:v>
                </c:pt>
                <c:pt idx="108">
                  <c:v>1293.9708168295276</c:v>
                </c:pt>
                <c:pt idx="109">
                  <c:v>1288.8422154806344</c:v>
                </c:pt>
                <c:pt idx="110">
                  <c:v>383.06628511848965</c:v>
                </c:pt>
                <c:pt idx="111">
                  <c:v>565.12195341991242</c:v>
                </c:pt>
                <c:pt idx="112">
                  <c:v>1175.2489937347511</c:v>
                </c:pt>
                <c:pt idx="113">
                  <c:v>1154.4819655716792</c:v>
                </c:pt>
                <c:pt idx="114">
                  <c:v>1103.741484894198</c:v>
                </c:pt>
                <c:pt idx="115">
                  <c:v>1067.6036607814046</c:v>
                </c:pt>
                <c:pt idx="116">
                  <c:v>1020.5688212461861</c:v>
                </c:pt>
                <c:pt idx="117">
                  <c:v>1003.400647053954</c:v>
                </c:pt>
                <c:pt idx="118">
                  <c:v>997.16052490440359</c:v>
                </c:pt>
                <c:pt idx="119">
                  <c:v>977.61569016753356</c:v>
                </c:pt>
                <c:pt idx="120">
                  <c:v>967.73084236626414</c:v>
                </c:pt>
                <c:pt idx="121">
                  <c:v>959.52593531079162</c:v>
                </c:pt>
                <c:pt idx="122">
                  <c:v>947.61182917294536</c:v>
                </c:pt>
                <c:pt idx="123">
                  <c:v>919.9335516000541</c:v>
                </c:pt>
                <c:pt idx="124">
                  <c:v>0</c:v>
                </c:pt>
                <c:pt idx="125">
                  <c:v>844.80754033263622</c:v>
                </c:pt>
                <c:pt idx="126">
                  <c:v>838.45717942266435</c:v>
                </c:pt>
                <c:pt idx="127">
                  <c:v>694.74975907325711</c:v>
                </c:pt>
                <c:pt idx="128">
                  <c:v>687.44201570688074</c:v>
                </c:pt>
                <c:pt idx="129">
                  <c:v>620.9434940123507</c:v>
                </c:pt>
                <c:pt idx="130">
                  <c:v>616.99296470919967</c:v>
                </c:pt>
                <c:pt idx="131">
                  <c:v>609.17842720819874</c:v>
                </c:pt>
                <c:pt idx="132">
                  <c:v>589.64456422686885</c:v>
                </c:pt>
                <c:pt idx="133">
                  <c:v>581.28753078245074</c:v>
                </c:pt>
                <c:pt idx="134">
                  <c:v>574.97322232435693</c:v>
                </c:pt>
                <c:pt idx="135">
                  <c:v>561.61820460877516</c:v>
                </c:pt>
                <c:pt idx="136">
                  <c:v>553.00320028683541</c:v>
                </c:pt>
                <c:pt idx="137">
                  <c:v>535.57929513095621</c:v>
                </c:pt>
                <c:pt idx="138">
                  <c:v>452.27848588710765</c:v>
                </c:pt>
                <c:pt idx="139">
                  <c:v>450.69358714149087</c:v>
                </c:pt>
                <c:pt idx="140">
                  <c:v>56.953008098169001</c:v>
                </c:pt>
                <c:pt idx="141">
                  <c:v>443.15838888427879</c:v>
                </c:pt>
                <c:pt idx="142">
                  <c:v>376.94335044233299</c:v>
                </c:pt>
                <c:pt idx="143">
                  <c:v>351.51217186295207</c:v>
                </c:pt>
                <c:pt idx="144">
                  <c:v>349.1424519508584</c:v>
                </c:pt>
                <c:pt idx="145">
                  <c:v>338.35800886467342</c:v>
                </c:pt>
                <c:pt idx="146">
                  <c:v>0</c:v>
                </c:pt>
                <c:pt idx="147">
                  <c:v>167.24435969384925</c:v>
                </c:pt>
                <c:pt idx="148">
                  <c:v>251.96857143121832</c:v>
                </c:pt>
                <c:pt idx="149">
                  <c:v>324.5195834849402</c:v>
                </c:pt>
                <c:pt idx="150">
                  <c:v>316.35227008817617</c:v>
                </c:pt>
                <c:pt idx="151">
                  <c:v>298.20279704852607</c:v>
                </c:pt>
                <c:pt idx="152">
                  <c:v>282.2655534192956</c:v>
                </c:pt>
                <c:pt idx="153">
                  <c:v>279.17583845565463</c:v>
                </c:pt>
                <c:pt idx="154">
                  <c:v>267.523444558221</c:v>
                </c:pt>
                <c:pt idx="155">
                  <c:v>243.11796219131151</c:v>
                </c:pt>
                <c:pt idx="156">
                  <c:v>238.7219534947142</c:v>
                </c:pt>
                <c:pt idx="157">
                  <c:v>213.58473632644751</c:v>
                </c:pt>
                <c:pt idx="158">
                  <c:v>213.0549679441219</c:v>
                </c:pt>
                <c:pt idx="159">
                  <c:v>185.73570610178925</c:v>
                </c:pt>
                <c:pt idx="160">
                  <c:v>179.9698100424423</c:v>
                </c:pt>
                <c:pt idx="161">
                  <c:v>163.86284257367811</c:v>
                </c:pt>
                <c:pt idx="162">
                  <c:v>154.86942972615682</c:v>
                </c:pt>
                <c:pt idx="163">
                  <c:v>146.97163873792519</c:v>
                </c:pt>
                <c:pt idx="164">
                  <c:v>138.54989608005954</c:v>
                </c:pt>
                <c:pt idx="165">
                  <c:v>138.38240367555869</c:v>
                </c:pt>
                <c:pt idx="166">
                  <c:v>127.8974052846099</c:v>
                </c:pt>
                <c:pt idx="167">
                  <c:v>124.50873761619036</c:v>
                </c:pt>
                <c:pt idx="168">
                  <c:v>121.17326709536977</c:v>
                </c:pt>
                <c:pt idx="169">
                  <c:v>117.00282692072294</c:v>
                </c:pt>
                <c:pt idx="170">
                  <c:v>113.09479760053418</c:v>
                </c:pt>
                <c:pt idx="171">
                  <c:v>112.83455881619844</c:v>
                </c:pt>
                <c:pt idx="172">
                  <c:v>100.2262750464601</c:v>
                </c:pt>
                <c:pt idx="173">
                  <c:v>94.101718330738819</c:v>
                </c:pt>
                <c:pt idx="174">
                  <c:v>79.161368555896928</c:v>
                </c:pt>
                <c:pt idx="175">
                  <c:v>4.1436399080711208</c:v>
                </c:pt>
                <c:pt idx="176">
                  <c:v>72.942337778208781</c:v>
                </c:pt>
                <c:pt idx="177">
                  <c:v>64.268743571113006</c:v>
                </c:pt>
                <c:pt idx="178">
                  <c:v>61.518302604459706</c:v>
                </c:pt>
                <c:pt idx="179">
                  <c:v>61.459509511261572</c:v>
                </c:pt>
                <c:pt idx="180">
                  <c:v>58.524676490769522</c:v>
                </c:pt>
                <c:pt idx="181">
                  <c:v>58.36347036045359</c:v>
                </c:pt>
                <c:pt idx="182">
                  <c:v>57.955893675366887</c:v>
                </c:pt>
                <c:pt idx="183">
                  <c:v>0</c:v>
                </c:pt>
                <c:pt idx="184">
                  <c:v>57.225182288696089</c:v>
                </c:pt>
                <c:pt idx="185">
                  <c:v>49.134446059109422</c:v>
                </c:pt>
                <c:pt idx="186">
                  <c:v>42.898971250935631</c:v>
                </c:pt>
                <c:pt idx="187">
                  <c:v>41.575211367036097</c:v>
                </c:pt>
                <c:pt idx="188">
                  <c:v>41.375184006989507</c:v>
                </c:pt>
                <c:pt idx="189">
                  <c:v>0</c:v>
                </c:pt>
                <c:pt idx="190">
                  <c:v>32.535206604548307</c:v>
                </c:pt>
                <c:pt idx="191">
                  <c:v>30.59610371883522</c:v>
                </c:pt>
                <c:pt idx="192">
                  <c:v>30.384217893252064</c:v>
                </c:pt>
                <c:pt idx="193">
                  <c:v>29.93238164138188</c:v>
                </c:pt>
                <c:pt idx="194">
                  <c:v>28.418918082819911</c:v>
                </c:pt>
                <c:pt idx="195">
                  <c:v>27.222929871943023</c:v>
                </c:pt>
                <c:pt idx="196">
                  <c:v>26.943205158379357</c:v>
                </c:pt>
                <c:pt idx="197">
                  <c:v>22.722891210993655</c:v>
                </c:pt>
                <c:pt idx="198">
                  <c:v>22.483987106924598</c:v>
                </c:pt>
                <c:pt idx="199">
                  <c:v>20.922515357945045</c:v>
                </c:pt>
                <c:pt idx="200">
                  <c:v>20.581562263929829</c:v>
                </c:pt>
                <c:pt idx="201">
                  <c:v>19.451264489862602</c:v>
                </c:pt>
                <c:pt idx="202">
                  <c:v>16.168985769285836</c:v>
                </c:pt>
                <c:pt idx="203">
                  <c:v>15.433871181619205</c:v>
                </c:pt>
                <c:pt idx="204">
                  <c:v>15.14833418546055</c:v>
                </c:pt>
                <c:pt idx="205">
                  <c:v>13.35407337666161</c:v>
                </c:pt>
                <c:pt idx="206">
                  <c:v>3.3501769469511191</c:v>
                </c:pt>
                <c:pt idx="207">
                  <c:v>9.3830601291149041</c:v>
                </c:pt>
                <c:pt idx="208">
                  <c:v>8.2806983435569546</c:v>
                </c:pt>
                <c:pt idx="209">
                  <c:v>7.0561609241231373</c:v>
                </c:pt>
                <c:pt idx="210">
                  <c:v>5.7923785728056476</c:v>
                </c:pt>
                <c:pt idx="211">
                  <c:v>5.6224764293895166</c:v>
                </c:pt>
                <c:pt idx="212">
                  <c:v>5.0136700947742296</c:v>
                </c:pt>
                <c:pt idx="213">
                  <c:v>4.4619207657788715</c:v>
                </c:pt>
                <c:pt idx="214">
                  <c:v>4.2307434482975852</c:v>
                </c:pt>
                <c:pt idx="215">
                  <c:v>4.0411371456678271</c:v>
                </c:pt>
                <c:pt idx="216">
                  <c:v>3.3831666342169369</c:v>
                </c:pt>
                <c:pt idx="217">
                  <c:v>3.0579680934010187</c:v>
                </c:pt>
                <c:pt idx="218">
                  <c:v>0</c:v>
                </c:pt>
                <c:pt idx="219">
                  <c:v>2.8206716655809854</c:v>
                </c:pt>
                <c:pt idx="220">
                  <c:v>1.8995778960698264</c:v>
                </c:pt>
                <c:pt idx="221">
                  <c:v>1.7291299488616936</c:v>
                </c:pt>
                <c:pt idx="222">
                  <c:v>1.7225359024774727</c:v>
                </c:pt>
                <c:pt idx="223">
                  <c:v>1.5155055852778454</c:v>
                </c:pt>
                <c:pt idx="224">
                  <c:v>0</c:v>
                </c:pt>
                <c:pt idx="225">
                  <c:v>1.1347585179375044</c:v>
                </c:pt>
                <c:pt idx="226">
                  <c:v>1.0977684127424101</c:v>
                </c:pt>
                <c:pt idx="227">
                  <c:v>0.99858984323501332</c:v>
                </c:pt>
                <c:pt idx="228">
                  <c:v>0.91031219291421572</c:v>
                </c:pt>
                <c:pt idx="229">
                  <c:v>0.82319230544838595</c:v>
                </c:pt>
                <c:pt idx="230">
                  <c:v>0</c:v>
                </c:pt>
                <c:pt idx="231">
                  <c:v>0</c:v>
                </c:pt>
                <c:pt idx="232">
                  <c:v>0.67298855210448105</c:v>
                </c:pt>
                <c:pt idx="233">
                  <c:v>0.5366794478918322</c:v>
                </c:pt>
                <c:pt idx="234">
                  <c:v>0.49846026029125551</c:v>
                </c:pt>
                <c:pt idx="235">
                  <c:v>0.46167533428980179</c:v>
                </c:pt>
                <c:pt idx="236">
                  <c:v>0.37459603897255112</c:v>
                </c:pt>
                <c:pt idx="237">
                  <c:v>0.28619766525328738</c:v>
                </c:pt>
                <c:pt idx="238">
                  <c:v>0.27559134769972021</c:v>
                </c:pt>
                <c:pt idx="239">
                  <c:v>0.25651108610110068</c:v>
                </c:pt>
                <c:pt idx="240">
                  <c:v>0</c:v>
                </c:pt>
                <c:pt idx="241">
                  <c:v>0.20687963474682899</c:v>
                </c:pt>
                <c:pt idx="242">
                  <c:v>0.13365074368989119</c:v>
                </c:pt>
                <c:pt idx="243">
                  <c:v>0.13129705397852551</c:v>
                </c:pt>
                <c:pt idx="244">
                  <c:v>9.5534039863392498E-2</c:v>
                </c:pt>
                <c:pt idx="245">
                  <c:v>5.4186741190890203E-2</c:v>
                </c:pt>
                <c:pt idx="246">
                  <c:v>0</c:v>
                </c:pt>
                <c:pt idx="247">
                  <c:v>2.8797499124571801E-2</c:v>
                </c:pt>
                <c:pt idx="248">
                  <c:v>2.6321596667744699E-2</c:v>
                </c:pt>
                <c:pt idx="249">
                  <c:v>1.6597268226684801E-2</c:v>
                </c:pt>
              </c:numCache>
            </c:numRef>
          </c:bubbleSize>
          <c:bubble3D val="0"/>
          <c:extLst>
            <c:ext xmlns:c15="http://schemas.microsoft.com/office/drawing/2012/chart" uri="{02D57815-91ED-43cb-92C2-25804820EDAC}">
              <c15:datalabelsRange>
                <c15:f>交易所排名!$J$68:$J$167</c15:f>
                <c15:dlblRangeCache>
                  <c:ptCount val="100"/>
                  <c:pt idx="0">
                    <c:v>Binance</c:v>
                  </c:pt>
                  <c:pt idx="1">
                    <c:v>ZBG</c:v>
                  </c:pt>
                  <c:pt idx="2">
                    <c:v>BiONE</c:v>
                  </c:pt>
                  <c:pt idx="3">
                    <c:v>CoinFLEX</c:v>
                  </c:pt>
                  <c:pt idx="4">
                    <c:v>OKEx</c:v>
                  </c:pt>
                  <c:pt idx="5">
                    <c:v>Huobi Global</c:v>
                  </c:pt>
                  <c:pt idx="6">
                    <c:v>HitBTC</c:v>
                  </c:pt>
                  <c:pt idx="7">
                    <c:v>Bitcoin.com Exchange</c:v>
                  </c:pt>
                  <c:pt idx="8">
                    <c:v>Changelly PRO</c:v>
                  </c:pt>
                  <c:pt idx="9">
                    <c:v>Crypto.com Exchange</c:v>
                  </c:pt>
                  <c:pt idx="10">
                    <c:v>Upbit</c:v>
                  </c:pt>
                  <c:pt idx="11">
                    <c:v>Coinbase Exchange</c:v>
                  </c:pt>
                  <c:pt idx="12">
                    <c:v>CITEX</c:v>
                  </c:pt>
                  <c:pt idx="13">
                    <c:v>BitZ</c:v>
                  </c:pt>
                  <c:pt idx="14">
                    <c:v>Bitrue</c:v>
                  </c:pt>
                  <c:pt idx="15">
                    <c:v>ZB</c:v>
                  </c:pt>
                  <c:pt idx="16">
                    <c:v>FTX</c:v>
                  </c:pt>
                  <c:pt idx="17">
                    <c:v>BitOnBay</c:v>
                  </c:pt>
                  <c:pt idx="18">
                    <c:v>BHEX</c:v>
                  </c:pt>
                  <c:pt idx="19">
                    <c:v>BKEX</c:v>
                  </c:pt>
                  <c:pt idx="20">
                    <c:v>BitMart</c:v>
                  </c:pt>
                  <c:pt idx="21">
                    <c:v>KuCoin</c:v>
                  </c:pt>
                  <c:pt idx="22">
                    <c:v>Uniswap (v3)</c:v>
                  </c:pt>
                  <c:pt idx="23">
                    <c:v>Hoo.com</c:v>
                  </c:pt>
                  <c:pt idx="24">
                    <c:v>Coinsbit</c:v>
                  </c:pt>
                  <c:pt idx="25">
                    <c:v>Digifinex</c:v>
                  </c:pt>
                  <c:pt idx="26">
                    <c:v>Gate.io</c:v>
                  </c:pt>
                  <c:pt idx="27">
                    <c:v>XT.COM</c:v>
                  </c:pt>
                  <c:pt idx="28">
                    <c:v>Bithumb</c:v>
                  </c:pt>
                  <c:pt idx="29">
                    <c:v>P2PB2B</c:v>
                  </c:pt>
                  <c:pt idx="30">
                    <c:v>Bitfinex</c:v>
                  </c:pt>
                  <c:pt idx="31">
                    <c:v>LBank</c:v>
                  </c:pt>
                  <c:pt idx="32">
                    <c:v>WOO Network</c:v>
                  </c:pt>
                  <c:pt idx="33">
                    <c:v>CoinBene</c:v>
                  </c:pt>
                  <c:pt idx="34">
                    <c:v>Binance US</c:v>
                  </c:pt>
                  <c:pt idx="35">
                    <c:v>DragonEx</c:v>
                  </c:pt>
                  <c:pt idx="36">
                    <c:v>WhiteBIT</c:v>
                  </c:pt>
                  <c:pt idx="37">
                    <c:v>Dcoin</c:v>
                  </c:pt>
                  <c:pt idx="38">
                    <c:v>MEXC Global</c:v>
                  </c:pt>
                  <c:pt idx="39">
                    <c:v>Bitget</c:v>
                  </c:pt>
                  <c:pt idx="40">
                    <c:v>Kraken</c:v>
                  </c:pt>
                  <c:pt idx="41">
                    <c:v>Bibox</c:v>
                  </c:pt>
                  <c:pt idx="42">
                    <c:v>BigONE</c:v>
                  </c:pt>
                  <c:pt idx="43">
                    <c:v>Catex</c:v>
                  </c:pt>
                  <c:pt idx="44">
                    <c:v>BiKi</c:v>
                  </c:pt>
                  <c:pt idx="45">
                    <c:v>CoinTiger</c:v>
                  </c:pt>
                  <c:pt idx="46">
                    <c:v>PancakeSwap (v2)</c:v>
                  </c:pt>
                  <c:pt idx="47">
                    <c:v>Phemex</c:v>
                  </c:pt>
                  <c:pt idx="48">
                    <c:v>LATOKEN</c:v>
                  </c:pt>
                  <c:pt idx="49">
                    <c:v>AAX</c:v>
                  </c:pt>
                  <c:pt idx="50">
                    <c:v>KKCoin</c:v>
                  </c:pt>
                  <c:pt idx="51">
                    <c:v>TOKOK</c:v>
                  </c:pt>
                  <c:pt idx="52">
                    <c:v>Bitforex</c:v>
                  </c:pt>
                  <c:pt idx="53">
                    <c:v>AEX</c:v>
                  </c:pt>
                  <c:pt idx="54">
                    <c:v>TopBTC</c:v>
                  </c:pt>
                  <c:pt idx="55">
                    <c:v>IDCM</c:v>
                  </c:pt>
                  <c:pt idx="56">
                    <c:v>Bidesk</c:v>
                  </c:pt>
                  <c:pt idx="57">
                    <c:v>CBX</c:v>
                  </c:pt>
                  <c:pt idx="58">
                    <c:v>Sushiswap</c:v>
                  </c:pt>
                  <c:pt idx="59">
                    <c:v>ZBX</c:v>
                  </c:pt>
                  <c:pt idx="60">
                    <c:v>Bitexen</c:v>
                  </c:pt>
                  <c:pt idx="61">
                    <c:v>BTC-Alpha</c:v>
                  </c:pt>
                  <c:pt idx="62">
                    <c:v>ExMarkets</c:v>
                  </c:pt>
                  <c:pt idx="63">
                    <c:v>Hotbit</c:v>
                  </c:pt>
                  <c:pt idx="64">
                    <c:v>FTX.US</c:v>
                  </c:pt>
                  <c:pt idx="65">
                    <c:v>BtcTurk PRO</c:v>
                  </c:pt>
                  <c:pt idx="66">
                    <c:v>Uniswap (v2)</c:v>
                  </c:pt>
                  <c:pt idx="67">
                    <c:v>Abit</c:v>
                  </c:pt>
                  <c:pt idx="68">
                    <c:v>Bithumb Global</c:v>
                  </c:pt>
                  <c:pt idx="69">
                    <c:v>BW.com</c:v>
                  </c:pt>
                  <c:pt idx="70">
                    <c:v>Coinone</c:v>
                  </c:pt>
                  <c:pt idx="71">
                    <c:v>YoBit</c:v>
                  </c:pt>
                  <c:pt idx="72">
                    <c:v>Bitstamp</c:v>
                  </c:pt>
                  <c:pt idx="73">
                    <c:v>VCC Exchange</c:v>
                  </c:pt>
                  <c:pt idx="74">
                    <c:v>BTSE</c:v>
                  </c:pt>
                  <c:pt idx="75">
                    <c:v>FatBTC</c:v>
                  </c:pt>
                  <c:pt idx="76">
                    <c:v>FinexBox</c:v>
                  </c:pt>
                  <c:pt idx="77">
                    <c:v>ProBit Global</c:v>
                  </c:pt>
                  <c:pt idx="78">
                    <c:v>Paribu</c:v>
                  </c:pt>
                  <c:pt idx="79">
                    <c:v>Trader Joe</c:v>
                  </c:pt>
                  <c:pt idx="80">
                    <c:v>GokuMarket</c:v>
                  </c:pt>
                  <c:pt idx="81">
                    <c:v>Nami.Exchange</c:v>
                  </c:pt>
                  <c:pt idx="82">
                    <c:v>BITFRONT</c:v>
                  </c:pt>
                  <c:pt idx="83">
                    <c:v>Dex-Trade</c:v>
                  </c:pt>
                  <c:pt idx="84">
                    <c:v>Oceanex</c:v>
                  </c:pt>
                  <c:pt idx="85">
                    <c:v>Tokpie</c:v>
                  </c:pt>
                  <c:pt idx="86">
                    <c:v>Gemini</c:v>
                  </c:pt>
                  <c:pt idx="87">
                    <c:v>CoinMargin</c:v>
                  </c:pt>
                  <c:pt idx="88">
                    <c:v>AscendEX (BitMax)</c:v>
                  </c:pt>
                  <c:pt idx="89">
                    <c:v>bitFlyer</c:v>
                  </c:pt>
                  <c:pt idx="90">
                    <c:v>KuCoin Futures</c:v>
                  </c:pt>
                  <c:pt idx="91">
                    <c:v>Resfinex</c:v>
                  </c:pt>
                  <c:pt idx="92">
                    <c:v>Poloniex</c:v>
                  </c:pt>
                  <c:pt idx="93">
                    <c:v>WazirX</c:v>
                  </c:pt>
                  <c:pt idx="94">
                    <c:v>Bittrex</c:v>
                  </c:pt>
                  <c:pt idx="95">
                    <c:v>Chiliz</c:v>
                  </c:pt>
                  <c:pt idx="96">
                    <c:v>Currency.com</c:v>
                  </c:pt>
                  <c:pt idx="97">
                    <c:v>EXMO</c:v>
                  </c:pt>
                  <c:pt idx="98">
                    <c:v>Coincheck</c:v>
                  </c:pt>
                  <c:pt idx="99">
                    <c:v>CEX.IO</c:v>
                  </c:pt>
                </c15:dlblRangeCache>
              </c15:datalabelsRange>
            </c:ext>
            <c:ext xmlns:c16="http://schemas.microsoft.com/office/drawing/2014/chart" uri="{C3380CC4-5D6E-409C-BE32-E72D297353CC}">
              <c16:uniqueId val="{000000FA-73E6-7C41-89A9-AAEBE96233CB}"/>
            </c:ext>
          </c:extLst>
        </c:ser>
        <c:dLbls>
          <c:showLegendKey val="0"/>
          <c:showVal val="0"/>
          <c:showCatName val="0"/>
          <c:showSerName val="0"/>
          <c:showPercent val="0"/>
          <c:showBubbleSize val="0"/>
        </c:dLbls>
        <c:bubbleScale val="100"/>
        <c:showNegBubbles val="0"/>
        <c:sizeRepresents val="w"/>
        <c:axId val="156640367"/>
        <c:axId val="1220787775"/>
      </c:bubbleChart>
      <c:valAx>
        <c:axId val="156640367"/>
        <c:scaling>
          <c:orientation val="minMax"/>
          <c:max val="12"/>
          <c:min val="0"/>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220787775"/>
        <c:crosses val="autoZero"/>
        <c:crossBetween val="midCat"/>
      </c:valAx>
      <c:valAx>
        <c:axId val="1220787775"/>
        <c:scaling>
          <c:orientation val="minMax"/>
          <c:min val="0"/>
        </c:scaling>
        <c:delete val="0"/>
        <c:axPos val="l"/>
        <c:majorGridlines>
          <c:spPr>
            <a:ln w="9525" cap="flat" cmpd="sng" algn="ctr">
              <a:solidFill>
                <a:schemeClr val="bg1">
                  <a:lumMod val="9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5664036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sz="800">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a:t>Top 250 Trade</a:t>
            </a:r>
            <a:r>
              <a:rPr lang="en-US" sz="900" baseline="0"/>
              <a:t> </a:t>
            </a:r>
            <a:r>
              <a:rPr lang="en-US" sz="900"/>
              <a:t>Volume</a:t>
            </a:r>
            <a:r>
              <a:rPr lang="en-US" sz="900" baseline="0"/>
              <a:t> (</a:t>
            </a:r>
            <a:r>
              <a:rPr lang="en-US" sz="900"/>
              <a:t>24h BTC)</a:t>
            </a:r>
          </a:p>
        </c:rich>
      </c:tx>
      <c:layout>
        <c:manualLayout>
          <c:xMode val="edge"/>
          <c:yMode val="edge"/>
          <c:x val="1.9881149871102906E-2"/>
          <c:y val="2.1680222970566109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title>
    <c:autoTitleDeleted val="0"/>
    <c:plotArea>
      <c:layout/>
      <c:bubbleChart>
        <c:varyColors val="0"/>
        <c:ser>
          <c:idx val="0"/>
          <c:order val="0"/>
          <c:tx>
            <c:strRef>
              <c:f>交易所排名!$T$67</c:f>
              <c:strCache>
                <c:ptCount val="1"/>
                <c:pt idx="0">
                  <c:v>trade_volume_24h_btc_normalized</c:v>
                </c:pt>
              </c:strCache>
            </c:strRef>
          </c:tx>
          <c:spPr>
            <a:solidFill>
              <a:schemeClr val="accent2">
                <a:alpha val="75000"/>
              </a:schemeClr>
            </a:solidFill>
            <a:ln>
              <a:noFill/>
            </a:ln>
            <a:effectLst/>
          </c:spPr>
          <c:invertIfNegative val="0"/>
          <c:dLbls>
            <c:dLbl>
              <c:idx val="0"/>
              <c:tx>
                <c:rich>
                  <a:bodyPr/>
                  <a:lstStyle/>
                  <a:p>
                    <a:fld id="{1E477BEF-6D93-4F48-8C8D-FA4FA6F8BE48}" type="CELLRANGE">
                      <a:rPr lang="en-US" altLang="zh-CN"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rPr>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FEC-E344-BC05-FAEB30035853}"/>
                </c:ext>
              </c:extLst>
            </c:dLbl>
            <c:dLbl>
              <c:idx val="1"/>
              <c:tx>
                <c:rich>
                  <a:bodyPr/>
                  <a:lstStyle/>
                  <a:p>
                    <a:fld id="{45D87CCB-34AA-9E4D-A9BF-8D42704332E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FEC-E344-BC05-FAEB30035853}"/>
                </c:ext>
              </c:extLst>
            </c:dLbl>
            <c:dLbl>
              <c:idx val="2"/>
              <c:tx>
                <c:rich>
                  <a:bodyPr/>
                  <a:lstStyle/>
                  <a:p>
                    <a:fld id="{A9397B9F-8EFD-BA47-B55D-411DEEF7684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FEC-E344-BC05-FAEB30035853}"/>
                </c:ext>
              </c:extLst>
            </c:dLbl>
            <c:dLbl>
              <c:idx val="3"/>
              <c:tx>
                <c:rich>
                  <a:bodyPr/>
                  <a:lstStyle/>
                  <a:p>
                    <a:fld id="{C13BDC6E-52BA-C04D-B13F-46746668D34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FEC-E344-BC05-FAEB30035853}"/>
                </c:ext>
              </c:extLst>
            </c:dLbl>
            <c:dLbl>
              <c:idx val="4"/>
              <c:tx>
                <c:rich>
                  <a:bodyPr/>
                  <a:lstStyle/>
                  <a:p>
                    <a:fld id="{553A9577-97E3-B34E-95F6-CC0B54C1278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FEC-E344-BC05-FAEB30035853}"/>
                </c:ext>
              </c:extLst>
            </c:dLbl>
            <c:dLbl>
              <c:idx val="5"/>
              <c:tx>
                <c:rich>
                  <a:bodyPr/>
                  <a:lstStyle/>
                  <a:p>
                    <a:fld id="{787FCF8A-CA8E-024F-AB4C-BE2D528A98A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FEC-E344-BC05-FAEB30035853}"/>
                </c:ext>
              </c:extLst>
            </c:dLbl>
            <c:dLbl>
              <c:idx val="6"/>
              <c:tx>
                <c:rich>
                  <a:bodyPr/>
                  <a:lstStyle/>
                  <a:p>
                    <a:fld id="{D6E4F1AF-AB0F-7549-AB04-D6D80EA5C11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FEC-E344-BC05-FAEB30035853}"/>
                </c:ext>
              </c:extLst>
            </c:dLbl>
            <c:dLbl>
              <c:idx val="7"/>
              <c:tx>
                <c:rich>
                  <a:bodyPr/>
                  <a:lstStyle/>
                  <a:p>
                    <a:fld id="{EB94C9EE-3552-144C-82FF-1401527E850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FEC-E344-BC05-FAEB30035853}"/>
                </c:ext>
              </c:extLst>
            </c:dLbl>
            <c:dLbl>
              <c:idx val="8"/>
              <c:tx>
                <c:rich>
                  <a:bodyPr/>
                  <a:lstStyle/>
                  <a:p>
                    <a:fld id="{E83521A5-52EB-A145-9E75-0E59B48A3EF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FEC-E344-BC05-FAEB30035853}"/>
                </c:ext>
              </c:extLst>
            </c:dLbl>
            <c:dLbl>
              <c:idx val="9"/>
              <c:tx>
                <c:rich>
                  <a:bodyPr/>
                  <a:lstStyle/>
                  <a:p>
                    <a:fld id="{B8F2A844-BC5E-4344-9470-68FE3A11104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FEC-E344-BC05-FAEB30035853}"/>
                </c:ext>
              </c:extLst>
            </c:dLbl>
            <c:dLbl>
              <c:idx val="10"/>
              <c:tx>
                <c:rich>
                  <a:bodyPr/>
                  <a:lstStyle/>
                  <a:p>
                    <a:fld id="{BE3264A6-000D-9B4D-AA57-1EB240F910F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FEC-E344-BC05-FAEB30035853}"/>
                </c:ext>
              </c:extLst>
            </c:dLbl>
            <c:dLbl>
              <c:idx val="11"/>
              <c:tx>
                <c:rich>
                  <a:bodyPr/>
                  <a:lstStyle/>
                  <a:p>
                    <a:fld id="{209C4E98-A7F1-F842-9C23-6D0BE1AC01A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FEC-E344-BC05-FAEB30035853}"/>
                </c:ext>
              </c:extLst>
            </c:dLbl>
            <c:dLbl>
              <c:idx val="12"/>
              <c:tx>
                <c:rich>
                  <a:bodyPr/>
                  <a:lstStyle/>
                  <a:p>
                    <a:fld id="{E9D93B0E-27D7-4341-8A44-E0C5AF326D5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FEC-E344-BC05-FAEB30035853}"/>
                </c:ext>
              </c:extLst>
            </c:dLbl>
            <c:dLbl>
              <c:idx val="13"/>
              <c:tx>
                <c:rich>
                  <a:bodyPr/>
                  <a:lstStyle/>
                  <a:p>
                    <a:fld id="{B7DE40FD-B4EF-7649-9B1D-7F3D7C0B627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FEC-E344-BC05-FAEB30035853}"/>
                </c:ext>
              </c:extLst>
            </c:dLbl>
            <c:dLbl>
              <c:idx val="14"/>
              <c:tx>
                <c:rich>
                  <a:bodyPr/>
                  <a:lstStyle/>
                  <a:p>
                    <a:fld id="{0ACACACF-945D-A44E-B0E3-FB126B071B5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FEC-E344-BC05-FAEB30035853}"/>
                </c:ext>
              </c:extLst>
            </c:dLbl>
            <c:dLbl>
              <c:idx val="15"/>
              <c:tx>
                <c:rich>
                  <a:bodyPr/>
                  <a:lstStyle/>
                  <a:p>
                    <a:fld id="{873EA8B2-D98C-3F48-84AF-8B143909B46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FEC-E344-BC05-FAEB30035853}"/>
                </c:ext>
              </c:extLst>
            </c:dLbl>
            <c:dLbl>
              <c:idx val="16"/>
              <c:tx>
                <c:rich>
                  <a:bodyPr/>
                  <a:lstStyle/>
                  <a:p>
                    <a:fld id="{372A8B0B-0D59-1F4C-8C91-C67322AECB5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FEC-E344-BC05-FAEB30035853}"/>
                </c:ext>
              </c:extLst>
            </c:dLbl>
            <c:dLbl>
              <c:idx val="17"/>
              <c:tx>
                <c:rich>
                  <a:bodyPr/>
                  <a:lstStyle/>
                  <a:p>
                    <a:fld id="{EC4EB971-D4B5-4A41-BFFD-6BC581252B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FEC-E344-BC05-FAEB30035853}"/>
                </c:ext>
              </c:extLst>
            </c:dLbl>
            <c:dLbl>
              <c:idx val="18"/>
              <c:tx>
                <c:rich>
                  <a:bodyPr/>
                  <a:lstStyle/>
                  <a:p>
                    <a:fld id="{0096DCEC-DBDD-D046-BA9D-29D8432991B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FEC-E344-BC05-FAEB30035853}"/>
                </c:ext>
              </c:extLst>
            </c:dLbl>
            <c:dLbl>
              <c:idx val="19"/>
              <c:tx>
                <c:rich>
                  <a:bodyPr/>
                  <a:lstStyle/>
                  <a:p>
                    <a:fld id="{C2DB55CF-4EB5-8340-B9DB-C7674F69CB3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FEC-E344-BC05-FAEB30035853}"/>
                </c:ext>
              </c:extLst>
            </c:dLbl>
            <c:dLbl>
              <c:idx val="20"/>
              <c:tx>
                <c:rich>
                  <a:bodyPr/>
                  <a:lstStyle/>
                  <a:p>
                    <a:fld id="{14B7EECC-0916-6941-9EED-3FFEB744B40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2FEC-E344-BC05-FAEB30035853}"/>
                </c:ext>
              </c:extLst>
            </c:dLbl>
            <c:dLbl>
              <c:idx val="21"/>
              <c:tx>
                <c:rich>
                  <a:bodyPr/>
                  <a:lstStyle/>
                  <a:p>
                    <a:fld id="{69A6D80C-6211-6C46-BCB8-8F4579321C4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2FEC-E344-BC05-FAEB30035853}"/>
                </c:ext>
              </c:extLst>
            </c:dLbl>
            <c:dLbl>
              <c:idx val="22"/>
              <c:tx>
                <c:rich>
                  <a:bodyPr/>
                  <a:lstStyle/>
                  <a:p>
                    <a:fld id="{62E58422-FC2D-A745-8DA7-5E55F691A09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2FEC-E344-BC05-FAEB30035853}"/>
                </c:ext>
              </c:extLst>
            </c:dLbl>
            <c:dLbl>
              <c:idx val="23"/>
              <c:tx>
                <c:rich>
                  <a:bodyPr/>
                  <a:lstStyle/>
                  <a:p>
                    <a:fld id="{33A138B9-B635-0949-93EC-B974F40910B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2FEC-E344-BC05-FAEB30035853}"/>
                </c:ext>
              </c:extLst>
            </c:dLbl>
            <c:dLbl>
              <c:idx val="24"/>
              <c:tx>
                <c:rich>
                  <a:bodyPr/>
                  <a:lstStyle/>
                  <a:p>
                    <a:fld id="{A77DA67B-78A6-FD4A-BB4A-CD64199A393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2FEC-E344-BC05-FAEB30035853}"/>
                </c:ext>
              </c:extLst>
            </c:dLbl>
            <c:dLbl>
              <c:idx val="25"/>
              <c:tx>
                <c:rich>
                  <a:bodyPr/>
                  <a:lstStyle/>
                  <a:p>
                    <a:fld id="{3275B337-DD07-144E-A6BF-5387BF5C3F7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2FEC-E344-BC05-FAEB30035853}"/>
                </c:ext>
              </c:extLst>
            </c:dLbl>
            <c:dLbl>
              <c:idx val="26"/>
              <c:tx>
                <c:rich>
                  <a:bodyPr/>
                  <a:lstStyle/>
                  <a:p>
                    <a:fld id="{92852057-E142-7F43-A7F4-A92215C9981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2FEC-E344-BC05-FAEB30035853}"/>
                </c:ext>
              </c:extLst>
            </c:dLbl>
            <c:dLbl>
              <c:idx val="27"/>
              <c:tx>
                <c:rich>
                  <a:bodyPr/>
                  <a:lstStyle/>
                  <a:p>
                    <a:fld id="{2BA180F6-4B4A-244F-9FA0-DF891B35C84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2FEC-E344-BC05-FAEB30035853}"/>
                </c:ext>
              </c:extLst>
            </c:dLbl>
            <c:dLbl>
              <c:idx val="28"/>
              <c:tx>
                <c:rich>
                  <a:bodyPr/>
                  <a:lstStyle/>
                  <a:p>
                    <a:fld id="{A656408E-D4E3-5A48-9300-329ACDDD91B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2FEC-E344-BC05-FAEB30035853}"/>
                </c:ext>
              </c:extLst>
            </c:dLbl>
            <c:dLbl>
              <c:idx val="29"/>
              <c:tx>
                <c:rich>
                  <a:bodyPr/>
                  <a:lstStyle/>
                  <a:p>
                    <a:fld id="{9E4751F2-7112-AB47-8B19-379E5257DD7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2FEC-E344-BC05-FAEB30035853}"/>
                </c:ext>
              </c:extLst>
            </c:dLbl>
            <c:dLbl>
              <c:idx val="30"/>
              <c:tx>
                <c:rich>
                  <a:bodyPr/>
                  <a:lstStyle/>
                  <a:p>
                    <a:fld id="{ACF0A1F4-5C0F-744B-B5CF-1967FC6788E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2FEC-E344-BC05-FAEB30035853}"/>
                </c:ext>
              </c:extLst>
            </c:dLbl>
            <c:dLbl>
              <c:idx val="31"/>
              <c:tx>
                <c:rich>
                  <a:bodyPr/>
                  <a:lstStyle/>
                  <a:p>
                    <a:fld id="{17BCD0F8-1A82-2143-AE4A-0F24BEB2B93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2FEC-E344-BC05-FAEB30035853}"/>
                </c:ext>
              </c:extLst>
            </c:dLbl>
            <c:dLbl>
              <c:idx val="32"/>
              <c:tx>
                <c:rich>
                  <a:bodyPr/>
                  <a:lstStyle/>
                  <a:p>
                    <a:fld id="{A6619BC4-F440-F64B-B16E-9A17FC4AE1F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2FEC-E344-BC05-FAEB30035853}"/>
                </c:ext>
              </c:extLst>
            </c:dLbl>
            <c:dLbl>
              <c:idx val="33"/>
              <c:tx>
                <c:rich>
                  <a:bodyPr/>
                  <a:lstStyle/>
                  <a:p>
                    <a:fld id="{2D0C08C5-6026-434C-A996-4139883390F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2FEC-E344-BC05-FAEB30035853}"/>
                </c:ext>
              </c:extLst>
            </c:dLbl>
            <c:dLbl>
              <c:idx val="34"/>
              <c:tx>
                <c:rich>
                  <a:bodyPr/>
                  <a:lstStyle/>
                  <a:p>
                    <a:fld id="{ECF49B07-E30B-5B48-B3F7-D66C0C0517C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2FEC-E344-BC05-FAEB30035853}"/>
                </c:ext>
              </c:extLst>
            </c:dLbl>
            <c:dLbl>
              <c:idx val="35"/>
              <c:tx>
                <c:rich>
                  <a:bodyPr/>
                  <a:lstStyle/>
                  <a:p>
                    <a:fld id="{5221DD3F-CA17-BE47-BDEA-F0D8D39D192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2FEC-E344-BC05-FAEB30035853}"/>
                </c:ext>
              </c:extLst>
            </c:dLbl>
            <c:dLbl>
              <c:idx val="36"/>
              <c:tx>
                <c:rich>
                  <a:bodyPr/>
                  <a:lstStyle/>
                  <a:p>
                    <a:fld id="{088D1EA8-CAD2-DF42-93FD-96E6EE166E1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2FEC-E344-BC05-FAEB30035853}"/>
                </c:ext>
              </c:extLst>
            </c:dLbl>
            <c:dLbl>
              <c:idx val="37"/>
              <c:tx>
                <c:rich>
                  <a:bodyPr/>
                  <a:lstStyle/>
                  <a:p>
                    <a:fld id="{5F413F13-E756-7042-B3DC-FD0C1453A46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2FEC-E344-BC05-FAEB30035853}"/>
                </c:ext>
              </c:extLst>
            </c:dLbl>
            <c:dLbl>
              <c:idx val="38"/>
              <c:tx>
                <c:rich>
                  <a:bodyPr/>
                  <a:lstStyle/>
                  <a:p>
                    <a:fld id="{BC83B655-52F4-7449-85FD-27A1C32AFFA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2FEC-E344-BC05-FAEB30035853}"/>
                </c:ext>
              </c:extLst>
            </c:dLbl>
            <c:dLbl>
              <c:idx val="39"/>
              <c:tx>
                <c:rich>
                  <a:bodyPr/>
                  <a:lstStyle/>
                  <a:p>
                    <a:fld id="{824658EE-4B66-2948-A626-E154F004A81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2FEC-E344-BC05-FAEB30035853}"/>
                </c:ext>
              </c:extLst>
            </c:dLbl>
            <c:dLbl>
              <c:idx val="40"/>
              <c:tx>
                <c:rich>
                  <a:bodyPr/>
                  <a:lstStyle/>
                  <a:p>
                    <a:fld id="{C83E618A-8853-7E43-B291-44FD502EBF5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2FEC-E344-BC05-FAEB30035853}"/>
                </c:ext>
              </c:extLst>
            </c:dLbl>
            <c:dLbl>
              <c:idx val="41"/>
              <c:tx>
                <c:rich>
                  <a:bodyPr/>
                  <a:lstStyle/>
                  <a:p>
                    <a:fld id="{EDA8DDE8-DEBC-2040-9AE8-794FC56D474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2FEC-E344-BC05-FAEB30035853}"/>
                </c:ext>
              </c:extLst>
            </c:dLbl>
            <c:dLbl>
              <c:idx val="42"/>
              <c:tx>
                <c:rich>
                  <a:bodyPr/>
                  <a:lstStyle/>
                  <a:p>
                    <a:fld id="{2CCAE618-0FB9-AD4F-8263-A72722FA24C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2FEC-E344-BC05-FAEB30035853}"/>
                </c:ext>
              </c:extLst>
            </c:dLbl>
            <c:dLbl>
              <c:idx val="43"/>
              <c:tx>
                <c:rich>
                  <a:bodyPr/>
                  <a:lstStyle/>
                  <a:p>
                    <a:fld id="{0D6BB1AC-DEC3-A345-9980-1AB067DBCF2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2FEC-E344-BC05-FAEB30035853}"/>
                </c:ext>
              </c:extLst>
            </c:dLbl>
            <c:dLbl>
              <c:idx val="44"/>
              <c:tx>
                <c:rich>
                  <a:bodyPr/>
                  <a:lstStyle/>
                  <a:p>
                    <a:fld id="{CE8D6287-20FB-0647-B091-B0651EF1F07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2FEC-E344-BC05-FAEB30035853}"/>
                </c:ext>
              </c:extLst>
            </c:dLbl>
            <c:dLbl>
              <c:idx val="45"/>
              <c:tx>
                <c:rich>
                  <a:bodyPr/>
                  <a:lstStyle/>
                  <a:p>
                    <a:fld id="{76D0CB1A-3F9A-124F-8F60-6ACE580C90E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2FEC-E344-BC05-FAEB30035853}"/>
                </c:ext>
              </c:extLst>
            </c:dLbl>
            <c:dLbl>
              <c:idx val="46"/>
              <c:tx>
                <c:rich>
                  <a:bodyPr/>
                  <a:lstStyle/>
                  <a:p>
                    <a:fld id="{E1DEB4BE-9F19-4446-A35C-7573CECFBB1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2FEC-E344-BC05-FAEB30035853}"/>
                </c:ext>
              </c:extLst>
            </c:dLbl>
            <c:dLbl>
              <c:idx val="47"/>
              <c:tx>
                <c:rich>
                  <a:bodyPr/>
                  <a:lstStyle/>
                  <a:p>
                    <a:fld id="{AD1CD66C-ACF3-2849-9C8A-00191B9F03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2FEC-E344-BC05-FAEB30035853}"/>
                </c:ext>
              </c:extLst>
            </c:dLbl>
            <c:dLbl>
              <c:idx val="48"/>
              <c:tx>
                <c:rich>
                  <a:bodyPr/>
                  <a:lstStyle/>
                  <a:p>
                    <a:fld id="{FB4E8D49-980F-7341-8B75-F5A0CCFDEDE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2FEC-E344-BC05-FAEB30035853}"/>
                </c:ext>
              </c:extLst>
            </c:dLbl>
            <c:dLbl>
              <c:idx val="49"/>
              <c:tx>
                <c:rich>
                  <a:bodyPr/>
                  <a:lstStyle/>
                  <a:p>
                    <a:fld id="{D749E8B9-7508-084F-86E9-8E74F00BA31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2FEC-E344-BC05-FAEB30035853}"/>
                </c:ext>
              </c:extLst>
            </c:dLbl>
            <c:dLbl>
              <c:idx val="50"/>
              <c:tx>
                <c:rich>
                  <a:bodyPr/>
                  <a:lstStyle/>
                  <a:p>
                    <a:fld id="{C99881C3-2832-134C-A2BC-F12E1C58A36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2FEC-E344-BC05-FAEB30035853}"/>
                </c:ext>
              </c:extLst>
            </c:dLbl>
            <c:dLbl>
              <c:idx val="51"/>
              <c:tx>
                <c:rich>
                  <a:bodyPr/>
                  <a:lstStyle/>
                  <a:p>
                    <a:fld id="{10361AE0-BAFF-8947-829B-5565171E365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2FEC-E344-BC05-FAEB30035853}"/>
                </c:ext>
              </c:extLst>
            </c:dLbl>
            <c:dLbl>
              <c:idx val="52"/>
              <c:tx>
                <c:rich>
                  <a:bodyPr/>
                  <a:lstStyle/>
                  <a:p>
                    <a:fld id="{51C44A7C-6B11-2342-92E5-0B674893B19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2FEC-E344-BC05-FAEB30035853}"/>
                </c:ext>
              </c:extLst>
            </c:dLbl>
            <c:dLbl>
              <c:idx val="53"/>
              <c:tx>
                <c:rich>
                  <a:bodyPr/>
                  <a:lstStyle/>
                  <a:p>
                    <a:fld id="{C320FF44-AE73-7245-9333-B7E926CC32C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2FEC-E344-BC05-FAEB30035853}"/>
                </c:ext>
              </c:extLst>
            </c:dLbl>
            <c:dLbl>
              <c:idx val="54"/>
              <c:tx>
                <c:rich>
                  <a:bodyPr/>
                  <a:lstStyle/>
                  <a:p>
                    <a:fld id="{F160EABF-E746-1346-B706-DF9D98B8CDD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2FEC-E344-BC05-FAEB30035853}"/>
                </c:ext>
              </c:extLst>
            </c:dLbl>
            <c:dLbl>
              <c:idx val="55"/>
              <c:tx>
                <c:rich>
                  <a:bodyPr/>
                  <a:lstStyle/>
                  <a:p>
                    <a:fld id="{E1F65AFE-26B0-7A48-B26D-8A764CEA4F5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2FEC-E344-BC05-FAEB30035853}"/>
                </c:ext>
              </c:extLst>
            </c:dLbl>
            <c:dLbl>
              <c:idx val="56"/>
              <c:tx>
                <c:rich>
                  <a:bodyPr/>
                  <a:lstStyle/>
                  <a:p>
                    <a:fld id="{C39A11D8-9FF5-E048-9EBA-480856AF966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2FEC-E344-BC05-FAEB30035853}"/>
                </c:ext>
              </c:extLst>
            </c:dLbl>
            <c:dLbl>
              <c:idx val="57"/>
              <c:tx>
                <c:rich>
                  <a:bodyPr/>
                  <a:lstStyle/>
                  <a:p>
                    <a:fld id="{C2363CE3-720E-3249-BB97-0EF8DB9A4DB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2FEC-E344-BC05-FAEB30035853}"/>
                </c:ext>
              </c:extLst>
            </c:dLbl>
            <c:dLbl>
              <c:idx val="58"/>
              <c:tx>
                <c:rich>
                  <a:bodyPr/>
                  <a:lstStyle/>
                  <a:p>
                    <a:fld id="{EF29A684-A0EC-644C-A1D6-EDE368F57E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2FEC-E344-BC05-FAEB30035853}"/>
                </c:ext>
              </c:extLst>
            </c:dLbl>
            <c:dLbl>
              <c:idx val="59"/>
              <c:tx>
                <c:rich>
                  <a:bodyPr/>
                  <a:lstStyle/>
                  <a:p>
                    <a:fld id="{93761428-FB14-E94B-98E6-AFB0665D7DC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2FEC-E344-BC05-FAEB30035853}"/>
                </c:ext>
              </c:extLst>
            </c:dLbl>
            <c:dLbl>
              <c:idx val="60"/>
              <c:tx>
                <c:rich>
                  <a:bodyPr/>
                  <a:lstStyle/>
                  <a:p>
                    <a:fld id="{D8F8A1B8-4661-E64F-AA14-3A5A4D71254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2FEC-E344-BC05-FAEB30035853}"/>
                </c:ext>
              </c:extLst>
            </c:dLbl>
            <c:dLbl>
              <c:idx val="61"/>
              <c:tx>
                <c:rich>
                  <a:bodyPr/>
                  <a:lstStyle/>
                  <a:p>
                    <a:fld id="{35F70E9C-A9C7-DF47-8648-0EE4DCAEA1E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2FEC-E344-BC05-FAEB30035853}"/>
                </c:ext>
              </c:extLst>
            </c:dLbl>
            <c:dLbl>
              <c:idx val="62"/>
              <c:tx>
                <c:rich>
                  <a:bodyPr/>
                  <a:lstStyle/>
                  <a:p>
                    <a:fld id="{A8BE78EB-A486-364F-B119-181B6CECEEE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2FEC-E344-BC05-FAEB30035853}"/>
                </c:ext>
              </c:extLst>
            </c:dLbl>
            <c:dLbl>
              <c:idx val="63"/>
              <c:tx>
                <c:rich>
                  <a:bodyPr/>
                  <a:lstStyle/>
                  <a:p>
                    <a:fld id="{0CCEB266-2A14-B541-93F3-90E4C76C0F4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2FEC-E344-BC05-FAEB30035853}"/>
                </c:ext>
              </c:extLst>
            </c:dLbl>
            <c:dLbl>
              <c:idx val="64"/>
              <c:tx>
                <c:rich>
                  <a:bodyPr/>
                  <a:lstStyle/>
                  <a:p>
                    <a:fld id="{E987B695-E9A2-E946-8EAA-09E590BC834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2FEC-E344-BC05-FAEB30035853}"/>
                </c:ext>
              </c:extLst>
            </c:dLbl>
            <c:dLbl>
              <c:idx val="65"/>
              <c:tx>
                <c:rich>
                  <a:bodyPr/>
                  <a:lstStyle/>
                  <a:p>
                    <a:fld id="{A54D9846-A23C-D047-A551-64E96C9D6D5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2FEC-E344-BC05-FAEB30035853}"/>
                </c:ext>
              </c:extLst>
            </c:dLbl>
            <c:dLbl>
              <c:idx val="66"/>
              <c:tx>
                <c:rich>
                  <a:bodyPr/>
                  <a:lstStyle/>
                  <a:p>
                    <a:fld id="{A68405BA-02EF-8D45-9BA6-FA86F987013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2FEC-E344-BC05-FAEB30035853}"/>
                </c:ext>
              </c:extLst>
            </c:dLbl>
            <c:dLbl>
              <c:idx val="67"/>
              <c:tx>
                <c:rich>
                  <a:bodyPr/>
                  <a:lstStyle/>
                  <a:p>
                    <a:fld id="{710E47EB-5AB1-434F-9563-55CA8447520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2FEC-E344-BC05-FAEB30035853}"/>
                </c:ext>
              </c:extLst>
            </c:dLbl>
            <c:dLbl>
              <c:idx val="68"/>
              <c:tx>
                <c:rich>
                  <a:bodyPr/>
                  <a:lstStyle/>
                  <a:p>
                    <a:fld id="{563BA2C1-F8C0-D541-80DE-768FDF2DF2D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2FEC-E344-BC05-FAEB30035853}"/>
                </c:ext>
              </c:extLst>
            </c:dLbl>
            <c:dLbl>
              <c:idx val="69"/>
              <c:tx>
                <c:rich>
                  <a:bodyPr/>
                  <a:lstStyle/>
                  <a:p>
                    <a:fld id="{63A14B2F-418B-EA46-B655-007DBF67C49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2FEC-E344-BC05-FAEB30035853}"/>
                </c:ext>
              </c:extLst>
            </c:dLbl>
            <c:dLbl>
              <c:idx val="70"/>
              <c:tx>
                <c:rich>
                  <a:bodyPr/>
                  <a:lstStyle/>
                  <a:p>
                    <a:fld id="{62D00EB4-CF98-4C45-90CD-B1DED7821F2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2FEC-E344-BC05-FAEB30035853}"/>
                </c:ext>
              </c:extLst>
            </c:dLbl>
            <c:dLbl>
              <c:idx val="71"/>
              <c:tx>
                <c:rich>
                  <a:bodyPr/>
                  <a:lstStyle/>
                  <a:p>
                    <a:fld id="{A68AE5C8-3C4E-C54D-8722-C0CFB3EF8F4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2FEC-E344-BC05-FAEB30035853}"/>
                </c:ext>
              </c:extLst>
            </c:dLbl>
            <c:dLbl>
              <c:idx val="72"/>
              <c:tx>
                <c:rich>
                  <a:bodyPr/>
                  <a:lstStyle/>
                  <a:p>
                    <a:fld id="{020DFF80-7E6C-AD4A-B130-B57C900005D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2FEC-E344-BC05-FAEB30035853}"/>
                </c:ext>
              </c:extLst>
            </c:dLbl>
            <c:dLbl>
              <c:idx val="73"/>
              <c:tx>
                <c:rich>
                  <a:bodyPr/>
                  <a:lstStyle/>
                  <a:p>
                    <a:fld id="{E9A7B90B-2AA8-A041-BCF6-5D5DBCD1A6E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2FEC-E344-BC05-FAEB30035853}"/>
                </c:ext>
              </c:extLst>
            </c:dLbl>
            <c:dLbl>
              <c:idx val="74"/>
              <c:tx>
                <c:rich>
                  <a:bodyPr/>
                  <a:lstStyle/>
                  <a:p>
                    <a:fld id="{12AAED05-B64F-204C-B5BC-842AD3E4126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2FEC-E344-BC05-FAEB30035853}"/>
                </c:ext>
              </c:extLst>
            </c:dLbl>
            <c:dLbl>
              <c:idx val="75"/>
              <c:tx>
                <c:rich>
                  <a:bodyPr/>
                  <a:lstStyle/>
                  <a:p>
                    <a:fld id="{E8842066-DE9A-614E-81CA-479F8394536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2FEC-E344-BC05-FAEB30035853}"/>
                </c:ext>
              </c:extLst>
            </c:dLbl>
            <c:dLbl>
              <c:idx val="76"/>
              <c:tx>
                <c:rich>
                  <a:bodyPr/>
                  <a:lstStyle/>
                  <a:p>
                    <a:fld id="{FB7AC302-5F9A-2540-B2E9-B4058160ADB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2FEC-E344-BC05-FAEB30035853}"/>
                </c:ext>
              </c:extLst>
            </c:dLbl>
            <c:dLbl>
              <c:idx val="77"/>
              <c:tx>
                <c:rich>
                  <a:bodyPr/>
                  <a:lstStyle/>
                  <a:p>
                    <a:fld id="{3DFD3108-ADB9-FA43-9C5C-988C7D83158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2FEC-E344-BC05-FAEB30035853}"/>
                </c:ext>
              </c:extLst>
            </c:dLbl>
            <c:dLbl>
              <c:idx val="78"/>
              <c:tx>
                <c:rich>
                  <a:bodyPr/>
                  <a:lstStyle/>
                  <a:p>
                    <a:fld id="{DBBE04EF-D501-B64E-8EEA-ACA1F72B0F5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2FEC-E344-BC05-FAEB30035853}"/>
                </c:ext>
              </c:extLst>
            </c:dLbl>
            <c:dLbl>
              <c:idx val="79"/>
              <c:tx>
                <c:rich>
                  <a:bodyPr/>
                  <a:lstStyle/>
                  <a:p>
                    <a:fld id="{AA5F99F1-A553-9C49-A4AF-29AFC273180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2FEC-E344-BC05-FAEB30035853}"/>
                </c:ext>
              </c:extLst>
            </c:dLbl>
            <c:dLbl>
              <c:idx val="80"/>
              <c:tx>
                <c:rich>
                  <a:bodyPr/>
                  <a:lstStyle/>
                  <a:p>
                    <a:fld id="{1F6C3642-1815-304D-B658-4ACEE7E9C69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2FEC-E344-BC05-FAEB30035853}"/>
                </c:ext>
              </c:extLst>
            </c:dLbl>
            <c:dLbl>
              <c:idx val="81"/>
              <c:tx>
                <c:rich>
                  <a:bodyPr/>
                  <a:lstStyle/>
                  <a:p>
                    <a:fld id="{4B1AA498-05B6-C047-99B7-BD3BB3F7FAE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2FEC-E344-BC05-FAEB30035853}"/>
                </c:ext>
              </c:extLst>
            </c:dLbl>
            <c:dLbl>
              <c:idx val="82"/>
              <c:tx>
                <c:rich>
                  <a:bodyPr/>
                  <a:lstStyle/>
                  <a:p>
                    <a:fld id="{0DA52383-D693-B547-AEB1-E314A37A0B4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2FEC-E344-BC05-FAEB30035853}"/>
                </c:ext>
              </c:extLst>
            </c:dLbl>
            <c:dLbl>
              <c:idx val="83"/>
              <c:tx>
                <c:rich>
                  <a:bodyPr/>
                  <a:lstStyle/>
                  <a:p>
                    <a:fld id="{7C4E3E48-D6A4-B640-8EE6-785E97CD294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2FEC-E344-BC05-FAEB30035853}"/>
                </c:ext>
              </c:extLst>
            </c:dLbl>
            <c:dLbl>
              <c:idx val="84"/>
              <c:tx>
                <c:rich>
                  <a:bodyPr/>
                  <a:lstStyle/>
                  <a:p>
                    <a:fld id="{F386E60C-1656-BC43-8640-89EDA7DA323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2FEC-E344-BC05-FAEB30035853}"/>
                </c:ext>
              </c:extLst>
            </c:dLbl>
            <c:dLbl>
              <c:idx val="85"/>
              <c:tx>
                <c:rich>
                  <a:bodyPr/>
                  <a:lstStyle/>
                  <a:p>
                    <a:fld id="{AD5359EF-F2EE-AF48-8F24-B2A2018159D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2FEC-E344-BC05-FAEB30035853}"/>
                </c:ext>
              </c:extLst>
            </c:dLbl>
            <c:dLbl>
              <c:idx val="86"/>
              <c:tx>
                <c:rich>
                  <a:bodyPr/>
                  <a:lstStyle/>
                  <a:p>
                    <a:fld id="{9B0A9957-7CB3-CB4C-8406-151F47FE5C1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2FEC-E344-BC05-FAEB30035853}"/>
                </c:ext>
              </c:extLst>
            </c:dLbl>
            <c:dLbl>
              <c:idx val="87"/>
              <c:tx>
                <c:rich>
                  <a:bodyPr/>
                  <a:lstStyle/>
                  <a:p>
                    <a:fld id="{36A01DED-0D82-CD42-AEA3-FA4B0728F8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2FEC-E344-BC05-FAEB30035853}"/>
                </c:ext>
              </c:extLst>
            </c:dLbl>
            <c:dLbl>
              <c:idx val="88"/>
              <c:tx>
                <c:rich>
                  <a:bodyPr/>
                  <a:lstStyle/>
                  <a:p>
                    <a:fld id="{65000F5A-952A-D24E-96AC-727492C31F0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2FEC-E344-BC05-FAEB30035853}"/>
                </c:ext>
              </c:extLst>
            </c:dLbl>
            <c:dLbl>
              <c:idx val="89"/>
              <c:tx>
                <c:rich>
                  <a:bodyPr/>
                  <a:lstStyle/>
                  <a:p>
                    <a:fld id="{FF1F05B2-7882-8943-BCBE-2B1FCA66002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2FEC-E344-BC05-FAEB30035853}"/>
                </c:ext>
              </c:extLst>
            </c:dLbl>
            <c:dLbl>
              <c:idx val="90"/>
              <c:tx>
                <c:rich>
                  <a:bodyPr/>
                  <a:lstStyle/>
                  <a:p>
                    <a:fld id="{77AF1D15-9D9B-134E-9817-CED9C31BE9F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2FEC-E344-BC05-FAEB30035853}"/>
                </c:ext>
              </c:extLst>
            </c:dLbl>
            <c:dLbl>
              <c:idx val="91"/>
              <c:tx>
                <c:rich>
                  <a:bodyPr/>
                  <a:lstStyle/>
                  <a:p>
                    <a:fld id="{A7965384-62D6-0542-9BDD-6FF15FAE719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2FEC-E344-BC05-FAEB30035853}"/>
                </c:ext>
              </c:extLst>
            </c:dLbl>
            <c:dLbl>
              <c:idx val="92"/>
              <c:tx>
                <c:rich>
                  <a:bodyPr/>
                  <a:lstStyle/>
                  <a:p>
                    <a:fld id="{864A05C5-A8D9-D443-98E9-A261BC60C2E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2FEC-E344-BC05-FAEB30035853}"/>
                </c:ext>
              </c:extLst>
            </c:dLbl>
            <c:dLbl>
              <c:idx val="93"/>
              <c:tx>
                <c:rich>
                  <a:bodyPr/>
                  <a:lstStyle/>
                  <a:p>
                    <a:fld id="{0581EE13-220E-B040-9032-6EF0EA8ADDB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2FEC-E344-BC05-FAEB30035853}"/>
                </c:ext>
              </c:extLst>
            </c:dLbl>
            <c:dLbl>
              <c:idx val="94"/>
              <c:tx>
                <c:rich>
                  <a:bodyPr/>
                  <a:lstStyle/>
                  <a:p>
                    <a:fld id="{F17273C2-2BA1-0B47-B705-5ED17EE679F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2FEC-E344-BC05-FAEB30035853}"/>
                </c:ext>
              </c:extLst>
            </c:dLbl>
            <c:dLbl>
              <c:idx val="95"/>
              <c:tx>
                <c:rich>
                  <a:bodyPr/>
                  <a:lstStyle/>
                  <a:p>
                    <a:fld id="{95E093F5-B6DC-2441-A017-B79C134B19C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2FEC-E344-BC05-FAEB30035853}"/>
                </c:ext>
              </c:extLst>
            </c:dLbl>
            <c:dLbl>
              <c:idx val="96"/>
              <c:tx>
                <c:rich>
                  <a:bodyPr/>
                  <a:lstStyle/>
                  <a:p>
                    <a:fld id="{B1C35F61-2FFB-7340-B2AB-184E0AA9311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2FEC-E344-BC05-FAEB30035853}"/>
                </c:ext>
              </c:extLst>
            </c:dLbl>
            <c:dLbl>
              <c:idx val="97"/>
              <c:tx>
                <c:rich>
                  <a:bodyPr/>
                  <a:lstStyle/>
                  <a:p>
                    <a:fld id="{B52316AA-1B25-DF4D-9B83-757B0283166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2FEC-E344-BC05-FAEB30035853}"/>
                </c:ext>
              </c:extLst>
            </c:dLbl>
            <c:dLbl>
              <c:idx val="98"/>
              <c:tx>
                <c:rich>
                  <a:bodyPr/>
                  <a:lstStyle/>
                  <a:p>
                    <a:fld id="{6F792CFB-FB49-D04B-B932-705B949220E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2FEC-E344-BC05-FAEB30035853}"/>
                </c:ext>
              </c:extLst>
            </c:dLbl>
            <c:dLbl>
              <c:idx val="99"/>
              <c:tx>
                <c:rich>
                  <a:bodyPr/>
                  <a:lstStyle/>
                  <a:p>
                    <a:fld id="{7F120E43-2BAA-8B4B-AEAA-CFE22F394DA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2FEC-E344-BC05-FAEB30035853}"/>
                </c:ext>
              </c:extLst>
            </c:dLbl>
            <c:dLbl>
              <c:idx val="1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2FEC-E344-BC05-FAEB30035853}"/>
                </c:ext>
              </c:extLst>
            </c:dLbl>
            <c:dLbl>
              <c:idx val="1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2FEC-E344-BC05-FAEB30035853}"/>
                </c:ext>
              </c:extLst>
            </c:dLbl>
            <c:dLbl>
              <c:idx val="1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2FEC-E344-BC05-FAEB30035853}"/>
                </c:ext>
              </c:extLst>
            </c:dLbl>
            <c:dLbl>
              <c:idx val="1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2FEC-E344-BC05-FAEB30035853}"/>
                </c:ext>
              </c:extLst>
            </c:dLbl>
            <c:dLbl>
              <c:idx val="1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2FEC-E344-BC05-FAEB30035853}"/>
                </c:ext>
              </c:extLst>
            </c:dLbl>
            <c:dLbl>
              <c:idx val="1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2FEC-E344-BC05-FAEB30035853}"/>
                </c:ext>
              </c:extLst>
            </c:dLbl>
            <c:dLbl>
              <c:idx val="1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2FEC-E344-BC05-FAEB30035853}"/>
                </c:ext>
              </c:extLst>
            </c:dLbl>
            <c:dLbl>
              <c:idx val="1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2FEC-E344-BC05-FAEB30035853}"/>
                </c:ext>
              </c:extLst>
            </c:dLbl>
            <c:dLbl>
              <c:idx val="1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2FEC-E344-BC05-FAEB30035853}"/>
                </c:ext>
              </c:extLst>
            </c:dLbl>
            <c:dLbl>
              <c:idx val="1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2FEC-E344-BC05-FAEB30035853}"/>
                </c:ext>
              </c:extLst>
            </c:dLbl>
            <c:dLbl>
              <c:idx val="1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2FEC-E344-BC05-FAEB30035853}"/>
                </c:ext>
              </c:extLst>
            </c:dLbl>
            <c:dLbl>
              <c:idx val="1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2FEC-E344-BC05-FAEB30035853}"/>
                </c:ext>
              </c:extLst>
            </c:dLbl>
            <c:dLbl>
              <c:idx val="1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2FEC-E344-BC05-FAEB30035853}"/>
                </c:ext>
              </c:extLst>
            </c:dLbl>
            <c:dLbl>
              <c:idx val="1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2FEC-E344-BC05-FAEB30035853}"/>
                </c:ext>
              </c:extLst>
            </c:dLbl>
            <c:dLbl>
              <c:idx val="1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2FEC-E344-BC05-FAEB30035853}"/>
                </c:ext>
              </c:extLst>
            </c:dLbl>
            <c:dLbl>
              <c:idx val="1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2FEC-E344-BC05-FAEB30035853}"/>
                </c:ext>
              </c:extLst>
            </c:dLbl>
            <c:dLbl>
              <c:idx val="1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2FEC-E344-BC05-FAEB30035853}"/>
                </c:ext>
              </c:extLst>
            </c:dLbl>
            <c:dLbl>
              <c:idx val="1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2FEC-E344-BC05-FAEB30035853}"/>
                </c:ext>
              </c:extLst>
            </c:dLbl>
            <c:dLbl>
              <c:idx val="1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2FEC-E344-BC05-FAEB30035853}"/>
                </c:ext>
              </c:extLst>
            </c:dLbl>
            <c:dLbl>
              <c:idx val="1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2FEC-E344-BC05-FAEB30035853}"/>
                </c:ext>
              </c:extLst>
            </c:dLbl>
            <c:dLbl>
              <c:idx val="1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2FEC-E344-BC05-FAEB30035853}"/>
                </c:ext>
              </c:extLst>
            </c:dLbl>
            <c:dLbl>
              <c:idx val="1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2FEC-E344-BC05-FAEB30035853}"/>
                </c:ext>
              </c:extLst>
            </c:dLbl>
            <c:dLbl>
              <c:idx val="1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2FEC-E344-BC05-FAEB30035853}"/>
                </c:ext>
              </c:extLst>
            </c:dLbl>
            <c:dLbl>
              <c:idx val="1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2FEC-E344-BC05-FAEB30035853}"/>
                </c:ext>
              </c:extLst>
            </c:dLbl>
            <c:dLbl>
              <c:idx val="1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2FEC-E344-BC05-FAEB30035853}"/>
                </c:ext>
              </c:extLst>
            </c:dLbl>
            <c:dLbl>
              <c:idx val="1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2FEC-E344-BC05-FAEB30035853}"/>
                </c:ext>
              </c:extLst>
            </c:dLbl>
            <c:dLbl>
              <c:idx val="1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2FEC-E344-BC05-FAEB30035853}"/>
                </c:ext>
              </c:extLst>
            </c:dLbl>
            <c:dLbl>
              <c:idx val="1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2FEC-E344-BC05-FAEB30035853}"/>
                </c:ext>
              </c:extLst>
            </c:dLbl>
            <c:dLbl>
              <c:idx val="1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2FEC-E344-BC05-FAEB30035853}"/>
                </c:ext>
              </c:extLst>
            </c:dLbl>
            <c:dLbl>
              <c:idx val="1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2FEC-E344-BC05-FAEB30035853}"/>
                </c:ext>
              </c:extLst>
            </c:dLbl>
            <c:dLbl>
              <c:idx val="1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2FEC-E344-BC05-FAEB30035853}"/>
                </c:ext>
              </c:extLst>
            </c:dLbl>
            <c:dLbl>
              <c:idx val="1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2FEC-E344-BC05-FAEB30035853}"/>
                </c:ext>
              </c:extLst>
            </c:dLbl>
            <c:dLbl>
              <c:idx val="1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2FEC-E344-BC05-FAEB30035853}"/>
                </c:ext>
              </c:extLst>
            </c:dLbl>
            <c:dLbl>
              <c:idx val="1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2FEC-E344-BC05-FAEB30035853}"/>
                </c:ext>
              </c:extLst>
            </c:dLbl>
            <c:dLbl>
              <c:idx val="1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2FEC-E344-BC05-FAEB30035853}"/>
                </c:ext>
              </c:extLst>
            </c:dLbl>
            <c:dLbl>
              <c:idx val="1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2FEC-E344-BC05-FAEB30035853}"/>
                </c:ext>
              </c:extLst>
            </c:dLbl>
            <c:dLbl>
              <c:idx val="1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2FEC-E344-BC05-FAEB30035853}"/>
                </c:ext>
              </c:extLst>
            </c:dLbl>
            <c:dLbl>
              <c:idx val="1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2FEC-E344-BC05-FAEB30035853}"/>
                </c:ext>
              </c:extLst>
            </c:dLbl>
            <c:dLbl>
              <c:idx val="1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2FEC-E344-BC05-FAEB30035853}"/>
                </c:ext>
              </c:extLst>
            </c:dLbl>
            <c:dLbl>
              <c:idx val="1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2FEC-E344-BC05-FAEB30035853}"/>
                </c:ext>
              </c:extLst>
            </c:dLbl>
            <c:dLbl>
              <c:idx val="1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2FEC-E344-BC05-FAEB30035853}"/>
                </c:ext>
              </c:extLst>
            </c:dLbl>
            <c:dLbl>
              <c:idx val="1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2FEC-E344-BC05-FAEB30035853}"/>
                </c:ext>
              </c:extLst>
            </c:dLbl>
            <c:dLbl>
              <c:idx val="1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2FEC-E344-BC05-FAEB30035853}"/>
                </c:ext>
              </c:extLst>
            </c:dLbl>
            <c:dLbl>
              <c:idx val="1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2FEC-E344-BC05-FAEB30035853}"/>
                </c:ext>
              </c:extLst>
            </c:dLbl>
            <c:dLbl>
              <c:idx val="1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2FEC-E344-BC05-FAEB30035853}"/>
                </c:ext>
              </c:extLst>
            </c:dLbl>
            <c:dLbl>
              <c:idx val="1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2FEC-E344-BC05-FAEB30035853}"/>
                </c:ext>
              </c:extLst>
            </c:dLbl>
            <c:dLbl>
              <c:idx val="1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2FEC-E344-BC05-FAEB30035853}"/>
                </c:ext>
              </c:extLst>
            </c:dLbl>
            <c:dLbl>
              <c:idx val="1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2FEC-E344-BC05-FAEB30035853}"/>
                </c:ext>
              </c:extLst>
            </c:dLbl>
            <c:dLbl>
              <c:idx val="1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2FEC-E344-BC05-FAEB30035853}"/>
                </c:ext>
              </c:extLst>
            </c:dLbl>
            <c:dLbl>
              <c:idx val="1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5-2FEC-E344-BC05-FAEB30035853}"/>
                </c:ext>
              </c:extLst>
            </c:dLbl>
            <c:dLbl>
              <c:idx val="1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6-2FEC-E344-BC05-FAEB30035853}"/>
                </c:ext>
              </c:extLst>
            </c:dLbl>
            <c:dLbl>
              <c:idx val="15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7-2FEC-E344-BC05-FAEB30035853}"/>
                </c:ext>
              </c:extLst>
            </c:dLbl>
            <c:dLbl>
              <c:idx val="15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8-2FEC-E344-BC05-FAEB30035853}"/>
                </c:ext>
              </c:extLst>
            </c:dLbl>
            <c:dLbl>
              <c:idx val="15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9-2FEC-E344-BC05-FAEB30035853}"/>
                </c:ext>
              </c:extLst>
            </c:dLbl>
            <c:dLbl>
              <c:idx val="15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A-2FEC-E344-BC05-FAEB30035853}"/>
                </c:ext>
              </c:extLst>
            </c:dLbl>
            <c:dLbl>
              <c:idx val="15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B-2FEC-E344-BC05-FAEB30035853}"/>
                </c:ext>
              </c:extLst>
            </c:dLbl>
            <c:dLbl>
              <c:idx val="15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C-2FEC-E344-BC05-FAEB30035853}"/>
                </c:ext>
              </c:extLst>
            </c:dLbl>
            <c:dLbl>
              <c:idx val="15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D-2FEC-E344-BC05-FAEB30035853}"/>
                </c:ext>
              </c:extLst>
            </c:dLbl>
            <c:dLbl>
              <c:idx val="15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E-2FEC-E344-BC05-FAEB30035853}"/>
                </c:ext>
              </c:extLst>
            </c:dLbl>
            <c:dLbl>
              <c:idx val="15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F-2FEC-E344-BC05-FAEB30035853}"/>
                </c:ext>
              </c:extLst>
            </c:dLbl>
            <c:dLbl>
              <c:idx val="16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0-2FEC-E344-BC05-FAEB30035853}"/>
                </c:ext>
              </c:extLst>
            </c:dLbl>
            <c:dLbl>
              <c:idx val="16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1-2FEC-E344-BC05-FAEB30035853}"/>
                </c:ext>
              </c:extLst>
            </c:dLbl>
            <c:dLbl>
              <c:idx val="16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2-2FEC-E344-BC05-FAEB30035853}"/>
                </c:ext>
              </c:extLst>
            </c:dLbl>
            <c:dLbl>
              <c:idx val="16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3-2FEC-E344-BC05-FAEB30035853}"/>
                </c:ext>
              </c:extLst>
            </c:dLbl>
            <c:dLbl>
              <c:idx val="16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4-2FEC-E344-BC05-FAEB30035853}"/>
                </c:ext>
              </c:extLst>
            </c:dLbl>
            <c:dLbl>
              <c:idx val="16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5-2FEC-E344-BC05-FAEB30035853}"/>
                </c:ext>
              </c:extLst>
            </c:dLbl>
            <c:dLbl>
              <c:idx val="16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6-2FEC-E344-BC05-FAEB30035853}"/>
                </c:ext>
              </c:extLst>
            </c:dLbl>
            <c:dLbl>
              <c:idx val="16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7-2FEC-E344-BC05-FAEB30035853}"/>
                </c:ext>
              </c:extLst>
            </c:dLbl>
            <c:dLbl>
              <c:idx val="16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8-2FEC-E344-BC05-FAEB30035853}"/>
                </c:ext>
              </c:extLst>
            </c:dLbl>
            <c:dLbl>
              <c:idx val="16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9-2FEC-E344-BC05-FAEB30035853}"/>
                </c:ext>
              </c:extLst>
            </c:dLbl>
            <c:dLbl>
              <c:idx val="17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A-2FEC-E344-BC05-FAEB30035853}"/>
                </c:ext>
              </c:extLst>
            </c:dLbl>
            <c:dLbl>
              <c:idx val="17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B-2FEC-E344-BC05-FAEB30035853}"/>
                </c:ext>
              </c:extLst>
            </c:dLbl>
            <c:dLbl>
              <c:idx val="17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C-2FEC-E344-BC05-FAEB30035853}"/>
                </c:ext>
              </c:extLst>
            </c:dLbl>
            <c:dLbl>
              <c:idx val="17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D-2FEC-E344-BC05-FAEB30035853}"/>
                </c:ext>
              </c:extLst>
            </c:dLbl>
            <c:dLbl>
              <c:idx val="17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E-2FEC-E344-BC05-FAEB30035853}"/>
                </c:ext>
              </c:extLst>
            </c:dLbl>
            <c:dLbl>
              <c:idx val="17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F-2FEC-E344-BC05-FAEB30035853}"/>
                </c:ext>
              </c:extLst>
            </c:dLbl>
            <c:dLbl>
              <c:idx val="17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0-2FEC-E344-BC05-FAEB30035853}"/>
                </c:ext>
              </c:extLst>
            </c:dLbl>
            <c:dLbl>
              <c:idx val="17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1-2FEC-E344-BC05-FAEB30035853}"/>
                </c:ext>
              </c:extLst>
            </c:dLbl>
            <c:dLbl>
              <c:idx val="17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2-2FEC-E344-BC05-FAEB30035853}"/>
                </c:ext>
              </c:extLst>
            </c:dLbl>
            <c:dLbl>
              <c:idx val="17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3-2FEC-E344-BC05-FAEB30035853}"/>
                </c:ext>
              </c:extLst>
            </c:dLbl>
            <c:dLbl>
              <c:idx val="18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4-2FEC-E344-BC05-FAEB30035853}"/>
                </c:ext>
              </c:extLst>
            </c:dLbl>
            <c:dLbl>
              <c:idx val="18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5-2FEC-E344-BC05-FAEB30035853}"/>
                </c:ext>
              </c:extLst>
            </c:dLbl>
            <c:dLbl>
              <c:idx val="18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6-2FEC-E344-BC05-FAEB30035853}"/>
                </c:ext>
              </c:extLst>
            </c:dLbl>
            <c:dLbl>
              <c:idx val="18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7-2FEC-E344-BC05-FAEB30035853}"/>
                </c:ext>
              </c:extLst>
            </c:dLbl>
            <c:dLbl>
              <c:idx val="18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8-2FEC-E344-BC05-FAEB30035853}"/>
                </c:ext>
              </c:extLst>
            </c:dLbl>
            <c:dLbl>
              <c:idx val="18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9-2FEC-E344-BC05-FAEB30035853}"/>
                </c:ext>
              </c:extLst>
            </c:dLbl>
            <c:dLbl>
              <c:idx val="18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A-2FEC-E344-BC05-FAEB30035853}"/>
                </c:ext>
              </c:extLst>
            </c:dLbl>
            <c:dLbl>
              <c:idx val="18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B-2FEC-E344-BC05-FAEB30035853}"/>
                </c:ext>
              </c:extLst>
            </c:dLbl>
            <c:dLbl>
              <c:idx val="18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C-2FEC-E344-BC05-FAEB30035853}"/>
                </c:ext>
              </c:extLst>
            </c:dLbl>
            <c:dLbl>
              <c:idx val="18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D-2FEC-E344-BC05-FAEB30035853}"/>
                </c:ext>
              </c:extLst>
            </c:dLbl>
            <c:dLbl>
              <c:idx val="19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E-2FEC-E344-BC05-FAEB30035853}"/>
                </c:ext>
              </c:extLst>
            </c:dLbl>
            <c:dLbl>
              <c:idx val="19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F-2FEC-E344-BC05-FAEB30035853}"/>
                </c:ext>
              </c:extLst>
            </c:dLbl>
            <c:dLbl>
              <c:idx val="19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0-2FEC-E344-BC05-FAEB30035853}"/>
                </c:ext>
              </c:extLst>
            </c:dLbl>
            <c:dLbl>
              <c:idx val="19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1-2FEC-E344-BC05-FAEB30035853}"/>
                </c:ext>
              </c:extLst>
            </c:dLbl>
            <c:dLbl>
              <c:idx val="19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2-2FEC-E344-BC05-FAEB30035853}"/>
                </c:ext>
              </c:extLst>
            </c:dLbl>
            <c:dLbl>
              <c:idx val="19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3-2FEC-E344-BC05-FAEB30035853}"/>
                </c:ext>
              </c:extLst>
            </c:dLbl>
            <c:dLbl>
              <c:idx val="19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4-2FEC-E344-BC05-FAEB30035853}"/>
                </c:ext>
              </c:extLst>
            </c:dLbl>
            <c:dLbl>
              <c:idx val="19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5-2FEC-E344-BC05-FAEB30035853}"/>
                </c:ext>
              </c:extLst>
            </c:dLbl>
            <c:dLbl>
              <c:idx val="19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6-2FEC-E344-BC05-FAEB30035853}"/>
                </c:ext>
              </c:extLst>
            </c:dLbl>
            <c:dLbl>
              <c:idx val="19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7-2FEC-E344-BC05-FAEB30035853}"/>
                </c:ext>
              </c:extLst>
            </c:dLbl>
            <c:dLbl>
              <c:idx val="2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8-2FEC-E344-BC05-FAEB30035853}"/>
                </c:ext>
              </c:extLst>
            </c:dLbl>
            <c:dLbl>
              <c:idx val="2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9-2FEC-E344-BC05-FAEB30035853}"/>
                </c:ext>
              </c:extLst>
            </c:dLbl>
            <c:dLbl>
              <c:idx val="2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A-2FEC-E344-BC05-FAEB30035853}"/>
                </c:ext>
              </c:extLst>
            </c:dLbl>
            <c:dLbl>
              <c:idx val="2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B-2FEC-E344-BC05-FAEB30035853}"/>
                </c:ext>
              </c:extLst>
            </c:dLbl>
            <c:dLbl>
              <c:idx val="2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C-2FEC-E344-BC05-FAEB30035853}"/>
                </c:ext>
              </c:extLst>
            </c:dLbl>
            <c:dLbl>
              <c:idx val="2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D-2FEC-E344-BC05-FAEB30035853}"/>
                </c:ext>
              </c:extLst>
            </c:dLbl>
            <c:dLbl>
              <c:idx val="2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E-2FEC-E344-BC05-FAEB30035853}"/>
                </c:ext>
              </c:extLst>
            </c:dLbl>
            <c:dLbl>
              <c:idx val="2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F-2FEC-E344-BC05-FAEB30035853}"/>
                </c:ext>
              </c:extLst>
            </c:dLbl>
            <c:dLbl>
              <c:idx val="2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0-2FEC-E344-BC05-FAEB30035853}"/>
                </c:ext>
              </c:extLst>
            </c:dLbl>
            <c:dLbl>
              <c:idx val="2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1-2FEC-E344-BC05-FAEB30035853}"/>
                </c:ext>
              </c:extLst>
            </c:dLbl>
            <c:dLbl>
              <c:idx val="2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2-2FEC-E344-BC05-FAEB30035853}"/>
                </c:ext>
              </c:extLst>
            </c:dLbl>
            <c:dLbl>
              <c:idx val="2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3-2FEC-E344-BC05-FAEB30035853}"/>
                </c:ext>
              </c:extLst>
            </c:dLbl>
            <c:dLbl>
              <c:idx val="2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4-2FEC-E344-BC05-FAEB30035853}"/>
                </c:ext>
              </c:extLst>
            </c:dLbl>
            <c:dLbl>
              <c:idx val="2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5-2FEC-E344-BC05-FAEB30035853}"/>
                </c:ext>
              </c:extLst>
            </c:dLbl>
            <c:dLbl>
              <c:idx val="2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6-2FEC-E344-BC05-FAEB30035853}"/>
                </c:ext>
              </c:extLst>
            </c:dLbl>
            <c:dLbl>
              <c:idx val="2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7-2FEC-E344-BC05-FAEB30035853}"/>
                </c:ext>
              </c:extLst>
            </c:dLbl>
            <c:dLbl>
              <c:idx val="2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8-2FEC-E344-BC05-FAEB30035853}"/>
                </c:ext>
              </c:extLst>
            </c:dLbl>
            <c:dLbl>
              <c:idx val="2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9-2FEC-E344-BC05-FAEB30035853}"/>
                </c:ext>
              </c:extLst>
            </c:dLbl>
            <c:dLbl>
              <c:idx val="2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A-2FEC-E344-BC05-FAEB30035853}"/>
                </c:ext>
              </c:extLst>
            </c:dLbl>
            <c:dLbl>
              <c:idx val="2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B-2FEC-E344-BC05-FAEB30035853}"/>
                </c:ext>
              </c:extLst>
            </c:dLbl>
            <c:dLbl>
              <c:idx val="2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C-2FEC-E344-BC05-FAEB30035853}"/>
                </c:ext>
              </c:extLst>
            </c:dLbl>
            <c:dLbl>
              <c:idx val="2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D-2FEC-E344-BC05-FAEB30035853}"/>
                </c:ext>
              </c:extLst>
            </c:dLbl>
            <c:dLbl>
              <c:idx val="2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E-2FEC-E344-BC05-FAEB30035853}"/>
                </c:ext>
              </c:extLst>
            </c:dLbl>
            <c:dLbl>
              <c:idx val="2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F-2FEC-E344-BC05-FAEB30035853}"/>
                </c:ext>
              </c:extLst>
            </c:dLbl>
            <c:dLbl>
              <c:idx val="2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0-2FEC-E344-BC05-FAEB30035853}"/>
                </c:ext>
              </c:extLst>
            </c:dLbl>
            <c:dLbl>
              <c:idx val="2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1-2FEC-E344-BC05-FAEB30035853}"/>
                </c:ext>
              </c:extLst>
            </c:dLbl>
            <c:dLbl>
              <c:idx val="2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2-2FEC-E344-BC05-FAEB30035853}"/>
                </c:ext>
              </c:extLst>
            </c:dLbl>
            <c:dLbl>
              <c:idx val="2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3-2FEC-E344-BC05-FAEB30035853}"/>
                </c:ext>
              </c:extLst>
            </c:dLbl>
            <c:dLbl>
              <c:idx val="2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4-2FEC-E344-BC05-FAEB30035853}"/>
                </c:ext>
              </c:extLst>
            </c:dLbl>
            <c:dLbl>
              <c:idx val="2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5-2FEC-E344-BC05-FAEB30035853}"/>
                </c:ext>
              </c:extLst>
            </c:dLbl>
            <c:dLbl>
              <c:idx val="2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6-2FEC-E344-BC05-FAEB30035853}"/>
                </c:ext>
              </c:extLst>
            </c:dLbl>
            <c:dLbl>
              <c:idx val="2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7-2FEC-E344-BC05-FAEB30035853}"/>
                </c:ext>
              </c:extLst>
            </c:dLbl>
            <c:dLbl>
              <c:idx val="2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8-2FEC-E344-BC05-FAEB30035853}"/>
                </c:ext>
              </c:extLst>
            </c:dLbl>
            <c:dLbl>
              <c:idx val="2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9-2FEC-E344-BC05-FAEB30035853}"/>
                </c:ext>
              </c:extLst>
            </c:dLbl>
            <c:dLbl>
              <c:idx val="2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A-2FEC-E344-BC05-FAEB30035853}"/>
                </c:ext>
              </c:extLst>
            </c:dLbl>
            <c:dLbl>
              <c:idx val="2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B-2FEC-E344-BC05-FAEB30035853}"/>
                </c:ext>
              </c:extLst>
            </c:dLbl>
            <c:dLbl>
              <c:idx val="2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C-2FEC-E344-BC05-FAEB30035853}"/>
                </c:ext>
              </c:extLst>
            </c:dLbl>
            <c:dLbl>
              <c:idx val="2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D-2FEC-E344-BC05-FAEB30035853}"/>
                </c:ext>
              </c:extLst>
            </c:dLbl>
            <c:dLbl>
              <c:idx val="2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E-2FEC-E344-BC05-FAEB30035853}"/>
                </c:ext>
              </c:extLst>
            </c:dLbl>
            <c:dLbl>
              <c:idx val="2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F-2FEC-E344-BC05-FAEB30035853}"/>
                </c:ext>
              </c:extLst>
            </c:dLbl>
            <c:dLbl>
              <c:idx val="2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0-2FEC-E344-BC05-FAEB30035853}"/>
                </c:ext>
              </c:extLst>
            </c:dLbl>
            <c:dLbl>
              <c:idx val="2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1-2FEC-E344-BC05-FAEB30035853}"/>
                </c:ext>
              </c:extLst>
            </c:dLbl>
            <c:dLbl>
              <c:idx val="2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2-2FEC-E344-BC05-FAEB30035853}"/>
                </c:ext>
              </c:extLst>
            </c:dLbl>
            <c:dLbl>
              <c:idx val="2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3-2FEC-E344-BC05-FAEB30035853}"/>
                </c:ext>
              </c:extLst>
            </c:dLbl>
            <c:dLbl>
              <c:idx val="2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4-2FEC-E344-BC05-FAEB30035853}"/>
                </c:ext>
              </c:extLst>
            </c:dLbl>
            <c:dLbl>
              <c:idx val="2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5-2FEC-E344-BC05-FAEB30035853}"/>
                </c:ext>
              </c:extLst>
            </c:dLbl>
            <c:dLbl>
              <c:idx val="2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6-2FEC-E344-BC05-FAEB30035853}"/>
                </c:ext>
              </c:extLst>
            </c:dLbl>
            <c:dLbl>
              <c:idx val="2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7-2FEC-E344-BC05-FAEB30035853}"/>
                </c:ext>
              </c:extLst>
            </c:dLbl>
            <c:dLbl>
              <c:idx val="2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8-2FEC-E344-BC05-FAEB30035853}"/>
                </c:ext>
              </c:extLst>
            </c:dLbl>
            <c:dLbl>
              <c:idx val="2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9-2FEC-E344-BC05-FAEB30035853}"/>
                </c:ext>
              </c:extLst>
            </c:dLbl>
            <c:dLbl>
              <c:idx val="2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C-2FEC-E344-BC05-FAEB30035853}"/>
                </c:ext>
              </c:extLst>
            </c:dLbl>
            <c:spPr>
              <a:solidFill>
                <a:schemeClr val="bg1">
                  <a:lumMod val="95000"/>
                  <a:alpha val="50000"/>
                </a:schemeClr>
              </a:solidFill>
              <a:ln w="6350">
                <a:solidFill>
                  <a:schemeClr val="bg1">
                    <a:lumMod val="85000"/>
                    <a:alpha val="50000"/>
                  </a:schemeClr>
                </a:solid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zh-CN"/>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交易所排名!$Q$68:$Q$318</c:f>
              <c:numCache>
                <c:formatCode>General</c:formatCode>
                <c:ptCount val="251"/>
                <c:pt idx="0">
                  <c:v>10</c:v>
                </c:pt>
                <c:pt idx="1">
                  <c:v>5</c:v>
                </c:pt>
                <c:pt idx="2">
                  <c:v>3</c:v>
                </c:pt>
                <c:pt idx="3">
                  <c:v>7</c:v>
                </c:pt>
                <c:pt idx="4">
                  <c:v>8</c:v>
                </c:pt>
                <c:pt idx="5">
                  <c:v>10</c:v>
                </c:pt>
                <c:pt idx="6">
                  <c:v>6</c:v>
                </c:pt>
                <c:pt idx="7">
                  <c:v>7</c:v>
                </c:pt>
                <c:pt idx="8">
                  <c:v>5</c:v>
                </c:pt>
                <c:pt idx="9">
                  <c:v>10</c:v>
                </c:pt>
                <c:pt idx="10">
                  <c:v>7</c:v>
                </c:pt>
                <c:pt idx="11">
                  <c:v>10</c:v>
                </c:pt>
                <c:pt idx="12">
                  <c:v>4</c:v>
                </c:pt>
                <c:pt idx="13">
                  <c:v>4</c:v>
                </c:pt>
                <c:pt idx="14">
                  <c:v>9</c:v>
                </c:pt>
                <c:pt idx="15">
                  <c:v>8</c:v>
                </c:pt>
                <c:pt idx="16">
                  <c:v>10</c:v>
                </c:pt>
                <c:pt idx="17">
                  <c:v>2</c:v>
                </c:pt>
                <c:pt idx="18">
                  <c:v>6</c:v>
                </c:pt>
                <c:pt idx="19">
                  <c:v>7</c:v>
                </c:pt>
                <c:pt idx="20">
                  <c:v>8</c:v>
                </c:pt>
                <c:pt idx="21">
                  <c:v>10</c:v>
                </c:pt>
                <c:pt idx="22">
                  <c:v>6</c:v>
                </c:pt>
                <c:pt idx="23">
                  <c:v>7</c:v>
                </c:pt>
                <c:pt idx="24">
                  <c:v>8</c:v>
                </c:pt>
                <c:pt idx="25">
                  <c:v>8</c:v>
                </c:pt>
                <c:pt idx="26">
                  <c:v>10</c:v>
                </c:pt>
                <c:pt idx="27">
                  <c:v>8</c:v>
                </c:pt>
                <c:pt idx="28">
                  <c:v>8</c:v>
                </c:pt>
                <c:pt idx="29">
                  <c:v>7</c:v>
                </c:pt>
                <c:pt idx="30">
                  <c:v>10</c:v>
                </c:pt>
                <c:pt idx="31">
                  <c:v>7</c:v>
                </c:pt>
                <c:pt idx="32">
                  <c:v>8</c:v>
                </c:pt>
                <c:pt idx="33">
                  <c:v>6</c:v>
                </c:pt>
                <c:pt idx="34">
                  <c:v>10</c:v>
                </c:pt>
                <c:pt idx="35">
                  <c:v>4</c:v>
                </c:pt>
                <c:pt idx="36">
                  <c:v>7</c:v>
                </c:pt>
                <c:pt idx="37">
                  <c:v>3</c:v>
                </c:pt>
                <c:pt idx="38">
                  <c:v>8</c:v>
                </c:pt>
                <c:pt idx="39">
                  <c:v>9</c:v>
                </c:pt>
                <c:pt idx="40">
                  <c:v>10</c:v>
                </c:pt>
                <c:pt idx="41">
                  <c:v>8</c:v>
                </c:pt>
                <c:pt idx="42">
                  <c:v>7</c:v>
                </c:pt>
                <c:pt idx="43">
                  <c:v>6</c:v>
                </c:pt>
                <c:pt idx="44">
                  <c:v>8</c:v>
                </c:pt>
                <c:pt idx="45">
                  <c:v>8</c:v>
                </c:pt>
                <c:pt idx="46">
                  <c:v>6</c:v>
                </c:pt>
                <c:pt idx="47">
                  <c:v>6</c:v>
                </c:pt>
                <c:pt idx="48">
                  <c:v>7</c:v>
                </c:pt>
                <c:pt idx="49">
                  <c:v>7</c:v>
                </c:pt>
                <c:pt idx="50">
                  <c:v>2</c:v>
                </c:pt>
                <c:pt idx="51">
                  <c:v>2</c:v>
                </c:pt>
                <c:pt idx="52">
                  <c:v>7</c:v>
                </c:pt>
                <c:pt idx="53">
                  <c:v>6</c:v>
                </c:pt>
                <c:pt idx="54">
                  <c:v>2</c:v>
                </c:pt>
                <c:pt idx="55">
                  <c:v>3</c:v>
                </c:pt>
                <c:pt idx="56">
                  <c:v>3</c:v>
                </c:pt>
                <c:pt idx="57">
                  <c:v>4</c:v>
                </c:pt>
                <c:pt idx="58">
                  <c:v>6</c:v>
                </c:pt>
                <c:pt idx="59">
                  <c:v>6</c:v>
                </c:pt>
                <c:pt idx="60">
                  <c:v>6</c:v>
                </c:pt>
                <c:pt idx="61">
                  <c:v>6</c:v>
                </c:pt>
                <c:pt idx="62">
                  <c:v>6</c:v>
                </c:pt>
                <c:pt idx="63">
                  <c:v>0</c:v>
                </c:pt>
                <c:pt idx="64">
                  <c:v>7</c:v>
                </c:pt>
                <c:pt idx="65">
                  <c:v>9</c:v>
                </c:pt>
                <c:pt idx="66">
                  <c:v>6</c:v>
                </c:pt>
                <c:pt idx="67">
                  <c:v>1</c:v>
                </c:pt>
                <c:pt idx="68">
                  <c:v>9</c:v>
                </c:pt>
                <c:pt idx="69">
                  <c:v>5</c:v>
                </c:pt>
                <c:pt idx="70">
                  <c:v>7</c:v>
                </c:pt>
                <c:pt idx="71">
                  <c:v>4</c:v>
                </c:pt>
                <c:pt idx="72">
                  <c:v>9</c:v>
                </c:pt>
                <c:pt idx="73">
                  <c:v>5</c:v>
                </c:pt>
                <c:pt idx="74">
                  <c:v>9</c:v>
                </c:pt>
                <c:pt idx="75">
                  <c:v>5</c:v>
                </c:pt>
                <c:pt idx="76">
                  <c:v>7</c:v>
                </c:pt>
                <c:pt idx="77">
                  <c:v>7</c:v>
                </c:pt>
                <c:pt idx="78">
                  <c:v>7</c:v>
                </c:pt>
                <c:pt idx="79">
                  <c:v>6</c:v>
                </c:pt>
                <c:pt idx="80">
                  <c:v>8</c:v>
                </c:pt>
                <c:pt idx="81">
                  <c:v>3</c:v>
                </c:pt>
                <c:pt idx="82">
                  <c:v>2</c:v>
                </c:pt>
                <c:pt idx="83">
                  <c:v>9</c:v>
                </c:pt>
                <c:pt idx="84">
                  <c:v>7</c:v>
                </c:pt>
                <c:pt idx="85">
                  <c:v>7</c:v>
                </c:pt>
                <c:pt idx="86">
                  <c:v>10</c:v>
                </c:pt>
                <c:pt idx="87">
                  <c:v>2</c:v>
                </c:pt>
                <c:pt idx="88">
                  <c:v>9</c:v>
                </c:pt>
                <c:pt idx="89">
                  <c:v>8</c:v>
                </c:pt>
                <c:pt idx="90">
                  <c:v>0</c:v>
                </c:pt>
                <c:pt idx="91">
                  <c:v>3</c:v>
                </c:pt>
                <c:pt idx="92">
                  <c:v>8</c:v>
                </c:pt>
                <c:pt idx="93">
                  <c:v>7</c:v>
                </c:pt>
                <c:pt idx="94">
                  <c:v>10</c:v>
                </c:pt>
                <c:pt idx="95">
                  <c:v>5</c:v>
                </c:pt>
                <c:pt idx="96">
                  <c:v>7</c:v>
                </c:pt>
                <c:pt idx="97">
                  <c:v>6</c:v>
                </c:pt>
                <c:pt idx="98">
                  <c:v>7</c:v>
                </c:pt>
                <c:pt idx="99">
                  <c:v>9</c:v>
                </c:pt>
                <c:pt idx="100">
                  <c:v>4</c:v>
                </c:pt>
                <c:pt idx="101">
                  <c:v>3</c:v>
                </c:pt>
                <c:pt idx="102">
                  <c:v>7</c:v>
                </c:pt>
                <c:pt idx="103">
                  <c:v>9</c:v>
                </c:pt>
                <c:pt idx="104">
                  <c:v>1</c:v>
                </c:pt>
                <c:pt idx="105">
                  <c:v>7</c:v>
                </c:pt>
                <c:pt idx="106">
                  <c:v>5</c:v>
                </c:pt>
                <c:pt idx="107">
                  <c:v>4</c:v>
                </c:pt>
                <c:pt idx="108">
                  <c:v>5</c:v>
                </c:pt>
                <c:pt idx="109">
                  <c:v>7</c:v>
                </c:pt>
                <c:pt idx="110">
                  <c:v>6</c:v>
                </c:pt>
                <c:pt idx="111">
                  <c:v>3</c:v>
                </c:pt>
                <c:pt idx="112">
                  <c:v>9</c:v>
                </c:pt>
                <c:pt idx="113">
                  <c:v>8</c:v>
                </c:pt>
                <c:pt idx="114">
                  <c:v>5</c:v>
                </c:pt>
                <c:pt idx="115">
                  <c:v>7</c:v>
                </c:pt>
                <c:pt idx="116">
                  <c:v>6</c:v>
                </c:pt>
                <c:pt idx="117">
                  <c:v>8</c:v>
                </c:pt>
                <c:pt idx="118">
                  <c:v>5</c:v>
                </c:pt>
                <c:pt idx="119">
                  <c:v>6</c:v>
                </c:pt>
                <c:pt idx="120">
                  <c:v>5</c:v>
                </c:pt>
                <c:pt idx="121">
                  <c:v>3</c:v>
                </c:pt>
                <c:pt idx="122">
                  <c:v>6</c:v>
                </c:pt>
                <c:pt idx="123">
                  <c:v>5</c:v>
                </c:pt>
                <c:pt idx="124">
                  <c:v>5</c:v>
                </c:pt>
                <c:pt idx="125">
                  <c:v>6</c:v>
                </c:pt>
                <c:pt idx="126">
                  <c:v>6</c:v>
                </c:pt>
                <c:pt idx="127">
                  <c:v>7</c:v>
                </c:pt>
                <c:pt idx="128">
                  <c:v>6</c:v>
                </c:pt>
                <c:pt idx="129">
                  <c:v>6</c:v>
                </c:pt>
                <c:pt idx="130">
                  <c:v>7</c:v>
                </c:pt>
                <c:pt idx="131">
                  <c:v>4</c:v>
                </c:pt>
                <c:pt idx="132">
                  <c:v>6</c:v>
                </c:pt>
                <c:pt idx="133">
                  <c:v>3</c:v>
                </c:pt>
                <c:pt idx="134">
                  <c:v>7</c:v>
                </c:pt>
                <c:pt idx="135">
                  <c:v>6</c:v>
                </c:pt>
                <c:pt idx="136">
                  <c:v>5</c:v>
                </c:pt>
                <c:pt idx="137">
                  <c:v>6</c:v>
                </c:pt>
                <c:pt idx="138">
                  <c:v>5</c:v>
                </c:pt>
                <c:pt idx="139">
                  <c:v>7</c:v>
                </c:pt>
                <c:pt idx="140">
                  <c:v>3</c:v>
                </c:pt>
                <c:pt idx="141">
                  <c:v>7</c:v>
                </c:pt>
                <c:pt idx="142">
                  <c:v>5</c:v>
                </c:pt>
                <c:pt idx="143">
                  <c:v>5</c:v>
                </c:pt>
                <c:pt idx="144">
                  <c:v>6</c:v>
                </c:pt>
                <c:pt idx="145">
                  <c:v>6</c:v>
                </c:pt>
                <c:pt idx="146">
                  <c:v>6</c:v>
                </c:pt>
                <c:pt idx="147">
                  <c:v>4</c:v>
                </c:pt>
                <c:pt idx="148">
                  <c:v>5</c:v>
                </c:pt>
                <c:pt idx="149">
                  <c:v>4</c:v>
                </c:pt>
                <c:pt idx="150">
                  <c:v>7</c:v>
                </c:pt>
                <c:pt idx="151">
                  <c:v>5</c:v>
                </c:pt>
                <c:pt idx="152">
                  <c:v>3</c:v>
                </c:pt>
                <c:pt idx="153">
                  <c:v>7</c:v>
                </c:pt>
                <c:pt idx="154">
                  <c:v>5</c:v>
                </c:pt>
                <c:pt idx="155">
                  <c:v>9</c:v>
                </c:pt>
                <c:pt idx="156">
                  <c:v>8</c:v>
                </c:pt>
                <c:pt idx="157">
                  <c:v>6</c:v>
                </c:pt>
                <c:pt idx="158">
                  <c:v>7</c:v>
                </c:pt>
                <c:pt idx="159">
                  <c:v>7</c:v>
                </c:pt>
                <c:pt idx="160">
                  <c:v>9</c:v>
                </c:pt>
                <c:pt idx="161">
                  <c:v>5</c:v>
                </c:pt>
                <c:pt idx="162">
                  <c:v>7</c:v>
                </c:pt>
                <c:pt idx="163">
                  <c:v>6</c:v>
                </c:pt>
                <c:pt idx="164">
                  <c:v>7</c:v>
                </c:pt>
                <c:pt idx="165">
                  <c:v>4</c:v>
                </c:pt>
                <c:pt idx="166">
                  <c:v>8</c:v>
                </c:pt>
                <c:pt idx="167">
                  <c:v>7</c:v>
                </c:pt>
                <c:pt idx="168">
                  <c:v>5</c:v>
                </c:pt>
                <c:pt idx="169">
                  <c:v>3</c:v>
                </c:pt>
                <c:pt idx="170">
                  <c:v>5</c:v>
                </c:pt>
                <c:pt idx="171">
                  <c:v>7</c:v>
                </c:pt>
                <c:pt idx="172">
                  <c:v>6</c:v>
                </c:pt>
                <c:pt idx="173">
                  <c:v>4</c:v>
                </c:pt>
                <c:pt idx="174">
                  <c:v>7</c:v>
                </c:pt>
                <c:pt idx="175">
                  <c:v>3</c:v>
                </c:pt>
                <c:pt idx="176">
                  <c:v>5</c:v>
                </c:pt>
                <c:pt idx="177">
                  <c:v>6</c:v>
                </c:pt>
                <c:pt idx="178">
                  <c:v>3</c:v>
                </c:pt>
                <c:pt idx="179">
                  <c:v>5</c:v>
                </c:pt>
                <c:pt idx="180">
                  <c:v>7</c:v>
                </c:pt>
                <c:pt idx="181">
                  <c:v>4</c:v>
                </c:pt>
                <c:pt idx="182">
                  <c:v>4</c:v>
                </c:pt>
                <c:pt idx="183">
                  <c:v>5</c:v>
                </c:pt>
                <c:pt idx="184">
                  <c:v>3</c:v>
                </c:pt>
                <c:pt idx="185">
                  <c:v>4</c:v>
                </c:pt>
                <c:pt idx="186">
                  <c:v>4</c:v>
                </c:pt>
                <c:pt idx="187">
                  <c:v>5</c:v>
                </c:pt>
                <c:pt idx="188">
                  <c:v>8</c:v>
                </c:pt>
                <c:pt idx="189">
                  <c:v>6</c:v>
                </c:pt>
                <c:pt idx="190">
                  <c:v>8</c:v>
                </c:pt>
                <c:pt idx="191">
                  <c:v>3</c:v>
                </c:pt>
                <c:pt idx="192">
                  <c:v>5</c:v>
                </c:pt>
                <c:pt idx="193">
                  <c:v>4</c:v>
                </c:pt>
                <c:pt idx="194">
                  <c:v>6</c:v>
                </c:pt>
                <c:pt idx="195">
                  <c:v>4</c:v>
                </c:pt>
                <c:pt idx="196">
                  <c:v>5</c:v>
                </c:pt>
                <c:pt idx="197">
                  <c:v>7</c:v>
                </c:pt>
                <c:pt idx="198">
                  <c:v>5</c:v>
                </c:pt>
                <c:pt idx="199">
                  <c:v>3</c:v>
                </c:pt>
                <c:pt idx="200">
                  <c:v>5</c:v>
                </c:pt>
                <c:pt idx="201">
                  <c:v>8</c:v>
                </c:pt>
                <c:pt idx="202">
                  <c:v>7</c:v>
                </c:pt>
                <c:pt idx="203">
                  <c:v>2</c:v>
                </c:pt>
                <c:pt idx="204">
                  <c:v>3</c:v>
                </c:pt>
                <c:pt idx="205">
                  <c:v>4</c:v>
                </c:pt>
                <c:pt idx="206">
                  <c:v>1</c:v>
                </c:pt>
                <c:pt idx="207">
                  <c:v>2</c:v>
                </c:pt>
                <c:pt idx="208">
                  <c:v>3</c:v>
                </c:pt>
                <c:pt idx="209">
                  <c:v>5</c:v>
                </c:pt>
                <c:pt idx="210">
                  <c:v>5</c:v>
                </c:pt>
                <c:pt idx="211">
                  <c:v>5</c:v>
                </c:pt>
                <c:pt idx="212">
                  <c:v>4</c:v>
                </c:pt>
                <c:pt idx="213">
                  <c:v>4</c:v>
                </c:pt>
                <c:pt idx="214">
                  <c:v>3</c:v>
                </c:pt>
                <c:pt idx="215">
                  <c:v>5</c:v>
                </c:pt>
                <c:pt idx="216">
                  <c:v>4</c:v>
                </c:pt>
                <c:pt idx="217">
                  <c:v>2</c:v>
                </c:pt>
                <c:pt idx="218">
                  <c:v>5</c:v>
                </c:pt>
                <c:pt idx="219">
                  <c:v>5</c:v>
                </c:pt>
                <c:pt idx="220">
                  <c:v>5</c:v>
                </c:pt>
                <c:pt idx="221">
                  <c:v>5</c:v>
                </c:pt>
                <c:pt idx="222">
                  <c:v>6</c:v>
                </c:pt>
                <c:pt idx="223">
                  <c:v>4</c:v>
                </c:pt>
                <c:pt idx="224">
                  <c:v>7</c:v>
                </c:pt>
                <c:pt idx="225">
                  <c:v>4</c:v>
                </c:pt>
                <c:pt idx="226">
                  <c:v>1</c:v>
                </c:pt>
                <c:pt idx="227">
                  <c:v>6</c:v>
                </c:pt>
                <c:pt idx="228">
                  <c:v>3</c:v>
                </c:pt>
                <c:pt idx="229">
                  <c:v>6</c:v>
                </c:pt>
                <c:pt idx="230">
                  <c:v>2</c:v>
                </c:pt>
                <c:pt idx="231">
                  <c:v>7</c:v>
                </c:pt>
                <c:pt idx="232">
                  <c:v>2</c:v>
                </c:pt>
                <c:pt idx="233">
                  <c:v>6</c:v>
                </c:pt>
                <c:pt idx="234">
                  <c:v>3</c:v>
                </c:pt>
                <c:pt idx="235">
                  <c:v>3</c:v>
                </c:pt>
                <c:pt idx="236">
                  <c:v>2</c:v>
                </c:pt>
                <c:pt idx="237">
                  <c:v>4</c:v>
                </c:pt>
                <c:pt idx="238">
                  <c:v>4</c:v>
                </c:pt>
                <c:pt idx="239">
                  <c:v>3</c:v>
                </c:pt>
                <c:pt idx="240">
                  <c:v>5</c:v>
                </c:pt>
                <c:pt idx="241">
                  <c:v>1</c:v>
                </c:pt>
                <c:pt idx="242">
                  <c:v>2</c:v>
                </c:pt>
                <c:pt idx="243">
                  <c:v>2</c:v>
                </c:pt>
                <c:pt idx="244">
                  <c:v>3</c:v>
                </c:pt>
                <c:pt idx="245">
                  <c:v>3</c:v>
                </c:pt>
                <c:pt idx="246">
                  <c:v>3</c:v>
                </c:pt>
                <c:pt idx="247">
                  <c:v>3</c:v>
                </c:pt>
                <c:pt idx="248">
                  <c:v>3</c:v>
                </c:pt>
                <c:pt idx="249">
                  <c:v>2</c:v>
                </c:pt>
              </c:numCache>
            </c:numRef>
          </c:xVal>
          <c:yVal>
            <c:numRef>
              <c:f>交易所排名!$S$68:$S$318</c:f>
              <c:numCache>
                <c:formatCode>_(* #,##0_);_(* \(#,##0\);_(* "-"??_);_(@_)</c:formatCode>
                <c:ptCount val="251"/>
                <c:pt idx="0">
                  <c:v>446692.43762578897</c:v>
                </c:pt>
                <c:pt idx="1">
                  <c:v>183273.66393418485</c:v>
                </c:pt>
                <c:pt idx="2">
                  <c:v>173880.03574511479</c:v>
                </c:pt>
                <c:pt idx="3">
                  <c:v>149509.33004082125</c:v>
                </c:pt>
                <c:pt idx="4">
                  <c:v>132213.46261145396</c:v>
                </c:pt>
                <c:pt idx="5">
                  <c:v>116013.93120572752</c:v>
                </c:pt>
                <c:pt idx="6">
                  <c:v>110729.72428069217</c:v>
                </c:pt>
                <c:pt idx="7">
                  <c:v>100349.72106094619</c:v>
                </c:pt>
                <c:pt idx="8">
                  <c:v>95000.456963998382</c:v>
                </c:pt>
                <c:pt idx="9">
                  <c:v>94051.844259287478</c:v>
                </c:pt>
                <c:pt idx="10">
                  <c:v>74530.564955555572</c:v>
                </c:pt>
                <c:pt idx="11">
                  <c:v>70307.006571103761</c:v>
                </c:pt>
                <c:pt idx="12">
                  <c:v>57183.271021187313</c:v>
                </c:pt>
                <c:pt idx="13">
                  <c:v>54404.061565915268</c:v>
                </c:pt>
                <c:pt idx="14">
                  <c:v>48360.566666943472</c:v>
                </c:pt>
                <c:pt idx="15">
                  <c:v>43028.202539244223</c:v>
                </c:pt>
                <c:pt idx="16">
                  <c:v>42064.430996179872</c:v>
                </c:pt>
                <c:pt idx="17">
                  <c:v>34036.392289507487</c:v>
                </c:pt>
                <c:pt idx="18">
                  <c:v>32612.453875645799</c:v>
                </c:pt>
                <c:pt idx="19">
                  <c:v>32448.89399838182</c:v>
                </c:pt>
                <c:pt idx="20">
                  <c:v>31711.96715350014</c:v>
                </c:pt>
                <c:pt idx="21">
                  <c:v>31639.245547928698</c:v>
                </c:pt>
                <c:pt idx="22">
                  <c:v>28146.930363948013</c:v>
                </c:pt>
                <c:pt idx="23">
                  <c:v>26118.039010346103</c:v>
                </c:pt>
                <c:pt idx="24">
                  <c:v>25193.248972156562</c:v>
                </c:pt>
                <c:pt idx="25">
                  <c:v>24785.061722976101</c:v>
                </c:pt>
                <c:pt idx="26">
                  <c:v>24526.084211836154</c:v>
                </c:pt>
                <c:pt idx="27">
                  <c:v>22147.550805332234</c:v>
                </c:pt>
                <c:pt idx="28">
                  <c:v>21600.409271069359</c:v>
                </c:pt>
                <c:pt idx="29">
                  <c:v>18888.553584014393</c:v>
                </c:pt>
                <c:pt idx="30">
                  <c:v>18388.638452517855</c:v>
                </c:pt>
                <c:pt idx="31">
                  <c:v>17611.45098824962</c:v>
                </c:pt>
                <c:pt idx="32">
                  <c:v>16831.166710720125</c:v>
                </c:pt>
                <c:pt idx="33">
                  <c:v>16793.569056601307</c:v>
                </c:pt>
                <c:pt idx="34">
                  <c:v>16682.022432116828</c:v>
                </c:pt>
                <c:pt idx="35">
                  <c:v>15530.125027410091</c:v>
                </c:pt>
                <c:pt idx="36">
                  <c:v>14864.572964337311</c:v>
                </c:pt>
                <c:pt idx="37">
                  <c:v>14834.768321257541</c:v>
                </c:pt>
                <c:pt idx="38">
                  <c:v>14451.935604289152</c:v>
                </c:pt>
                <c:pt idx="39">
                  <c:v>14085.704138595216</c:v>
                </c:pt>
                <c:pt idx="40">
                  <c:v>14064.058101500885</c:v>
                </c:pt>
                <c:pt idx="41">
                  <c:v>13440.865057876657</c:v>
                </c:pt>
                <c:pt idx="42">
                  <c:v>12275.82308553586</c:v>
                </c:pt>
                <c:pt idx="43">
                  <c:v>10862.788671481676</c:v>
                </c:pt>
                <c:pt idx="44">
                  <c:v>10360.309632630177</c:v>
                </c:pt>
                <c:pt idx="45">
                  <c:v>10277.934332918256</c:v>
                </c:pt>
                <c:pt idx="46">
                  <c:v>10194.783431110249</c:v>
                </c:pt>
                <c:pt idx="47">
                  <c:v>9413.5812300457728</c:v>
                </c:pt>
                <c:pt idx="48">
                  <c:v>9180.9314171550341</c:v>
                </c:pt>
                <c:pt idx="49">
                  <c:v>9021.3649005771022</c:v>
                </c:pt>
                <c:pt idx="50">
                  <c:v>9006.4893309371273</c:v>
                </c:pt>
                <c:pt idx="51">
                  <c:v>8969.5906309768416</c:v>
                </c:pt>
                <c:pt idx="52">
                  <c:v>8905.5551755250635</c:v>
                </c:pt>
                <c:pt idx="53">
                  <c:v>8816.6621811409259</c:v>
                </c:pt>
                <c:pt idx="54">
                  <c:v>8809.9067418248869</c:v>
                </c:pt>
                <c:pt idx="55">
                  <c:v>8728.3326386031167</c:v>
                </c:pt>
                <c:pt idx="56">
                  <c:v>8598.2731504045514</c:v>
                </c:pt>
                <c:pt idx="57">
                  <c:v>8121.5878877128052</c:v>
                </c:pt>
                <c:pt idx="58">
                  <c:v>7694.3871535207036</c:v>
                </c:pt>
                <c:pt idx="59">
                  <c:v>7522.0116145317352</c:v>
                </c:pt>
                <c:pt idx="60">
                  <c:v>7443.9920835458743</c:v>
                </c:pt>
                <c:pt idx="61">
                  <c:v>7396.6553409580356</c:v>
                </c:pt>
                <c:pt idx="62">
                  <c:v>7353.4665578510103</c:v>
                </c:pt>
                <c:pt idx="63">
                  <c:v>7298.7830230737409</c:v>
                </c:pt>
                <c:pt idx="64">
                  <c:v>7235.0909567270746</c:v>
                </c:pt>
                <c:pt idx="65">
                  <c:v>6704.3378467252696</c:v>
                </c:pt>
                <c:pt idx="66">
                  <c:v>6617.5505028011385</c:v>
                </c:pt>
                <c:pt idx="67">
                  <c:v>6548.2872000800007</c:v>
                </c:pt>
                <c:pt idx="68">
                  <c:v>6296.5483645885251</c:v>
                </c:pt>
                <c:pt idx="69">
                  <c:v>6201.1773004916977</c:v>
                </c:pt>
                <c:pt idx="70">
                  <c:v>6106.5239369346482</c:v>
                </c:pt>
                <c:pt idx="71">
                  <c:v>5368.8109244672441</c:v>
                </c:pt>
                <c:pt idx="72">
                  <c:v>5013.6128588636411</c:v>
                </c:pt>
                <c:pt idx="73">
                  <c:v>4993.8730257586903</c:v>
                </c:pt>
                <c:pt idx="74">
                  <c:v>4956.8802372560303</c:v>
                </c:pt>
                <c:pt idx="75">
                  <c:v>4662.8047123137776</c:v>
                </c:pt>
                <c:pt idx="76">
                  <c:v>4437.1142164282792</c:v>
                </c:pt>
                <c:pt idx="77">
                  <c:v>4307.0701196199725</c:v>
                </c:pt>
                <c:pt idx="78">
                  <c:v>4217.1523481963686</c:v>
                </c:pt>
                <c:pt idx="79">
                  <c:v>4134.6044420701301</c:v>
                </c:pt>
                <c:pt idx="80">
                  <c:v>4019.429525400034</c:v>
                </c:pt>
                <c:pt idx="81">
                  <c:v>3972.811787615447</c:v>
                </c:pt>
                <c:pt idx="82">
                  <c:v>3823.1622444008722</c:v>
                </c:pt>
                <c:pt idx="83">
                  <c:v>3659.7655108456456</c:v>
                </c:pt>
                <c:pt idx="84">
                  <c:v>3641.8223152203018</c:v>
                </c:pt>
                <c:pt idx="85">
                  <c:v>3473.3790306149567</c:v>
                </c:pt>
                <c:pt idx="86">
                  <c:v>3216.5187303089201</c:v>
                </c:pt>
                <c:pt idx="87">
                  <c:v>3165.6332440611432</c:v>
                </c:pt>
                <c:pt idx="88">
                  <c:v>3072.4297193448169</c:v>
                </c:pt>
                <c:pt idx="89">
                  <c:v>2889.2057668843854</c:v>
                </c:pt>
                <c:pt idx="90">
                  <c:v>2594.9215815278458</c:v>
                </c:pt>
                <c:pt idx="91">
                  <c:v>2561.2916890431638</c:v>
                </c:pt>
                <c:pt idx="92">
                  <c:v>2322.7398344823291</c:v>
                </c:pt>
                <c:pt idx="93">
                  <c:v>2282.3861262076034</c:v>
                </c:pt>
                <c:pt idx="94">
                  <c:v>2118.3843098358061</c:v>
                </c:pt>
                <c:pt idx="95">
                  <c:v>2081.3111666907739</c:v>
                </c:pt>
                <c:pt idx="96">
                  <c:v>2077.9604840689954</c:v>
                </c:pt>
                <c:pt idx="97">
                  <c:v>2027.5810684514656</c:v>
                </c:pt>
                <c:pt idx="98">
                  <c:v>2010.3919440887837</c:v>
                </c:pt>
                <c:pt idx="99">
                  <c:v>1995.6326126946763</c:v>
                </c:pt>
                <c:pt idx="100">
                  <c:v>1780.4025755580633</c:v>
                </c:pt>
                <c:pt idx="101">
                  <c:v>1755.1430947194392</c:v>
                </c:pt>
                <c:pt idx="102">
                  <c:v>1659.7731127460445</c:v>
                </c:pt>
                <c:pt idx="103">
                  <c:v>1592.9254799570288</c:v>
                </c:pt>
                <c:pt idx="104">
                  <c:v>1396.0886311326126</c:v>
                </c:pt>
                <c:pt idx="105">
                  <c:v>1354.642396204752</c:v>
                </c:pt>
                <c:pt idx="106">
                  <c:v>1316.7957554858951</c:v>
                </c:pt>
                <c:pt idx="107">
                  <c:v>1307.8636522258573</c:v>
                </c:pt>
                <c:pt idx="108">
                  <c:v>1293.9708168295276</c:v>
                </c:pt>
                <c:pt idx="109">
                  <c:v>1288.8422154806344</c:v>
                </c:pt>
                <c:pt idx="110">
                  <c:v>1237.1659854995742</c:v>
                </c:pt>
                <c:pt idx="111">
                  <c:v>1235.1123808286395</c:v>
                </c:pt>
                <c:pt idx="112">
                  <c:v>1175.2489937347511</c:v>
                </c:pt>
                <c:pt idx="113">
                  <c:v>1154.4819655716792</c:v>
                </c:pt>
                <c:pt idx="114">
                  <c:v>1103.741484894198</c:v>
                </c:pt>
                <c:pt idx="115">
                  <c:v>1067.6036607814046</c:v>
                </c:pt>
                <c:pt idx="116">
                  <c:v>1020.5688212461861</c:v>
                </c:pt>
                <c:pt idx="117">
                  <c:v>1003.400647053954</c:v>
                </c:pt>
                <c:pt idx="118">
                  <c:v>997.16052490440359</c:v>
                </c:pt>
                <c:pt idx="119">
                  <c:v>977.61569016753356</c:v>
                </c:pt>
                <c:pt idx="120">
                  <c:v>967.73084236626414</c:v>
                </c:pt>
                <c:pt idx="121">
                  <c:v>959.52593531079162</c:v>
                </c:pt>
                <c:pt idx="122">
                  <c:v>947.61182917294536</c:v>
                </c:pt>
                <c:pt idx="123">
                  <c:v>919.9335516000541</c:v>
                </c:pt>
                <c:pt idx="124">
                  <c:v>914.60022946248375</c:v>
                </c:pt>
                <c:pt idx="125">
                  <c:v>844.80754033263622</c:v>
                </c:pt>
                <c:pt idx="126">
                  <c:v>838.45717942266435</c:v>
                </c:pt>
                <c:pt idx="127">
                  <c:v>694.74975907325711</c:v>
                </c:pt>
                <c:pt idx="128">
                  <c:v>687.44201570688074</c:v>
                </c:pt>
                <c:pt idx="129">
                  <c:v>620.9434940123507</c:v>
                </c:pt>
                <c:pt idx="130">
                  <c:v>616.99296470919967</c:v>
                </c:pt>
                <c:pt idx="131">
                  <c:v>609.17842720819874</c:v>
                </c:pt>
                <c:pt idx="132">
                  <c:v>589.64456422686885</c:v>
                </c:pt>
                <c:pt idx="133">
                  <c:v>581.28753078245074</c:v>
                </c:pt>
                <c:pt idx="134">
                  <c:v>574.97322232435693</c:v>
                </c:pt>
                <c:pt idx="135">
                  <c:v>561.61820460877516</c:v>
                </c:pt>
                <c:pt idx="136">
                  <c:v>553.00320028683541</c:v>
                </c:pt>
                <c:pt idx="137">
                  <c:v>535.57929513095621</c:v>
                </c:pt>
                <c:pt idx="138">
                  <c:v>452.27848588710765</c:v>
                </c:pt>
                <c:pt idx="139">
                  <c:v>450.69358714149087</c:v>
                </c:pt>
                <c:pt idx="140">
                  <c:v>445.34994773936808</c:v>
                </c:pt>
                <c:pt idx="141">
                  <c:v>443.15838888427879</c:v>
                </c:pt>
                <c:pt idx="142">
                  <c:v>376.94335044233299</c:v>
                </c:pt>
                <c:pt idx="143">
                  <c:v>351.51217186295207</c:v>
                </c:pt>
                <c:pt idx="144">
                  <c:v>349.1424519508584</c:v>
                </c:pt>
                <c:pt idx="145">
                  <c:v>338.35800886467342</c:v>
                </c:pt>
                <c:pt idx="146">
                  <c:v>338.32509706173698</c:v>
                </c:pt>
                <c:pt idx="147">
                  <c:v>329.59053013470833</c:v>
                </c:pt>
                <c:pt idx="148">
                  <c:v>328.94532654090841</c:v>
                </c:pt>
                <c:pt idx="149">
                  <c:v>324.5195834849402</c:v>
                </c:pt>
                <c:pt idx="150">
                  <c:v>316.35227008817617</c:v>
                </c:pt>
                <c:pt idx="151">
                  <c:v>298.20279704852607</c:v>
                </c:pt>
                <c:pt idx="152">
                  <c:v>282.2655534192956</c:v>
                </c:pt>
                <c:pt idx="153">
                  <c:v>279.17583845565463</c:v>
                </c:pt>
                <c:pt idx="154">
                  <c:v>267.523444558221</c:v>
                </c:pt>
                <c:pt idx="155">
                  <c:v>243.11796219131151</c:v>
                </c:pt>
                <c:pt idx="156">
                  <c:v>238.7219534947142</c:v>
                </c:pt>
                <c:pt idx="157">
                  <c:v>213.58473632644751</c:v>
                </c:pt>
                <c:pt idx="158">
                  <c:v>213.0549679441219</c:v>
                </c:pt>
                <c:pt idx="159">
                  <c:v>185.73570610178925</c:v>
                </c:pt>
                <c:pt idx="160">
                  <c:v>179.9698100424423</c:v>
                </c:pt>
                <c:pt idx="161">
                  <c:v>163.86284257367811</c:v>
                </c:pt>
                <c:pt idx="162">
                  <c:v>154.86942972615682</c:v>
                </c:pt>
                <c:pt idx="163">
                  <c:v>146.97163873792519</c:v>
                </c:pt>
                <c:pt idx="164">
                  <c:v>138.54989608005954</c:v>
                </c:pt>
                <c:pt idx="165">
                  <c:v>138.38240367555869</c:v>
                </c:pt>
                <c:pt idx="166">
                  <c:v>127.8974052846099</c:v>
                </c:pt>
                <c:pt idx="167">
                  <c:v>124.50873761619036</c:v>
                </c:pt>
                <c:pt idx="168">
                  <c:v>121.17326709536977</c:v>
                </c:pt>
                <c:pt idx="169">
                  <c:v>117.00282692072294</c:v>
                </c:pt>
                <c:pt idx="170">
                  <c:v>113.09479760053418</c:v>
                </c:pt>
                <c:pt idx="171">
                  <c:v>112.83455881619844</c:v>
                </c:pt>
                <c:pt idx="172">
                  <c:v>100.2262750464601</c:v>
                </c:pt>
                <c:pt idx="173">
                  <c:v>94.101718330738819</c:v>
                </c:pt>
                <c:pt idx="174">
                  <c:v>79.161368555896928</c:v>
                </c:pt>
                <c:pt idx="175">
                  <c:v>73.273181254292723</c:v>
                </c:pt>
                <c:pt idx="176">
                  <c:v>72.942337778208781</c:v>
                </c:pt>
                <c:pt idx="177">
                  <c:v>64.268743571113006</c:v>
                </c:pt>
                <c:pt idx="178">
                  <c:v>61.518302604459706</c:v>
                </c:pt>
                <c:pt idx="179">
                  <c:v>61.459509511261572</c:v>
                </c:pt>
                <c:pt idx="180">
                  <c:v>58.524676490769522</c:v>
                </c:pt>
                <c:pt idx="181">
                  <c:v>58.36347036045359</c:v>
                </c:pt>
                <c:pt idx="182">
                  <c:v>57.955893675366887</c:v>
                </c:pt>
                <c:pt idx="183">
                  <c:v>57.273704983305699</c:v>
                </c:pt>
                <c:pt idx="184">
                  <c:v>57.225182288696089</c:v>
                </c:pt>
                <c:pt idx="185">
                  <c:v>49.134446059109422</c:v>
                </c:pt>
                <c:pt idx="186">
                  <c:v>42.898971250935631</c:v>
                </c:pt>
                <c:pt idx="187">
                  <c:v>41.575211367036097</c:v>
                </c:pt>
                <c:pt idx="188">
                  <c:v>41.375184006989507</c:v>
                </c:pt>
                <c:pt idx="189">
                  <c:v>33.613608993026538</c:v>
                </c:pt>
                <c:pt idx="190">
                  <c:v>32.535206604548307</c:v>
                </c:pt>
                <c:pt idx="191">
                  <c:v>30.59610371883522</c:v>
                </c:pt>
                <c:pt idx="192">
                  <c:v>30.384217893252064</c:v>
                </c:pt>
                <c:pt idx="193">
                  <c:v>29.93238164138188</c:v>
                </c:pt>
                <c:pt idx="194">
                  <c:v>28.418918082819911</c:v>
                </c:pt>
                <c:pt idx="195">
                  <c:v>27.222929871943023</c:v>
                </c:pt>
                <c:pt idx="196">
                  <c:v>26.943205158379357</c:v>
                </c:pt>
                <c:pt idx="197">
                  <c:v>22.722891210993655</c:v>
                </c:pt>
                <c:pt idx="198">
                  <c:v>22.483987106924598</c:v>
                </c:pt>
                <c:pt idx="199">
                  <c:v>20.922515357945045</c:v>
                </c:pt>
                <c:pt idx="200">
                  <c:v>20.581562263929829</c:v>
                </c:pt>
                <c:pt idx="201">
                  <c:v>19.451264489862602</c:v>
                </c:pt>
                <c:pt idx="202">
                  <c:v>16.168985769285836</c:v>
                </c:pt>
                <c:pt idx="203">
                  <c:v>15.433871181619205</c:v>
                </c:pt>
                <c:pt idx="204">
                  <c:v>15.14833418546055</c:v>
                </c:pt>
                <c:pt idx="205">
                  <c:v>13.35407337666161</c:v>
                </c:pt>
                <c:pt idx="206">
                  <c:v>13.127712198411999</c:v>
                </c:pt>
                <c:pt idx="207">
                  <c:v>9.3830601291149041</c:v>
                </c:pt>
                <c:pt idx="208">
                  <c:v>8.2806983435569546</c:v>
                </c:pt>
                <c:pt idx="209">
                  <c:v>7.0561609241231373</c:v>
                </c:pt>
                <c:pt idx="210">
                  <c:v>5.7923785728056476</c:v>
                </c:pt>
                <c:pt idx="211">
                  <c:v>5.6224764293895166</c:v>
                </c:pt>
                <c:pt idx="212">
                  <c:v>5.0136700947742296</c:v>
                </c:pt>
                <c:pt idx="213">
                  <c:v>4.4619207657788715</c:v>
                </c:pt>
                <c:pt idx="214">
                  <c:v>4.2307434482975852</c:v>
                </c:pt>
                <c:pt idx="215">
                  <c:v>4.0411371456678271</c:v>
                </c:pt>
                <c:pt idx="216">
                  <c:v>3.3831666342169369</c:v>
                </c:pt>
                <c:pt idx="217">
                  <c:v>3.0579680934010187</c:v>
                </c:pt>
                <c:pt idx="218">
                  <c:v>3.0502205454664502</c:v>
                </c:pt>
                <c:pt idx="219">
                  <c:v>2.8206716655809854</c:v>
                </c:pt>
                <c:pt idx="220">
                  <c:v>1.8995778960698264</c:v>
                </c:pt>
                <c:pt idx="221">
                  <c:v>1.7291299488616936</c:v>
                </c:pt>
                <c:pt idx="222">
                  <c:v>1.7225359024774727</c:v>
                </c:pt>
                <c:pt idx="223">
                  <c:v>1.5155055852778454</c:v>
                </c:pt>
                <c:pt idx="224">
                  <c:v>1.4129173282854386</c:v>
                </c:pt>
                <c:pt idx="225">
                  <c:v>1.1347585179375044</c:v>
                </c:pt>
                <c:pt idx="226">
                  <c:v>1.0977684127424101</c:v>
                </c:pt>
                <c:pt idx="227">
                  <c:v>0.99858984323501332</c:v>
                </c:pt>
                <c:pt idx="228">
                  <c:v>0.91031219291421572</c:v>
                </c:pt>
                <c:pt idx="229">
                  <c:v>0.82319230544838595</c:v>
                </c:pt>
                <c:pt idx="230">
                  <c:v>0.79202571845194603</c:v>
                </c:pt>
                <c:pt idx="231">
                  <c:v>0.76550329387749672</c:v>
                </c:pt>
                <c:pt idx="232">
                  <c:v>0.67298855210448105</c:v>
                </c:pt>
                <c:pt idx="233">
                  <c:v>0.5366794478918322</c:v>
                </c:pt>
                <c:pt idx="234">
                  <c:v>0.49846026029125551</c:v>
                </c:pt>
                <c:pt idx="235">
                  <c:v>0.46167533428980179</c:v>
                </c:pt>
                <c:pt idx="236">
                  <c:v>0.37459603897255112</c:v>
                </c:pt>
                <c:pt idx="237">
                  <c:v>0.28619766525328738</c:v>
                </c:pt>
                <c:pt idx="238">
                  <c:v>0.27559134769972021</c:v>
                </c:pt>
                <c:pt idx="239">
                  <c:v>0.25651108610110068</c:v>
                </c:pt>
                <c:pt idx="240">
                  <c:v>0.2138259719257492</c:v>
                </c:pt>
                <c:pt idx="241">
                  <c:v>0.20687963474682899</c:v>
                </c:pt>
                <c:pt idx="242">
                  <c:v>0.13365074368989119</c:v>
                </c:pt>
                <c:pt idx="243">
                  <c:v>0.13129705397852551</c:v>
                </c:pt>
                <c:pt idx="244">
                  <c:v>9.5534039863392498E-2</c:v>
                </c:pt>
                <c:pt idx="245">
                  <c:v>5.4186741190890203E-2</c:v>
                </c:pt>
                <c:pt idx="246">
                  <c:v>4.8852714935670102E-2</c:v>
                </c:pt>
                <c:pt idx="247">
                  <c:v>2.8797499124571801E-2</c:v>
                </c:pt>
                <c:pt idx="248">
                  <c:v>2.6321596667744699E-2</c:v>
                </c:pt>
                <c:pt idx="249">
                  <c:v>1.6597268226684801E-2</c:v>
                </c:pt>
              </c:numCache>
            </c:numRef>
          </c:yVal>
          <c:bubbleSize>
            <c:numRef>
              <c:f>交易所排名!$S$68:$S$318</c:f>
              <c:numCache>
                <c:formatCode>_(* #,##0_);_(* \(#,##0\);_(* "-"??_);_(@_)</c:formatCode>
                <c:ptCount val="251"/>
                <c:pt idx="0">
                  <c:v>446692.43762578897</c:v>
                </c:pt>
                <c:pt idx="1">
                  <c:v>183273.66393418485</c:v>
                </c:pt>
                <c:pt idx="2">
                  <c:v>173880.03574511479</c:v>
                </c:pt>
                <c:pt idx="3">
                  <c:v>149509.33004082125</c:v>
                </c:pt>
                <c:pt idx="4">
                  <c:v>132213.46261145396</c:v>
                </c:pt>
                <c:pt idx="5">
                  <c:v>116013.93120572752</c:v>
                </c:pt>
                <c:pt idx="6">
                  <c:v>110729.72428069217</c:v>
                </c:pt>
                <c:pt idx="7">
                  <c:v>100349.72106094619</c:v>
                </c:pt>
                <c:pt idx="8">
                  <c:v>95000.456963998382</c:v>
                </c:pt>
                <c:pt idx="9">
                  <c:v>94051.844259287478</c:v>
                </c:pt>
                <c:pt idx="10">
                  <c:v>74530.564955555572</c:v>
                </c:pt>
                <c:pt idx="11">
                  <c:v>70307.006571103761</c:v>
                </c:pt>
                <c:pt idx="12">
                  <c:v>57183.271021187313</c:v>
                </c:pt>
                <c:pt idx="13">
                  <c:v>54404.061565915268</c:v>
                </c:pt>
                <c:pt idx="14">
                  <c:v>48360.566666943472</c:v>
                </c:pt>
                <c:pt idx="15">
                  <c:v>43028.202539244223</c:v>
                </c:pt>
                <c:pt idx="16">
                  <c:v>42064.430996179872</c:v>
                </c:pt>
                <c:pt idx="17">
                  <c:v>34036.392289507487</c:v>
                </c:pt>
                <c:pt idx="18">
                  <c:v>32612.453875645799</c:v>
                </c:pt>
                <c:pt idx="19">
                  <c:v>32448.89399838182</c:v>
                </c:pt>
                <c:pt idx="20">
                  <c:v>31711.96715350014</c:v>
                </c:pt>
                <c:pt idx="21">
                  <c:v>31639.245547928698</c:v>
                </c:pt>
                <c:pt idx="22">
                  <c:v>28146.930363948013</c:v>
                </c:pt>
                <c:pt idx="23">
                  <c:v>26118.039010346103</c:v>
                </c:pt>
                <c:pt idx="24">
                  <c:v>25193.248972156562</c:v>
                </c:pt>
                <c:pt idx="25">
                  <c:v>24785.061722976101</c:v>
                </c:pt>
                <c:pt idx="26">
                  <c:v>24526.084211836154</c:v>
                </c:pt>
                <c:pt idx="27">
                  <c:v>22147.550805332234</c:v>
                </c:pt>
                <c:pt idx="28">
                  <c:v>21600.409271069359</c:v>
                </c:pt>
                <c:pt idx="29">
                  <c:v>18888.553584014393</c:v>
                </c:pt>
                <c:pt idx="30">
                  <c:v>18388.638452517855</c:v>
                </c:pt>
                <c:pt idx="31">
                  <c:v>17611.45098824962</c:v>
                </c:pt>
                <c:pt idx="32">
                  <c:v>16831.166710720125</c:v>
                </c:pt>
                <c:pt idx="33">
                  <c:v>16793.569056601307</c:v>
                </c:pt>
                <c:pt idx="34">
                  <c:v>16682.022432116828</c:v>
                </c:pt>
                <c:pt idx="35">
                  <c:v>15530.125027410091</c:v>
                </c:pt>
                <c:pt idx="36">
                  <c:v>14864.572964337311</c:v>
                </c:pt>
                <c:pt idx="37">
                  <c:v>14834.768321257541</c:v>
                </c:pt>
                <c:pt idx="38">
                  <c:v>14451.935604289152</c:v>
                </c:pt>
                <c:pt idx="39">
                  <c:v>14085.704138595216</c:v>
                </c:pt>
                <c:pt idx="40">
                  <c:v>14064.058101500885</c:v>
                </c:pt>
                <c:pt idx="41">
                  <c:v>13440.865057876657</c:v>
                </c:pt>
                <c:pt idx="42">
                  <c:v>12275.82308553586</c:v>
                </c:pt>
                <c:pt idx="43">
                  <c:v>10862.788671481676</c:v>
                </c:pt>
                <c:pt idx="44">
                  <c:v>10360.309632630177</c:v>
                </c:pt>
                <c:pt idx="45">
                  <c:v>10277.934332918256</c:v>
                </c:pt>
                <c:pt idx="46">
                  <c:v>10194.783431110249</c:v>
                </c:pt>
                <c:pt idx="47">
                  <c:v>9413.5812300457728</c:v>
                </c:pt>
                <c:pt idx="48">
                  <c:v>9180.9314171550341</c:v>
                </c:pt>
                <c:pt idx="49">
                  <c:v>9021.3649005771022</c:v>
                </c:pt>
                <c:pt idx="50">
                  <c:v>9006.4893309371273</c:v>
                </c:pt>
                <c:pt idx="51">
                  <c:v>8969.5906309768416</c:v>
                </c:pt>
                <c:pt idx="52">
                  <c:v>8905.5551755250635</c:v>
                </c:pt>
                <c:pt idx="53">
                  <c:v>8816.6621811409259</c:v>
                </c:pt>
                <c:pt idx="54">
                  <c:v>8809.9067418248869</c:v>
                </c:pt>
                <c:pt idx="55">
                  <c:v>8728.3326386031167</c:v>
                </c:pt>
                <c:pt idx="56">
                  <c:v>8598.2731504045514</c:v>
                </c:pt>
                <c:pt idx="57">
                  <c:v>8121.5878877128052</c:v>
                </c:pt>
                <c:pt idx="58">
                  <c:v>7694.3871535207036</c:v>
                </c:pt>
                <c:pt idx="59">
                  <c:v>7522.0116145317352</c:v>
                </c:pt>
                <c:pt idx="60">
                  <c:v>7443.9920835458743</c:v>
                </c:pt>
                <c:pt idx="61">
                  <c:v>7396.6553409580356</c:v>
                </c:pt>
                <c:pt idx="62">
                  <c:v>7353.4665578510103</c:v>
                </c:pt>
                <c:pt idx="63">
                  <c:v>7298.7830230737409</c:v>
                </c:pt>
                <c:pt idx="64">
                  <c:v>7235.0909567270746</c:v>
                </c:pt>
                <c:pt idx="65">
                  <c:v>6704.3378467252696</c:v>
                </c:pt>
                <c:pt idx="66">
                  <c:v>6617.5505028011385</c:v>
                </c:pt>
                <c:pt idx="67">
                  <c:v>6548.2872000800007</c:v>
                </c:pt>
                <c:pt idx="68">
                  <c:v>6296.5483645885251</c:v>
                </c:pt>
                <c:pt idx="69">
                  <c:v>6201.1773004916977</c:v>
                </c:pt>
                <c:pt idx="70">
                  <c:v>6106.5239369346482</c:v>
                </c:pt>
                <c:pt idx="71">
                  <c:v>5368.8109244672441</c:v>
                </c:pt>
                <c:pt idx="72">
                  <c:v>5013.6128588636411</c:v>
                </c:pt>
                <c:pt idx="73">
                  <c:v>4993.8730257586903</c:v>
                </c:pt>
                <c:pt idx="74">
                  <c:v>4956.8802372560303</c:v>
                </c:pt>
                <c:pt idx="75">
                  <c:v>4662.8047123137776</c:v>
                </c:pt>
                <c:pt idx="76">
                  <c:v>4437.1142164282792</c:v>
                </c:pt>
                <c:pt idx="77">
                  <c:v>4307.0701196199725</c:v>
                </c:pt>
                <c:pt idx="78">
                  <c:v>4217.1523481963686</c:v>
                </c:pt>
                <c:pt idx="79">
                  <c:v>4134.6044420701301</c:v>
                </c:pt>
                <c:pt idx="80">
                  <c:v>4019.429525400034</c:v>
                </c:pt>
                <c:pt idx="81">
                  <c:v>3972.811787615447</c:v>
                </c:pt>
                <c:pt idx="82">
                  <c:v>3823.1622444008722</c:v>
                </c:pt>
                <c:pt idx="83">
                  <c:v>3659.7655108456456</c:v>
                </c:pt>
                <c:pt idx="84">
                  <c:v>3641.8223152203018</c:v>
                </c:pt>
                <c:pt idx="85">
                  <c:v>3473.3790306149567</c:v>
                </c:pt>
                <c:pt idx="86">
                  <c:v>3216.5187303089201</c:v>
                </c:pt>
                <c:pt idx="87">
                  <c:v>3165.6332440611432</c:v>
                </c:pt>
                <c:pt idx="88">
                  <c:v>3072.4297193448169</c:v>
                </c:pt>
                <c:pt idx="89">
                  <c:v>2889.2057668843854</c:v>
                </c:pt>
                <c:pt idx="90">
                  <c:v>2594.9215815278458</c:v>
                </c:pt>
                <c:pt idx="91">
                  <c:v>2561.2916890431638</c:v>
                </c:pt>
                <c:pt idx="92">
                  <c:v>2322.7398344823291</c:v>
                </c:pt>
                <c:pt idx="93">
                  <c:v>2282.3861262076034</c:v>
                </c:pt>
                <c:pt idx="94">
                  <c:v>2118.3843098358061</c:v>
                </c:pt>
                <c:pt idx="95">
                  <c:v>2081.3111666907739</c:v>
                </c:pt>
                <c:pt idx="96">
                  <c:v>2077.9604840689954</c:v>
                </c:pt>
                <c:pt idx="97">
                  <c:v>2027.5810684514656</c:v>
                </c:pt>
                <c:pt idx="98">
                  <c:v>2010.3919440887837</c:v>
                </c:pt>
                <c:pt idx="99">
                  <c:v>1995.6326126946763</c:v>
                </c:pt>
                <c:pt idx="100">
                  <c:v>1780.4025755580633</c:v>
                </c:pt>
                <c:pt idx="101">
                  <c:v>1755.1430947194392</c:v>
                </c:pt>
                <c:pt idx="102">
                  <c:v>1659.7731127460445</c:v>
                </c:pt>
                <c:pt idx="103">
                  <c:v>1592.9254799570288</c:v>
                </c:pt>
                <c:pt idx="104">
                  <c:v>1396.0886311326126</c:v>
                </c:pt>
                <c:pt idx="105">
                  <c:v>1354.642396204752</c:v>
                </c:pt>
                <c:pt idx="106">
                  <c:v>1316.7957554858951</c:v>
                </c:pt>
                <c:pt idx="107">
                  <c:v>1307.8636522258573</c:v>
                </c:pt>
                <c:pt idx="108">
                  <c:v>1293.9708168295276</c:v>
                </c:pt>
                <c:pt idx="109">
                  <c:v>1288.8422154806344</c:v>
                </c:pt>
                <c:pt idx="110">
                  <c:v>1237.1659854995742</c:v>
                </c:pt>
                <c:pt idx="111">
                  <c:v>1235.1123808286395</c:v>
                </c:pt>
                <c:pt idx="112">
                  <c:v>1175.2489937347511</c:v>
                </c:pt>
                <c:pt idx="113">
                  <c:v>1154.4819655716792</c:v>
                </c:pt>
                <c:pt idx="114">
                  <c:v>1103.741484894198</c:v>
                </c:pt>
                <c:pt idx="115">
                  <c:v>1067.6036607814046</c:v>
                </c:pt>
                <c:pt idx="116">
                  <c:v>1020.5688212461861</c:v>
                </c:pt>
                <c:pt idx="117">
                  <c:v>1003.400647053954</c:v>
                </c:pt>
                <c:pt idx="118">
                  <c:v>997.16052490440359</c:v>
                </c:pt>
                <c:pt idx="119">
                  <c:v>977.61569016753356</c:v>
                </c:pt>
                <c:pt idx="120">
                  <c:v>967.73084236626414</c:v>
                </c:pt>
                <c:pt idx="121">
                  <c:v>959.52593531079162</c:v>
                </c:pt>
                <c:pt idx="122">
                  <c:v>947.61182917294536</c:v>
                </c:pt>
                <c:pt idx="123">
                  <c:v>919.9335516000541</c:v>
                </c:pt>
                <c:pt idx="124">
                  <c:v>914.60022946248375</c:v>
                </c:pt>
                <c:pt idx="125">
                  <c:v>844.80754033263622</c:v>
                </c:pt>
                <c:pt idx="126">
                  <c:v>838.45717942266435</c:v>
                </c:pt>
                <c:pt idx="127">
                  <c:v>694.74975907325711</c:v>
                </c:pt>
                <c:pt idx="128">
                  <c:v>687.44201570688074</c:v>
                </c:pt>
                <c:pt idx="129">
                  <c:v>620.9434940123507</c:v>
                </c:pt>
                <c:pt idx="130">
                  <c:v>616.99296470919967</c:v>
                </c:pt>
                <c:pt idx="131">
                  <c:v>609.17842720819874</c:v>
                </c:pt>
                <c:pt idx="132">
                  <c:v>589.64456422686885</c:v>
                </c:pt>
                <c:pt idx="133">
                  <c:v>581.28753078245074</c:v>
                </c:pt>
                <c:pt idx="134">
                  <c:v>574.97322232435693</c:v>
                </c:pt>
                <c:pt idx="135">
                  <c:v>561.61820460877516</c:v>
                </c:pt>
                <c:pt idx="136">
                  <c:v>553.00320028683541</c:v>
                </c:pt>
                <c:pt idx="137">
                  <c:v>535.57929513095621</c:v>
                </c:pt>
                <c:pt idx="138">
                  <c:v>452.27848588710765</c:v>
                </c:pt>
                <c:pt idx="139">
                  <c:v>450.69358714149087</c:v>
                </c:pt>
                <c:pt idx="140">
                  <c:v>445.34994773936808</c:v>
                </c:pt>
                <c:pt idx="141">
                  <c:v>443.15838888427879</c:v>
                </c:pt>
                <c:pt idx="142">
                  <c:v>376.94335044233299</c:v>
                </c:pt>
                <c:pt idx="143">
                  <c:v>351.51217186295207</c:v>
                </c:pt>
                <c:pt idx="144">
                  <c:v>349.1424519508584</c:v>
                </c:pt>
                <c:pt idx="145">
                  <c:v>338.35800886467342</c:v>
                </c:pt>
                <c:pt idx="146">
                  <c:v>338.32509706173698</c:v>
                </c:pt>
                <c:pt idx="147">
                  <c:v>329.59053013470833</c:v>
                </c:pt>
                <c:pt idx="148">
                  <c:v>328.94532654090841</c:v>
                </c:pt>
                <c:pt idx="149">
                  <c:v>324.5195834849402</c:v>
                </c:pt>
                <c:pt idx="150">
                  <c:v>316.35227008817617</c:v>
                </c:pt>
                <c:pt idx="151">
                  <c:v>298.20279704852607</c:v>
                </c:pt>
                <c:pt idx="152">
                  <c:v>282.2655534192956</c:v>
                </c:pt>
                <c:pt idx="153">
                  <c:v>279.17583845565463</c:v>
                </c:pt>
                <c:pt idx="154">
                  <c:v>267.523444558221</c:v>
                </c:pt>
                <c:pt idx="155">
                  <c:v>243.11796219131151</c:v>
                </c:pt>
                <c:pt idx="156">
                  <c:v>238.7219534947142</c:v>
                </c:pt>
                <c:pt idx="157">
                  <c:v>213.58473632644751</c:v>
                </c:pt>
                <c:pt idx="158">
                  <c:v>213.0549679441219</c:v>
                </c:pt>
                <c:pt idx="159">
                  <c:v>185.73570610178925</c:v>
                </c:pt>
                <c:pt idx="160">
                  <c:v>179.9698100424423</c:v>
                </c:pt>
                <c:pt idx="161">
                  <c:v>163.86284257367811</c:v>
                </c:pt>
                <c:pt idx="162">
                  <c:v>154.86942972615682</c:v>
                </c:pt>
                <c:pt idx="163">
                  <c:v>146.97163873792519</c:v>
                </c:pt>
                <c:pt idx="164">
                  <c:v>138.54989608005954</c:v>
                </c:pt>
                <c:pt idx="165">
                  <c:v>138.38240367555869</c:v>
                </c:pt>
                <c:pt idx="166">
                  <c:v>127.8974052846099</c:v>
                </c:pt>
                <c:pt idx="167">
                  <c:v>124.50873761619036</c:v>
                </c:pt>
                <c:pt idx="168">
                  <c:v>121.17326709536977</c:v>
                </c:pt>
                <c:pt idx="169">
                  <c:v>117.00282692072294</c:v>
                </c:pt>
                <c:pt idx="170">
                  <c:v>113.09479760053418</c:v>
                </c:pt>
                <c:pt idx="171">
                  <c:v>112.83455881619844</c:v>
                </c:pt>
                <c:pt idx="172">
                  <c:v>100.2262750464601</c:v>
                </c:pt>
                <c:pt idx="173">
                  <c:v>94.101718330738819</c:v>
                </c:pt>
                <c:pt idx="174">
                  <c:v>79.161368555896928</c:v>
                </c:pt>
                <c:pt idx="175">
                  <c:v>73.273181254292723</c:v>
                </c:pt>
                <c:pt idx="176">
                  <c:v>72.942337778208781</c:v>
                </c:pt>
                <c:pt idx="177">
                  <c:v>64.268743571113006</c:v>
                </c:pt>
                <c:pt idx="178">
                  <c:v>61.518302604459706</c:v>
                </c:pt>
                <c:pt idx="179">
                  <c:v>61.459509511261572</c:v>
                </c:pt>
                <c:pt idx="180">
                  <c:v>58.524676490769522</c:v>
                </c:pt>
                <c:pt idx="181">
                  <c:v>58.36347036045359</c:v>
                </c:pt>
                <c:pt idx="182">
                  <c:v>57.955893675366887</c:v>
                </c:pt>
                <c:pt idx="183">
                  <c:v>57.273704983305699</c:v>
                </c:pt>
                <c:pt idx="184">
                  <c:v>57.225182288696089</c:v>
                </c:pt>
                <c:pt idx="185">
                  <c:v>49.134446059109422</c:v>
                </c:pt>
                <c:pt idx="186">
                  <c:v>42.898971250935631</c:v>
                </c:pt>
                <c:pt idx="187">
                  <c:v>41.575211367036097</c:v>
                </c:pt>
                <c:pt idx="188">
                  <c:v>41.375184006989507</c:v>
                </c:pt>
                <c:pt idx="189">
                  <c:v>33.613608993026538</c:v>
                </c:pt>
                <c:pt idx="190">
                  <c:v>32.535206604548307</c:v>
                </c:pt>
                <c:pt idx="191">
                  <c:v>30.59610371883522</c:v>
                </c:pt>
                <c:pt idx="192">
                  <c:v>30.384217893252064</c:v>
                </c:pt>
                <c:pt idx="193">
                  <c:v>29.93238164138188</c:v>
                </c:pt>
                <c:pt idx="194">
                  <c:v>28.418918082819911</c:v>
                </c:pt>
                <c:pt idx="195">
                  <c:v>27.222929871943023</c:v>
                </c:pt>
                <c:pt idx="196">
                  <c:v>26.943205158379357</c:v>
                </c:pt>
                <c:pt idx="197">
                  <c:v>22.722891210993655</c:v>
                </c:pt>
                <c:pt idx="198">
                  <c:v>22.483987106924598</c:v>
                </c:pt>
                <c:pt idx="199">
                  <c:v>20.922515357945045</c:v>
                </c:pt>
                <c:pt idx="200">
                  <c:v>20.581562263929829</c:v>
                </c:pt>
                <c:pt idx="201">
                  <c:v>19.451264489862602</c:v>
                </c:pt>
                <c:pt idx="202">
                  <c:v>16.168985769285836</c:v>
                </c:pt>
                <c:pt idx="203">
                  <c:v>15.433871181619205</c:v>
                </c:pt>
                <c:pt idx="204">
                  <c:v>15.14833418546055</c:v>
                </c:pt>
                <c:pt idx="205">
                  <c:v>13.35407337666161</c:v>
                </c:pt>
                <c:pt idx="206">
                  <c:v>13.127712198411999</c:v>
                </c:pt>
                <c:pt idx="207">
                  <c:v>9.3830601291149041</c:v>
                </c:pt>
                <c:pt idx="208">
                  <c:v>8.2806983435569546</c:v>
                </c:pt>
                <c:pt idx="209">
                  <c:v>7.0561609241231373</c:v>
                </c:pt>
                <c:pt idx="210">
                  <c:v>5.7923785728056476</c:v>
                </c:pt>
                <c:pt idx="211">
                  <c:v>5.6224764293895166</c:v>
                </c:pt>
                <c:pt idx="212">
                  <c:v>5.0136700947742296</c:v>
                </c:pt>
                <c:pt idx="213">
                  <c:v>4.4619207657788715</c:v>
                </c:pt>
                <c:pt idx="214">
                  <c:v>4.2307434482975852</c:v>
                </c:pt>
                <c:pt idx="215">
                  <c:v>4.0411371456678271</c:v>
                </c:pt>
                <c:pt idx="216">
                  <c:v>3.3831666342169369</c:v>
                </c:pt>
                <c:pt idx="217">
                  <c:v>3.0579680934010187</c:v>
                </c:pt>
                <c:pt idx="218">
                  <c:v>3.0502205454664502</c:v>
                </c:pt>
                <c:pt idx="219">
                  <c:v>2.8206716655809854</c:v>
                </c:pt>
                <c:pt idx="220">
                  <c:v>1.8995778960698264</c:v>
                </c:pt>
                <c:pt idx="221">
                  <c:v>1.7291299488616936</c:v>
                </c:pt>
                <c:pt idx="222">
                  <c:v>1.7225359024774727</c:v>
                </c:pt>
                <c:pt idx="223">
                  <c:v>1.5155055852778454</c:v>
                </c:pt>
                <c:pt idx="224">
                  <c:v>1.4129173282854386</c:v>
                </c:pt>
                <c:pt idx="225">
                  <c:v>1.1347585179375044</c:v>
                </c:pt>
                <c:pt idx="226">
                  <c:v>1.0977684127424101</c:v>
                </c:pt>
                <c:pt idx="227">
                  <c:v>0.99858984323501332</c:v>
                </c:pt>
                <c:pt idx="228">
                  <c:v>0.91031219291421572</c:v>
                </c:pt>
                <c:pt idx="229">
                  <c:v>0.82319230544838595</c:v>
                </c:pt>
                <c:pt idx="230">
                  <c:v>0.79202571845194603</c:v>
                </c:pt>
                <c:pt idx="231">
                  <c:v>0.76550329387749672</c:v>
                </c:pt>
                <c:pt idx="232">
                  <c:v>0.67298855210448105</c:v>
                </c:pt>
                <c:pt idx="233">
                  <c:v>0.5366794478918322</c:v>
                </c:pt>
                <c:pt idx="234">
                  <c:v>0.49846026029125551</c:v>
                </c:pt>
                <c:pt idx="235">
                  <c:v>0.46167533428980179</c:v>
                </c:pt>
                <c:pt idx="236">
                  <c:v>0.37459603897255112</c:v>
                </c:pt>
                <c:pt idx="237">
                  <c:v>0.28619766525328738</c:v>
                </c:pt>
                <c:pt idx="238">
                  <c:v>0.27559134769972021</c:v>
                </c:pt>
                <c:pt idx="239">
                  <c:v>0.25651108610110068</c:v>
                </c:pt>
                <c:pt idx="240">
                  <c:v>0.2138259719257492</c:v>
                </c:pt>
                <c:pt idx="241">
                  <c:v>0.20687963474682899</c:v>
                </c:pt>
                <c:pt idx="242">
                  <c:v>0.13365074368989119</c:v>
                </c:pt>
                <c:pt idx="243">
                  <c:v>0.13129705397852551</c:v>
                </c:pt>
                <c:pt idx="244">
                  <c:v>9.5534039863392498E-2</c:v>
                </c:pt>
                <c:pt idx="245">
                  <c:v>5.4186741190890203E-2</c:v>
                </c:pt>
                <c:pt idx="246">
                  <c:v>4.8852714935670102E-2</c:v>
                </c:pt>
                <c:pt idx="247">
                  <c:v>2.8797499124571801E-2</c:v>
                </c:pt>
                <c:pt idx="248">
                  <c:v>2.6321596667744699E-2</c:v>
                </c:pt>
                <c:pt idx="249">
                  <c:v>1.6597268226684801E-2</c:v>
                </c:pt>
              </c:numCache>
            </c:numRef>
          </c:bubbleSize>
          <c:bubble3D val="0"/>
          <c:extLst>
            <c:ext xmlns:c15="http://schemas.microsoft.com/office/drawing/2012/chart" uri="{02D57815-91ED-43cb-92C2-25804820EDAC}">
              <c15:datalabelsRange>
                <c15:f>交易所排名!$J$68:$J$167</c15:f>
                <c15:dlblRangeCache>
                  <c:ptCount val="100"/>
                  <c:pt idx="0">
                    <c:v>Binance</c:v>
                  </c:pt>
                  <c:pt idx="1">
                    <c:v>ZBG</c:v>
                  </c:pt>
                  <c:pt idx="2">
                    <c:v>BiONE</c:v>
                  </c:pt>
                  <c:pt idx="3">
                    <c:v>CoinFLEX</c:v>
                  </c:pt>
                  <c:pt idx="4">
                    <c:v>OKEx</c:v>
                  </c:pt>
                  <c:pt idx="5">
                    <c:v>Huobi Global</c:v>
                  </c:pt>
                  <c:pt idx="6">
                    <c:v>HitBTC</c:v>
                  </c:pt>
                  <c:pt idx="7">
                    <c:v>Bitcoin.com Exchange</c:v>
                  </c:pt>
                  <c:pt idx="8">
                    <c:v>Changelly PRO</c:v>
                  </c:pt>
                  <c:pt idx="9">
                    <c:v>Crypto.com Exchange</c:v>
                  </c:pt>
                  <c:pt idx="10">
                    <c:v>Upbit</c:v>
                  </c:pt>
                  <c:pt idx="11">
                    <c:v>Coinbase Exchange</c:v>
                  </c:pt>
                  <c:pt idx="12">
                    <c:v>CITEX</c:v>
                  </c:pt>
                  <c:pt idx="13">
                    <c:v>BitZ</c:v>
                  </c:pt>
                  <c:pt idx="14">
                    <c:v>Bitrue</c:v>
                  </c:pt>
                  <c:pt idx="15">
                    <c:v>ZB</c:v>
                  </c:pt>
                  <c:pt idx="16">
                    <c:v>FTX</c:v>
                  </c:pt>
                  <c:pt idx="17">
                    <c:v>BitOnBay</c:v>
                  </c:pt>
                  <c:pt idx="18">
                    <c:v>BHEX</c:v>
                  </c:pt>
                  <c:pt idx="19">
                    <c:v>BKEX</c:v>
                  </c:pt>
                  <c:pt idx="20">
                    <c:v>BitMart</c:v>
                  </c:pt>
                  <c:pt idx="21">
                    <c:v>KuCoin</c:v>
                  </c:pt>
                  <c:pt idx="22">
                    <c:v>Uniswap (v3)</c:v>
                  </c:pt>
                  <c:pt idx="23">
                    <c:v>Hoo.com</c:v>
                  </c:pt>
                  <c:pt idx="24">
                    <c:v>Coinsbit</c:v>
                  </c:pt>
                  <c:pt idx="25">
                    <c:v>Digifinex</c:v>
                  </c:pt>
                  <c:pt idx="26">
                    <c:v>Gate.io</c:v>
                  </c:pt>
                  <c:pt idx="27">
                    <c:v>XT.COM</c:v>
                  </c:pt>
                  <c:pt idx="28">
                    <c:v>Bithumb</c:v>
                  </c:pt>
                  <c:pt idx="29">
                    <c:v>P2PB2B</c:v>
                  </c:pt>
                  <c:pt idx="30">
                    <c:v>Bitfinex</c:v>
                  </c:pt>
                  <c:pt idx="31">
                    <c:v>LBank</c:v>
                  </c:pt>
                  <c:pt idx="32">
                    <c:v>WOO Network</c:v>
                  </c:pt>
                  <c:pt idx="33">
                    <c:v>CoinBene</c:v>
                  </c:pt>
                  <c:pt idx="34">
                    <c:v>Binance US</c:v>
                  </c:pt>
                  <c:pt idx="35">
                    <c:v>DragonEx</c:v>
                  </c:pt>
                  <c:pt idx="36">
                    <c:v>WhiteBIT</c:v>
                  </c:pt>
                  <c:pt idx="37">
                    <c:v>Dcoin</c:v>
                  </c:pt>
                  <c:pt idx="38">
                    <c:v>MEXC Global</c:v>
                  </c:pt>
                  <c:pt idx="39">
                    <c:v>Bitget</c:v>
                  </c:pt>
                  <c:pt idx="40">
                    <c:v>Kraken</c:v>
                  </c:pt>
                  <c:pt idx="41">
                    <c:v>Bibox</c:v>
                  </c:pt>
                  <c:pt idx="42">
                    <c:v>BigONE</c:v>
                  </c:pt>
                  <c:pt idx="43">
                    <c:v>Catex</c:v>
                  </c:pt>
                  <c:pt idx="44">
                    <c:v>BiKi</c:v>
                  </c:pt>
                  <c:pt idx="45">
                    <c:v>CoinTiger</c:v>
                  </c:pt>
                  <c:pt idx="46">
                    <c:v>PancakeSwap (v2)</c:v>
                  </c:pt>
                  <c:pt idx="47">
                    <c:v>Phemex</c:v>
                  </c:pt>
                  <c:pt idx="48">
                    <c:v>LATOKEN</c:v>
                  </c:pt>
                  <c:pt idx="49">
                    <c:v>AAX</c:v>
                  </c:pt>
                  <c:pt idx="50">
                    <c:v>KKCoin</c:v>
                  </c:pt>
                  <c:pt idx="51">
                    <c:v>TOKOK</c:v>
                  </c:pt>
                  <c:pt idx="52">
                    <c:v>Bitforex</c:v>
                  </c:pt>
                  <c:pt idx="53">
                    <c:v>AEX</c:v>
                  </c:pt>
                  <c:pt idx="54">
                    <c:v>TopBTC</c:v>
                  </c:pt>
                  <c:pt idx="55">
                    <c:v>IDCM</c:v>
                  </c:pt>
                  <c:pt idx="56">
                    <c:v>Bidesk</c:v>
                  </c:pt>
                  <c:pt idx="57">
                    <c:v>CBX</c:v>
                  </c:pt>
                  <c:pt idx="58">
                    <c:v>Sushiswap</c:v>
                  </c:pt>
                  <c:pt idx="59">
                    <c:v>ZBX</c:v>
                  </c:pt>
                  <c:pt idx="60">
                    <c:v>Bitexen</c:v>
                  </c:pt>
                  <c:pt idx="61">
                    <c:v>BTC-Alpha</c:v>
                  </c:pt>
                  <c:pt idx="62">
                    <c:v>ExMarkets</c:v>
                  </c:pt>
                  <c:pt idx="63">
                    <c:v>Hotbit</c:v>
                  </c:pt>
                  <c:pt idx="64">
                    <c:v>FTX.US</c:v>
                  </c:pt>
                  <c:pt idx="65">
                    <c:v>BtcTurk PRO</c:v>
                  </c:pt>
                  <c:pt idx="66">
                    <c:v>Uniswap (v2)</c:v>
                  </c:pt>
                  <c:pt idx="67">
                    <c:v>Abit</c:v>
                  </c:pt>
                  <c:pt idx="68">
                    <c:v>Bithumb Global</c:v>
                  </c:pt>
                  <c:pt idx="69">
                    <c:v>BW.com</c:v>
                  </c:pt>
                  <c:pt idx="70">
                    <c:v>Coinone</c:v>
                  </c:pt>
                  <c:pt idx="71">
                    <c:v>YoBit</c:v>
                  </c:pt>
                  <c:pt idx="72">
                    <c:v>Bitstamp</c:v>
                  </c:pt>
                  <c:pt idx="73">
                    <c:v>VCC Exchange</c:v>
                  </c:pt>
                  <c:pt idx="74">
                    <c:v>BTSE</c:v>
                  </c:pt>
                  <c:pt idx="75">
                    <c:v>FatBTC</c:v>
                  </c:pt>
                  <c:pt idx="76">
                    <c:v>FinexBox</c:v>
                  </c:pt>
                  <c:pt idx="77">
                    <c:v>ProBit Global</c:v>
                  </c:pt>
                  <c:pt idx="78">
                    <c:v>Paribu</c:v>
                  </c:pt>
                  <c:pt idx="79">
                    <c:v>Trader Joe</c:v>
                  </c:pt>
                  <c:pt idx="80">
                    <c:v>GokuMarket</c:v>
                  </c:pt>
                  <c:pt idx="81">
                    <c:v>Nami.Exchange</c:v>
                  </c:pt>
                  <c:pt idx="82">
                    <c:v>BITFRONT</c:v>
                  </c:pt>
                  <c:pt idx="83">
                    <c:v>Dex-Trade</c:v>
                  </c:pt>
                  <c:pt idx="84">
                    <c:v>Oceanex</c:v>
                  </c:pt>
                  <c:pt idx="85">
                    <c:v>Tokpie</c:v>
                  </c:pt>
                  <c:pt idx="86">
                    <c:v>Gemini</c:v>
                  </c:pt>
                  <c:pt idx="87">
                    <c:v>CoinMargin</c:v>
                  </c:pt>
                  <c:pt idx="88">
                    <c:v>AscendEX (BitMax)</c:v>
                  </c:pt>
                  <c:pt idx="89">
                    <c:v>bitFlyer</c:v>
                  </c:pt>
                  <c:pt idx="90">
                    <c:v>KuCoin Futures</c:v>
                  </c:pt>
                  <c:pt idx="91">
                    <c:v>Resfinex</c:v>
                  </c:pt>
                  <c:pt idx="92">
                    <c:v>Poloniex</c:v>
                  </c:pt>
                  <c:pt idx="93">
                    <c:v>WazirX</c:v>
                  </c:pt>
                  <c:pt idx="94">
                    <c:v>Bittrex</c:v>
                  </c:pt>
                  <c:pt idx="95">
                    <c:v>Chiliz</c:v>
                  </c:pt>
                  <c:pt idx="96">
                    <c:v>Currency.com</c:v>
                  </c:pt>
                  <c:pt idx="97">
                    <c:v>EXMO</c:v>
                  </c:pt>
                  <c:pt idx="98">
                    <c:v>Coincheck</c:v>
                  </c:pt>
                  <c:pt idx="99">
                    <c:v>CEX.IO</c:v>
                  </c:pt>
                </c15:dlblRangeCache>
              </c15:datalabelsRange>
            </c:ext>
            <c:ext xmlns:c16="http://schemas.microsoft.com/office/drawing/2014/chart" uri="{C3380CC4-5D6E-409C-BE32-E72D297353CC}">
              <c16:uniqueId val="{000000FA-2FEC-E344-BC05-FAEB30035853}"/>
            </c:ext>
          </c:extLst>
        </c:ser>
        <c:dLbls>
          <c:showLegendKey val="0"/>
          <c:showVal val="0"/>
          <c:showCatName val="0"/>
          <c:showSerName val="0"/>
          <c:showPercent val="0"/>
          <c:showBubbleSize val="0"/>
        </c:dLbls>
        <c:bubbleScale val="100"/>
        <c:showNegBubbles val="0"/>
        <c:sizeRepresents val="w"/>
        <c:axId val="156640367"/>
        <c:axId val="1220787775"/>
      </c:bubbleChart>
      <c:valAx>
        <c:axId val="156640367"/>
        <c:scaling>
          <c:orientation val="minMax"/>
          <c:max val="12"/>
          <c:min val="0"/>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220787775"/>
        <c:crosses val="autoZero"/>
        <c:crossBetween val="midCat"/>
      </c:valAx>
      <c:valAx>
        <c:axId val="1220787775"/>
        <c:scaling>
          <c:orientation val="minMax"/>
          <c:min val="0"/>
        </c:scaling>
        <c:delete val="0"/>
        <c:axPos val="l"/>
        <c:majorGridlines>
          <c:spPr>
            <a:ln w="9525" cap="flat" cmpd="sng" algn="ctr">
              <a:solidFill>
                <a:schemeClr val="bg1">
                  <a:lumMod val="9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5664036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sz="800">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title pos="t" align="ctr" overlay="0">
      <cx:tx>
        <cx:txData>
          <cx:v>Top 250 - Normalized BTC Volume vs Top 25 Ranked by Coingeko Trust Score</cx:v>
        </cx:txData>
      </cx:tx>
      <cx:txPr>
        <a:bodyPr spcFirstLastPara="1" vertOverflow="ellipsis" horzOverflow="overflow" wrap="square" lIns="0" tIns="0" rIns="0" bIns="0" anchor="ctr" anchorCtr="1"/>
        <a:lstStyle/>
        <a:p>
          <a:pPr algn="ctr" rtl="0">
            <a:defRPr sz="800" b="1">
              <a:latin typeface="Arial" panose="020B0604020202020204" pitchFamily="34" charset="0"/>
              <a:ea typeface="Arial" panose="020B0604020202020204" pitchFamily="34" charset="0"/>
              <a:cs typeface="Arial" panose="020B0604020202020204" pitchFamily="34" charset="0"/>
            </a:defRPr>
          </a:pPr>
          <a:r>
            <a:rPr lang="en-US" sz="8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Top 250 - Normalized BTC Volume vs Top 25 Ranked by Coingeko Trust Score</a:t>
          </a:r>
        </a:p>
      </cx:txPr>
    </cx:title>
    <cx:plotArea>
      <cx:plotAreaRegion>
        <cx:series layoutId="waterfall" uniqueId="{92723D41-67F8-4664-B129-C0D2E0C6264A}" formatIdx="0">
          <cx:tx>
            <cx:txData>
              <cx:f>_xlchart.v1.0</cx:f>
              <cx:v>trade_volume_24h_btc_normalized</cx:v>
            </cx:txData>
          </cx:tx>
          <cx:spPr>
            <a:gradFill flip="none" rotWithShape="1">
              <a:gsLst>
                <a:gs pos="100000">
                  <a:schemeClr val="accent6"/>
                </a:gs>
                <a:gs pos="0">
                  <a:srgbClr val="E7E6E6">
                    <a:alpha val="0"/>
                  </a:srgbClr>
                </a:gs>
              </a:gsLst>
              <a:path path="shape">
                <a:fillToRect l="50000" t="50000" r="50000" b="50000"/>
              </a:path>
              <a:tileRect/>
            </a:gradFill>
            <a:ln>
              <a:noFill/>
            </a:ln>
          </cx:spPr>
          <cx:dataId val="0"/>
          <cx:layoutPr>
            <cx:subtotals/>
          </cx:layoutPr>
        </cx:series>
      </cx:plotAreaRegion>
      <cx:axis id="0">
        <cx:catScaling gapWidth="0.5"/>
        <cx:tickLabels/>
        <cx:txPr>
          <a:bodyPr vertOverflow="overflow" horzOverflow="overflow" wrap="square" lIns="0" tIns="0" rIns="0" bIns="0"/>
          <a:lstStyle/>
          <a:p>
            <a:pPr algn="ctr" rtl="0">
              <a:defRPr sz="7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700">
              <a:latin typeface="Arial" panose="020B0604020202020204" pitchFamily="34" charset="0"/>
              <a:cs typeface="Arial" panose="020B0604020202020204" pitchFamily="34" charset="0"/>
            </a:endParaRPr>
          </a:p>
        </cx:txPr>
      </cx:axis>
      <cx:axis id="1">
        <cx:valScaling/>
        <cx:majorGridlines/>
        <cx:tickLabels/>
        <cx:txPr>
          <a:bodyPr vertOverflow="overflow" horzOverflow="overflow" wrap="square" lIns="0" tIns="0" rIns="0" bIns="0"/>
          <a:lstStyle/>
          <a:p>
            <a:pPr algn="ctr" rtl="0">
              <a:defRPr sz="8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800">
              <a:latin typeface="Arial" panose="020B0604020202020204" pitchFamily="34" charset="0"/>
              <a:cs typeface="Arial" panose="020B0604020202020204" pitchFamily="34" charset="0"/>
            </a:endParaRPr>
          </a:p>
        </cx:txPr>
      </cx:axis>
    </cx:plotArea>
  </cx:chart>
  <cx:spPr>
    <a:ln>
      <a:solidFill>
        <a:schemeClr val="bg1">
          <a:lumMod val="95000"/>
        </a:schemeClr>
      </a:solid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www.bfm-unity.com/"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3.png"/><Relationship Id="rId4" Type="http://schemas.openxmlformats.org/officeDocument/2006/relationships/hyperlink" Target="https://www.bfm-unity.com/"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https://www.bfm-unity.com/bfm-da-bi-fang-meng-shu-chan/management-cockpit-operation/zi-chan-pei-zhi/ling-hang-duo-lei-da" TargetMode="External"/><Relationship Id="rId1" Type="http://schemas.openxmlformats.org/officeDocument/2006/relationships/chart" Target="../charts/chart13.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17.xml"/><Relationship Id="rId7" Type="http://schemas.openxmlformats.org/officeDocument/2006/relationships/hyperlink" Target="https://www.bfm-unity.com/" TargetMode="Externa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3" Type="http://schemas.openxmlformats.org/officeDocument/2006/relationships/hyperlink" Target="https://www.bfm-unity.com/bfm-da-bi-fang-meng-shu-chan/management-cockpit-operation/zi-chan-pei-zhi/ling-hang-duo-lei-da" TargetMode="External"/><Relationship Id="rId2" Type="http://schemas.openxmlformats.org/officeDocument/2006/relationships/image" Target="../media/image2.png"/><Relationship Id="rId1" Type="http://schemas.openxmlformats.org/officeDocument/2006/relationships/hyperlink" Target="https://www.bfm-unity.com/bfm-da-bi-fang-meng-shu-chan/zi-chan-pei-zhi/ling-hang-duo-lei-da"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www.bfm-unity.com/bfm-da-bi-fang-meng-shu-chan/management-cockpit-operation/shu-xue-li-qi"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www.bfm-unity.com/bfm-da-bi-fang-meng-shu-chan/zi-chan-pei-zhi/zhan-shu-zi-chan-pei-zhi" TargetMode="Externa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8" Type="http://schemas.openxmlformats.org/officeDocument/2006/relationships/hyperlink" Target="https://twitter.com/Cryptosheets_RT" TargetMode="External"/><Relationship Id="rId3" Type="http://schemas.microsoft.com/office/2007/relationships/hdphoto" Target="../media/hdphoto1.wdp"/><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hyperlink" Target="https://cryptosheets.com" TargetMode="External"/><Relationship Id="rId6" Type="http://schemas.openxmlformats.org/officeDocument/2006/relationships/hyperlink" Target="https://medium.com/cryptosheets" TargetMode="External"/><Relationship Id="rId11" Type="http://schemas.openxmlformats.org/officeDocument/2006/relationships/image" Target="../media/image12.svg"/><Relationship Id="rId5" Type="http://schemas.openxmlformats.org/officeDocument/2006/relationships/image" Target="../media/image9.png"/><Relationship Id="rId10" Type="http://schemas.openxmlformats.org/officeDocument/2006/relationships/image" Target="../media/image11.png"/><Relationship Id="rId4" Type="http://schemas.openxmlformats.org/officeDocument/2006/relationships/hyperlink" Target="https://intercom.help/cryptosheets/en/collections/2009054-templates" TargetMode="External"/><Relationship Id="rId9" Type="http://schemas.openxmlformats.org/officeDocument/2006/relationships/hyperlink" Target="https://app.cryptosheets.com/#/templates"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https://twitter.com/Cryptosheets_RT" TargetMode="External"/><Relationship Id="rId13" Type="http://schemas.openxmlformats.org/officeDocument/2006/relationships/chart" Target="../charts/chart23.xml"/><Relationship Id="rId3" Type="http://schemas.microsoft.com/office/2007/relationships/hdphoto" Target="../media/hdphoto1.wdp"/><Relationship Id="rId7" Type="http://schemas.openxmlformats.org/officeDocument/2006/relationships/image" Target="../media/image10.png"/><Relationship Id="rId12"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hyperlink" Target="https://cryptosheets.com" TargetMode="External"/><Relationship Id="rId6" Type="http://schemas.openxmlformats.org/officeDocument/2006/relationships/hyperlink" Target="https://medium.com/cryptosheets" TargetMode="External"/><Relationship Id="rId11" Type="http://schemas.openxmlformats.org/officeDocument/2006/relationships/image" Target="../media/image12.svg"/><Relationship Id="rId5" Type="http://schemas.openxmlformats.org/officeDocument/2006/relationships/image" Target="../media/image9.png"/><Relationship Id="rId15" Type="http://schemas.openxmlformats.org/officeDocument/2006/relationships/chart" Target="../charts/chart24.xml"/><Relationship Id="rId10" Type="http://schemas.openxmlformats.org/officeDocument/2006/relationships/image" Target="../media/image11.png"/><Relationship Id="rId4" Type="http://schemas.openxmlformats.org/officeDocument/2006/relationships/hyperlink" Target="https://intercom.help/cryptosheets/en/collections/2009054-templates" TargetMode="External"/><Relationship Id="rId9" Type="http://schemas.openxmlformats.org/officeDocument/2006/relationships/hyperlink" Target="https://app.cryptosheets.com/#/templates" TargetMode="External"/><Relationship Id="rId14" Type="http://schemas.microsoft.com/office/2014/relationships/chartEx" Target="../charts/chartEx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5</xdr:col>
      <xdr:colOff>519557</xdr:colOff>
      <xdr:row>2</xdr:row>
      <xdr:rowOff>101679</xdr:rowOff>
    </xdr:from>
    <xdr:to>
      <xdr:col>10</xdr:col>
      <xdr:colOff>894772</xdr:colOff>
      <xdr:row>2</xdr:row>
      <xdr:rowOff>3620957</xdr:rowOff>
    </xdr:to>
    <xdr:pic>
      <xdr:nvPicPr>
        <xdr:cNvPr id="3" name="图片 2">
          <a:hlinkClick xmlns:r="http://schemas.openxmlformats.org/officeDocument/2006/relationships" r:id="rId1"/>
          <a:extLst>
            <a:ext uri="{FF2B5EF4-FFF2-40B4-BE49-F238E27FC236}">
              <a16:creationId xmlns:a16="http://schemas.microsoft.com/office/drawing/2014/main" id="{7535F9D7-75DC-414F-9528-2C214C39D0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64557" y="1487134"/>
          <a:ext cx="7302488" cy="35192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330200</xdr:colOff>
      <xdr:row>97</xdr:row>
      <xdr:rowOff>184354</xdr:rowOff>
    </xdr:from>
    <xdr:to>
      <xdr:col>27</xdr:col>
      <xdr:colOff>95250</xdr:colOff>
      <xdr:row>124</xdr:row>
      <xdr:rowOff>190501</xdr:rowOff>
    </xdr:to>
    <xdr:graphicFrame macro="">
      <xdr:nvGraphicFramePr>
        <xdr:cNvPr id="2" name="图表 1">
          <a:extLst>
            <a:ext uri="{FF2B5EF4-FFF2-40B4-BE49-F238E27FC236}">
              <a16:creationId xmlns:a16="http://schemas.microsoft.com/office/drawing/2014/main" id="{5ABDEADC-E2A0-ED41-9682-2BCD9E8FF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343958</xdr:colOff>
      <xdr:row>5</xdr:row>
      <xdr:rowOff>143387</xdr:rowOff>
    </xdr:from>
    <xdr:to>
      <xdr:col>27</xdr:col>
      <xdr:colOff>122903</xdr:colOff>
      <xdr:row>34</xdr:row>
      <xdr:rowOff>143387</xdr:rowOff>
    </xdr:to>
    <xdr:graphicFrame macro="">
      <xdr:nvGraphicFramePr>
        <xdr:cNvPr id="3" name="图表 2">
          <a:extLst>
            <a:ext uri="{FF2B5EF4-FFF2-40B4-BE49-F238E27FC236}">
              <a16:creationId xmlns:a16="http://schemas.microsoft.com/office/drawing/2014/main" id="{7FAC0ADA-2A55-3344-BFDC-44316B1DF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343958</xdr:colOff>
      <xdr:row>67</xdr:row>
      <xdr:rowOff>163870</xdr:rowOff>
    </xdr:from>
    <xdr:to>
      <xdr:col>27</xdr:col>
      <xdr:colOff>122903</xdr:colOff>
      <xdr:row>95</xdr:row>
      <xdr:rowOff>163870</xdr:rowOff>
    </xdr:to>
    <xdr:graphicFrame macro="">
      <xdr:nvGraphicFramePr>
        <xdr:cNvPr id="4" name="图表 3">
          <a:extLst>
            <a:ext uri="{FF2B5EF4-FFF2-40B4-BE49-F238E27FC236}">
              <a16:creationId xmlns:a16="http://schemas.microsoft.com/office/drawing/2014/main" id="{4A26B64D-79F5-B04D-9337-D3CBBE8D2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939080</xdr:colOff>
      <xdr:row>2</xdr:row>
      <xdr:rowOff>14319</xdr:rowOff>
    </xdr:from>
    <xdr:to>
      <xdr:col>25</xdr:col>
      <xdr:colOff>1148163</xdr:colOff>
      <xdr:row>2</xdr:row>
      <xdr:rowOff>1218080</xdr:rowOff>
    </xdr:to>
    <xdr:pic>
      <xdr:nvPicPr>
        <xdr:cNvPr id="7" name="图片 6">
          <a:hlinkClick xmlns:r="http://schemas.openxmlformats.org/officeDocument/2006/relationships" r:id="rId4"/>
          <a:extLst>
            <a:ext uri="{FF2B5EF4-FFF2-40B4-BE49-F238E27FC236}">
              <a16:creationId xmlns:a16="http://schemas.microsoft.com/office/drawing/2014/main" id="{B803BED3-AC72-BF46-8E24-B21443773C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338345" y="2012701"/>
          <a:ext cx="2524965" cy="1203761"/>
        </a:xfrm>
        <a:prstGeom prst="rect">
          <a:avLst/>
        </a:prstGeom>
      </xdr:spPr>
    </xdr:pic>
    <xdr:clientData/>
  </xdr:twoCellAnchor>
  <xdr:twoCellAnchor>
    <xdr:from>
      <xdr:col>20</xdr:col>
      <xdr:colOff>343958</xdr:colOff>
      <xdr:row>36</xdr:row>
      <xdr:rowOff>143387</xdr:rowOff>
    </xdr:from>
    <xdr:to>
      <xdr:col>27</xdr:col>
      <xdr:colOff>122903</xdr:colOff>
      <xdr:row>65</xdr:row>
      <xdr:rowOff>143387</xdr:rowOff>
    </xdr:to>
    <xdr:graphicFrame macro="">
      <xdr:nvGraphicFramePr>
        <xdr:cNvPr id="8" name="图表 7">
          <a:extLst>
            <a:ext uri="{FF2B5EF4-FFF2-40B4-BE49-F238E27FC236}">
              <a16:creationId xmlns:a16="http://schemas.microsoft.com/office/drawing/2014/main" id="{6B14EC4D-D65F-EB46-8CDE-6C043484B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84666</xdr:colOff>
      <xdr:row>59</xdr:row>
      <xdr:rowOff>0</xdr:rowOff>
    </xdr:from>
    <xdr:to>
      <xdr:col>17</xdr:col>
      <xdr:colOff>558800</xdr:colOff>
      <xdr:row>68</xdr:row>
      <xdr:rowOff>50800</xdr:rowOff>
    </xdr:to>
    <xdr:graphicFrame macro="">
      <xdr:nvGraphicFramePr>
        <xdr:cNvPr id="2" name="图表 1">
          <a:extLst>
            <a:ext uri="{FF2B5EF4-FFF2-40B4-BE49-F238E27FC236}">
              <a16:creationId xmlns:a16="http://schemas.microsoft.com/office/drawing/2014/main" id="{7E61117D-4BD8-024F-B298-18EB5D2A5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67733</xdr:colOff>
      <xdr:row>69</xdr:row>
      <xdr:rowOff>152400</xdr:rowOff>
    </xdr:from>
    <xdr:to>
      <xdr:col>17</xdr:col>
      <xdr:colOff>524933</xdr:colOff>
      <xdr:row>81</xdr:row>
      <xdr:rowOff>0</xdr:rowOff>
    </xdr:to>
    <xdr:graphicFrame macro="">
      <xdr:nvGraphicFramePr>
        <xdr:cNvPr id="3" name="图表 2">
          <a:extLst>
            <a:ext uri="{FF2B5EF4-FFF2-40B4-BE49-F238E27FC236}">
              <a16:creationId xmlns:a16="http://schemas.microsoft.com/office/drawing/2014/main" id="{81A29B6A-5268-8245-A089-BEED086F5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84666</xdr:colOff>
      <xdr:row>41</xdr:row>
      <xdr:rowOff>169332</xdr:rowOff>
    </xdr:from>
    <xdr:to>
      <xdr:col>17</xdr:col>
      <xdr:colOff>558800</xdr:colOff>
      <xdr:row>49</xdr:row>
      <xdr:rowOff>50800</xdr:rowOff>
    </xdr:to>
    <xdr:graphicFrame macro="">
      <xdr:nvGraphicFramePr>
        <xdr:cNvPr id="4" name="图表 3">
          <a:extLst>
            <a:ext uri="{FF2B5EF4-FFF2-40B4-BE49-F238E27FC236}">
              <a16:creationId xmlns:a16="http://schemas.microsoft.com/office/drawing/2014/main" id="{F3BDD5C9-AD04-5346-8088-3338640C0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84666</xdr:colOff>
      <xdr:row>49</xdr:row>
      <xdr:rowOff>169332</xdr:rowOff>
    </xdr:from>
    <xdr:to>
      <xdr:col>17</xdr:col>
      <xdr:colOff>558800</xdr:colOff>
      <xdr:row>58</xdr:row>
      <xdr:rowOff>50800</xdr:rowOff>
    </xdr:to>
    <xdr:graphicFrame macro="">
      <xdr:nvGraphicFramePr>
        <xdr:cNvPr id="5" name="图表 4">
          <a:extLst>
            <a:ext uri="{FF2B5EF4-FFF2-40B4-BE49-F238E27FC236}">
              <a16:creationId xmlns:a16="http://schemas.microsoft.com/office/drawing/2014/main" id="{C1BD25C5-BC4F-064A-987B-73703B635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82550</xdr:colOff>
      <xdr:row>22</xdr:row>
      <xdr:rowOff>19050</xdr:rowOff>
    </xdr:from>
    <xdr:to>
      <xdr:col>5</xdr:col>
      <xdr:colOff>927100</xdr:colOff>
      <xdr:row>37</xdr:row>
      <xdr:rowOff>38100</xdr:rowOff>
    </xdr:to>
    <xdr:graphicFrame macro="">
      <xdr:nvGraphicFramePr>
        <xdr:cNvPr id="6" name="图表 5">
          <a:extLst>
            <a:ext uri="{FF2B5EF4-FFF2-40B4-BE49-F238E27FC236}">
              <a16:creationId xmlns:a16="http://schemas.microsoft.com/office/drawing/2014/main" id="{4A8A45A4-B893-DC45-988E-4090EAC9B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22</xdr:row>
      <xdr:rowOff>31750</xdr:rowOff>
    </xdr:from>
    <xdr:to>
      <xdr:col>9</xdr:col>
      <xdr:colOff>177800</xdr:colOff>
      <xdr:row>37</xdr:row>
      <xdr:rowOff>63500</xdr:rowOff>
    </xdr:to>
    <xdr:graphicFrame macro="">
      <xdr:nvGraphicFramePr>
        <xdr:cNvPr id="7" name="图表 6">
          <a:extLst>
            <a:ext uri="{FF2B5EF4-FFF2-40B4-BE49-F238E27FC236}">
              <a16:creationId xmlns:a16="http://schemas.microsoft.com/office/drawing/2014/main" id="{C44919B4-7F20-D14C-8AD3-BDD0D6338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82550</xdr:colOff>
      <xdr:row>22</xdr:row>
      <xdr:rowOff>19050</xdr:rowOff>
    </xdr:from>
    <xdr:to>
      <xdr:col>5</xdr:col>
      <xdr:colOff>927100</xdr:colOff>
      <xdr:row>37</xdr:row>
      <xdr:rowOff>38100</xdr:rowOff>
    </xdr:to>
    <xdr:graphicFrame macro="">
      <xdr:nvGraphicFramePr>
        <xdr:cNvPr id="8" name="图表 7">
          <a:extLst>
            <a:ext uri="{FF2B5EF4-FFF2-40B4-BE49-F238E27FC236}">
              <a16:creationId xmlns:a16="http://schemas.microsoft.com/office/drawing/2014/main" id="{F144DB50-63CD-A14B-A231-3EB133A20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22</xdr:row>
      <xdr:rowOff>31750</xdr:rowOff>
    </xdr:from>
    <xdr:to>
      <xdr:col>9</xdr:col>
      <xdr:colOff>177800</xdr:colOff>
      <xdr:row>37</xdr:row>
      <xdr:rowOff>63500</xdr:rowOff>
    </xdr:to>
    <xdr:graphicFrame macro="">
      <xdr:nvGraphicFramePr>
        <xdr:cNvPr id="9" name="图表 8">
          <a:extLst>
            <a:ext uri="{FF2B5EF4-FFF2-40B4-BE49-F238E27FC236}">
              <a16:creationId xmlns:a16="http://schemas.microsoft.com/office/drawing/2014/main" id="{5C59AD3E-1F68-6E44-86F1-6CBA1046E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680968</xdr:colOff>
      <xdr:row>51</xdr:row>
      <xdr:rowOff>106483</xdr:rowOff>
    </xdr:from>
    <xdr:to>
      <xdr:col>8</xdr:col>
      <xdr:colOff>130611</xdr:colOff>
      <xdr:row>73</xdr:row>
      <xdr:rowOff>197692</xdr:rowOff>
    </xdr:to>
    <xdr:graphicFrame macro="">
      <xdr:nvGraphicFramePr>
        <xdr:cNvPr id="2" name="图表 1">
          <a:extLst>
            <a:ext uri="{FF2B5EF4-FFF2-40B4-BE49-F238E27FC236}">
              <a16:creationId xmlns:a16="http://schemas.microsoft.com/office/drawing/2014/main" id="{84F46209-B9B8-B848-83AA-7BB2727F4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95806</xdr:colOff>
      <xdr:row>57</xdr:row>
      <xdr:rowOff>47770</xdr:rowOff>
    </xdr:from>
    <xdr:to>
      <xdr:col>4</xdr:col>
      <xdr:colOff>782089</xdr:colOff>
      <xdr:row>63</xdr:row>
      <xdr:rowOff>153949</xdr:rowOff>
    </xdr:to>
    <xdr:sp macro="" textlink="">
      <xdr:nvSpPr>
        <xdr:cNvPr id="5" name="矩形 4">
          <a:extLst>
            <a:ext uri="{FF2B5EF4-FFF2-40B4-BE49-F238E27FC236}">
              <a16:creationId xmlns:a16="http://schemas.microsoft.com/office/drawing/2014/main" id="{9C82A17A-2A70-3246-A4D6-8C97852235BF}"/>
            </a:ext>
          </a:extLst>
        </xdr:cNvPr>
        <xdr:cNvSpPr/>
      </xdr:nvSpPr>
      <xdr:spPr>
        <a:xfrm flipH="1">
          <a:off x="3044789" y="20123815"/>
          <a:ext cx="1475549" cy="1311603"/>
        </a:xfrm>
        <a:prstGeom prst="rect">
          <a:avLst/>
        </a:prstGeom>
        <a:solidFill>
          <a:schemeClr val="accent4">
            <a:lumMod val="40000"/>
            <a:lumOff val="6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327359</xdr:colOff>
      <xdr:row>68</xdr:row>
      <xdr:rowOff>97175</xdr:rowOff>
    </xdr:from>
    <xdr:to>
      <xdr:col>7</xdr:col>
      <xdr:colOff>294603</xdr:colOff>
      <xdr:row>71</xdr:row>
      <xdr:rowOff>93123</xdr:rowOff>
    </xdr:to>
    <xdr:sp macro="" textlink="">
      <xdr:nvSpPr>
        <xdr:cNvPr id="6" name="矩形 5">
          <a:extLst>
            <a:ext uri="{FF2B5EF4-FFF2-40B4-BE49-F238E27FC236}">
              <a16:creationId xmlns:a16="http://schemas.microsoft.com/office/drawing/2014/main" id="{CCA46C86-849E-F746-BB2F-5D17DC0ED797}"/>
            </a:ext>
          </a:extLst>
        </xdr:cNvPr>
        <xdr:cNvSpPr/>
      </xdr:nvSpPr>
      <xdr:spPr>
        <a:xfrm>
          <a:off x="5644139" y="22383164"/>
          <a:ext cx="756509" cy="59866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553799</xdr:colOff>
      <xdr:row>62</xdr:row>
      <xdr:rowOff>3663</xdr:rowOff>
    </xdr:from>
    <xdr:to>
      <xdr:col>3</xdr:col>
      <xdr:colOff>411559</xdr:colOff>
      <xdr:row>65</xdr:row>
      <xdr:rowOff>46191</xdr:rowOff>
    </xdr:to>
    <xdr:sp macro="" textlink="">
      <xdr:nvSpPr>
        <xdr:cNvPr id="7" name="矩形 6">
          <a:extLst>
            <a:ext uri="{FF2B5EF4-FFF2-40B4-BE49-F238E27FC236}">
              <a16:creationId xmlns:a16="http://schemas.microsoft.com/office/drawing/2014/main" id="{AFB3B471-25C6-7E44-AB8E-52A829554490}"/>
            </a:ext>
          </a:extLst>
        </xdr:cNvPr>
        <xdr:cNvSpPr/>
      </xdr:nvSpPr>
      <xdr:spPr>
        <a:xfrm>
          <a:off x="2713517" y="21084228"/>
          <a:ext cx="647025" cy="64524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99</xdr:colOff>
      <xdr:row>57</xdr:row>
      <xdr:rowOff>41970</xdr:rowOff>
    </xdr:from>
    <xdr:to>
      <xdr:col>6</xdr:col>
      <xdr:colOff>710339</xdr:colOff>
      <xdr:row>70</xdr:row>
      <xdr:rowOff>24232</xdr:rowOff>
    </xdr:to>
    <xdr:sp macro="" textlink="">
      <xdr:nvSpPr>
        <xdr:cNvPr id="8" name="任意形状 7">
          <a:extLst>
            <a:ext uri="{FF2B5EF4-FFF2-40B4-BE49-F238E27FC236}">
              <a16:creationId xmlns:a16="http://schemas.microsoft.com/office/drawing/2014/main" id="{C2E80B19-76D9-7C48-AB11-84190507AED6}"/>
            </a:ext>
          </a:extLst>
        </xdr:cNvPr>
        <xdr:cNvSpPr/>
      </xdr:nvSpPr>
      <xdr:spPr>
        <a:xfrm>
          <a:off x="4527613" y="20118015"/>
          <a:ext cx="1499506" cy="2594014"/>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98801</xdr:colOff>
      <xdr:row>63</xdr:row>
      <xdr:rowOff>133156</xdr:rowOff>
    </xdr:from>
    <xdr:to>
      <xdr:col>6</xdr:col>
      <xdr:colOff>703164</xdr:colOff>
      <xdr:row>70</xdr:row>
      <xdr:rowOff>22541</xdr:rowOff>
    </xdr:to>
    <xdr:sp macro="" textlink="">
      <xdr:nvSpPr>
        <xdr:cNvPr id="9" name="任意形状 8">
          <a:extLst>
            <a:ext uri="{FF2B5EF4-FFF2-40B4-BE49-F238E27FC236}">
              <a16:creationId xmlns:a16="http://schemas.microsoft.com/office/drawing/2014/main" id="{CA6F4DB2-9C2D-B64C-8010-4598396C4A4F}"/>
            </a:ext>
          </a:extLst>
        </xdr:cNvPr>
        <xdr:cNvSpPr/>
      </xdr:nvSpPr>
      <xdr:spPr>
        <a:xfrm>
          <a:off x="3047784" y="21414625"/>
          <a:ext cx="2972160" cy="1295713"/>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editAs="oneCell">
    <xdr:from>
      <xdr:col>22</xdr:col>
      <xdr:colOff>1774</xdr:colOff>
      <xdr:row>66</xdr:row>
      <xdr:rowOff>8980</xdr:rowOff>
    </xdr:from>
    <xdr:to>
      <xdr:col>24</xdr:col>
      <xdr:colOff>683502</xdr:colOff>
      <xdr:row>72</xdr:row>
      <xdr:rowOff>1</xdr:rowOff>
    </xdr:to>
    <xdr:pic>
      <xdr:nvPicPr>
        <xdr:cNvPr id="4" name="图片 3">
          <a:hlinkClick xmlns:r="http://schemas.openxmlformats.org/officeDocument/2006/relationships" r:id="rId2"/>
          <a:extLst>
            <a:ext uri="{FF2B5EF4-FFF2-40B4-BE49-F238E27FC236}">
              <a16:creationId xmlns:a16="http://schemas.microsoft.com/office/drawing/2014/main" id="{B7A2B9D0-AB5D-8A42-ADFC-5B6490C4D4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74332" y="9785027"/>
          <a:ext cx="2464390" cy="1215240"/>
        </a:xfrm>
        <a:prstGeom prst="rect">
          <a:avLst/>
        </a:prstGeom>
      </xdr:spPr>
    </xdr:pic>
    <xdr:clientData/>
  </xdr:twoCellAnchor>
  <xdr:twoCellAnchor>
    <xdr:from>
      <xdr:col>1</xdr:col>
      <xdr:colOff>680968</xdr:colOff>
      <xdr:row>11</xdr:row>
      <xdr:rowOff>106483</xdr:rowOff>
    </xdr:from>
    <xdr:to>
      <xdr:col>8</xdr:col>
      <xdr:colOff>130611</xdr:colOff>
      <xdr:row>33</xdr:row>
      <xdr:rowOff>197692</xdr:rowOff>
    </xdr:to>
    <xdr:graphicFrame macro="">
      <xdr:nvGraphicFramePr>
        <xdr:cNvPr id="16" name="图表 15">
          <a:extLst>
            <a:ext uri="{FF2B5EF4-FFF2-40B4-BE49-F238E27FC236}">
              <a16:creationId xmlns:a16="http://schemas.microsoft.com/office/drawing/2014/main" id="{EA8BE9EB-EBA5-1145-84F8-98A1A6442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108507</xdr:colOff>
      <xdr:row>17</xdr:row>
      <xdr:rowOff>43523</xdr:rowOff>
    </xdr:from>
    <xdr:to>
      <xdr:col>5</xdr:col>
      <xdr:colOff>0</xdr:colOff>
      <xdr:row>23</xdr:row>
      <xdr:rowOff>119723</xdr:rowOff>
    </xdr:to>
    <xdr:sp macro="" textlink="">
      <xdr:nvSpPr>
        <xdr:cNvPr id="17" name="矩形 16">
          <a:extLst>
            <a:ext uri="{FF2B5EF4-FFF2-40B4-BE49-F238E27FC236}">
              <a16:creationId xmlns:a16="http://schemas.microsoft.com/office/drawing/2014/main" id="{E57C7056-65EB-D243-BD9F-59D4CDF8C3D8}"/>
            </a:ext>
          </a:extLst>
        </xdr:cNvPr>
        <xdr:cNvSpPr/>
      </xdr:nvSpPr>
      <xdr:spPr>
        <a:xfrm flipH="1">
          <a:off x="3057490" y="7412393"/>
          <a:ext cx="1470024" cy="1281624"/>
        </a:xfrm>
        <a:prstGeom prst="rect">
          <a:avLst/>
        </a:prstGeom>
        <a:solidFill>
          <a:schemeClr val="accent4">
            <a:lumMod val="40000"/>
            <a:lumOff val="6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356060</xdr:colOff>
      <xdr:row>28</xdr:row>
      <xdr:rowOff>100452</xdr:rowOff>
    </xdr:from>
    <xdr:to>
      <xdr:col>7</xdr:col>
      <xdr:colOff>265481</xdr:colOff>
      <xdr:row>31</xdr:row>
      <xdr:rowOff>136175</xdr:rowOff>
    </xdr:to>
    <xdr:sp macro="" textlink="">
      <xdr:nvSpPr>
        <xdr:cNvPr id="18" name="矩形 17">
          <a:extLst>
            <a:ext uri="{FF2B5EF4-FFF2-40B4-BE49-F238E27FC236}">
              <a16:creationId xmlns:a16="http://schemas.microsoft.com/office/drawing/2014/main" id="{A6F93DD6-ACFB-574F-81D7-94E6C22D25E8}"/>
            </a:ext>
          </a:extLst>
        </xdr:cNvPr>
        <xdr:cNvSpPr/>
      </xdr:nvSpPr>
      <xdr:spPr>
        <a:xfrm>
          <a:off x="5672840" y="9679266"/>
          <a:ext cx="698686" cy="638434"/>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553800</xdr:colOff>
      <xdr:row>21</xdr:row>
      <xdr:rowOff>197391</xdr:rowOff>
    </xdr:from>
    <xdr:to>
      <xdr:col>3</xdr:col>
      <xdr:colOff>411560</xdr:colOff>
      <xdr:row>25</xdr:row>
      <xdr:rowOff>39015</xdr:rowOff>
    </xdr:to>
    <xdr:sp macro="" textlink="">
      <xdr:nvSpPr>
        <xdr:cNvPr id="19" name="矩形 18">
          <a:extLst>
            <a:ext uri="{FF2B5EF4-FFF2-40B4-BE49-F238E27FC236}">
              <a16:creationId xmlns:a16="http://schemas.microsoft.com/office/drawing/2014/main" id="{C7BBA1CE-7395-6449-9217-541F5F81889F}"/>
            </a:ext>
          </a:extLst>
        </xdr:cNvPr>
        <xdr:cNvSpPr/>
      </xdr:nvSpPr>
      <xdr:spPr>
        <a:xfrm>
          <a:off x="2713518" y="8369877"/>
          <a:ext cx="647025" cy="64524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13629</xdr:colOff>
      <xdr:row>17</xdr:row>
      <xdr:rowOff>57975</xdr:rowOff>
    </xdr:from>
    <xdr:to>
      <xdr:col>6</xdr:col>
      <xdr:colOff>717514</xdr:colOff>
      <xdr:row>30</xdr:row>
      <xdr:rowOff>24232</xdr:rowOff>
    </xdr:to>
    <xdr:sp macro="" textlink="">
      <xdr:nvSpPr>
        <xdr:cNvPr id="20" name="任意形状 19">
          <a:extLst>
            <a:ext uri="{FF2B5EF4-FFF2-40B4-BE49-F238E27FC236}">
              <a16:creationId xmlns:a16="http://schemas.microsoft.com/office/drawing/2014/main" id="{86EAE123-6D1B-BF40-B39E-79E0D69E1D2E}"/>
            </a:ext>
          </a:extLst>
        </xdr:cNvPr>
        <xdr:cNvSpPr/>
      </xdr:nvSpPr>
      <xdr:spPr>
        <a:xfrm>
          <a:off x="4541143" y="7426845"/>
          <a:ext cx="1493151" cy="2578008"/>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111116</xdr:colOff>
      <xdr:row>23</xdr:row>
      <xdr:rowOff>129281</xdr:rowOff>
    </xdr:from>
    <xdr:to>
      <xdr:col>6</xdr:col>
      <xdr:colOff>710338</xdr:colOff>
      <xdr:row>30</xdr:row>
      <xdr:rowOff>18666</xdr:rowOff>
    </xdr:to>
    <xdr:sp macro="" textlink="">
      <xdr:nvSpPr>
        <xdr:cNvPr id="21" name="任意形状 20">
          <a:extLst>
            <a:ext uri="{FF2B5EF4-FFF2-40B4-BE49-F238E27FC236}">
              <a16:creationId xmlns:a16="http://schemas.microsoft.com/office/drawing/2014/main" id="{F6CFA46D-9E27-914D-853B-7CA0DDB0651D}"/>
            </a:ext>
          </a:extLst>
        </xdr:cNvPr>
        <xdr:cNvSpPr/>
      </xdr:nvSpPr>
      <xdr:spPr>
        <a:xfrm>
          <a:off x="3060099" y="8703575"/>
          <a:ext cx="2967019" cy="1295712"/>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82178</xdr:colOff>
      <xdr:row>30</xdr:row>
      <xdr:rowOff>55282</xdr:rowOff>
    </xdr:from>
    <xdr:to>
      <xdr:col>10</xdr:col>
      <xdr:colOff>859119</xdr:colOff>
      <xdr:row>43</xdr:row>
      <xdr:rowOff>79188</xdr:rowOff>
    </xdr:to>
    <xdr:graphicFrame macro="">
      <xdr:nvGraphicFramePr>
        <xdr:cNvPr id="5" name="图表 4">
          <a:extLst>
            <a:ext uri="{FF2B5EF4-FFF2-40B4-BE49-F238E27FC236}">
              <a16:creationId xmlns:a16="http://schemas.microsoft.com/office/drawing/2014/main" id="{354E8F8C-061F-A84C-A11A-2F6791F65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881529</xdr:colOff>
      <xdr:row>30</xdr:row>
      <xdr:rowOff>55282</xdr:rowOff>
    </xdr:from>
    <xdr:to>
      <xdr:col>14</xdr:col>
      <xdr:colOff>567764</xdr:colOff>
      <xdr:row>43</xdr:row>
      <xdr:rowOff>79188</xdr:rowOff>
    </xdr:to>
    <xdr:graphicFrame macro="">
      <xdr:nvGraphicFramePr>
        <xdr:cNvPr id="6" name="图表 5">
          <a:extLst>
            <a:ext uri="{FF2B5EF4-FFF2-40B4-BE49-F238E27FC236}">
              <a16:creationId xmlns:a16="http://schemas.microsoft.com/office/drawing/2014/main" id="{5C7CD9A2-46FB-4147-B74D-885C648F0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597646</xdr:colOff>
      <xdr:row>30</xdr:row>
      <xdr:rowOff>55282</xdr:rowOff>
    </xdr:from>
    <xdr:to>
      <xdr:col>17</xdr:col>
      <xdr:colOff>1376828</xdr:colOff>
      <xdr:row>43</xdr:row>
      <xdr:rowOff>79188</xdr:rowOff>
    </xdr:to>
    <xdr:graphicFrame macro="">
      <xdr:nvGraphicFramePr>
        <xdr:cNvPr id="7" name="图表 6">
          <a:extLst>
            <a:ext uri="{FF2B5EF4-FFF2-40B4-BE49-F238E27FC236}">
              <a16:creationId xmlns:a16="http://schemas.microsoft.com/office/drawing/2014/main" id="{5F5E014D-C3BE-E447-AAEA-E883108AA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82178</xdr:colOff>
      <xdr:row>30</xdr:row>
      <xdr:rowOff>55282</xdr:rowOff>
    </xdr:from>
    <xdr:to>
      <xdr:col>10</xdr:col>
      <xdr:colOff>859119</xdr:colOff>
      <xdr:row>43</xdr:row>
      <xdr:rowOff>79188</xdr:rowOff>
    </xdr:to>
    <xdr:graphicFrame macro="">
      <xdr:nvGraphicFramePr>
        <xdr:cNvPr id="18" name="图表 17">
          <a:extLst>
            <a:ext uri="{FF2B5EF4-FFF2-40B4-BE49-F238E27FC236}">
              <a16:creationId xmlns:a16="http://schemas.microsoft.com/office/drawing/2014/main" id="{A7D2ABF1-31C2-E147-9B15-42A709B10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881529</xdr:colOff>
      <xdr:row>30</xdr:row>
      <xdr:rowOff>55282</xdr:rowOff>
    </xdr:from>
    <xdr:to>
      <xdr:col>14</xdr:col>
      <xdr:colOff>567764</xdr:colOff>
      <xdr:row>43</xdr:row>
      <xdr:rowOff>79188</xdr:rowOff>
    </xdr:to>
    <xdr:graphicFrame macro="">
      <xdr:nvGraphicFramePr>
        <xdr:cNvPr id="19" name="图表 18">
          <a:extLst>
            <a:ext uri="{FF2B5EF4-FFF2-40B4-BE49-F238E27FC236}">
              <a16:creationId xmlns:a16="http://schemas.microsoft.com/office/drawing/2014/main" id="{2C997C55-2023-774D-88E9-765F68B64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597646</xdr:colOff>
      <xdr:row>30</xdr:row>
      <xdr:rowOff>55282</xdr:rowOff>
    </xdr:from>
    <xdr:to>
      <xdr:col>17</xdr:col>
      <xdr:colOff>1376828</xdr:colOff>
      <xdr:row>43</xdr:row>
      <xdr:rowOff>79188</xdr:rowOff>
    </xdr:to>
    <xdr:graphicFrame macro="">
      <xdr:nvGraphicFramePr>
        <xdr:cNvPr id="20" name="图表 19">
          <a:extLst>
            <a:ext uri="{FF2B5EF4-FFF2-40B4-BE49-F238E27FC236}">
              <a16:creationId xmlns:a16="http://schemas.microsoft.com/office/drawing/2014/main" id="{654B03B9-CD75-C846-84F3-479F450C6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0</xdr:colOff>
      <xdr:row>4</xdr:row>
      <xdr:rowOff>8401</xdr:rowOff>
    </xdr:from>
    <xdr:to>
      <xdr:col>18</xdr:col>
      <xdr:colOff>3336</xdr:colOff>
      <xdr:row>5</xdr:row>
      <xdr:rowOff>200763</xdr:rowOff>
    </xdr:to>
    <xdr:pic>
      <xdr:nvPicPr>
        <xdr:cNvPr id="10" name="图片 9">
          <a:hlinkClick xmlns:r="http://schemas.openxmlformats.org/officeDocument/2006/relationships" r:id="rId7"/>
          <a:extLst>
            <a:ext uri="{FF2B5EF4-FFF2-40B4-BE49-F238E27FC236}">
              <a16:creationId xmlns:a16="http://schemas.microsoft.com/office/drawing/2014/main" id="{1662C59E-57A1-574E-9CB0-91CEA81C92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5688733" y="1566268"/>
          <a:ext cx="1400336" cy="624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28</xdr:col>
      <xdr:colOff>273046</xdr:colOff>
      <xdr:row>2</xdr:row>
      <xdr:rowOff>116170</xdr:rowOff>
    </xdr:from>
    <xdr:to>
      <xdr:col>42</xdr:col>
      <xdr:colOff>31750</xdr:colOff>
      <xdr:row>2</xdr:row>
      <xdr:rowOff>4224621</xdr:rowOff>
    </xdr:to>
    <xdr:pic>
      <xdr:nvPicPr>
        <xdr:cNvPr id="3" name="图片 2">
          <a:hlinkClick xmlns:r="http://schemas.openxmlformats.org/officeDocument/2006/relationships" r:id="rId1"/>
          <a:extLst>
            <a:ext uri="{FF2B5EF4-FFF2-40B4-BE49-F238E27FC236}">
              <a16:creationId xmlns:a16="http://schemas.microsoft.com/office/drawing/2014/main" id="{B2D2DFCC-EA7E-4342-B3DC-A3022BC76D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624296" y="2418045"/>
          <a:ext cx="7537454" cy="4108451"/>
        </a:xfrm>
        <a:prstGeom prst="rect">
          <a:avLst/>
        </a:prstGeom>
      </xdr:spPr>
    </xdr:pic>
    <xdr:clientData/>
  </xdr:twoCellAnchor>
  <xdr:oneCellAnchor>
    <xdr:from>
      <xdr:col>10</xdr:col>
      <xdr:colOff>396871</xdr:colOff>
      <xdr:row>209</xdr:row>
      <xdr:rowOff>39688</xdr:rowOff>
    </xdr:from>
    <xdr:ext cx="8594892" cy="4413534"/>
    <xdr:pic>
      <xdr:nvPicPr>
        <xdr:cNvPr id="7" name="图片 6">
          <a:hlinkClick xmlns:r="http://schemas.openxmlformats.org/officeDocument/2006/relationships" r:id="rId3"/>
          <a:extLst>
            <a:ext uri="{FF2B5EF4-FFF2-40B4-BE49-F238E27FC236}">
              <a16:creationId xmlns:a16="http://schemas.microsoft.com/office/drawing/2014/main" id="{851429AA-F574-9A41-9179-B6566F59C6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54471" y="1995488"/>
          <a:ext cx="8594892" cy="4413534"/>
        </a:xfrm>
        <a:prstGeom prst="rect">
          <a:avLst/>
        </a:prstGeom>
      </xdr:spPr>
    </xdr:pic>
    <xdr:clientData/>
  </xdr:oneCellAnchor>
  <xdr:oneCellAnchor>
    <xdr:from>
      <xdr:col>47</xdr:col>
      <xdr:colOff>396871</xdr:colOff>
      <xdr:row>209</xdr:row>
      <xdr:rowOff>39688</xdr:rowOff>
    </xdr:from>
    <xdr:ext cx="9130547" cy="4373847"/>
    <xdr:pic>
      <xdr:nvPicPr>
        <xdr:cNvPr id="8" name="图片 7">
          <a:hlinkClick xmlns:r="http://schemas.openxmlformats.org/officeDocument/2006/relationships" r:id="rId3"/>
          <a:extLst>
            <a:ext uri="{FF2B5EF4-FFF2-40B4-BE49-F238E27FC236}">
              <a16:creationId xmlns:a16="http://schemas.microsoft.com/office/drawing/2014/main" id="{5E5C8A59-189D-1048-BDBA-10A0DE94CD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91271" y="1995488"/>
          <a:ext cx="9130547" cy="4373847"/>
        </a:xfrm>
        <a:prstGeom prst="rect">
          <a:avLst/>
        </a:prstGeom>
      </xdr:spPr>
    </xdr:pic>
    <xdr:clientData/>
  </xdr:oneCellAnchor>
  <xdr:oneCellAnchor>
    <xdr:from>
      <xdr:col>84</xdr:col>
      <xdr:colOff>396871</xdr:colOff>
      <xdr:row>209</xdr:row>
      <xdr:rowOff>39688</xdr:rowOff>
    </xdr:from>
    <xdr:ext cx="9130547" cy="4373847"/>
    <xdr:pic>
      <xdr:nvPicPr>
        <xdr:cNvPr id="9" name="图片 8">
          <a:hlinkClick xmlns:r="http://schemas.openxmlformats.org/officeDocument/2006/relationships" r:id="rId3"/>
          <a:extLst>
            <a:ext uri="{FF2B5EF4-FFF2-40B4-BE49-F238E27FC236}">
              <a16:creationId xmlns:a16="http://schemas.microsoft.com/office/drawing/2014/main" id="{35EF991B-D5D5-6F40-8C9B-147BD96291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128071" y="1995488"/>
          <a:ext cx="9130547" cy="437384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13</xdr:col>
      <xdr:colOff>155844</xdr:colOff>
      <xdr:row>9</xdr:row>
      <xdr:rowOff>38856</xdr:rowOff>
    </xdr:from>
    <xdr:to>
      <xdr:col>15</xdr:col>
      <xdr:colOff>711200</xdr:colOff>
      <xdr:row>14</xdr:row>
      <xdr:rowOff>156419</xdr:rowOff>
    </xdr:to>
    <xdr:pic>
      <xdr:nvPicPr>
        <xdr:cNvPr id="3" name="图片 2">
          <a:hlinkClick xmlns:r="http://schemas.openxmlformats.org/officeDocument/2006/relationships" r:id="rId1"/>
          <a:extLst>
            <a:ext uri="{FF2B5EF4-FFF2-40B4-BE49-F238E27FC236}">
              <a16:creationId xmlns:a16="http://schemas.microsoft.com/office/drawing/2014/main" id="{563D8488-2ADC-FF4D-95A2-0DBA89FF6E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16244" y="1994656"/>
          <a:ext cx="2460356" cy="12097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2018974</xdr:colOff>
      <xdr:row>2</xdr:row>
      <xdr:rowOff>90714</xdr:rowOff>
    </xdr:from>
    <xdr:to>
      <xdr:col>12</xdr:col>
      <xdr:colOff>1322962</xdr:colOff>
      <xdr:row>2</xdr:row>
      <xdr:rowOff>3794263</xdr:rowOff>
    </xdr:to>
    <xdr:pic>
      <xdr:nvPicPr>
        <xdr:cNvPr id="2" name="图片 1">
          <a:hlinkClick xmlns:r="http://schemas.openxmlformats.org/officeDocument/2006/relationships" r:id="rId1"/>
          <a:extLst>
            <a:ext uri="{FF2B5EF4-FFF2-40B4-BE49-F238E27FC236}">
              <a16:creationId xmlns:a16="http://schemas.microsoft.com/office/drawing/2014/main" id="{56B5D128-6EEE-0941-B202-3D89B6676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00574" y="1919514"/>
          <a:ext cx="7762188" cy="370354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821634</xdr:colOff>
      <xdr:row>12</xdr:row>
      <xdr:rowOff>41615</xdr:rowOff>
    </xdr:from>
    <xdr:to>
      <xdr:col>20</xdr:col>
      <xdr:colOff>1728034</xdr:colOff>
      <xdr:row>31</xdr:row>
      <xdr:rowOff>62459</xdr:rowOff>
    </xdr:to>
    <xdr:graphicFrame macro="">
      <xdr:nvGraphicFramePr>
        <xdr:cNvPr id="3" name="图表 2">
          <a:extLst>
            <a:ext uri="{FF2B5EF4-FFF2-40B4-BE49-F238E27FC236}">
              <a16:creationId xmlns:a16="http://schemas.microsoft.com/office/drawing/2014/main" id="{B863033C-51CB-D145-A29B-2FECB2F8B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198775</xdr:colOff>
      <xdr:row>6</xdr:row>
      <xdr:rowOff>26555</xdr:rowOff>
    </xdr:from>
    <xdr:to>
      <xdr:col>25</xdr:col>
      <xdr:colOff>727982</xdr:colOff>
      <xdr:row>23</xdr:row>
      <xdr:rowOff>203200</xdr:rowOff>
    </xdr:to>
    <xdr:graphicFrame macro="">
      <xdr:nvGraphicFramePr>
        <xdr:cNvPr id="2" name="图表 1">
          <a:extLst>
            <a:ext uri="{FF2B5EF4-FFF2-40B4-BE49-F238E27FC236}">
              <a16:creationId xmlns:a16="http://schemas.microsoft.com/office/drawing/2014/main" id="{63402A06-FE26-844D-8B7F-F47431F3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absoluteAnchor>
    <xdr:pos x="0" y="9525"/>
    <xdr:ext cx="8181975" cy="685039"/>
    <xdr:grpSp>
      <xdr:nvGrpSpPr>
        <xdr:cNvPr id="22" name="Group 1">
          <a:extLst>
            <a:ext uri="{FF2B5EF4-FFF2-40B4-BE49-F238E27FC236}">
              <a16:creationId xmlns:a16="http://schemas.microsoft.com/office/drawing/2014/main" id="{636CF37C-4494-374A-B68D-A62F1D2F3BA8}"/>
            </a:ext>
          </a:extLst>
        </xdr:cNvPr>
        <xdr:cNvGrpSpPr/>
      </xdr:nvGrpSpPr>
      <xdr:grpSpPr>
        <a:xfrm>
          <a:off x="0" y="9525"/>
          <a:ext cx="8181975" cy="685039"/>
          <a:chOff x="0" y="0"/>
          <a:chExt cx="8181975" cy="685039"/>
        </a:xfrm>
      </xdr:grpSpPr>
      <xdr:grpSp>
        <xdr:nvGrpSpPr>
          <xdr:cNvPr id="23" name="Group 2">
            <a:extLst>
              <a:ext uri="{FF2B5EF4-FFF2-40B4-BE49-F238E27FC236}">
                <a16:creationId xmlns:a16="http://schemas.microsoft.com/office/drawing/2014/main" id="{A8C28791-7B3E-3740-858A-F4F1089ECFB5}"/>
              </a:ext>
            </a:extLst>
          </xdr:cNvPr>
          <xdr:cNvGrpSpPr/>
        </xdr:nvGrpSpPr>
        <xdr:grpSpPr>
          <a:xfrm>
            <a:off x="0" y="0"/>
            <a:ext cx="8181975" cy="685039"/>
            <a:chOff x="0" y="0"/>
            <a:chExt cx="8229600" cy="685039"/>
          </a:xfrm>
        </xdr:grpSpPr>
        <xdr:grpSp>
          <xdr:nvGrpSpPr>
            <xdr:cNvPr id="26" name="Group 5">
              <a:extLst>
                <a:ext uri="{FF2B5EF4-FFF2-40B4-BE49-F238E27FC236}">
                  <a16:creationId xmlns:a16="http://schemas.microsoft.com/office/drawing/2014/main" id="{BE013B58-AE29-3846-A2CD-5B66C847BB34}"/>
                </a:ext>
              </a:extLst>
            </xdr:cNvPr>
            <xdr:cNvGrpSpPr/>
          </xdr:nvGrpSpPr>
          <xdr:grpSpPr>
            <a:xfrm>
              <a:off x="0" y="0"/>
              <a:ext cx="8229600" cy="685039"/>
              <a:chOff x="3047999" y="1447800"/>
              <a:chExt cx="6810705" cy="566928"/>
            </a:xfrm>
          </xdr:grpSpPr>
          <xdr:sp macro="" textlink="">
            <xdr:nvSpPr>
              <xdr:cNvPr id="30" name="BannerTitle">
                <a:extLst>
                  <a:ext uri="{FF2B5EF4-FFF2-40B4-BE49-F238E27FC236}">
                    <a16:creationId xmlns:a16="http://schemas.microsoft.com/office/drawing/2014/main" id="{C70BD79B-3543-7A4E-828B-42F7F714E234}"/>
                  </a:ext>
                </a:extLst>
              </xdr:cNvPr>
              <xdr:cNvSpPr>
                <a:spLocks noChangeArrowheads="1"/>
              </xdr:cNvSpPr>
            </xdr:nvSpPr>
            <xdr:spPr bwMode="auto">
              <a:xfrm>
                <a:off x="3047999" y="1447800"/>
                <a:ext cx="6810705" cy="566928"/>
              </a:xfrm>
              <a:prstGeom prst="rect">
                <a:avLst/>
              </a:prstGeom>
              <a:gradFill>
                <a:gsLst>
                  <a:gs pos="64000">
                    <a:srgbClr val="01723A">
                      <a:alpha val="98039"/>
                    </a:srgbClr>
                  </a:gs>
                  <a:gs pos="100000">
                    <a:srgbClr val="E7E6E6">
                      <a:alpha val="0"/>
                    </a:srgbClr>
                  </a:gs>
                </a:gsLst>
                <a:lin ang="0" scaled="0"/>
              </a:gradFill>
              <a:ln w="9525">
                <a:noFill/>
                <a:miter lim="800000"/>
                <a:headEnd/>
                <a:tailEnd/>
              </a:ln>
              <a:effectLst>
                <a:outerShdw blurRad="50800" dist="38100" dir="2700000" algn="tl" rotWithShape="0">
                  <a:prstClr val="black">
                    <a:alpha val="40000"/>
                  </a:prstClr>
                </a:outerShdw>
              </a:effectLst>
            </xdr:spPr>
            <xdr:txBody>
              <a:bodyPr vertOverflow="clip" wrap="square" lIns="54864" tIns="50292" rIns="54864" bIns="50292" numCol="2" anchor="t" upright="1"/>
              <a:lstStyle/>
              <a:p>
                <a:pPr marL="457200" marR="0" lvl="1" indent="0" algn="l" defTabSz="914400" rtl="0" eaLnBrk="1" fontAlgn="auto" latinLnBrk="0" hangingPunct="1">
                  <a:lnSpc>
                    <a:spcPct val="100000"/>
                  </a:lnSpc>
                  <a:spcBef>
                    <a:spcPts val="0"/>
                  </a:spcBef>
                  <a:spcAft>
                    <a:spcPts val="0"/>
                  </a:spcAft>
                  <a:buClrTx/>
                  <a:buSzTx/>
                  <a:buFontTx/>
                  <a:buNone/>
                  <a:tabLst/>
                  <a:defRPr sz="1000"/>
                </a:pPr>
                <a:r>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rPr>
                  <a:t>Coinmarketcap Dashboard</a:t>
                </a:r>
                <a:br>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rPr>
                </a:br>
                <a:r>
                  <a:rPr lang="en-US" sz="1000" b="0" i="0" baseline="0">
                    <a:solidFill>
                      <a:schemeClr val="bg1"/>
                    </a:solidFill>
                    <a:effectLst>
                      <a:outerShdw blurRad="50800" dist="38100" dir="2700000" algn="tl" rotWithShape="0">
                        <a:srgbClr val="000000">
                          <a:alpha val="40000"/>
                        </a:srgbClr>
                      </a:outerShdw>
                    </a:effectLst>
                    <a:latin typeface="+mn-lt"/>
                    <a:ea typeface="+mn-ea"/>
                    <a:cs typeface="+mn-cs"/>
                  </a:rPr>
                  <a:t>Coinmarketcap (get front page)</a:t>
                </a:r>
                <a:r>
                  <a:rPr lang="en-US" sz="1000" b="1" i="0" baseline="0">
                    <a:solidFill>
                      <a:schemeClr val="bg1"/>
                    </a:solidFill>
                    <a:effectLst>
                      <a:outerShdw blurRad="50800" dist="38100" dir="2700000" algn="tl" rotWithShape="0">
                        <a:srgbClr val="000000">
                          <a:alpha val="40000"/>
                        </a:srgbClr>
                      </a:outerShdw>
                    </a:effectLst>
                    <a:latin typeface="+mn-lt"/>
                    <a:ea typeface="+mn-ea"/>
                    <a:cs typeface="+mn-cs"/>
                  </a:rPr>
                  <a:t> </a:t>
                </a:r>
                <a:endParaRPr lang="en-US" sz="2400">
                  <a:solidFill>
                    <a:schemeClr val="bg1"/>
                  </a:solidFill>
                  <a:effectLst/>
                </a:endParaRPr>
              </a:p>
              <a:p>
                <a:pPr lvl="1" algn="l" rtl="0">
                  <a:defRPr sz="1000"/>
                </a:pPr>
                <a:br>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rPr>
                </a:br>
                <a:endPar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endParaRPr>
              </a:p>
            </xdr:txBody>
          </xdr:sp>
          <xdr:pic>
            <xdr:nvPicPr>
              <xdr:cNvPr id="31" name="Picture 10">
                <a:hlinkClick xmlns:r="http://schemas.openxmlformats.org/officeDocument/2006/relationships" r:id="rId1"/>
                <a:extLst>
                  <a:ext uri="{FF2B5EF4-FFF2-40B4-BE49-F238E27FC236}">
                    <a16:creationId xmlns:a16="http://schemas.microsoft.com/office/drawing/2014/main" id="{63EB71FB-2903-B44A-9F93-CAAEA3988182}"/>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100000" contrast="95000"/>
                        </a14:imgEffect>
                      </a14:imgLayer>
                    </a14:imgProps>
                  </a:ext>
                  <a:ext uri="{28A0092B-C50C-407E-A947-70E740481C1C}">
                    <a14:useLocalDpi xmlns:a14="http://schemas.microsoft.com/office/drawing/2010/main" val="0"/>
                  </a:ext>
                </a:extLst>
              </a:blip>
              <a:srcRect/>
              <a:stretch>
                <a:fillRect/>
              </a:stretch>
            </xdr:blipFill>
            <xdr:spPr bwMode="auto">
              <a:xfrm>
                <a:off x="3134709" y="1535216"/>
                <a:ext cx="271205" cy="311885"/>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grpSp>
        <xdr:grpSp>
          <xdr:nvGrpSpPr>
            <xdr:cNvPr id="27" name="Group 6">
              <a:extLst>
                <a:ext uri="{FF2B5EF4-FFF2-40B4-BE49-F238E27FC236}">
                  <a16:creationId xmlns:a16="http://schemas.microsoft.com/office/drawing/2014/main" id="{D1FD120D-ED7E-7A49-9701-B02856AF8F2D}"/>
                </a:ext>
              </a:extLst>
            </xdr:cNvPr>
            <xdr:cNvGrpSpPr/>
          </xdr:nvGrpSpPr>
          <xdr:grpSpPr>
            <a:xfrm>
              <a:off x="7039501" y="438143"/>
              <a:ext cx="390928" cy="184403"/>
              <a:chOff x="12775795" y="1782949"/>
              <a:chExt cx="367011" cy="173122"/>
            </a:xfrm>
          </xdr:grpSpPr>
          <xdr:pic>
            <xdr:nvPicPr>
              <xdr:cNvPr id="28" name="Picture 7">
                <a:hlinkClick xmlns:r="http://schemas.openxmlformats.org/officeDocument/2006/relationships" r:id="rId4"/>
                <a:extLst>
                  <a:ext uri="{FF2B5EF4-FFF2-40B4-BE49-F238E27FC236}">
                    <a16:creationId xmlns:a16="http://schemas.microsoft.com/office/drawing/2014/main" id="{36AE288D-6ED6-5248-B4CA-722EE9228A8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12969684" y="1782949"/>
                <a:ext cx="173122" cy="173122"/>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pic>
            <xdr:nvPicPr>
              <xdr:cNvPr id="29" name="Picture 8">
                <a:hlinkClick xmlns:r="http://schemas.openxmlformats.org/officeDocument/2006/relationships" r:id="rId6"/>
                <a:extLst>
                  <a:ext uri="{FF2B5EF4-FFF2-40B4-BE49-F238E27FC236}">
                    <a16:creationId xmlns:a16="http://schemas.microsoft.com/office/drawing/2014/main" id="{B3592BA5-48D1-174E-A018-15690F0A11A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75795" y="1797739"/>
                <a:ext cx="137160" cy="137160"/>
              </a:xfrm>
              <a:prstGeom prst="rect">
                <a:avLst/>
              </a:prstGeom>
              <a:effectLst>
                <a:outerShdw blurRad="50800" dist="38100" dir="2700000" algn="tl" rotWithShape="0">
                  <a:prstClr val="black">
                    <a:alpha val="40000"/>
                  </a:prstClr>
                </a:outerShdw>
              </a:effectLst>
            </xdr:spPr>
          </xdr:pic>
        </xdr:grpSp>
      </xdr:grpSp>
      <xdr:sp macro="" textlink="">
        <xdr:nvSpPr>
          <xdr:cNvPr id="24" name="Graphic 9">
            <a:hlinkClick xmlns:r="http://schemas.openxmlformats.org/officeDocument/2006/relationships" r:id="rId8"/>
            <a:extLst>
              <a:ext uri="{FF2B5EF4-FFF2-40B4-BE49-F238E27FC236}">
                <a16:creationId xmlns:a16="http://schemas.microsoft.com/office/drawing/2014/main" id="{841AB153-B129-2D4A-A32E-CA6F5E0B7F1E}"/>
              </a:ext>
            </a:extLst>
          </xdr:cNvPr>
          <xdr:cNvSpPr/>
        </xdr:nvSpPr>
        <xdr:spPr>
          <a:xfrm>
            <a:off x="6781020" y="470735"/>
            <a:ext cx="149734" cy="120730"/>
          </a:xfrm>
          <a:custGeom>
            <a:avLst/>
            <a:gdLst>
              <a:gd name="connsiteX0" fmla="*/ 149734 w 149734"/>
              <a:gd name="connsiteY0" fmla="*/ 14341 h 120730"/>
              <a:gd name="connsiteX1" fmla="*/ 132063 w 149734"/>
              <a:gd name="connsiteY1" fmla="*/ 19056 h 120730"/>
              <a:gd name="connsiteX2" fmla="*/ 145559 w 149734"/>
              <a:gd name="connsiteY2" fmla="*/ 2268 h 120730"/>
              <a:gd name="connsiteX3" fmla="*/ 126089 w 149734"/>
              <a:gd name="connsiteY3" fmla="*/ 9626 h 120730"/>
              <a:gd name="connsiteX4" fmla="*/ 103668 w 149734"/>
              <a:gd name="connsiteY4" fmla="*/ 0 h 120730"/>
              <a:gd name="connsiteX5" fmla="*/ 72987 w 149734"/>
              <a:gd name="connsiteY5" fmla="*/ 30468 h 120730"/>
              <a:gd name="connsiteX6" fmla="*/ 73742 w 149734"/>
              <a:gd name="connsiteY6" fmla="*/ 37451 h 120730"/>
              <a:gd name="connsiteX7" fmla="*/ 10473 w 149734"/>
              <a:gd name="connsiteY7" fmla="*/ 5572 h 120730"/>
              <a:gd name="connsiteX8" fmla="*/ 6298 w 149734"/>
              <a:gd name="connsiteY8" fmla="*/ 20949 h 120730"/>
              <a:gd name="connsiteX9" fmla="*/ 19974 w 149734"/>
              <a:gd name="connsiteY9" fmla="*/ 46328 h 120730"/>
              <a:gd name="connsiteX10" fmla="*/ 6100 w 149734"/>
              <a:gd name="connsiteY10" fmla="*/ 42452 h 120730"/>
              <a:gd name="connsiteX11" fmla="*/ 6100 w 149734"/>
              <a:gd name="connsiteY11" fmla="*/ 42827 h 120730"/>
              <a:gd name="connsiteX12" fmla="*/ 30699 w 149734"/>
              <a:gd name="connsiteY12" fmla="*/ 72724 h 120730"/>
              <a:gd name="connsiteX13" fmla="*/ 22619 w 149734"/>
              <a:gd name="connsiteY13" fmla="*/ 73760 h 120730"/>
              <a:gd name="connsiteX14" fmla="*/ 16825 w 149734"/>
              <a:gd name="connsiteY14" fmla="*/ 73295 h 120730"/>
              <a:gd name="connsiteX15" fmla="*/ 45509 w 149734"/>
              <a:gd name="connsiteY15" fmla="*/ 94423 h 120730"/>
              <a:gd name="connsiteX16" fmla="*/ 7414 w 149734"/>
              <a:gd name="connsiteY16" fmla="*/ 107443 h 120730"/>
              <a:gd name="connsiteX17" fmla="*/ 0 w 149734"/>
              <a:gd name="connsiteY17" fmla="*/ 107068 h 120730"/>
              <a:gd name="connsiteX18" fmla="*/ 47128 w 149734"/>
              <a:gd name="connsiteY18" fmla="*/ 120730 h 120730"/>
              <a:gd name="connsiteX19" fmla="*/ 134439 w 149734"/>
              <a:gd name="connsiteY19" fmla="*/ 34058 h 120730"/>
              <a:gd name="connsiteX20" fmla="*/ 134349 w 149734"/>
              <a:gd name="connsiteY20" fmla="*/ 30093 h 120730"/>
              <a:gd name="connsiteX21" fmla="*/ 149734 w 149734"/>
              <a:gd name="connsiteY21" fmla="*/ 14341 h 12073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149734" h="120730">
                <a:moveTo>
                  <a:pt x="149734" y="14341"/>
                </a:moveTo>
                <a:cubicBezTo>
                  <a:pt x="144228" y="16699"/>
                  <a:pt x="138235" y="18395"/>
                  <a:pt x="132063" y="19056"/>
                </a:cubicBezTo>
                <a:cubicBezTo>
                  <a:pt x="138471" y="15278"/>
                  <a:pt x="143270" y="9308"/>
                  <a:pt x="145559" y="2268"/>
                </a:cubicBezTo>
                <a:cubicBezTo>
                  <a:pt x="139546" y="5819"/>
                  <a:pt x="132959" y="8308"/>
                  <a:pt x="126089" y="9626"/>
                </a:cubicBezTo>
                <a:cubicBezTo>
                  <a:pt x="120285" y="3468"/>
                  <a:pt x="112164" y="-19"/>
                  <a:pt x="103668" y="0"/>
                </a:cubicBezTo>
                <a:cubicBezTo>
                  <a:pt x="86663" y="0"/>
                  <a:pt x="72987" y="13680"/>
                  <a:pt x="72987" y="30468"/>
                </a:cubicBezTo>
                <a:cubicBezTo>
                  <a:pt x="72987" y="32826"/>
                  <a:pt x="73275" y="35183"/>
                  <a:pt x="73742" y="37451"/>
                </a:cubicBezTo>
                <a:cubicBezTo>
                  <a:pt x="48280" y="36130"/>
                  <a:pt x="25571" y="24057"/>
                  <a:pt x="10473" y="5572"/>
                </a:cubicBezTo>
                <a:cubicBezTo>
                  <a:pt x="7722" y="10236"/>
                  <a:pt x="6280" y="15545"/>
                  <a:pt x="6298" y="20949"/>
                </a:cubicBezTo>
                <a:cubicBezTo>
                  <a:pt x="6298" y="31522"/>
                  <a:pt x="11715" y="40845"/>
                  <a:pt x="19974" y="46328"/>
                </a:cubicBezTo>
                <a:cubicBezTo>
                  <a:pt x="15107" y="46137"/>
                  <a:pt x="10353" y="44809"/>
                  <a:pt x="6100" y="42452"/>
                </a:cubicBezTo>
                <a:lnTo>
                  <a:pt x="6100" y="42827"/>
                </a:lnTo>
                <a:cubicBezTo>
                  <a:pt x="6100" y="57633"/>
                  <a:pt x="16645" y="69902"/>
                  <a:pt x="30699" y="72724"/>
                </a:cubicBezTo>
                <a:cubicBezTo>
                  <a:pt x="28060" y="73404"/>
                  <a:pt x="25346" y="73752"/>
                  <a:pt x="22619" y="73760"/>
                </a:cubicBezTo>
                <a:cubicBezTo>
                  <a:pt x="20622" y="73760"/>
                  <a:pt x="18733" y="73563"/>
                  <a:pt x="16825" y="73295"/>
                </a:cubicBezTo>
                <a:cubicBezTo>
                  <a:pt x="20712" y="85368"/>
                  <a:pt x="32031" y="94137"/>
                  <a:pt x="45509" y="94423"/>
                </a:cubicBezTo>
                <a:cubicBezTo>
                  <a:pt x="34964" y="102621"/>
                  <a:pt x="21756" y="107443"/>
                  <a:pt x="7414" y="107443"/>
                </a:cubicBezTo>
                <a:cubicBezTo>
                  <a:pt x="4841" y="107443"/>
                  <a:pt x="2465" y="107353"/>
                  <a:pt x="0" y="107068"/>
                </a:cubicBezTo>
                <a:cubicBezTo>
                  <a:pt x="13604" y="115729"/>
                  <a:pt x="29745" y="120730"/>
                  <a:pt x="47128" y="120730"/>
                </a:cubicBezTo>
                <a:cubicBezTo>
                  <a:pt x="103560" y="120730"/>
                  <a:pt x="134439" y="74331"/>
                  <a:pt x="134439" y="34058"/>
                </a:cubicBezTo>
                <a:cubicBezTo>
                  <a:pt x="134439" y="32736"/>
                  <a:pt x="134439" y="31415"/>
                  <a:pt x="134349" y="30093"/>
                </a:cubicBezTo>
                <a:cubicBezTo>
                  <a:pt x="140323" y="25753"/>
                  <a:pt x="145559" y="20378"/>
                  <a:pt x="149734" y="14341"/>
                </a:cubicBezTo>
                <a:close/>
              </a:path>
            </a:pathLst>
          </a:custGeom>
          <a:solidFill>
            <a:schemeClr val="bg1"/>
          </a:solidFill>
          <a:ln w="186" cap="flat">
            <a:noFill/>
            <a:prstDash val="solid"/>
            <a:miter/>
          </a:ln>
          <a:effectLst>
            <a:outerShdw blurRad="50800" dist="38100" dir="2700000" algn="tl" rotWithShape="0">
              <a:prstClr val="black">
                <a:alpha val="40000"/>
              </a:prstClr>
            </a:outerShdw>
          </a:effectLst>
        </xdr:spPr>
        <xdr:txBody>
          <a:bodyPr rtlCol="0" anchor="ctr"/>
          <a:lstStyle/>
          <a:p>
            <a:endParaRPr lang="en-US"/>
          </a:p>
        </xdr:txBody>
      </xdr:sp>
      <xdr:pic>
        <xdr:nvPicPr>
          <xdr:cNvPr id="25" name="Graphic 4" descr="Share">
            <a:hlinkClick xmlns:r="http://schemas.openxmlformats.org/officeDocument/2006/relationships" r:id="rId9"/>
            <a:extLst>
              <a:ext uri="{FF2B5EF4-FFF2-40B4-BE49-F238E27FC236}">
                <a16:creationId xmlns:a16="http://schemas.microsoft.com/office/drawing/2014/main" id="{57806293-2AB4-FB4E-8343-8EDA8A59773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441868" y="439666"/>
            <a:ext cx="182880" cy="182880"/>
          </a:xfrm>
          <a:prstGeom prst="rect">
            <a:avLst/>
          </a:prstGeom>
          <a:effectLst>
            <a:outerShdw blurRad="50800" dist="38100" dir="2700000" algn="tl" rotWithShape="0">
              <a:prstClr val="black">
                <a:alpha val="40000"/>
              </a:prstClr>
            </a:outerShdw>
          </a:effectLst>
        </xdr:spPr>
      </xdr:pic>
    </xdr:grpSp>
    <xdr:clientData/>
  </xdr:absoluteAnchor>
</xdr:wsDr>
</file>

<file path=xl/drawings/drawing13.xml><?xml version="1.0" encoding="utf-8"?>
<xdr:wsDr xmlns:xdr="http://schemas.openxmlformats.org/drawingml/2006/spreadsheetDrawing" xmlns:a="http://schemas.openxmlformats.org/drawingml/2006/main">
  <xdr:absoluteAnchor>
    <xdr:pos x="11206" y="0"/>
    <xdr:ext cx="8236544" cy="739588"/>
    <xdr:sp macro="" textlink="#REF!">
      <xdr:nvSpPr>
        <xdr:cNvPr id="5" name="BannerTitle">
          <a:extLst>
            <a:ext uri="{FF2B5EF4-FFF2-40B4-BE49-F238E27FC236}">
              <a16:creationId xmlns:a16="http://schemas.microsoft.com/office/drawing/2014/main" id="{23111BA0-7C4D-D44D-838C-C563DE1B01BF}"/>
            </a:ext>
          </a:extLst>
        </xdr:cNvPr>
        <xdr:cNvSpPr>
          <a:spLocks noChangeAspect="1" noChangeArrowheads="1"/>
        </xdr:cNvSpPr>
      </xdr:nvSpPr>
      <xdr:spPr bwMode="auto">
        <a:xfrm>
          <a:off x="11206" y="0"/>
          <a:ext cx="8236544" cy="739588"/>
        </a:xfrm>
        <a:prstGeom prst="rect">
          <a:avLst/>
        </a:prstGeom>
        <a:gradFill>
          <a:gsLst>
            <a:gs pos="64000">
              <a:srgbClr val="01723A">
                <a:alpha val="98039"/>
              </a:srgbClr>
            </a:gs>
            <a:gs pos="100000">
              <a:srgbClr val="E7E6E6">
                <a:alpha val="0"/>
              </a:srgbClr>
            </a:gs>
          </a:gsLst>
          <a:lin ang="0" scaled="0"/>
        </a:gradFill>
        <a:ln w="9525">
          <a:noFill/>
          <a:miter lim="800000"/>
          <a:headEnd/>
          <a:tailEnd/>
        </a:ln>
        <a:effectLst>
          <a:outerShdw blurRad="50800" dist="38100" dir="2700000" algn="tl" rotWithShape="0">
            <a:prstClr val="black">
              <a:alpha val="40000"/>
            </a:prstClr>
          </a:outerShdw>
        </a:effectLst>
      </xdr:spPr>
      <xdr:txBody>
        <a:bodyPr vertOverflow="clip" wrap="none" lIns="54864" tIns="50292" rIns="54864" bIns="50292" numCol="1" anchor="t" upright="1"/>
        <a:lstStyle/>
        <a:p>
          <a:pPr lvl="1" algn="l" rtl="0">
            <a:defRPr sz="1000"/>
          </a:pPr>
          <a:fld id="{BA594CAD-CA7C-4019-BE68-9C550BB47069}" type="TxLink">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rPr>
            <a:pPr lvl="1" algn="l" rtl="0">
              <a:defRPr sz="1000"/>
            </a:pPr>
            <a:t>Crypto Exchange Rankings Dashboard</a:t>
          </a:fld>
          <a:endPar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endParaRPr>
        </a:p>
      </xdr:txBody>
    </xdr:sp>
    <xdr:clientData/>
  </xdr:absoluteAnchor>
  <xdr:absoluteAnchor>
    <xdr:pos x="29898" y="405417"/>
    <xdr:ext cx="8236544" cy="261344"/>
    <xdr:sp macro="" textlink="#REF!">
      <xdr:nvSpPr>
        <xdr:cNvPr id="6" name="BannerTitle">
          <a:extLst>
            <a:ext uri="{FF2B5EF4-FFF2-40B4-BE49-F238E27FC236}">
              <a16:creationId xmlns:a16="http://schemas.microsoft.com/office/drawing/2014/main" id="{7F2F7993-B0C6-224B-A23F-4C2C17930D43}"/>
            </a:ext>
          </a:extLst>
        </xdr:cNvPr>
        <xdr:cNvSpPr>
          <a:spLocks noChangeArrowheads="1"/>
        </xdr:cNvSpPr>
      </xdr:nvSpPr>
      <xdr:spPr bwMode="auto">
        <a:xfrm>
          <a:off x="29898" y="405417"/>
          <a:ext cx="8236544" cy="261344"/>
        </a:xfrm>
        <a:prstGeom prst="rect">
          <a:avLst/>
        </a:prstGeom>
        <a:noFill/>
        <a:ln w="9525">
          <a:noFill/>
          <a:miter lim="800000"/>
          <a:headEnd/>
          <a:tailEnd/>
        </a:ln>
        <a:effectLst>
          <a:outerShdw blurRad="50800" dist="38100" dir="2700000" algn="tl" rotWithShape="0">
            <a:prstClr val="black">
              <a:alpha val="40000"/>
            </a:prstClr>
          </a:outerShdw>
        </a:effectLst>
      </xdr:spPr>
      <xdr:txBody>
        <a:bodyPr vertOverflow="clip" wrap="square" lIns="54864" tIns="50292" rIns="54864" bIns="50292" numCol="2" anchor="t" upright="1"/>
        <a:lstStyle/>
        <a:p>
          <a:pPr lvl="1" algn="l" rtl="0">
            <a:defRPr sz="1000"/>
          </a:pPr>
          <a:fld id="{B97539E1-77C1-46AB-A165-84FC24D05F3C}" type="TxLink">
            <a:rPr lang="en-US" sz="1050" b="0"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Arial"/>
              <a:ea typeface="Roboto" panose="02000000000000000000" pitchFamily="2" charset="0"/>
              <a:cs typeface="Arial"/>
            </a:rPr>
            <a:pPr lvl="1" algn="l" rtl="0">
              <a:defRPr sz="1000"/>
            </a:pPr>
            <a:t> Exchanges (Coingecko)</a:t>
          </a:fld>
          <a:endParaRPr lang="en-US" sz="105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endParaRPr>
        </a:p>
      </xdr:txBody>
    </xdr:sp>
    <xdr:clientData/>
  </xdr:absoluteAnchor>
  <xdr:absoluteAnchor>
    <xdr:pos x="91083" y="167157"/>
    <xdr:ext cx="328115" cy="386928"/>
    <xdr:pic>
      <xdr:nvPicPr>
        <xdr:cNvPr id="7" name="Picture 3">
          <a:hlinkClick xmlns:r="http://schemas.openxmlformats.org/officeDocument/2006/relationships" r:id="rId1"/>
          <a:extLst>
            <a:ext uri="{FF2B5EF4-FFF2-40B4-BE49-F238E27FC236}">
              <a16:creationId xmlns:a16="http://schemas.microsoft.com/office/drawing/2014/main" id="{C19675FC-B5C9-4645-B0C6-58FCC43A308E}"/>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100000" contrast="95000"/>
                  </a14:imgEffect>
                </a14:imgLayer>
              </a14:imgProps>
            </a:ext>
            <a:ext uri="{28A0092B-C50C-407E-A947-70E740481C1C}">
              <a14:useLocalDpi xmlns:a14="http://schemas.microsoft.com/office/drawing/2010/main" val="0"/>
            </a:ext>
          </a:extLst>
        </a:blip>
        <a:srcRect/>
        <a:stretch>
          <a:fillRect/>
        </a:stretch>
      </xdr:blipFill>
      <xdr:spPr bwMode="auto">
        <a:xfrm>
          <a:off x="91083" y="167157"/>
          <a:ext cx="328115" cy="386928"/>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absoluteAnchor>
  <xdr:absoluteAnchor>
    <xdr:pos x="5985643" y="456260"/>
    <xdr:ext cx="849697" cy="189328"/>
    <xdr:grpSp>
      <xdr:nvGrpSpPr>
        <xdr:cNvPr id="8" name="Group 6">
          <a:extLst>
            <a:ext uri="{FF2B5EF4-FFF2-40B4-BE49-F238E27FC236}">
              <a16:creationId xmlns:a16="http://schemas.microsoft.com/office/drawing/2014/main" id="{F46B5707-72D5-A642-8D37-AABAAD6664B2}"/>
            </a:ext>
          </a:extLst>
        </xdr:cNvPr>
        <xdr:cNvGrpSpPr/>
      </xdr:nvGrpSpPr>
      <xdr:grpSpPr>
        <a:xfrm>
          <a:off x="5985643" y="456260"/>
          <a:ext cx="849697" cy="189328"/>
          <a:chOff x="8534400" y="2152650"/>
          <a:chExt cx="843728" cy="184403"/>
        </a:xfrm>
      </xdr:grpSpPr>
      <xdr:grpSp>
        <xdr:nvGrpSpPr>
          <xdr:cNvPr id="9" name="Group 7">
            <a:extLst>
              <a:ext uri="{FF2B5EF4-FFF2-40B4-BE49-F238E27FC236}">
                <a16:creationId xmlns:a16="http://schemas.microsoft.com/office/drawing/2014/main" id="{2301B318-A705-5C44-ABF9-3B6870276BE9}"/>
              </a:ext>
            </a:extLst>
          </xdr:cNvPr>
          <xdr:cNvGrpSpPr/>
        </xdr:nvGrpSpPr>
        <xdr:grpSpPr>
          <a:xfrm>
            <a:off x="8752143" y="2152650"/>
            <a:ext cx="388666" cy="184403"/>
            <a:chOff x="12775795" y="1782949"/>
            <a:chExt cx="367011" cy="173122"/>
          </a:xfrm>
        </xdr:grpSpPr>
        <xdr:pic>
          <xdr:nvPicPr>
            <xdr:cNvPr id="12" name="Picture 10">
              <a:hlinkClick xmlns:r="http://schemas.openxmlformats.org/officeDocument/2006/relationships" r:id="rId4"/>
              <a:extLst>
                <a:ext uri="{FF2B5EF4-FFF2-40B4-BE49-F238E27FC236}">
                  <a16:creationId xmlns:a16="http://schemas.microsoft.com/office/drawing/2014/main" id="{E18A9520-9546-304E-B1EB-9330AFB1E86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12969684" y="1782949"/>
              <a:ext cx="173122" cy="173122"/>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pic>
          <xdr:nvPicPr>
            <xdr:cNvPr id="13" name="Picture 11">
              <a:hlinkClick xmlns:r="http://schemas.openxmlformats.org/officeDocument/2006/relationships" r:id="rId6"/>
              <a:extLst>
                <a:ext uri="{FF2B5EF4-FFF2-40B4-BE49-F238E27FC236}">
                  <a16:creationId xmlns:a16="http://schemas.microsoft.com/office/drawing/2014/main" id="{3EE8470C-8D9B-2B41-94EE-953D5492FE8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75795" y="1797739"/>
              <a:ext cx="137160" cy="137160"/>
            </a:xfrm>
            <a:prstGeom prst="rect">
              <a:avLst/>
            </a:prstGeom>
            <a:effectLst>
              <a:outerShdw blurRad="50800" dist="38100" dir="2700000" algn="tl" rotWithShape="0">
                <a:prstClr val="black">
                  <a:alpha val="40000"/>
                </a:prstClr>
              </a:outerShdw>
            </a:effectLst>
          </xdr:spPr>
        </xdr:pic>
      </xdr:grpSp>
      <xdr:sp macro="" textlink="">
        <xdr:nvSpPr>
          <xdr:cNvPr id="10" name="Graphic 9">
            <a:hlinkClick xmlns:r="http://schemas.openxmlformats.org/officeDocument/2006/relationships" r:id="rId8"/>
            <a:extLst>
              <a:ext uri="{FF2B5EF4-FFF2-40B4-BE49-F238E27FC236}">
                <a16:creationId xmlns:a16="http://schemas.microsoft.com/office/drawing/2014/main" id="{4210B3AA-DFC5-8B46-A02E-9966A64AAF9D}"/>
              </a:ext>
            </a:extLst>
          </xdr:cNvPr>
          <xdr:cNvSpPr>
            <a:spLocks noChangeAspect="1"/>
          </xdr:cNvSpPr>
        </xdr:nvSpPr>
        <xdr:spPr>
          <a:xfrm>
            <a:off x="8534400" y="2185242"/>
            <a:ext cx="149734" cy="120730"/>
          </a:xfrm>
          <a:custGeom>
            <a:avLst/>
            <a:gdLst>
              <a:gd name="connsiteX0" fmla="*/ 149734 w 149734"/>
              <a:gd name="connsiteY0" fmla="*/ 14341 h 120730"/>
              <a:gd name="connsiteX1" fmla="*/ 132063 w 149734"/>
              <a:gd name="connsiteY1" fmla="*/ 19056 h 120730"/>
              <a:gd name="connsiteX2" fmla="*/ 145559 w 149734"/>
              <a:gd name="connsiteY2" fmla="*/ 2268 h 120730"/>
              <a:gd name="connsiteX3" fmla="*/ 126089 w 149734"/>
              <a:gd name="connsiteY3" fmla="*/ 9626 h 120730"/>
              <a:gd name="connsiteX4" fmla="*/ 103668 w 149734"/>
              <a:gd name="connsiteY4" fmla="*/ 0 h 120730"/>
              <a:gd name="connsiteX5" fmla="*/ 72987 w 149734"/>
              <a:gd name="connsiteY5" fmla="*/ 30468 h 120730"/>
              <a:gd name="connsiteX6" fmla="*/ 73742 w 149734"/>
              <a:gd name="connsiteY6" fmla="*/ 37451 h 120730"/>
              <a:gd name="connsiteX7" fmla="*/ 10473 w 149734"/>
              <a:gd name="connsiteY7" fmla="*/ 5572 h 120730"/>
              <a:gd name="connsiteX8" fmla="*/ 6298 w 149734"/>
              <a:gd name="connsiteY8" fmla="*/ 20949 h 120730"/>
              <a:gd name="connsiteX9" fmla="*/ 19974 w 149734"/>
              <a:gd name="connsiteY9" fmla="*/ 46328 h 120730"/>
              <a:gd name="connsiteX10" fmla="*/ 6100 w 149734"/>
              <a:gd name="connsiteY10" fmla="*/ 42452 h 120730"/>
              <a:gd name="connsiteX11" fmla="*/ 6100 w 149734"/>
              <a:gd name="connsiteY11" fmla="*/ 42827 h 120730"/>
              <a:gd name="connsiteX12" fmla="*/ 30699 w 149734"/>
              <a:gd name="connsiteY12" fmla="*/ 72724 h 120730"/>
              <a:gd name="connsiteX13" fmla="*/ 22619 w 149734"/>
              <a:gd name="connsiteY13" fmla="*/ 73760 h 120730"/>
              <a:gd name="connsiteX14" fmla="*/ 16825 w 149734"/>
              <a:gd name="connsiteY14" fmla="*/ 73295 h 120730"/>
              <a:gd name="connsiteX15" fmla="*/ 45509 w 149734"/>
              <a:gd name="connsiteY15" fmla="*/ 94423 h 120730"/>
              <a:gd name="connsiteX16" fmla="*/ 7414 w 149734"/>
              <a:gd name="connsiteY16" fmla="*/ 107443 h 120730"/>
              <a:gd name="connsiteX17" fmla="*/ 0 w 149734"/>
              <a:gd name="connsiteY17" fmla="*/ 107068 h 120730"/>
              <a:gd name="connsiteX18" fmla="*/ 47128 w 149734"/>
              <a:gd name="connsiteY18" fmla="*/ 120730 h 120730"/>
              <a:gd name="connsiteX19" fmla="*/ 134439 w 149734"/>
              <a:gd name="connsiteY19" fmla="*/ 34058 h 120730"/>
              <a:gd name="connsiteX20" fmla="*/ 134349 w 149734"/>
              <a:gd name="connsiteY20" fmla="*/ 30093 h 120730"/>
              <a:gd name="connsiteX21" fmla="*/ 149734 w 149734"/>
              <a:gd name="connsiteY21" fmla="*/ 14341 h 12073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149734" h="120730">
                <a:moveTo>
                  <a:pt x="149734" y="14341"/>
                </a:moveTo>
                <a:cubicBezTo>
                  <a:pt x="144228" y="16699"/>
                  <a:pt x="138235" y="18395"/>
                  <a:pt x="132063" y="19056"/>
                </a:cubicBezTo>
                <a:cubicBezTo>
                  <a:pt x="138471" y="15278"/>
                  <a:pt x="143270" y="9308"/>
                  <a:pt x="145559" y="2268"/>
                </a:cubicBezTo>
                <a:cubicBezTo>
                  <a:pt x="139546" y="5819"/>
                  <a:pt x="132959" y="8308"/>
                  <a:pt x="126089" y="9626"/>
                </a:cubicBezTo>
                <a:cubicBezTo>
                  <a:pt x="120285" y="3468"/>
                  <a:pt x="112164" y="-19"/>
                  <a:pt x="103668" y="0"/>
                </a:cubicBezTo>
                <a:cubicBezTo>
                  <a:pt x="86663" y="0"/>
                  <a:pt x="72987" y="13680"/>
                  <a:pt x="72987" y="30468"/>
                </a:cubicBezTo>
                <a:cubicBezTo>
                  <a:pt x="72987" y="32826"/>
                  <a:pt x="73275" y="35183"/>
                  <a:pt x="73742" y="37451"/>
                </a:cubicBezTo>
                <a:cubicBezTo>
                  <a:pt x="48280" y="36130"/>
                  <a:pt x="25571" y="24057"/>
                  <a:pt x="10473" y="5572"/>
                </a:cubicBezTo>
                <a:cubicBezTo>
                  <a:pt x="7722" y="10236"/>
                  <a:pt x="6280" y="15545"/>
                  <a:pt x="6298" y="20949"/>
                </a:cubicBezTo>
                <a:cubicBezTo>
                  <a:pt x="6298" y="31522"/>
                  <a:pt x="11715" y="40845"/>
                  <a:pt x="19974" y="46328"/>
                </a:cubicBezTo>
                <a:cubicBezTo>
                  <a:pt x="15107" y="46137"/>
                  <a:pt x="10353" y="44809"/>
                  <a:pt x="6100" y="42452"/>
                </a:cubicBezTo>
                <a:lnTo>
                  <a:pt x="6100" y="42827"/>
                </a:lnTo>
                <a:cubicBezTo>
                  <a:pt x="6100" y="57633"/>
                  <a:pt x="16645" y="69902"/>
                  <a:pt x="30699" y="72724"/>
                </a:cubicBezTo>
                <a:cubicBezTo>
                  <a:pt x="28060" y="73404"/>
                  <a:pt x="25346" y="73752"/>
                  <a:pt x="22619" y="73760"/>
                </a:cubicBezTo>
                <a:cubicBezTo>
                  <a:pt x="20622" y="73760"/>
                  <a:pt x="18733" y="73563"/>
                  <a:pt x="16825" y="73295"/>
                </a:cubicBezTo>
                <a:cubicBezTo>
                  <a:pt x="20712" y="85368"/>
                  <a:pt x="32031" y="94137"/>
                  <a:pt x="45509" y="94423"/>
                </a:cubicBezTo>
                <a:cubicBezTo>
                  <a:pt x="34964" y="102621"/>
                  <a:pt x="21756" y="107443"/>
                  <a:pt x="7414" y="107443"/>
                </a:cubicBezTo>
                <a:cubicBezTo>
                  <a:pt x="4841" y="107443"/>
                  <a:pt x="2465" y="107353"/>
                  <a:pt x="0" y="107068"/>
                </a:cubicBezTo>
                <a:cubicBezTo>
                  <a:pt x="13604" y="115729"/>
                  <a:pt x="29745" y="120730"/>
                  <a:pt x="47128" y="120730"/>
                </a:cubicBezTo>
                <a:cubicBezTo>
                  <a:pt x="103560" y="120730"/>
                  <a:pt x="134439" y="74331"/>
                  <a:pt x="134439" y="34058"/>
                </a:cubicBezTo>
                <a:cubicBezTo>
                  <a:pt x="134439" y="32736"/>
                  <a:pt x="134439" y="31415"/>
                  <a:pt x="134349" y="30093"/>
                </a:cubicBezTo>
                <a:cubicBezTo>
                  <a:pt x="140323" y="25753"/>
                  <a:pt x="145559" y="20378"/>
                  <a:pt x="149734" y="14341"/>
                </a:cubicBezTo>
                <a:close/>
              </a:path>
            </a:pathLst>
          </a:custGeom>
          <a:solidFill>
            <a:schemeClr val="bg1"/>
          </a:solidFill>
          <a:ln w="186" cap="flat">
            <a:noFill/>
            <a:prstDash val="solid"/>
            <a:miter/>
          </a:ln>
          <a:effectLst>
            <a:outerShdw blurRad="50800" dist="38100" dir="2700000" algn="tl" rotWithShape="0">
              <a:prstClr val="black">
                <a:alpha val="40000"/>
              </a:prstClr>
            </a:outerShdw>
          </a:effectLst>
        </xdr:spPr>
        <xdr:txBody>
          <a:bodyPr rtlCol="0" anchor="ctr"/>
          <a:lstStyle/>
          <a:p>
            <a:endParaRPr lang="en-US"/>
          </a:p>
        </xdr:txBody>
      </xdr:sp>
      <xdr:pic>
        <xdr:nvPicPr>
          <xdr:cNvPr id="11" name="Graphic 9" descr="Share">
            <a:hlinkClick xmlns:r="http://schemas.openxmlformats.org/officeDocument/2006/relationships" r:id="rId9"/>
            <a:extLst>
              <a:ext uri="{FF2B5EF4-FFF2-40B4-BE49-F238E27FC236}">
                <a16:creationId xmlns:a16="http://schemas.microsoft.com/office/drawing/2014/main" id="{3E52F199-A49C-0749-9290-275DCEDBDC8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95248" y="2154173"/>
            <a:ext cx="182880" cy="182880"/>
          </a:xfrm>
          <a:prstGeom prst="rect">
            <a:avLst/>
          </a:prstGeom>
          <a:effectLst>
            <a:outerShdw blurRad="50800" dist="38100" dir="2700000" algn="tl" rotWithShape="0">
              <a:prstClr val="black">
                <a:alpha val="40000"/>
              </a:prstClr>
            </a:outerShdw>
          </a:effectLst>
        </xdr:spPr>
      </xdr:pic>
    </xdr:grpSp>
    <xdr:clientData/>
  </xdr:absoluteAnchor>
  <xdr:absoluteAnchor>
    <xdr:pos x="5769810" y="462365"/>
    <xdr:ext cx="169483" cy="171522"/>
    <xdr:pic>
      <xdr:nvPicPr>
        <xdr:cNvPr id="14" name="Picture 12">
          <a:hlinkClick xmlns:r="http://schemas.openxmlformats.org/officeDocument/2006/relationships" r:id="rId9"/>
          <a:extLst>
            <a:ext uri="{FF2B5EF4-FFF2-40B4-BE49-F238E27FC236}">
              <a16:creationId xmlns:a16="http://schemas.microsoft.com/office/drawing/2014/main" id="{60CFBE55-A1C1-B34E-B975-4187979A3D8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769810" y="462365"/>
          <a:ext cx="169483" cy="171522"/>
        </a:xfrm>
        <a:prstGeom prst="rect">
          <a:avLst/>
        </a:prstGeom>
        <a:noFill/>
        <a:effectLst>
          <a:outerShdw blurRad="50800" dist="38100" dir="2700000" algn="tl" rotWithShape="0">
            <a:prstClr val="black">
              <a:alpha val="40000"/>
            </a:prstClr>
          </a:outerShdw>
        </a:effectLst>
      </xdr:spPr>
    </xdr:pic>
    <xdr:clientData/>
  </xdr:absoluteAnchor>
  <xdr:oneCellAnchor>
    <xdr:from>
      <xdr:col>7</xdr:col>
      <xdr:colOff>76199</xdr:colOff>
      <xdr:row>5</xdr:row>
      <xdr:rowOff>9526</xdr:rowOff>
    </xdr:from>
    <xdr:ext cx="4076701" cy="4714874"/>
    <xdr:graphicFrame macro="">
      <xdr:nvGraphicFramePr>
        <xdr:cNvPr id="15" name="Chart 13">
          <a:extLst>
            <a:ext uri="{FF2B5EF4-FFF2-40B4-BE49-F238E27FC236}">
              <a16:creationId xmlns:a16="http://schemas.microsoft.com/office/drawing/2014/main" id="{9E6AC2E6-FE29-6C43-A598-861EE5854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oneCellAnchor>
  <xdr:twoCellAnchor>
    <xdr:from>
      <xdr:col>15</xdr:col>
      <xdr:colOff>190499</xdr:colOff>
      <xdr:row>5</xdr:row>
      <xdr:rowOff>9526</xdr:rowOff>
    </xdr:from>
    <xdr:to>
      <xdr:col>20</xdr:col>
      <xdr:colOff>200024</xdr:colOff>
      <xdr:row>20</xdr:row>
      <xdr:rowOff>55246</xdr:rowOff>
    </xdr:to>
    <mc:AlternateContent xmlns:mc="http://schemas.openxmlformats.org/markup-compatibility/2006">
      <mc:Choice xmlns:cx1="http://schemas.microsoft.com/office/drawing/2015/9/8/chartex" Requires="cx1">
        <xdr:graphicFrame macro="">
          <xdr:nvGraphicFramePr>
            <xdr:cNvPr id="16" name="Chart 16">
              <a:extLst>
                <a:ext uri="{FF2B5EF4-FFF2-40B4-BE49-F238E27FC236}">
                  <a16:creationId xmlns:a16="http://schemas.microsoft.com/office/drawing/2014/main" id="{9D7EB5EF-8A10-A642-BB0A-FEBA7A43A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229099" y="1025526"/>
              <a:ext cx="3489325" cy="3093720"/>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oneCellAnchor>
    <xdr:from>
      <xdr:col>15</xdr:col>
      <xdr:colOff>190499</xdr:colOff>
      <xdr:row>20</xdr:row>
      <xdr:rowOff>95248</xdr:rowOff>
    </xdr:from>
    <xdr:ext cx="3489325" cy="2331720"/>
    <xdr:graphicFrame macro="">
      <xdr:nvGraphicFramePr>
        <xdr:cNvPr id="17" name="Chart 17">
          <a:extLst>
            <a:ext uri="{FF2B5EF4-FFF2-40B4-BE49-F238E27FC236}">
              <a16:creationId xmlns:a16="http://schemas.microsoft.com/office/drawing/2014/main" id="{F9F5DEC2-0AF1-FD45-B5AB-244D23CE7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Library" Target="Solver.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Language"/>
    </sheetNames>
    <definedNames>
      <definedName name="_xldudf_CS_ENDPOINTS"/>
      <definedName name="_xldudf_CS_EXRATE"/>
      <definedName name="_xldudf_CS_PARAMETERS"/>
      <definedName name="_xldudf_CS_QUERY"/>
      <definedName name="_xldudf_CS_QUERYA"/>
    </definedNames>
    <sheetDataSet>
      <sheetData sheetId="0"/>
      <sheetData sheetId="1"/>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fb t="e">#NAME?</fb>
    <v>4</v>
    <v>1</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87F765-4231-F74E-8B25-5B0BE84D1931}" name="表1" displayName="表1" ref="J2:U12" totalsRowShown="0" headerRowDxfId="31">
  <autoFilter ref="J2:U12" xr:uid="{F687F765-4231-F74E-8B25-5B0BE84D1931}"/>
  <tableColumns count="12">
    <tableColumn id="1" xr3:uid="{9BD6AA4A-82D7-5246-B7BB-4A7AEC7C6D7A}" name="列1"/>
    <tableColumn id="2" xr3:uid="{C3ECDF6B-EE64-1843-A968-28B61F28B404}" name="卓尔金历法" dataDxfId="30"/>
    <tableColumn id="3" xr3:uid="{939A48F1-F996-3346-ACD5-296FA91CBE61}" name="比特币" dataDxfId="29"/>
    <tableColumn id="11" xr3:uid="{EF01CDC4-1C53-4A44-B342-6F94724D3971}" name="币本位" dataDxfId="28"/>
    <tableColumn id="4" xr3:uid="{688FA028-C70E-8249-8175-806E9A538075}" name="熔断后卓尔金历法1" dataDxfId="27">
      <calculatedColumnFormula>-W3977</calculatedColumnFormula>
    </tableColumn>
    <tableColumn id="9" xr3:uid="{69F5D0A4-B504-8D4E-AA95-293307D66637}" name="空置" dataDxfId="26"/>
    <tableColumn id="5" xr3:uid="{01E87BBE-BC16-B74E-B025-1A8C2EC6BF07}" name="卓尔金历法2" dataDxfId="25">
      <calculatedColumnFormula>P$3*K3</calculatedColumnFormula>
    </tableColumn>
    <tableColumn id="6" xr3:uid="{C2D70F66-52A0-AC40-BE5A-6B6956CA20B4}" name="比特币3" dataDxfId="24">
      <calculatedColumnFormula>Q$3*L3</calculatedColumnFormula>
    </tableColumn>
    <tableColumn id="7" xr3:uid="{17394ADE-22F8-A24F-9CE0-CC48AD2CF596}" name="币本位4" dataDxfId="23">
      <calculatedColumnFormula>R$3*M3</calculatedColumnFormula>
    </tableColumn>
    <tableColumn id="10" xr3:uid="{9671D1F3-0CA9-0646-A2B8-51029047E14B}" name="熔断后卓尔金历法1-2" dataDxfId="22"/>
    <tableColumn id="12" xr3:uid="{F02630A0-1356-8B43-A5F8-59A360645DBF}" name="空置2" dataDxfId="21"/>
    <tableColumn id="8" xr3:uid="{ABCEA33B-503E-D146-9D25-624184034E76}" name="列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03E78E-9952-C540-A430-2867101AD86C}" name="表2" displayName="表2" ref="C8:M44" totalsRowShown="0" headerRowDxfId="20" dataDxfId="19" headerRowCellStyle="20% - 着色 1" dataCellStyle="20% - 着色 1">
  <autoFilter ref="C8:M44" xr:uid="{0803E78E-9952-C540-A430-2867101AD86C}"/>
  <sortState xmlns:xlrd2="http://schemas.microsoft.com/office/spreadsheetml/2017/richdata2" ref="C9:M44">
    <sortCondition descending="1" ref="D8:D44"/>
  </sortState>
  <tableColumns count="11">
    <tableColumn id="1" xr3:uid="{2CC86ECB-2100-6749-A393-FF5F7B08C9E2}" name="币种" dataDxfId="18" dataCellStyle="20% - 着色 1"/>
    <tableColumn id="2" xr3:uid="{D37FFAC5-35E0-FE48-8602-1FBDDB695833}" name="市值" dataDxfId="17" dataCellStyle="20% - 着色 1">
      <calculatedColumnFormula>LOOKUP(1,0/(币种排名!$F$9:$F$108=C9),币种排名!$H$9:$H$108)</calculatedColumnFormula>
    </tableColumn>
    <tableColumn id="3" xr3:uid="{2629481F-7F63-9942-8623-09045D08B32A}" name="修幂市值" dataDxfId="16" dataCellStyle="20% - 着色 1">
      <calculatedColumnFormula>POWER(D9,$D$7)</calculatedColumnFormula>
    </tableColumn>
    <tableColumn id="4" xr3:uid="{8C88D1E2-8A00-F449-8D1B-ED897D048323}" name="修幂市占比" dataDxfId="15" dataCellStyle="20% - 着色 1">
      <calculatedColumnFormula>E9/SUM(E$9:E$44)</calculatedColumnFormula>
    </tableColumn>
    <tableColumn id="12" xr3:uid="{BA27DAF0-0734-F74C-BE69-A7A0F2C08C34}" name="修幂避险市值" dataDxfId="14" dataCellStyle="20% - 着色 1">
      <calculatedColumnFormula>IF(OR(AND(币圈空间站!$E$3&lt;2,$B9&gt;=5),AND(币圈空间站!$E$3&lt;3,$B9&gt;=11),AND(币圈空间站!$E$3&lt;4,$B9&gt;=17)),0,POWER($D9,$D$7))</calculatedColumnFormula>
    </tableColumn>
    <tableColumn id="11" xr3:uid="{FBDE5A28-512E-D348-831B-2E61180975AE}" name="修幂避险市占比" dataDxfId="13" dataCellStyle="20% - 着色 1">
      <calculatedColumnFormula>G9/SUM(G$9:G$44)</calculatedColumnFormula>
    </tableColumn>
    <tableColumn id="9" xr3:uid="{B5C90A9F-0C14-174D-BD6F-5C02A19733A5}" name="USDT2" dataDxfId="12" dataCellStyle="20% - 着色 1">
      <calculatedColumnFormula>LOOKUP(1,0/(币种排名!$F$9:$F$108=C9),币种排名!$G$9:$G$108)</calculatedColumnFormula>
    </tableColumn>
    <tableColumn id="5" xr3:uid="{3433675D-2EDE-BD41-93D8-869253C87D28}" name="USDT" dataDxfId="8" dataCellStyle="20% - 着色 1">
      <calculatedColumnFormula>_xldudf_CS_EXRATE($C9,J$8,"1")</calculatedColumnFormula>
    </tableColumn>
    <tableColumn id="6" xr3:uid="{4AC32CD8-D5BC-4C46-B5A3-B0F450CB36A0}" name="CNY" dataDxfId="11" dataCellStyle="20% - 着色 1"/>
    <tableColumn id="7" xr3:uid="{A05C1FBB-9AEF-7A45-99FD-FAE0EDD8FCC2}" name="BTC" dataDxfId="10" dataCellStyle="20% - 着色 1"/>
    <tableColumn id="8" xr3:uid="{D1472302-FCCC-F442-8F14-D8A234A0CC05}" name="ETH" dataDxfId="9" dataCellStyle="20% - 着色 1">
      <calculatedColumnFormula>[1]!_xldudf_CS_EXRATE($C9,M$8,"1")</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D7FD505-AF6A-F948-A0F5-526F5492E281}">
  <we:reference id="wa104381695" version="1.0.10.0" store="zh-CN" storeType="OMEX"/>
  <we:alternateReferences>
    <we:reference id="wa104381695" version="1.0.10.0" store="zh-CN"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_xldudf_CS_TIME</we:customFunctionIds>
        <we:customFunctionIds>_xldudf_CS_ATH</we:customFunctionIds>
        <we:customFunctionIds>_xldudf_CS_ENDPOINTS</we:customFunctionIds>
        <we:customFunctionIds>_xldudf_CS_EXCHANGES</we:customFunctionIds>
        <we:customFunctionIds>_xldudf_CS_EXRATE</we:customFunctionIds>
        <we:customFunctionIds>_xldudf_CS_OHLCV</we:customFunctionIds>
        <we:customFunctionIds>_xldudf_CS_ORDERBOOKS</we:customFunctionIds>
        <we:customFunctionIds>_xldudf_CS_PARAMETERS</we:customFunctionIds>
        <we:customFunctionIds>_xldudf_CS_PRICE</we:customFunctionIds>
        <we:customFunctionIds>_xldudf_CS_PRICEA</we:customFunctionIds>
        <we:customFunctionIds>_xldudf_CS_PROVIDERS</we:customFunctionIds>
        <we:customFunctionIds>_xldudf_CS_QUERY</we:customFunctionIds>
        <we:customFunctionIds>_xldudf_CS_QUERYA</we:customFunctionIds>
        <we:customFunctionIds>_xldudf_CS_SYMBOLS</we:customFunctionIds>
        <we:customFunctionIds>_xldudf_CS_TA</we:customFunctionIds>
        <we:customFunctionIds>_xldudf_CS_TAHIS</we:customFunctionIds>
        <we:customFunctionIds>_xldudf_CS_TRADES</we:customFunctionIds>
        <we:customFunctionIds>_xldudf_CS_ORDERBOOKSL3A</we:customFunctionIds>
        <we:customFunctionIds>_xldudf_CS_OHLCVA</we:customFunctionIds>
        <we:customFunctionIds>_xldudf_CS_ADDRESS</we:customFunctionIds>
        <we:customFunctionIds>_xldudf_CS_CHAIN</we:customFunctionIds>
        <we:customFunctionIds>_xldudf_CS_CLUSTERS</we:customFunctionIds>
        <we:customFunctionIds>_xldudf_CS_IDEAS</we:customFunctionIds>
        <we:customFunctionIds>_xldudf_CS_METRICS</we:customFunctionIds>
        <we:customFunctionIds>_xldudf_CS_AD</we:customFunctionIds>
        <we:customFunctionIds>_xldudf_CS_ADOSC</we:customFunctionIds>
        <we:customFunctionIds>_xldudf_CS_ADX</we:customFunctionIds>
        <we:customFunctionIds>_xldudf_CS_APO</we:customFunctionIds>
        <we:customFunctionIds>_xldudf_CS_AROON</we:customFunctionIds>
        <we:customFunctionIds>_xldudf_CS_AROONOSC</we:customFunctionIds>
        <we:customFunctionIds>_xldudf_CS_ATR</we:customFunctionIds>
        <we:customFunctionIds>_xldudf_CS_BBANDS</we:customFunctionIds>
        <we:customFunctionIds>_xldudf_CS_BETA</we:customFunctionIds>
        <we:customFunctionIds>_xldudf_CS_CCI</we:customFunctionIds>
        <we:customFunctionIds>_xldudf_CS_CDLINNECK</we:customFunctionIds>
        <we:customFunctionIds>_xldudf_CS_CDLMARUBOZU</we:customFunctionIds>
        <we:customFunctionIds>_xldudf_CS_CORREL</we:customFunctionIds>
        <we:customFunctionIds>_xldudf_CS_DEMA</we:customFunctionIds>
        <we:customFunctionIds>_xldudf_CS_DX</we:customFunctionIds>
        <we:customFunctionIds>_xldudf_CS_EMA</we:customFunctionIds>
        <we:customFunctionIds>_xldudf_CS_LINEARREG</we:customFunctionIds>
        <we:customFunctionIds>_xldudf_CS_LINEARREGANGLE</we:customFunctionIds>
        <we:customFunctionIds>_xldudf_CS_LINEARREGINTERCEPT</we:customFunctionIds>
        <we:customFunctionIds>_xldudf_CS_LINEARREGSLOPE</we:customFunctionIds>
        <we:customFunctionIds>_xldudf_CS_MACD</we:customFunctionIds>
        <we:customFunctionIds>_xldudf_CS_MACDEXT</we:customFunctionIds>
        <we:customFunctionIds>_xldudf_CS_MACDFIX</we:customFunctionIds>
        <we:customFunctionIds>_xldudf_CS_MFI</we:customFunctionIds>
        <we:customFunctionIds>_xldudf_CS_MOM</we:customFunctionIds>
        <we:customFunctionIds>_xldudf_CS_NATR</we:customFunctionIds>
        <we:customFunctionIds>_xldudf_CS_OBV</we:customFunctionIds>
        <we:customFunctionIds>_xldudf_CS_ROC</we:customFunctionIds>
        <we:customFunctionIds>_xldudf_CS_ROCP</we:customFunctionIds>
        <we:customFunctionIds>_xldudf_CS_ROCR</we:customFunctionIds>
        <we:customFunctionIds>_xldudf_CS_RSI</we:customFunctionIds>
        <we:customFunctionIds>_xldudf_CS_SAREXT</we:customFunctionIds>
        <we:customFunctionIds>_xldudf_CS_SMA</we:customFunctionIds>
        <we:customFunctionIds>_xldudf_CS_STDDEV</we:customFunctionIds>
        <we:customFunctionIds>_xldudf_CS_STOCH</we:customFunctionIds>
        <we:customFunctionIds>_xldudf_CS_T3</we:customFunctionIds>
        <we:customFunctionIds>_xldudf_CS_TEMA</we:customFunctionIds>
        <we:customFunctionIds>_xldudf_CS_TRANGE</we:customFunctionIds>
        <we:customFunctionIds>_xldudf_CS_TRIX</we:customFunctionIds>
        <we:customFunctionIds>_xldudf_CS_TSF</we:customFunctionIds>
        <we:customFunctionIds>_xldudf_CS_ULTOSC</we:customFunctionIds>
        <we:customFunctionIds>_xldudf_CS_VARI</we:customFunctionIds>
        <we:customFunctionIds>_xldudf_CS_WCLPRICE</we:customFunctionIds>
        <we:customFunctionIds>_xldudf_CS_WILLR</we:customFunctionIds>
        <we:customFunctionIds>_xldudf_CS_WMA</we:customFunctionIds>
        <we:customFunctionIds>_xldudf_CS_STATUS</we:customFunctionIds>
        <we:customFunctionIds>_xldudf_CS_LOGIN</we:customFunctionIds>
        <we:customFunctionIds>_xldudf_CS_TAMETADATA</we:customFunctionIds>
        <we:customFunctionIds>_xldudf_CS_FLOOR</we:customFunctionIds>
        <we:customFunctionIds>_xldudf_CS_LN</we:customFunctionIds>
        <we:customFunctionIds>_xldudf_CS_EXP</we:customFunctionIds>
        <we:customFunctionIds>_xldudf_CS_FIELDS</we:customFunctionIds>
        <we:customFunctionIds>_xldudf_CS_TRADESA</we:customFunctionIds>
        <we:customFunctionIds>_xldudf_CS_ORDERBOOKSA</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hyperlink" Target="https://www.bfm-unity.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urufocus.cn/indicator/buffett-market-valuation" TargetMode="External"/><Relationship Id="rId13" Type="http://schemas.openxmlformats.org/officeDocument/2006/relationships/hyperlink" Target="https://www.gurufocus.cn/indicator/buffett-market-valuation" TargetMode="External"/><Relationship Id="rId18" Type="http://schemas.openxmlformats.org/officeDocument/2006/relationships/hyperlink" Target="https://www.blockchain.com/charts/mvrv" TargetMode="External"/><Relationship Id="rId3" Type="http://schemas.openxmlformats.org/officeDocument/2006/relationships/hyperlink" Target="https://www.gurufocus.cn/indicator/buffett-market-valuation" TargetMode="External"/><Relationship Id="rId21" Type="http://schemas.openxmlformats.org/officeDocument/2006/relationships/hyperlink" Target="https://www.qkl123.com/data/s2f/btc" TargetMode="External"/><Relationship Id="rId7" Type="http://schemas.openxmlformats.org/officeDocument/2006/relationships/hyperlink" Target="https://www.gurufocus.cn/indicator/shiller_pe" TargetMode="External"/><Relationship Id="rId12" Type="http://schemas.openxmlformats.org/officeDocument/2006/relationships/hyperlink" Target="https://www.gurufocus.cn/indicator/shiller_pe" TargetMode="External"/><Relationship Id="rId17" Type="http://schemas.openxmlformats.org/officeDocument/2006/relationships/hyperlink" Target="http://fund.eastmoney.com/006479.html" TargetMode="External"/><Relationship Id="rId25" Type="http://schemas.openxmlformats.org/officeDocument/2006/relationships/image" Target="../media/image1.jpeg"/><Relationship Id="rId2" Type="http://schemas.openxmlformats.org/officeDocument/2006/relationships/hyperlink" Target="https://www.gurufocus.cn/indicator/shiller_pe" TargetMode="External"/><Relationship Id="rId16" Type="http://schemas.openxmlformats.org/officeDocument/2006/relationships/hyperlink" Target="https://www.bfm-unity.com/" TargetMode="External"/><Relationship Id="rId20" Type="http://schemas.openxmlformats.org/officeDocument/2006/relationships/hyperlink" Target="https://www.gurufocus.cn/indicator/buffett-market-valuation" TargetMode="External"/><Relationship Id="rId1" Type="http://schemas.openxmlformats.org/officeDocument/2006/relationships/hyperlink" Target="https://www.blockchain.com/charts/mvrv" TargetMode="External"/><Relationship Id="rId6" Type="http://schemas.openxmlformats.org/officeDocument/2006/relationships/hyperlink" Target="https://www.blockchain.com/charts/mvrv" TargetMode="External"/><Relationship Id="rId11" Type="http://schemas.openxmlformats.org/officeDocument/2006/relationships/hyperlink" Target="https://www.blockchain.com/charts/mvrv" TargetMode="External"/><Relationship Id="rId24" Type="http://schemas.openxmlformats.org/officeDocument/2006/relationships/drawing" Target="../drawings/drawing2.xml"/><Relationship Id="rId5" Type="http://schemas.openxmlformats.org/officeDocument/2006/relationships/hyperlink" Target="https://www.qkl123.com/data/s2f/btc" TargetMode="External"/><Relationship Id="rId15" Type="http://schemas.openxmlformats.org/officeDocument/2006/relationships/hyperlink" Target="https://www.qkl123.com/data/s2f/btc" TargetMode="External"/><Relationship Id="rId23" Type="http://schemas.openxmlformats.org/officeDocument/2006/relationships/hyperlink" Target="http://fund.eastmoney.com/006479.html" TargetMode="External"/><Relationship Id="rId10" Type="http://schemas.openxmlformats.org/officeDocument/2006/relationships/hyperlink" Target="https://www.qkl123.com/data/s2f/btc" TargetMode="External"/><Relationship Id="rId19" Type="http://schemas.openxmlformats.org/officeDocument/2006/relationships/hyperlink" Target="https://www.gurufocus.cn/indicator/shiller_pe" TargetMode="External"/><Relationship Id="rId4" Type="http://schemas.openxmlformats.org/officeDocument/2006/relationships/hyperlink" Target="https://www.qkl123.com/data/s2f/btc" TargetMode="External"/><Relationship Id="rId9" Type="http://schemas.openxmlformats.org/officeDocument/2006/relationships/hyperlink" Target="https://www.qkl123.com/data/s2f/btc" TargetMode="External"/><Relationship Id="rId14" Type="http://schemas.openxmlformats.org/officeDocument/2006/relationships/hyperlink" Target="https://www.qkl123.com/data/s2f/btc" TargetMode="External"/><Relationship Id="rId22" Type="http://schemas.openxmlformats.org/officeDocument/2006/relationships/hyperlink" Target="https://www.qkl123.com/data/s2f/btc" TargetMode="External"/></Relationships>
</file>

<file path=xl/worksheets/_rels/sheet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gurufocus.cn/indicator/shiller_pe_chn" TargetMode="External"/><Relationship Id="rId7" Type="http://schemas.openxmlformats.org/officeDocument/2006/relationships/hyperlink" Target="https://assetdash.com/" TargetMode="External"/><Relationship Id="rId2" Type="http://schemas.openxmlformats.org/officeDocument/2006/relationships/hyperlink" Target="https://www.gurufocus.cn/indicator/shiller_pe" TargetMode="External"/><Relationship Id="rId1" Type="http://schemas.openxmlformats.org/officeDocument/2006/relationships/hyperlink" Target="https://www.gurufocus.cn/indicator/shiller_pe_chn" TargetMode="External"/><Relationship Id="rId6" Type="http://schemas.openxmlformats.org/officeDocument/2006/relationships/hyperlink" Target="https://www.gurufocus.cn/indicator/shiller_pe" TargetMode="External"/><Relationship Id="rId5" Type="http://schemas.openxmlformats.org/officeDocument/2006/relationships/hyperlink" Target="https://www.gurufocus.cn/indicator/shiller_pe_chn" TargetMode="External"/><Relationship Id="rId4" Type="http://schemas.openxmlformats.org/officeDocument/2006/relationships/hyperlink" Target="https://www.gurufocus.cn/indicator/shiller_p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qkl123.com/data/s2f/btc" TargetMode="External"/><Relationship Id="rId3" Type="http://schemas.openxmlformats.org/officeDocument/2006/relationships/hyperlink" Target="https://www.qkl123.com/data/s2f/btc" TargetMode="External"/><Relationship Id="rId7" Type="http://schemas.openxmlformats.org/officeDocument/2006/relationships/hyperlink" Target="https://www.qkl123.com/data/s2f/btc" TargetMode="External"/><Relationship Id="rId2" Type="http://schemas.openxmlformats.org/officeDocument/2006/relationships/hyperlink" Target="https://www.qkl123.com/data/s2f/btc" TargetMode="External"/><Relationship Id="rId1" Type="http://schemas.openxmlformats.org/officeDocument/2006/relationships/hyperlink" Target="https://www.blockchain.com/charts/mvrv" TargetMode="External"/><Relationship Id="rId6" Type="http://schemas.openxmlformats.org/officeDocument/2006/relationships/hyperlink" Target="https://www.blockchain.com/charts/mvrv" TargetMode="External"/><Relationship Id="rId5" Type="http://schemas.openxmlformats.org/officeDocument/2006/relationships/hyperlink" Target="https://www.bfm-unity.com/bfm-da-bi-fang-meng-shu-chan/zi-chan-pei-zhi/ling-hang-duo-lei-da/zhuo-er-jin-li-fa-de-sheng-ji-2-wu-cha-fen-xi" TargetMode="External"/><Relationship Id="rId10" Type="http://schemas.openxmlformats.org/officeDocument/2006/relationships/image" Target="../media/image1.jpeg"/><Relationship Id="rId4" Type="http://schemas.openxmlformats.org/officeDocument/2006/relationships/hyperlink" Target="https://www.bfm-unity.com/bfm-da-bi-fang-meng-shu-chan/management-cockpit-operation/zi-chan-pei-zhi/ling-hang-duo-lei-da/zhuo-er-jin-li-fa-de-sheng-ji-2-wu-cha-fen-xi" TargetMode="External"/><Relationship Id="rId9"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gurufocus.cn/indicator/shiller_pe" TargetMode="External"/><Relationship Id="rId2" Type="http://schemas.openxmlformats.org/officeDocument/2006/relationships/hyperlink" Target="https://www.qkl123.com/data/s2f/btc" TargetMode="External"/><Relationship Id="rId1" Type="http://schemas.openxmlformats.org/officeDocument/2006/relationships/hyperlink" Target="https://www.blockchain.com/charts/mvrv" TargetMode="External"/><Relationship Id="rId6" Type="http://schemas.openxmlformats.org/officeDocument/2006/relationships/image" Target="../media/image1.jpeg"/><Relationship Id="rId5" Type="http://schemas.openxmlformats.org/officeDocument/2006/relationships/drawing" Target="../drawings/drawing6.xml"/><Relationship Id="rId4" Type="http://schemas.openxmlformats.org/officeDocument/2006/relationships/hyperlink" Target="https://www.gurufocus.cn/indicator/buffett-market-valu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bfm-unity.com/bfm-da-bi-fang-meng-shu-chan/management-cockpit-operation/zi-chan-pei-zhi/ling-hang-duo-lei-da" TargetMode="External"/><Relationship Id="rId7" Type="http://schemas.openxmlformats.org/officeDocument/2006/relationships/image" Target="../media/image1.jpeg"/><Relationship Id="rId2" Type="http://schemas.openxmlformats.org/officeDocument/2006/relationships/hyperlink" Target="https://www.bfm-unity.com/bfm-da-bi-fang-meng-shu-chan/management-cockpit-operation/zi-chan-pei-zhi/ling-hang-duo-lei-da" TargetMode="External"/><Relationship Id="rId1" Type="http://schemas.openxmlformats.org/officeDocument/2006/relationships/hyperlink" Target="https://www.bfm-unity.com/bfm-da-bi-fang-meng-shu-chan/management-cockpit-operation/zi-chan-pei-zhi/ling-hang-duo-lei-da" TargetMode="External"/><Relationship Id="rId6" Type="http://schemas.openxmlformats.org/officeDocument/2006/relationships/drawing" Target="../drawings/drawing7.xml"/><Relationship Id="rId5" Type="http://schemas.openxmlformats.org/officeDocument/2006/relationships/hyperlink" Target="https://www.bfm-unity.com/bfm-da-bi-fang-meng-shu-chan/zi-chan-pei-zhi/ling-hang-duo-lei-da" TargetMode="External"/><Relationship Id="rId4" Type="http://schemas.openxmlformats.org/officeDocument/2006/relationships/hyperlink" Target="https://www.bfm-unity.com/bfm-da-bi-fang-meng-shu-chan/management-cockpit-operation/zi-chan-pei-zhi/ling-hang-duo-lei-da"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blockchain.com/charts/mvrv" TargetMode="External"/><Relationship Id="rId3" Type="http://schemas.openxmlformats.org/officeDocument/2006/relationships/hyperlink" Target="https://www.blockchain.com/charts/mvrv" TargetMode="External"/><Relationship Id="rId7" Type="http://schemas.openxmlformats.org/officeDocument/2006/relationships/hyperlink" Target="https://www.qkl123.com/data/s2f/btc" TargetMode="External"/><Relationship Id="rId2" Type="http://schemas.openxmlformats.org/officeDocument/2006/relationships/hyperlink" Target="https://www.qkl123.com/data/s2f/btc" TargetMode="External"/><Relationship Id="rId1" Type="http://schemas.openxmlformats.org/officeDocument/2006/relationships/hyperlink" Target="https://www.bfm-unity.com/bfm-da-bi-fang-meng-shu-chan/management-cockpit-operation/shu-xue-li-qi" TargetMode="External"/><Relationship Id="rId6" Type="http://schemas.openxmlformats.org/officeDocument/2006/relationships/hyperlink" Target="https://www.blockchain.com/charts/mvrv" TargetMode="External"/><Relationship Id="rId11" Type="http://schemas.openxmlformats.org/officeDocument/2006/relationships/image" Target="../media/image6.png"/><Relationship Id="rId5" Type="http://schemas.openxmlformats.org/officeDocument/2006/relationships/hyperlink" Target="https://www.qkl123.com/data/s2f/btc" TargetMode="External"/><Relationship Id="rId10" Type="http://schemas.openxmlformats.org/officeDocument/2006/relationships/drawing" Target="../drawings/drawing8.xml"/><Relationship Id="rId4" Type="http://schemas.openxmlformats.org/officeDocument/2006/relationships/hyperlink" Target="https://www.blockchain.com/charts/mvrv" TargetMode="External"/><Relationship Id="rId9" Type="http://schemas.openxmlformats.org/officeDocument/2006/relationships/hyperlink" Target="https://www.qkl123.com/data/s2f/btc"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google.com/search?q=btc+price+usd" TargetMode="External"/><Relationship Id="rId2" Type="http://schemas.openxmlformats.org/officeDocument/2006/relationships/hyperlink" Target="https://www.google.com/search?q=eth+price" TargetMode="External"/><Relationship Id="rId1" Type="http://schemas.openxmlformats.org/officeDocument/2006/relationships/hyperlink" Target="https://www.google.com/search?q=bnb+price" TargetMode="External"/><Relationship Id="rId6" Type="http://schemas.openxmlformats.org/officeDocument/2006/relationships/image" Target="../media/image1.jpeg"/><Relationship Id="rId5" Type="http://schemas.openxmlformats.org/officeDocument/2006/relationships/drawing" Target="../drawings/drawing9.xml"/><Relationship Id="rId4" Type="http://schemas.openxmlformats.org/officeDocument/2006/relationships/hyperlink" Target="https://www.bfm-unity.com/bfm-da-bi-fang-meng-shu-chan/zi-chan-pei-zhi/zhan-shu-zi-chan-pei-zhi" TargetMode="External"/></Relationships>
</file>

<file path=xl/worksheets/_rels/sheet12.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3.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4.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5.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6.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0EF86-3831-254C-BF23-9402892381C9}">
  <dimension ref="B1:O26"/>
  <sheetViews>
    <sheetView showGridLines="0" tabSelected="1" topLeftCell="A3" zoomScaleNormal="92" workbookViewId="0"/>
  </sheetViews>
  <sheetFormatPr baseColWidth="10" defaultRowHeight="16"/>
  <cols>
    <col min="1" max="1" width="15" customWidth="1"/>
    <col min="2" max="3" width="3.33203125" customWidth="1"/>
    <col min="4" max="10" width="18.33203125" customWidth="1"/>
    <col min="11" max="13" width="18.6640625" customWidth="1"/>
    <col min="14" max="15" width="3.83203125" customWidth="1"/>
    <col min="16" max="16" width="18.6640625" bestFit="1" customWidth="1"/>
    <col min="17" max="18" width="14.1640625" bestFit="1" customWidth="1"/>
  </cols>
  <sheetData>
    <row r="1" spans="2:15" ht="94" customHeight="1"/>
    <row r="2" spans="2:15" ht="16" customHeight="1" thickBot="1">
      <c r="B2" s="115"/>
      <c r="C2" s="115"/>
      <c r="D2" s="115"/>
      <c r="E2" s="115"/>
      <c r="F2" s="115"/>
      <c r="G2" s="115"/>
      <c r="H2" s="115"/>
      <c r="I2" s="115"/>
      <c r="J2" s="115"/>
      <c r="K2" s="115"/>
      <c r="L2" s="115"/>
      <c r="M2" s="115"/>
      <c r="N2" s="115"/>
      <c r="O2" s="115"/>
    </row>
    <row r="3" spans="2:15" ht="294" customHeight="1" thickBot="1">
      <c r="B3" s="115"/>
      <c r="C3" s="1145" t="s">
        <v>30</v>
      </c>
      <c r="D3" s="1146"/>
      <c r="E3" s="1146"/>
      <c r="F3" s="1146"/>
      <c r="G3" s="1146"/>
      <c r="H3" s="1146"/>
      <c r="I3" s="1146"/>
      <c r="J3" s="1146"/>
      <c r="K3" s="1146"/>
      <c r="L3" s="1146"/>
      <c r="M3" s="1146"/>
      <c r="N3" s="1147"/>
      <c r="O3" s="115"/>
    </row>
    <row r="4" spans="2:15" ht="16" customHeight="1" thickBot="1">
      <c r="B4" s="115"/>
      <c r="C4" s="115"/>
      <c r="D4" s="115"/>
      <c r="E4" s="115"/>
      <c r="F4" s="115"/>
      <c r="G4" s="115"/>
      <c r="H4" s="115"/>
      <c r="I4" s="115"/>
      <c r="J4" s="115"/>
      <c r="K4" s="115"/>
      <c r="L4" s="115"/>
      <c r="M4" s="115"/>
      <c r="N4" s="115"/>
      <c r="O4" s="115"/>
    </row>
    <row r="5" spans="2:15" ht="39" customHeight="1" thickBot="1">
      <c r="B5" s="115"/>
      <c r="C5" s="1148" t="s">
        <v>715</v>
      </c>
      <c r="D5" s="1149"/>
      <c r="E5" s="1149"/>
      <c r="F5" s="1149"/>
      <c r="G5" s="1149"/>
      <c r="H5" s="1149"/>
      <c r="I5" s="1149"/>
      <c r="J5" s="1149"/>
      <c r="K5" s="1149"/>
      <c r="L5" s="1149"/>
      <c r="M5" s="1149"/>
      <c r="N5" s="1150"/>
      <c r="O5" s="105"/>
    </row>
    <row r="6" spans="2:15">
      <c r="B6" s="115"/>
      <c r="C6" s="889"/>
      <c r="D6" s="866"/>
      <c r="E6" s="866"/>
      <c r="F6" s="866"/>
      <c r="G6" s="1092"/>
      <c r="H6" s="866"/>
      <c r="I6" s="866"/>
      <c r="J6" s="866"/>
      <c r="K6" s="1133"/>
      <c r="L6" s="1133"/>
      <c r="M6" s="1133"/>
      <c r="N6" s="866"/>
      <c r="O6" s="105"/>
    </row>
    <row r="7" spans="2:15" ht="56" customHeight="1" thickBot="1">
      <c r="B7" s="115"/>
      <c r="C7" s="889"/>
      <c r="D7" s="1093"/>
      <c r="E7" s="1093"/>
      <c r="F7" s="1438" t="s">
        <v>721</v>
      </c>
      <c r="G7" s="1437" t="s">
        <v>720</v>
      </c>
      <c r="H7" s="1437" t="s">
        <v>716</v>
      </c>
      <c r="I7" s="1438" t="s">
        <v>719</v>
      </c>
      <c r="J7" s="1438" t="s">
        <v>717</v>
      </c>
      <c r="K7" s="1439" t="s">
        <v>718</v>
      </c>
      <c r="L7" s="1093"/>
      <c r="M7" s="1093"/>
      <c r="N7" s="866"/>
      <c r="O7" s="105"/>
    </row>
    <row r="8" spans="2:15" ht="56" customHeight="1" thickTop="1" thickBot="1">
      <c r="B8" s="115"/>
      <c r="C8" s="889"/>
      <c r="D8" s="1093"/>
      <c r="E8" s="1093"/>
      <c r="F8" s="1141" t="s">
        <v>189</v>
      </c>
      <c r="G8" s="1467" t="s">
        <v>520</v>
      </c>
      <c r="H8" s="1137" t="s">
        <v>521</v>
      </c>
      <c r="I8" s="1140" t="s">
        <v>76</v>
      </c>
      <c r="J8" s="1440" t="s">
        <v>555</v>
      </c>
      <c r="K8" s="1094" t="s">
        <v>435</v>
      </c>
      <c r="L8" s="1093"/>
      <c r="M8" s="1093"/>
      <c r="N8" s="866"/>
      <c r="O8" s="105"/>
    </row>
    <row r="9" spans="2:15" ht="56" customHeight="1" thickTop="1" thickBot="1">
      <c r="B9" s="115"/>
      <c r="C9" s="889"/>
      <c r="D9" s="1093"/>
      <c r="E9" s="1093"/>
      <c r="F9" s="1094" t="s">
        <v>167</v>
      </c>
      <c r="G9" s="1139" t="s">
        <v>165</v>
      </c>
      <c r="H9" s="1143" t="s">
        <v>714</v>
      </c>
      <c r="I9" s="1138" t="s">
        <v>166</v>
      </c>
      <c r="J9" s="1089" t="s">
        <v>701</v>
      </c>
      <c r="K9" s="1094" t="s">
        <v>434</v>
      </c>
      <c r="L9" s="1093"/>
      <c r="M9" s="1093"/>
      <c r="N9" s="866"/>
      <c r="O9" s="105"/>
    </row>
    <row r="10" spans="2:15" ht="56" customHeight="1" thickTop="1">
      <c r="B10" s="115"/>
      <c r="C10" s="889"/>
      <c r="D10" s="1093"/>
      <c r="E10" s="1093"/>
      <c r="F10" s="1094" t="s">
        <v>168</v>
      </c>
      <c r="G10" s="1090" t="s">
        <v>451</v>
      </c>
      <c r="H10" s="1096" t="s">
        <v>490</v>
      </c>
      <c r="I10" s="1093"/>
      <c r="J10" s="1089" t="s">
        <v>700</v>
      </c>
      <c r="K10" s="1094" t="s">
        <v>433</v>
      </c>
      <c r="L10" s="1093"/>
      <c r="M10" s="1093"/>
      <c r="N10" s="866"/>
      <c r="O10" s="105"/>
    </row>
    <row r="11" spans="2:15" ht="56" customHeight="1">
      <c r="B11" s="115"/>
      <c r="C11" s="889"/>
      <c r="D11" s="1093"/>
      <c r="E11" s="1093"/>
      <c r="F11" s="1093"/>
      <c r="G11" s="1090" t="s">
        <v>452</v>
      </c>
      <c r="H11" s="1095" t="s">
        <v>522</v>
      </c>
      <c r="I11" s="1093"/>
      <c r="J11" s="1091" t="s">
        <v>702</v>
      </c>
      <c r="K11" s="1093"/>
      <c r="L11" s="1093"/>
      <c r="M11" s="1093"/>
      <c r="N11" s="866"/>
      <c r="O11" s="105"/>
    </row>
    <row r="12" spans="2:15" ht="56" customHeight="1">
      <c r="B12" s="115"/>
      <c r="C12" s="889"/>
      <c r="D12" s="1093"/>
      <c r="E12" s="1093"/>
      <c r="F12" s="1093"/>
      <c r="G12" s="1093"/>
      <c r="H12" s="1093"/>
      <c r="I12" s="1093"/>
      <c r="J12" s="1093"/>
      <c r="K12" s="1093"/>
      <c r="L12" s="1093"/>
      <c r="M12" s="1093"/>
      <c r="N12" s="1093"/>
      <c r="O12" s="105"/>
    </row>
    <row r="13" spans="2:15">
      <c r="B13" s="115"/>
      <c r="C13" s="889"/>
      <c r="D13" s="1093"/>
      <c r="E13" s="1093"/>
      <c r="F13" s="1093"/>
      <c r="G13" s="1093"/>
      <c r="H13" s="1093"/>
      <c r="I13" s="1093"/>
      <c r="J13" s="1093"/>
      <c r="K13" s="1093"/>
      <c r="L13" s="1093"/>
      <c r="M13" s="1093"/>
      <c r="N13" s="1093"/>
      <c r="O13" s="105"/>
    </row>
    <row r="14" spans="2:15">
      <c r="B14" s="115"/>
      <c r="C14" s="115"/>
      <c r="D14" s="117"/>
      <c r="E14" s="117"/>
      <c r="F14" s="117"/>
      <c r="G14" s="117"/>
      <c r="H14" s="117"/>
      <c r="I14" s="117"/>
      <c r="J14" s="117"/>
      <c r="K14" s="117"/>
      <c r="L14" s="117"/>
      <c r="M14" s="117"/>
      <c r="N14" s="117"/>
      <c r="O14" s="105"/>
    </row>
    <row r="15" spans="2:15" ht="17" thickBot="1">
      <c r="B15" s="115"/>
      <c r="C15" s="1097"/>
      <c r="D15" s="1098"/>
      <c r="E15" s="1098"/>
      <c r="F15" s="1098"/>
      <c r="G15" s="1098"/>
      <c r="H15" s="1098"/>
      <c r="I15" s="1098"/>
      <c r="J15" s="1098"/>
      <c r="K15" s="1098"/>
      <c r="L15" s="1098"/>
      <c r="M15" s="1098"/>
      <c r="N15" s="1098"/>
      <c r="O15" s="105"/>
    </row>
    <row r="16" spans="2:15" ht="39" customHeight="1" thickBot="1">
      <c r="B16" s="115"/>
      <c r="C16" s="1151" t="s">
        <v>713</v>
      </c>
      <c r="D16" s="1152"/>
      <c r="E16" s="1152"/>
      <c r="F16" s="1152"/>
      <c r="G16" s="1152"/>
      <c r="H16" s="1152"/>
      <c r="I16" s="1152"/>
      <c r="J16" s="1152"/>
      <c r="K16" s="1152"/>
      <c r="L16" s="1152"/>
      <c r="M16" s="1152"/>
      <c r="N16" s="1153"/>
      <c r="O16" s="105"/>
    </row>
    <row r="17" spans="2:15" ht="17" thickBot="1">
      <c r="B17" s="115"/>
      <c r="C17" s="116"/>
      <c r="D17" s="1099"/>
      <c r="E17" s="1099"/>
      <c r="F17" s="1099"/>
      <c r="G17" s="1099"/>
      <c r="H17" s="1099"/>
      <c r="I17" s="1099"/>
      <c r="J17" s="1099"/>
      <c r="K17" s="1136"/>
      <c r="L17" s="1136"/>
      <c r="M17" s="1099"/>
      <c r="N17" s="1099"/>
      <c r="O17" s="105"/>
    </row>
    <row r="18" spans="2:15" ht="17" thickBot="1">
      <c r="B18" s="115"/>
      <c r="C18" s="1100"/>
      <c r="D18" s="1101"/>
      <c r="E18" s="1099"/>
      <c r="F18" s="1099"/>
      <c r="G18" s="1099"/>
      <c r="H18" s="1099"/>
      <c r="I18" s="1099"/>
      <c r="J18" s="1099"/>
      <c r="K18" s="1154" t="s">
        <v>703</v>
      </c>
      <c r="L18" s="1155"/>
      <c r="M18" s="1134"/>
      <c r="N18" s="1099"/>
      <c r="O18" s="105"/>
    </row>
    <row r="19" spans="2:15" ht="18" thickTop="1" thickBot="1">
      <c r="B19" s="1102"/>
      <c r="C19" s="118"/>
      <c r="D19" s="1103"/>
      <c r="E19" s="1104" t="s">
        <v>38</v>
      </c>
      <c r="F19" s="1105" t="s">
        <v>704</v>
      </c>
      <c r="G19" s="1156" t="s">
        <v>77</v>
      </c>
      <c r="H19" s="1106" t="s">
        <v>705</v>
      </c>
      <c r="I19" s="1159" t="s">
        <v>706</v>
      </c>
      <c r="J19" s="1107" t="s">
        <v>707</v>
      </c>
      <c r="K19" s="1162" t="s">
        <v>708</v>
      </c>
      <c r="L19" s="1163"/>
      <c r="M19" s="1135" t="s">
        <v>707</v>
      </c>
      <c r="N19" s="1109"/>
      <c r="O19" s="105"/>
    </row>
    <row r="20" spans="2:15" ht="17" thickTop="1">
      <c r="B20" s="1102"/>
      <c r="C20" s="1110"/>
      <c r="D20" s="1111"/>
      <c r="E20" s="1099"/>
      <c r="F20" s="1099"/>
      <c r="G20" s="1157"/>
      <c r="H20" s="1099"/>
      <c r="I20" s="1160"/>
      <c r="J20" s="1112" t="s">
        <v>709</v>
      </c>
      <c r="K20" s="1164" t="s">
        <v>708</v>
      </c>
      <c r="L20" s="1165"/>
      <c r="M20" s="1113" t="s">
        <v>709</v>
      </c>
      <c r="N20" s="1114"/>
      <c r="O20" s="105"/>
    </row>
    <row r="21" spans="2:15" ht="17" thickBot="1">
      <c r="B21" s="1102"/>
      <c r="C21" s="118"/>
      <c r="D21" s="1104" t="s">
        <v>710</v>
      </c>
      <c r="E21" s="1115" t="s">
        <v>10</v>
      </c>
      <c r="F21" s="1116" t="s">
        <v>90</v>
      </c>
      <c r="G21" s="1158"/>
      <c r="H21" s="1112" t="s">
        <v>711</v>
      </c>
      <c r="I21" s="1160"/>
      <c r="J21" s="1117" t="s">
        <v>55</v>
      </c>
      <c r="K21" s="1164" t="s">
        <v>708</v>
      </c>
      <c r="L21" s="1165"/>
      <c r="M21" s="1108" t="s">
        <v>55</v>
      </c>
      <c r="N21" s="1118"/>
      <c r="O21" s="105"/>
    </row>
    <row r="22" spans="2:15" ht="17" thickBot="1">
      <c r="B22" s="1102"/>
      <c r="C22" s="118"/>
      <c r="D22" s="1119" t="s">
        <v>6</v>
      </c>
      <c r="E22" s="1099"/>
      <c r="F22" s="1120" t="s">
        <v>0</v>
      </c>
      <c r="G22" s="1099"/>
      <c r="H22" s="1099"/>
      <c r="I22" s="1161"/>
      <c r="J22" s="1121" t="s">
        <v>712</v>
      </c>
      <c r="K22" s="1166" t="s">
        <v>708</v>
      </c>
      <c r="L22" s="1167"/>
      <c r="M22" s="1122" t="s">
        <v>712</v>
      </c>
      <c r="N22" s="1123"/>
      <c r="O22" s="105"/>
    </row>
    <row r="23" spans="2:15">
      <c r="B23" s="1102"/>
      <c r="C23" s="1124"/>
      <c r="D23" s="1125"/>
      <c r="E23" s="1099"/>
      <c r="F23" s="1120" t="s">
        <v>5</v>
      </c>
      <c r="G23" s="1099"/>
      <c r="H23" s="1099"/>
      <c r="I23" s="1099"/>
      <c r="J23" s="1099"/>
      <c r="K23" s="1099"/>
      <c r="L23" s="1099"/>
      <c r="M23" s="1126"/>
      <c r="N23" s="1127"/>
      <c r="O23" s="105"/>
    </row>
    <row r="24" spans="2:15" ht="17" thickBot="1">
      <c r="B24" s="1102"/>
      <c r="C24" s="1124"/>
      <c r="D24" s="1128"/>
      <c r="E24" s="1101"/>
      <c r="F24" s="1129"/>
      <c r="G24" s="1101"/>
      <c r="H24" s="1101"/>
      <c r="I24" s="1101"/>
      <c r="J24" s="1101"/>
      <c r="K24" s="1101"/>
      <c r="L24" s="1101"/>
      <c r="M24" s="1130"/>
      <c r="N24" s="1127"/>
      <c r="O24" s="105"/>
    </row>
    <row r="25" spans="2:15" ht="18" thickTop="1" thickBot="1">
      <c r="B25" s="1102"/>
      <c r="C25" s="1131"/>
      <c r="D25" s="1144" t="s">
        <v>76</v>
      </c>
      <c r="E25" s="1144"/>
      <c r="F25" s="1144"/>
      <c r="G25" s="1144"/>
      <c r="H25" s="1144"/>
      <c r="I25" s="1144"/>
      <c r="J25" s="1144"/>
      <c r="K25" s="1144"/>
      <c r="L25" s="1144"/>
      <c r="M25" s="1144"/>
      <c r="N25" s="1132"/>
      <c r="O25" s="105"/>
    </row>
    <row r="26" spans="2:15" ht="17" thickTop="1">
      <c r="B26" s="115"/>
      <c r="C26" s="105"/>
      <c r="D26" s="105"/>
      <c r="E26" s="105"/>
      <c r="F26" s="105"/>
      <c r="G26" s="105"/>
      <c r="H26" s="105"/>
      <c r="I26" s="105"/>
      <c r="J26" s="105"/>
      <c r="K26" s="105"/>
      <c r="L26" s="105"/>
      <c r="M26" s="105"/>
      <c r="N26" s="105"/>
      <c r="O26" s="105"/>
    </row>
  </sheetData>
  <mergeCells count="11">
    <mergeCell ref="D25:M25"/>
    <mergeCell ref="C3:N3"/>
    <mergeCell ref="C5:N5"/>
    <mergeCell ref="C16:N16"/>
    <mergeCell ref="K18:L18"/>
    <mergeCell ref="G19:G21"/>
    <mergeCell ref="I19:I22"/>
    <mergeCell ref="K19:L19"/>
    <mergeCell ref="K20:L20"/>
    <mergeCell ref="K21:L21"/>
    <mergeCell ref="K22:L22"/>
  </mergeCells>
  <phoneticPr fontId="2" type="noConversion"/>
  <hyperlinks>
    <hyperlink ref="C3:M3" r:id="rId1" display="https://www.bfm-unity.com/" xr:uid="{80C9C4FC-55A3-CC49-B706-7575B95327B8}"/>
    <hyperlink ref="F8" location="哈布历法!A1" display="哈布历法" xr:uid="{DD90DC56-C3DD-6F42-BF61-347E423C1D6E}"/>
    <hyperlink ref="F10" location="哈布历2!A1" display="哈布历2" xr:uid="{942EFF3C-F63B-AD4A-B81D-CC052BC32E27}"/>
    <hyperlink ref="F9" location="哈布历1!A1" display="哈布历1" xr:uid="{157E4A3D-35CD-8B42-B33B-AB4F38193DAC}"/>
    <hyperlink ref="G10" location="参数实验室!A1" display="参数实验室" xr:uid="{C7831036-30CD-3741-9C77-189D02D4D330}"/>
    <hyperlink ref="G9" location="神经网络!A1" display="神经网络" xr:uid="{8896E008-D39A-A446-B378-E25AF1FC1F6C}"/>
    <hyperlink ref="H9" location="币圈空间站!A1" display="币圈空间站" xr:uid="{1D47CA0B-29FF-934C-A6BF-4250C38A5109}"/>
    <hyperlink ref="K10" location="基金费率!A1" display="基金费率" xr:uid="{0D63B5AB-7ED3-0B47-9FDE-6687D3AC33F2}"/>
    <hyperlink ref="K8" location="基金结算中枢!A1" display="基金结算中枢" xr:uid="{A5D8EB04-B04E-F04D-ACD2-32067D601307}"/>
    <hyperlink ref="K9" location="基金申赎记录!A1" display="基金申赎记录" xr:uid="{63379A29-ACBD-934A-A12E-3A39AD068454}"/>
    <hyperlink ref="G11" location="回测实验室!A1" display="回测实验室" xr:uid="{24582A6F-782D-F141-9557-8CA0DB566564}"/>
    <hyperlink ref="I9" location="居家服务!A1" display="居家服务" xr:uid="{1A8DF09B-86CE-4D40-B92D-A0F03DA1D311}"/>
    <hyperlink ref="H10" location="且慢驾驶舱!A1" display="且慢驾驶舱" xr:uid="{F25BA574-6F88-564A-8E3B-A5165DC899B7}"/>
    <hyperlink ref="H11" location="'旧驾驶舱（待拆除）'!A1" display="旧驾驶舱（待拆除）" xr:uid="{AAA56614-11CF-8043-9DA9-5195F3FBF4FD}"/>
    <hyperlink ref="J8" location="'CryptoSheets(🔥)'!A1" display="CryptoSheets(🔥)" xr:uid="{FC83A71F-9097-104C-9144-51685EBFDD8B}"/>
    <hyperlink ref="J9" location="币种排名!A1" display="币种排名" xr:uid="{C7B7A04E-A96D-E947-830A-6CEAAD984224}"/>
    <hyperlink ref="J10" location="交易所排名!A1" display="交易所排名" xr:uid="{6EFD9477-8957-A845-B1CC-DD415C172AF1}"/>
    <hyperlink ref="J11" location="MVRV和S2F!A1" display="MVRV和S2F" xr:uid="{27C4CCED-E27F-D047-9F19-733888A19F04}"/>
    <hyperlink ref="G8" location="卓尔金历!A1" display="卓尔金历" xr:uid="{61C0A0B7-7174-1140-A2CB-370142DC69E4}"/>
  </hyperlinks>
  <pageMargins left="0.7" right="0.7" top="0.75" bottom="0.75" header="0.3" footer="0.3"/>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C07C-51F4-B844-975B-72CDB7484FFB}">
  <dimension ref="B1:AM187"/>
  <sheetViews>
    <sheetView showGridLines="0" zoomScaleNormal="75" workbookViewId="0">
      <pane xSplit="3" topLeftCell="U1" activePane="topRight" state="frozen"/>
      <selection pane="topRight" activeCell="V3" sqref="V3"/>
    </sheetView>
  </sheetViews>
  <sheetFormatPr baseColWidth="10" defaultColWidth="30.33203125" defaultRowHeight="28" customHeight="1"/>
  <cols>
    <col min="1" max="1" width="30.33203125" customWidth="1"/>
    <col min="2" max="2" width="3.6640625" customWidth="1"/>
    <col min="3" max="17" width="30.33203125" customWidth="1"/>
    <col min="18" max="18" width="3.1640625" customWidth="1"/>
    <col min="19" max="19" width="30.33203125" customWidth="1"/>
    <col min="20" max="20" width="3.1640625" customWidth="1"/>
    <col min="21" max="27" width="30.33203125" customWidth="1"/>
    <col min="28" max="28" width="3.1640625" customWidth="1"/>
  </cols>
  <sheetData>
    <row r="1" spans="2:29" ht="171" customHeight="1"/>
    <row r="2" spans="2:29" ht="28" customHeight="1" thickBot="1">
      <c r="B2" s="105"/>
      <c r="C2" s="105"/>
      <c r="D2" s="105"/>
      <c r="E2" s="105"/>
      <c r="F2" s="105"/>
      <c r="G2" s="105"/>
      <c r="H2" s="105"/>
      <c r="I2" s="105"/>
      <c r="J2" s="105"/>
      <c r="K2" s="105"/>
      <c r="L2" s="105"/>
      <c r="M2" s="105"/>
      <c r="N2" s="105"/>
      <c r="O2" s="105"/>
      <c r="P2" s="105"/>
      <c r="Q2" s="105"/>
      <c r="R2" s="105"/>
      <c r="S2" s="105"/>
      <c r="T2" s="105"/>
      <c r="U2" s="105"/>
      <c r="V2" s="105"/>
      <c r="W2" s="105"/>
      <c r="X2" s="105"/>
      <c r="Y2" s="105"/>
      <c r="Z2" s="105"/>
      <c r="AA2" s="105"/>
      <c r="AB2" s="105"/>
    </row>
    <row r="3" spans="2:29" ht="113" customHeight="1" thickBot="1">
      <c r="B3" s="105"/>
      <c r="C3" s="316" t="s">
        <v>191</v>
      </c>
      <c r="D3" s="105"/>
      <c r="E3" s="1175" t="s">
        <v>193</v>
      </c>
      <c r="F3" s="1176"/>
      <c r="G3" s="1176"/>
      <c r="H3" s="1176"/>
      <c r="I3" s="1176"/>
      <c r="J3" s="1176"/>
      <c r="K3" s="1176"/>
      <c r="L3" s="1176"/>
      <c r="M3" s="1176"/>
      <c r="N3" s="1176"/>
      <c r="O3" s="1176"/>
      <c r="P3" s="1176"/>
      <c r="Q3" s="1176"/>
      <c r="R3" s="1176"/>
      <c r="S3" s="1177"/>
      <c r="T3" s="187"/>
      <c r="U3" s="105"/>
      <c r="V3" s="1088" t="s">
        <v>199</v>
      </c>
      <c r="W3" s="105"/>
      <c r="X3" s="1172" t="s">
        <v>192</v>
      </c>
      <c r="Y3" s="1173"/>
      <c r="Z3" s="1173"/>
      <c r="AA3" s="1174"/>
      <c r="AB3" s="105"/>
    </row>
    <row r="4" spans="2:29" ht="28" customHeight="1">
      <c r="B4" s="105"/>
      <c r="C4" s="187"/>
      <c r="D4" s="105"/>
      <c r="E4" s="187"/>
      <c r="F4" s="187"/>
      <c r="G4" s="187"/>
      <c r="H4" s="187"/>
      <c r="I4" s="187"/>
      <c r="J4" s="187"/>
      <c r="K4" s="187"/>
      <c r="L4" s="187"/>
      <c r="M4" s="187"/>
      <c r="N4" s="187"/>
      <c r="O4" s="187"/>
      <c r="P4" s="187"/>
      <c r="Q4" s="187"/>
      <c r="R4" s="187"/>
      <c r="S4" s="187"/>
      <c r="T4" s="187"/>
      <c r="U4" s="105"/>
      <c r="V4" s="187"/>
      <c r="W4" s="105"/>
      <c r="X4" s="105"/>
      <c r="Y4" s="105"/>
      <c r="Z4" s="105"/>
      <c r="AA4" s="105"/>
      <c r="AB4" s="105"/>
    </row>
    <row r="5" spans="2:29" ht="28" customHeight="1">
      <c r="U5" s="137"/>
      <c r="AB5" s="137"/>
      <c r="AC5" s="137"/>
    </row>
    <row r="6" spans="2:29" ht="28" customHeight="1" thickBot="1">
      <c r="B6" s="105"/>
      <c r="C6" s="105"/>
      <c r="D6" s="368"/>
      <c r="E6" s="227"/>
      <c r="F6" s="105"/>
      <c r="G6" s="105"/>
      <c r="H6" s="105"/>
      <c r="I6" s="105"/>
      <c r="J6" s="105"/>
      <c r="K6" s="105"/>
      <c r="L6" s="105"/>
      <c r="M6" s="105"/>
      <c r="N6" s="105"/>
      <c r="O6" s="105"/>
      <c r="P6" s="105"/>
      <c r="Q6" s="105"/>
      <c r="R6" s="105"/>
      <c r="S6" s="105"/>
      <c r="T6" s="105"/>
      <c r="U6" s="137"/>
      <c r="AB6" s="137"/>
      <c r="AC6" s="137"/>
    </row>
    <row r="7" spans="2:29" s="56" customFormat="1" ht="28" customHeight="1">
      <c r="B7" s="105"/>
      <c r="C7" s="328" t="s">
        <v>78</v>
      </c>
      <c r="D7" s="369" t="s">
        <v>79</v>
      </c>
      <c r="E7" s="119">
        <v>44472</v>
      </c>
      <c r="F7" s="119">
        <v>44479</v>
      </c>
      <c r="G7" s="119">
        <v>44486</v>
      </c>
      <c r="H7" s="119">
        <v>44493</v>
      </c>
      <c r="I7" s="119">
        <v>44500</v>
      </c>
      <c r="J7" s="119">
        <v>44507</v>
      </c>
      <c r="K7" s="119">
        <v>44514</v>
      </c>
      <c r="L7" s="119">
        <v>44521</v>
      </c>
      <c r="M7" s="119">
        <v>44528</v>
      </c>
      <c r="N7" s="119">
        <v>44535</v>
      </c>
      <c r="O7" s="119">
        <v>44542</v>
      </c>
      <c r="P7" s="119">
        <v>44549</v>
      </c>
      <c r="Q7" s="119">
        <v>44556</v>
      </c>
      <c r="R7" s="105"/>
      <c r="S7" s="1168" t="s">
        <v>669</v>
      </c>
      <c r="T7" s="187"/>
      <c r="U7" s="138"/>
      <c r="AB7" s="137"/>
      <c r="AC7" s="138"/>
    </row>
    <row r="8" spans="2:29" s="120" customFormat="1" ht="28" customHeight="1">
      <c r="B8" s="105"/>
      <c r="C8" s="355" t="s">
        <v>38</v>
      </c>
      <c r="D8" s="370" t="e">
        <f>LOOKUP(9E+307,E8:Q8)</f>
        <v>#N/A</v>
      </c>
      <c r="E8" s="364"/>
      <c r="F8" s="356"/>
      <c r="G8" s="356"/>
      <c r="H8" s="356"/>
      <c r="I8" s="356"/>
      <c r="J8" s="356"/>
      <c r="K8" s="356"/>
      <c r="L8" s="356"/>
      <c r="M8" s="356"/>
      <c r="N8" s="356"/>
      <c r="O8" s="356"/>
      <c r="P8" s="356"/>
      <c r="Q8" s="356"/>
      <c r="R8" s="105"/>
      <c r="S8" s="1169"/>
      <c r="T8" s="187"/>
      <c r="U8" s="139"/>
      <c r="AB8" s="137"/>
      <c r="AC8" s="139"/>
    </row>
    <row r="9" spans="2:29" s="120" customFormat="1" ht="28" customHeight="1" thickBot="1">
      <c r="B9" s="105"/>
      <c r="C9" s="357" t="s">
        <v>36</v>
      </c>
      <c r="D9" s="371" t="e">
        <f>LOOKUP(9E+307,E9:Q9)</f>
        <v>#N/A</v>
      </c>
      <c r="E9" s="364"/>
      <c r="F9" s="356"/>
      <c r="G9" s="356"/>
      <c r="H9" s="356"/>
      <c r="I9" s="356"/>
      <c r="J9" s="356"/>
      <c r="K9" s="356"/>
      <c r="L9" s="356"/>
      <c r="M9" s="356"/>
      <c r="N9" s="356"/>
      <c r="O9" s="356"/>
      <c r="P9" s="356"/>
      <c r="Q9" s="356"/>
      <c r="R9" s="105"/>
      <c r="S9" s="1169"/>
      <c r="T9" s="187"/>
      <c r="U9" s="139"/>
      <c r="AB9" s="137"/>
      <c r="AC9" s="139"/>
    </row>
    <row r="10" spans="2:29" s="120" customFormat="1" ht="28" customHeight="1">
      <c r="B10" s="105"/>
      <c r="C10" s="319" t="s">
        <v>13</v>
      </c>
      <c r="D10" s="372">
        <f>LOOKUP(9E+307,E10:Q10)</f>
        <v>60700</v>
      </c>
      <c r="E10" s="356">
        <v>60700</v>
      </c>
      <c r="F10" s="356"/>
      <c r="G10" s="356"/>
      <c r="H10" s="356"/>
      <c r="I10" s="356"/>
      <c r="J10" s="360"/>
      <c r="K10" s="356"/>
      <c r="L10" s="356"/>
      <c r="M10" s="356"/>
      <c r="N10" s="356"/>
      <c r="O10" s="356"/>
      <c r="P10" s="356"/>
      <c r="Q10" s="356"/>
      <c r="R10" s="105"/>
      <c r="S10" s="1169"/>
      <c r="T10" s="187"/>
      <c r="U10" s="139"/>
      <c r="AB10" s="137"/>
      <c r="AC10" s="139"/>
    </row>
    <row r="11" spans="2:29" s="57" customFormat="1" ht="28" customHeight="1">
      <c r="B11" s="105"/>
      <c r="C11" s="320" t="s">
        <v>5</v>
      </c>
      <c r="D11" s="373">
        <f>LOOKUP(9E+307,E11:Q11)</f>
        <v>2.04</v>
      </c>
      <c r="E11" s="360">
        <v>2.04</v>
      </c>
      <c r="F11" s="360"/>
      <c r="G11" s="360"/>
      <c r="H11" s="360"/>
      <c r="I11" s="360"/>
      <c r="J11" s="363"/>
      <c r="K11" s="360"/>
      <c r="L11" s="360"/>
      <c r="M11" s="360"/>
      <c r="N11" s="360"/>
      <c r="O11" s="360"/>
      <c r="P11" s="360"/>
      <c r="Q11" s="360"/>
      <c r="R11" s="105"/>
      <c r="S11" s="1169"/>
      <c r="T11" s="187"/>
      <c r="U11" s="140"/>
      <c r="AB11" s="137"/>
      <c r="AC11" s="140"/>
    </row>
    <row r="12" spans="2:29" s="57" customFormat="1" ht="28" customHeight="1">
      <c r="B12" s="105"/>
      <c r="C12" s="320" t="s">
        <v>14</v>
      </c>
      <c r="D12" s="373">
        <f>LOOKUP(9E+307,E12:Q12)</f>
        <v>42000</v>
      </c>
      <c r="E12" s="360">
        <v>42000</v>
      </c>
      <c r="F12" s="360"/>
      <c r="G12" s="360"/>
      <c r="H12" s="360"/>
      <c r="I12" s="360"/>
      <c r="J12" s="360"/>
      <c r="K12" s="360"/>
      <c r="L12" s="360"/>
      <c r="M12" s="360"/>
      <c r="N12" s="360"/>
      <c r="O12" s="360"/>
      <c r="P12" s="360"/>
      <c r="Q12" s="360"/>
      <c r="R12" s="105"/>
      <c r="S12" s="1169"/>
      <c r="T12" s="187"/>
      <c r="U12" s="140"/>
      <c r="AB12" s="137"/>
      <c r="AC12" s="140"/>
    </row>
    <row r="13" spans="2:29" s="57" customFormat="1" ht="28" customHeight="1">
      <c r="B13" s="105"/>
      <c r="C13" s="321" t="s">
        <v>9</v>
      </c>
      <c r="D13" s="374">
        <f>LN(D11/参数实验室!$E$53)/参数实验室!$E$55</f>
        <v>0.14813655468287767</v>
      </c>
      <c r="E13" s="125">
        <f>LN(E11/参数实验室!$E$53)/参数实验室!$E$55</f>
        <v>0.14813655468287767</v>
      </c>
      <c r="F13" s="112" t="e">
        <f>LN(F11/参数实验室!$E$53)/参数实验室!$E$55</f>
        <v>#NUM!</v>
      </c>
      <c r="G13" s="112" t="e">
        <f>LN(G11/参数实验室!$E$53)/参数实验室!$E$55</f>
        <v>#NUM!</v>
      </c>
      <c r="H13" s="112" t="e">
        <f>LN(H11/参数实验室!$E$53)/参数实验室!$E$55</f>
        <v>#NUM!</v>
      </c>
      <c r="I13" s="112" t="e">
        <f>LN(I11/参数实验室!$E$53)/参数实验室!$E$55</f>
        <v>#NUM!</v>
      </c>
      <c r="J13" s="112" t="e">
        <f>LN(J11/参数实验室!$E$53)/参数实验室!$E$55</f>
        <v>#NUM!</v>
      </c>
      <c r="K13" s="112" t="e">
        <f>LN(K11/参数实验室!$E$53)/参数实验室!$E$55</f>
        <v>#NUM!</v>
      </c>
      <c r="L13" s="112" t="e">
        <f>LN(L11/参数实验室!$E$53)/参数实验室!$E$55</f>
        <v>#NUM!</v>
      </c>
      <c r="M13" s="112" t="e">
        <f>LN(M11/参数实验室!$E$53)/参数实验室!$E$55</f>
        <v>#NUM!</v>
      </c>
      <c r="N13" s="112" t="e">
        <f>LN(N11/参数实验室!$E$53)/参数实验室!$E$55</f>
        <v>#NUM!</v>
      </c>
      <c r="O13" s="112" t="e">
        <f>LN(O11/参数实验室!$E$53)/参数实验室!$E$55</f>
        <v>#NUM!</v>
      </c>
      <c r="P13" s="112" t="e">
        <f>LN(P11/参数实验室!$E$53)/参数实验室!$E$55</f>
        <v>#NUM!</v>
      </c>
      <c r="Q13" s="112" t="e">
        <f>LN(Q11/参数实验室!$E$53)/参数实验室!$E$55</f>
        <v>#NUM!</v>
      </c>
      <c r="R13" s="105"/>
      <c r="S13" s="1169"/>
      <c r="T13" s="187"/>
      <c r="U13" s="140"/>
      <c r="AB13" s="137"/>
      <c r="AC13" s="140"/>
    </row>
    <row r="14" spans="2:29" s="57" customFormat="1" ht="28" customHeight="1">
      <c r="B14" s="105"/>
      <c r="C14" s="321" t="s">
        <v>10</v>
      </c>
      <c r="D14" s="374">
        <f t="shared" ref="D14:E14" si="0">D10/D12</f>
        <v>1.4452380952380952</v>
      </c>
      <c r="E14" s="125">
        <f t="shared" si="0"/>
        <v>1.4452380952380952</v>
      </c>
      <c r="F14" s="112" t="e">
        <f t="shared" ref="F14:H14" si="1">F10/F12</f>
        <v>#DIV/0!</v>
      </c>
      <c r="G14" s="112" t="e">
        <f t="shared" si="1"/>
        <v>#DIV/0!</v>
      </c>
      <c r="H14" s="112" t="e">
        <f t="shared" si="1"/>
        <v>#DIV/0!</v>
      </c>
      <c r="I14" s="112" t="e">
        <f t="shared" ref="I14:Q14" si="2">I10/I12</f>
        <v>#DIV/0!</v>
      </c>
      <c r="J14" s="112" t="e">
        <f t="shared" si="2"/>
        <v>#DIV/0!</v>
      </c>
      <c r="K14" s="112" t="e">
        <f t="shared" si="2"/>
        <v>#DIV/0!</v>
      </c>
      <c r="L14" s="112" t="e">
        <f t="shared" si="2"/>
        <v>#DIV/0!</v>
      </c>
      <c r="M14" s="112" t="e">
        <f t="shared" si="2"/>
        <v>#DIV/0!</v>
      </c>
      <c r="N14" s="112" t="e">
        <f t="shared" si="2"/>
        <v>#DIV/0!</v>
      </c>
      <c r="O14" s="112" t="e">
        <f t="shared" si="2"/>
        <v>#DIV/0!</v>
      </c>
      <c r="P14" s="112" t="e">
        <f t="shared" si="2"/>
        <v>#DIV/0!</v>
      </c>
      <c r="Q14" s="112" t="e">
        <f t="shared" si="2"/>
        <v>#DIV/0!</v>
      </c>
      <c r="R14" s="105"/>
      <c r="S14" s="1169"/>
      <c r="T14" s="187"/>
      <c r="U14" s="140"/>
      <c r="AB14" s="137"/>
      <c r="AC14" s="140"/>
    </row>
    <row r="15" spans="2:29" s="57" customFormat="1" ht="28" customHeight="1">
      <c r="B15" s="105"/>
      <c r="C15" s="321" t="s">
        <v>1</v>
      </c>
      <c r="D15" s="374">
        <f>LN(D14/参数实验室!$E$58)/参数实验室!$E$59</f>
        <v>2.7601150823867234E-3</v>
      </c>
      <c r="E15" s="125">
        <f>LN(E14/参数实验室!$E$58)/参数实验室!$E$59</f>
        <v>2.7601150823867234E-3</v>
      </c>
      <c r="F15" s="112" t="e">
        <f>LN(F14/参数实验室!$E$58)/参数实验室!$E$59</f>
        <v>#DIV/0!</v>
      </c>
      <c r="G15" s="112" t="e">
        <f>LN(G14/参数实验室!$E$58)/参数实验室!$E$59</f>
        <v>#DIV/0!</v>
      </c>
      <c r="H15" s="112" t="e">
        <f>LN(H14/参数实验室!$E$58)/参数实验室!$E$59</f>
        <v>#DIV/0!</v>
      </c>
      <c r="I15" s="112" t="e">
        <f>LN(I14/参数实验室!$E$58)/参数实验室!$E$59</f>
        <v>#DIV/0!</v>
      </c>
      <c r="J15" s="112" t="e">
        <f>LN(J14/参数实验室!$E$58)/参数实验室!$E$59</f>
        <v>#DIV/0!</v>
      </c>
      <c r="K15" s="112" t="e">
        <f>LN(K14/参数实验室!$E$58)/参数实验室!$E$59</f>
        <v>#DIV/0!</v>
      </c>
      <c r="L15" s="112" t="e">
        <f>LN(L14/参数实验室!$E$58)/参数实验室!$E$59</f>
        <v>#DIV/0!</v>
      </c>
      <c r="M15" s="112" t="e">
        <f>LN(M14/参数实验室!$E$58)/参数实验室!$E$59</f>
        <v>#DIV/0!</v>
      </c>
      <c r="N15" s="112" t="e">
        <f>LN(N14/参数实验室!$E$58)/参数实验室!$E$59</f>
        <v>#DIV/0!</v>
      </c>
      <c r="O15" s="112" t="e">
        <f>LN(O14/参数实验室!$E$58)/参数实验室!$E$59</f>
        <v>#DIV/0!</v>
      </c>
      <c r="P15" s="112" t="e">
        <f>LN(P14/参数实验室!$E$58)/参数实验室!$E$59</f>
        <v>#DIV/0!</v>
      </c>
      <c r="Q15" s="112" t="e">
        <f>LN(Q14/参数实验室!$E$58)/参数实验室!$E$59</f>
        <v>#DIV/0!</v>
      </c>
      <c r="R15" s="105"/>
      <c r="S15" s="1169"/>
      <c r="T15" s="187"/>
      <c r="U15" s="140"/>
      <c r="AB15" s="137"/>
      <c r="AC15" s="140"/>
    </row>
    <row r="16" spans="2:29" s="57" customFormat="1" ht="28" customHeight="1">
      <c r="B16" s="307"/>
      <c r="C16" s="474" t="s">
        <v>90</v>
      </c>
      <c r="D16" s="475">
        <f>INDEX(神经网络!$G$10:$BO$70,MATCH(ROUND(D15*2,1)/2,神经网络!$E$10:$E$70,0),MATCH(ROUND(D13*2,1)/2,神经网络!$G$8:$BO$8,0))</f>
        <v>1.1878973697903477</v>
      </c>
      <c r="E16" s="476">
        <f>INDEX(神经网络!$G$10:$BO$70,MATCH(ROUND(E15*2,1)/2,神经网络!$E$10:$E$70,0),MATCH(ROUND(E13*2,1)/2,神经网络!$G$8:$BO$8,0))</f>
        <v>1.1878973697903477</v>
      </c>
      <c r="F16" s="125" t="e">
        <f>INDEX(神经网络!$G$10:$BO$70,MATCH(ROUND(F15*2,1)/2,神经网络!$E$10:$E$70,0),MATCH(ROUND(F13*2,1)/2,神经网络!$G$8:$BO$8,0))</f>
        <v>#DIV/0!</v>
      </c>
      <c r="G16" s="125" t="e">
        <f>INDEX(神经网络!$G$10:$BO$70,MATCH(ROUND(G15*2,1)/2,神经网络!$E$10:$E$70,0),MATCH(ROUND(G13*2,1)/2,神经网络!$G$8:$BO$8,0))</f>
        <v>#DIV/0!</v>
      </c>
      <c r="H16" s="125" t="e">
        <f>INDEX(神经网络!$G$10:$BO$70,MATCH(ROUND(H15*2,1)/2,神经网络!$E$10:$E$70,0),MATCH(ROUND(H13*2,1)/2,神经网络!$G$8:$BO$8,0))</f>
        <v>#DIV/0!</v>
      </c>
      <c r="I16" s="125" t="e">
        <f>INDEX(神经网络!$G$10:$BO$70,MATCH(ROUND(I15*2,1)/2,神经网络!$E$10:$E$70,0),MATCH(ROUND(I13*2,1)/2,神经网络!$G$8:$BO$8,0))</f>
        <v>#DIV/0!</v>
      </c>
      <c r="J16" s="125" t="e">
        <f>INDEX(神经网络!$G$10:$BO$70,MATCH(ROUND(J15*2,1)/2,神经网络!$E$10:$E$70,0),MATCH(ROUND(J13*2,1)/2,神经网络!$G$8:$BO$8,0))</f>
        <v>#DIV/0!</v>
      </c>
      <c r="K16" s="125" t="e">
        <f>INDEX(神经网络!$G$10:$BO$70,MATCH(ROUND(K15*2,1)/2,神经网络!$E$10:$E$70,0),MATCH(ROUND(K13*2,1)/2,神经网络!$G$8:$BO$8,0))</f>
        <v>#DIV/0!</v>
      </c>
      <c r="L16" s="125" t="e">
        <f>INDEX(神经网络!$G$10:$BO$70,MATCH(ROUND(L15*2,1)/2,神经网络!$E$10:$E$70,0),MATCH(ROUND(L13*2,1)/2,神经网络!$G$8:$BO$8,0))</f>
        <v>#DIV/0!</v>
      </c>
      <c r="M16" s="125" t="e">
        <f>INDEX(神经网络!$G$10:$BO$70,MATCH(ROUND(M15*2,1)/2,神经网络!$E$10:$E$70,0),MATCH(ROUND(M13*2,1)/2,神经网络!$G$8:$BO$8,0))</f>
        <v>#DIV/0!</v>
      </c>
      <c r="N16" s="125" t="e">
        <f>INDEX(神经网络!$G$10:$BO$70,MATCH(ROUND(N15*2,1)/2,神经网络!$E$10:$E$70,0),MATCH(ROUND(N13*2,1)/2,神经网络!$G$8:$BO$8,0))</f>
        <v>#DIV/0!</v>
      </c>
      <c r="O16" s="125" t="e">
        <f>INDEX(神经网络!$G$10:$BO$70,MATCH(ROUND(O15*2,1)/2,神经网络!$E$10:$E$70,0),MATCH(ROUND(O13*2,1)/2,神经网络!$G$8:$BO$8,0))</f>
        <v>#DIV/0!</v>
      </c>
      <c r="P16" s="125" t="e">
        <f>INDEX(神经网络!$G$10:$BO$70,MATCH(ROUND(P15*2,1)/2,神经网络!$E$10:$E$70,0),MATCH(ROUND(P13*2,1)/2,神经网络!$G$8:$BO$8,0))</f>
        <v>#DIV/0!</v>
      </c>
      <c r="Q16" s="125" t="e">
        <f>INDEX(神经网络!$G$10:$BO$70,MATCH(ROUND(Q15*2,1)/2,神经网络!$E$10:$E$70,0),MATCH(ROUND(Q13*2,1)/2,神经网络!$G$8:$BO$8,0))</f>
        <v>#DIV/0!</v>
      </c>
      <c r="R16" s="105"/>
      <c r="S16" s="1169"/>
      <c r="T16" s="187"/>
      <c r="U16" s="140"/>
      <c r="AB16" s="137"/>
      <c r="AC16" s="140"/>
    </row>
    <row r="17" spans="2:39" s="57" customFormat="1" ht="28" customHeight="1" thickBot="1">
      <c r="B17" s="105"/>
      <c r="C17" s="473" t="s">
        <v>249</v>
      </c>
      <c r="D17" s="478">
        <f t="shared" ref="D17:D22" si="3">LOOKUP(9E+307,E17:Q17)</f>
        <v>0</v>
      </c>
      <c r="E17" s="125">
        <f>(E16-Q47)*100</f>
        <v>0</v>
      </c>
      <c r="F17" s="477" t="e">
        <f>(F16-E16)*100</f>
        <v>#DIV/0!</v>
      </c>
      <c r="G17" s="477" t="e">
        <f t="shared" ref="G17:L17" si="4">(G16-F16)*100</f>
        <v>#DIV/0!</v>
      </c>
      <c r="H17" s="477" t="e">
        <f t="shared" si="4"/>
        <v>#DIV/0!</v>
      </c>
      <c r="I17" s="477" t="e">
        <f t="shared" si="4"/>
        <v>#DIV/0!</v>
      </c>
      <c r="J17" s="477" t="e">
        <f t="shared" si="4"/>
        <v>#DIV/0!</v>
      </c>
      <c r="K17" s="477" t="e">
        <f t="shared" si="4"/>
        <v>#DIV/0!</v>
      </c>
      <c r="L17" s="477" t="e">
        <f t="shared" si="4"/>
        <v>#DIV/0!</v>
      </c>
      <c r="M17" s="477" t="e">
        <f t="shared" ref="M17" si="5">(M16-L16)*100</f>
        <v>#DIV/0!</v>
      </c>
      <c r="N17" s="477" t="e">
        <f t="shared" ref="N17" si="6">(N16-M16)*100</f>
        <v>#DIV/0!</v>
      </c>
      <c r="O17" s="477" t="e">
        <f t="shared" ref="O17" si="7">(O16-N16)*100</f>
        <v>#DIV/0!</v>
      </c>
      <c r="P17" s="477" t="e">
        <f t="shared" ref="P17" si="8">(P16-O16)*100</f>
        <v>#DIV/0!</v>
      </c>
      <c r="Q17" s="477" t="e">
        <f t="shared" ref="Q17" si="9">(Q16-P16)*100</f>
        <v>#DIV/0!</v>
      </c>
      <c r="R17" s="105"/>
      <c r="S17" s="1169"/>
      <c r="T17" s="187"/>
      <c r="U17" s="140"/>
      <c r="AB17" s="137"/>
      <c r="AC17" s="140"/>
    </row>
    <row r="18" spans="2:39" s="57" customFormat="1" ht="28" customHeight="1">
      <c r="B18" s="105"/>
      <c r="C18" s="358" t="s">
        <v>54</v>
      </c>
      <c r="D18" s="372" t="e">
        <f t="shared" si="3"/>
        <v>#N/A</v>
      </c>
      <c r="E18" s="365"/>
      <c r="F18" s="360"/>
      <c r="G18" s="360"/>
      <c r="H18" s="360"/>
      <c r="I18" s="360"/>
      <c r="J18" s="360"/>
      <c r="K18" s="360"/>
      <c r="L18" s="360"/>
      <c r="M18" s="360"/>
      <c r="N18" s="360"/>
      <c r="O18" s="360"/>
      <c r="P18" s="360"/>
      <c r="Q18" s="360"/>
      <c r="R18" s="105"/>
      <c r="S18" s="1169"/>
      <c r="T18" s="187"/>
      <c r="U18" s="140"/>
      <c r="AB18" s="137"/>
      <c r="AC18" s="140"/>
    </row>
    <row r="19" spans="2:39" s="57" customFormat="1" ht="28" customHeight="1">
      <c r="B19" s="105"/>
      <c r="C19" s="355" t="s">
        <v>80</v>
      </c>
      <c r="D19" s="373" t="e">
        <f t="shared" si="3"/>
        <v>#N/A</v>
      </c>
      <c r="E19" s="366"/>
      <c r="F19" s="362"/>
      <c r="G19" s="362"/>
      <c r="H19" s="362"/>
      <c r="I19" s="362"/>
      <c r="J19" s="362"/>
      <c r="K19" s="362"/>
      <c r="L19" s="362"/>
      <c r="M19" s="362"/>
      <c r="N19" s="362"/>
      <c r="O19" s="362"/>
      <c r="P19" s="362"/>
      <c r="Q19" s="362"/>
      <c r="R19" s="105"/>
      <c r="S19" s="1169"/>
      <c r="T19" s="187"/>
      <c r="U19" s="141"/>
      <c r="V19" s="130"/>
      <c r="W19" s="130"/>
      <c r="X19" s="130"/>
      <c r="Y19" s="130"/>
      <c r="Z19" s="130"/>
      <c r="AA19" s="130"/>
      <c r="AB19" s="137"/>
      <c r="AC19" s="141"/>
      <c r="AD19" s="130"/>
      <c r="AE19" s="130"/>
      <c r="AF19" s="130"/>
      <c r="AG19" s="130"/>
      <c r="AH19" s="130"/>
      <c r="AI19" s="130"/>
      <c r="AJ19" s="130"/>
      <c r="AK19" s="130"/>
      <c r="AL19" s="130"/>
      <c r="AM19" s="130"/>
    </row>
    <row r="20" spans="2:39" s="57" customFormat="1" ht="28" customHeight="1">
      <c r="B20" s="105"/>
      <c r="C20" s="359" t="s">
        <v>81</v>
      </c>
      <c r="D20" s="373" t="e">
        <f t="shared" si="3"/>
        <v>#N/A</v>
      </c>
      <c r="E20" s="366"/>
      <c r="F20" s="366"/>
      <c r="G20" s="366"/>
      <c r="H20" s="362"/>
      <c r="I20" s="362"/>
      <c r="J20" s="362"/>
      <c r="K20" s="362"/>
      <c r="L20" s="362"/>
      <c r="M20" s="362"/>
      <c r="N20" s="362"/>
      <c r="O20" s="362"/>
      <c r="P20" s="362"/>
      <c r="Q20" s="362"/>
      <c r="R20" s="105"/>
      <c r="S20" s="1169"/>
      <c r="T20" s="187"/>
      <c r="U20" s="141"/>
      <c r="V20" s="130"/>
      <c r="W20" s="130"/>
      <c r="X20" s="130"/>
      <c r="Y20" s="130"/>
      <c r="Z20" s="130"/>
      <c r="AA20" s="130"/>
      <c r="AB20" s="137"/>
      <c r="AC20" s="141"/>
      <c r="AD20" s="130"/>
      <c r="AE20" s="130"/>
      <c r="AF20" s="130"/>
      <c r="AG20" s="130"/>
      <c r="AH20" s="130"/>
      <c r="AI20" s="130"/>
      <c r="AJ20" s="130"/>
      <c r="AK20" s="130"/>
      <c r="AL20" s="130"/>
      <c r="AM20" s="130"/>
    </row>
    <row r="21" spans="2:39" s="57" customFormat="1" ht="28" customHeight="1">
      <c r="B21" s="105"/>
      <c r="C21" s="359" t="s">
        <v>82</v>
      </c>
      <c r="D21" s="373" t="e">
        <f t="shared" si="3"/>
        <v>#N/A</v>
      </c>
      <c r="E21" s="366"/>
      <c r="F21" s="362"/>
      <c r="G21" s="362"/>
      <c r="H21" s="362"/>
      <c r="I21" s="362"/>
      <c r="J21" s="362"/>
      <c r="K21" s="362"/>
      <c r="L21" s="362"/>
      <c r="M21" s="362"/>
      <c r="N21" s="362"/>
      <c r="O21" s="362"/>
      <c r="P21" s="888"/>
      <c r="Q21" s="362"/>
      <c r="R21" s="105"/>
      <c r="S21" s="1169"/>
      <c r="T21" s="187"/>
      <c r="U21" s="141"/>
      <c r="V21" s="130"/>
      <c r="W21" s="130"/>
      <c r="X21" s="130"/>
      <c r="Y21" s="130"/>
      <c r="Z21" s="130"/>
      <c r="AA21" s="130"/>
      <c r="AB21" s="137"/>
      <c r="AC21" s="141"/>
      <c r="AD21" s="130"/>
      <c r="AE21" s="130"/>
      <c r="AF21" s="130"/>
      <c r="AG21" s="130"/>
      <c r="AH21" s="130"/>
      <c r="AI21" s="130"/>
      <c r="AJ21" s="130"/>
      <c r="AK21" s="130"/>
      <c r="AL21" s="130"/>
      <c r="AM21" s="130"/>
    </row>
    <row r="22" spans="2:39" s="57" customFormat="1" ht="28" customHeight="1">
      <c r="B22" s="105"/>
      <c r="C22" s="359" t="s">
        <v>83</v>
      </c>
      <c r="D22" s="373" t="e">
        <f t="shared" si="3"/>
        <v>#N/A</v>
      </c>
      <c r="E22" s="366"/>
      <c r="F22" s="366"/>
      <c r="G22" s="362"/>
      <c r="H22" s="362"/>
      <c r="I22" s="362"/>
      <c r="J22" s="362"/>
      <c r="K22" s="362"/>
      <c r="L22" s="362"/>
      <c r="M22" s="362"/>
      <c r="N22" s="362"/>
      <c r="O22" s="362"/>
      <c r="P22" s="362"/>
      <c r="Q22" s="362"/>
      <c r="R22" s="105"/>
      <c r="S22" s="1169"/>
      <c r="T22" s="187"/>
      <c r="U22" s="141"/>
      <c r="V22" s="130"/>
      <c r="W22" s="130"/>
      <c r="X22" s="130"/>
      <c r="Y22" s="130"/>
      <c r="Z22" s="130"/>
      <c r="AA22" s="130"/>
      <c r="AB22" s="137"/>
      <c r="AC22" s="141"/>
      <c r="AD22" s="130"/>
      <c r="AE22" s="130"/>
      <c r="AF22" s="130"/>
      <c r="AG22" s="130"/>
      <c r="AH22" s="130"/>
      <c r="AI22" s="130"/>
      <c r="AJ22" s="130"/>
      <c r="AK22" s="130"/>
      <c r="AL22" s="130"/>
      <c r="AM22" s="130"/>
    </row>
    <row r="23" spans="2:39" s="57" customFormat="1" ht="28" customHeight="1">
      <c r="B23" s="105"/>
      <c r="C23" s="325" t="s">
        <v>84</v>
      </c>
      <c r="D23" s="375" t="e">
        <f>D22*D18</f>
        <v>#N/A</v>
      </c>
      <c r="E23" s="125">
        <f t="shared" ref="E23:Q23" si="10">E22*E18</f>
        <v>0</v>
      </c>
      <c r="F23" s="112">
        <f t="shared" si="10"/>
        <v>0</v>
      </c>
      <c r="G23" s="112">
        <f t="shared" si="10"/>
        <v>0</v>
      </c>
      <c r="H23" s="112">
        <f t="shared" si="10"/>
        <v>0</v>
      </c>
      <c r="I23" s="112">
        <f t="shared" si="10"/>
        <v>0</v>
      </c>
      <c r="J23" s="112">
        <f t="shared" si="10"/>
        <v>0</v>
      </c>
      <c r="K23" s="112">
        <f>K22*K18</f>
        <v>0</v>
      </c>
      <c r="L23" s="112">
        <f>L22*L18</f>
        <v>0</v>
      </c>
      <c r="M23" s="112">
        <f t="shared" si="10"/>
        <v>0</v>
      </c>
      <c r="N23" s="112">
        <f t="shared" si="10"/>
        <v>0</v>
      </c>
      <c r="O23" s="112">
        <f t="shared" si="10"/>
        <v>0</v>
      </c>
      <c r="P23" s="112">
        <f t="shared" si="10"/>
        <v>0</v>
      </c>
      <c r="Q23" s="112">
        <f t="shared" si="10"/>
        <v>0</v>
      </c>
      <c r="R23" s="105"/>
      <c r="S23" s="1169"/>
      <c r="T23" s="187"/>
      <c r="U23" s="141"/>
      <c r="V23" s="130"/>
      <c r="W23" s="130"/>
      <c r="X23" s="130"/>
      <c r="Y23" s="130"/>
      <c r="Z23" s="130"/>
      <c r="AA23" s="130"/>
      <c r="AB23" s="137"/>
      <c r="AC23" s="141"/>
      <c r="AD23" s="130"/>
      <c r="AE23" s="130"/>
      <c r="AF23" s="130"/>
      <c r="AG23" s="130"/>
      <c r="AH23" s="130"/>
      <c r="AI23" s="130"/>
      <c r="AJ23" s="130"/>
      <c r="AK23" s="130"/>
      <c r="AL23" s="130"/>
      <c r="AM23" s="130"/>
    </row>
    <row r="24" spans="2:39" s="57" customFormat="1" ht="28" customHeight="1">
      <c r="B24" s="105"/>
      <c r="C24" s="359" t="s">
        <v>85</v>
      </c>
      <c r="D24" s="373" t="e">
        <f>LOOKUP(9E+307,E24:Q24)</f>
        <v>#N/A</v>
      </c>
      <c r="E24" s="366"/>
      <c r="F24" s="362"/>
      <c r="G24" s="362"/>
      <c r="H24" s="362"/>
      <c r="I24" s="362"/>
      <c r="J24" s="362"/>
      <c r="K24" s="362"/>
      <c r="L24" s="362"/>
      <c r="M24" s="362"/>
      <c r="N24" s="362"/>
      <c r="O24" s="362"/>
      <c r="P24" s="362"/>
      <c r="Q24" s="362"/>
      <c r="R24" s="105"/>
      <c r="S24" s="1169"/>
      <c r="T24" s="187"/>
      <c r="U24" s="141"/>
      <c r="V24" s="130"/>
      <c r="W24" s="130"/>
      <c r="X24" s="130"/>
      <c r="Y24" s="130"/>
      <c r="Z24" s="130"/>
      <c r="AA24" s="130"/>
      <c r="AB24" s="137"/>
      <c r="AC24" s="141"/>
      <c r="AD24" s="130"/>
      <c r="AE24" s="130"/>
      <c r="AF24" s="130"/>
      <c r="AG24" s="130"/>
      <c r="AH24" s="130"/>
      <c r="AI24" s="130"/>
      <c r="AJ24" s="130"/>
      <c r="AK24" s="130"/>
      <c r="AL24" s="130"/>
      <c r="AM24" s="130"/>
    </row>
    <row r="25" spans="2:39" s="57" customFormat="1" ht="28" customHeight="1">
      <c r="B25" s="105"/>
      <c r="C25" s="325" t="s">
        <v>86</v>
      </c>
      <c r="D25" s="375" t="e">
        <f t="shared" ref="D25" si="11">D24*D18</f>
        <v>#N/A</v>
      </c>
      <c r="E25" s="125">
        <f>E24*E18</f>
        <v>0</v>
      </c>
      <c r="F25" s="112">
        <f t="shared" ref="F25:Q25" si="12">F24*F18</f>
        <v>0</v>
      </c>
      <c r="G25" s="112">
        <f t="shared" si="12"/>
        <v>0</v>
      </c>
      <c r="H25" s="112">
        <f t="shared" si="12"/>
        <v>0</v>
      </c>
      <c r="I25" s="112">
        <f t="shared" si="12"/>
        <v>0</v>
      </c>
      <c r="J25" s="112">
        <f t="shared" si="12"/>
        <v>0</v>
      </c>
      <c r="K25" s="112">
        <f>K24*K18</f>
        <v>0</v>
      </c>
      <c r="L25" s="112">
        <f>L24*L18</f>
        <v>0</v>
      </c>
      <c r="M25" s="112">
        <f t="shared" si="12"/>
        <v>0</v>
      </c>
      <c r="N25" s="112">
        <f t="shared" si="12"/>
        <v>0</v>
      </c>
      <c r="O25" s="112">
        <f t="shared" si="12"/>
        <v>0</v>
      </c>
      <c r="P25" s="112">
        <f t="shared" si="12"/>
        <v>0</v>
      </c>
      <c r="Q25" s="112">
        <f t="shared" si="12"/>
        <v>0</v>
      </c>
      <c r="R25" s="105"/>
      <c r="S25" s="1169"/>
      <c r="T25" s="187"/>
      <c r="U25" s="141"/>
      <c r="V25" s="130"/>
      <c r="W25" s="130"/>
      <c r="X25" s="130"/>
      <c r="Y25" s="130"/>
      <c r="Z25" s="130"/>
      <c r="AA25" s="130"/>
      <c r="AB25" s="137"/>
      <c r="AC25" s="141"/>
      <c r="AD25" s="130"/>
      <c r="AE25" s="130"/>
      <c r="AF25" s="130"/>
      <c r="AG25" s="130"/>
      <c r="AH25" s="130"/>
      <c r="AI25" s="130"/>
      <c r="AJ25" s="130"/>
      <c r="AK25" s="130"/>
      <c r="AL25" s="130"/>
      <c r="AM25" s="130"/>
    </row>
    <row r="26" spans="2:39" s="131" customFormat="1" ht="28" customHeight="1">
      <c r="B26" s="105"/>
      <c r="C26" s="361" t="s">
        <v>59</v>
      </c>
      <c r="D26" s="376" t="e">
        <f>LOOKUP(9E+307,E26:Q26)</f>
        <v>#N/A</v>
      </c>
      <c r="E26" s="366"/>
      <c r="F26" s="366"/>
      <c r="G26" s="366"/>
      <c r="H26" s="366"/>
      <c r="I26" s="366"/>
      <c r="J26" s="366"/>
      <c r="K26" s="366"/>
      <c r="L26" s="366"/>
      <c r="M26" s="366"/>
      <c r="N26" s="362"/>
      <c r="O26" s="362"/>
      <c r="P26" s="362"/>
      <c r="Q26" s="362"/>
      <c r="R26" s="105"/>
      <c r="S26" s="1169"/>
      <c r="T26" s="187"/>
      <c r="U26" s="141"/>
      <c r="V26" s="130"/>
      <c r="W26" s="130"/>
      <c r="X26" s="130"/>
      <c r="Y26" s="130"/>
      <c r="Z26" s="130"/>
      <c r="AA26" s="130"/>
      <c r="AB26" s="137"/>
      <c r="AC26" s="141"/>
      <c r="AD26" s="130"/>
      <c r="AE26" s="130"/>
      <c r="AF26" s="130"/>
      <c r="AG26" s="130"/>
      <c r="AH26" s="130"/>
      <c r="AI26" s="130"/>
      <c r="AJ26" s="130"/>
      <c r="AK26" s="130"/>
      <c r="AL26" s="130"/>
      <c r="AM26" s="130"/>
    </row>
    <row r="27" spans="2:39" s="131" customFormat="1" ht="28" customHeight="1">
      <c r="B27" s="105"/>
      <c r="C27" s="361" t="s">
        <v>60</v>
      </c>
      <c r="D27" s="376" t="e">
        <f>LOOKUP(9E+307,E27:Q27)</f>
        <v>#N/A</v>
      </c>
      <c r="E27" s="366"/>
      <c r="F27" s="366"/>
      <c r="G27" s="366"/>
      <c r="H27" s="366"/>
      <c r="I27" s="366"/>
      <c r="J27" s="366"/>
      <c r="K27" s="366"/>
      <c r="L27" s="366"/>
      <c r="M27" s="366"/>
      <c r="N27" s="366"/>
      <c r="O27" s="366"/>
      <c r="P27" s="366"/>
      <c r="Q27" s="366"/>
      <c r="R27" s="105"/>
      <c r="S27" s="1169"/>
      <c r="T27" s="187"/>
      <c r="U27" s="141"/>
      <c r="V27" s="130"/>
      <c r="W27" s="130"/>
      <c r="X27" s="130"/>
      <c r="Y27" s="130"/>
      <c r="Z27" s="130"/>
      <c r="AA27" s="130"/>
      <c r="AB27" s="137"/>
      <c r="AC27" s="141"/>
      <c r="AD27" s="130"/>
      <c r="AE27" s="130"/>
      <c r="AF27" s="130"/>
      <c r="AG27" s="130"/>
      <c r="AH27" s="130"/>
      <c r="AI27" s="130"/>
      <c r="AJ27" s="130"/>
      <c r="AK27" s="130"/>
      <c r="AL27" s="130"/>
      <c r="AM27" s="130"/>
    </row>
    <row r="28" spans="2:39" s="131" customFormat="1" ht="28" customHeight="1">
      <c r="B28" s="105"/>
      <c r="C28" s="361" t="s">
        <v>92</v>
      </c>
      <c r="D28" s="376" t="e">
        <f>LOOKUP(9E+307,E28:Q28)</f>
        <v>#N/A</v>
      </c>
      <c r="E28" s="366"/>
      <c r="F28" s="366"/>
      <c r="G28" s="366"/>
      <c r="H28" s="366"/>
      <c r="I28" s="366"/>
      <c r="J28" s="362"/>
      <c r="K28" s="362"/>
      <c r="L28" s="362"/>
      <c r="M28" s="362"/>
      <c r="N28" s="362"/>
      <c r="O28" s="362"/>
      <c r="P28" s="362"/>
      <c r="Q28" s="362"/>
      <c r="R28" s="105"/>
      <c r="S28" s="1169"/>
      <c r="T28" s="187"/>
      <c r="U28" s="141"/>
      <c r="V28" s="130"/>
      <c r="W28" s="130"/>
      <c r="X28" s="130"/>
      <c r="Y28" s="130"/>
      <c r="Z28" s="130"/>
      <c r="AA28" s="130"/>
      <c r="AB28" s="137"/>
      <c r="AC28" s="141"/>
      <c r="AD28" s="130"/>
      <c r="AE28" s="130"/>
      <c r="AF28" s="130"/>
      <c r="AG28" s="130"/>
      <c r="AH28" s="130"/>
      <c r="AI28" s="130"/>
      <c r="AJ28" s="130"/>
      <c r="AK28" s="130"/>
      <c r="AL28" s="130"/>
      <c r="AM28" s="130"/>
    </row>
    <row r="29" spans="2:39" s="130" customFormat="1" ht="28" customHeight="1">
      <c r="B29" s="105"/>
      <c r="C29" s="327" t="s">
        <v>61</v>
      </c>
      <c r="D29" s="377" t="e">
        <f>D26+D27+D28</f>
        <v>#N/A</v>
      </c>
      <c r="E29" s="135">
        <f t="shared" ref="E29:O29" si="13">E26+E27+E28</f>
        <v>0</v>
      </c>
      <c r="F29" s="135">
        <f t="shared" si="13"/>
        <v>0</v>
      </c>
      <c r="G29" s="135">
        <f t="shared" si="13"/>
        <v>0</v>
      </c>
      <c r="H29" s="135">
        <f t="shared" si="13"/>
        <v>0</v>
      </c>
      <c r="I29" s="135">
        <f t="shared" si="13"/>
        <v>0</v>
      </c>
      <c r="J29" s="135">
        <f t="shared" si="13"/>
        <v>0</v>
      </c>
      <c r="K29" s="135">
        <f t="shared" si="13"/>
        <v>0</v>
      </c>
      <c r="L29" s="135">
        <f t="shared" si="13"/>
        <v>0</v>
      </c>
      <c r="M29" s="135">
        <f t="shared" si="13"/>
        <v>0</v>
      </c>
      <c r="N29" s="135">
        <f t="shared" si="13"/>
        <v>0</v>
      </c>
      <c r="O29" s="135">
        <f t="shared" si="13"/>
        <v>0</v>
      </c>
      <c r="P29" s="135">
        <f t="shared" ref="P29:Q29" si="14">P26+P27+P28</f>
        <v>0</v>
      </c>
      <c r="Q29" s="135">
        <f t="shared" si="14"/>
        <v>0</v>
      </c>
      <c r="R29" s="105"/>
      <c r="S29" s="1169"/>
      <c r="T29" s="187"/>
      <c r="U29" s="141"/>
      <c r="AB29" s="137"/>
      <c r="AC29" s="141"/>
    </row>
    <row r="30" spans="2:39" s="57" customFormat="1" ht="28" customHeight="1">
      <c r="B30" s="105"/>
      <c r="C30" s="325" t="s">
        <v>87</v>
      </c>
      <c r="D30" s="375" t="e">
        <f t="shared" ref="D30" si="15">D31-D29</f>
        <v>#N/A</v>
      </c>
      <c r="E30" s="125">
        <f>E31-E29</f>
        <v>0</v>
      </c>
      <c r="F30" s="125">
        <f t="shared" ref="F30:O30" si="16">F31-F29</f>
        <v>0</v>
      </c>
      <c r="G30" s="125">
        <f t="shared" si="16"/>
        <v>0</v>
      </c>
      <c r="H30" s="125">
        <f t="shared" si="16"/>
        <v>0</v>
      </c>
      <c r="I30" s="125">
        <f t="shared" si="16"/>
        <v>0</v>
      </c>
      <c r="J30" s="125">
        <f t="shared" si="16"/>
        <v>0</v>
      </c>
      <c r="K30" s="125">
        <f t="shared" si="16"/>
        <v>0</v>
      </c>
      <c r="L30" s="125">
        <f t="shared" si="16"/>
        <v>0</v>
      </c>
      <c r="M30" s="125">
        <f t="shared" si="16"/>
        <v>0</v>
      </c>
      <c r="N30" s="125">
        <f t="shared" si="16"/>
        <v>0</v>
      </c>
      <c r="O30" s="125">
        <f t="shared" si="16"/>
        <v>0</v>
      </c>
      <c r="P30" s="125">
        <f>P31-P29</f>
        <v>0</v>
      </c>
      <c r="Q30" s="125">
        <f t="shared" ref="Q30" si="17">Q31-Q29</f>
        <v>0</v>
      </c>
      <c r="R30" s="105"/>
      <c r="S30" s="1169"/>
      <c r="T30" s="187"/>
      <c r="U30" s="141"/>
      <c r="V30" s="130"/>
      <c r="W30" s="130"/>
      <c r="X30" s="130"/>
      <c r="Y30" s="130"/>
      <c r="Z30" s="130"/>
      <c r="AA30" s="130"/>
      <c r="AB30" s="137"/>
      <c r="AC30" s="141"/>
      <c r="AD30" s="130"/>
      <c r="AE30" s="130"/>
      <c r="AF30" s="130"/>
      <c r="AG30" s="130"/>
      <c r="AH30" s="130"/>
      <c r="AI30" s="130"/>
      <c r="AJ30" s="130"/>
      <c r="AK30" s="130"/>
      <c r="AL30" s="130"/>
      <c r="AM30" s="130"/>
    </row>
    <row r="31" spans="2:39" s="57" customFormat="1" ht="28" customHeight="1">
      <c r="B31" s="105"/>
      <c r="C31" s="325" t="s">
        <v>88</v>
      </c>
      <c r="D31" s="375" t="e">
        <f t="shared" ref="D31" si="18">D20+D21+D23+D25</f>
        <v>#N/A</v>
      </c>
      <c r="E31" s="125">
        <f>E20+E21+E23+E25</f>
        <v>0</v>
      </c>
      <c r="F31" s="125">
        <f t="shared" ref="F31:N31" si="19">F20+F21+F23+F25</f>
        <v>0</v>
      </c>
      <c r="G31" s="125">
        <f t="shared" si="19"/>
        <v>0</v>
      </c>
      <c r="H31" s="125">
        <f t="shared" si="19"/>
        <v>0</v>
      </c>
      <c r="I31" s="125">
        <f t="shared" si="19"/>
        <v>0</v>
      </c>
      <c r="J31" s="125">
        <f t="shared" si="19"/>
        <v>0</v>
      </c>
      <c r="K31" s="125">
        <f t="shared" si="19"/>
        <v>0</v>
      </c>
      <c r="L31" s="125">
        <f t="shared" si="19"/>
        <v>0</v>
      </c>
      <c r="M31" s="125">
        <f>M20+M21+M23+M25</f>
        <v>0</v>
      </c>
      <c r="N31" s="125">
        <f t="shared" si="19"/>
        <v>0</v>
      </c>
      <c r="O31" s="125">
        <f>O20+O21+O23+O25</f>
        <v>0</v>
      </c>
      <c r="P31" s="125">
        <f>P20+P21+P23+P25</f>
        <v>0</v>
      </c>
      <c r="Q31" s="125">
        <f t="shared" ref="Q31" si="20">Q20+Q21+Q23+Q25</f>
        <v>0</v>
      </c>
      <c r="R31" s="105"/>
      <c r="S31" s="1169"/>
      <c r="T31" s="187"/>
      <c r="U31" s="141"/>
      <c r="V31" s="130"/>
      <c r="W31" s="130"/>
      <c r="X31" s="130"/>
      <c r="Y31" s="130"/>
      <c r="Z31" s="130"/>
      <c r="AA31" s="130"/>
      <c r="AB31" s="137"/>
      <c r="AC31" s="141"/>
      <c r="AD31" s="130"/>
      <c r="AE31" s="130"/>
      <c r="AF31" s="130"/>
      <c r="AG31" s="130"/>
      <c r="AH31" s="130"/>
      <c r="AI31" s="130"/>
      <c r="AJ31" s="130"/>
      <c r="AK31" s="130"/>
      <c r="AL31" s="130"/>
      <c r="AM31" s="130"/>
    </row>
    <row r="32" spans="2:39" s="57" customFormat="1" ht="28" customHeight="1">
      <c r="B32" s="105"/>
      <c r="C32" s="361" t="s">
        <v>89</v>
      </c>
      <c r="D32" s="376">
        <f>LOOKUP(9E+307,E32:Q32)</f>
        <v>0</v>
      </c>
      <c r="E32" s="366">
        <v>0</v>
      </c>
      <c r="F32" s="366">
        <v>0</v>
      </c>
      <c r="G32" s="362">
        <v>0</v>
      </c>
      <c r="H32" s="362">
        <v>0</v>
      </c>
      <c r="I32" s="362">
        <v>0</v>
      </c>
      <c r="J32" s="362">
        <v>0</v>
      </c>
      <c r="K32" s="362">
        <v>0</v>
      </c>
      <c r="L32" s="362">
        <v>0</v>
      </c>
      <c r="M32" s="362">
        <v>0</v>
      </c>
      <c r="N32" s="362">
        <v>0</v>
      </c>
      <c r="O32" s="362">
        <v>0</v>
      </c>
      <c r="P32" s="362">
        <v>0</v>
      </c>
      <c r="Q32" s="362">
        <v>0</v>
      </c>
      <c r="R32" s="105"/>
      <c r="S32" s="1169"/>
      <c r="T32" s="187"/>
      <c r="U32" s="141"/>
      <c r="V32" s="130"/>
      <c r="W32" s="130"/>
      <c r="X32" s="130"/>
      <c r="Y32" s="130"/>
      <c r="Z32" s="130"/>
      <c r="AA32" s="130"/>
      <c r="AB32" s="137"/>
      <c r="AC32" s="141"/>
      <c r="AD32" s="130"/>
      <c r="AE32" s="130"/>
      <c r="AF32" s="130"/>
      <c r="AG32" s="130"/>
      <c r="AH32" s="130"/>
      <c r="AI32" s="130"/>
      <c r="AJ32" s="130"/>
      <c r="AK32" s="130"/>
      <c r="AL32" s="130"/>
      <c r="AM32" s="130"/>
    </row>
    <row r="33" spans="2:39" s="57" customFormat="1" ht="28" customHeight="1">
      <c r="B33" s="105"/>
      <c r="C33" s="325" t="s">
        <v>62</v>
      </c>
      <c r="D33" s="378" t="e">
        <f t="shared" ref="D33" si="21">D30+D32</f>
        <v>#N/A</v>
      </c>
      <c r="E33" s="125">
        <f>E30+E32</f>
        <v>0</v>
      </c>
      <c r="F33" s="125">
        <f t="shared" ref="F33:Q33" si="22">F30+F32</f>
        <v>0</v>
      </c>
      <c r="G33" s="125">
        <f t="shared" si="22"/>
        <v>0</v>
      </c>
      <c r="H33" s="125">
        <f t="shared" si="22"/>
        <v>0</v>
      </c>
      <c r="I33" s="125">
        <f t="shared" si="22"/>
        <v>0</v>
      </c>
      <c r="J33" s="125">
        <f t="shared" si="22"/>
        <v>0</v>
      </c>
      <c r="K33" s="125">
        <f t="shared" si="22"/>
        <v>0</v>
      </c>
      <c r="L33" s="125">
        <f t="shared" si="22"/>
        <v>0</v>
      </c>
      <c r="M33" s="125">
        <f t="shared" si="22"/>
        <v>0</v>
      </c>
      <c r="N33" s="125">
        <f t="shared" si="22"/>
        <v>0</v>
      </c>
      <c r="O33" s="125">
        <f t="shared" si="22"/>
        <v>0</v>
      </c>
      <c r="P33" s="125">
        <f t="shared" si="22"/>
        <v>0</v>
      </c>
      <c r="Q33" s="125">
        <f t="shared" si="22"/>
        <v>0</v>
      </c>
      <c r="R33" s="105"/>
      <c r="S33" s="1169"/>
      <c r="T33" s="187"/>
      <c r="U33" s="141"/>
      <c r="V33" s="130"/>
      <c r="W33" s="130"/>
      <c r="X33" s="130"/>
      <c r="Y33" s="130"/>
      <c r="Z33" s="130"/>
      <c r="AA33" s="130"/>
      <c r="AB33" s="137"/>
      <c r="AC33" s="141"/>
      <c r="AD33" s="130"/>
      <c r="AE33" s="130"/>
      <c r="AF33" s="130"/>
      <c r="AG33" s="130"/>
      <c r="AH33" s="130"/>
      <c r="AI33" s="130"/>
      <c r="AJ33" s="130"/>
      <c r="AK33" s="130"/>
      <c r="AL33" s="130"/>
      <c r="AM33" s="130"/>
    </row>
    <row r="34" spans="2:39" s="57" customFormat="1" ht="28" customHeight="1" thickBot="1">
      <c r="B34" s="105"/>
      <c r="C34" s="325" t="s">
        <v>64</v>
      </c>
      <c r="D34" s="378" t="e">
        <f t="shared" ref="D34" si="23">D31+D32</f>
        <v>#N/A</v>
      </c>
      <c r="E34" s="125">
        <f>E31+E32</f>
        <v>0</v>
      </c>
      <c r="F34" s="125">
        <f t="shared" ref="F34:O34" si="24">F31+F32</f>
        <v>0</v>
      </c>
      <c r="G34" s="125">
        <f t="shared" si="24"/>
        <v>0</v>
      </c>
      <c r="H34" s="125">
        <f t="shared" si="24"/>
        <v>0</v>
      </c>
      <c r="I34" s="125">
        <f t="shared" si="24"/>
        <v>0</v>
      </c>
      <c r="J34" s="125">
        <f t="shared" si="24"/>
        <v>0</v>
      </c>
      <c r="K34" s="125">
        <f t="shared" si="24"/>
        <v>0</v>
      </c>
      <c r="L34" s="125">
        <f t="shared" si="24"/>
        <v>0</v>
      </c>
      <c r="M34" s="125">
        <f t="shared" si="24"/>
        <v>0</v>
      </c>
      <c r="N34" s="125">
        <f t="shared" si="24"/>
        <v>0</v>
      </c>
      <c r="O34" s="125">
        <f t="shared" si="24"/>
        <v>0</v>
      </c>
      <c r="P34" s="125">
        <f>P31+P32</f>
        <v>0</v>
      </c>
      <c r="Q34" s="125">
        <f t="shared" ref="Q34" si="25">Q31+Q32</f>
        <v>0</v>
      </c>
      <c r="R34" s="105"/>
      <c r="S34" s="1170"/>
      <c r="T34" s="187"/>
      <c r="U34" s="141"/>
      <c r="V34" s="130"/>
      <c r="W34" s="130"/>
      <c r="X34" s="130"/>
      <c r="Y34" s="130"/>
      <c r="Z34" s="130"/>
      <c r="AA34" s="130"/>
      <c r="AB34" s="137"/>
      <c r="AC34" s="141"/>
      <c r="AD34" s="130"/>
      <c r="AE34" s="130"/>
      <c r="AF34" s="130"/>
      <c r="AG34" s="130"/>
      <c r="AH34" s="130"/>
      <c r="AI34" s="130"/>
      <c r="AJ34" s="130"/>
      <c r="AK34" s="130"/>
      <c r="AL34" s="130"/>
      <c r="AM34" s="130"/>
    </row>
    <row r="35" spans="2:39" s="57" customFormat="1" ht="28" customHeight="1">
      <c r="B35" s="105"/>
      <c r="C35" s="187"/>
      <c r="D35" s="379"/>
      <c r="E35" s="367"/>
      <c r="F35" s="187"/>
      <c r="G35" s="187"/>
      <c r="H35" s="187"/>
      <c r="I35" s="187"/>
      <c r="J35" s="187"/>
      <c r="K35" s="187"/>
      <c r="L35" s="187"/>
      <c r="M35" s="187"/>
      <c r="N35" s="187"/>
      <c r="O35" s="187"/>
      <c r="P35" s="187"/>
      <c r="Q35" s="187"/>
      <c r="R35" s="105"/>
      <c r="S35" s="187"/>
      <c r="T35" s="187"/>
      <c r="U35" s="141"/>
      <c r="V35" s="130"/>
      <c r="W35" s="130"/>
      <c r="X35" s="130"/>
      <c r="Y35" s="130"/>
      <c r="Z35" s="130"/>
      <c r="AA35" s="130"/>
      <c r="AB35" s="137"/>
      <c r="AC35" s="141"/>
      <c r="AD35" s="130"/>
      <c r="AE35" s="130"/>
      <c r="AF35" s="130"/>
      <c r="AG35" s="130"/>
      <c r="AH35" s="130"/>
      <c r="AI35" s="130"/>
      <c r="AJ35" s="130"/>
      <c r="AK35" s="130"/>
      <c r="AL35" s="130"/>
      <c r="AM35" s="130"/>
    </row>
    <row r="36" spans="2:39" ht="28" customHeight="1">
      <c r="U36" s="137"/>
      <c r="AB36" s="137"/>
      <c r="AC36" s="137"/>
    </row>
    <row r="37" spans="2:39" ht="28" customHeight="1" thickBot="1">
      <c r="B37" s="105"/>
      <c r="C37" s="105"/>
      <c r="D37" s="368"/>
      <c r="E37" s="227"/>
      <c r="F37" s="105"/>
      <c r="G37" s="105"/>
      <c r="H37" s="105"/>
      <c r="I37" s="105"/>
      <c r="J37" s="105"/>
      <c r="K37" s="105"/>
      <c r="L37" s="105"/>
      <c r="M37" s="105"/>
      <c r="N37" s="105"/>
      <c r="O37" s="105"/>
      <c r="P37" s="105"/>
      <c r="Q37" s="105"/>
      <c r="R37" s="105"/>
      <c r="S37" s="105"/>
      <c r="T37" s="105"/>
      <c r="U37" s="137"/>
      <c r="AB37" s="137"/>
      <c r="AC37" s="137"/>
    </row>
    <row r="38" spans="2:39" s="56" customFormat="1" ht="28" customHeight="1">
      <c r="B38" s="105"/>
      <c r="C38" s="328" t="s">
        <v>78</v>
      </c>
      <c r="D38" s="369" t="s">
        <v>79</v>
      </c>
      <c r="E38" s="134">
        <v>44381</v>
      </c>
      <c r="F38" s="119">
        <v>44388</v>
      </c>
      <c r="G38" s="119">
        <v>44395</v>
      </c>
      <c r="H38" s="119">
        <v>44402</v>
      </c>
      <c r="I38" s="119">
        <v>44409</v>
      </c>
      <c r="J38" s="119">
        <v>44416</v>
      </c>
      <c r="K38" s="119">
        <v>44423</v>
      </c>
      <c r="L38" s="119">
        <v>44430</v>
      </c>
      <c r="M38" s="119">
        <v>44437</v>
      </c>
      <c r="N38" s="119">
        <v>44444</v>
      </c>
      <c r="O38" s="119">
        <v>44451</v>
      </c>
      <c r="P38" s="119">
        <v>44458</v>
      </c>
      <c r="Q38" s="119">
        <v>44465</v>
      </c>
      <c r="R38" s="105"/>
      <c r="S38" s="1171" t="s">
        <v>196</v>
      </c>
      <c r="T38" s="187"/>
      <c r="U38" s="138"/>
      <c r="AB38" s="137"/>
      <c r="AC38" s="138"/>
    </row>
    <row r="39" spans="2:39" s="120" customFormat="1" ht="28" customHeight="1">
      <c r="B39" s="105"/>
      <c r="C39" s="355" t="s">
        <v>38</v>
      </c>
      <c r="D39" s="370">
        <f>LOOKUP(9E+307,E39:Q39)</f>
        <v>38</v>
      </c>
      <c r="E39" s="364">
        <v>38.299999999999997</v>
      </c>
      <c r="F39" s="356">
        <v>38.1</v>
      </c>
      <c r="G39" s="356">
        <v>37.700000000000003</v>
      </c>
      <c r="H39" s="356">
        <v>38.5</v>
      </c>
      <c r="I39" s="356">
        <v>38.299999999999997</v>
      </c>
      <c r="J39" s="356">
        <v>38.700000000000003</v>
      </c>
      <c r="K39" s="356">
        <v>38.9</v>
      </c>
      <c r="L39" s="356">
        <v>38.700000000000003</v>
      </c>
      <c r="M39" s="356">
        <v>39.299999999999997</v>
      </c>
      <c r="N39" s="356">
        <v>39.5</v>
      </c>
      <c r="O39" s="356">
        <v>37.9</v>
      </c>
      <c r="P39" s="356">
        <v>37.799999999999997</v>
      </c>
      <c r="Q39" s="356">
        <v>38</v>
      </c>
      <c r="R39" s="105"/>
      <c r="S39" s="1169"/>
      <c r="T39" s="187"/>
      <c r="U39" s="139"/>
      <c r="AB39" s="137"/>
      <c r="AC39" s="139"/>
    </row>
    <row r="40" spans="2:39" s="120" customFormat="1" ht="28" customHeight="1" thickBot="1">
      <c r="B40" s="105"/>
      <c r="C40" s="357" t="s">
        <v>36</v>
      </c>
      <c r="D40" s="371">
        <f>LOOKUP(9E+307,E40:Q40)</f>
        <v>204</v>
      </c>
      <c r="E40" s="364">
        <v>206.5</v>
      </c>
      <c r="F40" s="356">
        <v>207.1</v>
      </c>
      <c r="G40" s="356">
        <v>204.2</v>
      </c>
      <c r="H40" s="356">
        <v>208.7</v>
      </c>
      <c r="I40" s="356">
        <v>207.2</v>
      </c>
      <c r="J40" s="356">
        <v>203.1</v>
      </c>
      <c r="K40" s="356">
        <v>204.1</v>
      </c>
      <c r="L40" s="356">
        <v>202</v>
      </c>
      <c r="M40" s="356">
        <v>206.3</v>
      </c>
      <c r="N40" s="356">
        <v>207.6</v>
      </c>
      <c r="O40" s="356">
        <v>202.8</v>
      </c>
      <c r="P40" s="356">
        <v>203</v>
      </c>
      <c r="Q40" s="356">
        <v>204</v>
      </c>
      <c r="R40" s="105"/>
      <c r="S40" s="1169"/>
      <c r="T40" s="187"/>
      <c r="U40" s="139"/>
      <c r="AB40" s="137"/>
      <c r="AC40" s="139"/>
    </row>
    <row r="41" spans="2:39" s="120" customFormat="1" ht="28" customHeight="1">
      <c r="B41" s="105"/>
      <c r="C41" s="319" t="s">
        <v>13</v>
      </c>
      <c r="D41" s="372">
        <f>LOOKUP(9E+307,E41:Q41)</f>
        <v>60700</v>
      </c>
      <c r="E41" s="364">
        <v>135300</v>
      </c>
      <c r="F41" s="356">
        <v>132500</v>
      </c>
      <c r="G41" s="356">
        <v>114400</v>
      </c>
      <c r="H41" s="356">
        <v>93700</v>
      </c>
      <c r="I41" s="356">
        <v>68200</v>
      </c>
      <c r="J41" s="360">
        <v>63400</v>
      </c>
      <c r="K41" s="356">
        <v>54900</v>
      </c>
      <c r="L41" s="356">
        <v>52900</v>
      </c>
      <c r="M41" s="356">
        <v>48200</v>
      </c>
      <c r="N41" s="356">
        <v>52400</v>
      </c>
      <c r="O41" s="356">
        <v>54600</v>
      </c>
      <c r="P41" s="356">
        <v>56300</v>
      </c>
      <c r="Q41" s="356">
        <v>60700</v>
      </c>
      <c r="R41" s="105"/>
      <c r="S41" s="1169"/>
      <c r="T41" s="187"/>
      <c r="U41" s="139"/>
      <c r="AB41" s="137"/>
      <c r="AC41" s="139"/>
    </row>
    <row r="42" spans="2:39" s="57" customFormat="1" ht="28" customHeight="1">
      <c r="B42" s="105"/>
      <c r="C42" s="320" t="s">
        <v>5</v>
      </c>
      <c r="D42" s="373">
        <f>LOOKUP(9E+307,E42:Q42)</f>
        <v>2.04</v>
      </c>
      <c r="E42" s="365">
        <v>1.782</v>
      </c>
      <c r="F42" s="360">
        <v>1.746</v>
      </c>
      <c r="G42" s="360">
        <v>1.5309999999999999</v>
      </c>
      <c r="H42" s="360">
        <v>2.0150000000000001</v>
      </c>
      <c r="I42" s="360">
        <v>2.0859999999999999</v>
      </c>
      <c r="J42" s="363">
        <v>2.149</v>
      </c>
      <c r="K42" s="360">
        <v>2.2949999999999999</v>
      </c>
      <c r="L42" s="360">
        <v>2.4180000000000001</v>
      </c>
      <c r="M42" s="360">
        <v>2.3780000000000001</v>
      </c>
      <c r="N42" s="360">
        <v>2.4249999999999998</v>
      </c>
      <c r="O42" s="360">
        <v>2.1890000000000001</v>
      </c>
      <c r="P42" s="360">
        <v>2.2570000000000001</v>
      </c>
      <c r="Q42" s="360">
        <v>2.04</v>
      </c>
      <c r="R42" s="105"/>
      <c r="S42" s="1169"/>
      <c r="T42" s="187"/>
      <c r="U42" s="140"/>
      <c r="AB42" s="137"/>
      <c r="AC42" s="140"/>
    </row>
    <row r="43" spans="2:39" s="57" customFormat="1" ht="28" customHeight="1">
      <c r="B43" s="105"/>
      <c r="C43" s="320" t="s">
        <v>14</v>
      </c>
      <c r="D43" s="373">
        <f>LOOKUP(9E+307,E43:Q43)</f>
        <v>42000</v>
      </c>
      <c r="E43" s="365">
        <v>34600</v>
      </c>
      <c r="F43" s="360">
        <v>34000</v>
      </c>
      <c r="G43" s="360">
        <v>30000</v>
      </c>
      <c r="H43" s="360">
        <v>38600</v>
      </c>
      <c r="I43" s="360">
        <v>41600</v>
      </c>
      <c r="J43" s="360">
        <v>41900</v>
      </c>
      <c r="K43" s="360">
        <v>47000</v>
      </c>
      <c r="L43" s="360">
        <v>48500</v>
      </c>
      <c r="M43" s="360">
        <v>49900</v>
      </c>
      <c r="N43" s="360">
        <v>50600</v>
      </c>
      <c r="O43" s="360">
        <v>45400</v>
      </c>
      <c r="P43" s="360">
        <v>47500</v>
      </c>
      <c r="Q43" s="360">
        <v>42000</v>
      </c>
      <c r="R43" s="105"/>
      <c r="S43" s="1169"/>
      <c r="T43" s="187"/>
      <c r="U43" s="140"/>
      <c r="AB43" s="137"/>
      <c r="AC43" s="140"/>
    </row>
    <row r="44" spans="2:39" s="57" customFormat="1" ht="28" customHeight="1">
      <c r="B44" s="105"/>
      <c r="C44" s="321" t="s">
        <v>9</v>
      </c>
      <c r="D44" s="374">
        <f>LN(D42/参数实验室!$E$53)/参数实验室!$E$55</f>
        <v>0.14813655468287767</v>
      </c>
      <c r="E44" s="125">
        <f>LN(E42/参数实验室!$E$53)/参数实验室!$E$55</f>
        <v>-1.1381985569048694E-2</v>
      </c>
      <c r="F44" s="112">
        <f>LN(F42/参数实验室!$E$53)/参数实验室!$E$55</f>
        <v>-3.5459418081777973E-2</v>
      </c>
      <c r="G44" s="112">
        <f>LN(G42/参数实验室!$E$53)/参数实验室!$E$55</f>
        <v>-0.19048647485051112</v>
      </c>
      <c r="H44" s="112">
        <f>LN(H42/参数实验室!$E$53)/参数实验室!$E$55</f>
        <v>0.13358947463600293</v>
      </c>
      <c r="I44" s="112">
        <f>LN(I42/参数实验室!$E$53)/参数实验室!$E$55</f>
        <v>0.1744433398740674</v>
      </c>
      <c r="J44" s="112">
        <f>LN(J42/参数实验室!$E$53)/参数实验室!$E$55</f>
        <v>0.20954602590730906</v>
      </c>
      <c r="K44" s="112">
        <f>LN(K42/参数实验室!$E$53)/参数实验室!$E$55</f>
        <v>0.28709147308339217</v>
      </c>
      <c r="L44" s="112">
        <f>LN(L42/参数实验室!$E$53)/参数实验室!$E$55</f>
        <v>0.34868392270973697</v>
      </c>
      <c r="M44" s="112">
        <f>LN(M42/参数实验室!$E$53)/参数实验室!$E$55</f>
        <v>0.32900451320533397</v>
      </c>
      <c r="N44" s="112">
        <f>LN(N42/参数实验室!$E$53)/参数实验室!$E$55</f>
        <v>0.35209432058655016</v>
      </c>
      <c r="O44" s="112">
        <f>LN(O42/参数实验室!$E$53)/参数实验室!$E$55</f>
        <v>0.23130327222189223</v>
      </c>
      <c r="P44" s="112">
        <f>LN(P42/参数实验室!$E$53)/参数实验室!$E$55</f>
        <v>0.26739390510834044</v>
      </c>
      <c r="Q44" s="112">
        <f>LN(Q42/参数实验室!$E$53)/参数实验室!$E$55</f>
        <v>0.14813655468287767</v>
      </c>
      <c r="R44" s="105"/>
      <c r="S44" s="1169"/>
      <c r="T44" s="187"/>
      <c r="U44" s="140"/>
      <c r="AB44" s="137"/>
      <c r="AC44" s="140"/>
    </row>
    <row r="45" spans="2:39" s="57" customFormat="1" ht="28" customHeight="1">
      <c r="B45" s="105"/>
      <c r="C45" s="321" t="s">
        <v>10</v>
      </c>
      <c r="D45" s="374">
        <f t="shared" ref="D45:Q45" si="26">D41/D43</f>
        <v>1.4452380952380952</v>
      </c>
      <c r="E45" s="125">
        <f t="shared" si="26"/>
        <v>3.9104046242774566</v>
      </c>
      <c r="F45" s="112">
        <f t="shared" si="26"/>
        <v>3.8970588235294117</v>
      </c>
      <c r="G45" s="112">
        <f t="shared" si="26"/>
        <v>3.8133333333333335</v>
      </c>
      <c r="H45" s="112">
        <f t="shared" si="26"/>
        <v>2.4274611398963732</v>
      </c>
      <c r="I45" s="112">
        <f t="shared" si="26"/>
        <v>1.6394230769230769</v>
      </c>
      <c r="J45" s="112">
        <f t="shared" si="26"/>
        <v>1.5131264916467781</v>
      </c>
      <c r="K45" s="112">
        <f t="shared" si="26"/>
        <v>1.1680851063829787</v>
      </c>
      <c r="L45" s="112">
        <f t="shared" si="26"/>
        <v>1.090721649484536</v>
      </c>
      <c r="M45" s="112">
        <f t="shared" si="26"/>
        <v>0.96593186372745488</v>
      </c>
      <c r="N45" s="112">
        <f t="shared" si="26"/>
        <v>1.0355731225296443</v>
      </c>
      <c r="O45" s="112">
        <f t="shared" si="26"/>
        <v>1.2026431718061674</v>
      </c>
      <c r="P45" s="112">
        <f t="shared" si="26"/>
        <v>1.1852631578947368</v>
      </c>
      <c r="Q45" s="112">
        <f t="shared" si="26"/>
        <v>1.4452380952380952</v>
      </c>
      <c r="R45" s="105"/>
      <c r="S45" s="1169"/>
      <c r="T45" s="187"/>
      <c r="U45" s="140"/>
      <c r="AB45" s="137"/>
      <c r="AC45" s="140"/>
    </row>
    <row r="46" spans="2:39" s="57" customFormat="1" ht="28" customHeight="1">
      <c r="B46" s="105"/>
      <c r="C46" s="321" t="s">
        <v>1</v>
      </c>
      <c r="D46" s="374">
        <f>LN(D45/参数实验室!$E$58)/参数实验室!$E$59</f>
        <v>2.7601150823867234E-3</v>
      </c>
      <c r="E46" s="125">
        <f>LN(E45/参数实验室!$E$58)/参数实验室!$E$59</f>
        <v>0.52518239041424741</v>
      </c>
      <c r="F46" s="112">
        <f>LN(F45/参数实验室!$E$58)/参数实验室!$E$59</f>
        <v>0.52338805494283136</v>
      </c>
      <c r="G46" s="112">
        <f>LN(G45/参数实验室!$E$58)/参数实验室!$E$59</f>
        <v>0.51198905254555049</v>
      </c>
      <c r="H46" s="112">
        <f>LN(H45/参数实验室!$E$58)/参数实验室!$E$59</f>
        <v>0.27493463825622039</v>
      </c>
      <c r="I46" s="112">
        <f>LN(I45/参数实验室!$E$58)/参数实验室!$E$59</f>
        <v>6.8928631092360221E-2</v>
      </c>
      <c r="J46" s="112">
        <f>LN(J45/参数实验室!$E$58)/参数实验室!$E$59</f>
        <v>2.6852991317439019E-2</v>
      </c>
      <c r="K46" s="112">
        <f>LN(K45/参数实验室!$E$58)/参数实验室!$E$59</f>
        <v>-0.10898568428617784</v>
      </c>
      <c r="L46" s="112">
        <f>LN(L45/参数实验室!$E$58)/参数实验室!$E$59</f>
        <v>-0.14495194050175828</v>
      </c>
      <c r="M46" s="112">
        <f>LN(M45/参数实验室!$E$58)/参数实验室!$E$59</f>
        <v>-0.20872250589034727</v>
      </c>
      <c r="N46" s="112">
        <f>LN(N45/参数实验室!$E$58)/参数实验室!$E$59</f>
        <v>-0.17218374368704836</v>
      </c>
      <c r="O46" s="112">
        <f>LN(O45/参数实验室!$E$58)/参数实验室!$E$59</f>
        <v>-9.3683023589081565E-2</v>
      </c>
      <c r="P46" s="112">
        <f>LN(P45/参数实验室!$E$58)/参数实验室!$E$59</f>
        <v>-0.10132329954020983</v>
      </c>
      <c r="Q46" s="112">
        <f>LN(Q45/参数实验室!$E$58)/参数实验室!$E$59</f>
        <v>2.7601150823867234E-3</v>
      </c>
      <c r="R46" s="105"/>
      <c r="S46" s="1169"/>
      <c r="T46" s="187"/>
      <c r="U46" s="140"/>
      <c r="AB46" s="137"/>
      <c r="AC46" s="140"/>
    </row>
    <row r="47" spans="2:39" s="57" customFormat="1" ht="28" customHeight="1">
      <c r="B47" s="307"/>
      <c r="C47" s="474" t="s">
        <v>90</v>
      </c>
      <c r="D47" s="475">
        <f>INDEX(神经网络!$G$10:$BO$70,MATCH(ROUND(D46*2,1)/2,神经网络!$E$10:$E$70,0),MATCH(ROUND(D44*2,1)/2,神经网络!$G$8:$BO$8,0))</f>
        <v>1.1878973697903477</v>
      </c>
      <c r="E47" s="476">
        <f>INDEX(神经网络!$G$10:$BO$70,MATCH(ROUND(E46*2,1)/2,神经网络!$E$10:$E$70,0),MATCH(ROUND(E44*2,1)/2,神经网络!$G$8:$BO$8,0))</f>
        <v>1.4229317649810014</v>
      </c>
      <c r="F47" s="125">
        <f>INDEX(神经网络!$G$10:$BO$70,MATCH(ROUND(F46*2,1)/2,神经网络!$E$10:$E$70,0),MATCH(ROUND(F44*2,1)/2,神经网络!$G$8:$BO$8,0))</f>
        <v>1.2795752121391162</v>
      </c>
      <c r="G47" s="125">
        <f>INDEX(神经网络!$G$10:$BO$70,MATCH(ROUND(G46*2,1)/2,神经网络!$E$10:$E$70,0),MATCH(ROUND(G44*2,1)/2,神经网络!$G$8:$BO$8,0))</f>
        <v>1.0095051896633795</v>
      </c>
      <c r="H47" s="125">
        <f>INDEX(神经网络!$G$10:$BO$70,MATCH(ROUND(H46*2,1)/2,神经网络!$E$10:$E$70,0),MATCH(ROUND(H44*2,1)/2,神经网络!$G$8:$BO$8,0))</f>
        <v>1.4235263491306938</v>
      </c>
      <c r="I47" s="125">
        <f>INDEX(神经网络!$G$10:$BO$70,MATCH(ROUND(I46*2,1)/2,神经网络!$E$10:$E$70,0),MATCH(ROUND(I44*2,1)/2,神经网络!$G$8:$BO$8,0))</f>
        <v>1.2370128404787293</v>
      </c>
      <c r="J47" s="125">
        <f>INDEX(神经网络!$G$10:$BO$70,MATCH(ROUND(J46*2,1)/2,神经网络!$E$10:$E$70,0),MATCH(ROUND(J44*2,1)/2,神经网络!$G$8:$BO$8,0))</f>
        <v>1.3307472862425869</v>
      </c>
      <c r="K47" s="125">
        <f>INDEX(神经网络!$G$10:$BO$70,MATCH(ROUND(K46*2,1)/2,神经网络!$E$10:$E$70,0),MATCH(ROUND(K44*2,1)/2,神经网络!$G$8:$BO$8,0))</f>
        <v>1.374083265446286</v>
      </c>
      <c r="L47" s="125">
        <f>INDEX(神经网络!$G$10:$BO$70,MATCH(ROUND(L46*2,1)/2,神经网络!$E$10:$E$70,0),MATCH(ROUND(L44*2,1)/2,神经网络!$G$8:$BO$8,0))</f>
        <v>1.4230538058217563</v>
      </c>
      <c r="M47" s="125">
        <f>INDEX(神经网络!$G$10:$BO$70,MATCH(ROUND(M46*2,1)/2,神经网络!$E$10:$E$70,0),MATCH(ROUND(M44*2,1)/2,神经网络!$G$8:$BO$8,0))</f>
        <v>1.3735334764828999</v>
      </c>
      <c r="N47" s="125">
        <f>INDEX(神经网络!$G$10:$BO$70,MATCH(ROUND(N46*2,1)/2,神经网络!$E$10:$E$70,0),MATCH(ROUND(N44*2,1)/2,神经网络!$G$8:$BO$8,0))</f>
        <v>1.4230538058217563</v>
      </c>
      <c r="O47" s="125">
        <f>INDEX(神经网络!$G$10:$BO$70,MATCH(ROUND(O46*2,1)/2,神经网络!$E$10:$E$70,0),MATCH(ROUND(O44*2,1)/2,神经网络!$G$8:$BO$8,0))</f>
        <v>1.2804811196591386</v>
      </c>
      <c r="P47" s="125">
        <f>INDEX(神经网络!$G$10:$BO$70,MATCH(ROUND(P46*2,1)/2,神经网络!$E$10:$E$70,0),MATCH(ROUND(P44*2,1)/2,神经网络!$G$8:$BO$8,0))</f>
        <v>1.2804811196591386</v>
      </c>
      <c r="Q47" s="125">
        <f>INDEX(神经网络!$G$10:$BO$70,MATCH(ROUND(Q46*2,1)/2,神经网络!$E$10:$E$70,0),MATCH(ROUND(Q44*2,1)/2,神经网络!$G$8:$BO$8,0))</f>
        <v>1.1878973697903477</v>
      </c>
      <c r="R47" s="105"/>
      <c r="S47" s="1169"/>
      <c r="T47" s="187"/>
      <c r="U47" s="140"/>
      <c r="AB47" s="137"/>
      <c r="AC47" s="140"/>
    </row>
    <row r="48" spans="2:39" s="57" customFormat="1" ht="28" customHeight="1" thickBot="1">
      <c r="B48" s="105"/>
      <c r="C48" s="473" t="s">
        <v>249</v>
      </c>
      <c r="D48" s="478">
        <f t="shared" ref="D48:D53" si="27">LOOKUP(9E+307,E48:Q48)</f>
        <v>-9.2583749868790921</v>
      </c>
      <c r="E48" s="125"/>
      <c r="F48" s="477">
        <f>(F47-E47)*100</f>
        <v>-14.335655284188519</v>
      </c>
      <c r="G48" s="477">
        <f t="shared" ref="G48" si="28">(G47-F47)*100</f>
        <v>-27.007002247573663</v>
      </c>
      <c r="H48" s="477">
        <f t="shared" ref="H48" si="29">(H47-G47)*100</f>
        <v>41.402115946731421</v>
      </c>
      <c r="I48" s="477">
        <f t="shared" ref="I48" si="30">(I47-H47)*100</f>
        <v>-18.651350865196449</v>
      </c>
      <c r="J48" s="477">
        <f t="shared" ref="J48" si="31">(J47-I47)*100</f>
        <v>9.3734445763857579</v>
      </c>
      <c r="K48" s="477">
        <f t="shared" ref="K48" si="32">(K47-J47)*100</f>
        <v>4.3335979203699138</v>
      </c>
      <c r="L48" s="477">
        <f t="shared" ref="L48" si="33">(L47-K47)*100</f>
        <v>4.8970540375470328</v>
      </c>
      <c r="M48" s="477">
        <f t="shared" ref="M48" si="34">(M47-L47)*100</f>
        <v>-4.9520329338856417</v>
      </c>
      <c r="N48" s="477">
        <f t="shared" ref="N48" si="35">(N47-M47)*100</f>
        <v>4.9520329338856417</v>
      </c>
      <c r="O48" s="477">
        <f t="shared" ref="O48" si="36">(O47-N47)*100</f>
        <v>-14.257268616261776</v>
      </c>
      <c r="P48" s="477">
        <f t="shared" ref="P48" si="37">(P47-O47)*100</f>
        <v>0</v>
      </c>
      <c r="Q48" s="477">
        <f t="shared" ref="Q48" si="38">(Q47-P47)*100</f>
        <v>-9.2583749868790921</v>
      </c>
      <c r="R48" s="105"/>
      <c r="S48" s="1169"/>
      <c r="T48" s="187"/>
      <c r="U48" s="140"/>
      <c r="AB48" s="137"/>
      <c r="AC48" s="140"/>
    </row>
    <row r="49" spans="2:39" s="57" customFormat="1" ht="28" customHeight="1">
      <c r="B49" s="105"/>
      <c r="C49" s="358" t="s">
        <v>54</v>
      </c>
      <c r="D49" s="372">
        <f t="shared" si="27"/>
        <v>6.45</v>
      </c>
      <c r="E49" s="365">
        <v>6.41</v>
      </c>
      <c r="F49" s="360">
        <v>6.43</v>
      </c>
      <c r="G49" s="360">
        <v>6.47</v>
      </c>
      <c r="H49" s="360">
        <v>6.46</v>
      </c>
      <c r="I49" s="360">
        <v>6.43</v>
      </c>
      <c r="J49" s="360">
        <v>6.42</v>
      </c>
      <c r="K49" s="360">
        <v>6.42</v>
      </c>
      <c r="L49" s="360">
        <v>6.42</v>
      </c>
      <c r="M49" s="360">
        <v>6.45</v>
      </c>
      <c r="N49" s="360">
        <v>6.4</v>
      </c>
      <c r="O49" s="360">
        <v>6.45</v>
      </c>
      <c r="P49" s="360">
        <v>6.48</v>
      </c>
      <c r="Q49" s="360">
        <v>6.45</v>
      </c>
      <c r="R49" s="105"/>
      <c r="S49" s="1169"/>
      <c r="T49" s="187"/>
      <c r="U49" s="140"/>
      <c r="AB49" s="137"/>
      <c r="AC49" s="140"/>
    </row>
    <row r="50" spans="2:39" s="57" customFormat="1" ht="28" customHeight="1">
      <c r="B50" s="105"/>
      <c r="C50" s="355" t="s">
        <v>80</v>
      </c>
      <c r="D50" s="373">
        <f t="shared" si="27"/>
        <v>4.3470000000000004</v>
      </c>
      <c r="E50" s="366">
        <v>4.12</v>
      </c>
      <c r="F50" s="362">
        <v>4.1755000000000004</v>
      </c>
      <c r="G50" s="362">
        <v>4.1266999999999996</v>
      </c>
      <c r="H50" s="362">
        <v>4.2862</v>
      </c>
      <c r="I50" s="362">
        <v>4.2815000000000003</v>
      </c>
      <c r="J50" s="362">
        <v>4.3022999999999998</v>
      </c>
      <c r="K50" s="362">
        <v>4.2813999999999997</v>
      </c>
      <c r="L50" s="362">
        <v>4.2438000000000002</v>
      </c>
      <c r="M50" s="362">
        <v>4.33</v>
      </c>
      <c r="N50" s="362">
        <v>4.42</v>
      </c>
      <c r="O50" s="362">
        <v>4.3666999999999998</v>
      </c>
      <c r="P50" s="362">
        <v>4.3795999999999999</v>
      </c>
      <c r="Q50" s="362">
        <v>4.3470000000000004</v>
      </c>
      <c r="R50" s="105"/>
      <c r="S50" s="1169"/>
      <c r="T50" s="187"/>
      <c r="U50" s="141"/>
      <c r="V50" s="130"/>
      <c r="W50" s="130"/>
      <c r="X50" s="130"/>
      <c r="Y50" s="130"/>
      <c r="Z50" s="130"/>
      <c r="AA50" s="130"/>
      <c r="AB50" s="137"/>
      <c r="AC50" s="141"/>
      <c r="AD50" s="130"/>
      <c r="AE50" s="130"/>
      <c r="AF50" s="130"/>
      <c r="AG50" s="130"/>
      <c r="AH50" s="130"/>
      <c r="AI50" s="130"/>
      <c r="AJ50" s="130"/>
      <c r="AK50" s="130"/>
      <c r="AL50" s="130"/>
      <c r="AM50" s="130"/>
    </row>
    <row r="51" spans="2:39" s="57" customFormat="1" ht="28" customHeight="1">
      <c r="B51" s="105"/>
      <c r="C51" s="359" t="s">
        <v>81</v>
      </c>
      <c r="D51" s="373">
        <f t="shared" si="27"/>
        <v>0</v>
      </c>
      <c r="E51" s="366">
        <v>0</v>
      </c>
      <c r="F51" s="366">
        <v>0</v>
      </c>
      <c r="G51" s="366">
        <v>0</v>
      </c>
      <c r="H51" s="362">
        <v>0</v>
      </c>
      <c r="I51" s="362">
        <v>0</v>
      </c>
      <c r="J51" s="362">
        <v>0</v>
      </c>
      <c r="K51" s="362">
        <v>0</v>
      </c>
      <c r="L51" s="362">
        <v>0</v>
      </c>
      <c r="M51" s="362">
        <v>0</v>
      </c>
      <c r="N51" s="362">
        <v>0</v>
      </c>
      <c r="O51" s="362">
        <v>0</v>
      </c>
      <c r="P51" s="362">
        <v>0</v>
      </c>
      <c r="Q51" s="362">
        <v>0</v>
      </c>
      <c r="R51" s="105"/>
      <c r="S51" s="1169"/>
      <c r="T51" s="187"/>
      <c r="U51" s="141"/>
      <c r="V51" s="130"/>
      <c r="W51" s="130"/>
      <c r="X51" s="130"/>
      <c r="Y51" s="130"/>
      <c r="Z51" s="130"/>
      <c r="AA51" s="130"/>
      <c r="AB51" s="137"/>
      <c r="AC51" s="141"/>
      <c r="AD51" s="130"/>
      <c r="AE51" s="130"/>
      <c r="AF51" s="130"/>
      <c r="AG51" s="130"/>
      <c r="AH51" s="130"/>
      <c r="AI51" s="130"/>
      <c r="AJ51" s="130"/>
      <c r="AK51" s="130"/>
      <c r="AL51" s="130"/>
      <c r="AM51" s="130"/>
    </row>
    <row r="52" spans="2:39" s="57" customFormat="1" ht="28" customHeight="1">
      <c r="B52" s="105"/>
      <c r="C52" s="359" t="s">
        <v>82</v>
      </c>
      <c r="D52" s="373">
        <f t="shared" si="27"/>
        <v>6295.59</v>
      </c>
      <c r="E52" s="366">
        <v>9369.4500000000007</v>
      </c>
      <c r="F52" s="362">
        <v>9260.92</v>
      </c>
      <c r="G52" s="362">
        <v>8583.2000000000007</v>
      </c>
      <c r="H52" s="362">
        <v>9000</v>
      </c>
      <c r="I52" s="362">
        <v>9000</v>
      </c>
      <c r="J52" s="362">
        <v>7994</v>
      </c>
      <c r="K52" s="362">
        <v>6800.28</v>
      </c>
      <c r="L52" s="362">
        <v>6831.27</v>
      </c>
      <c r="M52" s="362">
        <v>6840.67</v>
      </c>
      <c r="N52" s="362">
        <v>7981.19</v>
      </c>
      <c r="O52" s="362">
        <v>6313.94</v>
      </c>
      <c r="P52" s="888">
        <v>6398.35</v>
      </c>
      <c r="Q52" s="362">
        <v>6295.59</v>
      </c>
      <c r="R52" s="105"/>
      <c r="S52" s="1169"/>
      <c r="T52" s="187"/>
      <c r="U52" s="141"/>
      <c r="V52" s="130"/>
      <c r="W52" s="130"/>
      <c r="X52" s="130"/>
      <c r="Y52" s="130"/>
      <c r="Z52" s="130"/>
      <c r="AA52" s="130"/>
      <c r="AB52" s="137"/>
      <c r="AC52" s="141"/>
      <c r="AD52" s="130"/>
      <c r="AE52" s="130"/>
      <c r="AF52" s="130"/>
      <c r="AG52" s="130"/>
      <c r="AH52" s="130"/>
      <c r="AI52" s="130"/>
      <c r="AJ52" s="130"/>
      <c r="AK52" s="130"/>
      <c r="AL52" s="130"/>
      <c r="AM52" s="130"/>
    </row>
    <row r="53" spans="2:39" s="57" customFormat="1" ht="28" customHeight="1">
      <c r="B53" s="105"/>
      <c r="C53" s="359" t="s">
        <v>83</v>
      </c>
      <c r="D53" s="373">
        <f t="shared" si="27"/>
        <v>0</v>
      </c>
      <c r="E53" s="366">
        <v>0</v>
      </c>
      <c r="F53" s="366">
        <v>0</v>
      </c>
      <c r="G53" s="362">
        <v>0</v>
      </c>
      <c r="H53" s="362">
        <v>0</v>
      </c>
      <c r="I53" s="362">
        <v>0</v>
      </c>
      <c r="J53" s="362">
        <v>0</v>
      </c>
      <c r="K53" s="362">
        <v>0</v>
      </c>
      <c r="L53" s="362">
        <v>0</v>
      </c>
      <c r="M53" s="362">
        <v>0</v>
      </c>
      <c r="N53" s="362">
        <v>0</v>
      </c>
      <c r="O53" s="362">
        <v>0</v>
      </c>
      <c r="P53" s="362">
        <v>0</v>
      </c>
      <c r="Q53" s="362">
        <v>0</v>
      </c>
      <c r="R53" s="105"/>
      <c r="S53" s="1169"/>
      <c r="T53" s="187"/>
      <c r="U53" s="141"/>
      <c r="V53" s="130"/>
      <c r="W53" s="130"/>
      <c r="X53" s="130"/>
      <c r="Y53" s="130"/>
      <c r="Z53" s="130"/>
      <c r="AA53" s="130"/>
      <c r="AB53" s="137"/>
      <c r="AC53" s="141"/>
      <c r="AD53" s="130"/>
      <c r="AE53" s="130"/>
      <c r="AF53" s="130"/>
      <c r="AG53" s="130"/>
      <c r="AH53" s="130"/>
      <c r="AI53" s="130"/>
      <c r="AJ53" s="130"/>
      <c r="AK53" s="130"/>
      <c r="AL53" s="130"/>
      <c r="AM53" s="130"/>
    </row>
    <row r="54" spans="2:39" s="57" customFormat="1" ht="28" customHeight="1">
      <c r="B54" s="105"/>
      <c r="C54" s="325" t="s">
        <v>84</v>
      </c>
      <c r="D54" s="375">
        <f>D53*D49</f>
        <v>0</v>
      </c>
      <c r="E54" s="125">
        <f t="shared" ref="E54:J54" si="39">E53*E49</f>
        <v>0</v>
      </c>
      <c r="F54" s="112">
        <f t="shared" si="39"/>
        <v>0</v>
      </c>
      <c r="G54" s="112">
        <f t="shared" si="39"/>
        <v>0</v>
      </c>
      <c r="H54" s="112">
        <f t="shared" si="39"/>
        <v>0</v>
      </c>
      <c r="I54" s="112">
        <f t="shared" si="39"/>
        <v>0</v>
      </c>
      <c r="J54" s="112">
        <f t="shared" si="39"/>
        <v>0</v>
      </c>
      <c r="K54" s="112">
        <f>K53*K49</f>
        <v>0</v>
      </c>
      <c r="L54" s="112">
        <f>L53*L49</f>
        <v>0</v>
      </c>
      <c r="M54" s="112">
        <f t="shared" ref="M54:Q54" si="40">M53*M49</f>
        <v>0</v>
      </c>
      <c r="N54" s="112">
        <f t="shared" si="40"/>
        <v>0</v>
      </c>
      <c r="O54" s="112">
        <f t="shared" si="40"/>
        <v>0</v>
      </c>
      <c r="P54" s="112">
        <f t="shared" si="40"/>
        <v>0</v>
      </c>
      <c r="Q54" s="112">
        <f t="shared" si="40"/>
        <v>0</v>
      </c>
      <c r="R54" s="105"/>
      <c r="S54" s="1169"/>
      <c r="T54" s="187"/>
      <c r="U54" s="141"/>
      <c r="V54" s="130"/>
      <c r="W54" s="130"/>
      <c r="X54" s="130"/>
      <c r="Y54" s="130"/>
      <c r="Z54" s="130"/>
      <c r="AA54" s="130"/>
      <c r="AB54" s="137"/>
      <c r="AC54" s="141"/>
      <c r="AD54" s="130"/>
      <c r="AE54" s="130"/>
      <c r="AF54" s="130"/>
      <c r="AG54" s="130"/>
      <c r="AH54" s="130"/>
      <c r="AI54" s="130"/>
      <c r="AJ54" s="130"/>
      <c r="AK54" s="130"/>
      <c r="AL54" s="130"/>
      <c r="AM54" s="130"/>
    </row>
    <row r="55" spans="2:39" s="57" customFormat="1" ht="28" customHeight="1">
      <c r="B55" s="105"/>
      <c r="C55" s="359" t="s">
        <v>85</v>
      </c>
      <c r="D55" s="373">
        <f>LOOKUP(9E+307,E55:Q55)</f>
        <v>88070.16</v>
      </c>
      <c r="E55" s="366">
        <v>59075.37</v>
      </c>
      <c r="F55" s="362">
        <v>54548.53</v>
      </c>
      <c r="G55" s="362">
        <v>47352</v>
      </c>
      <c r="H55" s="362">
        <v>62324.09</v>
      </c>
      <c r="I55" s="362">
        <f>35536.08+36077.91</f>
        <v>71613.990000000005</v>
      </c>
      <c r="J55" s="362">
        <f>51675.64+26093.21</f>
        <v>77768.850000000006</v>
      </c>
      <c r="K55" s="362">
        <f>58449+31375</f>
        <v>89824</v>
      </c>
      <c r="L55" s="362">
        <f>63092+30935</f>
        <v>94027</v>
      </c>
      <c r="M55" s="362">
        <f>3705.23+11427.28+74882.61</f>
        <v>90015.12</v>
      </c>
      <c r="N55" s="362">
        <v>106518.67</v>
      </c>
      <c r="O55" s="362">
        <f>113067.49</f>
        <v>113067.49</v>
      </c>
      <c r="P55" s="362">
        <v>114988.49</v>
      </c>
      <c r="Q55" s="362">
        <v>88070.16</v>
      </c>
      <c r="R55" s="105"/>
      <c r="S55" s="1169"/>
      <c r="T55" s="187"/>
      <c r="U55" s="141"/>
      <c r="V55" s="130"/>
      <c r="W55" s="130"/>
      <c r="X55" s="130"/>
      <c r="Y55" s="130"/>
      <c r="Z55" s="130"/>
      <c r="AA55" s="130"/>
      <c r="AB55" s="137"/>
      <c r="AC55" s="141"/>
      <c r="AD55" s="130"/>
      <c r="AE55" s="130"/>
      <c r="AF55" s="130"/>
      <c r="AG55" s="130"/>
      <c r="AH55" s="130"/>
      <c r="AI55" s="130"/>
      <c r="AJ55" s="130"/>
      <c r="AK55" s="130"/>
      <c r="AL55" s="130"/>
      <c r="AM55" s="130"/>
    </row>
    <row r="56" spans="2:39" s="57" customFormat="1" ht="28" customHeight="1">
      <c r="B56" s="105"/>
      <c r="C56" s="325" t="s">
        <v>86</v>
      </c>
      <c r="D56" s="375">
        <f t="shared" ref="D56" si="41">D55*D49</f>
        <v>568052.53200000001</v>
      </c>
      <c r="E56" s="125">
        <f>E55*E49</f>
        <v>378673.12170000002</v>
      </c>
      <c r="F56" s="112">
        <f t="shared" ref="F56:J56" si="42">F55*F49</f>
        <v>350747.04790000001</v>
      </c>
      <c r="G56" s="112">
        <f t="shared" si="42"/>
        <v>306367.44</v>
      </c>
      <c r="H56" s="112">
        <f t="shared" si="42"/>
        <v>402613.6214</v>
      </c>
      <c r="I56" s="112">
        <f t="shared" si="42"/>
        <v>460477.95569999999</v>
      </c>
      <c r="J56" s="112">
        <f t="shared" si="42"/>
        <v>499276.01700000005</v>
      </c>
      <c r="K56" s="112">
        <f>K55*K49</f>
        <v>576670.07999999996</v>
      </c>
      <c r="L56" s="112">
        <f>L55*L49</f>
        <v>603653.34</v>
      </c>
      <c r="M56" s="112">
        <f t="shared" ref="M56:Q56" si="43">M55*M49</f>
        <v>580597.52399999998</v>
      </c>
      <c r="N56" s="112">
        <f t="shared" si="43"/>
        <v>681719.48800000001</v>
      </c>
      <c r="O56" s="112">
        <f t="shared" si="43"/>
        <v>729285.31050000002</v>
      </c>
      <c r="P56" s="112">
        <f t="shared" si="43"/>
        <v>745125.41520000005</v>
      </c>
      <c r="Q56" s="112">
        <f t="shared" si="43"/>
        <v>568052.53200000001</v>
      </c>
      <c r="R56" s="105"/>
      <c r="S56" s="1169"/>
      <c r="T56" s="187"/>
      <c r="U56" s="141"/>
      <c r="V56" s="130"/>
      <c r="W56" s="130"/>
      <c r="X56" s="130"/>
      <c r="Y56" s="130"/>
      <c r="Z56" s="130"/>
      <c r="AA56" s="130"/>
      <c r="AB56" s="137"/>
      <c r="AC56" s="141"/>
      <c r="AD56" s="130"/>
      <c r="AE56" s="130"/>
      <c r="AF56" s="130"/>
      <c r="AG56" s="130"/>
      <c r="AH56" s="130"/>
      <c r="AI56" s="130"/>
      <c r="AJ56" s="130"/>
      <c r="AK56" s="130"/>
      <c r="AL56" s="130"/>
      <c r="AM56" s="130"/>
    </row>
    <row r="57" spans="2:39" s="131" customFormat="1" ht="28" customHeight="1">
      <c r="B57" s="105"/>
      <c r="C57" s="361" t="s">
        <v>59</v>
      </c>
      <c r="D57" s="376">
        <f>LOOKUP(9E+307,E57:Q57)</f>
        <v>20000</v>
      </c>
      <c r="E57" s="366">
        <v>20000</v>
      </c>
      <c r="F57" s="366">
        <v>20000</v>
      </c>
      <c r="G57" s="366">
        <v>20000</v>
      </c>
      <c r="H57" s="366">
        <v>20000</v>
      </c>
      <c r="I57" s="366">
        <v>20000</v>
      </c>
      <c r="J57" s="366">
        <v>20000</v>
      </c>
      <c r="K57" s="366">
        <v>20000</v>
      </c>
      <c r="L57" s="366">
        <v>20000</v>
      </c>
      <c r="M57" s="366">
        <v>20000</v>
      </c>
      <c r="N57" s="362">
        <v>20000</v>
      </c>
      <c r="O57" s="362">
        <v>20000</v>
      </c>
      <c r="P57" s="362">
        <v>20000</v>
      </c>
      <c r="Q57" s="362">
        <v>20000</v>
      </c>
      <c r="R57" s="105"/>
      <c r="S57" s="1169"/>
      <c r="T57" s="187"/>
      <c r="U57" s="141"/>
      <c r="V57" s="130"/>
      <c r="W57" s="130"/>
      <c r="X57" s="130"/>
      <c r="Y57" s="130"/>
      <c r="Z57" s="130"/>
      <c r="AA57" s="130"/>
      <c r="AB57" s="137"/>
      <c r="AC57" s="141"/>
      <c r="AD57" s="130"/>
      <c r="AE57" s="130"/>
      <c r="AF57" s="130"/>
      <c r="AG57" s="130"/>
      <c r="AH57" s="130"/>
      <c r="AI57" s="130"/>
      <c r="AJ57" s="130"/>
      <c r="AK57" s="130"/>
      <c r="AL57" s="130"/>
      <c r="AM57" s="130"/>
    </row>
    <row r="58" spans="2:39" s="131" customFormat="1" ht="28" customHeight="1">
      <c r="B58" s="105"/>
      <c r="C58" s="361" t="s">
        <v>60</v>
      </c>
      <c r="D58" s="376">
        <f>LOOKUP(9E+307,E58:Q58)</f>
        <v>0</v>
      </c>
      <c r="E58" s="366">
        <v>0</v>
      </c>
      <c r="F58" s="366">
        <v>0</v>
      </c>
      <c r="G58" s="366">
        <v>0</v>
      </c>
      <c r="H58" s="366">
        <v>0</v>
      </c>
      <c r="I58" s="366">
        <v>0</v>
      </c>
      <c r="J58" s="366">
        <v>0</v>
      </c>
      <c r="K58" s="366">
        <v>0</v>
      </c>
      <c r="L58" s="366">
        <v>0</v>
      </c>
      <c r="M58" s="366">
        <v>0</v>
      </c>
      <c r="N58" s="366">
        <v>0</v>
      </c>
      <c r="O58" s="366">
        <v>0</v>
      </c>
      <c r="P58" s="366">
        <v>0</v>
      </c>
      <c r="Q58" s="366">
        <v>0</v>
      </c>
      <c r="R58" s="105"/>
      <c r="S58" s="1169"/>
      <c r="T58" s="187"/>
      <c r="U58" s="141"/>
      <c r="V58" s="130"/>
      <c r="W58" s="130"/>
      <c r="X58" s="130"/>
      <c r="Y58" s="130"/>
      <c r="Z58" s="130"/>
      <c r="AA58" s="130"/>
      <c r="AB58" s="137"/>
      <c r="AC58" s="141"/>
      <c r="AD58" s="130"/>
      <c r="AE58" s="130"/>
      <c r="AF58" s="130"/>
      <c r="AG58" s="130"/>
      <c r="AH58" s="130"/>
      <c r="AI58" s="130"/>
      <c r="AJ58" s="130"/>
      <c r="AK58" s="130"/>
      <c r="AL58" s="130"/>
      <c r="AM58" s="130"/>
    </row>
    <row r="59" spans="2:39" s="131" customFormat="1" ht="28" customHeight="1">
      <c r="B59" s="105"/>
      <c r="C59" s="361" t="s">
        <v>92</v>
      </c>
      <c r="D59" s="376">
        <f>LOOKUP(9E+307,E59:Q59)</f>
        <v>485000</v>
      </c>
      <c r="E59" s="366">
        <f>293168.68</f>
        <v>293168.68</v>
      </c>
      <c r="F59" s="366">
        <f>293168.68</f>
        <v>293168.68</v>
      </c>
      <c r="G59" s="366">
        <f>293168.68</f>
        <v>293168.68</v>
      </c>
      <c r="H59" s="366">
        <f>313168.68</f>
        <v>313168.68</v>
      </c>
      <c r="I59" s="366">
        <f>313168.68</f>
        <v>313168.68</v>
      </c>
      <c r="J59" s="362">
        <v>323000</v>
      </c>
      <c r="K59" s="362">
        <v>323000</v>
      </c>
      <c r="L59" s="362">
        <v>323000</v>
      </c>
      <c r="M59" s="362">
        <v>323000</v>
      </c>
      <c r="N59" s="362">
        <v>335000</v>
      </c>
      <c r="O59" s="362">
        <v>485000</v>
      </c>
      <c r="P59" s="362">
        <v>485000</v>
      </c>
      <c r="Q59" s="362">
        <v>485000</v>
      </c>
      <c r="R59" s="105"/>
      <c r="S59" s="1169"/>
      <c r="T59" s="187"/>
      <c r="U59" s="141"/>
      <c r="V59" s="130"/>
      <c r="W59" s="130"/>
      <c r="X59" s="130"/>
      <c r="Y59" s="130"/>
      <c r="Z59" s="130"/>
      <c r="AA59" s="130"/>
      <c r="AB59" s="137"/>
      <c r="AC59" s="141"/>
      <c r="AD59" s="130"/>
      <c r="AE59" s="130"/>
      <c r="AF59" s="130"/>
      <c r="AG59" s="130"/>
      <c r="AH59" s="130"/>
      <c r="AI59" s="130"/>
      <c r="AJ59" s="130"/>
      <c r="AK59" s="130"/>
      <c r="AL59" s="130"/>
      <c r="AM59" s="130"/>
    </row>
    <row r="60" spans="2:39" s="130" customFormat="1" ht="28" customHeight="1">
      <c r="B60" s="105"/>
      <c r="C60" s="327" t="s">
        <v>61</v>
      </c>
      <c r="D60" s="377">
        <f>D57+D58+D59</f>
        <v>505000</v>
      </c>
      <c r="E60" s="135">
        <f t="shared" ref="E60:Q60" si="44">E57+E58+E59</f>
        <v>313168.68</v>
      </c>
      <c r="F60" s="135">
        <f t="shared" si="44"/>
        <v>313168.68</v>
      </c>
      <c r="G60" s="135">
        <f t="shared" si="44"/>
        <v>313168.68</v>
      </c>
      <c r="H60" s="135">
        <f t="shared" si="44"/>
        <v>333168.68</v>
      </c>
      <c r="I60" s="135">
        <f t="shared" si="44"/>
        <v>333168.68</v>
      </c>
      <c r="J60" s="135">
        <f t="shared" si="44"/>
        <v>343000</v>
      </c>
      <c r="K60" s="135">
        <f t="shared" si="44"/>
        <v>343000</v>
      </c>
      <c r="L60" s="135">
        <f t="shared" si="44"/>
        <v>343000</v>
      </c>
      <c r="M60" s="135">
        <f t="shared" si="44"/>
        <v>343000</v>
      </c>
      <c r="N60" s="135">
        <f t="shared" si="44"/>
        <v>355000</v>
      </c>
      <c r="O60" s="135">
        <f t="shared" si="44"/>
        <v>505000</v>
      </c>
      <c r="P60" s="135">
        <f t="shared" si="44"/>
        <v>505000</v>
      </c>
      <c r="Q60" s="135">
        <f t="shared" si="44"/>
        <v>505000</v>
      </c>
      <c r="R60" s="105"/>
      <c r="S60" s="1169"/>
      <c r="T60" s="187"/>
      <c r="U60" s="141"/>
      <c r="AB60" s="137"/>
      <c r="AC60" s="141"/>
    </row>
    <row r="61" spans="2:39" s="57" customFormat="1" ht="28" customHeight="1">
      <c r="B61" s="105"/>
      <c r="C61" s="325" t="s">
        <v>87</v>
      </c>
      <c r="D61" s="375">
        <f t="shared" ref="D61" si="45">D62-D60</f>
        <v>69348.121999999974</v>
      </c>
      <c r="E61" s="125">
        <f>E62-E60</f>
        <v>74873.891700000037</v>
      </c>
      <c r="F61" s="125">
        <f t="shared" ref="F61:O61" si="46">F62-F60</f>
        <v>46839.287899999996</v>
      </c>
      <c r="G61" s="125">
        <f t="shared" si="46"/>
        <v>1781.960000000021</v>
      </c>
      <c r="H61" s="125">
        <f t="shared" si="46"/>
        <v>78444.941400000011</v>
      </c>
      <c r="I61" s="125">
        <f t="shared" si="46"/>
        <v>136309.2757</v>
      </c>
      <c r="J61" s="125">
        <f t="shared" si="46"/>
        <v>164270.01700000005</v>
      </c>
      <c r="K61" s="125">
        <f t="shared" si="46"/>
        <v>240470.36</v>
      </c>
      <c r="L61" s="125">
        <f t="shared" si="46"/>
        <v>267484.61</v>
      </c>
      <c r="M61" s="125">
        <f t="shared" si="46"/>
        <v>244438.19400000002</v>
      </c>
      <c r="N61" s="125">
        <f t="shared" si="46"/>
        <v>334700.67799999996</v>
      </c>
      <c r="O61" s="125">
        <f t="shared" si="46"/>
        <v>230599.25049999997</v>
      </c>
      <c r="P61" s="125">
        <f>P62-P60</f>
        <v>246523.76520000002</v>
      </c>
      <c r="Q61" s="125">
        <f t="shared" ref="Q61" si="47">Q62-Q60</f>
        <v>69348.121999999974</v>
      </c>
      <c r="R61" s="105"/>
      <c r="S61" s="1169"/>
      <c r="T61" s="187"/>
      <c r="U61" s="141"/>
      <c r="V61" s="130"/>
      <c r="W61" s="130"/>
      <c r="X61" s="130"/>
      <c r="Y61" s="130"/>
      <c r="Z61" s="130"/>
      <c r="AA61" s="130"/>
      <c r="AB61" s="137"/>
      <c r="AC61" s="141"/>
      <c r="AD61" s="130"/>
      <c r="AE61" s="130"/>
      <c r="AF61" s="130"/>
      <c r="AG61" s="130"/>
      <c r="AH61" s="130"/>
      <c r="AI61" s="130"/>
      <c r="AJ61" s="130"/>
      <c r="AK61" s="130"/>
      <c r="AL61" s="130"/>
      <c r="AM61" s="130"/>
    </row>
    <row r="62" spans="2:39" s="57" customFormat="1" ht="28" customHeight="1">
      <c r="B62" s="105"/>
      <c r="C62" s="325" t="s">
        <v>88</v>
      </c>
      <c r="D62" s="375">
        <f t="shared" ref="D62" si="48">D51+D52+D54+D56</f>
        <v>574348.12199999997</v>
      </c>
      <c r="E62" s="125">
        <f>E51+E52+E54+E56</f>
        <v>388042.57170000003</v>
      </c>
      <c r="F62" s="125">
        <f t="shared" ref="F62:L62" si="49">F51+F52+F54+F56</f>
        <v>360007.96789999999</v>
      </c>
      <c r="G62" s="125">
        <f t="shared" si="49"/>
        <v>314950.64</v>
      </c>
      <c r="H62" s="125">
        <f t="shared" si="49"/>
        <v>411613.6214</v>
      </c>
      <c r="I62" s="125">
        <f t="shared" si="49"/>
        <v>469477.95569999999</v>
      </c>
      <c r="J62" s="125">
        <f t="shared" si="49"/>
        <v>507270.01700000005</v>
      </c>
      <c r="K62" s="125">
        <f t="shared" si="49"/>
        <v>583470.36</v>
      </c>
      <c r="L62" s="125">
        <f t="shared" si="49"/>
        <v>610484.61</v>
      </c>
      <c r="M62" s="125">
        <f>M51+M52+M54+M56</f>
        <v>587438.19400000002</v>
      </c>
      <c r="N62" s="125">
        <f t="shared" ref="N62" si="50">N51+N52+N54+N56</f>
        <v>689700.67799999996</v>
      </c>
      <c r="O62" s="125">
        <f>O51+O52+O54+O56</f>
        <v>735599.25049999997</v>
      </c>
      <c r="P62" s="125">
        <f>P51+P52+P54+P56</f>
        <v>751523.76520000002</v>
      </c>
      <c r="Q62" s="125">
        <f t="shared" ref="Q62" si="51">Q51+Q52+Q54+Q56</f>
        <v>574348.12199999997</v>
      </c>
      <c r="R62" s="105"/>
      <c r="S62" s="1169"/>
      <c r="T62" s="187"/>
      <c r="U62" s="141"/>
      <c r="V62" s="130"/>
      <c r="W62" s="130"/>
      <c r="X62" s="130"/>
      <c r="Y62" s="130"/>
      <c r="Z62" s="130"/>
      <c r="AA62" s="130"/>
      <c r="AB62" s="137"/>
      <c r="AC62" s="141"/>
      <c r="AD62" s="130"/>
      <c r="AE62" s="130"/>
      <c r="AF62" s="130"/>
      <c r="AG62" s="130"/>
      <c r="AH62" s="130"/>
      <c r="AI62" s="130"/>
      <c r="AJ62" s="130"/>
      <c r="AK62" s="130"/>
      <c r="AL62" s="130"/>
      <c r="AM62" s="130"/>
    </row>
    <row r="63" spans="2:39" s="57" customFormat="1" ht="28" customHeight="1">
      <c r="B63" s="105"/>
      <c r="C63" s="361" t="s">
        <v>89</v>
      </c>
      <c r="D63" s="376">
        <f>LOOKUP(9E+307,E63:Q63)</f>
        <v>0</v>
      </c>
      <c r="E63" s="366">
        <v>0</v>
      </c>
      <c r="F63" s="366">
        <v>0</v>
      </c>
      <c r="G63" s="362">
        <v>0</v>
      </c>
      <c r="H63" s="362">
        <v>0</v>
      </c>
      <c r="I63" s="362">
        <v>0</v>
      </c>
      <c r="J63" s="362">
        <v>0</v>
      </c>
      <c r="K63" s="362">
        <v>0</v>
      </c>
      <c r="L63" s="362">
        <v>0</v>
      </c>
      <c r="M63" s="362">
        <v>0</v>
      </c>
      <c r="N63" s="362">
        <v>0</v>
      </c>
      <c r="O63" s="362">
        <v>0</v>
      </c>
      <c r="P63" s="362">
        <v>0</v>
      </c>
      <c r="Q63" s="362">
        <v>0</v>
      </c>
      <c r="R63" s="105"/>
      <c r="S63" s="1169"/>
      <c r="T63" s="187"/>
      <c r="U63" s="141"/>
      <c r="V63" s="130"/>
      <c r="W63" s="130"/>
      <c r="X63" s="130"/>
      <c r="Y63" s="130"/>
      <c r="Z63" s="130"/>
      <c r="AA63" s="130"/>
      <c r="AB63" s="137"/>
      <c r="AC63" s="141"/>
      <c r="AD63" s="130"/>
      <c r="AE63" s="130"/>
      <c r="AF63" s="130"/>
      <c r="AG63" s="130"/>
      <c r="AH63" s="130"/>
      <c r="AI63" s="130"/>
      <c r="AJ63" s="130"/>
      <c r="AK63" s="130"/>
      <c r="AL63" s="130"/>
      <c r="AM63" s="130"/>
    </row>
    <row r="64" spans="2:39" s="57" customFormat="1" ht="28" customHeight="1">
      <c r="B64" s="105"/>
      <c r="C64" s="325" t="s">
        <v>62</v>
      </c>
      <c r="D64" s="378">
        <f t="shared" ref="D64" si="52">D61+D63</f>
        <v>69348.121999999974</v>
      </c>
      <c r="E64" s="125">
        <f>E61+E63</f>
        <v>74873.891700000037</v>
      </c>
      <c r="F64" s="125">
        <f t="shared" ref="F64:Q64" si="53">F61+F63</f>
        <v>46839.287899999996</v>
      </c>
      <c r="G64" s="125">
        <f t="shared" si="53"/>
        <v>1781.960000000021</v>
      </c>
      <c r="H64" s="125">
        <f t="shared" si="53"/>
        <v>78444.941400000011</v>
      </c>
      <c r="I64" s="125">
        <f t="shared" si="53"/>
        <v>136309.2757</v>
      </c>
      <c r="J64" s="125">
        <f t="shared" si="53"/>
        <v>164270.01700000005</v>
      </c>
      <c r="K64" s="125">
        <f t="shared" si="53"/>
        <v>240470.36</v>
      </c>
      <c r="L64" s="125">
        <f t="shared" si="53"/>
        <v>267484.61</v>
      </c>
      <c r="M64" s="125">
        <f t="shared" si="53"/>
        <v>244438.19400000002</v>
      </c>
      <c r="N64" s="125">
        <f t="shared" si="53"/>
        <v>334700.67799999996</v>
      </c>
      <c r="O64" s="125">
        <f t="shared" si="53"/>
        <v>230599.25049999997</v>
      </c>
      <c r="P64" s="125">
        <f t="shared" si="53"/>
        <v>246523.76520000002</v>
      </c>
      <c r="Q64" s="125">
        <f t="shared" si="53"/>
        <v>69348.121999999974</v>
      </c>
      <c r="R64" s="105"/>
      <c r="S64" s="1169"/>
      <c r="T64" s="187"/>
      <c r="U64" s="141"/>
      <c r="V64" s="130"/>
      <c r="W64" s="130"/>
      <c r="X64" s="130"/>
      <c r="Y64" s="130"/>
      <c r="Z64" s="130"/>
      <c r="AA64" s="130"/>
      <c r="AB64" s="137"/>
      <c r="AC64" s="141"/>
      <c r="AD64" s="130"/>
      <c r="AE64" s="130"/>
      <c r="AF64" s="130"/>
      <c r="AG64" s="130"/>
      <c r="AH64" s="130"/>
      <c r="AI64" s="130"/>
      <c r="AJ64" s="130"/>
      <c r="AK64" s="130"/>
      <c r="AL64" s="130"/>
      <c r="AM64" s="130"/>
    </row>
    <row r="65" spans="2:39" s="57" customFormat="1" ht="28" customHeight="1" thickBot="1">
      <c r="B65" s="105"/>
      <c r="C65" s="325" t="s">
        <v>64</v>
      </c>
      <c r="D65" s="378">
        <f t="shared" ref="D65" si="54">D62+D63</f>
        <v>574348.12199999997</v>
      </c>
      <c r="E65" s="125">
        <f>E62+E63</f>
        <v>388042.57170000003</v>
      </c>
      <c r="F65" s="125">
        <f t="shared" ref="F65:O65" si="55">F62+F63</f>
        <v>360007.96789999999</v>
      </c>
      <c r="G65" s="125">
        <f t="shared" si="55"/>
        <v>314950.64</v>
      </c>
      <c r="H65" s="125">
        <f t="shared" si="55"/>
        <v>411613.6214</v>
      </c>
      <c r="I65" s="125">
        <f t="shared" si="55"/>
        <v>469477.95569999999</v>
      </c>
      <c r="J65" s="125">
        <f t="shared" si="55"/>
        <v>507270.01700000005</v>
      </c>
      <c r="K65" s="125">
        <f t="shared" si="55"/>
        <v>583470.36</v>
      </c>
      <c r="L65" s="125">
        <f t="shared" si="55"/>
        <v>610484.61</v>
      </c>
      <c r="M65" s="125">
        <f t="shared" si="55"/>
        <v>587438.19400000002</v>
      </c>
      <c r="N65" s="125">
        <f t="shared" si="55"/>
        <v>689700.67799999996</v>
      </c>
      <c r="O65" s="125">
        <f t="shared" si="55"/>
        <v>735599.25049999997</v>
      </c>
      <c r="P65" s="125">
        <f>P62+P63</f>
        <v>751523.76520000002</v>
      </c>
      <c r="Q65" s="125">
        <f t="shared" ref="Q65" si="56">Q62+Q63</f>
        <v>574348.12199999997</v>
      </c>
      <c r="R65" s="105"/>
      <c r="S65" s="1170"/>
      <c r="T65" s="187"/>
      <c r="U65" s="141"/>
      <c r="V65" s="130"/>
      <c r="W65" s="130"/>
      <c r="X65" s="130"/>
      <c r="Y65" s="130"/>
      <c r="Z65" s="130"/>
      <c r="AA65" s="130"/>
      <c r="AB65" s="137"/>
      <c r="AC65" s="141"/>
      <c r="AD65" s="130"/>
      <c r="AE65" s="130"/>
      <c r="AF65" s="130"/>
      <c r="AG65" s="130"/>
      <c r="AH65" s="130"/>
      <c r="AI65" s="130"/>
      <c r="AJ65" s="130"/>
      <c r="AK65" s="130"/>
      <c r="AL65" s="130"/>
      <c r="AM65" s="130"/>
    </row>
    <row r="66" spans="2:39" s="57" customFormat="1" ht="28" customHeight="1">
      <c r="B66" s="105"/>
      <c r="C66" s="187"/>
      <c r="D66" s="379"/>
      <c r="E66" s="367"/>
      <c r="F66" s="187"/>
      <c r="G66" s="187"/>
      <c r="H66" s="187"/>
      <c r="I66" s="187"/>
      <c r="J66" s="187"/>
      <c r="K66" s="187"/>
      <c r="L66" s="187"/>
      <c r="M66" s="187"/>
      <c r="N66" s="187"/>
      <c r="O66" s="187"/>
      <c r="P66" s="187"/>
      <c r="Q66" s="187"/>
      <c r="R66" s="105"/>
      <c r="S66" s="187"/>
      <c r="T66" s="187"/>
      <c r="U66" s="141"/>
      <c r="V66" s="130"/>
      <c r="W66" s="130"/>
      <c r="X66" s="130"/>
      <c r="Y66" s="130"/>
      <c r="Z66" s="130"/>
      <c r="AA66" s="130"/>
      <c r="AB66" s="137"/>
      <c r="AC66" s="141"/>
      <c r="AD66" s="130"/>
      <c r="AE66" s="130"/>
      <c r="AF66" s="130"/>
      <c r="AG66" s="130"/>
      <c r="AH66" s="130"/>
      <c r="AI66" s="130"/>
      <c r="AJ66" s="130"/>
      <c r="AK66" s="130"/>
      <c r="AL66" s="130"/>
      <c r="AM66" s="130"/>
    </row>
    <row r="67" spans="2:39" ht="28" customHeight="1">
      <c r="U67" s="137"/>
      <c r="AB67" s="137"/>
      <c r="AC67" s="137"/>
    </row>
    <row r="68" spans="2:39" ht="28" customHeight="1" thickBot="1">
      <c r="B68" s="105"/>
      <c r="C68" s="105"/>
      <c r="D68" s="105"/>
      <c r="E68" s="105"/>
      <c r="F68" s="105"/>
      <c r="G68" s="105"/>
      <c r="H68" s="105"/>
      <c r="I68" s="105"/>
      <c r="J68" s="105"/>
      <c r="K68" s="105"/>
      <c r="L68" s="105"/>
      <c r="M68" s="105"/>
      <c r="N68" s="105"/>
      <c r="O68" s="105"/>
      <c r="P68" s="105"/>
      <c r="Q68" s="105"/>
      <c r="R68" s="105"/>
      <c r="S68" s="105"/>
      <c r="T68" s="105"/>
      <c r="U68" s="137"/>
      <c r="AB68" s="137"/>
      <c r="AC68" s="137"/>
    </row>
    <row r="69" spans="2:39" s="56" customFormat="1" ht="28" customHeight="1">
      <c r="B69" s="105"/>
      <c r="C69" s="328" t="s">
        <v>78</v>
      </c>
      <c r="D69" s="329" t="s">
        <v>79</v>
      </c>
      <c r="E69" s="134">
        <v>44290</v>
      </c>
      <c r="F69" s="119">
        <v>44297</v>
      </c>
      <c r="G69" s="119">
        <v>44304</v>
      </c>
      <c r="H69" s="119">
        <v>44311</v>
      </c>
      <c r="I69" s="119">
        <v>44318</v>
      </c>
      <c r="J69" s="119">
        <v>44325</v>
      </c>
      <c r="K69" s="119">
        <v>44332</v>
      </c>
      <c r="L69" s="119">
        <v>44339</v>
      </c>
      <c r="M69" s="119">
        <v>44346</v>
      </c>
      <c r="N69" s="119">
        <v>44353</v>
      </c>
      <c r="O69" s="119">
        <v>44360</v>
      </c>
      <c r="P69" s="119">
        <v>44367</v>
      </c>
      <c r="Q69" s="119">
        <v>44374</v>
      </c>
      <c r="R69" s="105"/>
      <c r="S69" s="1171" t="s">
        <v>194</v>
      </c>
      <c r="T69" s="187"/>
      <c r="U69" s="138"/>
      <c r="AB69" s="137"/>
      <c r="AC69" s="138"/>
    </row>
    <row r="70" spans="2:39" s="120" customFormat="1" ht="28" customHeight="1">
      <c r="B70" s="105"/>
      <c r="C70" s="317" t="s">
        <v>38</v>
      </c>
      <c r="D70" s="121">
        <f>LOOKUP(9E+307,E70:Q70)</f>
        <v>37.6</v>
      </c>
      <c r="E70" s="364">
        <v>36.9</v>
      </c>
      <c r="F70" s="356">
        <v>37.1</v>
      </c>
      <c r="G70" s="356"/>
      <c r="H70" s="356"/>
      <c r="I70" s="356">
        <v>37.5</v>
      </c>
      <c r="J70" s="356">
        <v>38</v>
      </c>
      <c r="K70" s="356">
        <v>37.1</v>
      </c>
      <c r="L70" s="356">
        <v>37</v>
      </c>
      <c r="M70" s="356">
        <v>37.4</v>
      </c>
      <c r="N70" s="356">
        <v>36.9</v>
      </c>
      <c r="O70" s="356">
        <v>37.299999999999997</v>
      </c>
      <c r="P70" s="356">
        <v>36.6</v>
      </c>
      <c r="Q70" s="356">
        <v>37.6</v>
      </c>
      <c r="R70" s="105"/>
      <c r="S70" s="1169"/>
      <c r="T70" s="187"/>
      <c r="U70" s="139"/>
      <c r="AB70" s="137"/>
      <c r="AC70" s="139"/>
    </row>
    <row r="71" spans="2:39" s="120" customFormat="1" ht="28" customHeight="1" thickBot="1">
      <c r="B71" s="105"/>
      <c r="C71" s="318" t="s">
        <v>36</v>
      </c>
      <c r="D71" s="122">
        <f>LOOKUP(9E+307,E71:Q71)</f>
        <v>204.2</v>
      </c>
      <c r="E71" s="364"/>
      <c r="F71" s="356"/>
      <c r="G71" s="356"/>
      <c r="H71" s="356"/>
      <c r="I71" s="356"/>
      <c r="J71" s="356"/>
      <c r="K71" s="356"/>
      <c r="L71" s="356"/>
      <c r="M71" s="356"/>
      <c r="N71" s="356"/>
      <c r="O71" s="356">
        <v>202.2</v>
      </c>
      <c r="P71" s="356">
        <v>198.4</v>
      </c>
      <c r="Q71" s="356">
        <v>204.2</v>
      </c>
      <c r="R71" s="105"/>
      <c r="S71" s="1169"/>
      <c r="T71" s="187"/>
      <c r="U71" s="139"/>
      <c r="AB71" s="137"/>
      <c r="AC71" s="139"/>
    </row>
    <row r="72" spans="2:39" s="120" customFormat="1" ht="28" customHeight="1">
      <c r="B72" s="105"/>
      <c r="C72" s="319" t="s">
        <v>13</v>
      </c>
      <c r="D72" s="142">
        <f>LOOKUP(9E+307,E72:Q72)</f>
        <v>107200</v>
      </c>
      <c r="E72" s="364">
        <v>59000</v>
      </c>
      <c r="F72" s="356">
        <v>58200</v>
      </c>
      <c r="G72" s="356">
        <v>62600</v>
      </c>
      <c r="H72" s="356">
        <v>66300</v>
      </c>
      <c r="I72" s="356">
        <v>85100</v>
      </c>
      <c r="J72" s="360">
        <v>71000</v>
      </c>
      <c r="K72" s="356">
        <v>64400</v>
      </c>
      <c r="L72" s="356">
        <v>68000</v>
      </c>
      <c r="M72" s="356">
        <v>67800</v>
      </c>
      <c r="N72" s="356">
        <v>82200</v>
      </c>
      <c r="O72" s="356">
        <v>94400</v>
      </c>
      <c r="P72" s="356">
        <v>92300</v>
      </c>
      <c r="Q72" s="356">
        <v>107200</v>
      </c>
      <c r="R72" s="105"/>
      <c r="S72" s="1169"/>
      <c r="T72" s="187"/>
      <c r="U72" s="139"/>
      <c r="AB72" s="137"/>
      <c r="AC72" s="139"/>
    </row>
    <row r="73" spans="2:39" s="57" customFormat="1" ht="28" customHeight="1">
      <c r="B73" s="105"/>
      <c r="C73" s="320" t="s">
        <v>5</v>
      </c>
      <c r="D73" s="124">
        <f>LOOKUP(9E+307,E73:Q73)</f>
        <v>1.7150000000000001</v>
      </c>
      <c r="E73" s="365">
        <v>3.33</v>
      </c>
      <c r="F73" s="360">
        <v>3.3170000000000002</v>
      </c>
      <c r="G73" s="360">
        <v>3.2170000000000001</v>
      </c>
      <c r="H73" s="360">
        <v>2.4849999999999999</v>
      </c>
      <c r="I73" s="360">
        <v>2.9140000000000001</v>
      </c>
      <c r="J73" s="363">
        <v>2.923</v>
      </c>
      <c r="K73" s="360">
        <v>2.371</v>
      </c>
      <c r="L73" s="360">
        <v>1.89</v>
      </c>
      <c r="M73" s="360">
        <v>1.72</v>
      </c>
      <c r="N73" s="360">
        <v>1.8360000000000001</v>
      </c>
      <c r="O73" s="360">
        <v>1.905</v>
      </c>
      <c r="P73" s="360">
        <v>1.64</v>
      </c>
      <c r="Q73" s="360">
        <v>1.7150000000000001</v>
      </c>
      <c r="R73" s="105"/>
      <c r="S73" s="1169"/>
      <c r="T73" s="187"/>
      <c r="U73" s="140"/>
      <c r="AB73" s="137"/>
      <c r="AC73" s="140"/>
    </row>
    <row r="74" spans="2:39" s="57" customFormat="1" ht="28" customHeight="1">
      <c r="B74" s="105"/>
      <c r="C74" s="320" t="s">
        <v>14</v>
      </c>
      <c r="D74" s="124">
        <f>LOOKUP(9E+307,E74:Q74)</f>
        <v>33200</v>
      </c>
      <c r="E74" s="365">
        <v>58900</v>
      </c>
      <c r="F74" s="360">
        <v>60300</v>
      </c>
      <c r="G74" s="360">
        <v>60300</v>
      </c>
      <c r="H74" s="360">
        <v>50200</v>
      </c>
      <c r="I74" s="360">
        <v>56500</v>
      </c>
      <c r="J74" s="360">
        <v>58000</v>
      </c>
      <c r="K74" s="360">
        <v>49000</v>
      </c>
      <c r="L74" s="360">
        <v>37100</v>
      </c>
      <c r="M74" s="360">
        <v>34300</v>
      </c>
      <c r="N74" s="360">
        <v>36200</v>
      </c>
      <c r="O74" s="360">
        <v>39273</v>
      </c>
      <c r="P74" s="360">
        <v>32809</v>
      </c>
      <c r="Q74" s="360">
        <v>33200</v>
      </c>
      <c r="R74" s="105"/>
      <c r="S74" s="1169"/>
      <c r="T74" s="187"/>
      <c r="U74" s="140"/>
      <c r="AB74" s="137"/>
      <c r="AC74" s="140"/>
    </row>
    <row r="75" spans="2:39" s="57" customFormat="1" ht="28" customHeight="1">
      <c r="B75" s="105"/>
      <c r="C75" s="321" t="s">
        <v>0</v>
      </c>
      <c r="D75" s="14">
        <f>LN(D73/1.8)/0.91</f>
        <v>-5.3157784927709568E-2</v>
      </c>
      <c r="E75" s="125">
        <f t="shared" ref="E75:P75" si="57">LN(E73/1.8)/0.91</f>
        <v>0.67602817482443234</v>
      </c>
      <c r="F75" s="112">
        <f t="shared" si="57"/>
        <v>0.67172977479428175</v>
      </c>
      <c r="G75" s="112">
        <f t="shared" si="57"/>
        <v>0.638090750939308</v>
      </c>
      <c r="H75" s="112">
        <f t="shared" si="57"/>
        <v>0.35438021389722313</v>
      </c>
      <c r="I75" s="112">
        <f t="shared" si="57"/>
        <v>0.52938466249548799</v>
      </c>
      <c r="J75" s="112">
        <f t="shared" si="57"/>
        <v>0.53277342991976917</v>
      </c>
      <c r="K75" s="112">
        <f t="shared" si="57"/>
        <v>0.30277488151774667</v>
      </c>
      <c r="L75" s="112">
        <f t="shared" si="57"/>
        <v>5.3615565021353659E-2</v>
      </c>
      <c r="M75" s="112">
        <f t="shared" si="57"/>
        <v>-4.9958652831601537E-2</v>
      </c>
      <c r="N75" s="112">
        <f t="shared" si="57"/>
        <v>2.1761128896900801E-2</v>
      </c>
      <c r="O75" s="112">
        <f t="shared" si="57"/>
        <v>6.2302575468731088E-2</v>
      </c>
      <c r="P75" s="112">
        <f t="shared" si="57"/>
        <v>-0.10229716820440889</v>
      </c>
      <c r="Q75" s="112">
        <f t="shared" ref="Q75" si="58">LN(Q73/1.8)/0.91</f>
        <v>-5.3157784927709568E-2</v>
      </c>
      <c r="R75" s="105"/>
      <c r="S75" s="1169"/>
      <c r="T75" s="187"/>
      <c r="U75" s="140"/>
      <c r="AB75" s="137"/>
      <c r="AC75" s="140"/>
    </row>
    <row r="76" spans="2:39" s="57" customFormat="1" ht="28" customHeight="1">
      <c r="B76" s="105"/>
      <c r="C76" s="321" t="s">
        <v>10</v>
      </c>
      <c r="D76" s="14">
        <f t="shared" ref="D76:P76" si="59">D72/D74</f>
        <v>3.2289156626506026</v>
      </c>
      <c r="E76" s="125">
        <f t="shared" si="59"/>
        <v>1.0016977928692699</v>
      </c>
      <c r="F76" s="112">
        <f t="shared" si="59"/>
        <v>0.96517412935323388</v>
      </c>
      <c r="G76" s="112">
        <f t="shared" si="59"/>
        <v>1.0381426202321724</v>
      </c>
      <c r="H76" s="112">
        <f t="shared" si="59"/>
        <v>1.3207171314741035</v>
      </c>
      <c r="I76" s="112">
        <f t="shared" si="59"/>
        <v>1.5061946902654868</v>
      </c>
      <c r="J76" s="112">
        <f t="shared" si="59"/>
        <v>1.2241379310344827</v>
      </c>
      <c r="K76" s="112">
        <f t="shared" si="59"/>
        <v>1.3142857142857143</v>
      </c>
      <c r="L76" s="112">
        <f t="shared" si="59"/>
        <v>1.8328840970350404</v>
      </c>
      <c r="M76" s="112">
        <f t="shared" si="59"/>
        <v>1.9766763848396502</v>
      </c>
      <c r="N76" s="112">
        <f t="shared" si="59"/>
        <v>2.270718232044199</v>
      </c>
      <c r="O76" s="112">
        <f t="shared" si="59"/>
        <v>2.4036870114327908</v>
      </c>
      <c r="P76" s="112">
        <f t="shared" si="59"/>
        <v>2.8132524612149106</v>
      </c>
      <c r="Q76" s="112">
        <f t="shared" ref="Q76" si="60">Q72/Q74</f>
        <v>3.2289156626506026</v>
      </c>
      <c r="R76" s="105"/>
      <c r="S76" s="1169"/>
      <c r="T76" s="187"/>
      <c r="U76" s="140"/>
      <c r="AB76" s="137"/>
      <c r="AC76" s="140"/>
    </row>
    <row r="77" spans="2:39" s="57" customFormat="1" ht="28" customHeight="1">
      <c r="B77" s="105"/>
      <c r="C77" s="321" t="s">
        <v>1</v>
      </c>
      <c r="D77" s="126">
        <f t="shared" ref="D77:P77" si="61">LN(D76/1.44)/1.68</f>
        <v>0.48065670186092246</v>
      </c>
      <c r="E77" s="125">
        <f t="shared" si="61"/>
        <v>-0.21603973829745887</v>
      </c>
      <c r="F77" s="112">
        <f t="shared" si="61"/>
        <v>-0.23814872772836709</v>
      </c>
      <c r="G77" s="112">
        <f t="shared" si="61"/>
        <v>-0.19476782096130726</v>
      </c>
      <c r="H77" s="112">
        <f t="shared" si="61"/>
        <v>-5.1469192317723803E-2</v>
      </c>
      <c r="I77" s="112">
        <f t="shared" si="61"/>
        <v>2.6751954666085757E-2</v>
      </c>
      <c r="J77" s="112">
        <f t="shared" si="61"/>
        <v>-9.6670385174412593E-2</v>
      </c>
      <c r="K77" s="112">
        <f t="shared" si="61"/>
        <v>-5.4374868207278548E-2</v>
      </c>
      <c r="L77" s="112">
        <f t="shared" si="61"/>
        <v>0.14359977498500476</v>
      </c>
      <c r="M77" s="112">
        <f t="shared" si="61"/>
        <v>0.18855578999199196</v>
      </c>
      <c r="N77" s="112">
        <f t="shared" si="61"/>
        <v>0.27110301764434513</v>
      </c>
      <c r="O77" s="112">
        <f t="shared" si="61"/>
        <v>0.30497660696278223</v>
      </c>
      <c r="P77" s="112">
        <f t="shared" si="61"/>
        <v>0.39862985709822313</v>
      </c>
      <c r="Q77" s="112">
        <f t="shared" ref="Q77" si="62">LN(Q76/1.44)/1.68</f>
        <v>0.48065670186092246</v>
      </c>
      <c r="R77" s="105"/>
      <c r="S77" s="1169"/>
      <c r="T77" s="187"/>
      <c r="U77" s="140"/>
      <c r="AB77" s="137"/>
      <c r="AC77" s="140"/>
    </row>
    <row r="78" spans="2:39" s="57" customFormat="1" ht="28" customHeight="1" thickBot="1">
      <c r="B78" s="105"/>
      <c r="C78" s="322" t="s">
        <v>90</v>
      </c>
      <c r="D78" s="127">
        <f>INDEX(神经网络!$G$10:$BO$70,MATCH(ROUND(D77*2,1)/2,神经网络!$E$10:$E$70,0),MATCH(ROUND(D75*2,1)/2,神经网络!$G$8:$BO$8,0))</f>
        <v>1.2795752121391162</v>
      </c>
      <c r="E78" s="125">
        <f>INDEX(神经网络!$G$10:$BO$70,MATCH(ROUND(E77*2,1)/2,神经网络!$E$10:$E$70,0),MATCH(ROUND(E75*2,1)/2,神经网络!$G$8:$BO$8,0))</f>
        <v>1.9309572529427241</v>
      </c>
      <c r="F78" s="125">
        <f>INDEX(神经网络!$G$10:$BO$70,MATCH(ROUND(F77*2,1)/2,神经网络!$E$10:$E$70,0),MATCH(ROUND(F75*2,1)/2,神经网络!$G$8:$BO$8,0))</f>
        <v>1.8309064914754705</v>
      </c>
      <c r="G78" s="125">
        <f>INDEX(神经网络!$G$10:$BO$70,MATCH(ROUND(G77*2,1)/2,神经网络!$E$10:$E$70,0),MATCH(ROUND(G75*2,1)/2,神经网络!$G$8:$BO$8,0))</f>
        <v>1.8642816021898718</v>
      </c>
      <c r="H78" s="125">
        <f>INDEX(神经网络!$G$10:$BO$70,MATCH(ROUND(H77*2,1)/2,神经网络!$E$10:$E$70,0),MATCH(ROUND(H75*2,1)/2,神经网络!$G$8:$BO$8,0))</f>
        <v>1.5135985784920616</v>
      </c>
      <c r="I78" s="125">
        <f>INDEX(神经网络!$G$10:$BO$70,MATCH(ROUND(I77*2,1)/2,神经网络!$E$10:$E$70,0),MATCH(ROUND(I75*2,1)/2,神经网络!$G$8:$BO$8,0))</f>
        <v>1.9021686801216116</v>
      </c>
      <c r="J78" s="125">
        <f>INDEX(神经网络!$G$10:$BO$70,MATCH(ROUND(J77*2,1)/2,神经网络!$E$10:$E$70,0),MATCH(ROUND(J75*2,1)/2,神经网络!$G$8:$BO$8,0))</f>
        <v>1.7968502729440148</v>
      </c>
      <c r="K78" s="125">
        <f>INDEX(神经网络!$G$10:$BO$70,MATCH(ROUND(K77*2,1)/2,神经网络!$E$10:$E$70,0),MATCH(ROUND(K75*2,1)/2,神经网络!$G$8:$BO$8,0))</f>
        <v>1.4234646161346216</v>
      </c>
      <c r="L78" s="125">
        <f>INDEX(神经网络!$G$10:$BO$70,MATCH(ROUND(L77*2,1)/2,神经网络!$E$10:$E$70,0),MATCH(ROUND(L75*2,1)/2,神经网络!$G$8:$BO$8,0))</f>
        <v>1.1440648400729447</v>
      </c>
      <c r="M78" s="125">
        <f>INDEX(神经网络!$G$10:$BO$70,MATCH(ROUND(M77*2,1)/2,神经网络!$E$10:$E$70,0),MATCH(ROUND(M75*2,1)/2,神经网络!$G$8:$BO$8,0))</f>
        <v>1.0115967445766396</v>
      </c>
      <c r="N78" s="125">
        <f>INDEX(神经网络!$G$10:$BO$70,MATCH(ROUND(N77*2,1)/2,神经网络!$E$10:$E$70,0),MATCH(ROUND(N75*2,1)/2,神经网络!$G$8:$BO$8,0))</f>
        <v>1.1437527064016673</v>
      </c>
      <c r="O78" s="125">
        <f>INDEX(神经网络!$G$10:$BO$70,MATCH(ROUND(O77*2,1)/2,神经网络!$E$10:$E$70,0),MATCH(ROUND(O75*2,1)/2,神经网络!$G$8:$BO$8,0))</f>
        <v>1.2802291524497338</v>
      </c>
      <c r="P78" s="125">
        <f>INDEX(神经网络!$G$10:$BO$70,MATCH(ROUND(P77*2,1)/2,神经网络!$E$10:$E$70,0),MATCH(ROUND(P75*2,1)/2,神经网络!$G$8:$BO$8,0))</f>
        <v>1.096462278026997</v>
      </c>
      <c r="Q78" s="125">
        <f>INDEX(神经网络!$G$10:$BO$70,MATCH(ROUND(Q77*2,1)/2,神经网络!$E$10:$E$70,0),MATCH(ROUND(Q75*2,1)/2,神经网络!$G$8:$BO$8,0))</f>
        <v>1.2795752121391162</v>
      </c>
      <c r="R78" s="105"/>
      <c r="S78" s="1169"/>
      <c r="T78" s="187"/>
      <c r="U78" s="140"/>
      <c r="AB78" s="137"/>
      <c r="AC78" s="140"/>
    </row>
    <row r="79" spans="2:39" s="57" customFormat="1" ht="28" customHeight="1">
      <c r="B79" s="105"/>
      <c r="C79" s="323" t="s">
        <v>54</v>
      </c>
      <c r="D79" s="143">
        <f>LOOKUP(9E+307,E79:Q79)</f>
        <v>6.39</v>
      </c>
      <c r="E79" s="365">
        <v>6.71</v>
      </c>
      <c r="F79" s="360">
        <v>6.74</v>
      </c>
      <c r="G79" s="360">
        <v>6.74</v>
      </c>
      <c r="H79" s="360">
        <v>6.7</v>
      </c>
      <c r="I79" s="360">
        <v>6.58</v>
      </c>
      <c r="J79" s="360">
        <v>6.56</v>
      </c>
      <c r="K79" s="360">
        <v>6.56</v>
      </c>
      <c r="L79" s="360">
        <v>6.33</v>
      </c>
      <c r="M79" s="360">
        <v>6.44</v>
      </c>
      <c r="N79" s="360">
        <v>6.37</v>
      </c>
      <c r="O79" s="360">
        <v>6.35</v>
      </c>
      <c r="P79" s="360">
        <v>6.35</v>
      </c>
      <c r="Q79" s="360">
        <v>6.39</v>
      </c>
      <c r="R79" s="105"/>
      <c r="S79" s="1169"/>
      <c r="T79" s="187"/>
      <c r="U79" s="140"/>
      <c r="AB79" s="137"/>
      <c r="AC79" s="140"/>
    </row>
    <row r="80" spans="2:39" s="57" customFormat="1" ht="28" customHeight="1">
      <c r="B80" s="105"/>
      <c r="C80" s="324" t="s">
        <v>80</v>
      </c>
      <c r="D80" s="128">
        <f>LOOKUP(9E+307,E80:Q80)</f>
        <v>4.07</v>
      </c>
      <c r="E80" s="366">
        <v>3.8153000000000001</v>
      </c>
      <c r="F80" s="362">
        <v>3.94</v>
      </c>
      <c r="G80" s="362">
        <v>4.0049000000000001</v>
      </c>
      <c r="H80" s="362">
        <v>3.9058999999999999</v>
      </c>
      <c r="I80" s="362">
        <v>3.9447999999999999</v>
      </c>
      <c r="J80" s="362">
        <v>3.9232</v>
      </c>
      <c r="K80" s="362">
        <v>3.6532</v>
      </c>
      <c r="L80" s="362">
        <v>3.7195</v>
      </c>
      <c r="M80" s="362">
        <v>3.84</v>
      </c>
      <c r="N80" s="362">
        <v>3.8125</v>
      </c>
      <c r="O80" s="362">
        <v>3.86</v>
      </c>
      <c r="P80" s="362"/>
      <c r="Q80" s="362">
        <v>4.07</v>
      </c>
      <c r="R80" s="105"/>
      <c r="S80" s="1169"/>
      <c r="T80" s="187"/>
      <c r="U80" s="141"/>
      <c r="V80" s="130"/>
      <c r="W80" s="130"/>
      <c r="X80" s="130"/>
      <c r="Y80" s="130"/>
      <c r="Z80" s="130"/>
      <c r="AA80" s="130"/>
      <c r="AB80" s="137"/>
      <c r="AC80" s="141"/>
      <c r="AD80" s="130"/>
      <c r="AE80" s="130"/>
      <c r="AF80" s="130"/>
      <c r="AG80" s="130"/>
      <c r="AH80" s="130"/>
      <c r="AI80" s="130"/>
      <c r="AJ80" s="130"/>
      <c r="AK80" s="130"/>
      <c r="AL80" s="130"/>
      <c r="AM80" s="130"/>
    </row>
    <row r="81" spans="2:39" s="57" customFormat="1" ht="28" customHeight="1">
      <c r="B81" s="105"/>
      <c r="C81" s="324" t="s">
        <v>81</v>
      </c>
      <c r="D81" s="128">
        <f>LOOKUP(9E+307,E81:Q81)</f>
        <v>0</v>
      </c>
      <c r="E81" s="366">
        <v>0</v>
      </c>
      <c r="F81" s="366">
        <v>0</v>
      </c>
      <c r="G81" s="366">
        <v>0</v>
      </c>
      <c r="H81" s="362">
        <v>0</v>
      </c>
      <c r="I81" s="362">
        <v>0</v>
      </c>
      <c r="J81" s="362">
        <v>0</v>
      </c>
      <c r="K81" s="362">
        <v>0</v>
      </c>
      <c r="L81" s="362">
        <v>0</v>
      </c>
      <c r="M81" s="362">
        <v>0</v>
      </c>
      <c r="N81" s="362">
        <v>0</v>
      </c>
      <c r="O81" s="362">
        <v>0</v>
      </c>
      <c r="P81" s="362">
        <v>0</v>
      </c>
      <c r="Q81" s="362">
        <v>0</v>
      </c>
      <c r="R81" s="105"/>
      <c r="S81" s="1169"/>
      <c r="T81" s="187"/>
      <c r="U81" s="141"/>
      <c r="V81" s="130"/>
      <c r="W81" s="130"/>
      <c r="X81" s="130"/>
      <c r="Y81" s="130"/>
      <c r="Z81" s="130"/>
      <c r="AA81" s="130"/>
      <c r="AB81" s="137"/>
      <c r="AC81" s="141"/>
      <c r="AD81" s="130"/>
      <c r="AE81" s="130"/>
      <c r="AF81" s="130"/>
      <c r="AG81" s="130"/>
      <c r="AH81" s="130"/>
      <c r="AI81" s="130"/>
      <c r="AJ81" s="130"/>
      <c r="AK81" s="130"/>
      <c r="AL81" s="130"/>
      <c r="AM81" s="130"/>
    </row>
    <row r="82" spans="2:39" s="57" customFormat="1" ht="28" customHeight="1">
      <c r="B82" s="105"/>
      <c r="C82" s="324" t="s">
        <v>82</v>
      </c>
      <c r="D82" s="128">
        <f>LOOKUP(9E+307,E82:Q82)</f>
        <v>9119.27</v>
      </c>
      <c r="E82" s="366">
        <v>18209.12</v>
      </c>
      <c r="F82" s="362">
        <v>7000</v>
      </c>
      <c r="G82" s="362">
        <v>7129.96</v>
      </c>
      <c r="H82" s="362">
        <v>1279.93</v>
      </c>
      <c r="I82" s="362">
        <v>7000</v>
      </c>
      <c r="J82" s="362">
        <v>6192.78</v>
      </c>
      <c r="K82" s="362">
        <v>7030.07</v>
      </c>
      <c r="L82" s="362">
        <v>6863.61</v>
      </c>
      <c r="M82" s="362">
        <v>6016.88</v>
      </c>
      <c r="N82" s="362">
        <v>9521.4</v>
      </c>
      <c r="O82" s="362">
        <v>10516.59</v>
      </c>
      <c r="P82" s="362">
        <v>10516.59</v>
      </c>
      <c r="Q82" s="362">
        <v>9119.27</v>
      </c>
      <c r="R82" s="105"/>
      <c r="S82" s="1169"/>
      <c r="T82" s="187"/>
      <c r="U82" s="141"/>
      <c r="V82" s="130"/>
      <c r="W82" s="130"/>
      <c r="X82" s="130"/>
      <c r="Y82" s="130"/>
      <c r="Z82" s="130"/>
      <c r="AA82" s="130"/>
      <c r="AB82" s="137"/>
      <c r="AC82" s="141"/>
      <c r="AD82" s="130"/>
      <c r="AE82" s="130"/>
      <c r="AF82" s="130"/>
      <c r="AG82" s="130"/>
      <c r="AH82" s="130"/>
      <c r="AI82" s="130"/>
      <c r="AJ82" s="130"/>
      <c r="AK82" s="130"/>
      <c r="AL82" s="130"/>
      <c r="AM82" s="130"/>
    </row>
    <row r="83" spans="2:39" s="57" customFormat="1" ht="28" customHeight="1">
      <c r="B83" s="105"/>
      <c r="C83" s="324" t="s">
        <v>83</v>
      </c>
      <c r="D83" s="128">
        <f>LOOKUP(9E+307,E83:Q83)</f>
        <v>5870</v>
      </c>
      <c r="E83" s="366">
        <v>0</v>
      </c>
      <c r="F83" s="366">
        <v>0</v>
      </c>
      <c r="G83" s="362">
        <v>0</v>
      </c>
      <c r="H83" s="362">
        <v>1</v>
      </c>
      <c r="I83" s="362">
        <v>0</v>
      </c>
      <c r="J83" s="362">
        <v>0</v>
      </c>
      <c r="K83" s="362">
        <v>22045.45</v>
      </c>
      <c r="L83" s="362">
        <v>39028.949999999997</v>
      </c>
      <c r="M83" s="362">
        <v>51688.02</v>
      </c>
      <c r="N83" s="362">
        <v>49913</v>
      </c>
      <c r="O83" s="362">
        <v>0</v>
      </c>
      <c r="P83" s="362">
        <v>0</v>
      </c>
      <c r="Q83" s="362">
        <v>5870</v>
      </c>
      <c r="R83" s="105"/>
      <c r="S83" s="1169"/>
      <c r="T83" s="187"/>
      <c r="U83" s="141"/>
      <c r="V83" s="130"/>
      <c r="W83" s="130"/>
      <c r="X83" s="130"/>
      <c r="Y83" s="130"/>
      <c r="Z83" s="130"/>
      <c r="AA83" s="130"/>
      <c r="AB83" s="137"/>
      <c r="AC83" s="141"/>
      <c r="AD83" s="130"/>
      <c r="AE83" s="130"/>
      <c r="AF83" s="130"/>
      <c r="AG83" s="130"/>
      <c r="AH83" s="130"/>
      <c r="AI83" s="130"/>
      <c r="AJ83" s="130"/>
      <c r="AK83" s="130"/>
      <c r="AL83" s="130"/>
      <c r="AM83" s="130"/>
    </row>
    <row r="84" spans="2:39" s="57" customFormat="1" ht="28" customHeight="1">
      <c r="B84" s="105"/>
      <c r="C84" s="325" t="s">
        <v>84</v>
      </c>
      <c r="D84" s="112">
        <f>D83*D79</f>
        <v>37509.299999999996</v>
      </c>
      <c r="E84" s="125">
        <f>E83*E79</f>
        <v>0</v>
      </c>
      <c r="F84" s="112">
        <f>F83*F79</f>
        <v>0</v>
      </c>
      <c r="G84" s="112">
        <f>G83*G79</f>
        <v>0</v>
      </c>
      <c r="H84" s="112">
        <f>H83*H79</f>
        <v>6.7</v>
      </c>
      <c r="I84" s="112">
        <f t="shared" ref="I84:Q84" si="63">I83*I79</f>
        <v>0</v>
      </c>
      <c r="J84" s="112">
        <f t="shared" si="63"/>
        <v>0</v>
      </c>
      <c r="K84" s="112">
        <f t="shared" si="63"/>
        <v>144618.152</v>
      </c>
      <c r="L84" s="112">
        <f t="shared" si="63"/>
        <v>247053.25349999999</v>
      </c>
      <c r="M84" s="112">
        <f t="shared" si="63"/>
        <v>332870.84879999998</v>
      </c>
      <c r="N84" s="112">
        <f t="shared" si="63"/>
        <v>317945.81</v>
      </c>
      <c r="O84" s="112">
        <f t="shared" si="63"/>
        <v>0</v>
      </c>
      <c r="P84" s="112">
        <f t="shared" si="63"/>
        <v>0</v>
      </c>
      <c r="Q84" s="112">
        <f t="shared" si="63"/>
        <v>37509.299999999996</v>
      </c>
      <c r="R84" s="105"/>
      <c r="S84" s="1169"/>
      <c r="T84" s="187"/>
      <c r="U84" s="141"/>
      <c r="V84" s="130"/>
      <c r="W84" s="130"/>
      <c r="X84" s="130"/>
      <c r="Y84" s="130"/>
      <c r="Z84" s="130"/>
      <c r="AA84" s="130"/>
      <c r="AB84" s="137"/>
      <c r="AC84" s="141"/>
      <c r="AD84" s="130"/>
      <c r="AE84" s="130"/>
      <c r="AF84" s="130"/>
      <c r="AG84" s="130"/>
      <c r="AH84" s="130"/>
      <c r="AI84" s="130"/>
      <c r="AJ84" s="130"/>
      <c r="AK84" s="130"/>
      <c r="AL84" s="130"/>
      <c r="AM84" s="130"/>
    </row>
    <row r="85" spans="2:39" s="57" customFormat="1" ht="28" customHeight="1">
      <c r="B85" s="105"/>
      <c r="C85" s="324" t="s">
        <v>85</v>
      </c>
      <c r="D85" s="128">
        <f>LOOKUP(9E+307,E85:Q85)</f>
        <v>44195</v>
      </c>
      <c r="E85" s="366">
        <v>29699.82</v>
      </c>
      <c r="F85" s="362">
        <v>30535</v>
      </c>
      <c r="G85" s="362">
        <v>35510.800000000003</v>
      </c>
      <c r="H85" s="362">
        <f>36099-746.26*2</f>
        <v>34606.480000000003</v>
      </c>
      <c r="I85" s="362">
        <v>47953.53</v>
      </c>
      <c r="J85" s="362">
        <v>55001.23</v>
      </c>
      <c r="K85" s="362">
        <f>1988.82+3149.93+39445.55</f>
        <v>44584.3</v>
      </c>
      <c r="L85" s="362">
        <v>17098.45</v>
      </c>
      <c r="M85" s="362">
        <v>15228.09</v>
      </c>
      <c r="N85" s="362">
        <v>17240</v>
      </c>
      <c r="O85" s="362">
        <v>67854</v>
      </c>
      <c r="P85" s="362">
        <v>53246</v>
      </c>
      <c r="Q85" s="362">
        <v>44195</v>
      </c>
      <c r="R85" s="105"/>
      <c r="S85" s="1169"/>
      <c r="T85" s="187"/>
      <c r="U85" s="141"/>
      <c r="V85" s="130"/>
      <c r="W85" s="130"/>
      <c r="X85" s="130"/>
      <c r="Y85" s="130"/>
      <c r="Z85" s="130"/>
      <c r="AA85" s="130"/>
      <c r="AB85" s="137"/>
      <c r="AC85" s="141"/>
      <c r="AD85" s="130"/>
      <c r="AE85" s="130"/>
      <c r="AF85" s="130"/>
      <c r="AG85" s="130"/>
      <c r="AH85" s="130"/>
      <c r="AI85" s="130"/>
      <c r="AJ85" s="130"/>
      <c r="AK85" s="130"/>
      <c r="AL85" s="130"/>
      <c r="AM85" s="130"/>
    </row>
    <row r="86" spans="2:39" s="57" customFormat="1" ht="28" customHeight="1">
      <c r="B86" s="105"/>
      <c r="C86" s="325" t="s">
        <v>86</v>
      </c>
      <c r="D86" s="112">
        <f t="shared" ref="D86:N86" si="64">D85*D79</f>
        <v>282406.05</v>
      </c>
      <c r="E86" s="125">
        <f t="shared" si="64"/>
        <v>199285.7922</v>
      </c>
      <c r="F86" s="112">
        <f t="shared" si="64"/>
        <v>205805.9</v>
      </c>
      <c r="G86" s="112">
        <f t="shared" si="64"/>
        <v>239342.79200000002</v>
      </c>
      <c r="H86" s="112">
        <f t="shared" si="64"/>
        <v>231863.41600000003</v>
      </c>
      <c r="I86" s="112">
        <f t="shared" si="64"/>
        <v>315534.22739999997</v>
      </c>
      <c r="J86" s="112">
        <f t="shared" si="64"/>
        <v>360808.06880000001</v>
      </c>
      <c r="K86" s="112">
        <f t="shared" si="64"/>
        <v>292473.00800000003</v>
      </c>
      <c r="L86" s="112">
        <f t="shared" si="64"/>
        <v>108233.1885</v>
      </c>
      <c r="M86" s="112">
        <f t="shared" si="64"/>
        <v>98068.899600000004</v>
      </c>
      <c r="N86" s="112">
        <f t="shared" si="64"/>
        <v>109818.8</v>
      </c>
      <c r="O86" s="112">
        <f>O85*O79</f>
        <v>430872.89999999997</v>
      </c>
      <c r="P86" s="112">
        <f>P85*P79</f>
        <v>338112.1</v>
      </c>
      <c r="Q86" s="112">
        <f>Q85*Q79</f>
        <v>282406.05</v>
      </c>
      <c r="R86" s="105"/>
      <c r="S86" s="1169"/>
      <c r="T86" s="187"/>
      <c r="U86" s="141"/>
      <c r="V86" s="130"/>
      <c r="W86" s="130"/>
      <c r="X86" s="130"/>
      <c r="Y86" s="130"/>
      <c r="Z86" s="130"/>
      <c r="AA86" s="130"/>
      <c r="AB86" s="137"/>
      <c r="AC86" s="141"/>
      <c r="AD86" s="130"/>
      <c r="AE86" s="130"/>
      <c r="AF86" s="130"/>
      <c r="AG86" s="130"/>
      <c r="AH86" s="130"/>
      <c r="AI86" s="130"/>
      <c r="AJ86" s="130"/>
      <c r="AK86" s="130"/>
      <c r="AL86" s="130"/>
      <c r="AM86" s="130"/>
    </row>
    <row r="87" spans="2:39" s="131" customFormat="1" ht="28" customHeight="1">
      <c r="B87" s="105"/>
      <c r="C87" s="326" t="s">
        <v>59</v>
      </c>
      <c r="D87" s="132">
        <f>LOOKUP(9E+307,E87:Q87)</f>
        <v>20000</v>
      </c>
      <c r="E87" s="366">
        <v>0</v>
      </c>
      <c r="F87" s="366">
        <v>0</v>
      </c>
      <c r="G87" s="366">
        <v>0</v>
      </c>
      <c r="H87" s="366">
        <v>0</v>
      </c>
      <c r="I87" s="366">
        <v>20000</v>
      </c>
      <c r="J87" s="366">
        <v>20000</v>
      </c>
      <c r="K87" s="366">
        <v>20000</v>
      </c>
      <c r="L87" s="362">
        <v>20000</v>
      </c>
      <c r="M87" s="362">
        <v>20000</v>
      </c>
      <c r="N87" s="362">
        <v>20000</v>
      </c>
      <c r="O87" s="362">
        <v>20000</v>
      </c>
      <c r="P87" s="362">
        <v>20000</v>
      </c>
      <c r="Q87" s="362">
        <v>20000</v>
      </c>
      <c r="R87" s="105"/>
      <c r="S87" s="1169"/>
      <c r="T87" s="187"/>
      <c r="U87" s="141"/>
      <c r="V87" s="130"/>
      <c r="W87" s="130"/>
      <c r="X87" s="130"/>
      <c r="Y87" s="130"/>
      <c r="Z87" s="130"/>
      <c r="AA87" s="130"/>
      <c r="AB87" s="137"/>
      <c r="AC87" s="141"/>
      <c r="AD87" s="130"/>
      <c r="AE87" s="130"/>
      <c r="AF87" s="130"/>
      <c r="AG87" s="130"/>
      <c r="AH87" s="130"/>
      <c r="AI87" s="130"/>
      <c r="AJ87" s="130"/>
      <c r="AK87" s="130"/>
      <c r="AL87" s="130"/>
      <c r="AM87" s="130"/>
    </row>
    <row r="88" spans="2:39" s="131" customFormat="1" ht="28" customHeight="1">
      <c r="B88" s="105"/>
      <c r="C88" s="326" t="s">
        <v>60</v>
      </c>
      <c r="D88" s="132">
        <f>LOOKUP(9E+307,E88:Q88)</f>
        <v>0</v>
      </c>
      <c r="E88" s="366">
        <v>0</v>
      </c>
      <c r="F88" s="366">
        <v>0</v>
      </c>
      <c r="G88" s="366">
        <v>0</v>
      </c>
      <c r="H88" s="366">
        <v>0</v>
      </c>
      <c r="I88" s="366">
        <v>13500</v>
      </c>
      <c r="J88" s="366">
        <v>13500</v>
      </c>
      <c r="K88" s="366">
        <v>13500</v>
      </c>
      <c r="L88" s="366">
        <v>13500</v>
      </c>
      <c r="M88" s="366">
        <v>13500</v>
      </c>
      <c r="N88" s="366">
        <v>0</v>
      </c>
      <c r="O88" s="366">
        <v>0</v>
      </c>
      <c r="P88" s="366">
        <v>0</v>
      </c>
      <c r="Q88" s="366">
        <v>0</v>
      </c>
      <c r="R88" s="105"/>
      <c r="S88" s="1169"/>
      <c r="T88" s="187"/>
      <c r="U88" s="141"/>
      <c r="V88" s="130"/>
      <c r="W88" s="130"/>
      <c r="X88" s="130"/>
      <c r="Y88" s="130"/>
      <c r="Z88" s="130"/>
      <c r="AA88" s="130"/>
      <c r="AB88" s="137"/>
      <c r="AC88" s="141"/>
      <c r="AD88" s="130"/>
      <c r="AE88" s="130"/>
      <c r="AF88" s="130"/>
      <c r="AG88" s="130"/>
      <c r="AH88" s="130"/>
      <c r="AI88" s="130"/>
      <c r="AJ88" s="130"/>
      <c r="AK88" s="130"/>
      <c r="AL88" s="130"/>
      <c r="AM88" s="130"/>
    </row>
    <row r="89" spans="2:39" s="131" customFormat="1" ht="28" customHeight="1">
      <c r="B89" s="105"/>
      <c r="C89" s="326" t="s">
        <v>92</v>
      </c>
      <c r="D89" s="132">
        <f>LOOKUP(9E+307,E89:Q89)</f>
        <v>293168.68</v>
      </c>
      <c r="E89" s="366">
        <f t="shared" ref="E89:G89" si="65">100168.68</f>
        <v>100168.68</v>
      </c>
      <c r="F89" s="366">
        <f t="shared" si="65"/>
        <v>100168.68</v>
      </c>
      <c r="G89" s="366">
        <f t="shared" si="65"/>
        <v>100168.68</v>
      </c>
      <c r="H89" s="366">
        <f>100168.68</f>
        <v>100168.68</v>
      </c>
      <c r="I89" s="366">
        <f>100168.68+18000</f>
        <v>118168.68</v>
      </c>
      <c r="J89" s="362">
        <f>100168.68+18000</f>
        <v>118168.68</v>
      </c>
      <c r="K89" s="362">
        <v>223168.68</v>
      </c>
      <c r="L89" s="362">
        <v>223168.68</v>
      </c>
      <c r="M89" s="362">
        <v>293168.68</v>
      </c>
      <c r="N89" s="362">
        <v>293168.68</v>
      </c>
      <c r="O89" s="362">
        <f>293168.68</f>
        <v>293168.68</v>
      </c>
      <c r="P89" s="362">
        <f>293168.68</f>
        <v>293168.68</v>
      </c>
      <c r="Q89" s="362">
        <f>293168.68</f>
        <v>293168.68</v>
      </c>
      <c r="R89" s="105"/>
      <c r="S89" s="1169"/>
      <c r="T89" s="187"/>
      <c r="U89" s="141"/>
      <c r="V89" s="130"/>
      <c r="W89" s="130"/>
      <c r="X89" s="130"/>
      <c r="Y89" s="130"/>
      <c r="Z89" s="130"/>
      <c r="AA89" s="130"/>
      <c r="AB89" s="137"/>
      <c r="AC89" s="141"/>
      <c r="AD89" s="130"/>
      <c r="AE89" s="130"/>
      <c r="AF89" s="130"/>
      <c r="AG89" s="130"/>
      <c r="AH89" s="130"/>
      <c r="AI89" s="130"/>
      <c r="AJ89" s="130"/>
      <c r="AK89" s="130"/>
      <c r="AL89" s="130"/>
      <c r="AM89" s="130"/>
    </row>
    <row r="90" spans="2:39" s="130" customFormat="1" ht="28" customHeight="1">
      <c r="B90" s="105"/>
      <c r="C90" s="327" t="s">
        <v>61</v>
      </c>
      <c r="D90" s="129">
        <f>D87+D88+D89</f>
        <v>313168.68</v>
      </c>
      <c r="E90" s="135">
        <f t="shared" ref="E90:P90" si="66">E87+E88+E89</f>
        <v>100168.68</v>
      </c>
      <c r="F90" s="135">
        <f t="shared" si="66"/>
        <v>100168.68</v>
      </c>
      <c r="G90" s="135">
        <f t="shared" si="66"/>
        <v>100168.68</v>
      </c>
      <c r="H90" s="135">
        <f t="shared" si="66"/>
        <v>100168.68</v>
      </c>
      <c r="I90" s="135">
        <f t="shared" si="66"/>
        <v>151668.68</v>
      </c>
      <c r="J90" s="135">
        <f t="shared" si="66"/>
        <v>151668.68</v>
      </c>
      <c r="K90" s="135">
        <f t="shared" si="66"/>
        <v>256668.68</v>
      </c>
      <c r="L90" s="135">
        <f t="shared" si="66"/>
        <v>256668.68</v>
      </c>
      <c r="M90" s="135">
        <f t="shared" si="66"/>
        <v>326668.68</v>
      </c>
      <c r="N90" s="135">
        <f t="shared" si="66"/>
        <v>313168.68</v>
      </c>
      <c r="O90" s="135">
        <f t="shared" si="66"/>
        <v>313168.68</v>
      </c>
      <c r="P90" s="135">
        <f t="shared" si="66"/>
        <v>313168.68</v>
      </c>
      <c r="Q90" s="135">
        <f t="shared" ref="Q90" si="67">Q87+Q88+Q89</f>
        <v>313168.68</v>
      </c>
      <c r="R90" s="105"/>
      <c r="S90" s="1169"/>
      <c r="T90" s="187"/>
      <c r="U90" s="141"/>
      <c r="AB90" s="137"/>
      <c r="AC90" s="141"/>
    </row>
    <row r="91" spans="2:39" s="57" customFormat="1" ht="28" customHeight="1">
      <c r="B91" s="105"/>
      <c r="C91" s="325" t="s">
        <v>87</v>
      </c>
      <c r="D91" s="112">
        <f t="shared" ref="D91:N91" si="68">D92-D90</f>
        <v>15865.940000000002</v>
      </c>
      <c r="E91" s="125">
        <f t="shared" si="68"/>
        <v>117326.2322</v>
      </c>
      <c r="F91" s="125">
        <f t="shared" si="68"/>
        <v>112637.22</v>
      </c>
      <c r="G91" s="125">
        <f t="shared" si="68"/>
        <v>146304.07200000001</v>
      </c>
      <c r="H91" s="125">
        <f t="shared" si="68"/>
        <v>132981.36600000004</v>
      </c>
      <c r="I91" s="125">
        <f t="shared" si="68"/>
        <v>170865.54739999998</v>
      </c>
      <c r="J91" s="125">
        <f t="shared" si="68"/>
        <v>215332.16880000004</v>
      </c>
      <c r="K91" s="125">
        <f t="shared" si="68"/>
        <v>187452.55000000005</v>
      </c>
      <c r="L91" s="125">
        <f t="shared" si="68"/>
        <v>105481.37199999997</v>
      </c>
      <c r="M91" s="125">
        <f t="shared" si="68"/>
        <v>110287.94839999999</v>
      </c>
      <c r="N91" s="125">
        <f t="shared" si="68"/>
        <v>124117.33000000002</v>
      </c>
      <c r="O91" s="125">
        <f>O92-O90</f>
        <v>128220.81</v>
      </c>
      <c r="P91" s="125">
        <f>P92-P90</f>
        <v>35460.010000000009</v>
      </c>
      <c r="Q91" s="125">
        <f>Q92-Q90</f>
        <v>15865.940000000002</v>
      </c>
      <c r="R91" s="105"/>
      <c r="S91" s="1169"/>
      <c r="T91" s="187"/>
      <c r="U91" s="141"/>
      <c r="V91" s="130"/>
      <c r="W91" s="130"/>
      <c r="X91" s="130"/>
      <c r="Y91" s="130"/>
      <c r="Z91" s="130"/>
      <c r="AA91" s="130"/>
      <c r="AB91" s="137"/>
      <c r="AC91" s="141"/>
      <c r="AD91" s="130"/>
      <c r="AE91" s="130"/>
      <c r="AF91" s="130"/>
      <c r="AG91" s="130"/>
      <c r="AH91" s="130"/>
      <c r="AI91" s="130"/>
      <c r="AJ91" s="130"/>
      <c r="AK91" s="130"/>
      <c r="AL91" s="130"/>
      <c r="AM91" s="130"/>
    </row>
    <row r="92" spans="2:39" s="57" customFormat="1" ht="28" customHeight="1">
      <c r="B92" s="105"/>
      <c r="C92" s="325" t="s">
        <v>88</v>
      </c>
      <c r="D92" s="112">
        <f t="shared" ref="D92:N92" si="69">D81+D82+D84+D86</f>
        <v>329034.62</v>
      </c>
      <c r="E92" s="125">
        <f t="shared" si="69"/>
        <v>217494.91219999999</v>
      </c>
      <c r="F92" s="125">
        <f t="shared" si="69"/>
        <v>212805.9</v>
      </c>
      <c r="G92" s="125">
        <f t="shared" si="69"/>
        <v>246472.75200000001</v>
      </c>
      <c r="H92" s="125">
        <f t="shared" si="69"/>
        <v>233150.04600000003</v>
      </c>
      <c r="I92" s="125">
        <f t="shared" si="69"/>
        <v>322534.22739999997</v>
      </c>
      <c r="J92" s="125">
        <f t="shared" si="69"/>
        <v>367000.84880000004</v>
      </c>
      <c r="K92" s="125">
        <f t="shared" si="69"/>
        <v>444121.23000000004</v>
      </c>
      <c r="L92" s="125">
        <f t="shared" si="69"/>
        <v>362150.05199999997</v>
      </c>
      <c r="M92" s="125">
        <f t="shared" si="69"/>
        <v>436956.62839999999</v>
      </c>
      <c r="N92" s="125">
        <f t="shared" si="69"/>
        <v>437286.01</v>
      </c>
      <c r="O92" s="125">
        <f>O81+O82+O84+O86</f>
        <v>441389.49</v>
      </c>
      <c r="P92" s="125">
        <f>P81+P82+P84+P86</f>
        <v>348628.69</v>
      </c>
      <c r="Q92" s="125">
        <f>Q81+Q82+Q84+Q86</f>
        <v>329034.62</v>
      </c>
      <c r="R92" s="105"/>
      <c r="S92" s="1169"/>
      <c r="T92" s="187"/>
      <c r="U92" s="141"/>
      <c r="V92" s="130"/>
      <c r="W92" s="130"/>
      <c r="X92" s="130"/>
      <c r="Y92" s="130"/>
      <c r="Z92" s="130"/>
      <c r="AA92" s="130"/>
      <c r="AB92" s="137"/>
      <c r="AC92" s="141"/>
      <c r="AD92" s="130"/>
      <c r="AE92" s="130"/>
      <c r="AF92" s="130"/>
      <c r="AG92" s="130"/>
      <c r="AH92" s="130"/>
      <c r="AI92" s="130"/>
      <c r="AJ92" s="130"/>
      <c r="AK92" s="130"/>
      <c r="AL92" s="130"/>
      <c r="AM92" s="130"/>
    </row>
    <row r="93" spans="2:39" s="57" customFormat="1" ht="28" customHeight="1">
      <c r="B93" s="105"/>
      <c r="C93" s="326" t="s">
        <v>89</v>
      </c>
      <c r="D93" s="132">
        <f>LOOKUP(9E+307,E93:Q93)</f>
        <v>0</v>
      </c>
      <c r="E93" s="366">
        <v>39898.68</v>
      </c>
      <c r="F93" s="366">
        <f>110286*0.441</f>
        <v>48636.126000000004</v>
      </c>
      <c r="G93" s="362">
        <v>0</v>
      </c>
      <c r="H93" s="362">
        <v>0</v>
      </c>
      <c r="I93" s="362">
        <v>0</v>
      </c>
      <c r="J93" s="362">
        <v>0</v>
      </c>
      <c r="K93" s="362">
        <v>0</v>
      </c>
      <c r="L93" s="362">
        <v>0</v>
      </c>
      <c r="M93" s="362">
        <v>0</v>
      </c>
      <c r="N93" s="362">
        <v>0</v>
      </c>
      <c r="O93" s="362">
        <v>0</v>
      </c>
      <c r="P93" s="362">
        <v>0</v>
      </c>
      <c r="Q93" s="362">
        <v>0</v>
      </c>
      <c r="R93" s="105"/>
      <c r="S93" s="1169"/>
      <c r="T93" s="187"/>
      <c r="U93" s="141"/>
      <c r="V93" s="130"/>
      <c r="W93" s="130"/>
      <c r="X93" s="130"/>
      <c r="Y93" s="130"/>
      <c r="Z93" s="130"/>
      <c r="AA93" s="130"/>
      <c r="AB93" s="137"/>
      <c r="AC93" s="141"/>
      <c r="AD93" s="130"/>
      <c r="AE93" s="130"/>
      <c r="AF93" s="130"/>
      <c r="AG93" s="130"/>
      <c r="AH93" s="130"/>
      <c r="AI93" s="130"/>
      <c r="AJ93" s="130"/>
      <c r="AK93" s="130"/>
      <c r="AL93" s="130"/>
      <c r="AM93" s="130"/>
    </row>
    <row r="94" spans="2:39" s="57" customFormat="1" ht="28" customHeight="1">
      <c r="B94" s="105"/>
      <c r="C94" s="325" t="s">
        <v>62</v>
      </c>
      <c r="D94" s="125">
        <f t="shared" ref="D94:N94" si="70">D91+D93</f>
        <v>15865.940000000002</v>
      </c>
      <c r="E94" s="125">
        <f t="shared" si="70"/>
        <v>157224.91219999999</v>
      </c>
      <c r="F94" s="125">
        <f t="shared" si="70"/>
        <v>161273.34600000002</v>
      </c>
      <c r="G94" s="125">
        <f t="shared" si="70"/>
        <v>146304.07200000001</v>
      </c>
      <c r="H94" s="125">
        <f t="shared" si="70"/>
        <v>132981.36600000004</v>
      </c>
      <c r="I94" s="125">
        <f t="shared" si="70"/>
        <v>170865.54739999998</v>
      </c>
      <c r="J94" s="125">
        <f t="shared" si="70"/>
        <v>215332.16880000004</v>
      </c>
      <c r="K94" s="125">
        <f t="shared" si="70"/>
        <v>187452.55000000005</v>
      </c>
      <c r="L94" s="125">
        <f t="shared" si="70"/>
        <v>105481.37199999997</v>
      </c>
      <c r="M94" s="125">
        <f t="shared" si="70"/>
        <v>110287.94839999999</v>
      </c>
      <c r="N94" s="125">
        <f t="shared" si="70"/>
        <v>124117.33000000002</v>
      </c>
      <c r="O94" s="125">
        <f>O91+O93</f>
        <v>128220.81</v>
      </c>
      <c r="P94" s="125">
        <f>P91+P93</f>
        <v>35460.010000000009</v>
      </c>
      <c r="Q94" s="125">
        <f>Q91+Q93</f>
        <v>15865.940000000002</v>
      </c>
      <c r="R94" s="105"/>
      <c r="S94" s="1169"/>
      <c r="T94" s="187"/>
      <c r="U94" s="141"/>
      <c r="V94" s="130"/>
      <c r="W94" s="130"/>
      <c r="X94" s="130"/>
      <c r="Y94" s="130"/>
      <c r="Z94" s="130"/>
      <c r="AA94" s="130"/>
      <c r="AB94" s="137"/>
      <c r="AC94" s="141"/>
      <c r="AD94" s="130"/>
      <c r="AE94" s="130"/>
      <c r="AF94" s="130"/>
      <c r="AG94" s="130"/>
      <c r="AH94" s="130"/>
      <c r="AI94" s="130"/>
      <c r="AJ94" s="130"/>
      <c r="AK94" s="130"/>
      <c r="AL94" s="130"/>
      <c r="AM94" s="130"/>
    </row>
    <row r="95" spans="2:39" s="57" customFormat="1" ht="28" customHeight="1" thickBot="1">
      <c r="B95" s="105"/>
      <c r="C95" s="325" t="s">
        <v>64</v>
      </c>
      <c r="D95" s="125">
        <f t="shared" ref="D95:N95" si="71">D92+D93</f>
        <v>329034.62</v>
      </c>
      <c r="E95" s="125">
        <f t="shared" si="71"/>
        <v>257393.59219999998</v>
      </c>
      <c r="F95" s="125">
        <f t="shared" si="71"/>
        <v>261442.02600000001</v>
      </c>
      <c r="G95" s="125">
        <f t="shared" si="71"/>
        <v>246472.75200000001</v>
      </c>
      <c r="H95" s="125">
        <f t="shared" si="71"/>
        <v>233150.04600000003</v>
      </c>
      <c r="I95" s="125">
        <f t="shared" si="71"/>
        <v>322534.22739999997</v>
      </c>
      <c r="J95" s="125">
        <f t="shared" si="71"/>
        <v>367000.84880000004</v>
      </c>
      <c r="K95" s="125">
        <f t="shared" si="71"/>
        <v>444121.23000000004</v>
      </c>
      <c r="L95" s="125">
        <f t="shared" si="71"/>
        <v>362150.05199999997</v>
      </c>
      <c r="M95" s="125">
        <f t="shared" si="71"/>
        <v>436956.62839999999</v>
      </c>
      <c r="N95" s="125">
        <f t="shared" si="71"/>
        <v>437286.01</v>
      </c>
      <c r="O95" s="125">
        <f>O92+O93</f>
        <v>441389.49</v>
      </c>
      <c r="P95" s="125">
        <f>P92+P93</f>
        <v>348628.69</v>
      </c>
      <c r="Q95" s="125">
        <f>Q92+Q93</f>
        <v>329034.62</v>
      </c>
      <c r="R95" s="105"/>
      <c r="S95" s="1170"/>
      <c r="T95" s="187"/>
      <c r="U95" s="141"/>
      <c r="V95" s="130"/>
      <c r="W95" s="130"/>
      <c r="X95" s="130"/>
      <c r="Y95" s="130"/>
      <c r="Z95" s="130"/>
      <c r="AA95" s="130"/>
      <c r="AB95" s="137"/>
      <c r="AC95" s="141"/>
      <c r="AD95" s="130"/>
      <c r="AE95" s="130"/>
      <c r="AF95" s="130"/>
      <c r="AG95" s="130"/>
      <c r="AH95" s="130"/>
      <c r="AI95" s="130"/>
      <c r="AJ95" s="130"/>
      <c r="AK95" s="130"/>
      <c r="AL95" s="130"/>
      <c r="AM95" s="130"/>
    </row>
    <row r="96" spans="2:39" s="57" customFormat="1" ht="28" customHeight="1">
      <c r="B96" s="105"/>
      <c r="C96" s="187"/>
      <c r="D96" s="187"/>
      <c r="E96" s="187"/>
      <c r="F96" s="187"/>
      <c r="G96" s="187"/>
      <c r="H96" s="187"/>
      <c r="I96" s="187"/>
      <c r="J96" s="187"/>
      <c r="K96" s="187"/>
      <c r="L96" s="187"/>
      <c r="M96" s="187"/>
      <c r="N96" s="187"/>
      <c r="O96" s="187"/>
      <c r="P96" s="187"/>
      <c r="Q96" s="187"/>
      <c r="R96" s="105"/>
      <c r="S96" s="187"/>
      <c r="T96" s="187"/>
      <c r="U96" s="141"/>
      <c r="V96" s="130"/>
      <c r="W96" s="130"/>
      <c r="X96" s="130"/>
      <c r="Y96" s="130"/>
      <c r="Z96" s="130"/>
      <c r="AA96" s="130"/>
      <c r="AB96" s="137"/>
      <c r="AC96" s="141"/>
      <c r="AD96" s="130"/>
      <c r="AE96" s="130"/>
      <c r="AF96" s="130"/>
      <c r="AG96" s="130"/>
      <c r="AH96" s="130"/>
      <c r="AI96" s="130"/>
      <c r="AJ96" s="130"/>
      <c r="AK96" s="130"/>
      <c r="AL96" s="130"/>
      <c r="AM96" s="130"/>
    </row>
    <row r="97" spans="2:39" ht="28" customHeight="1">
      <c r="U97" s="137"/>
      <c r="AB97" s="137"/>
      <c r="AC97" s="137"/>
    </row>
    <row r="98" spans="2:39" ht="28" customHeight="1" thickBot="1">
      <c r="B98" s="105"/>
      <c r="C98" s="105"/>
      <c r="D98" s="105"/>
      <c r="E98" s="105"/>
      <c r="F98" s="105"/>
      <c r="G98" s="105"/>
      <c r="H98" s="105"/>
      <c r="I98" s="105"/>
      <c r="J98" s="105"/>
      <c r="K98" s="105"/>
      <c r="L98" s="105"/>
      <c r="M98" s="105">
        <f>50130.68+38+50000</f>
        <v>100168.68</v>
      </c>
      <c r="N98" s="105">
        <f>50130.68+38+50000</f>
        <v>100168.68</v>
      </c>
      <c r="O98" s="105"/>
      <c r="P98" s="105"/>
      <c r="Q98" s="105"/>
      <c r="R98" s="105"/>
      <c r="S98" s="105"/>
      <c r="T98" s="105"/>
      <c r="U98" s="137"/>
      <c r="AB98" s="137"/>
      <c r="AC98" s="137"/>
    </row>
    <row r="99" spans="2:39" s="56" customFormat="1" ht="28" customHeight="1">
      <c r="B99" s="105"/>
      <c r="C99" s="328" t="s">
        <v>78</v>
      </c>
      <c r="D99" s="329" t="s">
        <v>79</v>
      </c>
      <c r="E99" s="119">
        <v>44221</v>
      </c>
      <c r="F99" s="119">
        <v>44227</v>
      </c>
      <c r="G99" s="119">
        <v>44234</v>
      </c>
      <c r="H99" s="119">
        <v>44241</v>
      </c>
      <c r="I99" s="119">
        <v>44248</v>
      </c>
      <c r="J99" s="119">
        <v>44255</v>
      </c>
      <c r="K99" s="119">
        <v>44262</v>
      </c>
      <c r="L99" s="119">
        <v>44269</v>
      </c>
      <c r="M99" s="119">
        <v>44276</v>
      </c>
      <c r="N99" s="119">
        <v>44283</v>
      </c>
      <c r="O99" s="105"/>
      <c r="P99" s="290"/>
      <c r="Q99" s="291"/>
      <c r="R99" s="105"/>
      <c r="S99" s="1171" t="s">
        <v>195</v>
      </c>
      <c r="T99" s="187"/>
      <c r="U99" s="138"/>
      <c r="AB99" s="137"/>
      <c r="AC99" s="138"/>
    </row>
    <row r="100" spans="2:39" s="120" customFormat="1" ht="28" customHeight="1">
      <c r="B100" s="105"/>
      <c r="C100" s="317" t="s">
        <v>38</v>
      </c>
      <c r="D100" s="121">
        <f>LOOKUP(9E+307,E100:Q100)</f>
        <v>35.4</v>
      </c>
      <c r="E100" s="364"/>
      <c r="F100" s="356"/>
      <c r="G100" s="356">
        <v>33.74</v>
      </c>
      <c r="H100" s="356"/>
      <c r="I100" s="356">
        <v>35.5</v>
      </c>
      <c r="J100" s="356">
        <v>35.5</v>
      </c>
      <c r="K100" s="356">
        <v>34.1</v>
      </c>
      <c r="L100" s="356">
        <v>35.1</v>
      </c>
      <c r="M100" s="356">
        <v>35.4</v>
      </c>
      <c r="N100" s="356">
        <v>35.4</v>
      </c>
      <c r="O100" s="187"/>
      <c r="P100" s="224"/>
      <c r="Q100" s="288"/>
      <c r="R100" s="105"/>
      <c r="S100" s="1169"/>
      <c r="T100" s="187"/>
      <c r="U100" s="139"/>
      <c r="AB100" s="137"/>
      <c r="AC100" s="139"/>
    </row>
    <row r="101" spans="2:39" s="120" customFormat="1" ht="28" customHeight="1" thickBot="1">
      <c r="B101" s="105"/>
      <c r="C101" s="318" t="s">
        <v>36</v>
      </c>
      <c r="D101" s="122">
        <f>LOOKUP(9E+307,E101:Q101)</f>
        <v>196</v>
      </c>
      <c r="E101" s="364"/>
      <c r="F101" s="356"/>
      <c r="G101" s="356">
        <v>218</v>
      </c>
      <c r="H101" s="356">
        <v>196</v>
      </c>
      <c r="I101" s="356"/>
      <c r="J101" s="356"/>
      <c r="K101" s="356"/>
      <c r="L101" s="356"/>
      <c r="M101" s="356"/>
      <c r="N101" s="356"/>
      <c r="O101" s="205"/>
      <c r="P101" s="224"/>
      <c r="Q101" s="288"/>
      <c r="R101" s="105"/>
      <c r="S101" s="1169"/>
      <c r="T101" s="187"/>
      <c r="U101" s="139"/>
      <c r="AB101" s="137"/>
      <c r="AC101" s="139"/>
    </row>
    <row r="102" spans="2:39" s="120" customFormat="1" ht="28" customHeight="1">
      <c r="B102" s="105"/>
      <c r="C102" s="319" t="s">
        <v>13</v>
      </c>
      <c r="D102" s="123">
        <f>LOOKUP(9E+307,E102:Q102)</f>
        <v>61200</v>
      </c>
      <c r="E102" s="364">
        <v>54900</v>
      </c>
      <c r="F102" s="356">
        <v>57400</v>
      </c>
      <c r="G102" s="356">
        <v>55000</v>
      </c>
      <c r="H102" s="356">
        <v>61100</v>
      </c>
      <c r="I102" s="356">
        <v>61300</v>
      </c>
      <c r="J102" s="360">
        <v>61300</v>
      </c>
      <c r="K102" s="356">
        <v>62800</v>
      </c>
      <c r="L102" s="356">
        <v>65200</v>
      </c>
      <c r="M102" s="356">
        <v>65800</v>
      </c>
      <c r="N102" s="356">
        <v>61200</v>
      </c>
      <c r="O102" s="205"/>
      <c r="P102" s="224"/>
      <c r="Q102" s="288"/>
      <c r="R102" s="105"/>
      <c r="S102" s="1169"/>
      <c r="T102" s="187"/>
      <c r="U102" s="139"/>
      <c r="AB102" s="137"/>
      <c r="AC102" s="139"/>
    </row>
    <row r="103" spans="2:39" s="57" customFormat="1" ht="28" customHeight="1">
      <c r="B103" s="105"/>
      <c r="C103" s="320" t="s">
        <v>5</v>
      </c>
      <c r="D103" s="124">
        <f>LOOKUP(9E+307,E103:Q103)</f>
        <v>3.12</v>
      </c>
      <c r="E103" s="365">
        <v>2.9180000000000001</v>
      </c>
      <c r="F103" s="360">
        <v>2.8519999999999999</v>
      </c>
      <c r="G103" s="360">
        <v>3.4889999999999999</v>
      </c>
      <c r="H103" s="360">
        <v>3.597</v>
      </c>
      <c r="I103" s="360">
        <v>3.8410000000000002</v>
      </c>
      <c r="J103" s="363">
        <v>3.258</v>
      </c>
      <c r="K103" s="360">
        <v>3.13</v>
      </c>
      <c r="L103" s="360">
        <v>3.5169999999999999</v>
      </c>
      <c r="M103" s="360">
        <v>3.5640000000000001</v>
      </c>
      <c r="N103" s="360">
        <v>3.12</v>
      </c>
      <c r="O103" s="205"/>
      <c r="P103" s="224"/>
      <c r="Q103" s="288"/>
      <c r="R103" s="105"/>
      <c r="S103" s="1169"/>
      <c r="T103" s="187"/>
      <c r="U103" s="140"/>
      <c r="AB103" s="137"/>
      <c r="AC103" s="140"/>
    </row>
    <row r="104" spans="2:39" s="57" customFormat="1" ht="28" customHeight="1">
      <c r="B104" s="105"/>
      <c r="C104" s="320" t="s">
        <v>14</v>
      </c>
      <c r="D104" s="124">
        <f>LOOKUP(9E+307,E104:Q104)</f>
        <v>53400</v>
      </c>
      <c r="E104" s="365">
        <v>34500</v>
      </c>
      <c r="F104" s="360">
        <v>32900</v>
      </c>
      <c r="G104" s="360">
        <v>40000</v>
      </c>
      <c r="H104" s="360">
        <v>47100</v>
      </c>
      <c r="I104" s="360">
        <v>57100</v>
      </c>
      <c r="J104" s="360">
        <v>53300</v>
      </c>
      <c r="K104" s="360">
        <v>49600</v>
      </c>
      <c r="L104" s="360">
        <v>54000</v>
      </c>
      <c r="M104" s="360">
        <v>59000</v>
      </c>
      <c r="N104" s="360">
        <v>53400</v>
      </c>
      <c r="O104" s="205"/>
      <c r="P104" s="224"/>
      <c r="Q104" s="288"/>
      <c r="R104" s="105"/>
      <c r="S104" s="1169"/>
      <c r="T104" s="187"/>
      <c r="U104" s="140"/>
      <c r="AB104" s="137"/>
      <c r="AC104" s="140"/>
    </row>
    <row r="105" spans="2:39" s="57" customFormat="1" ht="28" customHeight="1">
      <c r="B105" s="105"/>
      <c r="C105" s="321" t="s">
        <v>0</v>
      </c>
      <c r="D105" s="14">
        <f>LN(D103/1.8)/0.91</f>
        <v>0.60444652408711197</v>
      </c>
      <c r="E105" s="125">
        <f t="shared" ref="E105:N105" si="72">LN(E103/1.8)/0.91</f>
        <v>0.53089207164667573</v>
      </c>
      <c r="F105" s="112">
        <f t="shared" si="72"/>
        <v>0.50575146994497844</v>
      </c>
      <c r="G105" s="112">
        <f t="shared" si="72"/>
        <v>0.72728406296979997</v>
      </c>
      <c r="H105" s="112">
        <f t="shared" si="72"/>
        <v>0.76078406572677781</v>
      </c>
      <c r="I105" s="112">
        <f t="shared" si="72"/>
        <v>0.83290778512269092</v>
      </c>
      <c r="J105" s="112">
        <f t="shared" si="72"/>
        <v>0.65200752228322456</v>
      </c>
      <c r="K105" s="112">
        <f t="shared" si="72"/>
        <v>0.60796301060433267</v>
      </c>
      <c r="L105" s="112">
        <f t="shared" si="72"/>
        <v>0.73606778965903996</v>
      </c>
      <c r="M105" s="112">
        <f t="shared" si="72"/>
        <v>0.75065587330378436</v>
      </c>
      <c r="N105" s="112">
        <f t="shared" si="72"/>
        <v>0.60444652408711197</v>
      </c>
      <c r="O105" s="205"/>
      <c r="P105" s="224"/>
      <c r="Q105" s="288"/>
      <c r="R105" s="105"/>
      <c r="S105" s="1169"/>
      <c r="T105" s="187"/>
      <c r="U105" s="140"/>
      <c r="AB105" s="137"/>
      <c r="AC105" s="140"/>
    </row>
    <row r="106" spans="2:39" s="57" customFormat="1" ht="28" customHeight="1">
      <c r="B106" s="105"/>
      <c r="C106" s="321" t="s">
        <v>10</v>
      </c>
      <c r="D106" s="14">
        <f t="shared" ref="D106:N106" si="73">D102/D104</f>
        <v>1.146067415730337</v>
      </c>
      <c r="E106" s="125">
        <f t="shared" si="73"/>
        <v>1.5913043478260869</v>
      </c>
      <c r="F106" s="112">
        <f t="shared" si="73"/>
        <v>1.7446808510638299</v>
      </c>
      <c r="G106" s="112">
        <f t="shared" si="73"/>
        <v>1.375</v>
      </c>
      <c r="H106" s="112">
        <f t="shared" si="73"/>
        <v>1.2972399150743099</v>
      </c>
      <c r="I106" s="112">
        <f t="shared" si="73"/>
        <v>1.0735551663747811</v>
      </c>
      <c r="J106" s="112">
        <f t="shared" si="73"/>
        <v>1.150093808630394</v>
      </c>
      <c r="K106" s="112">
        <f t="shared" si="73"/>
        <v>1.2661290322580645</v>
      </c>
      <c r="L106" s="112">
        <f t="shared" si="73"/>
        <v>1.2074074074074075</v>
      </c>
      <c r="M106" s="112">
        <f t="shared" si="73"/>
        <v>1.1152542372881356</v>
      </c>
      <c r="N106" s="112">
        <f t="shared" si="73"/>
        <v>1.146067415730337</v>
      </c>
      <c r="O106" s="205"/>
      <c r="P106" s="224"/>
      <c r="Q106" s="288"/>
      <c r="R106" s="105"/>
      <c r="S106" s="1169"/>
      <c r="T106" s="187"/>
      <c r="U106" s="140"/>
      <c r="AB106" s="137"/>
      <c r="AC106" s="140"/>
    </row>
    <row r="107" spans="2:39" s="57" customFormat="1" ht="28" customHeight="1">
      <c r="B107" s="105"/>
      <c r="C107" s="321" t="s">
        <v>1</v>
      </c>
      <c r="D107" s="126">
        <f t="shared" ref="D107:H107" si="74">LN(D106/1.44)/1.68</f>
        <v>-0.13589682740224884</v>
      </c>
      <c r="E107" s="125">
        <f t="shared" si="74"/>
        <v>5.9470780291822414E-2</v>
      </c>
      <c r="F107" s="112">
        <f t="shared" si="74"/>
        <v>0.11424317378945553</v>
      </c>
      <c r="G107" s="112">
        <f t="shared" si="74"/>
        <v>-2.7493680041294394E-2</v>
      </c>
      <c r="H107" s="112">
        <f t="shared" si="74"/>
        <v>-6.2145385971864087E-2</v>
      </c>
      <c r="I107" s="112">
        <f>LN(I106/1.44)/1.68</f>
        <v>-0.17480201625458808</v>
      </c>
      <c r="J107" s="112">
        <f t="shared" ref="J107:M107" si="75">LN(J106/1.44)/1.68</f>
        <v>-0.13380928679615611</v>
      </c>
      <c r="K107" s="112">
        <f t="shared" si="75"/>
        <v>-7.6594567764665528E-2</v>
      </c>
      <c r="L107" s="112">
        <f t="shared" si="75"/>
        <v>-0.1048617209640335</v>
      </c>
      <c r="M107" s="112">
        <f t="shared" si="75"/>
        <v>-0.15211947569187925</v>
      </c>
      <c r="N107" s="112">
        <f>LN(N106/1.44)/1.68</f>
        <v>-0.13589682740224884</v>
      </c>
      <c r="O107" s="205"/>
      <c r="P107" s="224"/>
      <c r="Q107" s="288"/>
      <c r="R107" s="105"/>
      <c r="S107" s="1169"/>
      <c r="T107" s="187"/>
      <c r="U107" s="140"/>
      <c r="AB107" s="137"/>
      <c r="AC107" s="140"/>
    </row>
    <row r="108" spans="2:39" s="57" customFormat="1" ht="28" customHeight="1" thickBot="1">
      <c r="B108" s="105"/>
      <c r="C108" s="322" t="s">
        <v>90</v>
      </c>
      <c r="D108" s="127">
        <f>INDEX(神经网络!$G$10:$BO$70,MATCH(ROUND(D107*2,1)/2,神经网络!$E$10:$E$70,0),MATCH(ROUND(D105*2,1)/2,神经网络!$G$8:$BO$8,0))</f>
        <v>1.8335428682925901</v>
      </c>
      <c r="E108" s="125">
        <f>INDEX(神经网络!$G$10:$BO$70,MATCH(ROUND(E107*2,1)/2,神经网络!$E$10:$E$70,0),MATCH(ROUND(E105*2,1)/2,神经网络!$G$8:$BO$8,0))</f>
        <v>1.9021686801216116</v>
      </c>
      <c r="F108" s="125">
        <f>INDEX(神经网络!$G$10:$BO$70,MATCH(ROUND(F107*2,1)/2,神经网络!$E$10:$E$70,0),MATCH(ROUND(F105*2,1)/2,神经网络!$G$8:$BO$8,0))</f>
        <v>1.8672621929338808</v>
      </c>
      <c r="G108" s="125">
        <f>INDEX(神经网络!$G$10:$BO$70,MATCH(ROUND(G107*2,1)/2,神经网络!$E$10:$E$70,0),MATCH(ROUND(G105*2,1)/2,神经网络!$G$8:$BO$8,0))</f>
        <v>2.0730012805109679</v>
      </c>
      <c r="H108" s="125">
        <f>INDEX(神经网络!$G$10:$BO$70,MATCH(ROUND(H107*2,1)/2,神经网络!$E$10:$E$70,0),MATCH(ROUND(H105*2,1)/2,神经网络!$G$8:$BO$8,0))</f>
        <v>2.0730012805109679</v>
      </c>
      <c r="I108" s="125">
        <f>INDEX(神经网络!$G$10:$BO$70,MATCH(ROUND(I107*2,1)/2,神经网络!$E$10:$E$70,0),MATCH(ROUND(I105*2,1)/2,神经网络!$G$8:$BO$8,0))</f>
        <v>2.1172430113819551</v>
      </c>
      <c r="J108" s="125">
        <f>INDEX(神经网络!$G$10:$BO$70,MATCH(ROUND(J107*2,1)/2,神经网络!$E$10:$E$70,0),MATCH(ROUND(J105*2,1)/2,神经网络!$G$8:$BO$8,0))</f>
        <v>1.9003308205363119</v>
      </c>
      <c r="K108" s="125">
        <f>INDEX(神经网络!$G$10:$BO$70,MATCH(ROUND(K107*2,1)/2,神经网络!$E$10:$E$70,0),MATCH(ROUND(K105*2,1)/2,神经网络!$G$8:$BO$8,0))</f>
        <v>1.8661238013833901</v>
      </c>
      <c r="L108" s="125">
        <f>INDEX(神经网络!$G$10:$BO$70,MATCH(ROUND(L107*2,1)/2,神经网络!$E$10:$E$70,0),MATCH(ROUND(L105*2,1)/2,神经网络!$G$8:$BO$8,0))</f>
        <v>2.0453234827818769</v>
      </c>
      <c r="M108" s="125">
        <f>INDEX(神经网络!$G$10:$BO$70,MATCH(ROUND(M107*2,1)/2,神经网络!$E$10:$E$70,0),MATCH(ROUND(M105*2,1)/2,神经网络!$G$8:$BO$8,0))</f>
        <v>2.0188201475663274</v>
      </c>
      <c r="N108" s="125">
        <f>INDEX(神经网络!$G$10:$BO$70,MATCH(ROUND(N107*2,1)/2,神经网络!$E$10:$E$70,0),MATCH(ROUND(N105*2,1)/2,神经网络!$G$8:$BO$8,0))</f>
        <v>1.8335428682925901</v>
      </c>
      <c r="O108" s="205"/>
      <c r="P108" s="224"/>
      <c r="Q108" s="288"/>
      <c r="R108" s="105"/>
      <c r="S108" s="1169"/>
      <c r="T108" s="187"/>
      <c r="U108" s="140"/>
      <c r="AB108" s="137"/>
      <c r="AC108" s="140"/>
    </row>
    <row r="109" spans="2:39" s="57" customFormat="1" ht="28" customHeight="1">
      <c r="B109" s="105"/>
      <c r="C109" s="323" t="s">
        <v>54</v>
      </c>
      <c r="D109" s="143">
        <f>LOOKUP(9E+307,E109:Q109)</f>
        <v>6.56</v>
      </c>
      <c r="E109" s="365">
        <v>6.41</v>
      </c>
      <c r="F109" s="360">
        <v>6.42</v>
      </c>
      <c r="G109" s="360">
        <v>6.41</v>
      </c>
      <c r="H109" s="360">
        <v>6.42</v>
      </c>
      <c r="I109" s="360">
        <v>6.49</v>
      </c>
      <c r="J109" s="360">
        <v>6.96</v>
      </c>
      <c r="K109" s="360">
        <v>6.58</v>
      </c>
      <c r="L109" s="360">
        <v>6.58</v>
      </c>
      <c r="M109" s="360">
        <v>6.54</v>
      </c>
      <c r="N109" s="360">
        <v>6.56</v>
      </c>
      <c r="O109" s="205"/>
      <c r="P109" s="224"/>
      <c r="Q109" s="288"/>
      <c r="R109" s="105"/>
      <c r="S109" s="1169"/>
      <c r="T109" s="187"/>
      <c r="U109" s="140"/>
      <c r="AB109" s="137"/>
    </row>
    <row r="110" spans="2:39" s="57" customFormat="1" ht="28" customHeight="1">
      <c r="B110" s="105"/>
      <c r="C110" s="324" t="s">
        <v>80</v>
      </c>
      <c r="D110" s="128">
        <f>LOOKUP(9E+307,E110:Q110)</f>
        <v>3.6204000000000001</v>
      </c>
      <c r="E110" s="366">
        <v>3.7875999999999999</v>
      </c>
      <c r="F110" s="362">
        <v>3.7875999999999999</v>
      </c>
      <c r="G110" s="362">
        <v>3.8534999999999999</v>
      </c>
      <c r="H110" s="362">
        <v>3.8755000000000002</v>
      </c>
      <c r="I110" s="362">
        <v>3.8469000000000002</v>
      </c>
      <c r="J110" s="362">
        <v>3.8469000000000002</v>
      </c>
      <c r="K110" s="362">
        <v>3.5760999999999998</v>
      </c>
      <c r="L110" s="362">
        <v>3.4805000000000001</v>
      </c>
      <c r="M110" s="362">
        <v>3.7342</v>
      </c>
      <c r="N110" s="362">
        <v>3.6204000000000001</v>
      </c>
      <c r="O110" s="205"/>
      <c r="P110" s="224"/>
      <c r="Q110" s="288"/>
      <c r="R110" s="105"/>
      <c r="S110" s="1169"/>
      <c r="T110" s="187"/>
      <c r="U110" s="141"/>
      <c r="V110" s="130"/>
      <c r="W110" s="130"/>
      <c r="X110" s="130"/>
      <c r="Y110" s="130"/>
      <c r="Z110" s="130"/>
      <c r="AA110" s="130"/>
      <c r="AB110" s="137"/>
      <c r="AC110" s="141"/>
      <c r="AD110" s="130"/>
      <c r="AE110" s="130"/>
      <c r="AF110" s="130"/>
      <c r="AG110" s="130"/>
      <c r="AH110" s="130"/>
      <c r="AI110" s="130"/>
      <c r="AJ110" s="130"/>
      <c r="AK110" s="130"/>
      <c r="AL110" s="130"/>
      <c r="AM110" s="130"/>
    </row>
    <row r="111" spans="2:39" s="57" customFormat="1" ht="28" customHeight="1">
      <c r="B111" s="105"/>
      <c r="C111" s="324" t="s">
        <v>81</v>
      </c>
      <c r="D111" s="128">
        <f>LOOKUP(9E+307,E111:Q111)</f>
        <v>17412.310000000001</v>
      </c>
      <c r="E111" s="366">
        <v>120993.37</v>
      </c>
      <c r="F111" s="366">
        <v>119366.56</v>
      </c>
      <c r="G111" s="366">
        <v>118188.66</v>
      </c>
      <c r="H111" s="362">
        <v>118863.41</v>
      </c>
      <c r="I111" s="362">
        <v>11170.49</v>
      </c>
      <c r="J111" s="362">
        <v>11170.49</v>
      </c>
      <c r="K111" s="362">
        <v>5501.87</v>
      </c>
      <c r="L111" s="362">
        <f>5274.51+844.64</f>
        <v>6119.1500000000005</v>
      </c>
      <c r="M111" s="362">
        <f>6276.17</f>
        <v>6276.17</v>
      </c>
      <c r="N111" s="362">
        <v>17412.310000000001</v>
      </c>
      <c r="O111" s="205"/>
      <c r="P111" s="224"/>
      <c r="Q111" s="288"/>
      <c r="R111" s="105"/>
      <c r="S111" s="1169"/>
      <c r="T111" s="187"/>
      <c r="U111" s="141"/>
      <c r="V111" s="130"/>
      <c r="W111" s="130"/>
      <c r="X111" s="130"/>
      <c r="Y111" s="130"/>
      <c r="Z111" s="130"/>
      <c r="AA111" s="130"/>
      <c r="AB111" s="137"/>
      <c r="AC111" s="141"/>
      <c r="AD111" s="130"/>
      <c r="AE111" s="130"/>
      <c r="AF111" s="130"/>
      <c r="AG111" s="130"/>
      <c r="AH111" s="130"/>
      <c r="AI111" s="130"/>
      <c r="AJ111" s="130"/>
      <c r="AK111" s="130"/>
      <c r="AL111" s="130"/>
      <c r="AM111" s="130"/>
    </row>
    <row r="112" spans="2:39" s="57" customFormat="1" ht="28" customHeight="1">
      <c r="B112" s="105"/>
      <c r="C112" s="324" t="s">
        <v>82</v>
      </c>
      <c r="D112" s="128">
        <f>LOOKUP(9E+307,E112:Q112)</f>
        <v>7200</v>
      </c>
      <c r="E112" s="366">
        <v>11.42</v>
      </c>
      <c r="F112" s="362">
        <v>2571.54</v>
      </c>
      <c r="G112" s="362">
        <v>1145.97</v>
      </c>
      <c r="H112" s="362">
        <v>2245.9699999999998</v>
      </c>
      <c r="I112" s="362">
        <v>107112.2</v>
      </c>
      <c r="J112" s="362">
        <v>7289.34</v>
      </c>
      <c r="K112" s="362">
        <v>6635.84</v>
      </c>
      <c r="L112" s="362">
        <f>8321.13-844.64</f>
        <v>7476.4899999999989</v>
      </c>
      <c r="M112" s="362">
        <v>67342.34</v>
      </c>
      <c r="N112" s="362">
        <v>7200</v>
      </c>
      <c r="O112" s="205"/>
      <c r="P112" s="224"/>
      <c r="Q112" s="288"/>
      <c r="R112" s="105"/>
      <c r="S112" s="1169"/>
      <c r="T112" s="187"/>
      <c r="U112" s="141"/>
      <c r="V112" s="130"/>
      <c r="W112" s="130"/>
      <c r="X112" s="130"/>
      <c r="Y112" s="130"/>
      <c r="Z112" s="130"/>
      <c r="AA112" s="130"/>
      <c r="AB112" s="137"/>
      <c r="AC112" s="141"/>
      <c r="AD112" s="130"/>
      <c r="AE112" s="130"/>
      <c r="AF112" s="130"/>
      <c r="AG112" s="130"/>
      <c r="AH112" s="130"/>
      <c r="AI112" s="130"/>
      <c r="AJ112" s="130"/>
      <c r="AK112" s="130"/>
      <c r="AL112" s="130"/>
      <c r="AM112" s="130"/>
    </row>
    <row r="113" spans="2:39" s="57" customFormat="1" ht="28" customHeight="1">
      <c r="B113" s="105"/>
      <c r="C113" s="324" t="s">
        <v>83</v>
      </c>
      <c r="D113" s="128">
        <f>LOOKUP(9E+307,E113:Q113)</f>
        <v>18431.97</v>
      </c>
      <c r="E113" s="366">
        <v>0</v>
      </c>
      <c r="F113" s="366">
        <v>3046.86</v>
      </c>
      <c r="G113" s="362">
        <v>0</v>
      </c>
      <c r="H113" s="362">
        <v>0</v>
      </c>
      <c r="I113" s="362">
        <v>0</v>
      </c>
      <c r="J113" s="362">
        <v>12617.28</v>
      </c>
      <c r="K113" s="362">
        <v>9639.5400000000009</v>
      </c>
      <c r="L113" s="362">
        <v>10726.52</v>
      </c>
      <c r="M113" s="362">
        <v>12299.79</v>
      </c>
      <c r="N113" s="362">
        <v>18431.97</v>
      </c>
      <c r="O113" s="205"/>
      <c r="P113" s="224"/>
      <c r="Q113" s="288"/>
      <c r="R113" s="105"/>
      <c r="S113" s="1169"/>
      <c r="T113" s="187"/>
      <c r="U113" s="141"/>
      <c r="V113" s="130"/>
      <c r="W113" s="130"/>
      <c r="X113" s="130"/>
      <c r="Y113" s="130"/>
      <c r="Z113" s="130"/>
      <c r="AA113" s="130"/>
      <c r="AB113" s="137"/>
      <c r="AC113" s="141"/>
      <c r="AD113" s="130"/>
      <c r="AE113" s="130"/>
      <c r="AF113" s="130"/>
      <c r="AG113" s="130"/>
      <c r="AH113" s="130"/>
      <c r="AI113" s="130"/>
      <c r="AJ113" s="130"/>
      <c r="AK113" s="130"/>
      <c r="AL113" s="130"/>
      <c r="AM113" s="130"/>
    </row>
    <row r="114" spans="2:39" s="57" customFormat="1" ht="28" customHeight="1">
      <c r="B114" s="105"/>
      <c r="C114" s="325" t="s">
        <v>84</v>
      </c>
      <c r="D114" s="112">
        <f>D113*D109</f>
        <v>120913.72320000001</v>
      </c>
      <c r="E114" s="125">
        <f t="shared" ref="E114:L114" si="76">E113*E109</f>
        <v>0</v>
      </c>
      <c r="F114" s="112">
        <f t="shared" si="76"/>
        <v>19560.841199999999</v>
      </c>
      <c r="G114" s="112">
        <f t="shared" si="76"/>
        <v>0</v>
      </c>
      <c r="H114" s="112">
        <f t="shared" si="76"/>
        <v>0</v>
      </c>
      <c r="I114" s="112">
        <f t="shared" si="76"/>
        <v>0</v>
      </c>
      <c r="J114" s="112">
        <f t="shared" si="76"/>
        <v>87816.268800000005</v>
      </c>
      <c r="K114" s="112">
        <f t="shared" si="76"/>
        <v>63428.173200000005</v>
      </c>
      <c r="L114" s="112">
        <f t="shared" si="76"/>
        <v>70580.501600000003</v>
      </c>
      <c r="M114" s="112">
        <f>M113*M109</f>
        <v>80440.626600000003</v>
      </c>
      <c r="N114" s="112">
        <f>N113*N109</f>
        <v>120913.72320000001</v>
      </c>
      <c r="O114" s="116"/>
      <c r="P114" s="224"/>
      <c r="Q114" s="288"/>
      <c r="R114" s="105"/>
      <c r="S114" s="1169"/>
      <c r="T114" s="187"/>
      <c r="U114" s="141"/>
      <c r="V114" s="130"/>
      <c r="W114" s="130"/>
      <c r="X114" s="130"/>
      <c r="Y114" s="130"/>
      <c r="Z114" s="130"/>
      <c r="AA114" s="130"/>
      <c r="AB114" s="137"/>
      <c r="AC114" s="141"/>
      <c r="AD114" s="130"/>
      <c r="AE114" s="130"/>
      <c r="AF114" s="130"/>
      <c r="AG114" s="130"/>
      <c r="AH114" s="130"/>
      <c r="AI114" s="130"/>
      <c r="AJ114" s="130"/>
      <c r="AK114" s="130"/>
      <c r="AL114" s="130"/>
      <c r="AM114" s="130"/>
    </row>
    <row r="115" spans="2:39" s="57" customFormat="1" ht="28" customHeight="1">
      <c r="B115" s="105"/>
      <c r="C115" s="324" t="s">
        <v>85</v>
      </c>
      <c r="D115" s="128">
        <f>LOOKUP(9E+307,E115:Q115)</f>
        <v>401.95</v>
      </c>
      <c r="E115" s="366">
        <v>393.03070000000002</v>
      </c>
      <c r="F115" s="362">
        <v>1097.98</v>
      </c>
      <c r="G115" s="362">
        <v>0</v>
      </c>
      <c r="H115" s="362">
        <v>0</v>
      </c>
      <c r="I115" s="362">
        <v>0</v>
      </c>
      <c r="J115" s="362">
        <v>2601.08</v>
      </c>
      <c r="K115" s="362">
        <v>2533.12</v>
      </c>
      <c r="L115" s="362">
        <v>1445.79</v>
      </c>
      <c r="M115" s="362">
        <v>200.56</v>
      </c>
      <c r="N115" s="362">
        <v>401.95</v>
      </c>
      <c r="O115" s="224"/>
      <c r="P115" s="224"/>
      <c r="Q115" s="288"/>
      <c r="R115" s="105"/>
      <c r="S115" s="1169"/>
      <c r="T115" s="187"/>
      <c r="U115" s="141"/>
      <c r="V115" s="130"/>
      <c r="W115" s="130"/>
      <c r="X115" s="130"/>
      <c r="Y115" s="130"/>
      <c r="Z115" s="130"/>
      <c r="AA115" s="130"/>
      <c r="AB115" s="137"/>
      <c r="AC115" s="141"/>
      <c r="AD115" s="130"/>
      <c r="AE115" s="130"/>
      <c r="AF115" s="130"/>
      <c r="AG115" s="130"/>
      <c r="AH115" s="130"/>
      <c r="AI115" s="130"/>
      <c r="AJ115" s="130"/>
      <c r="AK115" s="130"/>
      <c r="AL115" s="130"/>
      <c r="AM115" s="130"/>
    </row>
    <row r="116" spans="2:39" s="57" customFormat="1" ht="28" customHeight="1">
      <c r="B116" s="105"/>
      <c r="C116" s="325" t="s">
        <v>86</v>
      </c>
      <c r="D116" s="112">
        <f t="shared" ref="D116:N116" si="77">D115*D109</f>
        <v>2636.7919999999999</v>
      </c>
      <c r="E116" s="125">
        <f t="shared" si="77"/>
        <v>2519.3267870000004</v>
      </c>
      <c r="F116" s="112">
        <f t="shared" si="77"/>
        <v>7049.0316000000003</v>
      </c>
      <c r="G116" s="112">
        <f t="shared" si="77"/>
        <v>0</v>
      </c>
      <c r="H116" s="112">
        <f t="shared" si="77"/>
        <v>0</v>
      </c>
      <c r="I116" s="112">
        <f t="shared" si="77"/>
        <v>0</v>
      </c>
      <c r="J116" s="112">
        <f t="shared" si="77"/>
        <v>18103.516799999998</v>
      </c>
      <c r="K116" s="112">
        <f t="shared" si="77"/>
        <v>16667.929599999999</v>
      </c>
      <c r="L116" s="112">
        <f t="shared" si="77"/>
        <v>9513.2981999999993</v>
      </c>
      <c r="M116" s="112">
        <f t="shared" si="77"/>
        <v>1311.6623999999999</v>
      </c>
      <c r="N116" s="112">
        <f t="shared" si="77"/>
        <v>2636.7919999999999</v>
      </c>
      <c r="O116" s="187"/>
      <c r="P116" s="205"/>
      <c r="Q116" s="289"/>
      <c r="R116" s="105"/>
      <c r="S116" s="1169"/>
      <c r="T116" s="187"/>
      <c r="U116" s="141"/>
      <c r="V116" s="130"/>
      <c r="W116" s="130"/>
      <c r="X116" s="130"/>
      <c r="Y116" s="130"/>
      <c r="Z116" s="130"/>
      <c r="AA116" s="130"/>
      <c r="AB116" s="137"/>
      <c r="AC116" s="141"/>
      <c r="AD116" s="130"/>
      <c r="AE116" s="130"/>
      <c r="AF116" s="130"/>
      <c r="AG116" s="130"/>
      <c r="AH116" s="130"/>
      <c r="AI116" s="130"/>
      <c r="AJ116" s="130"/>
      <c r="AK116" s="130"/>
      <c r="AL116" s="130"/>
      <c r="AM116" s="130"/>
    </row>
    <row r="117" spans="2:39" s="131" customFormat="1" ht="28" customHeight="1">
      <c r="B117" s="105"/>
      <c r="C117" s="326" t="s">
        <v>59</v>
      </c>
      <c r="D117" s="132">
        <f>LOOKUP(9E+307,E117:Q117)</f>
        <v>0</v>
      </c>
      <c r="E117" s="366">
        <v>0</v>
      </c>
      <c r="F117" s="366">
        <v>20000</v>
      </c>
      <c r="G117" s="366">
        <v>20000</v>
      </c>
      <c r="H117" s="366">
        <v>20000</v>
      </c>
      <c r="I117" s="366">
        <v>20000</v>
      </c>
      <c r="J117" s="366">
        <v>20000</v>
      </c>
      <c r="K117" s="366">
        <v>0</v>
      </c>
      <c r="L117" s="362">
        <v>0</v>
      </c>
      <c r="M117" s="362">
        <v>0</v>
      </c>
      <c r="N117" s="362">
        <v>0</v>
      </c>
      <c r="O117" s="205"/>
      <c r="P117" s="205"/>
      <c r="Q117" s="289"/>
      <c r="R117" s="105"/>
      <c r="S117" s="1169"/>
      <c r="T117" s="187"/>
      <c r="U117" s="141"/>
      <c r="V117" s="130"/>
      <c r="W117" s="130"/>
      <c r="X117" s="130"/>
      <c r="Y117" s="130"/>
      <c r="Z117" s="130"/>
      <c r="AA117" s="130"/>
      <c r="AB117" s="137"/>
      <c r="AC117" s="141"/>
      <c r="AD117" s="130"/>
      <c r="AE117" s="130"/>
      <c r="AF117" s="130"/>
      <c r="AG117" s="130"/>
      <c r="AH117" s="130"/>
      <c r="AI117" s="130"/>
      <c r="AJ117" s="130"/>
      <c r="AK117" s="130"/>
      <c r="AL117" s="130"/>
      <c r="AM117" s="130"/>
    </row>
    <row r="118" spans="2:39" s="131" customFormat="1" ht="28" customHeight="1">
      <c r="B118" s="105"/>
      <c r="C118" s="326" t="s">
        <v>60</v>
      </c>
      <c r="D118" s="132">
        <f>LOOKUP(9E+307,E118:Q118)</f>
        <v>0</v>
      </c>
      <c r="E118" s="366">
        <v>0</v>
      </c>
      <c r="F118" s="366">
        <v>6500</v>
      </c>
      <c r="G118" s="366">
        <v>6500</v>
      </c>
      <c r="H118" s="366">
        <v>6500</v>
      </c>
      <c r="I118" s="366">
        <v>6500</v>
      </c>
      <c r="J118" s="366">
        <v>6500</v>
      </c>
      <c r="K118" s="366">
        <v>0</v>
      </c>
      <c r="L118" s="366">
        <v>0</v>
      </c>
      <c r="M118" s="366">
        <v>0</v>
      </c>
      <c r="N118" s="366">
        <v>0</v>
      </c>
      <c r="O118" s="205"/>
      <c r="P118" s="205"/>
      <c r="Q118" s="289"/>
      <c r="R118" s="105"/>
      <c r="S118" s="1169"/>
      <c r="T118" s="187"/>
      <c r="U118" s="141"/>
      <c r="V118" s="130"/>
      <c r="W118" s="130"/>
      <c r="X118" s="130"/>
      <c r="Y118" s="130"/>
      <c r="Z118" s="130"/>
      <c r="AA118" s="130"/>
      <c r="AB118" s="137"/>
      <c r="AC118" s="141"/>
      <c r="AD118" s="130"/>
      <c r="AE118" s="130"/>
      <c r="AF118" s="130"/>
      <c r="AG118" s="130"/>
      <c r="AH118" s="130"/>
      <c r="AI118" s="130"/>
      <c r="AJ118" s="130"/>
      <c r="AK118" s="130"/>
      <c r="AL118" s="130"/>
      <c r="AM118" s="130"/>
    </row>
    <row r="119" spans="2:39" s="130" customFormat="1" ht="28" customHeight="1">
      <c r="B119" s="105"/>
      <c r="C119" s="327" t="s">
        <v>61</v>
      </c>
      <c r="D119" s="129">
        <f t="shared" ref="D119:N119" si="78">D117+D118</f>
        <v>0</v>
      </c>
      <c r="E119" s="135">
        <f t="shared" si="78"/>
        <v>0</v>
      </c>
      <c r="F119" s="135">
        <f t="shared" si="78"/>
        <v>26500</v>
      </c>
      <c r="G119" s="135">
        <f t="shared" si="78"/>
        <v>26500</v>
      </c>
      <c r="H119" s="135">
        <f t="shared" si="78"/>
        <v>26500</v>
      </c>
      <c r="I119" s="135">
        <f t="shared" si="78"/>
        <v>26500</v>
      </c>
      <c r="J119" s="135">
        <f t="shared" si="78"/>
        <v>26500</v>
      </c>
      <c r="K119" s="135">
        <f t="shared" si="78"/>
        <v>0</v>
      </c>
      <c r="L119" s="135">
        <f t="shared" si="78"/>
        <v>0</v>
      </c>
      <c r="M119" s="135">
        <f t="shared" si="78"/>
        <v>0</v>
      </c>
      <c r="N119" s="135">
        <f t="shared" si="78"/>
        <v>0</v>
      </c>
      <c r="O119" s="205"/>
      <c r="P119" s="205"/>
      <c r="Q119" s="289"/>
      <c r="R119" s="105"/>
      <c r="S119" s="1169"/>
      <c r="T119" s="187"/>
      <c r="U119" s="141"/>
      <c r="AB119" s="137"/>
      <c r="AC119" s="141"/>
    </row>
    <row r="120" spans="2:39" s="57" customFormat="1" ht="28" customHeight="1">
      <c r="B120" s="105"/>
      <c r="C120" s="325" t="s">
        <v>87</v>
      </c>
      <c r="D120" s="112">
        <f t="shared" ref="D120:L120" si="79">D121-D119</f>
        <v>148162.82519999999</v>
      </c>
      <c r="E120" s="125">
        <f t="shared" si="79"/>
        <v>123524.11678699999</v>
      </c>
      <c r="F120" s="125">
        <f t="shared" si="79"/>
        <v>122047.97279999999</v>
      </c>
      <c r="G120" s="125">
        <f t="shared" si="79"/>
        <v>92834.63</v>
      </c>
      <c r="H120" s="125">
        <f t="shared" si="79"/>
        <v>94609.38</v>
      </c>
      <c r="I120" s="125">
        <f t="shared" si="79"/>
        <v>91782.69</v>
      </c>
      <c r="J120" s="125">
        <f t="shared" si="79"/>
        <v>97879.615600000005</v>
      </c>
      <c r="K120" s="125">
        <f t="shared" si="79"/>
        <v>92233.812800000014</v>
      </c>
      <c r="L120" s="125">
        <f t="shared" si="79"/>
        <v>93689.439800000007</v>
      </c>
      <c r="M120" s="125">
        <f>M121-M119</f>
        <v>155370.799</v>
      </c>
      <c r="N120" s="125">
        <f>N121-N119</f>
        <v>148162.82519999999</v>
      </c>
      <c r="O120" s="205"/>
      <c r="P120" s="205"/>
      <c r="Q120" s="289"/>
      <c r="R120" s="105"/>
      <c r="S120" s="1169"/>
      <c r="T120" s="187"/>
      <c r="U120" s="141"/>
      <c r="V120" s="130"/>
      <c r="W120" s="130"/>
      <c r="X120" s="130"/>
      <c r="Y120" s="130"/>
      <c r="Z120" s="130"/>
      <c r="AA120" s="130"/>
      <c r="AB120" s="137"/>
      <c r="AC120" s="141"/>
      <c r="AD120" s="130"/>
      <c r="AE120" s="130"/>
      <c r="AF120" s="130"/>
      <c r="AG120" s="130"/>
      <c r="AH120" s="130"/>
      <c r="AI120" s="130"/>
      <c r="AJ120" s="130"/>
      <c r="AK120" s="130"/>
      <c r="AL120" s="130"/>
      <c r="AM120" s="130"/>
    </row>
    <row r="121" spans="2:39" s="57" customFormat="1" ht="28" customHeight="1">
      <c r="B121" s="105"/>
      <c r="C121" s="325" t="s">
        <v>88</v>
      </c>
      <c r="D121" s="112">
        <f t="shared" ref="D121:L121" si="80">D111+D112+D114+D116</f>
        <v>148162.82519999999</v>
      </c>
      <c r="E121" s="125">
        <f t="shared" si="80"/>
        <v>123524.11678699999</v>
      </c>
      <c r="F121" s="125">
        <f t="shared" si="80"/>
        <v>148547.97279999999</v>
      </c>
      <c r="G121" s="125">
        <f t="shared" si="80"/>
        <v>119334.63</v>
      </c>
      <c r="H121" s="125">
        <f t="shared" si="80"/>
        <v>121109.38</v>
      </c>
      <c r="I121" s="125">
        <f t="shared" si="80"/>
        <v>118282.69</v>
      </c>
      <c r="J121" s="125">
        <f t="shared" si="80"/>
        <v>124379.6156</v>
      </c>
      <c r="K121" s="125">
        <f t="shared" si="80"/>
        <v>92233.812800000014</v>
      </c>
      <c r="L121" s="125">
        <f t="shared" si="80"/>
        <v>93689.439800000007</v>
      </c>
      <c r="M121" s="125">
        <f>M111+M112+M114+M116</f>
        <v>155370.799</v>
      </c>
      <c r="N121" s="125">
        <f>N111+N112+N114+N116</f>
        <v>148162.82519999999</v>
      </c>
      <c r="O121" s="205"/>
      <c r="P121" s="205"/>
      <c r="Q121" s="289"/>
      <c r="R121" s="105"/>
      <c r="S121" s="1169"/>
      <c r="T121" s="187"/>
      <c r="U121" s="141"/>
      <c r="V121" s="130"/>
      <c r="W121" s="130"/>
      <c r="X121" s="130"/>
      <c r="Y121" s="130"/>
      <c r="Z121" s="130"/>
      <c r="AA121" s="130"/>
      <c r="AB121" s="137"/>
      <c r="AC121" s="141"/>
      <c r="AD121" s="130"/>
      <c r="AE121" s="130"/>
      <c r="AF121" s="130"/>
      <c r="AG121" s="130"/>
      <c r="AH121" s="130"/>
      <c r="AI121" s="130"/>
      <c r="AJ121" s="130"/>
      <c r="AK121" s="130"/>
      <c r="AL121" s="130"/>
      <c r="AM121" s="130"/>
    </row>
    <row r="122" spans="2:39" s="57" customFormat="1" ht="28" customHeight="1">
      <c r="B122" s="105"/>
      <c r="C122" s="326" t="s">
        <v>89</v>
      </c>
      <c r="D122" s="132">
        <f>LOOKUP(9E+307,E122:Q122)</f>
        <v>74318.850000000006</v>
      </c>
      <c r="E122" s="366">
        <v>0</v>
      </c>
      <c r="F122" s="366">
        <v>0</v>
      </c>
      <c r="G122" s="362">
        <v>35859.99</v>
      </c>
      <c r="H122" s="362">
        <v>40232.19</v>
      </c>
      <c r="I122" s="362">
        <v>37884.370000000003</v>
      </c>
      <c r="J122" s="362">
        <v>37884.370000000003</v>
      </c>
      <c r="K122" s="362">
        <v>39497.54</v>
      </c>
      <c r="L122" s="362">
        <v>40983.99</v>
      </c>
      <c r="M122" s="362">
        <f>40060.08+5905.19*M109</f>
        <v>78680.022599999997</v>
      </c>
      <c r="N122" s="362">
        <f>40859.58+33459.27</f>
        <v>74318.850000000006</v>
      </c>
      <c r="O122" s="205"/>
      <c r="P122" s="205"/>
      <c r="Q122" s="289"/>
      <c r="R122" s="105"/>
      <c r="S122" s="1169"/>
      <c r="T122" s="187"/>
      <c r="U122" s="141"/>
      <c r="V122" s="130"/>
      <c r="W122" s="130"/>
      <c r="X122" s="130"/>
      <c r="Y122" s="130"/>
      <c r="Z122" s="130"/>
      <c r="AA122" s="130"/>
      <c r="AB122" s="137"/>
      <c r="AC122" s="141"/>
      <c r="AD122" s="130"/>
      <c r="AE122" s="130"/>
      <c r="AF122" s="130"/>
      <c r="AG122" s="130"/>
      <c r="AH122" s="130"/>
      <c r="AI122" s="130"/>
      <c r="AJ122" s="130"/>
      <c r="AK122" s="130"/>
      <c r="AL122" s="130"/>
      <c r="AM122" s="130"/>
    </row>
    <row r="123" spans="2:39" s="57" customFormat="1" ht="28" customHeight="1">
      <c r="B123" s="105"/>
      <c r="C123" s="325" t="s">
        <v>62</v>
      </c>
      <c r="D123" s="112">
        <f t="shared" ref="D123" si="81">D120+D122</f>
        <v>222481.6752</v>
      </c>
      <c r="E123" s="125">
        <f t="shared" ref="E123:N123" si="82">E120+E122</f>
        <v>123524.11678699999</v>
      </c>
      <c r="F123" s="125">
        <f t="shared" si="82"/>
        <v>122047.97279999999</v>
      </c>
      <c r="G123" s="125">
        <f t="shared" si="82"/>
        <v>128694.62</v>
      </c>
      <c r="H123" s="125">
        <f t="shared" si="82"/>
        <v>134841.57</v>
      </c>
      <c r="I123" s="125">
        <f t="shared" si="82"/>
        <v>129667.06</v>
      </c>
      <c r="J123" s="125">
        <f t="shared" si="82"/>
        <v>135763.98560000001</v>
      </c>
      <c r="K123" s="125">
        <f t="shared" si="82"/>
        <v>131731.35280000002</v>
      </c>
      <c r="L123" s="125">
        <f t="shared" si="82"/>
        <v>134673.42980000001</v>
      </c>
      <c r="M123" s="125">
        <f t="shared" si="82"/>
        <v>234050.8216</v>
      </c>
      <c r="N123" s="125">
        <f t="shared" si="82"/>
        <v>222481.6752</v>
      </c>
      <c r="O123" s="205"/>
      <c r="P123" s="205"/>
      <c r="Q123" s="289"/>
      <c r="R123" s="105"/>
      <c r="S123" s="1169"/>
      <c r="T123" s="187"/>
      <c r="U123" s="141"/>
      <c r="V123" s="130"/>
      <c r="W123" s="130"/>
      <c r="X123" s="130"/>
      <c r="Y123" s="130"/>
      <c r="Z123" s="130"/>
      <c r="AA123" s="130"/>
      <c r="AB123" s="137"/>
      <c r="AC123" s="141"/>
      <c r="AD123" s="130"/>
      <c r="AE123" s="130"/>
      <c r="AF123" s="130"/>
      <c r="AG123" s="130"/>
      <c r="AH123" s="130"/>
      <c r="AI123" s="130"/>
      <c r="AJ123" s="130"/>
      <c r="AK123" s="130"/>
      <c r="AL123" s="130"/>
      <c r="AM123" s="130"/>
    </row>
    <row r="124" spans="2:39" s="57" customFormat="1" ht="28" customHeight="1" thickBot="1">
      <c r="B124" s="105"/>
      <c r="C124" s="325" t="s">
        <v>64</v>
      </c>
      <c r="D124" s="112">
        <f t="shared" ref="D124" si="83">D121+D122</f>
        <v>222481.6752</v>
      </c>
      <c r="E124" s="125">
        <f t="shared" ref="E124:N124" si="84">E121+E122</f>
        <v>123524.11678699999</v>
      </c>
      <c r="F124" s="125">
        <f t="shared" si="84"/>
        <v>148547.97279999999</v>
      </c>
      <c r="G124" s="125">
        <f t="shared" si="84"/>
        <v>155194.62</v>
      </c>
      <c r="H124" s="125">
        <f t="shared" si="84"/>
        <v>161341.57</v>
      </c>
      <c r="I124" s="125">
        <f t="shared" si="84"/>
        <v>156167.06</v>
      </c>
      <c r="J124" s="125">
        <f t="shared" si="84"/>
        <v>162263.98560000001</v>
      </c>
      <c r="K124" s="125">
        <f t="shared" si="84"/>
        <v>131731.35280000002</v>
      </c>
      <c r="L124" s="125">
        <f t="shared" si="84"/>
        <v>134673.42980000001</v>
      </c>
      <c r="M124" s="125">
        <f t="shared" si="84"/>
        <v>234050.8216</v>
      </c>
      <c r="N124" s="125">
        <f t="shared" si="84"/>
        <v>222481.6752</v>
      </c>
      <c r="O124" s="292"/>
      <c r="P124" s="293"/>
      <c r="Q124" s="294"/>
      <c r="R124" s="105"/>
      <c r="S124" s="1170"/>
      <c r="T124" s="187"/>
      <c r="U124" s="141"/>
      <c r="V124" s="130"/>
      <c r="W124" s="130"/>
      <c r="X124" s="130"/>
      <c r="Y124" s="130"/>
      <c r="Z124" s="130"/>
      <c r="AA124" s="130"/>
      <c r="AB124" s="137"/>
      <c r="AC124" s="141"/>
      <c r="AD124" s="130"/>
      <c r="AE124" s="130"/>
      <c r="AF124" s="130"/>
      <c r="AG124" s="130"/>
      <c r="AH124" s="130"/>
      <c r="AI124" s="130"/>
      <c r="AJ124" s="130"/>
      <c r="AK124" s="130"/>
      <c r="AL124" s="130"/>
      <c r="AM124" s="130"/>
    </row>
    <row r="125" spans="2:39" s="57" customFormat="1" ht="28" customHeight="1">
      <c r="B125" s="105"/>
      <c r="C125" s="187"/>
      <c r="D125" s="187"/>
      <c r="E125" s="187"/>
      <c r="F125" s="187"/>
      <c r="G125" s="187"/>
      <c r="H125" s="187"/>
      <c r="I125" s="187"/>
      <c r="J125" s="187"/>
      <c r="K125" s="187"/>
      <c r="L125" s="187"/>
      <c r="M125" s="187">
        <f>(M124/3-M122)/M109</f>
        <v>-101.38869520897089</v>
      </c>
      <c r="N125" s="187">
        <f>(N124/3-N122)/N109</f>
        <v>-24.129817073172468</v>
      </c>
      <c r="O125" s="105"/>
      <c r="P125" s="105"/>
      <c r="Q125" s="105"/>
      <c r="R125" s="105"/>
      <c r="S125" s="187"/>
      <c r="T125" s="187"/>
      <c r="U125" s="141"/>
      <c r="V125" s="130"/>
      <c r="W125" s="130"/>
      <c r="X125" s="130"/>
      <c r="Y125" s="130"/>
      <c r="Z125" s="130"/>
      <c r="AA125" s="130"/>
      <c r="AB125" s="137"/>
      <c r="AC125" s="141"/>
      <c r="AD125" s="130"/>
      <c r="AE125" s="130"/>
      <c r="AF125" s="130"/>
      <c r="AG125" s="130"/>
      <c r="AH125" s="130"/>
      <c r="AI125" s="130"/>
      <c r="AJ125" s="130"/>
      <c r="AK125" s="130"/>
      <c r="AL125" s="130"/>
      <c r="AM125" s="130"/>
    </row>
    <row r="126" spans="2:39" s="57" customFormat="1" ht="28" customHeight="1">
      <c r="H126" s="130"/>
      <c r="I126" s="130"/>
      <c r="J126" s="130"/>
      <c r="K126" s="130"/>
      <c r="L126" s="130"/>
      <c r="M126" s="130"/>
      <c r="N126" s="130"/>
      <c r="O126" s="130"/>
      <c r="P126" s="130"/>
      <c r="Q126" s="130"/>
      <c r="R126" s="130"/>
      <c r="S126" s="130"/>
      <c r="T126" s="130"/>
      <c r="U126" s="141"/>
      <c r="V126" s="130"/>
      <c r="W126" s="130"/>
      <c r="X126" s="130"/>
      <c r="Y126" s="130"/>
      <c r="Z126" s="130"/>
      <c r="AA126" s="130"/>
      <c r="AB126" s="141"/>
      <c r="AC126" s="141"/>
      <c r="AD126" s="130"/>
      <c r="AE126" s="130"/>
      <c r="AF126" s="130"/>
      <c r="AG126" s="130"/>
      <c r="AH126" s="130"/>
      <c r="AI126" s="130"/>
      <c r="AJ126" s="130"/>
      <c r="AK126" s="130"/>
      <c r="AL126" s="130"/>
      <c r="AM126" s="130"/>
    </row>
    <row r="127" spans="2:39" s="57" customFormat="1" ht="28" customHeight="1">
      <c r="H127" s="130"/>
      <c r="I127" s="130"/>
      <c r="J127" s="130"/>
      <c r="K127" s="130"/>
      <c r="L127" s="130"/>
      <c r="M127" s="130"/>
      <c r="N127" s="130"/>
      <c r="O127" s="130"/>
      <c r="P127" s="130"/>
      <c r="Q127" s="130"/>
      <c r="R127" s="130"/>
      <c r="S127" s="130"/>
      <c r="T127" s="130"/>
      <c r="U127" s="130"/>
      <c r="V127" s="130"/>
      <c r="W127" s="130"/>
      <c r="X127" s="130"/>
      <c r="Y127" s="130"/>
      <c r="Z127" s="130"/>
      <c r="AA127" s="130"/>
      <c r="AB127" s="141"/>
      <c r="AC127" s="141"/>
      <c r="AD127" s="130"/>
      <c r="AE127" s="130"/>
      <c r="AF127" s="130"/>
      <c r="AG127" s="130"/>
      <c r="AH127" s="130"/>
      <c r="AI127" s="130"/>
      <c r="AJ127" s="130"/>
      <c r="AK127" s="130"/>
      <c r="AL127" s="130"/>
      <c r="AM127" s="130"/>
    </row>
    <row r="128" spans="2:39" s="57" customFormat="1" ht="28" customHeight="1">
      <c r="H128" s="130"/>
      <c r="I128" s="130"/>
      <c r="J128" s="130"/>
      <c r="K128" s="130"/>
      <c r="L128" s="130"/>
      <c r="M128" s="130"/>
      <c r="N128" s="130"/>
      <c r="O128" s="130"/>
      <c r="P128" s="130"/>
      <c r="Q128" s="130"/>
      <c r="R128" s="130"/>
      <c r="S128" s="130"/>
      <c r="T128" s="130"/>
      <c r="U128" s="130"/>
      <c r="V128" s="130"/>
      <c r="X128" s="130"/>
      <c r="Y128" s="130"/>
      <c r="Z128" s="130"/>
      <c r="AA128" s="130"/>
      <c r="AB128" s="141"/>
      <c r="AC128" s="141"/>
      <c r="AD128" s="130"/>
      <c r="AE128" s="130"/>
      <c r="AF128" s="130"/>
      <c r="AG128" s="130"/>
      <c r="AH128" s="130"/>
      <c r="AI128" s="130"/>
      <c r="AJ128" s="130"/>
      <c r="AK128" s="130"/>
      <c r="AL128" s="130"/>
      <c r="AM128" s="130"/>
    </row>
    <row r="129" spans="3:39" s="57" customFormat="1" ht="28" customHeight="1">
      <c r="H129" s="130"/>
      <c r="I129" s="130"/>
      <c r="J129" s="130"/>
      <c r="K129" s="130"/>
      <c r="L129" s="130"/>
      <c r="M129" s="130"/>
      <c r="N129" s="130"/>
      <c r="O129" s="130"/>
      <c r="P129" s="130"/>
      <c r="Q129" s="130"/>
      <c r="R129" s="130"/>
      <c r="S129" s="130"/>
      <c r="T129" s="130"/>
      <c r="U129" s="130"/>
      <c r="V129" s="130"/>
      <c r="W129" s="130"/>
      <c r="X129" s="130"/>
      <c r="Y129" s="130"/>
      <c r="Z129" s="130"/>
      <c r="AA129" s="130"/>
      <c r="AB129" s="141"/>
      <c r="AC129" s="141"/>
      <c r="AD129" s="130"/>
      <c r="AE129" s="130"/>
      <c r="AF129" s="130"/>
      <c r="AG129" s="130"/>
      <c r="AH129" s="130"/>
      <c r="AI129" s="130"/>
      <c r="AJ129" s="130"/>
      <c r="AK129" s="130"/>
      <c r="AL129" s="130"/>
      <c r="AM129" s="130"/>
    </row>
    <row r="130" spans="3:39" s="57" customFormat="1" ht="28" customHeight="1">
      <c r="H130" s="130"/>
      <c r="I130" s="130"/>
      <c r="J130" s="130"/>
      <c r="K130" s="130"/>
      <c r="L130" s="130"/>
      <c r="M130" s="130"/>
      <c r="N130" s="130"/>
      <c r="O130" s="130"/>
      <c r="P130" s="130"/>
      <c r="Q130" s="130"/>
      <c r="R130" s="130"/>
      <c r="S130" s="130"/>
      <c r="T130" s="130"/>
      <c r="U130" s="130"/>
      <c r="V130" s="130"/>
      <c r="W130" s="130"/>
      <c r="X130" s="130"/>
      <c r="Y130" s="130"/>
      <c r="Z130" s="130"/>
      <c r="AA130" s="130"/>
      <c r="AB130" s="141"/>
      <c r="AC130" s="141"/>
      <c r="AD130" s="130"/>
      <c r="AE130" s="130"/>
      <c r="AF130" s="130"/>
      <c r="AG130" s="130"/>
      <c r="AH130" s="130"/>
      <c r="AI130" s="130"/>
      <c r="AJ130" s="130"/>
      <c r="AK130" s="130"/>
      <c r="AL130" s="130"/>
      <c r="AM130" s="130"/>
    </row>
    <row r="131" spans="3:39" s="57" customFormat="1" ht="28" customHeight="1">
      <c r="H131" s="130"/>
      <c r="I131" s="130"/>
      <c r="J131" s="130"/>
      <c r="K131" s="130"/>
      <c r="L131" s="130"/>
      <c r="M131" s="130"/>
      <c r="N131" s="130"/>
      <c r="O131" s="130"/>
      <c r="P131" s="130"/>
      <c r="Q131" s="130"/>
      <c r="R131" s="130"/>
      <c r="S131" s="130"/>
      <c r="T131" s="130"/>
      <c r="U131" s="130"/>
      <c r="V131" s="130"/>
      <c r="W131" s="130"/>
      <c r="X131" s="130"/>
      <c r="Y131" s="130"/>
      <c r="Z131" s="130"/>
      <c r="AA131" s="130"/>
      <c r="AB131" s="141"/>
      <c r="AC131" s="141"/>
      <c r="AD131" s="130"/>
      <c r="AE131" s="130"/>
      <c r="AF131" s="130"/>
      <c r="AG131" s="130"/>
      <c r="AH131" s="130"/>
      <c r="AI131" s="130"/>
      <c r="AJ131" s="130"/>
      <c r="AK131" s="130"/>
      <c r="AL131" s="130"/>
      <c r="AM131" s="130"/>
    </row>
    <row r="132" spans="3:39" s="57" customFormat="1" ht="28" customHeight="1">
      <c r="H132" s="130"/>
      <c r="I132" s="130"/>
      <c r="J132" s="130"/>
      <c r="K132" s="130"/>
      <c r="L132" s="130"/>
      <c r="M132" s="130"/>
      <c r="N132" s="130"/>
      <c r="O132" s="130"/>
      <c r="P132" s="130"/>
      <c r="Q132" s="130"/>
      <c r="R132" s="130"/>
      <c r="S132" s="130"/>
      <c r="T132" s="130"/>
      <c r="U132" s="130"/>
      <c r="V132" s="130"/>
      <c r="W132" s="130"/>
      <c r="X132" s="130"/>
      <c r="Y132" s="130"/>
      <c r="Z132" s="130"/>
      <c r="AA132" s="130"/>
      <c r="AB132" s="141"/>
      <c r="AC132" s="141"/>
      <c r="AD132" s="130"/>
      <c r="AE132" s="130"/>
      <c r="AF132" s="130"/>
      <c r="AG132" s="130"/>
      <c r="AH132" s="130"/>
      <c r="AI132" s="130"/>
      <c r="AJ132" s="130"/>
      <c r="AK132" s="130"/>
      <c r="AL132" s="130"/>
      <c r="AM132" s="130"/>
    </row>
    <row r="133" spans="3:39" s="57" customFormat="1" ht="28" customHeight="1">
      <c r="AB133" s="140"/>
      <c r="AC133" s="140"/>
    </row>
    <row r="134" spans="3:39" s="57" customFormat="1" ht="28" customHeight="1">
      <c r="AB134" s="140"/>
      <c r="AC134" s="140"/>
    </row>
    <row r="135" spans="3:39" s="57" customFormat="1" ht="28" customHeight="1"/>
    <row r="136" spans="3:39" s="57" customFormat="1" ht="28" customHeight="1"/>
    <row r="137" spans="3:39" s="57" customFormat="1" ht="28" customHeight="1"/>
    <row r="138" spans="3:39" s="57" customFormat="1" ht="28" customHeight="1"/>
    <row r="139" spans="3:39" s="57" customFormat="1" ht="28" customHeight="1"/>
    <row r="140" spans="3:39" s="57" customFormat="1" ht="28" customHeight="1"/>
    <row r="141" spans="3:39" s="57" customFormat="1" ht="28" customHeight="1"/>
    <row r="142" spans="3:39" s="57" customFormat="1" ht="28" customHeight="1"/>
    <row r="143" spans="3:39" s="57" customFormat="1" ht="28" customHeight="1"/>
    <row r="144" spans="3:39" s="57" customFormat="1" ht="28" customHeight="1">
      <c r="C144" s="114"/>
      <c r="D144" s="114"/>
      <c r="E144" s="114"/>
      <c r="F144" s="114"/>
      <c r="G144" s="114"/>
    </row>
    <row r="145" spans="3:7" s="57" customFormat="1" ht="28" customHeight="1">
      <c r="E145" s="114"/>
      <c r="F145" s="114"/>
      <c r="G145" s="114"/>
    </row>
    <row r="146" spans="3:7" s="57" customFormat="1" ht="28" customHeight="1">
      <c r="C146" s="114"/>
      <c r="D146" s="114"/>
      <c r="E146" s="114"/>
      <c r="F146" s="114"/>
      <c r="G146" s="114"/>
    </row>
    <row r="147" spans="3:7" s="57" customFormat="1" ht="28" customHeight="1">
      <c r="E147" s="114"/>
      <c r="F147" s="114"/>
      <c r="G147" s="114"/>
    </row>
    <row r="148" spans="3:7" s="57" customFormat="1" ht="28" customHeight="1"/>
    <row r="149" spans="3:7" s="57" customFormat="1" ht="28" customHeight="1"/>
    <row r="150" spans="3:7" s="57" customFormat="1" ht="28" customHeight="1"/>
    <row r="151" spans="3:7" s="57" customFormat="1" ht="28" customHeight="1">
      <c r="C151" s="114"/>
      <c r="D151" s="114"/>
      <c r="E151" s="114"/>
      <c r="F151" s="114"/>
      <c r="G151" s="114"/>
    </row>
    <row r="152" spans="3:7" s="57" customFormat="1" ht="28" customHeight="1">
      <c r="E152" s="114"/>
      <c r="F152" s="114"/>
      <c r="G152" s="114"/>
    </row>
    <row r="153" spans="3:7" s="57" customFormat="1" ht="28" customHeight="1">
      <c r="C153" s="114"/>
      <c r="D153" s="114"/>
      <c r="E153" s="114"/>
      <c r="F153" s="114"/>
      <c r="G153" s="114"/>
    </row>
    <row r="154" spans="3:7" s="57" customFormat="1" ht="28" customHeight="1">
      <c r="E154" s="114"/>
      <c r="F154" s="114"/>
      <c r="G154" s="114"/>
    </row>
    <row r="155" spans="3:7" s="57" customFormat="1" ht="28" customHeight="1"/>
    <row r="156" spans="3:7" s="57" customFormat="1" ht="28" customHeight="1"/>
    <row r="157" spans="3:7" s="57" customFormat="1" ht="28" customHeight="1"/>
    <row r="158" spans="3:7" s="57" customFormat="1" ht="28" customHeight="1">
      <c r="C158" s="114"/>
      <c r="D158" s="114"/>
      <c r="E158" s="114"/>
      <c r="F158" s="114"/>
      <c r="G158" s="114"/>
    </row>
    <row r="159" spans="3:7" s="57" customFormat="1" ht="28" customHeight="1">
      <c r="E159" s="114"/>
      <c r="F159" s="114"/>
      <c r="G159" s="114"/>
    </row>
    <row r="160" spans="3:7" s="57" customFormat="1" ht="28" customHeight="1">
      <c r="C160" s="114"/>
      <c r="D160" s="114"/>
      <c r="E160" s="114"/>
      <c r="F160" s="114"/>
      <c r="G160" s="114"/>
    </row>
    <row r="161" spans="5:17" s="57" customFormat="1" ht="28" customHeight="1">
      <c r="E161" s="114"/>
      <c r="F161" s="114"/>
      <c r="G161" s="114"/>
    </row>
    <row r="162" spans="5:17" s="57" customFormat="1" ht="28" customHeight="1"/>
    <row r="163" spans="5:17" s="57" customFormat="1" ht="28" customHeight="1"/>
    <row r="164" spans="5:17" s="57" customFormat="1" ht="28" customHeight="1"/>
    <row r="165" spans="5:17" s="57" customFormat="1" ht="28" customHeight="1"/>
    <row r="166" spans="5:17" ht="28" customHeight="1">
      <c r="Q166" s="331"/>
    </row>
    <row r="167" spans="5:17" ht="28" customHeight="1">
      <c r="Q167" s="331"/>
    </row>
    <row r="168" spans="5:17" ht="28" customHeight="1">
      <c r="Q168" s="331"/>
    </row>
    <row r="169" spans="5:17" ht="28" customHeight="1">
      <c r="Q169" s="331"/>
    </row>
    <row r="170" spans="5:17" ht="28" customHeight="1">
      <c r="Q170" s="331"/>
    </row>
    <row r="171" spans="5:17" ht="28" customHeight="1">
      <c r="Q171" s="331"/>
    </row>
    <row r="172" spans="5:17" ht="28" customHeight="1">
      <c r="Q172" s="331"/>
    </row>
    <row r="173" spans="5:17" ht="28" customHeight="1">
      <c r="Q173" s="331"/>
    </row>
    <row r="174" spans="5:17" ht="28" customHeight="1">
      <c r="Q174" s="331"/>
    </row>
    <row r="175" spans="5:17" ht="28" customHeight="1">
      <c r="Q175" s="331"/>
    </row>
    <row r="176" spans="5:17" ht="28" customHeight="1">
      <c r="Q176" s="331"/>
    </row>
    <row r="177" spans="17:17" ht="28" customHeight="1">
      <c r="Q177" s="331"/>
    </row>
    <row r="178" spans="17:17" ht="28" customHeight="1">
      <c r="Q178" s="331"/>
    </row>
    <row r="179" spans="17:17" ht="28" customHeight="1">
      <c r="Q179" s="331"/>
    </row>
    <row r="180" spans="17:17" ht="28" customHeight="1">
      <c r="Q180" s="331"/>
    </row>
    <row r="181" spans="17:17" ht="28" customHeight="1">
      <c r="Q181" s="331"/>
    </row>
    <row r="182" spans="17:17" ht="28" customHeight="1">
      <c r="Q182" s="331"/>
    </row>
    <row r="183" spans="17:17" ht="28" customHeight="1">
      <c r="Q183" s="331"/>
    </row>
    <row r="184" spans="17:17" ht="28" customHeight="1">
      <c r="Q184" s="331"/>
    </row>
    <row r="185" spans="17:17" ht="28" customHeight="1">
      <c r="Q185" s="331"/>
    </row>
    <row r="186" spans="17:17" ht="28" customHeight="1">
      <c r="Q186" s="331"/>
    </row>
    <row r="187" spans="17:17" ht="28" customHeight="1">
      <c r="Q187" s="331"/>
    </row>
  </sheetData>
  <mergeCells count="6">
    <mergeCell ref="S7:S34"/>
    <mergeCell ref="S99:S124"/>
    <mergeCell ref="S69:S95"/>
    <mergeCell ref="X3:AA3"/>
    <mergeCell ref="E3:S3"/>
    <mergeCell ref="S38:S65"/>
  </mergeCells>
  <phoneticPr fontId="2" type="noConversion"/>
  <hyperlinks>
    <hyperlink ref="C103" r:id="rId1" xr:uid="{2173AC60-2FED-0749-A091-FDBE32972067}"/>
    <hyperlink ref="C100" r:id="rId2" xr:uid="{F367E3AE-9046-8840-9552-46957CAFBAD2}"/>
    <hyperlink ref="C101" r:id="rId3" xr:uid="{C71F5557-8FAF-6742-A35C-27C59313F9CD}"/>
    <hyperlink ref="C102" r:id="rId4" display="S2F" xr:uid="{AB549CB3-52D3-FD4A-8405-BC13609BDE13}"/>
    <hyperlink ref="C104" r:id="rId5" xr:uid="{C74AFED4-0446-9D40-95FC-15B32843B7F5}"/>
    <hyperlink ref="C11" r:id="rId6" xr:uid="{E92452FF-FCA4-3E41-905F-0B00CD0BF5CA}"/>
    <hyperlink ref="C8" r:id="rId7" xr:uid="{67EA781C-3A26-2940-A1BF-84627E5FF995}"/>
    <hyperlink ref="C9" r:id="rId8" xr:uid="{876A5142-3DCE-3E43-A800-F0F1131427D9}"/>
    <hyperlink ref="C10" r:id="rId9" display="S2F" xr:uid="{2791262B-CC98-F94B-ADE3-BE8B5F540A52}"/>
    <hyperlink ref="C12" r:id="rId10" xr:uid="{4765D915-D6AF-E548-A92F-6ECB2FDD5B6B}"/>
    <hyperlink ref="C73" r:id="rId11" xr:uid="{6EFF78FB-4C96-814C-A4B2-ED7F80D21C65}"/>
    <hyperlink ref="C70" r:id="rId12" xr:uid="{8FC965CB-BB45-6847-A239-F5C7971A86DB}"/>
    <hyperlink ref="C71" r:id="rId13" xr:uid="{8B9B1F80-0588-8447-A6BE-D2DDC732A6FC}"/>
    <hyperlink ref="C72" r:id="rId14" display="S2F" xr:uid="{A17B99A8-CD5F-4A4D-B44C-BDC3FE725F68}"/>
    <hyperlink ref="C74" r:id="rId15" xr:uid="{3204C966-C8DD-684F-BC2B-752B32B47652}"/>
    <hyperlink ref="X3:AA3" r:id="rId16" display="                                                                                                                                                                  " xr:uid="{DB4182B7-5BB9-AC43-81A4-A5274EF821A3}"/>
    <hyperlink ref="V3" location="目录!A1" display="目录" xr:uid="{9B685CAF-B946-1546-8236-1FCF4D4FCB3B}"/>
    <hyperlink ref="C19" r:id="rId17" xr:uid="{910FD2AC-B614-9048-958B-148032D798B2}"/>
    <hyperlink ref="C42" r:id="rId18" xr:uid="{73F9C28B-C9AD-FA44-8B7D-B9D91CA71530}"/>
    <hyperlink ref="C39" r:id="rId19" xr:uid="{693DA522-0667-294E-AB18-5FA5EB001D99}"/>
    <hyperlink ref="C40" r:id="rId20" xr:uid="{4B7CA7B9-8490-BF4D-8236-39A2EB46A2FF}"/>
    <hyperlink ref="C41" r:id="rId21" display="S2F" xr:uid="{62757D47-89F7-8A46-8123-CAA4BB54BD0F}"/>
    <hyperlink ref="C43" r:id="rId22" xr:uid="{14839860-463D-AD46-B5D5-B4BBFC65DE23}"/>
    <hyperlink ref="C50" r:id="rId23" xr:uid="{D63A2D6C-01D1-E445-B029-1EA5E8EC11D4}"/>
  </hyperlinks>
  <pageMargins left="0.7" right="0.7" top="0.75" bottom="0.75" header="0.3" footer="0.3"/>
  <ignoredErrors>
    <ignoredError sqref="E16" evalError="1"/>
  </ignoredErrors>
  <drawing r:id="rId24"/>
  <picture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DB153-1B31-4045-BEAD-BBA8A47B55EE}">
  <dimension ref="B2:R19"/>
  <sheetViews>
    <sheetView zoomScale="119" workbookViewId="0">
      <selection activeCell="B2" sqref="B2:C3"/>
    </sheetView>
  </sheetViews>
  <sheetFormatPr baseColWidth="10" defaultRowHeight="16"/>
  <cols>
    <col min="2" max="2" width="12" bestFit="1" customWidth="1"/>
    <col min="3" max="3" width="17" bestFit="1" customWidth="1"/>
    <col min="4" max="5" width="12" bestFit="1" customWidth="1"/>
    <col min="6" max="6" width="12" customWidth="1"/>
    <col min="8" max="8" width="17.33203125" bestFit="1" customWidth="1"/>
    <col min="10" max="10" width="17.33203125" bestFit="1" customWidth="1"/>
  </cols>
  <sheetData>
    <row r="2" spans="2:18">
      <c r="B2" s="1178" t="s">
        <v>199</v>
      </c>
      <c r="C2" s="1179"/>
      <c r="H2" s="823" t="s">
        <v>520</v>
      </c>
      <c r="I2" s="144"/>
      <c r="J2" s="823" t="s">
        <v>490</v>
      </c>
    </row>
    <row r="3" spans="2:18">
      <c r="B3" s="1179"/>
      <c r="C3" s="1179"/>
      <c r="L3" s="28"/>
      <c r="M3" s="1181"/>
      <c r="N3" s="1181"/>
      <c r="O3" s="28"/>
      <c r="P3" s="1181"/>
      <c r="Q3" s="806"/>
      <c r="R3" s="28"/>
    </row>
    <row r="4" spans="2:18">
      <c r="G4" s="144"/>
      <c r="H4" s="144" t="s">
        <v>488</v>
      </c>
      <c r="J4" s="144" t="s">
        <v>489</v>
      </c>
      <c r="L4" s="28"/>
      <c r="M4" s="1181"/>
      <c r="N4" s="1181"/>
      <c r="O4" s="916"/>
      <c r="P4" s="1181"/>
      <c r="Q4" s="806"/>
      <c r="R4" s="28"/>
    </row>
    <row r="5" spans="2:18" ht="17" thickBot="1">
      <c r="G5" s="841" t="s">
        <v>393</v>
      </c>
      <c r="H5" s="825">
        <f>卓尔金历!F41</f>
        <v>1.1878973697903477</v>
      </c>
      <c r="J5" s="825">
        <f>且慢驾驶舱!$O$17</f>
        <v>0.36430555811086784</v>
      </c>
      <c r="L5" s="28"/>
      <c r="M5" s="28"/>
      <c r="N5" s="28"/>
      <c r="O5" s="28"/>
      <c r="P5" s="28"/>
      <c r="Q5" s="28"/>
      <c r="R5" s="28"/>
    </row>
    <row r="6" spans="2:18" ht="17" thickBot="1">
      <c r="B6" s="847">
        <f>B7+D6</f>
        <v>1</v>
      </c>
      <c r="C6" s="848">
        <f>C7+D6</f>
        <v>2.5000000000000001E-3</v>
      </c>
      <c r="D6" s="855">
        <v>2.5000000000000001E-3</v>
      </c>
      <c r="G6" s="841" t="s">
        <v>491</v>
      </c>
      <c r="H6" s="825">
        <f>ABS(H5)/MAX(0.001,1-ABS(H5))</f>
        <v>1187.8973697903477</v>
      </c>
      <c r="J6" s="825">
        <f>J5/MAX(0.001,1-J5)</f>
        <v>0.57308281165435182</v>
      </c>
      <c r="L6" s="28"/>
      <c r="M6" s="913"/>
      <c r="N6" s="1180"/>
      <c r="O6" s="1180"/>
      <c r="P6" s="1180"/>
      <c r="Q6" s="1180"/>
      <c r="R6" s="913"/>
    </row>
    <row r="7" spans="2:18">
      <c r="B7" s="849">
        <f>B8-MOD(B8,D6)</f>
        <v>0.99750000000000005</v>
      </c>
      <c r="C7" s="850">
        <f>1-ABS(B6)</f>
        <v>0</v>
      </c>
      <c r="E7" s="144"/>
      <c r="F7" s="144"/>
      <c r="G7" s="841" t="s">
        <v>492</v>
      </c>
      <c r="H7" s="825">
        <f>H5*H6/SUM(H6:J6)</f>
        <v>1.1873245633203628</v>
      </c>
      <c r="J7" s="825">
        <f>J5*J6/SUM(H6:J6)</f>
        <v>1.7566886335827135E-4</v>
      </c>
      <c r="L7" s="28"/>
      <c r="M7" s="1180"/>
      <c r="N7" s="1180"/>
      <c r="O7" s="1180"/>
      <c r="P7" s="1180"/>
      <c r="Q7" s="1180"/>
      <c r="R7" s="1180"/>
    </row>
    <row r="8" spans="2:18" ht="17" thickBot="1">
      <c r="B8" s="851">
        <f>H7/SUM(ABS(H7),J7)</f>
        <v>0.99985206835451712</v>
      </c>
      <c r="C8" s="852">
        <f>1-ABS(B8)</f>
        <v>1.479316454828794E-4</v>
      </c>
      <c r="E8" s="144"/>
      <c r="F8" s="144"/>
      <c r="G8" t="s">
        <v>501</v>
      </c>
      <c r="H8" s="860">
        <f>I15+H15</f>
        <v>87854.84</v>
      </c>
      <c r="I8" s="589"/>
      <c r="J8" s="860">
        <f>J15</f>
        <v>0</v>
      </c>
      <c r="L8" s="28"/>
      <c r="M8" s="1180"/>
      <c r="N8" s="1180"/>
      <c r="O8" s="1180"/>
      <c r="P8" s="1180"/>
      <c r="Q8" s="1180"/>
      <c r="R8" s="1180"/>
    </row>
    <row r="9" spans="2:18">
      <c r="E9" s="144"/>
      <c r="F9" s="144"/>
      <c r="G9" t="s">
        <v>409</v>
      </c>
      <c r="H9" s="825">
        <f>H8/SUM(H8:J8)</f>
        <v>1</v>
      </c>
      <c r="J9" s="825">
        <f>J8/SUM(H8:J8)</f>
        <v>0</v>
      </c>
      <c r="L9" s="28"/>
      <c r="M9" s="913"/>
      <c r="N9" s="915"/>
      <c r="O9" s="915"/>
      <c r="P9" s="915"/>
      <c r="Q9" s="915"/>
      <c r="R9" s="913"/>
    </row>
    <row r="10" spans="2:18">
      <c r="G10" t="s">
        <v>499</v>
      </c>
      <c r="H10" s="825">
        <f>_xlfn.IFS(AND(H9&lt;=B6,H9&gt;=B7),H9,TRUE,B8)</f>
        <v>1</v>
      </c>
      <c r="J10" s="825">
        <f>_xlfn.IFS(AND(J9&lt;=C6,J9&gt;=C7),J9,TRUE,C8)</f>
        <v>0</v>
      </c>
      <c r="L10" s="28"/>
      <c r="M10" s="806"/>
      <c r="N10" s="806"/>
      <c r="O10" s="806"/>
      <c r="P10" s="28"/>
      <c r="Q10" s="806"/>
      <c r="R10" s="28"/>
    </row>
    <row r="11" spans="2:18">
      <c r="G11" t="s">
        <v>500</v>
      </c>
      <c r="H11" s="853">
        <f>H10*SUM(H8:J8)</f>
        <v>87854.84</v>
      </c>
      <c r="J11" s="853">
        <f>J10*SUM(H8:J8)</f>
        <v>0</v>
      </c>
      <c r="L11" s="913"/>
      <c r="M11" s="913"/>
      <c r="N11" s="1180"/>
      <c r="O11" s="1180"/>
      <c r="P11" s="1180"/>
      <c r="Q11" s="1180"/>
      <c r="R11" s="913"/>
    </row>
    <row r="12" spans="2:18">
      <c r="G12" t="s">
        <v>502</v>
      </c>
      <c r="H12" s="854">
        <f>H11-H8</f>
        <v>0</v>
      </c>
      <c r="J12" s="854">
        <f>J11-J8</f>
        <v>0</v>
      </c>
      <c r="L12" s="913"/>
      <c r="M12" s="1180"/>
      <c r="N12" s="1180"/>
      <c r="O12" s="1180"/>
      <c r="P12" s="1180"/>
      <c r="Q12" s="1180"/>
      <c r="R12" s="1180"/>
    </row>
    <row r="13" spans="2:18">
      <c r="L13" s="913"/>
      <c r="M13" s="1180"/>
      <c r="N13" s="1180"/>
      <c r="O13" s="1180"/>
      <c r="P13" s="1180"/>
      <c r="Q13" s="1180"/>
      <c r="R13" s="1180"/>
    </row>
    <row r="14" spans="2:18" ht="17" thickBot="1">
      <c r="H14" s="823" t="s">
        <v>225</v>
      </c>
      <c r="I14" s="823" t="s">
        <v>224</v>
      </c>
      <c r="J14" s="823" t="s">
        <v>490</v>
      </c>
      <c r="L14" s="913"/>
      <c r="M14" s="913"/>
      <c r="N14" s="915"/>
      <c r="O14" s="915"/>
      <c r="P14" s="915"/>
      <c r="Q14" s="915"/>
      <c r="R14" s="913"/>
    </row>
    <row r="15" spans="2:18" ht="17" thickBot="1">
      <c r="B15" s="847">
        <f>B16+D15</f>
        <v>0.75</v>
      </c>
      <c r="C15" s="848">
        <f>C16+D15</f>
        <v>0.26</v>
      </c>
      <c r="D15" s="855">
        <v>0.01</v>
      </c>
      <c r="G15" t="s">
        <v>501</v>
      </c>
      <c r="H15" s="862">
        <v>87854.84</v>
      </c>
      <c r="I15" s="863">
        <v>0</v>
      </c>
      <c r="J15" s="864">
        <v>0</v>
      </c>
    </row>
    <row r="16" spans="2:18">
      <c r="B16" s="849">
        <f>B17-MOD(B17,D15)</f>
        <v>0.74</v>
      </c>
      <c r="C16" s="850">
        <f>1-B15</f>
        <v>0.25</v>
      </c>
      <c r="D16">
        <v>0.8</v>
      </c>
      <c r="E16">
        <v>100000</v>
      </c>
      <c r="F16" s="564"/>
      <c r="G16" t="s">
        <v>409</v>
      </c>
      <c r="H16" s="825">
        <f>H15/SUM(H15:J15)</f>
        <v>1</v>
      </c>
      <c r="I16" s="825">
        <f>I15/SUM(H15:J15)</f>
        <v>0</v>
      </c>
      <c r="J16" s="825">
        <f>J15/SUM(H15:J15)</f>
        <v>0</v>
      </c>
    </row>
    <row r="17" spans="2:10" ht="17" thickBot="1">
      <c r="B17" s="851">
        <v>0.75</v>
      </c>
      <c r="C17" s="852">
        <f>1-B17</f>
        <v>0.25</v>
      </c>
      <c r="D17" s="564">
        <v>1E-3</v>
      </c>
      <c r="E17" s="564">
        <f>D16/D17/E16</f>
        <v>8.0000000000000002E-3</v>
      </c>
      <c r="G17" t="s">
        <v>499</v>
      </c>
      <c r="H17" s="825">
        <f>_xlfn.IFS(AND(H16&lt;=C15,H16&gt;=C16),H16,TRUE,C17)*H10</f>
        <v>0.25</v>
      </c>
      <c r="I17" s="825">
        <f>_xlfn.IFS(AND(I16&lt;=B15,I16&gt;=B16),I16,TRUE,B17)*H10</f>
        <v>0.75</v>
      </c>
      <c r="J17" s="825">
        <f>J10</f>
        <v>0</v>
      </c>
    </row>
    <row r="18" spans="2:10">
      <c r="G18" t="s">
        <v>500</v>
      </c>
      <c r="H18" s="534">
        <f>H17*SUM(H15:J15)</f>
        <v>21963.71</v>
      </c>
      <c r="I18" s="534">
        <f>I17*SUM(H15:J15)</f>
        <v>65891.13</v>
      </c>
      <c r="J18" s="824">
        <f>J11</f>
        <v>0</v>
      </c>
    </row>
    <row r="19" spans="2:10">
      <c r="G19" t="s">
        <v>502</v>
      </c>
      <c r="H19" s="861">
        <f>H18-H15</f>
        <v>-65891.13</v>
      </c>
      <c r="I19" s="861">
        <f>I18-I15</f>
        <v>65891.13</v>
      </c>
      <c r="J19" s="861">
        <f>J12</f>
        <v>0</v>
      </c>
    </row>
  </sheetData>
  <mergeCells count="15">
    <mergeCell ref="B2:C3"/>
    <mergeCell ref="N11:Q11"/>
    <mergeCell ref="M12:O12"/>
    <mergeCell ref="P12:R12"/>
    <mergeCell ref="M13:N13"/>
    <mergeCell ref="O13:P13"/>
    <mergeCell ref="Q13:R13"/>
    <mergeCell ref="M8:N8"/>
    <mergeCell ref="O8:P8"/>
    <mergeCell ref="Q8:R8"/>
    <mergeCell ref="M3:N4"/>
    <mergeCell ref="P3:P4"/>
    <mergeCell ref="N6:Q6"/>
    <mergeCell ref="M7:O7"/>
    <mergeCell ref="P7:R7"/>
  </mergeCells>
  <phoneticPr fontId="2" type="noConversion"/>
  <hyperlinks>
    <hyperlink ref="H2" location="卓尔金历!A1" display="卓尔金历" xr:uid="{F5025BA3-D225-7A46-8D44-04F3DF324615}"/>
    <hyperlink ref="J2" location="且慢驾驶舱!A1" display="且慢驾驶舱" xr:uid="{93064661-D2A0-4D4A-8DA8-46297C61CEC7}"/>
    <hyperlink ref="H14" location="币圈驾驶舱!A1" display="派网驾驶舱" xr:uid="{0FA0C660-02DD-0147-B1BF-9D8039F863BA}"/>
    <hyperlink ref="I14" location="币圈驾驶舱!A1" display="币安驾驶舱" xr:uid="{7286A251-04A8-8C4C-93A3-AFF5F5D1EBBB}"/>
    <hyperlink ref="J14" location="且慢驾驶舱!A1" display="且慢驾驶舱" xr:uid="{CDB9E913-7964-B640-9411-CD2E94E242F5}"/>
    <hyperlink ref="B2:C3" location="目录!A1" display="目录" xr:uid="{2E539213-7499-D94A-98F1-0508D7B1AA8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F4FB-1CE1-9049-BDE7-0C5E988478A3}">
  <dimension ref="A1:AX136"/>
  <sheetViews>
    <sheetView showGridLines="0" zoomScale="50" zoomScaleNormal="112" workbookViewId="0">
      <selection activeCell="O12" sqref="O12:Q14"/>
    </sheetView>
  </sheetViews>
  <sheetFormatPr baseColWidth="10" defaultColWidth="16" defaultRowHeight="16"/>
  <cols>
    <col min="4" max="4" width="29.33203125" bestFit="1" customWidth="1"/>
    <col min="5" max="5" width="21" bestFit="1" customWidth="1"/>
    <col min="6" max="6" width="19.6640625" bestFit="1" customWidth="1"/>
    <col min="7" max="10" width="16.1640625" bestFit="1" customWidth="1"/>
    <col min="13" max="18" width="16.1640625" bestFit="1" customWidth="1"/>
    <col min="19" max="19" width="16.5" customWidth="1"/>
    <col min="20" max="20" width="26" customWidth="1"/>
    <col min="21" max="21" width="32.6640625" customWidth="1"/>
    <col min="22" max="28" width="16.5" customWidth="1"/>
    <col min="29" max="29" width="16.5" style="137" customWidth="1"/>
    <col min="30" max="30" width="16.5" style="28" customWidth="1"/>
    <col min="31" max="65" width="16.5" customWidth="1"/>
  </cols>
  <sheetData>
    <row r="1" spans="3:30" ht="63" customHeight="1" thickBot="1"/>
    <row r="2" spans="3:30" ht="63" customHeight="1" thickBot="1">
      <c r="C2" s="917"/>
      <c r="D2" s="918"/>
      <c r="E2" s="977" t="s">
        <v>654</v>
      </c>
      <c r="F2" s="977" t="s">
        <v>653</v>
      </c>
      <c r="G2" s="918"/>
      <c r="H2" s="918"/>
      <c r="I2" s="918"/>
      <c r="J2" s="918"/>
      <c r="K2" s="919"/>
      <c r="L2" s="919"/>
      <c r="M2" s="920"/>
      <c r="S2" s="917"/>
      <c r="T2" s="918"/>
      <c r="U2" s="977" t="s">
        <v>665</v>
      </c>
      <c r="V2" s="977" t="s">
        <v>666</v>
      </c>
      <c r="W2" s="918"/>
      <c r="X2" s="918"/>
      <c r="Y2" s="918"/>
      <c r="Z2" s="918"/>
      <c r="AA2" s="919"/>
      <c r="AB2" s="919"/>
      <c r="AC2" s="920"/>
      <c r="AD2"/>
    </row>
    <row r="3" spans="3:30" ht="63" customHeight="1" thickBot="1">
      <c r="C3" s="921"/>
      <c r="D3" s="927"/>
      <c r="E3" s="976">
        <v>3</v>
      </c>
      <c r="F3" s="946">
        <v>0.8</v>
      </c>
      <c r="G3" s="927"/>
      <c r="H3" s="927"/>
      <c r="I3" s="927"/>
      <c r="J3" s="927"/>
      <c r="K3" s="928"/>
      <c r="L3" s="928"/>
      <c r="M3" s="922"/>
      <c r="S3" s="921"/>
      <c r="T3" s="927"/>
      <c r="U3" s="976">
        <f>E3</f>
        <v>3</v>
      </c>
      <c r="V3" s="946">
        <f>F3</f>
        <v>0.8</v>
      </c>
      <c r="W3" s="927"/>
      <c r="X3" s="927"/>
      <c r="Y3" s="927"/>
      <c r="Z3" s="927"/>
      <c r="AA3" s="928"/>
      <c r="AB3" s="928"/>
      <c r="AC3" s="922"/>
      <c r="AD3"/>
    </row>
    <row r="4" spans="3:30" ht="63" customHeight="1" thickBot="1">
      <c r="C4" s="921"/>
      <c r="D4" s="929">
        <f>$D$65*E4</f>
        <v>52577.422952721929</v>
      </c>
      <c r="E4" s="1183">
        <f>SUM('CryptoSheets(🔥)'!$F$9:$F$12)</f>
        <v>0.73640456185534853</v>
      </c>
      <c r="F4" s="1270"/>
      <c r="G4" s="1200" t="str">
        <f>LOOKUP(1,'CryptoSheets(🔥)'!$B$9:$B$42,'CryptoSheets(🔥)'!$C$9:$C$42)</f>
        <v>BTC</v>
      </c>
      <c r="H4" s="1201"/>
      <c r="I4" s="933"/>
      <c r="J4" s="1204" t="str">
        <f>LOOKUP(2,'CryptoSheets(🔥)'!$B$9:$B$42,'CryptoSheets(🔥)'!$C$9:$C$42)</f>
        <v>ETH</v>
      </c>
      <c r="K4" s="934" t="str">
        <f>LOOKUP(3,'CryptoSheets(🔥)'!$B$9:$B$42,'CryptoSheets(🔥)'!$C$9:$C$42)</f>
        <v>ADA</v>
      </c>
      <c r="L4" s="932"/>
      <c r="M4" s="922"/>
      <c r="O4" s="1273" t="s">
        <v>199</v>
      </c>
      <c r="P4" s="1274"/>
      <c r="Q4" s="1274"/>
      <c r="S4" s="921"/>
      <c r="T4" s="929">
        <f>$E$38*U4</f>
        <v>68417.315906751406</v>
      </c>
      <c r="U4" s="1182">
        <f>SUM('CryptoSheets(🔥)'!$H$9:$H$12)</f>
        <v>0.77875408920841938</v>
      </c>
      <c r="V4" s="1035"/>
      <c r="W4" s="1200" t="str">
        <f>LOOKUP(1,'CryptoSheets(🔥)'!$B$9:$B$42,'CryptoSheets(🔥)'!$C$9:$C$42)</f>
        <v>BTC</v>
      </c>
      <c r="X4" s="1201"/>
      <c r="Y4" s="1013"/>
      <c r="Z4" s="1204" t="str">
        <f>LOOKUP(2,'CryptoSheets(🔥)'!$B$9:$B$42,'CryptoSheets(🔥)'!$C$9:$C$42)</f>
        <v>ETH</v>
      </c>
      <c r="AA4" s="934" t="str">
        <f>LOOKUP(3,'CryptoSheets(🔥)'!$B$9:$B$42,'CryptoSheets(🔥)'!$C$9:$C$42)</f>
        <v>ADA</v>
      </c>
      <c r="AB4" s="932"/>
      <c r="AC4" s="922"/>
      <c r="AD4"/>
    </row>
    <row r="5" spans="3:30" ht="63" customHeight="1" thickBot="1">
      <c r="C5" s="921"/>
      <c r="D5" s="930">
        <v>0</v>
      </c>
      <c r="E5" s="1272"/>
      <c r="F5" s="1270"/>
      <c r="G5" s="1202"/>
      <c r="H5" s="1203"/>
      <c r="I5" s="935"/>
      <c r="J5" s="1205"/>
      <c r="K5" s="936" t="str">
        <f>LOOKUP(4,'CryptoSheets(🔥)'!$B$9:$B$42,'CryptoSheets(🔥)'!$C$9:$C$42)</f>
        <v>BNB</v>
      </c>
      <c r="L5" s="932"/>
      <c r="M5" s="922"/>
      <c r="O5" s="1273"/>
      <c r="P5" s="1274"/>
      <c r="Q5" s="1274"/>
      <c r="S5" s="921"/>
      <c r="T5" s="930">
        <f>83618+1211+563-63</f>
        <v>85329</v>
      </c>
      <c r="U5" s="1183"/>
      <c r="V5" s="1035"/>
      <c r="W5" s="1202"/>
      <c r="X5" s="1203"/>
      <c r="Y5" s="1036"/>
      <c r="Z5" s="1205"/>
      <c r="AA5" s="936" t="str">
        <f>LOOKUP(4,'CryptoSheets(🔥)'!$B$9:$B$42,'CryptoSheets(🔥)'!$C$9:$C$42)</f>
        <v>BNB</v>
      </c>
      <c r="AB5" s="932"/>
      <c r="AC5" s="922"/>
      <c r="AD5"/>
    </row>
    <row r="6" spans="3:30" ht="63" customHeight="1" thickBot="1">
      <c r="C6" s="921"/>
      <c r="D6" s="931">
        <f t="shared" ref="D6" si="0">D4-D5</f>
        <v>52577.422952721929</v>
      </c>
      <c r="E6" s="932"/>
      <c r="F6" s="1270"/>
      <c r="G6" s="932"/>
      <c r="H6" s="937"/>
      <c r="I6" s="937"/>
      <c r="J6" s="932"/>
      <c r="K6" s="932"/>
      <c r="L6" s="932"/>
      <c r="M6" s="922"/>
      <c r="O6" s="1273"/>
      <c r="P6" s="1274"/>
      <c r="Q6" s="1274"/>
      <c r="S6" s="921"/>
      <c r="T6" s="931">
        <f>T4-T5</f>
        <v>-16911.684093248594</v>
      </c>
      <c r="U6" s="1183"/>
      <c r="V6" s="1035"/>
      <c r="W6" s="1186" t="str">
        <f>LOOKUP(35,'CryptoSheets(🔥)'!$B$9:$B$44,'CryptoSheets(🔥)'!$C$9:$C$44)</f>
        <v>USD</v>
      </c>
      <c r="X6" s="1187"/>
      <c r="Y6" s="1187"/>
      <c r="Z6" s="1187"/>
      <c r="AA6" s="1188"/>
      <c r="AB6" s="932"/>
      <c r="AC6" s="922"/>
      <c r="AD6"/>
    </row>
    <row r="7" spans="3:30" ht="63" customHeight="1" thickBot="1">
      <c r="C7" s="921"/>
      <c r="D7" s="929">
        <f>$D$65*E7</f>
        <v>13617.622100151857</v>
      </c>
      <c r="E7" s="1184">
        <f>SUM('CryptoSheets(🔥)'!$F$13:$F$22)</f>
        <v>0.19072975572027132</v>
      </c>
      <c r="F7" s="1270"/>
      <c r="G7" s="938"/>
      <c r="H7" s="1193" t="str">
        <f>LOOKUP(5,'CryptoSheets(🔥)'!$B$9:$B$42,'CryptoSheets(🔥)'!$C$9:$C$42)</f>
        <v>SOL</v>
      </c>
      <c r="I7" s="1194"/>
      <c r="J7" s="1194"/>
      <c r="K7" s="1195"/>
      <c r="L7" s="939"/>
      <c r="M7" s="922"/>
      <c r="S7" s="921"/>
      <c r="U7" s="1183"/>
      <c r="V7" s="1035"/>
      <c r="W7" s="1189"/>
      <c r="X7" s="1190"/>
      <c r="Y7" s="1191"/>
      <c r="Z7" s="1191"/>
      <c r="AA7" s="1192"/>
      <c r="AB7" s="932"/>
      <c r="AC7" s="922"/>
      <c r="AD7"/>
    </row>
    <row r="8" spans="3:30" ht="63" customHeight="1" thickTop="1" thickBot="1">
      <c r="C8" s="921"/>
      <c r="D8" s="930">
        <v>0</v>
      </c>
      <c r="E8" s="1271"/>
      <c r="F8" s="1270"/>
      <c r="G8" s="1206" t="str">
        <f>LOOKUP(6,'CryptoSheets(🔥)'!$B$9:$B$42,'CryptoSheets(🔥)'!$C$9:$C$42)</f>
        <v>DOT</v>
      </c>
      <c r="H8" s="1207"/>
      <c r="I8" s="1208"/>
      <c r="J8" s="1209" t="str">
        <f>LOOKUP(7,'CryptoSheets(🔥)'!$B$9:$B$42,'CryptoSheets(🔥)'!$C$9:$C$42)</f>
        <v>DOGE</v>
      </c>
      <c r="K8" s="1210"/>
      <c r="L8" s="1211"/>
      <c r="M8" s="922"/>
      <c r="O8" s="1219" t="s">
        <v>521</v>
      </c>
      <c r="P8" s="1218"/>
      <c r="Q8" s="1218"/>
      <c r="S8" s="921"/>
      <c r="V8" s="1035"/>
      <c r="W8" s="1037"/>
      <c r="X8" s="1038"/>
      <c r="Y8" s="1039"/>
      <c r="Z8" s="943"/>
      <c r="AA8" s="943"/>
      <c r="AB8" s="1029"/>
      <c r="AC8" s="922"/>
      <c r="AD8"/>
    </row>
    <row r="9" spans="3:30" ht="63" customHeight="1" thickBot="1">
      <c r="C9" s="921"/>
      <c r="D9" s="931">
        <f t="shared" ref="D9" si="1">D7-D8</f>
        <v>13617.622100151857</v>
      </c>
      <c r="E9" s="1271"/>
      <c r="F9" s="1270"/>
      <c r="G9" s="1212" t="str">
        <f>LOOKUP(8,'CryptoSheets(🔥)'!$B$9:$B$42,'CryptoSheets(🔥)'!$C$9:$C$42)</f>
        <v>AVAX</v>
      </c>
      <c r="H9" s="1213"/>
      <c r="I9" s="1214" t="str">
        <f>LOOKUP(9,'CryptoSheets(🔥)'!$B$9:$B$42,'CryptoSheets(🔥)'!$C$9:$C$42)</f>
        <v>LUNA</v>
      </c>
      <c r="J9" s="1215"/>
      <c r="K9" s="1212" t="str">
        <f>LOOKUP(10,'CryptoSheets(🔥)'!$B$9:$B$42,'CryptoSheets(🔥)'!$C$9:$C$42)</f>
        <v>UNI</v>
      </c>
      <c r="L9" s="1213"/>
      <c r="M9" s="922"/>
      <c r="O9" s="1219"/>
      <c r="P9" s="1218"/>
      <c r="Q9" s="1218"/>
      <c r="S9" s="921"/>
      <c r="T9" s="929">
        <f>$E$38*U9</f>
        <v>13156.83410466552</v>
      </c>
      <c r="U9" s="1184">
        <f>SUM('CryptoSheets(🔥)'!$H$13:$H$18)</f>
        <v>0.14975650863020776</v>
      </c>
      <c r="V9" s="1035"/>
      <c r="W9" s="1193" t="str">
        <f>LOOKUP(5,'CryptoSheets(🔥)'!$B$9:$B$42,'CryptoSheets(🔥)'!$C$9:$C$42)</f>
        <v>SOL</v>
      </c>
      <c r="X9" s="1194"/>
      <c r="Y9" s="1195"/>
      <c r="Z9" s="1189" t="str">
        <f>LOOKUP(35,'CryptoSheets(🔥)'!$B$9:$B$44,'CryptoSheets(🔥)'!$C$9:$C$44)</f>
        <v>USD</v>
      </c>
      <c r="AA9" s="1190"/>
      <c r="AB9" s="1030"/>
      <c r="AC9" s="922"/>
      <c r="AD9"/>
    </row>
    <row r="10" spans="3:30" ht="63" customHeight="1">
      <c r="C10" s="921"/>
      <c r="D10" s="932"/>
      <c r="E10" s="1271"/>
      <c r="F10" s="1270"/>
      <c r="G10" s="938"/>
      <c r="H10" s="940" t="str">
        <f>LOOKUP(11,'CryptoSheets(🔥)'!$B$9:$B$42,'CryptoSheets(🔥)'!$C$9:$C$42)</f>
        <v>LINK</v>
      </c>
      <c r="I10" s="941" t="str">
        <f>LOOKUP(12,'CryptoSheets(🔥)'!$B$9:$B$42,'CryptoSheets(🔥)'!$C$9:$C$42)</f>
        <v>LTC</v>
      </c>
      <c r="J10" s="940" t="str">
        <f>LOOKUP(13,'CryptoSheets(🔥)'!$B$9:$B$42,'CryptoSheets(🔥)'!$C$9:$C$42)</f>
        <v>ALGO</v>
      </c>
      <c r="K10" s="941" t="str">
        <f>LOOKUP(14,'CryptoSheets(🔥)'!$B$9:$B$42,'CryptoSheets(🔥)'!$C$9:$C$42)</f>
        <v>ATOM</v>
      </c>
      <c r="L10" s="942"/>
      <c r="M10" s="922"/>
      <c r="O10" s="1219"/>
      <c r="P10" s="1218"/>
      <c r="Q10" s="1218"/>
      <c r="S10" s="921"/>
      <c r="T10" s="930">
        <f>1048+18</f>
        <v>1066</v>
      </c>
      <c r="U10" s="1184"/>
      <c r="V10" s="1035"/>
      <c r="W10" s="1040"/>
      <c r="X10" s="1196" t="str">
        <f>LOOKUP(6,'CryptoSheets(🔥)'!$B$9:$B$42,'CryptoSheets(🔥)'!$C$9:$C$42)</f>
        <v>DOT</v>
      </c>
      <c r="Y10" s="1198" t="str">
        <f>LOOKUP(7,'CryptoSheets(🔥)'!$B$9:$B$42,'CryptoSheets(🔥)'!$C$9:$C$42)</f>
        <v>DOGE</v>
      </c>
      <c r="Z10" s="1189"/>
      <c r="AA10" s="1190"/>
      <c r="AB10" s="28"/>
      <c r="AC10" s="28"/>
      <c r="AD10" s="921"/>
    </row>
    <row r="11" spans="3:30" ht="63" customHeight="1" thickBot="1">
      <c r="C11" s="921"/>
      <c r="D11" s="932"/>
      <c r="E11" s="932"/>
      <c r="F11" s="1270"/>
      <c r="G11" s="943"/>
      <c r="H11" s="943"/>
      <c r="I11" s="943"/>
      <c r="J11" s="944"/>
      <c r="K11" s="943"/>
      <c r="L11" s="932"/>
      <c r="M11" s="922"/>
      <c r="S11" s="921"/>
      <c r="T11" s="931">
        <f t="shared" ref="T11" si="2">T9-T10</f>
        <v>12090.83410466552</v>
      </c>
      <c r="U11" s="1184"/>
      <c r="V11" s="1035"/>
      <c r="W11" s="1040"/>
      <c r="X11" s="1197"/>
      <c r="Y11" s="1199"/>
      <c r="Z11" s="1189"/>
      <c r="AA11" s="1190"/>
      <c r="AB11" s="28"/>
      <c r="AC11" s="1459"/>
      <c r="AD11" s="32"/>
    </row>
    <row r="12" spans="3:30" ht="63" customHeight="1" thickBot="1">
      <c r="C12" s="921"/>
      <c r="D12" s="929">
        <f>$D$65*E12</f>
        <v>5202.4254085459015</v>
      </c>
      <c r="E12" s="1185">
        <f>SUM('CryptoSheets(🔥)'!$F$23:$F$32)</f>
        <v>7.2865682424380629E-2</v>
      </c>
      <c r="F12" s="1270"/>
      <c r="G12" s="938"/>
      <c r="H12" s="1193" t="str">
        <f>LOOKUP(15,'CryptoSheets(🔥)'!B9:B32,'CryptoSheets(🔥)'!C9:C32)</f>
        <v>MATIC</v>
      </c>
      <c r="I12" s="1194"/>
      <c r="J12" s="1194"/>
      <c r="K12" s="1195"/>
      <c r="L12" s="939"/>
      <c r="M12" s="922"/>
      <c r="O12" s="1217" t="s">
        <v>520</v>
      </c>
      <c r="P12" s="1218"/>
      <c r="Q12" s="1218"/>
      <c r="S12" s="921"/>
      <c r="T12" s="932"/>
      <c r="U12" s="1184"/>
      <c r="V12" s="1035"/>
      <c r="W12" s="934" t="str">
        <f>LOOKUP(8,'CryptoSheets(🔥)'!$B$9:$B$42,'CryptoSheets(🔥)'!$C$9:$C$42)</f>
        <v>AVAX</v>
      </c>
      <c r="X12" s="936" t="str">
        <f>LOOKUP(9,'CryptoSheets(🔥)'!$B$9:$B$42,'CryptoSheets(🔥)'!$C$9:$C$42)</f>
        <v>LUNA</v>
      </c>
      <c r="Y12" s="934" t="str">
        <f>LOOKUP(10,'CryptoSheets(🔥)'!$B$9:$B$42,'CryptoSheets(🔥)'!$C$9:$C$42)</f>
        <v>UNI</v>
      </c>
      <c r="Z12" s="1189"/>
      <c r="AA12" s="1190"/>
      <c r="AB12" s="1031"/>
      <c r="AC12" s="28"/>
      <c r="AD12" s="921"/>
    </row>
    <row r="13" spans="3:30" ht="63" customHeight="1" thickBot="1">
      <c r="C13" s="921"/>
      <c r="D13" s="930">
        <v>0</v>
      </c>
      <c r="E13" s="1216"/>
      <c r="F13" s="1270"/>
      <c r="G13" s="1206" t="str">
        <f>LOOKUP(16,'CryptoSheets(🔥)'!B9:B42,'CryptoSheets(🔥)'!C9:C42)</f>
        <v>XLM</v>
      </c>
      <c r="H13" s="1207"/>
      <c r="I13" s="1208"/>
      <c r="J13" s="1209" t="str">
        <f>LOOKUP(17,'CryptoSheets(🔥)'!B9:B42,'CryptoSheets(🔥)'!C9:C42)</f>
        <v>TRX</v>
      </c>
      <c r="K13" s="1210"/>
      <c r="L13" s="1211"/>
      <c r="M13" s="922"/>
      <c r="O13" s="1219"/>
      <c r="P13" s="1218"/>
      <c r="Q13" s="1218"/>
      <c r="S13" s="921"/>
      <c r="V13" s="1035"/>
      <c r="W13" s="943"/>
      <c r="X13" s="943"/>
      <c r="Y13" s="943"/>
      <c r="Z13" s="943"/>
      <c r="AA13" s="943"/>
      <c r="AB13" s="1029"/>
      <c r="AC13" s="922"/>
      <c r="AD13"/>
    </row>
    <row r="14" spans="3:30" ht="63" customHeight="1" thickBot="1">
      <c r="C14" s="921"/>
      <c r="D14" s="931">
        <f t="shared" ref="D14" si="3">D12-D13</f>
        <v>5202.4254085459015</v>
      </c>
      <c r="E14" s="1216"/>
      <c r="F14" s="1270"/>
      <c r="G14" s="1212" t="str">
        <f>LOOKUP(18,'CryptoSheets(🔥)'!B9:B42,'CryptoSheets(🔥)'!C9:C42)</f>
        <v>FIL</v>
      </c>
      <c r="H14" s="1213"/>
      <c r="I14" s="1214" t="str">
        <f>LOOKUP(19,'CryptoSheets(🔥)'!B9:B42,'CryptoSheets(🔥)'!C9:C42)</f>
        <v>XTZ</v>
      </c>
      <c r="J14" s="1215"/>
      <c r="K14" s="1212" t="str">
        <f>LOOKUP(20,'CryptoSheets(🔥)'!B9:B42,'CryptoSheets(🔥)'!C9:C42)</f>
        <v>EGLD</v>
      </c>
      <c r="L14" s="1213"/>
      <c r="M14" s="922"/>
      <c r="O14" s="1219"/>
      <c r="P14" s="1218"/>
      <c r="Q14" s="1218"/>
      <c r="S14" s="921"/>
      <c r="T14" s="929">
        <f>$E$38*U14</f>
        <v>6280.689988583099</v>
      </c>
      <c r="U14" s="1185">
        <f>SUM('CryptoSheets(🔥)'!$H$19:$H$24)</f>
        <v>7.1489402161373228E-2</v>
      </c>
      <c r="V14" s="1035"/>
      <c r="W14" s="1193" t="str">
        <f>LOOKUP(11,'CryptoSheets(🔥)'!$B$9:$B$42,'CryptoSheets(🔥)'!$C$9:$C$42)</f>
        <v>LINK</v>
      </c>
      <c r="X14" s="1194"/>
      <c r="Y14" s="1195"/>
      <c r="Z14" s="1189" t="str">
        <f>LOOKUP(35,'CryptoSheets(🔥)'!$B$9:$B$44,'CryptoSheets(🔥)'!$C$9:$C$44)</f>
        <v>USD</v>
      </c>
      <c r="AA14" s="1190"/>
      <c r="AB14" s="1030"/>
      <c r="AC14" s="922"/>
      <c r="AD14"/>
    </row>
    <row r="15" spans="3:30" ht="63" customHeight="1" thickBot="1">
      <c r="C15" s="921"/>
      <c r="D15" s="932"/>
      <c r="E15" s="1216"/>
      <c r="F15" s="1270"/>
      <c r="G15" s="938"/>
      <c r="H15" s="945" t="str">
        <f>LOOKUP(21,'CryptoSheets(🔥)'!B9:B42,'CryptoSheets(🔥)'!C9:C42)</f>
        <v>CAKE</v>
      </c>
      <c r="I15" s="936" t="str">
        <f>LOOKUP(22,'CryptoSheets(🔥)'!B9:B42,'CryptoSheets(🔥)'!C9:C42)</f>
        <v>AXS</v>
      </c>
      <c r="J15" s="945" t="str">
        <f>LOOKUP(23,'CryptoSheets(🔥)'!B9:B42,'CryptoSheets(🔥)'!C9:C42)</f>
        <v>AAVE</v>
      </c>
      <c r="K15" s="936" t="str">
        <f>LOOKUP(24,'CryptoSheets(🔥)'!B9:B42,'CryptoSheets(🔥)'!C9:C42)</f>
        <v>QNT</v>
      </c>
      <c r="L15" s="942"/>
      <c r="M15" s="922"/>
      <c r="S15" s="921"/>
      <c r="T15" s="930">
        <f>1006+43</f>
        <v>1049</v>
      </c>
      <c r="U15" s="1185"/>
      <c r="V15" s="1035"/>
      <c r="W15" s="1040"/>
      <c r="X15" s="1196" t="str">
        <f>LOOKUP(12,'CryptoSheets(🔥)'!$B$9:$B$42,'CryptoSheets(🔥)'!$C$9:$C$42)</f>
        <v>LTC</v>
      </c>
      <c r="Y15" s="1198" t="str">
        <f>LOOKUP(13,'CryptoSheets(🔥)'!$B$9:$B$42,'CryptoSheets(🔥)'!$C$9:$C$42)</f>
        <v>ALGO</v>
      </c>
      <c r="Z15" s="1189"/>
      <c r="AA15" s="1190"/>
      <c r="AB15" s="28"/>
      <c r="AC15" s="922"/>
      <c r="AD15"/>
    </row>
    <row r="16" spans="3:30" ht="63" customHeight="1" thickBot="1">
      <c r="C16" s="921"/>
      <c r="D16" s="932"/>
      <c r="E16" s="932"/>
      <c r="F16" s="1270"/>
      <c r="G16" s="943"/>
      <c r="H16" s="943"/>
      <c r="I16" s="943"/>
      <c r="J16" s="944"/>
      <c r="K16" s="943"/>
      <c r="L16" s="932"/>
      <c r="M16" s="922"/>
      <c r="S16" s="921"/>
      <c r="T16" s="931">
        <f t="shared" ref="T16" si="4">T14-T15</f>
        <v>5231.689988583099</v>
      </c>
      <c r="U16" s="1185"/>
      <c r="V16" s="1035"/>
      <c r="W16" s="1040"/>
      <c r="X16" s="1197"/>
      <c r="Y16" s="1199"/>
      <c r="Z16" s="1189"/>
      <c r="AA16" s="1190"/>
      <c r="AB16" s="28"/>
      <c r="AC16" s="922"/>
      <c r="AD16"/>
    </row>
    <row r="17" spans="2:30" ht="63" customHeight="1" thickBot="1">
      <c r="C17" s="921"/>
      <c r="D17" s="929">
        <f>$D$65*E17</f>
        <v>0</v>
      </c>
      <c r="E17" s="1185">
        <f>SUM('CryptoSheets(🔥)'!$F$33:$F$42)</f>
        <v>0</v>
      </c>
      <c r="F17" s="1270"/>
      <c r="G17" s="938"/>
      <c r="H17" s="1193" t="str">
        <f>LOOKUP(25,'CryptoSheets(🔥)'!B9:B42,'CryptoSheets(🔥)'!C9:C42)</f>
        <v>NEAR</v>
      </c>
      <c r="I17" s="1194"/>
      <c r="J17" s="1194"/>
      <c r="K17" s="1195"/>
      <c r="L17" s="939"/>
      <c r="M17" s="922"/>
      <c r="O17" s="1267" t="s">
        <v>555</v>
      </c>
      <c r="P17" s="1268"/>
      <c r="Q17" s="1268"/>
      <c r="S17" s="1032"/>
      <c r="T17" s="932"/>
      <c r="U17" s="1185"/>
      <c r="V17" s="1035"/>
      <c r="W17" s="934" t="str">
        <f>LOOKUP(14,'CryptoSheets(🔥)'!$B$9:$B$42,'CryptoSheets(🔥)'!$C$9:$C$42)</f>
        <v>ATOM</v>
      </c>
      <c r="X17" s="936" t="str">
        <f>LOOKUP(15,'CryptoSheets(🔥)'!$B$9:$B$42,'CryptoSheets(🔥)'!$C$9:$C$42)</f>
        <v>MATIC</v>
      </c>
      <c r="Y17" s="934" t="str">
        <f>LOOKUP(16,'CryptoSheets(🔥)'!$B$9:$B$42,'CryptoSheets(🔥)'!$C$9:$C$42)</f>
        <v>XLM</v>
      </c>
      <c r="Z17" s="1189"/>
      <c r="AA17" s="1190"/>
      <c r="AB17" s="1031"/>
      <c r="AC17" s="922"/>
      <c r="AD17"/>
    </row>
    <row r="18" spans="2:30" ht="63" customHeight="1" thickBot="1">
      <c r="C18" s="921"/>
      <c r="D18" s="930">
        <v>0</v>
      </c>
      <c r="E18" s="1216"/>
      <c r="F18" s="1270"/>
      <c r="G18" s="1206" t="str">
        <f>LOOKUP(26,'CryptoSheets(🔥)'!B9:B42,'CryptoSheets(🔥)'!C9:C42)</f>
        <v>HBAR</v>
      </c>
      <c r="H18" s="1207"/>
      <c r="I18" s="1208"/>
      <c r="J18" s="1209" t="str">
        <f>LOOKUP(27,'CryptoSheets(🔥)'!B9:B42,'CryptoSheets(🔥)'!C9:C42)</f>
        <v>GRT</v>
      </c>
      <c r="K18" s="1210"/>
      <c r="L18" s="1211"/>
      <c r="M18" s="922"/>
      <c r="O18" s="1269"/>
      <c r="P18" s="1268"/>
      <c r="Q18" s="1268"/>
      <c r="S18" s="1032"/>
      <c r="T18" s="1033"/>
      <c r="U18" s="943"/>
      <c r="V18" s="1029"/>
      <c r="W18" s="1029"/>
      <c r="X18" s="1029"/>
      <c r="Y18" s="1029"/>
      <c r="Z18" s="1029"/>
      <c r="AA18" s="1029"/>
      <c r="AB18" s="1029"/>
      <c r="AC18" s="922"/>
      <c r="AD18"/>
    </row>
    <row r="19" spans="2:30" ht="63" customHeight="1" thickBot="1">
      <c r="C19" s="921"/>
      <c r="D19" s="931">
        <f t="shared" ref="D19" si="5">D17-D18</f>
        <v>0</v>
      </c>
      <c r="E19" s="1216"/>
      <c r="F19" s="1270"/>
      <c r="G19" s="1212" t="str">
        <f>LOOKUP(28,'CryptoSheets(🔥)'!B9:B42,'CryptoSheets(🔥)'!C9:C42)</f>
        <v>FTM</v>
      </c>
      <c r="H19" s="1213"/>
      <c r="I19" s="1214" t="str">
        <f>LOOKUP(29,'CryptoSheets(🔥)'!B9:B42,'CryptoSheets(🔥)'!C9:C42)</f>
        <v>KSM</v>
      </c>
      <c r="J19" s="1215"/>
      <c r="K19" s="1212" t="str">
        <f>LOOKUP(30,'CryptoSheets(🔥)'!B9:B42,'CryptoSheets(🔥)'!C9:C42)</f>
        <v>KLAY</v>
      </c>
      <c r="L19" s="1213"/>
      <c r="M19" s="922"/>
      <c r="O19" s="1269"/>
      <c r="P19" s="1268"/>
      <c r="Q19" s="1268"/>
      <c r="S19" s="1032"/>
      <c r="T19" s="1034"/>
      <c r="U19" s="943"/>
      <c r="V19" s="1029"/>
      <c r="W19" s="1029"/>
      <c r="X19" s="1029"/>
      <c r="Y19" s="1029"/>
      <c r="Z19" s="1029"/>
      <c r="AA19" s="1029"/>
      <c r="AB19" s="1029"/>
      <c r="AC19" s="922"/>
      <c r="AD19"/>
    </row>
    <row r="20" spans="2:30" ht="63" customHeight="1" thickBot="1">
      <c r="C20" s="921"/>
      <c r="D20" s="932"/>
      <c r="E20" s="1216"/>
      <c r="F20" s="1270"/>
      <c r="G20" s="938"/>
      <c r="H20" s="945" t="str">
        <f>LOOKUP(31,'CryptoSheets(🔥)'!B9:B42,'CryptoSheets(🔥)'!C9:C42)</f>
        <v>MKR</v>
      </c>
      <c r="I20" s="936" t="str">
        <f>LOOKUP(32,'CryptoSheets(🔥)'!B9:B42,'CryptoSheets(🔥)'!C9:C42)</f>
        <v>BTT</v>
      </c>
      <c r="J20" s="945" t="str">
        <f>LOOKUP(33,'CryptoSheets(🔥)'!B9:B42,'CryptoSheets(🔥)'!C9:C42)</f>
        <v>COMP</v>
      </c>
      <c r="K20" s="936" t="str">
        <f>LOOKUP(34,'CryptoSheets(🔥)'!B9:B42,'CryptoSheets(🔥)'!C9:C42)</f>
        <v>RUNE</v>
      </c>
      <c r="L20" s="942"/>
      <c r="M20" s="922"/>
      <c r="S20" s="1032"/>
      <c r="T20" s="944"/>
      <c r="U20" s="943"/>
      <c r="V20" s="1029"/>
      <c r="W20" s="1029"/>
      <c r="X20" s="1029"/>
      <c r="Y20" s="1029"/>
      <c r="Z20" s="1029"/>
      <c r="AA20" s="1029"/>
      <c r="AB20" s="1029"/>
      <c r="AC20" s="922"/>
      <c r="AD20"/>
    </row>
    <row r="21" spans="2:30" ht="63" customHeight="1" thickBot="1">
      <c r="C21" s="923"/>
      <c r="D21" s="924"/>
      <c r="E21" s="925"/>
      <c r="F21" s="925"/>
      <c r="G21" s="925"/>
      <c r="H21" s="925"/>
      <c r="I21" s="925"/>
      <c r="J21" s="925"/>
      <c r="K21" s="925"/>
      <c r="L21" s="925"/>
      <c r="M21" s="926"/>
      <c r="S21" s="923"/>
      <c r="T21" s="924"/>
      <c r="U21" s="925"/>
      <c r="V21" s="925"/>
      <c r="W21" s="925"/>
      <c r="X21" s="925"/>
      <c r="Y21" s="925"/>
      <c r="Z21" s="925"/>
      <c r="AA21" s="925"/>
      <c r="AB21" s="925"/>
      <c r="AC21" s="926"/>
      <c r="AD21"/>
    </row>
    <row r="22" spans="2:30" ht="63" customHeight="1" thickBot="1"/>
    <row r="23" spans="2:30" ht="48" customHeight="1" thickBot="1">
      <c r="F23" s="869">
        <v>1</v>
      </c>
      <c r="G23" s="868" t="s">
        <v>527</v>
      </c>
      <c r="H23" s="406"/>
      <c r="I23" s="403"/>
    </row>
    <row r="24" spans="2:30" ht="16" customHeight="1" thickBot="1">
      <c r="F24" s="403"/>
      <c r="G24" s="874" t="s">
        <v>227</v>
      </c>
      <c r="H24" s="875" t="s">
        <v>228</v>
      </c>
      <c r="I24" s="403"/>
    </row>
    <row r="25" spans="2:30" ht="17" thickBot="1">
      <c r="D25" s="1220" t="s">
        <v>199</v>
      </c>
      <c r="F25" s="403"/>
      <c r="G25" s="876">
        <f>_xlfn.IFS(F23=0,G27,F23=1,G27+H27,F23=2,0,TRUE,0)</f>
        <v>87854.84</v>
      </c>
      <c r="H25" s="877">
        <f>_xlfn.IFS(F23=0,H27,F23=1,0,F23=2,G27+H27,TRUE,0)</f>
        <v>0</v>
      </c>
      <c r="I25" s="403"/>
      <c r="K25" s="1264" t="s">
        <v>521</v>
      </c>
    </row>
    <row r="26" spans="2:30">
      <c r="D26" s="1221"/>
      <c r="F26" s="403"/>
      <c r="G26" s="870" t="s">
        <v>528</v>
      </c>
      <c r="H26" s="871" t="s">
        <v>529</v>
      </c>
      <c r="I26" s="403"/>
      <c r="K26" s="1265"/>
    </row>
    <row r="27" spans="2:30" ht="17" thickBot="1">
      <c r="D27" s="1222"/>
      <c r="F27" s="403"/>
      <c r="G27" s="872">
        <f>总指挥室!$H$18</f>
        <v>21963.71</v>
      </c>
      <c r="H27" s="873">
        <f>总指挥室!$I$18</f>
        <v>65891.13</v>
      </c>
      <c r="I27" s="403"/>
      <c r="K27" s="1266"/>
    </row>
    <row r="30" spans="2:30" ht="17" thickBot="1">
      <c r="B30" s="113"/>
      <c r="C30" s="116"/>
      <c r="D30" s="113"/>
      <c r="E30" s="116"/>
      <c r="F30" s="113"/>
      <c r="G30" s="116" t="s">
        <v>223</v>
      </c>
      <c r="H30" s="113"/>
      <c r="I30" s="116" t="s">
        <v>223</v>
      </c>
      <c r="J30" s="113"/>
      <c r="K30" s="116"/>
      <c r="L30" s="113"/>
      <c r="M30" s="116"/>
      <c r="N30" s="113"/>
      <c r="O30" s="116" t="s">
        <v>223</v>
      </c>
      <c r="P30" s="113"/>
      <c r="Q30" s="116"/>
      <c r="R30" s="113"/>
      <c r="S30" s="116"/>
    </row>
    <row r="31" spans="2:30" ht="22" thickBot="1">
      <c r="B31" s="116"/>
      <c r="C31" s="113"/>
      <c r="D31" s="116"/>
      <c r="E31" s="113"/>
      <c r="F31" s="116"/>
      <c r="G31" s="400" t="s">
        <v>525</v>
      </c>
      <c r="H31" s="401">
        <f>卓尔金历!$F$41</f>
        <v>1.1878973697903477</v>
      </c>
      <c r="I31" s="113"/>
      <c r="J31" s="116" t="s">
        <v>223</v>
      </c>
      <c r="K31" s="113"/>
      <c r="L31" s="116"/>
      <c r="M31" s="113"/>
      <c r="N31" s="116"/>
      <c r="O31" s="113"/>
      <c r="P31" s="116"/>
      <c r="Q31" s="113"/>
      <c r="R31" s="116" t="s">
        <v>223</v>
      </c>
      <c r="S31" s="113"/>
    </row>
    <row r="32" spans="2:30" ht="17" thickBot="1">
      <c r="B32" s="113"/>
      <c r="C32" s="116"/>
      <c r="D32" s="113"/>
      <c r="E32" s="116"/>
      <c r="F32" s="113"/>
      <c r="G32" s="116" t="s">
        <v>223</v>
      </c>
      <c r="H32" s="113"/>
      <c r="I32" s="116" t="s">
        <v>223</v>
      </c>
      <c r="J32" s="113"/>
      <c r="K32" s="116"/>
      <c r="L32" s="113"/>
      <c r="M32" s="116"/>
      <c r="N32" s="113"/>
      <c r="O32" s="116" t="s">
        <v>223</v>
      </c>
      <c r="P32" s="113"/>
      <c r="Q32" s="116"/>
      <c r="R32" s="113"/>
      <c r="S32" s="116"/>
    </row>
    <row r="33" spans="1:39" ht="16" customHeight="1" thickBot="1">
      <c r="B33" s="116"/>
      <c r="C33" s="113"/>
      <c r="D33" s="403" t="s">
        <v>227</v>
      </c>
      <c r="E33" s="113"/>
      <c r="F33" s="116"/>
      <c r="G33" s="400" t="s">
        <v>518</v>
      </c>
      <c r="H33" s="401">
        <f>总指挥室!H7</f>
        <v>1.1873245633203628</v>
      </c>
      <c r="I33" s="400" t="s">
        <v>526</v>
      </c>
      <c r="J33" s="401">
        <f>-F36*F37-G36*G37+H36*H37+I36*I37+J36*J37</f>
        <v>1.1873245633203628</v>
      </c>
      <c r="K33" s="113"/>
      <c r="L33" s="406" t="s">
        <v>228</v>
      </c>
      <c r="M33" s="113"/>
      <c r="N33" s="116"/>
      <c r="O33" s="400" t="s">
        <v>518</v>
      </c>
      <c r="P33" s="401">
        <f>总指挥室!H7</f>
        <v>1.1873245633203628</v>
      </c>
      <c r="Q33" s="400" t="s">
        <v>526</v>
      </c>
      <c r="R33" s="401">
        <f>-N36*N37-O36*O37+P36*P37+Q36*Q37+R36*R37</f>
        <v>1.1873245633203628</v>
      </c>
      <c r="S33" s="113"/>
    </row>
    <row r="34" spans="1:39" ht="17" customHeight="1">
      <c r="B34" s="113"/>
      <c r="C34" s="116"/>
      <c r="D34" s="113"/>
      <c r="E34" s="116"/>
      <c r="F34" s="113"/>
      <c r="G34" s="116"/>
      <c r="H34" s="113"/>
      <c r="I34" s="116"/>
      <c r="J34" s="113"/>
      <c r="K34" s="116"/>
      <c r="L34" s="113"/>
      <c r="M34" s="116"/>
      <c r="N34" s="113"/>
      <c r="O34" s="116"/>
      <c r="P34" s="113"/>
      <c r="Q34" s="116"/>
      <c r="R34" s="113"/>
      <c r="S34" s="116"/>
    </row>
    <row r="35" spans="1:39" ht="16" customHeight="1">
      <c r="B35" s="116"/>
      <c r="C35" s="113"/>
      <c r="D35" s="116"/>
      <c r="E35" s="113"/>
      <c r="F35" s="388" t="s">
        <v>516</v>
      </c>
      <c r="G35" s="388" t="s">
        <v>219</v>
      </c>
      <c r="H35" s="388" t="s">
        <v>220</v>
      </c>
      <c r="I35" s="388" t="s">
        <v>221</v>
      </c>
      <c r="J35" s="388" t="s">
        <v>515</v>
      </c>
      <c r="K35" s="113"/>
      <c r="L35" s="116"/>
      <c r="M35" s="113"/>
      <c r="N35" s="388" t="s">
        <v>503</v>
      </c>
      <c r="O35" s="388" t="s">
        <v>504</v>
      </c>
      <c r="P35" s="388" t="s">
        <v>220</v>
      </c>
      <c r="Q35" s="388" t="s">
        <v>505</v>
      </c>
      <c r="R35" s="388" t="s">
        <v>506</v>
      </c>
      <c r="S35" s="113"/>
    </row>
    <row r="36" spans="1:39" ht="17" customHeight="1">
      <c r="B36" s="113"/>
      <c r="C36" s="116"/>
      <c r="D36" s="113"/>
      <c r="E36" s="400" t="s">
        <v>519</v>
      </c>
      <c r="F36" s="858">
        <v>2</v>
      </c>
      <c r="G36" s="858">
        <v>1</v>
      </c>
      <c r="H36" s="858">
        <v>1</v>
      </c>
      <c r="I36" s="858">
        <v>2</v>
      </c>
      <c r="J36" s="858">
        <v>3</v>
      </c>
      <c r="K36" s="116"/>
      <c r="L36" s="113"/>
      <c r="M36" s="400" t="s">
        <v>519</v>
      </c>
      <c r="N36" s="858">
        <v>1.3</v>
      </c>
      <c r="O36" s="858">
        <v>1.3</v>
      </c>
      <c r="P36" s="858">
        <v>1</v>
      </c>
      <c r="Q36" s="858">
        <v>2.1</v>
      </c>
      <c r="R36" s="858">
        <v>2.2999999999999998</v>
      </c>
      <c r="S36" s="116"/>
    </row>
    <row r="37" spans="1:39">
      <c r="B37" s="116"/>
      <c r="C37" s="113" t="s">
        <v>223</v>
      </c>
      <c r="D37" s="116"/>
      <c r="E37" s="400" t="s">
        <v>222</v>
      </c>
      <c r="F37" s="859">
        <f>MAX(MIN(-H33-G36,-H33/F36),0)</f>
        <v>0</v>
      </c>
      <c r="G37" s="859">
        <f>MAX(MIN(H33+F36,-H33),0)</f>
        <v>0</v>
      </c>
      <c r="H37" s="859">
        <f>MAX(MIN(H33,I36-H33),0)</f>
        <v>0.81267543667963715</v>
      </c>
      <c r="I37" s="859">
        <f>MAX(MIN(J36-H33,H33-H36),0)</f>
        <v>0.18732456332036285</v>
      </c>
      <c r="J37" s="859">
        <f>MAX(MIN(H33-I36,H33/J36),0)</f>
        <v>0</v>
      </c>
      <c r="K37" s="113"/>
      <c r="L37" s="116"/>
      <c r="M37" s="400" t="s">
        <v>222</v>
      </c>
      <c r="N37" s="859">
        <f>MAX(-P33/N36,0)*60%</f>
        <v>0</v>
      </c>
      <c r="O37" s="859">
        <f>MAX(-P33/O36,0)*40%</f>
        <v>0</v>
      </c>
      <c r="P37" s="859">
        <f>MAX(_xlfn.IFS(P33&lt;=1,P33,TRUE,1-Q37-R37),0)</f>
        <v>0.840184638286124</v>
      </c>
      <c r="Q37" s="859">
        <f>MAX(MIN((P33-1)/(Q36-1),$P$33/Q36),0)*60%</f>
        <v>0.10217703453837972</v>
      </c>
      <c r="R37" s="859">
        <f>MAX(MIN((P33-1)/(R36-1),$P$33/R36),0)*40%</f>
        <v>5.7638327175496273E-2</v>
      </c>
      <c r="S37" s="113"/>
    </row>
    <row r="38" spans="1:39">
      <c r="B38" s="113"/>
      <c r="C38" s="116"/>
      <c r="D38" s="400" t="s">
        <v>218</v>
      </c>
      <c r="E38" s="867">
        <f>G25</f>
        <v>87854.84</v>
      </c>
      <c r="F38" s="394">
        <f t="shared" ref="F38:G38" si="6">$E$38*F37</f>
        <v>0</v>
      </c>
      <c r="G38" s="394">
        <f t="shared" si="6"/>
        <v>0</v>
      </c>
      <c r="H38" s="398">
        <f>$E$38*H37</f>
        <v>71397.470461419653</v>
      </c>
      <c r="I38" s="394">
        <f>$E$38*I37</f>
        <v>16457.369538580348</v>
      </c>
      <c r="J38" s="394">
        <f>$E$38*J37</f>
        <v>0</v>
      </c>
      <c r="K38" s="116"/>
      <c r="L38" s="400" t="s">
        <v>218</v>
      </c>
      <c r="M38" s="867">
        <f>H25</f>
        <v>0</v>
      </c>
      <c r="N38" s="394">
        <f>$M$38*N37</f>
        <v>0</v>
      </c>
      <c r="O38" s="394">
        <f>$M$38*O37</f>
        <v>0</v>
      </c>
      <c r="P38" s="398">
        <f>$M$38*P37</f>
        <v>0</v>
      </c>
      <c r="Q38" s="394">
        <f>$M$38*Q37</f>
        <v>0</v>
      </c>
      <c r="R38" s="394">
        <f>$M$38*R37</f>
        <v>0</v>
      </c>
      <c r="S38" s="116"/>
    </row>
    <row r="39" spans="1:39">
      <c r="B39" s="116"/>
      <c r="C39" s="113" t="s">
        <v>223</v>
      </c>
      <c r="D39" s="400" t="s">
        <v>230</v>
      </c>
      <c r="E39" s="400" t="s">
        <v>230</v>
      </c>
      <c r="F39" s="311"/>
      <c r="G39" s="311"/>
      <c r="H39" s="311"/>
      <c r="I39" s="311">
        <f>17844+126</f>
        <v>17970</v>
      </c>
      <c r="J39" s="311" t="s">
        <v>223</v>
      </c>
      <c r="K39" s="113"/>
      <c r="L39" s="400" t="s">
        <v>230</v>
      </c>
      <c r="M39" s="394"/>
      <c r="N39" s="311"/>
      <c r="O39" s="311"/>
      <c r="P39" s="311"/>
      <c r="Q39" s="311">
        <f>43752+98</f>
        <v>43850</v>
      </c>
      <c r="R39" s="311" t="s">
        <v>223</v>
      </c>
      <c r="S39" s="113"/>
    </row>
    <row r="40" spans="1:39">
      <c r="B40" s="113"/>
      <c r="C40" s="116"/>
      <c r="D40" s="400" t="s">
        <v>226</v>
      </c>
      <c r="E40" s="400" t="s">
        <v>226</v>
      </c>
      <c r="F40" s="399">
        <f>F38-F39</f>
        <v>0</v>
      </c>
      <c r="G40" s="399">
        <f>G38-G39</f>
        <v>0</v>
      </c>
      <c r="H40" s="399">
        <f>H38-H39</f>
        <v>71397.470461419653</v>
      </c>
      <c r="I40" s="399">
        <f>I38-I39</f>
        <v>-1512.6304614196524</v>
      </c>
      <c r="J40" s="399"/>
      <c r="K40" s="116"/>
      <c r="L40" s="400" t="s">
        <v>226</v>
      </c>
      <c r="M40" s="404"/>
      <c r="N40" s="399">
        <f>N38-N39</f>
        <v>0</v>
      </c>
      <c r="O40" s="399">
        <f>O38-O39</f>
        <v>0</v>
      </c>
      <c r="P40" s="399">
        <f>P38-P39</f>
        <v>0</v>
      </c>
      <c r="Q40" s="399">
        <f>Q38-Q39</f>
        <v>-43850</v>
      </c>
      <c r="R40" s="399"/>
      <c r="S40" s="116"/>
    </row>
    <row r="41" spans="1:39">
      <c r="A41" s="137"/>
      <c r="B41" s="116"/>
      <c r="C41" s="113"/>
      <c r="D41" s="116"/>
      <c r="E41" s="113"/>
      <c r="F41" s="116"/>
      <c r="G41" s="113" t="s">
        <v>223</v>
      </c>
      <c r="H41" s="116"/>
      <c r="I41" s="113" t="s">
        <v>223</v>
      </c>
      <c r="J41" s="116"/>
      <c r="K41" s="113"/>
      <c r="L41" s="116"/>
      <c r="M41" s="113"/>
      <c r="N41" s="116"/>
      <c r="O41" s="113"/>
      <c r="P41" s="116"/>
      <c r="Q41" s="113"/>
      <c r="R41" s="116"/>
      <c r="S41" s="113"/>
    </row>
    <row r="42" spans="1:39">
      <c r="A42" s="137"/>
      <c r="B42" s="137"/>
      <c r="C42" s="137"/>
      <c r="D42" s="137"/>
      <c r="E42" s="137"/>
      <c r="F42" s="137"/>
      <c r="G42" s="137"/>
      <c r="H42" s="137"/>
      <c r="I42" s="137"/>
      <c r="J42" s="137"/>
      <c r="K42" s="137"/>
      <c r="L42" s="137"/>
      <c r="M42" s="137"/>
    </row>
    <row r="43" spans="1:39">
      <c r="B43" s="113"/>
      <c r="C43" s="116" t="s">
        <v>223</v>
      </c>
      <c r="D43" s="113"/>
      <c r="E43" s="116"/>
      <c r="F43" s="113"/>
      <c r="G43" s="116"/>
      <c r="H43" s="113"/>
      <c r="I43" s="116"/>
      <c r="J43" s="113"/>
      <c r="K43" s="116"/>
      <c r="L43" s="113"/>
      <c r="M43" s="116"/>
      <c r="N43" s="113"/>
      <c r="O43" s="116"/>
    </row>
    <row r="44" spans="1:39">
      <c r="B44" s="116" t="s">
        <v>223</v>
      </c>
      <c r="C44" s="403" t="s">
        <v>227</v>
      </c>
      <c r="D44" s="392" t="s">
        <v>217</v>
      </c>
      <c r="E44" s="388">
        <v>1</v>
      </c>
      <c r="F44" s="388">
        <v>2</v>
      </c>
      <c r="G44" s="388">
        <v>3</v>
      </c>
      <c r="H44" s="388">
        <v>4</v>
      </c>
      <c r="I44" s="308"/>
      <c r="J44" s="308"/>
      <c r="K44" s="308"/>
      <c r="L44" s="308"/>
      <c r="M44" s="308"/>
      <c r="N44" s="308"/>
      <c r="O44" s="113"/>
    </row>
    <row r="45" spans="1:39" ht="23">
      <c r="B45" s="113"/>
      <c r="C45" s="116" t="s">
        <v>223</v>
      </c>
      <c r="D45" s="391">
        <f>E3</f>
        <v>3</v>
      </c>
      <c r="E45" s="981">
        <f>$E$4</f>
        <v>0.73640456185534853</v>
      </c>
      <c r="F45" s="981">
        <f>$E$7</f>
        <v>0.19072975572027132</v>
      </c>
      <c r="G45" s="981">
        <f>$E$12</f>
        <v>7.2865682424380629E-2</v>
      </c>
      <c r="H45" s="981">
        <f>$E$17</f>
        <v>0</v>
      </c>
      <c r="I45" s="310"/>
      <c r="J45" s="310"/>
      <c r="K45" s="310"/>
      <c r="L45" s="310"/>
      <c r="M45" s="310"/>
      <c r="N45" s="310"/>
      <c r="O45" s="116"/>
      <c r="AH45" s="28"/>
      <c r="AI45" s="28"/>
      <c r="AJ45" s="28"/>
      <c r="AK45" s="28"/>
      <c r="AL45" s="28"/>
      <c r="AM45" s="28"/>
    </row>
    <row r="46" spans="1:39" ht="23">
      <c r="B46" s="116" t="s">
        <v>223</v>
      </c>
      <c r="C46" s="400" t="s">
        <v>218</v>
      </c>
      <c r="D46" s="398">
        <f>H28</f>
        <v>0</v>
      </c>
      <c r="E46" s="982">
        <f>$D$65*E45</f>
        <v>52577.422952721929</v>
      </c>
      <c r="F46" s="982">
        <f>$D$65*F45</f>
        <v>13617.622100151857</v>
      </c>
      <c r="G46" s="982">
        <f>$D$65*G45</f>
        <v>5202.4254085459015</v>
      </c>
      <c r="H46" s="982">
        <f>$D$65*H45</f>
        <v>0</v>
      </c>
      <c r="I46" s="394"/>
      <c r="J46" s="394"/>
      <c r="K46" s="394"/>
      <c r="L46" s="394"/>
      <c r="M46" s="394"/>
      <c r="N46" s="394"/>
      <c r="O46" s="113"/>
      <c r="W46" s="28"/>
      <c r="X46" s="28"/>
      <c r="Y46" s="28"/>
      <c r="Z46" s="28"/>
      <c r="AA46" s="28"/>
      <c r="AB46" s="28"/>
      <c r="AC46" s="28"/>
      <c r="AE46" s="28"/>
      <c r="AF46" s="28"/>
      <c r="AG46" s="28"/>
      <c r="AH46" s="28"/>
      <c r="AI46" s="28"/>
      <c r="AJ46" s="28"/>
      <c r="AK46" s="28"/>
      <c r="AL46" s="28"/>
      <c r="AM46" s="28"/>
    </row>
    <row r="47" spans="1:39" ht="23">
      <c r="B47" s="113"/>
      <c r="C47" s="400" t="s">
        <v>230</v>
      </c>
      <c r="D47" s="400" t="s">
        <v>230</v>
      </c>
      <c r="E47" s="983">
        <f>55281+418</f>
        <v>55699</v>
      </c>
      <c r="F47" s="983">
        <f>14065+800</f>
        <v>14865</v>
      </c>
      <c r="G47" s="983">
        <f>5041+537</f>
        <v>5578</v>
      </c>
      <c r="H47" s="983">
        <f>2376+100</f>
        <v>2476</v>
      </c>
      <c r="I47" s="311"/>
      <c r="J47" s="311"/>
      <c r="K47" s="311"/>
      <c r="L47" s="311"/>
      <c r="M47" s="311"/>
      <c r="N47" s="311"/>
      <c r="O47" s="116"/>
      <c r="W47" s="28"/>
      <c r="X47" s="28"/>
      <c r="Y47" s="28"/>
      <c r="Z47" s="28"/>
      <c r="AA47" s="28"/>
      <c r="AB47" s="28"/>
      <c r="AC47" s="28"/>
      <c r="AE47" s="28"/>
      <c r="AF47" s="28"/>
      <c r="AG47" s="28"/>
      <c r="AH47" s="28"/>
      <c r="AI47" s="28"/>
      <c r="AJ47" s="28"/>
      <c r="AK47" s="28"/>
      <c r="AL47" s="28"/>
      <c r="AM47" s="28"/>
    </row>
    <row r="48" spans="1:39" ht="23">
      <c r="B48" s="116" t="s">
        <v>223</v>
      </c>
      <c r="C48" s="400" t="s">
        <v>226</v>
      </c>
      <c r="D48" s="400" t="s">
        <v>226</v>
      </c>
      <c r="E48" s="984">
        <f t="shared" ref="E48:H48" si="7">E46-E47</f>
        <v>-3121.5770472780714</v>
      </c>
      <c r="F48" s="984">
        <f t="shared" si="7"/>
        <v>-1247.377899848143</v>
      </c>
      <c r="G48" s="984">
        <f t="shared" si="7"/>
        <v>-375.57459145409848</v>
      </c>
      <c r="H48" s="984">
        <f t="shared" si="7"/>
        <v>-2476</v>
      </c>
      <c r="I48" s="399"/>
      <c r="J48" s="399"/>
      <c r="K48" s="399"/>
      <c r="L48" s="399"/>
      <c r="M48" s="399"/>
      <c r="N48" s="399"/>
      <c r="O48" s="113"/>
      <c r="W48" s="28"/>
      <c r="X48" s="28"/>
      <c r="Y48" s="28"/>
      <c r="Z48" s="28"/>
      <c r="AA48" s="28"/>
      <c r="AB48" s="28"/>
      <c r="AC48" s="28"/>
      <c r="AE48" s="28"/>
      <c r="AF48" s="28"/>
      <c r="AG48" s="28"/>
      <c r="AH48" s="28"/>
      <c r="AI48" s="28"/>
      <c r="AJ48" s="28"/>
      <c r="AK48" s="28"/>
      <c r="AL48" s="28"/>
      <c r="AM48" s="28"/>
    </row>
    <row r="49" spans="1:39">
      <c r="B49" s="113"/>
      <c r="C49" s="116" t="s">
        <v>223</v>
      </c>
      <c r="D49" s="113"/>
      <c r="E49" s="116"/>
      <c r="F49" s="113"/>
      <c r="G49" s="405"/>
      <c r="H49" s="113"/>
      <c r="I49" s="116"/>
      <c r="J49" s="113"/>
      <c r="K49" s="116"/>
      <c r="L49" s="113"/>
      <c r="M49" s="116"/>
      <c r="N49" s="113"/>
      <c r="O49" s="116"/>
      <c r="W49" s="28"/>
      <c r="X49" s="28"/>
      <c r="Y49" s="28"/>
      <c r="Z49" s="857"/>
      <c r="AA49" s="857"/>
      <c r="AB49" s="28"/>
      <c r="AC49" s="28"/>
      <c r="AE49" s="28"/>
      <c r="AF49" s="28"/>
      <c r="AG49" s="28"/>
      <c r="AH49" s="28"/>
      <c r="AI49" s="28"/>
      <c r="AJ49" s="28"/>
      <c r="AK49" s="28"/>
      <c r="AL49" s="28"/>
      <c r="AM49" s="28"/>
    </row>
    <row r="50" spans="1:39">
      <c r="A50" s="137"/>
      <c r="B50" s="137"/>
      <c r="C50" s="137"/>
      <c r="D50" s="137"/>
      <c r="E50" s="137"/>
      <c r="F50" s="137"/>
      <c r="G50" s="137"/>
      <c r="H50" s="137"/>
      <c r="I50" s="137"/>
      <c r="J50" s="137"/>
      <c r="K50" s="137"/>
      <c r="L50" s="137"/>
      <c r="M50" s="137"/>
    </row>
    <row r="51" spans="1:39">
      <c r="B51" s="113"/>
      <c r="C51" s="116" t="s">
        <v>223</v>
      </c>
      <c r="D51" s="113"/>
      <c r="E51" s="116"/>
      <c r="F51" s="113"/>
      <c r="G51" s="116"/>
      <c r="H51" s="113"/>
      <c r="I51" s="116"/>
      <c r="J51" s="113"/>
      <c r="K51" s="116"/>
      <c r="L51" s="113"/>
      <c r="M51" s="116"/>
      <c r="N51" s="113"/>
      <c r="O51" s="116"/>
    </row>
    <row r="52" spans="1:39" ht="17" thickBot="1">
      <c r="B52" s="116" t="s">
        <v>223</v>
      </c>
      <c r="C52" s="403" t="s">
        <v>227</v>
      </c>
      <c r="D52" s="392" t="s">
        <v>217</v>
      </c>
      <c r="E52" s="388" t="s">
        <v>221</v>
      </c>
      <c r="F52" s="388">
        <v>1</v>
      </c>
      <c r="G52" s="388">
        <v>2</v>
      </c>
      <c r="H52" s="388">
        <v>3</v>
      </c>
      <c r="I52" s="388">
        <v>4</v>
      </c>
      <c r="J52" s="308"/>
      <c r="K52" s="308"/>
      <c r="L52" s="308"/>
      <c r="M52" s="308"/>
      <c r="N52" s="308"/>
      <c r="O52" s="113"/>
    </row>
    <row r="53" spans="1:39" ht="23">
      <c r="B53" s="113"/>
      <c r="C53" s="116" t="s">
        <v>223</v>
      </c>
      <c r="D53" s="391">
        <f>E11</f>
        <v>0</v>
      </c>
      <c r="E53" s="981">
        <f>I37</f>
        <v>0.18732456332036285</v>
      </c>
      <c r="F53" s="1021">
        <f>$E$4</f>
        <v>0.73640456185534853</v>
      </c>
      <c r="G53" s="1022">
        <f>$E$7</f>
        <v>0.19072975572027132</v>
      </c>
      <c r="H53" s="1022">
        <f>$E$12</f>
        <v>7.2865682424380629E-2</v>
      </c>
      <c r="I53" s="1023">
        <f>$E$17</f>
        <v>0</v>
      </c>
      <c r="J53" s="310"/>
      <c r="K53" s="310"/>
      <c r="L53" s="310"/>
      <c r="M53" s="310"/>
      <c r="N53" s="310"/>
      <c r="O53" s="116"/>
      <c r="AH53" s="28"/>
      <c r="AI53" s="28"/>
      <c r="AJ53" s="28"/>
      <c r="AK53" s="28"/>
      <c r="AL53" s="28"/>
      <c r="AM53" s="28"/>
    </row>
    <row r="54" spans="1:39" ht="23">
      <c r="B54" s="116" t="s">
        <v>223</v>
      </c>
      <c r="C54" s="400" t="s">
        <v>218</v>
      </c>
      <c r="D54" s="398">
        <f>H36</f>
        <v>1</v>
      </c>
      <c r="E54" s="982">
        <f>$E$38*$E$53</f>
        <v>16457.369538580348</v>
      </c>
      <c r="F54" s="1024">
        <f>$H$38*$F$53</f>
        <v>52577.422952721929</v>
      </c>
      <c r="G54" s="982">
        <f>$H$38*G53</f>
        <v>13617.622100151857</v>
      </c>
      <c r="H54" s="982">
        <f>$H$38*H53</f>
        <v>5202.4254085459015</v>
      </c>
      <c r="I54" s="1025">
        <f>$H$38*I53</f>
        <v>0</v>
      </c>
      <c r="J54" s="394"/>
      <c r="K54" s="394"/>
      <c r="L54" s="394"/>
      <c r="M54" s="394"/>
      <c r="N54" s="394"/>
      <c r="O54" s="113"/>
      <c r="W54" s="28"/>
      <c r="X54" s="28"/>
      <c r="Y54" s="28"/>
      <c r="Z54" s="28"/>
      <c r="AA54" s="28"/>
      <c r="AB54" s="28"/>
      <c r="AC54" s="28"/>
      <c r="AE54" s="28"/>
      <c r="AF54" s="28"/>
      <c r="AG54" s="28"/>
      <c r="AH54" s="28"/>
      <c r="AI54" s="28"/>
      <c r="AJ54" s="28"/>
      <c r="AK54" s="28"/>
      <c r="AL54" s="28"/>
      <c r="AM54" s="28"/>
    </row>
    <row r="55" spans="1:39" ht="23">
      <c r="B55" s="116"/>
      <c r="C55" s="400"/>
      <c r="D55" s="398"/>
      <c r="E55" s="982">
        <f>E54*卓尔金历!$L$42</f>
        <v>11458.240605129149</v>
      </c>
      <c r="F55" s="982">
        <f>F54*卓尔金历!$L$42</f>
        <v>36606.382397724054</v>
      </c>
      <c r="G55" s="982">
        <f>G54*卓尔金历!$L$42</f>
        <v>9481.1014680979169</v>
      </c>
      <c r="H55" s="982">
        <f>H54*卓尔金历!$L$42</f>
        <v>3622.124539502709</v>
      </c>
      <c r="I55" s="982">
        <f>I54*卓尔金历!$L$42</f>
        <v>0</v>
      </c>
      <c r="J55" s="394"/>
      <c r="K55" s="394"/>
      <c r="L55" s="394"/>
      <c r="M55" s="394"/>
      <c r="N55" s="394"/>
      <c r="O55" s="113"/>
      <c r="W55" s="28"/>
      <c r="X55" s="28"/>
      <c r="Y55" s="28"/>
      <c r="Z55" s="28"/>
      <c r="AA55" s="28"/>
      <c r="AB55" s="28"/>
      <c r="AC55" s="28"/>
      <c r="AE55" s="28"/>
      <c r="AF55" s="28"/>
      <c r="AG55" s="28"/>
      <c r="AH55" s="28"/>
      <c r="AI55" s="28"/>
      <c r="AJ55" s="28"/>
      <c r="AK55" s="28"/>
      <c r="AL55" s="28"/>
      <c r="AM55" s="28"/>
    </row>
    <row r="56" spans="1:39" ht="23">
      <c r="B56" s="113"/>
      <c r="C56" s="400" t="s">
        <v>230</v>
      </c>
      <c r="D56" s="400" t="s">
        <v>230</v>
      </c>
      <c r="E56" s="983"/>
      <c r="F56" s="1026"/>
      <c r="G56" s="983">
        <f>14065+800</f>
        <v>14865</v>
      </c>
      <c r="H56" s="983">
        <f>5041+537</f>
        <v>5578</v>
      </c>
      <c r="I56" s="1027">
        <f>2376+100</f>
        <v>2476</v>
      </c>
      <c r="J56" s="311"/>
      <c r="K56" s="311"/>
      <c r="L56" s="311"/>
      <c r="M56" s="311"/>
      <c r="N56" s="311"/>
      <c r="O56" s="116"/>
      <c r="W56" s="28"/>
      <c r="X56" s="28"/>
      <c r="Y56" s="28"/>
      <c r="Z56" s="28"/>
      <c r="AA56" s="28"/>
      <c r="AB56" s="28"/>
      <c r="AC56" s="28"/>
      <c r="AE56" s="28"/>
      <c r="AF56" s="28"/>
      <c r="AG56" s="28"/>
      <c r="AH56" s="28"/>
      <c r="AI56" s="28"/>
      <c r="AJ56" s="28"/>
      <c r="AK56" s="28"/>
      <c r="AL56" s="28"/>
      <c r="AM56" s="28"/>
    </row>
    <row r="57" spans="1:39" ht="24" thickBot="1">
      <c r="B57" s="116" t="s">
        <v>223</v>
      </c>
      <c r="C57" s="400" t="s">
        <v>226</v>
      </c>
      <c r="D57" s="400" t="s">
        <v>226</v>
      </c>
      <c r="E57" s="1028">
        <f>E55-E56</f>
        <v>11458.240605129149</v>
      </c>
      <c r="F57" s="1028">
        <f>F55-F56</f>
        <v>36606.382397724054</v>
      </c>
      <c r="G57" s="1028">
        <f t="shared" ref="G57:I57" si="8">G55-G56</f>
        <v>-5383.8985319020831</v>
      </c>
      <c r="H57" s="1028">
        <f t="shared" si="8"/>
        <v>-1955.875460497291</v>
      </c>
      <c r="I57" s="1028">
        <f t="shared" si="8"/>
        <v>-2476</v>
      </c>
      <c r="J57" s="399"/>
      <c r="K57" s="399"/>
      <c r="L57" s="399"/>
      <c r="M57" s="399"/>
      <c r="N57" s="399"/>
      <c r="O57" s="113"/>
      <c r="W57" s="28"/>
      <c r="X57" s="28"/>
      <c r="Y57" s="28"/>
      <c r="Z57" s="28"/>
      <c r="AA57" s="28"/>
      <c r="AB57" s="28"/>
      <c r="AC57" s="28"/>
      <c r="AE57" s="28"/>
      <c r="AF57" s="28"/>
      <c r="AG57" s="28"/>
      <c r="AH57" s="28"/>
      <c r="AI57" s="28"/>
      <c r="AJ57" s="28"/>
      <c r="AK57" s="28"/>
      <c r="AL57" s="28"/>
      <c r="AM57" s="28"/>
    </row>
    <row r="58" spans="1:39">
      <c r="B58" s="113"/>
      <c r="C58" s="116" t="s">
        <v>223</v>
      </c>
      <c r="D58" s="113"/>
      <c r="E58" s="116"/>
      <c r="F58" s="113"/>
      <c r="G58" s="405"/>
      <c r="H58" s="113"/>
      <c r="I58" s="116"/>
      <c r="J58" s="113"/>
      <c r="K58" s="116"/>
      <c r="L58" s="113"/>
      <c r="M58" s="116"/>
      <c r="N58" s="113"/>
      <c r="O58" s="116"/>
      <c r="W58" s="28"/>
      <c r="X58" s="28"/>
      <c r="Y58" s="28"/>
      <c r="Z58" s="857"/>
      <c r="AA58" s="857"/>
      <c r="AB58" s="28"/>
      <c r="AC58" s="28"/>
      <c r="AE58" s="28"/>
      <c r="AF58" s="28"/>
      <c r="AG58" s="28"/>
      <c r="AH58" s="28"/>
      <c r="AI58" s="28"/>
      <c r="AJ58" s="28"/>
      <c r="AK58" s="28"/>
      <c r="AL58" s="28"/>
      <c r="AM58" s="28"/>
    </row>
    <row r="59" spans="1:39">
      <c r="A59" s="137"/>
      <c r="B59" s="137"/>
      <c r="C59" s="137"/>
      <c r="D59" s="137"/>
      <c r="E59" s="137"/>
      <c r="F59" s="137"/>
      <c r="G59" s="137"/>
      <c r="H59" s="137"/>
      <c r="I59" s="137"/>
      <c r="J59" s="137"/>
      <c r="K59" s="137"/>
      <c r="L59" s="137"/>
      <c r="M59" s="137"/>
    </row>
    <row r="60" spans="1:39">
      <c r="B60" s="113"/>
      <c r="C60" s="116" t="s">
        <v>223</v>
      </c>
      <c r="D60" s="113"/>
      <c r="E60" s="116"/>
      <c r="F60" s="113"/>
      <c r="G60" s="116"/>
      <c r="H60" s="113"/>
      <c r="I60" s="116"/>
      <c r="J60" s="113"/>
      <c r="K60" s="116"/>
      <c r="L60" s="113"/>
      <c r="M60" s="116"/>
      <c r="N60" s="113"/>
      <c r="O60" s="116"/>
    </row>
    <row r="61" spans="1:39">
      <c r="B61" s="116" t="s">
        <v>223</v>
      </c>
      <c r="C61" s="403" t="s">
        <v>227</v>
      </c>
      <c r="D61" s="116" t="s">
        <v>223</v>
      </c>
      <c r="E61" s="308">
        <v>1</v>
      </c>
      <c r="F61" s="308">
        <v>2</v>
      </c>
      <c r="G61" s="308">
        <v>3</v>
      </c>
      <c r="H61" s="308">
        <v>4</v>
      </c>
      <c r="I61" s="308">
        <v>5</v>
      </c>
      <c r="J61" s="308">
        <v>6</v>
      </c>
      <c r="K61" s="308">
        <v>7</v>
      </c>
      <c r="L61" s="308">
        <v>8</v>
      </c>
      <c r="M61" s="308">
        <v>9</v>
      </c>
      <c r="N61" s="308">
        <v>10</v>
      </c>
      <c r="O61" s="113"/>
    </row>
    <row r="62" spans="1:39">
      <c r="B62" s="113"/>
      <c r="C62" s="116" t="s">
        <v>223</v>
      </c>
      <c r="D62" s="113"/>
      <c r="E62" s="387">
        <v>1</v>
      </c>
      <c r="F62" s="387">
        <f t="shared" ref="F62:N62" si="9">E62*(1-$E$63)</f>
        <v>0.25</v>
      </c>
      <c r="G62" s="387">
        <f t="shared" si="9"/>
        <v>6.25E-2</v>
      </c>
      <c r="H62" s="387">
        <f t="shared" si="9"/>
        <v>1.5625E-2</v>
      </c>
      <c r="I62" s="387">
        <f t="shared" si="9"/>
        <v>3.90625E-3</v>
      </c>
      <c r="J62" s="387">
        <f t="shared" si="9"/>
        <v>9.765625E-4</v>
      </c>
      <c r="K62" s="387">
        <f t="shared" si="9"/>
        <v>2.44140625E-4</v>
      </c>
      <c r="L62" s="387">
        <f t="shared" si="9"/>
        <v>6.103515625E-5</v>
      </c>
      <c r="M62" s="387">
        <f t="shared" si="9"/>
        <v>1.52587890625E-5</v>
      </c>
      <c r="N62" s="387">
        <f t="shared" si="9"/>
        <v>3.814697265625E-6</v>
      </c>
      <c r="O62" s="116"/>
      <c r="AH62" s="28"/>
      <c r="AI62" s="28"/>
      <c r="AJ62" s="28"/>
      <c r="AK62" s="28"/>
      <c r="AL62" s="28"/>
      <c r="AM62" s="28"/>
    </row>
    <row r="63" spans="1:39">
      <c r="B63" s="116" t="s">
        <v>223</v>
      </c>
      <c r="C63" s="113"/>
      <c r="D63" s="392" t="s">
        <v>217</v>
      </c>
      <c r="E63" s="118">
        <v>0.75</v>
      </c>
      <c r="F63" s="387">
        <f t="shared" ref="F63:N63" si="10">F62*$E$63</f>
        <v>0.1875</v>
      </c>
      <c r="G63" s="387">
        <f t="shared" si="10"/>
        <v>4.6875E-2</v>
      </c>
      <c r="H63" s="387">
        <f t="shared" si="10"/>
        <v>1.171875E-2</v>
      </c>
      <c r="I63" s="387">
        <f t="shared" si="10"/>
        <v>2.9296875E-3</v>
      </c>
      <c r="J63" s="387">
        <f t="shared" si="10"/>
        <v>7.32421875E-4</v>
      </c>
      <c r="K63" s="387">
        <f t="shared" si="10"/>
        <v>1.8310546875E-4</v>
      </c>
      <c r="L63" s="387">
        <f t="shared" si="10"/>
        <v>4.57763671875E-5</v>
      </c>
      <c r="M63" s="387">
        <f t="shared" si="10"/>
        <v>1.1444091796875E-5</v>
      </c>
      <c r="N63" s="387">
        <f t="shared" si="10"/>
        <v>2.86102294921875E-6</v>
      </c>
      <c r="O63" s="113"/>
      <c r="W63" s="28"/>
      <c r="X63" s="28"/>
      <c r="Y63" s="28"/>
      <c r="Z63" s="28"/>
      <c r="AA63" s="28"/>
      <c r="AB63" s="28"/>
      <c r="AC63" s="28"/>
      <c r="AE63" s="28"/>
      <c r="AF63" s="28"/>
      <c r="AG63" s="28"/>
      <c r="AH63" s="28"/>
      <c r="AI63" s="28"/>
      <c r="AJ63" s="28"/>
      <c r="AK63" s="28"/>
      <c r="AL63" s="28"/>
      <c r="AM63" s="28"/>
    </row>
    <row r="64" spans="1:39">
      <c r="B64" s="113"/>
      <c r="C64" s="116" t="s">
        <v>223</v>
      </c>
      <c r="D64" s="391">
        <v>3</v>
      </c>
      <c r="E64" s="310">
        <f t="shared" ref="E64:N64" si="11">_xlfn.IFS(E61&lt;$D64,E63,E61=$D64,E62,E61&gt;$D64,0)</f>
        <v>0.75</v>
      </c>
      <c r="F64" s="310">
        <f t="shared" si="11"/>
        <v>0.1875</v>
      </c>
      <c r="G64" s="310">
        <f t="shared" si="11"/>
        <v>6.25E-2</v>
      </c>
      <c r="H64" s="310">
        <f t="shared" si="11"/>
        <v>0</v>
      </c>
      <c r="I64" s="310">
        <f t="shared" si="11"/>
        <v>0</v>
      </c>
      <c r="J64" s="310">
        <f t="shared" si="11"/>
        <v>0</v>
      </c>
      <c r="K64" s="310">
        <f t="shared" si="11"/>
        <v>0</v>
      </c>
      <c r="L64" s="310">
        <f t="shared" si="11"/>
        <v>0</v>
      </c>
      <c r="M64" s="310">
        <f t="shared" si="11"/>
        <v>0</v>
      </c>
      <c r="N64" s="310">
        <f t="shared" si="11"/>
        <v>0</v>
      </c>
      <c r="O64" s="116"/>
      <c r="W64" s="28"/>
      <c r="X64" s="28"/>
      <c r="Y64" s="28"/>
      <c r="Z64" s="28"/>
      <c r="AA64" s="28"/>
      <c r="AB64" s="28"/>
      <c r="AC64" s="28"/>
      <c r="AE64" s="28"/>
      <c r="AF64" s="28"/>
      <c r="AG64" s="28"/>
      <c r="AH64" s="28"/>
      <c r="AI64" s="28"/>
      <c r="AJ64" s="28"/>
      <c r="AK64" s="28"/>
      <c r="AL64" s="28"/>
      <c r="AM64" s="28"/>
    </row>
    <row r="65" spans="1:44">
      <c r="B65" s="116" t="s">
        <v>223</v>
      </c>
      <c r="C65" s="400" t="s">
        <v>218</v>
      </c>
      <c r="D65" s="398">
        <f>H38</f>
        <v>71397.470461419653</v>
      </c>
      <c r="E65" s="394">
        <f>$D$65*E64</f>
        <v>53548.102846064736</v>
      </c>
      <c r="F65" s="394">
        <f t="shared" ref="F65:N65" si="12">$D$65*F64</f>
        <v>13387.025711516184</v>
      </c>
      <c r="G65" s="394">
        <f t="shared" si="12"/>
        <v>4462.3419038387283</v>
      </c>
      <c r="H65" s="394">
        <f t="shared" si="12"/>
        <v>0</v>
      </c>
      <c r="I65" s="394">
        <f t="shared" si="12"/>
        <v>0</v>
      </c>
      <c r="J65" s="394">
        <f t="shared" si="12"/>
        <v>0</v>
      </c>
      <c r="K65" s="394">
        <f t="shared" si="12"/>
        <v>0</v>
      </c>
      <c r="L65" s="394">
        <f t="shared" si="12"/>
        <v>0</v>
      </c>
      <c r="M65" s="394">
        <f t="shared" si="12"/>
        <v>0</v>
      </c>
      <c r="N65" s="394">
        <f t="shared" si="12"/>
        <v>0</v>
      </c>
      <c r="O65" s="113"/>
      <c r="W65" s="28"/>
      <c r="X65" s="28"/>
      <c r="Y65" s="28"/>
      <c r="Z65" s="28"/>
      <c r="AA65" s="28"/>
      <c r="AB65" s="28"/>
      <c r="AC65" s="28"/>
      <c r="AE65" s="28"/>
      <c r="AF65" s="28"/>
      <c r="AG65" s="28"/>
      <c r="AH65" s="28"/>
      <c r="AI65" s="28"/>
      <c r="AJ65" s="28"/>
      <c r="AK65" s="28"/>
      <c r="AL65" s="28"/>
      <c r="AM65" s="28"/>
    </row>
    <row r="66" spans="1:44">
      <c r="B66" s="113"/>
      <c r="C66" s="400" t="s">
        <v>230</v>
      </c>
      <c r="D66" s="400" t="s">
        <v>230</v>
      </c>
      <c r="E66" s="311">
        <f>67991-453</f>
        <v>67538</v>
      </c>
      <c r="F66" s="311">
        <f>16226+613</f>
        <v>16839</v>
      </c>
      <c r="G66" s="311">
        <f>5081+540</f>
        <v>5621</v>
      </c>
      <c r="H66" s="311"/>
      <c r="I66" s="311"/>
      <c r="J66" s="311"/>
      <c r="K66" s="311"/>
      <c r="L66" s="311"/>
      <c r="M66" s="311"/>
      <c r="N66" s="311"/>
      <c r="O66" s="116"/>
      <c r="W66" s="28"/>
      <c r="X66" s="28"/>
      <c r="Y66" s="28"/>
      <c r="Z66" s="857"/>
      <c r="AA66" s="857"/>
      <c r="AB66" s="28"/>
      <c r="AC66" s="28"/>
      <c r="AE66" s="28"/>
      <c r="AF66" s="28"/>
      <c r="AG66" s="28"/>
      <c r="AH66" s="28"/>
      <c r="AI66" s="28"/>
      <c r="AJ66" s="28"/>
      <c r="AK66" s="28"/>
      <c r="AL66" s="28"/>
      <c r="AM66" s="28"/>
    </row>
    <row r="67" spans="1:44">
      <c r="B67" s="116" t="s">
        <v>223</v>
      </c>
      <c r="C67" s="400" t="s">
        <v>226</v>
      </c>
      <c r="D67" s="400" t="s">
        <v>226</v>
      </c>
      <c r="E67" s="399">
        <f t="shared" ref="E67:N67" si="13">E65-E66</f>
        <v>-13989.897153935264</v>
      </c>
      <c r="F67" s="399">
        <f t="shared" si="13"/>
        <v>-3451.9742884838161</v>
      </c>
      <c r="G67" s="399">
        <f t="shared" si="13"/>
        <v>-1158.6580961612717</v>
      </c>
      <c r="H67" s="399">
        <f t="shared" si="13"/>
        <v>0</v>
      </c>
      <c r="I67" s="399">
        <f t="shared" si="13"/>
        <v>0</v>
      </c>
      <c r="J67" s="399">
        <f t="shared" si="13"/>
        <v>0</v>
      </c>
      <c r="K67" s="399">
        <f t="shared" si="13"/>
        <v>0</v>
      </c>
      <c r="L67" s="399">
        <f t="shared" si="13"/>
        <v>0</v>
      </c>
      <c r="M67" s="399">
        <f t="shared" si="13"/>
        <v>0</v>
      </c>
      <c r="N67" s="399">
        <f t="shared" si="13"/>
        <v>0</v>
      </c>
      <c r="O67" s="113"/>
      <c r="W67" s="28"/>
      <c r="X67" s="28"/>
      <c r="Y67" s="28"/>
      <c r="Z67" s="857"/>
      <c r="AA67" s="857"/>
      <c r="AB67" s="28"/>
      <c r="AC67" s="28"/>
      <c r="AE67" s="28"/>
      <c r="AF67" s="28"/>
      <c r="AG67" s="28"/>
      <c r="AH67" s="28"/>
      <c r="AI67" s="28"/>
      <c r="AJ67" s="28"/>
      <c r="AK67" s="28"/>
      <c r="AL67" s="28"/>
      <c r="AM67" s="28"/>
    </row>
    <row r="68" spans="1:44">
      <c r="B68" s="113"/>
      <c r="C68" s="116" t="s">
        <v>223</v>
      </c>
      <c r="D68" s="113"/>
      <c r="E68" s="116"/>
      <c r="F68" s="113"/>
      <c r="G68" s="405"/>
      <c r="H68" s="113"/>
      <c r="I68" s="116"/>
      <c r="J68" s="113"/>
      <c r="K68" s="116"/>
      <c r="L68" s="113"/>
      <c r="M68" s="116"/>
      <c r="N68" s="113"/>
      <c r="O68" s="116"/>
      <c r="W68" s="28"/>
      <c r="X68" s="28"/>
      <c r="Y68" s="28"/>
      <c r="Z68" s="857"/>
      <c r="AA68" s="857"/>
      <c r="AB68" s="28"/>
      <c r="AC68" s="28"/>
      <c r="AE68" s="28"/>
      <c r="AF68" s="28"/>
      <c r="AG68" s="28"/>
      <c r="AH68" s="28"/>
      <c r="AI68" s="28"/>
      <c r="AJ68" s="28"/>
      <c r="AK68" s="28"/>
      <c r="AL68" s="28"/>
      <c r="AM68" s="28"/>
    </row>
    <row r="69" spans="1:44">
      <c r="A69" s="137"/>
      <c r="B69" s="137"/>
      <c r="C69" s="137"/>
      <c r="D69" s="137"/>
      <c r="E69" s="137"/>
      <c r="F69" s="137"/>
      <c r="G69" s="137"/>
      <c r="H69" s="137"/>
      <c r="I69" s="137"/>
      <c r="J69" s="137"/>
      <c r="K69" s="137"/>
      <c r="L69" s="137"/>
      <c r="M69" s="137"/>
      <c r="AB69" s="28"/>
      <c r="AC69" s="28"/>
      <c r="AE69" s="28"/>
      <c r="AF69" s="28"/>
      <c r="AG69" s="28"/>
      <c r="AH69" s="28"/>
      <c r="AI69" s="28"/>
      <c r="AJ69" s="28"/>
      <c r="AK69" s="28"/>
      <c r="AL69" s="28"/>
      <c r="AM69" s="28"/>
      <c r="AN69" s="28"/>
      <c r="AO69" s="28"/>
      <c r="AP69" s="28"/>
      <c r="AQ69" s="28"/>
      <c r="AR69" s="28"/>
    </row>
    <row r="70" spans="1:44">
      <c r="A70" s="137"/>
      <c r="B70" s="137"/>
      <c r="C70" s="137"/>
      <c r="D70" s="137"/>
      <c r="E70" s="137"/>
      <c r="F70" s="137"/>
      <c r="G70" s="137"/>
      <c r="H70" s="137"/>
      <c r="I70" s="137"/>
      <c r="J70" s="137"/>
      <c r="K70" s="137"/>
      <c r="L70" s="137"/>
      <c r="M70" s="137"/>
      <c r="AB70" s="28"/>
      <c r="AC70" s="28"/>
      <c r="AE70" s="28"/>
      <c r="AF70" s="28"/>
      <c r="AG70" s="28"/>
      <c r="AH70" s="28"/>
      <c r="AI70" s="28"/>
      <c r="AJ70" s="28"/>
      <c r="AK70" s="28"/>
      <c r="AL70" s="28"/>
      <c r="AM70" s="28"/>
      <c r="AN70" s="28"/>
      <c r="AO70" s="28"/>
      <c r="AP70" s="28"/>
      <c r="AQ70" s="28"/>
      <c r="AR70" s="28"/>
    </row>
    <row r="71" spans="1:44">
      <c r="B71" s="113"/>
      <c r="C71" s="116" t="s">
        <v>223</v>
      </c>
      <c r="D71" s="113"/>
      <c r="E71" s="116"/>
      <c r="F71" s="113"/>
      <c r="G71" s="116"/>
      <c r="H71" s="113"/>
      <c r="I71" s="116"/>
      <c r="J71" s="113"/>
      <c r="K71" s="116"/>
      <c r="L71" s="113"/>
      <c r="M71" s="116"/>
      <c r="N71" s="113"/>
      <c r="O71" s="116"/>
      <c r="W71" s="28"/>
      <c r="X71" s="28"/>
      <c r="Y71" s="28"/>
      <c r="Z71" s="28"/>
      <c r="AA71" s="28"/>
      <c r="AB71" s="28"/>
      <c r="AC71" s="28"/>
      <c r="AE71" s="28"/>
      <c r="AF71" s="28"/>
      <c r="AG71" s="28"/>
      <c r="AH71" s="28"/>
      <c r="AI71" s="28"/>
      <c r="AJ71" s="28"/>
      <c r="AK71" s="28"/>
      <c r="AL71" s="28"/>
      <c r="AM71" s="28"/>
    </row>
    <row r="72" spans="1:44">
      <c r="B72" s="116" t="s">
        <v>223</v>
      </c>
      <c r="C72" s="406" t="s">
        <v>228</v>
      </c>
      <c r="D72" s="116" t="s">
        <v>223</v>
      </c>
      <c r="E72" s="308">
        <v>1</v>
      </c>
      <c r="F72" s="308">
        <v>2</v>
      </c>
      <c r="G72" s="308">
        <v>3</v>
      </c>
      <c r="H72" s="308">
        <v>4</v>
      </c>
      <c r="I72" s="308">
        <v>5</v>
      </c>
      <c r="J72" s="308">
        <v>6</v>
      </c>
      <c r="K72" s="308">
        <v>7</v>
      </c>
      <c r="L72" s="308">
        <v>8</v>
      </c>
      <c r="M72" s="308">
        <v>9</v>
      </c>
      <c r="N72" s="308">
        <v>10</v>
      </c>
      <c r="O72" s="113"/>
      <c r="W72" s="28"/>
      <c r="X72" s="28"/>
      <c r="Y72" s="28"/>
      <c r="Z72" s="28"/>
      <c r="AA72" s="28"/>
      <c r="AB72" s="28"/>
      <c r="AC72" s="28"/>
      <c r="AE72" s="28"/>
      <c r="AF72" s="28"/>
      <c r="AG72" s="28"/>
      <c r="AH72" s="28"/>
      <c r="AI72" s="28"/>
      <c r="AJ72" s="28"/>
      <c r="AK72" s="28"/>
      <c r="AL72" s="28"/>
      <c r="AM72" s="28"/>
    </row>
    <row r="73" spans="1:44">
      <c r="B73" s="113"/>
      <c r="C73" s="116" t="s">
        <v>223</v>
      </c>
      <c r="D73" s="113"/>
      <c r="E73" s="387">
        <v>1</v>
      </c>
      <c r="F73" s="387">
        <f t="shared" ref="F73:N73" si="14">E73*(1-$E$63)</f>
        <v>0.25</v>
      </c>
      <c r="G73" s="387">
        <f t="shared" si="14"/>
        <v>6.25E-2</v>
      </c>
      <c r="H73" s="387">
        <f t="shared" si="14"/>
        <v>1.5625E-2</v>
      </c>
      <c r="I73" s="387">
        <f t="shared" si="14"/>
        <v>3.90625E-3</v>
      </c>
      <c r="J73" s="387">
        <f t="shared" si="14"/>
        <v>9.765625E-4</v>
      </c>
      <c r="K73" s="387">
        <f t="shared" si="14"/>
        <v>2.44140625E-4</v>
      </c>
      <c r="L73" s="387">
        <f t="shared" si="14"/>
        <v>6.103515625E-5</v>
      </c>
      <c r="M73" s="387">
        <f t="shared" si="14"/>
        <v>1.52587890625E-5</v>
      </c>
      <c r="N73" s="387">
        <f t="shared" si="14"/>
        <v>3.814697265625E-6</v>
      </c>
      <c r="O73" s="116"/>
      <c r="W73" s="28"/>
      <c r="X73" s="28"/>
      <c r="Y73" s="28"/>
      <c r="Z73" s="28"/>
      <c r="AA73" s="28"/>
      <c r="AB73" s="28"/>
      <c r="AC73" s="28"/>
      <c r="AE73" s="28"/>
      <c r="AF73" s="28"/>
      <c r="AG73" s="28"/>
      <c r="AH73" s="28"/>
      <c r="AI73" s="28"/>
      <c r="AJ73" s="28"/>
      <c r="AK73" s="28"/>
      <c r="AL73" s="28"/>
      <c r="AM73" s="28"/>
    </row>
    <row r="74" spans="1:44">
      <c r="B74" s="116" t="s">
        <v>223</v>
      </c>
      <c r="C74" s="113"/>
      <c r="D74" s="392" t="s">
        <v>217</v>
      </c>
      <c r="E74" s="118">
        <v>0.75</v>
      </c>
      <c r="F74" s="387">
        <f t="shared" ref="F74:N74" si="15">F73*$E$63</f>
        <v>0.1875</v>
      </c>
      <c r="G74" s="387">
        <f t="shared" si="15"/>
        <v>4.6875E-2</v>
      </c>
      <c r="H74" s="387">
        <f t="shared" si="15"/>
        <v>1.171875E-2</v>
      </c>
      <c r="I74" s="387">
        <f t="shared" si="15"/>
        <v>2.9296875E-3</v>
      </c>
      <c r="J74" s="387">
        <f t="shared" si="15"/>
        <v>7.32421875E-4</v>
      </c>
      <c r="K74" s="387">
        <f t="shared" si="15"/>
        <v>1.8310546875E-4</v>
      </c>
      <c r="L74" s="387">
        <f t="shared" si="15"/>
        <v>4.57763671875E-5</v>
      </c>
      <c r="M74" s="387">
        <f t="shared" si="15"/>
        <v>1.1444091796875E-5</v>
      </c>
      <c r="N74" s="387">
        <f t="shared" si="15"/>
        <v>2.86102294921875E-6</v>
      </c>
      <c r="O74" s="113"/>
      <c r="X74" s="137"/>
      <c r="Y74" s="28"/>
      <c r="AC74"/>
      <c r="AD74"/>
    </row>
    <row r="75" spans="1:44">
      <c r="B75" s="113"/>
      <c r="C75" s="116" t="s">
        <v>223</v>
      </c>
      <c r="D75" s="391">
        <v>2</v>
      </c>
      <c r="E75" s="310">
        <f t="shared" ref="E75:N75" si="16">_xlfn.IFS(E72&lt;$D75,E74,E72=$D75,E73,E72&gt;$D75,0)</f>
        <v>0.75</v>
      </c>
      <c r="F75" s="310">
        <f t="shared" si="16"/>
        <v>0.25</v>
      </c>
      <c r="G75" s="310">
        <f t="shared" si="16"/>
        <v>0</v>
      </c>
      <c r="H75" s="310">
        <f t="shared" si="16"/>
        <v>0</v>
      </c>
      <c r="I75" s="310">
        <f t="shared" si="16"/>
        <v>0</v>
      </c>
      <c r="J75" s="310">
        <f t="shared" si="16"/>
        <v>0</v>
      </c>
      <c r="K75" s="310">
        <f t="shared" si="16"/>
        <v>0</v>
      </c>
      <c r="L75" s="310">
        <f t="shared" si="16"/>
        <v>0</v>
      </c>
      <c r="M75" s="310">
        <f t="shared" si="16"/>
        <v>0</v>
      </c>
      <c r="N75" s="310">
        <f t="shared" si="16"/>
        <v>0</v>
      </c>
      <c r="O75" s="116"/>
      <c r="X75" s="137"/>
      <c r="Y75" s="28"/>
      <c r="AC75"/>
      <c r="AD75"/>
    </row>
    <row r="76" spans="1:44">
      <c r="B76" s="116" t="s">
        <v>223</v>
      </c>
      <c r="C76" s="400" t="s">
        <v>218</v>
      </c>
      <c r="D76" s="398">
        <f>H25</f>
        <v>0</v>
      </c>
      <c r="E76" s="394">
        <f t="shared" ref="E76:N76" si="17">$D$76*E75</f>
        <v>0</v>
      </c>
      <c r="F76" s="394">
        <f t="shared" si="17"/>
        <v>0</v>
      </c>
      <c r="G76" s="394">
        <f t="shared" si="17"/>
        <v>0</v>
      </c>
      <c r="H76" s="394">
        <f t="shared" si="17"/>
        <v>0</v>
      </c>
      <c r="I76" s="394">
        <f t="shared" si="17"/>
        <v>0</v>
      </c>
      <c r="J76" s="394">
        <f t="shared" si="17"/>
        <v>0</v>
      </c>
      <c r="K76" s="394">
        <f t="shared" si="17"/>
        <v>0</v>
      </c>
      <c r="L76" s="394">
        <f t="shared" si="17"/>
        <v>0</v>
      </c>
      <c r="M76" s="394">
        <f t="shared" si="17"/>
        <v>0</v>
      </c>
      <c r="N76" s="394">
        <f t="shared" si="17"/>
        <v>0</v>
      </c>
      <c r="O76" s="113"/>
      <c r="X76" s="137"/>
      <c r="Y76" s="28"/>
      <c r="AC76"/>
      <c r="AD76"/>
    </row>
    <row r="77" spans="1:44">
      <c r="B77" s="113"/>
      <c r="C77" s="400" t="s">
        <v>230</v>
      </c>
      <c r="D77" s="400" t="s">
        <v>230</v>
      </c>
      <c r="E77" s="311">
        <v>24137</v>
      </c>
      <c r="F77" s="311">
        <v>6792.48</v>
      </c>
      <c r="G77" s="311"/>
      <c r="H77" s="311"/>
      <c r="I77" s="311"/>
      <c r="J77" s="311"/>
      <c r="K77" s="311"/>
      <c r="L77" s="311"/>
      <c r="M77" s="311"/>
      <c r="N77" s="311"/>
      <c r="O77" s="116"/>
      <c r="X77" s="137"/>
      <c r="Y77" s="28"/>
      <c r="AC77"/>
      <c r="AD77"/>
    </row>
    <row r="78" spans="1:44">
      <c r="B78" s="116" t="s">
        <v>223</v>
      </c>
      <c r="C78" s="400" t="s">
        <v>226</v>
      </c>
      <c r="D78" s="400" t="s">
        <v>226</v>
      </c>
      <c r="E78" s="399">
        <f t="shared" ref="E78:N78" si="18">E76-E77</f>
        <v>-24137</v>
      </c>
      <c r="F78" s="399">
        <f t="shared" si="18"/>
        <v>-6792.48</v>
      </c>
      <c r="G78" s="399">
        <f t="shared" si="18"/>
        <v>0</v>
      </c>
      <c r="H78" s="399">
        <f t="shared" si="18"/>
        <v>0</v>
      </c>
      <c r="I78" s="399">
        <f t="shared" si="18"/>
        <v>0</v>
      </c>
      <c r="J78" s="399">
        <f t="shared" si="18"/>
        <v>0</v>
      </c>
      <c r="K78" s="399">
        <f t="shared" si="18"/>
        <v>0</v>
      </c>
      <c r="L78" s="399">
        <f t="shared" si="18"/>
        <v>0</v>
      </c>
      <c r="M78" s="399">
        <f t="shared" si="18"/>
        <v>0</v>
      </c>
      <c r="N78" s="399">
        <f t="shared" si="18"/>
        <v>0</v>
      </c>
      <c r="O78" s="113"/>
      <c r="X78" s="137"/>
      <c r="Y78" s="28"/>
      <c r="AC78"/>
      <c r="AD78"/>
    </row>
    <row r="79" spans="1:44">
      <c r="B79" s="113"/>
      <c r="C79" s="400" t="s">
        <v>159</v>
      </c>
      <c r="D79" s="400" t="s">
        <v>159</v>
      </c>
      <c r="E79" s="311">
        <v>0.92200000000000004</v>
      </c>
      <c r="F79" s="311">
        <v>90.373900000000006</v>
      </c>
      <c r="G79" s="311"/>
      <c r="H79" s="311"/>
      <c r="I79" s="311"/>
      <c r="J79" s="311"/>
      <c r="K79" s="311"/>
      <c r="L79" s="311"/>
      <c r="M79" s="311"/>
      <c r="N79" s="311"/>
      <c r="O79" s="116"/>
      <c r="X79" s="137"/>
      <c r="Y79" s="28"/>
      <c r="AC79"/>
      <c r="AD79"/>
    </row>
    <row r="80" spans="1:44">
      <c r="B80" s="116" t="s">
        <v>223</v>
      </c>
      <c r="C80" s="400" t="s">
        <v>229</v>
      </c>
      <c r="D80" s="400" t="s">
        <v>229</v>
      </c>
      <c r="E80" s="770">
        <f t="shared" ref="E80:N80" si="19">E78/E77*E79</f>
        <v>-0.92200000000000004</v>
      </c>
      <c r="F80" s="399">
        <f t="shared" si="19"/>
        <v>-90.373900000000006</v>
      </c>
      <c r="G80" s="399" t="e">
        <f t="shared" si="19"/>
        <v>#DIV/0!</v>
      </c>
      <c r="H80" s="399" t="e">
        <f t="shared" si="19"/>
        <v>#DIV/0!</v>
      </c>
      <c r="I80" s="399" t="e">
        <f t="shared" si="19"/>
        <v>#DIV/0!</v>
      </c>
      <c r="J80" s="399" t="e">
        <f t="shared" si="19"/>
        <v>#DIV/0!</v>
      </c>
      <c r="K80" s="399" t="e">
        <f t="shared" si="19"/>
        <v>#DIV/0!</v>
      </c>
      <c r="L80" s="399" t="e">
        <f t="shared" si="19"/>
        <v>#DIV/0!</v>
      </c>
      <c r="M80" s="399" t="e">
        <f t="shared" si="19"/>
        <v>#DIV/0!</v>
      </c>
      <c r="N80" s="399" t="e">
        <f t="shared" si="19"/>
        <v>#DIV/0!</v>
      </c>
      <c r="O80" s="113"/>
      <c r="X80" s="137"/>
      <c r="Y80" s="28"/>
      <c r="AC80"/>
      <c r="AD80"/>
    </row>
    <row r="81" spans="2:50">
      <c r="B81" s="113"/>
      <c r="C81" s="116" t="s">
        <v>223</v>
      </c>
      <c r="D81" s="113"/>
      <c r="E81" s="116"/>
      <c r="F81" s="113"/>
      <c r="G81" s="405"/>
      <c r="H81" s="113"/>
      <c r="I81" s="116"/>
      <c r="J81" s="113"/>
      <c r="K81" s="116"/>
      <c r="L81" s="113"/>
      <c r="M81" s="116"/>
      <c r="N81" s="113"/>
      <c r="O81" s="116"/>
      <c r="X81" s="137"/>
      <c r="Y81" s="28"/>
      <c r="AC81"/>
      <c r="AD81"/>
    </row>
    <row r="82" spans="2:50">
      <c r="B82" s="137"/>
      <c r="C82" s="137"/>
      <c r="D82" s="137"/>
      <c r="E82" s="137"/>
      <c r="F82" s="137"/>
      <c r="G82" s="137"/>
      <c r="H82" s="137"/>
      <c r="I82" s="137"/>
      <c r="J82" s="137"/>
      <c r="K82" s="137"/>
      <c r="L82" s="137"/>
      <c r="M82" s="137"/>
      <c r="N82" s="137"/>
      <c r="O82" s="137"/>
      <c r="P82" s="137"/>
      <c r="Q82" s="137"/>
      <c r="R82" s="137"/>
      <c r="S82" s="137"/>
      <c r="T82" s="137"/>
      <c r="U82" s="137"/>
      <c r="V82" s="137"/>
    </row>
    <row r="83" spans="2:50" ht="17" thickBot="1">
      <c r="B83" s="137"/>
      <c r="C83" s="137"/>
      <c r="D83" s="137"/>
      <c r="E83" s="137"/>
      <c r="F83" s="137"/>
      <c r="G83" s="137"/>
      <c r="H83" s="137"/>
      <c r="I83" s="137"/>
      <c r="J83" s="137"/>
      <c r="K83" s="137"/>
      <c r="L83" s="137"/>
      <c r="M83" s="137"/>
      <c r="N83" s="137"/>
      <c r="O83" s="137"/>
      <c r="P83" s="137"/>
      <c r="Q83" s="137"/>
      <c r="R83" s="137"/>
      <c r="S83" s="137"/>
      <c r="T83" s="137"/>
      <c r="U83" s="137"/>
      <c r="V83" s="137"/>
      <c r="AE83" s="32"/>
    </row>
    <row r="84" spans="2:50" ht="17" thickBot="1">
      <c r="B84" s="113"/>
      <c r="C84" s="116" t="s">
        <v>223</v>
      </c>
      <c r="D84" s="113"/>
      <c r="E84" s="116" t="s">
        <v>223</v>
      </c>
      <c r="F84" s="113"/>
      <c r="G84" s="116"/>
      <c r="H84" s="113"/>
      <c r="I84" s="116"/>
      <c r="J84" s="113"/>
      <c r="K84" s="116"/>
      <c r="L84" s="113"/>
      <c r="M84" s="116"/>
      <c r="X84" s="804"/>
      <c r="Y84" s="804"/>
      <c r="Z84" s="1223">
        <v>20</v>
      </c>
      <c r="AA84" s="1224"/>
      <c r="AB84" s="1224"/>
      <c r="AC84" s="1225"/>
      <c r="AD84" s="415"/>
      <c r="AE84" s="28"/>
      <c r="AF84" s="28"/>
      <c r="AG84" s="804"/>
      <c r="AH84" s="804"/>
      <c r="AI84" s="1223"/>
      <c r="AJ84" s="1224"/>
      <c r="AK84" s="1224"/>
      <c r="AL84" s="1225"/>
      <c r="AM84" s="415"/>
      <c r="AN84" s="28"/>
      <c r="AW84" s="913"/>
      <c r="AX84" s="914"/>
    </row>
    <row r="85" spans="2:50" ht="17" thickBot="1">
      <c r="B85" s="116" t="s">
        <v>223</v>
      </c>
      <c r="C85" s="113"/>
      <c r="D85" s="116" t="s">
        <v>223</v>
      </c>
      <c r="E85" s="113"/>
      <c r="F85" s="116"/>
      <c r="G85" s="388">
        <v>1</v>
      </c>
      <c r="H85" s="388">
        <v>2</v>
      </c>
      <c r="I85" s="388">
        <v>3</v>
      </c>
      <c r="J85" s="388">
        <v>4</v>
      </c>
      <c r="K85" s="395" t="s">
        <v>214</v>
      </c>
      <c r="L85" s="820">
        <f>SUMPRODUCT(G86:J86,G87:J87)</f>
        <v>100</v>
      </c>
      <c r="M85" s="113"/>
      <c r="X85" s="804"/>
      <c r="Y85" s="1236">
        <v>15</v>
      </c>
      <c r="Z85" s="1237"/>
      <c r="AA85" s="1238"/>
      <c r="AB85" s="1233">
        <v>15</v>
      </c>
      <c r="AC85" s="1234"/>
      <c r="AD85" s="1235"/>
      <c r="AE85" s="806"/>
      <c r="AF85" s="806"/>
      <c r="AG85" s="804"/>
      <c r="AH85" s="1236"/>
      <c r="AI85" s="1237"/>
      <c r="AJ85" s="1238"/>
      <c r="AK85" s="1233"/>
      <c r="AL85" s="1234"/>
      <c r="AM85" s="1235"/>
      <c r="AN85" s="806"/>
      <c r="AW85" s="915"/>
      <c r="AX85" s="914"/>
    </row>
    <row r="86" spans="2:50" ht="17" thickBot="1">
      <c r="B86" s="113"/>
      <c r="C86" s="116"/>
      <c r="D86" s="113"/>
      <c r="E86" s="116"/>
      <c r="F86" s="402">
        <f>SUM(I86:L86)</f>
        <v>7</v>
      </c>
      <c r="G86" s="389">
        <v>1</v>
      </c>
      <c r="H86" s="389">
        <v>2</v>
      </c>
      <c r="I86" s="389">
        <v>3</v>
      </c>
      <c r="J86" s="389">
        <v>4</v>
      </c>
      <c r="K86" s="395" t="s">
        <v>215</v>
      </c>
      <c r="L86" s="821"/>
      <c r="M86" s="116"/>
      <c r="X86" s="804"/>
      <c r="Y86" s="1229">
        <v>10</v>
      </c>
      <c r="Z86" s="1230"/>
      <c r="AA86" s="1231">
        <v>10</v>
      </c>
      <c r="AB86" s="1232"/>
      <c r="AC86" s="1229">
        <v>10</v>
      </c>
      <c r="AD86" s="1230"/>
      <c r="AE86" s="806"/>
      <c r="AF86" s="806"/>
      <c r="AG86" s="804"/>
      <c r="AH86" s="1229"/>
      <c r="AI86" s="1230"/>
      <c r="AJ86" s="1231"/>
      <c r="AK86" s="1232"/>
      <c r="AL86" s="1229"/>
      <c r="AM86" s="1230"/>
      <c r="AN86" s="806"/>
      <c r="AW86" s="915"/>
      <c r="AX86" s="914"/>
    </row>
    <row r="87" spans="2:50" ht="17" thickBot="1">
      <c r="B87" s="116" t="s">
        <v>223</v>
      </c>
      <c r="C87" s="113"/>
      <c r="D87" s="116" t="s">
        <v>223</v>
      </c>
      <c r="E87" s="113"/>
      <c r="F87" s="393">
        <v>1.1000000000000001</v>
      </c>
      <c r="G87" s="310">
        <v>20</v>
      </c>
      <c r="H87" s="310">
        <v>15</v>
      </c>
      <c r="I87" s="310">
        <v>10</v>
      </c>
      <c r="J87" s="310">
        <v>5</v>
      </c>
      <c r="K87" s="395" t="s">
        <v>216</v>
      </c>
      <c r="L87" s="819"/>
      <c r="M87" s="113"/>
      <c r="X87" s="804"/>
      <c r="Y87" s="804"/>
      <c r="Z87" s="418">
        <v>5</v>
      </c>
      <c r="AA87" s="417">
        <v>5</v>
      </c>
      <c r="AB87" s="418">
        <v>5</v>
      </c>
      <c r="AC87" s="417">
        <v>5</v>
      </c>
      <c r="AD87" s="413"/>
      <c r="AE87" s="28"/>
      <c r="AF87" s="28"/>
      <c r="AG87" s="804"/>
      <c r="AH87" s="804"/>
      <c r="AI87" s="418"/>
      <c r="AJ87" s="417"/>
      <c r="AK87" s="418"/>
      <c r="AL87" s="417"/>
      <c r="AM87" s="413"/>
      <c r="AN87" s="28"/>
      <c r="AW87" s="913"/>
      <c r="AX87" s="914"/>
    </row>
    <row r="88" spans="2:50">
      <c r="B88" s="113"/>
      <c r="C88" s="116" t="s">
        <v>223</v>
      </c>
      <c r="D88" s="113"/>
      <c r="E88" s="116" t="s">
        <v>223</v>
      </c>
      <c r="F88" s="113"/>
      <c r="G88" s="116"/>
      <c r="H88" s="113"/>
      <c r="I88" s="116"/>
      <c r="J88" s="113"/>
      <c r="K88" s="116"/>
      <c r="L88" s="113"/>
      <c r="M88" s="116"/>
      <c r="AC88"/>
      <c r="AD88"/>
      <c r="AE88" s="137"/>
      <c r="AF88" s="28"/>
      <c r="AN88" s="137"/>
    </row>
    <row r="89" spans="2:50" ht="17" thickBot="1">
      <c r="B89" s="116" t="s">
        <v>223</v>
      </c>
      <c r="C89" s="113"/>
      <c r="D89" s="116" t="s">
        <v>223</v>
      </c>
      <c r="E89" s="113"/>
      <c r="F89" s="116"/>
      <c r="G89" s="388">
        <v>1</v>
      </c>
      <c r="H89" s="388">
        <v>2</v>
      </c>
      <c r="I89" s="388">
        <v>3</v>
      </c>
      <c r="J89" s="388">
        <v>4</v>
      </c>
      <c r="K89" s="395" t="s">
        <v>214</v>
      </c>
      <c r="L89" s="820">
        <f>SUMPRODUCT(G90:J90,G91:J91)</f>
        <v>100</v>
      </c>
      <c r="M89" s="113"/>
      <c r="X89" s="1226">
        <v>20</v>
      </c>
      <c r="Y89" s="1227"/>
      <c r="Z89" s="1227"/>
      <c r="AA89" s="1228"/>
      <c r="AB89" s="1226">
        <v>20</v>
      </c>
      <c r="AC89" s="1227"/>
      <c r="AD89" s="1227"/>
      <c r="AE89" s="1227"/>
      <c r="AF89" s="806"/>
      <c r="AG89" s="1226"/>
      <c r="AH89" s="1227"/>
      <c r="AI89" s="1227"/>
      <c r="AJ89" s="1228"/>
      <c r="AK89" s="1226"/>
      <c r="AL89" s="1227"/>
      <c r="AM89" s="1227"/>
      <c r="AN89" s="1227"/>
    </row>
    <row r="90" spans="2:50" ht="17" thickBot="1">
      <c r="B90" s="113"/>
      <c r="C90" s="116"/>
      <c r="D90" s="113"/>
      <c r="E90" s="116"/>
      <c r="F90" s="402">
        <f>SUM(I90:L90)</f>
        <v>4</v>
      </c>
      <c r="G90" s="389">
        <v>2</v>
      </c>
      <c r="H90" s="389">
        <v>2</v>
      </c>
      <c r="I90" s="389">
        <v>2</v>
      </c>
      <c r="J90" s="389">
        <v>2</v>
      </c>
      <c r="K90" s="395" t="s">
        <v>215</v>
      </c>
      <c r="L90" s="821"/>
      <c r="M90" s="116"/>
      <c r="X90" s="804"/>
      <c r="Y90" s="1236">
        <v>15</v>
      </c>
      <c r="Z90" s="1237"/>
      <c r="AA90" s="1238"/>
      <c r="AB90" s="1233">
        <v>15</v>
      </c>
      <c r="AC90" s="1234"/>
      <c r="AD90" s="1235"/>
      <c r="AE90" s="806"/>
      <c r="AF90" s="806"/>
      <c r="AG90" s="804"/>
      <c r="AH90" s="1236"/>
      <c r="AI90" s="1237"/>
      <c r="AJ90" s="1238"/>
      <c r="AK90" s="1233"/>
      <c r="AL90" s="1234"/>
      <c r="AM90" s="1235"/>
      <c r="AN90" s="806"/>
    </row>
    <row r="91" spans="2:50" ht="17" thickBot="1">
      <c r="B91" s="116" t="s">
        <v>223</v>
      </c>
      <c r="C91" s="113"/>
      <c r="D91" s="116" t="s">
        <v>223</v>
      </c>
      <c r="E91" s="113"/>
      <c r="F91" s="393">
        <v>1.2</v>
      </c>
      <c r="G91" s="310">
        <v>20</v>
      </c>
      <c r="H91" s="310">
        <v>15</v>
      </c>
      <c r="I91" s="310">
        <v>10</v>
      </c>
      <c r="J91" s="310">
        <v>5</v>
      </c>
      <c r="K91" s="395" t="s">
        <v>216</v>
      </c>
      <c r="L91" s="819"/>
      <c r="M91" s="113"/>
      <c r="X91" s="804"/>
      <c r="Y91" s="804"/>
      <c r="Z91" s="1229">
        <v>10</v>
      </c>
      <c r="AA91" s="1230"/>
      <c r="AB91" s="1231">
        <v>10</v>
      </c>
      <c r="AC91" s="1232"/>
      <c r="AD91"/>
      <c r="AE91" s="137"/>
      <c r="AF91" s="28"/>
      <c r="AG91" s="804"/>
      <c r="AH91" s="804"/>
      <c r="AI91" s="1229"/>
      <c r="AJ91" s="1230"/>
      <c r="AK91" s="1231"/>
      <c r="AL91" s="1232"/>
      <c r="AN91" s="137"/>
    </row>
    <row r="92" spans="2:50" ht="17" thickBot="1">
      <c r="B92" s="113"/>
      <c r="C92" s="116" t="s">
        <v>223</v>
      </c>
      <c r="D92" s="113"/>
      <c r="E92" s="116" t="s">
        <v>223</v>
      </c>
      <c r="F92" s="113"/>
      <c r="G92" s="116"/>
      <c r="H92" s="113"/>
      <c r="I92" s="116"/>
      <c r="J92" s="113"/>
      <c r="K92" s="116"/>
      <c r="L92" s="113"/>
      <c r="M92" s="116"/>
      <c r="X92" s="804"/>
      <c r="Y92" s="804"/>
      <c r="Z92" s="804"/>
      <c r="AA92" s="418">
        <v>5</v>
      </c>
      <c r="AB92" s="417">
        <v>5</v>
      </c>
      <c r="AC92" s="413"/>
      <c r="AD92" s="413"/>
      <c r="AE92" s="28"/>
      <c r="AF92" s="28"/>
      <c r="AG92" s="804"/>
      <c r="AH92" s="804"/>
      <c r="AI92" s="804"/>
      <c r="AJ92" s="418"/>
      <c r="AK92" s="417"/>
      <c r="AL92" s="413"/>
      <c r="AM92" s="413"/>
      <c r="AN92" s="28"/>
    </row>
    <row r="93" spans="2:50">
      <c r="B93" s="116" t="s">
        <v>223</v>
      </c>
      <c r="C93" s="113"/>
      <c r="D93" s="116" t="s">
        <v>223</v>
      </c>
      <c r="E93" s="113"/>
      <c r="F93" s="116"/>
      <c r="G93" s="388">
        <v>1</v>
      </c>
      <c r="H93" s="388">
        <v>2</v>
      </c>
      <c r="I93" s="388">
        <v>3</v>
      </c>
      <c r="J93" s="395" t="s">
        <v>214</v>
      </c>
      <c r="K93" s="820">
        <f>SUMPRODUCT(G94:I94,G95:I95)</f>
        <v>100</v>
      </c>
      <c r="L93" s="116"/>
      <c r="M93" s="113"/>
      <c r="AC93"/>
      <c r="AD93"/>
      <c r="AE93" s="137"/>
      <c r="AF93" s="28"/>
      <c r="AN93" s="137"/>
    </row>
    <row r="94" spans="2:50" ht="17" thickBot="1">
      <c r="B94" s="113"/>
      <c r="C94" s="116"/>
      <c r="D94" s="113"/>
      <c r="E94" s="116"/>
      <c r="F94" s="402">
        <f>SUM(I94:K94)</f>
        <v>3</v>
      </c>
      <c r="G94" s="389">
        <v>2</v>
      </c>
      <c r="H94" s="389">
        <v>2</v>
      </c>
      <c r="I94" s="389">
        <v>3</v>
      </c>
      <c r="J94" s="395" t="s">
        <v>215</v>
      </c>
      <c r="K94" s="821"/>
      <c r="L94" s="113"/>
      <c r="M94" s="116"/>
      <c r="X94" s="1226">
        <v>20</v>
      </c>
      <c r="Y94" s="1227"/>
      <c r="Z94" s="1227"/>
      <c r="AA94" s="1228"/>
      <c r="AB94" s="1226">
        <v>20</v>
      </c>
      <c r="AC94" s="1227"/>
      <c r="AD94" s="1227"/>
      <c r="AE94" s="1227"/>
      <c r="AF94" s="806"/>
      <c r="AG94" s="1226"/>
      <c r="AH94" s="1227"/>
      <c r="AI94" s="1227"/>
      <c r="AJ94" s="1228"/>
      <c r="AK94" s="1226"/>
      <c r="AL94" s="1227"/>
      <c r="AM94" s="1227"/>
      <c r="AN94" s="1227"/>
    </row>
    <row r="95" spans="2:50" ht="17" thickBot="1">
      <c r="B95" s="116" t="s">
        <v>223</v>
      </c>
      <c r="C95" s="113"/>
      <c r="D95" s="116" t="s">
        <v>223</v>
      </c>
      <c r="E95" s="113"/>
      <c r="F95" s="393">
        <v>1.3</v>
      </c>
      <c r="G95" s="310">
        <v>20</v>
      </c>
      <c r="H95" s="310">
        <v>15</v>
      </c>
      <c r="I95" s="310">
        <v>10</v>
      </c>
      <c r="J95" s="395" t="s">
        <v>216</v>
      </c>
      <c r="K95" s="819"/>
      <c r="L95" s="116"/>
      <c r="M95" s="113"/>
      <c r="X95" s="804"/>
      <c r="Y95" s="1236">
        <v>15</v>
      </c>
      <c r="Z95" s="1237"/>
      <c r="AA95" s="1238"/>
      <c r="AB95" s="1233">
        <v>15</v>
      </c>
      <c r="AC95" s="1234"/>
      <c r="AD95" s="1235"/>
      <c r="AE95" s="806"/>
      <c r="AF95" s="806"/>
      <c r="AG95" s="804"/>
      <c r="AH95" s="1236"/>
      <c r="AI95" s="1237"/>
      <c r="AJ95" s="1238"/>
      <c r="AK95" s="1233"/>
      <c r="AL95" s="1234"/>
      <c r="AM95" s="1235"/>
      <c r="AN95" s="806"/>
    </row>
    <row r="96" spans="2:50" ht="17" thickBot="1">
      <c r="B96" s="113"/>
      <c r="C96" s="116" t="s">
        <v>223</v>
      </c>
      <c r="D96" s="113"/>
      <c r="E96" s="116" t="s">
        <v>223</v>
      </c>
      <c r="F96" s="113"/>
      <c r="G96" s="116"/>
      <c r="H96" s="113"/>
      <c r="I96" s="116"/>
      <c r="J96" s="113"/>
      <c r="K96" s="116"/>
      <c r="L96" s="113"/>
      <c r="M96" s="116"/>
      <c r="X96" s="804"/>
      <c r="Y96" s="1229">
        <v>10</v>
      </c>
      <c r="Z96" s="1230"/>
      <c r="AA96" s="1231">
        <v>10</v>
      </c>
      <c r="AB96" s="1232"/>
      <c r="AC96" s="1229">
        <v>10</v>
      </c>
      <c r="AD96" s="1230"/>
      <c r="AE96" s="137"/>
      <c r="AF96" s="28"/>
      <c r="AG96" s="804"/>
      <c r="AH96" s="1229"/>
      <c r="AI96" s="1230"/>
      <c r="AJ96" s="1231"/>
      <c r="AK96" s="1232"/>
      <c r="AL96" s="1229"/>
      <c r="AM96" s="1230"/>
      <c r="AN96" s="137"/>
    </row>
    <row r="97" spans="2:40" ht="17" thickBot="1">
      <c r="B97" s="116" t="s">
        <v>223</v>
      </c>
      <c r="C97" s="113"/>
      <c r="D97" s="116" t="s">
        <v>223</v>
      </c>
      <c r="E97" s="113"/>
      <c r="F97" s="116"/>
      <c r="G97" s="388">
        <v>1</v>
      </c>
      <c r="H97" s="388">
        <v>2</v>
      </c>
      <c r="I97" s="388">
        <v>3</v>
      </c>
      <c r="J97" s="395" t="s">
        <v>214</v>
      </c>
      <c r="K97" s="820">
        <f>SUMPRODUCT(G98:I98,G99:I99)</f>
        <v>100</v>
      </c>
      <c r="L97" s="116"/>
      <c r="M97" s="113"/>
      <c r="Y97" s="412"/>
      <c r="AC97"/>
      <c r="AD97"/>
      <c r="AE97" s="137"/>
      <c r="AF97" s="28"/>
      <c r="AH97" s="412"/>
      <c r="AN97" s="137"/>
    </row>
    <row r="98" spans="2:40" ht="17" thickBot="1">
      <c r="B98" s="113"/>
      <c r="C98" s="116"/>
      <c r="D98" s="113"/>
      <c r="E98" s="116"/>
      <c r="F98" s="402">
        <f>SUM(I98:K98)</f>
        <v>3</v>
      </c>
      <c r="G98" s="389">
        <v>1</v>
      </c>
      <c r="H98" s="389">
        <v>2</v>
      </c>
      <c r="I98" s="389">
        <v>3</v>
      </c>
      <c r="J98" s="395" t="s">
        <v>215</v>
      </c>
      <c r="K98" s="821"/>
      <c r="L98" s="113"/>
      <c r="M98" s="116"/>
      <c r="X98" s="805"/>
      <c r="Y98" s="1223">
        <v>30</v>
      </c>
      <c r="Z98" s="1224"/>
      <c r="AA98" s="1224"/>
      <c r="AB98" s="1224"/>
      <c r="AC98" s="1224"/>
      <c r="AD98" s="1225"/>
      <c r="AE98" s="806"/>
      <c r="AF98" s="806"/>
      <c r="AG98" s="805"/>
      <c r="AH98" s="1223"/>
      <c r="AI98" s="1224"/>
      <c r="AJ98" s="1224"/>
      <c r="AK98" s="1224"/>
      <c r="AL98" s="1224"/>
      <c r="AM98" s="1225"/>
      <c r="AN98" s="806"/>
    </row>
    <row r="99" spans="2:40">
      <c r="B99" s="116" t="s">
        <v>223</v>
      </c>
      <c r="C99" s="113"/>
      <c r="D99" s="116" t="s">
        <v>223</v>
      </c>
      <c r="E99" s="113"/>
      <c r="F99" s="393">
        <v>1.3</v>
      </c>
      <c r="G99" s="310">
        <v>30</v>
      </c>
      <c r="H99" s="310">
        <v>20</v>
      </c>
      <c r="I99" s="310">
        <v>10</v>
      </c>
      <c r="J99" s="395" t="s">
        <v>216</v>
      </c>
      <c r="K99" s="819"/>
      <c r="L99" s="116"/>
      <c r="M99" s="113"/>
      <c r="X99" s="804"/>
      <c r="Y99" s="804"/>
      <c r="Z99" s="1252">
        <v>20</v>
      </c>
      <c r="AA99" s="1239"/>
      <c r="AB99" s="1241">
        <v>20</v>
      </c>
      <c r="AC99" s="1242"/>
      <c r="AD99" s="413"/>
      <c r="AE99" s="28"/>
      <c r="AF99" s="28"/>
      <c r="AG99" s="804"/>
      <c r="AH99" s="804"/>
      <c r="AI99" s="1252"/>
      <c r="AJ99" s="1239"/>
      <c r="AK99" s="1241"/>
      <c r="AL99" s="1242"/>
      <c r="AM99" s="413"/>
      <c r="AN99" s="28"/>
    </row>
    <row r="100" spans="2:40" ht="17" thickBot="1">
      <c r="B100" s="113"/>
      <c r="C100" s="116" t="s">
        <v>223</v>
      </c>
      <c r="D100" s="113"/>
      <c r="E100" s="116" t="s">
        <v>223</v>
      </c>
      <c r="F100" s="113"/>
      <c r="G100" s="116"/>
      <c r="H100" s="113"/>
      <c r="I100" s="116"/>
      <c r="J100" s="113"/>
      <c r="K100" s="116"/>
      <c r="L100" s="113"/>
      <c r="M100" s="116"/>
      <c r="X100" s="804"/>
      <c r="Y100" s="804"/>
      <c r="Z100" s="1253"/>
      <c r="AA100" s="1240"/>
      <c r="AB100" s="1243"/>
      <c r="AC100" s="1244"/>
      <c r="AD100"/>
      <c r="AE100" s="137"/>
      <c r="AF100" s="28"/>
      <c r="AG100" s="804"/>
      <c r="AH100" s="804"/>
      <c r="AI100" s="1253"/>
      <c r="AJ100" s="1240"/>
      <c r="AK100" s="1243"/>
      <c r="AL100" s="1244"/>
      <c r="AN100" s="137"/>
    </row>
    <row r="101" spans="2:40" ht="17" thickBot="1">
      <c r="B101" s="116" t="s">
        <v>223</v>
      </c>
      <c r="C101" s="113"/>
      <c r="D101" s="116" t="s">
        <v>223</v>
      </c>
      <c r="E101" s="113"/>
      <c r="F101" s="116"/>
      <c r="G101" s="388">
        <v>1</v>
      </c>
      <c r="H101" s="388">
        <v>2</v>
      </c>
      <c r="I101" s="388">
        <v>3</v>
      </c>
      <c r="J101" s="395" t="s">
        <v>214</v>
      </c>
      <c r="K101" s="820">
        <f>SUMPRODUCT(G102:I102,G103:I103)</f>
        <v>100</v>
      </c>
      <c r="L101" s="116"/>
      <c r="M101" s="113"/>
      <c r="X101" s="804"/>
      <c r="Y101" s="1247">
        <v>10</v>
      </c>
      <c r="Z101" s="1248"/>
      <c r="AA101" s="1245">
        <v>10</v>
      </c>
      <c r="AB101" s="1246"/>
      <c r="AC101" s="1247">
        <v>10</v>
      </c>
      <c r="AD101" s="1248"/>
      <c r="AE101" s="806"/>
      <c r="AF101" s="806"/>
      <c r="AG101" s="804"/>
      <c r="AH101" s="1247"/>
      <c r="AI101" s="1248"/>
      <c r="AJ101" s="1245"/>
      <c r="AK101" s="1246"/>
      <c r="AL101" s="1247"/>
      <c r="AM101" s="1248"/>
      <c r="AN101" s="806"/>
    </row>
    <row r="102" spans="2:40" ht="17" thickBot="1">
      <c r="B102" s="113"/>
      <c r="C102" s="116"/>
      <c r="D102" s="113"/>
      <c r="E102" s="116"/>
      <c r="F102" s="402">
        <f>SUM(I102:K102)</f>
        <v>2</v>
      </c>
      <c r="G102" s="389">
        <v>1</v>
      </c>
      <c r="H102" s="389">
        <v>2</v>
      </c>
      <c r="I102" s="389">
        <v>2</v>
      </c>
      <c r="J102" s="395" t="s">
        <v>215</v>
      </c>
      <c r="K102" s="821"/>
      <c r="L102" s="113"/>
      <c r="M102" s="116"/>
      <c r="Y102" s="412"/>
      <c r="AC102"/>
      <c r="AD102"/>
      <c r="AE102" s="137"/>
      <c r="AF102" s="28"/>
      <c r="AH102" s="412"/>
      <c r="AN102" s="137"/>
    </row>
    <row r="103" spans="2:40">
      <c r="B103" s="116" t="s">
        <v>223</v>
      </c>
      <c r="C103" s="113"/>
      <c r="D103" s="116" t="s">
        <v>223</v>
      </c>
      <c r="E103" s="113"/>
      <c r="F103" s="393">
        <v>1.3</v>
      </c>
      <c r="G103" s="310">
        <v>40</v>
      </c>
      <c r="H103" s="310">
        <v>20</v>
      </c>
      <c r="I103" s="310">
        <v>10</v>
      </c>
      <c r="J103" s="395" t="s">
        <v>216</v>
      </c>
      <c r="K103" s="819"/>
      <c r="L103" s="116"/>
      <c r="M103" s="113"/>
      <c r="X103" s="804"/>
      <c r="Y103" s="804"/>
      <c r="Z103" s="1249">
        <v>40</v>
      </c>
      <c r="AA103" s="1250"/>
      <c r="AB103" s="1250"/>
      <c r="AC103" s="1251"/>
      <c r="AD103" s="413"/>
      <c r="AE103" s="28"/>
      <c r="AF103" s="28"/>
      <c r="AG103" s="804"/>
      <c r="AH103" s="804"/>
      <c r="AI103" s="1249"/>
      <c r="AJ103" s="1250"/>
      <c r="AK103" s="1250"/>
      <c r="AL103" s="1251"/>
      <c r="AM103" s="413"/>
      <c r="AN103" s="28"/>
    </row>
    <row r="104" spans="2:40" ht="17" thickBot="1">
      <c r="B104" s="113"/>
      <c r="C104" s="116"/>
      <c r="D104" s="113"/>
      <c r="E104" s="116"/>
      <c r="F104" s="113"/>
      <c r="G104" s="116"/>
      <c r="H104" s="113"/>
      <c r="I104" s="116"/>
      <c r="J104" s="113"/>
      <c r="K104" s="116"/>
      <c r="L104" s="113"/>
      <c r="M104" s="116"/>
      <c r="X104" s="804"/>
      <c r="Y104" s="804"/>
      <c r="Z104" s="1226"/>
      <c r="AA104" s="1227"/>
      <c r="AB104" s="1227"/>
      <c r="AC104" s="1228"/>
      <c r="AD104"/>
      <c r="AE104" s="137"/>
      <c r="AF104" s="28"/>
      <c r="AG104" s="804"/>
      <c r="AH104" s="804"/>
      <c r="AI104" s="1226"/>
      <c r="AJ104" s="1227"/>
      <c r="AK104" s="1227"/>
      <c r="AL104" s="1228"/>
      <c r="AN104" s="137"/>
    </row>
    <row r="105" spans="2:40">
      <c r="B105" s="116" t="s">
        <v>223</v>
      </c>
      <c r="C105" s="113"/>
      <c r="D105" s="116" t="s">
        <v>223</v>
      </c>
      <c r="E105" s="113"/>
      <c r="F105" s="116"/>
      <c r="G105" s="388">
        <v>1</v>
      </c>
      <c r="H105" s="388">
        <v>2</v>
      </c>
      <c r="I105" s="388">
        <v>3</v>
      </c>
      <c r="J105" s="388">
        <v>4</v>
      </c>
      <c r="K105" s="395" t="s">
        <v>214</v>
      </c>
      <c r="L105" s="116" t="s">
        <v>223</v>
      </c>
      <c r="M105" s="113"/>
      <c r="X105" s="804"/>
      <c r="Y105" s="804"/>
      <c r="Z105" s="1252">
        <v>20</v>
      </c>
      <c r="AA105" s="1239"/>
      <c r="AB105" s="1241">
        <v>20</v>
      </c>
      <c r="AC105" s="1242"/>
      <c r="AD105" s="413"/>
      <c r="AE105" s="28"/>
      <c r="AF105" s="28"/>
      <c r="AG105" s="804"/>
      <c r="AH105" s="804"/>
      <c r="AI105" s="1252"/>
      <c r="AJ105" s="1239"/>
      <c r="AK105" s="1241"/>
      <c r="AL105" s="1242"/>
      <c r="AM105" s="413"/>
      <c r="AN105" s="28"/>
    </row>
    <row r="106" spans="2:40" ht="17" thickBot="1">
      <c r="B106" s="113"/>
      <c r="C106" s="116"/>
      <c r="D106" s="113"/>
      <c r="E106" s="116"/>
      <c r="F106" s="402">
        <f>SUM(I106:L106)</f>
        <v>2</v>
      </c>
      <c r="G106" s="389">
        <v>1</v>
      </c>
      <c r="H106" s="389">
        <v>1</v>
      </c>
      <c r="I106" s="389">
        <v>1</v>
      </c>
      <c r="J106" s="389">
        <v>1</v>
      </c>
      <c r="K106" s="395" t="s">
        <v>215</v>
      </c>
      <c r="L106" s="113"/>
      <c r="M106" s="116"/>
      <c r="X106" s="804"/>
      <c r="Y106" s="804"/>
      <c r="Z106" s="1253"/>
      <c r="AA106" s="1240"/>
      <c r="AB106" s="1243"/>
      <c r="AC106" s="1244"/>
      <c r="AD106"/>
      <c r="AE106" s="137"/>
      <c r="AF106" s="28"/>
      <c r="AG106" s="804"/>
      <c r="AH106" s="804"/>
      <c r="AI106" s="1253"/>
      <c r="AJ106" s="1240"/>
      <c r="AK106" s="1243"/>
      <c r="AL106" s="1244"/>
      <c r="AN106" s="137"/>
    </row>
    <row r="107" spans="2:40" ht="17" thickBot="1">
      <c r="B107" s="116" t="s">
        <v>223</v>
      </c>
      <c r="C107" s="113"/>
      <c r="D107" s="116" t="s">
        <v>223</v>
      </c>
      <c r="E107" s="113"/>
      <c r="F107" s="396">
        <v>2</v>
      </c>
      <c r="G107" s="310">
        <v>5</v>
      </c>
      <c r="H107" s="310">
        <v>3</v>
      </c>
      <c r="I107" s="310">
        <v>1</v>
      </c>
      <c r="J107" s="310">
        <v>1</v>
      </c>
      <c r="K107" s="395" t="s">
        <v>216</v>
      </c>
      <c r="L107" s="397">
        <f>SUM(G107:J107)</f>
        <v>10</v>
      </c>
      <c r="M107" s="113"/>
      <c r="X107" s="804"/>
      <c r="Y107" s="804"/>
      <c r="Z107" s="1247">
        <v>10</v>
      </c>
      <c r="AA107" s="1248"/>
      <c r="AB107" s="1245">
        <v>10</v>
      </c>
      <c r="AC107" s="1246"/>
      <c r="AD107"/>
      <c r="AE107" s="806"/>
      <c r="AF107" s="806"/>
      <c r="AG107" s="804"/>
      <c r="AH107" s="804"/>
      <c r="AI107" s="1247"/>
      <c r="AJ107" s="1248"/>
      <c r="AK107" s="1245"/>
      <c r="AL107" s="1246"/>
      <c r="AN107" s="806"/>
    </row>
    <row r="108" spans="2:40" ht="17" thickBot="1">
      <c r="B108" s="113"/>
      <c r="C108" s="116"/>
      <c r="D108" s="113"/>
      <c r="E108" s="116"/>
      <c r="F108" s="396">
        <v>3</v>
      </c>
      <c r="G108" s="310">
        <v>4</v>
      </c>
      <c r="H108" s="310">
        <v>4</v>
      </c>
      <c r="I108" s="310">
        <v>1</v>
      </c>
      <c r="J108" s="310">
        <v>1</v>
      </c>
      <c r="K108" s="395" t="s">
        <v>216</v>
      </c>
      <c r="L108" s="397">
        <f>SUM(G108:J108)</f>
        <v>10</v>
      </c>
      <c r="M108" s="116"/>
      <c r="AB108" s="414"/>
      <c r="AC108"/>
      <c r="AD108"/>
      <c r="AE108" s="137"/>
      <c r="AF108" s="28"/>
      <c r="AK108" s="414"/>
      <c r="AN108" s="137"/>
    </row>
    <row r="109" spans="2:40" ht="17" thickBot="1">
      <c r="B109" s="116" t="s">
        <v>223</v>
      </c>
      <c r="C109" s="113"/>
      <c r="D109" s="116" t="s">
        <v>223</v>
      </c>
      <c r="E109" s="113"/>
      <c r="F109" s="396">
        <v>4</v>
      </c>
      <c r="G109" s="310">
        <v>4</v>
      </c>
      <c r="H109" s="310">
        <v>3</v>
      </c>
      <c r="I109" s="310">
        <v>2</v>
      </c>
      <c r="J109" s="310">
        <v>1</v>
      </c>
      <c r="K109" s="395" t="s">
        <v>216</v>
      </c>
      <c r="L109" s="397">
        <f>SUM(G109:J109)</f>
        <v>10</v>
      </c>
      <c r="M109" s="113"/>
      <c r="X109" s="804"/>
      <c r="Y109" s="1249">
        <v>50</v>
      </c>
      <c r="Z109" s="1250"/>
      <c r="AA109" s="407"/>
      <c r="AB109" s="1239">
        <v>30</v>
      </c>
      <c r="AC109" s="416">
        <v>10</v>
      </c>
      <c r="AD109"/>
      <c r="AE109" s="137"/>
      <c r="AF109" s="28"/>
      <c r="AG109" s="804"/>
      <c r="AH109" s="1249"/>
      <c r="AI109" s="1250"/>
      <c r="AJ109" s="407"/>
      <c r="AK109" s="1239"/>
      <c r="AL109" s="416"/>
      <c r="AN109" s="137"/>
    </row>
    <row r="110" spans="2:40" ht="17" thickBot="1">
      <c r="B110" s="113"/>
      <c r="C110" s="116"/>
      <c r="D110" s="113"/>
      <c r="E110" s="116"/>
      <c r="F110" s="113"/>
      <c r="G110" s="116"/>
      <c r="H110" s="113"/>
      <c r="I110" s="116"/>
      <c r="J110" s="113"/>
      <c r="K110" s="116"/>
      <c r="L110" s="113"/>
      <c r="M110" s="116"/>
      <c r="X110" s="804"/>
      <c r="Y110" s="1226"/>
      <c r="Z110" s="1227"/>
      <c r="AA110" s="410"/>
      <c r="AB110" s="1240"/>
      <c r="AC110" s="417">
        <v>10</v>
      </c>
      <c r="AD110"/>
      <c r="AE110" s="137"/>
      <c r="AF110" s="28"/>
      <c r="AG110" s="804"/>
      <c r="AH110" s="1226"/>
      <c r="AI110" s="1227"/>
      <c r="AJ110" s="410"/>
      <c r="AK110" s="1240"/>
      <c r="AL110" s="417"/>
      <c r="AN110" s="137"/>
    </row>
    <row r="111" spans="2:40" ht="17" thickBot="1">
      <c r="B111" s="116" t="s">
        <v>223</v>
      </c>
      <c r="C111" s="113"/>
      <c r="D111" s="116" t="s">
        <v>223</v>
      </c>
      <c r="E111" s="113"/>
      <c r="F111" s="116"/>
      <c r="G111" s="388">
        <v>1</v>
      </c>
      <c r="H111" s="388">
        <v>2</v>
      </c>
      <c r="I111" s="388">
        <v>3</v>
      </c>
      <c r="J111" s="395" t="s">
        <v>214</v>
      </c>
      <c r="K111" s="113"/>
      <c r="L111" s="116" t="s">
        <v>223</v>
      </c>
      <c r="M111" s="113"/>
      <c r="X111" s="804"/>
      <c r="Y111" s="414"/>
      <c r="Z111" s="411"/>
      <c r="AA111" s="411"/>
      <c r="AC111"/>
      <c r="AD111"/>
      <c r="AE111" s="137"/>
      <c r="AF111" s="28"/>
      <c r="AG111" s="804"/>
      <c r="AH111" s="414"/>
      <c r="AI111" s="411"/>
      <c r="AJ111" s="411"/>
      <c r="AN111" s="137"/>
    </row>
    <row r="112" spans="2:40" ht="17" thickBot="1">
      <c r="B112" s="113"/>
      <c r="C112" s="116"/>
      <c r="D112" s="113"/>
      <c r="E112" s="116"/>
      <c r="F112" s="402">
        <f>SUM(I112:K112)</f>
        <v>1</v>
      </c>
      <c r="G112" s="389">
        <v>1</v>
      </c>
      <c r="H112" s="389">
        <v>1</v>
      </c>
      <c r="I112" s="389">
        <v>1</v>
      </c>
      <c r="J112" s="395" t="s">
        <v>215</v>
      </c>
      <c r="K112" s="116"/>
      <c r="L112" s="113"/>
      <c r="M112" s="116"/>
      <c r="X112" s="804"/>
      <c r="Y112" s="1249">
        <v>40</v>
      </c>
      <c r="Z112" s="1251"/>
      <c r="AA112" s="1252">
        <v>40</v>
      </c>
      <c r="AB112" s="1239"/>
      <c r="AC112" s="416">
        <v>10</v>
      </c>
      <c r="AD112"/>
      <c r="AE112" s="137"/>
      <c r="AF112" s="28"/>
      <c r="AG112" s="804"/>
      <c r="AH112" s="1249"/>
      <c r="AI112" s="1251"/>
      <c r="AJ112" s="1252"/>
      <c r="AK112" s="1239"/>
      <c r="AL112" s="416"/>
      <c r="AN112" s="137"/>
    </row>
    <row r="113" spans="2:40" ht="17" thickBot="1">
      <c r="B113" s="116" t="s">
        <v>223</v>
      </c>
      <c r="C113" s="113"/>
      <c r="D113" s="116" t="s">
        <v>223</v>
      </c>
      <c r="E113" s="113"/>
      <c r="F113" s="393">
        <v>5</v>
      </c>
      <c r="G113" s="310">
        <v>6</v>
      </c>
      <c r="H113" s="310">
        <v>3</v>
      </c>
      <c r="I113" s="310">
        <v>1</v>
      </c>
      <c r="J113" s="395" t="s">
        <v>216</v>
      </c>
      <c r="K113" s="397">
        <f>SUM(G113:I113)</f>
        <v>10</v>
      </c>
      <c r="L113" s="116" t="s">
        <v>223</v>
      </c>
      <c r="M113" s="113"/>
      <c r="X113" s="804"/>
      <c r="Y113" s="1226"/>
      <c r="Z113" s="1228"/>
      <c r="AA113" s="1253"/>
      <c r="AB113" s="1240"/>
      <c r="AC113" s="417">
        <v>10</v>
      </c>
      <c r="AD113"/>
      <c r="AE113" s="137"/>
      <c r="AF113" s="28"/>
      <c r="AG113" s="804"/>
      <c r="AH113" s="1226"/>
      <c r="AI113" s="1228"/>
      <c r="AJ113" s="1253"/>
      <c r="AK113" s="1240"/>
      <c r="AL113" s="417"/>
      <c r="AN113" s="137"/>
    </row>
    <row r="114" spans="2:40" ht="17" thickBot="1">
      <c r="B114" s="113"/>
      <c r="C114" s="116"/>
      <c r="D114" s="113"/>
      <c r="E114" s="116"/>
      <c r="F114" s="393">
        <v>6</v>
      </c>
      <c r="G114" s="310">
        <v>5</v>
      </c>
      <c r="H114" s="310">
        <v>4</v>
      </c>
      <c r="I114" s="310">
        <v>1</v>
      </c>
      <c r="J114" s="395" t="s">
        <v>216</v>
      </c>
      <c r="K114" s="397">
        <f>SUM(G114:I114)</f>
        <v>10</v>
      </c>
      <c r="L114" s="113"/>
      <c r="M114" s="116"/>
      <c r="X114" s="804"/>
      <c r="Y114" t="s">
        <v>231</v>
      </c>
      <c r="Z114" s="411"/>
      <c r="AC114"/>
      <c r="AD114"/>
      <c r="AE114" s="137"/>
      <c r="AF114" s="28"/>
      <c r="AG114" s="804"/>
      <c r="AI114" s="411"/>
      <c r="AN114" s="137"/>
    </row>
    <row r="115" spans="2:40" ht="17" thickBot="1">
      <c r="B115" s="116" t="s">
        <v>223</v>
      </c>
      <c r="C115" s="113"/>
      <c r="D115" s="116" t="s">
        <v>223</v>
      </c>
      <c r="E115" s="113"/>
      <c r="F115" s="393">
        <v>7</v>
      </c>
      <c r="G115" s="310">
        <v>5</v>
      </c>
      <c r="H115" s="310">
        <v>3</v>
      </c>
      <c r="I115" s="310">
        <v>2</v>
      </c>
      <c r="J115" s="395" t="s">
        <v>216</v>
      </c>
      <c r="K115" s="397">
        <f>SUM(G115:I115)</f>
        <v>10</v>
      </c>
      <c r="L115" s="116" t="s">
        <v>223</v>
      </c>
      <c r="M115" s="113"/>
      <c r="X115" s="804"/>
      <c r="Y115" s="1249">
        <v>40</v>
      </c>
      <c r="Z115" s="1251"/>
      <c r="AA115" s="1252">
        <v>30</v>
      </c>
      <c r="AB115" s="1247">
        <v>20</v>
      </c>
      <c r="AC115" s="1248"/>
      <c r="AD115"/>
      <c r="AE115" s="137"/>
      <c r="AF115" s="28"/>
      <c r="AG115" s="804"/>
      <c r="AH115" s="1249"/>
      <c r="AI115" s="1251"/>
      <c r="AJ115" s="1252"/>
      <c r="AK115" s="1247"/>
      <c r="AL115" s="1248"/>
      <c r="AN115" s="137"/>
    </row>
    <row r="116" spans="2:40" ht="17" thickBot="1">
      <c r="B116" s="113"/>
      <c r="C116" s="116"/>
      <c r="D116" s="113"/>
      <c r="E116" s="116"/>
      <c r="F116" s="113"/>
      <c r="G116" s="116"/>
      <c r="H116" s="113"/>
      <c r="I116" s="116"/>
      <c r="J116" s="113"/>
      <c r="K116" s="116"/>
      <c r="L116" s="113"/>
      <c r="M116" s="116"/>
      <c r="X116" s="804"/>
      <c r="Y116" s="1226"/>
      <c r="Z116" s="1228"/>
      <c r="AA116" s="1253"/>
      <c r="AB116" s="409"/>
      <c r="AC116" s="417">
        <v>10</v>
      </c>
      <c r="AD116"/>
      <c r="AE116" s="137"/>
      <c r="AF116" s="28"/>
      <c r="AG116" s="804"/>
      <c r="AH116" s="1226"/>
      <c r="AI116" s="1228"/>
      <c r="AJ116" s="1253"/>
      <c r="AK116" s="409"/>
      <c r="AL116" s="417"/>
      <c r="AN116" s="137"/>
    </row>
    <row r="117" spans="2:40" ht="17" thickBot="1">
      <c r="B117" s="116" t="s">
        <v>223</v>
      </c>
      <c r="C117" s="113"/>
      <c r="D117" s="116" t="s">
        <v>223</v>
      </c>
      <c r="E117" s="113"/>
      <c r="F117" s="116"/>
      <c r="G117" s="388">
        <v>1</v>
      </c>
      <c r="H117" s="388">
        <v>2</v>
      </c>
      <c r="I117" s="395" t="s">
        <v>214</v>
      </c>
      <c r="J117" s="116"/>
      <c r="K117" s="113"/>
      <c r="L117" s="116" t="s">
        <v>223</v>
      </c>
      <c r="M117" s="113"/>
      <c r="Z117" s="411"/>
      <c r="AC117"/>
      <c r="AD117"/>
      <c r="AE117" s="137"/>
      <c r="AF117" s="28"/>
      <c r="AI117" s="411"/>
      <c r="AN117" s="137"/>
    </row>
    <row r="118" spans="2:40" ht="17" thickBot="1">
      <c r="B118" s="113"/>
      <c r="C118" s="116"/>
      <c r="D118" s="113"/>
      <c r="E118" s="116"/>
      <c r="F118" s="402">
        <f>SUM(I118:J118)</f>
        <v>0</v>
      </c>
      <c r="G118" s="389">
        <v>1</v>
      </c>
      <c r="H118" s="389">
        <v>1</v>
      </c>
      <c r="I118" s="395" t="s">
        <v>215</v>
      </c>
      <c r="J118" s="113"/>
      <c r="K118" s="116"/>
      <c r="L118" s="113"/>
      <c r="M118" s="116"/>
      <c r="X118" s="803"/>
      <c r="Y118" s="1249">
        <v>60</v>
      </c>
      <c r="Z118" s="1250"/>
      <c r="AA118" s="1251"/>
      <c r="AB118" s="1252">
        <v>30</v>
      </c>
      <c r="AC118" s="416">
        <v>10</v>
      </c>
      <c r="AD118"/>
      <c r="AE118" s="137"/>
      <c r="AF118" s="28"/>
      <c r="AG118" s="803"/>
      <c r="AH118" s="1249"/>
      <c r="AI118" s="1250"/>
      <c r="AJ118" s="1251"/>
      <c r="AK118" s="1252"/>
      <c r="AL118" s="416"/>
      <c r="AN118" s="137"/>
    </row>
    <row r="119" spans="2:40" ht="17" thickBot="1">
      <c r="B119" s="116" t="s">
        <v>223</v>
      </c>
      <c r="C119" s="113"/>
      <c r="D119" s="116" t="s">
        <v>223</v>
      </c>
      <c r="E119" s="113"/>
      <c r="F119" s="393">
        <v>8</v>
      </c>
      <c r="G119" s="310">
        <v>7</v>
      </c>
      <c r="H119" s="310">
        <v>3</v>
      </c>
      <c r="I119" s="395" t="s">
        <v>216</v>
      </c>
      <c r="J119" s="397">
        <f>SUM(G119:H119)</f>
        <v>10</v>
      </c>
      <c r="K119" s="113"/>
      <c r="L119" s="116" t="s">
        <v>223</v>
      </c>
      <c r="M119" s="113"/>
      <c r="X119" s="803"/>
      <c r="Y119" s="1226"/>
      <c r="Z119" s="1227"/>
      <c r="AA119" s="1228"/>
      <c r="AB119" s="1253"/>
      <c r="AC119" s="408"/>
      <c r="AD119"/>
      <c r="AE119" s="137"/>
      <c r="AF119" s="28"/>
      <c r="AG119" s="803"/>
      <c r="AH119" s="1226"/>
      <c r="AI119" s="1227"/>
      <c r="AJ119" s="1228"/>
      <c r="AK119" s="1253"/>
      <c r="AL119" s="408"/>
      <c r="AN119" s="137"/>
    </row>
    <row r="120" spans="2:40" ht="17" thickBot="1">
      <c r="B120" s="113"/>
      <c r="C120" s="116"/>
      <c r="D120" s="113"/>
      <c r="E120" s="116"/>
      <c r="F120" s="393">
        <v>9</v>
      </c>
      <c r="G120" s="310">
        <v>6</v>
      </c>
      <c r="H120" s="310">
        <v>4</v>
      </c>
      <c r="I120" s="395" t="s">
        <v>216</v>
      </c>
      <c r="J120" s="397">
        <f>SUM(G120:H120)</f>
        <v>10</v>
      </c>
      <c r="K120" s="116"/>
      <c r="L120" s="113"/>
      <c r="M120" s="116"/>
      <c r="X120" s="803"/>
      <c r="Z120" s="414"/>
      <c r="AA120" s="414"/>
      <c r="AC120"/>
      <c r="AD120"/>
      <c r="AE120" s="137"/>
      <c r="AF120" s="28"/>
      <c r="AG120" s="803"/>
      <c r="AI120" s="414"/>
      <c r="AJ120" s="414"/>
      <c r="AN120" s="137"/>
    </row>
    <row r="121" spans="2:40" ht="17" thickBot="1">
      <c r="B121" s="116" t="s">
        <v>223</v>
      </c>
      <c r="C121" s="113"/>
      <c r="D121" s="116" t="s">
        <v>223</v>
      </c>
      <c r="E121" s="113"/>
      <c r="F121" s="393">
        <v>10</v>
      </c>
      <c r="G121" s="310">
        <v>5</v>
      </c>
      <c r="H121" s="310">
        <v>5</v>
      </c>
      <c r="I121" s="395" t="s">
        <v>216</v>
      </c>
      <c r="J121" s="397">
        <f>SUM(G121:H121)</f>
        <v>10</v>
      </c>
      <c r="K121" s="113"/>
      <c r="L121" s="116" t="s">
        <v>223</v>
      </c>
      <c r="M121" s="113"/>
      <c r="X121" s="803"/>
      <c r="Y121" s="1249">
        <v>50</v>
      </c>
      <c r="Z121" s="1250"/>
      <c r="AA121" s="407"/>
      <c r="AB121" s="1262">
        <v>40</v>
      </c>
      <c r="AC121" s="416">
        <v>10</v>
      </c>
      <c r="AD121"/>
      <c r="AE121" s="137"/>
      <c r="AF121" s="28"/>
      <c r="AG121" s="803"/>
      <c r="AH121" s="1249"/>
      <c r="AI121" s="1250"/>
      <c r="AJ121" s="407"/>
      <c r="AK121" s="1262"/>
      <c r="AL121" s="416"/>
      <c r="AN121" s="137"/>
    </row>
    <row r="122" spans="2:40" ht="17" thickBot="1">
      <c r="B122" s="113"/>
      <c r="C122" s="116" t="s">
        <v>223</v>
      </c>
      <c r="D122" s="113"/>
      <c r="E122" s="116" t="s">
        <v>223</v>
      </c>
      <c r="F122" s="113"/>
      <c r="G122" s="116"/>
      <c r="H122" s="113"/>
      <c r="I122" s="116"/>
      <c r="J122" s="113"/>
      <c r="K122" s="116"/>
      <c r="L122" s="113"/>
      <c r="M122" s="116"/>
      <c r="X122" s="803"/>
      <c r="Y122" s="1226"/>
      <c r="Z122" s="1227"/>
      <c r="AA122" s="410"/>
      <c r="AB122" s="1263"/>
      <c r="AC122" s="409"/>
      <c r="AD122"/>
      <c r="AE122" s="137"/>
      <c r="AF122" s="28"/>
      <c r="AG122" s="803"/>
      <c r="AH122" s="1226"/>
      <c r="AI122" s="1227"/>
      <c r="AJ122" s="410"/>
      <c r="AK122" s="1263"/>
      <c r="AL122" s="409"/>
      <c r="AN122" s="137"/>
    </row>
    <row r="123" spans="2:40" ht="17" thickBot="1">
      <c r="X123" s="803"/>
      <c r="AA123" s="414"/>
      <c r="AC123"/>
      <c r="AD123"/>
      <c r="AE123" s="137"/>
      <c r="AF123" s="28"/>
      <c r="AG123" s="803"/>
      <c r="AJ123" s="414"/>
      <c r="AN123" s="137"/>
    </row>
    <row r="124" spans="2:40" ht="17" thickBot="1">
      <c r="B124" s="387"/>
      <c r="C124" s="387"/>
      <c r="D124" s="387"/>
      <c r="E124" s="387"/>
      <c r="F124" s="387"/>
      <c r="G124" s="387"/>
      <c r="H124" s="387"/>
      <c r="I124" s="387"/>
      <c r="J124" s="387"/>
      <c r="K124" s="387"/>
      <c r="L124" s="387"/>
      <c r="M124" s="387"/>
      <c r="Z124" s="411"/>
      <c r="AA124" s="411"/>
      <c r="AC124"/>
      <c r="AD124"/>
      <c r="AE124" s="137"/>
      <c r="AF124" s="28"/>
      <c r="AI124" s="411"/>
      <c r="AJ124" s="411"/>
      <c r="AN124" s="137"/>
    </row>
    <row r="125" spans="2:40" ht="17" thickBot="1">
      <c r="B125" s="387" t="s">
        <v>180</v>
      </c>
      <c r="C125" s="310">
        <v>0.6</v>
      </c>
      <c r="D125" s="310">
        <v>0.24</v>
      </c>
      <c r="E125" s="310">
        <v>9.6000000000000016E-2</v>
      </c>
      <c r="F125" s="310">
        <v>3.8400000000000011E-2</v>
      </c>
      <c r="G125" s="310">
        <v>1.5360000000000004E-2</v>
      </c>
      <c r="H125" s="310">
        <v>6.1440000000000028E-3</v>
      </c>
      <c r="I125" s="310">
        <v>2.4576000000000008E-3</v>
      </c>
      <c r="J125" s="310">
        <v>9.8304000000000035E-4</v>
      </c>
      <c r="K125" s="310">
        <v>3.9321600000000021E-4</v>
      </c>
      <c r="L125" s="310">
        <v>2.6214400000000012E-4</v>
      </c>
      <c r="M125" s="387"/>
      <c r="X125" s="804"/>
      <c r="Y125" s="1249">
        <v>70</v>
      </c>
      <c r="Z125" s="1250"/>
      <c r="AA125" s="1250"/>
      <c r="AB125" s="407"/>
      <c r="AC125" s="1239">
        <v>30</v>
      </c>
      <c r="AD125"/>
      <c r="AE125" s="137"/>
      <c r="AF125" s="28"/>
      <c r="AG125" s="804"/>
      <c r="AH125" s="1249"/>
      <c r="AI125" s="1250"/>
      <c r="AJ125" s="1250"/>
      <c r="AK125" s="407"/>
      <c r="AL125" s="1239"/>
      <c r="AN125" s="137"/>
    </row>
    <row r="126" spans="2:40" ht="17" thickBot="1">
      <c r="B126" s="387" t="s">
        <v>530</v>
      </c>
      <c r="C126" s="387">
        <f t="shared" ref="C126:L126" si="20">EXP(C125)-1</f>
        <v>0.82211880039050889</v>
      </c>
      <c r="D126" s="387">
        <f t="shared" si="20"/>
        <v>0.27124915032140473</v>
      </c>
      <c r="E126" s="387">
        <f t="shared" si="20"/>
        <v>0.10075906399397883</v>
      </c>
      <c r="F126" s="387">
        <f t="shared" si="20"/>
        <v>3.9146808481228756E-2</v>
      </c>
      <c r="G126" s="387">
        <f t="shared" si="20"/>
        <v>1.5478571106201544E-2</v>
      </c>
      <c r="H126" s="387">
        <f t="shared" si="20"/>
        <v>6.1629130821523326E-3</v>
      </c>
      <c r="I126" s="387">
        <f t="shared" si="20"/>
        <v>2.4606223743017797E-3</v>
      </c>
      <c r="J126" s="387">
        <f t="shared" si="20"/>
        <v>9.8352334218931858E-4</v>
      </c>
      <c r="K126" s="387">
        <f t="shared" si="20"/>
        <v>3.9329331954540692E-4</v>
      </c>
      <c r="L126" s="387">
        <f t="shared" si="20"/>
        <v>2.621783627410057E-4</v>
      </c>
      <c r="M126" s="387"/>
      <c r="X126" s="804"/>
      <c r="Y126" s="1226"/>
      <c r="Z126" s="1227"/>
      <c r="AA126" s="1227"/>
      <c r="AB126" s="410"/>
      <c r="AC126" s="1240"/>
      <c r="AD126"/>
      <c r="AE126" s="137"/>
      <c r="AF126" s="28"/>
      <c r="AG126" s="804"/>
      <c r="AH126" s="1226"/>
      <c r="AI126" s="1227"/>
      <c r="AJ126" s="1227"/>
      <c r="AK126" s="410"/>
      <c r="AL126" s="1240"/>
      <c r="AN126" s="137"/>
    </row>
    <row r="127" spans="2:40" ht="17" thickBot="1">
      <c r="B127" s="387" t="s">
        <v>534</v>
      </c>
      <c r="C127" s="879">
        <f t="shared" ref="C127:L127" si="21">C126/SUM($C$126:$L$126)</f>
        <v>0.65298574640639684</v>
      </c>
      <c r="D127" s="879">
        <f t="shared" si="21"/>
        <v>0.21544553998836907</v>
      </c>
      <c r="E127" s="879">
        <f t="shared" si="21"/>
        <v>8.0030079081108124E-2</v>
      </c>
      <c r="F127" s="879">
        <f t="shared" si="21"/>
        <v>3.1093204465584844E-2</v>
      </c>
      <c r="G127" s="879">
        <f t="shared" si="21"/>
        <v>1.2294191912758243E-2</v>
      </c>
      <c r="H127" s="879">
        <f t="shared" si="21"/>
        <v>4.8950278196720921E-3</v>
      </c>
      <c r="I127" s="879">
        <f t="shared" si="21"/>
        <v>1.9544028636062287E-3</v>
      </c>
      <c r="J127" s="879">
        <f t="shared" si="21"/>
        <v>7.8118481587155855E-4</v>
      </c>
      <c r="K127" s="879">
        <f t="shared" si="21"/>
        <v>3.1238177705949458E-4</v>
      </c>
      <c r="L127" s="879">
        <f t="shared" si="21"/>
        <v>2.0824086957350053E-4</v>
      </c>
      <c r="M127" s="387"/>
      <c r="X127" s="804"/>
      <c r="Z127" s="414"/>
      <c r="AA127" s="411"/>
      <c r="AB127" s="414"/>
      <c r="AC127"/>
      <c r="AD127"/>
      <c r="AE127" s="137"/>
      <c r="AF127" s="28"/>
      <c r="AG127" s="804"/>
      <c r="AI127" s="414"/>
      <c r="AJ127" s="411"/>
      <c r="AK127" s="414"/>
      <c r="AN127" s="137"/>
    </row>
    <row r="128" spans="2:40">
      <c r="B128" s="387" t="s">
        <v>531</v>
      </c>
      <c r="C128" s="387">
        <f t="shared" ref="C128:L128" si="22">EXP(100*C126)-1</f>
        <v>5.0601786260099572E+35</v>
      </c>
      <c r="D128" s="387">
        <f t="shared" si="22"/>
        <v>602838416727.77478</v>
      </c>
      <c r="E128" s="387">
        <f t="shared" si="22"/>
        <v>23762.507850808623</v>
      </c>
      <c r="F128" s="387">
        <f t="shared" si="22"/>
        <v>49.133068894496418</v>
      </c>
      <c r="G128" s="387">
        <f t="shared" si="22"/>
        <v>3.7013848329266574</v>
      </c>
      <c r="H128" s="387">
        <f t="shared" si="22"/>
        <v>0.85204661911453239</v>
      </c>
      <c r="I128" s="387">
        <f t="shared" si="22"/>
        <v>0.27897917144160989</v>
      </c>
      <c r="J128" s="387">
        <f t="shared" si="22"/>
        <v>0.103351465108521</v>
      </c>
      <c r="K128" s="387">
        <f t="shared" si="22"/>
        <v>4.0112969688514744E-2</v>
      </c>
      <c r="L128" s="387">
        <f t="shared" si="22"/>
        <v>2.6564547114677595E-2</v>
      </c>
      <c r="M128" s="387"/>
      <c r="X128" s="804"/>
      <c r="Y128" s="1249">
        <v>60</v>
      </c>
      <c r="Z128" s="1250"/>
      <c r="AA128" s="1251"/>
      <c r="AB128" s="1252">
        <v>40</v>
      </c>
      <c r="AC128" s="1239"/>
      <c r="AD128"/>
      <c r="AE128" s="137"/>
      <c r="AF128" s="28"/>
      <c r="AG128" s="804"/>
      <c r="AH128" s="1249"/>
      <c r="AI128" s="1250"/>
      <c r="AJ128" s="1251"/>
      <c r="AK128" s="1252"/>
      <c r="AL128" s="1239"/>
      <c r="AN128" s="137"/>
    </row>
    <row r="129" spans="2:40" ht="17" thickBot="1">
      <c r="B129" s="387" t="s">
        <v>535</v>
      </c>
      <c r="C129" s="879">
        <f t="shared" ref="C129:L129" si="23">C128/SUM($C$128:$L$128)</f>
        <v>1</v>
      </c>
      <c r="D129" s="879">
        <f t="shared" si="23"/>
        <v>1.1913382140881532E-24</v>
      </c>
      <c r="E129" s="879">
        <f t="shared" si="23"/>
        <v>4.6959820210034347E-32</v>
      </c>
      <c r="F129" s="879">
        <f t="shared" si="23"/>
        <v>9.7097498973546585E-35</v>
      </c>
      <c r="G129" s="879">
        <f t="shared" si="23"/>
        <v>7.3147315667891094E-36</v>
      </c>
      <c r="H129" s="879">
        <f t="shared" si="23"/>
        <v>1.6838271572764353E-36</v>
      </c>
      <c r="I129" s="879">
        <f t="shared" si="23"/>
        <v>5.5132277348396695E-37</v>
      </c>
      <c r="J129" s="879">
        <f t="shared" si="23"/>
        <v>2.0424469716796444E-37</v>
      </c>
      <c r="K129" s="879">
        <f t="shared" si="23"/>
        <v>7.9271845231567549E-38</v>
      </c>
      <c r="L129" s="879">
        <f t="shared" si="23"/>
        <v>5.2497251733629459E-38</v>
      </c>
      <c r="M129" s="387"/>
      <c r="X129" s="804"/>
      <c r="Y129" s="1226"/>
      <c r="Z129" s="1227"/>
      <c r="AA129" s="1228"/>
      <c r="AB129" s="1253"/>
      <c r="AC129" s="1240"/>
      <c r="AD129"/>
      <c r="AE129" s="137"/>
      <c r="AF129" s="28"/>
      <c r="AG129" s="804"/>
      <c r="AH129" s="1226"/>
      <c r="AI129" s="1227"/>
      <c r="AJ129" s="1228"/>
      <c r="AK129" s="1253"/>
      <c r="AL129" s="1240"/>
      <c r="AN129" s="137"/>
    </row>
    <row r="130" spans="2:40" ht="17" thickBot="1">
      <c r="B130" s="387"/>
      <c r="C130" s="387"/>
      <c r="D130" s="387"/>
      <c r="E130" s="387"/>
      <c r="F130" s="387"/>
      <c r="G130" s="387"/>
      <c r="H130" s="387"/>
      <c r="I130" s="387"/>
      <c r="J130" s="387"/>
      <c r="K130" s="387"/>
      <c r="L130" s="387"/>
      <c r="M130" s="387"/>
      <c r="X130" s="804"/>
      <c r="AA130" s="411"/>
      <c r="AC130"/>
      <c r="AD130"/>
      <c r="AE130" s="137"/>
      <c r="AF130" s="28"/>
      <c r="AG130" s="804"/>
      <c r="AJ130" s="411"/>
      <c r="AN130" s="137"/>
    </row>
    <row r="131" spans="2:40" ht="17" thickBot="1">
      <c r="B131" s="387" t="s">
        <v>180</v>
      </c>
      <c r="C131" s="310">
        <v>0.6</v>
      </c>
      <c r="D131" s="310">
        <v>0.24</v>
      </c>
      <c r="E131" s="310">
        <v>9.6000000000000016E-2</v>
      </c>
      <c r="F131" s="310">
        <v>3.8400000000000011E-2</v>
      </c>
      <c r="G131" s="310">
        <v>1.5360000000000004E-2</v>
      </c>
      <c r="H131" s="310">
        <v>6.1440000000000028E-3</v>
      </c>
      <c r="I131" s="310">
        <v>2.4576000000000008E-3</v>
      </c>
      <c r="J131" s="310">
        <v>9.8304000000000035E-4</v>
      </c>
      <c r="K131" s="310">
        <v>3.9321600000000021E-4</v>
      </c>
      <c r="L131" s="310">
        <v>2.6214400000000012E-4</v>
      </c>
      <c r="M131" s="387"/>
      <c r="X131" s="804"/>
      <c r="Y131" s="1254">
        <v>50</v>
      </c>
      <c r="Z131" s="1255"/>
      <c r="AA131" s="807"/>
      <c r="AB131" s="1258">
        <v>50</v>
      </c>
      <c r="AC131" s="1259"/>
      <c r="AD131" s="32"/>
      <c r="AE131" s="28"/>
      <c r="AF131" s="28"/>
      <c r="AG131" s="804"/>
      <c r="AH131" s="1254"/>
      <c r="AI131" s="1255"/>
      <c r="AJ131" s="807"/>
      <c r="AK131" s="1258"/>
      <c r="AL131" s="1259"/>
      <c r="AM131" s="32"/>
      <c r="AN131" s="28"/>
    </row>
    <row r="132" spans="2:40" ht="17" thickBot="1">
      <c r="B132" s="387" t="s">
        <v>532</v>
      </c>
      <c r="C132" s="387">
        <f t="shared" ref="C132:L132" si="24">POWER(C131,3)</f>
        <v>0.216</v>
      </c>
      <c r="D132" s="387">
        <f t="shared" si="24"/>
        <v>1.3823999999999999E-2</v>
      </c>
      <c r="E132" s="387">
        <f t="shared" si="24"/>
        <v>8.8473600000000055E-4</v>
      </c>
      <c r="F132" s="387">
        <f t="shared" si="24"/>
        <v>5.6623104000000048E-5</v>
      </c>
      <c r="G132" s="387">
        <f t="shared" si="24"/>
        <v>3.6238786560000023E-6</v>
      </c>
      <c r="H132" s="387">
        <f t="shared" si="24"/>
        <v>2.319282339840003E-7</v>
      </c>
      <c r="I132" s="387">
        <f t="shared" si="24"/>
        <v>1.4843406974976015E-8</v>
      </c>
      <c r="J132" s="387">
        <f t="shared" si="24"/>
        <v>9.4997804639846498E-10</v>
      </c>
      <c r="K132" s="387">
        <f t="shared" si="24"/>
        <v>6.0798594969501795E-11</v>
      </c>
      <c r="L132" s="387">
        <f t="shared" si="24"/>
        <v>1.8014398509482011E-11</v>
      </c>
      <c r="M132" s="387"/>
      <c r="X132" s="804"/>
      <c r="Y132" s="1256"/>
      <c r="Z132" s="1257"/>
      <c r="AA132" s="808"/>
      <c r="AB132" s="1260"/>
      <c r="AC132" s="1261"/>
      <c r="AD132" s="32"/>
      <c r="AE132" s="28"/>
      <c r="AF132" s="28"/>
      <c r="AG132" s="804"/>
      <c r="AH132" s="1256"/>
      <c r="AI132" s="1257"/>
      <c r="AJ132" s="808"/>
      <c r="AK132" s="1260"/>
      <c r="AL132" s="1261"/>
      <c r="AM132" s="32"/>
      <c r="AN132" s="28"/>
    </row>
    <row r="133" spans="2:40">
      <c r="B133" s="387" t="s">
        <v>537</v>
      </c>
      <c r="C133" s="879">
        <f t="shared" ref="C133:L133" si="25">C132/SUM($C$132:$L$132)</f>
        <v>0.93599999994379512</v>
      </c>
      <c r="D133" s="879">
        <f t="shared" si="25"/>
        <v>5.990399999640289E-2</v>
      </c>
      <c r="E133" s="879">
        <f t="shared" si="25"/>
        <v>3.8338559997697875E-3</v>
      </c>
      <c r="F133" s="879">
        <f t="shared" si="25"/>
        <v>2.4536678398526647E-4</v>
      </c>
      <c r="G133" s="879">
        <f t="shared" si="25"/>
        <v>1.570347417505705E-5</v>
      </c>
      <c r="H133" s="879">
        <f t="shared" si="25"/>
        <v>1.0050223472036519E-6</v>
      </c>
      <c r="I133" s="879">
        <f t="shared" si="25"/>
        <v>6.4321430221033693E-8</v>
      </c>
      <c r="J133" s="879">
        <f t="shared" si="25"/>
        <v>4.1165715341461568E-9</v>
      </c>
      <c r="K133" s="879">
        <f t="shared" si="25"/>
        <v>2.6346057818535422E-10</v>
      </c>
      <c r="L133" s="879">
        <f t="shared" si="25"/>
        <v>7.8062393536401235E-11</v>
      </c>
      <c r="M133" s="387"/>
    </row>
    <row r="134" spans="2:40">
      <c r="B134" s="387" t="s">
        <v>533</v>
      </c>
      <c r="C134" s="387">
        <f t="shared" ref="C134:L134" si="26">POWER(C131*100,3)</f>
        <v>216000</v>
      </c>
      <c r="D134" s="387">
        <f t="shared" si="26"/>
        <v>13824</v>
      </c>
      <c r="E134" s="387">
        <f t="shared" si="26"/>
        <v>884.73600000000033</v>
      </c>
      <c r="F134" s="387">
        <f t="shared" si="26"/>
        <v>56.623104000000048</v>
      </c>
      <c r="G134" s="387">
        <f t="shared" si="26"/>
        <v>3.6238786560000031</v>
      </c>
      <c r="H134" s="387">
        <f t="shared" si="26"/>
        <v>0.23192823398400031</v>
      </c>
      <c r="I134" s="387">
        <f t="shared" si="26"/>
        <v>1.4843406974976015E-2</v>
      </c>
      <c r="J134" s="387">
        <f t="shared" si="26"/>
        <v>9.4997804639846491E-4</v>
      </c>
      <c r="K134" s="387">
        <f t="shared" si="26"/>
        <v>6.0798594969501783E-5</v>
      </c>
      <c r="L134" s="387">
        <f t="shared" si="26"/>
        <v>1.8014398509482009E-5</v>
      </c>
      <c r="M134" s="387"/>
    </row>
    <row r="135" spans="2:40">
      <c r="B135" s="387" t="s">
        <v>536</v>
      </c>
      <c r="C135" s="879">
        <f t="shared" ref="C135:L135" si="27">C134/SUM($C$134:$L$134)</f>
        <v>0.93599999994379501</v>
      </c>
      <c r="D135" s="879">
        <f t="shared" si="27"/>
        <v>5.9903999996402883E-2</v>
      </c>
      <c r="E135" s="879">
        <f t="shared" si="27"/>
        <v>3.8338559997697858E-3</v>
      </c>
      <c r="F135" s="879">
        <f t="shared" si="27"/>
        <v>2.4536678398526642E-4</v>
      </c>
      <c r="G135" s="879">
        <f t="shared" si="27"/>
        <v>1.570347417505705E-5</v>
      </c>
      <c r="H135" s="879">
        <f t="shared" si="27"/>
        <v>1.0050223472036517E-6</v>
      </c>
      <c r="I135" s="879">
        <f t="shared" si="27"/>
        <v>6.432143022103368E-8</v>
      </c>
      <c r="J135" s="879">
        <f t="shared" si="27"/>
        <v>4.1165715341461559E-9</v>
      </c>
      <c r="K135" s="879">
        <f t="shared" si="27"/>
        <v>2.6346057818535411E-10</v>
      </c>
      <c r="L135" s="879">
        <f t="shared" si="27"/>
        <v>7.8062393536401209E-11</v>
      </c>
      <c r="M135" s="387"/>
    </row>
    <row r="136" spans="2:40">
      <c r="B136" s="387"/>
      <c r="C136" s="878"/>
      <c r="D136" s="878"/>
      <c r="E136" s="878"/>
      <c r="F136" s="878"/>
      <c r="G136" s="878"/>
      <c r="H136" s="878"/>
      <c r="I136" s="878"/>
      <c r="J136" s="878"/>
      <c r="K136" s="878"/>
      <c r="L136" s="878"/>
      <c r="M136" s="387"/>
    </row>
  </sheetData>
  <mergeCells count="139">
    <mergeCell ref="O8:Q10"/>
    <mergeCell ref="O17:Q19"/>
    <mergeCell ref="AK99:AL100"/>
    <mergeCell ref="AH101:AI101"/>
    <mergeCell ref="AJ101:AK101"/>
    <mergeCell ref="E17:E20"/>
    <mergeCell ref="F4:F20"/>
    <mergeCell ref="G4:H5"/>
    <mergeCell ref="J4:J5"/>
    <mergeCell ref="H7:K7"/>
    <mergeCell ref="G8:I8"/>
    <mergeCell ref="J8:L8"/>
    <mergeCell ref="G9:H9"/>
    <mergeCell ref="I9:J9"/>
    <mergeCell ref="K9:L9"/>
    <mergeCell ref="E7:E10"/>
    <mergeCell ref="E4:E5"/>
    <mergeCell ref="H12:K12"/>
    <mergeCell ref="G13:I13"/>
    <mergeCell ref="J13:L13"/>
    <mergeCell ref="G14:H14"/>
    <mergeCell ref="I14:J14"/>
    <mergeCell ref="K14:L14"/>
    <mergeCell ref="O4:Q6"/>
    <mergeCell ref="Y101:Z101"/>
    <mergeCell ref="AH118:AJ119"/>
    <mergeCell ref="AH131:AI132"/>
    <mergeCell ref="K25:K27"/>
    <mergeCell ref="AK131:AL132"/>
    <mergeCell ref="AK118:AK119"/>
    <mergeCell ref="AH121:AI122"/>
    <mergeCell ref="AK121:AK122"/>
    <mergeCell ref="AH125:AJ126"/>
    <mergeCell ref="AL125:AL126"/>
    <mergeCell ref="AH128:AJ129"/>
    <mergeCell ref="AK128:AL129"/>
    <mergeCell ref="AI107:AJ107"/>
    <mergeCell ref="AK107:AL107"/>
    <mergeCell ref="AH109:AI110"/>
    <mergeCell ref="AK109:AK110"/>
    <mergeCell ref="AH112:AI113"/>
    <mergeCell ref="AJ112:AK113"/>
    <mergeCell ref="AH115:AI116"/>
    <mergeCell ref="AJ115:AJ116"/>
    <mergeCell ref="AK115:AL115"/>
    <mergeCell ref="AL96:AM96"/>
    <mergeCell ref="AH98:AM98"/>
    <mergeCell ref="AI99:AJ100"/>
    <mergeCell ref="Y125:AA126"/>
    <mergeCell ref="AC125:AC126"/>
    <mergeCell ref="AB128:AC129"/>
    <mergeCell ref="Y128:AA129"/>
    <mergeCell ref="Y131:Z132"/>
    <mergeCell ref="AB131:AC132"/>
    <mergeCell ref="AA112:AB113"/>
    <mergeCell ref="Y112:Z113"/>
    <mergeCell ref="Y115:Z116"/>
    <mergeCell ref="AA115:AA116"/>
    <mergeCell ref="AB115:AC115"/>
    <mergeCell ref="Y118:AA119"/>
    <mergeCell ref="AB118:AB119"/>
    <mergeCell ref="Y121:Z122"/>
    <mergeCell ref="AB121:AB122"/>
    <mergeCell ref="AI84:AL84"/>
    <mergeCell ref="AH85:AJ85"/>
    <mergeCell ref="AK85:AM85"/>
    <mergeCell ref="AH86:AI86"/>
    <mergeCell ref="AJ86:AK86"/>
    <mergeCell ref="AL86:AM86"/>
    <mergeCell ref="AG89:AJ89"/>
    <mergeCell ref="AK89:AN89"/>
    <mergeCell ref="AH90:AJ90"/>
    <mergeCell ref="AK90:AM90"/>
    <mergeCell ref="AI91:AJ91"/>
    <mergeCell ref="AK91:AL91"/>
    <mergeCell ref="AG94:AJ94"/>
    <mergeCell ref="AK94:AN94"/>
    <mergeCell ref="AH95:AJ95"/>
    <mergeCell ref="AK95:AM95"/>
    <mergeCell ref="AH96:AI96"/>
    <mergeCell ref="AJ96:AK96"/>
    <mergeCell ref="AB109:AB110"/>
    <mergeCell ref="AC96:AD96"/>
    <mergeCell ref="AB99:AC100"/>
    <mergeCell ref="AA101:AB101"/>
    <mergeCell ref="AC101:AD101"/>
    <mergeCell ref="Z103:AC104"/>
    <mergeCell ref="Z105:AA106"/>
    <mergeCell ref="AB105:AC106"/>
    <mergeCell ref="Z107:AA107"/>
    <mergeCell ref="AB107:AC107"/>
    <mergeCell ref="Y109:Z110"/>
    <mergeCell ref="Z99:AA100"/>
    <mergeCell ref="AL101:AM101"/>
    <mergeCell ref="AI103:AL104"/>
    <mergeCell ref="AI105:AJ106"/>
    <mergeCell ref="AK105:AL106"/>
    <mergeCell ref="Z84:AC84"/>
    <mergeCell ref="AB94:AE94"/>
    <mergeCell ref="Y95:AA95"/>
    <mergeCell ref="AB95:AD95"/>
    <mergeCell ref="Y96:Z96"/>
    <mergeCell ref="AA96:AB96"/>
    <mergeCell ref="Y90:AA90"/>
    <mergeCell ref="AB90:AD90"/>
    <mergeCell ref="AB91:AC91"/>
    <mergeCell ref="Z91:AA91"/>
    <mergeCell ref="Y98:AD98"/>
    <mergeCell ref="X94:AA94"/>
    <mergeCell ref="X89:AA89"/>
    <mergeCell ref="AB89:AE89"/>
    <mergeCell ref="Y86:Z86"/>
    <mergeCell ref="AA86:AB86"/>
    <mergeCell ref="AC86:AD86"/>
    <mergeCell ref="AB85:AD85"/>
    <mergeCell ref="Y85:AA85"/>
    <mergeCell ref="G18:I18"/>
    <mergeCell ref="J18:L18"/>
    <mergeCell ref="G19:H19"/>
    <mergeCell ref="I19:J19"/>
    <mergeCell ref="K19:L19"/>
    <mergeCell ref="E12:E15"/>
    <mergeCell ref="O12:Q14"/>
    <mergeCell ref="H17:K17"/>
    <mergeCell ref="D25:D27"/>
    <mergeCell ref="U4:U7"/>
    <mergeCell ref="U9:U12"/>
    <mergeCell ref="U14:U17"/>
    <mergeCell ref="W6:AA7"/>
    <mergeCell ref="W9:Y9"/>
    <mergeCell ref="X10:X11"/>
    <mergeCell ref="Y10:Y11"/>
    <mergeCell ref="Z9:AA12"/>
    <mergeCell ref="W14:Y14"/>
    <mergeCell ref="Z14:AA17"/>
    <mergeCell ref="X15:X16"/>
    <mergeCell ref="Y15:Y16"/>
    <mergeCell ref="W4:X5"/>
    <mergeCell ref="Z4:Z5"/>
  </mergeCells>
  <phoneticPr fontId="2" type="noConversion"/>
  <conditionalFormatting sqref="P33">
    <cfRule type="colorScale" priority="16">
      <colorScale>
        <cfvo type="min"/>
        <cfvo type="percentile" val="50"/>
        <cfvo type="max"/>
        <color rgb="FF63BE7B"/>
        <color rgb="FFFFEB84"/>
        <color rgb="FFF8696B"/>
      </colorScale>
    </cfRule>
  </conditionalFormatting>
  <conditionalFormatting sqref="P33">
    <cfRule type="colorScale" priority="13">
      <colorScale>
        <cfvo type="num" val="0"/>
        <cfvo type="num" val="0.5"/>
        <cfvo type="num" val="1"/>
        <color theme="9" tint="0.59999389629810485"/>
        <color theme="7" tint="0.59999389629810485"/>
        <color theme="5" tint="0.59999389629810485"/>
      </colorScale>
    </cfRule>
    <cfRule type="colorScale" priority="14">
      <colorScale>
        <cfvo type="num" val="0"/>
        <cfvo type="num" val="0.5"/>
        <cfvo type="num" val="1"/>
        <color theme="9" tint="0.79998168889431442"/>
        <color theme="7" tint="0.79998168889431442"/>
        <color theme="5" tint="0.79998168889431442"/>
      </colorScale>
    </cfRule>
    <cfRule type="colorScale" priority="15">
      <colorScale>
        <cfvo type="min"/>
        <cfvo type="percentile" val="50"/>
        <cfvo type="max"/>
        <color rgb="FF63BE7B"/>
        <color rgb="FFFFEB84"/>
        <color rgb="FFF8696B"/>
      </colorScale>
    </cfRule>
  </conditionalFormatting>
  <conditionalFormatting sqref="H31 H33">
    <cfRule type="colorScale" priority="12">
      <colorScale>
        <cfvo type="min"/>
        <cfvo type="percentile" val="50"/>
        <cfvo type="max"/>
        <color rgb="FF63BE7B"/>
        <color rgb="FFFFEB84"/>
        <color rgb="FFF8696B"/>
      </colorScale>
    </cfRule>
  </conditionalFormatting>
  <conditionalFormatting sqref="H33 H31">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R33">
    <cfRule type="colorScale" priority="8">
      <colorScale>
        <cfvo type="min"/>
        <cfvo type="percentile" val="50"/>
        <cfvo type="max"/>
        <color rgb="FF63BE7B"/>
        <color rgb="FFFFEB84"/>
        <color rgb="FFF8696B"/>
      </colorScale>
    </cfRule>
  </conditionalFormatting>
  <conditionalFormatting sqref="R33">
    <cfRule type="colorScale" priority="5">
      <colorScale>
        <cfvo type="num" val="0"/>
        <cfvo type="num" val="0.5"/>
        <cfvo type="num" val="1"/>
        <color theme="9" tint="0.59999389629810485"/>
        <color theme="7" tint="0.59999389629810485"/>
        <color theme="5" tint="0.59999389629810485"/>
      </colorScale>
    </cfRule>
    <cfRule type="colorScale" priority="6">
      <colorScale>
        <cfvo type="num" val="0"/>
        <cfvo type="num" val="0.5"/>
        <cfvo type="num" val="1"/>
        <color theme="9" tint="0.79998168889431442"/>
        <color theme="7" tint="0.79998168889431442"/>
        <color theme="5" tint="0.79998168889431442"/>
      </colorScale>
    </cfRule>
    <cfRule type="colorScale" priority="7">
      <colorScale>
        <cfvo type="min"/>
        <cfvo type="percentile" val="50"/>
        <cfvo type="max"/>
        <color rgb="FF63BE7B"/>
        <color rgb="FFFFEB84"/>
        <color rgb="FFF8696B"/>
      </colorScale>
    </cfRule>
  </conditionalFormatting>
  <conditionalFormatting sqref="J33">
    <cfRule type="colorScale" priority="4">
      <colorScale>
        <cfvo type="min"/>
        <cfvo type="percentile" val="50"/>
        <cfvo type="max"/>
        <color rgb="FF63BE7B"/>
        <color rgb="FFFFEB84"/>
        <color rgb="FFF8696B"/>
      </colorScale>
    </cfRule>
  </conditionalFormatting>
  <conditionalFormatting sqref="J33">
    <cfRule type="colorScale" priority="1">
      <colorScale>
        <cfvo type="num" val="0"/>
        <cfvo type="num" val="0.5"/>
        <cfvo type="num" val="1"/>
        <color theme="9" tint="0.59999389629810485"/>
        <color theme="7" tint="0.59999389629810485"/>
        <color theme="5" tint="0.59999389629810485"/>
      </colorScale>
    </cfRule>
    <cfRule type="colorScale" priority="2">
      <colorScale>
        <cfvo type="num" val="0"/>
        <cfvo type="num" val="0.5"/>
        <cfvo type="num" val="1"/>
        <color theme="9" tint="0.79998168889431442"/>
        <color theme="7" tint="0.79998168889431442"/>
        <color theme="5" tint="0.79998168889431442"/>
      </colorScale>
    </cfRule>
    <cfRule type="colorScale" priority="3">
      <colorScale>
        <cfvo type="min"/>
        <cfvo type="percentile" val="50"/>
        <cfvo type="max"/>
        <color rgb="FF63BE7B"/>
        <color rgb="FFFFEB84"/>
        <color rgb="FFF8696B"/>
      </colorScale>
    </cfRule>
  </conditionalFormatting>
  <hyperlinks>
    <hyperlink ref="D25:D27" location="目录!A1" display="目录" xr:uid="{64B69B85-2F55-C64D-A348-08B84254C018}"/>
    <hyperlink ref="K25:K27" location="总指挥室!A1" display="总指挥室" xr:uid="{67A03337-E03F-1C45-93F3-E793BED6C21E}"/>
    <hyperlink ref="O4:O6" location="说明!A1" display="目录" xr:uid="{F7A740FC-AB54-4141-A682-CC8FEF129B8F}"/>
    <hyperlink ref="O8:O10" location="总指挥室!A1" display="总指挥室" xr:uid="{C6B6046E-ABE3-3440-92F7-2880D4186290}"/>
    <hyperlink ref="O17:Q19" location="'CryptoSheets(🔥)'!A1" display="CryptoSheets(🔥)" xr:uid="{369131A5-8BDB-9D49-A2B9-9438880D3530}"/>
    <hyperlink ref="O12:Q14" location="卓尔金历!A1" display="卓尔金历" xr:uid="{66F998D1-BF63-D54F-A014-7A029B07D2B8}"/>
    <hyperlink ref="O4:Q6" location="目录!A1" display="目录" xr:uid="{631A1198-058C-5E4F-BF77-BB62AC0F60B2}"/>
  </hyperlinks>
  <pageMargins left="0.7" right="0.7" top="0.75" bottom="0.75" header="0.3" footer="0.3"/>
  <pageSetup paperSize="9" orientation="portrait" horizontalDpi="0" verticalDpi="0"/>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8E108-1332-8740-BC3F-722C9AD28CFD}">
  <dimension ref="B1:U22"/>
  <sheetViews>
    <sheetView zoomScale="91" workbookViewId="0">
      <selection activeCell="B3" sqref="B3"/>
    </sheetView>
  </sheetViews>
  <sheetFormatPr baseColWidth="10" defaultRowHeight="16"/>
  <cols>
    <col min="2" max="2" width="10" style="144" bestFit="1" customWidth="1"/>
    <col min="3" max="3" width="6.6640625" style="144" bestFit="1" customWidth="1"/>
    <col min="4" max="7" width="15" bestFit="1" customWidth="1"/>
    <col min="8" max="8" width="19.33203125" bestFit="1" customWidth="1"/>
    <col min="9" max="9" width="14.6640625" bestFit="1" customWidth="1"/>
    <col min="10" max="10" width="10.1640625" customWidth="1"/>
    <col min="11" max="11" width="8.6640625" bestFit="1" customWidth="1"/>
    <col min="12" max="12" width="7.5" bestFit="1" customWidth="1"/>
    <col min="13" max="13" width="15" bestFit="1" customWidth="1"/>
    <col min="14" max="14" width="13.33203125" bestFit="1" customWidth="1"/>
    <col min="15" max="15" width="15.83203125" bestFit="1" customWidth="1"/>
    <col min="16" max="16" width="18.6640625" bestFit="1" customWidth="1"/>
    <col min="17" max="17" width="12.83203125" bestFit="1" customWidth="1"/>
  </cols>
  <sheetData>
    <row r="1" spans="2:21">
      <c r="D1" s="144"/>
      <c r="E1" s="144" t="s">
        <v>454</v>
      </c>
      <c r="F1" s="144" t="s">
        <v>454</v>
      </c>
      <c r="G1" s="144" t="s">
        <v>454</v>
      </c>
    </row>
    <row r="2" spans="2:21" ht="17" thickBot="1">
      <c r="D2" s="144"/>
      <c r="E2" s="144" t="s">
        <v>453</v>
      </c>
      <c r="F2" s="144" t="s">
        <v>455</v>
      </c>
      <c r="G2" s="144" t="s">
        <v>456</v>
      </c>
    </row>
    <row r="3" spans="2:21" ht="35" thickBot="1">
      <c r="B3" s="865" t="s">
        <v>199</v>
      </c>
      <c r="D3" s="823" t="s">
        <v>457</v>
      </c>
      <c r="E3" s="828">
        <v>22.6</v>
      </c>
      <c r="F3" s="828">
        <v>11.3</v>
      </c>
      <c r="G3" s="828">
        <v>18</v>
      </c>
      <c r="I3" s="144" t="s">
        <v>486</v>
      </c>
      <c r="J3" s="880" t="s">
        <v>538</v>
      </c>
    </row>
    <row r="4" spans="2:21">
      <c r="B4" s="866"/>
      <c r="D4" s="823" t="s">
        <v>458</v>
      </c>
      <c r="E4" s="828">
        <v>39.5</v>
      </c>
      <c r="F4" s="828">
        <v>13.3</v>
      </c>
      <c r="G4" s="828">
        <v>39.5</v>
      </c>
      <c r="I4" s="832">
        <v>0.1</v>
      </c>
      <c r="J4" s="881">
        <v>0.5</v>
      </c>
    </row>
    <row r="5" spans="2:21" ht="17" thickBot="1">
      <c r="D5" s="1275" t="s">
        <v>485</v>
      </c>
      <c r="E5" s="1275"/>
      <c r="F5" s="1275"/>
      <c r="G5" s="1275"/>
      <c r="H5" s="1275"/>
      <c r="L5" t="s">
        <v>517</v>
      </c>
      <c r="M5" s="120">
        <f>总指挥室!J11</f>
        <v>0</v>
      </c>
    </row>
    <row r="6" spans="2:21" ht="17" thickBot="1">
      <c r="B6" s="865" t="s">
        <v>521</v>
      </c>
      <c r="D6" s="144" t="s">
        <v>471</v>
      </c>
      <c r="E6" s="144" t="s">
        <v>472</v>
      </c>
      <c r="F6" s="144" t="s">
        <v>473</v>
      </c>
      <c r="G6" s="144" t="s">
        <v>474</v>
      </c>
      <c r="H6" s="144" t="s">
        <v>475</v>
      </c>
    </row>
    <row r="7" spans="2:21">
      <c r="B7" s="866"/>
      <c r="D7" s="829">
        <v>608362494579</v>
      </c>
      <c r="E7" s="829">
        <v>464101924804</v>
      </c>
      <c r="F7" s="829">
        <v>176790750510</v>
      </c>
      <c r="G7" s="829">
        <v>124003075926</v>
      </c>
      <c r="H7" s="829">
        <v>119006143786</v>
      </c>
    </row>
    <row r="8" spans="2:21">
      <c r="D8" s="144" t="s">
        <v>476</v>
      </c>
      <c r="E8" s="144" t="s">
        <v>477</v>
      </c>
      <c r="F8" s="144" t="s">
        <v>478</v>
      </c>
      <c r="G8" s="144" t="s">
        <v>479</v>
      </c>
      <c r="H8" s="144" t="s">
        <v>480</v>
      </c>
    </row>
    <row r="9" spans="2:21" ht="16" customHeight="1">
      <c r="D9" s="829">
        <v>2548703644710</v>
      </c>
      <c r="E9" s="829">
        <v>2263109499335</v>
      </c>
      <c r="F9" s="829">
        <v>1949892778695</v>
      </c>
      <c r="G9" s="829">
        <v>1758538739622</v>
      </c>
      <c r="H9" s="829">
        <v>1072961348122</v>
      </c>
      <c r="U9" s="827"/>
    </row>
    <row r="10" spans="2:21" ht="16" customHeight="1">
      <c r="D10" s="144"/>
      <c r="E10" s="144"/>
      <c r="F10" s="144"/>
      <c r="G10" s="144"/>
      <c r="H10" s="144"/>
      <c r="U10" s="827"/>
    </row>
    <row r="11" spans="2:21" ht="16" customHeight="1">
      <c r="D11" s="144" t="s">
        <v>481</v>
      </c>
      <c r="E11" s="144" t="s">
        <v>483</v>
      </c>
      <c r="F11" s="144"/>
      <c r="G11" s="144" t="s">
        <v>562</v>
      </c>
      <c r="H11" s="144" t="s">
        <v>563</v>
      </c>
      <c r="U11" s="827"/>
    </row>
    <row r="12" spans="2:21" ht="16" customHeight="1">
      <c r="D12" s="144">
        <f>SUM(D7:H7)</f>
        <v>1492264389605</v>
      </c>
      <c r="E12" s="825">
        <f>D12/SUM(D12,D14)</f>
        <v>0.13461443996034839</v>
      </c>
      <c r="F12" s="144"/>
      <c r="G12" s="144">
        <f>POWER(D12,J4)</f>
        <v>1221582.7395657653</v>
      </c>
      <c r="H12" s="825">
        <f>G12/SUM(G12,G14)</f>
        <v>0.28284758148747063</v>
      </c>
      <c r="U12" s="827"/>
    </row>
    <row r="13" spans="2:21">
      <c r="D13" s="144" t="s">
        <v>482</v>
      </c>
      <c r="E13" s="144" t="s">
        <v>484</v>
      </c>
      <c r="F13" s="144"/>
      <c r="G13" s="144" t="s">
        <v>561</v>
      </c>
      <c r="H13" s="144" t="s">
        <v>564</v>
      </c>
    </row>
    <row r="14" spans="2:21">
      <c r="D14" s="144">
        <f>SUM(D9:H9)</f>
        <v>9593206010484</v>
      </c>
      <c r="E14" s="825">
        <f>D14/SUM(D12,D14)</f>
        <v>0.86538556003965161</v>
      </c>
      <c r="F14" s="144"/>
      <c r="G14" s="144">
        <f>POWER(D14,J4)</f>
        <v>3097290.10757533</v>
      </c>
      <c r="H14" s="825">
        <f>G14/SUM(G12,G14)</f>
        <v>0.71715241851252931</v>
      </c>
    </row>
    <row r="15" spans="2:21" ht="17" thickBot="1"/>
    <row r="16" spans="2:21" ht="34">
      <c r="D16" s="144"/>
      <c r="E16" s="144" t="s">
        <v>462</v>
      </c>
      <c r="F16" s="144" t="s">
        <v>463</v>
      </c>
      <c r="G16" s="144" t="s">
        <v>460</v>
      </c>
      <c r="H16" s="826" t="s">
        <v>467</v>
      </c>
      <c r="I16" s="144" t="s">
        <v>461</v>
      </c>
      <c r="J16" s="144" t="s">
        <v>493</v>
      </c>
      <c r="K16" s="144" t="s">
        <v>494</v>
      </c>
      <c r="L16" s="144" t="s">
        <v>495</v>
      </c>
      <c r="M16" s="842" t="s">
        <v>496</v>
      </c>
      <c r="N16" s="843" t="s">
        <v>497</v>
      </c>
    </row>
    <row r="17" spans="2:16" ht="17" thickBot="1">
      <c r="B17" s="144" t="s">
        <v>464</v>
      </c>
      <c r="C17" s="144" t="s">
        <v>469</v>
      </c>
      <c r="D17" s="822">
        <v>164906</v>
      </c>
      <c r="E17" s="825">
        <v>1</v>
      </c>
      <c r="F17" s="825">
        <f>I4</f>
        <v>0.1</v>
      </c>
      <c r="G17" s="825">
        <f>MAX(($E$3-$G$3)/($E$3-$F$3),F17)</f>
        <v>0.40707964601769919</v>
      </c>
      <c r="H17" s="825">
        <f>G17/MAX(0.00000001,1-G17)</f>
        <v>0.68656716417910468</v>
      </c>
      <c r="I17" s="830">
        <f>G17*H17/SUM($H$17:$H$18)</f>
        <v>0.35037624418155394</v>
      </c>
      <c r="J17" s="825">
        <f>H12*I4</f>
        <v>2.8284758148747063E-2</v>
      </c>
      <c r="K17" s="825">
        <f>MAX(I17:J17)</f>
        <v>0.35037624418155394</v>
      </c>
      <c r="L17" s="564">
        <f>MAX(MIN(K17,1-K18),J17)</f>
        <v>0.35037624418155394</v>
      </c>
      <c r="M17" s="844">
        <f>I17+I18</f>
        <v>0.36430555811086784</v>
      </c>
      <c r="N17" s="830">
        <f>L17/M18*M17</f>
        <v>0.3024084053082029</v>
      </c>
      <c r="O17" s="564">
        <f>N17+N18</f>
        <v>0.36430555811086784</v>
      </c>
      <c r="P17" t="s">
        <v>523</v>
      </c>
    </row>
    <row r="18" spans="2:16">
      <c r="C18" s="144" t="s">
        <v>470</v>
      </c>
      <c r="D18" s="822" t="s">
        <v>459</v>
      </c>
      <c r="E18" s="825">
        <v>1</v>
      </c>
      <c r="F18" s="825">
        <f>I4</f>
        <v>0.1</v>
      </c>
      <c r="G18" s="825">
        <f>MAX(($E$4-$G$4)/($E$4-$F$4),F18)</f>
        <v>0.1</v>
      </c>
      <c r="H18" s="825">
        <f>G18/MAX(0.00000001,1-G18)</f>
        <v>0.11111111111111112</v>
      </c>
      <c r="I18" s="830">
        <f>MAX(G18*H18/SUM($H$17:$H$18))</f>
        <v>1.3929313929313928E-2</v>
      </c>
      <c r="J18" s="825">
        <f>H14*I4</f>
        <v>7.1715241851252928E-2</v>
      </c>
      <c r="K18" s="825">
        <f>MAX(I18:J18)</f>
        <v>7.1715241851252928E-2</v>
      </c>
      <c r="L18" s="564">
        <f>MAX(MIN(K18,1-K17),J18)</f>
        <v>7.1715241851252928E-2</v>
      </c>
      <c r="M18" s="845">
        <f>L17+L18</f>
        <v>0.42209148603280688</v>
      </c>
      <c r="N18" s="830">
        <f>L18/M18*M17</f>
        <v>6.1897152802664952E-2</v>
      </c>
    </row>
    <row r="19" spans="2:16" ht="17" thickBot="1">
      <c r="C19" s="144" t="s">
        <v>468</v>
      </c>
      <c r="E19" s="144"/>
      <c r="F19" s="144"/>
      <c r="G19" s="144"/>
      <c r="H19" s="144"/>
      <c r="I19" s="830">
        <f>1-I17-I18</f>
        <v>0.63569444188913216</v>
      </c>
      <c r="M19" s="846" t="s">
        <v>498</v>
      </c>
      <c r="N19" s="830">
        <f>1-N17-N18</f>
        <v>0.63569444188913216</v>
      </c>
    </row>
    <row r="20" spans="2:16">
      <c r="E20" s="144" t="s">
        <v>462</v>
      </c>
      <c r="F20" s="144" t="s">
        <v>463</v>
      </c>
      <c r="G20" s="144" t="s">
        <v>461</v>
      </c>
      <c r="N20" s="144" t="s">
        <v>466</v>
      </c>
    </row>
    <row r="21" spans="2:16">
      <c r="B21" s="144" t="s">
        <v>465</v>
      </c>
      <c r="C21" s="144" t="s">
        <v>469</v>
      </c>
      <c r="D21" s="822">
        <v>164906</v>
      </c>
      <c r="E21" s="825">
        <v>1</v>
      </c>
      <c r="F21" s="825">
        <f>I4</f>
        <v>0.1</v>
      </c>
      <c r="G21" s="825">
        <f>N17</f>
        <v>0.3024084053082029</v>
      </c>
      <c r="N21" s="831">
        <f>G21/SUM($G$21:$G$22)</f>
        <v>0.83009550245778019</v>
      </c>
      <c r="O21" s="564">
        <f>总指挥室!$J$17</f>
        <v>0</v>
      </c>
      <c r="P21" t="s">
        <v>524</v>
      </c>
    </row>
    <row r="22" spans="2:16">
      <c r="C22" s="144" t="s">
        <v>470</v>
      </c>
      <c r="D22" s="822" t="s">
        <v>459</v>
      </c>
      <c r="E22" s="825">
        <f>100%</f>
        <v>1</v>
      </c>
      <c r="F22" s="825">
        <f>I4</f>
        <v>0.1</v>
      </c>
      <c r="G22" s="825">
        <f>N18</f>
        <v>6.1897152802664952E-2</v>
      </c>
      <c r="N22" s="831">
        <f>G22/SUM($G$21:$G$22)</f>
        <v>0.16990449754221978</v>
      </c>
    </row>
  </sheetData>
  <mergeCells count="1">
    <mergeCell ref="D5:H5"/>
  </mergeCells>
  <phoneticPr fontId="2" type="noConversion"/>
  <hyperlinks>
    <hyperlink ref="D3" r:id="rId1" xr:uid="{87E036BA-8A16-BF4D-A6CC-CF0E12E7D7D8}"/>
    <hyperlink ref="D4" r:id="rId2" xr:uid="{725B3677-9F73-9249-A173-6ECDAD6EB4B3}"/>
    <hyperlink ref="C17" r:id="rId3" display="中国" xr:uid="{FB422F28-ACE6-0B49-B16A-5E4175CB598D}"/>
    <hyperlink ref="C18" r:id="rId4" display="美国" xr:uid="{239E6A8B-FD5C-6D41-A74B-2E07C6AE5169}"/>
    <hyperlink ref="C21" r:id="rId5" display="中国" xr:uid="{C475D8E7-C820-AE41-BB52-623928534FD8}"/>
    <hyperlink ref="C22" r:id="rId6" display="美国" xr:uid="{ACDFAD4B-CEE2-6142-B357-D3B50BC5E5B7}"/>
    <hyperlink ref="D5" r:id="rId7" display="https://assetdash.com/" xr:uid="{1BAD4B6B-F7A6-0044-B520-9121BAC157B1}"/>
    <hyperlink ref="B3" location="目录!A1" display="目录" xr:uid="{3496CE62-5BD0-A34B-9F52-A349C99C2475}"/>
    <hyperlink ref="B6" location="总指挥室!A1" display="总指挥室" xr:uid="{D400382C-A1D9-5F43-91B2-BD9C16CE5DFF}"/>
  </hyperlinks>
  <pageMargins left="0.7" right="0.7" top="0.75" bottom="0.75" header="0.3" footer="0.3"/>
  <pageSetup paperSize="9" orientation="portrait" horizontalDpi="0" verticalDpi="0"/>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01A64-CD88-9941-A7C8-4EE21AB5EE46}">
  <dimension ref="A5:XET76"/>
  <sheetViews>
    <sheetView showGridLines="0" zoomScaleNormal="100" workbookViewId="0">
      <selection activeCell="L9" sqref="L9:M9"/>
    </sheetView>
  </sheetViews>
  <sheetFormatPr baseColWidth="10" defaultRowHeight="16"/>
  <cols>
    <col min="1" max="1" width="17.83203125" customWidth="1"/>
    <col min="2" max="2" width="10.5" customWidth="1"/>
    <col min="3" max="8" width="10.33203125" customWidth="1"/>
    <col min="9" max="10" width="10.5" customWidth="1"/>
    <col min="11" max="15" width="21.33203125" customWidth="1"/>
    <col min="16" max="16" width="10.83203125" customWidth="1"/>
    <col min="17" max="31" width="11.5" customWidth="1"/>
  </cols>
  <sheetData>
    <row r="5" spans="2:13" ht="64" customHeight="1" thickBot="1">
      <c r="B5" s="224"/>
      <c r="C5" s="809"/>
      <c r="D5" s="809"/>
      <c r="E5" s="809"/>
      <c r="F5" s="809"/>
      <c r="G5" s="809"/>
      <c r="H5" s="809"/>
      <c r="I5" s="224"/>
    </row>
    <row r="6" spans="2:13" ht="67" customHeight="1" thickBot="1">
      <c r="B6" s="809"/>
      <c r="C6" s="1309" t="str">
        <f>C38</f>
        <v>比坊梦联合体维持推荐仓位不变至1.19，此次没有任何公开市场操作。这显示了比坊梦宽松的货币政策，比坊梦预计市场即将进入扩张周期。</v>
      </c>
      <c r="D6" s="1309"/>
      <c r="E6" s="1309"/>
      <c r="F6" s="1309"/>
      <c r="G6" s="1309"/>
      <c r="H6" s="1309"/>
      <c r="I6" s="809"/>
      <c r="L6" s="1315" t="s">
        <v>199</v>
      </c>
      <c r="M6" s="1316"/>
    </row>
    <row r="7" spans="2:13" ht="22" customHeight="1" thickBot="1">
      <c r="B7" s="224"/>
      <c r="C7" s="113"/>
      <c r="D7" s="1310"/>
      <c r="E7" s="1310"/>
      <c r="F7" s="810"/>
      <c r="G7" s="811"/>
      <c r="H7" s="113"/>
      <c r="I7" s="224"/>
      <c r="L7" s="1279"/>
      <c r="M7" s="1280"/>
    </row>
    <row r="8" spans="2:13" ht="67" customHeight="1" thickBot="1">
      <c r="B8" s="205"/>
      <c r="C8" s="295" t="s">
        <v>187</v>
      </c>
      <c r="D8" s="33">
        <f>记录仪!$D$10</f>
        <v>60700</v>
      </c>
      <c r="E8" s="812"/>
      <c r="F8" s="1286" t="s">
        <v>20</v>
      </c>
      <c r="G8" s="1287"/>
      <c r="H8" s="813">
        <f>H40</f>
        <v>0</v>
      </c>
      <c r="I8" s="480" t="s">
        <v>250</v>
      </c>
    </row>
    <row r="9" spans="2:13" ht="67" customHeight="1" thickBot="1">
      <c r="B9" s="34"/>
      <c r="C9" s="296" t="s">
        <v>5</v>
      </c>
      <c r="D9" s="39">
        <f>记录仪!$D$11</f>
        <v>2.04</v>
      </c>
      <c r="E9" s="812"/>
      <c r="F9" s="1311">
        <f>F41</f>
        <v>1.1878973697903477</v>
      </c>
      <c r="G9" s="1312"/>
      <c r="H9" s="814">
        <f>H41</f>
        <v>1.0598448111112948</v>
      </c>
      <c r="I9" s="34" t="s">
        <v>234</v>
      </c>
      <c r="L9" s="1315" t="s">
        <v>76</v>
      </c>
      <c r="M9" s="1316"/>
    </row>
    <row r="10" spans="2:13" ht="67" customHeight="1" thickBot="1">
      <c r="B10" s="205"/>
      <c r="C10" s="297" t="s">
        <v>14</v>
      </c>
      <c r="D10" s="39">
        <f>记录仪!$D$12</f>
        <v>42000</v>
      </c>
      <c r="E10" s="812"/>
      <c r="F10" s="1313"/>
      <c r="G10" s="1314"/>
      <c r="H10" s="815">
        <f>H42</f>
        <v>0.93179225243224195</v>
      </c>
      <c r="I10" s="205" t="s">
        <v>235</v>
      </c>
      <c r="L10" s="1279"/>
      <c r="M10" s="1280"/>
    </row>
    <row r="11" spans="2:13" ht="67" customHeight="1" thickBot="1">
      <c r="B11" s="959" t="s">
        <v>637</v>
      </c>
      <c r="C11" s="957">
        <v>1</v>
      </c>
      <c r="D11" s="1087">
        <f>L43</f>
        <v>0.82705889573358959</v>
      </c>
      <c r="E11" s="816" t="s">
        <v>246</v>
      </c>
      <c r="F11" s="1281">
        <f>F43</f>
        <v>0.2561051173581057</v>
      </c>
      <c r="G11" s="1282"/>
      <c r="H11" s="817">
        <f>H43</f>
        <v>0.24491587641306992</v>
      </c>
      <c r="I11" s="224" t="s">
        <v>247</v>
      </c>
    </row>
    <row r="12" spans="2:13">
      <c r="B12" s="224"/>
      <c r="C12" s="113"/>
      <c r="D12" s="113"/>
      <c r="E12" s="113"/>
      <c r="F12" s="113"/>
      <c r="G12" s="113"/>
      <c r="H12" s="113"/>
      <c r="I12" s="224"/>
      <c r="L12" s="1276" t="s">
        <v>655</v>
      </c>
      <c r="M12" s="1277"/>
    </row>
    <row r="13" spans="2:13">
      <c r="B13" s="224"/>
      <c r="C13" s="113"/>
      <c r="D13" s="113"/>
      <c r="E13" s="113"/>
      <c r="F13" s="113"/>
      <c r="G13" s="113"/>
      <c r="H13" s="113"/>
      <c r="I13" s="224"/>
      <c r="L13" s="1277"/>
      <c r="M13" s="1277"/>
    </row>
    <row r="14" spans="2:13">
      <c r="B14" s="224"/>
      <c r="C14" s="113"/>
      <c r="D14" s="113"/>
      <c r="E14" s="113"/>
      <c r="F14" s="113"/>
      <c r="G14" s="113"/>
      <c r="H14" s="113"/>
      <c r="I14" s="224"/>
      <c r="L14" s="1277"/>
      <c r="M14" s="1277"/>
    </row>
    <row r="15" spans="2:13" ht="17" thickBot="1">
      <c r="B15" s="224"/>
      <c r="C15" s="113"/>
      <c r="D15" s="113"/>
      <c r="E15" s="113"/>
      <c r="F15" s="113"/>
      <c r="G15" s="113"/>
      <c r="H15" s="113"/>
      <c r="I15" s="224"/>
      <c r="L15" s="1278"/>
      <c r="M15" s="1278"/>
    </row>
    <row r="16" spans="2:13" ht="34" thickBot="1">
      <c r="B16" s="224"/>
      <c r="C16" s="113"/>
      <c r="D16" s="113"/>
      <c r="E16" s="113"/>
      <c r="F16" s="113"/>
      <c r="G16" s="113"/>
      <c r="H16" s="113"/>
      <c r="I16" s="224"/>
      <c r="L16" s="1279"/>
      <c r="M16" s="1280"/>
    </row>
    <row r="17" spans="2:9">
      <c r="B17" s="224"/>
      <c r="C17" s="113"/>
      <c r="D17" s="113"/>
      <c r="E17" s="113"/>
      <c r="F17" s="113"/>
      <c r="G17" s="113"/>
      <c r="H17" s="113"/>
      <c r="I17" s="224"/>
    </row>
    <row r="18" spans="2:9">
      <c r="B18" s="224"/>
      <c r="C18" s="113"/>
      <c r="D18" s="113"/>
      <c r="E18" s="113"/>
      <c r="F18" s="113"/>
      <c r="G18" s="113"/>
      <c r="H18" s="113"/>
      <c r="I18" s="224"/>
    </row>
    <row r="19" spans="2:9">
      <c r="B19" s="224"/>
      <c r="C19" s="113"/>
      <c r="D19" s="113"/>
      <c r="E19" s="113"/>
      <c r="F19" s="113"/>
      <c r="G19" s="113"/>
      <c r="H19" s="113"/>
      <c r="I19" s="224"/>
    </row>
    <row r="20" spans="2:9">
      <c r="B20" s="224"/>
      <c r="C20" s="113"/>
      <c r="D20" s="113"/>
      <c r="E20" s="113"/>
      <c r="F20" s="113"/>
      <c r="G20" s="113"/>
      <c r="H20" s="113"/>
      <c r="I20" s="224"/>
    </row>
    <row r="21" spans="2:9">
      <c r="B21" s="224"/>
      <c r="C21" s="113"/>
      <c r="D21" s="113"/>
      <c r="E21" s="113"/>
      <c r="F21" s="113"/>
      <c r="G21" s="113"/>
      <c r="H21" s="113"/>
      <c r="I21" s="224"/>
    </row>
    <row r="22" spans="2:9">
      <c r="B22" s="224"/>
      <c r="C22" s="113"/>
      <c r="D22" s="113"/>
      <c r="E22" s="113"/>
      <c r="F22" s="113"/>
      <c r="G22" s="113"/>
      <c r="H22" s="113"/>
      <c r="I22" s="224"/>
    </row>
    <row r="23" spans="2:9">
      <c r="B23" s="224"/>
      <c r="C23" s="113"/>
      <c r="D23" s="113"/>
      <c r="E23" s="113"/>
      <c r="F23" s="113"/>
      <c r="G23" s="113"/>
      <c r="H23" s="113"/>
      <c r="I23" s="224"/>
    </row>
    <row r="24" spans="2:9">
      <c r="B24" s="224"/>
      <c r="C24" s="113"/>
      <c r="D24" s="113"/>
      <c r="E24" s="113"/>
      <c r="F24" s="113"/>
      <c r="G24" s="113"/>
      <c r="H24" s="113"/>
      <c r="I24" s="224"/>
    </row>
    <row r="25" spans="2:9">
      <c r="B25" s="224"/>
      <c r="C25" s="113"/>
      <c r="D25" s="113"/>
      <c r="E25" s="113"/>
      <c r="F25" s="113"/>
      <c r="G25" s="113"/>
      <c r="H25" s="113"/>
      <c r="I25" s="224"/>
    </row>
    <row r="26" spans="2:9">
      <c r="B26" s="224"/>
      <c r="C26" s="113"/>
      <c r="D26" s="113"/>
      <c r="E26" s="113"/>
      <c r="F26" s="113"/>
      <c r="G26" s="113"/>
      <c r="H26" s="113"/>
      <c r="I26" s="224"/>
    </row>
    <row r="27" spans="2:9">
      <c r="B27" s="224"/>
      <c r="C27" s="113"/>
      <c r="D27" s="113"/>
      <c r="E27" s="113"/>
      <c r="F27" s="113"/>
      <c r="G27" s="113"/>
      <c r="H27" s="113"/>
      <c r="I27" s="224"/>
    </row>
    <row r="28" spans="2:9">
      <c r="B28" s="224"/>
      <c r="C28" s="113"/>
      <c r="D28" s="113"/>
      <c r="E28" s="113"/>
      <c r="F28" s="113"/>
      <c r="G28" s="113"/>
      <c r="H28" s="113"/>
      <c r="I28" s="224"/>
    </row>
    <row r="29" spans="2:9">
      <c r="B29" s="224"/>
      <c r="C29" s="113"/>
      <c r="D29" s="113"/>
      <c r="E29" s="113"/>
      <c r="F29" s="113"/>
      <c r="G29" s="113"/>
      <c r="H29" s="113"/>
      <c r="I29" s="224"/>
    </row>
    <row r="30" spans="2:9">
      <c r="B30" s="224"/>
      <c r="C30" s="113"/>
      <c r="D30" s="113"/>
      <c r="E30" s="113"/>
      <c r="F30" s="113"/>
      <c r="G30" s="113"/>
      <c r="H30" s="113"/>
      <c r="I30" s="224"/>
    </row>
    <row r="31" spans="2:9">
      <c r="B31" s="224"/>
      <c r="C31" s="113"/>
      <c r="D31" s="113"/>
      <c r="E31" s="113"/>
      <c r="F31" s="113"/>
      <c r="G31" s="113"/>
      <c r="H31" s="113"/>
      <c r="I31" s="224"/>
    </row>
    <row r="32" spans="2:9">
      <c r="B32" s="224"/>
      <c r="C32" s="113"/>
      <c r="D32" s="113"/>
      <c r="E32" s="113"/>
      <c r="F32" s="113"/>
      <c r="G32" s="113"/>
      <c r="H32" s="113"/>
      <c r="I32" s="224"/>
    </row>
    <row r="33" spans="2:16374">
      <c r="B33" s="224"/>
      <c r="C33" s="113"/>
      <c r="D33" s="113"/>
      <c r="E33" s="113"/>
      <c r="F33" s="113"/>
      <c r="G33" s="113"/>
      <c r="H33" s="113"/>
      <c r="I33" s="224"/>
    </row>
    <row r="34" spans="2:16374">
      <c r="B34" s="205"/>
      <c r="C34" s="113"/>
      <c r="D34" s="113"/>
      <c r="E34" s="113"/>
      <c r="F34" s="113"/>
      <c r="G34" s="113"/>
      <c r="H34" s="113"/>
      <c r="I34" s="205"/>
    </row>
    <row r="35" spans="2:16374">
      <c r="B35" s="818"/>
      <c r="C35" s="205"/>
      <c r="D35" s="224"/>
      <c r="E35" s="224"/>
      <c r="F35" s="224"/>
      <c r="G35" s="224"/>
      <c r="H35" s="205"/>
      <c r="I35" s="812"/>
    </row>
    <row r="36" spans="2:16374" ht="74" customHeight="1"/>
    <row r="37" spans="2:16374" ht="63" customHeight="1">
      <c r="B37" s="262"/>
      <c r="C37" s="205"/>
      <c r="D37" s="34"/>
      <c r="E37" s="191"/>
      <c r="F37" s="34"/>
      <c r="G37" s="205"/>
      <c r="H37" s="205"/>
      <c r="I37" s="262"/>
      <c r="K37" s="42"/>
      <c r="L37" s="189"/>
      <c r="M37" s="42"/>
      <c r="N37" s="189"/>
      <c r="O37" s="42"/>
      <c r="Q37" s="207"/>
      <c r="R37" s="186"/>
      <c r="S37" s="207"/>
      <c r="T37" s="186"/>
      <c r="U37" s="207"/>
      <c r="V37" s="186"/>
      <c r="W37" s="207"/>
      <c r="X37" s="186"/>
      <c r="Y37" s="207"/>
      <c r="Z37" s="186"/>
      <c r="AA37" s="207"/>
      <c r="AB37" s="186"/>
      <c r="AC37" s="207"/>
      <c r="AD37" s="186"/>
      <c r="AE37" s="207"/>
    </row>
    <row r="38" spans="2:16374" ht="63" customHeight="1">
      <c r="B38" s="205"/>
      <c r="C38" s="1285" t="str">
        <f>$R$59&amp;$Y$59&amp;$R$63&amp;$Y$63</f>
        <v>比坊梦联合体维持推荐仓位不变至1.19，此次没有任何公开市场操作。这显示了比坊梦宽松的货币政策，比坊梦预计市场即将进入扩张周期。</v>
      </c>
      <c r="D38" s="1285"/>
      <c r="E38" s="1285"/>
      <c r="F38" s="1285"/>
      <c r="G38" s="1285"/>
      <c r="H38" s="1285"/>
      <c r="I38" s="205"/>
      <c r="K38" s="189"/>
      <c r="L38" s="42"/>
      <c r="M38" s="189"/>
      <c r="N38" s="42"/>
      <c r="O38" s="189"/>
      <c r="Q38" s="186"/>
      <c r="R38" s="207"/>
      <c r="S38" s="186"/>
      <c r="T38" s="207"/>
      <c r="U38" s="186"/>
      <c r="V38" s="207"/>
      <c r="W38" s="186"/>
      <c r="X38" s="207"/>
      <c r="Y38" s="186"/>
      <c r="Z38" s="207"/>
      <c r="AA38" s="186"/>
      <c r="AB38" s="207"/>
      <c r="AC38" s="186"/>
      <c r="AD38" s="207"/>
      <c r="AE38" s="186"/>
    </row>
    <row r="39" spans="2:16374" ht="63" customHeight="1" thickBot="1">
      <c r="B39" s="262"/>
      <c r="C39" s="205"/>
      <c r="D39" s="34"/>
      <c r="E39" s="191"/>
      <c r="F39" s="34"/>
      <c r="G39" s="205"/>
      <c r="H39" s="205"/>
      <c r="I39" s="262"/>
      <c r="J39" s="137"/>
      <c r="K39" s="42"/>
      <c r="L39" s="189"/>
      <c r="M39" s="42"/>
      <c r="N39" s="189"/>
      <c r="O39" s="42"/>
      <c r="Q39" s="207"/>
      <c r="R39" s="186"/>
      <c r="S39" s="207"/>
      <c r="T39" s="186"/>
      <c r="U39" s="207"/>
      <c r="V39" s="186"/>
      <c r="W39" s="207"/>
      <c r="X39" s="186"/>
      <c r="Y39" s="207"/>
      <c r="Z39" s="186"/>
      <c r="AA39" s="207"/>
      <c r="AB39" s="186"/>
      <c r="AC39" s="207"/>
      <c r="AD39" s="186"/>
      <c r="AE39" s="207"/>
    </row>
    <row r="40" spans="2:16374" s="28" customFormat="1" ht="56" customHeight="1" thickBot="1">
      <c r="B40" s="205"/>
      <c r="C40" s="295" t="s">
        <v>187</v>
      </c>
      <c r="D40" s="33">
        <f>记录仪!$D$10</f>
        <v>60700</v>
      </c>
      <c r="E40" s="38" t="s">
        <v>15</v>
      </c>
      <c r="F40" s="1286" t="s">
        <v>20</v>
      </c>
      <c r="G40" s="1287"/>
      <c r="H40" s="479">
        <f>ROUND(记录仪!$D$17,0)</f>
        <v>0</v>
      </c>
      <c r="I40" s="480" t="s">
        <v>250</v>
      </c>
      <c r="J40" s="26"/>
      <c r="K40" s="1307" t="s">
        <v>610</v>
      </c>
      <c r="L40" s="1308"/>
      <c r="M40" s="950" t="s">
        <v>605</v>
      </c>
      <c r="N40" s="951">
        <v>15</v>
      </c>
      <c r="O40" s="480" t="s">
        <v>603</v>
      </c>
      <c r="P40" s="27"/>
      <c r="Q40" s="137"/>
      <c r="R40" s="137"/>
      <c r="S40" s="137"/>
      <c r="T40" s="137"/>
      <c r="U40" s="137"/>
      <c r="V40" s="137"/>
      <c r="W40" s="137"/>
      <c r="X40" s="137"/>
      <c r="Y40" s="137"/>
      <c r="Z40" s="137"/>
      <c r="AA40" s="137"/>
      <c r="AB40" s="137"/>
      <c r="AC40" s="137"/>
      <c r="AD40" s="137"/>
      <c r="AE40" s="137"/>
      <c r="AV40" s="27"/>
      <c r="AW40" s="26"/>
      <c r="AX40" s="27"/>
      <c r="AY40" s="26"/>
      <c r="AZ40" s="27"/>
      <c r="BA40" s="26"/>
      <c r="BB40" s="27"/>
      <c r="BC40" s="26"/>
      <c r="BD40" s="27"/>
      <c r="BE40" s="26"/>
      <c r="BF40" s="27"/>
      <c r="BG40" s="26"/>
      <c r="BH40" s="27"/>
      <c r="BI40" s="26"/>
      <c r="BJ40" s="27"/>
      <c r="BK40" s="26"/>
      <c r="BL40" s="27"/>
      <c r="BM40" s="26"/>
      <c r="BN40" s="27"/>
      <c r="BO40" s="26"/>
      <c r="BP40" s="27"/>
      <c r="BQ40" s="26"/>
      <c r="BR40" s="27"/>
      <c r="BS40" s="26"/>
      <c r="BT40" s="27"/>
      <c r="BU40" s="26"/>
      <c r="BV40" s="27"/>
      <c r="BW40" s="26"/>
      <c r="BX40" s="27"/>
      <c r="BY40" s="26"/>
      <c r="BZ40" s="27"/>
      <c r="CA40" s="26"/>
      <c r="CB40" s="27"/>
      <c r="CC40" s="26"/>
      <c r="CD40" s="27"/>
      <c r="CE40" s="26"/>
      <c r="CF40" s="27"/>
      <c r="CG40" s="26"/>
      <c r="CH40" s="27"/>
      <c r="CI40" s="26"/>
      <c r="CJ40" s="27"/>
      <c r="CK40" s="26"/>
      <c r="CL40" s="27"/>
      <c r="CM40" s="26"/>
      <c r="CN40" s="27"/>
      <c r="CO40" s="26"/>
      <c r="CP40" s="27"/>
      <c r="CQ40" s="26"/>
      <c r="CR40" s="27"/>
      <c r="CS40" s="26"/>
      <c r="CT40" s="27"/>
      <c r="CU40" s="26"/>
      <c r="CV40" s="27"/>
      <c r="CW40" s="26"/>
      <c r="CX40" s="27"/>
      <c r="CY40" s="26"/>
      <c r="CZ40" s="27"/>
      <c r="DA40" s="26"/>
      <c r="DB40" s="27"/>
      <c r="DC40" s="26"/>
      <c r="DD40" s="27"/>
      <c r="DE40" s="26"/>
      <c r="DF40" s="27"/>
      <c r="DG40" s="26"/>
      <c r="DH40" s="27"/>
      <c r="DI40" s="26"/>
      <c r="DJ40" s="27"/>
      <c r="DK40" s="26"/>
      <c r="DL40" s="27"/>
      <c r="DM40" s="26"/>
      <c r="DN40" s="27"/>
      <c r="DO40" s="26"/>
      <c r="DP40" s="27"/>
      <c r="DQ40" s="26"/>
      <c r="DR40" s="27"/>
      <c r="DS40" s="26"/>
      <c r="DT40" s="27"/>
      <c r="DU40" s="26"/>
      <c r="DV40" s="27"/>
      <c r="DW40" s="26"/>
      <c r="DX40" s="27"/>
      <c r="DY40" s="26"/>
      <c r="DZ40" s="27"/>
      <c r="EA40" s="26"/>
      <c r="EB40" s="27"/>
      <c r="EC40" s="26"/>
      <c r="ED40" s="27"/>
      <c r="EE40" s="26"/>
      <c r="EF40" s="27"/>
      <c r="EG40" s="26"/>
      <c r="EH40" s="27"/>
      <c r="EI40" s="26"/>
      <c r="EJ40" s="27"/>
      <c r="EK40" s="26"/>
      <c r="EL40" s="27"/>
      <c r="EM40" s="26"/>
      <c r="EN40" s="27"/>
      <c r="EO40" s="26"/>
      <c r="EP40" s="27"/>
      <c r="EQ40" s="26"/>
      <c r="ER40" s="27"/>
      <c r="ES40" s="26"/>
      <c r="ET40" s="27"/>
      <c r="EU40" s="26"/>
      <c r="EV40" s="27"/>
      <c r="EW40" s="26"/>
      <c r="EX40" s="27"/>
      <c r="EY40" s="26"/>
      <c r="EZ40" s="27"/>
      <c r="FA40" s="26"/>
      <c r="FB40" s="27"/>
      <c r="FC40" s="26"/>
      <c r="FD40" s="27"/>
      <c r="FE40" s="26"/>
      <c r="FF40" s="27"/>
      <c r="FG40" s="26"/>
      <c r="FH40" s="27"/>
      <c r="FI40" s="26"/>
      <c r="FJ40" s="27"/>
      <c r="FK40" s="26"/>
      <c r="FL40" s="27"/>
      <c r="FM40" s="26"/>
      <c r="FN40" s="27"/>
      <c r="FO40" s="26"/>
      <c r="FP40" s="27"/>
      <c r="FQ40" s="26"/>
      <c r="FR40" s="27"/>
      <c r="FS40" s="26"/>
      <c r="FT40" s="27"/>
      <c r="FU40" s="26"/>
      <c r="FV40" s="27"/>
      <c r="FW40" s="26"/>
      <c r="FX40" s="27"/>
      <c r="FY40" s="26"/>
      <c r="FZ40" s="27"/>
      <c r="GA40" s="26"/>
      <c r="GB40" s="27"/>
      <c r="GC40" s="26"/>
      <c r="GD40" s="27"/>
      <c r="GE40" s="26"/>
      <c r="GF40" s="27"/>
      <c r="GG40" s="26"/>
      <c r="GH40" s="27"/>
      <c r="GI40" s="26"/>
      <c r="GJ40" s="27"/>
      <c r="GK40" s="26"/>
      <c r="GL40" s="27"/>
      <c r="GM40" s="26"/>
      <c r="GN40" s="27"/>
      <c r="GO40" s="26"/>
      <c r="GP40" s="27"/>
      <c r="GQ40" s="26"/>
      <c r="GR40" s="27"/>
      <c r="GS40" s="26"/>
      <c r="GT40" s="27"/>
      <c r="GU40" s="26"/>
      <c r="GV40" s="27"/>
      <c r="GW40" s="26"/>
      <c r="GX40" s="27"/>
      <c r="GY40" s="26"/>
      <c r="GZ40" s="27"/>
      <c r="HA40" s="26"/>
      <c r="HB40" s="27"/>
      <c r="HC40" s="26"/>
      <c r="HD40" s="27"/>
      <c r="HE40" s="26"/>
      <c r="HF40" s="27"/>
      <c r="HG40" s="26"/>
      <c r="HH40" s="27"/>
      <c r="HI40" s="26"/>
      <c r="HJ40" s="27"/>
      <c r="HK40" s="26"/>
      <c r="HL40" s="27"/>
      <c r="HM40" s="26"/>
      <c r="HN40" s="27"/>
      <c r="HO40" s="26"/>
      <c r="HP40" s="27"/>
      <c r="HQ40" s="26"/>
      <c r="HR40" s="27"/>
      <c r="HS40" s="26"/>
      <c r="HT40" s="27"/>
      <c r="HU40" s="26"/>
      <c r="HV40" s="27"/>
      <c r="HW40" s="26"/>
      <c r="HX40" s="27"/>
      <c r="HY40" s="26"/>
      <c r="HZ40" s="27"/>
      <c r="IA40" s="26"/>
      <c r="IB40" s="27"/>
      <c r="IC40" s="26"/>
      <c r="ID40" s="27"/>
      <c r="IE40" s="26"/>
      <c r="IF40" s="27"/>
      <c r="IG40" s="26"/>
      <c r="IH40" s="27"/>
      <c r="II40" s="26"/>
      <c r="IJ40" s="27"/>
      <c r="IK40" s="26"/>
      <c r="IL40" s="27"/>
      <c r="IM40" s="26"/>
      <c r="IN40" s="27"/>
      <c r="IO40" s="26"/>
      <c r="IP40" s="27"/>
      <c r="IQ40" s="26"/>
      <c r="IR40" s="27"/>
      <c r="IS40" s="26"/>
      <c r="IT40" s="27"/>
      <c r="IU40" s="26"/>
      <c r="IV40" s="27"/>
      <c r="IW40" s="26"/>
      <c r="IX40" s="27"/>
      <c r="IY40" s="26"/>
      <c r="IZ40" s="27"/>
      <c r="JA40" s="26"/>
      <c r="JB40" s="27"/>
      <c r="JC40" s="26"/>
      <c r="JD40" s="27"/>
      <c r="JE40" s="26"/>
      <c r="JF40" s="27"/>
      <c r="JG40" s="26"/>
      <c r="JH40" s="27"/>
      <c r="JI40" s="26"/>
      <c r="JJ40" s="27"/>
      <c r="JK40" s="26"/>
      <c r="JL40" s="27"/>
      <c r="JM40" s="26"/>
      <c r="JN40" s="27"/>
      <c r="JO40" s="26"/>
      <c r="JP40" s="27"/>
      <c r="JQ40" s="26"/>
      <c r="JR40" s="27"/>
      <c r="JS40" s="26"/>
      <c r="JT40" s="27"/>
      <c r="JU40" s="26"/>
      <c r="JV40" s="27"/>
      <c r="JW40" s="26"/>
      <c r="JX40" s="27"/>
      <c r="JY40" s="26"/>
      <c r="JZ40" s="27"/>
      <c r="KA40" s="26"/>
      <c r="KB40" s="27"/>
      <c r="KC40" s="26"/>
      <c r="KD40" s="27"/>
      <c r="KE40" s="26"/>
      <c r="KF40" s="27"/>
      <c r="KG40" s="26"/>
      <c r="KH40" s="27"/>
      <c r="KI40" s="26"/>
      <c r="KJ40" s="27"/>
      <c r="KK40" s="26"/>
      <c r="KL40" s="27"/>
      <c r="KM40" s="26"/>
      <c r="KN40" s="27"/>
      <c r="KO40" s="26"/>
      <c r="KP40" s="27"/>
      <c r="KQ40" s="26"/>
      <c r="KR40" s="27"/>
      <c r="KS40" s="26"/>
      <c r="KT40" s="27"/>
      <c r="KU40" s="26"/>
      <c r="KV40" s="27"/>
      <c r="KW40" s="26"/>
      <c r="KX40" s="27"/>
      <c r="KY40" s="26"/>
      <c r="KZ40" s="27"/>
      <c r="LA40" s="26"/>
      <c r="LB40" s="27"/>
      <c r="LC40" s="26"/>
      <c r="LD40" s="27"/>
      <c r="LE40" s="26"/>
      <c r="LF40" s="27"/>
      <c r="LG40" s="26"/>
      <c r="LH40" s="27"/>
      <c r="LI40" s="26"/>
      <c r="LJ40" s="27"/>
      <c r="LK40" s="26"/>
      <c r="LL40" s="27"/>
      <c r="LM40" s="26"/>
      <c r="LN40" s="27"/>
      <c r="LO40" s="26"/>
      <c r="LP40" s="27"/>
      <c r="LQ40" s="26"/>
      <c r="LR40" s="27"/>
      <c r="LS40" s="26"/>
      <c r="LT40" s="27"/>
      <c r="LU40" s="26"/>
      <c r="LV40" s="27"/>
      <c r="LW40" s="26"/>
      <c r="LX40" s="27"/>
      <c r="LY40" s="26"/>
      <c r="LZ40" s="27"/>
      <c r="MA40" s="26"/>
      <c r="MB40" s="27"/>
      <c r="MC40" s="26"/>
      <c r="MD40" s="27"/>
      <c r="ME40" s="26"/>
      <c r="MF40" s="27"/>
      <c r="MG40" s="26"/>
      <c r="MH40" s="27"/>
      <c r="MI40" s="26"/>
      <c r="MJ40" s="27"/>
      <c r="MK40" s="26"/>
      <c r="ML40" s="27"/>
      <c r="MM40" s="26"/>
      <c r="MN40" s="27"/>
      <c r="MO40" s="26"/>
      <c r="MP40" s="27"/>
      <c r="MQ40" s="26"/>
      <c r="MR40" s="27"/>
      <c r="MS40" s="26"/>
      <c r="MT40" s="27"/>
      <c r="MU40" s="26"/>
      <c r="MV40" s="27"/>
      <c r="MW40" s="26"/>
      <c r="MX40" s="27"/>
      <c r="MY40" s="26"/>
      <c r="MZ40" s="27"/>
      <c r="NA40" s="26"/>
      <c r="NB40" s="27"/>
      <c r="NC40" s="26"/>
      <c r="ND40" s="27"/>
      <c r="NE40" s="26"/>
      <c r="NF40" s="27"/>
      <c r="NG40" s="26"/>
      <c r="NH40" s="27"/>
      <c r="NI40" s="26"/>
      <c r="NJ40" s="27"/>
      <c r="NK40" s="26"/>
      <c r="NL40" s="27"/>
      <c r="NM40" s="26"/>
      <c r="NN40" s="27"/>
      <c r="NO40" s="26"/>
      <c r="NP40" s="27"/>
      <c r="NQ40" s="26"/>
      <c r="NR40" s="27"/>
      <c r="NS40" s="26"/>
      <c r="NT40" s="27"/>
      <c r="NU40" s="26"/>
      <c r="NV40" s="27"/>
      <c r="NW40" s="26"/>
      <c r="NX40" s="27"/>
      <c r="NY40" s="26"/>
      <c r="NZ40" s="27"/>
      <c r="OA40" s="26"/>
      <c r="OB40" s="27"/>
      <c r="OC40" s="26"/>
      <c r="OD40" s="27"/>
      <c r="OE40" s="26"/>
      <c r="OF40" s="27"/>
      <c r="OG40" s="26"/>
      <c r="OH40" s="27"/>
      <c r="OI40" s="26"/>
      <c r="OJ40" s="27"/>
      <c r="OK40" s="26"/>
      <c r="OL40" s="27"/>
      <c r="OM40" s="26"/>
      <c r="ON40" s="27"/>
      <c r="OO40" s="26"/>
      <c r="OP40" s="27"/>
      <c r="OQ40" s="26"/>
      <c r="OR40" s="27"/>
      <c r="OS40" s="26"/>
      <c r="OT40" s="27"/>
      <c r="OU40" s="26"/>
      <c r="OV40" s="27"/>
      <c r="OW40" s="26"/>
      <c r="OX40" s="27"/>
      <c r="OY40" s="26"/>
      <c r="OZ40" s="27"/>
      <c r="PA40" s="26"/>
      <c r="PB40" s="27"/>
      <c r="PC40" s="26"/>
      <c r="PD40" s="27"/>
      <c r="PE40" s="26"/>
      <c r="PF40" s="27"/>
      <c r="PG40" s="26"/>
      <c r="PH40" s="27"/>
      <c r="PI40" s="26"/>
      <c r="PJ40" s="27"/>
      <c r="PK40" s="26"/>
      <c r="PL40" s="27"/>
      <c r="PM40" s="26"/>
      <c r="PN40" s="27"/>
      <c r="PO40" s="26"/>
      <c r="PP40" s="27"/>
      <c r="PQ40" s="26"/>
      <c r="PR40" s="27"/>
      <c r="PS40" s="26"/>
      <c r="PT40" s="27"/>
      <c r="PU40" s="26"/>
      <c r="PV40" s="27"/>
      <c r="PW40" s="26"/>
      <c r="PX40" s="27"/>
      <c r="PY40" s="26"/>
      <c r="PZ40" s="27"/>
      <c r="QA40" s="26"/>
      <c r="QB40" s="27"/>
      <c r="QC40" s="26"/>
      <c r="QD40" s="27"/>
      <c r="QE40" s="26"/>
      <c r="QF40" s="27"/>
      <c r="QG40" s="26"/>
      <c r="QH40" s="27"/>
      <c r="QI40" s="26"/>
      <c r="QJ40" s="27"/>
      <c r="QK40" s="26"/>
      <c r="QL40" s="27"/>
      <c r="QM40" s="26"/>
      <c r="QN40" s="27"/>
      <c r="QO40" s="26"/>
      <c r="QP40" s="27"/>
      <c r="QQ40" s="26"/>
      <c r="QR40" s="27"/>
      <c r="QS40" s="26"/>
      <c r="QT40" s="27"/>
      <c r="QU40" s="26"/>
      <c r="QV40" s="27"/>
      <c r="QW40" s="26"/>
      <c r="QX40" s="27"/>
      <c r="QY40" s="26"/>
      <c r="QZ40" s="27"/>
      <c r="RA40" s="26"/>
      <c r="RB40" s="27"/>
      <c r="RC40" s="26"/>
      <c r="RD40" s="27"/>
      <c r="RE40" s="26"/>
      <c r="RF40" s="27"/>
      <c r="RG40" s="26"/>
      <c r="RH40" s="27"/>
      <c r="RI40" s="26"/>
      <c r="RJ40" s="27"/>
      <c r="RK40" s="26"/>
      <c r="RL40" s="27"/>
      <c r="RM40" s="26"/>
      <c r="RN40" s="27"/>
      <c r="RO40" s="26"/>
      <c r="RP40" s="27"/>
      <c r="RQ40" s="26"/>
      <c r="RR40" s="27"/>
      <c r="RS40" s="26"/>
      <c r="RT40" s="27"/>
      <c r="RU40" s="26"/>
      <c r="RV40" s="27"/>
      <c r="RW40" s="26"/>
      <c r="RX40" s="27"/>
      <c r="RY40" s="26"/>
      <c r="RZ40" s="27"/>
      <c r="SA40" s="26"/>
      <c r="SB40" s="27"/>
      <c r="SC40" s="26"/>
      <c r="SD40" s="27"/>
      <c r="SE40" s="26"/>
      <c r="SF40" s="27"/>
      <c r="SG40" s="26"/>
      <c r="SH40" s="27"/>
      <c r="SI40" s="26"/>
      <c r="SJ40" s="27"/>
      <c r="SK40" s="26"/>
      <c r="SL40" s="27"/>
      <c r="SM40" s="26"/>
      <c r="SN40" s="27"/>
      <c r="SO40" s="26"/>
      <c r="SP40" s="27"/>
      <c r="SQ40" s="26"/>
      <c r="SR40" s="27"/>
      <c r="SS40" s="26"/>
      <c r="ST40" s="27"/>
      <c r="SU40" s="26"/>
      <c r="SV40" s="27"/>
      <c r="SW40" s="26"/>
      <c r="SX40" s="27"/>
      <c r="SY40" s="26"/>
      <c r="SZ40" s="27"/>
      <c r="TA40" s="26"/>
      <c r="TB40" s="27"/>
      <c r="TC40" s="26"/>
      <c r="TD40" s="27"/>
      <c r="TE40" s="26"/>
      <c r="TF40" s="27"/>
      <c r="TG40" s="26"/>
      <c r="TH40" s="27"/>
      <c r="TI40" s="26"/>
      <c r="TJ40" s="27"/>
      <c r="TK40" s="26"/>
      <c r="TL40" s="27"/>
      <c r="TM40" s="26"/>
      <c r="TN40" s="27"/>
      <c r="TO40" s="26"/>
      <c r="TP40" s="27"/>
      <c r="TQ40" s="26"/>
      <c r="TR40" s="27"/>
      <c r="TS40" s="26"/>
      <c r="TT40" s="27"/>
      <c r="TU40" s="26"/>
      <c r="TV40" s="27"/>
      <c r="TW40" s="26"/>
      <c r="TX40" s="27"/>
      <c r="TY40" s="26"/>
      <c r="TZ40" s="27"/>
      <c r="UA40" s="26"/>
      <c r="UB40" s="27"/>
      <c r="UC40" s="26"/>
      <c r="UD40" s="27"/>
      <c r="UE40" s="26"/>
      <c r="UF40" s="27"/>
      <c r="UG40" s="26"/>
      <c r="UH40" s="27"/>
      <c r="UI40" s="26"/>
      <c r="UJ40" s="27"/>
      <c r="UK40" s="26"/>
      <c r="UL40" s="27"/>
      <c r="UM40" s="26"/>
      <c r="UN40" s="27"/>
      <c r="UO40" s="26"/>
      <c r="UP40" s="27"/>
      <c r="UQ40" s="26"/>
      <c r="UR40" s="27"/>
      <c r="US40" s="26"/>
      <c r="UT40" s="27"/>
      <c r="UU40" s="26"/>
      <c r="UV40" s="27"/>
      <c r="UW40" s="26"/>
      <c r="UX40" s="27"/>
      <c r="UY40" s="26"/>
      <c r="UZ40" s="27"/>
      <c r="VA40" s="26"/>
      <c r="VB40" s="27"/>
      <c r="VC40" s="26"/>
      <c r="VD40" s="27"/>
      <c r="VE40" s="26"/>
      <c r="VF40" s="27"/>
      <c r="VG40" s="26"/>
      <c r="VH40" s="27"/>
      <c r="VI40" s="26"/>
      <c r="VJ40" s="27"/>
      <c r="VK40" s="26"/>
      <c r="VL40" s="27"/>
      <c r="VM40" s="26"/>
      <c r="VN40" s="27"/>
      <c r="VO40" s="26"/>
      <c r="VP40" s="27"/>
      <c r="VQ40" s="26"/>
      <c r="VR40" s="27"/>
      <c r="VS40" s="26"/>
      <c r="VT40" s="27"/>
      <c r="VU40" s="26"/>
      <c r="VV40" s="27"/>
      <c r="VW40" s="26"/>
      <c r="VX40" s="27"/>
      <c r="VY40" s="26"/>
      <c r="VZ40" s="27"/>
      <c r="WA40" s="26"/>
      <c r="WB40" s="27"/>
      <c r="WC40" s="26"/>
      <c r="WD40" s="27"/>
      <c r="WE40" s="26"/>
      <c r="WF40" s="27"/>
      <c r="WG40" s="26"/>
      <c r="WH40" s="27"/>
      <c r="WI40" s="26"/>
      <c r="WJ40" s="27"/>
      <c r="WK40" s="26"/>
      <c r="WL40" s="27"/>
      <c r="WM40" s="26"/>
      <c r="WN40" s="27"/>
      <c r="WO40" s="26"/>
      <c r="WP40" s="27"/>
      <c r="WQ40" s="26"/>
      <c r="WR40" s="27"/>
      <c r="WS40" s="26"/>
      <c r="WT40" s="27"/>
      <c r="WU40" s="26"/>
      <c r="WV40" s="27"/>
      <c r="WW40" s="26"/>
      <c r="WX40" s="27"/>
      <c r="WY40" s="26"/>
      <c r="WZ40" s="27"/>
      <c r="XA40" s="26"/>
      <c r="XB40" s="27"/>
      <c r="XC40" s="26"/>
      <c r="XD40" s="27"/>
      <c r="XE40" s="26"/>
      <c r="XF40" s="27"/>
      <c r="XG40" s="26"/>
      <c r="XH40" s="27"/>
      <c r="XI40" s="26"/>
      <c r="XJ40" s="27"/>
      <c r="XK40" s="26"/>
      <c r="XL40" s="27"/>
      <c r="XM40" s="26"/>
      <c r="XN40" s="27"/>
      <c r="XO40" s="26"/>
      <c r="XP40" s="27"/>
      <c r="XQ40" s="26"/>
      <c r="XR40" s="27"/>
      <c r="XS40" s="26"/>
      <c r="XT40" s="27"/>
      <c r="XU40" s="26"/>
      <c r="XV40" s="27"/>
      <c r="XW40" s="26"/>
      <c r="XX40" s="27"/>
      <c r="XY40" s="26"/>
      <c r="XZ40" s="27"/>
      <c r="YA40" s="26"/>
      <c r="YB40" s="27"/>
      <c r="YC40" s="26"/>
      <c r="YD40" s="27"/>
      <c r="YE40" s="26"/>
      <c r="YF40" s="27"/>
      <c r="YG40" s="26"/>
      <c r="YH40" s="27"/>
      <c r="YI40" s="26"/>
      <c r="YJ40" s="27"/>
      <c r="YK40" s="26"/>
      <c r="YL40" s="27"/>
      <c r="YM40" s="26"/>
      <c r="YN40" s="27"/>
      <c r="YO40" s="26"/>
      <c r="YP40" s="27"/>
      <c r="YQ40" s="26"/>
      <c r="YR40" s="27"/>
      <c r="YS40" s="26"/>
      <c r="YT40" s="27"/>
      <c r="YU40" s="26"/>
      <c r="YV40" s="27"/>
      <c r="YW40" s="26"/>
      <c r="YX40" s="27"/>
      <c r="YY40" s="26"/>
      <c r="YZ40" s="27"/>
      <c r="ZA40" s="26"/>
      <c r="ZB40" s="27"/>
      <c r="ZC40" s="26"/>
      <c r="ZD40" s="27"/>
      <c r="ZE40" s="26"/>
      <c r="ZF40" s="27"/>
      <c r="ZG40" s="26"/>
      <c r="ZH40" s="27"/>
      <c r="ZI40" s="26"/>
      <c r="ZJ40" s="27"/>
      <c r="ZK40" s="26"/>
      <c r="ZL40" s="27"/>
      <c r="ZM40" s="26"/>
      <c r="ZN40" s="27"/>
      <c r="ZO40" s="26"/>
      <c r="ZP40" s="27"/>
      <c r="ZQ40" s="26"/>
      <c r="ZR40" s="27"/>
      <c r="ZS40" s="26"/>
      <c r="ZT40" s="27"/>
      <c r="ZU40" s="26"/>
      <c r="ZV40" s="27"/>
      <c r="ZW40" s="26"/>
      <c r="ZX40" s="27"/>
      <c r="ZY40" s="26"/>
      <c r="ZZ40" s="27"/>
      <c r="AAA40" s="26"/>
      <c r="AAB40" s="27"/>
      <c r="AAC40" s="26"/>
      <c r="AAD40" s="27"/>
      <c r="AAE40" s="26"/>
      <c r="AAF40" s="27"/>
      <c r="AAG40" s="26"/>
      <c r="AAH40" s="27"/>
      <c r="AAI40" s="26"/>
      <c r="AAJ40" s="27"/>
      <c r="AAK40" s="26"/>
      <c r="AAL40" s="27"/>
      <c r="AAM40" s="26"/>
      <c r="AAN40" s="27"/>
      <c r="AAO40" s="26"/>
      <c r="AAP40" s="27"/>
      <c r="AAQ40" s="26"/>
      <c r="AAR40" s="27"/>
      <c r="AAS40" s="26"/>
      <c r="AAT40" s="27"/>
      <c r="AAU40" s="26"/>
      <c r="AAV40" s="27"/>
      <c r="AAW40" s="26"/>
      <c r="AAX40" s="27"/>
      <c r="AAY40" s="26"/>
      <c r="AAZ40" s="27"/>
      <c r="ABA40" s="26"/>
      <c r="ABB40" s="27"/>
      <c r="ABC40" s="26"/>
      <c r="ABD40" s="27"/>
      <c r="ABE40" s="26"/>
      <c r="ABF40" s="27"/>
      <c r="ABG40" s="26"/>
      <c r="ABH40" s="27"/>
      <c r="ABI40" s="26"/>
      <c r="ABJ40" s="27"/>
      <c r="ABK40" s="26"/>
      <c r="ABL40" s="27"/>
      <c r="ABM40" s="26"/>
      <c r="ABN40" s="27"/>
      <c r="ABO40" s="26"/>
      <c r="ABP40" s="27"/>
      <c r="ABQ40" s="26"/>
      <c r="ABR40" s="27"/>
      <c r="ABS40" s="26"/>
      <c r="ABT40" s="27"/>
      <c r="ABU40" s="26"/>
      <c r="ABV40" s="27"/>
      <c r="ABW40" s="26"/>
      <c r="ABX40" s="27"/>
      <c r="ABY40" s="26"/>
      <c r="ABZ40" s="27"/>
      <c r="ACA40" s="26"/>
      <c r="ACB40" s="27"/>
      <c r="ACC40" s="26"/>
      <c r="ACD40" s="27"/>
      <c r="ACE40" s="26"/>
      <c r="ACF40" s="27"/>
      <c r="ACG40" s="26"/>
      <c r="ACH40" s="27"/>
      <c r="ACI40" s="26"/>
      <c r="ACJ40" s="27"/>
      <c r="ACK40" s="26"/>
      <c r="ACL40" s="27"/>
      <c r="ACM40" s="26"/>
      <c r="ACN40" s="27"/>
      <c r="ACO40" s="26"/>
      <c r="ACP40" s="27"/>
      <c r="ACQ40" s="26"/>
      <c r="ACR40" s="27"/>
      <c r="ACS40" s="26"/>
      <c r="ACT40" s="27"/>
      <c r="ACU40" s="26"/>
      <c r="ACV40" s="27"/>
      <c r="ACW40" s="26"/>
      <c r="ACX40" s="27"/>
      <c r="ACY40" s="26"/>
      <c r="ACZ40" s="27"/>
      <c r="ADA40" s="26"/>
      <c r="ADB40" s="27"/>
      <c r="ADC40" s="26"/>
      <c r="ADD40" s="27"/>
      <c r="ADE40" s="26"/>
      <c r="ADF40" s="27"/>
      <c r="ADG40" s="26"/>
      <c r="ADH40" s="27"/>
      <c r="ADI40" s="26"/>
      <c r="ADJ40" s="27"/>
      <c r="ADK40" s="26"/>
      <c r="ADL40" s="27"/>
      <c r="ADM40" s="26"/>
      <c r="ADN40" s="27"/>
      <c r="ADO40" s="26"/>
      <c r="ADP40" s="27"/>
      <c r="ADQ40" s="26"/>
      <c r="ADR40" s="27"/>
      <c r="ADS40" s="26"/>
      <c r="ADT40" s="27"/>
      <c r="ADU40" s="26"/>
      <c r="ADV40" s="27"/>
      <c r="ADW40" s="26"/>
      <c r="ADX40" s="27"/>
      <c r="ADY40" s="26"/>
      <c r="ADZ40" s="27"/>
      <c r="AEA40" s="26"/>
      <c r="AEB40" s="27"/>
      <c r="AEC40" s="26"/>
      <c r="AED40" s="27"/>
      <c r="AEE40" s="26"/>
      <c r="AEF40" s="27"/>
      <c r="AEG40" s="26"/>
      <c r="AEH40" s="27"/>
      <c r="AEI40" s="26"/>
      <c r="AEJ40" s="27"/>
      <c r="AEK40" s="26"/>
      <c r="AEL40" s="27"/>
      <c r="AEM40" s="26"/>
      <c r="AEN40" s="27"/>
      <c r="AEO40" s="26"/>
      <c r="AEP40" s="27"/>
      <c r="AEQ40" s="26"/>
      <c r="AER40" s="27"/>
      <c r="AES40" s="26"/>
      <c r="AET40" s="27"/>
      <c r="AEU40" s="26"/>
      <c r="AEV40" s="27"/>
      <c r="AEW40" s="26"/>
      <c r="AEX40" s="27"/>
      <c r="AEY40" s="26"/>
      <c r="AEZ40" s="27"/>
      <c r="AFA40" s="26"/>
      <c r="AFB40" s="27"/>
      <c r="AFC40" s="26"/>
      <c r="AFD40" s="27"/>
      <c r="AFE40" s="26"/>
      <c r="AFF40" s="27"/>
      <c r="AFG40" s="26"/>
      <c r="AFH40" s="27"/>
      <c r="AFI40" s="26"/>
      <c r="AFJ40" s="27"/>
      <c r="AFK40" s="26"/>
      <c r="AFL40" s="27"/>
      <c r="AFM40" s="26"/>
      <c r="AFN40" s="27"/>
      <c r="AFO40" s="26"/>
      <c r="AFP40" s="27"/>
      <c r="AFQ40" s="26"/>
      <c r="AFR40" s="27"/>
      <c r="AFS40" s="26"/>
      <c r="AFT40" s="27"/>
      <c r="AFU40" s="26"/>
      <c r="AFV40" s="27"/>
      <c r="AFW40" s="26"/>
      <c r="AFX40" s="27"/>
      <c r="AFY40" s="26"/>
      <c r="AFZ40" s="27"/>
      <c r="AGA40" s="26"/>
      <c r="AGB40" s="27"/>
      <c r="AGC40" s="26"/>
      <c r="AGD40" s="27"/>
      <c r="AGE40" s="26"/>
      <c r="AGF40" s="27"/>
      <c r="AGG40" s="26"/>
      <c r="AGH40" s="27"/>
      <c r="AGI40" s="26"/>
      <c r="AGJ40" s="27"/>
      <c r="AGK40" s="26"/>
      <c r="AGL40" s="27"/>
      <c r="AGM40" s="26"/>
      <c r="AGN40" s="27"/>
      <c r="AGO40" s="26"/>
      <c r="AGP40" s="27"/>
      <c r="AGQ40" s="26"/>
      <c r="AGR40" s="27"/>
      <c r="AGS40" s="26"/>
      <c r="AGT40" s="27"/>
      <c r="AGU40" s="26"/>
      <c r="AGV40" s="27"/>
      <c r="AGW40" s="26"/>
      <c r="AGX40" s="27"/>
      <c r="AGY40" s="26"/>
      <c r="AGZ40" s="27"/>
      <c r="AHA40" s="26"/>
      <c r="AHB40" s="27"/>
      <c r="AHC40" s="26"/>
      <c r="AHD40" s="27"/>
      <c r="AHE40" s="26"/>
      <c r="AHF40" s="27"/>
      <c r="AHG40" s="26"/>
      <c r="AHH40" s="27"/>
      <c r="AHI40" s="26"/>
      <c r="AHJ40" s="27"/>
      <c r="AHK40" s="26"/>
      <c r="AHL40" s="27"/>
      <c r="AHM40" s="26"/>
      <c r="AHN40" s="27"/>
      <c r="AHO40" s="26"/>
      <c r="AHP40" s="27"/>
      <c r="AHQ40" s="26"/>
      <c r="AHR40" s="27"/>
      <c r="AHS40" s="26"/>
      <c r="AHT40" s="27"/>
      <c r="AHU40" s="26"/>
      <c r="AHV40" s="27"/>
      <c r="AHW40" s="26"/>
      <c r="AHX40" s="27"/>
      <c r="AHY40" s="26"/>
      <c r="AHZ40" s="27"/>
      <c r="AIA40" s="26"/>
      <c r="AIB40" s="27"/>
      <c r="AIC40" s="26"/>
      <c r="AID40" s="27"/>
      <c r="AIE40" s="26"/>
      <c r="AIF40" s="27"/>
      <c r="AIG40" s="26"/>
      <c r="AIH40" s="27"/>
      <c r="AII40" s="26"/>
      <c r="AIJ40" s="27"/>
      <c r="AIK40" s="26"/>
      <c r="AIL40" s="27"/>
      <c r="AIM40" s="26"/>
      <c r="AIN40" s="27"/>
      <c r="AIO40" s="26"/>
      <c r="AIP40" s="27"/>
      <c r="AIQ40" s="26"/>
      <c r="AIR40" s="27"/>
      <c r="AIS40" s="26"/>
      <c r="AIT40" s="27"/>
      <c r="AIU40" s="26"/>
      <c r="AIV40" s="27"/>
      <c r="AIW40" s="26"/>
      <c r="AIX40" s="27"/>
      <c r="AIY40" s="26"/>
      <c r="AIZ40" s="27"/>
      <c r="AJA40" s="26"/>
      <c r="AJB40" s="27"/>
      <c r="AJC40" s="26"/>
      <c r="AJD40" s="27"/>
      <c r="AJE40" s="26"/>
      <c r="AJF40" s="27"/>
      <c r="AJG40" s="26"/>
      <c r="AJH40" s="27"/>
      <c r="AJI40" s="26"/>
      <c r="AJJ40" s="27"/>
      <c r="AJK40" s="26"/>
      <c r="AJL40" s="27"/>
      <c r="AJM40" s="26"/>
      <c r="AJN40" s="27"/>
      <c r="AJO40" s="26"/>
      <c r="AJP40" s="27"/>
      <c r="AJQ40" s="26"/>
      <c r="AJR40" s="27"/>
      <c r="AJS40" s="26"/>
      <c r="AJT40" s="27"/>
      <c r="AJU40" s="26"/>
      <c r="AJV40" s="27"/>
      <c r="AJW40" s="26"/>
      <c r="AJX40" s="27"/>
      <c r="AJY40" s="26"/>
      <c r="AJZ40" s="27"/>
      <c r="AKA40" s="26"/>
      <c r="AKB40" s="27"/>
      <c r="AKC40" s="26"/>
      <c r="AKD40" s="27"/>
      <c r="AKE40" s="26"/>
      <c r="AKF40" s="27"/>
      <c r="AKG40" s="26"/>
      <c r="AKH40" s="27"/>
      <c r="AKI40" s="26"/>
      <c r="AKJ40" s="27"/>
      <c r="AKK40" s="26"/>
      <c r="AKL40" s="27"/>
      <c r="AKM40" s="26"/>
      <c r="AKN40" s="27"/>
      <c r="AKO40" s="26"/>
      <c r="AKP40" s="27"/>
      <c r="AKQ40" s="26"/>
      <c r="AKR40" s="27"/>
      <c r="AKS40" s="26"/>
      <c r="AKT40" s="27"/>
      <c r="AKU40" s="26"/>
      <c r="AKV40" s="27"/>
      <c r="AKW40" s="26"/>
      <c r="AKX40" s="27"/>
      <c r="AKY40" s="26"/>
      <c r="AKZ40" s="27"/>
      <c r="ALA40" s="26"/>
      <c r="ALB40" s="27"/>
      <c r="ALC40" s="26"/>
      <c r="ALD40" s="27"/>
      <c r="ALE40" s="26"/>
      <c r="ALF40" s="27"/>
      <c r="ALG40" s="26"/>
      <c r="ALH40" s="27"/>
      <c r="ALI40" s="26"/>
      <c r="ALJ40" s="27"/>
      <c r="ALK40" s="26"/>
      <c r="ALL40" s="27"/>
      <c r="ALM40" s="26"/>
      <c r="ALN40" s="27"/>
      <c r="ALO40" s="26"/>
      <c r="ALP40" s="27"/>
      <c r="ALQ40" s="26"/>
      <c r="ALR40" s="27"/>
      <c r="ALS40" s="26"/>
      <c r="ALT40" s="27"/>
      <c r="ALU40" s="26"/>
      <c r="ALV40" s="27"/>
      <c r="ALW40" s="26"/>
      <c r="ALX40" s="27"/>
      <c r="ALY40" s="26"/>
      <c r="ALZ40" s="27"/>
      <c r="AMA40" s="26"/>
      <c r="AMB40" s="27"/>
      <c r="AMC40" s="26"/>
      <c r="AMD40" s="27"/>
      <c r="AME40" s="26"/>
      <c r="AMF40" s="27"/>
      <c r="AMG40" s="26"/>
      <c r="AMH40" s="27"/>
      <c r="AMI40" s="26"/>
      <c r="AMJ40" s="27"/>
      <c r="AMK40" s="26"/>
      <c r="AML40" s="27"/>
      <c r="AMM40" s="26"/>
      <c r="AMN40" s="27"/>
      <c r="AMO40" s="26"/>
      <c r="AMP40" s="27"/>
      <c r="AMQ40" s="26"/>
      <c r="AMR40" s="27"/>
      <c r="AMS40" s="26"/>
      <c r="AMT40" s="27"/>
      <c r="AMU40" s="26"/>
      <c r="AMV40" s="27"/>
      <c r="AMW40" s="26"/>
      <c r="AMX40" s="27"/>
      <c r="AMY40" s="26"/>
      <c r="AMZ40" s="27"/>
      <c r="ANA40" s="26"/>
      <c r="ANB40" s="27"/>
      <c r="ANC40" s="26"/>
      <c r="AND40" s="27"/>
      <c r="ANE40" s="26"/>
      <c r="ANF40" s="27"/>
      <c r="ANG40" s="26"/>
      <c r="ANH40" s="27"/>
      <c r="ANI40" s="26"/>
      <c r="ANJ40" s="27"/>
      <c r="ANK40" s="26"/>
      <c r="ANL40" s="27"/>
      <c r="ANM40" s="26"/>
      <c r="ANN40" s="27"/>
      <c r="ANO40" s="26"/>
      <c r="ANP40" s="27"/>
      <c r="ANQ40" s="26"/>
      <c r="ANR40" s="27"/>
      <c r="ANS40" s="26"/>
      <c r="ANT40" s="27"/>
      <c r="ANU40" s="26"/>
      <c r="ANV40" s="27"/>
      <c r="ANW40" s="26"/>
      <c r="ANX40" s="27"/>
      <c r="ANY40" s="26"/>
      <c r="ANZ40" s="27"/>
      <c r="AOA40" s="26"/>
      <c r="AOB40" s="27"/>
      <c r="AOC40" s="26"/>
      <c r="AOD40" s="27"/>
      <c r="AOE40" s="26"/>
      <c r="AOF40" s="27"/>
      <c r="AOG40" s="26"/>
      <c r="AOH40" s="27"/>
      <c r="AOI40" s="26"/>
      <c r="AOJ40" s="27"/>
      <c r="AOK40" s="26"/>
      <c r="AOL40" s="27"/>
      <c r="AOM40" s="26"/>
      <c r="AON40" s="27"/>
      <c r="AOO40" s="26"/>
      <c r="AOP40" s="27"/>
      <c r="AOQ40" s="26"/>
      <c r="AOR40" s="27"/>
      <c r="AOS40" s="26"/>
      <c r="AOT40" s="27"/>
      <c r="AOU40" s="26"/>
      <c r="AOV40" s="27"/>
      <c r="AOW40" s="26"/>
      <c r="AOX40" s="27"/>
      <c r="AOY40" s="26"/>
      <c r="AOZ40" s="27"/>
      <c r="APA40" s="26"/>
      <c r="APB40" s="27"/>
      <c r="APC40" s="26"/>
      <c r="APD40" s="27"/>
      <c r="APE40" s="26"/>
      <c r="APF40" s="27"/>
      <c r="APG40" s="26"/>
      <c r="APH40" s="27"/>
      <c r="API40" s="26"/>
      <c r="APJ40" s="27"/>
      <c r="APK40" s="26"/>
      <c r="APL40" s="27"/>
      <c r="APM40" s="26"/>
      <c r="APN40" s="27"/>
      <c r="APO40" s="26"/>
      <c r="APP40" s="27"/>
      <c r="APQ40" s="26"/>
      <c r="APR40" s="27"/>
      <c r="APS40" s="26"/>
      <c r="APT40" s="27"/>
      <c r="APU40" s="26"/>
      <c r="APV40" s="27"/>
      <c r="APW40" s="26"/>
      <c r="APX40" s="27"/>
      <c r="APY40" s="26"/>
      <c r="APZ40" s="27"/>
      <c r="AQA40" s="26"/>
      <c r="AQB40" s="27"/>
      <c r="AQC40" s="26"/>
      <c r="AQD40" s="27"/>
      <c r="AQE40" s="26"/>
      <c r="AQF40" s="27"/>
      <c r="AQG40" s="26"/>
      <c r="AQH40" s="27"/>
      <c r="AQI40" s="26"/>
      <c r="AQJ40" s="27"/>
      <c r="AQK40" s="26"/>
      <c r="AQL40" s="27"/>
      <c r="AQM40" s="26"/>
      <c r="AQN40" s="27"/>
      <c r="AQO40" s="26"/>
      <c r="AQP40" s="27"/>
      <c r="AQQ40" s="26"/>
      <c r="AQR40" s="27"/>
      <c r="AQS40" s="26"/>
      <c r="AQT40" s="27"/>
      <c r="AQU40" s="26"/>
      <c r="AQV40" s="27"/>
      <c r="AQW40" s="26"/>
      <c r="AQX40" s="27"/>
      <c r="AQY40" s="26"/>
      <c r="AQZ40" s="27"/>
      <c r="ARA40" s="26"/>
      <c r="ARB40" s="27"/>
      <c r="ARC40" s="26"/>
      <c r="ARD40" s="27"/>
      <c r="ARE40" s="26"/>
      <c r="ARF40" s="27"/>
      <c r="ARG40" s="26"/>
      <c r="ARH40" s="27"/>
      <c r="ARI40" s="26"/>
      <c r="ARJ40" s="27"/>
      <c r="ARK40" s="26"/>
      <c r="ARL40" s="27"/>
      <c r="ARM40" s="26"/>
      <c r="ARN40" s="27"/>
      <c r="ARO40" s="26"/>
      <c r="ARP40" s="27"/>
      <c r="ARQ40" s="26"/>
      <c r="ARR40" s="27"/>
      <c r="ARS40" s="26"/>
      <c r="ART40" s="27"/>
      <c r="ARU40" s="26"/>
      <c r="ARV40" s="27"/>
      <c r="ARW40" s="26"/>
      <c r="ARX40" s="27"/>
      <c r="ARY40" s="26"/>
      <c r="ARZ40" s="27"/>
      <c r="ASA40" s="26"/>
      <c r="ASB40" s="27"/>
      <c r="ASC40" s="26"/>
      <c r="ASD40" s="27"/>
      <c r="ASE40" s="26"/>
      <c r="ASF40" s="27"/>
      <c r="ASG40" s="26"/>
      <c r="ASH40" s="27"/>
      <c r="ASI40" s="26"/>
      <c r="ASJ40" s="27"/>
      <c r="ASK40" s="26"/>
      <c r="ASL40" s="27"/>
      <c r="ASM40" s="26"/>
      <c r="ASN40" s="27"/>
      <c r="ASO40" s="26"/>
      <c r="ASP40" s="27"/>
      <c r="ASQ40" s="26"/>
      <c r="ASR40" s="27"/>
      <c r="ASS40" s="26"/>
      <c r="AST40" s="27"/>
      <c r="ASU40" s="26"/>
      <c r="ASV40" s="27"/>
      <c r="ASW40" s="26"/>
      <c r="ASX40" s="27"/>
      <c r="ASY40" s="26"/>
      <c r="ASZ40" s="27"/>
      <c r="ATA40" s="26"/>
      <c r="ATB40" s="27"/>
      <c r="ATC40" s="26"/>
      <c r="ATD40" s="27"/>
      <c r="ATE40" s="26"/>
      <c r="ATF40" s="27"/>
      <c r="ATG40" s="26"/>
      <c r="ATH40" s="27"/>
      <c r="ATI40" s="26"/>
      <c r="ATJ40" s="27"/>
      <c r="ATK40" s="26"/>
      <c r="ATL40" s="27"/>
      <c r="ATM40" s="26"/>
      <c r="ATN40" s="27"/>
      <c r="ATO40" s="26"/>
      <c r="ATP40" s="27"/>
      <c r="ATQ40" s="26"/>
      <c r="ATR40" s="27"/>
      <c r="ATS40" s="26"/>
      <c r="ATT40" s="27"/>
      <c r="ATU40" s="26"/>
      <c r="ATV40" s="27"/>
      <c r="ATW40" s="26"/>
      <c r="ATX40" s="27"/>
      <c r="ATY40" s="26"/>
      <c r="ATZ40" s="27"/>
      <c r="AUA40" s="26"/>
      <c r="AUB40" s="27"/>
      <c r="AUC40" s="26"/>
      <c r="AUD40" s="27"/>
      <c r="AUE40" s="26"/>
      <c r="AUF40" s="27"/>
      <c r="AUG40" s="26"/>
      <c r="AUH40" s="27"/>
      <c r="AUI40" s="26"/>
      <c r="AUJ40" s="27"/>
      <c r="AUK40" s="26"/>
      <c r="AUL40" s="27"/>
      <c r="AUM40" s="26"/>
      <c r="AUN40" s="27"/>
      <c r="AUO40" s="26"/>
      <c r="AUP40" s="27"/>
      <c r="AUQ40" s="26"/>
      <c r="AUR40" s="27"/>
      <c r="AUS40" s="26"/>
      <c r="AUT40" s="27"/>
      <c r="AUU40" s="26"/>
      <c r="AUV40" s="27"/>
      <c r="AUW40" s="26"/>
      <c r="AUX40" s="27"/>
      <c r="AUY40" s="26"/>
      <c r="AUZ40" s="27"/>
      <c r="AVA40" s="26"/>
      <c r="AVB40" s="27"/>
      <c r="AVC40" s="26"/>
      <c r="AVD40" s="27"/>
      <c r="AVE40" s="26"/>
      <c r="AVF40" s="27"/>
      <c r="AVG40" s="26"/>
      <c r="AVH40" s="27"/>
      <c r="AVI40" s="26"/>
      <c r="AVJ40" s="27"/>
      <c r="AVK40" s="26"/>
      <c r="AVL40" s="27"/>
      <c r="AVM40" s="26"/>
      <c r="AVN40" s="27"/>
      <c r="AVO40" s="26"/>
      <c r="AVP40" s="27"/>
      <c r="AVQ40" s="26"/>
      <c r="AVR40" s="27"/>
      <c r="AVS40" s="26"/>
      <c r="AVT40" s="27"/>
      <c r="AVU40" s="26"/>
      <c r="AVV40" s="27"/>
      <c r="AVW40" s="26"/>
      <c r="AVX40" s="27"/>
      <c r="AVY40" s="26"/>
      <c r="AVZ40" s="27"/>
      <c r="AWA40" s="26"/>
      <c r="AWB40" s="27"/>
      <c r="AWC40" s="26"/>
      <c r="AWD40" s="27"/>
      <c r="AWE40" s="26"/>
      <c r="AWF40" s="27"/>
      <c r="AWG40" s="26"/>
      <c r="AWH40" s="27"/>
      <c r="AWI40" s="26"/>
      <c r="AWJ40" s="27"/>
      <c r="AWK40" s="26"/>
      <c r="AWL40" s="27"/>
      <c r="AWM40" s="26"/>
      <c r="AWN40" s="27"/>
      <c r="AWO40" s="26"/>
      <c r="AWP40" s="27"/>
      <c r="AWQ40" s="26"/>
      <c r="AWR40" s="27"/>
      <c r="AWS40" s="26"/>
      <c r="AWT40" s="27"/>
      <c r="AWU40" s="26"/>
      <c r="AWV40" s="27"/>
      <c r="AWW40" s="26"/>
      <c r="AWX40" s="27"/>
      <c r="AWY40" s="26"/>
      <c r="AWZ40" s="27"/>
      <c r="AXA40" s="26"/>
      <c r="AXB40" s="27"/>
      <c r="AXC40" s="26"/>
      <c r="AXD40" s="27"/>
      <c r="AXE40" s="26"/>
      <c r="AXF40" s="27"/>
      <c r="AXG40" s="26"/>
      <c r="AXH40" s="27"/>
      <c r="AXI40" s="26"/>
      <c r="AXJ40" s="27"/>
      <c r="AXK40" s="26"/>
      <c r="AXL40" s="27"/>
      <c r="AXM40" s="26"/>
      <c r="AXN40" s="27"/>
      <c r="AXO40" s="26"/>
      <c r="AXP40" s="27"/>
      <c r="AXQ40" s="26"/>
      <c r="AXR40" s="27"/>
      <c r="AXS40" s="26"/>
      <c r="AXT40" s="27"/>
      <c r="AXU40" s="26"/>
      <c r="AXV40" s="27"/>
      <c r="AXW40" s="26"/>
      <c r="AXX40" s="27"/>
      <c r="AXY40" s="26"/>
      <c r="AXZ40" s="27"/>
      <c r="AYA40" s="26"/>
      <c r="AYB40" s="27"/>
      <c r="AYC40" s="26"/>
      <c r="AYD40" s="27"/>
      <c r="AYE40" s="26"/>
      <c r="AYF40" s="27"/>
      <c r="AYG40" s="26"/>
      <c r="AYH40" s="27"/>
      <c r="AYI40" s="26"/>
      <c r="AYJ40" s="27"/>
      <c r="AYK40" s="26"/>
      <c r="AYL40" s="27"/>
      <c r="AYM40" s="26"/>
      <c r="AYN40" s="27"/>
      <c r="AYO40" s="26"/>
      <c r="AYP40" s="27"/>
      <c r="AYQ40" s="26"/>
      <c r="AYR40" s="27"/>
      <c r="AYS40" s="26"/>
      <c r="AYT40" s="27"/>
      <c r="AYU40" s="26"/>
      <c r="AYV40" s="27"/>
      <c r="AYW40" s="26"/>
      <c r="AYX40" s="27"/>
      <c r="AYY40" s="26"/>
      <c r="AYZ40" s="27"/>
      <c r="AZA40" s="26"/>
      <c r="AZB40" s="27"/>
      <c r="AZC40" s="26"/>
      <c r="AZD40" s="27"/>
      <c r="AZE40" s="26"/>
      <c r="AZF40" s="27"/>
      <c r="AZG40" s="26"/>
      <c r="AZH40" s="27"/>
      <c r="AZI40" s="26"/>
      <c r="AZJ40" s="27"/>
      <c r="AZK40" s="26"/>
      <c r="AZL40" s="27"/>
      <c r="AZM40" s="26"/>
      <c r="AZN40" s="27"/>
      <c r="AZO40" s="26"/>
      <c r="AZP40" s="27"/>
      <c r="AZQ40" s="26"/>
      <c r="AZR40" s="27"/>
      <c r="AZS40" s="26"/>
      <c r="AZT40" s="27"/>
      <c r="AZU40" s="26"/>
      <c r="AZV40" s="27"/>
      <c r="AZW40" s="26"/>
      <c r="AZX40" s="27"/>
      <c r="AZY40" s="26"/>
      <c r="AZZ40" s="27"/>
      <c r="BAA40" s="26"/>
      <c r="BAB40" s="27"/>
      <c r="BAC40" s="26"/>
      <c r="BAD40" s="27"/>
      <c r="BAE40" s="26"/>
      <c r="BAF40" s="27"/>
      <c r="BAG40" s="26"/>
      <c r="BAH40" s="27"/>
      <c r="BAI40" s="26"/>
      <c r="BAJ40" s="27"/>
      <c r="BAK40" s="26"/>
      <c r="BAL40" s="27"/>
      <c r="BAM40" s="26"/>
      <c r="BAN40" s="27"/>
      <c r="BAO40" s="26"/>
      <c r="BAP40" s="27"/>
      <c r="BAQ40" s="26"/>
      <c r="BAR40" s="27"/>
      <c r="BAS40" s="26"/>
      <c r="BAT40" s="27"/>
      <c r="BAU40" s="26"/>
      <c r="BAV40" s="27"/>
      <c r="BAW40" s="26"/>
      <c r="BAX40" s="27"/>
      <c r="BAY40" s="26"/>
      <c r="BAZ40" s="27"/>
      <c r="BBA40" s="26"/>
      <c r="BBB40" s="27"/>
      <c r="BBC40" s="26"/>
      <c r="BBD40" s="27"/>
      <c r="BBE40" s="26"/>
      <c r="BBF40" s="27"/>
      <c r="BBG40" s="26"/>
      <c r="BBH40" s="27"/>
      <c r="BBI40" s="26"/>
      <c r="BBJ40" s="27"/>
      <c r="BBK40" s="26"/>
      <c r="BBL40" s="27"/>
      <c r="BBM40" s="26"/>
      <c r="BBN40" s="27"/>
      <c r="BBO40" s="26"/>
      <c r="BBP40" s="27"/>
      <c r="BBQ40" s="26"/>
      <c r="BBR40" s="27"/>
      <c r="BBS40" s="26"/>
      <c r="BBT40" s="27"/>
      <c r="BBU40" s="26"/>
      <c r="BBV40" s="27"/>
      <c r="BBW40" s="26"/>
      <c r="BBX40" s="27"/>
      <c r="BBY40" s="26"/>
      <c r="BBZ40" s="27"/>
      <c r="BCA40" s="26"/>
      <c r="BCB40" s="27"/>
      <c r="BCC40" s="26"/>
      <c r="BCD40" s="27"/>
      <c r="BCE40" s="26"/>
      <c r="BCF40" s="27"/>
      <c r="BCG40" s="26"/>
      <c r="BCH40" s="27"/>
      <c r="BCI40" s="26"/>
      <c r="BCJ40" s="27"/>
      <c r="BCK40" s="26"/>
      <c r="BCL40" s="27"/>
      <c r="BCM40" s="26"/>
      <c r="BCN40" s="27"/>
      <c r="BCO40" s="26"/>
      <c r="BCP40" s="27"/>
      <c r="BCQ40" s="26"/>
      <c r="BCR40" s="27"/>
      <c r="BCS40" s="26"/>
      <c r="BCT40" s="27"/>
      <c r="BCU40" s="26"/>
      <c r="BCV40" s="27"/>
      <c r="BCW40" s="26"/>
      <c r="BCX40" s="27"/>
      <c r="BCY40" s="26"/>
      <c r="BCZ40" s="27"/>
      <c r="BDA40" s="26"/>
      <c r="BDB40" s="27"/>
      <c r="BDC40" s="26"/>
      <c r="BDD40" s="27"/>
      <c r="BDE40" s="26"/>
      <c r="BDF40" s="27"/>
      <c r="BDG40" s="26"/>
      <c r="BDH40" s="27"/>
      <c r="BDI40" s="26"/>
      <c r="BDJ40" s="27"/>
      <c r="BDK40" s="26"/>
      <c r="BDL40" s="27"/>
      <c r="BDM40" s="26"/>
      <c r="BDN40" s="27"/>
      <c r="BDO40" s="26"/>
      <c r="BDP40" s="27"/>
      <c r="BDQ40" s="26"/>
      <c r="BDR40" s="27"/>
      <c r="BDS40" s="26"/>
      <c r="BDT40" s="27"/>
      <c r="BDU40" s="26"/>
      <c r="BDV40" s="27"/>
      <c r="BDW40" s="26"/>
      <c r="BDX40" s="27"/>
      <c r="BDY40" s="26"/>
      <c r="BDZ40" s="27"/>
      <c r="BEA40" s="26"/>
      <c r="BEB40" s="27"/>
      <c r="BEC40" s="26"/>
      <c r="BED40" s="27"/>
      <c r="BEE40" s="26"/>
      <c r="BEF40" s="27"/>
      <c r="BEG40" s="26"/>
      <c r="BEH40" s="27"/>
      <c r="BEI40" s="26"/>
      <c r="BEJ40" s="27"/>
      <c r="BEK40" s="26"/>
      <c r="BEL40" s="27"/>
      <c r="BEM40" s="26"/>
      <c r="BEN40" s="27"/>
      <c r="BEO40" s="26"/>
      <c r="BEP40" s="27"/>
      <c r="BEQ40" s="26"/>
      <c r="BER40" s="27"/>
      <c r="BES40" s="26"/>
      <c r="BET40" s="27"/>
      <c r="BEU40" s="26"/>
      <c r="BEV40" s="27"/>
      <c r="BEW40" s="26"/>
      <c r="BEX40" s="27"/>
      <c r="BEY40" s="26"/>
      <c r="BEZ40" s="27"/>
      <c r="BFA40" s="26"/>
      <c r="BFB40" s="27"/>
      <c r="BFC40" s="26"/>
      <c r="BFD40" s="27"/>
      <c r="BFE40" s="26"/>
      <c r="BFF40" s="27"/>
      <c r="BFG40" s="26"/>
      <c r="BFH40" s="27"/>
      <c r="BFI40" s="26"/>
      <c r="BFJ40" s="27"/>
      <c r="BFK40" s="26"/>
      <c r="BFL40" s="27"/>
      <c r="BFM40" s="26"/>
      <c r="BFN40" s="27"/>
      <c r="BFO40" s="26"/>
      <c r="BFP40" s="27"/>
      <c r="BFQ40" s="26"/>
      <c r="BFR40" s="27"/>
      <c r="BFS40" s="26"/>
      <c r="BFT40" s="27"/>
      <c r="BFU40" s="26"/>
      <c r="BFV40" s="27"/>
      <c r="BFW40" s="26"/>
      <c r="BFX40" s="27"/>
      <c r="BFY40" s="26"/>
      <c r="BFZ40" s="27"/>
      <c r="BGA40" s="26"/>
      <c r="BGB40" s="27"/>
      <c r="BGC40" s="26"/>
      <c r="BGD40" s="27"/>
      <c r="BGE40" s="26"/>
      <c r="BGF40" s="27"/>
      <c r="BGG40" s="26"/>
      <c r="BGH40" s="27"/>
      <c r="BGI40" s="26"/>
      <c r="BGJ40" s="27"/>
      <c r="BGK40" s="26"/>
      <c r="BGL40" s="27"/>
      <c r="BGM40" s="26"/>
      <c r="BGN40" s="27"/>
      <c r="BGO40" s="26"/>
      <c r="BGP40" s="27"/>
      <c r="BGQ40" s="26"/>
      <c r="BGR40" s="27"/>
      <c r="BGS40" s="26"/>
      <c r="BGT40" s="27"/>
      <c r="BGU40" s="26"/>
      <c r="BGV40" s="27"/>
      <c r="BGW40" s="26"/>
      <c r="BGX40" s="27"/>
      <c r="BGY40" s="26"/>
      <c r="BGZ40" s="27"/>
      <c r="BHA40" s="26"/>
      <c r="BHB40" s="27"/>
      <c r="BHC40" s="26"/>
      <c r="BHD40" s="27"/>
      <c r="BHE40" s="26"/>
      <c r="BHF40" s="27"/>
      <c r="BHG40" s="26"/>
      <c r="BHH40" s="27"/>
      <c r="BHI40" s="26"/>
      <c r="BHJ40" s="27"/>
      <c r="BHK40" s="26"/>
      <c r="BHL40" s="27"/>
      <c r="BHM40" s="26"/>
      <c r="BHN40" s="27"/>
      <c r="BHO40" s="26"/>
      <c r="BHP40" s="27"/>
      <c r="BHQ40" s="26"/>
      <c r="BHR40" s="27"/>
      <c r="BHS40" s="26"/>
      <c r="BHT40" s="27"/>
      <c r="BHU40" s="26"/>
      <c r="BHV40" s="27"/>
      <c r="BHW40" s="26"/>
      <c r="BHX40" s="27"/>
      <c r="BHY40" s="26"/>
      <c r="BHZ40" s="27"/>
      <c r="BIA40" s="26"/>
      <c r="BIB40" s="27"/>
      <c r="BIC40" s="26"/>
      <c r="BID40" s="27"/>
      <c r="BIE40" s="26"/>
      <c r="BIF40" s="27"/>
      <c r="BIG40" s="26"/>
      <c r="BIH40" s="27"/>
      <c r="BII40" s="26"/>
      <c r="BIJ40" s="27"/>
      <c r="BIK40" s="26"/>
      <c r="BIL40" s="27"/>
      <c r="BIM40" s="26"/>
      <c r="BIN40" s="27"/>
      <c r="BIO40" s="26"/>
      <c r="BIP40" s="27"/>
      <c r="BIQ40" s="26"/>
      <c r="BIR40" s="27"/>
      <c r="BIS40" s="26"/>
      <c r="BIT40" s="27"/>
      <c r="BIU40" s="26"/>
      <c r="BIV40" s="27"/>
      <c r="BIW40" s="26"/>
      <c r="BIX40" s="27"/>
      <c r="BIY40" s="26"/>
      <c r="BIZ40" s="27"/>
      <c r="BJA40" s="26"/>
      <c r="BJB40" s="27"/>
      <c r="BJC40" s="26"/>
      <c r="BJD40" s="27"/>
      <c r="BJE40" s="26"/>
      <c r="BJF40" s="27"/>
      <c r="BJG40" s="26"/>
      <c r="BJH40" s="27"/>
      <c r="BJI40" s="26"/>
      <c r="BJJ40" s="27"/>
      <c r="BJK40" s="26"/>
      <c r="BJL40" s="27"/>
      <c r="BJM40" s="26"/>
      <c r="BJN40" s="27"/>
      <c r="BJO40" s="26"/>
      <c r="BJP40" s="27"/>
      <c r="BJQ40" s="26"/>
      <c r="BJR40" s="27"/>
      <c r="BJS40" s="26"/>
      <c r="BJT40" s="27"/>
      <c r="BJU40" s="26"/>
      <c r="BJV40" s="27"/>
      <c r="BJW40" s="26"/>
      <c r="BJX40" s="27"/>
      <c r="BJY40" s="26"/>
      <c r="BJZ40" s="27"/>
      <c r="BKA40" s="26"/>
      <c r="BKB40" s="27"/>
      <c r="BKC40" s="26"/>
      <c r="BKD40" s="27"/>
      <c r="BKE40" s="26"/>
      <c r="BKF40" s="27"/>
      <c r="BKG40" s="26"/>
      <c r="BKH40" s="27"/>
      <c r="BKI40" s="26"/>
      <c r="BKJ40" s="27"/>
      <c r="BKK40" s="26"/>
      <c r="BKL40" s="27"/>
      <c r="BKM40" s="26"/>
      <c r="BKN40" s="27"/>
      <c r="BKO40" s="26"/>
      <c r="BKP40" s="27"/>
      <c r="BKQ40" s="26"/>
      <c r="BKR40" s="27"/>
      <c r="BKS40" s="26"/>
      <c r="BKT40" s="27"/>
      <c r="BKU40" s="26"/>
      <c r="BKV40" s="27"/>
      <c r="BKW40" s="26"/>
      <c r="BKX40" s="27"/>
      <c r="BKY40" s="26"/>
      <c r="BKZ40" s="27"/>
      <c r="BLA40" s="26"/>
      <c r="BLB40" s="27"/>
      <c r="BLC40" s="26"/>
      <c r="BLD40" s="27"/>
      <c r="BLE40" s="26"/>
      <c r="BLF40" s="27"/>
      <c r="BLG40" s="26"/>
      <c r="BLH40" s="27"/>
      <c r="BLI40" s="26"/>
      <c r="BLJ40" s="27"/>
      <c r="BLK40" s="26"/>
      <c r="BLL40" s="27"/>
      <c r="BLM40" s="26"/>
      <c r="BLN40" s="27"/>
      <c r="BLO40" s="26"/>
      <c r="BLP40" s="27"/>
      <c r="BLQ40" s="26"/>
      <c r="BLR40" s="27"/>
      <c r="BLS40" s="26"/>
      <c r="BLT40" s="27"/>
      <c r="BLU40" s="26"/>
      <c r="BLV40" s="27"/>
      <c r="BLW40" s="26"/>
      <c r="BLX40" s="27"/>
      <c r="BLY40" s="26"/>
      <c r="BLZ40" s="27"/>
      <c r="BMA40" s="26"/>
      <c r="BMB40" s="27"/>
      <c r="BMC40" s="26"/>
      <c r="BMD40" s="27"/>
      <c r="BME40" s="26"/>
      <c r="BMF40" s="27"/>
      <c r="BMG40" s="26"/>
      <c r="BMH40" s="27"/>
      <c r="BMI40" s="26"/>
      <c r="BMJ40" s="27"/>
      <c r="BMK40" s="26"/>
      <c r="BML40" s="27"/>
      <c r="BMM40" s="26"/>
      <c r="BMN40" s="27"/>
      <c r="BMO40" s="26"/>
      <c r="BMP40" s="27"/>
      <c r="BMQ40" s="26"/>
      <c r="BMR40" s="27"/>
      <c r="BMS40" s="26"/>
      <c r="BMT40" s="27"/>
      <c r="BMU40" s="26"/>
      <c r="BMV40" s="27"/>
      <c r="BMW40" s="26"/>
      <c r="BMX40" s="27"/>
      <c r="BMY40" s="26"/>
      <c r="BMZ40" s="27"/>
      <c r="BNA40" s="26"/>
      <c r="BNB40" s="27"/>
      <c r="BNC40" s="26"/>
      <c r="BND40" s="27"/>
      <c r="BNE40" s="26"/>
      <c r="BNF40" s="27"/>
      <c r="BNG40" s="26"/>
      <c r="BNH40" s="27"/>
      <c r="BNI40" s="26"/>
      <c r="BNJ40" s="27"/>
      <c r="BNK40" s="26"/>
      <c r="BNL40" s="27"/>
      <c r="BNM40" s="26"/>
      <c r="BNN40" s="27"/>
      <c r="BNO40" s="26"/>
      <c r="BNP40" s="27"/>
      <c r="BNQ40" s="26"/>
      <c r="BNR40" s="27"/>
      <c r="BNS40" s="26"/>
      <c r="BNT40" s="27"/>
      <c r="BNU40" s="26"/>
      <c r="BNV40" s="27"/>
      <c r="BNW40" s="26"/>
      <c r="BNX40" s="27"/>
      <c r="BNY40" s="26"/>
      <c r="BNZ40" s="27"/>
      <c r="BOA40" s="26"/>
      <c r="BOB40" s="27"/>
      <c r="BOC40" s="26"/>
      <c r="BOD40" s="27"/>
      <c r="BOE40" s="26"/>
      <c r="BOF40" s="27"/>
      <c r="BOG40" s="26"/>
      <c r="BOH40" s="27"/>
      <c r="BOI40" s="26"/>
      <c r="BOJ40" s="27"/>
      <c r="BOK40" s="26"/>
      <c r="BOL40" s="27"/>
      <c r="BOM40" s="26"/>
      <c r="BON40" s="27"/>
      <c r="BOO40" s="26"/>
      <c r="BOP40" s="27"/>
      <c r="BOQ40" s="26"/>
      <c r="BOR40" s="27"/>
      <c r="BOS40" s="26"/>
      <c r="BOT40" s="27"/>
      <c r="BOU40" s="26"/>
      <c r="BOV40" s="27"/>
      <c r="BOW40" s="26"/>
      <c r="BOX40" s="27"/>
      <c r="BOY40" s="26"/>
      <c r="BOZ40" s="27"/>
      <c r="BPA40" s="26"/>
      <c r="BPB40" s="27"/>
      <c r="BPC40" s="26"/>
      <c r="BPD40" s="27"/>
      <c r="BPE40" s="26"/>
      <c r="BPF40" s="27"/>
      <c r="BPG40" s="26"/>
      <c r="BPH40" s="27"/>
      <c r="BPI40" s="26"/>
      <c r="BPJ40" s="27"/>
      <c r="BPK40" s="26"/>
      <c r="BPL40" s="27"/>
      <c r="BPM40" s="26"/>
      <c r="BPN40" s="27"/>
      <c r="BPO40" s="26"/>
      <c r="BPP40" s="27"/>
      <c r="BPQ40" s="26"/>
      <c r="BPR40" s="27"/>
      <c r="BPS40" s="26"/>
      <c r="BPT40" s="27"/>
      <c r="BPU40" s="26"/>
      <c r="BPV40" s="27"/>
      <c r="BPW40" s="26"/>
      <c r="BPX40" s="27"/>
      <c r="BPY40" s="26"/>
      <c r="BPZ40" s="27"/>
      <c r="BQA40" s="26"/>
      <c r="BQB40" s="27"/>
      <c r="BQC40" s="26"/>
      <c r="BQD40" s="27"/>
      <c r="BQE40" s="26"/>
      <c r="BQF40" s="27"/>
      <c r="BQG40" s="26"/>
      <c r="BQH40" s="27"/>
      <c r="BQI40" s="26"/>
      <c r="BQJ40" s="27"/>
      <c r="BQK40" s="26"/>
      <c r="BQL40" s="27"/>
      <c r="BQM40" s="26"/>
      <c r="BQN40" s="27"/>
      <c r="BQO40" s="26"/>
      <c r="BQP40" s="27"/>
      <c r="BQQ40" s="26"/>
      <c r="BQR40" s="27"/>
      <c r="BQS40" s="26"/>
      <c r="BQT40" s="27"/>
      <c r="BQU40" s="26"/>
      <c r="BQV40" s="27"/>
      <c r="BQW40" s="26"/>
      <c r="BQX40" s="27"/>
      <c r="BQY40" s="26"/>
      <c r="BQZ40" s="27"/>
      <c r="BRA40" s="26"/>
      <c r="BRB40" s="27"/>
      <c r="BRC40" s="26"/>
      <c r="BRD40" s="27"/>
      <c r="BRE40" s="26"/>
      <c r="BRF40" s="27"/>
      <c r="BRG40" s="26"/>
      <c r="BRH40" s="27"/>
      <c r="BRI40" s="26"/>
      <c r="BRJ40" s="27"/>
      <c r="BRK40" s="26"/>
      <c r="BRL40" s="27"/>
      <c r="BRM40" s="26"/>
      <c r="BRN40" s="27"/>
      <c r="BRO40" s="26"/>
      <c r="BRP40" s="27"/>
      <c r="BRQ40" s="26"/>
      <c r="BRR40" s="27"/>
      <c r="BRS40" s="26"/>
      <c r="BRT40" s="27"/>
      <c r="BRU40" s="26"/>
      <c r="BRV40" s="27"/>
      <c r="BRW40" s="26"/>
      <c r="BRX40" s="27"/>
      <c r="BRY40" s="26"/>
      <c r="BRZ40" s="27"/>
      <c r="BSA40" s="26"/>
      <c r="BSB40" s="27"/>
      <c r="BSC40" s="26"/>
      <c r="BSD40" s="27"/>
      <c r="BSE40" s="26"/>
      <c r="BSF40" s="27"/>
      <c r="BSG40" s="26"/>
      <c r="BSH40" s="27"/>
      <c r="BSI40" s="26"/>
      <c r="BSJ40" s="27"/>
      <c r="BSK40" s="26"/>
      <c r="BSL40" s="27"/>
      <c r="BSM40" s="26"/>
      <c r="BSN40" s="27"/>
      <c r="BSO40" s="26"/>
      <c r="BSP40" s="27"/>
      <c r="BSQ40" s="26"/>
      <c r="BSR40" s="27"/>
      <c r="BSS40" s="26"/>
      <c r="BST40" s="27"/>
      <c r="BSU40" s="26"/>
      <c r="BSV40" s="27"/>
      <c r="BSW40" s="26"/>
      <c r="BSX40" s="27"/>
      <c r="BSY40" s="26"/>
      <c r="BSZ40" s="27"/>
      <c r="BTA40" s="26"/>
      <c r="BTB40" s="27"/>
      <c r="BTC40" s="26"/>
      <c r="BTD40" s="27"/>
      <c r="BTE40" s="26"/>
      <c r="BTF40" s="27"/>
      <c r="BTG40" s="26"/>
      <c r="BTH40" s="27"/>
      <c r="BTI40" s="26"/>
      <c r="BTJ40" s="27"/>
      <c r="BTK40" s="26"/>
      <c r="BTL40" s="27"/>
      <c r="BTM40" s="26"/>
      <c r="BTN40" s="27"/>
      <c r="BTO40" s="26"/>
      <c r="BTP40" s="27"/>
      <c r="BTQ40" s="26"/>
      <c r="BTR40" s="27"/>
      <c r="BTS40" s="26"/>
      <c r="BTT40" s="27"/>
      <c r="BTU40" s="26"/>
      <c r="BTV40" s="27"/>
      <c r="BTW40" s="26"/>
      <c r="BTX40" s="27"/>
      <c r="BTY40" s="26"/>
      <c r="BTZ40" s="27"/>
      <c r="BUA40" s="26"/>
      <c r="BUB40" s="27"/>
      <c r="BUC40" s="26"/>
      <c r="BUD40" s="27"/>
      <c r="BUE40" s="26"/>
      <c r="BUF40" s="27"/>
      <c r="BUG40" s="26"/>
      <c r="BUH40" s="27"/>
      <c r="BUI40" s="26"/>
      <c r="BUJ40" s="27"/>
      <c r="BUK40" s="26"/>
      <c r="BUL40" s="27"/>
      <c r="BUM40" s="26"/>
      <c r="BUN40" s="27"/>
      <c r="BUO40" s="26"/>
      <c r="BUP40" s="27"/>
      <c r="BUQ40" s="26"/>
      <c r="BUR40" s="27"/>
      <c r="BUS40" s="26"/>
      <c r="BUT40" s="27"/>
      <c r="BUU40" s="26"/>
      <c r="BUV40" s="27"/>
      <c r="BUW40" s="26"/>
      <c r="BUX40" s="27"/>
      <c r="BUY40" s="26"/>
      <c r="BUZ40" s="27"/>
      <c r="BVA40" s="26"/>
      <c r="BVB40" s="27"/>
      <c r="BVC40" s="26"/>
      <c r="BVD40" s="27"/>
      <c r="BVE40" s="26"/>
      <c r="BVF40" s="27"/>
      <c r="BVG40" s="26"/>
      <c r="BVH40" s="27"/>
      <c r="BVI40" s="26"/>
      <c r="BVJ40" s="27"/>
      <c r="BVK40" s="26"/>
      <c r="BVL40" s="27"/>
      <c r="BVM40" s="26"/>
      <c r="BVN40" s="27"/>
      <c r="BVO40" s="26"/>
      <c r="BVP40" s="27"/>
      <c r="BVQ40" s="26"/>
      <c r="BVR40" s="27"/>
      <c r="BVS40" s="26"/>
      <c r="BVT40" s="27"/>
      <c r="BVU40" s="26"/>
      <c r="BVV40" s="27"/>
      <c r="BVW40" s="26"/>
      <c r="BVX40" s="27"/>
      <c r="BVY40" s="26"/>
      <c r="BVZ40" s="27"/>
      <c r="BWA40" s="26"/>
      <c r="BWB40" s="27"/>
      <c r="BWC40" s="26"/>
      <c r="BWD40" s="27"/>
      <c r="BWE40" s="26"/>
      <c r="BWF40" s="27"/>
      <c r="BWG40" s="26"/>
      <c r="BWH40" s="27"/>
      <c r="BWI40" s="26"/>
      <c r="BWJ40" s="27"/>
      <c r="BWK40" s="26"/>
      <c r="BWL40" s="27"/>
      <c r="BWM40" s="26"/>
      <c r="BWN40" s="27"/>
      <c r="BWO40" s="26"/>
      <c r="BWP40" s="27"/>
      <c r="BWQ40" s="26"/>
      <c r="BWR40" s="27"/>
      <c r="BWS40" s="26"/>
      <c r="BWT40" s="27"/>
      <c r="BWU40" s="26"/>
      <c r="BWV40" s="27"/>
      <c r="BWW40" s="26"/>
      <c r="BWX40" s="27"/>
      <c r="BWY40" s="26"/>
      <c r="BWZ40" s="27"/>
      <c r="BXA40" s="26"/>
      <c r="BXB40" s="27"/>
      <c r="BXC40" s="26"/>
      <c r="BXD40" s="27"/>
      <c r="BXE40" s="26"/>
      <c r="BXF40" s="27"/>
      <c r="BXG40" s="26"/>
      <c r="BXH40" s="27"/>
      <c r="BXI40" s="26"/>
      <c r="BXJ40" s="27"/>
      <c r="BXK40" s="26"/>
      <c r="BXL40" s="27"/>
      <c r="BXM40" s="26"/>
      <c r="BXN40" s="27"/>
      <c r="BXO40" s="26"/>
      <c r="BXP40" s="27"/>
      <c r="BXQ40" s="26"/>
      <c r="BXR40" s="27"/>
      <c r="BXS40" s="26"/>
      <c r="BXT40" s="27"/>
      <c r="BXU40" s="26"/>
      <c r="BXV40" s="27"/>
      <c r="BXW40" s="26"/>
      <c r="BXX40" s="27"/>
      <c r="BXY40" s="26"/>
      <c r="BXZ40" s="27"/>
      <c r="BYA40" s="26"/>
      <c r="BYB40" s="27"/>
      <c r="BYC40" s="26"/>
      <c r="BYD40" s="27"/>
      <c r="BYE40" s="26"/>
      <c r="BYF40" s="27"/>
      <c r="BYG40" s="26"/>
      <c r="BYH40" s="27"/>
      <c r="BYI40" s="26"/>
      <c r="BYJ40" s="27"/>
      <c r="BYK40" s="26"/>
      <c r="BYL40" s="27"/>
      <c r="BYM40" s="26"/>
      <c r="BYN40" s="27"/>
      <c r="BYO40" s="26"/>
      <c r="BYP40" s="27"/>
      <c r="BYQ40" s="26"/>
      <c r="BYR40" s="27"/>
      <c r="BYS40" s="26"/>
      <c r="BYT40" s="27"/>
      <c r="BYU40" s="26"/>
      <c r="BYV40" s="27"/>
      <c r="BYW40" s="26"/>
      <c r="BYX40" s="27"/>
      <c r="BYY40" s="26"/>
      <c r="BYZ40" s="27"/>
      <c r="BZA40" s="26"/>
      <c r="BZB40" s="27"/>
      <c r="BZC40" s="26"/>
      <c r="BZD40" s="27"/>
      <c r="BZE40" s="26"/>
      <c r="BZF40" s="27"/>
      <c r="BZG40" s="26"/>
      <c r="BZH40" s="27"/>
      <c r="BZI40" s="26"/>
      <c r="BZJ40" s="27"/>
      <c r="BZK40" s="26"/>
      <c r="BZL40" s="27"/>
      <c r="BZM40" s="26"/>
      <c r="BZN40" s="27"/>
      <c r="BZO40" s="26"/>
      <c r="BZP40" s="27"/>
      <c r="BZQ40" s="26"/>
      <c r="BZR40" s="27"/>
      <c r="BZS40" s="26"/>
      <c r="BZT40" s="27"/>
      <c r="BZU40" s="26"/>
      <c r="BZV40" s="27"/>
      <c r="BZW40" s="26"/>
      <c r="BZX40" s="27"/>
      <c r="BZY40" s="26"/>
      <c r="BZZ40" s="27"/>
      <c r="CAA40" s="26"/>
      <c r="CAB40" s="27"/>
      <c r="CAC40" s="26"/>
      <c r="CAD40" s="27"/>
      <c r="CAE40" s="26"/>
      <c r="CAF40" s="27"/>
      <c r="CAG40" s="26"/>
      <c r="CAH40" s="27"/>
      <c r="CAI40" s="26"/>
      <c r="CAJ40" s="27"/>
      <c r="CAK40" s="26"/>
      <c r="CAL40" s="27"/>
      <c r="CAM40" s="26"/>
      <c r="CAN40" s="27"/>
      <c r="CAO40" s="26"/>
      <c r="CAP40" s="27"/>
      <c r="CAQ40" s="26"/>
      <c r="CAR40" s="27"/>
      <c r="CAS40" s="26"/>
      <c r="CAT40" s="27"/>
      <c r="CAU40" s="26"/>
      <c r="CAV40" s="27"/>
      <c r="CAW40" s="26"/>
      <c r="CAX40" s="27"/>
      <c r="CAY40" s="26"/>
      <c r="CAZ40" s="27"/>
      <c r="CBA40" s="26"/>
      <c r="CBB40" s="27"/>
      <c r="CBC40" s="26"/>
      <c r="CBD40" s="27"/>
      <c r="CBE40" s="26"/>
      <c r="CBF40" s="27"/>
      <c r="CBG40" s="26"/>
      <c r="CBH40" s="27"/>
      <c r="CBI40" s="26"/>
      <c r="CBJ40" s="27"/>
      <c r="CBK40" s="26"/>
      <c r="CBL40" s="27"/>
      <c r="CBM40" s="26"/>
      <c r="CBN40" s="27"/>
      <c r="CBO40" s="26"/>
      <c r="CBP40" s="27"/>
      <c r="CBQ40" s="26"/>
      <c r="CBR40" s="27"/>
      <c r="CBS40" s="26"/>
      <c r="CBT40" s="27"/>
      <c r="CBU40" s="26"/>
      <c r="CBV40" s="27"/>
      <c r="CBW40" s="26"/>
      <c r="CBX40" s="27"/>
      <c r="CBY40" s="26"/>
      <c r="CBZ40" s="27"/>
      <c r="CCA40" s="26"/>
      <c r="CCB40" s="27"/>
      <c r="CCC40" s="26"/>
      <c r="CCD40" s="27"/>
      <c r="CCE40" s="26"/>
      <c r="CCF40" s="27"/>
      <c r="CCG40" s="26"/>
      <c r="CCH40" s="27"/>
      <c r="CCI40" s="26"/>
      <c r="CCJ40" s="27"/>
      <c r="CCK40" s="26"/>
      <c r="CCL40" s="27"/>
      <c r="CCM40" s="26"/>
      <c r="CCN40" s="27"/>
      <c r="CCO40" s="26"/>
      <c r="CCP40" s="27"/>
      <c r="CCQ40" s="26"/>
      <c r="CCR40" s="27"/>
      <c r="CCS40" s="26"/>
      <c r="CCT40" s="27"/>
      <c r="CCU40" s="26"/>
      <c r="CCV40" s="27"/>
      <c r="CCW40" s="26"/>
      <c r="CCX40" s="27"/>
      <c r="CCY40" s="26"/>
      <c r="CCZ40" s="27"/>
      <c r="CDA40" s="26"/>
      <c r="CDB40" s="27"/>
      <c r="CDC40" s="26"/>
      <c r="CDD40" s="27"/>
      <c r="CDE40" s="26"/>
      <c r="CDF40" s="27"/>
      <c r="CDG40" s="26"/>
      <c r="CDH40" s="27"/>
      <c r="CDI40" s="26"/>
      <c r="CDJ40" s="27"/>
      <c r="CDK40" s="26"/>
      <c r="CDL40" s="27"/>
      <c r="CDM40" s="26"/>
      <c r="CDN40" s="27"/>
      <c r="CDO40" s="26"/>
      <c r="CDP40" s="27"/>
      <c r="CDQ40" s="26"/>
      <c r="CDR40" s="27"/>
      <c r="CDS40" s="26"/>
      <c r="CDT40" s="27"/>
      <c r="CDU40" s="26"/>
      <c r="CDV40" s="27"/>
      <c r="CDW40" s="26"/>
      <c r="CDX40" s="27"/>
      <c r="CDY40" s="26"/>
      <c r="CDZ40" s="27"/>
      <c r="CEA40" s="26"/>
      <c r="CEB40" s="27"/>
      <c r="CEC40" s="26"/>
      <c r="CED40" s="27"/>
      <c r="CEE40" s="26"/>
      <c r="CEF40" s="27"/>
      <c r="CEG40" s="26"/>
      <c r="CEH40" s="27"/>
      <c r="CEI40" s="26"/>
      <c r="CEJ40" s="27"/>
      <c r="CEK40" s="26"/>
      <c r="CEL40" s="27"/>
      <c r="CEM40" s="26"/>
      <c r="CEN40" s="27"/>
      <c r="CEO40" s="26"/>
      <c r="CEP40" s="27"/>
      <c r="CEQ40" s="26"/>
      <c r="CER40" s="27"/>
      <c r="CES40" s="26"/>
      <c r="CET40" s="27"/>
      <c r="CEU40" s="26"/>
      <c r="CEV40" s="27"/>
      <c r="CEW40" s="26"/>
      <c r="CEX40" s="27"/>
      <c r="CEY40" s="26"/>
      <c r="CEZ40" s="27"/>
      <c r="CFA40" s="26"/>
      <c r="CFB40" s="27"/>
      <c r="CFC40" s="26"/>
      <c r="CFD40" s="27"/>
      <c r="CFE40" s="26"/>
      <c r="CFF40" s="27"/>
      <c r="CFG40" s="26"/>
      <c r="CFH40" s="27"/>
      <c r="CFI40" s="26"/>
      <c r="CFJ40" s="27"/>
      <c r="CFK40" s="26"/>
      <c r="CFL40" s="27"/>
      <c r="CFM40" s="26"/>
      <c r="CFN40" s="27"/>
      <c r="CFO40" s="26"/>
      <c r="CFP40" s="27"/>
      <c r="CFQ40" s="26"/>
      <c r="CFR40" s="27"/>
      <c r="CFS40" s="26"/>
      <c r="CFT40" s="27"/>
      <c r="CFU40" s="26"/>
      <c r="CFV40" s="27"/>
      <c r="CFW40" s="26"/>
      <c r="CFX40" s="27"/>
      <c r="CFY40" s="26"/>
      <c r="CFZ40" s="27"/>
      <c r="CGA40" s="26"/>
      <c r="CGB40" s="27"/>
      <c r="CGC40" s="26"/>
      <c r="CGD40" s="27"/>
      <c r="CGE40" s="26"/>
      <c r="CGF40" s="27"/>
      <c r="CGG40" s="26"/>
      <c r="CGH40" s="27"/>
      <c r="CGI40" s="26"/>
      <c r="CGJ40" s="27"/>
      <c r="CGK40" s="26"/>
      <c r="CGL40" s="27"/>
      <c r="CGM40" s="26"/>
      <c r="CGN40" s="27"/>
      <c r="CGO40" s="26"/>
      <c r="CGP40" s="27"/>
      <c r="CGQ40" s="26"/>
      <c r="CGR40" s="27"/>
      <c r="CGS40" s="26"/>
      <c r="CGT40" s="27"/>
      <c r="CGU40" s="26"/>
      <c r="CGV40" s="27"/>
      <c r="CGW40" s="26"/>
      <c r="CGX40" s="27"/>
      <c r="CGY40" s="26"/>
      <c r="CGZ40" s="27"/>
      <c r="CHA40" s="26"/>
      <c r="CHB40" s="27"/>
      <c r="CHC40" s="26"/>
      <c r="CHD40" s="27"/>
      <c r="CHE40" s="26"/>
      <c r="CHF40" s="27"/>
      <c r="CHG40" s="26"/>
      <c r="CHH40" s="27"/>
      <c r="CHI40" s="26"/>
      <c r="CHJ40" s="27"/>
      <c r="CHK40" s="26"/>
      <c r="CHL40" s="27"/>
      <c r="CHM40" s="26"/>
      <c r="CHN40" s="27"/>
      <c r="CHO40" s="26"/>
      <c r="CHP40" s="27"/>
      <c r="CHQ40" s="26"/>
      <c r="CHR40" s="27"/>
      <c r="CHS40" s="26"/>
      <c r="CHT40" s="27"/>
      <c r="CHU40" s="26"/>
      <c r="CHV40" s="27"/>
      <c r="CHW40" s="26"/>
      <c r="CHX40" s="27"/>
      <c r="CHY40" s="26"/>
      <c r="CHZ40" s="27"/>
      <c r="CIA40" s="26"/>
      <c r="CIB40" s="27"/>
      <c r="CIC40" s="26"/>
      <c r="CID40" s="27"/>
      <c r="CIE40" s="26"/>
      <c r="CIF40" s="27"/>
      <c r="CIG40" s="26"/>
      <c r="CIH40" s="27"/>
      <c r="CII40" s="26"/>
      <c r="CIJ40" s="27"/>
      <c r="CIK40" s="26"/>
      <c r="CIL40" s="27"/>
      <c r="CIM40" s="26"/>
      <c r="CIN40" s="27"/>
      <c r="CIO40" s="26"/>
      <c r="CIP40" s="27"/>
      <c r="CIQ40" s="26"/>
      <c r="CIR40" s="27"/>
      <c r="CIS40" s="26"/>
      <c r="CIT40" s="27"/>
      <c r="CIU40" s="26"/>
      <c r="CIV40" s="27"/>
      <c r="CIW40" s="26"/>
      <c r="CIX40" s="27"/>
      <c r="CIY40" s="26"/>
      <c r="CIZ40" s="27"/>
      <c r="CJA40" s="26"/>
      <c r="CJB40" s="27"/>
      <c r="CJC40" s="26"/>
      <c r="CJD40" s="27"/>
      <c r="CJE40" s="26"/>
      <c r="CJF40" s="27"/>
      <c r="CJG40" s="26"/>
      <c r="CJH40" s="27"/>
      <c r="CJI40" s="26"/>
      <c r="CJJ40" s="27"/>
      <c r="CJK40" s="26"/>
      <c r="CJL40" s="27"/>
      <c r="CJM40" s="26"/>
      <c r="CJN40" s="27"/>
      <c r="CJO40" s="26"/>
      <c r="CJP40" s="27"/>
      <c r="CJQ40" s="26"/>
      <c r="CJR40" s="27"/>
      <c r="CJS40" s="26"/>
      <c r="CJT40" s="27"/>
      <c r="CJU40" s="26"/>
      <c r="CJV40" s="27"/>
      <c r="CJW40" s="26"/>
      <c r="CJX40" s="27"/>
      <c r="CJY40" s="26"/>
      <c r="CJZ40" s="27"/>
      <c r="CKA40" s="26"/>
      <c r="CKB40" s="27"/>
      <c r="CKC40" s="26"/>
      <c r="CKD40" s="27"/>
      <c r="CKE40" s="26"/>
      <c r="CKF40" s="27"/>
      <c r="CKG40" s="26"/>
      <c r="CKH40" s="27"/>
      <c r="CKI40" s="26"/>
      <c r="CKJ40" s="27"/>
      <c r="CKK40" s="26"/>
      <c r="CKL40" s="27"/>
      <c r="CKM40" s="26"/>
      <c r="CKN40" s="27"/>
      <c r="CKO40" s="26"/>
      <c r="CKP40" s="27"/>
      <c r="CKQ40" s="26"/>
      <c r="CKR40" s="27"/>
      <c r="CKS40" s="26"/>
      <c r="CKT40" s="27"/>
      <c r="CKU40" s="26"/>
      <c r="CKV40" s="27"/>
      <c r="CKW40" s="26"/>
      <c r="CKX40" s="27"/>
      <c r="CKY40" s="26"/>
      <c r="CKZ40" s="27"/>
      <c r="CLA40" s="26"/>
      <c r="CLB40" s="27"/>
      <c r="CLC40" s="26"/>
      <c r="CLD40" s="27"/>
      <c r="CLE40" s="26"/>
      <c r="CLF40" s="27"/>
      <c r="CLG40" s="26"/>
      <c r="CLH40" s="27"/>
      <c r="CLI40" s="26"/>
      <c r="CLJ40" s="27"/>
      <c r="CLK40" s="26"/>
      <c r="CLL40" s="27"/>
      <c r="CLM40" s="26"/>
      <c r="CLN40" s="27"/>
      <c r="CLO40" s="26"/>
      <c r="CLP40" s="27"/>
      <c r="CLQ40" s="26"/>
      <c r="CLR40" s="27"/>
      <c r="CLS40" s="26"/>
      <c r="CLT40" s="27"/>
      <c r="CLU40" s="26"/>
      <c r="CLV40" s="27"/>
      <c r="CLW40" s="26"/>
      <c r="CLX40" s="27"/>
      <c r="CLY40" s="26"/>
      <c r="CLZ40" s="27"/>
      <c r="CMA40" s="26"/>
      <c r="CMB40" s="27"/>
      <c r="CMC40" s="26"/>
      <c r="CMD40" s="27"/>
      <c r="CME40" s="26"/>
      <c r="CMF40" s="27"/>
      <c r="CMG40" s="26"/>
      <c r="CMH40" s="27"/>
      <c r="CMI40" s="26"/>
      <c r="CMJ40" s="27"/>
      <c r="CMK40" s="26"/>
      <c r="CML40" s="27"/>
      <c r="CMM40" s="26"/>
      <c r="CMN40" s="27"/>
      <c r="CMO40" s="26"/>
      <c r="CMP40" s="27"/>
      <c r="CMQ40" s="26"/>
      <c r="CMR40" s="27"/>
      <c r="CMS40" s="26"/>
      <c r="CMT40" s="27"/>
      <c r="CMU40" s="26"/>
      <c r="CMV40" s="27"/>
      <c r="CMW40" s="26"/>
      <c r="CMX40" s="27"/>
      <c r="CMY40" s="26"/>
      <c r="CMZ40" s="27"/>
      <c r="CNA40" s="26"/>
      <c r="CNB40" s="27"/>
      <c r="CNC40" s="26"/>
      <c r="CND40" s="27"/>
      <c r="CNE40" s="26"/>
      <c r="CNF40" s="27"/>
      <c r="CNG40" s="26"/>
      <c r="CNH40" s="27"/>
      <c r="CNI40" s="26"/>
      <c r="CNJ40" s="27"/>
      <c r="CNK40" s="26"/>
      <c r="CNL40" s="27"/>
      <c r="CNM40" s="26"/>
      <c r="CNN40" s="27"/>
      <c r="CNO40" s="26"/>
      <c r="CNP40" s="27"/>
      <c r="CNQ40" s="26"/>
      <c r="CNR40" s="27"/>
      <c r="CNS40" s="26"/>
      <c r="CNT40" s="27"/>
      <c r="CNU40" s="26"/>
      <c r="CNV40" s="27"/>
      <c r="CNW40" s="26"/>
      <c r="CNX40" s="27"/>
      <c r="CNY40" s="26"/>
      <c r="CNZ40" s="27"/>
      <c r="COA40" s="26"/>
      <c r="COB40" s="27"/>
      <c r="COC40" s="26"/>
      <c r="COD40" s="27"/>
      <c r="COE40" s="26"/>
      <c r="COF40" s="27"/>
      <c r="COG40" s="26"/>
      <c r="COH40" s="27"/>
      <c r="COI40" s="26"/>
      <c r="COJ40" s="27"/>
      <c r="COK40" s="26"/>
      <c r="COL40" s="27"/>
      <c r="COM40" s="26"/>
      <c r="CON40" s="27"/>
      <c r="COO40" s="26"/>
      <c r="COP40" s="27"/>
      <c r="COQ40" s="26"/>
      <c r="COR40" s="27"/>
      <c r="COS40" s="26"/>
      <c r="COT40" s="27"/>
      <c r="COU40" s="26"/>
      <c r="COV40" s="27"/>
      <c r="COW40" s="26"/>
      <c r="COX40" s="27"/>
      <c r="COY40" s="26"/>
      <c r="COZ40" s="27"/>
      <c r="CPA40" s="26"/>
      <c r="CPB40" s="27"/>
      <c r="CPC40" s="26"/>
      <c r="CPD40" s="27"/>
      <c r="CPE40" s="26"/>
      <c r="CPF40" s="27"/>
      <c r="CPG40" s="26"/>
      <c r="CPH40" s="27"/>
      <c r="CPI40" s="26"/>
      <c r="CPJ40" s="27"/>
      <c r="CPK40" s="26"/>
      <c r="CPL40" s="27"/>
      <c r="CPM40" s="26"/>
      <c r="CPN40" s="27"/>
      <c r="CPO40" s="26"/>
      <c r="CPP40" s="27"/>
      <c r="CPQ40" s="26"/>
      <c r="CPR40" s="27"/>
      <c r="CPS40" s="26"/>
      <c r="CPT40" s="27"/>
      <c r="CPU40" s="26"/>
      <c r="CPV40" s="27"/>
      <c r="CPW40" s="26"/>
      <c r="CPX40" s="27"/>
      <c r="CPY40" s="26"/>
      <c r="CPZ40" s="27"/>
      <c r="CQA40" s="26"/>
      <c r="CQB40" s="27"/>
      <c r="CQC40" s="26"/>
      <c r="CQD40" s="27"/>
      <c r="CQE40" s="26"/>
      <c r="CQF40" s="27"/>
      <c r="CQG40" s="26"/>
      <c r="CQH40" s="27"/>
      <c r="CQI40" s="26"/>
      <c r="CQJ40" s="27"/>
      <c r="CQK40" s="26"/>
      <c r="CQL40" s="27"/>
      <c r="CQM40" s="26"/>
      <c r="CQN40" s="27"/>
      <c r="CQO40" s="26"/>
      <c r="CQP40" s="27"/>
      <c r="CQQ40" s="26"/>
      <c r="CQR40" s="27"/>
      <c r="CQS40" s="26"/>
      <c r="CQT40" s="27"/>
      <c r="CQU40" s="26"/>
      <c r="CQV40" s="27"/>
      <c r="CQW40" s="26"/>
      <c r="CQX40" s="27"/>
      <c r="CQY40" s="26"/>
      <c r="CQZ40" s="27"/>
      <c r="CRA40" s="26"/>
      <c r="CRB40" s="27"/>
      <c r="CRC40" s="26"/>
      <c r="CRD40" s="27"/>
      <c r="CRE40" s="26"/>
      <c r="CRF40" s="27"/>
      <c r="CRG40" s="26"/>
      <c r="CRH40" s="27"/>
      <c r="CRI40" s="26"/>
      <c r="CRJ40" s="27"/>
      <c r="CRK40" s="26"/>
      <c r="CRL40" s="27"/>
      <c r="CRM40" s="26"/>
      <c r="CRN40" s="27"/>
      <c r="CRO40" s="26"/>
      <c r="CRP40" s="27"/>
      <c r="CRQ40" s="26"/>
      <c r="CRR40" s="27"/>
      <c r="CRS40" s="26"/>
      <c r="CRT40" s="27"/>
      <c r="CRU40" s="26"/>
      <c r="CRV40" s="27"/>
      <c r="CRW40" s="26"/>
      <c r="CRX40" s="27"/>
      <c r="CRY40" s="26"/>
      <c r="CRZ40" s="27"/>
      <c r="CSA40" s="26"/>
      <c r="CSB40" s="27"/>
      <c r="CSC40" s="26"/>
      <c r="CSD40" s="27"/>
      <c r="CSE40" s="26"/>
      <c r="CSF40" s="27"/>
      <c r="CSG40" s="26"/>
      <c r="CSH40" s="27"/>
      <c r="CSI40" s="26"/>
      <c r="CSJ40" s="27"/>
      <c r="CSK40" s="26"/>
      <c r="CSL40" s="27"/>
      <c r="CSM40" s="26"/>
      <c r="CSN40" s="27"/>
      <c r="CSO40" s="26"/>
      <c r="CSP40" s="27"/>
      <c r="CSQ40" s="26"/>
      <c r="CSR40" s="27"/>
      <c r="CSS40" s="26"/>
      <c r="CST40" s="27"/>
      <c r="CSU40" s="26"/>
      <c r="CSV40" s="27"/>
      <c r="CSW40" s="26"/>
      <c r="CSX40" s="27"/>
      <c r="CSY40" s="26"/>
      <c r="CSZ40" s="27"/>
      <c r="CTA40" s="26"/>
      <c r="CTB40" s="27"/>
      <c r="CTC40" s="26"/>
      <c r="CTD40" s="27"/>
      <c r="CTE40" s="26"/>
      <c r="CTF40" s="27"/>
      <c r="CTG40" s="26"/>
      <c r="CTH40" s="27"/>
      <c r="CTI40" s="26"/>
      <c r="CTJ40" s="27"/>
      <c r="CTK40" s="26"/>
      <c r="CTL40" s="27"/>
      <c r="CTM40" s="26"/>
      <c r="CTN40" s="27"/>
      <c r="CTO40" s="26"/>
      <c r="CTP40" s="27"/>
      <c r="CTQ40" s="26"/>
      <c r="CTR40" s="27"/>
      <c r="CTS40" s="26"/>
      <c r="CTT40" s="27"/>
      <c r="CTU40" s="26"/>
      <c r="CTV40" s="27"/>
      <c r="CTW40" s="26"/>
      <c r="CTX40" s="27"/>
      <c r="CTY40" s="26"/>
      <c r="CTZ40" s="27"/>
      <c r="CUA40" s="26"/>
      <c r="CUB40" s="27"/>
      <c r="CUC40" s="26"/>
      <c r="CUD40" s="27"/>
      <c r="CUE40" s="26"/>
      <c r="CUF40" s="27"/>
      <c r="CUG40" s="26"/>
      <c r="CUH40" s="27"/>
      <c r="CUI40" s="26"/>
      <c r="CUJ40" s="27"/>
      <c r="CUK40" s="26"/>
      <c r="CUL40" s="27"/>
      <c r="CUM40" s="26"/>
      <c r="CUN40" s="27"/>
      <c r="CUO40" s="26"/>
      <c r="CUP40" s="27"/>
      <c r="CUQ40" s="26"/>
      <c r="CUR40" s="27"/>
      <c r="CUS40" s="26"/>
      <c r="CUT40" s="27"/>
      <c r="CUU40" s="26"/>
      <c r="CUV40" s="27"/>
      <c r="CUW40" s="26"/>
      <c r="CUX40" s="27"/>
      <c r="CUY40" s="26"/>
      <c r="CUZ40" s="27"/>
      <c r="CVA40" s="26"/>
      <c r="CVB40" s="27"/>
      <c r="CVC40" s="26"/>
      <c r="CVD40" s="27"/>
      <c r="CVE40" s="26"/>
      <c r="CVF40" s="27"/>
      <c r="CVG40" s="26"/>
      <c r="CVH40" s="27"/>
      <c r="CVI40" s="26"/>
      <c r="CVJ40" s="27"/>
      <c r="CVK40" s="26"/>
      <c r="CVL40" s="27"/>
      <c r="CVM40" s="26"/>
      <c r="CVN40" s="27"/>
      <c r="CVO40" s="26"/>
      <c r="CVP40" s="27"/>
      <c r="CVQ40" s="26"/>
      <c r="CVR40" s="27"/>
      <c r="CVS40" s="26"/>
      <c r="CVT40" s="27"/>
      <c r="CVU40" s="26"/>
      <c r="CVV40" s="27"/>
      <c r="CVW40" s="26"/>
      <c r="CVX40" s="27"/>
      <c r="CVY40" s="26"/>
      <c r="CVZ40" s="27"/>
      <c r="CWA40" s="26"/>
      <c r="CWB40" s="27"/>
      <c r="CWC40" s="26"/>
      <c r="CWD40" s="27"/>
      <c r="CWE40" s="26"/>
      <c r="CWF40" s="27"/>
      <c r="CWG40" s="26"/>
      <c r="CWH40" s="27"/>
      <c r="CWI40" s="26"/>
      <c r="CWJ40" s="27"/>
      <c r="CWK40" s="26"/>
      <c r="CWL40" s="27"/>
      <c r="CWM40" s="26"/>
      <c r="CWN40" s="27"/>
      <c r="CWO40" s="26"/>
      <c r="CWP40" s="27"/>
      <c r="CWQ40" s="26"/>
      <c r="CWR40" s="27"/>
      <c r="CWS40" s="26"/>
      <c r="CWT40" s="27"/>
      <c r="CWU40" s="26"/>
      <c r="CWV40" s="27"/>
      <c r="CWW40" s="26"/>
      <c r="CWX40" s="27"/>
      <c r="CWY40" s="26"/>
      <c r="CWZ40" s="27"/>
      <c r="CXA40" s="26"/>
      <c r="CXB40" s="27"/>
      <c r="CXC40" s="26"/>
      <c r="CXD40" s="27"/>
      <c r="CXE40" s="26"/>
      <c r="CXF40" s="27"/>
      <c r="CXG40" s="26"/>
      <c r="CXH40" s="27"/>
      <c r="CXI40" s="26"/>
      <c r="CXJ40" s="27"/>
      <c r="CXK40" s="26"/>
      <c r="CXL40" s="27"/>
      <c r="CXM40" s="26"/>
      <c r="CXN40" s="27"/>
      <c r="CXO40" s="26"/>
      <c r="CXP40" s="27"/>
      <c r="CXQ40" s="26"/>
      <c r="CXR40" s="27"/>
      <c r="CXS40" s="26"/>
      <c r="CXT40" s="27"/>
      <c r="CXU40" s="26"/>
      <c r="CXV40" s="27"/>
      <c r="CXW40" s="26"/>
      <c r="CXX40" s="27"/>
      <c r="CXY40" s="26"/>
      <c r="CXZ40" s="27"/>
      <c r="CYA40" s="26"/>
      <c r="CYB40" s="27"/>
      <c r="CYC40" s="26"/>
      <c r="CYD40" s="27"/>
      <c r="CYE40" s="26"/>
      <c r="CYF40" s="27"/>
      <c r="CYG40" s="26"/>
      <c r="CYH40" s="27"/>
      <c r="CYI40" s="26"/>
      <c r="CYJ40" s="27"/>
      <c r="CYK40" s="26"/>
      <c r="CYL40" s="27"/>
      <c r="CYM40" s="26"/>
      <c r="CYN40" s="27"/>
      <c r="CYO40" s="26"/>
      <c r="CYP40" s="27"/>
      <c r="CYQ40" s="26"/>
      <c r="CYR40" s="27"/>
      <c r="CYS40" s="26"/>
      <c r="CYT40" s="27"/>
      <c r="CYU40" s="26"/>
      <c r="CYV40" s="27"/>
      <c r="CYW40" s="26"/>
      <c r="CYX40" s="27"/>
      <c r="CYY40" s="26"/>
      <c r="CYZ40" s="27"/>
      <c r="CZA40" s="26"/>
      <c r="CZB40" s="27"/>
      <c r="CZC40" s="26"/>
      <c r="CZD40" s="27"/>
      <c r="CZE40" s="26"/>
      <c r="CZF40" s="27"/>
      <c r="CZG40" s="26"/>
      <c r="CZH40" s="27"/>
      <c r="CZI40" s="26"/>
      <c r="CZJ40" s="27"/>
      <c r="CZK40" s="26"/>
      <c r="CZL40" s="27"/>
      <c r="CZM40" s="26"/>
      <c r="CZN40" s="27"/>
      <c r="CZO40" s="26"/>
      <c r="CZP40" s="27"/>
      <c r="CZQ40" s="26"/>
      <c r="CZR40" s="27"/>
      <c r="CZS40" s="26"/>
      <c r="CZT40" s="27"/>
      <c r="CZU40" s="26"/>
      <c r="CZV40" s="27"/>
      <c r="CZW40" s="26"/>
      <c r="CZX40" s="27"/>
      <c r="CZY40" s="26"/>
      <c r="CZZ40" s="27"/>
      <c r="DAA40" s="26"/>
      <c r="DAB40" s="27"/>
      <c r="DAC40" s="26"/>
      <c r="DAD40" s="27"/>
      <c r="DAE40" s="26"/>
      <c r="DAF40" s="27"/>
      <c r="DAG40" s="26"/>
      <c r="DAH40" s="27"/>
      <c r="DAI40" s="26"/>
      <c r="DAJ40" s="27"/>
      <c r="DAK40" s="26"/>
      <c r="DAL40" s="27"/>
      <c r="DAM40" s="26"/>
      <c r="DAN40" s="27"/>
      <c r="DAO40" s="26"/>
      <c r="DAP40" s="27"/>
      <c r="DAQ40" s="26"/>
      <c r="DAR40" s="27"/>
      <c r="DAS40" s="26"/>
      <c r="DAT40" s="27"/>
      <c r="DAU40" s="26"/>
      <c r="DAV40" s="27"/>
      <c r="DAW40" s="26"/>
      <c r="DAX40" s="27"/>
      <c r="DAY40" s="26"/>
      <c r="DAZ40" s="27"/>
      <c r="DBA40" s="26"/>
      <c r="DBB40" s="27"/>
      <c r="DBC40" s="26"/>
      <c r="DBD40" s="27"/>
      <c r="DBE40" s="26"/>
      <c r="DBF40" s="27"/>
      <c r="DBG40" s="26"/>
      <c r="DBH40" s="27"/>
      <c r="DBI40" s="26"/>
      <c r="DBJ40" s="27"/>
      <c r="DBK40" s="26"/>
      <c r="DBL40" s="27"/>
      <c r="DBM40" s="26"/>
      <c r="DBN40" s="27"/>
      <c r="DBO40" s="26"/>
      <c r="DBP40" s="27"/>
      <c r="DBQ40" s="26"/>
      <c r="DBR40" s="27"/>
      <c r="DBS40" s="26"/>
      <c r="DBT40" s="27"/>
      <c r="DBU40" s="26"/>
      <c r="DBV40" s="27"/>
      <c r="DBW40" s="26"/>
      <c r="DBX40" s="27"/>
      <c r="DBY40" s="26"/>
      <c r="DBZ40" s="27"/>
      <c r="DCA40" s="26"/>
      <c r="DCB40" s="27"/>
      <c r="DCC40" s="26"/>
      <c r="DCD40" s="27"/>
      <c r="DCE40" s="26"/>
      <c r="DCF40" s="27"/>
      <c r="DCG40" s="26"/>
      <c r="DCH40" s="27"/>
      <c r="DCI40" s="26"/>
      <c r="DCJ40" s="27"/>
      <c r="DCK40" s="26"/>
      <c r="DCL40" s="27"/>
      <c r="DCM40" s="26"/>
      <c r="DCN40" s="27"/>
      <c r="DCO40" s="26"/>
      <c r="DCP40" s="27"/>
      <c r="DCQ40" s="26"/>
      <c r="DCR40" s="27"/>
      <c r="DCS40" s="26"/>
      <c r="DCT40" s="27"/>
      <c r="DCU40" s="26"/>
      <c r="DCV40" s="27"/>
      <c r="DCW40" s="26"/>
      <c r="DCX40" s="27"/>
      <c r="DCY40" s="26"/>
      <c r="DCZ40" s="27"/>
      <c r="DDA40" s="26"/>
      <c r="DDB40" s="27"/>
      <c r="DDC40" s="26"/>
      <c r="DDD40" s="27"/>
      <c r="DDE40" s="26"/>
      <c r="DDF40" s="27"/>
      <c r="DDG40" s="26"/>
      <c r="DDH40" s="27"/>
      <c r="DDI40" s="26"/>
      <c r="DDJ40" s="27"/>
      <c r="DDK40" s="26"/>
      <c r="DDL40" s="27"/>
      <c r="DDM40" s="26"/>
      <c r="DDN40" s="27"/>
      <c r="DDO40" s="26"/>
      <c r="DDP40" s="27"/>
      <c r="DDQ40" s="26"/>
      <c r="DDR40" s="27"/>
      <c r="DDS40" s="26"/>
      <c r="DDT40" s="27"/>
      <c r="DDU40" s="26"/>
      <c r="DDV40" s="27"/>
      <c r="DDW40" s="26"/>
      <c r="DDX40" s="27"/>
      <c r="DDY40" s="26"/>
      <c r="DDZ40" s="27"/>
      <c r="DEA40" s="26"/>
      <c r="DEB40" s="27"/>
      <c r="DEC40" s="26"/>
      <c r="DED40" s="27"/>
      <c r="DEE40" s="26"/>
      <c r="DEF40" s="27"/>
      <c r="DEG40" s="26"/>
      <c r="DEH40" s="27"/>
      <c r="DEI40" s="26"/>
      <c r="DEJ40" s="27"/>
      <c r="DEK40" s="26"/>
      <c r="DEL40" s="27"/>
      <c r="DEM40" s="26"/>
      <c r="DEN40" s="27"/>
      <c r="DEO40" s="26"/>
      <c r="DEP40" s="27"/>
      <c r="DEQ40" s="26"/>
      <c r="DER40" s="27"/>
      <c r="DES40" s="26"/>
      <c r="DET40" s="27"/>
      <c r="DEU40" s="26"/>
      <c r="DEV40" s="27"/>
      <c r="DEW40" s="26"/>
      <c r="DEX40" s="27"/>
      <c r="DEY40" s="26"/>
      <c r="DEZ40" s="27"/>
      <c r="DFA40" s="26"/>
      <c r="DFB40" s="27"/>
      <c r="DFC40" s="26"/>
      <c r="DFD40" s="27"/>
      <c r="DFE40" s="26"/>
      <c r="DFF40" s="27"/>
      <c r="DFG40" s="26"/>
      <c r="DFH40" s="27"/>
      <c r="DFI40" s="26"/>
      <c r="DFJ40" s="27"/>
      <c r="DFK40" s="26"/>
      <c r="DFL40" s="27"/>
      <c r="DFM40" s="26"/>
      <c r="DFN40" s="27"/>
      <c r="DFO40" s="26"/>
      <c r="DFP40" s="27"/>
      <c r="DFQ40" s="26"/>
      <c r="DFR40" s="27"/>
      <c r="DFS40" s="26"/>
      <c r="DFT40" s="27"/>
      <c r="DFU40" s="26"/>
      <c r="DFV40" s="27"/>
      <c r="DFW40" s="26"/>
      <c r="DFX40" s="27"/>
      <c r="DFY40" s="26"/>
      <c r="DFZ40" s="27"/>
      <c r="DGA40" s="26"/>
      <c r="DGB40" s="27"/>
      <c r="DGC40" s="26"/>
      <c r="DGD40" s="27"/>
      <c r="DGE40" s="26"/>
      <c r="DGF40" s="27"/>
      <c r="DGG40" s="26"/>
      <c r="DGH40" s="27"/>
      <c r="DGI40" s="26"/>
      <c r="DGJ40" s="27"/>
      <c r="DGK40" s="26"/>
      <c r="DGL40" s="27"/>
      <c r="DGM40" s="26"/>
      <c r="DGN40" s="27"/>
      <c r="DGO40" s="26"/>
      <c r="DGP40" s="27"/>
      <c r="DGQ40" s="26"/>
      <c r="DGR40" s="27"/>
      <c r="DGS40" s="26"/>
      <c r="DGT40" s="27"/>
      <c r="DGU40" s="26"/>
      <c r="DGV40" s="27"/>
      <c r="DGW40" s="26"/>
      <c r="DGX40" s="27"/>
      <c r="DGY40" s="26"/>
      <c r="DGZ40" s="27"/>
      <c r="DHA40" s="26"/>
      <c r="DHB40" s="27"/>
      <c r="DHC40" s="26"/>
      <c r="DHD40" s="27"/>
      <c r="DHE40" s="26"/>
      <c r="DHF40" s="27"/>
      <c r="DHG40" s="26"/>
      <c r="DHH40" s="27"/>
      <c r="DHI40" s="26"/>
      <c r="DHJ40" s="27"/>
      <c r="DHK40" s="26"/>
      <c r="DHL40" s="27"/>
      <c r="DHM40" s="26"/>
      <c r="DHN40" s="27"/>
      <c r="DHO40" s="26"/>
      <c r="DHP40" s="27"/>
      <c r="DHQ40" s="26"/>
      <c r="DHR40" s="27"/>
      <c r="DHS40" s="26"/>
      <c r="DHT40" s="27"/>
      <c r="DHU40" s="26"/>
      <c r="DHV40" s="27"/>
      <c r="DHW40" s="26"/>
      <c r="DHX40" s="27"/>
      <c r="DHY40" s="26"/>
      <c r="DHZ40" s="27"/>
      <c r="DIA40" s="26"/>
      <c r="DIB40" s="27"/>
      <c r="DIC40" s="26"/>
      <c r="DID40" s="27"/>
      <c r="DIE40" s="26"/>
      <c r="DIF40" s="27"/>
      <c r="DIG40" s="26"/>
      <c r="DIH40" s="27"/>
      <c r="DII40" s="26"/>
      <c r="DIJ40" s="27"/>
      <c r="DIK40" s="26"/>
      <c r="DIL40" s="27"/>
      <c r="DIM40" s="26"/>
      <c r="DIN40" s="27"/>
      <c r="DIO40" s="26"/>
      <c r="DIP40" s="27"/>
      <c r="DIQ40" s="26"/>
      <c r="DIR40" s="27"/>
      <c r="DIS40" s="26"/>
      <c r="DIT40" s="27"/>
      <c r="DIU40" s="26"/>
      <c r="DIV40" s="27"/>
      <c r="DIW40" s="26"/>
      <c r="DIX40" s="27"/>
      <c r="DIY40" s="26"/>
      <c r="DIZ40" s="27"/>
      <c r="DJA40" s="26"/>
      <c r="DJB40" s="27"/>
      <c r="DJC40" s="26"/>
      <c r="DJD40" s="27"/>
      <c r="DJE40" s="26"/>
      <c r="DJF40" s="27"/>
      <c r="DJG40" s="26"/>
      <c r="DJH40" s="27"/>
      <c r="DJI40" s="26"/>
      <c r="DJJ40" s="27"/>
      <c r="DJK40" s="26"/>
      <c r="DJL40" s="27"/>
      <c r="DJM40" s="26"/>
      <c r="DJN40" s="27"/>
      <c r="DJO40" s="26"/>
      <c r="DJP40" s="27"/>
      <c r="DJQ40" s="26"/>
      <c r="DJR40" s="27"/>
      <c r="DJS40" s="26"/>
      <c r="DJT40" s="27"/>
      <c r="DJU40" s="26"/>
      <c r="DJV40" s="27"/>
      <c r="DJW40" s="26"/>
      <c r="DJX40" s="27"/>
      <c r="DJY40" s="26"/>
      <c r="DJZ40" s="27"/>
      <c r="DKA40" s="26"/>
      <c r="DKB40" s="27"/>
      <c r="DKC40" s="26"/>
      <c r="DKD40" s="27"/>
      <c r="DKE40" s="26"/>
      <c r="DKF40" s="27"/>
      <c r="DKG40" s="26"/>
      <c r="DKH40" s="27"/>
      <c r="DKI40" s="26"/>
      <c r="DKJ40" s="27"/>
      <c r="DKK40" s="26"/>
      <c r="DKL40" s="27"/>
      <c r="DKM40" s="26"/>
      <c r="DKN40" s="27"/>
      <c r="DKO40" s="26"/>
      <c r="DKP40" s="27"/>
      <c r="DKQ40" s="26"/>
      <c r="DKR40" s="27"/>
      <c r="DKS40" s="26"/>
      <c r="DKT40" s="27"/>
      <c r="DKU40" s="26"/>
      <c r="DKV40" s="27"/>
      <c r="DKW40" s="26"/>
      <c r="DKX40" s="27"/>
      <c r="DKY40" s="26"/>
      <c r="DKZ40" s="27"/>
      <c r="DLA40" s="26"/>
      <c r="DLB40" s="27"/>
      <c r="DLC40" s="26"/>
      <c r="DLD40" s="27"/>
      <c r="DLE40" s="26"/>
      <c r="DLF40" s="27"/>
      <c r="DLG40" s="26"/>
      <c r="DLH40" s="27"/>
      <c r="DLI40" s="26"/>
      <c r="DLJ40" s="27"/>
      <c r="DLK40" s="26"/>
      <c r="DLL40" s="27"/>
      <c r="DLM40" s="26"/>
      <c r="DLN40" s="27"/>
      <c r="DLO40" s="26"/>
      <c r="DLP40" s="27"/>
      <c r="DLQ40" s="26"/>
      <c r="DLR40" s="27"/>
      <c r="DLS40" s="26"/>
      <c r="DLT40" s="27"/>
      <c r="DLU40" s="26"/>
      <c r="DLV40" s="27"/>
      <c r="DLW40" s="26"/>
      <c r="DLX40" s="27"/>
      <c r="DLY40" s="26"/>
      <c r="DLZ40" s="27"/>
      <c r="DMA40" s="26"/>
      <c r="DMB40" s="27"/>
      <c r="DMC40" s="26"/>
      <c r="DMD40" s="27"/>
      <c r="DME40" s="26"/>
      <c r="DMF40" s="27"/>
      <c r="DMG40" s="26"/>
      <c r="DMH40" s="27"/>
      <c r="DMI40" s="26"/>
      <c r="DMJ40" s="27"/>
      <c r="DMK40" s="26"/>
      <c r="DML40" s="27"/>
      <c r="DMM40" s="26"/>
      <c r="DMN40" s="27"/>
      <c r="DMO40" s="26"/>
      <c r="DMP40" s="27"/>
      <c r="DMQ40" s="26"/>
      <c r="DMR40" s="27"/>
      <c r="DMS40" s="26"/>
      <c r="DMT40" s="27"/>
      <c r="DMU40" s="26"/>
      <c r="DMV40" s="27"/>
      <c r="DMW40" s="26"/>
      <c r="DMX40" s="27"/>
      <c r="DMY40" s="26"/>
      <c r="DMZ40" s="27"/>
      <c r="DNA40" s="26"/>
      <c r="DNB40" s="27"/>
      <c r="DNC40" s="26"/>
      <c r="DND40" s="27"/>
      <c r="DNE40" s="26"/>
      <c r="DNF40" s="27"/>
      <c r="DNG40" s="26"/>
      <c r="DNH40" s="27"/>
      <c r="DNI40" s="26"/>
      <c r="DNJ40" s="27"/>
      <c r="DNK40" s="26"/>
      <c r="DNL40" s="27"/>
      <c r="DNM40" s="26"/>
      <c r="DNN40" s="27"/>
      <c r="DNO40" s="26"/>
      <c r="DNP40" s="27"/>
      <c r="DNQ40" s="26"/>
      <c r="DNR40" s="27"/>
      <c r="DNS40" s="26"/>
      <c r="DNT40" s="27"/>
      <c r="DNU40" s="26"/>
      <c r="DNV40" s="27"/>
      <c r="DNW40" s="26"/>
      <c r="DNX40" s="27"/>
      <c r="DNY40" s="26"/>
      <c r="DNZ40" s="27"/>
      <c r="DOA40" s="26"/>
      <c r="DOB40" s="27"/>
      <c r="DOC40" s="26"/>
      <c r="DOD40" s="27"/>
      <c r="DOE40" s="26"/>
      <c r="DOF40" s="27"/>
      <c r="DOG40" s="26"/>
      <c r="DOH40" s="27"/>
      <c r="DOI40" s="26"/>
      <c r="DOJ40" s="27"/>
      <c r="DOK40" s="26"/>
      <c r="DOL40" s="27"/>
      <c r="DOM40" s="26"/>
      <c r="DON40" s="27"/>
      <c r="DOO40" s="26"/>
      <c r="DOP40" s="27"/>
      <c r="DOQ40" s="26"/>
      <c r="DOR40" s="27"/>
      <c r="DOS40" s="26"/>
      <c r="DOT40" s="27"/>
      <c r="DOU40" s="26"/>
      <c r="DOV40" s="27"/>
      <c r="DOW40" s="26"/>
      <c r="DOX40" s="27"/>
      <c r="DOY40" s="26"/>
      <c r="DOZ40" s="27"/>
      <c r="DPA40" s="26"/>
      <c r="DPB40" s="27"/>
      <c r="DPC40" s="26"/>
      <c r="DPD40" s="27"/>
      <c r="DPE40" s="26"/>
      <c r="DPF40" s="27"/>
      <c r="DPG40" s="26"/>
      <c r="DPH40" s="27"/>
      <c r="DPI40" s="26"/>
      <c r="DPJ40" s="27"/>
      <c r="DPK40" s="26"/>
      <c r="DPL40" s="27"/>
      <c r="DPM40" s="26"/>
      <c r="DPN40" s="27"/>
      <c r="DPO40" s="26"/>
      <c r="DPP40" s="27"/>
      <c r="DPQ40" s="26"/>
      <c r="DPR40" s="27"/>
      <c r="DPS40" s="26"/>
      <c r="DPT40" s="27"/>
      <c r="DPU40" s="26"/>
      <c r="DPV40" s="27"/>
      <c r="DPW40" s="26"/>
      <c r="DPX40" s="27"/>
      <c r="DPY40" s="26"/>
      <c r="DPZ40" s="27"/>
      <c r="DQA40" s="26"/>
      <c r="DQB40" s="27"/>
      <c r="DQC40" s="26"/>
      <c r="DQD40" s="27"/>
      <c r="DQE40" s="26"/>
      <c r="DQF40" s="27"/>
      <c r="DQG40" s="26"/>
      <c r="DQH40" s="27"/>
      <c r="DQI40" s="26"/>
      <c r="DQJ40" s="27"/>
      <c r="DQK40" s="26"/>
      <c r="DQL40" s="27"/>
      <c r="DQM40" s="26"/>
      <c r="DQN40" s="27"/>
      <c r="DQO40" s="26"/>
      <c r="DQP40" s="27"/>
      <c r="DQQ40" s="26"/>
      <c r="DQR40" s="27"/>
      <c r="DQS40" s="26"/>
      <c r="DQT40" s="27"/>
      <c r="DQU40" s="26"/>
      <c r="DQV40" s="27"/>
      <c r="DQW40" s="26"/>
      <c r="DQX40" s="27"/>
      <c r="DQY40" s="26"/>
      <c r="DQZ40" s="27"/>
      <c r="DRA40" s="26"/>
      <c r="DRB40" s="27"/>
      <c r="DRC40" s="26"/>
      <c r="DRD40" s="27"/>
      <c r="DRE40" s="26"/>
      <c r="DRF40" s="27"/>
      <c r="DRG40" s="26"/>
      <c r="DRH40" s="27"/>
      <c r="DRI40" s="26"/>
      <c r="DRJ40" s="27"/>
      <c r="DRK40" s="26"/>
      <c r="DRL40" s="27"/>
      <c r="DRM40" s="26"/>
      <c r="DRN40" s="27"/>
      <c r="DRO40" s="26"/>
      <c r="DRP40" s="27"/>
      <c r="DRQ40" s="26"/>
      <c r="DRR40" s="27"/>
      <c r="DRS40" s="26"/>
      <c r="DRT40" s="27"/>
      <c r="DRU40" s="26"/>
      <c r="DRV40" s="27"/>
      <c r="DRW40" s="26"/>
      <c r="DRX40" s="27"/>
      <c r="DRY40" s="26"/>
      <c r="DRZ40" s="27"/>
      <c r="DSA40" s="26"/>
      <c r="DSB40" s="27"/>
      <c r="DSC40" s="26"/>
      <c r="DSD40" s="27"/>
      <c r="DSE40" s="26"/>
      <c r="DSF40" s="27"/>
      <c r="DSG40" s="26"/>
      <c r="DSH40" s="27"/>
      <c r="DSI40" s="26"/>
      <c r="DSJ40" s="27"/>
      <c r="DSK40" s="26"/>
      <c r="DSL40" s="27"/>
      <c r="DSM40" s="26"/>
      <c r="DSN40" s="27"/>
      <c r="DSO40" s="26"/>
      <c r="DSP40" s="27"/>
      <c r="DSQ40" s="26"/>
      <c r="DSR40" s="27"/>
      <c r="DSS40" s="26"/>
      <c r="DST40" s="27"/>
      <c r="DSU40" s="26"/>
      <c r="DSV40" s="27"/>
      <c r="DSW40" s="26"/>
      <c r="DSX40" s="27"/>
      <c r="DSY40" s="26"/>
      <c r="DSZ40" s="27"/>
      <c r="DTA40" s="26"/>
      <c r="DTB40" s="27"/>
      <c r="DTC40" s="26"/>
      <c r="DTD40" s="27"/>
      <c r="DTE40" s="26"/>
      <c r="DTF40" s="27"/>
      <c r="DTG40" s="26"/>
      <c r="DTH40" s="27"/>
      <c r="DTI40" s="26"/>
      <c r="DTJ40" s="27"/>
      <c r="DTK40" s="26"/>
      <c r="DTL40" s="27"/>
      <c r="DTM40" s="26"/>
      <c r="DTN40" s="27"/>
      <c r="DTO40" s="26"/>
      <c r="DTP40" s="27"/>
      <c r="DTQ40" s="26"/>
      <c r="DTR40" s="27"/>
      <c r="DTS40" s="26"/>
      <c r="DTT40" s="27"/>
      <c r="DTU40" s="26"/>
      <c r="DTV40" s="27"/>
      <c r="DTW40" s="26"/>
      <c r="DTX40" s="27"/>
      <c r="DTY40" s="26"/>
      <c r="DTZ40" s="27"/>
      <c r="DUA40" s="26"/>
      <c r="DUB40" s="27"/>
      <c r="DUC40" s="26"/>
      <c r="DUD40" s="27"/>
      <c r="DUE40" s="26"/>
      <c r="DUF40" s="27"/>
      <c r="DUG40" s="26"/>
      <c r="DUH40" s="27"/>
      <c r="DUI40" s="26"/>
      <c r="DUJ40" s="27"/>
      <c r="DUK40" s="26"/>
      <c r="DUL40" s="27"/>
      <c r="DUM40" s="26"/>
      <c r="DUN40" s="27"/>
      <c r="DUO40" s="26"/>
      <c r="DUP40" s="27"/>
      <c r="DUQ40" s="26"/>
      <c r="DUR40" s="27"/>
      <c r="DUS40" s="26"/>
      <c r="DUT40" s="27"/>
      <c r="DUU40" s="26"/>
      <c r="DUV40" s="27"/>
      <c r="DUW40" s="26"/>
      <c r="DUX40" s="27"/>
      <c r="DUY40" s="26"/>
      <c r="DUZ40" s="27"/>
      <c r="DVA40" s="26"/>
      <c r="DVB40" s="27"/>
      <c r="DVC40" s="26"/>
      <c r="DVD40" s="27"/>
      <c r="DVE40" s="26"/>
      <c r="DVF40" s="27"/>
      <c r="DVG40" s="26"/>
      <c r="DVH40" s="27"/>
      <c r="DVI40" s="26"/>
      <c r="DVJ40" s="27"/>
      <c r="DVK40" s="26"/>
      <c r="DVL40" s="27"/>
      <c r="DVM40" s="26"/>
      <c r="DVN40" s="27"/>
      <c r="DVO40" s="26"/>
      <c r="DVP40" s="27"/>
      <c r="DVQ40" s="26"/>
      <c r="DVR40" s="27"/>
      <c r="DVS40" s="26"/>
      <c r="DVT40" s="27"/>
      <c r="DVU40" s="26"/>
      <c r="DVV40" s="27"/>
      <c r="DVW40" s="26"/>
      <c r="DVX40" s="27"/>
      <c r="DVY40" s="26"/>
      <c r="DVZ40" s="27"/>
      <c r="DWA40" s="26"/>
      <c r="DWB40" s="27"/>
      <c r="DWC40" s="26"/>
      <c r="DWD40" s="27"/>
      <c r="DWE40" s="26"/>
      <c r="DWF40" s="27"/>
      <c r="DWG40" s="26"/>
      <c r="DWH40" s="27"/>
      <c r="DWI40" s="26"/>
      <c r="DWJ40" s="27"/>
      <c r="DWK40" s="26"/>
      <c r="DWL40" s="27"/>
      <c r="DWM40" s="26"/>
      <c r="DWN40" s="27"/>
      <c r="DWO40" s="26"/>
      <c r="DWP40" s="27"/>
      <c r="DWQ40" s="26"/>
      <c r="DWR40" s="27"/>
      <c r="DWS40" s="26"/>
      <c r="DWT40" s="27"/>
      <c r="DWU40" s="26"/>
      <c r="DWV40" s="27"/>
      <c r="DWW40" s="26"/>
      <c r="DWX40" s="27"/>
      <c r="DWY40" s="26"/>
      <c r="DWZ40" s="27"/>
      <c r="DXA40" s="26"/>
      <c r="DXB40" s="27"/>
      <c r="DXC40" s="26"/>
      <c r="DXD40" s="27"/>
      <c r="DXE40" s="26"/>
      <c r="DXF40" s="27"/>
      <c r="DXG40" s="26"/>
      <c r="DXH40" s="27"/>
      <c r="DXI40" s="26"/>
      <c r="DXJ40" s="27"/>
      <c r="DXK40" s="26"/>
      <c r="DXL40" s="27"/>
      <c r="DXM40" s="26"/>
      <c r="DXN40" s="27"/>
      <c r="DXO40" s="26"/>
      <c r="DXP40" s="27"/>
      <c r="DXQ40" s="26"/>
      <c r="DXR40" s="27"/>
      <c r="DXS40" s="26"/>
      <c r="DXT40" s="27"/>
      <c r="DXU40" s="26"/>
      <c r="DXV40" s="27"/>
      <c r="DXW40" s="26"/>
      <c r="DXX40" s="27"/>
      <c r="DXY40" s="26"/>
      <c r="DXZ40" s="27"/>
      <c r="DYA40" s="26"/>
      <c r="DYB40" s="27"/>
      <c r="DYC40" s="26"/>
      <c r="DYD40" s="27"/>
      <c r="DYE40" s="26"/>
      <c r="DYF40" s="27"/>
      <c r="DYG40" s="26"/>
      <c r="DYH40" s="27"/>
      <c r="DYI40" s="26"/>
      <c r="DYJ40" s="27"/>
      <c r="DYK40" s="26"/>
      <c r="DYL40" s="27"/>
      <c r="DYM40" s="26"/>
      <c r="DYN40" s="27"/>
      <c r="DYO40" s="26"/>
      <c r="DYP40" s="27"/>
      <c r="DYQ40" s="26"/>
      <c r="DYR40" s="27"/>
      <c r="DYS40" s="26"/>
      <c r="DYT40" s="27"/>
      <c r="DYU40" s="26"/>
      <c r="DYV40" s="27"/>
      <c r="DYW40" s="26"/>
      <c r="DYX40" s="27"/>
      <c r="DYY40" s="26"/>
      <c r="DYZ40" s="27"/>
      <c r="DZA40" s="26"/>
      <c r="DZB40" s="27"/>
      <c r="DZC40" s="26"/>
      <c r="DZD40" s="27"/>
      <c r="DZE40" s="26"/>
      <c r="DZF40" s="27"/>
      <c r="DZG40" s="26"/>
      <c r="DZH40" s="27"/>
      <c r="DZI40" s="26"/>
      <c r="DZJ40" s="27"/>
      <c r="DZK40" s="26"/>
      <c r="DZL40" s="27"/>
      <c r="DZM40" s="26"/>
      <c r="DZN40" s="27"/>
      <c r="DZO40" s="26"/>
      <c r="DZP40" s="27"/>
      <c r="DZQ40" s="26"/>
      <c r="DZR40" s="27"/>
      <c r="DZS40" s="26"/>
      <c r="DZT40" s="27"/>
      <c r="DZU40" s="26"/>
      <c r="DZV40" s="27"/>
      <c r="DZW40" s="26"/>
      <c r="DZX40" s="27"/>
      <c r="DZY40" s="26"/>
      <c r="DZZ40" s="27"/>
      <c r="EAA40" s="26"/>
      <c r="EAB40" s="27"/>
      <c r="EAC40" s="26"/>
      <c r="EAD40" s="27"/>
      <c r="EAE40" s="26"/>
      <c r="EAF40" s="27"/>
      <c r="EAG40" s="26"/>
      <c r="EAH40" s="27"/>
      <c r="EAI40" s="26"/>
      <c r="EAJ40" s="27"/>
      <c r="EAK40" s="26"/>
      <c r="EAL40" s="27"/>
      <c r="EAM40" s="26"/>
      <c r="EAN40" s="27"/>
      <c r="EAO40" s="26"/>
      <c r="EAP40" s="27"/>
      <c r="EAQ40" s="26"/>
      <c r="EAR40" s="27"/>
      <c r="EAS40" s="26"/>
      <c r="EAT40" s="27"/>
      <c r="EAU40" s="26"/>
      <c r="EAV40" s="27"/>
      <c r="EAW40" s="26"/>
      <c r="EAX40" s="27"/>
      <c r="EAY40" s="26"/>
      <c r="EAZ40" s="27"/>
      <c r="EBA40" s="26"/>
      <c r="EBB40" s="27"/>
      <c r="EBC40" s="26"/>
      <c r="EBD40" s="27"/>
      <c r="EBE40" s="26"/>
      <c r="EBF40" s="27"/>
      <c r="EBG40" s="26"/>
      <c r="EBH40" s="27"/>
      <c r="EBI40" s="26"/>
      <c r="EBJ40" s="27"/>
      <c r="EBK40" s="26"/>
      <c r="EBL40" s="27"/>
      <c r="EBM40" s="26"/>
      <c r="EBN40" s="27"/>
      <c r="EBO40" s="26"/>
      <c r="EBP40" s="27"/>
      <c r="EBQ40" s="26"/>
      <c r="EBR40" s="27"/>
      <c r="EBS40" s="26"/>
      <c r="EBT40" s="27"/>
      <c r="EBU40" s="26"/>
      <c r="EBV40" s="27"/>
      <c r="EBW40" s="26"/>
      <c r="EBX40" s="27"/>
      <c r="EBY40" s="26"/>
      <c r="EBZ40" s="27"/>
      <c r="ECA40" s="26"/>
      <c r="ECB40" s="27"/>
      <c r="ECC40" s="26"/>
      <c r="ECD40" s="27"/>
      <c r="ECE40" s="26"/>
      <c r="ECF40" s="27"/>
      <c r="ECG40" s="26"/>
      <c r="ECH40" s="27"/>
      <c r="ECI40" s="26"/>
      <c r="ECJ40" s="27"/>
      <c r="ECK40" s="26"/>
      <c r="ECL40" s="27"/>
      <c r="ECM40" s="26"/>
      <c r="ECN40" s="27"/>
      <c r="ECO40" s="26"/>
      <c r="ECP40" s="27"/>
      <c r="ECQ40" s="26"/>
      <c r="ECR40" s="27"/>
      <c r="ECS40" s="26"/>
      <c r="ECT40" s="27"/>
      <c r="ECU40" s="26"/>
      <c r="ECV40" s="27"/>
      <c r="ECW40" s="26"/>
      <c r="ECX40" s="27"/>
      <c r="ECY40" s="26"/>
      <c r="ECZ40" s="27"/>
      <c r="EDA40" s="26"/>
      <c r="EDB40" s="27"/>
      <c r="EDC40" s="26"/>
      <c r="EDD40" s="27"/>
      <c r="EDE40" s="26"/>
      <c r="EDF40" s="27"/>
      <c r="EDG40" s="26"/>
      <c r="EDH40" s="27"/>
      <c r="EDI40" s="26"/>
      <c r="EDJ40" s="27"/>
      <c r="EDK40" s="26"/>
      <c r="EDL40" s="27"/>
      <c r="EDM40" s="26"/>
      <c r="EDN40" s="27"/>
      <c r="EDO40" s="26"/>
      <c r="EDP40" s="27"/>
      <c r="EDQ40" s="26"/>
      <c r="EDR40" s="27"/>
      <c r="EDS40" s="26"/>
      <c r="EDT40" s="27"/>
      <c r="EDU40" s="26"/>
      <c r="EDV40" s="27"/>
      <c r="EDW40" s="26"/>
      <c r="EDX40" s="27"/>
      <c r="EDY40" s="26"/>
      <c r="EDZ40" s="27"/>
      <c r="EEA40" s="26"/>
      <c r="EEB40" s="27"/>
      <c r="EEC40" s="26"/>
      <c r="EED40" s="27"/>
      <c r="EEE40" s="26"/>
      <c r="EEF40" s="27"/>
      <c r="EEG40" s="26"/>
      <c r="EEH40" s="27"/>
      <c r="EEI40" s="26"/>
      <c r="EEJ40" s="27"/>
      <c r="EEK40" s="26"/>
      <c r="EEL40" s="27"/>
      <c r="EEM40" s="26"/>
      <c r="EEN40" s="27"/>
      <c r="EEO40" s="26"/>
      <c r="EEP40" s="27"/>
      <c r="EEQ40" s="26"/>
      <c r="EER40" s="27"/>
      <c r="EES40" s="26"/>
      <c r="EET40" s="27"/>
      <c r="EEU40" s="26"/>
      <c r="EEV40" s="27"/>
      <c r="EEW40" s="26"/>
      <c r="EEX40" s="27"/>
      <c r="EEY40" s="26"/>
      <c r="EEZ40" s="27"/>
      <c r="EFA40" s="26"/>
      <c r="EFB40" s="27"/>
      <c r="EFC40" s="26"/>
      <c r="EFD40" s="27"/>
      <c r="EFE40" s="26"/>
      <c r="EFF40" s="27"/>
      <c r="EFG40" s="26"/>
      <c r="EFH40" s="27"/>
      <c r="EFI40" s="26"/>
      <c r="EFJ40" s="27"/>
      <c r="EFK40" s="26"/>
      <c r="EFL40" s="27"/>
      <c r="EFM40" s="26"/>
      <c r="EFN40" s="27"/>
      <c r="EFO40" s="26"/>
      <c r="EFP40" s="27"/>
      <c r="EFQ40" s="26"/>
      <c r="EFR40" s="27"/>
      <c r="EFS40" s="26"/>
      <c r="EFT40" s="27"/>
      <c r="EFU40" s="26"/>
      <c r="EFV40" s="27"/>
      <c r="EFW40" s="26"/>
      <c r="EFX40" s="27"/>
      <c r="EFY40" s="26"/>
      <c r="EFZ40" s="27"/>
      <c r="EGA40" s="26"/>
      <c r="EGB40" s="27"/>
      <c r="EGC40" s="26"/>
      <c r="EGD40" s="27"/>
      <c r="EGE40" s="26"/>
      <c r="EGF40" s="27"/>
      <c r="EGG40" s="26"/>
      <c r="EGH40" s="27"/>
      <c r="EGI40" s="26"/>
      <c r="EGJ40" s="27"/>
      <c r="EGK40" s="26"/>
      <c r="EGL40" s="27"/>
      <c r="EGM40" s="26"/>
      <c r="EGN40" s="27"/>
      <c r="EGO40" s="26"/>
      <c r="EGP40" s="27"/>
      <c r="EGQ40" s="26"/>
      <c r="EGR40" s="27"/>
      <c r="EGS40" s="26"/>
      <c r="EGT40" s="27"/>
      <c r="EGU40" s="26"/>
      <c r="EGV40" s="27"/>
      <c r="EGW40" s="26"/>
      <c r="EGX40" s="27"/>
      <c r="EGY40" s="26"/>
      <c r="EGZ40" s="27"/>
      <c r="EHA40" s="26"/>
      <c r="EHB40" s="27"/>
      <c r="EHC40" s="26"/>
      <c r="EHD40" s="27"/>
      <c r="EHE40" s="26"/>
      <c r="EHF40" s="27"/>
      <c r="EHG40" s="26"/>
      <c r="EHH40" s="27"/>
      <c r="EHI40" s="26"/>
      <c r="EHJ40" s="27"/>
      <c r="EHK40" s="26"/>
      <c r="EHL40" s="27"/>
      <c r="EHM40" s="26"/>
      <c r="EHN40" s="27"/>
      <c r="EHO40" s="26"/>
      <c r="EHP40" s="27"/>
      <c r="EHQ40" s="26"/>
      <c r="EHR40" s="27"/>
      <c r="EHS40" s="26"/>
      <c r="EHT40" s="27"/>
      <c r="EHU40" s="26"/>
      <c r="EHV40" s="27"/>
      <c r="EHW40" s="26"/>
      <c r="EHX40" s="27"/>
      <c r="EHY40" s="26"/>
      <c r="EHZ40" s="27"/>
      <c r="EIA40" s="26"/>
      <c r="EIB40" s="27"/>
      <c r="EIC40" s="26"/>
      <c r="EID40" s="27"/>
      <c r="EIE40" s="26"/>
      <c r="EIF40" s="27"/>
      <c r="EIG40" s="26"/>
      <c r="EIH40" s="27"/>
      <c r="EII40" s="26"/>
      <c r="EIJ40" s="27"/>
      <c r="EIK40" s="26"/>
      <c r="EIL40" s="27"/>
      <c r="EIM40" s="26"/>
      <c r="EIN40" s="27"/>
      <c r="EIO40" s="26"/>
      <c r="EIP40" s="27"/>
      <c r="EIQ40" s="26"/>
      <c r="EIR40" s="27"/>
      <c r="EIS40" s="26"/>
      <c r="EIT40" s="27"/>
      <c r="EIU40" s="26"/>
      <c r="EIV40" s="27"/>
      <c r="EIW40" s="26"/>
      <c r="EIX40" s="27"/>
      <c r="EIY40" s="26"/>
      <c r="EIZ40" s="27"/>
      <c r="EJA40" s="26"/>
      <c r="EJB40" s="27"/>
      <c r="EJC40" s="26"/>
      <c r="EJD40" s="27"/>
      <c r="EJE40" s="26"/>
      <c r="EJF40" s="27"/>
      <c r="EJG40" s="26"/>
      <c r="EJH40" s="27"/>
      <c r="EJI40" s="26"/>
      <c r="EJJ40" s="27"/>
      <c r="EJK40" s="26"/>
      <c r="EJL40" s="27"/>
      <c r="EJM40" s="26"/>
      <c r="EJN40" s="27"/>
      <c r="EJO40" s="26"/>
      <c r="EJP40" s="27"/>
      <c r="EJQ40" s="26"/>
      <c r="EJR40" s="27"/>
      <c r="EJS40" s="26"/>
      <c r="EJT40" s="27"/>
      <c r="EJU40" s="26"/>
      <c r="EJV40" s="27"/>
      <c r="EJW40" s="26"/>
      <c r="EJX40" s="27"/>
      <c r="EJY40" s="26"/>
      <c r="EJZ40" s="27"/>
      <c r="EKA40" s="26"/>
      <c r="EKB40" s="27"/>
      <c r="EKC40" s="26"/>
      <c r="EKD40" s="27"/>
      <c r="EKE40" s="26"/>
      <c r="EKF40" s="27"/>
      <c r="EKG40" s="26"/>
      <c r="EKH40" s="27"/>
      <c r="EKI40" s="26"/>
      <c r="EKJ40" s="27"/>
      <c r="EKK40" s="26"/>
      <c r="EKL40" s="27"/>
      <c r="EKM40" s="26"/>
      <c r="EKN40" s="27"/>
      <c r="EKO40" s="26"/>
      <c r="EKP40" s="27"/>
      <c r="EKQ40" s="26"/>
      <c r="EKR40" s="27"/>
      <c r="EKS40" s="26"/>
      <c r="EKT40" s="27"/>
      <c r="EKU40" s="26"/>
      <c r="EKV40" s="27"/>
      <c r="EKW40" s="26"/>
      <c r="EKX40" s="27"/>
      <c r="EKY40" s="26"/>
      <c r="EKZ40" s="27"/>
      <c r="ELA40" s="26"/>
      <c r="ELB40" s="27"/>
      <c r="ELC40" s="26"/>
      <c r="ELD40" s="27"/>
      <c r="ELE40" s="26"/>
      <c r="ELF40" s="27"/>
      <c r="ELG40" s="26"/>
      <c r="ELH40" s="27"/>
      <c r="ELI40" s="26"/>
      <c r="ELJ40" s="27"/>
      <c r="ELK40" s="26"/>
      <c r="ELL40" s="27"/>
      <c r="ELM40" s="26"/>
      <c r="ELN40" s="27"/>
      <c r="ELO40" s="26"/>
      <c r="ELP40" s="27"/>
      <c r="ELQ40" s="26"/>
      <c r="ELR40" s="27"/>
      <c r="ELS40" s="26"/>
      <c r="ELT40" s="27"/>
      <c r="ELU40" s="26"/>
      <c r="ELV40" s="27"/>
      <c r="ELW40" s="26"/>
      <c r="ELX40" s="27"/>
      <c r="ELY40" s="26"/>
      <c r="ELZ40" s="27"/>
      <c r="EMA40" s="26"/>
      <c r="EMB40" s="27"/>
      <c r="EMC40" s="26"/>
      <c r="EMD40" s="27"/>
      <c r="EME40" s="26"/>
      <c r="EMF40" s="27"/>
      <c r="EMG40" s="26"/>
      <c r="EMH40" s="27"/>
      <c r="EMI40" s="26"/>
      <c r="EMJ40" s="27"/>
      <c r="EMK40" s="26"/>
      <c r="EML40" s="27"/>
      <c r="EMM40" s="26"/>
      <c r="EMN40" s="27"/>
      <c r="EMO40" s="26"/>
      <c r="EMP40" s="27"/>
      <c r="EMQ40" s="26"/>
      <c r="EMR40" s="27"/>
      <c r="EMS40" s="26"/>
      <c r="EMT40" s="27"/>
      <c r="EMU40" s="26"/>
      <c r="EMV40" s="27"/>
      <c r="EMW40" s="26"/>
      <c r="EMX40" s="27"/>
      <c r="EMY40" s="26"/>
      <c r="EMZ40" s="27"/>
      <c r="ENA40" s="26"/>
      <c r="ENB40" s="27"/>
      <c r="ENC40" s="26"/>
      <c r="END40" s="27"/>
      <c r="ENE40" s="26"/>
      <c r="ENF40" s="27"/>
      <c r="ENG40" s="26"/>
      <c r="ENH40" s="27"/>
      <c r="ENI40" s="26"/>
      <c r="ENJ40" s="27"/>
      <c r="ENK40" s="26"/>
      <c r="ENL40" s="27"/>
      <c r="ENM40" s="26"/>
      <c r="ENN40" s="27"/>
      <c r="ENO40" s="26"/>
      <c r="ENP40" s="27"/>
      <c r="ENQ40" s="26"/>
      <c r="ENR40" s="27"/>
      <c r="ENS40" s="26"/>
      <c r="ENT40" s="27"/>
      <c r="ENU40" s="26"/>
      <c r="ENV40" s="27"/>
      <c r="ENW40" s="26"/>
      <c r="ENX40" s="27"/>
      <c r="ENY40" s="26"/>
      <c r="ENZ40" s="27"/>
      <c r="EOA40" s="26"/>
      <c r="EOB40" s="27"/>
      <c r="EOC40" s="26"/>
      <c r="EOD40" s="27"/>
      <c r="EOE40" s="26"/>
      <c r="EOF40" s="27"/>
      <c r="EOG40" s="26"/>
      <c r="EOH40" s="27"/>
      <c r="EOI40" s="26"/>
      <c r="EOJ40" s="27"/>
      <c r="EOK40" s="26"/>
      <c r="EOL40" s="27"/>
      <c r="EOM40" s="26"/>
      <c r="EON40" s="27"/>
      <c r="EOO40" s="26"/>
      <c r="EOP40" s="27"/>
      <c r="EOQ40" s="26"/>
      <c r="EOR40" s="27"/>
      <c r="EOS40" s="26"/>
      <c r="EOT40" s="27"/>
      <c r="EOU40" s="26"/>
      <c r="EOV40" s="27"/>
      <c r="EOW40" s="26"/>
      <c r="EOX40" s="27"/>
      <c r="EOY40" s="26"/>
      <c r="EOZ40" s="27"/>
      <c r="EPA40" s="26"/>
      <c r="EPB40" s="27"/>
      <c r="EPC40" s="26"/>
      <c r="EPD40" s="27"/>
      <c r="EPE40" s="26"/>
      <c r="EPF40" s="27"/>
      <c r="EPG40" s="26"/>
      <c r="EPH40" s="27"/>
      <c r="EPI40" s="26"/>
      <c r="EPJ40" s="27"/>
      <c r="EPK40" s="26"/>
      <c r="EPL40" s="27"/>
      <c r="EPM40" s="26"/>
      <c r="EPN40" s="27"/>
      <c r="EPO40" s="26"/>
      <c r="EPP40" s="27"/>
      <c r="EPQ40" s="26"/>
      <c r="EPR40" s="27"/>
      <c r="EPS40" s="26"/>
      <c r="EPT40" s="27"/>
      <c r="EPU40" s="26"/>
      <c r="EPV40" s="27"/>
      <c r="EPW40" s="26"/>
      <c r="EPX40" s="27"/>
      <c r="EPY40" s="26"/>
      <c r="EPZ40" s="27"/>
      <c r="EQA40" s="26"/>
      <c r="EQB40" s="27"/>
      <c r="EQC40" s="26"/>
      <c r="EQD40" s="27"/>
      <c r="EQE40" s="26"/>
      <c r="EQF40" s="27"/>
      <c r="EQG40" s="26"/>
      <c r="EQH40" s="27"/>
      <c r="EQI40" s="26"/>
      <c r="EQJ40" s="27"/>
      <c r="EQK40" s="26"/>
      <c r="EQL40" s="27"/>
      <c r="EQM40" s="26"/>
      <c r="EQN40" s="27"/>
      <c r="EQO40" s="26"/>
      <c r="EQP40" s="27"/>
      <c r="EQQ40" s="26"/>
      <c r="EQR40" s="27"/>
      <c r="EQS40" s="26"/>
      <c r="EQT40" s="27"/>
      <c r="EQU40" s="26"/>
      <c r="EQV40" s="27"/>
      <c r="EQW40" s="26"/>
      <c r="EQX40" s="27"/>
      <c r="EQY40" s="26"/>
      <c r="EQZ40" s="27"/>
      <c r="ERA40" s="26"/>
      <c r="ERB40" s="27"/>
      <c r="ERC40" s="26"/>
      <c r="ERD40" s="27"/>
      <c r="ERE40" s="26"/>
      <c r="ERF40" s="27"/>
      <c r="ERG40" s="26"/>
      <c r="ERH40" s="27"/>
      <c r="ERI40" s="26"/>
      <c r="ERJ40" s="27"/>
      <c r="ERK40" s="26"/>
      <c r="ERL40" s="27"/>
      <c r="ERM40" s="26"/>
      <c r="ERN40" s="27"/>
      <c r="ERO40" s="26"/>
      <c r="ERP40" s="27"/>
      <c r="ERQ40" s="26"/>
      <c r="ERR40" s="27"/>
      <c r="ERS40" s="26"/>
      <c r="ERT40" s="27"/>
      <c r="ERU40" s="26"/>
      <c r="ERV40" s="27"/>
      <c r="ERW40" s="26"/>
      <c r="ERX40" s="27"/>
      <c r="ERY40" s="26"/>
      <c r="ERZ40" s="27"/>
      <c r="ESA40" s="26"/>
      <c r="ESB40" s="27"/>
      <c r="ESC40" s="26"/>
      <c r="ESD40" s="27"/>
      <c r="ESE40" s="26"/>
      <c r="ESF40" s="27"/>
      <c r="ESG40" s="26"/>
      <c r="ESH40" s="27"/>
      <c r="ESI40" s="26"/>
      <c r="ESJ40" s="27"/>
      <c r="ESK40" s="26"/>
      <c r="ESL40" s="27"/>
      <c r="ESM40" s="26"/>
      <c r="ESN40" s="27"/>
      <c r="ESO40" s="26"/>
      <c r="ESP40" s="27"/>
      <c r="ESQ40" s="26"/>
      <c r="ESR40" s="27"/>
      <c r="ESS40" s="26"/>
      <c r="EST40" s="27"/>
      <c r="ESU40" s="26"/>
      <c r="ESV40" s="27"/>
      <c r="ESW40" s="26"/>
      <c r="ESX40" s="27"/>
      <c r="ESY40" s="26"/>
      <c r="ESZ40" s="27"/>
      <c r="ETA40" s="26"/>
      <c r="ETB40" s="27"/>
      <c r="ETC40" s="26"/>
      <c r="ETD40" s="27"/>
      <c r="ETE40" s="26"/>
      <c r="ETF40" s="27"/>
      <c r="ETG40" s="26"/>
      <c r="ETH40" s="27"/>
      <c r="ETI40" s="26"/>
      <c r="ETJ40" s="27"/>
      <c r="ETK40" s="26"/>
      <c r="ETL40" s="27"/>
      <c r="ETM40" s="26"/>
      <c r="ETN40" s="27"/>
      <c r="ETO40" s="26"/>
      <c r="ETP40" s="27"/>
      <c r="ETQ40" s="26"/>
      <c r="ETR40" s="27"/>
      <c r="ETS40" s="26"/>
      <c r="ETT40" s="27"/>
      <c r="ETU40" s="26"/>
      <c r="ETV40" s="27"/>
      <c r="ETW40" s="26"/>
      <c r="ETX40" s="27"/>
      <c r="ETY40" s="26"/>
      <c r="ETZ40" s="27"/>
      <c r="EUA40" s="26"/>
      <c r="EUB40" s="27"/>
      <c r="EUC40" s="26"/>
      <c r="EUD40" s="27"/>
      <c r="EUE40" s="26"/>
      <c r="EUF40" s="27"/>
      <c r="EUG40" s="26"/>
      <c r="EUH40" s="27"/>
      <c r="EUI40" s="26"/>
      <c r="EUJ40" s="27"/>
      <c r="EUK40" s="26"/>
      <c r="EUL40" s="27"/>
      <c r="EUM40" s="26"/>
      <c r="EUN40" s="27"/>
      <c r="EUO40" s="26"/>
      <c r="EUP40" s="27"/>
      <c r="EUQ40" s="26"/>
      <c r="EUR40" s="27"/>
      <c r="EUS40" s="26"/>
      <c r="EUT40" s="27"/>
      <c r="EUU40" s="26"/>
      <c r="EUV40" s="27"/>
      <c r="EUW40" s="26"/>
      <c r="EUX40" s="27"/>
      <c r="EUY40" s="26"/>
      <c r="EUZ40" s="27"/>
      <c r="EVA40" s="26"/>
      <c r="EVB40" s="27"/>
      <c r="EVC40" s="26"/>
      <c r="EVD40" s="27"/>
      <c r="EVE40" s="26"/>
      <c r="EVF40" s="27"/>
      <c r="EVG40" s="26"/>
      <c r="EVH40" s="27"/>
      <c r="EVI40" s="26"/>
      <c r="EVJ40" s="27"/>
      <c r="EVK40" s="26"/>
      <c r="EVL40" s="27"/>
      <c r="EVM40" s="26"/>
      <c r="EVN40" s="27"/>
      <c r="EVO40" s="26"/>
      <c r="EVP40" s="27"/>
      <c r="EVQ40" s="26"/>
      <c r="EVR40" s="27"/>
      <c r="EVS40" s="26"/>
      <c r="EVT40" s="27"/>
      <c r="EVU40" s="26"/>
      <c r="EVV40" s="27"/>
      <c r="EVW40" s="26"/>
      <c r="EVX40" s="27"/>
      <c r="EVY40" s="26"/>
      <c r="EVZ40" s="27"/>
      <c r="EWA40" s="26"/>
      <c r="EWB40" s="27"/>
      <c r="EWC40" s="26"/>
      <c r="EWD40" s="27"/>
      <c r="EWE40" s="26"/>
      <c r="EWF40" s="27"/>
      <c r="EWG40" s="26"/>
      <c r="EWH40" s="27"/>
      <c r="EWI40" s="26"/>
      <c r="EWJ40" s="27"/>
      <c r="EWK40" s="26"/>
      <c r="EWL40" s="27"/>
      <c r="EWM40" s="26"/>
      <c r="EWN40" s="27"/>
      <c r="EWO40" s="26"/>
      <c r="EWP40" s="27"/>
      <c r="EWQ40" s="26"/>
      <c r="EWR40" s="27"/>
      <c r="EWS40" s="26"/>
      <c r="EWT40" s="27"/>
      <c r="EWU40" s="26"/>
      <c r="EWV40" s="27"/>
      <c r="EWW40" s="26"/>
      <c r="EWX40" s="27"/>
      <c r="EWY40" s="26"/>
      <c r="EWZ40" s="27"/>
      <c r="EXA40" s="26"/>
      <c r="EXB40" s="27"/>
      <c r="EXC40" s="26"/>
      <c r="EXD40" s="27"/>
      <c r="EXE40" s="26"/>
      <c r="EXF40" s="27"/>
      <c r="EXG40" s="26"/>
      <c r="EXH40" s="27"/>
      <c r="EXI40" s="26"/>
      <c r="EXJ40" s="27"/>
      <c r="EXK40" s="26"/>
      <c r="EXL40" s="27"/>
      <c r="EXM40" s="26"/>
      <c r="EXN40" s="27"/>
      <c r="EXO40" s="26"/>
      <c r="EXP40" s="27"/>
      <c r="EXQ40" s="26"/>
      <c r="EXR40" s="27"/>
      <c r="EXS40" s="26"/>
      <c r="EXT40" s="27"/>
      <c r="EXU40" s="26"/>
      <c r="EXV40" s="27"/>
      <c r="EXW40" s="26"/>
      <c r="EXX40" s="27"/>
      <c r="EXY40" s="26"/>
      <c r="EXZ40" s="27"/>
      <c r="EYA40" s="26"/>
      <c r="EYB40" s="27"/>
      <c r="EYC40" s="26"/>
      <c r="EYD40" s="27"/>
      <c r="EYE40" s="26"/>
      <c r="EYF40" s="27"/>
      <c r="EYG40" s="26"/>
      <c r="EYH40" s="27"/>
      <c r="EYI40" s="26"/>
      <c r="EYJ40" s="27"/>
      <c r="EYK40" s="26"/>
      <c r="EYL40" s="27"/>
      <c r="EYM40" s="26"/>
      <c r="EYN40" s="27"/>
      <c r="EYO40" s="26"/>
      <c r="EYP40" s="27"/>
      <c r="EYQ40" s="26"/>
      <c r="EYR40" s="27"/>
      <c r="EYS40" s="26"/>
      <c r="EYT40" s="27"/>
      <c r="EYU40" s="26"/>
      <c r="EYV40" s="27"/>
      <c r="EYW40" s="26"/>
      <c r="EYX40" s="27"/>
      <c r="EYY40" s="26"/>
      <c r="EYZ40" s="27"/>
      <c r="EZA40" s="26"/>
      <c r="EZB40" s="27"/>
      <c r="EZC40" s="26"/>
      <c r="EZD40" s="27"/>
      <c r="EZE40" s="26"/>
      <c r="EZF40" s="27"/>
      <c r="EZG40" s="26"/>
      <c r="EZH40" s="27"/>
      <c r="EZI40" s="26"/>
      <c r="EZJ40" s="27"/>
      <c r="EZK40" s="26"/>
      <c r="EZL40" s="27"/>
      <c r="EZM40" s="26"/>
      <c r="EZN40" s="27"/>
      <c r="EZO40" s="26"/>
      <c r="EZP40" s="27"/>
      <c r="EZQ40" s="26"/>
      <c r="EZR40" s="27"/>
      <c r="EZS40" s="26"/>
      <c r="EZT40" s="27"/>
      <c r="EZU40" s="26"/>
      <c r="EZV40" s="27"/>
      <c r="EZW40" s="26"/>
      <c r="EZX40" s="27"/>
      <c r="EZY40" s="26"/>
      <c r="EZZ40" s="27"/>
      <c r="FAA40" s="26"/>
      <c r="FAB40" s="27"/>
      <c r="FAC40" s="26"/>
      <c r="FAD40" s="27"/>
      <c r="FAE40" s="26"/>
      <c r="FAF40" s="27"/>
      <c r="FAG40" s="26"/>
      <c r="FAH40" s="27"/>
      <c r="FAI40" s="26"/>
      <c r="FAJ40" s="27"/>
      <c r="FAK40" s="26"/>
      <c r="FAL40" s="27"/>
      <c r="FAM40" s="26"/>
      <c r="FAN40" s="27"/>
      <c r="FAO40" s="26"/>
      <c r="FAP40" s="27"/>
      <c r="FAQ40" s="26"/>
      <c r="FAR40" s="27"/>
      <c r="FAS40" s="26"/>
      <c r="FAT40" s="27"/>
      <c r="FAU40" s="26"/>
      <c r="FAV40" s="27"/>
      <c r="FAW40" s="26"/>
      <c r="FAX40" s="27"/>
      <c r="FAY40" s="26"/>
      <c r="FAZ40" s="27"/>
      <c r="FBA40" s="26"/>
      <c r="FBB40" s="27"/>
      <c r="FBC40" s="26"/>
      <c r="FBD40" s="27"/>
      <c r="FBE40" s="26"/>
      <c r="FBF40" s="27"/>
      <c r="FBG40" s="26"/>
      <c r="FBH40" s="27"/>
      <c r="FBI40" s="26"/>
      <c r="FBJ40" s="27"/>
      <c r="FBK40" s="26"/>
      <c r="FBL40" s="27"/>
      <c r="FBM40" s="26"/>
      <c r="FBN40" s="27"/>
      <c r="FBO40" s="26"/>
      <c r="FBP40" s="27"/>
      <c r="FBQ40" s="26"/>
      <c r="FBR40" s="27"/>
      <c r="FBS40" s="26"/>
      <c r="FBT40" s="27"/>
      <c r="FBU40" s="26"/>
      <c r="FBV40" s="27"/>
      <c r="FBW40" s="26"/>
      <c r="FBX40" s="27"/>
      <c r="FBY40" s="26"/>
      <c r="FBZ40" s="27"/>
      <c r="FCA40" s="26"/>
      <c r="FCB40" s="27"/>
      <c r="FCC40" s="26"/>
      <c r="FCD40" s="27"/>
      <c r="FCE40" s="26"/>
      <c r="FCF40" s="27"/>
      <c r="FCG40" s="26"/>
      <c r="FCH40" s="27"/>
      <c r="FCI40" s="26"/>
      <c r="FCJ40" s="27"/>
      <c r="FCK40" s="26"/>
      <c r="FCL40" s="27"/>
      <c r="FCM40" s="26"/>
      <c r="FCN40" s="27"/>
      <c r="FCO40" s="26"/>
      <c r="FCP40" s="27"/>
      <c r="FCQ40" s="26"/>
      <c r="FCR40" s="27"/>
      <c r="FCS40" s="26"/>
      <c r="FCT40" s="27"/>
      <c r="FCU40" s="26"/>
      <c r="FCV40" s="27"/>
      <c r="FCW40" s="26"/>
      <c r="FCX40" s="27"/>
      <c r="FCY40" s="26"/>
      <c r="FCZ40" s="27"/>
      <c r="FDA40" s="26"/>
      <c r="FDB40" s="27"/>
      <c r="FDC40" s="26"/>
      <c r="FDD40" s="27"/>
      <c r="FDE40" s="26"/>
      <c r="FDF40" s="27"/>
      <c r="FDG40" s="26"/>
      <c r="FDH40" s="27"/>
      <c r="FDI40" s="26"/>
      <c r="FDJ40" s="27"/>
      <c r="FDK40" s="26"/>
      <c r="FDL40" s="27"/>
      <c r="FDM40" s="26"/>
      <c r="FDN40" s="27"/>
      <c r="FDO40" s="26"/>
      <c r="FDP40" s="27"/>
      <c r="FDQ40" s="26"/>
      <c r="FDR40" s="27"/>
      <c r="FDS40" s="26"/>
      <c r="FDT40" s="27"/>
      <c r="FDU40" s="26"/>
      <c r="FDV40" s="27"/>
      <c r="FDW40" s="26"/>
      <c r="FDX40" s="27"/>
      <c r="FDY40" s="26"/>
      <c r="FDZ40" s="27"/>
      <c r="FEA40" s="26"/>
      <c r="FEB40" s="27"/>
      <c r="FEC40" s="26"/>
      <c r="FED40" s="27"/>
      <c r="FEE40" s="26"/>
      <c r="FEF40" s="27"/>
      <c r="FEG40" s="26"/>
      <c r="FEH40" s="27"/>
      <c r="FEI40" s="26"/>
      <c r="FEJ40" s="27"/>
      <c r="FEK40" s="26"/>
      <c r="FEL40" s="27"/>
      <c r="FEM40" s="26"/>
      <c r="FEN40" s="27"/>
      <c r="FEO40" s="26"/>
      <c r="FEP40" s="27"/>
      <c r="FEQ40" s="26"/>
      <c r="FER40" s="27"/>
      <c r="FES40" s="26"/>
      <c r="FET40" s="27"/>
      <c r="FEU40" s="26"/>
      <c r="FEV40" s="27"/>
      <c r="FEW40" s="26"/>
      <c r="FEX40" s="27"/>
      <c r="FEY40" s="26"/>
      <c r="FEZ40" s="27"/>
      <c r="FFA40" s="26"/>
      <c r="FFB40" s="27"/>
      <c r="FFC40" s="26"/>
      <c r="FFD40" s="27"/>
      <c r="FFE40" s="26"/>
      <c r="FFF40" s="27"/>
      <c r="FFG40" s="26"/>
      <c r="FFH40" s="27"/>
      <c r="FFI40" s="26"/>
      <c r="FFJ40" s="27"/>
      <c r="FFK40" s="26"/>
      <c r="FFL40" s="27"/>
      <c r="FFM40" s="26"/>
      <c r="FFN40" s="27"/>
      <c r="FFO40" s="26"/>
      <c r="FFP40" s="27"/>
      <c r="FFQ40" s="26"/>
      <c r="FFR40" s="27"/>
      <c r="FFS40" s="26"/>
      <c r="FFT40" s="27"/>
      <c r="FFU40" s="26"/>
      <c r="FFV40" s="27"/>
      <c r="FFW40" s="26"/>
      <c r="FFX40" s="27"/>
      <c r="FFY40" s="26"/>
      <c r="FFZ40" s="27"/>
      <c r="FGA40" s="26"/>
      <c r="FGB40" s="27"/>
      <c r="FGC40" s="26"/>
      <c r="FGD40" s="27"/>
      <c r="FGE40" s="26"/>
      <c r="FGF40" s="27"/>
      <c r="FGG40" s="26"/>
      <c r="FGH40" s="27"/>
      <c r="FGI40" s="26"/>
      <c r="FGJ40" s="27"/>
      <c r="FGK40" s="26"/>
      <c r="FGL40" s="27"/>
      <c r="FGM40" s="26"/>
      <c r="FGN40" s="27"/>
      <c r="FGO40" s="26"/>
      <c r="FGP40" s="27"/>
      <c r="FGQ40" s="26"/>
      <c r="FGR40" s="27"/>
      <c r="FGS40" s="26"/>
      <c r="FGT40" s="27"/>
      <c r="FGU40" s="26"/>
      <c r="FGV40" s="27"/>
      <c r="FGW40" s="26"/>
      <c r="FGX40" s="27"/>
      <c r="FGY40" s="26"/>
      <c r="FGZ40" s="27"/>
      <c r="FHA40" s="26"/>
      <c r="FHB40" s="27"/>
      <c r="FHC40" s="26"/>
      <c r="FHD40" s="27"/>
      <c r="FHE40" s="26"/>
      <c r="FHF40" s="27"/>
      <c r="FHG40" s="26"/>
      <c r="FHH40" s="27"/>
      <c r="FHI40" s="26"/>
      <c r="FHJ40" s="27"/>
      <c r="FHK40" s="26"/>
      <c r="FHL40" s="27"/>
      <c r="FHM40" s="26"/>
      <c r="FHN40" s="27"/>
      <c r="FHO40" s="26"/>
      <c r="FHP40" s="27"/>
      <c r="FHQ40" s="26"/>
      <c r="FHR40" s="27"/>
      <c r="FHS40" s="26"/>
      <c r="FHT40" s="27"/>
      <c r="FHU40" s="26"/>
      <c r="FHV40" s="27"/>
      <c r="FHW40" s="26"/>
      <c r="FHX40" s="27"/>
      <c r="FHY40" s="26"/>
      <c r="FHZ40" s="27"/>
      <c r="FIA40" s="26"/>
      <c r="FIB40" s="27"/>
      <c r="FIC40" s="26"/>
      <c r="FID40" s="27"/>
      <c r="FIE40" s="26"/>
      <c r="FIF40" s="27"/>
      <c r="FIG40" s="26"/>
      <c r="FIH40" s="27"/>
      <c r="FII40" s="26"/>
      <c r="FIJ40" s="27"/>
      <c r="FIK40" s="26"/>
      <c r="FIL40" s="27"/>
      <c r="FIM40" s="26"/>
      <c r="FIN40" s="27"/>
      <c r="FIO40" s="26"/>
      <c r="FIP40" s="27"/>
      <c r="FIQ40" s="26"/>
      <c r="FIR40" s="27"/>
      <c r="FIS40" s="26"/>
      <c r="FIT40" s="27"/>
      <c r="FIU40" s="26"/>
      <c r="FIV40" s="27"/>
      <c r="FIW40" s="26"/>
      <c r="FIX40" s="27"/>
      <c r="FIY40" s="26"/>
      <c r="FIZ40" s="27"/>
      <c r="FJA40" s="26"/>
      <c r="FJB40" s="27"/>
      <c r="FJC40" s="26"/>
      <c r="FJD40" s="27"/>
      <c r="FJE40" s="26"/>
      <c r="FJF40" s="27"/>
      <c r="FJG40" s="26"/>
      <c r="FJH40" s="27"/>
      <c r="FJI40" s="26"/>
      <c r="FJJ40" s="27"/>
      <c r="FJK40" s="26"/>
      <c r="FJL40" s="27"/>
      <c r="FJM40" s="26"/>
      <c r="FJN40" s="27"/>
      <c r="FJO40" s="26"/>
      <c r="FJP40" s="27"/>
      <c r="FJQ40" s="26"/>
      <c r="FJR40" s="27"/>
      <c r="FJS40" s="26"/>
      <c r="FJT40" s="27"/>
      <c r="FJU40" s="26"/>
      <c r="FJV40" s="27"/>
      <c r="FJW40" s="26"/>
      <c r="FJX40" s="27"/>
      <c r="FJY40" s="26"/>
      <c r="FJZ40" s="27"/>
      <c r="FKA40" s="26"/>
      <c r="FKB40" s="27"/>
      <c r="FKC40" s="26"/>
      <c r="FKD40" s="27"/>
      <c r="FKE40" s="26"/>
      <c r="FKF40" s="27"/>
      <c r="FKG40" s="26"/>
      <c r="FKH40" s="27"/>
      <c r="FKI40" s="26"/>
      <c r="FKJ40" s="27"/>
      <c r="FKK40" s="26"/>
      <c r="FKL40" s="27"/>
      <c r="FKM40" s="26"/>
      <c r="FKN40" s="27"/>
      <c r="FKO40" s="26"/>
      <c r="FKP40" s="27"/>
      <c r="FKQ40" s="26"/>
      <c r="FKR40" s="27"/>
      <c r="FKS40" s="26"/>
      <c r="FKT40" s="27"/>
      <c r="FKU40" s="26"/>
      <c r="FKV40" s="27"/>
      <c r="FKW40" s="26"/>
      <c r="FKX40" s="27"/>
      <c r="FKY40" s="26"/>
      <c r="FKZ40" s="27"/>
      <c r="FLA40" s="26"/>
      <c r="FLB40" s="27"/>
      <c r="FLC40" s="26"/>
      <c r="FLD40" s="27"/>
      <c r="FLE40" s="26"/>
      <c r="FLF40" s="27"/>
      <c r="FLG40" s="26"/>
      <c r="FLH40" s="27"/>
      <c r="FLI40" s="26"/>
      <c r="FLJ40" s="27"/>
      <c r="FLK40" s="26"/>
      <c r="FLL40" s="27"/>
      <c r="FLM40" s="26"/>
      <c r="FLN40" s="27"/>
      <c r="FLO40" s="26"/>
      <c r="FLP40" s="27"/>
      <c r="FLQ40" s="26"/>
      <c r="FLR40" s="27"/>
      <c r="FLS40" s="26"/>
      <c r="FLT40" s="27"/>
      <c r="FLU40" s="26"/>
      <c r="FLV40" s="27"/>
      <c r="FLW40" s="26"/>
      <c r="FLX40" s="27"/>
      <c r="FLY40" s="26"/>
      <c r="FLZ40" s="27"/>
      <c r="FMA40" s="26"/>
      <c r="FMB40" s="27"/>
      <c r="FMC40" s="26"/>
      <c r="FMD40" s="27"/>
      <c r="FME40" s="26"/>
      <c r="FMF40" s="27"/>
      <c r="FMG40" s="26"/>
      <c r="FMH40" s="27"/>
      <c r="FMI40" s="26"/>
      <c r="FMJ40" s="27"/>
      <c r="FMK40" s="26"/>
      <c r="FML40" s="27"/>
      <c r="FMM40" s="26"/>
      <c r="FMN40" s="27"/>
      <c r="FMO40" s="26"/>
      <c r="FMP40" s="27"/>
      <c r="FMQ40" s="26"/>
      <c r="FMR40" s="27"/>
      <c r="FMS40" s="26"/>
      <c r="FMT40" s="27"/>
      <c r="FMU40" s="26"/>
      <c r="FMV40" s="27"/>
      <c r="FMW40" s="26"/>
      <c r="FMX40" s="27"/>
      <c r="FMY40" s="26"/>
      <c r="FMZ40" s="27"/>
      <c r="FNA40" s="26"/>
      <c r="FNB40" s="27"/>
      <c r="FNC40" s="26"/>
      <c r="FND40" s="27"/>
      <c r="FNE40" s="26"/>
      <c r="FNF40" s="27"/>
      <c r="FNG40" s="26"/>
      <c r="FNH40" s="27"/>
      <c r="FNI40" s="26"/>
      <c r="FNJ40" s="27"/>
      <c r="FNK40" s="26"/>
      <c r="FNL40" s="27"/>
      <c r="FNM40" s="26"/>
      <c r="FNN40" s="27"/>
      <c r="FNO40" s="26"/>
      <c r="FNP40" s="27"/>
      <c r="FNQ40" s="26"/>
      <c r="FNR40" s="27"/>
      <c r="FNS40" s="26"/>
      <c r="FNT40" s="27"/>
      <c r="FNU40" s="26"/>
      <c r="FNV40" s="27"/>
      <c r="FNW40" s="26"/>
      <c r="FNX40" s="27"/>
      <c r="FNY40" s="26"/>
      <c r="FNZ40" s="27"/>
      <c r="FOA40" s="26"/>
      <c r="FOB40" s="27"/>
      <c r="FOC40" s="26"/>
      <c r="FOD40" s="27"/>
      <c r="FOE40" s="26"/>
      <c r="FOF40" s="27"/>
      <c r="FOG40" s="26"/>
      <c r="FOH40" s="27"/>
      <c r="FOI40" s="26"/>
      <c r="FOJ40" s="27"/>
      <c r="FOK40" s="26"/>
      <c r="FOL40" s="27"/>
      <c r="FOM40" s="26"/>
      <c r="FON40" s="27"/>
      <c r="FOO40" s="26"/>
      <c r="FOP40" s="27"/>
      <c r="FOQ40" s="26"/>
      <c r="FOR40" s="27"/>
      <c r="FOS40" s="26"/>
      <c r="FOT40" s="27"/>
      <c r="FOU40" s="26"/>
      <c r="FOV40" s="27"/>
      <c r="FOW40" s="26"/>
      <c r="FOX40" s="27"/>
      <c r="FOY40" s="26"/>
      <c r="FOZ40" s="27"/>
      <c r="FPA40" s="26"/>
      <c r="FPB40" s="27"/>
      <c r="FPC40" s="26"/>
      <c r="FPD40" s="27"/>
      <c r="FPE40" s="26"/>
      <c r="FPF40" s="27"/>
      <c r="FPG40" s="26"/>
      <c r="FPH40" s="27"/>
      <c r="FPI40" s="26"/>
      <c r="FPJ40" s="27"/>
      <c r="FPK40" s="26"/>
      <c r="FPL40" s="27"/>
      <c r="FPM40" s="26"/>
      <c r="FPN40" s="27"/>
      <c r="FPO40" s="26"/>
      <c r="FPP40" s="27"/>
      <c r="FPQ40" s="26"/>
      <c r="FPR40" s="27"/>
      <c r="FPS40" s="26"/>
      <c r="FPT40" s="27"/>
      <c r="FPU40" s="26"/>
      <c r="FPV40" s="27"/>
      <c r="FPW40" s="26"/>
      <c r="FPX40" s="27"/>
      <c r="FPY40" s="26"/>
      <c r="FPZ40" s="27"/>
      <c r="FQA40" s="26"/>
      <c r="FQB40" s="27"/>
      <c r="FQC40" s="26"/>
      <c r="FQD40" s="27"/>
      <c r="FQE40" s="26"/>
      <c r="FQF40" s="27"/>
      <c r="FQG40" s="26"/>
      <c r="FQH40" s="27"/>
      <c r="FQI40" s="26"/>
      <c r="FQJ40" s="27"/>
      <c r="FQK40" s="26"/>
      <c r="FQL40" s="27"/>
      <c r="FQM40" s="26"/>
      <c r="FQN40" s="27"/>
      <c r="FQO40" s="26"/>
      <c r="FQP40" s="27"/>
      <c r="FQQ40" s="26"/>
      <c r="FQR40" s="27"/>
      <c r="FQS40" s="26"/>
      <c r="FQT40" s="27"/>
      <c r="FQU40" s="26"/>
      <c r="FQV40" s="27"/>
      <c r="FQW40" s="26"/>
      <c r="FQX40" s="27"/>
      <c r="FQY40" s="26"/>
      <c r="FQZ40" s="27"/>
      <c r="FRA40" s="26"/>
      <c r="FRB40" s="27"/>
      <c r="FRC40" s="26"/>
      <c r="FRD40" s="27"/>
      <c r="FRE40" s="26"/>
      <c r="FRF40" s="27"/>
      <c r="FRG40" s="26"/>
      <c r="FRH40" s="27"/>
      <c r="FRI40" s="26"/>
      <c r="FRJ40" s="27"/>
      <c r="FRK40" s="26"/>
      <c r="FRL40" s="27"/>
      <c r="FRM40" s="26"/>
      <c r="FRN40" s="27"/>
      <c r="FRO40" s="26"/>
      <c r="FRP40" s="27"/>
      <c r="FRQ40" s="26"/>
      <c r="FRR40" s="27"/>
      <c r="FRS40" s="26"/>
      <c r="FRT40" s="27"/>
      <c r="FRU40" s="26"/>
      <c r="FRV40" s="27"/>
      <c r="FRW40" s="26"/>
      <c r="FRX40" s="27"/>
      <c r="FRY40" s="26"/>
      <c r="FRZ40" s="27"/>
      <c r="FSA40" s="26"/>
      <c r="FSB40" s="27"/>
      <c r="FSC40" s="26"/>
      <c r="FSD40" s="27"/>
      <c r="FSE40" s="26"/>
      <c r="FSF40" s="27"/>
      <c r="FSG40" s="26"/>
      <c r="FSH40" s="27"/>
      <c r="FSI40" s="26"/>
      <c r="FSJ40" s="27"/>
      <c r="FSK40" s="26"/>
      <c r="FSL40" s="27"/>
      <c r="FSM40" s="26"/>
      <c r="FSN40" s="27"/>
      <c r="FSO40" s="26"/>
      <c r="FSP40" s="27"/>
      <c r="FSQ40" s="26"/>
      <c r="FSR40" s="27"/>
      <c r="FSS40" s="26"/>
      <c r="FST40" s="27"/>
      <c r="FSU40" s="26"/>
      <c r="FSV40" s="27"/>
      <c r="FSW40" s="26"/>
      <c r="FSX40" s="27"/>
      <c r="FSY40" s="26"/>
      <c r="FSZ40" s="27"/>
      <c r="FTA40" s="26"/>
      <c r="FTB40" s="27"/>
      <c r="FTC40" s="26"/>
      <c r="FTD40" s="27"/>
      <c r="FTE40" s="26"/>
      <c r="FTF40" s="27"/>
      <c r="FTG40" s="26"/>
      <c r="FTH40" s="27"/>
      <c r="FTI40" s="26"/>
      <c r="FTJ40" s="27"/>
      <c r="FTK40" s="26"/>
      <c r="FTL40" s="27"/>
      <c r="FTM40" s="26"/>
      <c r="FTN40" s="27"/>
      <c r="FTO40" s="26"/>
      <c r="FTP40" s="27"/>
      <c r="FTQ40" s="26"/>
      <c r="FTR40" s="27"/>
      <c r="FTS40" s="26"/>
      <c r="FTT40" s="27"/>
      <c r="FTU40" s="26"/>
      <c r="FTV40" s="27"/>
      <c r="FTW40" s="26"/>
      <c r="FTX40" s="27"/>
      <c r="FTY40" s="26"/>
      <c r="FTZ40" s="27"/>
      <c r="FUA40" s="26"/>
      <c r="FUB40" s="27"/>
      <c r="FUC40" s="26"/>
      <c r="FUD40" s="27"/>
      <c r="FUE40" s="26"/>
      <c r="FUF40" s="27"/>
      <c r="FUG40" s="26"/>
      <c r="FUH40" s="27"/>
      <c r="FUI40" s="26"/>
      <c r="FUJ40" s="27"/>
      <c r="FUK40" s="26"/>
      <c r="FUL40" s="27"/>
      <c r="FUM40" s="26"/>
      <c r="FUN40" s="27"/>
      <c r="FUO40" s="26"/>
      <c r="FUP40" s="27"/>
      <c r="FUQ40" s="26"/>
      <c r="FUR40" s="27"/>
      <c r="FUS40" s="26"/>
      <c r="FUT40" s="27"/>
      <c r="FUU40" s="26"/>
      <c r="FUV40" s="27"/>
      <c r="FUW40" s="26"/>
      <c r="FUX40" s="27"/>
      <c r="FUY40" s="26"/>
      <c r="FUZ40" s="27"/>
      <c r="FVA40" s="26"/>
      <c r="FVB40" s="27"/>
      <c r="FVC40" s="26"/>
      <c r="FVD40" s="27"/>
      <c r="FVE40" s="26"/>
      <c r="FVF40" s="27"/>
      <c r="FVG40" s="26"/>
      <c r="FVH40" s="27"/>
      <c r="FVI40" s="26"/>
      <c r="FVJ40" s="27"/>
      <c r="FVK40" s="26"/>
      <c r="FVL40" s="27"/>
      <c r="FVM40" s="26"/>
      <c r="FVN40" s="27"/>
      <c r="FVO40" s="26"/>
      <c r="FVP40" s="27"/>
      <c r="FVQ40" s="26"/>
      <c r="FVR40" s="27"/>
      <c r="FVS40" s="26"/>
      <c r="FVT40" s="27"/>
      <c r="FVU40" s="26"/>
      <c r="FVV40" s="27"/>
      <c r="FVW40" s="26"/>
      <c r="FVX40" s="27"/>
      <c r="FVY40" s="26"/>
      <c r="FVZ40" s="27"/>
      <c r="FWA40" s="26"/>
      <c r="FWB40" s="27"/>
      <c r="FWC40" s="26"/>
      <c r="FWD40" s="27"/>
      <c r="FWE40" s="26"/>
      <c r="FWF40" s="27"/>
      <c r="FWG40" s="26"/>
      <c r="FWH40" s="27"/>
      <c r="FWI40" s="26"/>
      <c r="FWJ40" s="27"/>
      <c r="FWK40" s="26"/>
      <c r="FWL40" s="27"/>
      <c r="FWM40" s="26"/>
      <c r="FWN40" s="27"/>
      <c r="FWO40" s="26"/>
      <c r="FWP40" s="27"/>
      <c r="FWQ40" s="26"/>
      <c r="FWR40" s="27"/>
      <c r="FWS40" s="26"/>
      <c r="FWT40" s="27"/>
      <c r="FWU40" s="26"/>
      <c r="FWV40" s="27"/>
      <c r="FWW40" s="26"/>
      <c r="FWX40" s="27"/>
      <c r="FWY40" s="26"/>
      <c r="FWZ40" s="27"/>
      <c r="FXA40" s="26"/>
      <c r="FXB40" s="27"/>
      <c r="FXC40" s="26"/>
      <c r="FXD40" s="27"/>
      <c r="FXE40" s="26"/>
      <c r="FXF40" s="27"/>
      <c r="FXG40" s="26"/>
      <c r="FXH40" s="27"/>
      <c r="FXI40" s="26"/>
      <c r="FXJ40" s="27"/>
      <c r="FXK40" s="26"/>
      <c r="FXL40" s="27"/>
      <c r="FXM40" s="26"/>
      <c r="FXN40" s="27"/>
      <c r="FXO40" s="26"/>
      <c r="FXP40" s="27"/>
      <c r="FXQ40" s="26"/>
      <c r="FXR40" s="27"/>
      <c r="FXS40" s="26"/>
      <c r="FXT40" s="27"/>
      <c r="FXU40" s="26"/>
      <c r="FXV40" s="27"/>
      <c r="FXW40" s="26"/>
      <c r="FXX40" s="27"/>
      <c r="FXY40" s="26"/>
      <c r="FXZ40" s="27"/>
      <c r="FYA40" s="26"/>
      <c r="FYB40" s="27"/>
      <c r="FYC40" s="26"/>
      <c r="FYD40" s="27"/>
      <c r="FYE40" s="26"/>
      <c r="FYF40" s="27"/>
      <c r="FYG40" s="26"/>
      <c r="FYH40" s="27"/>
      <c r="FYI40" s="26"/>
      <c r="FYJ40" s="27"/>
      <c r="FYK40" s="26"/>
      <c r="FYL40" s="27"/>
      <c r="FYM40" s="26"/>
      <c r="FYN40" s="27"/>
      <c r="FYO40" s="26"/>
      <c r="FYP40" s="27"/>
      <c r="FYQ40" s="26"/>
      <c r="FYR40" s="27"/>
      <c r="FYS40" s="26"/>
      <c r="FYT40" s="27"/>
      <c r="FYU40" s="26"/>
      <c r="FYV40" s="27"/>
      <c r="FYW40" s="26"/>
      <c r="FYX40" s="27"/>
      <c r="FYY40" s="26"/>
      <c r="FYZ40" s="27"/>
      <c r="FZA40" s="26"/>
      <c r="FZB40" s="27"/>
      <c r="FZC40" s="26"/>
      <c r="FZD40" s="27"/>
      <c r="FZE40" s="26"/>
      <c r="FZF40" s="27"/>
      <c r="FZG40" s="26"/>
      <c r="FZH40" s="27"/>
      <c r="FZI40" s="26"/>
      <c r="FZJ40" s="27"/>
      <c r="FZK40" s="26"/>
      <c r="FZL40" s="27"/>
      <c r="FZM40" s="26"/>
      <c r="FZN40" s="27"/>
      <c r="FZO40" s="26"/>
      <c r="FZP40" s="27"/>
      <c r="FZQ40" s="26"/>
      <c r="FZR40" s="27"/>
      <c r="FZS40" s="26"/>
      <c r="FZT40" s="27"/>
      <c r="FZU40" s="26"/>
      <c r="FZV40" s="27"/>
      <c r="FZW40" s="26"/>
      <c r="FZX40" s="27"/>
      <c r="FZY40" s="26"/>
      <c r="FZZ40" s="27"/>
      <c r="GAA40" s="26"/>
      <c r="GAB40" s="27"/>
      <c r="GAC40" s="26"/>
      <c r="GAD40" s="27"/>
      <c r="GAE40" s="26"/>
      <c r="GAF40" s="27"/>
      <c r="GAG40" s="26"/>
      <c r="GAH40" s="27"/>
      <c r="GAI40" s="26"/>
      <c r="GAJ40" s="27"/>
      <c r="GAK40" s="26"/>
      <c r="GAL40" s="27"/>
      <c r="GAM40" s="26"/>
      <c r="GAN40" s="27"/>
      <c r="GAO40" s="26"/>
      <c r="GAP40" s="27"/>
      <c r="GAQ40" s="26"/>
      <c r="GAR40" s="27"/>
      <c r="GAS40" s="26"/>
      <c r="GAT40" s="27"/>
      <c r="GAU40" s="26"/>
      <c r="GAV40" s="27"/>
      <c r="GAW40" s="26"/>
      <c r="GAX40" s="27"/>
      <c r="GAY40" s="26"/>
      <c r="GAZ40" s="27"/>
      <c r="GBA40" s="26"/>
      <c r="GBB40" s="27"/>
      <c r="GBC40" s="26"/>
      <c r="GBD40" s="27"/>
      <c r="GBE40" s="26"/>
      <c r="GBF40" s="27"/>
      <c r="GBG40" s="26"/>
      <c r="GBH40" s="27"/>
      <c r="GBI40" s="26"/>
      <c r="GBJ40" s="27"/>
      <c r="GBK40" s="26"/>
      <c r="GBL40" s="27"/>
      <c r="GBM40" s="26"/>
      <c r="GBN40" s="27"/>
      <c r="GBO40" s="26"/>
      <c r="GBP40" s="27"/>
      <c r="GBQ40" s="26"/>
      <c r="GBR40" s="27"/>
      <c r="GBS40" s="26"/>
      <c r="GBT40" s="27"/>
      <c r="GBU40" s="26"/>
      <c r="GBV40" s="27"/>
      <c r="GBW40" s="26"/>
      <c r="GBX40" s="27"/>
      <c r="GBY40" s="26"/>
      <c r="GBZ40" s="27"/>
      <c r="GCA40" s="26"/>
      <c r="GCB40" s="27"/>
      <c r="GCC40" s="26"/>
      <c r="GCD40" s="27"/>
      <c r="GCE40" s="26"/>
      <c r="GCF40" s="27"/>
      <c r="GCG40" s="26"/>
      <c r="GCH40" s="27"/>
      <c r="GCI40" s="26"/>
      <c r="GCJ40" s="27"/>
      <c r="GCK40" s="26"/>
      <c r="GCL40" s="27"/>
      <c r="GCM40" s="26"/>
      <c r="GCN40" s="27"/>
      <c r="GCO40" s="26"/>
      <c r="GCP40" s="27"/>
      <c r="GCQ40" s="26"/>
      <c r="GCR40" s="27"/>
      <c r="GCS40" s="26"/>
      <c r="GCT40" s="27"/>
      <c r="GCU40" s="26"/>
      <c r="GCV40" s="27"/>
      <c r="GCW40" s="26"/>
      <c r="GCX40" s="27"/>
      <c r="GCY40" s="26"/>
      <c r="GCZ40" s="27"/>
      <c r="GDA40" s="26"/>
      <c r="GDB40" s="27"/>
      <c r="GDC40" s="26"/>
      <c r="GDD40" s="27"/>
      <c r="GDE40" s="26"/>
      <c r="GDF40" s="27"/>
      <c r="GDG40" s="26"/>
      <c r="GDH40" s="27"/>
      <c r="GDI40" s="26"/>
      <c r="GDJ40" s="27"/>
      <c r="GDK40" s="26"/>
      <c r="GDL40" s="27"/>
      <c r="GDM40" s="26"/>
      <c r="GDN40" s="27"/>
      <c r="GDO40" s="26"/>
      <c r="GDP40" s="27"/>
      <c r="GDQ40" s="26"/>
      <c r="GDR40" s="27"/>
      <c r="GDS40" s="26"/>
      <c r="GDT40" s="27"/>
      <c r="GDU40" s="26"/>
      <c r="GDV40" s="27"/>
      <c r="GDW40" s="26"/>
      <c r="GDX40" s="27"/>
      <c r="GDY40" s="26"/>
      <c r="GDZ40" s="27"/>
      <c r="GEA40" s="26"/>
      <c r="GEB40" s="27"/>
      <c r="GEC40" s="26"/>
      <c r="GED40" s="27"/>
      <c r="GEE40" s="26"/>
      <c r="GEF40" s="27"/>
      <c r="GEG40" s="26"/>
      <c r="GEH40" s="27"/>
      <c r="GEI40" s="26"/>
      <c r="GEJ40" s="27"/>
      <c r="GEK40" s="26"/>
      <c r="GEL40" s="27"/>
      <c r="GEM40" s="26"/>
      <c r="GEN40" s="27"/>
      <c r="GEO40" s="26"/>
      <c r="GEP40" s="27"/>
      <c r="GEQ40" s="26"/>
      <c r="GER40" s="27"/>
      <c r="GES40" s="26"/>
      <c r="GET40" s="27"/>
      <c r="GEU40" s="26"/>
      <c r="GEV40" s="27"/>
      <c r="GEW40" s="26"/>
      <c r="GEX40" s="27"/>
      <c r="GEY40" s="26"/>
      <c r="GEZ40" s="27"/>
      <c r="GFA40" s="26"/>
      <c r="GFB40" s="27"/>
      <c r="GFC40" s="26"/>
      <c r="GFD40" s="27"/>
      <c r="GFE40" s="26"/>
      <c r="GFF40" s="27"/>
      <c r="GFG40" s="26"/>
      <c r="GFH40" s="27"/>
      <c r="GFI40" s="26"/>
      <c r="GFJ40" s="27"/>
      <c r="GFK40" s="26"/>
      <c r="GFL40" s="27"/>
      <c r="GFM40" s="26"/>
      <c r="GFN40" s="27"/>
      <c r="GFO40" s="26"/>
      <c r="GFP40" s="27"/>
      <c r="GFQ40" s="26"/>
      <c r="GFR40" s="27"/>
      <c r="GFS40" s="26"/>
      <c r="GFT40" s="27"/>
      <c r="GFU40" s="26"/>
      <c r="GFV40" s="27"/>
      <c r="GFW40" s="26"/>
      <c r="GFX40" s="27"/>
      <c r="GFY40" s="26"/>
      <c r="GFZ40" s="27"/>
      <c r="GGA40" s="26"/>
      <c r="GGB40" s="27"/>
      <c r="GGC40" s="26"/>
      <c r="GGD40" s="27"/>
      <c r="GGE40" s="26"/>
      <c r="GGF40" s="27"/>
      <c r="GGG40" s="26"/>
      <c r="GGH40" s="27"/>
      <c r="GGI40" s="26"/>
      <c r="GGJ40" s="27"/>
      <c r="GGK40" s="26"/>
      <c r="GGL40" s="27"/>
      <c r="GGM40" s="26"/>
      <c r="GGN40" s="27"/>
      <c r="GGO40" s="26"/>
      <c r="GGP40" s="27"/>
      <c r="GGQ40" s="26"/>
      <c r="GGR40" s="27"/>
      <c r="GGS40" s="26"/>
      <c r="GGT40" s="27"/>
      <c r="GGU40" s="26"/>
      <c r="GGV40" s="27"/>
      <c r="GGW40" s="26"/>
      <c r="GGX40" s="27"/>
      <c r="GGY40" s="26"/>
      <c r="GGZ40" s="27"/>
      <c r="GHA40" s="26"/>
      <c r="GHB40" s="27"/>
      <c r="GHC40" s="26"/>
      <c r="GHD40" s="27"/>
      <c r="GHE40" s="26"/>
      <c r="GHF40" s="27"/>
      <c r="GHG40" s="26"/>
      <c r="GHH40" s="27"/>
      <c r="GHI40" s="26"/>
      <c r="GHJ40" s="27"/>
      <c r="GHK40" s="26"/>
      <c r="GHL40" s="27"/>
      <c r="GHM40" s="26"/>
      <c r="GHN40" s="27"/>
      <c r="GHO40" s="26"/>
      <c r="GHP40" s="27"/>
      <c r="GHQ40" s="26"/>
      <c r="GHR40" s="27"/>
      <c r="GHS40" s="26"/>
      <c r="GHT40" s="27"/>
      <c r="GHU40" s="26"/>
      <c r="GHV40" s="27"/>
      <c r="GHW40" s="26"/>
      <c r="GHX40" s="27"/>
      <c r="GHY40" s="26"/>
      <c r="GHZ40" s="27"/>
      <c r="GIA40" s="26"/>
      <c r="GIB40" s="27"/>
      <c r="GIC40" s="26"/>
      <c r="GID40" s="27"/>
      <c r="GIE40" s="26"/>
      <c r="GIF40" s="27"/>
      <c r="GIG40" s="26"/>
      <c r="GIH40" s="27"/>
      <c r="GII40" s="26"/>
      <c r="GIJ40" s="27"/>
      <c r="GIK40" s="26"/>
      <c r="GIL40" s="27"/>
      <c r="GIM40" s="26"/>
      <c r="GIN40" s="27"/>
      <c r="GIO40" s="26"/>
      <c r="GIP40" s="27"/>
      <c r="GIQ40" s="26"/>
      <c r="GIR40" s="27"/>
      <c r="GIS40" s="26"/>
      <c r="GIT40" s="27"/>
      <c r="GIU40" s="26"/>
      <c r="GIV40" s="27"/>
      <c r="GIW40" s="26"/>
      <c r="GIX40" s="27"/>
      <c r="GIY40" s="26"/>
      <c r="GIZ40" s="27"/>
      <c r="GJA40" s="26"/>
      <c r="GJB40" s="27"/>
      <c r="GJC40" s="26"/>
      <c r="GJD40" s="27"/>
      <c r="GJE40" s="26"/>
      <c r="GJF40" s="27"/>
      <c r="GJG40" s="26"/>
      <c r="GJH40" s="27"/>
      <c r="GJI40" s="26"/>
      <c r="GJJ40" s="27"/>
      <c r="GJK40" s="26"/>
      <c r="GJL40" s="27"/>
      <c r="GJM40" s="26"/>
      <c r="GJN40" s="27"/>
      <c r="GJO40" s="26"/>
      <c r="GJP40" s="27"/>
      <c r="GJQ40" s="26"/>
      <c r="GJR40" s="27"/>
      <c r="GJS40" s="26"/>
      <c r="GJT40" s="27"/>
      <c r="GJU40" s="26"/>
      <c r="GJV40" s="27"/>
      <c r="GJW40" s="26"/>
      <c r="GJX40" s="27"/>
      <c r="GJY40" s="26"/>
      <c r="GJZ40" s="27"/>
      <c r="GKA40" s="26"/>
      <c r="GKB40" s="27"/>
      <c r="GKC40" s="26"/>
      <c r="GKD40" s="27"/>
      <c r="GKE40" s="26"/>
      <c r="GKF40" s="27"/>
      <c r="GKG40" s="26"/>
      <c r="GKH40" s="27"/>
      <c r="GKI40" s="26"/>
      <c r="GKJ40" s="27"/>
      <c r="GKK40" s="26"/>
      <c r="GKL40" s="27"/>
      <c r="GKM40" s="26"/>
      <c r="GKN40" s="27"/>
      <c r="GKO40" s="26"/>
      <c r="GKP40" s="27"/>
      <c r="GKQ40" s="26"/>
      <c r="GKR40" s="27"/>
      <c r="GKS40" s="26"/>
      <c r="GKT40" s="27"/>
      <c r="GKU40" s="26"/>
      <c r="GKV40" s="27"/>
      <c r="GKW40" s="26"/>
      <c r="GKX40" s="27"/>
      <c r="GKY40" s="26"/>
      <c r="GKZ40" s="27"/>
      <c r="GLA40" s="26"/>
      <c r="GLB40" s="27"/>
      <c r="GLC40" s="26"/>
      <c r="GLD40" s="27"/>
      <c r="GLE40" s="26"/>
      <c r="GLF40" s="27"/>
      <c r="GLG40" s="26"/>
      <c r="GLH40" s="27"/>
      <c r="GLI40" s="26"/>
      <c r="GLJ40" s="27"/>
      <c r="GLK40" s="26"/>
      <c r="GLL40" s="27"/>
      <c r="GLM40" s="26"/>
      <c r="GLN40" s="27"/>
      <c r="GLO40" s="26"/>
      <c r="GLP40" s="27"/>
      <c r="GLQ40" s="26"/>
      <c r="GLR40" s="27"/>
      <c r="GLS40" s="26"/>
      <c r="GLT40" s="27"/>
      <c r="GLU40" s="26"/>
      <c r="GLV40" s="27"/>
      <c r="GLW40" s="26"/>
      <c r="GLX40" s="27"/>
      <c r="GLY40" s="26"/>
      <c r="GLZ40" s="27"/>
      <c r="GMA40" s="26"/>
      <c r="GMB40" s="27"/>
      <c r="GMC40" s="26"/>
      <c r="GMD40" s="27"/>
      <c r="GME40" s="26"/>
      <c r="GMF40" s="27"/>
      <c r="GMG40" s="26"/>
      <c r="GMH40" s="27"/>
      <c r="GMI40" s="26"/>
      <c r="GMJ40" s="27"/>
      <c r="GMK40" s="26"/>
      <c r="GML40" s="27"/>
      <c r="GMM40" s="26"/>
      <c r="GMN40" s="27"/>
      <c r="GMO40" s="26"/>
      <c r="GMP40" s="27"/>
      <c r="GMQ40" s="26"/>
      <c r="GMR40" s="27"/>
      <c r="GMS40" s="26"/>
      <c r="GMT40" s="27"/>
      <c r="GMU40" s="26"/>
      <c r="GMV40" s="27"/>
      <c r="GMW40" s="26"/>
      <c r="GMX40" s="27"/>
      <c r="GMY40" s="26"/>
      <c r="GMZ40" s="27"/>
      <c r="GNA40" s="26"/>
      <c r="GNB40" s="27"/>
      <c r="GNC40" s="26"/>
      <c r="GND40" s="27"/>
      <c r="GNE40" s="26"/>
      <c r="GNF40" s="27"/>
      <c r="GNG40" s="26"/>
      <c r="GNH40" s="27"/>
      <c r="GNI40" s="26"/>
      <c r="GNJ40" s="27"/>
      <c r="GNK40" s="26"/>
      <c r="GNL40" s="27"/>
      <c r="GNM40" s="26"/>
      <c r="GNN40" s="27"/>
      <c r="GNO40" s="26"/>
      <c r="GNP40" s="27"/>
      <c r="GNQ40" s="26"/>
      <c r="GNR40" s="27"/>
      <c r="GNS40" s="26"/>
      <c r="GNT40" s="27"/>
      <c r="GNU40" s="26"/>
      <c r="GNV40" s="27"/>
      <c r="GNW40" s="26"/>
      <c r="GNX40" s="27"/>
      <c r="GNY40" s="26"/>
      <c r="GNZ40" s="27"/>
      <c r="GOA40" s="26"/>
      <c r="GOB40" s="27"/>
      <c r="GOC40" s="26"/>
      <c r="GOD40" s="27"/>
      <c r="GOE40" s="26"/>
      <c r="GOF40" s="27"/>
      <c r="GOG40" s="26"/>
      <c r="GOH40" s="27"/>
      <c r="GOI40" s="26"/>
      <c r="GOJ40" s="27"/>
      <c r="GOK40" s="26"/>
      <c r="GOL40" s="27"/>
      <c r="GOM40" s="26"/>
      <c r="GON40" s="27"/>
      <c r="GOO40" s="26"/>
      <c r="GOP40" s="27"/>
      <c r="GOQ40" s="26"/>
      <c r="GOR40" s="27"/>
      <c r="GOS40" s="26"/>
      <c r="GOT40" s="27"/>
      <c r="GOU40" s="26"/>
      <c r="GOV40" s="27"/>
      <c r="GOW40" s="26"/>
      <c r="GOX40" s="27"/>
      <c r="GOY40" s="26"/>
      <c r="GOZ40" s="27"/>
      <c r="GPA40" s="26"/>
      <c r="GPB40" s="27"/>
      <c r="GPC40" s="26"/>
      <c r="GPD40" s="27"/>
      <c r="GPE40" s="26"/>
      <c r="GPF40" s="27"/>
      <c r="GPG40" s="26"/>
      <c r="GPH40" s="27"/>
      <c r="GPI40" s="26"/>
      <c r="GPJ40" s="27"/>
      <c r="GPK40" s="26"/>
      <c r="GPL40" s="27"/>
      <c r="GPM40" s="26"/>
      <c r="GPN40" s="27"/>
      <c r="GPO40" s="26"/>
      <c r="GPP40" s="27"/>
      <c r="GPQ40" s="26"/>
      <c r="GPR40" s="27"/>
      <c r="GPS40" s="26"/>
      <c r="GPT40" s="27"/>
      <c r="GPU40" s="26"/>
      <c r="GPV40" s="27"/>
      <c r="GPW40" s="26"/>
      <c r="GPX40" s="27"/>
      <c r="GPY40" s="26"/>
      <c r="GPZ40" s="27"/>
      <c r="GQA40" s="26"/>
      <c r="GQB40" s="27"/>
      <c r="GQC40" s="26"/>
      <c r="GQD40" s="27"/>
      <c r="GQE40" s="26"/>
      <c r="GQF40" s="27"/>
      <c r="GQG40" s="26"/>
      <c r="GQH40" s="27"/>
      <c r="GQI40" s="26"/>
      <c r="GQJ40" s="27"/>
      <c r="GQK40" s="26"/>
      <c r="GQL40" s="27"/>
      <c r="GQM40" s="26"/>
      <c r="GQN40" s="27"/>
      <c r="GQO40" s="26"/>
      <c r="GQP40" s="27"/>
      <c r="GQQ40" s="26"/>
      <c r="GQR40" s="27"/>
      <c r="GQS40" s="26"/>
      <c r="GQT40" s="27"/>
      <c r="GQU40" s="26"/>
      <c r="GQV40" s="27"/>
      <c r="GQW40" s="26"/>
      <c r="GQX40" s="27"/>
      <c r="GQY40" s="26"/>
      <c r="GQZ40" s="27"/>
      <c r="GRA40" s="26"/>
      <c r="GRB40" s="27"/>
      <c r="GRC40" s="26"/>
      <c r="GRD40" s="27"/>
      <c r="GRE40" s="26"/>
      <c r="GRF40" s="27"/>
      <c r="GRG40" s="26"/>
      <c r="GRH40" s="27"/>
      <c r="GRI40" s="26"/>
      <c r="GRJ40" s="27"/>
      <c r="GRK40" s="26"/>
      <c r="GRL40" s="27"/>
      <c r="GRM40" s="26"/>
      <c r="GRN40" s="27"/>
      <c r="GRO40" s="26"/>
      <c r="GRP40" s="27"/>
      <c r="GRQ40" s="26"/>
      <c r="GRR40" s="27"/>
      <c r="GRS40" s="26"/>
      <c r="GRT40" s="27"/>
      <c r="GRU40" s="26"/>
      <c r="GRV40" s="27"/>
      <c r="GRW40" s="26"/>
      <c r="GRX40" s="27"/>
      <c r="GRY40" s="26"/>
      <c r="GRZ40" s="27"/>
      <c r="GSA40" s="26"/>
      <c r="GSB40" s="27"/>
      <c r="GSC40" s="26"/>
      <c r="GSD40" s="27"/>
      <c r="GSE40" s="26"/>
      <c r="GSF40" s="27"/>
      <c r="GSG40" s="26"/>
      <c r="GSH40" s="27"/>
      <c r="GSI40" s="26"/>
      <c r="GSJ40" s="27"/>
      <c r="GSK40" s="26"/>
      <c r="GSL40" s="27"/>
      <c r="GSM40" s="26"/>
      <c r="GSN40" s="27"/>
      <c r="GSO40" s="26"/>
      <c r="GSP40" s="27"/>
      <c r="GSQ40" s="26"/>
      <c r="GSR40" s="27"/>
      <c r="GSS40" s="26"/>
      <c r="GST40" s="27"/>
      <c r="GSU40" s="26"/>
      <c r="GSV40" s="27"/>
      <c r="GSW40" s="26"/>
      <c r="GSX40" s="27"/>
      <c r="GSY40" s="26"/>
      <c r="GSZ40" s="27"/>
      <c r="GTA40" s="26"/>
      <c r="GTB40" s="27"/>
      <c r="GTC40" s="26"/>
      <c r="GTD40" s="27"/>
      <c r="GTE40" s="26"/>
      <c r="GTF40" s="27"/>
      <c r="GTG40" s="26"/>
      <c r="GTH40" s="27"/>
      <c r="GTI40" s="26"/>
      <c r="GTJ40" s="27"/>
      <c r="GTK40" s="26"/>
      <c r="GTL40" s="27"/>
      <c r="GTM40" s="26"/>
      <c r="GTN40" s="27"/>
      <c r="GTO40" s="26"/>
      <c r="GTP40" s="27"/>
      <c r="GTQ40" s="26"/>
      <c r="GTR40" s="27"/>
      <c r="GTS40" s="26"/>
      <c r="GTT40" s="27"/>
      <c r="GTU40" s="26"/>
      <c r="GTV40" s="27"/>
      <c r="GTW40" s="26"/>
      <c r="GTX40" s="27"/>
      <c r="GTY40" s="26"/>
      <c r="GTZ40" s="27"/>
      <c r="GUA40" s="26"/>
      <c r="GUB40" s="27"/>
      <c r="GUC40" s="26"/>
      <c r="GUD40" s="27"/>
      <c r="GUE40" s="26"/>
      <c r="GUF40" s="27"/>
      <c r="GUG40" s="26"/>
      <c r="GUH40" s="27"/>
      <c r="GUI40" s="26"/>
      <c r="GUJ40" s="27"/>
      <c r="GUK40" s="26"/>
      <c r="GUL40" s="27"/>
      <c r="GUM40" s="26"/>
      <c r="GUN40" s="27"/>
      <c r="GUO40" s="26"/>
      <c r="GUP40" s="27"/>
      <c r="GUQ40" s="26"/>
      <c r="GUR40" s="27"/>
      <c r="GUS40" s="26"/>
      <c r="GUT40" s="27"/>
      <c r="GUU40" s="26"/>
      <c r="GUV40" s="27"/>
      <c r="GUW40" s="26"/>
      <c r="GUX40" s="27"/>
      <c r="GUY40" s="26"/>
      <c r="GUZ40" s="27"/>
      <c r="GVA40" s="26"/>
      <c r="GVB40" s="27"/>
      <c r="GVC40" s="26"/>
      <c r="GVD40" s="27"/>
      <c r="GVE40" s="26"/>
      <c r="GVF40" s="27"/>
      <c r="GVG40" s="26"/>
      <c r="GVH40" s="27"/>
      <c r="GVI40" s="26"/>
      <c r="GVJ40" s="27"/>
      <c r="GVK40" s="26"/>
      <c r="GVL40" s="27"/>
      <c r="GVM40" s="26"/>
      <c r="GVN40" s="27"/>
      <c r="GVO40" s="26"/>
      <c r="GVP40" s="27"/>
      <c r="GVQ40" s="26"/>
      <c r="GVR40" s="27"/>
      <c r="GVS40" s="26"/>
      <c r="GVT40" s="27"/>
      <c r="GVU40" s="26"/>
      <c r="GVV40" s="27"/>
      <c r="GVW40" s="26"/>
      <c r="GVX40" s="27"/>
      <c r="GVY40" s="26"/>
      <c r="GVZ40" s="27"/>
      <c r="GWA40" s="26"/>
      <c r="GWB40" s="27"/>
      <c r="GWC40" s="26"/>
      <c r="GWD40" s="27"/>
      <c r="GWE40" s="26"/>
      <c r="GWF40" s="27"/>
      <c r="GWG40" s="26"/>
      <c r="GWH40" s="27"/>
      <c r="GWI40" s="26"/>
      <c r="GWJ40" s="27"/>
      <c r="GWK40" s="26"/>
      <c r="GWL40" s="27"/>
      <c r="GWM40" s="26"/>
      <c r="GWN40" s="27"/>
      <c r="GWO40" s="26"/>
      <c r="GWP40" s="27"/>
      <c r="GWQ40" s="26"/>
      <c r="GWR40" s="27"/>
      <c r="GWS40" s="26"/>
      <c r="GWT40" s="27"/>
      <c r="GWU40" s="26"/>
      <c r="GWV40" s="27"/>
      <c r="GWW40" s="26"/>
      <c r="GWX40" s="27"/>
      <c r="GWY40" s="26"/>
      <c r="GWZ40" s="27"/>
      <c r="GXA40" s="26"/>
      <c r="GXB40" s="27"/>
      <c r="GXC40" s="26"/>
      <c r="GXD40" s="27"/>
      <c r="GXE40" s="26"/>
      <c r="GXF40" s="27"/>
      <c r="GXG40" s="26"/>
      <c r="GXH40" s="27"/>
      <c r="GXI40" s="26"/>
      <c r="GXJ40" s="27"/>
      <c r="GXK40" s="26"/>
      <c r="GXL40" s="27"/>
      <c r="GXM40" s="26"/>
      <c r="GXN40" s="27"/>
      <c r="GXO40" s="26"/>
      <c r="GXP40" s="27"/>
      <c r="GXQ40" s="26"/>
      <c r="GXR40" s="27"/>
      <c r="GXS40" s="26"/>
      <c r="GXT40" s="27"/>
      <c r="GXU40" s="26"/>
      <c r="GXV40" s="27"/>
      <c r="GXW40" s="26"/>
      <c r="GXX40" s="27"/>
      <c r="GXY40" s="26"/>
      <c r="GXZ40" s="27"/>
      <c r="GYA40" s="26"/>
      <c r="GYB40" s="27"/>
      <c r="GYC40" s="26"/>
      <c r="GYD40" s="27"/>
      <c r="GYE40" s="26"/>
      <c r="GYF40" s="27"/>
      <c r="GYG40" s="26"/>
      <c r="GYH40" s="27"/>
      <c r="GYI40" s="26"/>
      <c r="GYJ40" s="27"/>
      <c r="GYK40" s="26"/>
      <c r="GYL40" s="27"/>
      <c r="GYM40" s="26"/>
      <c r="GYN40" s="27"/>
      <c r="GYO40" s="26"/>
      <c r="GYP40" s="27"/>
      <c r="GYQ40" s="26"/>
      <c r="GYR40" s="27"/>
      <c r="GYS40" s="26"/>
      <c r="GYT40" s="27"/>
      <c r="GYU40" s="26"/>
      <c r="GYV40" s="27"/>
      <c r="GYW40" s="26"/>
      <c r="GYX40" s="27"/>
      <c r="GYY40" s="26"/>
      <c r="GYZ40" s="27"/>
      <c r="GZA40" s="26"/>
      <c r="GZB40" s="27"/>
      <c r="GZC40" s="26"/>
      <c r="GZD40" s="27"/>
      <c r="GZE40" s="26"/>
      <c r="GZF40" s="27"/>
      <c r="GZG40" s="26"/>
      <c r="GZH40" s="27"/>
      <c r="GZI40" s="26"/>
      <c r="GZJ40" s="27"/>
      <c r="GZK40" s="26"/>
      <c r="GZL40" s="27"/>
      <c r="GZM40" s="26"/>
      <c r="GZN40" s="27"/>
      <c r="GZO40" s="26"/>
      <c r="GZP40" s="27"/>
      <c r="GZQ40" s="26"/>
      <c r="GZR40" s="27"/>
      <c r="GZS40" s="26"/>
      <c r="GZT40" s="27"/>
      <c r="GZU40" s="26"/>
      <c r="GZV40" s="27"/>
      <c r="GZW40" s="26"/>
      <c r="GZX40" s="27"/>
      <c r="GZY40" s="26"/>
      <c r="GZZ40" s="27"/>
      <c r="HAA40" s="26"/>
      <c r="HAB40" s="27"/>
      <c r="HAC40" s="26"/>
      <c r="HAD40" s="27"/>
      <c r="HAE40" s="26"/>
      <c r="HAF40" s="27"/>
      <c r="HAG40" s="26"/>
      <c r="HAH40" s="27"/>
      <c r="HAI40" s="26"/>
      <c r="HAJ40" s="27"/>
      <c r="HAK40" s="26"/>
      <c r="HAL40" s="27"/>
      <c r="HAM40" s="26"/>
      <c r="HAN40" s="27"/>
      <c r="HAO40" s="26"/>
      <c r="HAP40" s="27"/>
      <c r="HAQ40" s="26"/>
      <c r="HAR40" s="27"/>
      <c r="HAS40" s="26"/>
      <c r="HAT40" s="27"/>
      <c r="HAU40" s="26"/>
      <c r="HAV40" s="27"/>
      <c r="HAW40" s="26"/>
      <c r="HAX40" s="27"/>
      <c r="HAY40" s="26"/>
      <c r="HAZ40" s="27"/>
      <c r="HBA40" s="26"/>
      <c r="HBB40" s="27"/>
      <c r="HBC40" s="26"/>
      <c r="HBD40" s="27"/>
      <c r="HBE40" s="26"/>
      <c r="HBF40" s="27"/>
      <c r="HBG40" s="26"/>
      <c r="HBH40" s="27"/>
      <c r="HBI40" s="26"/>
      <c r="HBJ40" s="27"/>
      <c r="HBK40" s="26"/>
      <c r="HBL40" s="27"/>
      <c r="HBM40" s="26"/>
      <c r="HBN40" s="27"/>
      <c r="HBO40" s="26"/>
      <c r="HBP40" s="27"/>
      <c r="HBQ40" s="26"/>
      <c r="HBR40" s="27"/>
      <c r="HBS40" s="26"/>
      <c r="HBT40" s="27"/>
      <c r="HBU40" s="26"/>
      <c r="HBV40" s="27"/>
      <c r="HBW40" s="26"/>
      <c r="HBX40" s="27"/>
      <c r="HBY40" s="26"/>
      <c r="HBZ40" s="27"/>
      <c r="HCA40" s="26"/>
      <c r="HCB40" s="27"/>
      <c r="HCC40" s="26"/>
      <c r="HCD40" s="27"/>
      <c r="HCE40" s="26"/>
      <c r="HCF40" s="27"/>
      <c r="HCG40" s="26"/>
      <c r="HCH40" s="27"/>
      <c r="HCI40" s="26"/>
      <c r="HCJ40" s="27"/>
      <c r="HCK40" s="26"/>
      <c r="HCL40" s="27"/>
      <c r="HCM40" s="26"/>
      <c r="HCN40" s="27"/>
      <c r="HCO40" s="26"/>
      <c r="HCP40" s="27"/>
      <c r="HCQ40" s="26"/>
      <c r="HCR40" s="27"/>
      <c r="HCS40" s="26"/>
      <c r="HCT40" s="27"/>
      <c r="HCU40" s="26"/>
      <c r="HCV40" s="27"/>
      <c r="HCW40" s="26"/>
      <c r="HCX40" s="27"/>
      <c r="HCY40" s="26"/>
      <c r="HCZ40" s="27"/>
      <c r="HDA40" s="26"/>
      <c r="HDB40" s="27"/>
      <c r="HDC40" s="26"/>
      <c r="HDD40" s="27"/>
      <c r="HDE40" s="26"/>
      <c r="HDF40" s="27"/>
      <c r="HDG40" s="26"/>
      <c r="HDH40" s="27"/>
      <c r="HDI40" s="26"/>
      <c r="HDJ40" s="27"/>
      <c r="HDK40" s="26"/>
      <c r="HDL40" s="27"/>
      <c r="HDM40" s="26"/>
      <c r="HDN40" s="27"/>
      <c r="HDO40" s="26"/>
      <c r="HDP40" s="27"/>
      <c r="HDQ40" s="26"/>
      <c r="HDR40" s="27"/>
      <c r="HDS40" s="26"/>
      <c r="HDT40" s="27"/>
      <c r="HDU40" s="26"/>
      <c r="HDV40" s="27"/>
      <c r="HDW40" s="26"/>
      <c r="HDX40" s="27"/>
      <c r="HDY40" s="26"/>
      <c r="HDZ40" s="27"/>
      <c r="HEA40" s="26"/>
      <c r="HEB40" s="27"/>
      <c r="HEC40" s="26"/>
      <c r="HED40" s="27"/>
      <c r="HEE40" s="26"/>
      <c r="HEF40" s="27"/>
      <c r="HEG40" s="26"/>
      <c r="HEH40" s="27"/>
      <c r="HEI40" s="26"/>
      <c r="HEJ40" s="27"/>
      <c r="HEK40" s="26"/>
      <c r="HEL40" s="27"/>
      <c r="HEM40" s="26"/>
      <c r="HEN40" s="27"/>
      <c r="HEO40" s="26"/>
      <c r="HEP40" s="27"/>
      <c r="HEQ40" s="26"/>
      <c r="HER40" s="27"/>
      <c r="HES40" s="26"/>
      <c r="HET40" s="27"/>
      <c r="HEU40" s="26"/>
      <c r="HEV40" s="27"/>
      <c r="HEW40" s="26"/>
      <c r="HEX40" s="27"/>
      <c r="HEY40" s="26"/>
      <c r="HEZ40" s="27"/>
      <c r="HFA40" s="26"/>
      <c r="HFB40" s="27"/>
      <c r="HFC40" s="26"/>
      <c r="HFD40" s="27"/>
      <c r="HFE40" s="26"/>
      <c r="HFF40" s="27"/>
      <c r="HFG40" s="26"/>
      <c r="HFH40" s="27"/>
      <c r="HFI40" s="26"/>
      <c r="HFJ40" s="27"/>
      <c r="HFK40" s="26"/>
      <c r="HFL40" s="27"/>
      <c r="HFM40" s="26"/>
      <c r="HFN40" s="27"/>
      <c r="HFO40" s="26"/>
      <c r="HFP40" s="27"/>
      <c r="HFQ40" s="26"/>
      <c r="HFR40" s="27"/>
      <c r="HFS40" s="26"/>
      <c r="HFT40" s="27"/>
      <c r="HFU40" s="26"/>
      <c r="HFV40" s="27"/>
      <c r="HFW40" s="26"/>
      <c r="HFX40" s="27"/>
      <c r="HFY40" s="26"/>
      <c r="HFZ40" s="27"/>
      <c r="HGA40" s="26"/>
      <c r="HGB40" s="27"/>
      <c r="HGC40" s="26"/>
      <c r="HGD40" s="27"/>
      <c r="HGE40" s="26"/>
      <c r="HGF40" s="27"/>
      <c r="HGG40" s="26"/>
      <c r="HGH40" s="27"/>
      <c r="HGI40" s="26"/>
      <c r="HGJ40" s="27"/>
      <c r="HGK40" s="26"/>
      <c r="HGL40" s="27"/>
      <c r="HGM40" s="26"/>
      <c r="HGN40" s="27"/>
      <c r="HGO40" s="26"/>
      <c r="HGP40" s="27"/>
      <c r="HGQ40" s="26"/>
      <c r="HGR40" s="27"/>
      <c r="HGS40" s="26"/>
      <c r="HGT40" s="27"/>
      <c r="HGU40" s="26"/>
      <c r="HGV40" s="27"/>
      <c r="HGW40" s="26"/>
      <c r="HGX40" s="27"/>
      <c r="HGY40" s="26"/>
      <c r="HGZ40" s="27"/>
      <c r="HHA40" s="26"/>
      <c r="HHB40" s="27"/>
      <c r="HHC40" s="26"/>
      <c r="HHD40" s="27"/>
      <c r="HHE40" s="26"/>
      <c r="HHF40" s="27"/>
      <c r="HHG40" s="26"/>
      <c r="HHH40" s="27"/>
      <c r="HHI40" s="26"/>
      <c r="HHJ40" s="27"/>
      <c r="HHK40" s="26"/>
      <c r="HHL40" s="27"/>
      <c r="HHM40" s="26"/>
      <c r="HHN40" s="27"/>
      <c r="HHO40" s="26"/>
      <c r="HHP40" s="27"/>
      <c r="HHQ40" s="26"/>
      <c r="HHR40" s="27"/>
      <c r="HHS40" s="26"/>
      <c r="HHT40" s="27"/>
      <c r="HHU40" s="26"/>
      <c r="HHV40" s="27"/>
      <c r="HHW40" s="26"/>
      <c r="HHX40" s="27"/>
      <c r="HHY40" s="26"/>
      <c r="HHZ40" s="27"/>
      <c r="HIA40" s="26"/>
      <c r="HIB40" s="27"/>
      <c r="HIC40" s="26"/>
      <c r="HID40" s="27"/>
      <c r="HIE40" s="26"/>
      <c r="HIF40" s="27"/>
      <c r="HIG40" s="26"/>
      <c r="HIH40" s="27"/>
      <c r="HII40" s="26"/>
      <c r="HIJ40" s="27"/>
      <c r="HIK40" s="26"/>
      <c r="HIL40" s="27"/>
      <c r="HIM40" s="26"/>
      <c r="HIN40" s="27"/>
      <c r="HIO40" s="26"/>
      <c r="HIP40" s="27"/>
      <c r="HIQ40" s="26"/>
      <c r="HIR40" s="27"/>
      <c r="HIS40" s="26"/>
      <c r="HIT40" s="27"/>
      <c r="HIU40" s="26"/>
      <c r="HIV40" s="27"/>
      <c r="HIW40" s="26"/>
      <c r="HIX40" s="27"/>
      <c r="HIY40" s="26"/>
      <c r="HIZ40" s="27"/>
      <c r="HJA40" s="26"/>
      <c r="HJB40" s="27"/>
      <c r="HJC40" s="26"/>
      <c r="HJD40" s="27"/>
      <c r="HJE40" s="26"/>
      <c r="HJF40" s="27"/>
      <c r="HJG40" s="26"/>
      <c r="HJH40" s="27"/>
      <c r="HJI40" s="26"/>
      <c r="HJJ40" s="27"/>
      <c r="HJK40" s="26"/>
      <c r="HJL40" s="27"/>
      <c r="HJM40" s="26"/>
      <c r="HJN40" s="27"/>
      <c r="HJO40" s="26"/>
      <c r="HJP40" s="27"/>
      <c r="HJQ40" s="26"/>
      <c r="HJR40" s="27"/>
      <c r="HJS40" s="26"/>
      <c r="HJT40" s="27"/>
      <c r="HJU40" s="26"/>
      <c r="HJV40" s="27"/>
      <c r="HJW40" s="26"/>
      <c r="HJX40" s="27"/>
      <c r="HJY40" s="26"/>
      <c r="HJZ40" s="27"/>
      <c r="HKA40" s="26"/>
      <c r="HKB40" s="27"/>
      <c r="HKC40" s="26"/>
      <c r="HKD40" s="27"/>
      <c r="HKE40" s="26"/>
      <c r="HKF40" s="27"/>
      <c r="HKG40" s="26"/>
      <c r="HKH40" s="27"/>
      <c r="HKI40" s="26"/>
      <c r="HKJ40" s="27"/>
      <c r="HKK40" s="26"/>
      <c r="HKL40" s="27"/>
      <c r="HKM40" s="26"/>
      <c r="HKN40" s="27"/>
      <c r="HKO40" s="26"/>
      <c r="HKP40" s="27"/>
      <c r="HKQ40" s="26"/>
      <c r="HKR40" s="27"/>
      <c r="HKS40" s="26"/>
      <c r="HKT40" s="27"/>
      <c r="HKU40" s="26"/>
      <c r="HKV40" s="27"/>
      <c r="HKW40" s="26"/>
      <c r="HKX40" s="27"/>
      <c r="HKY40" s="26"/>
      <c r="HKZ40" s="27"/>
      <c r="HLA40" s="26"/>
      <c r="HLB40" s="27"/>
      <c r="HLC40" s="26"/>
      <c r="HLD40" s="27"/>
      <c r="HLE40" s="26"/>
      <c r="HLF40" s="27"/>
      <c r="HLG40" s="26"/>
      <c r="HLH40" s="27"/>
      <c r="HLI40" s="26"/>
      <c r="HLJ40" s="27"/>
      <c r="HLK40" s="26"/>
      <c r="HLL40" s="27"/>
      <c r="HLM40" s="26"/>
      <c r="HLN40" s="27"/>
      <c r="HLO40" s="26"/>
      <c r="HLP40" s="27"/>
      <c r="HLQ40" s="26"/>
      <c r="HLR40" s="27"/>
      <c r="HLS40" s="26"/>
      <c r="HLT40" s="27"/>
      <c r="HLU40" s="26"/>
      <c r="HLV40" s="27"/>
      <c r="HLW40" s="26"/>
      <c r="HLX40" s="27"/>
      <c r="HLY40" s="26"/>
      <c r="HLZ40" s="27"/>
      <c r="HMA40" s="26"/>
      <c r="HMB40" s="27"/>
      <c r="HMC40" s="26"/>
      <c r="HMD40" s="27"/>
      <c r="HME40" s="26"/>
      <c r="HMF40" s="27"/>
      <c r="HMG40" s="26"/>
      <c r="HMH40" s="27"/>
      <c r="HMI40" s="26"/>
      <c r="HMJ40" s="27"/>
      <c r="HMK40" s="26"/>
      <c r="HML40" s="27"/>
      <c r="HMM40" s="26"/>
      <c r="HMN40" s="27"/>
      <c r="HMO40" s="26"/>
      <c r="HMP40" s="27"/>
      <c r="HMQ40" s="26"/>
      <c r="HMR40" s="27"/>
      <c r="HMS40" s="26"/>
      <c r="HMT40" s="27"/>
      <c r="HMU40" s="26"/>
      <c r="HMV40" s="27"/>
      <c r="HMW40" s="26"/>
      <c r="HMX40" s="27"/>
      <c r="HMY40" s="26"/>
      <c r="HMZ40" s="27"/>
      <c r="HNA40" s="26"/>
      <c r="HNB40" s="27"/>
      <c r="HNC40" s="26"/>
      <c r="HND40" s="27"/>
      <c r="HNE40" s="26"/>
      <c r="HNF40" s="27"/>
      <c r="HNG40" s="26"/>
      <c r="HNH40" s="27"/>
      <c r="HNI40" s="26"/>
      <c r="HNJ40" s="27"/>
      <c r="HNK40" s="26"/>
      <c r="HNL40" s="27"/>
      <c r="HNM40" s="26"/>
      <c r="HNN40" s="27"/>
      <c r="HNO40" s="26"/>
      <c r="HNP40" s="27"/>
      <c r="HNQ40" s="26"/>
      <c r="HNR40" s="27"/>
      <c r="HNS40" s="26"/>
      <c r="HNT40" s="27"/>
      <c r="HNU40" s="26"/>
      <c r="HNV40" s="27"/>
      <c r="HNW40" s="26"/>
      <c r="HNX40" s="27"/>
      <c r="HNY40" s="26"/>
      <c r="HNZ40" s="27"/>
      <c r="HOA40" s="26"/>
      <c r="HOB40" s="27"/>
      <c r="HOC40" s="26"/>
      <c r="HOD40" s="27"/>
      <c r="HOE40" s="26"/>
      <c r="HOF40" s="27"/>
      <c r="HOG40" s="26"/>
      <c r="HOH40" s="27"/>
      <c r="HOI40" s="26"/>
      <c r="HOJ40" s="27"/>
      <c r="HOK40" s="26"/>
      <c r="HOL40" s="27"/>
      <c r="HOM40" s="26"/>
      <c r="HON40" s="27"/>
      <c r="HOO40" s="26"/>
      <c r="HOP40" s="27"/>
      <c r="HOQ40" s="26"/>
      <c r="HOR40" s="27"/>
      <c r="HOS40" s="26"/>
      <c r="HOT40" s="27"/>
      <c r="HOU40" s="26"/>
      <c r="HOV40" s="27"/>
      <c r="HOW40" s="26"/>
      <c r="HOX40" s="27"/>
      <c r="HOY40" s="26"/>
      <c r="HOZ40" s="27"/>
      <c r="HPA40" s="26"/>
      <c r="HPB40" s="27"/>
      <c r="HPC40" s="26"/>
      <c r="HPD40" s="27"/>
      <c r="HPE40" s="26"/>
      <c r="HPF40" s="27"/>
      <c r="HPG40" s="26"/>
      <c r="HPH40" s="27"/>
      <c r="HPI40" s="26"/>
      <c r="HPJ40" s="27"/>
      <c r="HPK40" s="26"/>
      <c r="HPL40" s="27"/>
      <c r="HPM40" s="26"/>
      <c r="HPN40" s="27"/>
      <c r="HPO40" s="26"/>
      <c r="HPP40" s="27"/>
      <c r="HPQ40" s="26"/>
      <c r="HPR40" s="27"/>
      <c r="HPS40" s="26"/>
      <c r="HPT40" s="27"/>
      <c r="HPU40" s="26"/>
      <c r="HPV40" s="27"/>
      <c r="HPW40" s="26"/>
      <c r="HPX40" s="27"/>
      <c r="HPY40" s="26"/>
      <c r="HPZ40" s="27"/>
      <c r="HQA40" s="26"/>
      <c r="HQB40" s="27"/>
      <c r="HQC40" s="26"/>
      <c r="HQD40" s="27"/>
      <c r="HQE40" s="26"/>
      <c r="HQF40" s="27"/>
      <c r="HQG40" s="26"/>
      <c r="HQH40" s="27"/>
      <c r="HQI40" s="26"/>
      <c r="HQJ40" s="27"/>
      <c r="HQK40" s="26"/>
      <c r="HQL40" s="27"/>
      <c r="HQM40" s="26"/>
      <c r="HQN40" s="27"/>
      <c r="HQO40" s="26"/>
      <c r="HQP40" s="27"/>
      <c r="HQQ40" s="26"/>
      <c r="HQR40" s="27"/>
      <c r="HQS40" s="26"/>
      <c r="HQT40" s="27"/>
      <c r="HQU40" s="26"/>
      <c r="HQV40" s="27"/>
      <c r="HQW40" s="26"/>
      <c r="HQX40" s="27"/>
      <c r="HQY40" s="26"/>
      <c r="HQZ40" s="27"/>
      <c r="HRA40" s="26"/>
      <c r="HRB40" s="27"/>
      <c r="HRC40" s="26"/>
      <c r="HRD40" s="27"/>
      <c r="HRE40" s="26"/>
      <c r="HRF40" s="27"/>
      <c r="HRG40" s="26"/>
      <c r="HRH40" s="27"/>
      <c r="HRI40" s="26"/>
      <c r="HRJ40" s="27"/>
      <c r="HRK40" s="26"/>
      <c r="HRL40" s="27"/>
      <c r="HRM40" s="26"/>
      <c r="HRN40" s="27"/>
      <c r="HRO40" s="26"/>
      <c r="HRP40" s="27"/>
      <c r="HRQ40" s="26"/>
      <c r="HRR40" s="27"/>
      <c r="HRS40" s="26"/>
      <c r="HRT40" s="27"/>
      <c r="HRU40" s="26"/>
      <c r="HRV40" s="27"/>
      <c r="HRW40" s="26"/>
      <c r="HRX40" s="27"/>
      <c r="HRY40" s="26"/>
      <c r="HRZ40" s="27"/>
      <c r="HSA40" s="26"/>
      <c r="HSB40" s="27"/>
      <c r="HSC40" s="26"/>
      <c r="HSD40" s="27"/>
      <c r="HSE40" s="26"/>
      <c r="HSF40" s="27"/>
      <c r="HSG40" s="26"/>
      <c r="HSH40" s="27"/>
      <c r="HSI40" s="26"/>
      <c r="HSJ40" s="27"/>
      <c r="HSK40" s="26"/>
      <c r="HSL40" s="27"/>
      <c r="HSM40" s="26"/>
      <c r="HSN40" s="27"/>
      <c r="HSO40" s="26"/>
      <c r="HSP40" s="27"/>
      <c r="HSQ40" s="26"/>
      <c r="HSR40" s="27"/>
      <c r="HSS40" s="26"/>
      <c r="HST40" s="27"/>
      <c r="HSU40" s="26"/>
      <c r="HSV40" s="27"/>
      <c r="HSW40" s="26"/>
      <c r="HSX40" s="27"/>
      <c r="HSY40" s="26"/>
      <c r="HSZ40" s="27"/>
      <c r="HTA40" s="26"/>
      <c r="HTB40" s="27"/>
      <c r="HTC40" s="26"/>
      <c r="HTD40" s="27"/>
      <c r="HTE40" s="26"/>
      <c r="HTF40" s="27"/>
      <c r="HTG40" s="26"/>
      <c r="HTH40" s="27"/>
      <c r="HTI40" s="26"/>
      <c r="HTJ40" s="27"/>
      <c r="HTK40" s="26"/>
      <c r="HTL40" s="27"/>
      <c r="HTM40" s="26"/>
      <c r="HTN40" s="27"/>
      <c r="HTO40" s="26"/>
      <c r="HTP40" s="27"/>
      <c r="HTQ40" s="26"/>
      <c r="HTR40" s="27"/>
      <c r="HTS40" s="26"/>
      <c r="HTT40" s="27"/>
      <c r="HTU40" s="26"/>
      <c r="HTV40" s="27"/>
      <c r="HTW40" s="26"/>
      <c r="HTX40" s="27"/>
      <c r="HTY40" s="26"/>
      <c r="HTZ40" s="27"/>
      <c r="HUA40" s="26"/>
      <c r="HUB40" s="27"/>
      <c r="HUC40" s="26"/>
      <c r="HUD40" s="27"/>
      <c r="HUE40" s="26"/>
      <c r="HUF40" s="27"/>
      <c r="HUG40" s="26"/>
      <c r="HUH40" s="27"/>
      <c r="HUI40" s="26"/>
      <c r="HUJ40" s="27"/>
      <c r="HUK40" s="26"/>
      <c r="HUL40" s="27"/>
      <c r="HUM40" s="26"/>
      <c r="HUN40" s="27"/>
      <c r="HUO40" s="26"/>
      <c r="HUP40" s="27"/>
      <c r="HUQ40" s="26"/>
      <c r="HUR40" s="27"/>
      <c r="HUS40" s="26"/>
      <c r="HUT40" s="27"/>
      <c r="HUU40" s="26"/>
      <c r="HUV40" s="27"/>
      <c r="HUW40" s="26"/>
      <c r="HUX40" s="27"/>
      <c r="HUY40" s="26"/>
      <c r="HUZ40" s="27"/>
      <c r="HVA40" s="26"/>
      <c r="HVB40" s="27"/>
      <c r="HVC40" s="26"/>
      <c r="HVD40" s="27"/>
      <c r="HVE40" s="26"/>
      <c r="HVF40" s="27"/>
      <c r="HVG40" s="26"/>
      <c r="HVH40" s="27"/>
      <c r="HVI40" s="26"/>
      <c r="HVJ40" s="27"/>
      <c r="HVK40" s="26"/>
      <c r="HVL40" s="27"/>
      <c r="HVM40" s="26"/>
      <c r="HVN40" s="27"/>
      <c r="HVO40" s="26"/>
      <c r="HVP40" s="27"/>
      <c r="HVQ40" s="26"/>
      <c r="HVR40" s="27"/>
      <c r="HVS40" s="26"/>
      <c r="HVT40" s="27"/>
      <c r="HVU40" s="26"/>
      <c r="HVV40" s="27"/>
      <c r="HVW40" s="26"/>
      <c r="HVX40" s="27"/>
      <c r="HVY40" s="26"/>
      <c r="HVZ40" s="27"/>
      <c r="HWA40" s="26"/>
      <c r="HWB40" s="27"/>
      <c r="HWC40" s="26"/>
      <c r="HWD40" s="27"/>
      <c r="HWE40" s="26"/>
      <c r="HWF40" s="27"/>
      <c r="HWG40" s="26"/>
      <c r="HWH40" s="27"/>
      <c r="HWI40" s="26"/>
      <c r="HWJ40" s="27"/>
      <c r="HWK40" s="26"/>
      <c r="HWL40" s="27"/>
      <c r="HWM40" s="26"/>
      <c r="HWN40" s="27"/>
      <c r="HWO40" s="26"/>
      <c r="HWP40" s="27"/>
      <c r="HWQ40" s="26"/>
      <c r="HWR40" s="27"/>
      <c r="HWS40" s="26"/>
      <c r="HWT40" s="27"/>
      <c r="HWU40" s="26"/>
      <c r="HWV40" s="27"/>
      <c r="HWW40" s="26"/>
      <c r="HWX40" s="27"/>
      <c r="HWY40" s="26"/>
      <c r="HWZ40" s="27"/>
      <c r="HXA40" s="26"/>
      <c r="HXB40" s="27"/>
      <c r="HXC40" s="26"/>
      <c r="HXD40" s="27"/>
      <c r="HXE40" s="26"/>
      <c r="HXF40" s="27"/>
      <c r="HXG40" s="26"/>
      <c r="HXH40" s="27"/>
      <c r="HXI40" s="26"/>
      <c r="HXJ40" s="27"/>
      <c r="HXK40" s="26"/>
      <c r="HXL40" s="27"/>
      <c r="HXM40" s="26"/>
      <c r="HXN40" s="27"/>
      <c r="HXO40" s="26"/>
      <c r="HXP40" s="27"/>
      <c r="HXQ40" s="26"/>
      <c r="HXR40" s="27"/>
      <c r="HXS40" s="26"/>
      <c r="HXT40" s="27"/>
      <c r="HXU40" s="26"/>
      <c r="HXV40" s="27"/>
      <c r="HXW40" s="26"/>
      <c r="HXX40" s="27"/>
      <c r="HXY40" s="26"/>
      <c r="HXZ40" s="27"/>
      <c r="HYA40" s="26"/>
      <c r="HYB40" s="27"/>
      <c r="HYC40" s="26"/>
      <c r="HYD40" s="27"/>
      <c r="HYE40" s="26"/>
      <c r="HYF40" s="27"/>
      <c r="HYG40" s="26"/>
      <c r="HYH40" s="27"/>
      <c r="HYI40" s="26"/>
      <c r="HYJ40" s="27"/>
      <c r="HYK40" s="26"/>
      <c r="HYL40" s="27"/>
      <c r="HYM40" s="26"/>
      <c r="HYN40" s="27"/>
      <c r="HYO40" s="26"/>
      <c r="HYP40" s="27"/>
      <c r="HYQ40" s="26"/>
      <c r="HYR40" s="27"/>
      <c r="HYS40" s="26"/>
      <c r="HYT40" s="27"/>
      <c r="HYU40" s="26"/>
      <c r="HYV40" s="27"/>
      <c r="HYW40" s="26"/>
      <c r="HYX40" s="27"/>
      <c r="HYY40" s="26"/>
      <c r="HYZ40" s="27"/>
      <c r="HZA40" s="26"/>
      <c r="HZB40" s="27"/>
      <c r="HZC40" s="26"/>
      <c r="HZD40" s="27"/>
      <c r="HZE40" s="26"/>
      <c r="HZF40" s="27"/>
      <c r="HZG40" s="26"/>
      <c r="HZH40" s="27"/>
      <c r="HZI40" s="26"/>
      <c r="HZJ40" s="27"/>
      <c r="HZK40" s="26"/>
      <c r="HZL40" s="27"/>
      <c r="HZM40" s="26"/>
      <c r="HZN40" s="27"/>
      <c r="HZO40" s="26"/>
      <c r="HZP40" s="27"/>
      <c r="HZQ40" s="26"/>
      <c r="HZR40" s="27"/>
      <c r="HZS40" s="26"/>
      <c r="HZT40" s="27"/>
      <c r="HZU40" s="26"/>
      <c r="HZV40" s="27"/>
      <c r="HZW40" s="26"/>
      <c r="HZX40" s="27"/>
      <c r="HZY40" s="26"/>
      <c r="HZZ40" s="27"/>
      <c r="IAA40" s="26"/>
      <c r="IAB40" s="27"/>
      <c r="IAC40" s="26"/>
      <c r="IAD40" s="27"/>
      <c r="IAE40" s="26"/>
      <c r="IAF40" s="27"/>
      <c r="IAG40" s="26"/>
      <c r="IAH40" s="27"/>
      <c r="IAI40" s="26"/>
      <c r="IAJ40" s="27"/>
      <c r="IAK40" s="26"/>
      <c r="IAL40" s="27"/>
      <c r="IAM40" s="26"/>
      <c r="IAN40" s="27"/>
      <c r="IAO40" s="26"/>
      <c r="IAP40" s="27"/>
      <c r="IAQ40" s="26"/>
      <c r="IAR40" s="27"/>
      <c r="IAS40" s="26"/>
      <c r="IAT40" s="27"/>
      <c r="IAU40" s="26"/>
      <c r="IAV40" s="27"/>
      <c r="IAW40" s="26"/>
      <c r="IAX40" s="27"/>
      <c r="IAY40" s="26"/>
      <c r="IAZ40" s="27"/>
      <c r="IBA40" s="26"/>
      <c r="IBB40" s="27"/>
      <c r="IBC40" s="26"/>
      <c r="IBD40" s="27"/>
      <c r="IBE40" s="26"/>
      <c r="IBF40" s="27"/>
      <c r="IBG40" s="26"/>
      <c r="IBH40" s="27"/>
      <c r="IBI40" s="26"/>
      <c r="IBJ40" s="27"/>
      <c r="IBK40" s="26"/>
      <c r="IBL40" s="27"/>
      <c r="IBM40" s="26"/>
      <c r="IBN40" s="27"/>
      <c r="IBO40" s="26"/>
      <c r="IBP40" s="27"/>
      <c r="IBQ40" s="26"/>
      <c r="IBR40" s="27"/>
      <c r="IBS40" s="26"/>
      <c r="IBT40" s="27"/>
      <c r="IBU40" s="26"/>
      <c r="IBV40" s="27"/>
      <c r="IBW40" s="26"/>
      <c r="IBX40" s="27"/>
      <c r="IBY40" s="26"/>
      <c r="IBZ40" s="27"/>
      <c r="ICA40" s="26"/>
      <c r="ICB40" s="27"/>
      <c r="ICC40" s="26"/>
      <c r="ICD40" s="27"/>
      <c r="ICE40" s="26"/>
      <c r="ICF40" s="27"/>
      <c r="ICG40" s="26"/>
      <c r="ICH40" s="27"/>
      <c r="ICI40" s="26"/>
      <c r="ICJ40" s="27"/>
      <c r="ICK40" s="26"/>
      <c r="ICL40" s="27"/>
      <c r="ICM40" s="26"/>
      <c r="ICN40" s="27"/>
      <c r="ICO40" s="26"/>
      <c r="ICP40" s="27"/>
      <c r="ICQ40" s="26"/>
      <c r="ICR40" s="27"/>
      <c r="ICS40" s="26"/>
      <c r="ICT40" s="27"/>
      <c r="ICU40" s="26"/>
      <c r="ICV40" s="27"/>
      <c r="ICW40" s="26"/>
      <c r="ICX40" s="27"/>
      <c r="ICY40" s="26"/>
      <c r="ICZ40" s="27"/>
      <c r="IDA40" s="26"/>
      <c r="IDB40" s="27"/>
      <c r="IDC40" s="26"/>
      <c r="IDD40" s="27"/>
      <c r="IDE40" s="26"/>
      <c r="IDF40" s="27"/>
      <c r="IDG40" s="26"/>
      <c r="IDH40" s="27"/>
      <c r="IDI40" s="26"/>
      <c r="IDJ40" s="27"/>
      <c r="IDK40" s="26"/>
      <c r="IDL40" s="27"/>
      <c r="IDM40" s="26"/>
      <c r="IDN40" s="27"/>
      <c r="IDO40" s="26"/>
      <c r="IDP40" s="27"/>
      <c r="IDQ40" s="26"/>
      <c r="IDR40" s="27"/>
      <c r="IDS40" s="26"/>
      <c r="IDT40" s="27"/>
      <c r="IDU40" s="26"/>
      <c r="IDV40" s="27"/>
      <c r="IDW40" s="26"/>
      <c r="IDX40" s="27"/>
      <c r="IDY40" s="26"/>
      <c r="IDZ40" s="27"/>
      <c r="IEA40" s="26"/>
      <c r="IEB40" s="27"/>
      <c r="IEC40" s="26"/>
      <c r="IED40" s="27"/>
      <c r="IEE40" s="26"/>
      <c r="IEF40" s="27"/>
      <c r="IEG40" s="26"/>
      <c r="IEH40" s="27"/>
      <c r="IEI40" s="26"/>
      <c r="IEJ40" s="27"/>
      <c r="IEK40" s="26"/>
      <c r="IEL40" s="27"/>
      <c r="IEM40" s="26"/>
      <c r="IEN40" s="27"/>
      <c r="IEO40" s="26"/>
      <c r="IEP40" s="27"/>
      <c r="IEQ40" s="26"/>
      <c r="IER40" s="27"/>
      <c r="IES40" s="26"/>
      <c r="IET40" s="27"/>
      <c r="IEU40" s="26"/>
      <c r="IEV40" s="27"/>
      <c r="IEW40" s="26"/>
      <c r="IEX40" s="27"/>
      <c r="IEY40" s="26"/>
      <c r="IEZ40" s="27"/>
      <c r="IFA40" s="26"/>
      <c r="IFB40" s="27"/>
      <c r="IFC40" s="26"/>
      <c r="IFD40" s="27"/>
      <c r="IFE40" s="26"/>
      <c r="IFF40" s="27"/>
      <c r="IFG40" s="26"/>
      <c r="IFH40" s="27"/>
      <c r="IFI40" s="26"/>
      <c r="IFJ40" s="27"/>
      <c r="IFK40" s="26"/>
      <c r="IFL40" s="27"/>
      <c r="IFM40" s="26"/>
      <c r="IFN40" s="27"/>
      <c r="IFO40" s="26"/>
      <c r="IFP40" s="27"/>
      <c r="IFQ40" s="26"/>
      <c r="IFR40" s="27"/>
      <c r="IFS40" s="26"/>
      <c r="IFT40" s="27"/>
      <c r="IFU40" s="26"/>
      <c r="IFV40" s="27"/>
      <c r="IFW40" s="26"/>
      <c r="IFX40" s="27"/>
      <c r="IFY40" s="26"/>
      <c r="IFZ40" s="27"/>
      <c r="IGA40" s="26"/>
      <c r="IGB40" s="27"/>
      <c r="IGC40" s="26"/>
      <c r="IGD40" s="27"/>
      <c r="IGE40" s="26"/>
      <c r="IGF40" s="27"/>
      <c r="IGG40" s="26"/>
      <c r="IGH40" s="27"/>
      <c r="IGI40" s="26"/>
      <c r="IGJ40" s="27"/>
      <c r="IGK40" s="26"/>
      <c r="IGL40" s="27"/>
      <c r="IGM40" s="26"/>
      <c r="IGN40" s="27"/>
      <c r="IGO40" s="26"/>
      <c r="IGP40" s="27"/>
      <c r="IGQ40" s="26"/>
      <c r="IGR40" s="27"/>
      <c r="IGS40" s="26"/>
      <c r="IGT40" s="27"/>
      <c r="IGU40" s="26"/>
      <c r="IGV40" s="27"/>
      <c r="IGW40" s="26"/>
      <c r="IGX40" s="27"/>
      <c r="IGY40" s="26"/>
      <c r="IGZ40" s="27"/>
      <c r="IHA40" s="26"/>
      <c r="IHB40" s="27"/>
      <c r="IHC40" s="26"/>
      <c r="IHD40" s="27"/>
      <c r="IHE40" s="26"/>
      <c r="IHF40" s="27"/>
      <c r="IHG40" s="26"/>
      <c r="IHH40" s="27"/>
      <c r="IHI40" s="26"/>
      <c r="IHJ40" s="27"/>
      <c r="IHK40" s="26"/>
      <c r="IHL40" s="27"/>
      <c r="IHM40" s="26"/>
      <c r="IHN40" s="27"/>
      <c r="IHO40" s="26"/>
      <c r="IHP40" s="27"/>
      <c r="IHQ40" s="26"/>
      <c r="IHR40" s="27"/>
      <c r="IHS40" s="26"/>
      <c r="IHT40" s="27"/>
      <c r="IHU40" s="26"/>
      <c r="IHV40" s="27"/>
      <c r="IHW40" s="26"/>
      <c r="IHX40" s="27"/>
      <c r="IHY40" s="26"/>
      <c r="IHZ40" s="27"/>
      <c r="IIA40" s="26"/>
      <c r="IIB40" s="27"/>
      <c r="IIC40" s="26"/>
      <c r="IID40" s="27"/>
      <c r="IIE40" s="26"/>
      <c r="IIF40" s="27"/>
      <c r="IIG40" s="26"/>
      <c r="IIH40" s="27"/>
      <c r="III40" s="26"/>
      <c r="IIJ40" s="27"/>
      <c r="IIK40" s="26"/>
      <c r="IIL40" s="27"/>
      <c r="IIM40" s="26"/>
      <c r="IIN40" s="27"/>
      <c r="IIO40" s="26"/>
      <c r="IIP40" s="27"/>
      <c r="IIQ40" s="26"/>
      <c r="IIR40" s="27"/>
      <c r="IIS40" s="26"/>
      <c r="IIT40" s="27"/>
      <c r="IIU40" s="26"/>
      <c r="IIV40" s="27"/>
      <c r="IIW40" s="26"/>
      <c r="IIX40" s="27"/>
      <c r="IIY40" s="26"/>
      <c r="IIZ40" s="27"/>
      <c r="IJA40" s="26"/>
      <c r="IJB40" s="27"/>
      <c r="IJC40" s="26"/>
      <c r="IJD40" s="27"/>
      <c r="IJE40" s="26"/>
      <c r="IJF40" s="27"/>
      <c r="IJG40" s="26"/>
      <c r="IJH40" s="27"/>
      <c r="IJI40" s="26"/>
      <c r="IJJ40" s="27"/>
      <c r="IJK40" s="26"/>
      <c r="IJL40" s="27"/>
      <c r="IJM40" s="26"/>
      <c r="IJN40" s="27"/>
      <c r="IJO40" s="26"/>
      <c r="IJP40" s="27"/>
      <c r="IJQ40" s="26"/>
      <c r="IJR40" s="27"/>
      <c r="IJS40" s="26"/>
      <c r="IJT40" s="27"/>
      <c r="IJU40" s="26"/>
      <c r="IJV40" s="27"/>
      <c r="IJW40" s="26"/>
      <c r="IJX40" s="27"/>
      <c r="IJY40" s="26"/>
      <c r="IJZ40" s="27"/>
      <c r="IKA40" s="26"/>
      <c r="IKB40" s="27"/>
      <c r="IKC40" s="26"/>
      <c r="IKD40" s="27"/>
      <c r="IKE40" s="26"/>
      <c r="IKF40" s="27"/>
      <c r="IKG40" s="26"/>
      <c r="IKH40" s="27"/>
      <c r="IKI40" s="26"/>
      <c r="IKJ40" s="27"/>
      <c r="IKK40" s="26"/>
      <c r="IKL40" s="27"/>
      <c r="IKM40" s="26"/>
      <c r="IKN40" s="27"/>
      <c r="IKO40" s="26"/>
      <c r="IKP40" s="27"/>
      <c r="IKQ40" s="26"/>
      <c r="IKR40" s="27"/>
      <c r="IKS40" s="26"/>
      <c r="IKT40" s="27"/>
      <c r="IKU40" s="26"/>
      <c r="IKV40" s="27"/>
      <c r="IKW40" s="26"/>
      <c r="IKX40" s="27"/>
      <c r="IKY40" s="26"/>
      <c r="IKZ40" s="27"/>
      <c r="ILA40" s="26"/>
      <c r="ILB40" s="27"/>
      <c r="ILC40" s="26"/>
      <c r="ILD40" s="27"/>
      <c r="ILE40" s="26"/>
      <c r="ILF40" s="27"/>
      <c r="ILG40" s="26"/>
      <c r="ILH40" s="27"/>
      <c r="ILI40" s="26"/>
      <c r="ILJ40" s="27"/>
      <c r="ILK40" s="26"/>
      <c r="ILL40" s="27"/>
      <c r="ILM40" s="26"/>
      <c r="ILN40" s="27"/>
      <c r="ILO40" s="26"/>
      <c r="ILP40" s="27"/>
      <c r="ILQ40" s="26"/>
      <c r="ILR40" s="27"/>
      <c r="ILS40" s="26"/>
      <c r="ILT40" s="27"/>
      <c r="ILU40" s="26"/>
      <c r="ILV40" s="27"/>
      <c r="ILW40" s="26"/>
      <c r="ILX40" s="27"/>
      <c r="ILY40" s="26"/>
      <c r="ILZ40" s="27"/>
      <c r="IMA40" s="26"/>
      <c r="IMB40" s="27"/>
      <c r="IMC40" s="26"/>
      <c r="IMD40" s="27"/>
      <c r="IME40" s="26"/>
      <c r="IMF40" s="27"/>
      <c r="IMG40" s="26"/>
      <c r="IMH40" s="27"/>
      <c r="IMI40" s="26"/>
      <c r="IMJ40" s="27"/>
      <c r="IMK40" s="26"/>
      <c r="IML40" s="27"/>
      <c r="IMM40" s="26"/>
      <c r="IMN40" s="27"/>
      <c r="IMO40" s="26"/>
      <c r="IMP40" s="27"/>
      <c r="IMQ40" s="26"/>
      <c r="IMR40" s="27"/>
      <c r="IMS40" s="26"/>
      <c r="IMT40" s="27"/>
      <c r="IMU40" s="26"/>
      <c r="IMV40" s="27"/>
      <c r="IMW40" s="26"/>
      <c r="IMX40" s="27"/>
      <c r="IMY40" s="26"/>
      <c r="IMZ40" s="27"/>
      <c r="INA40" s="26"/>
      <c r="INB40" s="27"/>
      <c r="INC40" s="26"/>
      <c r="IND40" s="27"/>
      <c r="INE40" s="26"/>
      <c r="INF40" s="27"/>
      <c r="ING40" s="26"/>
      <c r="INH40" s="27"/>
      <c r="INI40" s="26"/>
      <c r="INJ40" s="27"/>
      <c r="INK40" s="26"/>
      <c r="INL40" s="27"/>
      <c r="INM40" s="26"/>
      <c r="INN40" s="27"/>
      <c r="INO40" s="26"/>
      <c r="INP40" s="27"/>
      <c r="INQ40" s="26"/>
      <c r="INR40" s="27"/>
      <c r="INS40" s="26"/>
      <c r="INT40" s="27"/>
      <c r="INU40" s="26"/>
      <c r="INV40" s="27"/>
      <c r="INW40" s="26"/>
      <c r="INX40" s="27"/>
      <c r="INY40" s="26"/>
      <c r="INZ40" s="27"/>
      <c r="IOA40" s="26"/>
      <c r="IOB40" s="27"/>
      <c r="IOC40" s="26"/>
      <c r="IOD40" s="27"/>
      <c r="IOE40" s="26"/>
      <c r="IOF40" s="27"/>
      <c r="IOG40" s="26"/>
      <c r="IOH40" s="27"/>
      <c r="IOI40" s="26"/>
      <c r="IOJ40" s="27"/>
      <c r="IOK40" s="26"/>
      <c r="IOL40" s="27"/>
      <c r="IOM40" s="26"/>
      <c r="ION40" s="27"/>
      <c r="IOO40" s="26"/>
      <c r="IOP40" s="27"/>
      <c r="IOQ40" s="26"/>
      <c r="IOR40" s="27"/>
      <c r="IOS40" s="26"/>
      <c r="IOT40" s="27"/>
      <c r="IOU40" s="26"/>
      <c r="IOV40" s="27"/>
      <c r="IOW40" s="26"/>
      <c r="IOX40" s="27"/>
      <c r="IOY40" s="26"/>
      <c r="IOZ40" s="27"/>
      <c r="IPA40" s="26"/>
      <c r="IPB40" s="27"/>
      <c r="IPC40" s="26"/>
      <c r="IPD40" s="27"/>
      <c r="IPE40" s="26"/>
      <c r="IPF40" s="27"/>
      <c r="IPG40" s="26"/>
      <c r="IPH40" s="27"/>
      <c r="IPI40" s="26"/>
      <c r="IPJ40" s="27"/>
      <c r="IPK40" s="26"/>
      <c r="IPL40" s="27"/>
      <c r="IPM40" s="26"/>
      <c r="IPN40" s="27"/>
      <c r="IPO40" s="26"/>
      <c r="IPP40" s="27"/>
      <c r="IPQ40" s="26"/>
      <c r="IPR40" s="27"/>
      <c r="IPS40" s="26"/>
      <c r="IPT40" s="27"/>
      <c r="IPU40" s="26"/>
      <c r="IPV40" s="27"/>
      <c r="IPW40" s="26"/>
      <c r="IPX40" s="27"/>
      <c r="IPY40" s="26"/>
      <c r="IPZ40" s="27"/>
      <c r="IQA40" s="26"/>
      <c r="IQB40" s="27"/>
      <c r="IQC40" s="26"/>
      <c r="IQD40" s="27"/>
      <c r="IQE40" s="26"/>
      <c r="IQF40" s="27"/>
      <c r="IQG40" s="26"/>
      <c r="IQH40" s="27"/>
      <c r="IQI40" s="26"/>
      <c r="IQJ40" s="27"/>
      <c r="IQK40" s="26"/>
      <c r="IQL40" s="27"/>
      <c r="IQM40" s="26"/>
      <c r="IQN40" s="27"/>
      <c r="IQO40" s="26"/>
      <c r="IQP40" s="27"/>
      <c r="IQQ40" s="26"/>
      <c r="IQR40" s="27"/>
      <c r="IQS40" s="26"/>
      <c r="IQT40" s="27"/>
      <c r="IQU40" s="26"/>
      <c r="IQV40" s="27"/>
      <c r="IQW40" s="26"/>
      <c r="IQX40" s="27"/>
      <c r="IQY40" s="26"/>
      <c r="IQZ40" s="27"/>
      <c r="IRA40" s="26"/>
      <c r="IRB40" s="27"/>
      <c r="IRC40" s="26"/>
      <c r="IRD40" s="27"/>
      <c r="IRE40" s="26"/>
      <c r="IRF40" s="27"/>
      <c r="IRG40" s="26"/>
      <c r="IRH40" s="27"/>
      <c r="IRI40" s="26"/>
      <c r="IRJ40" s="27"/>
      <c r="IRK40" s="26"/>
      <c r="IRL40" s="27"/>
      <c r="IRM40" s="26"/>
      <c r="IRN40" s="27"/>
      <c r="IRO40" s="26"/>
      <c r="IRP40" s="27"/>
      <c r="IRQ40" s="26"/>
      <c r="IRR40" s="27"/>
      <c r="IRS40" s="26"/>
      <c r="IRT40" s="27"/>
      <c r="IRU40" s="26"/>
      <c r="IRV40" s="27"/>
      <c r="IRW40" s="26"/>
      <c r="IRX40" s="27"/>
      <c r="IRY40" s="26"/>
      <c r="IRZ40" s="27"/>
      <c r="ISA40" s="26"/>
      <c r="ISB40" s="27"/>
      <c r="ISC40" s="26"/>
      <c r="ISD40" s="27"/>
      <c r="ISE40" s="26"/>
      <c r="ISF40" s="27"/>
      <c r="ISG40" s="26"/>
      <c r="ISH40" s="27"/>
      <c r="ISI40" s="26"/>
      <c r="ISJ40" s="27"/>
      <c r="ISK40" s="26"/>
      <c r="ISL40" s="27"/>
      <c r="ISM40" s="26"/>
      <c r="ISN40" s="27"/>
      <c r="ISO40" s="26"/>
      <c r="ISP40" s="27"/>
      <c r="ISQ40" s="26"/>
      <c r="ISR40" s="27"/>
      <c r="ISS40" s="26"/>
      <c r="IST40" s="27"/>
      <c r="ISU40" s="26"/>
      <c r="ISV40" s="27"/>
      <c r="ISW40" s="26"/>
      <c r="ISX40" s="27"/>
      <c r="ISY40" s="26"/>
      <c r="ISZ40" s="27"/>
      <c r="ITA40" s="26"/>
      <c r="ITB40" s="27"/>
      <c r="ITC40" s="26"/>
      <c r="ITD40" s="27"/>
      <c r="ITE40" s="26"/>
      <c r="ITF40" s="27"/>
      <c r="ITG40" s="26"/>
      <c r="ITH40" s="27"/>
      <c r="ITI40" s="26"/>
      <c r="ITJ40" s="27"/>
      <c r="ITK40" s="26"/>
      <c r="ITL40" s="27"/>
      <c r="ITM40" s="26"/>
      <c r="ITN40" s="27"/>
      <c r="ITO40" s="26"/>
      <c r="ITP40" s="27"/>
      <c r="ITQ40" s="26"/>
      <c r="ITR40" s="27"/>
      <c r="ITS40" s="26"/>
      <c r="ITT40" s="27"/>
      <c r="ITU40" s="26"/>
      <c r="ITV40" s="27"/>
      <c r="ITW40" s="26"/>
      <c r="ITX40" s="27"/>
      <c r="ITY40" s="26"/>
      <c r="ITZ40" s="27"/>
      <c r="IUA40" s="26"/>
      <c r="IUB40" s="27"/>
      <c r="IUC40" s="26"/>
      <c r="IUD40" s="27"/>
      <c r="IUE40" s="26"/>
      <c r="IUF40" s="27"/>
      <c r="IUG40" s="26"/>
      <c r="IUH40" s="27"/>
      <c r="IUI40" s="26"/>
      <c r="IUJ40" s="27"/>
      <c r="IUK40" s="26"/>
      <c r="IUL40" s="27"/>
      <c r="IUM40" s="26"/>
      <c r="IUN40" s="27"/>
      <c r="IUO40" s="26"/>
      <c r="IUP40" s="27"/>
      <c r="IUQ40" s="26"/>
      <c r="IUR40" s="27"/>
      <c r="IUS40" s="26"/>
      <c r="IUT40" s="27"/>
      <c r="IUU40" s="26"/>
      <c r="IUV40" s="27"/>
      <c r="IUW40" s="26"/>
      <c r="IUX40" s="27"/>
      <c r="IUY40" s="26"/>
      <c r="IUZ40" s="27"/>
      <c r="IVA40" s="26"/>
      <c r="IVB40" s="27"/>
      <c r="IVC40" s="26"/>
      <c r="IVD40" s="27"/>
      <c r="IVE40" s="26"/>
      <c r="IVF40" s="27"/>
      <c r="IVG40" s="26"/>
      <c r="IVH40" s="27"/>
      <c r="IVI40" s="26"/>
      <c r="IVJ40" s="27"/>
      <c r="IVK40" s="26"/>
      <c r="IVL40" s="27"/>
      <c r="IVM40" s="26"/>
      <c r="IVN40" s="27"/>
      <c r="IVO40" s="26"/>
      <c r="IVP40" s="27"/>
      <c r="IVQ40" s="26"/>
      <c r="IVR40" s="27"/>
      <c r="IVS40" s="26"/>
      <c r="IVT40" s="27"/>
      <c r="IVU40" s="26"/>
      <c r="IVV40" s="27"/>
      <c r="IVW40" s="26"/>
      <c r="IVX40" s="27"/>
      <c r="IVY40" s="26"/>
      <c r="IVZ40" s="27"/>
      <c r="IWA40" s="26"/>
      <c r="IWB40" s="27"/>
      <c r="IWC40" s="26"/>
      <c r="IWD40" s="27"/>
      <c r="IWE40" s="26"/>
      <c r="IWF40" s="27"/>
      <c r="IWG40" s="26"/>
      <c r="IWH40" s="27"/>
      <c r="IWI40" s="26"/>
      <c r="IWJ40" s="27"/>
      <c r="IWK40" s="26"/>
      <c r="IWL40" s="27"/>
      <c r="IWM40" s="26"/>
      <c r="IWN40" s="27"/>
      <c r="IWO40" s="26"/>
      <c r="IWP40" s="27"/>
      <c r="IWQ40" s="26"/>
      <c r="IWR40" s="27"/>
      <c r="IWS40" s="26"/>
      <c r="IWT40" s="27"/>
      <c r="IWU40" s="26"/>
      <c r="IWV40" s="27"/>
      <c r="IWW40" s="26"/>
      <c r="IWX40" s="27"/>
      <c r="IWY40" s="26"/>
      <c r="IWZ40" s="27"/>
      <c r="IXA40" s="26"/>
      <c r="IXB40" s="27"/>
      <c r="IXC40" s="26"/>
      <c r="IXD40" s="27"/>
      <c r="IXE40" s="26"/>
      <c r="IXF40" s="27"/>
      <c r="IXG40" s="26"/>
      <c r="IXH40" s="27"/>
      <c r="IXI40" s="26"/>
      <c r="IXJ40" s="27"/>
      <c r="IXK40" s="26"/>
      <c r="IXL40" s="27"/>
      <c r="IXM40" s="26"/>
      <c r="IXN40" s="27"/>
      <c r="IXO40" s="26"/>
      <c r="IXP40" s="27"/>
      <c r="IXQ40" s="26"/>
      <c r="IXR40" s="27"/>
      <c r="IXS40" s="26"/>
      <c r="IXT40" s="27"/>
      <c r="IXU40" s="26"/>
      <c r="IXV40" s="27"/>
      <c r="IXW40" s="26"/>
      <c r="IXX40" s="27"/>
      <c r="IXY40" s="26"/>
      <c r="IXZ40" s="27"/>
      <c r="IYA40" s="26"/>
      <c r="IYB40" s="27"/>
      <c r="IYC40" s="26"/>
      <c r="IYD40" s="27"/>
      <c r="IYE40" s="26"/>
      <c r="IYF40" s="27"/>
      <c r="IYG40" s="26"/>
      <c r="IYH40" s="27"/>
      <c r="IYI40" s="26"/>
      <c r="IYJ40" s="27"/>
      <c r="IYK40" s="26"/>
      <c r="IYL40" s="27"/>
      <c r="IYM40" s="26"/>
      <c r="IYN40" s="27"/>
      <c r="IYO40" s="26"/>
      <c r="IYP40" s="27"/>
      <c r="IYQ40" s="26"/>
      <c r="IYR40" s="27"/>
      <c r="IYS40" s="26"/>
      <c r="IYT40" s="27"/>
      <c r="IYU40" s="26"/>
      <c r="IYV40" s="27"/>
      <c r="IYW40" s="26"/>
      <c r="IYX40" s="27"/>
      <c r="IYY40" s="26"/>
      <c r="IYZ40" s="27"/>
      <c r="IZA40" s="26"/>
      <c r="IZB40" s="27"/>
      <c r="IZC40" s="26"/>
      <c r="IZD40" s="27"/>
      <c r="IZE40" s="26"/>
      <c r="IZF40" s="27"/>
      <c r="IZG40" s="26"/>
      <c r="IZH40" s="27"/>
      <c r="IZI40" s="26"/>
      <c r="IZJ40" s="27"/>
      <c r="IZK40" s="26"/>
      <c r="IZL40" s="27"/>
      <c r="IZM40" s="26"/>
      <c r="IZN40" s="27"/>
      <c r="IZO40" s="26"/>
      <c r="IZP40" s="27"/>
      <c r="IZQ40" s="26"/>
      <c r="IZR40" s="27"/>
      <c r="IZS40" s="26"/>
      <c r="IZT40" s="27"/>
      <c r="IZU40" s="26"/>
      <c r="IZV40" s="27"/>
      <c r="IZW40" s="26"/>
      <c r="IZX40" s="27"/>
      <c r="IZY40" s="26"/>
      <c r="IZZ40" s="27"/>
      <c r="JAA40" s="26"/>
      <c r="JAB40" s="27"/>
      <c r="JAC40" s="26"/>
      <c r="JAD40" s="27"/>
      <c r="JAE40" s="26"/>
      <c r="JAF40" s="27"/>
      <c r="JAG40" s="26"/>
      <c r="JAH40" s="27"/>
      <c r="JAI40" s="26"/>
      <c r="JAJ40" s="27"/>
      <c r="JAK40" s="26"/>
      <c r="JAL40" s="27"/>
      <c r="JAM40" s="26"/>
      <c r="JAN40" s="27"/>
      <c r="JAO40" s="26"/>
      <c r="JAP40" s="27"/>
      <c r="JAQ40" s="26"/>
      <c r="JAR40" s="27"/>
      <c r="JAS40" s="26"/>
      <c r="JAT40" s="27"/>
      <c r="JAU40" s="26"/>
      <c r="JAV40" s="27"/>
      <c r="JAW40" s="26"/>
      <c r="JAX40" s="27"/>
      <c r="JAY40" s="26"/>
      <c r="JAZ40" s="27"/>
      <c r="JBA40" s="26"/>
      <c r="JBB40" s="27"/>
      <c r="JBC40" s="26"/>
      <c r="JBD40" s="27"/>
      <c r="JBE40" s="26"/>
      <c r="JBF40" s="27"/>
      <c r="JBG40" s="26"/>
      <c r="JBH40" s="27"/>
      <c r="JBI40" s="26"/>
      <c r="JBJ40" s="27"/>
      <c r="JBK40" s="26"/>
      <c r="JBL40" s="27"/>
      <c r="JBM40" s="26"/>
      <c r="JBN40" s="27"/>
      <c r="JBO40" s="26"/>
      <c r="JBP40" s="27"/>
      <c r="JBQ40" s="26"/>
      <c r="JBR40" s="27"/>
      <c r="JBS40" s="26"/>
      <c r="JBT40" s="27"/>
      <c r="JBU40" s="26"/>
      <c r="JBV40" s="27"/>
      <c r="JBW40" s="26"/>
      <c r="JBX40" s="27"/>
      <c r="JBY40" s="26"/>
      <c r="JBZ40" s="27"/>
      <c r="JCA40" s="26"/>
      <c r="JCB40" s="27"/>
      <c r="JCC40" s="26"/>
      <c r="JCD40" s="27"/>
      <c r="JCE40" s="26"/>
      <c r="JCF40" s="27"/>
      <c r="JCG40" s="26"/>
      <c r="JCH40" s="27"/>
      <c r="JCI40" s="26"/>
      <c r="JCJ40" s="27"/>
      <c r="JCK40" s="26"/>
      <c r="JCL40" s="27"/>
      <c r="JCM40" s="26"/>
      <c r="JCN40" s="27"/>
      <c r="JCO40" s="26"/>
      <c r="JCP40" s="27"/>
      <c r="JCQ40" s="26"/>
      <c r="JCR40" s="27"/>
      <c r="JCS40" s="26"/>
      <c r="JCT40" s="27"/>
      <c r="JCU40" s="26"/>
      <c r="JCV40" s="27"/>
      <c r="JCW40" s="26"/>
      <c r="JCX40" s="27"/>
      <c r="JCY40" s="26"/>
      <c r="JCZ40" s="27"/>
      <c r="JDA40" s="26"/>
      <c r="JDB40" s="27"/>
      <c r="JDC40" s="26"/>
      <c r="JDD40" s="27"/>
      <c r="JDE40" s="26"/>
      <c r="JDF40" s="27"/>
      <c r="JDG40" s="26"/>
      <c r="JDH40" s="27"/>
      <c r="JDI40" s="26"/>
      <c r="JDJ40" s="27"/>
      <c r="JDK40" s="26"/>
      <c r="JDL40" s="27"/>
      <c r="JDM40" s="26"/>
      <c r="JDN40" s="27"/>
      <c r="JDO40" s="26"/>
      <c r="JDP40" s="27"/>
      <c r="JDQ40" s="26"/>
      <c r="JDR40" s="27"/>
      <c r="JDS40" s="26"/>
      <c r="JDT40" s="27"/>
      <c r="JDU40" s="26"/>
      <c r="JDV40" s="27"/>
      <c r="JDW40" s="26"/>
      <c r="JDX40" s="27"/>
      <c r="JDY40" s="26"/>
      <c r="JDZ40" s="27"/>
      <c r="JEA40" s="26"/>
      <c r="JEB40" s="27"/>
      <c r="JEC40" s="26"/>
      <c r="JED40" s="27"/>
      <c r="JEE40" s="26"/>
      <c r="JEF40" s="27"/>
      <c r="JEG40" s="26"/>
      <c r="JEH40" s="27"/>
      <c r="JEI40" s="26"/>
      <c r="JEJ40" s="27"/>
      <c r="JEK40" s="26"/>
      <c r="JEL40" s="27"/>
      <c r="JEM40" s="26"/>
      <c r="JEN40" s="27"/>
      <c r="JEO40" s="26"/>
      <c r="JEP40" s="27"/>
      <c r="JEQ40" s="26"/>
      <c r="JER40" s="27"/>
      <c r="JES40" s="26"/>
      <c r="JET40" s="27"/>
      <c r="JEU40" s="26"/>
      <c r="JEV40" s="27"/>
      <c r="JEW40" s="26"/>
      <c r="JEX40" s="27"/>
      <c r="JEY40" s="26"/>
      <c r="JEZ40" s="27"/>
      <c r="JFA40" s="26"/>
      <c r="JFB40" s="27"/>
      <c r="JFC40" s="26"/>
      <c r="JFD40" s="27"/>
      <c r="JFE40" s="26"/>
      <c r="JFF40" s="27"/>
      <c r="JFG40" s="26"/>
      <c r="JFH40" s="27"/>
      <c r="JFI40" s="26"/>
      <c r="JFJ40" s="27"/>
      <c r="JFK40" s="26"/>
      <c r="JFL40" s="27"/>
      <c r="JFM40" s="26"/>
      <c r="JFN40" s="27"/>
      <c r="JFO40" s="26"/>
      <c r="JFP40" s="27"/>
      <c r="JFQ40" s="26"/>
      <c r="JFR40" s="27"/>
      <c r="JFS40" s="26"/>
      <c r="JFT40" s="27"/>
      <c r="JFU40" s="26"/>
      <c r="JFV40" s="27"/>
      <c r="JFW40" s="26"/>
      <c r="JFX40" s="27"/>
      <c r="JFY40" s="26"/>
      <c r="JFZ40" s="27"/>
      <c r="JGA40" s="26"/>
      <c r="JGB40" s="27"/>
      <c r="JGC40" s="26"/>
      <c r="JGD40" s="27"/>
      <c r="JGE40" s="26"/>
      <c r="JGF40" s="27"/>
      <c r="JGG40" s="26"/>
      <c r="JGH40" s="27"/>
      <c r="JGI40" s="26"/>
      <c r="JGJ40" s="27"/>
      <c r="JGK40" s="26"/>
      <c r="JGL40" s="27"/>
      <c r="JGM40" s="26"/>
      <c r="JGN40" s="27"/>
      <c r="JGO40" s="26"/>
      <c r="JGP40" s="27"/>
      <c r="JGQ40" s="26"/>
      <c r="JGR40" s="27"/>
      <c r="JGS40" s="26"/>
      <c r="JGT40" s="27"/>
      <c r="JGU40" s="26"/>
      <c r="JGV40" s="27"/>
      <c r="JGW40" s="26"/>
      <c r="JGX40" s="27"/>
      <c r="JGY40" s="26"/>
      <c r="JGZ40" s="27"/>
      <c r="JHA40" s="26"/>
      <c r="JHB40" s="27"/>
      <c r="JHC40" s="26"/>
      <c r="JHD40" s="27"/>
      <c r="JHE40" s="26"/>
      <c r="JHF40" s="27"/>
      <c r="JHG40" s="26"/>
      <c r="JHH40" s="27"/>
      <c r="JHI40" s="26"/>
      <c r="JHJ40" s="27"/>
      <c r="JHK40" s="26"/>
      <c r="JHL40" s="27"/>
      <c r="JHM40" s="26"/>
      <c r="JHN40" s="27"/>
      <c r="JHO40" s="26"/>
      <c r="JHP40" s="27"/>
      <c r="JHQ40" s="26"/>
      <c r="JHR40" s="27"/>
      <c r="JHS40" s="26"/>
      <c r="JHT40" s="27"/>
      <c r="JHU40" s="26"/>
      <c r="JHV40" s="27"/>
      <c r="JHW40" s="26"/>
      <c r="JHX40" s="27"/>
      <c r="JHY40" s="26"/>
      <c r="JHZ40" s="27"/>
      <c r="JIA40" s="26"/>
      <c r="JIB40" s="27"/>
      <c r="JIC40" s="26"/>
      <c r="JID40" s="27"/>
      <c r="JIE40" s="26"/>
      <c r="JIF40" s="27"/>
      <c r="JIG40" s="26"/>
      <c r="JIH40" s="27"/>
      <c r="JII40" s="26"/>
      <c r="JIJ40" s="27"/>
      <c r="JIK40" s="26"/>
      <c r="JIL40" s="27"/>
      <c r="JIM40" s="26"/>
      <c r="JIN40" s="27"/>
      <c r="JIO40" s="26"/>
      <c r="JIP40" s="27"/>
      <c r="JIQ40" s="26"/>
      <c r="JIR40" s="27"/>
      <c r="JIS40" s="26"/>
      <c r="JIT40" s="27"/>
      <c r="JIU40" s="26"/>
      <c r="JIV40" s="27"/>
      <c r="JIW40" s="26"/>
      <c r="JIX40" s="27"/>
      <c r="JIY40" s="26"/>
      <c r="JIZ40" s="27"/>
      <c r="JJA40" s="26"/>
      <c r="JJB40" s="27"/>
      <c r="JJC40" s="26"/>
      <c r="JJD40" s="27"/>
      <c r="JJE40" s="26"/>
      <c r="JJF40" s="27"/>
      <c r="JJG40" s="26"/>
      <c r="JJH40" s="27"/>
      <c r="JJI40" s="26"/>
      <c r="JJJ40" s="27"/>
      <c r="JJK40" s="26"/>
      <c r="JJL40" s="27"/>
      <c r="JJM40" s="26"/>
      <c r="JJN40" s="27"/>
      <c r="JJO40" s="26"/>
      <c r="JJP40" s="27"/>
      <c r="JJQ40" s="26"/>
      <c r="JJR40" s="27"/>
      <c r="JJS40" s="26"/>
      <c r="JJT40" s="27"/>
      <c r="JJU40" s="26"/>
      <c r="JJV40" s="27"/>
      <c r="JJW40" s="26"/>
      <c r="JJX40" s="27"/>
      <c r="JJY40" s="26"/>
      <c r="JJZ40" s="27"/>
      <c r="JKA40" s="26"/>
      <c r="JKB40" s="27"/>
      <c r="JKC40" s="26"/>
      <c r="JKD40" s="27"/>
      <c r="JKE40" s="26"/>
      <c r="JKF40" s="27"/>
      <c r="JKG40" s="26"/>
      <c r="JKH40" s="27"/>
      <c r="JKI40" s="26"/>
      <c r="JKJ40" s="27"/>
      <c r="JKK40" s="26"/>
      <c r="JKL40" s="27"/>
      <c r="JKM40" s="26"/>
      <c r="JKN40" s="27"/>
      <c r="JKO40" s="26"/>
      <c r="JKP40" s="27"/>
      <c r="JKQ40" s="26"/>
      <c r="JKR40" s="27"/>
      <c r="JKS40" s="26"/>
      <c r="JKT40" s="27"/>
      <c r="JKU40" s="26"/>
      <c r="JKV40" s="27"/>
      <c r="JKW40" s="26"/>
      <c r="JKX40" s="27"/>
      <c r="JKY40" s="26"/>
      <c r="JKZ40" s="27"/>
      <c r="JLA40" s="26"/>
      <c r="JLB40" s="27"/>
      <c r="JLC40" s="26"/>
      <c r="JLD40" s="27"/>
      <c r="JLE40" s="26"/>
      <c r="JLF40" s="27"/>
      <c r="JLG40" s="26"/>
      <c r="JLH40" s="27"/>
      <c r="JLI40" s="26"/>
      <c r="JLJ40" s="27"/>
      <c r="JLK40" s="26"/>
      <c r="JLL40" s="27"/>
      <c r="JLM40" s="26"/>
      <c r="JLN40" s="27"/>
      <c r="JLO40" s="26"/>
      <c r="JLP40" s="27"/>
      <c r="JLQ40" s="26"/>
      <c r="JLR40" s="27"/>
      <c r="JLS40" s="26"/>
      <c r="JLT40" s="27"/>
      <c r="JLU40" s="26"/>
      <c r="JLV40" s="27"/>
      <c r="JLW40" s="26"/>
      <c r="JLX40" s="27"/>
      <c r="JLY40" s="26"/>
      <c r="JLZ40" s="27"/>
      <c r="JMA40" s="26"/>
      <c r="JMB40" s="27"/>
      <c r="JMC40" s="26"/>
      <c r="JMD40" s="27"/>
      <c r="JME40" s="26"/>
      <c r="JMF40" s="27"/>
      <c r="JMG40" s="26"/>
      <c r="JMH40" s="27"/>
      <c r="JMI40" s="26"/>
      <c r="JMJ40" s="27"/>
      <c r="JMK40" s="26"/>
      <c r="JML40" s="27"/>
      <c r="JMM40" s="26"/>
      <c r="JMN40" s="27"/>
      <c r="JMO40" s="26"/>
      <c r="JMP40" s="27"/>
      <c r="JMQ40" s="26"/>
      <c r="JMR40" s="27"/>
      <c r="JMS40" s="26"/>
      <c r="JMT40" s="27"/>
      <c r="JMU40" s="26"/>
      <c r="JMV40" s="27"/>
      <c r="JMW40" s="26"/>
      <c r="JMX40" s="27"/>
      <c r="JMY40" s="26"/>
      <c r="JMZ40" s="27"/>
      <c r="JNA40" s="26"/>
      <c r="JNB40" s="27"/>
      <c r="JNC40" s="26"/>
      <c r="JND40" s="27"/>
      <c r="JNE40" s="26"/>
      <c r="JNF40" s="27"/>
      <c r="JNG40" s="26"/>
      <c r="JNH40" s="27"/>
      <c r="JNI40" s="26"/>
      <c r="JNJ40" s="27"/>
      <c r="JNK40" s="26"/>
      <c r="JNL40" s="27"/>
      <c r="JNM40" s="26"/>
      <c r="JNN40" s="27"/>
      <c r="JNO40" s="26"/>
      <c r="JNP40" s="27"/>
      <c r="JNQ40" s="26"/>
      <c r="JNR40" s="27"/>
      <c r="JNS40" s="26"/>
      <c r="JNT40" s="27"/>
      <c r="JNU40" s="26"/>
      <c r="JNV40" s="27"/>
      <c r="JNW40" s="26"/>
      <c r="JNX40" s="27"/>
      <c r="JNY40" s="26"/>
      <c r="JNZ40" s="27"/>
      <c r="JOA40" s="26"/>
      <c r="JOB40" s="27"/>
      <c r="JOC40" s="26"/>
      <c r="JOD40" s="27"/>
      <c r="JOE40" s="26"/>
      <c r="JOF40" s="27"/>
      <c r="JOG40" s="26"/>
      <c r="JOH40" s="27"/>
      <c r="JOI40" s="26"/>
      <c r="JOJ40" s="27"/>
      <c r="JOK40" s="26"/>
      <c r="JOL40" s="27"/>
      <c r="JOM40" s="26"/>
      <c r="JON40" s="27"/>
      <c r="JOO40" s="26"/>
      <c r="JOP40" s="27"/>
      <c r="JOQ40" s="26"/>
      <c r="JOR40" s="27"/>
      <c r="JOS40" s="26"/>
      <c r="JOT40" s="27"/>
      <c r="JOU40" s="26"/>
      <c r="JOV40" s="27"/>
      <c r="JOW40" s="26"/>
      <c r="JOX40" s="27"/>
      <c r="JOY40" s="26"/>
      <c r="JOZ40" s="27"/>
      <c r="JPA40" s="26"/>
      <c r="JPB40" s="27"/>
      <c r="JPC40" s="26"/>
      <c r="JPD40" s="27"/>
      <c r="JPE40" s="26"/>
      <c r="JPF40" s="27"/>
      <c r="JPG40" s="26"/>
      <c r="JPH40" s="27"/>
      <c r="JPI40" s="26"/>
      <c r="JPJ40" s="27"/>
      <c r="JPK40" s="26"/>
      <c r="JPL40" s="27"/>
      <c r="JPM40" s="26"/>
      <c r="JPN40" s="27"/>
      <c r="JPO40" s="26"/>
      <c r="JPP40" s="27"/>
      <c r="JPQ40" s="26"/>
      <c r="JPR40" s="27"/>
      <c r="JPS40" s="26"/>
      <c r="JPT40" s="27"/>
      <c r="JPU40" s="26"/>
      <c r="JPV40" s="27"/>
      <c r="JPW40" s="26"/>
      <c r="JPX40" s="27"/>
      <c r="JPY40" s="26"/>
      <c r="JPZ40" s="27"/>
      <c r="JQA40" s="26"/>
      <c r="JQB40" s="27"/>
      <c r="JQC40" s="26"/>
      <c r="JQD40" s="27"/>
      <c r="JQE40" s="26"/>
      <c r="JQF40" s="27"/>
      <c r="JQG40" s="26"/>
      <c r="JQH40" s="27"/>
      <c r="JQI40" s="26"/>
      <c r="JQJ40" s="27"/>
      <c r="JQK40" s="26"/>
      <c r="JQL40" s="27"/>
      <c r="JQM40" s="26"/>
      <c r="JQN40" s="27"/>
      <c r="JQO40" s="26"/>
      <c r="JQP40" s="27"/>
      <c r="JQQ40" s="26"/>
      <c r="JQR40" s="27"/>
      <c r="JQS40" s="26"/>
      <c r="JQT40" s="27"/>
      <c r="JQU40" s="26"/>
      <c r="JQV40" s="27"/>
      <c r="JQW40" s="26"/>
      <c r="JQX40" s="27"/>
      <c r="JQY40" s="26"/>
      <c r="JQZ40" s="27"/>
      <c r="JRA40" s="26"/>
      <c r="JRB40" s="27"/>
      <c r="JRC40" s="26"/>
      <c r="JRD40" s="27"/>
      <c r="JRE40" s="26"/>
      <c r="JRF40" s="27"/>
      <c r="JRG40" s="26"/>
      <c r="JRH40" s="27"/>
      <c r="JRI40" s="26"/>
      <c r="JRJ40" s="27"/>
      <c r="JRK40" s="26"/>
      <c r="JRL40" s="27"/>
      <c r="JRM40" s="26"/>
      <c r="JRN40" s="27"/>
      <c r="JRO40" s="26"/>
      <c r="JRP40" s="27"/>
      <c r="JRQ40" s="26"/>
      <c r="JRR40" s="27"/>
      <c r="JRS40" s="26"/>
      <c r="JRT40" s="27"/>
      <c r="JRU40" s="26"/>
      <c r="JRV40" s="27"/>
      <c r="JRW40" s="26"/>
      <c r="JRX40" s="27"/>
      <c r="JRY40" s="26"/>
      <c r="JRZ40" s="27"/>
      <c r="JSA40" s="26"/>
      <c r="JSB40" s="27"/>
      <c r="JSC40" s="26"/>
      <c r="JSD40" s="27"/>
      <c r="JSE40" s="26"/>
      <c r="JSF40" s="27"/>
      <c r="JSG40" s="26"/>
      <c r="JSH40" s="27"/>
      <c r="JSI40" s="26"/>
      <c r="JSJ40" s="27"/>
      <c r="JSK40" s="26"/>
      <c r="JSL40" s="27"/>
      <c r="JSM40" s="26"/>
      <c r="JSN40" s="27"/>
      <c r="JSO40" s="26"/>
      <c r="JSP40" s="27"/>
      <c r="JSQ40" s="26"/>
      <c r="JSR40" s="27"/>
      <c r="JSS40" s="26"/>
      <c r="JST40" s="27"/>
      <c r="JSU40" s="26"/>
      <c r="JSV40" s="27"/>
      <c r="JSW40" s="26"/>
      <c r="JSX40" s="27"/>
      <c r="JSY40" s="26"/>
      <c r="JSZ40" s="27"/>
      <c r="JTA40" s="26"/>
      <c r="JTB40" s="27"/>
      <c r="JTC40" s="26"/>
      <c r="JTD40" s="27"/>
      <c r="JTE40" s="26"/>
      <c r="JTF40" s="27"/>
      <c r="JTG40" s="26"/>
      <c r="JTH40" s="27"/>
      <c r="JTI40" s="26"/>
      <c r="JTJ40" s="27"/>
      <c r="JTK40" s="26"/>
      <c r="JTL40" s="27"/>
      <c r="JTM40" s="26"/>
      <c r="JTN40" s="27"/>
      <c r="JTO40" s="26"/>
      <c r="JTP40" s="27"/>
      <c r="JTQ40" s="26"/>
      <c r="JTR40" s="27"/>
      <c r="JTS40" s="26"/>
      <c r="JTT40" s="27"/>
      <c r="JTU40" s="26"/>
      <c r="JTV40" s="27"/>
      <c r="JTW40" s="26"/>
      <c r="JTX40" s="27"/>
      <c r="JTY40" s="26"/>
      <c r="JTZ40" s="27"/>
      <c r="JUA40" s="26"/>
      <c r="JUB40" s="27"/>
      <c r="JUC40" s="26"/>
      <c r="JUD40" s="27"/>
      <c r="JUE40" s="26"/>
      <c r="JUF40" s="27"/>
      <c r="JUG40" s="26"/>
      <c r="JUH40" s="27"/>
      <c r="JUI40" s="26"/>
      <c r="JUJ40" s="27"/>
      <c r="JUK40" s="26"/>
      <c r="JUL40" s="27"/>
      <c r="JUM40" s="26"/>
      <c r="JUN40" s="27"/>
      <c r="JUO40" s="26"/>
      <c r="JUP40" s="27"/>
      <c r="JUQ40" s="26"/>
      <c r="JUR40" s="27"/>
      <c r="JUS40" s="26"/>
      <c r="JUT40" s="27"/>
      <c r="JUU40" s="26"/>
      <c r="JUV40" s="27"/>
      <c r="JUW40" s="26"/>
      <c r="JUX40" s="27"/>
      <c r="JUY40" s="26"/>
      <c r="JUZ40" s="27"/>
      <c r="JVA40" s="26"/>
      <c r="JVB40" s="27"/>
      <c r="JVC40" s="26"/>
      <c r="JVD40" s="27"/>
      <c r="JVE40" s="26"/>
      <c r="JVF40" s="27"/>
      <c r="JVG40" s="26"/>
      <c r="JVH40" s="27"/>
      <c r="JVI40" s="26"/>
      <c r="JVJ40" s="27"/>
      <c r="JVK40" s="26"/>
      <c r="JVL40" s="27"/>
      <c r="JVM40" s="26"/>
      <c r="JVN40" s="27"/>
      <c r="JVO40" s="26"/>
      <c r="JVP40" s="27"/>
      <c r="JVQ40" s="26"/>
      <c r="JVR40" s="27"/>
      <c r="JVS40" s="26"/>
      <c r="JVT40" s="27"/>
      <c r="JVU40" s="26"/>
      <c r="JVV40" s="27"/>
      <c r="JVW40" s="26"/>
      <c r="JVX40" s="27"/>
      <c r="JVY40" s="26"/>
      <c r="JVZ40" s="27"/>
      <c r="JWA40" s="26"/>
      <c r="JWB40" s="27"/>
      <c r="JWC40" s="26"/>
      <c r="JWD40" s="27"/>
      <c r="JWE40" s="26"/>
      <c r="JWF40" s="27"/>
      <c r="JWG40" s="26"/>
      <c r="JWH40" s="27"/>
      <c r="JWI40" s="26"/>
      <c r="JWJ40" s="27"/>
      <c r="JWK40" s="26"/>
      <c r="JWL40" s="27"/>
      <c r="JWM40" s="26"/>
      <c r="JWN40" s="27"/>
      <c r="JWO40" s="26"/>
      <c r="JWP40" s="27"/>
      <c r="JWQ40" s="26"/>
      <c r="JWR40" s="27"/>
      <c r="JWS40" s="26"/>
      <c r="JWT40" s="27"/>
      <c r="JWU40" s="26"/>
      <c r="JWV40" s="27"/>
      <c r="JWW40" s="26"/>
      <c r="JWX40" s="27"/>
      <c r="JWY40" s="26"/>
      <c r="JWZ40" s="27"/>
      <c r="JXA40" s="26"/>
      <c r="JXB40" s="27"/>
      <c r="JXC40" s="26"/>
      <c r="JXD40" s="27"/>
      <c r="JXE40" s="26"/>
      <c r="JXF40" s="27"/>
      <c r="JXG40" s="26"/>
      <c r="JXH40" s="27"/>
      <c r="JXI40" s="26"/>
      <c r="JXJ40" s="27"/>
      <c r="JXK40" s="26"/>
      <c r="JXL40" s="27"/>
      <c r="JXM40" s="26"/>
      <c r="JXN40" s="27"/>
      <c r="JXO40" s="26"/>
      <c r="JXP40" s="27"/>
      <c r="JXQ40" s="26"/>
      <c r="JXR40" s="27"/>
      <c r="JXS40" s="26"/>
      <c r="JXT40" s="27"/>
      <c r="JXU40" s="26"/>
      <c r="JXV40" s="27"/>
      <c r="JXW40" s="26"/>
      <c r="JXX40" s="27"/>
      <c r="JXY40" s="26"/>
      <c r="JXZ40" s="27"/>
      <c r="JYA40" s="26"/>
      <c r="JYB40" s="27"/>
      <c r="JYC40" s="26"/>
      <c r="JYD40" s="27"/>
      <c r="JYE40" s="26"/>
      <c r="JYF40" s="27"/>
      <c r="JYG40" s="26"/>
      <c r="JYH40" s="27"/>
      <c r="JYI40" s="26"/>
      <c r="JYJ40" s="27"/>
      <c r="JYK40" s="26"/>
      <c r="JYL40" s="27"/>
      <c r="JYM40" s="26"/>
      <c r="JYN40" s="27"/>
      <c r="JYO40" s="26"/>
      <c r="JYP40" s="27"/>
      <c r="JYQ40" s="26"/>
      <c r="JYR40" s="27"/>
      <c r="JYS40" s="26"/>
      <c r="JYT40" s="27"/>
      <c r="JYU40" s="26"/>
      <c r="JYV40" s="27"/>
      <c r="JYW40" s="26"/>
      <c r="JYX40" s="27"/>
      <c r="JYY40" s="26"/>
      <c r="JYZ40" s="27"/>
      <c r="JZA40" s="26"/>
      <c r="JZB40" s="27"/>
      <c r="JZC40" s="26"/>
      <c r="JZD40" s="27"/>
      <c r="JZE40" s="26"/>
      <c r="JZF40" s="27"/>
      <c r="JZG40" s="26"/>
      <c r="JZH40" s="27"/>
      <c r="JZI40" s="26"/>
      <c r="JZJ40" s="27"/>
      <c r="JZK40" s="26"/>
      <c r="JZL40" s="27"/>
      <c r="JZM40" s="26"/>
      <c r="JZN40" s="27"/>
      <c r="JZO40" s="26"/>
      <c r="JZP40" s="27"/>
      <c r="JZQ40" s="26"/>
      <c r="JZR40" s="27"/>
      <c r="JZS40" s="26"/>
      <c r="JZT40" s="27"/>
      <c r="JZU40" s="26"/>
      <c r="JZV40" s="27"/>
      <c r="JZW40" s="26"/>
      <c r="JZX40" s="27"/>
      <c r="JZY40" s="26"/>
      <c r="JZZ40" s="27"/>
      <c r="KAA40" s="26"/>
      <c r="KAB40" s="27"/>
      <c r="KAC40" s="26"/>
      <c r="KAD40" s="27"/>
      <c r="KAE40" s="26"/>
      <c r="KAF40" s="27"/>
      <c r="KAG40" s="26"/>
      <c r="KAH40" s="27"/>
      <c r="KAI40" s="26"/>
      <c r="KAJ40" s="27"/>
      <c r="KAK40" s="26"/>
      <c r="KAL40" s="27"/>
      <c r="KAM40" s="26"/>
      <c r="KAN40" s="27"/>
      <c r="KAO40" s="26"/>
      <c r="KAP40" s="27"/>
      <c r="KAQ40" s="26"/>
      <c r="KAR40" s="27"/>
      <c r="KAS40" s="26"/>
      <c r="KAT40" s="27"/>
      <c r="KAU40" s="26"/>
      <c r="KAV40" s="27"/>
      <c r="KAW40" s="26"/>
      <c r="KAX40" s="27"/>
      <c r="KAY40" s="26"/>
      <c r="KAZ40" s="27"/>
      <c r="KBA40" s="26"/>
      <c r="KBB40" s="27"/>
      <c r="KBC40" s="26"/>
      <c r="KBD40" s="27"/>
      <c r="KBE40" s="26"/>
      <c r="KBF40" s="27"/>
      <c r="KBG40" s="26"/>
      <c r="KBH40" s="27"/>
      <c r="KBI40" s="26"/>
      <c r="KBJ40" s="27"/>
      <c r="KBK40" s="26"/>
      <c r="KBL40" s="27"/>
      <c r="KBM40" s="26"/>
      <c r="KBN40" s="27"/>
      <c r="KBO40" s="26"/>
      <c r="KBP40" s="27"/>
      <c r="KBQ40" s="26"/>
      <c r="KBR40" s="27"/>
      <c r="KBS40" s="26"/>
      <c r="KBT40" s="27"/>
      <c r="KBU40" s="26"/>
      <c r="KBV40" s="27"/>
      <c r="KBW40" s="26"/>
      <c r="KBX40" s="27"/>
      <c r="KBY40" s="26"/>
      <c r="KBZ40" s="27"/>
      <c r="KCA40" s="26"/>
      <c r="KCB40" s="27"/>
      <c r="KCC40" s="26"/>
      <c r="KCD40" s="27"/>
      <c r="KCE40" s="26"/>
      <c r="KCF40" s="27"/>
      <c r="KCG40" s="26"/>
      <c r="KCH40" s="27"/>
      <c r="KCI40" s="26"/>
      <c r="KCJ40" s="27"/>
      <c r="KCK40" s="26"/>
      <c r="KCL40" s="27"/>
      <c r="KCM40" s="26"/>
      <c r="KCN40" s="27"/>
      <c r="KCO40" s="26"/>
      <c r="KCP40" s="27"/>
      <c r="KCQ40" s="26"/>
      <c r="KCR40" s="27"/>
      <c r="KCS40" s="26"/>
      <c r="KCT40" s="27"/>
      <c r="KCU40" s="26"/>
      <c r="KCV40" s="27"/>
      <c r="KCW40" s="26"/>
      <c r="KCX40" s="27"/>
      <c r="KCY40" s="26"/>
      <c r="KCZ40" s="27"/>
      <c r="KDA40" s="26"/>
      <c r="KDB40" s="27"/>
      <c r="KDC40" s="26"/>
      <c r="KDD40" s="27"/>
      <c r="KDE40" s="26"/>
      <c r="KDF40" s="27"/>
      <c r="KDG40" s="26"/>
      <c r="KDH40" s="27"/>
      <c r="KDI40" s="26"/>
      <c r="KDJ40" s="27"/>
      <c r="KDK40" s="26"/>
      <c r="KDL40" s="27"/>
      <c r="KDM40" s="26"/>
      <c r="KDN40" s="27"/>
      <c r="KDO40" s="26"/>
      <c r="KDP40" s="27"/>
      <c r="KDQ40" s="26"/>
      <c r="KDR40" s="27"/>
      <c r="KDS40" s="26"/>
      <c r="KDT40" s="27"/>
      <c r="KDU40" s="26"/>
      <c r="KDV40" s="27"/>
      <c r="KDW40" s="26"/>
      <c r="KDX40" s="27"/>
      <c r="KDY40" s="26"/>
      <c r="KDZ40" s="27"/>
      <c r="KEA40" s="26"/>
      <c r="KEB40" s="27"/>
      <c r="KEC40" s="26"/>
      <c r="KED40" s="27"/>
      <c r="KEE40" s="26"/>
      <c r="KEF40" s="27"/>
      <c r="KEG40" s="26"/>
      <c r="KEH40" s="27"/>
      <c r="KEI40" s="26"/>
      <c r="KEJ40" s="27"/>
      <c r="KEK40" s="26"/>
      <c r="KEL40" s="27"/>
      <c r="KEM40" s="26"/>
      <c r="KEN40" s="27"/>
      <c r="KEO40" s="26"/>
      <c r="KEP40" s="27"/>
      <c r="KEQ40" s="26"/>
      <c r="KER40" s="27"/>
      <c r="KES40" s="26"/>
      <c r="KET40" s="27"/>
      <c r="KEU40" s="26"/>
      <c r="KEV40" s="27"/>
      <c r="KEW40" s="26"/>
      <c r="KEX40" s="27"/>
      <c r="KEY40" s="26"/>
      <c r="KEZ40" s="27"/>
      <c r="KFA40" s="26"/>
      <c r="KFB40" s="27"/>
      <c r="KFC40" s="26"/>
      <c r="KFD40" s="27"/>
      <c r="KFE40" s="26"/>
      <c r="KFF40" s="27"/>
      <c r="KFG40" s="26"/>
      <c r="KFH40" s="27"/>
      <c r="KFI40" s="26"/>
      <c r="KFJ40" s="27"/>
      <c r="KFK40" s="26"/>
      <c r="KFL40" s="27"/>
      <c r="KFM40" s="26"/>
      <c r="KFN40" s="27"/>
      <c r="KFO40" s="26"/>
      <c r="KFP40" s="27"/>
      <c r="KFQ40" s="26"/>
      <c r="KFR40" s="27"/>
      <c r="KFS40" s="26"/>
      <c r="KFT40" s="27"/>
      <c r="KFU40" s="26"/>
      <c r="KFV40" s="27"/>
      <c r="KFW40" s="26"/>
      <c r="KFX40" s="27"/>
      <c r="KFY40" s="26"/>
      <c r="KFZ40" s="27"/>
      <c r="KGA40" s="26"/>
      <c r="KGB40" s="27"/>
      <c r="KGC40" s="26"/>
      <c r="KGD40" s="27"/>
      <c r="KGE40" s="26"/>
      <c r="KGF40" s="27"/>
      <c r="KGG40" s="26"/>
      <c r="KGH40" s="27"/>
      <c r="KGI40" s="26"/>
      <c r="KGJ40" s="27"/>
      <c r="KGK40" s="26"/>
      <c r="KGL40" s="27"/>
      <c r="KGM40" s="26"/>
      <c r="KGN40" s="27"/>
      <c r="KGO40" s="26"/>
      <c r="KGP40" s="27"/>
      <c r="KGQ40" s="26"/>
      <c r="KGR40" s="27"/>
      <c r="KGS40" s="26"/>
      <c r="KGT40" s="27"/>
      <c r="KGU40" s="26"/>
      <c r="KGV40" s="27"/>
      <c r="KGW40" s="26"/>
      <c r="KGX40" s="27"/>
      <c r="KGY40" s="26"/>
      <c r="KGZ40" s="27"/>
      <c r="KHA40" s="26"/>
      <c r="KHB40" s="27"/>
      <c r="KHC40" s="26"/>
      <c r="KHD40" s="27"/>
      <c r="KHE40" s="26"/>
      <c r="KHF40" s="27"/>
      <c r="KHG40" s="26"/>
      <c r="KHH40" s="27"/>
      <c r="KHI40" s="26"/>
      <c r="KHJ40" s="27"/>
      <c r="KHK40" s="26"/>
      <c r="KHL40" s="27"/>
      <c r="KHM40" s="26"/>
      <c r="KHN40" s="27"/>
      <c r="KHO40" s="26"/>
      <c r="KHP40" s="27"/>
      <c r="KHQ40" s="26"/>
      <c r="KHR40" s="27"/>
      <c r="KHS40" s="26"/>
      <c r="KHT40" s="27"/>
      <c r="KHU40" s="26"/>
      <c r="KHV40" s="27"/>
      <c r="KHW40" s="26"/>
      <c r="KHX40" s="27"/>
      <c r="KHY40" s="26"/>
      <c r="KHZ40" s="27"/>
      <c r="KIA40" s="26"/>
      <c r="KIB40" s="27"/>
      <c r="KIC40" s="26"/>
      <c r="KID40" s="27"/>
      <c r="KIE40" s="26"/>
      <c r="KIF40" s="27"/>
      <c r="KIG40" s="26"/>
      <c r="KIH40" s="27"/>
      <c r="KII40" s="26"/>
      <c r="KIJ40" s="27"/>
      <c r="KIK40" s="26"/>
      <c r="KIL40" s="27"/>
      <c r="KIM40" s="26"/>
      <c r="KIN40" s="27"/>
      <c r="KIO40" s="26"/>
      <c r="KIP40" s="27"/>
      <c r="KIQ40" s="26"/>
      <c r="KIR40" s="27"/>
      <c r="KIS40" s="26"/>
      <c r="KIT40" s="27"/>
      <c r="KIU40" s="26"/>
      <c r="KIV40" s="27"/>
      <c r="KIW40" s="26"/>
      <c r="KIX40" s="27"/>
      <c r="KIY40" s="26"/>
      <c r="KIZ40" s="27"/>
      <c r="KJA40" s="26"/>
      <c r="KJB40" s="27"/>
      <c r="KJC40" s="26"/>
      <c r="KJD40" s="27"/>
      <c r="KJE40" s="26"/>
      <c r="KJF40" s="27"/>
      <c r="KJG40" s="26"/>
      <c r="KJH40" s="27"/>
      <c r="KJI40" s="26"/>
      <c r="KJJ40" s="27"/>
      <c r="KJK40" s="26"/>
      <c r="KJL40" s="27"/>
      <c r="KJM40" s="26"/>
      <c r="KJN40" s="27"/>
      <c r="KJO40" s="26"/>
      <c r="KJP40" s="27"/>
      <c r="KJQ40" s="26"/>
      <c r="KJR40" s="27"/>
      <c r="KJS40" s="26"/>
      <c r="KJT40" s="27"/>
      <c r="KJU40" s="26"/>
      <c r="KJV40" s="27"/>
      <c r="KJW40" s="26"/>
      <c r="KJX40" s="27"/>
      <c r="KJY40" s="26"/>
      <c r="KJZ40" s="27"/>
      <c r="KKA40" s="26"/>
      <c r="KKB40" s="27"/>
      <c r="KKC40" s="26"/>
      <c r="KKD40" s="27"/>
      <c r="KKE40" s="26"/>
      <c r="KKF40" s="27"/>
      <c r="KKG40" s="26"/>
      <c r="KKH40" s="27"/>
      <c r="KKI40" s="26"/>
      <c r="KKJ40" s="27"/>
      <c r="KKK40" s="26"/>
      <c r="KKL40" s="27"/>
      <c r="KKM40" s="26"/>
      <c r="KKN40" s="27"/>
      <c r="KKO40" s="26"/>
      <c r="KKP40" s="27"/>
      <c r="KKQ40" s="26"/>
      <c r="KKR40" s="27"/>
      <c r="KKS40" s="26"/>
      <c r="KKT40" s="27"/>
      <c r="KKU40" s="26"/>
      <c r="KKV40" s="27"/>
      <c r="KKW40" s="26"/>
      <c r="KKX40" s="27"/>
      <c r="KKY40" s="26"/>
      <c r="KKZ40" s="27"/>
      <c r="KLA40" s="26"/>
      <c r="KLB40" s="27"/>
      <c r="KLC40" s="26"/>
      <c r="KLD40" s="27"/>
      <c r="KLE40" s="26"/>
      <c r="KLF40" s="27"/>
      <c r="KLG40" s="26"/>
      <c r="KLH40" s="27"/>
      <c r="KLI40" s="26"/>
      <c r="KLJ40" s="27"/>
      <c r="KLK40" s="26"/>
      <c r="KLL40" s="27"/>
      <c r="KLM40" s="26"/>
      <c r="KLN40" s="27"/>
      <c r="KLO40" s="26"/>
      <c r="KLP40" s="27"/>
      <c r="KLQ40" s="26"/>
      <c r="KLR40" s="27"/>
      <c r="KLS40" s="26"/>
      <c r="KLT40" s="27"/>
      <c r="KLU40" s="26"/>
      <c r="KLV40" s="27"/>
      <c r="KLW40" s="26"/>
      <c r="KLX40" s="27"/>
      <c r="KLY40" s="26"/>
      <c r="KLZ40" s="27"/>
      <c r="KMA40" s="26"/>
      <c r="KMB40" s="27"/>
      <c r="KMC40" s="26"/>
      <c r="KMD40" s="27"/>
      <c r="KME40" s="26"/>
      <c r="KMF40" s="27"/>
      <c r="KMG40" s="26"/>
      <c r="KMH40" s="27"/>
      <c r="KMI40" s="26"/>
      <c r="KMJ40" s="27"/>
      <c r="KMK40" s="26"/>
      <c r="KML40" s="27"/>
      <c r="KMM40" s="26"/>
      <c r="KMN40" s="27"/>
      <c r="KMO40" s="26"/>
      <c r="KMP40" s="27"/>
      <c r="KMQ40" s="26"/>
      <c r="KMR40" s="27"/>
      <c r="KMS40" s="26"/>
      <c r="KMT40" s="27"/>
      <c r="KMU40" s="26"/>
      <c r="KMV40" s="27"/>
      <c r="KMW40" s="26"/>
      <c r="KMX40" s="27"/>
      <c r="KMY40" s="26"/>
      <c r="KMZ40" s="27"/>
      <c r="KNA40" s="26"/>
      <c r="KNB40" s="27"/>
      <c r="KNC40" s="26"/>
      <c r="KND40" s="27"/>
      <c r="KNE40" s="26"/>
      <c r="KNF40" s="27"/>
      <c r="KNG40" s="26"/>
      <c r="KNH40" s="27"/>
      <c r="KNI40" s="26"/>
      <c r="KNJ40" s="27"/>
      <c r="KNK40" s="26"/>
      <c r="KNL40" s="27"/>
      <c r="KNM40" s="26"/>
      <c r="KNN40" s="27"/>
      <c r="KNO40" s="26"/>
      <c r="KNP40" s="27"/>
      <c r="KNQ40" s="26"/>
      <c r="KNR40" s="27"/>
      <c r="KNS40" s="26"/>
      <c r="KNT40" s="27"/>
      <c r="KNU40" s="26"/>
      <c r="KNV40" s="27"/>
      <c r="KNW40" s="26"/>
      <c r="KNX40" s="27"/>
      <c r="KNY40" s="26"/>
      <c r="KNZ40" s="27"/>
      <c r="KOA40" s="26"/>
      <c r="KOB40" s="27"/>
      <c r="KOC40" s="26"/>
      <c r="KOD40" s="27"/>
      <c r="KOE40" s="26"/>
      <c r="KOF40" s="27"/>
      <c r="KOG40" s="26"/>
      <c r="KOH40" s="27"/>
      <c r="KOI40" s="26"/>
      <c r="KOJ40" s="27"/>
      <c r="KOK40" s="26"/>
      <c r="KOL40" s="27"/>
      <c r="KOM40" s="26"/>
      <c r="KON40" s="27"/>
      <c r="KOO40" s="26"/>
      <c r="KOP40" s="27"/>
      <c r="KOQ40" s="26"/>
      <c r="KOR40" s="27"/>
      <c r="KOS40" s="26"/>
      <c r="KOT40" s="27"/>
      <c r="KOU40" s="26"/>
      <c r="KOV40" s="27"/>
      <c r="KOW40" s="26"/>
      <c r="KOX40" s="27"/>
      <c r="KOY40" s="26"/>
      <c r="KOZ40" s="27"/>
      <c r="KPA40" s="26"/>
      <c r="KPB40" s="27"/>
      <c r="KPC40" s="26"/>
      <c r="KPD40" s="27"/>
      <c r="KPE40" s="26"/>
      <c r="KPF40" s="27"/>
      <c r="KPG40" s="26"/>
      <c r="KPH40" s="27"/>
      <c r="KPI40" s="26"/>
      <c r="KPJ40" s="27"/>
      <c r="KPK40" s="26"/>
      <c r="KPL40" s="27"/>
      <c r="KPM40" s="26"/>
      <c r="KPN40" s="27"/>
      <c r="KPO40" s="26"/>
      <c r="KPP40" s="27"/>
      <c r="KPQ40" s="26"/>
      <c r="KPR40" s="27"/>
      <c r="KPS40" s="26"/>
      <c r="KPT40" s="27"/>
      <c r="KPU40" s="26"/>
      <c r="KPV40" s="27"/>
      <c r="KPW40" s="26"/>
      <c r="KPX40" s="27"/>
      <c r="KPY40" s="26"/>
      <c r="KPZ40" s="27"/>
      <c r="KQA40" s="26"/>
      <c r="KQB40" s="27"/>
      <c r="KQC40" s="26"/>
      <c r="KQD40" s="27"/>
      <c r="KQE40" s="26"/>
      <c r="KQF40" s="27"/>
      <c r="KQG40" s="26"/>
      <c r="KQH40" s="27"/>
      <c r="KQI40" s="26"/>
      <c r="KQJ40" s="27"/>
      <c r="KQK40" s="26"/>
      <c r="KQL40" s="27"/>
      <c r="KQM40" s="26"/>
      <c r="KQN40" s="27"/>
      <c r="KQO40" s="26"/>
      <c r="KQP40" s="27"/>
      <c r="KQQ40" s="26"/>
      <c r="KQR40" s="27"/>
      <c r="KQS40" s="26"/>
      <c r="KQT40" s="27"/>
      <c r="KQU40" s="26"/>
      <c r="KQV40" s="27"/>
      <c r="KQW40" s="26"/>
      <c r="KQX40" s="27"/>
      <c r="KQY40" s="26"/>
      <c r="KQZ40" s="27"/>
      <c r="KRA40" s="26"/>
      <c r="KRB40" s="27"/>
      <c r="KRC40" s="26"/>
      <c r="KRD40" s="27"/>
      <c r="KRE40" s="26"/>
      <c r="KRF40" s="27"/>
      <c r="KRG40" s="26"/>
      <c r="KRH40" s="27"/>
      <c r="KRI40" s="26"/>
      <c r="KRJ40" s="27"/>
      <c r="KRK40" s="26"/>
      <c r="KRL40" s="27"/>
      <c r="KRM40" s="26"/>
      <c r="KRN40" s="27"/>
      <c r="KRO40" s="26"/>
      <c r="KRP40" s="27"/>
      <c r="KRQ40" s="26"/>
      <c r="KRR40" s="27"/>
      <c r="KRS40" s="26"/>
      <c r="KRT40" s="27"/>
      <c r="KRU40" s="26"/>
      <c r="KRV40" s="27"/>
      <c r="KRW40" s="26"/>
      <c r="KRX40" s="27"/>
      <c r="KRY40" s="26"/>
      <c r="KRZ40" s="27"/>
      <c r="KSA40" s="26"/>
      <c r="KSB40" s="27"/>
      <c r="KSC40" s="26"/>
      <c r="KSD40" s="27"/>
      <c r="KSE40" s="26"/>
      <c r="KSF40" s="27"/>
      <c r="KSG40" s="26"/>
      <c r="KSH40" s="27"/>
      <c r="KSI40" s="26"/>
      <c r="KSJ40" s="27"/>
      <c r="KSK40" s="26"/>
      <c r="KSL40" s="27"/>
      <c r="KSM40" s="26"/>
      <c r="KSN40" s="27"/>
      <c r="KSO40" s="26"/>
      <c r="KSP40" s="27"/>
      <c r="KSQ40" s="26"/>
      <c r="KSR40" s="27"/>
      <c r="KSS40" s="26"/>
      <c r="KST40" s="27"/>
      <c r="KSU40" s="26"/>
      <c r="KSV40" s="27"/>
      <c r="KSW40" s="26"/>
      <c r="KSX40" s="27"/>
      <c r="KSY40" s="26"/>
      <c r="KSZ40" s="27"/>
      <c r="KTA40" s="26"/>
      <c r="KTB40" s="27"/>
      <c r="KTC40" s="26"/>
      <c r="KTD40" s="27"/>
      <c r="KTE40" s="26"/>
      <c r="KTF40" s="27"/>
      <c r="KTG40" s="26"/>
      <c r="KTH40" s="27"/>
      <c r="KTI40" s="26"/>
      <c r="KTJ40" s="27"/>
      <c r="KTK40" s="26"/>
      <c r="KTL40" s="27"/>
      <c r="KTM40" s="26"/>
      <c r="KTN40" s="27"/>
      <c r="KTO40" s="26"/>
      <c r="KTP40" s="27"/>
      <c r="KTQ40" s="26"/>
      <c r="KTR40" s="27"/>
      <c r="KTS40" s="26"/>
      <c r="KTT40" s="27"/>
      <c r="KTU40" s="26"/>
      <c r="KTV40" s="27"/>
      <c r="KTW40" s="26"/>
      <c r="KTX40" s="27"/>
      <c r="KTY40" s="26"/>
      <c r="KTZ40" s="27"/>
      <c r="KUA40" s="26"/>
      <c r="KUB40" s="27"/>
      <c r="KUC40" s="26"/>
      <c r="KUD40" s="27"/>
      <c r="KUE40" s="26"/>
      <c r="KUF40" s="27"/>
      <c r="KUG40" s="26"/>
      <c r="KUH40" s="27"/>
      <c r="KUI40" s="26"/>
      <c r="KUJ40" s="27"/>
      <c r="KUK40" s="26"/>
      <c r="KUL40" s="27"/>
      <c r="KUM40" s="26"/>
      <c r="KUN40" s="27"/>
      <c r="KUO40" s="26"/>
      <c r="KUP40" s="27"/>
      <c r="KUQ40" s="26"/>
      <c r="KUR40" s="27"/>
      <c r="KUS40" s="26"/>
      <c r="KUT40" s="27"/>
      <c r="KUU40" s="26"/>
      <c r="KUV40" s="27"/>
      <c r="KUW40" s="26"/>
      <c r="KUX40" s="27"/>
      <c r="KUY40" s="26"/>
      <c r="KUZ40" s="27"/>
      <c r="KVA40" s="26"/>
      <c r="KVB40" s="27"/>
      <c r="KVC40" s="26"/>
      <c r="KVD40" s="27"/>
      <c r="KVE40" s="26"/>
      <c r="KVF40" s="27"/>
      <c r="KVG40" s="26"/>
      <c r="KVH40" s="27"/>
      <c r="KVI40" s="26"/>
      <c r="KVJ40" s="27"/>
      <c r="KVK40" s="26"/>
      <c r="KVL40" s="27"/>
      <c r="KVM40" s="26"/>
      <c r="KVN40" s="27"/>
      <c r="KVO40" s="26"/>
      <c r="KVP40" s="27"/>
      <c r="KVQ40" s="26"/>
      <c r="KVR40" s="27"/>
      <c r="KVS40" s="26"/>
      <c r="KVT40" s="27"/>
      <c r="KVU40" s="26"/>
      <c r="KVV40" s="27"/>
      <c r="KVW40" s="26"/>
      <c r="KVX40" s="27"/>
      <c r="KVY40" s="26"/>
      <c r="KVZ40" s="27"/>
      <c r="KWA40" s="26"/>
      <c r="KWB40" s="27"/>
      <c r="KWC40" s="26"/>
      <c r="KWD40" s="27"/>
      <c r="KWE40" s="26"/>
      <c r="KWF40" s="27"/>
      <c r="KWG40" s="26"/>
      <c r="KWH40" s="27"/>
      <c r="KWI40" s="26"/>
      <c r="KWJ40" s="27"/>
      <c r="KWK40" s="26"/>
      <c r="KWL40" s="27"/>
      <c r="KWM40" s="26"/>
      <c r="KWN40" s="27"/>
      <c r="KWO40" s="26"/>
      <c r="KWP40" s="27"/>
      <c r="KWQ40" s="26"/>
      <c r="KWR40" s="27"/>
      <c r="KWS40" s="26"/>
      <c r="KWT40" s="27"/>
      <c r="KWU40" s="26"/>
      <c r="KWV40" s="27"/>
      <c r="KWW40" s="26"/>
      <c r="KWX40" s="27"/>
      <c r="KWY40" s="26"/>
      <c r="KWZ40" s="27"/>
      <c r="KXA40" s="26"/>
      <c r="KXB40" s="27"/>
      <c r="KXC40" s="26"/>
      <c r="KXD40" s="27"/>
      <c r="KXE40" s="26"/>
      <c r="KXF40" s="27"/>
      <c r="KXG40" s="26"/>
      <c r="KXH40" s="27"/>
      <c r="KXI40" s="26"/>
      <c r="KXJ40" s="27"/>
      <c r="KXK40" s="26"/>
      <c r="KXL40" s="27"/>
      <c r="KXM40" s="26"/>
      <c r="KXN40" s="27"/>
      <c r="KXO40" s="26"/>
      <c r="KXP40" s="27"/>
      <c r="KXQ40" s="26"/>
      <c r="KXR40" s="27"/>
      <c r="KXS40" s="26"/>
      <c r="KXT40" s="27"/>
      <c r="KXU40" s="26"/>
      <c r="KXV40" s="27"/>
      <c r="KXW40" s="26"/>
      <c r="KXX40" s="27"/>
      <c r="KXY40" s="26"/>
      <c r="KXZ40" s="27"/>
      <c r="KYA40" s="26"/>
      <c r="KYB40" s="27"/>
      <c r="KYC40" s="26"/>
      <c r="KYD40" s="27"/>
      <c r="KYE40" s="26"/>
      <c r="KYF40" s="27"/>
      <c r="KYG40" s="26"/>
      <c r="KYH40" s="27"/>
      <c r="KYI40" s="26"/>
      <c r="KYJ40" s="27"/>
      <c r="KYK40" s="26"/>
      <c r="KYL40" s="27"/>
      <c r="KYM40" s="26"/>
      <c r="KYN40" s="27"/>
      <c r="KYO40" s="26"/>
      <c r="KYP40" s="27"/>
      <c r="KYQ40" s="26"/>
      <c r="KYR40" s="27"/>
      <c r="KYS40" s="26"/>
      <c r="KYT40" s="27"/>
      <c r="KYU40" s="26"/>
      <c r="KYV40" s="27"/>
      <c r="KYW40" s="26"/>
      <c r="KYX40" s="27"/>
      <c r="KYY40" s="26"/>
      <c r="KYZ40" s="27"/>
      <c r="KZA40" s="26"/>
      <c r="KZB40" s="27"/>
      <c r="KZC40" s="26"/>
      <c r="KZD40" s="27"/>
      <c r="KZE40" s="26"/>
      <c r="KZF40" s="27"/>
      <c r="KZG40" s="26"/>
      <c r="KZH40" s="27"/>
      <c r="KZI40" s="26"/>
      <c r="KZJ40" s="27"/>
      <c r="KZK40" s="26"/>
      <c r="KZL40" s="27"/>
      <c r="KZM40" s="26"/>
      <c r="KZN40" s="27"/>
      <c r="KZO40" s="26"/>
      <c r="KZP40" s="27"/>
      <c r="KZQ40" s="26"/>
      <c r="KZR40" s="27"/>
      <c r="KZS40" s="26"/>
      <c r="KZT40" s="27"/>
      <c r="KZU40" s="26"/>
      <c r="KZV40" s="27"/>
      <c r="KZW40" s="26"/>
      <c r="KZX40" s="27"/>
      <c r="KZY40" s="26"/>
      <c r="KZZ40" s="27"/>
      <c r="LAA40" s="26"/>
      <c r="LAB40" s="27"/>
      <c r="LAC40" s="26"/>
      <c r="LAD40" s="27"/>
      <c r="LAE40" s="26"/>
      <c r="LAF40" s="27"/>
      <c r="LAG40" s="26"/>
      <c r="LAH40" s="27"/>
      <c r="LAI40" s="26"/>
      <c r="LAJ40" s="27"/>
      <c r="LAK40" s="26"/>
      <c r="LAL40" s="27"/>
      <c r="LAM40" s="26"/>
      <c r="LAN40" s="27"/>
      <c r="LAO40" s="26"/>
      <c r="LAP40" s="27"/>
      <c r="LAQ40" s="26"/>
      <c r="LAR40" s="27"/>
      <c r="LAS40" s="26"/>
      <c r="LAT40" s="27"/>
      <c r="LAU40" s="26"/>
      <c r="LAV40" s="27"/>
      <c r="LAW40" s="26"/>
      <c r="LAX40" s="27"/>
      <c r="LAY40" s="26"/>
      <c r="LAZ40" s="27"/>
      <c r="LBA40" s="26"/>
      <c r="LBB40" s="27"/>
      <c r="LBC40" s="26"/>
      <c r="LBD40" s="27"/>
      <c r="LBE40" s="26"/>
      <c r="LBF40" s="27"/>
      <c r="LBG40" s="26"/>
      <c r="LBH40" s="27"/>
      <c r="LBI40" s="26"/>
      <c r="LBJ40" s="27"/>
      <c r="LBK40" s="26"/>
      <c r="LBL40" s="27"/>
      <c r="LBM40" s="26"/>
      <c r="LBN40" s="27"/>
      <c r="LBO40" s="26"/>
      <c r="LBP40" s="27"/>
      <c r="LBQ40" s="26"/>
      <c r="LBR40" s="27"/>
      <c r="LBS40" s="26"/>
      <c r="LBT40" s="27"/>
      <c r="LBU40" s="26"/>
      <c r="LBV40" s="27"/>
      <c r="LBW40" s="26"/>
      <c r="LBX40" s="27"/>
      <c r="LBY40" s="26"/>
      <c r="LBZ40" s="27"/>
      <c r="LCA40" s="26"/>
      <c r="LCB40" s="27"/>
      <c r="LCC40" s="26"/>
      <c r="LCD40" s="27"/>
      <c r="LCE40" s="26"/>
      <c r="LCF40" s="27"/>
      <c r="LCG40" s="26"/>
      <c r="LCH40" s="27"/>
      <c r="LCI40" s="26"/>
      <c r="LCJ40" s="27"/>
      <c r="LCK40" s="26"/>
      <c r="LCL40" s="27"/>
      <c r="LCM40" s="26"/>
      <c r="LCN40" s="27"/>
      <c r="LCO40" s="26"/>
      <c r="LCP40" s="27"/>
      <c r="LCQ40" s="26"/>
      <c r="LCR40" s="27"/>
      <c r="LCS40" s="26"/>
      <c r="LCT40" s="27"/>
      <c r="LCU40" s="26"/>
      <c r="LCV40" s="27"/>
      <c r="LCW40" s="26"/>
      <c r="LCX40" s="27"/>
      <c r="LCY40" s="26"/>
      <c r="LCZ40" s="27"/>
      <c r="LDA40" s="26"/>
      <c r="LDB40" s="27"/>
      <c r="LDC40" s="26"/>
      <c r="LDD40" s="27"/>
      <c r="LDE40" s="26"/>
      <c r="LDF40" s="27"/>
      <c r="LDG40" s="26"/>
      <c r="LDH40" s="27"/>
      <c r="LDI40" s="26"/>
      <c r="LDJ40" s="27"/>
      <c r="LDK40" s="26"/>
      <c r="LDL40" s="27"/>
      <c r="LDM40" s="26"/>
      <c r="LDN40" s="27"/>
      <c r="LDO40" s="26"/>
      <c r="LDP40" s="27"/>
      <c r="LDQ40" s="26"/>
      <c r="LDR40" s="27"/>
      <c r="LDS40" s="26"/>
      <c r="LDT40" s="27"/>
      <c r="LDU40" s="26"/>
      <c r="LDV40" s="27"/>
      <c r="LDW40" s="26"/>
      <c r="LDX40" s="27"/>
      <c r="LDY40" s="26"/>
      <c r="LDZ40" s="27"/>
      <c r="LEA40" s="26"/>
      <c r="LEB40" s="27"/>
      <c r="LEC40" s="26"/>
      <c r="LED40" s="27"/>
      <c r="LEE40" s="26"/>
      <c r="LEF40" s="27"/>
      <c r="LEG40" s="26"/>
      <c r="LEH40" s="27"/>
      <c r="LEI40" s="26"/>
      <c r="LEJ40" s="27"/>
      <c r="LEK40" s="26"/>
      <c r="LEL40" s="27"/>
      <c r="LEM40" s="26"/>
      <c r="LEN40" s="27"/>
      <c r="LEO40" s="26"/>
      <c r="LEP40" s="27"/>
      <c r="LEQ40" s="26"/>
      <c r="LER40" s="27"/>
      <c r="LES40" s="26"/>
      <c r="LET40" s="27"/>
      <c r="LEU40" s="26"/>
      <c r="LEV40" s="27"/>
      <c r="LEW40" s="26"/>
      <c r="LEX40" s="27"/>
      <c r="LEY40" s="26"/>
      <c r="LEZ40" s="27"/>
      <c r="LFA40" s="26"/>
      <c r="LFB40" s="27"/>
      <c r="LFC40" s="26"/>
      <c r="LFD40" s="27"/>
      <c r="LFE40" s="26"/>
      <c r="LFF40" s="27"/>
      <c r="LFG40" s="26"/>
      <c r="LFH40" s="27"/>
      <c r="LFI40" s="26"/>
      <c r="LFJ40" s="27"/>
      <c r="LFK40" s="26"/>
      <c r="LFL40" s="27"/>
      <c r="LFM40" s="26"/>
      <c r="LFN40" s="27"/>
      <c r="LFO40" s="26"/>
      <c r="LFP40" s="27"/>
      <c r="LFQ40" s="26"/>
      <c r="LFR40" s="27"/>
      <c r="LFS40" s="26"/>
      <c r="LFT40" s="27"/>
      <c r="LFU40" s="26"/>
      <c r="LFV40" s="27"/>
      <c r="LFW40" s="26"/>
      <c r="LFX40" s="27"/>
      <c r="LFY40" s="26"/>
      <c r="LFZ40" s="27"/>
      <c r="LGA40" s="26"/>
      <c r="LGB40" s="27"/>
      <c r="LGC40" s="26"/>
      <c r="LGD40" s="27"/>
      <c r="LGE40" s="26"/>
      <c r="LGF40" s="27"/>
      <c r="LGG40" s="26"/>
      <c r="LGH40" s="27"/>
      <c r="LGI40" s="26"/>
      <c r="LGJ40" s="27"/>
      <c r="LGK40" s="26"/>
      <c r="LGL40" s="27"/>
      <c r="LGM40" s="26"/>
      <c r="LGN40" s="27"/>
      <c r="LGO40" s="26"/>
      <c r="LGP40" s="27"/>
      <c r="LGQ40" s="26"/>
      <c r="LGR40" s="27"/>
      <c r="LGS40" s="26"/>
      <c r="LGT40" s="27"/>
      <c r="LGU40" s="26"/>
      <c r="LGV40" s="27"/>
      <c r="LGW40" s="26"/>
      <c r="LGX40" s="27"/>
      <c r="LGY40" s="26"/>
      <c r="LGZ40" s="27"/>
      <c r="LHA40" s="26"/>
      <c r="LHB40" s="27"/>
      <c r="LHC40" s="26"/>
      <c r="LHD40" s="27"/>
      <c r="LHE40" s="26"/>
      <c r="LHF40" s="27"/>
      <c r="LHG40" s="26"/>
      <c r="LHH40" s="27"/>
      <c r="LHI40" s="26"/>
      <c r="LHJ40" s="27"/>
      <c r="LHK40" s="26"/>
      <c r="LHL40" s="27"/>
      <c r="LHM40" s="26"/>
      <c r="LHN40" s="27"/>
      <c r="LHO40" s="26"/>
      <c r="LHP40" s="27"/>
      <c r="LHQ40" s="26"/>
      <c r="LHR40" s="27"/>
      <c r="LHS40" s="26"/>
      <c r="LHT40" s="27"/>
      <c r="LHU40" s="26"/>
      <c r="LHV40" s="27"/>
      <c r="LHW40" s="26"/>
      <c r="LHX40" s="27"/>
      <c r="LHY40" s="26"/>
      <c r="LHZ40" s="27"/>
      <c r="LIA40" s="26"/>
      <c r="LIB40" s="27"/>
      <c r="LIC40" s="26"/>
      <c r="LID40" s="27"/>
      <c r="LIE40" s="26"/>
      <c r="LIF40" s="27"/>
      <c r="LIG40" s="26"/>
      <c r="LIH40" s="27"/>
      <c r="LII40" s="26"/>
      <c r="LIJ40" s="27"/>
      <c r="LIK40" s="26"/>
      <c r="LIL40" s="27"/>
      <c r="LIM40" s="26"/>
      <c r="LIN40" s="27"/>
      <c r="LIO40" s="26"/>
      <c r="LIP40" s="27"/>
      <c r="LIQ40" s="26"/>
      <c r="LIR40" s="27"/>
      <c r="LIS40" s="26"/>
      <c r="LIT40" s="27"/>
      <c r="LIU40" s="26"/>
      <c r="LIV40" s="27"/>
      <c r="LIW40" s="26"/>
      <c r="LIX40" s="27"/>
      <c r="LIY40" s="26"/>
      <c r="LIZ40" s="27"/>
      <c r="LJA40" s="26"/>
      <c r="LJB40" s="27"/>
      <c r="LJC40" s="26"/>
      <c r="LJD40" s="27"/>
      <c r="LJE40" s="26"/>
      <c r="LJF40" s="27"/>
      <c r="LJG40" s="26"/>
      <c r="LJH40" s="27"/>
      <c r="LJI40" s="26"/>
      <c r="LJJ40" s="27"/>
      <c r="LJK40" s="26"/>
      <c r="LJL40" s="27"/>
      <c r="LJM40" s="26"/>
      <c r="LJN40" s="27"/>
      <c r="LJO40" s="26"/>
      <c r="LJP40" s="27"/>
      <c r="LJQ40" s="26"/>
      <c r="LJR40" s="27"/>
      <c r="LJS40" s="26"/>
      <c r="LJT40" s="27"/>
      <c r="LJU40" s="26"/>
      <c r="LJV40" s="27"/>
      <c r="LJW40" s="26"/>
      <c r="LJX40" s="27"/>
      <c r="LJY40" s="26"/>
      <c r="LJZ40" s="27"/>
      <c r="LKA40" s="26"/>
      <c r="LKB40" s="27"/>
      <c r="LKC40" s="26"/>
      <c r="LKD40" s="27"/>
      <c r="LKE40" s="26"/>
      <c r="LKF40" s="27"/>
      <c r="LKG40" s="26"/>
      <c r="LKH40" s="27"/>
      <c r="LKI40" s="26"/>
      <c r="LKJ40" s="27"/>
      <c r="LKK40" s="26"/>
      <c r="LKL40" s="27"/>
      <c r="LKM40" s="26"/>
      <c r="LKN40" s="27"/>
      <c r="LKO40" s="26"/>
      <c r="LKP40" s="27"/>
      <c r="LKQ40" s="26"/>
      <c r="LKR40" s="27"/>
      <c r="LKS40" s="26"/>
      <c r="LKT40" s="27"/>
      <c r="LKU40" s="26"/>
      <c r="LKV40" s="27"/>
      <c r="LKW40" s="26"/>
      <c r="LKX40" s="27"/>
      <c r="LKY40" s="26"/>
      <c r="LKZ40" s="27"/>
      <c r="LLA40" s="26"/>
      <c r="LLB40" s="27"/>
      <c r="LLC40" s="26"/>
      <c r="LLD40" s="27"/>
      <c r="LLE40" s="26"/>
      <c r="LLF40" s="27"/>
      <c r="LLG40" s="26"/>
      <c r="LLH40" s="27"/>
      <c r="LLI40" s="26"/>
      <c r="LLJ40" s="27"/>
      <c r="LLK40" s="26"/>
      <c r="LLL40" s="27"/>
      <c r="LLM40" s="26"/>
      <c r="LLN40" s="27"/>
      <c r="LLO40" s="26"/>
      <c r="LLP40" s="27"/>
      <c r="LLQ40" s="26"/>
      <c r="LLR40" s="27"/>
      <c r="LLS40" s="26"/>
      <c r="LLT40" s="27"/>
      <c r="LLU40" s="26"/>
      <c r="LLV40" s="27"/>
      <c r="LLW40" s="26"/>
      <c r="LLX40" s="27"/>
      <c r="LLY40" s="26"/>
      <c r="LLZ40" s="27"/>
      <c r="LMA40" s="26"/>
      <c r="LMB40" s="27"/>
      <c r="LMC40" s="26"/>
      <c r="LMD40" s="27"/>
      <c r="LME40" s="26"/>
      <c r="LMF40" s="27"/>
      <c r="LMG40" s="26"/>
      <c r="LMH40" s="27"/>
      <c r="LMI40" s="26"/>
      <c r="LMJ40" s="27"/>
      <c r="LMK40" s="26"/>
      <c r="LML40" s="27"/>
      <c r="LMM40" s="26"/>
      <c r="LMN40" s="27"/>
      <c r="LMO40" s="26"/>
      <c r="LMP40" s="27"/>
      <c r="LMQ40" s="26"/>
      <c r="LMR40" s="27"/>
      <c r="LMS40" s="26"/>
      <c r="LMT40" s="27"/>
      <c r="LMU40" s="26"/>
      <c r="LMV40" s="27"/>
      <c r="LMW40" s="26"/>
      <c r="LMX40" s="27"/>
      <c r="LMY40" s="26"/>
      <c r="LMZ40" s="27"/>
      <c r="LNA40" s="26"/>
      <c r="LNB40" s="27"/>
      <c r="LNC40" s="26"/>
      <c r="LND40" s="27"/>
      <c r="LNE40" s="26"/>
      <c r="LNF40" s="27"/>
      <c r="LNG40" s="26"/>
      <c r="LNH40" s="27"/>
      <c r="LNI40" s="26"/>
      <c r="LNJ40" s="27"/>
      <c r="LNK40" s="26"/>
      <c r="LNL40" s="27"/>
      <c r="LNM40" s="26"/>
      <c r="LNN40" s="27"/>
      <c r="LNO40" s="26"/>
      <c r="LNP40" s="27"/>
      <c r="LNQ40" s="26"/>
      <c r="LNR40" s="27"/>
      <c r="LNS40" s="26"/>
      <c r="LNT40" s="27"/>
      <c r="LNU40" s="26"/>
      <c r="LNV40" s="27"/>
      <c r="LNW40" s="26"/>
      <c r="LNX40" s="27"/>
      <c r="LNY40" s="26"/>
      <c r="LNZ40" s="27"/>
      <c r="LOA40" s="26"/>
      <c r="LOB40" s="27"/>
      <c r="LOC40" s="26"/>
      <c r="LOD40" s="27"/>
      <c r="LOE40" s="26"/>
      <c r="LOF40" s="27"/>
      <c r="LOG40" s="26"/>
      <c r="LOH40" s="27"/>
      <c r="LOI40" s="26"/>
      <c r="LOJ40" s="27"/>
      <c r="LOK40" s="26"/>
      <c r="LOL40" s="27"/>
      <c r="LOM40" s="26"/>
      <c r="LON40" s="27"/>
      <c r="LOO40" s="26"/>
      <c r="LOP40" s="27"/>
      <c r="LOQ40" s="26"/>
      <c r="LOR40" s="27"/>
      <c r="LOS40" s="26"/>
      <c r="LOT40" s="27"/>
      <c r="LOU40" s="26"/>
      <c r="LOV40" s="27"/>
      <c r="LOW40" s="26"/>
      <c r="LOX40" s="27"/>
      <c r="LOY40" s="26"/>
      <c r="LOZ40" s="27"/>
      <c r="LPA40" s="26"/>
      <c r="LPB40" s="27"/>
      <c r="LPC40" s="26"/>
      <c r="LPD40" s="27"/>
      <c r="LPE40" s="26"/>
      <c r="LPF40" s="27"/>
      <c r="LPG40" s="26"/>
      <c r="LPH40" s="27"/>
      <c r="LPI40" s="26"/>
      <c r="LPJ40" s="27"/>
      <c r="LPK40" s="26"/>
      <c r="LPL40" s="27"/>
      <c r="LPM40" s="26"/>
      <c r="LPN40" s="27"/>
      <c r="LPO40" s="26"/>
      <c r="LPP40" s="27"/>
      <c r="LPQ40" s="26"/>
      <c r="LPR40" s="27"/>
      <c r="LPS40" s="26"/>
      <c r="LPT40" s="27"/>
      <c r="LPU40" s="26"/>
      <c r="LPV40" s="27"/>
      <c r="LPW40" s="26"/>
      <c r="LPX40" s="27"/>
      <c r="LPY40" s="26"/>
      <c r="LPZ40" s="27"/>
      <c r="LQA40" s="26"/>
      <c r="LQB40" s="27"/>
      <c r="LQC40" s="26"/>
      <c r="LQD40" s="27"/>
      <c r="LQE40" s="26"/>
      <c r="LQF40" s="27"/>
      <c r="LQG40" s="26"/>
      <c r="LQH40" s="27"/>
      <c r="LQI40" s="26"/>
      <c r="LQJ40" s="27"/>
      <c r="LQK40" s="26"/>
      <c r="LQL40" s="27"/>
      <c r="LQM40" s="26"/>
      <c r="LQN40" s="27"/>
      <c r="LQO40" s="26"/>
      <c r="LQP40" s="27"/>
      <c r="LQQ40" s="26"/>
      <c r="LQR40" s="27"/>
      <c r="LQS40" s="26"/>
      <c r="LQT40" s="27"/>
      <c r="LQU40" s="26"/>
      <c r="LQV40" s="27"/>
      <c r="LQW40" s="26"/>
      <c r="LQX40" s="27"/>
      <c r="LQY40" s="26"/>
      <c r="LQZ40" s="27"/>
      <c r="LRA40" s="26"/>
      <c r="LRB40" s="27"/>
      <c r="LRC40" s="26"/>
      <c r="LRD40" s="27"/>
      <c r="LRE40" s="26"/>
      <c r="LRF40" s="27"/>
      <c r="LRG40" s="26"/>
      <c r="LRH40" s="27"/>
      <c r="LRI40" s="26"/>
      <c r="LRJ40" s="27"/>
      <c r="LRK40" s="26"/>
      <c r="LRL40" s="27"/>
      <c r="LRM40" s="26"/>
      <c r="LRN40" s="27"/>
      <c r="LRO40" s="26"/>
      <c r="LRP40" s="27"/>
      <c r="LRQ40" s="26"/>
      <c r="LRR40" s="27"/>
      <c r="LRS40" s="26"/>
      <c r="LRT40" s="27"/>
      <c r="LRU40" s="26"/>
      <c r="LRV40" s="27"/>
      <c r="LRW40" s="26"/>
      <c r="LRX40" s="27"/>
      <c r="LRY40" s="26"/>
      <c r="LRZ40" s="27"/>
      <c r="LSA40" s="26"/>
      <c r="LSB40" s="27"/>
      <c r="LSC40" s="26"/>
      <c r="LSD40" s="27"/>
      <c r="LSE40" s="26"/>
      <c r="LSF40" s="27"/>
      <c r="LSG40" s="26"/>
      <c r="LSH40" s="27"/>
      <c r="LSI40" s="26"/>
      <c r="LSJ40" s="27"/>
      <c r="LSK40" s="26"/>
      <c r="LSL40" s="27"/>
      <c r="LSM40" s="26"/>
      <c r="LSN40" s="27"/>
      <c r="LSO40" s="26"/>
      <c r="LSP40" s="27"/>
      <c r="LSQ40" s="26"/>
      <c r="LSR40" s="27"/>
      <c r="LSS40" s="26"/>
      <c r="LST40" s="27"/>
      <c r="LSU40" s="26"/>
      <c r="LSV40" s="27"/>
      <c r="LSW40" s="26"/>
      <c r="LSX40" s="27"/>
      <c r="LSY40" s="26"/>
      <c r="LSZ40" s="27"/>
      <c r="LTA40" s="26"/>
      <c r="LTB40" s="27"/>
      <c r="LTC40" s="26"/>
      <c r="LTD40" s="27"/>
      <c r="LTE40" s="26"/>
      <c r="LTF40" s="27"/>
      <c r="LTG40" s="26"/>
      <c r="LTH40" s="27"/>
      <c r="LTI40" s="26"/>
      <c r="LTJ40" s="27"/>
      <c r="LTK40" s="26"/>
      <c r="LTL40" s="27"/>
      <c r="LTM40" s="26"/>
      <c r="LTN40" s="27"/>
      <c r="LTO40" s="26"/>
      <c r="LTP40" s="27"/>
      <c r="LTQ40" s="26"/>
      <c r="LTR40" s="27"/>
      <c r="LTS40" s="26"/>
      <c r="LTT40" s="27"/>
      <c r="LTU40" s="26"/>
      <c r="LTV40" s="27"/>
      <c r="LTW40" s="26"/>
      <c r="LTX40" s="27"/>
      <c r="LTY40" s="26"/>
      <c r="LTZ40" s="27"/>
      <c r="LUA40" s="26"/>
      <c r="LUB40" s="27"/>
      <c r="LUC40" s="26"/>
      <c r="LUD40" s="27"/>
      <c r="LUE40" s="26"/>
      <c r="LUF40" s="27"/>
      <c r="LUG40" s="26"/>
      <c r="LUH40" s="27"/>
      <c r="LUI40" s="26"/>
      <c r="LUJ40" s="27"/>
      <c r="LUK40" s="26"/>
      <c r="LUL40" s="27"/>
      <c r="LUM40" s="26"/>
      <c r="LUN40" s="27"/>
      <c r="LUO40" s="26"/>
      <c r="LUP40" s="27"/>
      <c r="LUQ40" s="26"/>
      <c r="LUR40" s="27"/>
      <c r="LUS40" s="26"/>
      <c r="LUT40" s="27"/>
      <c r="LUU40" s="26"/>
      <c r="LUV40" s="27"/>
      <c r="LUW40" s="26"/>
      <c r="LUX40" s="27"/>
      <c r="LUY40" s="26"/>
      <c r="LUZ40" s="27"/>
      <c r="LVA40" s="26"/>
      <c r="LVB40" s="27"/>
      <c r="LVC40" s="26"/>
      <c r="LVD40" s="27"/>
      <c r="LVE40" s="26"/>
      <c r="LVF40" s="27"/>
      <c r="LVG40" s="26"/>
      <c r="LVH40" s="27"/>
      <c r="LVI40" s="26"/>
      <c r="LVJ40" s="27"/>
      <c r="LVK40" s="26"/>
      <c r="LVL40" s="27"/>
      <c r="LVM40" s="26"/>
      <c r="LVN40" s="27"/>
      <c r="LVO40" s="26"/>
      <c r="LVP40" s="27"/>
      <c r="LVQ40" s="26"/>
      <c r="LVR40" s="27"/>
      <c r="LVS40" s="26"/>
      <c r="LVT40" s="27"/>
      <c r="LVU40" s="26"/>
      <c r="LVV40" s="27"/>
      <c r="LVW40" s="26"/>
      <c r="LVX40" s="27"/>
      <c r="LVY40" s="26"/>
      <c r="LVZ40" s="27"/>
      <c r="LWA40" s="26"/>
      <c r="LWB40" s="27"/>
      <c r="LWC40" s="26"/>
      <c r="LWD40" s="27"/>
      <c r="LWE40" s="26"/>
      <c r="LWF40" s="27"/>
      <c r="LWG40" s="26"/>
      <c r="LWH40" s="27"/>
      <c r="LWI40" s="26"/>
      <c r="LWJ40" s="27"/>
      <c r="LWK40" s="26"/>
      <c r="LWL40" s="27"/>
      <c r="LWM40" s="26"/>
      <c r="LWN40" s="27"/>
      <c r="LWO40" s="26"/>
      <c r="LWP40" s="27"/>
      <c r="LWQ40" s="26"/>
      <c r="LWR40" s="27"/>
      <c r="LWS40" s="26"/>
      <c r="LWT40" s="27"/>
      <c r="LWU40" s="26"/>
      <c r="LWV40" s="27"/>
      <c r="LWW40" s="26"/>
      <c r="LWX40" s="27"/>
      <c r="LWY40" s="26"/>
      <c r="LWZ40" s="27"/>
      <c r="LXA40" s="26"/>
      <c r="LXB40" s="27"/>
      <c r="LXC40" s="26"/>
      <c r="LXD40" s="27"/>
      <c r="LXE40" s="26"/>
      <c r="LXF40" s="27"/>
      <c r="LXG40" s="26"/>
      <c r="LXH40" s="27"/>
      <c r="LXI40" s="26"/>
      <c r="LXJ40" s="27"/>
      <c r="LXK40" s="26"/>
      <c r="LXL40" s="27"/>
      <c r="LXM40" s="26"/>
      <c r="LXN40" s="27"/>
      <c r="LXO40" s="26"/>
      <c r="LXP40" s="27"/>
      <c r="LXQ40" s="26"/>
      <c r="LXR40" s="27"/>
      <c r="LXS40" s="26"/>
      <c r="LXT40" s="27"/>
      <c r="LXU40" s="26"/>
      <c r="LXV40" s="27"/>
      <c r="LXW40" s="26"/>
      <c r="LXX40" s="27"/>
      <c r="LXY40" s="26"/>
      <c r="LXZ40" s="27"/>
      <c r="LYA40" s="26"/>
      <c r="LYB40" s="27"/>
      <c r="LYC40" s="26"/>
      <c r="LYD40" s="27"/>
      <c r="LYE40" s="26"/>
      <c r="LYF40" s="27"/>
      <c r="LYG40" s="26"/>
      <c r="LYH40" s="27"/>
      <c r="LYI40" s="26"/>
      <c r="LYJ40" s="27"/>
      <c r="LYK40" s="26"/>
      <c r="LYL40" s="27"/>
      <c r="LYM40" s="26"/>
      <c r="LYN40" s="27"/>
      <c r="LYO40" s="26"/>
      <c r="LYP40" s="27"/>
      <c r="LYQ40" s="26"/>
      <c r="LYR40" s="27"/>
      <c r="LYS40" s="26"/>
      <c r="LYT40" s="27"/>
      <c r="LYU40" s="26"/>
      <c r="LYV40" s="27"/>
      <c r="LYW40" s="26"/>
      <c r="LYX40" s="27"/>
      <c r="LYY40" s="26"/>
      <c r="LYZ40" s="27"/>
      <c r="LZA40" s="26"/>
      <c r="LZB40" s="27"/>
      <c r="LZC40" s="26"/>
      <c r="LZD40" s="27"/>
      <c r="LZE40" s="26"/>
      <c r="LZF40" s="27"/>
      <c r="LZG40" s="26"/>
      <c r="LZH40" s="27"/>
      <c r="LZI40" s="26"/>
      <c r="LZJ40" s="27"/>
      <c r="LZK40" s="26"/>
      <c r="LZL40" s="27"/>
      <c r="LZM40" s="26"/>
      <c r="LZN40" s="27"/>
      <c r="LZO40" s="26"/>
      <c r="LZP40" s="27"/>
      <c r="LZQ40" s="26"/>
      <c r="LZR40" s="27"/>
      <c r="LZS40" s="26"/>
      <c r="LZT40" s="27"/>
      <c r="LZU40" s="26"/>
      <c r="LZV40" s="27"/>
      <c r="LZW40" s="26"/>
      <c r="LZX40" s="27"/>
      <c r="LZY40" s="26"/>
      <c r="LZZ40" s="27"/>
      <c r="MAA40" s="26"/>
      <c r="MAB40" s="27"/>
      <c r="MAC40" s="26"/>
      <c r="MAD40" s="27"/>
      <c r="MAE40" s="26"/>
      <c r="MAF40" s="27"/>
      <c r="MAG40" s="26"/>
      <c r="MAH40" s="27"/>
      <c r="MAI40" s="26"/>
      <c r="MAJ40" s="27"/>
      <c r="MAK40" s="26"/>
      <c r="MAL40" s="27"/>
      <c r="MAM40" s="26"/>
      <c r="MAN40" s="27"/>
      <c r="MAO40" s="26"/>
      <c r="MAP40" s="27"/>
      <c r="MAQ40" s="26"/>
      <c r="MAR40" s="27"/>
      <c r="MAS40" s="26"/>
      <c r="MAT40" s="27"/>
      <c r="MAU40" s="26"/>
      <c r="MAV40" s="27"/>
      <c r="MAW40" s="26"/>
      <c r="MAX40" s="27"/>
      <c r="MAY40" s="26"/>
      <c r="MAZ40" s="27"/>
      <c r="MBA40" s="26"/>
      <c r="MBB40" s="27"/>
      <c r="MBC40" s="26"/>
      <c r="MBD40" s="27"/>
      <c r="MBE40" s="26"/>
      <c r="MBF40" s="27"/>
      <c r="MBG40" s="26"/>
      <c r="MBH40" s="27"/>
      <c r="MBI40" s="26"/>
      <c r="MBJ40" s="27"/>
      <c r="MBK40" s="26"/>
      <c r="MBL40" s="27"/>
      <c r="MBM40" s="26"/>
      <c r="MBN40" s="27"/>
      <c r="MBO40" s="26"/>
      <c r="MBP40" s="27"/>
      <c r="MBQ40" s="26"/>
      <c r="MBR40" s="27"/>
      <c r="MBS40" s="26"/>
      <c r="MBT40" s="27"/>
      <c r="MBU40" s="26"/>
      <c r="MBV40" s="27"/>
      <c r="MBW40" s="26"/>
      <c r="MBX40" s="27"/>
      <c r="MBY40" s="26"/>
      <c r="MBZ40" s="27"/>
      <c r="MCA40" s="26"/>
      <c r="MCB40" s="27"/>
      <c r="MCC40" s="26"/>
      <c r="MCD40" s="27"/>
      <c r="MCE40" s="26"/>
      <c r="MCF40" s="27"/>
      <c r="MCG40" s="26"/>
      <c r="MCH40" s="27"/>
      <c r="MCI40" s="26"/>
      <c r="MCJ40" s="27"/>
      <c r="MCK40" s="26"/>
      <c r="MCL40" s="27"/>
      <c r="MCM40" s="26"/>
      <c r="MCN40" s="27"/>
      <c r="MCO40" s="26"/>
      <c r="MCP40" s="27"/>
      <c r="MCQ40" s="26"/>
      <c r="MCR40" s="27"/>
      <c r="MCS40" s="26"/>
      <c r="MCT40" s="27"/>
      <c r="MCU40" s="26"/>
      <c r="MCV40" s="27"/>
      <c r="MCW40" s="26"/>
      <c r="MCX40" s="27"/>
      <c r="MCY40" s="26"/>
      <c r="MCZ40" s="27"/>
      <c r="MDA40" s="26"/>
      <c r="MDB40" s="27"/>
      <c r="MDC40" s="26"/>
      <c r="MDD40" s="27"/>
      <c r="MDE40" s="26"/>
      <c r="MDF40" s="27"/>
      <c r="MDG40" s="26"/>
      <c r="MDH40" s="27"/>
      <c r="MDI40" s="26"/>
      <c r="MDJ40" s="27"/>
      <c r="MDK40" s="26"/>
      <c r="MDL40" s="27"/>
      <c r="MDM40" s="26"/>
      <c r="MDN40" s="27"/>
      <c r="MDO40" s="26"/>
      <c r="MDP40" s="27"/>
      <c r="MDQ40" s="26"/>
      <c r="MDR40" s="27"/>
      <c r="MDS40" s="26"/>
      <c r="MDT40" s="27"/>
      <c r="MDU40" s="26"/>
      <c r="MDV40" s="27"/>
      <c r="MDW40" s="26"/>
      <c r="MDX40" s="27"/>
      <c r="MDY40" s="26"/>
      <c r="MDZ40" s="27"/>
      <c r="MEA40" s="26"/>
      <c r="MEB40" s="27"/>
      <c r="MEC40" s="26"/>
      <c r="MED40" s="27"/>
      <c r="MEE40" s="26"/>
      <c r="MEF40" s="27"/>
      <c r="MEG40" s="26"/>
      <c r="MEH40" s="27"/>
      <c r="MEI40" s="26"/>
      <c r="MEJ40" s="27"/>
      <c r="MEK40" s="26"/>
      <c r="MEL40" s="27"/>
      <c r="MEM40" s="26"/>
      <c r="MEN40" s="27"/>
      <c r="MEO40" s="26"/>
      <c r="MEP40" s="27"/>
      <c r="MEQ40" s="26"/>
      <c r="MER40" s="27"/>
      <c r="MES40" s="26"/>
      <c r="MET40" s="27"/>
      <c r="MEU40" s="26"/>
      <c r="MEV40" s="27"/>
      <c r="MEW40" s="26"/>
      <c r="MEX40" s="27"/>
      <c r="MEY40" s="26"/>
      <c r="MEZ40" s="27"/>
      <c r="MFA40" s="26"/>
      <c r="MFB40" s="27"/>
      <c r="MFC40" s="26"/>
      <c r="MFD40" s="27"/>
      <c r="MFE40" s="26"/>
      <c r="MFF40" s="27"/>
      <c r="MFG40" s="26"/>
      <c r="MFH40" s="27"/>
      <c r="MFI40" s="26"/>
      <c r="MFJ40" s="27"/>
      <c r="MFK40" s="26"/>
      <c r="MFL40" s="27"/>
      <c r="MFM40" s="26"/>
      <c r="MFN40" s="27"/>
      <c r="MFO40" s="26"/>
      <c r="MFP40" s="27"/>
      <c r="MFQ40" s="26"/>
      <c r="MFR40" s="27"/>
      <c r="MFS40" s="26"/>
      <c r="MFT40" s="27"/>
      <c r="MFU40" s="26"/>
      <c r="MFV40" s="27"/>
      <c r="MFW40" s="26"/>
      <c r="MFX40" s="27"/>
      <c r="MFY40" s="26"/>
      <c r="MFZ40" s="27"/>
      <c r="MGA40" s="26"/>
      <c r="MGB40" s="27"/>
      <c r="MGC40" s="26"/>
      <c r="MGD40" s="27"/>
      <c r="MGE40" s="26"/>
      <c r="MGF40" s="27"/>
      <c r="MGG40" s="26"/>
      <c r="MGH40" s="27"/>
      <c r="MGI40" s="26"/>
      <c r="MGJ40" s="27"/>
      <c r="MGK40" s="26"/>
      <c r="MGL40" s="27"/>
      <c r="MGM40" s="26"/>
      <c r="MGN40" s="27"/>
      <c r="MGO40" s="26"/>
      <c r="MGP40" s="27"/>
      <c r="MGQ40" s="26"/>
      <c r="MGR40" s="27"/>
      <c r="MGS40" s="26"/>
      <c r="MGT40" s="27"/>
      <c r="MGU40" s="26"/>
      <c r="MGV40" s="27"/>
      <c r="MGW40" s="26"/>
      <c r="MGX40" s="27"/>
      <c r="MGY40" s="26"/>
      <c r="MGZ40" s="27"/>
      <c r="MHA40" s="26"/>
      <c r="MHB40" s="27"/>
      <c r="MHC40" s="26"/>
      <c r="MHD40" s="27"/>
      <c r="MHE40" s="26"/>
      <c r="MHF40" s="27"/>
      <c r="MHG40" s="26"/>
      <c r="MHH40" s="27"/>
      <c r="MHI40" s="26"/>
      <c r="MHJ40" s="27"/>
      <c r="MHK40" s="26"/>
      <c r="MHL40" s="27"/>
      <c r="MHM40" s="26"/>
      <c r="MHN40" s="27"/>
      <c r="MHO40" s="26"/>
      <c r="MHP40" s="27"/>
      <c r="MHQ40" s="26"/>
      <c r="MHR40" s="27"/>
      <c r="MHS40" s="26"/>
      <c r="MHT40" s="27"/>
      <c r="MHU40" s="26"/>
      <c r="MHV40" s="27"/>
      <c r="MHW40" s="26"/>
      <c r="MHX40" s="27"/>
      <c r="MHY40" s="26"/>
      <c r="MHZ40" s="27"/>
      <c r="MIA40" s="26"/>
      <c r="MIB40" s="27"/>
      <c r="MIC40" s="26"/>
      <c r="MID40" s="27"/>
      <c r="MIE40" s="26"/>
      <c r="MIF40" s="27"/>
      <c r="MIG40" s="26"/>
      <c r="MIH40" s="27"/>
      <c r="MII40" s="26"/>
      <c r="MIJ40" s="27"/>
      <c r="MIK40" s="26"/>
      <c r="MIL40" s="27"/>
      <c r="MIM40" s="26"/>
      <c r="MIN40" s="27"/>
      <c r="MIO40" s="26"/>
      <c r="MIP40" s="27"/>
      <c r="MIQ40" s="26"/>
      <c r="MIR40" s="27"/>
      <c r="MIS40" s="26"/>
      <c r="MIT40" s="27"/>
      <c r="MIU40" s="26"/>
      <c r="MIV40" s="27"/>
      <c r="MIW40" s="26"/>
      <c r="MIX40" s="27"/>
      <c r="MIY40" s="26"/>
      <c r="MIZ40" s="27"/>
      <c r="MJA40" s="26"/>
      <c r="MJB40" s="27"/>
      <c r="MJC40" s="26"/>
      <c r="MJD40" s="27"/>
      <c r="MJE40" s="26"/>
      <c r="MJF40" s="27"/>
      <c r="MJG40" s="26"/>
      <c r="MJH40" s="27"/>
      <c r="MJI40" s="26"/>
      <c r="MJJ40" s="27"/>
      <c r="MJK40" s="26"/>
      <c r="MJL40" s="27"/>
      <c r="MJM40" s="26"/>
      <c r="MJN40" s="27"/>
      <c r="MJO40" s="26"/>
      <c r="MJP40" s="27"/>
      <c r="MJQ40" s="26"/>
      <c r="MJR40" s="27"/>
      <c r="MJS40" s="26"/>
      <c r="MJT40" s="27"/>
      <c r="MJU40" s="26"/>
      <c r="MJV40" s="27"/>
      <c r="MJW40" s="26"/>
      <c r="MJX40" s="27"/>
      <c r="MJY40" s="26"/>
      <c r="MJZ40" s="27"/>
      <c r="MKA40" s="26"/>
      <c r="MKB40" s="27"/>
      <c r="MKC40" s="26"/>
      <c r="MKD40" s="27"/>
      <c r="MKE40" s="26"/>
      <c r="MKF40" s="27"/>
      <c r="MKG40" s="26"/>
      <c r="MKH40" s="27"/>
      <c r="MKI40" s="26"/>
      <c r="MKJ40" s="27"/>
      <c r="MKK40" s="26"/>
      <c r="MKL40" s="27"/>
      <c r="MKM40" s="26"/>
      <c r="MKN40" s="27"/>
      <c r="MKO40" s="26"/>
      <c r="MKP40" s="27"/>
      <c r="MKQ40" s="26"/>
      <c r="MKR40" s="27"/>
      <c r="MKS40" s="26"/>
      <c r="MKT40" s="27"/>
      <c r="MKU40" s="26"/>
      <c r="MKV40" s="27"/>
      <c r="MKW40" s="26"/>
      <c r="MKX40" s="27"/>
      <c r="MKY40" s="26"/>
      <c r="MKZ40" s="27"/>
      <c r="MLA40" s="26"/>
      <c r="MLB40" s="27"/>
      <c r="MLC40" s="26"/>
      <c r="MLD40" s="27"/>
      <c r="MLE40" s="26"/>
      <c r="MLF40" s="27"/>
      <c r="MLG40" s="26"/>
      <c r="MLH40" s="27"/>
      <c r="MLI40" s="26"/>
      <c r="MLJ40" s="27"/>
      <c r="MLK40" s="26"/>
      <c r="MLL40" s="27"/>
      <c r="MLM40" s="26"/>
      <c r="MLN40" s="27"/>
      <c r="MLO40" s="26"/>
      <c r="MLP40" s="27"/>
      <c r="MLQ40" s="26"/>
      <c r="MLR40" s="27"/>
      <c r="MLS40" s="26"/>
      <c r="MLT40" s="27"/>
      <c r="MLU40" s="26"/>
      <c r="MLV40" s="27"/>
      <c r="MLW40" s="26"/>
      <c r="MLX40" s="27"/>
      <c r="MLY40" s="26"/>
      <c r="MLZ40" s="27"/>
      <c r="MMA40" s="26"/>
      <c r="MMB40" s="27"/>
      <c r="MMC40" s="26"/>
      <c r="MMD40" s="27"/>
      <c r="MME40" s="26"/>
      <c r="MMF40" s="27"/>
      <c r="MMG40" s="26"/>
      <c r="MMH40" s="27"/>
      <c r="MMI40" s="26"/>
      <c r="MMJ40" s="27"/>
      <c r="MMK40" s="26"/>
      <c r="MML40" s="27"/>
      <c r="MMM40" s="26"/>
      <c r="MMN40" s="27"/>
      <c r="MMO40" s="26"/>
      <c r="MMP40" s="27"/>
      <c r="MMQ40" s="26"/>
      <c r="MMR40" s="27"/>
      <c r="MMS40" s="26"/>
      <c r="MMT40" s="27"/>
      <c r="MMU40" s="26"/>
      <c r="MMV40" s="27"/>
      <c r="MMW40" s="26"/>
      <c r="MMX40" s="27"/>
      <c r="MMY40" s="26"/>
      <c r="MMZ40" s="27"/>
      <c r="MNA40" s="26"/>
      <c r="MNB40" s="27"/>
      <c r="MNC40" s="26"/>
      <c r="MND40" s="27"/>
      <c r="MNE40" s="26"/>
      <c r="MNF40" s="27"/>
      <c r="MNG40" s="26"/>
      <c r="MNH40" s="27"/>
      <c r="MNI40" s="26"/>
      <c r="MNJ40" s="27"/>
      <c r="MNK40" s="26"/>
      <c r="MNL40" s="27"/>
      <c r="MNM40" s="26"/>
      <c r="MNN40" s="27"/>
      <c r="MNO40" s="26"/>
      <c r="MNP40" s="27"/>
      <c r="MNQ40" s="26"/>
      <c r="MNR40" s="27"/>
      <c r="MNS40" s="26"/>
      <c r="MNT40" s="27"/>
      <c r="MNU40" s="26"/>
      <c r="MNV40" s="27"/>
      <c r="MNW40" s="26"/>
      <c r="MNX40" s="27"/>
      <c r="MNY40" s="26"/>
      <c r="MNZ40" s="27"/>
      <c r="MOA40" s="26"/>
      <c r="MOB40" s="27"/>
      <c r="MOC40" s="26"/>
      <c r="MOD40" s="27"/>
      <c r="MOE40" s="26"/>
      <c r="MOF40" s="27"/>
      <c r="MOG40" s="26"/>
      <c r="MOH40" s="27"/>
      <c r="MOI40" s="26"/>
      <c r="MOJ40" s="27"/>
      <c r="MOK40" s="26"/>
      <c r="MOL40" s="27"/>
      <c r="MOM40" s="26"/>
      <c r="MON40" s="27"/>
      <c r="MOO40" s="26"/>
      <c r="MOP40" s="27"/>
      <c r="MOQ40" s="26"/>
      <c r="MOR40" s="27"/>
      <c r="MOS40" s="26"/>
      <c r="MOT40" s="27"/>
      <c r="MOU40" s="26"/>
      <c r="MOV40" s="27"/>
      <c r="MOW40" s="26"/>
      <c r="MOX40" s="27"/>
      <c r="MOY40" s="26"/>
      <c r="MOZ40" s="27"/>
      <c r="MPA40" s="26"/>
      <c r="MPB40" s="27"/>
      <c r="MPC40" s="26"/>
      <c r="MPD40" s="27"/>
      <c r="MPE40" s="26"/>
      <c r="MPF40" s="27"/>
      <c r="MPG40" s="26"/>
      <c r="MPH40" s="27"/>
      <c r="MPI40" s="26"/>
      <c r="MPJ40" s="27"/>
      <c r="MPK40" s="26"/>
      <c r="MPL40" s="27"/>
      <c r="MPM40" s="26"/>
      <c r="MPN40" s="27"/>
      <c r="MPO40" s="26"/>
      <c r="MPP40" s="27"/>
      <c r="MPQ40" s="26"/>
      <c r="MPR40" s="27"/>
      <c r="MPS40" s="26"/>
      <c r="MPT40" s="27"/>
      <c r="MPU40" s="26"/>
      <c r="MPV40" s="27"/>
      <c r="MPW40" s="26"/>
      <c r="MPX40" s="27"/>
      <c r="MPY40" s="26"/>
      <c r="MPZ40" s="27"/>
      <c r="MQA40" s="26"/>
      <c r="MQB40" s="27"/>
      <c r="MQC40" s="26"/>
      <c r="MQD40" s="27"/>
      <c r="MQE40" s="26"/>
      <c r="MQF40" s="27"/>
      <c r="MQG40" s="26"/>
      <c r="MQH40" s="27"/>
      <c r="MQI40" s="26"/>
      <c r="MQJ40" s="27"/>
      <c r="MQK40" s="26"/>
      <c r="MQL40" s="27"/>
      <c r="MQM40" s="26"/>
      <c r="MQN40" s="27"/>
      <c r="MQO40" s="26"/>
      <c r="MQP40" s="27"/>
      <c r="MQQ40" s="26"/>
      <c r="MQR40" s="27"/>
      <c r="MQS40" s="26"/>
      <c r="MQT40" s="27"/>
      <c r="MQU40" s="26"/>
      <c r="MQV40" s="27"/>
      <c r="MQW40" s="26"/>
      <c r="MQX40" s="27"/>
      <c r="MQY40" s="26"/>
      <c r="MQZ40" s="27"/>
      <c r="MRA40" s="26"/>
      <c r="MRB40" s="27"/>
      <c r="MRC40" s="26"/>
      <c r="MRD40" s="27"/>
      <c r="MRE40" s="26"/>
      <c r="MRF40" s="27"/>
      <c r="MRG40" s="26"/>
      <c r="MRH40" s="27"/>
      <c r="MRI40" s="26"/>
      <c r="MRJ40" s="27"/>
      <c r="MRK40" s="26"/>
      <c r="MRL40" s="27"/>
      <c r="MRM40" s="26"/>
      <c r="MRN40" s="27"/>
      <c r="MRO40" s="26"/>
      <c r="MRP40" s="27"/>
      <c r="MRQ40" s="26"/>
      <c r="MRR40" s="27"/>
      <c r="MRS40" s="26"/>
      <c r="MRT40" s="27"/>
      <c r="MRU40" s="26"/>
      <c r="MRV40" s="27"/>
      <c r="MRW40" s="26"/>
      <c r="MRX40" s="27"/>
      <c r="MRY40" s="26"/>
      <c r="MRZ40" s="27"/>
      <c r="MSA40" s="26"/>
      <c r="MSB40" s="27"/>
      <c r="MSC40" s="26"/>
      <c r="MSD40" s="27"/>
      <c r="MSE40" s="26"/>
      <c r="MSF40" s="27"/>
      <c r="MSG40" s="26"/>
      <c r="MSH40" s="27"/>
      <c r="MSI40" s="26"/>
      <c r="MSJ40" s="27"/>
      <c r="MSK40" s="26"/>
      <c r="MSL40" s="27"/>
      <c r="MSM40" s="26"/>
      <c r="MSN40" s="27"/>
      <c r="MSO40" s="26"/>
      <c r="MSP40" s="27"/>
      <c r="MSQ40" s="26"/>
      <c r="MSR40" s="27"/>
      <c r="MSS40" s="26"/>
      <c r="MST40" s="27"/>
      <c r="MSU40" s="26"/>
      <c r="MSV40" s="27"/>
      <c r="MSW40" s="26"/>
      <c r="MSX40" s="27"/>
      <c r="MSY40" s="26"/>
      <c r="MSZ40" s="27"/>
      <c r="MTA40" s="26"/>
      <c r="MTB40" s="27"/>
      <c r="MTC40" s="26"/>
      <c r="MTD40" s="27"/>
      <c r="MTE40" s="26"/>
      <c r="MTF40" s="27"/>
      <c r="MTG40" s="26"/>
      <c r="MTH40" s="27"/>
      <c r="MTI40" s="26"/>
      <c r="MTJ40" s="27"/>
      <c r="MTK40" s="26"/>
      <c r="MTL40" s="27"/>
      <c r="MTM40" s="26"/>
      <c r="MTN40" s="27"/>
      <c r="MTO40" s="26"/>
      <c r="MTP40" s="27"/>
      <c r="MTQ40" s="26"/>
      <c r="MTR40" s="27"/>
      <c r="MTS40" s="26"/>
      <c r="MTT40" s="27"/>
      <c r="MTU40" s="26"/>
      <c r="MTV40" s="27"/>
      <c r="MTW40" s="26"/>
      <c r="MTX40" s="27"/>
      <c r="MTY40" s="26"/>
      <c r="MTZ40" s="27"/>
      <c r="MUA40" s="26"/>
      <c r="MUB40" s="27"/>
      <c r="MUC40" s="26"/>
      <c r="MUD40" s="27"/>
      <c r="MUE40" s="26"/>
      <c r="MUF40" s="27"/>
      <c r="MUG40" s="26"/>
      <c r="MUH40" s="27"/>
      <c r="MUI40" s="26"/>
      <c r="MUJ40" s="27"/>
      <c r="MUK40" s="26"/>
      <c r="MUL40" s="27"/>
      <c r="MUM40" s="26"/>
      <c r="MUN40" s="27"/>
      <c r="MUO40" s="26"/>
      <c r="MUP40" s="27"/>
      <c r="MUQ40" s="26"/>
      <c r="MUR40" s="27"/>
      <c r="MUS40" s="26"/>
      <c r="MUT40" s="27"/>
      <c r="MUU40" s="26"/>
      <c r="MUV40" s="27"/>
      <c r="MUW40" s="26"/>
      <c r="MUX40" s="27"/>
      <c r="MUY40" s="26"/>
      <c r="MUZ40" s="27"/>
      <c r="MVA40" s="26"/>
      <c r="MVB40" s="27"/>
      <c r="MVC40" s="26"/>
      <c r="MVD40" s="27"/>
      <c r="MVE40" s="26"/>
      <c r="MVF40" s="27"/>
      <c r="MVG40" s="26"/>
      <c r="MVH40" s="27"/>
      <c r="MVI40" s="26"/>
      <c r="MVJ40" s="27"/>
      <c r="MVK40" s="26"/>
      <c r="MVL40" s="27"/>
      <c r="MVM40" s="26"/>
      <c r="MVN40" s="27"/>
      <c r="MVO40" s="26"/>
      <c r="MVP40" s="27"/>
      <c r="MVQ40" s="26"/>
      <c r="MVR40" s="27"/>
      <c r="MVS40" s="26"/>
      <c r="MVT40" s="27"/>
      <c r="MVU40" s="26"/>
      <c r="MVV40" s="27"/>
      <c r="MVW40" s="26"/>
      <c r="MVX40" s="27"/>
      <c r="MVY40" s="26"/>
      <c r="MVZ40" s="27"/>
      <c r="MWA40" s="26"/>
      <c r="MWB40" s="27"/>
      <c r="MWC40" s="26"/>
      <c r="MWD40" s="27"/>
      <c r="MWE40" s="26"/>
      <c r="MWF40" s="27"/>
      <c r="MWG40" s="26"/>
      <c r="MWH40" s="27"/>
      <c r="MWI40" s="26"/>
      <c r="MWJ40" s="27"/>
      <c r="MWK40" s="26"/>
      <c r="MWL40" s="27"/>
      <c r="MWM40" s="26"/>
      <c r="MWN40" s="27"/>
      <c r="MWO40" s="26"/>
      <c r="MWP40" s="27"/>
      <c r="MWQ40" s="26"/>
      <c r="MWR40" s="27"/>
      <c r="MWS40" s="26"/>
      <c r="MWT40" s="27"/>
      <c r="MWU40" s="26"/>
      <c r="MWV40" s="27"/>
      <c r="MWW40" s="26"/>
      <c r="MWX40" s="27"/>
      <c r="MWY40" s="26"/>
      <c r="MWZ40" s="27"/>
      <c r="MXA40" s="26"/>
      <c r="MXB40" s="27"/>
      <c r="MXC40" s="26"/>
      <c r="MXD40" s="27"/>
      <c r="MXE40" s="26"/>
      <c r="MXF40" s="27"/>
      <c r="MXG40" s="26"/>
      <c r="MXH40" s="27"/>
      <c r="MXI40" s="26"/>
      <c r="MXJ40" s="27"/>
      <c r="MXK40" s="26"/>
      <c r="MXL40" s="27"/>
      <c r="MXM40" s="26"/>
      <c r="MXN40" s="27"/>
      <c r="MXO40" s="26"/>
      <c r="MXP40" s="27"/>
      <c r="MXQ40" s="26"/>
      <c r="MXR40" s="27"/>
      <c r="MXS40" s="26"/>
      <c r="MXT40" s="27"/>
      <c r="MXU40" s="26"/>
      <c r="MXV40" s="27"/>
      <c r="MXW40" s="26"/>
      <c r="MXX40" s="27"/>
      <c r="MXY40" s="26"/>
      <c r="MXZ40" s="27"/>
      <c r="MYA40" s="26"/>
      <c r="MYB40" s="27"/>
      <c r="MYC40" s="26"/>
      <c r="MYD40" s="27"/>
      <c r="MYE40" s="26"/>
      <c r="MYF40" s="27"/>
      <c r="MYG40" s="26"/>
      <c r="MYH40" s="27"/>
      <c r="MYI40" s="26"/>
      <c r="MYJ40" s="27"/>
      <c r="MYK40" s="26"/>
      <c r="MYL40" s="27"/>
      <c r="MYM40" s="26"/>
      <c r="MYN40" s="27"/>
      <c r="MYO40" s="26"/>
      <c r="MYP40" s="27"/>
      <c r="MYQ40" s="26"/>
      <c r="MYR40" s="27"/>
      <c r="MYS40" s="26"/>
      <c r="MYT40" s="27"/>
      <c r="MYU40" s="26"/>
      <c r="MYV40" s="27"/>
      <c r="MYW40" s="26"/>
      <c r="MYX40" s="27"/>
      <c r="MYY40" s="26"/>
      <c r="MYZ40" s="27"/>
      <c r="MZA40" s="26"/>
      <c r="MZB40" s="27"/>
      <c r="MZC40" s="26"/>
      <c r="MZD40" s="27"/>
      <c r="MZE40" s="26"/>
      <c r="MZF40" s="27"/>
      <c r="MZG40" s="26"/>
      <c r="MZH40" s="27"/>
      <c r="MZI40" s="26"/>
      <c r="MZJ40" s="27"/>
      <c r="MZK40" s="26"/>
      <c r="MZL40" s="27"/>
      <c r="MZM40" s="26"/>
      <c r="MZN40" s="27"/>
      <c r="MZO40" s="26"/>
      <c r="MZP40" s="27"/>
      <c r="MZQ40" s="26"/>
      <c r="MZR40" s="27"/>
      <c r="MZS40" s="26"/>
      <c r="MZT40" s="27"/>
      <c r="MZU40" s="26"/>
      <c r="MZV40" s="27"/>
      <c r="MZW40" s="26"/>
      <c r="MZX40" s="27"/>
      <c r="MZY40" s="26"/>
      <c r="MZZ40" s="27"/>
      <c r="NAA40" s="26"/>
      <c r="NAB40" s="27"/>
      <c r="NAC40" s="26"/>
      <c r="NAD40" s="27"/>
      <c r="NAE40" s="26"/>
      <c r="NAF40" s="27"/>
      <c r="NAG40" s="26"/>
      <c r="NAH40" s="27"/>
      <c r="NAI40" s="26"/>
      <c r="NAJ40" s="27"/>
      <c r="NAK40" s="26"/>
      <c r="NAL40" s="27"/>
      <c r="NAM40" s="26"/>
      <c r="NAN40" s="27"/>
      <c r="NAO40" s="26"/>
      <c r="NAP40" s="27"/>
      <c r="NAQ40" s="26"/>
      <c r="NAR40" s="27"/>
      <c r="NAS40" s="26"/>
      <c r="NAT40" s="27"/>
      <c r="NAU40" s="26"/>
      <c r="NAV40" s="27"/>
      <c r="NAW40" s="26"/>
      <c r="NAX40" s="27"/>
      <c r="NAY40" s="26"/>
      <c r="NAZ40" s="27"/>
      <c r="NBA40" s="26"/>
      <c r="NBB40" s="27"/>
      <c r="NBC40" s="26"/>
      <c r="NBD40" s="27"/>
      <c r="NBE40" s="26"/>
      <c r="NBF40" s="27"/>
      <c r="NBG40" s="26"/>
      <c r="NBH40" s="27"/>
      <c r="NBI40" s="26"/>
      <c r="NBJ40" s="27"/>
      <c r="NBK40" s="26"/>
      <c r="NBL40" s="27"/>
      <c r="NBM40" s="26"/>
      <c r="NBN40" s="27"/>
      <c r="NBO40" s="26"/>
      <c r="NBP40" s="27"/>
      <c r="NBQ40" s="26"/>
      <c r="NBR40" s="27"/>
      <c r="NBS40" s="26"/>
      <c r="NBT40" s="27"/>
      <c r="NBU40" s="26"/>
      <c r="NBV40" s="27"/>
      <c r="NBW40" s="26"/>
      <c r="NBX40" s="27"/>
      <c r="NBY40" s="26"/>
      <c r="NBZ40" s="27"/>
      <c r="NCA40" s="26"/>
      <c r="NCB40" s="27"/>
      <c r="NCC40" s="26"/>
      <c r="NCD40" s="27"/>
      <c r="NCE40" s="26"/>
      <c r="NCF40" s="27"/>
      <c r="NCG40" s="26"/>
      <c r="NCH40" s="27"/>
      <c r="NCI40" s="26"/>
      <c r="NCJ40" s="27"/>
      <c r="NCK40" s="26"/>
      <c r="NCL40" s="27"/>
      <c r="NCM40" s="26"/>
      <c r="NCN40" s="27"/>
      <c r="NCO40" s="26"/>
      <c r="NCP40" s="27"/>
      <c r="NCQ40" s="26"/>
      <c r="NCR40" s="27"/>
      <c r="NCS40" s="26"/>
      <c r="NCT40" s="27"/>
      <c r="NCU40" s="26"/>
      <c r="NCV40" s="27"/>
      <c r="NCW40" s="26"/>
      <c r="NCX40" s="27"/>
      <c r="NCY40" s="26"/>
      <c r="NCZ40" s="27"/>
      <c r="NDA40" s="26"/>
      <c r="NDB40" s="27"/>
      <c r="NDC40" s="26"/>
      <c r="NDD40" s="27"/>
      <c r="NDE40" s="26"/>
      <c r="NDF40" s="27"/>
      <c r="NDG40" s="26"/>
      <c r="NDH40" s="27"/>
      <c r="NDI40" s="26"/>
      <c r="NDJ40" s="27"/>
      <c r="NDK40" s="26"/>
      <c r="NDL40" s="27"/>
      <c r="NDM40" s="26"/>
      <c r="NDN40" s="27"/>
      <c r="NDO40" s="26"/>
      <c r="NDP40" s="27"/>
      <c r="NDQ40" s="26"/>
      <c r="NDR40" s="27"/>
      <c r="NDS40" s="26"/>
      <c r="NDT40" s="27"/>
      <c r="NDU40" s="26"/>
      <c r="NDV40" s="27"/>
      <c r="NDW40" s="26"/>
      <c r="NDX40" s="27"/>
      <c r="NDY40" s="26"/>
      <c r="NDZ40" s="27"/>
      <c r="NEA40" s="26"/>
      <c r="NEB40" s="27"/>
      <c r="NEC40" s="26"/>
      <c r="NED40" s="27"/>
      <c r="NEE40" s="26"/>
      <c r="NEF40" s="27"/>
      <c r="NEG40" s="26"/>
      <c r="NEH40" s="27"/>
      <c r="NEI40" s="26"/>
      <c r="NEJ40" s="27"/>
      <c r="NEK40" s="26"/>
      <c r="NEL40" s="27"/>
      <c r="NEM40" s="26"/>
      <c r="NEN40" s="27"/>
      <c r="NEO40" s="26"/>
      <c r="NEP40" s="27"/>
      <c r="NEQ40" s="26"/>
      <c r="NER40" s="27"/>
      <c r="NES40" s="26"/>
      <c r="NET40" s="27"/>
      <c r="NEU40" s="26"/>
      <c r="NEV40" s="27"/>
      <c r="NEW40" s="26"/>
      <c r="NEX40" s="27"/>
      <c r="NEY40" s="26"/>
      <c r="NEZ40" s="27"/>
      <c r="NFA40" s="26"/>
      <c r="NFB40" s="27"/>
      <c r="NFC40" s="26"/>
      <c r="NFD40" s="27"/>
      <c r="NFE40" s="26"/>
      <c r="NFF40" s="27"/>
      <c r="NFG40" s="26"/>
      <c r="NFH40" s="27"/>
      <c r="NFI40" s="26"/>
      <c r="NFJ40" s="27"/>
      <c r="NFK40" s="26"/>
      <c r="NFL40" s="27"/>
      <c r="NFM40" s="26"/>
      <c r="NFN40" s="27"/>
      <c r="NFO40" s="26"/>
      <c r="NFP40" s="27"/>
      <c r="NFQ40" s="26"/>
      <c r="NFR40" s="27"/>
      <c r="NFS40" s="26"/>
      <c r="NFT40" s="27"/>
      <c r="NFU40" s="26"/>
      <c r="NFV40" s="27"/>
      <c r="NFW40" s="26"/>
      <c r="NFX40" s="27"/>
      <c r="NFY40" s="26"/>
      <c r="NFZ40" s="27"/>
      <c r="NGA40" s="26"/>
      <c r="NGB40" s="27"/>
      <c r="NGC40" s="26"/>
      <c r="NGD40" s="27"/>
      <c r="NGE40" s="26"/>
      <c r="NGF40" s="27"/>
      <c r="NGG40" s="26"/>
      <c r="NGH40" s="27"/>
      <c r="NGI40" s="26"/>
      <c r="NGJ40" s="27"/>
      <c r="NGK40" s="26"/>
      <c r="NGL40" s="27"/>
      <c r="NGM40" s="26"/>
      <c r="NGN40" s="27"/>
      <c r="NGO40" s="26"/>
      <c r="NGP40" s="27"/>
      <c r="NGQ40" s="26"/>
      <c r="NGR40" s="27"/>
      <c r="NGS40" s="26"/>
      <c r="NGT40" s="27"/>
      <c r="NGU40" s="26"/>
      <c r="NGV40" s="27"/>
      <c r="NGW40" s="26"/>
      <c r="NGX40" s="27"/>
      <c r="NGY40" s="26"/>
      <c r="NGZ40" s="27"/>
      <c r="NHA40" s="26"/>
      <c r="NHB40" s="27"/>
      <c r="NHC40" s="26"/>
      <c r="NHD40" s="27"/>
      <c r="NHE40" s="26"/>
      <c r="NHF40" s="27"/>
      <c r="NHG40" s="26"/>
      <c r="NHH40" s="27"/>
      <c r="NHI40" s="26"/>
      <c r="NHJ40" s="27"/>
      <c r="NHK40" s="26"/>
      <c r="NHL40" s="27"/>
      <c r="NHM40" s="26"/>
      <c r="NHN40" s="27"/>
      <c r="NHO40" s="26"/>
      <c r="NHP40" s="27"/>
      <c r="NHQ40" s="26"/>
      <c r="NHR40" s="27"/>
      <c r="NHS40" s="26"/>
      <c r="NHT40" s="27"/>
      <c r="NHU40" s="26"/>
      <c r="NHV40" s="27"/>
      <c r="NHW40" s="26"/>
      <c r="NHX40" s="27"/>
      <c r="NHY40" s="26"/>
      <c r="NHZ40" s="27"/>
      <c r="NIA40" s="26"/>
      <c r="NIB40" s="27"/>
      <c r="NIC40" s="26"/>
      <c r="NID40" s="27"/>
      <c r="NIE40" s="26"/>
      <c r="NIF40" s="27"/>
      <c r="NIG40" s="26"/>
      <c r="NIH40" s="27"/>
      <c r="NII40" s="26"/>
      <c r="NIJ40" s="27"/>
      <c r="NIK40" s="26"/>
      <c r="NIL40" s="27"/>
      <c r="NIM40" s="26"/>
      <c r="NIN40" s="27"/>
      <c r="NIO40" s="26"/>
      <c r="NIP40" s="27"/>
      <c r="NIQ40" s="26"/>
      <c r="NIR40" s="27"/>
      <c r="NIS40" s="26"/>
      <c r="NIT40" s="27"/>
      <c r="NIU40" s="26"/>
      <c r="NIV40" s="27"/>
      <c r="NIW40" s="26"/>
      <c r="NIX40" s="27"/>
      <c r="NIY40" s="26"/>
      <c r="NIZ40" s="27"/>
      <c r="NJA40" s="26"/>
      <c r="NJB40" s="27"/>
      <c r="NJC40" s="26"/>
      <c r="NJD40" s="27"/>
      <c r="NJE40" s="26"/>
      <c r="NJF40" s="27"/>
      <c r="NJG40" s="26"/>
      <c r="NJH40" s="27"/>
      <c r="NJI40" s="26"/>
      <c r="NJJ40" s="27"/>
      <c r="NJK40" s="26"/>
      <c r="NJL40" s="27"/>
      <c r="NJM40" s="26"/>
      <c r="NJN40" s="27"/>
      <c r="NJO40" s="26"/>
      <c r="NJP40" s="27"/>
      <c r="NJQ40" s="26"/>
      <c r="NJR40" s="27"/>
      <c r="NJS40" s="26"/>
      <c r="NJT40" s="27"/>
      <c r="NJU40" s="26"/>
      <c r="NJV40" s="27"/>
      <c r="NJW40" s="26"/>
      <c r="NJX40" s="27"/>
      <c r="NJY40" s="26"/>
      <c r="NJZ40" s="27"/>
      <c r="NKA40" s="26"/>
      <c r="NKB40" s="27"/>
      <c r="NKC40" s="26"/>
      <c r="NKD40" s="27"/>
      <c r="NKE40" s="26"/>
      <c r="NKF40" s="27"/>
      <c r="NKG40" s="26"/>
      <c r="NKH40" s="27"/>
      <c r="NKI40" s="26"/>
      <c r="NKJ40" s="27"/>
      <c r="NKK40" s="26"/>
      <c r="NKL40" s="27"/>
      <c r="NKM40" s="26"/>
      <c r="NKN40" s="27"/>
      <c r="NKO40" s="26"/>
      <c r="NKP40" s="27"/>
      <c r="NKQ40" s="26"/>
      <c r="NKR40" s="27"/>
      <c r="NKS40" s="26"/>
      <c r="NKT40" s="27"/>
      <c r="NKU40" s="26"/>
      <c r="NKV40" s="27"/>
      <c r="NKW40" s="26"/>
      <c r="NKX40" s="27"/>
      <c r="NKY40" s="26"/>
      <c r="NKZ40" s="27"/>
      <c r="NLA40" s="26"/>
      <c r="NLB40" s="27"/>
      <c r="NLC40" s="26"/>
      <c r="NLD40" s="27"/>
      <c r="NLE40" s="26"/>
      <c r="NLF40" s="27"/>
      <c r="NLG40" s="26"/>
      <c r="NLH40" s="27"/>
      <c r="NLI40" s="26"/>
      <c r="NLJ40" s="27"/>
      <c r="NLK40" s="26"/>
      <c r="NLL40" s="27"/>
      <c r="NLM40" s="26"/>
      <c r="NLN40" s="27"/>
      <c r="NLO40" s="26"/>
      <c r="NLP40" s="27"/>
      <c r="NLQ40" s="26"/>
      <c r="NLR40" s="27"/>
      <c r="NLS40" s="26"/>
      <c r="NLT40" s="27"/>
      <c r="NLU40" s="26"/>
      <c r="NLV40" s="27"/>
      <c r="NLW40" s="26"/>
      <c r="NLX40" s="27"/>
      <c r="NLY40" s="26"/>
      <c r="NLZ40" s="27"/>
      <c r="NMA40" s="26"/>
      <c r="NMB40" s="27"/>
      <c r="NMC40" s="26"/>
      <c r="NMD40" s="27"/>
      <c r="NME40" s="26"/>
      <c r="NMF40" s="27"/>
      <c r="NMG40" s="26"/>
      <c r="NMH40" s="27"/>
      <c r="NMI40" s="26"/>
      <c r="NMJ40" s="27"/>
      <c r="NMK40" s="26"/>
      <c r="NML40" s="27"/>
      <c r="NMM40" s="26"/>
      <c r="NMN40" s="27"/>
      <c r="NMO40" s="26"/>
      <c r="NMP40" s="27"/>
      <c r="NMQ40" s="26"/>
      <c r="NMR40" s="27"/>
      <c r="NMS40" s="26"/>
      <c r="NMT40" s="27"/>
      <c r="NMU40" s="26"/>
      <c r="NMV40" s="27"/>
      <c r="NMW40" s="26"/>
      <c r="NMX40" s="27"/>
      <c r="NMY40" s="26"/>
      <c r="NMZ40" s="27"/>
      <c r="NNA40" s="26"/>
      <c r="NNB40" s="27"/>
      <c r="NNC40" s="26"/>
      <c r="NND40" s="27"/>
      <c r="NNE40" s="26"/>
      <c r="NNF40" s="27"/>
      <c r="NNG40" s="26"/>
      <c r="NNH40" s="27"/>
      <c r="NNI40" s="26"/>
      <c r="NNJ40" s="27"/>
      <c r="NNK40" s="26"/>
      <c r="NNL40" s="27"/>
      <c r="NNM40" s="26"/>
      <c r="NNN40" s="27"/>
      <c r="NNO40" s="26"/>
      <c r="NNP40" s="27"/>
      <c r="NNQ40" s="26"/>
      <c r="NNR40" s="27"/>
      <c r="NNS40" s="26"/>
      <c r="NNT40" s="27"/>
      <c r="NNU40" s="26"/>
      <c r="NNV40" s="27"/>
      <c r="NNW40" s="26"/>
      <c r="NNX40" s="27"/>
      <c r="NNY40" s="26"/>
      <c r="NNZ40" s="27"/>
      <c r="NOA40" s="26"/>
      <c r="NOB40" s="27"/>
      <c r="NOC40" s="26"/>
      <c r="NOD40" s="27"/>
      <c r="NOE40" s="26"/>
      <c r="NOF40" s="27"/>
      <c r="NOG40" s="26"/>
      <c r="NOH40" s="27"/>
      <c r="NOI40" s="26"/>
      <c r="NOJ40" s="27"/>
      <c r="NOK40" s="26"/>
      <c r="NOL40" s="27"/>
      <c r="NOM40" s="26"/>
      <c r="NON40" s="27"/>
      <c r="NOO40" s="26"/>
      <c r="NOP40" s="27"/>
      <c r="NOQ40" s="26"/>
      <c r="NOR40" s="27"/>
      <c r="NOS40" s="26"/>
      <c r="NOT40" s="27"/>
      <c r="NOU40" s="26"/>
      <c r="NOV40" s="27"/>
      <c r="NOW40" s="26"/>
      <c r="NOX40" s="27"/>
      <c r="NOY40" s="26"/>
      <c r="NOZ40" s="27"/>
      <c r="NPA40" s="26"/>
      <c r="NPB40" s="27"/>
      <c r="NPC40" s="26"/>
      <c r="NPD40" s="27"/>
      <c r="NPE40" s="26"/>
      <c r="NPF40" s="27"/>
      <c r="NPG40" s="26"/>
      <c r="NPH40" s="27"/>
      <c r="NPI40" s="26"/>
      <c r="NPJ40" s="27"/>
      <c r="NPK40" s="26"/>
      <c r="NPL40" s="27"/>
      <c r="NPM40" s="26"/>
      <c r="NPN40" s="27"/>
      <c r="NPO40" s="26"/>
      <c r="NPP40" s="27"/>
      <c r="NPQ40" s="26"/>
      <c r="NPR40" s="27"/>
      <c r="NPS40" s="26"/>
      <c r="NPT40" s="27"/>
      <c r="NPU40" s="26"/>
      <c r="NPV40" s="27"/>
      <c r="NPW40" s="26"/>
      <c r="NPX40" s="27"/>
      <c r="NPY40" s="26"/>
      <c r="NPZ40" s="27"/>
      <c r="NQA40" s="26"/>
      <c r="NQB40" s="27"/>
      <c r="NQC40" s="26"/>
      <c r="NQD40" s="27"/>
      <c r="NQE40" s="26"/>
      <c r="NQF40" s="27"/>
      <c r="NQG40" s="26"/>
      <c r="NQH40" s="27"/>
      <c r="NQI40" s="26"/>
      <c r="NQJ40" s="27"/>
      <c r="NQK40" s="26"/>
      <c r="NQL40" s="27"/>
      <c r="NQM40" s="26"/>
      <c r="NQN40" s="27"/>
      <c r="NQO40" s="26"/>
      <c r="NQP40" s="27"/>
      <c r="NQQ40" s="26"/>
      <c r="NQR40" s="27"/>
      <c r="NQS40" s="26"/>
      <c r="NQT40" s="27"/>
      <c r="NQU40" s="26"/>
      <c r="NQV40" s="27"/>
      <c r="NQW40" s="26"/>
      <c r="NQX40" s="27"/>
      <c r="NQY40" s="26"/>
      <c r="NQZ40" s="27"/>
      <c r="NRA40" s="26"/>
      <c r="NRB40" s="27"/>
      <c r="NRC40" s="26"/>
      <c r="NRD40" s="27"/>
      <c r="NRE40" s="26"/>
      <c r="NRF40" s="27"/>
      <c r="NRG40" s="26"/>
      <c r="NRH40" s="27"/>
      <c r="NRI40" s="26"/>
      <c r="NRJ40" s="27"/>
      <c r="NRK40" s="26"/>
      <c r="NRL40" s="27"/>
      <c r="NRM40" s="26"/>
      <c r="NRN40" s="27"/>
      <c r="NRO40" s="26"/>
      <c r="NRP40" s="27"/>
      <c r="NRQ40" s="26"/>
      <c r="NRR40" s="27"/>
      <c r="NRS40" s="26"/>
      <c r="NRT40" s="27"/>
      <c r="NRU40" s="26"/>
      <c r="NRV40" s="27"/>
      <c r="NRW40" s="26"/>
      <c r="NRX40" s="27"/>
      <c r="NRY40" s="26"/>
      <c r="NRZ40" s="27"/>
      <c r="NSA40" s="26"/>
      <c r="NSB40" s="27"/>
      <c r="NSC40" s="26"/>
      <c r="NSD40" s="27"/>
      <c r="NSE40" s="26"/>
      <c r="NSF40" s="27"/>
      <c r="NSG40" s="26"/>
      <c r="NSH40" s="27"/>
      <c r="NSI40" s="26"/>
      <c r="NSJ40" s="27"/>
      <c r="NSK40" s="26"/>
      <c r="NSL40" s="27"/>
      <c r="NSM40" s="26"/>
      <c r="NSN40" s="27"/>
      <c r="NSO40" s="26"/>
      <c r="NSP40" s="27"/>
      <c r="NSQ40" s="26"/>
      <c r="NSR40" s="27"/>
      <c r="NSS40" s="26"/>
      <c r="NST40" s="27"/>
      <c r="NSU40" s="26"/>
      <c r="NSV40" s="27"/>
      <c r="NSW40" s="26"/>
      <c r="NSX40" s="27"/>
      <c r="NSY40" s="26"/>
      <c r="NSZ40" s="27"/>
      <c r="NTA40" s="26"/>
      <c r="NTB40" s="27"/>
      <c r="NTC40" s="26"/>
      <c r="NTD40" s="27"/>
      <c r="NTE40" s="26"/>
      <c r="NTF40" s="27"/>
      <c r="NTG40" s="26"/>
      <c r="NTH40" s="27"/>
      <c r="NTI40" s="26"/>
      <c r="NTJ40" s="27"/>
      <c r="NTK40" s="26"/>
      <c r="NTL40" s="27"/>
      <c r="NTM40" s="26"/>
      <c r="NTN40" s="27"/>
      <c r="NTO40" s="26"/>
      <c r="NTP40" s="27"/>
      <c r="NTQ40" s="26"/>
      <c r="NTR40" s="27"/>
      <c r="NTS40" s="26"/>
      <c r="NTT40" s="27"/>
      <c r="NTU40" s="26"/>
      <c r="NTV40" s="27"/>
      <c r="NTW40" s="26"/>
      <c r="NTX40" s="27"/>
      <c r="NTY40" s="26"/>
      <c r="NTZ40" s="27"/>
      <c r="NUA40" s="26"/>
      <c r="NUB40" s="27"/>
      <c r="NUC40" s="26"/>
      <c r="NUD40" s="27"/>
      <c r="NUE40" s="26"/>
      <c r="NUF40" s="27"/>
      <c r="NUG40" s="26"/>
      <c r="NUH40" s="27"/>
      <c r="NUI40" s="26"/>
      <c r="NUJ40" s="27"/>
      <c r="NUK40" s="26"/>
      <c r="NUL40" s="27"/>
      <c r="NUM40" s="26"/>
      <c r="NUN40" s="27"/>
      <c r="NUO40" s="26"/>
      <c r="NUP40" s="27"/>
      <c r="NUQ40" s="26"/>
      <c r="NUR40" s="27"/>
      <c r="NUS40" s="26"/>
      <c r="NUT40" s="27"/>
      <c r="NUU40" s="26"/>
      <c r="NUV40" s="27"/>
      <c r="NUW40" s="26"/>
      <c r="NUX40" s="27"/>
      <c r="NUY40" s="26"/>
      <c r="NUZ40" s="27"/>
      <c r="NVA40" s="26"/>
      <c r="NVB40" s="27"/>
      <c r="NVC40" s="26"/>
      <c r="NVD40" s="27"/>
      <c r="NVE40" s="26"/>
      <c r="NVF40" s="27"/>
      <c r="NVG40" s="26"/>
      <c r="NVH40" s="27"/>
      <c r="NVI40" s="26"/>
      <c r="NVJ40" s="27"/>
      <c r="NVK40" s="26"/>
      <c r="NVL40" s="27"/>
      <c r="NVM40" s="26"/>
      <c r="NVN40" s="27"/>
      <c r="NVO40" s="26"/>
      <c r="NVP40" s="27"/>
      <c r="NVQ40" s="26"/>
      <c r="NVR40" s="27"/>
      <c r="NVS40" s="26"/>
      <c r="NVT40" s="27"/>
      <c r="NVU40" s="26"/>
      <c r="NVV40" s="27"/>
      <c r="NVW40" s="26"/>
      <c r="NVX40" s="27"/>
      <c r="NVY40" s="26"/>
      <c r="NVZ40" s="27"/>
      <c r="NWA40" s="26"/>
      <c r="NWB40" s="27"/>
      <c r="NWC40" s="26"/>
      <c r="NWD40" s="27"/>
      <c r="NWE40" s="26"/>
      <c r="NWF40" s="27"/>
      <c r="NWG40" s="26"/>
      <c r="NWH40" s="27"/>
      <c r="NWI40" s="26"/>
      <c r="NWJ40" s="27"/>
      <c r="NWK40" s="26"/>
      <c r="NWL40" s="27"/>
      <c r="NWM40" s="26"/>
      <c r="NWN40" s="27"/>
      <c r="NWO40" s="26"/>
      <c r="NWP40" s="27"/>
      <c r="NWQ40" s="26"/>
      <c r="NWR40" s="27"/>
      <c r="NWS40" s="26"/>
      <c r="NWT40" s="27"/>
      <c r="NWU40" s="26"/>
      <c r="NWV40" s="27"/>
      <c r="NWW40" s="26"/>
      <c r="NWX40" s="27"/>
      <c r="NWY40" s="26"/>
      <c r="NWZ40" s="27"/>
      <c r="NXA40" s="26"/>
      <c r="NXB40" s="27"/>
      <c r="NXC40" s="26"/>
      <c r="NXD40" s="27"/>
      <c r="NXE40" s="26"/>
      <c r="NXF40" s="27"/>
      <c r="NXG40" s="26"/>
      <c r="NXH40" s="27"/>
      <c r="NXI40" s="26"/>
      <c r="NXJ40" s="27"/>
      <c r="NXK40" s="26"/>
      <c r="NXL40" s="27"/>
      <c r="NXM40" s="26"/>
      <c r="NXN40" s="27"/>
      <c r="NXO40" s="26"/>
      <c r="NXP40" s="27"/>
      <c r="NXQ40" s="26"/>
      <c r="NXR40" s="27"/>
      <c r="NXS40" s="26"/>
      <c r="NXT40" s="27"/>
      <c r="NXU40" s="26"/>
      <c r="NXV40" s="27"/>
      <c r="NXW40" s="26"/>
      <c r="NXX40" s="27"/>
      <c r="NXY40" s="26"/>
      <c r="NXZ40" s="27"/>
      <c r="NYA40" s="26"/>
      <c r="NYB40" s="27"/>
      <c r="NYC40" s="26"/>
      <c r="NYD40" s="27"/>
      <c r="NYE40" s="26"/>
      <c r="NYF40" s="27"/>
      <c r="NYG40" s="26"/>
      <c r="NYH40" s="27"/>
      <c r="NYI40" s="26"/>
      <c r="NYJ40" s="27"/>
      <c r="NYK40" s="26"/>
      <c r="NYL40" s="27"/>
      <c r="NYM40" s="26"/>
      <c r="NYN40" s="27"/>
      <c r="NYO40" s="26"/>
      <c r="NYP40" s="27"/>
      <c r="NYQ40" s="26"/>
      <c r="NYR40" s="27"/>
      <c r="NYS40" s="26"/>
      <c r="NYT40" s="27"/>
      <c r="NYU40" s="26"/>
      <c r="NYV40" s="27"/>
      <c r="NYW40" s="26"/>
      <c r="NYX40" s="27"/>
      <c r="NYY40" s="26"/>
      <c r="NYZ40" s="27"/>
      <c r="NZA40" s="26"/>
      <c r="NZB40" s="27"/>
      <c r="NZC40" s="26"/>
      <c r="NZD40" s="27"/>
      <c r="NZE40" s="26"/>
      <c r="NZF40" s="27"/>
      <c r="NZG40" s="26"/>
      <c r="NZH40" s="27"/>
      <c r="NZI40" s="26"/>
      <c r="NZJ40" s="27"/>
      <c r="NZK40" s="26"/>
      <c r="NZL40" s="27"/>
      <c r="NZM40" s="26"/>
      <c r="NZN40" s="27"/>
      <c r="NZO40" s="26"/>
      <c r="NZP40" s="27"/>
      <c r="NZQ40" s="26"/>
      <c r="NZR40" s="27"/>
      <c r="NZS40" s="26"/>
      <c r="NZT40" s="27"/>
      <c r="NZU40" s="26"/>
      <c r="NZV40" s="27"/>
      <c r="NZW40" s="26"/>
      <c r="NZX40" s="27"/>
      <c r="NZY40" s="26"/>
      <c r="NZZ40" s="27"/>
      <c r="OAA40" s="26"/>
      <c r="OAB40" s="27"/>
      <c r="OAC40" s="26"/>
      <c r="OAD40" s="27"/>
      <c r="OAE40" s="26"/>
      <c r="OAF40" s="27"/>
      <c r="OAG40" s="26"/>
      <c r="OAH40" s="27"/>
      <c r="OAI40" s="26"/>
      <c r="OAJ40" s="27"/>
      <c r="OAK40" s="26"/>
      <c r="OAL40" s="27"/>
      <c r="OAM40" s="26"/>
      <c r="OAN40" s="27"/>
      <c r="OAO40" s="26"/>
      <c r="OAP40" s="27"/>
      <c r="OAQ40" s="26"/>
      <c r="OAR40" s="27"/>
      <c r="OAS40" s="26"/>
      <c r="OAT40" s="27"/>
      <c r="OAU40" s="26"/>
      <c r="OAV40" s="27"/>
      <c r="OAW40" s="26"/>
      <c r="OAX40" s="27"/>
      <c r="OAY40" s="26"/>
      <c r="OAZ40" s="27"/>
      <c r="OBA40" s="26"/>
      <c r="OBB40" s="27"/>
      <c r="OBC40" s="26"/>
      <c r="OBD40" s="27"/>
      <c r="OBE40" s="26"/>
      <c r="OBF40" s="27"/>
      <c r="OBG40" s="26"/>
      <c r="OBH40" s="27"/>
      <c r="OBI40" s="26"/>
      <c r="OBJ40" s="27"/>
      <c r="OBK40" s="26"/>
      <c r="OBL40" s="27"/>
      <c r="OBM40" s="26"/>
      <c r="OBN40" s="27"/>
      <c r="OBO40" s="26"/>
      <c r="OBP40" s="27"/>
      <c r="OBQ40" s="26"/>
      <c r="OBR40" s="27"/>
      <c r="OBS40" s="26"/>
      <c r="OBT40" s="27"/>
      <c r="OBU40" s="26"/>
      <c r="OBV40" s="27"/>
      <c r="OBW40" s="26"/>
      <c r="OBX40" s="27"/>
      <c r="OBY40" s="26"/>
      <c r="OBZ40" s="27"/>
      <c r="OCA40" s="26"/>
      <c r="OCB40" s="27"/>
      <c r="OCC40" s="26"/>
      <c r="OCD40" s="27"/>
      <c r="OCE40" s="26"/>
      <c r="OCF40" s="27"/>
      <c r="OCG40" s="26"/>
      <c r="OCH40" s="27"/>
      <c r="OCI40" s="26"/>
      <c r="OCJ40" s="27"/>
      <c r="OCK40" s="26"/>
      <c r="OCL40" s="27"/>
      <c r="OCM40" s="26"/>
      <c r="OCN40" s="27"/>
      <c r="OCO40" s="26"/>
      <c r="OCP40" s="27"/>
      <c r="OCQ40" s="26"/>
      <c r="OCR40" s="27"/>
      <c r="OCS40" s="26"/>
      <c r="OCT40" s="27"/>
      <c r="OCU40" s="26"/>
      <c r="OCV40" s="27"/>
      <c r="OCW40" s="26"/>
      <c r="OCX40" s="27"/>
      <c r="OCY40" s="26"/>
      <c r="OCZ40" s="27"/>
      <c r="ODA40" s="26"/>
      <c r="ODB40" s="27"/>
      <c r="ODC40" s="26"/>
      <c r="ODD40" s="27"/>
      <c r="ODE40" s="26"/>
      <c r="ODF40" s="27"/>
      <c r="ODG40" s="26"/>
      <c r="ODH40" s="27"/>
      <c r="ODI40" s="26"/>
      <c r="ODJ40" s="27"/>
      <c r="ODK40" s="26"/>
      <c r="ODL40" s="27"/>
      <c r="ODM40" s="26"/>
      <c r="ODN40" s="27"/>
      <c r="ODO40" s="26"/>
      <c r="ODP40" s="27"/>
      <c r="ODQ40" s="26"/>
      <c r="ODR40" s="27"/>
      <c r="ODS40" s="26"/>
      <c r="ODT40" s="27"/>
      <c r="ODU40" s="26"/>
      <c r="ODV40" s="27"/>
      <c r="ODW40" s="26"/>
      <c r="ODX40" s="27"/>
      <c r="ODY40" s="26"/>
      <c r="ODZ40" s="27"/>
      <c r="OEA40" s="26"/>
      <c r="OEB40" s="27"/>
      <c r="OEC40" s="26"/>
      <c r="OED40" s="27"/>
      <c r="OEE40" s="26"/>
      <c r="OEF40" s="27"/>
      <c r="OEG40" s="26"/>
      <c r="OEH40" s="27"/>
      <c r="OEI40" s="26"/>
      <c r="OEJ40" s="27"/>
      <c r="OEK40" s="26"/>
      <c r="OEL40" s="27"/>
      <c r="OEM40" s="26"/>
      <c r="OEN40" s="27"/>
      <c r="OEO40" s="26"/>
      <c r="OEP40" s="27"/>
      <c r="OEQ40" s="26"/>
      <c r="OER40" s="27"/>
      <c r="OES40" s="26"/>
      <c r="OET40" s="27"/>
      <c r="OEU40" s="26"/>
      <c r="OEV40" s="27"/>
      <c r="OEW40" s="26"/>
      <c r="OEX40" s="27"/>
      <c r="OEY40" s="26"/>
      <c r="OEZ40" s="27"/>
      <c r="OFA40" s="26"/>
      <c r="OFB40" s="27"/>
      <c r="OFC40" s="26"/>
      <c r="OFD40" s="27"/>
      <c r="OFE40" s="26"/>
      <c r="OFF40" s="27"/>
      <c r="OFG40" s="26"/>
      <c r="OFH40" s="27"/>
      <c r="OFI40" s="26"/>
      <c r="OFJ40" s="27"/>
      <c r="OFK40" s="26"/>
      <c r="OFL40" s="27"/>
      <c r="OFM40" s="26"/>
      <c r="OFN40" s="27"/>
      <c r="OFO40" s="26"/>
      <c r="OFP40" s="27"/>
      <c r="OFQ40" s="26"/>
      <c r="OFR40" s="27"/>
      <c r="OFS40" s="26"/>
      <c r="OFT40" s="27"/>
      <c r="OFU40" s="26"/>
      <c r="OFV40" s="27"/>
      <c r="OFW40" s="26"/>
      <c r="OFX40" s="27"/>
      <c r="OFY40" s="26"/>
      <c r="OFZ40" s="27"/>
      <c r="OGA40" s="26"/>
      <c r="OGB40" s="27"/>
      <c r="OGC40" s="26"/>
      <c r="OGD40" s="27"/>
      <c r="OGE40" s="26"/>
      <c r="OGF40" s="27"/>
      <c r="OGG40" s="26"/>
      <c r="OGH40" s="27"/>
      <c r="OGI40" s="26"/>
      <c r="OGJ40" s="27"/>
      <c r="OGK40" s="26"/>
      <c r="OGL40" s="27"/>
      <c r="OGM40" s="26"/>
      <c r="OGN40" s="27"/>
      <c r="OGO40" s="26"/>
      <c r="OGP40" s="27"/>
      <c r="OGQ40" s="26"/>
      <c r="OGR40" s="27"/>
      <c r="OGS40" s="26"/>
      <c r="OGT40" s="27"/>
      <c r="OGU40" s="26"/>
      <c r="OGV40" s="27"/>
      <c r="OGW40" s="26"/>
      <c r="OGX40" s="27"/>
      <c r="OGY40" s="26"/>
      <c r="OGZ40" s="27"/>
      <c r="OHA40" s="26"/>
      <c r="OHB40" s="27"/>
      <c r="OHC40" s="26"/>
      <c r="OHD40" s="27"/>
      <c r="OHE40" s="26"/>
      <c r="OHF40" s="27"/>
      <c r="OHG40" s="26"/>
      <c r="OHH40" s="27"/>
      <c r="OHI40" s="26"/>
      <c r="OHJ40" s="27"/>
      <c r="OHK40" s="26"/>
      <c r="OHL40" s="27"/>
      <c r="OHM40" s="26"/>
      <c r="OHN40" s="27"/>
      <c r="OHO40" s="26"/>
      <c r="OHP40" s="27"/>
      <c r="OHQ40" s="26"/>
      <c r="OHR40" s="27"/>
      <c r="OHS40" s="26"/>
      <c r="OHT40" s="27"/>
      <c r="OHU40" s="26"/>
      <c r="OHV40" s="27"/>
      <c r="OHW40" s="26"/>
      <c r="OHX40" s="27"/>
      <c r="OHY40" s="26"/>
      <c r="OHZ40" s="27"/>
      <c r="OIA40" s="26"/>
      <c r="OIB40" s="27"/>
      <c r="OIC40" s="26"/>
      <c r="OID40" s="27"/>
      <c r="OIE40" s="26"/>
      <c r="OIF40" s="27"/>
      <c r="OIG40" s="26"/>
      <c r="OIH40" s="27"/>
      <c r="OII40" s="26"/>
      <c r="OIJ40" s="27"/>
      <c r="OIK40" s="26"/>
      <c r="OIL40" s="27"/>
      <c r="OIM40" s="26"/>
      <c r="OIN40" s="27"/>
      <c r="OIO40" s="26"/>
      <c r="OIP40" s="27"/>
      <c r="OIQ40" s="26"/>
      <c r="OIR40" s="27"/>
      <c r="OIS40" s="26"/>
      <c r="OIT40" s="27"/>
      <c r="OIU40" s="26"/>
      <c r="OIV40" s="27"/>
      <c r="OIW40" s="26"/>
      <c r="OIX40" s="27"/>
      <c r="OIY40" s="26"/>
      <c r="OIZ40" s="27"/>
      <c r="OJA40" s="26"/>
      <c r="OJB40" s="27"/>
      <c r="OJC40" s="26"/>
      <c r="OJD40" s="27"/>
      <c r="OJE40" s="26"/>
      <c r="OJF40" s="27"/>
      <c r="OJG40" s="26"/>
      <c r="OJH40" s="27"/>
      <c r="OJI40" s="26"/>
      <c r="OJJ40" s="27"/>
      <c r="OJK40" s="26"/>
      <c r="OJL40" s="27"/>
      <c r="OJM40" s="26"/>
      <c r="OJN40" s="27"/>
      <c r="OJO40" s="26"/>
      <c r="OJP40" s="27"/>
      <c r="OJQ40" s="26"/>
      <c r="OJR40" s="27"/>
      <c r="OJS40" s="26"/>
      <c r="OJT40" s="27"/>
      <c r="OJU40" s="26"/>
      <c r="OJV40" s="27"/>
      <c r="OJW40" s="26"/>
      <c r="OJX40" s="27"/>
      <c r="OJY40" s="26"/>
      <c r="OJZ40" s="27"/>
      <c r="OKA40" s="26"/>
      <c r="OKB40" s="27"/>
      <c r="OKC40" s="26"/>
      <c r="OKD40" s="27"/>
      <c r="OKE40" s="26"/>
      <c r="OKF40" s="27"/>
      <c r="OKG40" s="26"/>
      <c r="OKH40" s="27"/>
      <c r="OKI40" s="26"/>
      <c r="OKJ40" s="27"/>
      <c r="OKK40" s="26"/>
      <c r="OKL40" s="27"/>
      <c r="OKM40" s="26"/>
      <c r="OKN40" s="27"/>
      <c r="OKO40" s="26"/>
      <c r="OKP40" s="27"/>
      <c r="OKQ40" s="26"/>
      <c r="OKR40" s="27"/>
      <c r="OKS40" s="26"/>
      <c r="OKT40" s="27"/>
      <c r="OKU40" s="26"/>
      <c r="OKV40" s="27"/>
      <c r="OKW40" s="26"/>
      <c r="OKX40" s="27"/>
      <c r="OKY40" s="26"/>
      <c r="OKZ40" s="27"/>
      <c r="OLA40" s="26"/>
      <c r="OLB40" s="27"/>
      <c r="OLC40" s="26"/>
      <c r="OLD40" s="27"/>
      <c r="OLE40" s="26"/>
      <c r="OLF40" s="27"/>
      <c r="OLG40" s="26"/>
      <c r="OLH40" s="27"/>
      <c r="OLI40" s="26"/>
      <c r="OLJ40" s="27"/>
      <c r="OLK40" s="26"/>
      <c r="OLL40" s="27"/>
      <c r="OLM40" s="26"/>
      <c r="OLN40" s="27"/>
      <c r="OLO40" s="26"/>
      <c r="OLP40" s="27"/>
      <c r="OLQ40" s="26"/>
      <c r="OLR40" s="27"/>
      <c r="OLS40" s="26"/>
      <c r="OLT40" s="27"/>
      <c r="OLU40" s="26"/>
      <c r="OLV40" s="27"/>
      <c r="OLW40" s="26"/>
      <c r="OLX40" s="27"/>
      <c r="OLY40" s="26"/>
      <c r="OLZ40" s="27"/>
      <c r="OMA40" s="26"/>
      <c r="OMB40" s="27"/>
      <c r="OMC40" s="26"/>
      <c r="OMD40" s="27"/>
      <c r="OME40" s="26"/>
      <c r="OMF40" s="27"/>
      <c r="OMG40" s="26"/>
      <c r="OMH40" s="27"/>
      <c r="OMI40" s="26"/>
      <c r="OMJ40" s="27"/>
      <c r="OMK40" s="26"/>
      <c r="OML40" s="27"/>
      <c r="OMM40" s="26"/>
      <c r="OMN40" s="27"/>
      <c r="OMO40" s="26"/>
      <c r="OMP40" s="27"/>
      <c r="OMQ40" s="26"/>
      <c r="OMR40" s="27"/>
      <c r="OMS40" s="26"/>
      <c r="OMT40" s="27"/>
      <c r="OMU40" s="26"/>
      <c r="OMV40" s="27"/>
      <c r="OMW40" s="26"/>
      <c r="OMX40" s="27"/>
      <c r="OMY40" s="26"/>
      <c r="OMZ40" s="27"/>
      <c r="ONA40" s="26"/>
      <c r="ONB40" s="27"/>
      <c r="ONC40" s="26"/>
      <c r="OND40" s="27"/>
      <c r="ONE40" s="26"/>
      <c r="ONF40" s="27"/>
      <c r="ONG40" s="26"/>
      <c r="ONH40" s="27"/>
      <c r="ONI40" s="26"/>
      <c r="ONJ40" s="27"/>
      <c r="ONK40" s="26"/>
      <c r="ONL40" s="27"/>
      <c r="ONM40" s="26"/>
      <c r="ONN40" s="27"/>
      <c r="ONO40" s="26"/>
      <c r="ONP40" s="27"/>
      <c r="ONQ40" s="26"/>
      <c r="ONR40" s="27"/>
      <c r="ONS40" s="26"/>
      <c r="ONT40" s="27"/>
      <c r="ONU40" s="26"/>
      <c r="ONV40" s="27"/>
      <c r="ONW40" s="26"/>
      <c r="ONX40" s="27"/>
      <c r="ONY40" s="26"/>
      <c r="ONZ40" s="27"/>
      <c r="OOA40" s="26"/>
      <c r="OOB40" s="27"/>
      <c r="OOC40" s="26"/>
      <c r="OOD40" s="27"/>
      <c r="OOE40" s="26"/>
      <c r="OOF40" s="27"/>
      <c r="OOG40" s="26"/>
      <c r="OOH40" s="27"/>
      <c r="OOI40" s="26"/>
      <c r="OOJ40" s="27"/>
      <c r="OOK40" s="26"/>
      <c r="OOL40" s="27"/>
      <c r="OOM40" s="26"/>
      <c r="OON40" s="27"/>
      <c r="OOO40" s="26"/>
      <c r="OOP40" s="27"/>
      <c r="OOQ40" s="26"/>
      <c r="OOR40" s="27"/>
      <c r="OOS40" s="26"/>
      <c r="OOT40" s="27"/>
      <c r="OOU40" s="26"/>
      <c r="OOV40" s="27"/>
      <c r="OOW40" s="26"/>
      <c r="OOX40" s="27"/>
      <c r="OOY40" s="26"/>
      <c r="OOZ40" s="27"/>
      <c r="OPA40" s="26"/>
      <c r="OPB40" s="27"/>
      <c r="OPC40" s="26"/>
      <c r="OPD40" s="27"/>
      <c r="OPE40" s="26"/>
      <c r="OPF40" s="27"/>
      <c r="OPG40" s="26"/>
      <c r="OPH40" s="27"/>
      <c r="OPI40" s="26"/>
      <c r="OPJ40" s="27"/>
      <c r="OPK40" s="26"/>
      <c r="OPL40" s="27"/>
      <c r="OPM40" s="26"/>
      <c r="OPN40" s="27"/>
      <c r="OPO40" s="26"/>
      <c r="OPP40" s="27"/>
      <c r="OPQ40" s="26"/>
      <c r="OPR40" s="27"/>
      <c r="OPS40" s="26"/>
      <c r="OPT40" s="27"/>
      <c r="OPU40" s="26"/>
      <c r="OPV40" s="27"/>
      <c r="OPW40" s="26"/>
      <c r="OPX40" s="27"/>
      <c r="OPY40" s="26"/>
      <c r="OPZ40" s="27"/>
      <c r="OQA40" s="26"/>
      <c r="OQB40" s="27"/>
      <c r="OQC40" s="26"/>
      <c r="OQD40" s="27"/>
      <c r="OQE40" s="26"/>
      <c r="OQF40" s="27"/>
      <c r="OQG40" s="26"/>
      <c r="OQH40" s="27"/>
      <c r="OQI40" s="26"/>
      <c r="OQJ40" s="27"/>
      <c r="OQK40" s="26"/>
      <c r="OQL40" s="27"/>
      <c r="OQM40" s="26"/>
      <c r="OQN40" s="27"/>
      <c r="OQO40" s="26"/>
      <c r="OQP40" s="27"/>
      <c r="OQQ40" s="26"/>
      <c r="OQR40" s="27"/>
      <c r="OQS40" s="26"/>
      <c r="OQT40" s="27"/>
      <c r="OQU40" s="26"/>
      <c r="OQV40" s="27"/>
      <c r="OQW40" s="26"/>
      <c r="OQX40" s="27"/>
      <c r="OQY40" s="26"/>
      <c r="OQZ40" s="27"/>
      <c r="ORA40" s="26"/>
      <c r="ORB40" s="27"/>
      <c r="ORC40" s="26"/>
      <c r="ORD40" s="27"/>
      <c r="ORE40" s="26"/>
      <c r="ORF40" s="27"/>
      <c r="ORG40" s="26"/>
      <c r="ORH40" s="27"/>
      <c r="ORI40" s="26"/>
      <c r="ORJ40" s="27"/>
      <c r="ORK40" s="26"/>
      <c r="ORL40" s="27"/>
      <c r="ORM40" s="26"/>
      <c r="ORN40" s="27"/>
      <c r="ORO40" s="26"/>
      <c r="ORP40" s="27"/>
      <c r="ORQ40" s="26"/>
      <c r="ORR40" s="27"/>
      <c r="ORS40" s="26"/>
      <c r="ORT40" s="27"/>
      <c r="ORU40" s="26"/>
      <c r="ORV40" s="27"/>
      <c r="ORW40" s="26"/>
      <c r="ORX40" s="27"/>
      <c r="ORY40" s="26"/>
      <c r="ORZ40" s="27"/>
      <c r="OSA40" s="26"/>
      <c r="OSB40" s="27"/>
      <c r="OSC40" s="26"/>
      <c r="OSD40" s="27"/>
      <c r="OSE40" s="26"/>
      <c r="OSF40" s="27"/>
      <c r="OSG40" s="26"/>
      <c r="OSH40" s="27"/>
      <c r="OSI40" s="26"/>
      <c r="OSJ40" s="27"/>
      <c r="OSK40" s="26"/>
      <c r="OSL40" s="27"/>
      <c r="OSM40" s="26"/>
      <c r="OSN40" s="27"/>
      <c r="OSO40" s="26"/>
      <c r="OSP40" s="27"/>
      <c r="OSQ40" s="26"/>
      <c r="OSR40" s="27"/>
      <c r="OSS40" s="26"/>
      <c r="OST40" s="27"/>
      <c r="OSU40" s="26"/>
      <c r="OSV40" s="27"/>
      <c r="OSW40" s="26"/>
      <c r="OSX40" s="27"/>
      <c r="OSY40" s="26"/>
      <c r="OSZ40" s="27"/>
      <c r="OTA40" s="26"/>
      <c r="OTB40" s="27"/>
      <c r="OTC40" s="26"/>
      <c r="OTD40" s="27"/>
      <c r="OTE40" s="26"/>
      <c r="OTF40" s="27"/>
      <c r="OTG40" s="26"/>
      <c r="OTH40" s="27"/>
      <c r="OTI40" s="26"/>
      <c r="OTJ40" s="27"/>
      <c r="OTK40" s="26"/>
      <c r="OTL40" s="27"/>
      <c r="OTM40" s="26"/>
      <c r="OTN40" s="27"/>
      <c r="OTO40" s="26"/>
      <c r="OTP40" s="27"/>
      <c r="OTQ40" s="26"/>
      <c r="OTR40" s="27"/>
      <c r="OTS40" s="26"/>
      <c r="OTT40" s="27"/>
      <c r="OTU40" s="26"/>
      <c r="OTV40" s="27"/>
      <c r="OTW40" s="26"/>
      <c r="OTX40" s="27"/>
      <c r="OTY40" s="26"/>
      <c r="OTZ40" s="27"/>
      <c r="OUA40" s="26"/>
      <c r="OUB40" s="27"/>
      <c r="OUC40" s="26"/>
      <c r="OUD40" s="27"/>
      <c r="OUE40" s="26"/>
      <c r="OUF40" s="27"/>
      <c r="OUG40" s="26"/>
      <c r="OUH40" s="27"/>
      <c r="OUI40" s="26"/>
      <c r="OUJ40" s="27"/>
      <c r="OUK40" s="26"/>
      <c r="OUL40" s="27"/>
      <c r="OUM40" s="26"/>
      <c r="OUN40" s="27"/>
      <c r="OUO40" s="26"/>
      <c r="OUP40" s="27"/>
      <c r="OUQ40" s="26"/>
      <c r="OUR40" s="27"/>
      <c r="OUS40" s="26"/>
      <c r="OUT40" s="27"/>
      <c r="OUU40" s="26"/>
      <c r="OUV40" s="27"/>
      <c r="OUW40" s="26"/>
      <c r="OUX40" s="27"/>
      <c r="OUY40" s="26"/>
      <c r="OUZ40" s="27"/>
      <c r="OVA40" s="26"/>
      <c r="OVB40" s="27"/>
      <c r="OVC40" s="26"/>
      <c r="OVD40" s="27"/>
      <c r="OVE40" s="26"/>
      <c r="OVF40" s="27"/>
      <c r="OVG40" s="26"/>
      <c r="OVH40" s="27"/>
      <c r="OVI40" s="26"/>
      <c r="OVJ40" s="27"/>
      <c r="OVK40" s="26"/>
      <c r="OVL40" s="27"/>
      <c r="OVM40" s="26"/>
      <c r="OVN40" s="27"/>
      <c r="OVO40" s="26"/>
      <c r="OVP40" s="27"/>
      <c r="OVQ40" s="26"/>
      <c r="OVR40" s="27"/>
      <c r="OVS40" s="26"/>
      <c r="OVT40" s="27"/>
      <c r="OVU40" s="26"/>
      <c r="OVV40" s="27"/>
      <c r="OVW40" s="26"/>
      <c r="OVX40" s="27"/>
      <c r="OVY40" s="26"/>
      <c r="OVZ40" s="27"/>
      <c r="OWA40" s="26"/>
      <c r="OWB40" s="27"/>
      <c r="OWC40" s="26"/>
      <c r="OWD40" s="27"/>
      <c r="OWE40" s="26"/>
      <c r="OWF40" s="27"/>
      <c r="OWG40" s="26"/>
      <c r="OWH40" s="27"/>
      <c r="OWI40" s="26"/>
      <c r="OWJ40" s="27"/>
      <c r="OWK40" s="26"/>
      <c r="OWL40" s="27"/>
      <c r="OWM40" s="26"/>
      <c r="OWN40" s="27"/>
      <c r="OWO40" s="26"/>
      <c r="OWP40" s="27"/>
      <c r="OWQ40" s="26"/>
      <c r="OWR40" s="27"/>
      <c r="OWS40" s="26"/>
      <c r="OWT40" s="27"/>
      <c r="OWU40" s="26"/>
      <c r="OWV40" s="27"/>
      <c r="OWW40" s="26"/>
      <c r="OWX40" s="27"/>
      <c r="OWY40" s="26"/>
      <c r="OWZ40" s="27"/>
      <c r="OXA40" s="26"/>
      <c r="OXB40" s="27"/>
      <c r="OXC40" s="26"/>
      <c r="OXD40" s="27"/>
      <c r="OXE40" s="26"/>
      <c r="OXF40" s="27"/>
      <c r="OXG40" s="26"/>
      <c r="OXH40" s="27"/>
      <c r="OXI40" s="26"/>
      <c r="OXJ40" s="27"/>
      <c r="OXK40" s="26"/>
      <c r="OXL40" s="27"/>
      <c r="OXM40" s="26"/>
      <c r="OXN40" s="27"/>
      <c r="OXO40" s="26"/>
      <c r="OXP40" s="27"/>
      <c r="OXQ40" s="26"/>
      <c r="OXR40" s="27"/>
      <c r="OXS40" s="26"/>
      <c r="OXT40" s="27"/>
      <c r="OXU40" s="26"/>
      <c r="OXV40" s="27"/>
      <c r="OXW40" s="26"/>
      <c r="OXX40" s="27"/>
      <c r="OXY40" s="26"/>
      <c r="OXZ40" s="27"/>
      <c r="OYA40" s="26"/>
      <c r="OYB40" s="27"/>
      <c r="OYC40" s="26"/>
      <c r="OYD40" s="27"/>
      <c r="OYE40" s="26"/>
      <c r="OYF40" s="27"/>
      <c r="OYG40" s="26"/>
      <c r="OYH40" s="27"/>
      <c r="OYI40" s="26"/>
      <c r="OYJ40" s="27"/>
      <c r="OYK40" s="26"/>
      <c r="OYL40" s="27"/>
      <c r="OYM40" s="26"/>
      <c r="OYN40" s="27"/>
      <c r="OYO40" s="26"/>
      <c r="OYP40" s="27"/>
      <c r="OYQ40" s="26"/>
      <c r="OYR40" s="27"/>
      <c r="OYS40" s="26"/>
      <c r="OYT40" s="27"/>
      <c r="OYU40" s="26"/>
      <c r="OYV40" s="27"/>
      <c r="OYW40" s="26"/>
      <c r="OYX40" s="27"/>
      <c r="OYY40" s="26"/>
      <c r="OYZ40" s="27"/>
      <c r="OZA40" s="26"/>
      <c r="OZB40" s="27"/>
      <c r="OZC40" s="26"/>
      <c r="OZD40" s="27"/>
      <c r="OZE40" s="26"/>
      <c r="OZF40" s="27"/>
      <c r="OZG40" s="26"/>
      <c r="OZH40" s="27"/>
      <c r="OZI40" s="26"/>
      <c r="OZJ40" s="27"/>
      <c r="OZK40" s="26"/>
      <c r="OZL40" s="27"/>
      <c r="OZM40" s="26"/>
      <c r="OZN40" s="27"/>
      <c r="OZO40" s="26"/>
      <c r="OZP40" s="27"/>
      <c r="OZQ40" s="26"/>
      <c r="OZR40" s="27"/>
      <c r="OZS40" s="26"/>
      <c r="OZT40" s="27"/>
      <c r="OZU40" s="26"/>
      <c r="OZV40" s="27"/>
      <c r="OZW40" s="26"/>
      <c r="OZX40" s="27"/>
      <c r="OZY40" s="26"/>
      <c r="OZZ40" s="27"/>
      <c r="PAA40" s="26"/>
      <c r="PAB40" s="27"/>
      <c r="PAC40" s="26"/>
      <c r="PAD40" s="27"/>
      <c r="PAE40" s="26"/>
      <c r="PAF40" s="27"/>
      <c r="PAG40" s="26"/>
      <c r="PAH40" s="27"/>
      <c r="PAI40" s="26"/>
      <c r="PAJ40" s="27"/>
      <c r="PAK40" s="26"/>
      <c r="PAL40" s="27"/>
      <c r="PAM40" s="26"/>
      <c r="PAN40" s="27"/>
      <c r="PAO40" s="26"/>
      <c r="PAP40" s="27"/>
      <c r="PAQ40" s="26"/>
      <c r="PAR40" s="27"/>
      <c r="PAS40" s="26"/>
      <c r="PAT40" s="27"/>
      <c r="PAU40" s="26"/>
      <c r="PAV40" s="27"/>
      <c r="PAW40" s="26"/>
      <c r="PAX40" s="27"/>
      <c r="PAY40" s="26"/>
      <c r="PAZ40" s="27"/>
      <c r="PBA40" s="26"/>
      <c r="PBB40" s="27"/>
      <c r="PBC40" s="26"/>
      <c r="PBD40" s="27"/>
      <c r="PBE40" s="26"/>
      <c r="PBF40" s="27"/>
      <c r="PBG40" s="26"/>
      <c r="PBH40" s="27"/>
      <c r="PBI40" s="26"/>
      <c r="PBJ40" s="27"/>
      <c r="PBK40" s="26"/>
      <c r="PBL40" s="27"/>
      <c r="PBM40" s="26"/>
      <c r="PBN40" s="27"/>
      <c r="PBO40" s="26"/>
      <c r="PBP40" s="27"/>
      <c r="PBQ40" s="26"/>
      <c r="PBR40" s="27"/>
      <c r="PBS40" s="26"/>
      <c r="PBT40" s="27"/>
      <c r="PBU40" s="26"/>
      <c r="PBV40" s="27"/>
      <c r="PBW40" s="26"/>
      <c r="PBX40" s="27"/>
      <c r="PBY40" s="26"/>
      <c r="PBZ40" s="27"/>
      <c r="PCA40" s="26"/>
      <c r="PCB40" s="27"/>
      <c r="PCC40" s="26"/>
      <c r="PCD40" s="27"/>
      <c r="PCE40" s="26"/>
      <c r="PCF40" s="27"/>
      <c r="PCG40" s="26"/>
      <c r="PCH40" s="27"/>
      <c r="PCI40" s="26"/>
      <c r="PCJ40" s="27"/>
      <c r="PCK40" s="26"/>
      <c r="PCL40" s="27"/>
      <c r="PCM40" s="26"/>
      <c r="PCN40" s="27"/>
      <c r="PCO40" s="26"/>
      <c r="PCP40" s="27"/>
      <c r="PCQ40" s="26"/>
      <c r="PCR40" s="27"/>
      <c r="PCS40" s="26"/>
      <c r="PCT40" s="27"/>
      <c r="PCU40" s="26"/>
      <c r="PCV40" s="27"/>
      <c r="PCW40" s="26"/>
      <c r="PCX40" s="27"/>
      <c r="PCY40" s="26"/>
      <c r="PCZ40" s="27"/>
      <c r="PDA40" s="26"/>
      <c r="PDB40" s="27"/>
      <c r="PDC40" s="26"/>
      <c r="PDD40" s="27"/>
      <c r="PDE40" s="26"/>
      <c r="PDF40" s="27"/>
      <c r="PDG40" s="26"/>
      <c r="PDH40" s="27"/>
      <c r="PDI40" s="26"/>
      <c r="PDJ40" s="27"/>
      <c r="PDK40" s="26"/>
      <c r="PDL40" s="27"/>
      <c r="PDM40" s="26"/>
      <c r="PDN40" s="27"/>
      <c r="PDO40" s="26"/>
      <c r="PDP40" s="27"/>
      <c r="PDQ40" s="26"/>
      <c r="PDR40" s="27"/>
      <c r="PDS40" s="26"/>
      <c r="PDT40" s="27"/>
      <c r="PDU40" s="26"/>
      <c r="PDV40" s="27"/>
      <c r="PDW40" s="26"/>
      <c r="PDX40" s="27"/>
      <c r="PDY40" s="26"/>
      <c r="PDZ40" s="27"/>
      <c r="PEA40" s="26"/>
      <c r="PEB40" s="27"/>
      <c r="PEC40" s="26"/>
      <c r="PED40" s="27"/>
      <c r="PEE40" s="26"/>
      <c r="PEF40" s="27"/>
      <c r="PEG40" s="26"/>
      <c r="PEH40" s="27"/>
      <c r="PEI40" s="26"/>
      <c r="PEJ40" s="27"/>
      <c r="PEK40" s="26"/>
      <c r="PEL40" s="27"/>
      <c r="PEM40" s="26"/>
      <c r="PEN40" s="27"/>
      <c r="PEO40" s="26"/>
      <c r="PEP40" s="27"/>
      <c r="PEQ40" s="26"/>
      <c r="PER40" s="27"/>
      <c r="PES40" s="26"/>
      <c r="PET40" s="27"/>
      <c r="PEU40" s="26"/>
      <c r="PEV40" s="27"/>
      <c r="PEW40" s="26"/>
      <c r="PEX40" s="27"/>
      <c r="PEY40" s="26"/>
      <c r="PEZ40" s="27"/>
      <c r="PFA40" s="26"/>
      <c r="PFB40" s="27"/>
      <c r="PFC40" s="26"/>
      <c r="PFD40" s="27"/>
      <c r="PFE40" s="26"/>
      <c r="PFF40" s="27"/>
      <c r="PFG40" s="26"/>
      <c r="PFH40" s="27"/>
      <c r="PFI40" s="26"/>
      <c r="PFJ40" s="27"/>
      <c r="PFK40" s="26"/>
      <c r="PFL40" s="27"/>
      <c r="PFM40" s="26"/>
      <c r="PFN40" s="27"/>
      <c r="PFO40" s="26"/>
      <c r="PFP40" s="27"/>
      <c r="PFQ40" s="26"/>
      <c r="PFR40" s="27"/>
      <c r="PFS40" s="26"/>
      <c r="PFT40" s="27"/>
      <c r="PFU40" s="26"/>
      <c r="PFV40" s="27"/>
      <c r="PFW40" s="26"/>
      <c r="PFX40" s="27"/>
      <c r="PFY40" s="26"/>
      <c r="PFZ40" s="27"/>
      <c r="PGA40" s="26"/>
      <c r="PGB40" s="27"/>
      <c r="PGC40" s="26"/>
      <c r="PGD40" s="27"/>
      <c r="PGE40" s="26"/>
      <c r="PGF40" s="27"/>
      <c r="PGG40" s="26"/>
      <c r="PGH40" s="27"/>
      <c r="PGI40" s="26"/>
      <c r="PGJ40" s="27"/>
      <c r="PGK40" s="26"/>
      <c r="PGL40" s="27"/>
      <c r="PGM40" s="26"/>
      <c r="PGN40" s="27"/>
      <c r="PGO40" s="26"/>
      <c r="PGP40" s="27"/>
      <c r="PGQ40" s="26"/>
      <c r="PGR40" s="27"/>
      <c r="PGS40" s="26"/>
      <c r="PGT40" s="27"/>
      <c r="PGU40" s="26"/>
      <c r="PGV40" s="27"/>
      <c r="PGW40" s="26"/>
      <c r="PGX40" s="27"/>
      <c r="PGY40" s="26"/>
      <c r="PGZ40" s="27"/>
      <c r="PHA40" s="26"/>
      <c r="PHB40" s="27"/>
      <c r="PHC40" s="26"/>
      <c r="PHD40" s="27"/>
      <c r="PHE40" s="26"/>
      <c r="PHF40" s="27"/>
      <c r="PHG40" s="26"/>
      <c r="PHH40" s="27"/>
      <c r="PHI40" s="26"/>
      <c r="PHJ40" s="27"/>
      <c r="PHK40" s="26"/>
      <c r="PHL40" s="27"/>
      <c r="PHM40" s="26"/>
      <c r="PHN40" s="27"/>
      <c r="PHO40" s="26"/>
      <c r="PHP40" s="27"/>
      <c r="PHQ40" s="26"/>
      <c r="PHR40" s="27"/>
      <c r="PHS40" s="26"/>
      <c r="PHT40" s="27"/>
      <c r="PHU40" s="26"/>
      <c r="PHV40" s="27"/>
      <c r="PHW40" s="26"/>
      <c r="PHX40" s="27"/>
      <c r="PHY40" s="26"/>
      <c r="PHZ40" s="27"/>
      <c r="PIA40" s="26"/>
      <c r="PIB40" s="27"/>
      <c r="PIC40" s="26"/>
      <c r="PID40" s="27"/>
      <c r="PIE40" s="26"/>
      <c r="PIF40" s="27"/>
      <c r="PIG40" s="26"/>
      <c r="PIH40" s="27"/>
      <c r="PII40" s="26"/>
      <c r="PIJ40" s="27"/>
      <c r="PIK40" s="26"/>
      <c r="PIL40" s="27"/>
      <c r="PIM40" s="26"/>
      <c r="PIN40" s="27"/>
      <c r="PIO40" s="26"/>
      <c r="PIP40" s="27"/>
      <c r="PIQ40" s="26"/>
      <c r="PIR40" s="27"/>
      <c r="PIS40" s="26"/>
      <c r="PIT40" s="27"/>
      <c r="PIU40" s="26"/>
      <c r="PIV40" s="27"/>
      <c r="PIW40" s="26"/>
      <c r="PIX40" s="27"/>
      <c r="PIY40" s="26"/>
      <c r="PIZ40" s="27"/>
      <c r="PJA40" s="26"/>
      <c r="PJB40" s="27"/>
      <c r="PJC40" s="26"/>
      <c r="PJD40" s="27"/>
      <c r="PJE40" s="26"/>
      <c r="PJF40" s="27"/>
      <c r="PJG40" s="26"/>
      <c r="PJH40" s="27"/>
      <c r="PJI40" s="26"/>
      <c r="PJJ40" s="27"/>
      <c r="PJK40" s="26"/>
      <c r="PJL40" s="27"/>
      <c r="PJM40" s="26"/>
      <c r="PJN40" s="27"/>
      <c r="PJO40" s="26"/>
      <c r="PJP40" s="27"/>
      <c r="PJQ40" s="26"/>
      <c r="PJR40" s="27"/>
      <c r="PJS40" s="26"/>
      <c r="PJT40" s="27"/>
      <c r="PJU40" s="26"/>
      <c r="PJV40" s="27"/>
      <c r="PJW40" s="26"/>
      <c r="PJX40" s="27"/>
      <c r="PJY40" s="26"/>
      <c r="PJZ40" s="27"/>
      <c r="PKA40" s="26"/>
      <c r="PKB40" s="27"/>
      <c r="PKC40" s="26"/>
      <c r="PKD40" s="27"/>
      <c r="PKE40" s="26"/>
      <c r="PKF40" s="27"/>
      <c r="PKG40" s="26"/>
      <c r="PKH40" s="27"/>
      <c r="PKI40" s="26"/>
      <c r="PKJ40" s="27"/>
      <c r="PKK40" s="26"/>
      <c r="PKL40" s="27"/>
      <c r="PKM40" s="26"/>
      <c r="PKN40" s="27"/>
      <c r="PKO40" s="26"/>
      <c r="PKP40" s="27"/>
      <c r="PKQ40" s="26"/>
      <c r="PKR40" s="27"/>
      <c r="PKS40" s="26"/>
      <c r="PKT40" s="27"/>
      <c r="PKU40" s="26"/>
      <c r="PKV40" s="27"/>
      <c r="PKW40" s="26"/>
      <c r="PKX40" s="27"/>
      <c r="PKY40" s="26"/>
      <c r="PKZ40" s="27"/>
      <c r="PLA40" s="26"/>
      <c r="PLB40" s="27"/>
      <c r="PLC40" s="26"/>
      <c r="PLD40" s="27"/>
      <c r="PLE40" s="26"/>
      <c r="PLF40" s="27"/>
      <c r="PLG40" s="26"/>
      <c r="PLH40" s="27"/>
      <c r="PLI40" s="26"/>
      <c r="PLJ40" s="27"/>
      <c r="PLK40" s="26"/>
      <c r="PLL40" s="27"/>
      <c r="PLM40" s="26"/>
      <c r="PLN40" s="27"/>
      <c r="PLO40" s="26"/>
      <c r="PLP40" s="27"/>
      <c r="PLQ40" s="26"/>
      <c r="PLR40" s="27"/>
      <c r="PLS40" s="26"/>
      <c r="PLT40" s="27"/>
      <c r="PLU40" s="26"/>
      <c r="PLV40" s="27"/>
      <c r="PLW40" s="26"/>
      <c r="PLX40" s="27"/>
      <c r="PLY40" s="26"/>
      <c r="PLZ40" s="27"/>
      <c r="PMA40" s="26"/>
      <c r="PMB40" s="27"/>
      <c r="PMC40" s="26"/>
      <c r="PMD40" s="27"/>
      <c r="PME40" s="26"/>
      <c r="PMF40" s="27"/>
      <c r="PMG40" s="26"/>
      <c r="PMH40" s="27"/>
      <c r="PMI40" s="26"/>
      <c r="PMJ40" s="27"/>
      <c r="PMK40" s="26"/>
      <c r="PML40" s="27"/>
      <c r="PMM40" s="26"/>
      <c r="PMN40" s="27"/>
      <c r="PMO40" s="26"/>
      <c r="PMP40" s="27"/>
      <c r="PMQ40" s="26"/>
      <c r="PMR40" s="27"/>
      <c r="PMS40" s="26"/>
      <c r="PMT40" s="27"/>
      <c r="PMU40" s="26"/>
      <c r="PMV40" s="27"/>
      <c r="PMW40" s="26"/>
      <c r="PMX40" s="27"/>
      <c r="PMY40" s="26"/>
      <c r="PMZ40" s="27"/>
      <c r="PNA40" s="26"/>
      <c r="PNB40" s="27"/>
      <c r="PNC40" s="26"/>
      <c r="PND40" s="27"/>
      <c r="PNE40" s="26"/>
      <c r="PNF40" s="27"/>
      <c r="PNG40" s="26"/>
      <c r="PNH40" s="27"/>
      <c r="PNI40" s="26"/>
      <c r="PNJ40" s="27"/>
      <c r="PNK40" s="26"/>
      <c r="PNL40" s="27"/>
      <c r="PNM40" s="26"/>
      <c r="PNN40" s="27"/>
      <c r="PNO40" s="26"/>
      <c r="PNP40" s="27"/>
      <c r="PNQ40" s="26"/>
      <c r="PNR40" s="27"/>
      <c r="PNS40" s="26"/>
      <c r="PNT40" s="27"/>
      <c r="PNU40" s="26"/>
      <c r="PNV40" s="27"/>
      <c r="PNW40" s="26"/>
      <c r="PNX40" s="27"/>
      <c r="PNY40" s="26"/>
      <c r="PNZ40" s="27"/>
      <c r="POA40" s="26"/>
      <c r="POB40" s="27"/>
      <c r="POC40" s="26"/>
      <c r="POD40" s="27"/>
      <c r="POE40" s="26"/>
      <c r="POF40" s="27"/>
      <c r="POG40" s="26"/>
      <c r="POH40" s="27"/>
      <c r="POI40" s="26"/>
      <c r="POJ40" s="27"/>
      <c r="POK40" s="26"/>
      <c r="POL40" s="27"/>
      <c r="POM40" s="26"/>
      <c r="PON40" s="27"/>
      <c r="POO40" s="26"/>
      <c r="POP40" s="27"/>
      <c r="POQ40" s="26"/>
      <c r="POR40" s="27"/>
      <c r="POS40" s="26"/>
      <c r="POT40" s="27"/>
      <c r="POU40" s="26"/>
      <c r="POV40" s="27"/>
      <c r="POW40" s="26"/>
      <c r="POX40" s="27"/>
      <c r="POY40" s="26"/>
      <c r="POZ40" s="27"/>
      <c r="PPA40" s="26"/>
      <c r="PPB40" s="27"/>
      <c r="PPC40" s="26"/>
      <c r="PPD40" s="27"/>
      <c r="PPE40" s="26"/>
      <c r="PPF40" s="27"/>
      <c r="PPG40" s="26"/>
      <c r="PPH40" s="27"/>
      <c r="PPI40" s="26"/>
      <c r="PPJ40" s="27"/>
      <c r="PPK40" s="26"/>
      <c r="PPL40" s="27"/>
      <c r="PPM40" s="26"/>
      <c r="PPN40" s="27"/>
      <c r="PPO40" s="26"/>
      <c r="PPP40" s="27"/>
      <c r="PPQ40" s="26"/>
      <c r="PPR40" s="27"/>
      <c r="PPS40" s="26"/>
      <c r="PPT40" s="27"/>
      <c r="PPU40" s="26"/>
      <c r="PPV40" s="27"/>
      <c r="PPW40" s="26"/>
      <c r="PPX40" s="27"/>
      <c r="PPY40" s="26"/>
      <c r="PPZ40" s="27"/>
      <c r="PQA40" s="26"/>
      <c r="PQB40" s="27"/>
      <c r="PQC40" s="26"/>
      <c r="PQD40" s="27"/>
      <c r="PQE40" s="26"/>
      <c r="PQF40" s="27"/>
      <c r="PQG40" s="26"/>
      <c r="PQH40" s="27"/>
      <c r="PQI40" s="26"/>
      <c r="PQJ40" s="27"/>
      <c r="PQK40" s="26"/>
      <c r="PQL40" s="27"/>
      <c r="PQM40" s="26"/>
      <c r="PQN40" s="27"/>
      <c r="PQO40" s="26"/>
      <c r="PQP40" s="27"/>
      <c r="PQQ40" s="26"/>
      <c r="PQR40" s="27"/>
      <c r="PQS40" s="26"/>
      <c r="PQT40" s="27"/>
      <c r="PQU40" s="26"/>
      <c r="PQV40" s="27"/>
      <c r="PQW40" s="26"/>
      <c r="PQX40" s="27"/>
      <c r="PQY40" s="26"/>
      <c r="PQZ40" s="27"/>
      <c r="PRA40" s="26"/>
      <c r="PRB40" s="27"/>
      <c r="PRC40" s="26"/>
      <c r="PRD40" s="27"/>
      <c r="PRE40" s="26"/>
      <c r="PRF40" s="27"/>
      <c r="PRG40" s="26"/>
      <c r="PRH40" s="27"/>
      <c r="PRI40" s="26"/>
      <c r="PRJ40" s="27"/>
      <c r="PRK40" s="26"/>
      <c r="PRL40" s="27"/>
      <c r="PRM40" s="26"/>
      <c r="PRN40" s="27"/>
      <c r="PRO40" s="26"/>
      <c r="PRP40" s="27"/>
      <c r="PRQ40" s="26"/>
      <c r="PRR40" s="27"/>
      <c r="PRS40" s="26"/>
      <c r="PRT40" s="27"/>
      <c r="PRU40" s="26"/>
      <c r="PRV40" s="27"/>
      <c r="PRW40" s="26"/>
      <c r="PRX40" s="27"/>
      <c r="PRY40" s="26"/>
      <c r="PRZ40" s="27"/>
      <c r="PSA40" s="26"/>
      <c r="PSB40" s="27"/>
      <c r="PSC40" s="26"/>
      <c r="PSD40" s="27"/>
      <c r="PSE40" s="26"/>
      <c r="PSF40" s="27"/>
      <c r="PSG40" s="26"/>
      <c r="PSH40" s="27"/>
      <c r="PSI40" s="26"/>
      <c r="PSJ40" s="27"/>
      <c r="PSK40" s="26"/>
      <c r="PSL40" s="27"/>
      <c r="PSM40" s="26"/>
      <c r="PSN40" s="27"/>
      <c r="PSO40" s="26"/>
      <c r="PSP40" s="27"/>
      <c r="PSQ40" s="26"/>
      <c r="PSR40" s="27"/>
      <c r="PSS40" s="26"/>
      <c r="PST40" s="27"/>
      <c r="PSU40" s="26"/>
      <c r="PSV40" s="27"/>
      <c r="PSW40" s="26"/>
      <c r="PSX40" s="27"/>
      <c r="PSY40" s="26"/>
      <c r="PSZ40" s="27"/>
      <c r="PTA40" s="26"/>
      <c r="PTB40" s="27"/>
      <c r="PTC40" s="26"/>
      <c r="PTD40" s="27"/>
      <c r="PTE40" s="26"/>
      <c r="PTF40" s="27"/>
      <c r="PTG40" s="26"/>
      <c r="PTH40" s="27"/>
      <c r="PTI40" s="26"/>
      <c r="PTJ40" s="27"/>
      <c r="PTK40" s="26"/>
      <c r="PTL40" s="27"/>
      <c r="PTM40" s="26"/>
      <c r="PTN40" s="27"/>
      <c r="PTO40" s="26"/>
      <c r="PTP40" s="27"/>
      <c r="PTQ40" s="26"/>
      <c r="PTR40" s="27"/>
      <c r="PTS40" s="26"/>
      <c r="PTT40" s="27"/>
      <c r="PTU40" s="26"/>
      <c r="PTV40" s="27"/>
      <c r="PTW40" s="26"/>
      <c r="PTX40" s="27"/>
      <c r="PTY40" s="26"/>
      <c r="PTZ40" s="27"/>
      <c r="PUA40" s="26"/>
      <c r="PUB40" s="27"/>
      <c r="PUC40" s="26"/>
      <c r="PUD40" s="27"/>
      <c r="PUE40" s="26"/>
      <c r="PUF40" s="27"/>
      <c r="PUG40" s="26"/>
      <c r="PUH40" s="27"/>
      <c r="PUI40" s="26"/>
      <c r="PUJ40" s="27"/>
      <c r="PUK40" s="26"/>
      <c r="PUL40" s="27"/>
      <c r="PUM40" s="26"/>
      <c r="PUN40" s="27"/>
      <c r="PUO40" s="26"/>
      <c r="PUP40" s="27"/>
      <c r="PUQ40" s="26"/>
      <c r="PUR40" s="27"/>
      <c r="PUS40" s="26"/>
      <c r="PUT40" s="27"/>
      <c r="PUU40" s="26"/>
      <c r="PUV40" s="27"/>
      <c r="PUW40" s="26"/>
      <c r="PUX40" s="27"/>
      <c r="PUY40" s="26"/>
      <c r="PUZ40" s="27"/>
      <c r="PVA40" s="26"/>
      <c r="PVB40" s="27"/>
      <c r="PVC40" s="26"/>
      <c r="PVD40" s="27"/>
      <c r="PVE40" s="26"/>
      <c r="PVF40" s="27"/>
      <c r="PVG40" s="26"/>
      <c r="PVH40" s="27"/>
      <c r="PVI40" s="26"/>
      <c r="PVJ40" s="27"/>
      <c r="PVK40" s="26"/>
      <c r="PVL40" s="27"/>
      <c r="PVM40" s="26"/>
      <c r="PVN40" s="27"/>
      <c r="PVO40" s="26"/>
      <c r="PVP40" s="27"/>
      <c r="PVQ40" s="26"/>
      <c r="PVR40" s="27"/>
      <c r="PVS40" s="26"/>
      <c r="PVT40" s="27"/>
      <c r="PVU40" s="26"/>
      <c r="PVV40" s="27"/>
      <c r="PVW40" s="26"/>
      <c r="PVX40" s="27"/>
      <c r="PVY40" s="26"/>
      <c r="PVZ40" s="27"/>
      <c r="PWA40" s="26"/>
      <c r="PWB40" s="27"/>
      <c r="PWC40" s="26"/>
      <c r="PWD40" s="27"/>
      <c r="PWE40" s="26"/>
      <c r="PWF40" s="27"/>
      <c r="PWG40" s="26"/>
      <c r="PWH40" s="27"/>
      <c r="PWI40" s="26"/>
      <c r="PWJ40" s="27"/>
      <c r="PWK40" s="26"/>
      <c r="PWL40" s="27"/>
      <c r="PWM40" s="26"/>
      <c r="PWN40" s="27"/>
      <c r="PWO40" s="26"/>
      <c r="PWP40" s="27"/>
      <c r="PWQ40" s="26"/>
      <c r="PWR40" s="27"/>
      <c r="PWS40" s="26"/>
      <c r="PWT40" s="27"/>
      <c r="PWU40" s="26"/>
      <c r="PWV40" s="27"/>
      <c r="PWW40" s="26"/>
      <c r="PWX40" s="27"/>
      <c r="PWY40" s="26"/>
      <c r="PWZ40" s="27"/>
      <c r="PXA40" s="26"/>
      <c r="PXB40" s="27"/>
      <c r="PXC40" s="26"/>
      <c r="PXD40" s="27"/>
      <c r="PXE40" s="26"/>
      <c r="PXF40" s="27"/>
      <c r="PXG40" s="26"/>
      <c r="PXH40" s="27"/>
      <c r="PXI40" s="26"/>
      <c r="PXJ40" s="27"/>
      <c r="PXK40" s="26"/>
      <c r="PXL40" s="27"/>
      <c r="PXM40" s="26"/>
      <c r="PXN40" s="27"/>
      <c r="PXO40" s="26"/>
      <c r="PXP40" s="27"/>
      <c r="PXQ40" s="26"/>
      <c r="PXR40" s="27"/>
      <c r="PXS40" s="26"/>
      <c r="PXT40" s="27"/>
      <c r="PXU40" s="26"/>
      <c r="PXV40" s="27"/>
      <c r="PXW40" s="26"/>
      <c r="PXX40" s="27"/>
      <c r="PXY40" s="26"/>
      <c r="PXZ40" s="27"/>
      <c r="PYA40" s="26"/>
      <c r="PYB40" s="27"/>
      <c r="PYC40" s="26"/>
      <c r="PYD40" s="27"/>
      <c r="PYE40" s="26"/>
      <c r="PYF40" s="27"/>
      <c r="PYG40" s="26"/>
      <c r="PYH40" s="27"/>
      <c r="PYI40" s="26"/>
      <c r="PYJ40" s="27"/>
      <c r="PYK40" s="26"/>
      <c r="PYL40" s="27"/>
      <c r="PYM40" s="26"/>
      <c r="PYN40" s="27"/>
      <c r="PYO40" s="26"/>
      <c r="PYP40" s="27"/>
      <c r="PYQ40" s="26"/>
      <c r="PYR40" s="27"/>
      <c r="PYS40" s="26"/>
      <c r="PYT40" s="27"/>
      <c r="PYU40" s="26"/>
      <c r="PYV40" s="27"/>
      <c r="PYW40" s="26"/>
      <c r="PYX40" s="27"/>
      <c r="PYY40" s="26"/>
      <c r="PYZ40" s="27"/>
      <c r="PZA40" s="26"/>
      <c r="PZB40" s="27"/>
      <c r="PZC40" s="26"/>
      <c r="PZD40" s="27"/>
      <c r="PZE40" s="26"/>
      <c r="PZF40" s="27"/>
      <c r="PZG40" s="26"/>
      <c r="PZH40" s="27"/>
      <c r="PZI40" s="26"/>
      <c r="PZJ40" s="27"/>
      <c r="PZK40" s="26"/>
      <c r="PZL40" s="27"/>
      <c r="PZM40" s="26"/>
      <c r="PZN40" s="27"/>
      <c r="PZO40" s="26"/>
      <c r="PZP40" s="27"/>
      <c r="PZQ40" s="26"/>
      <c r="PZR40" s="27"/>
      <c r="PZS40" s="26"/>
      <c r="PZT40" s="27"/>
      <c r="PZU40" s="26"/>
      <c r="PZV40" s="27"/>
      <c r="PZW40" s="26"/>
      <c r="PZX40" s="27"/>
      <c r="PZY40" s="26"/>
      <c r="PZZ40" s="27"/>
      <c r="QAA40" s="26"/>
      <c r="QAB40" s="27"/>
      <c r="QAC40" s="26"/>
      <c r="QAD40" s="27"/>
      <c r="QAE40" s="26"/>
      <c r="QAF40" s="27"/>
      <c r="QAG40" s="26"/>
      <c r="QAH40" s="27"/>
      <c r="QAI40" s="26"/>
      <c r="QAJ40" s="27"/>
      <c r="QAK40" s="26"/>
      <c r="QAL40" s="27"/>
      <c r="QAM40" s="26"/>
      <c r="QAN40" s="27"/>
      <c r="QAO40" s="26"/>
      <c r="QAP40" s="27"/>
      <c r="QAQ40" s="26"/>
      <c r="QAR40" s="27"/>
      <c r="QAS40" s="26"/>
      <c r="QAT40" s="27"/>
      <c r="QAU40" s="26"/>
      <c r="QAV40" s="27"/>
      <c r="QAW40" s="26"/>
      <c r="QAX40" s="27"/>
      <c r="QAY40" s="26"/>
      <c r="QAZ40" s="27"/>
      <c r="QBA40" s="26"/>
      <c r="QBB40" s="27"/>
      <c r="QBC40" s="26"/>
      <c r="QBD40" s="27"/>
      <c r="QBE40" s="26"/>
      <c r="QBF40" s="27"/>
      <c r="QBG40" s="26"/>
      <c r="QBH40" s="27"/>
      <c r="QBI40" s="26"/>
      <c r="QBJ40" s="27"/>
      <c r="QBK40" s="26"/>
      <c r="QBL40" s="27"/>
      <c r="QBM40" s="26"/>
      <c r="QBN40" s="27"/>
      <c r="QBO40" s="26"/>
      <c r="QBP40" s="27"/>
      <c r="QBQ40" s="26"/>
      <c r="QBR40" s="27"/>
      <c r="QBS40" s="26"/>
      <c r="QBT40" s="27"/>
      <c r="QBU40" s="26"/>
      <c r="QBV40" s="27"/>
      <c r="QBW40" s="26"/>
      <c r="QBX40" s="27"/>
      <c r="QBY40" s="26"/>
      <c r="QBZ40" s="27"/>
      <c r="QCA40" s="26"/>
      <c r="QCB40" s="27"/>
      <c r="QCC40" s="26"/>
      <c r="QCD40" s="27"/>
      <c r="QCE40" s="26"/>
      <c r="QCF40" s="27"/>
      <c r="QCG40" s="26"/>
      <c r="QCH40" s="27"/>
      <c r="QCI40" s="26"/>
      <c r="QCJ40" s="27"/>
      <c r="QCK40" s="26"/>
      <c r="QCL40" s="27"/>
      <c r="QCM40" s="26"/>
      <c r="QCN40" s="27"/>
      <c r="QCO40" s="26"/>
      <c r="QCP40" s="27"/>
      <c r="QCQ40" s="26"/>
      <c r="QCR40" s="27"/>
      <c r="QCS40" s="26"/>
      <c r="QCT40" s="27"/>
      <c r="QCU40" s="26"/>
      <c r="QCV40" s="27"/>
      <c r="QCW40" s="26"/>
      <c r="QCX40" s="27"/>
      <c r="QCY40" s="26"/>
      <c r="QCZ40" s="27"/>
      <c r="QDA40" s="26"/>
      <c r="QDB40" s="27"/>
      <c r="QDC40" s="26"/>
      <c r="QDD40" s="27"/>
      <c r="QDE40" s="26"/>
      <c r="QDF40" s="27"/>
      <c r="QDG40" s="26"/>
      <c r="QDH40" s="27"/>
      <c r="QDI40" s="26"/>
      <c r="QDJ40" s="27"/>
      <c r="QDK40" s="26"/>
      <c r="QDL40" s="27"/>
      <c r="QDM40" s="26"/>
      <c r="QDN40" s="27"/>
      <c r="QDO40" s="26"/>
      <c r="QDP40" s="27"/>
      <c r="QDQ40" s="26"/>
      <c r="QDR40" s="27"/>
      <c r="QDS40" s="26"/>
      <c r="QDT40" s="27"/>
      <c r="QDU40" s="26"/>
      <c r="QDV40" s="27"/>
      <c r="QDW40" s="26"/>
      <c r="QDX40" s="27"/>
      <c r="QDY40" s="26"/>
      <c r="QDZ40" s="27"/>
      <c r="QEA40" s="26"/>
      <c r="QEB40" s="27"/>
      <c r="QEC40" s="26"/>
      <c r="QED40" s="27"/>
      <c r="QEE40" s="26"/>
      <c r="QEF40" s="27"/>
      <c r="QEG40" s="26"/>
      <c r="QEH40" s="27"/>
      <c r="QEI40" s="26"/>
      <c r="QEJ40" s="27"/>
      <c r="QEK40" s="26"/>
      <c r="QEL40" s="27"/>
      <c r="QEM40" s="26"/>
      <c r="QEN40" s="27"/>
      <c r="QEO40" s="26"/>
      <c r="QEP40" s="27"/>
      <c r="QEQ40" s="26"/>
      <c r="QER40" s="27"/>
      <c r="QES40" s="26"/>
      <c r="QET40" s="27"/>
      <c r="QEU40" s="26"/>
      <c r="QEV40" s="27"/>
      <c r="QEW40" s="26"/>
      <c r="QEX40" s="27"/>
      <c r="QEY40" s="26"/>
      <c r="QEZ40" s="27"/>
      <c r="QFA40" s="26"/>
      <c r="QFB40" s="27"/>
      <c r="QFC40" s="26"/>
      <c r="QFD40" s="27"/>
      <c r="QFE40" s="26"/>
      <c r="QFF40" s="27"/>
      <c r="QFG40" s="26"/>
      <c r="QFH40" s="27"/>
      <c r="QFI40" s="26"/>
      <c r="QFJ40" s="27"/>
      <c r="QFK40" s="26"/>
      <c r="QFL40" s="27"/>
      <c r="QFM40" s="26"/>
      <c r="QFN40" s="27"/>
      <c r="QFO40" s="26"/>
      <c r="QFP40" s="27"/>
      <c r="QFQ40" s="26"/>
      <c r="QFR40" s="27"/>
      <c r="QFS40" s="26"/>
      <c r="QFT40" s="27"/>
      <c r="QFU40" s="26"/>
      <c r="QFV40" s="27"/>
      <c r="QFW40" s="26"/>
      <c r="QFX40" s="27"/>
      <c r="QFY40" s="26"/>
      <c r="QFZ40" s="27"/>
      <c r="QGA40" s="26"/>
      <c r="QGB40" s="27"/>
      <c r="QGC40" s="26"/>
      <c r="QGD40" s="27"/>
      <c r="QGE40" s="26"/>
      <c r="QGF40" s="27"/>
      <c r="QGG40" s="26"/>
      <c r="QGH40" s="27"/>
      <c r="QGI40" s="26"/>
      <c r="QGJ40" s="27"/>
      <c r="QGK40" s="26"/>
      <c r="QGL40" s="27"/>
      <c r="QGM40" s="26"/>
      <c r="QGN40" s="27"/>
      <c r="QGO40" s="26"/>
      <c r="QGP40" s="27"/>
      <c r="QGQ40" s="26"/>
      <c r="QGR40" s="27"/>
      <c r="QGS40" s="26"/>
      <c r="QGT40" s="27"/>
      <c r="QGU40" s="26"/>
      <c r="QGV40" s="27"/>
      <c r="QGW40" s="26"/>
      <c r="QGX40" s="27"/>
      <c r="QGY40" s="26"/>
      <c r="QGZ40" s="27"/>
      <c r="QHA40" s="26"/>
      <c r="QHB40" s="27"/>
      <c r="QHC40" s="26"/>
      <c r="QHD40" s="27"/>
      <c r="QHE40" s="26"/>
      <c r="QHF40" s="27"/>
      <c r="QHG40" s="26"/>
      <c r="QHH40" s="27"/>
      <c r="QHI40" s="26"/>
      <c r="QHJ40" s="27"/>
      <c r="QHK40" s="26"/>
      <c r="QHL40" s="27"/>
      <c r="QHM40" s="26"/>
      <c r="QHN40" s="27"/>
      <c r="QHO40" s="26"/>
      <c r="QHP40" s="27"/>
      <c r="QHQ40" s="26"/>
      <c r="QHR40" s="27"/>
      <c r="QHS40" s="26"/>
      <c r="QHT40" s="27"/>
      <c r="QHU40" s="26"/>
      <c r="QHV40" s="27"/>
      <c r="QHW40" s="26"/>
      <c r="QHX40" s="27"/>
      <c r="QHY40" s="26"/>
      <c r="QHZ40" s="27"/>
      <c r="QIA40" s="26"/>
      <c r="QIB40" s="27"/>
      <c r="QIC40" s="26"/>
      <c r="QID40" s="27"/>
      <c r="QIE40" s="26"/>
      <c r="QIF40" s="27"/>
      <c r="QIG40" s="26"/>
      <c r="QIH40" s="27"/>
      <c r="QII40" s="26"/>
      <c r="QIJ40" s="27"/>
      <c r="QIK40" s="26"/>
      <c r="QIL40" s="27"/>
      <c r="QIM40" s="26"/>
      <c r="QIN40" s="27"/>
      <c r="QIO40" s="26"/>
      <c r="QIP40" s="27"/>
      <c r="QIQ40" s="26"/>
      <c r="QIR40" s="27"/>
      <c r="QIS40" s="26"/>
      <c r="QIT40" s="27"/>
      <c r="QIU40" s="26"/>
      <c r="QIV40" s="27"/>
      <c r="QIW40" s="26"/>
      <c r="QIX40" s="27"/>
      <c r="QIY40" s="26"/>
      <c r="QIZ40" s="27"/>
      <c r="QJA40" s="26"/>
      <c r="QJB40" s="27"/>
      <c r="QJC40" s="26"/>
      <c r="QJD40" s="27"/>
      <c r="QJE40" s="26"/>
      <c r="QJF40" s="27"/>
      <c r="QJG40" s="26"/>
      <c r="QJH40" s="27"/>
      <c r="QJI40" s="26"/>
      <c r="QJJ40" s="27"/>
      <c r="QJK40" s="26"/>
      <c r="QJL40" s="27"/>
      <c r="QJM40" s="26"/>
      <c r="QJN40" s="27"/>
      <c r="QJO40" s="26"/>
      <c r="QJP40" s="27"/>
      <c r="QJQ40" s="26"/>
      <c r="QJR40" s="27"/>
      <c r="QJS40" s="26"/>
      <c r="QJT40" s="27"/>
      <c r="QJU40" s="26"/>
      <c r="QJV40" s="27"/>
      <c r="QJW40" s="26"/>
      <c r="QJX40" s="27"/>
      <c r="QJY40" s="26"/>
      <c r="QJZ40" s="27"/>
      <c r="QKA40" s="26"/>
      <c r="QKB40" s="27"/>
      <c r="QKC40" s="26"/>
      <c r="QKD40" s="27"/>
      <c r="QKE40" s="26"/>
      <c r="QKF40" s="27"/>
      <c r="QKG40" s="26"/>
      <c r="QKH40" s="27"/>
      <c r="QKI40" s="26"/>
      <c r="QKJ40" s="27"/>
      <c r="QKK40" s="26"/>
      <c r="QKL40" s="27"/>
      <c r="QKM40" s="26"/>
      <c r="QKN40" s="27"/>
      <c r="QKO40" s="26"/>
      <c r="QKP40" s="27"/>
      <c r="QKQ40" s="26"/>
      <c r="QKR40" s="27"/>
      <c r="QKS40" s="26"/>
      <c r="QKT40" s="27"/>
      <c r="QKU40" s="26"/>
      <c r="QKV40" s="27"/>
      <c r="QKW40" s="26"/>
      <c r="QKX40" s="27"/>
      <c r="QKY40" s="26"/>
      <c r="QKZ40" s="27"/>
      <c r="QLA40" s="26"/>
      <c r="QLB40" s="27"/>
      <c r="QLC40" s="26"/>
      <c r="QLD40" s="27"/>
      <c r="QLE40" s="26"/>
      <c r="QLF40" s="27"/>
      <c r="QLG40" s="26"/>
      <c r="QLH40" s="27"/>
      <c r="QLI40" s="26"/>
      <c r="QLJ40" s="27"/>
      <c r="QLK40" s="26"/>
      <c r="QLL40" s="27"/>
      <c r="QLM40" s="26"/>
      <c r="QLN40" s="27"/>
      <c r="QLO40" s="26"/>
      <c r="QLP40" s="27"/>
      <c r="QLQ40" s="26"/>
      <c r="QLR40" s="27"/>
      <c r="QLS40" s="26"/>
      <c r="QLT40" s="27"/>
      <c r="QLU40" s="26"/>
      <c r="QLV40" s="27"/>
      <c r="QLW40" s="26"/>
      <c r="QLX40" s="27"/>
      <c r="QLY40" s="26"/>
      <c r="QLZ40" s="27"/>
      <c r="QMA40" s="26"/>
      <c r="QMB40" s="27"/>
      <c r="QMC40" s="26"/>
      <c r="QMD40" s="27"/>
      <c r="QME40" s="26"/>
      <c r="QMF40" s="27"/>
      <c r="QMG40" s="26"/>
      <c r="QMH40" s="27"/>
      <c r="QMI40" s="26"/>
      <c r="QMJ40" s="27"/>
      <c r="QMK40" s="26"/>
      <c r="QML40" s="27"/>
      <c r="QMM40" s="26"/>
      <c r="QMN40" s="27"/>
      <c r="QMO40" s="26"/>
      <c r="QMP40" s="27"/>
      <c r="QMQ40" s="26"/>
      <c r="QMR40" s="27"/>
      <c r="QMS40" s="26"/>
      <c r="QMT40" s="27"/>
      <c r="QMU40" s="26"/>
      <c r="QMV40" s="27"/>
      <c r="QMW40" s="26"/>
      <c r="QMX40" s="27"/>
      <c r="QMY40" s="26"/>
      <c r="QMZ40" s="27"/>
      <c r="QNA40" s="26"/>
      <c r="QNB40" s="27"/>
      <c r="QNC40" s="26"/>
      <c r="QND40" s="27"/>
      <c r="QNE40" s="26"/>
      <c r="QNF40" s="27"/>
      <c r="QNG40" s="26"/>
      <c r="QNH40" s="27"/>
      <c r="QNI40" s="26"/>
      <c r="QNJ40" s="27"/>
      <c r="QNK40" s="26"/>
      <c r="QNL40" s="27"/>
      <c r="QNM40" s="26"/>
      <c r="QNN40" s="27"/>
      <c r="QNO40" s="26"/>
      <c r="QNP40" s="27"/>
      <c r="QNQ40" s="26"/>
      <c r="QNR40" s="27"/>
      <c r="QNS40" s="26"/>
      <c r="QNT40" s="27"/>
      <c r="QNU40" s="26"/>
      <c r="QNV40" s="27"/>
      <c r="QNW40" s="26"/>
      <c r="QNX40" s="27"/>
      <c r="QNY40" s="26"/>
      <c r="QNZ40" s="27"/>
      <c r="QOA40" s="26"/>
      <c r="QOB40" s="27"/>
      <c r="QOC40" s="26"/>
      <c r="QOD40" s="27"/>
      <c r="QOE40" s="26"/>
      <c r="QOF40" s="27"/>
      <c r="QOG40" s="26"/>
      <c r="QOH40" s="27"/>
      <c r="QOI40" s="26"/>
      <c r="QOJ40" s="27"/>
      <c r="QOK40" s="26"/>
      <c r="QOL40" s="27"/>
      <c r="QOM40" s="26"/>
      <c r="QON40" s="27"/>
      <c r="QOO40" s="26"/>
      <c r="QOP40" s="27"/>
      <c r="QOQ40" s="26"/>
      <c r="QOR40" s="27"/>
      <c r="QOS40" s="26"/>
      <c r="QOT40" s="27"/>
      <c r="QOU40" s="26"/>
      <c r="QOV40" s="27"/>
      <c r="QOW40" s="26"/>
      <c r="QOX40" s="27"/>
      <c r="QOY40" s="26"/>
      <c r="QOZ40" s="27"/>
      <c r="QPA40" s="26"/>
      <c r="QPB40" s="27"/>
      <c r="QPC40" s="26"/>
      <c r="QPD40" s="27"/>
      <c r="QPE40" s="26"/>
      <c r="QPF40" s="27"/>
      <c r="QPG40" s="26"/>
      <c r="QPH40" s="27"/>
      <c r="QPI40" s="26"/>
      <c r="QPJ40" s="27"/>
      <c r="QPK40" s="26"/>
      <c r="QPL40" s="27"/>
      <c r="QPM40" s="26"/>
      <c r="QPN40" s="27"/>
      <c r="QPO40" s="26"/>
      <c r="QPP40" s="27"/>
      <c r="QPQ40" s="26"/>
      <c r="QPR40" s="27"/>
      <c r="QPS40" s="26"/>
      <c r="QPT40" s="27"/>
      <c r="QPU40" s="26"/>
      <c r="QPV40" s="27"/>
      <c r="QPW40" s="26"/>
      <c r="QPX40" s="27"/>
      <c r="QPY40" s="26"/>
      <c r="QPZ40" s="27"/>
      <c r="QQA40" s="26"/>
      <c r="QQB40" s="27"/>
      <c r="QQC40" s="26"/>
      <c r="QQD40" s="27"/>
      <c r="QQE40" s="26"/>
      <c r="QQF40" s="27"/>
      <c r="QQG40" s="26"/>
      <c r="QQH40" s="27"/>
      <c r="QQI40" s="26"/>
      <c r="QQJ40" s="27"/>
      <c r="QQK40" s="26"/>
      <c r="QQL40" s="27"/>
      <c r="QQM40" s="26"/>
      <c r="QQN40" s="27"/>
      <c r="QQO40" s="26"/>
      <c r="QQP40" s="27"/>
      <c r="QQQ40" s="26"/>
      <c r="QQR40" s="27"/>
      <c r="QQS40" s="26"/>
      <c r="QQT40" s="27"/>
      <c r="QQU40" s="26"/>
      <c r="QQV40" s="27"/>
      <c r="QQW40" s="26"/>
      <c r="QQX40" s="27"/>
      <c r="QQY40" s="26"/>
      <c r="QQZ40" s="27"/>
      <c r="QRA40" s="26"/>
      <c r="QRB40" s="27"/>
      <c r="QRC40" s="26"/>
      <c r="QRD40" s="27"/>
      <c r="QRE40" s="26"/>
      <c r="QRF40" s="27"/>
      <c r="QRG40" s="26"/>
      <c r="QRH40" s="27"/>
      <c r="QRI40" s="26"/>
      <c r="QRJ40" s="27"/>
      <c r="QRK40" s="26"/>
      <c r="QRL40" s="27"/>
      <c r="QRM40" s="26"/>
      <c r="QRN40" s="27"/>
      <c r="QRO40" s="26"/>
      <c r="QRP40" s="27"/>
      <c r="QRQ40" s="26"/>
      <c r="QRR40" s="27"/>
      <c r="QRS40" s="26"/>
      <c r="QRT40" s="27"/>
      <c r="QRU40" s="26"/>
      <c r="QRV40" s="27"/>
      <c r="QRW40" s="26"/>
      <c r="QRX40" s="27"/>
      <c r="QRY40" s="26"/>
      <c r="QRZ40" s="27"/>
      <c r="QSA40" s="26"/>
      <c r="QSB40" s="27"/>
      <c r="QSC40" s="26"/>
      <c r="QSD40" s="27"/>
      <c r="QSE40" s="26"/>
      <c r="QSF40" s="27"/>
      <c r="QSG40" s="26"/>
      <c r="QSH40" s="27"/>
      <c r="QSI40" s="26"/>
      <c r="QSJ40" s="27"/>
      <c r="QSK40" s="26"/>
      <c r="QSL40" s="27"/>
      <c r="QSM40" s="26"/>
      <c r="QSN40" s="27"/>
      <c r="QSO40" s="26"/>
      <c r="QSP40" s="27"/>
      <c r="QSQ40" s="26"/>
      <c r="QSR40" s="27"/>
      <c r="QSS40" s="26"/>
      <c r="QST40" s="27"/>
      <c r="QSU40" s="26"/>
      <c r="QSV40" s="27"/>
      <c r="QSW40" s="26"/>
      <c r="QSX40" s="27"/>
      <c r="QSY40" s="26"/>
      <c r="QSZ40" s="27"/>
      <c r="QTA40" s="26"/>
      <c r="QTB40" s="27"/>
      <c r="QTC40" s="26"/>
      <c r="QTD40" s="27"/>
      <c r="QTE40" s="26"/>
      <c r="QTF40" s="27"/>
      <c r="QTG40" s="26"/>
      <c r="QTH40" s="27"/>
      <c r="QTI40" s="26"/>
      <c r="QTJ40" s="27"/>
      <c r="QTK40" s="26"/>
      <c r="QTL40" s="27"/>
      <c r="QTM40" s="26"/>
      <c r="QTN40" s="27"/>
      <c r="QTO40" s="26"/>
      <c r="QTP40" s="27"/>
      <c r="QTQ40" s="26"/>
      <c r="QTR40" s="27"/>
      <c r="QTS40" s="26"/>
      <c r="QTT40" s="27"/>
      <c r="QTU40" s="26"/>
      <c r="QTV40" s="27"/>
      <c r="QTW40" s="26"/>
      <c r="QTX40" s="27"/>
      <c r="QTY40" s="26"/>
      <c r="QTZ40" s="27"/>
      <c r="QUA40" s="26"/>
      <c r="QUB40" s="27"/>
      <c r="QUC40" s="26"/>
      <c r="QUD40" s="27"/>
      <c r="QUE40" s="26"/>
      <c r="QUF40" s="27"/>
      <c r="QUG40" s="26"/>
      <c r="QUH40" s="27"/>
      <c r="QUI40" s="26"/>
      <c r="QUJ40" s="27"/>
      <c r="QUK40" s="26"/>
      <c r="QUL40" s="27"/>
      <c r="QUM40" s="26"/>
      <c r="QUN40" s="27"/>
      <c r="QUO40" s="26"/>
      <c r="QUP40" s="27"/>
      <c r="QUQ40" s="26"/>
      <c r="QUR40" s="27"/>
      <c r="QUS40" s="26"/>
      <c r="QUT40" s="27"/>
      <c r="QUU40" s="26"/>
      <c r="QUV40" s="27"/>
      <c r="QUW40" s="26"/>
      <c r="QUX40" s="27"/>
      <c r="QUY40" s="26"/>
      <c r="QUZ40" s="27"/>
      <c r="QVA40" s="26"/>
      <c r="QVB40" s="27"/>
      <c r="QVC40" s="26"/>
      <c r="QVD40" s="27"/>
      <c r="QVE40" s="26"/>
      <c r="QVF40" s="27"/>
      <c r="QVG40" s="26"/>
      <c r="QVH40" s="27"/>
      <c r="QVI40" s="26"/>
      <c r="QVJ40" s="27"/>
      <c r="QVK40" s="26"/>
      <c r="QVL40" s="27"/>
      <c r="QVM40" s="26"/>
      <c r="QVN40" s="27"/>
      <c r="QVO40" s="26"/>
      <c r="QVP40" s="27"/>
      <c r="QVQ40" s="26"/>
      <c r="QVR40" s="27"/>
      <c r="QVS40" s="26"/>
      <c r="QVT40" s="27"/>
      <c r="QVU40" s="26"/>
      <c r="QVV40" s="27"/>
      <c r="QVW40" s="26"/>
      <c r="QVX40" s="27"/>
      <c r="QVY40" s="26"/>
      <c r="QVZ40" s="27"/>
      <c r="QWA40" s="26"/>
      <c r="QWB40" s="27"/>
      <c r="QWC40" s="26"/>
      <c r="QWD40" s="27"/>
      <c r="QWE40" s="26"/>
      <c r="QWF40" s="27"/>
      <c r="QWG40" s="26"/>
      <c r="QWH40" s="27"/>
      <c r="QWI40" s="26"/>
      <c r="QWJ40" s="27"/>
      <c r="QWK40" s="26"/>
      <c r="QWL40" s="27"/>
      <c r="QWM40" s="26"/>
      <c r="QWN40" s="27"/>
      <c r="QWO40" s="26"/>
      <c r="QWP40" s="27"/>
      <c r="QWQ40" s="26"/>
      <c r="QWR40" s="27"/>
      <c r="QWS40" s="26"/>
      <c r="QWT40" s="27"/>
      <c r="QWU40" s="26"/>
      <c r="QWV40" s="27"/>
      <c r="QWW40" s="26"/>
      <c r="QWX40" s="27"/>
      <c r="QWY40" s="26"/>
      <c r="QWZ40" s="27"/>
      <c r="QXA40" s="26"/>
      <c r="QXB40" s="27"/>
      <c r="QXC40" s="26"/>
      <c r="QXD40" s="27"/>
      <c r="QXE40" s="26"/>
      <c r="QXF40" s="27"/>
      <c r="QXG40" s="26"/>
      <c r="QXH40" s="27"/>
      <c r="QXI40" s="26"/>
      <c r="QXJ40" s="27"/>
      <c r="QXK40" s="26"/>
      <c r="QXL40" s="27"/>
      <c r="QXM40" s="26"/>
      <c r="QXN40" s="27"/>
      <c r="QXO40" s="26"/>
      <c r="QXP40" s="27"/>
      <c r="QXQ40" s="26"/>
      <c r="QXR40" s="27"/>
      <c r="QXS40" s="26"/>
      <c r="QXT40" s="27"/>
      <c r="QXU40" s="26"/>
      <c r="QXV40" s="27"/>
      <c r="QXW40" s="26"/>
      <c r="QXX40" s="27"/>
      <c r="QXY40" s="26"/>
      <c r="QXZ40" s="27"/>
      <c r="QYA40" s="26"/>
      <c r="QYB40" s="27"/>
      <c r="QYC40" s="26"/>
      <c r="QYD40" s="27"/>
      <c r="QYE40" s="26"/>
      <c r="QYF40" s="27"/>
      <c r="QYG40" s="26"/>
      <c r="QYH40" s="27"/>
      <c r="QYI40" s="26"/>
      <c r="QYJ40" s="27"/>
      <c r="QYK40" s="26"/>
      <c r="QYL40" s="27"/>
      <c r="QYM40" s="26"/>
      <c r="QYN40" s="27"/>
      <c r="QYO40" s="26"/>
      <c r="QYP40" s="27"/>
      <c r="QYQ40" s="26"/>
      <c r="QYR40" s="27"/>
      <c r="QYS40" s="26"/>
      <c r="QYT40" s="27"/>
      <c r="QYU40" s="26"/>
      <c r="QYV40" s="27"/>
      <c r="QYW40" s="26"/>
      <c r="QYX40" s="27"/>
      <c r="QYY40" s="26"/>
      <c r="QYZ40" s="27"/>
      <c r="QZA40" s="26"/>
      <c r="QZB40" s="27"/>
      <c r="QZC40" s="26"/>
      <c r="QZD40" s="27"/>
      <c r="QZE40" s="26"/>
      <c r="QZF40" s="27"/>
      <c r="QZG40" s="26"/>
      <c r="QZH40" s="27"/>
      <c r="QZI40" s="26"/>
      <c r="QZJ40" s="27"/>
      <c r="QZK40" s="26"/>
      <c r="QZL40" s="27"/>
      <c r="QZM40" s="26"/>
      <c r="QZN40" s="27"/>
      <c r="QZO40" s="26"/>
      <c r="QZP40" s="27"/>
      <c r="QZQ40" s="26"/>
      <c r="QZR40" s="27"/>
      <c r="QZS40" s="26"/>
      <c r="QZT40" s="27"/>
      <c r="QZU40" s="26"/>
      <c r="QZV40" s="27"/>
      <c r="QZW40" s="26"/>
      <c r="QZX40" s="27"/>
      <c r="QZY40" s="26"/>
      <c r="QZZ40" s="27"/>
      <c r="RAA40" s="26"/>
      <c r="RAB40" s="27"/>
      <c r="RAC40" s="26"/>
      <c r="RAD40" s="27"/>
      <c r="RAE40" s="26"/>
      <c r="RAF40" s="27"/>
      <c r="RAG40" s="26"/>
      <c r="RAH40" s="27"/>
      <c r="RAI40" s="26"/>
      <c r="RAJ40" s="27"/>
      <c r="RAK40" s="26"/>
      <c r="RAL40" s="27"/>
      <c r="RAM40" s="26"/>
      <c r="RAN40" s="27"/>
      <c r="RAO40" s="26"/>
      <c r="RAP40" s="27"/>
      <c r="RAQ40" s="26"/>
      <c r="RAR40" s="27"/>
      <c r="RAS40" s="26"/>
      <c r="RAT40" s="27"/>
      <c r="RAU40" s="26"/>
      <c r="RAV40" s="27"/>
      <c r="RAW40" s="26"/>
      <c r="RAX40" s="27"/>
      <c r="RAY40" s="26"/>
      <c r="RAZ40" s="27"/>
      <c r="RBA40" s="26"/>
      <c r="RBB40" s="27"/>
      <c r="RBC40" s="26"/>
      <c r="RBD40" s="27"/>
      <c r="RBE40" s="26"/>
      <c r="RBF40" s="27"/>
      <c r="RBG40" s="26"/>
      <c r="RBH40" s="27"/>
      <c r="RBI40" s="26"/>
      <c r="RBJ40" s="27"/>
      <c r="RBK40" s="26"/>
      <c r="RBL40" s="27"/>
      <c r="RBM40" s="26"/>
      <c r="RBN40" s="27"/>
      <c r="RBO40" s="26"/>
      <c r="RBP40" s="27"/>
      <c r="RBQ40" s="26"/>
      <c r="RBR40" s="27"/>
      <c r="RBS40" s="26"/>
      <c r="RBT40" s="27"/>
      <c r="RBU40" s="26"/>
      <c r="RBV40" s="27"/>
      <c r="RBW40" s="26"/>
      <c r="RBX40" s="27"/>
      <c r="RBY40" s="26"/>
      <c r="RBZ40" s="27"/>
      <c r="RCA40" s="26"/>
      <c r="RCB40" s="27"/>
      <c r="RCC40" s="26"/>
      <c r="RCD40" s="27"/>
      <c r="RCE40" s="26"/>
      <c r="RCF40" s="27"/>
      <c r="RCG40" s="26"/>
      <c r="RCH40" s="27"/>
      <c r="RCI40" s="26"/>
      <c r="RCJ40" s="27"/>
      <c r="RCK40" s="26"/>
      <c r="RCL40" s="27"/>
      <c r="RCM40" s="26"/>
      <c r="RCN40" s="27"/>
      <c r="RCO40" s="26"/>
      <c r="RCP40" s="27"/>
      <c r="RCQ40" s="26"/>
      <c r="RCR40" s="27"/>
      <c r="RCS40" s="26"/>
      <c r="RCT40" s="27"/>
      <c r="RCU40" s="26"/>
      <c r="RCV40" s="27"/>
      <c r="RCW40" s="26"/>
      <c r="RCX40" s="27"/>
      <c r="RCY40" s="26"/>
      <c r="RCZ40" s="27"/>
      <c r="RDA40" s="26"/>
      <c r="RDB40" s="27"/>
      <c r="RDC40" s="26"/>
      <c r="RDD40" s="27"/>
      <c r="RDE40" s="26"/>
      <c r="RDF40" s="27"/>
      <c r="RDG40" s="26"/>
      <c r="RDH40" s="27"/>
      <c r="RDI40" s="26"/>
      <c r="RDJ40" s="27"/>
      <c r="RDK40" s="26"/>
      <c r="RDL40" s="27"/>
      <c r="RDM40" s="26"/>
      <c r="RDN40" s="27"/>
      <c r="RDO40" s="26"/>
      <c r="RDP40" s="27"/>
      <c r="RDQ40" s="26"/>
      <c r="RDR40" s="27"/>
      <c r="RDS40" s="26"/>
      <c r="RDT40" s="27"/>
      <c r="RDU40" s="26"/>
      <c r="RDV40" s="27"/>
      <c r="RDW40" s="26"/>
      <c r="RDX40" s="27"/>
      <c r="RDY40" s="26"/>
      <c r="RDZ40" s="27"/>
      <c r="REA40" s="26"/>
      <c r="REB40" s="27"/>
      <c r="REC40" s="26"/>
      <c r="RED40" s="27"/>
      <c r="REE40" s="26"/>
      <c r="REF40" s="27"/>
      <c r="REG40" s="26"/>
      <c r="REH40" s="27"/>
      <c r="REI40" s="26"/>
      <c r="REJ40" s="27"/>
      <c r="REK40" s="26"/>
      <c r="REL40" s="27"/>
      <c r="REM40" s="26"/>
      <c r="REN40" s="27"/>
      <c r="REO40" s="26"/>
      <c r="REP40" s="27"/>
      <c r="REQ40" s="26"/>
      <c r="RER40" s="27"/>
      <c r="RES40" s="26"/>
      <c r="RET40" s="27"/>
      <c r="REU40" s="26"/>
      <c r="REV40" s="27"/>
      <c r="REW40" s="26"/>
      <c r="REX40" s="27"/>
      <c r="REY40" s="26"/>
      <c r="REZ40" s="27"/>
      <c r="RFA40" s="26"/>
      <c r="RFB40" s="27"/>
      <c r="RFC40" s="26"/>
      <c r="RFD40" s="27"/>
      <c r="RFE40" s="26"/>
      <c r="RFF40" s="27"/>
      <c r="RFG40" s="26"/>
      <c r="RFH40" s="27"/>
      <c r="RFI40" s="26"/>
      <c r="RFJ40" s="27"/>
      <c r="RFK40" s="26"/>
      <c r="RFL40" s="27"/>
      <c r="RFM40" s="26"/>
      <c r="RFN40" s="27"/>
      <c r="RFO40" s="26"/>
      <c r="RFP40" s="27"/>
      <c r="RFQ40" s="26"/>
      <c r="RFR40" s="27"/>
      <c r="RFS40" s="26"/>
      <c r="RFT40" s="27"/>
      <c r="RFU40" s="26"/>
      <c r="RFV40" s="27"/>
      <c r="RFW40" s="26"/>
      <c r="RFX40" s="27"/>
      <c r="RFY40" s="26"/>
      <c r="RFZ40" s="27"/>
      <c r="RGA40" s="26"/>
      <c r="RGB40" s="27"/>
      <c r="RGC40" s="26"/>
      <c r="RGD40" s="27"/>
      <c r="RGE40" s="26"/>
      <c r="RGF40" s="27"/>
      <c r="RGG40" s="26"/>
      <c r="RGH40" s="27"/>
      <c r="RGI40" s="26"/>
      <c r="RGJ40" s="27"/>
      <c r="RGK40" s="26"/>
      <c r="RGL40" s="27"/>
      <c r="RGM40" s="26"/>
      <c r="RGN40" s="27"/>
      <c r="RGO40" s="26"/>
      <c r="RGP40" s="27"/>
      <c r="RGQ40" s="26"/>
      <c r="RGR40" s="27"/>
      <c r="RGS40" s="26"/>
      <c r="RGT40" s="27"/>
      <c r="RGU40" s="26"/>
      <c r="RGV40" s="27"/>
      <c r="RGW40" s="26"/>
      <c r="RGX40" s="27"/>
      <c r="RGY40" s="26"/>
      <c r="RGZ40" s="27"/>
      <c r="RHA40" s="26"/>
      <c r="RHB40" s="27"/>
      <c r="RHC40" s="26"/>
      <c r="RHD40" s="27"/>
      <c r="RHE40" s="26"/>
      <c r="RHF40" s="27"/>
      <c r="RHG40" s="26"/>
      <c r="RHH40" s="27"/>
      <c r="RHI40" s="26"/>
      <c r="RHJ40" s="27"/>
      <c r="RHK40" s="26"/>
      <c r="RHL40" s="27"/>
      <c r="RHM40" s="26"/>
      <c r="RHN40" s="27"/>
      <c r="RHO40" s="26"/>
      <c r="RHP40" s="27"/>
      <c r="RHQ40" s="26"/>
      <c r="RHR40" s="27"/>
      <c r="RHS40" s="26"/>
      <c r="RHT40" s="27"/>
      <c r="RHU40" s="26"/>
      <c r="RHV40" s="27"/>
      <c r="RHW40" s="26"/>
      <c r="RHX40" s="27"/>
      <c r="RHY40" s="26"/>
      <c r="RHZ40" s="27"/>
      <c r="RIA40" s="26"/>
      <c r="RIB40" s="27"/>
      <c r="RIC40" s="26"/>
      <c r="RID40" s="27"/>
      <c r="RIE40" s="26"/>
      <c r="RIF40" s="27"/>
      <c r="RIG40" s="26"/>
      <c r="RIH40" s="27"/>
      <c r="RII40" s="26"/>
      <c r="RIJ40" s="27"/>
      <c r="RIK40" s="26"/>
      <c r="RIL40" s="27"/>
      <c r="RIM40" s="26"/>
      <c r="RIN40" s="27"/>
      <c r="RIO40" s="26"/>
      <c r="RIP40" s="27"/>
      <c r="RIQ40" s="26"/>
      <c r="RIR40" s="27"/>
      <c r="RIS40" s="26"/>
      <c r="RIT40" s="27"/>
      <c r="RIU40" s="26"/>
      <c r="RIV40" s="27"/>
      <c r="RIW40" s="26"/>
      <c r="RIX40" s="27"/>
      <c r="RIY40" s="26"/>
      <c r="RIZ40" s="27"/>
      <c r="RJA40" s="26"/>
      <c r="RJB40" s="27"/>
      <c r="RJC40" s="26"/>
      <c r="RJD40" s="27"/>
      <c r="RJE40" s="26"/>
      <c r="RJF40" s="27"/>
      <c r="RJG40" s="26"/>
      <c r="RJH40" s="27"/>
      <c r="RJI40" s="26"/>
      <c r="RJJ40" s="27"/>
      <c r="RJK40" s="26"/>
      <c r="RJL40" s="27"/>
      <c r="RJM40" s="26"/>
      <c r="RJN40" s="27"/>
      <c r="RJO40" s="26"/>
      <c r="RJP40" s="27"/>
      <c r="RJQ40" s="26"/>
      <c r="RJR40" s="27"/>
      <c r="RJS40" s="26"/>
      <c r="RJT40" s="27"/>
      <c r="RJU40" s="26"/>
      <c r="RJV40" s="27"/>
      <c r="RJW40" s="26"/>
      <c r="RJX40" s="27"/>
      <c r="RJY40" s="26"/>
      <c r="RJZ40" s="27"/>
      <c r="RKA40" s="26"/>
      <c r="RKB40" s="27"/>
      <c r="RKC40" s="26"/>
      <c r="RKD40" s="27"/>
      <c r="RKE40" s="26"/>
      <c r="RKF40" s="27"/>
      <c r="RKG40" s="26"/>
      <c r="RKH40" s="27"/>
      <c r="RKI40" s="26"/>
      <c r="RKJ40" s="27"/>
      <c r="RKK40" s="26"/>
      <c r="RKL40" s="27"/>
      <c r="RKM40" s="26"/>
      <c r="RKN40" s="27"/>
      <c r="RKO40" s="26"/>
      <c r="RKP40" s="27"/>
      <c r="RKQ40" s="26"/>
      <c r="RKR40" s="27"/>
      <c r="RKS40" s="26"/>
      <c r="RKT40" s="27"/>
      <c r="RKU40" s="26"/>
      <c r="RKV40" s="27"/>
      <c r="RKW40" s="26"/>
      <c r="RKX40" s="27"/>
      <c r="RKY40" s="26"/>
      <c r="RKZ40" s="27"/>
      <c r="RLA40" s="26"/>
      <c r="RLB40" s="27"/>
      <c r="RLC40" s="26"/>
      <c r="RLD40" s="27"/>
      <c r="RLE40" s="26"/>
      <c r="RLF40" s="27"/>
      <c r="RLG40" s="26"/>
      <c r="RLH40" s="27"/>
      <c r="RLI40" s="26"/>
      <c r="RLJ40" s="27"/>
      <c r="RLK40" s="26"/>
      <c r="RLL40" s="27"/>
      <c r="RLM40" s="26"/>
      <c r="RLN40" s="27"/>
      <c r="RLO40" s="26"/>
      <c r="RLP40" s="27"/>
      <c r="RLQ40" s="26"/>
      <c r="RLR40" s="27"/>
      <c r="RLS40" s="26"/>
      <c r="RLT40" s="27"/>
      <c r="RLU40" s="26"/>
      <c r="RLV40" s="27"/>
      <c r="RLW40" s="26"/>
      <c r="RLX40" s="27"/>
      <c r="RLY40" s="26"/>
      <c r="RLZ40" s="27"/>
      <c r="RMA40" s="26"/>
      <c r="RMB40" s="27"/>
      <c r="RMC40" s="26"/>
      <c r="RMD40" s="27"/>
      <c r="RME40" s="26"/>
      <c r="RMF40" s="27"/>
      <c r="RMG40" s="26"/>
      <c r="RMH40" s="27"/>
      <c r="RMI40" s="26"/>
      <c r="RMJ40" s="27"/>
      <c r="RMK40" s="26"/>
      <c r="RML40" s="27"/>
      <c r="RMM40" s="26"/>
      <c r="RMN40" s="27"/>
      <c r="RMO40" s="26"/>
      <c r="RMP40" s="27"/>
      <c r="RMQ40" s="26"/>
      <c r="RMR40" s="27"/>
      <c r="RMS40" s="26"/>
      <c r="RMT40" s="27"/>
      <c r="RMU40" s="26"/>
      <c r="RMV40" s="27"/>
      <c r="RMW40" s="26"/>
      <c r="RMX40" s="27"/>
      <c r="RMY40" s="26"/>
      <c r="RMZ40" s="27"/>
      <c r="RNA40" s="26"/>
      <c r="RNB40" s="27"/>
      <c r="RNC40" s="26"/>
      <c r="RND40" s="27"/>
      <c r="RNE40" s="26"/>
      <c r="RNF40" s="27"/>
      <c r="RNG40" s="26"/>
      <c r="RNH40" s="27"/>
      <c r="RNI40" s="26"/>
      <c r="RNJ40" s="27"/>
      <c r="RNK40" s="26"/>
      <c r="RNL40" s="27"/>
      <c r="RNM40" s="26"/>
      <c r="RNN40" s="27"/>
      <c r="RNO40" s="26"/>
      <c r="RNP40" s="27"/>
      <c r="RNQ40" s="26"/>
      <c r="RNR40" s="27"/>
      <c r="RNS40" s="26"/>
      <c r="RNT40" s="27"/>
      <c r="RNU40" s="26"/>
      <c r="RNV40" s="27"/>
      <c r="RNW40" s="26"/>
      <c r="RNX40" s="27"/>
      <c r="RNY40" s="26"/>
      <c r="RNZ40" s="27"/>
      <c r="ROA40" s="26"/>
      <c r="ROB40" s="27"/>
      <c r="ROC40" s="26"/>
      <c r="ROD40" s="27"/>
      <c r="ROE40" s="26"/>
      <c r="ROF40" s="27"/>
      <c r="ROG40" s="26"/>
      <c r="ROH40" s="27"/>
      <c r="ROI40" s="26"/>
      <c r="ROJ40" s="27"/>
      <c r="ROK40" s="26"/>
      <c r="ROL40" s="27"/>
      <c r="ROM40" s="26"/>
      <c r="RON40" s="27"/>
      <c r="ROO40" s="26"/>
      <c r="ROP40" s="27"/>
      <c r="ROQ40" s="26"/>
      <c r="ROR40" s="27"/>
      <c r="ROS40" s="26"/>
      <c r="ROT40" s="27"/>
      <c r="ROU40" s="26"/>
      <c r="ROV40" s="27"/>
      <c r="ROW40" s="26"/>
      <c r="ROX40" s="27"/>
      <c r="ROY40" s="26"/>
      <c r="ROZ40" s="27"/>
      <c r="RPA40" s="26"/>
      <c r="RPB40" s="27"/>
      <c r="RPC40" s="26"/>
      <c r="RPD40" s="27"/>
      <c r="RPE40" s="26"/>
      <c r="RPF40" s="27"/>
      <c r="RPG40" s="26"/>
      <c r="RPH40" s="27"/>
      <c r="RPI40" s="26"/>
      <c r="RPJ40" s="27"/>
      <c r="RPK40" s="26"/>
      <c r="RPL40" s="27"/>
      <c r="RPM40" s="26"/>
      <c r="RPN40" s="27"/>
      <c r="RPO40" s="26"/>
      <c r="RPP40" s="27"/>
      <c r="RPQ40" s="26"/>
      <c r="RPR40" s="27"/>
      <c r="RPS40" s="26"/>
      <c r="RPT40" s="27"/>
      <c r="RPU40" s="26"/>
      <c r="RPV40" s="27"/>
      <c r="RPW40" s="26"/>
      <c r="RPX40" s="27"/>
      <c r="RPY40" s="26"/>
      <c r="RPZ40" s="27"/>
      <c r="RQA40" s="26"/>
      <c r="RQB40" s="27"/>
      <c r="RQC40" s="26"/>
      <c r="RQD40" s="27"/>
      <c r="RQE40" s="26"/>
      <c r="RQF40" s="27"/>
      <c r="RQG40" s="26"/>
      <c r="RQH40" s="27"/>
      <c r="RQI40" s="26"/>
      <c r="RQJ40" s="27"/>
      <c r="RQK40" s="26"/>
      <c r="RQL40" s="27"/>
      <c r="RQM40" s="26"/>
      <c r="RQN40" s="27"/>
      <c r="RQO40" s="26"/>
      <c r="RQP40" s="27"/>
      <c r="RQQ40" s="26"/>
      <c r="RQR40" s="27"/>
      <c r="RQS40" s="26"/>
      <c r="RQT40" s="27"/>
      <c r="RQU40" s="26"/>
      <c r="RQV40" s="27"/>
      <c r="RQW40" s="26"/>
      <c r="RQX40" s="27"/>
      <c r="RQY40" s="26"/>
      <c r="RQZ40" s="27"/>
      <c r="RRA40" s="26"/>
      <c r="RRB40" s="27"/>
      <c r="RRC40" s="26"/>
      <c r="RRD40" s="27"/>
      <c r="RRE40" s="26"/>
      <c r="RRF40" s="27"/>
      <c r="RRG40" s="26"/>
      <c r="RRH40" s="27"/>
      <c r="RRI40" s="26"/>
      <c r="RRJ40" s="27"/>
      <c r="RRK40" s="26"/>
      <c r="RRL40" s="27"/>
      <c r="RRM40" s="26"/>
      <c r="RRN40" s="27"/>
      <c r="RRO40" s="26"/>
      <c r="RRP40" s="27"/>
      <c r="RRQ40" s="26"/>
      <c r="RRR40" s="27"/>
      <c r="RRS40" s="26"/>
      <c r="RRT40" s="27"/>
      <c r="RRU40" s="26"/>
      <c r="RRV40" s="27"/>
      <c r="RRW40" s="26"/>
      <c r="RRX40" s="27"/>
      <c r="RRY40" s="26"/>
      <c r="RRZ40" s="27"/>
      <c r="RSA40" s="26"/>
      <c r="RSB40" s="27"/>
      <c r="RSC40" s="26"/>
      <c r="RSD40" s="27"/>
      <c r="RSE40" s="26"/>
      <c r="RSF40" s="27"/>
      <c r="RSG40" s="26"/>
      <c r="RSH40" s="27"/>
      <c r="RSI40" s="26"/>
      <c r="RSJ40" s="27"/>
      <c r="RSK40" s="26"/>
      <c r="RSL40" s="27"/>
      <c r="RSM40" s="26"/>
      <c r="RSN40" s="27"/>
      <c r="RSO40" s="26"/>
      <c r="RSP40" s="27"/>
      <c r="RSQ40" s="26"/>
      <c r="RSR40" s="27"/>
      <c r="RSS40" s="26"/>
      <c r="RST40" s="27"/>
      <c r="RSU40" s="26"/>
      <c r="RSV40" s="27"/>
      <c r="RSW40" s="26"/>
      <c r="RSX40" s="27"/>
      <c r="RSY40" s="26"/>
      <c r="RSZ40" s="27"/>
      <c r="RTA40" s="26"/>
      <c r="RTB40" s="27"/>
      <c r="RTC40" s="26"/>
      <c r="RTD40" s="27"/>
      <c r="RTE40" s="26"/>
      <c r="RTF40" s="27"/>
      <c r="RTG40" s="26"/>
      <c r="RTH40" s="27"/>
      <c r="RTI40" s="26"/>
      <c r="RTJ40" s="27"/>
      <c r="RTK40" s="26"/>
      <c r="RTL40" s="27"/>
      <c r="RTM40" s="26"/>
      <c r="RTN40" s="27"/>
      <c r="RTO40" s="26"/>
      <c r="RTP40" s="27"/>
      <c r="RTQ40" s="26"/>
      <c r="RTR40" s="27"/>
      <c r="RTS40" s="26"/>
      <c r="RTT40" s="27"/>
      <c r="RTU40" s="26"/>
      <c r="RTV40" s="27"/>
      <c r="RTW40" s="26"/>
      <c r="RTX40" s="27"/>
      <c r="RTY40" s="26"/>
      <c r="RTZ40" s="27"/>
      <c r="RUA40" s="26"/>
      <c r="RUB40" s="27"/>
      <c r="RUC40" s="26"/>
      <c r="RUD40" s="27"/>
      <c r="RUE40" s="26"/>
      <c r="RUF40" s="27"/>
      <c r="RUG40" s="26"/>
      <c r="RUH40" s="27"/>
      <c r="RUI40" s="26"/>
      <c r="RUJ40" s="27"/>
      <c r="RUK40" s="26"/>
      <c r="RUL40" s="27"/>
      <c r="RUM40" s="26"/>
      <c r="RUN40" s="27"/>
      <c r="RUO40" s="26"/>
      <c r="RUP40" s="27"/>
      <c r="RUQ40" s="26"/>
      <c r="RUR40" s="27"/>
      <c r="RUS40" s="26"/>
      <c r="RUT40" s="27"/>
      <c r="RUU40" s="26"/>
      <c r="RUV40" s="27"/>
      <c r="RUW40" s="26"/>
      <c r="RUX40" s="27"/>
      <c r="RUY40" s="26"/>
      <c r="RUZ40" s="27"/>
      <c r="RVA40" s="26"/>
      <c r="RVB40" s="27"/>
      <c r="RVC40" s="26"/>
      <c r="RVD40" s="27"/>
      <c r="RVE40" s="26"/>
      <c r="RVF40" s="27"/>
      <c r="RVG40" s="26"/>
      <c r="RVH40" s="27"/>
      <c r="RVI40" s="26"/>
      <c r="RVJ40" s="27"/>
      <c r="RVK40" s="26"/>
      <c r="RVL40" s="27"/>
      <c r="RVM40" s="26"/>
      <c r="RVN40" s="27"/>
      <c r="RVO40" s="26"/>
      <c r="RVP40" s="27"/>
      <c r="RVQ40" s="26"/>
      <c r="RVR40" s="27"/>
      <c r="RVS40" s="26"/>
      <c r="RVT40" s="27"/>
      <c r="RVU40" s="26"/>
      <c r="RVV40" s="27"/>
      <c r="RVW40" s="26"/>
      <c r="RVX40" s="27"/>
      <c r="RVY40" s="26"/>
      <c r="RVZ40" s="27"/>
      <c r="RWA40" s="26"/>
      <c r="RWB40" s="27"/>
      <c r="RWC40" s="26"/>
      <c r="RWD40" s="27"/>
      <c r="RWE40" s="26"/>
      <c r="RWF40" s="27"/>
      <c r="RWG40" s="26"/>
      <c r="RWH40" s="27"/>
      <c r="RWI40" s="26"/>
      <c r="RWJ40" s="27"/>
      <c r="RWK40" s="26"/>
      <c r="RWL40" s="27"/>
      <c r="RWM40" s="26"/>
      <c r="RWN40" s="27"/>
      <c r="RWO40" s="26"/>
      <c r="RWP40" s="27"/>
      <c r="RWQ40" s="26"/>
      <c r="RWR40" s="27"/>
      <c r="RWS40" s="26"/>
      <c r="RWT40" s="27"/>
      <c r="RWU40" s="26"/>
      <c r="RWV40" s="27"/>
      <c r="RWW40" s="26"/>
      <c r="RWX40" s="27"/>
      <c r="RWY40" s="26"/>
      <c r="RWZ40" s="27"/>
      <c r="RXA40" s="26"/>
      <c r="RXB40" s="27"/>
      <c r="RXC40" s="26"/>
      <c r="RXD40" s="27"/>
      <c r="RXE40" s="26"/>
      <c r="RXF40" s="27"/>
      <c r="RXG40" s="26"/>
      <c r="RXH40" s="27"/>
      <c r="RXI40" s="26"/>
      <c r="RXJ40" s="27"/>
      <c r="RXK40" s="26"/>
      <c r="RXL40" s="27"/>
      <c r="RXM40" s="26"/>
      <c r="RXN40" s="27"/>
      <c r="RXO40" s="26"/>
      <c r="RXP40" s="27"/>
      <c r="RXQ40" s="26"/>
      <c r="RXR40" s="27"/>
      <c r="RXS40" s="26"/>
      <c r="RXT40" s="27"/>
      <c r="RXU40" s="26"/>
      <c r="RXV40" s="27"/>
      <c r="RXW40" s="26"/>
      <c r="RXX40" s="27"/>
      <c r="RXY40" s="26"/>
      <c r="RXZ40" s="27"/>
      <c r="RYA40" s="26"/>
      <c r="RYB40" s="27"/>
      <c r="RYC40" s="26"/>
      <c r="RYD40" s="27"/>
      <c r="RYE40" s="26"/>
      <c r="RYF40" s="27"/>
      <c r="RYG40" s="26"/>
      <c r="RYH40" s="27"/>
      <c r="RYI40" s="26"/>
      <c r="RYJ40" s="27"/>
      <c r="RYK40" s="26"/>
      <c r="RYL40" s="27"/>
      <c r="RYM40" s="26"/>
      <c r="RYN40" s="27"/>
      <c r="RYO40" s="26"/>
      <c r="RYP40" s="27"/>
      <c r="RYQ40" s="26"/>
      <c r="RYR40" s="27"/>
      <c r="RYS40" s="26"/>
      <c r="RYT40" s="27"/>
      <c r="RYU40" s="26"/>
      <c r="RYV40" s="27"/>
      <c r="RYW40" s="26"/>
      <c r="RYX40" s="27"/>
      <c r="RYY40" s="26"/>
      <c r="RYZ40" s="27"/>
      <c r="RZA40" s="26"/>
      <c r="RZB40" s="27"/>
      <c r="RZC40" s="26"/>
      <c r="RZD40" s="27"/>
      <c r="RZE40" s="26"/>
      <c r="RZF40" s="27"/>
      <c r="RZG40" s="26"/>
      <c r="RZH40" s="27"/>
      <c r="RZI40" s="26"/>
      <c r="RZJ40" s="27"/>
      <c r="RZK40" s="26"/>
      <c r="RZL40" s="27"/>
      <c r="RZM40" s="26"/>
      <c r="RZN40" s="27"/>
      <c r="RZO40" s="26"/>
      <c r="RZP40" s="27"/>
      <c r="RZQ40" s="26"/>
      <c r="RZR40" s="27"/>
      <c r="RZS40" s="26"/>
      <c r="RZT40" s="27"/>
      <c r="RZU40" s="26"/>
      <c r="RZV40" s="27"/>
      <c r="RZW40" s="26"/>
      <c r="RZX40" s="27"/>
      <c r="RZY40" s="26"/>
      <c r="RZZ40" s="27"/>
      <c r="SAA40" s="26"/>
      <c r="SAB40" s="27"/>
      <c r="SAC40" s="26"/>
      <c r="SAD40" s="27"/>
      <c r="SAE40" s="26"/>
      <c r="SAF40" s="27"/>
      <c r="SAG40" s="26"/>
      <c r="SAH40" s="27"/>
      <c r="SAI40" s="26"/>
      <c r="SAJ40" s="27"/>
      <c r="SAK40" s="26"/>
      <c r="SAL40" s="27"/>
      <c r="SAM40" s="26"/>
      <c r="SAN40" s="27"/>
      <c r="SAO40" s="26"/>
      <c r="SAP40" s="27"/>
      <c r="SAQ40" s="26"/>
      <c r="SAR40" s="27"/>
      <c r="SAS40" s="26"/>
      <c r="SAT40" s="27"/>
      <c r="SAU40" s="26"/>
      <c r="SAV40" s="27"/>
      <c r="SAW40" s="26"/>
      <c r="SAX40" s="27"/>
      <c r="SAY40" s="26"/>
      <c r="SAZ40" s="27"/>
      <c r="SBA40" s="26"/>
      <c r="SBB40" s="27"/>
      <c r="SBC40" s="26"/>
      <c r="SBD40" s="27"/>
      <c r="SBE40" s="26"/>
      <c r="SBF40" s="27"/>
      <c r="SBG40" s="26"/>
      <c r="SBH40" s="27"/>
      <c r="SBI40" s="26"/>
      <c r="SBJ40" s="27"/>
      <c r="SBK40" s="26"/>
      <c r="SBL40" s="27"/>
      <c r="SBM40" s="26"/>
      <c r="SBN40" s="27"/>
      <c r="SBO40" s="26"/>
      <c r="SBP40" s="27"/>
      <c r="SBQ40" s="26"/>
      <c r="SBR40" s="27"/>
      <c r="SBS40" s="26"/>
      <c r="SBT40" s="27"/>
      <c r="SBU40" s="26"/>
      <c r="SBV40" s="27"/>
      <c r="SBW40" s="26"/>
      <c r="SBX40" s="27"/>
      <c r="SBY40" s="26"/>
      <c r="SBZ40" s="27"/>
      <c r="SCA40" s="26"/>
      <c r="SCB40" s="27"/>
      <c r="SCC40" s="26"/>
      <c r="SCD40" s="27"/>
      <c r="SCE40" s="26"/>
      <c r="SCF40" s="27"/>
      <c r="SCG40" s="26"/>
      <c r="SCH40" s="27"/>
      <c r="SCI40" s="26"/>
      <c r="SCJ40" s="27"/>
      <c r="SCK40" s="26"/>
      <c r="SCL40" s="27"/>
      <c r="SCM40" s="26"/>
      <c r="SCN40" s="27"/>
      <c r="SCO40" s="26"/>
      <c r="SCP40" s="27"/>
      <c r="SCQ40" s="26"/>
      <c r="SCR40" s="27"/>
      <c r="SCS40" s="26"/>
      <c r="SCT40" s="27"/>
      <c r="SCU40" s="26"/>
      <c r="SCV40" s="27"/>
      <c r="SCW40" s="26"/>
      <c r="SCX40" s="27"/>
      <c r="SCY40" s="26"/>
      <c r="SCZ40" s="27"/>
      <c r="SDA40" s="26"/>
      <c r="SDB40" s="27"/>
      <c r="SDC40" s="26"/>
      <c r="SDD40" s="27"/>
      <c r="SDE40" s="26"/>
      <c r="SDF40" s="27"/>
      <c r="SDG40" s="26"/>
      <c r="SDH40" s="27"/>
      <c r="SDI40" s="26"/>
      <c r="SDJ40" s="27"/>
      <c r="SDK40" s="26"/>
      <c r="SDL40" s="27"/>
      <c r="SDM40" s="26"/>
      <c r="SDN40" s="27"/>
      <c r="SDO40" s="26"/>
      <c r="SDP40" s="27"/>
      <c r="SDQ40" s="26"/>
      <c r="SDR40" s="27"/>
      <c r="SDS40" s="26"/>
      <c r="SDT40" s="27"/>
      <c r="SDU40" s="26"/>
      <c r="SDV40" s="27"/>
      <c r="SDW40" s="26"/>
      <c r="SDX40" s="27"/>
      <c r="SDY40" s="26"/>
      <c r="SDZ40" s="27"/>
      <c r="SEA40" s="26"/>
      <c r="SEB40" s="27"/>
      <c r="SEC40" s="26"/>
      <c r="SED40" s="27"/>
      <c r="SEE40" s="26"/>
      <c r="SEF40" s="27"/>
      <c r="SEG40" s="26"/>
      <c r="SEH40" s="27"/>
      <c r="SEI40" s="26"/>
      <c r="SEJ40" s="27"/>
      <c r="SEK40" s="26"/>
      <c r="SEL40" s="27"/>
      <c r="SEM40" s="26"/>
      <c r="SEN40" s="27"/>
      <c r="SEO40" s="26"/>
      <c r="SEP40" s="27"/>
      <c r="SEQ40" s="26"/>
      <c r="SER40" s="27"/>
      <c r="SES40" s="26"/>
      <c r="SET40" s="27"/>
      <c r="SEU40" s="26"/>
      <c r="SEV40" s="27"/>
      <c r="SEW40" s="26"/>
      <c r="SEX40" s="27"/>
      <c r="SEY40" s="26"/>
      <c r="SEZ40" s="27"/>
      <c r="SFA40" s="26"/>
      <c r="SFB40" s="27"/>
      <c r="SFC40" s="26"/>
      <c r="SFD40" s="27"/>
      <c r="SFE40" s="26"/>
      <c r="SFF40" s="27"/>
      <c r="SFG40" s="26"/>
      <c r="SFH40" s="27"/>
      <c r="SFI40" s="26"/>
      <c r="SFJ40" s="27"/>
      <c r="SFK40" s="26"/>
      <c r="SFL40" s="27"/>
      <c r="SFM40" s="26"/>
      <c r="SFN40" s="27"/>
      <c r="SFO40" s="26"/>
      <c r="SFP40" s="27"/>
      <c r="SFQ40" s="26"/>
      <c r="SFR40" s="27"/>
      <c r="SFS40" s="26"/>
      <c r="SFT40" s="27"/>
      <c r="SFU40" s="26"/>
      <c r="SFV40" s="27"/>
      <c r="SFW40" s="26"/>
      <c r="SFX40" s="27"/>
      <c r="SFY40" s="26"/>
      <c r="SFZ40" s="27"/>
      <c r="SGA40" s="26"/>
      <c r="SGB40" s="27"/>
      <c r="SGC40" s="26"/>
      <c r="SGD40" s="27"/>
      <c r="SGE40" s="26"/>
      <c r="SGF40" s="27"/>
      <c r="SGG40" s="26"/>
      <c r="SGH40" s="27"/>
      <c r="SGI40" s="26"/>
      <c r="SGJ40" s="27"/>
      <c r="SGK40" s="26"/>
      <c r="SGL40" s="27"/>
      <c r="SGM40" s="26"/>
      <c r="SGN40" s="27"/>
      <c r="SGO40" s="26"/>
      <c r="SGP40" s="27"/>
      <c r="SGQ40" s="26"/>
      <c r="SGR40" s="27"/>
      <c r="SGS40" s="26"/>
      <c r="SGT40" s="27"/>
      <c r="SGU40" s="26"/>
      <c r="SGV40" s="27"/>
      <c r="SGW40" s="26"/>
      <c r="SGX40" s="27"/>
      <c r="SGY40" s="26"/>
      <c r="SGZ40" s="27"/>
      <c r="SHA40" s="26"/>
      <c r="SHB40" s="27"/>
      <c r="SHC40" s="26"/>
      <c r="SHD40" s="27"/>
      <c r="SHE40" s="26"/>
      <c r="SHF40" s="27"/>
      <c r="SHG40" s="26"/>
      <c r="SHH40" s="27"/>
      <c r="SHI40" s="26"/>
      <c r="SHJ40" s="27"/>
      <c r="SHK40" s="26"/>
      <c r="SHL40" s="27"/>
      <c r="SHM40" s="26"/>
      <c r="SHN40" s="27"/>
      <c r="SHO40" s="26"/>
      <c r="SHP40" s="27"/>
      <c r="SHQ40" s="26"/>
      <c r="SHR40" s="27"/>
      <c r="SHS40" s="26"/>
      <c r="SHT40" s="27"/>
      <c r="SHU40" s="26"/>
      <c r="SHV40" s="27"/>
      <c r="SHW40" s="26"/>
      <c r="SHX40" s="27"/>
      <c r="SHY40" s="26"/>
      <c r="SHZ40" s="27"/>
      <c r="SIA40" s="26"/>
      <c r="SIB40" s="27"/>
      <c r="SIC40" s="26"/>
      <c r="SID40" s="27"/>
      <c r="SIE40" s="26"/>
      <c r="SIF40" s="27"/>
      <c r="SIG40" s="26"/>
      <c r="SIH40" s="27"/>
      <c r="SII40" s="26"/>
      <c r="SIJ40" s="27"/>
      <c r="SIK40" s="26"/>
      <c r="SIL40" s="27"/>
      <c r="SIM40" s="26"/>
      <c r="SIN40" s="27"/>
      <c r="SIO40" s="26"/>
      <c r="SIP40" s="27"/>
      <c r="SIQ40" s="26"/>
      <c r="SIR40" s="27"/>
      <c r="SIS40" s="26"/>
      <c r="SIT40" s="27"/>
      <c r="SIU40" s="26"/>
      <c r="SIV40" s="27"/>
      <c r="SIW40" s="26"/>
      <c r="SIX40" s="27"/>
      <c r="SIY40" s="26"/>
      <c r="SIZ40" s="27"/>
      <c r="SJA40" s="26"/>
      <c r="SJB40" s="27"/>
      <c r="SJC40" s="26"/>
      <c r="SJD40" s="27"/>
      <c r="SJE40" s="26"/>
      <c r="SJF40" s="27"/>
      <c r="SJG40" s="26"/>
      <c r="SJH40" s="27"/>
      <c r="SJI40" s="26"/>
      <c r="SJJ40" s="27"/>
      <c r="SJK40" s="26"/>
      <c r="SJL40" s="27"/>
      <c r="SJM40" s="26"/>
      <c r="SJN40" s="27"/>
      <c r="SJO40" s="26"/>
      <c r="SJP40" s="27"/>
      <c r="SJQ40" s="26"/>
      <c r="SJR40" s="27"/>
      <c r="SJS40" s="26"/>
      <c r="SJT40" s="27"/>
      <c r="SJU40" s="26"/>
      <c r="SJV40" s="27"/>
      <c r="SJW40" s="26"/>
      <c r="SJX40" s="27"/>
      <c r="SJY40" s="26"/>
      <c r="SJZ40" s="27"/>
      <c r="SKA40" s="26"/>
      <c r="SKB40" s="27"/>
      <c r="SKC40" s="26"/>
      <c r="SKD40" s="27"/>
      <c r="SKE40" s="26"/>
      <c r="SKF40" s="27"/>
      <c r="SKG40" s="26"/>
      <c r="SKH40" s="27"/>
      <c r="SKI40" s="26"/>
      <c r="SKJ40" s="27"/>
      <c r="SKK40" s="26"/>
      <c r="SKL40" s="27"/>
      <c r="SKM40" s="26"/>
      <c r="SKN40" s="27"/>
      <c r="SKO40" s="26"/>
      <c r="SKP40" s="27"/>
      <c r="SKQ40" s="26"/>
      <c r="SKR40" s="27"/>
      <c r="SKS40" s="26"/>
      <c r="SKT40" s="27"/>
      <c r="SKU40" s="26"/>
      <c r="SKV40" s="27"/>
      <c r="SKW40" s="26"/>
      <c r="SKX40" s="27"/>
      <c r="SKY40" s="26"/>
      <c r="SKZ40" s="27"/>
      <c r="SLA40" s="26"/>
      <c r="SLB40" s="27"/>
      <c r="SLC40" s="26"/>
      <c r="SLD40" s="27"/>
      <c r="SLE40" s="26"/>
      <c r="SLF40" s="27"/>
      <c r="SLG40" s="26"/>
      <c r="SLH40" s="27"/>
      <c r="SLI40" s="26"/>
      <c r="SLJ40" s="27"/>
      <c r="SLK40" s="26"/>
      <c r="SLL40" s="27"/>
      <c r="SLM40" s="26"/>
      <c r="SLN40" s="27"/>
      <c r="SLO40" s="26"/>
      <c r="SLP40" s="27"/>
      <c r="SLQ40" s="26"/>
      <c r="SLR40" s="27"/>
      <c r="SLS40" s="26"/>
      <c r="SLT40" s="27"/>
      <c r="SLU40" s="26"/>
      <c r="SLV40" s="27"/>
      <c r="SLW40" s="26"/>
      <c r="SLX40" s="27"/>
      <c r="SLY40" s="26"/>
      <c r="SLZ40" s="27"/>
      <c r="SMA40" s="26"/>
      <c r="SMB40" s="27"/>
      <c r="SMC40" s="26"/>
      <c r="SMD40" s="27"/>
      <c r="SME40" s="26"/>
      <c r="SMF40" s="27"/>
      <c r="SMG40" s="26"/>
      <c r="SMH40" s="27"/>
      <c r="SMI40" s="26"/>
      <c r="SMJ40" s="27"/>
      <c r="SMK40" s="26"/>
      <c r="SML40" s="27"/>
      <c r="SMM40" s="26"/>
      <c r="SMN40" s="27"/>
      <c r="SMO40" s="26"/>
      <c r="SMP40" s="27"/>
      <c r="SMQ40" s="26"/>
      <c r="SMR40" s="27"/>
      <c r="SMS40" s="26"/>
      <c r="SMT40" s="27"/>
      <c r="SMU40" s="26"/>
      <c r="SMV40" s="27"/>
      <c r="SMW40" s="26"/>
      <c r="SMX40" s="27"/>
      <c r="SMY40" s="26"/>
      <c r="SMZ40" s="27"/>
      <c r="SNA40" s="26"/>
      <c r="SNB40" s="27"/>
      <c r="SNC40" s="26"/>
      <c r="SND40" s="27"/>
      <c r="SNE40" s="26"/>
      <c r="SNF40" s="27"/>
      <c r="SNG40" s="26"/>
      <c r="SNH40" s="27"/>
      <c r="SNI40" s="26"/>
      <c r="SNJ40" s="27"/>
      <c r="SNK40" s="26"/>
      <c r="SNL40" s="27"/>
      <c r="SNM40" s="26"/>
      <c r="SNN40" s="27"/>
      <c r="SNO40" s="26"/>
      <c r="SNP40" s="27"/>
      <c r="SNQ40" s="26"/>
      <c r="SNR40" s="27"/>
      <c r="SNS40" s="26"/>
      <c r="SNT40" s="27"/>
      <c r="SNU40" s="26"/>
      <c r="SNV40" s="27"/>
      <c r="SNW40" s="26"/>
      <c r="SNX40" s="27"/>
      <c r="SNY40" s="26"/>
      <c r="SNZ40" s="27"/>
      <c r="SOA40" s="26"/>
      <c r="SOB40" s="27"/>
      <c r="SOC40" s="26"/>
      <c r="SOD40" s="27"/>
      <c r="SOE40" s="26"/>
      <c r="SOF40" s="27"/>
      <c r="SOG40" s="26"/>
      <c r="SOH40" s="27"/>
      <c r="SOI40" s="26"/>
      <c r="SOJ40" s="27"/>
      <c r="SOK40" s="26"/>
      <c r="SOL40" s="27"/>
      <c r="SOM40" s="26"/>
      <c r="SON40" s="27"/>
      <c r="SOO40" s="26"/>
      <c r="SOP40" s="27"/>
      <c r="SOQ40" s="26"/>
      <c r="SOR40" s="27"/>
      <c r="SOS40" s="26"/>
      <c r="SOT40" s="27"/>
      <c r="SOU40" s="26"/>
      <c r="SOV40" s="27"/>
      <c r="SOW40" s="26"/>
      <c r="SOX40" s="27"/>
      <c r="SOY40" s="26"/>
      <c r="SOZ40" s="27"/>
      <c r="SPA40" s="26"/>
      <c r="SPB40" s="27"/>
      <c r="SPC40" s="26"/>
      <c r="SPD40" s="27"/>
      <c r="SPE40" s="26"/>
      <c r="SPF40" s="27"/>
      <c r="SPG40" s="26"/>
      <c r="SPH40" s="27"/>
      <c r="SPI40" s="26"/>
      <c r="SPJ40" s="27"/>
      <c r="SPK40" s="26"/>
      <c r="SPL40" s="27"/>
      <c r="SPM40" s="26"/>
      <c r="SPN40" s="27"/>
      <c r="SPO40" s="26"/>
      <c r="SPP40" s="27"/>
      <c r="SPQ40" s="26"/>
      <c r="SPR40" s="27"/>
      <c r="SPS40" s="26"/>
      <c r="SPT40" s="27"/>
      <c r="SPU40" s="26"/>
      <c r="SPV40" s="27"/>
      <c r="SPW40" s="26"/>
      <c r="SPX40" s="27"/>
      <c r="SPY40" s="26"/>
      <c r="SPZ40" s="27"/>
      <c r="SQA40" s="26"/>
      <c r="SQB40" s="27"/>
      <c r="SQC40" s="26"/>
      <c r="SQD40" s="27"/>
      <c r="SQE40" s="26"/>
      <c r="SQF40" s="27"/>
      <c r="SQG40" s="26"/>
      <c r="SQH40" s="27"/>
      <c r="SQI40" s="26"/>
      <c r="SQJ40" s="27"/>
      <c r="SQK40" s="26"/>
      <c r="SQL40" s="27"/>
      <c r="SQM40" s="26"/>
      <c r="SQN40" s="27"/>
      <c r="SQO40" s="26"/>
      <c r="SQP40" s="27"/>
      <c r="SQQ40" s="26"/>
      <c r="SQR40" s="27"/>
      <c r="SQS40" s="26"/>
      <c r="SQT40" s="27"/>
      <c r="SQU40" s="26"/>
      <c r="SQV40" s="27"/>
      <c r="SQW40" s="26"/>
      <c r="SQX40" s="27"/>
      <c r="SQY40" s="26"/>
      <c r="SQZ40" s="27"/>
      <c r="SRA40" s="26"/>
      <c r="SRB40" s="27"/>
      <c r="SRC40" s="26"/>
      <c r="SRD40" s="27"/>
      <c r="SRE40" s="26"/>
      <c r="SRF40" s="27"/>
      <c r="SRG40" s="26"/>
      <c r="SRH40" s="27"/>
      <c r="SRI40" s="26"/>
      <c r="SRJ40" s="27"/>
      <c r="SRK40" s="26"/>
      <c r="SRL40" s="27"/>
      <c r="SRM40" s="26"/>
      <c r="SRN40" s="27"/>
      <c r="SRO40" s="26"/>
      <c r="SRP40" s="27"/>
      <c r="SRQ40" s="26"/>
      <c r="SRR40" s="27"/>
      <c r="SRS40" s="26"/>
      <c r="SRT40" s="27"/>
      <c r="SRU40" s="26"/>
      <c r="SRV40" s="27"/>
      <c r="SRW40" s="26"/>
      <c r="SRX40" s="27"/>
      <c r="SRY40" s="26"/>
      <c r="SRZ40" s="27"/>
      <c r="SSA40" s="26"/>
      <c r="SSB40" s="27"/>
      <c r="SSC40" s="26"/>
      <c r="SSD40" s="27"/>
      <c r="SSE40" s="26"/>
      <c r="SSF40" s="27"/>
      <c r="SSG40" s="26"/>
      <c r="SSH40" s="27"/>
      <c r="SSI40" s="26"/>
      <c r="SSJ40" s="27"/>
      <c r="SSK40" s="26"/>
      <c r="SSL40" s="27"/>
      <c r="SSM40" s="26"/>
      <c r="SSN40" s="27"/>
      <c r="SSO40" s="26"/>
      <c r="SSP40" s="27"/>
      <c r="SSQ40" s="26"/>
      <c r="SSR40" s="27"/>
      <c r="SSS40" s="26"/>
      <c r="SST40" s="27"/>
      <c r="SSU40" s="26"/>
      <c r="SSV40" s="27"/>
      <c r="SSW40" s="26"/>
      <c r="SSX40" s="27"/>
      <c r="SSY40" s="26"/>
      <c r="SSZ40" s="27"/>
      <c r="STA40" s="26"/>
      <c r="STB40" s="27"/>
      <c r="STC40" s="26"/>
      <c r="STD40" s="27"/>
      <c r="STE40" s="26"/>
      <c r="STF40" s="27"/>
      <c r="STG40" s="26"/>
      <c r="STH40" s="27"/>
      <c r="STI40" s="26"/>
      <c r="STJ40" s="27"/>
      <c r="STK40" s="26"/>
      <c r="STL40" s="27"/>
      <c r="STM40" s="26"/>
      <c r="STN40" s="27"/>
      <c r="STO40" s="26"/>
      <c r="STP40" s="27"/>
      <c r="STQ40" s="26"/>
      <c r="STR40" s="27"/>
      <c r="STS40" s="26"/>
      <c r="STT40" s="27"/>
      <c r="STU40" s="26"/>
      <c r="STV40" s="27"/>
      <c r="STW40" s="26"/>
      <c r="STX40" s="27"/>
      <c r="STY40" s="26"/>
      <c r="STZ40" s="27"/>
      <c r="SUA40" s="26"/>
      <c r="SUB40" s="27"/>
      <c r="SUC40" s="26"/>
      <c r="SUD40" s="27"/>
      <c r="SUE40" s="26"/>
      <c r="SUF40" s="27"/>
      <c r="SUG40" s="26"/>
      <c r="SUH40" s="27"/>
      <c r="SUI40" s="26"/>
      <c r="SUJ40" s="27"/>
      <c r="SUK40" s="26"/>
      <c r="SUL40" s="27"/>
      <c r="SUM40" s="26"/>
      <c r="SUN40" s="27"/>
      <c r="SUO40" s="26"/>
      <c r="SUP40" s="27"/>
      <c r="SUQ40" s="26"/>
      <c r="SUR40" s="27"/>
      <c r="SUS40" s="26"/>
      <c r="SUT40" s="27"/>
      <c r="SUU40" s="26"/>
      <c r="SUV40" s="27"/>
      <c r="SUW40" s="26"/>
      <c r="SUX40" s="27"/>
      <c r="SUY40" s="26"/>
      <c r="SUZ40" s="27"/>
      <c r="SVA40" s="26"/>
      <c r="SVB40" s="27"/>
      <c r="SVC40" s="26"/>
      <c r="SVD40" s="27"/>
      <c r="SVE40" s="26"/>
      <c r="SVF40" s="27"/>
      <c r="SVG40" s="26"/>
      <c r="SVH40" s="27"/>
      <c r="SVI40" s="26"/>
      <c r="SVJ40" s="27"/>
      <c r="SVK40" s="26"/>
      <c r="SVL40" s="27"/>
      <c r="SVM40" s="26"/>
      <c r="SVN40" s="27"/>
      <c r="SVO40" s="26"/>
      <c r="SVP40" s="27"/>
      <c r="SVQ40" s="26"/>
      <c r="SVR40" s="27"/>
      <c r="SVS40" s="26"/>
      <c r="SVT40" s="27"/>
      <c r="SVU40" s="26"/>
      <c r="SVV40" s="27"/>
      <c r="SVW40" s="26"/>
      <c r="SVX40" s="27"/>
      <c r="SVY40" s="26"/>
      <c r="SVZ40" s="27"/>
      <c r="SWA40" s="26"/>
      <c r="SWB40" s="27"/>
      <c r="SWC40" s="26"/>
      <c r="SWD40" s="27"/>
      <c r="SWE40" s="26"/>
      <c r="SWF40" s="27"/>
      <c r="SWG40" s="26"/>
      <c r="SWH40" s="27"/>
      <c r="SWI40" s="26"/>
      <c r="SWJ40" s="27"/>
      <c r="SWK40" s="26"/>
      <c r="SWL40" s="27"/>
      <c r="SWM40" s="26"/>
      <c r="SWN40" s="27"/>
      <c r="SWO40" s="26"/>
      <c r="SWP40" s="27"/>
      <c r="SWQ40" s="26"/>
      <c r="SWR40" s="27"/>
      <c r="SWS40" s="26"/>
      <c r="SWT40" s="27"/>
      <c r="SWU40" s="26"/>
      <c r="SWV40" s="27"/>
      <c r="SWW40" s="26"/>
      <c r="SWX40" s="27"/>
      <c r="SWY40" s="26"/>
      <c r="SWZ40" s="27"/>
      <c r="SXA40" s="26"/>
      <c r="SXB40" s="27"/>
      <c r="SXC40" s="26"/>
      <c r="SXD40" s="27"/>
      <c r="SXE40" s="26"/>
      <c r="SXF40" s="27"/>
      <c r="SXG40" s="26"/>
      <c r="SXH40" s="27"/>
      <c r="SXI40" s="26"/>
      <c r="SXJ40" s="27"/>
      <c r="SXK40" s="26"/>
      <c r="SXL40" s="27"/>
      <c r="SXM40" s="26"/>
      <c r="SXN40" s="27"/>
      <c r="SXO40" s="26"/>
      <c r="SXP40" s="27"/>
      <c r="SXQ40" s="26"/>
      <c r="SXR40" s="27"/>
      <c r="SXS40" s="26"/>
      <c r="SXT40" s="27"/>
      <c r="SXU40" s="26"/>
      <c r="SXV40" s="27"/>
      <c r="SXW40" s="26"/>
      <c r="SXX40" s="27"/>
      <c r="SXY40" s="26"/>
      <c r="SXZ40" s="27"/>
      <c r="SYA40" s="26"/>
      <c r="SYB40" s="27"/>
      <c r="SYC40" s="26"/>
      <c r="SYD40" s="27"/>
      <c r="SYE40" s="26"/>
      <c r="SYF40" s="27"/>
      <c r="SYG40" s="26"/>
      <c r="SYH40" s="27"/>
      <c r="SYI40" s="26"/>
      <c r="SYJ40" s="27"/>
      <c r="SYK40" s="26"/>
      <c r="SYL40" s="27"/>
      <c r="SYM40" s="26"/>
      <c r="SYN40" s="27"/>
      <c r="SYO40" s="26"/>
      <c r="SYP40" s="27"/>
      <c r="SYQ40" s="26"/>
      <c r="SYR40" s="27"/>
      <c r="SYS40" s="26"/>
      <c r="SYT40" s="27"/>
      <c r="SYU40" s="26"/>
      <c r="SYV40" s="27"/>
      <c r="SYW40" s="26"/>
      <c r="SYX40" s="27"/>
      <c r="SYY40" s="26"/>
      <c r="SYZ40" s="27"/>
      <c r="SZA40" s="26"/>
      <c r="SZB40" s="27"/>
      <c r="SZC40" s="26"/>
      <c r="SZD40" s="27"/>
      <c r="SZE40" s="26"/>
      <c r="SZF40" s="27"/>
      <c r="SZG40" s="26"/>
      <c r="SZH40" s="27"/>
      <c r="SZI40" s="26"/>
      <c r="SZJ40" s="27"/>
      <c r="SZK40" s="26"/>
      <c r="SZL40" s="27"/>
      <c r="SZM40" s="26"/>
      <c r="SZN40" s="27"/>
      <c r="SZO40" s="26"/>
      <c r="SZP40" s="27"/>
      <c r="SZQ40" s="26"/>
      <c r="SZR40" s="27"/>
      <c r="SZS40" s="26"/>
      <c r="SZT40" s="27"/>
      <c r="SZU40" s="26"/>
      <c r="SZV40" s="27"/>
      <c r="SZW40" s="26"/>
      <c r="SZX40" s="27"/>
      <c r="SZY40" s="26"/>
      <c r="SZZ40" s="27"/>
      <c r="TAA40" s="26"/>
      <c r="TAB40" s="27"/>
      <c r="TAC40" s="26"/>
      <c r="TAD40" s="27"/>
      <c r="TAE40" s="26"/>
      <c r="TAF40" s="27"/>
      <c r="TAG40" s="26"/>
      <c r="TAH40" s="27"/>
      <c r="TAI40" s="26"/>
      <c r="TAJ40" s="27"/>
      <c r="TAK40" s="26"/>
      <c r="TAL40" s="27"/>
      <c r="TAM40" s="26"/>
      <c r="TAN40" s="27"/>
      <c r="TAO40" s="26"/>
      <c r="TAP40" s="27"/>
      <c r="TAQ40" s="26"/>
      <c r="TAR40" s="27"/>
      <c r="TAS40" s="26"/>
      <c r="TAT40" s="27"/>
      <c r="TAU40" s="26"/>
      <c r="TAV40" s="27"/>
      <c r="TAW40" s="26"/>
      <c r="TAX40" s="27"/>
      <c r="TAY40" s="26"/>
      <c r="TAZ40" s="27"/>
      <c r="TBA40" s="26"/>
      <c r="TBB40" s="27"/>
      <c r="TBC40" s="26"/>
      <c r="TBD40" s="27"/>
      <c r="TBE40" s="26"/>
      <c r="TBF40" s="27"/>
      <c r="TBG40" s="26"/>
      <c r="TBH40" s="27"/>
      <c r="TBI40" s="26"/>
      <c r="TBJ40" s="27"/>
      <c r="TBK40" s="26"/>
      <c r="TBL40" s="27"/>
      <c r="TBM40" s="26"/>
      <c r="TBN40" s="27"/>
      <c r="TBO40" s="26"/>
      <c r="TBP40" s="27"/>
      <c r="TBQ40" s="26"/>
      <c r="TBR40" s="27"/>
      <c r="TBS40" s="26"/>
      <c r="TBT40" s="27"/>
      <c r="TBU40" s="26"/>
      <c r="TBV40" s="27"/>
      <c r="TBW40" s="26"/>
      <c r="TBX40" s="27"/>
      <c r="TBY40" s="26"/>
      <c r="TBZ40" s="27"/>
      <c r="TCA40" s="26"/>
      <c r="TCB40" s="27"/>
      <c r="TCC40" s="26"/>
      <c r="TCD40" s="27"/>
      <c r="TCE40" s="26"/>
      <c r="TCF40" s="27"/>
      <c r="TCG40" s="26"/>
      <c r="TCH40" s="27"/>
      <c r="TCI40" s="26"/>
      <c r="TCJ40" s="27"/>
      <c r="TCK40" s="26"/>
      <c r="TCL40" s="27"/>
      <c r="TCM40" s="26"/>
      <c r="TCN40" s="27"/>
      <c r="TCO40" s="26"/>
      <c r="TCP40" s="27"/>
      <c r="TCQ40" s="26"/>
      <c r="TCR40" s="27"/>
      <c r="TCS40" s="26"/>
      <c r="TCT40" s="27"/>
      <c r="TCU40" s="26"/>
      <c r="TCV40" s="27"/>
      <c r="TCW40" s="26"/>
      <c r="TCX40" s="27"/>
      <c r="TCY40" s="26"/>
      <c r="TCZ40" s="27"/>
      <c r="TDA40" s="26"/>
      <c r="TDB40" s="27"/>
      <c r="TDC40" s="26"/>
      <c r="TDD40" s="27"/>
      <c r="TDE40" s="26"/>
      <c r="TDF40" s="27"/>
      <c r="TDG40" s="26"/>
      <c r="TDH40" s="27"/>
      <c r="TDI40" s="26"/>
      <c r="TDJ40" s="27"/>
      <c r="TDK40" s="26"/>
      <c r="TDL40" s="27"/>
      <c r="TDM40" s="26"/>
      <c r="TDN40" s="27"/>
      <c r="TDO40" s="26"/>
      <c r="TDP40" s="27"/>
      <c r="TDQ40" s="26"/>
      <c r="TDR40" s="27"/>
      <c r="TDS40" s="26"/>
      <c r="TDT40" s="27"/>
      <c r="TDU40" s="26"/>
      <c r="TDV40" s="27"/>
      <c r="TDW40" s="26"/>
      <c r="TDX40" s="27"/>
      <c r="TDY40" s="26"/>
      <c r="TDZ40" s="27"/>
      <c r="TEA40" s="26"/>
      <c r="TEB40" s="27"/>
      <c r="TEC40" s="26"/>
      <c r="TED40" s="27"/>
      <c r="TEE40" s="26"/>
      <c r="TEF40" s="27"/>
      <c r="TEG40" s="26"/>
      <c r="TEH40" s="27"/>
      <c r="TEI40" s="26"/>
      <c r="TEJ40" s="27"/>
      <c r="TEK40" s="26"/>
      <c r="TEL40" s="27"/>
      <c r="TEM40" s="26"/>
      <c r="TEN40" s="27"/>
      <c r="TEO40" s="26"/>
      <c r="TEP40" s="27"/>
      <c r="TEQ40" s="26"/>
      <c r="TER40" s="27"/>
      <c r="TES40" s="26"/>
      <c r="TET40" s="27"/>
      <c r="TEU40" s="26"/>
      <c r="TEV40" s="27"/>
      <c r="TEW40" s="26"/>
      <c r="TEX40" s="27"/>
      <c r="TEY40" s="26"/>
      <c r="TEZ40" s="27"/>
      <c r="TFA40" s="26"/>
      <c r="TFB40" s="27"/>
      <c r="TFC40" s="26"/>
      <c r="TFD40" s="27"/>
      <c r="TFE40" s="26"/>
      <c r="TFF40" s="27"/>
      <c r="TFG40" s="26"/>
      <c r="TFH40" s="27"/>
      <c r="TFI40" s="26"/>
      <c r="TFJ40" s="27"/>
      <c r="TFK40" s="26"/>
      <c r="TFL40" s="27"/>
      <c r="TFM40" s="26"/>
      <c r="TFN40" s="27"/>
      <c r="TFO40" s="26"/>
      <c r="TFP40" s="27"/>
      <c r="TFQ40" s="26"/>
      <c r="TFR40" s="27"/>
      <c r="TFS40" s="26"/>
      <c r="TFT40" s="27"/>
      <c r="TFU40" s="26"/>
      <c r="TFV40" s="27"/>
      <c r="TFW40" s="26"/>
      <c r="TFX40" s="27"/>
      <c r="TFY40" s="26"/>
      <c r="TFZ40" s="27"/>
      <c r="TGA40" s="26"/>
      <c r="TGB40" s="27"/>
      <c r="TGC40" s="26"/>
      <c r="TGD40" s="27"/>
      <c r="TGE40" s="26"/>
      <c r="TGF40" s="27"/>
      <c r="TGG40" s="26"/>
      <c r="TGH40" s="27"/>
      <c r="TGI40" s="26"/>
      <c r="TGJ40" s="27"/>
      <c r="TGK40" s="26"/>
      <c r="TGL40" s="27"/>
      <c r="TGM40" s="26"/>
      <c r="TGN40" s="27"/>
      <c r="TGO40" s="26"/>
      <c r="TGP40" s="27"/>
      <c r="TGQ40" s="26"/>
      <c r="TGR40" s="27"/>
      <c r="TGS40" s="26"/>
      <c r="TGT40" s="27"/>
      <c r="TGU40" s="26"/>
      <c r="TGV40" s="27"/>
      <c r="TGW40" s="26"/>
      <c r="TGX40" s="27"/>
      <c r="TGY40" s="26"/>
      <c r="TGZ40" s="27"/>
      <c r="THA40" s="26"/>
      <c r="THB40" s="27"/>
      <c r="THC40" s="26"/>
      <c r="THD40" s="27"/>
      <c r="THE40" s="26"/>
      <c r="THF40" s="27"/>
      <c r="THG40" s="26"/>
      <c r="THH40" s="27"/>
      <c r="THI40" s="26"/>
      <c r="THJ40" s="27"/>
      <c r="THK40" s="26"/>
      <c r="THL40" s="27"/>
      <c r="THM40" s="26"/>
      <c r="THN40" s="27"/>
      <c r="THO40" s="26"/>
      <c r="THP40" s="27"/>
      <c r="THQ40" s="26"/>
      <c r="THR40" s="27"/>
      <c r="THS40" s="26"/>
      <c r="THT40" s="27"/>
      <c r="THU40" s="26"/>
      <c r="THV40" s="27"/>
      <c r="THW40" s="26"/>
      <c r="THX40" s="27"/>
      <c r="THY40" s="26"/>
      <c r="THZ40" s="27"/>
      <c r="TIA40" s="26"/>
      <c r="TIB40" s="27"/>
      <c r="TIC40" s="26"/>
      <c r="TID40" s="27"/>
      <c r="TIE40" s="26"/>
      <c r="TIF40" s="27"/>
      <c r="TIG40" s="26"/>
      <c r="TIH40" s="27"/>
      <c r="TII40" s="26"/>
      <c r="TIJ40" s="27"/>
      <c r="TIK40" s="26"/>
      <c r="TIL40" s="27"/>
      <c r="TIM40" s="26"/>
      <c r="TIN40" s="27"/>
      <c r="TIO40" s="26"/>
      <c r="TIP40" s="27"/>
      <c r="TIQ40" s="26"/>
      <c r="TIR40" s="27"/>
      <c r="TIS40" s="26"/>
      <c r="TIT40" s="27"/>
      <c r="TIU40" s="26"/>
      <c r="TIV40" s="27"/>
      <c r="TIW40" s="26"/>
      <c r="TIX40" s="27"/>
      <c r="TIY40" s="26"/>
      <c r="TIZ40" s="27"/>
      <c r="TJA40" s="26"/>
      <c r="TJB40" s="27"/>
      <c r="TJC40" s="26"/>
      <c r="TJD40" s="27"/>
      <c r="TJE40" s="26"/>
      <c r="TJF40" s="27"/>
      <c r="TJG40" s="26"/>
      <c r="TJH40" s="27"/>
      <c r="TJI40" s="26"/>
      <c r="TJJ40" s="27"/>
      <c r="TJK40" s="26"/>
      <c r="TJL40" s="27"/>
      <c r="TJM40" s="26"/>
      <c r="TJN40" s="27"/>
      <c r="TJO40" s="26"/>
      <c r="TJP40" s="27"/>
      <c r="TJQ40" s="26"/>
      <c r="TJR40" s="27"/>
      <c r="TJS40" s="26"/>
      <c r="TJT40" s="27"/>
      <c r="TJU40" s="26"/>
      <c r="TJV40" s="27"/>
      <c r="TJW40" s="26"/>
      <c r="TJX40" s="27"/>
      <c r="TJY40" s="26"/>
      <c r="TJZ40" s="27"/>
      <c r="TKA40" s="26"/>
      <c r="TKB40" s="27"/>
      <c r="TKC40" s="26"/>
      <c r="TKD40" s="27"/>
      <c r="TKE40" s="26"/>
      <c r="TKF40" s="27"/>
      <c r="TKG40" s="26"/>
      <c r="TKH40" s="27"/>
      <c r="TKI40" s="26"/>
      <c r="TKJ40" s="27"/>
      <c r="TKK40" s="26"/>
      <c r="TKL40" s="27"/>
      <c r="TKM40" s="26"/>
      <c r="TKN40" s="27"/>
      <c r="TKO40" s="26"/>
      <c r="TKP40" s="27"/>
      <c r="TKQ40" s="26"/>
      <c r="TKR40" s="27"/>
      <c r="TKS40" s="26"/>
      <c r="TKT40" s="27"/>
      <c r="TKU40" s="26"/>
      <c r="TKV40" s="27"/>
      <c r="TKW40" s="26"/>
      <c r="TKX40" s="27"/>
      <c r="TKY40" s="26"/>
      <c r="TKZ40" s="27"/>
      <c r="TLA40" s="26"/>
      <c r="TLB40" s="27"/>
      <c r="TLC40" s="26"/>
      <c r="TLD40" s="27"/>
      <c r="TLE40" s="26"/>
      <c r="TLF40" s="27"/>
      <c r="TLG40" s="26"/>
      <c r="TLH40" s="27"/>
      <c r="TLI40" s="26"/>
      <c r="TLJ40" s="27"/>
      <c r="TLK40" s="26"/>
      <c r="TLL40" s="27"/>
      <c r="TLM40" s="26"/>
      <c r="TLN40" s="27"/>
      <c r="TLO40" s="26"/>
      <c r="TLP40" s="27"/>
      <c r="TLQ40" s="26"/>
      <c r="TLR40" s="27"/>
      <c r="TLS40" s="26"/>
      <c r="TLT40" s="27"/>
      <c r="TLU40" s="26"/>
      <c r="TLV40" s="27"/>
      <c r="TLW40" s="26"/>
      <c r="TLX40" s="27"/>
      <c r="TLY40" s="26"/>
      <c r="TLZ40" s="27"/>
      <c r="TMA40" s="26"/>
      <c r="TMB40" s="27"/>
      <c r="TMC40" s="26"/>
      <c r="TMD40" s="27"/>
      <c r="TME40" s="26"/>
      <c r="TMF40" s="27"/>
      <c r="TMG40" s="26"/>
      <c r="TMH40" s="27"/>
      <c r="TMI40" s="26"/>
      <c r="TMJ40" s="27"/>
      <c r="TMK40" s="26"/>
      <c r="TML40" s="27"/>
      <c r="TMM40" s="26"/>
      <c r="TMN40" s="27"/>
      <c r="TMO40" s="26"/>
      <c r="TMP40" s="27"/>
      <c r="TMQ40" s="26"/>
      <c r="TMR40" s="27"/>
      <c r="TMS40" s="26"/>
      <c r="TMT40" s="27"/>
      <c r="TMU40" s="26"/>
      <c r="TMV40" s="27"/>
      <c r="TMW40" s="26"/>
      <c r="TMX40" s="27"/>
      <c r="TMY40" s="26"/>
      <c r="TMZ40" s="27"/>
      <c r="TNA40" s="26"/>
      <c r="TNB40" s="27"/>
      <c r="TNC40" s="26"/>
      <c r="TND40" s="27"/>
      <c r="TNE40" s="26"/>
      <c r="TNF40" s="27"/>
      <c r="TNG40" s="26"/>
      <c r="TNH40" s="27"/>
      <c r="TNI40" s="26"/>
      <c r="TNJ40" s="27"/>
      <c r="TNK40" s="26"/>
      <c r="TNL40" s="27"/>
      <c r="TNM40" s="26"/>
      <c r="TNN40" s="27"/>
      <c r="TNO40" s="26"/>
      <c r="TNP40" s="27"/>
      <c r="TNQ40" s="26"/>
      <c r="TNR40" s="27"/>
      <c r="TNS40" s="26"/>
      <c r="TNT40" s="27"/>
      <c r="TNU40" s="26"/>
      <c r="TNV40" s="27"/>
      <c r="TNW40" s="26"/>
      <c r="TNX40" s="27"/>
      <c r="TNY40" s="26"/>
      <c r="TNZ40" s="27"/>
      <c r="TOA40" s="26"/>
      <c r="TOB40" s="27"/>
      <c r="TOC40" s="26"/>
      <c r="TOD40" s="27"/>
      <c r="TOE40" s="26"/>
      <c r="TOF40" s="27"/>
      <c r="TOG40" s="26"/>
      <c r="TOH40" s="27"/>
      <c r="TOI40" s="26"/>
      <c r="TOJ40" s="27"/>
      <c r="TOK40" s="26"/>
      <c r="TOL40" s="27"/>
      <c r="TOM40" s="26"/>
      <c r="TON40" s="27"/>
      <c r="TOO40" s="26"/>
      <c r="TOP40" s="27"/>
      <c r="TOQ40" s="26"/>
      <c r="TOR40" s="27"/>
      <c r="TOS40" s="26"/>
      <c r="TOT40" s="27"/>
      <c r="TOU40" s="26"/>
      <c r="TOV40" s="27"/>
      <c r="TOW40" s="26"/>
      <c r="TOX40" s="27"/>
      <c r="TOY40" s="26"/>
      <c r="TOZ40" s="27"/>
      <c r="TPA40" s="26"/>
      <c r="TPB40" s="27"/>
      <c r="TPC40" s="26"/>
      <c r="TPD40" s="27"/>
      <c r="TPE40" s="26"/>
      <c r="TPF40" s="27"/>
      <c r="TPG40" s="26"/>
      <c r="TPH40" s="27"/>
      <c r="TPI40" s="26"/>
      <c r="TPJ40" s="27"/>
      <c r="TPK40" s="26"/>
      <c r="TPL40" s="27"/>
      <c r="TPM40" s="26"/>
      <c r="TPN40" s="27"/>
      <c r="TPO40" s="26"/>
      <c r="TPP40" s="27"/>
      <c r="TPQ40" s="26"/>
      <c r="TPR40" s="27"/>
      <c r="TPS40" s="26"/>
      <c r="TPT40" s="27"/>
      <c r="TPU40" s="26"/>
      <c r="TPV40" s="27"/>
      <c r="TPW40" s="26"/>
      <c r="TPX40" s="27"/>
      <c r="TPY40" s="26"/>
      <c r="TPZ40" s="27"/>
      <c r="TQA40" s="26"/>
      <c r="TQB40" s="27"/>
      <c r="TQC40" s="26"/>
      <c r="TQD40" s="27"/>
      <c r="TQE40" s="26"/>
      <c r="TQF40" s="27"/>
      <c r="TQG40" s="26"/>
      <c r="TQH40" s="27"/>
      <c r="TQI40" s="26"/>
      <c r="TQJ40" s="27"/>
      <c r="TQK40" s="26"/>
      <c r="TQL40" s="27"/>
      <c r="TQM40" s="26"/>
      <c r="TQN40" s="27"/>
      <c r="TQO40" s="26"/>
      <c r="TQP40" s="27"/>
      <c r="TQQ40" s="26"/>
      <c r="TQR40" s="27"/>
      <c r="TQS40" s="26"/>
      <c r="TQT40" s="27"/>
      <c r="TQU40" s="26"/>
      <c r="TQV40" s="27"/>
      <c r="TQW40" s="26"/>
      <c r="TQX40" s="27"/>
      <c r="TQY40" s="26"/>
      <c r="TQZ40" s="27"/>
      <c r="TRA40" s="26"/>
      <c r="TRB40" s="27"/>
      <c r="TRC40" s="26"/>
      <c r="TRD40" s="27"/>
      <c r="TRE40" s="26"/>
      <c r="TRF40" s="27"/>
      <c r="TRG40" s="26"/>
      <c r="TRH40" s="27"/>
      <c r="TRI40" s="26"/>
      <c r="TRJ40" s="27"/>
      <c r="TRK40" s="26"/>
      <c r="TRL40" s="27"/>
      <c r="TRM40" s="26"/>
      <c r="TRN40" s="27"/>
      <c r="TRO40" s="26"/>
      <c r="TRP40" s="27"/>
      <c r="TRQ40" s="26"/>
      <c r="TRR40" s="27"/>
      <c r="TRS40" s="26"/>
      <c r="TRT40" s="27"/>
      <c r="TRU40" s="26"/>
      <c r="TRV40" s="27"/>
      <c r="TRW40" s="26"/>
      <c r="TRX40" s="27"/>
      <c r="TRY40" s="26"/>
      <c r="TRZ40" s="27"/>
      <c r="TSA40" s="26"/>
      <c r="TSB40" s="27"/>
      <c r="TSC40" s="26"/>
      <c r="TSD40" s="27"/>
      <c r="TSE40" s="26"/>
      <c r="TSF40" s="27"/>
      <c r="TSG40" s="26"/>
      <c r="TSH40" s="27"/>
      <c r="TSI40" s="26"/>
      <c r="TSJ40" s="27"/>
      <c r="TSK40" s="26"/>
      <c r="TSL40" s="27"/>
      <c r="TSM40" s="26"/>
      <c r="TSN40" s="27"/>
      <c r="TSO40" s="26"/>
      <c r="TSP40" s="27"/>
      <c r="TSQ40" s="26"/>
      <c r="TSR40" s="27"/>
      <c r="TSS40" s="26"/>
      <c r="TST40" s="27"/>
      <c r="TSU40" s="26"/>
      <c r="TSV40" s="27"/>
      <c r="TSW40" s="26"/>
      <c r="TSX40" s="27"/>
      <c r="TSY40" s="26"/>
      <c r="TSZ40" s="27"/>
      <c r="TTA40" s="26"/>
      <c r="TTB40" s="27"/>
      <c r="TTC40" s="26"/>
      <c r="TTD40" s="27"/>
      <c r="TTE40" s="26"/>
      <c r="TTF40" s="27"/>
      <c r="TTG40" s="26"/>
      <c r="TTH40" s="27"/>
      <c r="TTI40" s="26"/>
      <c r="TTJ40" s="27"/>
      <c r="TTK40" s="26"/>
      <c r="TTL40" s="27"/>
      <c r="TTM40" s="26"/>
      <c r="TTN40" s="27"/>
      <c r="TTO40" s="26"/>
      <c r="TTP40" s="27"/>
      <c r="TTQ40" s="26"/>
      <c r="TTR40" s="27"/>
      <c r="TTS40" s="26"/>
      <c r="TTT40" s="27"/>
      <c r="TTU40" s="26"/>
      <c r="TTV40" s="27"/>
      <c r="TTW40" s="26"/>
      <c r="TTX40" s="27"/>
      <c r="TTY40" s="26"/>
      <c r="TTZ40" s="27"/>
      <c r="TUA40" s="26"/>
      <c r="TUB40" s="27"/>
      <c r="TUC40" s="26"/>
      <c r="TUD40" s="27"/>
      <c r="TUE40" s="26"/>
      <c r="TUF40" s="27"/>
      <c r="TUG40" s="26"/>
      <c r="TUH40" s="27"/>
      <c r="TUI40" s="26"/>
      <c r="TUJ40" s="27"/>
      <c r="TUK40" s="26"/>
      <c r="TUL40" s="27"/>
      <c r="TUM40" s="26"/>
      <c r="TUN40" s="27"/>
      <c r="TUO40" s="26"/>
      <c r="TUP40" s="27"/>
      <c r="TUQ40" s="26"/>
      <c r="TUR40" s="27"/>
      <c r="TUS40" s="26"/>
      <c r="TUT40" s="27"/>
      <c r="TUU40" s="26"/>
      <c r="TUV40" s="27"/>
      <c r="TUW40" s="26"/>
      <c r="TUX40" s="27"/>
      <c r="TUY40" s="26"/>
      <c r="TUZ40" s="27"/>
      <c r="TVA40" s="26"/>
      <c r="TVB40" s="27"/>
      <c r="TVC40" s="26"/>
      <c r="TVD40" s="27"/>
      <c r="TVE40" s="26"/>
      <c r="TVF40" s="27"/>
      <c r="TVG40" s="26"/>
      <c r="TVH40" s="27"/>
      <c r="TVI40" s="26"/>
      <c r="TVJ40" s="27"/>
      <c r="TVK40" s="26"/>
      <c r="TVL40" s="27"/>
      <c r="TVM40" s="26"/>
      <c r="TVN40" s="27"/>
      <c r="TVO40" s="26"/>
      <c r="TVP40" s="27"/>
      <c r="TVQ40" s="26"/>
      <c r="TVR40" s="27"/>
      <c r="TVS40" s="26"/>
      <c r="TVT40" s="27"/>
      <c r="TVU40" s="26"/>
      <c r="TVV40" s="27"/>
      <c r="TVW40" s="26"/>
      <c r="TVX40" s="27"/>
      <c r="TVY40" s="26"/>
      <c r="TVZ40" s="27"/>
      <c r="TWA40" s="26"/>
      <c r="TWB40" s="27"/>
      <c r="TWC40" s="26"/>
      <c r="TWD40" s="27"/>
      <c r="TWE40" s="26"/>
      <c r="TWF40" s="27"/>
      <c r="TWG40" s="26"/>
      <c r="TWH40" s="27"/>
      <c r="TWI40" s="26"/>
      <c r="TWJ40" s="27"/>
      <c r="TWK40" s="26"/>
      <c r="TWL40" s="27"/>
      <c r="TWM40" s="26"/>
      <c r="TWN40" s="27"/>
      <c r="TWO40" s="26"/>
      <c r="TWP40" s="27"/>
      <c r="TWQ40" s="26"/>
      <c r="TWR40" s="27"/>
      <c r="TWS40" s="26"/>
      <c r="TWT40" s="27"/>
      <c r="TWU40" s="26"/>
      <c r="TWV40" s="27"/>
      <c r="TWW40" s="26"/>
      <c r="TWX40" s="27"/>
      <c r="TWY40" s="26"/>
      <c r="TWZ40" s="27"/>
      <c r="TXA40" s="26"/>
      <c r="TXB40" s="27"/>
      <c r="TXC40" s="26"/>
      <c r="TXD40" s="27"/>
      <c r="TXE40" s="26"/>
      <c r="TXF40" s="27"/>
      <c r="TXG40" s="26"/>
      <c r="TXH40" s="27"/>
      <c r="TXI40" s="26"/>
      <c r="TXJ40" s="27"/>
      <c r="TXK40" s="26"/>
      <c r="TXL40" s="27"/>
      <c r="TXM40" s="26"/>
      <c r="TXN40" s="27"/>
      <c r="TXO40" s="26"/>
      <c r="TXP40" s="27"/>
      <c r="TXQ40" s="26"/>
      <c r="TXR40" s="27"/>
      <c r="TXS40" s="26"/>
      <c r="TXT40" s="27"/>
      <c r="TXU40" s="26"/>
      <c r="TXV40" s="27"/>
      <c r="TXW40" s="26"/>
      <c r="TXX40" s="27"/>
      <c r="TXY40" s="26"/>
      <c r="TXZ40" s="27"/>
      <c r="TYA40" s="26"/>
      <c r="TYB40" s="27"/>
      <c r="TYC40" s="26"/>
      <c r="TYD40" s="27"/>
      <c r="TYE40" s="26"/>
      <c r="TYF40" s="27"/>
      <c r="TYG40" s="26"/>
      <c r="TYH40" s="27"/>
      <c r="TYI40" s="26"/>
      <c r="TYJ40" s="27"/>
      <c r="TYK40" s="26"/>
      <c r="TYL40" s="27"/>
      <c r="TYM40" s="26"/>
      <c r="TYN40" s="27"/>
      <c r="TYO40" s="26"/>
      <c r="TYP40" s="27"/>
      <c r="TYQ40" s="26"/>
      <c r="TYR40" s="27"/>
      <c r="TYS40" s="26"/>
      <c r="TYT40" s="27"/>
      <c r="TYU40" s="26"/>
      <c r="TYV40" s="27"/>
      <c r="TYW40" s="26"/>
      <c r="TYX40" s="27"/>
      <c r="TYY40" s="26"/>
      <c r="TYZ40" s="27"/>
      <c r="TZA40" s="26"/>
      <c r="TZB40" s="27"/>
      <c r="TZC40" s="26"/>
      <c r="TZD40" s="27"/>
      <c r="TZE40" s="26"/>
      <c r="TZF40" s="27"/>
      <c r="TZG40" s="26"/>
      <c r="TZH40" s="27"/>
      <c r="TZI40" s="26"/>
      <c r="TZJ40" s="27"/>
      <c r="TZK40" s="26"/>
      <c r="TZL40" s="27"/>
      <c r="TZM40" s="26"/>
      <c r="TZN40" s="27"/>
      <c r="TZO40" s="26"/>
      <c r="TZP40" s="27"/>
      <c r="TZQ40" s="26"/>
      <c r="TZR40" s="27"/>
      <c r="TZS40" s="26"/>
      <c r="TZT40" s="27"/>
      <c r="TZU40" s="26"/>
      <c r="TZV40" s="27"/>
      <c r="TZW40" s="26"/>
      <c r="TZX40" s="27"/>
      <c r="TZY40" s="26"/>
      <c r="TZZ40" s="27"/>
      <c r="UAA40" s="26"/>
      <c r="UAB40" s="27"/>
      <c r="UAC40" s="26"/>
      <c r="UAD40" s="27"/>
      <c r="UAE40" s="26"/>
      <c r="UAF40" s="27"/>
      <c r="UAG40" s="26"/>
      <c r="UAH40" s="27"/>
      <c r="UAI40" s="26"/>
      <c r="UAJ40" s="27"/>
      <c r="UAK40" s="26"/>
      <c r="UAL40" s="27"/>
      <c r="UAM40" s="26"/>
      <c r="UAN40" s="27"/>
      <c r="UAO40" s="26"/>
      <c r="UAP40" s="27"/>
      <c r="UAQ40" s="26"/>
      <c r="UAR40" s="27"/>
      <c r="UAS40" s="26"/>
      <c r="UAT40" s="27"/>
      <c r="UAU40" s="26"/>
      <c r="UAV40" s="27"/>
      <c r="UAW40" s="26"/>
      <c r="UAX40" s="27"/>
      <c r="UAY40" s="26"/>
      <c r="UAZ40" s="27"/>
      <c r="UBA40" s="26"/>
      <c r="UBB40" s="27"/>
      <c r="UBC40" s="26"/>
      <c r="UBD40" s="27"/>
      <c r="UBE40" s="26"/>
      <c r="UBF40" s="27"/>
      <c r="UBG40" s="26"/>
      <c r="UBH40" s="27"/>
      <c r="UBI40" s="26"/>
      <c r="UBJ40" s="27"/>
      <c r="UBK40" s="26"/>
      <c r="UBL40" s="27"/>
      <c r="UBM40" s="26"/>
      <c r="UBN40" s="27"/>
      <c r="UBO40" s="26"/>
      <c r="UBP40" s="27"/>
      <c r="UBQ40" s="26"/>
      <c r="UBR40" s="27"/>
      <c r="UBS40" s="26"/>
      <c r="UBT40" s="27"/>
      <c r="UBU40" s="26"/>
      <c r="UBV40" s="27"/>
      <c r="UBW40" s="26"/>
      <c r="UBX40" s="27"/>
      <c r="UBY40" s="26"/>
      <c r="UBZ40" s="27"/>
      <c r="UCA40" s="26"/>
      <c r="UCB40" s="27"/>
      <c r="UCC40" s="26"/>
      <c r="UCD40" s="27"/>
      <c r="UCE40" s="26"/>
      <c r="UCF40" s="27"/>
      <c r="UCG40" s="26"/>
      <c r="UCH40" s="27"/>
      <c r="UCI40" s="26"/>
      <c r="UCJ40" s="27"/>
      <c r="UCK40" s="26"/>
      <c r="UCL40" s="27"/>
      <c r="UCM40" s="26"/>
      <c r="UCN40" s="27"/>
      <c r="UCO40" s="26"/>
      <c r="UCP40" s="27"/>
      <c r="UCQ40" s="26"/>
      <c r="UCR40" s="27"/>
      <c r="UCS40" s="26"/>
      <c r="UCT40" s="27"/>
      <c r="UCU40" s="26"/>
      <c r="UCV40" s="27"/>
      <c r="UCW40" s="26"/>
      <c r="UCX40" s="27"/>
      <c r="UCY40" s="26"/>
      <c r="UCZ40" s="27"/>
      <c r="UDA40" s="26"/>
      <c r="UDB40" s="27"/>
      <c r="UDC40" s="26"/>
      <c r="UDD40" s="27"/>
      <c r="UDE40" s="26"/>
      <c r="UDF40" s="27"/>
      <c r="UDG40" s="26"/>
      <c r="UDH40" s="27"/>
      <c r="UDI40" s="26"/>
      <c r="UDJ40" s="27"/>
      <c r="UDK40" s="26"/>
      <c r="UDL40" s="27"/>
      <c r="UDM40" s="26"/>
      <c r="UDN40" s="27"/>
      <c r="UDO40" s="26"/>
      <c r="UDP40" s="27"/>
      <c r="UDQ40" s="26"/>
      <c r="UDR40" s="27"/>
      <c r="UDS40" s="26"/>
      <c r="UDT40" s="27"/>
      <c r="UDU40" s="26"/>
      <c r="UDV40" s="27"/>
      <c r="UDW40" s="26"/>
      <c r="UDX40" s="27"/>
      <c r="UDY40" s="26"/>
      <c r="UDZ40" s="27"/>
      <c r="UEA40" s="26"/>
      <c r="UEB40" s="27"/>
      <c r="UEC40" s="26"/>
      <c r="UED40" s="27"/>
      <c r="UEE40" s="26"/>
      <c r="UEF40" s="27"/>
      <c r="UEG40" s="26"/>
      <c r="UEH40" s="27"/>
      <c r="UEI40" s="26"/>
      <c r="UEJ40" s="27"/>
      <c r="UEK40" s="26"/>
      <c r="UEL40" s="27"/>
      <c r="UEM40" s="26"/>
      <c r="UEN40" s="27"/>
      <c r="UEO40" s="26"/>
      <c r="UEP40" s="27"/>
      <c r="UEQ40" s="26"/>
      <c r="UER40" s="27"/>
      <c r="UES40" s="26"/>
      <c r="UET40" s="27"/>
      <c r="UEU40" s="26"/>
      <c r="UEV40" s="27"/>
      <c r="UEW40" s="26"/>
      <c r="UEX40" s="27"/>
      <c r="UEY40" s="26"/>
      <c r="UEZ40" s="27"/>
      <c r="UFA40" s="26"/>
      <c r="UFB40" s="27"/>
      <c r="UFC40" s="26"/>
      <c r="UFD40" s="27"/>
      <c r="UFE40" s="26"/>
      <c r="UFF40" s="27"/>
      <c r="UFG40" s="26"/>
      <c r="UFH40" s="27"/>
      <c r="UFI40" s="26"/>
      <c r="UFJ40" s="27"/>
      <c r="UFK40" s="26"/>
      <c r="UFL40" s="27"/>
      <c r="UFM40" s="26"/>
      <c r="UFN40" s="27"/>
      <c r="UFO40" s="26"/>
      <c r="UFP40" s="27"/>
      <c r="UFQ40" s="26"/>
      <c r="UFR40" s="27"/>
      <c r="UFS40" s="26"/>
      <c r="UFT40" s="27"/>
      <c r="UFU40" s="26"/>
      <c r="UFV40" s="27"/>
      <c r="UFW40" s="26"/>
      <c r="UFX40" s="27"/>
      <c r="UFY40" s="26"/>
      <c r="UFZ40" s="27"/>
      <c r="UGA40" s="26"/>
      <c r="UGB40" s="27"/>
      <c r="UGC40" s="26"/>
      <c r="UGD40" s="27"/>
      <c r="UGE40" s="26"/>
      <c r="UGF40" s="27"/>
      <c r="UGG40" s="26"/>
      <c r="UGH40" s="27"/>
      <c r="UGI40" s="26"/>
      <c r="UGJ40" s="27"/>
      <c r="UGK40" s="26"/>
      <c r="UGL40" s="27"/>
      <c r="UGM40" s="26"/>
      <c r="UGN40" s="27"/>
      <c r="UGO40" s="26"/>
      <c r="UGP40" s="27"/>
      <c r="UGQ40" s="26"/>
      <c r="UGR40" s="27"/>
      <c r="UGS40" s="26"/>
      <c r="UGT40" s="27"/>
      <c r="UGU40" s="26"/>
      <c r="UGV40" s="27"/>
      <c r="UGW40" s="26"/>
      <c r="UGX40" s="27"/>
      <c r="UGY40" s="26"/>
      <c r="UGZ40" s="27"/>
      <c r="UHA40" s="26"/>
      <c r="UHB40" s="27"/>
      <c r="UHC40" s="26"/>
      <c r="UHD40" s="27"/>
      <c r="UHE40" s="26"/>
      <c r="UHF40" s="27"/>
      <c r="UHG40" s="26"/>
      <c r="UHH40" s="27"/>
      <c r="UHI40" s="26"/>
      <c r="UHJ40" s="27"/>
      <c r="UHK40" s="26"/>
      <c r="UHL40" s="27"/>
      <c r="UHM40" s="26"/>
      <c r="UHN40" s="27"/>
      <c r="UHO40" s="26"/>
      <c r="UHP40" s="27"/>
      <c r="UHQ40" s="26"/>
      <c r="UHR40" s="27"/>
      <c r="UHS40" s="26"/>
      <c r="UHT40" s="27"/>
      <c r="UHU40" s="26"/>
      <c r="UHV40" s="27"/>
      <c r="UHW40" s="26"/>
      <c r="UHX40" s="27"/>
      <c r="UHY40" s="26"/>
      <c r="UHZ40" s="27"/>
      <c r="UIA40" s="26"/>
      <c r="UIB40" s="27"/>
      <c r="UIC40" s="26"/>
      <c r="UID40" s="27"/>
      <c r="UIE40" s="26"/>
      <c r="UIF40" s="27"/>
      <c r="UIG40" s="26"/>
      <c r="UIH40" s="27"/>
      <c r="UII40" s="26"/>
      <c r="UIJ40" s="27"/>
      <c r="UIK40" s="26"/>
      <c r="UIL40" s="27"/>
      <c r="UIM40" s="26"/>
      <c r="UIN40" s="27"/>
      <c r="UIO40" s="26"/>
      <c r="UIP40" s="27"/>
      <c r="UIQ40" s="26"/>
      <c r="UIR40" s="27"/>
      <c r="UIS40" s="26"/>
      <c r="UIT40" s="27"/>
      <c r="UIU40" s="26"/>
      <c r="UIV40" s="27"/>
      <c r="UIW40" s="26"/>
      <c r="UIX40" s="27"/>
      <c r="UIY40" s="26"/>
      <c r="UIZ40" s="27"/>
      <c r="UJA40" s="26"/>
      <c r="UJB40" s="27"/>
      <c r="UJC40" s="26"/>
      <c r="UJD40" s="27"/>
      <c r="UJE40" s="26"/>
      <c r="UJF40" s="27"/>
      <c r="UJG40" s="26"/>
      <c r="UJH40" s="27"/>
      <c r="UJI40" s="26"/>
      <c r="UJJ40" s="27"/>
      <c r="UJK40" s="26"/>
      <c r="UJL40" s="27"/>
      <c r="UJM40" s="26"/>
      <c r="UJN40" s="27"/>
      <c r="UJO40" s="26"/>
      <c r="UJP40" s="27"/>
      <c r="UJQ40" s="26"/>
      <c r="UJR40" s="27"/>
      <c r="UJS40" s="26"/>
      <c r="UJT40" s="27"/>
      <c r="UJU40" s="26"/>
      <c r="UJV40" s="27"/>
      <c r="UJW40" s="26"/>
      <c r="UJX40" s="27"/>
      <c r="UJY40" s="26"/>
      <c r="UJZ40" s="27"/>
      <c r="UKA40" s="26"/>
      <c r="UKB40" s="27"/>
      <c r="UKC40" s="26"/>
      <c r="UKD40" s="27"/>
      <c r="UKE40" s="26"/>
      <c r="UKF40" s="27"/>
      <c r="UKG40" s="26"/>
      <c r="UKH40" s="27"/>
      <c r="UKI40" s="26"/>
      <c r="UKJ40" s="27"/>
      <c r="UKK40" s="26"/>
      <c r="UKL40" s="27"/>
      <c r="UKM40" s="26"/>
      <c r="UKN40" s="27"/>
      <c r="UKO40" s="26"/>
      <c r="UKP40" s="27"/>
      <c r="UKQ40" s="26"/>
      <c r="UKR40" s="27"/>
      <c r="UKS40" s="26"/>
      <c r="UKT40" s="27"/>
      <c r="UKU40" s="26"/>
      <c r="UKV40" s="27"/>
      <c r="UKW40" s="26"/>
      <c r="UKX40" s="27"/>
      <c r="UKY40" s="26"/>
      <c r="UKZ40" s="27"/>
      <c r="ULA40" s="26"/>
      <c r="ULB40" s="27"/>
      <c r="ULC40" s="26"/>
      <c r="ULD40" s="27"/>
      <c r="ULE40" s="26"/>
      <c r="ULF40" s="27"/>
      <c r="ULG40" s="26"/>
      <c r="ULH40" s="27"/>
      <c r="ULI40" s="26"/>
      <c r="ULJ40" s="27"/>
      <c r="ULK40" s="26"/>
      <c r="ULL40" s="27"/>
      <c r="ULM40" s="26"/>
      <c r="ULN40" s="27"/>
      <c r="ULO40" s="26"/>
      <c r="ULP40" s="27"/>
      <c r="ULQ40" s="26"/>
      <c r="ULR40" s="27"/>
      <c r="ULS40" s="26"/>
      <c r="ULT40" s="27"/>
      <c r="ULU40" s="26"/>
      <c r="ULV40" s="27"/>
      <c r="ULW40" s="26"/>
      <c r="ULX40" s="27"/>
      <c r="ULY40" s="26"/>
      <c r="ULZ40" s="27"/>
      <c r="UMA40" s="26"/>
      <c r="UMB40" s="27"/>
      <c r="UMC40" s="26"/>
      <c r="UMD40" s="27"/>
      <c r="UME40" s="26"/>
      <c r="UMF40" s="27"/>
      <c r="UMG40" s="26"/>
      <c r="UMH40" s="27"/>
      <c r="UMI40" s="26"/>
      <c r="UMJ40" s="27"/>
      <c r="UMK40" s="26"/>
      <c r="UML40" s="27"/>
      <c r="UMM40" s="26"/>
      <c r="UMN40" s="27"/>
      <c r="UMO40" s="26"/>
      <c r="UMP40" s="27"/>
      <c r="UMQ40" s="26"/>
      <c r="UMR40" s="27"/>
      <c r="UMS40" s="26"/>
      <c r="UMT40" s="27"/>
      <c r="UMU40" s="26"/>
      <c r="UMV40" s="27"/>
      <c r="UMW40" s="26"/>
      <c r="UMX40" s="27"/>
      <c r="UMY40" s="26"/>
      <c r="UMZ40" s="27"/>
      <c r="UNA40" s="26"/>
      <c r="UNB40" s="27"/>
      <c r="UNC40" s="26"/>
      <c r="UND40" s="27"/>
      <c r="UNE40" s="26"/>
      <c r="UNF40" s="27"/>
      <c r="UNG40" s="26"/>
      <c r="UNH40" s="27"/>
      <c r="UNI40" s="26"/>
      <c r="UNJ40" s="27"/>
      <c r="UNK40" s="26"/>
      <c r="UNL40" s="27"/>
      <c r="UNM40" s="26"/>
      <c r="UNN40" s="27"/>
      <c r="UNO40" s="26"/>
      <c r="UNP40" s="27"/>
      <c r="UNQ40" s="26"/>
      <c r="UNR40" s="27"/>
      <c r="UNS40" s="26"/>
      <c r="UNT40" s="27"/>
      <c r="UNU40" s="26"/>
      <c r="UNV40" s="27"/>
      <c r="UNW40" s="26"/>
      <c r="UNX40" s="27"/>
      <c r="UNY40" s="26"/>
      <c r="UNZ40" s="27"/>
      <c r="UOA40" s="26"/>
      <c r="UOB40" s="27"/>
      <c r="UOC40" s="26"/>
      <c r="UOD40" s="27"/>
      <c r="UOE40" s="26"/>
      <c r="UOF40" s="27"/>
      <c r="UOG40" s="26"/>
      <c r="UOH40" s="27"/>
      <c r="UOI40" s="26"/>
      <c r="UOJ40" s="27"/>
      <c r="UOK40" s="26"/>
      <c r="UOL40" s="27"/>
      <c r="UOM40" s="26"/>
      <c r="UON40" s="27"/>
      <c r="UOO40" s="26"/>
      <c r="UOP40" s="27"/>
      <c r="UOQ40" s="26"/>
      <c r="UOR40" s="27"/>
      <c r="UOS40" s="26"/>
      <c r="UOT40" s="27"/>
      <c r="UOU40" s="26"/>
      <c r="UOV40" s="27"/>
      <c r="UOW40" s="26"/>
      <c r="UOX40" s="27"/>
      <c r="UOY40" s="26"/>
      <c r="UOZ40" s="27"/>
      <c r="UPA40" s="26"/>
      <c r="UPB40" s="27"/>
      <c r="UPC40" s="26"/>
      <c r="UPD40" s="27"/>
      <c r="UPE40" s="26"/>
      <c r="UPF40" s="27"/>
      <c r="UPG40" s="26"/>
      <c r="UPH40" s="27"/>
      <c r="UPI40" s="26"/>
      <c r="UPJ40" s="27"/>
      <c r="UPK40" s="26"/>
      <c r="UPL40" s="27"/>
      <c r="UPM40" s="26"/>
      <c r="UPN40" s="27"/>
      <c r="UPO40" s="26"/>
      <c r="UPP40" s="27"/>
      <c r="UPQ40" s="26"/>
      <c r="UPR40" s="27"/>
      <c r="UPS40" s="26"/>
      <c r="UPT40" s="27"/>
      <c r="UPU40" s="26"/>
      <c r="UPV40" s="27"/>
      <c r="UPW40" s="26"/>
      <c r="UPX40" s="27"/>
      <c r="UPY40" s="26"/>
      <c r="UPZ40" s="27"/>
      <c r="UQA40" s="26"/>
      <c r="UQB40" s="27"/>
      <c r="UQC40" s="26"/>
      <c r="UQD40" s="27"/>
      <c r="UQE40" s="26"/>
      <c r="UQF40" s="27"/>
      <c r="UQG40" s="26"/>
      <c r="UQH40" s="27"/>
      <c r="UQI40" s="26"/>
      <c r="UQJ40" s="27"/>
      <c r="UQK40" s="26"/>
      <c r="UQL40" s="27"/>
      <c r="UQM40" s="26"/>
      <c r="UQN40" s="27"/>
      <c r="UQO40" s="26"/>
      <c r="UQP40" s="27"/>
      <c r="UQQ40" s="26"/>
      <c r="UQR40" s="27"/>
      <c r="UQS40" s="26"/>
      <c r="UQT40" s="27"/>
      <c r="UQU40" s="26"/>
      <c r="UQV40" s="27"/>
      <c r="UQW40" s="26"/>
      <c r="UQX40" s="27"/>
      <c r="UQY40" s="26"/>
      <c r="UQZ40" s="27"/>
      <c r="URA40" s="26"/>
      <c r="URB40" s="27"/>
      <c r="URC40" s="26"/>
      <c r="URD40" s="27"/>
      <c r="URE40" s="26"/>
      <c r="URF40" s="27"/>
      <c r="URG40" s="26"/>
      <c r="URH40" s="27"/>
      <c r="URI40" s="26"/>
      <c r="URJ40" s="27"/>
      <c r="URK40" s="26"/>
      <c r="URL40" s="27"/>
      <c r="URM40" s="26"/>
      <c r="URN40" s="27"/>
      <c r="URO40" s="26"/>
      <c r="URP40" s="27"/>
      <c r="URQ40" s="26"/>
      <c r="URR40" s="27"/>
      <c r="URS40" s="26"/>
      <c r="URT40" s="27"/>
      <c r="URU40" s="26"/>
      <c r="URV40" s="27"/>
      <c r="URW40" s="26"/>
      <c r="URX40" s="27"/>
      <c r="URY40" s="26"/>
      <c r="URZ40" s="27"/>
      <c r="USA40" s="26"/>
      <c r="USB40" s="27"/>
      <c r="USC40" s="26"/>
      <c r="USD40" s="27"/>
      <c r="USE40" s="26"/>
      <c r="USF40" s="27"/>
      <c r="USG40" s="26"/>
      <c r="USH40" s="27"/>
      <c r="USI40" s="26"/>
      <c r="USJ40" s="27"/>
      <c r="USK40" s="26"/>
      <c r="USL40" s="27"/>
      <c r="USM40" s="26"/>
      <c r="USN40" s="27"/>
      <c r="USO40" s="26"/>
      <c r="USP40" s="27"/>
      <c r="USQ40" s="26"/>
      <c r="USR40" s="27"/>
      <c r="USS40" s="26"/>
      <c r="UST40" s="27"/>
      <c r="USU40" s="26"/>
      <c r="USV40" s="27"/>
      <c r="USW40" s="26"/>
      <c r="USX40" s="27"/>
      <c r="USY40" s="26"/>
      <c r="USZ40" s="27"/>
      <c r="UTA40" s="26"/>
      <c r="UTB40" s="27"/>
      <c r="UTC40" s="26"/>
      <c r="UTD40" s="27"/>
      <c r="UTE40" s="26"/>
      <c r="UTF40" s="27"/>
      <c r="UTG40" s="26"/>
      <c r="UTH40" s="27"/>
      <c r="UTI40" s="26"/>
      <c r="UTJ40" s="27"/>
      <c r="UTK40" s="26"/>
      <c r="UTL40" s="27"/>
      <c r="UTM40" s="26"/>
      <c r="UTN40" s="27"/>
      <c r="UTO40" s="26"/>
      <c r="UTP40" s="27"/>
      <c r="UTQ40" s="26"/>
      <c r="UTR40" s="27"/>
      <c r="UTS40" s="26"/>
      <c r="UTT40" s="27"/>
      <c r="UTU40" s="26"/>
      <c r="UTV40" s="27"/>
      <c r="UTW40" s="26"/>
      <c r="UTX40" s="27"/>
      <c r="UTY40" s="26"/>
      <c r="UTZ40" s="27"/>
      <c r="UUA40" s="26"/>
      <c r="UUB40" s="27"/>
      <c r="UUC40" s="26"/>
      <c r="UUD40" s="27"/>
      <c r="UUE40" s="26"/>
      <c r="UUF40" s="27"/>
      <c r="UUG40" s="26"/>
      <c r="UUH40" s="27"/>
      <c r="UUI40" s="26"/>
      <c r="UUJ40" s="27"/>
      <c r="UUK40" s="26"/>
      <c r="UUL40" s="27"/>
      <c r="UUM40" s="26"/>
      <c r="UUN40" s="27"/>
      <c r="UUO40" s="26"/>
      <c r="UUP40" s="27"/>
      <c r="UUQ40" s="26"/>
      <c r="UUR40" s="27"/>
      <c r="UUS40" s="26"/>
      <c r="UUT40" s="27"/>
      <c r="UUU40" s="26"/>
      <c r="UUV40" s="27"/>
      <c r="UUW40" s="26"/>
      <c r="UUX40" s="27"/>
      <c r="UUY40" s="26"/>
      <c r="UUZ40" s="27"/>
      <c r="UVA40" s="26"/>
      <c r="UVB40" s="27"/>
      <c r="UVC40" s="26"/>
      <c r="UVD40" s="27"/>
      <c r="UVE40" s="26"/>
      <c r="UVF40" s="27"/>
      <c r="UVG40" s="26"/>
      <c r="UVH40" s="27"/>
      <c r="UVI40" s="26"/>
      <c r="UVJ40" s="27"/>
      <c r="UVK40" s="26"/>
      <c r="UVL40" s="27"/>
      <c r="UVM40" s="26"/>
      <c r="UVN40" s="27"/>
      <c r="UVO40" s="26"/>
      <c r="UVP40" s="27"/>
      <c r="UVQ40" s="26"/>
      <c r="UVR40" s="27"/>
      <c r="UVS40" s="26"/>
      <c r="UVT40" s="27"/>
      <c r="UVU40" s="26"/>
      <c r="UVV40" s="27"/>
      <c r="UVW40" s="26"/>
      <c r="UVX40" s="27"/>
      <c r="UVY40" s="26"/>
      <c r="UVZ40" s="27"/>
      <c r="UWA40" s="26"/>
      <c r="UWB40" s="27"/>
      <c r="UWC40" s="26"/>
      <c r="UWD40" s="27"/>
      <c r="UWE40" s="26"/>
      <c r="UWF40" s="27"/>
      <c r="UWG40" s="26"/>
      <c r="UWH40" s="27"/>
      <c r="UWI40" s="26"/>
      <c r="UWJ40" s="27"/>
      <c r="UWK40" s="26"/>
      <c r="UWL40" s="27"/>
      <c r="UWM40" s="26"/>
      <c r="UWN40" s="27"/>
      <c r="UWO40" s="26"/>
      <c r="UWP40" s="27"/>
      <c r="UWQ40" s="26"/>
      <c r="UWR40" s="27"/>
      <c r="UWS40" s="26"/>
      <c r="UWT40" s="27"/>
      <c r="UWU40" s="26"/>
      <c r="UWV40" s="27"/>
      <c r="UWW40" s="26"/>
      <c r="UWX40" s="27"/>
      <c r="UWY40" s="26"/>
      <c r="UWZ40" s="27"/>
      <c r="UXA40" s="26"/>
      <c r="UXB40" s="27"/>
      <c r="UXC40" s="26"/>
      <c r="UXD40" s="27"/>
      <c r="UXE40" s="26"/>
      <c r="UXF40" s="27"/>
      <c r="UXG40" s="26"/>
      <c r="UXH40" s="27"/>
      <c r="UXI40" s="26"/>
      <c r="UXJ40" s="27"/>
      <c r="UXK40" s="26"/>
      <c r="UXL40" s="27"/>
      <c r="UXM40" s="26"/>
      <c r="UXN40" s="27"/>
      <c r="UXO40" s="26"/>
      <c r="UXP40" s="27"/>
      <c r="UXQ40" s="26"/>
      <c r="UXR40" s="27"/>
      <c r="UXS40" s="26"/>
      <c r="UXT40" s="27"/>
      <c r="UXU40" s="26"/>
      <c r="UXV40" s="27"/>
      <c r="UXW40" s="26"/>
      <c r="UXX40" s="27"/>
      <c r="UXY40" s="26"/>
      <c r="UXZ40" s="27"/>
      <c r="UYA40" s="26"/>
      <c r="UYB40" s="27"/>
      <c r="UYC40" s="26"/>
      <c r="UYD40" s="27"/>
      <c r="UYE40" s="26"/>
      <c r="UYF40" s="27"/>
      <c r="UYG40" s="26"/>
      <c r="UYH40" s="27"/>
      <c r="UYI40" s="26"/>
      <c r="UYJ40" s="27"/>
      <c r="UYK40" s="26"/>
      <c r="UYL40" s="27"/>
      <c r="UYM40" s="26"/>
      <c r="UYN40" s="27"/>
      <c r="UYO40" s="26"/>
      <c r="UYP40" s="27"/>
      <c r="UYQ40" s="26"/>
      <c r="UYR40" s="27"/>
      <c r="UYS40" s="26"/>
      <c r="UYT40" s="27"/>
      <c r="UYU40" s="26"/>
      <c r="UYV40" s="27"/>
      <c r="UYW40" s="26"/>
      <c r="UYX40" s="27"/>
      <c r="UYY40" s="26"/>
      <c r="UYZ40" s="27"/>
      <c r="UZA40" s="26"/>
      <c r="UZB40" s="27"/>
      <c r="UZC40" s="26"/>
      <c r="UZD40" s="27"/>
      <c r="UZE40" s="26"/>
      <c r="UZF40" s="27"/>
      <c r="UZG40" s="26"/>
      <c r="UZH40" s="27"/>
      <c r="UZI40" s="26"/>
      <c r="UZJ40" s="27"/>
      <c r="UZK40" s="26"/>
      <c r="UZL40" s="27"/>
      <c r="UZM40" s="26"/>
      <c r="UZN40" s="27"/>
      <c r="UZO40" s="26"/>
      <c r="UZP40" s="27"/>
      <c r="UZQ40" s="26"/>
      <c r="UZR40" s="27"/>
      <c r="UZS40" s="26"/>
      <c r="UZT40" s="27"/>
      <c r="UZU40" s="26"/>
      <c r="UZV40" s="27"/>
      <c r="UZW40" s="26"/>
      <c r="UZX40" s="27"/>
      <c r="UZY40" s="26"/>
      <c r="UZZ40" s="27"/>
      <c r="VAA40" s="26"/>
      <c r="VAB40" s="27"/>
      <c r="VAC40" s="26"/>
      <c r="VAD40" s="27"/>
      <c r="VAE40" s="26"/>
      <c r="VAF40" s="27"/>
      <c r="VAG40" s="26"/>
      <c r="VAH40" s="27"/>
      <c r="VAI40" s="26"/>
      <c r="VAJ40" s="27"/>
      <c r="VAK40" s="26"/>
      <c r="VAL40" s="27"/>
      <c r="VAM40" s="26"/>
      <c r="VAN40" s="27"/>
      <c r="VAO40" s="26"/>
      <c r="VAP40" s="27"/>
      <c r="VAQ40" s="26"/>
      <c r="VAR40" s="27"/>
      <c r="VAS40" s="26"/>
      <c r="VAT40" s="27"/>
      <c r="VAU40" s="26"/>
      <c r="VAV40" s="27"/>
      <c r="VAW40" s="26"/>
      <c r="VAX40" s="27"/>
      <c r="VAY40" s="26"/>
      <c r="VAZ40" s="27"/>
      <c r="VBA40" s="26"/>
      <c r="VBB40" s="27"/>
      <c r="VBC40" s="26"/>
      <c r="VBD40" s="27"/>
      <c r="VBE40" s="26"/>
      <c r="VBF40" s="27"/>
      <c r="VBG40" s="26"/>
      <c r="VBH40" s="27"/>
      <c r="VBI40" s="26"/>
      <c r="VBJ40" s="27"/>
      <c r="VBK40" s="26"/>
      <c r="VBL40" s="27"/>
      <c r="VBM40" s="26"/>
      <c r="VBN40" s="27"/>
      <c r="VBO40" s="26"/>
      <c r="VBP40" s="27"/>
      <c r="VBQ40" s="26"/>
      <c r="VBR40" s="27"/>
      <c r="VBS40" s="26"/>
      <c r="VBT40" s="27"/>
      <c r="VBU40" s="26"/>
      <c r="VBV40" s="27"/>
      <c r="VBW40" s="26"/>
      <c r="VBX40" s="27"/>
      <c r="VBY40" s="26"/>
      <c r="VBZ40" s="27"/>
      <c r="VCA40" s="26"/>
      <c r="VCB40" s="27"/>
      <c r="VCC40" s="26"/>
      <c r="VCD40" s="27"/>
      <c r="VCE40" s="26"/>
      <c r="VCF40" s="27"/>
      <c r="VCG40" s="26"/>
      <c r="VCH40" s="27"/>
      <c r="VCI40" s="26"/>
      <c r="VCJ40" s="27"/>
      <c r="VCK40" s="26"/>
      <c r="VCL40" s="27"/>
      <c r="VCM40" s="26"/>
      <c r="VCN40" s="27"/>
      <c r="VCO40" s="26"/>
      <c r="VCP40" s="27"/>
      <c r="VCQ40" s="26"/>
      <c r="VCR40" s="27"/>
      <c r="VCS40" s="26"/>
      <c r="VCT40" s="27"/>
      <c r="VCU40" s="26"/>
      <c r="VCV40" s="27"/>
      <c r="VCW40" s="26"/>
      <c r="VCX40" s="27"/>
      <c r="VCY40" s="26"/>
      <c r="VCZ40" s="27"/>
      <c r="VDA40" s="26"/>
      <c r="VDB40" s="27"/>
      <c r="VDC40" s="26"/>
      <c r="VDD40" s="27"/>
      <c r="VDE40" s="26"/>
      <c r="VDF40" s="27"/>
      <c r="VDG40" s="26"/>
      <c r="VDH40" s="27"/>
      <c r="VDI40" s="26"/>
      <c r="VDJ40" s="27"/>
      <c r="VDK40" s="26"/>
      <c r="VDL40" s="27"/>
      <c r="VDM40" s="26"/>
      <c r="VDN40" s="27"/>
      <c r="VDO40" s="26"/>
      <c r="VDP40" s="27"/>
      <c r="VDQ40" s="26"/>
      <c r="VDR40" s="27"/>
      <c r="VDS40" s="26"/>
      <c r="VDT40" s="27"/>
      <c r="VDU40" s="26"/>
      <c r="VDV40" s="27"/>
      <c r="VDW40" s="26"/>
      <c r="VDX40" s="27"/>
      <c r="VDY40" s="26"/>
      <c r="VDZ40" s="27"/>
      <c r="VEA40" s="26"/>
      <c r="VEB40" s="27"/>
      <c r="VEC40" s="26"/>
      <c r="VED40" s="27"/>
      <c r="VEE40" s="26"/>
      <c r="VEF40" s="27"/>
      <c r="VEG40" s="26"/>
      <c r="VEH40" s="27"/>
      <c r="VEI40" s="26"/>
      <c r="VEJ40" s="27"/>
      <c r="VEK40" s="26"/>
      <c r="VEL40" s="27"/>
      <c r="VEM40" s="26"/>
      <c r="VEN40" s="27"/>
      <c r="VEO40" s="26"/>
      <c r="VEP40" s="27"/>
      <c r="VEQ40" s="26"/>
      <c r="VER40" s="27"/>
      <c r="VES40" s="26"/>
      <c r="VET40" s="27"/>
      <c r="VEU40" s="26"/>
      <c r="VEV40" s="27"/>
      <c r="VEW40" s="26"/>
      <c r="VEX40" s="27"/>
      <c r="VEY40" s="26"/>
      <c r="VEZ40" s="27"/>
      <c r="VFA40" s="26"/>
      <c r="VFB40" s="27"/>
      <c r="VFC40" s="26"/>
      <c r="VFD40" s="27"/>
      <c r="VFE40" s="26"/>
      <c r="VFF40" s="27"/>
      <c r="VFG40" s="26"/>
      <c r="VFH40" s="27"/>
      <c r="VFI40" s="26"/>
      <c r="VFJ40" s="27"/>
      <c r="VFK40" s="26"/>
      <c r="VFL40" s="27"/>
      <c r="VFM40" s="26"/>
      <c r="VFN40" s="27"/>
      <c r="VFO40" s="26"/>
      <c r="VFP40" s="27"/>
      <c r="VFQ40" s="26"/>
      <c r="VFR40" s="27"/>
      <c r="VFS40" s="26"/>
      <c r="VFT40" s="27"/>
      <c r="VFU40" s="26"/>
      <c r="VFV40" s="27"/>
      <c r="VFW40" s="26"/>
      <c r="VFX40" s="27"/>
      <c r="VFY40" s="26"/>
      <c r="VFZ40" s="27"/>
      <c r="VGA40" s="26"/>
      <c r="VGB40" s="27"/>
      <c r="VGC40" s="26"/>
      <c r="VGD40" s="27"/>
      <c r="VGE40" s="26"/>
      <c r="VGF40" s="27"/>
      <c r="VGG40" s="26"/>
      <c r="VGH40" s="27"/>
      <c r="VGI40" s="26"/>
      <c r="VGJ40" s="27"/>
      <c r="VGK40" s="26"/>
      <c r="VGL40" s="27"/>
      <c r="VGM40" s="26"/>
      <c r="VGN40" s="27"/>
      <c r="VGO40" s="26"/>
      <c r="VGP40" s="27"/>
      <c r="VGQ40" s="26"/>
      <c r="VGR40" s="27"/>
      <c r="VGS40" s="26"/>
      <c r="VGT40" s="27"/>
      <c r="VGU40" s="26"/>
      <c r="VGV40" s="27"/>
      <c r="VGW40" s="26"/>
      <c r="VGX40" s="27"/>
      <c r="VGY40" s="26"/>
      <c r="VGZ40" s="27"/>
      <c r="VHA40" s="26"/>
      <c r="VHB40" s="27"/>
      <c r="VHC40" s="26"/>
      <c r="VHD40" s="27"/>
      <c r="VHE40" s="26"/>
      <c r="VHF40" s="27"/>
      <c r="VHG40" s="26"/>
      <c r="VHH40" s="27"/>
      <c r="VHI40" s="26"/>
      <c r="VHJ40" s="27"/>
      <c r="VHK40" s="26"/>
      <c r="VHL40" s="27"/>
      <c r="VHM40" s="26"/>
      <c r="VHN40" s="27"/>
      <c r="VHO40" s="26"/>
      <c r="VHP40" s="27"/>
      <c r="VHQ40" s="26"/>
      <c r="VHR40" s="27"/>
      <c r="VHS40" s="26"/>
      <c r="VHT40" s="27"/>
      <c r="VHU40" s="26"/>
      <c r="VHV40" s="27"/>
      <c r="VHW40" s="26"/>
      <c r="VHX40" s="27"/>
      <c r="VHY40" s="26"/>
      <c r="VHZ40" s="27"/>
      <c r="VIA40" s="26"/>
      <c r="VIB40" s="27"/>
      <c r="VIC40" s="26"/>
      <c r="VID40" s="27"/>
      <c r="VIE40" s="26"/>
      <c r="VIF40" s="27"/>
      <c r="VIG40" s="26"/>
      <c r="VIH40" s="27"/>
      <c r="VII40" s="26"/>
      <c r="VIJ40" s="27"/>
      <c r="VIK40" s="26"/>
      <c r="VIL40" s="27"/>
      <c r="VIM40" s="26"/>
      <c r="VIN40" s="27"/>
      <c r="VIO40" s="26"/>
      <c r="VIP40" s="27"/>
      <c r="VIQ40" s="26"/>
      <c r="VIR40" s="27"/>
      <c r="VIS40" s="26"/>
      <c r="VIT40" s="27"/>
      <c r="VIU40" s="26"/>
      <c r="VIV40" s="27"/>
      <c r="VIW40" s="26"/>
      <c r="VIX40" s="27"/>
      <c r="VIY40" s="26"/>
      <c r="VIZ40" s="27"/>
      <c r="VJA40" s="26"/>
      <c r="VJB40" s="27"/>
      <c r="VJC40" s="26"/>
      <c r="VJD40" s="27"/>
      <c r="VJE40" s="26"/>
      <c r="VJF40" s="27"/>
      <c r="VJG40" s="26"/>
      <c r="VJH40" s="27"/>
      <c r="VJI40" s="26"/>
      <c r="VJJ40" s="27"/>
      <c r="VJK40" s="26"/>
      <c r="VJL40" s="27"/>
      <c r="VJM40" s="26"/>
      <c r="VJN40" s="27"/>
      <c r="VJO40" s="26"/>
      <c r="VJP40" s="27"/>
      <c r="VJQ40" s="26"/>
      <c r="VJR40" s="27"/>
      <c r="VJS40" s="26"/>
      <c r="VJT40" s="27"/>
      <c r="VJU40" s="26"/>
      <c r="VJV40" s="27"/>
      <c r="VJW40" s="26"/>
      <c r="VJX40" s="27"/>
      <c r="VJY40" s="26"/>
      <c r="VJZ40" s="27"/>
      <c r="VKA40" s="26"/>
      <c r="VKB40" s="27"/>
      <c r="VKC40" s="26"/>
      <c r="VKD40" s="27"/>
      <c r="VKE40" s="26"/>
      <c r="VKF40" s="27"/>
      <c r="VKG40" s="26"/>
      <c r="VKH40" s="27"/>
      <c r="VKI40" s="26"/>
      <c r="VKJ40" s="27"/>
      <c r="VKK40" s="26"/>
      <c r="VKL40" s="27"/>
      <c r="VKM40" s="26"/>
      <c r="VKN40" s="27"/>
      <c r="VKO40" s="26"/>
      <c r="VKP40" s="27"/>
      <c r="VKQ40" s="26"/>
      <c r="VKR40" s="27"/>
      <c r="VKS40" s="26"/>
      <c r="VKT40" s="27"/>
      <c r="VKU40" s="26"/>
      <c r="VKV40" s="27"/>
      <c r="VKW40" s="26"/>
      <c r="VKX40" s="27"/>
      <c r="VKY40" s="26"/>
      <c r="VKZ40" s="27"/>
      <c r="VLA40" s="26"/>
      <c r="VLB40" s="27"/>
      <c r="VLC40" s="26"/>
      <c r="VLD40" s="27"/>
      <c r="VLE40" s="26"/>
      <c r="VLF40" s="27"/>
      <c r="VLG40" s="26"/>
      <c r="VLH40" s="27"/>
      <c r="VLI40" s="26"/>
      <c r="VLJ40" s="27"/>
      <c r="VLK40" s="26"/>
      <c r="VLL40" s="27"/>
      <c r="VLM40" s="26"/>
      <c r="VLN40" s="27"/>
      <c r="VLO40" s="26"/>
      <c r="VLP40" s="27"/>
      <c r="VLQ40" s="26"/>
      <c r="VLR40" s="27"/>
      <c r="VLS40" s="26"/>
      <c r="VLT40" s="27"/>
      <c r="VLU40" s="26"/>
      <c r="VLV40" s="27"/>
      <c r="VLW40" s="26"/>
      <c r="VLX40" s="27"/>
      <c r="VLY40" s="26"/>
      <c r="VLZ40" s="27"/>
      <c r="VMA40" s="26"/>
      <c r="VMB40" s="27"/>
      <c r="VMC40" s="26"/>
      <c r="VMD40" s="27"/>
      <c r="VME40" s="26"/>
      <c r="VMF40" s="27"/>
      <c r="VMG40" s="26"/>
      <c r="VMH40" s="27"/>
      <c r="VMI40" s="26"/>
      <c r="VMJ40" s="27"/>
      <c r="VMK40" s="26"/>
      <c r="VML40" s="27"/>
      <c r="VMM40" s="26"/>
      <c r="VMN40" s="27"/>
      <c r="VMO40" s="26"/>
      <c r="VMP40" s="27"/>
      <c r="VMQ40" s="26"/>
      <c r="VMR40" s="27"/>
      <c r="VMS40" s="26"/>
      <c r="VMT40" s="27"/>
      <c r="VMU40" s="26"/>
      <c r="VMV40" s="27"/>
      <c r="VMW40" s="26"/>
      <c r="VMX40" s="27"/>
      <c r="VMY40" s="26"/>
      <c r="VMZ40" s="27"/>
      <c r="VNA40" s="26"/>
      <c r="VNB40" s="27"/>
      <c r="VNC40" s="26"/>
      <c r="VND40" s="27"/>
      <c r="VNE40" s="26"/>
      <c r="VNF40" s="27"/>
      <c r="VNG40" s="26"/>
      <c r="VNH40" s="27"/>
      <c r="VNI40" s="26"/>
      <c r="VNJ40" s="27"/>
      <c r="VNK40" s="26"/>
      <c r="VNL40" s="27"/>
      <c r="VNM40" s="26"/>
      <c r="VNN40" s="27"/>
      <c r="VNO40" s="26"/>
      <c r="VNP40" s="27"/>
      <c r="VNQ40" s="26"/>
      <c r="VNR40" s="27"/>
      <c r="VNS40" s="26"/>
      <c r="VNT40" s="27"/>
      <c r="VNU40" s="26"/>
      <c r="VNV40" s="27"/>
      <c r="VNW40" s="26"/>
      <c r="VNX40" s="27"/>
      <c r="VNY40" s="26"/>
      <c r="VNZ40" s="27"/>
      <c r="VOA40" s="26"/>
      <c r="VOB40" s="27"/>
      <c r="VOC40" s="26"/>
      <c r="VOD40" s="27"/>
      <c r="VOE40" s="26"/>
      <c r="VOF40" s="27"/>
      <c r="VOG40" s="26"/>
      <c r="VOH40" s="27"/>
      <c r="VOI40" s="26"/>
      <c r="VOJ40" s="27"/>
      <c r="VOK40" s="26"/>
      <c r="VOL40" s="27"/>
      <c r="VOM40" s="26"/>
      <c r="VON40" s="27"/>
      <c r="VOO40" s="26"/>
      <c r="VOP40" s="27"/>
      <c r="VOQ40" s="26"/>
      <c r="VOR40" s="27"/>
      <c r="VOS40" s="26"/>
      <c r="VOT40" s="27"/>
      <c r="VOU40" s="26"/>
      <c r="VOV40" s="27"/>
      <c r="VOW40" s="26"/>
      <c r="VOX40" s="27"/>
      <c r="VOY40" s="26"/>
      <c r="VOZ40" s="27"/>
      <c r="VPA40" s="26"/>
      <c r="VPB40" s="27"/>
      <c r="VPC40" s="26"/>
      <c r="VPD40" s="27"/>
      <c r="VPE40" s="26"/>
      <c r="VPF40" s="27"/>
      <c r="VPG40" s="26"/>
      <c r="VPH40" s="27"/>
      <c r="VPI40" s="26"/>
      <c r="VPJ40" s="27"/>
      <c r="VPK40" s="26"/>
      <c r="VPL40" s="27"/>
      <c r="VPM40" s="26"/>
      <c r="VPN40" s="27"/>
      <c r="VPO40" s="26"/>
      <c r="VPP40" s="27"/>
      <c r="VPQ40" s="26"/>
      <c r="VPR40" s="27"/>
      <c r="VPS40" s="26"/>
      <c r="VPT40" s="27"/>
      <c r="VPU40" s="26"/>
      <c r="VPV40" s="27"/>
      <c r="VPW40" s="26"/>
      <c r="VPX40" s="27"/>
      <c r="VPY40" s="26"/>
      <c r="VPZ40" s="27"/>
      <c r="VQA40" s="26"/>
      <c r="VQB40" s="27"/>
      <c r="VQC40" s="26"/>
      <c r="VQD40" s="27"/>
      <c r="VQE40" s="26"/>
      <c r="VQF40" s="27"/>
      <c r="VQG40" s="26"/>
      <c r="VQH40" s="27"/>
      <c r="VQI40" s="26"/>
      <c r="VQJ40" s="27"/>
      <c r="VQK40" s="26"/>
      <c r="VQL40" s="27"/>
      <c r="VQM40" s="26"/>
      <c r="VQN40" s="27"/>
      <c r="VQO40" s="26"/>
      <c r="VQP40" s="27"/>
      <c r="VQQ40" s="26"/>
      <c r="VQR40" s="27"/>
      <c r="VQS40" s="26"/>
      <c r="VQT40" s="27"/>
      <c r="VQU40" s="26"/>
      <c r="VQV40" s="27"/>
      <c r="VQW40" s="26"/>
      <c r="VQX40" s="27"/>
      <c r="VQY40" s="26"/>
      <c r="VQZ40" s="27"/>
      <c r="VRA40" s="26"/>
      <c r="VRB40" s="27"/>
      <c r="VRC40" s="26"/>
      <c r="VRD40" s="27"/>
      <c r="VRE40" s="26"/>
      <c r="VRF40" s="27"/>
      <c r="VRG40" s="26"/>
      <c r="VRH40" s="27"/>
      <c r="VRI40" s="26"/>
      <c r="VRJ40" s="27"/>
      <c r="VRK40" s="26"/>
      <c r="VRL40" s="27"/>
      <c r="VRM40" s="26"/>
      <c r="VRN40" s="27"/>
      <c r="VRO40" s="26"/>
      <c r="VRP40" s="27"/>
      <c r="VRQ40" s="26"/>
      <c r="VRR40" s="27"/>
      <c r="VRS40" s="26"/>
      <c r="VRT40" s="27"/>
      <c r="VRU40" s="26"/>
      <c r="VRV40" s="27"/>
      <c r="VRW40" s="26"/>
      <c r="VRX40" s="27"/>
      <c r="VRY40" s="26"/>
      <c r="VRZ40" s="27"/>
      <c r="VSA40" s="26"/>
      <c r="VSB40" s="27"/>
      <c r="VSC40" s="26"/>
      <c r="VSD40" s="27"/>
      <c r="VSE40" s="26"/>
      <c r="VSF40" s="27"/>
      <c r="VSG40" s="26"/>
      <c r="VSH40" s="27"/>
      <c r="VSI40" s="26"/>
      <c r="VSJ40" s="27"/>
      <c r="VSK40" s="26"/>
      <c r="VSL40" s="27"/>
      <c r="VSM40" s="26"/>
      <c r="VSN40" s="27"/>
      <c r="VSO40" s="26"/>
      <c r="VSP40" s="27"/>
      <c r="VSQ40" s="26"/>
      <c r="VSR40" s="27"/>
      <c r="VSS40" s="26"/>
      <c r="VST40" s="27"/>
      <c r="VSU40" s="26"/>
      <c r="VSV40" s="27"/>
      <c r="VSW40" s="26"/>
      <c r="VSX40" s="27"/>
      <c r="VSY40" s="26"/>
      <c r="VSZ40" s="27"/>
      <c r="VTA40" s="26"/>
      <c r="VTB40" s="27"/>
      <c r="VTC40" s="26"/>
      <c r="VTD40" s="27"/>
      <c r="VTE40" s="26"/>
      <c r="VTF40" s="27"/>
      <c r="VTG40" s="26"/>
      <c r="VTH40" s="27"/>
      <c r="VTI40" s="26"/>
      <c r="VTJ40" s="27"/>
      <c r="VTK40" s="26"/>
      <c r="VTL40" s="27"/>
      <c r="VTM40" s="26"/>
      <c r="VTN40" s="27"/>
      <c r="VTO40" s="26"/>
      <c r="VTP40" s="27"/>
      <c r="VTQ40" s="26"/>
      <c r="VTR40" s="27"/>
      <c r="VTS40" s="26"/>
      <c r="VTT40" s="27"/>
      <c r="VTU40" s="26"/>
      <c r="VTV40" s="27"/>
      <c r="VTW40" s="26"/>
      <c r="VTX40" s="27"/>
      <c r="VTY40" s="26"/>
      <c r="VTZ40" s="27"/>
      <c r="VUA40" s="26"/>
      <c r="VUB40" s="27"/>
      <c r="VUC40" s="26"/>
      <c r="VUD40" s="27"/>
      <c r="VUE40" s="26"/>
      <c r="VUF40" s="27"/>
      <c r="VUG40" s="26"/>
      <c r="VUH40" s="27"/>
      <c r="VUI40" s="26"/>
      <c r="VUJ40" s="27"/>
      <c r="VUK40" s="26"/>
      <c r="VUL40" s="27"/>
      <c r="VUM40" s="26"/>
      <c r="VUN40" s="27"/>
      <c r="VUO40" s="26"/>
      <c r="VUP40" s="27"/>
      <c r="VUQ40" s="26"/>
      <c r="VUR40" s="27"/>
      <c r="VUS40" s="26"/>
      <c r="VUT40" s="27"/>
      <c r="VUU40" s="26"/>
      <c r="VUV40" s="27"/>
      <c r="VUW40" s="26"/>
      <c r="VUX40" s="27"/>
      <c r="VUY40" s="26"/>
      <c r="VUZ40" s="27"/>
      <c r="VVA40" s="26"/>
      <c r="VVB40" s="27"/>
      <c r="VVC40" s="26"/>
      <c r="VVD40" s="27"/>
      <c r="VVE40" s="26"/>
      <c r="VVF40" s="27"/>
      <c r="VVG40" s="26"/>
      <c r="VVH40" s="27"/>
      <c r="VVI40" s="26"/>
      <c r="VVJ40" s="27"/>
      <c r="VVK40" s="26"/>
      <c r="VVL40" s="27"/>
      <c r="VVM40" s="26"/>
      <c r="VVN40" s="27"/>
      <c r="VVO40" s="26"/>
      <c r="VVP40" s="27"/>
      <c r="VVQ40" s="26"/>
      <c r="VVR40" s="27"/>
      <c r="VVS40" s="26"/>
      <c r="VVT40" s="27"/>
      <c r="VVU40" s="26"/>
      <c r="VVV40" s="27"/>
      <c r="VVW40" s="26"/>
      <c r="VVX40" s="27"/>
      <c r="VVY40" s="26"/>
      <c r="VVZ40" s="27"/>
      <c r="VWA40" s="26"/>
      <c r="VWB40" s="27"/>
      <c r="VWC40" s="26"/>
      <c r="VWD40" s="27"/>
      <c r="VWE40" s="26"/>
      <c r="VWF40" s="27"/>
      <c r="VWG40" s="26"/>
      <c r="VWH40" s="27"/>
      <c r="VWI40" s="26"/>
      <c r="VWJ40" s="27"/>
      <c r="VWK40" s="26"/>
      <c r="VWL40" s="27"/>
      <c r="VWM40" s="26"/>
      <c r="VWN40" s="27"/>
      <c r="VWO40" s="26"/>
      <c r="VWP40" s="27"/>
      <c r="VWQ40" s="26"/>
      <c r="VWR40" s="27"/>
      <c r="VWS40" s="26"/>
      <c r="VWT40" s="27"/>
      <c r="VWU40" s="26"/>
      <c r="VWV40" s="27"/>
      <c r="VWW40" s="26"/>
      <c r="VWX40" s="27"/>
      <c r="VWY40" s="26"/>
      <c r="VWZ40" s="27"/>
      <c r="VXA40" s="26"/>
      <c r="VXB40" s="27"/>
      <c r="VXC40" s="26"/>
      <c r="VXD40" s="27"/>
      <c r="VXE40" s="26"/>
      <c r="VXF40" s="27"/>
      <c r="VXG40" s="26"/>
      <c r="VXH40" s="27"/>
      <c r="VXI40" s="26"/>
      <c r="VXJ40" s="27"/>
      <c r="VXK40" s="26"/>
      <c r="VXL40" s="27"/>
      <c r="VXM40" s="26"/>
      <c r="VXN40" s="27"/>
      <c r="VXO40" s="26"/>
      <c r="VXP40" s="27"/>
      <c r="VXQ40" s="26"/>
      <c r="VXR40" s="27"/>
      <c r="VXS40" s="26"/>
      <c r="VXT40" s="27"/>
      <c r="VXU40" s="26"/>
      <c r="VXV40" s="27"/>
      <c r="VXW40" s="26"/>
      <c r="VXX40" s="27"/>
      <c r="VXY40" s="26"/>
      <c r="VXZ40" s="27"/>
      <c r="VYA40" s="26"/>
      <c r="VYB40" s="27"/>
      <c r="VYC40" s="26"/>
      <c r="VYD40" s="27"/>
      <c r="VYE40" s="26"/>
      <c r="VYF40" s="27"/>
      <c r="VYG40" s="26"/>
      <c r="VYH40" s="27"/>
      <c r="VYI40" s="26"/>
      <c r="VYJ40" s="27"/>
      <c r="VYK40" s="26"/>
      <c r="VYL40" s="27"/>
      <c r="VYM40" s="26"/>
      <c r="VYN40" s="27"/>
      <c r="VYO40" s="26"/>
      <c r="VYP40" s="27"/>
      <c r="VYQ40" s="26"/>
      <c r="VYR40" s="27"/>
      <c r="VYS40" s="26"/>
      <c r="VYT40" s="27"/>
      <c r="VYU40" s="26"/>
      <c r="VYV40" s="27"/>
      <c r="VYW40" s="26"/>
      <c r="VYX40" s="27"/>
      <c r="VYY40" s="26"/>
      <c r="VYZ40" s="27"/>
      <c r="VZA40" s="26"/>
      <c r="VZB40" s="27"/>
      <c r="VZC40" s="26"/>
      <c r="VZD40" s="27"/>
      <c r="VZE40" s="26"/>
      <c r="VZF40" s="27"/>
      <c r="VZG40" s="26"/>
      <c r="VZH40" s="27"/>
      <c r="VZI40" s="26"/>
      <c r="VZJ40" s="27"/>
      <c r="VZK40" s="26"/>
      <c r="VZL40" s="27"/>
      <c r="VZM40" s="26"/>
      <c r="VZN40" s="27"/>
      <c r="VZO40" s="26"/>
      <c r="VZP40" s="27"/>
      <c r="VZQ40" s="26"/>
      <c r="VZR40" s="27"/>
      <c r="VZS40" s="26"/>
      <c r="VZT40" s="27"/>
      <c r="VZU40" s="26"/>
      <c r="VZV40" s="27"/>
      <c r="VZW40" s="26"/>
      <c r="VZX40" s="27"/>
      <c r="VZY40" s="26"/>
      <c r="VZZ40" s="27"/>
      <c r="WAA40" s="26"/>
      <c r="WAB40" s="27"/>
      <c r="WAC40" s="26"/>
      <c r="WAD40" s="27"/>
      <c r="WAE40" s="26"/>
      <c r="WAF40" s="27"/>
      <c r="WAG40" s="26"/>
      <c r="WAH40" s="27"/>
      <c r="WAI40" s="26"/>
      <c r="WAJ40" s="27"/>
      <c r="WAK40" s="26"/>
      <c r="WAL40" s="27"/>
      <c r="WAM40" s="26"/>
      <c r="WAN40" s="27"/>
      <c r="WAO40" s="26"/>
      <c r="WAP40" s="27"/>
      <c r="WAQ40" s="26"/>
      <c r="WAR40" s="27"/>
      <c r="WAS40" s="26"/>
      <c r="WAT40" s="27"/>
      <c r="WAU40" s="26"/>
      <c r="WAV40" s="27"/>
      <c r="WAW40" s="26"/>
      <c r="WAX40" s="27"/>
      <c r="WAY40" s="26"/>
      <c r="WAZ40" s="27"/>
      <c r="WBA40" s="26"/>
      <c r="WBB40" s="27"/>
      <c r="WBC40" s="26"/>
      <c r="WBD40" s="27"/>
      <c r="WBE40" s="26"/>
      <c r="WBF40" s="27"/>
      <c r="WBG40" s="26"/>
      <c r="WBH40" s="27"/>
      <c r="WBI40" s="26"/>
      <c r="WBJ40" s="27"/>
      <c r="WBK40" s="26"/>
      <c r="WBL40" s="27"/>
      <c r="WBM40" s="26"/>
      <c r="WBN40" s="27"/>
      <c r="WBO40" s="26"/>
      <c r="WBP40" s="27"/>
      <c r="WBQ40" s="26"/>
      <c r="WBR40" s="27"/>
      <c r="WBS40" s="26"/>
      <c r="WBT40" s="27"/>
      <c r="WBU40" s="26"/>
      <c r="WBV40" s="27"/>
      <c r="WBW40" s="26"/>
      <c r="WBX40" s="27"/>
      <c r="WBY40" s="26"/>
      <c r="WBZ40" s="27"/>
      <c r="WCA40" s="26"/>
      <c r="WCB40" s="27"/>
      <c r="WCC40" s="26"/>
      <c r="WCD40" s="27"/>
      <c r="WCE40" s="26"/>
      <c r="WCF40" s="27"/>
      <c r="WCG40" s="26"/>
      <c r="WCH40" s="27"/>
      <c r="WCI40" s="26"/>
      <c r="WCJ40" s="27"/>
      <c r="WCK40" s="26"/>
      <c r="WCL40" s="27"/>
      <c r="WCM40" s="26"/>
      <c r="WCN40" s="27"/>
      <c r="WCO40" s="26"/>
      <c r="WCP40" s="27"/>
      <c r="WCQ40" s="26"/>
      <c r="WCR40" s="27"/>
      <c r="WCS40" s="26"/>
      <c r="WCT40" s="27"/>
      <c r="WCU40" s="26"/>
      <c r="WCV40" s="27"/>
      <c r="WCW40" s="26"/>
      <c r="WCX40" s="27"/>
      <c r="WCY40" s="26"/>
      <c r="WCZ40" s="27"/>
      <c r="WDA40" s="26"/>
      <c r="WDB40" s="27"/>
      <c r="WDC40" s="26"/>
      <c r="WDD40" s="27"/>
      <c r="WDE40" s="26"/>
      <c r="WDF40" s="27"/>
      <c r="WDG40" s="26"/>
      <c r="WDH40" s="27"/>
      <c r="WDI40" s="26"/>
      <c r="WDJ40" s="27"/>
      <c r="WDK40" s="26"/>
      <c r="WDL40" s="27"/>
      <c r="WDM40" s="26"/>
      <c r="WDN40" s="27"/>
      <c r="WDO40" s="26"/>
      <c r="WDP40" s="27"/>
      <c r="WDQ40" s="26"/>
      <c r="WDR40" s="27"/>
      <c r="WDS40" s="26"/>
      <c r="WDT40" s="27"/>
      <c r="WDU40" s="26"/>
      <c r="WDV40" s="27"/>
      <c r="WDW40" s="26"/>
      <c r="WDX40" s="27"/>
      <c r="WDY40" s="26"/>
      <c r="WDZ40" s="27"/>
      <c r="WEA40" s="26"/>
      <c r="WEB40" s="27"/>
      <c r="WEC40" s="26"/>
      <c r="WED40" s="27"/>
      <c r="WEE40" s="26"/>
      <c r="WEF40" s="27"/>
      <c r="WEG40" s="26"/>
      <c r="WEH40" s="27"/>
      <c r="WEI40" s="26"/>
      <c r="WEJ40" s="27"/>
      <c r="WEK40" s="26"/>
      <c r="WEL40" s="27"/>
      <c r="WEM40" s="26"/>
      <c r="WEN40" s="27"/>
      <c r="WEO40" s="26"/>
      <c r="WEP40" s="27"/>
      <c r="WEQ40" s="26"/>
      <c r="WER40" s="27"/>
      <c r="WES40" s="26"/>
      <c r="WET40" s="27"/>
      <c r="WEU40" s="26"/>
      <c r="WEV40" s="27"/>
      <c r="WEW40" s="26"/>
      <c r="WEX40" s="27"/>
      <c r="WEY40" s="26"/>
      <c r="WEZ40" s="27"/>
      <c r="WFA40" s="26"/>
      <c r="WFB40" s="27"/>
      <c r="WFC40" s="26"/>
      <c r="WFD40" s="27"/>
      <c r="WFE40" s="26"/>
      <c r="WFF40" s="27"/>
      <c r="WFG40" s="26"/>
      <c r="WFH40" s="27"/>
      <c r="WFI40" s="26"/>
      <c r="WFJ40" s="27"/>
      <c r="WFK40" s="26"/>
      <c r="WFL40" s="27"/>
      <c r="WFM40" s="26"/>
      <c r="WFN40" s="27"/>
      <c r="WFO40" s="26"/>
      <c r="WFP40" s="27"/>
      <c r="WFQ40" s="26"/>
      <c r="WFR40" s="27"/>
      <c r="WFS40" s="26"/>
      <c r="WFT40" s="27"/>
      <c r="WFU40" s="26"/>
      <c r="WFV40" s="27"/>
      <c r="WFW40" s="26"/>
      <c r="WFX40" s="27"/>
      <c r="WFY40" s="26"/>
      <c r="WFZ40" s="27"/>
      <c r="WGA40" s="26"/>
      <c r="WGB40" s="27"/>
      <c r="WGC40" s="26"/>
      <c r="WGD40" s="27"/>
      <c r="WGE40" s="26"/>
      <c r="WGF40" s="27"/>
      <c r="WGG40" s="26"/>
      <c r="WGH40" s="27"/>
      <c r="WGI40" s="26"/>
      <c r="WGJ40" s="27"/>
      <c r="WGK40" s="26"/>
      <c r="WGL40" s="27"/>
      <c r="WGM40" s="26"/>
      <c r="WGN40" s="27"/>
      <c r="WGO40" s="26"/>
      <c r="WGP40" s="27"/>
      <c r="WGQ40" s="26"/>
      <c r="WGR40" s="27"/>
      <c r="WGS40" s="26"/>
      <c r="WGT40" s="27"/>
      <c r="WGU40" s="26"/>
      <c r="WGV40" s="27"/>
      <c r="WGW40" s="26"/>
      <c r="WGX40" s="27"/>
      <c r="WGY40" s="26"/>
      <c r="WGZ40" s="27"/>
      <c r="WHA40" s="26"/>
      <c r="WHB40" s="27"/>
      <c r="WHC40" s="26"/>
      <c r="WHD40" s="27"/>
      <c r="WHE40" s="26"/>
      <c r="WHF40" s="27"/>
      <c r="WHG40" s="26"/>
      <c r="WHH40" s="27"/>
      <c r="WHI40" s="26"/>
      <c r="WHJ40" s="27"/>
      <c r="WHK40" s="26"/>
      <c r="WHL40" s="27"/>
      <c r="WHM40" s="26"/>
      <c r="WHN40" s="27"/>
      <c r="WHO40" s="26"/>
      <c r="WHP40" s="27"/>
      <c r="WHQ40" s="26"/>
      <c r="WHR40" s="27"/>
      <c r="WHS40" s="26"/>
      <c r="WHT40" s="27"/>
      <c r="WHU40" s="26"/>
      <c r="WHV40" s="27"/>
      <c r="WHW40" s="26"/>
      <c r="WHX40" s="27"/>
      <c r="WHY40" s="26"/>
      <c r="WHZ40" s="27"/>
      <c r="WIA40" s="26"/>
      <c r="WIB40" s="27"/>
      <c r="WIC40" s="26"/>
      <c r="WID40" s="27"/>
      <c r="WIE40" s="26"/>
      <c r="WIF40" s="27"/>
      <c r="WIG40" s="26"/>
      <c r="WIH40" s="27"/>
      <c r="WII40" s="26"/>
      <c r="WIJ40" s="27"/>
      <c r="WIK40" s="26"/>
      <c r="WIL40" s="27"/>
      <c r="WIM40" s="26"/>
      <c r="WIN40" s="27"/>
      <c r="WIO40" s="26"/>
      <c r="WIP40" s="27"/>
      <c r="WIQ40" s="26"/>
      <c r="WIR40" s="27"/>
      <c r="WIS40" s="26"/>
      <c r="WIT40" s="27"/>
      <c r="WIU40" s="26"/>
      <c r="WIV40" s="27"/>
      <c r="WIW40" s="26"/>
      <c r="WIX40" s="27"/>
      <c r="WIY40" s="26"/>
      <c r="WIZ40" s="27"/>
      <c r="WJA40" s="26"/>
      <c r="WJB40" s="27"/>
      <c r="WJC40" s="26"/>
      <c r="WJD40" s="27"/>
      <c r="WJE40" s="26"/>
      <c r="WJF40" s="27"/>
      <c r="WJG40" s="26"/>
      <c r="WJH40" s="27"/>
      <c r="WJI40" s="26"/>
      <c r="WJJ40" s="27"/>
      <c r="WJK40" s="26"/>
      <c r="WJL40" s="27"/>
      <c r="WJM40" s="26"/>
      <c r="WJN40" s="27"/>
      <c r="WJO40" s="26"/>
      <c r="WJP40" s="27"/>
      <c r="WJQ40" s="26"/>
      <c r="WJR40" s="27"/>
      <c r="WJS40" s="26"/>
      <c r="WJT40" s="27"/>
      <c r="WJU40" s="26"/>
      <c r="WJV40" s="27"/>
      <c r="WJW40" s="26"/>
      <c r="WJX40" s="27"/>
      <c r="WJY40" s="26"/>
      <c r="WJZ40" s="27"/>
      <c r="WKA40" s="26"/>
      <c r="WKB40" s="27"/>
      <c r="WKC40" s="26"/>
      <c r="WKD40" s="27"/>
      <c r="WKE40" s="26"/>
      <c r="WKF40" s="27"/>
      <c r="WKG40" s="26"/>
      <c r="WKH40" s="27"/>
      <c r="WKI40" s="26"/>
      <c r="WKJ40" s="27"/>
      <c r="WKK40" s="26"/>
      <c r="WKL40" s="27"/>
      <c r="WKM40" s="26"/>
      <c r="WKN40" s="27"/>
      <c r="WKO40" s="26"/>
      <c r="WKP40" s="27"/>
      <c r="WKQ40" s="26"/>
      <c r="WKR40" s="27"/>
      <c r="WKS40" s="26"/>
      <c r="WKT40" s="27"/>
      <c r="WKU40" s="26"/>
      <c r="WKV40" s="27"/>
      <c r="WKW40" s="26"/>
      <c r="WKX40" s="27"/>
      <c r="WKY40" s="26"/>
      <c r="WKZ40" s="27"/>
      <c r="WLA40" s="26"/>
      <c r="WLB40" s="27"/>
      <c r="WLC40" s="26"/>
      <c r="WLD40" s="27"/>
      <c r="WLE40" s="26"/>
      <c r="WLF40" s="27"/>
      <c r="WLG40" s="26"/>
      <c r="WLH40" s="27"/>
      <c r="WLI40" s="26"/>
      <c r="WLJ40" s="27"/>
      <c r="WLK40" s="26"/>
      <c r="WLL40" s="27"/>
      <c r="WLM40" s="26"/>
      <c r="WLN40" s="27"/>
      <c r="WLO40" s="26"/>
      <c r="WLP40" s="27"/>
      <c r="WLQ40" s="26"/>
      <c r="WLR40" s="27"/>
      <c r="WLS40" s="26"/>
      <c r="WLT40" s="27"/>
      <c r="WLU40" s="26"/>
      <c r="WLV40" s="27"/>
      <c r="WLW40" s="26"/>
      <c r="WLX40" s="27"/>
      <c r="WLY40" s="26"/>
      <c r="WLZ40" s="27"/>
      <c r="WMA40" s="26"/>
      <c r="WMB40" s="27"/>
      <c r="WMC40" s="26"/>
      <c r="WMD40" s="27"/>
      <c r="WME40" s="26"/>
      <c r="WMF40" s="27"/>
      <c r="WMG40" s="26"/>
      <c r="WMH40" s="27"/>
      <c r="WMI40" s="26"/>
      <c r="WMJ40" s="27"/>
      <c r="WMK40" s="26"/>
      <c r="WML40" s="27"/>
      <c r="WMM40" s="26"/>
      <c r="WMN40" s="27"/>
      <c r="WMO40" s="26"/>
      <c r="WMP40" s="27"/>
      <c r="WMQ40" s="26"/>
      <c r="WMR40" s="27"/>
      <c r="WMS40" s="26"/>
      <c r="WMT40" s="27"/>
      <c r="WMU40" s="26"/>
      <c r="WMV40" s="27"/>
      <c r="WMW40" s="26"/>
      <c r="WMX40" s="27"/>
      <c r="WMY40" s="26"/>
      <c r="WMZ40" s="27"/>
      <c r="WNA40" s="26"/>
      <c r="WNB40" s="27"/>
      <c r="WNC40" s="26"/>
      <c r="WND40" s="27"/>
      <c r="WNE40" s="26"/>
      <c r="WNF40" s="27"/>
      <c r="WNG40" s="26"/>
      <c r="WNH40" s="27"/>
      <c r="WNI40" s="26"/>
      <c r="WNJ40" s="27"/>
      <c r="WNK40" s="26"/>
      <c r="WNL40" s="27"/>
      <c r="WNM40" s="26"/>
      <c r="WNN40" s="27"/>
      <c r="WNO40" s="26"/>
      <c r="WNP40" s="27"/>
      <c r="WNQ40" s="26"/>
      <c r="WNR40" s="27"/>
      <c r="WNS40" s="26"/>
      <c r="WNT40" s="27"/>
      <c r="WNU40" s="26"/>
      <c r="WNV40" s="27"/>
      <c r="WNW40" s="26"/>
      <c r="WNX40" s="27"/>
      <c r="WNY40" s="26"/>
      <c r="WNZ40" s="27"/>
      <c r="WOA40" s="26"/>
      <c r="WOB40" s="27"/>
      <c r="WOC40" s="26"/>
      <c r="WOD40" s="27"/>
      <c r="WOE40" s="26"/>
      <c r="WOF40" s="27"/>
      <c r="WOG40" s="26"/>
      <c r="WOH40" s="27"/>
      <c r="WOI40" s="26"/>
      <c r="WOJ40" s="27"/>
      <c r="WOK40" s="26"/>
      <c r="WOL40" s="27"/>
      <c r="WOM40" s="26"/>
      <c r="WON40" s="27"/>
      <c r="WOO40" s="26"/>
      <c r="WOP40" s="27"/>
      <c r="WOQ40" s="26"/>
      <c r="WOR40" s="27"/>
      <c r="WOS40" s="26"/>
      <c r="WOT40" s="27"/>
      <c r="WOU40" s="26"/>
      <c r="WOV40" s="27"/>
      <c r="WOW40" s="26"/>
      <c r="WOX40" s="27"/>
      <c r="WOY40" s="26"/>
      <c r="WOZ40" s="27"/>
      <c r="WPA40" s="26"/>
      <c r="WPB40" s="27"/>
      <c r="WPC40" s="26"/>
      <c r="WPD40" s="27"/>
      <c r="WPE40" s="26"/>
      <c r="WPF40" s="27"/>
      <c r="WPG40" s="26"/>
      <c r="WPH40" s="27"/>
      <c r="WPI40" s="26"/>
      <c r="WPJ40" s="27"/>
      <c r="WPK40" s="26"/>
      <c r="WPL40" s="27"/>
      <c r="WPM40" s="26"/>
      <c r="WPN40" s="27"/>
      <c r="WPO40" s="26"/>
      <c r="WPP40" s="27"/>
      <c r="WPQ40" s="26"/>
      <c r="WPR40" s="27"/>
      <c r="WPS40" s="26"/>
      <c r="WPT40" s="27"/>
      <c r="WPU40" s="26"/>
      <c r="WPV40" s="27"/>
      <c r="WPW40" s="26"/>
      <c r="WPX40" s="27"/>
      <c r="WPY40" s="26"/>
      <c r="WPZ40" s="27"/>
      <c r="WQA40" s="26"/>
      <c r="WQB40" s="27"/>
      <c r="WQC40" s="26"/>
      <c r="WQD40" s="27"/>
      <c r="WQE40" s="26"/>
      <c r="WQF40" s="27"/>
      <c r="WQG40" s="26"/>
      <c r="WQH40" s="27"/>
      <c r="WQI40" s="26"/>
      <c r="WQJ40" s="27"/>
      <c r="WQK40" s="26"/>
      <c r="WQL40" s="27"/>
      <c r="WQM40" s="26"/>
      <c r="WQN40" s="27"/>
      <c r="WQO40" s="26"/>
      <c r="WQP40" s="27"/>
      <c r="WQQ40" s="26"/>
      <c r="WQR40" s="27"/>
      <c r="WQS40" s="26"/>
      <c r="WQT40" s="27"/>
      <c r="WQU40" s="26"/>
      <c r="WQV40" s="27"/>
      <c r="WQW40" s="26"/>
      <c r="WQX40" s="27"/>
      <c r="WQY40" s="26"/>
      <c r="WQZ40" s="27"/>
      <c r="WRA40" s="26"/>
      <c r="WRB40" s="27"/>
      <c r="WRC40" s="26"/>
      <c r="WRD40" s="27"/>
      <c r="WRE40" s="26"/>
      <c r="WRF40" s="27"/>
      <c r="WRG40" s="26"/>
      <c r="WRH40" s="27"/>
      <c r="WRI40" s="26"/>
      <c r="WRJ40" s="27"/>
      <c r="WRK40" s="26"/>
      <c r="WRL40" s="27"/>
      <c r="WRM40" s="26"/>
      <c r="WRN40" s="27"/>
      <c r="WRO40" s="26"/>
      <c r="WRP40" s="27"/>
      <c r="WRQ40" s="26"/>
      <c r="WRR40" s="27"/>
      <c r="WRS40" s="26"/>
      <c r="WRT40" s="27"/>
      <c r="WRU40" s="26"/>
      <c r="WRV40" s="27"/>
      <c r="WRW40" s="26"/>
      <c r="WRX40" s="27"/>
      <c r="WRY40" s="26"/>
      <c r="WRZ40" s="27"/>
      <c r="WSA40" s="26"/>
      <c r="WSB40" s="27"/>
      <c r="WSC40" s="26"/>
      <c r="WSD40" s="27"/>
      <c r="WSE40" s="26"/>
      <c r="WSF40" s="27"/>
      <c r="WSG40" s="26"/>
      <c r="WSH40" s="27"/>
      <c r="WSI40" s="26"/>
      <c r="WSJ40" s="27"/>
      <c r="WSK40" s="26"/>
      <c r="WSL40" s="27"/>
      <c r="WSM40" s="26"/>
      <c r="WSN40" s="27"/>
      <c r="WSO40" s="26"/>
      <c r="WSP40" s="27"/>
      <c r="WSQ40" s="26"/>
      <c r="WSR40" s="27"/>
      <c r="WSS40" s="26"/>
      <c r="WST40" s="27"/>
      <c r="WSU40" s="26"/>
      <c r="WSV40" s="27"/>
      <c r="WSW40" s="26"/>
      <c r="WSX40" s="27"/>
      <c r="WSY40" s="26"/>
      <c r="WSZ40" s="27"/>
      <c r="WTA40" s="26"/>
      <c r="WTB40" s="27"/>
      <c r="WTC40" s="26"/>
      <c r="WTD40" s="27"/>
      <c r="WTE40" s="26"/>
      <c r="WTF40" s="27"/>
      <c r="WTG40" s="26"/>
      <c r="WTH40" s="27"/>
      <c r="WTI40" s="26"/>
      <c r="WTJ40" s="27"/>
      <c r="WTK40" s="26"/>
      <c r="WTL40" s="27"/>
      <c r="WTM40" s="26"/>
      <c r="WTN40" s="27"/>
      <c r="WTO40" s="26"/>
      <c r="WTP40" s="27"/>
      <c r="WTQ40" s="26"/>
      <c r="WTR40" s="27"/>
      <c r="WTS40" s="26"/>
      <c r="WTT40" s="27"/>
      <c r="WTU40" s="26"/>
      <c r="WTV40" s="27"/>
      <c r="WTW40" s="26"/>
      <c r="WTX40" s="27"/>
      <c r="WTY40" s="26"/>
      <c r="WTZ40" s="27"/>
      <c r="WUA40" s="26"/>
      <c r="WUB40" s="27"/>
      <c r="WUC40" s="26"/>
      <c r="WUD40" s="27"/>
      <c r="WUE40" s="26"/>
      <c r="WUF40" s="27"/>
      <c r="WUG40" s="26"/>
      <c r="WUH40" s="27"/>
      <c r="WUI40" s="26"/>
      <c r="WUJ40" s="27"/>
      <c r="WUK40" s="26"/>
      <c r="WUL40" s="27"/>
      <c r="WUM40" s="26"/>
      <c r="WUN40" s="27"/>
      <c r="WUO40" s="26"/>
      <c r="WUP40" s="27"/>
      <c r="WUQ40" s="26"/>
      <c r="WUR40" s="27"/>
      <c r="WUS40" s="26"/>
      <c r="WUT40" s="27"/>
      <c r="WUU40" s="26"/>
      <c r="WUV40" s="27"/>
      <c r="WUW40" s="26"/>
      <c r="WUX40" s="27"/>
      <c r="WUY40" s="26"/>
      <c r="WUZ40" s="27"/>
      <c r="WVA40" s="26"/>
      <c r="WVB40" s="27"/>
      <c r="WVC40" s="26"/>
      <c r="WVD40" s="27"/>
      <c r="WVE40" s="26"/>
      <c r="WVF40" s="27"/>
      <c r="WVG40" s="26"/>
      <c r="WVH40" s="27"/>
      <c r="WVI40" s="26"/>
      <c r="WVJ40" s="27"/>
      <c r="WVK40" s="26"/>
      <c r="WVL40" s="27"/>
      <c r="WVM40" s="26"/>
      <c r="WVN40" s="27"/>
      <c r="WVO40" s="26"/>
      <c r="WVP40" s="27"/>
      <c r="WVQ40" s="26"/>
      <c r="WVR40" s="27"/>
      <c r="WVS40" s="26"/>
      <c r="WVT40" s="27"/>
      <c r="WVU40" s="26"/>
      <c r="WVV40" s="27"/>
      <c r="WVW40" s="26"/>
      <c r="WVX40" s="27"/>
      <c r="WVY40" s="26"/>
      <c r="WVZ40" s="27"/>
      <c r="WWA40" s="26"/>
      <c r="WWB40" s="27"/>
      <c r="WWC40" s="26"/>
      <c r="WWD40" s="27"/>
      <c r="WWE40" s="26"/>
      <c r="WWF40" s="27"/>
      <c r="WWG40" s="26"/>
      <c r="WWH40" s="27"/>
      <c r="WWI40" s="26"/>
      <c r="WWJ40" s="27"/>
      <c r="WWK40" s="26"/>
      <c r="WWL40" s="27"/>
      <c r="WWM40" s="26"/>
      <c r="WWN40" s="27"/>
      <c r="WWO40" s="26"/>
      <c r="WWP40" s="27"/>
      <c r="WWQ40" s="26"/>
      <c r="WWR40" s="27"/>
      <c r="WWS40" s="26"/>
      <c r="WWT40" s="27"/>
      <c r="WWU40" s="26"/>
      <c r="WWV40" s="27"/>
      <c r="WWW40" s="26"/>
      <c r="WWX40" s="27"/>
      <c r="WWY40" s="26"/>
      <c r="WWZ40" s="27"/>
      <c r="WXA40" s="26"/>
      <c r="WXB40" s="27"/>
      <c r="WXC40" s="26"/>
      <c r="WXD40" s="27"/>
      <c r="WXE40" s="26"/>
      <c r="WXF40" s="27"/>
      <c r="WXG40" s="26"/>
      <c r="WXH40" s="27"/>
      <c r="WXI40" s="26"/>
      <c r="WXJ40" s="27"/>
      <c r="WXK40" s="26"/>
      <c r="WXL40" s="27"/>
      <c r="WXM40" s="26"/>
      <c r="WXN40" s="27"/>
      <c r="WXO40" s="26"/>
      <c r="WXP40" s="27"/>
      <c r="WXQ40" s="26"/>
      <c r="WXR40" s="27"/>
      <c r="WXS40" s="26"/>
      <c r="WXT40" s="27"/>
      <c r="WXU40" s="26"/>
      <c r="WXV40" s="27"/>
      <c r="WXW40" s="26"/>
      <c r="WXX40" s="27"/>
      <c r="WXY40" s="26"/>
      <c r="WXZ40" s="27"/>
      <c r="WYA40" s="26"/>
      <c r="WYB40" s="27"/>
      <c r="WYC40" s="26"/>
      <c r="WYD40" s="27"/>
      <c r="WYE40" s="26"/>
      <c r="WYF40" s="27"/>
      <c r="WYG40" s="26"/>
      <c r="WYH40" s="27"/>
      <c r="WYI40" s="26"/>
      <c r="WYJ40" s="27"/>
      <c r="WYK40" s="26"/>
      <c r="WYL40" s="27"/>
      <c r="WYM40" s="26"/>
      <c r="WYN40" s="27"/>
      <c r="WYO40" s="26"/>
      <c r="WYP40" s="27"/>
      <c r="WYQ40" s="26"/>
      <c r="WYR40" s="27"/>
      <c r="WYS40" s="26"/>
      <c r="WYT40" s="27"/>
      <c r="WYU40" s="26"/>
      <c r="WYV40" s="27"/>
      <c r="WYW40" s="26"/>
      <c r="WYX40" s="27"/>
      <c r="WYY40" s="26"/>
      <c r="WYZ40" s="27"/>
      <c r="WZA40" s="26"/>
      <c r="WZB40" s="27"/>
      <c r="WZC40" s="26"/>
      <c r="WZD40" s="27"/>
      <c r="WZE40" s="26"/>
      <c r="WZF40" s="27"/>
      <c r="WZG40" s="26"/>
      <c r="WZH40" s="27"/>
      <c r="WZI40" s="26"/>
      <c r="WZJ40" s="27"/>
      <c r="WZK40" s="26"/>
      <c r="WZL40" s="27"/>
      <c r="WZM40" s="26"/>
      <c r="WZN40" s="27"/>
      <c r="WZO40" s="26"/>
      <c r="WZP40" s="27"/>
      <c r="WZQ40" s="26"/>
      <c r="WZR40" s="27"/>
      <c r="WZS40" s="26"/>
      <c r="WZT40" s="27"/>
      <c r="WZU40" s="26"/>
      <c r="WZV40" s="27"/>
      <c r="WZW40" s="26"/>
      <c r="WZX40" s="27"/>
      <c r="WZY40" s="26"/>
      <c r="WZZ40" s="27"/>
      <c r="XAA40" s="26"/>
      <c r="XAB40" s="27"/>
      <c r="XAC40" s="26"/>
      <c r="XAD40" s="27"/>
      <c r="XAE40" s="26"/>
      <c r="XAF40" s="27"/>
      <c r="XAG40" s="26"/>
      <c r="XAH40" s="27"/>
      <c r="XAI40" s="26"/>
      <c r="XAJ40" s="27"/>
      <c r="XAK40" s="26"/>
      <c r="XAL40" s="27"/>
      <c r="XAM40" s="26"/>
      <c r="XAN40" s="27"/>
      <c r="XAO40" s="26"/>
      <c r="XAP40" s="27"/>
      <c r="XAQ40" s="26"/>
      <c r="XAR40" s="27"/>
      <c r="XAS40" s="26"/>
      <c r="XAT40" s="27"/>
      <c r="XAU40" s="26"/>
      <c r="XAV40" s="27"/>
      <c r="XAW40" s="26"/>
      <c r="XAX40" s="27"/>
      <c r="XAY40" s="26"/>
      <c r="XAZ40" s="27"/>
      <c r="XBA40" s="26"/>
      <c r="XBB40" s="27"/>
      <c r="XBC40" s="26"/>
      <c r="XBD40" s="27"/>
      <c r="XBE40" s="26"/>
      <c r="XBF40" s="27"/>
      <c r="XBG40" s="26"/>
      <c r="XBH40" s="27"/>
      <c r="XBI40" s="26"/>
      <c r="XBJ40" s="27"/>
      <c r="XBK40" s="26"/>
      <c r="XBL40" s="27"/>
      <c r="XBM40" s="26"/>
      <c r="XBN40" s="27"/>
      <c r="XBO40" s="26"/>
      <c r="XBP40" s="27"/>
      <c r="XBQ40" s="26"/>
      <c r="XBR40" s="27"/>
      <c r="XBS40" s="26"/>
      <c r="XBT40" s="27"/>
      <c r="XBU40" s="26"/>
      <c r="XBV40" s="27"/>
      <c r="XBW40" s="26"/>
      <c r="XBX40" s="27"/>
      <c r="XBY40" s="26"/>
      <c r="XBZ40" s="27"/>
      <c r="XCA40" s="26"/>
      <c r="XCB40" s="27"/>
      <c r="XCC40" s="26"/>
      <c r="XCD40" s="27"/>
      <c r="XCE40" s="26"/>
      <c r="XCF40" s="27"/>
      <c r="XCG40" s="26"/>
      <c r="XCH40" s="27"/>
      <c r="XCI40" s="26"/>
      <c r="XCJ40" s="27"/>
      <c r="XCK40" s="26"/>
      <c r="XCL40" s="27"/>
      <c r="XCM40" s="26"/>
      <c r="XCN40" s="27"/>
      <c r="XCO40" s="26"/>
      <c r="XCP40" s="27"/>
      <c r="XCQ40" s="26"/>
      <c r="XCR40" s="27"/>
      <c r="XCS40" s="26"/>
      <c r="XCT40" s="27"/>
      <c r="XCU40" s="26"/>
      <c r="XCV40" s="27"/>
      <c r="XCW40" s="26"/>
      <c r="XCX40" s="27"/>
      <c r="XCY40" s="26"/>
      <c r="XCZ40" s="27"/>
      <c r="XDA40" s="26"/>
      <c r="XDB40" s="27"/>
      <c r="XDC40" s="26"/>
      <c r="XDD40" s="27"/>
      <c r="XDE40" s="26"/>
      <c r="XDF40" s="27"/>
      <c r="XDG40" s="26"/>
      <c r="XDH40" s="27"/>
      <c r="XDI40" s="26"/>
      <c r="XDJ40" s="27"/>
      <c r="XDK40" s="26"/>
      <c r="XDL40" s="27"/>
      <c r="XDM40" s="26"/>
      <c r="XDN40" s="27"/>
      <c r="XDO40" s="26"/>
      <c r="XDP40" s="27"/>
      <c r="XDQ40" s="26"/>
      <c r="XDR40" s="27"/>
      <c r="XDS40" s="26"/>
      <c r="XDT40" s="27"/>
      <c r="XDU40" s="26"/>
      <c r="XDV40" s="27"/>
      <c r="XDW40" s="26"/>
      <c r="XDX40" s="27"/>
      <c r="XDY40" s="26"/>
      <c r="XDZ40" s="27"/>
      <c r="XEA40" s="26"/>
      <c r="XEB40" s="27"/>
      <c r="XEC40" s="26"/>
      <c r="XED40" s="27"/>
      <c r="XEE40" s="26"/>
      <c r="XEF40" s="27"/>
      <c r="XEG40" s="26"/>
      <c r="XEH40" s="27"/>
      <c r="XEI40" s="26"/>
      <c r="XEJ40" s="27"/>
      <c r="XEK40" s="26"/>
      <c r="XEL40" s="27"/>
      <c r="XEM40" s="26"/>
      <c r="XEN40" s="27"/>
      <c r="XEO40" s="26"/>
      <c r="XEP40" s="27"/>
      <c r="XEQ40" s="26"/>
      <c r="XER40" s="27"/>
      <c r="XES40" s="26"/>
      <c r="XET40" s="27"/>
    </row>
    <row r="41" spans="2:16374" s="28" customFormat="1" ht="56" customHeight="1" thickBot="1">
      <c r="B41" s="35"/>
      <c r="C41" s="296" t="s">
        <v>5</v>
      </c>
      <c r="D41" s="39">
        <f>记录仪!$D$11</f>
        <v>2.04</v>
      </c>
      <c r="E41" s="37" t="s">
        <v>16</v>
      </c>
      <c r="F41" s="1301">
        <f>INDEX(神经网络!$G$10:$BO$70,MATCH(ROUND(卓尔金历!D46*2,1)/2,神经网络!$E$10:$E$70,0),MATCH(ROUND(卓尔金历!D44*2,1)/2,神经网络!$G$8:$BO$8,0))</f>
        <v>1.1878973697903477</v>
      </c>
      <c r="G41" s="1302"/>
      <c r="H41" s="461">
        <f>(F41+H42)/2</f>
        <v>1.0598448111112948</v>
      </c>
      <c r="I41" s="34" t="s">
        <v>234</v>
      </c>
      <c r="J41" s="29"/>
      <c r="K41" s="955" t="s">
        <v>608</v>
      </c>
      <c r="L41" s="948">
        <f>'CryptoSheets(🔥)'!J9</f>
        <v>41851.534468306381</v>
      </c>
      <c r="M41" s="948">
        <f>币种排名!$G$9/(1+币种排名!$L$9)</f>
        <v>42700.461588866659</v>
      </c>
      <c r="N41" s="949">
        <f>(L41-M41)/M41</f>
        <v>-1.9880982288529168E-2</v>
      </c>
      <c r="O41" s="34" t="s">
        <v>606</v>
      </c>
      <c r="P41" s="30"/>
      <c r="Q41" s="262"/>
      <c r="R41" s="205"/>
      <c r="S41" s="205"/>
      <c r="T41" s="205"/>
      <c r="U41" s="34"/>
      <c r="V41" s="34"/>
      <c r="W41" s="34"/>
      <c r="X41" s="34"/>
      <c r="Y41" s="34"/>
      <c r="Z41" s="34"/>
      <c r="AA41" s="34"/>
      <c r="AB41" s="205"/>
      <c r="AC41" s="205"/>
      <c r="AD41" s="205"/>
      <c r="AE41" s="262"/>
      <c r="AV41" s="30"/>
      <c r="AW41" s="29"/>
      <c r="AX41" s="30"/>
      <c r="AY41" s="29"/>
      <c r="AZ41" s="30"/>
      <c r="BA41" s="29"/>
      <c r="BB41" s="30"/>
      <c r="BC41" s="29"/>
      <c r="BD41" s="30"/>
      <c r="BE41" s="29"/>
      <c r="BF41" s="30"/>
      <c r="BG41" s="29"/>
      <c r="BH41" s="30"/>
      <c r="BI41" s="29"/>
      <c r="BJ41" s="30"/>
      <c r="BK41" s="29"/>
      <c r="BL41" s="30"/>
      <c r="BM41" s="29"/>
      <c r="BN41" s="30"/>
      <c r="BO41" s="29"/>
      <c r="BP41" s="30"/>
      <c r="BQ41" s="29"/>
      <c r="BR41" s="30"/>
      <c r="BS41" s="29"/>
      <c r="BT41" s="30"/>
      <c r="BU41" s="29"/>
      <c r="BV41" s="30"/>
      <c r="BW41" s="29"/>
      <c r="BX41" s="30"/>
      <c r="BY41" s="29"/>
      <c r="BZ41" s="30"/>
      <c r="CA41" s="29"/>
      <c r="CB41" s="30"/>
      <c r="CC41" s="29"/>
      <c r="CD41" s="30"/>
      <c r="CE41" s="29"/>
      <c r="CF41" s="30"/>
      <c r="CG41" s="29"/>
      <c r="CH41" s="30"/>
      <c r="CI41" s="29"/>
      <c r="CJ41" s="30"/>
      <c r="CK41" s="29"/>
      <c r="CL41" s="30"/>
      <c r="CM41" s="29"/>
      <c r="CN41" s="30"/>
      <c r="CO41" s="29"/>
      <c r="CP41" s="30"/>
      <c r="CQ41" s="29"/>
      <c r="CR41" s="30"/>
      <c r="CS41" s="29"/>
      <c r="CT41" s="30"/>
      <c r="CU41" s="29"/>
      <c r="CV41" s="30"/>
      <c r="CW41" s="29"/>
      <c r="CX41" s="30"/>
      <c r="CY41" s="29"/>
      <c r="CZ41" s="30"/>
      <c r="DA41" s="29"/>
      <c r="DB41" s="30"/>
      <c r="DC41" s="29"/>
      <c r="DD41" s="30"/>
      <c r="DE41" s="29"/>
      <c r="DF41" s="30"/>
      <c r="DG41" s="29"/>
      <c r="DH41" s="30"/>
      <c r="DI41" s="29"/>
      <c r="DJ41" s="30"/>
      <c r="DK41" s="29"/>
      <c r="DL41" s="30"/>
      <c r="DM41" s="29"/>
      <c r="DN41" s="30"/>
      <c r="DO41" s="29"/>
      <c r="DP41" s="30"/>
      <c r="DQ41" s="29"/>
      <c r="DR41" s="30"/>
      <c r="DS41" s="29"/>
      <c r="DT41" s="30"/>
      <c r="DU41" s="29"/>
      <c r="DV41" s="30"/>
      <c r="DW41" s="29"/>
      <c r="DX41" s="30"/>
      <c r="DY41" s="29"/>
      <c r="DZ41" s="30"/>
      <c r="EA41" s="29"/>
      <c r="EB41" s="30"/>
      <c r="EC41" s="29"/>
      <c r="ED41" s="30"/>
      <c r="EE41" s="29"/>
      <c r="EF41" s="30"/>
      <c r="EG41" s="29"/>
      <c r="EH41" s="30"/>
      <c r="EI41" s="29"/>
      <c r="EJ41" s="30"/>
      <c r="EK41" s="29"/>
      <c r="EL41" s="30"/>
      <c r="EM41" s="29"/>
      <c r="EN41" s="30"/>
      <c r="EO41" s="29"/>
      <c r="EP41" s="30"/>
      <c r="EQ41" s="29"/>
      <c r="ER41" s="30"/>
      <c r="ES41" s="29"/>
      <c r="ET41" s="30"/>
      <c r="EU41" s="29"/>
      <c r="EV41" s="30"/>
      <c r="EW41" s="29"/>
      <c r="EX41" s="30"/>
      <c r="EY41" s="29"/>
      <c r="EZ41" s="30"/>
      <c r="FA41" s="29"/>
      <c r="FB41" s="30"/>
      <c r="FC41" s="29"/>
      <c r="FD41" s="30"/>
      <c r="FE41" s="29"/>
      <c r="FF41" s="30"/>
      <c r="FG41" s="29"/>
      <c r="FH41" s="30"/>
      <c r="FI41" s="29"/>
      <c r="FJ41" s="30"/>
      <c r="FK41" s="29"/>
      <c r="FL41" s="30"/>
      <c r="FM41" s="29"/>
      <c r="FN41" s="30"/>
      <c r="FO41" s="29"/>
      <c r="FP41" s="30"/>
      <c r="FQ41" s="29"/>
      <c r="FR41" s="30"/>
      <c r="FS41" s="29"/>
      <c r="FT41" s="30"/>
      <c r="FU41" s="29"/>
      <c r="FV41" s="30"/>
      <c r="FW41" s="29"/>
      <c r="FX41" s="30"/>
      <c r="FY41" s="29"/>
      <c r="FZ41" s="30"/>
      <c r="GA41" s="29"/>
      <c r="GB41" s="30"/>
      <c r="GC41" s="29"/>
      <c r="GD41" s="30"/>
      <c r="GE41" s="29"/>
      <c r="GF41" s="30"/>
      <c r="GG41" s="29"/>
      <c r="GH41" s="30"/>
      <c r="GI41" s="29"/>
      <c r="GJ41" s="30"/>
      <c r="GK41" s="29"/>
      <c r="GL41" s="30"/>
      <c r="GM41" s="29"/>
      <c r="GN41" s="30"/>
      <c r="GO41" s="29"/>
      <c r="GP41" s="30"/>
      <c r="GQ41" s="29"/>
      <c r="GR41" s="30"/>
      <c r="GS41" s="29"/>
      <c r="GT41" s="30"/>
      <c r="GU41" s="29"/>
      <c r="GV41" s="30"/>
      <c r="GW41" s="29"/>
      <c r="GX41" s="30"/>
      <c r="GY41" s="29"/>
      <c r="GZ41" s="30"/>
      <c r="HA41" s="29"/>
      <c r="HB41" s="30"/>
      <c r="HC41" s="29"/>
      <c r="HD41" s="30"/>
      <c r="HE41" s="29"/>
      <c r="HF41" s="30"/>
      <c r="HG41" s="29"/>
      <c r="HH41" s="30"/>
      <c r="HI41" s="29"/>
      <c r="HJ41" s="30"/>
      <c r="HK41" s="29"/>
      <c r="HL41" s="30"/>
      <c r="HM41" s="29"/>
      <c r="HN41" s="30"/>
      <c r="HO41" s="29"/>
      <c r="HP41" s="30"/>
      <c r="HQ41" s="29"/>
      <c r="HR41" s="30"/>
      <c r="HS41" s="29"/>
      <c r="HT41" s="30"/>
      <c r="HU41" s="29"/>
      <c r="HV41" s="30"/>
      <c r="HW41" s="29"/>
      <c r="HX41" s="30"/>
      <c r="HY41" s="29"/>
      <c r="HZ41" s="30"/>
      <c r="IA41" s="29"/>
      <c r="IB41" s="30"/>
      <c r="IC41" s="29"/>
      <c r="ID41" s="30"/>
      <c r="IE41" s="29"/>
      <c r="IF41" s="30"/>
      <c r="IG41" s="29"/>
      <c r="IH41" s="30"/>
      <c r="II41" s="29"/>
      <c r="IJ41" s="30"/>
      <c r="IK41" s="29"/>
      <c r="IL41" s="30"/>
      <c r="IM41" s="29"/>
      <c r="IN41" s="30"/>
      <c r="IO41" s="29"/>
      <c r="IP41" s="30"/>
      <c r="IQ41" s="29"/>
      <c r="IR41" s="30"/>
      <c r="IS41" s="29"/>
      <c r="IT41" s="30"/>
      <c r="IU41" s="29"/>
      <c r="IV41" s="30"/>
      <c r="IW41" s="29"/>
      <c r="IX41" s="30"/>
      <c r="IY41" s="29"/>
      <c r="IZ41" s="30"/>
      <c r="JA41" s="29"/>
      <c r="JB41" s="30"/>
      <c r="JC41" s="29"/>
      <c r="JD41" s="30"/>
      <c r="JE41" s="29"/>
      <c r="JF41" s="30"/>
      <c r="JG41" s="29"/>
      <c r="JH41" s="30"/>
      <c r="JI41" s="29"/>
      <c r="JJ41" s="30"/>
      <c r="JK41" s="29"/>
      <c r="JL41" s="30"/>
      <c r="JM41" s="29"/>
      <c r="JN41" s="30"/>
      <c r="JO41" s="29"/>
      <c r="JP41" s="30"/>
      <c r="JQ41" s="29"/>
      <c r="JR41" s="30"/>
      <c r="JS41" s="29"/>
      <c r="JT41" s="30"/>
      <c r="JU41" s="29"/>
      <c r="JV41" s="30"/>
      <c r="JW41" s="29"/>
      <c r="JX41" s="30"/>
      <c r="JY41" s="29"/>
      <c r="JZ41" s="30"/>
      <c r="KA41" s="29"/>
      <c r="KB41" s="30"/>
      <c r="KC41" s="29"/>
      <c r="KD41" s="30"/>
      <c r="KE41" s="29"/>
      <c r="KF41" s="30"/>
      <c r="KG41" s="29"/>
      <c r="KH41" s="30"/>
      <c r="KI41" s="29"/>
      <c r="KJ41" s="30"/>
      <c r="KK41" s="29"/>
      <c r="KL41" s="30"/>
      <c r="KM41" s="29"/>
      <c r="KN41" s="30"/>
      <c r="KO41" s="29"/>
      <c r="KP41" s="30"/>
      <c r="KQ41" s="29"/>
      <c r="KR41" s="30"/>
      <c r="KS41" s="29"/>
      <c r="KT41" s="30"/>
      <c r="KU41" s="29"/>
      <c r="KV41" s="30"/>
      <c r="KW41" s="29"/>
      <c r="KX41" s="30"/>
      <c r="KY41" s="29"/>
      <c r="KZ41" s="30"/>
      <c r="LA41" s="29"/>
      <c r="LB41" s="30"/>
      <c r="LC41" s="29"/>
      <c r="LD41" s="30"/>
      <c r="LE41" s="29"/>
      <c r="LF41" s="30"/>
      <c r="LG41" s="29"/>
      <c r="LH41" s="30"/>
      <c r="LI41" s="29"/>
      <c r="LJ41" s="30"/>
      <c r="LK41" s="29"/>
      <c r="LL41" s="30"/>
      <c r="LM41" s="29"/>
      <c r="LN41" s="30"/>
      <c r="LO41" s="29"/>
      <c r="LP41" s="30"/>
      <c r="LQ41" s="29"/>
      <c r="LR41" s="30"/>
      <c r="LS41" s="29"/>
      <c r="LT41" s="30"/>
      <c r="LU41" s="29"/>
      <c r="LV41" s="30"/>
      <c r="LW41" s="29"/>
      <c r="LX41" s="30"/>
      <c r="LY41" s="29"/>
      <c r="LZ41" s="30"/>
      <c r="MA41" s="29"/>
      <c r="MB41" s="30"/>
      <c r="MC41" s="29"/>
      <c r="MD41" s="30"/>
      <c r="ME41" s="29"/>
      <c r="MF41" s="30"/>
      <c r="MG41" s="29"/>
      <c r="MH41" s="30"/>
      <c r="MI41" s="29"/>
      <c r="MJ41" s="30"/>
      <c r="MK41" s="29"/>
      <c r="ML41" s="30"/>
      <c r="MM41" s="29"/>
      <c r="MN41" s="30"/>
      <c r="MO41" s="29"/>
      <c r="MP41" s="30"/>
      <c r="MQ41" s="29"/>
      <c r="MR41" s="30"/>
      <c r="MS41" s="29"/>
      <c r="MT41" s="30"/>
      <c r="MU41" s="29"/>
      <c r="MV41" s="30"/>
      <c r="MW41" s="29"/>
      <c r="MX41" s="30"/>
      <c r="MY41" s="29"/>
      <c r="MZ41" s="30"/>
      <c r="NA41" s="29"/>
      <c r="NB41" s="30"/>
      <c r="NC41" s="29"/>
      <c r="ND41" s="30"/>
      <c r="NE41" s="29"/>
      <c r="NF41" s="30"/>
      <c r="NG41" s="29"/>
      <c r="NH41" s="30"/>
      <c r="NI41" s="29"/>
      <c r="NJ41" s="30"/>
      <c r="NK41" s="29"/>
      <c r="NL41" s="30"/>
      <c r="NM41" s="29"/>
      <c r="NN41" s="30"/>
      <c r="NO41" s="29"/>
      <c r="NP41" s="30"/>
      <c r="NQ41" s="29"/>
      <c r="NR41" s="30"/>
      <c r="NS41" s="29"/>
      <c r="NT41" s="30"/>
      <c r="NU41" s="29"/>
      <c r="NV41" s="30"/>
      <c r="NW41" s="29"/>
      <c r="NX41" s="30"/>
      <c r="NY41" s="29"/>
      <c r="NZ41" s="30"/>
      <c r="OA41" s="29"/>
      <c r="OB41" s="30"/>
      <c r="OC41" s="29"/>
      <c r="OD41" s="30"/>
      <c r="OE41" s="29"/>
      <c r="OF41" s="30"/>
      <c r="OG41" s="29"/>
      <c r="OH41" s="30"/>
      <c r="OI41" s="29"/>
      <c r="OJ41" s="30"/>
      <c r="OK41" s="29"/>
      <c r="OL41" s="30"/>
      <c r="OM41" s="29"/>
      <c r="ON41" s="30"/>
      <c r="OO41" s="29"/>
      <c r="OP41" s="30"/>
      <c r="OQ41" s="29"/>
      <c r="OR41" s="30"/>
      <c r="OS41" s="29"/>
      <c r="OT41" s="30"/>
      <c r="OU41" s="29"/>
      <c r="OV41" s="30"/>
      <c r="OW41" s="29"/>
      <c r="OX41" s="30"/>
      <c r="OY41" s="29"/>
      <c r="OZ41" s="30"/>
      <c r="PA41" s="29"/>
      <c r="PB41" s="30"/>
      <c r="PC41" s="29"/>
      <c r="PD41" s="30"/>
      <c r="PE41" s="29"/>
      <c r="PF41" s="30"/>
      <c r="PG41" s="29"/>
      <c r="PH41" s="30"/>
      <c r="PI41" s="29"/>
      <c r="PJ41" s="30"/>
      <c r="PK41" s="29"/>
      <c r="PL41" s="30"/>
      <c r="PM41" s="29"/>
      <c r="PN41" s="30"/>
      <c r="PO41" s="29"/>
      <c r="PP41" s="30"/>
      <c r="PQ41" s="29"/>
      <c r="PR41" s="30"/>
      <c r="PS41" s="29"/>
      <c r="PT41" s="30"/>
      <c r="PU41" s="29"/>
      <c r="PV41" s="30"/>
      <c r="PW41" s="29"/>
      <c r="PX41" s="30"/>
      <c r="PY41" s="29"/>
      <c r="PZ41" s="30"/>
      <c r="QA41" s="29"/>
      <c r="QB41" s="30"/>
      <c r="QC41" s="29"/>
      <c r="QD41" s="30"/>
      <c r="QE41" s="29"/>
      <c r="QF41" s="30"/>
      <c r="QG41" s="29"/>
      <c r="QH41" s="30"/>
      <c r="QI41" s="29"/>
      <c r="QJ41" s="30"/>
      <c r="QK41" s="29"/>
      <c r="QL41" s="30"/>
      <c r="QM41" s="29"/>
      <c r="QN41" s="30"/>
      <c r="QO41" s="29"/>
      <c r="QP41" s="30"/>
      <c r="QQ41" s="29"/>
      <c r="QR41" s="30"/>
      <c r="QS41" s="29"/>
      <c r="QT41" s="30"/>
      <c r="QU41" s="29"/>
      <c r="QV41" s="30"/>
      <c r="QW41" s="29"/>
      <c r="QX41" s="30"/>
      <c r="QY41" s="29"/>
      <c r="QZ41" s="30"/>
      <c r="RA41" s="29"/>
      <c r="RB41" s="30"/>
      <c r="RC41" s="29"/>
      <c r="RD41" s="30"/>
      <c r="RE41" s="29"/>
      <c r="RF41" s="30"/>
      <c r="RG41" s="29"/>
      <c r="RH41" s="30"/>
      <c r="RI41" s="29"/>
      <c r="RJ41" s="30"/>
      <c r="RK41" s="29"/>
      <c r="RL41" s="30"/>
      <c r="RM41" s="29"/>
      <c r="RN41" s="30"/>
      <c r="RO41" s="29"/>
      <c r="RP41" s="30"/>
      <c r="RQ41" s="29"/>
      <c r="RR41" s="30"/>
      <c r="RS41" s="29"/>
      <c r="RT41" s="30"/>
      <c r="RU41" s="29"/>
      <c r="RV41" s="30"/>
      <c r="RW41" s="29"/>
      <c r="RX41" s="30"/>
      <c r="RY41" s="29"/>
      <c r="RZ41" s="30"/>
      <c r="SA41" s="29"/>
      <c r="SB41" s="30"/>
      <c r="SC41" s="29"/>
      <c r="SD41" s="30"/>
      <c r="SE41" s="29"/>
      <c r="SF41" s="30"/>
      <c r="SG41" s="29"/>
      <c r="SH41" s="30"/>
      <c r="SI41" s="29"/>
      <c r="SJ41" s="30"/>
      <c r="SK41" s="29"/>
      <c r="SL41" s="30"/>
      <c r="SM41" s="29"/>
      <c r="SN41" s="30"/>
      <c r="SO41" s="29"/>
      <c r="SP41" s="30"/>
      <c r="SQ41" s="29"/>
      <c r="SR41" s="30"/>
      <c r="SS41" s="29"/>
      <c r="ST41" s="30"/>
      <c r="SU41" s="29"/>
      <c r="SV41" s="30"/>
      <c r="SW41" s="29"/>
      <c r="SX41" s="30"/>
      <c r="SY41" s="29"/>
      <c r="SZ41" s="30"/>
      <c r="TA41" s="29"/>
      <c r="TB41" s="30"/>
      <c r="TC41" s="29"/>
      <c r="TD41" s="30"/>
      <c r="TE41" s="29"/>
      <c r="TF41" s="30"/>
      <c r="TG41" s="29"/>
      <c r="TH41" s="30"/>
      <c r="TI41" s="29"/>
      <c r="TJ41" s="30"/>
      <c r="TK41" s="29"/>
      <c r="TL41" s="30"/>
      <c r="TM41" s="29"/>
      <c r="TN41" s="30"/>
      <c r="TO41" s="29"/>
      <c r="TP41" s="30"/>
      <c r="TQ41" s="29"/>
      <c r="TR41" s="30"/>
      <c r="TS41" s="29"/>
      <c r="TT41" s="30"/>
      <c r="TU41" s="29"/>
      <c r="TV41" s="30"/>
      <c r="TW41" s="29"/>
      <c r="TX41" s="30"/>
      <c r="TY41" s="29"/>
      <c r="TZ41" s="30"/>
      <c r="UA41" s="29"/>
      <c r="UB41" s="30"/>
      <c r="UC41" s="29"/>
      <c r="UD41" s="30"/>
      <c r="UE41" s="29"/>
      <c r="UF41" s="30"/>
      <c r="UG41" s="29"/>
      <c r="UH41" s="30"/>
      <c r="UI41" s="29"/>
      <c r="UJ41" s="30"/>
      <c r="UK41" s="29"/>
      <c r="UL41" s="30"/>
      <c r="UM41" s="29"/>
      <c r="UN41" s="30"/>
      <c r="UO41" s="29"/>
      <c r="UP41" s="30"/>
      <c r="UQ41" s="29"/>
      <c r="UR41" s="30"/>
      <c r="US41" s="29"/>
      <c r="UT41" s="30"/>
      <c r="UU41" s="29"/>
      <c r="UV41" s="30"/>
      <c r="UW41" s="29"/>
      <c r="UX41" s="30"/>
      <c r="UY41" s="29"/>
      <c r="UZ41" s="30"/>
      <c r="VA41" s="29"/>
      <c r="VB41" s="30"/>
      <c r="VC41" s="29"/>
      <c r="VD41" s="30"/>
      <c r="VE41" s="29"/>
      <c r="VF41" s="30"/>
      <c r="VG41" s="29"/>
      <c r="VH41" s="30"/>
      <c r="VI41" s="29"/>
      <c r="VJ41" s="30"/>
      <c r="VK41" s="29"/>
      <c r="VL41" s="30"/>
      <c r="VM41" s="29"/>
      <c r="VN41" s="30"/>
      <c r="VO41" s="29"/>
      <c r="VP41" s="30"/>
      <c r="VQ41" s="29"/>
      <c r="VR41" s="30"/>
      <c r="VS41" s="29"/>
      <c r="VT41" s="30"/>
      <c r="VU41" s="29"/>
      <c r="VV41" s="30"/>
      <c r="VW41" s="29"/>
      <c r="VX41" s="30"/>
      <c r="VY41" s="29"/>
      <c r="VZ41" s="30"/>
      <c r="WA41" s="29"/>
      <c r="WB41" s="30"/>
      <c r="WC41" s="29"/>
      <c r="WD41" s="30"/>
      <c r="WE41" s="29"/>
      <c r="WF41" s="30"/>
      <c r="WG41" s="29"/>
      <c r="WH41" s="30"/>
      <c r="WI41" s="29"/>
      <c r="WJ41" s="30"/>
      <c r="WK41" s="29"/>
      <c r="WL41" s="30"/>
      <c r="WM41" s="29"/>
      <c r="WN41" s="30"/>
      <c r="WO41" s="29"/>
      <c r="WP41" s="30"/>
      <c r="WQ41" s="29"/>
      <c r="WR41" s="30"/>
      <c r="WS41" s="29"/>
      <c r="WT41" s="30"/>
      <c r="WU41" s="29"/>
      <c r="WV41" s="30"/>
      <c r="WW41" s="29"/>
      <c r="WX41" s="30"/>
      <c r="WY41" s="29"/>
      <c r="WZ41" s="30"/>
      <c r="XA41" s="29"/>
      <c r="XB41" s="30"/>
      <c r="XC41" s="29"/>
      <c r="XD41" s="30"/>
      <c r="XE41" s="29"/>
      <c r="XF41" s="30"/>
      <c r="XG41" s="29"/>
      <c r="XH41" s="30"/>
      <c r="XI41" s="29"/>
      <c r="XJ41" s="30"/>
      <c r="XK41" s="29"/>
      <c r="XL41" s="30"/>
      <c r="XM41" s="29"/>
      <c r="XN41" s="30"/>
      <c r="XO41" s="29"/>
      <c r="XP41" s="30"/>
      <c r="XQ41" s="29"/>
      <c r="XR41" s="30"/>
      <c r="XS41" s="29"/>
      <c r="XT41" s="30"/>
      <c r="XU41" s="29"/>
      <c r="XV41" s="30"/>
      <c r="XW41" s="29"/>
      <c r="XX41" s="30"/>
      <c r="XY41" s="29"/>
      <c r="XZ41" s="30"/>
      <c r="YA41" s="29"/>
      <c r="YB41" s="30"/>
      <c r="YC41" s="29"/>
      <c r="YD41" s="30"/>
      <c r="YE41" s="29"/>
      <c r="YF41" s="30"/>
      <c r="YG41" s="29"/>
      <c r="YH41" s="30"/>
      <c r="YI41" s="29"/>
      <c r="YJ41" s="30"/>
      <c r="YK41" s="29"/>
      <c r="YL41" s="30"/>
      <c r="YM41" s="29"/>
      <c r="YN41" s="30"/>
      <c r="YO41" s="29"/>
      <c r="YP41" s="30"/>
      <c r="YQ41" s="29"/>
      <c r="YR41" s="30"/>
      <c r="YS41" s="29"/>
      <c r="YT41" s="30"/>
      <c r="YU41" s="29"/>
      <c r="YV41" s="30"/>
      <c r="YW41" s="29"/>
      <c r="YX41" s="30"/>
      <c r="YY41" s="29"/>
      <c r="YZ41" s="30"/>
      <c r="ZA41" s="29"/>
      <c r="ZB41" s="30"/>
      <c r="ZC41" s="29"/>
      <c r="ZD41" s="30"/>
      <c r="ZE41" s="29"/>
      <c r="ZF41" s="30"/>
      <c r="ZG41" s="29"/>
      <c r="ZH41" s="30"/>
      <c r="ZI41" s="29"/>
      <c r="ZJ41" s="30"/>
      <c r="ZK41" s="29"/>
      <c r="ZL41" s="30"/>
      <c r="ZM41" s="29"/>
      <c r="ZN41" s="30"/>
      <c r="ZO41" s="29"/>
      <c r="ZP41" s="30"/>
      <c r="ZQ41" s="29"/>
      <c r="ZR41" s="30"/>
      <c r="ZS41" s="29"/>
      <c r="ZT41" s="30"/>
      <c r="ZU41" s="29"/>
      <c r="ZV41" s="30"/>
      <c r="ZW41" s="29"/>
      <c r="ZX41" s="30"/>
      <c r="ZY41" s="29"/>
      <c r="ZZ41" s="30"/>
      <c r="AAA41" s="29"/>
      <c r="AAB41" s="30"/>
      <c r="AAC41" s="29"/>
      <c r="AAD41" s="30"/>
      <c r="AAE41" s="29"/>
      <c r="AAF41" s="30"/>
      <c r="AAG41" s="29"/>
      <c r="AAH41" s="30"/>
      <c r="AAI41" s="29"/>
      <c r="AAJ41" s="30"/>
      <c r="AAK41" s="29"/>
      <c r="AAL41" s="30"/>
      <c r="AAM41" s="29"/>
      <c r="AAN41" s="30"/>
      <c r="AAO41" s="29"/>
      <c r="AAP41" s="30"/>
      <c r="AAQ41" s="29"/>
      <c r="AAR41" s="30"/>
      <c r="AAS41" s="29"/>
      <c r="AAT41" s="30"/>
      <c r="AAU41" s="29"/>
      <c r="AAV41" s="30"/>
      <c r="AAW41" s="29"/>
      <c r="AAX41" s="30"/>
      <c r="AAY41" s="29"/>
      <c r="AAZ41" s="30"/>
      <c r="ABA41" s="29"/>
      <c r="ABB41" s="30"/>
      <c r="ABC41" s="29"/>
      <c r="ABD41" s="30"/>
      <c r="ABE41" s="29"/>
      <c r="ABF41" s="30"/>
      <c r="ABG41" s="29"/>
      <c r="ABH41" s="30"/>
      <c r="ABI41" s="29"/>
      <c r="ABJ41" s="30"/>
      <c r="ABK41" s="29"/>
      <c r="ABL41" s="30"/>
      <c r="ABM41" s="29"/>
      <c r="ABN41" s="30"/>
      <c r="ABO41" s="29"/>
      <c r="ABP41" s="30"/>
      <c r="ABQ41" s="29"/>
      <c r="ABR41" s="30"/>
      <c r="ABS41" s="29"/>
      <c r="ABT41" s="30"/>
      <c r="ABU41" s="29"/>
      <c r="ABV41" s="30"/>
      <c r="ABW41" s="29"/>
      <c r="ABX41" s="30"/>
      <c r="ABY41" s="29"/>
      <c r="ABZ41" s="30"/>
      <c r="ACA41" s="29"/>
      <c r="ACB41" s="30"/>
      <c r="ACC41" s="29"/>
      <c r="ACD41" s="30"/>
      <c r="ACE41" s="29"/>
      <c r="ACF41" s="30"/>
      <c r="ACG41" s="29"/>
      <c r="ACH41" s="30"/>
      <c r="ACI41" s="29"/>
      <c r="ACJ41" s="30"/>
      <c r="ACK41" s="29"/>
      <c r="ACL41" s="30"/>
      <c r="ACM41" s="29"/>
      <c r="ACN41" s="30"/>
      <c r="ACO41" s="29"/>
      <c r="ACP41" s="30"/>
      <c r="ACQ41" s="29"/>
      <c r="ACR41" s="30"/>
      <c r="ACS41" s="29"/>
      <c r="ACT41" s="30"/>
      <c r="ACU41" s="29"/>
      <c r="ACV41" s="30"/>
      <c r="ACW41" s="29"/>
      <c r="ACX41" s="30"/>
      <c r="ACY41" s="29"/>
      <c r="ACZ41" s="30"/>
      <c r="ADA41" s="29"/>
      <c r="ADB41" s="30"/>
      <c r="ADC41" s="29"/>
      <c r="ADD41" s="30"/>
      <c r="ADE41" s="29"/>
      <c r="ADF41" s="30"/>
      <c r="ADG41" s="29"/>
      <c r="ADH41" s="30"/>
      <c r="ADI41" s="29"/>
      <c r="ADJ41" s="30"/>
      <c r="ADK41" s="29"/>
      <c r="ADL41" s="30"/>
      <c r="ADM41" s="29"/>
      <c r="ADN41" s="30"/>
      <c r="ADO41" s="29"/>
      <c r="ADP41" s="30"/>
      <c r="ADQ41" s="29"/>
      <c r="ADR41" s="30"/>
      <c r="ADS41" s="29"/>
      <c r="ADT41" s="30"/>
      <c r="ADU41" s="29"/>
      <c r="ADV41" s="30"/>
      <c r="ADW41" s="29"/>
      <c r="ADX41" s="30"/>
      <c r="ADY41" s="29"/>
      <c r="ADZ41" s="30"/>
      <c r="AEA41" s="29"/>
      <c r="AEB41" s="30"/>
      <c r="AEC41" s="29"/>
      <c r="AED41" s="30"/>
      <c r="AEE41" s="29"/>
      <c r="AEF41" s="30"/>
      <c r="AEG41" s="29"/>
      <c r="AEH41" s="30"/>
      <c r="AEI41" s="29"/>
      <c r="AEJ41" s="30"/>
      <c r="AEK41" s="29"/>
      <c r="AEL41" s="30"/>
      <c r="AEM41" s="29"/>
      <c r="AEN41" s="30"/>
      <c r="AEO41" s="29"/>
      <c r="AEP41" s="30"/>
      <c r="AEQ41" s="29"/>
      <c r="AER41" s="30"/>
      <c r="AES41" s="29"/>
      <c r="AET41" s="30"/>
      <c r="AEU41" s="29"/>
      <c r="AEV41" s="30"/>
      <c r="AEW41" s="29"/>
      <c r="AEX41" s="30"/>
      <c r="AEY41" s="29"/>
      <c r="AEZ41" s="30"/>
      <c r="AFA41" s="29"/>
      <c r="AFB41" s="30"/>
      <c r="AFC41" s="29"/>
      <c r="AFD41" s="30"/>
      <c r="AFE41" s="29"/>
      <c r="AFF41" s="30"/>
      <c r="AFG41" s="29"/>
      <c r="AFH41" s="30"/>
      <c r="AFI41" s="29"/>
      <c r="AFJ41" s="30"/>
      <c r="AFK41" s="29"/>
      <c r="AFL41" s="30"/>
      <c r="AFM41" s="29"/>
      <c r="AFN41" s="30"/>
      <c r="AFO41" s="29"/>
      <c r="AFP41" s="30"/>
      <c r="AFQ41" s="29"/>
      <c r="AFR41" s="30"/>
      <c r="AFS41" s="29"/>
      <c r="AFT41" s="30"/>
      <c r="AFU41" s="29"/>
      <c r="AFV41" s="30"/>
      <c r="AFW41" s="29"/>
      <c r="AFX41" s="30"/>
      <c r="AFY41" s="29"/>
      <c r="AFZ41" s="30"/>
      <c r="AGA41" s="29"/>
      <c r="AGB41" s="30"/>
      <c r="AGC41" s="29"/>
      <c r="AGD41" s="30"/>
      <c r="AGE41" s="29"/>
      <c r="AGF41" s="30"/>
      <c r="AGG41" s="29"/>
      <c r="AGH41" s="30"/>
      <c r="AGI41" s="29"/>
      <c r="AGJ41" s="30"/>
      <c r="AGK41" s="29"/>
      <c r="AGL41" s="30"/>
      <c r="AGM41" s="29"/>
      <c r="AGN41" s="30"/>
      <c r="AGO41" s="29"/>
      <c r="AGP41" s="30"/>
      <c r="AGQ41" s="29"/>
      <c r="AGR41" s="30"/>
      <c r="AGS41" s="29"/>
      <c r="AGT41" s="30"/>
      <c r="AGU41" s="29"/>
      <c r="AGV41" s="30"/>
      <c r="AGW41" s="29"/>
      <c r="AGX41" s="30"/>
      <c r="AGY41" s="29"/>
      <c r="AGZ41" s="30"/>
      <c r="AHA41" s="29"/>
      <c r="AHB41" s="30"/>
      <c r="AHC41" s="29"/>
      <c r="AHD41" s="30"/>
      <c r="AHE41" s="29"/>
      <c r="AHF41" s="30"/>
      <c r="AHG41" s="29"/>
      <c r="AHH41" s="30"/>
      <c r="AHI41" s="29"/>
      <c r="AHJ41" s="30"/>
      <c r="AHK41" s="29"/>
      <c r="AHL41" s="30"/>
      <c r="AHM41" s="29"/>
      <c r="AHN41" s="30"/>
      <c r="AHO41" s="29"/>
      <c r="AHP41" s="30"/>
      <c r="AHQ41" s="29"/>
      <c r="AHR41" s="30"/>
      <c r="AHS41" s="29"/>
      <c r="AHT41" s="30"/>
      <c r="AHU41" s="29"/>
      <c r="AHV41" s="30"/>
      <c r="AHW41" s="29"/>
      <c r="AHX41" s="30"/>
      <c r="AHY41" s="29"/>
      <c r="AHZ41" s="30"/>
      <c r="AIA41" s="29"/>
      <c r="AIB41" s="30"/>
      <c r="AIC41" s="29"/>
      <c r="AID41" s="30"/>
      <c r="AIE41" s="29"/>
      <c r="AIF41" s="30"/>
      <c r="AIG41" s="29"/>
      <c r="AIH41" s="30"/>
      <c r="AII41" s="29"/>
      <c r="AIJ41" s="30"/>
      <c r="AIK41" s="29"/>
      <c r="AIL41" s="30"/>
      <c r="AIM41" s="29"/>
      <c r="AIN41" s="30"/>
      <c r="AIO41" s="29"/>
      <c r="AIP41" s="30"/>
      <c r="AIQ41" s="29"/>
      <c r="AIR41" s="30"/>
      <c r="AIS41" s="29"/>
      <c r="AIT41" s="30"/>
      <c r="AIU41" s="29"/>
      <c r="AIV41" s="30"/>
      <c r="AIW41" s="29"/>
      <c r="AIX41" s="30"/>
      <c r="AIY41" s="29"/>
      <c r="AIZ41" s="30"/>
      <c r="AJA41" s="29"/>
      <c r="AJB41" s="30"/>
      <c r="AJC41" s="29"/>
      <c r="AJD41" s="30"/>
      <c r="AJE41" s="29"/>
      <c r="AJF41" s="30"/>
      <c r="AJG41" s="29"/>
      <c r="AJH41" s="30"/>
      <c r="AJI41" s="29"/>
      <c r="AJJ41" s="30"/>
      <c r="AJK41" s="29"/>
      <c r="AJL41" s="30"/>
      <c r="AJM41" s="29"/>
      <c r="AJN41" s="30"/>
      <c r="AJO41" s="29"/>
      <c r="AJP41" s="30"/>
      <c r="AJQ41" s="29"/>
      <c r="AJR41" s="30"/>
      <c r="AJS41" s="29"/>
      <c r="AJT41" s="30"/>
      <c r="AJU41" s="29"/>
      <c r="AJV41" s="30"/>
      <c r="AJW41" s="29"/>
      <c r="AJX41" s="30"/>
      <c r="AJY41" s="29"/>
      <c r="AJZ41" s="30"/>
      <c r="AKA41" s="29"/>
      <c r="AKB41" s="30"/>
      <c r="AKC41" s="29"/>
      <c r="AKD41" s="30"/>
      <c r="AKE41" s="29"/>
      <c r="AKF41" s="30"/>
      <c r="AKG41" s="29"/>
      <c r="AKH41" s="30"/>
      <c r="AKI41" s="29"/>
      <c r="AKJ41" s="30"/>
      <c r="AKK41" s="29"/>
      <c r="AKL41" s="30"/>
      <c r="AKM41" s="29"/>
      <c r="AKN41" s="30"/>
      <c r="AKO41" s="29"/>
      <c r="AKP41" s="30"/>
      <c r="AKQ41" s="29"/>
      <c r="AKR41" s="30"/>
      <c r="AKS41" s="29"/>
      <c r="AKT41" s="30"/>
      <c r="AKU41" s="29"/>
      <c r="AKV41" s="30"/>
      <c r="AKW41" s="29"/>
      <c r="AKX41" s="30"/>
      <c r="AKY41" s="29"/>
      <c r="AKZ41" s="30"/>
      <c r="ALA41" s="29"/>
      <c r="ALB41" s="30"/>
      <c r="ALC41" s="29"/>
      <c r="ALD41" s="30"/>
      <c r="ALE41" s="29"/>
      <c r="ALF41" s="30"/>
      <c r="ALG41" s="29"/>
      <c r="ALH41" s="30"/>
      <c r="ALI41" s="29"/>
      <c r="ALJ41" s="30"/>
      <c r="ALK41" s="29"/>
      <c r="ALL41" s="30"/>
      <c r="ALM41" s="29"/>
      <c r="ALN41" s="30"/>
      <c r="ALO41" s="29"/>
      <c r="ALP41" s="30"/>
      <c r="ALQ41" s="29"/>
      <c r="ALR41" s="30"/>
      <c r="ALS41" s="29"/>
      <c r="ALT41" s="30"/>
      <c r="ALU41" s="29"/>
      <c r="ALV41" s="30"/>
      <c r="ALW41" s="29"/>
      <c r="ALX41" s="30"/>
      <c r="ALY41" s="29"/>
      <c r="ALZ41" s="30"/>
      <c r="AMA41" s="29"/>
      <c r="AMB41" s="30"/>
      <c r="AMC41" s="29"/>
      <c r="AMD41" s="30"/>
      <c r="AME41" s="29"/>
      <c r="AMF41" s="30"/>
      <c r="AMG41" s="29"/>
      <c r="AMH41" s="30"/>
      <c r="AMI41" s="29"/>
      <c r="AMJ41" s="30"/>
      <c r="AMK41" s="29"/>
      <c r="AML41" s="30"/>
      <c r="AMM41" s="29"/>
      <c r="AMN41" s="30"/>
      <c r="AMO41" s="29"/>
      <c r="AMP41" s="30"/>
      <c r="AMQ41" s="29"/>
      <c r="AMR41" s="30"/>
      <c r="AMS41" s="29"/>
      <c r="AMT41" s="30"/>
      <c r="AMU41" s="29"/>
      <c r="AMV41" s="30"/>
      <c r="AMW41" s="29"/>
      <c r="AMX41" s="30"/>
      <c r="AMY41" s="29"/>
      <c r="AMZ41" s="30"/>
      <c r="ANA41" s="29"/>
      <c r="ANB41" s="30"/>
      <c r="ANC41" s="29"/>
      <c r="AND41" s="30"/>
      <c r="ANE41" s="29"/>
      <c r="ANF41" s="30"/>
      <c r="ANG41" s="29"/>
      <c r="ANH41" s="30"/>
      <c r="ANI41" s="29"/>
      <c r="ANJ41" s="30"/>
      <c r="ANK41" s="29"/>
      <c r="ANL41" s="30"/>
      <c r="ANM41" s="29"/>
      <c r="ANN41" s="30"/>
      <c r="ANO41" s="29"/>
      <c r="ANP41" s="30"/>
      <c r="ANQ41" s="29"/>
      <c r="ANR41" s="30"/>
      <c r="ANS41" s="29"/>
      <c r="ANT41" s="30"/>
      <c r="ANU41" s="29"/>
      <c r="ANV41" s="30"/>
      <c r="ANW41" s="29"/>
      <c r="ANX41" s="30"/>
      <c r="ANY41" s="29"/>
      <c r="ANZ41" s="30"/>
      <c r="AOA41" s="29"/>
      <c r="AOB41" s="30"/>
      <c r="AOC41" s="29"/>
      <c r="AOD41" s="30"/>
      <c r="AOE41" s="29"/>
      <c r="AOF41" s="30"/>
      <c r="AOG41" s="29"/>
      <c r="AOH41" s="30"/>
      <c r="AOI41" s="29"/>
      <c r="AOJ41" s="30"/>
      <c r="AOK41" s="29"/>
      <c r="AOL41" s="30"/>
      <c r="AOM41" s="29"/>
      <c r="AON41" s="30"/>
      <c r="AOO41" s="29"/>
      <c r="AOP41" s="30"/>
      <c r="AOQ41" s="29"/>
      <c r="AOR41" s="30"/>
      <c r="AOS41" s="29"/>
      <c r="AOT41" s="30"/>
      <c r="AOU41" s="29"/>
      <c r="AOV41" s="30"/>
      <c r="AOW41" s="29"/>
      <c r="AOX41" s="30"/>
      <c r="AOY41" s="29"/>
      <c r="AOZ41" s="30"/>
      <c r="APA41" s="29"/>
      <c r="APB41" s="30"/>
      <c r="APC41" s="29"/>
      <c r="APD41" s="30"/>
      <c r="APE41" s="29"/>
      <c r="APF41" s="30"/>
      <c r="APG41" s="29"/>
      <c r="APH41" s="30"/>
      <c r="API41" s="29"/>
      <c r="APJ41" s="30"/>
      <c r="APK41" s="29"/>
      <c r="APL41" s="30"/>
      <c r="APM41" s="29"/>
      <c r="APN41" s="30"/>
      <c r="APO41" s="29"/>
      <c r="APP41" s="30"/>
      <c r="APQ41" s="29"/>
      <c r="APR41" s="30"/>
      <c r="APS41" s="29"/>
      <c r="APT41" s="30"/>
      <c r="APU41" s="29"/>
      <c r="APV41" s="30"/>
      <c r="APW41" s="29"/>
      <c r="APX41" s="30"/>
      <c r="APY41" s="29"/>
      <c r="APZ41" s="30"/>
      <c r="AQA41" s="29"/>
      <c r="AQB41" s="30"/>
      <c r="AQC41" s="29"/>
      <c r="AQD41" s="30"/>
      <c r="AQE41" s="29"/>
      <c r="AQF41" s="30"/>
      <c r="AQG41" s="29"/>
      <c r="AQH41" s="30"/>
      <c r="AQI41" s="29"/>
      <c r="AQJ41" s="30"/>
      <c r="AQK41" s="29"/>
      <c r="AQL41" s="30"/>
      <c r="AQM41" s="29"/>
      <c r="AQN41" s="30"/>
      <c r="AQO41" s="29"/>
      <c r="AQP41" s="30"/>
      <c r="AQQ41" s="29"/>
      <c r="AQR41" s="30"/>
      <c r="AQS41" s="29"/>
      <c r="AQT41" s="30"/>
      <c r="AQU41" s="29"/>
      <c r="AQV41" s="30"/>
      <c r="AQW41" s="29"/>
      <c r="AQX41" s="30"/>
      <c r="AQY41" s="29"/>
      <c r="AQZ41" s="30"/>
      <c r="ARA41" s="29"/>
      <c r="ARB41" s="30"/>
      <c r="ARC41" s="29"/>
      <c r="ARD41" s="30"/>
      <c r="ARE41" s="29"/>
      <c r="ARF41" s="30"/>
      <c r="ARG41" s="29"/>
      <c r="ARH41" s="30"/>
      <c r="ARI41" s="29"/>
      <c r="ARJ41" s="30"/>
      <c r="ARK41" s="29"/>
      <c r="ARL41" s="30"/>
      <c r="ARM41" s="29"/>
      <c r="ARN41" s="30"/>
      <c r="ARO41" s="29"/>
      <c r="ARP41" s="30"/>
      <c r="ARQ41" s="29"/>
      <c r="ARR41" s="30"/>
      <c r="ARS41" s="29"/>
      <c r="ART41" s="30"/>
      <c r="ARU41" s="29"/>
      <c r="ARV41" s="30"/>
      <c r="ARW41" s="29"/>
      <c r="ARX41" s="30"/>
      <c r="ARY41" s="29"/>
      <c r="ARZ41" s="30"/>
      <c r="ASA41" s="29"/>
      <c r="ASB41" s="30"/>
      <c r="ASC41" s="29"/>
      <c r="ASD41" s="30"/>
      <c r="ASE41" s="29"/>
      <c r="ASF41" s="30"/>
      <c r="ASG41" s="29"/>
      <c r="ASH41" s="30"/>
      <c r="ASI41" s="29"/>
      <c r="ASJ41" s="30"/>
      <c r="ASK41" s="29"/>
      <c r="ASL41" s="30"/>
      <c r="ASM41" s="29"/>
      <c r="ASN41" s="30"/>
      <c r="ASO41" s="29"/>
      <c r="ASP41" s="30"/>
      <c r="ASQ41" s="29"/>
      <c r="ASR41" s="30"/>
      <c r="ASS41" s="29"/>
      <c r="AST41" s="30"/>
      <c r="ASU41" s="29"/>
      <c r="ASV41" s="30"/>
      <c r="ASW41" s="29"/>
      <c r="ASX41" s="30"/>
      <c r="ASY41" s="29"/>
      <c r="ASZ41" s="30"/>
      <c r="ATA41" s="29"/>
      <c r="ATB41" s="30"/>
      <c r="ATC41" s="29"/>
      <c r="ATD41" s="30"/>
      <c r="ATE41" s="29"/>
      <c r="ATF41" s="30"/>
      <c r="ATG41" s="29"/>
      <c r="ATH41" s="30"/>
      <c r="ATI41" s="29"/>
      <c r="ATJ41" s="30"/>
      <c r="ATK41" s="29"/>
      <c r="ATL41" s="30"/>
      <c r="ATM41" s="29"/>
      <c r="ATN41" s="30"/>
      <c r="ATO41" s="29"/>
      <c r="ATP41" s="30"/>
      <c r="ATQ41" s="29"/>
      <c r="ATR41" s="30"/>
      <c r="ATS41" s="29"/>
      <c r="ATT41" s="30"/>
      <c r="ATU41" s="29"/>
      <c r="ATV41" s="30"/>
      <c r="ATW41" s="29"/>
      <c r="ATX41" s="30"/>
      <c r="ATY41" s="29"/>
      <c r="ATZ41" s="30"/>
      <c r="AUA41" s="29"/>
      <c r="AUB41" s="30"/>
      <c r="AUC41" s="29"/>
      <c r="AUD41" s="30"/>
      <c r="AUE41" s="29"/>
      <c r="AUF41" s="30"/>
      <c r="AUG41" s="29"/>
      <c r="AUH41" s="30"/>
      <c r="AUI41" s="29"/>
      <c r="AUJ41" s="30"/>
      <c r="AUK41" s="29"/>
      <c r="AUL41" s="30"/>
      <c r="AUM41" s="29"/>
      <c r="AUN41" s="30"/>
      <c r="AUO41" s="29"/>
      <c r="AUP41" s="30"/>
      <c r="AUQ41" s="29"/>
      <c r="AUR41" s="30"/>
      <c r="AUS41" s="29"/>
      <c r="AUT41" s="30"/>
      <c r="AUU41" s="29"/>
      <c r="AUV41" s="30"/>
      <c r="AUW41" s="29"/>
      <c r="AUX41" s="30"/>
      <c r="AUY41" s="29"/>
      <c r="AUZ41" s="30"/>
      <c r="AVA41" s="29"/>
      <c r="AVB41" s="30"/>
      <c r="AVC41" s="29"/>
      <c r="AVD41" s="30"/>
      <c r="AVE41" s="29"/>
      <c r="AVF41" s="30"/>
      <c r="AVG41" s="29"/>
      <c r="AVH41" s="30"/>
      <c r="AVI41" s="29"/>
      <c r="AVJ41" s="30"/>
      <c r="AVK41" s="29"/>
      <c r="AVL41" s="30"/>
      <c r="AVM41" s="29"/>
      <c r="AVN41" s="30"/>
      <c r="AVO41" s="29"/>
      <c r="AVP41" s="30"/>
      <c r="AVQ41" s="29"/>
      <c r="AVR41" s="30"/>
      <c r="AVS41" s="29"/>
      <c r="AVT41" s="30"/>
      <c r="AVU41" s="29"/>
      <c r="AVV41" s="30"/>
      <c r="AVW41" s="29"/>
      <c r="AVX41" s="30"/>
      <c r="AVY41" s="29"/>
      <c r="AVZ41" s="30"/>
      <c r="AWA41" s="29"/>
      <c r="AWB41" s="30"/>
      <c r="AWC41" s="29"/>
      <c r="AWD41" s="30"/>
      <c r="AWE41" s="29"/>
      <c r="AWF41" s="30"/>
      <c r="AWG41" s="29"/>
      <c r="AWH41" s="30"/>
      <c r="AWI41" s="29"/>
      <c r="AWJ41" s="30"/>
      <c r="AWK41" s="29"/>
      <c r="AWL41" s="30"/>
      <c r="AWM41" s="29"/>
      <c r="AWN41" s="30"/>
      <c r="AWO41" s="29"/>
      <c r="AWP41" s="30"/>
      <c r="AWQ41" s="29"/>
      <c r="AWR41" s="30"/>
      <c r="AWS41" s="29"/>
      <c r="AWT41" s="30"/>
      <c r="AWU41" s="29"/>
      <c r="AWV41" s="30"/>
      <c r="AWW41" s="29"/>
      <c r="AWX41" s="30"/>
      <c r="AWY41" s="29"/>
      <c r="AWZ41" s="30"/>
      <c r="AXA41" s="29"/>
      <c r="AXB41" s="30"/>
      <c r="AXC41" s="29"/>
      <c r="AXD41" s="30"/>
      <c r="AXE41" s="29"/>
      <c r="AXF41" s="30"/>
      <c r="AXG41" s="29"/>
      <c r="AXH41" s="30"/>
      <c r="AXI41" s="29"/>
      <c r="AXJ41" s="30"/>
      <c r="AXK41" s="29"/>
      <c r="AXL41" s="30"/>
      <c r="AXM41" s="29"/>
      <c r="AXN41" s="30"/>
      <c r="AXO41" s="29"/>
      <c r="AXP41" s="30"/>
      <c r="AXQ41" s="29"/>
      <c r="AXR41" s="30"/>
      <c r="AXS41" s="29"/>
      <c r="AXT41" s="30"/>
      <c r="AXU41" s="29"/>
      <c r="AXV41" s="30"/>
      <c r="AXW41" s="29"/>
      <c r="AXX41" s="30"/>
      <c r="AXY41" s="29"/>
      <c r="AXZ41" s="30"/>
      <c r="AYA41" s="29"/>
      <c r="AYB41" s="30"/>
      <c r="AYC41" s="29"/>
      <c r="AYD41" s="30"/>
      <c r="AYE41" s="29"/>
      <c r="AYF41" s="30"/>
      <c r="AYG41" s="29"/>
      <c r="AYH41" s="30"/>
      <c r="AYI41" s="29"/>
      <c r="AYJ41" s="30"/>
      <c r="AYK41" s="29"/>
      <c r="AYL41" s="30"/>
      <c r="AYM41" s="29"/>
      <c r="AYN41" s="30"/>
      <c r="AYO41" s="29"/>
      <c r="AYP41" s="30"/>
      <c r="AYQ41" s="29"/>
      <c r="AYR41" s="30"/>
      <c r="AYS41" s="29"/>
      <c r="AYT41" s="30"/>
      <c r="AYU41" s="29"/>
      <c r="AYV41" s="30"/>
      <c r="AYW41" s="29"/>
      <c r="AYX41" s="30"/>
      <c r="AYY41" s="29"/>
      <c r="AYZ41" s="30"/>
      <c r="AZA41" s="29"/>
      <c r="AZB41" s="30"/>
      <c r="AZC41" s="29"/>
      <c r="AZD41" s="30"/>
      <c r="AZE41" s="29"/>
      <c r="AZF41" s="30"/>
      <c r="AZG41" s="29"/>
      <c r="AZH41" s="30"/>
      <c r="AZI41" s="29"/>
      <c r="AZJ41" s="30"/>
      <c r="AZK41" s="29"/>
      <c r="AZL41" s="30"/>
      <c r="AZM41" s="29"/>
      <c r="AZN41" s="30"/>
      <c r="AZO41" s="29"/>
      <c r="AZP41" s="30"/>
      <c r="AZQ41" s="29"/>
      <c r="AZR41" s="30"/>
      <c r="AZS41" s="29"/>
      <c r="AZT41" s="30"/>
      <c r="AZU41" s="29"/>
      <c r="AZV41" s="30"/>
      <c r="AZW41" s="29"/>
      <c r="AZX41" s="30"/>
      <c r="AZY41" s="29"/>
      <c r="AZZ41" s="30"/>
      <c r="BAA41" s="29"/>
      <c r="BAB41" s="30"/>
      <c r="BAC41" s="29"/>
      <c r="BAD41" s="30"/>
      <c r="BAE41" s="29"/>
      <c r="BAF41" s="30"/>
      <c r="BAG41" s="29"/>
      <c r="BAH41" s="30"/>
      <c r="BAI41" s="29"/>
      <c r="BAJ41" s="30"/>
      <c r="BAK41" s="29"/>
      <c r="BAL41" s="30"/>
      <c r="BAM41" s="29"/>
      <c r="BAN41" s="30"/>
      <c r="BAO41" s="29"/>
      <c r="BAP41" s="30"/>
      <c r="BAQ41" s="29"/>
      <c r="BAR41" s="30"/>
      <c r="BAS41" s="29"/>
      <c r="BAT41" s="30"/>
      <c r="BAU41" s="29"/>
      <c r="BAV41" s="30"/>
      <c r="BAW41" s="29"/>
      <c r="BAX41" s="30"/>
      <c r="BAY41" s="29"/>
      <c r="BAZ41" s="30"/>
      <c r="BBA41" s="29"/>
      <c r="BBB41" s="30"/>
      <c r="BBC41" s="29"/>
      <c r="BBD41" s="30"/>
      <c r="BBE41" s="29"/>
      <c r="BBF41" s="30"/>
      <c r="BBG41" s="29"/>
      <c r="BBH41" s="30"/>
      <c r="BBI41" s="29"/>
      <c r="BBJ41" s="30"/>
      <c r="BBK41" s="29"/>
      <c r="BBL41" s="30"/>
      <c r="BBM41" s="29"/>
      <c r="BBN41" s="30"/>
      <c r="BBO41" s="29"/>
      <c r="BBP41" s="30"/>
      <c r="BBQ41" s="29"/>
      <c r="BBR41" s="30"/>
      <c r="BBS41" s="29"/>
      <c r="BBT41" s="30"/>
      <c r="BBU41" s="29"/>
      <c r="BBV41" s="30"/>
      <c r="BBW41" s="29"/>
      <c r="BBX41" s="30"/>
      <c r="BBY41" s="29"/>
      <c r="BBZ41" s="30"/>
      <c r="BCA41" s="29"/>
      <c r="BCB41" s="30"/>
      <c r="BCC41" s="29"/>
      <c r="BCD41" s="30"/>
      <c r="BCE41" s="29"/>
      <c r="BCF41" s="30"/>
      <c r="BCG41" s="29"/>
      <c r="BCH41" s="30"/>
      <c r="BCI41" s="29"/>
      <c r="BCJ41" s="30"/>
      <c r="BCK41" s="29"/>
      <c r="BCL41" s="30"/>
      <c r="BCM41" s="29"/>
      <c r="BCN41" s="30"/>
      <c r="BCO41" s="29"/>
      <c r="BCP41" s="30"/>
      <c r="BCQ41" s="29"/>
      <c r="BCR41" s="30"/>
      <c r="BCS41" s="29"/>
      <c r="BCT41" s="30"/>
      <c r="BCU41" s="29"/>
      <c r="BCV41" s="30"/>
      <c r="BCW41" s="29"/>
      <c r="BCX41" s="30"/>
      <c r="BCY41" s="29"/>
      <c r="BCZ41" s="30"/>
      <c r="BDA41" s="29"/>
      <c r="BDB41" s="30"/>
      <c r="BDC41" s="29"/>
      <c r="BDD41" s="30"/>
      <c r="BDE41" s="29"/>
      <c r="BDF41" s="30"/>
      <c r="BDG41" s="29"/>
      <c r="BDH41" s="30"/>
      <c r="BDI41" s="29"/>
      <c r="BDJ41" s="30"/>
      <c r="BDK41" s="29"/>
      <c r="BDL41" s="30"/>
      <c r="BDM41" s="29"/>
      <c r="BDN41" s="30"/>
      <c r="BDO41" s="29"/>
      <c r="BDP41" s="30"/>
      <c r="BDQ41" s="29"/>
      <c r="BDR41" s="30"/>
      <c r="BDS41" s="29"/>
      <c r="BDT41" s="30"/>
      <c r="BDU41" s="29"/>
      <c r="BDV41" s="30"/>
      <c r="BDW41" s="29"/>
      <c r="BDX41" s="30"/>
      <c r="BDY41" s="29"/>
      <c r="BDZ41" s="30"/>
      <c r="BEA41" s="29"/>
      <c r="BEB41" s="30"/>
      <c r="BEC41" s="29"/>
      <c r="BED41" s="30"/>
      <c r="BEE41" s="29"/>
      <c r="BEF41" s="30"/>
      <c r="BEG41" s="29"/>
      <c r="BEH41" s="30"/>
      <c r="BEI41" s="29"/>
      <c r="BEJ41" s="30"/>
      <c r="BEK41" s="29"/>
      <c r="BEL41" s="30"/>
      <c r="BEM41" s="29"/>
      <c r="BEN41" s="30"/>
      <c r="BEO41" s="29"/>
      <c r="BEP41" s="30"/>
      <c r="BEQ41" s="29"/>
      <c r="BER41" s="30"/>
      <c r="BES41" s="29"/>
      <c r="BET41" s="30"/>
      <c r="BEU41" s="29"/>
      <c r="BEV41" s="30"/>
      <c r="BEW41" s="29"/>
      <c r="BEX41" s="30"/>
      <c r="BEY41" s="29"/>
      <c r="BEZ41" s="30"/>
      <c r="BFA41" s="29"/>
      <c r="BFB41" s="30"/>
      <c r="BFC41" s="29"/>
      <c r="BFD41" s="30"/>
      <c r="BFE41" s="29"/>
      <c r="BFF41" s="30"/>
      <c r="BFG41" s="29"/>
      <c r="BFH41" s="30"/>
      <c r="BFI41" s="29"/>
      <c r="BFJ41" s="30"/>
      <c r="BFK41" s="29"/>
      <c r="BFL41" s="30"/>
      <c r="BFM41" s="29"/>
      <c r="BFN41" s="30"/>
      <c r="BFO41" s="29"/>
      <c r="BFP41" s="30"/>
      <c r="BFQ41" s="29"/>
      <c r="BFR41" s="30"/>
      <c r="BFS41" s="29"/>
      <c r="BFT41" s="30"/>
      <c r="BFU41" s="29"/>
      <c r="BFV41" s="30"/>
      <c r="BFW41" s="29"/>
      <c r="BFX41" s="30"/>
      <c r="BFY41" s="29"/>
      <c r="BFZ41" s="30"/>
      <c r="BGA41" s="29"/>
      <c r="BGB41" s="30"/>
      <c r="BGC41" s="29"/>
      <c r="BGD41" s="30"/>
      <c r="BGE41" s="29"/>
      <c r="BGF41" s="30"/>
      <c r="BGG41" s="29"/>
      <c r="BGH41" s="30"/>
      <c r="BGI41" s="29"/>
      <c r="BGJ41" s="30"/>
      <c r="BGK41" s="29"/>
      <c r="BGL41" s="30"/>
      <c r="BGM41" s="29"/>
      <c r="BGN41" s="30"/>
      <c r="BGO41" s="29"/>
      <c r="BGP41" s="30"/>
      <c r="BGQ41" s="29"/>
      <c r="BGR41" s="30"/>
      <c r="BGS41" s="29"/>
      <c r="BGT41" s="30"/>
      <c r="BGU41" s="29"/>
      <c r="BGV41" s="30"/>
      <c r="BGW41" s="29"/>
      <c r="BGX41" s="30"/>
      <c r="BGY41" s="29"/>
      <c r="BGZ41" s="30"/>
      <c r="BHA41" s="29"/>
      <c r="BHB41" s="30"/>
      <c r="BHC41" s="29"/>
      <c r="BHD41" s="30"/>
      <c r="BHE41" s="29"/>
      <c r="BHF41" s="30"/>
      <c r="BHG41" s="29"/>
      <c r="BHH41" s="30"/>
      <c r="BHI41" s="29"/>
      <c r="BHJ41" s="30"/>
      <c r="BHK41" s="29"/>
      <c r="BHL41" s="30"/>
      <c r="BHM41" s="29"/>
      <c r="BHN41" s="30"/>
      <c r="BHO41" s="29"/>
      <c r="BHP41" s="30"/>
      <c r="BHQ41" s="29"/>
      <c r="BHR41" s="30"/>
      <c r="BHS41" s="29"/>
      <c r="BHT41" s="30"/>
      <c r="BHU41" s="29"/>
      <c r="BHV41" s="30"/>
      <c r="BHW41" s="29"/>
      <c r="BHX41" s="30"/>
      <c r="BHY41" s="29"/>
      <c r="BHZ41" s="30"/>
      <c r="BIA41" s="29"/>
      <c r="BIB41" s="30"/>
      <c r="BIC41" s="29"/>
      <c r="BID41" s="30"/>
      <c r="BIE41" s="29"/>
      <c r="BIF41" s="30"/>
      <c r="BIG41" s="29"/>
      <c r="BIH41" s="30"/>
      <c r="BII41" s="29"/>
      <c r="BIJ41" s="30"/>
      <c r="BIK41" s="29"/>
      <c r="BIL41" s="30"/>
      <c r="BIM41" s="29"/>
      <c r="BIN41" s="30"/>
      <c r="BIO41" s="29"/>
      <c r="BIP41" s="30"/>
      <c r="BIQ41" s="29"/>
      <c r="BIR41" s="30"/>
      <c r="BIS41" s="29"/>
      <c r="BIT41" s="30"/>
      <c r="BIU41" s="29"/>
      <c r="BIV41" s="30"/>
      <c r="BIW41" s="29"/>
      <c r="BIX41" s="30"/>
      <c r="BIY41" s="29"/>
      <c r="BIZ41" s="30"/>
      <c r="BJA41" s="29"/>
      <c r="BJB41" s="30"/>
      <c r="BJC41" s="29"/>
      <c r="BJD41" s="30"/>
      <c r="BJE41" s="29"/>
      <c r="BJF41" s="30"/>
      <c r="BJG41" s="29"/>
      <c r="BJH41" s="30"/>
      <c r="BJI41" s="29"/>
      <c r="BJJ41" s="30"/>
      <c r="BJK41" s="29"/>
      <c r="BJL41" s="30"/>
      <c r="BJM41" s="29"/>
      <c r="BJN41" s="30"/>
      <c r="BJO41" s="29"/>
      <c r="BJP41" s="30"/>
      <c r="BJQ41" s="29"/>
      <c r="BJR41" s="30"/>
      <c r="BJS41" s="29"/>
      <c r="BJT41" s="30"/>
      <c r="BJU41" s="29"/>
      <c r="BJV41" s="30"/>
      <c r="BJW41" s="29"/>
      <c r="BJX41" s="30"/>
      <c r="BJY41" s="29"/>
      <c r="BJZ41" s="30"/>
      <c r="BKA41" s="29"/>
      <c r="BKB41" s="30"/>
      <c r="BKC41" s="29"/>
      <c r="BKD41" s="30"/>
      <c r="BKE41" s="29"/>
      <c r="BKF41" s="30"/>
      <c r="BKG41" s="29"/>
      <c r="BKH41" s="30"/>
      <c r="BKI41" s="29"/>
      <c r="BKJ41" s="30"/>
      <c r="BKK41" s="29"/>
      <c r="BKL41" s="30"/>
      <c r="BKM41" s="29"/>
      <c r="BKN41" s="30"/>
      <c r="BKO41" s="29"/>
      <c r="BKP41" s="30"/>
      <c r="BKQ41" s="29"/>
      <c r="BKR41" s="30"/>
      <c r="BKS41" s="29"/>
      <c r="BKT41" s="30"/>
      <c r="BKU41" s="29"/>
      <c r="BKV41" s="30"/>
      <c r="BKW41" s="29"/>
      <c r="BKX41" s="30"/>
      <c r="BKY41" s="29"/>
      <c r="BKZ41" s="30"/>
      <c r="BLA41" s="29"/>
      <c r="BLB41" s="30"/>
      <c r="BLC41" s="29"/>
      <c r="BLD41" s="30"/>
      <c r="BLE41" s="29"/>
      <c r="BLF41" s="30"/>
      <c r="BLG41" s="29"/>
      <c r="BLH41" s="30"/>
      <c r="BLI41" s="29"/>
      <c r="BLJ41" s="30"/>
      <c r="BLK41" s="29"/>
      <c r="BLL41" s="30"/>
      <c r="BLM41" s="29"/>
      <c r="BLN41" s="30"/>
      <c r="BLO41" s="29"/>
      <c r="BLP41" s="30"/>
      <c r="BLQ41" s="29"/>
      <c r="BLR41" s="30"/>
      <c r="BLS41" s="29"/>
      <c r="BLT41" s="30"/>
      <c r="BLU41" s="29"/>
      <c r="BLV41" s="30"/>
      <c r="BLW41" s="29"/>
      <c r="BLX41" s="30"/>
      <c r="BLY41" s="29"/>
      <c r="BLZ41" s="30"/>
      <c r="BMA41" s="29"/>
      <c r="BMB41" s="30"/>
      <c r="BMC41" s="29"/>
      <c r="BMD41" s="30"/>
      <c r="BME41" s="29"/>
      <c r="BMF41" s="30"/>
      <c r="BMG41" s="29"/>
      <c r="BMH41" s="30"/>
      <c r="BMI41" s="29"/>
      <c r="BMJ41" s="30"/>
      <c r="BMK41" s="29"/>
      <c r="BML41" s="30"/>
      <c r="BMM41" s="29"/>
      <c r="BMN41" s="30"/>
      <c r="BMO41" s="29"/>
      <c r="BMP41" s="30"/>
      <c r="BMQ41" s="29"/>
      <c r="BMR41" s="30"/>
      <c r="BMS41" s="29"/>
      <c r="BMT41" s="30"/>
      <c r="BMU41" s="29"/>
      <c r="BMV41" s="30"/>
      <c r="BMW41" s="29"/>
      <c r="BMX41" s="30"/>
      <c r="BMY41" s="29"/>
      <c r="BMZ41" s="30"/>
      <c r="BNA41" s="29"/>
      <c r="BNB41" s="30"/>
      <c r="BNC41" s="29"/>
      <c r="BND41" s="30"/>
      <c r="BNE41" s="29"/>
      <c r="BNF41" s="30"/>
      <c r="BNG41" s="29"/>
      <c r="BNH41" s="30"/>
      <c r="BNI41" s="29"/>
      <c r="BNJ41" s="30"/>
      <c r="BNK41" s="29"/>
      <c r="BNL41" s="30"/>
      <c r="BNM41" s="29"/>
      <c r="BNN41" s="30"/>
      <c r="BNO41" s="29"/>
      <c r="BNP41" s="30"/>
      <c r="BNQ41" s="29"/>
      <c r="BNR41" s="30"/>
      <c r="BNS41" s="29"/>
      <c r="BNT41" s="30"/>
      <c r="BNU41" s="29"/>
      <c r="BNV41" s="30"/>
      <c r="BNW41" s="29"/>
      <c r="BNX41" s="30"/>
      <c r="BNY41" s="29"/>
      <c r="BNZ41" s="30"/>
      <c r="BOA41" s="29"/>
      <c r="BOB41" s="30"/>
      <c r="BOC41" s="29"/>
      <c r="BOD41" s="30"/>
      <c r="BOE41" s="29"/>
      <c r="BOF41" s="30"/>
      <c r="BOG41" s="29"/>
      <c r="BOH41" s="30"/>
      <c r="BOI41" s="29"/>
      <c r="BOJ41" s="30"/>
      <c r="BOK41" s="29"/>
      <c r="BOL41" s="30"/>
      <c r="BOM41" s="29"/>
      <c r="BON41" s="30"/>
      <c r="BOO41" s="29"/>
      <c r="BOP41" s="30"/>
      <c r="BOQ41" s="29"/>
      <c r="BOR41" s="30"/>
      <c r="BOS41" s="29"/>
      <c r="BOT41" s="30"/>
      <c r="BOU41" s="29"/>
      <c r="BOV41" s="30"/>
      <c r="BOW41" s="29"/>
      <c r="BOX41" s="30"/>
      <c r="BOY41" s="29"/>
      <c r="BOZ41" s="30"/>
      <c r="BPA41" s="29"/>
      <c r="BPB41" s="30"/>
      <c r="BPC41" s="29"/>
      <c r="BPD41" s="30"/>
      <c r="BPE41" s="29"/>
      <c r="BPF41" s="30"/>
      <c r="BPG41" s="29"/>
      <c r="BPH41" s="30"/>
      <c r="BPI41" s="29"/>
      <c r="BPJ41" s="30"/>
      <c r="BPK41" s="29"/>
      <c r="BPL41" s="30"/>
      <c r="BPM41" s="29"/>
      <c r="BPN41" s="30"/>
      <c r="BPO41" s="29"/>
      <c r="BPP41" s="30"/>
      <c r="BPQ41" s="29"/>
      <c r="BPR41" s="30"/>
      <c r="BPS41" s="29"/>
      <c r="BPT41" s="30"/>
      <c r="BPU41" s="29"/>
      <c r="BPV41" s="30"/>
      <c r="BPW41" s="29"/>
      <c r="BPX41" s="30"/>
      <c r="BPY41" s="29"/>
      <c r="BPZ41" s="30"/>
      <c r="BQA41" s="29"/>
      <c r="BQB41" s="30"/>
      <c r="BQC41" s="29"/>
      <c r="BQD41" s="30"/>
      <c r="BQE41" s="29"/>
      <c r="BQF41" s="30"/>
      <c r="BQG41" s="29"/>
      <c r="BQH41" s="30"/>
      <c r="BQI41" s="29"/>
      <c r="BQJ41" s="30"/>
      <c r="BQK41" s="29"/>
      <c r="BQL41" s="30"/>
      <c r="BQM41" s="29"/>
      <c r="BQN41" s="30"/>
      <c r="BQO41" s="29"/>
      <c r="BQP41" s="30"/>
      <c r="BQQ41" s="29"/>
      <c r="BQR41" s="30"/>
      <c r="BQS41" s="29"/>
      <c r="BQT41" s="30"/>
      <c r="BQU41" s="29"/>
      <c r="BQV41" s="30"/>
      <c r="BQW41" s="29"/>
      <c r="BQX41" s="30"/>
      <c r="BQY41" s="29"/>
      <c r="BQZ41" s="30"/>
      <c r="BRA41" s="29"/>
      <c r="BRB41" s="30"/>
      <c r="BRC41" s="29"/>
      <c r="BRD41" s="30"/>
      <c r="BRE41" s="29"/>
      <c r="BRF41" s="30"/>
      <c r="BRG41" s="29"/>
      <c r="BRH41" s="30"/>
      <c r="BRI41" s="29"/>
      <c r="BRJ41" s="30"/>
      <c r="BRK41" s="29"/>
      <c r="BRL41" s="30"/>
      <c r="BRM41" s="29"/>
      <c r="BRN41" s="30"/>
      <c r="BRO41" s="29"/>
      <c r="BRP41" s="30"/>
      <c r="BRQ41" s="29"/>
      <c r="BRR41" s="30"/>
      <c r="BRS41" s="29"/>
      <c r="BRT41" s="30"/>
      <c r="BRU41" s="29"/>
      <c r="BRV41" s="30"/>
      <c r="BRW41" s="29"/>
      <c r="BRX41" s="30"/>
      <c r="BRY41" s="29"/>
      <c r="BRZ41" s="30"/>
      <c r="BSA41" s="29"/>
      <c r="BSB41" s="30"/>
      <c r="BSC41" s="29"/>
      <c r="BSD41" s="30"/>
      <c r="BSE41" s="29"/>
      <c r="BSF41" s="30"/>
      <c r="BSG41" s="29"/>
      <c r="BSH41" s="30"/>
      <c r="BSI41" s="29"/>
      <c r="BSJ41" s="30"/>
      <c r="BSK41" s="29"/>
      <c r="BSL41" s="30"/>
      <c r="BSM41" s="29"/>
      <c r="BSN41" s="30"/>
      <c r="BSO41" s="29"/>
      <c r="BSP41" s="30"/>
      <c r="BSQ41" s="29"/>
      <c r="BSR41" s="30"/>
      <c r="BSS41" s="29"/>
      <c r="BST41" s="30"/>
      <c r="BSU41" s="29"/>
      <c r="BSV41" s="30"/>
      <c r="BSW41" s="29"/>
      <c r="BSX41" s="30"/>
      <c r="BSY41" s="29"/>
      <c r="BSZ41" s="30"/>
      <c r="BTA41" s="29"/>
      <c r="BTB41" s="30"/>
      <c r="BTC41" s="29"/>
      <c r="BTD41" s="30"/>
      <c r="BTE41" s="29"/>
      <c r="BTF41" s="30"/>
      <c r="BTG41" s="29"/>
      <c r="BTH41" s="30"/>
      <c r="BTI41" s="29"/>
      <c r="BTJ41" s="30"/>
      <c r="BTK41" s="29"/>
      <c r="BTL41" s="30"/>
      <c r="BTM41" s="29"/>
      <c r="BTN41" s="30"/>
      <c r="BTO41" s="29"/>
      <c r="BTP41" s="30"/>
      <c r="BTQ41" s="29"/>
      <c r="BTR41" s="30"/>
      <c r="BTS41" s="29"/>
      <c r="BTT41" s="30"/>
      <c r="BTU41" s="29"/>
      <c r="BTV41" s="30"/>
      <c r="BTW41" s="29"/>
      <c r="BTX41" s="30"/>
      <c r="BTY41" s="29"/>
      <c r="BTZ41" s="30"/>
      <c r="BUA41" s="29"/>
      <c r="BUB41" s="30"/>
      <c r="BUC41" s="29"/>
      <c r="BUD41" s="30"/>
      <c r="BUE41" s="29"/>
      <c r="BUF41" s="30"/>
      <c r="BUG41" s="29"/>
      <c r="BUH41" s="30"/>
      <c r="BUI41" s="29"/>
      <c r="BUJ41" s="30"/>
      <c r="BUK41" s="29"/>
      <c r="BUL41" s="30"/>
      <c r="BUM41" s="29"/>
      <c r="BUN41" s="30"/>
      <c r="BUO41" s="29"/>
      <c r="BUP41" s="30"/>
      <c r="BUQ41" s="29"/>
      <c r="BUR41" s="30"/>
      <c r="BUS41" s="29"/>
      <c r="BUT41" s="30"/>
      <c r="BUU41" s="29"/>
      <c r="BUV41" s="30"/>
      <c r="BUW41" s="29"/>
      <c r="BUX41" s="30"/>
      <c r="BUY41" s="29"/>
      <c r="BUZ41" s="30"/>
      <c r="BVA41" s="29"/>
      <c r="BVB41" s="30"/>
      <c r="BVC41" s="29"/>
      <c r="BVD41" s="30"/>
      <c r="BVE41" s="29"/>
      <c r="BVF41" s="30"/>
      <c r="BVG41" s="29"/>
      <c r="BVH41" s="30"/>
      <c r="BVI41" s="29"/>
      <c r="BVJ41" s="30"/>
      <c r="BVK41" s="29"/>
      <c r="BVL41" s="30"/>
      <c r="BVM41" s="29"/>
      <c r="BVN41" s="30"/>
      <c r="BVO41" s="29"/>
      <c r="BVP41" s="30"/>
      <c r="BVQ41" s="29"/>
      <c r="BVR41" s="30"/>
      <c r="BVS41" s="29"/>
      <c r="BVT41" s="30"/>
      <c r="BVU41" s="29"/>
      <c r="BVV41" s="30"/>
      <c r="BVW41" s="29"/>
      <c r="BVX41" s="30"/>
      <c r="BVY41" s="29"/>
      <c r="BVZ41" s="30"/>
      <c r="BWA41" s="29"/>
      <c r="BWB41" s="30"/>
      <c r="BWC41" s="29"/>
      <c r="BWD41" s="30"/>
      <c r="BWE41" s="29"/>
      <c r="BWF41" s="30"/>
      <c r="BWG41" s="29"/>
      <c r="BWH41" s="30"/>
      <c r="BWI41" s="29"/>
      <c r="BWJ41" s="30"/>
      <c r="BWK41" s="29"/>
      <c r="BWL41" s="30"/>
      <c r="BWM41" s="29"/>
      <c r="BWN41" s="30"/>
      <c r="BWO41" s="29"/>
      <c r="BWP41" s="30"/>
      <c r="BWQ41" s="29"/>
      <c r="BWR41" s="30"/>
      <c r="BWS41" s="29"/>
      <c r="BWT41" s="30"/>
      <c r="BWU41" s="29"/>
      <c r="BWV41" s="30"/>
      <c r="BWW41" s="29"/>
      <c r="BWX41" s="30"/>
      <c r="BWY41" s="29"/>
      <c r="BWZ41" s="30"/>
      <c r="BXA41" s="29"/>
      <c r="BXB41" s="30"/>
      <c r="BXC41" s="29"/>
      <c r="BXD41" s="30"/>
      <c r="BXE41" s="29"/>
      <c r="BXF41" s="30"/>
      <c r="BXG41" s="29"/>
      <c r="BXH41" s="30"/>
      <c r="BXI41" s="29"/>
      <c r="BXJ41" s="30"/>
      <c r="BXK41" s="29"/>
      <c r="BXL41" s="30"/>
      <c r="BXM41" s="29"/>
      <c r="BXN41" s="30"/>
      <c r="BXO41" s="29"/>
      <c r="BXP41" s="30"/>
      <c r="BXQ41" s="29"/>
      <c r="BXR41" s="30"/>
      <c r="BXS41" s="29"/>
      <c r="BXT41" s="30"/>
      <c r="BXU41" s="29"/>
      <c r="BXV41" s="30"/>
      <c r="BXW41" s="29"/>
      <c r="BXX41" s="30"/>
      <c r="BXY41" s="29"/>
      <c r="BXZ41" s="30"/>
      <c r="BYA41" s="29"/>
      <c r="BYB41" s="30"/>
      <c r="BYC41" s="29"/>
      <c r="BYD41" s="30"/>
      <c r="BYE41" s="29"/>
      <c r="BYF41" s="30"/>
      <c r="BYG41" s="29"/>
      <c r="BYH41" s="30"/>
      <c r="BYI41" s="29"/>
      <c r="BYJ41" s="30"/>
      <c r="BYK41" s="29"/>
      <c r="BYL41" s="30"/>
      <c r="BYM41" s="29"/>
      <c r="BYN41" s="30"/>
      <c r="BYO41" s="29"/>
      <c r="BYP41" s="30"/>
      <c r="BYQ41" s="29"/>
      <c r="BYR41" s="30"/>
      <c r="BYS41" s="29"/>
      <c r="BYT41" s="30"/>
      <c r="BYU41" s="29"/>
      <c r="BYV41" s="30"/>
      <c r="BYW41" s="29"/>
      <c r="BYX41" s="30"/>
      <c r="BYY41" s="29"/>
      <c r="BYZ41" s="30"/>
      <c r="BZA41" s="29"/>
      <c r="BZB41" s="30"/>
      <c r="BZC41" s="29"/>
      <c r="BZD41" s="30"/>
      <c r="BZE41" s="29"/>
      <c r="BZF41" s="30"/>
      <c r="BZG41" s="29"/>
      <c r="BZH41" s="30"/>
      <c r="BZI41" s="29"/>
      <c r="BZJ41" s="30"/>
      <c r="BZK41" s="29"/>
      <c r="BZL41" s="30"/>
      <c r="BZM41" s="29"/>
      <c r="BZN41" s="30"/>
      <c r="BZO41" s="29"/>
      <c r="BZP41" s="30"/>
      <c r="BZQ41" s="29"/>
      <c r="BZR41" s="30"/>
      <c r="BZS41" s="29"/>
      <c r="BZT41" s="30"/>
      <c r="BZU41" s="29"/>
      <c r="BZV41" s="30"/>
      <c r="BZW41" s="29"/>
      <c r="BZX41" s="30"/>
      <c r="BZY41" s="29"/>
      <c r="BZZ41" s="30"/>
      <c r="CAA41" s="29"/>
      <c r="CAB41" s="30"/>
      <c r="CAC41" s="29"/>
      <c r="CAD41" s="30"/>
      <c r="CAE41" s="29"/>
      <c r="CAF41" s="30"/>
      <c r="CAG41" s="29"/>
      <c r="CAH41" s="30"/>
      <c r="CAI41" s="29"/>
      <c r="CAJ41" s="30"/>
      <c r="CAK41" s="29"/>
      <c r="CAL41" s="30"/>
      <c r="CAM41" s="29"/>
      <c r="CAN41" s="30"/>
      <c r="CAO41" s="29"/>
      <c r="CAP41" s="30"/>
      <c r="CAQ41" s="29"/>
      <c r="CAR41" s="30"/>
      <c r="CAS41" s="29"/>
      <c r="CAT41" s="30"/>
      <c r="CAU41" s="29"/>
      <c r="CAV41" s="30"/>
      <c r="CAW41" s="29"/>
      <c r="CAX41" s="30"/>
      <c r="CAY41" s="29"/>
      <c r="CAZ41" s="30"/>
      <c r="CBA41" s="29"/>
      <c r="CBB41" s="30"/>
      <c r="CBC41" s="29"/>
      <c r="CBD41" s="30"/>
      <c r="CBE41" s="29"/>
      <c r="CBF41" s="30"/>
      <c r="CBG41" s="29"/>
      <c r="CBH41" s="30"/>
      <c r="CBI41" s="29"/>
      <c r="CBJ41" s="30"/>
      <c r="CBK41" s="29"/>
      <c r="CBL41" s="30"/>
      <c r="CBM41" s="29"/>
      <c r="CBN41" s="30"/>
      <c r="CBO41" s="29"/>
      <c r="CBP41" s="30"/>
      <c r="CBQ41" s="29"/>
      <c r="CBR41" s="30"/>
      <c r="CBS41" s="29"/>
      <c r="CBT41" s="30"/>
      <c r="CBU41" s="29"/>
      <c r="CBV41" s="30"/>
      <c r="CBW41" s="29"/>
      <c r="CBX41" s="30"/>
      <c r="CBY41" s="29"/>
      <c r="CBZ41" s="30"/>
      <c r="CCA41" s="29"/>
      <c r="CCB41" s="30"/>
      <c r="CCC41" s="29"/>
      <c r="CCD41" s="30"/>
      <c r="CCE41" s="29"/>
      <c r="CCF41" s="30"/>
      <c r="CCG41" s="29"/>
      <c r="CCH41" s="30"/>
      <c r="CCI41" s="29"/>
      <c r="CCJ41" s="30"/>
      <c r="CCK41" s="29"/>
      <c r="CCL41" s="30"/>
      <c r="CCM41" s="29"/>
      <c r="CCN41" s="30"/>
      <c r="CCO41" s="29"/>
      <c r="CCP41" s="30"/>
      <c r="CCQ41" s="29"/>
      <c r="CCR41" s="30"/>
      <c r="CCS41" s="29"/>
      <c r="CCT41" s="30"/>
      <c r="CCU41" s="29"/>
      <c r="CCV41" s="30"/>
      <c r="CCW41" s="29"/>
      <c r="CCX41" s="30"/>
      <c r="CCY41" s="29"/>
      <c r="CCZ41" s="30"/>
      <c r="CDA41" s="29"/>
      <c r="CDB41" s="30"/>
      <c r="CDC41" s="29"/>
      <c r="CDD41" s="30"/>
      <c r="CDE41" s="29"/>
      <c r="CDF41" s="30"/>
      <c r="CDG41" s="29"/>
      <c r="CDH41" s="30"/>
      <c r="CDI41" s="29"/>
      <c r="CDJ41" s="30"/>
      <c r="CDK41" s="29"/>
      <c r="CDL41" s="30"/>
      <c r="CDM41" s="29"/>
      <c r="CDN41" s="30"/>
      <c r="CDO41" s="29"/>
      <c r="CDP41" s="30"/>
      <c r="CDQ41" s="29"/>
      <c r="CDR41" s="30"/>
      <c r="CDS41" s="29"/>
      <c r="CDT41" s="30"/>
      <c r="CDU41" s="29"/>
      <c r="CDV41" s="30"/>
      <c r="CDW41" s="29"/>
      <c r="CDX41" s="30"/>
      <c r="CDY41" s="29"/>
      <c r="CDZ41" s="30"/>
      <c r="CEA41" s="29"/>
      <c r="CEB41" s="30"/>
      <c r="CEC41" s="29"/>
      <c r="CED41" s="30"/>
      <c r="CEE41" s="29"/>
      <c r="CEF41" s="30"/>
      <c r="CEG41" s="29"/>
      <c r="CEH41" s="30"/>
      <c r="CEI41" s="29"/>
      <c r="CEJ41" s="30"/>
      <c r="CEK41" s="29"/>
      <c r="CEL41" s="30"/>
      <c r="CEM41" s="29"/>
      <c r="CEN41" s="30"/>
      <c r="CEO41" s="29"/>
      <c r="CEP41" s="30"/>
      <c r="CEQ41" s="29"/>
      <c r="CER41" s="30"/>
      <c r="CES41" s="29"/>
      <c r="CET41" s="30"/>
      <c r="CEU41" s="29"/>
      <c r="CEV41" s="30"/>
      <c r="CEW41" s="29"/>
      <c r="CEX41" s="30"/>
      <c r="CEY41" s="29"/>
      <c r="CEZ41" s="30"/>
      <c r="CFA41" s="29"/>
      <c r="CFB41" s="30"/>
      <c r="CFC41" s="29"/>
      <c r="CFD41" s="30"/>
      <c r="CFE41" s="29"/>
      <c r="CFF41" s="30"/>
      <c r="CFG41" s="29"/>
      <c r="CFH41" s="30"/>
      <c r="CFI41" s="29"/>
      <c r="CFJ41" s="30"/>
      <c r="CFK41" s="29"/>
      <c r="CFL41" s="30"/>
      <c r="CFM41" s="29"/>
      <c r="CFN41" s="30"/>
      <c r="CFO41" s="29"/>
      <c r="CFP41" s="30"/>
      <c r="CFQ41" s="29"/>
      <c r="CFR41" s="30"/>
      <c r="CFS41" s="29"/>
      <c r="CFT41" s="30"/>
      <c r="CFU41" s="29"/>
      <c r="CFV41" s="30"/>
      <c r="CFW41" s="29"/>
      <c r="CFX41" s="30"/>
      <c r="CFY41" s="29"/>
      <c r="CFZ41" s="30"/>
      <c r="CGA41" s="29"/>
      <c r="CGB41" s="30"/>
      <c r="CGC41" s="29"/>
      <c r="CGD41" s="30"/>
      <c r="CGE41" s="29"/>
      <c r="CGF41" s="30"/>
      <c r="CGG41" s="29"/>
      <c r="CGH41" s="30"/>
      <c r="CGI41" s="29"/>
      <c r="CGJ41" s="30"/>
      <c r="CGK41" s="29"/>
      <c r="CGL41" s="30"/>
      <c r="CGM41" s="29"/>
      <c r="CGN41" s="30"/>
      <c r="CGO41" s="29"/>
      <c r="CGP41" s="30"/>
      <c r="CGQ41" s="29"/>
      <c r="CGR41" s="30"/>
      <c r="CGS41" s="29"/>
      <c r="CGT41" s="30"/>
      <c r="CGU41" s="29"/>
      <c r="CGV41" s="30"/>
      <c r="CGW41" s="29"/>
      <c r="CGX41" s="30"/>
      <c r="CGY41" s="29"/>
      <c r="CGZ41" s="30"/>
      <c r="CHA41" s="29"/>
      <c r="CHB41" s="30"/>
      <c r="CHC41" s="29"/>
      <c r="CHD41" s="30"/>
      <c r="CHE41" s="29"/>
      <c r="CHF41" s="30"/>
      <c r="CHG41" s="29"/>
      <c r="CHH41" s="30"/>
      <c r="CHI41" s="29"/>
      <c r="CHJ41" s="30"/>
      <c r="CHK41" s="29"/>
      <c r="CHL41" s="30"/>
      <c r="CHM41" s="29"/>
      <c r="CHN41" s="30"/>
      <c r="CHO41" s="29"/>
      <c r="CHP41" s="30"/>
      <c r="CHQ41" s="29"/>
      <c r="CHR41" s="30"/>
      <c r="CHS41" s="29"/>
      <c r="CHT41" s="30"/>
      <c r="CHU41" s="29"/>
      <c r="CHV41" s="30"/>
      <c r="CHW41" s="29"/>
      <c r="CHX41" s="30"/>
      <c r="CHY41" s="29"/>
      <c r="CHZ41" s="30"/>
      <c r="CIA41" s="29"/>
      <c r="CIB41" s="30"/>
      <c r="CIC41" s="29"/>
      <c r="CID41" s="30"/>
      <c r="CIE41" s="29"/>
      <c r="CIF41" s="30"/>
      <c r="CIG41" s="29"/>
      <c r="CIH41" s="30"/>
      <c r="CII41" s="29"/>
      <c r="CIJ41" s="30"/>
      <c r="CIK41" s="29"/>
      <c r="CIL41" s="30"/>
      <c r="CIM41" s="29"/>
      <c r="CIN41" s="30"/>
      <c r="CIO41" s="29"/>
      <c r="CIP41" s="30"/>
      <c r="CIQ41" s="29"/>
      <c r="CIR41" s="30"/>
      <c r="CIS41" s="29"/>
      <c r="CIT41" s="30"/>
      <c r="CIU41" s="29"/>
      <c r="CIV41" s="30"/>
      <c r="CIW41" s="29"/>
      <c r="CIX41" s="30"/>
      <c r="CIY41" s="29"/>
      <c r="CIZ41" s="30"/>
      <c r="CJA41" s="29"/>
      <c r="CJB41" s="30"/>
      <c r="CJC41" s="29"/>
      <c r="CJD41" s="30"/>
      <c r="CJE41" s="29"/>
      <c r="CJF41" s="30"/>
      <c r="CJG41" s="29"/>
      <c r="CJH41" s="30"/>
      <c r="CJI41" s="29"/>
      <c r="CJJ41" s="30"/>
      <c r="CJK41" s="29"/>
      <c r="CJL41" s="30"/>
      <c r="CJM41" s="29"/>
      <c r="CJN41" s="30"/>
      <c r="CJO41" s="29"/>
      <c r="CJP41" s="30"/>
      <c r="CJQ41" s="29"/>
      <c r="CJR41" s="30"/>
      <c r="CJS41" s="29"/>
      <c r="CJT41" s="30"/>
      <c r="CJU41" s="29"/>
      <c r="CJV41" s="30"/>
      <c r="CJW41" s="29"/>
      <c r="CJX41" s="30"/>
      <c r="CJY41" s="29"/>
      <c r="CJZ41" s="30"/>
      <c r="CKA41" s="29"/>
      <c r="CKB41" s="30"/>
      <c r="CKC41" s="29"/>
      <c r="CKD41" s="30"/>
      <c r="CKE41" s="29"/>
      <c r="CKF41" s="30"/>
      <c r="CKG41" s="29"/>
      <c r="CKH41" s="30"/>
      <c r="CKI41" s="29"/>
      <c r="CKJ41" s="30"/>
      <c r="CKK41" s="29"/>
      <c r="CKL41" s="30"/>
      <c r="CKM41" s="29"/>
      <c r="CKN41" s="30"/>
      <c r="CKO41" s="29"/>
      <c r="CKP41" s="30"/>
      <c r="CKQ41" s="29"/>
      <c r="CKR41" s="30"/>
      <c r="CKS41" s="29"/>
      <c r="CKT41" s="30"/>
      <c r="CKU41" s="29"/>
      <c r="CKV41" s="30"/>
      <c r="CKW41" s="29"/>
      <c r="CKX41" s="30"/>
      <c r="CKY41" s="29"/>
      <c r="CKZ41" s="30"/>
      <c r="CLA41" s="29"/>
      <c r="CLB41" s="30"/>
      <c r="CLC41" s="29"/>
      <c r="CLD41" s="30"/>
      <c r="CLE41" s="29"/>
      <c r="CLF41" s="30"/>
      <c r="CLG41" s="29"/>
      <c r="CLH41" s="30"/>
      <c r="CLI41" s="29"/>
      <c r="CLJ41" s="30"/>
      <c r="CLK41" s="29"/>
      <c r="CLL41" s="30"/>
      <c r="CLM41" s="29"/>
      <c r="CLN41" s="30"/>
      <c r="CLO41" s="29"/>
      <c r="CLP41" s="30"/>
      <c r="CLQ41" s="29"/>
      <c r="CLR41" s="30"/>
      <c r="CLS41" s="29"/>
      <c r="CLT41" s="30"/>
      <c r="CLU41" s="29"/>
      <c r="CLV41" s="30"/>
      <c r="CLW41" s="29"/>
      <c r="CLX41" s="30"/>
      <c r="CLY41" s="29"/>
      <c r="CLZ41" s="30"/>
      <c r="CMA41" s="29"/>
      <c r="CMB41" s="30"/>
      <c r="CMC41" s="29"/>
      <c r="CMD41" s="30"/>
      <c r="CME41" s="29"/>
      <c r="CMF41" s="30"/>
      <c r="CMG41" s="29"/>
      <c r="CMH41" s="30"/>
      <c r="CMI41" s="29"/>
      <c r="CMJ41" s="30"/>
      <c r="CMK41" s="29"/>
      <c r="CML41" s="30"/>
      <c r="CMM41" s="29"/>
      <c r="CMN41" s="30"/>
      <c r="CMO41" s="29"/>
      <c r="CMP41" s="30"/>
      <c r="CMQ41" s="29"/>
      <c r="CMR41" s="30"/>
      <c r="CMS41" s="29"/>
      <c r="CMT41" s="30"/>
      <c r="CMU41" s="29"/>
      <c r="CMV41" s="30"/>
      <c r="CMW41" s="29"/>
      <c r="CMX41" s="30"/>
      <c r="CMY41" s="29"/>
      <c r="CMZ41" s="30"/>
      <c r="CNA41" s="29"/>
      <c r="CNB41" s="30"/>
      <c r="CNC41" s="29"/>
      <c r="CND41" s="30"/>
      <c r="CNE41" s="29"/>
      <c r="CNF41" s="30"/>
      <c r="CNG41" s="29"/>
      <c r="CNH41" s="30"/>
      <c r="CNI41" s="29"/>
      <c r="CNJ41" s="30"/>
      <c r="CNK41" s="29"/>
      <c r="CNL41" s="30"/>
      <c r="CNM41" s="29"/>
      <c r="CNN41" s="30"/>
      <c r="CNO41" s="29"/>
      <c r="CNP41" s="30"/>
      <c r="CNQ41" s="29"/>
      <c r="CNR41" s="30"/>
      <c r="CNS41" s="29"/>
      <c r="CNT41" s="30"/>
      <c r="CNU41" s="29"/>
      <c r="CNV41" s="30"/>
      <c r="CNW41" s="29"/>
      <c r="CNX41" s="30"/>
      <c r="CNY41" s="29"/>
      <c r="CNZ41" s="30"/>
      <c r="COA41" s="29"/>
      <c r="COB41" s="30"/>
      <c r="COC41" s="29"/>
      <c r="COD41" s="30"/>
      <c r="COE41" s="29"/>
      <c r="COF41" s="30"/>
      <c r="COG41" s="29"/>
      <c r="COH41" s="30"/>
      <c r="COI41" s="29"/>
      <c r="COJ41" s="30"/>
      <c r="COK41" s="29"/>
      <c r="COL41" s="30"/>
      <c r="COM41" s="29"/>
      <c r="CON41" s="30"/>
      <c r="COO41" s="29"/>
      <c r="COP41" s="30"/>
      <c r="COQ41" s="29"/>
      <c r="COR41" s="30"/>
      <c r="COS41" s="29"/>
      <c r="COT41" s="30"/>
      <c r="COU41" s="29"/>
      <c r="COV41" s="30"/>
      <c r="COW41" s="29"/>
      <c r="COX41" s="30"/>
      <c r="COY41" s="29"/>
      <c r="COZ41" s="30"/>
      <c r="CPA41" s="29"/>
      <c r="CPB41" s="30"/>
      <c r="CPC41" s="29"/>
      <c r="CPD41" s="30"/>
      <c r="CPE41" s="29"/>
      <c r="CPF41" s="30"/>
      <c r="CPG41" s="29"/>
      <c r="CPH41" s="30"/>
      <c r="CPI41" s="29"/>
      <c r="CPJ41" s="30"/>
      <c r="CPK41" s="29"/>
      <c r="CPL41" s="30"/>
      <c r="CPM41" s="29"/>
      <c r="CPN41" s="30"/>
      <c r="CPO41" s="29"/>
      <c r="CPP41" s="30"/>
      <c r="CPQ41" s="29"/>
      <c r="CPR41" s="30"/>
      <c r="CPS41" s="29"/>
      <c r="CPT41" s="30"/>
      <c r="CPU41" s="29"/>
      <c r="CPV41" s="30"/>
      <c r="CPW41" s="29"/>
      <c r="CPX41" s="30"/>
      <c r="CPY41" s="29"/>
      <c r="CPZ41" s="30"/>
      <c r="CQA41" s="29"/>
      <c r="CQB41" s="30"/>
      <c r="CQC41" s="29"/>
      <c r="CQD41" s="30"/>
      <c r="CQE41" s="29"/>
      <c r="CQF41" s="30"/>
      <c r="CQG41" s="29"/>
      <c r="CQH41" s="30"/>
      <c r="CQI41" s="29"/>
      <c r="CQJ41" s="30"/>
      <c r="CQK41" s="29"/>
      <c r="CQL41" s="30"/>
      <c r="CQM41" s="29"/>
      <c r="CQN41" s="30"/>
      <c r="CQO41" s="29"/>
      <c r="CQP41" s="30"/>
      <c r="CQQ41" s="29"/>
      <c r="CQR41" s="30"/>
      <c r="CQS41" s="29"/>
      <c r="CQT41" s="30"/>
      <c r="CQU41" s="29"/>
      <c r="CQV41" s="30"/>
      <c r="CQW41" s="29"/>
      <c r="CQX41" s="30"/>
      <c r="CQY41" s="29"/>
      <c r="CQZ41" s="30"/>
      <c r="CRA41" s="29"/>
      <c r="CRB41" s="30"/>
      <c r="CRC41" s="29"/>
      <c r="CRD41" s="30"/>
      <c r="CRE41" s="29"/>
      <c r="CRF41" s="30"/>
      <c r="CRG41" s="29"/>
      <c r="CRH41" s="30"/>
      <c r="CRI41" s="29"/>
      <c r="CRJ41" s="30"/>
      <c r="CRK41" s="29"/>
      <c r="CRL41" s="30"/>
      <c r="CRM41" s="29"/>
      <c r="CRN41" s="30"/>
      <c r="CRO41" s="29"/>
      <c r="CRP41" s="30"/>
      <c r="CRQ41" s="29"/>
      <c r="CRR41" s="30"/>
      <c r="CRS41" s="29"/>
      <c r="CRT41" s="30"/>
      <c r="CRU41" s="29"/>
      <c r="CRV41" s="30"/>
      <c r="CRW41" s="29"/>
      <c r="CRX41" s="30"/>
      <c r="CRY41" s="29"/>
      <c r="CRZ41" s="30"/>
      <c r="CSA41" s="29"/>
      <c r="CSB41" s="30"/>
      <c r="CSC41" s="29"/>
      <c r="CSD41" s="30"/>
      <c r="CSE41" s="29"/>
      <c r="CSF41" s="30"/>
      <c r="CSG41" s="29"/>
      <c r="CSH41" s="30"/>
      <c r="CSI41" s="29"/>
      <c r="CSJ41" s="30"/>
      <c r="CSK41" s="29"/>
      <c r="CSL41" s="30"/>
      <c r="CSM41" s="29"/>
      <c r="CSN41" s="30"/>
      <c r="CSO41" s="29"/>
      <c r="CSP41" s="30"/>
      <c r="CSQ41" s="29"/>
      <c r="CSR41" s="30"/>
      <c r="CSS41" s="29"/>
      <c r="CST41" s="30"/>
      <c r="CSU41" s="29"/>
      <c r="CSV41" s="30"/>
      <c r="CSW41" s="29"/>
      <c r="CSX41" s="30"/>
      <c r="CSY41" s="29"/>
      <c r="CSZ41" s="30"/>
      <c r="CTA41" s="29"/>
      <c r="CTB41" s="30"/>
      <c r="CTC41" s="29"/>
      <c r="CTD41" s="30"/>
      <c r="CTE41" s="29"/>
      <c r="CTF41" s="30"/>
      <c r="CTG41" s="29"/>
      <c r="CTH41" s="30"/>
      <c r="CTI41" s="29"/>
      <c r="CTJ41" s="30"/>
      <c r="CTK41" s="29"/>
      <c r="CTL41" s="30"/>
      <c r="CTM41" s="29"/>
      <c r="CTN41" s="30"/>
      <c r="CTO41" s="29"/>
      <c r="CTP41" s="30"/>
      <c r="CTQ41" s="29"/>
      <c r="CTR41" s="30"/>
      <c r="CTS41" s="29"/>
      <c r="CTT41" s="30"/>
      <c r="CTU41" s="29"/>
      <c r="CTV41" s="30"/>
      <c r="CTW41" s="29"/>
      <c r="CTX41" s="30"/>
      <c r="CTY41" s="29"/>
      <c r="CTZ41" s="30"/>
      <c r="CUA41" s="29"/>
      <c r="CUB41" s="30"/>
      <c r="CUC41" s="29"/>
      <c r="CUD41" s="30"/>
      <c r="CUE41" s="29"/>
      <c r="CUF41" s="30"/>
      <c r="CUG41" s="29"/>
      <c r="CUH41" s="30"/>
      <c r="CUI41" s="29"/>
      <c r="CUJ41" s="30"/>
      <c r="CUK41" s="29"/>
      <c r="CUL41" s="30"/>
      <c r="CUM41" s="29"/>
      <c r="CUN41" s="30"/>
      <c r="CUO41" s="29"/>
      <c r="CUP41" s="30"/>
      <c r="CUQ41" s="29"/>
      <c r="CUR41" s="30"/>
      <c r="CUS41" s="29"/>
      <c r="CUT41" s="30"/>
      <c r="CUU41" s="29"/>
      <c r="CUV41" s="30"/>
      <c r="CUW41" s="29"/>
      <c r="CUX41" s="30"/>
      <c r="CUY41" s="29"/>
      <c r="CUZ41" s="30"/>
      <c r="CVA41" s="29"/>
      <c r="CVB41" s="30"/>
      <c r="CVC41" s="29"/>
      <c r="CVD41" s="30"/>
      <c r="CVE41" s="29"/>
      <c r="CVF41" s="30"/>
      <c r="CVG41" s="29"/>
      <c r="CVH41" s="30"/>
      <c r="CVI41" s="29"/>
      <c r="CVJ41" s="30"/>
      <c r="CVK41" s="29"/>
      <c r="CVL41" s="30"/>
      <c r="CVM41" s="29"/>
      <c r="CVN41" s="30"/>
      <c r="CVO41" s="29"/>
      <c r="CVP41" s="30"/>
      <c r="CVQ41" s="29"/>
      <c r="CVR41" s="30"/>
      <c r="CVS41" s="29"/>
      <c r="CVT41" s="30"/>
      <c r="CVU41" s="29"/>
      <c r="CVV41" s="30"/>
      <c r="CVW41" s="29"/>
      <c r="CVX41" s="30"/>
      <c r="CVY41" s="29"/>
      <c r="CVZ41" s="30"/>
      <c r="CWA41" s="29"/>
      <c r="CWB41" s="30"/>
      <c r="CWC41" s="29"/>
      <c r="CWD41" s="30"/>
      <c r="CWE41" s="29"/>
      <c r="CWF41" s="30"/>
      <c r="CWG41" s="29"/>
      <c r="CWH41" s="30"/>
      <c r="CWI41" s="29"/>
      <c r="CWJ41" s="30"/>
      <c r="CWK41" s="29"/>
      <c r="CWL41" s="30"/>
      <c r="CWM41" s="29"/>
      <c r="CWN41" s="30"/>
      <c r="CWO41" s="29"/>
      <c r="CWP41" s="30"/>
      <c r="CWQ41" s="29"/>
      <c r="CWR41" s="30"/>
      <c r="CWS41" s="29"/>
      <c r="CWT41" s="30"/>
      <c r="CWU41" s="29"/>
      <c r="CWV41" s="30"/>
      <c r="CWW41" s="29"/>
      <c r="CWX41" s="30"/>
      <c r="CWY41" s="29"/>
      <c r="CWZ41" s="30"/>
      <c r="CXA41" s="29"/>
      <c r="CXB41" s="30"/>
      <c r="CXC41" s="29"/>
      <c r="CXD41" s="30"/>
      <c r="CXE41" s="29"/>
      <c r="CXF41" s="30"/>
      <c r="CXG41" s="29"/>
      <c r="CXH41" s="30"/>
      <c r="CXI41" s="29"/>
      <c r="CXJ41" s="30"/>
      <c r="CXK41" s="29"/>
      <c r="CXL41" s="30"/>
      <c r="CXM41" s="29"/>
      <c r="CXN41" s="30"/>
      <c r="CXO41" s="29"/>
      <c r="CXP41" s="30"/>
      <c r="CXQ41" s="29"/>
      <c r="CXR41" s="30"/>
      <c r="CXS41" s="29"/>
      <c r="CXT41" s="30"/>
      <c r="CXU41" s="29"/>
      <c r="CXV41" s="30"/>
      <c r="CXW41" s="29"/>
      <c r="CXX41" s="30"/>
      <c r="CXY41" s="29"/>
      <c r="CXZ41" s="30"/>
      <c r="CYA41" s="29"/>
      <c r="CYB41" s="30"/>
      <c r="CYC41" s="29"/>
      <c r="CYD41" s="30"/>
      <c r="CYE41" s="29"/>
      <c r="CYF41" s="30"/>
      <c r="CYG41" s="29"/>
      <c r="CYH41" s="30"/>
      <c r="CYI41" s="29"/>
      <c r="CYJ41" s="30"/>
      <c r="CYK41" s="29"/>
      <c r="CYL41" s="30"/>
      <c r="CYM41" s="29"/>
      <c r="CYN41" s="30"/>
      <c r="CYO41" s="29"/>
      <c r="CYP41" s="30"/>
      <c r="CYQ41" s="29"/>
      <c r="CYR41" s="30"/>
      <c r="CYS41" s="29"/>
      <c r="CYT41" s="30"/>
      <c r="CYU41" s="29"/>
      <c r="CYV41" s="30"/>
      <c r="CYW41" s="29"/>
      <c r="CYX41" s="30"/>
      <c r="CYY41" s="29"/>
      <c r="CYZ41" s="30"/>
      <c r="CZA41" s="29"/>
      <c r="CZB41" s="30"/>
      <c r="CZC41" s="29"/>
      <c r="CZD41" s="30"/>
      <c r="CZE41" s="29"/>
      <c r="CZF41" s="30"/>
      <c r="CZG41" s="29"/>
      <c r="CZH41" s="30"/>
      <c r="CZI41" s="29"/>
      <c r="CZJ41" s="30"/>
      <c r="CZK41" s="29"/>
      <c r="CZL41" s="30"/>
      <c r="CZM41" s="29"/>
      <c r="CZN41" s="30"/>
      <c r="CZO41" s="29"/>
      <c r="CZP41" s="30"/>
      <c r="CZQ41" s="29"/>
      <c r="CZR41" s="30"/>
      <c r="CZS41" s="29"/>
      <c r="CZT41" s="30"/>
      <c r="CZU41" s="29"/>
      <c r="CZV41" s="30"/>
      <c r="CZW41" s="29"/>
      <c r="CZX41" s="30"/>
      <c r="CZY41" s="29"/>
      <c r="CZZ41" s="30"/>
      <c r="DAA41" s="29"/>
      <c r="DAB41" s="30"/>
      <c r="DAC41" s="29"/>
      <c r="DAD41" s="30"/>
      <c r="DAE41" s="29"/>
      <c r="DAF41" s="30"/>
      <c r="DAG41" s="29"/>
      <c r="DAH41" s="30"/>
      <c r="DAI41" s="29"/>
      <c r="DAJ41" s="30"/>
      <c r="DAK41" s="29"/>
      <c r="DAL41" s="30"/>
      <c r="DAM41" s="29"/>
      <c r="DAN41" s="30"/>
      <c r="DAO41" s="29"/>
      <c r="DAP41" s="30"/>
      <c r="DAQ41" s="29"/>
      <c r="DAR41" s="30"/>
      <c r="DAS41" s="29"/>
      <c r="DAT41" s="30"/>
      <c r="DAU41" s="29"/>
      <c r="DAV41" s="30"/>
      <c r="DAW41" s="29"/>
      <c r="DAX41" s="30"/>
      <c r="DAY41" s="29"/>
      <c r="DAZ41" s="30"/>
      <c r="DBA41" s="29"/>
      <c r="DBB41" s="30"/>
      <c r="DBC41" s="29"/>
      <c r="DBD41" s="30"/>
      <c r="DBE41" s="29"/>
      <c r="DBF41" s="30"/>
      <c r="DBG41" s="29"/>
      <c r="DBH41" s="30"/>
      <c r="DBI41" s="29"/>
      <c r="DBJ41" s="30"/>
      <c r="DBK41" s="29"/>
      <c r="DBL41" s="30"/>
      <c r="DBM41" s="29"/>
      <c r="DBN41" s="30"/>
      <c r="DBO41" s="29"/>
      <c r="DBP41" s="30"/>
      <c r="DBQ41" s="29"/>
      <c r="DBR41" s="30"/>
      <c r="DBS41" s="29"/>
      <c r="DBT41" s="30"/>
      <c r="DBU41" s="29"/>
      <c r="DBV41" s="30"/>
      <c r="DBW41" s="29"/>
      <c r="DBX41" s="30"/>
      <c r="DBY41" s="29"/>
      <c r="DBZ41" s="30"/>
      <c r="DCA41" s="29"/>
      <c r="DCB41" s="30"/>
      <c r="DCC41" s="29"/>
      <c r="DCD41" s="30"/>
      <c r="DCE41" s="29"/>
      <c r="DCF41" s="30"/>
      <c r="DCG41" s="29"/>
      <c r="DCH41" s="30"/>
      <c r="DCI41" s="29"/>
      <c r="DCJ41" s="30"/>
      <c r="DCK41" s="29"/>
      <c r="DCL41" s="30"/>
      <c r="DCM41" s="29"/>
      <c r="DCN41" s="30"/>
      <c r="DCO41" s="29"/>
      <c r="DCP41" s="30"/>
      <c r="DCQ41" s="29"/>
      <c r="DCR41" s="30"/>
      <c r="DCS41" s="29"/>
      <c r="DCT41" s="30"/>
      <c r="DCU41" s="29"/>
      <c r="DCV41" s="30"/>
      <c r="DCW41" s="29"/>
      <c r="DCX41" s="30"/>
      <c r="DCY41" s="29"/>
      <c r="DCZ41" s="30"/>
      <c r="DDA41" s="29"/>
      <c r="DDB41" s="30"/>
      <c r="DDC41" s="29"/>
      <c r="DDD41" s="30"/>
      <c r="DDE41" s="29"/>
      <c r="DDF41" s="30"/>
      <c r="DDG41" s="29"/>
      <c r="DDH41" s="30"/>
      <c r="DDI41" s="29"/>
      <c r="DDJ41" s="30"/>
      <c r="DDK41" s="29"/>
      <c r="DDL41" s="30"/>
      <c r="DDM41" s="29"/>
      <c r="DDN41" s="30"/>
      <c r="DDO41" s="29"/>
      <c r="DDP41" s="30"/>
      <c r="DDQ41" s="29"/>
      <c r="DDR41" s="30"/>
      <c r="DDS41" s="29"/>
      <c r="DDT41" s="30"/>
      <c r="DDU41" s="29"/>
      <c r="DDV41" s="30"/>
      <c r="DDW41" s="29"/>
      <c r="DDX41" s="30"/>
      <c r="DDY41" s="29"/>
      <c r="DDZ41" s="30"/>
      <c r="DEA41" s="29"/>
      <c r="DEB41" s="30"/>
      <c r="DEC41" s="29"/>
      <c r="DED41" s="30"/>
      <c r="DEE41" s="29"/>
      <c r="DEF41" s="30"/>
      <c r="DEG41" s="29"/>
      <c r="DEH41" s="30"/>
      <c r="DEI41" s="29"/>
      <c r="DEJ41" s="30"/>
      <c r="DEK41" s="29"/>
      <c r="DEL41" s="30"/>
      <c r="DEM41" s="29"/>
      <c r="DEN41" s="30"/>
      <c r="DEO41" s="29"/>
      <c r="DEP41" s="30"/>
      <c r="DEQ41" s="29"/>
      <c r="DER41" s="30"/>
      <c r="DES41" s="29"/>
      <c r="DET41" s="30"/>
      <c r="DEU41" s="29"/>
      <c r="DEV41" s="30"/>
      <c r="DEW41" s="29"/>
      <c r="DEX41" s="30"/>
      <c r="DEY41" s="29"/>
      <c r="DEZ41" s="30"/>
      <c r="DFA41" s="29"/>
      <c r="DFB41" s="30"/>
      <c r="DFC41" s="29"/>
      <c r="DFD41" s="30"/>
      <c r="DFE41" s="29"/>
      <c r="DFF41" s="30"/>
      <c r="DFG41" s="29"/>
      <c r="DFH41" s="30"/>
      <c r="DFI41" s="29"/>
      <c r="DFJ41" s="30"/>
      <c r="DFK41" s="29"/>
      <c r="DFL41" s="30"/>
      <c r="DFM41" s="29"/>
      <c r="DFN41" s="30"/>
      <c r="DFO41" s="29"/>
      <c r="DFP41" s="30"/>
      <c r="DFQ41" s="29"/>
      <c r="DFR41" s="30"/>
      <c r="DFS41" s="29"/>
      <c r="DFT41" s="30"/>
      <c r="DFU41" s="29"/>
      <c r="DFV41" s="30"/>
      <c r="DFW41" s="29"/>
      <c r="DFX41" s="30"/>
      <c r="DFY41" s="29"/>
      <c r="DFZ41" s="30"/>
      <c r="DGA41" s="29"/>
      <c r="DGB41" s="30"/>
      <c r="DGC41" s="29"/>
      <c r="DGD41" s="30"/>
      <c r="DGE41" s="29"/>
      <c r="DGF41" s="30"/>
      <c r="DGG41" s="29"/>
      <c r="DGH41" s="30"/>
      <c r="DGI41" s="29"/>
      <c r="DGJ41" s="30"/>
      <c r="DGK41" s="29"/>
      <c r="DGL41" s="30"/>
      <c r="DGM41" s="29"/>
      <c r="DGN41" s="30"/>
      <c r="DGO41" s="29"/>
      <c r="DGP41" s="30"/>
      <c r="DGQ41" s="29"/>
      <c r="DGR41" s="30"/>
      <c r="DGS41" s="29"/>
      <c r="DGT41" s="30"/>
      <c r="DGU41" s="29"/>
      <c r="DGV41" s="30"/>
      <c r="DGW41" s="29"/>
      <c r="DGX41" s="30"/>
      <c r="DGY41" s="29"/>
      <c r="DGZ41" s="30"/>
      <c r="DHA41" s="29"/>
      <c r="DHB41" s="30"/>
      <c r="DHC41" s="29"/>
      <c r="DHD41" s="30"/>
      <c r="DHE41" s="29"/>
      <c r="DHF41" s="30"/>
      <c r="DHG41" s="29"/>
      <c r="DHH41" s="30"/>
      <c r="DHI41" s="29"/>
      <c r="DHJ41" s="30"/>
      <c r="DHK41" s="29"/>
      <c r="DHL41" s="30"/>
      <c r="DHM41" s="29"/>
      <c r="DHN41" s="30"/>
      <c r="DHO41" s="29"/>
      <c r="DHP41" s="30"/>
      <c r="DHQ41" s="29"/>
      <c r="DHR41" s="30"/>
      <c r="DHS41" s="29"/>
      <c r="DHT41" s="30"/>
      <c r="DHU41" s="29"/>
      <c r="DHV41" s="30"/>
      <c r="DHW41" s="29"/>
      <c r="DHX41" s="30"/>
      <c r="DHY41" s="29"/>
      <c r="DHZ41" s="30"/>
      <c r="DIA41" s="29"/>
      <c r="DIB41" s="30"/>
      <c r="DIC41" s="29"/>
      <c r="DID41" s="30"/>
      <c r="DIE41" s="29"/>
      <c r="DIF41" s="30"/>
      <c r="DIG41" s="29"/>
      <c r="DIH41" s="30"/>
      <c r="DII41" s="29"/>
      <c r="DIJ41" s="30"/>
      <c r="DIK41" s="29"/>
      <c r="DIL41" s="30"/>
      <c r="DIM41" s="29"/>
      <c r="DIN41" s="30"/>
      <c r="DIO41" s="29"/>
      <c r="DIP41" s="30"/>
      <c r="DIQ41" s="29"/>
      <c r="DIR41" s="30"/>
      <c r="DIS41" s="29"/>
      <c r="DIT41" s="30"/>
      <c r="DIU41" s="29"/>
      <c r="DIV41" s="30"/>
      <c r="DIW41" s="29"/>
      <c r="DIX41" s="30"/>
      <c r="DIY41" s="29"/>
      <c r="DIZ41" s="30"/>
      <c r="DJA41" s="29"/>
      <c r="DJB41" s="30"/>
      <c r="DJC41" s="29"/>
      <c r="DJD41" s="30"/>
      <c r="DJE41" s="29"/>
      <c r="DJF41" s="30"/>
      <c r="DJG41" s="29"/>
      <c r="DJH41" s="30"/>
      <c r="DJI41" s="29"/>
      <c r="DJJ41" s="30"/>
      <c r="DJK41" s="29"/>
      <c r="DJL41" s="30"/>
      <c r="DJM41" s="29"/>
      <c r="DJN41" s="30"/>
      <c r="DJO41" s="29"/>
      <c r="DJP41" s="30"/>
      <c r="DJQ41" s="29"/>
      <c r="DJR41" s="30"/>
      <c r="DJS41" s="29"/>
      <c r="DJT41" s="30"/>
      <c r="DJU41" s="29"/>
      <c r="DJV41" s="30"/>
      <c r="DJW41" s="29"/>
      <c r="DJX41" s="30"/>
      <c r="DJY41" s="29"/>
      <c r="DJZ41" s="30"/>
      <c r="DKA41" s="29"/>
      <c r="DKB41" s="30"/>
      <c r="DKC41" s="29"/>
      <c r="DKD41" s="30"/>
      <c r="DKE41" s="29"/>
      <c r="DKF41" s="30"/>
      <c r="DKG41" s="29"/>
      <c r="DKH41" s="30"/>
      <c r="DKI41" s="29"/>
      <c r="DKJ41" s="30"/>
      <c r="DKK41" s="29"/>
      <c r="DKL41" s="30"/>
      <c r="DKM41" s="29"/>
      <c r="DKN41" s="30"/>
      <c r="DKO41" s="29"/>
      <c r="DKP41" s="30"/>
      <c r="DKQ41" s="29"/>
      <c r="DKR41" s="30"/>
      <c r="DKS41" s="29"/>
      <c r="DKT41" s="30"/>
      <c r="DKU41" s="29"/>
      <c r="DKV41" s="30"/>
      <c r="DKW41" s="29"/>
      <c r="DKX41" s="30"/>
      <c r="DKY41" s="29"/>
      <c r="DKZ41" s="30"/>
      <c r="DLA41" s="29"/>
      <c r="DLB41" s="30"/>
      <c r="DLC41" s="29"/>
      <c r="DLD41" s="30"/>
      <c r="DLE41" s="29"/>
      <c r="DLF41" s="30"/>
      <c r="DLG41" s="29"/>
      <c r="DLH41" s="30"/>
      <c r="DLI41" s="29"/>
      <c r="DLJ41" s="30"/>
      <c r="DLK41" s="29"/>
      <c r="DLL41" s="30"/>
      <c r="DLM41" s="29"/>
      <c r="DLN41" s="30"/>
      <c r="DLO41" s="29"/>
      <c r="DLP41" s="30"/>
      <c r="DLQ41" s="29"/>
      <c r="DLR41" s="30"/>
      <c r="DLS41" s="29"/>
      <c r="DLT41" s="30"/>
      <c r="DLU41" s="29"/>
      <c r="DLV41" s="30"/>
      <c r="DLW41" s="29"/>
      <c r="DLX41" s="30"/>
      <c r="DLY41" s="29"/>
      <c r="DLZ41" s="30"/>
      <c r="DMA41" s="29"/>
      <c r="DMB41" s="30"/>
      <c r="DMC41" s="29"/>
      <c r="DMD41" s="30"/>
      <c r="DME41" s="29"/>
      <c r="DMF41" s="30"/>
      <c r="DMG41" s="29"/>
      <c r="DMH41" s="30"/>
      <c r="DMI41" s="29"/>
      <c r="DMJ41" s="30"/>
      <c r="DMK41" s="29"/>
      <c r="DML41" s="30"/>
      <c r="DMM41" s="29"/>
      <c r="DMN41" s="30"/>
      <c r="DMO41" s="29"/>
      <c r="DMP41" s="30"/>
      <c r="DMQ41" s="29"/>
      <c r="DMR41" s="30"/>
      <c r="DMS41" s="29"/>
      <c r="DMT41" s="30"/>
      <c r="DMU41" s="29"/>
      <c r="DMV41" s="30"/>
      <c r="DMW41" s="29"/>
      <c r="DMX41" s="30"/>
      <c r="DMY41" s="29"/>
      <c r="DMZ41" s="30"/>
      <c r="DNA41" s="29"/>
      <c r="DNB41" s="30"/>
      <c r="DNC41" s="29"/>
      <c r="DND41" s="30"/>
      <c r="DNE41" s="29"/>
      <c r="DNF41" s="30"/>
      <c r="DNG41" s="29"/>
      <c r="DNH41" s="30"/>
      <c r="DNI41" s="29"/>
      <c r="DNJ41" s="30"/>
      <c r="DNK41" s="29"/>
      <c r="DNL41" s="30"/>
      <c r="DNM41" s="29"/>
      <c r="DNN41" s="30"/>
      <c r="DNO41" s="29"/>
      <c r="DNP41" s="30"/>
      <c r="DNQ41" s="29"/>
      <c r="DNR41" s="30"/>
      <c r="DNS41" s="29"/>
      <c r="DNT41" s="30"/>
      <c r="DNU41" s="29"/>
      <c r="DNV41" s="30"/>
      <c r="DNW41" s="29"/>
      <c r="DNX41" s="30"/>
      <c r="DNY41" s="29"/>
      <c r="DNZ41" s="30"/>
      <c r="DOA41" s="29"/>
      <c r="DOB41" s="30"/>
      <c r="DOC41" s="29"/>
      <c r="DOD41" s="30"/>
      <c r="DOE41" s="29"/>
      <c r="DOF41" s="30"/>
      <c r="DOG41" s="29"/>
      <c r="DOH41" s="30"/>
      <c r="DOI41" s="29"/>
      <c r="DOJ41" s="30"/>
      <c r="DOK41" s="29"/>
      <c r="DOL41" s="30"/>
      <c r="DOM41" s="29"/>
      <c r="DON41" s="30"/>
      <c r="DOO41" s="29"/>
      <c r="DOP41" s="30"/>
      <c r="DOQ41" s="29"/>
      <c r="DOR41" s="30"/>
      <c r="DOS41" s="29"/>
      <c r="DOT41" s="30"/>
      <c r="DOU41" s="29"/>
      <c r="DOV41" s="30"/>
      <c r="DOW41" s="29"/>
      <c r="DOX41" s="30"/>
      <c r="DOY41" s="29"/>
      <c r="DOZ41" s="30"/>
      <c r="DPA41" s="29"/>
      <c r="DPB41" s="30"/>
      <c r="DPC41" s="29"/>
      <c r="DPD41" s="30"/>
      <c r="DPE41" s="29"/>
      <c r="DPF41" s="30"/>
      <c r="DPG41" s="29"/>
      <c r="DPH41" s="30"/>
      <c r="DPI41" s="29"/>
      <c r="DPJ41" s="30"/>
      <c r="DPK41" s="29"/>
      <c r="DPL41" s="30"/>
      <c r="DPM41" s="29"/>
      <c r="DPN41" s="30"/>
      <c r="DPO41" s="29"/>
      <c r="DPP41" s="30"/>
      <c r="DPQ41" s="29"/>
      <c r="DPR41" s="30"/>
      <c r="DPS41" s="29"/>
      <c r="DPT41" s="30"/>
      <c r="DPU41" s="29"/>
      <c r="DPV41" s="30"/>
      <c r="DPW41" s="29"/>
      <c r="DPX41" s="30"/>
      <c r="DPY41" s="29"/>
      <c r="DPZ41" s="30"/>
      <c r="DQA41" s="29"/>
      <c r="DQB41" s="30"/>
      <c r="DQC41" s="29"/>
      <c r="DQD41" s="30"/>
      <c r="DQE41" s="29"/>
      <c r="DQF41" s="30"/>
      <c r="DQG41" s="29"/>
      <c r="DQH41" s="30"/>
      <c r="DQI41" s="29"/>
      <c r="DQJ41" s="30"/>
      <c r="DQK41" s="29"/>
      <c r="DQL41" s="30"/>
      <c r="DQM41" s="29"/>
      <c r="DQN41" s="30"/>
      <c r="DQO41" s="29"/>
      <c r="DQP41" s="30"/>
      <c r="DQQ41" s="29"/>
      <c r="DQR41" s="30"/>
      <c r="DQS41" s="29"/>
      <c r="DQT41" s="30"/>
      <c r="DQU41" s="29"/>
      <c r="DQV41" s="30"/>
      <c r="DQW41" s="29"/>
      <c r="DQX41" s="30"/>
      <c r="DQY41" s="29"/>
      <c r="DQZ41" s="30"/>
      <c r="DRA41" s="29"/>
      <c r="DRB41" s="30"/>
      <c r="DRC41" s="29"/>
      <c r="DRD41" s="30"/>
      <c r="DRE41" s="29"/>
      <c r="DRF41" s="30"/>
      <c r="DRG41" s="29"/>
      <c r="DRH41" s="30"/>
      <c r="DRI41" s="29"/>
      <c r="DRJ41" s="30"/>
      <c r="DRK41" s="29"/>
      <c r="DRL41" s="30"/>
      <c r="DRM41" s="29"/>
      <c r="DRN41" s="30"/>
      <c r="DRO41" s="29"/>
      <c r="DRP41" s="30"/>
      <c r="DRQ41" s="29"/>
      <c r="DRR41" s="30"/>
      <c r="DRS41" s="29"/>
      <c r="DRT41" s="30"/>
      <c r="DRU41" s="29"/>
      <c r="DRV41" s="30"/>
      <c r="DRW41" s="29"/>
      <c r="DRX41" s="30"/>
      <c r="DRY41" s="29"/>
      <c r="DRZ41" s="30"/>
      <c r="DSA41" s="29"/>
      <c r="DSB41" s="30"/>
      <c r="DSC41" s="29"/>
      <c r="DSD41" s="30"/>
      <c r="DSE41" s="29"/>
      <c r="DSF41" s="30"/>
      <c r="DSG41" s="29"/>
      <c r="DSH41" s="30"/>
      <c r="DSI41" s="29"/>
      <c r="DSJ41" s="30"/>
      <c r="DSK41" s="29"/>
      <c r="DSL41" s="30"/>
      <c r="DSM41" s="29"/>
      <c r="DSN41" s="30"/>
      <c r="DSO41" s="29"/>
      <c r="DSP41" s="30"/>
      <c r="DSQ41" s="29"/>
      <c r="DSR41" s="30"/>
      <c r="DSS41" s="29"/>
      <c r="DST41" s="30"/>
      <c r="DSU41" s="29"/>
      <c r="DSV41" s="30"/>
      <c r="DSW41" s="29"/>
      <c r="DSX41" s="30"/>
      <c r="DSY41" s="29"/>
      <c r="DSZ41" s="30"/>
      <c r="DTA41" s="29"/>
      <c r="DTB41" s="30"/>
      <c r="DTC41" s="29"/>
      <c r="DTD41" s="30"/>
      <c r="DTE41" s="29"/>
      <c r="DTF41" s="30"/>
      <c r="DTG41" s="29"/>
      <c r="DTH41" s="30"/>
      <c r="DTI41" s="29"/>
      <c r="DTJ41" s="30"/>
      <c r="DTK41" s="29"/>
      <c r="DTL41" s="30"/>
      <c r="DTM41" s="29"/>
      <c r="DTN41" s="30"/>
      <c r="DTO41" s="29"/>
      <c r="DTP41" s="30"/>
      <c r="DTQ41" s="29"/>
      <c r="DTR41" s="30"/>
      <c r="DTS41" s="29"/>
      <c r="DTT41" s="30"/>
      <c r="DTU41" s="29"/>
      <c r="DTV41" s="30"/>
      <c r="DTW41" s="29"/>
      <c r="DTX41" s="30"/>
      <c r="DTY41" s="29"/>
      <c r="DTZ41" s="30"/>
      <c r="DUA41" s="29"/>
      <c r="DUB41" s="30"/>
      <c r="DUC41" s="29"/>
      <c r="DUD41" s="30"/>
      <c r="DUE41" s="29"/>
      <c r="DUF41" s="30"/>
      <c r="DUG41" s="29"/>
      <c r="DUH41" s="30"/>
      <c r="DUI41" s="29"/>
      <c r="DUJ41" s="30"/>
      <c r="DUK41" s="29"/>
      <c r="DUL41" s="30"/>
      <c r="DUM41" s="29"/>
      <c r="DUN41" s="30"/>
      <c r="DUO41" s="29"/>
      <c r="DUP41" s="30"/>
      <c r="DUQ41" s="29"/>
      <c r="DUR41" s="30"/>
      <c r="DUS41" s="29"/>
      <c r="DUT41" s="30"/>
      <c r="DUU41" s="29"/>
      <c r="DUV41" s="30"/>
      <c r="DUW41" s="29"/>
      <c r="DUX41" s="30"/>
      <c r="DUY41" s="29"/>
      <c r="DUZ41" s="30"/>
      <c r="DVA41" s="29"/>
      <c r="DVB41" s="30"/>
      <c r="DVC41" s="29"/>
      <c r="DVD41" s="30"/>
      <c r="DVE41" s="29"/>
      <c r="DVF41" s="30"/>
      <c r="DVG41" s="29"/>
      <c r="DVH41" s="30"/>
      <c r="DVI41" s="29"/>
      <c r="DVJ41" s="30"/>
      <c r="DVK41" s="29"/>
      <c r="DVL41" s="30"/>
      <c r="DVM41" s="29"/>
      <c r="DVN41" s="30"/>
      <c r="DVO41" s="29"/>
      <c r="DVP41" s="30"/>
      <c r="DVQ41" s="29"/>
      <c r="DVR41" s="30"/>
      <c r="DVS41" s="29"/>
      <c r="DVT41" s="30"/>
      <c r="DVU41" s="29"/>
      <c r="DVV41" s="30"/>
      <c r="DVW41" s="29"/>
      <c r="DVX41" s="30"/>
      <c r="DVY41" s="29"/>
      <c r="DVZ41" s="30"/>
      <c r="DWA41" s="29"/>
      <c r="DWB41" s="30"/>
      <c r="DWC41" s="29"/>
      <c r="DWD41" s="30"/>
      <c r="DWE41" s="29"/>
      <c r="DWF41" s="30"/>
      <c r="DWG41" s="29"/>
      <c r="DWH41" s="30"/>
      <c r="DWI41" s="29"/>
      <c r="DWJ41" s="30"/>
      <c r="DWK41" s="29"/>
      <c r="DWL41" s="30"/>
      <c r="DWM41" s="29"/>
      <c r="DWN41" s="30"/>
      <c r="DWO41" s="29"/>
      <c r="DWP41" s="30"/>
      <c r="DWQ41" s="29"/>
      <c r="DWR41" s="30"/>
      <c r="DWS41" s="29"/>
      <c r="DWT41" s="30"/>
      <c r="DWU41" s="29"/>
      <c r="DWV41" s="30"/>
      <c r="DWW41" s="29"/>
      <c r="DWX41" s="30"/>
      <c r="DWY41" s="29"/>
      <c r="DWZ41" s="30"/>
      <c r="DXA41" s="29"/>
      <c r="DXB41" s="30"/>
      <c r="DXC41" s="29"/>
      <c r="DXD41" s="30"/>
      <c r="DXE41" s="29"/>
      <c r="DXF41" s="30"/>
      <c r="DXG41" s="29"/>
      <c r="DXH41" s="30"/>
      <c r="DXI41" s="29"/>
      <c r="DXJ41" s="30"/>
      <c r="DXK41" s="29"/>
      <c r="DXL41" s="30"/>
      <c r="DXM41" s="29"/>
      <c r="DXN41" s="30"/>
      <c r="DXO41" s="29"/>
      <c r="DXP41" s="30"/>
      <c r="DXQ41" s="29"/>
      <c r="DXR41" s="30"/>
      <c r="DXS41" s="29"/>
      <c r="DXT41" s="30"/>
      <c r="DXU41" s="29"/>
      <c r="DXV41" s="30"/>
      <c r="DXW41" s="29"/>
      <c r="DXX41" s="30"/>
      <c r="DXY41" s="29"/>
      <c r="DXZ41" s="30"/>
      <c r="DYA41" s="29"/>
      <c r="DYB41" s="30"/>
      <c r="DYC41" s="29"/>
      <c r="DYD41" s="30"/>
      <c r="DYE41" s="29"/>
      <c r="DYF41" s="30"/>
      <c r="DYG41" s="29"/>
      <c r="DYH41" s="30"/>
      <c r="DYI41" s="29"/>
      <c r="DYJ41" s="30"/>
      <c r="DYK41" s="29"/>
      <c r="DYL41" s="30"/>
      <c r="DYM41" s="29"/>
      <c r="DYN41" s="30"/>
      <c r="DYO41" s="29"/>
      <c r="DYP41" s="30"/>
      <c r="DYQ41" s="29"/>
      <c r="DYR41" s="30"/>
      <c r="DYS41" s="29"/>
      <c r="DYT41" s="30"/>
      <c r="DYU41" s="29"/>
      <c r="DYV41" s="30"/>
      <c r="DYW41" s="29"/>
      <c r="DYX41" s="30"/>
      <c r="DYY41" s="29"/>
      <c r="DYZ41" s="30"/>
      <c r="DZA41" s="29"/>
      <c r="DZB41" s="30"/>
      <c r="DZC41" s="29"/>
      <c r="DZD41" s="30"/>
      <c r="DZE41" s="29"/>
      <c r="DZF41" s="30"/>
      <c r="DZG41" s="29"/>
      <c r="DZH41" s="30"/>
      <c r="DZI41" s="29"/>
      <c r="DZJ41" s="30"/>
      <c r="DZK41" s="29"/>
      <c r="DZL41" s="30"/>
      <c r="DZM41" s="29"/>
      <c r="DZN41" s="30"/>
      <c r="DZO41" s="29"/>
      <c r="DZP41" s="30"/>
      <c r="DZQ41" s="29"/>
      <c r="DZR41" s="30"/>
      <c r="DZS41" s="29"/>
      <c r="DZT41" s="30"/>
      <c r="DZU41" s="29"/>
      <c r="DZV41" s="30"/>
      <c r="DZW41" s="29"/>
      <c r="DZX41" s="30"/>
      <c r="DZY41" s="29"/>
      <c r="DZZ41" s="30"/>
      <c r="EAA41" s="29"/>
      <c r="EAB41" s="30"/>
      <c r="EAC41" s="29"/>
      <c r="EAD41" s="30"/>
      <c r="EAE41" s="29"/>
      <c r="EAF41" s="30"/>
      <c r="EAG41" s="29"/>
      <c r="EAH41" s="30"/>
      <c r="EAI41" s="29"/>
      <c r="EAJ41" s="30"/>
      <c r="EAK41" s="29"/>
      <c r="EAL41" s="30"/>
      <c r="EAM41" s="29"/>
      <c r="EAN41" s="30"/>
      <c r="EAO41" s="29"/>
      <c r="EAP41" s="30"/>
      <c r="EAQ41" s="29"/>
      <c r="EAR41" s="30"/>
      <c r="EAS41" s="29"/>
      <c r="EAT41" s="30"/>
      <c r="EAU41" s="29"/>
      <c r="EAV41" s="30"/>
      <c r="EAW41" s="29"/>
      <c r="EAX41" s="30"/>
      <c r="EAY41" s="29"/>
      <c r="EAZ41" s="30"/>
      <c r="EBA41" s="29"/>
      <c r="EBB41" s="30"/>
      <c r="EBC41" s="29"/>
      <c r="EBD41" s="30"/>
      <c r="EBE41" s="29"/>
      <c r="EBF41" s="30"/>
      <c r="EBG41" s="29"/>
      <c r="EBH41" s="30"/>
      <c r="EBI41" s="29"/>
      <c r="EBJ41" s="30"/>
      <c r="EBK41" s="29"/>
      <c r="EBL41" s="30"/>
      <c r="EBM41" s="29"/>
      <c r="EBN41" s="30"/>
      <c r="EBO41" s="29"/>
      <c r="EBP41" s="30"/>
      <c r="EBQ41" s="29"/>
      <c r="EBR41" s="30"/>
      <c r="EBS41" s="29"/>
      <c r="EBT41" s="30"/>
      <c r="EBU41" s="29"/>
      <c r="EBV41" s="30"/>
      <c r="EBW41" s="29"/>
      <c r="EBX41" s="30"/>
      <c r="EBY41" s="29"/>
      <c r="EBZ41" s="30"/>
      <c r="ECA41" s="29"/>
      <c r="ECB41" s="30"/>
      <c r="ECC41" s="29"/>
      <c r="ECD41" s="30"/>
      <c r="ECE41" s="29"/>
      <c r="ECF41" s="30"/>
      <c r="ECG41" s="29"/>
      <c r="ECH41" s="30"/>
      <c r="ECI41" s="29"/>
      <c r="ECJ41" s="30"/>
      <c r="ECK41" s="29"/>
      <c r="ECL41" s="30"/>
      <c r="ECM41" s="29"/>
      <c r="ECN41" s="30"/>
      <c r="ECO41" s="29"/>
      <c r="ECP41" s="30"/>
      <c r="ECQ41" s="29"/>
      <c r="ECR41" s="30"/>
      <c r="ECS41" s="29"/>
      <c r="ECT41" s="30"/>
      <c r="ECU41" s="29"/>
      <c r="ECV41" s="30"/>
      <c r="ECW41" s="29"/>
      <c r="ECX41" s="30"/>
      <c r="ECY41" s="29"/>
      <c r="ECZ41" s="30"/>
      <c r="EDA41" s="29"/>
      <c r="EDB41" s="30"/>
      <c r="EDC41" s="29"/>
      <c r="EDD41" s="30"/>
      <c r="EDE41" s="29"/>
      <c r="EDF41" s="30"/>
      <c r="EDG41" s="29"/>
      <c r="EDH41" s="30"/>
      <c r="EDI41" s="29"/>
      <c r="EDJ41" s="30"/>
      <c r="EDK41" s="29"/>
      <c r="EDL41" s="30"/>
      <c r="EDM41" s="29"/>
      <c r="EDN41" s="30"/>
      <c r="EDO41" s="29"/>
      <c r="EDP41" s="30"/>
      <c r="EDQ41" s="29"/>
      <c r="EDR41" s="30"/>
      <c r="EDS41" s="29"/>
      <c r="EDT41" s="30"/>
      <c r="EDU41" s="29"/>
      <c r="EDV41" s="30"/>
      <c r="EDW41" s="29"/>
      <c r="EDX41" s="30"/>
      <c r="EDY41" s="29"/>
      <c r="EDZ41" s="30"/>
      <c r="EEA41" s="29"/>
      <c r="EEB41" s="30"/>
      <c r="EEC41" s="29"/>
      <c r="EED41" s="30"/>
      <c r="EEE41" s="29"/>
      <c r="EEF41" s="30"/>
      <c r="EEG41" s="29"/>
      <c r="EEH41" s="30"/>
      <c r="EEI41" s="29"/>
      <c r="EEJ41" s="30"/>
      <c r="EEK41" s="29"/>
      <c r="EEL41" s="30"/>
      <c r="EEM41" s="29"/>
      <c r="EEN41" s="30"/>
      <c r="EEO41" s="29"/>
      <c r="EEP41" s="30"/>
      <c r="EEQ41" s="29"/>
      <c r="EER41" s="30"/>
      <c r="EES41" s="29"/>
      <c r="EET41" s="30"/>
      <c r="EEU41" s="29"/>
      <c r="EEV41" s="30"/>
      <c r="EEW41" s="29"/>
      <c r="EEX41" s="30"/>
      <c r="EEY41" s="29"/>
      <c r="EEZ41" s="30"/>
      <c r="EFA41" s="29"/>
      <c r="EFB41" s="30"/>
      <c r="EFC41" s="29"/>
      <c r="EFD41" s="30"/>
      <c r="EFE41" s="29"/>
      <c r="EFF41" s="30"/>
      <c r="EFG41" s="29"/>
      <c r="EFH41" s="30"/>
      <c r="EFI41" s="29"/>
      <c r="EFJ41" s="30"/>
      <c r="EFK41" s="29"/>
      <c r="EFL41" s="30"/>
      <c r="EFM41" s="29"/>
      <c r="EFN41" s="30"/>
      <c r="EFO41" s="29"/>
      <c r="EFP41" s="30"/>
      <c r="EFQ41" s="29"/>
      <c r="EFR41" s="30"/>
      <c r="EFS41" s="29"/>
      <c r="EFT41" s="30"/>
      <c r="EFU41" s="29"/>
      <c r="EFV41" s="30"/>
      <c r="EFW41" s="29"/>
      <c r="EFX41" s="30"/>
      <c r="EFY41" s="29"/>
      <c r="EFZ41" s="30"/>
      <c r="EGA41" s="29"/>
      <c r="EGB41" s="30"/>
      <c r="EGC41" s="29"/>
      <c r="EGD41" s="30"/>
      <c r="EGE41" s="29"/>
      <c r="EGF41" s="30"/>
      <c r="EGG41" s="29"/>
      <c r="EGH41" s="30"/>
      <c r="EGI41" s="29"/>
      <c r="EGJ41" s="30"/>
      <c r="EGK41" s="29"/>
      <c r="EGL41" s="30"/>
      <c r="EGM41" s="29"/>
      <c r="EGN41" s="30"/>
      <c r="EGO41" s="29"/>
      <c r="EGP41" s="30"/>
      <c r="EGQ41" s="29"/>
      <c r="EGR41" s="30"/>
      <c r="EGS41" s="29"/>
      <c r="EGT41" s="30"/>
      <c r="EGU41" s="29"/>
      <c r="EGV41" s="30"/>
      <c r="EGW41" s="29"/>
      <c r="EGX41" s="30"/>
      <c r="EGY41" s="29"/>
      <c r="EGZ41" s="30"/>
      <c r="EHA41" s="29"/>
      <c r="EHB41" s="30"/>
      <c r="EHC41" s="29"/>
      <c r="EHD41" s="30"/>
      <c r="EHE41" s="29"/>
      <c r="EHF41" s="30"/>
      <c r="EHG41" s="29"/>
      <c r="EHH41" s="30"/>
      <c r="EHI41" s="29"/>
      <c r="EHJ41" s="30"/>
      <c r="EHK41" s="29"/>
      <c r="EHL41" s="30"/>
      <c r="EHM41" s="29"/>
      <c r="EHN41" s="30"/>
      <c r="EHO41" s="29"/>
      <c r="EHP41" s="30"/>
      <c r="EHQ41" s="29"/>
      <c r="EHR41" s="30"/>
      <c r="EHS41" s="29"/>
      <c r="EHT41" s="30"/>
      <c r="EHU41" s="29"/>
      <c r="EHV41" s="30"/>
      <c r="EHW41" s="29"/>
      <c r="EHX41" s="30"/>
      <c r="EHY41" s="29"/>
      <c r="EHZ41" s="30"/>
      <c r="EIA41" s="29"/>
      <c r="EIB41" s="30"/>
      <c r="EIC41" s="29"/>
      <c r="EID41" s="30"/>
      <c r="EIE41" s="29"/>
      <c r="EIF41" s="30"/>
      <c r="EIG41" s="29"/>
      <c r="EIH41" s="30"/>
      <c r="EII41" s="29"/>
      <c r="EIJ41" s="30"/>
      <c r="EIK41" s="29"/>
      <c r="EIL41" s="30"/>
      <c r="EIM41" s="29"/>
      <c r="EIN41" s="30"/>
      <c r="EIO41" s="29"/>
      <c r="EIP41" s="30"/>
      <c r="EIQ41" s="29"/>
      <c r="EIR41" s="30"/>
      <c r="EIS41" s="29"/>
      <c r="EIT41" s="30"/>
      <c r="EIU41" s="29"/>
      <c r="EIV41" s="30"/>
      <c r="EIW41" s="29"/>
      <c r="EIX41" s="30"/>
      <c r="EIY41" s="29"/>
      <c r="EIZ41" s="30"/>
      <c r="EJA41" s="29"/>
      <c r="EJB41" s="30"/>
      <c r="EJC41" s="29"/>
      <c r="EJD41" s="30"/>
      <c r="EJE41" s="29"/>
      <c r="EJF41" s="30"/>
      <c r="EJG41" s="29"/>
      <c r="EJH41" s="30"/>
      <c r="EJI41" s="29"/>
      <c r="EJJ41" s="30"/>
      <c r="EJK41" s="29"/>
      <c r="EJL41" s="30"/>
      <c r="EJM41" s="29"/>
      <c r="EJN41" s="30"/>
      <c r="EJO41" s="29"/>
      <c r="EJP41" s="30"/>
      <c r="EJQ41" s="29"/>
      <c r="EJR41" s="30"/>
      <c r="EJS41" s="29"/>
      <c r="EJT41" s="30"/>
      <c r="EJU41" s="29"/>
      <c r="EJV41" s="30"/>
      <c r="EJW41" s="29"/>
      <c r="EJX41" s="30"/>
      <c r="EJY41" s="29"/>
      <c r="EJZ41" s="30"/>
      <c r="EKA41" s="29"/>
      <c r="EKB41" s="30"/>
      <c r="EKC41" s="29"/>
      <c r="EKD41" s="30"/>
      <c r="EKE41" s="29"/>
      <c r="EKF41" s="30"/>
      <c r="EKG41" s="29"/>
      <c r="EKH41" s="30"/>
      <c r="EKI41" s="29"/>
      <c r="EKJ41" s="30"/>
      <c r="EKK41" s="29"/>
      <c r="EKL41" s="30"/>
      <c r="EKM41" s="29"/>
      <c r="EKN41" s="30"/>
      <c r="EKO41" s="29"/>
      <c r="EKP41" s="30"/>
      <c r="EKQ41" s="29"/>
      <c r="EKR41" s="30"/>
      <c r="EKS41" s="29"/>
      <c r="EKT41" s="30"/>
      <c r="EKU41" s="29"/>
      <c r="EKV41" s="30"/>
      <c r="EKW41" s="29"/>
      <c r="EKX41" s="30"/>
      <c r="EKY41" s="29"/>
      <c r="EKZ41" s="30"/>
      <c r="ELA41" s="29"/>
      <c r="ELB41" s="30"/>
      <c r="ELC41" s="29"/>
      <c r="ELD41" s="30"/>
      <c r="ELE41" s="29"/>
      <c r="ELF41" s="30"/>
      <c r="ELG41" s="29"/>
      <c r="ELH41" s="30"/>
      <c r="ELI41" s="29"/>
      <c r="ELJ41" s="30"/>
      <c r="ELK41" s="29"/>
      <c r="ELL41" s="30"/>
      <c r="ELM41" s="29"/>
      <c r="ELN41" s="30"/>
      <c r="ELO41" s="29"/>
      <c r="ELP41" s="30"/>
      <c r="ELQ41" s="29"/>
      <c r="ELR41" s="30"/>
      <c r="ELS41" s="29"/>
      <c r="ELT41" s="30"/>
      <c r="ELU41" s="29"/>
      <c r="ELV41" s="30"/>
      <c r="ELW41" s="29"/>
      <c r="ELX41" s="30"/>
      <c r="ELY41" s="29"/>
      <c r="ELZ41" s="30"/>
      <c r="EMA41" s="29"/>
      <c r="EMB41" s="30"/>
      <c r="EMC41" s="29"/>
      <c r="EMD41" s="30"/>
      <c r="EME41" s="29"/>
      <c r="EMF41" s="30"/>
      <c r="EMG41" s="29"/>
      <c r="EMH41" s="30"/>
      <c r="EMI41" s="29"/>
      <c r="EMJ41" s="30"/>
      <c r="EMK41" s="29"/>
      <c r="EML41" s="30"/>
      <c r="EMM41" s="29"/>
      <c r="EMN41" s="30"/>
      <c r="EMO41" s="29"/>
      <c r="EMP41" s="30"/>
      <c r="EMQ41" s="29"/>
      <c r="EMR41" s="30"/>
      <c r="EMS41" s="29"/>
      <c r="EMT41" s="30"/>
      <c r="EMU41" s="29"/>
      <c r="EMV41" s="30"/>
      <c r="EMW41" s="29"/>
      <c r="EMX41" s="30"/>
      <c r="EMY41" s="29"/>
      <c r="EMZ41" s="30"/>
      <c r="ENA41" s="29"/>
      <c r="ENB41" s="30"/>
      <c r="ENC41" s="29"/>
      <c r="END41" s="30"/>
      <c r="ENE41" s="29"/>
      <c r="ENF41" s="30"/>
      <c r="ENG41" s="29"/>
      <c r="ENH41" s="30"/>
      <c r="ENI41" s="29"/>
      <c r="ENJ41" s="30"/>
      <c r="ENK41" s="29"/>
      <c r="ENL41" s="30"/>
      <c r="ENM41" s="29"/>
      <c r="ENN41" s="30"/>
      <c r="ENO41" s="29"/>
      <c r="ENP41" s="30"/>
      <c r="ENQ41" s="29"/>
      <c r="ENR41" s="30"/>
      <c r="ENS41" s="29"/>
      <c r="ENT41" s="30"/>
      <c r="ENU41" s="29"/>
      <c r="ENV41" s="30"/>
      <c r="ENW41" s="29"/>
      <c r="ENX41" s="30"/>
      <c r="ENY41" s="29"/>
      <c r="ENZ41" s="30"/>
      <c r="EOA41" s="29"/>
      <c r="EOB41" s="30"/>
      <c r="EOC41" s="29"/>
      <c r="EOD41" s="30"/>
      <c r="EOE41" s="29"/>
      <c r="EOF41" s="30"/>
      <c r="EOG41" s="29"/>
      <c r="EOH41" s="30"/>
      <c r="EOI41" s="29"/>
      <c r="EOJ41" s="30"/>
      <c r="EOK41" s="29"/>
      <c r="EOL41" s="30"/>
      <c r="EOM41" s="29"/>
      <c r="EON41" s="30"/>
      <c r="EOO41" s="29"/>
      <c r="EOP41" s="30"/>
      <c r="EOQ41" s="29"/>
      <c r="EOR41" s="30"/>
      <c r="EOS41" s="29"/>
      <c r="EOT41" s="30"/>
      <c r="EOU41" s="29"/>
      <c r="EOV41" s="30"/>
      <c r="EOW41" s="29"/>
      <c r="EOX41" s="30"/>
      <c r="EOY41" s="29"/>
      <c r="EOZ41" s="30"/>
      <c r="EPA41" s="29"/>
      <c r="EPB41" s="30"/>
      <c r="EPC41" s="29"/>
      <c r="EPD41" s="30"/>
      <c r="EPE41" s="29"/>
      <c r="EPF41" s="30"/>
      <c r="EPG41" s="29"/>
      <c r="EPH41" s="30"/>
      <c r="EPI41" s="29"/>
      <c r="EPJ41" s="30"/>
      <c r="EPK41" s="29"/>
      <c r="EPL41" s="30"/>
      <c r="EPM41" s="29"/>
      <c r="EPN41" s="30"/>
      <c r="EPO41" s="29"/>
      <c r="EPP41" s="30"/>
      <c r="EPQ41" s="29"/>
      <c r="EPR41" s="30"/>
      <c r="EPS41" s="29"/>
      <c r="EPT41" s="30"/>
      <c r="EPU41" s="29"/>
      <c r="EPV41" s="30"/>
      <c r="EPW41" s="29"/>
      <c r="EPX41" s="30"/>
      <c r="EPY41" s="29"/>
      <c r="EPZ41" s="30"/>
      <c r="EQA41" s="29"/>
      <c r="EQB41" s="30"/>
      <c r="EQC41" s="29"/>
      <c r="EQD41" s="30"/>
      <c r="EQE41" s="29"/>
      <c r="EQF41" s="30"/>
      <c r="EQG41" s="29"/>
      <c r="EQH41" s="30"/>
      <c r="EQI41" s="29"/>
      <c r="EQJ41" s="30"/>
      <c r="EQK41" s="29"/>
      <c r="EQL41" s="30"/>
      <c r="EQM41" s="29"/>
      <c r="EQN41" s="30"/>
      <c r="EQO41" s="29"/>
      <c r="EQP41" s="30"/>
      <c r="EQQ41" s="29"/>
      <c r="EQR41" s="30"/>
      <c r="EQS41" s="29"/>
      <c r="EQT41" s="30"/>
      <c r="EQU41" s="29"/>
      <c r="EQV41" s="30"/>
      <c r="EQW41" s="29"/>
      <c r="EQX41" s="30"/>
      <c r="EQY41" s="29"/>
      <c r="EQZ41" s="30"/>
      <c r="ERA41" s="29"/>
      <c r="ERB41" s="30"/>
      <c r="ERC41" s="29"/>
      <c r="ERD41" s="30"/>
      <c r="ERE41" s="29"/>
      <c r="ERF41" s="30"/>
      <c r="ERG41" s="29"/>
      <c r="ERH41" s="30"/>
      <c r="ERI41" s="29"/>
      <c r="ERJ41" s="30"/>
      <c r="ERK41" s="29"/>
      <c r="ERL41" s="30"/>
      <c r="ERM41" s="29"/>
      <c r="ERN41" s="30"/>
      <c r="ERO41" s="29"/>
      <c r="ERP41" s="30"/>
      <c r="ERQ41" s="29"/>
      <c r="ERR41" s="30"/>
      <c r="ERS41" s="29"/>
      <c r="ERT41" s="30"/>
      <c r="ERU41" s="29"/>
      <c r="ERV41" s="30"/>
      <c r="ERW41" s="29"/>
      <c r="ERX41" s="30"/>
      <c r="ERY41" s="29"/>
      <c r="ERZ41" s="30"/>
      <c r="ESA41" s="29"/>
      <c r="ESB41" s="30"/>
      <c r="ESC41" s="29"/>
      <c r="ESD41" s="30"/>
      <c r="ESE41" s="29"/>
      <c r="ESF41" s="30"/>
      <c r="ESG41" s="29"/>
      <c r="ESH41" s="30"/>
      <c r="ESI41" s="29"/>
      <c r="ESJ41" s="30"/>
      <c r="ESK41" s="29"/>
      <c r="ESL41" s="30"/>
      <c r="ESM41" s="29"/>
      <c r="ESN41" s="30"/>
      <c r="ESO41" s="29"/>
      <c r="ESP41" s="30"/>
      <c r="ESQ41" s="29"/>
      <c r="ESR41" s="30"/>
      <c r="ESS41" s="29"/>
      <c r="EST41" s="30"/>
      <c r="ESU41" s="29"/>
      <c r="ESV41" s="30"/>
      <c r="ESW41" s="29"/>
      <c r="ESX41" s="30"/>
      <c r="ESY41" s="29"/>
      <c r="ESZ41" s="30"/>
      <c r="ETA41" s="29"/>
      <c r="ETB41" s="30"/>
      <c r="ETC41" s="29"/>
      <c r="ETD41" s="30"/>
      <c r="ETE41" s="29"/>
      <c r="ETF41" s="30"/>
      <c r="ETG41" s="29"/>
      <c r="ETH41" s="30"/>
      <c r="ETI41" s="29"/>
      <c r="ETJ41" s="30"/>
      <c r="ETK41" s="29"/>
      <c r="ETL41" s="30"/>
      <c r="ETM41" s="29"/>
      <c r="ETN41" s="30"/>
      <c r="ETO41" s="29"/>
      <c r="ETP41" s="30"/>
      <c r="ETQ41" s="29"/>
      <c r="ETR41" s="30"/>
      <c r="ETS41" s="29"/>
      <c r="ETT41" s="30"/>
      <c r="ETU41" s="29"/>
      <c r="ETV41" s="30"/>
      <c r="ETW41" s="29"/>
      <c r="ETX41" s="30"/>
      <c r="ETY41" s="29"/>
      <c r="ETZ41" s="30"/>
      <c r="EUA41" s="29"/>
      <c r="EUB41" s="30"/>
      <c r="EUC41" s="29"/>
      <c r="EUD41" s="30"/>
      <c r="EUE41" s="29"/>
      <c r="EUF41" s="30"/>
      <c r="EUG41" s="29"/>
      <c r="EUH41" s="30"/>
      <c r="EUI41" s="29"/>
      <c r="EUJ41" s="30"/>
      <c r="EUK41" s="29"/>
      <c r="EUL41" s="30"/>
      <c r="EUM41" s="29"/>
      <c r="EUN41" s="30"/>
      <c r="EUO41" s="29"/>
      <c r="EUP41" s="30"/>
      <c r="EUQ41" s="29"/>
      <c r="EUR41" s="30"/>
      <c r="EUS41" s="29"/>
      <c r="EUT41" s="30"/>
      <c r="EUU41" s="29"/>
      <c r="EUV41" s="30"/>
      <c r="EUW41" s="29"/>
      <c r="EUX41" s="30"/>
      <c r="EUY41" s="29"/>
      <c r="EUZ41" s="30"/>
      <c r="EVA41" s="29"/>
      <c r="EVB41" s="30"/>
      <c r="EVC41" s="29"/>
      <c r="EVD41" s="30"/>
      <c r="EVE41" s="29"/>
      <c r="EVF41" s="30"/>
      <c r="EVG41" s="29"/>
      <c r="EVH41" s="30"/>
      <c r="EVI41" s="29"/>
      <c r="EVJ41" s="30"/>
      <c r="EVK41" s="29"/>
      <c r="EVL41" s="30"/>
      <c r="EVM41" s="29"/>
      <c r="EVN41" s="30"/>
      <c r="EVO41" s="29"/>
      <c r="EVP41" s="30"/>
      <c r="EVQ41" s="29"/>
      <c r="EVR41" s="30"/>
      <c r="EVS41" s="29"/>
      <c r="EVT41" s="30"/>
      <c r="EVU41" s="29"/>
      <c r="EVV41" s="30"/>
      <c r="EVW41" s="29"/>
      <c r="EVX41" s="30"/>
      <c r="EVY41" s="29"/>
      <c r="EVZ41" s="30"/>
      <c r="EWA41" s="29"/>
      <c r="EWB41" s="30"/>
      <c r="EWC41" s="29"/>
      <c r="EWD41" s="30"/>
      <c r="EWE41" s="29"/>
      <c r="EWF41" s="30"/>
      <c r="EWG41" s="29"/>
      <c r="EWH41" s="30"/>
      <c r="EWI41" s="29"/>
      <c r="EWJ41" s="30"/>
      <c r="EWK41" s="29"/>
      <c r="EWL41" s="30"/>
      <c r="EWM41" s="29"/>
      <c r="EWN41" s="30"/>
      <c r="EWO41" s="29"/>
      <c r="EWP41" s="30"/>
      <c r="EWQ41" s="29"/>
      <c r="EWR41" s="30"/>
      <c r="EWS41" s="29"/>
      <c r="EWT41" s="30"/>
      <c r="EWU41" s="29"/>
      <c r="EWV41" s="30"/>
      <c r="EWW41" s="29"/>
      <c r="EWX41" s="30"/>
      <c r="EWY41" s="29"/>
      <c r="EWZ41" s="30"/>
      <c r="EXA41" s="29"/>
      <c r="EXB41" s="30"/>
      <c r="EXC41" s="29"/>
      <c r="EXD41" s="30"/>
      <c r="EXE41" s="29"/>
      <c r="EXF41" s="30"/>
      <c r="EXG41" s="29"/>
      <c r="EXH41" s="30"/>
      <c r="EXI41" s="29"/>
      <c r="EXJ41" s="30"/>
      <c r="EXK41" s="29"/>
      <c r="EXL41" s="30"/>
      <c r="EXM41" s="29"/>
      <c r="EXN41" s="30"/>
      <c r="EXO41" s="29"/>
      <c r="EXP41" s="30"/>
      <c r="EXQ41" s="29"/>
      <c r="EXR41" s="30"/>
      <c r="EXS41" s="29"/>
      <c r="EXT41" s="30"/>
      <c r="EXU41" s="29"/>
      <c r="EXV41" s="30"/>
      <c r="EXW41" s="29"/>
      <c r="EXX41" s="30"/>
      <c r="EXY41" s="29"/>
      <c r="EXZ41" s="30"/>
      <c r="EYA41" s="29"/>
      <c r="EYB41" s="30"/>
      <c r="EYC41" s="29"/>
      <c r="EYD41" s="30"/>
      <c r="EYE41" s="29"/>
      <c r="EYF41" s="30"/>
      <c r="EYG41" s="29"/>
      <c r="EYH41" s="30"/>
      <c r="EYI41" s="29"/>
      <c r="EYJ41" s="30"/>
      <c r="EYK41" s="29"/>
      <c r="EYL41" s="30"/>
      <c r="EYM41" s="29"/>
      <c r="EYN41" s="30"/>
      <c r="EYO41" s="29"/>
      <c r="EYP41" s="30"/>
      <c r="EYQ41" s="29"/>
      <c r="EYR41" s="30"/>
      <c r="EYS41" s="29"/>
      <c r="EYT41" s="30"/>
      <c r="EYU41" s="29"/>
      <c r="EYV41" s="30"/>
      <c r="EYW41" s="29"/>
      <c r="EYX41" s="30"/>
      <c r="EYY41" s="29"/>
      <c r="EYZ41" s="30"/>
      <c r="EZA41" s="29"/>
      <c r="EZB41" s="30"/>
      <c r="EZC41" s="29"/>
      <c r="EZD41" s="30"/>
      <c r="EZE41" s="29"/>
      <c r="EZF41" s="30"/>
      <c r="EZG41" s="29"/>
      <c r="EZH41" s="30"/>
      <c r="EZI41" s="29"/>
      <c r="EZJ41" s="30"/>
      <c r="EZK41" s="29"/>
      <c r="EZL41" s="30"/>
      <c r="EZM41" s="29"/>
      <c r="EZN41" s="30"/>
      <c r="EZO41" s="29"/>
      <c r="EZP41" s="30"/>
      <c r="EZQ41" s="29"/>
      <c r="EZR41" s="30"/>
      <c r="EZS41" s="29"/>
      <c r="EZT41" s="30"/>
      <c r="EZU41" s="29"/>
      <c r="EZV41" s="30"/>
      <c r="EZW41" s="29"/>
      <c r="EZX41" s="30"/>
      <c r="EZY41" s="29"/>
      <c r="EZZ41" s="30"/>
      <c r="FAA41" s="29"/>
      <c r="FAB41" s="30"/>
      <c r="FAC41" s="29"/>
      <c r="FAD41" s="30"/>
      <c r="FAE41" s="29"/>
      <c r="FAF41" s="30"/>
      <c r="FAG41" s="29"/>
      <c r="FAH41" s="30"/>
      <c r="FAI41" s="29"/>
      <c r="FAJ41" s="30"/>
      <c r="FAK41" s="29"/>
      <c r="FAL41" s="30"/>
      <c r="FAM41" s="29"/>
      <c r="FAN41" s="30"/>
      <c r="FAO41" s="29"/>
      <c r="FAP41" s="30"/>
      <c r="FAQ41" s="29"/>
      <c r="FAR41" s="30"/>
      <c r="FAS41" s="29"/>
      <c r="FAT41" s="30"/>
      <c r="FAU41" s="29"/>
      <c r="FAV41" s="30"/>
      <c r="FAW41" s="29"/>
      <c r="FAX41" s="30"/>
      <c r="FAY41" s="29"/>
      <c r="FAZ41" s="30"/>
      <c r="FBA41" s="29"/>
      <c r="FBB41" s="30"/>
      <c r="FBC41" s="29"/>
      <c r="FBD41" s="30"/>
      <c r="FBE41" s="29"/>
      <c r="FBF41" s="30"/>
      <c r="FBG41" s="29"/>
      <c r="FBH41" s="30"/>
      <c r="FBI41" s="29"/>
      <c r="FBJ41" s="30"/>
      <c r="FBK41" s="29"/>
      <c r="FBL41" s="30"/>
      <c r="FBM41" s="29"/>
      <c r="FBN41" s="30"/>
      <c r="FBO41" s="29"/>
      <c r="FBP41" s="30"/>
      <c r="FBQ41" s="29"/>
      <c r="FBR41" s="30"/>
      <c r="FBS41" s="29"/>
      <c r="FBT41" s="30"/>
      <c r="FBU41" s="29"/>
      <c r="FBV41" s="30"/>
      <c r="FBW41" s="29"/>
      <c r="FBX41" s="30"/>
      <c r="FBY41" s="29"/>
      <c r="FBZ41" s="30"/>
      <c r="FCA41" s="29"/>
      <c r="FCB41" s="30"/>
      <c r="FCC41" s="29"/>
      <c r="FCD41" s="30"/>
      <c r="FCE41" s="29"/>
      <c r="FCF41" s="30"/>
      <c r="FCG41" s="29"/>
      <c r="FCH41" s="30"/>
      <c r="FCI41" s="29"/>
      <c r="FCJ41" s="30"/>
      <c r="FCK41" s="29"/>
      <c r="FCL41" s="30"/>
      <c r="FCM41" s="29"/>
      <c r="FCN41" s="30"/>
      <c r="FCO41" s="29"/>
      <c r="FCP41" s="30"/>
      <c r="FCQ41" s="29"/>
      <c r="FCR41" s="30"/>
      <c r="FCS41" s="29"/>
      <c r="FCT41" s="30"/>
      <c r="FCU41" s="29"/>
      <c r="FCV41" s="30"/>
      <c r="FCW41" s="29"/>
      <c r="FCX41" s="30"/>
      <c r="FCY41" s="29"/>
      <c r="FCZ41" s="30"/>
      <c r="FDA41" s="29"/>
      <c r="FDB41" s="30"/>
      <c r="FDC41" s="29"/>
      <c r="FDD41" s="30"/>
      <c r="FDE41" s="29"/>
      <c r="FDF41" s="30"/>
      <c r="FDG41" s="29"/>
      <c r="FDH41" s="30"/>
      <c r="FDI41" s="29"/>
      <c r="FDJ41" s="30"/>
      <c r="FDK41" s="29"/>
      <c r="FDL41" s="30"/>
      <c r="FDM41" s="29"/>
      <c r="FDN41" s="30"/>
      <c r="FDO41" s="29"/>
      <c r="FDP41" s="30"/>
      <c r="FDQ41" s="29"/>
      <c r="FDR41" s="30"/>
      <c r="FDS41" s="29"/>
      <c r="FDT41" s="30"/>
      <c r="FDU41" s="29"/>
      <c r="FDV41" s="30"/>
      <c r="FDW41" s="29"/>
      <c r="FDX41" s="30"/>
      <c r="FDY41" s="29"/>
      <c r="FDZ41" s="30"/>
      <c r="FEA41" s="29"/>
      <c r="FEB41" s="30"/>
      <c r="FEC41" s="29"/>
      <c r="FED41" s="30"/>
      <c r="FEE41" s="29"/>
      <c r="FEF41" s="30"/>
      <c r="FEG41" s="29"/>
      <c r="FEH41" s="30"/>
      <c r="FEI41" s="29"/>
      <c r="FEJ41" s="30"/>
      <c r="FEK41" s="29"/>
      <c r="FEL41" s="30"/>
      <c r="FEM41" s="29"/>
      <c r="FEN41" s="30"/>
      <c r="FEO41" s="29"/>
      <c r="FEP41" s="30"/>
      <c r="FEQ41" s="29"/>
      <c r="FER41" s="30"/>
      <c r="FES41" s="29"/>
      <c r="FET41" s="30"/>
      <c r="FEU41" s="29"/>
      <c r="FEV41" s="30"/>
      <c r="FEW41" s="29"/>
      <c r="FEX41" s="30"/>
      <c r="FEY41" s="29"/>
      <c r="FEZ41" s="30"/>
      <c r="FFA41" s="29"/>
      <c r="FFB41" s="30"/>
      <c r="FFC41" s="29"/>
      <c r="FFD41" s="30"/>
      <c r="FFE41" s="29"/>
      <c r="FFF41" s="30"/>
      <c r="FFG41" s="29"/>
      <c r="FFH41" s="30"/>
      <c r="FFI41" s="29"/>
      <c r="FFJ41" s="30"/>
      <c r="FFK41" s="29"/>
      <c r="FFL41" s="30"/>
      <c r="FFM41" s="29"/>
      <c r="FFN41" s="30"/>
      <c r="FFO41" s="29"/>
      <c r="FFP41" s="30"/>
      <c r="FFQ41" s="29"/>
      <c r="FFR41" s="30"/>
      <c r="FFS41" s="29"/>
      <c r="FFT41" s="30"/>
      <c r="FFU41" s="29"/>
      <c r="FFV41" s="30"/>
      <c r="FFW41" s="29"/>
      <c r="FFX41" s="30"/>
      <c r="FFY41" s="29"/>
      <c r="FFZ41" s="30"/>
      <c r="FGA41" s="29"/>
      <c r="FGB41" s="30"/>
      <c r="FGC41" s="29"/>
      <c r="FGD41" s="30"/>
      <c r="FGE41" s="29"/>
      <c r="FGF41" s="30"/>
      <c r="FGG41" s="29"/>
      <c r="FGH41" s="30"/>
      <c r="FGI41" s="29"/>
      <c r="FGJ41" s="30"/>
      <c r="FGK41" s="29"/>
      <c r="FGL41" s="30"/>
      <c r="FGM41" s="29"/>
      <c r="FGN41" s="30"/>
      <c r="FGO41" s="29"/>
      <c r="FGP41" s="30"/>
      <c r="FGQ41" s="29"/>
      <c r="FGR41" s="30"/>
      <c r="FGS41" s="29"/>
      <c r="FGT41" s="30"/>
      <c r="FGU41" s="29"/>
      <c r="FGV41" s="30"/>
      <c r="FGW41" s="29"/>
      <c r="FGX41" s="30"/>
      <c r="FGY41" s="29"/>
      <c r="FGZ41" s="30"/>
      <c r="FHA41" s="29"/>
      <c r="FHB41" s="30"/>
      <c r="FHC41" s="29"/>
      <c r="FHD41" s="30"/>
      <c r="FHE41" s="29"/>
      <c r="FHF41" s="30"/>
      <c r="FHG41" s="29"/>
      <c r="FHH41" s="30"/>
      <c r="FHI41" s="29"/>
      <c r="FHJ41" s="30"/>
      <c r="FHK41" s="29"/>
      <c r="FHL41" s="30"/>
      <c r="FHM41" s="29"/>
      <c r="FHN41" s="30"/>
      <c r="FHO41" s="29"/>
      <c r="FHP41" s="30"/>
      <c r="FHQ41" s="29"/>
      <c r="FHR41" s="30"/>
      <c r="FHS41" s="29"/>
      <c r="FHT41" s="30"/>
      <c r="FHU41" s="29"/>
      <c r="FHV41" s="30"/>
      <c r="FHW41" s="29"/>
      <c r="FHX41" s="30"/>
      <c r="FHY41" s="29"/>
      <c r="FHZ41" s="30"/>
      <c r="FIA41" s="29"/>
      <c r="FIB41" s="30"/>
      <c r="FIC41" s="29"/>
      <c r="FID41" s="30"/>
      <c r="FIE41" s="29"/>
      <c r="FIF41" s="30"/>
      <c r="FIG41" s="29"/>
      <c r="FIH41" s="30"/>
      <c r="FII41" s="29"/>
      <c r="FIJ41" s="30"/>
      <c r="FIK41" s="29"/>
      <c r="FIL41" s="30"/>
      <c r="FIM41" s="29"/>
      <c r="FIN41" s="30"/>
      <c r="FIO41" s="29"/>
      <c r="FIP41" s="30"/>
      <c r="FIQ41" s="29"/>
      <c r="FIR41" s="30"/>
      <c r="FIS41" s="29"/>
      <c r="FIT41" s="30"/>
      <c r="FIU41" s="29"/>
      <c r="FIV41" s="30"/>
      <c r="FIW41" s="29"/>
      <c r="FIX41" s="30"/>
      <c r="FIY41" s="29"/>
      <c r="FIZ41" s="30"/>
      <c r="FJA41" s="29"/>
      <c r="FJB41" s="30"/>
      <c r="FJC41" s="29"/>
      <c r="FJD41" s="30"/>
      <c r="FJE41" s="29"/>
      <c r="FJF41" s="30"/>
      <c r="FJG41" s="29"/>
      <c r="FJH41" s="30"/>
      <c r="FJI41" s="29"/>
      <c r="FJJ41" s="30"/>
      <c r="FJK41" s="29"/>
      <c r="FJL41" s="30"/>
      <c r="FJM41" s="29"/>
      <c r="FJN41" s="30"/>
      <c r="FJO41" s="29"/>
      <c r="FJP41" s="30"/>
      <c r="FJQ41" s="29"/>
      <c r="FJR41" s="30"/>
      <c r="FJS41" s="29"/>
      <c r="FJT41" s="30"/>
      <c r="FJU41" s="29"/>
      <c r="FJV41" s="30"/>
      <c r="FJW41" s="29"/>
      <c r="FJX41" s="30"/>
      <c r="FJY41" s="29"/>
      <c r="FJZ41" s="30"/>
      <c r="FKA41" s="29"/>
      <c r="FKB41" s="30"/>
      <c r="FKC41" s="29"/>
      <c r="FKD41" s="30"/>
      <c r="FKE41" s="29"/>
      <c r="FKF41" s="30"/>
      <c r="FKG41" s="29"/>
      <c r="FKH41" s="30"/>
      <c r="FKI41" s="29"/>
      <c r="FKJ41" s="30"/>
      <c r="FKK41" s="29"/>
      <c r="FKL41" s="30"/>
      <c r="FKM41" s="29"/>
      <c r="FKN41" s="30"/>
      <c r="FKO41" s="29"/>
      <c r="FKP41" s="30"/>
      <c r="FKQ41" s="29"/>
      <c r="FKR41" s="30"/>
      <c r="FKS41" s="29"/>
      <c r="FKT41" s="30"/>
      <c r="FKU41" s="29"/>
      <c r="FKV41" s="30"/>
      <c r="FKW41" s="29"/>
      <c r="FKX41" s="30"/>
      <c r="FKY41" s="29"/>
      <c r="FKZ41" s="30"/>
      <c r="FLA41" s="29"/>
      <c r="FLB41" s="30"/>
      <c r="FLC41" s="29"/>
      <c r="FLD41" s="30"/>
      <c r="FLE41" s="29"/>
      <c r="FLF41" s="30"/>
      <c r="FLG41" s="29"/>
      <c r="FLH41" s="30"/>
      <c r="FLI41" s="29"/>
      <c r="FLJ41" s="30"/>
      <c r="FLK41" s="29"/>
      <c r="FLL41" s="30"/>
      <c r="FLM41" s="29"/>
      <c r="FLN41" s="30"/>
      <c r="FLO41" s="29"/>
      <c r="FLP41" s="30"/>
      <c r="FLQ41" s="29"/>
      <c r="FLR41" s="30"/>
      <c r="FLS41" s="29"/>
      <c r="FLT41" s="30"/>
      <c r="FLU41" s="29"/>
      <c r="FLV41" s="30"/>
      <c r="FLW41" s="29"/>
      <c r="FLX41" s="30"/>
      <c r="FLY41" s="29"/>
      <c r="FLZ41" s="30"/>
      <c r="FMA41" s="29"/>
      <c r="FMB41" s="30"/>
      <c r="FMC41" s="29"/>
      <c r="FMD41" s="30"/>
      <c r="FME41" s="29"/>
      <c r="FMF41" s="30"/>
      <c r="FMG41" s="29"/>
      <c r="FMH41" s="30"/>
      <c r="FMI41" s="29"/>
      <c r="FMJ41" s="30"/>
      <c r="FMK41" s="29"/>
      <c r="FML41" s="30"/>
      <c r="FMM41" s="29"/>
      <c r="FMN41" s="30"/>
      <c r="FMO41" s="29"/>
      <c r="FMP41" s="30"/>
      <c r="FMQ41" s="29"/>
      <c r="FMR41" s="30"/>
      <c r="FMS41" s="29"/>
      <c r="FMT41" s="30"/>
      <c r="FMU41" s="29"/>
      <c r="FMV41" s="30"/>
      <c r="FMW41" s="29"/>
      <c r="FMX41" s="30"/>
      <c r="FMY41" s="29"/>
      <c r="FMZ41" s="30"/>
      <c r="FNA41" s="29"/>
      <c r="FNB41" s="30"/>
      <c r="FNC41" s="29"/>
      <c r="FND41" s="30"/>
      <c r="FNE41" s="29"/>
      <c r="FNF41" s="30"/>
      <c r="FNG41" s="29"/>
      <c r="FNH41" s="30"/>
      <c r="FNI41" s="29"/>
      <c r="FNJ41" s="30"/>
      <c r="FNK41" s="29"/>
      <c r="FNL41" s="30"/>
      <c r="FNM41" s="29"/>
      <c r="FNN41" s="30"/>
      <c r="FNO41" s="29"/>
      <c r="FNP41" s="30"/>
      <c r="FNQ41" s="29"/>
      <c r="FNR41" s="30"/>
      <c r="FNS41" s="29"/>
      <c r="FNT41" s="30"/>
      <c r="FNU41" s="29"/>
      <c r="FNV41" s="30"/>
      <c r="FNW41" s="29"/>
      <c r="FNX41" s="30"/>
      <c r="FNY41" s="29"/>
      <c r="FNZ41" s="30"/>
      <c r="FOA41" s="29"/>
      <c r="FOB41" s="30"/>
      <c r="FOC41" s="29"/>
      <c r="FOD41" s="30"/>
      <c r="FOE41" s="29"/>
      <c r="FOF41" s="30"/>
      <c r="FOG41" s="29"/>
      <c r="FOH41" s="30"/>
      <c r="FOI41" s="29"/>
      <c r="FOJ41" s="30"/>
      <c r="FOK41" s="29"/>
      <c r="FOL41" s="30"/>
      <c r="FOM41" s="29"/>
      <c r="FON41" s="30"/>
      <c r="FOO41" s="29"/>
      <c r="FOP41" s="30"/>
      <c r="FOQ41" s="29"/>
      <c r="FOR41" s="30"/>
      <c r="FOS41" s="29"/>
      <c r="FOT41" s="30"/>
      <c r="FOU41" s="29"/>
      <c r="FOV41" s="30"/>
      <c r="FOW41" s="29"/>
      <c r="FOX41" s="30"/>
      <c r="FOY41" s="29"/>
      <c r="FOZ41" s="30"/>
      <c r="FPA41" s="29"/>
      <c r="FPB41" s="30"/>
      <c r="FPC41" s="29"/>
      <c r="FPD41" s="30"/>
      <c r="FPE41" s="29"/>
      <c r="FPF41" s="30"/>
      <c r="FPG41" s="29"/>
      <c r="FPH41" s="30"/>
      <c r="FPI41" s="29"/>
      <c r="FPJ41" s="30"/>
      <c r="FPK41" s="29"/>
      <c r="FPL41" s="30"/>
      <c r="FPM41" s="29"/>
      <c r="FPN41" s="30"/>
      <c r="FPO41" s="29"/>
      <c r="FPP41" s="30"/>
      <c r="FPQ41" s="29"/>
      <c r="FPR41" s="30"/>
      <c r="FPS41" s="29"/>
      <c r="FPT41" s="30"/>
      <c r="FPU41" s="29"/>
      <c r="FPV41" s="30"/>
      <c r="FPW41" s="29"/>
      <c r="FPX41" s="30"/>
      <c r="FPY41" s="29"/>
      <c r="FPZ41" s="30"/>
      <c r="FQA41" s="29"/>
      <c r="FQB41" s="30"/>
      <c r="FQC41" s="29"/>
      <c r="FQD41" s="30"/>
      <c r="FQE41" s="29"/>
      <c r="FQF41" s="30"/>
      <c r="FQG41" s="29"/>
      <c r="FQH41" s="30"/>
      <c r="FQI41" s="29"/>
      <c r="FQJ41" s="30"/>
      <c r="FQK41" s="29"/>
      <c r="FQL41" s="30"/>
      <c r="FQM41" s="29"/>
      <c r="FQN41" s="30"/>
      <c r="FQO41" s="29"/>
      <c r="FQP41" s="30"/>
      <c r="FQQ41" s="29"/>
      <c r="FQR41" s="30"/>
      <c r="FQS41" s="29"/>
      <c r="FQT41" s="30"/>
      <c r="FQU41" s="29"/>
      <c r="FQV41" s="30"/>
      <c r="FQW41" s="29"/>
      <c r="FQX41" s="30"/>
      <c r="FQY41" s="29"/>
      <c r="FQZ41" s="30"/>
      <c r="FRA41" s="29"/>
      <c r="FRB41" s="30"/>
      <c r="FRC41" s="29"/>
      <c r="FRD41" s="30"/>
      <c r="FRE41" s="29"/>
      <c r="FRF41" s="30"/>
      <c r="FRG41" s="29"/>
      <c r="FRH41" s="30"/>
      <c r="FRI41" s="29"/>
      <c r="FRJ41" s="30"/>
      <c r="FRK41" s="29"/>
      <c r="FRL41" s="30"/>
      <c r="FRM41" s="29"/>
      <c r="FRN41" s="30"/>
      <c r="FRO41" s="29"/>
      <c r="FRP41" s="30"/>
      <c r="FRQ41" s="29"/>
      <c r="FRR41" s="30"/>
      <c r="FRS41" s="29"/>
      <c r="FRT41" s="30"/>
      <c r="FRU41" s="29"/>
      <c r="FRV41" s="30"/>
      <c r="FRW41" s="29"/>
      <c r="FRX41" s="30"/>
      <c r="FRY41" s="29"/>
      <c r="FRZ41" s="30"/>
      <c r="FSA41" s="29"/>
      <c r="FSB41" s="30"/>
      <c r="FSC41" s="29"/>
      <c r="FSD41" s="30"/>
      <c r="FSE41" s="29"/>
      <c r="FSF41" s="30"/>
      <c r="FSG41" s="29"/>
      <c r="FSH41" s="30"/>
      <c r="FSI41" s="29"/>
      <c r="FSJ41" s="30"/>
      <c r="FSK41" s="29"/>
      <c r="FSL41" s="30"/>
      <c r="FSM41" s="29"/>
      <c r="FSN41" s="30"/>
      <c r="FSO41" s="29"/>
      <c r="FSP41" s="30"/>
      <c r="FSQ41" s="29"/>
      <c r="FSR41" s="30"/>
      <c r="FSS41" s="29"/>
      <c r="FST41" s="30"/>
      <c r="FSU41" s="29"/>
      <c r="FSV41" s="30"/>
      <c r="FSW41" s="29"/>
      <c r="FSX41" s="30"/>
      <c r="FSY41" s="29"/>
      <c r="FSZ41" s="30"/>
      <c r="FTA41" s="29"/>
      <c r="FTB41" s="30"/>
      <c r="FTC41" s="29"/>
      <c r="FTD41" s="30"/>
      <c r="FTE41" s="29"/>
      <c r="FTF41" s="30"/>
      <c r="FTG41" s="29"/>
      <c r="FTH41" s="30"/>
      <c r="FTI41" s="29"/>
      <c r="FTJ41" s="30"/>
      <c r="FTK41" s="29"/>
      <c r="FTL41" s="30"/>
      <c r="FTM41" s="29"/>
      <c r="FTN41" s="30"/>
      <c r="FTO41" s="29"/>
      <c r="FTP41" s="30"/>
      <c r="FTQ41" s="29"/>
      <c r="FTR41" s="30"/>
      <c r="FTS41" s="29"/>
      <c r="FTT41" s="30"/>
      <c r="FTU41" s="29"/>
      <c r="FTV41" s="30"/>
      <c r="FTW41" s="29"/>
      <c r="FTX41" s="30"/>
      <c r="FTY41" s="29"/>
      <c r="FTZ41" s="30"/>
      <c r="FUA41" s="29"/>
      <c r="FUB41" s="30"/>
      <c r="FUC41" s="29"/>
      <c r="FUD41" s="30"/>
      <c r="FUE41" s="29"/>
      <c r="FUF41" s="30"/>
      <c r="FUG41" s="29"/>
      <c r="FUH41" s="30"/>
      <c r="FUI41" s="29"/>
      <c r="FUJ41" s="30"/>
      <c r="FUK41" s="29"/>
      <c r="FUL41" s="30"/>
      <c r="FUM41" s="29"/>
      <c r="FUN41" s="30"/>
      <c r="FUO41" s="29"/>
      <c r="FUP41" s="30"/>
      <c r="FUQ41" s="29"/>
      <c r="FUR41" s="30"/>
      <c r="FUS41" s="29"/>
      <c r="FUT41" s="30"/>
      <c r="FUU41" s="29"/>
      <c r="FUV41" s="30"/>
      <c r="FUW41" s="29"/>
      <c r="FUX41" s="30"/>
      <c r="FUY41" s="29"/>
      <c r="FUZ41" s="30"/>
      <c r="FVA41" s="29"/>
      <c r="FVB41" s="30"/>
      <c r="FVC41" s="29"/>
      <c r="FVD41" s="30"/>
      <c r="FVE41" s="29"/>
      <c r="FVF41" s="30"/>
      <c r="FVG41" s="29"/>
      <c r="FVH41" s="30"/>
      <c r="FVI41" s="29"/>
      <c r="FVJ41" s="30"/>
      <c r="FVK41" s="29"/>
      <c r="FVL41" s="30"/>
      <c r="FVM41" s="29"/>
      <c r="FVN41" s="30"/>
      <c r="FVO41" s="29"/>
      <c r="FVP41" s="30"/>
      <c r="FVQ41" s="29"/>
      <c r="FVR41" s="30"/>
      <c r="FVS41" s="29"/>
      <c r="FVT41" s="30"/>
      <c r="FVU41" s="29"/>
      <c r="FVV41" s="30"/>
      <c r="FVW41" s="29"/>
      <c r="FVX41" s="30"/>
      <c r="FVY41" s="29"/>
      <c r="FVZ41" s="30"/>
      <c r="FWA41" s="29"/>
      <c r="FWB41" s="30"/>
      <c r="FWC41" s="29"/>
      <c r="FWD41" s="30"/>
      <c r="FWE41" s="29"/>
      <c r="FWF41" s="30"/>
      <c r="FWG41" s="29"/>
      <c r="FWH41" s="30"/>
      <c r="FWI41" s="29"/>
      <c r="FWJ41" s="30"/>
      <c r="FWK41" s="29"/>
      <c r="FWL41" s="30"/>
      <c r="FWM41" s="29"/>
      <c r="FWN41" s="30"/>
      <c r="FWO41" s="29"/>
      <c r="FWP41" s="30"/>
      <c r="FWQ41" s="29"/>
      <c r="FWR41" s="30"/>
      <c r="FWS41" s="29"/>
      <c r="FWT41" s="30"/>
      <c r="FWU41" s="29"/>
      <c r="FWV41" s="30"/>
      <c r="FWW41" s="29"/>
      <c r="FWX41" s="30"/>
      <c r="FWY41" s="29"/>
      <c r="FWZ41" s="30"/>
      <c r="FXA41" s="29"/>
      <c r="FXB41" s="30"/>
      <c r="FXC41" s="29"/>
      <c r="FXD41" s="30"/>
      <c r="FXE41" s="29"/>
      <c r="FXF41" s="30"/>
      <c r="FXG41" s="29"/>
      <c r="FXH41" s="30"/>
      <c r="FXI41" s="29"/>
      <c r="FXJ41" s="30"/>
      <c r="FXK41" s="29"/>
      <c r="FXL41" s="30"/>
      <c r="FXM41" s="29"/>
      <c r="FXN41" s="30"/>
      <c r="FXO41" s="29"/>
      <c r="FXP41" s="30"/>
      <c r="FXQ41" s="29"/>
      <c r="FXR41" s="30"/>
      <c r="FXS41" s="29"/>
      <c r="FXT41" s="30"/>
      <c r="FXU41" s="29"/>
      <c r="FXV41" s="30"/>
      <c r="FXW41" s="29"/>
      <c r="FXX41" s="30"/>
      <c r="FXY41" s="29"/>
      <c r="FXZ41" s="30"/>
      <c r="FYA41" s="29"/>
      <c r="FYB41" s="30"/>
      <c r="FYC41" s="29"/>
      <c r="FYD41" s="30"/>
      <c r="FYE41" s="29"/>
      <c r="FYF41" s="30"/>
      <c r="FYG41" s="29"/>
      <c r="FYH41" s="30"/>
      <c r="FYI41" s="29"/>
      <c r="FYJ41" s="30"/>
      <c r="FYK41" s="29"/>
      <c r="FYL41" s="30"/>
      <c r="FYM41" s="29"/>
      <c r="FYN41" s="30"/>
      <c r="FYO41" s="29"/>
      <c r="FYP41" s="30"/>
      <c r="FYQ41" s="29"/>
      <c r="FYR41" s="30"/>
      <c r="FYS41" s="29"/>
      <c r="FYT41" s="30"/>
      <c r="FYU41" s="29"/>
      <c r="FYV41" s="30"/>
      <c r="FYW41" s="29"/>
      <c r="FYX41" s="30"/>
      <c r="FYY41" s="29"/>
      <c r="FYZ41" s="30"/>
      <c r="FZA41" s="29"/>
      <c r="FZB41" s="30"/>
      <c r="FZC41" s="29"/>
      <c r="FZD41" s="30"/>
      <c r="FZE41" s="29"/>
      <c r="FZF41" s="30"/>
      <c r="FZG41" s="29"/>
      <c r="FZH41" s="30"/>
      <c r="FZI41" s="29"/>
      <c r="FZJ41" s="30"/>
      <c r="FZK41" s="29"/>
      <c r="FZL41" s="30"/>
      <c r="FZM41" s="29"/>
      <c r="FZN41" s="30"/>
      <c r="FZO41" s="29"/>
      <c r="FZP41" s="30"/>
      <c r="FZQ41" s="29"/>
      <c r="FZR41" s="30"/>
      <c r="FZS41" s="29"/>
      <c r="FZT41" s="30"/>
      <c r="FZU41" s="29"/>
      <c r="FZV41" s="30"/>
      <c r="FZW41" s="29"/>
      <c r="FZX41" s="30"/>
      <c r="FZY41" s="29"/>
      <c r="FZZ41" s="30"/>
      <c r="GAA41" s="29"/>
      <c r="GAB41" s="30"/>
      <c r="GAC41" s="29"/>
      <c r="GAD41" s="30"/>
      <c r="GAE41" s="29"/>
      <c r="GAF41" s="30"/>
      <c r="GAG41" s="29"/>
      <c r="GAH41" s="30"/>
      <c r="GAI41" s="29"/>
      <c r="GAJ41" s="30"/>
      <c r="GAK41" s="29"/>
      <c r="GAL41" s="30"/>
      <c r="GAM41" s="29"/>
      <c r="GAN41" s="30"/>
      <c r="GAO41" s="29"/>
      <c r="GAP41" s="30"/>
      <c r="GAQ41" s="29"/>
      <c r="GAR41" s="30"/>
      <c r="GAS41" s="29"/>
      <c r="GAT41" s="30"/>
      <c r="GAU41" s="29"/>
      <c r="GAV41" s="30"/>
      <c r="GAW41" s="29"/>
      <c r="GAX41" s="30"/>
      <c r="GAY41" s="29"/>
      <c r="GAZ41" s="30"/>
      <c r="GBA41" s="29"/>
      <c r="GBB41" s="30"/>
      <c r="GBC41" s="29"/>
      <c r="GBD41" s="30"/>
      <c r="GBE41" s="29"/>
      <c r="GBF41" s="30"/>
      <c r="GBG41" s="29"/>
      <c r="GBH41" s="30"/>
      <c r="GBI41" s="29"/>
      <c r="GBJ41" s="30"/>
      <c r="GBK41" s="29"/>
      <c r="GBL41" s="30"/>
      <c r="GBM41" s="29"/>
      <c r="GBN41" s="30"/>
      <c r="GBO41" s="29"/>
      <c r="GBP41" s="30"/>
      <c r="GBQ41" s="29"/>
      <c r="GBR41" s="30"/>
      <c r="GBS41" s="29"/>
      <c r="GBT41" s="30"/>
      <c r="GBU41" s="29"/>
      <c r="GBV41" s="30"/>
      <c r="GBW41" s="29"/>
      <c r="GBX41" s="30"/>
      <c r="GBY41" s="29"/>
      <c r="GBZ41" s="30"/>
      <c r="GCA41" s="29"/>
      <c r="GCB41" s="30"/>
      <c r="GCC41" s="29"/>
      <c r="GCD41" s="30"/>
      <c r="GCE41" s="29"/>
      <c r="GCF41" s="30"/>
      <c r="GCG41" s="29"/>
      <c r="GCH41" s="30"/>
      <c r="GCI41" s="29"/>
      <c r="GCJ41" s="30"/>
      <c r="GCK41" s="29"/>
      <c r="GCL41" s="30"/>
      <c r="GCM41" s="29"/>
      <c r="GCN41" s="30"/>
      <c r="GCO41" s="29"/>
      <c r="GCP41" s="30"/>
      <c r="GCQ41" s="29"/>
      <c r="GCR41" s="30"/>
      <c r="GCS41" s="29"/>
      <c r="GCT41" s="30"/>
      <c r="GCU41" s="29"/>
      <c r="GCV41" s="30"/>
      <c r="GCW41" s="29"/>
      <c r="GCX41" s="30"/>
      <c r="GCY41" s="29"/>
      <c r="GCZ41" s="30"/>
      <c r="GDA41" s="29"/>
      <c r="GDB41" s="30"/>
      <c r="GDC41" s="29"/>
      <c r="GDD41" s="30"/>
      <c r="GDE41" s="29"/>
      <c r="GDF41" s="30"/>
      <c r="GDG41" s="29"/>
      <c r="GDH41" s="30"/>
      <c r="GDI41" s="29"/>
      <c r="GDJ41" s="30"/>
      <c r="GDK41" s="29"/>
      <c r="GDL41" s="30"/>
      <c r="GDM41" s="29"/>
      <c r="GDN41" s="30"/>
      <c r="GDO41" s="29"/>
      <c r="GDP41" s="30"/>
      <c r="GDQ41" s="29"/>
      <c r="GDR41" s="30"/>
      <c r="GDS41" s="29"/>
      <c r="GDT41" s="30"/>
      <c r="GDU41" s="29"/>
      <c r="GDV41" s="30"/>
      <c r="GDW41" s="29"/>
      <c r="GDX41" s="30"/>
      <c r="GDY41" s="29"/>
      <c r="GDZ41" s="30"/>
      <c r="GEA41" s="29"/>
      <c r="GEB41" s="30"/>
      <c r="GEC41" s="29"/>
      <c r="GED41" s="30"/>
      <c r="GEE41" s="29"/>
      <c r="GEF41" s="30"/>
      <c r="GEG41" s="29"/>
      <c r="GEH41" s="30"/>
      <c r="GEI41" s="29"/>
      <c r="GEJ41" s="30"/>
      <c r="GEK41" s="29"/>
      <c r="GEL41" s="30"/>
      <c r="GEM41" s="29"/>
      <c r="GEN41" s="30"/>
      <c r="GEO41" s="29"/>
      <c r="GEP41" s="30"/>
      <c r="GEQ41" s="29"/>
      <c r="GER41" s="30"/>
      <c r="GES41" s="29"/>
      <c r="GET41" s="30"/>
      <c r="GEU41" s="29"/>
      <c r="GEV41" s="30"/>
      <c r="GEW41" s="29"/>
      <c r="GEX41" s="30"/>
      <c r="GEY41" s="29"/>
      <c r="GEZ41" s="30"/>
      <c r="GFA41" s="29"/>
      <c r="GFB41" s="30"/>
      <c r="GFC41" s="29"/>
      <c r="GFD41" s="30"/>
      <c r="GFE41" s="29"/>
      <c r="GFF41" s="30"/>
      <c r="GFG41" s="29"/>
      <c r="GFH41" s="30"/>
      <c r="GFI41" s="29"/>
      <c r="GFJ41" s="30"/>
      <c r="GFK41" s="29"/>
      <c r="GFL41" s="30"/>
      <c r="GFM41" s="29"/>
      <c r="GFN41" s="30"/>
      <c r="GFO41" s="29"/>
      <c r="GFP41" s="30"/>
      <c r="GFQ41" s="29"/>
      <c r="GFR41" s="30"/>
      <c r="GFS41" s="29"/>
      <c r="GFT41" s="30"/>
      <c r="GFU41" s="29"/>
      <c r="GFV41" s="30"/>
      <c r="GFW41" s="29"/>
      <c r="GFX41" s="30"/>
      <c r="GFY41" s="29"/>
      <c r="GFZ41" s="30"/>
      <c r="GGA41" s="29"/>
      <c r="GGB41" s="30"/>
      <c r="GGC41" s="29"/>
      <c r="GGD41" s="30"/>
      <c r="GGE41" s="29"/>
      <c r="GGF41" s="30"/>
      <c r="GGG41" s="29"/>
      <c r="GGH41" s="30"/>
      <c r="GGI41" s="29"/>
      <c r="GGJ41" s="30"/>
      <c r="GGK41" s="29"/>
      <c r="GGL41" s="30"/>
      <c r="GGM41" s="29"/>
      <c r="GGN41" s="30"/>
      <c r="GGO41" s="29"/>
      <c r="GGP41" s="30"/>
      <c r="GGQ41" s="29"/>
      <c r="GGR41" s="30"/>
      <c r="GGS41" s="29"/>
      <c r="GGT41" s="30"/>
      <c r="GGU41" s="29"/>
      <c r="GGV41" s="30"/>
      <c r="GGW41" s="29"/>
      <c r="GGX41" s="30"/>
      <c r="GGY41" s="29"/>
      <c r="GGZ41" s="30"/>
      <c r="GHA41" s="29"/>
      <c r="GHB41" s="30"/>
      <c r="GHC41" s="29"/>
      <c r="GHD41" s="30"/>
      <c r="GHE41" s="29"/>
      <c r="GHF41" s="30"/>
      <c r="GHG41" s="29"/>
      <c r="GHH41" s="30"/>
      <c r="GHI41" s="29"/>
      <c r="GHJ41" s="30"/>
      <c r="GHK41" s="29"/>
      <c r="GHL41" s="30"/>
      <c r="GHM41" s="29"/>
      <c r="GHN41" s="30"/>
      <c r="GHO41" s="29"/>
      <c r="GHP41" s="30"/>
      <c r="GHQ41" s="29"/>
      <c r="GHR41" s="30"/>
      <c r="GHS41" s="29"/>
      <c r="GHT41" s="30"/>
      <c r="GHU41" s="29"/>
      <c r="GHV41" s="30"/>
      <c r="GHW41" s="29"/>
      <c r="GHX41" s="30"/>
      <c r="GHY41" s="29"/>
      <c r="GHZ41" s="30"/>
      <c r="GIA41" s="29"/>
      <c r="GIB41" s="30"/>
      <c r="GIC41" s="29"/>
      <c r="GID41" s="30"/>
      <c r="GIE41" s="29"/>
      <c r="GIF41" s="30"/>
      <c r="GIG41" s="29"/>
      <c r="GIH41" s="30"/>
      <c r="GII41" s="29"/>
      <c r="GIJ41" s="30"/>
      <c r="GIK41" s="29"/>
      <c r="GIL41" s="30"/>
      <c r="GIM41" s="29"/>
      <c r="GIN41" s="30"/>
      <c r="GIO41" s="29"/>
      <c r="GIP41" s="30"/>
      <c r="GIQ41" s="29"/>
      <c r="GIR41" s="30"/>
      <c r="GIS41" s="29"/>
      <c r="GIT41" s="30"/>
      <c r="GIU41" s="29"/>
      <c r="GIV41" s="30"/>
      <c r="GIW41" s="29"/>
      <c r="GIX41" s="30"/>
      <c r="GIY41" s="29"/>
      <c r="GIZ41" s="30"/>
      <c r="GJA41" s="29"/>
      <c r="GJB41" s="30"/>
      <c r="GJC41" s="29"/>
      <c r="GJD41" s="30"/>
      <c r="GJE41" s="29"/>
      <c r="GJF41" s="30"/>
      <c r="GJG41" s="29"/>
      <c r="GJH41" s="30"/>
      <c r="GJI41" s="29"/>
      <c r="GJJ41" s="30"/>
      <c r="GJK41" s="29"/>
      <c r="GJL41" s="30"/>
      <c r="GJM41" s="29"/>
      <c r="GJN41" s="30"/>
      <c r="GJO41" s="29"/>
      <c r="GJP41" s="30"/>
      <c r="GJQ41" s="29"/>
      <c r="GJR41" s="30"/>
      <c r="GJS41" s="29"/>
      <c r="GJT41" s="30"/>
      <c r="GJU41" s="29"/>
      <c r="GJV41" s="30"/>
      <c r="GJW41" s="29"/>
      <c r="GJX41" s="30"/>
      <c r="GJY41" s="29"/>
      <c r="GJZ41" s="30"/>
      <c r="GKA41" s="29"/>
      <c r="GKB41" s="30"/>
      <c r="GKC41" s="29"/>
      <c r="GKD41" s="30"/>
      <c r="GKE41" s="29"/>
      <c r="GKF41" s="30"/>
      <c r="GKG41" s="29"/>
      <c r="GKH41" s="30"/>
      <c r="GKI41" s="29"/>
      <c r="GKJ41" s="30"/>
      <c r="GKK41" s="29"/>
      <c r="GKL41" s="30"/>
      <c r="GKM41" s="29"/>
      <c r="GKN41" s="30"/>
      <c r="GKO41" s="29"/>
      <c r="GKP41" s="30"/>
      <c r="GKQ41" s="29"/>
      <c r="GKR41" s="30"/>
      <c r="GKS41" s="29"/>
      <c r="GKT41" s="30"/>
      <c r="GKU41" s="29"/>
      <c r="GKV41" s="30"/>
      <c r="GKW41" s="29"/>
      <c r="GKX41" s="30"/>
      <c r="GKY41" s="29"/>
      <c r="GKZ41" s="30"/>
      <c r="GLA41" s="29"/>
      <c r="GLB41" s="30"/>
      <c r="GLC41" s="29"/>
      <c r="GLD41" s="30"/>
      <c r="GLE41" s="29"/>
      <c r="GLF41" s="30"/>
      <c r="GLG41" s="29"/>
      <c r="GLH41" s="30"/>
      <c r="GLI41" s="29"/>
      <c r="GLJ41" s="30"/>
      <c r="GLK41" s="29"/>
      <c r="GLL41" s="30"/>
      <c r="GLM41" s="29"/>
      <c r="GLN41" s="30"/>
      <c r="GLO41" s="29"/>
      <c r="GLP41" s="30"/>
      <c r="GLQ41" s="29"/>
      <c r="GLR41" s="30"/>
      <c r="GLS41" s="29"/>
      <c r="GLT41" s="30"/>
      <c r="GLU41" s="29"/>
      <c r="GLV41" s="30"/>
      <c r="GLW41" s="29"/>
      <c r="GLX41" s="30"/>
      <c r="GLY41" s="29"/>
      <c r="GLZ41" s="30"/>
      <c r="GMA41" s="29"/>
      <c r="GMB41" s="30"/>
      <c r="GMC41" s="29"/>
      <c r="GMD41" s="30"/>
      <c r="GME41" s="29"/>
      <c r="GMF41" s="30"/>
      <c r="GMG41" s="29"/>
      <c r="GMH41" s="30"/>
      <c r="GMI41" s="29"/>
      <c r="GMJ41" s="30"/>
      <c r="GMK41" s="29"/>
      <c r="GML41" s="30"/>
      <c r="GMM41" s="29"/>
      <c r="GMN41" s="30"/>
      <c r="GMO41" s="29"/>
      <c r="GMP41" s="30"/>
      <c r="GMQ41" s="29"/>
      <c r="GMR41" s="30"/>
      <c r="GMS41" s="29"/>
      <c r="GMT41" s="30"/>
      <c r="GMU41" s="29"/>
      <c r="GMV41" s="30"/>
      <c r="GMW41" s="29"/>
      <c r="GMX41" s="30"/>
      <c r="GMY41" s="29"/>
      <c r="GMZ41" s="30"/>
      <c r="GNA41" s="29"/>
      <c r="GNB41" s="30"/>
      <c r="GNC41" s="29"/>
      <c r="GND41" s="30"/>
      <c r="GNE41" s="29"/>
      <c r="GNF41" s="30"/>
      <c r="GNG41" s="29"/>
      <c r="GNH41" s="30"/>
      <c r="GNI41" s="29"/>
      <c r="GNJ41" s="30"/>
      <c r="GNK41" s="29"/>
      <c r="GNL41" s="30"/>
      <c r="GNM41" s="29"/>
      <c r="GNN41" s="30"/>
      <c r="GNO41" s="29"/>
      <c r="GNP41" s="30"/>
      <c r="GNQ41" s="29"/>
      <c r="GNR41" s="30"/>
      <c r="GNS41" s="29"/>
      <c r="GNT41" s="30"/>
      <c r="GNU41" s="29"/>
      <c r="GNV41" s="30"/>
      <c r="GNW41" s="29"/>
      <c r="GNX41" s="30"/>
      <c r="GNY41" s="29"/>
      <c r="GNZ41" s="30"/>
      <c r="GOA41" s="29"/>
      <c r="GOB41" s="30"/>
      <c r="GOC41" s="29"/>
      <c r="GOD41" s="30"/>
      <c r="GOE41" s="29"/>
      <c r="GOF41" s="30"/>
      <c r="GOG41" s="29"/>
      <c r="GOH41" s="30"/>
      <c r="GOI41" s="29"/>
      <c r="GOJ41" s="30"/>
      <c r="GOK41" s="29"/>
      <c r="GOL41" s="30"/>
      <c r="GOM41" s="29"/>
      <c r="GON41" s="30"/>
      <c r="GOO41" s="29"/>
      <c r="GOP41" s="30"/>
      <c r="GOQ41" s="29"/>
      <c r="GOR41" s="30"/>
      <c r="GOS41" s="29"/>
      <c r="GOT41" s="30"/>
      <c r="GOU41" s="29"/>
      <c r="GOV41" s="30"/>
      <c r="GOW41" s="29"/>
      <c r="GOX41" s="30"/>
      <c r="GOY41" s="29"/>
      <c r="GOZ41" s="30"/>
      <c r="GPA41" s="29"/>
      <c r="GPB41" s="30"/>
      <c r="GPC41" s="29"/>
      <c r="GPD41" s="30"/>
      <c r="GPE41" s="29"/>
      <c r="GPF41" s="30"/>
      <c r="GPG41" s="29"/>
      <c r="GPH41" s="30"/>
      <c r="GPI41" s="29"/>
      <c r="GPJ41" s="30"/>
      <c r="GPK41" s="29"/>
      <c r="GPL41" s="30"/>
      <c r="GPM41" s="29"/>
      <c r="GPN41" s="30"/>
      <c r="GPO41" s="29"/>
      <c r="GPP41" s="30"/>
      <c r="GPQ41" s="29"/>
      <c r="GPR41" s="30"/>
      <c r="GPS41" s="29"/>
      <c r="GPT41" s="30"/>
      <c r="GPU41" s="29"/>
      <c r="GPV41" s="30"/>
      <c r="GPW41" s="29"/>
      <c r="GPX41" s="30"/>
      <c r="GPY41" s="29"/>
      <c r="GPZ41" s="30"/>
      <c r="GQA41" s="29"/>
      <c r="GQB41" s="30"/>
      <c r="GQC41" s="29"/>
      <c r="GQD41" s="30"/>
      <c r="GQE41" s="29"/>
      <c r="GQF41" s="30"/>
      <c r="GQG41" s="29"/>
      <c r="GQH41" s="30"/>
      <c r="GQI41" s="29"/>
      <c r="GQJ41" s="30"/>
      <c r="GQK41" s="29"/>
      <c r="GQL41" s="30"/>
      <c r="GQM41" s="29"/>
      <c r="GQN41" s="30"/>
      <c r="GQO41" s="29"/>
      <c r="GQP41" s="30"/>
      <c r="GQQ41" s="29"/>
      <c r="GQR41" s="30"/>
      <c r="GQS41" s="29"/>
      <c r="GQT41" s="30"/>
      <c r="GQU41" s="29"/>
      <c r="GQV41" s="30"/>
      <c r="GQW41" s="29"/>
      <c r="GQX41" s="30"/>
      <c r="GQY41" s="29"/>
      <c r="GQZ41" s="30"/>
      <c r="GRA41" s="29"/>
      <c r="GRB41" s="30"/>
      <c r="GRC41" s="29"/>
      <c r="GRD41" s="30"/>
      <c r="GRE41" s="29"/>
      <c r="GRF41" s="30"/>
      <c r="GRG41" s="29"/>
      <c r="GRH41" s="30"/>
      <c r="GRI41" s="29"/>
      <c r="GRJ41" s="30"/>
      <c r="GRK41" s="29"/>
      <c r="GRL41" s="30"/>
      <c r="GRM41" s="29"/>
      <c r="GRN41" s="30"/>
      <c r="GRO41" s="29"/>
      <c r="GRP41" s="30"/>
      <c r="GRQ41" s="29"/>
      <c r="GRR41" s="30"/>
      <c r="GRS41" s="29"/>
      <c r="GRT41" s="30"/>
      <c r="GRU41" s="29"/>
      <c r="GRV41" s="30"/>
      <c r="GRW41" s="29"/>
      <c r="GRX41" s="30"/>
      <c r="GRY41" s="29"/>
      <c r="GRZ41" s="30"/>
      <c r="GSA41" s="29"/>
      <c r="GSB41" s="30"/>
      <c r="GSC41" s="29"/>
      <c r="GSD41" s="30"/>
      <c r="GSE41" s="29"/>
      <c r="GSF41" s="30"/>
      <c r="GSG41" s="29"/>
      <c r="GSH41" s="30"/>
      <c r="GSI41" s="29"/>
      <c r="GSJ41" s="30"/>
      <c r="GSK41" s="29"/>
      <c r="GSL41" s="30"/>
      <c r="GSM41" s="29"/>
      <c r="GSN41" s="30"/>
      <c r="GSO41" s="29"/>
      <c r="GSP41" s="30"/>
      <c r="GSQ41" s="29"/>
      <c r="GSR41" s="30"/>
      <c r="GSS41" s="29"/>
      <c r="GST41" s="30"/>
      <c r="GSU41" s="29"/>
      <c r="GSV41" s="30"/>
      <c r="GSW41" s="29"/>
      <c r="GSX41" s="30"/>
      <c r="GSY41" s="29"/>
      <c r="GSZ41" s="30"/>
      <c r="GTA41" s="29"/>
      <c r="GTB41" s="30"/>
      <c r="GTC41" s="29"/>
      <c r="GTD41" s="30"/>
      <c r="GTE41" s="29"/>
      <c r="GTF41" s="30"/>
      <c r="GTG41" s="29"/>
      <c r="GTH41" s="30"/>
      <c r="GTI41" s="29"/>
      <c r="GTJ41" s="30"/>
      <c r="GTK41" s="29"/>
      <c r="GTL41" s="30"/>
      <c r="GTM41" s="29"/>
      <c r="GTN41" s="30"/>
      <c r="GTO41" s="29"/>
      <c r="GTP41" s="30"/>
      <c r="GTQ41" s="29"/>
      <c r="GTR41" s="30"/>
      <c r="GTS41" s="29"/>
      <c r="GTT41" s="30"/>
      <c r="GTU41" s="29"/>
      <c r="GTV41" s="30"/>
      <c r="GTW41" s="29"/>
      <c r="GTX41" s="30"/>
      <c r="GTY41" s="29"/>
      <c r="GTZ41" s="30"/>
      <c r="GUA41" s="29"/>
      <c r="GUB41" s="30"/>
      <c r="GUC41" s="29"/>
      <c r="GUD41" s="30"/>
      <c r="GUE41" s="29"/>
      <c r="GUF41" s="30"/>
      <c r="GUG41" s="29"/>
      <c r="GUH41" s="30"/>
      <c r="GUI41" s="29"/>
      <c r="GUJ41" s="30"/>
      <c r="GUK41" s="29"/>
      <c r="GUL41" s="30"/>
      <c r="GUM41" s="29"/>
      <c r="GUN41" s="30"/>
      <c r="GUO41" s="29"/>
      <c r="GUP41" s="30"/>
      <c r="GUQ41" s="29"/>
      <c r="GUR41" s="30"/>
      <c r="GUS41" s="29"/>
      <c r="GUT41" s="30"/>
      <c r="GUU41" s="29"/>
      <c r="GUV41" s="30"/>
      <c r="GUW41" s="29"/>
      <c r="GUX41" s="30"/>
      <c r="GUY41" s="29"/>
      <c r="GUZ41" s="30"/>
      <c r="GVA41" s="29"/>
      <c r="GVB41" s="30"/>
      <c r="GVC41" s="29"/>
      <c r="GVD41" s="30"/>
      <c r="GVE41" s="29"/>
      <c r="GVF41" s="30"/>
      <c r="GVG41" s="29"/>
      <c r="GVH41" s="30"/>
      <c r="GVI41" s="29"/>
      <c r="GVJ41" s="30"/>
      <c r="GVK41" s="29"/>
      <c r="GVL41" s="30"/>
      <c r="GVM41" s="29"/>
      <c r="GVN41" s="30"/>
      <c r="GVO41" s="29"/>
      <c r="GVP41" s="30"/>
      <c r="GVQ41" s="29"/>
      <c r="GVR41" s="30"/>
      <c r="GVS41" s="29"/>
      <c r="GVT41" s="30"/>
      <c r="GVU41" s="29"/>
      <c r="GVV41" s="30"/>
      <c r="GVW41" s="29"/>
      <c r="GVX41" s="30"/>
      <c r="GVY41" s="29"/>
      <c r="GVZ41" s="30"/>
      <c r="GWA41" s="29"/>
      <c r="GWB41" s="30"/>
      <c r="GWC41" s="29"/>
      <c r="GWD41" s="30"/>
      <c r="GWE41" s="29"/>
      <c r="GWF41" s="30"/>
      <c r="GWG41" s="29"/>
      <c r="GWH41" s="30"/>
      <c r="GWI41" s="29"/>
      <c r="GWJ41" s="30"/>
      <c r="GWK41" s="29"/>
      <c r="GWL41" s="30"/>
      <c r="GWM41" s="29"/>
      <c r="GWN41" s="30"/>
      <c r="GWO41" s="29"/>
      <c r="GWP41" s="30"/>
      <c r="GWQ41" s="29"/>
      <c r="GWR41" s="30"/>
      <c r="GWS41" s="29"/>
      <c r="GWT41" s="30"/>
      <c r="GWU41" s="29"/>
      <c r="GWV41" s="30"/>
      <c r="GWW41" s="29"/>
      <c r="GWX41" s="30"/>
      <c r="GWY41" s="29"/>
      <c r="GWZ41" s="30"/>
      <c r="GXA41" s="29"/>
      <c r="GXB41" s="30"/>
      <c r="GXC41" s="29"/>
      <c r="GXD41" s="30"/>
      <c r="GXE41" s="29"/>
      <c r="GXF41" s="30"/>
      <c r="GXG41" s="29"/>
      <c r="GXH41" s="30"/>
      <c r="GXI41" s="29"/>
      <c r="GXJ41" s="30"/>
      <c r="GXK41" s="29"/>
      <c r="GXL41" s="30"/>
      <c r="GXM41" s="29"/>
      <c r="GXN41" s="30"/>
      <c r="GXO41" s="29"/>
      <c r="GXP41" s="30"/>
      <c r="GXQ41" s="29"/>
      <c r="GXR41" s="30"/>
      <c r="GXS41" s="29"/>
      <c r="GXT41" s="30"/>
      <c r="GXU41" s="29"/>
      <c r="GXV41" s="30"/>
      <c r="GXW41" s="29"/>
      <c r="GXX41" s="30"/>
      <c r="GXY41" s="29"/>
      <c r="GXZ41" s="30"/>
      <c r="GYA41" s="29"/>
      <c r="GYB41" s="30"/>
      <c r="GYC41" s="29"/>
      <c r="GYD41" s="30"/>
      <c r="GYE41" s="29"/>
      <c r="GYF41" s="30"/>
      <c r="GYG41" s="29"/>
      <c r="GYH41" s="30"/>
      <c r="GYI41" s="29"/>
      <c r="GYJ41" s="30"/>
      <c r="GYK41" s="29"/>
      <c r="GYL41" s="30"/>
      <c r="GYM41" s="29"/>
      <c r="GYN41" s="30"/>
      <c r="GYO41" s="29"/>
      <c r="GYP41" s="30"/>
      <c r="GYQ41" s="29"/>
      <c r="GYR41" s="30"/>
      <c r="GYS41" s="29"/>
      <c r="GYT41" s="30"/>
      <c r="GYU41" s="29"/>
      <c r="GYV41" s="30"/>
      <c r="GYW41" s="29"/>
      <c r="GYX41" s="30"/>
      <c r="GYY41" s="29"/>
      <c r="GYZ41" s="30"/>
      <c r="GZA41" s="29"/>
      <c r="GZB41" s="30"/>
      <c r="GZC41" s="29"/>
      <c r="GZD41" s="30"/>
      <c r="GZE41" s="29"/>
      <c r="GZF41" s="30"/>
      <c r="GZG41" s="29"/>
      <c r="GZH41" s="30"/>
      <c r="GZI41" s="29"/>
      <c r="GZJ41" s="30"/>
      <c r="GZK41" s="29"/>
      <c r="GZL41" s="30"/>
      <c r="GZM41" s="29"/>
      <c r="GZN41" s="30"/>
      <c r="GZO41" s="29"/>
      <c r="GZP41" s="30"/>
      <c r="GZQ41" s="29"/>
      <c r="GZR41" s="30"/>
      <c r="GZS41" s="29"/>
      <c r="GZT41" s="30"/>
      <c r="GZU41" s="29"/>
      <c r="GZV41" s="30"/>
      <c r="GZW41" s="29"/>
      <c r="GZX41" s="30"/>
      <c r="GZY41" s="29"/>
      <c r="GZZ41" s="30"/>
      <c r="HAA41" s="29"/>
      <c r="HAB41" s="30"/>
      <c r="HAC41" s="29"/>
      <c r="HAD41" s="30"/>
      <c r="HAE41" s="29"/>
      <c r="HAF41" s="30"/>
      <c r="HAG41" s="29"/>
      <c r="HAH41" s="30"/>
      <c r="HAI41" s="29"/>
      <c r="HAJ41" s="30"/>
      <c r="HAK41" s="29"/>
      <c r="HAL41" s="30"/>
      <c r="HAM41" s="29"/>
      <c r="HAN41" s="30"/>
      <c r="HAO41" s="29"/>
      <c r="HAP41" s="30"/>
      <c r="HAQ41" s="29"/>
      <c r="HAR41" s="30"/>
      <c r="HAS41" s="29"/>
      <c r="HAT41" s="30"/>
      <c r="HAU41" s="29"/>
      <c r="HAV41" s="30"/>
      <c r="HAW41" s="29"/>
      <c r="HAX41" s="30"/>
      <c r="HAY41" s="29"/>
      <c r="HAZ41" s="30"/>
      <c r="HBA41" s="29"/>
      <c r="HBB41" s="30"/>
      <c r="HBC41" s="29"/>
      <c r="HBD41" s="30"/>
      <c r="HBE41" s="29"/>
      <c r="HBF41" s="30"/>
      <c r="HBG41" s="29"/>
      <c r="HBH41" s="30"/>
      <c r="HBI41" s="29"/>
      <c r="HBJ41" s="30"/>
      <c r="HBK41" s="29"/>
      <c r="HBL41" s="30"/>
      <c r="HBM41" s="29"/>
      <c r="HBN41" s="30"/>
      <c r="HBO41" s="29"/>
      <c r="HBP41" s="30"/>
      <c r="HBQ41" s="29"/>
      <c r="HBR41" s="30"/>
      <c r="HBS41" s="29"/>
      <c r="HBT41" s="30"/>
      <c r="HBU41" s="29"/>
      <c r="HBV41" s="30"/>
      <c r="HBW41" s="29"/>
      <c r="HBX41" s="30"/>
      <c r="HBY41" s="29"/>
      <c r="HBZ41" s="30"/>
      <c r="HCA41" s="29"/>
      <c r="HCB41" s="30"/>
      <c r="HCC41" s="29"/>
      <c r="HCD41" s="30"/>
      <c r="HCE41" s="29"/>
      <c r="HCF41" s="30"/>
      <c r="HCG41" s="29"/>
      <c r="HCH41" s="30"/>
      <c r="HCI41" s="29"/>
      <c r="HCJ41" s="30"/>
      <c r="HCK41" s="29"/>
      <c r="HCL41" s="30"/>
      <c r="HCM41" s="29"/>
      <c r="HCN41" s="30"/>
      <c r="HCO41" s="29"/>
      <c r="HCP41" s="30"/>
      <c r="HCQ41" s="29"/>
      <c r="HCR41" s="30"/>
      <c r="HCS41" s="29"/>
      <c r="HCT41" s="30"/>
      <c r="HCU41" s="29"/>
      <c r="HCV41" s="30"/>
      <c r="HCW41" s="29"/>
      <c r="HCX41" s="30"/>
      <c r="HCY41" s="29"/>
      <c r="HCZ41" s="30"/>
      <c r="HDA41" s="29"/>
      <c r="HDB41" s="30"/>
      <c r="HDC41" s="29"/>
      <c r="HDD41" s="30"/>
      <c r="HDE41" s="29"/>
      <c r="HDF41" s="30"/>
      <c r="HDG41" s="29"/>
      <c r="HDH41" s="30"/>
      <c r="HDI41" s="29"/>
      <c r="HDJ41" s="30"/>
      <c r="HDK41" s="29"/>
      <c r="HDL41" s="30"/>
      <c r="HDM41" s="29"/>
      <c r="HDN41" s="30"/>
      <c r="HDO41" s="29"/>
      <c r="HDP41" s="30"/>
      <c r="HDQ41" s="29"/>
      <c r="HDR41" s="30"/>
      <c r="HDS41" s="29"/>
      <c r="HDT41" s="30"/>
      <c r="HDU41" s="29"/>
      <c r="HDV41" s="30"/>
      <c r="HDW41" s="29"/>
      <c r="HDX41" s="30"/>
      <c r="HDY41" s="29"/>
      <c r="HDZ41" s="30"/>
      <c r="HEA41" s="29"/>
      <c r="HEB41" s="30"/>
      <c r="HEC41" s="29"/>
      <c r="HED41" s="30"/>
      <c r="HEE41" s="29"/>
      <c r="HEF41" s="30"/>
      <c r="HEG41" s="29"/>
      <c r="HEH41" s="30"/>
      <c r="HEI41" s="29"/>
      <c r="HEJ41" s="30"/>
      <c r="HEK41" s="29"/>
      <c r="HEL41" s="30"/>
      <c r="HEM41" s="29"/>
      <c r="HEN41" s="30"/>
      <c r="HEO41" s="29"/>
      <c r="HEP41" s="30"/>
      <c r="HEQ41" s="29"/>
      <c r="HER41" s="30"/>
      <c r="HES41" s="29"/>
      <c r="HET41" s="30"/>
      <c r="HEU41" s="29"/>
      <c r="HEV41" s="30"/>
      <c r="HEW41" s="29"/>
      <c r="HEX41" s="30"/>
      <c r="HEY41" s="29"/>
      <c r="HEZ41" s="30"/>
      <c r="HFA41" s="29"/>
      <c r="HFB41" s="30"/>
      <c r="HFC41" s="29"/>
      <c r="HFD41" s="30"/>
      <c r="HFE41" s="29"/>
      <c r="HFF41" s="30"/>
      <c r="HFG41" s="29"/>
      <c r="HFH41" s="30"/>
      <c r="HFI41" s="29"/>
      <c r="HFJ41" s="30"/>
      <c r="HFK41" s="29"/>
      <c r="HFL41" s="30"/>
      <c r="HFM41" s="29"/>
      <c r="HFN41" s="30"/>
      <c r="HFO41" s="29"/>
      <c r="HFP41" s="30"/>
      <c r="HFQ41" s="29"/>
      <c r="HFR41" s="30"/>
      <c r="HFS41" s="29"/>
      <c r="HFT41" s="30"/>
      <c r="HFU41" s="29"/>
      <c r="HFV41" s="30"/>
      <c r="HFW41" s="29"/>
      <c r="HFX41" s="30"/>
      <c r="HFY41" s="29"/>
      <c r="HFZ41" s="30"/>
      <c r="HGA41" s="29"/>
      <c r="HGB41" s="30"/>
      <c r="HGC41" s="29"/>
      <c r="HGD41" s="30"/>
      <c r="HGE41" s="29"/>
      <c r="HGF41" s="30"/>
      <c r="HGG41" s="29"/>
      <c r="HGH41" s="30"/>
      <c r="HGI41" s="29"/>
      <c r="HGJ41" s="30"/>
      <c r="HGK41" s="29"/>
      <c r="HGL41" s="30"/>
      <c r="HGM41" s="29"/>
      <c r="HGN41" s="30"/>
      <c r="HGO41" s="29"/>
      <c r="HGP41" s="30"/>
      <c r="HGQ41" s="29"/>
      <c r="HGR41" s="30"/>
      <c r="HGS41" s="29"/>
      <c r="HGT41" s="30"/>
      <c r="HGU41" s="29"/>
      <c r="HGV41" s="30"/>
      <c r="HGW41" s="29"/>
      <c r="HGX41" s="30"/>
      <c r="HGY41" s="29"/>
      <c r="HGZ41" s="30"/>
      <c r="HHA41" s="29"/>
      <c r="HHB41" s="30"/>
      <c r="HHC41" s="29"/>
      <c r="HHD41" s="30"/>
      <c r="HHE41" s="29"/>
      <c r="HHF41" s="30"/>
      <c r="HHG41" s="29"/>
      <c r="HHH41" s="30"/>
      <c r="HHI41" s="29"/>
      <c r="HHJ41" s="30"/>
      <c r="HHK41" s="29"/>
      <c r="HHL41" s="30"/>
      <c r="HHM41" s="29"/>
      <c r="HHN41" s="30"/>
      <c r="HHO41" s="29"/>
      <c r="HHP41" s="30"/>
      <c r="HHQ41" s="29"/>
      <c r="HHR41" s="30"/>
      <c r="HHS41" s="29"/>
      <c r="HHT41" s="30"/>
      <c r="HHU41" s="29"/>
      <c r="HHV41" s="30"/>
      <c r="HHW41" s="29"/>
      <c r="HHX41" s="30"/>
      <c r="HHY41" s="29"/>
      <c r="HHZ41" s="30"/>
      <c r="HIA41" s="29"/>
      <c r="HIB41" s="30"/>
      <c r="HIC41" s="29"/>
      <c r="HID41" s="30"/>
      <c r="HIE41" s="29"/>
      <c r="HIF41" s="30"/>
      <c r="HIG41" s="29"/>
      <c r="HIH41" s="30"/>
      <c r="HII41" s="29"/>
      <c r="HIJ41" s="30"/>
      <c r="HIK41" s="29"/>
      <c r="HIL41" s="30"/>
      <c r="HIM41" s="29"/>
      <c r="HIN41" s="30"/>
      <c r="HIO41" s="29"/>
      <c r="HIP41" s="30"/>
      <c r="HIQ41" s="29"/>
      <c r="HIR41" s="30"/>
      <c r="HIS41" s="29"/>
      <c r="HIT41" s="30"/>
      <c r="HIU41" s="29"/>
      <c r="HIV41" s="30"/>
      <c r="HIW41" s="29"/>
      <c r="HIX41" s="30"/>
      <c r="HIY41" s="29"/>
      <c r="HIZ41" s="30"/>
      <c r="HJA41" s="29"/>
      <c r="HJB41" s="30"/>
      <c r="HJC41" s="29"/>
      <c r="HJD41" s="30"/>
      <c r="HJE41" s="29"/>
      <c r="HJF41" s="30"/>
      <c r="HJG41" s="29"/>
      <c r="HJH41" s="30"/>
      <c r="HJI41" s="29"/>
      <c r="HJJ41" s="30"/>
      <c r="HJK41" s="29"/>
      <c r="HJL41" s="30"/>
      <c r="HJM41" s="29"/>
      <c r="HJN41" s="30"/>
      <c r="HJO41" s="29"/>
      <c r="HJP41" s="30"/>
      <c r="HJQ41" s="29"/>
      <c r="HJR41" s="30"/>
      <c r="HJS41" s="29"/>
      <c r="HJT41" s="30"/>
      <c r="HJU41" s="29"/>
      <c r="HJV41" s="30"/>
      <c r="HJW41" s="29"/>
      <c r="HJX41" s="30"/>
      <c r="HJY41" s="29"/>
      <c r="HJZ41" s="30"/>
      <c r="HKA41" s="29"/>
      <c r="HKB41" s="30"/>
      <c r="HKC41" s="29"/>
      <c r="HKD41" s="30"/>
      <c r="HKE41" s="29"/>
      <c r="HKF41" s="30"/>
      <c r="HKG41" s="29"/>
      <c r="HKH41" s="30"/>
      <c r="HKI41" s="29"/>
      <c r="HKJ41" s="30"/>
      <c r="HKK41" s="29"/>
      <c r="HKL41" s="30"/>
      <c r="HKM41" s="29"/>
      <c r="HKN41" s="30"/>
      <c r="HKO41" s="29"/>
      <c r="HKP41" s="30"/>
      <c r="HKQ41" s="29"/>
      <c r="HKR41" s="30"/>
      <c r="HKS41" s="29"/>
      <c r="HKT41" s="30"/>
      <c r="HKU41" s="29"/>
      <c r="HKV41" s="30"/>
      <c r="HKW41" s="29"/>
      <c r="HKX41" s="30"/>
      <c r="HKY41" s="29"/>
      <c r="HKZ41" s="30"/>
      <c r="HLA41" s="29"/>
      <c r="HLB41" s="30"/>
      <c r="HLC41" s="29"/>
      <c r="HLD41" s="30"/>
      <c r="HLE41" s="29"/>
      <c r="HLF41" s="30"/>
      <c r="HLG41" s="29"/>
      <c r="HLH41" s="30"/>
      <c r="HLI41" s="29"/>
      <c r="HLJ41" s="30"/>
      <c r="HLK41" s="29"/>
      <c r="HLL41" s="30"/>
      <c r="HLM41" s="29"/>
      <c r="HLN41" s="30"/>
      <c r="HLO41" s="29"/>
      <c r="HLP41" s="30"/>
      <c r="HLQ41" s="29"/>
      <c r="HLR41" s="30"/>
      <c r="HLS41" s="29"/>
      <c r="HLT41" s="30"/>
      <c r="HLU41" s="29"/>
      <c r="HLV41" s="30"/>
      <c r="HLW41" s="29"/>
      <c r="HLX41" s="30"/>
      <c r="HLY41" s="29"/>
      <c r="HLZ41" s="30"/>
      <c r="HMA41" s="29"/>
      <c r="HMB41" s="30"/>
      <c r="HMC41" s="29"/>
      <c r="HMD41" s="30"/>
      <c r="HME41" s="29"/>
      <c r="HMF41" s="30"/>
      <c r="HMG41" s="29"/>
      <c r="HMH41" s="30"/>
      <c r="HMI41" s="29"/>
      <c r="HMJ41" s="30"/>
      <c r="HMK41" s="29"/>
      <c r="HML41" s="30"/>
      <c r="HMM41" s="29"/>
      <c r="HMN41" s="30"/>
      <c r="HMO41" s="29"/>
      <c r="HMP41" s="30"/>
      <c r="HMQ41" s="29"/>
      <c r="HMR41" s="30"/>
      <c r="HMS41" s="29"/>
      <c r="HMT41" s="30"/>
      <c r="HMU41" s="29"/>
      <c r="HMV41" s="30"/>
      <c r="HMW41" s="29"/>
      <c r="HMX41" s="30"/>
      <c r="HMY41" s="29"/>
      <c r="HMZ41" s="30"/>
      <c r="HNA41" s="29"/>
      <c r="HNB41" s="30"/>
      <c r="HNC41" s="29"/>
      <c r="HND41" s="30"/>
      <c r="HNE41" s="29"/>
      <c r="HNF41" s="30"/>
      <c r="HNG41" s="29"/>
      <c r="HNH41" s="30"/>
      <c r="HNI41" s="29"/>
      <c r="HNJ41" s="30"/>
      <c r="HNK41" s="29"/>
      <c r="HNL41" s="30"/>
      <c r="HNM41" s="29"/>
      <c r="HNN41" s="30"/>
      <c r="HNO41" s="29"/>
      <c r="HNP41" s="30"/>
      <c r="HNQ41" s="29"/>
      <c r="HNR41" s="30"/>
      <c r="HNS41" s="29"/>
      <c r="HNT41" s="30"/>
      <c r="HNU41" s="29"/>
      <c r="HNV41" s="30"/>
      <c r="HNW41" s="29"/>
      <c r="HNX41" s="30"/>
      <c r="HNY41" s="29"/>
      <c r="HNZ41" s="30"/>
      <c r="HOA41" s="29"/>
      <c r="HOB41" s="30"/>
      <c r="HOC41" s="29"/>
      <c r="HOD41" s="30"/>
      <c r="HOE41" s="29"/>
      <c r="HOF41" s="30"/>
      <c r="HOG41" s="29"/>
      <c r="HOH41" s="30"/>
      <c r="HOI41" s="29"/>
      <c r="HOJ41" s="30"/>
      <c r="HOK41" s="29"/>
      <c r="HOL41" s="30"/>
      <c r="HOM41" s="29"/>
      <c r="HON41" s="30"/>
      <c r="HOO41" s="29"/>
      <c r="HOP41" s="30"/>
      <c r="HOQ41" s="29"/>
      <c r="HOR41" s="30"/>
      <c r="HOS41" s="29"/>
      <c r="HOT41" s="30"/>
      <c r="HOU41" s="29"/>
      <c r="HOV41" s="30"/>
      <c r="HOW41" s="29"/>
      <c r="HOX41" s="30"/>
      <c r="HOY41" s="29"/>
      <c r="HOZ41" s="30"/>
      <c r="HPA41" s="29"/>
      <c r="HPB41" s="30"/>
      <c r="HPC41" s="29"/>
      <c r="HPD41" s="30"/>
      <c r="HPE41" s="29"/>
      <c r="HPF41" s="30"/>
      <c r="HPG41" s="29"/>
      <c r="HPH41" s="30"/>
      <c r="HPI41" s="29"/>
      <c r="HPJ41" s="30"/>
      <c r="HPK41" s="29"/>
      <c r="HPL41" s="30"/>
      <c r="HPM41" s="29"/>
      <c r="HPN41" s="30"/>
      <c r="HPO41" s="29"/>
      <c r="HPP41" s="30"/>
      <c r="HPQ41" s="29"/>
      <c r="HPR41" s="30"/>
      <c r="HPS41" s="29"/>
      <c r="HPT41" s="30"/>
      <c r="HPU41" s="29"/>
      <c r="HPV41" s="30"/>
      <c r="HPW41" s="29"/>
      <c r="HPX41" s="30"/>
      <c r="HPY41" s="29"/>
      <c r="HPZ41" s="30"/>
      <c r="HQA41" s="29"/>
      <c r="HQB41" s="30"/>
      <c r="HQC41" s="29"/>
      <c r="HQD41" s="30"/>
      <c r="HQE41" s="29"/>
      <c r="HQF41" s="30"/>
      <c r="HQG41" s="29"/>
      <c r="HQH41" s="30"/>
      <c r="HQI41" s="29"/>
      <c r="HQJ41" s="30"/>
      <c r="HQK41" s="29"/>
      <c r="HQL41" s="30"/>
      <c r="HQM41" s="29"/>
      <c r="HQN41" s="30"/>
      <c r="HQO41" s="29"/>
      <c r="HQP41" s="30"/>
      <c r="HQQ41" s="29"/>
      <c r="HQR41" s="30"/>
      <c r="HQS41" s="29"/>
      <c r="HQT41" s="30"/>
      <c r="HQU41" s="29"/>
      <c r="HQV41" s="30"/>
      <c r="HQW41" s="29"/>
      <c r="HQX41" s="30"/>
      <c r="HQY41" s="29"/>
      <c r="HQZ41" s="30"/>
      <c r="HRA41" s="29"/>
      <c r="HRB41" s="30"/>
      <c r="HRC41" s="29"/>
      <c r="HRD41" s="30"/>
      <c r="HRE41" s="29"/>
      <c r="HRF41" s="30"/>
      <c r="HRG41" s="29"/>
      <c r="HRH41" s="30"/>
      <c r="HRI41" s="29"/>
      <c r="HRJ41" s="30"/>
      <c r="HRK41" s="29"/>
      <c r="HRL41" s="30"/>
      <c r="HRM41" s="29"/>
      <c r="HRN41" s="30"/>
      <c r="HRO41" s="29"/>
      <c r="HRP41" s="30"/>
      <c r="HRQ41" s="29"/>
      <c r="HRR41" s="30"/>
      <c r="HRS41" s="29"/>
      <c r="HRT41" s="30"/>
      <c r="HRU41" s="29"/>
      <c r="HRV41" s="30"/>
      <c r="HRW41" s="29"/>
      <c r="HRX41" s="30"/>
      <c r="HRY41" s="29"/>
      <c r="HRZ41" s="30"/>
      <c r="HSA41" s="29"/>
      <c r="HSB41" s="30"/>
      <c r="HSC41" s="29"/>
      <c r="HSD41" s="30"/>
      <c r="HSE41" s="29"/>
      <c r="HSF41" s="30"/>
      <c r="HSG41" s="29"/>
      <c r="HSH41" s="30"/>
      <c r="HSI41" s="29"/>
      <c r="HSJ41" s="30"/>
      <c r="HSK41" s="29"/>
      <c r="HSL41" s="30"/>
      <c r="HSM41" s="29"/>
      <c r="HSN41" s="30"/>
      <c r="HSO41" s="29"/>
      <c r="HSP41" s="30"/>
      <c r="HSQ41" s="29"/>
      <c r="HSR41" s="30"/>
      <c r="HSS41" s="29"/>
      <c r="HST41" s="30"/>
      <c r="HSU41" s="29"/>
      <c r="HSV41" s="30"/>
      <c r="HSW41" s="29"/>
      <c r="HSX41" s="30"/>
      <c r="HSY41" s="29"/>
      <c r="HSZ41" s="30"/>
      <c r="HTA41" s="29"/>
      <c r="HTB41" s="30"/>
      <c r="HTC41" s="29"/>
      <c r="HTD41" s="30"/>
      <c r="HTE41" s="29"/>
      <c r="HTF41" s="30"/>
      <c r="HTG41" s="29"/>
      <c r="HTH41" s="30"/>
      <c r="HTI41" s="29"/>
      <c r="HTJ41" s="30"/>
      <c r="HTK41" s="29"/>
      <c r="HTL41" s="30"/>
      <c r="HTM41" s="29"/>
      <c r="HTN41" s="30"/>
      <c r="HTO41" s="29"/>
      <c r="HTP41" s="30"/>
      <c r="HTQ41" s="29"/>
      <c r="HTR41" s="30"/>
      <c r="HTS41" s="29"/>
      <c r="HTT41" s="30"/>
      <c r="HTU41" s="29"/>
      <c r="HTV41" s="30"/>
      <c r="HTW41" s="29"/>
      <c r="HTX41" s="30"/>
      <c r="HTY41" s="29"/>
      <c r="HTZ41" s="30"/>
      <c r="HUA41" s="29"/>
      <c r="HUB41" s="30"/>
      <c r="HUC41" s="29"/>
      <c r="HUD41" s="30"/>
      <c r="HUE41" s="29"/>
      <c r="HUF41" s="30"/>
      <c r="HUG41" s="29"/>
      <c r="HUH41" s="30"/>
      <c r="HUI41" s="29"/>
      <c r="HUJ41" s="30"/>
      <c r="HUK41" s="29"/>
      <c r="HUL41" s="30"/>
      <c r="HUM41" s="29"/>
      <c r="HUN41" s="30"/>
      <c r="HUO41" s="29"/>
      <c r="HUP41" s="30"/>
      <c r="HUQ41" s="29"/>
      <c r="HUR41" s="30"/>
      <c r="HUS41" s="29"/>
      <c r="HUT41" s="30"/>
      <c r="HUU41" s="29"/>
      <c r="HUV41" s="30"/>
      <c r="HUW41" s="29"/>
      <c r="HUX41" s="30"/>
      <c r="HUY41" s="29"/>
      <c r="HUZ41" s="30"/>
      <c r="HVA41" s="29"/>
      <c r="HVB41" s="30"/>
      <c r="HVC41" s="29"/>
      <c r="HVD41" s="30"/>
      <c r="HVE41" s="29"/>
      <c r="HVF41" s="30"/>
      <c r="HVG41" s="29"/>
      <c r="HVH41" s="30"/>
      <c r="HVI41" s="29"/>
      <c r="HVJ41" s="30"/>
      <c r="HVK41" s="29"/>
      <c r="HVL41" s="30"/>
      <c r="HVM41" s="29"/>
      <c r="HVN41" s="30"/>
      <c r="HVO41" s="29"/>
      <c r="HVP41" s="30"/>
      <c r="HVQ41" s="29"/>
      <c r="HVR41" s="30"/>
      <c r="HVS41" s="29"/>
      <c r="HVT41" s="30"/>
      <c r="HVU41" s="29"/>
      <c r="HVV41" s="30"/>
      <c r="HVW41" s="29"/>
      <c r="HVX41" s="30"/>
      <c r="HVY41" s="29"/>
      <c r="HVZ41" s="30"/>
      <c r="HWA41" s="29"/>
      <c r="HWB41" s="30"/>
      <c r="HWC41" s="29"/>
      <c r="HWD41" s="30"/>
      <c r="HWE41" s="29"/>
      <c r="HWF41" s="30"/>
      <c r="HWG41" s="29"/>
      <c r="HWH41" s="30"/>
      <c r="HWI41" s="29"/>
      <c r="HWJ41" s="30"/>
      <c r="HWK41" s="29"/>
      <c r="HWL41" s="30"/>
      <c r="HWM41" s="29"/>
      <c r="HWN41" s="30"/>
      <c r="HWO41" s="29"/>
      <c r="HWP41" s="30"/>
      <c r="HWQ41" s="29"/>
      <c r="HWR41" s="30"/>
      <c r="HWS41" s="29"/>
      <c r="HWT41" s="30"/>
      <c r="HWU41" s="29"/>
      <c r="HWV41" s="30"/>
      <c r="HWW41" s="29"/>
      <c r="HWX41" s="30"/>
      <c r="HWY41" s="29"/>
      <c r="HWZ41" s="30"/>
      <c r="HXA41" s="29"/>
      <c r="HXB41" s="30"/>
      <c r="HXC41" s="29"/>
      <c r="HXD41" s="30"/>
      <c r="HXE41" s="29"/>
      <c r="HXF41" s="30"/>
      <c r="HXG41" s="29"/>
      <c r="HXH41" s="30"/>
      <c r="HXI41" s="29"/>
      <c r="HXJ41" s="30"/>
      <c r="HXK41" s="29"/>
      <c r="HXL41" s="30"/>
      <c r="HXM41" s="29"/>
      <c r="HXN41" s="30"/>
      <c r="HXO41" s="29"/>
      <c r="HXP41" s="30"/>
      <c r="HXQ41" s="29"/>
      <c r="HXR41" s="30"/>
      <c r="HXS41" s="29"/>
      <c r="HXT41" s="30"/>
      <c r="HXU41" s="29"/>
      <c r="HXV41" s="30"/>
      <c r="HXW41" s="29"/>
      <c r="HXX41" s="30"/>
      <c r="HXY41" s="29"/>
      <c r="HXZ41" s="30"/>
      <c r="HYA41" s="29"/>
      <c r="HYB41" s="30"/>
      <c r="HYC41" s="29"/>
      <c r="HYD41" s="30"/>
      <c r="HYE41" s="29"/>
      <c r="HYF41" s="30"/>
      <c r="HYG41" s="29"/>
      <c r="HYH41" s="30"/>
      <c r="HYI41" s="29"/>
      <c r="HYJ41" s="30"/>
      <c r="HYK41" s="29"/>
      <c r="HYL41" s="30"/>
      <c r="HYM41" s="29"/>
      <c r="HYN41" s="30"/>
      <c r="HYO41" s="29"/>
      <c r="HYP41" s="30"/>
      <c r="HYQ41" s="29"/>
      <c r="HYR41" s="30"/>
      <c r="HYS41" s="29"/>
      <c r="HYT41" s="30"/>
      <c r="HYU41" s="29"/>
      <c r="HYV41" s="30"/>
      <c r="HYW41" s="29"/>
      <c r="HYX41" s="30"/>
      <c r="HYY41" s="29"/>
      <c r="HYZ41" s="30"/>
      <c r="HZA41" s="29"/>
      <c r="HZB41" s="30"/>
      <c r="HZC41" s="29"/>
      <c r="HZD41" s="30"/>
      <c r="HZE41" s="29"/>
      <c r="HZF41" s="30"/>
      <c r="HZG41" s="29"/>
      <c r="HZH41" s="30"/>
      <c r="HZI41" s="29"/>
      <c r="HZJ41" s="30"/>
      <c r="HZK41" s="29"/>
      <c r="HZL41" s="30"/>
      <c r="HZM41" s="29"/>
      <c r="HZN41" s="30"/>
      <c r="HZO41" s="29"/>
      <c r="HZP41" s="30"/>
      <c r="HZQ41" s="29"/>
      <c r="HZR41" s="30"/>
      <c r="HZS41" s="29"/>
      <c r="HZT41" s="30"/>
      <c r="HZU41" s="29"/>
      <c r="HZV41" s="30"/>
      <c r="HZW41" s="29"/>
      <c r="HZX41" s="30"/>
      <c r="HZY41" s="29"/>
      <c r="HZZ41" s="30"/>
      <c r="IAA41" s="29"/>
      <c r="IAB41" s="30"/>
      <c r="IAC41" s="29"/>
      <c r="IAD41" s="30"/>
      <c r="IAE41" s="29"/>
      <c r="IAF41" s="30"/>
      <c r="IAG41" s="29"/>
      <c r="IAH41" s="30"/>
      <c r="IAI41" s="29"/>
      <c r="IAJ41" s="30"/>
      <c r="IAK41" s="29"/>
      <c r="IAL41" s="30"/>
      <c r="IAM41" s="29"/>
      <c r="IAN41" s="30"/>
      <c r="IAO41" s="29"/>
      <c r="IAP41" s="30"/>
      <c r="IAQ41" s="29"/>
      <c r="IAR41" s="30"/>
      <c r="IAS41" s="29"/>
      <c r="IAT41" s="30"/>
      <c r="IAU41" s="29"/>
      <c r="IAV41" s="30"/>
      <c r="IAW41" s="29"/>
      <c r="IAX41" s="30"/>
      <c r="IAY41" s="29"/>
      <c r="IAZ41" s="30"/>
      <c r="IBA41" s="29"/>
      <c r="IBB41" s="30"/>
      <c r="IBC41" s="29"/>
      <c r="IBD41" s="30"/>
      <c r="IBE41" s="29"/>
      <c r="IBF41" s="30"/>
      <c r="IBG41" s="29"/>
      <c r="IBH41" s="30"/>
      <c r="IBI41" s="29"/>
      <c r="IBJ41" s="30"/>
      <c r="IBK41" s="29"/>
      <c r="IBL41" s="30"/>
      <c r="IBM41" s="29"/>
      <c r="IBN41" s="30"/>
      <c r="IBO41" s="29"/>
      <c r="IBP41" s="30"/>
      <c r="IBQ41" s="29"/>
      <c r="IBR41" s="30"/>
      <c r="IBS41" s="29"/>
      <c r="IBT41" s="30"/>
      <c r="IBU41" s="29"/>
      <c r="IBV41" s="30"/>
      <c r="IBW41" s="29"/>
      <c r="IBX41" s="30"/>
      <c r="IBY41" s="29"/>
      <c r="IBZ41" s="30"/>
      <c r="ICA41" s="29"/>
      <c r="ICB41" s="30"/>
      <c r="ICC41" s="29"/>
      <c r="ICD41" s="30"/>
      <c r="ICE41" s="29"/>
      <c r="ICF41" s="30"/>
      <c r="ICG41" s="29"/>
      <c r="ICH41" s="30"/>
      <c r="ICI41" s="29"/>
      <c r="ICJ41" s="30"/>
      <c r="ICK41" s="29"/>
      <c r="ICL41" s="30"/>
      <c r="ICM41" s="29"/>
      <c r="ICN41" s="30"/>
      <c r="ICO41" s="29"/>
      <c r="ICP41" s="30"/>
      <c r="ICQ41" s="29"/>
      <c r="ICR41" s="30"/>
      <c r="ICS41" s="29"/>
      <c r="ICT41" s="30"/>
      <c r="ICU41" s="29"/>
      <c r="ICV41" s="30"/>
      <c r="ICW41" s="29"/>
      <c r="ICX41" s="30"/>
      <c r="ICY41" s="29"/>
      <c r="ICZ41" s="30"/>
      <c r="IDA41" s="29"/>
      <c r="IDB41" s="30"/>
      <c r="IDC41" s="29"/>
      <c r="IDD41" s="30"/>
      <c r="IDE41" s="29"/>
      <c r="IDF41" s="30"/>
      <c r="IDG41" s="29"/>
      <c r="IDH41" s="30"/>
      <c r="IDI41" s="29"/>
      <c r="IDJ41" s="30"/>
      <c r="IDK41" s="29"/>
      <c r="IDL41" s="30"/>
      <c r="IDM41" s="29"/>
      <c r="IDN41" s="30"/>
      <c r="IDO41" s="29"/>
      <c r="IDP41" s="30"/>
      <c r="IDQ41" s="29"/>
      <c r="IDR41" s="30"/>
      <c r="IDS41" s="29"/>
      <c r="IDT41" s="30"/>
      <c r="IDU41" s="29"/>
      <c r="IDV41" s="30"/>
      <c r="IDW41" s="29"/>
      <c r="IDX41" s="30"/>
      <c r="IDY41" s="29"/>
      <c r="IDZ41" s="30"/>
      <c r="IEA41" s="29"/>
      <c r="IEB41" s="30"/>
      <c r="IEC41" s="29"/>
      <c r="IED41" s="30"/>
      <c r="IEE41" s="29"/>
      <c r="IEF41" s="30"/>
      <c r="IEG41" s="29"/>
      <c r="IEH41" s="30"/>
      <c r="IEI41" s="29"/>
      <c r="IEJ41" s="30"/>
      <c r="IEK41" s="29"/>
      <c r="IEL41" s="30"/>
      <c r="IEM41" s="29"/>
      <c r="IEN41" s="30"/>
      <c r="IEO41" s="29"/>
      <c r="IEP41" s="30"/>
      <c r="IEQ41" s="29"/>
      <c r="IER41" s="30"/>
      <c r="IES41" s="29"/>
      <c r="IET41" s="30"/>
      <c r="IEU41" s="29"/>
      <c r="IEV41" s="30"/>
      <c r="IEW41" s="29"/>
      <c r="IEX41" s="30"/>
      <c r="IEY41" s="29"/>
      <c r="IEZ41" s="30"/>
      <c r="IFA41" s="29"/>
      <c r="IFB41" s="30"/>
      <c r="IFC41" s="29"/>
      <c r="IFD41" s="30"/>
      <c r="IFE41" s="29"/>
      <c r="IFF41" s="30"/>
      <c r="IFG41" s="29"/>
      <c r="IFH41" s="30"/>
      <c r="IFI41" s="29"/>
      <c r="IFJ41" s="30"/>
      <c r="IFK41" s="29"/>
      <c r="IFL41" s="30"/>
      <c r="IFM41" s="29"/>
      <c r="IFN41" s="30"/>
      <c r="IFO41" s="29"/>
      <c r="IFP41" s="30"/>
      <c r="IFQ41" s="29"/>
      <c r="IFR41" s="30"/>
      <c r="IFS41" s="29"/>
      <c r="IFT41" s="30"/>
      <c r="IFU41" s="29"/>
      <c r="IFV41" s="30"/>
      <c r="IFW41" s="29"/>
      <c r="IFX41" s="30"/>
      <c r="IFY41" s="29"/>
      <c r="IFZ41" s="30"/>
      <c r="IGA41" s="29"/>
      <c r="IGB41" s="30"/>
      <c r="IGC41" s="29"/>
      <c r="IGD41" s="30"/>
      <c r="IGE41" s="29"/>
      <c r="IGF41" s="30"/>
      <c r="IGG41" s="29"/>
      <c r="IGH41" s="30"/>
      <c r="IGI41" s="29"/>
      <c r="IGJ41" s="30"/>
      <c r="IGK41" s="29"/>
      <c r="IGL41" s="30"/>
      <c r="IGM41" s="29"/>
      <c r="IGN41" s="30"/>
      <c r="IGO41" s="29"/>
      <c r="IGP41" s="30"/>
      <c r="IGQ41" s="29"/>
      <c r="IGR41" s="30"/>
      <c r="IGS41" s="29"/>
      <c r="IGT41" s="30"/>
      <c r="IGU41" s="29"/>
      <c r="IGV41" s="30"/>
      <c r="IGW41" s="29"/>
      <c r="IGX41" s="30"/>
      <c r="IGY41" s="29"/>
      <c r="IGZ41" s="30"/>
      <c r="IHA41" s="29"/>
      <c r="IHB41" s="30"/>
      <c r="IHC41" s="29"/>
      <c r="IHD41" s="30"/>
      <c r="IHE41" s="29"/>
      <c r="IHF41" s="30"/>
      <c r="IHG41" s="29"/>
      <c r="IHH41" s="30"/>
      <c r="IHI41" s="29"/>
      <c r="IHJ41" s="30"/>
      <c r="IHK41" s="29"/>
      <c r="IHL41" s="30"/>
      <c r="IHM41" s="29"/>
      <c r="IHN41" s="30"/>
      <c r="IHO41" s="29"/>
      <c r="IHP41" s="30"/>
      <c r="IHQ41" s="29"/>
      <c r="IHR41" s="30"/>
      <c r="IHS41" s="29"/>
      <c r="IHT41" s="30"/>
      <c r="IHU41" s="29"/>
      <c r="IHV41" s="30"/>
      <c r="IHW41" s="29"/>
      <c r="IHX41" s="30"/>
      <c r="IHY41" s="29"/>
      <c r="IHZ41" s="30"/>
      <c r="IIA41" s="29"/>
      <c r="IIB41" s="30"/>
      <c r="IIC41" s="29"/>
      <c r="IID41" s="30"/>
      <c r="IIE41" s="29"/>
      <c r="IIF41" s="30"/>
      <c r="IIG41" s="29"/>
      <c r="IIH41" s="30"/>
      <c r="III41" s="29"/>
      <c r="IIJ41" s="30"/>
      <c r="IIK41" s="29"/>
      <c r="IIL41" s="30"/>
      <c r="IIM41" s="29"/>
      <c r="IIN41" s="30"/>
      <c r="IIO41" s="29"/>
      <c r="IIP41" s="30"/>
      <c r="IIQ41" s="29"/>
      <c r="IIR41" s="30"/>
      <c r="IIS41" s="29"/>
      <c r="IIT41" s="30"/>
      <c r="IIU41" s="29"/>
      <c r="IIV41" s="30"/>
      <c r="IIW41" s="29"/>
      <c r="IIX41" s="30"/>
      <c r="IIY41" s="29"/>
      <c r="IIZ41" s="30"/>
      <c r="IJA41" s="29"/>
      <c r="IJB41" s="30"/>
      <c r="IJC41" s="29"/>
      <c r="IJD41" s="30"/>
      <c r="IJE41" s="29"/>
      <c r="IJF41" s="30"/>
      <c r="IJG41" s="29"/>
      <c r="IJH41" s="30"/>
      <c r="IJI41" s="29"/>
      <c r="IJJ41" s="30"/>
      <c r="IJK41" s="29"/>
      <c r="IJL41" s="30"/>
      <c r="IJM41" s="29"/>
      <c r="IJN41" s="30"/>
      <c r="IJO41" s="29"/>
      <c r="IJP41" s="30"/>
      <c r="IJQ41" s="29"/>
      <c r="IJR41" s="30"/>
      <c r="IJS41" s="29"/>
      <c r="IJT41" s="30"/>
      <c r="IJU41" s="29"/>
      <c r="IJV41" s="30"/>
      <c r="IJW41" s="29"/>
      <c r="IJX41" s="30"/>
      <c r="IJY41" s="29"/>
      <c r="IJZ41" s="30"/>
      <c r="IKA41" s="29"/>
      <c r="IKB41" s="30"/>
      <c r="IKC41" s="29"/>
      <c r="IKD41" s="30"/>
      <c r="IKE41" s="29"/>
      <c r="IKF41" s="30"/>
      <c r="IKG41" s="29"/>
      <c r="IKH41" s="30"/>
      <c r="IKI41" s="29"/>
      <c r="IKJ41" s="30"/>
      <c r="IKK41" s="29"/>
      <c r="IKL41" s="30"/>
      <c r="IKM41" s="29"/>
      <c r="IKN41" s="30"/>
      <c r="IKO41" s="29"/>
      <c r="IKP41" s="30"/>
      <c r="IKQ41" s="29"/>
      <c r="IKR41" s="30"/>
      <c r="IKS41" s="29"/>
      <c r="IKT41" s="30"/>
      <c r="IKU41" s="29"/>
      <c r="IKV41" s="30"/>
      <c r="IKW41" s="29"/>
      <c r="IKX41" s="30"/>
      <c r="IKY41" s="29"/>
      <c r="IKZ41" s="30"/>
      <c r="ILA41" s="29"/>
      <c r="ILB41" s="30"/>
      <c r="ILC41" s="29"/>
      <c r="ILD41" s="30"/>
      <c r="ILE41" s="29"/>
      <c r="ILF41" s="30"/>
      <c r="ILG41" s="29"/>
      <c r="ILH41" s="30"/>
      <c r="ILI41" s="29"/>
      <c r="ILJ41" s="30"/>
      <c r="ILK41" s="29"/>
      <c r="ILL41" s="30"/>
      <c r="ILM41" s="29"/>
      <c r="ILN41" s="30"/>
      <c r="ILO41" s="29"/>
      <c r="ILP41" s="30"/>
      <c r="ILQ41" s="29"/>
      <c r="ILR41" s="30"/>
      <c r="ILS41" s="29"/>
      <c r="ILT41" s="30"/>
      <c r="ILU41" s="29"/>
      <c r="ILV41" s="30"/>
      <c r="ILW41" s="29"/>
      <c r="ILX41" s="30"/>
      <c r="ILY41" s="29"/>
      <c r="ILZ41" s="30"/>
      <c r="IMA41" s="29"/>
      <c r="IMB41" s="30"/>
      <c r="IMC41" s="29"/>
      <c r="IMD41" s="30"/>
      <c r="IME41" s="29"/>
      <c r="IMF41" s="30"/>
      <c r="IMG41" s="29"/>
      <c r="IMH41" s="30"/>
      <c r="IMI41" s="29"/>
      <c r="IMJ41" s="30"/>
      <c r="IMK41" s="29"/>
      <c r="IML41" s="30"/>
      <c r="IMM41" s="29"/>
      <c r="IMN41" s="30"/>
      <c r="IMO41" s="29"/>
      <c r="IMP41" s="30"/>
      <c r="IMQ41" s="29"/>
      <c r="IMR41" s="30"/>
      <c r="IMS41" s="29"/>
      <c r="IMT41" s="30"/>
      <c r="IMU41" s="29"/>
      <c r="IMV41" s="30"/>
      <c r="IMW41" s="29"/>
      <c r="IMX41" s="30"/>
      <c r="IMY41" s="29"/>
      <c r="IMZ41" s="30"/>
      <c r="INA41" s="29"/>
      <c r="INB41" s="30"/>
      <c r="INC41" s="29"/>
      <c r="IND41" s="30"/>
      <c r="INE41" s="29"/>
      <c r="INF41" s="30"/>
      <c r="ING41" s="29"/>
      <c r="INH41" s="30"/>
      <c r="INI41" s="29"/>
      <c r="INJ41" s="30"/>
      <c r="INK41" s="29"/>
      <c r="INL41" s="30"/>
      <c r="INM41" s="29"/>
      <c r="INN41" s="30"/>
      <c r="INO41" s="29"/>
      <c r="INP41" s="30"/>
      <c r="INQ41" s="29"/>
      <c r="INR41" s="30"/>
      <c r="INS41" s="29"/>
      <c r="INT41" s="30"/>
      <c r="INU41" s="29"/>
      <c r="INV41" s="30"/>
      <c r="INW41" s="29"/>
      <c r="INX41" s="30"/>
      <c r="INY41" s="29"/>
      <c r="INZ41" s="30"/>
      <c r="IOA41" s="29"/>
      <c r="IOB41" s="30"/>
      <c r="IOC41" s="29"/>
      <c r="IOD41" s="30"/>
      <c r="IOE41" s="29"/>
      <c r="IOF41" s="30"/>
      <c r="IOG41" s="29"/>
      <c r="IOH41" s="30"/>
      <c r="IOI41" s="29"/>
      <c r="IOJ41" s="30"/>
      <c r="IOK41" s="29"/>
      <c r="IOL41" s="30"/>
      <c r="IOM41" s="29"/>
      <c r="ION41" s="30"/>
      <c r="IOO41" s="29"/>
      <c r="IOP41" s="30"/>
      <c r="IOQ41" s="29"/>
      <c r="IOR41" s="30"/>
      <c r="IOS41" s="29"/>
      <c r="IOT41" s="30"/>
      <c r="IOU41" s="29"/>
      <c r="IOV41" s="30"/>
      <c r="IOW41" s="29"/>
      <c r="IOX41" s="30"/>
      <c r="IOY41" s="29"/>
      <c r="IOZ41" s="30"/>
      <c r="IPA41" s="29"/>
      <c r="IPB41" s="30"/>
      <c r="IPC41" s="29"/>
      <c r="IPD41" s="30"/>
      <c r="IPE41" s="29"/>
      <c r="IPF41" s="30"/>
      <c r="IPG41" s="29"/>
      <c r="IPH41" s="30"/>
      <c r="IPI41" s="29"/>
      <c r="IPJ41" s="30"/>
      <c r="IPK41" s="29"/>
      <c r="IPL41" s="30"/>
      <c r="IPM41" s="29"/>
      <c r="IPN41" s="30"/>
      <c r="IPO41" s="29"/>
      <c r="IPP41" s="30"/>
      <c r="IPQ41" s="29"/>
      <c r="IPR41" s="30"/>
      <c r="IPS41" s="29"/>
      <c r="IPT41" s="30"/>
      <c r="IPU41" s="29"/>
      <c r="IPV41" s="30"/>
      <c r="IPW41" s="29"/>
      <c r="IPX41" s="30"/>
      <c r="IPY41" s="29"/>
      <c r="IPZ41" s="30"/>
      <c r="IQA41" s="29"/>
      <c r="IQB41" s="30"/>
      <c r="IQC41" s="29"/>
      <c r="IQD41" s="30"/>
      <c r="IQE41" s="29"/>
      <c r="IQF41" s="30"/>
      <c r="IQG41" s="29"/>
      <c r="IQH41" s="30"/>
      <c r="IQI41" s="29"/>
      <c r="IQJ41" s="30"/>
      <c r="IQK41" s="29"/>
      <c r="IQL41" s="30"/>
      <c r="IQM41" s="29"/>
      <c r="IQN41" s="30"/>
      <c r="IQO41" s="29"/>
      <c r="IQP41" s="30"/>
      <c r="IQQ41" s="29"/>
      <c r="IQR41" s="30"/>
      <c r="IQS41" s="29"/>
      <c r="IQT41" s="30"/>
      <c r="IQU41" s="29"/>
      <c r="IQV41" s="30"/>
      <c r="IQW41" s="29"/>
      <c r="IQX41" s="30"/>
      <c r="IQY41" s="29"/>
      <c r="IQZ41" s="30"/>
      <c r="IRA41" s="29"/>
      <c r="IRB41" s="30"/>
      <c r="IRC41" s="29"/>
      <c r="IRD41" s="30"/>
      <c r="IRE41" s="29"/>
      <c r="IRF41" s="30"/>
      <c r="IRG41" s="29"/>
      <c r="IRH41" s="30"/>
      <c r="IRI41" s="29"/>
      <c r="IRJ41" s="30"/>
      <c r="IRK41" s="29"/>
      <c r="IRL41" s="30"/>
      <c r="IRM41" s="29"/>
      <c r="IRN41" s="30"/>
      <c r="IRO41" s="29"/>
      <c r="IRP41" s="30"/>
      <c r="IRQ41" s="29"/>
      <c r="IRR41" s="30"/>
      <c r="IRS41" s="29"/>
      <c r="IRT41" s="30"/>
      <c r="IRU41" s="29"/>
      <c r="IRV41" s="30"/>
      <c r="IRW41" s="29"/>
      <c r="IRX41" s="30"/>
      <c r="IRY41" s="29"/>
      <c r="IRZ41" s="30"/>
      <c r="ISA41" s="29"/>
      <c r="ISB41" s="30"/>
      <c r="ISC41" s="29"/>
      <c r="ISD41" s="30"/>
      <c r="ISE41" s="29"/>
      <c r="ISF41" s="30"/>
      <c r="ISG41" s="29"/>
      <c r="ISH41" s="30"/>
      <c r="ISI41" s="29"/>
      <c r="ISJ41" s="30"/>
      <c r="ISK41" s="29"/>
      <c r="ISL41" s="30"/>
      <c r="ISM41" s="29"/>
      <c r="ISN41" s="30"/>
      <c r="ISO41" s="29"/>
      <c r="ISP41" s="30"/>
      <c r="ISQ41" s="29"/>
      <c r="ISR41" s="30"/>
      <c r="ISS41" s="29"/>
      <c r="IST41" s="30"/>
      <c r="ISU41" s="29"/>
      <c r="ISV41" s="30"/>
      <c r="ISW41" s="29"/>
      <c r="ISX41" s="30"/>
      <c r="ISY41" s="29"/>
      <c r="ISZ41" s="30"/>
      <c r="ITA41" s="29"/>
      <c r="ITB41" s="30"/>
      <c r="ITC41" s="29"/>
      <c r="ITD41" s="30"/>
      <c r="ITE41" s="29"/>
      <c r="ITF41" s="30"/>
      <c r="ITG41" s="29"/>
      <c r="ITH41" s="30"/>
      <c r="ITI41" s="29"/>
      <c r="ITJ41" s="30"/>
      <c r="ITK41" s="29"/>
      <c r="ITL41" s="30"/>
      <c r="ITM41" s="29"/>
      <c r="ITN41" s="30"/>
      <c r="ITO41" s="29"/>
      <c r="ITP41" s="30"/>
      <c r="ITQ41" s="29"/>
      <c r="ITR41" s="30"/>
      <c r="ITS41" s="29"/>
      <c r="ITT41" s="30"/>
      <c r="ITU41" s="29"/>
      <c r="ITV41" s="30"/>
      <c r="ITW41" s="29"/>
      <c r="ITX41" s="30"/>
      <c r="ITY41" s="29"/>
      <c r="ITZ41" s="30"/>
      <c r="IUA41" s="29"/>
      <c r="IUB41" s="30"/>
      <c r="IUC41" s="29"/>
      <c r="IUD41" s="30"/>
      <c r="IUE41" s="29"/>
      <c r="IUF41" s="30"/>
      <c r="IUG41" s="29"/>
      <c r="IUH41" s="30"/>
      <c r="IUI41" s="29"/>
      <c r="IUJ41" s="30"/>
      <c r="IUK41" s="29"/>
      <c r="IUL41" s="30"/>
      <c r="IUM41" s="29"/>
      <c r="IUN41" s="30"/>
      <c r="IUO41" s="29"/>
      <c r="IUP41" s="30"/>
      <c r="IUQ41" s="29"/>
      <c r="IUR41" s="30"/>
      <c r="IUS41" s="29"/>
      <c r="IUT41" s="30"/>
      <c r="IUU41" s="29"/>
      <c r="IUV41" s="30"/>
      <c r="IUW41" s="29"/>
      <c r="IUX41" s="30"/>
      <c r="IUY41" s="29"/>
      <c r="IUZ41" s="30"/>
      <c r="IVA41" s="29"/>
      <c r="IVB41" s="30"/>
      <c r="IVC41" s="29"/>
      <c r="IVD41" s="30"/>
      <c r="IVE41" s="29"/>
      <c r="IVF41" s="30"/>
      <c r="IVG41" s="29"/>
      <c r="IVH41" s="30"/>
      <c r="IVI41" s="29"/>
      <c r="IVJ41" s="30"/>
      <c r="IVK41" s="29"/>
      <c r="IVL41" s="30"/>
      <c r="IVM41" s="29"/>
      <c r="IVN41" s="30"/>
      <c r="IVO41" s="29"/>
      <c r="IVP41" s="30"/>
      <c r="IVQ41" s="29"/>
      <c r="IVR41" s="30"/>
      <c r="IVS41" s="29"/>
      <c r="IVT41" s="30"/>
      <c r="IVU41" s="29"/>
      <c r="IVV41" s="30"/>
      <c r="IVW41" s="29"/>
      <c r="IVX41" s="30"/>
      <c r="IVY41" s="29"/>
      <c r="IVZ41" s="30"/>
      <c r="IWA41" s="29"/>
      <c r="IWB41" s="30"/>
      <c r="IWC41" s="29"/>
      <c r="IWD41" s="30"/>
      <c r="IWE41" s="29"/>
      <c r="IWF41" s="30"/>
      <c r="IWG41" s="29"/>
      <c r="IWH41" s="30"/>
      <c r="IWI41" s="29"/>
      <c r="IWJ41" s="30"/>
      <c r="IWK41" s="29"/>
      <c r="IWL41" s="30"/>
      <c r="IWM41" s="29"/>
      <c r="IWN41" s="30"/>
      <c r="IWO41" s="29"/>
      <c r="IWP41" s="30"/>
      <c r="IWQ41" s="29"/>
      <c r="IWR41" s="30"/>
      <c r="IWS41" s="29"/>
      <c r="IWT41" s="30"/>
      <c r="IWU41" s="29"/>
      <c r="IWV41" s="30"/>
      <c r="IWW41" s="29"/>
      <c r="IWX41" s="30"/>
      <c r="IWY41" s="29"/>
      <c r="IWZ41" s="30"/>
      <c r="IXA41" s="29"/>
      <c r="IXB41" s="30"/>
      <c r="IXC41" s="29"/>
      <c r="IXD41" s="30"/>
      <c r="IXE41" s="29"/>
      <c r="IXF41" s="30"/>
      <c r="IXG41" s="29"/>
      <c r="IXH41" s="30"/>
      <c r="IXI41" s="29"/>
      <c r="IXJ41" s="30"/>
      <c r="IXK41" s="29"/>
      <c r="IXL41" s="30"/>
      <c r="IXM41" s="29"/>
      <c r="IXN41" s="30"/>
      <c r="IXO41" s="29"/>
      <c r="IXP41" s="30"/>
      <c r="IXQ41" s="29"/>
      <c r="IXR41" s="30"/>
      <c r="IXS41" s="29"/>
      <c r="IXT41" s="30"/>
      <c r="IXU41" s="29"/>
      <c r="IXV41" s="30"/>
      <c r="IXW41" s="29"/>
      <c r="IXX41" s="30"/>
      <c r="IXY41" s="29"/>
      <c r="IXZ41" s="30"/>
      <c r="IYA41" s="29"/>
      <c r="IYB41" s="30"/>
      <c r="IYC41" s="29"/>
      <c r="IYD41" s="30"/>
      <c r="IYE41" s="29"/>
      <c r="IYF41" s="30"/>
      <c r="IYG41" s="29"/>
      <c r="IYH41" s="30"/>
      <c r="IYI41" s="29"/>
      <c r="IYJ41" s="30"/>
      <c r="IYK41" s="29"/>
      <c r="IYL41" s="30"/>
      <c r="IYM41" s="29"/>
      <c r="IYN41" s="30"/>
      <c r="IYO41" s="29"/>
      <c r="IYP41" s="30"/>
      <c r="IYQ41" s="29"/>
      <c r="IYR41" s="30"/>
      <c r="IYS41" s="29"/>
      <c r="IYT41" s="30"/>
      <c r="IYU41" s="29"/>
      <c r="IYV41" s="30"/>
      <c r="IYW41" s="29"/>
      <c r="IYX41" s="30"/>
      <c r="IYY41" s="29"/>
      <c r="IYZ41" s="30"/>
      <c r="IZA41" s="29"/>
      <c r="IZB41" s="30"/>
      <c r="IZC41" s="29"/>
      <c r="IZD41" s="30"/>
      <c r="IZE41" s="29"/>
      <c r="IZF41" s="30"/>
      <c r="IZG41" s="29"/>
      <c r="IZH41" s="30"/>
      <c r="IZI41" s="29"/>
      <c r="IZJ41" s="30"/>
      <c r="IZK41" s="29"/>
      <c r="IZL41" s="30"/>
      <c r="IZM41" s="29"/>
      <c r="IZN41" s="30"/>
      <c r="IZO41" s="29"/>
      <c r="IZP41" s="30"/>
      <c r="IZQ41" s="29"/>
      <c r="IZR41" s="30"/>
      <c r="IZS41" s="29"/>
      <c r="IZT41" s="30"/>
      <c r="IZU41" s="29"/>
      <c r="IZV41" s="30"/>
      <c r="IZW41" s="29"/>
      <c r="IZX41" s="30"/>
      <c r="IZY41" s="29"/>
      <c r="IZZ41" s="30"/>
      <c r="JAA41" s="29"/>
      <c r="JAB41" s="30"/>
      <c r="JAC41" s="29"/>
      <c r="JAD41" s="30"/>
      <c r="JAE41" s="29"/>
      <c r="JAF41" s="30"/>
      <c r="JAG41" s="29"/>
      <c r="JAH41" s="30"/>
      <c r="JAI41" s="29"/>
      <c r="JAJ41" s="30"/>
      <c r="JAK41" s="29"/>
      <c r="JAL41" s="30"/>
      <c r="JAM41" s="29"/>
      <c r="JAN41" s="30"/>
      <c r="JAO41" s="29"/>
      <c r="JAP41" s="30"/>
      <c r="JAQ41" s="29"/>
      <c r="JAR41" s="30"/>
      <c r="JAS41" s="29"/>
      <c r="JAT41" s="30"/>
      <c r="JAU41" s="29"/>
      <c r="JAV41" s="30"/>
      <c r="JAW41" s="29"/>
      <c r="JAX41" s="30"/>
      <c r="JAY41" s="29"/>
      <c r="JAZ41" s="30"/>
      <c r="JBA41" s="29"/>
      <c r="JBB41" s="30"/>
      <c r="JBC41" s="29"/>
      <c r="JBD41" s="30"/>
      <c r="JBE41" s="29"/>
      <c r="JBF41" s="30"/>
      <c r="JBG41" s="29"/>
      <c r="JBH41" s="30"/>
      <c r="JBI41" s="29"/>
      <c r="JBJ41" s="30"/>
      <c r="JBK41" s="29"/>
      <c r="JBL41" s="30"/>
      <c r="JBM41" s="29"/>
      <c r="JBN41" s="30"/>
      <c r="JBO41" s="29"/>
      <c r="JBP41" s="30"/>
      <c r="JBQ41" s="29"/>
      <c r="JBR41" s="30"/>
      <c r="JBS41" s="29"/>
      <c r="JBT41" s="30"/>
      <c r="JBU41" s="29"/>
      <c r="JBV41" s="30"/>
      <c r="JBW41" s="29"/>
      <c r="JBX41" s="30"/>
      <c r="JBY41" s="29"/>
      <c r="JBZ41" s="30"/>
      <c r="JCA41" s="29"/>
      <c r="JCB41" s="30"/>
      <c r="JCC41" s="29"/>
      <c r="JCD41" s="30"/>
      <c r="JCE41" s="29"/>
      <c r="JCF41" s="30"/>
      <c r="JCG41" s="29"/>
      <c r="JCH41" s="30"/>
      <c r="JCI41" s="29"/>
      <c r="JCJ41" s="30"/>
      <c r="JCK41" s="29"/>
      <c r="JCL41" s="30"/>
      <c r="JCM41" s="29"/>
      <c r="JCN41" s="30"/>
      <c r="JCO41" s="29"/>
      <c r="JCP41" s="30"/>
      <c r="JCQ41" s="29"/>
      <c r="JCR41" s="30"/>
      <c r="JCS41" s="29"/>
      <c r="JCT41" s="30"/>
      <c r="JCU41" s="29"/>
      <c r="JCV41" s="30"/>
      <c r="JCW41" s="29"/>
      <c r="JCX41" s="30"/>
      <c r="JCY41" s="29"/>
      <c r="JCZ41" s="30"/>
      <c r="JDA41" s="29"/>
      <c r="JDB41" s="30"/>
      <c r="JDC41" s="29"/>
      <c r="JDD41" s="30"/>
      <c r="JDE41" s="29"/>
      <c r="JDF41" s="30"/>
      <c r="JDG41" s="29"/>
      <c r="JDH41" s="30"/>
      <c r="JDI41" s="29"/>
      <c r="JDJ41" s="30"/>
      <c r="JDK41" s="29"/>
      <c r="JDL41" s="30"/>
      <c r="JDM41" s="29"/>
      <c r="JDN41" s="30"/>
      <c r="JDO41" s="29"/>
      <c r="JDP41" s="30"/>
      <c r="JDQ41" s="29"/>
      <c r="JDR41" s="30"/>
      <c r="JDS41" s="29"/>
      <c r="JDT41" s="30"/>
      <c r="JDU41" s="29"/>
      <c r="JDV41" s="30"/>
      <c r="JDW41" s="29"/>
      <c r="JDX41" s="30"/>
      <c r="JDY41" s="29"/>
      <c r="JDZ41" s="30"/>
      <c r="JEA41" s="29"/>
      <c r="JEB41" s="30"/>
      <c r="JEC41" s="29"/>
      <c r="JED41" s="30"/>
      <c r="JEE41" s="29"/>
      <c r="JEF41" s="30"/>
      <c r="JEG41" s="29"/>
      <c r="JEH41" s="30"/>
      <c r="JEI41" s="29"/>
      <c r="JEJ41" s="30"/>
      <c r="JEK41" s="29"/>
      <c r="JEL41" s="30"/>
      <c r="JEM41" s="29"/>
      <c r="JEN41" s="30"/>
      <c r="JEO41" s="29"/>
      <c r="JEP41" s="30"/>
      <c r="JEQ41" s="29"/>
      <c r="JER41" s="30"/>
      <c r="JES41" s="29"/>
      <c r="JET41" s="30"/>
      <c r="JEU41" s="29"/>
      <c r="JEV41" s="30"/>
      <c r="JEW41" s="29"/>
      <c r="JEX41" s="30"/>
      <c r="JEY41" s="29"/>
      <c r="JEZ41" s="30"/>
      <c r="JFA41" s="29"/>
      <c r="JFB41" s="30"/>
      <c r="JFC41" s="29"/>
      <c r="JFD41" s="30"/>
      <c r="JFE41" s="29"/>
      <c r="JFF41" s="30"/>
      <c r="JFG41" s="29"/>
      <c r="JFH41" s="30"/>
      <c r="JFI41" s="29"/>
      <c r="JFJ41" s="30"/>
      <c r="JFK41" s="29"/>
      <c r="JFL41" s="30"/>
      <c r="JFM41" s="29"/>
      <c r="JFN41" s="30"/>
      <c r="JFO41" s="29"/>
      <c r="JFP41" s="30"/>
      <c r="JFQ41" s="29"/>
      <c r="JFR41" s="30"/>
      <c r="JFS41" s="29"/>
      <c r="JFT41" s="30"/>
      <c r="JFU41" s="29"/>
      <c r="JFV41" s="30"/>
      <c r="JFW41" s="29"/>
      <c r="JFX41" s="30"/>
      <c r="JFY41" s="29"/>
      <c r="JFZ41" s="30"/>
      <c r="JGA41" s="29"/>
      <c r="JGB41" s="30"/>
      <c r="JGC41" s="29"/>
      <c r="JGD41" s="30"/>
      <c r="JGE41" s="29"/>
      <c r="JGF41" s="30"/>
      <c r="JGG41" s="29"/>
      <c r="JGH41" s="30"/>
      <c r="JGI41" s="29"/>
      <c r="JGJ41" s="30"/>
      <c r="JGK41" s="29"/>
      <c r="JGL41" s="30"/>
      <c r="JGM41" s="29"/>
      <c r="JGN41" s="30"/>
      <c r="JGO41" s="29"/>
      <c r="JGP41" s="30"/>
      <c r="JGQ41" s="29"/>
      <c r="JGR41" s="30"/>
      <c r="JGS41" s="29"/>
      <c r="JGT41" s="30"/>
      <c r="JGU41" s="29"/>
      <c r="JGV41" s="30"/>
      <c r="JGW41" s="29"/>
      <c r="JGX41" s="30"/>
      <c r="JGY41" s="29"/>
      <c r="JGZ41" s="30"/>
      <c r="JHA41" s="29"/>
      <c r="JHB41" s="30"/>
      <c r="JHC41" s="29"/>
      <c r="JHD41" s="30"/>
      <c r="JHE41" s="29"/>
      <c r="JHF41" s="30"/>
      <c r="JHG41" s="29"/>
      <c r="JHH41" s="30"/>
      <c r="JHI41" s="29"/>
      <c r="JHJ41" s="30"/>
      <c r="JHK41" s="29"/>
      <c r="JHL41" s="30"/>
      <c r="JHM41" s="29"/>
      <c r="JHN41" s="30"/>
      <c r="JHO41" s="29"/>
      <c r="JHP41" s="30"/>
      <c r="JHQ41" s="29"/>
      <c r="JHR41" s="30"/>
      <c r="JHS41" s="29"/>
      <c r="JHT41" s="30"/>
      <c r="JHU41" s="29"/>
      <c r="JHV41" s="30"/>
      <c r="JHW41" s="29"/>
      <c r="JHX41" s="30"/>
      <c r="JHY41" s="29"/>
      <c r="JHZ41" s="30"/>
      <c r="JIA41" s="29"/>
      <c r="JIB41" s="30"/>
      <c r="JIC41" s="29"/>
      <c r="JID41" s="30"/>
      <c r="JIE41" s="29"/>
      <c r="JIF41" s="30"/>
      <c r="JIG41" s="29"/>
      <c r="JIH41" s="30"/>
      <c r="JII41" s="29"/>
      <c r="JIJ41" s="30"/>
      <c r="JIK41" s="29"/>
      <c r="JIL41" s="30"/>
      <c r="JIM41" s="29"/>
      <c r="JIN41" s="30"/>
      <c r="JIO41" s="29"/>
      <c r="JIP41" s="30"/>
      <c r="JIQ41" s="29"/>
      <c r="JIR41" s="30"/>
      <c r="JIS41" s="29"/>
      <c r="JIT41" s="30"/>
      <c r="JIU41" s="29"/>
      <c r="JIV41" s="30"/>
      <c r="JIW41" s="29"/>
      <c r="JIX41" s="30"/>
      <c r="JIY41" s="29"/>
      <c r="JIZ41" s="30"/>
      <c r="JJA41" s="29"/>
      <c r="JJB41" s="30"/>
      <c r="JJC41" s="29"/>
      <c r="JJD41" s="30"/>
      <c r="JJE41" s="29"/>
      <c r="JJF41" s="30"/>
      <c r="JJG41" s="29"/>
      <c r="JJH41" s="30"/>
      <c r="JJI41" s="29"/>
      <c r="JJJ41" s="30"/>
      <c r="JJK41" s="29"/>
      <c r="JJL41" s="30"/>
      <c r="JJM41" s="29"/>
      <c r="JJN41" s="30"/>
      <c r="JJO41" s="29"/>
      <c r="JJP41" s="30"/>
      <c r="JJQ41" s="29"/>
      <c r="JJR41" s="30"/>
      <c r="JJS41" s="29"/>
      <c r="JJT41" s="30"/>
      <c r="JJU41" s="29"/>
      <c r="JJV41" s="30"/>
      <c r="JJW41" s="29"/>
      <c r="JJX41" s="30"/>
      <c r="JJY41" s="29"/>
      <c r="JJZ41" s="30"/>
      <c r="JKA41" s="29"/>
      <c r="JKB41" s="30"/>
      <c r="JKC41" s="29"/>
      <c r="JKD41" s="30"/>
      <c r="JKE41" s="29"/>
      <c r="JKF41" s="30"/>
      <c r="JKG41" s="29"/>
      <c r="JKH41" s="30"/>
      <c r="JKI41" s="29"/>
      <c r="JKJ41" s="30"/>
      <c r="JKK41" s="29"/>
      <c r="JKL41" s="30"/>
      <c r="JKM41" s="29"/>
      <c r="JKN41" s="30"/>
      <c r="JKO41" s="29"/>
      <c r="JKP41" s="30"/>
      <c r="JKQ41" s="29"/>
      <c r="JKR41" s="30"/>
      <c r="JKS41" s="29"/>
      <c r="JKT41" s="30"/>
      <c r="JKU41" s="29"/>
      <c r="JKV41" s="30"/>
      <c r="JKW41" s="29"/>
      <c r="JKX41" s="30"/>
      <c r="JKY41" s="29"/>
      <c r="JKZ41" s="30"/>
      <c r="JLA41" s="29"/>
      <c r="JLB41" s="30"/>
      <c r="JLC41" s="29"/>
      <c r="JLD41" s="30"/>
      <c r="JLE41" s="29"/>
      <c r="JLF41" s="30"/>
      <c r="JLG41" s="29"/>
      <c r="JLH41" s="30"/>
      <c r="JLI41" s="29"/>
      <c r="JLJ41" s="30"/>
      <c r="JLK41" s="29"/>
      <c r="JLL41" s="30"/>
      <c r="JLM41" s="29"/>
      <c r="JLN41" s="30"/>
      <c r="JLO41" s="29"/>
      <c r="JLP41" s="30"/>
      <c r="JLQ41" s="29"/>
      <c r="JLR41" s="30"/>
      <c r="JLS41" s="29"/>
      <c r="JLT41" s="30"/>
      <c r="JLU41" s="29"/>
      <c r="JLV41" s="30"/>
      <c r="JLW41" s="29"/>
      <c r="JLX41" s="30"/>
      <c r="JLY41" s="29"/>
      <c r="JLZ41" s="30"/>
      <c r="JMA41" s="29"/>
      <c r="JMB41" s="30"/>
      <c r="JMC41" s="29"/>
      <c r="JMD41" s="30"/>
      <c r="JME41" s="29"/>
      <c r="JMF41" s="30"/>
      <c r="JMG41" s="29"/>
      <c r="JMH41" s="30"/>
      <c r="JMI41" s="29"/>
      <c r="JMJ41" s="30"/>
      <c r="JMK41" s="29"/>
      <c r="JML41" s="30"/>
      <c r="JMM41" s="29"/>
      <c r="JMN41" s="30"/>
      <c r="JMO41" s="29"/>
      <c r="JMP41" s="30"/>
      <c r="JMQ41" s="29"/>
      <c r="JMR41" s="30"/>
      <c r="JMS41" s="29"/>
      <c r="JMT41" s="30"/>
      <c r="JMU41" s="29"/>
      <c r="JMV41" s="30"/>
      <c r="JMW41" s="29"/>
      <c r="JMX41" s="30"/>
      <c r="JMY41" s="29"/>
      <c r="JMZ41" s="30"/>
      <c r="JNA41" s="29"/>
      <c r="JNB41" s="30"/>
      <c r="JNC41" s="29"/>
      <c r="JND41" s="30"/>
      <c r="JNE41" s="29"/>
      <c r="JNF41" s="30"/>
      <c r="JNG41" s="29"/>
      <c r="JNH41" s="30"/>
      <c r="JNI41" s="29"/>
      <c r="JNJ41" s="30"/>
      <c r="JNK41" s="29"/>
      <c r="JNL41" s="30"/>
      <c r="JNM41" s="29"/>
      <c r="JNN41" s="30"/>
      <c r="JNO41" s="29"/>
      <c r="JNP41" s="30"/>
      <c r="JNQ41" s="29"/>
      <c r="JNR41" s="30"/>
      <c r="JNS41" s="29"/>
      <c r="JNT41" s="30"/>
      <c r="JNU41" s="29"/>
      <c r="JNV41" s="30"/>
      <c r="JNW41" s="29"/>
      <c r="JNX41" s="30"/>
      <c r="JNY41" s="29"/>
      <c r="JNZ41" s="30"/>
      <c r="JOA41" s="29"/>
      <c r="JOB41" s="30"/>
      <c r="JOC41" s="29"/>
      <c r="JOD41" s="30"/>
      <c r="JOE41" s="29"/>
      <c r="JOF41" s="30"/>
      <c r="JOG41" s="29"/>
      <c r="JOH41" s="30"/>
      <c r="JOI41" s="29"/>
      <c r="JOJ41" s="30"/>
      <c r="JOK41" s="29"/>
      <c r="JOL41" s="30"/>
      <c r="JOM41" s="29"/>
      <c r="JON41" s="30"/>
      <c r="JOO41" s="29"/>
      <c r="JOP41" s="30"/>
      <c r="JOQ41" s="29"/>
      <c r="JOR41" s="30"/>
      <c r="JOS41" s="29"/>
      <c r="JOT41" s="30"/>
      <c r="JOU41" s="29"/>
      <c r="JOV41" s="30"/>
      <c r="JOW41" s="29"/>
      <c r="JOX41" s="30"/>
      <c r="JOY41" s="29"/>
      <c r="JOZ41" s="30"/>
      <c r="JPA41" s="29"/>
      <c r="JPB41" s="30"/>
      <c r="JPC41" s="29"/>
      <c r="JPD41" s="30"/>
      <c r="JPE41" s="29"/>
      <c r="JPF41" s="30"/>
      <c r="JPG41" s="29"/>
      <c r="JPH41" s="30"/>
      <c r="JPI41" s="29"/>
      <c r="JPJ41" s="30"/>
      <c r="JPK41" s="29"/>
      <c r="JPL41" s="30"/>
      <c r="JPM41" s="29"/>
      <c r="JPN41" s="30"/>
      <c r="JPO41" s="29"/>
      <c r="JPP41" s="30"/>
      <c r="JPQ41" s="29"/>
      <c r="JPR41" s="30"/>
      <c r="JPS41" s="29"/>
      <c r="JPT41" s="30"/>
      <c r="JPU41" s="29"/>
      <c r="JPV41" s="30"/>
      <c r="JPW41" s="29"/>
      <c r="JPX41" s="30"/>
      <c r="JPY41" s="29"/>
      <c r="JPZ41" s="30"/>
      <c r="JQA41" s="29"/>
      <c r="JQB41" s="30"/>
      <c r="JQC41" s="29"/>
      <c r="JQD41" s="30"/>
      <c r="JQE41" s="29"/>
      <c r="JQF41" s="30"/>
      <c r="JQG41" s="29"/>
      <c r="JQH41" s="30"/>
      <c r="JQI41" s="29"/>
      <c r="JQJ41" s="30"/>
      <c r="JQK41" s="29"/>
      <c r="JQL41" s="30"/>
      <c r="JQM41" s="29"/>
      <c r="JQN41" s="30"/>
      <c r="JQO41" s="29"/>
      <c r="JQP41" s="30"/>
      <c r="JQQ41" s="29"/>
      <c r="JQR41" s="30"/>
      <c r="JQS41" s="29"/>
      <c r="JQT41" s="30"/>
      <c r="JQU41" s="29"/>
      <c r="JQV41" s="30"/>
      <c r="JQW41" s="29"/>
      <c r="JQX41" s="30"/>
      <c r="JQY41" s="29"/>
      <c r="JQZ41" s="30"/>
      <c r="JRA41" s="29"/>
      <c r="JRB41" s="30"/>
      <c r="JRC41" s="29"/>
      <c r="JRD41" s="30"/>
      <c r="JRE41" s="29"/>
      <c r="JRF41" s="30"/>
      <c r="JRG41" s="29"/>
      <c r="JRH41" s="30"/>
      <c r="JRI41" s="29"/>
      <c r="JRJ41" s="30"/>
      <c r="JRK41" s="29"/>
      <c r="JRL41" s="30"/>
      <c r="JRM41" s="29"/>
      <c r="JRN41" s="30"/>
      <c r="JRO41" s="29"/>
      <c r="JRP41" s="30"/>
      <c r="JRQ41" s="29"/>
      <c r="JRR41" s="30"/>
      <c r="JRS41" s="29"/>
      <c r="JRT41" s="30"/>
      <c r="JRU41" s="29"/>
      <c r="JRV41" s="30"/>
      <c r="JRW41" s="29"/>
      <c r="JRX41" s="30"/>
      <c r="JRY41" s="29"/>
      <c r="JRZ41" s="30"/>
      <c r="JSA41" s="29"/>
      <c r="JSB41" s="30"/>
      <c r="JSC41" s="29"/>
      <c r="JSD41" s="30"/>
      <c r="JSE41" s="29"/>
      <c r="JSF41" s="30"/>
      <c r="JSG41" s="29"/>
      <c r="JSH41" s="30"/>
      <c r="JSI41" s="29"/>
      <c r="JSJ41" s="30"/>
      <c r="JSK41" s="29"/>
      <c r="JSL41" s="30"/>
      <c r="JSM41" s="29"/>
      <c r="JSN41" s="30"/>
      <c r="JSO41" s="29"/>
      <c r="JSP41" s="30"/>
      <c r="JSQ41" s="29"/>
      <c r="JSR41" s="30"/>
      <c r="JSS41" s="29"/>
      <c r="JST41" s="30"/>
      <c r="JSU41" s="29"/>
      <c r="JSV41" s="30"/>
      <c r="JSW41" s="29"/>
      <c r="JSX41" s="30"/>
      <c r="JSY41" s="29"/>
      <c r="JSZ41" s="30"/>
      <c r="JTA41" s="29"/>
      <c r="JTB41" s="30"/>
      <c r="JTC41" s="29"/>
      <c r="JTD41" s="30"/>
      <c r="JTE41" s="29"/>
      <c r="JTF41" s="30"/>
      <c r="JTG41" s="29"/>
      <c r="JTH41" s="30"/>
      <c r="JTI41" s="29"/>
      <c r="JTJ41" s="30"/>
      <c r="JTK41" s="29"/>
      <c r="JTL41" s="30"/>
      <c r="JTM41" s="29"/>
      <c r="JTN41" s="30"/>
      <c r="JTO41" s="29"/>
      <c r="JTP41" s="30"/>
      <c r="JTQ41" s="29"/>
      <c r="JTR41" s="30"/>
      <c r="JTS41" s="29"/>
      <c r="JTT41" s="30"/>
      <c r="JTU41" s="29"/>
      <c r="JTV41" s="30"/>
      <c r="JTW41" s="29"/>
      <c r="JTX41" s="30"/>
      <c r="JTY41" s="29"/>
      <c r="JTZ41" s="30"/>
      <c r="JUA41" s="29"/>
      <c r="JUB41" s="30"/>
      <c r="JUC41" s="29"/>
      <c r="JUD41" s="30"/>
      <c r="JUE41" s="29"/>
      <c r="JUF41" s="30"/>
      <c r="JUG41" s="29"/>
      <c r="JUH41" s="30"/>
      <c r="JUI41" s="29"/>
      <c r="JUJ41" s="30"/>
      <c r="JUK41" s="29"/>
      <c r="JUL41" s="30"/>
      <c r="JUM41" s="29"/>
      <c r="JUN41" s="30"/>
      <c r="JUO41" s="29"/>
      <c r="JUP41" s="30"/>
      <c r="JUQ41" s="29"/>
      <c r="JUR41" s="30"/>
      <c r="JUS41" s="29"/>
      <c r="JUT41" s="30"/>
      <c r="JUU41" s="29"/>
      <c r="JUV41" s="30"/>
      <c r="JUW41" s="29"/>
      <c r="JUX41" s="30"/>
      <c r="JUY41" s="29"/>
      <c r="JUZ41" s="30"/>
      <c r="JVA41" s="29"/>
      <c r="JVB41" s="30"/>
      <c r="JVC41" s="29"/>
      <c r="JVD41" s="30"/>
      <c r="JVE41" s="29"/>
      <c r="JVF41" s="30"/>
      <c r="JVG41" s="29"/>
      <c r="JVH41" s="30"/>
      <c r="JVI41" s="29"/>
      <c r="JVJ41" s="30"/>
      <c r="JVK41" s="29"/>
      <c r="JVL41" s="30"/>
      <c r="JVM41" s="29"/>
      <c r="JVN41" s="30"/>
      <c r="JVO41" s="29"/>
      <c r="JVP41" s="30"/>
      <c r="JVQ41" s="29"/>
      <c r="JVR41" s="30"/>
      <c r="JVS41" s="29"/>
      <c r="JVT41" s="30"/>
      <c r="JVU41" s="29"/>
      <c r="JVV41" s="30"/>
      <c r="JVW41" s="29"/>
      <c r="JVX41" s="30"/>
      <c r="JVY41" s="29"/>
      <c r="JVZ41" s="30"/>
      <c r="JWA41" s="29"/>
      <c r="JWB41" s="30"/>
      <c r="JWC41" s="29"/>
      <c r="JWD41" s="30"/>
      <c r="JWE41" s="29"/>
      <c r="JWF41" s="30"/>
      <c r="JWG41" s="29"/>
      <c r="JWH41" s="30"/>
      <c r="JWI41" s="29"/>
      <c r="JWJ41" s="30"/>
      <c r="JWK41" s="29"/>
      <c r="JWL41" s="30"/>
      <c r="JWM41" s="29"/>
      <c r="JWN41" s="30"/>
      <c r="JWO41" s="29"/>
      <c r="JWP41" s="30"/>
      <c r="JWQ41" s="29"/>
      <c r="JWR41" s="30"/>
      <c r="JWS41" s="29"/>
      <c r="JWT41" s="30"/>
      <c r="JWU41" s="29"/>
      <c r="JWV41" s="30"/>
      <c r="JWW41" s="29"/>
      <c r="JWX41" s="30"/>
      <c r="JWY41" s="29"/>
      <c r="JWZ41" s="30"/>
      <c r="JXA41" s="29"/>
      <c r="JXB41" s="30"/>
      <c r="JXC41" s="29"/>
      <c r="JXD41" s="30"/>
      <c r="JXE41" s="29"/>
      <c r="JXF41" s="30"/>
      <c r="JXG41" s="29"/>
      <c r="JXH41" s="30"/>
      <c r="JXI41" s="29"/>
      <c r="JXJ41" s="30"/>
      <c r="JXK41" s="29"/>
      <c r="JXL41" s="30"/>
      <c r="JXM41" s="29"/>
      <c r="JXN41" s="30"/>
      <c r="JXO41" s="29"/>
      <c r="JXP41" s="30"/>
      <c r="JXQ41" s="29"/>
      <c r="JXR41" s="30"/>
      <c r="JXS41" s="29"/>
      <c r="JXT41" s="30"/>
      <c r="JXU41" s="29"/>
      <c r="JXV41" s="30"/>
      <c r="JXW41" s="29"/>
      <c r="JXX41" s="30"/>
      <c r="JXY41" s="29"/>
      <c r="JXZ41" s="30"/>
      <c r="JYA41" s="29"/>
      <c r="JYB41" s="30"/>
      <c r="JYC41" s="29"/>
      <c r="JYD41" s="30"/>
      <c r="JYE41" s="29"/>
      <c r="JYF41" s="30"/>
      <c r="JYG41" s="29"/>
      <c r="JYH41" s="30"/>
      <c r="JYI41" s="29"/>
      <c r="JYJ41" s="30"/>
      <c r="JYK41" s="29"/>
      <c r="JYL41" s="30"/>
      <c r="JYM41" s="29"/>
      <c r="JYN41" s="30"/>
      <c r="JYO41" s="29"/>
      <c r="JYP41" s="30"/>
      <c r="JYQ41" s="29"/>
      <c r="JYR41" s="30"/>
      <c r="JYS41" s="29"/>
      <c r="JYT41" s="30"/>
      <c r="JYU41" s="29"/>
      <c r="JYV41" s="30"/>
      <c r="JYW41" s="29"/>
      <c r="JYX41" s="30"/>
      <c r="JYY41" s="29"/>
      <c r="JYZ41" s="30"/>
      <c r="JZA41" s="29"/>
      <c r="JZB41" s="30"/>
      <c r="JZC41" s="29"/>
      <c r="JZD41" s="30"/>
      <c r="JZE41" s="29"/>
      <c r="JZF41" s="30"/>
      <c r="JZG41" s="29"/>
      <c r="JZH41" s="30"/>
      <c r="JZI41" s="29"/>
      <c r="JZJ41" s="30"/>
      <c r="JZK41" s="29"/>
      <c r="JZL41" s="30"/>
      <c r="JZM41" s="29"/>
      <c r="JZN41" s="30"/>
      <c r="JZO41" s="29"/>
      <c r="JZP41" s="30"/>
      <c r="JZQ41" s="29"/>
      <c r="JZR41" s="30"/>
      <c r="JZS41" s="29"/>
      <c r="JZT41" s="30"/>
      <c r="JZU41" s="29"/>
      <c r="JZV41" s="30"/>
      <c r="JZW41" s="29"/>
      <c r="JZX41" s="30"/>
      <c r="JZY41" s="29"/>
      <c r="JZZ41" s="30"/>
      <c r="KAA41" s="29"/>
      <c r="KAB41" s="30"/>
      <c r="KAC41" s="29"/>
      <c r="KAD41" s="30"/>
      <c r="KAE41" s="29"/>
      <c r="KAF41" s="30"/>
      <c r="KAG41" s="29"/>
      <c r="KAH41" s="30"/>
      <c r="KAI41" s="29"/>
      <c r="KAJ41" s="30"/>
      <c r="KAK41" s="29"/>
      <c r="KAL41" s="30"/>
      <c r="KAM41" s="29"/>
      <c r="KAN41" s="30"/>
      <c r="KAO41" s="29"/>
      <c r="KAP41" s="30"/>
      <c r="KAQ41" s="29"/>
      <c r="KAR41" s="30"/>
      <c r="KAS41" s="29"/>
      <c r="KAT41" s="30"/>
      <c r="KAU41" s="29"/>
      <c r="KAV41" s="30"/>
      <c r="KAW41" s="29"/>
      <c r="KAX41" s="30"/>
      <c r="KAY41" s="29"/>
      <c r="KAZ41" s="30"/>
      <c r="KBA41" s="29"/>
      <c r="KBB41" s="30"/>
      <c r="KBC41" s="29"/>
      <c r="KBD41" s="30"/>
      <c r="KBE41" s="29"/>
      <c r="KBF41" s="30"/>
      <c r="KBG41" s="29"/>
      <c r="KBH41" s="30"/>
      <c r="KBI41" s="29"/>
      <c r="KBJ41" s="30"/>
      <c r="KBK41" s="29"/>
      <c r="KBL41" s="30"/>
      <c r="KBM41" s="29"/>
      <c r="KBN41" s="30"/>
      <c r="KBO41" s="29"/>
      <c r="KBP41" s="30"/>
      <c r="KBQ41" s="29"/>
      <c r="KBR41" s="30"/>
      <c r="KBS41" s="29"/>
      <c r="KBT41" s="30"/>
      <c r="KBU41" s="29"/>
      <c r="KBV41" s="30"/>
      <c r="KBW41" s="29"/>
      <c r="KBX41" s="30"/>
      <c r="KBY41" s="29"/>
      <c r="KBZ41" s="30"/>
      <c r="KCA41" s="29"/>
      <c r="KCB41" s="30"/>
      <c r="KCC41" s="29"/>
      <c r="KCD41" s="30"/>
      <c r="KCE41" s="29"/>
      <c r="KCF41" s="30"/>
      <c r="KCG41" s="29"/>
      <c r="KCH41" s="30"/>
      <c r="KCI41" s="29"/>
      <c r="KCJ41" s="30"/>
      <c r="KCK41" s="29"/>
      <c r="KCL41" s="30"/>
      <c r="KCM41" s="29"/>
      <c r="KCN41" s="30"/>
      <c r="KCO41" s="29"/>
      <c r="KCP41" s="30"/>
      <c r="KCQ41" s="29"/>
      <c r="KCR41" s="30"/>
      <c r="KCS41" s="29"/>
      <c r="KCT41" s="30"/>
      <c r="KCU41" s="29"/>
      <c r="KCV41" s="30"/>
      <c r="KCW41" s="29"/>
      <c r="KCX41" s="30"/>
      <c r="KCY41" s="29"/>
      <c r="KCZ41" s="30"/>
      <c r="KDA41" s="29"/>
      <c r="KDB41" s="30"/>
      <c r="KDC41" s="29"/>
      <c r="KDD41" s="30"/>
      <c r="KDE41" s="29"/>
      <c r="KDF41" s="30"/>
      <c r="KDG41" s="29"/>
      <c r="KDH41" s="30"/>
      <c r="KDI41" s="29"/>
      <c r="KDJ41" s="30"/>
      <c r="KDK41" s="29"/>
      <c r="KDL41" s="30"/>
      <c r="KDM41" s="29"/>
      <c r="KDN41" s="30"/>
      <c r="KDO41" s="29"/>
      <c r="KDP41" s="30"/>
      <c r="KDQ41" s="29"/>
      <c r="KDR41" s="30"/>
      <c r="KDS41" s="29"/>
      <c r="KDT41" s="30"/>
      <c r="KDU41" s="29"/>
      <c r="KDV41" s="30"/>
      <c r="KDW41" s="29"/>
      <c r="KDX41" s="30"/>
      <c r="KDY41" s="29"/>
      <c r="KDZ41" s="30"/>
      <c r="KEA41" s="29"/>
      <c r="KEB41" s="30"/>
      <c r="KEC41" s="29"/>
      <c r="KED41" s="30"/>
      <c r="KEE41" s="29"/>
      <c r="KEF41" s="30"/>
      <c r="KEG41" s="29"/>
      <c r="KEH41" s="30"/>
      <c r="KEI41" s="29"/>
      <c r="KEJ41" s="30"/>
      <c r="KEK41" s="29"/>
      <c r="KEL41" s="30"/>
      <c r="KEM41" s="29"/>
      <c r="KEN41" s="30"/>
      <c r="KEO41" s="29"/>
      <c r="KEP41" s="30"/>
      <c r="KEQ41" s="29"/>
      <c r="KER41" s="30"/>
      <c r="KES41" s="29"/>
      <c r="KET41" s="30"/>
      <c r="KEU41" s="29"/>
      <c r="KEV41" s="30"/>
      <c r="KEW41" s="29"/>
      <c r="KEX41" s="30"/>
      <c r="KEY41" s="29"/>
      <c r="KEZ41" s="30"/>
      <c r="KFA41" s="29"/>
      <c r="KFB41" s="30"/>
      <c r="KFC41" s="29"/>
      <c r="KFD41" s="30"/>
      <c r="KFE41" s="29"/>
      <c r="KFF41" s="30"/>
      <c r="KFG41" s="29"/>
      <c r="KFH41" s="30"/>
      <c r="KFI41" s="29"/>
      <c r="KFJ41" s="30"/>
      <c r="KFK41" s="29"/>
      <c r="KFL41" s="30"/>
      <c r="KFM41" s="29"/>
      <c r="KFN41" s="30"/>
      <c r="KFO41" s="29"/>
      <c r="KFP41" s="30"/>
      <c r="KFQ41" s="29"/>
      <c r="KFR41" s="30"/>
      <c r="KFS41" s="29"/>
      <c r="KFT41" s="30"/>
      <c r="KFU41" s="29"/>
      <c r="KFV41" s="30"/>
      <c r="KFW41" s="29"/>
      <c r="KFX41" s="30"/>
      <c r="KFY41" s="29"/>
      <c r="KFZ41" s="30"/>
      <c r="KGA41" s="29"/>
      <c r="KGB41" s="30"/>
      <c r="KGC41" s="29"/>
      <c r="KGD41" s="30"/>
      <c r="KGE41" s="29"/>
      <c r="KGF41" s="30"/>
      <c r="KGG41" s="29"/>
      <c r="KGH41" s="30"/>
      <c r="KGI41" s="29"/>
      <c r="KGJ41" s="30"/>
      <c r="KGK41" s="29"/>
      <c r="KGL41" s="30"/>
      <c r="KGM41" s="29"/>
      <c r="KGN41" s="30"/>
      <c r="KGO41" s="29"/>
      <c r="KGP41" s="30"/>
      <c r="KGQ41" s="29"/>
      <c r="KGR41" s="30"/>
      <c r="KGS41" s="29"/>
      <c r="KGT41" s="30"/>
      <c r="KGU41" s="29"/>
      <c r="KGV41" s="30"/>
      <c r="KGW41" s="29"/>
      <c r="KGX41" s="30"/>
      <c r="KGY41" s="29"/>
      <c r="KGZ41" s="30"/>
      <c r="KHA41" s="29"/>
      <c r="KHB41" s="30"/>
      <c r="KHC41" s="29"/>
      <c r="KHD41" s="30"/>
      <c r="KHE41" s="29"/>
      <c r="KHF41" s="30"/>
      <c r="KHG41" s="29"/>
      <c r="KHH41" s="30"/>
      <c r="KHI41" s="29"/>
      <c r="KHJ41" s="30"/>
      <c r="KHK41" s="29"/>
      <c r="KHL41" s="30"/>
      <c r="KHM41" s="29"/>
      <c r="KHN41" s="30"/>
      <c r="KHO41" s="29"/>
      <c r="KHP41" s="30"/>
      <c r="KHQ41" s="29"/>
      <c r="KHR41" s="30"/>
      <c r="KHS41" s="29"/>
      <c r="KHT41" s="30"/>
      <c r="KHU41" s="29"/>
      <c r="KHV41" s="30"/>
      <c r="KHW41" s="29"/>
      <c r="KHX41" s="30"/>
      <c r="KHY41" s="29"/>
      <c r="KHZ41" s="30"/>
      <c r="KIA41" s="29"/>
      <c r="KIB41" s="30"/>
      <c r="KIC41" s="29"/>
      <c r="KID41" s="30"/>
      <c r="KIE41" s="29"/>
      <c r="KIF41" s="30"/>
      <c r="KIG41" s="29"/>
      <c r="KIH41" s="30"/>
      <c r="KII41" s="29"/>
      <c r="KIJ41" s="30"/>
      <c r="KIK41" s="29"/>
      <c r="KIL41" s="30"/>
      <c r="KIM41" s="29"/>
      <c r="KIN41" s="30"/>
      <c r="KIO41" s="29"/>
      <c r="KIP41" s="30"/>
      <c r="KIQ41" s="29"/>
      <c r="KIR41" s="30"/>
      <c r="KIS41" s="29"/>
      <c r="KIT41" s="30"/>
      <c r="KIU41" s="29"/>
      <c r="KIV41" s="30"/>
      <c r="KIW41" s="29"/>
      <c r="KIX41" s="30"/>
      <c r="KIY41" s="29"/>
      <c r="KIZ41" s="30"/>
      <c r="KJA41" s="29"/>
      <c r="KJB41" s="30"/>
      <c r="KJC41" s="29"/>
      <c r="KJD41" s="30"/>
      <c r="KJE41" s="29"/>
      <c r="KJF41" s="30"/>
      <c r="KJG41" s="29"/>
      <c r="KJH41" s="30"/>
      <c r="KJI41" s="29"/>
      <c r="KJJ41" s="30"/>
      <c r="KJK41" s="29"/>
      <c r="KJL41" s="30"/>
      <c r="KJM41" s="29"/>
      <c r="KJN41" s="30"/>
      <c r="KJO41" s="29"/>
      <c r="KJP41" s="30"/>
      <c r="KJQ41" s="29"/>
      <c r="KJR41" s="30"/>
      <c r="KJS41" s="29"/>
      <c r="KJT41" s="30"/>
      <c r="KJU41" s="29"/>
      <c r="KJV41" s="30"/>
      <c r="KJW41" s="29"/>
      <c r="KJX41" s="30"/>
      <c r="KJY41" s="29"/>
      <c r="KJZ41" s="30"/>
      <c r="KKA41" s="29"/>
      <c r="KKB41" s="30"/>
      <c r="KKC41" s="29"/>
      <c r="KKD41" s="30"/>
      <c r="KKE41" s="29"/>
      <c r="KKF41" s="30"/>
      <c r="KKG41" s="29"/>
      <c r="KKH41" s="30"/>
      <c r="KKI41" s="29"/>
      <c r="KKJ41" s="30"/>
      <c r="KKK41" s="29"/>
      <c r="KKL41" s="30"/>
      <c r="KKM41" s="29"/>
      <c r="KKN41" s="30"/>
      <c r="KKO41" s="29"/>
      <c r="KKP41" s="30"/>
      <c r="KKQ41" s="29"/>
      <c r="KKR41" s="30"/>
      <c r="KKS41" s="29"/>
      <c r="KKT41" s="30"/>
      <c r="KKU41" s="29"/>
      <c r="KKV41" s="30"/>
      <c r="KKW41" s="29"/>
      <c r="KKX41" s="30"/>
      <c r="KKY41" s="29"/>
      <c r="KKZ41" s="30"/>
      <c r="KLA41" s="29"/>
      <c r="KLB41" s="30"/>
      <c r="KLC41" s="29"/>
      <c r="KLD41" s="30"/>
      <c r="KLE41" s="29"/>
      <c r="KLF41" s="30"/>
      <c r="KLG41" s="29"/>
      <c r="KLH41" s="30"/>
      <c r="KLI41" s="29"/>
      <c r="KLJ41" s="30"/>
      <c r="KLK41" s="29"/>
      <c r="KLL41" s="30"/>
      <c r="KLM41" s="29"/>
      <c r="KLN41" s="30"/>
      <c r="KLO41" s="29"/>
      <c r="KLP41" s="30"/>
      <c r="KLQ41" s="29"/>
      <c r="KLR41" s="30"/>
      <c r="KLS41" s="29"/>
      <c r="KLT41" s="30"/>
      <c r="KLU41" s="29"/>
      <c r="KLV41" s="30"/>
      <c r="KLW41" s="29"/>
      <c r="KLX41" s="30"/>
      <c r="KLY41" s="29"/>
      <c r="KLZ41" s="30"/>
      <c r="KMA41" s="29"/>
      <c r="KMB41" s="30"/>
      <c r="KMC41" s="29"/>
      <c r="KMD41" s="30"/>
      <c r="KME41" s="29"/>
      <c r="KMF41" s="30"/>
      <c r="KMG41" s="29"/>
      <c r="KMH41" s="30"/>
      <c r="KMI41" s="29"/>
      <c r="KMJ41" s="30"/>
      <c r="KMK41" s="29"/>
      <c r="KML41" s="30"/>
      <c r="KMM41" s="29"/>
      <c r="KMN41" s="30"/>
      <c r="KMO41" s="29"/>
      <c r="KMP41" s="30"/>
      <c r="KMQ41" s="29"/>
      <c r="KMR41" s="30"/>
      <c r="KMS41" s="29"/>
      <c r="KMT41" s="30"/>
      <c r="KMU41" s="29"/>
      <c r="KMV41" s="30"/>
      <c r="KMW41" s="29"/>
      <c r="KMX41" s="30"/>
      <c r="KMY41" s="29"/>
      <c r="KMZ41" s="30"/>
      <c r="KNA41" s="29"/>
      <c r="KNB41" s="30"/>
      <c r="KNC41" s="29"/>
      <c r="KND41" s="30"/>
      <c r="KNE41" s="29"/>
      <c r="KNF41" s="30"/>
      <c r="KNG41" s="29"/>
      <c r="KNH41" s="30"/>
      <c r="KNI41" s="29"/>
      <c r="KNJ41" s="30"/>
      <c r="KNK41" s="29"/>
      <c r="KNL41" s="30"/>
      <c r="KNM41" s="29"/>
      <c r="KNN41" s="30"/>
      <c r="KNO41" s="29"/>
      <c r="KNP41" s="30"/>
      <c r="KNQ41" s="29"/>
      <c r="KNR41" s="30"/>
      <c r="KNS41" s="29"/>
      <c r="KNT41" s="30"/>
      <c r="KNU41" s="29"/>
      <c r="KNV41" s="30"/>
      <c r="KNW41" s="29"/>
      <c r="KNX41" s="30"/>
      <c r="KNY41" s="29"/>
      <c r="KNZ41" s="30"/>
      <c r="KOA41" s="29"/>
      <c r="KOB41" s="30"/>
      <c r="KOC41" s="29"/>
      <c r="KOD41" s="30"/>
      <c r="KOE41" s="29"/>
      <c r="KOF41" s="30"/>
      <c r="KOG41" s="29"/>
      <c r="KOH41" s="30"/>
      <c r="KOI41" s="29"/>
      <c r="KOJ41" s="30"/>
      <c r="KOK41" s="29"/>
      <c r="KOL41" s="30"/>
      <c r="KOM41" s="29"/>
      <c r="KON41" s="30"/>
      <c r="KOO41" s="29"/>
      <c r="KOP41" s="30"/>
      <c r="KOQ41" s="29"/>
      <c r="KOR41" s="30"/>
      <c r="KOS41" s="29"/>
      <c r="KOT41" s="30"/>
      <c r="KOU41" s="29"/>
      <c r="KOV41" s="30"/>
      <c r="KOW41" s="29"/>
      <c r="KOX41" s="30"/>
      <c r="KOY41" s="29"/>
      <c r="KOZ41" s="30"/>
      <c r="KPA41" s="29"/>
      <c r="KPB41" s="30"/>
      <c r="KPC41" s="29"/>
      <c r="KPD41" s="30"/>
      <c r="KPE41" s="29"/>
      <c r="KPF41" s="30"/>
      <c r="KPG41" s="29"/>
      <c r="KPH41" s="30"/>
      <c r="KPI41" s="29"/>
      <c r="KPJ41" s="30"/>
      <c r="KPK41" s="29"/>
      <c r="KPL41" s="30"/>
      <c r="KPM41" s="29"/>
      <c r="KPN41" s="30"/>
      <c r="KPO41" s="29"/>
      <c r="KPP41" s="30"/>
      <c r="KPQ41" s="29"/>
      <c r="KPR41" s="30"/>
      <c r="KPS41" s="29"/>
      <c r="KPT41" s="30"/>
      <c r="KPU41" s="29"/>
      <c r="KPV41" s="30"/>
      <c r="KPW41" s="29"/>
      <c r="KPX41" s="30"/>
      <c r="KPY41" s="29"/>
      <c r="KPZ41" s="30"/>
      <c r="KQA41" s="29"/>
      <c r="KQB41" s="30"/>
      <c r="KQC41" s="29"/>
      <c r="KQD41" s="30"/>
      <c r="KQE41" s="29"/>
      <c r="KQF41" s="30"/>
      <c r="KQG41" s="29"/>
      <c r="KQH41" s="30"/>
      <c r="KQI41" s="29"/>
      <c r="KQJ41" s="30"/>
      <c r="KQK41" s="29"/>
      <c r="KQL41" s="30"/>
      <c r="KQM41" s="29"/>
      <c r="KQN41" s="30"/>
      <c r="KQO41" s="29"/>
      <c r="KQP41" s="30"/>
      <c r="KQQ41" s="29"/>
      <c r="KQR41" s="30"/>
      <c r="KQS41" s="29"/>
      <c r="KQT41" s="30"/>
      <c r="KQU41" s="29"/>
      <c r="KQV41" s="30"/>
      <c r="KQW41" s="29"/>
      <c r="KQX41" s="30"/>
      <c r="KQY41" s="29"/>
      <c r="KQZ41" s="30"/>
      <c r="KRA41" s="29"/>
      <c r="KRB41" s="30"/>
      <c r="KRC41" s="29"/>
      <c r="KRD41" s="30"/>
      <c r="KRE41" s="29"/>
      <c r="KRF41" s="30"/>
      <c r="KRG41" s="29"/>
      <c r="KRH41" s="30"/>
      <c r="KRI41" s="29"/>
      <c r="KRJ41" s="30"/>
      <c r="KRK41" s="29"/>
      <c r="KRL41" s="30"/>
      <c r="KRM41" s="29"/>
      <c r="KRN41" s="30"/>
      <c r="KRO41" s="29"/>
      <c r="KRP41" s="30"/>
      <c r="KRQ41" s="29"/>
      <c r="KRR41" s="30"/>
      <c r="KRS41" s="29"/>
      <c r="KRT41" s="30"/>
      <c r="KRU41" s="29"/>
      <c r="KRV41" s="30"/>
      <c r="KRW41" s="29"/>
      <c r="KRX41" s="30"/>
      <c r="KRY41" s="29"/>
      <c r="KRZ41" s="30"/>
      <c r="KSA41" s="29"/>
      <c r="KSB41" s="30"/>
      <c r="KSC41" s="29"/>
      <c r="KSD41" s="30"/>
      <c r="KSE41" s="29"/>
      <c r="KSF41" s="30"/>
      <c r="KSG41" s="29"/>
      <c r="KSH41" s="30"/>
      <c r="KSI41" s="29"/>
      <c r="KSJ41" s="30"/>
      <c r="KSK41" s="29"/>
      <c r="KSL41" s="30"/>
      <c r="KSM41" s="29"/>
      <c r="KSN41" s="30"/>
      <c r="KSO41" s="29"/>
      <c r="KSP41" s="30"/>
      <c r="KSQ41" s="29"/>
      <c r="KSR41" s="30"/>
      <c r="KSS41" s="29"/>
      <c r="KST41" s="30"/>
      <c r="KSU41" s="29"/>
      <c r="KSV41" s="30"/>
      <c r="KSW41" s="29"/>
      <c r="KSX41" s="30"/>
      <c r="KSY41" s="29"/>
      <c r="KSZ41" s="30"/>
      <c r="KTA41" s="29"/>
      <c r="KTB41" s="30"/>
      <c r="KTC41" s="29"/>
      <c r="KTD41" s="30"/>
      <c r="KTE41" s="29"/>
      <c r="KTF41" s="30"/>
      <c r="KTG41" s="29"/>
      <c r="KTH41" s="30"/>
      <c r="KTI41" s="29"/>
      <c r="KTJ41" s="30"/>
      <c r="KTK41" s="29"/>
      <c r="KTL41" s="30"/>
      <c r="KTM41" s="29"/>
      <c r="KTN41" s="30"/>
      <c r="KTO41" s="29"/>
      <c r="KTP41" s="30"/>
      <c r="KTQ41" s="29"/>
      <c r="KTR41" s="30"/>
      <c r="KTS41" s="29"/>
      <c r="KTT41" s="30"/>
      <c r="KTU41" s="29"/>
      <c r="KTV41" s="30"/>
      <c r="KTW41" s="29"/>
      <c r="KTX41" s="30"/>
      <c r="KTY41" s="29"/>
      <c r="KTZ41" s="30"/>
      <c r="KUA41" s="29"/>
      <c r="KUB41" s="30"/>
      <c r="KUC41" s="29"/>
      <c r="KUD41" s="30"/>
      <c r="KUE41" s="29"/>
      <c r="KUF41" s="30"/>
      <c r="KUG41" s="29"/>
      <c r="KUH41" s="30"/>
      <c r="KUI41" s="29"/>
      <c r="KUJ41" s="30"/>
      <c r="KUK41" s="29"/>
      <c r="KUL41" s="30"/>
      <c r="KUM41" s="29"/>
      <c r="KUN41" s="30"/>
      <c r="KUO41" s="29"/>
      <c r="KUP41" s="30"/>
      <c r="KUQ41" s="29"/>
      <c r="KUR41" s="30"/>
      <c r="KUS41" s="29"/>
      <c r="KUT41" s="30"/>
      <c r="KUU41" s="29"/>
      <c r="KUV41" s="30"/>
      <c r="KUW41" s="29"/>
      <c r="KUX41" s="30"/>
      <c r="KUY41" s="29"/>
      <c r="KUZ41" s="30"/>
      <c r="KVA41" s="29"/>
      <c r="KVB41" s="30"/>
      <c r="KVC41" s="29"/>
      <c r="KVD41" s="30"/>
      <c r="KVE41" s="29"/>
      <c r="KVF41" s="30"/>
      <c r="KVG41" s="29"/>
      <c r="KVH41" s="30"/>
      <c r="KVI41" s="29"/>
      <c r="KVJ41" s="30"/>
      <c r="KVK41" s="29"/>
      <c r="KVL41" s="30"/>
      <c r="KVM41" s="29"/>
      <c r="KVN41" s="30"/>
      <c r="KVO41" s="29"/>
      <c r="KVP41" s="30"/>
      <c r="KVQ41" s="29"/>
      <c r="KVR41" s="30"/>
      <c r="KVS41" s="29"/>
      <c r="KVT41" s="30"/>
      <c r="KVU41" s="29"/>
      <c r="KVV41" s="30"/>
      <c r="KVW41" s="29"/>
      <c r="KVX41" s="30"/>
      <c r="KVY41" s="29"/>
      <c r="KVZ41" s="30"/>
      <c r="KWA41" s="29"/>
      <c r="KWB41" s="30"/>
      <c r="KWC41" s="29"/>
      <c r="KWD41" s="30"/>
      <c r="KWE41" s="29"/>
      <c r="KWF41" s="30"/>
      <c r="KWG41" s="29"/>
      <c r="KWH41" s="30"/>
      <c r="KWI41" s="29"/>
      <c r="KWJ41" s="30"/>
      <c r="KWK41" s="29"/>
      <c r="KWL41" s="30"/>
      <c r="KWM41" s="29"/>
      <c r="KWN41" s="30"/>
      <c r="KWO41" s="29"/>
      <c r="KWP41" s="30"/>
      <c r="KWQ41" s="29"/>
      <c r="KWR41" s="30"/>
      <c r="KWS41" s="29"/>
      <c r="KWT41" s="30"/>
      <c r="KWU41" s="29"/>
      <c r="KWV41" s="30"/>
      <c r="KWW41" s="29"/>
      <c r="KWX41" s="30"/>
      <c r="KWY41" s="29"/>
      <c r="KWZ41" s="30"/>
      <c r="KXA41" s="29"/>
      <c r="KXB41" s="30"/>
      <c r="KXC41" s="29"/>
      <c r="KXD41" s="30"/>
      <c r="KXE41" s="29"/>
      <c r="KXF41" s="30"/>
      <c r="KXG41" s="29"/>
      <c r="KXH41" s="30"/>
      <c r="KXI41" s="29"/>
      <c r="KXJ41" s="30"/>
      <c r="KXK41" s="29"/>
      <c r="KXL41" s="30"/>
      <c r="KXM41" s="29"/>
      <c r="KXN41" s="30"/>
      <c r="KXO41" s="29"/>
      <c r="KXP41" s="30"/>
      <c r="KXQ41" s="29"/>
      <c r="KXR41" s="30"/>
      <c r="KXS41" s="29"/>
      <c r="KXT41" s="30"/>
      <c r="KXU41" s="29"/>
      <c r="KXV41" s="30"/>
      <c r="KXW41" s="29"/>
      <c r="KXX41" s="30"/>
      <c r="KXY41" s="29"/>
      <c r="KXZ41" s="30"/>
      <c r="KYA41" s="29"/>
      <c r="KYB41" s="30"/>
      <c r="KYC41" s="29"/>
      <c r="KYD41" s="30"/>
      <c r="KYE41" s="29"/>
      <c r="KYF41" s="30"/>
      <c r="KYG41" s="29"/>
      <c r="KYH41" s="30"/>
      <c r="KYI41" s="29"/>
      <c r="KYJ41" s="30"/>
      <c r="KYK41" s="29"/>
      <c r="KYL41" s="30"/>
      <c r="KYM41" s="29"/>
      <c r="KYN41" s="30"/>
      <c r="KYO41" s="29"/>
      <c r="KYP41" s="30"/>
      <c r="KYQ41" s="29"/>
      <c r="KYR41" s="30"/>
      <c r="KYS41" s="29"/>
      <c r="KYT41" s="30"/>
      <c r="KYU41" s="29"/>
      <c r="KYV41" s="30"/>
      <c r="KYW41" s="29"/>
      <c r="KYX41" s="30"/>
      <c r="KYY41" s="29"/>
      <c r="KYZ41" s="30"/>
      <c r="KZA41" s="29"/>
      <c r="KZB41" s="30"/>
      <c r="KZC41" s="29"/>
      <c r="KZD41" s="30"/>
      <c r="KZE41" s="29"/>
      <c r="KZF41" s="30"/>
      <c r="KZG41" s="29"/>
      <c r="KZH41" s="30"/>
      <c r="KZI41" s="29"/>
      <c r="KZJ41" s="30"/>
      <c r="KZK41" s="29"/>
      <c r="KZL41" s="30"/>
      <c r="KZM41" s="29"/>
      <c r="KZN41" s="30"/>
      <c r="KZO41" s="29"/>
      <c r="KZP41" s="30"/>
      <c r="KZQ41" s="29"/>
      <c r="KZR41" s="30"/>
      <c r="KZS41" s="29"/>
      <c r="KZT41" s="30"/>
      <c r="KZU41" s="29"/>
      <c r="KZV41" s="30"/>
      <c r="KZW41" s="29"/>
      <c r="KZX41" s="30"/>
      <c r="KZY41" s="29"/>
      <c r="KZZ41" s="30"/>
      <c r="LAA41" s="29"/>
      <c r="LAB41" s="30"/>
      <c r="LAC41" s="29"/>
      <c r="LAD41" s="30"/>
      <c r="LAE41" s="29"/>
      <c r="LAF41" s="30"/>
      <c r="LAG41" s="29"/>
      <c r="LAH41" s="30"/>
      <c r="LAI41" s="29"/>
      <c r="LAJ41" s="30"/>
      <c r="LAK41" s="29"/>
      <c r="LAL41" s="30"/>
      <c r="LAM41" s="29"/>
      <c r="LAN41" s="30"/>
      <c r="LAO41" s="29"/>
      <c r="LAP41" s="30"/>
      <c r="LAQ41" s="29"/>
      <c r="LAR41" s="30"/>
      <c r="LAS41" s="29"/>
      <c r="LAT41" s="30"/>
      <c r="LAU41" s="29"/>
      <c r="LAV41" s="30"/>
      <c r="LAW41" s="29"/>
      <c r="LAX41" s="30"/>
      <c r="LAY41" s="29"/>
      <c r="LAZ41" s="30"/>
      <c r="LBA41" s="29"/>
      <c r="LBB41" s="30"/>
      <c r="LBC41" s="29"/>
      <c r="LBD41" s="30"/>
      <c r="LBE41" s="29"/>
      <c r="LBF41" s="30"/>
      <c r="LBG41" s="29"/>
      <c r="LBH41" s="30"/>
      <c r="LBI41" s="29"/>
      <c r="LBJ41" s="30"/>
      <c r="LBK41" s="29"/>
      <c r="LBL41" s="30"/>
      <c r="LBM41" s="29"/>
      <c r="LBN41" s="30"/>
      <c r="LBO41" s="29"/>
      <c r="LBP41" s="30"/>
      <c r="LBQ41" s="29"/>
      <c r="LBR41" s="30"/>
      <c r="LBS41" s="29"/>
      <c r="LBT41" s="30"/>
      <c r="LBU41" s="29"/>
      <c r="LBV41" s="30"/>
      <c r="LBW41" s="29"/>
      <c r="LBX41" s="30"/>
      <c r="LBY41" s="29"/>
      <c r="LBZ41" s="30"/>
      <c r="LCA41" s="29"/>
      <c r="LCB41" s="30"/>
      <c r="LCC41" s="29"/>
      <c r="LCD41" s="30"/>
      <c r="LCE41" s="29"/>
      <c r="LCF41" s="30"/>
      <c r="LCG41" s="29"/>
      <c r="LCH41" s="30"/>
      <c r="LCI41" s="29"/>
      <c r="LCJ41" s="30"/>
      <c r="LCK41" s="29"/>
      <c r="LCL41" s="30"/>
      <c r="LCM41" s="29"/>
      <c r="LCN41" s="30"/>
      <c r="LCO41" s="29"/>
      <c r="LCP41" s="30"/>
      <c r="LCQ41" s="29"/>
      <c r="LCR41" s="30"/>
      <c r="LCS41" s="29"/>
      <c r="LCT41" s="30"/>
      <c r="LCU41" s="29"/>
      <c r="LCV41" s="30"/>
      <c r="LCW41" s="29"/>
      <c r="LCX41" s="30"/>
      <c r="LCY41" s="29"/>
      <c r="LCZ41" s="30"/>
      <c r="LDA41" s="29"/>
      <c r="LDB41" s="30"/>
      <c r="LDC41" s="29"/>
      <c r="LDD41" s="30"/>
      <c r="LDE41" s="29"/>
      <c r="LDF41" s="30"/>
      <c r="LDG41" s="29"/>
      <c r="LDH41" s="30"/>
      <c r="LDI41" s="29"/>
      <c r="LDJ41" s="30"/>
      <c r="LDK41" s="29"/>
      <c r="LDL41" s="30"/>
      <c r="LDM41" s="29"/>
      <c r="LDN41" s="30"/>
      <c r="LDO41" s="29"/>
      <c r="LDP41" s="30"/>
      <c r="LDQ41" s="29"/>
      <c r="LDR41" s="30"/>
      <c r="LDS41" s="29"/>
      <c r="LDT41" s="30"/>
      <c r="LDU41" s="29"/>
      <c r="LDV41" s="30"/>
      <c r="LDW41" s="29"/>
      <c r="LDX41" s="30"/>
      <c r="LDY41" s="29"/>
      <c r="LDZ41" s="30"/>
      <c r="LEA41" s="29"/>
      <c r="LEB41" s="30"/>
      <c r="LEC41" s="29"/>
      <c r="LED41" s="30"/>
      <c r="LEE41" s="29"/>
      <c r="LEF41" s="30"/>
      <c r="LEG41" s="29"/>
      <c r="LEH41" s="30"/>
      <c r="LEI41" s="29"/>
      <c r="LEJ41" s="30"/>
      <c r="LEK41" s="29"/>
      <c r="LEL41" s="30"/>
      <c r="LEM41" s="29"/>
      <c r="LEN41" s="30"/>
      <c r="LEO41" s="29"/>
      <c r="LEP41" s="30"/>
      <c r="LEQ41" s="29"/>
      <c r="LER41" s="30"/>
      <c r="LES41" s="29"/>
      <c r="LET41" s="30"/>
      <c r="LEU41" s="29"/>
      <c r="LEV41" s="30"/>
      <c r="LEW41" s="29"/>
      <c r="LEX41" s="30"/>
      <c r="LEY41" s="29"/>
      <c r="LEZ41" s="30"/>
      <c r="LFA41" s="29"/>
      <c r="LFB41" s="30"/>
      <c r="LFC41" s="29"/>
      <c r="LFD41" s="30"/>
      <c r="LFE41" s="29"/>
      <c r="LFF41" s="30"/>
      <c r="LFG41" s="29"/>
      <c r="LFH41" s="30"/>
      <c r="LFI41" s="29"/>
      <c r="LFJ41" s="30"/>
      <c r="LFK41" s="29"/>
      <c r="LFL41" s="30"/>
      <c r="LFM41" s="29"/>
      <c r="LFN41" s="30"/>
      <c r="LFO41" s="29"/>
      <c r="LFP41" s="30"/>
      <c r="LFQ41" s="29"/>
      <c r="LFR41" s="30"/>
      <c r="LFS41" s="29"/>
      <c r="LFT41" s="30"/>
      <c r="LFU41" s="29"/>
      <c r="LFV41" s="30"/>
      <c r="LFW41" s="29"/>
      <c r="LFX41" s="30"/>
      <c r="LFY41" s="29"/>
      <c r="LFZ41" s="30"/>
      <c r="LGA41" s="29"/>
      <c r="LGB41" s="30"/>
      <c r="LGC41" s="29"/>
      <c r="LGD41" s="30"/>
      <c r="LGE41" s="29"/>
      <c r="LGF41" s="30"/>
      <c r="LGG41" s="29"/>
      <c r="LGH41" s="30"/>
      <c r="LGI41" s="29"/>
      <c r="LGJ41" s="30"/>
      <c r="LGK41" s="29"/>
      <c r="LGL41" s="30"/>
      <c r="LGM41" s="29"/>
      <c r="LGN41" s="30"/>
      <c r="LGO41" s="29"/>
      <c r="LGP41" s="30"/>
      <c r="LGQ41" s="29"/>
      <c r="LGR41" s="30"/>
      <c r="LGS41" s="29"/>
      <c r="LGT41" s="30"/>
      <c r="LGU41" s="29"/>
      <c r="LGV41" s="30"/>
      <c r="LGW41" s="29"/>
      <c r="LGX41" s="30"/>
      <c r="LGY41" s="29"/>
      <c r="LGZ41" s="30"/>
      <c r="LHA41" s="29"/>
      <c r="LHB41" s="30"/>
      <c r="LHC41" s="29"/>
      <c r="LHD41" s="30"/>
      <c r="LHE41" s="29"/>
      <c r="LHF41" s="30"/>
      <c r="LHG41" s="29"/>
      <c r="LHH41" s="30"/>
      <c r="LHI41" s="29"/>
      <c r="LHJ41" s="30"/>
      <c r="LHK41" s="29"/>
      <c r="LHL41" s="30"/>
      <c r="LHM41" s="29"/>
      <c r="LHN41" s="30"/>
      <c r="LHO41" s="29"/>
      <c r="LHP41" s="30"/>
      <c r="LHQ41" s="29"/>
      <c r="LHR41" s="30"/>
      <c r="LHS41" s="29"/>
      <c r="LHT41" s="30"/>
      <c r="LHU41" s="29"/>
      <c r="LHV41" s="30"/>
      <c r="LHW41" s="29"/>
      <c r="LHX41" s="30"/>
      <c r="LHY41" s="29"/>
      <c r="LHZ41" s="30"/>
      <c r="LIA41" s="29"/>
      <c r="LIB41" s="30"/>
      <c r="LIC41" s="29"/>
      <c r="LID41" s="30"/>
      <c r="LIE41" s="29"/>
      <c r="LIF41" s="30"/>
      <c r="LIG41" s="29"/>
      <c r="LIH41" s="30"/>
      <c r="LII41" s="29"/>
      <c r="LIJ41" s="30"/>
      <c r="LIK41" s="29"/>
      <c r="LIL41" s="30"/>
      <c r="LIM41" s="29"/>
      <c r="LIN41" s="30"/>
      <c r="LIO41" s="29"/>
      <c r="LIP41" s="30"/>
      <c r="LIQ41" s="29"/>
      <c r="LIR41" s="30"/>
      <c r="LIS41" s="29"/>
      <c r="LIT41" s="30"/>
      <c r="LIU41" s="29"/>
      <c r="LIV41" s="30"/>
      <c r="LIW41" s="29"/>
      <c r="LIX41" s="30"/>
      <c r="LIY41" s="29"/>
      <c r="LIZ41" s="30"/>
      <c r="LJA41" s="29"/>
      <c r="LJB41" s="30"/>
      <c r="LJC41" s="29"/>
      <c r="LJD41" s="30"/>
      <c r="LJE41" s="29"/>
      <c r="LJF41" s="30"/>
      <c r="LJG41" s="29"/>
      <c r="LJH41" s="30"/>
      <c r="LJI41" s="29"/>
      <c r="LJJ41" s="30"/>
      <c r="LJK41" s="29"/>
      <c r="LJL41" s="30"/>
      <c r="LJM41" s="29"/>
      <c r="LJN41" s="30"/>
      <c r="LJO41" s="29"/>
      <c r="LJP41" s="30"/>
      <c r="LJQ41" s="29"/>
      <c r="LJR41" s="30"/>
      <c r="LJS41" s="29"/>
      <c r="LJT41" s="30"/>
      <c r="LJU41" s="29"/>
      <c r="LJV41" s="30"/>
      <c r="LJW41" s="29"/>
      <c r="LJX41" s="30"/>
      <c r="LJY41" s="29"/>
      <c r="LJZ41" s="30"/>
      <c r="LKA41" s="29"/>
      <c r="LKB41" s="30"/>
      <c r="LKC41" s="29"/>
      <c r="LKD41" s="30"/>
      <c r="LKE41" s="29"/>
      <c r="LKF41" s="30"/>
      <c r="LKG41" s="29"/>
      <c r="LKH41" s="30"/>
      <c r="LKI41" s="29"/>
      <c r="LKJ41" s="30"/>
      <c r="LKK41" s="29"/>
      <c r="LKL41" s="30"/>
      <c r="LKM41" s="29"/>
      <c r="LKN41" s="30"/>
      <c r="LKO41" s="29"/>
      <c r="LKP41" s="30"/>
      <c r="LKQ41" s="29"/>
      <c r="LKR41" s="30"/>
      <c r="LKS41" s="29"/>
      <c r="LKT41" s="30"/>
      <c r="LKU41" s="29"/>
      <c r="LKV41" s="30"/>
      <c r="LKW41" s="29"/>
      <c r="LKX41" s="30"/>
      <c r="LKY41" s="29"/>
      <c r="LKZ41" s="30"/>
      <c r="LLA41" s="29"/>
      <c r="LLB41" s="30"/>
      <c r="LLC41" s="29"/>
      <c r="LLD41" s="30"/>
      <c r="LLE41" s="29"/>
      <c r="LLF41" s="30"/>
      <c r="LLG41" s="29"/>
      <c r="LLH41" s="30"/>
      <c r="LLI41" s="29"/>
      <c r="LLJ41" s="30"/>
      <c r="LLK41" s="29"/>
      <c r="LLL41" s="30"/>
      <c r="LLM41" s="29"/>
      <c r="LLN41" s="30"/>
      <c r="LLO41" s="29"/>
      <c r="LLP41" s="30"/>
      <c r="LLQ41" s="29"/>
      <c r="LLR41" s="30"/>
      <c r="LLS41" s="29"/>
      <c r="LLT41" s="30"/>
      <c r="LLU41" s="29"/>
      <c r="LLV41" s="30"/>
      <c r="LLW41" s="29"/>
      <c r="LLX41" s="30"/>
      <c r="LLY41" s="29"/>
      <c r="LLZ41" s="30"/>
      <c r="LMA41" s="29"/>
      <c r="LMB41" s="30"/>
      <c r="LMC41" s="29"/>
      <c r="LMD41" s="30"/>
      <c r="LME41" s="29"/>
      <c r="LMF41" s="30"/>
      <c r="LMG41" s="29"/>
      <c r="LMH41" s="30"/>
      <c r="LMI41" s="29"/>
      <c r="LMJ41" s="30"/>
      <c r="LMK41" s="29"/>
      <c r="LML41" s="30"/>
      <c r="LMM41" s="29"/>
      <c r="LMN41" s="30"/>
      <c r="LMO41" s="29"/>
      <c r="LMP41" s="30"/>
      <c r="LMQ41" s="29"/>
      <c r="LMR41" s="30"/>
      <c r="LMS41" s="29"/>
      <c r="LMT41" s="30"/>
      <c r="LMU41" s="29"/>
      <c r="LMV41" s="30"/>
      <c r="LMW41" s="29"/>
      <c r="LMX41" s="30"/>
      <c r="LMY41" s="29"/>
      <c r="LMZ41" s="30"/>
      <c r="LNA41" s="29"/>
      <c r="LNB41" s="30"/>
      <c r="LNC41" s="29"/>
      <c r="LND41" s="30"/>
      <c r="LNE41" s="29"/>
      <c r="LNF41" s="30"/>
      <c r="LNG41" s="29"/>
      <c r="LNH41" s="30"/>
      <c r="LNI41" s="29"/>
      <c r="LNJ41" s="30"/>
      <c r="LNK41" s="29"/>
      <c r="LNL41" s="30"/>
      <c r="LNM41" s="29"/>
      <c r="LNN41" s="30"/>
      <c r="LNO41" s="29"/>
      <c r="LNP41" s="30"/>
      <c r="LNQ41" s="29"/>
      <c r="LNR41" s="30"/>
      <c r="LNS41" s="29"/>
      <c r="LNT41" s="30"/>
      <c r="LNU41" s="29"/>
      <c r="LNV41" s="30"/>
      <c r="LNW41" s="29"/>
      <c r="LNX41" s="30"/>
      <c r="LNY41" s="29"/>
      <c r="LNZ41" s="30"/>
      <c r="LOA41" s="29"/>
      <c r="LOB41" s="30"/>
      <c r="LOC41" s="29"/>
      <c r="LOD41" s="30"/>
      <c r="LOE41" s="29"/>
      <c r="LOF41" s="30"/>
      <c r="LOG41" s="29"/>
      <c r="LOH41" s="30"/>
      <c r="LOI41" s="29"/>
      <c r="LOJ41" s="30"/>
      <c r="LOK41" s="29"/>
      <c r="LOL41" s="30"/>
      <c r="LOM41" s="29"/>
      <c r="LON41" s="30"/>
      <c r="LOO41" s="29"/>
      <c r="LOP41" s="30"/>
      <c r="LOQ41" s="29"/>
      <c r="LOR41" s="30"/>
      <c r="LOS41" s="29"/>
      <c r="LOT41" s="30"/>
      <c r="LOU41" s="29"/>
      <c r="LOV41" s="30"/>
      <c r="LOW41" s="29"/>
      <c r="LOX41" s="30"/>
      <c r="LOY41" s="29"/>
      <c r="LOZ41" s="30"/>
      <c r="LPA41" s="29"/>
      <c r="LPB41" s="30"/>
      <c r="LPC41" s="29"/>
      <c r="LPD41" s="30"/>
      <c r="LPE41" s="29"/>
      <c r="LPF41" s="30"/>
      <c r="LPG41" s="29"/>
      <c r="LPH41" s="30"/>
      <c r="LPI41" s="29"/>
      <c r="LPJ41" s="30"/>
      <c r="LPK41" s="29"/>
      <c r="LPL41" s="30"/>
      <c r="LPM41" s="29"/>
      <c r="LPN41" s="30"/>
      <c r="LPO41" s="29"/>
      <c r="LPP41" s="30"/>
      <c r="LPQ41" s="29"/>
      <c r="LPR41" s="30"/>
      <c r="LPS41" s="29"/>
      <c r="LPT41" s="30"/>
      <c r="LPU41" s="29"/>
      <c r="LPV41" s="30"/>
      <c r="LPW41" s="29"/>
      <c r="LPX41" s="30"/>
      <c r="LPY41" s="29"/>
      <c r="LPZ41" s="30"/>
      <c r="LQA41" s="29"/>
      <c r="LQB41" s="30"/>
      <c r="LQC41" s="29"/>
      <c r="LQD41" s="30"/>
      <c r="LQE41" s="29"/>
      <c r="LQF41" s="30"/>
      <c r="LQG41" s="29"/>
      <c r="LQH41" s="30"/>
      <c r="LQI41" s="29"/>
      <c r="LQJ41" s="30"/>
      <c r="LQK41" s="29"/>
      <c r="LQL41" s="30"/>
      <c r="LQM41" s="29"/>
      <c r="LQN41" s="30"/>
      <c r="LQO41" s="29"/>
      <c r="LQP41" s="30"/>
      <c r="LQQ41" s="29"/>
      <c r="LQR41" s="30"/>
      <c r="LQS41" s="29"/>
      <c r="LQT41" s="30"/>
      <c r="LQU41" s="29"/>
      <c r="LQV41" s="30"/>
      <c r="LQW41" s="29"/>
      <c r="LQX41" s="30"/>
      <c r="LQY41" s="29"/>
      <c r="LQZ41" s="30"/>
      <c r="LRA41" s="29"/>
      <c r="LRB41" s="30"/>
      <c r="LRC41" s="29"/>
      <c r="LRD41" s="30"/>
      <c r="LRE41" s="29"/>
      <c r="LRF41" s="30"/>
      <c r="LRG41" s="29"/>
      <c r="LRH41" s="30"/>
      <c r="LRI41" s="29"/>
      <c r="LRJ41" s="30"/>
      <c r="LRK41" s="29"/>
      <c r="LRL41" s="30"/>
      <c r="LRM41" s="29"/>
      <c r="LRN41" s="30"/>
      <c r="LRO41" s="29"/>
      <c r="LRP41" s="30"/>
      <c r="LRQ41" s="29"/>
      <c r="LRR41" s="30"/>
      <c r="LRS41" s="29"/>
      <c r="LRT41" s="30"/>
      <c r="LRU41" s="29"/>
      <c r="LRV41" s="30"/>
      <c r="LRW41" s="29"/>
      <c r="LRX41" s="30"/>
      <c r="LRY41" s="29"/>
      <c r="LRZ41" s="30"/>
      <c r="LSA41" s="29"/>
      <c r="LSB41" s="30"/>
      <c r="LSC41" s="29"/>
      <c r="LSD41" s="30"/>
      <c r="LSE41" s="29"/>
      <c r="LSF41" s="30"/>
      <c r="LSG41" s="29"/>
      <c r="LSH41" s="30"/>
      <c r="LSI41" s="29"/>
      <c r="LSJ41" s="30"/>
      <c r="LSK41" s="29"/>
      <c r="LSL41" s="30"/>
      <c r="LSM41" s="29"/>
      <c r="LSN41" s="30"/>
      <c r="LSO41" s="29"/>
      <c r="LSP41" s="30"/>
      <c r="LSQ41" s="29"/>
      <c r="LSR41" s="30"/>
      <c r="LSS41" s="29"/>
      <c r="LST41" s="30"/>
      <c r="LSU41" s="29"/>
      <c r="LSV41" s="30"/>
      <c r="LSW41" s="29"/>
      <c r="LSX41" s="30"/>
      <c r="LSY41" s="29"/>
      <c r="LSZ41" s="30"/>
      <c r="LTA41" s="29"/>
      <c r="LTB41" s="30"/>
      <c r="LTC41" s="29"/>
      <c r="LTD41" s="30"/>
      <c r="LTE41" s="29"/>
      <c r="LTF41" s="30"/>
      <c r="LTG41" s="29"/>
      <c r="LTH41" s="30"/>
      <c r="LTI41" s="29"/>
      <c r="LTJ41" s="30"/>
      <c r="LTK41" s="29"/>
      <c r="LTL41" s="30"/>
      <c r="LTM41" s="29"/>
      <c r="LTN41" s="30"/>
      <c r="LTO41" s="29"/>
      <c r="LTP41" s="30"/>
      <c r="LTQ41" s="29"/>
      <c r="LTR41" s="30"/>
      <c r="LTS41" s="29"/>
      <c r="LTT41" s="30"/>
      <c r="LTU41" s="29"/>
      <c r="LTV41" s="30"/>
      <c r="LTW41" s="29"/>
      <c r="LTX41" s="30"/>
      <c r="LTY41" s="29"/>
      <c r="LTZ41" s="30"/>
      <c r="LUA41" s="29"/>
      <c r="LUB41" s="30"/>
      <c r="LUC41" s="29"/>
      <c r="LUD41" s="30"/>
      <c r="LUE41" s="29"/>
      <c r="LUF41" s="30"/>
      <c r="LUG41" s="29"/>
      <c r="LUH41" s="30"/>
      <c r="LUI41" s="29"/>
      <c r="LUJ41" s="30"/>
      <c r="LUK41" s="29"/>
      <c r="LUL41" s="30"/>
      <c r="LUM41" s="29"/>
      <c r="LUN41" s="30"/>
      <c r="LUO41" s="29"/>
      <c r="LUP41" s="30"/>
      <c r="LUQ41" s="29"/>
      <c r="LUR41" s="30"/>
      <c r="LUS41" s="29"/>
      <c r="LUT41" s="30"/>
      <c r="LUU41" s="29"/>
      <c r="LUV41" s="30"/>
      <c r="LUW41" s="29"/>
      <c r="LUX41" s="30"/>
      <c r="LUY41" s="29"/>
      <c r="LUZ41" s="30"/>
      <c r="LVA41" s="29"/>
      <c r="LVB41" s="30"/>
      <c r="LVC41" s="29"/>
      <c r="LVD41" s="30"/>
      <c r="LVE41" s="29"/>
      <c r="LVF41" s="30"/>
      <c r="LVG41" s="29"/>
      <c r="LVH41" s="30"/>
      <c r="LVI41" s="29"/>
      <c r="LVJ41" s="30"/>
      <c r="LVK41" s="29"/>
      <c r="LVL41" s="30"/>
      <c r="LVM41" s="29"/>
      <c r="LVN41" s="30"/>
      <c r="LVO41" s="29"/>
      <c r="LVP41" s="30"/>
      <c r="LVQ41" s="29"/>
      <c r="LVR41" s="30"/>
      <c r="LVS41" s="29"/>
      <c r="LVT41" s="30"/>
      <c r="LVU41" s="29"/>
      <c r="LVV41" s="30"/>
      <c r="LVW41" s="29"/>
      <c r="LVX41" s="30"/>
      <c r="LVY41" s="29"/>
      <c r="LVZ41" s="30"/>
      <c r="LWA41" s="29"/>
      <c r="LWB41" s="30"/>
      <c r="LWC41" s="29"/>
      <c r="LWD41" s="30"/>
      <c r="LWE41" s="29"/>
      <c r="LWF41" s="30"/>
      <c r="LWG41" s="29"/>
      <c r="LWH41" s="30"/>
      <c r="LWI41" s="29"/>
      <c r="LWJ41" s="30"/>
      <c r="LWK41" s="29"/>
      <c r="LWL41" s="30"/>
      <c r="LWM41" s="29"/>
      <c r="LWN41" s="30"/>
      <c r="LWO41" s="29"/>
      <c r="LWP41" s="30"/>
      <c r="LWQ41" s="29"/>
      <c r="LWR41" s="30"/>
      <c r="LWS41" s="29"/>
      <c r="LWT41" s="30"/>
      <c r="LWU41" s="29"/>
      <c r="LWV41" s="30"/>
      <c r="LWW41" s="29"/>
      <c r="LWX41" s="30"/>
      <c r="LWY41" s="29"/>
      <c r="LWZ41" s="30"/>
      <c r="LXA41" s="29"/>
      <c r="LXB41" s="30"/>
      <c r="LXC41" s="29"/>
      <c r="LXD41" s="30"/>
      <c r="LXE41" s="29"/>
      <c r="LXF41" s="30"/>
      <c r="LXG41" s="29"/>
      <c r="LXH41" s="30"/>
      <c r="LXI41" s="29"/>
      <c r="LXJ41" s="30"/>
      <c r="LXK41" s="29"/>
      <c r="LXL41" s="30"/>
      <c r="LXM41" s="29"/>
      <c r="LXN41" s="30"/>
      <c r="LXO41" s="29"/>
      <c r="LXP41" s="30"/>
      <c r="LXQ41" s="29"/>
      <c r="LXR41" s="30"/>
      <c r="LXS41" s="29"/>
      <c r="LXT41" s="30"/>
      <c r="LXU41" s="29"/>
      <c r="LXV41" s="30"/>
      <c r="LXW41" s="29"/>
      <c r="LXX41" s="30"/>
      <c r="LXY41" s="29"/>
      <c r="LXZ41" s="30"/>
      <c r="LYA41" s="29"/>
      <c r="LYB41" s="30"/>
      <c r="LYC41" s="29"/>
      <c r="LYD41" s="30"/>
      <c r="LYE41" s="29"/>
      <c r="LYF41" s="30"/>
      <c r="LYG41" s="29"/>
      <c r="LYH41" s="30"/>
      <c r="LYI41" s="29"/>
      <c r="LYJ41" s="30"/>
      <c r="LYK41" s="29"/>
      <c r="LYL41" s="30"/>
      <c r="LYM41" s="29"/>
      <c r="LYN41" s="30"/>
      <c r="LYO41" s="29"/>
      <c r="LYP41" s="30"/>
      <c r="LYQ41" s="29"/>
      <c r="LYR41" s="30"/>
      <c r="LYS41" s="29"/>
      <c r="LYT41" s="30"/>
      <c r="LYU41" s="29"/>
      <c r="LYV41" s="30"/>
      <c r="LYW41" s="29"/>
      <c r="LYX41" s="30"/>
      <c r="LYY41" s="29"/>
      <c r="LYZ41" s="30"/>
      <c r="LZA41" s="29"/>
      <c r="LZB41" s="30"/>
      <c r="LZC41" s="29"/>
      <c r="LZD41" s="30"/>
      <c r="LZE41" s="29"/>
      <c r="LZF41" s="30"/>
      <c r="LZG41" s="29"/>
      <c r="LZH41" s="30"/>
      <c r="LZI41" s="29"/>
      <c r="LZJ41" s="30"/>
      <c r="LZK41" s="29"/>
      <c r="LZL41" s="30"/>
      <c r="LZM41" s="29"/>
      <c r="LZN41" s="30"/>
      <c r="LZO41" s="29"/>
      <c r="LZP41" s="30"/>
      <c r="LZQ41" s="29"/>
      <c r="LZR41" s="30"/>
      <c r="LZS41" s="29"/>
      <c r="LZT41" s="30"/>
      <c r="LZU41" s="29"/>
      <c r="LZV41" s="30"/>
      <c r="LZW41" s="29"/>
      <c r="LZX41" s="30"/>
      <c r="LZY41" s="29"/>
      <c r="LZZ41" s="30"/>
      <c r="MAA41" s="29"/>
      <c r="MAB41" s="30"/>
      <c r="MAC41" s="29"/>
      <c r="MAD41" s="30"/>
      <c r="MAE41" s="29"/>
      <c r="MAF41" s="30"/>
      <c r="MAG41" s="29"/>
      <c r="MAH41" s="30"/>
      <c r="MAI41" s="29"/>
      <c r="MAJ41" s="30"/>
      <c r="MAK41" s="29"/>
      <c r="MAL41" s="30"/>
      <c r="MAM41" s="29"/>
      <c r="MAN41" s="30"/>
      <c r="MAO41" s="29"/>
      <c r="MAP41" s="30"/>
      <c r="MAQ41" s="29"/>
      <c r="MAR41" s="30"/>
      <c r="MAS41" s="29"/>
      <c r="MAT41" s="30"/>
      <c r="MAU41" s="29"/>
      <c r="MAV41" s="30"/>
      <c r="MAW41" s="29"/>
      <c r="MAX41" s="30"/>
      <c r="MAY41" s="29"/>
      <c r="MAZ41" s="30"/>
      <c r="MBA41" s="29"/>
      <c r="MBB41" s="30"/>
      <c r="MBC41" s="29"/>
      <c r="MBD41" s="30"/>
      <c r="MBE41" s="29"/>
      <c r="MBF41" s="30"/>
      <c r="MBG41" s="29"/>
      <c r="MBH41" s="30"/>
      <c r="MBI41" s="29"/>
      <c r="MBJ41" s="30"/>
      <c r="MBK41" s="29"/>
      <c r="MBL41" s="30"/>
      <c r="MBM41" s="29"/>
      <c r="MBN41" s="30"/>
      <c r="MBO41" s="29"/>
      <c r="MBP41" s="30"/>
      <c r="MBQ41" s="29"/>
      <c r="MBR41" s="30"/>
      <c r="MBS41" s="29"/>
      <c r="MBT41" s="30"/>
      <c r="MBU41" s="29"/>
      <c r="MBV41" s="30"/>
      <c r="MBW41" s="29"/>
      <c r="MBX41" s="30"/>
      <c r="MBY41" s="29"/>
      <c r="MBZ41" s="30"/>
      <c r="MCA41" s="29"/>
      <c r="MCB41" s="30"/>
      <c r="MCC41" s="29"/>
      <c r="MCD41" s="30"/>
      <c r="MCE41" s="29"/>
      <c r="MCF41" s="30"/>
      <c r="MCG41" s="29"/>
      <c r="MCH41" s="30"/>
      <c r="MCI41" s="29"/>
      <c r="MCJ41" s="30"/>
      <c r="MCK41" s="29"/>
      <c r="MCL41" s="30"/>
      <c r="MCM41" s="29"/>
      <c r="MCN41" s="30"/>
      <c r="MCO41" s="29"/>
      <c r="MCP41" s="30"/>
      <c r="MCQ41" s="29"/>
      <c r="MCR41" s="30"/>
      <c r="MCS41" s="29"/>
      <c r="MCT41" s="30"/>
      <c r="MCU41" s="29"/>
      <c r="MCV41" s="30"/>
      <c r="MCW41" s="29"/>
      <c r="MCX41" s="30"/>
      <c r="MCY41" s="29"/>
      <c r="MCZ41" s="30"/>
      <c r="MDA41" s="29"/>
      <c r="MDB41" s="30"/>
      <c r="MDC41" s="29"/>
      <c r="MDD41" s="30"/>
      <c r="MDE41" s="29"/>
      <c r="MDF41" s="30"/>
      <c r="MDG41" s="29"/>
      <c r="MDH41" s="30"/>
      <c r="MDI41" s="29"/>
      <c r="MDJ41" s="30"/>
      <c r="MDK41" s="29"/>
      <c r="MDL41" s="30"/>
      <c r="MDM41" s="29"/>
      <c r="MDN41" s="30"/>
      <c r="MDO41" s="29"/>
      <c r="MDP41" s="30"/>
      <c r="MDQ41" s="29"/>
      <c r="MDR41" s="30"/>
      <c r="MDS41" s="29"/>
      <c r="MDT41" s="30"/>
      <c r="MDU41" s="29"/>
      <c r="MDV41" s="30"/>
      <c r="MDW41" s="29"/>
      <c r="MDX41" s="30"/>
      <c r="MDY41" s="29"/>
      <c r="MDZ41" s="30"/>
      <c r="MEA41" s="29"/>
      <c r="MEB41" s="30"/>
      <c r="MEC41" s="29"/>
      <c r="MED41" s="30"/>
      <c r="MEE41" s="29"/>
      <c r="MEF41" s="30"/>
      <c r="MEG41" s="29"/>
      <c r="MEH41" s="30"/>
      <c r="MEI41" s="29"/>
      <c r="MEJ41" s="30"/>
      <c r="MEK41" s="29"/>
      <c r="MEL41" s="30"/>
      <c r="MEM41" s="29"/>
      <c r="MEN41" s="30"/>
      <c r="MEO41" s="29"/>
      <c r="MEP41" s="30"/>
      <c r="MEQ41" s="29"/>
      <c r="MER41" s="30"/>
      <c r="MES41" s="29"/>
      <c r="MET41" s="30"/>
      <c r="MEU41" s="29"/>
      <c r="MEV41" s="30"/>
      <c r="MEW41" s="29"/>
      <c r="MEX41" s="30"/>
      <c r="MEY41" s="29"/>
      <c r="MEZ41" s="30"/>
      <c r="MFA41" s="29"/>
      <c r="MFB41" s="30"/>
      <c r="MFC41" s="29"/>
      <c r="MFD41" s="30"/>
      <c r="MFE41" s="29"/>
      <c r="MFF41" s="30"/>
      <c r="MFG41" s="29"/>
      <c r="MFH41" s="30"/>
      <c r="MFI41" s="29"/>
      <c r="MFJ41" s="30"/>
      <c r="MFK41" s="29"/>
      <c r="MFL41" s="30"/>
      <c r="MFM41" s="29"/>
      <c r="MFN41" s="30"/>
      <c r="MFO41" s="29"/>
      <c r="MFP41" s="30"/>
      <c r="MFQ41" s="29"/>
      <c r="MFR41" s="30"/>
      <c r="MFS41" s="29"/>
      <c r="MFT41" s="30"/>
      <c r="MFU41" s="29"/>
      <c r="MFV41" s="30"/>
      <c r="MFW41" s="29"/>
      <c r="MFX41" s="30"/>
      <c r="MFY41" s="29"/>
      <c r="MFZ41" s="30"/>
      <c r="MGA41" s="29"/>
      <c r="MGB41" s="30"/>
      <c r="MGC41" s="29"/>
      <c r="MGD41" s="30"/>
      <c r="MGE41" s="29"/>
      <c r="MGF41" s="30"/>
      <c r="MGG41" s="29"/>
      <c r="MGH41" s="30"/>
      <c r="MGI41" s="29"/>
      <c r="MGJ41" s="30"/>
      <c r="MGK41" s="29"/>
      <c r="MGL41" s="30"/>
      <c r="MGM41" s="29"/>
      <c r="MGN41" s="30"/>
      <c r="MGO41" s="29"/>
      <c r="MGP41" s="30"/>
      <c r="MGQ41" s="29"/>
      <c r="MGR41" s="30"/>
      <c r="MGS41" s="29"/>
      <c r="MGT41" s="30"/>
      <c r="MGU41" s="29"/>
      <c r="MGV41" s="30"/>
      <c r="MGW41" s="29"/>
      <c r="MGX41" s="30"/>
      <c r="MGY41" s="29"/>
      <c r="MGZ41" s="30"/>
      <c r="MHA41" s="29"/>
      <c r="MHB41" s="30"/>
      <c r="MHC41" s="29"/>
      <c r="MHD41" s="30"/>
      <c r="MHE41" s="29"/>
      <c r="MHF41" s="30"/>
      <c r="MHG41" s="29"/>
      <c r="MHH41" s="30"/>
      <c r="MHI41" s="29"/>
      <c r="MHJ41" s="30"/>
      <c r="MHK41" s="29"/>
      <c r="MHL41" s="30"/>
      <c r="MHM41" s="29"/>
      <c r="MHN41" s="30"/>
      <c r="MHO41" s="29"/>
      <c r="MHP41" s="30"/>
      <c r="MHQ41" s="29"/>
      <c r="MHR41" s="30"/>
      <c r="MHS41" s="29"/>
      <c r="MHT41" s="30"/>
      <c r="MHU41" s="29"/>
      <c r="MHV41" s="30"/>
      <c r="MHW41" s="29"/>
      <c r="MHX41" s="30"/>
      <c r="MHY41" s="29"/>
      <c r="MHZ41" s="30"/>
      <c r="MIA41" s="29"/>
      <c r="MIB41" s="30"/>
      <c r="MIC41" s="29"/>
      <c r="MID41" s="30"/>
      <c r="MIE41" s="29"/>
      <c r="MIF41" s="30"/>
      <c r="MIG41" s="29"/>
      <c r="MIH41" s="30"/>
      <c r="MII41" s="29"/>
      <c r="MIJ41" s="30"/>
      <c r="MIK41" s="29"/>
      <c r="MIL41" s="30"/>
      <c r="MIM41" s="29"/>
      <c r="MIN41" s="30"/>
      <c r="MIO41" s="29"/>
      <c r="MIP41" s="30"/>
      <c r="MIQ41" s="29"/>
      <c r="MIR41" s="30"/>
      <c r="MIS41" s="29"/>
      <c r="MIT41" s="30"/>
      <c r="MIU41" s="29"/>
      <c r="MIV41" s="30"/>
      <c r="MIW41" s="29"/>
      <c r="MIX41" s="30"/>
      <c r="MIY41" s="29"/>
      <c r="MIZ41" s="30"/>
      <c r="MJA41" s="29"/>
      <c r="MJB41" s="30"/>
      <c r="MJC41" s="29"/>
      <c r="MJD41" s="30"/>
      <c r="MJE41" s="29"/>
      <c r="MJF41" s="30"/>
      <c r="MJG41" s="29"/>
      <c r="MJH41" s="30"/>
      <c r="MJI41" s="29"/>
      <c r="MJJ41" s="30"/>
      <c r="MJK41" s="29"/>
      <c r="MJL41" s="30"/>
      <c r="MJM41" s="29"/>
      <c r="MJN41" s="30"/>
      <c r="MJO41" s="29"/>
      <c r="MJP41" s="30"/>
      <c r="MJQ41" s="29"/>
      <c r="MJR41" s="30"/>
      <c r="MJS41" s="29"/>
      <c r="MJT41" s="30"/>
      <c r="MJU41" s="29"/>
      <c r="MJV41" s="30"/>
      <c r="MJW41" s="29"/>
      <c r="MJX41" s="30"/>
      <c r="MJY41" s="29"/>
      <c r="MJZ41" s="30"/>
      <c r="MKA41" s="29"/>
      <c r="MKB41" s="30"/>
      <c r="MKC41" s="29"/>
      <c r="MKD41" s="30"/>
      <c r="MKE41" s="29"/>
      <c r="MKF41" s="30"/>
      <c r="MKG41" s="29"/>
      <c r="MKH41" s="30"/>
      <c r="MKI41" s="29"/>
      <c r="MKJ41" s="30"/>
      <c r="MKK41" s="29"/>
      <c r="MKL41" s="30"/>
      <c r="MKM41" s="29"/>
      <c r="MKN41" s="30"/>
      <c r="MKO41" s="29"/>
      <c r="MKP41" s="30"/>
      <c r="MKQ41" s="29"/>
      <c r="MKR41" s="30"/>
      <c r="MKS41" s="29"/>
      <c r="MKT41" s="30"/>
      <c r="MKU41" s="29"/>
      <c r="MKV41" s="30"/>
      <c r="MKW41" s="29"/>
      <c r="MKX41" s="30"/>
      <c r="MKY41" s="29"/>
      <c r="MKZ41" s="30"/>
      <c r="MLA41" s="29"/>
      <c r="MLB41" s="30"/>
      <c r="MLC41" s="29"/>
      <c r="MLD41" s="30"/>
      <c r="MLE41" s="29"/>
      <c r="MLF41" s="30"/>
      <c r="MLG41" s="29"/>
      <c r="MLH41" s="30"/>
      <c r="MLI41" s="29"/>
      <c r="MLJ41" s="30"/>
      <c r="MLK41" s="29"/>
      <c r="MLL41" s="30"/>
      <c r="MLM41" s="29"/>
      <c r="MLN41" s="30"/>
      <c r="MLO41" s="29"/>
      <c r="MLP41" s="30"/>
      <c r="MLQ41" s="29"/>
      <c r="MLR41" s="30"/>
      <c r="MLS41" s="29"/>
      <c r="MLT41" s="30"/>
      <c r="MLU41" s="29"/>
      <c r="MLV41" s="30"/>
      <c r="MLW41" s="29"/>
      <c r="MLX41" s="30"/>
      <c r="MLY41" s="29"/>
      <c r="MLZ41" s="30"/>
      <c r="MMA41" s="29"/>
      <c r="MMB41" s="30"/>
      <c r="MMC41" s="29"/>
      <c r="MMD41" s="30"/>
      <c r="MME41" s="29"/>
      <c r="MMF41" s="30"/>
      <c r="MMG41" s="29"/>
      <c r="MMH41" s="30"/>
      <c r="MMI41" s="29"/>
      <c r="MMJ41" s="30"/>
      <c r="MMK41" s="29"/>
      <c r="MML41" s="30"/>
      <c r="MMM41" s="29"/>
      <c r="MMN41" s="30"/>
      <c r="MMO41" s="29"/>
      <c r="MMP41" s="30"/>
      <c r="MMQ41" s="29"/>
      <c r="MMR41" s="30"/>
      <c r="MMS41" s="29"/>
      <c r="MMT41" s="30"/>
      <c r="MMU41" s="29"/>
      <c r="MMV41" s="30"/>
      <c r="MMW41" s="29"/>
      <c r="MMX41" s="30"/>
      <c r="MMY41" s="29"/>
      <c r="MMZ41" s="30"/>
      <c r="MNA41" s="29"/>
      <c r="MNB41" s="30"/>
      <c r="MNC41" s="29"/>
      <c r="MND41" s="30"/>
      <c r="MNE41" s="29"/>
      <c r="MNF41" s="30"/>
      <c r="MNG41" s="29"/>
      <c r="MNH41" s="30"/>
      <c r="MNI41" s="29"/>
      <c r="MNJ41" s="30"/>
      <c r="MNK41" s="29"/>
      <c r="MNL41" s="30"/>
      <c r="MNM41" s="29"/>
      <c r="MNN41" s="30"/>
      <c r="MNO41" s="29"/>
      <c r="MNP41" s="30"/>
      <c r="MNQ41" s="29"/>
      <c r="MNR41" s="30"/>
      <c r="MNS41" s="29"/>
      <c r="MNT41" s="30"/>
      <c r="MNU41" s="29"/>
      <c r="MNV41" s="30"/>
      <c r="MNW41" s="29"/>
      <c r="MNX41" s="30"/>
      <c r="MNY41" s="29"/>
      <c r="MNZ41" s="30"/>
      <c r="MOA41" s="29"/>
      <c r="MOB41" s="30"/>
      <c r="MOC41" s="29"/>
      <c r="MOD41" s="30"/>
      <c r="MOE41" s="29"/>
      <c r="MOF41" s="30"/>
      <c r="MOG41" s="29"/>
      <c r="MOH41" s="30"/>
      <c r="MOI41" s="29"/>
      <c r="MOJ41" s="30"/>
      <c r="MOK41" s="29"/>
      <c r="MOL41" s="30"/>
      <c r="MOM41" s="29"/>
      <c r="MON41" s="30"/>
      <c r="MOO41" s="29"/>
      <c r="MOP41" s="30"/>
      <c r="MOQ41" s="29"/>
      <c r="MOR41" s="30"/>
      <c r="MOS41" s="29"/>
      <c r="MOT41" s="30"/>
      <c r="MOU41" s="29"/>
      <c r="MOV41" s="30"/>
      <c r="MOW41" s="29"/>
      <c r="MOX41" s="30"/>
      <c r="MOY41" s="29"/>
      <c r="MOZ41" s="30"/>
      <c r="MPA41" s="29"/>
      <c r="MPB41" s="30"/>
      <c r="MPC41" s="29"/>
      <c r="MPD41" s="30"/>
      <c r="MPE41" s="29"/>
      <c r="MPF41" s="30"/>
      <c r="MPG41" s="29"/>
      <c r="MPH41" s="30"/>
      <c r="MPI41" s="29"/>
      <c r="MPJ41" s="30"/>
      <c r="MPK41" s="29"/>
      <c r="MPL41" s="30"/>
      <c r="MPM41" s="29"/>
      <c r="MPN41" s="30"/>
      <c r="MPO41" s="29"/>
      <c r="MPP41" s="30"/>
      <c r="MPQ41" s="29"/>
      <c r="MPR41" s="30"/>
      <c r="MPS41" s="29"/>
      <c r="MPT41" s="30"/>
      <c r="MPU41" s="29"/>
      <c r="MPV41" s="30"/>
      <c r="MPW41" s="29"/>
      <c r="MPX41" s="30"/>
      <c r="MPY41" s="29"/>
      <c r="MPZ41" s="30"/>
      <c r="MQA41" s="29"/>
      <c r="MQB41" s="30"/>
      <c r="MQC41" s="29"/>
      <c r="MQD41" s="30"/>
      <c r="MQE41" s="29"/>
      <c r="MQF41" s="30"/>
      <c r="MQG41" s="29"/>
      <c r="MQH41" s="30"/>
      <c r="MQI41" s="29"/>
      <c r="MQJ41" s="30"/>
      <c r="MQK41" s="29"/>
      <c r="MQL41" s="30"/>
      <c r="MQM41" s="29"/>
      <c r="MQN41" s="30"/>
      <c r="MQO41" s="29"/>
      <c r="MQP41" s="30"/>
      <c r="MQQ41" s="29"/>
      <c r="MQR41" s="30"/>
      <c r="MQS41" s="29"/>
      <c r="MQT41" s="30"/>
      <c r="MQU41" s="29"/>
      <c r="MQV41" s="30"/>
      <c r="MQW41" s="29"/>
      <c r="MQX41" s="30"/>
      <c r="MQY41" s="29"/>
      <c r="MQZ41" s="30"/>
      <c r="MRA41" s="29"/>
      <c r="MRB41" s="30"/>
      <c r="MRC41" s="29"/>
      <c r="MRD41" s="30"/>
      <c r="MRE41" s="29"/>
      <c r="MRF41" s="30"/>
      <c r="MRG41" s="29"/>
      <c r="MRH41" s="30"/>
      <c r="MRI41" s="29"/>
      <c r="MRJ41" s="30"/>
      <c r="MRK41" s="29"/>
      <c r="MRL41" s="30"/>
      <c r="MRM41" s="29"/>
      <c r="MRN41" s="30"/>
      <c r="MRO41" s="29"/>
      <c r="MRP41" s="30"/>
      <c r="MRQ41" s="29"/>
      <c r="MRR41" s="30"/>
      <c r="MRS41" s="29"/>
      <c r="MRT41" s="30"/>
      <c r="MRU41" s="29"/>
      <c r="MRV41" s="30"/>
      <c r="MRW41" s="29"/>
      <c r="MRX41" s="30"/>
      <c r="MRY41" s="29"/>
      <c r="MRZ41" s="30"/>
      <c r="MSA41" s="29"/>
      <c r="MSB41" s="30"/>
      <c r="MSC41" s="29"/>
      <c r="MSD41" s="30"/>
      <c r="MSE41" s="29"/>
      <c r="MSF41" s="30"/>
      <c r="MSG41" s="29"/>
      <c r="MSH41" s="30"/>
      <c r="MSI41" s="29"/>
      <c r="MSJ41" s="30"/>
      <c r="MSK41" s="29"/>
      <c r="MSL41" s="30"/>
      <c r="MSM41" s="29"/>
      <c r="MSN41" s="30"/>
      <c r="MSO41" s="29"/>
      <c r="MSP41" s="30"/>
      <c r="MSQ41" s="29"/>
      <c r="MSR41" s="30"/>
      <c r="MSS41" s="29"/>
      <c r="MST41" s="30"/>
      <c r="MSU41" s="29"/>
      <c r="MSV41" s="30"/>
      <c r="MSW41" s="29"/>
      <c r="MSX41" s="30"/>
      <c r="MSY41" s="29"/>
      <c r="MSZ41" s="30"/>
      <c r="MTA41" s="29"/>
      <c r="MTB41" s="30"/>
      <c r="MTC41" s="29"/>
      <c r="MTD41" s="30"/>
      <c r="MTE41" s="29"/>
      <c r="MTF41" s="30"/>
      <c r="MTG41" s="29"/>
      <c r="MTH41" s="30"/>
      <c r="MTI41" s="29"/>
      <c r="MTJ41" s="30"/>
      <c r="MTK41" s="29"/>
      <c r="MTL41" s="30"/>
      <c r="MTM41" s="29"/>
      <c r="MTN41" s="30"/>
      <c r="MTO41" s="29"/>
      <c r="MTP41" s="30"/>
      <c r="MTQ41" s="29"/>
      <c r="MTR41" s="30"/>
      <c r="MTS41" s="29"/>
      <c r="MTT41" s="30"/>
      <c r="MTU41" s="29"/>
      <c r="MTV41" s="30"/>
      <c r="MTW41" s="29"/>
      <c r="MTX41" s="30"/>
      <c r="MTY41" s="29"/>
      <c r="MTZ41" s="30"/>
      <c r="MUA41" s="29"/>
      <c r="MUB41" s="30"/>
      <c r="MUC41" s="29"/>
      <c r="MUD41" s="30"/>
      <c r="MUE41" s="29"/>
      <c r="MUF41" s="30"/>
      <c r="MUG41" s="29"/>
      <c r="MUH41" s="30"/>
      <c r="MUI41" s="29"/>
      <c r="MUJ41" s="30"/>
      <c r="MUK41" s="29"/>
      <c r="MUL41" s="30"/>
      <c r="MUM41" s="29"/>
      <c r="MUN41" s="30"/>
      <c r="MUO41" s="29"/>
      <c r="MUP41" s="30"/>
      <c r="MUQ41" s="29"/>
      <c r="MUR41" s="30"/>
      <c r="MUS41" s="29"/>
      <c r="MUT41" s="30"/>
      <c r="MUU41" s="29"/>
      <c r="MUV41" s="30"/>
      <c r="MUW41" s="29"/>
      <c r="MUX41" s="30"/>
      <c r="MUY41" s="29"/>
      <c r="MUZ41" s="30"/>
      <c r="MVA41" s="29"/>
      <c r="MVB41" s="30"/>
      <c r="MVC41" s="29"/>
      <c r="MVD41" s="30"/>
      <c r="MVE41" s="29"/>
      <c r="MVF41" s="30"/>
      <c r="MVG41" s="29"/>
      <c r="MVH41" s="30"/>
      <c r="MVI41" s="29"/>
      <c r="MVJ41" s="30"/>
      <c r="MVK41" s="29"/>
      <c r="MVL41" s="30"/>
      <c r="MVM41" s="29"/>
      <c r="MVN41" s="30"/>
      <c r="MVO41" s="29"/>
      <c r="MVP41" s="30"/>
      <c r="MVQ41" s="29"/>
      <c r="MVR41" s="30"/>
      <c r="MVS41" s="29"/>
      <c r="MVT41" s="30"/>
      <c r="MVU41" s="29"/>
      <c r="MVV41" s="30"/>
      <c r="MVW41" s="29"/>
      <c r="MVX41" s="30"/>
      <c r="MVY41" s="29"/>
      <c r="MVZ41" s="30"/>
      <c r="MWA41" s="29"/>
      <c r="MWB41" s="30"/>
      <c r="MWC41" s="29"/>
      <c r="MWD41" s="30"/>
      <c r="MWE41" s="29"/>
      <c r="MWF41" s="30"/>
      <c r="MWG41" s="29"/>
      <c r="MWH41" s="30"/>
      <c r="MWI41" s="29"/>
      <c r="MWJ41" s="30"/>
      <c r="MWK41" s="29"/>
      <c r="MWL41" s="30"/>
      <c r="MWM41" s="29"/>
      <c r="MWN41" s="30"/>
      <c r="MWO41" s="29"/>
      <c r="MWP41" s="30"/>
      <c r="MWQ41" s="29"/>
      <c r="MWR41" s="30"/>
      <c r="MWS41" s="29"/>
      <c r="MWT41" s="30"/>
      <c r="MWU41" s="29"/>
      <c r="MWV41" s="30"/>
      <c r="MWW41" s="29"/>
      <c r="MWX41" s="30"/>
      <c r="MWY41" s="29"/>
      <c r="MWZ41" s="30"/>
      <c r="MXA41" s="29"/>
      <c r="MXB41" s="30"/>
      <c r="MXC41" s="29"/>
      <c r="MXD41" s="30"/>
      <c r="MXE41" s="29"/>
      <c r="MXF41" s="30"/>
      <c r="MXG41" s="29"/>
      <c r="MXH41" s="30"/>
      <c r="MXI41" s="29"/>
      <c r="MXJ41" s="30"/>
      <c r="MXK41" s="29"/>
      <c r="MXL41" s="30"/>
      <c r="MXM41" s="29"/>
      <c r="MXN41" s="30"/>
      <c r="MXO41" s="29"/>
      <c r="MXP41" s="30"/>
      <c r="MXQ41" s="29"/>
      <c r="MXR41" s="30"/>
      <c r="MXS41" s="29"/>
      <c r="MXT41" s="30"/>
      <c r="MXU41" s="29"/>
      <c r="MXV41" s="30"/>
      <c r="MXW41" s="29"/>
      <c r="MXX41" s="30"/>
      <c r="MXY41" s="29"/>
      <c r="MXZ41" s="30"/>
      <c r="MYA41" s="29"/>
      <c r="MYB41" s="30"/>
      <c r="MYC41" s="29"/>
      <c r="MYD41" s="30"/>
      <c r="MYE41" s="29"/>
      <c r="MYF41" s="30"/>
      <c r="MYG41" s="29"/>
      <c r="MYH41" s="30"/>
      <c r="MYI41" s="29"/>
      <c r="MYJ41" s="30"/>
      <c r="MYK41" s="29"/>
      <c r="MYL41" s="30"/>
      <c r="MYM41" s="29"/>
      <c r="MYN41" s="30"/>
      <c r="MYO41" s="29"/>
      <c r="MYP41" s="30"/>
      <c r="MYQ41" s="29"/>
      <c r="MYR41" s="30"/>
      <c r="MYS41" s="29"/>
      <c r="MYT41" s="30"/>
      <c r="MYU41" s="29"/>
      <c r="MYV41" s="30"/>
      <c r="MYW41" s="29"/>
      <c r="MYX41" s="30"/>
      <c r="MYY41" s="29"/>
      <c r="MYZ41" s="30"/>
      <c r="MZA41" s="29"/>
      <c r="MZB41" s="30"/>
      <c r="MZC41" s="29"/>
      <c r="MZD41" s="30"/>
      <c r="MZE41" s="29"/>
      <c r="MZF41" s="30"/>
      <c r="MZG41" s="29"/>
      <c r="MZH41" s="30"/>
      <c r="MZI41" s="29"/>
      <c r="MZJ41" s="30"/>
      <c r="MZK41" s="29"/>
      <c r="MZL41" s="30"/>
      <c r="MZM41" s="29"/>
      <c r="MZN41" s="30"/>
      <c r="MZO41" s="29"/>
      <c r="MZP41" s="30"/>
      <c r="MZQ41" s="29"/>
      <c r="MZR41" s="30"/>
      <c r="MZS41" s="29"/>
      <c r="MZT41" s="30"/>
      <c r="MZU41" s="29"/>
      <c r="MZV41" s="30"/>
      <c r="MZW41" s="29"/>
      <c r="MZX41" s="30"/>
      <c r="MZY41" s="29"/>
      <c r="MZZ41" s="30"/>
      <c r="NAA41" s="29"/>
      <c r="NAB41" s="30"/>
      <c r="NAC41" s="29"/>
      <c r="NAD41" s="30"/>
      <c r="NAE41" s="29"/>
      <c r="NAF41" s="30"/>
      <c r="NAG41" s="29"/>
      <c r="NAH41" s="30"/>
      <c r="NAI41" s="29"/>
      <c r="NAJ41" s="30"/>
      <c r="NAK41" s="29"/>
      <c r="NAL41" s="30"/>
      <c r="NAM41" s="29"/>
      <c r="NAN41" s="30"/>
      <c r="NAO41" s="29"/>
      <c r="NAP41" s="30"/>
      <c r="NAQ41" s="29"/>
      <c r="NAR41" s="30"/>
      <c r="NAS41" s="29"/>
      <c r="NAT41" s="30"/>
      <c r="NAU41" s="29"/>
      <c r="NAV41" s="30"/>
      <c r="NAW41" s="29"/>
      <c r="NAX41" s="30"/>
      <c r="NAY41" s="29"/>
      <c r="NAZ41" s="30"/>
      <c r="NBA41" s="29"/>
      <c r="NBB41" s="30"/>
      <c r="NBC41" s="29"/>
      <c r="NBD41" s="30"/>
      <c r="NBE41" s="29"/>
      <c r="NBF41" s="30"/>
      <c r="NBG41" s="29"/>
      <c r="NBH41" s="30"/>
      <c r="NBI41" s="29"/>
      <c r="NBJ41" s="30"/>
      <c r="NBK41" s="29"/>
      <c r="NBL41" s="30"/>
      <c r="NBM41" s="29"/>
      <c r="NBN41" s="30"/>
      <c r="NBO41" s="29"/>
      <c r="NBP41" s="30"/>
      <c r="NBQ41" s="29"/>
      <c r="NBR41" s="30"/>
      <c r="NBS41" s="29"/>
      <c r="NBT41" s="30"/>
      <c r="NBU41" s="29"/>
      <c r="NBV41" s="30"/>
      <c r="NBW41" s="29"/>
      <c r="NBX41" s="30"/>
      <c r="NBY41" s="29"/>
      <c r="NBZ41" s="30"/>
      <c r="NCA41" s="29"/>
      <c r="NCB41" s="30"/>
      <c r="NCC41" s="29"/>
      <c r="NCD41" s="30"/>
      <c r="NCE41" s="29"/>
      <c r="NCF41" s="30"/>
      <c r="NCG41" s="29"/>
      <c r="NCH41" s="30"/>
      <c r="NCI41" s="29"/>
      <c r="NCJ41" s="30"/>
      <c r="NCK41" s="29"/>
      <c r="NCL41" s="30"/>
      <c r="NCM41" s="29"/>
      <c r="NCN41" s="30"/>
      <c r="NCO41" s="29"/>
      <c r="NCP41" s="30"/>
      <c r="NCQ41" s="29"/>
      <c r="NCR41" s="30"/>
      <c r="NCS41" s="29"/>
      <c r="NCT41" s="30"/>
      <c r="NCU41" s="29"/>
      <c r="NCV41" s="30"/>
      <c r="NCW41" s="29"/>
      <c r="NCX41" s="30"/>
      <c r="NCY41" s="29"/>
      <c r="NCZ41" s="30"/>
      <c r="NDA41" s="29"/>
      <c r="NDB41" s="30"/>
      <c r="NDC41" s="29"/>
      <c r="NDD41" s="30"/>
      <c r="NDE41" s="29"/>
      <c r="NDF41" s="30"/>
      <c r="NDG41" s="29"/>
      <c r="NDH41" s="30"/>
      <c r="NDI41" s="29"/>
      <c r="NDJ41" s="30"/>
      <c r="NDK41" s="29"/>
      <c r="NDL41" s="30"/>
      <c r="NDM41" s="29"/>
      <c r="NDN41" s="30"/>
      <c r="NDO41" s="29"/>
      <c r="NDP41" s="30"/>
      <c r="NDQ41" s="29"/>
      <c r="NDR41" s="30"/>
      <c r="NDS41" s="29"/>
      <c r="NDT41" s="30"/>
      <c r="NDU41" s="29"/>
      <c r="NDV41" s="30"/>
      <c r="NDW41" s="29"/>
      <c r="NDX41" s="30"/>
      <c r="NDY41" s="29"/>
      <c r="NDZ41" s="30"/>
      <c r="NEA41" s="29"/>
      <c r="NEB41" s="30"/>
      <c r="NEC41" s="29"/>
      <c r="NED41" s="30"/>
      <c r="NEE41" s="29"/>
      <c r="NEF41" s="30"/>
      <c r="NEG41" s="29"/>
      <c r="NEH41" s="30"/>
      <c r="NEI41" s="29"/>
      <c r="NEJ41" s="30"/>
      <c r="NEK41" s="29"/>
      <c r="NEL41" s="30"/>
      <c r="NEM41" s="29"/>
      <c r="NEN41" s="30"/>
      <c r="NEO41" s="29"/>
      <c r="NEP41" s="30"/>
      <c r="NEQ41" s="29"/>
      <c r="NER41" s="30"/>
      <c r="NES41" s="29"/>
      <c r="NET41" s="30"/>
      <c r="NEU41" s="29"/>
      <c r="NEV41" s="30"/>
      <c r="NEW41" s="29"/>
      <c r="NEX41" s="30"/>
      <c r="NEY41" s="29"/>
      <c r="NEZ41" s="30"/>
      <c r="NFA41" s="29"/>
      <c r="NFB41" s="30"/>
      <c r="NFC41" s="29"/>
      <c r="NFD41" s="30"/>
      <c r="NFE41" s="29"/>
      <c r="NFF41" s="30"/>
      <c r="NFG41" s="29"/>
      <c r="NFH41" s="30"/>
      <c r="NFI41" s="29"/>
      <c r="NFJ41" s="30"/>
      <c r="NFK41" s="29"/>
      <c r="NFL41" s="30"/>
      <c r="NFM41" s="29"/>
      <c r="NFN41" s="30"/>
      <c r="NFO41" s="29"/>
      <c r="NFP41" s="30"/>
      <c r="NFQ41" s="29"/>
      <c r="NFR41" s="30"/>
      <c r="NFS41" s="29"/>
      <c r="NFT41" s="30"/>
      <c r="NFU41" s="29"/>
      <c r="NFV41" s="30"/>
      <c r="NFW41" s="29"/>
      <c r="NFX41" s="30"/>
      <c r="NFY41" s="29"/>
      <c r="NFZ41" s="30"/>
      <c r="NGA41" s="29"/>
      <c r="NGB41" s="30"/>
      <c r="NGC41" s="29"/>
      <c r="NGD41" s="30"/>
      <c r="NGE41" s="29"/>
      <c r="NGF41" s="30"/>
      <c r="NGG41" s="29"/>
      <c r="NGH41" s="30"/>
      <c r="NGI41" s="29"/>
      <c r="NGJ41" s="30"/>
      <c r="NGK41" s="29"/>
      <c r="NGL41" s="30"/>
      <c r="NGM41" s="29"/>
      <c r="NGN41" s="30"/>
      <c r="NGO41" s="29"/>
      <c r="NGP41" s="30"/>
      <c r="NGQ41" s="29"/>
      <c r="NGR41" s="30"/>
      <c r="NGS41" s="29"/>
      <c r="NGT41" s="30"/>
      <c r="NGU41" s="29"/>
      <c r="NGV41" s="30"/>
      <c r="NGW41" s="29"/>
      <c r="NGX41" s="30"/>
      <c r="NGY41" s="29"/>
      <c r="NGZ41" s="30"/>
      <c r="NHA41" s="29"/>
      <c r="NHB41" s="30"/>
      <c r="NHC41" s="29"/>
      <c r="NHD41" s="30"/>
      <c r="NHE41" s="29"/>
      <c r="NHF41" s="30"/>
      <c r="NHG41" s="29"/>
      <c r="NHH41" s="30"/>
      <c r="NHI41" s="29"/>
      <c r="NHJ41" s="30"/>
      <c r="NHK41" s="29"/>
      <c r="NHL41" s="30"/>
      <c r="NHM41" s="29"/>
      <c r="NHN41" s="30"/>
      <c r="NHO41" s="29"/>
      <c r="NHP41" s="30"/>
      <c r="NHQ41" s="29"/>
      <c r="NHR41" s="30"/>
      <c r="NHS41" s="29"/>
      <c r="NHT41" s="30"/>
      <c r="NHU41" s="29"/>
      <c r="NHV41" s="30"/>
      <c r="NHW41" s="29"/>
      <c r="NHX41" s="30"/>
      <c r="NHY41" s="29"/>
      <c r="NHZ41" s="30"/>
      <c r="NIA41" s="29"/>
      <c r="NIB41" s="30"/>
      <c r="NIC41" s="29"/>
      <c r="NID41" s="30"/>
      <c r="NIE41" s="29"/>
      <c r="NIF41" s="30"/>
      <c r="NIG41" s="29"/>
      <c r="NIH41" s="30"/>
      <c r="NII41" s="29"/>
      <c r="NIJ41" s="30"/>
      <c r="NIK41" s="29"/>
      <c r="NIL41" s="30"/>
      <c r="NIM41" s="29"/>
      <c r="NIN41" s="30"/>
      <c r="NIO41" s="29"/>
      <c r="NIP41" s="30"/>
      <c r="NIQ41" s="29"/>
      <c r="NIR41" s="30"/>
      <c r="NIS41" s="29"/>
      <c r="NIT41" s="30"/>
      <c r="NIU41" s="29"/>
      <c r="NIV41" s="30"/>
      <c r="NIW41" s="29"/>
      <c r="NIX41" s="30"/>
      <c r="NIY41" s="29"/>
      <c r="NIZ41" s="30"/>
      <c r="NJA41" s="29"/>
      <c r="NJB41" s="30"/>
      <c r="NJC41" s="29"/>
      <c r="NJD41" s="30"/>
      <c r="NJE41" s="29"/>
      <c r="NJF41" s="30"/>
      <c r="NJG41" s="29"/>
      <c r="NJH41" s="30"/>
      <c r="NJI41" s="29"/>
      <c r="NJJ41" s="30"/>
      <c r="NJK41" s="29"/>
      <c r="NJL41" s="30"/>
      <c r="NJM41" s="29"/>
      <c r="NJN41" s="30"/>
      <c r="NJO41" s="29"/>
      <c r="NJP41" s="30"/>
      <c r="NJQ41" s="29"/>
      <c r="NJR41" s="30"/>
      <c r="NJS41" s="29"/>
      <c r="NJT41" s="30"/>
      <c r="NJU41" s="29"/>
      <c r="NJV41" s="30"/>
      <c r="NJW41" s="29"/>
      <c r="NJX41" s="30"/>
      <c r="NJY41" s="29"/>
      <c r="NJZ41" s="30"/>
      <c r="NKA41" s="29"/>
      <c r="NKB41" s="30"/>
      <c r="NKC41" s="29"/>
      <c r="NKD41" s="30"/>
      <c r="NKE41" s="29"/>
      <c r="NKF41" s="30"/>
      <c r="NKG41" s="29"/>
      <c r="NKH41" s="30"/>
      <c r="NKI41" s="29"/>
      <c r="NKJ41" s="30"/>
      <c r="NKK41" s="29"/>
      <c r="NKL41" s="30"/>
      <c r="NKM41" s="29"/>
      <c r="NKN41" s="30"/>
      <c r="NKO41" s="29"/>
      <c r="NKP41" s="30"/>
      <c r="NKQ41" s="29"/>
      <c r="NKR41" s="30"/>
      <c r="NKS41" s="29"/>
      <c r="NKT41" s="30"/>
      <c r="NKU41" s="29"/>
      <c r="NKV41" s="30"/>
      <c r="NKW41" s="29"/>
      <c r="NKX41" s="30"/>
      <c r="NKY41" s="29"/>
      <c r="NKZ41" s="30"/>
      <c r="NLA41" s="29"/>
      <c r="NLB41" s="30"/>
      <c r="NLC41" s="29"/>
      <c r="NLD41" s="30"/>
      <c r="NLE41" s="29"/>
      <c r="NLF41" s="30"/>
      <c r="NLG41" s="29"/>
      <c r="NLH41" s="30"/>
      <c r="NLI41" s="29"/>
      <c r="NLJ41" s="30"/>
      <c r="NLK41" s="29"/>
      <c r="NLL41" s="30"/>
      <c r="NLM41" s="29"/>
      <c r="NLN41" s="30"/>
      <c r="NLO41" s="29"/>
      <c r="NLP41" s="30"/>
      <c r="NLQ41" s="29"/>
      <c r="NLR41" s="30"/>
      <c r="NLS41" s="29"/>
      <c r="NLT41" s="30"/>
      <c r="NLU41" s="29"/>
      <c r="NLV41" s="30"/>
      <c r="NLW41" s="29"/>
      <c r="NLX41" s="30"/>
      <c r="NLY41" s="29"/>
      <c r="NLZ41" s="30"/>
      <c r="NMA41" s="29"/>
      <c r="NMB41" s="30"/>
      <c r="NMC41" s="29"/>
      <c r="NMD41" s="30"/>
      <c r="NME41" s="29"/>
      <c r="NMF41" s="30"/>
      <c r="NMG41" s="29"/>
      <c r="NMH41" s="30"/>
      <c r="NMI41" s="29"/>
      <c r="NMJ41" s="30"/>
      <c r="NMK41" s="29"/>
      <c r="NML41" s="30"/>
      <c r="NMM41" s="29"/>
      <c r="NMN41" s="30"/>
      <c r="NMO41" s="29"/>
      <c r="NMP41" s="30"/>
      <c r="NMQ41" s="29"/>
      <c r="NMR41" s="30"/>
      <c r="NMS41" s="29"/>
      <c r="NMT41" s="30"/>
      <c r="NMU41" s="29"/>
      <c r="NMV41" s="30"/>
      <c r="NMW41" s="29"/>
      <c r="NMX41" s="30"/>
      <c r="NMY41" s="29"/>
      <c r="NMZ41" s="30"/>
      <c r="NNA41" s="29"/>
      <c r="NNB41" s="30"/>
      <c r="NNC41" s="29"/>
      <c r="NND41" s="30"/>
      <c r="NNE41" s="29"/>
      <c r="NNF41" s="30"/>
      <c r="NNG41" s="29"/>
      <c r="NNH41" s="30"/>
      <c r="NNI41" s="29"/>
      <c r="NNJ41" s="30"/>
      <c r="NNK41" s="29"/>
      <c r="NNL41" s="30"/>
      <c r="NNM41" s="29"/>
      <c r="NNN41" s="30"/>
      <c r="NNO41" s="29"/>
      <c r="NNP41" s="30"/>
      <c r="NNQ41" s="29"/>
      <c r="NNR41" s="30"/>
      <c r="NNS41" s="29"/>
      <c r="NNT41" s="30"/>
      <c r="NNU41" s="29"/>
      <c r="NNV41" s="30"/>
      <c r="NNW41" s="29"/>
      <c r="NNX41" s="30"/>
      <c r="NNY41" s="29"/>
      <c r="NNZ41" s="30"/>
      <c r="NOA41" s="29"/>
      <c r="NOB41" s="30"/>
      <c r="NOC41" s="29"/>
      <c r="NOD41" s="30"/>
      <c r="NOE41" s="29"/>
      <c r="NOF41" s="30"/>
      <c r="NOG41" s="29"/>
      <c r="NOH41" s="30"/>
      <c r="NOI41" s="29"/>
      <c r="NOJ41" s="30"/>
      <c r="NOK41" s="29"/>
      <c r="NOL41" s="30"/>
      <c r="NOM41" s="29"/>
      <c r="NON41" s="30"/>
      <c r="NOO41" s="29"/>
      <c r="NOP41" s="30"/>
      <c r="NOQ41" s="29"/>
      <c r="NOR41" s="30"/>
      <c r="NOS41" s="29"/>
      <c r="NOT41" s="30"/>
      <c r="NOU41" s="29"/>
      <c r="NOV41" s="30"/>
      <c r="NOW41" s="29"/>
      <c r="NOX41" s="30"/>
      <c r="NOY41" s="29"/>
      <c r="NOZ41" s="30"/>
      <c r="NPA41" s="29"/>
      <c r="NPB41" s="30"/>
      <c r="NPC41" s="29"/>
      <c r="NPD41" s="30"/>
      <c r="NPE41" s="29"/>
      <c r="NPF41" s="30"/>
      <c r="NPG41" s="29"/>
      <c r="NPH41" s="30"/>
      <c r="NPI41" s="29"/>
      <c r="NPJ41" s="30"/>
      <c r="NPK41" s="29"/>
      <c r="NPL41" s="30"/>
      <c r="NPM41" s="29"/>
      <c r="NPN41" s="30"/>
      <c r="NPO41" s="29"/>
      <c r="NPP41" s="30"/>
      <c r="NPQ41" s="29"/>
      <c r="NPR41" s="30"/>
      <c r="NPS41" s="29"/>
      <c r="NPT41" s="30"/>
      <c r="NPU41" s="29"/>
      <c r="NPV41" s="30"/>
      <c r="NPW41" s="29"/>
      <c r="NPX41" s="30"/>
      <c r="NPY41" s="29"/>
      <c r="NPZ41" s="30"/>
      <c r="NQA41" s="29"/>
      <c r="NQB41" s="30"/>
      <c r="NQC41" s="29"/>
      <c r="NQD41" s="30"/>
      <c r="NQE41" s="29"/>
      <c r="NQF41" s="30"/>
      <c r="NQG41" s="29"/>
      <c r="NQH41" s="30"/>
      <c r="NQI41" s="29"/>
      <c r="NQJ41" s="30"/>
      <c r="NQK41" s="29"/>
      <c r="NQL41" s="30"/>
      <c r="NQM41" s="29"/>
      <c r="NQN41" s="30"/>
      <c r="NQO41" s="29"/>
      <c r="NQP41" s="30"/>
      <c r="NQQ41" s="29"/>
      <c r="NQR41" s="30"/>
      <c r="NQS41" s="29"/>
      <c r="NQT41" s="30"/>
      <c r="NQU41" s="29"/>
      <c r="NQV41" s="30"/>
      <c r="NQW41" s="29"/>
      <c r="NQX41" s="30"/>
      <c r="NQY41" s="29"/>
      <c r="NQZ41" s="30"/>
      <c r="NRA41" s="29"/>
      <c r="NRB41" s="30"/>
      <c r="NRC41" s="29"/>
      <c r="NRD41" s="30"/>
      <c r="NRE41" s="29"/>
      <c r="NRF41" s="30"/>
      <c r="NRG41" s="29"/>
      <c r="NRH41" s="30"/>
      <c r="NRI41" s="29"/>
      <c r="NRJ41" s="30"/>
      <c r="NRK41" s="29"/>
      <c r="NRL41" s="30"/>
      <c r="NRM41" s="29"/>
      <c r="NRN41" s="30"/>
      <c r="NRO41" s="29"/>
      <c r="NRP41" s="30"/>
      <c r="NRQ41" s="29"/>
      <c r="NRR41" s="30"/>
      <c r="NRS41" s="29"/>
      <c r="NRT41" s="30"/>
      <c r="NRU41" s="29"/>
      <c r="NRV41" s="30"/>
      <c r="NRW41" s="29"/>
      <c r="NRX41" s="30"/>
      <c r="NRY41" s="29"/>
      <c r="NRZ41" s="30"/>
      <c r="NSA41" s="29"/>
      <c r="NSB41" s="30"/>
      <c r="NSC41" s="29"/>
      <c r="NSD41" s="30"/>
      <c r="NSE41" s="29"/>
      <c r="NSF41" s="30"/>
      <c r="NSG41" s="29"/>
      <c r="NSH41" s="30"/>
      <c r="NSI41" s="29"/>
      <c r="NSJ41" s="30"/>
      <c r="NSK41" s="29"/>
      <c r="NSL41" s="30"/>
      <c r="NSM41" s="29"/>
      <c r="NSN41" s="30"/>
      <c r="NSO41" s="29"/>
      <c r="NSP41" s="30"/>
      <c r="NSQ41" s="29"/>
      <c r="NSR41" s="30"/>
      <c r="NSS41" s="29"/>
      <c r="NST41" s="30"/>
      <c r="NSU41" s="29"/>
      <c r="NSV41" s="30"/>
      <c r="NSW41" s="29"/>
      <c r="NSX41" s="30"/>
      <c r="NSY41" s="29"/>
      <c r="NSZ41" s="30"/>
      <c r="NTA41" s="29"/>
      <c r="NTB41" s="30"/>
      <c r="NTC41" s="29"/>
      <c r="NTD41" s="30"/>
      <c r="NTE41" s="29"/>
      <c r="NTF41" s="30"/>
      <c r="NTG41" s="29"/>
      <c r="NTH41" s="30"/>
      <c r="NTI41" s="29"/>
      <c r="NTJ41" s="30"/>
      <c r="NTK41" s="29"/>
      <c r="NTL41" s="30"/>
      <c r="NTM41" s="29"/>
      <c r="NTN41" s="30"/>
      <c r="NTO41" s="29"/>
      <c r="NTP41" s="30"/>
      <c r="NTQ41" s="29"/>
      <c r="NTR41" s="30"/>
      <c r="NTS41" s="29"/>
      <c r="NTT41" s="30"/>
      <c r="NTU41" s="29"/>
      <c r="NTV41" s="30"/>
      <c r="NTW41" s="29"/>
      <c r="NTX41" s="30"/>
      <c r="NTY41" s="29"/>
      <c r="NTZ41" s="30"/>
      <c r="NUA41" s="29"/>
      <c r="NUB41" s="30"/>
      <c r="NUC41" s="29"/>
      <c r="NUD41" s="30"/>
      <c r="NUE41" s="29"/>
      <c r="NUF41" s="30"/>
      <c r="NUG41" s="29"/>
      <c r="NUH41" s="30"/>
      <c r="NUI41" s="29"/>
      <c r="NUJ41" s="30"/>
      <c r="NUK41" s="29"/>
      <c r="NUL41" s="30"/>
      <c r="NUM41" s="29"/>
      <c r="NUN41" s="30"/>
      <c r="NUO41" s="29"/>
      <c r="NUP41" s="30"/>
      <c r="NUQ41" s="29"/>
      <c r="NUR41" s="30"/>
      <c r="NUS41" s="29"/>
      <c r="NUT41" s="30"/>
      <c r="NUU41" s="29"/>
      <c r="NUV41" s="30"/>
      <c r="NUW41" s="29"/>
      <c r="NUX41" s="30"/>
      <c r="NUY41" s="29"/>
      <c r="NUZ41" s="30"/>
      <c r="NVA41" s="29"/>
      <c r="NVB41" s="30"/>
      <c r="NVC41" s="29"/>
      <c r="NVD41" s="30"/>
      <c r="NVE41" s="29"/>
      <c r="NVF41" s="30"/>
      <c r="NVG41" s="29"/>
      <c r="NVH41" s="30"/>
      <c r="NVI41" s="29"/>
      <c r="NVJ41" s="30"/>
      <c r="NVK41" s="29"/>
      <c r="NVL41" s="30"/>
      <c r="NVM41" s="29"/>
      <c r="NVN41" s="30"/>
      <c r="NVO41" s="29"/>
      <c r="NVP41" s="30"/>
      <c r="NVQ41" s="29"/>
      <c r="NVR41" s="30"/>
      <c r="NVS41" s="29"/>
      <c r="NVT41" s="30"/>
      <c r="NVU41" s="29"/>
      <c r="NVV41" s="30"/>
      <c r="NVW41" s="29"/>
      <c r="NVX41" s="30"/>
      <c r="NVY41" s="29"/>
      <c r="NVZ41" s="30"/>
      <c r="NWA41" s="29"/>
      <c r="NWB41" s="30"/>
      <c r="NWC41" s="29"/>
      <c r="NWD41" s="30"/>
      <c r="NWE41" s="29"/>
      <c r="NWF41" s="30"/>
      <c r="NWG41" s="29"/>
      <c r="NWH41" s="30"/>
      <c r="NWI41" s="29"/>
      <c r="NWJ41" s="30"/>
      <c r="NWK41" s="29"/>
      <c r="NWL41" s="30"/>
      <c r="NWM41" s="29"/>
      <c r="NWN41" s="30"/>
      <c r="NWO41" s="29"/>
      <c r="NWP41" s="30"/>
      <c r="NWQ41" s="29"/>
      <c r="NWR41" s="30"/>
      <c r="NWS41" s="29"/>
      <c r="NWT41" s="30"/>
      <c r="NWU41" s="29"/>
      <c r="NWV41" s="30"/>
      <c r="NWW41" s="29"/>
      <c r="NWX41" s="30"/>
      <c r="NWY41" s="29"/>
      <c r="NWZ41" s="30"/>
      <c r="NXA41" s="29"/>
      <c r="NXB41" s="30"/>
      <c r="NXC41" s="29"/>
      <c r="NXD41" s="30"/>
      <c r="NXE41" s="29"/>
      <c r="NXF41" s="30"/>
      <c r="NXG41" s="29"/>
      <c r="NXH41" s="30"/>
      <c r="NXI41" s="29"/>
      <c r="NXJ41" s="30"/>
      <c r="NXK41" s="29"/>
      <c r="NXL41" s="30"/>
      <c r="NXM41" s="29"/>
      <c r="NXN41" s="30"/>
      <c r="NXO41" s="29"/>
      <c r="NXP41" s="30"/>
      <c r="NXQ41" s="29"/>
      <c r="NXR41" s="30"/>
      <c r="NXS41" s="29"/>
      <c r="NXT41" s="30"/>
      <c r="NXU41" s="29"/>
      <c r="NXV41" s="30"/>
      <c r="NXW41" s="29"/>
      <c r="NXX41" s="30"/>
      <c r="NXY41" s="29"/>
      <c r="NXZ41" s="30"/>
      <c r="NYA41" s="29"/>
      <c r="NYB41" s="30"/>
      <c r="NYC41" s="29"/>
      <c r="NYD41" s="30"/>
      <c r="NYE41" s="29"/>
      <c r="NYF41" s="30"/>
      <c r="NYG41" s="29"/>
      <c r="NYH41" s="30"/>
      <c r="NYI41" s="29"/>
      <c r="NYJ41" s="30"/>
      <c r="NYK41" s="29"/>
      <c r="NYL41" s="30"/>
      <c r="NYM41" s="29"/>
      <c r="NYN41" s="30"/>
      <c r="NYO41" s="29"/>
      <c r="NYP41" s="30"/>
      <c r="NYQ41" s="29"/>
      <c r="NYR41" s="30"/>
      <c r="NYS41" s="29"/>
      <c r="NYT41" s="30"/>
      <c r="NYU41" s="29"/>
      <c r="NYV41" s="30"/>
      <c r="NYW41" s="29"/>
      <c r="NYX41" s="30"/>
      <c r="NYY41" s="29"/>
      <c r="NYZ41" s="30"/>
      <c r="NZA41" s="29"/>
      <c r="NZB41" s="30"/>
      <c r="NZC41" s="29"/>
      <c r="NZD41" s="30"/>
      <c r="NZE41" s="29"/>
      <c r="NZF41" s="30"/>
      <c r="NZG41" s="29"/>
      <c r="NZH41" s="30"/>
      <c r="NZI41" s="29"/>
      <c r="NZJ41" s="30"/>
      <c r="NZK41" s="29"/>
      <c r="NZL41" s="30"/>
      <c r="NZM41" s="29"/>
      <c r="NZN41" s="30"/>
      <c r="NZO41" s="29"/>
      <c r="NZP41" s="30"/>
      <c r="NZQ41" s="29"/>
      <c r="NZR41" s="30"/>
      <c r="NZS41" s="29"/>
      <c r="NZT41" s="30"/>
      <c r="NZU41" s="29"/>
      <c r="NZV41" s="30"/>
      <c r="NZW41" s="29"/>
      <c r="NZX41" s="30"/>
      <c r="NZY41" s="29"/>
      <c r="NZZ41" s="30"/>
      <c r="OAA41" s="29"/>
      <c r="OAB41" s="30"/>
      <c r="OAC41" s="29"/>
      <c r="OAD41" s="30"/>
      <c r="OAE41" s="29"/>
      <c r="OAF41" s="30"/>
      <c r="OAG41" s="29"/>
      <c r="OAH41" s="30"/>
      <c r="OAI41" s="29"/>
      <c r="OAJ41" s="30"/>
      <c r="OAK41" s="29"/>
      <c r="OAL41" s="30"/>
      <c r="OAM41" s="29"/>
      <c r="OAN41" s="30"/>
      <c r="OAO41" s="29"/>
      <c r="OAP41" s="30"/>
      <c r="OAQ41" s="29"/>
      <c r="OAR41" s="30"/>
      <c r="OAS41" s="29"/>
      <c r="OAT41" s="30"/>
      <c r="OAU41" s="29"/>
      <c r="OAV41" s="30"/>
      <c r="OAW41" s="29"/>
      <c r="OAX41" s="30"/>
      <c r="OAY41" s="29"/>
      <c r="OAZ41" s="30"/>
      <c r="OBA41" s="29"/>
      <c r="OBB41" s="30"/>
      <c r="OBC41" s="29"/>
      <c r="OBD41" s="30"/>
      <c r="OBE41" s="29"/>
      <c r="OBF41" s="30"/>
      <c r="OBG41" s="29"/>
      <c r="OBH41" s="30"/>
      <c r="OBI41" s="29"/>
      <c r="OBJ41" s="30"/>
      <c r="OBK41" s="29"/>
      <c r="OBL41" s="30"/>
      <c r="OBM41" s="29"/>
      <c r="OBN41" s="30"/>
      <c r="OBO41" s="29"/>
      <c r="OBP41" s="30"/>
      <c r="OBQ41" s="29"/>
      <c r="OBR41" s="30"/>
      <c r="OBS41" s="29"/>
      <c r="OBT41" s="30"/>
      <c r="OBU41" s="29"/>
      <c r="OBV41" s="30"/>
      <c r="OBW41" s="29"/>
      <c r="OBX41" s="30"/>
      <c r="OBY41" s="29"/>
      <c r="OBZ41" s="30"/>
      <c r="OCA41" s="29"/>
      <c r="OCB41" s="30"/>
      <c r="OCC41" s="29"/>
      <c r="OCD41" s="30"/>
      <c r="OCE41" s="29"/>
      <c r="OCF41" s="30"/>
      <c r="OCG41" s="29"/>
      <c r="OCH41" s="30"/>
      <c r="OCI41" s="29"/>
      <c r="OCJ41" s="30"/>
      <c r="OCK41" s="29"/>
      <c r="OCL41" s="30"/>
      <c r="OCM41" s="29"/>
      <c r="OCN41" s="30"/>
      <c r="OCO41" s="29"/>
      <c r="OCP41" s="30"/>
      <c r="OCQ41" s="29"/>
      <c r="OCR41" s="30"/>
      <c r="OCS41" s="29"/>
      <c r="OCT41" s="30"/>
      <c r="OCU41" s="29"/>
      <c r="OCV41" s="30"/>
      <c r="OCW41" s="29"/>
      <c r="OCX41" s="30"/>
      <c r="OCY41" s="29"/>
      <c r="OCZ41" s="30"/>
      <c r="ODA41" s="29"/>
      <c r="ODB41" s="30"/>
      <c r="ODC41" s="29"/>
      <c r="ODD41" s="30"/>
      <c r="ODE41" s="29"/>
      <c r="ODF41" s="30"/>
      <c r="ODG41" s="29"/>
      <c r="ODH41" s="30"/>
      <c r="ODI41" s="29"/>
      <c r="ODJ41" s="30"/>
      <c r="ODK41" s="29"/>
      <c r="ODL41" s="30"/>
      <c r="ODM41" s="29"/>
      <c r="ODN41" s="30"/>
      <c r="ODO41" s="29"/>
      <c r="ODP41" s="30"/>
      <c r="ODQ41" s="29"/>
      <c r="ODR41" s="30"/>
      <c r="ODS41" s="29"/>
      <c r="ODT41" s="30"/>
      <c r="ODU41" s="29"/>
      <c r="ODV41" s="30"/>
      <c r="ODW41" s="29"/>
      <c r="ODX41" s="30"/>
      <c r="ODY41" s="29"/>
      <c r="ODZ41" s="30"/>
      <c r="OEA41" s="29"/>
      <c r="OEB41" s="30"/>
      <c r="OEC41" s="29"/>
      <c r="OED41" s="30"/>
      <c r="OEE41" s="29"/>
      <c r="OEF41" s="30"/>
      <c r="OEG41" s="29"/>
      <c r="OEH41" s="30"/>
      <c r="OEI41" s="29"/>
      <c r="OEJ41" s="30"/>
      <c r="OEK41" s="29"/>
      <c r="OEL41" s="30"/>
      <c r="OEM41" s="29"/>
      <c r="OEN41" s="30"/>
      <c r="OEO41" s="29"/>
      <c r="OEP41" s="30"/>
      <c r="OEQ41" s="29"/>
      <c r="OER41" s="30"/>
      <c r="OES41" s="29"/>
      <c r="OET41" s="30"/>
      <c r="OEU41" s="29"/>
      <c r="OEV41" s="30"/>
      <c r="OEW41" s="29"/>
      <c r="OEX41" s="30"/>
      <c r="OEY41" s="29"/>
      <c r="OEZ41" s="30"/>
      <c r="OFA41" s="29"/>
      <c r="OFB41" s="30"/>
      <c r="OFC41" s="29"/>
      <c r="OFD41" s="30"/>
      <c r="OFE41" s="29"/>
      <c r="OFF41" s="30"/>
      <c r="OFG41" s="29"/>
      <c r="OFH41" s="30"/>
      <c r="OFI41" s="29"/>
      <c r="OFJ41" s="30"/>
      <c r="OFK41" s="29"/>
      <c r="OFL41" s="30"/>
      <c r="OFM41" s="29"/>
      <c r="OFN41" s="30"/>
      <c r="OFO41" s="29"/>
      <c r="OFP41" s="30"/>
      <c r="OFQ41" s="29"/>
      <c r="OFR41" s="30"/>
      <c r="OFS41" s="29"/>
      <c r="OFT41" s="30"/>
      <c r="OFU41" s="29"/>
      <c r="OFV41" s="30"/>
      <c r="OFW41" s="29"/>
      <c r="OFX41" s="30"/>
      <c r="OFY41" s="29"/>
      <c r="OFZ41" s="30"/>
      <c r="OGA41" s="29"/>
      <c r="OGB41" s="30"/>
      <c r="OGC41" s="29"/>
      <c r="OGD41" s="30"/>
      <c r="OGE41" s="29"/>
      <c r="OGF41" s="30"/>
      <c r="OGG41" s="29"/>
      <c r="OGH41" s="30"/>
      <c r="OGI41" s="29"/>
      <c r="OGJ41" s="30"/>
      <c r="OGK41" s="29"/>
      <c r="OGL41" s="30"/>
      <c r="OGM41" s="29"/>
      <c r="OGN41" s="30"/>
      <c r="OGO41" s="29"/>
      <c r="OGP41" s="30"/>
      <c r="OGQ41" s="29"/>
      <c r="OGR41" s="30"/>
      <c r="OGS41" s="29"/>
      <c r="OGT41" s="30"/>
      <c r="OGU41" s="29"/>
      <c r="OGV41" s="30"/>
      <c r="OGW41" s="29"/>
      <c r="OGX41" s="30"/>
      <c r="OGY41" s="29"/>
      <c r="OGZ41" s="30"/>
      <c r="OHA41" s="29"/>
      <c r="OHB41" s="30"/>
      <c r="OHC41" s="29"/>
      <c r="OHD41" s="30"/>
      <c r="OHE41" s="29"/>
      <c r="OHF41" s="30"/>
      <c r="OHG41" s="29"/>
      <c r="OHH41" s="30"/>
      <c r="OHI41" s="29"/>
      <c r="OHJ41" s="30"/>
      <c r="OHK41" s="29"/>
      <c r="OHL41" s="30"/>
      <c r="OHM41" s="29"/>
      <c r="OHN41" s="30"/>
      <c r="OHO41" s="29"/>
      <c r="OHP41" s="30"/>
      <c r="OHQ41" s="29"/>
      <c r="OHR41" s="30"/>
      <c r="OHS41" s="29"/>
      <c r="OHT41" s="30"/>
      <c r="OHU41" s="29"/>
      <c r="OHV41" s="30"/>
      <c r="OHW41" s="29"/>
      <c r="OHX41" s="30"/>
      <c r="OHY41" s="29"/>
      <c r="OHZ41" s="30"/>
      <c r="OIA41" s="29"/>
      <c r="OIB41" s="30"/>
      <c r="OIC41" s="29"/>
      <c r="OID41" s="30"/>
      <c r="OIE41" s="29"/>
      <c r="OIF41" s="30"/>
      <c r="OIG41" s="29"/>
      <c r="OIH41" s="30"/>
      <c r="OII41" s="29"/>
      <c r="OIJ41" s="30"/>
      <c r="OIK41" s="29"/>
      <c r="OIL41" s="30"/>
      <c r="OIM41" s="29"/>
      <c r="OIN41" s="30"/>
      <c r="OIO41" s="29"/>
      <c r="OIP41" s="30"/>
      <c r="OIQ41" s="29"/>
      <c r="OIR41" s="30"/>
      <c r="OIS41" s="29"/>
      <c r="OIT41" s="30"/>
      <c r="OIU41" s="29"/>
      <c r="OIV41" s="30"/>
      <c r="OIW41" s="29"/>
      <c r="OIX41" s="30"/>
      <c r="OIY41" s="29"/>
      <c r="OIZ41" s="30"/>
      <c r="OJA41" s="29"/>
      <c r="OJB41" s="30"/>
      <c r="OJC41" s="29"/>
      <c r="OJD41" s="30"/>
      <c r="OJE41" s="29"/>
      <c r="OJF41" s="30"/>
      <c r="OJG41" s="29"/>
      <c r="OJH41" s="30"/>
      <c r="OJI41" s="29"/>
      <c r="OJJ41" s="30"/>
      <c r="OJK41" s="29"/>
      <c r="OJL41" s="30"/>
      <c r="OJM41" s="29"/>
      <c r="OJN41" s="30"/>
      <c r="OJO41" s="29"/>
      <c r="OJP41" s="30"/>
      <c r="OJQ41" s="29"/>
      <c r="OJR41" s="30"/>
      <c r="OJS41" s="29"/>
      <c r="OJT41" s="30"/>
      <c r="OJU41" s="29"/>
      <c r="OJV41" s="30"/>
      <c r="OJW41" s="29"/>
      <c r="OJX41" s="30"/>
      <c r="OJY41" s="29"/>
      <c r="OJZ41" s="30"/>
      <c r="OKA41" s="29"/>
      <c r="OKB41" s="30"/>
      <c r="OKC41" s="29"/>
      <c r="OKD41" s="30"/>
      <c r="OKE41" s="29"/>
      <c r="OKF41" s="30"/>
      <c r="OKG41" s="29"/>
      <c r="OKH41" s="30"/>
      <c r="OKI41" s="29"/>
      <c r="OKJ41" s="30"/>
      <c r="OKK41" s="29"/>
      <c r="OKL41" s="30"/>
      <c r="OKM41" s="29"/>
      <c r="OKN41" s="30"/>
      <c r="OKO41" s="29"/>
      <c r="OKP41" s="30"/>
      <c r="OKQ41" s="29"/>
      <c r="OKR41" s="30"/>
      <c r="OKS41" s="29"/>
      <c r="OKT41" s="30"/>
      <c r="OKU41" s="29"/>
      <c r="OKV41" s="30"/>
      <c r="OKW41" s="29"/>
      <c r="OKX41" s="30"/>
      <c r="OKY41" s="29"/>
      <c r="OKZ41" s="30"/>
      <c r="OLA41" s="29"/>
      <c r="OLB41" s="30"/>
      <c r="OLC41" s="29"/>
      <c r="OLD41" s="30"/>
      <c r="OLE41" s="29"/>
      <c r="OLF41" s="30"/>
      <c r="OLG41" s="29"/>
      <c r="OLH41" s="30"/>
      <c r="OLI41" s="29"/>
      <c r="OLJ41" s="30"/>
      <c r="OLK41" s="29"/>
      <c r="OLL41" s="30"/>
      <c r="OLM41" s="29"/>
      <c r="OLN41" s="30"/>
      <c r="OLO41" s="29"/>
      <c r="OLP41" s="30"/>
      <c r="OLQ41" s="29"/>
      <c r="OLR41" s="30"/>
      <c r="OLS41" s="29"/>
      <c r="OLT41" s="30"/>
      <c r="OLU41" s="29"/>
      <c r="OLV41" s="30"/>
      <c r="OLW41" s="29"/>
      <c r="OLX41" s="30"/>
      <c r="OLY41" s="29"/>
      <c r="OLZ41" s="30"/>
      <c r="OMA41" s="29"/>
      <c r="OMB41" s="30"/>
      <c r="OMC41" s="29"/>
      <c r="OMD41" s="30"/>
      <c r="OME41" s="29"/>
      <c r="OMF41" s="30"/>
      <c r="OMG41" s="29"/>
      <c r="OMH41" s="30"/>
      <c r="OMI41" s="29"/>
      <c r="OMJ41" s="30"/>
      <c r="OMK41" s="29"/>
      <c r="OML41" s="30"/>
      <c r="OMM41" s="29"/>
      <c r="OMN41" s="30"/>
      <c r="OMO41" s="29"/>
      <c r="OMP41" s="30"/>
      <c r="OMQ41" s="29"/>
      <c r="OMR41" s="30"/>
      <c r="OMS41" s="29"/>
      <c r="OMT41" s="30"/>
      <c r="OMU41" s="29"/>
      <c r="OMV41" s="30"/>
      <c r="OMW41" s="29"/>
      <c r="OMX41" s="30"/>
      <c r="OMY41" s="29"/>
      <c r="OMZ41" s="30"/>
      <c r="ONA41" s="29"/>
      <c r="ONB41" s="30"/>
      <c r="ONC41" s="29"/>
      <c r="OND41" s="30"/>
      <c r="ONE41" s="29"/>
      <c r="ONF41" s="30"/>
      <c r="ONG41" s="29"/>
      <c r="ONH41" s="30"/>
      <c r="ONI41" s="29"/>
      <c r="ONJ41" s="30"/>
      <c r="ONK41" s="29"/>
      <c r="ONL41" s="30"/>
      <c r="ONM41" s="29"/>
      <c r="ONN41" s="30"/>
      <c r="ONO41" s="29"/>
      <c r="ONP41" s="30"/>
      <c r="ONQ41" s="29"/>
      <c r="ONR41" s="30"/>
      <c r="ONS41" s="29"/>
      <c r="ONT41" s="30"/>
      <c r="ONU41" s="29"/>
      <c r="ONV41" s="30"/>
      <c r="ONW41" s="29"/>
      <c r="ONX41" s="30"/>
      <c r="ONY41" s="29"/>
      <c r="ONZ41" s="30"/>
      <c r="OOA41" s="29"/>
      <c r="OOB41" s="30"/>
      <c r="OOC41" s="29"/>
      <c r="OOD41" s="30"/>
      <c r="OOE41" s="29"/>
      <c r="OOF41" s="30"/>
      <c r="OOG41" s="29"/>
      <c r="OOH41" s="30"/>
      <c r="OOI41" s="29"/>
      <c r="OOJ41" s="30"/>
      <c r="OOK41" s="29"/>
      <c r="OOL41" s="30"/>
      <c r="OOM41" s="29"/>
      <c r="OON41" s="30"/>
      <c r="OOO41" s="29"/>
      <c r="OOP41" s="30"/>
      <c r="OOQ41" s="29"/>
      <c r="OOR41" s="30"/>
      <c r="OOS41" s="29"/>
      <c r="OOT41" s="30"/>
      <c r="OOU41" s="29"/>
      <c r="OOV41" s="30"/>
      <c r="OOW41" s="29"/>
      <c r="OOX41" s="30"/>
      <c r="OOY41" s="29"/>
      <c r="OOZ41" s="30"/>
      <c r="OPA41" s="29"/>
      <c r="OPB41" s="30"/>
      <c r="OPC41" s="29"/>
      <c r="OPD41" s="30"/>
      <c r="OPE41" s="29"/>
      <c r="OPF41" s="30"/>
      <c r="OPG41" s="29"/>
      <c r="OPH41" s="30"/>
      <c r="OPI41" s="29"/>
      <c r="OPJ41" s="30"/>
      <c r="OPK41" s="29"/>
      <c r="OPL41" s="30"/>
      <c r="OPM41" s="29"/>
      <c r="OPN41" s="30"/>
      <c r="OPO41" s="29"/>
      <c r="OPP41" s="30"/>
      <c r="OPQ41" s="29"/>
      <c r="OPR41" s="30"/>
      <c r="OPS41" s="29"/>
      <c r="OPT41" s="30"/>
      <c r="OPU41" s="29"/>
      <c r="OPV41" s="30"/>
      <c r="OPW41" s="29"/>
      <c r="OPX41" s="30"/>
      <c r="OPY41" s="29"/>
      <c r="OPZ41" s="30"/>
      <c r="OQA41" s="29"/>
      <c r="OQB41" s="30"/>
      <c r="OQC41" s="29"/>
      <c r="OQD41" s="30"/>
      <c r="OQE41" s="29"/>
      <c r="OQF41" s="30"/>
      <c r="OQG41" s="29"/>
      <c r="OQH41" s="30"/>
      <c r="OQI41" s="29"/>
      <c r="OQJ41" s="30"/>
      <c r="OQK41" s="29"/>
      <c r="OQL41" s="30"/>
      <c r="OQM41" s="29"/>
      <c r="OQN41" s="30"/>
      <c r="OQO41" s="29"/>
      <c r="OQP41" s="30"/>
      <c r="OQQ41" s="29"/>
      <c r="OQR41" s="30"/>
      <c r="OQS41" s="29"/>
      <c r="OQT41" s="30"/>
      <c r="OQU41" s="29"/>
      <c r="OQV41" s="30"/>
      <c r="OQW41" s="29"/>
      <c r="OQX41" s="30"/>
      <c r="OQY41" s="29"/>
      <c r="OQZ41" s="30"/>
      <c r="ORA41" s="29"/>
      <c r="ORB41" s="30"/>
      <c r="ORC41" s="29"/>
      <c r="ORD41" s="30"/>
      <c r="ORE41" s="29"/>
      <c r="ORF41" s="30"/>
      <c r="ORG41" s="29"/>
      <c r="ORH41" s="30"/>
      <c r="ORI41" s="29"/>
      <c r="ORJ41" s="30"/>
      <c r="ORK41" s="29"/>
      <c r="ORL41" s="30"/>
      <c r="ORM41" s="29"/>
      <c r="ORN41" s="30"/>
      <c r="ORO41" s="29"/>
      <c r="ORP41" s="30"/>
      <c r="ORQ41" s="29"/>
      <c r="ORR41" s="30"/>
      <c r="ORS41" s="29"/>
      <c r="ORT41" s="30"/>
      <c r="ORU41" s="29"/>
      <c r="ORV41" s="30"/>
      <c r="ORW41" s="29"/>
      <c r="ORX41" s="30"/>
      <c r="ORY41" s="29"/>
      <c r="ORZ41" s="30"/>
      <c r="OSA41" s="29"/>
      <c r="OSB41" s="30"/>
      <c r="OSC41" s="29"/>
      <c r="OSD41" s="30"/>
      <c r="OSE41" s="29"/>
      <c r="OSF41" s="30"/>
      <c r="OSG41" s="29"/>
      <c r="OSH41" s="30"/>
      <c r="OSI41" s="29"/>
      <c r="OSJ41" s="30"/>
      <c r="OSK41" s="29"/>
      <c r="OSL41" s="30"/>
      <c r="OSM41" s="29"/>
      <c r="OSN41" s="30"/>
      <c r="OSO41" s="29"/>
      <c r="OSP41" s="30"/>
      <c r="OSQ41" s="29"/>
      <c r="OSR41" s="30"/>
      <c r="OSS41" s="29"/>
      <c r="OST41" s="30"/>
      <c r="OSU41" s="29"/>
      <c r="OSV41" s="30"/>
      <c r="OSW41" s="29"/>
      <c r="OSX41" s="30"/>
      <c r="OSY41" s="29"/>
      <c r="OSZ41" s="30"/>
      <c r="OTA41" s="29"/>
      <c r="OTB41" s="30"/>
      <c r="OTC41" s="29"/>
      <c r="OTD41" s="30"/>
      <c r="OTE41" s="29"/>
      <c r="OTF41" s="30"/>
      <c r="OTG41" s="29"/>
      <c r="OTH41" s="30"/>
      <c r="OTI41" s="29"/>
      <c r="OTJ41" s="30"/>
      <c r="OTK41" s="29"/>
      <c r="OTL41" s="30"/>
      <c r="OTM41" s="29"/>
      <c r="OTN41" s="30"/>
      <c r="OTO41" s="29"/>
      <c r="OTP41" s="30"/>
      <c r="OTQ41" s="29"/>
      <c r="OTR41" s="30"/>
      <c r="OTS41" s="29"/>
      <c r="OTT41" s="30"/>
      <c r="OTU41" s="29"/>
      <c r="OTV41" s="30"/>
      <c r="OTW41" s="29"/>
      <c r="OTX41" s="30"/>
      <c r="OTY41" s="29"/>
      <c r="OTZ41" s="30"/>
      <c r="OUA41" s="29"/>
      <c r="OUB41" s="30"/>
      <c r="OUC41" s="29"/>
      <c r="OUD41" s="30"/>
      <c r="OUE41" s="29"/>
      <c r="OUF41" s="30"/>
      <c r="OUG41" s="29"/>
      <c r="OUH41" s="30"/>
      <c r="OUI41" s="29"/>
      <c r="OUJ41" s="30"/>
      <c r="OUK41" s="29"/>
      <c r="OUL41" s="30"/>
      <c r="OUM41" s="29"/>
      <c r="OUN41" s="30"/>
      <c r="OUO41" s="29"/>
      <c r="OUP41" s="30"/>
      <c r="OUQ41" s="29"/>
      <c r="OUR41" s="30"/>
      <c r="OUS41" s="29"/>
      <c r="OUT41" s="30"/>
      <c r="OUU41" s="29"/>
      <c r="OUV41" s="30"/>
      <c r="OUW41" s="29"/>
      <c r="OUX41" s="30"/>
      <c r="OUY41" s="29"/>
      <c r="OUZ41" s="30"/>
      <c r="OVA41" s="29"/>
      <c r="OVB41" s="30"/>
      <c r="OVC41" s="29"/>
      <c r="OVD41" s="30"/>
      <c r="OVE41" s="29"/>
      <c r="OVF41" s="30"/>
      <c r="OVG41" s="29"/>
      <c r="OVH41" s="30"/>
      <c r="OVI41" s="29"/>
      <c r="OVJ41" s="30"/>
      <c r="OVK41" s="29"/>
      <c r="OVL41" s="30"/>
      <c r="OVM41" s="29"/>
      <c r="OVN41" s="30"/>
      <c r="OVO41" s="29"/>
      <c r="OVP41" s="30"/>
      <c r="OVQ41" s="29"/>
      <c r="OVR41" s="30"/>
      <c r="OVS41" s="29"/>
      <c r="OVT41" s="30"/>
      <c r="OVU41" s="29"/>
      <c r="OVV41" s="30"/>
      <c r="OVW41" s="29"/>
      <c r="OVX41" s="30"/>
      <c r="OVY41" s="29"/>
      <c r="OVZ41" s="30"/>
      <c r="OWA41" s="29"/>
      <c r="OWB41" s="30"/>
      <c r="OWC41" s="29"/>
      <c r="OWD41" s="30"/>
      <c r="OWE41" s="29"/>
      <c r="OWF41" s="30"/>
      <c r="OWG41" s="29"/>
      <c r="OWH41" s="30"/>
      <c r="OWI41" s="29"/>
      <c r="OWJ41" s="30"/>
      <c r="OWK41" s="29"/>
      <c r="OWL41" s="30"/>
      <c r="OWM41" s="29"/>
      <c r="OWN41" s="30"/>
      <c r="OWO41" s="29"/>
      <c r="OWP41" s="30"/>
      <c r="OWQ41" s="29"/>
      <c r="OWR41" s="30"/>
      <c r="OWS41" s="29"/>
      <c r="OWT41" s="30"/>
      <c r="OWU41" s="29"/>
      <c r="OWV41" s="30"/>
      <c r="OWW41" s="29"/>
      <c r="OWX41" s="30"/>
      <c r="OWY41" s="29"/>
      <c r="OWZ41" s="30"/>
      <c r="OXA41" s="29"/>
      <c r="OXB41" s="30"/>
      <c r="OXC41" s="29"/>
      <c r="OXD41" s="30"/>
      <c r="OXE41" s="29"/>
      <c r="OXF41" s="30"/>
      <c r="OXG41" s="29"/>
      <c r="OXH41" s="30"/>
      <c r="OXI41" s="29"/>
      <c r="OXJ41" s="30"/>
      <c r="OXK41" s="29"/>
      <c r="OXL41" s="30"/>
      <c r="OXM41" s="29"/>
      <c r="OXN41" s="30"/>
      <c r="OXO41" s="29"/>
      <c r="OXP41" s="30"/>
      <c r="OXQ41" s="29"/>
      <c r="OXR41" s="30"/>
      <c r="OXS41" s="29"/>
      <c r="OXT41" s="30"/>
      <c r="OXU41" s="29"/>
      <c r="OXV41" s="30"/>
      <c r="OXW41" s="29"/>
      <c r="OXX41" s="30"/>
      <c r="OXY41" s="29"/>
      <c r="OXZ41" s="30"/>
      <c r="OYA41" s="29"/>
      <c r="OYB41" s="30"/>
      <c r="OYC41" s="29"/>
      <c r="OYD41" s="30"/>
      <c r="OYE41" s="29"/>
      <c r="OYF41" s="30"/>
      <c r="OYG41" s="29"/>
      <c r="OYH41" s="30"/>
      <c r="OYI41" s="29"/>
      <c r="OYJ41" s="30"/>
      <c r="OYK41" s="29"/>
      <c r="OYL41" s="30"/>
      <c r="OYM41" s="29"/>
      <c r="OYN41" s="30"/>
      <c r="OYO41" s="29"/>
      <c r="OYP41" s="30"/>
      <c r="OYQ41" s="29"/>
      <c r="OYR41" s="30"/>
      <c r="OYS41" s="29"/>
      <c r="OYT41" s="30"/>
      <c r="OYU41" s="29"/>
      <c r="OYV41" s="30"/>
      <c r="OYW41" s="29"/>
      <c r="OYX41" s="30"/>
      <c r="OYY41" s="29"/>
      <c r="OYZ41" s="30"/>
      <c r="OZA41" s="29"/>
      <c r="OZB41" s="30"/>
      <c r="OZC41" s="29"/>
      <c r="OZD41" s="30"/>
      <c r="OZE41" s="29"/>
      <c r="OZF41" s="30"/>
      <c r="OZG41" s="29"/>
      <c r="OZH41" s="30"/>
      <c r="OZI41" s="29"/>
      <c r="OZJ41" s="30"/>
      <c r="OZK41" s="29"/>
      <c r="OZL41" s="30"/>
      <c r="OZM41" s="29"/>
      <c r="OZN41" s="30"/>
      <c r="OZO41" s="29"/>
      <c r="OZP41" s="30"/>
      <c r="OZQ41" s="29"/>
      <c r="OZR41" s="30"/>
      <c r="OZS41" s="29"/>
      <c r="OZT41" s="30"/>
      <c r="OZU41" s="29"/>
      <c r="OZV41" s="30"/>
      <c r="OZW41" s="29"/>
      <c r="OZX41" s="30"/>
      <c r="OZY41" s="29"/>
      <c r="OZZ41" s="30"/>
      <c r="PAA41" s="29"/>
      <c r="PAB41" s="30"/>
      <c r="PAC41" s="29"/>
      <c r="PAD41" s="30"/>
      <c r="PAE41" s="29"/>
      <c r="PAF41" s="30"/>
      <c r="PAG41" s="29"/>
      <c r="PAH41" s="30"/>
      <c r="PAI41" s="29"/>
      <c r="PAJ41" s="30"/>
      <c r="PAK41" s="29"/>
      <c r="PAL41" s="30"/>
      <c r="PAM41" s="29"/>
      <c r="PAN41" s="30"/>
      <c r="PAO41" s="29"/>
      <c r="PAP41" s="30"/>
      <c r="PAQ41" s="29"/>
      <c r="PAR41" s="30"/>
      <c r="PAS41" s="29"/>
      <c r="PAT41" s="30"/>
      <c r="PAU41" s="29"/>
      <c r="PAV41" s="30"/>
      <c r="PAW41" s="29"/>
      <c r="PAX41" s="30"/>
      <c r="PAY41" s="29"/>
      <c r="PAZ41" s="30"/>
      <c r="PBA41" s="29"/>
      <c r="PBB41" s="30"/>
      <c r="PBC41" s="29"/>
      <c r="PBD41" s="30"/>
      <c r="PBE41" s="29"/>
      <c r="PBF41" s="30"/>
      <c r="PBG41" s="29"/>
      <c r="PBH41" s="30"/>
      <c r="PBI41" s="29"/>
      <c r="PBJ41" s="30"/>
      <c r="PBK41" s="29"/>
      <c r="PBL41" s="30"/>
      <c r="PBM41" s="29"/>
      <c r="PBN41" s="30"/>
      <c r="PBO41" s="29"/>
      <c r="PBP41" s="30"/>
      <c r="PBQ41" s="29"/>
      <c r="PBR41" s="30"/>
      <c r="PBS41" s="29"/>
      <c r="PBT41" s="30"/>
      <c r="PBU41" s="29"/>
      <c r="PBV41" s="30"/>
      <c r="PBW41" s="29"/>
      <c r="PBX41" s="30"/>
      <c r="PBY41" s="29"/>
      <c r="PBZ41" s="30"/>
      <c r="PCA41" s="29"/>
      <c r="PCB41" s="30"/>
      <c r="PCC41" s="29"/>
      <c r="PCD41" s="30"/>
      <c r="PCE41" s="29"/>
      <c r="PCF41" s="30"/>
      <c r="PCG41" s="29"/>
      <c r="PCH41" s="30"/>
      <c r="PCI41" s="29"/>
      <c r="PCJ41" s="30"/>
      <c r="PCK41" s="29"/>
      <c r="PCL41" s="30"/>
      <c r="PCM41" s="29"/>
      <c r="PCN41" s="30"/>
      <c r="PCO41" s="29"/>
      <c r="PCP41" s="30"/>
      <c r="PCQ41" s="29"/>
      <c r="PCR41" s="30"/>
      <c r="PCS41" s="29"/>
      <c r="PCT41" s="30"/>
      <c r="PCU41" s="29"/>
      <c r="PCV41" s="30"/>
      <c r="PCW41" s="29"/>
      <c r="PCX41" s="30"/>
      <c r="PCY41" s="29"/>
      <c r="PCZ41" s="30"/>
      <c r="PDA41" s="29"/>
      <c r="PDB41" s="30"/>
      <c r="PDC41" s="29"/>
      <c r="PDD41" s="30"/>
      <c r="PDE41" s="29"/>
      <c r="PDF41" s="30"/>
      <c r="PDG41" s="29"/>
      <c r="PDH41" s="30"/>
      <c r="PDI41" s="29"/>
      <c r="PDJ41" s="30"/>
      <c r="PDK41" s="29"/>
      <c r="PDL41" s="30"/>
      <c r="PDM41" s="29"/>
      <c r="PDN41" s="30"/>
      <c r="PDO41" s="29"/>
      <c r="PDP41" s="30"/>
      <c r="PDQ41" s="29"/>
      <c r="PDR41" s="30"/>
      <c r="PDS41" s="29"/>
      <c r="PDT41" s="30"/>
      <c r="PDU41" s="29"/>
      <c r="PDV41" s="30"/>
      <c r="PDW41" s="29"/>
      <c r="PDX41" s="30"/>
      <c r="PDY41" s="29"/>
      <c r="PDZ41" s="30"/>
      <c r="PEA41" s="29"/>
      <c r="PEB41" s="30"/>
      <c r="PEC41" s="29"/>
      <c r="PED41" s="30"/>
      <c r="PEE41" s="29"/>
      <c r="PEF41" s="30"/>
      <c r="PEG41" s="29"/>
      <c r="PEH41" s="30"/>
      <c r="PEI41" s="29"/>
      <c r="PEJ41" s="30"/>
      <c r="PEK41" s="29"/>
      <c r="PEL41" s="30"/>
      <c r="PEM41" s="29"/>
      <c r="PEN41" s="30"/>
      <c r="PEO41" s="29"/>
      <c r="PEP41" s="30"/>
      <c r="PEQ41" s="29"/>
      <c r="PER41" s="30"/>
      <c r="PES41" s="29"/>
      <c r="PET41" s="30"/>
      <c r="PEU41" s="29"/>
      <c r="PEV41" s="30"/>
      <c r="PEW41" s="29"/>
      <c r="PEX41" s="30"/>
      <c r="PEY41" s="29"/>
      <c r="PEZ41" s="30"/>
      <c r="PFA41" s="29"/>
      <c r="PFB41" s="30"/>
      <c r="PFC41" s="29"/>
      <c r="PFD41" s="30"/>
      <c r="PFE41" s="29"/>
      <c r="PFF41" s="30"/>
      <c r="PFG41" s="29"/>
      <c r="PFH41" s="30"/>
      <c r="PFI41" s="29"/>
      <c r="PFJ41" s="30"/>
      <c r="PFK41" s="29"/>
      <c r="PFL41" s="30"/>
      <c r="PFM41" s="29"/>
      <c r="PFN41" s="30"/>
      <c r="PFO41" s="29"/>
      <c r="PFP41" s="30"/>
      <c r="PFQ41" s="29"/>
      <c r="PFR41" s="30"/>
      <c r="PFS41" s="29"/>
      <c r="PFT41" s="30"/>
      <c r="PFU41" s="29"/>
      <c r="PFV41" s="30"/>
      <c r="PFW41" s="29"/>
      <c r="PFX41" s="30"/>
      <c r="PFY41" s="29"/>
      <c r="PFZ41" s="30"/>
      <c r="PGA41" s="29"/>
      <c r="PGB41" s="30"/>
      <c r="PGC41" s="29"/>
      <c r="PGD41" s="30"/>
      <c r="PGE41" s="29"/>
      <c r="PGF41" s="30"/>
      <c r="PGG41" s="29"/>
      <c r="PGH41" s="30"/>
      <c r="PGI41" s="29"/>
      <c r="PGJ41" s="30"/>
      <c r="PGK41" s="29"/>
      <c r="PGL41" s="30"/>
      <c r="PGM41" s="29"/>
      <c r="PGN41" s="30"/>
      <c r="PGO41" s="29"/>
      <c r="PGP41" s="30"/>
      <c r="PGQ41" s="29"/>
      <c r="PGR41" s="30"/>
      <c r="PGS41" s="29"/>
      <c r="PGT41" s="30"/>
      <c r="PGU41" s="29"/>
      <c r="PGV41" s="30"/>
      <c r="PGW41" s="29"/>
      <c r="PGX41" s="30"/>
      <c r="PGY41" s="29"/>
      <c r="PGZ41" s="30"/>
      <c r="PHA41" s="29"/>
      <c r="PHB41" s="30"/>
      <c r="PHC41" s="29"/>
      <c r="PHD41" s="30"/>
      <c r="PHE41" s="29"/>
      <c r="PHF41" s="30"/>
      <c r="PHG41" s="29"/>
      <c r="PHH41" s="30"/>
      <c r="PHI41" s="29"/>
      <c r="PHJ41" s="30"/>
      <c r="PHK41" s="29"/>
      <c r="PHL41" s="30"/>
      <c r="PHM41" s="29"/>
      <c r="PHN41" s="30"/>
      <c r="PHO41" s="29"/>
      <c r="PHP41" s="30"/>
      <c r="PHQ41" s="29"/>
      <c r="PHR41" s="30"/>
      <c r="PHS41" s="29"/>
      <c r="PHT41" s="30"/>
      <c r="PHU41" s="29"/>
      <c r="PHV41" s="30"/>
      <c r="PHW41" s="29"/>
      <c r="PHX41" s="30"/>
      <c r="PHY41" s="29"/>
      <c r="PHZ41" s="30"/>
      <c r="PIA41" s="29"/>
      <c r="PIB41" s="30"/>
      <c r="PIC41" s="29"/>
      <c r="PID41" s="30"/>
      <c r="PIE41" s="29"/>
      <c r="PIF41" s="30"/>
      <c r="PIG41" s="29"/>
      <c r="PIH41" s="30"/>
      <c r="PII41" s="29"/>
      <c r="PIJ41" s="30"/>
      <c r="PIK41" s="29"/>
      <c r="PIL41" s="30"/>
      <c r="PIM41" s="29"/>
      <c r="PIN41" s="30"/>
      <c r="PIO41" s="29"/>
      <c r="PIP41" s="30"/>
      <c r="PIQ41" s="29"/>
      <c r="PIR41" s="30"/>
      <c r="PIS41" s="29"/>
      <c r="PIT41" s="30"/>
      <c r="PIU41" s="29"/>
      <c r="PIV41" s="30"/>
      <c r="PIW41" s="29"/>
      <c r="PIX41" s="30"/>
      <c r="PIY41" s="29"/>
      <c r="PIZ41" s="30"/>
      <c r="PJA41" s="29"/>
      <c r="PJB41" s="30"/>
      <c r="PJC41" s="29"/>
      <c r="PJD41" s="30"/>
      <c r="PJE41" s="29"/>
      <c r="PJF41" s="30"/>
      <c r="PJG41" s="29"/>
      <c r="PJH41" s="30"/>
      <c r="PJI41" s="29"/>
      <c r="PJJ41" s="30"/>
      <c r="PJK41" s="29"/>
      <c r="PJL41" s="30"/>
      <c r="PJM41" s="29"/>
      <c r="PJN41" s="30"/>
      <c r="PJO41" s="29"/>
      <c r="PJP41" s="30"/>
      <c r="PJQ41" s="29"/>
      <c r="PJR41" s="30"/>
      <c r="PJS41" s="29"/>
      <c r="PJT41" s="30"/>
      <c r="PJU41" s="29"/>
      <c r="PJV41" s="30"/>
      <c r="PJW41" s="29"/>
      <c r="PJX41" s="30"/>
      <c r="PJY41" s="29"/>
      <c r="PJZ41" s="30"/>
      <c r="PKA41" s="29"/>
      <c r="PKB41" s="30"/>
      <c r="PKC41" s="29"/>
      <c r="PKD41" s="30"/>
      <c r="PKE41" s="29"/>
      <c r="PKF41" s="30"/>
      <c r="PKG41" s="29"/>
      <c r="PKH41" s="30"/>
      <c r="PKI41" s="29"/>
      <c r="PKJ41" s="30"/>
      <c r="PKK41" s="29"/>
      <c r="PKL41" s="30"/>
      <c r="PKM41" s="29"/>
      <c r="PKN41" s="30"/>
      <c r="PKO41" s="29"/>
      <c r="PKP41" s="30"/>
      <c r="PKQ41" s="29"/>
      <c r="PKR41" s="30"/>
      <c r="PKS41" s="29"/>
      <c r="PKT41" s="30"/>
      <c r="PKU41" s="29"/>
      <c r="PKV41" s="30"/>
      <c r="PKW41" s="29"/>
      <c r="PKX41" s="30"/>
      <c r="PKY41" s="29"/>
      <c r="PKZ41" s="30"/>
      <c r="PLA41" s="29"/>
      <c r="PLB41" s="30"/>
      <c r="PLC41" s="29"/>
      <c r="PLD41" s="30"/>
      <c r="PLE41" s="29"/>
      <c r="PLF41" s="30"/>
      <c r="PLG41" s="29"/>
      <c r="PLH41" s="30"/>
      <c r="PLI41" s="29"/>
      <c r="PLJ41" s="30"/>
      <c r="PLK41" s="29"/>
      <c r="PLL41" s="30"/>
      <c r="PLM41" s="29"/>
      <c r="PLN41" s="30"/>
      <c r="PLO41" s="29"/>
      <c r="PLP41" s="30"/>
      <c r="PLQ41" s="29"/>
      <c r="PLR41" s="30"/>
      <c r="PLS41" s="29"/>
      <c r="PLT41" s="30"/>
      <c r="PLU41" s="29"/>
      <c r="PLV41" s="30"/>
      <c r="PLW41" s="29"/>
      <c r="PLX41" s="30"/>
      <c r="PLY41" s="29"/>
      <c r="PLZ41" s="30"/>
      <c r="PMA41" s="29"/>
      <c r="PMB41" s="30"/>
      <c r="PMC41" s="29"/>
      <c r="PMD41" s="30"/>
      <c r="PME41" s="29"/>
      <c r="PMF41" s="30"/>
      <c r="PMG41" s="29"/>
      <c r="PMH41" s="30"/>
      <c r="PMI41" s="29"/>
      <c r="PMJ41" s="30"/>
      <c r="PMK41" s="29"/>
      <c r="PML41" s="30"/>
      <c r="PMM41" s="29"/>
      <c r="PMN41" s="30"/>
      <c r="PMO41" s="29"/>
      <c r="PMP41" s="30"/>
      <c r="PMQ41" s="29"/>
      <c r="PMR41" s="30"/>
      <c r="PMS41" s="29"/>
      <c r="PMT41" s="30"/>
      <c r="PMU41" s="29"/>
      <c r="PMV41" s="30"/>
      <c r="PMW41" s="29"/>
      <c r="PMX41" s="30"/>
      <c r="PMY41" s="29"/>
      <c r="PMZ41" s="30"/>
      <c r="PNA41" s="29"/>
      <c r="PNB41" s="30"/>
      <c r="PNC41" s="29"/>
      <c r="PND41" s="30"/>
      <c r="PNE41" s="29"/>
      <c r="PNF41" s="30"/>
      <c r="PNG41" s="29"/>
      <c r="PNH41" s="30"/>
      <c r="PNI41" s="29"/>
      <c r="PNJ41" s="30"/>
      <c r="PNK41" s="29"/>
      <c r="PNL41" s="30"/>
      <c r="PNM41" s="29"/>
      <c r="PNN41" s="30"/>
      <c r="PNO41" s="29"/>
      <c r="PNP41" s="30"/>
      <c r="PNQ41" s="29"/>
      <c r="PNR41" s="30"/>
      <c r="PNS41" s="29"/>
      <c r="PNT41" s="30"/>
      <c r="PNU41" s="29"/>
      <c r="PNV41" s="30"/>
      <c r="PNW41" s="29"/>
      <c r="PNX41" s="30"/>
      <c r="PNY41" s="29"/>
      <c r="PNZ41" s="30"/>
      <c r="POA41" s="29"/>
      <c r="POB41" s="30"/>
      <c r="POC41" s="29"/>
      <c r="POD41" s="30"/>
      <c r="POE41" s="29"/>
      <c r="POF41" s="30"/>
      <c r="POG41" s="29"/>
      <c r="POH41" s="30"/>
      <c r="POI41" s="29"/>
      <c r="POJ41" s="30"/>
      <c r="POK41" s="29"/>
      <c r="POL41" s="30"/>
      <c r="POM41" s="29"/>
      <c r="PON41" s="30"/>
      <c r="POO41" s="29"/>
      <c r="POP41" s="30"/>
      <c r="POQ41" s="29"/>
      <c r="POR41" s="30"/>
      <c r="POS41" s="29"/>
      <c r="POT41" s="30"/>
      <c r="POU41" s="29"/>
      <c r="POV41" s="30"/>
      <c r="POW41" s="29"/>
      <c r="POX41" s="30"/>
      <c r="POY41" s="29"/>
      <c r="POZ41" s="30"/>
      <c r="PPA41" s="29"/>
      <c r="PPB41" s="30"/>
      <c r="PPC41" s="29"/>
      <c r="PPD41" s="30"/>
      <c r="PPE41" s="29"/>
      <c r="PPF41" s="30"/>
      <c r="PPG41" s="29"/>
      <c r="PPH41" s="30"/>
      <c r="PPI41" s="29"/>
      <c r="PPJ41" s="30"/>
      <c r="PPK41" s="29"/>
      <c r="PPL41" s="30"/>
      <c r="PPM41" s="29"/>
      <c r="PPN41" s="30"/>
      <c r="PPO41" s="29"/>
      <c r="PPP41" s="30"/>
      <c r="PPQ41" s="29"/>
      <c r="PPR41" s="30"/>
      <c r="PPS41" s="29"/>
      <c r="PPT41" s="30"/>
      <c r="PPU41" s="29"/>
      <c r="PPV41" s="30"/>
      <c r="PPW41" s="29"/>
      <c r="PPX41" s="30"/>
      <c r="PPY41" s="29"/>
      <c r="PPZ41" s="30"/>
      <c r="PQA41" s="29"/>
      <c r="PQB41" s="30"/>
      <c r="PQC41" s="29"/>
      <c r="PQD41" s="30"/>
      <c r="PQE41" s="29"/>
      <c r="PQF41" s="30"/>
      <c r="PQG41" s="29"/>
      <c r="PQH41" s="30"/>
      <c r="PQI41" s="29"/>
      <c r="PQJ41" s="30"/>
      <c r="PQK41" s="29"/>
      <c r="PQL41" s="30"/>
      <c r="PQM41" s="29"/>
      <c r="PQN41" s="30"/>
      <c r="PQO41" s="29"/>
      <c r="PQP41" s="30"/>
      <c r="PQQ41" s="29"/>
      <c r="PQR41" s="30"/>
      <c r="PQS41" s="29"/>
      <c r="PQT41" s="30"/>
      <c r="PQU41" s="29"/>
      <c r="PQV41" s="30"/>
      <c r="PQW41" s="29"/>
      <c r="PQX41" s="30"/>
      <c r="PQY41" s="29"/>
      <c r="PQZ41" s="30"/>
      <c r="PRA41" s="29"/>
      <c r="PRB41" s="30"/>
      <c r="PRC41" s="29"/>
      <c r="PRD41" s="30"/>
      <c r="PRE41" s="29"/>
      <c r="PRF41" s="30"/>
      <c r="PRG41" s="29"/>
      <c r="PRH41" s="30"/>
      <c r="PRI41" s="29"/>
      <c r="PRJ41" s="30"/>
      <c r="PRK41" s="29"/>
      <c r="PRL41" s="30"/>
      <c r="PRM41" s="29"/>
      <c r="PRN41" s="30"/>
      <c r="PRO41" s="29"/>
      <c r="PRP41" s="30"/>
      <c r="PRQ41" s="29"/>
      <c r="PRR41" s="30"/>
      <c r="PRS41" s="29"/>
      <c r="PRT41" s="30"/>
      <c r="PRU41" s="29"/>
      <c r="PRV41" s="30"/>
      <c r="PRW41" s="29"/>
      <c r="PRX41" s="30"/>
      <c r="PRY41" s="29"/>
      <c r="PRZ41" s="30"/>
      <c r="PSA41" s="29"/>
      <c r="PSB41" s="30"/>
      <c r="PSC41" s="29"/>
      <c r="PSD41" s="30"/>
      <c r="PSE41" s="29"/>
      <c r="PSF41" s="30"/>
      <c r="PSG41" s="29"/>
      <c r="PSH41" s="30"/>
      <c r="PSI41" s="29"/>
      <c r="PSJ41" s="30"/>
      <c r="PSK41" s="29"/>
      <c r="PSL41" s="30"/>
      <c r="PSM41" s="29"/>
      <c r="PSN41" s="30"/>
      <c r="PSO41" s="29"/>
      <c r="PSP41" s="30"/>
      <c r="PSQ41" s="29"/>
      <c r="PSR41" s="30"/>
      <c r="PSS41" s="29"/>
      <c r="PST41" s="30"/>
      <c r="PSU41" s="29"/>
      <c r="PSV41" s="30"/>
      <c r="PSW41" s="29"/>
      <c r="PSX41" s="30"/>
      <c r="PSY41" s="29"/>
      <c r="PSZ41" s="30"/>
      <c r="PTA41" s="29"/>
      <c r="PTB41" s="30"/>
      <c r="PTC41" s="29"/>
      <c r="PTD41" s="30"/>
      <c r="PTE41" s="29"/>
      <c r="PTF41" s="30"/>
      <c r="PTG41" s="29"/>
      <c r="PTH41" s="30"/>
      <c r="PTI41" s="29"/>
      <c r="PTJ41" s="30"/>
      <c r="PTK41" s="29"/>
      <c r="PTL41" s="30"/>
      <c r="PTM41" s="29"/>
      <c r="PTN41" s="30"/>
      <c r="PTO41" s="29"/>
      <c r="PTP41" s="30"/>
      <c r="PTQ41" s="29"/>
      <c r="PTR41" s="30"/>
      <c r="PTS41" s="29"/>
      <c r="PTT41" s="30"/>
      <c r="PTU41" s="29"/>
      <c r="PTV41" s="30"/>
      <c r="PTW41" s="29"/>
      <c r="PTX41" s="30"/>
      <c r="PTY41" s="29"/>
      <c r="PTZ41" s="30"/>
      <c r="PUA41" s="29"/>
      <c r="PUB41" s="30"/>
      <c r="PUC41" s="29"/>
      <c r="PUD41" s="30"/>
      <c r="PUE41" s="29"/>
      <c r="PUF41" s="30"/>
      <c r="PUG41" s="29"/>
      <c r="PUH41" s="30"/>
      <c r="PUI41" s="29"/>
      <c r="PUJ41" s="30"/>
      <c r="PUK41" s="29"/>
      <c r="PUL41" s="30"/>
      <c r="PUM41" s="29"/>
      <c r="PUN41" s="30"/>
      <c r="PUO41" s="29"/>
      <c r="PUP41" s="30"/>
      <c r="PUQ41" s="29"/>
      <c r="PUR41" s="30"/>
      <c r="PUS41" s="29"/>
      <c r="PUT41" s="30"/>
      <c r="PUU41" s="29"/>
      <c r="PUV41" s="30"/>
      <c r="PUW41" s="29"/>
      <c r="PUX41" s="30"/>
      <c r="PUY41" s="29"/>
      <c r="PUZ41" s="30"/>
      <c r="PVA41" s="29"/>
      <c r="PVB41" s="30"/>
      <c r="PVC41" s="29"/>
      <c r="PVD41" s="30"/>
      <c r="PVE41" s="29"/>
      <c r="PVF41" s="30"/>
      <c r="PVG41" s="29"/>
      <c r="PVH41" s="30"/>
      <c r="PVI41" s="29"/>
      <c r="PVJ41" s="30"/>
      <c r="PVK41" s="29"/>
      <c r="PVL41" s="30"/>
      <c r="PVM41" s="29"/>
      <c r="PVN41" s="30"/>
      <c r="PVO41" s="29"/>
      <c r="PVP41" s="30"/>
      <c r="PVQ41" s="29"/>
      <c r="PVR41" s="30"/>
      <c r="PVS41" s="29"/>
      <c r="PVT41" s="30"/>
      <c r="PVU41" s="29"/>
      <c r="PVV41" s="30"/>
      <c r="PVW41" s="29"/>
      <c r="PVX41" s="30"/>
      <c r="PVY41" s="29"/>
      <c r="PVZ41" s="30"/>
      <c r="PWA41" s="29"/>
      <c r="PWB41" s="30"/>
      <c r="PWC41" s="29"/>
      <c r="PWD41" s="30"/>
      <c r="PWE41" s="29"/>
      <c r="PWF41" s="30"/>
      <c r="PWG41" s="29"/>
      <c r="PWH41" s="30"/>
      <c r="PWI41" s="29"/>
      <c r="PWJ41" s="30"/>
      <c r="PWK41" s="29"/>
      <c r="PWL41" s="30"/>
      <c r="PWM41" s="29"/>
      <c r="PWN41" s="30"/>
      <c r="PWO41" s="29"/>
      <c r="PWP41" s="30"/>
      <c r="PWQ41" s="29"/>
      <c r="PWR41" s="30"/>
      <c r="PWS41" s="29"/>
      <c r="PWT41" s="30"/>
      <c r="PWU41" s="29"/>
      <c r="PWV41" s="30"/>
      <c r="PWW41" s="29"/>
      <c r="PWX41" s="30"/>
      <c r="PWY41" s="29"/>
      <c r="PWZ41" s="30"/>
      <c r="PXA41" s="29"/>
      <c r="PXB41" s="30"/>
      <c r="PXC41" s="29"/>
      <c r="PXD41" s="30"/>
      <c r="PXE41" s="29"/>
      <c r="PXF41" s="30"/>
      <c r="PXG41" s="29"/>
      <c r="PXH41" s="30"/>
      <c r="PXI41" s="29"/>
      <c r="PXJ41" s="30"/>
      <c r="PXK41" s="29"/>
      <c r="PXL41" s="30"/>
      <c r="PXM41" s="29"/>
      <c r="PXN41" s="30"/>
      <c r="PXO41" s="29"/>
      <c r="PXP41" s="30"/>
      <c r="PXQ41" s="29"/>
      <c r="PXR41" s="30"/>
      <c r="PXS41" s="29"/>
      <c r="PXT41" s="30"/>
      <c r="PXU41" s="29"/>
      <c r="PXV41" s="30"/>
      <c r="PXW41" s="29"/>
      <c r="PXX41" s="30"/>
      <c r="PXY41" s="29"/>
      <c r="PXZ41" s="30"/>
      <c r="PYA41" s="29"/>
      <c r="PYB41" s="30"/>
      <c r="PYC41" s="29"/>
      <c r="PYD41" s="30"/>
      <c r="PYE41" s="29"/>
      <c r="PYF41" s="30"/>
      <c r="PYG41" s="29"/>
      <c r="PYH41" s="30"/>
      <c r="PYI41" s="29"/>
      <c r="PYJ41" s="30"/>
      <c r="PYK41" s="29"/>
      <c r="PYL41" s="30"/>
      <c r="PYM41" s="29"/>
      <c r="PYN41" s="30"/>
      <c r="PYO41" s="29"/>
      <c r="PYP41" s="30"/>
      <c r="PYQ41" s="29"/>
      <c r="PYR41" s="30"/>
      <c r="PYS41" s="29"/>
      <c r="PYT41" s="30"/>
      <c r="PYU41" s="29"/>
      <c r="PYV41" s="30"/>
      <c r="PYW41" s="29"/>
      <c r="PYX41" s="30"/>
      <c r="PYY41" s="29"/>
      <c r="PYZ41" s="30"/>
      <c r="PZA41" s="29"/>
      <c r="PZB41" s="30"/>
      <c r="PZC41" s="29"/>
      <c r="PZD41" s="30"/>
      <c r="PZE41" s="29"/>
      <c r="PZF41" s="30"/>
      <c r="PZG41" s="29"/>
      <c r="PZH41" s="30"/>
      <c r="PZI41" s="29"/>
      <c r="PZJ41" s="30"/>
      <c r="PZK41" s="29"/>
      <c r="PZL41" s="30"/>
      <c r="PZM41" s="29"/>
      <c r="PZN41" s="30"/>
      <c r="PZO41" s="29"/>
      <c r="PZP41" s="30"/>
      <c r="PZQ41" s="29"/>
      <c r="PZR41" s="30"/>
      <c r="PZS41" s="29"/>
      <c r="PZT41" s="30"/>
      <c r="PZU41" s="29"/>
      <c r="PZV41" s="30"/>
      <c r="PZW41" s="29"/>
      <c r="PZX41" s="30"/>
      <c r="PZY41" s="29"/>
      <c r="PZZ41" s="30"/>
      <c r="QAA41" s="29"/>
      <c r="QAB41" s="30"/>
      <c r="QAC41" s="29"/>
      <c r="QAD41" s="30"/>
      <c r="QAE41" s="29"/>
      <c r="QAF41" s="30"/>
      <c r="QAG41" s="29"/>
      <c r="QAH41" s="30"/>
      <c r="QAI41" s="29"/>
      <c r="QAJ41" s="30"/>
      <c r="QAK41" s="29"/>
      <c r="QAL41" s="30"/>
      <c r="QAM41" s="29"/>
      <c r="QAN41" s="30"/>
      <c r="QAO41" s="29"/>
      <c r="QAP41" s="30"/>
      <c r="QAQ41" s="29"/>
      <c r="QAR41" s="30"/>
      <c r="QAS41" s="29"/>
      <c r="QAT41" s="30"/>
      <c r="QAU41" s="29"/>
      <c r="QAV41" s="30"/>
      <c r="QAW41" s="29"/>
      <c r="QAX41" s="30"/>
      <c r="QAY41" s="29"/>
      <c r="QAZ41" s="30"/>
      <c r="QBA41" s="29"/>
      <c r="QBB41" s="30"/>
      <c r="QBC41" s="29"/>
      <c r="QBD41" s="30"/>
      <c r="QBE41" s="29"/>
      <c r="QBF41" s="30"/>
      <c r="QBG41" s="29"/>
      <c r="QBH41" s="30"/>
      <c r="QBI41" s="29"/>
      <c r="QBJ41" s="30"/>
      <c r="QBK41" s="29"/>
      <c r="QBL41" s="30"/>
      <c r="QBM41" s="29"/>
      <c r="QBN41" s="30"/>
      <c r="QBO41" s="29"/>
      <c r="QBP41" s="30"/>
      <c r="QBQ41" s="29"/>
      <c r="QBR41" s="30"/>
      <c r="QBS41" s="29"/>
      <c r="QBT41" s="30"/>
      <c r="QBU41" s="29"/>
      <c r="QBV41" s="30"/>
      <c r="QBW41" s="29"/>
      <c r="QBX41" s="30"/>
      <c r="QBY41" s="29"/>
      <c r="QBZ41" s="30"/>
      <c r="QCA41" s="29"/>
      <c r="QCB41" s="30"/>
      <c r="QCC41" s="29"/>
      <c r="QCD41" s="30"/>
      <c r="QCE41" s="29"/>
      <c r="QCF41" s="30"/>
      <c r="QCG41" s="29"/>
      <c r="QCH41" s="30"/>
      <c r="QCI41" s="29"/>
      <c r="QCJ41" s="30"/>
      <c r="QCK41" s="29"/>
      <c r="QCL41" s="30"/>
      <c r="QCM41" s="29"/>
      <c r="QCN41" s="30"/>
      <c r="QCO41" s="29"/>
      <c r="QCP41" s="30"/>
      <c r="QCQ41" s="29"/>
      <c r="QCR41" s="30"/>
      <c r="QCS41" s="29"/>
      <c r="QCT41" s="30"/>
      <c r="QCU41" s="29"/>
      <c r="QCV41" s="30"/>
      <c r="QCW41" s="29"/>
      <c r="QCX41" s="30"/>
      <c r="QCY41" s="29"/>
      <c r="QCZ41" s="30"/>
      <c r="QDA41" s="29"/>
      <c r="QDB41" s="30"/>
      <c r="QDC41" s="29"/>
      <c r="QDD41" s="30"/>
      <c r="QDE41" s="29"/>
      <c r="QDF41" s="30"/>
      <c r="QDG41" s="29"/>
      <c r="QDH41" s="30"/>
      <c r="QDI41" s="29"/>
      <c r="QDJ41" s="30"/>
      <c r="QDK41" s="29"/>
      <c r="QDL41" s="30"/>
      <c r="QDM41" s="29"/>
      <c r="QDN41" s="30"/>
      <c r="QDO41" s="29"/>
      <c r="QDP41" s="30"/>
      <c r="QDQ41" s="29"/>
      <c r="QDR41" s="30"/>
      <c r="QDS41" s="29"/>
      <c r="QDT41" s="30"/>
      <c r="QDU41" s="29"/>
      <c r="QDV41" s="30"/>
      <c r="QDW41" s="29"/>
      <c r="QDX41" s="30"/>
      <c r="QDY41" s="29"/>
      <c r="QDZ41" s="30"/>
      <c r="QEA41" s="29"/>
      <c r="QEB41" s="30"/>
      <c r="QEC41" s="29"/>
      <c r="QED41" s="30"/>
      <c r="QEE41" s="29"/>
      <c r="QEF41" s="30"/>
      <c r="QEG41" s="29"/>
      <c r="QEH41" s="30"/>
      <c r="QEI41" s="29"/>
      <c r="QEJ41" s="30"/>
      <c r="QEK41" s="29"/>
      <c r="QEL41" s="30"/>
      <c r="QEM41" s="29"/>
      <c r="QEN41" s="30"/>
      <c r="QEO41" s="29"/>
      <c r="QEP41" s="30"/>
      <c r="QEQ41" s="29"/>
      <c r="QER41" s="30"/>
      <c r="QES41" s="29"/>
      <c r="QET41" s="30"/>
      <c r="QEU41" s="29"/>
      <c r="QEV41" s="30"/>
      <c r="QEW41" s="29"/>
      <c r="QEX41" s="30"/>
      <c r="QEY41" s="29"/>
      <c r="QEZ41" s="30"/>
      <c r="QFA41" s="29"/>
      <c r="QFB41" s="30"/>
      <c r="QFC41" s="29"/>
      <c r="QFD41" s="30"/>
      <c r="QFE41" s="29"/>
      <c r="QFF41" s="30"/>
      <c r="QFG41" s="29"/>
      <c r="QFH41" s="30"/>
      <c r="QFI41" s="29"/>
      <c r="QFJ41" s="30"/>
      <c r="QFK41" s="29"/>
      <c r="QFL41" s="30"/>
      <c r="QFM41" s="29"/>
      <c r="QFN41" s="30"/>
      <c r="QFO41" s="29"/>
      <c r="QFP41" s="30"/>
      <c r="QFQ41" s="29"/>
      <c r="QFR41" s="30"/>
      <c r="QFS41" s="29"/>
      <c r="QFT41" s="30"/>
      <c r="QFU41" s="29"/>
      <c r="QFV41" s="30"/>
      <c r="QFW41" s="29"/>
      <c r="QFX41" s="30"/>
      <c r="QFY41" s="29"/>
      <c r="QFZ41" s="30"/>
      <c r="QGA41" s="29"/>
      <c r="QGB41" s="30"/>
      <c r="QGC41" s="29"/>
      <c r="QGD41" s="30"/>
      <c r="QGE41" s="29"/>
      <c r="QGF41" s="30"/>
      <c r="QGG41" s="29"/>
      <c r="QGH41" s="30"/>
      <c r="QGI41" s="29"/>
      <c r="QGJ41" s="30"/>
      <c r="QGK41" s="29"/>
      <c r="QGL41" s="30"/>
      <c r="QGM41" s="29"/>
      <c r="QGN41" s="30"/>
      <c r="QGO41" s="29"/>
      <c r="QGP41" s="30"/>
      <c r="QGQ41" s="29"/>
      <c r="QGR41" s="30"/>
      <c r="QGS41" s="29"/>
      <c r="QGT41" s="30"/>
      <c r="QGU41" s="29"/>
      <c r="QGV41" s="30"/>
      <c r="QGW41" s="29"/>
      <c r="QGX41" s="30"/>
      <c r="QGY41" s="29"/>
      <c r="QGZ41" s="30"/>
      <c r="QHA41" s="29"/>
      <c r="QHB41" s="30"/>
      <c r="QHC41" s="29"/>
      <c r="QHD41" s="30"/>
      <c r="QHE41" s="29"/>
      <c r="QHF41" s="30"/>
      <c r="QHG41" s="29"/>
      <c r="QHH41" s="30"/>
      <c r="QHI41" s="29"/>
      <c r="QHJ41" s="30"/>
      <c r="QHK41" s="29"/>
      <c r="QHL41" s="30"/>
      <c r="QHM41" s="29"/>
      <c r="QHN41" s="30"/>
      <c r="QHO41" s="29"/>
      <c r="QHP41" s="30"/>
      <c r="QHQ41" s="29"/>
      <c r="QHR41" s="30"/>
      <c r="QHS41" s="29"/>
      <c r="QHT41" s="30"/>
      <c r="QHU41" s="29"/>
      <c r="QHV41" s="30"/>
      <c r="QHW41" s="29"/>
      <c r="QHX41" s="30"/>
      <c r="QHY41" s="29"/>
      <c r="QHZ41" s="30"/>
      <c r="QIA41" s="29"/>
      <c r="QIB41" s="30"/>
      <c r="QIC41" s="29"/>
      <c r="QID41" s="30"/>
      <c r="QIE41" s="29"/>
      <c r="QIF41" s="30"/>
      <c r="QIG41" s="29"/>
      <c r="QIH41" s="30"/>
      <c r="QII41" s="29"/>
      <c r="QIJ41" s="30"/>
      <c r="QIK41" s="29"/>
      <c r="QIL41" s="30"/>
      <c r="QIM41" s="29"/>
      <c r="QIN41" s="30"/>
      <c r="QIO41" s="29"/>
      <c r="QIP41" s="30"/>
      <c r="QIQ41" s="29"/>
      <c r="QIR41" s="30"/>
      <c r="QIS41" s="29"/>
      <c r="QIT41" s="30"/>
      <c r="QIU41" s="29"/>
      <c r="QIV41" s="30"/>
      <c r="QIW41" s="29"/>
      <c r="QIX41" s="30"/>
      <c r="QIY41" s="29"/>
      <c r="QIZ41" s="30"/>
      <c r="QJA41" s="29"/>
      <c r="QJB41" s="30"/>
      <c r="QJC41" s="29"/>
      <c r="QJD41" s="30"/>
      <c r="QJE41" s="29"/>
      <c r="QJF41" s="30"/>
      <c r="QJG41" s="29"/>
      <c r="QJH41" s="30"/>
      <c r="QJI41" s="29"/>
      <c r="QJJ41" s="30"/>
      <c r="QJK41" s="29"/>
      <c r="QJL41" s="30"/>
      <c r="QJM41" s="29"/>
      <c r="QJN41" s="30"/>
      <c r="QJO41" s="29"/>
      <c r="QJP41" s="30"/>
      <c r="QJQ41" s="29"/>
      <c r="QJR41" s="30"/>
      <c r="QJS41" s="29"/>
      <c r="QJT41" s="30"/>
      <c r="QJU41" s="29"/>
      <c r="QJV41" s="30"/>
      <c r="QJW41" s="29"/>
      <c r="QJX41" s="30"/>
      <c r="QJY41" s="29"/>
      <c r="QJZ41" s="30"/>
      <c r="QKA41" s="29"/>
      <c r="QKB41" s="30"/>
      <c r="QKC41" s="29"/>
      <c r="QKD41" s="30"/>
      <c r="QKE41" s="29"/>
      <c r="QKF41" s="30"/>
      <c r="QKG41" s="29"/>
      <c r="QKH41" s="30"/>
      <c r="QKI41" s="29"/>
      <c r="QKJ41" s="30"/>
      <c r="QKK41" s="29"/>
      <c r="QKL41" s="30"/>
      <c r="QKM41" s="29"/>
      <c r="QKN41" s="30"/>
      <c r="QKO41" s="29"/>
      <c r="QKP41" s="30"/>
      <c r="QKQ41" s="29"/>
      <c r="QKR41" s="30"/>
      <c r="QKS41" s="29"/>
      <c r="QKT41" s="30"/>
      <c r="QKU41" s="29"/>
      <c r="QKV41" s="30"/>
      <c r="QKW41" s="29"/>
      <c r="QKX41" s="30"/>
      <c r="QKY41" s="29"/>
      <c r="QKZ41" s="30"/>
      <c r="QLA41" s="29"/>
      <c r="QLB41" s="30"/>
      <c r="QLC41" s="29"/>
      <c r="QLD41" s="30"/>
      <c r="QLE41" s="29"/>
      <c r="QLF41" s="30"/>
      <c r="QLG41" s="29"/>
      <c r="QLH41" s="30"/>
      <c r="QLI41" s="29"/>
      <c r="QLJ41" s="30"/>
      <c r="QLK41" s="29"/>
      <c r="QLL41" s="30"/>
      <c r="QLM41" s="29"/>
      <c r="QLN41" s="30"/>
      <c r="QLO41" s="29"/>
      <c r="QLP41" s="30"/>
      <c r="QLQ41" s="29"/>
      <c r="QLR41" s="30"/>
      <c r="QLS41" s="29"/>
      <c r="QLT41" s="30"/>
      <c r="QLU41" s="29"/>
      <c r="QLV41" s="30"/>
      <c r="QLW41" s="29"/>
      <c r="QLX41" s="30"/>
      <c r="QLY41" s="29"/>
      <c r="QLZ41" s="30"/>
      <c r="QMA41" s="29"/>
      <c r="QMB41" s="30"/>
      <c r="QMC41" s="29"/>
      <c r="QMD41" s="30"/>
      <c r="QME41" s="29"/>
      <c r="QMF41" s="30"/>
      <c r="QMG41" s="29"/>
      <c r="QMH41" s="30"/>
      <c r="QMI41" s="29"/>
      <c r="QMJ41" s="30"/>
      <c r="QMK41" s="29"/>
      <c r="QML41" s="30"/>
      <c r="QMM41" s="29"/>
      <c r="QMN41" s="30"/>
      <c r="QMO41" s="29"/>
      <c r="QMP41" s="30"/>
      <c r="QMQ41" s="29"/>
      <c r="QMR41" s="30"/>
      <c r="QMS41" s="29"/>
      <c r="QMT41" s="30"/>
      <c r="QMU41" s="29"/>
      <c r="QMV41" s="30"/>
      <c r="QMW41" s="29"/>
      <c r="QMX41" s="30"/>
      <c r="QMY41" s="29"/>
      <c r="QMZ41" s="30"/>
      <c r="QNA41" s="29"/>
      <c r="QNB41" s="30"/>
      <c r="QNC41" s="29"/>
      <c r="QND41" s="30"/>
      <c r="QNE41" s="29"/>
      <c r="QNF41" s="30"/>
      <c r="QNG41" s="29"/>
      <c r="QNH41" s="30"/>
      <c r="QNI41" s="29"/>
      <c r="QNJ41" s="30"/>
      <c r="QNK41" s="29"/>
      <c r="QNL41" s="30"/>
      <c r="QNM41" s="29"/>
      <c r="QNN41" s="30"/>
      <c r="QNO41" s="29"/>
      <c r="QNP41" s="30"/>
      <c r="QNQ41" s="29"/>
      <c r="QNR41" s="30"/>
      <c r="QNS41" s="29"/>
      <c r="QNT41" s="30"/>
      <c r="QNU41" s="29"/>
      <c r="QNV41" s="30"/>
      <c r="QNW41" s="29"/>
      <c r="QNX41" s="30"/>
      <c r="QNY41" s="29"/>
      <c r="QNZ41" s="30"/>
      <c r="QOA41" s="29"/>
      <c r="QOB41" s="30"/>
      <c r="QOC41" s="29"/>
      <c r="QOD41" s="30"/>
      <c r="QOE41" s="29"/>
      <c r="QOF41" s="30"/>
      <c r="QOG41" s="29"/>
      <c r="QOH41" s="30"/>
      <c r="QOI41" s="29"/>
      <c r="QOJ41" s="30"/>
      <c r="QOK41" s="29"/>
      <c r="QOL41" s="30"/>
      <c r="QOM41" s="29"/>
      <c r="QON41" s="30"/>
      <c r="QOO41" s="29"/>
      <c r="QOP41" s="30"/>
      <c r="QOQ41" s="29"/>
      <c r="QOR41" s="30"/>
      <c r="QOS41" s="29"/>
      <c r="QOT41" s="30"/>
      <c r="QOU41" s="29"/>
      <c r="QOV41" s="30"/>
      <c r="QOW41" s="29"/>
      <c r="QOX41" s="30"/>
      <c r="QOY41" s="29"/>
      <c r="QOZ41" s="30"/>
      <c r="QPA41" s="29"/>
      <c r="QPB41" s="30"/>
      <c r="QPC41" s="29"/>
      <c r="QPD41" s="30"/>
      <c r="QPE41" s="29"/>
      <c r="QPF41" s="30"/>
      <c r="QPG41" s="29"/>
      <c r="QPH41" s="30"/>
      <c r="QPI41" s="29"/>
      <c r="QPJ41" s="30"/>
      <c r="QPK41" s="29"/>
      <c r="QPL41" s="30"/>
      <c r="QPM41" s="29"/>
      <c r="QPN41" s="30"/>
      <c r="QPO41" s="29"/>
      <c r="QPP41" s="30"/>
      <c r="QPQ41" s="29"/>
      <c r="QPR41" s="30"/>
      <c r="QPS41" s="29"/>
      <c r="QPT41" s="30"/>
      <c r="QPU41" s="29"/>
      <c r="QPV41" s="30"/>
      <c r="QPW41" s="29"/>
      <c r="QPX41" s="30"/>
      <c r="QPY41" s="29"/>
      <c r="QPZ41" s="30"/>
      <c r="QQA41" s="29"/>
      <c r="QQB41" s="30"/>
      <c r="QQC41" s="29"/>
      <c r="QQD41" s="30"/>
      <c r="QQE41" s="29"/>
      <c r="QQF41" s="30"/>
      <c r="QQG41" s="29"/>
      <c r="QQH41" s="30"/>
      <c r="QQI41" s="29"/>
      <c r="QQJ41" s="30"/>
      <c r="QQK41" s="29"/>
      <c r="QQL41" s="30"/>
      <c r="QQM41" s="29"/>
      <c r="QQN41" s="30"/>
      <c r="QQO41" s="29"/>
      <c r="QQP41" s="30"/>
      <c r="QQQ41" s="29"/>
      <c r="QQR41" s="30"/>
      <c r="QQS41" s="29"/>
      <c r="QQT41" s="30"/>
      <c r="QQU41" s="29"/>
      <c r="QQV41" s="30"/>
      <c r="QQW41" s="29"/>
      <c r="QQX41" s="30"/>
      <c r="QQY41" s="29"/>
      <c r="QQZ41" s="30"/>
      <c r="QRA41" s="29"/>
      <c r="QRB41" s="30"/>
      <c r="QRC41" s="29"/>
      <c r="QRD41" s="30"/>
      <c r="QRE41" s="29"/>
      <c r="QRF41" s="30"/>
      <c r="QRG41" s="29"/>
      <c r="QRH41" s="30"/>
      <c r="QRI41" s="29"/>
      <c r="QRJ41" s="30"/>
      <c r="QRK41" s="29"/>
      <c r="QRL41" s="30"/>
      <c r="QRM41" s="29"/>
      <c r="QRN41" s="30"/>
      <c r="QRO41" s="29"/>
      <c r="QRP41" s="30"/>
      <c r="QRQ41" s="29"/>
      <c r="QRR41" s="30"/>
      <c r="QRS41" s="29"/>
      <c r="QRT41" s="30"/>
      <c r="QRU41" s="29"/>
      <c r="QRV41" s="30"/>
      <c r="QRW41" s="29"/>
      <c r="QRX41" s="30"/>
      <c r="QRY41" s="29"/>
      <c r="QRZ41" s="30"/>
      <c r="QSA41" s="29"/>
      <c r="QSB41" s="30"/>
      <c r="QSC41" s="29"/>
      <c r="QSD41" s="30"/>
      <c r="QSE41" s="29"/>
      <c r="QSF41" s="30"/>
      <c r="QSG41" s="29"/>
      <c r="QSH41" s="30"/>
      <c r="QSI41" s="29"/>
      <c r="QSJ41" s="30"/>
      <c r="QSK41" s="29"/>
      <c r="QSL41" s="30"/>
      <c r="QSM41" s="29"/>
      <c r="QSN41" s="30"/>
      <c r="QSO41" s="29"/>
      <c r="QSP41" s="30"/>
      <c r="QSQ41" s="29"/>
      <c r="QSR41" s="30"/>
      <c r="QSS41" s="29"/>
      <c r="QST41" s="30"/>
      <c r="QSU41" s="29"/>
      <c r="QSV41" s="30"/>
      <c r="QSW41" s="29"/>
      <c r="QSX41" s="30"/>
      <c r="QSY41" s="29"/>
      <c r="QSZ41" s="30"/>
      <c r="QTA41" s="29"/>
      <c r="QTB41" s="30"/>
      <c r="QTC41" s="29"/>
      <c r="QTD41" s="30"/>
      <c r="QTE41" s="29"/>
      <c r="QTF41" s="30"/>
      <c r="QTG41" s="29"/>
      <c r="QTH41" s="30"/>
      <c r="QTI41" s="29"/>
      <c r="QTJ41" s="30"/>
      <c r="QTK41" s="29"/>
      <c r="QTL41" s="30"/>
      <c r="QTM41" s="29"/>
      <c r="QTN41" s="30"/>
      <c r="QTO41" s="29"/>
      <c r="QTP41" s="30"/>
      <c r="QTQ41" s="29"/>
      <c r="QTR41" s="30"/>
      <c r="QTS41" s="29"/>
      <c r="QTT41" s="30"/>
      <c r="QTU41" s="29"/>
      <c r="QTV41" s="30"/>
      <c r="QTW41" s="29"/>
      <c r="QTX41" s="30"/>
      <c r="QTY41" s="29"/>
      <c r="QTZ41" s="30"/>
      <c r="QUA41" s="29"/>
      <c r="QUB41" s="30"/>
      <c r="QUC41" s="29"/>
      <c r="QUD41" s="30"/>
      <c r="QUE41" s="29"/>
      <c r="QUF41" s="30"/>
      <c r="QUG41" s="29"/>
      <c r="QUH41" s="30"/>
      <c r="QUI41" s="29"/>
      <c r="QUJ41" s="30"/>
      <c r="QUK41" s="29"/>
      <c r="QUL41" s="30"/>
      <c r="QUM41" s="29"/>
      <c r="QUN41" s="30"/>
      <c r="QUO41" s="29"/>
      <c r="QUP41" s="30"/>
      <c r="QUQ41" s="29"/>
      <c r="QUR41" s="30"/>
      <c r="QUS41" s="29"/>
      <c r="QUT41" s="30"/>
      <c r="QUU41" s="29"/>
      <c r="QUV41" s="30"/>
      <c r="QUW41" s="29"/>
      <c r="QUX41" s="30"/>
      <c r="QUY41" s="29"/>
      <c r="QUZ41" s="30"/>
      <c r="QVA41" s="29"/>
      <c r="QVB41" s="30"/>
      <c r="QVC41" s="29"/>
      <c r="QVD41" s="30"/>
      <c r="QVE41" s="29"/>
      <c r="QVF41" s="30"/>
      <c r="QVG41" s="29"/>
      <c r="QVH41" s="30"/>
      <c r="QVI41" s="29"/>
      <c r="QVJ41" s="30"/>
      <c r="QVK41" s="29"/>
      <c r="QVL41" s="30"/>
      <c r="QVM41" s="29"/>
      <c r="QVN41" s="30"/>
      <c r="QVO41" s="29"/>
      <c r="QVP41" s="30"/>
      <c r="QVQ41" s="29"/>
      <c r="QVR41" s="30"/>
      <c r="QVS41" s="29"/>
      <c r="QVT41" s="30"/>
      <c r="QVU41" s="29"/>
      <c r="QVV41" s="30"/>
      <c r="QVW41" s="29"/>
      <c r="QVX41" s="30"/>
      <c r="QVY41" s="29"/>
      <c r="QVZ41" s="30"/>
      <c r="QWA41" s="29"/>
      <c r="QWB41" s="30"/>
      <c r="QWC41" s="29"/>
      <c r="QWD41" s="30"/>
      <c r="QWE41" s="29"/>
      <c r="QWF41" s="30"/>
      <c r="QWG41" s="29"/>
      <c r="QWH41" s="30"/>
      <c r="QWI41" s="29"/>
      <c r="QWJ41" s="30"/>
      <c r="QWK41" s="29"/>
      <c r="QWL41" s="30"/>
      <c r="QWM41" s="29"/>
      <c r="QWN41" s="30"/>
      <c r="QWO41" s="29"/>
      <c r="QWP41" s="30"/>
      <c r="QWQ41" s="29"/>
      <c r="QWR41" s="30"/>
      <c r="QWS41" s="29"/>
      <c r="QWT41" s="30"/>
      <c r="QWU41" s="29"/>
      <c r="QWV41" s="30"/>
      <c r="QWW41" s="29"/>
      <c r="QWX41" s="30"/>
      <c r="QWY41" s="29"/>
      <c r="QWZ41" s="30"/>
      <c r="QXA41" s="29"/>
      <c r="QXB41" s="30"/>
      <c r="QXC41" s="29"/>
      <c r="QXD41" s="30"/>
      <c r="QXE41" s="29"/>
      <c r="QXF41" s="30"/>
      <c r="QXG41" s="29"/>
      <c r="QXH41" s="30"/>
      <c r="QXI41" s="29"/>
      <c r="QXJ41" s="30"/>
      <c r="QXK41" s="29"/>
      <c r="QXL41" s="30"/>
      <c r="QXM41" s="29"/>
      <c r="QXN41" s="30"/>
      <c r="QXO41" s="29"/>
      <c r="QXP41" s="30"/>
      <c r="QXQ41" s="29"/>
      <c r="QXR41" s="30"/>
      <c r="QXS41" s="29"/>
      <c r="QXT41" s="30"/>
      <c r="QXU41" s="29"/>
      <c r="QXV41" s="30"/>
      <c r="QXW41" s="29"/>
      <c r="QXX41" s="30"/>
      <c r="QXY41" s="29"/>
      <c r="QXZ41" s="30"/>
      <c r="QYA41" s="29"/>
      <c r="QYB41" s="30"/>
      <c r="QYC41" s="29"/>
      <c r="QYD41" s="30"/>
      <c r="QYE41" s="29"/>
      <c r="QYF41" s="30"/>
      <c r="QYG41" s="29"/>
      <c r="QYH41" s="30"/>
      <c r="QYI41" s="29"/>
      <c r="QYJ41" s="30"/>
      <c r="QYK41" s="29"/>
      <c r="QYL41" s="30"/>
      <c r="QYM41" s="29"/>
      <c r="QYN41" s="30"/>
      <c r="QYO41" s="29"/>
      <c r="QYP41" s="30"/>
      <c r="QYQ41" s="29"/>
      <c r="QYR41" s="30"/>
      <c r="QYS41" s="29"/>
      <c r="QYT41" s="30"/>
      <c r="QYU41" s="29"/>
      <c r="QYV41" s="30"/>
      <c r="QYW41" s="29"/>
      <c r="QYX41" s="30"/>
      <c r="QYY41" s="29"/>
      <c r="QYZ41" s="30"/>
      <c r="QZA41" s="29"/>
      <c r="QZB41" s="30"/>
      <c r="QZC41" s="29"/>
      <c r="QZD41" s="30"/>
      <c r="QZE41" s="29"/>
      <c r="QZF41" s="30"/>
      <c r="QZG41" s="29"/>
      <c r="QZH41" s="30"/>
      <c r="QZI41" s="29"/>
      <c r="QZJ41" s="30"/>
      <c r="QZK41" s="29"/>
      <c r="QZL41" s="30"/>
      <c r="QZM41" s="29"/>
      <c r="QZN41" s="30"/>
      <c r="QZO41" s="29"/>
      <c r="QZP41" s="30"/>
      <c r="QZQ41" s="29"/>
      <c r="QZR41" s="30"/>
      <c r="QZS41" s="29"/>
      <c r="QZT41" s="30"/>
      <c r="QZU41" s="29"/>
      <c r="QZV41" s="30"/>
      <c r="QZW41" s="29"/>
      <c r="QZX41" s="30"/>
      <c r="QZY41" s="29"/>
      <c r="QZZ41" s="30"/>
      <c r="RAA41" s="29"/>
      <c r="RAB41" s="30"/>
      <c r="RAC41" s="29"/>
      <c r="RAD41" s="30"/>
      <c r="RAE41" s="29"/>
      <c r="RAF41" s="30"/>
      <c r="RAG41" s="29"/>
      <c r="RAH41" s="30"/>
      <c r="RAI41" s="29"/>
      <c r="RAJ41" s="30"/>
      <c r="RAK41" s="29"/>
      <c r="RAL41" s="30"/>
      <c r="RAM41" s="29"/>
      <c r="RAN41" s="30"/>
      <c r="RAO41" s="29"/>
      <c r="RAP41" s="30"/>
      <c r="RAQ41" s="29"/>
      <c r="RAR41" s="30"/>
      <c r="RAS41" s="29"/>
      <c r="RAT41" s="30"/>
      <c r="RAU41" s="29"/>
      <c r="RAV41" s="30"/>
      <c r="RAW41" s="29"/>
      <c r="RAX41" s="30"/>
      <c r="RAY41" s="29"/>
      <c r="RAZ41" s="30"/>
      <c r="RBA41" s="29"/>
      <c r="RBB41" s="30"/>
      <c r="RBC41" s="29"/>
      <c r="RBD41" s="30"/>
      <c r="RBE41" s="29"/>
      <c r="RBF41" s="30"/>
      <c r="RBG41" s="29"/>
      <c r="RBH41" s="30"/>
      <c r="RBI41" s="29"/>
      <c r="RBJ41" s="30"/>
      <c r="RBK41" s="29"/>
      <c r="RBL41" s="30"/>
      <c r="RBM41" s="29"/>
      <c r="RBN41" s="30"/>
      <c r="RBO41" s="29"/>
      <c r="RBP41" s="30"/>
      <c r="RBQ41" s="29"/>
      <c r="RBR41" s="30"/>
      <c r="RBS41" s="29"/>
      <c r="RBT41" s="30"/>
      <c r="RBU41" s="29"/>
      <c r="RBV41" s="30"/>
      <c r="RBW41" s="29"/>
      <c r="RBX41" s="30"/>
      <c r="RBY41" s="29"/>
      <c r="RBZ41" s="30"/>
      <c r="RCA41" s="29"/>
      <c r="RCB41" s="30"/>
      <c r="RCC41" s="29"/>
      <c r="RCD41" s="30"/>
      <c r="RCE41" s="29"/>
      <c r="RCF41" s="30"/>
      <c r="RCG41" s="29"/>
      <c r="RCH41" s="30"/>
      <c r="RCI41" s="29"/>
      <c r="RCJ41" s="30"/>
      <c r="RCK41" s="29"/>
      <c r="RCL41" s="30"/>
      <c r="RCM41" s="29"/>
      <c r="RCN41" s="30"/>
      <c r="RCO41" s="29"/>
      <c r="RCP41" s="30"/>
      <c r="RCQ41" s="29"/>
      <c r="RCR41" s="30"/>
      <c r="RCS41" s="29"/>
      <c r="RCT41" s="30"/>
      <c r="RCU41" s="29"/>
      <c r="RCV41" s="30"/>
      <c r="RCW41" s="29"/>
      <c r="RCX41" s="30"/>
      <c r="RCY41" s="29"/>
      <c r="RCZ41" s="30"/>
      <c r="RDA41" s="29"/>
      <c r="RDB41" s="30"/>
      <c r="RDC41" s="29"/>
      <c r="RDD41" s="30"/>
      <c r="RDE41" s="29"/>
      <c r="RDF41" s="30"/>
      <c r="RDG41" s="29"/>
      <c r="RDH41" s="30"/>
      <c r="RDI41" s="29"/>
      <c r="RDJ41" s="30"/>
      <c r="RDK41" s="29"/>
      <c r="RDL41" s="30"/>
      <c r="RDM41" s="29"/>
      <c r="RDN41" s="30"/>
      <c r="RDO41" s="29"/>
      <c r="RDP41" s="30"/>
      <c r="RDQ41" s="29"/>
      <c r="RDR41" s="30"/>
      <c r="RDS41" s="29"/>
      <c r="RDT41" s="30"/>
      <c r="RDU41" s="29"/>
      <c r="RDV41" s="30"/>
      <c r="RDW41" s="29"/>
      <c r="RDX41" s="30"/>
      <c r="RDY41" s="29"/>
      <c r="RDZ41" s="30"/>
      <c r="REA41" s="29"/>
      <c r="REB41" s="30"/>
      <c r="REC41" s="29"/>
      <c r="RED41" s="30"/>
      <c r="REE41" s="29"/>
      <c r="REF41" s="30"/>
      <c r="REG41" s="29"/>
      <c r="REH41" s="30"/>
      <c r="REI41" s="29"/>
      <c r="REJ41" s="30"/>
      <c r="REK41" s="29"/>
      <c r="REL41" s="30"/>
      <c r="REM41" s="29"/>
      <c r="REN41" s="30"/>
      <c r="REO41" s="29"/>
      <c r="REP41" s="30"/>
      <c r="REQ41" s="29"/>
      <c r="RER41" s="30"/>
      <c r="RES41" s="29"/>
      <c r="RET41" s="30"/>
      <c r="REU41" s="29"/>
      <c r="REV41" s="30"/>
      <c r="REW41" s="29"/>
      <c r="REX41" s="30"/>
      <c r="REY41" s="29"/>
      <c r="REZ41" s="30"/>
      <c r="RFA41" s="29"/>
      <c r="RFB41" s="30"/>
      <c r="RFC41" s="29"/>
      <c r="RFD41" s="30"/>
      <c r="RFE41" s="29"/>
      <c r="RFF41" s="30"/>
      <c r="RFG41" s="29"/>
      <c r="RFH41" s="30"/>
      <c r="RFI41" s="29"/>
      <c r="RFJ41" s="30"/>
      <c r="RFK41" s="29"/>
      <c r="RFL41" s="30"/>
      <c r="RFM41" s="29"/>
      <c r="RFN41" s="30"/>
      <c r="RFO41" s="29"/>
      <c r="RFP41" s="30"/>
      <c r="RFQ41" s="29"/>
      <c r="RFR41" s="30"/>
      <c r="RFS41" s="29"/>
      <c r="RFT41" s="30"/>
      <c r="RFU41" s="29"/>
      <c r="RFV41" s="30"/>
      <c r="RFW41" s="29"/>
      <c r="RFX41" s="30"/>
      <c r="RFY41" s="29"/>
      <c r="RFZ41" s="30"/>
      <c r="RGA41" s="29"/>
      <c r="RGB41" s="30"/>
      <c r="RGC41" s="29"/>
      <c r="RGD41" s="30"/>
      <c r="RGE41" s="29"/>
      <c r="RGF41" s="30"/>
      <c r="RGG41" s="29"/>
      <c r="RGH41" s="30"/>
      <c r="RGI41" s="29"/>
      <c r="RGJ41" s="30"/>
      <c r="RGK41" s="29"/>
      <c r="RGL41" s="30"/>
      <c r="RGM41" s="29"/>
      <c r="RGN41" s="30"/>
      <c r="RGO41" s="29"/>
      <c r="RGP41" s="30"/>
      <c r="RGQ41" s="29"/>
      <c r="RGR41" s="30"/>
      <c r="RGS41" s="29"/>
      <c r="RGT41" s="30"/>
      <c r="RGU41" s="29"/>
      <c r="RGV41" s="30"/>
      <c r="RGW41" s="29"/>
      <c r="RGX41" s="30"/>
      <c r="RGY41" s="29"/>
      <c r="RGZ41" s="30"/>
      <c r="RHA41" s="29"/>
      <c r="RHB41" s="30"/>
      <c r="RHC41" s="29"/>
      <c r="RHD41" s="30"/>
      <c r="RHE41" s="29"/>
      <c r="RHF41" s="30"/>
      <c r="RHG41" s="29"/>
      <c r="RHH41" s="30"/>
      <c r="RHI41" s="29"/>
      <c r="RHJ41" s="30"/>
      <c r="RHK41" s="29"/>
      <c r="RHL41" s="30"/>
      <c r="RHM41" s="29"/>
      <c r="RHN41" s="30"/>
      <c r="RHO41" s="29"/>
      <c r="RHP41" s="30"/>
      <c r="RHQ41" s="29"/>
      <c r="RHR41" s="30"/>
      <c r="RHS41" s="29"/>
      <c r="RHT41" s="30"/>
      <c r="RHU41" s="29"/>
      <c r="RHV41" s="30"/>
      <c r="RHW41" s="29"/>
      <c r="RHX41" s="30"/>
      <c r="RHY41" s="29"/>
      <c r="RHZ41" s="30"/>
      <c r="RIA41" s="29"/>
      <c r="RIB41" s="30"/>
      <c r="RIC41" s="29"/>
      <c r="RID41" s="30"/>
      <c r="RIE41" s="29"/>
      <c r="RIF41" s="30"/>
      <c r="RIG41" s="29"/>
      <c r="RIH41" s="30"/>
      <c r="RII41" s="29"/>
      <c r="RIJ41" s="30"/>
      <c r="RIK41" s="29"/>
      <c r="RIL41" s="30"/>
      <c r="RIM41" s="29"/>
      <c r="RIN41" s="30"/>
      <c r="RIO41" s="29"/>
      <c r="RIP41" s="30"/>
      <c r="RIQ41" s="29"/>
      <c r="RIR41" s="30"/>
      <c r="RIS41" s="29"/>
      <c r="RIT41" s="30"/>
      <c r="RIU41" s="29"/>
      <c r="RIV41" s="30"/>
      <c r="RIW41" s="29"/>
      <c r="RIX41" s="30"/>
      <c r="RIY41" s="29"/>
      <c r="RIZ41" s="30"/>
      <c r="RJA41" s="29"/>
      <c r="RJB41" s="30"/>
      <c r="RJC41" s="29"/>
      <c r="RJD41" s="30"/>
      <c r="RJE41" s="29"/>
      <c r="RJF41" s="30"/>
      <c r="RJG41" s="29"/>
      <c r="RJH41" s="30"/>
      <c r="RJI41" s="29"/>
      <c r="RJJ41" s="30"/>
      <c r="RJK41" s="29"/>
      <c r="RJL41" s="30"/>
      <c r="RJM41" s="29"/>
      <c r="RJN41" s="30"/>
      <c r="RJO41" s="29"/>
      <c r="RJP41" s="30"/>
      <c r="RJQ41" s="29"/>
      <c r="RJR41" s="30"/>
      <c r="RJS41" s="29"/>
      <c r="RJT41" s="30"/>
      <c r="RJU41" s="29"/>
      <c r="RJV41" s="30"/>
      <c r="RJW41" s="29"/>
      <c r="RJX41" s="30"/>
      <c r="RJY41" s="29"/>
      <c r="RJZ41" s="30"/>
      <c r="RKA41" s="29"/>
      <c r="RKB41" s="30"/>
      <c r="RKC41" s="29"/>
      <c r="RKD41" s="30"/>
      <c r="RKE41" s="29"/>
      <c r="RKF41" s="30"/>
      <c r="RKG41" s="29"/>
      <c r="RKH41" s="30"/>
      <c r="RKI41" s="29"/>
      <c r="RKJ41" s="30"/>
      <c r="RKK41" s="29"/>
      <c r="RKL41" s="30"/>
      <c r="RKM41" s="29"/>
      <c r="RKN41" s="30"/>
      <c r="RKO41" s="29"/>
      <c r="RKP41" s="30"/>
      <c r="RKQ41" s="29"/>
      <c r="RKR41" s="30"/>
      <c r="RKS41" s="29"/>
      <c r="RKT41" s="30"/>
      <c r="RKU41" s="29"/>
      <c r="RKV41" s="30"/>
      <c r="RKW41" s="29"/>
      <c r="RKX41" s="30"/>
      <c r="RKY41" s="29"/>
      <c r="RKZ41" s="30"/>
      <c r="RLA41" s="29"/>
      <c r="RLB41" s="30"/>
      <c r="RLC41" s="29"/>
      <c r="RLD41" s="30"/>
      <c r="RLE41" s="29"/>
      <c r="RLF41" s="30"/>
      <c r="RLG41" s="29"/>
      <c r="RLH41" s="30"/>
      <c r="RLI41" s="29"/>
      <c r="RLJ41" s="30"/>
      <c r="RLK41" s="29"/>
      <c r="RLL41" s="30"/>
      <c r="RLM41" s="29"/>
      <c r="RLN41" s="30"/>
      <c r="RLO41" s="29"/>
      <c r="RLP41" s="30"/>
      <c r="RLQ41" s="29"/>
      <c r="RLR41" s="30"/>
      <c r="RLS41" s="29"/>
      <c r="RLT41" s="30"/>
      <c r="RLU41" s="29"/>
      <c r="RLV41" s="30"/>
      <c r="RLW41" s="29"/>
      <c r="RLX41" s="30"/>
      <c r="RLY41" s="29"/>
      <c r="RLZ41" s="30"/>
      <c r="RMA41" s="29"/>
      <c r="RMB41" s="30"/>
      <c r="RMC41" s="29"/>
      <c r="RMD41" s="30"/>
      <c r="RME41" s="29"/>
      <c r="RMF41" s="30"/>
      <c r="RMG41" s="29"/>
      <c r="RMH41" s="30"/>
      <c r="RMI41" s="29"/>
      <c r="RMJ41" s="30"/>
      <c r="RMK41" s="29"/>
      <c r="RML41" s="30"/>
      <c r="RMM41" s="29"/>
      <c r="RMN41" s="30"/>
      <c r="RMO41" s="29"/>
      <c r="RMP41" s="30"/>
      <c r="RMQ41" s="29"/>
      <c r="RMR41" s="30"/>
      <c r="RMS41" s="29"/>
      <c r="RMT41" s="30"/>
      <c r="RMU41" s="29"/>
      <c r="RMV41" s="30"/>
      <c r="RMW41" s="29"/>
      <c r="RMX41" s="30"/>
      <c r="RMY41" s="29"/>
      <c r="RMZ41" s="30"/>
      <c r="RNA41" s="29"/>
      <c r="RNB41" s="30"/>
      <c r="RNC41" s="29"/>
      <c r="RND41" s="30"/>
      <c r="RNE41" s="29"/>
      <c r="RNF41" s="30"/>
      <c r="RNG41" s="29"/>
      <c r="RNH41" s="30"/>
      <c r="RNI41" s="29"/>
      <c r="RNJ41" s="30"/>
      <c r="RNK41" s="29"/>
      <c r="RNL41" s="30"/>
      <c r="RNM41" s="29"/>
      <c r="RNN41" s="30"/>
      <c r="RNO41" s="29"/>
      <c r="RNP41" s="30"/>
      <c r="RNQ41" s="29"/>
      <c r="RNR41" s="30"/>
      <c r="RNS41" s="29"/>
      <c r="RNT41" s="30"/>
      <c r="RNU41" s="29"/>
      <c r="RNV41" s="30"/>
      <c r="RNW41" s="29"/>
      <c r="RNX41" s="30"/>
      <c r="RNY41" s="29"/>
      <c r="RNZ41" s="30"/>
      <c r="ROA41" s="29"/>
      <c r="ROB41" s="30"/>
      <c r="ROC41" s="29"/>
      <c r="ROD41" s="30"/>
      <c r="ROE41" s="29"/>
      <c r="ROF41" s="30"/>
      <c r="ROG41" s="29"/>
      <c r="ROH41" s="30"/>
      <c r="ROI41" s="29"/>
      <c r="ROJ41" s="30"/>
      <c r="ROK41" s="29"/>
      <c r="ROL41" s="30"/>
      <c r="ROM41" s="29"/>
      <c r="RON41" s="30"/>
      <c r="ROO41" s="29"/>
      <c r="ROP41" s="30"/>
      <c r="ROQ41" s="29"/>
      <c r="ROR41" s="30"/>
      <c r="ROS41" s="29"/>
      <c r="ROT41" s="30"/>
      <c r="ROU41" s="29"/>
      <c r="ROV41" s="30"/>
      <c r="ROW41" s="29"/>
      <c r="ROX41" s="30"/>
      <c r="ROY41" s="29"/>
      <c r="ROZ41" s="30"/>
      <c r="RPA41" s="29"/>
      <c r="RPB41" s="30"/>
      <c r="RPC41" s="29"/>
      <c r="RPD41" s="30"/>
      <c r="RPE41" s="29"/>
      <c r="RPF41" s="30"/>
      <c r="RPG41" s="29"/>
      <c r="RPH41" s="30"/>
      <c r="RPI41" s="29"/>
      <c r="RPJ41" s="30"/>
      <c r="RPK41" s="29"/>
      <c r="RPL41" s="30"/>
      <c r="RPM41" s="29"/>
      <c r="RPN41" s="30"/>
      <c r="RPO41" s="29"/>
      <c r="RPP41" s="30"/>
      <c r="RPQ41" s="29"/>
      <c r="RPR41" s="30"/>
      <c r="RPS41" s="29"/>
      <c r="RPT41" s="30"/>
      <c r="RPU41" s="29"/>
      <c r="RPV41" s="30"/>
      <c r="RPW41" s="29"/>
      <c r="RPX41" s="30"/>
      <c r="RPY41" s="29"/>
      <c r="RPZ41" s="30"/>
      <c r="RQA41" s="29"/>
      <c r="RQB41" s="30"/>
      <c r="RQC41" s="29"/>
      <c r="RQD41" s="30"/>
      <c r="RQE41" s="29"/>
      <c r="RQF41" s="30"/>
      <c r="RQG41" s="29"/>
      <c r="RQH41" s="30"/>
      <c r="RQI41" s="29"/>
      <c r="RQJ41" s="30"/>
      <c r="RQK41" s="29"/>
      <c r="RQL41" s="30"/>
      <c r="RQM41" s="29"/>
      <c r="RQN41" s="30"/>
      <c r="RQO41" s="29"/>
      <c r="RQP41" s="30"/>
      <c r="RQQ41" s="29"/>
      <c r="RQR41" s="30"/>
      <c r="RQS41" s="29"/>
      <c r="RQT41" s="30"/>
      <c r="RQU41" s="29"/>
      <c r="RQV41" s="30"/>
      <c r="RQW41" s="29"/>
      <c r="RQX41" s="30"/>
      <c r="RQY41" s="29"/>
      <c r="RQZ41" s="30"/>
      <c r="RRA41" s="29"/>
      <c r="RRB41" s="30"/>
      <c r="RRC41" s="29"/>
      <c r="RRD41" s="30"/>
      <c r="RRE41" s="29"/>
      <c r="RRF41" s="30"/>
      <c r="RRG41" s="29"/>
      <c r="RRH41" s="30"/>
      <c r="RRI41" s="29"/>
      <c r="RRJ41" s="30"/>
      <c r="RRK41" s="29"/>
      <c r="RRL41" s="30"/>
      <c r="RRM41" s="29"/>
      <c r="RRN41" s="30"/>
      <c r="RRO41" s="29"/>
      <c r="RRP41" s="30"/>
      <c r="RRQ41" s="29"/>
      <c r="RRR41" s="30"/>
      <c r="RRS41" s="29"/>
      <c r="RRT41" s="30"/>
      <c r="RRU41" s="29"/>
      <c r="RRV41" s="30"/>
      <c r="RRW41" s="29"/>
      <c r="RRX41" s="30"/>
      <c r="RRY41" s="29"/>
      <c r="RRZ41" s="30"/>
      <c r="RSA41" s="29"/>
      <c r="RSB41" s="30"/>
      <c r="RSC41" s="29"/>
      <c r="RSD41" s="30"/>
      <c r="RSE41" s="29"/>
      <c r="RSF41" s="30"/>
      <c r="RSG41" s="29"/>
      <c r="RSH41" s="30"/>
      <c r="RSI41" s="29"/>
      <c r="RSJ41" s="30"/>
      <c r="RSK41" s="29"/>
      <c r="RSL41" s="30"/>
      <c r="RSM41" s="29"/>
      <c r="RSN41" s="30"/>
      <c r="RSO41" s="29"/>
      <c r="RSP41" s="30"/>
      <c r="RSQ41" s="29"/>
      <c r="RSR41" s="30"/>
      <c r="RSS41" s="29"/>
      <c r="RST41" s="30"/>
      <c r="RSU41" s="29"/>
      <c r="RSV41" s="30"/>
      <c r="RSW41" s="29"/>
      <c r="RSX41" s="30"/>
      <c r="RSY41" s="29"/>
      <c r="RSZ41" s="30"/>
      <c r="RTA41" s="29"/>
      <c r="RTB41" s="30"/>
      <c r="RTC41" s="29"/>
      <c r="RTD41" s="30"/>
      <c r="RTE41" s="29"/>
      <c r="RTF41" s="30"/>
      <c r="RTG41" s="29"/>
      <c r="RTH41" s="30"/>
      <c r="RTI41" s="29"/>
      <c r="RTJ41" s="30"/>
      <c r="RTK41" s="29"/>
      <c r="RTL41" s="30"/>
      <c r="RTM41" s="29"/>
      <c r="RTN41" s="30"/>
      <c r="RTO41" s="29"/>
      <c r="RTP41" s="30"/>
      <c r="RTQ41" s="29"/>
      <c r="RTR41" s="30"/>
      <c r="RTS41" s="29"/>
      <c r="RTT41" s="30"/>
      <c r="RTU41" s="29"/>
      <c r="RTV41" s="30"/>
      <c r="RTW41" s="29"/>
      <c r="RTX41" s="30"/>
      <c r="RTY41" s="29"/>
      <c r="RTZ41" s="30"/>
      <c r="RUA41" s="29"/>
      <c r="RUB41" s="30"/>
      <c r="RUC41" s="29"/>
      <c r="RUD41" s="30"/>
      <c r="RUE41" s="29"/>
      <c r="RUF41" s="30"/>
      <c r="RUG41" s="29"/>
      <c r="RUH41" s="30"/>
      <c r="RUI41" s="29"/>
      <c r="RUJ41" s="30"/>
      <c r="RUK41" s="29"/>
      <c r="RUL41" s="30"/>
      <c r="RUM41" s="29"/>
      <c r="RUN41" s="30"/>
      <c r="RUO41" s="29"/>
      <c r="RUP41" s="30"/>
      <c r="RUQ41" s="29"/>
      <c r="RUR41" s="30"/>
      <c r="RUS41" s="29"/>
      <c r="RUT41" s="30"/>
      <c r="RUU41" s="29"/>
      <c r="RUV41" s="30"/>
      <c r="RUW41" s="29"/>
      <c r="RUX41" s="30"/>
      <c r="RUY41" s="29"/>
      <c r="RUZ41" s="30"/>
      <c r="RVA41" s="29"/>
      <c r="RVB41" s="30"/>
      <c r="RVC41" s="29"/>
      <c r="RVD41" s="30"/>
      <c r="RVE41" s="29"/>
      <c r="RVF41" s="30"/>
      <c r="RVG41" s="29"/>
      <c r="RVH41" s="30"/>
      <c r="RVI41" s="29"/>
      <c r="RVJ41" s="30"/>
      <c r="RVK41" s="29"/>
      <c r="RVL41" s="30"/>
      <c r="RVM41" s="29"/>
      <c r="RVN41" s="30"/>
      <c r="RVO41" s="29"/>
      <c r="RVP41" s="30"/>
      <c r="RVQ41" s="29"/>
      <c r="RVR41" s="30"/>
      <c r="RVS41" s="29"/>
      <c r="RVT41" s="30"/>
      <c r="RVU41" s="29"/>
      <c r="RVV41" s="30"/>
      <c r="RVW41" s="29"/>
      <c r="RVX41" s="30"/>
      <c r="RVY41" s="29"/>
      <c r="RVZ41" s="30"/>
      <c r="RWA41" s="29"/>
      <c r="RWB41" s="30"/>
      <c r="RWC41" s="29"/>
      <c r="RWD41" s="30"/>
      <c r="RWE41" s="29"/>
      <c r="RWF41" s="30"/>
      <c r="RWG41" s="29"/>
      <c r="RWH41" s="30"/>
      <c r="RWI41" s="29"/>
      <c r="RWJ41" s="30"/>
      <c r="RWK41" s="29"/>
      <c r="RWL41" s="30"/>
      <c r="RWM41" s="29"/>
      <c r="RWN41" s="30"/>
      <c r="RWO41" s="29"/>
      <c r="RWP41" s="30"/>
      <c r="RWQ41" s="29"/>
      <c r="RWR41" s="30"/>
      <c r="RWS41" s="29"/>
      <c r="RWT41" s="30"/>
      <c r="RWU41" s="29"/>
      <c r="RWV41" s="30"/>
      <c r="RWW41" s="29"/>
      <c r="RWX41" s="30"/>
      <c r="RWY41" s="29"/>
      <c r="RWZ41" s="30"/>
      <c r="RXA41" s="29"/>
      <c r="RXB41" s="30"/>
      <c r="RXC41" s="29"/>
      <c r="RXD41" s="30"/>
      <c r="RXE41" s="29"/>
      <c r="RXF41" s="30"/>
      <c r="RXG41" s="29"/>
      <c r="RXH41" s="30"/>
      <c r="RXI41" s="29"/>
      <c r="RXJ41" s="30"/>
      <c r="RXK41" s="29"/>
      <c r="RXL41" s="30"/>
      <c r="RXM41" s="29"/>
      <c r="RXN41" s="30"/>
      <c r="RXO41" s="29"/>
      <c r="RXP41" s="30"/>
      <c r="RXQ41" s="29"/>
      <c r="RXR41" s="30"/>
      <c r="RXS41" s="29"/>
      <c r="RXT41" s="30"/>
      <c r="RXU41" s="29"/>
      <c r="RXV41" s="30"/>
      <c r="RXW41" s="29"/>
      <c r="RXX41" s="30"/>
      <c r="RXY41" s="29"/>
      <c r="RXZ41" s="30"/>
      <c r="RYA41" s="29"/>
      <c r="RYB41" s="30"/>
      <c r="RYC41" s="29"/>
      <c r="RYD41" s="30"/>
      <c r="RYE41" s="29"/>
      <c r="RYF41" s="30"/>
      <c r="RYG41" s="29"/>
      <c r="RYH41" s="30"/>
      <c r="RYI41" s="29"/>
      <c r="RYJ41" s="30"/>
      <c r="RYK41" s="29"/>
      <c r="RYL41" s="30"/>
      <c r="RYM41" s="29"/>
      <c r="RYN41" s="30"/>
      <c r="RYO41" s="29"/>
      <c r="RYP41" s="30"/>
      <c r="RYQ41" s="29"/>
      <c r="RYR41" s="30"/>
      <c r="RYS41" s="29"/>
      <c r="RYT41" s="30"/>
      <c r="RYU41" s="29"/>
      <c r="RYV41" s="30"/>
      <c r="RYW41" s="29"/>
      <c r="RYX41" s="30"/>
      <c r="RYY41" s="29"/>
      <c r="RYZ41" s="30"/>
      <c r="RZA41" s="29"/>
      <c r="RZB41" s="30"/>
      <c r="RZC41" s="29"/>
      <c r="RZD41" s="30"/>
      <c r="RZE41" s="29"/>
      <c r="RZF41" s="30"/>
      <c r="RZG41" s="29"/>
      <c r="RZH41" s="30"/>
      <c r="RZI41" s="29"/>
      <c r="RZJ41" s="30"/>
      <c r="RZK41" s="29"/>
      <c r="RZL41" s="30"/>
      <c r="RZM41" s="29"/>
      <c r="RZN41" s="30"/>
      <c r="RZO41" s="29"/>
      <c r="RZP41" s="30"/>
      <c r="RZQ41" s="29"/>
      <c r="RZR41" s="30"/>
      <c r="RZS41" s="29"/>
      <c r="RZT41" s="30"/>
      <c r="RZU41" s="29"/>
      <c r="RZV41" s="30"/>
      <c r="RZW41" s="29"/>
      <c r="RZX41" s="30"/>
      <c r="RZY41" s="29"/>
      <c r="RZZ41" s="30"/>
      <c r="SAA41" s="29"/>
      <c r="SAB41" s="30"/>
      <c r="SAC41" s="29"/>
      <c r="SAD41" s="30"/>
      <c r="SAE41" s="29"/>
      <c r="SAF41" s="30"/>
      <c r="SAG41" s="29"/>
      <c r="SAH41" s="30"/>
      <c r="SAI41" s="29"/>
      <c r="SAJ41" s="30"/>
      <c r="SAK41" s="29"/>
      <c r="SAL41" s="30"/>
      <c r="SAM41" s="29"/>
      <c r="SAN41" s="30"/>
      <c r="SAO41" s="29"/>
      <c r="SAP41" s="30"/>
      <c r="SAQ41" s="29"/>
      <c r="SAR41" s="30"/>
      <c r="SAS41" s="29"/>
      <c r="SAT41" s="30"/>
      <c r="SAU41" s="29"/>
      <c r="SAV41" s="30"/>
      <c r="SAW41" s="29"/>
      <c r="SAX41" s="30"/>
      <c r="SAY41" s="29"/>
      <c r="SAZ41" s="30"/>
      <c r="SBA41" s="29"/>
      <c r="SBB41" s="30"/>
      <c r="SBC41" s="29"/>
      <c r="SBD41" s="30"/>
      <c r="SBE41" s="29"/>
      <c r="SBF41" s="30"/>
      <c r="SBG41" s="29"/>
      <c r="SBH41" s="30"/>
      <c r="SBI41" s="29"/>
      <c r="SBJ41" s="30"/>
      <c r="SBK41" s="29"/>
      <c r="SBL41" s="30"/>
      <c r="SBM41" s="29"/>
      <c r="SBN41" s="30"/>
      <c r="SBO41" s="29"/>
      <c r="SBP41" s="30"/>
      <c r="SBQ41" s="29"/>
      <c r="SBR41" s="30"/>
      <c r="SBS41" s="29"/>
      <c r="SBT41" s="30"/>
      <c r="SBU41" s="29"/>
      <c r="SBV41" s="30"/>
      <c r="SBW41" s="29"/>
      <c r="SBX41" s="30"/>
      <c r="SBY41" s="29"/>
      <c r="SBZ41" s="30"/>
      <c r="SCA41" s="29"/>
      <c r="SCB41" s="30"/>
      <c r="SCC41" s="29"/>
      <c r="SCD41" s="30"/>
      <c r="SCE41" s="29"/>
      <c r="SCF41" s="30"/>
      <c r="SCG41" s="29"/>
      <c r="SCH41" s="30"/>
      <c r="SCI41" s="29"/>
      <c r="SCJ41" s="30"/>
      <c r="SCK41" s="29"/>
      <c r="SCL41" s="30"/>
      <c r="SCM41" s="29"/>
      <c r="SCN41" s="30"/>
      <c r="SCO41" s="29"/>
      <c r="SCP41" s="30"/>
      <c r="SCQ41" s="29"/>
      <c r="SCR41" s="30"/>
      <c r="SCS41" s="29"/>
      <c r="SCT41" s="30"/>
      <c r="SCU41" s="29"/>
      <c r="SCV41" s="30"/>
      <c r="SCW41" s="29"/>
      <c r="SCX41" s="30"/>
      <c r="SCY41" s="29"/>
      <c r="SCZ41" s="30"/>
      <c r="SDA41" s="29"/>
      <c r="SDB41" s="30"/>
      <c r="SDC41" s="29"/>
      <c r="SDD41" s="30"/>
      <c r="SDE41" s="29"/>
      <c r="SDF41" s="30"/>
      <c r="SDG41" s="29"/>
      <c r="SDH41" s="30"/>
      <c r="SDI41" s="29"/>
      <c r="SDJ41" s="30"/>
      <c r="SDK41" s="29"/>
      <c r="SDL41" s="30"/>
      <c r="SDM41" s="29"/>
      <c r="SDN41" s="30"/>
      <c r="SDO41" s="29"/>
      <c r="SDP41" s="30"/>
      <c r="SDQ41" s="29"/>
      <c r="SDR41" s="30"/>
      <c r="SDS41" s="29"/>
      <c r="SDT41" s="30"/>
      <c r="SDU41" s="29"/>
      <c r="SDV41" s="30"/>
      <c r="SDW41" s="29"/>
      <c r="SDX41" s="30"/>
      <c r="SDY41" s="29"/>
      <c r="SDZ41" s="30"/>
      <c r="SEA41" s="29"/>
      <c r="SEB41" s="30"/>
      <c r="SEC41" s="29"/>
      <c r="SED41" s="30"/>
      <c r="SEE41" s="29"/>
      <c r="SEF41" s="30"/>
      <c r="SEG41" s="29"/>
      <c r="SEH41" s="30"/>
      <c r="SEI41" s="29"/>
      <c r="SEJ41" s="30"/>
      <c r="SEK41" s="29"/>
      <c r="SEL41" s="30"/>
      <c r="SEM41" s="29"/>
      <c r="SEN41" s="30"/>
      <c r="SEO41" s="29"/>
      <c r="SEP41" s="30"/>
      <c r="SEQ41" s="29"/>
      <c r="SER41" s="30"/>
      <c r="SES41" s="29"/>
      <c r="SET41" s="30"/>
      <c r="SEU41" s="29"/>
      <c r="SEV41" s="30"/>
      <c r="SEW41" s="29"/>
      <c r="SEX41" s="30"/>
      <c r="SEY41" s="29"/>
      <c r="SEZ41" s="30"/>
      <c r="SFA41" s="29"/>
      <c r="SFB41" s="30"/>
      <c r="SFC41" s="29"/>
      <c r="SFD41" s="30"/>
      <c r="SFE41" s="29"/>
      <c r="SFF41" s="30"/>
      <c r="SFG41" s="29"/>
      <c r="SFH41" s="30"/>
      <c r="SFI41" s="29"/>
      <c r="SFJ41" s="30"/>
      <c r="SFK41" s="29"/>
      <c r="SFL41" s="30"/>
      <c r="SFM41" s="29"/>
      <c r="SFN41" s="30"/>
      <c r="SFO41" s="29"/>
      <c r="SFP41" s="30"/>
      <c r="SFQ41" s="29"/>
      <c r="SFR41" s="30"/>
      <c r="SFS41" s="29"/>
      <c r="SFT41" s="30"/>
      <c r="SFU41" s="29"/>
      <c r="SFV41" s="30"/>
      <c r="SFW41" s="29"/>
      <c r="SFX41" s="30"/>
      <c r="SFY41" s="29"/>
      <c r="SFZ41" s="30"/>
      <c r="SGA41" s="29"/>
      <c r="SGB41" s="30"/>
      <c r="SGC41" s="29"/>
      <c r="SGD41" s="30"/>
      <c r="SGE41" s="29"/>
      <c r="SGF41" s="30"/>
      <c r="SGG41" s="29"/>
      <c r="SGH41" s="30"/>
      <c r="SGI41" s="29"/>
      <c r="SGJ41" s="30"/>
      <c r="SGK41" s="29"/>
      <c r="SGL41" s="30"/>
      <c r="SGM41" s="29"/>
      <c r="SGN41" s="30"/>
      <c r="SGO41" s="29"/>
      <c r="SGP41" s="30"/>
      <c r="SGQ41" s="29"/>
      <c r="SGR41" s="30"/>
      <c r="SGS41" s="29"/>
      <c r="SGT41" s="30"/>
      <c r="SGU41" s="29"/>
      <c r="SGV41" s="30"/>
      <c r="SGW41" s="29"/>
      <c r="SGX41" s="30"/>
      <c r="SGY41" s="29"/>
      <c r="SGZ41" s="30"/>
      <c r="SHA41" s="29"/>
      <c r="SHB41" s="30"/>
      <c r="SHC41" s="29"/>
      <c r="SHD41" s="30"/>
      <c r="SHE41" s="29"/>
      <c r="SHF41" s="30"/>
      <c r="SHG41" s="29"/>
      <c r="SHH41" s="30"/>
      <c r="SHI41" s="29"/>
      <c r="SHJ41" s="30"/>
      <c r="SHK41" s="29"/>
      <c r="SHL41" s="30"/>
      <c r="SHM41" s="29"/>
      <c r="SHN41" s="30"/>
      <c r="SHO41" s="29"/>
      <c r="SHP41" s="30"/>
      <c r="SHQ41" s="29"/>
      <c r="SHR41" s="30"/>
      <c r="SHS41" s="29"/>
      <c r="SHT41" s="30"/>
      <c r="SHU41" s="29"/>
      <c r="SHV41" s="30"/>
      <c r="SHW41" s="29"/>
      <c r="SHX41" s="30"/>
      <c r="SHY41" s="29"/>
      <c r="SHZ41" s="30"/>
      <c r="SIA41" s="29"/>
      <c r="SIB41" s="30"/>
      <c r="SIC41" s="29"/>
      <c r="SID41" s="30"/>
      <c r="SIE41" s="29"/>
      <c r="SIF41" s="30"/>
      <c r="SIG41" s="29"/>
      <c r="SIH41" s="30"/>
      <c r="SII41" s="29"/>
      <c r="SIJ41" s="30"/>
      <c r="SIK41" s="29"/>
      <c r="SIL41" s="30"/>
      <c r="SIM41" s="29"/>
      <c r="SIN41" s="30"/>
      <c r="SIO41" s="29"/>
      <c r="SIP41" s="30"/>
      <c r="SIQ41" s="29"/>
      <c r="SIR41" s="30"/>
      <c r="SIS41" s="29"/>
      <c r="SIT41" s="30"/>
      <c r="SIU41" s="29"/>
      <c r="SIV41" s="30"/>
      <c r="SIW41" s="29"/>
      <c r="SIX41" s="30"/>
      <c r="SIY41" s="29"/>
      <c r="SIZ41" s="30"/>
      <c r="SJA41" s="29"/>
      <c r="SJB41" s="30"/>
      <c r="SJC41" s="29"/>
      <c r="SJD41" s="30"/>
      <c r="SJE41" s="29"/>
      <c r="SJF41" s="30"/>
      <c r="SJG41" s="29"/>
      <c r="SJH41" s="30"/>
      <c r="SJI41" s="29"/>
      <c r="SJJ41" s="30"/>
      <c r="SJK41" s="29"/>
      <c r="SJL41" s="30"/>
      <c r="SJM41" s="29"/>
      <c r="SJN41" s="30"/>
      <c r="SJO41" s="29"/>
      <c r="SJP41" s="30"/>
      <c r="SJQ41" s="29"/>
      <c r="SJR41" s="30"/>
      <c r="SJS41" s="29"/>
      <c r="SJT41" s="30"/>
      <c r="SJU41" s="29"/>
      <c r="SJV41" s="30"/>
      <c r="SJW41" s="29"/>
      <c r="SJX41" s="30"/>
      <c r="SJY41" s="29"/>
      <c r="SJZ41" s="30"/>
      <c r="SKA41" s="29"/>
      <c r="SKB41" s="30"/>
      <c r="SKC41" s="29"/>
      <c r="SKD41" s="30"/>
      <c r="SKE41" s="29"/>
      <c r="SKF41" s="30"/>
      <c r="SKG41" s="29"/>
      <c r="SKH41" s="30"/>
      <c r="SKI41" s="29"/>
      <c r="SKJ41" s="30"/>
      <c r="SKK41" s="29"/>
      <c r="SKL41" s="30"/>
      <c r="SKM41" s="29"/>
      <c r="SKN41" s="30"/>
      <c r="SKO41" s="29"/>
      <c r="SKP41" s="30"/>
      <c r="SKQ41" s="29"/>
      <c r="SKR41" s="30"/>
      <c r="SKS41" s="29"/>
      <c r="SKT41" s="30"/>
      <c r="SKU41" s="29"/>
      <c r="SKV41" s="30"/>
      <c r="SKW41" s="29"/>
      <c r="SKX41" s="30"/>
      <c r="SKY41" s="29"/>
      <c r="SKZ41" s="30"/>
      <c r="SLA41" s="29"/>
      <c r="SLB41" s="30"/>
      <c r="SLC41" s="29"/>
      <c r="SLD41" s="30"/>
      <c r="SLE41" s="29"/>
      <c r="SLF41" s="30"/>
      <c r="SLG41" s="29"/>
      <c r="SLH41" s="30"/>
      <c r="SLI41" s="29"/>
      <c r="SLJ41" s="30"/>
      <c r="SLK41" s="29"/>
      <c r="SLL41" s="30"/>
      <c r="SLM41" s="29"/>
      <c r="SLN41" s="30"/>
      <c r="SLO41" s="29"/>
      <c r="SLP41" s="30"/>
      <c r="SLQ41" s="29"/>
      <c r="SLR41" s="30"/>
      <c r="SLS41" s="29"/>
      <c r="SLT41" s="30"/>
      <c r="SLU41" s="29"/>
      <c r="SLV41" s="30"/>
      <c r="SLW41" s="29"/>
      <c r="SLX41" s="30"/>
      <c r="SLY41" s="29"/>
      <c r="SLZ41" s="30"/>
      <c r="SMA41" s="29"/>
      <c r="SMB41" s="30"/>
      <c r="SMC41" s="29"/>
      <c r="SMD41" s="30"/>
      <c r="SME41" s="29"/>
      <c r="SMF41" s="30"/>
      <c r="SMG41" s="29"/>
      <c r="SMH41" s="30"/>
      <c r="SMI41" s="29"/>
      <c r="SMJ41" s="30"/>
      <c r="SMK41" s="29"/>
      <c r="SML41" s="30"/>
      <c r="SMM41" s="29"/>
      <c r="SMN41" s="30"/>
      <c r="SMO41" s="29"/>
      <c r="SMP41" s="30"/>
      <c r="SMQ41" s="29"/>
      <c r="SMR41" s="30"/>
      <c r="SMS41" s="29"/>
      <c r="SMT41" s="30"/>
      <c r="SMU41" s="29"/>
      <c r="SMV41" s="30"/>
      <c r="SMW41" s="29"/>
      <c r="SMX41" s="30"/>
      <c r="SMY41" s="29"/>
      <c r="SMZ41" s="30"/>
      <c r="SNA41" s="29"/>
      <c r="SNB41" s="30"/>
      <c r="SNC41" s="29"/>
      <c r="SND41" s="30"/>
      <c r="SNE41" s="29"/>
      <c r="SNF41" s="30"/>
      <c r="SNG41" s="29"/>
      <c r="SNH41" s="30"/>
      <c r="SNI41" s="29"/>
      <c r="SNJ41" s="30"/>
      <c r="SNK41" s="29"/>
      <c r="SNL41" s="30"/>
      <c r="SNM41" s="29"/>
      <c r="SNN41" s="30"/>
      <c r="SNO41" s="29"/>
      <c r="SNP41" s="30"/>
      <c r="SNQ41" s="29"/>
      <c r="SNR41" s="30"/>
      <c r="SNS41" s="29"/>
      <c r="SNT41" s="30"/>
      <c r="SNU41" s="29"/>
      <c r="SNV41" s="30"/>
      <c r="SNW41" s="29"/>
      <c r="SNX41" s="30"/>
      <c r="SNY41" s="29"/>
      <c r="SNZ41" s="30"/>
      <c r="SOA41" s="29"/>
      <c r="SOB41" s="30"/>
      <c r="SOC41" s="29"/>
      <c r="SOD41" s="30"/>
      <c r="SOE41" s="29"/>
      <c r="SOF41" s="30"/>
      <c r="SOG41" s="29"/>
      <c r="SOH41" s="30"/>
      <c r="SOI41" s="29"/>
      <c r="SOJ41" s="30"/>
      <c r="SOK41" s="29"/>
      <c r="SOL41" s="30"/>
      <c r="SOM41" s="29"/>
      <c r="SON41" s="30"/>
      <c r="SOO41" s="29"/>
      <c r="SOP41" s="30"/>
      <c r="SOQ41" s="29"/>
      <c r="SOR41" s="30"/>
      <c r="SOS41" s="29"/>
      <c r="SOT41" s="30"/>
      <c r="SOU41" s="29"/>
      <c r="SOV41" s="30"/>
      <c r="SOW41" s="29"/>
      <c r="SOX41" s="30"/>
      <c r="SOY41" s="29"/>
      <c r="SOZ41" s="30"/>
      <c r="SPA41" s="29"/>
      <c r="SPB41" s="30"/>
      <c r="SPC41" s="29"/>
      <c r="SPD41" s="30"/>
      <c r="SPE41" s="29"/>
      <c r="SPF41" s="30"/>
      <c r="SPG41" s="29"/>
      <c r="SPH41" s="30"/>
      <c r="SPI41" s="29"/>
      <c r="SPJ41" s="30"/>
      <c r="SPK41" s="29"/>
      <c r="SPL41" s="30"/>
      <c r="SPM41" s="29"/>
      <c r="SPN41" s="30"/>
      <c r="SPO41" s="29"/>
      <c r="SPP41" s="30"/>
      <c r="SPQ41" s="29"/>
      <c r="SPR41" s="30"/>
      <c r="SPS41" s="29"/>
      <c r="SPT41" s="30"/>
      <c r="SPU41" s="29"/>
      <c r="SPV41" s="30"/>
      <c r="SPW41" s="29"/>
      <c r="SPX41" s="30"/>
      <c r="SPY41" s="29"/>
      <c r="SPZ41" s="30"/>
      <c r="SQA41" s="29"/>
      <c r="SQB41" s="30"/>
      <c r="SQC41" s="29"/>
      <c r="SQD41" s="30"/>
      <c r="SQE41" s="29"/>
      <c r="SQF41" s="30"/>
      <c r="SQG41" s="29"/>
      <c r="SQH41" s="30"/>
      <c r="SQI41" s="29"/>
      <c r="SQJ41" s="30"/>
      <c r="SQK41" s="29"/>
      <c r="SQL41" s="30"/>
      <c r="SQM41" s="29"/>
      <c r="SQN41" s="30"/>
      <c r="SQO41" s="29"/>
      <c r="SQP41" s="30"/>
      <c r="SQQ41" s="29"/>
      <c r="SQR41" s="30"/>
      <c r="SQS41" s="29"/>
      <c r="SQT41" s="30"/>
      <c r="SQU41" s="29"/>
      <c r="SQV41" s="30"/>
      <c r="SQW41" s="29"/>
      <c r="SQX41" s="30"/>
      <c r="SQY41" s="29"/>
      <c r="SQZ41" s="30"/>
      <c r="SRA41" s="29"/>
      <c r="SRB41" s="30"/>
      <c r="SRC41" s="29"/>
      <c r="SRD41" s="30"/>
      <c r="SRE41" s="29"/>
      <c r="SRF41" s="30"/>
      <c r="SRG41" s="29"/>
      <c r="SRH41" s="30"/>
      <c r="SRI41" s="29"/>
      <c r="SRJ41" s="30"/>
      <c r="SRK41" s="29"/>
      <c r="SRL41" s="30"/>
      <c r="SRM41" s="29"/>
      <c r="SRN41" s="30"/>
      <c r="SRO41" s="29"/>
      <c r="SRP41" s="30"/>
      <c r="SRQ41" s="29"/>
      <c r="SRR41" s="30"/>
      <c r="SRS41" s="29"/>
      <c r="SRT41" s="30"/>
      <c r="SRU41" s="29"/>
      <c r="SRV41" s="30"/>
      <c r="SRW41" s="29"/>
      <c r="SRX41" s="30"/>
      <c r="SRY41" s="29"/>
      <c r="SRZ41" s="30"/>
      <c r="SSA41" s="29"/>
      <c r="SSB41" s="30"/>
      <c r="SSC41" s="29"/>
      <c r="SSD41" s="30"/>
      <c r="SSE41" s="29"/>
      <c r="SSF41" s="30"/>
      <c r="SSG41" s="29"/>
      <c r="SSH41" s="30"/>
      <c r="SSI41" s="29"/>
      <c r="SSJ41" s="30"/>
      <c r="SSK41" s="29"/>
      <c r="SSL41" s="30"/>
      <c r="SSM41" s="29"/>
      <c r="SSN41" s="30"/>
      <c r="SSO41" s="29"/>
      <c r="SSP41" s="30"/>
      <c r="SSQ41" s="29"/>
      <c r="SSR41" s="30"/>
      <c r="SSS41" s="29"/>
      <c r="SST41" s="30"/>
      <c r="SSU41" s="29"/>
      <c r="SSV41" s="30"/>
      <c r="SSW41" s="29"/>
      <c r="SSX41" s="30"/>
      <c r="SSY41" s="29"/>
      <c r="SSZ41" s="30"/>
      <c r="STA41" s="29"/>
      <c r="STB41" s="30"/>
      <c r="STC41" s="29"/>
      <c r="STD41" s="30"/>
      <c r="STE41" s="29"/>
      <c r="STF41" s="30"/>
      <c r="STG41" s="29"/>
      <c r="STH41" s="30"/>
      <c r="STI41" s="29"/>
      <c r="STJ41" s="30"/>
      <c r="STK41" s="29"/>
      <c r="STL41" s="30"/>
      <c r="STM41" s="29"/>
      <c r="STN41" s="30"/>
      <c r="STO41" s="29"/>
      <c r="STP41" s="30"/>
      <c r="STQ41" s="29"/>
      <c r="STR41" s="30"/>
      <c r="STS41" s="29"/>
      <c r="STT41" s="30"/>
      <c r="STU41" s="29"/>
      <c r="STV41" s="30"/>
      <c r="STW41" s="29"/>
      <c r="STX41" s="30"/>
      <c r="STY41" s="29"/>
      <c r="STZ41" s="30"/>
      <c r="SUA41" s="29"/>
      <c r="SUB41" s="30"/>
      <c r="SUC41" s="29"/>
      <c r="SUD41" s="30"/>
      <c r="SUE41" s="29"/>
      <c r="SUF41" s="30"/>
      <c r="SUG41" s="29"/>
      <c r="SUH41" s="30"/>
      <c r="SUI41" s="29"/>
      <c r="SUJ41" s="30"/>
      <c r="SUK41" s="29"/>
      <c r="SUL41" s="30"/>
      <c r="SUM41" s="29"/>
      <c r="SUN41" s="30"/>
      <c r="SUO41" s="29"/>
      <c r="SUP41" s="30"/>
      <c r="SUQ41" s="29"/>
      <c r="SUR41" s="30"/>
      <c r="SUS41" s="29"/>
      <c r="SUT41" s="30"/>
      <c r="SUU41" s="29"/>
      <c r="SUV41" s="30"/>
      <c r="SUW41" s="29"/>
      <c r="SUX41" s="30"/>
      <c r="SUY41" s="29"/>
      <c r="SUZ41" s="30"/>
      <c r="SVA41" s="29"/>
      <c r="SVB41" s="30"/>
      <c r="SVC41" s="29"/>
      <c r="SVD41" s="30"/>
      <c r="SVE41" s="29"/>
      <c r="SVF41" s="30"/>
      <c r="SVG41" s="29"/>
      <c r="SVH41" s="30"/>
      <c r="SVI41" s="29"/>
      <c r="SVJ41" s="30"/>
      <c r="SVK41" s="29"/>
      <c r="SVL41" s="30"/>
      <c r="SVM41" s="29"/>
      <c r="SVN41" s="30"/>
      <c r="SVO41" s="29"/>
      <c r="SVP41" s="30"/>
      <c r="SVQ41" s="29"/>
      <c r="SVR41" s="30"/>
      <c r="SVS41" s="29"/>
      <c r="SVT41" s="30"/>
      <c r="SVU41" s="29"/>
      <c r="SVV41" s="30"/>
      <c r="SVW41" s="29"/>
      <c r="SVX41" s="30"/>
      <c r="SVY41" s="29"/>
      <c r="SVZ41" s="30"/>
      <c r="SWA41" s="29"/>
      <c r="SWB41" s="30"/>
      <c r="SWC41" s="29"/>
      <c r="SWD41" s="30"/>
      <c r="SWE41" s="29"/>
      <c r="SWF41" s="30"/>
      <c r="SWG41" s="29"/>
      <c r="SWH41" s="30"/>
      <c r="SWI41" s="29"/>
      <c r="SWJ41" s="30"/>
      <c r="SWK41" s="29"/>
      <c r="SWL41" s="30"/>
      <c r="SWM41" s="29"/>
      <c r="SWN41" s="30"/>
      <c r="SWO41" s="29"/>
      <c r="SWP41" s="30"/>
      <c r="SWQ41" s="29"/>
      <c r="SWR41" s="30"/>
      <c r="SWS41" s="29"/>
      <c r="SWT41" s="30"/>
      <c r="SWU41" s="29"/>
      <c r="SWV41" s="30"/>
      <c r="SWW41" s="29"/>
      <c r="SWX41" s="30"/>
      <c r="SWY41" s="29"/>
      <c r="SWZ41" s="30"/>
      <c r="SXA41" s="29"/>
      <c r="SXB41" s="30"/>
      <c r="SXC41" s="29"/>
      <c r="SXD41" s="30"/>
      <c r="SXE41" s="29"/>
      <c r="SXF41" s="30"/>
      <c r="SXG41" s="29"/>
      <c r="SXH41" s="30"/>
      <c r="SXI41" s="29"/>
      <c r="SXJ41" s="30"/>
      <c r="SXK41" s="29"/>
      <c r="SXL41" s="30"/>
      <c r="SXM41" s="29"/>
      <c r="SXN41" s="30"/>
      <c r="SXO41" s="29"/>
      <c r="SXP41" s="30"/>
      <c r="SXQ41" s="29"/>
      <c r="SXR41" s="30"/>
      <c r="SXS41" s="29"/>
      <c r="SXT41" s="30"/>
      <c r="SXU41" s="29"/>
      <c r="SXV41" s="30"/>
      <c r="SXW41" s="29"/>
      <c r="SXX41" s="30"/>
      <c r="SXY41" s="29"/>
      <c r="SXZ41" s="30"/>
      <c r="SYA41" s="29"/>
      <c r="SYB41" s="30"/>
      <c r="SYC41" s="29"/>
      <c r="SYD41" s="30"/>
      <c r="SYE41" s="29"/>
      <c r="SYF41" s="30"/>
      <c r="SYG41" s="29"/>
      <c r="SYH41" s="30"/>
      <c r="SYI41" s="29"/>
      <c r="SYJ41" s="30"/>
      <c r="SYK41" s="29"/>
      <c r="SYL41" s="30"/>
      <c r="SYM41" s="29"/>
      <c r="SYN41" s="30"/>
      <c r="SYO41" s="29"/>
      <c r="SYP41" s="30"/>
      <c r="SYQ41" s="29"/>
      <c r="SYR41" s="30"/>
      <c r="SYS41" s="29"/>
      <c r="SYT41" s="30"/>
      <c r="SYU41" s="29"/>
      <c r="SYV41" s="30"/>
      <c r="SYW41" s="29"/>
      <c r="SYX41" s="30"/>
      <c r="SYY41" s="29"/>
      <c r="SYZ41" s="30"/>
      <c r="SZA41" s="29"/>
      <c r="SZB41" s="30"/>
      <c r="SZC41" s="29"/>
      <c r="SZD41" s="30"/>
      <c r="SZE41" s="29"/>
      <c r="SZF41" s="30"/>
      <c r="SZG41" s="29"/>
      <c r="SZH41" s="30"/>
      <c r="SZI41" s="29"/>
      <c r="SZJ41" s="30"/>
      <c r="SZK41" s="29"/>
      <c r="SZL41" s="30"/>
      <c r="SZM41" s="29"/>
      <c r="SZN41" s="30"/>
      <c r="SZO41" s="29"/>
      <c r="SZP41" s="30"/>
      <c r="SZQ41" s="29"/>
      <c r="SZR41" s="30"/>
      <c r="SZS41" s="29"/>
      <c r="SZT41" s="30"/>
      <c r="SZU41" s="29"/>
      <c r="SZV41" s="30"/>
      <c r="SZW41" s="29"/>
      <c r="SZX41" s="30"/>
      <c r="SZY41" s="29"/>
      <c r="SZZ41" s="30"/>
      <c r="TAA41" s="29"/>
      <c r="TAB41" s="30"/>
      <c r="TAC41" s="29"/>
      <c r="TAD41" s="30"/>
      <c r="TAE41" s="29"/>
      <c r="TAF41" s="30"/>
      <c r="TAG41" s="29"/>
      <c r="TAH41" s="30"/>
      <c r="TAI41" s="29"/>
      <c r="TAJ41" s="30"/>
      <c r="TAK41" s="29"/>
      <c r="TAL41" s="30"/>
      <c r="TAM41" s="29"/>
      <c r="TAN41" s="30"/>
      <c r="TAO41" s="29"/>
      <c r="TAP41" s="30"/>
      <c r="TAQ41" s="29"/>
      <c r="TAR41" s="30"/>
      <c r="TAS41" s="29"/>
      <c r="TAT41" s="30"/>
      <c r="TAU41" s="29"/>
      <c r="TAV41" s="30"/>
      <c r="TAW41" s="29"/>
      <c r="TAX41" s="30"/>
      <c r="TAY41" s="29"/>
      <c r="TAZ41" s="30"/>
      <c r="TBA41" s="29"/>
      <c r="TBB41" s="30"/>
      <c r="TBC41" s="29"/>
      <c r="TBD41" s="30"/>
      <c r="TBE41" s="29"/>
      <c r="TBF41" s="30"/>
      <c r="TBG41" s="29"/>
      <c r="TBH41" s="30"/>
      <c r="TBI41" s="29"/>
      <c r="TBJ41" s="30"/>
      <c r="TBK41" s="29"/>
      <c r="TBL41" s="30"/>
      <c r="TBM41" s="29"/>
      <c r="TBN41" s="30"/>
      <c r="TBO41" s="29"/>
      <c r="TBP41" s="30"/>
      <c r="TBQ41" s="29"/>
      <c r="TBR41" s="30"/>
      <c r="TBS41" s="29"/>
      <c r="TBT41" s="30"/>
      <c r="TBU41" s="29"/>
      <c r="TBV41" s="30"/>
      <c r="TBW41" s="29"/>
      <c r="TBX41" s="30"/>
      <c r="TBY41" s="29"/>
      <c r="TBZ41" s="30"/>
      <c r="TCA41" s="29"/>
      <c r="TCB41" s="30"/>
      <c r="TCC41" s="29"/>
      <c r="TCD41" s="30"/>
      <c r="TCE41" s="29"/>
      <c r="TCF41" s="30"/>
      <c r="TCG41" s="29"/>
      <c r="TCH41" s="30"/>
      <c r="TCI41" s="29"/>
      <c r="TCJ41" s="30"/>
      <c r="TCK41" s="29"/>
      <c r="TCL41" s="30"/>
      <c r="TCM41" s="29"/>
      <c r="TCN41" s="30"/>
      <c r="TCO41" s="29"/>
      <c r="TCP41" s="30"/>
      <c r="TCQ41" s="29"/>
      <c r="TCR41" s="30"/>
      <c r="TCS41" s="29"/>
      <c r="TCT41" s="30"/>
      <c r="TCU41" s="29"/>
      <c r="TCV41" s="30"/>
      <c r="TCW41" s="29"/>
      <c r="TCX41" s="30"/>
      <c r="TCY41" s="29"/>
      <c r="TCZ41" s="30"/>
      <c r="TDA41" s="29"/>
      <c r="TDB41" s="30"/>
      <c r="TDC41" s="29"/>
      <c r="TDD41" s="30"/>
      <c r="TDE41" s="29"/>
      <c r="TDF41" s="30"/>
      <c r="TDG41" s="29"/>
      <c r="TDH41" s="30"/>
      <c r="TDI41" s="29"/>
      <c r="TDJ41" s="30"/>
      <c r="TDK41" s="29"/>
      <c r="TDL41" s="30"/>
      <c r="TDM41" s="29"/>
      <c r="TDN41" s="30"/>
      <c r="TDO41" s="29"/>
      <c r="TDP41" s="30"/>
      <c r="TDQ41" s="29"/>
      <c r="TDR41" s="30"/>
      <c r="TDS41" s="29"/>
      <c r="TDT41" s="30"/>
      <c r="TDU41" s="29"/>
      <c r="TDV41" s="30"/>
      <c r="TDW41" s="29"/>
      <c r="TDX41" s="30"/>
      <c r="TDY41" s="29"/>
      <c r="TDZ41" s="30"/>
      <c r="TEA41" s="29"/>
      <c r="TEB41" s="30"/>
      <c r="TEC41" s="29"/>
      <c r="TED41" s="30"/>
      <c r="TEE41" s="29"/>
      <c r="TEF41" s="30"/>
      <c r="TEG41" s="29"/>
      <c r="TEH41" s="30"/>
      <c r="TEI41" s="29"/>
      <c r="TEJ41" s="30"/>
      <c r="TEK41" s="29"/>
      <c r="TEL41" s="30"/>
      <c r="TEM41" s="29"/>
      <c r="TEN41" s="30"/>
      <c r="TEO41" s="29"/>
      <c r="TEP41" s="30"/>
      <c r="TEQ41" s="29"/>
      <c r="TER41" s="30"/>
      <c r="TES41" s="29"/>
      <c r="TET41" s="30"/>
      <c r="TEU41" s="29"/>
      <c r="TEV41" s="30"/>
      <c r="TEW41" s="29"/>
      <c r="TEX41" s="30"/>
      <c r="TEY41" s="29"/>
      <c r="TEZ41" s="30"/>
      <c r="TFA41" s="29"/>
      <c r="TFB41" s="30"/>
      <c r="TFC41" s="29"/>
      <c r="TFD41" s="30"/>
      <c r="TFE41" s="29"/>
      <c r="TFF41" s="30"/>
      <c r="TFG41" s="29"/>
      <c r="TFH41" s="30"/>
      <c r="TFI41" s="29"/>
      <c r="TFJ41" s="30"/>
      <c r="TFK41" s="29"/>
      <c r="TFL41" s="30"/>
      <c r="TFM41" s="29"/>
      <c r="TFN41" s="30"/>
      <c r="TFO41" s="29"/>
      <c r="TFP41" s="30"/>
      <c r="TFQ41" s="29"/>
      <c r="TFR41" s="30"/>
      <c r="TFS41" s="29"/>
      <c r="TFT41" s="30"/>
      <c r="TFU41" s="29"/>
      <c r="TFV41" s="30"/>
      <c r="TFW41" s="29"/>
      <c r="TFX41" s="30"/>
      <c r="TFY41" s="29"/>
      <c r="TFZ41" s="30"/>
      <c r="TGA41" s="29"/>
      <c r="TGB41" s="30"/>
      <c r="TGC41" s="29"/>
      <c r="TGD41" s="30"/>
      <c r="TGE41" s="29"/>
      <c r="TGF41" s="30"/>
      <c r="TGG41" s="29"/>
      <c r="TGH41" s="30"/>
      <c r="TGI41" s="29"/>
      <c r="TGJ41" s="30"/>
      <c r="TGK41" s="29"/>
      <c r="TGL41" s="30"/>
      <c r="TGM41" s="29"/>
      <c r="TGN41" s="30"/>
      <c r="TGO41" s="29"/>
      <c r="TGP41" s="30"/>
      <c r="TGQ41" s="29"/>
      <c r="TGR41" s="30"/>
      <c r="TGS41" s="29"/>
      <c r="TGT41" s="30"/>
      <c r="TGU41" s="29"/>
      <c r="TGV41" s="30"/>
      <c r="TGW41" s="29"/>
      <c r="TGX41" s="30"/>
      <c r="TGY41" s="29"/>
      <c r="TGZ41" s="30"/>
      <c r="THA41" s="29"/>
      <c r="THB41" s="30"/>
      <c r="THC41" s="29"/>
      <c r="THD41" s="30"/>
      <c r="THE41" s="29"/>
      <c r="THF41" s="30"/>
      <c r="THG41" s="29"/>
      <c r="THH41" s="30"/>
      <c r="THI41" s="29"/>
      <c r="THJ41" s="30"/>
      <c r="THK41" s="29"/>
      <c r="THL41" s="30"/>
      <c r="THM41" s="29"/>
      <c r="THN41" s="30"/>
      <c r="THO41" s="29"/>
      <c r="THP41" s="30"/>
      <c r="THQ41" s="29"/>
      <c r="THR41" s="30"/>
      <c r="THS41" s="29"/>
      <c r="THT41" s="30"/>
      <c r="THU41" s="29"/>
      <c r="THV41" s="30"/>
      <c r="THW41" s="29"/>
      <c r="THX41" s="30"/>
      <c r="THY41" s="29"/>
      <c r="THZ41" s="30"/>
      <c r="TIA41" s="29"/>
      <c r="TIB41" s="30"/>
      <c r="TIC41" s="29"/>
      <c r="TID41" s="30"/>
      <c r="TIE41" s="29"/>
      <c r="TIF41" s="30"/>
      <c r="TIG41" s="29"/>
      <c r="TIH41" s="30"/>
      <c r="TII41" s="29"/>
      <c r="TIJ41" s="30"/>
      <c r="TIK41" s="29"/>
      <c r="TIL41" s="30"/>
      <c r="TIM41" s="29"/>
      <c r="TIN41" s="30"/>
      <c r="TIO41" s="29"/>
      <c r="TIP41" s="30"/>
      <c r="TIQ41" s="29"/>
      <c r="TIR41" s="30"/>
      <c r="TIS41" s="29"/>
      <c r="TIT41" s="30"/>
      <c r="TIU41" s="29"/>
      <c r="TIV41" s="30"/>
      <c r="TIW41" s="29"/>
      <c r="TIX41" s="30"/>
      <c r="TIY41" s="29"/>
      <c r="TIZ41" s="30"/>
      <c r="TJA41" s="29"/>
      <c r="TJB41" s="30"/>
      <c r="TJC41" s="29"/>
      <c r="TJD41" s="30"/>
      <c r="TJE41" s="29"/>
      <c r="TJF41" s="30"/>
      <c r="TJG41" s="29"/>
      <c r="TJH41" s="30"/>
      <c r="TJI41" s="29"/>
      <c r="TJJ41" s="30"/>
      <c r="TJK41" s="29"/>
      <c r="TJL41" s="30"/>
      <c r="TJM41" s="29"/>
      <c r="TJN41" s="30"/>
      <c r="TJO41" s="29"/>
      <c r="TJP41" s="30"/>
      <c r="TJQ41" s="29"/>
      <c r="TJR41" s="30"/>
      <c r="TJS41" s="29"/>
      <c r="TJT41" s="30"/>
      <c r="TJU41" s="29"/>
      <c r="TJV41" s="30"/>
      <c r="TJW41" s="29"/>
      <c r="TJX41" s="30"/>
      <c r="TJY41" s="29"/>
      <c r="TJZ41" s="30"/>
      <c r="TKA41" s="29"/>
      <c r="TKB41" s="30"/>
      <c r="TKC41" s="29"/>
      <c r="TKD41" s="30"/>
      <c r="TKE41" s="29"/>
      <c r="TKF41" s="30"/>
      <c r="TKG41" s="29"/>
      <c r="TKH41" s="30"/>
      <c r="TKI41" s="29"/>
      <c r="TKJ41" s="30"/>
      <c r="TKK41" s="29"/>
      <c r="TKL41" s="30"/>
      <c r="TKM41" s="29"/>
      <c r="TKN41" s="30"/>
      <c r="TKO41" s="29"/>
      <c r="TKP41" s="30"/>
      <c r="TKQ41" s="29"/>
      <c r="TKR41" s="30"/>
      <c r="TKS41" s="29"/>
      <c r="TKT41" s="30"/>
      <c r="TKU41" s="29"/>
      <c r="TKV41" s="30"/>
      <c r="TKW41" s="29"/>
      <c r="TKX41" s="30"/>
      <c r="TKY41" s="29"/>
      <c r="TKZ41" s="30"/>
      <c r="TLA41" s="29"/>
      <c r="TLB41" s="30"/>
      <c r="TLC41" s="29"/>
      <c r="TLD41" s="30"/>
      <c r="TLE41" s="29"/>
      <c r="TLF41" s="30"/>
      <c r="TLG41" s="29"/>
      <c r="TLH41" s="30"/>
      <c r="TLI41" s="29"/>
      <c r="TLJ41" s="30"/>
      <c r="TLK41" s="29"/>
      <c r="TLL41" s="30"/>
      <c r="TLM41" s="29"/>
      <c r="TLN41" s="30"/>
      <c r="TLO41" s="29"/>
      <c r="TLP41" s="30"/>
      <c r="TLQ41" s="29"/>
      <c r="TLR41" s="30"/>
      <c r="TLS41" s="29"/>
      <c r="TLT41" s="30"/>
      <c r="TLU41" s="29"/>
      <c r="TLV41" s="30"/>
      <c r="TLW41" s="29"/>
      <c r="TLX41" s="30"/>
      <c r="TLY41" s="29"/>
      <c r="TLZ41" s="30"/>
      <c r="TMA41" s="29"/>
      <c r="TMB41" s="30"/>
      <c r="TMC41" s="29"/>
      <c r="TMD41" s="30"/>
      <c r="TME41" s="29"/>
      <c r="TMF41" s="30"/>
      <c r="TMG41" s="29"/>
      <c r="TMH41" s="30"/>
      <c r="TMI41" s="29"/>
      <c r="TMJ41" s="30"/>
      <c r="TMK41" s="29"/>
      <c r="TML41" s="30"/>
      <c r="TMM41" s="29"/>
      <c r="TMN41" s="30"/>
      <c r="TMO41" s="29"/>
      <c r="TMP41" s="30"/>
      <c r="TMQ41" s="29"/>
      <c r="TMR41" s="30"/>
      <c r="TMS41" s="29"/>
      <c r="TMT41" s="30"/>
      <c r="TMU41" s="29"/>
      <c r="TMV41" s="30"/>
      <c r="TMW41" s="29"/>
      <c r="TMX41" s="30"/>
      <c r="TMY41" s="29"/>
      <c r="TMZ41" s="30"/>
      <c r="TNA41" s="29"/>
      <c r="TNB41" s="30"/>
      <c r="TNC41" s="29"/>
      <c r="TND41" s="30"/>
      <c r="TNE41" s="29"/>
      <c r="TNF41" s="30"/>
      <c r="TNG41" s="29"/>
      <c r="TNH41" s="30"/>
      <c r="TNI41" s="29"/>
      <c r="TNJ41" s="30"/>
      <c r="TNK41" s="29"/>
      <c r="TNL41" s="30"/>
      <c r="TNM41" s="29"/>
      <c r="TNN41" s="30"/>
      <c r="TNO41" s="29"/>
      <c r="TNP41" s="30"/>
      <c r="TNQ41" s="29"/>
      <c r="TNR41" s="30"/>
      <c r="TNS41" s="29"/>
      <c r="TNT41" s="30"/>
      <c r="TNU41" s="29"/>
      <c r="TNV41" s="30"/>
      <c r="TNW41" s="29"/>
      <c r="TNX41" s="30"/>
      <c r="TNY41" s="29"/>
      <c r="TNZ41" s="30"/>
      <c r="TOA41" s="29"/>
      <c r="TOB41" s="30"/>
      <c r="TOC41" s="29"/>
      <c r="TOD41" s="30"/>
      <c r="TOE41" s="29"/>
      <c r="TOF41" s="30"/>
      <c r="TOG41" s="29"/>
      <c r="TOH41" s="30"/>
      <c r="TOI41" s="29"/>
      <c r="TOJ41" s="30"/>
      <c r="TOK41" s="29"/>
      <c r="TOL41" s="30"/>
      <c r="TOM41" s="29"/>
      <c r="TON41" s="30"/>
      <c r="TOO41" s="29"/>
      <c r="TOP41" s="30"/>
      <c r="TOQ41" s="29"/>
      <c r="TOR41" s="30"/>
      <c r="TOS41" s="29"/>
      <c r="TOT41" s="30"/>
      <c r="TOU41" s="29"/>
      <c r="TOV41" s="30"/>
      <c r="TOW41" s="29"/>
      <c r="TOX41" s="30"/>
      <c r="TOY41" s="29"/>
      <c r="TOZ41" s="30"/>
      <c r="TPA41" s="29"/>
      <c r="TPB41" s="30"/>
      <c r="TPC41" s="29"/>
      <c r="TPD41" s="30"/>
      <c r="TPE41" s="29"/>
      <c r="TPF41" s="30"/>
      <c r="TPG41" s="29"/>
      <c r="TPH41" s="30"/>
      <c r="TPI41" s="29"/>
      <c r="TPJ41" s="30"/>
      <c r="TPK41" s="29"/>
      <c r="TPL41" s="30"/>
      <c r="TPM41" s="29"/>
      <c r="TPN41" s="30"/>
      <c r="TPO41" s="29"/>
      <c r="TPP41" s="30"/>
      <c r="TPQ41" s="29"/>
      <c r="TPR41" s="30"/>
      <c r="TPS41" s="29"/>
      <c r="TPT41" s="30"/>
      <c r="TPU41" s="29"/>
      <c r="TPV41" s="30"/>
      <c r="TPW41" s="29"/>
      <c r="TPX41" s="30"/>
      <c r="TPY41" s="29"/>
      <c r="TPZ41" s="30"/>
      <c r="TQA41" s="29"/>
      <c r="TQB41" s="30"/>
      <c r="TQC41" s="29"/>
      <c r="TQD41" s="30"/>
      <c r="TQE41" s="29"/>
      <c r="TQF41" s="30"/>
      <c r="TQG41" s="29"/>
      <c r="TQH41" s="30"/>
      <c r="TQI41" s="29"/>
      <c r="TQJ41" s="30"/>
      <c r="TQK41" s="29"/>
      <c r="TQL41" s="30"/>
      <c r="TQM41" s="29"/>
      <c r="TQN41" s="30"/>
      <c r="TQO41" s="29"/>
      <c r="TQP41" s="30"/>
      <c r="TQQ41" s="29"/>
      <c r="TQR41" s="30"/>
      <c r="TQS41" s="29"/>
      <c r="TQT41" s="30"/>
      <c r="TQU41" s="29"/>
      <c r="TQV41" s="30"/>
      <c r="TQW41" s="29"/>
      <c r="TQX41" s="30"/>
      <c r="TQY41" s="29"/>
      <c r="TQZ41" s="30"/>
      <c r="TRA41" s="29"/>
      <c r="TRB41" s="30"/>
      <c r="TRC41" s="29"/>
      <c r="TRD41" s="30"/>
      <c r="TRE41" s="29"/>
      <c r="TRF41" s="30"/>
      <c r="TRG41" s="29"/>
      <c r="TRH41" s="30"/>
      <c r="TRI41" s="29"/>
      <c r="TRJ41" s="30"/>
      <c r="TRK41" s="29"/>
      <c r="TRL41" s="30"/>
      <c r="TRM41" s="29"/>
      <c r="TRN41" s="30"/>
      <c r="TRO41" s="29"/>
      <c r="TRP41" s="30"/>
      <c r="TRQ41" s="29"/>
      <c r="TRR41" s="30"/>
      <c r="TRS41" s="29"/>
      <c r="TRT41" s="30"/>
      <c r="TRU41" s="29"/>
      <c r="TRV41" s="30"/>
      <c r="TRW41" s="29"/>
      <c r="TRX41" s="30"/>
      <c r="TRY41" s="29"/>
      <c r="TRZ41" s="30"/>
      <c r="TSA41" s="29"/>
      <c r="TSB41" s="30"/>
      <c r="TSC41" s="29"/>
      <c r="TSD41" s="30"/>
      <c r="TSE41" s="29"/>
      <c r="TSF41" s="30"/>
      <c r="TSG41" s="29"/>
      <c r="TSH41" s="30"/>
      <c r="TSI41" s="29"/>
      <c r="TSJ41" s="30"/>
      <c r="TSK41" s="29"/>
      <c r="TSL41" s="30"/>
      <c r="TSM41" s="29"/>
      <c r="TSN41" s="30"/>
      <c r="TSO41" s="29"/>
      <c r="TSP41" s="30"/>
      <c r="TSQ41" s="29"/>
      <c r="TSR41" s="30"/>
      <c r="TSS41" s="29"/>
      <c r="TST41" s="30"/>
      <c r="TSU41" s="29"/>
      <c r="TSV41" s="30"/>
      <c r="TSW41" s="29"/>
      <c r="TSX41" s="30"/>
      <c r="TSY41" s="29"/>
      <c r="TSZ41" s="30"/>
      <c r="TTA41" s="29"/>
      <c r="TTB41" s="30"/>
      <c r="TTC41" s="29"/>
      <c r="TTD41" s="30"/>
      <c r="TTE41" s="29"/>
      <c r="TTF41" s="30"/>
      <c r="TTG41" s="29"/>
      <c r="TTH41" s="30"/>
      <c r="TTI41" s="29"/>
      <c r="TTJ41" s="30"/>
      <c r="TTK41" s="29"/>
      <c r="TTL41" s="30"/>
      <c r="TTM41" s="29"/>
      <c r="TTN41" s="30"/>
      <c r="TTO41" s="29"/>
      <c r="TTP41" s="30"/>
      <c r="TTQ41" s="29"/>
      <c r="TTR41" s="30"/>
      <c r="TTS41" s="29"/>
      <c r="TTT41" s="30"/>
      <c r="TTU41" s="29"/>
      <c r="TTV41" s="30"/>
      <c r="TTW41" s="29"/>
      <c r="TTX41" s="30"/>
      <c r="TTY41" s="29"/>
      <c r="TTZ41" s="30"/>
      <c r="TUA41" s="29"/>
      <c r="TUB41" s="30"/>
      <c r="TUC41" s="29"/>
      <c r="TUD41" s="30"/>
      <c r="TUE41" s="29"/>
      <c r="TUF41" s="30"/>
      <c r="TUG41" s="29"/>
      <c r="TUH41" s="30"/>
      <c r="TUI41" s="29"/>
      <c r="TUJ41" s="30"/>
      <c r="TUK41" s="29"/>
      <c r="TUL41" s="30"/>
      <c r="TUM41" s="29"/>
      <c r="TUN41" s="30"/>
      <c r="TUO41" s="29"/>
      <c r="TUP41" s="30"/>
      <c r="TUQ41" s="29"/>
      <c r="TUR41" s="30"/>
      <c r="TUS41" s="29"/>
      <c r="TUT41" s="30"/>
      <c r="TUU41" s="29"/>
      <c r="TUV41" s="30"/>
      <c r="TUW41" s="29"/>
      <c r="TUX41" s="30"/>
      <c r="TUY41" s="29"/>
      <c r="TUZ41" s="30"/>
      <c r="TVA41" s="29"/>
      <c r="TVB41" s="30"/>
      <c r="TVC41" s="29"/>
      <c r="TVD41" s="30"/>
      <c r="TVE41" s="29"/>
      <c r="TVF41" s="30"/>
      <c r="TVG41" s="29"/>
      <c r="TVH41" s="30"/>
      <c r="TVI41" s="29"/>
      <c r="TVJ41" s="30"/>
      <c r="TVK41" s="29"/>
      <c r="TVL41" s="30"/>
      <c r="TVM41" s="29"/>
      <c r="TVN41" s="30"/>
      <c r="TVO41" s="29"/>
      <c r="TVP41" s="30"/>
      <c r="TVQ41" s="29"/>
      <c r="TVR41" s="30"/>
      <c r="TVS41" s="29"/>
      <c r="TVT41" s="30"/>
      <c r="TVU41" s="29"/>
      <c r="TVV41" s="30"/>
      <c r="TVW41" s="29"/>
      <c r="TVX41" s="30"/>
      <c r="TVY41" s="29"/>
      <c r="TVZ41" s="30"/>
      <c r="TWA41" s="29"/>
      <c r="TWB41" s="30"/>
      <c r="TWC41" s="29"/>
      <c r="TWD41" s="30"/>
      <c r="TWE41" s="29"/>
      <c r="TWF41" s="30"/>
      <c r="TWG41" s="29"/>
      <c r="TWH41" s="30"/>
      <c r="TWI41" s="29"/>
      <c r="TWJ41" s="30"/>
      <c r="TWK41" s="29"/>
      <c r="TWL41" s="30"/>
      <c r="TWM41" s="29"/>
      <c r="TWN41" s="30"/>
      <c r="TWO41" s="29"/>
      <c r="TWP41" s="30"/>
      <c r="TWQ41" s="29"/>
      <c r="TWR41" s="30"/>
      <c r="TWS41" s="29"/>
      <c r="TWT41" s="30"/>
      <c r="TWU41" s="29"/>
      <c r="TWV41" s="30"/>
      <c r="TWW41" s="29"/>
      <c r="TWX41" s="30"/>
      <c r="TWY41" s="29"/>
      <c r="TWZ41" s="30"/>
      <c r="TXA41" s="29"/>
      <c r="TXB41" s="30"/>
      <c r="TXC41" s="29"/>
      <c r="TXD41" s="30"/>
      <c r="TXE41" s="29"/>
      <c r="TXF41" s="30"/>
      <c r="TXG41" s="29"/>
      <c r="TXH41" s="30"/>
      <c r="TXI41" s="29"/>
      <c r="TXJ41" s="30"/>
      <c r="TXK41" s="29"/>
      <c r="TXL41" s="30"/>
      <c r="TXM41" s="29"/>
      <c r="TXN41" s="30"/>
      <c r="TXO41" s="29"/>
      <c r="TXP41" s="30"/>
      <c r="TXQ41" s="29"/>
      <c r="TXR41" s="30"/>
      <c r="TXS41" s="29"/>
      <c r="TXT41" s="30"/>
      <c r="TXU41" s="29"/>
      <c r="TXV41" s="30"/>
      <c r="TXW41" s="29"/>
      <c r="TXX41" s="30"/>
      <c r="TXY41" s="29"/>
      <c r="TXZ41" s="30"/>
      <c r="TYA41" s="29"/>
      <c r="TYB41" s="30"/>
      <c r="TYC41" s="29"/>
      <c r="TYD41" s="30"/>
      <c r="TYE41" s="29"/>
      <c r="TYF41" s="30"/>
      <c r="TYG41" s="29"/>
      <c r="TYH41" s="30"/>
      <c r="TYI41" s="29"/>
      <c r="TYJ41" s="30"/>
      <c r="TYK41" s="29"/>
      <c r="TYL41" s="30"/>
      <c r="TYM41" s="29"/>
      <c r="TYN41" s="30"/>
      <c r="TYO41" s="29"/>
      <c r="TYP41" s="30"/>
      <c r="TYQ41" s="29"/>
      <c r="TYR41" s="30"/>
      <c r="TYS41" s="29"/>
      <c r="TYT41" s="30"/>
      <c r="TYU41" s="29"/>
      <c r="TYV41" s="30"/>
      <c r="TYW41" s="29"/>
      <c r="TYX41" s="30"/>
      <c r="TYY41" s="29"/>
      <c r="TYZ41" s="30"/>
      <c r="TZA41" s="29"/>
      <c r="TZB41" s="30"/>
      <c r="TZC41" s="29"/>
      <c r="TZD41" s="30"/>
      <c r="TZE41" s="29"/>
      <c r="TZF41" s="30"/>
      <c r="TZG41" s="29"/>
      <c r="TZH41" s="30"/>
      <c r="TZI41" s="29"/>
      <c r="TZJ41" s="30"/>
      <c r="TZK41" s="29"/>
      <c r="TZL41" s="30"/>
      <c r="TZM41" s="29"/>
      <c r="TZN41" s="30"/>
      <c r="TZO41" s="29"/>
      <c r="TZP41" s="30"/>
      <c r="TZQ41" s="29"/>
      <c r="TZR41" s="30"/>
      <c r="TZS41" s="29"/>
      <c r="TZT41" s="30"/>
      <c r="TZU41" s="29"/>
      <c r="TZV41" s="30"/>
      <c r="TZW41" s="29"/>
      <c r="TZX41" s="30"/>
      <c r="TZY41" s="29"/>
      <c r="TZZ41" s="30"/>
      <c r="UAA41" s="29"/>
      <c r="UAB41" s="30"/>
      <c r="UAC41" s="29"/>
      <c r="UAD41" s="30"/>
      <c r="UAE41" s="29"/>
      <c r="UAF41" s="30"/>
      <c r="UAG41" s="29"/>
      <c r="UAH41" s="30"/>
      <c r="UAI41" s="29"/>
      <c r="UAJ41" s="30"/>
      <c r="UAK41" s="29"/>
      <c r="UAL41" s="30"/>
      <c r="UAM41" s="29"/>
      <c r="UAN41" s="30"/>
      <c r="UAO41" s="29"/>
      <c r="UAP41" s="30"/>
      <c r="UAQ41" s="29"/>
      <c r="UAR41" s="30"/>
      <c r="UAS41" s="29"/>
      <c r="UAT41" s="30"/>
      <c r="UAU41" s="29"/>
      <c r="UAV41" s="30"/>
      <c r="UAW41" s="29"/>
      <c r="UAX41" s="30"/>
      <c r="UAY41" s="29"/>
      <c r="UAZ41" s="30"/>
      <c r="UBA41" s="29"/>
      <c r="UBB41" s="30"/>
      <c r="UBC41" s="29"/>
      <c r="UBD41" s="30"/>
      <c r="UBE41" s="29"/>
      <c r="UBF41" s="30"/>
      <c r="UBG41" s="29"/>
      <c r="UBH41" s="30"/>
      <c r="UBI41" s="29"/>
      <c r="UBJ41" s="30"/>
      <c r="UBK41" s="29"/>
      <c r="UBL41" s="30"/>
      <c r="UBM41" s="29"/>
      <c r="UBN41" s="30"/>
      <c r="UBO41" s="29"/>
      <c r="UBP41" s="30"/>
      <c r="UBQ41" s="29"/>
      <c r="UBR41" s="30"/>
      <c r="UBS41" s="29"/>
      <c r="UBT41" s="30"/>
      <c r="UBU41" s="29"/>
      <c r="UBV41" s="30"/>
      <c r="UBW41" s="29"/>
      <c r="UBX41" s="30"/>
      <c r="UBY41" s="29"/>
      <c r="UBZ41" s="30"/>
      <c r="UCA41" s="29"/>
      <c r="UCB41" s="30"/>
      <c r="UCC41" s="29"/>
      <c r="UCD41" s="30"/>
      <c r="UCE41" s="29"/>
      <c r="UCF41" s="30"/>
      <c r="UCG41" s="29"/>
      <c r="UCH41" s="30"/>
      <c r="UCI41" s="29"/>
      <c r="UCJ41" s="30"/>
      <c r="UCK41" s="29"/>
      <c r="UCL41" s="30"/>
      <c r="UCM41" s="29"/>
      <c r="UCN41" s="30"/>
      <c r="UCO41" s="29"/>
      <c r="UCP41" s="30"/>
      <c r="UCQ41" s="29"/>
      <c r="UCR41" s="30"/>
      <c r="UCS41" s="29"/>
      <c r="UCT41" s="30"/>
      <c r="UCU41" s="29"/>
      <c r="UCV41" s="30"/>
      <c r="UCW41" s="29"/>
      <c r="UCX41" s="30"/>
      <c r="UCY41" s="29"/>
      <c r="UCZ41" s="30"/>
      <c r="UDA41" s="29"/>
      <c r="UDB41" s="30"/>
      <c r="UDC41" s="29"/>
      <c r="UDD41" s="30"/>
      <c r="UDE41" s="29"/>
      <c r="UDF41" s="30"/>
      <c r="UDG41" s="29"/>
      <c r="UDH41" s="30"/>
      <c r="UDI41" s="29"/>
      <c r="UDJ41" s="30"/>
      <c r="UDK41" s="29"/>
      <c r="UDL41" s="30"/>
      <c r="UDM41" s="29"/>
      <c r="UDN41" s="30"/>
      <c r="UDO41" s="29"/>
      <c r="UDP41" s="30"/>
      <c r="UDQ41" s="29"/>
      <c r="UDR41" s="30"/>
      <c r="UDS41" s="29"/>
      <c r="UDT41" s="30"/>
      <c r="UDU41" s="29"/>
      <c r="UDV41" s="30"/>
      <c r="UDW41" s="29"/>
      <c r="UDX41" s="30"/>
      <c r="UDY41" s="29"/>
      <c r="UDZ41" s="30"/>
      <c r="UEA41" s="29"/>
      <c r="UEB41" s="30"/>
      <c r="UEC41" s="29"/>
      <c r="UED41" s="30"/>
      <c r="UEE41" s="29"/>
      <c r="UEF41" s="30"/>
      <c r="UEG41" s="29"/>
      <c r="UEH41" s="30"/>
      <c r="UEI41" s="29"/>
      <c r="UEJ41" s="30"/>
      <c r="UEK41" s="29"/>
      <c r="UEL41" s="30"/>
      <c r="UEM41" s="29"/>
      <c r="UEN41" s="30"/>
      <c r="UEO41" s="29"/>
      <c r="UEP41" s="30"/>
      <c r="UEQ41" s="29"/>
      <c r="UER41" s="30"/>
      <c r="UES41" s="29"/>
      <c r="UET41" s="30"/>
      <c r="UEU41" s="29"/>
      <c r="UEV41" s="30"/>
      <c r="UEW41" s="29"/>
      <c r="UEX41" s="30"/>
      <c r="UEY41" s="29"/>
      <c r="UEZ41" s="30"/>
      <c r="UFA41" s="29"/>
      <c r="UFB41" s="30"/>
      <c r="UFC41" s="29"/>
      <c r="UFD41" s="30"/>
      <c r="UFE41" s="29"/>
      <c r="UFF41" s="30"/>
      <c r="UFG41" s="29"/>
      <c r="UFH41" s="30"/>
      <c r="UFI41" s="29"/>
      <c r="UFJ41" s="30"/>
      <c r="UFK41" s="29"/>
      <c r="UFL41" s="30"/>
      <c r="UFM41" s="29"/>
      <c r="UFN41" s="30"/>
      <c r="UFO41" s="29"/>
      <c r="UFP41" s="30"/>
      <c r="UFQ41" s="29"/>
      <c r="UFR41" s="30"/>
      <c r="UFS41" s="29"/>
      <c r="UFT41" s="30"/>
      <c r="UFU41" s="29"/>
      <c r="UFV41" s="30"/>
      <c r="UFW41" s="29"/>
      <c r="UFX41" s="30"/>
      <c r="UFY41" s="29"/>
      <c r="UFZ41" s="30"/>
      <c r="UGA41" s="29"/>
      <c r="UGB41" s="30"/>
      <c r="UGC41" s="29"/>
      <c r="UGD41" s="30"/>
      <c r="UGE41" s="29"/>
      <c r="UGF41" s="30"/>
      <c r="UGG41" s="29"/>
      <c r="UGH41" s="30"/>
      <c r="UGI41" s="29"/>
      <c r="UGJ41" s="30"/>
      <c r="UGK41" s="29"/>
      <c r="UGL41" s="30"/>
      <c r="UGM41" s="29"/>
      <c r="UGN41" s="30"/>
      <c r="UGO41" s="29"/>
      <c r="UGP41" s="30"/>
      <c r="UGQ41" s="29"/>
      <c r="UGR41" s="30"/>
      <c r="UGS41" s="29"/>
      <c r="UGT41" s="30"/>
      <c r="UGU41" s="29"/>
      <c r="UGV41" s="30"/>
      <c r="UGW41" s="29"/>
      <c r="UGX41" s="30"/>
      <c r="UGY41" s="29"/>
      <c r="UGZ41" s="30"/>
      <c r="UHA41" s="29"/>
      <c r="UHB41" s="30"/>
      <c r="UHC41" s="29"/>
      <c r="UHD41" s="30"/>
      <c r="UHE41" s="29"/>
      <c r="UHF41" s="30"/>
      <c r="UHG41" s="29"/>
      <c r="UHH41" s="30"/>
      <c r="UHI41" s="29"/>
      <c r="UHJ41" s="30"/>
      <c r="UHK41" s="29"/>
      <c r="UHL41" s="30"/>
      <c r="UHM41" s="29"/>
      <c r="UHN41" s="30"/>
      <c r="UHO41" s="29"/>
      <c r="UHP41" s="30"/>
      <c r="UHQ41" s="29"/>
      <c r="UHR41" s="30"/>
      <c r="UHS41" s="29"/>
      <c r="UHT41" s="30"/>
      <c r="UHU41" s="29"/>
      <c r="UHV41" s="30"/>
      <c r="UHW41" s="29"/>
      <c r="UHX41" s="30"/>
      <c r="UHY41" s="29"/>
      <c r="UHZ41" s="30"/>
      <c r="UIA41" s="29"/>
      <c r="UIB41" s="30"/>
      <c r="UIC41" s="29"/>
      <c r="UID41" s="30"/>
      <c r="UIE41" s="29"/>
      <c r="UIF41" s="30"/>
      <c r="UIG41" s="29"/>
      <c r="UIH41" s="30"/>
      <c r="UII41" s="29"/>
      <c r="UIJ41" s="30"/>
      <c r="UIK41" s="29"/>
      <c r="UIL41" s="30"/>
      <c r="UIM41" s="29"/>
      <c r="UIN41" s="30"/>
      <c r="UIO41" s="29"/>
      <c r="UIP41" s="30"/>
      <c r="UIQ41" s="29"/>
      <c r="UIR41" s="30"/>
      <c r="UIS41" s="29"/>
      <c r="UIT41" s="30"/>
      <c r="UIU41" s="29"/>
      <c r="UIV41" s="30"/>
      <c r="UIW41" s="29"/>
      <c r="UIX41" s="30"/>
      <c r="UIY41" s="29"/>
      <c r="UIZ41" s="30"/>
      <c r="UJA41" s="29"/>
      <c r="UJB41" s="30"/>
      <c r="UJC41" s="29"/>
      <c r="UJD41" s="30"/>
      <c r="UJE41" s="29"/>
      <c r="UJF41" s="30"/>
      <c r="UJG41" s="29"/>
      <c r="UJH41" s="30"/>
      <c r="UJI41" s="29"/>
      <c r="UJJ41" s="30"/>
      <c r="UJK41" s="29"/>
      <c r="UJL41" s="30"/>
      <c r="UJM41" s="29"/>
      <c r="UJN41" s="30"/>
      <c r="UJO41" s="29"/>
      <c r="UJP41" s="30"/>
      <c r="UJQ41" s="29"/>
      <c r="UJR41" s="30"/>
      <c r="UJS41" s="29"/>
      <c r="UJT41" s="30"/>
      <c r="UJU41" s="29"/>
      <c r="UJV41" s="30"/>
      <c r="UJW41" s="29"/>
      <c r="UJX41" s="30"/>
      <c r="UJY41" s="29"/>
      <c r="UJZ41" s="30"/>
      <c r="UKA41" s="29"/>
      <c r="UKB41" s="30"/>
      <c r="UKC41" s="29"/>
      <c r="UKD41" s="30"/>
      <c r="UKE41" s="29"/>
      <c r="UKF41" s="30"/>
      <c r="UKG41" s="29"/>
      <c r="UKH41" s="30"/>
      <c r="UKI41" s="29"/>
      <c r="UKJ41" s="30"/>
      <c r="UKK41" s="29"/>
      <c r="UKL41" s="30"/>
      <c r="UKM41" s="29"/>
      <c r="UKN41" s="30"/>
      <c r="UKO41" s="29"/>
      <c r="UKP41" s="30"/>
      <c r="UKQ41" s="29"/>
      <c r="UKR41" s="30"/>
      <c r="UKS41" s="29"/>
      <c r="UKT41" s="30"/>
      <c r="UKU41" s="29"/>
      <c r="UKV41" s="30"/>
      <c r="UKW41" s="29"/>
      <c r="UKX41" s="30"/>
      <c r="UKY41" s="29"/>
      <c r="UKZ41" s="30"/>
      <c r="ULA41" s="29"/>
      <c r="ULB41" s="30"/>
      <c r="ULC41" s="29"/>
      <c r="ULD41" s="30"/>
      <c r="ULE41" s="29"/>
      <c r="ULF41" s="30"/>
      <c r="ULG41" s="29"/>
      <c r="ULH41" s="30"/>
      <c r="ULI41" s="29"/>
      <c r="ULJ41" s="30"/>
      <c r="ULK41" s="29"/>
      <c r="ULL41" s="30"/>
      <c r="ULM41" s="29"/>
      <c r="ULN41" s="30"/>
      <c r="ULO41" s="29"/>
      <c r="ULP41" s="30"/>
      <c r="ULQ41" s="29"/>
      <c r="ULR41" s="30"/>
      <c r="ULS41" s="29"/>
      <c r="ULT41" s="30"/>
      <c r="ULU41" s="29"/>
      <c r="ULV41" s="30"/>
      <c r="ULW41" s="29"/>
      <c r="ULX41" s="30"/>
      <c r="ULY41" s="29"/>
      <c r="ULZ41" s="30"/>
      <c r="UMA41" s="29"/>
      <c r="UMB41" s="30"/>
      <c r="UMC41" s="29"/>
      <c r="UMD41" s="30"/>
      <c r="UME41" s="29"/>
      <c r="UMF41" s="30"/>
      <c r="UMG41" s="29"/>
      <c r="UMH41" s="30"/>
      <c r="UMI41" s="29"/>
      <c r="UMJ41" s="30"/>
      <c r="UMK41" s="29"/>
      <c r="UML41" s="30"/>
      <c r="UMM41" s="29"/>
      <c r="UMN41" s="30"/>
      <c r="UMO41" s="29"/>
      <c r="UMP41" s="30"/>
      <c r="UMQ41" s="29"/>
      <c r="UMR41" s="30"/>
      <c r="UMS41" s="29"/>
      <c r="UMT41" s="30"/>
      <c r="UMU41" s="29"/>
      <c r="UMV41" s="30"/>
      <c r="UMW41" s="29"/>
      <c r="UMX41" s="30"/>
      <c r="UMY41" s="29"/>
      <c r="UMZ41" s="30"/>
      <c r="UNA41" s="29"/>
      <c r="UNB41" s="30"/>
      <c r="UNC41" s="29"/>
      <c r="UND41" s="30"/>
      <c r="UNE41" s="29"/>
      <c r="UNF41" s="30"/>
      <c r="UNG41" s="29"/>
      <c r="UNH41" s="30"/>
      <c r="UNI41" s="29"/>
      <c r="UNJ41" s="30"/>
      <c r="UNK41" s="29"/>
      <c r="UNL41" s="30"/>
      <c r="UNM41" s="29"/>
      <c r="UNN41" s="30"/>
      <c r="UNO41" s="29"/>
      <c r="UNP41" s="30"/>
      <c r="UNQ41" s="29"/>
      <c r="UNR41" s="30"/>
      <c r="UNS41" s="29"/>
      <c r="UNT41" s="30"/>
      <c r="UNU41" s="29"/>
      <c r="UNV41" s="30"/>
      <c r="UNW41" s="29"/>
      <c r="UNX41" s="30"/>
      <c r="UNY41" s="29"/>
      <c r="UNZ41" s="30"/>
      <c r="UOA41" s="29"/>
      <c r="UOB41" s="30"/>
      <c r="UOC41" s="29"/>
      <c r="UOD41" s="30"/>
      <c r="UOE41" s="29"/>
      <c r="UOF41" s="30"/>
      <c r="UOG41" s="29"/>
      <c r="UOH41" s="30"/>
      <c r="UOI41" s="29"/>
      <c r="UOJ41" s="30"/>
      <c r="UOK41" s="29"/>
      <c r="UOL41" s="30"/>
      <c r="UOM41" s="29"/>
      <c r="UON41" s="30"/>
      <c r="UOO41" s="29"/>
      <c r="UOP41" s="30"/>
      <c r="UOQ41" s="29"/>
      <c r="UOR41" s="30"/>
      <c r="UOS41" s="29"/>
      <c r="UOT41" s="30"/>
      <c r="UOU41" s="29"/>
      <c r="UOV41" s="30"/>
      <c r="UOW41" s="29"/>
      <c r="UOX41" s="30"/>
      <c r="UOY41" s="29"/>
      <c r="UOZ41" s="30"/>
      <c r="UPA41" s="29"/>
      <c r="UPB41" s="30"/>
      <c r="UPC41" s="29"/>
      <c r="UPD41" s="30"/>
      <c r="UPE41" s="29"/>
      <c r="UPF41" s="30"/>
      <c r="UPG41" s="29"/>
      <c r="UPH41" s="30"/>
      <c r="UPI41" s="29"/>
      <c r="UPJ41" s="30"/>
      <c r="UPK41" s="29"/>
      <c r="UPL41" s="30"/>
      <c r="UPM41" s="29"/>
      <c r="UPN41" s="30"/>
      <c r="UPO41" s="29"/>
      <c r="UPP41" s="30"/>
      <c r="UPQ41" s="29"/>
      <c r="UPR41" s="30"/>
      <c r="UPS41" s="29"/>
      <c r="UPT41" s="30"/>
      <c r="UPU41" s="29"/>
      <c r="UPV41" s="30"/>
      <c r="UPW41" s="29"/>
      <c r="UPX41" s="30"/>
      <c r="UPY41" s="29"/>
      <c r="UPZ41" s="30"/>
      <c r="UQA41" s="29"/>
      <c r="UQB41" s="30"/>
      <c r="UQC41" s="29"/>
      <c r="UQD41" s="30"/>
      <c r="UQE41" s="29"/>
      <c r="UQF41" s="30"/>
      <c r="UQG41" s="29"/>
      <c r="UQH41" s="30"/>
      <c r="UQI41" s="29"/>
      <c r="UQJ41" s="30"/>
      <c r="UQK41" s="29"/>
      <c r="UQL41" s="30"/>
      <c r="UQM41" s="29"/>
      <c r="UQN41" s="30"/>
      <c r="UQO41" s="29"/>
      <c r="UQP41" s="30"/>
      <c r="UQQ41" s="29"/>
      <c r="UQR41" s="30"/>
      <c r="UQS41" s="29"/>
      <c r="UQT41" s="30"/>
      <c r="UQU41" s="29"/>
      <c r="UQV41" s="30"/>
      <c r="UQW41" s="29"/>
      <c r="UQX41" s="30"/>
      <c r="UQY41" s="29"/>
      <c r="UQZ41" s="30"/>
      <c r="URA41" s="29"/>
      <c r="URB41" s="30"/>
      <c r="URC41" s="29"/>
      <c r="URD41" s="30"/>
      <c r="URE41" s="29"/>
      <c r="URF41" s="30"/>
      <c r="URG41" s="29"/>
      <c r="URH41" s="30"/>
      <c r="URI41" s="29"/>
      <c r="URJ41" s="30"/>
      <c r="URK41" s="29"/>
      <c r="URL41" s="30"/>
      <c r="URM41" s="29"/>
      <c r="URN41" s="30"/>
      <c r="URO41" s="29"/>
      <c r="URP41" s="30"/>
      <c r="URQ41" s="29"/>
      <c r="URR41" s="30"/>
      <c r="URS41" s="29"/>
      <c r="URT41" s="30"/>
      <c r="URU41" s="29"/>
      <c r="URV41" s="30"/>
      <c r="URW41" s="29"/>
      <c r="URX41" s="30"/>
      <c r="URY41" s="29"/>
      <c r="URZ41" s="30"/>
      <c r="USA41" s="29"/>
      <c r="USB41" s="30"/>
      <c r="USC41" s="29"/>
      <c r="USD41" s="30"/>
      <c r="USE41" s="29"/>
      <c r="USF41" s="30"/>
      <c r="USG41" s="29"/>
      <c r="USH41" s="30"/>
      <c r="USI41" s="29"/>
      <c r="USJ41" s="30"/>
      <c r="USK41" s="29"/>
      <c r="USL41" s="30"/>
      <c r="USM41" s="29"/>
      <c r="USN41" s="30"/>
      <c r="USO41" s="29"/>
      <c r="USP41" s="30"/>
      <c r="USQ41" s="29"/>
      <c r="USR41" s="30"/>
      <c r="USS41" s="29"/>
      <c r="UST41" s="30"/>
      <c r="USU41" s="29"/>
      <c r="USV41" s="30"/>
      <c r="USW41" s="29"/>
      <c r="USX41" s="30"/>
      <c r="USY41" s="29"/>
      <c r="USZ41" s="30"/>
      <c r="UTA41" s="29"/>
      <c r="UTB41" s="30"/>
      <c r="UTC41" s="29"/>
      <c r="UTD41" s="30"/>
      <c r="UTE41" s="29"/>
      <c r="UTF41" s="30"/>
      <c r="UTG41" s="29"/>
      <c r="UTH41" s="30"/>
      <c r="UTI41" s="29"/>
      <c r="UTJ41" s="30"/>
      <c r="UTK41" s="29"/>
      <c r="UTL41" s="30"/>
      <c r="UTM41" s="29"/>
      <c r="UTN41" s="30"/>
      <c r="UTO41" s="29"/>
      <c r="UTP41" s="30"/>
      <c r="UTQ41" s="29"/>
      <c r="UTR41" s="30"/>
      <c r="UTS41" s="29"/>
      <c r="UTT41" s="30"/>
      <c r="UTU41" s="29"/>
      <c r="UTV41" s="30"/>
      <c r="UTW41" s="29"/>
      <c r="UTX41" s="30"/>
      <c r="UTY41" s="29"/>
      <c r="UTZ41" s="30"/>
      <c r="UUA41" s="29"/>
      <c r="UUB41" s="30"/>
      <c r="UUC41" s="29"/>
      <c r="UUD41" s="30"/>
      <c r="UUE41" s="29"/>
      <c r="UUF41" s="30"/>
      <c r="UUG41" s="29"/>
      <c r="UUH41" s="30"/>
      <c r="UUI41" s="29"/>
      <c r="UUJ41" s="30"/>
      <c r="UUK41" s="29"/>
      <c r="UUL41" s="30"/>
      <c r="UUM41" s="29"/>
      <c r="UUN41" s="30"/>
      <c r="UUO41" s="29"/>
      <c r="UUP41" s="30"/>
      <c r="UUQ41" s="29"/>
      <c r="UUR41" s="30"/>
      <c r="UUS41" s="29"/>
      <c r="UUT41" s="30"/>
      <c r="UUU41" s="29"/>
      <c r="UUV41" s="30"/>
      <c r="UUW41" s="29"/>
      <c r="UUX41" s="30"/>
      <c r="UUY41" s="29"/>
      <c r="UUZ41" s="30"/>
      <c r="UVA41" s="29"/>
      <c r="UVB41" s="30"/>
      <c r="UVC41" s="29"/>
      <c r="UVD41" s="30"/>
      <c r="UVE41" s="29"/>
      <c r="UVF41" s="30"/>
      <c r="UVG41" s="29"/>
      <c r="UVH41" s="30"/>
      <c r="UVI41" s="29"/>
      <c r="UVJ41" s="30"/>
      <c r="UVK41" s="29"/>
      <c r="UVL41" s="30"/>
      <c r="UVM41" s="29"/>
      <c r="UVN41" s="30"/>
      <c r="UVO41" s="29"/>
      <c r="UVP41" s="30"/>
      <c r="UVQ41" s="29"/>
      <c r="UVR41" s="30"/>
      <c r="UVS41" s="29"/>
      <c r="UVT41" s="30"/>
      <c r="UVU41" s="29"/>
      <c r="UVV41" s="30"/>
      <c r="UVW41" s="29"/>
      <c r="UVX41" s="30"/>
      <c r="UVY41" s="29"/>
      <c r="UVZ41" s="30"/>
      <c r="UWA41" s="29"/>
      <c r="UWB41" s="30"/>
      <c r="UWC41" s="29"/>
      <c r="UWD41" s="30"/>
      <c r="UWE41" s="29"/>
      <c r="UWF41" s="30"/>
      <c r="UWG41" s="29"/>
      <c r="UWH41" s="30"/>
      <c r="UWI41" s="29"/>
      <c r="UWJ41" s="30"/>
      <c r="UWK41" s="29"/>
      <c r="UWL41" s="30"/>
      <c r="UWM41" s="29"/>
      <c r="UWN41" s="30"/>
      <c r="UWO41" s="29"/>
      <c r="UWP41" s="30"/>
      <c r="UWQ41" s="29"/>
      <c r="UWR41" s="30"/>
      <c r="UWS41" s="29"/>
      <c r="UWT41" s="30"/>
      <c r="UWU41" s="29"/>
      <c r="UWV41" s="30"/>
      <c r="UWW41" s="29"/>
      <c r="UWX41" s="30"/>
      <c r="UWY41" s="29"/>
      <c r="UWZ41" s="30"/>
      <c r="UXA41" s="29"/>
      <c r="UXB41" s="30"/>
      <c r="UXC41" s="29"/>
      <c r="UXD41" s="30"/>
      <c r="UXE41" s="29"/>
      <c r="UXF41" s="30"/>
      <c r="UXG41" s="29"/>
      <c r="UXH41" s="30"/>
      <c r="UXI41" s="29"/>
      <c r="UXJ41" s="30"/>
      <c r="UXK41" s="29"/>
      <c r="UXL41" s="30"/>
      <c r="UXM41" s="29"/>
      <c r="UXN41" s="30"/>
      <c r="UXO41" s="29"/>
      <c r="UXP41" s="30"/>
      <c r="UXQ41" s="29"/>
      <c r="UXR41" s="30"/>
      <c r="UXS41" s="29"/>
      <c r="UXT41" s="30"/>
      <c r="UXU41" s="29"/>
      <c r="UXV41" s="30"/>
      <c r="UXW41" s="29"/>
      <c r="UXX41" s="30"/>
      <c r="UXY41" s="29"/>
      <c r="UXZ41" s="30"/>
      <c r="UYA41" s="29"/>
      <c r="UYB41" s="30"/>
      <c r="UYC41" s="29"/>
      <c r="UYD41" s="30"/>
      <c r="UYE41" s="29"/>
      <c r="UYF41" s="30"/>
      <c r="UYG41" s="29"/>
      <c r="UYH41" s="30"/>
      <c r="UYI41" s="29"/>
      <c r="UYJ41" s="30"/>
      <c r="UYK41" s="29"/>
      <c r="UYL41" s="30"/>
      <c r="UYM41" s="29"/>
      <c r="UYN41" s="30"/>
      <c r="UYO41" s="29"/>
      <c r="UYP41" s="30"/>
      <c r="UYQ41" s="29"/>
      <c r="UYR41" s="30"/>
      <c r="UYS41" s="29"/>
      <c r="UYT41" s="30"/>
      <c r="UYU41" s="29"/>
      <c r="UYV41" s="30"/>
      <c r="UYW41" s="29"/>
      <c r="UYX41" s="30"/>
      <c r="UYY41" s="29"/>
      <c r="UYZ41" s="30"/>
      <c r="UZA41" s="29"/>
      <c r="UZB41" s="30"/>
      <c r="UZC41" s="29"/>
      <c r="UZD41" s="30"/>
      <c r="UZE41" s="29"/>
      <c r="UZF41" s="30"/>
      <c r="UZG41" s="29"/>
      <c r="UZH41" s="30"/>
      <c r="UZI41" s="29"/>
      <c r="UZJ41" s="30"/>
      <c r="UZK41" s="29"/>
      <c r="UZL41" s="30"/>
      <c r="UZM41" s="29"/>
      <c r="UZN41" s="30"/>
      <c r="UZO41" s="29"/>
      <c r="UZP41" s="30"/>
      <c r="UZQ41" s="29"/>
      <c r="UZR41" s="30"/>
      <c r="UZS41" s="29"/>
      <c r="UZT41" s="30"/>
      <c r="UZU41" s="29"/>
      <c r="UZV41" s="30"/>
      <c r="UZW41" s="29"/>
      <c r="UZX41" s="30"/>
      <c r="UZY41" s="29"/>
      <c r="UZZ41" s="30"/>
      <c r="VAA41" s="29"/>
      <c r="VAB41" s="30"/>
      <c r="VAC41" s="29"/>
      <c r="VAD41" s="30"/>
      <c r="VAE41" s="29"/>
      <c r="VAF41" s="30"/>
      <c r="VAG41" s="29"/>
      <c r="VAH41" s="30"/>
      <c r="VAI41" s="29"/>
      <c r="VAJ41" s="30"/>
      <c r="VAK41" s="29"/>
      <c r="VAL41" s="30"/>
      <c r="VAM41" s="29"/>
      <c r="VAN41" s="30"/>
      <c r="VAO41" s="29"/>
      <c r="VAP41" s="30"/>
      <c r="VAQ41" s="29"/>
      <c r="VAR41" s="30"/>
      <c r="VAS41" s="29"/>
      <c r="VAT41" s="30"/>
      <c r="VAU41" s="29"/>
      <c r="VAV41" s="30"/>
      <c r="VAW41" s="29"/>
      <c r="VAX41" s="30"/>
      <c r="VAY41" s="29"/>
      <c r="VAZ41" s="30"/>
      <c r="VBA41" s="29"/>
      <c r="VBB41" s="30"/>
      <c r="VBC41" s="29"/>
      <c r="VBD41" s="30"/>
      <c r="VBE41" s="29"/>
      <c r="VBF41" s="30"/>
      <c r="VBG41" s="29"/>
      <c r="VBH41" s="30"/>
      <c r="VBI41" s="29"/>
      <c r="VBJ41" s="30"/>
      <c r="VBK41" s="29"/>
      <c r="VBL41" s="30"/>
      <c r="VBM41" s="29"/>
      <c r="VBN41" s="30"/>
      <c r="VBO41" s="29"/>
      <c r="VBP41" s="30"/>
      <c r="VBQ41" s="29"/>
      <c r="VBR41" s="30"/>
      <c r="VBS41" s="29"/>
      <c r="VBT41" s="30"/>
      <c r="VBU41" s="29"/>
      <c r="VBV41" s="30"/>
      <c r="VBW41" s="29"/>
      <c r="VBX41" s="30"/>
      <c r="VBY41" s="29"/>
      <c r="VBZ41" s="30"/>
      <c r="VCA41" s="29"/>
      <c r="VCB41" s="30"/>
      <c r="VCC41" s="29"/>
      <c r="VCD41" s="30"/>
      <c r="VCE41" s="29"/>
      <c r="VCF41" s="30"/>
      <c r="VCG41" s="29"/>
      <c r="VCH41" s="30"/>
      <c r="VCI41" s="29"/>
      <c r="VCJ41" s="30"/>
      <c r="VCK41" s="29"/>
      <c r="VCL41" s="30"/>
      <c r="VCM41" s="29"/>
      <c r="VCN41" s="30"/>
      <c r="VCO41" s="29"/>
      <c r="VCP41" s="30"/>
      <c r="VCQ41" s="29"/>
      <c r="VCR41" s="30"/>
      <c r="VCS41" s="29"/>
      <c r="VCT41" s="30"/>
      <c r="VCU41" s="29"/>
      <c r="VCV41" s="30"/>
      <c r="VCW41" s="29"/>
      <c r="VCX41" s="30"/>
      <c r="VCY41" s="29"/>
      <c r="VCZ41" s="30"/>
      <c r="VDA41" s="29"/>
      <c r="VDB41" s="30"/>
      <c r="VDC41" s="29"/>
      <c r="VDD41" s="30"/>
      <c r="VDE41" s="29"/>
      <c r="VDF41" s="30"/>
      <c r="VDG41" s="29"/>
      <c r="VDH41" s="30"/>
      <c r="VDI41" s="29"/>
      <c r="VDJ41" s="30"/>
      <c r="VDK41" s="29"/>
      <c r="VDL41" s="30"/>
      <c r="VDM41" s="29"/>
      <c r="VDN41" s="30"/>
      <c r="VDO41" s="29"/>
      <c r="VDP41" s="30"/>
      <c r="VDQ41" s="29"/>
      <c r="VDR41" s="30"/>
      <c r="VDS41" s="29"/>
      <c r="VDT41" s="30"/>
      <c r="VDU41" s="29"/>
      <c r="VDV41" s="30"/>
      <c r="VDW41" s="29"/>
      <c r="VDX41" s="30"/>
      <c r="VDY41" s="29"/>
      <c r="VDZ41" s="30"/>
      <c r="VEA41" s="29"/>
      <c r="VEB41" s="30"/>
      <c r="VEC41" s="29"/>
      <c r="VED41" s="30"/>
      <c r="VEE41" s="29"/>
      <c r="VEF41" s="30"/>
      <c r="VEG41" s="29"/>
      <c r="VEH41" s="30"/>
      <c r="VEI41" s="29"/>
      <c r="VEJ41" s="30"/>
      <c r="VEK41" s="29"/>
      <c r="VEL41" s="30"/>
      <c r="VEM41" s="29"/>
      <c r="VEN41" s="30"/>
      <c r="VEO41" s="29"/>
      <c r="VEP41" s="30"/>
      <c r="VEQ41" s="29"/>
      <c r="VER41" s="30"/>
      <c r="VES41" s="29"/>
      <c r="VET41" s="30"/>
      <c r="VEU41" s="29"/>
      <c r="VEV41" s="30"/>
      <c r="VEW41" s="29"/>
      <c r="VEX41" s="30"/>
      <c r="VEY41" s="29"/>
      <c r="VEZ41" s="30"/>
      <c r="VFA41" s="29"/>
      <c r="VFB41" s="30"/>
      <c r="VFC41" s="29"/>
      <c r="VFD41" s="30"/>
      <c r="VFE41" s="29"/>
      <c r="VFF41" s="30"/>
      <c r="VFG41" s="29"/>
      <c r="VFH41" s="30"/>
      <c r="VFI41" s="29"/>
      <c r="VFJ41" s="30"/>
      <c r="VFK41" s="29"/>
      <c r="VFL41" s="30"/>
      <c r="VFM41" s="29"/>
      <c r="VFN41" s="30"/>
      <c r="VFO41" s="29"/>
      <c r="VFP41" s="30"/>
      <c r="VFQ41" s="29"/>
      <c r="VFR41" s="30"/>
      <c r="VFS41" s="29"/>
      <c r="VFT41" s="30"/>
      <c r="VFU41" s="29"/>
      <c r="VFV41" s="30"/>
      <c r="VFW41" s="29"/>
      <c r="VFX41" s="30"/>
      <c r="VFY41" s="29"/>
      <c r="VFZ41" s="30"/>
      <c r="VGA41" s="29"/>
      <c r="VGB41" s="30"/>
      <c r="VGC41" s="29"/>
      <c r="VGD41" s="30"/>
      <c r="VGE41" s="29"/>
      <c r="VGF41" s="30"/>
      <c r="VGG41" s="29"/>
      <c r="VGH41" s="30"/>
      <c r="VGI41" s="29"/>
      <c r="VGJ41" s="30"/>
      <c r="VGK41" s="29"/>
      <c r="VGL41" s="30"/>
      <c r="VGM41" s="29"/>
      <c r="VGN41" s="30"/>
      <c r="VGO41" s="29"/>
      <c r="VGP41" s="30"/>
      <c r="VGQ41" s="29"/>
      <c r="VGR41" s="30"/>
      <c r="VGS41" s="29"/>
      <c r="VGT41" s="30"/>
      <c r="VGU41" s="29"/>
      <c r="VGV41" s="30"/>
      <c r="VGW41" s="29"/>
      <c r="VGX41" s="30"/>
      <c r="VGY41" s="29"/>
      <c r="VGZ41" s="30"/>
      <c r="VHA41" s="29"/>
      <c r="VHB41" s="30"/>
      <c r="VHC41" s="29"/>
      <c r="VHD41" s="30"/>
      <c r="VHE41" s="29"/>
      <c r="VHF41" s="30"/>
      <c r="VHG41" s="29"/>
      <c r="VHH41" s="30"/>
      <c r="VHI41" s="29"/>
      <c r="VHJ41" s="30"/>
      <c r="VHK41" s="29"/>
      <c r="VHL41" s="30"/>
      <c r="VHM41" s="29"/>
      <c r="VHN41" s="30"/>
      <c r="VHO41" s="29"/>
      <c r="VHP41" s="30"/>
      <c r="VHQ41" s="29"/>
      <c r="VHR41" s="30"/>
      <c r="VHS41" s="29"/>
      <c r="VHT41" s="30"/>
      <c r="VHU41" s="29"/>
      <c r="VHV41" s="30"/>
      <c r="VHW41" s="29"/>
      <c r="VHX41" s="30"/>
      <c r="VHY41" s="29"/>
      <c r="VHZ41" s="30"/>
      <c r="VIA41" s="29"/>
      <c r="VIB41" s="30"/>
      <c r="VIC41" s="29"/>
      <c r="VID41" s="30"/>
      <c r="VIE41" s="29"/>
      <c r="VIF41" s="30"/>
      <c r="VIG41" s="29"/>
      <c r="VIH41" s="30"/>
      <c r="VII41" s="29"/>
      <c r="VIJ41" s="30"/>
      <c r="VIK41" s="29"/>
      <c r="VIL41" s="30"/>
      <c r="VIM41" s="29"/>
      <c r="VIN41" s="30"/>
      <c r="VIO41" s="29"/>
      <c r="VIP41" s="30"/>
      <c r="VIQ41" s="29"/>
      <c r="VIR41" s="30"/>
      <c r="VIS41" s="29"/>
      <c r="VIT41" s="30"/>
      <c r="VIU41" s="29"/>
      <c r="VIV41" s="30"/>
      <c r="VIW41" s="29"/>
      <c r="VIX41" s="30"/>
      <c r="VIY41" s="29"/>
      <c r="VIZ41" s="30"/>
      <c r="VJA41" s="29"/>
      <c r="VJB41" s="30"/>
      <c r="VJC41" s="29"/>
      <c r="VJD41" s="30"/>
      <c r="VJE41" s="29"/>
      <c r="VJF41" s="30"/>
      <c r="VJG41" s="29"/>
      <c r="VJH41" s="30"/>
      <c r="VJI41" s="29"/>
      <c r="VJJ41" s="30"/>
      <c r="VJK41" s="29"/>
      <c r="VJL41" s="30"/>
      <c r="VJM41" s="29"/>
      <c r="VJN41" s="30"/>
      <c r="VJO41" s="29"/>
      <c r="VJP41" s="30"/>
      <c r="VJQ41" s="29"/>
      <c r="VJR41" s="30"/>
      <c r="VJS41" s="29"/>
      <c r="VJT41" s="30"/>
      <c r="VJU41" s="29"/>
      <c r="VJV41" s="30"/>
      <c r="VJW41" s="29"/>
      <c r="VJX41" s="30"/>
      <c r="VJY41" s="29"/>
      <c r="VJZ41" s="30"/>
      <c r="VKA41" s="29"/>
      <c r="VKB41" s="30"/>
      <c r="VKC41" s="29"/>
      <c r="VKD41" s="30"/>
      <c r="VKE41" s="29"/>
      <c r="VKF41" s="30"/>
      <c r="VKG41" s="29"/>
      <c r="VKH41" s="30"/>
      <c r="VKI41" s="29"/>
      <c r="VKJ41" s="30"/>
      <c r="VKK41" s="29"/>
      <c r="VKL41" s="30"/>
      <c r="VKM41" s="29"/>
      <c r="VKN41" s="30"/>
      <c r="VKO41" s="29"/>
      <c r="VKP41" s="30"/>
      <c r="VKQ41" s="29"/>
      <c r="VKR41" s="30"/>
      <c r="VKS41" s="29"/>
      <c r="VKT41" s="30"/>
      <c r="VKU41" s="29"/>
      <c r="VKV41" s="30"/>
      <c r="VKW41" s="29"/>
      <c r="VKX41" s="30"/>
      <c r="VKY41" s="29"/>
      <c r="VKZ41" s="30"/>
      <c r="VLA41" s="29"/>
      <c r="VLB41" s="30"/>
      <c r="VLC41" s="29"/>
      <c r="VLD41" s="30"/>
      <c r="VLE41" s="29"/>
      <c r="VLF41" s="30"/>
      <c r="VLG41" s="29"/>
      <c r="VLH41" s="30"/>
      <c r="VLI41" s="29"/>
      <c r="VLJ41" s="30"/>
      <c r="VLK41" s="29"/>
      <c r="VLL41" s="30"/>
      <c r="VLM41" s="29"/>
      <c r="VLN41" s="30"/>
      <c r="VLO41" s="29"/>
      <c r="VLP41" s="30"/>
      <c r="VLQ41" s="29"/>
      <c r="VLR41" s="30"/>
      <c r="VLS41" s="29"/>
      <c r="VLT41" s="30"/>
      <c r="VLU41" s="29"/>
      <c r="VLV41" s="30"/>
      <c r="VLW41" s="29"/>
      <c r="VLX41" s="30"/>
      <c r="VLY41" s="29"/>
      <c r="VLZ41" s="30"/>
      <c r="VMA41" s="29"/>
      <c r="VMB41" s="30"/>
      <c r="VMC41" s="29"/>
      <c r="VMD41" s="30"/>
      <c r="VME41" s="29"/>
      <c r="VMF41" s="30"/>
      <c r="VMG41" s="29"/>
      <c r="VMH41" s="30"/>
      <c r="VMI41" s="29"/>
      <c r="VMJ41" s="30"/>
      <c r="VMK41" s="29"/>
      <c r="VML41" s="30"/>
      <c r="VMM41" s="29"/>
      <c r="VMN41" s="30"/>
      <c r="VMO41" s="29"/>
      <c r="VMP41" s="30"/>
      <c r="VMQ41" s="29"/>
      <c r="VMR41" s="30"/>
      <c r="VMS41" s="29"/>
      <c r="VMT41" s="30"/>
      <c r="VMU41" s="29"/>
      <c r="VMV41" s="30"/>
      <c r="VMW41" s="29"/>
      <c r="VMX41" s="30"/>
      <c r="VMY41" s="29"/>
      <c r="VMZ41" s="30"/>
      <c r="VNA41" s="29"/>
      <c r="VNB41" s="30"/>
      <c r="VNC41" s="29"/>
      <c r="VND41" s="30"/>
      <c r="VNE41" s="29"/>
      <c r="VNF41" s="30"/>
      <c r="VNG41" s="29"/>
      <c r="VNH41" s="30"/>
      <c r="VNI41" s="29"/>
      <c r="VNJ41" s="30"/>
      <c r="VNK41" s="29"/>
      <c r="VNL41" s="30"/>
      <c r="VNM41" s="29"/>
      <c r="VNN41" s="30"/>
      <c r="VNO41" s="29"/>
      <c r="VNP41" s="30"/>
      <c r="VNQ41" s="29"/>
      <c r="VNR41" s="30"/>
      <c r="VNS41" s="29"/>
      <c r="VNT41" s="30"/>
      <c r="VNU41" s="29"/>
      <c r="VNV41" s="30"/>
      <c r="VNW41" s="29"/>
      <c r="VNX41" s="30"/>
      <c r="VNY41" s="29"/>
      <c r="VNZ41" s="30"/>
      <c r="VOA41" s="29"/>
      <c r="VOB41" s="30"/>
      <c r="VOC41" s="29"/>
      <c r="VOD41" s="30"/>
      <c r="VOE41" s="29"/>
      <c r="VOF41" s="30"/>
      <c r="VOG41" s="29"/>
      <c r="VOH41" s="30"/>
      <c r="VOI41" s="29"/>
      <c r="VOJ41" s="30"/>
      <c r="VOK41" s="29"/>
      <c r="VOL41" s="30"/>
      <c r="VOM41" s="29"/>
      <c r="VON41" s="30"/>
      <c r="VOO41" s="29"/>
      <c r="VOP41" s="30"/>
      <c r="VOQ41" s="29"/>
      <c r="VOR41" s="30"/>
      <c r="VOS41" s="29"/>
      <c r="VOT41" s="30"/>
      <c r="VOU41" s="29"/>
      <c r="VOV41" s="30"/>
      <c r="VOW41" s="29"/>
      <c r="VOX41" s="30"/>
      <c r="VOY41" s="29"/>
      <c r="VOZ41" s="30"/>
      <c r="VPA41" s="29"/>
      <c r="VPB41" s="30"/>
      <c r="VPC41" s="29"/>
      <c r="VPD41" s="30"/>
      <c r="VPE41" s="29"/>
      <c r="VPF41" s="30"/>
      <c r="VPG41" s="29"/>
      <c r="VPH41" s="30"/>
      <c r="VPI41" s="29"/>
      <c r="VPJ41" s="30"/>
      <c r="VPK41" s="29"/>
      <c r="VPL41" s="30"/>
      <c r="VPM41" s="29"/>
      <c r="VPN41" s="30"/>
      <c r="VPO41" s="29"/>
      <c r="VPP41" s="30"/>
      <c r="VPQ41" s="29"/>
      <c r="VPR41" s="30"/>
      <c r="VPS41" s="29"/>
      <c r="VPT41" s="30"/>
      <c r="VPU41" s="29"/>
      <c r="VPV41" s="30"/>
      <c r="VPW41" s="29"/>
      <c r="VPX41" s="30"/>
      <c r="VPY41" s="29"/>
      <c r="VPZ41" s="30"/>
      <c r="VQA41" s="29"/>
      <c r="VQB41" s="30"/>
      <c r="VQC41" s="29"/>
      <c r="VQD41" s="30"/>
      <c r="VQE41" s="29"/>
      <c r="VQF41" s="30"/>
      <c r="VQG41" s="29"/>
      <c r="VQH41" s="30"/>
      <c r="VQI41" s="29"/>
      <c r="VQJ41" s="30"/>
      <c r="VQK41" s="29"/>
      <c r="VQL41" s="30"/>
      <c r="VQM41" s="29"/>
      <c r="VQN41" s="30"/>
      <c r="VQO41" s="29"/>
      <c r="VQP41" s="30"/>
      <c r="VQQ41" s="29"/>
      <c r="VQR41" s="30"/>
      <c r="VQS41" s="29"/>
      <c r="VQT41" s="30"/>
      <c r="VQU41" s="29"/>
      <c r="VQV41" s="30"/>
      <c r="VQW41" s="29"/>
      <c r="VQX41" s="30"/>
      <c r="VQY41" s="29"/>
      <c r="VQZ41" s="30"/>
      <c r="VRA41" s="29"/>
      <c r="VRB41" s="30"/>
      <c r="VRC41" s="29"/>
      <c r="VRD41" s="30"/>
      <c r="VRE41" s="29"/>
      <c r="VRF41" s="30"/>
      <c r="VRG41" s="29"/>
      <c r="VRH41" s="30"/>
      <c r="VRI41" s="29"/>
      <c r="VRJ41" s="30"/>
      <c r="VRK41" s="29"/>
      <c r="VRL41" s="30"/>
      <c r="VRM41" s="29"/>
      <c r="VRN41" s="30"/>
      <c r="VRO41" s="29"/>
      <c r="VRP41" s="30"/>
      <c r="VRQ41" s="29"/>
      <c r="VRR41" s="30"/>
      <c r="VRS41" s="29"/>
      <c r="VRT41" s="30"/>
      <c r="VRU41" s="29"/>
      <c r="VRV41" s="30"/>
      <c r="VRW41" s="29"/>
      <c r="VRX41" s="30"/>
      <c r="VRY41" s="29"/>
      <c r="VRZ41" s="30"/>
      <c r="VSA41" s="29"/>
      <c r="VSB41" s="30"/>
      <c r="VSC41" s="29"/>
      <c r="VSD41" s="30"/>
      <c r="VSE41" s="29"/>
      <c r="VSF41" s="30"/>
      <c r="VSG41" s="29"/>
      <c r="VSH41" s="30"/>
      <c r="VSI41" s="29"/>
      <c r="VSJ41" s="30"/>
      <c r="VSK41" s="29"/>
      <c r="VSL41" s="30"/>
      <c r="VSM41" s="29"/>
      <c r="VSN41" s="30"/>
      <c r="VSO41" s="29"/>
      <c r="VSP41" s="30"/>
      <c r="VSQ41" s="29"/>
      <c r="VSR41" s="30"/>
      <c r="VSS41" s="29"/>
      <c r="VST41" s="30"/>
      <c r="VSU41" s="29"/>
      <c r="VSV41" s="30"/>
      <c r="VSW41" s="29"/>
      <c r="VSX41" s="30"/>
      <c r="VSY41" s="29"/>
      <c r="VSZ41" s="30"/>
      <c r="VTA41" s="29"/>
      <c r="VTB41" s="30"/>
      <c r="VTC41" s="29"/>
      <c r="VTD41" s="30"/>
      <c r="VTE41" s="29"/>
      <c r="VTF41" s="30"/>
      <c r="VTG41" s="29"/>
      <c r="VTH41" s="30"/>
      <c r="VTI41" s="29"/>
      <c r="VTJ41" s="30"/>
      <c r="VTK41" s="29"/>
      <c r="VTL41" s="30"/>
      <c r="VTM41" s="29"/>
      <c r="VTN41" s="30"/>
      <c r="VTO41" s="29"/>
      <c r="VTP41" s="30"/>
      <c r="VTQ41" s="29"/>
      <c r="VTR41" s="30"/>
      <c r="VTS41" s="29"/>
      <c r="VTT41" s="30"/>
      <c r="VTU41" s="29"/>
      <c r="VTV41" s="30"/>
      <c r="VTW41" s="29"/>
      <c r="VTX41" s="30"/>
      <c r="VTY41" s="29"/>
      <c r="VTZ41" s="30"/>
      <c r="VUA41" s="29"/>
      <c r="VUB41" s="30"/>
      <c r="VUC41" s="29"/>
      <c r="VUD41" s="30"/>
      <c r="VUE41" s="29"/>
      <c r="VUF41" s="30"/>
      <c r="VUG41" s="29"/>
      <c r="VUH41" s="30"/>
      <c r="VUI41" s="29"/>
      <c r="VUJ41" s="30"/>
      <c r="VUK41" s="29"/>
      <c r="VUL41" s="30"/>
      <c r="VUM41" s="29"/>
      <c r="VUN41" s="30"/>
      <c r="VUO41" s="29"/>
      <c r="VUP41" s="30"/>
      <c r="VUQ41" s="29"/>
      <c r="VUR41" s="30"/>
      <c r="VUS41" s="29"/>
      <c r="VUT41" s="30"/>
      <c r="VUU41" s="29"/>
      <c r="VUV41" s="30"/>
      <c r="VUW41" s="29"/>
      <c r="VUX41" s="30"/>
      <c r="VUY41" s="29"/>
      <c r="VUZ41" s="30"/>
      <c r="VVA41" s="29"/>
      <c r="VVB41" s="30"/>
      <c r="VVC41" s="29"/>
      <c r="VVD41" s="30"/>
      <c r="VVE41" s="29"/>
      <c r="VVF41" s="30"/>
      <c r="VVG41" s="29"/>
      <c r="VVH41" s="30"/>
      <c r="VVI41" s="29"/>
      <c r="VVJ41" s="30"/>
      <c r="VVK41" s="29"/>
      <c r="VVL41" s="30"/>
      <c r="VVM41" s="29"/>
      <c r="VVN41" s="30"/>
      <c r="VVO41" s="29"/>
      <c r="VVP41" s="30"/>
      <c r="VVQ41" s="29"/>
      <c r="VVR41" s="30"/>
      <c r="VVS41" s="29"/>
      <c r="VVT41" s="30"/>
      <c r="VVU41" s="29"/>
      <c r="VVV41" s="30"/>
      <c r="VVW41" s="29"/>
      <c r="VVX41" s="30"/>
      <c r="VVY41" s="29"/>
      <c r="VVZ41" s="30"/>
      <c r="VWA41" s="29"/>
      <c r="VWB41" s="30"/>
      <c r="VWC41" s="29"/>
      <c r="VWD41" s="30"/>
      <c r="VWE41" s="29"/>
      <c r="VWF41" s="30"/>
      <c r="VWG41" s="29"/>
      <c r="VWH41" s="30"/>
      <c r="VWI41" s="29"/>
      <c r="VWJ41" s="30"/>
      <c r="VWK41" s="29"/>
      <c r="VWL41" s="30"/>
      <c r="VWM41" s="29"/>
      <c r="VWN41" s="30"/>
      <c r="VWO41" s="29"/>
      <c r="VWP41" s="30"/>
      <c r="VWQ41" s="29"/>
      <c r="VWR41" s="30"/>
      <c r="VWS41" s="29"/>
      <c r="VWT41" s="30"/>
      <c r="VWU41" s="29"/>
      <c r="VWV41" s="30"/>
      <c r="VWW41" s="29"/>
      <c r="VWX41" s="30"/>
      <c r="VWY41" s="29"/>
      <c r="VWZ41" s="30"/>
      <c r="VXA41" s="29"/>
      <c r="VXB41" s="30"/>
      <c r="VXC41" s="29"/>
      <c r="VXD41" s="30"/>
      <c r="VXE41" s="29"/>
      <c r="VXF41" s="30"/>
      <c r="VXG41" s="29"/>
      <c r="VXH41" s="30"/>
      <c r="VXI41" s="29"/>
      <c r="VXJ41" s="30"/>
      <c r="VXK41" s="29"/>
      <c r="VXL41" s="30"/>
      <c r="VXM41" s="29"/>
      <c r="VXN41" s="30"/>
      <c r="VXO41" s="29"/>
      <c r="VXP41" s="30"/>
      <c r="VXQ41" s="29"/>
      <c r="VXR41" s="30"/>
      <c r="VXS41" s="29"/>
      <c r="VXT41" s="30"/>
      <c r="VXU41" s="29"/>
      <c r="VXV41" s="30"/>
      <c r="VXW41" s="29"/>
      <c r="VXX41" s="30"/>
      <c r="VXY41" s="29"/>
      <c r="VXZ41" s="30"/>
      <c r="VYA41" s="29"/>
      <c r="VYB41" s="30"/>
      <c r="VYC41" s="29"/>
      <c r="VYD41" s="30"/>
      <c r="VYE41" s="29"/>
      <c r="VYF41" s="30"/>
      <c r="VYG41" s="29"/>
      <c r="VYH41" s="30"/>
      <c r="VYI41" s="29"/>
      <c r="VYJ41" s="30"/>
      <c r="VYK41" s="29"/>
      <c r="VYL41" s="30"/>
      <c r="VYM41" s="29"/>
      <c r="VYN41" s="30"/>
      <c r="VYO41" s="29"/>
      <c r="VYP41" s="30"/>
      <c r="VYQ41" s="29"/>
      <c r="VYR41" s="30"/>
      <c r="VYS41" s="29"/>
      <c r="VYT41" s="30"/>
      <c r="VYU41" s="29"/>
      <c r="VYV41" s="30"/>
      <c r="VYW41" s="29"/>
      <c r="VYX41" s="30"/>
      <c r="VYY41" s="29"/>
      <c r="VYZ41" s="30"/>
      <c r="VZA41" s="29"/>
      <c r="VZB41" s="30"/>
      <c r="VZC41" s="29"/>
      <c r="VZD41" s="30"/>
      <c r="VZE41" s="29"/>
      <c r="VZF41" s="30"/>
      <c r="VZG41" s="29"/>
      <c r="VZH41" s="30"/>
      <c r="VZI41" s="29"/>
      <c r="VZJ41" s="30"/>
      <c r="VZK41" s="29"/>
      <c r="VZL41" s="30"/>
      <c r="VZM41" s="29"/>
      <c r="VZN41" s="30"/>
      <c r="VZO41" s="29"/>
      <c r="VZP41" s="30"/>
      <c r="VZQ41" s="29"/>
      <c r="VZR41" s="30"/>
      <c r="VZS41" s="29"/>
      <c r="VZT41" s="30"/>
      <c r="VZU41" s="29"/>
      <c r="VZV41" s="30"/>
      <c r="VZW41" s="29"/>
      <c r="VZX41" s="30"/>
      <c r="VZY41" s="29"/>
      <c r="VZZ41" s="30"/>
      <c r="WAA41" s="29"/>
      <c r="WAB41" s="30"/>
      <c r="WAC41" s="29"/>
      <c r="WAD41" s="30"/>
      <c r="WAE41" s="29"/>
      <c r="WAF41" s="30"/>
      <c r="WAG41" s="29"/>
      <c r="WAH41" s="30"/>
      <c r="WAI41" s="29"/>
      <c r="WAJ41" s="30"/>
      <c r="WAK41" s="29"/>
      <c r="WAL41" s="30"/>
      <c r="WAM41" s="29"/>
      <c r="WAN41" s="30"/>
      <c r="WAO41" s="29"/>
      <c r="WAP41" s="30"/>
      <c r="WAQ41" s="29"/>
      <c r="WAR41" s="30"/>
      <c r="WAS41" s="29"/>
      <c r="WAT41" s="30"/>
      <c r="WAU41" s="29"/>
      <c r="WAV41" s="30"/>
      <c r="WAW41" s="29"/>
      <c r="WAX41" s="30"/>
      <c r="WAY41" s="29"/>
      <c r="WAZ41" s="30"/>
      <c r="WBA41" s="29"/>
      <c r="WBB41" s="30"/>
      <c r="WBC41" s="29"/>
      <c r="WBD41" s="30"/>
      <c r="WBE41" s="29"/>
      <c r="WBF41" s="30"/>
      <c r="WBG41" s="29"/>
      <c r="WBH41" s="30"/>
      <c r="WBI41" s="29"/>
      <c r="WBJ41" s="30"/>
      <c r="WBK41" s="29"/>
      <c r="WBL41" s="30"/>
      <c r="WBM41" s="29"/>
      <c r="WBN41" s="30"/>
      <c r="WBO41" s="29"/>
      <c r="WBP41" s="30"/>
      <c r="WBQ41" s="29"/>
      <c r="WBR41" s="30"/>
      <c r="WBS41" s="29"/>
      <c r="WBT41" s="30"/>
      <c r="WBU41" s="29"/>
      <c r="WBV41" s="30"/>
      <c r="WBW41" s="29"/>
      <c r="WBX41" s="30"/>
      <c r="WBY41" s="29"/>
      <c r="WBZ41" s="30"/>
      <c r="WCA41" s="29"/>
      <c r="WCB41" s="30"/>
      <c r="WCC41" s="29"/>
      <c r="WCD41" s="30"/>
      <c r="WCE41" s="29"/>
      <c r="WCF41" s="30"/>
      <c r="WCG41" s="29"/>
      <c r="WCH41" s="30"/>
      <c r="WCI41" s="29"/>
      <c r="WCJ41" s="30"/>
      <c r="WCK41" s="29"/>
      <c r="WCL41" s="30"/>
      <c r="WCM41" s="29"/>
      <c r="WCN41" s="30"/>
      <c r="WCO41" s="29"/>
      <c r="WCP41" s="30"/>
      <c r="WCQ41" s="29"/>
      <c r="WCR41" s="30"/>
      <c r="WCS41" s="29"/>
      <c r="WCT41" s="30"/>
      <c r="WCU41" s="29"/>
      <c r="WCV41" s="30"/>
      <c r="WCW41" s="29"/>
      <c r="WCX41" s="30"/>
      <c r="WCY41" s="29"/>
      <c r="WCZ41" s="30"/>
      <c r="WDA41" s="29"/>
      <c r="WDB41" s="30"/>
      <c r="WDC41" s="29"/>
      <c r="WDD41" s="30"/>
      <c r="WDE41" s="29"/>
      <c r="WDF41" s="30"/>
      <c r="WDG41" s="29"/>
      <c r="WDH41" s="30"/>
      <c r="WDI41" s="29"/>
      <c r="WDJ41" s="30"/>
      <c r="WDK41" s="29"/>
      <c r="WDL41" s="30"/>
      <c r="WDM41" s="29"/>
      <c r="WDN41" s="30"/>
      <c r="WDO41" s="29"/>
      <c r="WDP41" s="30"/>
      <c r="WDQ41" s="29"/>
      <c r="WDR41" s="30"/>
      <c r="WDS41" s="29"/>
      <c r="WDT41" s="30"/>
      <c r="WDU41" s="29"/>
      <c r="WDV41" s="30"/>
      <c r="WDW41" s="29"/>
      <c r="WDX41" s="30"/>
      <c r="WDY41" s="29"/>
      <c r="WDZ41" s="30"/>
      <c r="WEA41" s="29"/>
      <c r="WEB41" s="30"/>
      <c r="WEC41" s="29"/>
      <c r="WED41" s="30"/>
      <c r="WEE41" s="29"/>
      <c r="WEF41" s="30"/>
      <c r="WEG41" s="29"/>
      <c r="WEH41" s="30"/>
      <c r="WEI41" s="29"/>
      <c r="WEJ41" s="30"/>
      <c r="WEK41" s="29"/>
      <c r="WEL41" s="30"/>
      <c r="WEM41" s="29"/>
      <c r="WEN41" s="30"/>
      <c r="WEO41" s="29"/>
      <c r="WEP41" s="30"/>
      <c r="WEQ41" s="29"/>
      <c r="WER41" s="30"/>
      <c r="WES41" s="29"/>
      <c r="WET41" s="30"/>
      <c r="WEU41" s="29"/>
      <c r="WEV41" s="30"/>
      <c r="WEW41" s="29"/>
      <c r="WEX41" s="30"/>
      <c r="WEY41" s="29"/>
      <c r="WEZ41" s="30"/>
      <c r="WFA41" s="29"/>
      <c r="WFB41" s="30"/>
      <c r="WFC41" s="29"/>
      <c r="WFD41" s="30"/>
      <c r="WFE41" s="29"/>
      <c r="WFF41" s="30"/>
      <c r="WFG41" s="29"/>
      <c r="WFH41" s="30"/>
      <c r="WFI41" s="29"/>
      <c r="WFJ41" s="30"/>
      <c r="WFK41" s="29"/>
      <c r="WFL41" s="30"/>
      <c r="WFM41" s="29"/>
      <c r="WFN41" s="30"/>
      <c r="WFO41" s="29"/>
      <c r="WFP41" s="30"/>
      <c r="WFQ41" s="29"/>
      <c r="WFR41" s="30"/>
      <c r="WFS41" s="29"/>
      <c r="WFT41" s="30"/>
      <c r="WFU41" s="29"/>
      <c r="WFV41" s="30"/>
      <c r="WFW41" s="29"/>
      <c r="WFX41" s="30"/>
      <c r="WFY41" s="29"/>
      <c r="WFZ41" s="30"/>
      <c r="WGA41" s="29"/>
      <c r="WGB41" s="30"/>
      <c r="WGC41" s="29"/>
      <c r="WGD41" s="30"/>
      <c r="WGE41" s="29"/>
      <c r="WGF41" s="30"/>
      <c r="WGG41" s="29"/>
      <c r="WGH41" s="30"/>
      <c r="WGI41" s="29"/>
      <c r="WGJ41" s="30"/>
      <c r="WGK41" s="29"/>
      <c r="WGL41" s="30"/>
      <c r="WGM41" s="29"/>
      <c r="WGN41" s="30"/>
      <c r="WGO41" s="29"/>
      <c r="WGP41" s="30"/>
      <c r="WGQ41" s="29"/>
      <c r="WGR41" s="30"/>
      <c r="WGS41" s="29"/>
      <c r="WGT41" s="30"/>
      <c r="WGU41" s="29"/>
      <c r="WGV41" s="30"/>
      <c r="WGW41" s="29"/>
      <c r="WGX41" s="30"/>
      <c r="WGY41" s="29"/>
      <c r="WGZ41" s="30"/>
      <c r="WHA41" s="29"/>
      <c r="WHB41" s="30"/>
      <c r="WHC41" s="29"/>
      <c r="WHD41" s="30"/>
      <c r="WHE41" s="29"/>
      <c r="WHF41" s="30"/>
      <c r="WHG41" s="29"/>
      <c r="WHH41" s="30"/>
      <c r="WHI41" s="29"/>
      <c r="WHJ41" s="30"/>
      <c r="WHK41" s="29"/>
      <c r="WHL41" s="30"/>
      <c r="WHM41" s="29"/>
      <c r="WHN41" s="30"/>
      <c r="WHO41" s="29"/>
      <c r="WHP41" s="30"/>
      <c r="WHQ41" s="29"/>
      <c r="WHR41" s="30"/>
      <c r="WHS41" s="29"/>
      <c r="WHT41" s="30"/>
      <c r="WHU41" s="29"/>
      <c r="WHV41" s="30"/>
      <c r="WHW41" s="29"/>
      <c r="WHX41" s="30"/>
      <c r="WHY41" s="29"/>
      <c r="WHZ41" s="30"/>
      <c r="WIA41" s="29"/>
      <c r="WIB41" s="30"/>
      <c r="WIC41" s="29"/>
      <c r="WID41" s="30"/>
      <c r="WIE41" s="29"/>
      <c r="WIF41" s="30"/>
      <c r="WIG41" s="29"/>
      <c r="WIH41" s="30"/>
      <c r="WII41" s="29"/>
      <c r="WIJ41" s="30"/>
      <c r="WIK41" s="29"/>
      <c r="WIL41" s="30"/>
      <c r="WIM41" s="29"/>
      <c r="WIN41" s="30"/>
      <c r="WIO41" s="29"/>
      <c r="WIP41" s="30"/>
      <c r="WIQ41" s="29"/>
      <c r="WIR41" s="30"/>
      <c r="WIS41" s="29"/>
      <c r="WIT41" s="30"/>
      <c r="WIU41" s="29"/>
      <c r="WIV41" s="30"/>
      <c r="WIW41" s="29"/>
      <c r="WIX41" s="30"/>
      <c r="WIY41" s="29"/>
      <c r="WIZ41" s="30"/>
      <c r="WJA41" s="29"/>
      <c r="WJB41" s="30"/>
      <c r="WJC41" s="29"/>
      <c r="WJD41" s="30"/>
      <c r="WJE41" s="29"/>
      <c r="WJF41" s="30"/>
      <c r="WJG41" s="29"/>
      <c r="WJH41" s="30"/>
      <c r="WJI41" s="29"/>
      <c r="WJJ41" s="30"/>
      <c r="WJK41" s="29"/>
      <c r="WJL41" s="30"/>
      <c r="WJM41" s="29"/>
      <c r="WJN41" s="30"/>
      <c r="WJO41" s="29"/>
      <c r="WJP41" s="30"/>
      <c r="WJQ41" s="29"/>
      <c r="WJR41" s="30"/>
      <c r="WJS41" s="29"/>
      <c r="WJT41" s="30"/>
      <c r="WJU41" s="29"/>
      <c r="WJV41" s="30"/>
      <c r="WJW41" s="29"/>
      <c r="WJX41" s="30"/>
      <c r="WJY41" s="29"/>
      <c r="WJZ41" s="30"/>
      <c r="WKA41" s="29"/>
      <c r="WKB41" s="30"/>
      <c r="WKC41" s="29"/>
      <c r="WKD41" s="30"/>
      <c r="WKE41" s="29"/>
      <c r="WKF41" s="30"/>
      <c r="WKG41" s="29"/>
      <c r="WKH41" s="30"/>
      <c r="WKI41" s="29"/>
      <c r="WKJ41" s="30"/>
      <c r="WKK41" s="29"/>
      <c r="WKL41" s="30"/>
      <c r="WKM41" s="29"/>
      <c r="WKN41" s="30"/>
      <c r="WKO41" s="29"/>
      <c r="WKP41" s="30"/>
      <c r="WKQ41" s="29"/>
      <c r="WKR41" s="30"/>
      <c r="WKS41" s="29"/>
      <c r="WKT41" s="30"/>
      <c r="WKU41" s="29"/>
      <c r="WKV41" s="30"/>
      <c r="WKW41" s="29"/>
      <c r="WKX41" s="30"/>
      <c r="WKY41" s="29"/>
      <c r="WKZ41" s="30"/>
      <c r="WLA41" s="29"/>
      <c r="WLB41" s="30"/>
      <c r="WLC41" s="29"/>
      <c r="WLD41" s="30"/>
      <c r="WLE41" s="29"/>
      <c r="WLF41" s="30"/>
      <c r="WLG41" s="29"/>
      <c r="WLH41" s="30"/>
      <c r="WLI41" s="29"/>
      <c r="WLJ41" s="30"/>
      <c r="WLK41" s="29"/>
      <c r="WLL41" s="30"/>
      <c r="WLM41" s="29"/>
      <c r="WLN41" s="30"/>
      <c r="WLO41" s="29"/>
      <c r="WLP41" s="30"/>
      <c r="WLQ41" s="29"/>
      <c r="WLR41" s="30"/>
      <c r="WLS41" s="29"/>
      <c r="WLT41" s="30"/>
      <c r="WLU41" s="29"/>
      <c r="WLV41" s="30"/>
      <c r="WLW41" s="29"/>
      <c r="WLX41" s="30"/>
      <c r="WLY41" s="29"/>
      <c r="WLZ41" s="30"/>
      <c r="WMA41" s="29"/>
      <c r="WMB41" s="30"/>
      <c r="WMC41" s="29"/>
      <c r="WMD41" s="30"/>
      <c r="WME41" s="29"/>
      <c r="WMF41" s="30"/>
      <c r="WMG41" s="29"/>
      <c r="WMH41" s="30"/>
      <c r="WMI41" s="29"/>
      <c r="WMJ41" s="30"/>
      <c r="WMK41" s="29"/>
      <c r="WML41" s="30"/>
      <c r="WMM41" s="29"/>
      <c r="WMN41" s="30"/>
      <c r="WMO41" s="29"/>
      <c r="WMP41" s="30"/>
      <c r="WMQ41" s="29"/>
      <c r="WMR41" s="30"/>
      <c r="WMS41" s="29"/>
      <c r="WMT41" s="30"/>
      <c r="WMU41" s="29"/>
      <c r="WMV41" s="30"/>
      <c r="WMW41" s="29"/>
      <c r="WMX41" s="30"/>
      <c r="WMY41" s="29"/>
      <c r="WMZ41" s="30"/>
      <c r="WNA41" s="29"/>
      <c r="WNB41" s="30"/>
      <c r="WNC41" s="29"/>
      <c r="WND41" s="30"/>
      <c r="WNE41" s="29"/>
      <c r="WNF41" s="30"/>
      <c r="WNG41" s="29"/>
      <c r="WNH41" s="30"/>
      <c r="WNI41" s="29"/>
      <c r="WNJ41" s="30"/>
      <c r="WNK41" s="29"/>
      <c r="WNL41" s="30"/>
      <c r="WNM41" s="29"/>
      <c r="WNN41" s="30"/>
      <c r="WNO41" s="29"/>
      <c r="WNP41" s="30"/>
      <c r="WNQ41" s="29"/>
      <c r="WNR41" s="30"/>
      <c r="WNS41" s="29"/>
      <c r="WNT41" s="30"/>
      <c r="WNU41" s="29"/>
      <c r="WNV41" s="30"/>
      <c r="WNW41" s="29"/>
      <c r="WNX41" s="30"/>
      <c r="WNY41" s="29"/>
      <c r="WNZ41" s="30"/>
      <c r="WOA41" s="29"/>
      <c r="WOB41" s="30"/>
      <c r="WOC41" s="29"/>
      <c r="WOD41" s="30"/>
      <c r="WOE41" s="29"/>
      <c r="WOF41" s="30"/>
      <c r="WOG41" s="29"/>
      <c r="WOH41" s="30"/>
      <c r="WOI41" s="29"/>
      <c r="WOJ41" s="30"/>
      <c r="WOK41" s="29"/>
      <c r="WOL41" s="30"/>
      <c r="WOM41" s="29"/>
      <c r="WON41" s="30"/>
      <c r="WOO41" s="29"/>
      <c r="WOP41" s="30"/>
      <c r="WOQ41" s="29"/>
      <c r="WOR41" s="30"/>
      <c r="WOS41" s="29"/>
      <c r="WOT41" s="30"/>
      <c r="WOU41" s="29"/>
      <c r="WOV41" s="30"/>
      <c r="WOW41" s="29"/>
      <c r="WOX41" s="30"/>
      <c r="WOY41" s="29"/>
      <c r="WOZ41" s="30"/>
      <c r="WPA41" s="29"/>
      <c r="WPB41" s="30"/>
      <c r="WPC41" s="29"/>
      <c r="WPD41" s="30"/>
      <c r="WPE41" s="29"/>
      <c r="WPF41" s="30"/>
      <c r="WPG41" s="29"/>
      <c r="WPH41" s="30"/>
      <c r="WPI41" s="29"/>
      <c r="WPJ41" s="30"/>
      <c r="WPK41" s="29"/>
      <c r="WPL41" s="30"/>
      <c r="WPM41" s="29"/>
      <c r="WPN41" s="30"/>
      <c r="WPO41" s="29"/>
      <c r="WPP41" s="30"/>
      <c r="WPQ41" s="29"/>
      <c r="WPR41" s="30"/>
      <c r="WPS41" s="29"/>
      <c r="WPT41" s="30"/>
      <c r="WPU41" s="29"/>
      <c r="WPV41" s="30"/>
      <c r="WPW41" s="29"/>
      <c r="WPX41" s="30"/>
      <c r="WPY41" s="29"/>
      <c r="WPZ41" s="30"/>
      <c r="WQA41" s="29"/>
      <c r="WQB41" s="30"/>
      <c r="WQC41" s="29"/>
      <c r="WQD41" s="30"/>
      <c r="WQE41" s="29"/>
      <c r="WQF41" s="30"/>
      <c r="WQG41" s="29"/>
      <c r="WQH41" s="30"/>
      <c r="WQI41" s="29"/>
      <c r="WQJ41" s="30"/>
      <c r="WQK41" s="29"/>
      <c r="WQL41" s="30"/>
      <c r="WQM41" s="29"/>
      <c r="WQN41" s="30"/>
      <c r="WQO41" s="29"/>
      <c r="WQP41" s="30"/>
      <c r="WQQ41" s="29"/>
      <c r="WQR41" s="30"/>
      <c r="WQS41" s="29"/>
      <c r="WQT41" s="30"/>
      <c r="WQU41" s="29"/>
      <c r="WQV41" s="30"/>
      <c r="WQW41" s="29"/>
      <c r="WQX41" s="30"/>
      <c r="WQY41" s="29"/>
      <c r="WQZ41" s="30"/>
      <c r="WRA41" s="29"/>
      <c r="WRB41" s="30"/>
      <c r="WRC41" s="29"/>
      <c r="WRD41" s="30"/>
      <c r="WRE41" s="29"/>
      <c r="WRF41" s="30"/>
      <c r="WRG41" s="29"/>
      <c r="WRH41" s="30"/>
      <c r="WRI41" s="29"/>
      <c r="WRJ41" s="30"/>
      <c r="WRK41" s="29"/>
      <c r="WRL41" s="30"/>
      <c r="WRM41" s="29"/>
      <c r="WRN41" s="30"/>
      <c r="WRO41" s="29"/>
      <c r="WRP41" s="30"/>
      <c r="WRQ41" s="29"/>
      <c r="WRR41" s="30"/>
      <c r="WRS41" s="29"/>
      <c r="WRT41" s="30"/>
      <c r="WRU41" s="29"/>
      <c r="WRV41" s="30"/>
      <c r="WRW41" s="29"/>
      <c r="WRX41" s="30"/>
      <c r="WRY41" s="29"/>
      <c r="WRZ41" s="30"/>
      <c r="WSA41" s="29"/>
      <c r="WSB41" s="30"/>
      <c r="WSC41" s="29"/>
      <c r="WSD41" s="30"/>
      <c r="WSE41" s="29"/>
      <c r="WSF41" s="30"/>
      <c r="WSG41" s="29"/>
      <c r="WSH41" s="30"/>
      <c r="WSI41" s="29"/>
      <c r="WSJ41" s="30"/>
      <c r="WSK41" s="29"/>
      <c r="WSL41" s="30"/>
      <c r="WSM41" s="29"/>
      <c r="WSN41" s="30"/>
      <c r="WSO41" s="29"/>
      <c r="WSP41" s="30"/>
      <c r="WSQ41" s="29"/>
      <c r="WSR41" s="30"/>
      <c r="WSS41" s="29"/>
      <c r="WST41" s="30"/>
      <c r="WSU41" s="29"/>
      <c r="WSV41" s="30"/>
      <c r="WSW41" s="29"/>
      <c r="WSX41" s="30"/>
      <c r="WSY41" s="29"/>
      <c r="WSZ41" s="30"/>
      <c r="WTA41" s="29"/>
      <c r="WTB41" s="30"/>
      <c r="WTC41" s="29"/>
      <c r="WTD41" s="30"/>
      <c r="WTE41" s="29"/>
      <c r="WTF41" s="30"/>
      <c r="WTG41" s="29"/>
      <c r="WTH41" s="30"/>
      <c r="WTI41" s="29"/>
      <c r="WTJ41" s="30"/>
      <c r="WTK41" s="29"/>
      <c r="WTL41" s="30"/>
      <c r="WTM41" s="29"/>
      <c r="WTN41" s="30"/>
      <c r="WTO41" s="29"/>
      <c r="WTP41" s="30"/>
      <c r="WTQ41" s="29"/>
      <c r="WTR41" s="30"/>
      <c r="WTS41" s="29"/>
      <c r="WTT41" s="30"/>
      <c r="WTU41" s="29"/>
      <c r="WTV41" s="30"/>
      <c r="WTW41" s="29"/>
      <c r="WTX41" s="30"/>
      <c r="WTY41" s="29"/>
      <c r="WTZ41" s="30"/>
      <c r="WUA41" s="29"/>
      <c r="WUB41" s="30"/>
      <c r="WUC41" s="29"/>
      <c r="WUD41" s="30"/>
      <c r="WUE41" s="29"/>
      <c r="WUF41" s="30"/>
      <c r="WUG41" s="29"/>
      <c r="WUH41" s="30"/>
      <c r="WUI41" s="29"/>
      <c r="WUJ41" s="30"/>
      <c r="WUK41" s="29"/>
      <c r="WUL41" s="30"/>
      <c r="WUM41" s="29"/>
      <c r="WUN41" s="30"/>
      <c r="WUO41" s="29"/>
      <c r="WUP41" s="30"/>
      <c r="WUQ41" s="29"/>
      <c r="WUR41" s="30"/>
      <c r="WUS41" s="29"/>
      <c r="WUT41" s="30"/>
      <c r="WUU41" s="29"/>
      <c r="WUV41" s="30"/>
      <c r="WUW41" s="29"/>
      <c r="WUX41" s="30"/>
      <c r="WUY41" s="29"/>
      <c r="WUZ41" s="30"/>
      <c r="WVA41" s="29"/>
      <c r="WVB41" s="30"/>
      <c r="WVC41" s="29"/>
      <c r="WVD41" s="30"/>
      <c r="WVE41" s="29"/>
      <c r="WVF41" s="30"/>
      <c r="WVG41" s="29"/>
      <c r="WVH41" s="30"/>
      <c r="WVI41" s="29"/>
      <c r="WVJ41" s="30"/>
      <c r="WVK41" s="29"/>
      <c r="WVL41" s="30"/>
      <c r="WVM41" s="29"/>
      <c r="WVN41" s="30"/>
      <c r="WVO41" s="29"/>
      <c r="WVP41" s="30"/>
      <c r="WVQ41" s="29"/>
      <c r="WVR41" s="30"/>
      <c r="WVS41" s="29"/>
      <c r="WVT41" s="30"/>
      <c r="WVU41" s="29"/>
      <c r="WVV41" s="30"/>
      <c r="WVW41" s="29"/>
      <c r="WVX41" s="30"/>
      <c r="WVY41" s="29"/>
      <c r="WVZ41" s="30"/>
      <c r="WWA41" s="29"/>
      <c r="WWB41" s="30"/>
      <c r="WWC41" s="29"/>
      <c r="WWD41" s="30"/>
      <c r="WWE41" s="29"/>
      <c r="WWF41" s="30"/>
      <c r="WWG41" s="29"/>
      <c r="WWH41" s="30"/>
      <c r="WWI41" s="29"/>
      <c r="WWJ41" s="30"/>
      <c r="WWK41" s="29"/>
      <c r="WWL41" s="30"/>
      <c r="WWM41" s="29"/>
      <c r="WWN41" s="30"/>
      <c r="WWO41" s="29"/>
      <c r="WWP41" s="30"/>
      <c r="WWQ41" s="29"/>
      <c r="WWR41" s="30"/>
      <c r="WWS41" s="29"/>
      <c r="WWT41" s="30"/>
      <c r="WWU41" s="29"/>
      <c r="WWV41" s="30"/>
      <c r="WWW41" s="29"/>
      <c r="WWX41" s="30"/>
      <c r="WWY41" s="29"/>
      <c r="WWZ41" s="30"/>
      <c r="WXA41" s="29"/>
      <c r="WXB41" s="30"/>
      <c r="WXC41" s="29"/>
      <c r="WXD41" s="30"/>
      <c r="WXE41" s="29"/>
      <c r="WXF41" s="30"/>
      <c r="WXG41" s="29"/>
      <c r="WXH41" s="30"/>
      <c r="WXI41" s="29"/>
      <c r="WXJ41" s="30"/>
      <c r="WXK41" s="29"/>
      <c r="WXL41" s="30"/>
      <c r="WXM41" s="29"/>
      <c r="WXN41" s="30"/>
      <c r="WXO41" s="29"/>
      <c r="WXP41" s="30"/>
      <c r="WXQ41" s="29"/>
      <c r="WXR41" s="30"/>
      <c r="WXS41" s="29"/>
      <c r="WXT41" s="30"/>
      <c r="WXU41" s="29"/>
      <c r="WXV41" s="30"/>
      <c r="WXW41" s="29"/>
      <c r="WXX41" s="30"/>
      <c r="WXY41" s="29"/>
      <c r="WXZ41" s="30"/>
      <c r="WYA41" s="29"/>
      <c r="WYB41" s="30"/>
      <c r="WYC41" s="29"/>
      <c r="WYD41" s="30"/>
      <c r="WYE41" s="29"/>
      <c r="WYF41" s="30"/>
      <c r="WYG41" s="29"/>
      <c r="WYH41" s="30"/>
      <c r="WYI41" s="29"/>
      <c r="WYJ41" s="30"/>
      <c r="WYK41" s="29"/>
      <c r="WYL41" s="30"/>
      <c r="WYM41" s="29"/>
      <c r="WYN41" s="30"/>
      <c r="WYO41" s="29"/>
      <c r="WYP41" s="30"/>
      <c r="WYQ41" s="29"/>
      <c r="WYR41" s="30"/>
      <c r="WYS41" s="29"/>
      <c r="WYT41" s="30"/>
      <c r="WYU41" s="29"/>
      <c r="WYV41" s="30"/>
      <c r="WYW41" s="29"/>
      <c r="WYX41" s="30"/>
      <c r="WYY41" s="29"/>
      <c r="WYZ41" s="30"/>
      <c r="WZA41" s="29"/>
      <c r="WZB41" s="30"/>
      <c r="WZC41" s="29"/>
      <c r="WZD41" s="30"/>
      <c r="WZE41" s="29"/>
      <c r="WZF41" s="30"/>
      <c r="WZG41" s="29"/>
      <c r="WZH41" s="30"/>
      <c r="WZI41" s="29"/>
      <c r="WZJ41" s="30"/>
      <c r="WZK41" s="29"/>
      <c r="WZL41" s="30"/>
      <c r="WZM41" s="29"/>
      <c r="WZN41" s="30"/>
      <c r="WZO41" s="29"/>
      <c r="WZP41" s="30"/>
      <c r="WZQ41" s="29"/>
      <c r="WZR41" s="30"/>
      <c r="WZS41" s="29"/>
      <c r="WZT41" s="30"/>
      <c r="WZU41" s="29"/>
      <c r="WZV41" s="30"/>
      <c r="WZW41" s="29"/>
      <c r="WZX41" s="30"/>
      <c r="WZY41" s="29"/>
      <c r="WZZ41" s="30"/>
      <c r="XAA41" s="29"/>
      <c r="XAB41" s="30"/>
      <c r="XAC41" s="29"/>
      <c r="XAD41" s="30"/>
      <c r="XAE41" s="29"/>
      <c r="XAF41" s="30"/>
      <c r="XAG41" s="29"/>
      <c r="XAH41" s="30"/>
      <c r="XAI41" s="29"/>
      <c r="XAJ41" s="30"/>
      <c r="XAK41" s="29"/>
      <c r="XAL41" s="30"/>
      <c r="XAM41" s="29"/>
      <c r="XAN41" s="30"/>
      <c r="XAO41" s="29"/>
      <c r="XAP41" s="30"/>
      <c r="XAQ41" s="29"/>
      <c r="XAR41" s="30"/>
      <c r="XAS41" s="29"/>
      <c r="XAT41" s="30"/>
      <c r="XAU41" s="29"/>
      <c r="XAV41" s="30"/>
      <c r="XAW41" s="29"/>
      <c r="XAX41" s="30"/>
      <c r="XAY41" s="29"/>
      <c r="XAZ41" s="30"/>
      <c r="XBA41" s="29"/>
      <c r="XBB41" s="30"/>
      <c r="XBC41" s="29"/>
      <c r="XBD41" s="30"/>
      <c r="XBE41" s="29"/>
      <c r="XBF41" s="30"/>
      <c r="XBG41" s="29"/>
      <c r="XBH41" s="30"/>
      <c r="XBI41" s="29"/>
      <c r="XBJ41" s="30"/>
      <c r="XBK41" s="29"/>
      <c r="XBL41" s="30"/>
      <c r="XBM41" s="29"/>
      <c r="XBN41" s="30"/>
      <c r="XBO41" s="29"/>
      <c r="XBP41" s="30"/>
      <c r="XBQ41" s="29"/>
      <c r="XBR41" s="30"/>
      <c r="XBS41" s="29"/>
      <c r="XBT41" s="30"/>
      <c r="XBU41" s="29"/>
      <c r="XBV41" s="30"/>
      <c r="XBW41" s="29"/>
      <c r="XBX41" s="30"/>
      <c r="XBY41" s="29"/>
      <c r="XBZ41" s="30"/>
      <c r="XCA41" s="29"/>
      <c r="XCB41" s="30"/>
      <c r="XCC41" s="29"/>
      <c r="XCD41" s="30"/>
      <c r="XCE41" s="29"/>
      <c r="XCF41" s="30"/>
      <c r="XCG41" s="29"/>
      <c r="XCH41" s="30"/>
      <c r="XCI41" s="29"/>
      <c r="XCJ41" s="30"/>
      <c r="XCK41" s="29"/>
      <c r="XCL41" s="30"/>
      <c r="XCM41" s="29"/>
      <c r="XCN41" s="30"/>
      <c r="XCO41" s="29"/>
      <c r="XCP41" s="30"/>
      <c r="XCQ41" s="29"/>
      <c r="XCR41" s="30"/>
      <c r="XCS41" s="29"/>
      <c r="XCT41" s="30"/>
      <c r="XCU41" s="29"/>
      <c r="XCV41" s="30"/>
      <c r="XCW41" s="29"/>
      <c r="XCX41" s="30"/>
      <c r="XCY41" s="29"/>
      <c r="XCZ41" s="30"/>
      <c r="XDA41" s="29"/>
      <c r="XDB41" s="30"/>
      <c r="XDC41" s="29"/>
      <c r="XDD41" s="30"/>
      <c r="XDE41" s="29"/>
      <c r="XDF41" s="30"/>
      <c r="XDG41" s="29"/>
      <c r="XDH41" s="30"/>
      <c r="XDI41" s="29"/>
      <c r="XDJ41" s="30"/>
      <c r="XDK41" s="29"/>
      <c r="XDL41" s="30"/>
      <c r="XDM41" s="29"/>
      <c r="XDN41" s="30"/>
      <c r="XDO41" s="29"/>
      <c r="XDP41" s="30"/>
      <c r="XDQ41" s="29"/>
      <c r="XDR41" s="30"/>
      <c r="XDS41" s="29"/>
      <c r="XDT41" s="30"/>
      <c r="XDU41" s="29"/>
      <c r="XDV41" s="30"/>
      <c r="XDW41" s="29"/>
      <c r="XDX41" s="30"/>
      <c r="XDY41" s="29"/>
      <c r="XDZ41" s="30"/>
      <c r="XEA41" s="29"/>
      <c r="XEB41" s="30"/>
      <c r="XEC41" s="29"/>
      <c r="XED41" s="30"/>
      <c r="XEE41" s="29"/>
      <c r="XEF41" s="30"/>
      <c r="XEG41" s="29"/>
      <c r="XEH41" s="30"/>
      <c r="XEI41" s="29"/>
      <c r="XEJ41" s="30"/>
      <c r="XEK41" s="29"/>
      <c r="XEL41" s="30"/>
      <c r="XEM41" s="29"/>
      <c r="XEN41" s="30"/>
      <c r="XEO41" s="29"/>
      <c r="XEP41" s="30"/>
      <c r="XEQ41" s="29"/>
      <c r="XER41" s="30"/>
      <c r="XES41" s="29"/>
      <c r="XET41" s="30"/>
    </row>
    <row r="42" spans="2:16374" s="28" customFormat="1" ht="56" customHeight="1" thickBot="1">
      <c r="B42" s="205"/>
      <c r="C42" s="978" t="s">
        <v>14</v>
      </c>
      <c r="D42" s="980">
        <f>记录仪!$D$12</f>
        <v>42000</v>
      </c>
      <c r="E42" s="37" t="s">
        <v>17</v>
      </c>
      <c r="F42" s="1303"/>
      <c r="G42" s="1304"/>
      <c r="H42" s="462">
        <f>INDEX(神经网络!$G$10:$BO$70,MATCH(ROUND(U43*2,1)/2,神经网络!$E$10:$E$70,0),MATCH(ROUND(U42*2,1)/2,神经网络!$G$8:$BO$8,0))</f>
        <v>0.93179225243224195</v>
      </c>
      <c r="I42" s="205" t="s">
        <v>235</v>
      </c>
      <c r="J42" s="31"/>
      <c r="K42" s="727" t="s">
        <v>607</v>
      </c>
      <c r="L42" s="953">
        <f>MIN(MAX(M42*(1+MAX(MIN((N41/(N42*N40)),0),-M43))+MIN(MAX(N41/(N42*N40),0),M43),0),1)</f>
        <v>0.69623766898276529</v>
      </c>
      <c r="M42" s="958">
        <f>C11</f>
        <v>1</v>
      </c>
      <c r="N42" s="949">
        <f>回测实验室!K7</f>
        <v>4.3632757715441617E-3</v>
      </c>
      <c r="O42" s="205" t="s">
        <v>604</v>
      </c>
      <c r="P42" s="30"/>
      <c r="Q42" s="205"/>
      <c r="R42" s="176" t="s">
        <v>180</v>
      </c>
      <c r="S42" s="178">
        <f>D44</f>
        <v>0.14813655468287767</v>
      </c>
      <c r="T42" s="176" t="s">
        <v>185</v>
      </c>
      <c r="U42" s="178">
        <f>_xlfn.IFS(AD47=AC47,AA47,AD47=AC48,AA48,AD47=AC49,AA49,AD47=AC50,AA50,TRUE,0)</f>
        <v>-7.2714895967875268E-2</v>
      </c>
      <c r="V42" s="176" t="s">
        <v>245</v>
      </c>
      <c r="W42" s="178">
        <f>AVERAGE(S42,U42)</f>
        <v>3.7710829357501204E-2</v>
      </c>
      <c r="X42" s="34"/>
      <c r="Y42" s="1295" t="s">
        <v>182</v>
      </c>
      <c r="Z42" s="1296"/>
      <c r="AA42" s="1297"/>
      <c r="AB42" s="34"/>
      <c r="AC42" s="1288" t="s">
        <v>199</v>
      </c>
      <c r="AD42" s="1289"/>
      <c r="AE42" s="205"/>
      <c r="AV42" s="30"/>
      <c r="AW42" s="31"/>
      <c r="AX42" s="30"/>
      <c r="AY42" s="31"/>
      <c r="AZ42" s="30"/>
      <c r="BA42" s="31"/>
      <c r="BB42" s="30"/>
      <c r="BC42" s="31"/>
      <c r="BD42" s="30"/>
      <c r="BE42" s="31"/>
      <c r="BF42" s="30"/>
      <c r="BG42" s="31"/>
      <c r="BH42" s="30"/>
      <c r="BI42" s="31"/>
      <c r="BJ42" s="30"/>
      <c r="BK42" s="31"/>
      <c r="BL42" s="30"/>
      <c r="BM42" s="31"/>
      <c r="BN42" s="30"/>
      <c r="BO42" s="31"/>
      <c r="BP42" s="30"/>
      <c r="BQ42" s="31"/>
      <c r="BR42" s="30"/>
      <c r="BS42" s="31"/>
      <c r="BT42" s="30"/>
      <c r="BU42" s="31"/>
      <c r="BV42" s="30"/>
      <c r="BW42" s="31"/>
      <c r="BX42" s="30"/>
      <c r="BY42" s="31"/>
      <c r="BZ42" s="30"/>
      <c r="CA42" s="31"/>
      <c r="CB42" s="30"/>
      <c r="CC42" s="31"/>
      <c r="CD42" s="30"/>
      <c r="CE42" s="31"/>
      <c r="CF42" s="30"/>
      <c r="CG42" s="31"/>
      <c r="CH42" s="30"/>
      <c r="CI42" s="31"/>
      <c r="CJ42" s="30"/>
      <c r="CK42" s="31"/>
      <c r="CL42" s="30"/>
      <c r="CM42" s="31"/>
      <c r="CN42" s="30"/>
      <c r="CO42" s="31"/>
      <c r="CP42" s="30"/>
      <c r="CQ42" s="31"/>
      <c r="CR42" s="30"/>
      <c r="CS42" s="31"/>
      <c r="CT42" s="30"/>
      <c r="CU42" s="31"/>
      <c r="CV42" s="30"/>
      <c r="CW42" s="31"/>
      <c r="CX42" s="30"/>
      <c r="CY42" s="31"/>
      <c r="CZ42" s="30"/>
      <c r="DA42" s="31"/>
      <c r="DB42" s="30"/>
      <c r="DC42" s="31"/>
      <c r="DD42" s="30"/>
      <c r="DE42" s="31"/>
      <c r="DF42" s="30"/>
      <c r="DG42" s="31"/>
      <c r="DH42" s="30"/>
      <c r="DI42" s="31"/>
      <c r="DJ42" s="30"/>
      <c r="DK42" s="31"/>
      <c r="DL42" s="30"/>
      <c r="DM42" s="31"/>
      <c r="DN42" s="30"/>
      <c r="DO42" s="31"/>
      <c r="DP42" s="30"/>
      <c r="DQ42" s="31"/>
      <c r="DR42" s="30"/>
      <c r="DS42" s="31"/>
      <c r="DT42" s="30"/>
      <c r="DU42" s="31"/>
      <c r="DV42" s="30"/>
      <c r="DW42" s="31"/>
      <c r="DX42" s="30"/>
      <c r="DY42" s="31"/>
      <c r="DZ42" s="30"/>
      <c r="EA42" s="31"/>
      <c r="EB42" s="30"/>
      <c r="EC42" s="31"/>
      <c r="ED42" s="30"/>
      <c r="EE42" s="31"/>
      <c r="EF42" s="30"/>
      <c r="EG42" s="31"/>
      <c r="EH42" s="30"/>
      <c r="EI42" s="31"/>
      <c r="EJ42" s="30"/>
      <c r="EK42" s="31"/>
      <c r="EL42" s="30"/>
      <c r="EM42" s="31"/>
      <c r="EN42" s="30"/>
      <c r="EO42" s="31"/>
      <c r="EP42" s="30"/>
      <c r="EQ42" s="31"/>
      <c r="ER42" s="30"/>
      <c r="ES42" s="31"/>
      <c r="ET42" s="30"/>
      <c r="EU42" s="31"/>
      <c r="EV42" s="30"/>
      <c r="EW42" s="31"/>
      <c r="EX42" s="30"/>
      <c r="EY42" s="31"/>
      <c r="EZ42" s="30"/>
      <c r="FA42" s="31"/>
      <c r="FB42" s="30"/>
      <c r="FC42" s="31"/>
      <c r="FD42" s="30"/>
      <c r="FE42" s="31"/>
      <c r="FF42" s="30"/>
      <c r="FG42" s="31"/>
      <c r="FH42" s="30"/>
      <c r="FI42" s="31"/>
      <c r="FJ42" s="30"/>
      <c r="FK42" s="31"/>
      <c r="FL42" s="30"/>
      <c r="FM42" s="31"/>
      <c r="FN42" s="30"/>
      <c r="FO42" s="31"/>
      <c r="FP42" s="30"/>
      <c r="FQ42" s="31"/>
      <c r="FR42" s="30"/>
      <c r="FS42" s="31"/>
      <c r="FT42" s="30"/>
      <c r="FU42" s="31"/>
      <c r="FV42" s="30"/>
      <c r="FW42" s="31"/>
      <c r="FX42" s="30"/>
      <c r="FY42" s="31"/>
      <c r="FZ42" s="30"/>
      <c r="GA42" s="31"/>
      <c r="GB42" s="30"/>
      <c r="GC42" s="31"/>
      <c r="GD42" s="30"/>
      <c r="GE42" s="31"/>
      <c r="GF42" s="30"/>
      <c r="GG42" s="31"/>
      <c r="GH42" s="30"/>
      <c r="GI42" s="31"/>
      <c r="GJ42" s="30"/>
      <c r="GK42" s="31"/>
      <c r="GL42" s="30"/>
      <c r="GM42" s="31"/>
      <c r="GN42" s="30"/>
      <c r="GO42" s="31"/>
      <c r="GP42" s="30"/>
      <c r="GQ42" s="31"/>
      <c r="GR42" s="30"/>
      <c r="GS42" s="31"/>
      <c r="GT42" s="30"/>
      <c r="GU42" s="31"/>
      <c r="GV42" s="30"/>
      <c r="GW42" s="31"/>
      <c r="GX42" s="30"/>
      <c r="GY42" s="31"/>
      <c r="GZ42" s="30"/>
      <c r="HA42" s="31"/>
      <c r="HB42" s="30"/>
      <c r="HC42" s="31"/>
      <c r="HD42" s="30"/>
      <c r="HE42" s="31"/>
      <c r="HF42" s="30"/>
      <c r="HG42" s="31"/>
      <c r="HH42" s="30"/>
      <c r="HI42" s="31"/>
      <c r="HJ42" s="30"/>
      <c r="HK42" s="31"/>
      <c r="HL42" s="30"/>
      <c r="HM42" s="31"/>
      <c r="HN42" s="30"/>
      <c r="HO42" s="31"/>
      <c r="HP42" s="30"/>
      <c r="HQ42" s="31"/>
      <c r="HR42" s="30"/>
      <c r="HS42" s="31"/>
      <c r="HT42" s="30"/>
      <c r="HU42" s="31"/>
      <c r="HV42" s="30"/>
      <c r="HW42" s="31"/>
      <c r="HX42" s="30"/>
      <c r="HY42" s="31"/>
      <c r="HZ42" s="30"/>
      <c r="IA42" s="31"/>
      <c r="IB42" s="30"/>
      <c r="IC42" s="31"/>
      <c r="ID42" s="30"/>
      <c r="IE42" s="31"/>
      <c r="IF42" s="30"/>
      <c r="IG42" s="31"/>
      <c r="IH42" s="30"/>
      <c r="II42" s="31"/>
      <c r="IJ42" s="30"/>
      <c r="IK42" s="31"/>
      <c r="IL42" s="30"/>
      <c r="IM42" s="31"/>
      <c r="IN42" s="30"/>
      <c r="IO42" s="31"/>
      <c r="IP42" s="30"/>
      <c r="IQ42" s="31"/>
      <c r="IR42" s="30"/>
      <c r="IS42" s="31"/>
      <c r="IT42" s="30"/>
      <c r="IU42" s="31"/>
      <c r="IV42" s="30"/>
      <c r="IW42" s="31"/>
      <c r="IX42" s="30"/>
      <c r="IY42" s="31"/>
      <c r="IZ42" s="30"/>
      <c r="JA42" s="31"/>
      <c r="JB42" s="30"/>
      <c r="JC42" s="31"/>
      <c r="JD42" s="30"/>
      <c r="JE42" s="31"/>
      <c r="JF42" s="30"/>
      <c r="JG42" s="31"/>
      <c r="JH42" s="30"/>
      <c r="JI42" s="31"/>
      <c r="JJ42" s="30"/>
      <c r="JK42" s="31"/>
      <c r="JL42" s="30"/>
      <c r="JM42" s="31"/>
      <c r="JN42" s="30"/>
      <c r="JO42" s="31"/>
      <c r="JP42" s="30"/>
      <c r="JQ42" s="31"/>
      <c r="JR42" s="30"/>
      <c r="JS42" s="31"/>
      <c r="JT42" s="30"/>
      <c r="JU42" s="31"/>
      <c r="JV42" s="30"/>
      <c r="JW42" s="31"/>
      <c r="JX42" s="30"/>
      <c r="JY42" s="31"/>
      <c r="JZ42" s="30"/>
      <c r="KA42" s="31"/>
      <c r="KB42" s="30"/>
      <c r="KC42" s="31"/>
      <c r="KD42" s="30"/>
      <c r="KE42" s="31"/>
      <c r="KF42" s="30"/>
      <c r="KG42" s="31"/>
      <c r="KH42" s="30"/>
      <c r="KI42" s="31"/>
      <c r="KJ42" s="30"/>
      <c r="KK42" s="31"/>
      <c r="KL42" s="30"/>
      <c r="KM42" s="31"/>
      <c r="KN42" s="30"/>
      <c r="KO42" s="31"/>
      <c r="KP42" s="30"/>
      <c r="KQ42" s="31"/>
      <c r="KR42" s="30"/>
      <c r="KS42" s="31"/>
      <c r="KT42" s="30"/>
      <c r="KU42" s="31"/>
      <c r="KV42" s="30"/>
      <c r="KW42" s="31"/>
      <c r="KX42" s="30"/>
      <c r="KY42" s="31"/>
      <c r="KZ42" s="30"/>
      <c r="LA42" s="31"/>
      <c r="LB42" s="30"/>
      <c r="LC42" s="31"/>
      <c r="LD42" s="30"/>
      <c r="LE42" s="31"/>
      <c r="LF42" s="30"/>
      <c r="LG42" s="31"/>
      <c r="LH42" s="30"/>
      <c r="LI42" s="31"/>
      <c r="LJ42" s="30"/>
      <c r="LK42" s="31"/>
      <c r="LL42" s="30"/>
      <c r="LM42" s="31"/>
      <c r="LN42" s="30"/>
      <c r="LO42" s="31"/>
      <c r="LP42" s="30"/>
      <c r="LQ42" s="31"/>
      <c r="LR42" s="30"/>
      <c r="LS42" s="31"/>
      <c r="LT42" s="30"/>
      <c r="LU42" s="31"/>
      <c r="LV42" s="30"/>
      <c r="LW42" s="31"/>
      <c r="LX42" s="30"/>
      <c r="LY42" s="31"/>
      <c r="LZ42" s="30"/>
      <c r="MA42" s="31"/>
      <c r="MB42" s="30"/>
      <c r="MC42" s="31"/>
      <c r="MD42" s="30"/>
      <c r="ME42" s="31"/>
      <c r="MF42" s="30"/>
      <c r="MG42" s="31"/>
      <c r="MH42" s="30"/>
      <c r="MI42" s="31"/>
      <c r="MJ42" s="30"/>
      <c r="MK42" s="31"/>
      <c r="ML42" s="30"/>
      <c r="MM42" s="31"/>
      <c r="MN42" s="30"/>
      <c r="MO42" s="31"/>
      <c r="MP42" s="30"/>
      <c r="MQ42" s="31"/>
      <c r="MR42" s="30"/>
      <c r="MS42" s="31"/>
      <c r="MT42" s="30"/>
      <c r="MU42" s="31"/>
      <c r="MV42" s="30"/>
      <c r="MW42" s="31"/>
      <c r="MX42" s="30"/>
      <c r="MY42" s="31"/>
      <c r="MZ42" s="30"/>
      <c r="NA42" s="31"/>
      <c r="NB42" s="30"/>
      <c r="NC42" s="31"/>
      <c r="ND42" s="30"/>
      <c r="NE42" s="31"/>
      <c r="NF42" s="30"/>
      <c r="NG42" s="31"/>
      <c r="NH42" s="30"/>
      <c r="NI42" s="31"/>
      <c r="NJ42" s="30"/>
      <c r="NK42" s="31"/>
      <c r="NL42" s="30"/>
      <c r="NM42" s="31"/>
      <c r="NN42" s="30"/>
      <c r="NO42" s="31"/>
      <c r="NP42" s="30"/>
      <c r="NQ42" s="31"/>
      <c r="NR42" s="30"/>
      <c r="NS42" s="31"/>
      <c r="NT42" s="30"/>
      <c r="NU42" s="31"/>
      <c r="NV42" s="30"/>
      <c r="NW42" s="31"/>
      <c r="NX42" s="30"/>
      <c r="NY42" s="31"/>
      <c r="NZ42" s="30"/>
      <c r="OA42" s="31"/>
      <c r="OB42" s="30"/>
      <c r="OC42" s="31"/>
      <c r="OD42" s="30"/>
      <c r="OE42" s="31"/>
      <c r="OF42" s="30"/>
      <c r="OG42" s="31"/>
      <c r="OH42" s="30"/>
      <c r="OI42" s="31"/>
      <c r="OJ42" s="30"/>
      <c r="OK42" s="31"/>
      <c r="OL42" s="30"/>
      <c r="OM42" s="31"/>
      <c r="ON42" s="30"/>
      <c r="OO42" s="31"/>
      <c r="OP42" s="30"/>
      <c r="OQ42" s="31"/>
      <c r="OR42" s="30"/>
      <c r="OS42" s="31"/>
      <c r="OT42" s="30"/>
      <c r="OU42" s="31"/>
      <c r="OV42" s="30"/>
      <c r="OW42" s="31"/>
      <c r="OX42" s="30"/>
      <c r="OY42" s="31"/>
      <c r="OZ42" s="30"/>
      <c r="PA42" s="31"/>
      <c r="PB42" s="30"/>
      <c r="PC42" s="31"/>
      <c r="PD42" s="30"/>
      <c r="PE42" s="31"/>
      <c r="PF42" s="30"/>
      <c r="PG42" s="31"/>
      <c r="PH42" s="30"/>
      <c r="PI42" s="31"/>
      <c r="PJ42" s="30"/>
      <c r="PK42" s="31"/>
      <c r="PL42" s="30"/>
      <c r="PM42" s="31"/>
      <c r="PN42" s="30"/>
      <c r="PO42" s="31"/>
      <c r="PP42" s="30"/>
      <c r="PQ42" s="31"/>
      <c r="PR42" s="30"/>
      <c r="PS42" s="31"/>
      <c r="PT42" s="30"/>
      <c r="PU42" s="31"/>
      <c r="PV42" s="30"/>
      <c r="PW42" s="31"/>
      <c r="PX42" s="30"/>
      <c r="PY42" s="31"/>
      <c r="PZ42" s="30"/>
      <c r="QA42" s="31"/>
      <c r="QB42" s="30"/>
      <c r="QC42" s="31"/>
      <c r="QD42" s="30"/>
      <c r="QE42" s="31"/>
      <c r="QF42" s="30"/>
      <c r="QG42" s="31"/>
      <c r="QH42" s="30"/>
      <c r="QI42" s="31"/>
      <c r="QJ42" s="30"/>
      <c r="QK42" s="31"/>
      <c r="QL42" s="30"/>
      <c r="QM42" s="31"/>
      <c r="QN42" s="30"/>
      <c r="QO42" s="31"/>
      <c r="QP42" s="30"/>
      <c r="QQ42" s="31"/>
      <c r="QR42" s="30"/>
      <c r="QS42" s="31"/>
      <c r="QT42" s="30"/>
      <c r="QU42" s="31"/>
      <c r="QV42" s="30"/>
      <c r="QW42" s="31"/>
      <c r="QX42" s="30"/>
      <c r="QY42" s="31"/>
      <c r="QZ42" s="30"/>
      <c r="RA42" s="31"/>
      <c r="RB42" s="30"/>
      <c r="RC42" s="31"/>
      <c r="RD42" s="30"/>
      <c r="RE42" s="31"/>
      <c r="RF42" s="30"/>
      <c r="RG42" s="31"/>
      <c r="RH42" s="30"/>
      <c r="RI42" s="31"/>
      <c r="RJ42" s="30"/>
      <c r="RK42" s="31"/>
      <c r="RL42" s="30"/>
      <c r="RM42" s="31"/>
      <c r="RN42" s="30"/>
      <c r="RO42" s="31"/>
      <c r="RP42" s="30"/>
      <c r="RQ42" s="31"/>
      <c r="RR42" s="30"/>
      <c r="RS42" s="31"/>
      <c r="RT42" s="30"/>
      <c r="RU42" s="31"/>
      <c r="RV42" s="30"/>
      <c r="RW42" s="31"/>
      <c r="RX42" s="30"/>
      <c r="RY42" s="31"/>
      <c r="RZ42" s="30"/>
      <c r="SA42" s="31"/>
      <c r="SB42" s="30"/>
      <c r="SC42" s="31"/>
      <c r="SD42" s="30"/>
      <c r="SE42" s="31"/>
      <c r="SF42" s="30"/>
      <c r="SG42" s="31"/>
      <c r="SH42" s="30"/>
      <c r="SI42" s="31"/>
      <c r="SJ42" s="30"/>
      <c r="SK42" s="31"/>
      <c r="SL42" s="30"/>
      <c r="SM42" s="31"/>
      <c r="SN42" s="30"/>
      <c r="SO42" s="31"/>
      <c r="SP42" s="30"/>
      <c r="SQ42" s="31"/>
      <c r="SR42" s="30"/>
      <c r="SS42" s="31"/>
      <c r="ST42" s="30"/>
      <c r="SU42" s="31"/>
      <c r="SV42" s="30"/>
      <c r="SW42" s="31"/>
      <c r="SX42" s="30"/>
      <c r="SY42" s="31"/>
      <c r="SZ42" s="30"/>
      <c r="TA42" s="31"/>
      <c r="TB42" s="30"/>
      <c r="TC42" s="31"/>
      <c r="TD42" s="30"/>
      <c r="TE42" s="31"/>
      <c r="TF42" s="30"/>
      <c r="TG42" s="31"/>
      <c r="TH42" s="30"/>
      <c r="TI42" s="31"/>
      <c r="TJ42" s="30"/>
      <c r="TK42" s="31"/>
      <c r="TL42" s="30"/>
      <c r="TM42" s="31"/>
      <c r="TN42" s="30"/>
      <c r="TO42" s="31"/>
      <c r="TP42" s="30"/>
      <c r="TQ42" s="31"/>
      <c r="TR42" s="30"/>
      <c r="TS42" s="31"/>
      <c r="TT42" s="30"/>
      <c r="TU42" s="31"/>
      <c r="TV42" s="30"/>
      <c r="TW42" s="31"/>
      <c r="TX42" s="30"/>
      <c r="TY42" s="31"/>
      <c r="TZ42" s="30"/>
      <c r="UA42" s="31"/>
      <c r="UB42" s="30"/>
      <c r="UC42" s="31"/>
      <c r="UD42" s="30"/>
      <c r="UE42" s="31"/>
      <c r="UF42" s="30"/>
      <c r="UG42" s="31"/>
      <c r="UH42" s="30"/>
      <c r="UI42" s="31"/>
      <c r="UJ42" s="30"/>
      <c r="UK42" s="31"/>
      <c r="UL42" s="30"/>
      <c r="UM42" s="31"/>
      <c r="UN42" s="30"/>
      <c r="UO42" s="31"/>
      <c r="UP42" s="30"/>
      <c r="UQ42" s="31"/>
      <c r="UR42" s="30"/>
      <c r="US42" s="31"/>
      <c r="UT42" s="30"/>
      <c r="UU42" s="31"/>
      <c r="UV42" s="30"/>
      <c r="UW42" s="31"/>
      <c r="UX42" s="30"/>
      <c r="UY42" s="31"/>
      <c r="UZ42" s="30"/>
      <c r="VA42" s="31"/>
      <c r="VB42" s="30"/>
      <c r="VC42" s="31"/>
      <c r="VD42" s="30"/>
      <c r="VE42" s="31"/>
      <c r="VF42" s="30"/>
      <c r="VG42" s="31"/>
      <c r="VH42" s="30"/>
      <c r="VI42" s="31"/>
      <c r="VJ42" s="30"/>
      <c r="VK42" s="31"/>
      <c r="VL42" s="30"/>
      <c r="VM42" s="31"/>
      <c r="VN42" s="30"/>
      <c r="VO42" s="31"/>
      <c r="VP42" s="30"/>
      <c r="VQ42" s="31"/>
      <c r="VR42" s="30"/>
      <c r="VS42" s="31"/>
      <c r="VT42" s="30"/>
      <c r="VU42" s="31"/>
      <c r="VV42" s="30"/>
      <c r="VW42" s="31"/>
      <c r="VX42" s="30"/>
      <c r="VY42" s="31"/>
      <c r="VZ42" s="30"/>
      <c r="WA42" s="31"/>
      <c r="WB42" s="30"/>
      <c r="WC42" s="31"/>
      <c r="WD42" s="30"/>
      <c r="WE42" s="31"/>
      <c r="WF42" s="30"/>
      <c r="WG42" s="31"/>
      <c r="WH42" s="30"/>
      <c r="WI42" s="31"/>
      <c r="WJ42" s="30"/>
      <c r="WK42" s="31"/>
      <c r="WL42" s="30"/>
      <c r="WM42" s="31"/>
      <c r="WN42" s="30"/>
      <c r="WO42" s="31"/>
      <c r="WP42" s="30"/>
      <c r="WQ42" s="31"/>
      <c r="WR42" s="30"/>
      <c r="WS42" s="31"/>
      <c r="WT42" s="30"/>
      <c r="WU42" s="31"/>
      <c r="WV42" s="30"/>
      <c r="WW42" s="31"/>
      <c r="WX42" s="30"/>
      <c r="WY42" s="31"/>
      <c r="WZ42" s="30"/>
      <c r="XA42" s="31"/>
      <c r="XB42" s="30"/>
      <c r="XC42" s="31"/>
      <c r="XD42" s="30"/>
      <c r="XE42" s="31"/>
      <c r="XF42" s="30"/>
      <c r="XG42" s="31"/>
      <c r="XH42" s="30"/>
      <c r="XI42" s="31"/>
      <c r="XJ42" s="30"/>
      <c r="XK42" s="31"/>
      <c r="XL42" s="30"/>
      <c r="XM42" s="31"/>
      <c r="XN42" s="30"/>
      <c r="XO42" s="31"/>
      <c r="XP42" s="30"/>
      <c r="XQ42" s="31"/>
      <c r="XR42" s="30"/>
      <c r="XS42" s="31"/>
      <c r="XT42" s="30"/>
      <c r="XU42" s="31"/>
      <c r="XV42" s="30"/>
      <c r="XW42" s="31"/>
      <c r="XX42" s="30"/>
      <c r="XY42" s="31"/>
      <c r="XZ42" s="30"/>
      <c r="YA42" s="31"/>
      <c r="YB42" s="30"/>
      <c r="YC42" s="31"/>
      <c r="YD42" s="30"/>
      <c r="YE42" s="31"/>
      <c r="YF42" s="30"/>
      <c r="YG42" s="31"/>
      <c r="YH42" s="30"/>
      <c r="YI42" s="31"/>
      <c r="YJ42" s="30"/>
      <c r="YK42" s="31"/>
      <c r="YL42" s="30"/>
      <c r="YM42" s="31"/>
      <c r="YN42" s="30"/>
      <c r="YO42" s="31"/>
      <c r="YP42" s="30"/>
      <c r="YQ42" s="31"/>
      <c r="YR42" s="30"/>
      <c r="YS42" s="31"/>
      <c r="YT42" s="30"/>
      <c r="YU42" s="31"/>
      <c r="YV42" s="30"/>
      <c r="YW42" s="31"/>
      <c r="YX42" s="30"/>
      <c r="YY42" s="31"/>
      <c r="YZ42" s="30"/>
      <c r="ZA42" s="31"/>
      <c r="ZB42" s="30"/>
      <c r="ZC42" s="31"/>
      <c r="ZD42" s="30"/>
      <c r="ZE42" s="31"/>
      <c r="ZF42" s="30"/>
      <c r="ZG42" s="31"/>
      <c r="ZH42" s="30"/>
      <c r="ZI42" s="31"/>
      <c r="ZJ42" s="30"/>
      <c r="ZK42" s="31"/>
      <c r="ZL42" s="30"/>
      <c r="ZM42" s="31"/>
      <c r="ZN42" s="30"/>
      <c r="ZO42" s="31"/>
      <c r="ZP42" s="30"/>
      <c r="ZQ42" s="31"/>
      <c r="ZR42" s="30"/>
      <c r="ZS42" s="31"/>
      <c r="ZT42" s="30"/>
      <c r="ZU42" s="31"/>
      <c r="ZV42" s="30"/>
      <c r="ZW42" s="31"/>
      <c r="ZX42" s="30"/>
      <c r="ZY42" s="31"/>
      <c r="ZZ42" s="30"/>
      <c r="AAA42" s="31"/>
      <c r="AAB42" s="30"/>
      <c r="AAC42" s="31"/>
      <c r="AAD42" s="30"/>
      <c r="AAE42" s="31"/>
      <c r="AAF42" s="30"/>
      <c r="AAG42" s="31"/>
      <c r="AAH42" s="30"/>
      <c r="AAI42" s="31"/>
      <c r="AAJ42" s="30"/>
      <c r="AAK42" s="31"/>
      <c r="AAL42" s="30"/>
      <c r="AAM42" s="31"/>
      <c r="AAN42" s="30"/>
      <c r="AAO42" s="31"/>
      <c r="AAP42" s="30"/>
      <c r="AAQ42" s="31"/>
      <c r="AAR42" s="30"/>
      <c r="AAS42" s="31"/>
      <c r="AAT42" s="30"/>
      <c r="AAU42" s="31"/>
      <c r="AAV42" s="30"/>
      <c r="AAW42" s="31"/>
      <c r="AAX42" s="30"/>
      <c r="AAY42" s="31"/>
      <c r="AAZ42" s="30"/>
      <c r="ABA42" s="31"/>
      <c r="ABB42" s="30"/>
      <c r="ABC42" s="31"/>
      <c r="ABD42" s="30"/>
      <c r="ABE42" s="31"/>
      <c r="ABF42" s="30"/>
      <c r="ABG42" s="31"/>
      <c r="ABH42" s="30"/>
      <c r="ABI42" s="31"/>
      <c r="ABJ42" s="30"/>
      <c r="ABK42" s="31"/>
      <c r="ABL42" s="30"/>
      <c r="ABM42" s="31"/>
      <c r="ABN42" s="30"/>
      <c r="ABO42" s="31"/>
      <c r="ABP42" s="30"/>
      <c r="ABQ42" s="31"/>
      <c r="ABR42" s="30"/>
      <c r="ABS42" s="31"/>
      <c r="ABT42" s="30"/>
      <c r="ABU42" s="31"/>
      <c r="ABV42" s="30"/>
      <c r="ABW42" s="31"/>
      <c r="ABX42" s="30"/>
      <c r="ABY42" s="31"/>
      <c r="ABZ42" s="30"/>
      <c r="ACA42" s="31"/>
      <c r="ACB42" s="30"/>
      <c r="ACC42" s="31"/>
      <c r="ACD42" s="30"/>
      <c r="ACE42" s="31"/>
      <c r="ACF42" s="30"/>
      <c r="ACG42" s="31"/>
      <c r="ACH42" s="30"/>
      <c r="ACI42" s="31"/>
      <c r="ACJ42" s="30"/>
      <c r="ACK42" s="31"/>
      <c r="ACL42" s="30"/>
      <c r="ACM42" s="31"/>
      <c r="ACN42" s="30"/>
      <c r="ACO42" s="31"/>
      <c r="ACP42" s="30"/>
      <c r="ACQ42" s="31"/>
      <c r="ACR42" s="30"/>
      <c r="ACS42" s="31"/>
      <c r="ACT42" s="30"/>
      <c r="ACU42" s="31"/>
      <c r="ACV42" s="30"/>
      <c r="ACW42" s="31"/>
      <c r="ACX42" s="30"/>
      <c r="ACY42" s="31"/>
      <c r="ACZ42" s="30"/>
      <c r="ADA42" s="31"/>
      <c r="ADB42" s="30"/>
      <c r="ADC42" s="31"/>
      <c r="ADD42" s="30"/>
      <c r="ADE42" s="31"/>
      <c r="ADF42" s="30"/>
      <c r="ADG42" s="31"/>
      <c r="ADH42" s="30"/>
      <c r="ADI42" s="31"/>
      <c r="ADJ42" s="30"/>
      <c r="ADK42" s="31"/>
      <c r="ADL42" s="30"/>
      <c r="ADM42" s="31"/>
      <c r="ADN42" s="30"/>
      <c r="ADO42" s="31"/>
      <c r="ADP42" s="30"/>
      <c r="ADQ42" s="31"/>
      <c r="ADR42" s="30"/>
      <c r="ADS42" s="31"/>
      <c r="ADT42" s="30"/>
      <c r="ADU42" s="31"/>
      <c r="ADV42" s="30"/>
      <c r="ADW42" s="31"/>
      <c r="ADX42" s="30"/>
      <c r="ADY42" s="31"/>
      <c r="ADZ42" s="30"/>
      <c r="AEA42" s="31"/>
      <c r="AEB42" s="30"/>
      <c r="AEC42" s="31"/>
      <c r="AED42" s="30"/>
      <c r="AEE42" s="31"/>
      <c r="AEF42" s="30"/>
      <c r="AEG42" s="31"/>
      <c r="AEH42" s="30"/>
      <c r="AEI42" s="31"/>
      <c r="AEJ42" s="30"/>
      <c r="AEK42" s="31"/>
      <c r="AEL42" s="30"/>
      <c r="AEM42" s="31"/>
      <c r="AEN42" s="30"/>
      <c r="AEO42" s="31"/>
      <c r="AEP42" s="30"/>
      <c r="AEQ42" s="31"/>
      <c r="AER42" s="30"/>
      <c r="AES42" s="31"/>
      <c r="AET42" s="30"/>
      <c r="AEU42" s="31"/>
      <c r="AEV42" s="30"/>
      <c r="AEW42" s="31"/>
      <c r="AEX42" s="30"/>
      <c r="AEY42" s="31"/>
      <c r="AEZ42" s="30"/>
      <c r="AFA42" s="31"/>
      <c r="AFB42" s="30"/>
      <c r="AFC42" s="31"/>
      <c r="AFD42" s="30"/>
      <c r="AFE42" s="31"/>
      <c r="AFF42" s="30"/>
      <c r="AFG42" s="31"/>
      <c r="AFH42" s="30"/>
      <c r="AFI42" s="31"/>
      <c r="AFJ42" s="30"/>
      <c r="AFK42" s="31"/>
      <c r="AFL42" s="30"/>
      <c r="AFM42" s="31"/>
      <c r="AFN42" s="30"/>
      <c r="AFO42" s="31"/>
      <c r="AFP42" s="30"/>
      <c r="AFQ42" s="31"/>
      <c r="AFR42" s="30"/>
      <c r="AFS42" s="31"/>
      <c r="AFT42" s="30"/>
      <c r="AFU42" s="31"/>
      <c r="AFV42" s="30"/>
      <c r="AFW42" s="31"/>
      <c r="AFX42" s="30"/>
      <c r="AFY42" s="31"/>
      <c r="AFZ42" s="30"/>
      <c r="AGA42" s="31"/>
      <c r="AGB42" s="30"/>
      <c r="AGC42" s="31"/>
      <c r="AGD42" s="30"/>
      <c r="AGE42" s="31"/>
      <c r="AGF42" s="30"/>
      <c r="AGG42" s="31"/>
      <c r="AGH42" s="30"/>
      <c r="AGI42" s="31"/>
      <c r="AGJ42" s="30"/>
      <c r="AGK42" s="31"/>
      <c r="AGL42" s="30"/>
      <c r="AGM42" s="31"/>
      <c r="AGN42" s="30"/>
      <c r="AGO42" s="31"/>
      <c r="AGP42" s="30"/>
      <c r="AGQ42" s="31"/>
      <c r="AGR42" s="30"/>
      <c r="AGS42" s="31"/>
      <c r="AGT42" s="30"/>
      <c r="AGU42" s="31"/>
      <c r="AGV42" s="30"/>
      <c r="AGW42" s="31"/>
      <c r="AGX42" s="30"/>
      <c r="AGY42" s="31"/>
      <c r="AGZ42" s="30"/>
      <c r="AHA42" s="31"/>
      <c r="AHB42" s="30"/>
      <c r="AHC42" s="31"/>
      <c r="AHD42" s="30"/>
      <c r="AHE42" s="31"/>
      <c r="AHF42" s="30"/>
      <c r="AHG42" s="31"/>
      <c r="AHH42" s="30"/>
      <c r="AHI42" s="31"/>
      <c r="AHJ42" s="30"/>
      <c r="AHK42" s="31"/>
      <c r="AHL42" s="30"/>
      <c r="AHM42" s="31"/>
      <c r="AHN42" s="30"/>
      <c r="AHO42" s="31"/>
      <c r="AHP42" s="30"/>
      <c r="AHQ42" s="31"/>
      <c r="AHR42" s="30"/>
      <c r="AHS42" s="31"/>
      <c r="AHT42" s="30"/>
      <c r="AHU42" s="31"/>
      <c r="AHV42" s="30"/>
      <c r="AHW42" s="31"/>
      <c r="AHX42" s="30"/>
      <c r="AHY42" s="31"/>
      <c r="AHZ42" s="30"/>
      <c r="AIA42" s="31"/>
      <c r="AIB42" s="30"/>
      <c r="AIC42" s="31"/>
      <c r="AID42" s="30"/>
      <c r="AIE42" s="31"/>
      <c r="AIF42" s="30"/>
      <c r="AIG42" s="31"/>
      <c r="AIH42" s="30"/>
      <c r="AII42" s="31"/>
      <c r="AIJ42" s="30"/>
      <c r="AIK42" s="31"/>
      <c r="AIL42" s="30"/>
      <c r="AIM42" s="31"/>
      <c r="AIN42" s="30"/>
      <c r="AIO42" s="31"/>
      <c r="AIP42" s="30"/>
      <c r="AIQ42" s="31"/>
      <c r="AIR42" s="30"/>
      <c r="AIS42" s="31"/>
      <c r="AIT42" s="30"/>
      <c r="AIU42" s="31"/>
      <c r="AIV42" s="30"/>
      <c r="AIW42" s="31"/>
      <c r="AIX42" s="30"/>
      <c r="AIY42" s="31"/>
      <c r="AIZ42" s="30"/>
      <c r="AJA42" s="31"/>
      <c r="AJB42" s="30"/>
      <c r="AJC42" s="31"/>
      <c r="AJD42" s="30"/>
      <c r="AJE42" s="31"/>
      <c r="AJF42" s="30"/>
      <c r="AJG42" s="31"/>
      <c r="AJH42" s="30"/>
      <c r="AJI42" s="31"/>
      <c r="AJJ42" s="30"/>
      <c r="AJK42" s="31"/>
      <c r="AJL42" s="30"/>
      <c r="AJM42" s="31"/>
      <c r="AJN42" s="30"/>
      <c r="AJO42" s="31"/>
      <c r="AJP42" s="30"/>
      <c r="AJQ42" s="31"/>
      <c r="AJR42" s="30"/>
      <c r="AJS42" s="31"/>
      <c r="AJT42" s="30"/>
      <c r="AJU42" s="31"/>
      <c r="AJV42" s="30"/>
      <c r="AJW42" s="31"/>
      <c r="AJX42" s="30"/>
      <c r="AJY42" s="31"/>
      <c r="AJZ42" s="30"/>
      <c r="AKA42" s="31"/>
      <c r="AKB42" s="30"/>
      <c r="AKC42" s="31"/>
      <c r="AKD42" s="30"/>
      <c r="AKE42" s="31"/>
      <c r="AKF42" s="30"/>
      <c r="AKG42" s="31"/>
      <c r="AKH42" s="30"/>
      <c r="AKI42" s="31"/>
      <c r="AKJ42" s="30"/>
      <c r="AKK42" s="31"/>
      <c r="AKL42" s="30"/>
      <c r="AKM42" s="31"/>
      <c r="AKN42" s="30"/>
      <c r="AKO42" s="31"/>
      <c r="AKP42" s="30"/>
      <c r="AKQ42" s="31"/>
      <c r="AKR42" s="30"/>
      <c r="AKS42" s="31"/>
      <c r="AKT42" s="30"/>
      <c r="AKU42" s="31"/>
      <c r="AKV42" s="30"/>
      <c r="AKW42" s="31"/>
      <c r="AKX42" s="30"/>
      <c r="AKY42" s="31"/>
      <c r="AKZ42" s="30"/>
      <c r="ALA42" s="31"/>
      <c r="ALB42" s="30"/>
      <c r="ALC42" s="31"/>
      <c r="ALD42" s="30"/>
      <c r="ALE42" s="31"/>
      <c r="ALF42" s="30"/>
      <c r="ALG42" s="31"/>
      <c r="ALH42" s="30"/>
      <c r="ALI42" s="31"/>
      <c r="ALJ42" s="30"/>
      <c r="ALK42" s="31"/>
      <c r="ALL42" s="30"/>
      <c r="ALM42" s="31"/>
      <c r="ALN42" s="30"/>
      <c r="ALO42" s="31"/>
      <c r="ALP42" s="30"/>
      <c r="ALQ42" s="31"/>
      <c r="ALR42" s="30"/>
      <c r="ALS42" s="31"/>
      <c r="ALT42" s="30"/>
      <c r="ALU42" s="31"/>
      <c r="ALV42" s="30"/>
      <c r="ALW42" s="31"/>
      <c r="ALX42" s="30"/>
      <c r="ALY42" s="31"/>
      <c r="ALZ42" s="30"/>
      <c r="AMA42" s="31"/>
      <c r="AMB42" s="30"/>
      <c r="AMC42" s="31"/>
      <c r="AMD42" s="30"/>
      <c r="AME42" s="31"/>
      <c r="AMF42" s="30"/>
      <c r="AMG42" s="31"/>
      <c r="AMH42" s="30"/>
      <c r="AMI42" s="31"/>
      <c r="AMJ42" s="30"/>
      <c r="AMK42" s="31"/>
      <c r="AML42" s="30"/>
      <c r="AMM42" s="31"/>
      <c r="AMN42" s="30"/>
      <c r="AMO42" s="31"/>
      <c r="AMP42" s="30"/>
      <c r="AMQ42" s="31"/>
      <c r="AMR42" s="30"/>
      <c r="AMS42" s="31"/>
      <c r="AMT42" s="30"/>
      <c r="AMU42" s="31"/>
      <c r="AMV42" s="30"/>
      <c r="AMW42" s="31"/>
      <c r="AMX42" s="30"/>
      <c r="AMY42" s="31"/>
      <c r="AMZ42" s="30"/>
      <c r="ANA42" s="31"/>
      <c r="ANB42" s="30"/>
      <c r="ANC42" s="31"/>
      <c r="AND42" s="30"/>
      <c r="ANE42" s="31"/>
      <c r="ANF42" s="30"/>
      <c r="ANG42" s="31"/>
      <c r="ANH42" s="30"/>
      <c r="ANI42" s="31"/>
      <c r="ANJ42" s="30"/>
      <c r="ANK42" s="31"/>
      <c r="ANL42" s="30"/>
      <c r="ANM42" s="31"/>
      <c r="ANN42" s="30"/>
      <c r="ANO42" s="31"/>
      <c r="ANP42" s="30"/>
      <c r="ANQ42" s="31"/>
      <c r="ANR42" s="30"/>
      <c r="ANS42" s="31"/>
      <c r="ANT42" s="30"/>
      <c r="ANU42" s="31"/>
      <c r="ANV42" s="30"/>
      <c r="ANW42" s="31"/>
      <c r="ANX42" s="30"/>
      <c r="ANY42" s="31"/>
      <c r="ANZ42" s="30"/>
      <c r="AOA42" s="31"/>
      <c r="AOB42" s="30"/>
      <c r="AOC42" s="31"/>
      <c r="AOD42" s="30"/>
      <c r="AOE42" s="31"/>
      <c r="AOF42" s="30"/>
      <c r="AOG42" s="31"/>
      <c r="AOH42" s="30"/>
      <c r="AOI42" s="31"/>
      <c r="AOJ42" s="30"/>
      <c r="AOK42" s="31"/>
      <c r="AOL42" s="30"/>
      <c r="AOM42" s="31"/>
      <c r="AON42" s="30"/>
      <c r="AOO42" s="31"/>
      <c r="AOP42" s="30"/>
      <c r="AOQ42" s="31"/>
      <c r="AOR42" s="30"/>
      <c r="AOS42" s="31"/>
      <c r="AOT42" s="30"/>
      <c r="AOU42" s="31"/>
      <c r="AOV42" s="30"/>
      <c r="AOW42" s="31"/>
      <c r="AOX42" s="30"/>
      <c r="AOY42" s="31"/>
      <c r="AOZ42" s="30"/>
      <c r="APA42" s="31"/>
      <c r="APB42" s="30"/>
      <c r="APC42" s="31"/>
      <c r="APD42" s="30"/>
      <c r="APE42" s="31"/>
      <c r="APF42" s="30"/>
      <c r="APG42" s="31"/>
      <c r="APH42" s="30"/>
      <c r="API42" s="31"/>
      <c r="APJ42" s="30"/>
      <c r="APK42" s="31"/>
      <c r="APL42" s="30"/>
      <c r="APM42" s="31"/>
      <c r="APN42" s="30"/>
      <c r="APO42" s="31"/>
      <c r="APP42" s="30"/>
      <c r="APQ42" s="31"/>
      <c r="APR42" s="30"/>
      <c r="APS42" s="31"/>
      <c r="APT42" s="30"/>
      <c r="APU42" s="31"/>
      <c r="APV42" s="30"/>
      <c r="APW42" s="31"/>
      <c r="APX42" s="30"/>
      <c r="APY42" s="31"/>
      <c r="APZ42" s="30"/>
      <c r="AQA42" s="31"/>
      <c r="AQB42" s="30"/>
      <c r="AQC42" s="31"/>
      <c r="AQD42" s="30"/>
      <c r="AQE42" s="31"/>
      <c r="AQF42" s="30"/>
      <c r="AQG42" s="31"/>
      <c r="AQH42" s="30"/>
      <c r="AQI42" s="31"/>
      <c r="AQJ42" s="30"/>
      <c r="AQK42" s="31"/>
      <c r="AQL42" s="30"/>
      <c r="AQM42" s="31"/>
      <c r="AQN42" s="30"/>
      <c r="AQO42" s="31"/>
      <c r="AQP42" s="30"/>
      <c r="AQQ42" s="31"/>
      <c r="AQR42" s="30"/>
      <c r="AQS42" s="31"/>
      <c r="AQT42" s="30"/>
      <c r="AQU42" s="31"/>
      <c r="AQV42" s="30"/>
      <c r="AQW42" s="31"/>
      <c r="AQX42" s="30"/>
      <c r="AQY42" s="31"/>
      <c r="AQZ42" s="30"/>
      <c r="ARA42" s="31"/>
      <c r="ARB42" s="30"/>
      <c r="ARC42" s="31"/>
      <c r="ARD42" s="30"/>
      <c r="ARE42" s="31"/>
      <c r="ARF42" s="30"/>
      <c r="ARG42" s="31"/>
      <c r="ARH42" s="30"/>
      <c r="ARI42" s="31"/>
      <c r="ARJ42" s="30"/>
      <c r="ARK42" s="31"/>
      <c r="ARL42" s="30"/>
      <c r="ARM42" s="31"/>
      <c r="ARN42" s="30"/>
      <c r="ARO42" s="31"/>
      <c r="ARP42" s="30"/>
      <c r="ARQ42" s="31"/>
      <c r="ARR42" s="30"/>
      <c r="ARS42" s="31"/>
      <c r="ART42" s="30"/>
      <c r="ARU42" s="31"/>
      <c r="ARV42" s="30"/>
      <c r="ARW42" s="31"/>
      <c r="ARX42" s="30"/>
      <c r="ARY42" s="31"/>
      <c r="ARZ42" s="30"/>
      <c r="ASA42" s="31"/>
      <c r="ASB42" s="30"/>
      <c r="ASC42" s="31"/>
      <c r="ASD42" s="30"/>
      <c r="ASE42" s="31"/>
      <c r="ASF42" s="30"/>
      <c r="ASG42" s="31"/>
      <c r="ASH42" s="30"/>
      <c r="ASI42" s="31"/>
      <c r="ASJ42" s="30"/>
      <c r="ASK42" s="31"/>
      <c r="ASL42" s="30"/>
      <c r="ASM42" s="31"/>
      <c r="ASN42" s="30"/>
      <c r="ASO42" s="31"/>
      <c r="ASP42" s="30"/>
      <c r="ASQ42" s="31"/>
      <c r="ASR42" s="30"/>
      <c r="ASS42" s="31"/>
      <c r="AST42" s="30"/>
      <c r="ASU42" s="31"/>
      <c r="ASV42" s="30"/>
      <c r="ASW42" s="31"/>
      <c r="ASX42" s="30"/>
      <c r="ASY42" s="31"/>
      <c r="ASZ42" s="30"/>
      <c r="ATA42" s="31"/>
      <c r="ATB42" s="30"/>
      <c r="ATC42" s="31"/>
      <c r="ATD42" s="30"/>
      <c r="ATE42" s="31"/>
      <c r="ATF42" s="30"/>
      <c r="ATG42" s="31"/>
      <c r="ATH42" s="30"/>
      <c r="ATI42" s="31"/>
      <c r="ATJ42" s="30"/>
      <c r="ATK42" s="31"/>
      <c r="ATL42" s="30"/>
      <c r="ATM42" s="31"/>
      <c r="ATN42" s="30"/>
      <c r="ATO42" s="31"/>
      <c r="ATP42" s="30"/>
      <c r="ATQ42" s="31"/>
      <c r="ATR42" s="30"/>
      <c r="ATS42" s="31"/>
      <c r="ATT42" s="30"/>
      <c r="ATU42" s="31"/>
      <c r="ATV42" s="30"/>
      <c r="ATW42" s="31"/>
      <c r="ATX42" s="30"/>
      <c r="ATY42" s="31"/>
      <c r="ATZ42" s="30"/>
      <c r="AUA42" s="31"/>
      <c r="AUB42" s="30"/>
      <c r="AUC42" s="31"/>
      <c r="AUD42" s="30"/>
      <c r="AUE42" s="31"/>
      <c r="AUF42" s="30"/>
      <c r="AUG42" s="31"/>
      <c r="AUH42" s="30"/>
      <c r="AUI42" s="31"/>
      <c r="AUJ42" s="30"/>
      <c r="AUK42" s="31"/>
      <c r="AUL42" s="30"/>
      <c r="AUM42" s="31"/>
      <c r="AUN42" s="30"/>
      <c r="AUO42" s="31"/>
      <c r="AUP42" s="30"/>
      <c r="AUQ42" s="31"/>
      <c r="AUR42" s="30"/>
      <c r="AUS42" s="31"/>
      <c r="AUT42" s="30"/>
      <c r="AUU42" s="31"/>
      <c r="AUV42" s="30"/>
      <c r="AUW42" s="31"/>
      <c r="AUX42" s="30"/>
      <c r="AUY42" s="31"/>
      <c r="AUZ42" s="30"/>
      <c r="AVA42" s="31"/>
      <c r="AVB42" s="30"/>
      <c r="AVC42" s="31"/>
      <c r="AVD42" s="30"/>
      <c r="AVE42" s="31"/>
      <c r="AVF42" s="30"/>
      <c r="AVG42" s="31"/>
      <c r="AVH42" s="30"/>
      <c r="AVI42" s="31"/>
      <c r="AVJ42" s="30"/>
      <c r="AVK42" s="31"/>
      <c r="AVL42" s="30"/>
      <c r="AVM42" s="31"/>
      <c r="AVN42" s="30"/>
      <c r="AVO42" s="31"/>
      <c r="AVP42" s="30"/>
      <c r="AVQ42" s="31"/>
      <c r="AVR42" s="30"/>
      <c r="AVS42" s="31"/>
      <c r="AVT42" s="30"/>
      <c r="AVU42" s="31"/>
      <c r="AVV42" s="30"/>
      <c r="AVW42" s="31"/>
      <c r="AVX42" s="30"/>
      <c r="AVY42" s="31"/>
      <c r="AVZ42" s="30"/>
      <c r="AWA42" s="31"/>
      <c r="AWB42" s="30"/>
      <c r="AWC42" s="31"/>
      <c r="AWD42" s="30"/>
      <c r="AWE42" s="31"/>
      <c r="AWF42" s="30"/>
      <c r="AWG42" s="31"/>
      <c r="AWH42" s="30"/>
      <c r="AWI42" s="31"/>
      <c r="AWJ42" s="30"/>
      <c r="AWK42" s="31"/>
      <c r="AWL42" s="30"/>
      <c r="AWM42" s="31"/>
      <c r="AWN42" s="30"/>
      <c r="AWO42" s="31"/>
      <c r="AWP42" s="30"/>
      <c r="AWQ42" s="31"/>
      <c r="AWR42" s="30"/>
      <c r="AWS42" s="31"/>
      <c r="AWT42" s="30"/>
      <c r="AWU42" s="31"/>
      <c r="AWV42" s="30"/>
      <c r="AWW42" s="31"/>
      <c r="AWX42" s="30"/>
      <c r="AWY42" s="31"/>
      <c r="AWZ42" s="30"/>
      <c r="AXA42" s="31"/>
      <c r="AXB42" s="30"/>
      <c r="AXC42" s="31"/>
      <c r="AXD42" s="30"/>
      <c r="AXE42" s="31"/>
      <c r="AXF42" s="30"/>
      <c r="AXG42" s="31"/>
      <c r="AXH42" s="30"/>
      <c r="AXI42" s="31"/>
      <c r="AXJ42" s="30"/>
      <c r="AXK42" s="31"/>
      <c r="AXL42" s="30"/>
      <c r="AXM42" s="31"/>
      <c r="AXN42" s="30"/>
      <c r="AXO42" s="31"/>
      <c r="AXP42" s="30"/>
      <c r="AXQ42" s="31"/>
      <c r="AXR42" s="30"/>
      <c r="AXS42" s="31"/>
      <c r="AXT42" s="30"/>
      <c r="AXU42" s="31"/>
      <c r="AXV42" s="30"/>
      <c r="AXW42" s="31"/>
      <c r="AXX42" s="30"/>
      <c r="AXY42" s="31"/>
      <c r="AXZ42" s="30"/>
      <c r="AYA42" s="31"/>
      <c r="AYB42" s="30"/>
      <c r="AYC42" s="31"/>
      <c r="AYD42" s="30"/>
      <c r="AYE42" s="31"/>
      <c r="AYF42" s="30"/>
      <c r="AYG42" s="31"/>
      <c r="AYH42" s="30"/>
      <c r="AYI42" s="31"/>
      <c r="AYJ42" s="30"/>
      <c r="AYK42" s="31"/>
      <c r="AYL42" s="30"/>
      <c r="AYM42" s="31"/>
      <c r="AYN42" s="30"/>
      <c r="AYO42" s="31"/>
      <c r="AYP42" s="30"/>
      <c r="AYQ42" s="31"/>
      <c r="AYR42" s="30"/>
      <c r="AYS42" s="31"/>
      <c r="AYT42" s="30"/>
      <c r="AYU42" s="31"/>
      <c r="AYV42" s="30"/>
      <c r="AYW42" s="31"/>
      <c r="AYX42" s="30"/>
      <c r="AYY42" s="31"/>
      <c r="AYZ42" s="30"/>
      <c r="AZA42" s="31"/>
      <c r="AZB42" s="30"/>
      <c r="AZC42" s="31"/>
      <c r="AZD42" s="30"/>
      <c r="AZE42" s="31"/>
      <c r="AZF42" s="30"/>
      <c r="AZG42" s="31"/>
      <c r="AZH42" s="30"/>
      <c r="AZI42" s="31"/>
      <c r="AZJ42" s="30"/>
      <c r="AZK42" s="31"/>
      <c r="AZL42" s="30"/>
      <c r="AZM42" s="31"/>
      <c r="AZN42" s="30"/>
      <c r="AZO42" s="31"/>
      <c r="AZP42" s="30"/>
      <c r="AZQ42" s="31"/>
      <c r="AZR42" s="30"/>
      <c r="AZS42" s="31"/>
      <c r="AZT42" s="30"/>
      <c r="AZU42" s="31"/>
      <c r="AZV42" s="30"/>
      <c r="AZW42" s="31"/>
      <c r="AZX42" s="30"/>
      <c r="AZY42" s="31"/>
      <c r="AZZ42" s="30"/>
      <c r="BAA42" s="31"/>
      <c r="BAB42" s="30"/>
      <c r="BAC42" s="31"/>
      <c r="BAD42" s="30"/>
      <c r="BAE42" s="31"/>
      <c r="BAF42" s="30"/>
      <c r="BAG42" s="31"/>
      <c r="BAH42" s="30"/>
      <c r="BAI42" s="31"/>
      <c r="BAJ42" s="30"/>
      <c r="BAK42" s="31"/>
      <c r="BAL42" s="30"/>
      <c r="BAM42" s="31"/>
      <c r="BAN42" s="30"/>
      <c r="BAO42" s="31"/>
      <c r="BAP42" s="30"/>
      <c r="BAQ42" s="31"/>
      <c r="BAR42" s="30"/>
      <c r="BAS42" s="31"/>
      <c r="BAT42" s="30"/>
      <c r="BAU42" s="31"/>
      <c r="BAV42" s="30"/>
      <c r="BAW42" s="31"/>
      <c r="BAX42" s="30"/>
      <c r="BAY42" s="31"/>
      <c r="BAZ42" s="30"/>
      <c r="BBA42" s="31"/>
      <c r="BBB42" s="30"/>
      <c r="BBC42" s="31"/>
      <c r="BBD42" s="30"/>
      <c r="BBE42" s="31"/>
      <c r="BBF42" s="30"/>
      <c r="BBG42" s="31"/>
      <c r="BBH42" s="30"/>
      <c r="BBI42" s="31"/>
      <c r="BBJ42" s="30"/>
      <c r="BBK42" s="31"/>
      <c r="BBL42" s="30"/>
      <c r="BBM42" s="31"/>
      <c r="BBN42" s="30"/>
      <c r="BBO42" s="31"/>
      <c r="BBP42" s="30"/>
      <c r="BBQ42" s="31"/>
      <c r="BBR42" s="30"/>
      <c r="BBS42" s="31"/>
      <c r="BBT42" s="30"/>
      <c r="BBU42" s="31"/>
      <c r="BBV42" s="30"/>
      <c r="BBW42" s="31"/>
      <c r="BBX42" s="30"/>
      <c r="BBY42" s="31"/>
      <c r="BBZ42" s="30"/>
      <c r="BCA42" s="31"/>
      <c r="BCB42" s="30"/>
      <c r="BCC42" s="31"/>
      <c r="BCD42" s="30"/>
      <c r="BCE42" s="31"/>
      <c r="BCF42" s="30"/>
      <c r="BCG42" s="31"/>
      <c r="BCH42" s="30"/>
      <c r="BCI42" s="31"/>
      <c r="BCJ42" s="30"/>
      <c r="BCK42" s="31"/>
      <c r="BCL42" s="30"/>
      <c r="BCM42" s="31"/>
      <c r="BCN42" s="30"/>
      <c r="BCO42" s="31"/>
      <c r="BCP42" s="30"/>
      <c r="BCQ42" s="31"/>
      <c r="BCR42" s="30"/>
      <c r="BCS42" s="31"/>
      <c r="BCT42" s="30"/>
      <c r="BCU42" s="31"/>
      <c r="BCV42" s="30"/>
      <c r="BCW42" s="31"/>
      <c r="BCX42" s="30"/>
      <c r="BCY42" s="31"/>
      <c r="BCZ42" s="30"/>
      <c r="BDA42" s="31"/>
      <c r="BDB42" s="30"/>
      <c r="BDC42" s="31"/>
      <c r="BDD42" s="30"/>
      <c r="BDE42" s="31"/>
      <c r="BDF42" s="30"/>
      <c r="BDG42" s="31"/>
      <c r="BDH42" s="30"/>
      <c r="BDI42" s="31"/>
      <c r="BDJ42" s="30"/>
      <c r="BDK42" s="31"/>
      <c r="BDL42" s="30"/>
      <c r="BDM42" s="31"/>
      <c r="BDN42" s="30"/>
      <c r="BDO42" s="31"/>
      <c r="BDP42" s="30"/>
      <c r="BDQ42" s="31"/>
      <c r="BDR42" s="30"/>
      <c r="BDS42" s="31"/>
      <c r="BDT42" s="30"/>
      <c r="BDU42" s="31"/>
      <c r="BDV42" s="30"/>
      <c r="BDW42" s="31"/>
      <c r="BDX42" s="30"/>
      <c r="BDY42" s="31"/>
      <c r="BDZ42" s="30"/>
      <c r="BEA42" s="31"/>
      <c r="BEB42" s="30"/>
      <c r="BEC42" s="31"/>
      <c r="BED42" s="30"/>
      <c r="BEE42" s="31"/>
      <c r="BEF42" s="30"/>
      <c r="BEG42" s="31"/>
      <c r="BEH42" s="30"/>
      <c r="BEI42" s="31"/>
      <c r="BEJ42" s="30"/>
      <c r="BEK42" s="31"/>
      <c r="BEL42" s="30"/>
      <c r="BEM42" s="31"/>
      <c r="BEN42" s="30"/>
      <c r="BEO42" s="31"/>
      <c r="BEP42" s="30"/>
      <c r="BEQ42" s="31"/>
      <c r="BER42" s="30"/>
      <c r="BES42" s="31"/>
      <c r="BET42" s="30"/>
      <c r="BEU42" s="31"/>
      <c r="BEV42" s="30"/>
      <c r="BEW42" s="31"/>
      <c r="BEX42" s="30"/>
      <c r="BEY42" s="31"/>
      <c r="BEZ42" s="30"/>
      <c r="BFA42" s="31"/>
      <c r="BFB42" s="30"/>
      <c r="BFC42" s="31"/>
      <c r="BFD42" s="30"/>
      <c r="BFE42" s="31"/>
      <c r="BFF42" s="30"/>
      <c r="BFG42" s="31"/>
      <c r="BFH42" s="30"/>
      <c r="BFI42" s="31"/>
      <c r="BFJ42" s="30"/>
      <c r="BFK42" s="31"/>
      <c r="BFL42" s="30"/>
      <c r="BFM42" s="31"/>
      <c r="BFN42" s="30"/>
      <c r="BFO42" s="31"/>
      <c r="BFP42" s="30"/>
      <c r="BFQ42" s="31"/>
      <c r="BFR42" s="30"/>
      <c r="BFS42" s="31"/>
      <c r="BFT42" s="30"/>
      <c r="BFU42" s="31"/>
      <c r="BFV42" s="30"/>
      <c r="BFW42" s="31"/>
      <c r="BFX42" s="30"/>
      <c r="BFY42" s="31"/>
      <c r="BFZ42" s="30"/>
      <c r="BGA42" s="31"/>
      <c r="BGB42" s="30"/>
      <c r="BGC42" s="31"/>
      <c r="BGD42" s="30"/>
      <c r="BGE42" s="31"/>
      <c r="BGF42" s="30"/>
      <c r="BGG42" s="31"/>
      <c r="BGH42" s="30"/>
      <c r="BGI42" s="31"/>
      <c r="BGJ42" s="30"/>
      <c r="BGK42" s="31"/>
      <c r="BGL42" s="30"/>
      <c r="BGM42" s="31"/>
      <c r="BGN42" s="30"/>
      <c r="BGO42" s="31"/>
      <c r="BGP42" s="30"/>
      <c r="BGQ42" s="31"/>
      <c r="BGR42" s="30"/>
      <c r="BGS42" s="31"/>
      <c r="BGT42" s="30"/>
      <c r="BGU42" s="31"/>
      <c r="BGV42" s="30"/>
      <c r="BGW42" s="31"/>
      <c r="BGX42" s="30"/>
      <c r="BGY42" s="31"/>
      <c r="BGZ42" s="30"/>
      <c r="BHA42" s="31"/>
      <c r="BHB42" s="30"/>
      <c r="BHC42" s="31"/>
      <c r="BHD42" s="30"/>
      <c r="BHE42" s="31"/>
      <c r="BHF42" s="30"/>
      <c r="BHG42" s="31"/>
      <c r="BHH42" s="30"/>
      <c r="BHI42" s="31"/>
      <c r="BHJ42" s="30"/>
      <c r="BHK42" s="31"/>
      <c r="BHL42" s="30"/>
      <c r="BHM42" s="31"/>
      <c r="BHN42" s="30"/>
      <c r="BHO42" s="31"/>
      <c r="BHP42" s="30"/>
      <c r="BHQ42" s="31"/>
      <c r="BHR42" s="30"/>
      <c r="BHS42" s="31"/>
      <c r="BHT42" s="30"/>
      <c r="BHU42" s="31"/>
      <c r="BHV42" s="30"/>
      <c r="BHW42" s="31"/>
      <c r="BHX42" s="30"/>
      <c r="BHY42" s="31"/>
      <c r="BHZ42" s="30"/>
      <c r="BIA42" s="31"/>
      <c r="BIB42" s="30"/>
      <c r="BIC42" s="31"/>
      <c r="BID42" s="30"/>
      <c r="BIE42" s="31"/>
      <c r="BIF42" s="30"/>
      <c r="BIG42" s="31"/>
      <c r="BIH42" s="30"/>
      <c r="BII42" s="31"/>
      <c r="BIJ42" s="30"/>
      <c r="BIK42" s="31"/>
      <c r="BIL42" s="30"/>
      <c r="BIM42" s="31"/>
      <c r="BIN42" s="30"/>
      <c r="BIO42" s="31"/>
      <c r="BIP42" s="30"/>
      <c r="BIQ42" s="31"/>
      <c r="BIR42" s="30"/>
      <c r="BIS42" s="31"/>
      <c r="BIT42" s="30"/>
      <c r="BIU42" s="31"/>
      <c r="BIV42" s="30"/>
      <c r="BIW42" s="31"/>
      <c r="BIX42" s="30"/>
      <c r="BIY42" s="31"/>
      <c r="BIZ42" s="30"/>
      <c r="BJA42" s="31"/>
      <c r="BJB42" s="30"/>
      <c r="BJC42" s="31"/>
      <c r="BJD42" s="30"/>
      <c r="BJE42" s="31"/>
      <c r="BJF42" s="30"/>
      <c r="BJG42" s="31"/>
      <c r="BJH42" s="30"/>
      <c r="BJI42" s="31"/>
      <c r="BJJ42" s="30"/>
      <c r="BJK42" s="31"/>
      <c r="BJL42" s="30"/>
      <c r="BJM42" s="31"/>
      <c r="BJN42" s="30"/>
      <c r="BJO42" s="31"/>
      <c r="BJP42" s="30"/>
      <c r="BJQ42" s="31"/>
      <c r="BJR42" s="30"/>
      <c r="BJS42" s="31"/>
      <c r="BJT42" s="30"/>
      <c r="BJU42" s="31"/>
      <c r="BJV42" s="30"/>
      <c r="BJW42" s="31"/>
      <c r="BJX42" s="30"/>
      <c r="BJY42" s="31"/>
      <c r="BJZ42" s="30"/>
      <c r="BKA42" s="31"/>
      <c r="BKB42" s="30"/>
      <c r="BKC42" s="31"/>
      <c r="BKD42" s="30"/>
      <c r="BKE42" s="31"/>
      <c r="BKF42" s="30"/>
      <c r="BKG42" s="31"/>
      <c r="BKH42" s="30"/>
      <c r="BKI42" s="31"/>
      <c r="BKJ42" s="30"/>
      <c r="BKK42" s="31"/>
      <c r="BKL42" s="30"/>
      <c r="BKM42" s="31"/>
      <c r="BKN42" s="30"/>
      <c r="BKO42" s="31"/>
      <c r="BKP42" s="30"/>
      <c r="BKQ42" s="31"/>
      <c r="BKR42" s="30"/>
      <c r="BKS42" s="31"/>
      <c r="BKT42" s="30"/>
      <c r="BKU42" s="31"/>
      <c r="BKV42" s="30"/>
      <c r="BKW42" s="31"/>
      <c r="BKX42" s="30"/>
      <c r="BKY42" s="31"/>
      <c r="BKZ42" s="30"/>
      <c r="BLA42" s="31"/>
      <c r="BLB42" s="30"/>
      <c r="BLC42" s="31"/>
      <c r="BLD42" s="30"/>
      <c r="BLE42" s="31"/>
      <c r="BLF42" s="30"/>
      <c r="BLG42" s="31"/>
      <c r="BLH42" s="30"/>
      <c r="BLI42" s="31"/>
      <c r="BLJ42" s="30"/>
      <c r="BLK42" s="31"/>
      <c r="BLL42" s="30"/>
      <c r="BLM42" s="31"/>
      <c r="BLN42" s="30"/>
      <c r="BLO42" s="31"/>
      <c r="BLP42" s="30"/>
      <c r="BLQ42" s="31"/>
      <c r="BLR42" s="30"/>
      <c r="BLS42" s="31"/>
      <c r="BLT42" s="30"/>
      <c r="BLU42" s="31"/>
      <c r="BLV42" s="30"/>
      <c r="BLW42" s="31"/>
      <c r="BLX42" s="30"/>
      <c r="BLY42" s="31"/>
      <c r="BLZ42" s="30"/>
      <c r="BMA42" s="31"/>
      <c r="BMB42" s="30"/>
      <c r="BMC42" s="31"/>
      <c r="BMD42" s="30"/>
      <c r="BME42" s="31"/>
      <c r="BMF42" s="30"/>
      <c r="BMG42" s="31"/>
      <c r="BMH42" s="30"/>
      <c r="BMI42" s="31"/>
      <c r="BMJ42" s="30"/>
      <c r="BMK42" s="31"/>
      <c r="BML42" s="30"/>
      <c r="BMM42" s="31"/>
      <c r="BMN42" s="30"/>
      <c r="BMO42" s="31"/>
      <c r="BMP42" s="30"/>
      <c r="BMQ42" s="31"/>
      <c r="BMR42" s="30"/>
      <c r="BMS42" s="31"/>
      <c r="BMT42" s="30"/>
      <c r="BMU42" s="31"/>
      <c r="BMV42" s="30"/>
      <c r="BMW42" s="31"/>
      <c r="BMX42" s="30"/>
      <c r="BMY42" s="31"/>
      <c r="BMZ42" s="30"/>
      <c r="BNA42" s="31"/>
      <c r="BNB42" s="30"/>
      <c r="BNC42" s="31"/>
      <c r="BND42" s="30"/>
      <c r="BNE42" s="31"/>
      <c r="BNF42" s="30"/>
      <c r="BNG42" s="31"/>
      <c r="BNH42" s="30"/>
      <c r="BNI42" s="31"/>
      <c r="BNJ42" s="30"/>
      <c r="BNK42" s="31"/>
      <c r="BNL42" s="30"/>
      <c r="BNM42" s="31"/>
      <c r="BNN42" s="30"/>
      <c r="BNO42" s="31"/>
      <c r="BNP42" s="30"/>
      <c r="BNQ42" s="31"/>
      <c r="BNR42" s="30"/>
      <c r="BNS42" s="31"/>
      <c r="BNT42" s="30"/>
      <c r="BNU42" s="31"/>
      <c r="BNV42" s="30"/>
      <c r="BNW42" s="31"/>
      <c r="BNX42" s="30"/>
      <c r="BNY42" s="31"/>
      <c r="BNZ42" s="30"/>
      <c r="BOA42" s="31"/>
      <c r="BOB42" s="30"/>
      <c r="BOC42" s="31"/>
      <c r="BOD42" s="30"/>
      <c r="BOE42" s="31"/>
      <c r="BOF42" s="30"/>
      <c r="BOG42" s="31"/>
      <c r="BOH42" s="30"/>
      <c r="BOI42" s="31"/>
      <c r="BOJ42" s="30"/>
      <c r="BOK42" s="31"/>
      <c r="BOL42" s="30"/>
      <c r="BOM42" s="31"/>
      <c r="BON42" s="30"/>
      <c r="BOO42" s="31"/>
      <c r="BOP42" s="30"/>
      <c r="BOQ42" s="31"/>
      <c r="BOR42" s="30"/>
      <c r="BOS42" s="31"/>
      <c r="BOT42" s="30"/>
      <c r="BOU42" s="31"/>
      <c r="BOV42" s="30"/>
      <c r="BOW42" s="31"/>
      <c r="BOX42" s="30"/>
      <c r="BOY42" s="31"/>
      <c r="BOZ42" s="30"/>
      <c r="BPA42" s="31"/>
      <c r="BPB42" s="30"/>
      <c r="BPC42" s="31"/>
      <c r="BPD42" s="30"/>
      <c r="BPE42" s="31"/>
      <c r="BPF42" s="30"/>
      <c r="BPG42" s="31"/>
      <c r="BPH42" s="30"/>
      <c r="BPI42" s="31"/>
      <c r="BPJ42" s="30"/>
      <c r="BPK42" s="31"/>
      <c r="BPL42" s="30"/>
      <c r="BPM42" s="31"/>
      <c r="BPN42" s="30"/>
      <c r="BPO42" s="31"/>
      <c r="BPP42" s="30"/>
      <c r="BPQ42" s="31"/>
      <c r="BPR42" s="30"/>
      <c r="BPS42" s="31"/>
      <c r="BPT42" s="30"/>
      <c r="BPU42" s="31"/>
      <c r="BPV42" s="30"/>
      <c r="BPW42" s="31"/>
      <c r="BPX42" s="30"/>
      <c r="BPY42" s="31"/>
      <c r="BPZ42" s="30"/>
      <c r="BQA42" s="31"/>
      <c r="BQB42" s="30"/>
      <c r="BQC42" s="31"/>
      <c r="BQD42" s="30"/>
      <c r="BQE42" s="31"/>
      <c r="BQF42" s="30"/>
      <c r="BQG42" s="31"/>
      <c r="BQH42" s="30"/>
      <c r="BQI42" s="31"/>
      <c r="BQJ42" s="30"/>
      <c r="BQK42" s="31"/>
      <c r="BQL42" s="30"/>
      <c r="BQM42" s="31"/>
      <c r="BQN42" s="30"/>
      <c r="BQO42" s="31"/>
      <c r="BQP42" s="30"/>
      <c r="BQQ42" s="31"/>
      <c r="BQR42" s="30"/>
      <c r="BQS42" s="31"/>
      <c r="BQT42" s="30"/>
      <c r="BQU42" s="31"/>
      <c r="BQV42" s="30"/>
      <c r="BQW42" s="31"/>
      <c r="BQX42" s="30"/>
      <c r="BQY42" s="31"/>
      <c r="BQZ42" s="30"/>
      <c r="BRA42" s="31"/>
      <c r="BRB42" s="30"/>
      <c r="BRC42" s="31"/>
      <c r="BRD42" s="30"/>
      <c r="BRE42" s="31"/>
      <c r="BRF42" s="30"/>
      <c r="BRG42" s="31"/>
      <c r="BRH42" s="30"/>
      <c r="BRI42" s="31"/>
      <c r="BRJ42" s="30"/>
      <c r="BRK42" s="31"/>
      <c r="BRL42" s="30"/>
      <c r="BRM42" s="31"/>
      <c r="BRN42" s="30"/>
      <c r="BRO42" s="31"/>
      <c r="BRP42" s="30"/>
      <c r="BRQ42" s="31"/>
      <c r="BRR42" s="30"/>
      <c r="BRS42" s="31"/>
      <c r="BRT42" s="30"/>
      <c r="BRU42" s="31"/>
      <c r="BRV42" s="30"/>
      <c r="BRW42" s="31"/>
      <c r="BRX42" s="30"/>
      <c r="BRY42" s="31"/>
      <c r="BRZ42" s="30"/>
      <c r="BSA42" s="31"/>
      <c r="BSB42" s="30"/>
      <c r="BSC42" s="31"/>
      <c r="BSD42" s="30"/>
      <c r="BSE42" s="31"/>
      <c r="BSF42" s="30"/>
      <c r="BSG42" s="31"/>
      <c r="BSH42" s="30"/>
      <c r="BSI42" s="31"/>
      <c r="BSJ42" s="30"/>
      <c r="BSK42" s="31"/>
      <c r="BSL42" s="30"/>
      <c r="BSM42" s="31"/>
      <c r="BSN42" s="30"/>
      <c r="BSO42" s="31"/>
      <c r="BSP42" s="30"/>
      <c r="BSQ42" s="31"/>
      <c r="BSR42" s="30"/>
      <c r="BSS42" s="31"/>
      <c r="BST42" s="30"/>
      <c r="BSU42" s="31"/>
      <c r="BSV42" s="30"/>
      <c r="BSW42" s="31"/>
      <c r="BSX42" s="30"/>
      <c r="BSY42" s="31"/>
      <c r="BSZ42" s="30"/>
      <c r="BTA42" s="31"/>
      <c r="BTB42" s="30"/>
      <c r="BTC42" s="31"/>
      <c r="BTD42" s="30"/>
      <c r="BTE42" s="31"/>
      <c r="BTF42" s="30"/>
      <c r="BTG42" s="31"/>
      <c r="BTH42" s="30"/>
      <c r="BTI42" s="31"/>
      <c r="BTJ42" s="30"/>
      <c r="BTK42" s="31"/>
      <c r="BTL42" s="30"/>
      <c r="BTM42" s="31"/>
      <c r="BTN42" s="30"/>
      <c r="BTO42" s="31"/>
      <c r="BTP42" s="30"/>
      <c r="BTQ42" s="31"/>
      <c r="BTR42" s="30"/>
      <c r="BTS42" s="31"/>
      <c r="BTT42" s="30"/>
      <c r="BTU42" s="31"/>
      <c r="BTV42" s="30"/>
      <c r="BTW42" s="31"/>
      <c r="BTX42" s="30"/>
      <c r="BTY42" s="31"/>
      <c r="BTZ42" s="30"/>
      <c r="BUA42" s="31"/>
      <c r="BUB42" s="30"/>
      <c r="BUC42" s="31"/>
      <c r="BUD42" s="30"/>
      <c r="BUE42" s="31"/>
      <c r="BUF42" s="30"/>
      <c r="BUG42" s="31"/>
      <c r="BUH42" s="30"/>
      <c r="BUI42" s="31"/>
      <c r="BUJ42" s="30"/>
      <c r="BUK42" s="31"/>
      <c r="BUL42" s="30"/>
      <c r="BUM42" s="31"/>
      <c r="BUN42" s="30"/>
      <c r="BUO42" s="31"/>
      <c r="BUP42" s="30"/>
      <c r="BUQ42" s="31"/>
      <c r="BUR42" s="30"/>
      <c r="BUS42" s="31"/>
      <c r="BUT42" s="30"/>
      <c r="BUU42" s="31"/>
      <c r="BUV42" s="30"/>
      <c r="BUW42" s="31"/>
      <c r="BUX42" s="30"/>
      <c r="BUY42" s="31"/>
      <c r="BUZ42" s="30"/>
      <c r="BVA42" s="31"/>
      <c r="BVB42" s="30"/>
      <c r="BVC42" s="31"/>
      <c r="BVD42" s="30"/>
      <c r="BVE42" s="31"/>
      <c r="BVF42" s="30"/>
      <c r="BVG42" s="31"/>
      <c r="BVH42" s="30"/>
      <c r="BVI42" s="31"/>
      <c r="BVJ42" s="30"/>
      <c r="BVK42" s="31"/>
      <c r="BVL42" s="30"/>
      <c r="BVM42" s="31"/>
      <c r="BVN42" s="30"/>
      <c r="BVO42" s="31"/>
      <c r="BVP42" s="30"/>
      <c r="BVQ42" s="31"/>
      <c r="BVR42" s="30"/>
      <c r="BVS42" s="31"/>
      <c r="BVT42" s="30"/>
      <c r="BVU42" s="31"/>
      <c r="BVV42" s="30"/>
      <c r="BVW42" s="31"/>
      <c r="BVX42" s="30"/>
      <c r="BVY42" s="31"/>
      <c r="BVZ42" s="30"/>
      <c r="BWA42" s="31"/>
      <c r="BWB42" s="30"/>
      <c r="BWC42" s="31"/>
      <c r="BWD42" s="30"/>
      <c r="BWE42" s="31"/>
      <c r="BWF42" s="30"/>
      <c r="BWG42" s="31"/>
      <c r="BWH42" s="30"/>
      <c r="BWI42" s="31"/>
      <c r="BWJ42" s="30"/>
      <c r="BWK42" s="31"/>
      <c r="BWL42" s="30"/>
      <c r="BWM42" s="31"/>
      <c r="BWN42" s="30"/>
      <c r="BWO42" s="31"/>
      <c r="BWP42" s="30"/>
      <c r="BWQ42" s="31"/>
      <c r="BWR42" s="30"/>
      <c r="BWS42" s="31"/>
      <c r="BWT42" s="30"/>
      <c r="BWU42" s="31"/>
      <c r="BWV42" s="30"/>
      <c r="BWW42" s="31"/>
      <c r="BWX42" s="30"/>
      <c r="BWY42" s="31"/>
      <c r="BWZ42" s="30"/>
      <c r="BXA42" s="31"/>
      <c r="BXB42" s="30"/>
      <c r="BXC42" s="31"/>
      <c r="BXD42" s="30"/>
      <c r="BXE42" s="31"/>
      <c r="BXF42" s="30"/>
      <c r="BXG42" s="31"/>
      <c r="BXH42" s="30"/>
      <c r="BXI42" s="31"/>
      <c r="BXJ42" s="30"/>
      <c r="BXK42" s="31"/>
      <c r="BXL42" s="30"/>
      <c r="BXM42" s="31"/>
      <c r="BXN42" s="30"/>
      <c r="BXO42" s="31"/>
      <c r="BXP42" s="30"/>
      <c r="BXQ42" s="31"/>
      <c r="BXR42" s="30"/>
      <c r="BXS42" s="31"/>
      <c r="BXT42" s="30"/>
      <c r="BXU42" s="31"/>
      <c r="BXV42" s="30"/>
      <c r="BXW42" s="31"/>
      <c r="BXX42" s="30"/>
      <c r="BXY42" s="31"/>
      <c r="BXZ42" s="30"/>
      <c r="BYA42" s="31"/>
      <c r="BYB42" s="30"/>
      <c r="BYC42" s="31"/>
      <c r="BYD42" s="30"/>
      <c r="BYE42" s="31"/>
      <c r="BYF42" s="30"/>
      <c r="BYG42" s="31"/>
      <c r="BYH42" s="30"/>
      <c r="BYI42" s="31"/>
      <c r="BYJ42" s="30"/>
      <c r="BYK42" s="31"/>
      <c r="BYL42" s="30"/>
      <c r="BYM42" s="31"/>
      <c r="BYN42" s="30"/>
      <c r="BYO42" s="31"/>
      <c r="BYP42" s="30"/>
      <c r="BYQ42" s="31"/>
      <c r="BYR42" s="30"/>
      <c r="BYS42" s="31"/>
      <c r="BYT42" s="30"/>
      <c r="BYU42" s="31"/>
      <c r="BYV42" s="30"/>
      <c r="BYW42" s="31"/>
      <c r="BYX42" s="30"/>
      <c r="BYY42" s="31"/>
      <c r="BYZ42" s="30"/>
      <c r="BZA42" s="31"/>
      <c r="BZB42" s="30"/>
      <c r="BZC42" s="31"/>
      <c r="BZD42" s="30"/>
      <c r="BZE42" s="31"/>
      <c r="BZF42" s="30"/>
      <c r="BZG42" s="31"/>
      <c r="BZH42" s="30"/>
      <c r="BZI42" s="31"/>
      <c r="BZJ42" s="30"/>
      <c r="BZK42" s="31"/>
      <c r="BZL42" s="30"/>
      <c r="BZM42" s="31"/>
      <c r="BZN42" s="30"/>
      <c r="BZO42" s="31"/>
      <c r="BZP42" s="30"/>
      <c r="BZQ42" s="31"/>
      <c r="BZR42" s="30"/>
      <c r="BZS42" s="31"/>
      <c r="BZT42" s="30"/>
      <c r="BZU42" s="31"/>
      <c r="BZV42" s="30"/>
      <c r="BZW42" s="31"/>
      <c r="BZX42" s="30"/>
      <c r="BZY42" s="31"/>
      <c r="BZZ42" s="30"/>
      <c r="CAA42" s="31"/>
      <c r="CAB42" s="30"/>
      <c r="CAC42" s="31"/>
      <c r="CAD42" s="30"/>
      <c r="CAE42" s="31"/>
      <c r="CAF42" s="30"/>
      <c r="CAG42" s="31"/>
      <c r="CAH42" s="30"/>
      <c r="CAI42" s="31"/>
      <c r="CAJ42" s="30"/>
      <c r="CAK42" s="31"/>
      <c r="CAL42" s="30"/>
      <c r="CAM42" s="31"/>
      <c r="CAN42" s="30"/>
      <c r="CAO42" s="31"/>
      <c r="CAP42" s="30"/>
      <c r="CAQ42" s="31"/>
      <c r="CAR42" s="30"/>
      <c r="CAS42" s="31"/>
      <c r="CAT42" s="30"/>
      <c r="CAU42" s="31"/>
      <c r="CAV42" s="30"/>
      <c r="CAW42" s="31"/>
      <c r="CAX42" s="30"/>
      <c r="CAY42" s="31"/>
      <c r="CAZ42" s="30"/>
      <c r="CBA42" s="31"/>
      <c r="CBB42" s="30"/>
      <c r="CBC42" s="31"/>
      <c r="CBD42" s="30"/>
      <c r="CBE42" s="31"/>
      <c r="CBF42" s="30"/>
      <c r="CBG42" s="31"/>
      <c r="CBH42" s="30"/>
      <c r="CBI42" s="31"/>
      <c r="CBJ42" s="30"/>
      <c r="CBK42" s="31"/>
      <c r="CBL42" s="30"/>
      <c r="CBM42" s="31"/>
      <c r="CBN42" s="30"/>
      <c r="CBO42" s="31"/>
      <c r="CBP42" s="30"/>
      <c r="CBQ42" s="31"/>
      <c r="CBR42" s="30"/>
      <c r="CBS42" s="31"/>
      <c r="CBT42" s="30"/>
      <c r="CBU42" s="31"/>
      <c r="CBV42" s="30"/>
      <c r="CBW42" s="31"/>
      <c r="CBX42" s="30"/>
      <c r="CBY42" s="31"/>
      <c r="CBZ42" s="30"/>
      <c r="CCA42" s="31"/>
      <c r="CCB42" s="30"/>
      <c r="CCC42" s="31"/>
      <c r="CCD42" s="30"/>
      <c r="CCE42" s="31"/>
      <c r="CCF42" s="30"/>
      <c r="CCG42" s="31"/>
      <c r="CCH42" s="30"/>
      <c r="CCI42" s="31"/>
      <c r="CCJ42" s="30"/>
      <c r="CCK42" s="31"/>
      <c r="CCL42" s="30"/>
      <c r="CCM42" s="31"/>
      <c r="CCN42" s="30"/>
      <c r="CCO42" s="31"/>
      <c r="CCP42" s="30"/>
      <c r="CCQ42" s="31"/>
      <c r="CCR42" s="30"/>
      <c r="CCS42" s="31"/>
      <c r="CCT42" s="30"/>
      <c r="CCU42" s="31"/>
      <c r="CCV42" s="30"/>
      <c r="CCW42" s="31"/>
      <c r="CCX42" s="30"/>
      <c r="CCY42" s="31"/>
      <c r="CCZ42" s="30"/>
      <c r="CDA42" s="31"/>
      <c r="CDB42" s="30"/>
      <c r="CDC42" s="31"/>
      <c r="CDD42" s="30"/>
      <c r="CDE42" s="31"/>
      <c r="CDF42" s="30"/>
      <c r="CDG42" s="31"/>
      <c r="CDH42" s="30"/>
      <c r="CDI42" s="31"/>
      <c r="CDJ42" s="30"/>
      <c r="CDK42" s="31"/>
      <c r="CDL42" s="30"/>
      <c r="CDM42" s="31"/>
      <c r="CDN42" s="30"/>
      <c r="CDO42" s="31"/>
      <c r="CDP42" s="30"/>
      <c r="CDQ42" s="31"/>
      <c r="CDR42" s="30"/>
      <c r="CDS42" s="31"/>
      <c r="CDT42" s="30"/>
      <c r="CDU42" s="31"/>
      <c r="CDV42" s="30"/>
      <c r="CDW42" s="31"/>
      <c r="CDX42" s="30"/>
      <c r="CDY42" s="31"/>
      <c r="CDZ42" s="30"/>
      <c r="CEA42" s="31"/>
      <c r="CEB42" s="30"/>
      <c r="CEC42" s="31"/>
      <c r="CED42" s="30"/>
      <c r="CEE42" s="31"/>
      <c r="CEF42" s="30"/>
      <c r="CEG42" s="31"/>
      <c r="CEH42" s="30"/>
      <c r="CEI42" s="31"/>
      <c r="CEJ42" s="30"/>
      <c r="CEK42" s="31"/>
      <c r="CEL42" s="30"/>
      <c r="CEM42" s="31"/>
      <c r="CEN42" s="30"/>
      <c r="CEO42" s="31"/>
      <c r="CEP42" s="30"/>
      <c r="CEQ42" s="31"/>
      <c r="CER42" s="30"/>
      <c r="CES42" s="31"/>
      <c r="CET42" s="30"/>
      <c r="CEU42" s="31"/>
      <c r="CEV42" s="30"/>
      <c r="CEW42" s="31"/>
      <c r="CEX42" s="30"/>
      <c r="CEY42" s="31"/>
      <c r="CEZ42" s="30"/>
      <c r="CFA42" s="31"/>
      <c r="CFB42" s="30"/>
      <c r="CFC42" s="31"/>
      <c r="CFD42" s="30"/>
      <c r="CFE42" s="31"/>
      <c r="CFF42" s="30"/>
      <c r="CFG42" s="31"/>
      <c r="CFH42" s="30"/>
      <c r="CFI42" s="31"/>
      <c r="CFJ42" s="30"/>
      <c r="CFK42" s="31"/>
      <c r="CFL42" s="30"/>
      <c r="CFM42" s="31"/>
      <c r="CFN42" s="30"/>
      <c r="CFO42" s="31"/>
      <c r="CFP42" s="30"/>
      <c r="CFQ42" s="31"/>
      <c r="CFR42" s="30"/>
      <c r="CFS42" s="31"/>
      <c r="CFT42" s="30"/>
      <c r="CFU42" s="31"/>
      <c r="CFV42" s="30"/>
      <c r="CFW42" s="31"/>
      <c r="CFX42" s="30"/>
      <c r="CFY42" s="31"/>
      <c r="CFZ42" s="30"/>
      <c r="CGA42" s="31"/>
      <c r="CGB42" s="30"/>
      <c r="CGC42" s="31"/>
      <c r="CGD42" s="30"/>
      <c r="CGE42" s="31"/>
      <c r="CGF42" s="30"/>
      <c r="CGG42" s="31"/>
      <c r="CGH42" s="30"/>
      <c r="CGI42" s="31"/>
      <c r="CGJ42" s="30"/>
      <c r="CGK42" s="31"/>
      <c r="CGL42" s="30"/>
      <c r="CGM42" s="31"/>
      <c r="CGN42" s="30"/>
      <c r="CGO42" s="31"/>
      <c r="CGP42" s="30"/>
      <c r="CGQ42" s="31"/>
      <c r="CGR42" s="30"/>
      <c r="CGS42" s="31"/>
      <c r="CGT42" s="30"/>
      <c r="CGU42" s="31"/>
      <c r="CGV42" s="30"/>
      <c r="CGW42" s="31"/>
      <c r="CGX42" s="30"/>
      <c r="CGY42" s="31"/>
      <c r="CGZ42" s="30"/>
      <c r="CHA42" s="31"/>
      <c r="CHB42" s="30"/>
      <c r="CHC42" s="31"/>
      <c r="CHD42" s="30"/>
      <c r="CHE42" s="31"/>
      <c r="CHF42" s="30"/>
      <c r="CHG42" s="31"/>
      <c r="CHH42" s="30"/>
      <c r="CHI42" s="31"/>
      <c r="CHJ42" s="30"/>
      <c r="CHK42" s="31"/>
      <c r="CHL42" s="30"/>
      <c r="CHM42" s="31"/>
      <c r="CHN42" s="30"/>
      <c r="CHO42" s="31"/>
      <c r="CHP42" s="30"/>
      <c r="CHQ42" s="31"/>
      <c r="CHR42" s="30"/>
      <c r="CHS42" s="31"/>
      <c r="CHT42" s="30"/>
      <c r="CHU42" s="31"/>
      <c r="CHV42" s="30"/>
      <c r="CHW42" s="31"/>
      <c r="CHX42" s="30"/>
      <c r="CHY42" s="31"/>
      <c r="CHZ42" s="30"/>
      <c r="CIA42" s="31"/>
      <c r="CIB42" s="30"/>
      <c r="CIC42" s="31"/>
      <c r="CID42" s="30"/>
      <c r="CIE42" s="31"/>
      <c r="CIF42" s="30"/>
      <c r="CIG42" s="31"/>
      <c r="CIH42" s="30"/>
      <c r="CII42" s="31"/>
      <c r="CIJ42" s="30"/>
      <c r="CIK42" s="31"/>
      <c r="CIL42" s="30"/>
      <c r="CIM42" s="31"/>
      <c r="CIN42" s="30"/>
      <c r="CIO42" s="31"/>
      <c r="CIP42" s="30"/>
      <c r="CIQ42" s="31"/>
      <c r="CIR42" s="30"/>
      <c r="CIS42" s="31"/>
      <c r="CIT42" s="30"/>
      <c r="CIU42" s="31"/>
      <c r="CIV42" s="30"/>
      <c r="CIW42" s="31"/>
      <c r="CIX42" s="30"/>
      <c r="CIY42" s="31"/>
      <c r="CIZ42" s="30"/>
      <c r="CJA42" s="31"/>
      <c r="CJB42" s="30"/>
      <c r="CJC42" s="31"/>
      <c r="CJD42" s="30"/>
      <c r="CJE42" s="31"/>
      <c r="CJF42" s="30"/>
      <c r="CJG42" s="31"/>
      <c r="CJH42" s="30"/>
      <c r="CJI42" s="31"/>
      <c r="CJJ42" s="30"/>
      <c r="CJK42" s="31"/>
      <c r="CJL42" s="30"/>
      <c r="CJM42" s="31"/>
      <c r="CJN42" s="30"/>
      <c r="CJO42" s="31"/>
      <c r="CJP42" s="30"/>
      <c r="CJQ42" s="31"/>
      <c r="CJR42" s="30"/>
      <c r="CJS42" s="31"/>
      <c r="CJT42" s="30"/>
      <c r="CJU42" s="31"/>
      <c r="CJV42" s="30"/>
      <c r="CJW42" s="31"/>
      <c r="CJX42" s="30"/>
      <c r="CJY42" s="31"/>
      <c r="CJZ42" s="30"/>
      <c r="CKA42" s="31"/>
      <c r="CKB42" s="30"/>
      <c r="CKC42" s="31"/>
      <c r="CKD42" s="30"/>
      <c r="CKE42" s="31"/>
      <c r="CKF42" s="30"/>
      <c r="CKG42" s="31"/>
      <c r="CKH42" s="30"/>
      <c r="CKI42" s="31"/>
      <c r="CKJ42" s="30"/>
      <c r="CKK42" s="31"/>
      <c r="CKL42" s="30"/>
      <c r="CKM42" s="31"/>
      <c r="CKN42" s="30"/>
      <c r="CKO42" s="31"/>
      <c r="CKP42" s="30"/>
      <c r="CKQ42" s="31"/>
      <c r="CKR42" s="30"/>
      <c r="CKS42" s="31"/>
      <c r="CKT42" s="30"/>
      <c r="CKU42" s="31"/>
      <c r="CKV42" s="30"/>
      <c r="CKW42" s="31"/>
      <c r="CKX42" s="30"/>
      <c r="CKY42" s="31"/>
      <c r="CKZ42" s="30"/>
      <c r="CLA42" s="31"/>
      <c r="CLB42" s="30"/>
      <c r="CLC42" s="31"/>
      <c r="CLD42" s="30"/>
      <c r="CLE42" s="31"/>
      <c r="CLF42" s="30"/>
      <c r="CLG42" s="31"/>
      <c r="CLH42" s="30"/>
      <c r="CLI42" s="31"/>
      <c r="CLJ42" s="30"/>
      <c r="CLK42" s="31"/>
      <c r="CLL42" s="30"/>
      <c r="CLM42" s="31"/>
      <c r="CLN42" s="30"/>
      <c r="CLO42" s="31"/>
      <c r="CLP42" s="30"/>
      <c r="CLQ42" s="31"/>
      <c r="CLR42" s="30"/>
      <c r="CLS42" s="31"/>
      <c r="CLT42" s="30"/>
      <c r="CLU42" s="31"/>
      <c r="CLV42" s="30"/>
      <c r="CLW42" s="31"/>
      <c r="CLX42" s="30"/>
      <c r="CLY42" s="31"/>
      <c r="CLZ42" s="30"/>
      <c r="CMA42" s="31"/>
      <c r="CMB42" s="30"/>
      <c r="CMC42" s="31"/>
      <c r="CMD42" s="30"/>
      <c r="CME42" s="31"/>
      <c r="CMF42" s="30"/>
      <c r="CMG42" s="31"/>
      <c r="CMH42" s="30"/>
      <c r="CMI42" s="31"/>
      <c r="CMJ42" s="30"/>
      <c r="CMK42" s="31"/>
      <c r="CML42" s="30"/>
      <c r="CMM42" s="31"/>
      <c r="CMN42" s="30"/>
      <c r="CMO42" s="31"/>
      <c r="CMP42" s="30"/>
      <c r="CMQ42" s="31"/>
      <c r="CMR42" s="30"/>
      <c r="CMS42" s="31"/>
      <c r="CMT42" s="30"/>
      <c r="CMU42" s="31"/>
      <c r="CMV42" s="30"/>
      <c r="CMW42" s="31"/>
      <c r="CMX42" s="30"/>
      <c r="CMY42" s="31"/>
      <c r="CMZ42" s="30"/>
      <c r="CNA42" s="31"/>
      <c r="CNB42" s="30"/>
      <c r="CNC42" s="31"/>
      <c r="CND42" s="30"/>
      <c r="CNE42" s="31"/>
      <c r="CNF42" s="30"/>
      <c r="CNG42" s="31"/>
      <c r="CNH42" s="30"/>
      <c r="CNI42" s="31"/>
      <c r="CNJ42" s="30"/>
      <c r="CNK42" s="31"/>
      <c r="CNL42" s="30"/>
      <c r="CNM42" s="31"/>
      <c r="CNN42" s="30"/>
      <c r="CNO42" s="31"/>
      <c r="CNP42" s="30"/>
      <c r="CNQ42" s="31"/>
      <c r="CNR42" s="30"/>
      <c r="CNS42" s="31"/>
      <c r="CNT42" s="30"/>
      <c r="CNU42" s="31"/>
      <c r="CNV42" s="30"/>
      <c r="CNW42" s="31"/>
      <c r="CNX42" s="30"/>
      <c r="CNY42" s="31"/>
      <c r="CNZ42" s="30"/>
      <c r="COA42" s="31"/>
      <c r="COB42" s="30"/>
      <c r="COC42" s="31"/>
      <c r="COD42" s="30"/>
      <c r="COE42" s="31"/>
      <c r="COF42" s="30"/>
      <c r="COG42" s="31"/>
      <c r="COH42" s="30"/>
      <c r="COI42" s="31"/>
      <c r="COJ42" s="30"/>
      <c r="COK42" s="31"/>
      <c r="COL42" s="30"/>
      <c r="COM42" s="31"/>
      <c r="CON42" s="30"/>
      <c r="COO42" s="31"/>
      <c r="COP42" s="30"/>
      <c r="COQ42" s="31"/>
      <c r="COR42" s="30"/>
      <c r="COS42" s="31"/>
      <c r="COT42" s="30"/>
      <c r="COU42" s="31"/>
      <c r="COV42" s="30"/>
      <c r="COW42" s="31"/>
      <c r="COX42" s="30"/>
      <c r="COY42" s="31"/>
      <c r="COZ42" s="30"/>
      <c r="CPA42" s="31"/>
      <c r="CPB42" s="30"/>
      <c r="CPC42" s="31"/>
      <c r="CPD42" s="30"/>
      <c r="CPE42" s="31"/>
      <c r="CPF42" s="30"/>
      <c r="CPG42" s="31"/>
      <c r="CPH42" s="30"/>
      <c r="CPI42" s="31"/>
      <c r="CPJ42" s="30"/>
      <c r="CPK42" s="31"/>
      <c r="CPL42" s="30"/>
      <c r="CPM42" s="31"/>
      <c r="CPN42" s="30"/>
      <c r="CPO42" s="31"/>
      <c r="CPP42" s="30"/>
      <c r="CPQ42" s="31"/>
      <c r="CPR42" s="30"/>
      <c r="CPS42" s="31"/>
      <c r="CPT42" s="30"/>
      <c r="CPU42" s="31"/>
      <c r="CPV42" s="30"/>
      <c r="CPW42" s="31"/>
      <c r="CPX42" s="30"/>
      <c r="CPY42" s="31"/>
      <c r="CPZ42" s="30"/>
      <c r="CQA42" s="31"/>
      <c r="CQB42" s="30"/>
      <c r="CQC42" s="31"/>
      <c r="CQD42" s="30"/>
      <c r="CQE42" s="31"/>
      <c r="CQF42" s="30"/>
      <c r="CQG42" s="31"/>
      <c r="CQH42" s="30"/>
      <c r="CQI42" s="31"/>
      <c r="CQJ42" s="30"/>
      <c r="CQK42" s="31"/>
      <c r="CQL42" s="30"/>
      <c r="CQM42" s="31"/>
      <c r="CQN42" s="30"/>
      <c r="CQO42" s="31"/>
      <c r="CQP42" s="30"/>
      <c r="CQQ42" s="31"/>
      <c r="CQR42" s="30"/>
      <c r="CQS42" s="31"/>
      <c r="CQT42" s="30"/>
      <c r="CQU42" s="31"/>
      <c r="CQV42" s="30"/>
      <c r="CQW42" s="31"/>
      <c r="CQX42" s="30"/>
      <c r="CQY42" s="31"/>
      <c r="CQZ42" s="30"/>
      <c r="CRA42" s="31"/>
      <c r="CRB42" s="30"/>
      <c r="CRC42" s="31"/>
      <c r="CRD42" s="30"/>
      <c r="CRE42" s="31"/>
      <c r="CRF42" s="30"/>
      <c r="CRG42" s="31"/>
      <c r="CRH42" s="30"/>
      <c r="CRI42" s="31"/>
      <c r="CRJ42" s="30"/>
      <c r="CRK42" s="31"/>
      <c r="CRL42" s="30"/>
      <c r="CRM42" s="31"/>
      <c r="CRN42" s="30"/>
      <c r="CRO42" s="31"/>
      <c r="CRP42" s="30"/>
      <c r="CRQ42" s="31"/>
      <c r="CRR42" s="30"/>
      <c r="CRS42" s="31"/>
      <c r="CRT42" s="30"/>
      <c r="CRU42" s="31"/>
      <c r="CRV42" s="30"/>
      <c r="CRW42" s="31"/>
      <c r="CRX42" s="30"/>
      <c r="CRY42" s="31"/>
      <c r="CRZ42" s="30"/>
      <c r="CSA42" s="31"/>
      <c r="CSB42" s="30"/>
      <c r="CSC42" s="31"/>
      <c r="CSD42" s="30"/>
      <c r="CSE42" s="31"/>
      <c r="CSF42" s="30"/>
      <c r="CSG42" s="31"/>
      <c r="CSH42" s="30"/>
      <c r="CSI42" s="31"/>
      <c r="CSJ42" s="30"/>
      <c r="CSK42" s="31"/>
      <c r="CSL42" s="30"/>
      <c r="CSM42" s="31"/>
      <c r="CSN42" s="30"/>
      <c r="CSO42" s="31"/>
      <c r="CSP42" s="30"/>
      <c r="CSQ42" s="31"/>
      <c r="CSR42" s="30"/>
      <c r="CSS42" s="31"/>
      <c r="CST42" s="30"/>
      <c r="CSU42" s="31"/>
      <c r="CSV42" s="30"/>
      <c r="CSW42" s="31"/>
      <c r="CSX42" s="30"/>
      <c r="CSY42" s="31"/>
      <c r="CSZ42" s="30"/>
      <c r="CTA42" s="31"/>
      <c r="CTB42" s="30"/>
      <c r="CTC42" s="31"/>
      <c r="CTD42" s="30"/>
      <c r="CTE42" s="31"/>
      <c r="CTF42" s="30"/>
      <c r="CTG42" s="31"/>
      <c r="CTH42" s="30"/>
      <c r="CTI42" s="31"/>
      <c r="CTJ42" s="30"/>
      <c r="CTK42" s="31"/>
      <c r="CTL42" s="30"/>
      <c r="CTM42" s="31"/>
      <c r="CTN42" s="30"/>
      <c r="CTO42" s="31"/>
      <c r="CTP42" s="30"/>
      <c r="CTQ42" s="31"/>
      <c r="CTR42" s="30"/>
      <c r="CTS42" s="31"/>
      <c r="CTT42" s="30"/>
      <c r="CTU42" s="31"/>
      <c r="CTV42" s="30"/>
      <c r="CTW42" s="31"/>
      <c r="CTX42" s="30"/>
      <c r="CTY42" s="31"/>
      <c r="CTZ42" s="30"/>
      <c r="CUA42" s="31"/>
      <c r="CUB42" s="30"/>
      <c r="CUC42" s="31"/>
      <c r="CUD42" s="30"/>
      <c r="CUE42" s="31"/>
      <c r="CUF42" s="30"/>
      <c r="CUG42" s="31"/>
      <c r="CUH42" s="30"/>
      <c r="CUI42" s="31"/>
      <c r="CUJ42" s="30"/>
      <c r="CUK42" s="31"/>
      <c r="CUL42" s="30"/>
      <c r="CUM42" s="31"/>
      <c r="CUN42" s="30"/>
      <c r="CUO42" s="31"/>
      <c r="CUP42" s="30"/>
      <c r="CUQ42" s="31"/>
      <c r="CUR42" s="30"/>
      <c r="CUS42" s="31"/>
      <c r="CUT42" s="30"/>
      <c r="CUU42" s="31"/>
      <c r="CUV42" s="30"/>
      <c r="CUW42" s="31"/>
      <c r="CUX42" s="30"/>
      <c r="CUY42" s="31"/>
      <c r="CUZ42" s="30"/>
      <c r="CVA42" s="31"/>
      <c r="CVB42" s="30"/>
      <c r="CVC42" s="31"/>
      <c r="CVD42" s="30"/>
      <c r="CVE42" s="31"/>
      <c r="CVF42" s="30"/>
      <c r="CVG42" s="31"/>
      <c r="CVH42" s="30"/>
      <c r="CVI42" s="31"/>
      <c r="CVJ42" s="30"/>
      <c r="CVK42" s="31"/>
      <c r="CVL42" s="30"/>
      <c r="CVM42" s="31"/>
      <c r="CVN42" s="30"/>
      <c r="CVO42" s="31"/>
      <c r="CVP42" s="30"/>
      <c r="CVQ42" s="31"/>
      <c r="CVR42" s="30"/>
      <c r="CVS42" s="31"/>
      <c r="CVT42" s="30"/>
      <c r="CVU42" s="31"/>
      <c r="CVV42" s="30"/>
      <c r="CVW42" s="31"/>
      <c r="CVX42" s="30"/>
      <c r="CVY42" s="31"/>
      <c r="CVZ42" s="30"/>
      <c r="CWA42" s="31"/>
      <c r="CWB42" s="30"/>
      <c r="CWC42" s="31"/>
      <c r="CWD42" s="30"/>
      <c r="CWE42" s="31"/>
      <c r="CWF42" s="30"/>
      <c r="CWG42" s="31"/>
      <c r="CWH42" s="30"/>
      <c r="CWI42" s="31"/>
      <c r="CWJ42" s="30"/>
      <c r="CWK42" s="31"/>
      <c r="CWL42" s="30"/>
      <c r="CWM42" s="31"/>
      <c r="CWN42" s="30"/>
      <c r="CWO42" s="31"/>
      <c r="CWP42" s="30"/>
      <c r="CWQ42" s="31"/>
      <c r="CWR42" s="30"/>
      <c r="CWS42" s="31"/>
      <c r="CWT42" s="30"/>
      <c r="CWU42" s="31"/>
      <c r="CWV42" s="30"/>
      <c r="CWW42" s="31"/>
      <c r="CWX42" s="30"/>
      <c r="CWY42" s="31"/>
      <c r="CWZ42" s="30"/>
      <c r="CXA42" s="31"/>
      <c r="CXB42" s="30"/>
      <c r="CXC42" s="31"/>
      <c r="CXD42" s="30"/>
      <c r="CXE42" s="31"/>
      <c r="CXF42" s="30"/>
      <c r="CXG42" s="31"/>
      <c r="CXH42" s="30"/>
      <c r="CXI42" s="31"/>
      <c r="CXJ42" s="30"/>
      <c r="CXK42" s="31"/>
      <c r="CXL42" s="30"/>
      <c r="CXM42" s="31"/>
      <c r="CXN42" s="30"/>
      <c r="CXO42" s="31"/>
      <c r="CXP42" s="30"/>
      <c r="CXQ42" s="31"/>
      <c r="CXR42" s="30"/>
      <c r="CXS42" s="31"/>
      <c r="CXT42" s="30"/>
      <c r="CXU42" s="31"/>
      <c r="CXV42" s="30"/>
      <c r="CXW42" s="31"/>
      <c r="CXX42" s="30"/>
      <c r="CXY42" s="31"/>
      <c r="CXZ42" s="30"/>
      <c r="CYA42" s="31"/>
      <c r="CYB42" s="30"/>
      <c r="CYC42" s="31"/>
      <c r="CYD42" s="30"/>
      <c r="CYE42" s="31"/>
      <c r="CYF42" s="30"/>
      <c r="CYG42" s="31"/>
      <c r="CYH42" s="30"/>
      <c r="CYI42" s="31"/>
      <c r="CYJ42" s="30"/>
      <c r="CYK42" s="31"/>
      <c r="CYL42" s="30"/>
      <c r="CYM42" s="31"/>
      <c r="CYN42" s="30"/>
      <c r="CYO42" s="31"/>
      <c r="CYP42" s="30"/>
      <c r="CYQ42" s="31"/>
      <c r="CYR42" s="30"/>
      <c r="CYS42" s="31"/>
      <c r="CYT42" s="30"/>
      <c r="CYU42" s="31"/>
      <c r="CYV42" s="30"/>
      <c r="CYW42" s="31"/>
      <c r="CYX42" s="30"/>
      <c r="CYY42" s="31"/>
      <c r="CYZ42" s="30"/>
      <c r="CZA42" s="31"/>
      <c r="CZB42" s="30"/>
      <c r="CZC42" s="31"/>
      <c r="CZD42" s="30"/>
      <c r="CZE42" s="31"/>
      <c r="CZF42" s="30"/>
      <c r="CZG42" s="31"/>
      <c r="CZH42" s="30"/>
      <c r="CZI42" s="31"/>
      <c r="CZJ42" s="30"/>
      <c r="CZK42" s="31"/>
      <c r="CZL42" s="30"/>
      <c r="CZM42" s="31"/>
      <c r="CZN42" s="30"/>
      <c r="CZO42" s="31"/>
      <c r="CZP42" s="30"/>
      <c r="CZQ42" s="31"/>
      <c r="CZR42" s="30"/>
      <c r="CZS42" s="31"/>
      <c r="CZT42" s="30"/>
      <c r="CZU42" s="31"/>
      <c r="CZV42" s="30"/>
      <c r="CZW42" s="31"/>
      <c r="CZX42" s="30"/>
      <c r="CZY42" s="31"/>
      <c r="CZZ42" s="30"/>
      <c r="DAA42" s="31"/>
      <c r="DAB42" s="30"/>
      <c r="DAC42" s="31"/>
      <c r="DAD42" s="30"/>
      <c r="DAE42" s="31"/>
      <c r="DAF42" s="30"/>
      <c r="DAG42" s="31"/>
      <c r="DAH42" s="30"/>
      <c r="DAI42" s="31"/>
      <c r="DAJ42" s="30"/>
      <c r="DAK42" s="31"/>
      <c r="DAL42" s="30"/>
      <c r="DAM42" s="31"/>
      <c r="DAN42" s="30"/>
      <c r="DAO42" s="31"/>
      <c r="DAP42" s="30"/>
      <c r="DAQ42" s="31"/>
      <c r="DAR42" s="30"/>
      <c r="DAS42" s="31"/>
      <c r="DAT42" s="30"/>
      <c r="DAU42" s="31"/>
      <c r="DAV42" s="30"/>
      <c r="DAW42" s="31"/>
      <c r="DAX42" s="30"/>
      <c r="DAY42" s="31"/>
      <c r="DAZ42" s="30"/>
      <c r="DBA42" s="31"/>
      <c r="DBB42" s="30"/>
      <c r="DBC42" s="31"/>
      <c r="DBD42" s="30"/>
      <c r="DBE42" s="31"/>
      <c r="DBF42" s="30"/>
      <c r="DBG42" s="31"/>
      <c r="DBH42" s="30"/>
      <c r="DBI42" s="31"/>
      <c r="DBJ42" s="30"/>
      <c r="DBK42" s="31"/>
      <c r="DBL42" s="30"/>
      <c r="DBM42" s="31"/>
      <c r="DBN42" s="30"/>
      <c r="DBO42" s="31"/>
      <c r="DBP42" s="30"/>
      <c r="DBQ42" s="31"/>
      <c r="DBR42" s="30"/>
      <c r="DBS42" s="31"/>
      <c r="DBT42" s="30"/>
      <c r="DBU42" s="31"/>
      <c r="DBV42" s="30"/>
      <c r="DBW42" s="31"/>
      <c r="DBX42" s="30"/>
      <c r="DBY42" s="31"/>
      <c r="DBZ42" s="30"/>
      <c r="DCA42" s="31"/>
      <c r="DCB42" s="30"/>
      <c r="DCC42" s="31"/>
      <c r="DCD42" s="30"/>
      <c r="DCE42" s="31"/>
      <c r="DCF42" s="30"/>
      <c r="DCG42" s="31"/>
      <c r="DCH42" s="30"/>
      <c r="DCI42" s="31"/>
      <c r="DCJ42" s="30"/>
      <c r="DCK42" s="31"/>
      <c r="DCL42" s="30"/>
      <c r="DCM42" s="31"/>
      <c r="DCN42" s="30"/>
      <c r="DCO42" s="31"/>
      <c r="DCP42" s="30"/>
      <c r="DCQ42" s="31"/>
      <c r="DCR42" s="30"/>
      <c r="DCS42" s="31"/>
      <c r="DCT42" s="30"/>
      <c r="DCU42" s="31"/>
      <c r="DCV42" s="30"/>
      <c r="DCW42" s="31"/>
      <c r="DCX42" s="30"/>
      <c r="DCY42" s="31"/>
      <c r="DCZ42" s="30"/>
      <c r="DDA42" s="31"/>
      <c r="DDB42" s="30"/>
      <c r="DDC42" s="31"/>
      <c r="DDD42" s="30"/>
      <c r="DDE42" s="31"/>
      <c r="DDF42" s="30"/>
      <c r="DDG42" s="31"/>
      <c r="DDH42" s="30"/>
      <c r="DDI42" s="31"/>
      <c r="DDJ42" s="30"/>
      <c r="DDK42" s="31"/>
      <c r="DDL42" s="30"/>
      <c r="DDM42" s="31"/>
      <c r="DDN42" s="30"/>
      <c r="DDO42" s="31"/>
      <c r="DDP42" s="30"/>
      <c r="DDQ42" s="31"/>
      <c r="DDR42" s="30"/>
      <c r="DDS42" s="31"/>
      <c r="DDT42" s="30"/>
      <c r="DDU42" s="31"/>
      <c r="DDV42" s="30"/>
      <c r="DDW42" s="31"/>
      <c r="DDX42" s="30"/>
      <c r="DDY42" s="31"/>
      <c r="DDZ42" s="30"/>
      <c r="DEA42" s="31"/>
      <c r="DEB42" s="30"/>
      <c r="DEC42" s="31"/>
      <c r="DED42" s="30"/>
      <c r="DEE42" s="31"/>
      <c r="DEF42" s="30"/>
      <c r="DEG42" s="31"/>
      <c r="DEH42" s="30"/>
      <c r="DEI42" s="31"/>
      <c r="DEJ42" s="30"/>
      <c r="DEK42" s="31"/>
      <c r="DEL42" s="30"/>
      <c r="DEM42" s="31"/>
      <c r="DEN42" s="30"/>
      <c r="DEO42" s="31"/>
      <c r="DEP42" s="30"/>
      <c r="DEQ42" s="31"/>
      <c r="DER42" s="30"/>
      <c r="DES42" s="31"/>
      <c r="DET42" s="30"/>
      <c r="DEU42" s="31"/>
      <c r="DEV42" s="30"/>
      <c r="DEW42" s="31"/>
      <c r="DEX42" s="30"/>
      <c r="DEY42" s="31"/>
      <c r="DEZ42" s="30"/>
      <c r="DFA42" s="31"/>
      <c r="DFB42" s="30"/>
      <c r="DFC42" s="31"/>
      <c r="DFD42" s="30"/>
      <c r="DFE42" s="31"/>
      <c r="DFF42" s="30"/>
      <c r="DFG42" s="31"/>
      <c r="DFH42" s="30"/>
      <c r="DFI42" s="31"/>
      <c r="DFJ42" s="30"/>
      <c r="DFK42" s="31"/>
      <c r="DFL42" s="30"/>
      <c r="DFM42" s="31"/>
      <c r="DFN42" s="30"/>
      <c r="DFO42" s="31"/>
      <c r="DFP42" s="30"/>
      <c r="DFQ42" s="31"/>
      <c r="DFR42" s="30"/>
      <c r="DFS42" s="31"/>
      <c r="DFT42" s="30"/>
      <c r="DFU42" s="31"/>
      <c r="DFV42" s="30"/>
      <c r="DFW42" s="31"/>
      <c r="DFX42" s="30"/>
      <c r="DFY42" s="31"/>
      <c r="DFZ42" s="30"/>
      <c r="DGA42" s="31"/>
      <c r="DGB42" s="30"/>
      <c r="DGC42" s="31"/>
      <c r="DGD42" s="30"/>
      <c r="DGE42" s="31"/>
      <c r="DGF42" s="30"/>
      <c r="DGG42" s="31"/>
      <c r="DGH42" s="30"/>
      <c r="DGI42" s="31"/>
      <c r="DGJ42" s="30"/>
      <c r="DGK42" s="31"/>
      <c r="DGL42" s="30"/>
      <c r="DGM42" s="31"/>
      <c r="DGN42" s="30"/>
      <c r="DGO42" s="31"/>
      <c r="DGP42" s="30"/>
      <c r="DGQ42" s="31"/>
      <c r="DGR42" s="30"/>
      <c r="DGS42" s="31"/>
      <c r="DGT42" s="30"/>
      <c r="DGU42" s="31"/>
      <c r="DGV42" s="30"/>
      <c r="DGW42" s="31"/>
      <c r="DGX42" s="30"/>
      <c r="DGY42" s="31"/>
      <c r="DGZ42" s="30"/>
      <c r="DHA42" s="31"/>
      <c r="DHB42" s="30"/>
      <c r="DHC42" s="31"/>
      <c r="DHD42" s="30"/>
      <c r="DHE42" s="31"/>
      <c r="DHF42" s="30"/>
      <c r="DHG42" s="31"/>
      <c r="DHH42" s="30"/>
      <c r="DHI42" s="31"/>
      <c r="DHJ42" s="30"/>
      <c r="DHK42" s="31"/>
      <c r="DHL42" s="30"/>
      <c r="DHM42" s="31"/>
      <c r="DHN42" s="30"/>
      <c r="DHO42" s="31"/>
      <c r="DHP42" s="30"/>
      <c r="DHQ42" s="31"/>
      <c r="DHR42" s="30"/>
      <c r="DHS42" s="31"/>
      <c r="DHT42" s="30"/>
      <c r="DHU42" s="31"/>
      <c r="DHV42" s="30"/>
      <c r="DHW42" s="31"/>
      <c r="DHX42" s="30"/>
      <c r="DHY42" s="31"/>
      <c r="DHZ42" s="30"/>
      <c r="DIA42" s="31"/>
      <c r="DIB42" s="30"/>
      <c r="DIC42" s="31"/>
      <c r="DID42" s="30"/>
      <c r="DIE42" s="31"/>
      <c r="DIF42" s="30"/>
      <c r="DIG42" s="31"/>
      <c r="DIH42" s="30"/>
      <c r="DII42" s="31"/>
      <c r="DIJ42" s="30"/>
      <c r="DIK42" s="31"/>
      <c r="DIL42" s="30"/>
      <c r="DIM42" s="31"/>
      <c r="DIN42" s="30"/>
      <c r="DIO42" s="31"/>
      <c r="DIP42" s="30"/>
      <c r="DIQ42" s="31"/>
      <c r="DIR42" s="30"/>
      <c r="DIS42" s="31"/>
      <c r="DIT42" s="30"/>
      <c r="DIU42" s="31"/>
      <c r="DIV42" s="30"/>
      <c r="DIW42" s="31"/>
      <c r="DIX42" s="30"/>
      <c r="DIY42" s="31"/>
      <c r="DIZ42" s="30"/>
      <c r="DJA42" s="31"/>
      <c r="DJB42" s="30"/>
      <c r="DJC42" s="31"/>
      <c r="DJD42" s="30"/>
      <c r="DJE42" s="31"/>
      <c r="DJF42" s="30"/>
      <c r="DJG42" s="31"/>
      <c r="DJH42" s="30"/>
      <c r="DJI42" s="31"/>
      <c r="DJJ42" s="30"/>
      <c r="DJK42" s="31"/>
      <c r="DJL42" s="30"/>
      <c r="DJM42" s="31"/>
      <c r="DJN42" s="30"/>
      <c r="DJO42" s="31"/>
      <c r="DJP42" s="30"/>
      <c r="DJQ42" s="31"/>
      <c r="DJR42" s="30"/>
      <c r="DJS42" s="31"/>
      <c r="DJT42" s="30"/>
      <c r="DJU42" s="31"/>
      <c r="DJV42" s="30"/>
      <c r="DJW42" s="31"/>
      <c r="DJX42" s="30"/>
      <c r="DJY42" s="31"/>
      <c r="DJZ42" s="30"/>
      <c r="DKA42" s="31"/>
      <c r="DKB42" s="30"/>
      <c r="DKC42" s="31"/>
      <c r="DKD42" s="30"/>
      <c r="DKE42" s="31"/>
      <c r="DKF42" s="30"/>
      <c r="DKG42" s="31"/>
      <c r="DKH42" s="30"/>
      <c r="DKI42" s="31"/>
      <c r="DKJ42" s="30"/>
      <c r="DKK42" s="31"/>
      <c r="DKL42" s="30"/>
      <c r="DKM42" s="31"/>
      <c r="DKN42" s="30"/>
      <c r="DKO42" s="31"/>
      <c r="DKP42" s="30"/>
      <c r="DKQ42" s="31"/>
      <c r="DKR42" s="30"/>
      <c r="DKS42" s="31"/>
      <c r="DKT42" s="30"/>
      <c r="DKU42" s="31"/>
      <c r="DKV42" s="30"/>
      <c r="DKW42" s="31"/>
      <c r="DKX42" s="30"/>
      <c r="DKY42" s="31"/>
      <c r="DKZ42" s="30"/>
      <c r="DLA42" s="31"/>
      <c r="DLB42" s="30"/>
      <c r="DLC42" s="31"/>
      <c r="DLD42" s="30"/>
      <c r="DLE42" s="31"/>
      <c r="DLF42" s="30"/>
      <c r="DLG42" s="31"/>
      <c r="DLH42" s="30"/>
      <c r="DLI42" s="31"/>
      <c r="DLJ42" s="30"/>
      <c r="DLK42" s="31"/>
      <c r="DLL42" s="30"/>
      <c r="DLM42" s="31"/>
      <c r="DLN42" s="30"/>
      <c r="DLO42" s="31"/>
      <c r="DLP42" s="30"/>
      <c r="DLQ42" s="31"/>
      <c r="DLR42" s="30"/>
      <c r="DLS42" s="31"/>
      <c r="DLT42" s="30"/>
      <c r="DLU42" s="31"/>
      <c r="DLV42" s="30"/>
      <c r="DLW42" s="31"/>
      <c r="DLX42" s="30"/>
      <c r="DLY42" s="31"/>
      <c r="DLZ42" s="30"/>
      <c r="DMA42" s="31"/>
      <c r="DMB42" s="30"/>
      <c r="DMC42" s="31"/>
      <c r="DMD42" s="30"/>
      <c r="DME42" s="31"/>
      <c r="DMF42" s="30"/>
      <c r="DMG42" s="31"/>
      <c r="DMH42" s="30"/>
      <c r="DMI42" s="31"/>
      <c r="DMJ42" s="30"/>
      <c r="DMK42" s="31"/>
      <c r="DML42" s="30"/>
      <c r="DMM42" s="31"/>
      <c r="DMN42" s="30"/>
      <c r="DMO42" s="31"/>
      <c r="DMP42" s="30"/>
      <c r="DMQ42" s="31"/>
      <c r="DMR42" s="30"/>
      <c r="DMS42" s="31"/>
      <c r="DMT42" s="30"/>
      <c r="DMU42" s="31"/>
      <c r="DMV42" s="30"/>
      <c r="DMW42" s="31"/>
      <c r="DMX42" s="30"/>
      <c r="DMY42" s="31"/>
      <c r="DMZ42" s="30"/>
      <c r="DNA42" s="31"/>
      <c r="DNB42" s="30"/>
      <c r="DNC42" s="31"/>
      <c r="DND42" s="30"/>
      <c r="DNE42" s="31"/>
      <c r="DNF42" s="30"/>
      <c r="DNG42" s="31"/>
      <c r="DNH42" s="30"/>
      <c r="DNI42" s="31"/>
      <c r="DNJ42" s="30"/>
      <c r="DNK42" s="31"/>
      <c r="DNL42" s="30"/>
      <c r="DNM42" s="31"/>
      <c r="DNN42" s="30"/>
      <c r="DNO42" s="31"/>
      <c r="DNP42" s="30"/>
      <c r="DNQ42" s="31"/>
      <c r="DNR42" s="30"/>
      <c r="DNS42" s="31"/>
      <c r="DNT42" s="30"/>
      <c r="DNU42" s="31"/>
      <c r="DNV42" s="30"/>
      <c r="DNW42" s="31"/>
      <c r="DNX42" s="30"/>
      <c r="DNY42" s="31"/>
      <c r="DNZ42" s="30"/>
      <c r="DOA42" s="31"/>
      <c r="DOB42" s="30"/>
      <c r="DOC42" s="31"/>
      <c r="DOD42" s="30"/>
      <c r="DOE42" s="31"/>
      <c r="DOF42" s="30"/>
      <c r="DOG42" s="31"/>
      <c r="DOH42" s="30"/>
      <c r="DOI42" s="31"/>
      <c r="DOJ42" s="30"/>
      <c r="DOK42" s="31"/>
      <c r="DOL42" s="30"/>
      <c r="DOM42" s="31"/>
      <c r="DON42" s="30"/>
      <c r="DOO42" s="31"/>
      <c r="DOP42" s="30"/>
      <c r="DOQ42" s="31"/>
      <c r="DOR42" s="30"/>
      <c r="DOS42" s="31"/>
      <c r="DOT42" s="30"/>
      <c r="DOU42" s="31"/>
      <c r="DOV42" s="30"/>
      <c r="DOW42" s="31"/>
      <c r="DOX42" s="30"/>
      <c r="DOY42" s="31"/>
      <c r="DOZ42" s="30"/>
      <c r="DPA42" s="31"/>
      <c r="DPB42" s="30"/>
      <c r="DPC42" s="31"/>
      <c r="DPD42" s="30"/>
      <c r="DPE42" s="31"/>
      <c r="DPF42" s="30"/>
      <c r="DPG42" s="31"/>
      <c r="DPH42" s="30"/>
      <c r="DPI42" s="31"/>
      <c r="DPJ42" s="30"/>
      <c r="DPK42" s="31"/>
      <c r="DPL42" s="30"/>
      <c r="DPM42" s="31"/>
      <c r="DPN42" s="30"/>
      <c r="DPO42" s="31"/>
      <c r="DPP42" s="30"/>
      <c r="DPQ42" s="31"/>
      <c r="DPR42" s="30"/>
      <c r="DPS42" s="31"/>
      <c r="DPT42" s="30"/>
      <c r="DPU42" s="31"/>
      <c r="DPV42" s="30"/>
      <c r="DPW42" s="31"/>
      <c r="DPX42" s="30"/>
      <c r="DPY42" s="31"/>
      <c r="DPZ42" s="30"/>
      <c r="DQA42" s="31"/>
      <c r="DQB42" s="30"/>
      <c r="DQC42" s="31"/>
      <c r="DQD42" s="30"/>
      <c r="DQE42" s="31"/>
      <c r="DQF42" s="30"/>
      <c r="DQG42" s="31"/>
      <c r="DQH42" s="30"/>
      <c r="DQI42" s="31"/>
      <c r="DQJ42" s="30"/>
      <c r="DQK42" s="31"/>
      <c r="DQL42" s="30"/>
      <c r="DQM42" s="31"/>
      <c r="DQN42" s="30"/>
      <c r="DQO42" s="31"/>
      <c r="DQP42" s="30"/>
      <c r="DQQ42" s="31"/>
      <c r="DQR42" s="30"/>
      <c r="DQS42" s="31"/>
      <c r="DQT42" s="30"/>
      <c r="DQU42" s="31"/>
      <c r="DQV42" s="30"/>
      <c r="DQW42" s="31"/>
      <c r="DQX42" s="30"/>
      <c r="DQY42" s="31"/>
      <c r="DQZ42" s="30"/>
      <c r="DRA42" s="31"/>
      <c r="DRB42" s="30"/>
      <c r="DRC42" s="31"/>
      <c r="DRD42" s="30"/>
      <c r="DRE42" s="31"/>
      <c r="DRF42" s="30"/>
      <c r="DRG42" s="31"/>
      <c r="DRH42" s="30"/>
      <c r="DRI42" s="31"/>
      <c r="DRJ42" s="30"/>
      <c r="DRK42" s="31"/>
      <c r="DRL42" s="30"/>
      <c r="DRM42" s="31"/>
      <c r="DRN42" s="30"/>
      <c r="DRO42" s="31"/>
      <c r="DRP42" s="30"/>
      <c r="DRQ42" s="31"/>
      <c r="DRR42" s="30"/>
      <c r="DRS42" s="31"/>
      <c r="DRT42" s="30"/>
      <c r="DRU42" s="31"/>
      <c r="DRV42" s="30"/>
      <c r="DRW42" s="31"/>
      <c r="DRX42" s="30"/>
      <c r="DRY42" s="31"/>
      <c r="DRZ42" s="30"/>
      <c r="DSA42" s="31"/>
      <c r="DSB42" s="30"/>
      <c r="DSC42" s="31"/>
      <c r="DSD42" s="30"/>
      <c r="DSE42" s="31"/>
      <c r="DSF42" s="30"/>
      <c r="DSG42" s="31"/>
      <c r="DSH42" s="30"/>
      <c r="DSI42" s="31"/>
      <c r="DSJ42" s="30"/>
      <c r="DSK42" s="31"/>
      <c r="DSL42" s="30"/>
      <c r="DSM42" s="31"/>
      <c r="DSN42" s="30"/>
      <c r="DSO42" s="31"/>
      <c r="DSP42" s="30"/>
      <c r="DSQ42" s="31"/>
      <c r="DSR42" s="30"/>
      <c r="DSS42" s="31"/>
      <c r="DST42" s="30"/>
      <c r="DSU42" s="31"/>
      <c r="DSV42" s="30"/>
      <c r="DSW42" s="31"/>
      <c r="DSX42" s="30"/>
      <c r="DSY42" s="31"/>
      <c r="DSZ42" s="30"/>
      <c r="DTA42" s="31"/>
      <c r="DTB42" s="30"/>
      <c r="DTC42" s="31"/>
      <c r="DTD42" s="30"/>
      <c r="DTE42" s="31"/>
      <c r="DTF42" s="30"/>
      <c r="DTG42" s="31"/>
      <c r="DTH42" s="30"/>
      <c r="DTI42" s="31"/>
      <c r="DTJ42" s="30"/>
      <c r="DTK42" s="31"/>
      <c r="DTL42" s="30"/>
      <c r="DTM42" s="31"/>
      <c r="DTN42" s="30"/>
      <c r="DTO42" s="31"/>
      <c r="DTP42" s="30"/>
      <c r="DTQ42" s="31"/>
      <c r="DTR42" s="30"/>
      <c r="DTS42" s="31"/>
      <c r="DTT42" s="30"/>
      <c r="DTU42" s="31"/>
      <c r="DTV42" s="30"/>
      <c r="DTW42" s="31"/>
      <c r="DTX42" s="30"/>
      <c r="DTY42" s="31"/>
      <c r="DTZ42" s="30"/>
      <c r="DUA42" s="31"/>
      <c r="DUB42" s="30"/>
      <c r="DUC42" s="31"/>
      <c r="DUD42" s="30"/>
      <c r="DUE42" s="31"/>
      <c r="DUF42" s="30"/>
      <c r="DUG42" s="31"/>
      <c r="DUH42" s="30"/>
      <c r="DUI42" s="31"/>
      <c r="DUJ42" s="30"/>
      <c r="DUK42" s="31"/>
      <c r="DUL42" s="30"/>
      <c r="DUM42" s="31"/>
      <c r="DUN42" s="30"/>
      <c r="DUO42" s="31"/>
      <c r="DUP42" s="30"/>
      <c r="DUQ42" s="31"/>
      <c r="DUR42" s="30"/>
      <c r="DUS42" s="31"/>
      <c r="DUT42" s="30"/>
      <c r="DUU42" s="31"/>
      <c r="DUV42" s="30"/>
      <c r="DUW42" s="31"/>
      <c r="DUX42" s="30"/>
      <c r="DUY42" s="31"/>
      <c r="DUZ42" s="30"/>
      <c r="DVA42" s="31"/>
      <c r="DVB42" s="30"/>
      <c r="DVC42" s="31"/>
      <c r="DVD42" s="30"/>
      <c r="DVE42" s="31"/>
      <c r="DVF42" s="30"/>
      <c r="DVG42" s="31"/>
      <c r="DVH42" s="30"/>
      <c r="DVI42" s="31"/>
      <c r="DVJ42" s="30"/>
      <c r="DVK42" s="31"/>
      <c r="DVL42" s="30"/>
      <c r="DVM42" s="31"/>
      <c r="DVN42" s="30"/>
      <c r="DVO42" s="31"/>
      <c r="DVP42" s="30"/>
      <c r="DVQ42" s="31"/>
      <c r="DVR42" s="30"/>
      <c r="DVS42" s="31"/>
      <c r="DVT42" s="30"/>
      <c r="DVU42" s="31"/>
      <c r="DVV42" s="30"/>
      <c r="DVW42" s="31"/>
      <c r="DVX42" s="30"/>
      <c r="DVY42" s="31"/>
      <c r="DVZ42" s="30"/>
      <c r="DWA42" s="31"/>
      <c r="DWB42" s="30"/>
      <c r="DWC42" s="31"/>
      <c r="DWD42" s="30"/>
      <c r="DWE42" s="31"/>
      <c r="DWF42" s="30"/>
      <c r="DWG42" s="31"/>
      <c r="DWH42" s="30"/>
      <c r="DWI42" s="31"/>
      <c r="DWJ42" s="30"/>
      <c r="DWK42" s="31"/>
      <c r="DWL42" s="30"/>
      <c r="DWM42" s="31"/>
      <c r="DWN42" s="30"/>
      <c r="DWO42" s="31"/>
      <c r="DWP42" s="30"/>
      <c r="DWQ42" s="31"/>
      <c r="DWR42" s="30"/>
      <c r="DWS42" s="31"/>
      <c r="DWT42" s="30"/>
      <c r="DWU42" s="31"/>
      <c r="DWV42" s="30"/>
      <c r="DWW42" s="31"/>
      <c r="DWX42" s="30"/>
      <c r="DWY42" s="31"/>
      <c r="DWZ42" s="30"/>
      <c r="DXA42" s="31"/>
      <c r="DXB42" s="30"/>
      <c r="DXC42" s="31"/>
      <c r="DXD42" s="30"/>
      <c r="DXE42" s="31"/>
      <c r="DXF42" s="30"/>
      <c r="DXG42" s="31"/>
      <c r="DXH42" s="30"/>
      <c r="DXI42" s="31"/>
      <c r="DXJ42" s="30"/>
      <c r="DXK42" s="31"/>
      <c r="DXL42" s="30"/>
      <c r="DXM42" s="31"/>
      <c r="DXN42" s="30"/>
      <c r="DXO42" s="31"/>
      <c r="DXP42" s="30"/>
      <c r="DXQ42" s="31"/>
      <c r="DXR42" s="30"/>
      <c r="DXS42" s="31"/>
      <c r="DXT42" s="30"/>
      <c r="DXU42" s="31"/>
      <c r="DXV42" s="30"/>
      <c r="DXW42" s="31"/>
      <c r="DXX42" s="30"/>
      <c r="DXY42" s="31"/>
      <c r="DXZ42" s="30"/>
      <c r="DYA42" s="31"/>
      <c r="DYB42" s="30"/>
      <c r="DYC42" s="31"/>
      <c r="DYD42" s="30"/>
      <c r="DYE42" s="31"/>
      <c r="DYF42" s="30"/>
      <c r="DYG42" s="31"/>
      <c r="DYH42" s="30"/>
      <c r="DYI42" s="31"/>
      <c r="DYJ42" s="30"/>
      <c r="DYK42" s="31"/>
      <c r="DYL42" s="30"/>
      <c r="DYM42" s="31"/>
      <c r="DYN42" s="30"/>
      <c r="DYO42" s="31"/>
      <c r="DYP42" s="30"/>
      <c r="DYQ42" s="31"/>
      <c r="DYR42" s="30"/>
      <c r="DYS42" s="31"/>
      <c r="DYT42" s="30"/>
      <c r="DYU42" s="31"/>
      <c r="DYV42" s="30"/>
      <c r="DYW42" s="31"/>
      <c r="DYX42" s="30"/>
      <c r="DYY42" s="31"/>
      <c r="DYZ42" s="30"/>
      <c r="DZA42" s="31"/>
      <c r="DZB42" s="30"/>
      <c r="DZC42" s="31"/>
      <c r="DZD42" s="30"/>
      <c r="DZE42" s="31"/>
      <c r="DZF42" s="30"/>
      <c r="DZG42" s="31"/>
      <c r="DZH42" s="30"/>
      <c r="DZI42" s="31"/>
      <c r="DZJ42" s="30"/>
      <c r="DZK42" s="31"/>
      <c r="DZL42" s="30"/>
      <c r="DZM42" s="31"/>
      <c r="DZN42" s="30"/>
      <c r="DZO42" s="31"/>
      <c r="DZP42" s="30"/>
      <c r="DZQ42" s="31"/>
      <c r="DZR42" s="30"/>
      <c r="DZS42" s="31"/>
      <c r="DZT42" s="30"/>
      <c r="DZU42" s="31"/>
      <c r="DZV42" s="30"/>
      <c r="DZW42" s="31"/>
      <c r="DZX42" s="30"/>
      <c r="DZY42" s="31"/>
      <c r="DZZ42" s="30"/>
      <c r="EAA42" s="31"/>
      <c r="EAB42" s="30"/>
      <c r="EAC42" s="31"/>
      <c r="EAD42" s="30"/>
      <c r="EAE42" s="31"/>
      <c r="EAF42" s="30"/>
      <c r="EAG42" s="31"/>
      <c r="EAH42" s="30"/>
      <c r="EAI42" s="31"/>
      <c r="EAJ42" s="30"/>
      <c r="EAK42" s="31"/>
      <c r="EAL42" s="30"/>
      <c r="EAM42" s="31"/>
      <c r="EAN42" s="30"/>
      <c r="EAO42" s="31"/>
      <c r="EAP42" s="30"/>
      <c r="EAQ42" s="31"/>
      <c r="EAR42" s="30"/>
      <c r="EAS42" s="31"/>
      <c r="EAT42" s="30"/>
      <c r="EAU42" s="31"/>
      <c r="EAV42" s="30"/>
      <c r="EAW42" s="31"/>
      <c r="EAX42" s="30"/>
      <c r="EAY42" s="31"/>
      <c r="EAZ42" s="30"/>
      <c r="EBA42" s="31"/>
      <c r="EBB42" s="30"/>
      <c r="EBC42" s="31"/>
      <c r="EBD42" s="30"/>
      <c r="EBE42" s="31"/>
      <c r="EBF42" s="30"/>
      <c r="EBG42" s="31"/>
      <c r="EBH42" s="30"/>
      <c r="EBI42" s="31"/>
      <c r="EBJ42" s="30"/>
      <c r="EBK42" s="31"/>
      <c r="EBL42" s="30"/>
      <c r="EBM42" s="31"/>
      <c r="EBN42" s="30"/>
      <c r="EBO42" s="31"/>
      <c r="EBP42" s="30"/>
      <c r="EBQ42" s="31"/>
      <c r="EBR42" s="30"/>
      <c r="EBS42" s="31"/>
      <c r="EBT42" s="30"/>
      <c r="EBU42" s="31"/>
      <c r="EBV42" s="30"/>
      <c r="EBW42" s="31"/>
      <c r="EBX42" s="30"/>
      <c r="EBY42" s="31"/>
      <c r="EBZ42" s="30"/>
      <c r="ECA42" s="31"/>
      <c r="ECB42" s="30"/>
      <c r="ECC42" s="31"/>
      <c r="ECD42" s="30"/>
      <c r="ECE42" s="31"/>
      <c r="ECF42" s="30"/>
      <c r="ECG42" s="31"/>
      <c r="ECH42" s="30"/>
      <c r="ECI42" s="31"/>
      <c r="ECJ42" s="30"/>
      <c r="ECK42" s="31"/>
      <c r="ECL42" s="30"/>
      <c r="ECM42" s="31"/>
      <c r="ECN42" s="30"/>
      <c r="ECO42" s="31"/>
      <c r="ECP42" s="30"/>
      <c r="ECQ42" s="31"/>
      <c r="ECR42" s="30"/>
      <c r="ECS42" s="31"/>
      <c r="ECT42" s="30"/>
      <c r="ECU42" s="31"/>
      <c r="ECV42" s="30"/>
      <c r="ECW42" s="31"/>
      <c r="ECX42" s="30"/>
      <c r="ECY42" s="31"/>
      <c r="ECZ42" s="30"/>
      <c r="EDA42" s="31"/>
      <c r="EDB42" s="30"/>
      <c r="EDC42" s="31"/>
      <c r="EDD42" s="30"/>
      <c r="EDE42" s="31"/>
      <c r="EDF42" s="30"/>
      <c r="EDG42" s="31"/>
      <c r="EDH42" s="30"/>
      <c r="EDI42" s="31"/>
      <c r="EDJ42" s="30"/>
      <c r="EDK42" s="31"/>
      <c r="EDL42" s="30"/>
      <c r="EDM42" s="31"/>
      <c r="EDN42" s="30"/>
      <c r="EDO42" s="31"/>
      <c r="EDP42" s="30"/>
      <c r="EDQ42" s="31"/>
      <c r="EDR42" s="30"/>
      <c r="EDS42" s="31"/>
      <c r="EDT42" s="30"/>
      <c r="EDU42" s="31"/>
      <c r="EDV42" s="30"/>
      <c r="EDW42" s="31"/>
      <c r="EDX42" s="30"/>
      <c r="EDY42" s="31"/>
      <c r="EDZ42" s="30"/>
      <c r="EEA42" s="31"/>
      <c r="EEB42" s="30"/>
      <c r="EEC42" s="31"/>
      <c r="EED42" s="30"/>
      <c r="EEE42" s="31"/>
      <c r="EEF42" s="30"/>
      <c r="EEG42" s="31"/>
      <c r="EEH42" s="30"/>
      <c r="EEI42" s="31"/>
      <c r="EEJ42" s="30"/>
      <c r="EEK42" s="31"/>
      <c r="EEL42" s="30"/>
      <c r="EEM42" s="31"/>
      <c r="EEN42" s="30"/>
      <c r="EEO42" s="31"/>
      <c r="EEP42" s="30"/>
      <c r="EEQ42" s="31"/>
      <c r="EER42" s="30"/>
      <c r="EES42" s="31"/>
      <c r="EET42" s="30"/>
      <c r="EEU42" s="31"/>
      <c r="EEV42" s="30"/>
      <c r="EEW42" s="31"/>
      <c r="EEX42" s="30"/>
      <c r="EEY42" s="31"/>
      <c r="EEZ42" s="30"/>
      <c r="EFA42" s="31"/>
      <c r="EFB42" s="30"/>
      <c r="EFC42" s="31"/>
      <c r="EFD42" s="30"/>
      <c r="EFE42" s="31"/>
      <c r="EFF42" s="30"/>
      <c r="EFG42" s="31"/>
      <c r="EFH42" s="30"/>
      <c r="EFI42" s="31"/>
      <c r="EFJ42" s="30"/>
      <c r="EFK42" s="31"/>
      <c r="EFL42" s="30"/>
      <c r="EFM42" s="31"/>
      <c r="EFN42" s="30"/>
      <c r="EFO42" s="31"/>
      <c r="EFP42" s="30"/>
      <c r="EFQ42" s="31"/>
      <c r="EFR42" s="30"/>
      <c r="EFS42" s="31"/>
      <c r="EFT42" s="30"/>
      <c r="EFU42" s="31"/>
      <c r="EFV42" s="30"/>
      <c r="EFW42" s="31"/>
      <c r="EFX42" s="30"/>
      <c r="EFY42" s="31"/>
      <c r="EFZ42" s="30"/>
      <c r="EGA42" s="31"/>
      <c r="EGB42" s="30"/>
      <c r="EGC42" s="31"/>
      <c r="EGD42" s="30"/>
      <c r="EGE42" s="31"/>
      <c r="EGF42" s="30"/>
      <c r="EGG42" s="31"/>
      <c r="EGH42" s="30"/>
      <c r="EGI42" s="31"/>
      <c r="EGJ42" s="30"/>
      <c r="EGK42" s="31"/>
      <c r="EGL42" s="30"/>
      <c r="EGM42" s="31"/>
      <c r="EGN42" s="30"/>
      <c r="EGO42" s="31"/>
      <c r="EGP42" s="30"/>
      <c r="EGQ42" s="31"/>
      <c r="EGR42" s="30"/>
      <c r="EGS42" s="31"/>
      <c r="EGT42" s="30"/>
      <c r="EGU42" s="31"/>
      <c r="EGV42" s="30"/>
      <c r="EGW42" s="31"/>
      <c r="EGX42" s="30"/>
      <c r="EGY42" s="31"/>
      <c r="EGZ42" s="30"/>
      <c r="EHA42" s="31"/>
      <c r="EHB42" s="30"/>
      <c r="EHC42" s="31"/>
      <c r="EHD42" s="30"/>
      <c r="EHE42" s="31"/>
      <c r="EHF42" s="30"/>
      <c r="EHG42" s="31"/>
      <c r="EHH42" s="30"/>
      <c r="EHI42" s="31"/>
      <c r="EHJ42" s="30"/>
      <c r="EHK42" s="31"/>
      <c r="EHL42" s="30"/>
      <c r="EHM42" s="31"/>
      <c r="EHN42" s="30"/>
      <c r="EHO42" s="31"/>
      <c r="EHP42" s="30"/>
      <c r="EHQ42" s="31"/>
      <c r="EHR42" s="30"/>
      <c r="EHS42" s="31"/>
      <c r="EHT42" s="30"/>
      <c r="EHU42" s="31"/>
      <c r="EHV42" s="30"/>
      <c r="EHW42" s="31"/>
      <c r="EHX42" s="30"/>
      <c r="EHY42" s="31"/>
      <c r="EHZ42" s="30"/>
      <c r="EIA42" s="31"/>
      <c r="EIB42" s="30"/>
      <c r="EIC42" s="31"/>
      <c r="EID42" s="30"/>
      <c r="EIE42" s="31"/>
      <c r="EIF42" s="30"/>
      <c r="EIG42" s="31"/>
      <c r="EIH42" s="30"/>
      <c r="EII42" s="31"/>
      <c r="EIJ42" s="30"/>
      <c r="EIK42" s="31"/>
      <c r="EIL42" s="30"/>
      <c r="EIM42" s="31"/>
      <c r="EIN42" s="30"/>
      <c r="EIO42" s="31"/>
      <c r="EIP42" s="30"/>
      <c r="EIQ42" s="31"/>
      <c r="EIR42" s="30"/>
      <c r="EIS42" s="31"/>
      <c r="EIT42" s="30"/>
      <c r="EIU42" s="31"/>
      <c r="EIV42" s="30"/>
      <c r="EIW42" s="31"/>
      <c r="EIX42" s="30"/>
      <c r="EIY42" s="31"/>
      <c r="EIZ42" s="30"/>
      <c r="EJA42" s="31"/>
      <c r="EJB42" s="30"/>
      <c r="EJC42" s="31"/>
      <c r="EJD42" s="30"/>
      <c r="EJE42" s="31"/>
      <c r="EJF42" s="30"/>
      <c r="EJG42" s="31"/>
      <c r="EJH42" s="30"/>
      <c r="EJI42" s="31"/>
      <c r="EJJ42" s="30"/>
      <c r="EJK42" s="31"/>
      <c r="EJL42" s="30"/>
      <c r="EJM42" s="31"/>
      <c r="EJN42" s="30"/>
      <c r="EJO42" s="31"/>
      <c r="EJP42" s="30"/>
      <c r="EJQ42" s="31"/>
      <c r="EJR42" s="30"/>
      <c r="EJS42" s="31"/>
      <c r="EJT42" s="30"/>
      <c r="EJU42" s="31"/>
      <c r="EJV42" s="30"/>
      <c r="EJW42" s="31"/>
      <c r="EJX42" s="30"/>
      <c r="EJY42" s="31"/>
      <c r="EJZ42" s="30"/>
      <c r="EKA42" s="31"/>
      <c r="EKB42" s="30"/>
      <c r="EKC42" s="31"/>
      <c r="EKD42" s="30"/>
      <c r="EKE42" s="31"/>
      <c r="EKF42" s="30"/>
      <c r="EKG42" s="31"/>
      <c r="EKH42" s="30"/>
      <c r="EKI42" s="31"/>
      <c r="EKJ42" s="30"/>
      <c r="EKK42" s="31"/>
      <c r="EKL42" s="30"/>
      <c r="EKM42" s="31"/>
      <c r="EKN42" s="30"/>
      <c r="EKO42" s="31"/>
      <c r="EKP42" s="30"/>
      <c r="EKQ42" s="31"/>
      <c r="EKR42" s="30"/>
      <c r="EKS42" s="31"/>
      <c r="EKT42" s="30"/>
      <c r="EKU42" s="31"/>
      <c r="EKV42" s="30"/>
      <c r="EKW42" s="31"/>
      <c r="EKX42" s="30"/>
      <c r="EKY42" s="31"/>
      <c r="EKZ42" s="30"/>
      <c r="ELA42" s="31"/>
      <c r="ELB42" s="30"/>
      <c r="ELC42" s="31"/>
      <c r="ELD42" s="30"/>
      <c r="ELE42" s="31"/>
      <c r="ELF42" s="30"/>
      <c r="ELG42" s="31"/>
      <c r="ELH42" s="30"/>
      <c r="ELI42" s="31"/>
      <c r="ELJ42" s="30"/>
      <c r="ELK42" s="31"/>
      <c r="ELL42" s="30"/>
      <c r="ELM42" s="31"/>
      <c r="ELN42" s="30"/>
      <c r="ELO42" s="31"/>
      <c r="ELP42" s="30"/>
      <c r="ELQ42" s="31"/>
      <c r="ELR42" s="30"/>
      <c r="ELS42" s="31"/>
      <c r="ELT42" s="30"/>
      <c r="ELU42" s="31"/>
      <c r="ELV42" s="30"/>
      <c r="ELW42" s="31"/>
      <c r="ELX42" s="30"/>
      <c r="ELY42" s="31"/>
      <c r="ELZ42" s="30"/>
      <c r="EMA42" s="31"/>
      <c r="EMB42" s="30"/>
      <c r="EMC42" s="31"/>
      <c r="EMD42" s="30"/>
      <c r="EME42" s="31"/>
      <c r="EMF42" s="30"/>
      <c r="EMG42" s="31"/>
      <c r="EMH42" s="30"/>
      <c r="EMI42" s="31"/>
      <c r="EMJ42" s="30"/>
      <c r="EMK42" s="31"/>
      <c r="EML42" s="30"/>
      <c r="EMM42" s="31"/>
      <c r="EMN42" s="30"/>
      <c r="EMO42" s="31"/>
      <c r="EMP42" s="30"/>
      <c r="EMQ42" s="31"/>
      <c r="EMR42" s="30"/>
      <c r="EMS42" s="31"/>
      <c r="EMT42" s="30"/>
      <c r="EMU42" s="31"/>
      <c r="EMV42" s="30"/>
      <c r="EMW42" s="31"/>
      <c r="EMX42" s="30"/>
      <c r="EMY42" s="31"/>
      <c r="EMZ42" s="30"/>
      <c r="ENA42" s="31"/>
      <c r="ENB42" s="30"/>
      <c r="ENC42" s="31"/>
      <c r="END42" s="30"/>
      <c r="ENE42" s="31"/>
      <c r="ENF42" s="30"/>
      <c r="ENG42" s="31"/>
      <c r="ENH42" s="30"/>
      <c r="ENI42" s="31"/>
      <c r="ENJ42" s="30"/>
      <c r="ENK42" s="31"/>
      <c r="ENL42" s="30"/>
      <c r="ENM42" s="31"/>
      <c r="ENN42" s="30"/>
      <c r="ENO42" s="31"/>
      <c r="ENP42" s="30"/>
      <c r="ENQ42" s="31"/>
      <c r="ENR42" s="30"/>
      <c r="ENS42" s="31"/>
      <c r="ENT42" s="30"/>
      <c r="ENU42" s="31"/>
      <c r="ENV42" s="30"/>
      <c r="ENW42" s="31"/>
      <c r="ENX42" s="30"/>
      <c r="ENY42" s="31"/>
      <c r="ENZ42" s="30"/>
      <c r="EOA42" s="31"/>
      <c r="EOB42" s="30"/>
      <c r="EOC42" s="31"/>
      <c r="EOD42" s="30"/>
      <c r="EOE42" s="31"/>
      <c r="EOF42" s="30"/>
      <c r="EOG42" s="31"/>
      <c r="EOH42" s="30"/>
      <c r="EOI42" s="31"/>
      <c r="EOJ42" s="30"/>
      <c r="EOK42" s="31"/>
      <c r="EOL42" s="30"/>
      <c r="EOM42" s="31"/>
      <c r="EON42" s="30"/>
      <c r="EOO42" s="31"/>
      <c r="EOP42" s="30"/>
      <c r="EOQ42" s="31"/>
      <c r="EOR42" s="30"/>
      <c r="EOS42" s="31"/>
      <c r="EOT42" s="30"/>
      <c r="EOU42" s="31"/>
      <c r="EOV42" s="30"/>
      <c r="EOW42" s="31"/>
      <c r="EOX42" s="30"/>
      <c r="EOY42" s="31"/>
      <c r="EOZ42" s="30"/>
      <c r="EPA42" s="31"/>
      <c r="EPB42" s="30"/>
      <c r="EPC42" s="31"/>
      <c r="EPD42" s="30"/>
      <c r="EPE42" s="31"/>
      <c r="EPF42" s="30"/>
      <c r="EPG42" s="31"/>
      <c r="EPH42" s="30"/>
      <c r="EPI42" s="31"/>
      <c r="EPJ42" s="30"/>
      <c r="EPK42" s="31"/>
      <c r="EPL42" s="30"/>
      <c r="EPM42" s="31"/>
      <c r="EPN42" s="30"/>
      <c r="EPO42" s="31"/>
      <c r="EPP42" s="30"/>
      <c r="EPQ42" s="31"/>
      <c r="EPR42" s="30"/>
      <c r="EPS42" s="31"/>
      <c r="EPT42" s="30"/>
      <c r="EPU42" s="31"/>
      <c r="EPV42" s="30"/>
      <c r="EPW42" s="31"/>
      <c r="EPX42" s="30"/>
      <c r="EPY42" s="31"/>
      <c r="EPZ42" s="30"/>
      <c r="EQA42" s="31"/>
      <c r="EQB42" s="30"/>
      <c r="EQC42" s="31"/>
      <c r="EQD42" s="30"/>
      <c r="EQE42" s="31"/>
      <c r="EQF42" s="30"/>
      <c r="EQG42" s="31"/>
      <c r="EQH42" s="30"/>
      <c r="EQI42" s="31"/>
      <c r="EQJ42" s="30"/>
      <c r="EQK42" s="31"/>
      <c r="EQL42" s="30"/>
      <c r="EQM42" s="31"/>
      <c r="EQN42" s="30"/>
      <c r="EQO42" s="31"/>
      <c r="EQP42" s="30"/>
      <c r="EQQ42" s="31"/>
      <c r="EQR42" s="30"/>
      <c r="EQS42" s="31"/>
      <c r="EQT42" s="30"/>
      <c r="EQU42" s="31"/>
      <c r="EQV42" s="30"/>
      <c r="EQW42" s="31"/>
      <c r="EQX42" s="30"/>
      <c r="EQY42" s="31"/>
      <c r="EQZ42" s="30"/>
      <c r="ERA42" s="31"/>
      <c r="ERB42" s="30"/>
      <c r="ERC42" s="31"/>
      <c r="ERD42" s="30"/>
      <c r="ERE42" s="31"/>
      <c r="ERF42" s="30"/>
      <c r="ERG42" s="31"/>
      <c r="ERH42" s="30"/>
      <c r="ERI42" s="31"/>
      <c r="ERJ42" s="30"/>
      <c r="ERK42" s="31"/>
      <c r="ERL42" s="30"/>
      <c r="ERM42" s="31"/>
      <c r="ERN42" s="30"/>
      <c r="ERO42" s="31"/>
      <c r="ERP42" s="30"/>
      <c r="ERQ42" s="31"/>
      <c r="ERR42" s="30"/>
      <c r="ERS42" s="31"/>
      <c r="ERT42" s="30"/>
      <c r="ERU42" s="31"/>
      <c r="ERV42" s="30"/>
      <c r="ERW42" s="31"/>
      <c r="ERX42" s="30"/>
      <c r="ERY42" s="31"/>
      <c r="ERZ42" s="30"/>
      <c r="ESA42" s="31"/>
      <c r="ESB42" s="30"/>
      <c r="ESC42" s="31"/>
      <c r="ESD42" s="30"/>
      <c r="ESE42" s="31"/>
      <c r="ESF42" s="30"/>
      <c r="ESG42" s="31"/>
      <c r="ESH42" s="30"/>
      <c r="ESI42" s="31"/>
      <c r="ESJ42" s="30"/>
      <c r="ESK42" s="31"/>
      <c r="ESL42" s="30"/>
      <c r="ESM42" s="31"/>
      <c r="ESN42" s="30"/>
      <c r="ESO42" s="31"/>
      <c r="ESP42" s="30"/>
      <c r="ESQ42" s="31"/>
      <c r="ESR42" s="30"/>
      <c r="ESS42" s="31"/>
      <c r="EST42" s="30"/>
      <c r="ESU42" s="31"/>
      <c r="ESV42" s="30"/>
      <c r="ESW42" s="31"/>
      <c r="ESX42" s="30"/>
      <c r="ESY42" s="31"/>
      <c r="ESZ42" s="30"/>
      <c r="ETA42" s="31"/>
      <c r="ETB42" s="30"/>
      <c r="ETC42" s="31"/>
      <c r="ETD42" s="30"/>
      <c r="ETE42" s="31"/>
      <c r="ETF42" s="30"/>
      <c r="ETG42" s="31"/>
      <c r="ETH42" s="30"/>
      <c r="ETI42" s="31"/>
      <c r="ETJ42" s="30"/>
      <c r="ETK42" s="31"/>
      <c r="ETL42" s="30"/>
      <c r="ETM42" s="31"/>
      <c r="ETN42" s="30"/>
      <c r="ETO42" s="31"/>
      <c r="ETP42" s="30"/>
      <c r="ETQ42" s="31"/>
      <c r="ETR42" s="30"/>
      <c r="ETS42" s="31"/>
      <c r="ETT42" s="30"/>
      <c r="ETU42" s="31"/>
      <c r="ETV42" s="30"/>
      <c r="ETW42" s="31"/>
      <c r="ETX42" s="30"/>
      <c r="ETY42" s="31"/>
      <c r="ETZ42" s="30"/>
      <c r="EUA42" s="31"/>
      <c r="EUB42" s="30"/>
      <c r="EUC42" s="31"/>
      <c r="EUD42" s="30"/>
      <c r="EUE42" s="31"/>
      <c r="EUF42" s="30"/>
      <c r="EUG42" s="31"/>
      <c r="EUH42" s="30"/>
      <c r="EUI42" s="31"/>
      <c r="EUJ42" s="30"/>
      <c r="EUK42" s="31"/>
      <c r="EUL42" s="30"/>
      <c r="EUM42" s="31"/>
      <c r="EUN42" s="30"/>
      <c r="EUO42" s="31"/>
      <c r="EUP42" s="30"/>
      <c r="EUQ42" s="31"/>
      <c r="EUR42" s="30"/>
      <c r="EUS42" s="31"/>
      <c r="EUT42" s="30"/>
      <c r="EUU42" s="31"/>
      <c r="EUV42" s="30"/>
      <c r="EUW42" s="31"/>
      <c r="EUX42" s="30"/>
      <c r="EUY42" s="31"/>
      <c r="EUZ42" s="30"/>
      <c r="EVA42" s="31"/>
      <c r="EVB42" s="30"/>
      <c r="EVC42" s="31"/>
      <c r="EVD42" s="30"/>
      <c r="EVE42" s="31"/>
      <c r="EVF42" s="30"/>
      <c r="EVG42" s="31"/>
      <c r="EVH42" s="30"/>
      <c r="EVI42" s="31"/>
      <c r="EVJ42" s="30"/>
      <c r="EVK42" s="31"/>
      <c r="EVL42" s="30"/>
      <c r="EVM42" s="31"/>
      <c r="EVN42" s="30"/>
      <c r="EVO42" s="31"/>
      <c r="EVP42" s="30"/>
      <c r="EVQ42" s="31"/>
      <c r="EVR42" s="30"/>
      <c r="EVS42" s="31"/>
      <c r="EVT42" s="30"/>
      <c r="EVU42" s="31"/>
      <c r="EVV42" s="30"/>
      <c r="EVW42" s="31"/>
      <c r="EVX42" s="30"/>
      <c r="EVY42" s="31"/>
      <c r="EVZ42" s="30"/>
      <c r="EWA42" s="31"/>
      <c r="EWB42" s="30"/>
      <c r="EWC42" s="31"/>
      <c r="EWD42" s="30"/>
      <c r="EWE42" s="31"/>
      <c r="EWF42" s="30"/>
      <c r="EWG42" s="31"/>
      <c r="EWH42" s="30"/>
      <c r="EWI42" s="31"/>
      <c r="EWJ42" s="30"/>
      <c r="EWK42" s="31"/>
      <c r="EWL42" s="30"/>
      <c r="EWM42" s="31"/>
      <c r="EWN42" s="30"/>
      <c r="EWO42" s="31"/>
      <c r="EWP42" s="30"/>
      <c r="EWQ42" s="31"/>
      <c r="EWR42" s="30"/>
      <c r="EWS42" s="31"/>
      <c r="EWT42" s="30"/>
      <c r="EWU42" s="31"/>
      <c r="EWV42" s="30"/>
      <c r="EWW42" s="31"/>
      <c r="EWX42" s="30"/>
      <c r="EWY42" s="31"/>
      <c r="EWZ42" s="30"/>
      <c r="EXA42" s="31"/>
      <c r="EXB42" s="30"/>
      <c r="EXC42" s="31"/>
      <c r="EXD42" s="30"/>
      <c r="EXE42" s="31"/>
      <c r="EXF42" s="30"/>
      <c r="EXG42" s="31"/>
      <c r="EXH42" s="30"/>
      <c r="EXI42" s="31"/>
      <c r="EXJ42" s="30"/>
      <c r="EXK42" s="31"/>
      <c r="EXL42" s="30"/>
      <c r="EXM42" s="31"/>
      <c r="EXN42" s="30"/>
      <c r="EXO42" s="31"/>
      <c r="EXP42" s="30"/>
      <c r="EXQ42" s="31"/>
      <c r="EXR42" s="30"/>
      <c r="EXS42" s="31"/>
      <c r="EXT42" s="30"/>
      <c r="EXU42" s="31"/>
      <c r="EXV42" s="30"/>
      <c r="EXW42" s="31"/>
      <c r="EXX42" s="30"/>
      <c r="EXY42" s="31"/>
      <c r="EXZ42" s="30"/>
      <c r="EYA42" s="31"/>
      <c r="EYB42" s="30"/>
      <c r="EYC42" s="31"/>
      <c r="EYD42" s="30"/>
      <c r="EYE42" s="31"/>
      <c r="EYF42" s="30"/>
      <c r="EYG42" s="31"/>
      <c r="EYH42" s="30"/>
      <c r="EYI42" s="31"/>
      <c r="EYJ42" s="30"/>
      <c r="EYK42" s="31"/>
      <c r="EYL42" s="30"/>
      <c r="EYM42" s="31"/>
      <c r="EYN42" s="30"/>
      <c r="EYO42" s="31"/>
      <c r="EYP42" s="30"/>
      <c r="EYQ42" s="31"/>
      <c r="EYR42" s="30"/>
      <c r="EYS42" s="31"/>
      <c r="EYT42" s="30"/>
      <c r="EYU42" s="31"/>
      <c r="EYV42" s="30"/>
      <c r="EYW42" s="31"/>
      <c r="EYX42" s="30"/>
      <c r="EYY42" s="31"/>
      <c r="EYZ42" s="30"/>
      <c r="EZA42" s="31"/>
      <c r="EZB42" s="30"/>
      <c r="EZC42" s="31"/>
      <c r="EZD42" s="30"/>
      <c r="EZE42" s="31"/>
      <c r="EZF42" s="30"/>
      <c r="EZG42" s="31"/>
      <c r="EZH42" s="30"/>
      <c r="EZI42" s="31"/>
      <c r="EZJ42" s="30"/>
      <c r="EZK42" s="31"/>
      <c r="EZL42" s="30"/>
      <c r="EZM42" s="31"/>
      <c r="EZN42" s="30"/>
      <c r="EZO42" s="31"/>
      <c r="EZP42" s="30"/>
      <c r="EZQ42" s="31"/>
      <c r="EZR42" s="30"/>
      <c r="EZS42" s="31"/>
      <c r="EZT42" s="30"/>
      <c r="EZU42" s="31"/>
      <c r="EZV42" s="30"/>
      <c r="EZW42" s="31"/>
      <c r="EZX42" s="30"/>
      <c r="EZY42" s="31"/>
      <c r="EZZ42" s="30"/>
      <c r="FAA42" s="31"/>
      <c r="FAB42" s="30"/>
      <c r="FAC42" s="31"/>
      <c r="FAD42" s="30"/>
      <c r="FAE42" s="31"/>
      <c r="FAF42" s="30"/>
      <c r="FAG42" s="31"/>
      <c r="FAH42" s="30"/>
      <c r="FAI42" s="31"/>
      <c r="FAJ42" s="30"/>
      <c r="FAK42" s="31"/>
      <c r="FAL42" s="30"/>
      <c r="FAM42" s="31"/>
      <c r="FAN42" s="30"/>
      <c r="FAO42" s="31"/>
      <c r="FAP42" s="30"/>
      <c r="FAQ42" s="31"/>
      <c r="FAR42" s="30"/>
      <c r="FAS42" s="31"/>
      <c r="FAT42" s="30"/>
      <c r="FAU42" s="31"/>
      <c r="FAV42" s="30"/>
      <c r="FAW42" s="31"/>
      <c r="FAX42" s="30"/>
      <c r="FAY42" s="31"/>
      <c r="FAZ42" s="30"/>
      <c r="FBA42" s="31"/>
      <c r="FBB42" s="30"/>
      <c r="FBC42" s="31"/>
      <c r="FBD42" s="30"/>
      <c r="FBE42" s="31"/>
      <c r="FBF42" s="30"/>
      <c r="FBG42" s="31"/>
      <c r="FBH42" s="30"/>
      <c r="FBI42" s="31"/>
      <c r="FBJ42" s="30"/>
      <c r="FBK42" s="31"/>
      <c r="FBL42" s="30"/>
      <c r="FBM42" s="31"/>
      <c r="FBN42" s="30"/>
      <c r="FBO42" s="31"/>
      <c r="FBP42" s="30"/>
      <c r="FBQ42" s="31"/>
      <c r="FBR42" s="30"/>
      <c r="FBS42" s="31"/>
      <c r="FBT42" s="30"/>
      <c r="FBU42" s="31"/>
      <c r="FBV42" s="30"/>
      <c r="FBW42" s="31"/>
      <c r="FBX42" s="30"/>
      <c r="FBY42" s="31"/>
      <c r="FBZ42" s="30"/>
      <c r="FCA42" s="31"/>
      <c r="FCB42" s="30"/>
      <c r="FCC42" s="31"/>
      <c r="FCD42" s="30"/>
      <c r="FCE42" s="31"/>
      <c r="FCF42" s="30"/>
      <c r="FCG42" s="31"/>
      <c r="FCH42" s="30"/>
      <c r="FCI42" s="31"/>
      <c r="FCJ42" s="30"/>
      <c r="FCK42" s="31"/>
      <c r="FCL42" s="30"/>
      <c r="FCM42" s="31"/>
      <c r="FCN42" s="30"/>
      <c r="FCO42" s="31"/>
      <c r="FCP42" s="30"/>
      <c r="FCQ42" s="31"/>
      <c r="FCR42" s="30"/>
      <c r="FCS42" s="31"/>
      <c r="FCT42" s="30"/>
      <c r="FCU42" s="31"/>
      <c r="FCV42" s="30"/>
      <c r="FCW42" s="31"/>
      <c r="FCX42" s="30"/>
      <c r="FCY42" s="31"/>
      <c r="FCZ42" s="30"/>
      <c r="FDA42" s="31"/>
      <c r="FDB42" s="30"/>
      <c r="FDC42" s="31"/>
      <c r="FDD42" s="30"/>
      <c r="FDE42" s="31"/>
      <c r="FDF42" s="30"/>
      <c r="FDG42" s="31"/>
      <c r="FDH42" s="30"/>
      <c r="FDI42" s="31"/>
      <c r="FDJ42" s="30"/>
      <c r="FDK42" s="31"/>
      <c r="FDL42" s="30"/>
      <c r="FDM42" s="31"/>
      <c r="FDN42" s="30"/>
      <c r="FDO42" s="31"/>
      <c r="FDP42" s="30"/>
      <c r="FDQ42" s="31"/>
      <c r="FDR42" s="30"/>
      <c r="FDS42" s="31"/>
      <c r="FDT42" s="30"/>
      <c r="FDU42" s="31"/>
      <c r="FDV42" s="30"/>
      <c r="FDW42" s="31"/>
      <c r="FDX42" s="30"/>
      <c r="FDY42" s="31"/>
      <c r="FDZ42" s="30"/>
      <c r="FEA42" s="31"/>
      <c r="FEB42" s="30"/>
      <c r="FEC42" s="31"/>
      <c r="FED42" s="30"/>
      <c r="FEE42" s="31"/>
      <c r="FEF42" s="30"/>
      <c r="FEG42" s="31"/>
      <c r="FEH42" s="30"/>
      <c r="FEI42" s="31"/>
      <c r="FEJ42" s="30"/>
      <c r="FEK42" s="31"/>
      <c r="FEL42" s="30"/>
      <c r="FEM42" s="31"/>
      <c r="FEN42" s="30"/>
      <c r="FEO42" s="31"/>
      <c r="FEP42" s="30"/>
      <c r="FEQ42" s="31"/>
      <c r="FER42" s="30"/>
      <c r="FES42" s="31"/>
      <c r="FET42" s="30"/>
      <c r="FEU42" s="31"/>
      <c r="FEV42" s="30"/>
      <c r="FEW42" s="31"/>
      <c r="FEX42" s="30"/>
      <c r="FEY42" s="31"/>
      <c r="FEZ42" s="30"/>
      <c r="FFA42" s="31"/>
      <c r="FFB42" s="30"/>
      <c r="FFC42" s="31"/>
      <c r="FFD42" s="30"/>
      <c r="FFE42" s="31"/>
      <c r="FFF42" s="30"/>
      <c r="FFG42" s="31"/>
      <c r="FFH42" s="30"/>
      <c r="FFI42" s="31"/>
      <c r="FFJ42" s="30"/>
      <c r="FFK42" s="31"/>
      <c r="FFL42" s="30"/>
      <c r="FFM42" s="31"/>
      <c r="FFN42" s="30"/>
      <c r="FFO42" s="31"/>
      <c r="FFP42" s="30"/>
      <c r="FFQ42" s="31"/>
      <c r="FFR42" s="30"/>
      <c r="FFS42" s="31"/>
      <c r="FFT42" s="30"/>
      <c r="FFU42" s="31"/>
      <c r="FFV42" s="30"/>
      <c r="FFW42" s="31"/>
      <c r="FFX42" s="30"/>
      <c r="FFY42" s="31"/>
      <c r="FFZ42" s="30"/>
      <c r="FGA42" s="31"/>
      <c r="FGB42" s="30"/>
      <c r="FGC42" s="31"/>
      <c r="FGD42" s="30"/>
      <c r="FGE42" s="31"/>
      <c r="FGF42" s="30"/>
      <c r="FGG42" s="31"/>
      <c r="FGH42" s="30"/>
      <c r="FGI42" s="31"/>
      <c r="FGJ42" s="30"/>
      <c r="FGK42" s="31"/>
      <c r="FGL42" s="30"/>
      <c r="FGM42" s="31"/>
      <c r="FGN42" s="30"/>
      <c r="FGO42" s="31"/>
      <c r="FGP42" s="30"/>
      <c r="FGQ42" s="31"/>
      <c r="FGR42" s="30"/>
      <c r="FGS42" s="31"/>
      <c r="FGT42" s="30"/>
      <c r="FGU42" s="31"/>
      <c r="FGV42" s="30"/>
      <c r="FGW42" s="31"/>
      <c r="FGX42" s="30"/>
      <c r="FGY42" s="31"/>
      <c r="FGZ42" s="30"/>
      <c r="FHA42" s="31"/>
      <c r="FHB42" s="30"/>
      <c r="FHC42" s="31"/>
      <c r="FHD42" s="30"/>
      <c r="FHE42" s="31"/>
      <c r="FHF42" s="30"/>
      <c r="FHG42" s="31"/>
      <c r="FHH42" s="30"/>
      <c r="FHI42" s="31"/>
      <c r="FHJ42" s="30"/>
      <c r="FHK42" s="31"/>
      <c r="FHL42" s="30"/>
      <c r="FHM42" s="31"/>
      <c r="FHN42" s="30"/>
      <c r="FHO42" s="31"/>
      <c r="FHP42" s="30"/>
      <c r="FHQ42" s="31"/>
      <c r="FHR42" s="30"/>
      <c r="FHS42" s="31"/>
      <c r="FHT42" s="30"/>
      <c r="FHU42" s="31"/>
      <c r="FHV42" s="30"/>
      <c r="FHW42" s="31"/>
      <c r="FHX42" s="30"/>
      <c r="FHY42" s="31"/>
      <c r="FHZ42" s="30"/>
      <c r="FIA42" s="31"/>
      <c r="FIB42" s="30"/>
      <c r="FIC42" s="31"/>
      <c r="FID42" s="30"/>
      <c r="FIE42" s="31"/>
      <c r="FIF42" s="30"/>
      <c r="FIG42" s="31"/>
      <c r="FIH42" s="30"/>
      <c r="FII42" s="31"/>
      <c r="FIJ42" s="30"/>
      <c r="FIK42" s="31"/>
      <c r="FIL42" s="30"/>
      <c r="FIM42" s="31"/>
      <c r="FIN42" s="30"/>
      <c r="FIO42" s="31"/>
      <c r="FIP42" s="30"/>
      <c r="FIQ42" s="31"/>
      <c r="FIR42" s="30"/>
      <c r="FIS42" s="31"/>
      <c r="FIT42" s="30"/>
      <c r="FIU42" s="31"/>
      <c r="FIV42" s="30"/>
      <c r="FIW42" s="31"/>
      <c r="FIX42" s="30"/>
      <c r="FIY42" s="31"/>
      <c r="FIZ42" s="30"/>
      <c r="FJA42" s="31"/>
      <c r="FJB42" s="30"/>
      <c r="FJC42" s="31"/>
      <c r="FJD42" s="30"/>
      <c r="FJE42" s="31"/>
      <c r="FJF42" s="30"/>
      <c r="FJG42" s="31"/>
      <c r="FJH42" s="30"/>
      <c r="FJI42" s="31"/>
      <c r="FJJ42" s="30"/>
      <c r="FJK42" s="31"/>
      <c r="FJL42" s="30"/>
      <c r="FJM42" s="31"/>
      <c r="FJN42" s="30"/>
      <c r="FJO42" s="31"/>
      <c r="FJP42" s="30"/>
      <c r="FJQ42" s="31"/>
      <c r="FJR42" s="30"/>
      <c r="FJS42" s="31"/>
      <c r="FJT42" s="30"/>
      <c r="FJU42" s="31"/>
      <c r="FJV42" s="30"/>
      <c r="FJW42" s="31"/>
      <c r="FJX42" s="30"/>
      <c r="FJY42" s="31"/>
      <c r="FJZ42" s="30"/>
      <c r="FKA42" s="31"/>
      <c r="FKB42" s="30"/>
      <c r="FKC42" s="31"/>
      <c r="FKD42" s="30"/>
      <c r="FKE42" s="31"/>
      <c r="FKF42" s="30"/>
      <c r="FKG42" s="31"/>
      <c r="FKH42" s="30"/>
      <c r="FKI42" s="31"/>
      <c r="FKJ42" s="30"/>
      <c r="FKK42" s="31"/>
      <c r="FKL42" s="30"/>
      <c r="FKM42" s="31"/>
      <c r="FKN42" s="30"/>
      <c r="FKO42" s="31"/>
      <c r="FKP42" s="30"/>
      <c r="FKQ42" s="31"/>
      <c r="FKR42" s="30"/>
      <c r="FKS42" s="31"/>
      <c r="FKT42" s="30"/>
      <c r="FKU42" s="31"/>
      <c r="FKV42" s="30"/>
      <c r="FKW42" s="31"/>
      <c r="FKX42" s="30"/>
      <c r="FKY42" s="31"/>
      <c r="FKZ42" s="30"/>
      <c r="FLA42" s="31"/>
      <c r="FLB42" s="30"/>
      <c r="FLC42" s="31"/>
      <c r="FLD42" s="30"/>
      <c r="FLE42" s="31"/>
      <c r="FLF42" s="30"/>
      <c r="FLG42" s="31"/>
      <c r="FLH42" s="30"/>
      <c r="FLI42" s="31"/>
      <c r="FLJ42" s="30"/>
      <c r="FLK42" s="31"/>
      <c r="FLL42" s="30"/>
      <c r="FLM42" s="31"/>
      <c r="FLN42" s="30"/>
      <c r="FLO42" s="31"/>
      <c r="FLP42" s="30"/>
      <c r="FLQ42" s="31"/>
      <c r="FLR42" s="30"/>
      <c r="FLS42" s="31"/>
      <c r="FLT42" s="30"/>
      <c r="FLU42" s="31"/>
      <c r="FLV42" s="30"/>
      <c r="FLW42" s="31"/>
      <c r="FLX42" s="30"/>
      <c r="FLY42" s="31"/>
      <c r="FLZ42" s="30"/>
      <c r="FMA42" s="31"/>
      <c r="FMB42" s="30"/>
      <c r="FMC42" s="31"/>
      <c r="FMD42" s="30"/>
      <c r="FME42" s="31"/>
      <c r="FMF42" s="30"/>
      <c r="FMG42" s="31"/>
      <c r="FMH42" s="30"/>
      <c r="FMI42" s="31"/>
      <c r="FMJ42" s="30"/>
      <c r="FMK42" s="31"/>
      <c r="FML42" s="30"/>
      <c r="FMM42" s="31"/>
      <c r="FMN42" s="30"/>
      <c r="FMO42" s="31"/>
      <c r="FMP42" s="30"/>
      <c r="FMQ42" s="31"/>
      <c r="FMR42" s="30"/>
      <c r="FMS42" s="31"/>
      <c r="FMT42" s="30"/>
      <c r="FMU42" s="31"/>
      <c r="FMV42" s="30"/>
      <c r="FMW42" s="31"/>
      <c r="FMX42" s="30"/>
      <c r="FMY42" s="31"/>
      <c r="FMZ42" s="30"/>
      <c r="FNA42" s="31"/>
      <c r="FNB42" s="30"/>
      <c r="FNC42" s="31"/>
      <c r="FND42" s="30"/>
      <c r="FNE42" s="31"/>
      <c r="FNF42" s="30"/>
      <c r="FNG42" s="31"/>
      <c r="FNH42" s="30"/>
      <c r="FNI42" s="31"/>
      <c r="FNJ42" s="30"/>
      <c r="FNK42" s="31"/>
      <c r="FNL42" s="30"/>
      <c r="FNM42" s="31"/>
      <c r="FNN42" s="30"/>
      <c r="FNO42" s="31"/>
      <c r="FNP42" s="30"/>
      <c r="FNQ42" s="31"/>
      <c r="FNR42" s="30"/>
      <c r="FNS42" s="31"/>
      <c r="FNT42" s="30"/>
      <c r="FNU42" s="31"/>
      <c r="FNV42" s="30"/>
      <c r="FNW42" s="31"/>
      <c r="FNX42" s="30"/>
      <c r="FNY42" s="31"/>
      <c r="FNZ42" s="30"/>
      <c r="FOA42" s="31"/>
      <c r="FOB42" s="30"/>
      <c r="FOC42" s="31"/>
      <c r="FOD42" s="30"/>
      <c r="FOE42" s="31"/>
      <c r="FOF42" s="30"/>
      <c r="FOG42" s="31"/>
      <c r="FOH42" s="30"/>
      <c r="FOI42" s="31"/>
      <c r="FOJ42" s="30"/>
      <c r="FOK42" s="31"/>
      <c r="FOL42" s="30"/>
      <c r="FOM42" s="31"/>
      <c r="FON42" s="30"/>
      <c r="FOO42" s="31"/>
      <c r="FOP42" s="30"/>
      <c r="FOQ42" s="31"/>
      <c r="FOR42" s="30"/>
      <c r="FOS42" s="31"/>
      <c r="FOT42" s="30"/>
      <c r="FOU42" s="31"/>
      <c r="FOV42" s="30"/>
      <c r="FOW42" s="31"/>
      <c r="FOX42" s="30"/>
      <c r="FOY42" s="31"/>
      <c r="FOZ42" s="30"/>
      <c r="FPA42" s="31"/>
      <c r="FPB42" s="30"/>
      <c r="FPC42" s="31"/>
      <c r="FPD42" s="30"/>
      <c r="FPE42" s="31"/>
      <c r="FPF42" s="30"/>
      <c r="FPG42" s="31"/>
      <c r="FPH42" s="30"/>
      <c r="FPI42" s="31"/>
      <c r="FPJ42" s="30"/>
      <c r="FPK42" s="31"/>
      <c r="FPL42" s="30"/>
      <c r="FPM42" s="31"/>
      <c r="FPN42" s="30"/>
      <c r="FPO42" s="31"/>
      <c r="FPP42" s="30"/>
      <c r="FPQ42" s="31"/>
      <c r="FPR42" s="30"/>
      <c r="FPS42" s="31"/>
      <c r="FPT42" s="30"/>
      <c r="FPU42" s="31"/>
      <c r="FPV42" s="30"/>
      <c r="FPW42" s="31"/>
      <c r="FPX42" s="30"/>
      <c r="FPY42" s="31"/>
      <c r="FPZ42" s="30"/>
      <c r="FQA42" s="31"/>
      <c r="FQB42" s="30"/>
      <c r="FQC42" s="31"/>
      <c r="FQD42" s="30"/>
      <c r="FQE42" s="31"/>
      <c r="FQF42" s="30"/>
      <c r="FQG42" s="31"/>
      <c r="FQH42" s="30"/>
      <c r="FQI42" s="31"/>
      <c r="FQJ42" s="30"/>
      <c r="FQK42" s="31"/>
      <c r="FQL42" s="30"/>
      <c r="FQM42" s="31"/>
      <c r="FQN42" s="30"/>
      <c r="FQO42" s="31"/>
      <c r="FQP42" s="30"/>
      <c r="FQQ42" s="31"/>
      <c r="FQR42" s="30"/>
      <c r="FQS42" s="31"/>
      <c r="FQT42" s="30"/>
      <c r="FQU42" s="31"/>
      <c r="FQV42" s="30"/>
      <c r="FQW42" s="31"/>
      <c r="FQX42" s="30"/>
      <c r="FQY42" s="31"/>
      <c r="FQZ42" s="30"/>
      <c r="FRA42" s="31"/>
      <c r="FRB42" s="30"/>
      <c r="FRC42" s="31"/>
      <c r="FRD42" s="30"/>
      <c r="FRE42" s="31"/>
      <c r="FRF42" s="30"/>
      <c r="FRG42" s="31"/>
      <c r="FRH42" s="30"/>
      <c r="FRI42" s="31"/>
      <c r="FRJ42" s="30"/>
      <c r="FRK42" s="31"/>
      <c r="FRL42" s="30"/>
      <c r="FRM42" s="31"/>
      <c r="FRN42" s="30"/>
      <c r="FRO42" s="31"/>
      <c r="FRP42" s="30"/>
      <c r="FRQ42" s="31"/>
      <c r="FRR42" s="30"/>
      <c r="FRS42" s="31"/>
      <c r="FRT42" s="30"/>
      <c r="FRU42" s="31"/>
      <c r="FRV42" s="30"/>
      <c r="FRW42" s="31"/>
      <c r="FRX42" s="30"/>
      <c r="FRY42" s="31"/>
      <c r="FRZ42" s="30"/>
      <c r="FSA42" s="31"/>
      <c r="FSB42" s="30"/>
      <c r="FSC42" s="31"/>
      <c r="FSD42" s="30"/>
      <c r="FSE42" s="31"/>
      <c r="FSF42" s="30"/>
      <c r="FSG42" s="31"/>
      <c r="FSH42" s="30"/>
      <c r="FSI42" s="31"/>
      <c r="FSJ42" s="30"/>
      <c r="FSK42" s="31"/>
      <c r="FSL42" s="30"/>
      <c r="FSM42" s="31"/>
      <c r="FSN42" s="30"/>
      <c r="FSO42" s="31"/>
      <c r="FSP42" s="30"/>
      <c r="FSQ42" s="31"/>
      <c r="FSR42" s="30"/>
      <c r="FSS42" s="31"/>
      <c r="FST42" s="30"/>
      <c r="FSU42" s="31"/>
      <c r="FSV42" s="30"/>
      <c r="FSW42" s="31"/>
      <c r="FSX42" s="30"/>
      <c r="FSY42" s="31"/>
      <c r="FSZ42" s="30"/>
      <c r="FTA42" s="31"/>
      <c r="FTB42" s="30"/>
      <c r="FTC42" s="31"/>
      <c r="FTD42" s="30"/>
      <c r="FTE42" s="31"/>
      <c r="FTF42" s="30"/>
      <c r="FTG42" s="31"/>
      <c r="FTH42" s="30"/>
      <c r="FTI42" s="31"/>
      <c r="FTJ42" s="30"/>
      <c r="FTK42" s="31"/>
      <c r="FTL42" s="30"/>
      <c r="FTM42" s="31"/>
      <c r="FTN42" s="30"/>
      <c r="FTO42" s="31"/>
      <c r="FTP42" s="30"/>
      <c r="FTQ42" s="31"/>
      <c r="FTR42" s="30"/>
      <c r="FTS42" s="31"/>
      <c r="FTT42" s="30"/>
      <c r="FTU42" s="31"/>
      <c r="FTV42" s="30"/>
      <c r="FTW42" s="31"/>
      <c r="FTX42" s="30"/>
      <c r="FTY42" s="31"/>
      <c r="FTZ42" s="30"/>
      <c r="FUA42" s="31"/>
      <c r="FUB42" s="30"/>
      <c r="FUC42" s="31"/>
      <c r="FUD42" s="30"/>
      <c r="FUE42" s="31"/>
      <c r="FUF42" s="30"/>
      <c r="FUG42" s="31"/>
      <c r="FUH42" s="30"/>
      <c r="FUI42" s="31"/>
      <c r="FUJ42" s="30"/>
      <c r="FUK42" s="31"/>
      <c r="FUL42" s="30"/>
      <c r="FUM42" s="31"/>
      <c r="FUN42" s="30"/>
      <c r="FUO42" s="31"/>
      <c r="FUP42" s="30"/>
      <c r="FUQ42" s="31"/>
      <c r="FUR42" s="30"/>
      <c r="FUS42" s="31"/>
      <c r="FUT42" s="30"/>
      <c r="FUU42" s="31"/>
      <c r="FUV42" s="30"/>
      <c r="FUW42" s="31"/>
      <c r="FUX42" s="30"/>
      <c r="FUY42" s="31"/>
      <c r="FUZ42" s="30"/>
      <c r="FVA42" s="31"/>
      <c r="FVB42" s="30"/>
      <c r="FVC42" s="31"/>
      <c r="FVD42" s="30"/>
      <c r="FVE42" s="31"/>
      <c r="FVF42" s="30"/>
      <c r="FVG42" s="31"/>
      <c r="FVH42" s="30"/>
      <c r="FVI42" s="31"/>
      <c r="FVJ42" s="30"/>
      <c r="FVK42" s="31"/>
      <c r="FVL42" s="30"/>
      <c r="FVM42" s="31"/>
      <c r="FVN42" s="30"/>
      <c r="FVO42" s="31"/>
      <c r="FVP42" s="30"/>
      <c r="FVQ42" s="31"/>
      <c r="FVR42" s="30"/>
      <c r="FVS42" s="31"/>
      <c r="FVT42" s="30"/>
      <c r="FVU42" s="31"/>
      <c r="FVV42" s="30"/>
      <c r="FVW42" s="31"/>
      <c r="FVX42" s="30"/>
      <c r="FVY42" s="31"/>
      <c r="FVZ42" s="30"/>
      <c r="FWA42" s="31"/>
      <c r="FWB42" s="30"/>
      <c r="FWC42" s="31"/>
      <c r="FWD42" s="30"/>
      <c r="FWE42" s="31"/>
      <c r="FWF42" s="30"/>
      <c r="FWG42" s="31"/>
      <c r="FWH42" s="30"/>
      <c r="FWI42" s="31"/>
      <c r="FWJ42" s="30"/>
      <c r="FWK42" s="31"/>
      <c r="FWL42" s="30"/>
      <c r="FWM42" s="31"/>
      <c r="FWN42" s="30"/>
      <c r="FWO42" s="31"/>
      <c r="FWP42" s="30"/>
      <c r="FWQ42" s="31"/>
      <c r="FWR42" s="30"/>
      <c r="FWS42" s="31"/>
      <c r="FWT42" s="30"/>
      <c r="FWU42" s="31"/>
      <c r="FWV42" s="30"/>
      <c r="FWW42" s="31"/>
      <c r="FWX42" s="30"/>
      <c r="FWY42" s="31"/>
      <c r="FWZ42" s="30"/>
      <c r="FXA42" s="31"/>
      <c r="FXB42" s="30"/>
      <c r="FXC42" s="31"/>
      <c r="FXD42" s="30"/>
      <c r="FXE42" s="31"/>
      <c r="FXF42" s="30"/>
      <c r="FXG42" s="31"/>
      <c r="FXH42" s="30"/>
      <c r="FXI42" s="31"/>
      <c r="FXJ42" s="30"/>
      <c r="FXK42" s="31"/>
      <c r="FXL42" s="30"/>
      <c r="FXM42" s="31"/>
      <c r="FXN42" s="30"/>
      <c r="FXO42" s="31"/>
      <c r="FXP42" s="30"/>
      <c r="FXQ42" s="31"/>
      <c r="FXR42" s="30"/>
      <c r="FXS42" s="31"/>
      <c r="FXT42" s="30"/>
      <c r="FXU42" s="31"/>
      <c r="FXV42" s="30"/>
      <c r="FXW42" s="31"/>
      <c r="FXX42" s="30"/>
      <c r="FXY42" s="31"/>
      <c r="FXZ42" s="30"/>
      <c r="FYA42" s="31"/>
      <c r="FYB42" s="30"/>
      <c r="FYC42" s="31"/>
      <c r="FYD42" s="30"/>
      <c r="FYE42" s="31"/>
      <c r="FYF42" s="30"/>
      <c r="FYG42" s="31"/>
      <c r="FYH42" s="30"/>
      <c r="FYI42" s="31"/>
      <c r="FYJ42" s="30"/>
      <c r="FYK42" s="31"/>
      <c r="FYL42" s="30"/>
      <c r="FYM42" s="31"/>
      <c r="FYN42" s="30"/>
      <c r="FYO42" s="31"/>
      <c r="FYP42" s="30"/>
      <c r="FYQ42" s="31"/>
      <c r="FYR42" s="30"/>
      <c r="FYS42" s="31"/>
      <c r="FYT42" s="30"/>
      <c r="FYU42" s="31"/>
      <c r="FYV42" s="30"/>
      <c r="FYW42" s="31"/>
      <c r="FYX42" s="30"/>
      <c r="FYY42" s="31"/>
      <c r="FYZ42" s="30"/>
      <c r="FZA42" s="31"/>
      <c r="FZB42" s="30"/>
      <c r="FZC42" s="31"/>
      <c r="FZD42" s="30"/>
      <c r="FZE42" s="31"/>
      <c r="FZF42" s="30"/>
      <c r="FZG42" s="31"/>
      <c r="FZH42" s="30"/>
      <c r="FZI42" s="31"/>
      <c r="FZJ42" s="30"/>
      <c r="FZK42" s="31"/>
      <c r="FZL42" s="30"/>
      <c r="FZM42" s="31"/>
      <c r="FZN42" s="30"/>
      <c r="FZO42" s="31"/>
      <c r="FZP42" s="30"/>
      <c r="FZQ42" s="31"/>
      <c r="FZR42" s="30"/>
      <c r="FZS42" s="31"/>
      <c r="FZT42" s="30"/>
      <c r="FZU42" s="31"/>
      <c r="FZV42" s="30"/>
      <c r="FZW42" s="31"/>
      <c r="FZX42" s="30"/>
      <c r="FZY42" s="31"/>
      <c r="FZZ42" s="30"/>
      <c r="GAA42" s="31"/>
      <c r="GAB42" s="30"/>
      <c r="GAC42" s="31"/>
      <c r="GAD42" s="30"/>
      <c r="GAE42" s="31"/>
      <c r="GAF42" s="30"/>
      <c r="GAG42" s="31"/>
      <c r="GAH42" s="30"/>
      <c r="GAI42" s="31"/>
      <c r="GAJ42" s="30"/>
      <c r="GAK42" s="31"/>
      <c r="GAL42" s="30"/>
      <c r="GAM42" s="31"/>
      <c r="GAN42" s="30"/>
      <c r="GAO42" s="31"/>
      <c r="GAP42" s="30"/>
      <c r="GAQ42" s="31"/>
      <c r="GAR42" s="30"/>
      <c r="GAS42" s="31"/>
      <c r="GAT42" s="30"/>
      <c r="GAU42" s="31"/>
      <c r="GAV42" s="30"/>
      <c r="GAW42" s="31"/>
      <c r="GAX42" s="30"/>
      <c r="GAY42" s="31"/>
      <c r="GAZ42" s="30"/>
      <c r="GBA42" s="31"/>
      <c r="GBB42" s="30"/>
      <c r="GBC42" s="31"/>
      <c r="GBD42" s="30"/>
      <c r="GBE42" s="31"/>
      <c r="GBF42" s="30"/>
      <c r="GBG42" s="31"/>
      <c r="GBH42" s="30"/>
      <c r="GBI42" s="31"/>
      <c r="GBJ42" s="30"/>
      <c r="GBK42" s="31"/>
      <c r="GBL42" s="30"/>
      <c r="GBM42" s="31"/>
      <c r="GBN42" s="30"/>
      <c r="GBO42" s="31"/>
      <c r="GBP42" s="30"/>
      <c r="GBQ42" s="31"/>
      <c r="GBR42" s="30"/>
      <c r="GBS42" s="31"/>
      <c r="GBT42" s="30"/>
      <c r="GBU42" s="31"/>
      <c r="GBV42" s="30"/>
      <c r="GBW42" s="31"/>
      <c r="GBX42" s="30"/>
      <c r="GBY42" s="31"/>
      <c r="GBZ42" s="30"/>
      <c r="GCA42" s="31"/>
      <c r="GCB42" s="30"/>
      <c r="GCC42" s="31"/>
      <c r="GCD42" s="30"/>
      <c r="GCE42" s="31"/>
      <c r="GCF42" s="30"/>
      <c r="GCG42" s="31"/>
      <c r="GCH42" s="30"/>
      <c r="GCI42" s="31"/>
      <c r="GCJ42" s="30"/>
      <c r="GCK42" s="31"/>
      <c r="GCL42" s="30"/>
      <c r="GCM42" s="31"/>
      <c r="GCN42" s="30"/>
      <c r="GCO42" s="31"/>
      <c r="GCP42" s="30"/>
      <c r="GCQ42" s="31"/>
      <c r="GCR42" s="30"/>
      <c r="GCS42" s="31"/>
      <c r="GCT42" s="30"/>
      <c r="GCU42" s="31"/>
      <c r="GCV42" s="30"/>
      <c r="GCW42" s="31"/>
      <c r="GCX42" s="30"/>
      <c r="GCY42" s="31"/>
      <c r="GCZ42" s="30"/>
      <c r="GDA42" s="31"/>
      <c r="GDB42" s="30"/>
      <c r="GDC42" s="31"/>
      <c r="GDD42" s="30"/>
      <c r="GDE42" s="31"/>
      <c r="GDF42" s="30"/>
      <c r="GDG42" s="31"/>
      <c r="GDH42" s="30"/>
      <c r="GDI42" s="31"/>
      <c r="GDJ42" s="30"/>
      <c r="GDK42" s="31"/>
      <c r="GDL42" s="30"/>
      <c r="GDM42" s="31"/>
      <c r="GDN42" s="30"/>
      <c r="GDO42" s="31"/>
      <c r="GDP42" s="30"/>
      <c r="GDQ42" s="31"/>
      <c r="GDR42" s="30"/>
      <c r="GDS42" s="31"/>
      <c r="GDT42" s="30"/>
      <c r="GDU42" s="31"/>
      <c r="GDV42" s="30"/>
      <c r="GDW42" s="31"/>
      <c r="GDX42" s="30"/>
      <c r="GDY42" s="31"/>
      <c r="GDZ42" s="30"/>
      <c r="GEA42" s="31"/>
      <c r="GEB42" s="30"/>
      <c r="GEC42" s="31"/>
      <c r="GED42" s="30"/>
      <c r="GEE42" s="31"/>
      <c r="GEF42" s="30"/>
      <c r="GEG42" s="31"/>
      <c r="GEH42" s="30"/>
      <c r="GEI42" s="31"/>
      <c r="GEJ42" s="30"/>
      <c r="GEK42" s="31"/>
      <c r="GEL42" s="30"/>
      <c r="GEM42" s="31"/>
      <c r="GEN42" s="30"/>
      <c r="GEO42" s="31"/>
      <c r="GEP42" s="30"/>
      <c r="GEQ42" s="31"/>
      <c r="GER42" s="30"/>
      <c r="GES42" s="31"/>
      <c r="GET42" s="30"/>
      <c r="GEU42" s="31"/>
      <c r="GEV42" s="30"/>
      <c r="GEW42" s="31"/>
      <c r="GEX42" s="30"/>
      <c r="GEY42" s="31"/>
      <c r="GEZ42" s="30"/>
      <c r="GFA42" s="31"/>
      <c r="GFB42" s="30"/>
      <c r="GFC42" s="31"/>
      <c r="GFD42" s="30"/>
      <c r="GFE42" s="31"/>
      <c r="GFF42" s="30"/>
      <c r="GFG42" s="31"/>
      <c r="GFH42" s="30"/>
      <c r="GFI42" s="31"/>
      <c r="GFJ42" s="30"/>
      <c r="GFK42" s="31"/>
      <c r="GFL42" s="30"/>
      <c r="GFM42" s="31"/>
      <c r="GFN42" s="30"/>
      <c r="GFO42" s="31"/>
      <c r="GFP42" s="30"/>
      <c r="GFQ42" s="31"/>
      <c r="GFR42" s="30"/>
      <c r="GFS42" s="31"/>
      <c r="GFT42" s="30"/>
      <c r="GFU42" s="31"/>
      <c r="GFV42" s="30"/>
      <c r="GFW42" s="31"/>
      <c r="GFX42" s="30"/>
      <c r="GFY42" s="31"/>
      <c r="GFZ42" s="30"/>
      <c r="GGA42" s="31"/>
      <c r="GGB42" s="30"/>
      <c r="GGC42" s="31"/>
      <c r="GGD42" s="30"/>
      <c r="GGE42" s="31"/>
      <c r="GGF42" s="30"/>
      <c r="GGG42" s="31"/>
      <c r="GGH42" s="30"/>
      <c r="GGI42" s="31"/>
      <c r="GGJ42" s="30"/>
      <c r="GGK42" s="31"/>
      <c r="GGL42" s="30"/>
      <c r="GGM42" s="31"/>
      <c r="GGN42" s="30"/>
      <c r="GGO42" s="31"/>
      <c r="GGP42" s="30"/>
      <c r="GGQ42" s="31"/>
      <c r="GGR42" s="30"/>
      <c r="GGS42" s="31"/>
      <c r="GGT42" s="30"/>
      <c r="GGU42" s="31"/>
      <c r="GGV42" s="30"/>
      <c r="GGW42" s="31"/>
      <c r="GGX42" s="30"/>
      <c r="GGY42" s="31"/>
      <c r="GGZ42" s="30"/>
      <c r="GHA42" s="31"/>
      <c r="GHB42" s="30"/>
      <c r="GHC42" s="31"/>
      <c r="GHD42" s="30"/>
      <c r="GHE42" s="31"/>
      <c r="GHF42" s="30"/>
      <c r="GHG42" s="31"/>
      <c r="GHH42" s="30"/>
      <c r="GHI42" s="31"/>
      <c r="GHJ42" s="30"/>
      <c r="GHK42" s="31"/>
      <c r="GHL42" s="30"/>
      <c r="GHM42" s="31"/>
      <c r="GHN42" s="30"/>
      <c r="GHO42" s="31"/>
      <c r="GHP42" s="30"/>
      <c r="GHQ42" s="31"/>
      <c r="GHR42" s="30"/>
      <c r="GHS42" s="31"/>
      <c r="GHT42" s="30"/>
      <c r="GHU42" s="31"/>
      <c r="GHV42" s="30"/>
      <c r="GHW42" s="31"/>
      <c r="GHX42" s="30"/>
      <c r="GHY42" s="31"/>
      <c r="GHZ42" s="30"/>
      <c r="GIA42" s="31"/>
      <c r="GIB42" s="30"/>
      <c r="GIC42" s="31"/>
      <c r="GID42" s="30"/>
      <c r="GIE42" s="31"/>
      <c r="GIF42" s="30"/>
      <c r="GIG42" s="31"/>
      <c r="GIH42" s="30"/>
      <c r="GII42" s="31"/>
      <c r="GIJ42" s="30"/>
      <c r="GIK42" s="31"/>
      <c r="GIL42" s="30"/>
      <c r="GIM42" s="31"/>
      <c r="GIN42" s="30"/>
      <c r="GIO42" s="31"/>
      <c r="GIP42" s="30"/>
      <c r="GIQ42" s="31"/>
      <c r="GIR42" s="30"/>
      <c r="GIS42" s="31"/>
      <c r="GIT42" s="30"/>
      <c r="GIU42" s="31"/>
      <c r="GIV42" s="30"/>
      <c r="GIW42" s="31"/>
      <c r="GIX42" s="30"/>
      <c r="GIY42" s="31"/>
      <c r="GIZ42" s="30"/>
      <c r="GJA42" s="31"/>
      <c r="GJB42" s="30"/>
      <c r="GJC42" s="31"/>
      <c r="GJD42" s="30"/>
      <c r="GJE42" s="31"/>
      <c r="GJF42" s="30"/>
      <c r="GJG42" s="31"/>
      <c r="GJH42" s="30"/>
      <c r="GJI42" s="31"/>
      <c r="GJJ42" s="30"/>
      <c r="GJK42" s="31"/>
      <c r="GJL42" s="30"/>
      <c r="GJM42" s="31"/>
      <c r="GJN42" s="30"/>
      <c r="GJO42" s="31"/>
      <c r="GJP42" s="30"/>
      <c r="GJQ42" s="31"/>
      <c r="GJR42" s="30"/>
      <c r="GJS42" s="31"/>
      <c r="GJT42" s="30"/>
      <c r="GJU42" s="31"/>
      <c r="GJV42" s="30"/>
      <c r="GJW42" s="31"/>
      <c r="GJX42" s="30"/>
      <c r="GJY42" s="31"/>
      <c r="GJZ42" s="30"/>
      <c r="GKA42" s="31"/>
      <c r="GKB42" s="30"/>
      <c r="GKC42" s="31"/>
      <c r="GKD42" s="30"/>
      <c r="GKE42" s="31"/>
      <c r="GKF42" s="30"/>
      <c r="GKG42" s="31"/>
      <c r="GKH42" s="30"/>
      <c r="GKI42" s="31"/>
      <c r="GKJ42" s="30"/>
      <c r="GKK42" s="31"/>
      <c r="GKL42" s="30"/>
      <c r="GKM42" s="31"/>
      <c r="GKN42" s="30"/>
      <c r="GKO42" s="31"/>
      <c r="GKP42" s="30"/>
      <c r="GKQ42" s="31"/>
      <c r="GKR42" s="30"/>
      <c r="GKS42" s="31"/>
      <c r="GKT42" s="30"/>
      <c r="GKU42" s="31"/>
      <c r="GKV42" s="30"/>
      <c r="GKW42" s="31"/>
      <c r="GKX42" s="30"/>
      <c r="GKY42" s="31"/>
      <c r="GKZ42" s="30"/>
      <c r="GLA42" s="31"/>
      <c r="GLB42" s="30"/>
      <c r="GLC42" s="31"/>
      <c r="GLD42" s="30"/>
      <c r="GLE42" s="31"/>
      <c r="GLF42" s="30"/>
      <c r="GLG42" s="31"/>
      <c r="GLH42" s="30"/>
      <c r="GLI42" s="31"/>
      <c r="GLJ42" s="30"/>
      <c r="GLK42" s="31"/>
      <c r="GLL42" s="30"/>
      <c r="GLM42" s="31"/>
      <c r="GLN42" s="30"/>
      <c r="GLO42" s="31"/>
      <c r="GLP42" s="30"/>
      <c r="GLQ42" s="31"/>
      <c r="GLR42" s="30"/>
      <c r="GLS42" s="31"/>
      <c r="GLT42" s="30"/>
      <c r="GLU42" s="31"/>
      <c r="GLV42" s="30"/>
      <c r="GLW42" s="31"/>
      <c r="GLX42" s="30"/>
      <c r="GLY42" s="31"/>
      <c r="GLZ42" s="30"/>
      <c r="GMA42" s="31"/>
      <c r="GMB42" s="30"/>
      <c r="GMC42" s="31"/>
      <c r="GMD42" s="30"/>
      <c r="GME42" s="31"/>
      <c r="GMF42" s="30"/>
      <c r="GMG42" s="31"/>
      <c r="GMH42" s="30"/>
      <c r="GMI42" s="31"/>
      <c r="GMJ42" s="30"/>
      <c r="GMK42" s="31"/>
      <c r="GML42" s="30"/>
      <c r="GMM42" s="31"/>
      <c r="GMN42" s="30"/>
      <c r="GMO42" s="31"/>
      <c r="GMP42" s="30"/>
      <c r="GMQ42" s="31"/>
      <c r="GMR42" s="30"/>
      <c r="GMS42" s="31"/>
      <c r="GMT42" s="30"/>
      <c r="GMU42" s="31"/>
      <c r="GMV42" s="30"/>
      <c r="GMW42" s="31"/>
      <c r="GMX42" s="30"/>
      <c r="GMY42" s="31"/>
      <c r="GMZ42" s="30"/>
      <c r="GNA42" s="31"/>
      <c r="GNB42" s="30"/>
      <c r="GNC42" s="31"/>
      <c r="GND42" s="30"/>
      <c r="GNE42" s="31"/>
      <c r="GNF42" s="30"/>
      <c r="GNG42" s="31"/>
      <c r="GNH42" s="30"/>
      <c r="GNI42" s="31"/>
      <c r="GNJ42" s="30"/>
      <c r="GNK42" s="31"/>
      <c r="GNL42" s="30"/>
      <c r="GNM42" s="31"/>
      <c r="GNN42" s="30"/>
      <c r="GNO42" s="31"/>
      <c r="GNP42" s="30"/>
      <c r="GNQ42" s="31"/>
      <c r="GNR42" s="30"/>
      <c r="GNS42" s="31"/>
      <c r="GNT42" s="30"/>
      <c r="GNU42" s="31"/>
      <c r="GNV42" s="30"/>
      <c r="GNW42" s="31"/>
      <c r="GNX42" s="30"/>
      <c r="GNY42" s="31"/>
      <c r="GNZ42" s="30"/>
      <c r="GOA42" s="31"/>
      <c r="GOB42" s="30"/>
      <c r="GOC42" s="31"/>
      <c r="GOD42" s="30"/>
      <c r="GOE42" s="31"/>
      <c r="GOF42" s="30"/>
      <c r="GOG42" s="31"/>
      <c r="GOH42" s="30"/>
      <c r="GOI42" s="31"/>
      <c r="GOJ42" s="30"/>
      <c r="GOK42" s="31"/>
      <c r="GOL42" s="30"/>
      <c r="GOM42" s="31"/>
      <c r="GON42" s="30"/>
      <c r="GOO42" s="31"/>
      <c r="GOP42" s="30"/>
      <c r="GOQ42" s="31"/>
      <c r="GOR42" s="30"/>
      <c r="GOS42" s="31"/>
      <c r="GOT42" s="30"/>
      <c r="GOU42" s="31"/>
      <c r="GOV42" s="30"/>
      <c r="GOW42" s="31"/>
      <c r="GOX42" s="30"/>
      <c r="GOY42" s="31"/>
      <c r="GOZ42" s="30"/>
      <c r="GPA42" s="31"/>
      <c r="GPB42" s="30"/>
      <c r="GPC42" s="31"/>
      <c r="GPD42" s="30"/>
      <c r="GPE42" s="31"/>
      <c r="GPF42" s="30"/>
      <c r="GPG42" s="31"/>
      <c r="GPH42" s="30"/>
      <c r="GPI42" s="31"/>
      <c r="GPJ42" s="30"/>
      <c r="GPK42" s="31"/>
      <c r="GPL42" s="30"/>
      <c r="GPM42" s="31"/>
      <c r="GPN42" s="30"/>
      <c r="GPO42" s="31"/>
      <c r="GPP42" s="30"/>
      <c r="GPQ42" s="31"/>
      <c r="GPR42" s="30"/>
      <c r="GPS42" s="31"/>
      <c r="GPT42" s="30"/>
      <c r="GPU42" s="31"/>
      <c r="GPV42" s="30"/>
      <c r="GPW42" s="31"/>
      <c r="GPX42" s="30"/>
      <c r="GPY42" s="31"/>
      <c r="GPZ42" s="30"/>
      <c r="GQA42" s="31"/>
      <c r="GQB42" s="30"/>
      <c r="GQC42" s="31"/>
      <c r="GQD42" s="30"/>
      <c r="GQE42" s="31"/>
      <c r="GQF42" s="30"/>
      <c r="GQG42" s="31"/>
      <c r="GQH42" s="30"/>
      <c r="GQI42" s="31"/>
      <c r="GQJ42" s="30"/>
      <c r="GQK42" s="31"/>
      <c r="GQL42" s="30"/>
      <c r="GQM42" s="31"/>
      <c r="GQN42" s="30"/>
      <c r="GQO42" s="31"/>
      <c r="GQP42" s="30"/>
      <c r="GQQ42" s="31"/>
      <c r="GQR42" s="30"/>
      <c r="GQS42" s="31"/>
      <c r="GQT42" s="30"/>
      <c r="GQU42" s="31"/>
      <c r="GQV42" s="30"/>
      <c r="GQW42" s="31"/>
      <c r="GQX42" s="30"/>
      <c r="GQY42" s="31"/>
      <c r="GQZ42" s="30"/>
      <c r="GRA42" s="31"/>
      <c r="GRB42" s="30"/>
      <c r="GRC42" s="31"/>
      <c r="GRD42" s="30"/>
      <c r="GRE42" s="31"/>
      <c r="GRF42" s="30"/>
      <c r="GRG42" s="31"/>
      <c r="GRH42" s="30"/>
      <c r="GRI42" s="31"/>
      <c r="GRJ42" s="30"/>
      <c r="GRK42" s="31"/>
      <c r="GRL42" s="30"/>
      <c r="GRM42" s="31"/>
      <c r="GRN42" s="30"/>
      <c r="GRO42" s="31"/>
      <c r="GRP42" s="30"/>
      <c r="GRQ42" s="31"/>
      <c r="GRR42" s="30"/>
      <c r="GRS42" s="31"/>
      <c r="GRT42" s="30"/>
      <c r="GRU42" s="31"/>
      <c r="GRV42" s="30"/>
      <c r="GRW42" s="31"/>
      <c r="GRX42" s="30"/>
      <c r="GRY42" s="31"/>
      <c r="GRZ42" s="30"/>
      <c r="GSA42" s="31"/>
      <c r="GSB42" s="30"/>
      <c r="GSC42" s="31"/>
      <c r="GSD42" s="30"/>
      <c r="GSE42" s="31"/>
      <c r="GSF42" s="30"/>
      <c r="GSG42" s="31"/>
      <c r="GSH42" s="30"/>
      <c r="GSI42" s="31"/>
      <c r="GSJ42" s="30"/>
      <c r="GSK42" s="31"/>
      <c r="GSL42" s="30"/>
      <c r="GSM42" s="31"/>
      <c r="GSN42" s="30"/>
      <c r="GSO42" s="31"/>
      <c r="GSP42" s="30"/>
      <c r="GSQ42" s="31"/>
      <c r="GSR42" s="30"/>
      <c r="GSS42" s="31"/>
      <c r="GST42" s="30"/>
      <c r="GSU42" s="31"/>
      <c r="GSV42" s="30"/>
      <c r="GSW42" s="31"/>
      <c r="GSX42" s="30"/>
      <c r="GSY42" s="31"/>
      <c r="GSZ42" s="30"/>
      <c r="GTA42" s="31"/>
      <c r="GTB42" s="30"/>
      <c r="GTC42" s="31"/>
      <c r="GTD42" s="30"/>
      <c r="GTE42" s="31"/>
      <c r="GTF42" s="30"/>
      <c r="GTG42" s="31"/>
      <c r="GTH42" s="30"/>
      <c r="GTI42" s="31"/>
      <c r="GTJ42" s="30"/>
      <c r="GTK42" s="31"/>
      <c r="GTL42" s="30"/>
      <c r="GTM42" s="31"/>
      <c r="GTN42" s="30"/>
      <c r="GTO42" s="31"/>
      <c r="GTP42" s="30"/>
      <c r="GTQ42" s="31"/>
      <c r="GTR42" s="30"/>
      <c r="GTS42" s="31"/>
      <c r="GTT42" s="30"/>
      <c r="GTU42" s="31"/>
      <c r="GTV42" s="30"/>
      <c r="GTW42" s="31"/>
      <c r="GTX42" s="30"/>
      <c r="GTY42" s="31"/>
      <c r="GTZ42" s="30"/>
      <c r="GUA42" s="31"/>
      <c r="GUB42" s="30"/>
      <c r="GUC42" s="31"/>
      <c r="GUD42" s="30"/>
      <c r="GUE42" s="31"/>
      <c r="GUF42" s="30"/>
      <c r="GUG42" s="31"/>
      <c r="GUH42" s="30"/>
      <c r="GUI42" s="31"/>
      <c r="GUJ42" s="30"/>
      <c r="GUK42" s="31"/>
      <c r="GUL42" s="30"/>
      <c r="GUM42" s="31"/>
      <c r="GUN42" s="30"/>
      <c r="GUO42" s="31"/>
      <c r="GUP42" s="30"/>
      <c r="GUQ42" s="31"/>
      <c r="GUR42" s="30"/>
      <c r="GUS42" s="31"/>
      <c r="GUT42" s="30"/>
      <c r="GUU42" s="31"/>
      <c r="GUV42" s="30"/>
      <c r="GUW42" s="31"/>
      <c r="GUX42" s="30"/>
      <c r="GUY42" s="31"/>
      <c r="GUZ42" s="30"/>
      <c r="GVA42" s="31"/>
      <c r="GVB42" s="30"/>
      <c r="GVC42" s="31"/>
      <c r="GVD42" s="30"/>
      <c r="GVE42" s="31"/>
      <c r="GVF42" s="30"/>
      <c r="GVG42" s="31"/>
      <c r="GVH42" s="30"/>
      <c r="GVI42" s="31"/>
      <c r="GVJ42" s="30"/>
      <c r="GVK42" s="31"/>
      <c r="GVL42" s="30"/>
      <c r="GVM42" s="31"/>
      <c r="GVN42" s="30"/>
      <c r="GVO42" s="31"/>
      <c r="GVP42" s="30"/>
      <c r="GVQ42" s="31"/>
      <c r="GVR42" s="30"/>
      <c r="GVS42" s="31"/>
      <c r="GVT42" s="30"/>
      <c r="GVU42" s="31"/>
      <c r="GVV42" s="30"/>
      <c r="GVW42" s="31"/>
      <c r="GVX42" s="30"/>
      <c r="GVY42" s="31"/>
      <c r="GVZ42" s="30"/>
      <c r="GWA42" s="31"/>
      <c r="GWB42" s="30"/>
      <c r="GWC42" s="31"/>
      <c r="GWD42" s="30"/>
      <c r="GWE42" s="31"/>
      <c r="GWF42" s="30"/>
      <c r="GWG42" s="31"/>
      <c r="GWH42" s="30"/>
      <c r="GWI42" s="31"/>
      <c r="GWJ42" s="30"/>
      <c r="GWK42" s="31"/>
      <c r="GWL42" s="30"/>
      <c r="GWM42" s="31"/>
      <c r="GWN42" s="30"/>
      <c r="GWO42" s="31"/>
      <c r="GWP42" s="30"/>
      <c r="GWQ42" s="31"/>
      <c r="GWR42" s="30"/>
      <c r="GWS42" s="31"/>
      <c r="GWT42" s="30"/>
      <c r="GWU42" s="31"/>
      <c r="GWV42" s="30"/>
      <c r="GWW42" s="31"/>
      <c r="GWX42" s="30"/>
      <c r="GWY42" s="31"/>
      <c r="GWZ42" s="30"/>
      <c r="GXA42" s="31"/>
      <c r="GXB42" s="30"/>
      <c r="GXC42" s="31"/>
      <c r="GXD42" s="30"/>
      <c r="GXE42" s="31"/>
      <c r="GXF42" s="30"/>
      <c r="GXG42" s="31"/>
      <c r="GXH42" s="30"/>
      <c r="GXI42" s="31"/>
      <c r="GXJ42" s="30"/>
      <c r="GXK42" s="31"/>
      <c r="GXL42" s="30"/>
      <c r="GXM42" s="31"/>
      <c r="GXN42" s="30"/>
      <c r="GXO42" s="31"/>
      <c r="GXP42" s="30"/>
      <c r="GXQ42" s="31"/>
      <c r="GXR42" s="30"/>
      <c r="GXS42" s="31"/>
      <c r="GXT42" s="30"/>
      <c r="GXU42" s="31"/>
      <c r="GXV42" s="30"/>
      <c r="GXW42" s="31"/>
      <c r="GXX42" s="30"/>
      <c r="GXY42" s="31"/>
      <c r="GXZ42" s="30"/>
      <c r="GYA42" s="31"/>
      <c r="GYB42" s="30"/>
      <c r="GYC42" s="31"/>
      <c r="GYD42" s="30"/>
      <c r="GYE42" s="31"/>
      <c r="GYF42" s="30"/>
      <c r="GYG42" s="31"/>
      <c r="GYH42" s="30"/>
      <c r="GYI42" s="31"/>
      <c r="GYJ42" s="30"/>
      <c r="GYK42" s="31"/>
      <c r="GYL42" s="30"/>
      <c r="GYM42" s="31"/>
      <c r="GYN42" s="30"/>
      <c r="GYO42" s="31"/>
      <c r="GYP42" s="30"/>
      <c r="GYQ42" s="31"/>
      <c r="GYR42" s="30"/>
      <c r="GYS42" s="31"/>
      <c r="GYT42" s="30"/>
      <c r="GYU42" s="31"/>
      <c r="GYV42" s="30"/>
      <c r="GYW42" s="31"/>
      <c r="GYX42" s="30"/>
      <c r="GYY42" s="31"/>
      <c r="GYZ42" s="30"/>
      <c r="GZA42" s="31"/>
      <c r="GZB42" s="30"/>
      <c r="GZC42" s="31"/>
      <c r="GZD42" s="30"/>
      <c r="GZE42" s="31"/>
      <c r="GZF42" s="30"/>
      <c r="GZG42" s="31"/>
      <c r="GZH42" s="30"/>
      <c r="GZI42" s="31"/>
      <c r="GZJ42" s="30"/>
      <c r="GZK42" s="31"/>
      <c r="GZL42" s="30"/>
      <c r="GZM42" s="31"/>
      <c r="GZN42" s="30"/>
      <c r="GZO42" s="31"/>
      <c r="GZP42" s="30"/>
      <c r="GZQ42" s="31"/>
      <c r="GZR42" s="30"/>
      <c r="GZS42" s="31"/>
      <c r="GZT42" s="30"/>
      <c r="GZU42" s="31"/>
      <c r="GZV42" s="30"/>
      <c r="GZW42" s="31"/>
      <c r="GZX42" s="30"/>
      <c r="GZY42" s="31"/>
      <c r="GZZ42" s="30"/>
      <c r="HAA42" s="31"/>
      <c r="HAB42" s="30"/>
      <c r="HAC42" s="31"/>
      <c r="HAD42" s="30"/>
      <c r="HAE42" s="31"/>
      <c r="HAF42" s="30"/>
      <c r="HAG42" s="31"/>
      <c r="HAH42" s="30"/>
      <c r="HAI42" s="31"/>
      <c r="HAJ42" s="30"/>
      <c r="HAK42" s="31"/>
      <c r="HAL42" s="30"/>
      <c r="HAM42" s="31"/>
      <c r="HAN42" s="30"/>
      <c r="HAO42" s="31"/>
      <c r="HAP42" s="30"/>
      <c r="HAQ42" s="31"/>
      <c r="HAR42" s="30"/>
      <c r="HAS42" s="31"/>
      <c r="HAT42" s="30"/>
      <c r="HAU42" s="31"/>
      <c r="HAV42" s="30"/>
      <c r="HAW42" s="31"/>
      <c r="HAX42" s="30"/>
      <c r="HAY42" s="31"/>
      <c r="HAZ42" s="30"/>
      <c r="HBA42" s="31"/>
      <c r="HBB42" s="30"/>
      <c r="HBC42" s="31"/>
      <c r="HBD42" s="30"/>
      <c r="HBE42" s="31"/>
      <c r="HBF42" s="30"/>
      <c r="HBG42" s="31"/>
      <c r="HBH42" s="30"/>
      <c r="HBI42" s="31"/>
      <c r="HBJ42" s="30"/>
      <c r="HBK42" s="31"/>
      <c r="HBL42" s="30"/>
      <c r="HBM42" s="31"/>
      <c r="HBN42" s="30"/>
      <c r="HBO42" s="31"/>
      <c r="HBP42" s="30"/>
      <c r="HBQ42" s="31"/>
      <c r="HBR42" s="30"/>
      <c r="HBS42" s="31"/>
      <c r="HBT42" s="30"/>
      <c r="HBU42" s="31"/>
      <c r="HBV42" s="30"/>
      <c r="HBW42" s="31"/>
      <c r="HBX42" s="30"/>
      <c r="HBY42" s="31"/>
      <c r="HBZ42" s="30"/>
      <c r="HCA42" s="31"/>
      <c r="HCB42" s="30"/>
      <c r="HCC42" s="31"/>
      <c r="HCD42" s="30"/>
      <c r="HCE42" s="31"/>
      <c r="HCF42" s="30"/>
      <c r="HCG42" s="31"/>
      <c r="HCH42" s="30"/>
      <c r="HCI42" s="31"/>
      <c r="HCJ42" s="30"/>
      <c r="HCK42" s="31"/>
      <c r="HCL42" s="30"/>
      <c r="HCM42" s="31"/>
      <c r="HCN42" s="30"/>
      <c r="HCO42" s="31"/>
      <c r="HCP42" s="30"/>
      <c r="HCQ42" s="31"/>
      <c r="HCR42" s="30"/>
      <c r="HCS42" s="31"/>
      <c r="HCT42" s="30"/>
      <c r="HCU42" s="31"/>
      <c r="HCV42" s="30"/>
      <c r="HCW42" s="31"/>
      <c r="HCX42" s="30"/>
      <c r="HCY42" s="31"/>
      <c r="HCZ42" s="30"/>
      <c r="HDA42" s="31"/>
      <c r="HDB42" s="30"/>
      <c r="HDC42" s="31"/>
      <c r="HDD42" s="30"/>
      <c r="HDE42" s="31"/>
      <c r="HDF42" s="30"/>
      <c r="HDG42" s="31"/>
      <c r="HDH42" s="30"/>
      <c r="HDI42" s="31"/>
      <c r="HDJ42" s="30"/>
      <c r="HDK42" s="31"/>
      <c r="HDL42" s="30"/>
      <c r="HDM42" s="31"/>
      <c r="HDN42" s="30"/>
      <c r="HDO42" s="31"/>
      <c r="HDP42" s="30"/>
      <c r="HDQ42" s="31"/>
      <c r="HDR42" s="30"/>
      <c r="HDS42" s="31"/>
      <c r="HDT42" s="30"/>
      <c r="HDU42" s="31"/>
      <c r="HDV42" s="30"/>
      <c r="HDW42" s="31"/>
      <c r="HDX42" s="30"/>
      <c r="HDY42" s="31"/>
      <c r="HDZ42" s="30"/>
      <c r="HEA42" s="31"/>
      <c r="HEB42" s="30"/>
      <c r="HEC42" s="31"/>
      <c r="HED42" s="30"/>
      <c r="HEE42" s="31"/>
      <c r="HEF42" s="30"/>
      <c r="HEG42" s="31"/>
      <c r="HEH42" s="30"/>
      <c r="HEI42" s="31"/>
      <c r="HEJ42" s="30"/>
      <c r="HEK42" s="31"/>
      <c r="HEL42" s="30"/>
      <c r="HEM42" s="31"/>
      <c r="HEN42" s="30"/>
      <c r="HEO42" s="31"/>
      <c r="HEP42" s="30"/>
      <c r="HEQ42" s="31"/>
      <c r="HER42" s="30"/>
      <c r="HES42" s="31"/>
      <c r="HET42" s="30"/>
      <c r="HEU42" s="31"/>
      <c r="HEV42" s="30"/>
      <c r="HEW42" s="31"/>
      <c r="HEX42" s="30"/>
      <c r="HEY42" s="31"/>
      <c r="HEZ42" s="30"/>
      <c r="HFA42" s="31"/>
      <c r="HFB42" s="30"/>
      <c r="HFC42" s="31"/>
      <c r="HFD42" s="30"/>
      <c r="HFE42" s="31"/>
      <c r="HFF42" s="30"/>
      <c r="HFG42" s="31"/>
      <c r="HFH42" s="30"/>
      <c r="HFI42" s="31"/>
      <c r="HFJ42" s="30"/>
      <c r="HFK42" s="31"/>
      <c r="HFL42" s="30"/>
      <c r="HFM42" s="31"/>
      <c r="HFN42" s="30"/>
      <c r="HFO42" s="31"/>
      <c r="HFP42" s="30"/>
      <c r="HFQ42" s="31"/>
      <c r="HFR42" s="30"/>
      <c r="HFS42" s="31"/>
      <c r="HFT42" s="30"/>
      <c r="HFU42" s="31"/>
      <c r="HFV42" s="30"/>
      <c r="HFW42" s="31"/>
      <c r="HFX42" s="30"/>
      <c r="HFY42" s="31"/>
      <c r="HFZ42" s="30"/>
      <c r="HGA42" s="31"/>
      <c r="HGB42" s="30"/>
      <c r="HGC42" s="31"/>
      <c r="HGD42" s="30"/>
      <c r="HGE42" s="31"/>
      <c r="HGF42" s="30"/>
      <c r="HGG42" s="31"/>
      <c r="HGH42" s="30"/>
      <c r="HGI42" s="31"/>
      <c r="HGJ42" s="30"/>
      <c r="HGK42" s="31"/>
      <c r="HGL42" s="30"/>
      <c r="HGM42" s="31"/>
      <c r="HGN42" s="30"/>
      <c r="HGO42" s="31"/>
      <c r="HGP42" s="30"/>
      <c r="HGQ42" s="31"/>
      <c r="HGR42" s="30"/>
      <c r="HGS42" s="31"/>
      <c r="HGT42" s="30"/>
      <c r="HGU42" s="31"/>
      <c r="HGV42" s="30"/>
      <c r="HGW42" s="31"/>
      <c r="HGX42" s="30"/>
      <c r="HGY42" s="31"/>
      <c r="HGZ42" s="30"/>
      <c r="HHA42" s="31"/>
      <c r="HHB42" s="30"/>
      <c r="HHC42" s="31"/>
      <c r="HHD42" s="30"/>
      <c r="HHE42" s="31"/>
      <c r="HHF42" s="30"/>
      <c r="HHG42" s="31"/>
      <c r="HHH42" s="30"/>
      <c r="HHI42" s="31"/>
      <c r="HHJ42" s="30"/>
      <c r="HHK42" s="31"/>
      <c r="HHL42" s="30"/>
      <c r="HHM42" s="31"/>
      <c r="HHN42" s="30"/>
      <c r="HHO42" s="31"/>
      <c r="HHP42" s="30"/>
      <c r="HHQ42" s="31"/>
      <c r="HHR42" s="30"/>
      <c r="HHS42" s="31"/>
      <c r="HHT42" s="30"/>
      <c r="HHU42" s="31"/>
      <c r="HHV42" s="30"/>
      <c r="HHW42" s="31"/>
      <c r="HHX42" s="30"/>
      <c r="HHY42" s="31"/>
      <c r="HHZ42" s="30"/>
      <c r="HIA42" s="31"/>
      <c r="HIB42" s="30"/>
      <c r="HIC42" s="31"/>
      <c r="HID42" s="30"/>
      <c r="HIE42" s="31"/>
      <c r="HIF42" s="30"/>
      <c r="HIG42" s="31"/>
      <c r="HIH42" s="30"/>
      <c r="HII42" s="31"/>
      <c r="HIJ42" s="30"/>
      <c r="HIK42" s="31"/>
      <c r="HIL42" s="30"/>
      <c r="HIM42" s="31"/>
      <c r="HIN42" s="30"/>
      <c r="HIO42" s="31"/>
      <c r="HIP42" s="30"/>
      <c r="HIQ42" s="31"/>
      <c r="HIR42" s="30"/>
      <c r="HIS42" s="31"/>
      <c r="HIT42" s="30"/>
      <c r="HIU42" s="31"/>
      <c r="HIV42" s="30"/>
      <c r="HIW42" s="31"/>
      <c r="HIX42" s="30"/>
      <c r="HIY42" s="31"/>
      <c r="HIZ42" s="30"/>
      <c r="HJA42" s="31"/>
      <c r="HJB42" s="30"/>
      <c r="HJC42" s="31"/>
      <c r="HJD42" s="30"/>
      <c r="HJE42" s="31"/>
      <c r="HJF42" s="30"/>
      <c r="HJG42" s="31"/>
      <c r="HJH42" s="30"/>
      <c r="HJI42" s="31"/>
      <c r="HJJ42" s="30"/>
      <c r="HJK42" s="31"/>
      <c r="HJL42" s="30"/>
      <c r="HJM42" s="31"/>
      <c r="HJN42" s="30"/>
      <c r="HJO42" s="31"/>
      <c r="HJP42" s="30"/>
      <c r="HJQ42" s="31"/>
      <c r="HJR42" s="30"/>
      <c r="HJS42" s="31"/>
      <c r="HJT42" s="30"/>
      <c r="HJU42" s="31"/>
      <c r="HJV42" s="30"/>
      <c r="HJW42" s="31"/>
      <c r="HJX42" s="30"/>
      <c r="HJY42" s="31"/>
      <c r="HJZ42" s="30"/>
      <c r="HKA42" s="31"/>
      <c r="HKB42" s="30"/>
      <c r="HKC42" s="31"/>
      <c r="HKD42" s="30"/>
      <c r="HKE42" s="31"/>
      <c r="HKF42" s="30"/>
      <c r="HKG42" s="31"/>
      <c r="HKH42" s="30"/>
      <c r="HKI42" s="31"/>
      <c r="HKJ42" s="30"/>
      <c r="HKK42" s="31"/>
      <c r="HKL42" s="30"/>
      <c r="HKM42" s="31"/>
      <c r="HKN42" s="30"/>
      <c r="HKO42" s="31"/>
      <c r="HKP42" s="30"/>
      <c r="HKQ42" s="31"/>
      <c r="HKR42" s="30"/>
      <c r="HKS42" s="31"/>
      <c r="HKT42" s="30"/>
      <c r="HKU42" s="31"/>
      <c r="HKV42" s="30"/>
      <c r="HKW42" s="31"/>
      <c r="HKX42" s="30"/>
      <c r="HKY42" s="31"/>
      <c r="HKZ42" s="30"/>
      <c r="HLA42" s="31"/>
      <c r="HLB42" s="30"/>
      <c r="HLC42" s="31"/>
      <c r="HLD42" s="30"/>
      <c r="HLE42" s="31"/>
      <c r="HLF42" s="30"/>
      <c r="HLG42" s="31"/>
      <c r="HLH42" s="30"/>
      <c r="HLI42" s="31"/>
      <c r="HLJ42" s="30"/>
      <c r="HLK42" s="31"/>
      <c r="HLL42" s="30"/>
      <c r="HLM42" s="31"/>
      <c r="HLN42" s="30"/>
      <c r="HLO42" s="31"/>
      <c r="HLP42" s="30"/>
      <c r="HLQ42" s="31"/>
      <c r="HLR42" s="30"/>
      <c r="HLS42" s="31"/>
      <c r="HLT42" s="30"/>
      <c r="HLU42" s="31"/>
      <c r="HLV42" s="30"/>
      <c r="HLW42" s="31"/>
      <c r="HLX42" s="30"/>
      <c r="HLY42" s="31"/>
      <c r="HLZ42" s="30"/>
      <c r="HMA42" s="31"/>
      <c r="HMB42" s="30"/>
      <c r="HMC42" s="31"/>
      <c r="HMD42" s="30"/>
      <c r="HME42" s="31"/>
      <c r="HMF42" s="30"/>
      <c r="HMG42" s="31"/>
      <c r="HMH42" s="30"/>
      <c r="HMI42" s="31"/>
      <c r="HMJ42" s="30"/>
      <c r="HMK42" s="31"/>
      <c r="HML42" s="30"/>
      <c r="HMM42" s="31"/>
      <c r="HMN42" s="30"/>
      <c r="HMO42" s="31"/>
      <c r="HMP42" s="30"/>
      <c r="HMQ42" s="31"/>
      <c r="HMR42" s="30"/>
      <c r="HMS42" s="31"/>
      <c r="HMT42" s="30"/>
      <c r="HMU42" s="31"/>
      <c r="HMV42" s="30"/>
      <c r="HMW42" s="31"/>
      <c r="HMX42" s="30"/>
      <c r="HMY42" s="31"/>
      <c r="HMZ42" s="30"/>
      <c r="HNA42" s="31"/>
      <c r="HNB42" s="30"/>
      <c r="HNC42" s="31"/>
      <c r="HND42" s="30"/>
      <c r="HNE42" s="31"/>
      <c r="HNF42" s="30"/>
      <c r="HNG42" s="31"/>
      <c r="HNH42" s="30"/>
      <c r="HNI42" s="31"/>
      <c r="HNJ42" s="30"/>
      <c r="HNK42" s="31"/>
      <c r="HNL42" s="30"/>
      <c r="HNM42" s="31"/>
      <c r="HNN42" s="30"/>
      <c r="HNO42" s="31"/>
      <c r="HNP42" s="30"/>
      <c r="HNQ42" s="31"/>
      <c r="HNR42" s="30"/>
      <c r="HNS42" s="31"/>
      <c r="HNT42" s="30"/>
      <c r="HNU42" s="31"/>
      <c r="HNV42" s="30"/>
      <c r="HNW42" s="31"/>
      <c r="HNX42" s="30"/>
      <c r="HNY42" s="31"/>
      <c r="HNZ42" s="30"/>
      <c r="HOA42" s="31"/>
      <c r="HOB42" s="30"/>
      <c r="HOC42" s="31"/>
      <c r="HOD42" s="30"/>
      <c r="HOE42" s="31"/>
      <c r="HOF42" s="30"/>
      <c r="HOG42" s="31"/>
      <c r="HOH42" s="30"/>
      <c r="HOI42" s="31"/>
      <c r="HOJ42" s="30"/>
      <c r="HOK42" s="31"/>
      <c r="HOL42" s="30"/>
      <c r="HOM42" s="31"/>
      <c r="HON42" s="30"/>
      <c r="HOO42" s="31"/>
      <c r="HOP42" s="30"/>
      <c r="HOQ42" s="31"/>
      <c r="HOR42" s="30"/>
      <c r="HOS42" s="31"/>
      <c r="HOT42" s="30"/>
      <c r="HOU42" s="31"/>
      <c r="HOV42" s="30"/>
      <c r="HOW42" s="31"/>
      <c r="HOX42" s="30"/>
      <c r="HOY42" s="31"/>
      <c r="HOZ42" s="30"/>
      <c r="HPA42" s="31"/>
      <c r="HPB42" s="30"/>
      <c r="HPC42" s="31"/>
      <c r="HPD42" s="30"/>
      <c r="HPE42" s="31"/>
      <c r="HPF42" s="30"/>
      <c r="HPG42" s="31"/>
      <c r="HPH42" s="30"/>
      <c r="HPI42" s="31"/>
      <c r="HPJ42" s="30"/>
      <c r="HPK42" s="31"/>
      <c r="HPL42" s="30"/>
      <c r="HPM42" s="31"/>
      <c r="HPN42" s="30"/>
      <c r="HPO42" s="31"/>
      <c r="HPP42" s="30"/>
      <c r="HPQ42" s="31"/>
      <c r="HPR42" s="30"/>
      <c r="HPS42" s="31"/>
      <c r="HPT42" s="30"/>
      <c r="HPU42" s="31"/>
      <c r="HPV42" s="30"/>
      <c r="HPW42" s="31"/>
      <c r="HPX42" s="30"/>
      <c r="HPY42" s="31"/>
      <c r="HPZ42" s="30"/>
      <c r="HQA42" s="31"/>
      <c r="HQB42" s="30"/>
      <c r="HQC42" s="31"/>
      <c r="HQD42" s="30"/>
      <c r="HQE42" s="31"/>
      <c r="HQF42" s="30"/>
      <c r="HQG42" s="31"/>
      <c r="HQH42" s="30"/>
      <c r="HQI42" s="31"/>
      <c r="HQJ42" s="30"/>
      <c r="HQK42" s="31"/>
      <c r="HQL42" s="30"/>
      <c r="HQM42" s="31"/>
      <c r="HQN42" s="30"/>
      <c r="HQO42" s="31"/>
      <c r="HQP42" s="30"/>
      <c r="HQQ42" s="31"/>
      <c r="HQR42" s="30"/>
      <c r="HQS42" s="31"/>
      <c r="HQT42" s="30"/>
      <c r="HQU42" s="31"/>
      <c r="HQV42" s="30"/>
      <c r="HQW42" s="31"/>
      <c r="HQX42" s="30"/>
      <c r="HQY42" s="31"/>
      <c r="HQZ42" s="30"/>
      <c r="HRA42" s="31"/>
      <c r="HRB42" s="30"/>
      <c r="HRC42" s="31"/>
      <c r="HRD42" s="30"/>
      <c r="HRE42" s="31"/>
      <c r="HRF42" s="30"/>
      <c r="HRG42" s="31"/>
      <c r="HRH42" s="30"/>
      <c r="HRI42" s="31"/>
      <c r="HRJ42" s="30"/>
      <c r="HRK42" s="31"/>
      <c r="HRL42" s="30"/>
      <c r="HRM42" s="31"/>
      <c r="HRN42" s="30"/>
      <c r="HRO42" s="31"/>
      <c r="HRP42" s="30"/>
      <c r="HRQ42" s="31"/>
      <c r="HRR42" s="30"/>
      <c r="HRS42" s="31"/>
      <c r="HRT42" s="30"/>
      <c r="HRU42" s="31"/>
      <c r="HRV42" s="30"/>
      <c r="HRW42" s="31"/>
      <c r="HRX42" s="30"/>
      <c r="HRY42" s="31"/>
      <c r="HRZ42" s="30"/>
      <c r="HSA42" s="31"/>
      <c r="HSB42" s="30"/>
      <c r="HSC42" s="31"/>
      <c r="HSD42" s="30"/>
      <c r="HSE42" s="31"/>
      <c r="HSF42" s="30"/>
      <c r="HSG42" s="31"/>
      <c r="HSH42" s="30"/>
      <c r="HSI42" s="31"/>
      <c r="HSJ42" s="30"/>
      <c r="HSK42" s="31"/>
      <c r="HSL42" s="30"/>
      <c r="HSM42" s="31"/>
      <c r="HSN42" s="30"/>
      <c r="HSO42" s="31"/>
      <c r="HSP42" s="30"/>
      <c r="HSQ42" s="31"/>
      <c r="HSR42" s="30"/>
      <c r="HSS42" s="31"/>
      <c r="HST42" s="30"/>
      <c r="HSU42" s="31"/>
      <c r="HSV42" s="30"/>
      <c r="HSW42" s="31"/>
      <c r="HSX42" s="30"/>
      <c r="HSY42" s="31"/>
      <c r="HSZ42" s="30"/>
      <c r="HTA42" s="31"/>
      <c r="HTB42" s="30"/>
      <c r="HTC42" s="31"/>
      <c r="HTD42" s="30"/>
      <c r="HTE42" s="31"/>
      <c r="HTF42" s="30"/>
      <c r="HTG42" s="31"/>
      <c r="HTH42" s="30"/>
      <c r="HTI42" s="31"/>
      <c r="HTJ42" s="30"/>
      <c r="HTK42" s="31"/>
      <c r="HTL42" s="30"/>
      <c r="HTM42" s="31"/>
      <c r="HTN42" s="30"/>
      <c r="HTO42" s="31"/>
      <c r="HTP42" s="30"/>
      <c r="HTQ42" s="31"/>
      <c r="HTR42" s="30"/>
      <c r="HTS42" s="31"/>
      <c r="HTT42" s="30"/>
      <c r="HTU42" s="31"/>
      <c r="HTV42" s="30"/>
      <c r="HTW42" s="31"/>
      <c r="HTX42" s="30"/>
      <c r="HTY42" s="31"/>
      <c r="HTZ42" s="30"/>
      <c r="HUA42" s="31"/>
      <c r="HUB42" s="30"/>
      <c r="HUC42" s="31"/>
      <c r="HUD42" s="30"/>
      <c r="HUE42" s="31"/>
      <c r="HUF42" s="30"/>
      <c r="HUG42" s="31"/>
      <c r="HUH42" s="30"/>
      <c r="HUI42" s="31"/>
      <c r="HUJ42" s="30"/>
      <c r="HUK42" s="31"/>
      <c r="HUL42" s="30"/>
      <c r="HUM42" s="31"/>
      <c r="HUN42" s="30"/>
      <c r="HUO42" s="31"/>
      <c r="HUP42" s="30"/>
      <c r="HUQ42" s="31"/>
      <c r="HUR42" s="30"/>
      <c r="HUS42" s="31"/>
      <c r="HUT42" s="30"/>
      <c r="HUU42" s="31"/>
      <c r="HUV42" s="30"/>
      <c r="HUW42" s="31"/>
      <c r="HUX42" s="30"/>
      <c r="HUY42" s="31"/>
      <c r="HUZ42" s="30"/>
      <c r="HVA42" s="31"/>
      <c r="HVB42" s="30"/>
      <c r="HVC42" s="31"/>
      <c r="HVD42" s="30"/>
      <c r="HVE42" s="31"/>
      <c r="HVF42" s="30"/>
      <c r="HVG42" s="31"/>
      <c r="HVH42" s="30"/>
      <c r="HVI42" s="31"/>
      <c r="HVJ42" s="30"/>
      <c r="HVK42" s="31"/>
      <c r="HVL42" s="30"/>
      <c r="HVM42" s="31"/>
      <c r="HVN42" s="30"/>
      <c r="HVO42" s="31"/>
      <c r="HVP42" s="30"/>
      <c r="HVQ42" s="31"/>
      <c r="HVR42" s="30"/>
      <c r="HVS42" s="31"/>
      <c r="HVT42" s="30"/>
      <c r="HVU42" s="31"/>
      <c r="HVV42" s="30"/>
      <c r="HVW42" s="31"/>
      <c r="HVX42" s="30"/>
      <c r="HVY42" s="31"/>
      <c r="HVZ42" s="30"/>
      <c r="HWA42" s="31"/>
      <c r="HWB42" s="30"/>
      <c r="HWC42" s="31"/>
      <c r="HWD42" s="30"/>
      <c r="HWE42" s="31"/>
      <c r="HWF42" s="30"/>
      <c r="HWG42" s="31"/>
      <c r="HWH42" s="30"/>
      <c r="HWI42" s="31"/>
      <c r="HWJ42" s="30"/>
      <c r="HWK42" s="31"/>
      <c r="HWL42" s="30"/>
      <c r="HWM42" s="31"/>
      <c r="HWN42" s="30"/>
      <c r="HWO42" s="31"/>
      <c r="HWP42" s="30"/>
      <c r="HWQ42" s="31"/>
      <c r="HWR42" s="30"/>
      <c r="HWS42" s="31"/>
      <c r="HWT42" s="30"/>
      <c r="HWU42" s="31"/>
      <c r="HWV42" s="30"/>
      <c r="HWW42" s="31"/>
      <c r="HWX42" s="30"/>
      <c r="HWY42" s="31"/>
      <c r="HWZ42" s="30"/>
      <c r="HXA42" s="31"/>
      <c r="HXB42" s="30"/>
      <c r="HXC42" s="31"/>
      <c r="HXD42" s="30"/>
      <c r="HXE42" s="31"/>
      <c r="HXF42" s="30"/>
      <c r="HXG42" s="31"/>
      <c r="HXH42" s="30"/>
      <c r="HXI42" s="31"/>
      <c r="HXJ42" s="30"/>
      <c r="HXK42" s="31"/>
      <c r="HXL42" s="30"/>
      <c r="HXM42" s="31"/>
      <c r="HXN42" s="30"/>
      <c r="HXO42" s="31"/>
      <c r="HXP42" s="30"/>
      <c r="HXQ42" s="31"/>
      <c r="HXR42" s="30"/>
      <c r="HXS42" s="31"/>
      <c r="HXT42" s="30"/>
      <c r="HXU42" s="31"/>
      <c r="HXV42" s="30"/>
      <c r="HXW42" s="31"/>
      <c r="HXX42" s="30"/>
      <c r="HXY42" s="31"/>
      <c r="HXZ42" s="30"/>
      <c r="HYA42" s="31"/>
      <c r="HYB42" s="30"/>
      <c r="HYC42" s="31"/>
      <c r="HYD42" s="30"/>
      <c r="HYE42" s="31"/>
      <c r="HYF42" s="30"/>
      <c r="HYG42" s="31"/>
      <c r="HYH42" s="30"/>
      <c r="HYI42" s="31"/>
      <c r="HYJ42" s="30"/>
      <c r="HYK42" s="31"/>
      <c r="HYL42" s="30"/>
      <c r="HYM42" s="31"/>
      <c r="HYN42" s="30"/>
      <c r="HYO42" s="31"/>
      <c r="HYP42" s="30"/>
      <c r="HYQ42" s="31"/>
      <c r="HYR42" s="30"/>
      <c r="HYS42" s="31"/>
      <c r="HYT42" s="30"/>
      <c r="HYU42" s="31"/>
      <c r="HYV42" s="30"/>
      <c r="HYW42" s="31"/>
      <c r="HYX42" s="30"/>
      <c r="HYY42" s="31"/>
      <c r="HYZ42" s="30"/>
      <c r="HZA42" s="31"/>
      <c r="HZB42" s="30"/>
      <c r="HZC42" s="31"/>
      <c r="HZD42" s="30"/>
      <c r="HZE42" s="31"/>
      <c r="HZF42" s="30"/>
      <c r="HZG42" s="31"/>
      <c r="HZH42" s="30"/>
      <c r="HZI42" s="31"/>
      <c r="HZJ42" s="30"/>
      <c r="HZK42" s="31"/>
      <c r="HZL42" s="30"/>
      <c r="HZM42" s="31"/>
      <c r="HZN42" s="30"/>
      <c r="HZO42" s="31"/>
      <c r="HZP42" s="30"/>
      <c r="HZQ42" s="31"/>
      <c r="HZR42" s="30"/>
      <c r="HZS42" s="31"/>
      <c r="HZT42" s="30"/>
      <c r="HZU42" s="31"/>
      <c r="HZV42" s="30"/>
      <c r="HZW42" s="31"/>
      <c r="HZX42" s="30"/>
      <c r="HZY42" s="31"/>
      <c r="HZZ42" s="30"/>
      <c r="IAA42" s="31"/>
      <c r="IAB42" s="30"/>
      <c r="IAC42" s="31"/>
      <c r="IAD42" s="30"/>
      <c r="IAE42" s="31"/>
      <c r="IAF42" s="30"/>
      <c r="IAG42" s="31"/>
      <c r="IAH42" s="30"/>
      <c r="IAI42" s="31"/>
      <c r="IAJ42" s="30"/>
      <c r="IAK42" s="31"/>
      <c r="IAL42" s="30"/>
      <c r="IAM42" s="31"/>
      <c r="IAN42" s="30"/>
      <c r="IAO42" s="31"/>
      <c r="IAP42" s="30"/>
      <c r="IAQ42" s="31"/>
      <c r="IAR42" s="30"/>
      <c r="IAS42" s="31"/>
      <c r="IAT42" s="30"/>
      <c r="IAU42" s="31"/>
      <c r="IAV42" s="30"/>
      <c r="IAW42" s="31"/>
      <c r="IAX42" s="30"/>
      <c r="IAY42" s="31"/>
      <c r="IAZ42" s="30"/>
      <c r="IBA42" s="31"/>
      <c r="IBB42" s="30"/>
      <c r="IBC42" s="31"/>
      <c r="IBD42" s="30"/>
      <c r="IBE42" s="31"/>
      <c r="IBF42" s="30"/>
      <c r="IBG42" s="31"/>
      <c r="IBH42" s="30"/>
      <c r="IBI42" s="31"/>
      <c r="IBJ42" s="30"/>
      <c r="IBK42" s="31"/>
      <c r="IBL42" s="30"/>
      <c r="IBM42" s="31"/>
      <c r="IBN42" s="30"/>
      <c r="IBO42" s="31"/>
      <c r="IBP42" s="30"/>
      <c r="IBQ42" s="31"/>
      <c r="IBR42" s="30"/>
      <c r="IBS42" s="31"/>
      <c r="IBT42" s="30"/>
      <c r="IBU42" s="31"/>
      <c r="IBV42" s="30"/>
      <c r="IBW42" s="31"/>
      <c r="IBX42" s="30"/>
      <c r="IBY42" s="31"/>
      <c r="IBZ42" s="30"/>
      <c r="ICA42" s="31"/>
      <c r="ICB42" s="30"/>
      <c r="ICC42" s="31"/>
      <c r="ICD42" s="30"/>
      <c r="ICE42" s="31"/>
      <c r="ICF42" s="30"/>
      <c r="ICG42" s="31"/>
      <c r="ICH42" s="30"/>
      <c r="ICI42" s="31"/>
      <c r="ICJ42" s="30"/>
      <c r="ICK42" s="31"/>
      <c r="ICL42" s="30"/>
      <c r="ICM42" s="31"/>
      <c r="ICN42" s="30"/>
      <c r="ICO42" s="31"/>
      <c r="ICP42" s="30"/>
      <c r="ICQ42" s="31"/>
      <c r="ICR42" s="30"/>
      <c r="ICS42" s="31"/>
      <c r="ICT42" s="30"/>
      <c r="ICU42" s="31"/>
      <c r="ICV42" s="30"/>
      <c r="ICW42" s="31"/>
      <c r="ICX42" s="30"/>
      <c r="ICY42" s="31"/>
      <c r="ICZ42" s="30"/>
      <c r="IDA42" s="31"/>
      <c r="IDB42" s="30"/>
      <c r="IDC42" s="31"/>
      <c r="IDD42" s="30"/>
      <c r="IDE42" s="31"/>
      <c r="IDF42" s="30"/>
      <c r="IDG42" s="31"/>
      <c r="IDH42" s="30"/>
      <c r="IDI42" s="31"/>
      <c r="IDJ42" s="30"/>
      <c r="IDK42" s="31"/>
      <c r="IDL42" s="30"/>
      <c r="IDM42" s="31"/>
      <c r="IDN42" s="30"/>
      <c r="IDO42" s="31"/>
      <c r="IDP42" s="30"/>
      <c r="IDQ42" s="31"/>
      <c r="IDR42" s="30"/>
      <c r="IDS42" s="31"/>
      <c r="IDT42" s="30"/>
      <c r="IDU42" s="31"/>
      <c r="IDV42" s="30"/>
      <c r="IDW42" s="31"/>
      <c r="IDX42" s="30"/>
      <c r="IDY42" s="31"/>
      <c r="IDZ42" s="30"/>
      <c r="IEA42" s="31"/>
      <c r="IEB42" s="30"/>
      <c r="IEC42" s="31"/>
      <c r="IED42" s="30"/>
      <c r="IEE42" s="31"/>
      <c r="IEF42" s="30"/>
      <c r="IEG42" s="31"/>
      <c r="IEH42" s="30"/>
      <c r="IEI42" s="31"/>
      <c r="IEJ42" s="30"/>
      <c r="IEK42" s="31"/>
      <c r="IEL42" s="30"/>
      <c r="IEM42" s="31"/>
      <c r="IEN42" s="30"/>
      <c r="IEO42" s="31"/>
      <c r="IEP42" s="30"/>
      <c r="IEQ42" s="31"/>
      <c r="IER42" s="30"/>
      <c r="IES42" s="31"/>
      <c r="IET42" s="30"/>
      <c r="IEU42" s="31"/>
      <c r="IEV42" s="30"/>
      <c r="IEW42" s="31"/>
      <c r="IEX42" s="30"/>
      <c r="IEY42" s="31"/>
      <c r="IEZ42" s="30"/>
      <c r="IFA42" s="31"/>
      <c r="IFB42" s="30"/>
      <c r="IFC42" s="31"/>
      <c r="IFD42" s="30"/>
      <c r="IFE42" s="31"/>
      <c r="IFF42" s="30"/>
      <c r="IFG42" s="31"/>
      <c r="IFH42" s="30"/>
      <c r="IFI42" s="31"/>
      <c r="IFJ42" s="30"/>
      <c r="IFK42" s="31"/>
      <c r="IFL42" s="30"/>
      <c r="IFM42" s="31"/>
      <c r="IFN42" s="30"/>
      <c r="IFO42" s="31"/>
      <c r="IFP42" s="30"/>
      <c r="IFQ42" s="31"/>
      <c r="IFR42" s="30"/>
      <c r="IFS42" s="31"/>
      <c r="IFT42" s="30"/>
      <c r="IFU42" s="31"/>
      <c r="IFV42" s="30"/>
      <c r="IFW42" s="31"/>
      <c r="IFX42" s="30"/>
      <c r="IFY42" s="31"/>
      <c r="IFZ42" s="30"/>
      <c r="IGA42" s="31"/>
      <c r="IGB42" s="30"/>
      <c r="IGC42" s="31"/>
      <c r="IGD42" s="30"/>
      <c r="IGE42" s="31"/>
      <c r="IGF42" s="30"/>
      <c r="IGG42" s="31"/>
      <c r="IGH42" s="30"/>
      <c r="IGI42" s="31"/>
      <c r="IGJ42" s="30"/>
      <c r="IGK42" s="31"/>
      <c r="IGL42" s="30"/>
      <c r="IGM42" s="31"/>
      <c r="IGN42" s="30"/>
      <c r="IGO42" s="31"/>
      <c r="IGP42" s="30"/>
      <c r="IGQ42" s="31"/>
      <c r="IGR42" s="30"/>
      <c r="IGS42" s="31"/>
      <c r="IGT42" s="30"/>
      <c r="IGU42" s="31"/>
      <c r="IGV42" s="30"/>
      <c r="IGW42" s="31"/>
      <c r="IGX42" s="30"/>
      <c r="IGY42" s="31"/>
      <c r="IGZ42" s="30"/>
      <c r="IHA42" s="31"/>
      <c r="IHB42" s="30"/>
      <c r="IHC42" s="31"/>
      <c r="IHD42" s="30"/>
      <c r="IHE42" s="31"/>
      <c r="IHF42" s="30"/>
      <c r="IHG42" s="31"/>
      <c r="IHH42" s="30"/>
      <c r="IHI42" s="31"/>
      <c r="IHJ42" s="30"/>
      <c r="IHK42" s="31"/>
      <c r="IHL42" s="30"/>
      <c r="IHM42" s="31"/>
      <c r="IHN42" s="30"/>
      <c r="IHO42" s="31"/>
      <c r="IHP42" s="30"/>
      <c r="IHQ42" s="31"/>
      <c r="IHR42" s="30"/>
      <c r="IHS42" s="31"/>
      <c r="IHT42" s="30"/>
      <c r="IHU42" s="31"/>
      <c r="IHV42" s="30"/>
      <c r="IHW42" s="31"/>
      <c r="IHX42" s="30"/>
      <c r="IHY42" s="31"/>
      <c r="IHZ42" s="30"/>
      <c r="IIA42" s="31"/>
      <c r="IIB42" s="30"/>
      <c r="IIC42" s="31"/>
      <c r="IID42" s="30"/>
      <c r="IIE42" s="31"/>
      <c r="IIF42" s="30"/>
      <c r="IIG42" s="31"/>
      <c r="IIH42" s="30"/>
      <c r="III42" s="31"/>
      <c r="IIJ42" s="30"/>
      <c r="IIK42" s="31"/>
      <c r="IIL42" s="30"/>
      <c r="IIM42" s="31"/>
      <c r="IIN42" s="30"/>
      <c r="IIO42" s="31"/>
      <c r="IIP42" s="30"/>
      <c r="IIQ42" s="31"/>
      <c r="IIR42" s="30"/>
      <c r="IIS42" s="31"/>
      <c r="IIT42" s="30"/>
      <c r="IIU42" s="31"/>
      <c r="IIV42" s="30"/>
      <c r="IIW42" s="31"/>
      <c r="IIX42" s="30"/>
      <c r="IIY42" s="31"/>
      <c r="IIZ42" s="30"/>
      <c r="IJA42" s="31"/>
      <c r="IJB42" s="30"/>
      <c r="IJC42" s="31"/>
      <c r="IJD42" s="30"/>
      <c r="IJE42" s="31"/>
      <c r="IJF42" s="30"/>
      <c r="IJG42" s="31"/>
      <c r="IJH42" s="30"/>
      <c r="IJI42" s="31"/>
      <c r="IJJ42" s="30"/>
      <c r="IJK42" s="31"/>
      <c r="IJL42" s="30"/>
      <c r="IJM42" s="31"/>
      <c r="IJN42" s="30"/>
      <c r="IJO42" s="31"/>
      <c r="IJP42" s="30"/>
      <c r="IJQ42" s="31"/>
      <c r="IJR42" s="30"/>
      <c r="IJS42" s="31"/>
      <c r="IJT42" s="30"/>
      <c r="IJU42" s="31"/>
      <c r="IJV42" s="30"/>
      <c r="IJW42" s="31"/>
      <c r="IJX42" s="30"/>
      <c r="IJY42" s="31"/>
      <c r="IJZ42" s="30"/>
      <c r="IKA42" s="31"/>
      <c r="IKB42" s="30"/>
      <c r="IKC42" s="31"/>
      <c r="IKD42" s="30"/>
      <c r="IKE42" s="31"/>
      <c r="IKF42" s="30"/>
      <c r="IKG42" s="31"/>
      <c r="IKH42" s="30"/>
      <c r="IKI42" s="31"/>
      <c r="IKJ42" s="30"/>
      <c r="IKK42" s="31"/>
      <c r="IKL42" s="30"/>
      <c r="IKM42" s="31"/>
      <c r="IKN42" s="30"/>
      <c r="IKO42" s="31"/>
      <c r="IKP42" s="30"/>
      <c r="IKQ42" s="31"/>
      <c r="IKR42" s="30"/>
      <c r="IKS42" s="31"/>
      <c r="IKT42" s="30"/>
      <c r="IKU42" s="31"/>
      <c r="IKV42" s="30"/>
      <c r="IKW42" s="31"/>
      <c r="IKX42" s="30"/>
      <c r="IKY42" s="31"/>
      <c r="IKZ42" s="30"/>
      <c r="ILA42" s="31"/>
      <c r="ILB42" s="30"/>
      <c r="ILC42" s="31"/>
      <c r="ILD42" s="30"/>
      <c r="ILE42" s="31"/>
      <c r="ILF42" s="30"/>
      <c r="ILG42" s="31"/>
      <c r="ILH42" s="30"/>
      <c r="ILI42" s="31"/>
      <c r="ILJ42" s="30"/>
      <c r="ILK42" s="31"/>
      <c r="ILL42" s="30"/>
      <c r="ILM42" s="31"/>
      <c r="ILN42" s="30"/>
      <c r="ILO42" s="31"/>
      <c r="ILP42" s="30"/>
      <c r="ILQ42" s="31"/>
      <c r="ILR42" s="30"/>
      <c r="ILS42" s="31"/>
      <c r="ILT42" s="30"/>
      <c r="ILU42" s="31"/>
      <c r="ILV42" s="30"/>
      <c r="ILW42" s="31"/>
      <c r="ILX42" s="30"/>
      <c r="ILY42" s="31"/>
      <c r="ILZ42" s="30"/>
      <c r="IMA42" s="31"/>
      <c r="IMB42" s="30"/>
      <c r="IMC42" s="31"/>
      <c r="IMD42" s="30"/>
      <c r="IME42" s="31"/>
      <c r="IMF42" s="30"/>
      <c r="IMG42" s="31"/>
      <c r="IMH42" s="30"/>
      <c r="IMI42" s="31"/>
      <c r="IMJ42" s="30"/>
      <c r="IMK42" s="31"/>
      <c r="IML42" s="30"/>
      <c r="IMM42" s="31"/>
      <c r="IMN42" s="30"/>
      <c r="IMO42" s="31"/>
      <c r="IMP42" s="30"/>
      <c r="IMQ42" s="31"/>
      <c r="IMR42" s="30"/>
      <c r="IMS42" s="31"/>
      <c r="IMT42" s="30"/>
      <c r="IMU42" s="31"/>
      <c r="IMV42" s="30"/>
      <c r="IMW42" s="31"/>
      <c r="IMX42" s="30"/>
      <c r="IMY42" s="31"/>
      <c r="IMZ42" s="30"/>
      <c r="INA42" s="31"/>
      <c r="INB42" s="30"/>
      <c r="INC42" s="31"/>
      <c r="IND42" s="30"/>
      <c r="INE42" s="31"/>
      <c r="INF42" s="30"/>
      <c r="ING42" s="31"/>
      <c r="INH42" s="30"/>
      <c r="INI42" s="31"/>
      <c r="INJ42" s="30"/>
      <c r="INK42" s="31"/>
      <c r="INL42" s="30"/>
      <c r="INM42" s="31"/>
      <c r="INN42" s="30"/>
      <c r="INO42" s="31"/>
      <c r="INP42" s="30"/>
      <c r="INQ42" s="31"/>
      <c r="INR42" s="30"/>
      <c r="INS42" s="31"/>
      <c r="INT42" s="30"/>
      <c r="INU42" s="31"/>
      <c r="INV42" s="30"/>
      <c r="INW42" s="31"/>
      <c r="INX42" s="30"/>
      <c r="INY42" s="31"/>
      <c r="INZ42" s="30"/>
      <c r="IOA42" s="31"/>
      <c r="IOB42" s="30"/>
      <c r="IOC42" s="31"/>
      <c r="IOD42" s="30"/>
      <c r="IOE42" s="31"/>
      <c r="IOF42" s="30"/>
      <c r="IOG42" s="31"/>
      <c r="IOH42" s="30"/>
      <c r="IOI42" s="31"/>
      <c r="IOJ42" s="30"/>
      <c r="IOK42" s="31"/>
      <c r="IOL42" s="30"/>
      <c r="IOM42" s="31"/>
      <c r="ION42" s="30"/>
      <c r="IOO42" s="31"/>
      <c r="IOP42" s="30"/>
      <c r="IOQ42" s="31"/>
      <c r="IOR42" s="30"/>
      <c r="IOS42" s="31"/>
      <c r="IOT42" s="30"/>
      <c r="IOU42" s="31"/>
      <c r="IOV42" s="30"/>
      <c r="IOW42" s="31"/>
      <c r="IOX42" s="30"/>
      <c r="IOY42" s="31"/>
      <c r="IOZ42" s="30"/>
      <c r="IPA42" s="31"/>
      <c r="IPB42" s="30"/>
      <c r="IPC42" s="31"/>
      <c r="IPD42" s="30"/>
      <c r="IPE42" s="31"/>
      <c r="IPF42" s="30"/>
      <c r="IPG42" s="31"/>
      <c r="IPH42" s="30"/>
      <c r="IPI42" s="31"/>
      <c r="IPJ42" s="30"/>
      <c r="IPK42" s="31"/>
      <c r="IPL42" s="30"/>
      <c r="IPM42" s="31"/>
      <c r="IPN42" s="30"/>
      <c r="IPO42" s="31"/>
      <c r="IPP42" s="30"/>
      <c r="IPQ42" s="31"/>
      <c r="IPR42" s="30"/>
      <c r="IPS42" s="31"/>
      <c r="IPT42" s="30"/>
      <c r="IPU42" s="31"/>
      <c r="IPV42" s="30"/>
      <c r="IPW42" s="31"/>
      <c r="IPX42" s="30"/>
      <c r="IPY42" s="31"/>
      <c r="IPZ42" s="30"/>
      <c r="IQA42" s="31"/>
      <c r="IQB42" s="30"/>
      <c r="IQC42" s="31"/>
      <c r="IQD42" s="30"/>
      <c r="IQE42" s="31"/>
      <c r="IQF42" s="30"/>
      <c r="IQG42" s="31"/>
      <c r="IQH42" s="30"/>
      <c r="IQI42" s="31"/>
      <c r="IQJ42" s="30"/>
      <c r="IQK42" s="31"/>
      <c r="IQL42" s="30"/>
      <c r="IQM42" s="31"/>
      <c r="IQN42" s="30"/>
      <c r="IQO42" s="31"/>
      <c r="IQP42" s="30"/>
      <c r="IQQ42" s="31"/>
      <c r="IQR42" s="30"/>
      <c r="IQS42" s="31"/>
      <c r="IQT42" s="30"/>
      <c r="IQU42" s="31"/>
      <c r="IQV42" s="30"/>
      <c r="IQW42" s="31"/>
      <c r="IQX42" s="30"/>
      <c r="IQY42" s="31"/>
      <c r="IQZ42" s="30"/>
      <c r="IRA42" s="31"/>
      <c r="IRB42" s="30"/>
      <c r="IRC42" s="31"/>
      <c r="IRD42" s="30"/>
      <c r="IRE42" s="31"/>
      <c r="IRF42" s="30"/>
      <c r="IRG42" s="31"/>
      <c r="IRH42" s="30"/>
      <c r="IRI42" s="31"/>
      <c r="IRJ42" s="30"/>
      <c r="IRK42" s="31"/>
      <c r="IRL42" s="30"/>
      <c r="IRM42" s="31"/>
      <c r="IRN42" s="30"/>
      <c r="IRO42" s="31"/>
      <c r="IRP42" s="30"/>
      <c r="IRQ42" s="31"/>
      <c r="IRR42" s="30"/>
      <c r="IRS42" s="31"/>
      <c r="IRT42" s="30"/>
      <c r="IRU42" s="31"/>
      <c r="IRV42" s="30"/>
      <c r="IRW42" s="31"/>
      <c r="IRX42" s="30"/>
      <c r="IRY42" s="31"/>
      <c r="IRZ42" s="30"/>
      <c r="ISA42" s="31"/>
      <c r="ISB42" s="30"/>
      <c r="ISC42" s="31"/>
      <c r="ISD42" s="30"/>
      <c r="ISE42" s="31"/>
      <c r="ISF42" s="30"/>
      <c r="ISG42" s="31"/>
      <c r="ISH42" s="30"/>
      <c r="ISI42" s="31"/>
      <c r="ISJ42" s="30"/>
      <c r="ISK42" s="31"/>
      <c r="ISL42" s="30"/>
      <c r="ISM42" s="31"/>
      <c r="ISN42" s="30"/>
      <c r="ISO42" s="31"/>
      <c r="ISP42" s="30"/>
      <c r="ISQ42" s="31"/>
      <c r="ISR42" s="30"/>
      <c r="ISS42" s="31"/>
      <c r="IST42" s="30"/>
      <c r="ISU42" s="31"/>
      <c r="ISV42" s="30"/>
      <c r="ISW42" s="31"/>
      <c r="ISX42" s="30"/>
      <c r="ISY42" s="31"/>
      <c r="ISZ42" s="30"/>
      <c r="ITA42" s="31"/>
      <c r="ITB42" s="30"/>
      <c r="ITC42" s="31"/>
      <c r="ITD42" s="30"/>
      <c r="ITE42" s="31"/>
      <c r="ITF42" s="30"/>
      <c r="ITG42" s="31"/>
      <c r="ITH42" s="30"/>
      <c r="ITI42" s="31"/>
      <c r="ITJ42" s="30"/>
      <c r="ITK42" s="31"/>
      <c r="ITL42" s="30"/>
      <c r="ITM42" s="31"/>
      <c r="ITN42" s="30"/>
      <c r="ITO42" s="31"/>
      <c r="ITP42" s="30"/>
      <c r="ITQ42" s="31"/>
      <c r="ITR42" s="30"/>
      <c r="ITS42" s="31"/>
      <c r="ITT42" s="30"/>
      <c r="ITU42" s="31"/>
      <c r="ITV42" s="30"/>
      <c r="ITW42" s="31"/>
      <c r="ITX42" s="30"/>
      <c r="ITY42" s="31"/>
      <c r="ITZ42" s="30"/>
      <c r="IUA42" s="31"/>
      <c r="IUB42" s="30"/>
      <c r="IUC42" s="31"/>
      <c r="IUD42" s="30"/>
      <c r="IUE42" s="31"/>
      <c r="IUF42" s="30"/>
      <c r="IUG42" s="31"/>
      <c r="IUH42" s="30"/>
      <c r="IUI42" s="31"/>
      <c r="IUJ42" s="30"/>
      <c r="IUK42" s="31"/>
      <c r="IUL42" s="30"/>
      <c r="IUM42" s="31"/>
      <c r="IUN42" s="30"/>
      <c r="IUO42" s="31"/>
      <c r="IUP42" s="30"/>
      <c r="IUQ42" s="31"/>
      <c r="IUR42" s="30"/>
      <c r="IUS42" s="31"/>
      <c r="IUT42" s="30"/>
      <c r="IUU42" s="31"/>
      <c r="IUV42" s="30"/>
      <c r="IUW42" s="31"/>
      <c r="IUX42" s="30"/>
      <c r="IUY42" s="31"/>
      <c r="IUZ42" s="30"/>
      <c r="IVA42" s="31"/>
      <c r="IVB42" s="30"/>
      <c r="IVC42" s="31"/>
      <c r="IVD42" s="30"/>
      <c r="IVE42" s="31"/>
      <c r="IVF42" s="30"/>
      <c r="IVG42" s="31"/>
      <c r="IVH42" s="30"/>
      <c r="IVI42" s="31"/>
      <c r="IVJ42" s="30"/>
      <c r="IVK42" s="31"/>
      <c r="IVL42" s="30"/>
      <c r="IVM42" s="31"/>
      <c r="IVN42" s="30"/>
      <c r="IVO42" s="31"/>
      <c r="IVP42" s="30"/>
      <c r="IVQ42" s="31"/>
      <c r="IVR42" s="30"/>
      <c r="IVS42" s="31"/>
      <c r="IVT42" s="30"/>
      <c r="IVU42" s="31"/>
      <c r="IVV42" s="30"/>
      <c r="IVW42" s="31"/>
      <c r="IVX42" s="30"/>
      <c r="IVY42" s="31"/>
      <c r="IVZ42" s="30"/>
      <c r="IWA42" s="31"/>
      <c r="IWB42" s="30"/>
      <c r="IWC42" s="31"/>
      <c r="IWD42" s="30"/>
      <c r="IWE42" s="31"/>
      <c r="IWF42" s="30"/>
      <c r="IWG42" s="31"/>
      <c r="IWH42" s="30"/>
      <c r="IWI42" s="31"/>
      <c r="IWJ42" s="30"/>
      <c r="IWK42" s="31"/>
      <c r="IWL42" s="30"/>
      <c r="IWM42" s="31"/>
      <c r="IWN42" s="30"/>
      <c r="IWO42" s="31"/>
      <c r="IWP42" s="30"/>
      <c r="IWQ42" s="31"/>
      <c r="IWR42" s="30"/>
      <c r="IWS42" s="31"/>
      <c r="IWT42" s="30"/>
      <c r="IWU42" s="31"/>
      <c r="IWV42" s="30"/>
      <c r="IWW42" s="31"/>
      <c r="IWX42" s="30"/>
      <c r="IWY42" s="31"/>
      <c r="IWZ42" s="30"/>
      <c r="IXA42" s="31"/>
      <c r="IXB42" s="30"/>
      <c r="IXC42" s="31"/>
      <c r="IXD42" s="30"/>
      <c r="IXE42" s="31"/>
      <c r="IXF42" s="30"/>
      <c r="IXG42" s="31"/>
      <c r="IXH42" s="30"/>
      <c r="IXI42" s="31"/>
      <c r="IXJ42" s="30"/>
      <c r="IXK42" s="31"/>
      <c r="IXL42" s="30"/>
      <c r="IXM42" s="31"/>
      <c r="IXN42" s="30"/>
      <c r="IXO42" s="31"/>
      <c r="IXP42" s="30"/>
      <c r="IXQ42" s="31"/>
      <c r="IXR42" s="30"/>
      <c r="IXS42" s="31"/>
      <c r="IXT42" s="30"/>
      <c r="IXU42" s="31"/>
      <c r="IXV42" s="30"/>
      <c r="IXW42" s="31"/>
      <c r="IXX42" s="30"/>
      <c r="IXY42" s="31"/>
      <c r="IXZ42" s="30"/>
      <c r="IYA42" s="31"/>
      <c r="IYB42" s="30"/>
      <c r="IYC42" s="31"/>
      <c r="IYD42" s="30"/>
      <c r="IYE42" s="31"/>
      <c r="IYF42" s="30"/>
      <c r="IYG42" s="31"/>
      <c r="IYH42" s="30"/>
      <c r="IYI42" s="31"/>
      <c r="IYJ42" s="30"/>
      <c r="IYK42" s="31"/>
      <c r="IYL42" s="30"/>
      <c r="IYM42" s="31"/>
      <c r="IYN42" s="30"/>
      <c r="IYO42" s="31"/>
      <c r="IYP42" s="30"/>
      <c r="IYQ42" s="31"/>
      <c r="IYR42" s="30"/>
      <c r="IYS42" s="31"/>
      <c r="IYT42" s="30"/>
      <c r="IYU42" s="31"/>
      <c r="IYV42" s="30"/>
      <c r="IYW42" s="31"/>
      <c r="IYX42" s="30"/>
      <c r="IYY42" s="31"/>
      <c r="IYZ42" s="30"/>
      <c r="IZA42" s="31"/>
      <c r="IZB42" s="30"/>
      <c r="IZC42" s="31"/>
      <c r="IZD42" s="30"/>
      <c r="IZE42" s="31"/>
      <c r="IZF42" s="30"/>
      <c r="IZG42" s="31"/>
      <c r="IZH42" s="30"/>
      <c r="IZI42" s="31"/>
      <c r="IZJ42" s="30"/>
      <c r="IZK42" s="31"/>
      <c r="IZL42" s="30"/>
      <c r="IZM42" s="31"/>
      <c r="IZN42" s="30"/>
      <c r="IZO42" s="31"/>
      <c r="IZP42" s="30"/>
      <c r="IZQ42" s="31"/>
      <c r="IZR42" s="30"/>
      <c r="IZS42" s="31"/>
      <c r="IZT42" s="30"/>
      <c r="IZU42" s="31"/>
      <c r="IZV42" s="30"/>
      <c r="IZW42" s="31"/>
      <c r="IZX42" s="30"/>
      <c r="IZY42" s="31"/>
      <c r="IZZ42" s="30"/>
      <c r="JAA42" s="31"/>
      <c r="JAB42" s="30"/>
      <c r="JAC42" s="31"/>
      <c r="JAD42" s="30"/>
      <c r="JAE42" s="31"/>
      <c r="JAF42" s="30"/>
      <c r="JAG42" s="31"/>
      <c r="JAH42" s="30"/>
      <c r="JAI42" s="31"/>
      <c r="JAJ42" s="30"/>
      <c r="JAK42" s="31"/>
      <c r="JAL42" s="30"/>
      <c r="JAM42" s="31"/>
      <c r="JAN42" s="30"/>
      <c r="JAO42" s="31"/>
      <c r="JAP42" s="30"/>
      <c r="JAQ42" s="31"/>
      <c r="JAR42" s="30"/>
      <c r="JAS42" s="31"/>
      <c r="JAT42" s="30"/>
      <c r="JAU42" s="31"/>
      <c r="JAV42" s="30"/>
      <c r="JAW42" s="31"/>
      <c r="JAX42" s="30"/>
      <c r="JAY42" s="31"/>
      <c r="JAZ42" s="30"/>
      <c r="JBA42" s="31"/>
      <c r="JBB42" s="30"/>
      <c r="JBC42" s="31"/>
      <c r="JBD42" s="30"/>
      <c r="JBE42" s="31"/>
      <c r="JBF42" s="30"/>
      <c r="JBG42" s="31"/>
      <c r="JBH42" s="30"/>
      <c r="JBI42" s="31"/>
      <c r="JBJ42" s="30"/>
      <c r="JBK42" s="31"/>
      <c r="JBL42" s="30"/>
      <c r="JBM42" s="31"/>
      <c r="JBN42" s="30"/>
      <c r="JBO42" s="31"/>
      <c r="JBP42" s="30"/>
      <c r="JBQ42" s="31"/>
      <c r="JBR42" s="30"/>
      <c r="JBS42" s="31"/>
      <c r="JBT42" s="30"/>
      <c r="JBU42" s="31"/>
      <c r="JBV42" s="30"/>
      <c r="JBW42" s="31"/>
      <c r="JBX42" s="30"/>
      <c r="JBY42" s="31"/>
      <c r="JBZ42" s="30"/>
      <c r="JCA42" s="31"/>
      <c r="JCB42" s="30"/>
      <c r="JCC42" s="31"/>
      <c r="JCD42" s="30"/>
      <c r="JCE42" s="31"/>
      <c r="JCF42" s="30"/>
      <c r="JCG42" s="31"/>
      <c r="JCH42" s="30"/>
      <c r="JCI42" s="31"/>
      <c r="JCJ42" s="30"/>
      <c r="JCK42" s="31"/>
      <c r="JCL42" s="30"/>
      <c r="JCM42" s="31"/>
      <c r="JCN42" s="30"/>
      <c r="JCO42" s="31"/>
      <c r="JCP42" s="30"/>
      <c r="JCQ42" s="31"/>
      <c r="JCR42" s="30"/>
      <c r="JCS42" s="31"/>
      <c r="JCT42" s="30"/>
      <c r="JCU42" s="31"/>
      <c r="JCV42" s="30"/>
      <c r="JCW42" s="31"/>
      <c r="JCX42" s="30"/>
      <c r="JCY42" s="31"/>
      <c r="JCZ42" s="30"/>
      <c r="JDA42" s="31"/>
      <c r="JDB42" s="30"/>
      <c r="JDC42" s="31"/>
      <c r="JDD42" s="30"/>
      <c r="JDE42" s="31"/>
      <c r="JDF42" s="30"/>
      <c r="JDG42" s="31"/>
      <c r="JDH42" s="30"/>
      <c r="JDI42" s="31"/>
      <c r="JDJ42" s="30"/>
      <c r="JDK42" s="31"/>
      <c r="JDL42" s="30"/>
      <c r="JDM42" s="31"/>
      <c r="JDN42" s="30"/>
      <c r="JDO42" s="31"/>
      <c r="JDP42" s="30"/>
      <c r="JDQ42" s="31"/>
      <c r="JDR42" s="30"/>
      <c r="JDS42" s="31"/>
      <c r="JDT42" s="30"/>
      <c r="JDU42" s="31"/>
      <c r="JDV42" s="30"/>
      <c r="JDW42" s="31"/>
      <c r="JDX42" s="30"/>
      <c r="JDY42" s="31"/>
      <c r="JDZ42" s="30"/>
      <c r="JEA42" s="31"/>
      <c r="JEB42" s="30"/>
      <c r="JEC42" s="31"/>
      <c r="JED42" s="30"/>
      <c r="JEE42" s="31"/>
      <c r="JEF42" s="30"/>
      <c r="JEG42" s="31"/>
      <c r="JEH42" s="30"/>
      <c r="JEI42" s="31"/>
      <c r="JEJ42" s="30"/>
      <c r="JEK42" s="31"/>
      <c r="JEL42" s="30"/>
      <c r="JEM42" s="31"/>
      <c r="JEN42" s="30"/>
      <c r="JEO42" s="31"/>
      <c r="JEP42" s="30"/>
      <c r="JEQ42" s="31"/>
      <c r="JER42" s="30"/>
      <c r="JES42" s="31"/>
      <c r="JET42" s="30"/>
      <c r="JEU42" s="31"/>
      <c r="JEV42" s="30"/>
      <c r="JEW42" s="31"/>
      <c r="JEX42" s="30"/>
      <c r="JEY42" s="31"/>
      <c r="JEZ42" s="30"/>
      <c r="JFA42" s="31"/>
      <c r="JFB42" s="30"/>
      <c r="JFC42" s="31"/>
      <c r="JFD42" s="30"/>
      <c r="JFE42" s="31"/>
      <c r="JFF42" s="30"/>
      <c r="JFG42" s="31"/>
      <c r="JFH42" s="30"/>
      <c r="JFI42" s="31"/>
      <c r="JFJ42" s="30"/>
      <c r="JFK42" s="31"/>
      <c r="JFL42" s="30"/>
      <c r="JFM42" s="31"/>
      <c r="JFN42" s="30"/>
      <c r="JFO42" s="31"/>
      <c r="JFP42" s="30"/>
      <c r="JFQ42" s="31"/>
      <c r="JFR42" s="30"/>
      <c r="JFS42" s="31"/>
      <c r="JFT42" s="30"/>
      <c r="JFU42" s="31"/>
      <c r="JFV42" s="30"/>
      <c r="JFW42" s="31"/>
      <c r="JFX42" s="30"/>
      <c r="JFY42" s="31"/>
      <c r="JFZ42" s="30"/>
      <c r="JGA42" s="31"/>
      <c r="JGB42" s="30"/>
      <c r="JGC42" s="31"/>
      <c r="JGD42" s="30"/>
      <c r="JGE42" s="31"/>
      <c r="JGF42" s="30"/>
      <c r="JGG42" s="31"/>
      <c r="JGH42" s="30"/>
      <c r="JGI42" s="31"/>
      <c r="JGJ42" s="30"/>
      <c r="JGK42" s="31"/>
      <c r="JGL42" s="30"/>
      <c r="JGM42" s="31"/>
      <c r="JGN42" s="30"/>
      <c r="JGO42" s="31"/>
      <c r="JGP42" s="30"/>
      <c r="JGQ42" s="31"/>
      <c r="JGR42" s="30"/>
      <c r="JGS42" s="31"/>
      <c r="JGT42" s="30"/>
      <c r="JGU42" s="31"/>
      <c r="JGV42" s="30"/>
      <c r="JGW42" s="31"/>
      <c r="JGX42" s="30"/>
      <c r="JGY42" s="31"/>
      <c r="JGZ42" s="30"/>
      <c r="JHA42" s="31"/>
      <c r="JHB42" s="30"/>
      <c r="JHC42" s="31"/>
      <c r="JHD42" s="30"/>
      <c r="JHE42" s="31"/>
      <c r="JHF42" s="30"/>
      <c r="JHG42" s="31"/>
      <c r="JHH42" s="30"/>
      <c r="JHI42" s="31"/>
      <c r="JHJ42" s="30"/>
      <c r="JHK42" s="31"/>
      <c r="JHL42" s="30"/>
      <c r="JHM42" s="31"/>
      <c r="JHN42" s="30"/>
      <c r="JHO42" s="31"/>
      <c r="JHP42" s="30"/>
      <c r="JHQ42" s="31"/>
      <c r="JHR42" s="30"/>
      <c r="JHS42" s="31"/>
      <c r="JHT42" s="30"/>
      <c r="JHU42" s="31"/>
      <c r="JHV42" s="30"/>
      <c r="JHW42" s="31"/>
      <c r="JHX42" s="30"/>
      <c r="JHY42" s="31"/>
      <c r="JHZ42" s="30"/>
      <c r="JIA42" s="31"/>
      <c r="JIB42" s="30"/>
      <c r="JIC42" s="31"/>
      <c r="JID42" s="30"/>
      <c r="JIE42" s="31"/>
      <c r="JIF42" s="30"/>
      <c r="JIG42" s="31"/>
      <c r="JIH42" s="30"/>
      <c r="JII42" s="31"/>
      <c r="JIJ42" s="30"/>
      <c r="JIK42" s="31"/>
      <c r="JIL42" s="30"/>
      <c r="JIM42" s="31"/>
      <c r="JIN42" s="30"/>
      <c r="JIO42" s="31"/>
      <c r="JIP42" s="30"/>
      <c r="JIQ42" s="31"/>
      <c r="JIR42" s="30"/>
      <c r="JIS42" s="31"/>
      <c r="JIT42" s="30"/>
      <c r="JIU42" s="31"/>
      <c r="JIV42" s="30"/>
      <c r="JIW42" s="31"/>
      <c r="JIX42" s="30"/>
      <c r="JIY42" s="31"/>
      <c r="JIZ42" s="30"/>
      <c r="JJA42" s="31"/>
      <c r="JJB42" s="30"/>
      <c r="JJC42" s="31"/>
      <c r="JJD42" s="30"/>
      <c r="JJE42" s="31"/>
      <c r="JJF42" s="30"/>
      <c r="JJG42" s="31"/>
      <c r="JJH42" s="30"/>
      <c r="JJI42" s="31"/>
      <c r="JJJ42" s="30"/>
      <c r="JJK42" s="31"/>
      <c r="JJL42" s="30"/>
      <c r="JJM42" s="31"/>
      <c r="JJN42" s="30"/>
      <c r="JJO42" s="31"/>
      <c r="JJP42" s="30"/>
      <c r="JJQ42" s="31"/>
      <c r="JJR42" s="30"/>
      <c r="JJS42" s="31"/>
      <c r="JJT42" s="30"/>
      <c r="JJU42" s="31"/>
      <c r="JJV42" s="30"/>
      <c r="JJW42" s="31"/>
      <c r="JJX42" s="30"/>
      <c r="JJY42" s="31"/>
      <c r="JJZ42" s="30"/>
      <c r="JKA42" s="31"/>
      <c r="JKB42" s="30"/>
      <c r="JKC42" s="31"/>
      <c r="JKD42" s="30"/>
      <c r="JKE42" s="31"/>
      <c r="JKF42" s="30"/>
      <c r="JKG42" s="31"/>
      <c r="JKH42" s="30"/>
      <c r="JKI42" s="31"/>
      <c r="JKJ42" s="30"/>
      <c r="JKK42" s="31"/>
      <c r="JKL42" s="30"/>
      <c r="JKM42" s="31"/>
      <c r="JKN42" s="30"/>
      <c r="JKO42" s="31"/>
      <c r="JKP42" s="30"/>
      <c r="JKQ42" s="31"/>
      <c r="JKR42" s="30"/>
      <c r="JKS42" s="31"/>
      <c r="JKT42" s="30"/>
      <c r="JKU42" s="31"/>
      <c r="JKV42" s="30"/>
      <c r="JKW42" s="31"/>
      <c r="JKX42" s="30"/>
      <c r="JKY42" s="31"/>
      <c r="JKZ42" s="30"/>
      <c r="JLA42" s="31"/>
      <c r="JLB42" s="30"/>
      <c r="JLC42" s="31"/>
      <c r="JLD42" s="30"/>
      <c r="JLE42" s="31"/>
      <c r="JLF42" s="30"/>
      <c r="JLG42" s="31"/>
      <c r="JLH42" s="30"/>
      <c r="JLI42" s="31"/>
      <c r="JLJ42" s="30"/>
      <c r="JLK42" s="31"/>
      <c r="JLL42" s="30"/>
      <c r="JLM42" s="31"/>
      <c r="JLN42" s="30"/>
      <c r="JLO42" s="31"/>
      <c r="JLP42" s="30"/>
      <c r="JLQ42" s="31"/>
      <c r="JLR42" s="30"/>
      <c r="JLS42" s="31"/>
      <c r="JLT42" s="30"/>
      <c r="JLU42" s="31"/>
      <c r="JLV42" s="30"/>
      <c r="JLW42" s="31"/>
      <c r="JLX42" s="30"/>
      <c r="JLY42" s="31"/>
      <c r="JLZ42" s="30"/>
      <c r="JMA42" s="31"/>
      <c r="JMB42" s="30"/>
      <c r="JMC42" s="31"/>
      <c r="JMD42" s="30"/>
      <c r="JME42" s="31"/>
      <c r="JMF42" s="30"/>
      <c r="JMG42" s="31"/>
      <c r="JMH42" s="30"/>
      <c r="JMI42" s="31"/>
      <c r="JMJ42" s="30"/>
      <c r="JMK42" s="31"/>
      <c r="JML42" s="30"/>
      <c r="JMM42" s="31"/>
      <c r="JMN42" s="30"/>
      <c r="JMO42" s="31"/>
      <c r="JMP42" s="30"/>
      <c r="JMQ42" s="31"/>
      <c r="JMR42" s="30"/>
      <c r="JMS42" s="31"/>
      <c r="JMT42" s="30"/>
      <c r="JMU42" s="31"/>
      <c r="JMV42" s="30"/>
      <c r="JMW42" s="31"/>
      <c r="JMX42" s="30"/>
      <c r="JMY42" s="31"/>
      <c r="JMZ42" s="30"/>
      <c r="JNA42" s="31"/>
      <c r="JNB42" s="30"/>
      <c r="JNC42" s="31"/>
      <c r="JND42" s="30"/>
      <c r="JNE42" s="31"/>
      <c r="JNF42" s="30"/>
      <c r="JNG42" s="31"/>
      <c r="JNH42" s="30"/>
      <c r="JNI42" s="31"/>
      <c r="JNJ42" s="30"/>
      <c r="JNK42" s="31"/>
      <c r="JNL42" s="30"/>
      <c r="JNM42" s="31"/>
      <c r="JNN42" s="30"/>
      <c r="JNO42" s="31"/>
      <c r="JNP42" s="30"/>
      <c r="JNQ42" s="31"/>
      <c r="JNR42" s="30"/>
      <c r="JNS42" s="31"/>
      <c r="JNT42" s="30"/>
      <c r="JNU42" s="31"/>
      <c r="JNV42" s="30"/>
      <c r="JNW42" s="31"/>
      <c r="JNX42" s="30"/>
      <c r="JNY42" s="31"/>
      <c r="JNZ42" s="30"/>
      <c r="JOA42" s="31"/>
      <c r="JOB42" s="30"/>
      <c r="JOC42" s="31"/>
      <c r="JOD42" s="30"/>
      <c r="JOE42" s="31"/>
      <c r="JOF42" s="30"/>
      <c r="JOG42" s="31"/>
      <c r="JOH42" s="30"/>
      <c r="JOI42" s="31"/>
      <c r="JOJ42" s="30"/>
      <c r="JOK42" s="31"/>
      <c r="JOL42" s="30"/>
      <c r="JOM42" s="31"/>
      <c r="JON42" s="30"/>
      <c r="JOO42" s="31"/>
      <c r="JOP42" s="30"/>
      <c r="JOQ42" s="31"/>
      <c r="JOR42" s="30"/>
      <c r="JOS42" s="31"/>
      <c r="JOT42" s="30"/>
      <c r="JOU42" s="31"/>
      <c r="JOV42" s="30"/>
      <c r="JOW42" s="31"/>
      <c r="JOX42" s="30"/>
      <c r="JOY42" s="31"/>
      <c r="JOZ42" s="30"/>
      <c r="JPA42" s="31"/>
      <c r="JPB42" s="30"/>
      <c r="JPC42" s="31"/>
      <c r="JPD42" s="30"/>
      <c r="JPE42" s="31"/>
      <c r="JPF42" s="30"/>
      <c r="JPG42" s="31"/>
      <c r="JPH42" s="30"/>
      <c r="JPI42" s="31"/>
      <c r="JPJ42" s="30"/>
      <c r="JPK42" s="31"/>
      <c r="JPL42" s="30"/>
      <c r="JPM42" s="31"/>
      <c r="JPN42" s="30"/>
      <c r="JPO42" s="31"/>
      <c r="JPP42" s="30"/>
      <c r="JPQ42" s="31"/>
      <c r="JPR42" s="30"/>
      <c r="JPS42" s="31"/>
      <c r="JPT42" s="30"/>
      <c r="JPU42" s="31"/>
      <c r="JPV42" s="30"/>
      <c r="JPW42" s="31"/>
      <c r="JPX42" s="30"/>
      <c r="JPY42" s="31"/>
      <c r="JPZ42" s="30"/>
      <c r="JQA42" s="31"/>
      <c r="JQB42" s="30"/>
      <c r="JQC42" s="31"/>
      <c r="JQD42" s="30"/>
      <c r="JQE42" s="31"/>
      <c r="JQF42" s="30"/>
      <c r="JQG42" s="31"/>
      <c r="JQH42" s="30"/>
      <c r="JQI42" s="31"/>
      <c r="JQJ42" s="30"/>
      <c r="JQK42" s="31"/>
      <c r="JQL42" s="30"/>
      <c r="JQM42" s="31"/>
      <c r="JQN42" s="30"/>
      <c r="JQO42" s="31"/>
      <c r="JQP42" s="30"/>
      <c r="JQQ42" s="31"/>
      <c r="JQR42" s="30"/>
      <c r="JQS42" s="31"/>
      <c r="JQT42" s="30"/>
      <c r="JQU42" s="31"/>
      <c r="JQV42" s="30"/>
      <c r="JQW42" s="31"/>
      <c r="JQX42" s="30"/>
      <c r="JQY42" s="31"/>
      <c r="JQZ42" s="30"/>
      <c r="JRA42" s="31"/>
      <c r="JRB42" s="30"/>
      <c r="JRC42" s="31"/>
      <c r="JRD42" s="30"/>
      <c r="JRE42" s="31"/>
      <c r="JRF42" s="30"/>
      <c r="JRG42" s="31"/>
      <c r="JRH42" s="30"/>
      <c r="JRI42" s="31"/>
      <c r="JRJ42" s="30"/>
      <c r="JRK42" s="31"/>
      <c r="JRL42" s="30"/>
      <c r="JRM42" s="31"/>
      <c r="JRN42" s="30"/>
      <c r="JRO42" s="31"/>
      <c r="JRP42" s="30"/>
      <c r="JRQ42" s="31"/>
      <c r="JRR42" s="30"/>
      <c r="JRS42" s="31"/>
      <c r="JRT42" s="30"/>
      <c r="JRU42" s="31"/>
      <c r="JRV42" s="30"/>
      <c r="JRW42" s="31"/>
      <c r="JRX42" s="30"/>
      <c r="JRY42" s="31"/>
      <c r="JRZ42" s="30"/>
      <c r="JSA42" s="31"/>
      <c r="JSB42" s="30"/>
      <c r="JSC42" s="31"/>
      <c r="JSD42" s="30"/>
      <c r="JSE42" s="31"/>
      <c r="JSF42" s="30"/>
      <c r="JSG42" s="31"/>
      <c r="JSH42" s="30"/>
      <c r="JSI42" s="31"/>
      <c r="JSJ42" s="30"/>
      <c r="JSK42" s="31"/>
      <c r="JSL42" s="30"/>
      <c r="JSM42" s="31"/>
      <c r="JSN42" s="30"/>
      <c r="JSO42" s="31"/>
      <c r="JSP42" s="30"/>
      <c r="JSQ42" s="31"/>
      <c r="JSR42" s="30"/>
      <c r="JSS42" s="31"/>
      <c r="JST42" s="30"/>
      <c r="JSU42" s="31"/>
      <c r="JSV42" s="30"/>
      <c r="JSW42" s="31"/>
      <c r="JSX42" s="30"/>
      <c r="JSY42" s="31"/>
      <c r="JSZ42" s="30"/>
      <c r="JTA42" s="31"/>
      <c r="JTB42" s="30"/>
      <c r="JTC42" s="31"/>
      <c r="JTD42" s="30"/>
      <c r="JTE42" s="31"/>
      <c r="JTF42" s="30"/>
      <c r="JTG42" s="31"/>
      <c r="JTH42" s="30"/>
      <c r="JTI42" s="31"/>
      <c r="JTJ42" s="30"/>
      <c r="JTK42" s="31"/>
      <c r="JTL42" s="30"/>
      <c r="JTM42" s="31"/>
      <c r="JTN42" s="30"/>
      <c r="JTO42" s="31"/>
      <c r="JTP42" s="30"/>
      <c r="JTQ42" s="31"/>
      <c r="JTR42" s="30"/>
      <c r="JTS42" s="31"/>
      <c r="JTT42" s="30"/>
      <c r="JTU42" s="31"/>
      <c r="JTV42" s="30"/>
      <c r="JTW42" s="31"/>
      <c r="JTX42" s="30"/>
      <c r="JTY42" s="31"/>
      <c r="JTZ42" s="30"/>
      <c r="JUA42" s="31"/>
      <c r="JUB42" s="30"/>
      <c r="JUC42" s="31"/>
      <c r="JUD42" s="30"/>
      <c r="JUE42" s="31"/>
      <c r="JUF42" s="30"/>
      <c r="JUG42" s="31"/>
      <c r="JUH42" s="30"/>
      <c r="JUI42" s="31"/>
      <c r="JUJ42" s="30"/>
      <c r="JUK42" s="31"/>
      <c r="JUL42" s="30"/>
      <c r="JUM42" s="31"/>
      <c r="JUN42" s="30"/>
      <c r="JUO42" s="31"/>
      <c r="JUP42" s="30"/>
      <c r="JUQ42" s="31"/>
      <c r="JUR42" s="30"/>
      <c r="JUS42" s="31"/>
      <c r="JUT42" s="30"/>
      <c r="JUU42" s="31"/>
      <c r="JUV42" s="30"/>
      <c r="JUW42" s="31"/>
      <c r="JUX42" s="30"/>
      <c r="JUY42" s="31"/>
      <c r="JUZ42" s="30"/>
      <c r="JVA42" s="31"/>
      <c r="JVB42" s="30"/>
      <c r="JVC42" s="31"/>
      <c r="JVD42" s="30"/>
      <c r="JVE42" s="31"/>
      <c r="JVF42" s="30"/>
      <c r="JVG42" s="31"/>
      <c r="JVH42" s="30"/>
      <c r="JVI42" s="31"/>
      <c r="JVJ42" s="30"/>
      <c r="JVK42" s="31"/>
      <c r="JVL42" s="30"/>
      <c r="JVM42" s="31"/>
      <c r="JVN42" s="30"/>
      <c r="JVO42" s="31"/>
      <c r="JVP42" s="30"/>
      <c r="JVQ42" s="31"/>
      <c r="JVR42" s="30"/>
      <c r="JVS42" s="31"/>
      <c r="JVT42" s="30"/>
      <c r="JVU42" s="31"/>
      <c r="JVV42" s="30"/>
      <c r="JVW42" s="31"/>
      <c r="JVX42" s="30"/>
      <c r="JVY42" s="31"/>
      <c r="JVZ42" s="30"/>
      <c r="JWA42" s="31"/>
      <c r="JWB42" s="30"/>
      <c r="JWC42" s="31"/>
      <c r="JWD42" s="30"/>
      <c r="JWE42" s="31"/>
      <c r="JWF42" s="30"/>
      <c r="JWG42" s="31"/>
      <c r="JWH42" s="30"/>
      <c r="JWI42" s="31"/>
      <c r="JWJ42" s="30"/>
      <c r="JWK42" s="31"/>
      <c r="JWL42" s="30"/>
      <c r="JWM42" s="31"/>
      <c r="JWN42" s="30"/>
      <c r="JWO42" s="31"/>
      <c r="JWP42" s="30"/>
      <c r="JWQ42" s="31"/>
      <c r="JWR42" s="30"/>
      <c r="JWS42" s="31"/>
      <c r="JWT42" s="30"/>
      <c r="JWU42" s="31"/>
      <c r="JWV42" s="30"/>
      <c r="JWW42" s="31"/>
      <c r="JWX42" s="30"/>
      <c r="JWY42" s="31"/>
      <c r="JWZ42" s="30"/>
      <c r="JXA42" s="31"/>
      <c r="JXB42" s="30"/>
      <c r="JXC42" s="31"/>
      <c r="JXD42" s="30"/>
      <c r="JXE42" s="31"/>
      <c r="JXF42" s="30"/>
      <c r="JXG42" s="31"/>
      <c r="JXH42" s="30"/>
      <c r="JXI42" s="31"/>
      <c r="JXJ42" s="30"/>
      <c r="JXK42" s="31"/>
      <c r="JXL42" s="30"/>
      <c r="JXM42" s="31"/>
      <c r="JXN42" s="30"/>
      <c r="JXO42" s="31"/>
      <c r="JXP42" s="30"/>
      <c r="JXQ42" s="31"/>
      <c r="JXR42" s="30"/>
      <c r="JXS42" s="31"/>
      <c r="JXT42" s="30"/>
      <c r="JXU42" s="31"/>
      <c r="JXV42" s="30"/>
      <c r="JXW42" s="31"/>
      <c r="JXX42" s="30"/>
      <c r="JXY42" s="31"/>
      <c r="JXZ42" s="30"/>
      <c r="JYA42" s="31"/>
      <c r="JYB42" s="30"/>
      <c r="JYC42" s="31"/>
      <c r="JYD42" s="30"/>
      <c r="JYE42" s="31"/>
      <c r="JYF42" s="30"/>
      <c r="JYG42" s="31"/>
      <c r="JYH42" s="30"/>
      <c r="JYI42" s="31"/>
      <c r="JYJ42" s="30"/>
      <c r="JYK42" s="31"/>
      <c r="JYL42" s="30"/>
      <c r="JYM42" s="31"/>
      <c r="JYN42" s="30"/>
      <c r="JYO42" s="31"/>
      <c r="JYP42" s="30"/>
      <c r="JYQ42" s="31"/>
      <c r="JYR42" s="30"/>
      <c r="JYS42" s="31"/>
      <c r="JYT42" s="30"/>
      <c r="JYU42" s="31"/>
      <c r="JYV42" s="30"/>
      <c r="JYW42" s="31"/>
      <c r="JYX42" s="30"/>
      <c r="JYY42" s="31"/>
      <c r="JYZ42" s="30"/>
      <c r="JZA42" s="31"/>
      <c r="JZB42" s="30"/>
      <c r="JZC42" s="31"/>
      <c r="JZD42" s="30"/>
      <c r="JZE42" s="31"/>
      <c r="JZF42" s="30"/>
      <c r="JZG42" s="31"/>
      <c r="JZH42" s="30"/>
      <c r="JZI42" s="31"/>
      <c r="JZJ42" s="30"/>
      <c r="JZK42" s="31"/>
      <c r="JZL42" s="30"/>
      <c r="JZM42" s="31"/>
      <c r="JZN42" s="30"/>
      <c r="JZO42" s="31"/>
      <c r="JZP42" s="30"/>
      <c r="JZQ42" s="31"/>
      <c r="JZR42" s="30"/>
      <c r="JZS42" s="31"/>
      <c r="JZT42" s="30"/>
      <c r="JZU42" s="31"/>
      <c r="JZV42" s="30"/>
      <c r="JZW42" s="31"/>
      <c r="JZX42" s="30"/>
      <c r="JZY42" s="31"/>
      <c r="JZZ42" s="30"/>
      <c r="KAA42" s="31"/>
      <c r="KAB42" s="30"/>
      <c r="KAC42" s="31"/>
      <c r="KAD42" s="30"/>
      <c r="KAE42" s="31"/>
      <c r="KAF42" s="30"/>
      <c r="KAG42" s="31"/>
      <c r="KAH42" s="30"/>
      <c r="KAI42" s="31"/>
      <c r="KAJ42" s="30"/>
      <c r="KAK42" s="31"/>
      <c r="KAL42" s="30"/>
      <c r="KAM42" s="31"/>
      <c r="KAN42" s="30"/>
      <c r="KAO42" s="31"/>
      <c r="KAP42" s="30"/>
      <c r="KAQ42" s="31"/>
      <c r="KAR42" s="30"/>
      <c r="KAS42" s="31"/>
      <c r="KAT42" s="30"/>
      <c r="KAU42" s="31"/>
      <c r="KAV42" s="30"/>
      <c r="KAW42" s="31"/>
      <c r="KAX42" s="30"/>
      <c r="KAY42" s="31"/>
      <c r="KAZ42" s="30"/>
      <c r="KBA42" s="31"/>
      <c r="KBB42" s="30"/>
      <c r="KBC42" s="31"/>
      <c r="KBD42" s="30"/>
      <c r="KBE42" s="31"/>
      <c r="KBF42" s="30"/>
      <c r="KBG42" s="31"/>
      <c r="KBH42" s="30"/>
      <c r="KBI42" s="31"/>
      <c r="KBJ42" s="30"/>
      <c r="KBK42" s="31"/>
      <c r="KBL42" s="30"/>
      <c r="KBM42" s="31"/>
      <c r="KBN42" s="30"/>
      <c r="KBO42" s="31"/>
      <c r="KBP42" s="30"/>
      <c r="KBQ42" s="31"/>
      <c r="KBR42" s="30"/>
      <c r="KBS42" s="31"/>
      <c r="KBT42" s="30"/>
      <c r="KBU42" s="31"/>
      <c r="KBV42" s="30"/>
      <c r="KBW42" s="31"/>
      <c r="KBX42" s="30"/>
      <c r="KBY42" s="31"/>
      <c r="KBZ42" s="30"/>
      <c r="KCA42" s="31"/>
      <c r="KCB42" s="30"/>
      <c r="KCC42" s="31"/>
      <c r="KCD42" s="30"/>
      <c r="KCE42" s="31"/>
      <c r="KCF42" s="30"/>
      <c r="KCG42" s="31"/>
      <c r="KCH42" s="30"/>
      <c r="KCI42" s="31"/>
      <c r="KCJ42" s="30"/>
      <c r="KCK42" s="31"/>
      <c r="KCL42" s="30"/>
      <c r="KCM42" s="31"/>
      <c r="KCN42" s="30"/>
      <c r="KCO42" s="31"/>
      <c r="KCP42" s="30"/>
      <c r="KCQ42" s="31"/>
      <c r="KCR42" s="30"/>
      <c r="KCS42" s="31"/>
      <c r="KCT42" s="30"/>
      <c r="KCU42" s="31"/>
      <c r="KCV42" s="30"/>
      <c r="KCW42" s="31"/>
      <c r="KCX42" s="30"/>
      <c r="KCY42" s="31"/>
      <c r="KCZ42" s="30"/>
      <c r="KDA42" s="31"/>
      <c r="KDB42" s="30"/>
      <c r="KDC42" s="31"/>
      <c r="KDD42" s="30"/>
      <c r="KDE42" s="31"/>
      <c r="KDF42" s="30"/>
      <c r="KDG42" s="31"/>
      <c r="KDH42" s="30"/>
      <c r="KDI42" s="31"/>
      <c r="KDJ42" s="30"/>
      <c r="KDK42" s="31"/>
      <c r="KDL42" s="30"/>
      <c r="KDM42" s="31"/>
      <c r="KDN42" s="30"/>
      <c r="KDO42" s="31"/>
      <c r="KDP42" s="30"/>
      <c r="KDQ42" s="31"/>
      <c r="KDR42" s="30"/>
      <c r="KDS42" s="31"/>
      <c r="KDT42" s="30"/>
      <c r="KDU42" s="31"/>
      <c r="KDV42" s="30"/>
      <c r="KDW42" s="31"/>
      <c r="KDX42" s="30"/>
      <c r="KDY42" s="31"/>
      <c r="KDZ42" s="30"/>
      <c r="KEA42" s="31"/>
      <c r="KEB42" s="30"/>
      <c r="KEC42" s="31"/>
      <c r="KED42" s="30"/>
      <c r="KEE42" s="31"/>
      <c r="KEF42" s="30"/>
      <c r="KEG42" s="31"/>
      <c r="KEH42" s="30"/>
      <c r="KEI42" s="31"/>
      <c r="KEJ42" s="30"/>
      <c r="KEK42" s="31"/>
      <c r="KEL42" s="30"/>
      <c r="KEM42" s="31"/>
      <c r="KEN42" s="30"/>
      <c r="KEO42" s="31"/>
      <c r="KEP42" s="30"/>
      <c r="KEQ42" s="31"/>
      <c r="KER42" s="30"/>
      <c r="KES42" s="31"/>
      <c r="KET42" s="30"/>
      <c r="KEU42" s="31"/>
      <c r="KEV42" s="30"/>
      <c r="KEW42" s="31"/>
      <c r="KEX42" s="30"/>
      <c r="KEY42" s="31"/>
      <c r="KEZ42" s="30"/>
      <c r="KFA42" s="31"/>
      <c r="KFB42" s="30"/>
      <c r="KFC42" s="31"/>
      <c r="KFD42" s="30"/>
      <c r="KFE42" s="31"/>
      <c r="KFF42" s="30"/>
      <c r="KFG42" s="31"/>
      <c r="KFH42" s="30"/>
      <c r="KFI42" s="31"/>
      <c r="KFJ42" s="30"/>
      <c r="KFK42" s="31"/>
      <c r="KFL42" s="30"/>
      <c r="KFM42" s="31"/>
      <c r="KFN42" s="30"/>
      <c r="KFO42" s="31"/>
      <c r="KFP42" s="30"/>
      <c r="KFQ42" s="31"/>
      <c r="KFR42" s="30"/>
      <c r="KFS42" s="31"/>
      <c r="KFT42" s="30"/>
      <c r="KFU42" s="31"/>
      <c r="KFV42" s="30"/>
      <c r="KFW42" s="31"/>
      <c r="KFX42" s="30"/>
      <c r="KFY42" s="31"/>
      <c r="KFZ42" s="30"/>
      <c r="KGA42" s="31"/>
      <c r="KGB42" s="30"/>
      <c r="KGC42" s="31"/>
      <c r="KGD42" s="30"/>
      <c r="KGE42" s="31"/>
      <c r="KGF42" s="30"/>
      <c r="KGG42" s="31"/>
      <c r="KGH42" s="30"/>
      <c r="KGI42" s="31"/>
      <c r="KGJ42" s="30"/>
      <c r="KGK42" s="31"/>
      <c r="KGL42" s="30"/>
      <c r="KGM42" s="31"/>
      <c r="KGN42" s="30"/>
      <c r="KGO42" s="31"/>
      <c r="KGP42" s="30"/>
      <c r="KGQ42" s="31"/>
      <c r="KGR42" s="30"/>
      <c r="KGS42" s="31"/>
      <c r="KGT42" s="30"/>
      <c r="KGU42" s="31"/>
      <c r="KGV42" s="30"/>
      <c r="KGW42" s="31"/>
      <c r="KGX42" s="30"/>
      <c r="KGY42" s="31"/>
      <c r="KGZ42" s="30"/>
      <c r="KHA42" s="31"/>
      <c r="KHB42" s="30"/>
      <c r="KHC42" s="31"/>
      <c r="KHD42" s="30"/>
      <c r="KHE42" s="31"/>
      <c r="KHF42" s="30"/>
      <c r="KHG42" s="31"/>
      <c r="KHH42" s="30"/>
      <c r="KHI42" s="31"/>
      <c r="KHJ42" s="30"/>
      <c r="KHK42" s="31"/>
      <c r="KHL42" s="30"/>
      <c r="KHM42" s="31"/>
      <c r="KHN42" s="30"/>
      <c r="KHO42" s="31"/>
      <c r="KHP42" s="30"/>
      <c r="KHQ42" s="31"/>
      <c r="KHR42" s="30"/>
      <c r="KHS42" s="31"/>
      <c r="KHT42" s="30"/>
      <c r="KHU42" s="31"/>
      <c r="KHV42" s="30"/>
      <c r="KHW42" s="31"/>
      <c r="KHX42" s="30"/>
      <c r="KHY42" s="31"/>
      <c r="KHZ42" s="30"/>
      <c r="KIA42" s="31"/>
      <c r="KIB42" s="30"/>
      <c r="KIC42" s="31"/>
      <c r="KID42" s="30"/>
      <c r="KIE42" s="31"/>
      <c r="KIF42" s="30"/>
      <c r="KIG42" s="31"/>
      <c r="KIH42" s="30"/>
      <c r="KII42" s="31"/>
      <c r="KIJ42" s="30"/>
      <c r="KIK42" s="31"/>
      <c r="KIL42" s="30"/>
      <c r="KIM42" s="31"/>
      <c r="KIN42" s="30"/>
      <c r="KIO42" s="31"/>
      <c r="KIP42" s="30"/>
      <c r="KIQ42" s="31"/>
      <c r="KIR42" s="30"/>
      <c r="KIS42" s="31"/>
      <c r="KIT42" s="30"/>
      <c r="KIU42" s="31"/>
      <c r="KIV42" s="30"/>
      <c r="KIW42" s="31"/>
      <c r="KIX42" s="30"/>
      <c r="KIY42" s="31"/>
      <c r="KIZ42" s="30"/>
      <c r="KJA42" s="31"/>
      <c r="KJB42" s="30"/>
      <c r="KJC42" s="31"/>
      <c r="KJD42" s="30"/>
      <c r="KJE42" s="31"/>
      <c r="KJF42" s="30"/>
      <c r="KJG42" s="31"/>
      <c r="KJH42" s="30"/>
      <c r="KJI42" s="31"/>
      <c r="KJJ42" s="30"/>
      <c r="KJK42" s="31"/>
      <c r="KJL42" s="30"/>
      <c r="KJM42" s="31"/>
      <c r="KJN42" s="30"/>
      <c r="KJO42" s="31"/>
      <c r="KJP42" s="30"/>
      <c r="KJQ42" s="31"/>
      <c r="KJR42" s="30"/>
      <c r="KJS42" s="31"/>
      <c r="KJT42" s="30"/>
      <c r="KJU42" s="31"/>
      <c r="KJV42" s="30"/>
      <c r="KJW42" s="31"/>
      <c r="KJX42" s="30"/>
      <c r="KJY42" s="31"/>
      <c r="KJZ42" s="30"/>
      <c r="KKA42" s="31"/>
      <c r="KKB42" s="30"/>
      <c r="KKC42" s="31"/>
      <c r="KKD42" s="30"/>
      <c r="KKE42" s="31"/>
      <c r="KKF42" s="30"/>
      <c r="KKG42" s="31"/>
      <c r="KKH42" s="30"/>
      <c r="KKI42" s="31"/>
      <c r="KKJ42" s="30"/>
      <c r="KKK42" s="31"/>
      <c r="KKL42" s="30"/>
      <c r="KKM42" s="31"/>
      <c r="KKN42" s="30"/>
      <c r="KKO42" s="31"/>
      <c r="KKP42" s="30"/>
      <c r="KKQ42" s="31"/>
      <c r="KKR42" s="30"/>
      <c r="KKS42" s="31"/>
      <c r="KKT42" s="30"/>
      <c r="KKU42" s="31"/>
      <c r="KKV42" s="30"/>
      <c r="KKW42" s="31"/>
      <c r="KKX42" s="30"/>
      <c r="KKY42" s="31"/>
      <c r="KKZ42" s="30"/>
      <c r="KLA42" s="31"/>
      <c r="KLB42" s="30"/>
      <c r="KLC42" s="31"/>
      <c r="KLD42" s="30"/>
      <c r="KLE42" s="31"/>
      <c r="KLF42" s="30"/>
      <c r="KLG42" s="31"/>
      <c r="KLH42" s="30"/>
      <c r="KLI42" s="31"/>
      <c r="KLJ42" s="30"/>
      <c r="KLK42" s="31"/>
      <c r="KLL42" s="30"/>
      <c r="KLM42" s="31"/>
      <c r="KLN42" s="30"/>
      <c r="KLO42" s="31"/>
      <c r="KLP42" s="30"/>
      <c r="KLQ42" s="31"/>
      <c r="KLR42" s="30"/>
      <c r="KLS42" s="31"/>
      <c r="KLT42" s="30"/>
      <c r="KLU42" s="31"/>
      <c r="KLV42" s="30"/>
      <c r="KLW42" s="31"/>
      <c r="KLX42" s="30"/>
      <c r="KLY42" s="31"/>
      <c r="KLZ42" s="30"/>
      <c r="KMA42" s="31"/>
      <c r="KMB42" s="30"/>
      <c r="KMC42" s="31"/>
      <c r="KMD42" s="30"/>
      <c r="KME42" s="31"/>
      <c r="KMF42" s="30"/>
      <c r="KMG42" s="31"/>
      <c r="KMH42" s="30"/>
      <c r="KMI42" s="31"/>
      <c r="KMJ42" s="30"/>
      <c r="KMK42" s="31"/>
      <c r="KML42" s="30"/>
      <c r="KMM42" s="31"/>
      <c r="KMN42" s="30"/>
      <c r="KMO42" s="31"/>
      <c r="KMP42" s="30"/>
      <c r="KMQ42" s="31"/>
      <c r="KMR42" s="30"/>
      <c r="KMS42" s="31"/>
      <c r="KMT42" s="30"/>
      <c r="KMU42" s="31"/>
      <c r="KMV42" s="30"/>
      <c r="KMW42" s="31"/>
      <c r="KMX42" s="30"/>
      <c r="KMY42" s="31"/>
      <c r="KMZ42" s="30"/>
      <c r="KNA42" s="31"/>
      <c r="KNB42" s="30"/>
      <c r="KNC42" s="31"/>
      <c r="KND42" s="30"/>
      <c r="KNE42" s="31"/>
      <c r="KNF42" s="30"/>
      <c r="KNG42" s="31"/>
      <c r="KNH42" s="30"/>
      <c r="KNI42" s="31"/>
      <c r="KNJ42" s="30"/>
      <c r="KNK42" s="31"/>
      <c r="KNL42" s="30"/>
      <c r="KNM42" s="31"/>
      <c r="KNN42" s="30"/>
      <c r="KNO42" s="31"/>
      <c r="KNP42" s="30"/>
      <c r="KNQ42" s="31"/>
      <c r="KNR42" s="30"/>
      <c r="KNS42" s="31"/>
      <c r="KNT42" s="30"/>
      <c r="KNU42" s="31"/>
      <c r="KNV42" s="30"/>
      <c r="KNW42" s="31"/>
      <c r="KNX42" s="30"/>
      <c r="KNY42" s="31"/>
      <c r="KNZ42" s="30"/>
      <c r="KOA42" s="31"/>
      <c r="KOB42" s="30"/>
      <c r="KOC42" s="31"/>
      <c r="KOD42" s="30"/>
      <c r="KOE42" s="31"/>
      <c r="KOF42" s="30"/>
      <c r="KOG42" s="31"/>
      <c r="KOH42" s="30"/>
      <c r="KOI42" s="31"/>
      <c r="KOJ42" s="30"/>
      <c r="KOK42" s="31"/>
      <c r="KOL42" s="30"/>
      <c r="KOM42" s="31"/>
      <c r="KON42" s="30"/>
      <c r="KOO42" s="31"/>
      <c r="KOP42" s="30"/>
      <c r="KOQ42" s="31"/>
      <c r="KOR42" s="30"/>
      <c r="KOS42" s="31"/>
      <c r="KOT42" s="30"/>
      <c r="KOU42" s="31"/>
      <c r="KOV42" s="30"/>
      <c r="KOW42" s="31"/>
      <c r="KOX42" s="30"/>
      <c r="KOY42" s="31"/>
      <c r="KOZ42" s="30"/>
      <c r="KPA42" s="31"/>
      <c r="KPB42" s="30"/>
      <c r="KPC42" s="31"/>
      <c r="KPD42" s="30"/>
      <c r="KPE42" s="31"/>
      <c r="KPF42" s="30"/>
      <c r="KPG42" s="31"/>
      <c r="KPH42" s="30"/>
      <c r="KPI42" s="31"/>
      <c r="KPJ42" s="30"/>
      <c r="KPK42" s="31"/>
      <c r="KPL42" s="30"/>
      <c r="KPM42" s="31"/>
      <c r="KPN42" s="30"/>
      <c r="KPO42" s="31"/>
      <c r="KPP42" s="30"/>
      <c r="KPQ42" s="31"/>
      <c r="KPR42" s="30"/>
      <c r="KPS42" s="31"/>
      <c r="KPT42" s="30"/>
      <c r="KPU42" s="31"/>
      <c r="KPV42" s="30"/>
      <c r="KPW42" s="31"/>
      <c r="KPX42" s="30"/>
      <c r="KPY42" s="31"/>
      <c r="KPZ42" s="30"/>
      <c r="KQA42" s="31"/>
      <c r="KQB42" s="30"/>
      <c r="KQC42" s="31"/>
      <c r="KQD42" s="30"/>
      <c r="KQE42" s="31"/>
      <c r="KQF42" s="30"/>
      <c r="KQG42" s="31"/>
      <c r="KQH42" s="30"/>
      <c r="KQI42" s="31"/>
      <c r="KQJ42" s="30"/>
      <c r="KQK42" s="31"/>
      <c r="KQL42" s="30"/>
      <c r="KQM42" s="31"/>
      <c r="KQN42" s="30"/>
      <c r="KQO42" s="31"/>
      <c r="KQP42" s="30"/>
      <c r="KQQ42" s="31"/>
      <c r="KQR42" s="30"/>
      <c r="KQS42" s="31"/>
      <c r="KQT42" s="30"/>
      <c r="KQU42" s="31"/>
      <c r="KQV42" s="30"/>
      <c r="KQW42" s="31"/>
      <c r="KQX42" s="30"/>
      <c r="KQY42" s="31"/>
      <c r="KQZ42" s="30"/>
      <c r="KRA42" s="31"/>
      <c r="KRB42" s="30"/>
      <c r="KRC42" s="31"/>
      <c r="KRD42" s="30"/>
      <c r="KRE42" s="31"/>
      <c r="KRF42" s="30"/>
      <c r="KRG42" s="31"/>
      <c r="KRH42" s="30"/>
      <c r="KRI42" s="31"/>
      <c r="KRJ42" s="30"/>
      <c r="KRK42" s="31"/>
      <c r="KRL42" s="30"/>
      <c r="KRM42" s="31"/>
      <c r="KRN42" s="30"/>
      <c r="KRO42" s="31"/>
      <c r="KRP42" s="30"/>
      <c r="KRQ42" s="31"/>
      <c r="KRR42" s="30"/>
      <c r="KRS42" s="31"/>
      <c r="KRT42" s="30"/>
      <c r="KRU42" s="31"/>
      <c r="KRV42" s="30"/>
      <c r="KRW42" s="31"/>
      <c r="KRX42" s="30"/>
      <c r="KRY42" s="31"/>
      <c r="KRZ42" s="30"/>
      <c r="KSA42" s="31"/>
      <c r="KSB42" s="30"/>
      <c r="KSC42" s="31"/>
      <c r="KSD42" s="30"/>
      <c r="KSE42" s="31"/>
      <c r="KSF42" s="30"/>
      <c r="KSG42" s="31"/>
      <c r="KSH42" s="30"/>
      <c r="KSI42" s="31"/>
      <c r="KSJ42" s="30"/>
      <c r="KSK42" s="31"/>
      <c r="KSL42" s="30"/>
      <c r="KSM42" s="31"/>
      <c r="KSN42" s="30"/>
      <c r="KSO42" s="31"/>
      <c r="KSP42" s="30"/>
      <c r="KSQ42" s="31"/>
      <c r="KSR42" s="30"/>
      <c r="KSS42" s="31"/>
      <c r="KST42" s="30"/>
      <c r="KSU42" s="31"/>
      <c r="KSV42" s="30"/>
      <c r="KSW42" s="31"/>
      <c r="KSX42" s="30"/>
      <c r="KSY42" s="31"/>
      <c r="KSZ42" s="30"/>
      <c r="KTA42" s="31"/>
      <c r="KTB42" s="30"/>
      <c r="KTC42" s="31"/>
      <c r="KTD42" s="30"/>
      <c r="KTE42" s="31"/>
      <c r="KTF42" s="30"/>
      <c r="KTG42" s="31"/>
      <c r="KTH42" s="30"/>
      <c r="KTI42" s="31"/>
      <c r="KTJ42" s="30"/>
      <c r="KTK42" s="31"/>
      <c r="KTL42" s="30"/>
      <c r="KTM42" s="31"/>
      <c r="KTN42" s="30"/>
      <c r="KTO42" s="31"/>
      <c r="KTP42" s="30"/>
      <c r="KTQ42" s="31"/>
      <c r="KTR42" s="30"/>
      <c r="KTS42" s="31"/>
      <c r="KTT42" s="30"/>
      <c r="KTU42" s="31"/>
      <c r="KTV42" s="30"/>
      <c r="KTW42" s="31"/>
      <c r="KTX42" s="30"/>
      <c r="KTY42" s="31"/>
      <c r="KTZ42" s="30"/>
      <c r="KUA42" s="31"/>
      <c r="KUB42" s="30"/>
      <c r="KUC42" s="31"/>
      <c r="KUD42" s="30"/>
      <c r="KUE42" s="31"/>
      <c r="KUF42" s="30"/>
      <c r="KUG42" s="31"/>
      <c r="KUH42" s="30"/>
      <c r="KUI42" s="31"/>
      <c r="KUJ42" s="30"/>
      <c r="KUK42" s="31"/>
      <c r="KUL42" s="30"/>
      <c r="KUM42" s="31"/>
      <c r="KUN42" s="30"/>
      <c r="KUO42" s="31"/>
      <c r="KUP42" s="30"/>
      <c r="KUQ42" s="31"/>
      <c r="KUR42" s="30"/>
      <c r="KUS42" s="31"/>
      <c r="KUT42" s="30"/>
      <c r="KUU42" s="31"/>
      <c r="KUV42" s="30"/>
      <c r="KUW42" s="31"/>
      <c r="KUX42" s="30"/>
      <c r="KUY42" s="31"/>
      <c r="KUZ42" s="30"/>
      <c r="KVA42" s="31"/>
      <c r="KVB42" s="30"/>
      <c r="KVC42" s="31"/>
      <c r="KVD42" s="30"/>
      <c r="KVE42" s="31"/>
      <c r="KVF42" s="30"/>
      <c r="KVG42" s="31"/>
      <c r="KVH42" s="30"/>
      <c r="KVI42" s="31"/>
      <c r="KVJ42" s="30"/>
      <c r="KVK42" s="31"/>
      <c r="KVL42" s="30"/>
      <c r="KVM42" s="31"/>
      <c r="KVN42" s="30"/>
      <c r="KVO42" s="31"/>
      <c r="KVP42" s="30"/>
      <c r="KVQ42" s="31"/>
      <c r="KVR42" s="30"/>
      <c r="KVS42" s="31"/>
      <c r="KVT42" s="30"/>
      <c r="KVU42" s="31"/>
      <c r="KVV42" s="30"/>
      <c r="KVW42" s="31"/>
      <c r="KVX42" s="30"/>
      <c r="KVY42" s="31"/>
      <c r="KVZ42" s="30"/>
      <c r="KWA42" s="31"/>
      <c r="KWB42" s="30"/>
      <c r="KWC42" s="31"/>
      <c r="KWD42" s="30"/>
      <c r="KWE42" s="31"/>
      <c r="KWF42" s="30"/>
      <c r="KWG42" s="31"/>
      <c r="KWH42" s="30"/>
      <c r="KWI42" s="31"/>
      <c r="KWJ42" s="30"/>
      <c r="KWK42" s="31"/>
      <c r="KWL42" s="30"/>
      <c r="KWM42" s="31"/>
      <c r="KWN42" s="30"/>
      <c r="KWO42" s="31"/>
      <c r="KWP42" s="30"/>
      <c r="KWQ42" s="31"/>
      <c r="KWR42" s="30"/>
      <c r="KWS42" s="31"/>
      <c r="KWT42" s="30"/>
      <c r="KWU42" s="31"/>
      <c r="KWV42" s="30"/>
      <c r="KWW42" s="31"/>
      <c r="KWX42" s="30"/>
      <c r="KWY42" s="31"/>
      <c r="KWZ42" s="30"/>
      <c r="KXA42" s="31"/>
      <c r="KXB42" s="30"/>
      <c r="KXC42" s="31"/>
      <c r="KXD42" s="30"/>
      <c r="KXE42" s="31"/>
      <c r="KXF42" s="30"/>
      <c r="KXG42" s="31"/>
      <c r="KXH42" s="30"/>
      <c r="KXI42" s="31"/>
      <c r="KXJ42" s="30"/>
      <c r="KXK42" s="31"/>
      <c r="KXL42" s="30"/>
      <c r="KXM42" s="31"/>
      <c r="KXN42" s="30"/>
      <c r="KXO42" s="31"/>
      <c r="KXP42" s="30"/>
      <c r="KXQ42" s="31"/>
      <c r="KXR42" s="30"/>
      <c r="KXS42" s="31"/>
      <c r="KXT42" s="30"/>
      <c r="KXU42" s="31"/>
      <c r="KXV42" s="30"/>
      <c r="KXW42" s="31"/>
      <c r="KXX42" s="30"/>
      <c r="KXY42" s="31"/>
      <c r="KXZ42" s="30"/>
      <c r="KYA42" s="31"/>
      <c r="KYB42" s="30"/>
      <c r="KYC42" s="31"/>
      <c r="KYD42" s="30"/>
      <c r="KYE42" s="31"/>
      <c r="KYF42" s="30"/>
      <c r="KYG42" s="31"/>
      <c r="KYH42" s="30"/>
      <c r="KYI42" s="31"/>
      <c r="KYJ42" s="30"/>
      <c r="KYK42" s="31"/>
      <c r="KYL42" s="30"/>
      <c r="KYM42" s="31"/>
      <c r="KYN42" s="30"/>
      <c r="KYO42" s="31"/>
      <c r="KYP42" s="30"/>
      <c r="KYQ42" s="31"/>
      <c r="KYR42" s="30"/>
      <c r="KYS42" s="31"/>
      <c r="KYT42" s="30"/>
      <c r="KYU42" s="31"/>
      <c r="KYV42" s="30"/>
      <c r="KYW42" s="31"/>
      <c r="KYX42" s="30"/>
      <c r="KYY42" s="31"/>
      <c r="KYZ42" s="30"/>
      <c r="KZA42" s="31"/>
      <c r="KZB42" s="30"/>
      <c r="KZC42" s="31"/>
      <c r="KZD42" s="30"/>
      <c r="KZE42" s="31"/>
      <c r="KZF42" s="30"/>
      <c r="KZG42" s="31"/>
      <c r="KZH42" s="30"/>
      <c r="KZI42" s="31"/>
      <c r="KZJ42" s="30"/>
      <c r="KZK42" s="31"/>
      <c r="KZL42" s="30"/>
      <c r="KZM42" s="31"/>
      <c r="KZN42" s="30"/>
      <c r="KZO42" s="31"/>
      <c r="KZP42" s="30"/>
      <c r="KZQ42" s="31"/>
      <c r="KZR42" s="30"/>
      <c r="KZS42" s="31"/>
      <c r="KZT42" s="30"/>
      <c r="KZU42" s="31"/>
      <c r="KZV42" s="30"/>
      <c r="KZW42" s="31"/>
      <c r="KZX42" s="30"/>
      <c r="KZY42" s="31"/>
      <c r="KZZ42" s="30"/>
      <c r="LAA42" s="31"/>
      <c r="LAB42" s="30"/>
      <c r="LAC42" s="31"/>
      <c r="LAD42" s="30"/>
      <c r="LAE42" s="31"/>
      <c r="LAF42" s="30"/>
      <c r="LAG42" s="31"/>
      <c r="LAH42" s="30"/>
      <c r="LAI42" s="31"/>
      <c r="LAJ42" s="30"/>
      <c r="LAK42" s="31"/>
      <c r="LAL42" s="30"/>
      <c r="LAM42" s="31"/>
      <c r="LAN42" s="30"/>
      <c r="LAO42" s="31"/>
      <c r="LAP42" s="30"/>
      <c r="LAQ42" s="31"/>
      <c r="LAR42" s="30"/>
      <c r="LAS42" s="31"/>
      <c r="LAT42" s="30"/>
      <c r="LAU42" s="31"/>
      <c r="LAV42" s="30"/>
      <c r="LAW42" s="31"/>
      <c r="LAX42" s="30"/>
      <c r="LAY42" s="31"/>
      <c r="LAZ42" s="30"/>
      <c r="LBA42" s="31"/>
      <c r="LBB42" s="30"/>
      <c r="LBC42" s="31"/>
      <c r="LBD42" s="30"/>
      <c r="LBE42" s="31"/>
      <c r="LBF42" s="30"/>
      <c r="LBG42" s="31"/>
      <c r="LBH42" s="30"/>
      <c r="LBI42" s="31"/>
      <c r="LBJ42" s="30"/>
      <c r="LBK42" s="31"/>
      <c r="LBL42" s="30"/>
      <c r="LBM42" s="31"/>
      <c r="LBN42" s="30"/>
      <c r="LBO42" s="31"/>
      <c r="LBP42" s="30"/>
      <c r="LBQ42" s="31"/>
      <c r="LBR42" s="30"/>
      <c r="LBS42" s="31"/>
      <c r="LBT42" s="30"/>
      <c r="LBU42" s="31"/>
      <c r="LBV42" s="30"/>
      <c r="LBW42" s="31"/>
      <c r="LBX42" s="30"/>
      <c r="LBY42" s="31"/>
      <c r="LBZ42" s="30"/>
      <c r="LCA42" s="31"/>
      <c r="LCB42" s="30"/>
      <c r="LCC42" s="31"/>
      <c r="LCD42" s="30"/>
      <c r="LCE42" s="31"/>
      <c r="LCF42" s="30"/>
      <c r="LCG42" s="31"/>
      <c r="LCH42" s="30"/>
      <c r="LCI42" s="31"/>
      <c r="LCJ42" s="30"/>
      <c r="LCK42" s="31"/>
      <c r="LCL42" s="30"/>
      <c r="LCM42" s="31"/>
      <c r="LCN42" s="30"/>
      <c r="LCO42" s="31"/>
      <c r="LCP42" s="30"/>
      <c r="LCQ42" s="31"/>
      <c r="LCR42" s="30"/>
      <c r="LCS42" s="31"/>
      <c r="LCT42" s="30"/>
      <c r="LCU42" s="31"/>
      <c r="LCV42" s="30"/>
      <c r="LCW42" s="31"/>
      <c r="LCX42" s="30"/>
      <c r="LCY42" s="31"/>
      <c r="LCZ42" s="30"/>
      <c r="LDA42" s="31"/>
      <c r="LDB42" s="30"/>
      <c r="LDC42" s="31"/>
      <c r="LDD42" s="30"/>
      <c r="LDE42" s="31"/>
      <c r="LDF42" s="30"/>
      <c r="LDG42" s="31"/>
      <c r="LDH42" s="30"/>
      <c r="LDI42" s="31"/>
      <c r="LDJ42" s="30"/>
      <c r="LDK42" s="31"/>
      <c r="LDL42" s="30"/>
      <c r="LDM42" s="31"/>
      <c r="LDN42" s="30"/>
      <c r="LDO42" s="31"/>
      <c r="LDP42" s="30"/>
      <c r="LDQ42" s="31"/>
      <c r="LDR42" s="30"/>
      <c r="LDS42" s="31"/>
      <c r="LDT42" s="30"/>
      <c r="LDU42" s="31"/>
      <c r="LDV42" s="30"/>
      <c r="LDW42" s="31"/>
      <c r="LDX42" s="30"/>
      <c r="LDY42" s="31"/>
      <c r="LDZ42" s="30"/>
      <c r="LEA42" s="31"/>
      <c r="LEB42" s="30"/>
      <c r="LEC42" s="31"/>
      <c r="LED42" s="30"/>
      <c r="LEE42" s="31"/>
      <c r="LEF42" s="30"/>
      <c r="LEG42" s="31"/>
      <c r="LEH42" s="30"/>
      <c r="LEI42" s="31"/>
      <c r="LEJ42" s="30"/>
      <c r="LEK42" s="31"/>
      <c r="LEL42" s="30"/>
      <c r="LEM42" s="31"/>
      <c r="LEN42" s="30"/>
      <c r="LEO42" s="31"/>
      <c r="LEP42" s="30"/>
      <c r="LEQ42" s="31"/>
      <c r="LER42" s="30"/>
      <c r="LES42" s="31"/>
      <c r="LET42" s="30"/>
      <c r="LEU42" s="31"/>
      <c r="LEV42" s="30"/>
      <c r="LEW42" s="31"/>
      <c r="LEX42" s="30"/>
      <c r="LEY42" s="31"/>
      <c r="LEZ42" s="30"/>
      <c r="LFA42" s="31"/>
      <c r="LFB42" s="30"/>
      <c r="LFC42" s="31"/>
      <c r="LFD42" s="30"/>
      <c r="LFE42" s="31"/>
      <c r="LFF42" s="30"/>
      <c r="LFG42" s="31"/>
      <c r="LFH42" s="30"/>
      <c r="LFI42" s="31"/>
      <c r="LFJ42" s="30"/>
      <c r="LFK42" s="31"/>
      <c r="LFL42" s="30"/>
      <c r="LFM42" s="31"/>
      <c r="LFN42" s="30"/>
      <c r="LFO42" s="31"/>
      <c r="LFP42" s="30"/>
      <c r="LFQ42" s="31"/>
      <c r="LFR42" s="30"/>
      <c r="LFS42" s="31"/>
      <c r="LFT42" s="30"/>
      <c r="LFU42" s="31"/>
      <c r="LFV42" s="30"/>
      <c r="LFW42" s="31"/>
      <c r="LFX42" s="30"/>
      <c r="LFY42" s="31"/>
      <c r="LFZ42" s="30"/>
      <c r="LGA42" s="31"/>
      <c r="LGB42" s="30"/>
      <c r="LGC42" s="31"/>
      <c r="LGD42" s="30"/>
      <c r="LGE42" s="31"/>
      <c r="LGF42" s="30"/>
      <c r="LGG42" s="31"/>
      <c r="LGH42" s="30"/>
      <c r="LGI42" s="31"/>
      <c r="LGJ42" s="30"/>
      <c r="LGK42" s="31"/>
      <c r="LGL42" s="30"/>
      <c r="LGM42" s="31"/>
      <c r="LGN42" s="30"/>
      <c r="LGO42" s="31"/>
      <c r="LGP42" s="30"/>
      <c r="LGQ42" s="31"/>
      <c r="LGR42" s="30"/>
      <c r="LGS42" s="31"/>
      <c r="LGT42" s="30"/>
      <c r="LGU42" s="31"/>
      <c r="LGV42" s="30"/>
      <c r="LGW42" s="31"/>
      <c r="LGX42" s="30"/>
      <c r="LGY42" s="31"/>
      <c r="LGZ42" s="30"/>
      <c r="LHA42" s="31"/>
      <c r="LHB42" s="30"/>
      <c r="LHC42" s="31"/>
      <c r="LHD42" s="30"/>
      <c r="LHE42" s="31"/>
      <c r="LHF42" s="30"/>
      <c r="LHG42" s="31"/>
      <c r="LHH42" s="30"/>
      <c r="LHI42" s="31"/>
      <c r="LHJ42" s="30"/>
      <c r="LHK42" s="31"/>
      <c r="LHL42" s="30"/>
      <c r="LHM42" s="31"/>
      <c r="LHN42" s="30"/>
      <c r="LHO42" s="31"/>
      <c r="LHP42" s="30"/>
      <c r="LHQ42" s="31"/>
      <c r="LHR42" s="30"/>
      <c r="LHS42" s="31"/>
      <c r="LHT42" s="30"/>
      <c r="LHU42" s="31"/>
      <c r="LHV42" s="30"/>
      <c r="LHW42" s="31"/>
      <c r="LHX42" s="30"/>
      <c r="LHY42" s="31"/>
      <c r="LHZ42" s="30"/>
      <c r="LIA42" s="31"/>
      <c r="LIB42" s="30"/>
      <c r="LIC42" s="31"/>
      <c r="LID42" s="30"/>
      <c r="LIE42" s="31"/>
      <c r="LIF42" s="30"/>
      <c r="LIG42" s="31"/>
      <c r="LIH42" s="30"/>
      <c r="LII42" s="31"/>
      <c r="LIJ42" s="30"/>
      <c r="LIK42" s="31"/>
      <c r="LIL42" s="30"/>
      <c r="LIM42" s="31"/>
      <c r="LIN42" s="30"/>
      <c r="LIO42" s="31"/>
      <c r="LIP42" s="30"/>
      <c r="LIQ42" s="31"/>
      <c r="LIR42" s="30"/>
      <c r="LIS42" s="31"/>
      <c r="LIT42" s="30"/>
      <c r="LIU42" s="31"/>
      <c r="LIV42" s="30"/>
      <c r="LIW42" s="31"/>
      <c r="LIX42" s="30"/>
      <c r="LIY42" s="31"/>
      <c r="LIZ42" s="30"/>
      <c r="LJA42" s="31"/>
      <c r="LJB42" s="30"/>
      <c r="LJC42" s="31"/>
      <c r="LJD42" s="30"/>
      <c r="LJE42" s="31"/>
      <c r="LJF42" s="30"/>
      <c r="LJG42" s="31"/>
      <c r="LJH42" s="30"/>
      <c r="LJI42" s="31"/>
      <c r="LJJ42" s="30"/>
      <c r="LJK42" s="31"/>
      <c r="LJL42" s="30"/>
      <c r="LJM42" s="31"/>
      <c r="LJN42" s="30"/>
      <c r="LJO42" s="31"/>
      <c r="LJP42" s="30"/>
      <c r="LJQ42" s="31"/>
      <c r="LJR42" s="30"/>
      <c r="LJS42" s="31"/>
      <c r="LJT42" s="30"/>
      <c r="LJU42" s="31"/>
      <c r="LJV42" s="30"/>
      <c r="LJW42" s="31"/>
      <c r="LJX42" s="30"/>
      <c r="LJY42" s="31"/>
      <c r="LJZ42" s="30"/>
      <c r="LKA42" s="31"/>
      <c r="LKB42" s="30"/>
      <c r="LKC42" s="31"/>
      <c r="LKD42" s="30"/>
      <c r="LKE42" s="31"/>
      <c r="LKF42" s="30"/>
      <c r="LKG42" s="31"/>
      <c r="LKH42" s="30"/>
      <c r="LKI42" s="31"/>
      <c r="LKJ42" s="30"/>
      <c r="LKK42" s="31"/>
      <c r="LKL42" s="30"/>
      <c r="LKM42" s="31"/>
      <c r="LKN42" s="30"/>
      <c r="LKO42" s="31"/>
      <c r="LKP42" s="30"/>
      <c r="LKQ42" s="31"/>
      <c r="LKR42" s="30"/>
      <c r="LKS42" s="31"/>
      <c r="LKT42" s="30"/>
      <c r="LKU42" s="31"/>
      <c r="LKV42" s="30"/>
      <c r="LKW42" s="31"/>
      <c r="LKX42" s="30"/>
      <c r="LKY42" s="31"/>
      <c r="LKZ42" s="30"/>
      <c r="LLA42" s="31"/>
      <c r="LLB42" s="30"/>
      <c r="LLC42" s="31"/>
      <c r="LLD42" s="30"/>
      <c r="LLE42" s="31"/>
      <c r="LLF42" s="30"/>
      <c r="LLG42" s="31"/>
      <c r="LLH42" s="30"/>
      <c r="LLI42" s="31"/>
      <c r="LLJ42" s="30"/>
      <c r="LLK42" s="31"/>
      <c r="LLL42" s="30"/>
      <c r="LLM42" s="31"/>
      <c r="LLN42" s="30"/>
      <c r="LLO42" s="31"/>
      <c r="LLP42" s="30"/>
      <c r="LLQ42" s="31"/>
      <c r="LLR42" s="30"/>
      <c r="LLS42" s="31"/>
      <c r="LLT42" s="30"/>
      <c r="LLU42" s="31"/>
      <c r="LLV42" s="30"/>
      <c r="LLW42" s="31"/>
      <c r="LLX42" s="30"/>
      <c r="LLY42" s="31"/>
      <c r="LLZ42" s="30"/>
      <c r="LMA42" s="31"/>
      <c r="LMB42" s="30"/>
      <c r="LMC42" s="31"/>
      <c r="LMD42" s="30"/>
      <c r="LME42" s="31"/>
      <c r="LMF42" s="30"/>
      <c r="LMG42" s="31"/>
      <c r="LMH42" s="30"/>
      <c r="LMI42" s="31"/>
      <c r="LMJ42" s="30"/>
      <c r="LMK42" s="31"/>
      <c r="LML42" s="30"/>
      <c r="LMM42" s="31"/>
      <c r="LMN42" s="30"/>
      <c r="LMO42" s="31"/>
      <c r="LMP42" s="30"/>
      <c r="LMQ42" s="31"/>
      <c r="LMR42" s="30"/>
      <c r="LMS42" s="31"/>
      <c r="LMT42" s="30"/>
      <c r="LMU42" s="31"/>
      <c r="LMV42" s="30"/>
      <c r="LMW42" s="31"/>
      <c r="LMX42" s="30"/>
      <c r="LMY42" s="31"/>
      <c r="LMZ42" s="30"/>
      <c r="LNA42" s="31"/>
      <c r="LNB42" s="30"/>
      <c r="LNC42" s="31"/>
      <c r="LND42" s="30"/>
      <c r="LNE42" s="31"/>
      <c r="LNF42" s="30"/>
      <c r="LNG42" s="31"/>
      <c r="LNH42" s="30"/>
      <c r="LNI42" s="31"/>
      <c r="LNJ42" s="30"/>
      <c r="LNK42" s="31"/>
      <c r="LNL42" s="30"/>
      <c r="LNM42" s="31"/>
      <c r="LNN42" s="30"/>
      <c r="LNO42" s="31"/>
      <c r="LNP42" s="30"/>
      <c r="LNQ42" s="31"/>
      <c r="LNR42" s="30"/>
      <c r="LNS42" s="31"/>
      <c r="LNT42" s="30"/>
      <c r="LNU42" s="31"/>
      <c r="LNV42" s="30"/>
      <c r="LNW42" s="31"/>
      <c r="LNX42" s="30"/>
      <c r="LNY42" s="31"/>
      <c r="LNZ42" s="30"/>
      <c r="LOA42" s="31"/>
      <c r="LOB42" s="30"/>
      <c r="LOC42" s="31"/>
      <c r="LOD42" s="30"/>
      <c r="LOE42" s="31"/>
      <c r="LOF42" s="30"/>
      <c r="LOG42" s="31"/>
      <c r="LOH42" s="30"/>
      <c r="LOI42" s="31"/>
      <c r="LOJ42" s="30"/>
      <c r="LOK42" s="31"/>
      <c r="LOL42" s="30"/>
      <c r="LOM42" s="31"/>
      <c r="LON42" s="30"/>
      <c r="LOO42" s="31"/>
      <c r="LOP42" s="30"/>
      <c r="LOQ42" s="31"/>
      <c r="LOR42" s="30"/>
      <c r="LOS42" s="31"/>
      <c r="LOT42" s="30"/>
      <c r="LOU42" s="31"/>
      <c r="LOV42" s="30"/>
      <c r="LOW42" s="31"/>
      <c r="LOX42" s="30"/>
      <c r="LOY42" s="31"/>
      <c r="LOZ42" s="30"/>
      <c r="LPA42" s="31"/>
      <c r="LPB42" s="30"/>
      <c r="LPC42" s="31"/>
      <c r="LPD42" s="30"/>
      <c r="LPE42" s="31"/>
      <c r="LPF42" s="30"/>
      <c r="LPG42" s="31"/>
      <c r="LPH42" s="30"/>
      <c r="LPI42" s="31"/>
      <c r="LPJ42" s="30"/>
      <c r="LPK42" s="31"/>
      <c r="LPL42" s="30"/>
      <c r="LPM42" s="31"/>
      <c r="LPN42" s="30"/>
      <c r="LPO42" s="31"/>
      <c r="LPP42" s="30"/>
      <c r="LPQ42" s="31"/>
      <c r="LPR42" s="30"/>
      <c r="LPS42" s="31"/>
      <c r="LPT42" s="30"/>
      <c r="LPU42" s="31"/>
      <c r="LPV42" s="30"/>
      <c r="LPW42" s="31"/>
      <c r="LPX42" s="30"/>
      <c r="LPY42" s="31"/>
      <c r="LPZ42" s="30"/>
      <c r="LQA42" s="31"/>
      <c r="LQB42" s="30"/>
      <c r="LQC42" s="31"/>
      <c r="LQD42" s="30"/>
      <c r="LQE42" s="31"/>
      <c r="LQF42" s="30"/>
      <c r="LQG42" s="31"/>
      <c r="LQH42" s="30"/>
      <c r="LQI42" s="31"/>
      <c r="LQJ42" s="30"/>
      <c r="LQK42" s="31"/>
      <c r="LQL42" s="30"/>
      <c r="LQM42" s="31"/>
      <c r="LQN42" s="30"/>
      <c r="LQO42" s="31"/>
      <c r="LQP42" s="30"/>
      <c r="LQQ42" s="31"/>
      <c r="LQR42" s="30"/>
      <c r="LQS42" s="31"/>
      <c r="LQT42" s="30"/>
      <c r="LQU42" s="31"/>
      <c r="LQV42" s="30"/>
      <c r="LQW42" s="31"/>
      <c r="LQX42" s="30"/>
      <c r="LQY42" s="31"/>
      <c r="LQZ42" s="30"/>
      <c r="LRA42" s="31"/>
      <c r="LRB42" s="30"/>
      <c r="LRC42" s="31"/>
      <c r="LRD42" s="30"/>
      <c r="LRE42" s="31"/>
      <c r="LRF42" s="30"/>
      <c r="LRG42" s="31"/>
      <c r="LRH42" s="30"/>
      <c r="LRI42" s="31"/>
      <c r="LRJ42" s="30"/>
      <c r="LRK42" s="31"/>
      <c r="LRL42" s="30"/>
      <c r="LRM42" s="31"/>
      <c r="LRN42" s="30"/>
      <c r="LRO42" s="31"/>
      <c r="LRP42" s="30"/>
      <c r="LRQ42" s="31"/>
      <c r="LRR42" s="30"/>
      <c r="LRS42" s="31"/>
      <c r="LRT42" s="30"/>
      <c r="LRU42" s="31"/>
      <c r="LRV42" s="30"/>
      <c r="LRW42" s="31"/>
      <c r="LRX42" s="30"/>
      <c r="LRY42" s="31"/>
      <c r="LRZ42" s="30"/>
      <c r="LSA42" s="31"/>
      <c r="LSB42" s="30"/>
      <c r="LSC42" s="31"/>
      <c r="LSD42" s="30"/>
      <c r="LSE42" s="31"/>
      <c r="LSF42" s="30"/>
      <c r="LSG42" s="31"/>
      <c r="LSH42" s="30"/>
      <c r="LSI42" s="31"/>
      <c r="LSJ42" s="30"/>
      <c r="LSK42" s="31"/>
      <c r="LSL42" s="30"/>
      <c r="LSM42" s="31"/>
      <c r="LSN42" s="30"/>
      <c r="LSO42" s="31"/>
      <c r="LSP42" s="30"/>
      <c r="LSQ42" s="31"/>
      <c r="LSR42" s="30"/>
      <c r="LSS42" s="31"/>
      <c r="LST42" s="30"/>
      <c r="LSU42" s="31"/>
      <c r="LSV42" s="30"/>
      <c r="LSW42" s="31"/>
      <c r="LSX42" s="30"/>
      <c r="LSY42" s="31"/>
      <c r="LSZ42" s="30"/>
      <c r="LTA42" s="31"/>
      <c r="LTB42" s="30"/>
      <c r="LTC42" s="31"/>
      <c r="LTD42" s="30"/>
      <c r="LTE42" s="31"/>
      <c r="LTF42" s="30"/>
      <c r="LTG42" s="31"/>
      <c r="LTH42" s="30"/>
      <c r="LTI42" s="31"/>
      <c r="LTJ42" s="30"/>
      <c r="LTK42" s="31"/>
      <c r="LTL42" s="30"/>
      <c r="LTM42" s="31"/>
      <c r="LTN42" s="30"/>
      <c r="LTO42" s="31"/>
      <c r="LTP42" s="30"/>
      <c r="LTQ42" s="31"/>
      <c r="LTR42" s="30"/>
      <c r="LTS42" s="31"/>
      <c r="LTT42" s="30"/>
      <c r="LTU42" s="31"/>
      <c r="LTV42" s="30"/>
      <c r="LTW42" s="31"/>
      <c r="LTX42" s="30"/>
      <c r="LTY42" s="31"/>
      <c r="LTZ42" s="30"/>
      <c r="LUA42" s="31"/>
      <c r="LUB42" s="30"/>
      <c r="LUC42" s="31"/>
      <c r="LUD42" s="30"/>
      <c r="LUE42" s="31"/>
      <c r="LUF42" s="30"/>
      <c r="LUG42" s="31"/>
      <c r="LUH42" s="30"/>
      <c r="LUI42" s="31"/>
      <c r="LUJ42" s="30"/>
      <c r="LUK42" s="31"/>
      <c r="LUL42" s="30"/>
      <c r="LUM42" s="31"/>
      <c r="LUN42" s="30"/>
      <c r="LUO42" s="31"/>
      <c r="LUP42" s="30"/>
      <c r="LUQ42" s="31"/>
      <c r="LUR42" s="30"/>
      <c r="LUS42" s="31"/>
      <c r="LUT42" s="30"/>
      <c r="LUU42" s="31"/>
      <c r="LUV42" s="30"/>
      <c r="LUW42" s="31"/>
      <c r="LUX42" s="30"/>
      <c r="LUY42" s="31"/>
      <c r="LUZ42" s="30"/>
      <c r="LVA42" s="31"/>
      <c r="LVB42" s="30"/>
      <c r="LVC42" s="31"/>
      <c r="LVD42" s="30"/>
      <c r="LVE42" s="31"/>
      <c r="LVF42" s="30"/>
      <c r="LVG42" s="31"/>
      <c r="LVH42" s="30"/>
      <c r="LVI42" s="31"/>
      <c r="LVJ42" s="30"/>
      <c r="LVK42" s="31"/>
      <c r="LVL42" s="30"/>
      <c r="LVM42" s="31"/>
      <c r="LVN42" s="30"/>
      <c r="LVO42" s="31"/>
      <c r="LVP42" s="30"/>
      <c r="LVQ42" s="31"/>
      <c r="LVR42" s="30"/>
      <c r="LVS42" s="31"/>
      <c r="LVT42" s="30"/>
      <c r="LVU42" s="31"/>
      <c r="LVV42" s="30"/>
      <c r="LVW42" s="31"/>
      <c r="LVX42" s="30"/>
      <c r="LVY42" s="31"/>
      <c r="LVZ42" s="30"/>
      <c r="LWA42" s="31"/>
      <c r="LWB42" s="30"/>
      <c r="LWC42" s="31"/>
      <c r="LWD42" s="30"/>
      <c r="LWE42" s="31"/>
      <c r="LWF42" s="30"/>
      <c r="LWG42" s="31"/>
      <c r="LWH42" s="30"/>
      <c r="LWI42" s="31"/>
      <c r="LWJ42" s="30"/>
      <c r="LWK42" s="31"/>
      <c r="LWL42" s="30"/>
      <c r="LWM42" s="31"/>
      <c r="LWN42" s="30"/>
      <c r="LWO42" s="31"/>
      <c r="LWP42" s="30"/>
      <c r="LWQ42" s="31"/>
      <c r="LWR42" s="30"/>
      <c r="LWS42" s="31"/>
      <c r="LWT42" s="30"/>
      <c r="LWU42" s="31"/>
      <c r="LWV42" s="30"/>
      <c r="LWW42" s="31"/>
      <c r="LWX42" s="30"/>
      <c r="LWY42" s="31"/>
      <c r="LWZ42" s="30"/>
      <c r="LXA42" s="31"/>
      <c r="LXB42" s="30"/>
      <c r="LXC42" s="31"/>
      <c r="LXD42" s="30"/>
      <c r="LXE42" s="31"/>
      <c r="LXF42" s="30"/>
      <c r="LXG42" s="31"/>
      <c r="LXH42" s="30"/>
      <c r="LXI42" s="31"/>
      <c r="LXJ42" s="30"/>
      <c r="LXK42" s="31"/>
      <c r="LXL42" s="30"/>
      <c r="LXM42" s="31"/>
      <c r="LXN42" s="30"/>
      <c r="LXO42" s="31"/>
      <c r="LXP42" s="30"/>
      <c r="LXQ42" s="31"/>
      <c r="LXR42" s="30"/>
      <c r="LXS42" s="31"/>
      <c r="LXT42" s="30"/>
      <c r="LXU42" s="31"/>
      <c r="LXV42" s="30"/>
      <c r="LXW42" s="31"/>
      <c r="LXX42" s="30"/>
      <c r="LXY42" s="31"/>
      <c r="LXZ42" s="30"/>
      <c r="LYA42" s="31"/>
      <c r="LYB42" s="30"/>
      <c r="LYC42" s="31"/>
      <c r="LYD42" s="30"/>
      <c r="LYE42" s="31"/>
      <c r="LYF42" s="30"/>
      <c r="LYG42" s="31"/>
      <c r="LYH42" s="30"/>
      <c r="LYI42" s="31"/>
      <c r="LYJ42" s="30"/>
      <c r="LYK42" s="31"/>
      <c r="LYL42" s="30"/>
      <c r="LYM42" s="31"/>
      <c r="LYN42" s="30"/>
      <c r="LYO42" s="31"/>
      <c r="LYP42" s="30"/>
      <c r="LYQ42" s="31"/>
      <c r="LYR42" s="30"/>
      <c r="LYS42" s="31"/>
      <c r="LYT42" s="30"/>
      <c r="LYU42" s="31"/>
      <c r="LYV42" s="30"/>
      <c r="LYW42" s="31"/>
      <c r="LYX42" s="30"/>
      <c r="LYY42" s="31"/>
      <c r="LYZ42" s="30"/>
      <c r="LZA42" s="31"/>
      <c r="LZB42" s="30"/>
      <c r="LZC42" s="31"/>
      <c r="LZD42" s="30"/>
      <c r="LZE42" s="31"/>
      <c r="LZF42" s="30"/>
      <c r="LZG42" s="31"/>
      <c r="LZH42" s="30"/>
      <c r="LZI42" s="31"/>
      <c r="LZJ42" s="30"/>
      <c r="LZK42" s="31"/>
      <c r="LZL42" s="30"/>
      <c r="LZM42" s="31"/>
      <c r="LZN42" s="30"/>
      <c r="LZO42" s="31"/>
      <c r="LZP42" s="30"/>
      <c r="LZQ42" s="31"/>
      <c r="LZR42" s="30"/>
      <c r="LZS42" s="31"/>
      <c r="LZT42" s="30"/>
      <c r="LZU42" s="31"/>
      <c r="LZV42" s="30"/>
      <c r="LZW42" s="31"/>
      <c r="LZX42" s="30"/>
      <c r="LZY42" s="31"/>
      <c r="LZZ42" s="30"/>
      <c r="MAA42" s="31"/>
      <c r="MAB42" s="30"/>
      <c r="MAC42" s="31"/>
      <c r="MAD42" s="30"/>
      <c r="MAE42" s="31"/>
      <c r="MAF42" s="30"/>
      <c r="MAG42" s="31"/>
      <c r="MAH42" s="30"/>
      <c r="MAI42" s="31"/>
      <c r="MAJ42" s="30"/>
      <c r="MAK42" s="31"/>
      <c r="MAL42" s="30"/>
      <c r="MAM42" s="31"/>
      <c r="MAN42" s="30"/>
      <c r="MAO42" s="31"/>
      <c r="MAP42" s="30"/>
      <c r="MAQ42" s="31"/>
      <c r="MAR42" s="30"/>
      <c r="MAS42" s="31"/>
      <c r="MAT42" s="30"/>
      <c r="MAU42" s="31"/>
      <c r="MAV42" s="30"/>
      <c r="MAW42" s="31"/>
      <c r="MAX42" s="30"/>
      <c r="MAY42" s="31"/>
      <c r="MAZ42" s="30"/>
      <c r="MBA42" s="31"/>
      <c r="MBB42" s="30"/>
      <c r="MBC42" s="31"/>
      <c r="MBD42" s="30"/>
      <c r="MBE42" s="31"/>
      <c r="MBF42" s="30"/>
      <c r="MBG42" s="31"/>
      <c r="MBH42" s="30"/>
      <c r="MBI42" s="31"/>
      <c r="MBJ42" s="30"/>
      <c r="MBK42" s="31"/>
      <c r="MBL42" s="30"/>
      <c r="MBM42" s="31"/>
      <c r="MBN42" s="30"/>
      <c r="MBO42" s="31"/>
      <c r="MBP42" s="30"/>
      <c r="MBQ42" s="31"/>
      <c r="MBR42" s="30"/>
      <c r="MBS42" s="31"/>
      <c r="MBT42" s="30"/>
      <c r="MBU42" s="31"/>
      <c r="MBV42" s="30"/>
      <c r="MBW42" s="31"/>
      <c r="MBX42" s="30"/>
      <c r="MBY42" s="31"/>
      <c r="MBZ42" s="30"/>
      <c r="MCA42" s="31"/>
      <c r="MCB42" s="30"/>
      <c r="MCC42" s="31"/>
      <c r="MCD42" s="30"/>
      <c r="MCE42" s="31"/>
      <c r="MCF42" s="30"/>
      <c r="MCG42" s="31"/>
      <c r="MCH42" s="30"/>
      <c r="MCI42" s="31"/>
      <c r="MCJ42" s="30"/>
      <c r="MCK42" s="31"/>
      <c r="MCL42" s="30"/>
      <c r="MCM42" s="31"/>
      <c r="MCN42" s="30"/>
      <c r="MCO42" s="31"/>
      <c r="MCP42" s="30"/>
      <c r="MCQ42" s="31"/>
      <c r="MCR42" s="30"/>
      <c r="MCS42" s="31"/>
      <c r="MCT42" s="30"/>
      <c r="MCU42" s="31"/>
      <c r="MCV42" s="30"/>
      <c r="MCW42" s="31"/>
      <c r="MCX42" s="30"/>
      <c r="MCY42" s="31"/>
      <c r="MCZ42" s="30"/>
      <c r="MDA42" s="31"/>
      <c r="MDB42" s="30"/>
      <c r="MDC42" s="31"/>
      <c r="MDD42" s="30"/>
      <c r="MDE42" s="31"/>
      <c r="MDF42" s="30"/>
      <c r="MDG42" s="31"/>
      <c r="MDH42" s="30"/>
      <c r="MDI42" s="31"/>
      <c r="MDJ42" s="30"/>
      <c r="MDK42" s="31"/>
      <c r="MDL42" s="30"/>
      <c r="MDM42" s="31"/>
      <c r="MDN42" s="30"/>
      <c r="MDO42" s="31"/>
      <c r="MDP42" s="30"/>
      <c r="MDQ42" s="31"/>
      <c r="MDR42" s="30"/>
      <c r="MDS42" s="31"/>
      <c r="MDT42" s="30"/>
      <c r="MDU42" s="31"/>
      <c r="MDV42" s="30"/>
      <c r="MDW42" s="31"/>
      <c r="MDX42" s="30"/>
      <c r="MDY42" s="31"/>
      <c r="MDZ42" s="30"/>
      <c r="MEA42" s="31"/>
      <c r="MEB42" s="30"/>
      <c r="MEC42" s="31"/>
      <c r="MED42" s="30"/>
      <c r="MEE42" s="31"/>
      <c r="MEF42" s="30"/>
      <c r="MEG42" s="31"/>
      <c r="MEH42" s="30"/>
      <c r="MEI42" s="31"/>
      <c r="MEJ42" s="30"/>
      <c r="MEK42" s="31"/>
      <c r="MEL42" s="30"/>
      <c r="MEM42" s="31"/>
      <c r="MEN42" s="30"/>
      <c r="MEO42" s="31"/>
      <c r="MEP42" s="30"/>
      <c r="MEQ42" s="31"/>
      <c r="MER42" s="30"/>
      <c r="MES42" s="31"/>
      <c r="MET42" s="30"/>
      <c r="MEU42" s="31"/>
      <c r="MEV42" s="30"/>
      <c r="MEW42" s="31"/>
      <c r="MEX42" s="30"/>
      <c r="MEY42" s="31"/>
      <c r="MEZ42" s="30"/>
      <c r="MFA42" s="31"/>
      <c r="MFB42" s="30"/>
      <c r="MFC42" s="31"/>
      <c r="MFD42" s="30"/>
      <c r="MFE42" s="31"/>
      <c r="MFF42" s="30"/>
      <c r="MFG42" s="31"/>
      <c r="MFH42" s="30"/>
      <c r="MFI42" s="31"/>
      <c r="MFJ42" s="30"/>
      <c r="MFK42" s="31"/>
      <c r="MFL42" s="30"/>
      <c r="MFM42" s="31"/>
      <c r="MFN42" s="30"/>
      <c r="MFO42" s="31"/>
      <c r="MFP42" s="30"/>
      <c r="MFQ42" s="31"/>
      <c r="MFR42" s="30"/>
      <c r="MFS42" s="31"/>
      <c r="MFT42" s="30"/>
      <c r="MFU42" s="31"/>
      <c r="MFV42" s="30"/>
      <c r="MFW42" s="31"/>
      <c r="MFX42" s="30"/>
      <c r="MFY42" s="31"/>
      <c r="MFZ42" s="30"/>
      <c r="MGA42" s="31"/>
      <c r="MGB42" s="30"/>
      <c r="MGC42" s="31"/>
      <c r="MGD42" s="30"/>
      <c r="MGE42" s="31"/>
      <c r="MGF42" s="30"/>
      <c r="MGG42" s="31"/>
      <c r="MGH42" s="30"/>
      <c r="MGI42" s="31"/>
      <c r="MGJ42" s="30"/>
      <c r="MGK42" s="31"/>
      <c r="MGL42" s="30"/>
      <c r="MGM42" s="31"/>
      <c r="MGN42" s="30"/>
      <c r="MGO42" s="31"/>
      <c r="MGP42" s="30"/>
      <c r="MGQ42" s="31"/>
      <c r="MGR42" s="30"/>
      <c r="MGS42" s="31"/>
      <c r="MGT42" s="30"/>
      <c r="MGU42" s="31"/>
      <c r="MGV42" s="30"/>
      <c r="MGW42" s="31"/>
      <c r="MGX42" s="30"/>
      <c r="MGY42" s="31"/>
      <c r="MGZ42" s="30"/>
      <c r="MHA42" s="31"/>
      <c r="MHB42" s="30"/>
      <c r="MHC42" s="31"/>
      <c r="MHD42" s="30"/>
      <c r="MHE42" s="31"/>
      <c r="MHF42" s="30"/>
      <c r="MHG42" s="31"/>
      <c r="MHH42" s="30"/>
      <c r="MHI42" s="31"/>
      <c r="MHJ42" s="30"/>
      <c r="MHK42" s="31"/>
      <c r="MHL42" s="30"/>
      <c r="MHM42" s="31"/>
      <c r="MHN42" s="30"/>
      <c r="MHO42" s="31"/>
      <c r="MHP42" s="30"/>
      <c r="MHQ42" s="31"/>
      <c r="MHR42" s="30"/>
      <c r="MHS42" s="31"/>
      <c r="MHT42" s="30"/>
      <c r="MHU42" s="31"/>
      <c r="MHV42" s="30"/>
      <c r="MHW42" s="31"/>
      <c r="MHX42" s="30"/>
      <c r="MHY42" s="31"/>
      <c r="MHZ42" s="30"/>
      <c r="MIA42" s="31"/>
      <c r="MIB42" s="30"/>
      <c r="MIC42" s="31"/>
      <c r="MID42" s="30"/>
      <c r="MIE42" s="31"/>
      <c r="MIF42" s="30"/>
      <c r="MIG42" s="31"/>
      <c r="MIH42" s="30"/>
      <c r="MII42" s="31"/>
      <c r="MIJ42" s="30"/>
      <c r="MIK42" s="31"/>
      <c r="MIL42" s="30"/>
      <c r="MIM42" s="31"/>
      <c r="MIN42" s="30"/>
      <c r="MIO42" s="31"/>
      <c r="MIP42" s="30"/>
      <c r="MIQ42" s="31"/>
      <c r="MIR42" s="30"/>
      <c r="MIS42" s="31"/>
      <c r="MIT42" s="30"/>
      <c r="MIU42" s="31"/>
      <c r="MIV42" s="30"/>
      <c r="MIW42" s="31"/>
      <c r="MIX42" s="30"/>
      <c r="MIY42" s="31"/>
      <c r="MIZ42" s="30"/>
      <c r="MJA42" s="31"/>
      <c r="MJB42" s="30"/>
      <c r="MJC42" s="31"/>
      <c r="MJD42" s="30"/>
      <c r="MJE42" s="31"/>
      <c r="MJF42" s="30"/>
      <c r="MJG42" s="31"/>
      <c r="MJH42" s="30"/>
      <c r="MJI42" s="31"/>
      <c r="MJJ42" s="30"/>
      <c r="MJK42" s="31"/>
      <c r="MJL42" s="30"/>
      <c r="MJM42" s="31"/>
      <c r="MJN42" s="30"/>
      <c r="MJO42" s="31"/>
      <c r="MJP42" s="30"/>
      <c r="MJQ42" s="31"/>
      <c r="MJR42" s="30"/>
      <c r="MJS42" s="31"/>
      <c r="MJT42" s="30"/>
      <c r="MJU42" s="31"/>
      <c r="MJV42" s="30"/>
      <c r="MJW42" s="31"/>
      <c r="MJX42" s="30"/>
      <c r="MJY42" s="31"/>
      <c r="MJZ42" s="30"/>
      <c r="MKA42" s="31"/>
      <c r="MKB42" s="30"/>
      <c r="MKC42" s="31"/>
      <c r="MKD42" s="30"/>
      <c r="MKE42" s="31"/>
      <c r="MKF42" s="30"/>
      <c r="MKG42" s="31"/>
      <c r="MKH42" s="30"/>
      <c r="MKI42" s="31"/>
      <c r="MKJ42" s="30"/>
      <c r="MKK42" s="31"/>
      <c r="MKL42" s="30"/>
      <c r="MKM42" s="31"/>
      <c r="MKN42" s="30"/>
      <c r="MKO42" s="31"/>
      <c r="MKP42" s="30"/>
      <c r="MKQ42" s="31"/>
      <c r="MKR42" s="30"/>
      <c r="MKS42" s="31"/>
      <c r="MKT42" s="30"/>
      <c r="MKU42" s="31"/>
      <c r="MKV42" s="30"/>
      <c r="MKW42" s="31"/>
      <c r="MKX42" s="30"/>
      <c r="MKY42" s="31"/>
      <c r="MKZ42" s="30"/>
      <c r="MLA42" s="31"/>
      <c r="MLB42" s="30"/>
      <c r="MLC42" s="31"/>
      <c r="MLD42" s="30"/>
      <c r="MLE42" s="31"/>
      <c r="MLF42" s="30"/>
      <c r="MLG42" s="31"/>
      <c r="MLH42" s="30"/>
      <c r="MLI42" s="31"/>
      <c r="MLJ42" s="30"/>
      <c r="MLK42" s="31"/>
      <c r="MLL42" s="30"/>
      <c r="MLM42" s="31"/>
      <c r="MLN42" s="30"/>
      <c r="MLO42" s="31"/>
      <c r="MLP42" s="30"/>
      <c r="MLQ42" s="31"/>
      <c r="MLR42" s="30"/>
      <c r="MLS42" s="31"/>
      <c r="MLT42" s="30"/>
      <c r="MLU42" s="31"/>
      <c r="MLV42" s="30"/>
      <c r="MLW42" s="31"/>
      <c r="MLX42" s="30"/>
      <c r="MLY42" s="31"/>
      <c r="MLZ42" s="30"/>
      <c r="MMA42" s="31"/>
      <c r="MMB42" s="30"/>
      <c r="MMC42" s="31"/>
      <c r="MMD42" s="30"/>
      <c r="MME42" s="31"/>
      <c r="MMF42" s="30"/>
      <c r="MMG42" s="31"/>
      <c r="MMH42" s="30"/>
      <c r="MMI42" s="31"/>
      <c r="MMJ42" s="30"/>
      <c r="MMK42" s="31"/>
      <c r="MML42" s="30"/>
      <c r="MMM42" s="31"/>
      <c r="MMN42" s="30"/>
      <c r="MMO42" s="31"/>
      <c r="MMP42" s="30"/>
      <c r="MMQ42" s="31"/>
      <c r="MMR42" s="30"/>
      <c r="MMS42" s="31"/>
      <c r="MMT42" s="30"/>
      <c r="MMU42" s="31"/>
      <c r="MMV42" s="30"/>
      <c r="MMW42" s="31"/>
      <c r="MMX42" s="30"/>
      <c r="MMY42" s="31"/>
      <c r="MMZ42" s="30"/>
      <c r="MNA42" s="31"/>
      <c r="MNB42" s="30"/>
      <c r="MNC42" s="31"/>
      <c r="MND42" s="30"/>
      <c r="MNE42" s="31"/>
      <c r="MNF42" s="30"/>
      <c r="MNG42" s="31"/>
      <c r="MNH42" s="30"/>
      <c r="MNI42" s="31"/>
      <c r="MNJ42" s="30"/>
      <c r="MNK42" s="31"/>
      <c r="MNL42" s="30"/>
      <c r="MNM42" s="31"/>
      <c r="MNN42" s="30"/>
      <c r="MNO42" s="31"/>
      <c r="MNP42" s="30"/>
      <c r="MNQ42" s="31"/>
      <c r="MNR42" s="30"/>
      <c r="MNS42" s="31"/>
      <c r="MNT42" s="30"/>
      <c r="MNU42" s="31"/>
      <c r="MNV42" s="30"/>
      <c r="MNW42" s="31"/>
      <c r="MNX42" s="30"/>
      <c r="MNY42" s="31"/>
      <c r="MNZ42" s="30"/>
      <c r="MOA42" s="31"/>
      <c r="MOB42" s="30"/>
      <c r="MOC42" s="31"/>
      <c r="MOD42" s="30"/>
      <c r="MOE42" s="31"/>
      <c r="MOF42" s="30"/>
      <c r="MOG42" s="31"/>
      <c r="MOH42" s="30"/>
      <c r="MOI42" s="31"/>
      <c r="MOJ42" s="30"/>
      <c r="MOK42" s="31"/>
      <c r="MOL42" s="30"/>
      <c r="MOM42" s="31"/>
      <c r="MON42" s="30"/>
      <c r="MOO42" s="31"/>
      <c r="MOP42" s="30"/>
      <c r="MOQ42" s="31"/>
      <c r="MOR42" s="30"/>
      <c r="MOS42" s="31"/>
      <c r="MOT42" s="30"/>
      <c r="MOU42" s="31"/>
      <c r="MOV42" s="30"/>
      <c r="MOW42" s="31"/>
      <c r="MOX42" s="30"/>
      <c r="MOY42" s="31"/>
      <c r="MOZ42" s="30"/>
      <c r="MPA42" s="31"/>
      <c r="MPB42" s="30"/>
      <c r="MPC42" s="31"/>
      <c r="MPD42" s="30"/>
      <c r="MPE42" s="31"/>
      <c r="MPF42" s="30"/>
      <c r="MPG42" s="31"/>
      <c r="MPH42" s="30"/>
      <c r="MPI42" s="31"/>
      <c r="MPJ42" s="30"/>
      <c r="MPK42" s="31"/>
      <c r="MPL42" s="30"/>
      <c r="MPM42" s="31"/>
      <c r="MPN42" s="30"/>
      <c r="MPO42" s="31"/>
      <c r="MPP42" s="30"/>
      <c r="MPQ42" s="31"/>
      <c r="MPR42" s="30"/>
      <c r="MPS42" s="31"/>
      <c r="MPT42" s="30"/>
      <c r="MPU42" s="31"/>
      <c r="MPV42" s="30"/>
      <c r="MPW42" s="31"/>
      <c r="MPX42" s="30"/>
      <c r="MPY42" s="31"/>
      <c r="MPZ42" s="30"/>
      <c r="MQA42" s="31"/>
      <c r="MQB42" s="30"/>
      <c r="MQC42" s="31"/>
      <c r="MQD42" s="30"/>
      <c r="MQE42" s="31"/>
      <c r="MQF42" s="30"/>
      <c r="MQG42" s="31"/>
      <c r="MQH42" s="30"/>
      <c r="MQI42" s="31"/>
      <c r="MQJ42" s="30"/>
      <c r="MQK42" s="31"/>
      <c r="MQL42" s="30"/>
      <c r="MQM42" s="31"/>
      <c r="MQN42" s="30"/>
      <c r="MQO42" s="31"/>
      <c r="MQP42" s="30"/>
      <c r="MQQ42" s="31"/>
      <c r="MQR42" s="30"/>
      <c r="MQS42" s="31"/>
      <c r="MQT42" s="30"/>
      <c r="MQU42" s="31"/>
      <c r="MQV42" s="30"/>
      <c r="MQW42" s="31"/>
      <c r="MQX42" s="30"/>
      <c r="MQY42" s="31"/>
      <c r="MQZ42" s="30"/>
      <c r="MRA42" s="31"/>
      <c r="MRB42" s="30"/>
      <c r="MRC42" s="31"/>
      <c r="MRD42" s="30"/>
      <c r="MRE42" s="31"/>
      <c r="MRF42" s="30"/>
      <c r="MRG42" s="31"/>
      <c r="MRH42" s="30"/>
      <c r="MRI42" s="31"/>
      <c r="MRJ42" s="30"/>
      <c r="MRK42" s="31"/>
      <c r="MRL42" s="30"/>
      <c r="MRM42" s="31"/>
      <c r="MRN42" s="30"/>
      <c r="MRO42" s="31"/>
      <c r="MRP42" s="30"/>
      <c r="MRQ42" s="31"/>
      <c r="MRR42" s="30"/>
      <c r="MRS42" s="31"/>
      <c r="MRT42" s="30"/>
      <c r="MRU42" s="31"/>
      <c r="MRV42" s="30"/>
      <c r="MRW42" s="31"/>
      <c r="MRX42" s="30"/>
      <c r="MRY42" s="31"/>
      <c r="MRZ42" s="30"/>
      <c r="MSA42" s="31"/>
      <c r="MSB42" s="30"/>
      <c r="MSC42" s="31"/>
      <c r="MSD42" s="30"/>
      <c r="MSE42" s="31"/>
      <c r="MSF42" s="30"/>
      <c r="MSG42" s="31"/>
      <c r="MSH42" s="30"/>
      <c r="MSI42" s="31"/>
      <c r="MSJ42" s="30"/>
      <c r="MSK42" s="31"/>
      <c r="MSL42" s="30"/>
      <c r="MSM42" s="31"/>
      <c r="MSN42" s="30"/>
      <c r="MSO42" s="31"/>
      <c r="MSP42" s="30"/>
      <c r="MSQ42" s="31"/>
      <c r="MSR42" s="30"/>
      <c r="MSS42" s="31"/>
      <c r="MST42" s="30"/>
      <c r="MSU42" s="31"/>
      <c r="MSV42" s="30"/>
      <c r="MSW42" s="31"/>
      <c r="MSX42" s="30"/>
      <c r="MSY42" s="31"/>
      <c r="MSZ42" s="30"/>
      <c r="MTA42" s="31"/>
      <c r="MTB42" s="30"/>
      <c r="MTC42" s="31"/>
      <c r="MTD42" s="30"/>
      <c r="MTE42" s="31"/>
      <c r="MTF42" s="30"/>
      <c r="MTG42" s="31"/>
      <c r="MTH42" s="30"/>
      <c r="MTI42" s="31"/>
      <c r="MTJ42" s="30"/>
      <c r="MTK42" s="31"/>
      <c r="MTL42" s="30"/>
      <c r="MTM42" s="31"/>
      <c r="MTN42" s="30"/>
      <c r="MTO42" s="31"/>
      <c r="MTP42" s="30"/>
      <c r="MTQ42" s="31"/>
      <c r="MTR42" s="30"/>
      <c r="MTS42" s="31"/>
      <c r="MTT42" s="30"/>
      <c r="MTU42" s="31"/>
      <c r="MTV42" s="30"/>
      <c r="MTW42" s="31"/>
      <c r="MTX42" s="30"/>
      <c r="MTY42" s="31"/>
      <c r="MTZ42" s="30"/>
      <c r="MUA42" s="31"/>
      <c r="MUB42" s="30"/>
      <c r="MUC42" s="31"/>
      <c r="MUD42" s="30"/>
      <c r="MUE42" s="31"/>
      <c r="MUF42" s="30"/>
      <c r="MUG42" s="31"/>
      <c r="MUH42" s="30"/>
      <c r="MUI42" s="31"/>
      <c r="MUJ42" s="30"/>
      <c r="MUK42" s="31"/>
      <c r="MUL42" s="30"/>
      <c r="MUM42" s="31"/>
      <c r="MUN42" s="30"/>
      <c r="MUO42" s="31"/>
      <c r="MUP42" s="30"/>
      <c r="MUQ42" s="31"/>
      <c r="MUR42" s="30"/>
      <c r="MUS42" s="31"/>
      <c r="MUT42" s="30"/>
      <c r="MUU42" s="31"/>
      <c r="MUV42" s="30"/>
      <c r="MUW42" s="31"/>
      <c r="MUX42" s="30"/>
      <c r="MUY42" s="31"/>
      <c r="MUZ42" s="30"/>
      <c r="MVA42" s="31"/>
      <c r="MVB42" s="30"/>
      <c r="MVC42" s="31"/>
      <c r="MVD42" s="30"/>
      <c r="MVE42" s="31"/>
      <c r="MVF42" s="30"/>
      <c r="MVG42" s="31"/>
      <c r="MVH42" s="30"/>
      <c r="MVI42" s="31"/>
      <c r="MVJ42" s="30"/>
      <c r="MVK42" s="31"/>
      <c r="MVL42" s="30"/>
      <c r="MVM42" s="31"/>
      <c r="MVN42" s="30"/>
      <c r="MVO42" s="31"/>
      <c r="MVP42" s="30"/>
      <c r="MVQ42" s="31"/>
      <c r="MVR42" s="30"/>
      <c r="MVS42" s="31"/>
      <c r="MVT42" s="30"/>
      <c r="MVU42" s="31"/>
      <c r="MVV42" s="30"/>
      <c r="MVW42" s="31"/>
      <c r="MVX42" s="30"/>
      <c r="MVY42" s="31"/>
      <c r="MVZ42" s="30"/>
      <c r="MWA42" s="31"/>
      <c r="MWB42" s="30"/>
      <c r="MWC42" s="31"/>
      <c r="MWD42" s="30"/>
      <c r="MWE42" s="31"/>
      <c r="MWF42" s="30"/>
      <c r="MWG42" s="31"/>
      <c r="MWH42" s="30"/>
      <c r="MWI42" s="31"/>
      <c r="MWJ42" s="30"/>
      <c r="MWK42" s="31"/>
      <c r="MWL42" s="30"/>
      <c r="MWM42" s="31"/>
      <c r="MWN42" s="30"/>
      <c r="MWO42" s="31"/>
      <c r="MWP42" s="30"/>
      <c r="MWQ42" s="31"/>
      <c r="MWR42" s="30"/>
      <c r="MWS42" s="31"/>
      <c r="MWT42" s="30"/>
      <c r="MWU42" s="31"/>
      <c r="MWV42" s="30"/>
      <c r="MWW42" s="31"/>
      <c r="MWX42" s="30"/>
      <c r="MWY42" s="31"/>
      <c r="MWZ42" s="30"/>
      <c r="MXA42" s="31"/>
      <c r="MXB42" s="30"/>
      <c r="MXC42" s="31"/>
      <c r="MXD42" s="30"/>
      <c r="MXE42" s="31"/>
      <c r="MXF42" s="30"/>
      <c r="MXG42" s="31"/>
      <c r="MXH42" s="30"/>
      <c r="MXI42" s="31"/>
      <c r="MXJ42" s="30"/>
      <c r="MXK42" s="31"/>
      <c r="MXL42" s="30"/>
      <c r="MXM42" s="31"/>
      <c r="MXN42" s="30"/>
      <c r="MXO42" s="31"/>
      <c r="MXP42" s="30"/>
      <c r="MXQ42" s="31"/>
      <c r="MXR42" s="30"/>
      <c r="MXS42" s="31"/>
      <c r="MXT42" s="30"/>
      <c r="MXU42" s="31"/>
      <c r="MXV42" s="30"/>
      <c r="MXW42" s="31"/>
      <c r="MXX42" s="30"/>
      <c r="MXY42" s="31"/>
      <c r="MXZ42" s="30"/>
      <c r="MYA42" s="31"/>
      <c r="MYB42" s="30"/>
      <c r="MYC42" s="31"/>
      <c r="MYD42" s="30"/>
      <c r="MYE42" s="31"/>
      <c r="MYF42" s="30"/>
      <c r="MYG42" s="31"/>
      <c r="MYH42" s="30"/>
      <c r="MYI42" s="31"/>
      <c r="MYJ42" s="30"/>
      <c r="MYK42" s="31"/>
      <c r="MYL42" s="30"/>
      <c r="MYM42" s="31"/>
      <c r="MYN42" s="30"/>
      <c r="MYO42" s="31"/>
      <c r="MYP42" s="30"/>
      <c r="MYQ42" s="31"/>
      <c r="MYR42" s="30"/>
      <c r="MYS42" s="31"/>
      <c r="MYT42" s="30"/>
      <c r="MYU42" s="31"/>
      <c r="MYV42" s="30"/>
      <c r="MYW42" s="31"/>
      <c r="MYX42" s="30"/>
      <c r="MYY42" s="31"/>
      <c r="MYZ42" s="30"/>
      <c r="MZA42" s="31"/>
      <c r="MZB42" s="30"/>
      <c r="MZC42" s="31"/>
      <c r="MZD42" s="30"/>
      <c r="MZE42" s="31"/>
      <c r="MZF42" s="30"/>
      <c r="MZG42" s="31"/>
      <c r="MZH42" s="30"/>
      <c r="MZI42" s="31"/>
      <c r="MZJ42" s="30"/>
      <c r="MZK42" s="31"/>
      <c r="MZL42" s="30"/>
      <c r="MZM42" s="31"/>
      <c r="MZN42" s="30"/>
      <c r="MZO42" s="31"/>
      <c r="MZP42" s="30"/>
      <c r="MZQ42" s="31"/>
      <c r="MZR42" s="30"/>
      <c r="MZS42" s="31"/>
      <c r="MZT42" s="30"/>
      <c r="MZU42" s="31"/>
      <c r="MZV42" s="30"/>
      <c r="MZW42" s="31"/>
      <c r="MZX42" s="30"/>
      <c r="MZY42" s="31"/>
      <c r="MZZ42" s="30"/>
      <c r="NAA42" s="31"/>
      <c r="NAB42" s="30"/>
      <c r="NAC42" s="31"/>
      <c r="NAD42" s="30"/>
      <c r="NAE42" s="31"/>
      <c r="NAF42" s="30"/>
      <c r="NAG42" s="31"/>
      <c r="NAH42" s="30"/>
      <c r="NAI42" s="31"/>
      <c r="NAJ42" s="30"/>
      <c r="NAK42" s="31"/>
      <c r="NAL42" s="30"/>
      <c r="NAM42" s="31"/>
      <c r="NAN42" s="30"/>
      <c r="NAO42" s="31"/>
      <c r="NAP42" s="30"/>
      <c r="NAQ42" s="31"/>
      <c r="NAR42" s="30"/>
      <c r="NAS42" s="31"/>
      <c r="NAT42" s="30"/>
      <c r="NAU42" s="31"/>
      <c r="NAV42" s="30"/>
      <c r="NAW42" s="31"/>
      <c r="NAX42" s="30"/>
      <c r="NAY42" s="31"/>
      <c r="NAZ42" s="30"/>
      <c r="NBA42" s="31"/>
      <c r="NBB42" s="30"/>
      <c r="NBC42" s="31"/>
      <c r="NBD42" s="30"/>
      <c r="NBE42" s="31"/>
      <c r="NBF42" s="30"/>
      <c r="NBG42" s="31"/>
      <c r="NBH42" s="30"/>
      <c r="NBI42" s="31"/>
      <c r="NBJ42" s="30"/>
      <c r="NBK42" s="31"/>
      <c r="NBL42" s="30"/>
      <c r="NBM42" s="31"/>
      <c r="NBN42" s="30"/>
      <c r="NBO42" s="31"/>
      <c r="NBP42" s="30"/>
      <c r="NBQ42" s="31"/>
      <c r="NBR42" s="30"/>
      <c r="NBS42" s="31"/>
      <c r="NBT42" s="30"/>
      <c r="NBU42" s="31"/>
      <c r="NBV42" s="30"/>
      <c r="NBW42" s="31"/>
      <c r="NBX42" s="30"/>
      <c r="NBY42" s="31"/>
      <c r="NBZ42" s="30"/>
      <c r="NCA42" s="31"/>
      <c r="NCB42" s="30"/>
      <c r="NCC42" s="31"/>
      <c r="NCD42" s="30"/>
      <c r="NCE42" s="31"/>
      <c r="NCF42" s="30"/>
      <c r="NCG42" s="31"/>
      <c r="NCH42" s="30"/>
      <c r="NCI42" s="31"/>
      <c r="NCJ42" s="30"/>
      <c r="NCK42" s="31"/>
      <c r="NCL42" s="30"/>
      <c r="NCM42" s="31"/>
      <c r="NCN42" s="30"/>
      <c r="NCO42" s="31"/>
      <c r="NCP42" s="30"/>
      <c r="NCQ42" s="31"/>
      <c r="NCR42" s="30"/>
      <c r="NCS42" s="31"/>
      <c r="NCT42" s="30"/>
      <c r="NCU42" s="31"/>
      <c r="NCV42" s="30"/>
      <c r="NCW42" s="31"/>
      <c r="NCX42" s="30"/>
      <c r="NCY42" s="31"/>
      <c r="NCZ42" s="30"/>
      <c r="NDA42" s="31"/>
      <c r="NDB42" s="30"/>
      <c r="NDC42" s="31"/>
      <c r="NDD42" s="30"/>
      <c r="NDE42" s="31"/>
      <c r="NDF42" s="30"/>
      <c r="NDG42" s="31"/>
      <c r="NDH42" s="30"/>
      <c r="NDI42" s="31"/>
      <c r="NDJ42" s="30"/>
      <c r="NDK42" s="31"/>
      <c r="NDL42" s="30"/>
      <c r="NDM42" s="31"/>
      <c r="NDN42" s="30"/>
      <c r="NDO42" s="31"/>
      <c r="NDP42" s="30"/>
      <c r="NDQ42" s="31"/>
      <c r="NDR42" s="30"/>
      <c r="NDS42" s="31"/>
      <c r="NDT42" s="30"/>
      <c r="NDU42" s="31"/>
      <c r="NDV42" s="30"/>
      <c r="NDW42" s="31"/>
      <c r="NDX42" s="30"/>
      <c r="NDY42" s="31"/>
      <c r="NDZ42" s="30"/>
      <c r="NEA42" s="31"/>
      <c r="NEB42" s="30"/>
      <c r="NEC42" s="31"/>
      <c r="NED42" s="30"/>
      <c r="NEE42" s="31"/>
      <c r="NEF42" s="30"/>
      <c r="NEG42" s="31"/>
      <c r="NEH42" s="30"/>
      <c r="NEI42" s="31"/>
      <c r="NEJ42" s="30"/>
      <c r="NEK42" s="31"/>
      <c r="NEL42" s="30"/>
      <c r="NEM42" s="31"/>
      <c r="NEN42" s="30"/>
      <c r="NEO42" s="31"/>
      <c r="NEP42" s="30"/>
      <c r="NEQ42" s="31"/>
      <c r="NER42" s="30"/>
      <c r="NES42" s="31"/>
      <c r="NET42" s="30"/>
      <c r="NEU42" s="31"/>
      <c r="NEV42" s="30"/>
      <c r="NEW42" s="31"/>
      <c r="NEX42" s="30"/>
      <c r="NEY42" s="31"/>
      <c r="NEZ42" s="30"/>
      <c r="NFA42" s="31"/>
      <c r="NFB42" s="30"/>
      <c r="NFC42" s="31"/>
      <c r="NFD42" s="30"/>
      <c r="NFE42" s="31"/>
      <c r="NFF42" s="30"/>
      <c r="NFG42" s="31"/>
      <c r="NFH42" s="30"/>
      <c r="NFI42" s="31"/>
      <c r="NFJ42" s="30"/>
      <c r="NFK42" s="31"/>
      <c r="NFL42" s="30"/>
      <c r="NFM42" s="31"/>
      <c r="NFN42" s="30"/>
      <c r="NFO42" s="31"/>
      <c r="NFP42" s="30"/>
      <c r="NFQ42" s="31"/>
      <c r="NFR42" s="30"/>
      <c r="NFS42" s="31"/>
      <c r="NFT42" s="30"/>
      <c r="NFU42" s="31"/>
      <c r="NFV42" s="30"/>
      <c r="NFW42" s="31"/>
      <c r="NFX42" s="30"/>
      <c r="NFY42" s="31"/>
      <c r="NFZ42" s="30"/>
      <c r="NGA42" s="31"/>
      <c r="NGB42" s="30"/>
      <c r="NGC42" s="31"/>
      <c r="NGD42" s="30"/>
      <c r="NGE42" s="31"/>
      <c r="NGF42" s="30"/>
      <c r="NGG42" s="31"/>
      <c r="NGH42" s="30"/>
      <c r="NGI42" s="31"/>
      <c r="NGJ42" s="30"/>
      <c r="NGK42" s="31"/>
      <c r="NGL42" s="30"/>
      <c r="NGM42" s="31"/>
      <c r="NGN42" s="30"/>
      <c r="NGO42" s="31"/>
      <c r="NGP42" s="30"/>
      <c r="NGQ42" s="31"/>
      <c r="NGR42" s="30"/>
      <c r="NGS42" s="31"/>
      <c r="NGT42" s="30"/>
      <c r="NGU42" s="31"/>
      <c r="NGV42" s="30"/>
      <c r="NGW42" s="31"/>
      <c r="NGX42" s="30"/>
      <c r="NGY42" s="31"/>
      <c r="NGZ42" s="30"/>
      <c r="NHA42" s="31"/>
      <c r="NHB42" s="30"/>
      <c r="NHC42" s="31"/>
      <c r="NHD42" s="30"/>
      <c r="NHE42" s="31"/>
      <c r="NHF42" s="30"/>
      <c r="NHG42" s="31"/>
      <c r="NHH42" s="30"/>
      <c r="NHI42" s="31"/>
      <c r="NHJ42" s="30"/>
      <c r="NHK42" s="31"/>
      <c r="NHL42" s="30"/>
      <c r="NHM42" s="31"/>
      <c r="NHN42" s="30"/>
      <c r="NHO42" s="31"/>
      <c r="NHP42" s="30"/>
      <c r="NHQ42" s="31"/>
      <c r="NHR42" s="30"/>
      <c r="NHS42" s="31"/>
      <c r="NHT42" s="30"/>
      <c r="NHU42" s="31"/>
      <c r="NHV42" s="30"/>
      <c r="NHW42" s="31"/>
      <c r="NHX42" s="30"/>
      <c r="NHY42" s="31"/>
      <c r="NHZ42" s="30"/>
      <c r="NIA42" s="31"/>
      <c r="NIB42" s="30"/>
      <c r="NIC42" s="31"/>
      <c r="NID42" s="30"/>
      <c r="NIE42" s="31"/>
      <c r="NIF42" s="30"/>
      <c r="NIG42" s="31"/>
      <c r="NIH42" s="30"/>
      <c r="NII42" s="31"/>
      <c r="NIJ42" s="30"/>
      <c r="NIK42" s="31"/>
      <c r="NIL42" s="30"/>
      <c r="NIM42" s="31"/>
      <c r="NIN42" s="30"/>
      <c r="NIO42" s="31"/>
      <c r="NIP42" s="30"/>
      <c r="NIQ42" s="31"/>
      <c r="NIR42" s="30"/>
      <c r="NIS42" s="31"/>
      <c r="NIT42" s="30"/>
      <c r="NIU42" s="31"/>
      <c r="NIV42" s="30"/>
      <c r="NIW42" s="31"/>
      <c r="NIX42" s="30"/>
      <c r="NIY42" s="31"/>
      <c r="NIZ42" s="30"/>
      <c r="NJA42" s="31"/>
      <c r="NJB42" s="30"/>
      <c r="NJC42" s="31"/>
      <c r="NJD42" s="30"/>
      <c r="NJE42" s="31"/>
      <c r="NJF42" s="30"/>
      <c r="NJG42" s="31"/>
      <c r="NJH42" s="30"/>
      <c r="NJI42" s="31"/>
      <c r="NJJ42" s="30"/>
      <c r="NJK42" s="31"/>
      <c r="NJL42" s="30"/>
      <c r="NJM42" s="31"/>
      <c r="NJN42" s="30"/>
      <c r="NJO42" s="31"/>
      <c r="NJP42" s="30"/>
      <c r="NJQ42" s="31"/>
      <c r="NJR42" s="30"/>
      <c r="NJS42" s="31"/>
      <c r="NJT42" s="30"/>
      <c r="NJU42" s="31"/>
      <c r="NJV42" s="30"/>
      <c r="NJW42" s="31"/>
      <c r="NJX42" s="30"/>
      <c r="NJY42" s="31"/>
      <c r="NJZ42" s="30"/>
      <c r="NKA42" s="31"/>
      <c r="NKB42" s="30"/>
      <c r="NKC42" s="31"/>
      <c r="NKD42" s="30"/>
      <c r="NKE42" s="31"/>
      <c r="NKF42" s="30"/>
      <c r="NKG42" s="31"/>
      <c r="NKH42" s="30"/>
      <c r="NKI42" s="31"/>
      <c r="NKJ42" s="30"/>
      <c r="NKK42" s="31"/>
      <c r="NKL42" s="30"/>
      <c r="NKM42" s="31"/>
      <c r="NKN42" s="30"/>
      <c r="NKO42" s="31"/>
      <c r="NKP42" s="30"/>
      <c r="NKQ42" s="31"/>
      <c r="NKR42" s="30"/>
      <c r="NKS42" s="31"/>
      <c r="NKT42" s="30"/>
      <c r="NKU42" s="31"/>
      <c r="NKV42" s="30"/>
      <c r="NKW42" s="31"/>
      <c r="NKX42" s="30"/>
      <c r="NKY42" s="31"/>
      <c r="NKZ42" s="30"/>
      <c r="NLA42" s="31"/>
      <c r="NLB42" s="30"/>
      <c r="NLC42" s="31"/>
      <c r="NLD42" s="30"/>
      <c r="NLE42" s="31"/>
      <c r="NLF42" s="30"/>
      <c r="NLG42" s="31"/>
      <c r="NLH42" s="30"/>
      <c r="NLI42" s="31"/>
      <c r="NLJ42" s="30"/>
      <c r="NLK42" s="31"/>
      <c r="NLL42" s="30"/>
      <c r="NLM42" s="31"/>
      <c r="NLN42" s="30"/>
      <c r="NLO42" s="31"/>
      <c r="NLP42" s="30"/>
      <c r="NLQ42" s="31"/>
      <c r="NLR42" s="30"/>
      <c r="NLS42" s="31"/>
      <c r="NLT42" s="30"/>
      <c r="NLU42" s="31"/>
      <c r="NLV42" s="30"/>
      <c r="NLW42" s="31"/>
      <c r="NLX42" s="30"/>
      <c r="NLY42" s="31"/>
      <c r="NLZ42" s="30"/>
      <c r="NMA42" s="31"/>
      <c r="NMB42" s="30"/>
      <c r="NMC42" s="31"/>
      <c r="NMD42" s="30"/>
      <c r="NME42" s="31"/>
      <c r="NMF42" s="30"/>
      <c r="NMG42" s="31"/>
      <c r="NMH42" s="30"/>
      <c r="NMI42" s="31"/>
      <c r="NMJ42" s="30"/>
      <c r="NMK42" s="31"/>
      <c r="NML42" s="30"/>
      <c r="NMM42" s="31"/>
      <c r="NMN42" s="30"/>
      <c r="NMO42" s="31"/>
      <c r="NMP42" s="30"/>
      <c r="NMQ42" s="31"/>
      <c r="NMR42" s="30"/>
      <c r="NMS42" s="31"/>
      <c r="NMT42" s="30"/>
      <c r="NMU42" s="31"/>
      <c r="NMV42" s="30"/>
      <c r="NMW42" s="31"/>
      <c r="NMX42" s="30"/>
      <c r="NMY42" s="31"/>
      <c r="NMZ42" s="30"/>
      <c r="NNA42" s="31"/>
      <c r="NNB42" s="30"/>
      <c r="NNC42" s="31"/>
      <c r="NND42" s="30"/>
      <c r="NNE42" s="31"/>
      <c r="NNF42" s="30"/>
      <c r="NNG42" s="31"/>
      <c r="NNH42" s="30"/>
      <c r="NNI42" s="31"/>
      <c r="NNJ42" s="30"/>
      <c r="NNK42" s="31"/>
      <c r="NNL42" s="30"/>
      <c r="NNM42" s="31"/>
      <c r="NNN42" s="30"/>
      <c r="NNO42" s="31"/>
      <c r="NNP42" s="30"/>
      <c r="NNQ42" s="31"/>
      <c r="NNR42" s="30"/>
      <c r="NNS42" s="31"/>
      <c r="NNT42" s="30"/>
      <c r="NNU42" s="31"/>
      <c r="NNV42" s="30"/>
      <c r="NNW42" s="31"/>
      <c r="NNX42" s="30"/>
      <c r="NNY42" s="31"/>
      <c r="NNZ42" s="30"/>
      <c r="NOA42" s="31"/>
      <c r="NOB42" s="30"/>
      <c r="NOC42" s="31"/>
      <c r="NOD42" s="30"/>
      <c r="NOE42" s="31"/>
      <c r="NOF42" s="30"/>
      <c r="NOG42" s="31"/>
      <c r="NOH42" s="30"/>
      <c r="NOI42" s="31"/>
      <c r="NOJ42" s="30"/>
      <c r="NOK42" s="31"/>
      <c r="NOL42" s="30"/>
      <c r="NOM42" s="31"/>
      <c r="NON42" s="30"/>
      <c r="NOO42" s="31"/>
      <c r="NOP42" s="30"/>
      <c r="NOQ42" s="31"/>
      <c r="NOR42" s="30"/>
      <c r="NOS42" s="31"/>
      <c r="NOT42" s="30"/>
      <c r="NOU42" s="31"/>
      <c r="NOV42" s="30"/>
      <c r="NOW42" s="31"/>
      <c r="NOX42" s="30"/>
      <c r="NOY42" s="31"/>
      <c r="NOZ42" s="30"/>
      <c r="NPA42" s="31"/>
      <c r="NPB42" s="30"/>
      <c r="NPC42" s="31"/>
      <c r="NPD42" s="30"/>
      <c r="NPE42" s="31"/>
      <c r="NPF42" s="30"/>
      <c r="NPG42" s="31"/>
      <c r="NPH42" s="30"/>
      <c r="NPI42" s="31"/>
      <c r="NPJ42" s="30"/>
      <c r="NPK42" s="31"/>
      <c r="NPL42" s="30"/>
      <c r="NPM42" s="31"/>
      <c r="NPN42" s="30"/>
      <c r="NPO42" s="31"/>
      <c r="NPP42" s="30"/>
      <c r="NPQ42" s="31"/>
      <c r="NPR42" s="30"/>
      <c r="NPS42" s="31"/>
      <c r="NPT42" s="30"/>
      <c r="NPU42" s="31"/>
      <c r="NPV42" s="30"/>
      <c r="NPW42" s="31"/>
      <c r="NPX42" s="30"/>
      <c r="NPY42" s="31"/>
      <c r="NPZ42" s="30"/>
      <c r="NQA42" s="31"/>
      <c r="NQB42" s="30"/>
      <c r="NQC42" s="31"/>
      <c r="NQD42" s="30"/>
      <c r="NQE42" s="31"/>
      <c r="NQF42" s="30"/>
      <c r="NQG42" s="31"/>
      <c r="NQH42" s="30"/>
      <c r="NQI42" s="31"/>
      <c r="NQJ42" s="30"/>
      <c r="NQK42" s="31"/>
      <c r="NQL42" s="30"/>
      <c r="NQM42" s="31"/>
      <c r="NQN42" s="30"/>
      <c r="NQO42" s="31"/>
      <c r="NQP42" s="30"/>
      <c r="NQQ42" s="31"/>
      <c r="NQR42" s="30"/>
      <c r="NQS42" s="31"/>
      <c r="NQT42" s="30"/>
      <c r="NQU42" s="31"/>
      <c r="NQV42" s="30"/>
      <c r="NQW42" s="31"/>
      <c r="NQX42" s="30"/>
      <c r="NQY42" s="31"/>
      <c r="NQZ42" s="30"/>
      <c r="NRA42" s="31"/>
      <c r="NRB42" s="30"/>
      <c r="NRC42" s="31"/>
      <c r="NRD42" s="30"/>
      <c r="NRE42" s="31"/>
      <c r="NRF42" s="30"/>
      <c r="NRG42" s="31"/>
      <c r="NRH42" s="30"/>
      <c r="NRI42" s="31"/>
      <c r="NRJ42" s="30"/>
      <c r="NRK42" s="31"/>
      <c r="NRL42" s="30"/>
      <c r="NRM42" s="31"/>
      <c r="NRN42" s="30"/>
      <c r="NRO42" s="31"/>
      <c r="NRP42" s="30"/>
      <c r="NRQ42" s="31"/>
      <c r="NRR42" s="30"/>
      <c r="NRS42" s="31"/>
      <c r="NRT42" s="30"/>
      <c r="NRU42" s="31"/>
      <c r="NRV42" s="30"/>
      <c r="NRW42" s="31"/>
      <c r="NRX42" s="30"/>
      <c r="NRY42" s="31"/>
      <c r="NRZ42" s="30"/>
      <c r="NSA42" s="31"/>
      <c r="NSB42" s="30"/>
      <c r="NSC42" s="31"/>
      <c r="NSD42" s="30"/>
      <c r="NSE42" s="31"/>
      <c r="NSF42" s="30"/>
      <c r="NSG42" s="31"/>
      <c r="NSH42" s="30"/>
      <c r="NSI42" s="31"/>
      <c r="NSJ42" s="30"/>
      <c r="NSK42" s="31"/>
      <c r="NSL42" s="30"/>
      <c r="NSM42" s="31"/>
      <c r="NSN42" s="30"/>
      <c r="NSO42" s="31"/>
      <c r="NSP42" s="30"/>
      <c r="NSQ42" s="31"/>
      <c r="NSR42" s="30"/>
      <c r="NSS42" s="31"/>
      <c r="NST42" s="30"/>
      <c r="NSU42" s="31"/>
      <c r="NSV42" s="30"/>
      <c r="NSW42" s="31"/>
      <c r="NSX42" s="30"/>
      <c r="NSY42" s="31"/>
      <c r="NSZ42" s="30"/>
      <c r="NTA42" s="31"/>
      <c r="NTB42" s="30"/>
      <c r="NTC42" s="31"/>
      <c r="NTD42" s="30"/>
      <c r="NTE42" s="31"/>
      <c r="NTF42" s="30"/>
      <c r="NTG42" s="31"/>
      <c r="NTH42" s="30"/>
      <c r="NTI42" s="31"/>
      <c r="NTJ42" s="30"/>
      <c r="NTK42" s="31"/>
      <c r="NTL42" s="30"/>
      <c r="NTM42" s="31"/>
      <c r="NTN42" s="30"/>
      <c r="NTO42" s="31"/>
      <c r="NTP42" s="30"/>
      <c r="NTQ42" s="31"/>
      <c r="NTR42" s="30"/>
      <c r="NTS42" s="31"/>
      <c r="NTT42" s="30"/>
      <c r="NTU42" s="31"/>
      <c r="NTV42" s="30"/>
      <c r="NTW42" s="31"/>
      <c r="NTX42" s="30"/>
      <c r="NTY42" s="31"/>
      <c r="NTZ42" s="30"/>
      <c r="NUA42" s="31"/>
      <c r="NUB42" s="30"/>
      <c r="NUC42" s="31"/>
      <c r="NUD42" s="30"/>
      <c r="NUE42" s="31"/>
      <c r="NUF42" s="30"/>
      <c r="NUG42" s="31"/>
      <c r="NUH42" s="30"/>
      <c r="NUI42" s="31"/>
      <c r="NUJ42" s="30"/>
      <c r="NUK42" s="31"/>
      <c r="NUL42" s="30"/>
      <c r="NUM42" s="31"/>
      <c r="NUN42" s="30"/>
      <c r="NUO42" s="31"/>
      <c r="NUP42" s="30"/>
      <c r="NUQ42" s="31"/>
      <c r="NUR42" s="30"/>
      <c r="NUS42" s="31"/>
      <c r="NUT42" s="30"/>
      <c r="NUU42" s="31"/>
      <c r="NUV42" s="30"/>
      <c r="NUW42" s="31"/>
      <c r="NUX42" s="30"/>
      <c r="NUY42" s="31"/>
      <c r="NUZ42" s="30"/>
      <c r="NVA42" s="31"/>
      <c r="NVB42" s="30"/>
      <c r="NVC42" s="31"/>
      <c r="NVD42" s="30"/>
      <c r="NVE42" s="31"/>
      <c r="NVF42" s="30"/>
      <c r="NVG42" s="31"/>
      <c r="NVH42" s="30"/>
      <c r="NVI42" s="31"/>
      <c r="NVJ42" s="30"/>
      <c r="NVK42" s="31"/>
      <c r="NVL42" s="30"/>
      <c r="NVM42" s="31"/>
      <c r="NVN42" s="30"/>
      <c r="NVO42" s="31"/>
      <c r="NVP42" s="30"/>
      <c r="NVQ42" s="31"/>
      <c r="NVR42" s="30"/>
      <c r="NVS42" s="31"/>
      <c r="NVT42" s="30"/>
      <c r="NVU42" s="31"/>
      <c r="NVV42" s="30"/>
      <c r="NVW42" s="31"/>
      <c r="NVX42" s="30"/>
      <c r="NVY42" s="31"/>
      <c r="NVZ42" s="30"/>
      <c r="NWA42" s="31"/>
      <c r="NWB42" s="30"/>
      <c r="NWC42" s="31"/>
      <c r="NWD42" s="30"/>
      <c r="NWE42" s="31"/>
      <c r="NWF42" s="30"/>
      <c r="NWG42" s="31"/>
      <c r="NWH42" s="30"/>
      <c r="NWI42" s="31"/>
      <c r="NWJ42" s="30"/>
      <c r="NWK42" s="31"/>
      <c r="NWL42" s="30"/>
      <c r="NWM42" s="31"/>
      <c r="NWN42" s="30"/>
      <c r="NWO42" s="31"/>
      <c r="NWP42" s="30"/>
      <c r="NWQ42" s="31"/>
      <c r="NWR42" s="30"/>
      <c r="NWS42" s="31"/>
      <c r="NWT42" s="30"/>
      <c r="NWU42" s="31"/>
      <c r="NWV42" s="30"/>
      <c r="NWW42" s="31"/>
      <c r="NWX42" s="30"/>
      <c r="NWY42" s="31"/>
      <c r="NWZ42" s="30"/>
      <c r="NXA42" s="31"/>
      <c r="NXB42" s="30"/>
      <c r="NXC42" s="31"/>
      <c r="NXD42" s="30"/>
      <c r="NXE42" s="31"/>
      <c r="NXF42" s="30"/>
      <c r="NXG42" s="31"/>
      <c r="NXH42" s="30"/>
      <c r="NXI42" s="31"/>
      <c r="NXJ42" s="30"/>
      <c r="NXK42" s="31"/>
      <c r="NXL42" s="30"/>
      <c r="NXM42" s="31"/>
      <c r="NXN42" s="30"/>
      <c r="NXO42" s="31"/>
      <c r="NXP42" s="30"/>
      <c r="NXQ42" s="31"/>
      <c r="NXR42" s="30"/>
      <c r="NXS42" s="31"/>
      <c r="NXT42" s="30"/>
      <c r="NXU42" s="31"/>
      <c r="NXV42" s="30"/>
      <c r="NXW42" s="31"/>
      <c r="NXX42" s="30"/>
      <c r="NXY42" s="31"/>
      <c r="NXZ42" s="30"/>
      <c r="NYA42" s="31"/>
      <c r="NYB42" s="30"/>
      <c r="NYC42" s="31"/>
      <c r="NYD42" s="30"/>
      <c r="NYE42" s="31"/>
      <c r="NYF42" s="30"/>
      <c r="NYG42" s="31"/>
      <c r="NYH42" s="30"/>
      <c r="NYI42" s="31"/>
      <c r="NYJ42" s="30"/>
      <c r="NYK42" s="31"/>
      <c r="NYL42" s="30"/>
      <c r="NYM42" s="31"/>
      <c r="NYN42" s="30"/>
      <c r="NYO42" s="31"/>
      <c r="NYP42" s="30"/>
      <c r="NYQ42" s="31"/>
      <c r="NYR42" s="30"/>
      <c r="NYS42" s="31"/>
      <c r="NYT42" s="30"/>
      <c r="NYU42" s="31"/>
      <c r="NYV42" s="30"/>
      <c r="NYW42" s="31"/>
      <c r="NYX42" s="30"/>
      <c r="NYY42" s="31"/>
      <c r="NYZ42" s="30"/>
      <c r="NZA42" s="31"/>
      <c r="NZB42" s="30"/>
      <c r="NZC42" s="31"/>
      <c r="NZD42" s="30"/>
      <c r="NZE42" s="31"/>
      <c r="NZF42" s="30"/>
      <c r="NZG42" s="31"/>
      <c r="NZH42" s="30"/>
      <c r="NZI42" s="31"/>
      <c r="NZJ42" s="30"/>
      <c r="NZK42" s="31"/>
      <c r="NZL42" s="30"/>
      <c r="NZM42" s="31"/>
      <c r="NZN42" s="30"/>
      <c r="NZO42" s="31"/>
      <c r="NZP42" s="30"/>
      <c r="NZQ42" s="31"/>
      <c r="NZR42" s="30"/>
      <c r="NZS42" s="31"/>
      <c r="NZT42" s="30"/>
      <c r="NZU42" s="31"/>
      <c r="NZV42" s="30"/>
      <c r="NZW42" s="31"/>
      <c r="NZX42" s="30"/>
      <c r="NZY42" s="31"/>
      <c r="NZZ42" s="30"/>
      <c r="OAA42" s="31"/>
      <c r="OAB42" s="30"/>
      <c r="OAC42" s="31"/>
      <c r="OAD42" s="30"/>
      <c r="OAE42" s="31"/>
      <c r="OAF42" s="30"/>
      <c r="OAG42" s="31"/>
      <c r="OAH42" s="30"/>
      <c r="OAI42" s="31"/>
      <c r="OAJ42" s="30"/>
      <c r="OAK42" s="31"/>
      <c r="OAL42" s="30"/>
      <c r="OAM42" s="31"/>
      <c r="OAN42" s="30"/>
      <c r="OAO42" s="31"/>
      <c r="OAP42" s="30"/>
      <c r="OAQ42" s="31"/>
      <c r="OAR42" s="30"/>
      <c r="OAS42" s="31"/>
      <c r="OAT42" s="30"/>
      <c r="OAU42" s="31"/>
      <c r="OAV42" s="30"/>
      <c r="OAW42" s="31"/>
      <c r="OAX42" s="30"/>
      <c r="OAY42" s="31"/>
      <c r="OAZ42" s="30"/>
      <c r="OBA42" s="31"/>
      <c r="OBB42" s="30"/>
      <c r="OBC42" s="31"/>
      <c r="OBD42" s="30"/>
      <c r="OBE42" s="31"/>
      <c r="OBF42" s="30"/>
      <c r="OBG42" s="31"/>
      <c r="OBH42" s="30"/>
      <c r="OBI42" s="31"/>
      <c r="OBJ42" s="30"/>
      <c r="OBK42" s="31"/>
      <c r="OBL42" s="30"/>
      <c r="OBM42" s="31"/>
      <c r="OBN42" s="30"/>
      <c r="OBO42" s="31"/>
      <c r="OBP42" s="30"/>
      <c r="OBQ42" s="31"/>
      <c r="OBR42" s="30"/>
      <c r="OBS42" s="31"/>
      <c r="OBT42" s="30"/>
      <c r="OBU42" s="31"/>
      <c r="OBV42" s="30"/>
      <c r="OBW42" s="31"/>
      <c r="OBX42" s="30"/>
      <c r="OBY42" s="31"/>
      <c r="OBZ42" s="30"/>
      <c r="OCA42" s="31"/>
      <c r="OCB42" s="30"/>
      <c r="OCC42" s="31"/>
      <c r="OCD42" s="30"/>
      <c r="OCE42" s="31"/>
      <c r="OCF42" s="30"/>
      <c r="OCG42" s="31"/>
      <c r="OCH42" s="30"/>
      <c r="OCI42" s="31"/>
      <c r="OCJ42" s="30"/>
      <c r="OCK42" s="31"/>
      <c r="OCL42" s="30"/>
      <c r="OCM42" s="31"/>
      <c r="OCN42" s="30"/>
      <c r="OCO42" s="31"/>
      <c r="OCP42" s="30"/>
      <c r="OCQ42" s="31"/>
      <c r="OCR42" s="30"/>
      <c r="OCS42" s="31"/>
      <c r="OCT42" s="30"/>
      <c r="OCU42" s="31"/>
      <c r="OCV42" s="30"/>
      <c r="OCW42" s="31"/>
      <c r="OCX42" s="30"/>
      <c r="OCY42" s="31"/>
      <c r="OCZ42" s="30"/>
      <c r="ODA42" s="31"/>
      <c r="ODB42" s="30"/>
      <c r="ODC42" s="31"/>
      <c r="ODD42" s="30"/>
      <c r="ODE42" s="31"/>
      <c r="ODF42" s="30"/>
      <c r="ODG42" s="31"/>
      <c r="ODH42" s="30"/>
      <c r="ODI42" s="31"/>
      <c r="ODJ42" s="30"/>
      <c r="ODK42" s="31"/>
      <c r="ODL42" s="30"/>
      <c r="ODM42" s="31"/>
      <c r="ODN42" s="30"/>
      <c r="ODO42" s="31"/>
      <c r="ODP42" s="30"/>
      <c r="ODQ42" s="31"/>
      <c r="ODR42" s="30"/>
      <c r="ODS42" s="31"/>
      <c r="ODT42" s="30"/>
      <c r="ODU42" s="31"/>
      <c r="ODV42" s="30"/>
      <c r="ODW42" s="31"/>
      <c r="ODX42" s="30"/>
      <c r="ODY42" s="31"/>
      <c r="ODZ42" s="30"/>
      <c r="OEA42" s="31"/>
      <c r="OEB42" s="30"/>
      <c r="OEC42" s="31"/>
      <c r="OED42" s="30"/>
      <c r="OEE42" s="31"/>
      <c r="OEF42" s="30"/>
      <c r="OEG42" s="31"/>
      <c r="OEH42" s="30"/>
      <c r="OEI42" s="31"/>
      <c r="OEJ42" s="30"/>
      <c r="OEK42" s="31"/>
      <c r="OEL42" s="30"/>
      <c r="OEM42" s="31"/>
      <c r="OEN42" s="30"/>
      <c r="OEO42" s="31"/>
      <c r="OEP42" s="30"/>
      <c r="OEQ42" s="31"/>
      <c r="OER42" s="30"/>
      <c r="OES42" s="31"/>
      <c r="OET42" s="30"/>
      <c r="OEU42" s="31"/>
      <c r="OEV42" s="30"/>
      <c r="OEW42" s="31"/>
      <c r="OEX42" s="30"/>
      <c r="OEY42" s="31"/>
      <c r="OEZ42" s="30"/>
      <c r="OFA42" s="31"/>
      <c r="OFB42" s="30"/>
      <c r="OFC42" s="31"/>
      <c r="OFD42" s="30"/>
      <c r="OFE42" s="31"/>
      <c r="OFF42" s="30"/>
      <c r="OFG42" s="31"/>
      <c r="OFH42" s="30"/>
      <c r="OFI42" s="31"/>
      <c r="OFJ42" s="30"/>
      <c r="OFK42" s="31"/>
      <c r="OFL42" s="30"/>
      <c r="OFM42" s="31"/>
      <c r="OFN42" s="30"/>
      <c r="OFO42" s="31"/>
      <c r="OFP42" s="30"/>
      <c r="OFQ42" s="31"/>
      <c r="OFR42" s="30"/>
      <c r="OFS42" s="31"/>
      <c r="OFT42" s="30"/>
      <c r="OFU42" s="31"/>
      <c r="OFV42" s="30"/>
      <c r="OFW42" s="31"/>
      <c r="OFX42" s="30"/>
      <c r="OFY42" s="31"/>
      <c r="OFZ42" s="30"/>
      <c r="OGA42" s="31"/>
      <c r="OGB42" s="30"/>
      <c r="OGC42" s="31"/>
      <c r="OGD42" s="30"/>
      <c r="OGE42" s="31"/>
      <c r="OGF42" s="30"/>
      <c r="OGG42" s="31"/>
      <c r="OGH42" s="30"/>
      <c r="OGI42" s="31"/>
      <c r="OGJ42" s="30"/>
      <c r="OGK42" s="31"/>
      <c r="OGL42" s="30"/>
      <c r="OGM42" s="31"/>
      <c r="OGN42" s="30"/>
      <c r="OGO42" s="31"/>
      <c r="OGP42" s="30"/>
      <c r="OGQ42" s="31"/>
      <c r="OGR42" s="30"/>
      <c r="OGS42" s="31"/>
      <c r="OGT42" s="30"/>
      <c r="OGU42" s="31"/>
      <c r="OGV42" s="30"/>
      <c r="OGW42" s="31"/>
      <c r="OGX42" s="30"/>
      <c r="OGY42" s="31"/>
      <c r="OGZ42" s="30"/>
      <c r="OHA42" s="31"/>
      <c r="OHB42" s="30"/>
      <c r="OHC42" s="31"/>
      <c r="OHD42" s="30"/>
      <c r="OHE42" s="31"/>
      <c r="OHF42" s="30"/>
      <c r="OHG42" s="31"/>
      <c r="OHH42" s="30"/>
      <c r="OHI42" s="31"/>
      <c r="OHJ42" s="30"/>
      <c r="OHK42" s="31"/>
      <c r="OHL42" s="30"/>
      <c r="OHM42" s="31"/>
      <c r="OHN42" s="30"/>
      <c r="OHO42" s="31"/>
      <c r="OHP42" s="30"/>
      <c r="OHQ42" s="31"/>
      <c r="OHR42" s="30"/>
      <c r="OHS42" s="31"/>
      <c r="OHT42" s="30"/>
      <c r="OHU42" s="31"/>
      <c r="OHV42" s="30"/>
      <c r="OHW42" s="31"/>
      <c r="OHX42" s="30"/>
      <c r="OHY42" s="31"/>
      <c r="OHZ42" s="30"/>
      <c r="OIA42" s="31"/>
      <c r="OIB42" s="30"/>
      <c r="OIC42" s="31"/>
      <c r="OID42" s="30"/>
      <c r="OIE42" s="31"/>
      <c r="OIF42" s="30"/>
      <c r="OIG42" s="31"/>
      <c r="OIH42" s="30"/>
      <c r="OII42" s="31"/>
      <c r="OIJ42" s="30"/>
      <c r="OIK42" s="31"/>
      <c r="OIL42" s="30"/>
      <c r="OIM42" s="31"/>
      <c r="OIN42" s="30"/>
      <c r="OIO42" s="31"/>
      <c r="OIP42" s="30"/>
      <c r="OIQ42" s="31"/>
      <c r="OIR42" s="30"/>
      <c r="OIS42" s="31"/>
      <c r="OIT42" s="30"/>
      <c r="OIU42" s="31"/>
      <c r="OIV42" s="30"/>
      <c r="OIW42" s="31"/>
      <c r="OIX42" s="30"/>
      <c r="OIY42" s="31"/>
      <c r="OIZ42" s="30"/>
      <c r="OJA42" s="31"/>
      <c r="OJB42" s="30"/>
      <c r="OJC42" s="31"/>
      <c r="OJD42" s="30"/>
      <c r="OJE42" s="31"/>
      <c r="OJF42" s="30"/>
      <c r="OJG42" s="31"/>
      <c r="OJH42" s="30"/>
      <c r="OJI42" s="31"/>
      <c r="OJJ42" s="30"/>
      <c r="OJK42" s="31"/>
      <c r="OJL42" s="30"/>
      <c r="OJM42" s="31"/>
      <c r="OJN42" s="30"/>
      <c r="OJO42" s="31"/>
      <c r="OJP42" s="30"/>
      <c r="OJQ42" s="31"/>
      <c r="OJR42" s="30"/>
      <c r="OJS42" s="31"/>
      <c r="OJT42" s="30"/>
      <c r="OJU42" s="31"/>
      <c r="OJV42" s="30"/>
      <c r="OJW42" s="31"/>
      <c r="OJX42" s="30"/>
      <c r="OJY42" s="31"/>
      <c r="OJZ42" s="30"/>
      <c r="OKA42" s="31"/>
      <c r="OKB42" s="30"/>
      <c r="OKC42" s="31"/>
      <c r="OKD42" s="30"/>
      <c r="OKE42" s="31"/>
      <c r="OKF42" s="30"/>
      <c r="OKG42" s="31"/>
      <c r="OKH42" s="30"/>
      <c r="OKI42" s="31"/>
      <c r="OKJ42" s="30"/>
      <c r="OKK42" s="31"/>
      <c r="OKL42" s="30"/>
      <c r="OKM42" s="31"/>
      <c r="OKN42" s="30"/>
      <c r="OKO42" s="31"/>
      <c r="OKP42" s="30"/>
      <c r="OKQ42" s="31"/>
      <c r="OKR42" s="30"/>
      <c r="OKS42" s="31"/>
      <c r="OKT42" s="30"/>
      <c r="OKU42" s="31"/>
      <c r="OKV42" s="30"/>
      <c r="OKW42" s="31"/>
      <c r="OKX42" s="30"/>
      <c r="OKY42" s="31"/>
      <c r="OKZ42" s="30"/>
      <c r="OLA42" s="31"/>
      <c r="OLB42" s="30"/>
      <c r="OLC42" s="31"/>
      <c r="OLD42" s="30"/>
      <c r="OLE42" s="31"/>
      <c r="OLF42" s="30"/>
      <c r="OLG42" s="31"/>
      <c r="OLH42" s="30"/>
      <c r="OLI42" s="31"/>
      <c r="OLJ42" s="30"/>
      <c r="OLK42" s="31"/>
      <c r="OLL42" s="30"/>
      <c r="OLM42" s="31"/>
      <c r="OLN42" s="30"/>
      <c r="OLO42" s="31"/>
      <c r="OLP42" s="30"/>
      <c r="OLQ42" s="31"/>
      <c r="OLR42" s="30"/>
      <c r="OLS42" s="31"/>
      <c r="OLT42" s="30"/>
      <c r="OLU42" s="31"/>
      <c r="OLV42" s="30"/>
      <c r="OLW42" s="31"/>
      <c r="OLX42" s="30"/>
      <c r="OLY42" s="31"/>
      <c r="OLZ42" s="30"/>
      <c r="OMA42" s="31"/>
      <c r="OMB42" s="30"/>
      <c r="OMC42" s="31"/>
      <c r="OMD42" s="30"/>
      <c r="OME42" s="31"/>
      <c r="OMF42" s="30"/>
      <c r="OMG42" s="31"/>
      <c r="OMH42" s="30"/>
      <c r="OMI42" s="31"/>
      <c r="OMJ42" s="30"/>
      <c r="OMK42" s="31"/>
      <c r="OML42" s="30"/>
      <c r="OMM42" s="31"/>
      <c r="OMN42" s="30"/>
      <c r="OMO42" s="31"/>
      <c r="OMP42" s="30"/>
      <c r="OMQ42" s="31"/>
      <c r="OMR42" s="30"/>
      <c r="OMS42" s="31"/>
      <c r="OMT42" s="30"/>
      <c r="OMU42" s="31"/>
      <c r="OMV42" s="30"/>
      <c r="OMW42" s="31"/>
      <c r="OMX42" s="30"/>
      <c r="OMY42" s="31"/>
      <c r="OMZ42" s="30"/>
      <c r="ONA42" s="31"/>
      <c r="ONB42" s="30"/>
      <c r="ONC42" s="31"/>
      <c r="OND42" s="30"/>
      <c r="ONE42" s="31"/>
      <c r="ONF42" s="30"/>
      <c r="ONG42" s="31"/>
      <c r="ONH42" s="30"/>
      <c r="ONI42" s="31"/>
      <c r="ONJ42" s="30"/>
      <c r="ONK42" s="31"/>
      <c r="ONL42" s="30"/>
      <c r="ONM42" s="31"/>
      <c r="ONN42" s="30"/>
      <c r="ONO42" s="31"/>
      <c r="ONP42" s="30"/>
      <c r="ONQ42" s="31"/>
      <c r="ONR42" s="30"/>
      <c r="ONS42" s="31"/>
      <c r="ONT42" s="30"/>
      <c r="ONU42" s="31"/>
      <c r="ONV42" s="30"/>
      <c r="ONW42" s="31"/>
      <c r="ONX42" s="30"/>
      <c r="ONY42" s="31"/>
      <c r="ONZ42" s="30"/>
      <c r="OOA42" s="31"/>
      <c r="OOB42" s="30"/>
      <c r="OOC42" s="31"/>
      <c r="OOD42" s="30"/>
      <c r="OOE42" s="31"/>
      <c r="OOF42" s="30"/>
      <c r="OOG42" s="31"/>
      <c r="OOH42" s="30"/>
      <c r="OOI42" s="31"/>
      <c r="OOJ42" s="30"/>
      <c r="OOK42" s="31"/>
      <c r="OOL42" s="30"/>
      <c r="OOM42" s="31"/>
      <c r="OON42" s="30"/>
      <c r="OOO42" s="31"/>
      <c r="OOP42" s="30"/>
      <c r="OOQ42" s="31"/>
      <c r="OOR42" s="30"/>
      <c r="OOS42" s="31"/>
      <c r="OOT42" s="30"/>
      <c r="OOU42" s="31"/>
      <c r="OOV42" s="30"/>
      <c r="OOW42" s="31"/>
      <c r="OOX42" s="30"/>
      <c r="OOY42" s="31"/>
      <c r="OOZ42" s="30"/>
      <c r="OPA42" s="31"/>
      <c r="OPB42" s="30"/>
      <c r="OPC42" s="31"/>
      <c r="OPD42" s="30"/>
      <c r="OPE42" s="31"/>
      <c r="OPF42" s="30"/>
      <c r="OPG42" s="31"/>
      <c r="OPH42" s="30"/>
      <c r="OPI42" s="31"/>
      <c r="OPJ42" s="30"/>
      <c r="OPK42" s="31"/>
      <c r="OPL42" s="30"/>
      <c r="OPM42" s="31"/>
      <c r="OPN42" s="30"/>
      <c r="OPO42" s="31"/>
      <c r="OPP42" s="30"/>
      <c r="OPQ42" s="31"/>
      <c r="OPR42" s="30"/>
      <c r="OPS42" s="31"/>
      <c r="OPT42" s="30"/>
      <c r="OPU42" s="31"/>
      <c r="OPV42" s="30"/>
      <c r="OPW42" s="31"/>
      <c r="OPX42" s="30"/>
      <c r="OPY42" s="31"/>
      <c r="OPZ42" s="30"/>
      <c r="OQA42" s="31"/>
      <c r="OQB42" s="30"/>
      <c r="OQC42" s="31"/>
      <c r="OQD42" s="30"/>
      <c r="OQE42" s="31"/>
      <c r="OQF42" s="30"/>
      <c r="OQG42" s="31"/>
      <c r="OQH42" s="30"/>
      <c r="OQI42" s="31"/>
      <c r="OQJ42" s="30"/>
      <c r="OQK42" s="31"/>
      <c r="OQL42" s="30"/>
      <c r="OQM42" s="31"/>
      <c r="OQN42" s="30"/>
      <c r="OQO42" s="31"/>
      <c r="OQP42" s="30"/>
      <c r="OQQ42" s="31"/>
      <c r="OQR42" s="30"/>
      <c r="OQS42" s="31"/>
      <c r="OQT42" s="30"/>
      <c r="OQU42" s="31"/>
      <c r="OQV42" s="30"/>
      <c r="OQW42" s="31"/>
      <c r="OQX42" s="30"/>
      <c r="OQY42" s="31"/>
      <c r="OQZ42" s="30"/>
      <c r="ORA42" s="31"/>
      <c r="ORB42" s="30"/>
      <c r="ORC42" s="31"/>
      <c r="ORD42" s="30"/>
      <c r="ORE42" s="31"/>
      <c r="ORF42" s="30"/>
      <c r="ORG42" s="31"/>
      <c r="ORH42" s="30"/>
      <c r="ORI42" s="31"/>
      <c r="ORJ42" s="30"/>
      <c r="ORK42" s="31"/>
      <c r="ORL42" s="30"/>
      <c r="ORM42" s="31"/>
      <c r="ORN42" s="30"/>
      <c r="ORO42" s="31"/>
      <c r="ORP42" s="30"/>
      <c r="ORQ42" s="31"/>
      <c r="ORR42" s="30"/>
      <c r="ORS42" s="31"/>
      <c r="ORT42" s="30"/>
      <c r="ORU42" s="31"/>
      <c r="ORV42" s="30"/>
      <c r="ORW42" s="31"/>
      <c r="ORX42" s="30"/>
      <c r="ORY42" s="31"/>
      <c r="ORZ42" s="30"/>
      <c r="OSA42" s="31"/>
      <c r="OSB42" s="30"/>
      <c r="OSC42" s="31"/>
      <c r="OSD42" s="30"/>
      <c r="OSE42" s="31"/>
      <c r="OSF42" s="30"/>
      <c r="OSG42" s="31"/>
      <c r="OSH42" s="30"/>
      <c r="OSI42" s="31"/>
      <c r="OSJ42" s="30"/>
      <c r="OSK42" s="31"/>
      <c r="OSL42" s="30"/>
      <c r="OSM42" s="31"/>
      <c r="OSN42" s="30"/>
      <c r="OSO42" s="31"/>
      <c r="OSP42" s="30"/>
      <c r="OSQ42" s="31"/>
      <c r="OSR42" s="30"/>
      <c r="OSS42" s="31"/>
      <c r="OST42" s="30"/>
      <c r="OSU42" s="31"/>
      <c r="OSV42" s="30"/>
      <c r="OSW42" s="31"/>
      <c r="OSX42" s="30"/>
      <c r="OSY42" s="31"/>
      <c r="OSZ42" s="30"/>
      <c r="OTA42" s="31"/>
      <c r="OTB42" s="30"/>
      <c r="OTC42" s="31"/>
      <c r="OTD42" s="30"/>
      <c r="OTE42" s="31"/>
      <c r="OTF42" s="30"/>
      <c r="OTG42" s="31"/>
      <c r="OTH42" s="30"/>
      <c r="OTI42" s="31"/>
      <c r="OTJ42" s="30"/>
      <c r="OTK42" s="31"/>
      <c r="OTL42" s="30"/>
      <c r="OTM42" s="31"/>
      <c r="OTN42" s="30"/>
      <c r="OTO42" s="31"/>
      <c r="OTP42" s="30"/>
      <c r="OTQ42" s="31"/>
      <c r="OTR42" s="30"/>
      <c r="OTS42" s="31"/>
      <c r="OTT42" s="30"/>
      <c r="OTU42" s="31"/>
      <c r="OTV42" s="30"/>
      <c r="OTW42" s="31"/>
      <c r="OTX42" s="30"/>
      <c r="OTY42" s="31"/>
      <c r="OTZ42" s="30"/>
      <c r="OUA42" s="31"/>
      <c r="OUB42" s="30"/>
      <c r="OUC42" s="31"/>
      <c r="OUD42" s="30"/>
      <c r="OUE42" s="31"/>
      <c r="OUF42" s="30"/>
      <c r="OUG42" s="31"/>
      <c r="OUH42" s="30"/>
      <c r="OUI42" s="31"/>
      <c r="OUJ42" s="30"/>
      <c r="OUK42" s="31"/>
      <c r="OUL42" s="30"/>
      <c r="OUM42" s="31"/>
      <c r="OUN42" s="30"/>
      <c r="OUO42" s="31"/>
      <c r="OUP42" s="30"/>
      <c r="OUQ42" s="31"/>
      <c r="OUR42" s="30"/>
      <c r="OUS42" s="31"/>
      <c r="OUT42" s="30"/>
      <c r="OUU42" s="31"/>
      <c r="OUV42" s="30"/>
      <c r="OUW42" s="31"/>
      <c r="OUX42" s="30"/>
      <c r="OUY42" s="31"/>
      <c r="OUZ42" s="30"/>
      <c r="OVA42" s="31"/>
      <c r="OVB42" s="30"/>
      <c r="OVC42" s="31"/>
      <c r="OVD42" s="30"/>
      <c r="OVE42" s="31"/>
      <c r="OVF42" s="30"/>
      <c r="OVG42" s="31"/>
      <c r="OVH42" s="30"/>
      <c r="OVI42" s="31"/>
      <c r="OVJ42" s="30"/>
      <c r="OVK42" s="31"/>
      <c r="OVL42" s="30"/>
      <c r="OVM42" s="31"/>
      <c r="OVN42" s="30"/>
      <c r="OVO42" s="31"/>
      <c r="OVP42" s="30"/>
      <c r="OVQ42" s="31"/>
      <c r="OVR42" s="30"/>
      <c r="OVS42" s="31"/>
      <c r="OVT42" s="30"/>
      <c r="OVU42" s="31"/>
      <c r="OVV42" s="30"/>
      <c r="OVW42" s="31"/>
      <c r="OVX42" s="30"/>
      <c r="OVY42" s="31"/>
      <c r="OVZ42" s="30"/>
      <c r="OWA42" s="31"/>
      <c r="OWB42" s="30"/>
      <c r="OWC42" s="31"/>
      <c r="OWD42" s="30"/>
      <c r="OWE42" s="31"/>
      <c r="OWF42" s="30"/>
      <c r="OWG42" s="31"/>
      <c r="OWH42" s="30"/>
      <c r="OWI42" s="31"/>
      <c r="OWJ42" s="30"/>
      <c r="OWK42" s="31"/>
      <c r="OWL42" s="30"/>
      <c r="OWM42" s="31"/>
      <c r="OWN42" s="30"/>
      <c r="OWO42" s="31"/>
      <c r="OWP42" s="30"/>
      <c r="OWQ42" s="31"/>
      <c r="OWR42" s="30"/>
      <c r="OWS42" s="31"/>
      <c r="OWT42" s="30"/>
      <c r="OWU42" s="31"/>
      <c r="OWV42" s="30"/>
      <c r="OWW42" s="31"/>
      <c r="OWX42" s="30"/>
      <c r="OWY42" s="31"/>
      <c r="OWZ42" s="30"/>
      <c r="OXA42" s="31"/>
      <c r="OXB42" s="30"/>
      <c r="OXC42" s="31"/>
      <c r="OXD42" s="30"/>
      <c r="OXE42" s="31"/>
      <c r="OXF42" s="30"/>
      <c r="OXG42" s="31"/>
      <c r="OXH42" s="30"/>
      <c r="OXI42" s="31"/>
      <c r="OXJ42" s="30"/>
      <c r="OXK42" s="31"/>
      <c r="OXL42" s="30"/>
      <c r="OXM42" s="31"/>
      <c r="OXN42" s="30"/>
      <c r="OXO42" s="31"/>
      <c r="OXP42" s="30"/>
      <c r="OXQ42" s="31"/>
      <c r="OXR42" s="30"/>
      <c r="OXS42" s="31"/>
      <c r="OXT42" s="30"/>
      <c r="OXU42" s="31"/>
      <c r="OXV42" s="30"/>
      <c r="OXW42" s="31"/>
      <c r="OXX42" s="30"/>
      <c r="OXY42" s="31"/>
      <c r="OXZ42" s="30"/>
      <c r="OYA42" s="31"/>
      <c r="OYB42" s="30"/>
      <c r="OYC42" s="31"/>
      <c r="OYD42" s="30"/>
      <c r="OYE42" s="31"/>
      <c r="OYF42" s="30"/>
      <c r="OYG42" s="31"/>
      <c r="OYH42" s="30"/>
      <c r="OYI42" s="31"/>
      <c r="OYJ42" s="30"/>
      <c r="OYK42" s="31"/>
      <c r="OYL42" s="30"/>
      <c r="OYM42" s="31"/>
      <c r="OYN42" s="30"/>
      <c r="OYO42" s="31"/>
      <c r="OYP42" s="30"/>
      <c r="OYQ42" s="31"/>
      <c r="OYR42" s="30"/>
      <c r="OYS42" s="31"/>
      <c r="OYT42" s="30"/>
      <c r="OYU42" s="31"/>
      <c r="OYV42" s="30"/>
      <c r="OYW42" s="31"/>
      <c r="OYX42" s="30"/>
      <c r="OYY42" s="31"/>
      <c r="OYZ42" s="30"/>
      <c r="OZA42" s="31"/>
      <c r="OZB42" s="30"/>
      <c r="OZC42" s="31"/>
      <c r="OZD42" s="30"/>
      <c r="OZE42" s="31"/>
      <c r="OZF42" s="30"/>
      <c r="OZG42" s="31"/>
      <c r="OZH42" s="30"/>
      <c r="OZI42" s="31"/>
      <c r="OZJ42" s="30"/>
      <c r="OZK42" s="31"/>
      <c r="OZL42" s="30"/>
      <c r="OZM42" s="31"/>
      <c r="OZN42" s="30"/>
      <c r="OZO42" s="31"/>
      <c r="OZP42" s="30"/>
      <c r="OZQ42" s="31"/>
      <c r="OZR42" s="30"/>
      <c r="OZS42" s="31"/>
      <c r="OZT42" s="30"/>
      <c r="OZU42" s="31"/>
      <c r="OZV42" s="30"/>
      <c r="OZW42" s="31"/>
      <c r="OZX42" s="30"/>
      <c r="OZY42" s="31"/>
      <c r="OZZ42" s="30"/>
      <c r="PAA42" s="31"/>
      <c r="PAB42" s="30"/>
      <c r="PAC42" s="31"/>
      <c r="PAD42" s="30"/>
      <c r="PAE42" s="31"/>
      <c r="PAF42" s="30"/>
      <c r="PAG42" s="31"/>
      <c r="PAH42" s="30"/>
      <c r="PAI42" s="31"/>
      <c r="PAJ42" s="30"/>
      <c r="PAK42" s="31"/>
      <c r="PAL42" s="30"/>
      <c r="PAM42" s="31"/>
      <c r="PAN42" s="30"/>
      <c r="PAO42" s="31"/>
      <c r="PAP42" s="30"/>
      <c r="PAQ42" s="31"/>
      <c r="PAR42" s="30"/>
      <c r="PAS42" s="31"/>
      <c r="PAT42" s="30"/>
      <c r="PAU42" s="31"/>
      <c r="PAV42" s="30"/>
      <c r="PAW42" s="31"/>
      <c r="PAX42" s="30"/>
      <c r="PAY42" s="31"/>
      <c r="PAZ42" s="30"/>
      <c r="PBA42" s="31"/>
      <c r="PBB42" s="30"/>
      <c r="PBC42" s="31"/>
      <c r="PBD42" s="30"/>
      <c r="PBE42" s="31"/>
      <c r="PBF42" s="30"/>
      <c r="PBG42" s="31"/>
      <c r="PBH42" s="30"/>
      <c r="PBI42" s="31"/>
      <c r="PBJ42" s="30"/>
      <c r="PBK42" s="31"/>
      <c r="PBL42" s="30"/>
      <c r="PBM42" s="31"/>
      <c r="PBN42" s="30"/>
      <c r="PBO42" s="31"/>
      <c r="PBP42" s="30"/>
      <c r="PBQ42" s="31"/>
      <c r="PBR42" s="30"/>
      <c r="PBS42" s="31"/>
      <c r="PBT42" s="30"/>
      <c r="PBU42" s="31"/>
      <c r="PBV42" s="30"/>
      <c r="PBW42" s="31"/>
      <c r="PBX42" s="30"/>
      <c r="PBY42" s="31"/>
      <c r="PBZ42" s="30"/>
      <c r="PCA42" s="31"/>
      <c r="PCB42" s="30"/>
      <c r="PCC42" s="31"/>
      <c r="PCD42" s="30"/>
      <c r="PCE42" s="31"/>
      <c r="PCF42" s="30"/>
      <c r="PCG42" s="31"/>
      <c r="PCH42" s="30"/>
      <c r="PCI42" s="31"/>
      <c r="PCJ42" s="30"/>
      <c r="PCK42" s="31"/>
      <c r="PCL42" s="30"/>
      <c r="PCM42" s="31"/>
      <c r="PCN42" s="30"/>
      <c r="PCO42" s="31"/>
      <c r="PCP42" s="30"/>
      <c r="PCQ42" s="31"/>
      <c r="PCR42" s="30"/>
      <c r="PCS42" s="31"/>
      <c r="PCT42" s="30"/>
      <c r="PCU42" s="31"/>
      <c r="PCV42" s="30"/>
      <c r="PCW42" s="31"/>
      <c r="PCX42" s="30"/>
      <c r="PCY42" s="31"/>
      <c r="PCZ42" s="30"/>
      <c r="PDA42" s="31"/>
      <c r="PDB42" s="30"/>
      <c r="PDC42" s="31"/>
      <c r="PDD42" s="30"/>
      <c r="PDE42" s="31"/>
      <c r="PDF42" s="30"/>
      <c r="PDG42" s="31"/>
      <c r="PDH42" s="30"/>
      <c r="PDI42" s="31"/>
      <c r="PDJ42" s="30"/>
      <c r="PDK42" s="31"/>
      <c r="PDL42" s="30"/>
      <c r="PDM42" s="31"/>
      <c r="PDN42" s="30"/>
      <c r="PDO42" s="31"/>
      <c r="PDP42" s="30"/>
      <c r="PDQ42" s="31"/>
      <c r="PDR42" s="30"/>
      <c r="PDS42" s="31"/>
      <c r="PDT42" s="30"/>
      <c r="PDU42" s="31"/>
      <c r="PDV42" s="30"/>
      <c r="PDW42" s="31"/>
      <c r="PDX42" s="30"/>
      <c r="PDY42" s="31"/>
      <c r="PDZ42" s="30"/>
      <c r="PEA42" s="31"/>
      <c r="PEB42" s="30"/>
      <c r="PEC42" s="31"/>
      <c r="PED42" s="30"/>
      <c r="PEE42" s="31"/>
      <c r="PEF42" s="30"/>
      <c r="PEG42" s="31"/>
      <c r="PEH42" s="30"/>
      <c r="PEI42" s="31"/>
      <c r="PEJ42" s="30"/>
      <c r="PEK42" s="31"/>
      <c r="PEL42" s="30"/>
      <c r="PEM42" s="31"/>
      <c r="PEN42" s="30"/>
      <c r="PEO42" s="31"/>
      <c r="PEP42" s="30"/>
      <c r="PEQ42" s="31"/>
      <c r="PER42" s="30"/>
      <c r="PES42" s="31"/>
      <c r="PET42" s="30"/>
      <c r="PEU42" s="31"/>
      <c r="PEV42" s="30"/>
      <c r="PEW42" s="31"/>
      <c r="PEX42" s="30"/>
      <c r="PEY42" s="31"/>
      <c r="PEZ42" s="30"/>
      <c r="PFA42" s="31"/>
      <c r="PFB42" s="30"/>
      <c r="PFC42" s="31"/>
      <c r="PFD42" s="30"/>
      <c r="PFE42" s="31"/>
      <c r="PFF42" s="30"/>
      <c r="PFG42" s="31"/>
      <c r="PFH42" s="30"/>
      <c r="PFI42" s="31"/>
      <c r="PFJ42" s="30"/>
      <c r="PFK42" s="31"/>
      <c r="PFL42" s="30"/>
      <c r="PFM42" s="31"/>
      <c r="PFN42" s="30"/>
      <c r="PFO42" s="31"/>
      <c r="PFP42" s="30"/>
      <c r="PFQ42" s="31"/>
      <c r="PFR42" s="30"/>
      <c r="PFS42" s="31"/>
      <c r="PFT42" s="30"/>
      <c r="PFU42" s="31"/>
      <c r="PFV42" s="30"/>
      <c r="PFW42" s="31"/>
      <c r="PFX42" s="30"/>
      <c r="PFY42" s="31"/>
      <c r="PFZ42" s="30"/>
      <c r="PGA42" s="31"/>
      <c r="PGB42" s="30"/>
      <c r="PGC42" s="31"/>
      <c r="PGD42" s="30"/>
      <c r="PGE42" s="31"/>
      <c r="PGF42" s="30"/>
      <c r="PGG42" s="31"/>
      <c r="PGH42" s="30"/>
      <c r="PGI42" s="31"/>
      <c r="PGJ42" s="30"/>
      <c r="PGK42" s="31"/>
      <c r="PGL42" s="30"/>
      <c r="PGM42" s="31"/>
      <c r="PGN42" s="30"/>
      <c r="PGO42" s="31"/>
      <c r="PGP42" s="30"/>
      <c r="PGQ42" s="31"/>
      <c r="PGR42" s="30"/>
      <c r="PGS42" s="31"/>
      <c r="PGT42" s="30"/>
      <c r="PGU42" s="31"/>
      <c r="PGV42" s="30"/>
      <c r="PGW42" s="31"/>
      <c r="PGX42" s="30"/>
      <c r="PGY42" s="31"/>
      <c r="PGZ42" s="30"/>
      <c r="PHA42" s="31"/>
      <c r="PHB42" s="30"/>
      <c r="PHC42" s="31"/>
      <c r="PHD42" s="30"/>
      <c r="PHE42" s="31"/>
      <c r="PHF42" s="30"/>
      <c r="PHG42" s="31"/>
      <c r="PHH42" s="30"/>
      <c r="PHI42" s="31"/>
      <c r="PHJ42" s="30"/>
      <c r="PHK42" s="31"/>
      <c r="PHL42" s="30"/>
      <c r="PHM42" s="31"/>
      <c r="PHN42" s="30"/>
      <c r="PHO42" s="31"/>
      <c r="PHP42" s="30"/>
      <c r="PHQ42" s="31"/>
      <c r="PHR42" s="30"/>
      <c r="PHS42" s="31"/>
      <c r="PHT42" s="30"/>
      <c r="PHU42" s="31"/>
      <c r="PHV42" s="30"/>
      <c r="PHW42" s="31"/>
      <c r="PHX42" s="30"/>
      <c r="PHY42" s="31"/>
      <c r="PHZ42" s="30"/>
      <c r="PIA42" s="31"/>
      <c r="PIB42" s="30"/>
      <c r="PIC42" s="31"/>
      <c r="PID42" s="30"/>
      <c r="PIE42" s="31"/>
      <c r="PIF42" s="30"/>
      <c r="PIG42" s="31"/>
      <c r="PIH42" s="30"/>
      <c r="PII42" s="31"/>
      <c r="PIJ42" s="30"/>
      <c r="PIK42" s="31"/>
      <c r="PIL42" s="30"/>
      <c r="PIM42" s="31"/>
      <c r="PIN42" s="30"/>
      <c r="PIO42" s="31"/>
      <c r="PIP42" s="30"/>
      <c r="PIQ42" s="31"/>
      <c r="PIR42" s="30"/>
      <c r="PIS42" s="31"/>
      <c r="PIT42" s="30"/>
      <c r="PIU42" s="31"/>
      <c r="PIV42" s="30"/>
      <c r="PIW42" s="31"/>
      <c r="PIX42" s="30"/>
      <c r="PIY42" s="31"/>
      <c r="PIZ42" s="30"/>
      <c r="PJA42" s="31"/>
      <c r="PJB42" s="30"/>
      <c r="PJC42" s="31"/>
      <c r="PJD42" s="30"/>
      <c r="PJE42" s="31"/>
      <c r="PJF42" s="30"/>
      <c r="PJG42" s="31"/>
      <c r="PJH42" s="30"/>
      <c r="PJI42" s="31"/>
      <c r="PJJ42" s="30"/>
      <c r="PJK42" s="31"/>
      <c r="PJL42" s="30"/>
      <c r="PJM42" s="31"/>
      <c r="PJN42" s="30"/>
      <c r="PJO42" s="31"/>
      <c r="PJP42" s="30"/>
      <c r="PJQ42" s="31"/>
      <c r="PJR42" s="30"/>
      <c r="PJS42" s="31"/>
      <c r="PJT42" s="30"/>
      <c r="PJU42" s="31"/>
      <c r="PJV42" s="30"/>
      <c r="PJW42" s="31"/>
      <c r="PJX42" s="30"/>
      <c r="PJY42" s="31"/>
      <c r="PJZ42" s="30"/>
      <c r="PKA42" s="31"/>
      <c r="PKB42" s="30"/>
      <c r="PKC42" s="31"/>
      <c r="PKD42" s="30"/>
      <c r="PKE42" s="31"/>
      <c r="PKF42" s="30"/>
      <c r="PKG42" s="31"/>
      <c r="PKH42" s="30"/>
      <c r="PKI42" s="31"/>
      <c r="PKJ42" s="30"/>
      <c r="PKK42" s="31"/>
      <c r="PKL42" s="30"/>
      <c r="PKM42" s="31"/>
      <c r="PKN42" s="30"/>
      <c r="PKO42" s="31"/>
      <c r="PKP42" s="30"/>
      <c r="PKQ42" s="31"/>
      <c r="PKR42" s="30"/>
      <c r="PKS42" s="31"/>
      <c r="PKT42" s="30"/>
      <c r="PKU42" s="31"/>
      <c r="PKV42" s="30"/>
      <c r="PKW42" s="31"/>
      <c r="PKX42" s="30"/>
      <c r="PKY42" s="31"/>
      <c r="PKZ42" s="30"/>
      <c r="PLA42" s="31"/>
      <c r="PLB42" s="30"/>
      <c r="PLC42" s="31"/>
      <c r="PLD42" s="30"/>
      <c r="PLE42" s="31"/>
      <c r="PLF42" s="30"/>
      <c r="PLG42" s="31"/>
      <c r="PLH42" s="30"/>
      <c r="PLI42" s="31"/>
      <c r="PLJ42" s="30"/>
      <c r="PLK42" s="31"/>
      <c r="PLL42" s="30"/>
      <c r="PLM42" s="31"/>
      <c r="PLN42" s="30"/>
      <c r="PLO42" s="31"/>
      <c r="PLP42" s="30"/>
      <c r="PLQ42" s="31"/>
      <c r="PLR42" s="30"/>
      <c r="PLS42" s="31"/>
      <c r="PLT42" s="30"/>
      <c r="PLU42" s="31"/>
      <c r="PLV42" s="30"/>
      <c r="PLW42" s="31"/>
      <c r="PLX42" s="30"/>
      <c r="PLY42" s="31"/>
      <c r="PLZ42" s="30"/>
      <c r="PMA42" s="31"/>
      <c r="PMB42" s="30"/>
      <c r="PMC42" s="31"/>
      <c r="PMD42" s="30"/>
      <c r="PME42" s="31"/>
      <c r="PMF42" s="30"/>
      <c r="PMG42" s="31"/>
      <c r="PMH42" s="30"/>
      <c r="PMI42" s="31"/>
      <c r="PMJ42" s="30"/>
      <c r="PMK42" s="31"/>
      <c r="PML42" s="30"/>
      <c r="PMM42" s="31"/>
      <c r="PMN42" s="30"/>
      <c r="PMO42" s="31"/>
      <c r="PMP42" s="30"/>
      <c r="PMQ42" s="31"/>
      <c r="PMR42" s="30"/>
      <c r="PMS42" s="31"/>
      <c r="PMT42" s="30"/>
      <c r="PMU42" s="31"/>
      <c r="PMV42" s="30"/>
      <c r="PMW42" s="31"/>
      <c r="PMX42" s="30"/>
      <c r="PMY42" s="31"/>
      <c r="PMZ42" s="30"/>
      <c r="PNA42" s="31"/>
      <c r="PNB42" s="30"/>
      <c r="PNC42" s="31"/>
      <c r="PND42" s="30"/>
      <c r="PNE42" s="31"/>
      <c r="PNF42" s="30"/>
      <c r="PNG42" s="31"/>
      <c r="PNH42" s="30"/>
      <c r="PNI42" s="31"/>
      <c r="PNJ42" s="30"/>
      <c r="PNK42" s="31"/>
      <c r="PNL42" s="30"/>
      <c r="PNM42" s="31"/>
      <c r="PNN42" s="30"/>
      <c r="PNO42" s="31"/>
      <c r="PNP42" s="30"/>
      <c r="PNQ42" s="31"/>
      <c r="PNR42" s="30"/>
      <c r="PNS42" s="31"/>
      <c r="PNT42" s="30"/>
      <c r="PNU42" s="31"/>
      <c r="PNV42" s="30"/>
      <c r="PNW42" s="31"/>
      <c r="PNX42" s="30"/>
      <c r="PNY42" s="31"/>
      <c r="PNZ42" s="30"/>
      <c r="POA42" s="31"/>
      <c r="POB42" s="30"/>
      <c r="POC42" s="31"/>
      <c r="POD42" s="30"/>
      <c r="POE42" s="31"/>
      <c r="POF42" s="30"/>
      <c r="POG42" s="31"/>
      <c r="POH42" s="30"/>
      <c r="POI42" s="31"/>
      <c r="POJ42" s="30"/>
      <c r="POK42" s="31"/>
      <c r="POL42" s="30"/>
      <c r="POM42" s="31"/>
      <c r="PON42" s="30"/>
      <c r="POO42" s="31"/>
      <c r="POP42" s="30"/>
      <c r="POQ42" s="31"/>
      <c r="POR42" s="30"/>
      <c r="POS42" s="31"/>
      <c r="POT42" s="30"/>
      <c r="POU42" s="31"/>
      <c r="POV42" s="30"/>
      <c r="POW42" s="31"/>
      <c r="POX42" s="30"/>
      <c r="POY42" s="31"/>
      <c r="POZ42" s="30"/>
      <c r="PPA42" s="31"/>
      <c r="PPB42" s="30"/>
      <c r="PPC42" s="31"/>
      <c r="PPD42" s="30"/>
      <c r="PPE42" s="31"/>
      <c r="PPF42" s="30"/>
      <c r="PPG42" s="31"/>
      <c r="PPH42" s="30"/>
      <c r="PPI42" s="31"/>
      <c r="PPJ42" s="30"/>
      <c r="PPK42" s="31"/>
      <c r="PPL42" s="30"/>
      <c r="PPM42" s="31"/>
      <c r="PPN42" s="30"/>
      <c r="PPO42" s="31"/>
      <c r="PPP42" s="30"/>
      <c r="PPQ42" s="31"/>
      <c r="PPR42" s="30"/>
      <c r="PPS42" s="31"/>
      <c r="PPT42" s="30"/>
      <c r="PPU42" s="31"/>
      <c r="PPV42" s="30"/>
      <c r="PPW42" s="31"/>
      <c r="PPX42" s="30"/>
      <c r="PPY42" s="31"/>
      <c r="PPZ42" s="30"/>
      <c r="PQA42" s="31"/>
      <c r="PQB42" s="30"/>
      <c r="PQC42" s="31"/>
      <c r="PQD42" s="30"/>
      <c r="PQE42" s="31"/>
      <c r="PQF42" s="30"/>
      <c r="PQG42" s="31"/>
      <c r="PQH42" s="30"/>
      <c r="PQI42" s="31"/>
      <c r="PQJ42" s="30"/>
      <c r="PQK42" s="31"/>
      <c r="PQL42" s="30"/>
      <c r="PQM42" s="31"/>
      <c r="PQN42" s="30"/>
      <c r="PQO42" s="31"/>
      <c r="PQP42" s="30"/>
      <c r="PQQ42" s="31"/>
      <c r="PQR42" s="30"/>
      <c r="PQS42" s="31"/>
      <c r="PQT42" s="30"/>
      <c r="PQU42" s="31"/>
      <c r="PQV42" s="30"/>
      <c r="PQW42" s="31"/>
      <c r="PQX42" s="30"/>
      <c r="PQY42" s="31"/>
      <c r="PQZ42" s="30"/>
      <c r="PRA42" s="31"/>
      <c r="PRB42" s="30"/>
      <c r="PRC42" s="31"/>
      <c r="PRD42" s="30"/>
      <c r="PRE42" s="31"/>
      <c r="PRF42" s="30"/>
      <c r="PRG42" s="31"/>
      <c r="PRH42" s="30"/>
      <c r="PRI42" s="31"/>
      <c r="PRJ42" s="30"/>
      <c r="PRK42" s="31"/>
      <c r="PRL42" s="30"/>
      <c r="PRM42" s="31"/>
      <c r="PRN42" s="30"/>
      <c r="PRO42" s="31"/>
      <c r="PRP42" s="30"/>
      <c r="PRQ42" s="31"/>
      <c r="PRR42" s="30"/>
      <c r="PRS42" s="31"/>
      <c r="PRT42" s="30"/>
      <c r="PRU42" s="31"/>
      <c r="PRV42" s="30"/>
      <c r="PRW42" s="31"/>
      <c r="PRX42" s="30"/>
      <c r="PRY42" s="31"/>
      <c r="PRZ42" s="30"/>
      <c r="PSA42" s="31"/>
      <c r="PSB42" s="30"/>
      <c r="PSC42" s="31"/>
      <c r="PSD42" s="30"/>
      <c r="PSE42" s="31"/>
      <c r="PSF42" s="30"/>
      <c r="PSG42" s="31"/>
      <c r="PSH42" s="30"/>
      <c r="PSI42" s="31"/>
      <c r="PSJ42" s="30"/>
      <c r="PSK42" s="31"/>
      <c r="PSL42" s="30"/>
      <c r="PSM42" s="31"/>
      <c r="PSN42" s="30"/>
      <c r="PSO42" s="31"/>
      <c r="PSP42" s="30"/>
      <c r="PSQ42" s="31"/>
      <c r="PSR42" s="30"/>
      <c r="PSS42" s="31"/>
      <c r="PST42" s="30"/>
      <c r="PSU42" s="31"/>
      <c r="PSV42" s="30"/>
      <c r="PSW42" s="31"/>
      <c r="PSX42" s="30"/>
      <c r="PSY42" s="31"/>
      <c r="PSZ42" s="30"/>
      <c r="PTA42" s="31"/>
      <c r="PTB42" s="30"/>
      <c r="PTC42" s="31"/>
      <c r="PTD42" s="30"/>
      <c r="PTE42" s="31"/>
      <c r="PTF42" s="30"/>
      <c r="PTG42" s="31"/>
      <c r="PTH42" s="30"/>
      <c r="PTI42" s="31"/>
      <c r="PTJ42" s="30"/>
      <c r="PTK42" s="31"/>
      <c r="PTL42" s="30"/>
      <c r="PTM42" s="31"/>
      <c r="PTN42" s="30"/>
      <c r="PTO42" s="31"/>
      <c r="PTP42" s="30"/>
      <c r="PTQ42" s="31"/>
      <c r="PTR42" s="30"/>
      <c r="PTS42" s="31"/>
      <c r="PTT42" s="30"/>
      <c r="PTU42" s="31"/>
      <c r="PTV42" s="30"/>
      <c r="PTW42" s="31"/>
      <c r="PTX42" s="30"/>
      <c r="PTY42" s="31"/>
      <c r="PTZ42" s="30"/>
      <c r="PUA42" s="31"/>
      <c r="PUB42" s="30"/>
      <c r="PUC42" s="31"/>
      <c r="PUD42" s="30"/>
      <c r="PUE42" s="31"/>
      <c r="PUF42" s="30"/>
      <c r="PUG42" s="31"/>
      <c r="PUH42" s="30"/>
      <c r="PUI42" s="31"/>
      <c r="PUJ42" s="30"/>
      <c r="PUK42" s="31"/>
      <c r="PUL42" s="30"/>
      <c r="PUM42" s="31"/>
      <c r="PUN42" s="30"/>
      <c r="PUO42" s="31"/>
      <c r="PUP42" s="30"/>
      <c r="PUQ42" s="31"/>
      <c r="PUR42" s="30"/>
      <c r="PUS42" s="31"/>
      <c r="PUT42" s="30"/>
      <c r="PUU42" s="31"/>
      <c r="PUV42" s="30"/>
      <c r="PUW42" s="31"/>
      <c r="PUX42" s="30"/>
      <c r="PUY42" s="31"/>
      <c r="PUZ42" s="30"/>
      <c r="PVA42" s="31"/>
      <c r="PVB42" s="30"/>
      <c r="PVC42" s="31"/>
      <c r="PVD42" s="30"/>
      <c r="PVE42" s="31"/>
      <c r="PVF42" s="30"/>
      <c r="PVG42" s="31"/>
      <c r="PVH42" s="30"/>
      <c r="PVI42" s="31"/>
      <c r="PVJ42" s="30"/>
      <c r="PVK42" s="31"/>
      <c r="PVL42" s="30"/>
      <c r="PVM42" s="31"/>
      <c r="PVN42" s="30"/>
      <c r="PVO42" s="31"/>
      <c r="PVP42" s="30"/>
      <c r="PVQ42" s="31"/>
      <c r="PVR42" s="30"/>
      <c r="PVS42" s="31"/>
      <c r="PVT42" s="30"/>
      <c r="PVU42" s="31"/>
      <c r="PVV42" s="30"/>
      <c r="PVW42" s="31"/>
      <c r="PVX42" s="30"/>
      <c r="PVY42" s="31"/>
      <c r="PVZ42" s="30"/>
      <c r="PWA42" s="31"/>
      <c r="PWB42" s="30"/>
      <c r="PWC42" s="31"/>
      <c r="PWD42" s="30"/>
      <c r="PWE42" s="31"/>
      <c r="PWF42" s="30"/>
      <c r="PWG42" s="31"/>
      <c r="PWH42" s="30"/>
      <c r="PWI42" s="31"/>
      <c r="PWJ42" s="30"/>
      <c r="PWK42" s="31"/>
      <c r="PWL42" s="30"/>
      <c r="PWM42" s="31"/>
      <c r="PWN42" s="30"/>
      <c r="PWO42" s="31"/>
      <c r="PWP42" s="30"/>
      <c r="PWQ42" s="31"/>
      <c r="PWR42" s="30"/>
      <c r="PWS42" s="31"/>
      <c r="PWT42" s="30"/>
      <c r="PWU42" s="31"/>
      <c r="PWV42" s="30"/>
      <c r="PWW42" s="31"/>
      <c r="PWX42" s="30"/>
      <c r="PWY42" s="31"/>
      <c r="PWZ42" s="30"/>
      <c r="PXA42" s="31"/>
      <c r="PXB42" s="30"/>
      <c r="PXC42" s="31"/>
      <c r="PXD42" s="30"/>
      <c r="PXE42" s="31"/>
      <c r="PXF42" s="30"/>
      <c r="PXG42" s="31"/>
      <c r="PXH42" s="30"/>
      <c r="PXI42" s="31"/>
      <c r="PXJ42" s="30"/>
      <c r="PXK42" s="31"/>
      <c r="PXL42" s="30"/>
      <c r="PXM42" s="31"/>
      <c r="PXN42" s="30"/>
      <c r="PXO42" s="31"/>
      <c r="PXP42" s="30"/>
      <c r="PXQ42" s="31"/>
      <c r="PXR42" s="30"/>
      <c r="PXS42" s="31"/>
      <c r="PXT42" s="30"/>
      <c r="PXU42" s="31"/>
      <c r="PXV42" s="30"/>
      <c r="PXW42" s="31"/>
      <c r="PXX42" s="30"/>
      <c r="PXY42" s="31"/>
      <c r="PXZ42" s="30"/>
      <c r="PYA42" s="31"/>
      <c r="PYB42" s="30"/>
      <c r="PYC42" s="31"/>
      <c r="PYD42" s="30"/>
      <c r="PYE42" s="31"/>
      <c r="PYF42" s="30"/>
      <c r="PYG42" s="31"/>
      <c r="PYH42" s="30"/>
      <c r="PYI42" s="31"/>
      <c r="PYJ42" s="30"/>
      <c r="PYK42" s="31"/>
      <c r="PYL42" s="30"/>
      <c r="PYM42" s="31"/>
      <c r="PYN42" s="30"/>
      <c r="PYO42" s="31"/>
      <c r="PYP42" s="30"/>
      <c r="PYQ42" s="31"/>
      <c r="PYR42" s="30"/>
      <c r="PYS42" s="31"/>
      <c r="PYT42" s="30"/>
      <c r="PYU42" s="31"/>
      <c r="PYV42" s="30"/>
      <c r="PYW42" s="31"/>
      <c r="PYX42" s="30"/>
      <c r="PYY42" s="31"/>
      <c r="PYZ42" s="30"/>
      <c r="PZA42" s="31"/>
      <c r="PZB42" s="30"/>
      <c r="PZC42" s="31"/>
      <c r="PZD42" s="30"/>
      <c r="PZE42" s="31"/>
      <c r="PZF42" s="30"/>
      <c r="PZG42" s="31"/>
      <c r="PZH42" s="30"/>
      <c r="PZI42" s="31"/>
      <c r="PZJ42" s="30"/>
      <c r="PZK42" s="31"/>
      <c r="PZL42" s="30"/>
      <c r="PZM42" s="31"/>
      <c r="PZN42" s="30"/>
      <c r="PZO42" s="31"/>
      <c r="PZP42" s="30"/>
      <c r="PZQ42" s="31"/>
      <c r="PZR42" s="30"/>
      <c r="PZS42" s="31"/>
      <c r="PZT42" s="30"/>
      <c r="PZU42" s="31"/>
      <c r="PZV42" s="30"/>
      <c r="PZW42" s="31"/>
      <c r="PZX42" s="30"/>
      <c r="PZY42" s="31"/>
      <c r="PZZ42" s="30"/>
      <c r="QAA42" s="31"/>
      <c r="QAB42" s="30"/>
      <c r="QAC42" s="31"/>
      <c r="QAD42" s="30"/>
      <c r="QAE42" s="31"/>
      <c r="QAF42" s="30"/>
      <c r="QAG42" s="31"/>
      <c r="QAH42" s="30"/>
      <c r="QAI42" s="31"/>
      <c r="QAJ42" s="30"/>
      <c r="QAK42" s="31"/>
      <c r="QAL42" s="30"/>
      <c r="QAM42" s="31"/>
      <c r="QAN42" s="30"/>
      <c r="QAO42" s="31"/>
      <c r="QAP42" s="30"/>
      <c r="QAQ42" s="31"/>
      <c r="QAR42" s="30"/>
      <c r="QAS42" s="31"/>
      <c r="QAT42" s="30"/>
      <c r="QAU42" s="31"/>
      <c r="QAV42" s="30"/>
      <c r="QAW42" s="31"/>
      <c r="QAX42" s="30"/>
      <c r="QAY42" s="31"/>
      <c r="QAZ42" s="30"/>
      <c r="QBA42" s="31"/>
      <c r="QBB42" s="30"/>
      <c r="QBC42" s="31"/>
      <c r="QBD42" s="30"/>
      <c r="QBE42" s="31"/>
      <c r="QBF42" s="30"/>
      <c r="QBG42" s="31"/>
      <c r="QBH42" s="30"/>
      <c r="QBI42" s="31"/>
      <c r="QBJ42" s="30"/>
      <c r="QBK42" s="31"/>
      <c r="QBL42" s="30"/>
      <c r="QBM42" s="31"/>
      <c r="QBN42" s="30"/>
      <c r="QBO42" s="31"/>
      <c r="QBP42" s="30"/>
      <c r="QBQ42" s="31"/>
      <c r="QBR42" s="30"/>
      <c r="QBS42" s="31"/>
      <c r="QBT42" s="30"/>
      <c r="QBU42" s="31"/>
      <c r="QBV42" s="30"/>
      <c r="QBW42" s="31"/>
      <c r="QBX42" s="30"/>
      <c r="QBY42" s="31"/>
      <c r="QBZ42" s="30"/>
      <c r="QCA42" s="31"/>
      <c r="QCB42" s="30"/>
      <c r="QCC42" s="31"/>
      <c r="QCD42" s="30"/>
      <c r="QCE42" s="31"/>
      <c r="QCF42" s="30"/>
      <c r="QCG42" s="31"/>
      <c r="QCH42" s="30"/>
      <c r="QCI42" s="31"/>
      <c r="QCJ42" s="30"/>
      <c r="QCK42" s="31"/>
      <c r="QCL42" s="30"/>
      <c r="QCM42" s="31"/>
      <c r="QCN42" s="30"/>
      <c r="QCO42" s="31"/>
      <c r="QCP42" s="30"/>
      <c r="QCQ42" s="31"/>
      <c r="QCR42" s="30"/>
      <c r="QCS42" s="31"/>
      <c r="QCT42" s="30"/>
      <c r="QCU42" s="31"/>
      <c r="QCV42" s="30"/>
      <c r="QCW42" s="31"/>
      <c r="QCX42" s="30"/>
      <c r="QCY42" s="31"/>
      <c r="QCZ42" s="30"/>
      <c r="QDA42" s="31"/>
      <c r="QDB42" s="30"/>
      <c r="QDC42" s="31"/>
      <c r="QDD42" s="30"/>
      <c r="QDE42" s="31"/>
      <c r="QDF42" s="30"/>
      <c r="QDG42" s="31"/>
      <c r="QDH42" s="30"/>
      <c r="QDI42" s="31"/>
      <c r="QDJ42" s="30"/>
      <c r="QDK42" s="31"/>
      <c r="QDL42" s="30"/>
      <c r="QDM42" s="31"/>
      <c r="QDN42" s="30"/>
      <c r="QDO42" s="31"/>
      <c r="QDP42" s="30"/>
      <c r="QDQ42" s="31"/>
      <c r="QDR42" s="30"/>
      <c r="QDS42" s="31"/>
      <c r="QDT42" s="30"/>
      <c r="QDU42" s="31"/>
      <c r="QDV42" s="30"/>
      <c r="QDW42" s="31"/>
      <c r="QDX42" s="30"/>
      <c r="QDY42" s="31"/>
      <c r="QDZ42" s="30"/>
      <c r="QEA42" s="31"/>
      <c r="QEB42" s="30"/>
      <c r="QEC42" s="31"/>
      <c r="QED42" s="30"/>
      <c r="QEE42" s="31"/>
      <c r="QEF42" s="30"/>
      <c r="QEG42" s="31"/>
      <c r="QEH42" s="30"/>
      <c r="QEI42" s="31"/>
      <c r="QEJ42" s="30"/>
      <c r="QEK42" s="31"/>
      <c r="QEL42" s="30"/>
      <c r="QEM42" s="31"/>
      <c r="QEN42" s="30"/>
      <c r="QEO42" s="31"/>
      <c r="QEP42" s="30"/>
      <c r="QEQ42" s="31"/>
      <c r="QER42" s="30"/>
      <c r="QES42" s="31"/>
      <c r="QET42" s="30"/>
      <c r="QEU42" s="31"/>
      <c r="QEV42" s="30"/>
      <c r="QEW42" s="31"/>
      <c r="QEX42" s="30"/>
      <c r="QEY42" s="31"/>
      <c r="QEZ42" s="30"/>
      <c r="QFA42" s="31"/>
      <c r="QFB42" s="30"/>
      <c r="QFC42" s="31"/>
      <c r="QFD42" s="30"/>
      <c r="QFE42" s="31"/>
      <c r="QFF42" s="30"/>
      <c r="QFG42" s="31"/>
      <c r="QFH42" s="30"/>
      <c r="QFI42" s="31"/>
      <c r="QFJ42" s="30"/>
      <c r="QFK42" s="31"/>
      <c r="QFL42" s="30"/>
      <c r="QFM42" s="31"/>
      <c r="QFN42" s="30"/>
      <c r="QFO42" s="31"/>
      <c r="QFP42" s="30"/>
      <c r="QFQ42" s="31"/>
      <c r="QFR42" s="30"/>
      <c r="QFS42" s="31"/>
      <c r="QFT42" s="30"/>
      <c r="QFU42" s="31"/>
      <c r="QFV42" s="30"/>
      <c r="QFW42" s="31"/>
      <c r="QFX42" s="30"/>
      <c r="QFY42" s="31"/>
      <c r="QFZ42" s="30"/>
      <c r="QGA42" s="31"/>
      <c r="QGB42" s="30"/>
      <c r="QGC42" s="31"/>
      <c r="QGD42" s="30"/>
      <c r="QGE42" s="31"/>
      <c r="QGF42" s="30"/>
      <c r="QGG42" s="31"/>
      <c r="QGH42" s="30"/>
      <c r="QGI42" s="31"/>
      <c r="QGJ42" s="30"/>
      <c r="QGK42" s="31"/>
      <c r="QGL42" s="30"/>
      <c r="QGM42" s="31"/>
      <c r="QGN42" s="30"/>
      <c r="QGO42" s="31"/>
      <c r="QGP42" s="30"/>
      <c r="QGQ42" s="31"/>
      <c r="QGR42" s="30"/>
      <c r="QGS42" s="31"/>
      <c r="QGT42" s="30"/>
      <c r="QGU42" s="31"/>
      <c r="QGV42" s="30"/>
      <c r="QGW42" s="31"/>
      <c r="QGX42" s="30"/>
      <c r="QGY42" s="31"/>
      <c r="QGZ42" s="30"/>
      <c r="QHA42" s="31"/>
      <c r="QHB42" s="30"/>
      <c r="QHC42" s="31"/>
      <c r="QHD42" s="30"/>
      <c r="QHE42" s="31"/>
      <c r="QHF42" s="30"/>
      <c r="QHG42" s="31"/>
      <c r="QHH42" s="30"/>
      <c r="QHI42" s="31"/>
      <c r="QHJ42" s="30"/>
      <c r="QHK42" s="31"/>
      <c r="QHL42" s="30"/>
      <c r="QHM42" s="31"/>
      <c r="QHN42" s="30"/>
      <c r="QHO42" s="31"/>
      <c r="QHP42" s="30"/>
      <c r="QHQ42" s="31"/>
      <c r="QHR42" s="30"/>
      <c r="QHS42" s="31"/>
      <c r="QHT42" s="30"/>
      <c r="QHU42" s="31"/>
      <c r="QHV42" s="30"/>
      <c r="QHW42" s="31"/>
      <c r="QHX42" s="30"/>
      <c r="QHY42" s="31"/>
      <c r="QHZ42" s="30"/>
      <c r="QIA42" s="31"/>
      <c r="QIB42" s="30"/>
      <c r="QIC42" s="31"/>
      <c r="QID42" s="30"/>
      <c r="QIE42" s="31"/>
      <c r="QIF42" s="30"/>
      <c r="QIG42" s="31"/>
      <c r="QIH42" s="30"/>
      <c r="QII42" s="31"/>
      <c r="QIJ42" s="30"/>
      <c r="QIK42" s="31"/>
      <c r="QIL42" s="30"/>
      <c r="QIM42" s="31"/>
      <c r="QIN42" s="30"/>
      <c r="QIO42" s="31"/>
      <c r="QIP42" s="30"/>
      <c r="QIQ42" s="31"/>
      <c r="QIR42" s="30"/>
      <c r="QIS42" s="31"/>
      <c r="QIT42" s="30"/>
      <c r="QIU42" s="31"/>
      <c r="QIV42" s="30"/>
      <c r="QIW42" s="31"/>
      <c r="QIX42" s="30"/>
      <c r="QIY42" s="31"/>
      <c r="QIZ42" s="30"/>
      <c r="QJA42" s="31"/>
      <c r="QJB42" s="30"/>
      <c r="QJC42" s="31"/>
      <c r="QJD42" s="30"/>
      <c r="QJE42" s="31"/>
      <c r="QJF42" s="30"/>
      <c r="QJG42" s="31"/>
      <c r="QJH42" s="30"/>
      <c r="QJI42" s="31"/>
      <c r="QJJ42" s="30"/>
      <c r="QJK42" s="31"/>
      <c r="QJL42" s="30"/>
      <c r="QJM42" s="31"/>
      <c r="QJN42" s="30"/>
      <c r="QJO42" s="31"/>
      <c r="QJP42" s="30"/>
      <c r="QJQ42" s="31"/>
      <c r="QJR42" s="30"/>
      <c r="QJS42" s="31"/>
      <c r="QJT42" s="30"/>
      <c r="QJU42" s="31"/>
      <c r="QJV42" s="30"/>
      <c r="QJW42" s="31"/>
      <c r="QJX42" s="30"/>
      <c r="QJY42" s="31"/>
      <c r="QJZ42" s="30"/>
      <c r="QKA42" s="31"/>
      <c r="QKB42" s="30"/>
      <c r="QKC42" s="31"/>
      <c r="QKD42" s="30"/>
      <c r="QKE42" s="31"/>
      <c r="QKF42" s="30"/>
      <c r="QKG42" s="31"/>
      <c r="QKH42" s="30"/>
      <c r="QKI42" s="31"/>
      <c r="QKJ42" s="30"/>
      <c r="QKK42" s="31"/>
      <c r="QKL42" s="30"/>
      <c r="QKM42" s="31"/>
      <c r="QKN42" s="30"/>
      <c r="QKO42" s="31"/>
      <c r="QKP42" s="30"/>
      <c r="QKQ42" s="31"/>
      <c r="QKR42" s="30"/>
      <c r="QKS42" s="31"/>
      <c r="QKT42" s="30"/>
      <c r="QKU42" s="31"/>
      <c r="QKV42" s="30"/>
      <c r="QKW42" s="31"/>
      <c r="QKX42" s="30"/>
      <c r="QKY42" s="31"/>
      <c r="QKZ42" s="30"/>
      <c r="QLA42" s="31"/>
      <c r="QLB42" s="30"/>
      <c r="QLC42" s="31"/>
      <c r="QLD42" s="30"/>
      <c r="QLE42" s="31"/>
      <c r="QLF42" s="30"/>
      <c r="QLG42" s="31"/>
      <c r="QLH42" s="30"/>
      <c r="QLI42" s="31"/>
      <c r="QLJ42" s="30"/>
      <c r="QLK42" s="31"/>
      <c r="QLL42" s="30"/>
      <c r="QLM42" s="31"/>
      <c r="QLN42" s="30"/>
      <c r="QLO42" s="31"/>
      <c r="QLP42" s="30"/>
      <c r="QLQ42" s="31"/>
      <c r="QLR42" s="30"/>
      <c r="QLS42" s="31"/>
      <c r="QLT42" s="30"/>
      <c r="QLU42" s="31"/>
      <c r="QLV42" s="30"/>
      <c r="QLW42" s="31"/>
      <c r="QLX42" s="30"/>
      <c r="QLY42" s="31"/>
      <c r="QLZ42" s="30"/>
      <c r="QMA42" s="31"/>
      <c r="QMB42" s="30"/>
      <c r="QMC42" s="31"/>
      <c r="QMD42" s="30"/>
      <c r="QME42" s="31"/>
      <c r="QMF42" s="30"/>
      <c r="QMG42" s="31"/>
      <c r="QMH42" s="30"/>
      <c r="QMI42" s="31"/>
      <c r="QMJ42" s="30"/>
      <c r="QMK42" s="31"/>
      <c r="QML42" s="30"/>
      <c r="QMM42" s="31"/>
      <c r="QMN42" s="30"/>
      <c r="QMO42" s="31"/>
      <c r="QMP42" s="30"/>
      <c r="QMQ42" s="31"/>
      <c r="QMR42" s="30"/>
      <c r="QMS42" s="31"/>
      <c r="QMT42" s="30"/>
      <c r="QMU42" s="31"/>
      <c r="QMV42" s="30"/>
      <c r="QMW42" s="31"/>
      <c r="QMX42" s="30"/>
      <c r="QMY42" s="31"/>
      <c r="QMZ42" s="30"/>
      <c r="QNA42" s="31"/>
      <c r="QNB42" s="30"/>
      <c r="QNC42" s="31"/>
      <c r="QND42" s="30"/>
      <c r="QNE42" s="31"/>
      <c r="QNF42" s="30"/>
      <c r="QNG42" s="31"/>
      <c r="QNH42" s="30"/>
      <c r="QNI42" s="31"/>
      <c r="QNJ42" s="30"/>
      <c r="QNK42" s="31"/>
      <c r="QNL42" s="30"/>
      <c r="QNM42" s="31"/>
      <c r="QNN42" s="30"/>
      <c r="QNO42" s="31"/>
      <c r="QNP42" s="30"/>
      <c r="QNQ42" s="31"/>
      <c r="QNR42" s="30"/>
      <c r="QNS42" s="31"/>
      <c r="QNT42" s="30"/>
      <c r="QNU42" s="31"/>
      <c r="QNV42" s="30"/>
      <c r="QNW42" s="31"/>
      <c r="QNX42" s="30"/>
      <c r="QNY42" s="31"/>
      <c r="QNZ42" s="30"/>
      <c r="QOA42" s="31"/>
      <c r="QOB42" s="30"/>
      <c r="QOC42" s="31"/>
      <c r="QOD42" s="30"/>
      <c r="QOE42" s="31"/>
      <c r="QOF42" s="30"/>
      <c r="QOG42" s="31"/>
      <c r="QOH42" s="30"/>
      <c r="QOI42" s="31"/>
      <c r="QOJ42" s="30"/>
      <c r="QOK42" s="31"/>
      <c r="QOL42" s="30"/>
      <c r="QOM42" s="31"/>
      <c r="QON42" s="30"/>
      <c r="QOO42" s="31"/>
      <c r="QOP42" s="30"/>
      <c r="QOQ42" s="31"/>
      <c r="QOR42" s="30"/>
      <c r="QOS42" s="31"/>
      <c r="QOT42" s="30"/>
      <c r="QOU42" s="31"/>
      <c r="QOV42" s="30"/>
      <c r="QOW42" s="31"/>
      <c r="QOX42" s="30"/>
      <c r="QOY42" s="31"/>
      <c r="QOZ42" s="30"/>
      <c r="QPA42" s="31"/>
      <c r="QPB42" s="30"/>
      <c r="QPC42" s="31"/>
      <c r="QPD42" s="30"/>
      <c r="QPE42" s="31"/>
      <c r="QPF42" s="30"/>
      <c r="QPG42" s="31"/>
      <c r="QPH42" s="30"/>
      <c r="QPI42" s="31"/>
      <c r="QPJ42" s="30"/>
      <c r="QPK42" s="31"/>
      <c r="QPL42" s="30"/>
      <c r="QPM42" s="31"/>
      <c r="QPN42" s="30"/>
      <c r="QPO42" s="31"/>
      <c r="QPP42" s="30"/>
      <c r="QPQ42" s="31"/>
      <c r="QPR42" s="30"/>
      <c r="QPS42" s="31"/>
      <c r="QPT42" s="30"/>
      <c r="QPU42" s="31"/>
      <c r="QPV42" s="30"/>
      <c r="QPW42" s="31"/>
      <c r="QPX42" s="30"/>
      <c r="QPY42" s="31"/>
      <c r="QPZ42" s="30"/>
      <c r="QQA42" s="31"/>
      <c r="QQB42" s="30"/>
      <c r="QQC42" s="31"/>
      <c r="QQD42" s="30"/>
      <c r="QQE42" s="31"/>
      <c r="QQF42" s="30"/>
      <c r="QQG42" s="31"/>
      <c r="QQH42" s="30"/>
      <c r="QQI42" s="31"/>
      <c r="QQJ42" s="30"/>
      <c r="QQK42" s="31"/>
      <c r="QQL42" s="30"/>
      <c r="QQM42" s="31"/>
      <c r="QQN42" s="30"/>
      <c r="QQO42" s="31"/>
      <c r="QQP42" s="30"/>
      <c r="QQQ42" s="31"/>
      <c r="QQR42" s="30"/>
      <c r="QQS42" s="31"/>
      <c r="QQT42" s="30"/>
      <c r="QQU42" s="31"/>
      <c r="QQV42" s="30"/>
      <c r="QQW42" s="31"/>
      <c r="QQX42" s="30"/>
      <c r="QQY42" s="31"/>
      <c r="QQZ42" s="30"/>
      <c r="QRA42" s="31"/>
      <c r="QRB42" s="30"/>
      <c r="QRC42" s="31"/>
      <c r="QRD42" s="30"/>
      <c r="QRE42" s="31"/>
      <c r="QRF42" s="30"/>
      <c r="QRG42" s="31"/>
      <c r="QRH42" s="30"/>
      <c r="QRI42" s="31"/>
      <c r="QRJ42" s="30"/>
      <c r="QRK42" s="31"/>
      <c r="QRL42" s="30"/>
      <c r="QRM42" s="31"/>
      <c r="QRN42" s="30"/>
      <c r="QRO42" s="31"/>
      <c r="QRP42" s="30"/>
      <c r="QRQ42" s="31"/>
      <c r="QRR42" s="30"/>
      <c r="QRS42" s="31"/>
      <c r="QRT42" s="30"/>
      <c r="QRU42" s="31"/>
      <c r="QRV42" s="30"/>
      <c r="QRW42" s="31"/>
      <c r="QRX42" s="30"/>
      <c r="QRY42" s="31"/>
      <c r="QRZ42" s="30"/>
      <c r="QSA42" s="31"/>
      <c r="QSB42" s="30"/>
      <c r="QSC42" s="31"/>
      <c r="QSD42" s="30"/>
      <c r="QSE42" s="31"/>
      <c r="QSF42" s="30"/>
      <c r="QSG42" s="31"/>
      <c r="QSH42" s="30"/>
      <c r="QSI42" s="31"/>
      <c r="QSJ42" s="30"/>
      <c r="QSK42" s="31"/>
      <c r="QSL42" s="30"/>
      <c r="QSM42" s="31"/>
      <c r="QSN42" s="30"/>
      <c r="QSO42" s="31"/>
      <c r="QSP42" s="30"/>
      <c r="QSQ42" s="31"/>
      <c r="QSR42" s="30"/>
      <c r="QSS42" s="31"/>
      <c r="QST42" s="30"/>
      <c r="QSU42" s="31"/>
      <c r="QSV42" s="30"/>
      <c r="QSW42" s="31"/>
      <c r="QSX42" s="30"/>
      <c r="QSY42" s="31"/>
      <c r="QSZ42" s="30"/>
      <c r="QTA42" s="31"/>
      <c r="QTB42" s="30"/>
      <c r="QTC42" s="31"/>
      <c r="QTD42" s="30"/>
      <c r="QTE42" s="31"/>
      <c r="QTF42" s="30"/>
      <c r="QTG42" s="31"/>
      <c r="QTH42" s="30"/>
      <c r="QTI42" s="31"/>
      <c r="QTJ42" s="30"/>
      <c r="QTK42" s="31"/>
      <c r="QTL42" s="30"/>
      <c r="QTM42" s="31"/>
      <c r="QTN42" s="30"/>
      <c r="QTO42" s="31"/>
      <c r="QTP42" s="30"/>
      <c r="QTQ42" s="31"/>
      <c r="QTR42" s="30"/>
      <c r="QTS42" s="31"/>
      <c r="QTT42" s="30"/>
      <c r="QTU42" s="31"/>
      <c r="QTV42" s="30"/>
      <c r="QTW42" s="31"/>
      <c r="QTX42" s="30"/>
      <c r="QTY42" s="31"/>
      <c r="QTZ42" s="30"/>
      <c r="QUA42" s="31"/>
      <c r="QUB42" s="30"/>
      <c r="QUC42" s="31"/>
      <c r="QUD42" s="30"/>
      <c r="QUE42" s="31"/>
      <c r="QUF42" s="30"/>
      <c r="QUG42" s="31"/>
      <c r="QUH42" s="30"/>
      <c r="QUI42" s="31"/>
      <c r="QUJ42" s="30"/>
      <c r="QUK42" s="31"/>
      <c r="QUL42" s="30"/>
      <c r="QUM42" s="31"/>
      <c r="QUN42" s="30"/>
      <c r="QUO42" s="31"/>
      <c r="QUP42" s="30"/>
      <c r="QUQ42" s="31"/>
      <c r="QUR42" s="30"/>
      <c r="QUS42" s="31"/>
      <c r="QUT42" s="30"/>
      <c r="QUU42" s="31"/>
      <c r="QUV42" s="30"/>
      <c r="QUW42" s="31"/>
      <c r="QUX42" s="30"/>
      <c r="QUY42" s="31"/>
      <c r="QUZ42" s="30"/>
      <c r="QVA42" s="31"/>
      <c r="QVB42" s="30"/>
      <c r="QVC42" s="31"/>
      <c r="QVD42" s="30"/>
      <c r="QVE42" s="31"/>
      <c r="QVF42" s="30"/>
      <c r="QVG42" s="31"/>
      <c r="QVH42" s="30"/>
      <c r="QVI42" s="31"/>
      <c r="QVJ42" s="30"/>
      <c r="QVK42" s="31"/>
      <c r="QVL42" s="30"/>
      <c r="QVM42" s="31"/>
      <c r="QVN42" s="30"/>
      <c r="QVO42" s="31"/>
      <c r="QVP42" s="30"/>
      <c r="QVQ42" s="31"/>
      <c r="QVR42" s="30"/>
      <c r="QVS42" s="31"/>
      <c r="QVT42" s="30"/>
      <c r="QVU42" s="31"/>
      <c r="QVV42" s="30"/>
      <c r="QVW42" s="31"/>
      <c r="QVX42" s="30"/>
      <c r="QVY42" s="31"/>
      <c r="QVZ42" s="30"/>
      <c r="QWA42" s="31"/>
      <c r="QWB42" s="30"/>
      <c r="QWC42" s="31"/>
      <c r="QWD42" s="30"/>
      <c r="QWE42" s="31"/>
      <c r="QWF42" s="30"/>
      <c r="QWG42" s="31"/>
      <c r="QWH42" s="30"/>
      <c r="QWI42" s="31"/>
      <c r="QWJ42" s="30"/>
      <c r="QWK42" s="31"/>
      <c r="QWL42" s="30"/>
      <c r="QWM42" s="31"/>
      <c r="QWN42" s="30"/>
      <c r="QWO42" s="31"/>
      <c r="QWP42" s="30"/>
      <c r="QWQ42" s="31"/>
      <c r="QWR42" s="30"/>
      <c r="QWS42" s="31"/>
      <c r="QWT42" s="30"/>
      <c r="QWU42" s="31"/>
      <c r="QWV42" s="30"/>
      <c r="QWW42" s="31"/>
      <c r="QWX42" s="30"/>
      <c r="QWY42" s="31"/>
      <c r="QWZ42" s="30"/>
      <c r="QXA42" s="31"/>
      <c r="QXB42" s="30"/>
      <c r="QXC42" s="31"/>
      <c r="QXD42" s="30"/>
      <c r="QXE42" s="31"/>
      <c r="QXF42" s="30"/>
      <c r="QXG42" s="31"/>
      <c r="QXH42" s="30"/>
      <c r="QXI42" s="31"/>
      <c r="QXJ42" s="30"/>
      <c r="QXK42" s="31"/>
      <c r="QXL42" s="30"/>
      <c r="QXM42" s="31"/>
      <c r="QXN42" s="30"/>
      <c r="QXO42" s="31"/>
      <c r="QXP42" s="30"/>
      <c r="QXQ42" s="31"/>
      <c r="QXR42" s="30"/>
      <c r="QXS42" s="31"/>
      <c r="QXT42" s="30"/>
      <c r="QXU42" s="31"/>
      <c r="QXV42" s="30"/>
      <c r="QXW42" s="31"/>
      <c r="QXX42" s="30"/>
      <c r="QXY42" s="31"/>
      <c r="QXZ42" s="30"/>
      <c r="QYA42" s="31"/>
      <c r="QYB42" s="30"/>
      <c r="QYC42" s="31"/>
      <c r="QYD42" s="30"/>
      <c r="QYE42" s="31"/>
      <c r="QYF42" s="30"/>
      <c r="QYG42" s="31"/>
      <c r="QYH42" s="30"/>
      <c r="QYI42" s="31"/>
      <c r="QYJ42" s="30"/>
      <c r="QYK42" s="31"/>
      <c r="QYL42" s="30"/>
      <c r="QYM42" s="31"/>
      <c r="QYN42" s="30"/>
      <c r="QYO42" s="31"/>
      <c r="QYP42" s="30"/>
      <c r="QYQ42" s="31"/>
      <c r="QYR42" s="30"/>
      <c r="QYS42" s="31"/>
      <c r="QYT42" s="30"/>
      <c r="QYU42" s="31"/>
      <c r="QYV42" s="30"/>
      <c r="QYW42" s="31"/>
      <c r="QYX42" s="30"/>
      <c r="QYY42" s="31"/>
      <c r="QYZ42" s="30"/>
      <c r="QZA42" s="31"/>
      <c r="QZB42" s="30"/>
      <c r="QZC42" s="31"/>
      <c r="QZD42" s="30"/>
      <c r="QZE42" s="31"/>
      <c r="QZF42" s="30"/>
      <c r="QZG42" s="31"/>
      <c r="QZH42" s="30"/>
      <c r="QZI42" s="31"/>
      <c r="QZJ42" s="30"/>
      <c r="QZK42" s="31"/>
      <c r="QZL42" s="30"/>
      <c r="QZM42" s="31"/>
      <c r="QZN42" s="30"/>
      <c r="QZO42" s="31"/>
      <c r="QZP42" s="30"/>
      <c r="QZQ42" s="31"/>
      <c r="QZR42" s="30"/>
      <c r="QZS42" s="31"/>
      <c r="QZT42" s="30"/>
      <c r="QZU42" s="31"/>
      <c r="QZV42" s="30"/>
      <c r="QZW42" s="31"/>
      <c r="QZX42" s="30"/>
      <c r="QZY42" s="31"/>
      <c r="QZZ42" s="30"/>
      <c r="RAA42" s="31"/>
      <c r="RAB42" s="30"/>
      <c r="RAC42" s="31"/>
      <c r="RAD42" s="30"/>
      <c r="RAE42" s="31"/>
      <c r="RAF42" s="30"/>
      <c r="RAG42" s="31"/>
      <c r="RAH42" s="30"/>
      <c r="RAI42" s="31"/>
      <c r="RAJ42" s="30"/>
      <c r="RAK42" s="31"/>
      <c r="RAL42" s="30"/>
      <c r="RAM42" s="31"/>
      <c r="RAN42" s="30"/>
      <c r="RAO42" s="31"/>
      <c r="RAP42" s="30"/>
      <c r="RAQ42" s="31"/>
      <c r="RAR42" s="30"/>
      <c r="RAS42" s="31"/>
      <c r="RAT42" s="30"/>
      <c r="RAU42" s="31"/>
      <c r="RAV42" s="30"/>
      <c r="RAW42" s="31"/>
      <c r="RAX42" s="30"/>
      <c r="RAY42" s="31"/>
      <c r="RAZ42" s="30"/>
      <c r="RBA42" s="31"/>
      <c r="RBB42" s="30"/>
      <c r="RBC42" s="31"/>
      <c r="RBD42" s="30"/>
      <c r="RBE42" s="31"/>
      <c r="RBF42" s="30"/>
      <c r="RBG42" s="31"/>
      <c r="RBH42" s="30"/>
      <c r="RBI42" s="31"/>
      <c r="RBJ42" s="30"/>
      <c r="RBK42" s="31"/>
      <c r="RBL42" s="30"/>
      <c r="RBM42" s="31"/>
      <c r="RBN42" s="30"/>
      <c r="RBO42" s="31"/>
      <c r="RBP42" s="30"/>
      <c r="RBQ42" s="31"/>
      <c r="RBR42" s="30"/>
      <c r="RBS42" s="31"/>
      <c r="RBT42" s="30"/>
      <c r="RBU42" s="31"/>
      <c r="RBV42" s="30"/>
      <c r="RBW42" s="31"/>
      <c r="RBX42" s="30"/>
      <c r="RBY42" s="31"/>
      <c r="RBZ42" s="30"/>
      <c r="RCA42" s="31"/>
      <c r="RCB42" s="30"/>
      <c r="RCC42" s="31"/>
      <c r="RCD42" s="30"/>
      <c r="RCE42" s="31"/>
      <c r="RCF42" s="30"/>
      <c r="RCG42" s="31"/>
      <c r="RCH42" s="30"/>
      <c r="RCI42" s="31"/>
      <c r="RCJ42" s="30"/>
      <c r="RCK42" s="31"/>
      <c r="RCL42" s="30"/>
      <c r="RCM42" s="31"/>
      <c r="RCN42" s="30"/>
      <c r="RCO42" s="31"/>
      <c r="RCP42" s="30"/>
      <c r="RCQ42" s="31"/>
      <c r="RCR42" s="30"/>
      <c r="RCS42" s="31"/>
      <c r="RCT42" s="30"/>
      <c r="RCU42" s="31"/>
      <c r="RCV42" s="30"/>
      <c r="RCW42" s="31"/>
      <c r="RCX42" s="30"/>
      <c r="RCY42" s="31"/>
      <c r="RCZ42" s="30"/>
      <c r="RDA42" s="31"/>
      <c r="RDB42" s="30"/>
      <c r="RDC42" s="31"/>
      <c r="RDD42" s="30"/>
      <c r="RDE42" s="31"/>
      <c r="RDF42" s="30"/>
      <c r="RDG42" s="31"/>
      <c r="RDH42" s="30"/>
      <c r="RDI42" s="31"/>
      <c r="RDJ42" s="30"/>
      <c r="RDK42" s="31"/>
      <c r="RDL42" s="30"/>
      <c r="RDM42" s="31"/>
      <c r="RDN42" s="30"/>
      <c r="RDO42" s="31"/>
      <c r="RDP42" s="30"/>
      <c r="RDQ42" s="31"/>
      <c r="RDR42" s="30"/>
      <c r="RDS42" s="31"/>
      <c r="RDT42" s="30"/>
      <c r="RDU42" s="31"/>
      <c r="RDV42" s="30"/>
      <c r="RDW42" s="31"/>
      <c r="RDX42" s="30"/>
      <c r="RDY42" s="31"/>
      <c r="RDZ42" s="30"/>
      <c r="REA42" s="31"/>
      <c r="REB42" s="30"/>
      <c r="REC42" s="31"/>
      <c r="RED42" s="30"/>
      <c r="REE42" s="31"/>
      <c r="REF42" s="30"/>
      <c r="REG42" s="31"/>
      <c r="REH42" s="30"/>
      <c r="REI42" s="31"/>
      <c r="REJ42" s="30"/>
      <c r="REK42" s="31"/>
      <c r="REL42" s="30"/>
      <c r="REM42" s="31"/>
      <c r="REN42" s="30"/>
      <c r="REO42" s="31"/>
      <c r="REP42" s="30"/>
      <c r="REQ42" s="31"/>
      <c r="RER42" s="30"/>
      <c r="RES42" s="31"/>
      <c r="RET42" s="30"/>
      <c r="REU42" s="31"/>
      <c r="REV42" s="30"/>
      <c r="REW42" s="31"/>
      <c r="REX42" s="30"/>
      <c r="REY42" s="31"/>
      <c r="REZ42" s="30"/>
      <c r="RFA42" s="31"/>
      <c r="RFB42" s="30"/>
      <c r="RFC42" s="31"/>
      <c r="RFD42" s="30"/>
      <c r="RFE42" s="31"/>
      <c r="RFF42" s="30"/>
      <c r="RFG42" s="31"/>
      <c r="RFH42" s="30"/>
      <c r="RFI42" s="31"/>
      <c r="RFJ42" s="30"/>
      <c r="RFK42" s="31"/>
      <c r="RFL42" s="30"/>
      <c r="RFM42" s="31"/>
      <c r="RFN42" s="30"/>
      <c r="RFO42" s="31"/>
      <c r="RFP42" s="30"/>
      <c r="RFQ42" s="31"/>
      <c r="RFR42" s="30"/>
      <c r="RFS42" s="31"/>
      <c r="RFT42" s="30"/>
      <c r="RFU42" s="31"/>
      <c r="RFV42" s="30"/>
      <c r="RFW42" s="31"/>
      <c r="RFX42" s="30"/>
      <c r="RFY42" s="31"/>
      <c r="RFZ42" s="30"/>
      <c r="RGA42" s="31"/>
      <c r="RGB42" s="30"/>
      <c r="RGC42" s="31"/>
      <c r="RGD42" s="30"/>
      <c r="RGE42" s="31"/>
      <c r="RGF42" s="30"/>
      <c r="RGG42" s="31"/>
      <c r="RGH42" s="30"/>
      <c r="RGI42" s="31"/>
      <c r="RGJ42" s="30"/>
      <c r="RGK42" s="31"/>
      <c r="RGL42" s="30"/>
      <c r="RGM42" s="31"/>
      <c r="RGN42" s="30"/>
      <c r="RGO42" s="31"/>
      <c r="RGP42" s="30"/>
      <c r="RGQ42" s="31"/>
      <c r="RGR42" s="30"/>
      <c r="RGS42" s="31"/>
      <c r="RGT42" s="30"/>
      <c r="RGU42" s="31"/>
      <c r="RGV42" s="30"/>
      <c r="RGW42" s="31"/>
      <c r="RGX42" s="30"/>
      <c r="RGY42" s="31"/>
      <c r="RGZ42" s="30"/>
      <c r="RHA42" s="31"/>
      <c r="RHB42" s="30"/>
      <c r="RHC42" s="31"/>
      <c r="RHD42" s="30"/>
      <c r="RHE42" s="31"/>
      <c r="RHF42" s="30"/>
      <c r="RHG42" s="31"/>
      <c r="RHH42" s="30"/>
      <c r="RHI42" s="31"/>
      <c r="RHJ42" s="30"/>
      <c r="RHK42" s="31"/>
      <c r="RHL42" s="30"/>
      <c r="RHM42" s="31"/>
      <c r="RHN42" s="30"/>
      <c r="RHO42" s="31"/>
      <c r="RHP42" s="30"/>
      <c r="RHQ42" s="31"/>
      <c r="RHR42" s="30"/>
      <c r="RHS42" s="31"/>
      <c r="RHT42" s="30"/>
      <c r="RHU42" s="31"/>
      <c r="RHV42" s="30"/>
      <c r="RHW42" s="31"/>
      <c r="RHX42" s="30"/>
      <c r="RHY42" s="31"/>
      <c r="RHZ42" s="30"/>
      <c r="RIA42" s="31"/>
      <c r="RIB42" s="30"/>
      <c r="RIC42" s="31"/>
      <c r="RID42" s="30"/>
      <c r="RIE42" s="31"/>
      <c r="RIF42" s="30"/>
      <c r="RIG42" s="31"/>
      <c r="RIH42" s="30"/>
      <c r="RII42" s="31"/>
      <c r="RIJ42" s="30"/>
      <c r="RIK42" s="31"/>
      <c r="RIL42" s="30"/>
      <c r="RIM42" s="31"/>
      <c r="RIN42" s="30"/>
      <c r="RIO42" s="31"/>
      <c r="RIP42" s="30"/>
      <c r="RIQ42" s="31"/>
      <c r="RIR42" s="30"/>
      <c r="RIS42" s="31"/>
      <c r="RIT42" s="30"/>
      <c r="RIU42" s="31"/>
      <c r="RIV42" s="30"/>
      <c r="RIW42" s="31"/>
      <c r="RIX42" s="30"/>
      <c r="RIY42" s="31"/>
      <c r="RIZ42" s="30"/>
      <c r="RJA42" s="31"/>
      <c r="RJB42" s="30"/>
      <c r="RJC42" s="31"/>
      <c r="RJD42" s="30"/>
      <c r="RJE42" s="31"/>
      <c r="RJF42" s="30"/>
      <c r="RJG42" s="31"/>
      <c r="RJH42" s="30"/>
      <c r="RJI42" s="31"/>
      <c r="RJJ42" s="30"/>
      <c r="RJK42" s="31"/>
      <c r="RJL42" s="30"/>
      <c r="RJM42" s="31"/>
      <c r="RJN42" s="30"/>
      <c r="RJO42" s="31"/>
      <c r="RJP42" s="30"/>
      <c r="RJQ42" s="31"/>
      <c r="RJR42" s="30"/>
      <c r="RJS42" s="31"/>
      <c r="RJT42" s="30"/>
      <c r="RJU42" s="31"/>
      <c r="RJV42" s="30"/>
      <c r="RJW42" s="31"/>
      <c r="RJX42" s="30"/>
      <c r="RJY42" s="31"/>
      <c r="RJZ42" s="30"/>
      <c r="RKA42" s="31"/>
      <c r="RKB42" s="30"/>
      <c r="RKC42" s="31"/>
      <c r="RKD42" s="30"/>
      <c r="RKE42" s="31"/>
      <c r="RKF42" s="30"/>
      <c r="RKG42" s="31"/>
      <c r="RKH42" s="30"/>
      <c r="RKI42" s="31"/>
      <c r="RKJ42" s="30"/>
      <c r="RKK42" s="31"/>
      <c r="RKL42" s="30"/>
      <c r="RKM42" s="31"/>
      <c r="RKN42" s="30"/>
      <c r="RKO42" s="31"/>
      <c r="RKP42" s="30"/>
      <c r="RKQ42" s="31"/>
      <c r="RKR42" s="30"/>
      <c r="RKS42" s="31"/>
      <c r="RKT42" s="30"/>
      <c r="RKU42" s="31"/>
      <c r="RKV42" s="30"/>
      <c r="RKW42" s="31"/>
      <c r="RKX42" s="30"/>
      <c r="RKY42" s="31"/>
      <c r="RKZ42" s="30"/>
      <c r="RLA42" s="31"/>
      <c r="RLB42" s="30"/>
      <c r="RLC42" s="31"/>
      <c r="RLD42" s="30"/>
      <c r="RLE42" s="31"/>
      <c r="RLF42" s="30"/>
      <c r="RLG42" s="31"/>
      <c r="RLH42" s="30"/>
      <c r="RLI42" s="31"/>
      <c r="RLJ42" s="30"/>
      <c r="RLK42" s="31"/>
      <c r="RLL42" s="30"/>
      <c r="RLM42" s="31"/>
      <c r="RLN42" s="30"/>
      <c r="RLO42" s="31"/>
      <c r="RLP42" s="30"/>
      <c r="RLQ42" s="31"/>
      <c r="RLR42" s="30"/>
      <c r="RLS42" s="31"/>
      <c r="RLT42" s="30"/>
      <c r="RLU42" s="31"/>
      <c r="RLV42" s="30"/>
      <c r="RLW42" s="31"/>
      <c r="RLX42" s="30"/>
      <c r="RLY42" s="31"/>
      <c r="RLZ42" s="30"/>
      <c r="RMA42" s="31"/>
      <c r="RMB42" s="30"/>
      <c r="RMC42" s="31"/>
      <c r="RMD42" s="30"/>
      <c r="RME42" s="31"/>
      <c r="RMF42" s="30"/>
      <c r="RMG42" s="31"/>
      <c r="RMH42" s="30"/>
      <c r="RMI42" s="31"/>
      <c r="RMJ42" s="30"/>
      <c r="RMK42" s="31"/>
      <c r="RML42" s="30"/>
      <c r="RMM42" s="31"/>
      <c r="RMN42" s="30"/>
      <c r="RMO42" s="31"/>
      <c r="RMP42" s="30"/>
      <c r="RMQ42" s="31"/>
      <c r="RMR42" s="30"/>
      <c r="RMS42" s="31"/>
      <c r="RMT42" s="30"/>
      <c r="RMU42" s="31"/>
      <c r="RMV42" s="30"/>
      <c r="RMW42" s="31"/>
      <c r="RMX42" s="30"/>
      <c r="RMY42" s="31"/>
      <c r="RMZ42" s="30"/>
      <c r="RNA42" s="31"/>
      <c r="RNB42" s="30"/>
      <c r="RNC42" s="31"/>
      <c r="RND42" s="30"/>
      <c r="RNE42" s="31"/>
      <c r="RNF42" s="30"/>
      <c r="RNG42" s="31"/>
      <c r="RNH42" s="30"/>
      <c r="RNI42" s="31"/>
      <c r="RNJ42" s="30"/>
      <c r="RNK42" s="31"/>
      <c r="RNL42" s="30"/>
      <c r="RNM42" s="31"/>
      <c r="RNN42" s="30"/>
      <c r="RNO42" s="31"/>
      <c r="RNP42" s="30"/>
      <c r="RNQ42" s="31"/>
      <c r="RNR42" s="30"/>
      <c r="RNS42" s="31"/>
      <c r="RNT42" s="30"/>
      <c r="RNU42" s="31"/>
      <c r="RNV42" s="30"/>
      <c r="RNW42" s="31"/>
      <c r="RNX42" s="30"/>
      <c r="RNY42" s="31"/>
      <c r="RNZ42" s="30"/>
      <c r="ROA42" s="31"/>
      <c r="ROB42" s="30"/>
      <c r="ROC42" s="31"/>
      <c r="ROD42" s="30"/>
      <c r="ROE42" s="31"/>
      <c r="ROF42" s="30"/>
      <c r="ROG42" s="31"/>
      <c r="ROH42" s="30"/>
      <c r="ROI42" s="31"/>
      <c r="ROJ42" s="30"/>
      <c r="ROK42" s="31"/>
      <c r="ROL42" s="30"/>
      <c r="ROM42" s="31"/>
      <c r="RON42" s="30"/>
      <c r="ROO42" s="31"/>
      <c r="ROP42" s="30"/>
      <c r="ROQ42" s="31"/>
      <c r="ROR42" s="30"/>
      <c r="ROS42" s="31"/>
      <c r="ROT42" s="30"/>
      <c r="ROU42" s="31"/>
      <c r="ROV42" s="30"/>
      <c r="ROW42" s="31"/>
      <c r="ROX42" s="30"/>
      <c r="ROY42" s="31"/>
      <c r="ROZ42" s="30"/>
      <c r="RPA42" s="31"/>
      <c r="RPB42" s="30"/>
      <c r="RPC42" s="31"/>
      <c r="RPD42" s="30"/>
      <c r="RPE42" s="31"/>
      <c r="RPF42" s="30"/>
      <c r="RPG42" s="31"/>
      <c r="RPH42" s="30"/>
      <c r="RPI42" s="31"/>
      <c r="RPJ42" s="30"/>
      <c r="RPK42" s="31"/>
      <c r="RPL42" s="30"/>
      <c r="RPM42" s="31"/>
      <c r="RPN42" s="30"/>
      <c r="RPO42" s="31"/>
      <c r="RPP42" s="30"/>
      <c r="RPQ42" s="31"/>
      <c r="RPR42" s="30"/>
      <c r="RPS42" s="31"/>
      <c r="RPT42" s="30"/>
      <c r="RPU42" s="31"/>
      <c r="RPV42" s="30"/>
      <c r="RPW42" s="31"/>
      <c r="RPX42" s="30"/>
      <c r="RPY42" s="31"/>
      <c r="RPZ42" s="30"/>
      <c r="RQA42" s="31"/>
      <c r="RQB42" s="30"/>
      <c r="RQC42" s="31"/>
      <c r="RQD42" s="30"/>
      <c r="RQE42" s="31"/>
      <c r="RQF42" s="30"/>
      <c r="RQG42" s="31"/>
      <c r="RQH42" s="30"/>
      <c r="RQI42" s="31"/>
      <c r="RQJ42" s="30"/>
      <c r="RQK42" s="31"/>
      <c r="RQL42" s="30"/>
      <c r="RQM42" s="31"/>
      <c r="RQN42" s="30"/>
      <c r="RQO42" s="31"/>
      <c r="RQP42" s="30"/>
      <c r="RQQ42" s="31"/>
      <c r="RQR42" s="30"/>
      <c r="RQS42" s="31"/>
      <c r="RQT42" s="30"/>
      <c r="RQU42" s="31"/>
      <c r="RQV42" s="30"/>
      <c r="RQW42" s="31"/>
      <c r="RQX42" s="30"/>
      <c r="RQY42" s="31"/>
      <c r="RQZ42" s="30"/>
      <c r="RRA42" s="31"/>
      <c r="RRB42" s="30"/>
      <c r="RRC42" s="31"/>
      <c r="RRD42" s="30"/>
      <c r="RRE42" s="31"/>
      <c r="RRF42" s="30"/>
      <c r="RRG42" s="31"/>
      <c r="RRH42" s="30"/>
      <c r="RRI42" s="31"/>
      <c r="RRJ42" s="30"/>
      <c r="RRK42" s="31"/>
      <c r="RRL42" s="30"/>
      <c r="RRM42" s="31"/>
      <c r="RRN42" s="30"/>
      <c r="RRO42" s="31"/>
      <c r="RRP42" s="30"/>
      <c r="RRQ42" s="31"/>
      <c r="RRR42" s="30"/>
      <c r="RRS42" s="31"/>
      <c r="RRT42" s="30"/>
      <c r="RRU42" s="31"/>
      <c r="RRV42" s="30"/>
      <c r="RRW42" s="31"/>
      <c r="RRX42" s="30"/>
      <c r="RRY42" s="31"/>
      <c r="RRZ42" s="30"/>
      <c r="RSA42" s="31"/>
      <c r="RSB42" s="30"/>
      <c r="RSC42" s="31"/>
      <c r="RSD42" s="30"/>
      <c r="RSE42" s="31"/>
      <c r="RSF42" s="30"/>
      <c r="RSG42" s="31"/>
      <c r="RSH42" s="30"/>
      <c r="RSI42" s="31"/>
      <c r="RSJ42" s="30"/>
      <c r="RSK42" s="31"/>
      <c r="RSL42" s="30"/>
      <c r="RSM42" s="31"/>
      <c r="RSN42" s="30"/>
      <c r="RSO42" s="31"/>
      <c r="RSP42" s="30"/>
      <c r="RSQ42" s="31"/>
      <c r="RSR42" s="30"/>
      <c r="RSS42" s="31"/>
      <c r="RST42" s="30"/>
      <c r="RSU42" s="31"/>
      <c r="RSV42" s="30"/>
      <c r="RSW42" s="31"/>
      <c r="RSX42" s="30"/>
      <c r="RSY42" s="31"/>
      <c r="RSZ42" s="30"/>
      <c r="RTA42" s="31"/>
      <c r="RTB42" s="30"/>
      <c r="RTC42" s="31"/>
      <c r="RTD42" s="30"/>
      <c r="RTE42" s="31"/>
      <c r="RTF42" s="30"/>
      <c r="RTG42" s="31"/>
      <c r="RTH42" s="30"/>
      <c r="RTI42" s="31"/>
      <c r="RTJ42" s="30"/>
      <c r="RTK42" s="31"/>
      <c r="RTL42" s="30"/>
      <c r="RTM42" s="31"/>
      <c r="RTN42" s="30"/>
      <c r="RTO42" s="31"/>
      <c r="RTP42" s="30"/>
      <c r="RTQ42" s="31"/>
      <c r="RTR42" s="30"/>
      <c r="RTS42" s="31"/>
      <c r="RTT42" s="30"/>
      <c r="RTU42" s="31"/>
      <c r="RTV42" s="30"/>
      <c r="RTW42" s="31"/>
      <c r="RTX42" s="30"/>
      <c r="RTY42" s="31"/>
      <c r="RTZ42" s="30"/>
      <c r="RUA42" s="31"/>
      <c r="RUB42" s="30"/>
      <c r="RUC42" s="31"/>
      <c r="RUD42" s="30"/>
      <c r="RUE42" s="31"/>
      <c r="RUF42" s="30"/>
      <c r="RUG42" s="31"/>
      <c r="RUH42" s="30"/>
      <c r="RUI42" s="31"/>
      <c r="RUJ42" s="30"/>
      <c r="RUK42" s="31"/>
      <c r="RUL42" s="30"/>
      <c r="RUM42" s="31"/>
      <c r="RUN42" s="30"/>
      <c r="RUO42" s="31"/>
      <c r="RUP42" s="30"/>
      <c r="RUQ42" s="31"/>
      <c r="RUR42" s="30"/>
      <c r="RUS42" s="31"/>
      <c r="RUT42" s="30"/>
      <c r="RUU42" s="31"/>
      <c r="RUV42" s="30"/>
      <c r="RUW42" s="31"/>
      <c r="RUX42" s="30"/>
      <c r="RUY42" s="31"/>
      <c r="RUZ42" s="30"/>
      <c r="RVA42" s="31"/>
      <c r="RVB42" s="30"/>
      <c r="RVC42" s="31"/>
      <c r="RVD42" s="30"/>
      <c r="RVE42" s="31"/>
      <c r="RVF42" s="30"/>
      <c r="RVG42" s="31"/>
      <c r="RVH42" s="30"/>
      <c r="RVI42" s="31"/>
      <c r="RVJ42" s="30"/>
      <c r="RVK42" s="31"/>
      <c r="RVL42" s="30"/>
      <c r="RVM42" s="31"/>
      <c r="RVN42" s="30"/>
      <c r="RVO42" s="31"/>
      <c r="RVP42" s="30"/>
      <c r="RVQ42" s="31"/>
      <c r="RVR42" s="30"/>
      <c r="RVS42" s="31"/>
      <c r="RVT42" s="30"/>
      <c r="RVU42" s="31"/>
      <c r="RVV42" s="30"/>
      <c r="RVW42" s="31"/>
      <c r="RVX42" s="30"/>
      <c r="RVY42" s="31"/>
      <c r="RVZ42" s="30"/>
      <c r="RWA42" s="31"/>
      <c r="RWB42" s="30"/>
      <c r="RWC42" s="31"/>
      <c r="RWD42" s="30"/>
      <c r="RWE42" s="31"/>
      <c r="RWF42" s="30"/>
      <c r="RWG42" s="31"/>
      <c r="RWH42" s="30"/>
      <c r="RWI42" s="31"/>
      <c r="RWJ42" s="30"/>
      <c r="RWK42" s="31"/>
      <c r="RWL42" s="30"/>
      <c r="RWM42" s="31"/>
      <c r="RWN42" s="30"/>
      <c r="RWO42" s="31"/>
      <c r="RWP42" s="30"/>
      <c r="RWQ42" s="31"/>
      <c r="RWR42" s="30"/>
      <c r="RWS42" s="31"/>
      <c r="RWT42" s="30"/>
      <c r="RWU42" s="31"/>
      <c r="RWV42" s="30"/>
      <c r="RWW42" s="31"/>
      <c r="RWX42" s="30"/>
      <c r="RWY42" s="31"/>
      <c r="RWZ42" s="30"/>
      <c r="RXA42" s="31"/>
      <c r="RXB42" s="30"/>
      <c r="RXC42" s="31"/>
      <c r="RXD42" s="30"/>
      <c r="RXE42" s="31"/>
      <c r="RXF42" s="30"/>
      <c r="RXG42" s="31"/>
      <c r="RXH42" s="30"/>
      <c r="RXI42" s="31"/>
      <c r="RXJ42" s="30"/>
      <c r="RXK42" s="31"/>
      <c r="RXL42" s="30"/>
      <c r="RXM42" s="31"/>
      <c r="RXN42" s="30"/>
      <c r="RXO42" s="31"/>
      <c r="RXP42" s="30"/>
      <c r="RXQ42" s="31"/>
      <c r="RXR42" s="30"/>
      <c r="RXS42" s="31"/>
      <c r="RXT42" s="30"/>
      <c r="RXU42" s="31"/>
      <c r="RXV42" s="30"/>
      <c r="RXW42" s="31"/>
      <c r="RXX42" s="30"/>
      <c r="RXY42" s="31"/>
      <c r="RXZ42" s="30"/>
      <c r="RYA42" s="31"/>
      <c r="RYB42" s="30"/>
      <c r="RYC42" s="31"/>
      <c r="RYD42" s="30"/>
      <c r="RYE42" s="31"/>
      <c r="RYF42" s="30"/>
      <c r="RYG42" s="31"/>
      <c r="RYH42" s="30"/>
      <c r="RYI42" s="31"/>
      <c r="RYJ42" s="30"/>
      <c r="RYK42" s="31"/>
      <c r="RYL42" s="30"/>
      <c r="RYM42" s="31"/>
      <c r="RYN42" s="30"/>
      <c r="RYO42" s="31"/>
      <c r="RYP42" s="30"/>
      <c r="RYQ42" s="31"/>
      <c r="RYR42" s="30"/>
      <c r="RYS42" s="31"/>
      <c r="RYT42" s="30"/>
      <c r="RYU42" s="31"/>
      <c r="RYV42" s="30"/>
      <c r="RYW42" s="31"/>
      <c r="RYX42" s="30"/>
      <c r="RYY42" s="31"/>
      <c r="RYZ42" s="30"/>
      <c r="RZA42" s="31"/>
      <c r="RZB42" s="30"/>
      <c r="RZC42" s="31"/>
      <c r="RZD42" s="30"/>
      <c r="RZE42" s="31"/>
      <c r="RZF42" s="30"/>
      <c r="RZG42" s="31"/>
      <c r="RZH42" s="30"/>
      <c r="RZI42" s="31"/>
      <c r="RZJ42" s="30"/>
      <c r="RZK42" s="31"/>
      <c r="RZL42" s="30"/>
      <c r="RZM42" s="31"/>
      <c r="RZN42" s="30"/>
      <c r="RZO42" s="31"/>
      <c r="RZP42" s="30"/>
      <c r="RZQ42" s="31"/>
      <c r="RZR42" s="30"/>
      <c r="RZS42" s="31"/>
      <c r="RZT42" s="30"/>
      <c r="RZU42" s="31"/>
      <c r="RZV42" s="30"/>
      <c r="RZW42" s="31"/>
      <c r="RZX42" s="30"/>
      <c r="RZY42" s="31"/>
      <c r="RZZ42" s="30"/>
      <c r="SAA42" s="31"/>
      <c r="SAB42" s="30"/>
      <c r="SAC42" s="31"/>
      <c r="SAD42" s="30"/>
      <c r="SAE42" s="31"/>
      <c r="SAF42" s="30"/>
      <c r="SAG42" s="31"/>
      <c r="SAH42" s="30"/>
      <c r="SAI42" s="31"/>
      <c r="SAJ42" s="30"/>
      <c r="SAK42" s="31"/>
      <c r="SAL42" s="30"/>
      <c r="SAM42" s="31"/>
      <c r="SAN42" s="30"/>
      <c r="SAO42" s="31"/>
      <c r="SAP42" s="30"/>
      <c r="SAQ42" s="31"/>
      <c r="SAR42" s="30"/>
      <c r="SAS42" s="31"/>
      <c r="SAT42" s="30"/>
      <c r="SAU42" s="31"/>
      <c r="SAV42" s="30"/>
      <c r="SAW42" s="31"/>
      <c r="SAX42" s="30"/>
      <c r="SAY42" s="31"/>
      <c r="SAZ42" s="30"/>
      <c r="SBA42" s="31"/>
      <c r="SBB42" s="30"/>
      <c r="SBC42" s="31"/>
      <c r="SBD42" s="30"/>
      <c r="SBE42" s="31"/>
      <c r="SBF42" s="30"/>
      <c r="SBG42" s="31"/>
      <c r="SBH42" s="30"/>
      <c r="SBI42" s="31"/>
      <c r="SBJ42" s="30"/>
      <c r="SBK42" s="31"/>
      <c r="SBL42" s="30"/>
      <c r="SBM42" s="31"/>
      <c r="SBN42" s="30"/>
      <c r="SBO42" s="31"/>
      <c r="SBP42" s="30"/>
      <c r="SBQ42" s="31"/>
      <c r="SBR42" s="30"/>
      <c r="SBS42" s="31"/>
      <c r="SBT42" s="30"/>
      <c r="SBU42" s="31"/>
      <c r="SBV42" s="30"/>
      <c r="SBW42" s="31"/>
      <c r="SBX42" s="30"/>
      <c r="SBY42" s="31"/>
      <c r="SBZ42" s="30"/>
      <c r="SCA42" s="31"/>
      <c r="SCB42" s="30"/>
      <c r="SCC42" s="31"/>
      <c r="SCD42" s="30"/>
      <c r="SCE42" s="31"/>
      <c r="SCF42" s="30"/>
      <c r="SCG42" s="31"/>
      <c r="SCH42" s="30"/>
      <c r="SCI42" s="31"/>
      <c r="SCJ42" s="30"/>
      <c r="SCK42" s="31"/>
      <c r="SCL42" s="30"/>
      <c r="SCM42" s="31"/>
      <c r="SCN42" s="30"/>
      <c r="SCO42" s="31"/>
      <c r="SCP42" s="30"/>
      <c r="SCQ42" s="31"/>
      <c r="SCR42" s="30"/>
      <c r="SCS42" s="31"/>
      <c r="SCT42" s="30"/>
      <c r="SCU42" s="31"/>
      <c r="SCV42" s="30"/>
      <c r="SCW42" s="31"/>
      <c r="SCX42" s="30"/>
      <c r="SCY42" s="31"/>
      <c r="SCZ42" s="30"/>
      <c r="SDA42" s="31"/>
      <c r="SDB42" s="30"/>
      <c r="SDC42" s="31"/>
      <c r="SDD42" s="30"/>
      <c r="SDE42" s="31"/>
      <c r="SDF42" s="30"/>
      <c r="SDG42" s="31"/>
      <c r="SDH42" s="30"/>
      <c r="SDI42" s="31"/>
      <c r="SDJ42" s="30"/>
      <c r="SDK42" s="31"/>
      <c r="SDL42" s="30"/>
      <c r="SDM42" s="31"/>
      <c r="SDN42" s="30"/>
      <c r="SDO42" s="31"/>
      <c r="SDP42" s="30"/>
      <c r="SDQ42" s="31"/>
      <c r="SDR42" s="30"/>
      <c r="SDS42" s="31"/>
      <c r="SDT42" s="30"/>
      <c r="SDU42" s="31"/>
      <c r="SDV42" s="30"/>
      <c r="SDW42" s="31"/>
      <c r="SDX42" s="30"/>
      <c r="SDY42" s="31"/>
      <c r="SDZ42" s="30"/>
      <c r="SEA42" s="31"/>
      <c r="SEB42" s="30"/>
      <c r="SEC42" s="31"/>
      <c r="SED42" s="30"/>
      <c r="SEE42" s="31"/>
      <c r="SEF42" s="30"/>
      <c r="SEG42" s="31"/>
      <c r="SEH42" s="30"/>
      <c r="SEI42" s="31"/>
      <c r="SEJ42" s="30"/>
      <c r="SEK42" s="31"/>
      <c r="SEL42" s="30"/>
      <c r="SEM42" s="31"/>
      <c r="SEN42" s="30"/>
      <c r="SEO42" s="31"/>
      <c r="SEP42" s="30"/>
      <c r="SEQ42" s="31"/>
      <c r="SER42" s="30"/>
      <c r="SES42" s="31"/>
      <c r="SET42" s="30"/>
      <c r="SEU42" s="31"/>
      <c r="SEV42" s="30"/>
      <c r="SEW42" s="31"/>
      <c r="SEX42" s="30"/>
      <c r="SEY42" s="31"/>
      <c r="SEZ42" s="30"/>
      <c r="SFA42" s="31"/>
      <c r="SFB42" s="30"/>
      <c r="SFC42" s="31"/>
      <c r="SFD42" s="30"/>
      <c r="SFE42" s="31"/>
      <c r="SFF42" s="30"/>
      <c r="SFG42" s="31"/>
      <c r="SFH42" s="30"/>
      <c r="SFI42" s="31"/>
      <c r="SFJ42" s="30"/>
      <c r="SFK42" s="31"/>
      <c r="SFL42" s="30"/>
      <c r="SFM42" s="31"/>
      <c r="SFN42" s="30"/>
      <c r="SFO42" s="31"/>
      <c r="SFP42" s="30"/>
      <c r="SFQ42" s="31"/>
      <c r="SFR42" s="30"/>
      <c r="SFS42" s="31"/>
      <c r="SFT42" s="30"/>
      <c r="SFU42" s="31"/>
      <c r="SFV42" s="30"/>
      <c r="SFW42" s="31"/>
      <c r="SFX42" s="30"/>
      <c r="SFY42" s="31"/>
      <c r="SFZ42" s="30"/>
      <c r="SGA42" s="31"/>
      <c r="SGB42" s="30"/>
      <c r="SGC42" s="31"/>
      <c r="SGD42" s="30"/>
      <c r="SGE42" s="31"/>
      <c r="SGF42" s="30"/>
      <c r="SGG42" s="31"/>
      <c r="SGH42" s="30"/>
      <c r="SGI42" s="31"/>
      <c r="SGJ42" s="30"/>
      <c r="SGK42" s="31"/>
      <c r="SGL42" s="30"/>
      <c r="SGM42" s="31"/>
      <c r="SGN42" s="30"/>
      <c r="SGO42" s="31"/>
      <c r="SGP42" s="30"/>
      <c r="SGQ42" s="31"/>
      <c r="SGR42" s="30"/>
      <c r="SGS42" s="31"/>
      <c r="SGT42" s="30"/>
      <c r="SGU42" s="31"/>
      <c r="SGV42" s="30"/>
      <c r="SGW42" s="31"/>
      <c r="SGX42" s="30"/>
      <c r="SGY42" s="31"/>
      <c r="SGZ42" s="30"/>
      <c r="SHA42" s="31"/>
      <c r="SHB42" s="30"/>
      <c r="SHC42" s="31"/>
      <c r="SHD42" s="30"/>
      <c r="SHE42" s="31"/>
      <c r="SHF42" s="30"/>
      <c r="SHG42" s="31"/>
      <c r="SHH42" s="30"/>
      <c r="SHI42" s="31"/>
      <c r="SHJ42" s="30"/>
      <c r="SHK42" s="31"/>
      <c r="SHL42" s="30"/>
      <c r="SHM42" s="31"/>
      <c r="SHN42" s="30"/>
      <c r="SHO42" s="31"/>
      <c r="SHP42" s="30"/>
      <c r="SHQ42" s="31"/>
      <c r="SHR42" s="30"/>
      <c r="SHS42" s="31"/>
      <c r="SHT42" s="30"/>
      <c r="SHU42" s="31"/>
      <c r="SHV42" s="30"/>
      <c r="SHW42" s="31"/>
      <c r="SHX42" s="30"/>
      <c r="SHY42" s="31"/>
      <c r="SHZ42" s="30"/>
      <c r="SIA42" s="31"/>
      <c r="SIB42" s="30"/>
      <c r="SIC42" s="31"/>
      <c r="SID42" s="30"/>
      <c r="SIE42" s="31"/>
      <c r="SIF42" s="30"/>
      <c r="SIG42" s="31"/>
      <c r="SIH42" s="30"/>
      <c r="SII42" s="31"/>
      <c r="SIJ42" s="30"/>
      <c r="SIK42" s="31"/>
      <c r="SIL42" s="30"/>
      <c r="SIM42" s="31"/>
      <c r="SIN42" s="30"/>
      <c r="SIO42" s="31"/>
      <c r="SIP42" s="30"/>
      <c r="SIQ42" s="31"/>
      <c r="SIR42" s="30"/>
      <c r="SIS42" s="31"/>
      <c r="SIT42" s="30"/>
      <c r="SIU42" s="31"/>
      <c r="SIV42" s="30"/>
      <c r="SIW42" s="31"/>
      <c r="SIX42" s="30"/>
      <c r="SIY42" s="31"/>
      <c r="SIZ42" s="30"/>
      <c r="SJA42" s="31"/>
      <c r="SJB42" s="30"/>
      <c r="SJC42" s="31"/>
      <c r="SJD42" s="30"/>
      <c r="SJE42" s="31"/>
      <c r="SJF42" s="30"/>
      <c r="SJG42" s="31"/>
      <c r="SJH42" s="30"/>
      <c r="SJI42" s="31"/>
      <c r="SJJ42" s="30"/>
      <c r="SJK42" s="31"/>
      <c r="SJL42" s="30"/>
      <c r="SJM42" s="31"/>
      <c r="SJN42" s="30"/>
      <c r="SJO42" s="31"/>
      <c r="SJP42" s="30"/>
      <c r="SJQ42" s="31"/>
      <c r="SJR42" s="30"/>
      <c r="SJS42" s="31"/>
      <c r="SJT42" s="30"/>
      <c r="SJU42" s="31"/>
      <c r="SJV42" s="30"/>
      <c r="SJW42" s="31"/>
      <c r="SJX42" s="30"/>
      <c r="SJY42" s="31"/>
      <c r="SJZ42" s="30"/>
      <c r="SKA42" s="31"/>
      <c r="SKB42" s="30"/>
      <c r="SKC42" s="31"/>
      <c r="SKD42" s="30"/>
      <c r="SKE42" s="31"/>
      <c r="SKF42" s="30"/>
      <c r="SKG42" s="31"/>
      <c r="SKH42" s="30"/>
      <c r="SKI42" s="31"/>
      <c r="SKJ42" s="30"/>
      <c r="SKK42" s="31"/>
      <c r="SKL42" s="30"/>
      <c r="SKM42" s="31"/>
      <c r="SKN42" s="30"/>
      <c r="SKO42" s="31"/>
      <c r="SKP42" s="30"/>
      <c r="SKQ42" s="31"/>
      <c r="SKR42" s="30"/>
      <c r="SKS42" s="31"/>
      <c r="SKT42" s="30"/>
      <c r="SKU42" s="31"/>
      <c r="SKV42" s="30"/>
      <c r="SKW42" s="31"/>
      <c r="SKX42" s="30"/>
      <c r="SKY42" s="31"/>
      <c r="SKZ42" s="30"/>
      <c r="SLA42" s="31"/>
      <c r="SLB42" s="30"/>
      <c r="SLC42" s="31"/>
      <c r="SLD42" s="30"/>
      <c r="SLE42" s="31"/>
      <c r="SLF42" s="30"/>
      <c r="SLG42" s="31"/>
      <c r="SLH42" s="30"/>
      <c r="SLI42" s="31"/>
      <c r="SLJ42" s="30"/>
      <c r="SLK42" s="31"/>
      <c r="SLL42" s="30"/>
      <c r="SLM42" s="31"/>
      <c r="SLN42" s="30"/>
      <c r="SLO42" s="31"/>
      <c r="SLP42" s="30"/>
      <c r="SLQ42" s="31"/>
      <c r="SLR42" s="30"/>
      <c r="SLS42" s="31"/>
      <c r="SLT42" s="30"/>
      <c r="SLU42" s="31"/>
      <c r="SLV42" s="30"/>
      <c r="SLW42" s="31"/>
      <c r="SLX42" s="30"/>
      <c r="SLY42" s="31"/>
      <c r="SLZ42" s="30"/>
      <c r="SMA42" s="31"/>
      <c r="SMB42" s="30"/>
      <c r="SMC42" s="31"/>
      <c r="SMD42" s="30"/>
      <c r="SME42" s="31"/>
      <c r="SMF42" s="30"/>
      <c r="SMG42" s="31"/>
      <c r="SMH42" s="30"/>
      <c r="SMI42" s="31"/>
      <c r="SMJ42" s="30"/>
      <c r="SMK42" s="31"/>
      <c r="SML42" s="30"/>
      <c r="SMM42" s="31"/>
      <c r="SMN42" s="30"/>
      <c r="SMO42" s="31"/>
      <c r="SMP42" s="30"/>
      <c r="SMQ42" s="31"/>
      <c r="SMR42" s="30"/>
      <c r="SMS42" s="31"/>
      <c r="SMT42" s="30"/>
      <c r="SMU42" s="31"/>
      <c r="SMV42" s="30"/>
      <c r="SMW42" s="31"/>
      <c r="SMX42" s="30"/>
      <c r="SMY42" s="31"/>
      <c r="SMZ42" s="30"/>
      <c r="SNA42" s="31"/>
      <c r="SNB42" s="30"/>
      <c r="SNC42" s="31"/>
      <c r="SND42" s="30"/>
      <c r="SNE42" s="31"/>
      <c r="SNF42" s="30"/>
      <c r="SNG42" s="31"/>
      <c r="SNH42" s="30"/>
      <c r="SNI42" s="31"/>
      <c r="SNJ42" s="30"/>
      <c r="SNK42" s="31"/>
      <c r="SNL42" s="30"/>
      <c r="SNM42" s="31"/>
      <c r="SNN42" s="30"/>
      <c r="SNO42" s="31"/>
      <c r="SNP42" s="30"/>
      <c r="SNQ42" s="31"/>
      <c r="SNR42" s="30"/>
      <c r="SNS42" s="31"/>
      <c r="SNT42" s="30"/>
      <c r="SNU42" s="31"/>
      <c r="SNV42" s="30"/>
      <c r="SNW42" s="31"/>
      <c r="SNX42" s="30"/>
      <c r="SNY42" s="31"/>
      <c r="SNZ42" s="30"/>
      <c r="SOA42" s="31"/>
      <c r="SOB42" s="30"/>
      <c r="SOC42" s="31"/>
      <c r="SOD42" s="30"/>
      <c r="SOE42" s="31"/>
      <c r="SOF42" s="30"/>
      <c r="SOG42" s="31"/>
      <c r="SOH42" s="30"/>
      <c r="SOI42" s="31"/>
      <c r="SOJ42" s="30"/>
      <c r="SOK42" s="31"/>
      <c r="SOL42" s="30"/>
      <c r="SOM42" s="31"/>
      <c r="SON42" s="30"/>
      <c r="SOO42" s="31"/>
      <c r="SOP42" s="30"/>
      <c r="SOQ42" s="31"/>
      <c r="SOR42" s="30"/>
      <c r="SOS42" s="31"/>
      <c r="SOT42" s="30"/>
      <c r="SOU42" s="31"/>
      <c r="SOV42" s="30"/>
      <c r="SOW42" s="31"/>
      <c r="SOX42" s="30"/>
      <c r="SOY42" s="31"/>
      <c r="SOZ42" s="30"/>
      <c r="SPA42" s="31"/>
      <c r="SPB42" s="30"/>
      <c r="SPC42" s="31"/>
      <c r="SPD42" s="30"/>
      <c r="SPE42" s="31"/>
      <c r="SPF42" s="30"/>
      <c r="SPG42" s="31"/>
      <c r="SPH42" s="30"/>
      <c r="SPI42" s="31"/>
      <c r="SPJ42" s="30"/>
      <c r="SPK42" s="31"/>
      <c r="SPL42" s="30"/>
      <c r="SPM42" s="31"/>
      <c r="SPN42" s="30"/>
      <c r="SPO42" s="31"/>
      <c r="SPP42" s="30"/>
      <c r="SPQ42" s="31"/>
      <c r="SPR42" s="30"/>
      <c r="SPS42" s="31"/>
      <c r="SPT42" s="30"/>
      <c r="SPU42" s="31"/>
      <c r="SPV42" s="30"/>
      <c r="SPW42" s="31"/>
      <c r="SPX42" s="30"/>
      <c r="SPY42" s="31"/>
      <c r="SPZ42" s="30"/>
      <c r="SQA42" s="31"/>
      <c r="SQB42" s="30"/>
      <c r="SQC42" s="31"/>
      <c r="SQD42" s="30"/>
      <c r="SQE42" s="31"/>
      <c r="SQF42" s="30"/>
      <c r="SQG42" s="31"/>
      <c r="SQH42" s="30"/>
      <c r="SQI42" s="31"/>
      <c r="SQJ42" s="30"/>
      <c r="SQK42" s="31"/>
      <c r="SQL42" s="30"/>
      <c r="SQM42" s="31"/>
      <c r="SQN42" s="30"/>
      <c r="SQO42" s="31"/>
      <c r="SQP42" s="30"/>
      <c r="SQQ42" s="31"/>
      <c r="SQR42" s="30"/>
      <c r="SQS42" s="31"/>
      <c r="SQT42" s="30"/>
      <c r="SQU42" s="31"/>
      <c r="SQV42" s="30"/>
      <c r="SQW42" s="31"/>
      <c r="SQX42" s="30"/>
      <c r="SQY42" s="31"/>
      <c r="SQZ42" s="30"/>
      <c r="SRA42" s="31"/>
      <c r="SRB42" s="30"/>
      <c r="SRC42" s="31"/>
      <c r="SRD42" s="30"/>
      <c r="SRE42" s="31"/>
      <c r="SRF42" s="30"/>
      <c r="SRG42" s="31"/>
      <c r="SRH42" s="30"/>
      <c r="SRI42" s="31"/>
      <c r="SRJ42" s="30"/>
      <c r="SRK42" s="31"/>
      <c r="SRL42" s="30"/>
      <c r="SRM42" s="31"/>
      <c r="SRN42" s="30"/>
      <c r="SRO42" s="31"/>
      <c r="SRP42" s="30"/>
      <c r="SRQ42" s="31"/>
      <c r="SRR42" s="30"/>
      <c r="SRS42" s="31"/>
      <c r="SRT42" s="30"/>
      <c r="SRU42" s="31"/>
      <c r="SRV42" s="30"/>
      <c r="SRW42" s="31"/>
      <c r="SRX42" s="30"/>
      <c r="SRY42" s="31"/>
      <c r="SRZ42" s="30"/>
      <c r="SSA42" s="31"/>
      <c r="SSB42" s="30"/>
      <c r="SSC42" s="31"/>
      <c r="SSD42" s="30"/>
      <c r="SSE42" s="31"/>
      <c r="SSF42" s="30"/>
      <c r="SSG42" s="31"/>
      <c r="SSH42" s="30"/>
      <c r="SSI42" s="31"/>
      <c r="SSJ42" s="30"/>
      <c r="SSK42" s="31"/>
      <c r="SSL42" s="30"/>
      <c r="SSM42" s="31"/>
      <c r="SSN42" s="30"/>
      <c r="SSO42" s="31"/>
      <c r="SSP42" s="30"/>
      <c r="SSQ42" s="31"/>
      <c r="SSR42" s="30"/>
      <c r="SSS42" s="31"/>
      <c r="SST42" s="30"/>
      <c r="SSU42" s="31"/>
      <c r="SSV42" s="30"/>
      <c r="SSW42" s="31"/>
      <c r="SSX42" s="30"/>
      <c r="SSY42" s="31"/>
      <c r="SSZ42" s="30"/>
      <c r="STA42" s="31"/>
      <c r="STB42" s="30"/>
      <c r="STC42" s="31"/>
      <c r="STD42" s="30"/>
      <c r="STE42" s="31"/>
      <c r="STF42" s="30"/>
      <c r="STG42" s="31"/>
      <c r="STH42" s="30"/>
      <c r="STI42" s="31"/>
      <c r="STJ42" s="30"/>
      <c r="STK42" s="31"/>
      <c r="STL42" s="30"/>
      <c r="STM42" s="31"/>
      <c r="STN42" s="30"/>
      <c r="STO42" s="31"/>
      <c r="STP42" s="30"/>
      <c r="STQ42" s="31"/>
      <c r="STR42" s="30"/>
      <c r="STS42" s="31"/>
      <c r="STT42" s="30"/>
      <c r="STU42" s="31"/>
      <c r="STV42" s="30"/>
      <c r="STW42" s="31"/>
      <c r="STX42" s="30"/>
      <c r="STY42" s="31"/>
      <c r="STZ42" s="30"/>
      <c r="SUA42" s="31"/>
      <c r="SUB42" s="30"/>
      <c r="SUC42" s="31"/>
      <c r="SUD42" s="30"/>
      <c r="SUE42" s="31"/>
      <c r="SUF42" s="30"/>
      <c r="SUG42" s="31"/>
      <c r="SUH42" s="30"/>
      <c r="SUI42" s="31"/>
      <c r="SUJ42" s="30"/>
      <c r="SUK42" s="31"/>
      <c r="SUL42" s="30"/>
      <c r="SUM42" s="31"/>
      <c r="SUN42" s="30"/>
      <c r="SUO42" s="31"/>
      <c r="SUP42" s="30"/>
      <c r="SUQ42" s="31"/>
      <c r="SUR42" s="30"/>
      <c r="SUS42" s="31"/>
      <c r="SUT42" s="30"/>
      <c r="SUU42" s="31"/>
      <c r="SUV42" s="30"/>
      <c r="SUW42" s="31"/>
      <c r="SUX42" s="30"/>
      <c r="SUY42" s="31"/>
      <c r="SUZ42" s="30"/>
      <c r="SVA42" s="31"/>
      <c r="SVB42" s="30"/>
      <c r="SVC42" s="31"/>
      <c r="SVD42" s="30"/>
      <c r="SVE42" s="31"/>
      <c r="SVF42" s="30"/>
      <c r="SVG42" s="31"/>
      <c r="SVH42" s="30"/>
      <c r="SVI42" s="31"/>
      <c r="SVJ42" s="30"/>
      <c r="SVK42" s="31"/>
      <c r="SVL42" s="30"/>
      <c r="SVM42" s="31"/>
      <c r="SVN42" s="30"/>
      <c r="SVO42" s="31"/>
      <c r="SVP42" s="30"/>
      <c r="SVQ42" s="31"/>
      <c r="SVR42" s="30"/>
      <c r="SVS42" s="31"/>
      <c r="SVT42" s="30"/>
      <c r="SVU42" s="31"/>
      <c r="SVV42" s="30"/>
      <c r="SVW42" s="31"/>
      <c r="SVX42" s="30"/>
      <c r="SVY42" s="31"/>
      <c r="SVZ42" s="30"/>
      <c r="SWA42" s="31"/>
      <c r="SWB42" s="30"/>
      <c r="SWC42" s="31"/>
      <c r="SWD42" s="30"/>
      <c r="SWE42" s="31"/>
      <c r="SWF42" s="30"/>
      <c r="SWG42" s="31"/>
      <c r="SWH42" s="30"/>
      <c r="SWI42" s="31"/>
      <c r="SWJ42" s="30"/>
      <c r="SWK42" s="31"/>
      <c r="SWL42" s="30"/>
      <c r="SWM42" s="31"/>
      <c r="SWN42" s="30"/>
      <c r="SWO42" s="31"/>
      <c r="SWP42" s="30"/>
      <c r="SWQ42" s="31"/>
      <c r="SWR42" s="30"/>
      <c r="SWS42" s="31"/>
      <c r="SWT42" s="30"/>
      <c r="SWU42" s="31"/>
      <c r="SWV42" s="30"/>
      <c r="SWW42" s="31"/>
      <c r="SWX42" s="30"/>
      <c r="SWY42" s="31"/>
      <c r="SWZ42" s="30"/>
      <c r="SXA42" s="31"/>
      <c r="SXB42" s="30"/>
      <c r="SXC42" s="31"/>
      <c r="SXD42" s="30"/>
      <c r="SXE42" s="31"/>
      <c r="SXF42" s="30"/>
      <c r="SXG42" s="31"/>
      <c r="SXH42" s="30"/>
      <c r="SXI42" s="31"/>
      <c r="SXJ42" s="30"/>
      <c r="SXK42" s="31"/>
      <c r="SXL42" s="30"/>
      <c r="SXM42" s="31"/>
      <c r="SXN42" s="30"/>
      <c r="SXO42" s="31"/>
      <c r="SXP42" s="30"/>
      <c r="SXQ42" s="31"/>
      <c r="SXR42" s="30"/>
      <c r="SXS42" s="31"/>
      <c r="SXT42" s="30"/>
      <c r="SXU42" s="31"/>
      <c r="SXV42" s="30"/>
      <c r="SXW42" s="31"/>
      <c r="SXX42" s="30"/>
      <c r="SXY42" s="31"/>
      <c r="SXZ42" s="30"/>
      <c r="SYA42" s="31"/>
      <c r="SYB42" s="30"/>
      <c r="SYC42" s="31"/>
      <c r="SYD42" s="30"/>
      <c r="SYE42" s="31"/>
      <c r="SYF42" s="30"/>
      <c r="SYG42" s="31"/>
      <c r="SYH42" s="30"/>
      <c r="SYI42" s="31"/>
      <c r="SYJ42" s="30"/>
      <c r="SYK42" s="31"/>
      <c r="SYL42" s="30"/>
      <c r="SYM42" s="31"/>
      <c r="SYN42" s="30"/>
      <c r="SYO42" s="31"/>
      <c r="SYP42" s="30"/>
      <c r="SYQ42" s="31"/>
      <c r="SYR42" s="30"/>
      <c r="SYS42" s="31"/>
      <c r="SYT42" s="30"/>
      <c r="SYU42" s="31"/>
      <c r="SYV42" s="30"/>
      <c r="SYW42" s="31"/>
      <c r="SYX42" s="30"/>
      <c r="SYY42" s="31"/>
      <c r="SYZ42" s="30"/>
      <c r="SZA42" s="31"/>
      <c r="SZB42" s="30"/>
      <c r="SZC42" s="31"/>
      <c r="SZD42" s="30"/>
      <c r="SZE42" s="31"/>
      <c r="SZF42" s="30"/>
      <c r="SZG42" s="31"/>
      <c r="SZH42" s="30"/>
      <c r="SZI42" s="31"/>
      <c r="SZJ42" s="30"/>
      <c r="SZK42" s="31"/>
      <c r="SZL42" s="30"/>
      <c r="SZM42" s="31"/>
      <c r="SZN42" s="30"/>
      <c r="SZO42" s="31"/>
      <c r="SZP42" s="30"/>
      <c r="SZQ42" s="31"/>
      <c r="SZR42" s="30"/>
      <c r="SZS42" s="31"/>
      <c r="SZT42" s="30"/>
      <c r="SZU42" s="31"/>
      <c r="SZV42" s="30"/>
      <c r="SZW42" s="31"/>
      <c r="SZX42" s="30"/>
      <c r="SZY42" s="31"/>
      <c r="SZZ42" s="30"/>
      <c r="TAA42" s="31"/>
      <c r="TAB42" s="30"/>
      <c r="TAC42" s="31"/>
      <c r="TAD42" s="30"/>
      <c r="TAE42" s="31"/>
      <c r="TAF42" s="30"/>
      <c r="TAG42" s="31"/>
      <c r="TAH42" s="30"/>
      <c r="TAI42" s="31"/>
      <c r="TAJ42" s="30"/>
      <c r="TAK42" s="31"/>
      <c r="TAL42" s="30"/>
      <c r="TAM42" s="31"/>
      <c r="TAN42" s="30"/>
      <c r="TAO42" s="31"/>
      <c r="TAP42" s="30"/>
      <c r="TAQ42" s="31"/>
      <c r="TAR42" s="30"/>
      <c r="TAS42" s="31"/>
      <c r="TAT42" s="30"/>
      <c r="TAU42" s="31"/>
      <c r="TAV42" s="30"/>
      <c r="TAW42" s="31"/>
      <c r="TAX42" s="30"/>
      <c r="TAY42" s="31"/>
      <c r="TAZ42" s="30"/>
      <c r="TBA42" s="31"/>
      <c r="TBB42" s="30"/>
      <c r="TBC42" s="31"/>
      <c r="TBD42" s="30"/>
      <c r="TBE42" s="31"/>
      <c r="TBF42" s="30"/>
      <c r="TBG42" s="31"/>
      <c r="TBH42" s="30"/>
      <c r="TBI42" s="31"/>
      <c r="TBJ42" s="30"/>
      <c r="TBK42" s="31"/>
      <c r="TBL42" s="30"/>
      <c r="TBM42" s="31"/>
      <c r="TBN42" s="30"/>
      <c r="TBO42" s="31"/>
      <c r="TBP42" s="30"/>
      <c r="TBQ42" s="31"/>
      <c r="TBR42" s="30"/>
      <c r="TBS42" s="31"/>
      <c r="TBT42" s="30"/>
      <c r="TBU42" s="31"/>
      <c r="TBV42" s="30"/>
      <c r="TBW42" s="31"/>
      <c r="TBX42" s="30"/>
      <c r="TBY42" s="31"/>
      <c r="TBZ42" s="30"/>
      <c r="TCA42" s="31"/>
      <c r="TCB42" s="30"/>
      <c r="TCC42" s="31"/>
      <c r="TCD42" s="30"/>
      <c r="TCE42" s="31"/>
      <c r="TCF42" s="30"/>
      <c r="TCG42" s="31"/>
      <c r="TCH42" s="30"/>
      <c r="TCI42" s="31"/>
      <c r="TCJ42" s="30"/>
      <c r="TCK42" s="31"/>
      <c r="TCL42" s="30"/>
      <c r="TCM42" s="31"/>
      <c r="TCN42" s="30"/>
      <c r="TCO42" s="31"/>
      <c r="TCP42" s="30"/>
      <c r="TCQ42" s="31"/>
      <c r="TCR42" s="30"/>
      <c r="TCS42" s="31"/>
      <c r="TCT42" s="30"/>
      <c r="TCU42" s="31"/>
      <c r="TCV42" s="30"/>
      <c r="TCW42" s="31"/>
      <c r="TCX42" s="30"/>
      <c r="TCY42" s="31"/>
      <c r="TCZ42" s="30"/>
      <c r="TDA42" s="31"/>
      <c r="TDB42" s="30"/>
      <c r="TDC42" s="31"/>
      <c r="TDD42" s="30"/>
      <c r="TDE42" s="31"/>
      <c r="TDF42" s="30"/>
      <c r="TDG42" s="31"/>
      <c r="TDH42" s="30"/>
      <c r="TDI42" s="31"/>
      <c r="TDJ42" s="30"/>
      <c r="TDK42" s="31"/>
      <c r="TDL42" s="30"/>
      <c r="TDM42" s="31"/>
      <c r="TDN42" s="30"/>
      <c r="TDO42" s="31"/>
      <c r="TDP42" s="30"/>
      <c r="TDQ42" s="31"/>
      <c r="TDR42" s="30"/>
      <c r="TDS42" s="31"/>
      <c r="TDT42" s="30"/>
      <c r="TDU42" s="31"/>
      <c r="TDV42" s="30"/>
      <c r="TDW42" s="31"/>
      <c r="TDX42" s="30"/>
      <c r="TDY42" s="31"/>
      <c r="TDZ42" s="30"/>
      <c r="TEA42" s="31"/>
      <c r="TEB42" s="30"/>
      <c r="TEC42" s="31"/>
      <c r="TED42" s="30"/>
      <c r="TEE42" s="31"/>
      <c r="TEF42" s="30"/>
      <c r="TEG42" s="31"/>
      <c r="TEH42" s="30"/>
      <c r="TEI42" s="31"/>
      <c r="TEJ42" s="30"/>
      <c r="TEK42" s="31"/>
      <c r="TEL42" s="30"/>
      <c r="TEM42" s="31"/>
      <c r="TEN42" s="30"/>
      <c r="TEO42" s="31"/>
      <c r="TEP42" s="30"/>
      <c r="TEQ42" s="31"/>
      <c r="TER42" s="30"/>
      <c r="TES42" s="31"/>
      <c r="TET42" s="30"/>
      <c r="TEU42" s="31"/>
      <c r="TEV42" s="30"/>
      <c r="TEW42" s="31"/>
      <c r="TEX42" s="30"/>
      <c r="TEY42" s="31"/>
      <c r="TEZ42" s="30"/>
      <c r="TFA42" s="31"/>
      <c r="TFB42" s="30"/>
      <c r="TFC42" s="31"/>
      <c r="TFD42" s="30"/>
      <c r="TFE42" s="31"/>
      <c r="TFF42" s="30"/>
      <c r="TFG42" s="31"/>
      <c r="TFH42" s="30"/>
      <c r="TFI42" s="31"/>
      <c r="TFJ42" s="30"/>
      <c r="TFK42" s="31"/>
      <c r="TFL42" s="30"/>
      <c r="TFM42" s="31"/>
      <c r="TFN42" s="30"/>
      <c r="TFO42" s="31"/>
      <c r="TFP42" s="30"/>
      <c r="TFQ42" s="31"/>
      <c r="TFR42" s="30"/>
      <c r="TFS42" s="31"/>
      <c r="TFT42" s="30"/>
      <c r="TFU42" s="31"/>
      <c r="TFV42" s="30"/>
      <c r="TFW42" s="31"/>
      <c r="TFX42" s="30"/>
      <c r="TFY42" s="31"/>
      <c r="TFZ42" s="30"/>
      <c r="TGA42" s="31"/>
      <c r="TGB42" s="30"/>
      <c r="TGC42" s="31"/>
      <c r="TGD42" s="30"/>
      <c r="TGE42" s="31"/>
      <c r="TGF42" s="30"/>
      <c r="TGG42" s="31"/>
      <c r="TGH42" s="30"/>
      <c r="TGI42" s="31"/>
      <c r="TGJ42" s="30"/>
      <c r="TGK42" s="31"/>
      <c r="TGL42" s="30"/>
      <c r="TGM42" s="31"/>
      <c r="TGN42" s="30"/>
      <c r="TGO42" s="31"/>
      <c r="TGP42" s="30"/>
      <c r="TGQ42" s="31"/>
      <c r="TGR42" s="30"/>
      <c r="TGS42" s="31"/>
      <c r="TGT42" s="30"/>
      <c r="TGU42" s="31"/>
      <c r="TGV42" s="30"/>
      <c r="TGW42" s="31"/>
      <c r="TGX42" s="30"/>
      <c r="TGY42" s="31"/>
      <c r="TGZ42" s="30"/>
      <c r="THA42" s="31"/>
      <c r="THB42" s="30"/>
      <c r="THC42" s="31"/>
      <c r="THD42" s="30"/>
      <c r="THE42" s="31"/>
      <c r="THF42" s="30"/>
      <c r="THG42" s="31"/>
      <c r="THH42" s="30"/>
      <c r="THI42" s="31"/>
      <c r="THJ42" s="30"/>
      <c r="THK42" s="31"/>
      <c r="THL42" s="30"/>
      <c r="THM42" s="31"/>
      <c r="THN42" s="30"/>
      <c r="THO42" s="31"/>
      <c r="THP42" s="30"/>
      <c r="THQ42" s="31"/>
      <c r="THR42" s="30"/>
      <c r="THS42" s="31"/>
      <c r="THT42" s="30"/>
      <c r="THU42" s="31"/>
      <c r="THV42" s="30"/>
      <c r="THW42" s="31"/>
      <c r="THX42" s="30"/>
      <c r="THY42" s="31"/>
      <c r="THZ42" s="30"/>
      <c r="TIA42" s="31"/>
      <c r="TIB42" s="30"/>
      <c r="TIC42" s="31"/>
      <c r="TID42" s="30"/>
      <c r="TIE42" s="31"/>
      <c r="TIF42" s="30"/>
      <c r="TIG42" s="31"/>
      <c r="TIH42" s="30"/>
      <c r="TII42" s="31"/>
      <c r="TIJ42" s="30"/>
      <c r="TIK42" s="31"/>
      <c r="TIL42" s="30"/>
      <c r="TIM42" s="31"/>
      <c r="TIN42" s="30"/>
      <c r="TIO42" s="31"/>
      <c r="TIP42" s="30"/>
      <c r="TIQ42" s="31"/>
      <c r="TIR42" s="30"/>
      <c r="TIS42" s="31"/>
      <c r="TIT42" s="30"/>
      <c r="TIU42" s="31"/>
      <c r="TIV42" s="30"/>
      <c r="TIW42" s="31"/>
      <c r="TIX42" s="30"/>
      <c r="TIY42" s="31"/>
      <c r="TIZ42" s="30"/>
      <c r="TJA42" s="31"/>
      <c r="TJB42" s="30"/>
      <c r="TJC42" s="31"/>
      <c r="TJD42" s="30"/>
      <c r="TJE42" s="31"/>
      <c r="TJF42" s="30"/>
      <c r="TJG42" s="31"/>
      <c r="TJH42" s="30"/>
      <c r="TJI42" s="31"/>
      <c r="TJJ42" s="30"/>
      <c r="TJK42" s="31"/>
      <c r="TJL42" s="30"/>
      <c r="TJM42" s="31"/>
      <c r="TJN42" s="30"/>
      <c r="TJO42" s="31"/>
      <c r="TJP42" s="30"/>
      <c r="TJQ42" s="31"/>
      <c r="TJR42" s="30"/>
      <c r="TJS42" s="31"/>
      <c r="TJT42" s="30"/>
      <c r="TJU42" s="31"/>
      <c r="TJV42" s="30"/>
      <c r="TJW42" s="31"/>
      <c r="TJX42" s="30"/>
      <c r="TJY42" s="31"/>
      <c r="TJZ42" s="30"/>
      <c r="TKA42" s="31"/>
      <c r="TKB42" s="30"/>
      <c r="TKC42" s="31"/>
      <c r="TKD42" s="30"/>
      <c r="TKE42" s="31"/>
      <c r="TKF42" s="30"/>
      <c r="TKG42" s="31"/>
      <c r="TKH42" s="30"/>
      <c r="TKI42" s="31"/>
      <c r="TKJ42" s="30"/>
      <c r="TKK42" s="31"/>
      <c r="TKL42" s="30"/>
      <c r="TKM42" s="31"/>
      <c r="TKN42" s="30"/>
      <c r="TKO42" s="31"/>
      <c r="TKP42" s="30"/>
      <c r="TKQ42" s="31"/>
      <c r="TKR42" s="30"/>
      <c r="TKS42" s="31"/>
      <c r="TKT42" s="30"/>
      <c r="TKU42" s="31"/>
      <c r="TKV42" s="30"/>
      <c r="TKW42" s="31"/>
      <c r="TKX42" s="30"/>
      <c r="TKY42" s="31"/>
      <c r="TKZ42" s="30"/>
      <c r="TLA42" s="31"/>
      <c r="TLB42" s="30"/>
      <c r="TLC42" s="31"/>
      <c r="TLD42" s="30"/>
      <c r="TLE42" s="31"/>
      <c r="TLF42" s="30"/>
      <c r="TLG42" s="31"/>
      <c r="TLH42" s="30"/>
      <c r="TLI42" s="31"/>
      <c r="TLJ42" s="30"/>
      <c r="TLK42" s="31"/>
      <c r="TLL42" s="30"/>
      <c r="TLM42" s="31"/>
      <c r="TLN42" s="30"/>
      <c r="TLO42" s="31"/>
      <c r="TLP42" s="30"/>
      <c r="TLQ42" s="31"/>
      <c r="TLR42" s="30"/>
      <c r="TLS42" s="31"/>
      <c r="TLT42" s="30"/>
      <c r="TLU42" s="31"/>
      <c r="TLV42" s="30"/>
      <c r="TLW42" s="31"/>
      <c r="TLX42" s="30"/>
      <c r="TLY42" s="31"/>
      <c r="TLZ42" s="30"/>
      <c r="TMA42" s="31"/>
      <c r="TMB42" s="30"/>
      <c r="TMC42" s="31"/>
      <c r="TMD42" s="30"/>
      <c r="TME42" s="31"/>
      <c r="TMF42" s="30"/>
      <c r="TMG42" s="31"/>
      <c r="TMH42" s="30"/>
      <c r="TMI42" s="31"/>
      <c r="TMJ42" s="30"/>
      <c r="TMK42" s="31"/>
      <c r="TML42" s="30"/>
      <c r="TMM42" s="31"/>
      <c r="TMN42" s="30"/>
      <c r="TMO42" s="31"/>
      <c r="TMP42" s="30"/>
      <c r="TMQ42" s="31"/>
      <c r="TMR42" s="30"/>
      <c r="TMS42" s="31"/>
      <c r="TMT42" s="30"/>
      <c r="TMU42" s="31"/>
      <c r="TMV42" s="30"/>
      <c r="TMW42" s="31"/>
      <c r="TMX42" s="30"/>
      <c r="TMY42" s="31"/>
      <c r="TMZ42" s="30"/>
      <c r="TNA42" s="31"/>
      <c r="TNB42" s="30"/>
      <c r="TNC42" s="31"/>
      <c r="TND42" s="30"/>
      <c r="TNE42" s="31"/>
      <c r="TNF42" s="30"/>
      <c r="TNG42" s="31"/>
      <c r="TNH42" s="30"/>
      <c r="TNI42" s="31"/>
      <c r="TNJ42" s="30"/>
      <c r="TNK42" s="31"/>
      <c r="TNL42" s="30"/>
      <c r="TNM42" s="31"/>
      <c r="TNN42" s="30"/>
      <c r="TNO42" s="31"/>
      <c r="TNP42" s="30"/>
      <c r="TNQ42" s="31"/>
      <c r="TNR42" s="30"/>
      <c r="TNS42" s="31"/>
      <c r="TNT42" s="30"/>
      <c r="TNU42" s="31"/>
      <c r="TNV42" s="30"/>
      <c r="TNW42" s="31"/>
      <c r="TNX42" s="30"/>
      <c r="TNY42" s="31"/>
      <c r="TNZ42" s="30"/>
      <c r="TOA42" s="31"/>
      <c r="TOB42" s="30"/>
      <c r="TOC42" s="31"/>
      <c r="TOD42" s="30"/>
      <c r="TOE42" s="31"/>
      <c r="TOF42" s="30"/>
      <c r="TOG42" s="31"/>
      <c r="TOH42" s="30"/>
      <c r="TOI42" s="31"/>
      <c r="TOJ42" s="30"/>
      <c r="TOK42" s="31"/>
      <c r="TOL42" s="30"/>
      <c r="TOM42" s="31"/>
      <c r="TON42" s="30"/>
      <c r="TOO42" s="31"/>
      <c r="TOP42" s="30"/>
      <c r="TOQ42" s="31"/>
      <c r="TOR42" s="30"/>
      <c r="TOS42" s="31"/>
      <c r="TOT42" s="30"/>
      <c r="TOU42" s="31"/>
      <c r="TOV42" s="30"/>
      <c r="TOW42" s="31"/>
      <c r="TOX42" s="30"/>
      <c r="TOY42" s="31"/>
      <c r="TOZ42" s="30"/>
      <c r="TPA42" s="31"/>
      <c r="TPB42" s="30"/>
      <c r="TPC42" s="31"/>
      <c r="TPD42" s="30"/>
      <c r="TPE42" s="31"/>
      <c r="TPF42" s="30"/>
      <c r="TPG42" s="31"/>
      <c r="TPH42" s="30"/>
      <c r="TPI42" s="31"/>
      <c r="TPJ42" s="30"/>
      <c r="TPK42" s="31"/>
      <c r="TPL42" s="30"/>
      <c r="TPM42" s="31"/>
      <c r="TPN42" s="30"/>
      <c r="TPO42" s="31"/>
      <c r="TPP42" s="30"/>
      <c r="TPQ42" s="31"/>
      <c r="TPR42" s="30"/>
      <c r="TPS42" s="31"/>
      <c r="TPT42" s="30"/>
      <c r="TPU42" s="31"/>
      <c r="TPV42" s="30"/>
      <c r="TPW42" s="31"/>
      <c r="TPX42" s="30"/>
      <c r="TPY42" s="31"/>
      <c r="TPZ42" s="30"/>
      <c r="TQA42" s="31"/>
      <c r="TQB42" s="30"/>
      <c r="TQC42" s="31"/>
      <c r="TQD42" s="30"/>
      <c r="TQE42" s="31"/>
      <c r="TQF42" s="30"/>
      <c r="TQG42" s="31"/>
      <c r="TQH42" s="30"/>
      <c r="TQI42" s="31"/>
      <c r="TQJ42" s="30"/>
      <c r="TQK42" s="31"/>
      <c r="TQL42" s="30"/>
      <c r="TQM42" s="31"/>
      <c r="TQN42" s="30"/>
      <c r="TQO42" s="31"/>
      <c r="TQP42" s="30"/>
      <c r="TQQ42" s="31"/>
      <c r="TQR42" s="30"/>
      <c r="TQS42" s="31"/>
      <c r="TQT42" s="30"/>
      <c r="TQU42" s="31"/>
      <c r="TQV42" s="30"/>
      <c r="TQW42" s="31"/>
      <c r="TQX42" s="30"/>
      <c r="TQY42" s="31"/>
      <c r="TQZ42" s="30"/>
      <c r="TRA42" s="31"/>
      <c r="TRB42" s="30"/>
      <c r="TRC42" s="31"/>
      <c r="TRD42" s="30"/>
      <c r="TRE42" s="31"/>
      <c r="TRF42" s="30"/>
      <c r="TRG42" s="31"/>
      <c r="TRH42" s="30"/>
      <c r="TRI42" s="31"/>
      <c r="TRJ42" s="30"/>
      <c r="TRK42" s="31"/>
      <c r="TRL42" s="30"/>
      <c r="TRM42" s="31"/>
      <c r="TRN42" s="30"/>
      <c r="TRO42" s="31"/>
      <c r="TRP42" s="30"/>
      <c r="TRQ42" s="31"/>
      <c r="TRR42" s="30"/>
      <c r="TRS42" s="31"/>
      <c r="TRT42" s="30"/>
      <c r="TRU42" s="31"/>
      <c r="TRV42" s="30"/>
      <c r="TRW42" s="31"/>
      <c r="TRX42" s="30"/>
      <c r="TRY42" s="31"/>
      <c r="TRZ42" s="30"/>
      <c r="TSA42" s="31"/>
      <c r="TSB42" s="30"/>
      <c r="TSC42" s="31"/>
      <c r="TSD42" s="30"/>
      <c r="TSE42" s="31"/>
      <c r="TSF42" s="30"/>
      <c r="TSG42" s="31"/>
      <c r="TSH42" s="30"/>
      <c r="TSI42" s="31"/>
      <c r="TSJ42" s="30"/>
      <c r="TSK42" s="31"/>
      <c r="TSL42" s="30"/>
      <c r="TSM42" s="31"/>
      <c r="TSN42" s="30"/>
      <c r="TSO42" s="31"/>
      <c r="TSP42" s="30"/>
      <c r="TSQ42" s="31"/>
      <c r="TSR42" s="30"/>
      <c r="TSS42" s="31"/>
      <c r="TST42" s="30"/>
      <c r="TSU42" s="31"/>
      <c r="TSV42" s="30"/>
      <c r="TSW42" s="31"/>
      <c r="TSX42" s="30"/>
      <c r="TSY42" s="31"/>
      <c r="TSZ42" s="30"/>
      <c r="TTA42" s="31"/>
      <c r="TTB42" s="30"/>
      <c r="TTC42" s="31"/>
      <c r="TTD42" s="30"/>
      <c r="TTE42" s="31"/>
      <c r="TTF42" s="30"/>
      <c r="TTG42" s="31"/>
      <c r="TTH42" s="30"/>
      <c r="TTI42" s="31"/>
      <c r="TTJ42" s="30"/>
      <c r="TTK42" s="31"/>
      <c r="TTL42" s="30"/>
      <c r="TTM42" s="31"/>
      <c r="TTN42" s="30"/>
      <c r="TTO42" s="31"/>
      <c r="TTP42" s="30"/>
      <c r="TTQ42" s="31"/>
      <c r="TTR42" s="30"/>
      <c r="TTS42" s="31"/>
      <c r="TTT42" s="30"/>
      <c r="TTU42" s="31"/>
      <c r="TTV42" s="30"/>
      <c r="TTW42" s="31"/>
      <c r="TTX42" s="30"/>
      <c r="TTY42" s="31"/>
      <c r="TTZ42" s="30"/>
      <c r="TUA42" s="31"/>
      <c r="TUB42" s="30"/>
      <c r="TUC42" s="31"/>
      <c r="TUD42" s="30"/>
      <c r="TUE42" s="31"/>
      <c r="TUF42" s="30"/>
      <c r="TUG42" s="31"/>
      <c r="TUH42" s="30"/>
      <c r="TUI42" s="31"/>
      <c r="TUJ42" s="30"/>
      <c r="TUK42" s="31"/>
      <c r="TUL42" s="30"/>
      <c r="TUM42" s="31"/>
      <c r="TUN42" s="30"/>
      <c r="TUO42" s="31"/>
      <c r="TUP42" s="30"/>
      <c r="TUQ42" s="31"/>
      <c r="TUR42" s="30"/>
      <c r="TUS42" s="31"/>
      <c r="TUT42" s="30"/>
      <c r="TUU42" s="31"/>
      <c r="TUV42" s="30"/>
      <c r="TUW42" s="31"/>
      <c r="TUX42" s="30"/>
      <c r="TUY42" s="31"/>
      <c r="TUZ42" s="30"/>
      <c r="TVA42" s="31"/>
      <c r="TVB42" s="30"/>
      <c r="TVC42" s="31"/>
      <c r="TVD42" s="30"/>
      <c r="TVE42" s="31"/>
      <c r="TVF42" s="30"/>
      <c r="TVG42" s="31"/>
      <c r="TVH42" s="30"/>
      <c r="TVI42" s="31"/>
      <c r="TVJ42" s="30"/>
      <c r="TVK42" s="31"/>
      <c r="TVL42" s="30"/>
      <c r="TVM42" s="31"/>
      <c r="TVN42" s="30"/>
      <c r="TVO42" s="31"/>
      <c r="TVP42" s="30"/>
      <c r="TVQ42" s="31"/>
      <c r="TVR42" s="30"/>
      <c r="TVS42" s="31"/>
      <c r="TVT42" s="30"/>
      <c r="TVU42" s="31"/>
      <c r="TVV42" s="30"/>
      <c r="TVW42" s="31"/>
      <c r="TVX42" s="30"/>
      <c r="TVY42" s="31"/>
      <c r="TVZ42" s="30"/>
      <c r="TWA42" s="31"/>
      <c r="TWB42" s="30"/>
      <c r="TWC42" s="31"/>
      <c r="TWD42" s="30"/>
      <c r="TWE42" s="31"/>
      <c r="TWF42" s="30"/>
      <c r="TWG42" s="31"/>
      <c r="TWH42" s="30"/>
      <c r="TWI42" s="31"/>
      <c r="TWJ42" s="30"/>
      <c r="TWK42" s="31"/>
      <c r="TWL42" s="30"/>
      <c r="TWM42" s="31"/>
      <c r="TWN42" s="30"/>
      <c r="TWO42" s="31"/>
      <c r="TWP42" s="30"/>
      <c r="TWQ42" s="31"/>
      <c r="TWR42" s="30"/>
      <c r="TWS42" s="31"/>
      <c r="TWT42" s="30"/>
      <c r="TWU42" s="31"/>
      <c r="TWV42" s="30"/>
      <c r="TWW42" s="31"/>
      <c r="TWX42" s="30"/>
      <c r="TWY42" s="31"/>
      <c r="TWZ42" s="30"/>
      <c r="TXA42" s="31"/>
      <c r="TXB42" s="30"/>
      <c r="TXC42" s="31"/>
      <c r="TXD42" s="30"/>
      <c r="TXE42" s="31"/>
      <c r="TXF42" s="30"/>
      <c r="TXG42" s="31"/>
      <c r="TXH42" s="30"/>
      <c r="TXI42" s="31"/>
      <c r="TXJ42" s="30"/>
      <c r="TXK42" s="31"/>
      <c r="TXL42" s="30"/>
      <c r="TXM42" s="31"/>
      <c r="TXN42" s="30"/>
      <c r="TXO42" s="31"/>
      <c r="TXP42" s="30"/>
      <c r="TXQ42" s="31"/>
      <c r="TXR42" s="30"/>
      <c r="TXS42" s="31"/>
      <c r="TXT42" s="30"/>
      <c r="TXU42" s="31"/>
      <c r="TXV42" s="30"/>
      <c r="TXW42" s="31"/>
      <c r="TXX42" s="30"/>
      <c r="TXY42" s="31"/>
      <c r="TXZ42" s="30"/>
      <c r="TYA42" s="31"/>
      <c r="TYB42" s="30"/>
      <c r="TYC42" s="31"/>
      <c r="TYD42" s="30"/>
      <c r="TYE42" s="31"/>
      <c r="TYF42" s="30"/>
      <c r="TYG42" s="31"/>
      <c r="TYH42" s="30"/>
      <c r="TYI42" s="31"/>
      <c r="TYJ42" s="30"/>
      <c r="TYK42" s="31"/>
      <c r="TYL42" s="30"/>
      <c r="TYM42" s="31"/>
      <c r="TYN42" s="30"/>
      <c r="TYO42" s="31"/>
      <c r="TYP42" s="30"/>
      <c r="TYQ42" s="31"/>
      <c r="TYR42" s="30"/>
      <c r="TYS42" s="31"/>
      <c r="TYT42" s="30"/>
      <c r="TYU42" s="31"/>
      <c r="TYV42" s="30"/>
      <c r="TYW42" s="31"/>
      <c r="TYX42" s="30"/>
      <c r="TYY42" s="31"/>
      <c r="TYZ42" s="30"/>
      <c r="TZA42" s="31"/>
      <c r="TZB42" s="30"/>
      <c r="TZC42" s="31"/>
      <c r="TZD42" s="30"/>
      <c r="TZE42" s="31"/>
      <c r="TZF42" s="30"/>
      <c r="TZG42" s="31"/>
      <c r="TZH42" s="30"/>
      <c r="TZI42" s="31"/>
      <c r="TZJ42" s="30"/>
      <c r="TZK42" s="31"/>
      <c r="TZL42" s="30"/>
      <c r="TZM42" s="31"/>
      <c r="TZN42" s="30"/>
      <c r="TZO42" s="31"/>
      <c r="TZP42" s="30"/>
      <c r="TZQ42" s="31"/>
      <c r="TZR42" s="30"/>
      <c r="TZS42" s="31"/>
      <c r="TZT42" s="30"/>
      <c r="TZU42" s="31"/>
      <c r="TZV42" s="30"/>
      <c r="TZW42" s="31"/>
      <c r="TZX42" s="30"/>
      <c r="TZY42" s="31"/>
      <c r="TZZ42" s="30"/>
      <c r="UAA42" s="31"/>
      <c r="UAB42" s="30"/>
      <c r="UAC42" s="31"/>
      <c r="UAD42" s="30"/>
      <c r="UAE42" s="31"/>
      <c r="UAF42" s="30"/>
      <c r="UAG42" s="31"/>
      <c r="UAH42" s="30"/>
      <c r="UAI42" s="31"/>
      <c r="UAJ42" s="30"/>
      <c r="UAK42" s="31"/>
      <c r="UAL42" s="30"/>
      <c r="UAM42" s="31"/>
      <c r="UAN42" s="30"/>
      <c r="UAO42" s="31"/>
      <c r="UAP42" s="30"/>
      <c r="UAQ42" s="31"/>
      <c r="UAR42" s="30"/>
      <c r="UAS42" s="31"/>
      <c r="UAT42" s="30"/>
      <c r="UAU42" s="31"/>
      <c r="UAV42" s="30"/>
      <c r="UAW42" s="31"/>
      <c r="UAX42" s="30"/>
      <c r="UAY42" s="31"/>
      <c r="UAZ42" s="30"/>
      <c r="UBA42" s="31"/>
      <c r="UBB42" s="30"/>
      <c r="UBC42" s="31"/>
      <c r="UBD42" s="30"/>
      <c r="UBE42" s="31"/>
      <c r="UBF42" s="30"/>
      <c r="UBG42" s="31"/>
      <c r="UBH42" s="30"/>
      <c r="UBI42" s="31"/>
      <c r="UBJ42" s="30"/>
      <c r="UBK42" s="31"/>
      <c r="UBL42" s="30"/>
      <c r="UBM42" s="31"/>
      <c r="UBN42" s="30"/>
      <c r="UBO42" s="31"/>
      <c r="UBP42" s="30"/>
      <c r="UBQ42" s="31"/>
      <c r="UBR42" s="30"/>
      <c r="UBS42" s="31"/>
      <c r="UBT42" s="30"/>
      <c r="UBU42" s="31"/>
      <c r="UBV42" s="30"/>
      <c r="UBW42" s="31"/>
      <c r="UBX42" s="30"/>
      <c r="UBY42" s="31"/>
      <c r="UBZ42" s="30"/>
      <c r="UCA42" s="31"/>
      <c r="UCB42" s="30"/>
      <c r="UCC42" s="31"/>
      <c r="UCD42" s="30"/>
      <c r="UCE42" s="31"/>
      <c r="UCF42" s="30"/>
      <c r="UCG42" s="31"/>
      <c r="UCH42" s="30"/>
      <c r="UCI42" s="31"/>
      <c r="UCJ42" s="30"/>
      <c r="UCK42" s="31"/>
      <c r="UCL42" s="30"/>
      <c r="UCM42" s="31"/>
      <c r="UCN42" s="30"/>
      <c r="UCO42" s="31"/>
      <c r="UCP42" s="30"/>
      <c r="UCQ42" s="31"/>
      <c r="UCR42" s="30"/>
      <c r="UCS42" s="31"/>
      <c r="UCT42" s="30"/>
      <c r="UCU42" s="31"/>
      <c r="UCV42" s="30"/>
      <c r="UCW42" s="31"/>
      <c r="UCX42" s="30"/>
      <c r="UCY42" s="31"/>
      <c r="UCZ42" s="30"/>
      <c r="UDA42" s="31"/>
      <c r="UDB42" s="30"/>
      <c r="UDC42" s="31"/>
      <c r="UDD42" s="30"/>
      <c r="UDE42" s="31"/>
      <c r="UDF42" s="30"/>
      <c r="UDG42" s="31"/>
      <c r="UDH42" s="30"/>
      <c r="UDI42" s="31"/>
      <c r="UDJ42" s="30"/>
      <c r="UDK42" s="31"/>
      <c r="UDL42" s="30"/>
      <c r="UDM42" s="31"/>
      <c r="UDN42" s="30"/>
      <c r="UDO42" s="31"/>
      <c r="UDP42" s="30"/>
      <c r="UDQ42" s="31"/>
      <c r="UDR42" s="30"/>
      <c r="UDS42" s="31"/>
      <c r="UDT42" s="30"/>
      <c r="UDU42" s="31"/>
      <c r="UDV42" s="30"/>
      <c r="UDW42" s="31"/>
      <c r="UDX42" s="30"/>
      <c r="UDY42" s="31"/>
      <c r="UDZ42" s="30"/>
      <c r="UEA42" s="31"/>
      <c r="UEB42" s="30"/>
      <c r="UEC42" s="31"/>
      <c r="UED42" s="30"/>
      <c r="UEE42" s="31"/>
      <c r="UEF42" s="30"/>
      <c r="UEG42" s="31"/>
      <c r="UEH42" s="30"/>
      <c r="UEI42" s="31"/>
      <c r="UEJ42" s="30"/>
      <c r="UEK42" s="31"/>
      <c r="UEL42" s="30"/>
      <c r="UEM42" s="31"/>
      <c r="UEN42" s="30"/>
      <c r="UEO42" s="31"/>
      <c r="UEP42" s="30"/>
      <c r="UEQ42" s="31"/>
      <c r="UER42" s="30"/>
      <c r="UES42" s="31"/>
      <c r="UET42" s="30"/>
      <c r="UEU42" s="31"/>
      <c r="UEV42" s="30"/>
      <c r="UEW42" s="31"/>
      <c r="UEX42" s="30"/>
      <c r="UEY42" s="31"/>
      <c r="UEZ42" s="30"/>
      <c r="UFA42" s="31"/>
      <c r="UFB42" s="30"/>
      <c r="UFC42" s="31"/>
      <c r="UFD42" s="30"/>
      <c r="UFE42" s="31"/>
      <c r="UFF42" s="30"/>
      <c r="UFG42" s="31"/>
      <c r="UFH42" s="30"/>
      <c r="UFI42" s="31"/>
      <c r="UFJ42" s="30"/>
      <c r="UFK42" s="31"/>
      <c r="UFL42" s="30"/>
      <c r="UFM42" s="31"/>
      <c r="UFN42" s="30"/>
      <c r="UFO42" s="31"/>
      <c r="UFP42" s="30"/>
      <c r="UFQ42" s="31"/>
      <c r="UFR42" s="30"/>
      <c r="UFS42" s="31"/>
      <c r="UFT42" s="30"/>
      <c r="UFU42" s="31"/>
      <c r="UFV42" s="30"/>
      <c r="UFW42" s="31"/>
      <c r="UFX42" s="30"/>
      <c r="UFY42" s="31"/>
      <c r="UFZ42" s="30"/>
      <c r="UGA42" s="31"/>
      <c r="UGB42" s="30"/>
      <c r="UGC42" s="31"/>
      <c r="UGD42" s="30"/>
      <c r="UGE42" s="31"/>
      <c r="UGF42" s="30"/>
      <c r="UGG42" s="31"/>
      <c r="UGH42" s="30"/>
      <c r="UGI42" s="31"/>
      <c r="UGJ42" s="30"/>
      <c r="UGK42" s="31"/>
      <c r="UGL42" s="30"/>
      <c r="UGM42" s="31"/>
      <c r="UGN42" s="30"/>
      <c r="UGO42" s="31"/>
      <c r="UGP42" s="30"/>
      <c r="UGQ42" s="31"/>
      <c r="UGR42" s="30"/>
      <c r="UGS42" s="31"/>
      <c r="UGT42" s="30"/>
      <c r="UGU42" s="31"/>
      <c r="UGV42" s="30"/>
      <c r="UGW42" s="31"/>
      <c r="UGX42" s="30"/>
      <c r="UGY42" s="31"/>
      <c r="UGZ42" s="30"/>
      <c r="UHA42" s="31"/>
      <c r="UHB42" s="30"/>
      <c r="UHC42" s="31"/>
      <c r="UHD42" s="30"/>
      <c r="UHE42" s="31"/>
      <c r="UHF42" s="30"/>
      <c r="UHG42" s="31"/>
      <c r="UHH42" s="30"/>
      <c r="UHI42" s="31"/>
      <c r="UHJ42" s="30"/>
      <c r="UHK42" s="31"/>
      <c r="UHL42" s="30"/>
      <c r="UHM42" s="31"/>
      <c r="UHN42" s="30"/>
      <c r="UHO42" s="31"/>
      <c r="UHP42" s="30"/>
      <c r="UHQ42" s="31"/>
      <c r="UHR42" s="30"/>
      <c r="UHS42" s="31"/>
      <c r="UHT42" s="30"/>
      <c r="UHU42" s="31"/>
      <c r="UHV42" s="30"/>
      <c r="UHW42" s="31"/>
      <c r="UHX42" s="30"/>
      <c r="UHY42" s="31"/>
      <c r="UHZ42" s="30"/>
      <c r="UIA42" s="31"/>
      <c r="UIB42" s="30"/>
      <c r="UIC42" s="31"/>
      <c r="UID42" s="30"/>
      <c r="UIE42" s="31"/>
      <c r="UIF42" s="30"/>
      <c r="UIG42" s="31"/>
      <c r="UIH42" s="30"/>
      <c r="UII42" s="31"/>
      <c r="UIJ42" s="30"/>
      <c r="UIK42" s="31"/>
      <c r="UIL42" s="30"/>
      <c r="UIM42" s="31"/>
      <c r="UIN42" s="30"/>
      <c r="UIO42" s="31"/>
      <c r="UIP42" s="30"/>
      <c r="UIQ42" s="31"/>
      <c r="UIR42" s="30"/>
      <c r="UIS42" s="31"/>
      <c r="UIT42" s="30"/>
      <c r="UIU42" s="31"/>
      <c r="UIV42" s="30"/>
      <c r="UIW42" s="31"/>
      <c r="UIX42" s="30"/>
      <c r="UIY42" s="31"/>
      <c r="UIZ42" s="30"/>
      <c r="UJA42" s="31"/>
      <c r="UJB42" s="30"/>
      <c r="UJC42" s="31"/>
      <c r="UJD42" s="30"/>
      <c r="UJE42" s="31"/>
      <c r="UJF42" s="30"/>
      <c r="UJG42" s="31"/>
      <c r="UJH42" s="30"/>
      <c r="UJI42" s="31"/>
      <c r="UJJ42" s="30"/>
      <c r="UJK42" s="31"/>
      <c r="UJL42" s="30"/>
      <c r="UJM42" s="31"/>
      <c r="UJN42" s="30"/>
      <c r="UJO42" s="31"/>
      <c r="UJP42" s="30"/>
      <c r="UJQ42" s="31"/>
      <c r="UJR42" s="30"/>
      <c r="UJS42" s="31"/>
      <c r="UJT42" s="30"/>
      <c r="UJU42" s="31"/>
      <c r="UJV42" s="30"/>
      <c r="UJW42" s="31"/>
      <c r="UJX42" s="30"/>
      <c r="UJY42" s="31"/>
      <c r="UJZ42" s="30"/>
      <c r="UKA42" s="31"/>
      <c r="UKB42" s="30"/>
      <c r="UKC42" s="31"/>
      <c r="UKD42" s="30"/>
      <c r="UKE42" s="31"/>
      <c r="UKF42" s="30"/>
      <c r="UKG42" s="31"/>
      <c r="UKH42" s="30"/>
      <c r="UKI42" s="31"/>
      <c r="UKJ42" s="30"/>
      <c r="UKK42" s="31"/>
      <c r="UKL42" s="30"/>
      <c r="UKM42" s="31"/>
      <c r="UKN42" s="30"/>
      <c r="UKO42" s="31"/>
      <c r="UKP42" s="30"/>
      <c r="UKQ42" s="31"/>
      <c r="UKR42" s="30"/>
      <c r="UKS42" s="31"/>
      <c r="UKT42" s="30"/>
      <c r="UKU42" s="31"/>
      <c r="UKV42" s="30"/>
      <c r="UKW42" s="31"/>
      <c r="UKX42" s="30"/>
      <c r="UKY42" s="31"/>
      <c r="UKZ42" s="30"/>
      <c r="ULA42" s="31"/>
      <c r="ULB42" s="30"/>
      <c r="ULC42" s="31"/>
      <c r="ULD42" s="30"/>
      <c r="ULE42" s="31"/>
      <c r="ULF42" s="30"/>
      <c r="ULG42" s="31"/>
      <c r="ULH42" s="30"/>
      <c r="ULI42" s="31"/>
      <c r="ULJ42" s="30"/>
      <c r="ULK42" s="31"/>
      <c r="ULL42" s="30"/>
      <c r="ULM42" s="31"/>
      <c r="ULN42" s="30"/>
      <c r="ULO42" s="31"/>
      <c r="ULP42" s="30"/>
      <c r="ULQ42" s="31"/>
      <c r="ULR42" s="30"/>
      <c r="ULS42" s="31"/>
      <c r="ULT42" s="30"/>
      <c r="ULU42" s="31"/>
      <c r="ULV42" s="30"/>
      <c r="ULW42" s="31"/>
      <c r="ULX42" s="30"/>
      <c r="ULY42" s="31"/>
      <c r="ULZ42" s="30"/>
      <c r="UMA42" s="31"/>
      <c r="UMB42" s="30"/>
      <c r="UMC42" s="31"/>
      <c r="UMD42" s="30"/>
      <c r="UME42" s="31"/>
      <c r="UMF42" s="30"/>
      <c r="UMG42" s="31"/>
      <c r="UMH42" s="30"/>
      <c r="UMI42" s="31"/>
      <c r="UMJ42" s="30"/>
      <c r="UMK42" s="31"/>
      <c r="UML42" s="30"/>
      <c r="UMM42" s="31"/>
      <c r="UMN42" s="30"/>
      <c r="UMO42" s="31"/>
      <c r="UMP42" s="30"/>
      <c r="UMQ42" s="31"/>
      <c r="UMR42" s="30"/>
      <c r="UMS42" s="31"/>
      <c r="UMT42" s="30"/>
      <c r="UMU42" s="31"/>
      <c r="UMV42" s="30"/>
      <c r="UMW42" s="31"/>
      <c r="UMX42" s="30"/>
      <c r="UMY42" s="31"/>
      <c r="UMZ42" s="30"/>
      <c r="UNA42" s="31"/>
      <c r="UNB42" s="30"/>
      <c r="UNC42" s="31"/>
      <c r="UND42" s="30"/>
      <c r="UNE42" s="31"/>
      <c r="UNF42" s="30"/>
      <c r="UNG42" s="31"/>
      <c r="UNH42" s="30"/>
      <c r="UNI42" s="31"/>
      <c r="UNJ42" s="30"/>
      <c r="UNK42" s="31"/>
      <c r="UNL42" s="30"/>
      <c r="UNM42" s="31"/>
      <c r="UNN42" s="30"/>
      <c r="UNO42" s="31"/>
      <c r="UNP42" s="30"/>
      <c r="UNQ42" s="31"/>
      <c r="UNR42" s="30"/>
      <c r="UNS42" s="31"/>
      <c r="UNT42" s="30"/>
      <c r="UNU42" s="31"/>
      <c r="UNV42" s="30"/>
      <c r="UNW42" s="31"/>
      <c r="UNX42" s="30"/>
      <c r="UNY42" s="31"/>
      <c r="UNZ42" s="30"/>
      <c r="UOA42" s="31"/>
      <c r="UOB42" s="30"/>
      <c r="UOC42" s="31"/>
      <c r="UOD42" s="30"/>
      <c r="UOE42" s="31"/>
      <c r="UOF42" s="30"/>
      <c r="UOG42" s="31"/>
      <c r="UOH42" s="30"/>
      <c r="UOI42" s="31"/>
      <c r="UOJ42" s="30"/>
      <c r="UOK42" s="31"/>
      <c r="UOL42" s="30"/>
      <c r="UOM42" s="31"/>
      <c r="UON42" s="30"/>
      <c r="UOO42" s="31"/>
      <c r="UOP42" s="30"/>
      <c r="UOQ42" s="31"/>
      <c r="UOR42" s="30"/>
      <c r="UOS42" s="31"/>
      <c r="UOT42" s="30"/>
      <c r="UOU42" s="31"/>
      <c r="UOV42" s="30"/>
      <c r="UOW42" s="31"/>
      <c r="UOX42" s="30"/>
      <c r="UOY42" s="31"/>
      <c r="UOZ42" s="30"/>
      <c r="UPA42" s="31"/>
      <c r="UPB42" s="30"/>
      <c r="UPC42" s="31"/>
      <c r="UPD42" s="30"/>
      <c r="UPE42" s="31"/>
      <c r="UPF42" s="30"/>
      <c r="UPG42" s="31"/>
      <c r="UPH42" s="30"/>
      <c r="UPI42" s="31"/>
      <c r="UPJ42" s="30"/>
      <c r="UPK42" s="31"/>
      <c r="UPL42" s="30"/>
      <c r="UPM42" s="31"/>
      <c r="UPN42" s="30"/>
      <c r="UPO42" s="31"/>
      <c r="UPP42" s="30"/>
      <c r="UPQ42" s="31"/>
      <c r="UPR42" s="30"/>
      <c r="UPS42" s="31"/>
      <c r="UPT42" s="30"/>
      <c r="UPU42" s="31"/>
      <c r="UPV42" s="30"/>
      <c r="UPW42" s="31"/>
      <c r="UPX42" s="30"/>
      <c r="UPY42" s="31"/>
      <c r="UPZ42" s="30"/>
      <c r="UQA42" s="31"/>
      <c r="UQB42" s="30"/>
      <c r="UQC42" s="31"/>
      <c r="UQD42" s="30"/>
      <c r="UQE42" s="31"/>
      <c r="UQF42" s="30"/>
      <c r="UQG42" s="31"/>
      <c r="UQH42" s="30"/>
      <c r="UQI42" s="31"/>
      <c r="UQJ42" s="30"/>
      <c r="UQK42" s="31"/>
      <c r="UQL42" s="30"/>
      <c r="UQM42" s="31"/>
      <c r="UQN42" s="30"/>
      <c r="UQO42" s="31"/>
      <c r="UQP42" s="30"/>
      <c r="UQQ42" s="31"/>
      <c r="UQR42" s="30"/>
      <c r="UQS42" s="31"/>
      <c r="UQT42" s="30"/>
      <c r="UQU42" s="31"/>
      <c r="UQV42" s="30"/>
      <c r="UQW42" s="31"/>
      <c r="UQX42" s="30"/>
      <c r="UQY42" s="31"/>
      <c r="UQZ42" s="30"/>
      <c r="URA42" s="31"/>
      <c r="URB42" s="30"/>
      <c r="URC42" s="31"/>
      <c r="URD42" s="30"/>
      <c r="URE42" s="31"/>
      <c r="URF42" s="30"/>
      <c r="URG42" s="31"/>
      <c r="URH42" s="30"/>
      <c r="URI42" s="31"/>
      <c r="URJ42" s="30"/>
      <c r="URK42" s="31"/>
      <c r="URL42" s="30"/>
      <c r="URM42" s="31"/>
      <c r="URN42" s="30"/>
      <c r="URO42" s="31"/>
      <c r="URP42" s="30"/>
      <c r="URQ42" s="31"/>
      <c r="URR42" s="30"/>
      <c r="URS42" s="31"/>
      <c r="URT42" s="30"/>
      <c r="URU42" s="31"/>
      <c r="URV42" s="30"/>
      <c r="URW42" s="31"/>
      <c r="URX42" s="30"/>
      <c r="URY42" s="31"/>
      <c r="URZ42" s="30"/>
      <c r="USA42" s="31"/>
      <c r="USB42" s="30"/>
      <c r="USC42" s="31"/>
      <c r="USD42" s="30"/>
      <c r="USE42" s="31"/>
      <c r="USF42" s="30"/>
      <c r="USG42" s="31"/>
      <c r="USH42" s="30"/>
      <c r="USI42" s="31"/>
      <c r="USJ42" s="30"/>
      <c r="USK42" s="31"/>
      <c r="USL42" s="30"/>
      <c r="USM42" s="31"/>
      <c r="USN42" s="30"/>
      <c r="USO42" s="31"/>
      <c r="USP42" s="30"/>
      <c r="USQ42" s="31"/>
      <c r="USR42" s="30"/>
      <c r="USS42" s="31"/>
      <c r="UST42" s="30"/>
      <c r="USU42" s="31"/>
      <c r="USV42" s="30"/>
      <c r="USW42" s="31"/>
      <c r="USX42" s="30"/>
      <c r="USY42" s="31"/>
      <c r="USZ42" s="30"/>
      <c r="UTA42" s="31"/>
      <c r="UTB42" s="30"/>
      <c r="UTC42" s="31"/>
      <c r="UTD42" s="30"/>
      <c r="UTE42" s="31"/>
      <c r="UTF42" s="30"/>
      <c r="UTG42" s="31"/>
      <c r="UTH42" s="30"/>
      <c r="UTI42" s="31"/>
      <c r="UTJ42" s="30"/>
      <c r="UTK42" s="31"/>
      <c r="UTL42" s="30"/>
      <c r="UTM42" s="31"/>
      <c r="UTN42" s="30"/>
      <c r="UTO42" s="31"/>
      <c r="UTP42" s="30"/>
      <c r="UTQ42" s="31"/>
      <c r="UTR42" s="30"/>
      <c r="UTS42" s="31"/>
      <c r="UTT42" s="30"/>
      <c r="UTU42" s="31"/>
      <c r="UTV42" s="30"/>
      <c r="UTW42" s="31"/>
      <c r="UTX42" s="30"/>
      <c r="UTY42" s="31"/>
      <c r="UTZ42" s="30"/>
      <c r="UUA42" s="31"/>
      <c r="UUB42" s="30"/>
      <c r="UUC42" s="31"/>
      <c r="UUD42" s="30"/>
      <c r="UUE42" s="31"/>
      <c r="UUF42" s="30"/>
      <c r="UUG42" s="31"/>
      <c r="UUH42" s="30"/>
      <c r="UUI42" s="31"/>
      <c r="UUJ42" s="30"/>
      <c r="UUK42" s="31"/>
      <c r="UUL42" s="30"/>
      <c r="UUM42" s="31"/>
      <c r="UUN42" s="30"/>
      <c r="UUO42" s="31"/>
      <c r="UUP42" s="30"/>
      <c r="UUQ42" s="31"/>
      <c r="UUR42" s="30"/>
      <c r="UUS42" s="31"/>
      <c r="UUT42" s="30"/>
      <c r="UUU42" s="31"/>
      <c r="UUV42" s="30"/>
      <c r="UUW42" s="31"/>
      <c r="UUX42" s="30"/>
      <c r="UUY42" s="31"/>
      <c r="UUZ42" s="30"/>
      <c r="UVA42" s="31"/>
      <c r="UVB42" s="30"/>
      <c r="UVC42" s="31"/>
      <c r="UVD42" s="30"/>
      <c r="UVE42" s="31"/>
      <c r="UVF42" s="30"/>
      <c r="UVG42" s="31"/>
      <c r="UVH42" s="30"/>
      <c r="UVI42" s="31"/>
      <c r="UVJ42" s="30"/>
      <c r="UVK42" s="31"/>
      <c r="UVL42" s="30"/>
      <c r="UVM42" s="31"/>
      <c r="UVN42" s="30"/>
      <c r="UVO42" s="31"/>
      <c r="UVP42" s="30"/>
      <c r="UVQ42" s="31"/>
      <c r="UVR42" s="30"/>
      <c r="UVS42" s="31"/>
      <c r="UVT42" s="30"/>
      <c r="UVU42" s="31"/>
      <c r="UVV42" s="30"/>
      <c r="UVW42" s="31"/>
      <c r="UVX42" s="30"/>
      <c r="UVY42" s="31"/>
      <c r="UVZ42" s="30"/>
      <c r="UWA42" s="31"/>
      <c r="UWB42" s="30"/>
      <c r="UWC42" s="31"/>
      <c r="UWD42" s="30"/>
      <c r="UWE42" s="31"/>
      <c r="UWF42" s="30"/>
      <c r="UWG42" s="31"/>
      <c r="UWH42" s="30"/>
      <c r="UWI42" s="31"/>
      <c r="UWJ42" s="30"/>
      <c r="UWK42" s="31"/>
      <c r="UWL42" s="30"/>
      <c r="UWM42" s="31"/>
      <c r="UWN42" s="30"/>
      <c r="UWO42" s="31"/>
      <c r="UWP42" s="30"/>
      <c r="UWQ42" s="31"/>
      <c r="UWR42" s="30"/>
      <c r="UWS42" s="31"/>
      <c r="UWT42" s="30"/>
      <c r="UWU42" s="31"/>
      <c r="UWV42" s="30"/>
      <c r="UWW42" s="31"/>
      <c r="UWX42" s="30"/>
      <c r="UWY42" s="31"/>
      <c r="UWZ42" s="30"/>
      <c r="UXA42" s="31"/>
      <c r="UXB42" s="30"/>
      <c r="UXC42" s="31"/>
      <c r="UXD42" s="30"/>
      <c r="UXE42" s="31"/>
      <c r="UXF42" s="30"/>
      <c r="UXG42" s="31"/>
      <c r="UXH42" s="30"/>
      <c r="UXI42" s="31"/>
      <c r="UXJ42" s="30"/>
      <c r="UXK42" s="31"/>
      <c r="UXL42" s="30"/>
      <c r="UXM42" s="31"/>
      <c r="UXN42" s="30"/>
      <c r="UXO42" s="31"/>
      <c r="UXP42" s="30"/>
      <c r="UXQ42" s="31"/>
      <c r="UXR42" s="30"/>
      <c r="UXS42" s="31"/>
      <c r="UXT42" s="30"/>
      <c r="UXU42" s="31"/>
      <c r="UXV42" s="30"/>
      <c r="UXW42" s="31"/>
      <c r="UXX42" s="30"/>
      <c r="UXY42" s="31"/>
      <c r="UXZ42" s="30"/>
      <c r="UYA42" s="31"/>
      <c r="UYB42" s="30"/>
      <c r="UYC42" s="31"/>
      <c r="UYD42" s="30"/>
      <c r="UYE42" s="31"/>
      <c r="UYF42" s="30"/>
      <c r="UYG42" s="31"/>
      <c r="UYH42" s="30"/>
      <c r="UYI42" s="31"/>
      <c r="UYJ42" s="30"/>
      <c r="UYK42" s="31"/>
      <c r="UYL42" s="30"/>
      <c r="UYM42" s="31"/>
      <c r="UYN42" s="30"/>
      <c r="UYO42" s="31"/>
      <c r="UYP42" s="30"/>
      <c r="UYQ42" s="31"/>
      <c r="UYR42" s="30"/>
      <c r="UYS42" s="31"/>
      <c r="UYT42" s="30"/>
      <c r="UYU42" s="31"/>
      <c r="UYV42" s="30"/>
      <c r="UYW42" s="31"/>
      <c r="UYX42" s="30"/>
      <c r="UYY42" s="31"/>
      <c r="UYZ42" s="30"/>
      <c r="UZA42" s="31"/>
      <c r="UZB42" s="30"/>
      <c r="UZC42" s="31"/>
      <c r="UZD42" s="30"/>
      <c r="UZE42" s="31"/>
      <c r="UZF42" s="30"/>
      <c r="UZG42" s="31"/>
      <c r="UZH42" s="30"/>
      <c r="UZI42" s="31"/>
      <c r="UZJ42" s="30"/>
      <c r="UZK42" s="31"/>
      <c r="UZL42" s="30"/>
      <c r="UZM42" s="31"/>
      <c r="UZN42" s="30"/>
      <c r="UZO42" s="31"/>
      <c r="UZP42" s="30"/>
      <c r="UZQ42" s="31"/>
      <c r="UZR42" s="30"/>
      <c r="UZS42" s="31"/>
      <c r="UZT42" s="30"/>
      <c r="UZU42" s="31"/>
      <c r="UZV42" s="30"/>
      <c r="UZW42" s="31"/>
      <c r="UZX42" s="30"/>
      <c r="UZY42" s="31"/>
      <c r="UZZ42" s="30"/>
      <c r="VAA42" s="31"/>
      <c r="VAB42" s="30"/>
      <c r="VAC42" s="31"/>
      <c r="VAD42" s="30"/>
      <c r="VAE42" s="31"/>
      <c r="VAF42" s="30"/>
      <c r="VAG42" s="31"/>
      <c r="VAH42" s="30"/>
      <c r="VAI42" s="31"/>
      <c r="VAJ42" s="30"/>
      <c r="VAK42" s="31"/>
      <c r="VAL42" s="30"/>
      <c r="VAM42" s="31"/>
      <c r="VAN42" s="30"/>
      <c r="VAO42" s="31"/>
      <c r="VAP42" s="30"/>
      <c r="VAQ42" s="31"/>
      <c r="VAR42" s="30"/>
      <c r="VAS42" s="31"/>
      <c r="VAT42" s="30"/>
      <c r="VAU42" s="31"/>
      <c r="VAV42" s="30"/>
      <c r="VAW42" s="31"/>
      <c r="VAX42" s="30"/>
      <c r="VAY42" s="31"/>
      <c r="VAZ42" s="30"/>
      <c r="VBA42" s="31"/>
      <c r="VBB42" s="30"/>
      <c r="VBC42" s="31"/>
      <c r="VBD42" s="30"/>
      <c r="VBE42" s="31"/>
      <c r="VBF42" s="30"/>
      <c r="VBG42" s="31"/>
      <c r="VBH42" s="30"/>
      <c r="VBI42" s="31"/>
      <c r="VBJ42" s="30"/>
      <c r="VBK42" s="31"/>
      <c r="VBL42" s="30"/>
      <c r="VBM42" s="31"/>
      <c r="VBN42" s="30"/>
      <c r="VBO42" s="31"/>
      <c r="VBP42" s="30"/>
      <c r="VBQ42" s="31"/>
      <c r="VBR42" s="30"/>
      <c r="VBS42" s="31"/>
      <c r="VBT42" s="30"/>
      <c r="VBU42" s="31"/>
      <c r="VBV42" s="30"/>
      <c r="VBW42" s="31"/>
      <c r="VBX42" s="30"/>
      <c r="VBY42" s="31"/>
      <c r="VBZ42" s="30"/>
      <c r="VCA42" s="31"/>
      <c r="VCB42" s="30"/>
      <c r="VCC42" s="31"/>
      <c r="VCD42" s="30"/>
      <c r="VCE42" s="31"/>
      <c r="VCF42" s="30"/>
      <c r="VCG42" s="31"/>
      <c r="VCH42" s="30"/>
      <c r="VCI42" s="31"/>
      <c r="VCJ42" s="30"/>
      <c r="VCK42" s="31"/>
      <c r="VCL42" s="30"/>
      <c r="VCM42" s="31"/>
      <c r="VCN42" s="30"/>
      <c r="VCO42" s="31"/>
      <c r="VCP42" s="30"/>
      <c r="VCQ42" s="31"/>
      <c r="VCR42" s="30"/>
      <c r="VCS42" s="31"/>
      <c r="VCT42" s="30"/>
      <c r="VCU42" s="31"/>
      <c r="VCV42" s="30"/>
      <c r="VCW42" s="31"/>
      <c r="VCX42" s="30"/>
      <c r="VCY42" s="31"/>
      <c r="VCZ42" s="30"/>
      <c r="VDA42" s="31"/>
      <c r="VDB42" s="30"/>
      <c r="VDC42" s="31"/>
      <c r="VDD42" s="30"/>
      <c r="VDE42" s="31"/>
      <c r="VDF42" s="30"/>
      <c r="VDG42" s="31"/>
      <c r="VDH42" s="30"/>
      <c r="VDI42" s="31"/>
      <c r="VDJ42" s="30"/>
      <c r="VDK42" s="31"/>
      <c r="VDL42" s="30"/>
      <c r="VDM42" s="31"/>
      <c r="VDN42" s="30"/>
      <c r="VDO42" s="31"/>
      <c r="VDP42" s="30"/>
      <c r="VDQ42" s="31"/>
      <c r="VDR42" s="30"/>
      <c r="VDS42" s="31"/>
      <c r="VDT42" s="30"/>
      <c r="VDU42" s="31"/>
      <c r="VDV42" s="30"/>
      <c r="VDW42" s="31"/>
      <c r="VDX42" s="30"/>
      <c r="VDY42" s="31"/>
      <c r="VDZ42" s="30"/>
      <c r="VEA42" s="31"/>
      <c r="VEB42" s="30"/>
      <c r="VEC42" s="31"/>
      <c r="VED42" s="30"/>
      <c r="VEE42" s="31"/>
      <c r="VEF42" s="30"/>
      <c r="VEG42" s="31"/>
      <c r="VEH42" s="30"/>
      <c r="VEI42" s="31"/>
      <c r="VEJ42" s="30"/>
      <c r="VEK42" s="31"/>
      <c r="VEL42" s="30"/>
      <c r="VEM42" s="31"/>
      <c r="VEN42" s="30"/>
      <c r="VEO42" s="31"/>
      <c r="VEP42" s="30"/>
      <c r="VEQ42" s="31"/>
      <c r="VER42" s="30"/>
      <c r="VES42" s="31"/>
      <c r="VET42" s="30"/>
      <c r="VEU42" s="31"/>
      <c r="VEV42" s="30"/>
      <c r="VEW42" s="31"/>
      <c r="VEX42" s="30"/>
      <c r="VEY42" s="31"/>
      <c r="VEZ42" s="30"/>
      <c r="VFA42" s="31"/>
      <c r="VFB42" s="30"/>
      <c r="VFC42" s="31"/>
      <c r="VFD42" s="30"/>
      <c r="VFE42" s="31"/>
      <c r="VFF42" s="30"/>
      <c r="VFG42" s="31"/>
      <c r="VFH42" s="30"/>
      <c r="VFI42" s="31"/>
      <c r="VFJ42" s="30"/>
      <c r="VFK42" s="31"/>
      <c r="VFL42" s="30"/>
      <c r="VFM42" s="31"/>
      <c r="VFN42" s="30"/>
      <c r="VFO42" s="31"/>
      <c r="VFP42" s="30"/>
      <c r="VFQ42" s="31"/>
      <c r="VFR42" s="30"/>
      <c r="VFS42" s="31"/>
      <c r="VFT42" s="30"/>
      <c r="VFU42" s="31"/>
      <c r="VFV42" s="30"/>
      <c r="VFW42" s="31"/>
      <c r="VFX42" s="30"/>
      <c r="VFY42" s="31"/>
      <c r="VFZ42" s="30"/>
      <c r="VGA42" s="31"/>
      <c r="VGB42" s="30"/>
      <c r="VGC42" s="31"/>
      <c r="VGD42" s="30"/>
      <c r="VGE42" s="31"/>
      <c r="VGF42" s="30"/>
      <c r="VGG42" s="31"/>
      <c r="VGH42" s="30"/>
      <c r="VGI42" s="31"/>
      <c r="VGJ42" s="30"/>
      <c r="VGK42" s="31"/>
      <c r="VGL42" s="30"/>
      <c r="VGM42" s="31"/>
      <c r="VGN42" s="30"/>
      <c r="VGO42" s="31"/>
      <c r="VGP42" s="30"/>
      <c r="VGQ42" s="31"/>
      <c r="VGR42" s="30"/>
      <c r="VGS42" s="31"/>
      <c r="VGT42" s="30"/>
      <c r="VGU42" s="31"/>
      <c r="VGV42" s="30"/>
      <c r="VGW42" s="31"/>
      <c r="VGX42" s="30"/>
      <c r="VGY42" s="31"/>
      <c r="VGZ42" s="30"/>
      <c r="VHA42" s="31"/>
      <c r="VHB42" s="30"/>
      <c r="VHC42" s="31"/>
      <c r="VHD42" s="30"/>
      <c r="VHE42" s="31"/>
      <c r="VHF42" s="30"/>
      <c r="VHG42" s="31"/>
      <c r="VHH42" s="30"/>
      <c r="VHI42" s="31"/>
      <c r="VHJ42" s="30"/>
      <c r="VHK42" s="31"/>
      <c r="VHL42" s="30"/>
      <c r="VHM42" s="31"/>
      <c r="VHN42" s="30"/>
      <c r="VHO42" s="31"/>
      <c r="VHP42" s="30"/>
      <c r="VHQ42" s="31"/>
      <c r="VHR42" s="30"/>
      <c r="VHS42" s="31"/>
      <c r="VHT42" s="30"/>
      <c r="VHU42" s="31"/>
      <c r="VHV42" s="30"/>
      <c r="VHW42" s="31"/>
      <c r="VHX42" s="30"/>
      <c r="VHY42" s="31"/>
      <c r="VHZ42" s="30"/>
      <c r="VIA42" s="31"/>
      <c r="VIB42" s="30"/>
      <c r="VIC42" s="31"/>
      <c r="VID42" s="30"/>
      <c r="VIE42" s="31"/>
      <c r="VIF42" s="30"/>
      <c r="VIG42" s="31"/>
      <c r="VIH42" s="30"/>
      <c r="VII42" s="31"/>
      <c r="VIJ42" s="30"/>
      <c r="VIK42" s="31"/>
      <c r="VIL42" s="30"/>
      <c r="VIM42" s="31"/>
      <c r="VIN42" s="30"/>
      <c r="VIO42" s="31"/>
      <c r="VIP42" s="30"/>
      <c r="VIQ42" s="31"/>
      <c r="VIR42" s="30"/>
      <c r="VIS42" s="31"/>
      <c r="VIT42" s="30"/>
      <c r="VIU42" s="31"/>
      <c r="VIV42" s="30"/>
      <c r="VIW42" s="31"/>
      <c r="VIX42" s="30"/>
      <c r="VIY42" s="31"/>
      <c r="VIZ42" s="30"/>
      <c r="VJA42" s="31"/>
      <c r="VJB42" s="30"/>
      <c r="VJC42" s="31"/>
      <c r="VJD42" s="30"/>
      <c r="VJE42" s="31"/>
      <c r="VJF42" s="30"/>
      <c r="VJG42" s="31"/>
      <c r="VJH42" s="30"/>
      <c r="VJI42" s="31"/>
      <c r="VJJ42" s="30"/>
      <c r="VJK42" s="31"/>
      <c r="VJL42" s="30"/>
      <c r="VJM42" s="31"/>
      <c r="VJN42" s="30"/>
      <c r="VJO42" s="31"/>
      <c r="VJP42" s="30"/>
      <c r="VJQ42" s="31"/>
      <c r="VJR42" s="30"/>
      <c r="VJS42" s="31"/>
      <c r="VJT42" s="30"/>
      <c r="VJU42" s="31"/>
      <c r="VJV42" s="30"/>
      <c r="VJW42" s="31"/>
      <c r="VJX42" s="30"/>
      <c r="VJY42" s="31"/>
      <c r="VJZ42" s="30"/>
      <c r="VKA42" s="31"/>
      <c r="VKB42" s="30"/>
      <c r="VKC42" s="31"/>
      <c r="VKD42" s="30"/>
      <c r="VKE42" s="31"/>
      <c r="VKF42" s="30"/>
      <c r="VKG42" s="31"/>
      <c r="VKH42" s="30"/>
      <c r="VKI42" s="31"/>
      <c r="VKJ42" s="30"/>
      <c r="VKK42" s="31"/>
      <c r="VKL42" s="30"/>
      <c r="VKM42" s="31"/>
      <c r="VKN42" s="30"/>
      <c r="VKO42" s="31"/>
      <c r="VKP42" s="30"/>
      <c r="VKQ42" s="31"/>
      <c r="VKR42" s="30"/>
      <c r="VKS42" s="31"/>
      <c r="VKT42" s="30"/>
      <c r="VKU42" s="31"/>
      <c r="VKV42" s="30"/>
      <c r="VKW42" s="31"/>
      <c r="VKX42" s="30"/>
      <c r="VKY42" s="31"/>
      <c r="VKZ42" s="30"/>
      <c r="VLA42" s="31"/>
      <c r="VLB42" s="30"/>
      <c r="VLC42" s="31"/>
      <c r="VLD42" s="30"/>
      <c r="VLE42" s="31"/>
      <c r="VLF42" s="30"/>
      <c r="VLG42" s="31"/>
      <c r="VLH42" s="30"/>
      <c r="VLI42" s="31"/>
      <c r="VLJ42" s="30"/>
      <c r="VLK42" s="31"/>
      <c r="VLL42" s="30"/>
      <c r="VLM42" s="31"/>
      <c r="VLN42" s="30"/>
      <c r="VLO42" s="31"/>
      <c r="VLP42" s="30"/>
      <c r="VLQ42" s="31"/>
      <c r="VLR42" s="30"/>
      <c r="VLS42" s="31"/>
      <c r="VLT42" s="30"/>
      <c r="VLU42" s="31"/>
      <c r="VLV42" s="30"/>
      <c r="VLW42" s="31"/>
      <c r="VLX42" s="30"/>
      <c r="VLY42" s="31"/>
      <c r="VLZ42" s="30"/>
      <c r="VMA42" s="31"/>
      <c r="VMB42" s="30"/>
      <c r="VMC42" s="31"/>
      <c r="VMD42" s="30"/>
      <c r="VME42" s="31"/>
      <c r="VMF42" s="30"/>
      <c r="VMG42" s="31"/>
      <c r="VMH42" s="30"/>
      <c r="VMI42" s="31"/>
      <c r="VMJ42" s="30"/>
      <c r="VMK42" s="31"/>
      <c r="VML42" s="30"/>
      <c r="VMM42" s="31"/>
      <c r="VMN42" s="30"/>
      <c r="VMO42" s="31"/>
      <c r="VMP42" s="30"/>
      <c r="VMQ42" s="31"/>
      <c r="VMR42" s="30"/>
      <c r="VMS42" s="31"/>
      <c r="VMT42" s="30"/>
      <c r="VMU42" s="31"/>
      <c r="VMV42" s="30"/>
      <c r="VMW42" s="31"/>
      <c r="VMX42" s="30"/>
      <c r="VMY42" s="31"/>
      <c r="VMZ42" s="30"/>
      <c r="VNA42" s="31"/>
      <c r="VNB42" s="30"/>
      <c r="VNC42" s="31"/>
      <c r="VND42" s="30"/>
      <c r="VNE42" s="31"/>
      <c r="VNF42" s="30"/>
      <c r="VNG42" s="31"/>
      <c r="VNH42" s="30"/>
      <c r="VNI42" s="31"/>
      <c r="VNJ42" s="30"/>
      <c r="VNK42" s="31"/>
      <c r="VNL42" s="30"/>
      <c r="VNM42" s="31"/>
      <c r="VNN42" s="30"/>
      <c r="VNO42" s="31"/>
      <c r="VNP42" s="30"/>
      <c r="VNQ42" s="31"/>
      <c r="VNR42" s="30"/>
      <c r="VNS42" s="31"/>
      <c r="VNT42" s="30"/>
      <c r="VNU42" s="31"/>
      <c r="VNV42" s="30"/>
      <c r="VNW42" s="31"/>
      <c r="VNX42" s="30"/>
      <c r="VNY42" s="31"/>
      <c r="VNZ42" s="30"/>
      <c r="VOA42" s="31"/>
      <c r="VOB42" s="30"/>
      <c r="VOC42" s="31"/>
      <c r="VOD42" s="30"/>
      <c r="VOE42" s="31"/>
      <c r="VOF42" s="30"/>
      <c r="VOG42" s="31"/>
      <c r="VOH42" s="30"/>
      <c r="VOI42" s="31"/>
      <c r="VOJ42" s="30"/>
      <c r="VOK42" s="31"/>
      <c r="VOL42" s="30"/>
      <c r="VOM42" s="31"/>
      <c r="VON42" s="30"/>
      <c r="VOO42" s="31"/>
      <c r="VOP42" s="30"/>
      <c r="VOQ42" s="31"/>
      <c r="VOR42" s="30"/>
      <c r="VOS42" s="31"/>
      <c r="VOT42" s="30"/>
      <c r="VOU42" s="31"/>
      <c r="VOV42" s="30"/>
      <c r="VOW42" s="31"/>
      <c r="VOX42" s="30"/>
      <c r="VOY42" s="31"/>
      <c r="VOZ42" s="30"/>
      <c r="VPA42" s="31"/>
      <c r="VPB42" s="30"/>
      <c r="VPC42" s="31"/>
      <c r="VPD42" s="30"/>
      <c r="VPE42" s="31"/>
      <c r="VPF42" s="30"/>
      <c r="VPG42" s="31"/>
      <c r="VPH42" s="30"/>
      <c r="VPI42" s="31"/>
      <c r="VPJ42" s="30"/>
      <c r="VPK42" s="31"/>
      <c r="VPL42" s="30"/>
      <c r="VPM42" s="31"/>
      <c r="VPN42" s="30"/>
      <c r="VPO42" s="31"/>
      <c r="VPP42" s="30"/>
      <c r="VPQ42" s="31"/>
      <c r="VPR42" s="30"/>
      <c r="VPS42" s="31"/>
      <c r="VPT42" s="30"/>
      <c r="VPU42" s="31"/>
      <c r="VPV42" s="30"/>
      <c r="VPW42" s="31"/>
      <c r="VPX42" s="30"/>
      <c r="VPY42" s="31"/>
      <c r="VPZ42" s="30"/>
      <c r="VQA42" s="31"/>
      <c r="VQB42" s="30"/>
      <c r="VQC42" s="31"/>
      <c r="VQD42" s="30"/>
      <c r="VQE42" s="31"/>
      <c r="VQF42" s="30"/>
      <c r="VQG42" s="31"/>
      <c r="VQH42" s="30"/>
      <c r="VQI42" s="31"/>
      <c r="VQJ42" s="30"/>
      <c r="VQK42" s="31"/>
      <c r="VQL42" s="30"/>
      <c r="VQM42" s="31"/>
      <c r="VQN42" s="30"/>
      <c r="VQO42" s="31"/>
      <c r="VQP42" s="30"/>
      <c r="VQQ42" s="31"/>
      <c r="VQR42" s="30"/>
      <c r="VQS42" s="31"/>
      <c r="VQT42" s="30"/>
      <c r="VQU42" s="31"/>
      <c r="VQV42" s="30"/>
      <c r="VQW42" s="31"/>
      <c r="VQX42" s="30"/>
      <c r="VQY42" s="31"/>
      <c r="VQZ42" s="30"/>
      <c r="VRA42" s="31"/>
      <c r="VRB42" s="30"/>
      <c r="VRC42" s="31"/>
      <c r="VRD42" s="30"/>
      <c r="VRE42" s="31"/>
      <c r="VRF42" s="30"/>
      <c r="VRG42" s="31"/>
      <c r="VRH42" s="30"/>
      <c r="VRI42" s="31"/>
      <c r="VRJ42" s="30"/>
      <c r="VRK42" s="31"/>
      <c r="VRL42" s="30"/>
      <c r="VRM42" s="31"/>
      <c r="VRN42" s="30"/>
      <c r="VRO42" s="31"/>
      <c r="VRP42" s="30"/>
      <c r="VRQ42" s="31"/>
      <c r="VRR42" s="30"/>
      <c r="VRS42" s="31"/>
      <c r="VRT42" s="30"/>
      <c r="VRU42" s="31"/>
      <c r="VRV42" s="30"/>
      <c r="VRW42" s="31"/>
      <c r="VRX42" s="30"/>
      <c r="VRY42" s="31"/>
      <c r="VRZ42" s="30"/>
      <c r="VSA42" s="31"/>
      <c r="VSB42" s="30"/>
      <c r="VSC42" s="31"/>
      <c r="VSD42" s="30"/>
      <c r="VSE42" s="31"/>
      <c r="VSF42" s="30"/>
      <c r="VSG42" s="31"/>
      <c r="VSH42" s="30"/>
      <c r="VSI42" s="31"/>
      <c r="VSJ42" s="30"/>
      <c r="VSK42" s="31"/>
      <c r="VSL42" s="30"/>
      <c r="VSM42" s="31"/>
      <c r="VSN42" s="30"/>
      <c r="VSO42" s="31"/>
      <c r="VSP42" s="30"/>
      <c r="VSQ42" s="31"/>
      <c r="VSR42" s="30"/>
      <c r="VSS42" s="31"/>
      <c r="VST42" s="30"/>
      <c r="VSU42" s="31"/>
      <c r="VSV42" s="30"/>
      <c r="VSW42" s="31"/>
      <c r="VSX42" s="30"/>
      <c r="VSY42" s="31"/>
      <c r="VSZ42" s="30"/>
      <c r="VTA42" s="31"/>
      <c r="VTB42" s="30"/>
      <c r="VTC42" s="31"/>
      <c r="VTD42" s="30"/>
      <c r="VTE42" s="31"/>
      <c r="VTF42" s="30"/>
      <c r="VTG42" s="31"/>
      <c r="VTH42" s="30"/>
      <c r="VTI42" s="31"/>
      <c r="VTJ42" s="30"/>
      <c r="VTK42" s="31"/>
      <c r="VTL42" s="30"/>
      <c r="VTM42" s="31"/>
      <c r="VTN42" s="30"/>
      <c r="VTO42" s="31"/>
      <c r="VTP42" s="30"/>
      <c r="VTQ42" s="31"/>
      <c r="VTR42" s="30"/>
      <c r="VTS42" s="31"/>
      <c r="VTT42" s="30"/>
      <c r="VTU42" s="31"/>
      <c r="VTV42" s="30"/>
      <c r="VTW42" s="31"/>
      <c r="VTX42" s="30"/>
      <c r="VTY42" s="31"/>
      <c r="VTZ42" s="30"/>
      <c r="VUA42" s="31"/>
      <c r="VUB42" s="30"/>
      <c r="VUC42" s="31"/>
      <c r="VUD42" s="30"/>
      <c r="VUE42" s="31"/>
      <c r="VUF42" s="30"/>
      <c r="VUG42" s="31"/>
      <c r="VUH42" s="30"/>
      <c r="VUI42" s="31"/>
      <c r="VUJ42" s="30"/>
      <c r="VUK42" s="31"/>
      <c r="VUL42" s="30"/>
      <c r="VUM42" s="31"/>
      <c r="VUN42" s="30"/>
      <c r="VUO42" s="31"/>
      <c r="VUP42" s="30"/>
      <c r="VUQ42" s="31"/>
      <c r="VUR42" s="30"/>
      <c r="VUS42" s="31"/>
      <c r="VUT42" s="30"/>
      <c r="VUU42" s="31"/>
      <c r="VUV42" s="30"/>
      <c r="VUW42" s="31"/>
      <c r="VUX42" s="30"/>
      <c r="VUY42" s="31"/>
      <c r="VUZ42" s="30"/>
      <c r="VVA42" s="31"/>
      <c r="VVB42" s="30"/>
      <c r="VVC42" s="31"/>
      <c r="VVD42" s="30"/>
      <c r="VVE42" s="31"/>
      <c r="VVF42" s="30"/>
      <c r="VVG42" s="31"/>
      <c r="VVH42" s="30"/>
      <c r="VVI42" s="31"/>
      <c r="VVJ42" s="30"/>
      <c r="VVK42" s="31"/>
      <c r="VVL42" s="30"/>
      <c r="VVM42" s="31"/>
      <c r="VVN42" s="30"/>
      <c r="VVO42" s="31"/>
      <c r="VVP42" s="30"/>
      <c r="VVQ42" s="31"/>
      <c r="VVR42" s="30"/>
      <c r="VVS42" s="31"/>
      <c r="VVT42" s="30"/>
      <c r="VVU42" s="31"/>
      <c r="VVV42" s="30"/>
      <c r="VVW42" s="31"/>
      <c r="VVX42" s="30"/>
      <c r="VVY42" s="31"/>
      <c r="VVZ42" s="30"/>
      <c r="VWA42" s="31"/>
      <c r="VWB42" s="30"/>
      <c r="VWC42" s="31"/>
      <c r="VWD42" s="30"/>
      <c r="VWE42" s="31"/>
      <c r="VWF42" s="30"/>
      <c r="VWG42" s="31"/>
      <c r="VWH42" s="30"/>
      <c r="VWI42" s="31"/>
      <c r="VWJ42" s="30"/>
      <c r="VWK42" s="31"/>
      <c r="VWL42" s="30"/>
      <c r="VWM42" s="31"/>
      <c r="VWN42" s="30"/>
      <c r="VWO42" s="31"/>
      <c r="VWP42" s="30"/>
      <c r="VWQ42" s="31"/>
      <c r="VWR42" s="30"/>
      <c r="VWS42" s="31"/>
      <c r="VWT42" s="30"/>
      <c r="VWU42" s="31"/>
      <c r="VWV42" s="30"/>
      <c r="VWW42" s="31"/>
      <c r="VWX42" s="30"/>
      <c r="VWY42" s="31"/>
      <c r="VWZ42" s="30"/>
      <c r="VXA42" s="31"/>
      <c r="VXB42" s="30"/>
      <c r="VXC42" s="31"/>
      <c r="VXD42" s="30"/>
      <c r="VXE42" s="31"/>
      <c r="VXF42" s="30"/>
      <c r="VXG42" s="31"/>
      <c r="VXH42" s="30"/>
      <c r="VXI42" s="31"/>
      <c r="VXJ42" s="30"/>
      <c r="VXK42" s="31"/>
      <c r="VXL42" s="30"/>
      <c r="VXM42" s="31"/>
      <c r="VXN42" s="30"/>
      <c r="VXO42" s="31"/>
      <c r="VXP42" s="30"/>
      <c r="VXQ42" s="31"/>
      <c r="VXR42" s="30"/>
      <c r="VXS42" s="31"/>
      <c r="VXT42" s="30"/>
      <c r="VXU42" s="31"/>
      <c r="VXV42" s="30"/>
      <c r="VXW42" s="31"/>
      <c r="VXX42" s="30"/>
      <c r="VXY42" s="31"/>
      <c r="VXZ42" s="30"/>
      <c r="VYA42" s="31"/>
      <c r="VYB42" s="30"/>
      <c r="VYC42" s="31"/>
      <c r="VYD42" s="30"/>
      <c r="VYE42" s="31"/>
      <c r="VYF42" s="30"/>
      <c r="VYG42" s="31"/>
      <c r="VYH42" s="30"/>
      <c r="VYI42" s="31"/>
      <c r="VYJ42" s="30"/>
      <c r="VYK42" s="31"/>
      <c r="VYL42" s="30"/>
      <c r="VYM42" s="31"/>
      <c r="VYN42" s="30"/>
      <c r="VYO42" s="31"/>
      <c r="VYP42" s="30"/>
      <c r="VYQ42" s="31"/>
      <c r="VYR42" s="30"/>
      <c r="VYS42" s="31"/>
      <c r="VYT42" s="30"/>
      <c r="VYU42" s="31"/>
      <c r="VYV42" s="30"/>
      <c r="VYW42" s="31"/>
      <c r="VYX42" s="30"/>
      <c r="VYY42" s="31"/>
      <c r="VYZ42" s="30"/>
      <c r="VZA42" s="31"/>
      <c r="VZB42" s="30"/>
      <c r="VZC42" s="31"/>
      <c r="VZD42" s="30"/>
      <c r="VZE42" s="31"/>
      <c r="VZF42" s="30"/>
      <c r="VZG42" s="31"/>
      <c r="VZH42" s="30"/>
      <c r="VZI42" s="31"/>
      <c r="VZJ42" s="30"/>
      <c r="VZK42" s="31"/>
      <c r="VZL42" s="30"/>
      <c r="VZM42" s="31"/>
      <c r="VZN42" s="30"/>
      <c r="VZO42" s="31"/>
      <c r="VZP42" s="30"/>
      <c r="VZQ42" s="31"/>
      <c r="VZR42" s="30"/>
      <c r="VZS42" s="31"/>
      <c r="VZT42" s="30"/>
      <c r="VZU42" s="31"/>
      <c r="VZV42" s="30"/>
      <c r="VZW42" s="31"/>
      <c r="VZX42" s="30"/>
      <c r="VZY42" s="31"/>
      <c r="VZZ42" s="30"/>
      <c r="WAA42" s="31"/>
      <c r="WAB42" s="30"/>
      <c r="WAC42" s="31"/>
      <c r="WAD42" s="30"/>
      <c r="WAE42" s="31"/>
      <c r="WAF42" s="30"/>
      <c r="WAG42" s="31"/>
      <c r="WAH42" s="30"/>
      <c r="WAI42" s="31"/>
      <c r="WAJ42" s="30"/>
      <c r="WAK42" s="31"/>
      <c r="WAL42" s="30"/>
      <c r="WAM42" s="31"/>
      <c r="WAN42" s="30"/>
      <c r="WAO42" s="31"/>
      <c r="WAP42" s="30"/>
      <c r="WAQ42" s="31"/>
      <c r="WAR42" s="30"/>
      <c r="WAS42" s="31"/>
      <c r="WAT42" s="30"/>
      <c r="WAU42" s="31"/>
      <c r="WAV42" s="30"/>
      <c r="WAW42" s="31"/>
      <c r="WAX42" s="30"/>
      <c r="WAY42" s="31"/>
      <c r="WAZ42" s="30"/>
      <c r="WBA42" s="31"/>
      <c r="WBB42" s="30"/>
      <c r="WBC42" s="31"/>
      <c r="WBD42" s="30"/>
      <c r="WBE42" s="31"/>
      <c r="WBF42" s="30"/>
      <c r="WBG42" s="31"/>
      <c r="WBH42" s="30"/>
      <c r="WBI42" s="31"/>
      <c r="WBJ42" s="30"/>
      <c r="WBK42" s="31"/>
      <c r="WBL42" s="30"/>
      <c r="WBM42" s="31"/>
      <c r="WBN42" s="30"/>
      <c r="WBO42" s="31"/>
      <c r="WBP42" s="30"/>
      <c r="WBQ42" s="31"/>
      <c r="WBR42" s="30"/>
      <c r="WBS42" s="31"/>
      <c r="WBT42" s="30"/>
      <c r="WBU42" s="31"/>
      <c r="WBV42" s="30"/>
      <c r="WBW42" s="31"/>
      <c r="WBX42" s="30"/>
      <c r="WBY42" s="31"/>
      <c r="WBZ42" s="30"/>
      <c r="WCA42" s="31"/>
      <c r="WCB42" s="30"/>
      <c r="WCC42" s="31"/>
      <c r="WCD42" s="30"/>
      <c r="WCE42" s="31"/>
      <c r="WCF42" s="30"/>
      <c r="WCG42" s="31"/>
      <c r="WCH42" s="30"/>
      <c r="WCI42" s="31"/>
      <c r="WCJ42" s="30"/>
      <c r="WCK42" s="31"/>
      <c r="WCL42" s="30"/>
      <c r="WCM42" s="31"/>
      <c r="WCN42" s="30"/>
      <c r="WCO42" s="31"/>
      <c r="WCP42" s="30"/>
      <c r="WCQ42" s="31"/>
      <c r="WCR42" s="30"/>
      <c r="WCS42" s="31"/>
      <c r="WCT42" s="30"/>
      <c r="WCU42" s="31"/>
      <c r="WCV42" s="30"/>
      <c r="WCW42" s="31"/>
      <c r="WCX42" s="30"/>
      <c r="WCY42" s="31"/>
      <c r="WCZ42" s="30"/>
      <c r="WDA42" s="31"/>
      <c r="WDB42" s="30"/>
      <c r="WDC42" s="31"/>
      <c r="WDD42" s="30"/>
      <c r="WDE42" s="31"/>
      <c r="WDF42" s="30"/>
      <c r="WDG42" s="31"/>
      <c r="WDH42" s="30"/>
      <c r="WDI42" s="31"/>
      <c r="WDJ42" s="30"/>
      <c r="WDK42" s="31"/>
      <c r="WDL42" s="30"/>
      <c r="WDM42" s="31"/>
      <c r="WDN42" s="30"/>
      <c r="WDO42" s="31"/>
      <c r="WDP42" s="30"/>
      <c r="WDQ42" s="31"/>
      <c r="WDR42" s="30"/>
      <c r="WDS42" s="31"/>
      <c r="WDT42" s="30"/>
      <c r="WDU42" s="31"/>
      <c r="WDV42" s="30"/>
      <c r="WDW42" s="31"/>
      <c r="WDX42" s="30"/>
      <c r="WDY42" s="31"/>
      <c r="WDZ42" s="30"/>
      <c r="WEA42" s="31"/>
      <c r="WEB42" s="30"/>
      <c r="WEC42" s="31"/>
      <c r="WED42" s="30"/>
      <c r="WEE42" s="31"/>
      <c r="WEF42" s="30"/>
      <c r="WEG42" s="31"/>
      <c r="WEH42" s="30"/>
      <c r="WEI42" s="31"/>
      <c r="WEJ42" s="30"/>
      <c r="WEK42" s="31"/>
      <c r="WEL42" s="30"/>
      <c r="WEM42" s="31"/>
      <c r="WEN42" s="30"/>
      <c r="WEO42" s="31"/>
      <c r="WEP42" s="30"/>
      <c r="WEQ42" s="31"/>
      <c r="WER42" s="30"/>
      <c r="WES42" s="31"/>
      <c r="WET42" s="30"/>
      <c r="WEU42" s="31"/>
      <c r="WEV42" s="30"/>
      <c r="WEW42" s="31"/>
      <c r="WEX42" s="30"/>
      <c r="WEY42" s="31"/>
      <c r="WEZ42" s="30"/>
      <c r="WFA42" s="31"/>
      <c r="WFB42" s="30"/>
      <c r="WFC42" s="31"/>
      <c r="WFD42" s="30"/>
      <c r="WFE42" s="31"/>
      <c r="WFF42" s="30"/>
      <c r="WFG42" s="31"/>
      <c r="WFH42" s="30"/>
      <c r="WFI42" s="31"/>
      <c r="WFJ42" s="30"/>
      <c r="WFK42" s="31"/>
      <c r="WFL42" s="30"/>
      <c r="WFM42" s="31"/>
      <c r="WFN42" s="30"/>
      <c r="WFO42" s="31"/>
      <c r="WFP42" s="30"/>
      <c r="WFQ42" s="31"/>
      <c r="WFR42" s="30"/>
      <c r="WFS42" s="31"/>
      <c r="WFT42" s="30"/>
      <c r="WFU42" s="31"/>
      <c r="WFV42" s="30"/>
      <c r="WFW42" s="31"/>
      <c r="WFX42" s="30"/>
      <c r="WFY42" s="31"/>
      <c r="WFZ42" s="30"/>
      <c r="WGA42" s="31"/>
      <c r="WGB42" s="30"/>
      <c r="WGC42" s="31"/>
      <c r="WGD42" s="30"/>
      <c r="WGE42" s="31"/>
      <c r="WGF42" s="30"/>
      <c r="WGG42" s="31"/>
      <c r="WGH42" s="30"/>
      <c r="WGI42" s="31"/>
      <c r="WGJ42" s="30"/>
      <c r="WGK42" s="31"/>
      <c r="WGL42" s="30"/>
      <c r="WGM42" s="31"/>
      <c r="WGN42" s="30"/>
      <c r="WGO42" s="31"/>
      <c r="WGP42" s="30"/>
      <c r="WGQ42" s="31"/>
      <c r="WGR42" s="30"/>
      <c r="WGS42" s="31"/>
      <c r="WGT42" s="30"/>
      <c r="WGU42" s="31"/>
      <c r="WGV42" s="30"/>
      <c r="WGW42" s="31"/>
      <c r="WGX42" s="30"/>
      <c r="WGY42" s="31"/>
      <c r="WGZ42" s="30"/>
      <c r="WHA42" s="31"/>
      <c r="WHB42" s="30"/>
      <c r="WHC42" s="31"/>
      <c r="WHD42" s="30"/>
      <c r="WHE42" s="31"/>
      <c r="WHF42" s="30"/>
      <c r="WHG42" s="31"/>
      <c r="WHH42" s="30"/>
      <c r="WHI42" s="31"/>
      <c r="WHJ42" s="30"/>
      <c r="WHK42" s="31"/>
      <c r="WHL42" s="30"/>
      <c r="WHM42" s="31"/>
      <c r="WHN42" s="30"/>
      <c r="WHO42" s="31"/>
      <c r="WHP42" s="30"/>
      <c r="WHQ42" s="31"/>
      <c r="WHR42" s="30"/>
      <c r="WHS42" s="31"/>
      <c r="WHT42" s="30"/>
      <c r="WHU42" s="31"/>
      <c r="WHV42" s="30"/>
      <c r="WHW42" s="31"/>
      <c r="WHX42" s="30"/>
      <c r="WHY42" s="31"/>
      <c r="WHZ42" s="30"/>
      <c r="WIA42" s="31"/>
      <c r="WIB42" s="30"/>
      <c r="WIC42" s="31"/>
      <c r="WID42" s="30"/>
      <c r="WIE42" s="31"/>
      <c r="WIF42" s="30"/>
      <c r="WIG42" s="31"/>
      <c r="WIH42" s="30"/>
      <c r="WII42" s="31"/>
      <c r="WIJ42" s="30"/>
      <c r="WIK42" s="31"/>
      <c r="WIL42" s="30"/>
      <c r="WIM42" s="31"/>
      <c r="WIN42" s="30"/>
      <c r="WIO42" s="31"/>
      <c r="WIP42" s="30"/>
      <c r="WIQ42" s="31"/>
      <c r="WIR42" s="30"/>
      <c r="WIS42" s="31"/>
      <c r="WIT42" s="30"/>
      <c r="WIU42" s="31"/>
      <c r="WIV42" s="30"/>
      <c r="WIW42" s="31"/>
      <c r="WIX42" s="30"/>
      <c r="WIY42" s="31"/>
      <c r="WIZ42" s="30"/>
      <c r="WJA42" s="31"/>
      <c r="WJB42" s="30"/>
      <c r="WJC42" s="31"/>
      <c r="WJD42" s="30"/>
      <c r="WJE42" s="31"/>
      <c r="WJF42" s="30"/>
      <c r="WJG42" s="31"/>
      <c r="WJH42" s="30"/>
      <c r="WJI42" s="31"/>
      <c r="WJJ42" s="30"/>
      <c r="WJK42" s="31"/>
      <c r="WJL42" s="30"/>
      <c r="WJM42" s="31"/>
      <c r="WJN42" s="30"/>
      <c r="WJO42" s="31"/>
      <c r="WJP42" s="30"/>
      <c r="WJQ42" s="31"/>
      <c r="WJR42" s="30"/>
      <c r="WJS42" s="31"/>
      <c r="WJT42" s="30"/>
      <c r="WJU42" s="31"/>
      <c r="WJV42" s="30"/>
      <c r="WJW42" s="31"/>
      <c r="WJX42" s="30"/>
      <c r="WJY42" s="31"/>
      <c r="WJZ42" s="30"/>
      <c r="WKA42" s="31"/>
      <c r="WKB42" s="30"/>
      <c r="WKC42" s="31"/>
      <c r="WKD42" s="30"/>
      <c r="WKE42" s="31"/>
      <c r="WKF42" s="30"/>
      <c r="WKG42" s="31"/>
      <c r="WKH42" s="30"/>
      <c r="WKI42" s="31"/>
      <c r="WKJ42" s="30"/>
      <c r="WKK42" s="31"/>
      <c r="WKL42" s="30"/>
      <c r="WKM42" s="31"/>
      <c r="WKN42" s="30"/>
      <c r="WKO42" s="31"/>
      <c r="WKP42" s="30"/>
      <c r="WKQ42" s="31"/>
      <c r="WKR42" s="30"/>
      <c r="WKS42" s="31"/>
      <c r="WKT42" s="30"/>
      <c r="WKU42" s="31"/>
      <c r="WKV42" s="30"/>
      <c r="WKW42" s="31"/>
      <c r="WKX42" s="30"/>
      <c r="WKY42" s="31"/>
      <c r="WKZ42" s="30"/>
      <c r="WLA42" s="31"/>
      <c r="WLB42" s="30"/>
      <c r="WLC42" s="31"/>
      <c r="WLD42" s="30"/>
      <c r="WLE42" s="31"/>
      <c r="WLF42" s="30"/>
      <c r="WLG42" s="31"/>
      <c r="WLH42" s="30"/>
      <c r="WLI42" s="31"/>
      <c r="WLJ42" s="30"/>
      <c r="WLK42" s="31"/>
      <c r="WLL42" s="30"/>
      <c r="WLM42" s="31"/>
      <c r="WLN42" s="30"/>
      <c r="WLO42" s="31"/>
      <c r="WLP42" s="30"/>
      <c r="WLQ42" s="31"/>
      <c r="WLR42" s="30"/>
      <c r="WLS42" s="31"/>
      <c r="WLT42" s="30"/>
      <c r="WLU42" s="31"/>
      <c r="WLV42" s="30"/>
      <c r="WLW42" s="31"/>
      <c r="WLX42" s="30"/>
      <c r="WLY42" s="31"/>
      <c r="WLZ42" s="30"/>
      <c r="WMA42" s="31"/>
      <c r="WMB42" s="30"/>
      <c r="WMC42" s="31"/>
      <c r="WMD42" s="30"/>
      <c r="WME42" s="31"/>
      <c r="WMF42" s="30"/>
      <c r="WMG42" s="31"/>
      <c r="WMH42" s="30"/>
      <c r="WMI42" s="31"/>
      <c r="WMJ42" s="30"/>
      <c r="WMK42" s="31"/>
      <c r="WML42" s="30"/>
      <c r="WMM42" s="31"/>
      <c r="WMN42" s="30"/>
      <c r="WMO42" s="31"/>
      <c r="WMP42" s="30"/>
      <c r="WMQ42" s="31"/>
      <c r="WMR42" s="30"/>
      <c r="WMS42" s="31"/>
      <c r="WMT42" s="30"/>
      <c r="WMU42" s="31"/>
      <c r="WMV42" s="30"/>
      <c r="WMW42" s="31"/>
      <c r="WMX42" s="30"/>
      <c r="WMY42" s="31"/>
      <c r="WMZ42" s="30"/>
      <c r="WNA42" s="31"/>
      <c r="WNB42" s="30"/>
      <c r="WNC42" s="31"/>
      <c r="WND42" s="30"/>
      <c r="WNE42" s="31"/>
      <c r="WNF42" s="30"/>
      <c r="WNG42" s="31"/>
      <c r="WNH42" s="30"/>
      <c r="WNI42" s="31"/>
      <c r="WNJ42" s="30"/>
      <c r="WNK42" s="31"/>
      <c r="WNL42" s="30"/>
      <c r="WNM42" s="31"/>
      <c r="WNN42" s="30"/>
      <c r="WNO42" s="31"/>
      <c r="WNP42" s="30"/>
      <c r="WNQ42" s="31"/>
      <c r="WNR42" s="30"/>
      <c r="WNS42" s="31"/>
      <c r="WNT42" s="30"/>
      <c r="WNU42" s="31"/>
      <c r="WNV42" s="30"/>
      <c r="WNW42" s="31"/>
      <c r="WNX42" s="30"/>
      <c r="WNY42" s="31"/>
      <c r="WNZ42" s="30"/>
      <c r="WOA42" s="31"/>
      <c r="WOB42" s="30"/>
      <c r="WOC42" s="31"/>
      <c r="WOD42" s="30"/>
      <c r="WOE42" s="31"/>
      <c r="WOF42" s="30"/>
      <c r="WOG42" s="31"/>
      <c r="WOH42" s="30"/>
      <c r="WOI42" s="31"/>
      <c r="WOJ42" s="30"/>
      <c r="WOK42" s="31"/>
      <c r="WOL42" s="30"/>
      <c r="WOM42" s="31"/>
      <c r="WON42" s="30"/>
      <c r="WOO42" s="31"/>
      <c r="WOP42" s="30"/>
      <c r="WOQ42" s="31"/>
      <c r="WOR42" s="30"/>
      <c r="WOS42" s="31"/>
      <c r="WOT42" s="30"/>
      <c r="WOU42" s="31"/>
      <c r="WOV42" s="30"/>
      <c r="WOW42" s="31"/>
      <c r="WOX42" s="30"/>
      <c r="WOY42" s="31"/>
      <c r="WOZ42" s="30"/>
      <c r="WPA42" s="31"/>
      <c r="WPB42" s="30"/>
      <c r="WPC42" s="31"/>
      <c r="WPD42" s="30"/>
      <c r="WPE42" s="31"/>
      <c r="WPF42" s="30"/>
      <c r="WPG42" s="31"/>
      <c r="WPH42" s="30"/>
      <c r="WPI42" s="31"/>
      <c r="WPJ42" s="30"/>
      <c r="WPK42" s="31"/>
      <c r="WPL42" s="30"/>
      <c r="WPM42" s="31"/>
      <c r="WPN42" s="30"/>
      <c r="WPO42" s="31"/>
      <c r="WPP42" s="30"/>
      <c r="WPQ42" s="31"/>
      <c r="WPR42" s="30"/>
      <c r="WPS42" s="31"/>
      <c r="WPT42" s="30"/>
      <c r="WPU42" s="31"/>
      <c r="WPV42" s="30"/>
      <c r="WPW42" s="31"/>
      <c r="WPX42" s="30"/>
      <c r="WPY42" s="31"/>
      <c r="WPZ42" s="30"/>
      <c r="WQA42" s="31"/>
      <c r="WQB42" s="30"/>
      <c r="WQC42" s="31"/>
      <c r="WQD42" s="30"/>
      <c r="WQE42" s="31"/>
      <c r="WQF42" s="30"/>
      <c r="WQG42" s="31"/>
      <c r="WQH42" s="30"/>
      <c r="WQI42" s="31"/>
      <c r="WQJ42" s="30"/>
      <c r="WQK42" s="31"/>
      <c r="WQL42" s="30"/>
      <c r="WQM42" s="31"/>
      <c r="WQN42" s="30"/>
      <c r="WQO42" s="31"/>
      <c r="WQP42" s="30"/>
      <c r="WQQ42" s="31"/>
      <c r="WQR42" s="30"/>
      <c r="WQS42" s="31"/>
      <c r="WQT42" s="30"/>
      <c r="WQU42" s="31"/>
      <c r="WQV42" s="30"/>
      <c r="WQW42" s="31"/>
      <c r="WQX42" s="30"/>
      <c r="WQY42" s="31"/>
      <c r="WQZ42" s="30"/>
      <c r="WRA42" s="31"/>
      <c r="WRB42" s="30"/>
      <c r="WRC42" s="31"/>
      <c r="WRD42" s="30"/>
      <c r="WRE42" s="31"/>
      <c r="WRF42" s="30"/>
      <c r="WRG42" s="31"/>
      <c r="WRH42" s="30"/>
      <c r="WRI42" s="31"/>
      <c r="WRJ42" s="30"/>
      <c r="WRK42" s="31"/>
      <c r="WRL42" s="30"/>
      <c r="WRM42" s="31"/>
      <c r="WRN42" s="30"/>
      <c r="WRO42" s="31"/>
      <c r="WRP42" s="30"/>
      <c r="WRQ42" s="31"/>
      <c r="WRR42" s="30"/>
      <c r="WRS42" s="31"/>
      <c r="WRT42" s="30"/>
      <c r="WRU42" s="31"/>
      <c r="WRV42" s="30"/>
      <c r="WRW42" s="31"/>
      <c r="WRX42" s="30"/>
      <c r="WRY42" s="31"/>
      <c r="WRZ42" s="30"/>
      <c r="WSA42" s="31"/>
      <c r="WSB42" s="30"/>
      <c r="WSC42" s="31"/>
      <c r="WSD42" s="30"/>
      <c r="WSE42" s="31"/>
      <c r="WSF42" s="30"/>
      <c r="WSG42" s="31"/>
      <c r="WSH42" s="30"/>
      <c r="WSI42" s="31"/>
      <c r="WSJ42" s="30"/>
      <c r="WSK42" s="31"/>
      <c r="WSL42" s="30"/>
      <c r="WSM42" s="31"/>
      <c r="WSN42" s="30"/>
      <c r="WSO42" s="31"/>
      <c r="WSP42" s="30"/>
      <c r="WSQ42" s="31"/>
      <c r="WSR42" s="30"/>
      <c r="WSS42" s="31"/>
      <c r="WST42" s="30"/>
      <c r="WSU42" s="31"/>
      <c r="WSV42" s="30"/>
      <c r="WSW42" s="31"/>
      <c r="WSX42" s="30"/>
      <c r="WSY42" s="31"/>
      <c r="WSZ42" s="30"/>
      <c r="WTA42" s="31"/>
      <c r="WTB42" s="30"/>
      <c r="WTC42" s="31"/>
      <c r="WTD42" s="30"/>
      <c r="WTE42" s="31"/>
      <c r="WTF42" s="30"/>
      <c r="WTG42" s="31"/>
      <c r="WTH42" s="30"/>
      <c r="WTI42" s="31"/>
      <c r="WTJ42" s="30"/>
      <c r="WTK42" s="31"/>
      <c r="WTL42" s="30"/>
      <c r="WTM42" s="31"/>
      <c r="WTN42" s="30"/>
      <c r="WTO42" s="31"/>
      <c r="WTP42" s="30"/>
      <c r="WTQ42" s="31"/>
      <c r="WTR42" s="30"/>
      <c r="WTS42" s="31"/>
      <c r="WTT42" s="30"/>
      <c r="WTU42" s="31"/>
      <c r="WTV42" s="30"/>
      <c r="WTW42" s="31"/>
      <c r="WTX42" s="30"/>
      <c r="WTY42" s="31"/>
      <c r="WTZ42" s="30"/>
      <c r="WUA42" s="31"/>
      <c r="WUB42" s="30"/>
      <c r="WUC42" s="31"/>
      <c r="WUD42" s="30"/>
      <c r="WUE42" s="31"/>
      <c r="WUF42" s="30"/>
      <c r="WUG42" s="31"/>
      <c r="WUH42" s="30"/>
      <c r="WUI42" s="31"/>
      <c r="WUJ42" s="30"/>
      <c r="WUK42" s="31"/>
      <c r="WUL42" s="30"/>
      <c r="WUM42" s="31"/>
      <c r="WUN42" s="30"/>
      <c r="WUO42" s="31"/>
      <c r="WUP42" s="30"/>
      <c r="WUQ42" s="31"/>
      <c r="WUR42" s="30"/>
      <c r="WUS42" s="31"/>
      <c r="WUT42" s="30"/>
      <c r="WUU42" s="31"/>
      <c r="WUV42" s="30"/>
      <c r="WUW42" s="31"/>
      <c r="WUX42" s="30"/>
      <c r="WUY42" s="31"/>
      <c r="WUZ42" s="30"/>
      <c r="WVA42" s="31"/>
      <c r="WVB42" s="30"/>
      <c r="WVC42" s="31"/>
      <c r="WVD42" s="30"/>
      <c r="WVE42" s="31"/>
      <c r="WVF42" s="30"/>
      <c r="WVG42" s="31"/>
      <c r="WVH42" s="30"/>
      <c r="WVI42" s="31"/>
      <c r="WVJ42" s="30"/>
      <c r="WVK42" s="31"/>
      <c r="WVL42" s="30"/>
      <c r="WVM42" s="31"/>
      <c r="WVN42" s="30"/>
      <c r="WVO42" s="31"/>
      <c r="WVP42" s="30"/>
      <c r="WVQ42" s="31"/>
      <c r="WVR42" s="30"/>
      <c r="WVS42" s="31"/>
      <c r="WVT42" s="30"/>
      <c r="WVU42" s="31"/>
      <c r="WVV42" s="30"/>
      <c r="WVW42" s="31"/>
      <c r="WVX42" s="30"/>
      <c r="WVY42" s="31"/>
      <c r="WVZ42" s="30"/>
      <c r="WWA42" s="31"/>
      <c r="WWB42" s="30"/>
      <c r="WWC42" s="31"/>
      <c r="WWD42" s="30"/>
      <c r="WWE42" s="31"/>
      <c r="WWF42" s="30"/>
      <c r="WWG42" s="31"/>
      <c r="WWH42" s="30"/>
      <c r="WWI42" s="31"/>
      <c r="WWJ42" s="30"/>
      <c r="WWK42" s="31"/>
      <c r="WWL42" s="30"/>
      <c r="WWM42" s="31"/>
      <c r="WWN42" s="30"/>
      <c r="WWO42" s="31"/>
      <c r="WWP42" s="30"/>
      <c r="WWQ42" s="31"/>
      <c r="WWR42" s="30"/>
      <c r="WWS42" s="31"/>
      <c r="WWT42" s="30"/>
      <c r="WWU42" s="31"/>
      <c r="WWV42" s="30"/>
      <c r="WWW42" s="31"/>
      <c r="WWX42" s="30"/>
      <c r="WWY42" s="31"/>
      <c r="WWZ42" s="30"/>
      <c r="WXA42" s="31"/>
      <c r="WXB42" s="30"/>
      <c r="WXC42" s="31"/>
      <c r="WXD42" s="30"/>
      <c r="WXE42" s="31"/>
      <c r="WXF42" s="30"/>
      <c r="WXG42" s="31"/>
      <c r="WXH42" s="30"/>
      <c r="WXI42" s="31"/>
      <c r="WXJ42" s="30"/>
      <c r="WXK42" s="31"/>
      <c r="WXL42" s="30"/>
      <c r="WXM42" s="31"/>
      <c r="WXN42" s="30"/>
      <c r="WXO42" s="31"/>
      <c r="WXP42" s="30"/>
      <c r="WXQ42" s="31"/>
      <c r="WXR42" s="30"/>
      <c r="WXS42" s="31"/>
      <c r="WXT42" s="30"/>
      <c r="WXU42" s="31"/>
      <c r="WXV42" s="30"/>
      <c r="WXW42" s="31"/>
      <c r="WXX42" s="30"/>
      <c r="WXY42" s="31"/>
      <c r="WXZ42" s="30"/>
      <c r="WYA42" s="31"/>
      <c r="WYB42" s="30"/>
      <c r="WYC42" s="31"/>
      <c r="WYD42" s="30"/>
      <c r="WYE42" s="31"/>
      <c r="WYF42" s="30"/>
      <c r="WYG42" s="31"/>
      <c r="WYH42" s="30"/>
      <c r="WYI42" s="31"/>
      <c r="WYJ42" s="30"/>
      <c r="WYK42" s="31"/>
      <c r="WYL42" s="30"/>
      <c r="WYM42" s="31"/>
      <c r="WYN42" s="30"/>
      <c r="WYO42" s="31"/>
      <c r="WYP42" s="30"/>
      <c r="WYQ42" s="31"/>
      <c r="WYR42" s="30"/>
      <c r="WYS42" s="31"/>
      <c r="WYT42" s="30"/>
      <c r="WYU42" s="31"/>
      <c r="WYV42" s="30"/>
      <c r="WYW42" s="31"/>
      <c r="WYX42" s="30"/>
      <c r="WYY42" s="31"/>
      <c r="WYZ42" s="30"/>
      <c r="WZA42" s="31"/>
      <c r="WZB42" s="30"/>
      <c r="WZC42" s="31"/>
      <c r="WZD42" s="30"/>
      <c r="WZE42" s="31"/>
      <c r="WZF42" s="30"/>
      <c r="WZG42" s="31"/>
      <c r="WZH42" s="30"/>
      <c r="WZI42" s="31"/>
      <c r="WZJ42" s="30"/>
      <c r="WZK42" s="31"/>
      <c r="WZL42" s="30"/>
      <c r="WZM42" s="31"/>
      <c r="WZN42" s="30"/>
      <c r="WZO42" s="31"/>
      <c r="WZP42" s="30"/>
      <c r="WZQ42" s="31"/>
      <c r="WZR42" s="30"/>
      <c r="WZS42" s="31"/>
      <c r="WZT42" s="30"/>
      <c r="WZU42" s="31"/>
      <c r="WZV42" s="30"/>
      <c r="WZW42" s="31"/>
      <c r="WZX42" s="30"/>
      <c r="WZY42" s="31"/>
      <c r="WZZ42" s="30"/>
      <c r="XAA42" s="31"/>
      <c r="XAB42" s="30"/>
      <c r="XAC42" s="31"/>
      <c r="XAD42" s="30"/>
      <c r="XAE42" s="31"/>
      <c r="XAF42" s="30"/>
      <c r="XAG42" s="31"/>
      <c r="XAH42" s="30"/>
      <c r="XAI42" s="31"/>
      <c r="XAJ42" s="30"/>
      <c r="XAK42" s="31"/>
      <c r="XAL42" s="30"/>
      <c r="XAM42" s="31"/>
      <c r="XAN42" s="30"/>
      <c r="XAO42" s="31"/>
      <c r="XAP42" s="30"/>
      <c r="XAQ42" s="31"/>
      <c r="XAR42" s="30"/>
      <c r="XAS42" s="31"/>
      <c r="XAT42" s="30"/>
      <c r="XAU42" s="31"/>
      <c r="XAV42" s="30"/>
      <c r="XAW42" s="31"/>
      <c r="XAX42" s="30"/>
      <c r="XAY42" s="31"/>
      <c r="XAZ42" s="30"/>
      <c r="XBA42" s="31"/>
      <c r="XBB42" s="30"/>
      <c r="XBC42" s="31"/>
      <c r="XBD42" s="30"/>
      <c r="XBE42" s="31"/>
      <c r="XBF42" s="30"/>
      <c r="XBG42" s="31"/>
      <c r="XBH42" s="30"/>
      <c r="XBI42" s="31"/>
      <c r="XBJ42" s="30"/>
      <c r="XBK42" s="31"/>
      <c r="XBL42" s="30"/>
      <c r="XBM42" s="31"/>
      <c r="XBN42" s="30"/>
      <c r="XBO42" s="31"/>
      <c r="XBP42" s="30"/>
      <c r="XBQ42" s="31"/>
      <c r="XBR42" s="30"/>
      <c r="XBS42" s="31"/>
      <c r="XBT42" s="30"/>
      <c r="XBU42" s="31"/>
      <c r="XBV42" s="30"/>
      <c r="XBW42" s="31"/>
      <c r="XBX42" s="30"/>
      <c r="XBY42" s="31"/>
      <c r="XBZ42" s="30"/>
      <c r="XCA42" s="31"/>
      <c r="XCB42" s="30"/>
      <c r="XCC42" s="31"/>
      <c r="XCD42" s="30"/>
      <c r="XCE42" s="31"/>
      <c r="XCF42" s="30"/>
      <c r="XCG42" s="31"/>
      <c r="XCH42" s="30"/>
      <c r="XCI42" s="31"/>
      <c r="XCJ42" s="30"/>
      <c r="XCK42" s="31"/>
      <c r="XCL42" s="30"/>
      <c r="XCM42" s="31"/>
      <c r="XCN42" s="30"/>
      <c r="XCO42" s="31"/>
      <c r="XCP42" s="30"/>
      <c r="XCQ42" s="31"/>
      <c r="XCR42" s="30"/>
      <c r="XCS42" s="31"/>
      <c r="XCT42" s="30"/>
      <c r="XCU42" s="31"/>
      <c r="XCV42" s="30"/>
      <c r="XCW42" s="31"/>
      <c r="XCX42" s="30"/>
      <c r="XCY42" s="31"/>
      <c r="XCZ42" s="30"/>
      <c r="XDA42" s="31"/>
      <c r="XDB42" s="30"/>
      <c r="XDC42" s="31"/>
      <c r="XDD42" s="30"/>
      <c r="XDE42" s="31"/>
      <c r="XDF42" s="30"/>
      <c r="XDG42" s="31"/>
      <c r="XDH42" s="30"/>
      <c r="XDI42" s="31"/>
      <c r="XDJ42" s="30"/>
      <c r="XDK42" s="31"/>
      <c r="XDL42" s="30"/>
      <c r="XDM42" s="31"/>
      <c r="XDN42" s="30"/>
      <c r="XDO42" s="31"/>
      <c r="XDP42" s="30"/>
      <c r="XDQ42" s="31"/>
      <c r="XDR42" s="30"/>
      <c r="XDS42" s="31"/>
      <c r="XDT42" s="30"/>
      <c r="XDU42" s="31"/>
      <c r="XDV42" s="30"/>
      <c r="XDW42" s="31"/>
      <c r="XDX42" s="30"/>
      <c r="XDY42" s="31"/>
      <c r="XDZ42" s="30"/>
      <c r="XEA42" s="31"/>
      <c r="XEB42" s="30"/>
      <c r="XEC42" s="31"/>
      <c r="XED42" s="30"/>
      <c r="XEE42" s="31"/>
      <c r="XEF42" s="30"/>
      <c r="XEG42" s="31"/>
      <c r="XEH42" s="30"/>
      <c r="XEI42" s="31"/>
      <c r="XEJ42" s="30"/>
      <c r="XEK42" s="31"/>
      <c r="XEL42" s="30"/>
      <c r="XEM42" s="31"/>
      <c r="XEN42" s="30"/>
      <c r="XEO42" s="31"/>
      <c r="XEP42" s="30"/>
      <c r="XEQ42" s="31"/>
      <c r="XER42" s="30"/>
      <c r="XES42" s="31"/>
      <c r="XET42" s="30"/>
    </row>
    <row r="43" spans="2:16374" s="28" customFormat="1" ht="56" customHeight="1" thickBot="1">
      <c r="B43" s="262"/>
      <c r="C43" s="205"/>
      <c r="D43" s="979"/>
      <c r="E43" s="455" t="s">
        <v>246</v>
      </c>
      <c r="F43" s="1305">
        <f>F41-INDEX(神经网络!$G$10:$BO$70,MATCH(ROUND(U43*2,1)/2,神经网络!$E$10:$E$70,0),MATCH(ROUND(U42*2,1)/2,神经网络!$G$8:$BO$8,0))</f>
        <v>0.2561051173581057</v>
      </c>
      <c r="G43" s="1306"/>
      <c r="H43" s="463">
        <f>AD47</f>
        <v>0.24491587641306992</v>
      </c>
      <c r="I43" s="262" t="s">
        <v>247</v>
      </c>
      <c r="J43" s="31"/>
      <c r="K43" s="956" t="s">
        <v>609</v>
      </c>
      <c r="L43" s="947">
        <f>N43*L42</f>
        <v>0.82705889573358959</v>
      </c>
      <c r="M43" s="954">
        <v>1</v>
      </c>
      <c r="N43" s="952">
        <f>F9</f>
        <v>1.1878973697903477</v>
      </c>
      <c r="O43" s="262" t="s">
        <v>500</v>
      </c>
      <c r="P43" s="30"/>
      <c r="Q43" s="34"/>
      <c r="R43" s="177" t="s">
        <v>181</v>
      </c>
      <c r="S43" s="179">
        <f>D46</f>
        <v>2.7601150823867234E-3</v>
      </c>
      <c r="T43" s="177" t="s">
        <v>186</v>
      </c>
      <c r="U43" s="179">
        <f>_xlfn.IFS(AD47=AC47,AB47,AD47=AC48,AB48,AD47=AC49,AB49,AD47=AC50,AB50,TRUE,0)</f>
        <v>0.10862995623009114</v>
      </c>
      <c r="V43" s="177" t="s">
        <v>244</v>
      </c>
      <c r="W43" s="179">
        <f>AVERAGE(S43,U43)</f>
        <v>5.5695035656238935E-2</v>
      </c>
      <c r="X43" s="34"/>
      <c r="Y43" s="1298"/>
      <c r="Z43" s="1299"/>
      <c r="AA43" s="1300"/>
      <c r="AB43" s="34"/>
      <c r="AC43" s="1290"/>
      <c r="AD43" s="1291"/>
      <c r="AE43" s="34"/>
      <c r="AV43" s="30"/>
      <c r="AW43" s="31"/>
      <c r="AX43" s="30"/>
      <c r="AY43" s="31"/>
      <c r="AZ43" s="30"/>
      <c r="BA43" s="31"/>
      <c r="BB43" s="30"/>
      <c r="BC43" s="31"/>
      <c r="BD43" s="30"/>
      <c r="BE43" s="31"/>
      <c r="BF43" s="30"/>
      <c r="BG43" s="31"/>
      <c r="BH43" s="30"/>
      <c r="BI43" s="31"/>
      <c r="BJ43" s="30"/>
      <c r="BK43" s="31"/>
      <c r="BL43" s="30"/>
      <c r="BM43" s="31"/>
      <c r="BN43" s="30"/>
      <c r="BO43" s="31"/>
      <c r="BP43" s="30"/>
      <c r="BQ43" s="31"/>
      <c r="BR43" s="30"/>
      <c r="BS43" s="31"/>
      <c r="BT43" s="30"/>
      <c r="BU43" s="31"/>
      <c r="BV43" s="30"/>
      <c r="BW43" s="31"/>
      <c r="BX43" s="30"/>
      <c r="BY43" s="31"/>
      <c r="BZ43" s="30"/>
      <c r="CA43" s="31"/>
      <c r="CB43" s="30"/>
      <c r="CC43" s="31"/>
      <c r="CD43" s="30"/>
      <c r="CE43" s="31"/>
      <c r="CF43" s="30"/>
      <c r="CG43" s="31"/>
      <c r="CH43" s="30"/>
      <c r="CI43" s="31"/>
      <c r="CJ43" s="30"/>
      <c r="CK43" s="31"/>
      <c r="CL43" s="30"/>
      <c r="CM43" s="31"/>
      <c r="CN43" s="30"/>
      <c r="CO43" s="31"/>
      <c r="CP43" s="30"/>
      <c r="CQ43" s="31"/>
      <c r="CR43" s="30"/>
      <c r="CS43" s="31"/>
      <c r="CT43" s="30"/>
      <c r="CU43" s="31"/>
      <c r="CV43" s="30"/>
      <c r="CW43" s="31"/>
      <c r="CX43" s="30"/>
      <c r="CY43" s="31"/>
      <c r="CZ43" s="30"/>
      <c r="DA43" s="31"/>
      <c r="DB43" s="30"/>
      <c r="DC43" s="31"/>
      <c r="DD43" s="30"/>
      <c r="DE43" s="31"/>
      <c r="DF43" s="30"/>
      <c r="DG43" s="31"/>
      <c r="DH43" s="30"/>
      <c r="DI43" s="31"/>
      <c r="DJ43" s="30"/>
      <c r="DK43" s="31"/>
      <c r="DL43" s="30"/>
      <c r="DM43" s="31"/>
      <c r="DN43" s="30"/>
      <c r="DO43" s="31"/>
      <c r="DP43" s="30"/>
      <c r="DQ43" s="31"/>
      <c r="DR43" s="30"/>
      <c r="DS43" s="31"/>
      <c r="DT43" s="30"/>
      <c r="DU43" s="31"/>
      <c r="DV43" s="30"/>
      <c r="DW43" s="31"/>
      <c r="DX43" s="30"/>
      <c r="DY43" s="31"/>
      <c r="DZ43" s="30"/>
      <c r="EA43" s="31"/>
      <c r="EB43" s="30"/>
      <c r="EC43" s="31"/>
      <c r="ED43" s="30"/>
      <c r="EE43" s="31"/>
      <c r="EF43" s="30"/>
      <c r="EG43" s="31"/>
      <c r="EH43" s="30"/>
      <c r="EI43" s="31"/>
      <c r="EJ43" s="30"/>
      <c r="EK43" s="31"/>
      <c r="EL43" s="30"/>
      <c r="EM43" s="31"/>
      <c r="EN43" s="30"/>
      <c r="EO43" s="31"/>
      <c r="EP43" s="30"/>
      <c r="EQ43" s="31"/>
      <c r="ER43" s="30"/>
      <c r="ES43" s="31"/>
      <c r="ET43" s="30"/>
      <c r="EU43" s="31"/>
      <c r="EV43" s="30"/>
      <c r="EW43" s="31"/>
      <c r="EX43" s="30"/>
      <c r="EY43" s="31"/>
      <c r="EZ43" s="30"/>
      <c r="FA43" s="31"/>
      <c r="FB43" s="30"/>
      <c r="FC43" s="31"/>
      <c r="FD43" s="30"/>
      <c r="FE43" s="31"/>
      <c r="FF43" s="30"/>
      <c r="FG43" s="31"/>
      <c r="FH43" s="30"/>
      <c r="FI43" s="31"/>
      <c r="FJ43" s="30"/>
      <c r="FK43" s="31"/>
      <c r="FL43" s="30"/>
      <c r="FM43" s="31"/>
      <c r="FN43" s="30"/>
      <c r="FO43" s="31"/>
      <c r="FP43" s="30"/>
      <c r="FQ43" s="31"/>
      <c r="FR43" s="30"/>
      <c r="FS43" s="31"/>
      <c r="FT43" s="30"/>
      <c r="FU43" s="31"/>
      <c r="FV43" s="30"/>
      <c r="FW43" s="31"/>
      <c r="FX43" s="30"/>
      <c r="FY43" s="31"/>
      <c r="FZ43" s="30"/>
      <c r="GA43" s="31"/>
      <c r="GB43" s="30"/>
      <c r="GC43" s="31"/>
      <c r="GD43" s="30"/>
      <c r="GE43" s="31"/>
      <c r="GF43" s="30"/>
      <c r="GG43" s="31"/>
      <c r="GH43" s="30"/>
      <c r="GI43" s="31"/>
      <c r="GJ43" s="30"/>
      <c r="GK43" s="31"/>
      <c r="GL43" s="30"/>
      <c r="GM43" s="31"/>
      <c r="GN43" s="30"/>
      <c r="GO43" s="31"/>
      <c r="GP43" s="30"/>
      <c r="GQ43" s="31"/>
      <c r="GR43" s="30"/>
      <c r="GS43" s="31"/>
      <c r="GT43" s="30"/>
      <c r="GU43" s="31"/>
      <c r="GV43" s="30"/>
      <c r="GW43" s="31"/>
      <c r="GX43" s="30"/>
      <c r="GY43" s="31"/>
      <c r="GZ43" s="30"/>
      <c r="HA43" s="31"/>
      <c r="HB43" s="30"/>
      <c r="HC43" s="31"/>
      <c r="HD43" s="30"/>
      <c r="HE43" s="31"/>
      <c r="HF43" s="30"/>
      <c r="HG43" s="31"/>
      <c r="HH43" s="30"/>
      <c r="HI43" s="31"/>
      <c r="HJ43" s="30"/>
      <c r="HK43" s="31"/>
      <c r="HL43" s="30"/>
      <c r="HM43" s="31"/>
      <c r="HN43" s="30"/>
      <c r="HO43" s="31"/>
      <c r="HP43" s="30"/>
      <c r="HQ43" s="31"/>
      <c r="HR43" s="30"/>
      <c r="HS43" s="31"/>
      <c r="HT43" s="30"/>
      <c r="HU43" s="31"/>
      <c r="HV43" s="30"/>
      <c r="HW43" s="31"/>
      <c r="HX43" s="30"/>
      <c r="HY43" s="31"/>
      <c r="HZ43" s="30"/>
      <c r="IA43" s="31"/>
      <c r="IB43" s="30"/>
      <c r="IC43" s="31"/>
      <c r="ID43" s="30"/>
      <c r="IE43" s="31"/>
      <c r="IF43" s="30"/>
      <c r="IG43" s="31"/>
      <c r="IH43" s="30"/>
      <c r="II43" s="31"/>
      <c r="IJ43" s="30"/>
      <c r="IK43" s="31"/>
      <c r="IL43" s="30"/>
      <c r="IM43" s="31"/>
      <c r="IN43" s="30"/>
      <c r="IO43" s="31"/>
      <c r="IP43" s="30"/>
      <c r="IQ43" s="31"/>
      <c r="IR43" s="30"/>
      <c r="IS43" s="31"/>
      <c r="IT43" s="30"/>
      <c r="IU43" s="31"/>
      <c r="IV43" s="30"/>
      <c r="IW43" s="31"/>
      <c r="IX43" s="30"/>
      <c r="IY43" s="31"/>
      <c r="IZ43" s="30"/>
      <c r="JA43" s="31"/>
      <c r="JB43" s="30"/>
      <c r="JC43" s="31"/>
      <c r="JD43" s="30"/>
      <c r="JE43" s="31"/>
      <c r="JF43" s="30"/>
      <c r="JG43" s="31"/>
      <c r="JH43" s="30"/>
      <c r="JI43" s="31"/>
      <c r="JJ43" s="30"/>
      <c r="JK43" s="31"/>
      <c r="JL43" s="30"/>
      <c r="JM43" s="31"/>
      <c r="JN43" s="30"/>
      <c r="JO43" s="31"/>
      <c r="JP43" s="30"/>
      <c r="JQ43" s="31"/>
      <c r="JR43" s="30"/>
      <c r="JS43" s="31"/>
      <c r="JT43" s="30"/>
      <c r="JU43" s="31"/>
      <c r="JV43" s="30"/>
      <c r="JW43" s="31"/>
      <c r="JX43" s="30"/>
      <c r="JY43" s="31"/>
      <c r="JZ43" s="30"/>
      <c r="KA43" s="31"/>
      <c r="KB43" s="30"/>
      <c r="KC43" s="31"/>
      <c r="KD43" s="30"/>
      <c r="KE43" s="31"/>
      <c r="KF43" s="30"/>
      <c r="KG43" s="31"/>
      <c r="KH43" s="30"/>
      <c r="KI43" s="31"/>
      <c r="KJ43" s="30"/>
      <c r="KK43" s="31"/>
      <c r="KL43" s="30"/>
      <c r="KM43" s="31"/>
      <c r="KN43" s="30"/>
      <c r="KO43" s="31"/>
      <c r="KP43" s="30"/>
      <c r="KQ43" s="31"/>
      <c r="KR43" s="30"/>
      <c r="KS43" s="31"/>
      <c r="KT43" s="30"/>
      <c r="KU43" s="31"/>
      <c r="KV43" s="30"/>
      <c r="KW43" s="31"/>
      <c r="KX43" s="30"/>
      <c r="KY43" s="31"/>
      <c r="KZ43" s="30"/>
      <c r="LA43" s="31"/>
      <c r="LB43" s="30"/>
      <c r="LC43" s="31"/>
      <c r="LD43" s="30"/>
      <c r="LE43" s="31"/>
      <c r="LF43" s="30"/>
      <c r="LG43" s="31"/>
      <c r="LH43" s="30"/>
      <c r="LI43" s="31"/>
      <c r="LJ43" s="30"/>
      <c r="LK43" s="31"/>
      <c r="LL43" s="30"/>
      <c r="LM43" s="31"/>
      <c r="LN43" s="30"/>
      <c r="LO43" s="31"/>
      <c r="LP43" s="30"/>
      <c r="LQ43" s="31"/>
      <c r="LR43" s="30"/>
      <c r="LS43" s="31"/>
      <c r="LT43" s="30"/>
      <c r="LU43" s="31"/>
      <c r="LV43" s="30"/>
      <c r="LW43" s="31"/>
      <c r="LX43" s="30"/>
      <c r="LY43" s="31"/>
      <c r="LZ43" s="30"/>
      <c r="MA43" s="31"/>
      <c r="MB43" s="30"/>
      <c r="MC43" s="31"/>
      <c r="MD43" s="30"/>
      <c r="ME43" s="31"/>
      <c r="MF43" s="30"/>
      <c r="MG43" s="31"/>
      <c r="MH43" s="30"/>
      <c r="MI43" s="31"/>
      <c r="MJ43" s="30"/>
      <c r="MK43" s="31"/>
      <c r="ML43" s="30"/>
      <c r="MM43" s="31"/>
      <c r="MN43" s="30"/>
      <c r="MO43" s="31"/>
      <c r="MP43" s="30"/>
      <c r="MQ43" s="31"/>
      <c r="MR43" s="30"/>
      <c r="MS43" s="31"/>
      <c r="MT43" s="30"/>
      <c r="MU43" s="31"/>
      <c r="MV43" s="30"/>
      <c r="MW43" s="31"/>
      <c r="MX43" s="30"/>
      <c r="MY43" s="31"/>
      <c r="MZ43" s="30"/>
      <c r="NA43" s="31"/>
      <c r="NB43" s="30"/>
      <c r="NC43" s="31"/>
      <c r="ND43" s="30"/>
      <c r="NE43" s="31"/>
      <c r="NF43" s="30"/>
      <c r="NG43" s="31"/>
      <c r="NH43" s="30"/>
      <c r="NI43" s="31"/>
      <c r="NJ43" s="30"/>
      <c r="NK43" s="31"/>
      <c r="NL43" s="30"/>
      <c r="NM43" s="31"/>
      <c r="NN43" s="30"/>
      <c r="NO43" s="31"/>
      <c r="NP43" s="30"/>
      <c r="NQ43" s="31"/>
      <c r="NR43" s="30"/>
      <c r="NS43" s="31"/>
      <c r="NT43" s="30"/>
      <c r="NU43" s="31"/>
      <c r="NV43" s="30"/>
      <c r="NW43" s="31"/>
      <c r="NX43" s="30"/>
      <c r="NY43" s="31"/>
      <c r="NZ43" s="30"/>
      <c r="OA43" s="31"/>
      <c r="OB43" s="30"/>
      <c r="OC43" s="31"/>
      <c r="OD43" s="30"/>
      <c r="OE43" s="31"/>
      <c r="OF43" s="30"/>
      <c r="OG43" s="31"/>
      <c r="OH43" s="30"/>
      <c r="OI43" s="31"/>
      <c r="OJ43" s="30"/>
      <c r="OK43" s="31"/>
      <c r="OL43" s="30"/>
      <c r="OM43" s="31"/>
      <c r="ON43" s="30"/>
      <c r="OO43" s="31"/>
      <c r="OP43" s="30"/>
      <c r="OQ43" s="31"/>
      <c r="OR43" s="30"/>
      <c r="OS43" s="31"/>
      <c r="OT43" s="30"/>
      <c r="OU43" s="31"/>
      <c r="OV43" s="30"/>
      <c r="OW43" s="31"/>
      <c r="OX43" s="30"/>
      <c r="OY43" s="31"/>
      <c r="OZ43" s="30"/>
      <c r="PA43" s="31"/>
      <c r="PB43" s="30"/>
      <c r="PC43" s="31"/>
      <c r="PD43" s="30"/>
      <c r="PE43" s="31"/>
      <c r="PF43" s="30"/>
      <c r="PG43" s="31"/>
      <c r="PH43" s="30"/>
      <c r="PI43" s="31"/>
      <c r="PJ43" s="30"/>
      <c r="PK43" s="31"/>
      <c r="PL43" s="30"/>
      <c r="PM43" s="31"/>
      <c r="PN43" s="30"/>
      <c r="PO43" s="31"/>
      <c r="PP43" s="30"/>
      <c r="PQ43" s="31"/>
      <c r="PR43" s="30"/>
      <c r="PS43" s="31"/>
      <c r="PT43" s="30"/>
      <c r="PU43" s="31"/>
      <c r="PV43" s="30"/>
      <c r="PW43" s="31"/>
      <c r="PX43" s="30"/>
      <c r="PY43" s="31"/>
      <c r="PZ43" s="30"/>
      <c r="QA43" s="31"/>
      <c r="QB43" s="30"/>
      <c r="QC43" s="31"/>
      <c r="QD43" s="30"/>
      <c r="QE43" s="31"/>
      <c r="QF43" s="30"/>
      <c r="QG43" s="31"/>
      <c r="QH43" s="30"/>
      <c r="QI43" s="31"/>
      <c r="QJ43" s="30"/>
      <c r="QK43" s="31"/>
      <c r="QL43" s="30"/>
      <c r="QM43" s="31"/>
      <c r="QN43" s="30"/>
      <c r="QO43" s="31"/>
      <c r="QP43" s="30"/>
      <c r="QQ43" s="31"/>
      <c r="QR43" s="30"/>
      <c r="QS43" s="31"/>
      <c r="QT43" s="30"/>
      <c r="QU43" s="31"/>
      <c r="QV43" s="30"/>
      <c r="QW43" s="31"/>
      <c r="QX43" s="30"/>
      <c r="QY43" s="31"/>
      <c r="QZ43" s="30"/>
      <c r="RA43" s="31"/>
      <c r="RB43" s="30"/>
      <c r="RC43" s="31"/>
      <c r="RD43" s="30"/>
      <c r="RE43" s="31"/>
      <c r="RF43" s="30"/>
      <c r="RG43" s="31"/>
      <c r="RH43" s="30"/>
      <c r="RI43" s="31"/>
      <c r="RJ43" s="30"/>
      <c r="RK43" s="31"/>
      <c r="RL43" s="30"/>
      <c r="RM43" s="31"/>
      <c r="RN43" s="30"/>
      <c r="RO43" s="31"/>
      <c r="RP43" s="30"/>
      <c r="RQ43" s="31"/>
      <c r="RR43" s="30"/>
      <c r="RS43" s="31"/>
      <c r="RT43" s="30"/>
      <c r="RU43" s="31"/>
      <c r="RV43" s="30"/>
      <c r="RW43" s="31"/>
      <c r="RX43" s="30"/>
      <c r="RY43" s="31"/>
      <c r="RZ43" s="30"/>
      <c r="SA43" s="31"/>
      <c r="SB43" s="30"/>
      <c r="SC43" s="31"/>
      <c r="SD43" s="30"/>
      <c r="SE43" s="31"/>
      <c r="SF43" s="30"/>
      <c r="SG43" s="31"/>
      <c r="SH43" s="30"/>
      <c r="SI43" s="31"/>
      <c r="SJ43" s="30"/>
      <c r="SK43" s="31"/>
      <c r="SL43" s="30"/>
      <c r="SM43" s="31"/>
      <c r="SN43" s="30"/>
      <c r="SO43" s="31"/>
      <c r="SP43" s="30"/>
      <c r="SQ43" s="31"/>
      <c r="SR43" s="30"/>
      <c r="SS43" s="31"/>
      <c r="ST43" s="30"/>
      <c r="SU43" s="31"/>
      <c r="SV43" s="30"/>
      <c r="SW43" s="31"/>
      <c r="SX43" s="30"/>
      <c r="SY43" s="31"/>
      <c r="SZ43" s="30"/>
      <c r="TA43" s="31"/>
      <c r="TB43" s="30"/>
      <c r="TC43" s="31"/>
      <c r="TD43" s="30"/>
      <c r="TE43" s="31"/>
      <c r="TF43" s="30"/>
      <c r="TG43" s="31"/>
      <c r="TH43" s="30"/>
      <c r="TI43" s="31"/>
      <c r="TJ43" s="30"/>
      <c r="TK43" s="31"/>
      <c r="TL43" s="30"/>
      <c r="TM43" s="31"/>
      <c r="TN43" s="30"/>
      <c r="TO43" s="31"/>
      <c r="TP43" s="30"/>
      <c r="TQ43" s="31"/>
      <c r="TR43" s="30"/>
      <c r="TS43" s="31"/>
      <c r="TT43" s="30"/>
      <c r="TU43" s="31"/>
      <c r="TV43" s="30"/>
      <c r="TW43" s="31"/>
      <c r="TX43" s="30"/>
      <c r="TY43" s="31"/>
      <c r="TZ43" s="30"/>
      <c r="UA43" s="31"/>
      <c r="UB43" s="30"/>
      <c r="UC43" s="31"/>
      <c r="UD43" s="30"/>
      <c r="UE43" s="31"/>
      <c r="UF43" s="30"/>
      <c r="UG43" s="31"/>
      <c r="UH43" s="30"/>
      <c r="UI43" s="31"/>
      <c r="UJ43" s="30"/>
      <c r="UK43" s="31"/>
      <c r="UL43" s="30"/>
      <c r="UM43" s="31"/>
      <c r="UN43" s="30"/>
      <c r="UO43" s="31"/>
      <c r="UP43" s="30"/>
      <c r="UQ43" s="31"/>
      <c r="UR43" s="30"/>
      <c r="US43" s="31"/>
      <c r="UT43" s="30"/>
      <c r="UU43" s="31"/>
      <c r="UV43" s="30"/>
      <c r="UW43" s="31"/>
      <c r="UX43" s="30"/>
      <c r="UY43" s="31"/>
      <c r="UZ43" s="30"/>
      <c r="VA43" s="31"/>
      <c r="VB43" s="30"/>
      <c r="VC43" s="31"/>
      <c r="VD43" s="30"/>
      <c r="VE43" s="31"/>
      <c r="VF43" s="30"/>
      <c r="VG43" s="31"/>
      <c r="VH43" s="30"/>
      <c r="VI43" s="31"/>
      <c r="VJ43" s="30"/>
      <c r="VK43" s="31"/>
      <c r="VL43" s="30"/>
      <c r="VM43" s="31"/>
      <c r="VN43" s="30"/>
      <c r="VO43" s="31"/>
      <c r="VP43" s="30"/>
      <c r="VQ43" s="31"/>
      <c r="VR43" s="30"/>
      <c r="VS43" s="31"/>
      <c r="VT43" s="30"/>
      <c r="VU43" s="31"/>
      <c r="VV43" s="30"/>
      <c r="VW43" s="31"/>
      <c r="VX43" s="30"/>
      <c r="VY43" s="31"/>
      <c r="VZ43" s="30"/>
      <c r="WA43" s="31"/>
      <c r="WB43" s="30"/>
      <c r="WC43" s="31"/>
      <c r="WD43" s="30"/>
      <c r="WE43" s="31"/>
      <c r="WF43" s="30"/>
      <c r="WG43" s="31"/>
      <c r="WH43" s="30"/>
      <c r="WI43" s="31"/>
      <c r="WJ43" s="30"/>
      <c r="WK43" s="31"/>
      <c r="WL43" s="30"/>
      <c r="WM43" s="31"/>
      <c r="WN43" s="30"/>
      <c r="WO43" s="31"/>
      <c r="WP43" s="30"/>
      <c r="WQ43" s="31"/>
      <c r="WR43" s="30"/>
      <c r="WS43" s="31"/>
      <c r="WT43" s="30"/>
      <c r="WU43" s="31"/>
      <c r="WV43" s="30"/>
      <c r="WW43" s="31"/>
      <c r="WX43" s="30"/>
      <c r="WY43" s="31"/>
      <c r="WZ43" s="30"/>
      <c r="XA43" s="31"/>
      <c r="XB43" s="30"/>
      <c r="XC43" s="31"/>
      <c r="XD43" s="30"/>
      <c r="XE43" s="31"/>
      <c r="XF43" s="30"/>
      <c r="XG43" s="31"/>
      <c r="XH43" s="30"/>
      <c r="XI43" s="31"/>
      <c r="XJ43" s="30"/>
      <c r="XK43" s="31"/>
      <c r="XL43" s="30"/>
      <c r="XM43" s="31"/>
      <c r="XN43" s="30"/>
      <c r="XO43" s="31"/>
      <c r="XP43" s="30"/>
      <c r="XQ43" s="31"/>
      <c r="XR43" s="30"/>
      <c r="XS43" s="31"/>
      <c r="XT43" s="30"/>
      <c r="XU43" s="31"/>
      <c r="XV43" s="30"/>
      <c r="XW43" s="31"/>
      <c r="XX43" s="30"/>
      <c r="XY43" s="31"/>
      <c r="XZ43" s="30"/>
      <c r="YA43" s="31"/>
      <c r="YB43" s="30"/>
      <c r="YC43" s="31"/>
      <c r="YD43" s="30"/>
      <c r="YE43" s="31"/>
      <c r="YF43" s="30"/>
      <c r="YG43" s="31"/>
      <c r="YH43" s="30"/>
      <c r="YI43" s="31"/>
      <c r="YJ43" s="30"/>
      <c r="YK43" s="31"/>
      <c r="YL43" s="30"/>
      <c r="YM43" s="31"/>
      <c r="YN43" s="30"/>
      <c r="YO43" s="31"/>
      <c r="YP43" s="30"/>
      <c r="YQ43" s="31"/>
      <c r="YR43" s="30"/>
      <c r="YS43" s="31"/>
      <c r="YT43" s="30"/>
      <c r="YU43" s="31"/>
      <c r="YV43" s="30"/>
      <c r="YW43" s="31"/>
      <c r="YX43" s="30"/>
      <c r="YY43" s="31"/>
      <c r="YZ43" s="30"/>
      <c r="ZA43" s="31"/>
      <c r="ZB43" s="30"/>
      <c r="ZC43" s="31"/>
      <c r="ZD43" s="30"/>
      <c r="ZE43" s="31"/>
      <c r="ZF43" s="30"/>
      <c r="ZG43" s="31"/>
      <c r="ZH43" s="30"/>
      <c r="ZI43" s="31"/>
      <c r="ZJ43" s="30"/>
      <c r="ZK43" s="31"/>
      <c r="ZL43" s="30"/>
      <c r="ZM43" s="31"/>
      <c r="ZN43" s="30"/>
      <c r="ZO43" s="31"/>
      <c r="ZP43" s="30"/>
      <c r="ZQ43" s="31"/>
      <c r="ZR43" s="30"/>
      <c r="ZS43" s="31"/>
      <c r="ZT43" s="30"/>
      <c r="ZU43" s="31"/>
      <c r="ZV43" s="30"/>
      <c r="ZW43" s="31"/>
      <c r="ZX43" s="30"/>
      <c r="ZY43" s="31"/>
      <c r="ZZ43" s="30"/>
      <c r="AAA43" s="31"/>
      <c r="AAB43" s="30"/>
      <c r="AAC43" s="31"/>
      <c r="AAD43" s="30"/>
      <c r="AAE43" s="31"/>
      <c r="AAF43" s="30"/>
      <c r="AAG43" s="31"/>
      <c r="AAH43" s="30"/>
      <c r="AAI43" s="31"/>
      <c r="AAJ43" s="30"/>
      <c r="AAK43" s="31"/>
      <c r="AAL43" s="30"/>
      <c r="AAM43" s="31"/>
      <c r="AAN43" s="30"/>
      <c r="AAO43" s="31"/>
      <c r="AAP43" s="30"/>
      <c r="AAQ43" s="31"/>
      <c r="AAR43" s="30"/>
      <c r="AAS43" s="31"/>
      <c r="AAT43" s="30"/>
      <c r="AAU43" s="31"/>
      <c r="AAV43" s="30"/>
      <c r="AAW43" s="31"/>
      <c r="AAX43" s="30"/>
      <c r="AAY43" s="31"/>
      <c r="AAZ43" s="30"/>
      <c r="ABA43" s="31"/>
      <c r="ABB43" s="30"/>
      <c r="ABC43" s="31"/>
      <c r="ABD43" s="30"/>
      <c r="ABE43" s="31"/>
      <c r="ABF43" s="30"/>
      <c r="ABG43" s="31"/>
      <c r="ABH43" s="30"/>
      <c r="ABI43" s="31"/>
      <c r="ABJ43" s="30"/>
      <c r="ABK43" s="31"/>
      <c r="ABL43" s="30"/>
      <c r="ABM43" s="31"/>
      <c r="ABN43" s="30"/>
      <c r="ABO43" s="31"/>
      <c r="ABP43" s="30"/>
      <c r="ABQ43" s="31"/>
      <c r="ABR43" s="30"/>
      <c r="ABS43" s="31"/>
      <c r="ABT43" s="30"/>
      <c r="ABU43" s="31"/>
      <c r="ABV43" s="30"/>
      <c r="ABW43" s="31"/>
      <c r="ABX43" s="30"/>
      <c r="ABY43" s="31"/>
      <c r="ABZ43" s="30"/>
      <c r="ACA43" s="31"/>
      <c r="ACB43" s="30"/>
      <c r="ACC43" s="31"/>
      <c r="ACD43" s="30"/>
      <c r="ACE43" s="31"/>
      <c r="ACF43" s="30"/>
      <c r="ACG43" s="31"/>
      <c r="ACH43" s="30"/>
      <c r="ACI43" s="31"/>
      <c r="ACJ43" s="30"/>
      <c r="ACK43" s="31"/>
      <c r="ACL43" s="30"/>
      <c r="ACM43" s="31"/>
      <c r="ACN43" s="30"/>
      <c r="ACO43" s="31"/>
      <c r="ACP43" s="30"/>
      <c r="ACQ43" s="31"/>
      <c r="ACR43" s="30"/>
      <c r="ACS43" s="31"/>
      <c r="ACT43" s="30"/>
      <c r="ACU43" s="31"/>
      <c r="ACV43" s="30"/>
      <c r="ACW43" s="31"/>
      <c r="ACX43" s="30"/>
      <c r="ACY43" s="31"/>
      <c r="ACZ43" s="30"/>
      <c r="ADA43" s="31"/>
      <c r="ADB43" s="30"/>
      <c r="ADC43" s="31"/>
      <c r="ADD43" s="30"/>
      <c r="ADE43" s="31"/>
      <c r="ADF43" s="30"/>
      <c r="ADG43" s="31"/>
      <c r="ADH43" s="30"/>
      <c r="ADI43" s="31"/>
      <c r="ADJ43" s="30"/>
      <c r="ADK43" s="31"/>
      <c r="ADL43" s="30"/>
      <c r="ADM43" s="31"/>
      <c r="ADN43" s="30"/>
      <c r="ADO43" s="31"/>
      <c r="ADP43" s="30"/>
      <c r="ADQ43" s="31"/>
      <c r="ADR43" s="30"/>
      <c r="ADS43" s="31"/>
      <c r="ADT43" s="30"/>
      <c r="ADU43" s="31"/>
      <c r="ADV43" s="30"/>
      <c r="ADW43" s="31"/>
      <c r="ADX43" s="30"/>
      <c r="ADY43" s="31"/>
      <c r="ADZ43" s="30"/>
      <c r="AEA43" s="31"/>
      <c r="AEB43" s="30"/>
      <c r="AEC43" s="31"/>
      <c r="AED43" s="30"/>
      <c r="AEE43" s="31"/>
      <c r="AEF43" s="30"/>
      <c r="AEG43" s="31"/>
      <c r="AEH43" s="30"/>
      <c r="AEI43" s="31"/>
      <c r="AEJ43" s="30"/>
      <c r="AEK43" s="31"/>
      <c r="AEL43" s="30"/>
      <c r="AEM43" s="31"/>
      <c r="AEN43" s="30"/>
      <c r="AEO43" s="31"/>
      <c r="AEP43" s="30"/>
      <c r="AEQ43" s="31"/>
      <c r="AER43" s="30"/>
      <c r="AES43" s="31"/>
      <c r="AET43" s="30"/>
      <c r="AEU43" s="31"/>
      <c r="AEV43" s="30"/>
      <c r="AEW43" s="31"/>
      <c r="AEX43" s="30"/>
      <c r="AEY43" s="31"/>
      <c r="AEZ43" s="30"/>
      <c r="AFA43" s="31"/>
      <c r="AFB43" s="30"/>
      <c r="AFC43" s="31"/>
      <c r="AFD43" s="30"/>
      <c r="AFE43" s="31"/>
      <c r="AFF43" s="30"/>
      <c r="AFG43" s="31"/>
      <c r="AFH43" s="30"/>
      <c r="AFI43" s="31"/>
      <c r="AFJ43" s="30"/>
      <c r="AFK43" s="31"/>
      <c r="AFL43" s="30"/>
      <c r="AFM43" s="31"/>
      <c r="AFN43" s="30"/>
      <c r="AFO43" s="31"/>
      <c r="AFP43" s="30"/>
      <c r="AFQ43" s="31"/>
      <c r="AFR43" s="30"/>
      <c r="AFS43" s="31"/>
      <c r="AFT43" s="30"/>
      <c r="AFU43" s="31"/>
      <c r="AFV43" s="30"/>
      <c r="AFW43" s="31"/>
      <c r="AFX43" s="30"/>
      <c r="AFY43" s="31"/>
      <c r="AFZ43" s="30"/>
      <c r="AGA43" s="31"/>
      <c r="AGB43" s="30"/>
      <c r="AGC43" s="31"/>
      <c r="AGD43" s="30"/>
      <c r="AGE43" s="31"/>
      <c r="AGF43" s="30"/>
      <c r="AGG43" s="31"/>
      <c r="AGH43" s="30"/>
      <c r="AGI43" s="31"/>
      <c r="AGJ43" s="30"/>
      <c r="AGK43" s="31"/>
      <c r="AGL43" s="30"/>
      <c r="AGM43" s="31"/>
      <c r="AGN43" s="30"/>
      <c r="AGO43" s="31"/>
      <c r="AGP43" s="30"/>
      <c r="AGQ43" s="31"/>
      <c r="AGR43" s="30"/>
      <c r="AGS43" s="31"/>
      <c r="AGT43" s="30"/>
      <c r="AGU43" s="31"/>
      <c r="AGV43" s="30"/>
      <c r="AGW43" s="31"/>
      <c r="AGX43" s="30"/>
      <c r="AGY43" s="31"/>
      <c r="AGZ43" s="30"/>
      <c r="AHA43" s="31"/>
      <c r="AHB43" s="30"/>
      <c r="AHC43" s="31"/>
      <c r="AHD43" s="30"/>
      <c r="AHE43" s="31"/>
      <c r="AHF43" s="30"/>
      <c r="AHG43" s="31"/>
      <c r="AHH43" s="30"/>
      <c r="AHI43" s="31"/>
      <c r="AHJ43" s="30"/>
      <c r="AHK43" s="31"/>
      <c r="AHL43" s="30"/>
      <c r="AHM43" s="31"/>
      <c r="AHN43" s="30"/>
      <c r="AHO43" s="31"/>
      <c r="AHP43" s="30"/>
      <c r="AHQ43" s="31"/>
      <c r="AHR43" s="30"/>
      <c r="AHS43" s="31"/>
      <c r="AHT43" s="30"/>
      <c r="AHU43" s="31"/>
      <c r="AHV43" s="30"/>
      <c r="AHW43" s="31"/>
      <c r="AHX43" s="30"/>
      <c r="AHY43" s="31"/>
      <c r="AHZ43" s="30"/>
      <c r="AIA43" s="31"/>
      <c r="AIB43" s="30"/>
      <c r="AIC43" s="31"/>
      <c r="AID43" s="30"/>
      <c r="AIE43" s="31"/>
      <c r="AIF43" s="30"/>
      <c r="AIG43" s="31"/>
      <c r="AIH43" s="30"/>
      <c r="AII43" s="31"/>
      <c r="AIJ43" s="30"/>
      <c r="AIK43" s="31"/>
      <c r="AIL43" s="30"/>
      <c r="AIM43" s="31"/>
      <c r="AIN43" s="30"/>
      <c r="AIO43" s="31"/>
      <c r="AIP43" s="30"/>
      <c r="AIQ43" s="31"/>
      <c r="AIR43" s="30"/>
      <c r="AIS43" s="31"/>
      <c r="AIT43" s="30"/>
      <c r="AIU43" s="31"/>
      <c r="AIV43" s="30"/>
      <c r="AIW43" s="31"/>
      <c r="AIX43" s="30"/>
      <c r="AIY43" s="31"/>
      <c r="AIZ43" s="30"/>
      <c r="AJA43" s="31"/>
      <c r="AJB43" s="30"/>
      <c r="AJC43" s="31"/>
      <c r="AJD43" s="30"/>
      <c r="AJE43" s="31"/>
      <c r="AJF43" s="30"/>
      <c r="AJG43" s="31"/>
      <c r="AJH43" s="30"/>
      <c r="AJI43" s="31"/>
      <c r="AJJ43" s="30"/>
      <c r="AJK43" s="31"/>
      <c r="AJL43" s="30"/>
      <c r="AJM43" s="31"/>
      <c r="AJN43" s="30"/>
      <c r="AJO43" s="31"/>
      <c r="AJP43" s="30"/>
      <c r="AJQ43" s="31"/>
      <c r="AJR43" s="30"/>
      <c r="AJS43" s="31"/>
      <c r="AJT43" s="30"/>
      <c r="AJU43" s="31"/>
      <c r="AJV43" s="30"/>
      <c r="AJW43" s="31"/>
      <c r="AJX43" s="30"/>
      <c r="AJY43" s="31"/>
      <c r="AJZ43" s="30"/>
      <c r="AKA43" s="31"/>
      <c r="AKB43" s="30"/>
      <c r="AKC43" s="31"/>
      <c r="AKD43" s="30"/>
      <c r="AKE43" s="31"/>
      <c r="AKF43" s="30"/>
      <c r="AKG43" s="31"/>
      <c r="AKH43" s="30"/>
      <c r="AKI43" s="31"/>
      <c r="AKJ43" s="30"/>
      <c r="AKK43" s="31"/>
      <c r="AKL43" s="30"/>
      <c r="AKM43" s="31"/>
      <c r="AKN43" s="30"/>
      <c r="AKO43" s="31"/>
      <c r="AKP43" s="30"/>
      <c r="AKQ43" s="31"/>
      <c r="AKR43" s="30"/>
      <c r="AKS43" s="31"/>
      <c r="AKT43" s="30"/>
      <c r="AKU43" s="31"/>
      <c r="AKV43" s="30"/>
      <c r="AKW43" s="31"/>
      <c r="AKX43" s="30"/>
      <c r="AKY43" s="31"/>
      <c r="AKZ43" s="30"/>
      <c r="ALA43" s="31"/>
      <c r="ALB43" s="30"/>
      <c r="ALC43" s="31"/>
      <c r="ALD43" s="30"/>
      <c r="ALE43" s="31"/>
      <c r="ALF43" s="30"/>
      <c r="ALG43" s="31"/>
      <c r="ALH43" s="30"/>
      <c r="ALI43" s="31"/>
      <c r="ALJ43" s="30"/>
      <c r="ALK43" s="31"/>
      <c r="ALL43" s="30"/>
      <c r="ALM43" s="31"/>
      <c r="ALN43" s="30"/>
      <c r="ALO43" s="31"/>
      <c r="ALP43" s="30"/>
      <c r="ALQ43" s="31"/>
      <c r="ALR43" s="30"/>
      <c r="ALS43" s="31"/>
      <c r="ALT43" s="30"/>
      <c r="ALU43" s="31"/>
      <c r="ALV43" s="30"/>
      <c r="ALW43" s="31"/>
      <c r="ALX43" s="30"/>
      <c r="ALY43" s="31"/>
      <c r="ALZ43" s="30"/>
      <c r="AMA43" s="31"/>
      <c r="AMB43" s="30"/>
      <c r="AMC43" s="31"/>
      <c r="AMD43" s="30"/>
      <c r="AME43" s="31"/>
      <c r="AMF43" s="30"/>
      <c r="AMG43" s="31"/>
      <c r="AMH43" s="30"/>
      <c r="AMI43" s="31"/>
      <c r="AMJ43" s="30"/>
      <c r="AMK43" s="31"/>
      <c r="AML43" s="30"/>
      <c r="AMM43" s="31"/>
      <c r="AMN43" s="30"/>
      <c r="AMO43" s="31"/>
      <c r="AMP43" s="30"/>
      <c r="AMQ43" s="31"/>
      <c r="AMR43" s="30"/>
      <c r="AMS43" s="31"/>
      <c r="AMT43" s="30"/>
      <c r="AMU43" s="31"/>
      <c r="AMV43" s="30"/>
      <c r="AMW43" s="31"/>
      <c r="AMX43" s="30"/>
      <c r="AMY43" s="31"/>
      <c r="AMZ43" s="30"/>
      <c r="ANA43" s="31"/>
      <c r="ANB43" s="30"/>
      <c r="ANC43" s="31"/>
      <c r="AND43" s="30"/>
      <c r="ANE43" s="31"/>
      <c r="ANF43" s="30"/>
      <c r="ANG43" s="31"/>
      <c r="ANH43" s="30"/>
      <c r="ANI43" s="31"/>
      <c r="ANJ43" s="30"/>
      <c r="ANK43" s="31"/>
      <c r="ANL43" s="30"/>
      <c r="ANM43" s="31"/>
      <c r="ANN43" s="30"/>
      <c r="ANO43" s="31"/>
      <c r="ANP43" s="30"/>
      <c r="ANQ43" s="31"/>
      <c r="ANR43" s="30"/>
      <c r="ANS43" s="31"/>
      <c r="ANT43" s="30"/>
      <c r="ANU43" s="31"/>
      <c r="ANV43" s="30"/>
      <c r="ANW43" s="31"/>
      <c r="ANX43" s="30"/>
      <c r="ANY43" s="31"/>
      <c r="ANZ43" s="30"/>
      <c r="AOA43" s="31"/>
      <c r="AOB43" s="30"/>
      <c r="AOC43" s="31"/>
      <c r="AOD43" s="30"/>
      <c r="AOE43" s="31"/>
      <c r="AOF43" s="30"/>
      <c r="AOG43" s="31"/>
      <c r="AOH43" s="30"/>
      <c r="AOI43" s="31"/>
      <c r="AOJ43" s="30"/>
      <c r="AOK43" s="31"/>
      <c r="AOL43" s="30"/>
      <c r="AOM43" s="31"/>
      <c r="AON43" s="30"/>
      <c r="AOO43" s="31"/>
      <c r="AOP43" s="30"/>
      <c r="AOQ43" s="31"/>
      <c r="AOR43" s="30"/>
      <c r="AOS43" s="31"/>
      <c r="AOT43" s="30"/>
      <c r="AOU43" s="31"/>
      <c r="AOV43" s="30"/>
      <c r="AOW43" s="31"/>
      <c r="AOX43" s="30"/>
      <c r="AOY43" s="31"/>
      <c r="AOZ43" s="30"/>
      <c r="APA43" s="31"/>
      <c r="APB43" s="30"/>
      <c r="APC43" s="31"/>
      <c r="APD43" s="30"/>
      <c r="APE43" s="31"/>
      <c r="APF43" s="30"/>
      <c r="APG43" s="31"/>
      <c r="APH43" s="30"/>
      <c r="API43" s="31"/>
      <c r="APJ43" s="30"/>
      <c r="APK43" s="31"/>
      <c r="APL43" s="30"/>
      <c r="APM43" s="31"/>
      <c r="APN43" s="30"/>
      <c r="APO43" s="31"/>
      <c r="APP43" s="30"/>
      <c r="APQ43" s="31"/>
      <c r="APR43" s="30"/>
      <c r="APS43" s="31"/>
      <c r="APT43" s="30"/>
      <c r="APU43" s="31"/>
      <c r="APV43" s="30"/>
      <c r="APW43" s="31"/>
      <c r="APX43" s="30"/>
      <c r="APY43" s="31"/>
      <c r="APZ43" s="30"/>
      <c r="AQA43" s="31"/>
      <c r="AQB43" s="30"/>
      <c r="AQC43" s="31"/>
      <c r="AQD43" s="30"/>
      <c r="AQE43" s="31"/>
      <c r="AQF43" s="30"/>
      <c r="AQG43" s="31"/>
      <c r="AQH43" s="30"/>
      <c r="AQI43" s="31"/>
      <c r="AQJ43" s="30"/>
      <c r="AQK43" s="31"/>
      <c r="AQL43" s="30"/>
      <c r="AQM43" s="31"/>
      <c r="AQN43" s="30"/>
      <c r="AQO43" s="31"/>
      <c r="AQP43" s="30"/>
      <c r="AQQ43" s="31"/>
      <c r="AQR43" s="30"/>
      <c r="AQS43" s="31"/>
      <c r="AQT43" s="30"/>
      <c r="AQU43" s="31"/>
      <c r="AQV43" s="30"/>
      <c r="AQW43" s="31"/>
      <c r="AQX43" s="30"/>
      <c r="AQY43" s="31"/>
      <c r="AQZ43" s="30"/>
      <c r="ARA43" s="31"/>
      <c r="ARB43" s="30"/>
      <c r="ARC43" s="31"/>
      <c r="ARD43" s="30"/>
      <c r="ARE43" s="31"/>
      <c r="ARF43" s="30"/>
      <c r="ARG43" s="31"/>
      <c r="ARH43" s="30"/>
      <c r="ARI43" s="31"/>
      <c r="ARJ43" s="30"/>
      <c r="ARK43" s="31"/>
      <c r="ARL43" s="30"/>
      <c r="ARM43" s="31"/>
      <c r="ARN43" s="30"/>
      <c r="ARO43" s="31"/>
      <c r="ARP43" s="30"/>
      <c r="ARQ43" s="31"/>
      <c r="ARR43" s="30"/>
      <c r="ARS43" s="31"/>
      <c r="ART43" s="30"/>
      <c r="ARU43" s="31"/>
      <c r="ARV43" s="30"/>
      <c r="ARW43" s="31"/>
      <c r="ARX43" s="30"/>
      <c r="ARY43" s="31"/>
      <c r="ARZ43" s="30"/>
      <c r="ASA43" s="31"/>
      <c r="ASB43" s="30"/>
      <c r="ASC43" s="31"/>
      <c r="ASD43" s="30"/>
      <c r="ASE43" s="31"/>
      <c r="ASF43" s="30"/>
      <c r="ASG43" s="31"/>
      <c r="ASH43" s="30"/>
      <c r="ASI43" s="31"/>
      <c r="ASJ43" s="30"/>
      <c r="ASK43" s="31"/>
      <c r="ASL43" s="30"/>
      <c r="ASM43" s="31"/>
      <c r="ASN43" s="30"/>
      <c r="ASO43" s="31"/>
      <c r="ASP43" s="30"/>
      <c r="ASQ43" s="31"/>
      <c r="ASR43" s="30"/>
      <c r="ASS43" s="31"/>
      <c r="AST43" s="30"/>
      <c r="ASU43" s="31"/>
      <c r="ASV43" s="30"/>
      <c r="ASW43" s="31"/>
      <c r="ASX43" s="30"/>
      <c r="ASY43" s="31"/>
      <c r="ASZ43" s="30"/>
      <c r="ATA43" s="31"/>
      <c r="ATB43" s="30"/>
      <c r="ATC43" s="31"/>
      <c r="ATD43" s="30"/>
      <c r="ATE43" s="31"/>
      <c r="ATF43" s="30"/>
      <c r="ATG43" s="31"/>
      <c r="ATH43" s="30"/>
      <c r="ATI43" s="31"/>
      <c r="ATJ43" s="30"/>
      <c r="ATK43" s="31"/>
      <c r="ATL43" s="30"/>
      <c r="ATM43" s="31"/>
      <c r="ATN43" s="30"/>
      <c r="ATO43" s="31"/>
      <c r="ATP43" s="30"/>
      <c r="ATQ43" s="31"/>
      <c r="ATR43" s="30"/>
      <c r="ATS43" s="31"/>
      <c r="ATT43" s="30"/>
      <c r="ATU43" s="31"/>
      <c r="ATV43" s="30"/>
      <c r="ATW43" s="31"/>
      <c r="ATX43" s="30"/>
      <c r="ATY43" s="31"/>
      <c r="ATZ43" s="30"/>
      <c r="AUA43" s="31"/>
      <c r="AUB43" s="30"/>
      <c r="AUC43" s="31"/>
      <c r="AUD43" s="30"/>
      <c r="AUE43" s="31"/>
      <c r="AUF43" s="30"/>
      <c r="AUG43" s="31"/>
      <c r="AUH43" s="30"/>
      <c r="AUI43" s="31"/>
      <c r="AUJ43" s="30"/>
      <c r="AUK43" s="31"/>
      <c r="AUL43" s="30"/>
      <c r="AUM43" s="31"/>
      <c r="AUN43" s="30"/>
      <c r="AUO43" s="31"/>
      <c r="AUP43" s="30"/>
      <c r="AUQ43" s="31"/>
      <c r="AUR43" s="30"/>
      <c r="AUS43" s="31"/>
      <c r="AUT43" s="30"/>
      <c r="AUU43" s="31"/>
      <c r="AUV43" s="30"/>
      <c r="AUW43" s="31"/>
      <c r="AUX43" s="30"/>
      <c r="AUY43" s="31"/>
      <c r="AUZ43" s="30"/>
      <c r="AVA43" s="31"/>
      <c r="AVB43" s="30"/>
      <c r="AVC43" s="31"/>
      <c r="AVD43" s="30"/>
      <c r="AVE43" s="31"/>
      <c r="AVF43" s="30"/>
      <c r="AVG43" s="31"/>
      <c r="AVH43" s="30"/>
      <c r="AVI43" s="31"/>
      <c r="AVJ43" s="30"/>
      <c r="AVK43" s="31"/>
      <c r="AVL43" s="30"/>
      <c r="AVM43" s="31"/>
      <c r="AVN43" s="30"/>
      <c r="AVO43" s="31"/>
      <c r="AVP43" s="30"/>
      <c r="AVQ43" s="31"/>
      <c r="AVR43" s="30"/>
      <c r="AVS43" s="31"/>
      <c r="AVT43" s="30"/>
      <c r="AVU43" s="31"/>
      <c r="AVV43" s="30"/>
      <c r="AVW43" s="31"/>
      <c r="AVX43" s="30"/>
      <c r="AVY43" s="31"/>
      <c r="AVZ43" s="30"/>
      <c r="AWA43" s="31"/>
      <c r="AWB43" s="30"/>
      <c r="AWC43" s="31"/>
      <c r="AWD43" s="30"/>
      <c r="AWE43" s="31"/>
      <c r="AWF43" s="30"/>
      <c r="AWG43" s="31"/>
      <c r="AWH43" s="30"/>
      <c r="AWI43" s="31"/>
      <c r="AWJ43" s="30"/>
      <c r="AWK43" s="31"/>
      <c r="AWL43" s="30"/>
      <c r="AWM43" s="31"/>
      <c r="AWN43" s="30"/>
      <c r="AWO43" s="31"/>
      <c r="AWP43" s="30"/>
      <c r="AWQ43" s="31"/>
      <c r="AWR43" s="30"/>
      <c r="AWS43" s="31"/>
      <c r="AWT43" s="30"/>
      <c r="AWU43" s="31"/>
      <c r="AWV43" s="30"/>
      <c r="AWW43" s="31"/>
      <c r="AWX43" s="30"/>
      <c r="AWY43" s="31"/>
      <c r="AWZ43" s="30"/>
      <c r="AXA43" s="31"/>
      <c r="AXB43" s="30"/>
      <c r="AXC43" s="31"/>
      <c r="AXD43" s="30"/>
      <c r="AXE43" s="31"/>
      <c r="AXF43" s="30"/>
      <c r="AXG43" s="31"/>
      <c r="AXH43" s="30"/>
      <c r="AXI43" s="31"/>
      <c r="AXJ43" s="30"/>
      <c r="AXK43" s="31"/>
      <c r="AXL43" s="30"/>
      <c r="AXM43" s="31"/>
      <c r="AXN43" s="30"/>
      <c r="AXO43" s="31"/>
      <c r="AXP43" s="30"/>
      <c r="AXQ43" s="31"/>
      <c r="AXR43" s="30"/>
      <c r="AXS43" s="31"/>
      <c r="AXT43" s="30"/>
      <c r="AXU43" s="31"/>
      <c r="AXV43" s="30"/>
      <c r="AXW43" s="31"/>
      <c r="AXX43" s="30"/>
      <c r="AXY43" s="31"/>
      <c r="AXZ43" s="30"/>
      <c r="AYA43" s="31"/>
      <c r="AYB43" s="30"/>
      <c r="AYC43" s="31"/>
      <c r="AYD43" s="30"/>
      <c r="AYE43" s="31"/>
      <c r="AYF43" s="30"/>
      <c r="AYG43" s="31"/>
      <c r="AYH43" s="30"/>
      <c r="AYI43" s="31"/>
      <c r="AYJ43" s="30"/>
      <c r="AYK43" s="31"/>
      <c r="AYL43" s="30"/>
      <c r="AYM43" s="31"/>
      <c r="AYN43" s="30"/>
      <c r="AYO43" s="31"/>
      <c r="AYP43" s="30"/>
      <c r="AYQ43" s="31"/>
      <c r="AYR43" s="30"/>
      <c r="AYS43" s="31"/>
      <c r="AYT43" s="30"/>
      <c r="AYU43" s="31"/>
      <c r="AYV43" s="30"/>
      <c r="AYW43" s="31"/>
      <c r="AYX43" s="30"/>
      <c r="AYY43" s="31"/>
      <c r="AYZ43" s="30"/>
      <c r="AZA43" s="31"/>
      <c r="AZB43" s="30"/>
      <c r="AZC43" s="31"/>
      <c r="AZD43" s="30"/>
      <c r="AZE43" s="31"/>
      <c r="AZF43" s="30"/>
      <c r="AZG43" s="31"/>
      <c r="AZH43" s="30"/>
      <c r="AZI43" s="31"/>
      <c r="AZJ43" s="30"/>
      <c r="AZK43" s="31"/>
      <c r="AZL43" s="30"/>
      <c r="AZM43" s="31"/>
      <c r="AZN43" s="30"/>
      <c r="AZO43" s="31"/>
      <c r="AZP43" s="30"/>
      <c r="AZQ43" s="31"/>
      <c r="AZR43" s="30"/>
      <c r="AZS43" s="31"/>
      <c r="AZT43" s="30"/>
      <c r="AZU43" s="31"/>
      <c r="AZV43" s="30"/>
      <c r="AZW43" s="31"/>
      <c r="AZX43" s="30"/>
      <c r="AZY43" s="31"/>
      <c r="AZZ43" s="30"/>
      <c r="BAA43" s="31"/>
      <c r="BAB43" s="30"/>
      <c r="BAC43" s="31"/>
      <c r="BAD43" s="30"/>
      <c r="BAE43" s="31"/>
      <c r="BAF43" s="30"/>
      <c r="BAG43" s="31"/>
      <c r="BAH43" s="30"/>
      <c r="BAI43" s="31"/>
      <c r="BAJ43" s="30"/>
      <c r="BAK43" s="31"/>
      <c r="BAL43" s="30"/>
      <c r="BAM43" s="31"/>
      <c r="BAN43" s="30"/>
      <c r="BAO43" s="31"/>
      <c r="BAP43" s="30"/>
      <c r="BAQ43" s="31"/>
      <c r="BAR43" s="30"/>
      <c r="BAS43" s="31"/>
      <c r="BAT43" s="30"/>
      <c r="BAU43" s="31"/>
      <c r="BAV43" s="30"/>
      <c r="BAW43" s="31"/>
      <c r="BAX43" s="30"/>
      <c r="BAY43" s="31"/>
      <c r="BAZ43" s="30"/>
      <c r="BBA43" s="31"/>
      <c r="BBB43" s="30"/>
      <c r="BBC43" s="31"/>
      <c r="BBD43" s="30"/>
      <c r="BBE43" s="31"/>
      <c r="BBF43" s="30"/>
      <c r="BBG43" s="31"/>
      <c r="BBH43" s="30"/>
      <c r="BBI43" s="31"/>
      <c r="BBJ43" s="30"/>
      <c r="BBK43" s="31"/>
      <c r="BBL43" s="30"/>
      <c r="BBM43" s="31"/>
      <c r="BBN43" s="30"/>
      <c r="BBO43" s="31"/>
      <c r="BBP43" s="30"/>
      <c r="BBQ43" s="31"/>
      <c r="BBR43" s="30"/>
      <c r="BBS43" s="31"/>
      <c r="BBT43" s="30"/>
      <c r="BBU43" s="31"/>
      <c r="BBV43" s="30"/>
      <c r="BBW43" s="31"/>
      <c r="BBX43" s="30"/>
      <c r="BBY43" s="31"/>
      <c r="BBZ43" s="30"/>
      <c r="BCA43" s="31"/>
      <c r="BCB43" s="30"/>
      <c r="BCC43" s="31"/>
      <c r="BCD43" s="30"/>
      <c r="BCE43" s="31"/>
      <c r="BCF43" s="30"/>
      <c r="BCG43" s="31"/>
      <c r="BCH43" s="30"/>
      <c r="BCI43" s="31"/>
      <c r="BCJ43" s="30"/>
      <c r="BCK43" s="31"/>
      <c r="BCL43" s="30"/>
      <c r="BCM43" s="31"/>
      <c r="BCN43" s="30"/>
      <c r="BCO43" s="31"/>
      <c r="BCP43" s="30"/>
      <c r="BCQ43" s="31"/>
      <c r="BCR43" s="30"/>
      <c r="BCS43" s="31"/>
      <c r="BCT43" s="30"/>
      <c r="BCU43" s="31"/>
      <c r="BCV43" s="30"/>
      <c r="BCW43" s="31"/>
      <c r="BCX43" s="30"/>
      <c r="BCY43" s="31"/>
      <c r="BCZ43" s="30"/>
      <c r="BDA43" s="31"/>
      <c r="BDB43" s="30"/>
      <c r="BDC43" s="31"/>
      <c r="BDD43" s="30"/>
      <c r="BDE43" s="31"/>
      <c r="BDF43" s="30"/>
      <c r="BDG43" s="31"/>
      <c r="BDH43" s="30"/>
      <c r="BDI43" s="31"/>
      <c r="BDJ43" s="30"/>
      <c r="BDK43" s="31"/>
      <c r="BDL43" s="30"/>
      <c r="BDM43" s="31"/>
      <c r="BDN43" s="30"/>
      <c r="BDO43" s="31"/>
      <c r="BDP43" s="30"/>
      <c r="BDQ43" s="31"/>
      <c r="BDR43" s="30"/>
      <c r="BDS43" s="31"/>
      <c r="BDT43" s="30"/>
      <c r="BDU43" s="31"/>
      <c r="BDV43" s="30"/>
      <c r="BDW43" s="31"/>
      <c r="BDX43" s="30"/>
      <c r="BDY43" s="31"/>
      <c r="BDZ43" s="30"/>
      <c r="BEA43" s="31"/>
      <c r="BEB43" s="30"/>
      <c r="BEC43" s="31"/>
      <c r="BED43" s="30"/>
      <c r="BEE43" s="31"/>
      <c r="BEF43" s="30"/>
      <c r="BEG43" s="31"/>
      <c r="BEH43" s="30"/>
      <c r="BEI43" s="31"/>
      <c r="BEJ43" s="30"/>
      <c r="BEK43" s="31"/>
      <c r="BEL43" s="30"/>
      <c r="BEM43" s="31"/>
      <c r="BEN43" s="30"/>
      <c r="BEO43" s="31"/>
      <c r="BEP43" s="30"/>
      <c r="BEQ43" s="31"/>
      <c r="BER43" s="30"/>
      <c r="BES43" s="31"/>
      <c r="BET43" s="30"/>
      <c r="BEU43" s="31"/>
      <c r="BEV43" s="30"/>
      <c r="BEW43" s="31"/>
      <c r="BEX43" s="30"/>
      <c r="BEY43" s="31"/>
      <c r="BEZ43" s="30"/>
      <c r="BFA43" s="31"/>
      <c r="BFB43" s="30"/>
      <c r="BFC43" s="31"/>
      <c r="BFD43" s="30"/>
      <c r="BFE43" s="31"/>
      <c r="BFF43" s="30"/>
      <c r="BFG43" s="31"/>
      <c r="BFH43" s="30"/>
      <c r="BFI43" s="31"/>
      <c r="BFJ43" s="30"/>
      <c r="BFK43" s="31"/>
      <c r="BFL43" s="30"/>
      <c r="BFM43" s="31"/>
      <c r="BFN43" s="30"/>
      <c r="BFO43" s="31"/>
      <c r="BFP43" s="30"/>
      <c r="BFQ43" s="31"/>
      <c r="BFR43" s="30"/>
      <c r="BFS43" s="31"/>
      <c r="BFT43" s="30"/>
      <c r="BFU43" s="31"/>
      <c r="BFV43" s="30"/>
      <c r="BFW43" s="31"/>
      <c r="BFX43" s="30"/>
      <c r="BFY43" s="31"/>
      <c r="BFZ43" s="30"/>
      <c r="BGA43" s="31"/>
      <c r="BGB43" s="30"/>
      <c r="BGC43" s="31"/>
      <c r="BGD43" s="30"/>
      <c r="BGE43" s="31"/>
      <c r="BGF43" s="30"/>
      <c r="BGG43" s="31"/>
      <c r="BGH43" s="30"/>
      <c r="BGI43" s="31"/>
      <c r="BGJ43" s="30"/>
      <c r="BGK43" s="31"/>
      <c r="BGL43" s="30"/>
      <c r="BGM43" s="31"/>
      <c r="BGN43" s="30"/>
      <c r="BGO43" s="31"/>
      <c r="BGP43" s="30"/>
      <c r="BGQ43" s="31"/>
      <c r="BGR43" s="30"/>
      <c r="BGS43" s="31"/>
      <c r="BGT43" s="30"/>
      <c r="BGU43" s="31"/>
      <c r="BGV43" s="30"/>
      <c r="BGW43" s="31"/>
      <c r="BGX43" s="30"/>
      <c r="BGY43" s="31"/>
      <c r="BGZ43" s="30"/>
      <c r="BHA43" s="31"/>
      <c r="BHB43" s="30"/>
      <c r="BHC43" s="31"/>
      <c r="BHD43" s="30"/>
      <c r="BHE43" s="31"/>
      <c r="BHF43" s="30"/>
      <c r="BHG43" s="31"/>
      <c r="BHH43" s="30"/>
      <c r="BHI43" s="31"/>
      <c r="BHJ43" s="30"/>
      <c r="BHK43" s="31"/>
      <c r="BHL43" s="30"/>
      <c r="BHM43" s="31"/>
      <c r="BHN43" s="30"/>
      <c r="BHO43" s="31"/>
      <c r="BHP43" s="30"/>
      <c r="BHQ43" s="31"/>
      <c r="BHR43" s="30"/>
      <c r="BHS43" s="31"/>
      <c r="BHT43" s="30"/>
      <c r="BHU43" s="31"/>
      <c r="BHV43" s="30"/>
      <c r="BHW43" s="31"/>
      <c r="BHX43" s="30"/>
      <c r="BHY43" s="31"/>
      <c r="BHZ43" s="30"/>
      <c r="BIA43" s="31"/>
      <c r="BIB43" s="30"/>
      <c r="BIC43" s="31"/>
      <c r="BID43" s="30"/>
      <c r="BIE43" s="31"/>
      <c r="BIF43" s="30"/>
      <c r="BIG43" s="31"/>
      <c r="BIH43" s="30"/>
      <c r="BII43" s="31"/>
      <c r="BIJ43" s="30"/>
      <c r="BIK43" s="31"/>
      <c r="BIL43" s="30"/>
      <c r="BIM43" s="31"/>
      <c r="BIN43" s="30"/>
      <c r="BIO43" s="31"/>
      <c r="BIP43" s="30"/>
      <c r="BIQ43" s="31"/>
      <c r="BIR43" s="30"/>
      <c r="BIS43" s="31"/>
      <c r="BIT43" s="30"/>
      <c r="BIU43" s="31"/>
      <c r="BIV43" s="30"/>
      <c r="BIW43" s="31"/>
      <c r="BIX43" s="30"/>
      <c r="BIY43" s="31"/>
      <c r="BIZ43" s="30"/>
      <c r="BJA43" s="31"/>
      <c r="BJB43" s="30"/>
      <c r="BJC43" s="31"/>
      <c r="BJD43" s="30"/>
      <c r="BJE43" s="31"/>
      <c r="BJF43" s="30"/>
      <c r="BJG43" s="31"/>
      <c r="BJH43" s="30"/>
      <c r="BJI43" s="31"/>
      <c r="BJJ43" s="30"/>
      <c r="BJK43" s="31"/>
      <c r="BJL43" s="30"/>
      <c r="BJM43" s="31"/>
      <c r="BJN43" s="30"/>
      <c r="BJO43" s="31"/>
      <c r="BJP43" s="30"/>
      <c r="BJQ43" s="31"/>
      <c r="BJR43" s="30"/>
      <c r="BJS43" s="31"/>
      <c r="BJT43" s="30"/>
      <c r="BJU43" s="31"/>
      <c r="BJV43" s="30"/>
      <c r="BJW43" s="31"/>
      <c r="BJX43" s="30"/>
      <c r="BJY43" s="31"/>
      <c r="BJZ43" s="30"/>
      <c r="BKA43" s="31"/>
      <c r="BKB43" s="30"/>
      <c r="BKC43" s="31"/>
      <c r="BKD43" s="30"/>
      <c r="BKE43" s="31"/>
      <c r="BKF43" s="30"/>
      <c r="BKG43" s="31"/>
      <c r="BKH43" s="30"/>
      <c r="BKI43" s="31"/>
      <c r="BKJ43" s="30"/>
      <c r="BKK43" s="31"/>
      <c r="BKL43" s="30"/>
      <c r="BKM43" s="31"/>
      <c r="BKN43" s="30"/>
      <c r="BKO43" s="31"/>
      <c r="BKP43" s="30"/>
      <c r="BKQ43" s="31"/>
      <c r="BKR43" s="30"/>
      <c r="BKS43" s="31"/>
      <c r="BKT43" s="30"/>
      <c r="BKU43" s="31"/>
      <c r="BKV43" s="30"/>
      <c r="BKW43" s="31"/>
      <c r="BKX43" s="30"/>
      <c r="BKY43" s="31"/>
      <c r="BKZ43" s="30"/>
      <c r="BLA43" s="31"/>
      <c r="BLB43" s="30"/>
      <c r="BLC43" s="31"/>
      <c r="BLD43" s="30"/>
      <c r="BLE43" s="31"/>
      <c r="BLF43" s="30"/>
      <c r="BLG43" s="31"/>
      <c r="BLH43" s="30"/>
      <c r="BLI43" s="31"/>
      <c r="BLJ43" s="30"/>
      <c r="BLK43" s="31"/>
      <c r="BLL43" s="30"/>
      <c r="BLM43" s="31"/>
      <c r="BLN43" s="30"/>
      <c r="BLO43" s="31"/>
      <c r="BLP43" s="30"/>
      <c r="BLQ43" s="31"/>
      <c r="BLR43" s="30"/>
      <c r="BLS43" s="31"/>
      <c r="BLT43" s="30"/>
      <c r="BLU43" s="31"/>
      <c r="BLV43" s="30"/>
      <c r="BLW43" s="31"/>
      <c r="BLX43" s="30"/>
      <c r="BLY43" s="31"/>
      <c r="BLZ43" s="30"/>
      <c r="BMA43" s="31"/>
      <c r="BMB43" s="30"/>
      <c r="BMC43" s="31"/>
      <c r="BMD43" s="30"/>
      <c r="BME43" s="31"/>
      <c r="BMF43" s="30"/>
      <c r="BMG43" s="31"/>
      <c r="BMH43" s="30"/>
      <c r="BMI43" s="31"/>
      <c r="BMJ43" s="30"/>
      <c r="BMK43" s="31"/>
      <c r="BML43" s="30"/>
      <c r="BMM43" s="31"/>
      <c r="BMN43" s="30"/>
      <c r="BMO43" s="31"/>
      <c r="BMP43" s="30"/>
      <c r="BMQ43" s="31"/>
      <c r="BMR43" s="30"/>
      <c r="BMS43" s="31"/>
      <c r="BMT43" s="30"/>
      <c r="BMU43" s="31"/>
      <c r="BMV43" s="30"/>
      <c r="BMW43" s="31"/>
      <c r="BMX43" s="30"/>
      <c r="BMY43" s="31"/>
      <c r="BMZ43" s="30"/>
      <c r="BNA43" s="31"/>
      <c r="BNB43" s="30"/>
      <c r="BNC43" s="31"/>
      <c r="BND43" s="30"/>
      <c r="BNE43" s="31"/>
      <c r="BNF43" s="30"/>
      <c r="BNG43" s="31"/>
      <c r="BNH43" s="30"/>
      <c r="BNI43" s="31"/>
      <c r="BNJ43" s="30"/>
      <c r="BNK43" s="31"/>
      <c r="BNL43" s="30"/>
      <c r="BNM43" s="31"/>
      <c r="BNN43" s="30"/>
      <c r="BNO43" s="31"/>
      <c r="BNP43" s="30"/>
      <c r="BNQ43" s="31"/>
      <c r="BNR43" s="30"/>
      <c r="BNS43" s="31"/>
      <c r="BNT43" s="30"/>
      <c r="BNU43" s="31"/>
      <c r="BNV43" s="30"/>
      <c r="BNW43" s="31"/>
      <c r="BNX43" s="30"/>
      <c r="BNY43" s="31"/>
      <c r="BNZ43" s="30"/>
      <c r="BOA43" s="31"/>
      <c r="BOB43" s="30"/>
      <c r="BOC43" s="31"/>
      <c r="BOD43" s="30"/>
      <c r="BOE43" s="31"/>
      <c r="BOF43" s="30"/>
      <c r="BOG43" s="31"/>
      <c r="BOH43" s="30"/>
      <c r="BOI43" s="31"/>
      <c r="BOJ43" s="30"/>
      <c r="BOK43" s="31"/>
      <c r="BOL43" s="30"/>
      <c r="BOM43" s="31"/>
      <c r="BON43" s="30"/>
      <c r="BOO43" s="31"/>
      <c r="BOP43" s="30"/>
      <c r="BOQ43" s="31"/>
      <c r="BOR43" s="30"/>
      <c r="BOS43" s="31"/>
      <c r="BOT43" s="30"/>
      <c r="BOU43" s="31"/>
      <c r="BOV43" s="30"/>
      <c r="BOW43" s="31"/>
      <c r="BOX43" s="30"/>
      <c r="BOY43" s="31"/>
      <c r="BOZ43" s="30"/>
      <c r="BPA43" s="31"/>
      <c r="BPB43" s="30"/>
      <c r="BPC43" s="31"/>
      <c r="BPD43" s="30"/>
      <c r="BPE43" s="31"/>
      <c r="BPF43" s="30"/>
      <c r="BPG43" s="31"/>
      <c r="BPH43" s="30"/>
      <c r="BPI43" s="31"/>
      <c r="BPJ43" s="30"/>
      <c r="BPK43" s="31"/>
      <c r="BPL43" s="30"/>
      <c r="BPM43" s="31"/>
      <c r="BPN43" s="30"/>
      <c r="BPO43" s="31"/>
      <c r="BPP43" s="30"/>
      <c r="BPQ43" s="31"/>
      <c r="BPR43" s="30"/>
      <c r="BPS43" s="31"/>
      <c r="BPT43" s="30"/>
      <c r="BPU43" s="31"/>
      <c r="BPV43" s="30"/>
      <c r="BPW43" s="31"/>
      <c r="BPX43" s="30"/>
      <c r="BPY43" s="31"/>
      <c r="BPZ43" s="30"/>
      <c r="BQA43" s="31"/>
      <c r="BQB43" s="30"/>
      <c r="BQC43" s="31"/>
      <c r="BQD43" s="30"/>
      <c r="BQE43" s="31"/>
      <c r="BQF43" s="30"/>
      <c r="BQG43" s="31"/>
      <c r="BQH43" s="30"/>
      <c r="BQI43" s="31"/>
      <c r="BQJ43" s="30"/>
      <c r="BQK43" s="31"/>
      <c r="BQL43" s="30"/>
      <c r="BQM43" s="31"/>
      <c r="BQN43" s="30"/>
      <c r="BQO43" s="31"/>
      <c r="BQP43" s="30"/>
      <c r="BQQ43" s="31"/>
      <c r="BQR43" s="30"/>
      <c r="BQS43" s="31"/>
      <c r="BQT43" s="30"/>
      <c r="BQU43" s="31"/>
      <c r="BQV43" s="30"/>
      <c r="BQW43" s="31"/>
      <c r="BQX43" s="30"/>
      <c r="BQY43" s="31"/>
      <c r="BQZ43" s="30"/>
      <c r="BRA43" s="31"/>
      <c r="BRB43" s="30"/>
      <c r="BRC43" s="31"/>
      <c r="BRD43" s="30"/>
      <c r="BRE43" s="31"/>
      <c r="BRF43" s="30"/>
      <c r="BRG43" s="31"/>
      <c r="BRH43" s="30"/>
      <c r="BRI43" s="31"/>
      <c r="BRJ43" s="30"/>
      <c r="BRK43" s="31"/>
      <c r="BRL43" s="30"/>
      <c r="BRM43" s="31"/>
      <c r="BRN43" s="30"/>
      <c r="BRO43" s="31"/>
      <c r="BRP43" s="30"/>
      <c r="BRQ43" s="31"/>
      <c r="BRR43" s="30"/>
      <c r="BRS43" s="31"/>
      <c r="BRT43" s="30"/>
      <c r="BRU43" s="31"/>
      <c r="BRV43" s="30"/>
      <c r="BRW43" s="31"/>
      <c r="BRX43" s="30"/>
      <c r="BRY43" s="31"/>
      <c r="BRZ43" s="30"/>
      <c r="BSA43" s="31"/>
      <c r="BSB43" s="30"/>
      <c r="BSC43" s="31"/>
      <c r="BSD43" s="30"/>
      <c r="BSE43" s="31"/>
      <c r="BSF43" s="30"/>
      <c r="BSG43" s="31"/>
      <c r="BSH43" s="30"/>
      <c r="BSI43" s="31"/>
      <c r="BSJ43" s="30"/>
      <c r="BSK43" s="31"/>
      <c r="BSL43" s="30"/>
      <c r="BSM43" s="31"/>
      <c r="BSN43" s="30"/>
      <c r="BSO43" s="31"/>
      <c r="BSP43" s="30"/>
      <c r="BSQ43" s="31"/>
      <c r="BSR43" s="30"/>
      <c r="BSS43" s="31"/>
      <c r="BST43" s="30"/>
      <c r="BSU43" s="31"/>
      <c r="BSV43" s="30"/>
      <c r="BSW43" s="31"/>
      <c r="BSX43" s="30"/>
      <c r="BSY43" s="31"/>
      <c r="BSZ43" s="30"/>
      <c r="BTA43" s="31"/>
      <c r="BTB43" s="30"/>
      <c r="BTC43" s="31"/>
      <c r="BTD43" s="30"/>
      <c r="BTE43" s="31"/>
      <c r="BTF43" s="30"/>
      <c r="BTG43" s="31"/>
      <c r="BTH43" s="30"/>
      <c r="BTI43" s="31"/>
      <c r="BTJ43" s="30"/>
      <c r="BTK43" s="31"/>
      <c r="BTL43" s="30"/>
      <c r="BTM43" s="31"/>
      <c r="BTN43" s="30"/>
      <c r="BTO43" s="31"/>
      <c r="BTP43" s="30"/>
      <c r="BTQ43" s="31"/>
      <c r="BTR43" s="30"/>
      <c r="BTS43" s="31"/>
      <c r="BTT43" s="30"/>
      <c r="BTU43" s="31"/>
      <c r="BTV43" s="30"/>
      <c r="BTW43" s="31"/>
      <c r="BTX43" s="30"/>
      <c r="BTY43" s="31"/>
      <c r="BTZ43" s="30"/>
      <c r="BUA43" s="31"/>
      <c r="BUB43" s="30"/>
      <c r="BUC43" s="31"/>
      <c r="BUD43" s="30"/>
      <c r="BUE43" s="31"/>
      <c r="BUF43" s="30"/>
      <c r="BUG43" s="31"/>
      <c r="BUH43" s="30"/>
      <c r="BUI43" s="31"/>
      <c r="BUJ43" s="30"/>
      <c r="BUK43" s="31"/>
      <c r="BUL43" s="30"/>
      <c r="BUM43" s="31"/>
      <c r="BUN43" s="30"/>
      <c r="BUO43" s="31"/>
      <c r="BUP43" s="30"/>
      <c r="BUQ43" s="31"/>
      <c r="BUR43" s="30"/>
      <c r="BUS43" s="31"/>
      <c r="BUT43" s="30"/>
      <c r="BUU43" s="31"/>
      <c r="BUV43" s="30"/>
      <c r="BUW43" s="31"/>
      <c r="BUX43" s="30"/>
      <c r="BUY43" s="31"/>
      <c r="BUZ43" s="30"/>
      <c r="BVA43" s="31"/>
      <c r="BVB43" s="30"/>
      <c r="BVC43" s="31"/>
      <c r="BVD43" s="30"/>
      <c r="BVE43" s="31"/>
      <c r="BVF43" s="30"/>
      <c r="BVG43" s="31"/>
      <c r="BVH43" s="30"/>
      <c r="BVI43" s="31"/>
      <c r="BVJ43" s="30"/>
      <c r="BVK43" s="31"/>
      <c r="BVL43" s="30"/>
      <c r="BVM43" s="31"/>
      <c r="BVN43" s="30"/>
      <c r="BVO43" s="31"/>
      <c r="BVP43" s="30"/>
      <c r="BVQ43" s="31"/>
      <c r="BVR43" s="30"/>
      <c r="BVS43" s="31"/>
      <c r="BVT43" s="30"/>
      <c r="BVU43" s="31"/>
      <c r="BVV43" s="30"/>
      <c r="BVW43" s="31"/>
      <c r="BVX43" s="30"/>
      <c r="BVY43" s="31"/>
      <c r="BVZ43" s="30"/>
      <c r="BWA43" s="31"/>
      <c r="BWB43" s="30"/>
      <c r="BWC43" s="31"/>
      <c r="BWD43" s="30"/>
      <c r="BWE43" s="31"/>
      <c r="BWF43" s="30"/>
      <c r="BWG43" s="31"/>
      <c r="BWH43" s="30"/>
      <c r="BWI43" s="31"/>
      <c r="BWJ43" s="30"/>
      <c r="BWK43" s="31"/>
      <c r="BWL43" s="30"/>
      <c r="BWM43" s="31"/>
      <c r="BWN43" s="30"/>
      <c r="BWO43" s="31"/>
      <c r="BWP43" s="30"/>
      <c r="BWQ43" s="31"/>
      <c r="BWR43" s="30"/>
      <c r="BWS43" s="31"/>
      <c r="BWT43" s="30"/>
      <c r="BWU43" s="31"/>
      <c r="BWV43" s="30"/>
      <c r="BWW43" s="31"/>
      <c r="BWX43" s="30"/>
      <c r="BWY43" s="31"/>
      <c r="BWZ43" s="30"/>
      <c r="BXA43" s="31"/>
      <c r="BXB43" s="30"/>
      <c r="BXC43" s="31"/>
      <c r="BXD43" s="30"/>
      <c r="BXE43" s="31"/>
      <c r="BXF43" s="30"/>
      <c r="BXG43" s="31"/>
      <c r="BXH43" s="30"/>
      <c r="BXI43" s="31"/>
      <c r="BXJ43" s="30"/>
      <c r="BXK43" s="31"/>
      <c r="BXL43" s="30"/>
      <c r="BXM43" s="31"/>
      <c r="BXN43" s="30"/>
      <c r="BXO43" s="31"/>
      <c r="BXP43" s="30"/>
      <c r="BXQ43" s="31"/>
      <c r="BXR43" s="30"/>
      <c r="BXS43" s="31"/>
      <c r="BXT43" s="30"/>
      <c r="BXU43" s="31"/>
      <c r="BXV43" s="30"/>
      <c r="BXW43" s="31"/>
      <c r="BXX43" s="30"/>
      <c r="BXY43" s="31"/>
      <c r="BXZ43" s="30"/>
      <c r="BYA43" s="31"/>
      <c r="BYB43" s="30"/>
      <c r="BYC43" s="31"/>
      <c r="BYD43" s="30"/>
      <c r="BYE43" s="31"/>
      <c r="BYF43" s="30"/>
      <c r="BYG43" s="31"/>
      <c r="BYH43" s="30"/>
      <c r="BYI43" s="31"/>
      <c r="BYJ43" s="30"/>
      <c r="BYK43" s="31"/>
      <c r="BYL43" s="30"/>
      <c r="BYM43" s="31"/>
      <c r="BYN43" s="30"/>
      <c r="BYO43" s="31"/>
      <c r="BYP43" s="30"/>
      <c r="BYQ43" s="31"/>
      <c r="BYR43" s="30"/>
      <c r="BYS43" s="31"/>
      <c r="BYT43" s="30"/>
      <c r="BYU43" s="31"/>
      <c r="BYV43" s="30"/>
      <c r="BYW43" s="31"/>
      <c r="BYX43" s="30"/>
      <c r="BYY43" s="31"/>
      <c r="BYZ43" s="30"/>
      <c r="BZA43" s="31"/>
      <c r="BZB43" s="30"/>
      <c r="BZC43" s="31"/>
      <c r="BZD43" s="30"/>
      <c r="BZE43" s="31"/>
      <c r="BZF43" s="30"/>
      <c r="BZG43" s="31"/>
      <c r="BZH43" s="30"/>
      <c r="BZI43" s="31"/>
      <c r="BZJ43" s="30"/>
      <c r="BZK43" s="31"/>
      <c r="BZL43" s="30"/>
      <c r="BZM43" s="31"/>
      <c r="BZN43" s="30"/>
      <c r="BZO43" s="31"/>
      <c r="BZP43" s="30"/>
      <c r="BZQ43" s="31"/>
      <c r="BZR43" s="30"/>
      <c r="BZS43" s="31"/>
      <c r="BZT43" s="30"/>
      <c r="BZU43" s="31"/>
      <c r="BZV43" s="30"/>
      <c r="BZW43" s="31"/>
      <c r="BZX43" s="30"/>
      <c r="BZY43" s="31"/>
      <c r="BZZ43" s="30"/>
      <c r="CAA43" s="31"/>
      <c r="CAB43" s="30"/>
      <c r="CAC43" s="31"/>
      <c r="CAD43" s="30"/>
      <c r="CAE43" s="31"/>
      <c r="CAF43" s="30"/>
      <c r="CAG43" s="31"/>
      <c r="CAH43" s="30"/>
      <c r="CAI43" s="31"/>
      <c r="CAJ43" s="30"/>
      <c r="CAK43" s="31"/>
      <c r="CAL43" s="30"/>
      <c r="CAM43" s="31"/>
      <c r="CAN43" s="30"/>
      <c r="CAO43" s="31"/>
      <c r="CAP43" s="30"/>
      <c r="CAQ43" s="31"/>
      <c r="CAR43" s="30"/>
      <c r="CAS43" s="31"/>
      <c r="CAT43" s="30"/>
      <c r="CAU43" s="31"/>
      <c r="CAV43" s="30"/>
      <c r="CAW43" s="31"/>
      <c r="CAX43" s="30"/>
      <c r="CAY43" s="31"/>
      <c r="CAZ43" s="30"/>
      <c r="CBA43" s="31"/>
      <c r="CBB43" s="30"/>
      <c r="CBC43" s="31"/>
      <c r="CBD43" s="30"/>
      <c r="CBE43" s="31"/>
      <c r="CBF43" s="30"/>
      <c r="CBG43" s="31"/>
      <c r="CBH43" s="30"/>
      <c r="CBI43" s="31"/>
      <c r="CBJ43" s="30"/>
      <c r="CBK43" s="31"/>
      <c r="CBL43" s="30"/>
      <c r="CBM43" s="31"/>
      <c r="CBN43" s="30"/>
      <c r="CBO43" s="31"/>
      <c r="CBP43" s="30"/>
      <c r="CBQ43" s="31"/>
      <c r="CBR43" s="30"/>
      <c r="CBS43" s="31"/>
      <c r="CBT43" s="30"/>
      <c r="CBU43" s="31"/>
      <c r="CBV43" s="30"/>
      <c r="CBW43" s="31"/>
      <c r="CBX43" s="30"/>
      <c r="CBY43" s="31"/>
      <c r="CBZ43" s="30"/>
      <c r="CCA43" s="31"/>
      <c r="CCB43" s="30"/>
      <c r="CCC43" s="31"/>
      <c r="CCD43" s="30"/>
      <c r="CCE43" s="31"/>
      <c r="CCF43" s="30"/>
      <c r="CCG43" s="31"/>
      <c r="CCH43" s="30"/>
      <c r="CCI43" s="31"/>
      <c r="CCJ43" s="30"/>
      <c r="CCK43" s="31"/>
      <c r="CCL43" s="30"/>
      <c r="CCM43" s="31"/>
      <c r="CCN43" s="30"/>
      <c r="CCO43" s="31"/>
      <c r="CCP43" s="30"/>
      <c r="CCQ43" s="31"/>
      <c r="CCR43" s="30"/>
      <c r="CCS43" s="31"/>
      <c r="CCT43" s="30"/>
      <c r="CCU43" s="31"/>
      <c r="CCV43" s="30"/>
      <c r="CCW43" s="31"/>
      <c r="CCX43" s="30"/>
      <c r="CCY43" s="31"/>
      <c r="CCZ43" s="30"/>
      <c r="CDA43" s="31"/>
      <c r="CDB43" s="30"/>
      <c r="CDC43" s="31"/>
      <c r="CDD43" s="30"/>
      <c r="CDE43" s="31"/>
      <c r="CDF43" s="30"/>
      <c r="CDG43" s="31"/>
      <c r="CDH43" s="30"/>
      <c r="CDI43" s="31"/>
      <c r="CDJ43" s="30"/>
      <c r="CDK43" s="31"/>
      <c r="CDL43" s="30"/>
      <c r="CDM43" s="31"/>
      <c r="CDN43" s="30"/>
      <c r="CDO43" s="31"/>
      <c r="CDP43" s="30"/>
      <c r="CDQ43" s="31"/>
      <c r="CDR43" s="30"/>
      <c r="CDS43" s="31"/>
      <c r="CDT43" s="30"/>
      <c r="CDU43" s="31"/>
      <c r="CDV43" s="30"/>
      <c r="CDW43" s="31"/>
      <c r="CDX43" s="30"/>
      <c r="CDY43" s="31"/>
      <c r="CDZ43" s="30"/>
      <c r="CEA43" s="31"/>
      <c r="CEB43" s="30"/>
      <c r="CEC43" s="31"/>
      <c r="CED43" s="30"/>
      <c r="CEE43" s="31"/>
      <c r="CEF43" s="30"/>
      <c r="CEG43" s="31"/>
      <c r="CEH43" s="30"/>
      <c r="CEI43" s="31"/>
      <c r="CEJ43" s="30"/>
      <c r="CEK43" s="31"/>
      <c r="CEL43" s="30"/>
      <c r="CEM43" s="31"/>
      <c r="CEN43" s="30"/>
      <c r="CEO43" s="31"/>
      <c r="CEP43" s="30"/>
      <c r="CEQ43" s="31"/>
      <c r="CER43" s="30"/>
      <c r="CES43" s="31"/>
      <c r="CET43" s="30"/>
      <c r="CEU43" s="31"/>
      <c r="CEV43" s="30"/>
      <c r="CEW43" s="31"/>
      <c r="CEX43" s="30"/>
      <c r="CEY43" s="31"/>
      <c r="CEZ43" s="30"/>
      <c r="CFA43" s="31"/>
      <c r="CFB43" s="30"/>
      <c r="CFC43" s="31"/>
      <c r="CFD43" s="30"/>
      <c r="CFE43" s="31"/>
      <c r="CFF43" s="30"/>
      <c r="CFG43" s="31"/>
      <c r="CFH43" s="30"/>
      <c r="CFI43" s="31"/>
      <c r="CFJ43" s="30"/>
      <c r="CFK43" s="31"/>
      <c r="CFL43" s="30"/>
      <c r="CFM43" s="31"/>
      <c r="CFN43" s="30"/>
      <c r="CFO43" s="31"/>
      <c r="CFP43" s="30"/>
      <c r="CFQ43" s="31"/>
      <c r="CFR43" s="30"/>
      <c r="CFS43" s="31"/>
      <c r="CFT43" s="30"/>
      <c r="CFU43" s="31"/>
      <c r="CFV43" s="30"/>
      <c r="CFW43" s="31"/>
      <c r="CFX43" s="30"/>
      <c r="CFY43" s="31"/>
      <c r="CFZ43" s="30"/>
      <c r="CGA43" s="31"/>
      <c r="CGB43" s="30"/>
      <c r="CGC43" s="31"/>
      <c r="CGD43" s="30"/>
      <c r="CGE43" s="31"/>
      <c r="CGF43" s="30"/>
      <c r="CGG43" s="31"/>
      <c r="CGH43" s="30"/>
      <c r="CGI43" s="31"/>
      <c r="CGJ43" s="30"/>
      <c r="CGK43" s="31"/>
      <c r="CGL43" s="30"/>
      <c r="CGM43" s="31"/>
      <c r="CGN43" s="30"/>
      <c r="CGO43" s="31"/>
      <c r="CGP43" s="30"/>
      <c r="CGQ43" s="31"/>
      <c r="CGR43" s="30"/>
      <c r="CGS43" s="31"/>
      <c r="CGT43" s="30"/>
      <c r="CGU43" s="31"/>
      <c r="CGV43" s="30"/>
      <c r="CGW43" s="31"/>
      <c r="CGX43" s="30"/>
      <c r="CGY43" s="31"/>
      <c r="CGZ43" s="30"/>
      <c r="CHA43" s="31"/>
      <c r="CHB43" s="30"/>
      <c r="CHC43" s="31"/>
      <c r="CHD43" s="30"/>
      <c r="CHE43" s="31"/>
      <c r="CHF43" s="30"/>
      <c r="CHG43" s="31"/>
      <c r="CHH43" s="30"/>
      <c r="CHI43" s="31"/>
      <c r="CHJ43" s="30"/>
      <c r="CHK43" s="31"/>
      <c r="CHL43" s="30"/>
      <c r="CHM43" s="31"/>
      <c r="CHN43" s="30"/>
      <c r="CHO43" s="31"/>
      <c r="CHP43" s="30"/>
      <c r="CHQ43" s="31"/>
      <c r="CHR43" s="30"/>
      <c r="CHS43" s="31"/>
      <c r="CHT43" s="30"/>
      <c r="CHU43" s="31"/>
      <c r="CHV43" s="30"/>
      <c r="CHW43" s="31"/>
      <c r="CHX43" s="30"/>
      <c r="CHY43" s="31"/>
      <c r="CHZ43" s="30"/>
      <c r="CIA43" s="31"/>
      <c r="CIB43" s="30"/>
      <c r="CIC43" s="31"/>
      <c r="CID43" s="30"/>
      <c r="CIE43" s="31"/>
      <c r="CIF43" s="30"/>
      <c r="CIG43" s="31"/>
      <c r="CIH43" s="30"/>
      <c r="CII43" s="31"/>
      <c r="CIJ43" s="30"/>
      <c r="CIK43" s="31"/>
      <c r="CIL43" s="30"/>
      <c r="CIM43" s="31"/>
      <c r="CIN43" s="30"/>
      <c r="CIO43" s="31"/>
      <c r="CIP43" s="30"/>
      <c r="CIQ43" s="31"/>
      <c r="CIR43" s="30"/>
      <c r="CIS43" s="31"/>
      <c r="CIT43" s="30"/>
      <c r="CIU43" s="31"/>
      <c r="CIV43" s="30"/>
      <c r="CIW43" s="31"/>
      <c r="CIX43" s="30"/>
      <c r="CIY43" s="31"/>
      <c r="CIZ43" s="30"/>
      <c r="CJA43" s="31"/>
      <c r="CJB43" s="30"/>
      <c r="CJC43" s="31"/>
      <c r="CJD43" s="30"/>
      <c r="CJE43" s="31"/>
      <c r="CJF43" s="30"/>
      <c r="CJG43" s="31"/>
      <c r="CJH43" s="30"/>
      <c r="CJI43" s="31"/>
      <c r="CJJ43" s="30"/>
      <c r="CJK43" s="31"/>
      <c r="CJL43" s="30"/>
      <c r="CJM43" s="31"/>
      <c r="CJN43" s="30"/>
      <c r="CJO43" s="31"/>
      <c r="CJP43" s="30"/>
      <c r="CJQ43" s="31"/>
      <c r="CJR43" s="30"/>
      <c r="CJS43" s="31"/>
      <c r="CJT43" s="30"/>
      <c r="CJU43" s="31"/>
      <c r="CJV43" s="30"/>
      <c r="CJW43" s="31"/>
      <c r="CJX43" s="30"/>
      <c r="CJY43" s="31"/>
      <c r="CJZ43" s="30"/>
      <c r="CKA43" s="31"/>
      <c r="CKB43" s="30"/>
      <c r="CKC43" s="31"/>
      <c r="CKD43" s="30"/>
      <c r="CKE43" s="31"/>
      <c r="CKF43" s="30"/>
      <c r="CKG43" s="31"/>
      <c r="CKH43" s="30"/>
      <c r="CKI43" s="31"/>
      <c r="CKJ43" s="30"/>
      <c r="CKK43" s="31"/>
      <c r="CKL43" s="30"/>
      <c r="CKM43" s="31"/>
      <c r="CKN43" s="30"/>
      <c r="CKO43" s="31"/>
      <c r="CKP43" s="30"/>
      <c r="CKQ43" s="31"/>
      <c r="CKR43" s="30"/>
      <c r="CKS43" s="31"/>
      <c r="CKT43" s="30"/>
      <c r="CKU43" s="31"/>
      <c r="CKV43" s="30"/>
      <c r="CKW43" s="31"/>
      <c r="CKX43" s="30"/>
      <c r="CKY43" s="31"/>
      <c r="CKZ43" s="30"/>
      <c r="CLA43" s="31"/>
      <c r="CLB43" s="30"/>
      <c r="CLC43" s="31"/>
      <c r="CLD43" s="30"/>
      <c r="CLE43" s="31"/>
      <c r="CLF43" s="30"/>
      <c r="CLG43" s="31"/>
      <c r="CLH43" s="30"/>
      <c r="CLI43" s="31"/>
      <c r="CLJ43" s="30"/>
      <c r="CLK43" s="31"/>
      <c r="CLL43" s="30"/>
      <c r="CLM43" s="31"/>
      <c r="CLN43" s="30"/>
      <c r="CLO43" s="31"/>
      <c r="CLP43" s="30"/>
      <c r="CLQ43" s="31"/>
      <c r="CLR43" s="30"/>
      <c r="CLS43" s="31"/>
      <c r="CLT43" s="30"/>
      <c r="CLU43" s="31"/>
      <c r="CLV43" s="30"/>
      <c r="CLW43" s="31"/>
      <c r="CLX43" s="30"/>
      <c r="CLY43" s="31"/>
      <c r="CLZ43" s="30"/>
      <c r="CMA43" s="31"/>
      <c r="CMB43" s="30"/>
      <c r="CMC43" s="31"/>
      <c r="CMD43" s="30"/>
      <c r="CME43" s="31"/>
      <c r="CMF43" s="30"/>
      <c r="CMG43" s="31"/>
      <c r="CMH43" s="30"/>
      <c r="CMI43" s="31"/>
      <c r="CMJ43" s="30"/>
      <c r="CMK43" s="31"/>
      <c r="CML43" s="30"/>
      <c r="CMM43" s="31"/>
      <c r="CMN43" s="30"/>
      <c r="CMO43" s="31"/>
      <c r="CMP43" s="30"/>
      <c r="CMQ43" s="31"/>
      <c r="CMR43" s="30"/>
      <c r="CMS43" s="31"/>
      <c r="CMT43" s="30"/>
      <c r="CMU43" s="31"/>
      <c r="CMV43" s="30"/>
      <c r="CMW43" s="31"/>
      <c r="CMX43" s="30"/>
      <c r="CMY43" s="31"/>
      <c r="CMZ43" s="30"/>
      <c r="CNA43" s="31"/>
      <c r="CNB43" s="30"/>
      <c r="CNC43" s="31"/>
      <c r="CND43" s="30"/>
      <c r="CNE43" s="31"/>
      <c r="CNF43" s="30"/>
      <c r="CNG43" s="31"/>
      <c r="CNH43" s="30"/>
      <c r="CNI43" s="31"/>
      <c r="CNJ43" s="30"/>
      <c r="CNK43" s="31"/>
      <c r="CNL43" s="30"/>
      <c r="CNM43" s="31"/>
      <c r="CNN43" s="30"/>
      <c r="CNO43" s="31"/>
      <c r="CNP43" s="30"/>
      <c r="CNQ43" s="31"/>
      <c r="CNR43" s="30"/>
      <c r="CNS43" s="31"/>
      <c r="CNT43" s="30"/>
      <c r="CNU43" s="31"/>
      <c r="CNV43" s="30"/>
      <c r="CNW43" s="31"/>
      <c r="CNX43" s="30"/>
      <c r="CNY43" s="31"/>
      <c r="CNZ43" s="30"/>
      <c r="COA43" s="31"/>
      <c r="COB43" s="30"/>
      <c r="COC43" s="31"/>
      <c r="COD43" s="30"/>
      <c r="COE43" s="31"/>
      <c r="COF43" s="30"/>
      <c r="COG43" s="31"/>
      <c r="COH43" s="30"/>
      <c r="COI43" s="31"/>
      <c r="COJ43" s="30"/>
      <c r="COK43" s="31"/>
      <c r="COL43" s="30"/>
      <c r="COM43" s="31"/>
      <c r="CON43" s="30"/>
      <c r="COO43" s="31"/>
      <c r="COP43" s="30"/>
      <c r="COQ43" s="31"/>
      <c r="COR43" s="30"/>
      <c r="COS43" s="31"/>
      <c r="COT43" s="30"/>
      <c r="COU43" s="31"/>
      <c r="COV43" s="30"/>
      <c r="COW43" s="31"/>
      <c r="COX43" s="30"/>
      <c r="COY43" s="31"/>
      <c r="COZ43" s="30"/>
      <c r="CPA43" s="31"/>
      <c r="CPB43" s="30"/>
      <c r="CPC43" s="31"/>
      <c r="CPD43" s="30"/>
      <c r="CPE43" s="31"/>
      <c r="CPF43" s="30"/>
      <c r="CPG43" s="31"/>
      <c r="CPH43" s="30"/>
      <c r="CPI43" s="31"/>
      <c r="CPJ43" s="30"/>
      <c r="CPK43" s="31"/>
      <c r="CPL43" s="30"/>
      <c r="CPM43" s="31"/>
      <c r="CPN43" s="30"/>
      <c r="CPO43" s="31"/>
      <c r="CPP43" s="30"/>
      <c r="CPQ43" s="31"/>
      <c r="CPR43" s="30"/>
      <c r="CPS43" s="31"/>
      <c r="CPT43" s="30"/>
      <c r="CPU43" s="31"/>
      <c r="CPV43" s="30"/>
      <c r="CPW43" s="31"/>
      <c r="CPX43" s="30"/>
      <c r="CPY43" s="31"/>
      <c r="CPZ43" s="30"/>
      <c r="CQA43" s="31"/>
      <c r="CQB43" s="30"/>
      <c r="CQC43" s="31"/>
      <c r="CQD43" s="30"/>
      <c r="CQE43" s="31"/>
      <c r="CQF43" s="30"/>
      <c r="CQG43" s="31"/>
      <c r="CQH43" s="30"/>
      <c r="CQI43" s="31"/>
      <c r="CQJ43" s="30"/>
      <c r="CQK43" s="31"/>
      <c r="CQL43" s="30"/>
      <c r="CQM43" s="31"/>
      <c r="CQN43" s="30"/>
      <c r="CQO43" s="31"/>
      <c r="CQP43" s="30"/>
      <c r="CQQ43" s="31"/>
      <c r="CQR43" s="30"/>
      <c r="CQS43" s="31"/>
      <c r="CQT43" s="30"/>
      <c r="CQU43" s="31"/>
      <c r="CQV43" s="30"/>
      <c r="CQW43" s="31"/>
      <c r="CQX43" s="30"/>
      <c r="CQY43" s="31"/>
      <c r="CQZ43" s="30"/>
      <c r="CRA43" s="31"/>
      <c r="CRB43" s="30"/>
      <c r="CRC43" s="31"/>
      <c r="CRD43" s="30"/>
      <c r="CRE43" s="31"/>
      <c r="CRF43" s="30"/>
      <c r="CRG43" s="31"/>
      <c r="CRH43" s="30"/>
      <c r="CRI43" s="31"/>
      <c r="CRJ43" s="30"/>
      <c r="CRK43" s="31"/>
      <c r="CRL43" s="30"/>
      <c r="CRM43" s="31"/>
      <c r="CRN43" s="30"/>
      <c r="CRO43" s="31"/>
      <c r="CRP43" s="30"/>
      <c r="CRQ43" s="31"/>
      <c r="CRR43" s="30"/>
      <c r="CRS43" s="31"/>
      <c r="CRT43" s="30"/>
      <c r="CRU43" s="31"/>
      <c r="CRV43" s="30"/>
      <c r="CRW43" s="31"/>
      <c r="CRX43" s="30"/>
      <c r="CRY43" s="31"/>
      <c r="CRZ43" s="30"/>
      <c r="CSA43" s="31"/>
      <c r="CSB43" s="30"/>
      <c r="CSC43" s="31"/>
      <c r="CSD43" s="30"/>
      <c r="CSE43" s="31"/>
      <c r="CSF43" s="30"/>
      <c r="CSG43" s="31"/>
      <c r="CSH43" s="30"/>
      <c r="CSI43" s="31"/>
      <c r="CSJ43" s="30"/>
      <c r="CSK43" s="31"/>
      <c r="CSL43" s="30"/>
      <c r="CSM43" s="31"/>
      <c r="CSN43" s="30"/>
      <c r="CSO43" s="31"/>
      <c r="CSP43" s="30"/>
      <c r="CSQ43" s="31"/>
      <c r="CSR43" s="30"/>
      <c r="CSS43" s="31"/>
      <c r="CST43" s="30"/>
      <c r="CSU43" s="31"/>
      <c r="CSV43" s="30"/>
      <c r="CSW43" s="31"/>
      <c r="CSX43" s="30"/>
      <c r="CSY43" s="31"/>
      <c r="CSZ43" s="30"/>
      <c r="CTA43" s="31"/>
      <c r="CTB43" s="30"/>
      <c r="CTC43" s="31"/>
      <c r="CTD43" s="30"/>
      <c r="CTE43" s="31"/>
      <c r="CTF43" s="30"/>
      <c r="CTG43" s="31"/>
      <c r="CTH43" s="30"/>
      <c r="CTI43" s="31"/>
      <c r="CTJ43" s="30"/>
      <c r="CTK43" s="31"/>
      <c r="CTL43" s="30"/>
      <c r="CTM43" s="31"/>
      <c r="CTN43" s="30"/>
      <c r="CTO43" s="31"/>
      <c r="CTP43" s="30"/>
      <c r="CTQ43" s="31"/>
      <c r="CTR43" s="30"/>
      <c r="CTS43" s="31"/>
      <c r="CTT43" s="30"/>
      <c r="CTU43" s="31"/>
      <c r="CTV43" s="30"/>
      <c r="CTW43" s="31"/>
      <c r="CTX43" s="30"/>
      <c r="CTY43" s="31"/>
      <c r="CTZ43" s="30"/>
      <c r="CUA43" s="31"/>
      <c r="CUB43" s="30"/>
      <c r="CUC43" s="31"/>
      <c r="CUD43" s="30"/>
      <c r="CUE43" s="31"/>
      <c r="CUF43" s="30"/>
      <c r="CUG43" s="31"/>
      <c r="CUH43" s="30"/>
      <c r="CUI43" s="31"/>
      <c r="CUJ43" s="30"/>
      <c r="CUK43" s="31"/>
      <c r="CUL43" s="30"/>
      <c r="CUM43" s="31"/>
      <c r="CUN43" s="30"/>
      <c r="CUO43" s="31"/>
      <c r="CUP43" s="30"/>
      <c r="CUQ43" s="31"/>
      <c r="CUR43" s="30"/>
      <c r="CUS43" s="31"/>
      <c r="CUT43" s="30"/>
      <c r="CUU43" s="31"/>
      <c r="CUV43" s="30"/>
      <c r="CUW43" s="31"/>
      <c r="CUX43" s="30"/>
      <c r="CUY43" s="31"/>
      <c r="CUZ43" s="30"/>
      <c r="CVA43" s="31"/>
      <c r="CVB43" s="30"/>
      <c r="CVC43" s="31"/>
      <c r="CVD43" s="30"/>
      <c r="CVE43" s="31"/>
      <c r="CVF43" s="30"/>
      <c r="CVG43" s="31"/>
      <c r="CVH43" s="30"/>
      <c r="CVI43" s="31"/>
      <c r="CVJ43" s="30"/>
      <c r="CVK43" s="31"/>
      <c r="CVL43" s="30"/>
      <c r="CVM43" s="31"/>
      <c r="CVN43" s="30"/>
      <c r="CVO43" s="31"/>
      <c r="CVP43" s="30"/>
      <c r="CVQ43" s="31"/>
      <c r="CVR43" s="30"/>
      <c r="CVS43" s="31"/>
      <c r="CVT43" s="30"/>
      <c r="CVU43" s="31"/>
      <c r="CVV43" s="30"/>
      <c r="CVW43" s="31"/>
      <c r="CVX43" s="30"/>
      <c r="CVY43" s="31"/>
      <c r="CVZ43" s="30"/>
      <c r="CWA43" s="31"/>
      <c r="CWB43" s="30"/>
      <c r="CWC43" s="31"/>
      <c r="CWD43" s="30"/>
      <c r="CWE43" s="31"/>
      <c r="CWF43" s="30"/>
      <c r="CWG43" s="31"/>
      <c r="CWH43" s="30"/>
      <c r="CWI43" s="31"/>
      <c r="CWJ43" s="30"/>
      <c r="CWK43" s="31"/>
      <c r="CWL43" s="30"/>
      <c r="CWM43" s="31"/>
      <c r="CWN43" s="30"/>
      <c r="CWO43" s="31"/>
      <c r="CWP43" s="30"/>
      <c r="CWQ43" s="31"/>
      <c r="CWR43" s="30"/>
      <c r="CWS43" s="31"/>
      <c r="CWT43" s="30"/>
      <c r="CWU43" s="31"/>
      <c r="CWV43" s="30"/>
      <c r="CWW43" s="31"/>
      <c r="CWX43" s="30"/>
      <c r="CWY43" s="31"/>
      <c r="CWZ43" s="30"/>
      <c r="CXA43" s="31"/>
      <c r="CXB43" s="30"/>
      <c r="CXC43" s="31"/>
      <c r="CXD43" s="30"/>
      <c r="CXE43" s="31"/>
      <c r="CXF43" s="30"/>
      <c r="CXG43" s="31"/>
      <c r="CXH43" s="30"/>
      <c r="CXI43" s="31"/>
      <c r="CXJ43" s="30"/>
      <c r="CXK43" s="31"/>
      <c r="CXL43" s="30"/>
      <c r="CXM43" s="31"/>
      <c r="CXN43" s="30"/>
      <c r="CXO43" s="31"/>
      <c r="CXP43" s="30"/>
      <c r="CXQ43" s="31"/>
      <c r="CXR43" s="30"/>
      <c r="CXS43" s="31"/>
      <c r="CXT43" s="30"/>
      <c r="CXU43" s="31"/>
      <c r="CXV43" s="30"/>
      <c r="CXW43" s="31"/>
      <c r="CXX43" s="30"/>
      <c r="CXY43" s="31"/>
      <c r="CXZ43" s="30"/>
      <c r="CYA43" s="31"/>
      <c r="CYB43" s="30"/>
      <c r="CYC43" s="31"/>
      <c r="CYD43" s="30"/>
      <c r="CYE43" s="31"/>
      <c r="CYF43" s="30"/>
      <c r="CYG43" s="31"/>
      <c r="CYH43" s="30"/>
      <c r="CYI43" s="31"/>
      <c r="CYJ43" s="30"/>
      <c r="CYK43" s="31"/>
      <c r="CYL43" s="30"/>
      <c r="CYM43" s="31"/>
      <c r="CYN43" s="30"/>
      <c r="CYO43" s="31"/>
      <c r="CYP43" s="30"/>
      <c r="CYQ43" s="31"/>
      <c r="CYR43" s="30"/>
      <c r="CYS43" s="31"/>
      <c r="CYT43" s="30"/>
      <c r="CYU43" s="31"/>
      <c r="CYV43" s="30"/>
      <c r="CYW43" s="31"/>
      <c r="CYX43" s="30"/>
      <c r="CYY43" s="31"/>
      <c r="CYZ43" s="30"/>
      <c r="CZA43" s="31"/>
      <c r="CZB43" s="30"/>
      <c r="CZC43" s="31"/>
      <c r="CZD43" s="30"/>
      <c r="CZE43" s="31"/>
      <c r="CZF43" s="30"/>
      <c r="CZG43" s="31"/>
      <c r="CZH43" s="30"/>
      <c r="CZI43" s="31"/>
      <c r="CZJ43" s="30"/>
      <c r="CZK43" s="31"/>
      <c r="CZL43" s="30"/>
      <c r="CZM43" s="31"/>
      <c r="CZN43" s="30"/>
      <c r="CZO43" s="31"/>
      <c r="CZP43" s="30"/>
      <c r="CZQ43" s="31"/>
      <c r="CZR43" s="30"/>
      <c r="CZS43" s="31"/>
      <c r="CZT43" s="30"/>
      <c r="CZU43" s="31"/>
      <c r="CZV43" s="30"/>
      <c r="CZW43" s="31"/>
      <c r="CZX43" s="30"/>
      <c r="CZY43" s="31"/>
      <c r="CZZ43" s="30"/>
      <c r="DAA43" s="31"/>
      <c r="DAB43" s="30"/>
      <c r="DAC43" s="31"/>
      <c r="DAD43" s="30"/>
      <c r="DAE43" s="31"/>
      <c r="DAF43" s="30"/>
      <c r="DAG43" s="31"/>
      <c r="DAH43" s="30"/>
      <c r="DAI43" s="31"/>
      <c r="DAJ43" s="30"/>
      <c r="DAK43" s="31"/>
      <c r="DAL43" s="30"/>
      <c r="DAM43" s="31"/>
      <c r="DAN43" s="30"/>
      <c r="DAO43" s="31"/>
      <c r="DAP43" s="30"/>
      <c r="DAQ43" s="31"/>
      <c r="DAR43" s="30"/>
      <c r="DAS43" s="31"/>
      <c r="DAT43" s="30"/>
      <c r="DAU43" s="31"/>
      <c r="DAV43" s="30"/>
      <c r="DAW43" s="31"/>
      <c r="DAX43" s="30"/>
      <c r="DAY43" s="31"/>
      <c r="DAZ43" s="30"/>
      <c r="DBA43" s="31"/>
      <c r="DBB43" s="30"/>
      <c r="DBC43" s="31"/>
      <c r="DBD43" s="30"/>
      <c r="DBE43" s="31"/>
      <c r="DBF43" s="30"/>
      <c r="DBG43" s="31"/>
      <c r="DBH43" s="30"/>
      <c r="DBI43" s="31"/>
      <c r="DBJ43" s="30"/>
      <c r="DBK43" s="31"/>
      <c r="DBL43" s="30"/>
      <c r="DBM43" s="31"/>
      <c r="DBN43" s="30"/>
      <c r="DBO43" s="31"/>
      <c r="DBP43" s="30"/>
      <c r="DBQ43" s="31"/>
      <c r="DBR43" s="30"/>
      <c r="DBS43" s="31"/>
      <c r="DBT43" s="30"/>
      <c r="DBU43" s="31"/>
      <c r="DBV43" s="30"/>
      <c r="DBW43" s="31"/>
      <c r="DBX43" s="30"/>
      <c r="DBY43" s="31"/>
      <c r="DBZ43" s="30"/>
      <c r="DCA43" s="31"/>
      <c r="DCB43" s="30"/>
      <c r="DCC43" s="31"/>
      <c r="DCD43" s="30"/>
      <c r="DCE43" s="31"/>
      <c r="DCF43" s="30"/>
      <c r="DCG43" s="31"/>
      <c r="DCH43" s="30"/>
      <c r="DCI43" s="31"/>
      <c r="DCJ43" s="30"/>
      <c r="DCK43" s="31"/>
      <c r="DCL43" s="30"/>
      <c r="DCM43" s="31"/>
      <c r="DCN43" s="30"/>
      <c r="DCO43" s="31"/>
      <c r="DCP43" s="30"/>
      <c r="DCQ43" s="31"/>
      <c r="DCR43" s="30"/>
      <c r="DCS43" s="31"/>
      <c r="DCT43" s="30"/>
      <c r="DCU43" s="31"/>
      <c r="DCV43" s="30"/>
      <c r="DCW43" s="31"/>
      <c r="DCX43" s="30"/>
      <c r="DCY43" s="31"/>
      <c r="DCZ43" s="30"/>
      <c r="DDA43" s="31"/>
      <c r="DDB43" s="30"/>
      <c r="DDC43" s="31"/>
      <c r="DDD43" s="30"/>
      <c r="DDE43" s="31"/>
      <c r="DDF43" s="30"/>
      <c r="DDG43" s="31"/>
      <c r="DDH43" s="30"/>
      <c r="DDI43" s="31"/>
      <c r="DDJ43" s="30"/>
      <c r="DDK43" s="31"/>
      <c r="DDL43" s="30"/>
      <c r="DDM43" s="31"/>
      <c r="DDN43" s="30"/>
      <c r="DDO43" s="31"/>
      <c r="DDP43" s="30"/>
      <c r="DDQ43" s="31"/>
      <c r="DDR43" s="30"/>
      <c r="DDS43" s="31"/>
      <c r="DDT43" s="30"/>
      <c r="DDU43" s="31"/>
      <c r="DDV43" s="30"/>
      <c r="DDW43" s="31"/>
      <c r="DDX43" s="30"/>
      <c r="DDY43" s="31"/>
      <c r="DDZ43" s="30"/>
      <c r="DEA43" s="31"/>
      <c r="DEB43" s="30"/>
      <c r="DEC43" s="31"/>
      <c r="DED43" s="30"/>
      <c r="DEE43" s="31"/>
      <c r="DEF43" s="30"/>
      <c r="DEG43" s="31"/>
      <c r="DEH43" s="30"/>
      <c r="DEI43" s="31"/>
      <c r="DEJ43" s="30"/>
      <c r="DEK43" s="31"/>
      <c r="DEL43" s="30"/>
      <c r="DEM43" s="31"/>
      <c r="DEN43" s="30"/>
      <c r="DEO43" s="31"/>
      <c r="DEP43" s="30"/>
      <c r="DEQ43" s="31"/>
      <c r="DER43" s="30"/>
      <c r="DES43" s="31"/>
      <c r="DET43" s="30"/>
      <c r="DEU43" s="31"/>
      <c r="DEV43" s="30"/>
      <c r="DEW43" s="31"/>
      <c r="DEX43" s="30"/>
      <c r="DEY43" s="31"/>
      <c r="DEZ43" s="30"/>
      <c r="DFA43" s="31"/>
      <c r="DFB43" s="30"/>
      <c r="DFC43" s="31"/>
      <c r="DFD43" s="30"/>
      <c r="DFE43" s="31"/>
      <c r="DFF43" s="30"/>
      <c r="DFG43" s="31"/>
      <c r="DFH43" s="30"/>
      <c r="DFI43" s="31"/>
      <c r="DFJ43" s="30"/>
      <c r="DFK43" s="31"/>
      <c r="DFL43" s="30"/>
      <c r="DFM43" s="31"/>
      <c r="DFN43" s="30"/>
      <c r="DFO43" s="31"/>
      <c r="DFP43" s="30"/>
      <c r="DFQ43" s="31"/>
      <c r="DFR43" s="30"/>
      <c r="DFS43" s="31"/>
      <c r="DFT43" s="30"/>
      <c r="DFU43" s="31"/>
      <c r="DFV43" s="30"/>
      <c r="DFW43" s="31"/>
      <c r="DFX43" s="30"/>
      <c r="DFY43" s="31"/>
      <c r="DFZ43" s="30"/>
      <c r="DGA43" s="31"/>
      <c r="DGB43" s="30"/>
      <c r="DGC43" s="31"/>
      <c r="DGD43" s="30"/>
      <c r="DGE43" s="31"/>
      <c r="DGF43" s="30"/>
      <c r="DGG43" s="31"/>
      <c r="DGH43" s="30"/>
      <c r="DGI43" s="31"/>
      <c r="DGJ43" s="30"/>
      <c r="DGK43" s="31"/>
      <c r="DGL43" s="30"/>
      <c r="DGM43" s="31"/>
      <c r="DGN43" s="30"/>
      <c r="DGO43" s="31"/>
      <c r="DGP43" s="30"/>
      <c r="DGQ43" s="31"/>
      <c r="DGR43" s="30"/>
      <c r="DGS43" s="31"/>
      <c r="DGT43" s="30"/>
      <c r="DGU43" s="31"/>
      <c r="DGV43" s="30"/>
      <c r="DGW43" s="31"/>
      <c r="DGX43" s="30"/>
      <c r="DGY43" s="31"/>
      <c r="DGZ43" s="30"/>
      <c r="DHA43" s="31"/>
      <c r="DHB43" s="30"/>
      <c r="DHC43" s="31"/>
      <c r="DHD43" s="30"/>
      <c r="DHE43" s="31"/>
      <c r="DHF43" s="30"/>
      <c r="DHG43" s="31"/>
      <c r="DHH43" s="30"/>
      <c r="DHI43" s="31"/>
      <c r="DHJ43" s="30"/>
      <c r="DHK43" s="31"/>
      <c r="DHL43" s="30"/>
      <c r="DHM43" s="31"/>
      <c r="DHN43" s="30"/>
      <c r="DHO43" s="31"/>
      <c r="DHP43" s="30"/>
      <c r="DHQ43" s="31"/>
      <c r="DHR43" s="30"/>
      <c r="DHS43" s="31"/>
      <c r="DHT43" s="30"/>
      <c r="DHU43" s="31"/>
      <c r="DHV43" s="30"/>
      <c r="DHW43" s="31"/>
      <c r="DHX43" s="30"/>
      <c r="DHY43" s="31"/>
      <c r="DHZ43" s="30"/>
      <c r="DIA43" s="31"/>
      <c r="DIB43" s="30"/>
      <c r="DIC43" s="31"/>
      <c r="DID43" s="30"/>
      <c r="DIE43" s="31"/>
      <c r="DIF43" s="30"/>
      <c r="DIG43" s="31"/>
      <c r="DIH43" s="30"/>
      <c r="DII43" s="31"/>
      <c r="DIJ43" s="30"/>
      <c r="DIK43" s="31"/>
      <c r="DIL43" s="30"/>
      <c r="DIM43" s="31"/>
      <c r="DIN43" s="30"/>
      <c r="DIO43" s="31"/>
      <c r="DIP43" s="30"/>
      <c r="DIQ43" s="31"/>
      <c r="DIR43" s="30"/>
      <c r="DIS43" s="31"/>
      <c r="DIT43" s="30"/>
      <c r="DIU43" s="31"/>
      <c r="DIV43" s="30"/>
      <c r="DIW43" s="31"/>
      <c r="DIX43" s="30"/>
      <c r="DIY43" s="31"/>
      <c r="DIZ43" s="30"/>
      <c r="DJA43" s="31"/>
      <c r="DJB43" s="30"/>
      <c r="DJC43" s="31"/>
      <c r="DJD43" s="30"/>
      <c r="DJE43" s="31"/>
      <c r="DJF43" s="30"/>
      <c r="DJG43" s="31"/>
      <c r="DJH43" s="30"/>
      <c r="DJI43" s="31"/>
      <c r="DJJ43" s="30"/>
      <c r="DJK43" s="31"/>
      <c r="DJL43" s="30"/>
      <c r="DJM43" s="31"/>
      <c r="DJN43" s="30"/>
      <c r="DJO43" s="31"/>
      <c r="DJP43" s="30"/>
      <c r="DJQ43" s="31"/>
      <c r="DJR43" s="30"/>
      <c r="DJS43" s="31"/>
      <c r="DJT43" s="30"/>
      <c r="DJU43" s="31"/>
      <c r="DJV43" s="30"/>
      <c r="DJW43" s="31"/>
      <c r="DJX43" s="30"/>
      <c r="DJY43" s="31"/>
      <c r="DJZ43" s="30"/>
      <c r="DKA43" s="31"/>
      <c r="DKB43" s="30"/>
      <c r="DKC43" s="31"/>
      <c r="DKD43" s="30"/>
      <c r="DKE43" s="31"/>
      <c r="DKF43" s="30"/>
      <c r="DKG43" s="31"/>
      <c r="DKH43" s="30"/>
      <c r="DKI43" s="31"/>
      <c r="DKJ43" s="30"/>
      <c r="DKK43" s="31"/>
      <c r="DKL43" s="30"/>
      <c r="DKM43" s="31"/>
      <c r="DKN43" s="30"/>
      <c r="DKO43" s="31"/>
      <c r="DKP43" s="30"/>
      <c r="DKQ43" s="31"/>
      <c r="DKR43" s="30"/>
      <c r="DKS43" s="31"/>
      <c r="DKT43" s="30"/>
      <c r="DKU43" s="31"/>
      <c r="DKV43" s="30"/>
      <c r="DKW43" s="31"/>
      <c r="DKX43" s="30"/>
      <c r="DKY43" s="31"/>
      <c r="DKZ43" s="30"/>
      <c r="DLA43" s="31"/>
      <c r="DLB43" s="30"/>
      <c r="DLC43" s="31"/>
      <c r="DLD43" s="30"/>
      <c r="DLE43" s="31"/>
      <c r="DLF43" s="30"/>
      <c r="DLG43" s="31"/>
      <c r="DLH43" s="30"/>
      <c r="DLI43" s="31"/>
      <c r="DLJ43" s="30"/>
      <c r="DLK43" s="31"/>
      <c r="DLL43" s="30"/>
      <c r="DLM43" s="31"/>
      <c r="DLN43" s="30"/>
      <c r="DLO43" s="31"/>
      <c r="DLP43" s="30"/>
      <c r="DLQ43" s="31"/>
      <c r="DLR43" s="30"/>
      <c r="DLS43" s="31"/>
      <c r="DLT43" s="30"/>
      <c r="DLU43" s="31"/>
      <c r="DLV43" s="30"/>
      <c r="DLW43" s="31"/>
      <c r="DLX43" s="30"/>
      <c r="DLY43" s="31"/>
      <c r="DLZ43" s="30"/>
      <c r="DMA43" s="31"/>
      <c r="DMB43" s="30"/>
      <c r="DMC43" s="31"/>
      <c r="DMD43" s="30"/>
      <c r="DME43" s="31"/>
      <c r="DMF43" s="30"/>
      <c r="DMG43" s="31"/>
      <c r="DMH43" s="30"/>
      <c r="DMI43" s="31"/>
      <c r="DMJ43" s="30"/>
      <c r="DMK43" s="31"/>
      <c r="DML43" s="30"/>
      <c r="DMM43" s="31"/>
      <c r="DMN43" s="30"/>
      <c r="DMO43" s="31"/>
      <c r="DMP43" s="30"/>
      <c r="DMQ43" s="31"/>
      <c r="DMR43" s="30"/>
      <c r="DMS43" s="31"/>
      <c r="DMT43" s="30"/>
      <c r="DMU43" s="31"/>
      <c r="DMV43" s="30"/>
      <c r="DMW43" s="31"/>
      <c r="DMX43" s="30"/>
      <c r="DMY43" s="31"/>
      <c r="DMZ43" s="30"/>
      <c r="DNA43" s="31"/>
      <c r="DNB43" s="30"/>
      <c r="DNC43" s="31"/>
      <c r="DND43" s="30"/>
      <c r="DNE43" s="31"/>
      <c r="DNF43" s="30"/>
      <c r="DNG43" s="31"/>
      <c r="DNH43" s="30"/>
      <c r="DNI43" s="31"/>
      <c r="DNJ43" s="30"/>
      <c r="DNK43" s="31"/>
      <c r="DNL43" s="30"/>
      <c r="DNM43" s="31"/>
      <c r="DNN43" s="30"/>
      <c r="DNO43" s="31"/>
      <c r="DNP43" s="30"/>
      <c r="DNQ43" s="31"/>
      <c r="DNR43" s="30"/>
      <c r="DNS43" s="31"/>
      <c r="DNT43" s="30"/>
      <c r="DNU43" s="31"/>
      <c r="DNV43" s="30"/>
      <c r="DNW43" s="31"/>
      <c r="DNX43" s="30"/>
      <c r="DNY43" s="31"/>
      <c r="DNZ43" s="30"/>
      <c r="DOA43" s="31"/>
      <c r="DOB43" s="30"/>
      <c r="DOC43" s="31"/>
      <c r="DOD43" s="30"/>
      <c r="DOE43" s="31"/>
      <c r="DOF43" s="30"/>
      <c r="DOG43" s="31"/>
      <c r="DOH43" s="30"/>
      <c r="DOI43" s="31"/>
      <c r="DOJ43" s="30"/>
      <c r="DOK43" s="31"/>
      <c r="DOL43" s="30"/>
      <c r="DOM43" s="31"/>
      <c r="DON43" s="30"/>
      <c r="DOO43" s="31"/>
      <c r="DOP43" s="30"/>
      <c r="DOQ43" s="31"/>
      <c r="DOR43" s="30"/>
      <c r="DOS43" s="31"/>
      <c r="DOT43" s="30"/>
      <c r="DOU43" s="31"/>
      <c r="DOV43" s="30"/>
      <c r="DOW43" s="31"/>
      <c r="DOX43" s="30"/>
      <c r="DOY43" s="31"/>
      <c r="DOZ43" s="30"/>
      <c r="DPA43" s="31"/>
      <c r="DPB43" s="30"/>
      <c r="DPC43" s="31"/>
      <c r="DPD43" s="30"/>
      <c r="DPE43" s="31"/>
      <c r="DPF43" s="30"/>
      <c r="DPG43" s="31"/>
      <c r="DPH43" s="30"/>
      <c r="DPI43" s="31"/>
      <c r="DPJ43" s="30"/>
      <c r="DPK43" s="31"/>
      <c r="DPL43" s="30"/>
      <c r="DPM43" s="31"/>
      <c r="DPN43" s="30"/>
      <c r="DPO43" s="31"/>
      <c r="DPP43" s="30"/>
      <c r="DPQ43" s="31"/>
      <c r="DPR43" s="30"/>
      <c r="DPS43" s="31"/>
      <c r="DPT43" s="30"/>
      <c r="DPU43" s="31"/>
      <c r="DPV43" s="30"/>
      <c r="DPW43" s="31"/>
      <c r="DPX43" s="30"/>
      <c r="DPY43" s="31"/>
      <c r="DPZ43" s="30"/>
      <c r="DQA43" s="31"/>
      <c r="DQB43" s="30"/>
      <c r="DQC43" s="31"/>
      <c r="DQD43" s="30"/>
      <c r="DQE43" s="31"/>
      <c r="DQF43" s="30"/>
      <c r="DQG43" s="31"/>
      <c r="DQH43" s="30"/>
      <c r="DQI43" s="31"/>
      <c r="DQJ43" s="30"/>
      <c r="DQK43" s="31"/>
      <c r="DQL43" s="30"/>
      <c r="DQM43" s="31"/>
      <c r="DQN43" s="30"/>
      <c r="DQO43" s="31"/>
      <c r="DQP43" s="30"/>
      <c r="DQQ43" s="31"/>
      <c r="DQR43" s="30"/>
      <c r="DQS43" s="31"/>
      <c r="DQT43" s="30"/>
      <c r="DQU43" s="31"/>
      <c r="DQV43" s="30"/>
      <c r="DQW43" s="31"/>
      <c r="DQX43" s="30"/>
      <c r="DQY43" s="31"/>
      <c r="DQZ43" s="30"/>
      <c r="DRA43" s="31"/>
      <c r="DRB43" s="30"/>
      <c r="DRC43" s="31"/>
      <c r="DRD43" s="30"/>
      <c r="DRE43" s="31"/>
      <c r="DRF43" s="30"/>
      <c r="DRG43" s="31"/>
      <c r="DRH43" s="30"/>
      <c r="DRI43" s="31"/>
      <c r="DRJ43" s="30"/>
      <c r="DRK43" s="31"/>
      <c r="DRL43" s="30"/>
      <c r="DRM43" s="31"/>
      <c r="DRN43" s="30"/>
      <c r="DRO43" s="31"/>
      <c r="DRP43" s="30"/>
      <c r="DRQ43" s="31"/>
      <c r="DRR43" s="30"/>
      <c r="DRS43" s="31"/>
      <c r="DRT43" s="30"/>
      <c r="DRU43" s="31"/>
      <c r="DRV43" s="30"/>
      <c r="DRW43" s="31"/>
      <c r="DRX43" s="30"/>
      <c r="DRY43" s="31"/>
      <c r="DRZ43" s="30"/>
      <c r="DSA43" s="31"/>
      <c r="DSB43" s="30"/>
      <c r="DSC43" s="31"/>
      <c r="DSD43" s="30"/>
      <c r="DSE43" s="31"/>
      <c r="DSF43" s="30"/>
      <c r="DSG43" s="31"/>
      <c r="DSH43" s="30"/>
      <c r="DSI43" s="31"/>
      <c r="DSJ43" s="30"/>
      <c r="DSK43" s="31"/>
      <c r="DSL43" s="30"/>
      <c r="DSM43" s="31"/>
      <c r="DSN43" s="30"/>
      <c r="DSO43" s="31"/>
      <c r="DSP43" s="30"/>
      <c r="DSQ43" s="31"/>
      <c r="DSR43" s="30"/>
      <c r="DSS43" s="31"/>
      <c r="DST43" s="30"/>
      <c r="DSU43" s="31"/>
      <c r="DSV43" s="30"/>
      <c r="DSW43" s="31"/>
      <c r="DSX43" s="30"/>
      <c r="DSY43" s="31"/>
      <c r="DSZ43" s="30"/>
      <c r="DTA43" s="31"/>
      <c r="DTB43" s="30"/>
      <c r="DTC43" s="31"/>
      <c r="DTD43" s="30"/>
      <c r="DTE43" s="31"/>
      <c r="DTF43" s="30"/>
      <c r="DTG43" s="31"/>
      <c r="DTH43" s="30"/>
      <c r="DTI43" s="31"/>
      <c r="DTJ43" s="30"/>
      <c r="DTK43" s="31"/>
      <c r="DTL43" s="30"/>
      <c r="DTM43" s="31"/>
      <c r="DTN43" s="30"/>
      <c r="DTO43" s="31"/>
      <c r="DTP43" s="30"/>
      <c r="DTQ43" s="31"/>
      <c r="DTR43" s="30"/>
      <c r="DTS43" s="31"/>
      <c r="DTT43" s="30"/>
      <c r="DTU43" s="31"/>
      <c r="DTV43" s="30"/>
      <c r="DTW43" s="31"/>
      <c r="DTX43" s="30"/>
      <c r="DTY43" s="31"/>
      <c r="DTZ43" s="30"/>
      <c r="DUA43" s="31"/>
      <c r="DUB43" s="30"/>
      <c r="DUC43" s="31"/>
      <c r="DUD43" s="30"/>
      <c r="DUE43" s="31"/>
      <c r="DUF43" s="30"/>
      <c r="DUG43" s="31"/>
      <c r="DUH43" s="30"/>
      <c r="DUI43" s="31"/>
      <c r="DUJ43" s="30"/>
      <c r="DUK43" s="31"/>
      <c r="DUL43" s="30"/>
      <c r="DUM43" s="31"/>
      <c r="DUN43" s="30"/>
      <c r="DUO43" s="31"/>
      <c r="DUP43" s="30"/>
      <c r="DUQ43" s="31"/>
      <c r="DUR43" s="30"/>
      <c r="DUS43" s="31"/>
      <c r="DUT43" s="30"/>
      <c r="DUU43" s="31"/>
      <c r="DUV43" s="30"/>
      <c r="DUW43" s="31"/>
      <c r="DUX43" s="30"/>
      <c r="DUY43" s="31"/>
      <c r="DUZ43" s="30"/>
      <c r="DVA43" s="31"/>
      <c r="DVB43" s="30"/>
      <c r="DVC43" s="31"/>
      <c r="DVD43" s="30"/>
      <c r="DVE43" s="31"/>
      <c r="DVF43" s="30"/>
      <c r="DVG43" s="31"/>
      <c r="DVH43" s="30"/>
      <c r="DVI43" s="31"/>
      <c r="DVJ43" s="30"/>
      <c r="DVK43" s="31"/>
      <c r="DVL43" s="30"/>
      <c r="DVM43" s="31"/>
      <c r="DVN43" s="30"/>
      <c r="DVO43" s="31"/>
      <c r="DVP43" s="30"/>
      <c r="DVQ43" s="31"/>
      <c r="DVR43" s="30"/>
      <c r="DVS43" s="31"/>
      <c r="DVT43" s="30"/>
      <c r="DVU43" s="31"/>
      <c r="DVV43" s="30"/>
      <c r="DVW43" s="31"/>
      <c r="DVX43" s="30"/>
      <c r="DVY43" s="31"/>
      <c r="DVZ43" s="30"/>
      <c r="DWA43" s="31"/>
      <c r="DWB43" s="30"/>
      <c r="DWC43" s="31"/>
      <c r="DWD43" s="30"/>
      <c r="DWE43" s="31"/>
      <c r="DWF43" s="30"/>
      <c r="DWG43" s="31"/>
      <c r="DWH43" s="30"/>
      <c r="DWI43" s="31"/>
      <c r="DWJ43" s="30"/>
      <c r="DWK43" s="31"/>
      <c r="DWL43" s="30"/>
      <c r="DWM43" s="31"/>
      <c r="DWN43" s="30"/>
      <c r="DWO43" s="31"/>
      <c r="DWP43" s="30"/>
      <c r="DWQ43" s="31"/>
      <c r="DWR43" s="30"/>
      <c r="DWS43" s="31"/>
      <c r="DWT43" s="30"/>
      <c r="DWU43" s="31"/>
      <c r="DWV43" s="30"/>
      <c r="DWW43" s="31"/>
      <c r="DWX43" s="30"/>
      <c r="DWY43" s="31"/>
      <c r="DWZ43" s="30"/>
      <c r="DXA43" s="31"/>
      <c r="DXB43" s="30"/>
      <c r="DXC43" s="31"/>
      <c r="DXD43" s="30"/>
      <c r="DXE43" s="31"/>
      <c r="DXF43" s="30"/>
      <c r="DXG43" s="31"/>
      <c r="DXH43" s="30"/>
      <c r="DXI43" s="31"/>
      <c r="DXJ43" s="30"/>
      <c r="DXK43" s="31"/>
      <c r="DXL43" s="30"/>
      <c r="DXM43" s="31"/>
      <c r="DXN43" s="30"/>
      <c r="DXO43" s="31"/>
      <c r="DXP43" s="30"/>
      <c r="DXQ43" s="31"/>
      <c r="DXR43" s="30"/>
      <c r="DXS43" s="31"/>
      <c r="DXT43" s="30"/>
      <c r="DXU43" s="31"/>
      <c r="DXV43" s="30"/>
      <c r="DXW43" s="31"/>
      <c r="DXX43" s="30"/>
      <c r="DXY43" s="31"/>
      <c r="DXZ43" s="30"/>
      <c r="DYA43" s="31"/>
      <c r="DYB43" s="30"/>
      <c r="DYC43" s="31"/>
      <c r="DYD43" s="30"/>
      <c r="DYE43" s="31"/>
      <c r="DYF43" s="30"/>
      <c r="DYG43" s="31"/>
      <c r="DYH43" s="30"/>
      <c r="DYI43" s="31"/>
      <c r="DYJ43" s="30"/>
      <c r="DYK43" s="31"/>
      <c r="DYL43" s="30"/>
      <c r="DYM43" s="31"/>
      <c r="DYN43" s="30"/>
      <c r="DYO43" s="31"/>
      <c r="DYP43" s="30"/>
      <c r="DYQ43" s="31"/>
      <c r="DYR43" s="30"/>
      <c r="DYS43" s="31"/>
      <c r="DYT43" s="30"/>
      <c r="DYU43" s="31"/>
      <c r="DYV43" s="30"/>
      <c r="DYW43" s="31"/>
      <c r="DYX43" s="30"/>
      <c r="DYY43" s="31"/>
      <c r="DYZ43" s="30"/>
      <c r="DZA43" s="31"/>
      <c r="DZB43" s="30"/>
      <c r="DZC43" s="31"/>
      <c r="DZD43" s="30"/>
      <c r="DZE43" s="31"/>
      <c r="DZF43" s="30"/>
      <c r="DZG43" s="31"/>
      <c r="DZH43" s="30"/>
      <c r="DZI43" s="31"/>
      <c r="DZJ43" s="30"/>
      <c r="DZK43" s="31"/>
      <c r="DZL43" s="30"/>
      <c r="DZM43" s="31"/>
      <c r="DZN43" s="30"/>
      <c r="DZO43" s="31"/>
      <c r="DZP43" s="30"/>
      <c r="DZQ43" s="31"/>
      <c r="DZR43" s="30"/>
      <c r="DZS43" s="31"/>
      <c r="DZT43" s="30"/>
      <c r="DZU43" s="31"/>
      <c r="DZV43" s="30"/>
      <c r="DZW43" s="31"/>
      <c r="DZX43" s="30"/>
      <c r="DZY43" s="31"/>
      <c r="DZZ43" s="30"/>
      <c r="EAA43" s="31"/>
      <c r="EAB43" s="30"/>
      <c r="EAC43" s="31"/>
      <c r="EAD43" s="30"/>
      <c r="EAE43" s="31"/>
      <c r="EAF43" s="30"/>
      <c r="EAG43" s="31"/>
      <c r="EAH43" s="30"/>
      <c r="EAI43" s="31"/>
      <c r="EAJ43" s="30"/>
      <c r="EAK43" s="31"/>
      <c r="EAL43" s="30"/>
      <c r="EAM43" s="31"/>
      <c r="EAN43" s="30"/>
      <c r="EAO43" s="31"/>
      <c r="EAP43" s="30"/>
      <c r="EAQ43" s="31"/>
      <c r="EAR43" s="30"/>
      <c r="EAS43" s="31"/>
      <c r="EAT43" s="30"/>
      <c r="EAU43" s="31"/>
      <c r="EAV43" s="30"/>
      <c r="EAW43" s="31"/>
      <c r="EAX43" s="30"/>
      <c r="EAY43" s="31"/>
      <c r="EAZ43" s="30"/>
      <c r="EBA43" s="31"/>
      <c r="EBB43" s="30"/>
      <c r="EBC43" s="31"/>
      <c r="EBD43" s="30"/>
      <c r="EBE43" s="31"/>
      <c r="EBF43" s="30"/>
      <c r="EBG43" s="31"/>
      <c r="EBH43" s="30"/>
      <c r="EBI43" s="31"/>
      <c r="EBJ43" s="30"/>
      <c r="EBK43" s="31"/>
      <c r="EBL43" s="30"/>
      <c r="EBM43" s="31"/>
      <c r="EBN43" s="30"/>
      <c r="EBO43" s="31"/>
      <c r="EBP43" s="30"/>
      <c r="EBQ43" s="31"/>
      <c r="EBR43" s="30"/>
      <c r="EBS43" s="31"/>
      <c r="EBT43" s="30"/>
      <c r="EBU43" s="31"/>
      <c r="EBV43" s="30"/>
      <c r="EBW43" s="31"/>
      <c r="EBX43" s="30"/>
      <c r="EBY43" s="31"/>
      <c r="EBZ43" s="30"/>
      <c r="ECA43" s="31"/>
      <c r="ECB43" s="30"/>
      <c r="ECC43" s="31"/>
      <c r="ECD43" s="30"/>
      <c r="ECE43" s="31"/>
      <c r="ECF43" s="30"/>
      <c r="ECG43" s="31"/>
      <c r="ECH43" s="30"/>
      <c r="ECI43" s="31"/>
      <c r="ECJ43" s="30"/>
      <c r="ECK43" s="31"/>
      <c r="ECL43" s="30"/>
      <c r="ECM43" s="31"/>
      <c r="ECN43" s="30"/>
      <c r="ECO43" s="31"/>
      <c r="ECP43" s="30"/>
      <c r="ECQ43" s="31"/>
      <c r="ECR43" s="30"/>
      <c r="ECS43" s="31"/>
      <c r="ECT43" s="30"/>
      <c r="ECU43" s="31"/>
      <c r="ECV43" s="30"/>
      <c r="ECW43" s="31"/>
      <c r="ECX43" s="30"/>
      <c r="ECY43" s="31"/>
      <c r="ECZ43" s="30"/>
      <c r="EDA43" s="31"/>
      <c r="EDB43" s="30"/>
      <c r="EDC43" s="31"/>
      <c r="EDD43" s="30"/>
      <c r="EDE43" s="31"/>
      <c r="EDF43" s="30"/>
      <c r="EDG43" s="31"/>
      <c r="EDH43" s="30"/>
      <c r="EDI43" s="31"/>
      <c r="EDJ43" s="30"/>
      <c r="EDK43" s="31"/>
      <c r="EDL43" s="30"/>
      <c r="EDM43" s="31"/>
      <c r="EDN43" s="30"/>
      <c r="EDO43" s="31"/>
      <c r="EDP43" s="30"/>
      <c r="EDQ43" s="31"/>
      <c r="EDR43" s="30"/>
      <c r="EDS43" s="31"/>
      <c r="EDT43" s="30"/>
      <c r="EDU43" s="31"/>
      <c r="EDV43" s="30"/>
      <c r="EDW43" s="31"/>
      <c r="EDX43" s="30"/>
      <c r="EDY43" s="31"/>
      <c r="EDZ43" s="30"/>
      <c r="EEA43" s="31"/>
      <c r="EEB43" s="30"/>
      <c r="EEC43" s="31"/>
      <c r="EED43" s="30"/>
      <c r="EEE43" s="31"/>
      <c r="EEF43" s="30"/>
      <c r="EEG43" s="31"/>
      <c r="EEH43" s="30"/>
      <c r="EEI43" s="31"/>
      <c r="EEJ43" s="30"/>
      <c r="EEK43" s="31"/>
      <c r="EEL43" s="30"/>
      <c r="EEM43" s="31"/>
      <c r="EEN43" s="30"/>
      <c r="EEO43" s="31"/>
      <c r="EEP43" s="30"/>
      <c r="EEQ43" s="31"/>
      <c r="EER43" s="30"/>
      <c r="EES43" s="31"/>
      <c r="EET43" s="30"/>
      <c r="EEU43" s="31"/>
      <c r="EEV43" s="30"/>
      <c r="EEW43" s="31"/>
      <c r="EEX43" s="30"/>
      <c r="EEY43" s="31"/>
      <c r="EEZ43" s="30"/>
      <c r="EFA43" s="31"/>
      <c r="EFB43" s="30"/>
      <c r="EFC43" s="31"/>
      <c r="EFD43" s="30"/>
      <c r="EFE43" s="31"/>
      <c r="EFF43" s="30"/>
      <c r="EFG43" s="31"/>
      <c r="EFH43" s="30"/>
      <c r="EFI43" s="31"/>
      <c r="EFJ43" s="30"/>
      <c r="EFK43" s="31"/>
      <c r="EFL43" s="30"/>
      <c r="EFM43" s="31"/>
      <c r="EFN43" s="30"/>
      <c r="EFO43" s="31"/>
      <c r="EFP43" s="30"/>
      <c r="EFQ43" s="31"/>
      <c r="EFR43" s="30"/>
      <c r="EFS43" s="31"/>
      <c r="EFT43" s="30"/>
      <c r="EFU43" s="31"/>
      <c r="EFV43" s="30"/>
      <c r="EFW43" s="31"/>
      <c r="EFX43" s="30"/>
      <c r="EFY43" s="31"/>
      <c r="EFZ43" s="30"/>
      <c r="EGA43" s="31"/>
      <c r="EGB43" s="30"/>
      <c r="EGC43" s="31"/>
      <c r="EGD43" s="30"/>
      <c r="EGE43" s="31"/>
      <c r="EGF43" s="30"/>
      <c r="EGG43" s="31"/>
      <c r="EGH43" s="30"/>
      <c r="EGI43" s="31"/>
      <c r="EGJ43" s="30"/>
      <c r="EGK43" s="31"/>
      <c r="EGL43" s="30"/>
      <c r="EGM43" s="31"/>
      <c r="EGN43" s="30"/>
      <c r="EGO43" s="31"/>
      <c r="EGP43" s="30"/>
      <c r="EGQ43" s="31"/>
      <c r="EGR43" s="30"/>
      <c r="EGS43" s="31"/>
      <c r="EGT43" s="30"/>
      <c r="EGU43" s="31"/>
      <c r="EGV43" s="30"/>
      <c r="EGW43" s="31"/>
      <c r="EGX43" s="30"/>
      <c r="EGY43" s="31"/>
      <c r="EGZ43" s="30"/>
      <c r="EHA43" s="31"/>
      <c r="EHB43" s="30"/>
      <c r="EHC43" s="31"/>
      <c r="EHD43" s="30"/>
      <c r="EHE43" s="31"/>
      <c r="EHF43" s="30"/>
      <c r="EHG43" s="31"/>
      <c r="EHH43" s="30"/>
      <c r="EHI43" s="31"/>
      <c r="EHJ43" s="30"/>
      <c r="EHK43" s="31"/>
      <c r="EHL43" s="30"/>
      <c r="EHM43" s="31"/>
      <c r="EHN43" s="30"/>
      <c r="EHO43" s="31"/>
      <c r="EHP43" s="30"/>
      <c r="EHQ43" s="31"/>
      <c r="EHR43" s="30"/>
      <c r="EHS43" s="31"/>
      <c r="EHT43" s="30"/>
      <c r="EHU43" s="31"/>
      <c r="EHV43" s="30"/>
      <c r="EHW43" s="31"/>
      <c r="EHX43" s="30"/>
      <c r="EHY43" s="31"/>
      <c r="EHZ43" s="30"/>
      <c r="EIA43" s="31"/>
      <c r="EIB43" s="30"/>
      <c r="EIC43" s="31"/>
      <c r="EID43" s="30"/>
      <c r="EIE43" s="31"/>
      <c r="EIF43" s="30"/>
      <c r="EIG43" s="31"/>
      <c r="EIH43" s="30"/>
      <c r="EII43" s="31"/>
      <c r="EIJ43" s="30"/>
      <c r="EIK43" s="31"/>
      <c r="EIL43" s="30"/>
      <c r="EIM43" s="31"/>
      <c r="EIN43" s="30"/>
      <c r="EIO43" s="31"/>
      <c r="EIP43" s="30"/>
      <c r="EIQ43" s="31"/>
      <c r="EIR43" s="30"/>
      <c r="EIS43" s="31"/>
      <c r="EIT43" s="30"/>
      <c r="EIU43" s="31"/>
      <c r="EIV43" s="30"/>
      <c r="EIW43" s="31"/>
      <c r="EIX43" s="30"/>
      <c r="EIY43" s="31"/>
      <c r="EIZ43" s="30"/>
      <c r="EJA43" s="31"/>
      <c r="EJB43" s="30"/>
      <c r="EJC43" s="31"/>
      <c r="EJD43" s="30"/>
      <c r="EJE43" s="31"/>
      <c r="EJF43" s="30"/>
      <c r="EJG43" s="31"/>
      <c r="EJH43" s="30"/>
      <c r="EJI43" s="31"/>
      <c r="EJJ43" s="30"/>
      <c r="EJK43" s="31"/>
      <c r="EJL43" s="30"/>
      <c r="EJM43" s="31"/>
      <c r="EJN43" s="30"/>
      <c r="EJO43" s="31"/>
      <c r="EJP43" s="30"/>
      <c r="EJQ43" s="31"/>
      <c r="EJR43" s="30"/>
      <c r="EJS43" s="31"/>
      <c r="EJT43" s="30"/>
      <c r="EJU43" s="31"/>
      <c r="EJV43" s="30"/>
      <c r="EJW43" s="31"/>
      <c r="EJX43" s="30"/>
      <c r="EJY43" s="31"/>
      <c r="EJZ43" s="30"/>
      <c r="EKA43" s="31"/>
      <c r="EKB43" s="30"/>
      <c r="EKC43" s="31"/>
      <c r="EKD43" s="30"/>
      <c r="EKE43" s="31"/>
      <c r="EKF43" s="30"/>
      <c r="EKG43" s="31"/>
      <c r="EKH43" s="30"/>
      <c r="EKI43" s="31"/>
      <c r="EKJ43" s="30"/>
      <c r="EKK43" s="31"/>
      <c r="EKL43" s="30"/>
      <c r="EKM43" s="31"/>
      <c r="EKN43" s="30"/>
      <c r="EKO43" s="31"/>
      <c r="EKP43" s="30"/>
      <c r="EKQ43" s="31"/>
      <c r="EKR43" s="30"/>
      <c r="EKS43" s="31"/>
      <c r="EKT43" s="30"/>
      <c r="EKU43" s="31"/>
      <c r="EKV43" s="30"/>
      <c r="EKW43" s="31"/>
      <c r="EKX43" s="30"/>
      <c r="EKY43" s="31"/>
      <c r="EKZ43" s="30"/>
      <c r="ELA43" s="31"/>
      <c r="ELB43" s="30"/>
      <c r="ELC43" s="31"/>
      <c r="ELD43" s="30"/>
      <c r="ELE43" s="31"/>
      <c r="ELF43" s="30"/>
      <c r="ELG43" s="31"/>
      <c r="ELH43" s="30"/>
      <c r="ELI43" s="31"/>
      <c r="ELJ43" s="30"/>
      <c r="ELK43" s="31"/>
      <c r="ELL43" s="30"/>
      <c r="ELM43" s="31"/>
      <c r="ELN43" s="30"/>
      <c r="ELO43" s="31"/>
      <c r="ELP43" s="30"/>
      <c r="ELQ43" s="31"/>
      <c r="ELR43" s="30"/>
      <c r="ELS43" s="31"/>
      <c r="ELT43" s="30"/>
      <c r="ELU43" s="31"/>
      <c r="ELV43" s="30"/>
      <c r="ELW43" s="31"/>
      <c r="ELX43" s="30"/>
      <c r="ELY43" s="31"/>
      <c r="ELZ43" s="30"/>
      <c r="EMA43" s="31"/>
      <c r="EMB43" s="30"/>
      <c r="EMC43" s="31"/>
      <c r="EMD43" s="30"/>
      <c r="EME43" s="31"/>
      <c r="EMF43" s="30"/>
      <c r="EMG43" s="31"/>
      <c r="EMH43" s="30"/>
      <c r="EMI43" s="31"/>
      <c r="EMJ43" s="30"/>
      <c r="EMK43" s="31"/>
      <c r="EML43" s="30"/>
      <c r="EMM43" s="31"/>
      <c r="EMN43" s="30"/>
      <c r="EMO43" s="31"/>
      <c r="EMP43" s="30"/>
      <c r="EMQ43" s="31"/>
      <c r="EMR43" s="30"/>
      <c r="EMS43" s="31"/>
      <c r="EMT43" s="30"/>
      <c r="EMU43" s="31"/>
      <c r="EMV43" s="30"/>
      <c r="EMW43" s="31"/>
      <c r="EMX43" s="30"/>
      <c r="EMY43" s="31"/>
      <c r="EMZ43" s="30"/>
      <c r="ENA43" s="31"/>
      <c r="ENB43" s="30"/>
      <c r="ENC43" s="31"/>
      <c r="END43" s="30"/>
      <c r="ENE43" s="31"/>
      <c r="ENF43" s="30"/>
      <c r="ENG43" s="31"/>
      <c r="ENH43" s="30"/>
      <c r="ENI43" s="31"/>
      <c r="ENJ43" s="30"/>
      <c r="ENK43" s="31"/>
      <c r="ENL43" s="30"/>
      <c r="ENM43" s="31"/>
      <c r="ENN43" s="30"/>
      <c r="ENO43" s="31"/>
      <c r="ENP43" s="30"/>
      <c r="ENQ43" s="31"/>
      <c r="ENR43" s="30"/>
      <c r="ENS43" s="31"/>
      <c r="ENT43" s="30"/>
      <c r="ENU43" s="31"/>
      <c r="ENV43" s="30"/>
      <c r="ENW43" s="31"/>
      <c r="ENX43" s="30"/>
      <c r="ENY43" s="31"/>
      <c r="ENZ43" s="30"/>
      <c r="EOA43" s="31"/>
      <c r="EOB43" s="30"/>
      <c r="EOC43" s="31"/>
      <c r="EOD43" s="30"/>
      <c r="EOE43" s="31"/>
      <c r="EOF43" s="30"/>
      <c r="EOG43" s="31"/>
      <c r="EOH43" s="30"/>
      <c r="EOI43" s="31"/>
      <c r="EOJ43" s="30"/>
      <c r="EOK43" s="31"/>
      <c r="EOL43" s="30"/>
      <c r="EOM43" s="31"/>
      <c r="EON43" s="30"/>
      <c r="EOO43" s="31"/>
      <c r="EOP43" s="30"/>
      <c r="EOQ43" s="31"/>
      <c r="EOR43" s="30"/>
      <c r="EOS43" s="31"/>
      <c r="EOT43" s="30"/>
      <c r="EOU43" s="31"/>
      <c r="EOV43" s="30"/>
      <c r="EOW43" s="31"/>
      <c r="EOX43" s="30"/>
      <c r="EOY43" s="31"/>
      <c r="EOZ43" s="30"/>
      <c r="EPA43" s="31"/>
      <c r="EPB43" s="30"/>
      <c r="EPC43" s="31"/>
      <c r="EPD43" s="30"/>
      <c r="EPE43" s="31"/>
      <c r="EPF43" s="30"/>
      <c r="EPG43" s="31"/>
      <c r="EPH43" s="30"/>
      <c r="EPI43" s="31"/>
      <c r="EPJ43" s="30"/>
      <c r="EPK43" s="31"/>
      <c r="EPL43" s="30"/>
      <c r="EPM43" s="31"/>
      <c r="EPN43" s="30"/>
      <c r="EPO43" s="31"/>
      <c r="EPP43" s="30"/>
      <c r="EPQ43" s="31"/>
      <c r="EPR43" s="30"/>
      <c r="EPS43" s="31"/>
      <c r="EPT43" s="30"/>
      <c r="EPU43" s="31"/>
      <c r="EPV43" s="30"/>
      <c r="EPW43" s="31"/>
      <c r="EPX43" s="30"/>
      <c r="EPY43" s="31"/>
      <c r="EPZ43" s="30"/>
      <c r="EQA43" s="31"/>
      <c r="EQB43" s="30"/>
      <c r="EQC43" s="31"/>
      <c r="EQD43" s="30"/>
      <c r="EQE43" s="31"/>
      <c r="EQF43" s="30"/>
      <c r="EQG43" s="31"/>
      <c r="EQH43" s="30"/>
      <c r="EQI43" s="31"/>
      <c r="EQJ43" s="30"/>
      <c r="EQK43" s="31"/>
      <c r="EQL43" s="30"/>
      <c r="EQM43" s="31"/>
      <c r="EQN43" s="30"/>
      <c r="EQO43" s="31"/>
      <c r="EQP43" s="30"/>
      <c r="EQQ43" s="31"/>
      <c r="EQR43" s="30"/>
      <c r="EQS43" s="31"/>
      <c r="EQT43" s="30"/>
      <c r="EQU43" s="31"/>
      <c r="EQV43" s="30"/>
      <c r="EQW43" s="31"/>
      <c r="EQX43" s="30"/>
      <c r="EQY43" s="31"/>
      <c r="EQZ43" s="30"/>
      <c r="ERA43" s="31"/>
      <c r="ERB43" s="30"/>
      <c r="ERC43" s="31"/>
      <c r="ERD43" s="30"/>
      <c r="ERE43" s="31"/>
      <c r="ERF43" s="30"/>
      <c r="ERG43" s="31"/>
      <c r="ERH43" s="30"/>
      <c r="ERI43" s="31"/>
      <c r="ERJ43" s="30"/>
      <c r="ERK43" s="31"/>
      <c r="ERL43" s="30"/>
      <c r="ERM43" s="31"/>
      <c r="ERN43" s="30"/>
      <c r="ERO43" s="31"/>
      <c r="ERP43" s="30"/>
      <c r="ERQ43" s="31"/>
      <c r="ERR43" s="30"/>
      <c r="ERS43" s="31"/>
      <c r="ERT43" s="30"/>
      <c r="ERU43" s="31"/>
      <c r="ERV43" s="30"/>
      <c r="ERW43" s="31"/>
      <c r="ERX43" s="30"/>
      <c r="ERY43" s="31"/>
      <c r="ERZ43" s="30"/>
      <c r="ESA43" s="31"/>
      <c r="ESB43" s="30"/>
      <c r="ESC43" s="31"/>
      <c r="ESD43" s="30"/>
      <c r="ESE43" s="31"/>
      <c r="ESF43" s="30"/>
      <c r="ESG43" s="31"/>
      <c r="ESH43" s="30"/>
      <c r="ESI43" s="31"/>
      <c r="ESJ43" s="30"/>
      <c r="ESK43" s="31"/>
      <c r="ESL43" s="30"/>
      <c r="ESM43" s="31"/>
      <c r="ESN43" s="30"/>
      <c r="ESO43" s="31"/>
      <c r="ESP43" s="30"/>
      <c r="ESQ43" s="31"/>
      <c r="ESR43" s="30"/>
      <c r="ESS43" s="31"/>
      <c r="EST43" s="30"/>
      <c r="ESU43" s="31"/>
      <c r="ESV43" s="30"/>
      <c r="ESW43" s="31"/>
      <c r="ESX43" s="30"/>
      <c r="ESY43" s="31"/>
      <c r="ESZ43" s="30"/>
      <c r="ETA43" s="31"/>
      <c r="ETB43" s="30"/>
      <c r="ETC43" s="31"/>
      <c r="ETD43" s="30"/>
      <c r="ETE43" s="31"/>
      <c r="ETF43" s="30"/>
      <c r="ETG43" s="31"/>
      <c r="ETH43" s="30"/>
      <c r="ETI43" s="31"/>
      <c r="ETJ43" s="30"/>
      <c r="ETK43" s="31"/>
      <c r="ETL43" s="30"/>
      <c r="ETM43" s="31"/>
      <c r="ETN43" s="30"/>
      <c r="ETO43" s="31"/>
      <c r="ETP43" s="30"/>
      <c r="ETQ43" s="31"/>
      <c r="ETR43" s="30"/>
      <c r="ETS43" s="31"/>
      <c r="ETT43" s="30"/>
      <c r="ETU43" s="31"/>
      <c r="ETV43" s="30"/>
      <c r="ETW43" s="31"/>
      <c r="ETX43" s="30"/>
      <c r="ETY43" s="31"/>
      <c r="ETZ43" s="30"/>
      <c r="EUA43" s="31"/>
      <c r="EUB43" s="30"/>
      <c r="EUC43" s="31"/>
      <c r="EUD43" s="30"/>
      <c r="EUE43" s="31"/>
      <c r="EUF43" s="30"/>
      <c r="EUG43" s="31"/>
      <c r="EUH43" s="30"/>
      <c r="EUI43" s="31"/>
      <c r="EUJ43" s="30"/>
      <c r="EUK43" s="31"/>
      <c r="EUL43" s="30"/>
      <c r="EUM43" s="31"/>
      <c r="EUN43" s="30"/>
      <c r="EUO43" s="31"/>
      <c r="EUP43" s="30"/>
      <c r="EUQ43" s="31"/>
      <c r="EUR43" s="30"/>
      <c r="EUS43" s="31"/>
      <c r="EUT43" s="30"/>
      <c r="EUU43" s="31"/>
      <c r="EUV43" s="30"/>
      <c r="EUW43" s="31"/>
      <c r="EUX43" s="30"/>
      <c r="EUY43" s="31"/>
      <c r="EUZ43" s="30"/>
      <c r="EVA43" s="31"/>
      <c r="EVB43" s="30"/>
      <c r="EVC43" s="31"/>
      <c r="EVD43" s="30"/>
      <c r="EVE43" s="31"/>
      <c r="EVF43" s="30"/>
      <c r="EVG43" s="31"/>
      <c r="EVH43" s="30"/>
      <c r="EVI43" s="31"/>
      <c r="EVJ43" s="30"/>
      <c r="EVK43" s="31"/>
      <c r="EVL43" s="30"/>
      <c r="EVM43" s="31"/>
      <c r="EVN43" s="30"/>
      <c r="EVO43" s="31"/>
      <c r="EVP43" s="30"/>
      <c r="EVQ43" s="31"/>
      <c r="EVR43" s="30"/>
      <c r="EVS43" s="31"/>
      <c r="EVT43" s="30"/>
      <c r="EVU43" s="31"/>
      <c r="EVV43" s="30"/>
      <c r="EVW43" s="31"/>
      <c r="EVX43" s="30"/>
      <c r="EVY43" s="31"/>
      <c r="EVZ43" s="30"/>
      <c r="EWA43" s="31"/>
      <c r="EWB43" s="30"/>
      <c r="EWC43" s="31"/>
      <c r="EWD43" s="30"/>
      <c r="EWE43" s="31"/>
      <c r="EWF43" s="30"/>
      <c r="EWG43" s="31"/>
      <c r="EWH43" s="30"/>
      <c r="EWI43" s="31"/>
      <c r="EWJ43" s="30"/>
      <c r="EWK43" s="31"/>
      <c r="EWL43" s="30"/>
      <c r="EWM43" s="31"/>
      <c r="EWN43" s="30"/>
      <c r="EWO43" s="31"/>
      <c r="EWP43" s="30"/>
      <c r="EWQ43" s="31"/>
      <c r="EWR43" s="30"/>
      <c r="EWS43" s="31"/>
      <c r="EWT43" s="30"/>
      <c r="EWU43" s="31"/>
      <c r="EWV43" s="30"/>
      <c r="EWW43" s="31"/>
      <c r="EWX43" s="30"/>
      <c r="EWY43" s="31"/>
      <c r="EWZ43" s="30"/>
      <c r="EXA43" s="31"/>
      <c r="EXB43" s="30"/>
      <c r="EXC43" s="31"/>
      <c r="EXD43" s="30"/>
      <c r="EXE43" s="31"/>
      <c r="EXF43" s="30"/>
      <c r="EXG43" s="31"/>
      <c r="EXH43" s="30"/>
      <c r="EXI43" s="31"/>
      <c r="EXJ43" s="30"/>
      <c r="EXK43" s="31"/>
      <c r="EXL43" s="30"/>
      <c r="EXM43" s="31"/>
      <c r="EXN43" s="30"/>
      <c r="EXO43" s="31"/>
      <c r="EXP43" s="30"/>
      <c r="EXQ43" s="31"/>
      <c r="EXR43" s="30"/>
      <c r="EXS43" s="31"/>
      <c r="EXT43" s="30"/>
      <c r="EXU43" s="31"/>
      <c r="EXV43" s="30"/>
      <c r="EXW43" s="31"/>
      <c r="EXX43" s="30"/>
      <c r="EXY43" s="31"/>
      <c r="EXZ43" s="30"/>
      <c r="EYA43" s="31"/>
      <c r="EYB43" s="30"/>
      <c r="EYC43" s="31"/>
      <c r="EYD43" s="30"/>
      <c r="EYE43" s="31"/>
      <c r="EYF43" s="30"/>
      <c r="EYG43" s="31"/>
      <c r="EYH43" s="30"/>
      <c r="EYI43" s="31"/>
      <c r="EYJ43" s="30"/>
      <c r="EYK43" s="31"/>
      <c r="EYL43" s="30"/>
      <c r="EYM43" s="31"/>
      <c r="EYN43" s="30"/>
      <c r="EYO43" s="31"/>
      <c r="EYP43" s="30"/>
      <c r="EYQ43" s="31"/>
      <c r="EYR43" s="30"/>
      <c r="EYS43" s="31"/>
      <c r="EYT43" s="30"/>
      <c r="EYU43" s="31"/>
      <c r="EYV43" s="30"/>
      <c r="EYW43" s="31"/>
      <c r="EYX43" s="30"/>
      <c r="EYY43" s="31"/>
      <c r="EYZ43" s="30"/>
      <c r="EZA43" s="31"/>
      <c r="EZB43" s="30"/>
      <c r="EZC43" s="31"/>
      <c r="EZD43" s="30"/>
      <c r="EZE43" s="31"/>
      <c r="EZF43" s="30"/>
      <c r="EZG43" s="31"/>
      <c r="EZH43" s="30"/>
      <c r="EZI43" s="31"/>
      <c r="EZJ43" s="30"/>
      <c r="EZK43" s="31"/>
      <c r="EZL43" s="30"/>
      <c r="EZM43" s="31"/>
      <c r="EZN43" s="30"/>
      <c r="EZO43" s="31"/>
      <c r="EZP43" s="30"/>
      <c r="EZQ43" s="31"/>
      <c r="EZR43" s="30"/>
      <c r="EZS43" s="31"/>
      <c r="EZT43" s="30"/>
      <c r="EZU43" s="31"/>
      <c r="EZV43" s="30"/>
      <c r="EZW43" s="31"/>
      <c r="EZX43" s="30"/>
      <c r="EZY43" s="31"/>
      <c r="EZZ43" s="30"/>
      <c r="FAA43" s="31"/>
      <c r="FAB43" s="30"/>
      <c r="FAC43" s="31"/>
      <c r="FAD43" s="30"/>
      <c r="FAE43" s="31"/>
      <c r="FAF43" s="30"/>
      <c r="FAG43" s="31"/>
      <c r="FAH43" s="30"/>
      <c r="FAI43" s="31"/>
      <c r="FAJ43" s="30"/>
      <c r="FAK43" s="31"/>
      <c r="FAL43" s="30"/>
      <c r="FAM43" s="31"/>
      <c r="FAN43" s="30"/>
      <c r="FAO43" s="31"/>
      <c r="FAP43" s="30"/>
      <c r="FAQ43" s="31"/>
      <c r="FAR43" s="30"/>
      <c r="FAS43" s="31"/>
      <c r="FAT43" s="30"/>
      <c r="FAU43" s="31"/>
      <c r="FAV43" s="30"/>
      <c r="FAW43" s="31"/>
      <c r="FAX43" s="30"/>
      <c r="FAY43" s="31"/>
      <c r="FAZ43" s="30"/>
      <c r="FBA43" s="31"/>
      <c r="FBB43" s="30"/>
      <c r="FBC43" s="31"/>
      <c r="FBD43" s="30"/>
      <c r="FBE43" s="31"/>
      <c r="FBF43" s="30"/>
      <c r="FBG43" s="31"/>
      <c r="FBH43" s="30"/>
      <c r="FBI43" s="31"/>
      <c r="FBJ43" s="30"/>
      <c r="FBK43" s="31"/>
      <c r="FBL43" s="30"/>
      <c r="FBM43" s="31"/>
      <c r="FBN43" s="30"/>
      <c r="FBO43" s="31"/>
      <c r="FBP43" s="30"/>
      <c r="FBQ43" s="31"/>
      <c r="FBR43" s="30"/>
      <c r="FBS43" s="31"/>
      <c r="FBT43" s="30"/>
      <c r="FBU43" s="31"/>
      <c r="FBV43" s="30"/>
      <c r="FBW43" s="31"/>
      <c r="FBX43" s="30"/>
      <c r="FBY43" s="31"/>
      <c r="FBZ43" s="30"/>
      <c r="FCA43" s="31"/>
      <c r="FCB43" s="30"/>
      <c r="FCC43" s="31"/>
      <c r="FCD43" s="30"/>
      <c r="FCE43" s="31"/>
      <c r="FCF43" s="30"/>
      <c r="FCG43" s="31"/>
      <c r="FCH43" s="30"/>
      <c r="FCI43" s="31"/>
      <c r="FCJ43" s="30"/>
      <c r="FCK43" s="31"/>
      <c r="FCL43" s="30"/>
      <c r="FCM43" s="31"/>
      <c r="FCN43" s="30"/>
      <c r="FCO43" s="31"/>
      <c r="FCP43" s="30"/>
      <c r="FCQ43" s="31"/>
      <c r="FCR43" s="30"/>
      <c r="FCS43" s="31"/>
      <c r="FCT43" s="30"/>
      <c r="FCU43" s="31"/>
      <c r="FCV43" s="30"/>
      <c r="FCW43" s="31"/>
      <c r="FCX43" s="30"/>
      <c r="FCY43" s="31"/>
      <c r="FCZ43" s="30"/>
      <c r="FDA43" s="31"/>
      <c r="FDB43" s="30"/>
      <c r="FDC43" s="31"/>
      <c r="FDD43" s="30"/>
      <c r="FDE43" s="31"/>
      <c r="FDF43" s="30"/>
      <c r="FDG43" s="31"/>
      <c r="FDH43" s="30"/>
      <c r="FDI43" s="31"/>
      <c r="FDJ43" s="30"/>
      <c r="FDK43" s="31"/>
      <c r="FDL43" s="30"/>
      <c r="FDM43" s="31"/>
      <c r="FDN43" s="30"/>
      <c r="FDO43" s="31"/>
      <c r="FDP43" s="30"/>
      <c r="FDQ43" s="31"/>
      <c r="FDR43" s="30"/>
      <c r="FDS43" s="31"/>
      <c r="FDT43" s="30"/>
      <c r="FDU43" s="31"/>
      <c r="FDV43" s="30"/>
      <c r="FDW43" s="31"/>
      <c r="FDX43" s="30"/>
      <c r="FDY43" s="31"/>
      <c r="FDZ43" s="30"/>
      <c r="FEA43" s="31"/>
      <c r="FEB43" s="30"/>
      <c r="FEC43" s="31"/>
      <c r="FED43" s="30"/>
      <c r="FEE43" s="31"/>
      <c r="FEF43" s="30"/>
      <c r="FEG43" s="31"/>
      <c r="FEH43" s="30"/>
      <c r="FEI43" s="31"/>
      <c r="FEJ43" s="30"/>
      <c r="FEK43" s="31"/>
      <c r="FEL43" s="30"/>
      <c r="FEM43" s="31"/>
      <c r="FEN43" s="30"/>
      <c r="FEO43" s="31"/>
      <c r="FEP43" s="30"/>
      <c r="FEQ43" s="31"/>
      <c r="FER43" s="30"/>
      <c r="FES43" s="31"/>
      <c r="FET43" s="30"/>
      <c r="FEU43" s="31"/>
      <c r="FEV43" s="30"/>
      <c r="FEW43" s="31"/>
      <c r="FEX43" s="30"/>
      <c r="FEY43" s="31"/>
      <c r="FEZ43" s="30"/>
      <c r="FFA43" s="31"/>
      <c r="FFB43" s="30"/>
      <c r="FFC43" s="31"/>
      <c r="FFD43" s="30"/>
      <c r="FFE43" s="31"/>
      <c r="FFF43" s="30"/>
      <c r="FFG43" s="31"/>
      <c r="FFH43" s="30"/>
      <c r="FFI43" s="31"/>
      <c r="FFJ43" s="30"/>
      <c r="FFK43" s="31"/>
      <c r="FFL43" s="30"/>
      <c r="FFM43" s="31"/>
      <c r="FFN43" s="30"/>
      <c r="FFO43" s="31"/>
      <c r="FFP43" s="30"/>
      <c r="FFQ43" s="31"/>
      <c r="FFR43" s="30"/>
      <c r="FFS43" s="31"/>
      <c r="FFT43" s="30"/>
      <c r="FFU43" s="31"/>
      <c r="FFV43" s="30"/>
      <c r="FFW43" s="31"/>
      <c r="FFX43" s="30"/>
      <c r="FFY43" s="31"/>
      <c r="FFZ43" s="30"/>
      <c r="FGA43" s="31"/>
      <c r="FGB43" s="30"/>
      <c r="FGC43" s="31"/>
      <c r="FGD43" s="30"/>
      <c r="FGE43" s="31"/>
      <c r="FGF43" s="30"/>
      <c r="FGG43" s="31"/>
      <c r="FGH43" s="30"/>
      <c r="FGI43" s="31"/>
      <c r="FGJ43" s="30"/>
      <c r="FGK43" s="31"/>
      <c r="FGL43" s="30"/>
      <c r="FGM43" s="31"/>
      <c r="FGN43" s="30"/>
      <c r="FGO43" s="31"/>
      <c r="FGP43" s="30"/>
      <c r="FGQ43" s="31"/>
      <c r="FGR43" s="30"/>
      <c r="FGS43" s="31"/>
      <c r="FGT43" s="30"/>
      <c r="FGU43" s="31"/>
      <c r="FGV43" s="30"/>
      <c r="FGW43" s="31"/>
      <c r="FGX43" s="30"/>
      <c r="FGY43" s="31"/>
      <c r="FGZ43" s="30"/>
      <c r="FHA43" s="31"/>
      <c r="FHB43" s="30"/>
      <c r="FHC43" s="31"/>
      <c r="FHD43" s="30"/>
      <c r="FHE43" s="31"/>
      <c r="FHF43" s="30"/>
      <c r="FHG43" s="31"/>
      <c r="FHH43" s="30"/>
      <c r="FHI43" s="31"/>
      <c r="FHJ43" s="30"/>
      <c r="FHK43" s="31"/>
      <c r="FHL43" s="30"/>
      <c r="FHM43" s="31"/>
      <c r="FHN43" s="30"/>
      <c r="FHO43" s="31"/>
      <c r="FHP43" s="30"/>
      <c r="FHQ43" s="31"/>
      <c r="FHR43" s="30"/>
      <c r="FHS43" s="31"/>
      <c r="FHT43" s="30"/>
      <c r="FHU43" s="31"/>
      <c r="FHV43" s="30"/>
      <c r="FHW43" s="31"/>
      <c r="FHX43" s="30"/>
      <c r="FHY43" s="31"/>
      <c r="FHZ43" s="30"/>
      <c r="FIA43" s="31"/>
      <c r="FIB43" s="30"/>
      <c r="FIC43" s="31"/>
      <c r="FID43" s="30"/>
      <c r="FIE43" s="31"/>
      <c r="FIF43" s="30"/>
      <c r="FIG43" s="31"/>
      <c r="FIH43" s="30"/>
      <c r="FII43" s="31"/>
      <c r="FIJ43" s="30"/>
      <c r="FIK43" s="31"/>
      <c r="FIL43" s="30"/>
      <c r="FIM43" s="31"/>
      <c r="FIN43" s="30"/>
      <c r="FIO43" s="31"/>
      <c r="FIP43" s="30"/>
      <c r="FIQ43" s="31"/>
      <c r="FIR43" s="30"/>
      <c r="FIS43" s="31"/>
      <c r="FIT43" s="30"/>
      <c r="FIU43" s="31"/>
      <c r="FIV43" s="30"/>
      <c r="FIW43" s="31"/>
      <c r="FIX43" s="30"/>
      <c r="FIY43" s="31"/>
      <c r="FIZ43" s="30"/>
      <c r="FJA43" s="31"/>
      <c r="FJB43" s="30"/>
      <c r="FJC43" s="31"/>
      <c r="FJD43" s="30"/>
      <c r="FJE43" s="31"/>
      <c r="FJF43" s="30"/>
      <c r="FJG43" s="31"/>
      <c r="FJH43" s="30"/>
      <c r="FJI43" s="31"/>
      <c r="FJJ43" s="30"/>
      <c r="FJK43" s="31"/>
      <c r="FJL43" s="30"/>
      <c r="FJM43" s="31"/>
      <c r="FJN43" s="30"/>
      <c r="FJO43" s="31"/>
      <c r="FJP43" s="30"/>
      <c r="FJQ43" s="31"/>
      <c r="FJR43" s="30"/>
      <c r="FJS43" s="31"/>
      <c r="FJT43" s="30"/>
      <c r="FJU43" s="31"/>
      <c r="FJV43" s="30"/>
      <c r="FJW43" s="31"/>
      <c r="FJX43" s="30"/>
      <c r="FJY43" s="31"/>
      <c r="FJZ43" s="30"/>
      <c r="FKA43" s="31"/>
      <c r="FKB43" s="30"/>
      <c r="FKC43" s="31"/>
      <c r="FKD43" s="30"/>
      <c r="FKE43" s="31"/>
      <c r="FKF43" s="30"/>
      <c r="FKG43" s="31"/>
      <c r="FKH43" s="30"/>
      <c r="FKI43" s="31"/>
      <c r="FKJ43" s="30"/>
      <c r="FKK43" s="31"/>
      <c r="FKL43" s="30"/>
      <c r="FKM43" s="31"/>
      <c r="FKN43" s="30"/>
      <c r="FKO43" s="31"/>
      <c r="FKP43" s="30"/>
      <c r="FKQ43" s="31"/>
      <c r="FKR43" s="30"/>
      <c r="FKS43" s="31"/>
      <c r="FKT43" s="30"/>
      <c r="FKU43" s="31"/>
      <c r="FKV43" s="30"/>
      <c r="FKW43" s="31"/>
      <c r="FKX43" s="30"/>
      <c r="FKY43" s="31"/>
      <c r="FKZ43" s="30"/>
      <c r="FLA43" s="31"/>
      <c r="FLB43" s="30"/>
      <c r="FLC43" s="31"/>
      <c r="FLD43" s="30"/>
      <c r="FLE43" s="31"/>
      <c r="FLF43" s="30"/>
      <c r="FLG43" s="31"/>
      <c r="FLH43" s="30"/>
      <c r="FLI43" s="31"/>
      <c r="FLJ43" s="30"/>
      <c r="FLK43" s="31"/>
      <c r="FLL43" s="30"/>
      <c r="FLM43" s="31"/>
      <c r="FLN43" s="30"/>
      <c r="FLO43" s="31"/>
      <c r="FLP43" s="30"/>
      <c r="FLQ43" s="31"/>
      <c r="FLR43" s="30"/>
      <c r="FLS43" s="31"/>
      <c r="FLT43" s="30"/>
      <c r="FLU43" s="31"/>
      <c r="FLV43" s="30"/>
      <c r="FLW43" s="31"/>
      <c r="FLX43" s="30"/>
      <c r="FLY43" s="31"/>
      <c r="FLZ43" s="30"/>
      <c r="FMA43" s="31"/>
      <c r="FMB43" s="30"/>
      <c r="FMC43" s="31"/>
      <c r="FMD43" s="30"/>
      <c r="FME43" s="31"/>
      <c r="FMF43" s="30"/>
      <c r="FMG43" s="31"/>
      <c r="FMH43" s="30"/>
      <c r="FMI43" s="31"/>
      <c r="FMJ43" s="30"/>
      <c r="FMK43" s="31"/>
      <c r="FML43" s="30"/>
      <c r="FMM43" s="31"/>
      <c r="FMN43" s="30"/>
      <c r="FMO43" s="31"/>
      <c r="FMP43" s="30"/>
      <c r="FMQ43" s="31"/>
      <c r="FMR43" s="30"/>
      <c r="FMS43" s="31"/>
      <c r="FMT43" s="30"/>
      <c r="FMU43" s="31"/>
      <c r="FMV43" s="30"/>
      <c r="FMW43" s="31"/>
      <c r="FMX43" s="30"/>
      <c r="FMY43" s="31"/>
      <c r="FMZ43" s="30"/>
      <c r="FNA43" s="31"/>
      <c r="FNB43" s="30"/>
      <c r="FNC43" s="31"/>
      <c r="FND43" s="30"/>
      <c r="FNE43" s="31"/>
      <c r="FNF43" s="30"/>
      <c r="FNG43" s="31"/>
      <c r="FNH43" s="30"/>
      <c r="FNI43" s="31"/>
      <c r="FNJ43" s="30"/>
      <c r="FNK43" s="31"/>
      <c r="FNL43" s="30"/>
      <c r="FNM43" s="31"/>
      <c r="FNN43" s="30"/>
      <c r="FNO43" s="31"/>
      <c r="FNP43" s="30"/>
      <c r="FNQ43" s="31"/>
      <c r="FNR43" s="30"/>
      <c r="FNS43" s="31"/>
      <c r="FNT43" s="30"/>
      <c r="FNU43" s="31"/>
      <c r="FNV43" s="30"/>
      <c r="FNW43" s="31"/>
      <c r="FNX43" s="30"/>
      <c r="FNY43" s="31"/>
      <c r="FNZ43" s="30"/>
      <c r="FOA43" s="31"/>
      <c r="FOB43" s="30"/>
      <c r="FOC43" s="31"/>
      <c r="FOD43" s="30"/>
      <c r="FOE43" s="31"/>
      <c r="FOF43" s="30"/>
      <c r="FOG43" s="31"/>
      <c r="FOH43" s="30"/>
      <c r="FOI43" s="31"/>
      <c r="FOJ43" s="30"/>
      <c r="FOK43" s="31"/>
      <c r="FOL43" s="30"/>
      <c r="FOM43" s="31"/>
      <c r="FON43" s="30"/>
      <c r="FOO43" s="31"/>
      <c r="FOP43" s="30"/>
      <c r="FOQ43" s="31"/>
      <c r="FOR43" s="30"/>
      <c r="FOS43" s="31"/>
      <c r="FOT43" s="30"/>
      <c r="FOU43" s="31"/>
      <c r="FOV43" s="30"/>
      <c r="FOW43" s="31"/>
      <c r="FOX43" s="30"/>
      <c r="FOY43" s="31"/>
      <c r="FOZ43" s="30"/>
      <c r="FPA43" s="31"/>
      <c r="FPB43" s="30"/>
      <c r="FPC43" s="31"/>
      <c r="FPD43" s="30"/>
      <c r="FPE43" s="31"/>
      <c r="FPF43" s="30"/>
      <c r="FPG43" s="31"/>
      <c r="FPH43" s="30"/>
      <c r="FPI43" s="31"/>
      <c r="FPJ43" s="30"/>
      <c r="FPK43" s="31"/>
      <c r="FPL43" s="30"/>
      <c r="FPM43" s="31"/>
      <c r="FPN43" s="30"/>
      <c r="FPO43" s="31"/>
      <c r="FPP43" s="30"/>
      <c r="FPQ43" s="31"/>
      <c r="FPR43" s="30"/>
      <c r="FPS43" s="31"/>
      <c r="FPT43" s="30"/>
      <c r="FPU43" s="31"/>
      <c r="FPV43" s="30"/>
      <c r="FPW43" s="31"/>
      <c r="FPX43" s="30"/>
      <c r="FPY43" s="31"/>
      <c r="FPZ43" s="30"/>
      <c r="FQA43" s="31"/>
      <c r="FQB43" s="30"/>
      <c r="FQC43" s="31"/>
      <c r="FQD43" s="30"/>
      <c r="FQE43" s="31"/>
      <c r="FQF43" s="30"/>
      <c r="FQG43" s="31"/>
      <c r="FQH43" s="30"/>
      <c r="FQI43" s="31"/>
      <c r="FQJ43" s="30"/>
      <c r="FQK43" s="31"/>
      <c r="FQL43" s="30"/>
      <c r="FQM43" s="31"/>
      <c r="FQN43" s="30"/>
      <c r="FQO43" s="31"/>
      <c r="FQP43" s="30"/>
      <c r="FQQ43" s="31"/>
      <c r="FQR43" s="30"/>
      <c r="FQS43" s="31"/>
      <c r="FQT43" s="30"/>
      <c r="FQU43" s="31"/>
      <c r="FQV43" s="30"/>
      <c r="FQW43" s="31"/>
      <c r="FQX43" s="30"/>
      <c r="FQY43" s="31"/>
      <c r="FQZ43" s="30"/>
      <c r="FRA43" s="31"/>
      <c r="FRB43" s="30"/>
      <c r="FRC43" s="31"/>
      <c r="FRD43" s="30"/>
      <c r="FRE43" s="31"/>
      <c r="FRF43" s="30"/>
      <c r="FRG43" s="31"/>
      <c r="FRH43" s="30"/>
      <c r="FRI43" s="31"/>
      <c r="FRJ43" s="30"/>
      <c r="FRK43" s="31"/>
      <c r="FRL43" s="30"/>
      <c r="FRM43" s="31"/>
      <c r="FRN43" s="30"/>
      <c r="FRO43" s="31"/>
      <c r="FRP43" s="30"/>
      <c r="FRQ43" s="31"/>
      <c r="FRR43" s="30"/>
      <c r="FRS43" s="31"/>
      <c r="FRT43" s="30"/>
      <c r="FRU43" s="31"/>
      <c r="FRV43" s="30"/>
      <c r="FRW43" s="31"/>
      <c r="FRX43" s="30"/>
      <c r="FRY43" s="31"/>
      <c r="FRZ43" s="30"/>
      <c r="FSA43" s="31"/>
      <c r="FSB43" s="30"/>
      <c r="FSC43" s="31"/>
      <c r="FSD43" s="30"/>
      <c r="FSE43" s="31"/>
      <c r="FSF43" s="30"/>
      <c r="FSG43" s="31"/>
      <c r="FSH43" s="30"/>
      <c r="FSI43" s="31"/>
      <c r="FSJ43" s="30"/>
      <c r="FSK43" s="31"/>
      <c r="FSL43" s="30"/>
      <c r="FSM43" s="31"/>
      <c r="FSN43" s="30"/>
      <c r="FSO43" s="31"/>
      <c r="FSP43" s="30"/>
      <c r="FSQ43" s="31"/>
      <c r="FSR43" s="30"/>
      <c r="FSS43" s="31"/>
      <c r="FST43" s="30"/>
      <c r="FSU43" s="31"/>
      <c r="FSV43" s="30"/>
      <c r="FSW43" s="31"/>
      <c r="FSX43" s="30"/>
      <c r="FSY43" s="31"/>
      <c r="FSZ43" s="30"/>
      <c r="FTA43" s="31"/>
      <c r="FTB43" s="30"/>
      <c r="FTC43" s="31"/>
      <c r="FTD43" s="30"/>
      <c r="FTE43" s="31"/>
      <c r="FTF43" s="30"/>
      <c r="FTG43" s="31"/>
      <c r="FTH43" s="30"/>
      <c r="FTI43" s="31"/>
      <c r="FTJ43" s="30"/>
      <c r="FTK43" s="31"/>
      <c r="FTL43" s="30"/>
      <c r="FTM43" s="31"/>
      <c r="FTN43" s="30"/>
      <c r="FTO43" s="31"/>
      <c r="FTP43" s="30"/>
      <c r="FTQ43" s="31"/>
      <c r="FTR43" s="30"/>
      <c r="FTS43" s="31"/>
      <c r="FTT43" s="30"/>
      <c r="FTU43" s="31"/>
      <c r="FTV43" s="30"/>
      <c r="FTW43" s="31"/>
      <c r="FTX43" s="30"/>
      <c r="FTY43" s="31"/>
      <c r="FTZ43" s="30"/>
      <c r="FUA43" s="31"/>
      <c r="FUB43" s="30"/>
      <c r="FUC43" s="31"/>
      <c r="FUD43" s="30"/>
      <c r="FUE43" s="31"/>
      <c r="FUF43" s="30"/>
      <c r="FUG43" s="31"/>
      <c r="FUH43" s="30"/>
      <c r="FUI43" s="31"/>
      <c r="FUJ43" s="30"/>
      <c r="FUK43" s="31"/>
      <c r="FUL43" s="30"/>
      <c r="FUM43" s="31"/>
      <c r="FUN43" s="30"/>
      <c r="FUO43" s="31"/>
      <c r="FUP43" s="30"/>
      <c r="FUQ43" s="31"/>
      <c r="FUR43" s="30"/>
      <c r="FUS43" s="31"/>
      <c r="FUT43" s="30"/>
      <c r="FUU43" s="31"/>
      <c r="FUV43" s="30"/>
      <c r="FUW43" s="31"/>
      <c r="FUX43" s="30"/>
      <c r="FUY43" s="31"/>
      <c r="FUZ43" s="30"/>
      <c r="FVA43" s="31"/>
      <c r="FVB43" s="30"/>
      <c r="FVC43" s="31"/>
      <c r="FVD43" s="30"/>
      <c r="FVE43" s="31"/>
      <c r="FVF43" s="30"/>
      <c r="FVG43" s="31"/>
      <c r="FVH43" s="30"/>
      <c r="FVI43" s="31"/>
      <c r="FVJ43" s="30"/>
      <c r="FVK43" s="31"/>
      <c r="FVL43" s="30"/>
      <c r="FVM43" s="31"/>
      <c r="FVN43" s="30"/>
      <c r="FVO43" s="31"/>
      <c r="FVP43" s="30"/>
      <c r="FVQ43" s="31"/>
      <c r="FVR43" s="30"/>
      <c r="FVS43" s="31"/>
      <c r="FVT43" s="30"/>
      <c r="FVU43" s="31"/>
      <c r="FVV43" s="30"/>
      <c r="FVW43" s="31"/>
      <c r="FVX43" s="30"/>
      <c r="FVY43" s="31"/>
      <c r="FVZ43" s="30"/>
      <c r="FWA43" s="31"/>
      <c r="FWB43" s="30"/>
      <c r="FWC43" s="31"/>
      <c r="FWD43" s="30"/>
      <c r="FWE43" s="31"/>
      <c r="FWF43" s="30"/>
      <c r="FWG43" s="31"/>
      <c r="FWH43" s="30"/>
      <c r="FWI43" s="31"/>
      <c r="FWJ43" s="30"/>
      <c r="FWK43" s="31"/>
      <c r="FWL43" s="30"/>
      <c r="FWM43" s="31"/>
      <c r="FWN43" s="30"/>
      <c r="FWO43" s="31"/>
      <c r="FWP43" s="30"/>
      <c r="FWQ43" s="31"/>
      <c r="FWR43" s="30"/>
      <c r="FWS43" s="31"/>
      <c r="FWT43" s="30"/>
      <c r="FWU43" s="31"/>
      <c r="FWV43" s="30"/>
      <c r="FWW43" s="31"/>
      <c r="FWX43" s="30"/>
      <c r="FWY43" s="31"/>
      <c r="FWZ43" s="30"/>
      <c r="FXA43" s="31"/>
      <c r="FXB43" s="30"/>
      <c r="FXC43" s="31"/>
      <c r="FXD43" s="30"/>
      <c r="FXE43" s="31"/>
      <c r="FXF43" s="30"/>
      <c r="FXG43" s="31"/>
      <c r="FXH43" s="30"/>
      <c r="FXI43" s="31"/>
      <c r="FXJ43" s="30"/>
      <c r="FXK43" s="31"/>
      <c r="FXL43" s="30"/>
      <c r="FXM43" s="31"/>
      <c r="FXN43" s="30"/>
      <c r="FXO43" s="31"/>
      <c r="FXP43" s="30"/>
      <c r="FXQ43" s="31"/>
      <c r="FXR43" s="30"/>
      <c r="FXS43" s="31"/>
      <c r="FXT43" s="30"/>
      <c r="FXU43" s="31"/>
      <c r="FXV43" s="30"/>
      <c r="FXW43" s="31"/>
      <c r="FXX43" s="30"/>
      <c r="FXY43" s="31"/>
      <c r="FXZ43" s="30"/>
      <c r="FYA43" s="31"/>
      <c r="FYB43" s="30"/>
      <c r="FYC43" s="31"/>
      <c r="FYD43" s="30"/>
      <c r="FYE43" s="31"/>
      <c r="FYF43" s="30"/>
      <c r="FYG43" s="31"/>
      <c r="FYH43" s="30"/>
      <c r="FYI43" s="31"/>
      <c r="FYJ43" s="30"/>
      <c r="FYK43" s="31"/>
      <c r="FYL43" s="30"/>
      <c r="FYM43" s="31"/>
      <c r="FYN43" s="30"/>
      <c r="FYO43" s="31"/>
      <c r="FYP43" s="30"/>
      <c r="FYQ43" s="31"/>
      <c r="FYR43" s="30"/>
      <c r="FYS43" s="31"/>
      <c r="FYT43" s="30"/>
      <c r="FYU43" s="31"/>
      <c r="FYV43" s="30"/>
      <c r="FYW43" s="31"/>
      <c r="FYX43" s="30"/>
      <c r="FYY43" s="31"/>
      <c r="FYZ43" s="30"/>
      <c r="FZA43" s="31"/>
      <c r="FZB43" s="30"/>
      <c r="FZC43" s="31"/>
      <c r="FZD43" s="30"/>
      <c r="FZE43" s="31"/>
      <c r="FZF43" s="30"/>
      <c r="FZG43" s="31"/>
      <c r="FZH43" s="30"/>
      <c r="FZI43" s="31"/>
      <c r="FZJ43" s="30"/>
      <c r="FZK43" s="31"/>
      <c r="FZL43" s="30"/>
      <c r="FZM43" s="31"/>
      <c r="FZN43" s="30"/>
      <c r="FZO43" s="31"/>
      <c r="FZP43" s="30"/>
      <c r="FZQ43" s="31"/>
      <c r="FZR43" s="30"/>
      <c r="FZS43" s="31"/>
      <c r="FZT43" s="30"/>
      <c r="FZU43" s="31"/>
      <c r="FZV43" s="30"/>
      <c r="FZW43" s="31"/>
      <c r="FZX43" s="30"/>
      <c r="FZY43" s="31"/>
      <c r="FZZ43" s="30"/>
      <c r="GAA43" s="31"/>
      <c r="GAB43" s="30"/>
      <c r="GAC43" s="31"/>
      <c r="GAD43" s="30"/>
      <c r="GAE43" s="31"/>
      <c r="GAF43" s="30"/>
      <c r="GAG43" s="31"/>
      <c r="GAH43" s="30"/>
      <c r="GAI43" s="31"/>
      <c r="GAJ43" s="30"/>
      <c r="GAK43" s="31"/>
      <c r="GAL43" s="30"/>
      <c r="GAM43" s="31"/>
      <c r="GAN43" s="30"/>
      <c r="GAO43" s="31"/>
      <c r="GAP43" s="30"/>
      <c r="GAQ43" s="31"/>
      <c r="GAR43" s="30"/>
      <c r="GAS43" s="31"/>
      <c r="GAT43" s="30"/>
      <c r="GAU43" s="31"/>
      <c r="GAV43" s="30"/>
      <c r="GAW43" s="31"/>
      <c r="GAX43" s="30"/>
      <c r="GAY43" s="31"/>
      <c r="GAZ43" s="30"/>
      <c r="GBA43" s="31"/>
      <c r="GBB43" s="30"/>
      <c r="GBC43" s="31"/>
      <c r="GBD43" s="30"/>
      <c r="GBE43" s="31"/>
      <c r="GBF43" s="30"/>
      <c r="GBG43" s="31"/>
      <c r="GBH43" s="30"/>
      <c r="GBI43" s="31"/>
      <c r="GBJ43" s="30"/>
      <c r="GBK43" s="31"/>
      <c r="GBL43" s="30"/>
      <c r="GBM43" s="31"/>
      <c r="GBN43" s="30"/>
      <c r="GBO43" s="31"/>
      <c r="GBP43" s="30"/>
      <c r="GBQ43" s="31"/>
      <c r="GBR43" s="30"/>
      <c r="GBS43" s="31"/>
      <c r="GBT43" s="30"/>
      <c r="GBU43" s="31"/>
      <c r="GBV43" s="30"/>
      <c r="GBW43" s="31"/>
      <c r="GBX43" s="30"/>
      <c r="GBY43" s="31"/>
      <c r="GBZ43" s="30"/>
      <c r="GCA43" s="31"/>
      <c r="GCB43" s="30"/>
      <c r="GCC43" s="31"/>
      <c r="GCD43" s="30"/>
      <c r="GCE43" s="31"/>
      <c r="GCF43" s="30"/>
      <c r="GCG43" s="31"/>
      <c r="GCH43" s="30"/>
      <c r="GCI43" s="31"/>
      <c r="GCJ43" s="30"/>
      <c r="GCK43" s="31"/>
      <c r="GCL43" s="30"/>
      <c r="GCM43" s="31"/>
      <c r="GCN43" s="30"/>
      <c r="GCO43" s="31"/>
      <c r="GCP43" s="30"/>
      <c r="GCQ43" s="31"/>
      <c r="GCR43" s="30"/>
      <c r="GCS43" s="31"/>
      <c r="GCT43" s="30"/>
      <c r="GCU43" s="31"/>
      <c r="GCV43" s="30"/>
      <c r="GCW43" s="31"/>
      <c r="GCX43" s="30"/>
      <c r="GCY43" s="31"/>
      <c r="GCZ43" s="30"/>
      <c r="GDA43" s="31"/>
      <c r="GDB43" s="30"/>
      <c r="GDC43" s="31"/>
      <c r="GDD43" s="30"/>
      <c r="GDE43" s="31"/>
      <c r="GDF43" s="30"/>
      <c r="GDG43" s="31"/>
      <c r="GDH43" s="30"/>
      <c r="GDI43" s="31"/>
      <c r="GDJ43" s="30"/>
      <c r="GDK43" s="31"/>
      <c r="GDL43" s="30"/>
      <c r="GDM43" s="31"/>
      <c r="GDN43" s="30"/>
      <c r="GDO43" s="31"/>
      <c r="GDP43" s="30"/>
      <c r="GDQ43" s="31"/>
      <c r="GDR43" s="30"/>
      <c r="GDS43" s="31"/>
      <c r="GDT43" s="30"/>
      <c r="GDU43" s="31"/>
      <c r="GDV43" s="30"/>
      <c r="GDW43" s="31"/>
      <c r="GDX43" s="30"/>
      <c r="GDY43" s="31"/>
      <c r="GDZ43" s="30"/>
      <c r="GEA43" s="31"/>
      <c r="GEB43" s="30"/>
      <c r="GEC43" s="31"/>
      <c r="GED43" s="30"/>
      <c r="GEE43" s="31"/>
      <c r="GEF43" s="30"/>
      <c r="GEG43" s="31"/>
      <c r="GEH43" s="30"/>
      <c r="GEI43" s="31"/>
      <c r="GEJ43" s="30"/>
      <c r="GEK43" s="31"/>
      <c r="GEL43" s="30"/>
      <c r="GEM43" s="31"/>
      <c r="GEN43" s="30"/>
      <c r="GEO43" s="31"/>
      <c r="GEP43" s="30"/>
      <c r="GEQ43" s="31"/>
      <c r="GER43" s="30"/>
      <c r="GES43" s="31"/>
      <c r="GET43" s="30"/>
      <c r="GEU43" s="31"/>
      <c r="GEV43" s="30"/>
      <c r="GEW43" s="31"/>
      <c r="GEX43" s="30"/>
      <c r="GEY43" s="31"/>
      <c r="GEZ43" s="30"/>
      <c r="GFA43" s="31"/>
      <c r="GFB43" s="30"/>
      <c r="GFC43" s="31"/>
      <c r="GFD43" s="30"/>
      <c r="GFE43" s="31"/>
      <c r="GFF43" s="30"/>
      <c r="GFG43" s="31"/>
      <c r="GFH43" s="30"/>
      <c r="GFI43" s="31"/>
      <c r="GFJ43" s="30"/>
      <c r="GFK43" s="31"/>
      <c r="GFL43" s="30"/>
      <c r="GFM43" s="31"/>
      <c r="GFN43" s="30"/>
      <c r="GFO43" s="31"/>
      <c r="GFP43" s="30"/>
      <c r="GFQ43" s="31"/>
      <c r="GFR43" s="30"/>
      <c r="GFS43" s="31"/>
      <c r="GFT43" s="30"/>
      <c r="GFU43" s="31"/>
      <c r="GFV43" s="30"/>
      <c r="GFW43" s="31"/>
      <c r="GFX43" s="30"/>
      <c r="GFY43" s="31"/>
      <c r="GFZ43" s="30"/>
      <c r="GGA43" s="31"/>
      <c r="GGB43" s="30"/>
      <c r="GGC43" s="31"/>
      <c r="GGD43" s="30"/>
      <c r="GGE43" s="31"/>
      <c r="GGF43" s="30"/>
      <c r="GGG43" s="31"/>
      <c r="GGH43" s="30"/>
      <c r="GGI43" s="31"/>
      <c r="GGJ43" s="30"/>
      <c r="GGK43" s="31"/>
      <c r="GGL43" s="30"/>
      <c r="GGM43" s="31"/>
      <c r="GGN43" s="30"/>
      <c r="GGO43" s="31"/>
      <c r="GGP43" s="30"/>
      <c r="GGQ43" s="31"/>
      <c r="GGR43" s="30"/>
      <c r="GGS43" s="31"/>
      <c r="GGT43" s="30"/>
      <c r="GGU43" s="31"/>
      <c r="GGV43" s="30"/>
      <c r="GGW43" s="31"/>
      <c r="GGX43" s="30"/>
      <c r="GGY43" s="31"/>
      <c r="GGZ43" s="30"/>
      <c r="GHA43" s="31"/>
      <c r="GHB43" s="30"/>
      <c r="GHC43" s="31"/>
      <c r="GHD43" s="30"/>
      <c r="GHE43" s="31"/>
      <c r="GHF43" s="30"/>
      <c r="GHG43" s="31"/>
      <c r="GHH43" s="30"/>
      <c r="GHI43" s="31"/>
      <c r="GHJ43" s="30"/>
      <c r="GHK43" s="31"/>
      <c r="GHL43" s="30"/>
      <c r="GHM43" s="31"/>
      <c r="GHN43" s="30"/>
      <c r="GHO43" s="31"/>
      <c r="GHP43" s="30"/>
      <c r="GHQ43" s="31"/>
      <c r="GHR43" s="30"/>
      <c r="GHS43" s="31"/>
      <c r="GHT43" s="30"/>
      <c r="GHU43" s="31"/>
      <c r="GHV43" s="30"/>
      <c r="GHW43" s="31"/>
      <c r="GHX43" s="30"/>
      <c r="GHY43" s="31"/>
      <c r="GHZ43" s="30"/>
      <c r="GIA43" s="31"/>
      <c r="GIB43" s="30"/>
      <c r="GIC43" s="31"/>
      <c r="GID43" s="30"/>
      <c r="GIE43" s="31"/>
      <c r="GIF43" s="30"/>
      <c r="GIG43" s="31"/>
      <c r="GIH43" s="30"/>
      <c r="GII43" s="31"/>
      <c r="GIJ43" s="30"/>
      <c r="GIK43" s="31"/>
      <c r="GIL43" s="30"/>
      <c r="GIM43" s="31"/>
      <c r="GIN43" s="30"/>
      <c r="GIO43" s="31"/>
      <c r="GIP43" s="30"/>
      <c r="GIQ43" s="31"/>
      <c r="GIR43" s="30"/>
      <c r="GIS43" s="31"/>
      <c r="GIT43" s="30"/>
      <c r="GIU43" s="31"/>
      <c r="GIV43" s="30"/>
      <c r="GIW43" s="31"/>
      <c r="GIX43" s="30"/>
      <c r="GIY43" s="31"/>
      <c r="GIZ43" s="30"/>
      <c r="GJA43" s="31"/>
      <c r="GJB43" s="30"/>
      <c r="GJC43" s="31"/>
      <c r="GJD43" s="30"/>
      <c r="GJE43" s="31"/>
      <c r="GJF43" s="30"/>
      <c r="GJG43" s="31"/>
      <c r="GJH43" s="30"/>
      <c r="GJI43" s="31"/>
      <c r="GJJ43" s="30"/>
      <c r="GJK43" s="31"/>
      <c r="GJL43" s="30"/>
      <c r="GJM43" s="31"/>
      <c r="GJN43" s="30"/>
      <c r="GJO43" s="31"/>
      <c r="GJP43" s="30"/>
      <c r="GJQ43" s="31"/>
      <c r="GJR43" s="30"/>
      <c r="GJS43" s="31"/>
      <c r="GJT43" s="30"/>
      <c r="GJU43" s="31"/>
      <c r="GJV43" s="30"/>
      <c r="GJW43" s="31"/>
      <c r="GJX43" s="30"/>
      <c r="GJY43" s="31"/>
      <c r="GJZ43" s="30"/>
      <c r="GKA43" s="31"/>
      <c r="GKB43" s="30"/>
      <c r="GKC43" s="31"/>
      <c r="GKD43" s="30"/>
      <c r="GKE43" s="31"/>
      <c r="GKF43" s="30"/>
      <c r="GKG43" s="31"/>
      <c r="GKH43" s="30"/>
      <c r="GKI43" s="31"/>
      <c r="GKJ43" s="30"/>
      <c r="GKK43" s="31"/>
      <c r="GKL43" s="30"/>
      <c r="GKM43" s="31"/>
      <c r="GKN43" s="30"/>
      <c r="GKO43" s="31"/>
      <c r="GKP43" s="30"/>
      <c r="GKQ43" s="31"/>
      <c r="GKR43" s="30"/>
      <c r="GKS43" s="31"/>
      <c r="GKT43" s="30"/>
      <c r="GKU43" s="31"/>
      <c r="GKV43" s="30"/>
      <c r="GKW43" s="31"/>
      <c r="GKX43" s="30"/>
      <c r="GKY43" s="31"/>
      <c r="GKZ43" s="30"/>
      <c r="GLA43" s="31"/>
      <c r="GLB43" s="30"/>
      <c r="GLC43" s="31"/>
      <c r="GLD43" s="30"/>
      <c r="GLE43" s="31"/>
      <c r="GLF43" s="30"/>
      <c r="GLG43" s="31"/>
      <c r="GLH43" s="30"/>
      <c r="GLI43" s="31"/>
      <c r="GLJ43" s="30"/>
      <c r="GLK43" s="31"/>
      <c r="GLL43" s="30"/>
      <c r="GLM43" s="31"/>
      <c r="GLN43" s="30"/>
      <c r="GLO43" s="31"/>
      <c r="GLP43" s="30"/>
      <c r="GLQ43" s="31"/>
      <c r="GLR43" s="30"/>
      <c r="GLS43" s="31"/>
      <c r="GLT43" s="30"/>
      <c r="GLU43" s="31"/>
      <c r="GLV43" s="30"/>
      <c r="GLW43" s="31"/>
      <c r="GLX43" s="30"/>
      <c r="GLY43" s="31"/>
      <c r="GLZ43" s="30"/>
      <c r="GMA43" s="31"/>
      <c r="GMB43" s="30"/>
      <c r="GMC43" s="31"/>
      <c r="GMD43" s="30"/>
      <c r="GME43" s="31"/>
      <c r="GMF43" s="30"/>
      <c r="GMG43" s="31"/>
      <c r="GMH43" s="30"/>
      <c r="GMI43" s="31"/>
      <c r="GMJ43" s="30"/>
      <c r="GMK43" s="31"/>
      <c r="GML43" s="30"/>
      <c r="GMM43" s="31"/>
      <c r="GMN43" s="30"/>
      <c r="GMO43" s="31"/>
      <c r="GMP43" s="30"/>
      <c r="GMQ43" s="31"/>
      <c r="GMR43" s="30"/>
      <c r="GMS43" s="31"/>
      <c r="GMT43" s="30"/>
      <c r="GMU43" s="31"/>
      <c r="GMV43" s="30"/>
      <c r="GMW43" s="31"/>
      <c r="GMX43" s="30"/>
      <c r="GMY43" s="31"/>
      <c r="GMZ43" s="30"/>
      <c r="GNA43" s="31"/>
      <c r="GNB43" s="30"/>
      <c r="GNC43" s="31"/>
      <c r="GND43" s="30"/>
      <c r="GNE43" s="31"/>
      <c r="GNF43" s="30"/>
      <c r="GNG43" s="31"/>
      <c r="GNH43" s="30"/>
      <c r="GNI43" s="31"/>
      <c r="GNJ43" s="30"/>
      <c r="GNK43" s="31"/>
      <c r="GNL43" s="30"/>
      <c r="GNM43" s="31"/>
      <c r="GNN43" s="30"/>
      <c r="GNO43" s="31"/>
      <c r="GNP43" s="30"/>
      <c r="GNQ43" s="31"/>
      <c r="GNR43" s="30"/>
      <c r="GNS43" s="31"/>
      <c r="GNT43" s="30"/>
      <c r="GNU43" s="31"/>
      <c r="GNV43" s="30"/>
      <c r="GNW43" s="31"/>
      <c r="GNX43" s="30"/>
      <c r="GNY43" s="31"/>
      <c r="GNZ43" s="30"/>
      <c r="GOA43" s="31"/>
      <c r="GOB43" s="30"/>
      <c r="GOC43" s="31"/>
      <c r="GOD43" s="30"/>
      <c r="GOE43" s="31"/>
      <c r="GOF43" s="30"/>
      <c r="GOG43" s="31"/>
      <c r="GOH43" s="30"/>
      <c r="GOI43" s="31"/>
      <c r="GOJ43" s="30"/>
      <c r="GOK43" s="31"/>
      <c r="GOL43" s="30"/>
      <c r="GOM43" s="31"/>
      <c r="GON43" s="30"/>
      <c r="GOO43" s="31"/>
      <c r="GOP43" s="30"/>
      <c r="GOQ43" s="31"/>
      <c r="GOR43" s="30"/>
      <c r="GOS43" s="31"/>
      <c r="GOT43" s="30"/>
      <c r="GOU43" s="31"/>
      <c r="GOV43" s="30"/>
      <c r="GOW43" s="31"/>
      <c r="GOX43" s="30"/>
      <c r="GOY43" s="31"/>
      <c r="GOZ43" s="30"/>
      <c r="GPA43" s="31"/>
      <c r="GPB43" s="30"/>
      <c r="GPC43" s="31"/>
      <c r="GPD43" s="30"/>
      <c r="GPE43" s="31"/>
      <c r="GPF43" s="30"/>
      <c r="GPG43" s="31"/>
      <c r="GPH43" s="30"/>
      <c r="GPI43" s="31"/>
      <c r="GPJ43" s="30"/>
      <c r="GPK43" s="31"/>
      <c r="GPL43" s="30"/>
      <c r="GPM43" s="31"/>
      <c r="GPN43" s="30"/>
      <c r="GPO43" s="31"/>
      <c r="GPP43" s="30"/>
      <c r="GPQ43" s="31"/>
      <c r="GPR43" s="30"/>
      <c r="GPS43" s="31"/>
      <c r="GPT43" s="30"/>
      <c r="GPU43" s="31"/>
      <c r="GPV43" s="30"/>
      <c r="GPW43" s="31"/>
      <c r="GPX43" s="30"/>
      <c r="GPY43" s="31"/>
      <c r="GPZ43" s="30"/>
      <c r="GQA43" s="31"/>
      <c r="GQB43" s="30"/>
      <c r="GQC43" s="31"/>
      <c r="GQD43" s="30"/>
      <c r="GQE43" s="31"/>
      <c r="GQF43" s="30"/>
      <c r="GQG43" s="31"/>
      <c r="GQH43" s="30"/>
      <c r="GQI43" s="31"/>
      <c r="GQJ43" s="30"/>
      <c r="GQK43" s="31"/>
      <c r="GQL43" s="30"/>
      <c r="GQM43" s="31"/>
      <c r="GQN43" s="30"/>
      <c r="GQO43" s="31"/>
      <c r="GQP43" s="30"/>
      <c r="GQQ43" s="31"/>
      <c r="GQR43" s="30"/>
      <c r="GQS43" s="31"/>
      <c r="GQT43" s="30"/>
      <c r="GQU43" s="31"/>
      <c r="GQV43" s="30"/>
      <c r="GQW43" s="31"/>
      <c r="GQX43" s="30"/>
      <c r="GQY43" s="31"/>
      <c r="GQZ43" s="30"/>
      <c r="GRA43" s="31"/>
      <c r="GRB43" s="30"/>
      <c r="GRC43" s="31"/>
      <c r="GRD43" s="30"/>
      <c r="GRE43" s="31"/>
      <c r="GRF43" s="30"/>
      <c r="GRG43" s="31"/>
      <c r="GRH43" s="30"/>
      <c r="GRI43" s="31"/>
      <c r="GRJ43" s="30"/>
      <c r="GRK43" s="31"/>
      <c r="GRL43" s="30"/>
      <c r="GRM43" s="31"/>
      <c r="GRN43" s="30"/>
      <c r="GRO43" s="31"/>
      <c r="GRP43" s="30"/>
      <c r="GRQ43" s="31"/>
      <c r="GRR43" s="30"/>
      <c r="GRS43" s="31"/>
      <c r="GRT43" s="30"/>
      <c r="GRU43" s="31"/>
      <c r="GRV43" s="30"/>
      <c r="GRW43" s="31"/>
      <c r="GRX43" s="30"/>
      <c r="GRY43" s="31"/>
      <c r="GRZ43" s="30"/>
      <c r="GSA43" s="31"/>
      <c r="GSB43" s="30"/>
      <c r="GSC43" s="31"/>
      <c r="GSD43" s="30"/>
      <c r="GSE43" s="31"/>
      <c r="GSF43" s="30"/>
      <c r="GSG43" s="31"/>
      <c r="GSH43" s="30"/>
      <c r="GSI43" s="31"/>
      <c r="GSJ43" s="30"/>
      <c r="GSK43" s="31"/>
      <c r="GSL43" s="30"/>
      <c r="GSM43" s="31"/>
      <c r="GSN43" s="30"/>
      <c r="GSO43" s="31"/>
      <c r="GSP43" s="30"/>
      <c r="GSQ43" s="31"/>
      <c r="GSR43" s="30"/>
      <c r="GSS43" s="31"/>
      <c r="GST43" s="30"/>
      <c r="GSU43" s="31"/>
      <c r="GSV43" s="30"/>
      <c r="GSW43" s="31"/>
      <c r="GSX43" s="30"/>
      <c r="GSY43" s="31"/>
      <c r="GSZ43" s="30"/>
      <c r="GTA43" s="31"/>
      <c r="GTB43" s="30"/>
      <c r="GTC43" s="31"/>
      <c r="GTD43" s="30"/>
      <c r="GTE43" s="31"/>
      <c r="GTF43" s="30"/>
      <c r="GTG43" s="31"/>
      <c r="GTH43" s="30"/>
      <c r="GTI43" s="31"/>
      <c r="GTJ43" s="30"/>
      <c r="GTK43" s="31"/>
      <c r="GTL43" s="30"/>
      <c r="GTM43" s="31"/>
      <c r="GTN43" s="30"/>
      <c r="GTO43" s="31"/>
      <c r="GTP43" s="30"/>
      <c r="GTQ43" s="31"/>
      <c r="GTR43" s="30"/>
      <c r="GTS43" s="31"/>
      <c r="GTT43" s="30"/>
      <c r="GTU43" s="31"/>
      <c r="GTV43" s="30"/>
      <c r="GTW43" s="31"/>
      <c r="GTX43" s="30"/>
      <c r="GTY43" s="31"/>
      <c r="GTZ43" s="30"/>
      <c r="GUA43" s="31"/>
      <c r="GUB43" s="30"/>
      <c r="GUC43" s="31"/>
      <c r="GUD43" s="30"/>
      <c r="GUE43" s="31"/>
      <c r="GUF43" s="30"/>
      <c r="GUG43" s="31"/>
      <c r="GUH43" s="30"/>
      <c r="GUI43" s="31"/>
      <c r="GUJ43" s="30"/>
      <c r="GUK43" s="31"/>
      <c r="GUL43" s="30"/>
      <c r="GUM43" s="31"/>
      <c r="GUN43" s="30"/>
      <c r="GUO43" s="31"/>
      <c r="GUP43" s="30"/>
      <c r="GUQ43" s="31"/>
      <c r="GUR43" s="30"/>
      <c r="GUS43" s="31"/>
      <c r="GUT43" s="30"/>
      <c r="GUU43" s="31"/>
      <c r="GUV43" s="30"/>
      <c r="GUW43" s="31"/>
      <c r="GUX43" s="30"/>
      <c r="GUY43" s="31"/>
      <c r="GUZ43" s="30"/>
      <c r="GVA43" s="31"/>
      <c r="GVB43" s="30"/>
      <c r="GVC43" s="31"/>
      <c r="GVD43" s="30"/>
      <c r="GVE43" s="31"/>
      <c r="GVF43" s="30"/>
      <c r="GVG43" s="31"/>
      <c r="GVH43" s="30"/>
      <c r="GVI43" s="31"/>
      <c r="GVJ43" s="30"/>
      <c r="GVK43" s="31"/>
      <c r="GVL43" s="30"/>
      <c r="GVM43" s="31"/>
      <c r="GVN43" s="30"/>
      <c r="GVO43" s="31"/>
      <c r="GVP43" s="30"/>
      <c r="GVQ43" s="31"/>
      <c r="GVR43" s="30"/>
      <c r="GVS43" s="31"/>
      <c r="GVT43" s="30"/>
      <c r="GVU43" s="31"/>
      <c r="GVV43" s="30"/>
      <c r="GVW43" s="31"/>
      <c r="GVX43" s="30"/>
      <c r="GVY43" s="31"/>
      <c r="GVZ43" s="30"/>
      <c r="GWA43" s="31"/>
      <c r="GWB43" s="30"/>
      <c r="GWC43" s="31"/>
      <c r="GWD43" s="30"/>
      <c r="GWE43" s="31"/>
      <c r="GWF43" s="30"/>
      <c r="GWG43" s="31"/>
      <c r="GWH43" s="30"/>
      <c r="GWI43" s="31"/>
      <c r="GWJ43" s="30"/>
      <c r="GWK43" s="31"/>
      <c r="GWL43" s="30"/>
      <c r="GWM43" s="31"/>
      <c r="GWN43" s="30"/>
      <c r="GWO43" s="31"/>
      <c r="GWP43" s="30"/>
      <c r="GWQ43" s="31"/>
      <c r="GWR43" s="30"/>
      <c r="GWS43" s="31"/>
      <c r="GWT43" s="30"/>
      <c r="GWU43" s="31"/>
      <c r="GWV43" s="30"/>
      <c r="GWW43" s="31"/>
      <c r="GWX43" s="30"/>
      <c r="GWY43" s="31"/>
      <c r="GWZ43" s="30"/>
      <c r="GXA43" s="31"/>
      <c r="GXB43" s="30"/>
      <c r="GXC43" s="31"/>
      <c r="GXD43" s="30"/>
      <c r="GXE43" s="31"/>
      <c r="GXF43" s="30"/>
      <c r="GXG43" s="31"/>
      <c r="GXH43" s="30"/>
      <c r="GXI43" s="31"/>
      <c r="GXJ43" s="30"/>
      <c r="GXK43" s="31"/>
      <c r="GXL43" s="30"/>
      <c r="GXM43" s="31"/>
      <c r="GXN43" s="30"/>
      <c r="GXO43" s="31"/>
      <c r="GXP43" s="30"/>
      <c r="GXQ43" s="31"/>
      <c r="GXR43" s="30"/>
      <c r="GXS43" s="31"/>
      <c r="GXT43" s="30"/>
      <c r="GXU43" s="31"/>
      <c r="GXV43" s="30"/>
      <c r="GXW43" s="31"/>
      <c r="GXX43" s="30"/>
      <c r="GXY43" s="31"/>
      <c r="GXZ43" s="30"/>
      <c r="GYA43" s="31"/>
      <c r="GYB43" s="30"/>
      <c r="GYC43" s="31"/>
      <c r="GYD43" s="30"/>
      <c r="GYE43" s="31"/>
      <c r="GYF43" s="30"/>
      <c r="GYG43" s="31"/>
      <c r="GYH43" s="30"/>
      <c r="GYI43" s="31"/>
      <c r="GYJ43" s="30"/>
      <c r="GYK43" s="31"/>
      <c r="GYL43" s="30"/>
      <c r="GYM43" s="31"/>
      <c r="GYN43" s="30"/>
      <c r="GYO43" s="31"/>
      <c r="GYP43" s="30"/>
      <c r="GYQ43" s="31"/>
      <c r="GYR43" s="30"/>
      <c r="GYS43" s="31"/>
      <c r="GYT43" s="30"/>
      <c r="GYU43" s="31"/>
      <c r="GYV43" s="30"/>
      <c r="GYW43" s="31"/>
      <c r="GYX43" s="30"/>
      <c r="GYY43" s="31"/>
      <c r="GYZ43" s="30"/>
      <c r="GZA43" s="31"/>
      <c r="GZB43" s="30"/>
      <c r="GZC43" s="31"/>
      <c r="GZD43" s="30"/>
      <c r="GZE43" s="31"/>
      <c r="GZF43" s="30"/>
      <c r="GZG43" s="31"/>
      <c r="GZH43" s="30"/>
      <c r="GZI43" s="31"/>
      <c r="GZJ43" s="30"/>
      <c r="GZK43" s="31"/>
      <c r="GZL43" s="30"/>
      <c r="GZM43" s="31"/>
      <c r="GZN43" s="30"/>
      <c r="GZO43" s="31"/>
      <c r="GZP43" s="30"/>
      <c r="GZQ43" s="31"/>
      <c r="GZR43" s="30"/>
      <c r="GZS43" s="31"/>
      <c r="GZT43" s="30"/>
      <c r="GZU43" s="31"/>
      <c r="GZV43" s="30"/>
      <c r="GZW43" s="31"/>
      <c r="GZX43" s="30"/>
      <c r="GZY43" s="31"/>
      <c r="GZZ43" s="30"/>
      <c r="HAA43" s="31"/>
      <c r="HAB43" s="30"/>
      <c r="HAC43" s="31"/>
      <c r="HAD43" s="30"/>
      <c r="HAE43" s="31"/>
      <c r="HAF43" s="30"/>
      <c r="HAG43" s="31"/>
      <c r="HAH43" s="30"/>
      <c r="HAI43" s="31"/>
      <c r="HAJ43" s="30"/>
      <c r="HAK43" s="31"/>
      <c r="HAL43" s="30"/>
      <c r="HAM43" s="31"/>
      <c r="HAN43" s="30"/>
      <c r="HAO43" s="31"/>
      <c r="HAP43" s="30"/>
      <c r="HAQ43" s="31"/>
      <c r="HAR43" s="30"/>
      <c r="HAS43" s="31"/>
      <c r="HAT43" s="30"/>
      <c r="HAU43" s="31"/>
      <c r="HAV43" s="30"/>
      <c r="HAW43" s="31"/>
      <c r="HAX43" s="30"/>
      <c r="HAY43" s="31"/>
      <c r="HAZ43" s="30"/>
      <c r="HBA43" s="31"/>
      <c r="HBB43" s="30"/>
      <c r="HBC43" s="31"/>
      <c r="HBD43" s="30"/>
      <c r="HBE43" s="31"/>
      <c r="HBF43" s="30"/>
      <c r="HBG43" s="31"/>
      <c r="HBH43" s="30"/>
      <c r="HBI43" s="31"/>
      <c r="HBJ43" s="30"/>
      <c r="HBK43" s="31"/>
      <c r="HBL43" s="30"/>
      <c r="HBM43" s="31"/>
      <c r="HBN43" s="30"/>
      <c r="HBO43" s="31"/>
      <c r="HBP43" s="30"/>
      <c r="HBQ43" s="31"/>
      <c r="HBR43" s="30"/>
      <c r="HBS43" s="31"/>
      <c r="HBT43" s="30"/>
      <c r="HBU43" s="31"/>
      <c r="HBV43" s="30"/>
      <c r="HBW43" s="31"/>
      <c r="HBX43" s="30"/>
      <c r="HBY43" s="31"/>
      <c r="HBZ43" s="30"/>
      <c r="HCA43" s="31"/>
      <c r="HCB43" s="30"/>
      <c r="HCC43" s="31"/>
      <c r="HCD43" s="30"/>
      <c r="HCE43" s="31"/>
      <c r="HCF43" s="30"/>
      <c r="HCG43" s="31"/>
      <c r="HCH43" s="30"/>
      <c r="HCI43" s="31"/>
      <c r="HCJ43" s="30"/>
      <c r="HCK43" s="31"/>
      <c r="HCL43" s="30"/>
      <c r="HCM43" s="31"/>
      <c r="HCN43" s="30"/>
      <c r="HCO43" s="31"/>
      <c r="HCP43" s="30"/>
      <c r="HCQ43" s="31"/>
      <c r="HCR43" s="30"/>
      <c r="HCS43" s="31"/>
      <c r="HCT43" s="30"/>
      <c r="HCU43" s="31"/>
      <c r="HCV43" s="30"/>
      <c r="HCW43" s="31"/>
      <c r="HCX43" s="30"/>
      <c r="HCY43" s="31"/>
      <c r="HCZ43" s="30"/>
      <c r="HDA43" s="31"/>
      <c r="HDB43" s="30"/>
      <c r="HDC43" s="31"/>
      <c r="HDD43" s="30"/>
      <c r="HDE43" s="31"/>
      <c r="HDF43" s="30"/>
      <c r="HDG43" s="31"/>
      <c r="HDH43" s="30"/>
      <c r="HDI43" s="31"/>
      <c r="HDJ43" s="30"/>
      <c r="HDK43" s="31"/>
      <c r="HDL43" s="30"/>
      <c r="HDM43" s="31"/>
      <c r="HDN43" s="30"/>
      <c r="HDO43" s="31"/>
      <c r="HDP43" s="30"/>
      <c r="HDQ43" s="31"/>
      <c r="HDR43" s="30"/>
      <c r="HDS43" s="31"/>
      <c r="HDT43" s="30"/>
      <c r="HDU43" s="31"/>
      <c r="HDV43" s="30"/>
      <c r="HDW43" s="31"/>
      <c r="HDX43" s="30"/>
      <c r="HDY43" s="31"/>
      <c r="HDZ43" s="30"/>
      <c r="HEA43" s="31"/>
      <c r="HEB43" s="30"/>
      <c r="HEC43" s="31"/>
      <c r="HED43" s="30"/>
      <c r="HEE43" s="31"/>
      <c r="HEF43" s="30"/>
      <c r="HEG43" s="31"/>
      <c r="HEH43" s="30"/>
      <c r="HEI43" s="31"/>
      <c r="HEJ43" s="30"/>
      <c r="HEK43" s="31"/>
      <c r="HEL43" s="30"/>
      <c r="HEM43" s="31"/>
      <c r="HEN43" s="30"/>
      <c r="HEO43" s="31"/>
      <c r="HEP43" s="30"/>
      <c r="HEQ43" s="31"/>
      <c r="HER43" s="30"/>
      <c r="HES43" s="31"/>
      <c r="HET43" s="30"/>
      <c r="HEU43" s="31"/>
      <c r="HEV43" s="30"/>
      <c r="HEW43" s="31"/>
      <c r="HEX43" s="30"/>
      <c r="HEY43" s="31"/>
      <c r="HEZ43" s="30"/>
      <c r="HFA43" s="31"/>
      <c r="HFB43" s="30"/>
      <c r="HFC43" s="31"/>
      <c r="HFD43" s="30"/>
      <c r="HFE43" s="31"/>
      <c r="HFF43" s="30"/>
      <c r="HFG43" s="31"/>
      <c r="HFH43" s="30"/>
      <c r="HFI43" s="31"/>
      <c r="HFJ43" s="30"/>
      <c r="HFK43" s="31"/>
      <c r="HFL43" s="30"/>
      <c r="HFM43" s="31"/>
      <c r="HFN43" s="30"/>
      <c r="HFO43" s="31"/>
      <c r="HFP43" s="30"/>
      <c r="HFQ43" s="31"/>
      <c r="HFR43" s="30"/>
      <c r="HFS43" s="31"/>
      <c r="HFT43" s="30"/>
      <c r="HFU43" s="31"/>
      <c r="HFV43" s="30"/>
      <c r="HFW43" s="31"/>
      <c r="HFX43" s="30"/>
      <c r="HFY43" s="31"/>
      <c r="HFZ43" s="30"/>
      <c r="HGA43" s="31"/>
      <c r="HGB43" s="30"/>
      <c r="HGC43" s="31"/>
      <c r="HGD43" s="30"/>
      <c r="HGE43" s="31"/>
      <c r="HGF43" s="30"/>
      <c r="HGG43" s="31"/>
      <c r="HGH43" s="30"/>
      <c r="HGI43" s="31"/>
      <c r="HGJ43" s="30"/>
      <c r="HGK43" s="31"/>
      <c r="HGL43" s="30"/>
      <c r="HGM43" s="31"/>
      <c r="HGN43" s="30"/>
      <c r="HGO43" s="31"/>
      <c r="HGP43" s="30"/>
      <c r="HGQ43" s="31"/>
      <c r="HGR43" s="30"/>
      <c r="HGS43" s="31"/>
      <c r="HGT43" s="30"/>
      <c r="HGU43" s="31"/>
      <c r="HGV43" s="30"/>
      <c r="HGW43" s="31"/>
      <c r="HGX43" s="30"/>
      <c r="HGY43" s="31"/>
      <c r="HGZ43" s="30"/>
      <c r="HHA43" s="31"/>
      <c r="HHB43" s="30"/>
      <c r="HHC43" s="31"/>
      <c r="HHD43" s="30"/>
      <c r="HHE43" s="31"/>
      <c r="HHF43" s="30"/>
      <c r="HHG43" s="31"/>
      <c r="HHH43" s="30"/>
      <c r="HHI43" s="31"/>
      <c r="HHJ43" s="30"/>
      <c r="HHK43" s="31"/>
      <c r="HHL43" s="30"/>
      <c r="HHM43" s="31"/>
      <c r="HHN43" s="30"/>
      <c r="HHO43" s="31"/>
      <c r="HHP43" s="30"/>
      <c r="HHQ43" s="31"/>
      <c r="HHR43" s="30"/>
      <c r="HHS43" s="31"/>
      <c r="HHT43" s="30"/>
      <c r="HHU43" s="31"/>
      <c r="HHV43" s="30"/>
      <c r="HHW43" s="31"/>
      <c r="HHX43" s="30"/>
      <c r="HHY43" s="31"/>
      <c r="HHZ43" s="30"/>
      <c r="HIA43" s="31"/>
      <c r="HIB43" s="30"/>
      <c r="HIC43" s="31"/>
      <c r="HID43" s="30"/>
      <c r="HIE43" s="31"/>
      <c r="HIF43" s="30"/>
      <c r="HIG43" s="31"/>
      <c r="HIH43" s="30"/>
      <c r="HII43" s="31"/>
      <c r="HIJ43" s="30"/>
      <c r="HIK43" s="31"/>
      <c r="HIL43" s="30"/>
      <c r="HIM43" s="31"/>
      <c r="HIN43" s="30"/>
      <c r="HIO43" s="31"/>
      <c r="HIP43" s="30"/>
      <c r="HIQ43" s="31"/>
      <c r="HIR43" s="30"/>
      <c r="HIS43" s="31"/>
      <c r="HIT43" s="30"/>
      <c r="HIU43" s="31"/>
      <c r="HIV43" s="30"/>
      <c r="HIW43" s="31"/>
      <c r="HIX43" s="30"/>
      <c r="HIY43" s="31"/>
      <c r="HIZ43" s="30"/>
      <c r="HJA43" s="31"/>
      <c r="HJB43" s="30"/>
      <c r="HJC43" s="31"/>
      <c r="HJD43" s="30"/>
      <c r="HJE43" s="31"/>
      <c r="HJF43" s="30"/>
      <c r="HJG43" s="31"/>
      <c r="HJH43" s="30"/>
      <c r="HJI43" s="31"/>
      <c r="HJJ43" s="30"/>
      <c r="HJK43" s="31"/>
      <c r="HJL43" s="30"/>
      <c r="HJM43" s="31"/>
      <c r="HJN43" s="30"/>
      <c r="HJO43" s="31"/>
      <c r="HJP43" s="30"/>
      <c r="HJQ43" s="31"/>
      <c r="HJR43" s="30"/>
      <c r="HJS43" s="31"/>
      <c r="HJT43" s="30"/>
      <c r="HJU43" s="31"/>
      <c r="HJV43" s="30"/>
      <c r="HJW43" s="31"/>
      <c r="HJX43" s="30"/>
      <c r="HJY43" s="31"/>
      <c r="HJZ43" s="30"/>
      <c r="HKA43" s="31"/>
      <c r="HKB43" s="30"/>
      <c r="HKC43" s="31"/>
      <c r="HKD43" s="30"/>
      <c r="HKE43" s="31"/>
      <c r="HKF43" s="30"/>
      <c r="HKG43" s="31"/>
      <c r="HKH43" s="30"/>
      <c r="HKI43" s="31"/>
      <c r="HKJ43" s="30"/>
      <c r="HKK43" s="31"/>
      <c r="HKL43" s="30"/>
      <c r="HKM43" s="31"/>
      <c r="HKN43" s="30"/>
      <c r="HKO43" s="31"/>
      <c r="HKP43" s="30"/>
      <c r="HKQ43" s="31"/>
      <c r="HKR43" s="30"/>
      <c r="HKS43" s="31"/>
      <c r="HKT43" s="30"/>
      <c r="HKU43" s="31"/>
      <c r="HKV43" s="30"/>
      <c r="HKW43" s="31"/>
      <c r="HKX43" s="30"/>
      <c r="HKY43" s="31"/>
      <c r="HKZ43" s="30"/>
      <c r="HLA43" s="31"/>
      <c r="HLB43" s="30"/>
      <c r="HLC43" s="31"/>
      <c r="HLD43" s="30"/>
      <c r="HLE43" s="31"/>
      <c r="HLF43" s="30"/>
      <c r="HLG43" s="31"/>
      <c r="HLH43" s="30"/>
      <c r="HLI43" s="31"/>
      <c r="HLJ43" s="30"/>
      <c r="HLK43" s="31"/>
      <c r="HLL43" s="30"/>
      <c r="HLM43" s="31"/>
      <c r="HLN43" s="30"/>
      <c r="HLO43" s="31"/>
      <c r="HLP43" s="30"/>
      <c r="HLQ43" s="31"/>
      <c r="HLR43" s="30"/>
      <c r="HLS43" s="31"/>
      <c r="HLT43" s="30"/>
      <c r="HLU43" s="31"/>
      <c r="HLV43" s="30"/>
      <c r="HLW43" s="31"/>
      <c r="HLX43" s="30"/>
      <c r="HLY43" s="31"/>
      <c r="HLZ43" s="30"/>
      <c r="HMA43" s="31"/>
      <c r="HMB43" s="30"/>
      <c r="HMC43" s="31"/>
      <c r="HMD43" s="30"/>
      <c r="HME43" s="31"/>
      <c r="HMF43" s="30"/>
      <c r="HMG43" s="31"/>
      <c r="HMH43" s="30"/>
      <c r="HMI43" s="31"/>
      <c r="HMJ43" s="30"/>
      <c r="HMK43" s="31"/>
      <c r="HML43" s="30"/>
      <c r="HMM43" s="31"/>
      <c r="HMN43" s="30"/>
      <c r="HMO43" s="31"/>
      <c r="HMP43" s="30"/>
      <c r="HMQ43" s="31"/>
      <c r="HMR43" s="30"/>
      <c r="HMS43" s="31"/>
      <c r="HMT43" s="30"/>
      <c r="HMU43" s="31"/>
      <c r="HMV43" s="30"/>
      <c r="HMW43" s="31"/>
      <c r="HMX43" s="30"/>
      <c r="HMY43" s="31"/>
      <c r="HMZ43" s="30"/>
      <c r="HNA43" s="31"/>
      <c r="HNB43" s="30"/>
      <c r="HNC43" s="31"/>
      <c r="HND43" s="30"/>
      <c r="HNE43" s="31"/>
      <c r="HNF43" s="30"/>
      <c r="HNG43" s="31"/>
      <c r="HNH43" s="30"/>
      <c r="HNI43" s="31"/>
      <c r="HNJ43" s="30"/>
      <c r="HNK43" s="31"/>
      <c r="HNL43" s="30"/>
      <c r="HNM43" s="31"/>
      <c r="HNN43" s="30"/>
      <c r="HNO43" s="31"/>
      <c r="HNP43" s="30"/>
      <c r="HNQ43" s="31"/>
      <c r="HNR43" s="30"/>
      <c r="HNS43" s="31"/>
      <c r="HNT43" s="30"/>
      <c r="HNU43" s="31"/>
      <c r="HNV43" s="30"/>
      <c r="HNW43" s="31"/>
      <c r="HNX43" s="30"/>
      <c r="HNY43" s="31"/>
      <c r="HNZ43" s="30"/>
      <c r="HOA43" s="31"/>
      <c r="HOB43" s="30"/>
      <c r="HOC43" s="31"/>
      <c r="HOD43" s="30"/>
      <c r="HOE43" s="31"/>
      <c r="HOF43" s="30"/>
      <c r="HOG43" s="31"/>
      <c r="HOH43" s="30"/>
      <c r="HOI43" s="31"/>
      <c r="HOJ43" s="30"/>
      <c r="HOK43" s="31"/>
      <c r="HOL43" s="30"/>
      <c r="HOM43" s="31"/>
      <c r="HON43" s="30"/>
      <c r="HOO43" s="31"/>
      <c r="HOP43" s="30"/>
      <c r="HOQ43" s="31"/>
      <c r="HOR43" s="30"/>
      <c r="HOS43" s="31"/>
      <c r="HOT43" s="30"/>
      <c r="HOU43" s="31"/>
      <c r="HOV43" s="30"/>
      <c r="HOW43" s="31"/>
      <c r="HOX43" s="30"/>
      <c r="HOY43" s="31"/>
      <c r="HOZ43" s="30"/>
      <c r="HPA43" s="31"/>
      <c r="HPB43" s="30"/>
      <c r="HPC43" s="31"/>
      <c r="HPD43" s="30"/>
      <c r="HPE43" s="31"/>
      <c r="HPF43" s="30"/>
      <c r="HPG43" s="31"/>
      <c r="HPH43" s="30"/>
      <c r="HPI43" s="31"/>
      <c r="HPJ43" s="30"/>
      <c r="HPK43" s="31"/>
      <c r="HPL43" s="30"/>
      <c r="HPM43" s="31"/>
      <c r="HPN43" s="30"/>
      <c r="HPO43" s="31"/>
      <c r="HPP43" s="30"/>
      <c r="HPQ43" s="31"/>
      <c r="HPR43" s="30"/>
      <c r="HPS43" s="31"/>
      <c r="HPT43" s="30"/>
      <c r="HPU43" s="31"/>
      <c r="HPV43" s="30"/>
      <c r="HPW43" s="31"/>
      <c r="HPX43" s="30"/>
      <c r="HPY43" s="31"/>
      <c r="HPZ43" s="30"/>
      <c r="HQA43" s="31"/>
      <c r="HQB43" s="30"/>
      <c r="HQC43" s="31"/>
      <c r="HQD43" s="30"/>
      <c r="HQE43" s="31"/>
      <c r="HQF43" s="30"/>
      <c r="HQG43" s="31"/>
      <c r="HQH43" s="30"/>
      <c r="HQI43" s="31"/>
      <c r="HQJ43" s="30"/>
      <c r="HQK43" s="31"/>
      <c r="HQL43" s="30"/>
      <c r="HQM43" s="31"/>
      <c r="HQN43" s="30"/>
      <c r="HQO43" s="31"/>
      <c r="HQP43" s="30"/>
      <c r="HQQ43" s="31"/>
      <c r="HQR43" s="30"/>
      <c r="HQS43" s="31"/>
      <c r="HQT43" s="30"/>
      <c r="HQU43" s="31"/>
      <c r="HQV43" s="30"/>
      <c r="HQW43" s="31"/>
      <c r="HQX43" s="30"/>
      <c r="HQY43" s="31"/>
      <c r="HQZ43" s="30"/>
      <c r="HRA43" s="31"/>
      <c r="HRB43" s="30"/>
      <c r="HRC43" s="31"/>
      <c r="HRD43" s="30"/>
      <c r="HRE43" s="31"/>
      <c r="HRF43" s="30"/>
      <c r="HRG43" s="31"/>
      <c r="HRH43" s="30"/>
      <c r="HRI43" s="31"/>
      <c r="HRJ43" s="30"/>
      <c r="HRK43" s="31"/>
      <c r="HRL43" s="30"/>
      <c r="HRM43" s="31"/>
      <c r="HRN43" s="30"/>
      <c r="HRO43" s="31"/>
      <c r="HRP43" s="30"/>
      <c r="HRQ43" s="31"/>
      <c r="HRR43" s="30"/>
      <c r="HRS43" s="31"/>
      <c r="HRT43" s="30"/>
      <c r="HRU43" s="31"/>
      <c r="HRV43" s="30"/>
      <c r="HRW43" s="31"/>
      <c r="HRX43" s="30"/>
      <c r="HRY43" s="31"/>
      <c r="HRZ43" s="30"/>
      <c r="HSA43" s="31"/>
      <c r="HSB43" s="30"/>
      <c r="HSC43" s="31"/>
      <c r="HSD43" s="30"/>
      <c r="HSE43" s="31"/>
      <c r="HSF43" s="30"/>
      <c r="HSG43" s="31"/>
      <c r="HSH43" s="30"/>
      <c r="HSI43" s="31"/>
      <c r="HSJ43" s="30"/>
      <c r="HSK43" s="31"/>
      <c r="HSL43" s="30"/>
      <c r="HSM43" s="31"/>
      <c r="HSN43" s="30"/>
      <c r="HSO43" s="31"/>
      <c r="HSP43" s="30"/>
      <c r="HSQ43" s="31"/>
      <c r="HSR43" s="30"/>
      <c r="HSS43" s="31"/>
      <c r="HST43" s="30"/>
      <c r="HSU43" s="31"/>
      <c r="HSV43" s="30"/>
      <c r="HSW43" s="31"/>
      <c r="HSX43" s="30"/>
      <c r="HSY43" s="31"/>
      <c r="HSZ43" s="30"/>
      <c r="HTA43" s="31"/>
      <c r="HTB43" s="30"/>
      <c r="HTC43" s="31"/>
      <c r="HTD43" s="30"/>
      <c r="HTE43" s="31"/>
      <c r="HTF43" s="30"/>
      <c r="HTG43" s="31"/>
      <c r="HTH43" s="30"/>
      <c r="HTI43" s="31"/>
      <c r="HTJ43" s="30"/>
      <c r="HTK43" s="31"/>
      <c r="HTL43" s="30"/>
      <c r="HTM43" s="31"/>
      <c r="HTN43" s="30"/>
      <c r="HTO43" s="31"/>
      <c r="HTP43" s="30"/>
      <c r="HTQ43" s="31"/>
      <c r="HTR43" s="30"/>
      <c r="HTS43" s="31"/>
      <c r="HTT43" s="30"/>
      <c r="HTU43" s="31"/>
      <c r="HTV43" s="30"/>
      <c r="HTW43" s="31"/>
      <c r="HTX43" s="30"/>
      <c r="HTY43" s="31"/>
      <c r="HTZ43" s="30"/>
      <c r="HUA43" s="31"/>
      <c r="HUB43" s="30"/>
      <c r="HUC43" s="31"/>
      <c r="HUD43" s="30"/>
      <c r="HUE43" s="31"/>
      <c r="HUF43" s="30"/>
      <c r="HUG43" s="31"/>
      <c r="HUH43" s="30"/>
      <c r="HUI43" s="31"/>
      <c r="HUJ43" s="30"/>
      <c r="HUK43" s="31"/>
      <c r="HUL43" s="30"/>
      <c r="HUM43" s="31"/>
      <c r="HUN43" s="30"/>
      <c r="HUO43" s="31"/>
      <c r="HUP43" s="30"/>
      <c r="HUQ43" s="31"/>
      <c r="HUR43" s="30"/>
      <c r="HUS43" s="31"/>
      <c r="HUT43" s="30"/>
      <c r="HUU43" s="31"/>
      <c r="HUV43" s="30"/>
      <c r="HUW43" s="31"/>
      <c r="HUX43" s="30"/>
      <c r="HUY43" s="31"/>
      <c r="HUZ43" s="30"/>
      <c r="HVA43" s="31"/>
      <c r="HVB43" s="30"/>
      <c r="HVC43" s="31"/>
      <c r="HVD43" s="30"/>
      <c r="HVE43" s="31"/>
      <c r="HVF43" s="30"/>
      <c r="HVG43" s="31"/>
      <c r="HVH43" s="30"/>
      <c r="HVI43" s="31"/>
      <c r="HVJ43" s="30"/>
      <c r="HVK43" s="31"/>
      <c r="HVL43" s="30"/>
      <c r="HVM43" s="31"/>
      <c r="HVN43" s="30"/>
      <c r="HVO43" s="31"/>
      <c r="HVP43" s="30"/>
      <c r="HVQ43" s="31"/>
      <c r="HVR43" s="30"/>
      <c r="HVS43" s="31"/>
      <c r="HVT43" s="30"/>
      <c r="HVU43" s="31"/>
      <c r="HVV43" s="30"/>
      <c r="HVW43" s="31"/>
      <c r="HVX43" s="30"/>
      <c r="HVY43" s="31"/>
      <c r="HVZ43" s="30"/>
      <c r="HWA43" s="31"/>
      <c r="HWB43" s="30"/>
      <c r="HWC43" s="31"/>
      <c r="HWD43" s="30"/>
      <c r="HWE43" s="31"/>
      <c r="HWF43" s="30"/>
      <c r="HWG43" s="31"/>
      <c r="HWH43" s="30"/>
      <c r="HWI43" s="31"/>
      <c r="HWJ43" s="30"/>
      <c r="HWK43" s="31"/>
      <c r="HWL43" s="30"/>
      <c r="HWM43" s="31"/>
      <c r="HWN43" s="30"/>
      <c r="HWO43" s="31"/>
      <c r="HWP43" s="30"/>
      <c r="HWQ43" s="31"/>
      <c r="HWR43" s="30"/>
      <c r="HWS43" s="31"/>
      <c r="HWT43" s="30"/>
      <c r="HWU43" s="31"/>
      <c r="HWV43" s="30"/>
      <c r="HWW43" s="31"/>
      <c r="HWX43" s="30"/>
      <c r="HWY43" s="31"/>
      <c r="HWZ43" s="30"/>
      <c r="HXA43" s="31"/>
      <c r="HXB43" s="30"/>
      <c r="HXC43" s="31"/>
      <c r="HXD43" s="30"/>
      <c r="HXE43" s="31"/>
      <c r="HXF43" s="30"/>
      <c r="HXG43" s="31"/>
      <c r="HXH43" s="30"/>
      <c r="HXI43" s="31"/>
      <c r="HXJ43" s="30"/>
      <c r="HXK43" s="31"/>
      <c r="HXL43" s="30"/>
      <c r="HXM43" s="31"/>
      <c r="HXN43" s="30"/>
      <c r="HXO43" s="31"/>
      <c r="HXP43" s="30"/>
      <c r="HXQ43" s="31"/>
      <c r="HXR43" s="30"/>
      <c r="HXS43" s="31"/>
      <c r="HXT43" s="30"/>
      <c r="HXU43" s="31"/>
      <c r="HXV43" s="30"/>
      <c r="HXW43" s="31"/>
      <c r="HXX43" s="30"/>
      <c r="HXY43" s="31"/>
      <c r="HXZ43" s="30"/>
      <c r="HYA43" s="31"/>
      <c r="HYB43" s="30"/>
      <c r="HYC43" s="31"/>
      <c r="HYD43" s="30"/>
      <c r="HYE43" s="31"/>
      <c r="HYF43" s="30"/>
      <c r="HYG43" s="31"/>
      <c r="HYH43" s="30"/>
      <c r="HYI43" s="31"/>
      <c r="HYJ43" s="30"/>
      <c r="HYK43" s="31"/>
      <c r="HYL43" s="30"/>
      <c r="HYM43" s="31"/>
      <c r="HYN43" s="30"/>
      <c r="HYO43" s="31"/>
      <c r="HYP43" s="30"/>
      <c r="HYQ43" s="31"/>
      <c r="HYR43" s="30"/>
      <c r="HYS43" s="31"/>
      <c r="HYT43" s="30"/>
      <c r="HYU43" s="31"/>
      <c r="HYV43" s="30"/>
      <c r="HYW43" s="31"/>
      <c r="HYX43" s="30"/>
      <c r="HYY43" s="31"/>
      <c r="HYZ43" s="30"/>
      <c r="HZA43" s="31"/>
      <c r="HZB43" s="30"/>
      <c r="HZC43" s="31"/>
      <c r="HZD43" s="30"/>
      <c r="HZE43" s="31"/>
      <c r="HZF43" s="30"/>
      <c r="HZG43" s="31"/>
      <c r="HZH43" s="30"/>
      <c r="HZI43" s="31"/>
      <c r="HZJ43" s="30"/>
      <c r="HZK43" s="31"/>
      <c r="HZL43" s="30"/>
      <c r="HZM43" s="31"/>
      <c r="HZN43" s="30"/>
      <c r="HZO43" s="31"/>
      <c r="HZP43" s="30"/>
      <c r="HZQ43" s="31"/>
      <c r="HZR43" s="30"/>
      <c r="HZS43" s="31"/>
      <c r="HZT43" s="30"/>
      <c r="HZU43" s="31"/>
      <c r="HZV43" s="30"/>
      <c r="HZW43" s="31"/>
      <c r="HZX43" s="30"/>
      <c r="HZY43" s="31"/>
      <c r="HZZ43" s="30"/>
      <c r="IAA43" s="31"/>
      <c r="IAB43" s="30"/>
      <c r="IAC43" s="31"/>
      <c r="IAD43" s="30"/>
      <c r="IAE43" s="31"/>
      <c r="IAF43" s="30"/>
      <c r="IAG43" s="31"/>
      <c r="IAH43" s="30"/>
      <c r="IAI43" s="31"/>
      <c r="IAJ43" s="30"/>
      <c r="IAK43" s="31"/>
      <c r="IAL43" s="30"/>
      <c r="IAM43" s="31"/>
      <c r="IAN43" s="30"/>
      <c r="IAO43" s="31"/>
      <c r="IAP43" s="30"/>
      <c r="IAQ43" s="31"/>
      <c r="IAR43" s="30"/>
      <c r="IAS43" s="31"/>
      <c r="IAT43" s="30"/>
      <c r="IAU43" s="31"/>
      <c r="IAV43" s="30"/>
      <c r="IAW43" s="31"/>
      <c r="IAX43" s="30"/>
      <c r="IAY43" s="31"/>
      <c r="IAZ43" s="30"/>
      <c r="IBA43" s="31"/>
      <c r="IBB43" s="30"/>
      <c r="IBC43" s="31"/>
      <c r="IBD43" s="30"/>
      <c r="IBE43" s="31"/>
      <c r="IBF43" s="30"/>
      <c r="IBG43" s="31"/>
      <c r="IBH43" s="30"/>
      <c r="IBI43" s="31"/>
      <c r="IBJ43" s="30"/>
      <c r="IBK43" s="31"/>
      <c r="IBL43" s="30"/>
      <c r="IBM43" s="31"/>
      <c r="IBN43" s="30"/>
      <c r="IBO43" s="31"/>
      <c r="IBP43" s="30"/>
      <c r="IBQ43" s="31"/>
      <c r="IBR43" s="30"/>
      <c r="IBS43" s="31"/>
      <c r="IBT43" s="30"/>
      <c r="IBU43" s="31"/>
      <c r="IBV43" s="30"/>
      <c r="IBW43" s="31"/>
      <c r="IBX43" s="30"/>
      <c r="IBY43" s="31"/>
      <c r="IBZ43" s="30"/>
      <c r="ICA43" s="31"/>
      <c r="ICB43" s="30"/>
      <c r="ICC43" s="31"/>
      <c r="ICD43" s="30"/>
      <c r="ICE43" s="31"/>
      <c r="ICF43" s="30"/>
      <c r="ICG43" s="31"/>
      <c r="ICH43" s="30"/>
      <c r="ICI43" s="31"/>
      <c r="ICJ43" s="30"/>
      <c r="ICK43" s="31"/>
      <c r="ICL43" s="30"/>
      <c r="ICM43" s="31"/>
      <c r="ICN43" s="30"/>
      <c r="ICO43" s="31"/>
      <c r="ICP43" s="30"/>
      <c r="ICQ43" s="31"/>
      <c r="ICR43" s="30"/>
      <c r="ICS43" s="31"/>
      <c r="ICT43" s="30"/>
      <c r="ICU43" s="31"/>
      <c r="ICV43" s="30"/>
      <c r="ICW43" s="31"/>
      <c r="ICX43" s="30"/>
      <c r="ICY43" s="31"/>
      <c r="ICZ43" s="30"/>
      <c r="IDA43" s="31"/>
      <c r="IDB43" s="30"/>
      <c r="IDC43" s="31"/>
      <c r="IDD43" s="30"/>
      <c r="IDE43" s="31"/>
      <c r="IDF43" s="30"/>
      <c r="IDG43" s="31"/>
      <c r="IDH43" s="30"/>
      <c r="IDI43" s="31"/>
      <c r="IDJ43" s="30"/>
      <c r="IDK43" s="31"/>
      <c r="IDL43" s="30"/>
      <c r="IDM43" s="31"/>
      <c r="IDN43" s="30"/>
      <c r="IDO43" s="31"/>
      <c r="IDP43" s="30"/>
      <c r="IDQ43" s="31"/>
      <c r="IDR43" s="30"/>
      <c r="IDS43" s="31"/>
      <c r="IDT43" s="30"/>
      <c r="IDU43" s="31"/>
      <c r="IDV43" s="30"/>
      <c r="IDW43" s="31"/>
      <c r="IDX43" s="30"/>
      <c r="IDY43" s="31"/>
      <c r="IDZ43" s="30"/>
      <c r="IEA43" s="31"/>
      <c r="IEB43" s="30"/>
      <c r="IEC43" s="31"/>
      <c r="IED43" s="30"/>
      <c r="IEE43" s="31"/>
      <c r="IEF43" s="30"/>
      <c r="IEG43" s="31"/>
      <c r="IEH43" s="30"/>
      <c r="IEI43" s="31"/>
      <c r="IEJ43" s="30"/>
      <c r="IEK43" s="31"/>
      <c r="IEL43" s="30"/>
      <c r="IEM43" s="31"/>
      <c r="IEN43" s="30"/>
      <c r="IEO43" s="31"/>
      <c r="IEP43" s="30"/>
      <c r="IEQ43" s="31"/>
      <c r="IER43" s="30"/>
      <c r="IES43" s="31"/>
      <c r="IET43" s="30"/>
      <c r="IEU43" s="31"/>
      <c r="IEV43" s="30"/>
      <c r="IEW43" s="31"/>
      <c r="IEX43" s="30"/>
      <c r="IEY43" s="31"/>
      <c r="IEZ43" s="30"/>
      <c r="IFA43" s="31"/>
      <c r="IFB43" s="30"/>
      <c r="IFC43" s="31"/>
      <c r="IFD43" s="30"/>
      <c r="IFE43" s="31"/>
      <c r="IFF43" s="30"/>
      <c r="IFG43" s="31"/>
      <c r="IFH43" s="30"/>
      <c r="IFI43" s="31"/>
      <c r="IFJ43" s="30"/>
      <c r="IFK43" s="31"/>
      <c r="IFL43" s="30"/>
      <c r="IFM43" s="31"/>
      <c r="IFN43" s="30"/>
      <c r="IFO43" s="31"/>
      <c r="IFP43" s="30"/>
      <c r="IFQ43" s="31"/>
      <c r="IFR43" s="30"/>
      <c r="IFS43" s="31"/>
      <c r="IFT43" s="30"/>
      <c r="IFU43" s="31"/>
      <c r="IFV43" s="30"/>
      <c r="IFW43" s="31"/>
      <c r="IFX43" s="30"/>
      <c r="IFY43" s="31"/>
      <c r="IFZ43" s="30"/>
      <c r="IGA43" s="31"/>
      <c r="IGB43" s="30"/>
      <c r="IGC43" s="31"/>
      <c r="IGD43" s="30"/>
      <c r="IGE43" s="31"/>
      <c r="IGF43" s="30"/>
      <c r="IGG43" s="31"/>
      <c r="IGH43" s="30"/>
      <c r="IGI43" s="31"/>
      <c r="IGJ43" s="30"/>
      <c r="IGK43" s="31"/>
      <c r="IGL43" s="30"/>
      <c r="IGM43" s="31"/>
      <c r="IGN43" s="30"/>
      <c r="IGO43" s="31"/>
      <c r="IGP43" s="30"/>
      <c r="IGQ43" s="31"/>
      <c r="IGR43" s="30"/>
      <c r="IGS43" s="31"/>
      <c r="IGT43" s="30"/>
      <c r="IGU43" s="31"/>
      <c r="IGV43" s="30"/>
      <c r="IGW43" s="31"/>
      <c r="IGX43" s="30"/>
      <c r="IGY43" s="31"/>
      <c r="IGZ43" s="30"/>
      <c r="IHA43" s="31"/>
      <c r="IHB43" s="30"/>
      <c r="IHC43" s="31"/>
      <c r="IHD43" s="30"/>
      <c r="IHE43" s="31"/>
      <c r="IHF43" s="30"/>
      <c r="IHG43" s="31"/>
      <c r="IHH43" s="30"/>
      <c r="IHI43" s="31"/>
      <c r="IHJ43" s="30"/>
      <c r="IHK43" s="31"/>
      <c r="IHL43" s="30"/>
      <c r="IHM43" s="31"/>
      <c r="IHN43" s="30"/>
      <c r="IHO43" s="31"/>
      <c r="IHP43" s="30"/>
      <c r="IHQ43" s="31"/>
      <c r="IHR43" s="30"/>
      <c r="IHS43" s="31"/>
      <c r="IHT43" s="30"/>
      <c r="IHU43" s="31"/>
      <c r="IHV43" s="30"/>
      <c r="IHW43" s="31"/>
      <c r="IHX43" s="30"/>
      <c r="IHY43" s="31"/>
      <c r="IHZ43" s="30"/>
      <c r="IIA43" s="31"/>
      <c r="IIB43" s="30"/>
      <c r="IIC43" s="31"/>
      <c r="IID43" s="30"/>
      <c r="IIE43" s="31"/>
      <c r="IIF43" s="30"/>
      <c r="IIG43" s="31"/>
      <c r="IIH43" s="30"/>
      <c r="III43" s="31"/>
      <c r="IIJ43" s="30"/>
      <c r="IIK43" s="31"/>
      <c r="IIL43" s="30"/>
      <c r="IIM43" s="31"/>
      <c r="IIN43" s="30"/>
      <c r="IIO43" s="31"/>
      <c r="IIP43" s="30"/>
      <c r="IIQ43" s="31"/>
      <c r="IIR43" s="30"/>
      <c r="IIS43" s="31"/>
      <c r="IIT43" s="30"/>
      <c r="IIU43" s="31"/>
      <c r="IIV43" s="30"/>
      <c r="IIW43" s="31"/>
      <c r="IIX43" s="30"/>
      <c r="IIY43" s="31"/>
      <c r="IIZ43" s="30"/>
      <c r="IJA43" s="31"/>
      <c r="IJB43" s="30"/>
      <c r="IJC43" s="31"/>
      <c r="IJD43" s="30"/>
      <c r="IJE43" s="31"/>
      <c r="IJF43" s="30"/>
      <c r="IJG43" s="31"/>
      <c r="IJH43" s="30"/>
      <c r="IJI43" s="31"/>
      <c r="IJJ43" s="30"/>
      <c r="IJK43" s="31"/>
      <c r="IJL43" s="30"/>
      <c r="IJM43" s="31"/>
      <c r="IJN43" s="30"/>
      <c r="IJO43" s="31"/>
      <c r="IJP43" s="30"/>
      <c r="IJQ43" s="31"/>
      <c r="IJR43" s="30"/>
      <c r="IJS43" s="31"/>
      <c r="IJT43" s="30"/>
      <c r="IJU43" s="31"/>
      <c r="IJV43" s="30"/>
      <c r="IJW43" s="31"/>
      <c r="IJX43" s="30"/>
      <c r="IJY43" s="31"/>
      <c r="IJZ43" s="30"/>
      <c r="IKA43" s="31"/>
      <c r="IKB43" s="30"/>
      <c r="IKC43" s="31"/>
      <c r="IKD43" s="30"/>
      <c r="IKE43" s="31"/>
      <c r="IKF43" s="30"/>
      <c r="IKG43" s="31"/>
      <c r="IKH43" s="30"/>
      <c r="IKI43" s="31"/>
      <c r="IKJ43" s="30"/>
      <c r="IKK43" s="31"/>
      <c r="IKL43" s="30"/>
      <c r="IKM43" s="31"/>
      <c r="IKN43" s="30"/>
      <c r="IKO43" s="31"/>
      <c r="IKP43" s="30"/>
      <c r="IKQ43" s="31"/>
      <c r="IKR43" s="30"/>
      <c r="IKS43" s="31"/>
      <c r="IKT43" s="30"/>
      <c r="IKU43" s="31"/>
      <c r="IKV43" s="30"/>
      <c r="IKW43" s="31"/>
      <c r="IKX43" s="30"/>
      <c r="IKY43" s="31"/>
      <c r="IKZ43" s="30"/>
      <c r="ILA43" s="31"/>
      <c r="ILB43" s="30"/>
      <c r="ILC43" s="31"/>
      <c r="ILD43" s="30"/>
      <c r="ILE43" s="31"/>
      <c r="ILF43" s="30"/>
      <c r="ILG43" s="31"/>
      <c r="ILH43" s="30"/>
      <c r="ILI43" s="31"/>
      <c r="ILJ43" s="30"/>
      <c r="ILK43" s="31"/>
      <c r="ILL43" s="30"/>
      <c r="ILM43" s="31"/>
      <c r="ILN43" s="30"/>
      <c r="ILO43" s="31"/>
      <c r="ILP43" s="30"/>
      <c r="ILQ43" s="31"/>
      <c r="ILR43" s="30"/>
      <c r="ILS43" s="31"/>
      <c r="ILT43" s="30"/>
      <c r="ILU43" s="31"/>
      <c r="ILV43" s="30"/>
      <c r="ILW43" s="31"/>
      <c r="ILX43" s="30"/>
      <c r="ILY43" s="31"/>
      <c r="ILZ43" s="30"/>
      <c r="IMA43" s="31"/>
      <c r="IMB43" s="30"/>
      <c r="IMC43" s="31"/>
      <c r="IMD43" s="30"/>
      <c r="IME43" s="31"/>
      <c r="IMF43" s="30"/>
      <c r="IMG43" s="31"/>
      <c r="IMH43" s="30"/>
      <c r="IMI43" s="31"/>
      <c r="IMJ43" s="30"/>
      <c r="IMK43" s="31"/>
      <c r="IML43" s="30"/>
      <c r="IMM43" s="31"/>
      <c r="IMN43" s="30"/>
      <c r="IMO43" s="31"/>
      <c r="IMP43" s="30"/>
      <c r="IMQ43" s="31"/>
      <c r="IMR43" s="30"/>
      <c r="IMS43" s="31"/>
      <c r="IMT43" s="30"/>
      <c r="IMU43" s="31"/>
      <c r="IMV43" s="30"/>
      <c r="IMW43" s="31"/>
      <c r="IMX43" s="30"/>
      <c r="IMY43" s="31"/>
      <c r="IMZ43" s="30"/>
      <c r="INA43" s="31"/>
      <c r="INB43" s="30"/>
      <c r="INC43" s="31"/>
      <c r="IND43" s="30"/>
      <c r="INE43" s="31"/>
      <c r="INF43" s="30"/>
      <c r="ING43" s="31"/>
      <c r="INH43" s="30"/>
      <c r="INI43" s="31"/>
      <c r="INJ43" s="30"/>
      <c r="INK43" s="31"/>
      <c r="INL43" s="30"/>
      <c r="INM43" s="31"/>
      <c r="INN43" s="30"/>
      <c r="INO43" s="31"/>
      <c r="INP43" s="30"/>
      <c r="INQ43" s="31"/>
      <c r="INR43" s="30"/>
      <c r="INS43" s="31"/>
      <c r="INT43" s="30"/>
      <c r="INU43" s="31"/>
      <c r="INV43" s="30"/>
      <c r="INW43" s="31"/>
      <c r="INX43" s="30"/>
      <c r="INY43" s="31"/>
      <c r="INZ43" s="30"/>
      <c r="IOA43" s="31"/>
      <c r="IOB43" s="30"/>
      <c r="IOC43" s="31"/>
      <c r="IOD43" s="30"/>
      <c r="IOE43" s="31"/>
      <c r="IOF43" s="30"/>
      <c r="IOG43" s="31"/>
      <c r="IOH43" s="30"/>
      <c r="IOI43" s="31"/>
      <c r="IOJ43" s="30"/>
      <c r="IOK43" s="31"/>
      <c r="IOL43" s="30"/>
      <c r="IOM43" s="31"/>
      <c r="ION43" s="30"/>
      <c r="IOO43" s="31"/>
      <c r="IOP43" s="30"/>
      <c r="IOQ43" s="31"/>
      <c r="IOR43" s="30"/>
      <c r="IOS43" s="31"/>
      <c r="IOT43" s="30"/>
      <c r="IOU43" s="31"/>
      <c r="IOV43" s="30"/>
      <c r="IOW43" s="31"/>
      <c r="IOX43" s="30"/>
      <c r="IOY43" s="31"/>
      <c r="IOZ43" s="30"/>
      <c r="IPA43" s="31"/>
      <c r="IPB43" s="30"/>
      <c r="IPC43" s="31"/>
      <c r="IPD43" s="30"/>
      <c r="IPE43" s="31"/>
      <c r="IPF43" s="30"/>
      <c r="IPG43" s="31"/>
      <c r="IPH43" s="30"/>
      <c r="IPI43" s="31"/>
      <c r="IPJ43" s="30"/>
      <c r="IPK43" s="31"/>
      <c r="IPL43" s="30"/>
      <c r="IPM43" s="31"/>
      <c r="IPN43" s="30"/>
      <c r="IPO43" s="31"/>
      <c r="IPP43" s="30"/>
      <c r="IPQ43" s="31"/>
      <c r="IPR43" s="30"/>
      <c r="IPS43" s="31"/>
      <c r="IPT43" s="30"/>
      <c r="IPU43" s="31"/>
      <c r="IPV43" s="30"/>
      <c r="IPW43" s="31"/>
      <c r="IPX43" s="30"/>
      <c r="IPY43" s="31"/>
      <c r="IPZ43" s="30"/>
      <c r="IQA43" s="31"/>
      <c r="IQB43" s="30"/>
      <c r="IQC43" s="31"/>
      <c r="IQD43" s="30"/>
      <c r="IQE43" s="31"/>
      <c r="IQF43" s="30"/>
      <c r="IQG43" s="31"/>
      <c r="IQH43" s="30"/>
      <c r="IQI43" s="31"/>
      <c r="IQJ43" s="30"/>
      <c r="IQK43" s="31"/>
      <c r="IQL43" s="30"/>
      <c r="IQM43" s="31"/>
      <c r="IQN43" s="30"/>
      <c r="IQO43" s="31"/>
      <c r="IQP43" s="30"/>
      <c r="IQQ43" s="31"/>
      <c r="IQR43" s="30"/>
      <c r="IQS43" s="31"/>
      <c r="IQT43" s="30"/>
      <c r="IQU43" s="31"/>
      <c r="IQV43" s="30"/>
      <c r="IQW43" s="31"/>
      <c r="IQX43" s="30"/>
      <c r="IQY43" s="31"/>
      <c r="IQZ43" s="30"/>
      <c r="IRA43" s="31"/>
      <c r="IRB43" s="30"/>
      <c r="IRC43" s="31"/>
      <c r="IRD43" s="30"/>
      <c r="IRE43" s="31"/>
      <c r="IRF43" s="30"/>
      <c r="IRG43" s="31"/>
      <c r="IRH43" s="30"/>
      <c r="IRI43" s="31"/>
      <c r="IRJ43" s="30"/>
      <c r="IRK43" s="31"/>
      <c r="IRL43" s="30"/>
      <c r="IRM43" s="31"/>
      <c r="IRN43" s="30"/>
      <c r="IRO43" s="31"/>
      <c r="IRP43" s="30"/>
      <c r="IRQ43" s="31"/>
      <c r="IRR43" s="30"/>
      <c r="IRS43" s="31"/>
      <c r="IRT43" s="30"/>
      <c r="IRU43" s="31"/>
      <c r="IRV43" s="30"/>
      <c r="IRW43" s="31"/>
      <c r="IRX43" s="30"/>
      <c r="IRY43" s="31"/>
      <c r="IRZ43" s="30"/>
      <c r="ISA43" s="31"/>
      <c r="ISB43" s="30"/>
      <c r="ISC43" s="31"/>
      <c r="ISD43" s="30"/>
      <c r="ISE43" s="31"/>
      <c r="ISF43" s="30"/>
      <c r="ISG43" s="31"/>
      <c r="ISH43" s="30"/>
      <c r="ISI43" s="31"/>
      <c r="ISJ43" s="30"/>
      <c r="ISK43" s="31"/>
      <c r="ISL43" s="30"/>
      <c r="ISM43" s="31"/>
      <c r="ISN43" s="30"/>
      <c r="ISO43" s="31"/>
      <c r="ISP43" s="30"/>
      <c r="ISQ43" s="31"/>
      <c r="ISR43" s="30"/>
      <c r="ISS43" s="31"/>
      <c r="IST43" s="30"/>
      <c r="ISU43" s="31"/>
      <c r="ISV43" s="30"/>
      <c r="ISW43" s="31"/>
      <c r="ISX43" s="30"/>
      <c r="ISY43" s="31"/>
      <c r="ISZ43" s="30"/>
      <c r="ITA43" s="31"/>
      <c r="ITB43" s="30"/>
      <c r="ITC43" s="31"/>
      <c r="ITD43" s="30"/>
      <c r="ITE43" s="31"/>
      <c r="ITF43" s="30"/>
      <c r="ITG43" s="31"/>
      <c r="ITH43" s="30"/>
      <c r="ITI43" s="31"/>
      <c r="ITJ43" s="30"/>
      <c r="ITK43" s="31"/>
      <c r="ITL43" s="30"/>
      <c r="ITM43" s="31"/>
      <c r="ITN43" s="30"/>
      <c r="ITO43" s="31"/>
      <c r="ITP43" s="30"/>
      <c r="ITQ43" s="31"/>
      <c r="ITR43" s="30"/>
      <c r="ITS43" s="31"/>
      <c r="ITT43" s="30"/>
      <c r="ITU43" s="31"/>
      <c r="ITV43" s="30"/>
      <c r="ITW43" s="31"/>
      <c r="ITX43" s="30"/>
      <c r="ITY43" s="31"/>
      <c r="ITZ43" s="30"/>
      <c r="IUA43" s="31"/>
      <c r="IUB43" s="30"/>
      <c r="IUC43" s="31"/>
      <c r="IUD43" s="30"/>
      <c r="IUE43" s="31"/>
      <c r="IUF43" s="30"/>
      <c r="IUG43" s="31"/>
      <c r="IUH43" s="30"/>
      <c r="IUI43" s="31"/>
      <c r="IUJ43" s="30"/>
      <c r="IUK43" s="31"/>
      <c r="IUL43" s="30"/>
      <c r="IUM43" s="31"/>
      <c r="IUN43" s="30"/>
      <c r="IUO43" s="31"/>
      <c r="IUP43" s="30"/>
      <c r="IUQ43" s="31"/>
      <c r="IUR43" s="30"/>
      <c r="IUS43" s="31"/>
      <c r="IUT43" s="30"/>
      <c r="IUU43" s="31"/>
      <c r="IUV43" s="30"/>
      <c r="IUW43" s="31"/>
      <c r="IUX43" s="30"/>
      <c r="IUY43" s="31"/>
      <c r="IUZ43" s="30"/>
      <c r="IVA43" s="31"/>
      <c r="IVB43" s="30"/>
      <c r="IVC43" s="31"/>
      <c r="IVD43" s="30"/>
      <c r="IVE43" s="31"/>
      <c r="IVF43" s="30"/>
      <c r="IVG43" s="31"/>
      <c r="IVH43" s="30"/>
      <c r="IVI43" s="31"/>
      <c r="IVJ43" s="30"/>
      <c r="IVK43" s="31"/>
      <c r="IVL43" s="30"/>
      <c r="IVM43" s="31"/>
      <c r="IVN43" s="30"/>
      <c r="IVO43" s="31"/>
      <c r="IVP43" s="30"/>
      <c r="IVQ43" s="31"/>
      <c r="IVR43" s="30"/>
      <c r="IVS43" s="31"/>
      <c r="IVT43" s="30"/>
      <c r="IVU43" s="31"/>
      <c r="IVV43" s="30"/>
      <c r="IVW43" s="31"/>
      <c r="IVX43" s="30"/>
      <c r="IVY43" s="31"/>
      <c r="IVZ43" s="30"/>
      <c r="IWA43" s="31"/>
      <c r="IWB43" s="30"/>
      <c r="IWC43" s="31"/>
      <c r="IWD43" s="30"/>
      <c r="IWE43" s="31"/>
      <c r="IWF43" s="30"/>
      <c r="IWG43" s="31"/>
      <c r="IWH43" s="30"/>
      <c r="IWI43" s="31"/>
      <c r="IWJ43" s="30"/>
      <c r="IWK43" s="31"/>
      <c r="IWL43" s="30"/>
      <c r="IWM43" s="31"/>
      <c r="IWN43" s="30"/>
      <c r="IWO43" s="31"/>
      <c r="IWP43" s="30"/>
      <c r="IWQ43" s="31"/>
      <c r="IWR43" s="30"/>
      <c r="IWS43" s="31"/>
      <c r="IWT43" s="30"/>
      <c r="IWU43" s="31"/>
      <c r="IWV43" s="30"/>
      <c r="IWW43" s="31"/>
      <c r="IWX43" s="30"/>
      <c r="IWY43" s="31"/>
      <c r="IWZ43" s="30"/>
      <c r="IXA43" s="31"/>
      <c r="IXB43" s="30"/>
      <c r="IXC43" s="31"/>
      <c r="IXD43" s="30"/>
      <c r="IXE43" s="31"/>
      <c r="IXF43" s="30"/>
      <c r="IXG43" s="31"/>
      <c r="IXH43" s="30"/>
      <c r="IXI43" s="31"/>
      <c r="IXJ43" s="30"/>
      <c r="IXK43" s="31"/>
      <c r="IXL43" s="30"/>
      <c r="IXM43" s="31"/>
      <c r="IXN43" s="30"/>
      <c r="IXO43" s="31"/>
      <c r="IXP43" s="30"/>
      <c r="IXQ43" s="31"/>
      <c r="IXR43" s="30"/>
      <c r="IXS43" s="31"/>
      <c r="IXT43" s="30"/>
      <c r="IXU43" s="31"/>
      <c r="IXV43" s="30"/>
      <c r="IXW43" s="31"/>
      <c r="IXX43" s="30"/>
      <c r="IXY43" s="31"/>
      <c r="IXZ43" s="30"/>
      <c r="IYA43" s="31"/>
      <c r="IYB43" s="30"/>
      <c r="IYC43" s="31"/>
      <c r="IYD43" s="30"/>
      <c r="IYE43" s="31"/>
      <c r="IYF43" s="30"/>
      <c r="IYG43" s="31"/>
      <c r="IYH43" s="30"/>
      <c r="IYI43" s="31"/>
      <c r="IYJ43" s="30"/>
      <c r="IYK43" s="31"/>
      <c r="IYL43" s="30"/>
      <c r="IYM43" s="31"/>
      <c r="IYN43" s="30"/>
      <c r="IYO43" s="31"/>
      <c r="IYP43" s="30"/>
      <c r="IYQ43" s="31"/>
      <c r="IYR43" s="30"/>
      <c r="IYS43" s="31"/>
      <c r="IYT43" s="30"/>
      <c r="IYU43" s="31"/>
      <c r="IYV43" s="30"/>
      <c r="IYW43" s="31"/>
      <c r="IYX43" s="30"/>
      <c r="IYY43" s="31"/>
      <c r="IYZ43" s="30"/>
      <c r="IZA43" s="31"/>
      <c r="IZB43" s="30"/>
      <c r="IZC43" s="31"/>
      <c r="IZD43" s="30"/>
      <c r="IZE43" s="31"/>
      <c r="IZF43" s="30"/>
      <c r="IZG43" s="31"/>
      <c r="IZH43" s="30"/>
      <c r="IZI43" s="31"/>
      <c r="IZJ43" s="30"/>
      <c r="IZK43" s="31"/>
      <c r="IZL43" s="30"/>
      <c r="IZM43" s="31"/>
      <c r="IZN43" s="30"/>
      <c r="IZO43" s="31"/>
      <c r="IZP43" s="30"/>
      <c r="IZQ43" s="31"/>
      <c r="IZR43" s="30"/>
      <c r="IZS43" s="31"/>
      <c r="IZT43" s="30"/>
      <c r="IZU43" s="31"/>
      <c r="IZV43" s="30"/>
      <c r="IZW43" s="31"/>
      <c r="IZX43" s="30"/>
      <c r="IZY43" s="31"/>
      <c r="IZZ43" s="30"/>
      <c r="JAA43" s="31"/>
      <c r="JAB43" s="30"/>
      <c r="JAC43" s="31"/>
      <c r="JAD43" s="30"/>
      <c r="JAE43" s="31"/>
      <c r="JAF43" s="30"/>
      <c r="JAG43" s="31"/>
      <c r="JAH43" s="30"/>
      <c r="JAI43" s="31"/>
      <c r="JAJ43" s="30"/>
      <c r="JAK43" s="31"/>
      <c r="JAL43" s="30"/>
      <c r="JAM43" s="31"/>
      <c r="JAN43" s="30"/>
      <c r="JAO43" s="31"/>
      <c r="JAP43" s="30"/>
      <c r="JAQ43" s="31"/>
      <c r="JAR43" s="30"/>
      <c r="JAS43" s="31"/>
      <c r="JAT43" s="30"/>
      <c r="JAU43" s="31"/>
      <c r="JAV43" s="30"/>
      <c r="JAW43" s="31"/>
      <c r="JAX43" s="30"/>
      <c r="JAY43" s="31"/>
      <c r="JAZ43" s="30"/>
      <c r="JBA43" s="31"/>
      <c r="JBB43" s="30"/>
      <c r="JBC43" s="31"/>
      <c r="JBD43" s="30"/>
      <c r="JBE43" s="31"/>
      <c r="JBF43" s="30"/>
      <c r="JBG43" s="31"/>
      <c r="JBH43" s="30"/>
      <c r="JBI43" s="31"/>
      <c r="JBJ43" s="30"/>
      <c r="JBK43" s="31"/>
      <c r="JBL43" s="30"/>
      <c r="JBM43" s="31"/>
      <c r="JBN43" s="30"/>
      <c r="JBO43" s="31"/>
      <c r="JBP43" s="30"/>
      <c r="JBQ43" s="31"/>
      <c r="JBR43" s="30"/>
      <c r="JBS43" s="31"/>
      <c r="JBT43" s="30"/>
      <c r="JBU43" s="31"/>
      <c r="JBV43" s="30"/>
      <c r="JBW43" s="31"/>
      <c r="JBX43" s="30"/>
      <c r="JBY43" s="31"/>
      <c r="JBZ43" s="30"/>
      <c r="JCA43" s="31"/>
      <c r="JCB43" s="30"/>
      <c r="JCC43" s="31"/>
      <c r="JCD43" s="30"/>
      <c r="JCE43" s="31"/>
      <c r="JCF43" s="30"/>
      <c r="JCG43" s="31"/>
      <c r="JCH43" s="30"/>
      <c r="JCI43" s="31"/>
      <c r="JCJ43" s="30"/>
      <c r="JCK43" s="31"/>
      <c r="JCL43" s="30"/>
      <c r="JCM43" s="31"/>
      <c r="JCN43" s="30"/>
      <c r="JCO43" s="31"/>
      <c r="JCP43" s="30"/>
      <c r="JCQ43" s="31"/>
      <c r="JCR43" s="30"/>
      <c r="JCS43" s="31"/>
      <c r="JCT43" s="30"/>
      <c r="JCU43" s="31"/>
      <c r="JCV43" s="30"/>
      <c r="JCW43" s="31"/>
      <c r="JCX43" s="30"/>
      <c r="JCY43" s="31"/>
      <c r="JCZ43" s="30"/>
      <c r="JDA43" s="31"/>
      <c r="JDB43" s="30"/>
      <c r="JDC43" s="31"/>
      <c r="JDD43" s="30"/>
      <c r="JDE43" s="31"/>
      <c r="JDF43" s="30"/>
      <c r="JDG43" s="31"/>
      <c r="JDH43" s="30"/>
      <c r="JDI43" s="31"/>
      <c r="JDJ43" s="30"/>
      <c r="JDK43" s="31"/>
      <c r="JDL43" s="30"/>
      <c r="JDM43" s="31"/>
      <c r="JDN43" s="30"/>
      <c r="JDO43" s="31"/>
      <c r="JDP43" s="30"/>
      <c r="JDQ43" s="31"/>
      <c r="JDR43" s="30"/>
      <c r="JDS43" s="31"/>
      <c r="JDT43" s="30"/>
      <c r="JDU43" s="31"/>
      <c r="JDV43" s="30"/>
      <c r="JDW43" s="31"/>
      <c r="JDX43" s="30"/>
      <c r="JDY43" s="31"/>
      <c r="JDZ43" s="30"/>
      <c r="JEA43" s="31"/>
      <c r="JEB43" s="30"/>
      <c r="JEC43" s="31"/>
      <c r="JED43" s="30"/>
      <c r="JEE43" s="31"/>
      <c r="JEF43" s="30"/>
      <c r="JEG43" s="31"/>
      <c r="JEH43" s="30"/>
      <c r="JEI43" s="31"/>
      <c r="JEJ43" s="30"/>
      <c r="JEK43" s="31"/>
      <c r="JEL43" s="30"/>
      <c r="JEM43" s="31"/>
      <c r="JEN43" s="30"/>
      <c r="JEO43" s="31"/>
      <c r="JEP43" s="30"/>
      <c r="JEQ43" s="31"/>
      <c r="JER43" s="30"/>
      <c r="JES43" s="31"/>
      <c r="JET43" s="30"/>
      <c r="JEU43" s="31"/>
      <c r="JEV43" s="30"/>
      <c r="JEW43" s="31"/>
      <c r="JEX43" s="30"/>
      <c r="JEY43" s="31"/>
      <c r="JEZ43" s="30"/>
      <c r="JFA43" s="31"/>
      <c r="JFB43" s="30"/>
      <c r="JFC43" s="31"/>
      <c r="JFD43" s="30"/>
      <c r="JFE43" s="31"/>
      <c r="JFF43" s="30"/>
      <c r="JFG43" s="31"/>
      <c r="JFH43" s="30"/>
      <c r="JFI43" s="31"/>
      <c r="JFJ43" s="30"/>
      <c r="JFK43" s="31"/>
      <c r="JFL43" s="30"/>
      <c r="JFM43" s="31"/>
      <c r="JFN43" s="30"/>
      <c r="JFO43" s="31"/>
      <c r="JFP43" s="30"/>
      <c r="JFQ43" s="31"/>
      <c r="JFR43" s="30"/>
      <c r="JFS43" s="31"/>
      <c r="JFT43" s="30"/>
      <c r="JFU43" s="31"/>
      <c r="JFV43" s="30"/>
      <c r="JFW43" s="31"/>
      <c r="JFX43" s="30"/>
      <c r="JFY43" s="31"/>
      <c r="JFZ43" s="30"/>
      <c r="JGA43" s="31"/>
      <c r="JGB43" s="30"/>
      <c r="JGC43" s="31"/>
      <c r="JGD43" s="30"/>
      <c r="JGE43" s="31"/>
      <c r="JGF43" s="30"/>
      <c r="JGG43" s="31"/>
      <c r="JGH43" s="30"/>
      <c r="JGI43" s="31"/>
      <c r="JGJ43" s="30"/>
      <c r="JGK43" s="31"/>
      <c r="JGL43" s="30"/>
      <c r="JGM43" s="31"/>
      <c r="JGN43" s="30"/>
      <c r="JGO43" s="31"/>
      <c r="JGP43" s="30"/>
      <c r="JGQ43" s="31"/>
      <c r="JGR43" s="30"/>
      <c r="JGS43" s="31"/>
      <c r="JGT43" s="30"/>
      <c r="JGU43" s="31"/>
      <c r="JGV43" s="30"/>
      <c r="JGW43" s="31"/>
      <c r="JGX43" s="30"/>
      <c r="JGY43" s="31"/>
      <c r="JGZ43" s="30"/>
      <c r="JHA43" s="31"/>
      <c r="JHB43" s="30"/>
      <c r="JHC43" s="31"/>
      <c r="JHD43" s="30"/>
      <c r="JHE43" s="31"/>
      <c r="JHF43" s="30"/>
      <c r="JHG43" s="31"/>
      <c r="JHH43" s="30"/>
      <c r="JHI43" s="31"/>
      <c r="JHJ43" s="30"/>
      <c r="JHK43" s="31"/>
      <c r="JHL43" s="30"/>
      <c r="JHM43" s="31"/>
      <c r="JHN43" s="30"/>
      <c r="JHO43" s="31"/>
      <c r="JHP43" s="30"/>
      <c r="JHQ43" s="31"/>
      <c r="JHR43" s="30"/>
      <c r="JHS43" s="31"/>
      <c r="JHT43" s="30"/>
      <c r="JHU43" s="31"/>
      <c r="JHV43" s="30"/>
      <c r="JHW43" s="31"/>
      <c r="JHX43" s="30"/>
      <c r="JHY43" s="31"/>
      <c r="JHZ43" s="30"/>
      <c r="JIA43" s="31"/>
      <c r="JIB43" s="30"/>
      <c r="JIC43" s="31"/>
      <c r="JID43" s="30"/>
      <c r="JIE43" s="31"/>
      <c r="JIF43" s="30"/>
      <c r="JIG43" s="31"/>
      <c r="JIH43" s="30"/>
      <c r="JII43" s="31"/>
      <c r="JIJ43" s="30"/>
      <c r="JIK43" s="31"/>
      <c r="JIL43" s="30"/>
      <c r="JIM43" s="31"/>
      <c r="JIN43" s="30"/>
      <c r="JIO43" s="31"/>
      <c r="JIP43" s="30"/>
      <c r="JIQ43" s="31"/>
      <c r="JIR43" s="30"/>
      <c r="JIS43" s="31"/>
      <c r="JIT43" s="30"/>
      <c r="JIU43" s="31"/>
      <c r="JIV43" s="30"/>
      <c r="JIW43" s="31"/>
      <c r="JIX43" s="30"/>
      <c r="JIY43" s="31"/>
      <c r="JIZ43" s="30"/>
      <c r="JJA43" s="31"/>
      <c r="JJB43" s="30"/>
      <c r="JJC43" s="31"/>
      <c r="JJD43" s="30"/>
      <c r="JJE43" s="31"/>
      <c r="JJF43" s="30"/>
      <c r="JJG43" s="31"/>
      <c r="JJH43" s="30"/>
      <c r="JJI43" s="31"/>
      <c r="JJJ43" s="30"/>
      <c r="JJK43" s="31"/>
      <c r="JJL43" s="30"/>
      <c r="JJM43" s="31"/>
      <c r="JJN43" s="30"/>
      <c r="JJO43" s="31"/>
      <c r="JJP43" s="30"/>
      <c r="JJQ43" s="31"/>
      <c r="JJR43" s="30"/>
      <c r="JJS43" s="31"/>
      <c r="JJT43" s="30"/>
      <c r="JJU43" s="31"/>
      <c r="JJV43" s="30"/>
      <c r="JJW43" s="31"/>
      <c r="JJX43" s="30"/>
      <c r="JJY43" s="31"/>
      <c r="JJZ43" s="30"/>
      <c r="JKA43" s="31"/>
      <c r="JKB43" s="30"/>
      <c r="JKC43" s="31"/>
      <c r="JKD43" s="30"/>
      <c r="JKE43" s="31"/>
      <c r="JKF43" s="30"/>
      <c r="JKG43" s="31"/>
      <c r="JKH43" s="30"/>
      <c r="JKI43" s="31"/>
      <c r="JKJ43" s="30"/>
      <c r="JKK43" s="31"/>
      <c r="JKL43" s="30"/>
      <c r="JKM43" s="31"/>
      <c r="JKN43" s="30"/>
      <c r="JKO43" s="31"/>
      <c r="JKP43" s="30"/>
      <c r="JKQ43" s="31"/>
      <c r="JKR43" s="30"/>
      <c r="JKS43" s="31"/>
      <c r="JKT43" s="30"/>
      <c r="JKU43" s="31"/>
      <c r="JKV43" s="30"/>
      <c r="JKW43" s="31"/>
      <c r="JKX43" s="30"/>
      <c r="JKY43" s="31"/>
      <c r="JKZ43" s="30"/>
      <c r="JLA43" s="31"/>
      <c r="JLB43" s="30"/>
      <c r="JLC43" s="31"/>
      <c r="JLD43" s="30"/>
      <c r="JLE43" s="31"/>
      <c r="JLF43" s="30"/>
      <c r="JLG43" s="31"/>
      <c r="JLH43" s="30"/>
      <c r="JLI43" s="31"/>
      <c r="JLJ43" s="30"/>
      <c r="JLK43" s="31"/>
      <c r="JLL43" s="30"/>
      <c r="JLM43" s="31"/>
      <c r="JLN43" s="30"/>
      <c r="JLO43" s="31"/>
      <c r="JLP43" s="30"/>
      <c r="JLQ43" s="31"/>
      <c r="JLR43" s="30"/>
      <c r="JLS43" s="31"/>
      <c r="JLT43" s="30"/>
      <c r="JLU43" s="31"/>
      <c r="JLV43" s="30"/>
      <c r="JLW43" s="31"/>
      <c r="JLX43" s="30"/>
      <c r="JLY43" s="31"/>
      <c r="JLZ43" s="30"/>
      <c r="JMA43" s="31"/>
      <c r="JMB43" s="30"/>
      <c r="JMC43" s="31"/>
      <c r="JMD43" s="30"/>
      <c r="JME43" s="31"/>
      <c r="JMF43" s="30"/>
      <c r="JMG43" s="31"/>
      <c r="JMH43" s="30"/>
      <c r="JMI43" s="31"/>
      <c r="JMJ43" s="30"/>
      <c r="JMK43" s="31"/>
      <c r="JML43" s="30"/>
      <c r="JMM43" s="31"/>
      <c r="JMN43" s="30"/>
      <c r="JMO43" s="31"/>
      <c r="JMP43" s="30"/>
      <c r="JMQ43" s="31"/>
      <c r="JMR43" s="30"/>
      <c r="JMS43" s="31"/>
      <c r="JMT43" s="30"/>
      <c r="JMU43" s="31"/>
      <c r="JMV43" s="30"/>
      <c r="JMW43" s="31"/>
      <c r="JMX43" s="30"/>
      <c r="JMY43" s="31"/>
      <c r="JMZ43" s="30"/>
      <c r="JNA43" s="31"/>
      <c r="JNB43" s="30"/>
      <c r="JNC43" s="31"/>
      <c r="JND43" s="30"/>
      <c r="JNE43" s="31"/>
      <c r="JNF43" s="30"/>
      <c r="JNG43" s="31"/>
      <c r="JNH43" s="30"/>
      <c r="JNI43" s="31"/>
      <c r="JNJ43" s="30"/>
      <c r="JNK43" s="31"/>
      <c r="JNL43" s="30"/>
      <c r="JNM43" s="31"/>
      <c r="JNN43" s="30"/>
      <c r="JNO43" s="31"/>
      <c r="JNP43" s="30"/>
      <c r="JNQ43" s="31"/>
      <c r="JNR43" s="30"/>
      <c r="JNS43" s="31"/>
      <c r="JNT43" s="30"/>
      <c r="JNU43" s="31"/>
      <c r="JNV43" s="30"/>
      <c r="JNW43" s="31"/>
      <c r="JNX43" s="30"/>
      <c r="JNY43" s="31"/>
      <c r="JNZ43" s="30"/>
      <c r="JOA43" s="31"/>
      <c r="JOB43" s="30"/>
      <c r="JOC43" s="31"/>
      <c r="JOD43" s="30"/>
      <c r="JOE43" s="31"/>
      <c r="JOF43" s="30"/>
      <c r="JOG43" s="31"/>
      <c r="JOH43" s="30"/>
      <c r="JOI43" s="31"/>
      <c r="JOJ43" s="30"/>
      <c r="JOK43" s="31"/>
      <c r="JOL43" s="30"/>
      <c r="JOM43" s="31"/>
      <c r="JON43" s="30"/>
      <c r="JOO43" s="31"/>
      <c r="JOP43" s="30"/>
      <c r="JOQ43" s="31"/>
      <c r="JOR43" s="30"/>
      <c r="JOS43" s="31"/>
      <c r="JOT43" s="30"/>
      <c r="JOU43" s="31"/>
      <c r="JOV43" s="30"/>
      <c r="JOW43" s="31"/>
      <c r="JOX43" s="30"/>
      <c r="JOY43" s="31"/>
      <c r="JOZ43" s="30"/>
      <c r="JPA43" s="31"/>
      <c r="JPB43" s="30"/>
      <c r="JPC43" s="31"/>
      <c r="JPD43" s="30"/>
      <c r="JPE43" s="31"/>
      <c r="JPF43" s="30"/>
      <c r="JPG43" s="31"/>
      <c r="JPH43" s="30"/>
      <c r="JPI43" s="31"/>
      <c r="JPJ43" s="30"/>
      <c r="JPK43" s="31"/>
      <c r="JPL43" s="30"/>
      <c r="JPM43" s="31"/>
      <c r="JPN43" s="30"/>
      <c r="JPO43" s="31"/>
      <c r="JPP43" s="30"/>
      <c r="JPQ43" s="31"/>
      <c r="JPR43" s="30"/>
      <c r="JPS43" s="31"/>
      <c r="JPT43" s="30"/>
      <c r="JPU43" s="31"/>
      <c r="JPV43" s="30"/>
      <c r="JPW43" s="31"/>
      <c r="JPX43" s="30"/>
      <c r="JPY43" s="31"/>
      <c r="JPZ43" s="30"/>
      <c r="JQA43" s="31"/>
      <c r="JQB43" s="30"/>
      <c r="JQC43" s="31"/>
      <c r="JQD43" s="30"/>
      <c r="JQE43" s="31"/>
      <c r="JQF43" s="30"/>
      <c r="JQG43" s="31"/>
      <c r="JQH43" s="30"/>
      <c r="JQI43" s="31"/>
      <c r="JQJ43" s="30"/>
      <c r="JQK43" s="31"/>
      <c r="JQL43" s="30"/>
      <c r="JQM43" s="31"/>
      <c r="JQN43" s="30"/>
      <c r="JQO43" s="31"/>
      <c r="JQP43" s="30"/>
      <c r="JQQ43" s="31"/>
      <c r="JQR43" s="30"/>
      <c r="JQS43" s="31"/>
      <c r="JQT43" s="30"/>
      <c r="JQU43" s="31"/>
      <c r="JQV43" s="30"/>
      <c r="JQW43" s="31"/>
      <c r="JQX43" s="30"/>
      <c r="JQY43" s="31"/>
      <c r="JQZ43" s="30"/>
      <c r="JRA43" s="31"/>
      <c r="JRB43" s="30"/>
      <c r="JRC43" s="31"/>
      <c r="JRD43" s="30"/>
      <c r="JRE43" s="31"/>
      <c r="JRF43" s="30"/>
      <c r="JRG43" s="31"/>
      <c r="JRH43" s="30"/>
      <c r="JRI43" s="31"/>
      <c r="JRJ43" s="30"/>
      <c r="JRK43" s="31"/>
      <c r="JRL43" s="30"/>
      <c r="JRM43" s="31"/>
      <c r="JRN43" s="30"/>
      <c r="JRO43" s="31"/>
      <c r="JRP43" s="30"/>
      <c r="JRQ43" s="31"/>
      <c r="JRR43" s="30"/>
      <c r="JRS43" s="31"/>
      <c r="JRT43" s="30"/>
      <c r="JRU43" s="31"/>
      <c r="JRV43" s="30"/>
      <c r="JRW43" s="31"/>
      <c r="JRX43" s="30"/>
      <c r="JRY43" s="31"/>
      <c r="JRZ43" s="30"/>
      <c r="JSA43" s="31"/>
      <c r="JSB43" s="30"/>
      <c r="JSC43" s="31"/>
      <c r="JSD43" s="30"/>
      <c r="JSE43" s="31"/>
      <c r="JSF43" s="30"/>
      <c r="JSG43" s="31"/>
      <c r="JSH43" s="30"/>
      <c r="JSI43" s="31"/>
      <c r="JSJ43" s="30"/>
      <c r="JSK43" s="31"/>
      <c r="JSL43" s="30"/>
      <c r="JSM43" s="31"/>
      <c r="JSN43" s="30"/>
      <c r="JSO43" s="31"/>
      <c r="JSP43" s="30"/>
      <c r="JSQ43" s="31"/>
      <c r="JSR43" s="30"/>
      <c r="JSS43" s="31"/>
      <c r="JST43" s="30"/>
      <c r="JSU43" s="31"/>
      <c r="JSV43" s="30"/>
      <c r="JSW43" s="31"/>
      <c r="JSX43" s="30"/>
      <c r="JSY43" s="31"/>
      <c r="JSZ43" s="30"/>
      <c r="JTA43" s="31"/>
      <c r="JTB43" s="30"/>
      <c r="JTC43" s="31"/>
      <c r="JTD43" s="30"/>
      <c r="JTE43" s="31"/>
      <c r="JTF43" s="30"/>
      <c r="JTG43" s="31"/>
      <c r="JTH43" s="30"/>
      <c r="JTI43" s="31"/>
      <c r="JTJ43" s="30"/>
      <c r="JTK43" s="31"/>
      <c r="JTL43" s="30"/>
      <c r="JTM43" s="31"/>
      <c r="JTN43" s="30"/>
      <c r="JTO43" s="31"/>
      <c r="JTP43" s="30"/>
      <c r="JTQ43" s="31"/>
      <c r="JTR43" s="30"/>
      <c r="JTS43" s="31"/>
      <c r="JTT43" s="30"/>
      <c r="JTU43" s="31"/>
      <c r="JTV43" s="30"/>
      <c r="JTW43" s="31"/>
      <c r="JTX43" s="30"/>
      <c r="JTY43" s="31"/>
      <c r="JTZ43" s="30"/>
      <c r="JUA43" s="31"/>
      <c r="JUB43" s="30"/>
      <c r="JUC43" s="31"/>
      <c r="JUD43" s="30"/>
      <c r="JUE43" s="31"/>
      <c r="JUF43" s="30"/>
      <c r="JUG43" s="31"/>
      <c r="JUH43" s="30"/>
      <c r="JUI43" s="31"/>
      <c r="JUJ43" s="30"/>
      <c r="JUK43" s="31"/>
      <c r="JUL43" s="30"/>
      <c r="JUM43" s="31"/>
      <c r="JUN43" s="30"/>
      <c r="JUO43" s="31"/>
      <c r="JUP43" s="30"/>
      <c r="JUQ43" s="31"/>
      <c r="JUR43" s="30"/>
      <c r="JUS43" s="31"/>
      <c r="JUT43" s="30"/>
      <c r="JUU43" s="31"/>
      <c r="JUV43" s="30"/>
      <c r="JUW43" s="31"/>
      <c r="JUX43" s="30"/>
      <c r="JUY43" s="31"/>
      <c r="JUZ43" s="30"/>
      <c r="JVA43" s="31"/>
      <c r="JVB43" s="30"/>
      <c r="JVC43" s="31"/>
      <c r="JVD43" s="30"/>
      <c r="JVE43" s="31"/>
      <c r="JVF43" s="30"/>
      <c r="JVG43" s="31"/>
      <c r="JVH43" s="30"/>
      <c r="JVI43" s="31"/>
      <c r="JVJ43" s="30"/>
      <c r="JVK43" s="31"/>
      <c r="JVL43" s="30"/>
      <c r="JVM43" s="31"/>
      <c r="JVN43" s="30"/>
      <c r="JVO43" s="31"/>
      <c r="JVP43" s="30"/>
      <c r="JVQ43" s="31"/>
      <c r="JVR43" s="30"/>
      <c r="JVS43" s="31"/>
      <c r="JVT43" s="30"/>
      <c r="JVU43" s="31"/>
      <c r="JVV43" s="30"/>
      <c r="JVW43" s="31"/>
      <c r="JVX43" s="30"/>
      <c r="JVY43" s="31"/>
      <c r="JVZ43" s="30"/>
      <c r="JWA43" s="31"/>
      <c r="JWB43" s="30"/>
      <c r="JWC43" s="31"/>
      <c r="JWD43" s="30"/>
      <c r="JWE43" s="31"/>
      <c r="JWF43" s="30"/>
      <c r="JWG43" s="31"/>
      <c r="JWH43" s="30"/>
      <c r="JWI43" s="31"/>
      <c r="JWJ43" s="30"/>
      <c r="JWK43" s="31"/>
      <c r="JWL43" s="30"/>
      <c r="JWM43" s="31"/>
      <c r="JWN43" s="30"/>
      <c r="JWO43" s="31"/>
      <c r="JWP43" s="30"/>
      <c r="JWQ43" s="31"/>
      <c r="JWR43" s="30"/>
      <c r="JWS43" s="31"/>
      <c r="JWT43" s="30"/>
      <c r="JWU43" s="31"/>
      <c r="JWV43" s="30"/>
      <c r="JWW43" s="31"/>
      <c r="JWX43" s="30"/>
      <c r="JWY43" s="31"/>
      <c r="JWZ43" s="30"/>
      <c r="JXA43" s="31"/>
      <c r="JXB43" s="30"/>
      <c r="JXC43" s="31"/>
      <c r="JXD43" s="30"/>
      <c r="JXE43" s="31"/>
      <c r="JXF43" s="30"/>
      <c r="JXG43" s="31"/>
      <c r="JXH43" s="30"/>
      <c r="JXI43" s="31"/>
      <c r="JXJ43" s="30"/>
      <c r="JXK43" s="31"/>
      <c r="JXL43" s="30"/>
      <c r="JXM43" s="31"/>
      <c r="JXN43" s="30"/>
      <c r="JXO43" s="31"/>
      <c r="JXP43" s="30"/>
      <c r="JXQ43" s="31"/>
      <c r="JXR43" s="30"/>
      <c r="JXS43" s="31"/>
      <c r="JXT43" s="30"/>
      <c r="JXU43" s="31"/>
      <c r="JXV43" s="30"/>
      <c r="JXW43" s="31"/>
      <c r="JXX43" s="30"/>
      <c r="JXY43" s="31"/>
      <c r="JXZ43" s="30"/>
      <c r="JYA43" s="31"/>
      <c r="JYB43" s="30"/>
      <c r="JYC43" s="31"/>
      <c r="JYD43" s="30"/>
      <c r="JYE43" s="31"/>
      <c r="JYF43" s="30"/>
      <c r="JYG43" s="31"/>
      <c r="JYH43" s="30"/>
      <c r="JYI43" s="31"/>
      <c r="JYJ43" s="30"/>
      <c r="JYK43" s="31"/>
      <c r="JYL43" s="30"/>
      <c r="JYM43" s="31"/>
      <c r="JYN43" s="30"/>
      <c r="JYO43" s="31"/>
      <c r="JYP43" s="30"/>
      <c r="JYQ43" s="31"/>
      <c r="JYR43" s="30"/>
      <c r="JYS43" s="31"/>
      <c r="JYT43" s="30"/>
      <c r="JYU43" s="31"/>
      <c r="JYV43" s="30"/>
      <c r="JYW43" s="31"/>
      <c r="JYX43" s="30"/>
      <c r="JYY43" s="31"/>
      <c r="JYZ43" s="30"/>
      <c r="JZA43" s="31"/>
      <c r="JZB43" s="30"/>
      <c r="JZC43" s="31"/>
      <c r="JZD43" s="30"/>
      <c r="JZE43" s="31"/>
      <c r="JZF43" s="30"/>
      <c r="JZG43" s="31"/>
      <c r="JZH43" s="30"/>
      <c r="JZI43" s="31"/>
      <c r="JZJ43" s="30"/>
      <c r="JZK43" s="31"/>
      <c r="JZL43" s="30"/>
      <c r="JZM43" s="31"/>
      <c r="JZN43" s="30"/>
      <c r="JZO43" s="31"/>
      <c r="JZP43" s="30"/>
      <c r="JZQ43" s="31"/>
      <c r="JZR43" s="30"/>
      <c r="JZS43" s="31"/>
      <c r="JZT43" s="30"/>
      <c r="JZU43" s="31"/>
      <c r="JZV43" s="30"/>
      <c r="JZW43" s="31"/>
      <c r="JZX43" s="30"/>
      <c r="JZY43" s="31"/>
      <c r="JZZ43" s="30"/>
      <c r="KAA43" s="31"/>
      <c r="KAB43" s="30"/>
      <c r="KAC43" s="31"/>
      <c r="KAD43" s="30"/>
      <c r="KAE43" s="31"/>
      <c r="KAF43" s="30"/>
      <c r="KAG43" s="31"/>
      <c r="KAH43" s="30"/>
      <c r="KAI43" s="31"/>
      <c r="KAJ43" s="30"/>
      <c r="KAK43" s="31"/>
      <c r="KAL43" s="30"/>
      <c r="KAM43" s="31"/>
      <c r="KAN43" s="30"/>
      <c r="KAO43" s="31"/>
      <c r="KAP43" s="30"/>
      <c r="KAQ43" s="31"/>
      <c r="KAR43" s="30"/>
      <c r="KAS43" s="31"/>
      <c r="KAT43" s="30"/>
      <c r="KAU43" s="31"/>
      <c r="KAV43" s="30"/>
      <c r="KAW43" s="31"/>
      <c r="KAX43" s="30"/>
      <c r="KAY43" s="31"/>
      <c r="KAZ43" s="30"/>
      <c r="KBA43" s="31"/>
      <c r="KBB43" s="30"/>
      <c r="KBC43" s="31"/>
      <c r="KBD43" s="30"/>
      <c r="KBE43" s="31"/>
      <c r="KBF43" s="30"/>
      <c r="KBG43" s="31"/>
      <c r="KBH43" s="30"/>
      <c r="KBI43" s="31"/>
      <c r="KBJ43" s="30"/>
      <c r="KBK43" s="31"/>
      <c r="KBL43" s="30"/>
      <c r="KBM43" s="31"/>
      <c r="KBN43" s="30"/>
      <c r="KBO43" s="31"/>
      <c r="KBP43" s="30"/>
      <c r="KBQ43" s="31"/>
      <c r="KBR43" s="30"/>
      <c r="KBS43" s="31"/>
      <c r="KBT43" s="30"/>
      <c r="KBU43" s="31"/>
      <c r="KBV43" s="30"/>
      <c r="KBW43" s="31"/>
      <c r="KBX43" s="30"/>
      <c r="KBY43" s="31"/>
      <c r="KBZ43" s="30"/>
      <c r="KCA43" s="31"/>
      <c r="KCB43" s="30"/>
      <c r="KCC43" s="31"/>
      <c r="KCD43" s="30"/>
      <c r="KCE43" s="31"/>
      <c r="KCF43" s="30"/>
      <c r="KCG43" s="31"/>
      <c r="KCH43" s="30"/>
      <c r="KCI43" s="31"/>
      <c r="KCJ43" s="30"/>
      <c r="KCK43" s="31"/>
      <c r="KCL43" s="30"/>
      <c r="KCM43" s="31"/>
      <c r="KCN43" s="30"/>
      <c r="KCO43" s="31"/>
      <c r="KCP43" s="30"/>
      <c r="KCQ43" s="31"/>
      <c r="KCR43" s="30"/>
      <c r="KCS43" s="31"/>
      <c r="KCT43" s="30"/>
      <c r="KCU43" s="31"/>
      <c r="KCV43" s="30"/>
      <c r="KCW43" s="31"/>
      <c r="KCX43" s="30"/>
      <c r="KCY43" s="31"/>
      <c r="KCZ43" s="30"/>
      <c r="KDA43" s="31"/>
      <c r="KDB43" s="30"/>
      <c r="KDC43" s="31"/>
      <c r="KDD43" s="30"/>
      <c r="KDE43" s="31"/>
      <c r="KDF43" s="30"/>
      <c r="KDG43" s="31"/>
      <c r="KDH43" s="30"/>
      <c r="KDI43" s="31"/>
      <c r="KDJ43" s="30"/>
      <c r="KDK43" s="31"/>
      <c r="KDL43" s="30"/>
      <c r="KDM43" s="31"/>
      <c r="KDN43" s="30"/>
      <c r="KDO43" s="31"/>
      <c r="KDP43" s="30"/>
      <c r="KDQ43" s="31"/>
      <c r="KDR43" s="30"/>
      <c r="KDS43" s="31"/>
      <c r="KDT43" s="30"/>
      <c r="KDU43" s="31"/>
      <c r="KDV43" s="30"/>
      <c r="KDW43" s="31"/>
      <c r="KDX43" s="30"/>
      <c r="KDY43" s="31"/>
      <c r="KDZ43" s="30"/>
      <c r="KEA43" s="31"/>
      <c r="KEB43" s="30"/>
      <c r="KEC43" s="31"/>
      <c r="KED43" s="30"/>
      <c r="KEE43" s="31"/>
      <c r="KEF43" s="30"/>
      <c r="KEG43" s="31"/>
      <c r="KEH43" s="30"/>
      <c r="KEI43" s="31"/>
      <c r="KEJ43" s="30"/>
      <c r="KEK43" s="31"/>
      <c r="KEL43" s="30"/>
      <c r="KEM43" s="31"/>
      <c r="KEN43" s="30"/>
      <c r="KEO43" s="31"/>
      <c r="KEP43" s="30"/>
      <c r="KEQ43" s="31"/>
      <c r="KER43" s="30"/>
      <c r="KES43" s="31"/>
      <c r="KET43" s="30"/>
      <c r="KEU43" s="31"/>
      <c r="KEV43" s="30"/>
      <c r="KEW43" s="31"/>
      <c r="KEX43" s="30"/>
      <c r="KEY43" s="31"/>
      <c r="KEZ43" s="30"/>
      <c r="KFA43" s="31"/>
      <c r="KFB43" s="30"/>
      <c r="KFC43" s="31"/>
      <c r="KFD43" s="30"/>
      <c r="KFE43" s="31"/>
      <c r="KFF43" s="30"/>
      <c r="KFG43" s="31"/>
      <c r="KFH43" s="30"/>
      <c r="KFI43" s="31"/>
      <c r="KFJ43" s="30"/>
      <c r="KFK43" s="31"/>
      <c r="KFL43" s="30"/>
      <c r="KFM43" s="31"/>
      <c r="KFN43" s="30"/>
      <c r="KFO43" s="31"/>
      <c r="KFP43" s="30"/>
      <c r="KFQ43" s="31"/>
      <c r="KFR43" s="30"/>
      <c r="KFS43" s="31"/>
      <c r="KFT43" s="30"/>
      <c r="KFU43" s="31"/>
      <c r="KFV43" s="30"/>
      <c r="KFW43" s="31"/>
      <c r="KFX43" s="30"/>
      <c r="KFY43" s="31"/>
      <c r="KFZ43" s="30"/>
      <c r="KGA43" s="31"/>
      <c r="KGB43" s="30"/>
      <c r="KGC43" s="31"/>
      <c r="KGD43" s="30"/>
      <c r="KGE43" s="31"/>
      <c r="KGF43" s="30"/>
      <c r="KGG43" s="31"/>
      <c r="KGH43" s="30"/>
      <c r="KGI43" s="31"/>
      <c r="KGJ43" s="30"/>
      <c r="KGK43" s="31"/>
      <c r="KGL43" s="30"/>
      <c r="KGM43" s="31"/>
      <c r="KGN43" s="30"/>
      <c r="KGO43" s="31"/>
      <c r="KGP43" s="30"/>
      <c r="KGQ43" s="31"/>
      <c r="KGR43" s="30"/>
      <c r="KGS43" s="31"/>
      <c r="KGT43" s="30"/>
      <c r="KGU43" s="31"/>
      <c r="KGV43" s="30"/>
      <c r="KGW43" s="31"/>
      <c r="KGX43" s="30"/>
      <c r="KGY43" s="31"/>
      <c r="KGZ43" s="30"/>
      <c r="KHA43" s="31"/>
      <c r="KHB43" s="30"/>
      <c r="KHC43" s="31"/>
      <c r="KHD43" s="30"/>
      <c r="KHE43" s="31"/>
      <c r="KHF43" s="30"/>
      <c r="KHG43" s="31"/>
      <c r="KHH43" s="30"/>
      <c r="KHI43" s="31"/>
      <c r="KHJ43" s="30"/>
      <c r="KHK43" s="31"/>
      <c r="KHL43" s="30"/>
      <c r="KHM43" s="31"/>
      <c r="KHN43" s="30"/>
      <c r="KHO43" s="31"/>
      <c r="KHP43" s="30"/>
      <c r="KHQ43" s="31"/>
      <c r="KHR43" s="30"/>
      <c r="KHS43" s="31"/>
      <c r="KHT43" s="30"/>
      <c r="KHU43" s="31"/>
      <c r="KHV43" s="30"/>
      <c r="KHW43" s="31"/>
      <c r="KHX43" s="30"/>
      <c r="KHY43" s="31"/>
      <c r="KHZ43" s="30"/>
      <c r="KIA43" s="31"/>
      <c r="KIB43" s="30"/>
      <c r="KIC43" s="31"/>
      <c r="KID43" s="30"/>
      <c r="KIE43" s="31"/>
      <c r="KIF43" s="30"/>
      <c r="KIG43" s="31"/>
      <c r="KIH43" s="30"/>
      <c r="KII43" s="31"/>
      <c r="KIJ43" s="30"/>
      <c r="KIK43" s="31"/>
      <c r="KIL43" s="30"/>
      <c r="KIM43" s="31"/>
      <c r="KIN43" s="30"/>
      <c r="KIO43" s="31"/>
      <c r="KIP43" s="30"/>
      <c r="KIQ43" s="31"/>
      <c r="KIR43" s="30"/>
      <c r="KIS43" s="31"/>
      <c r="KIT43" s="30"/>
      <c r="KIU43" s="31"/>
      <c r="KIV43" s="30"/>
      <c r="KIW43" s="31"/>
      <c r="KIX43" s="30"/>
      <c r="KIY43" s="31"/>
      <c r="KIZ43" s="30"/>
      <c r="KJA43" s="31"/>
      <c r="KJB43" s="30"/>
      <c r="KJC43" s="31"/>
      <c r="KJD43" s="30"/>
      <c r="KJE43" s="31"/>
      <c r="KJF43" s="30"/>
      <c r="KJG43" s="31"/>
      <c r="KJH43" s="30"/>
      <c r="KJI43" s="31"/>
      <c r="KJJ43" s="30"/>
      <c r="KJK43" s="31"/>
      <c r="KJL43" s="30"/>
      <c r="KJM43" s="31"/>
      <c r="KJN43" s="30"/>
      <c r="KJO43" s="31"/>
      <c r="KJP43" s="30"/>
      <c r="KJQ43" s="31"/>
      <c r="KJR43" s="30"/>
      <c r="KJS43" s="31"/>
      <c r="KJT43" s="30"/>
      <c r="KJU43" s="31"/>
      <c r="KJV43" s="30"/>
      <c r="KJW43" s="31"/>
      <c r="KJX43" s="30"/>
      <c r="KJY43" s="31"/>
      <c r="KJZ43" s="30"/>
      <c r="KKA43" s="31"/>
      <c r="KKB43" s="30"/>
      <c r="KKC43" s="31"/>
      <c r="KKD43" s="30"/>
      <c r="KKE43" s="31"/>
      <c r="KKF43" s="30"/>
      <c r="KKG43" s="31"/>
      <c r="KKH43" s="30"/>
      <c r="KKI43" s="31"/>
      <c r="KKJ43" s="30"/>
      <c r="KKK43" s="31"/>
      <c r="KKL43" s="30"/>
      <c r="KKM43" s="31"/>
      <c r="KKN43" s="30"/>
      <c r="KKO43" s="31"/>
      <c r="KKP43" s="30"/>
      <c r="KKQ43" s="31"/>
      <c r="KKR43" s="30"/>
      <c r="KKS43" s="31"/>
      <c r="KKT43" s="30"/>
      <c r="KKU43" s="31"/>
      <c r="KKV43" s="30"/>
      <c r="KKW43" s="31"/>
      <c r="KKX43" s="30"/>
      <c r="KKY43" s="31"/>
      <c r="KKZ43" s="30"/>
      <c r="KLA43" s="31"/>
      <c r="KLB43" s="30"/>
      <c r="KLC43" s="31"/>
      <c r="KLD43" s="30"/>
      <c r="KLE43" s="31"/>
      <c r="KLF43" s="30"/>
      <c r="KLG43" s="31"/>
      <c r="KLH43" s="30"/>
      <c r="KLI43" s="31"/>
      <c r="KLJ43" s="30"/>
      <c r="KLK43" s="31"/>
      <c r="KLL43" s="30"/>
      <c r="KLM43" s="31"/>
      <c r="KLN43" s="30"/>
      <c r="KLO43" s="31"/>
      <c r="KLP43" s="30"/>
      <c r="KLQ43" s="31"/>
      <c r="KLR43" s="30"/>
      <c r="KLS43" s="31"/>
      <c r="KLT43" s="30"/>
      <c r="KLU43" s="31"/>
      <c r="KLV43" s="30"/>
      <c r="KLW43" s="31"/>
      <c r="KLX43" s="30"/>
      <c r="KLY43" s="31"/>
      <c r="KLZ43" s="30"/>
      <c r="KMA43" s="31"/>
      <c r="KMB43" s="30"/>
      <c r="KMC43" s="31"/>
      <c r="KMD43" s="30"/>
      <c r="KME43" s="31"/>
      <c r="KMF43" s="30"/>
      <c r="KMG43" s="31"/>
      <c r="KMH43" s="30"/>
      <c r="KMI43" s="31"/>
      <c r="KMJ43" s="30"/>
      <c r="KMK43" s="31"/>
      <c r="KML43" s="30"/>
      <c r="KMM43" s="31"/>
      <c r="KMN43" s="30"/>
      <c r="KMO43" s="31"/>
      <c r="KMP43" s="30"/>
      <c r="KMQ43" s="31"/>
      <c r="KMR43" s="30"/>
      <c r="KMS43" s="31"/>
      <c r="KMT43" s="30"/>
      <c r="KMU43" s="31"/>
      <c r="KMV43" s="30"/>
      <c r="KMW43" s="31"/>
      <c r="KMX43" s="30"/>
      <c r="KMY43" s="31"/>
      <c r="KMZ43" s="30"/>
      <c r="KNA43" s="31"/>
      <c r="KNB43" s="30"/>
      <c r="KNC43" s="31"/>
      <c r="KND43" s="30"/>
      <c r="KNE43" s="31"/>
      <c r="KNF43" s="30"/>
      <c r="KNG43" s="31"/>
      <c r="KNH43" s="30"/>
      <c r="KNI43" s="31"/>
      <c r="KNJ43" s="30"/>
      <c r="KNK43" s="31"/>
      <c r="KNL43" s="30"/>
      <c r="KNM43" s="31"/>
      <c r="KNN43" s="30"/>
      <c r="KNO43" s="31"/>
      <c r="KNP43" s="30"/>
      <c r="KNQ43" s="31"/>
      <c r="KNR43" s="30"/>
      <c r="KNS43" s="31"/>
      <c r="KNT43" s="30"/>
      <c r="KNU43" s="31"/>
      <c r="KNV43" s="30"/>
      <c r="KNW43" s="31"/>
      <c r="KNX43" s="30"/>
      <c r="KNY43" s="31"/>
      <c r="KNZ43" s="30"/>
      <c r="KOA43" s="31"/>
      <c r="KOB43" s="30"/>
      <c r="KOC43" s="31"/>
      <c r="KOD43" s="30"/>
      <c r="KOE43" s="31"/>
      <c r="KOF43" s="30"/>
      <c r="KOG43" s="31"/>
      <c r="KOH43" s="30"/>
      <c r="KOI43" s="31"/>
      <c r="KOJ43" s="30"/>
      <c r="KOK43" s="31"/>
      <c r="KOL43" s="30"/>
      <c r="KOM43" s="31"/>
      <c r="KON43" s="30"/>
      <c r="KOO43" s="31"/>
      <c r="KOP43" s="30"/>
      <c r="KOQ43" s="31"/>
      <c r="KOR43" s="30"/>
      <c r="KOS43" s="31"/>
      <c r="KOT43" s="30"/>
      <c r="KOU43" s="31"/>
      <c r="KOV43" s="30"/>
      <c r="KOW43" s="31"/>
      <c r="KOX43" s="30"/>
      <c r="KOY43" s="31"/>
      <c r="KOZ43" s="30"/>
      <c r="KPA43" s="31"/>
      <c r="KPB43" s="30"/>
      <c r="KPC43" s="31"/>
      <c r="KPD43" s="30"/>
      <c r="KPE43" s="31"/>
      <c r="KPF43" s="30"/>
      <c r="KPG43" s="31"/>
      <c r="KPH43" s="30"/>
      <c r="KPI43" s="31"/>
      <c r="KPJ43" s="30"/>
      <c r="KPK43" s="31"/>
      <c r="KPL43" s="30"/>
      <c r="KPM43" s="31"/>
      <c r="KPN43" s="30"/>
      <c r="KPO43" s="31"/>
      <c r="KPP43" s="30"/>
      <c r="KPQ43" s="31"/>
      <c r="KPR43" s="30"/>
      <c r="KPS43" s="31"/>
      <c r="KPT43" s="30"/>
      <c r="KPU43" s="31"/>
      <c r="KPV43" s="30"/>
      <c r="KPW43" s="31"/>
      <c r="KPX43" s="30"/>
      <c r="KPY43" s="31"/>
      <c r="KPZ43" s="30"/>
      <c r="KQA43" s="31"/>
      <c r="KQB43" s="30"/>
      <c r="KQC43" s="31"/>
      <c r="KQD43" s="30"/>
      <c r="KQE43" s="31"/>
      <c r="KQF43" s="30"/>
      <c r="KQG43" s="31"/>
      <c r="KQH43" s="30"/>
      <c r="KQI43" s="31"/>
      <c r="KQJ43" s="30"/>
      <c r="KQK43" s="31"/>
      <c r="KQL43" s="30"/>
      <c r="KQM43" s="31"/>
      <c r="KQN43" s="30"/>
      <c r="KQO43" s="31"/>
      <c r="KQP43" s="30"/>
      <c r="KQQ43" s="31"/>
      <c r="KQR43" s="30"/>
      <c r="KQS43" s="31"/>
      <c r="KQT43" s="30"/>
      <c r="KQU43" s="31"/>
      <c r="KQV43" s="30"/>
      <c r="KQW43" s="31"/>
      <c r="KQX43" s="30"/>
      <c r="KQY43" s="31"/>
      <c r="KQZ43" s="30"/>
      <c r="KRA43" s="31"/>
      <c r="KRB43" s="30"/>
      <c r="KRC43" s="31"/>
      <c r="KRD43" s="30"/>
      <c r="KRE43" s="31"/>
      <c r="KRF43" s="30"/>
      <c r="KRG43" s="31"/>
      <c r="KRH43" s="30"/>
      <c r="KRI43" s="31"/>
      <c r="KRJ43" s="30"/>
      <c r="KRK43" s="31"/>
      <c r="KRL43" s="30"/>
      <c r="KRM43" s="31"/>
      <c r="KRN43" s="30"/>
      <c r="KRO43" s="31"/>
      <c r="KRP43" s="30"/>
      <c r="KRQ43" s="31"/>
      <c r="KRR43" s="30"/>
      <c r="KRS43" s="31"/>
      <c r="KRT43" s="30"/>
      <c r="KRU43" s="31"/>
      <c r="KRV43" s="30"/>
      <c r="KRW43" s="31"/>
      <c r="KRX43" s="30"/>
      <c r="KRY43" s="31"/>
      <c r="KRZ43" s="30"/>
      <c r="KSA43" s="31"/>
      <c r="KSB43" s="30"/>
      <c r="KSC43" s="31"/>
      <c r="KSD43" s="30"/>
      <c r="KSE43" s="31"/>
      <c r="KSF43" s="30"/>
      <c r="KSG43" s="31"/>
      <c r="KSH43" s="30"/>
      <c r="KSI43" s="31"/>
      <c r="KSJ43" s="30"/>
      <c r="KSK43" s="31"/>
      <c r="KSL43" s="30"/>
      <c r="KSM43" s="31"/>
      <c r="KSN43" s="30"/>
      <c r="KSO43" s="31"/>
      <c r="KSP43" s="30"/>
      <c r="KSQ43" s="31"/>
      <c r="KSR43" s="30"/>
      <c r="KSS43" s="31"/>
      <c r="KST43" s="30"/>
      <c r="KSU43" s="31"/>
      <c r="KSV43" s="30"/>
      <c r="KSW43" s="31"/>
      <c r="KSX43" s="30"/>
      <c r="KSY43" s="31"/>
      <c r="KSZ43" s="30"/>
      <c r="KTA43" s="31"/>
      <c r="KTB43" s="30"/>
      <c r="KTC43" s="31"/>
      <c r="KTD43" s="30"/>
      <c r="KTE43" s="31"/>
      <c r="KTF43" s="30"/>
      <c r="KTG43" s="31"/>
      <c r="KTH43" s="30"/>
      <c r="KTI43" s="31"/>
      <c r="KTJ43" s="30"/>
      <c r="KTK43" s="31"/>
      <c r="KTL43" s="30"/>
      <c r="KTM43" s="31"/>
      <c r="KTN43" s="30"/>
      <c r="KTO43" s="31"/>
      <c r="KTP43" s="30"/>
      <c r="KTQ43" s="31"/>
      <c r="KTR43" s="30"/>
      <c r="KTS43" s="31"/>
      <c r="KTT43" s="30"/>
      <c r="KTU43" s="31"/>
      <c r="KTV43" s="30"/>
      <c r="KTW43" s="31"/>
      <c r="KTX43" s="30"/>
      <c r="KTY43" s="31"/>
      <c r="KTZ43" s="30"/>
      <c r="KUA43" s="31"/>
      <c r="KUB43" s="30"/>
      <c r="KUC43" s="31"/>
      <c r="KUD43" s="30"/>
      <c r="KUE43" s="31"/>
      <c r="KUF43" s="30"/>
      <c r="KUG43" s="31"/>
      <c r="KUH43" s="30"/>
      <c r="KUI43" s="31"/>
      <c r="KUJ43" s="30"/>
      <c r="KUK43" s="31"/>
      <c r="KUL43" s="30"/>
      <c r="KUM43" s="31"/>
      <c r="KUN43" s="30"/>
      <c r="KUO43" s="31"/>
      <c r="KUP43" s="30"/>
      <c r="KUQ43" s="31"/>
      <c r="KUR43" s="30"/>
      <c r="KUS43" s="31"/>
      <c r="KUT43" s="30"/>
      <c r="KUU43" s="31"/>
      <c r="KUV43" s="30"/>
      <c r="KUW43" s="31"/>
      <c r="KUX43" s="30"/>
      <c r="KUY43" s="31"/>
      <c r="KUZ43" s="30"/>
      <c r="KVA43" s="31"/>
      <c r="KVB43" s="30"/>
      <c r="KVC43" s="31"/>
      <c r="KVD43" s="30"/>
      <c r="KVE43" s="31"/>
      <c r="KVF43" s="30"/>
      <c r="KVG43" s="31"/>
      <c r="KVH43" s="30"/>
      <c r="KVI43" s="31"/>
      <c r="KVJ43" s="30"/>
      <c r="KVK43" s="31"/>
      <c r="KVL43" s="30"/>
      <c r="KVM43" s="31"/>
      <c r="KVN43" s="30"/>
      <c r="KVO43" s="31"/>
      <c r="KVP43" s="30"/>
      <c r="KVQ43" s="31"/>
      <c r="KVR43" s="30"/>
      <c r="KVS43" s="31"/>
      <c r="KVT43" s="30"/>
      <c r="KVU43" s="31"/>
      <c r="KVV43" s="30"/>
      <c r="KVW43" s="31"/>
      <c r="KVX43" s="30"/>
      <c r="KVY43" s="31"/>
      <c r="KVZ43" s="30"/>
      <c r="KWA43" s="31"/>
      <c r="KWB43" s="30"/>
      <c r="KWC43" s="31"/>
      <c r="KWD43" s="30"/>
      <c r="KWE43" s="31"/>
      <c r="KWF43" s="30"/>
      <c r="KWG43" s="31"/>
      <c r="KWH43" s="30"/>
      <c r="KWI43" s="31"/>
      <c r="KWJ43" s="30"/>
      <c r="KWK43" s="31"/>
      <c r="KWL43" s="30"/>
      <c r="KWM43" s="31"/>
      <c r="KWN43" s="30"/>
      <c r="KWO43" s="31"/>
      <c r="KWP43" s="30"/>
      <c r="KWQ43" s="31"/>
      <c r="KWR43" s="30"/>
      <c r="KWS43" s="31"/>
      <c r="KWT43" s="30"/>
      <c r="KWU43" s="31"/>
      <c r="KWV43" s="30"/>
      <c r="KWW43" s="31"/>
      <c r="KWX43" s="30"/>
      <c r="KWY43" s="31"/>
      <c r="KWZ43" s="30"/>
      <c r="KXA43" s="31"/>
      <c r="KXB43" s="30"/>
      <c r="KXC43" s="31"/>
      <c r="KXD43" s="30"/>
      <c r="KXE43" s="31"/>
      <c r="KXF43" s="30"/>
      <c r="KXG43" s="31"/>
      <c r="KXH43" s="30"/>
      <c r="KXI43" s="31"/>
      <c r="KXJ43" s="30"/>
      <c r="KXK43" s="31"/>
      <c r="KXL43" s="30"/>
      <c r="KXM43" s="31"/>
      <c r="KXN43" s="30"/>
      <c r="KXO43" s="31"/>
      <c r="KXP43" s="30"/>
      <c r="KXQ43" s="31"/>
      <c r="KXR43" s="30"/>
      <c r="KXS43" s="31"/>
      <c r="KXT43" s="30"/>
      <c r="KXU43" s="31"/>
      <c r="KXV43" s="30"/>
      <c r="KXW43" s="31"/>
      <c r="KXX43" s="30"/>
      <c r="KXY43" s="31"/>
      <c r="KXZ43" s="30"/>
      <c r="KYA43" s="31"/>
      <c r="KYB43" s="30"/>
      <c r="KYC43" s="31"/>
      <c r="KYD43" s="30"/>
      <c r="KYE43" s="31"/>
      <c r="KYF43" s="30"/>
      <c r="KYG43" s="31"/>
      <c r="KYH43" s="30"/>
      <c r="KYI43" s="31"/>
      <c r="KYJ43" s="30"/>
      <c r="KYK43" s="31"/>
      <c r="KYL43" s="30"/>
      <c r="KYM43" s="31"/>
      <c r="KYN43" s="30"/>
      <c r="KYO43" s="31"/>
      <c r="KYP43" s="30"/>
      <c r="KYQ43" s="31"/>
      <c r="KYR43" s="30"/>
      <c r="KYS43" s="31"/>
      <c r="KYT43" s="30"/>
      <c r="KYU43" s="31"/>
      <c r="KYV43" s="30"/>
      <c r="KYW43" s="31"/>
      <c r="KYX43" s="30"/>
      <c r="KYY43" s="31"/>
      <c r="KYZ43" s="30"/>
      <c r="KZA43" s="31"/>
      <c r="KZB43" s="30"/>
      <c r="KZC43" s="31"/>
      <c r="KZD43" s="30"/>
      <c r="KZE43" s="31"/>
      <c r="KZF43" s="30"/>
      <c r="KZG43" s="31"/>
      <c r="KZH43" s="30"/>
      <c r="KZI43" s="31"/>
      <c r="KZJ43" s="30"/>
      <c r="KZK43" s="31"/>
      <c r="KZL43" s="30"/>
      <c r="KZM43" s="31"/>
      <c r="KZN43" s="30"/>
      <c r="KZO43" s="31"/>
      <c r="KZP43" s="30"/>
      <c r="KZQ43" s="31"/>
      <c r="KZR43" s="30"/>
      <c r="KZS43" s="31"/>
      <c r="KZT43" s="30"/>
      <c r="KZU43" s="31"/>
      <c r="KZV43" s="30"/>
      <c r="KZW43" s="31"/>
      <c r="KZX43" s="30"/>
      <c r="KZY43" s="31"/>
      <c r="KZZ43" s="30"/>
      <c r="LAA43" s="31"/>
      <c r="LAB43" s="30"/>
      <c r="LAC43" s="31"/>
      <c r="LAD43" s="30"/>
      <c r="LAE43" s="31"/>
      <c r="LAF43" s="30"/>
      <c r="LAG43" s="31"/>
      <c r="LAH43" s="30"/>
      <c r="LAI43" s="31"/>
      <c r="LAJ43" s="30"/>
      <c r="LAK43" s="31"/>
      <c r="LAL43" s="30"/>
      <c r="LAM43" s="31"/>
      <c r="LAN43" s="30"/>
      <c r="LAO43" s="31"/>
      <c r="LAP43" s="30"/>
      <c r="LAQ43" s="31"/>
      <c r="LAR43" s="30"/>
      <c r="LAS43" s="31"/>
      <c r="LAT43" s="30"/>
      <c r="LAU43" s="31"/>
      <c r="LAV43" s="30"/>
      <c r="LAW43" s="31"/>
      <c r="LAX43" s="30"/>
      <c r="LAY43" s="31"/>
      <c r="LAZ43" s="30"/>
      <c r="LBA43" s="31"/>
      <c r="LBB43" s="30"/>
      <c r="LBC43" s="31"/>
      <c r="LBD43" s="30"/>
      <c r="LBE43" s="31"/>
      <c r="LBF43" s="30"/>
      <c r="LBG43" s="31"/>
      <c r="LBH43" s="30"/>
      <c r="LBI43" s="31"/>
      <c r="LBJ43" s="30"/>
      <c r="LBK43" s="31"/>
      <c r="LBL43" s="30"/>
      <c r="LBM43" s="31"/>
      <c r="LBN43" s="30"/>
      <c r="LBO43" s="31"/>
      <c r="LBP43" s="30"/>
      <c r="LBQ43" s="31"/>
      <c r="LBR43" s="30"/>
      <c r="LBS43" s="31"/>
      <c r="LBT43" s="30"/>
      <c r="LBU43" s="31"/>
      <c r="LBV43" s="30"/>
      <c r="LBW43" s="31"/>
      <c r="LBX43" s="30"/>
      <c r="LBY43" s="31"/>
      <c r="LBZ43" s="30"/>
      <c r="LCA43" s="31"/>
      <c r="LCB43" s="30"/>
      <c r="LCC43" s="31"/>
      <c r="LCD43" s="30"/>
      <c r="LCE43" s="31"/>
      <c r="LCF43" s="30"/>
      <c r="LCG43" s="31"/>
      <c r="LCH43" s="30"/>
      <c r="LCI43" s="31"/>
      <c r="LCJ43" s="30"/>
      <c r="LCK43" s="31"/>
      <c r="LCL43" s="30"/>
      <c r="LCM43" s="31"/>
      <c r="LCN43" s="30"/>
      <c r="LCO43" s="31"/>
      <c r="LCP43" s="30"/>
      <c r="LCQ43" s="31"/>
      <c r="LCR43" s="30"/>
      <c r="LCS43" s="31"/>
      <c r="LCT43" s="30"/>
      <c r="LCU43" s="31"/>
      <c r="LCV43" s="30"/>
      <c r="LCW43" s="31"/>
      <c r="LCX43" s="30"/>
      <c r="LCY43" s="31"/>
      <c r="LCZ43" s="30"/>
      <c r="LDA43" s="31"/>
      <c r="LDB43" s="30"/>
      <c r="LDC43" s="31"/>
      <c r="LDD43" s="30"/>
      <c r="LDE43" s="31"/>
      <c r="LDF43" s="30"/>
      <c r="LDG43" s="31"/>
      <c r="LDH43" s="30"/>
      <c r="LDI43" s="31"/>
      <c r="LDJ43" s="30"/>
      <c r="LDK43" s="31"/>
      <c r="LDL43" s="30"/>
      <c r="LDM43" s="31"/>
      <c r="LDN43" s="30"/>
      <c r="LDO43" s="31"/>
      <c r="LDP43" s="30"/>
      <c r="LDQ43" s="31"/>
      <c r="LDR43" s="30"/>
      <c r="LDS43" s="31"/>
      <c r="LDT43" s="30"/>
      <c r="LDU43" s="31"/>
      <c r="LDV43" s="30"/>
      <c r="LDW43" s="31"/>
      <c r="LDX43" s="30"/>
      <c r="LDY43" s="31"/>
      <c r="LDZ43" s="30"/>
      <c r="LEA43" s="31"/>
      <c r="LEB43" s="30"/>
      <c r="LEC43" s="31"/>
      <c r="LED43" s="30"/>
      <c r="LEE43" s="31"/>
      <c r="LEF43" s="30"/>
      <c r="LEG43" s="31"/>
      <c r="LEH43" s="30"/>
      <c r="LEI43" s="31"/>
      <c r="LEJ43" s="30"/>
      <c r="LEK43" s="31"/>
      <c r="LEL43" s="30"/>
      <c r="LEM43" s="31"/>
      <c r="LEN43" s="30"/>
      <c r="LEO43" s="31"/>
      <c r="LEP43" s="30"/>
      <c r="LEQ43" s="31"/>
      <c r="LER43" s="30"/>
      <c r="LES43" s="31"/>
      <c r="LET43" s="30"/>
      <c r="LEU43" s="31"/>
      <c r="LEV43" s="30"/>
      <c r="LEW43" s="31"/>
      <c r="LEX43" s="30"/>
      <c r="LEY43" s="31"/>
      <c r="LEZ43" s="30"/>
      <c r="LFA43" s="31"/>
      <c r="LFB43" s="30"/>
      <c r="LFC43" s="31"/>
      <c r="LFD43" s="30"/>
      <c r="LFE43" s="31"/>
      <c r="LFF43" s="30"/>
      <c r="LFG43" s="31"/>
      <c r="LFH43" s="30"/>
      <c r="LFI43" s="31"/>
      <c r="LFJ43" s="30"/>
      <c r="LFK43" s="31"/>
      <c r="LFL43" s="30"/>
      <c r="LFM43" s="31"/>
      <c r="LFN43" s="30"/>
      <c r="LFO43" s="31"/>
      <c r="LFP43" s="30"/>
      <c r="LFQ43" s="31"/>
      <c r="LFR43" s="30"/>
      <c r="LFS43" s="31"/>
      <c r="LFT43" s="30"/>
      <c r="LFU43" s="31"/>
      <c r="LFV43" s="30"/>
      <c r="LFW43" s="31"/>
      <c r="LFX43" s="30"/>
      <c r="LFY43" s="31"/>
      <c r="LFZ43" s="30"/>
      <c r="LGA43" s="31"/>
      <c r="LGB43" s="30"/>
      <c r="LGC43" s="31"/>
      <c r="LGD43" s="30"/>
      <c r="LGE43" s="31"/>
      <c r="LGF43" s="30"/>
      <c r="LGG43" s="31"/>
      <c r="LGH43" s="30"/>
      <c r="LGI43" s="31"/>
      <c r="LGJ43" s="30"/>
      <c r="LGK43" s="31"/>
      <c r="LGL43" s="30"/>
      <c r="LGM43" s="31"/>
      <c r="LGN43" s="30"/>
      <c r="LGO43" s="31"/>
      <c r="LGP43" s="30"/>
      <c r="LGQ43" s="31"/>
      <c r="LGR43" s="30"/>
      <c r="LGS43" s="31"/>
      <c r="LGT43" s="30"/>
      <c r="LGU43" s="31"/>
      <c r="LGV43" s="30"/>
      <c r="LGW43" s="31"/>
      <c r="LGX43" s="30"/>
      <c r="LGY43" s="31"/>
      <c r="LGZ43" s="30"/>
      <c r="LHA43" s="31"/>
      <c r="LHB43" s="30"/>
      <c r="LHC43" s="31"/>
      <c r="LHD43" s="30"/>
      <c r="LHE43" s="31"/>
      <c r="LHF43" s="30"/>
      <c r="LHG43" s="31"/>
      <c r="LHH43" s="30"/>
      <c r="LHI43" s="31"/>
      <c r="LHJ43" s="30"/>
      <c r="LHK43" s="31"/>
      <c r="LHL43" s="30"/>
      <c r="LHM43" s="31"/>
      <c r="LHN43" s="30"/>
      <c r="LHO43" s="31"/>
      <c r="LHP43" s="30"/>
      <c r="LHQ43" s="31"/>
      <c r="LHR43" s="30"/>
      <c r="LHS43" s="31"/>
      <c r="LHT43" s="30"/>
      <c r="LHU43" s="31"/>
      <c r="LHV43" s="30"/>
      <c r="LHW43" s="31"/>
      <c r="LHX43" s="30"/>
      <c r="LHY43" s="31"/>
      <c r="LHZ43" s="30"/>
      <c r="LIA43" s="31"/>
      <c r="LIB43" s="30"/>
      <c r="LIC43" s="31"/>
      <c r="LID43" s="30"/>
      <c r="LIE43" s="31"/>
      <c r="LIF43" s="30"/>
      <c r="LIG43" s="31"/>
      <c r="LIH43" s="30"/>
      <c r="LII43" s="31"/>
      <c r="LIJ43" s="30"/>
      <c r="LIK43" s="31"/>
      <c r="LIL43" s="30"/>
      <c r="LIM43" s="31"/>
      <c r="LIN43" s="30"/>
      <c r="LIO43" s="31"/>
      <c r="LIP43" s="30"/>
      <c r="LIQ43" s="31"/>
      <c r="LIR43" s="30"/>
      <c r="LIS43" s="31"/>
      <c r="LIT43" s="30"/>
      <c r="LIU43" s="31"/>
      <c r="LIV43" s="30"/>
      <c r="LIW43" s="31"/>
      <c r="LIX43" s="30"/>
      <c r="LIY43" s="31"/>
      <c r="LIZ43" s="30"/>
      <c r="LJA43" s="31"/>
      <c r="LJB43" s="30"/>
      <c r="LJC43" s="31"/>
      <c r="LJD43" s="30"/>
      <c r="LJE43" s="31"/>
      <c r="LJF43" s="30"/>
      <c r="LJG43" s="31"/>
      <c r="LJH43" s="30"/>
      <c r="LJI43" s="31"/>
      <c r="LJJ43" s="30"/>
      <c r="LJK43" s="31"/>
      <c r="LJL43" s="30"/>
      <c r="LJM43" s="31"/>
      <c r="LJN43" s="30"/>
      <c r="LJO43" s="31"/>
      <c r="LJP43" s="30"/>
      <c r="LJQ43" s="31"/>
      <c r="LJR43" s="30"/>
      <c r="LJS43" s="31"/>
      <c r="LJT43" s="30"/>
      <c r="LJU43" s="31"/>
      <c r="LJV43" s="30"/>
      <c r="LJW43" s="31"/>
      <c r="LJX43" s="30"/>
      <c r="LJY43" s="31"/>
      <c r="LJZ43" s="30"/>
      <c r="LKA43" s="31"/>
      <c r="LKB43" s="30"/>
      <c r="LKC43" s="31"/>
      <c r="LKD43" s="30"/>
      <c r="LKE43" s="31"/>
      <c r="LKF43" s="30"/>
      <c r="LKG43" s="31"/>
      <c r="LKH43" s="30"/>
      <c r="LKI43" s="31"/>
      <c r="LKJ43" s="30"/>
      <c r="LKK43" s="31"/>
      <c r="LKL43" s="30"/>
      <c r="LKM43" s="31"/>
      <c r="LKN43" s="30"/>
      <c r="LKO43" s="31"/>
      <c r="LKP43" s="30"/>
      <c r="LKQ43" s="31"/>
      <c r="LKR43" s="30"/>
      <c r="LKS43" s="31"/>
      <c r="LKT43" s="30"/>
      <c r="LKU43" s="31"/>
      <c r="LKV43" s="30"/>
      <c r="LKW43" s="31"/>
      <c r="LKX43" s="30"/>
      <c r="LKY43" s="31"/>
      <c r="LKZ43" s="30"/>
      <c r="LLA43" s="31"/>
      <c r="LLB43" s="30"/>
      <c r="LLC43" s="31"/>
      <c r="LLD43" s="30"/>
      <c r="LLE43" s="31"/>
      <c r="LLF43" s="30"/>
      <c r="LLG43" s="31"/>
      <c r="LLH43" s="30"/>
      <c r="LLI43" s="31"/>
      <c r="LLJ43" s="30"/>
      <c r="LLK43" s="31"/>
      <c r="LLL43" s="30"/>
      <c r="LLM43" s="31"/>
      <c r="LLN43" s="30"/>
      <c r="LLO43" s="31"/>
      <c r="LLP43" s="30"/>
      <c r="LLQ43" s="31"/>
      <c r="LLR43" s="30"/>
      <c r="LLS43" s="31"/>
      <c r="LLT43" s="30"/>
      <c r="LLU43" s="31"/>
      <c r="LLV43" s="30"/>
      <c r="LLW43" s="31"/>
      <c r="LLX43" s="30"/>
      <c r="LLY43" s="31"/>
      <c r="LLZ43" s="30"/>
      <c r="LMA43" s="31"/>
      <c r="LMB43" s="30"/>
      <c r="LMC43" s="31"/>
      <c r="LMD43" s="30"/>
      <c r="LME43" s="31"/>
      <c r="LMF43" s="30"/>
      <c r="LMG43" s="31"/>
      <c r="LMH43" s="30"/>
      <c r="LMI43" s="31"/>
      <c r="LMJ43" s="30"/>
      <c r="LMK43" s="31"/>
      <c r="LML43" s="30"/>
      <c r="LMM43" s="31"/>
      <c r="LMN43" s="30"/>
      <c r="LMO43" s="31"/>
      <c r="LMP43" s="30"/>
      <c r="LMQ43" s="31"/>
      <c r="LMR43" s="30"/>
      <c r="LMS43" s="31"/>
      <c r="LMT43" s="30"/>
      <c r="LMU43" s="31"/>
      <c r="LMV43" s="30"/>
      <c r="LMW43" s="31"/>
      <c r="LMX43" s="30"/>
      <c r="LMY43" s="31"/>
      <c r="LMZ43" s="30"/>
      <c r="LNA43" s="31"/>
      <c r="LNB43" s="30"/>
      <c r="LNC43" s="31"/>
      <c r="LND43" s="30"/>
      <c r="LNE43" s="31"/>
      <c r="LNF43" s="30"/>
      <c r="LNG43" s="31"/>
      <c r="LNH43" s="30"/>
      <c r="LNI43" s="31"/>
      <c r="LNJ43" s="30"/>
      <c r="LNK43" s="31"/>
      <c r="LNL43" s="30"/>
      <c r="LNM43" s="31"/>
      <c r="LNN43" s="30"/>
      <c r="LNO43" s="31"/>
      <c r="LNP43" s="30"/>
      <c r="LNQ43" s="31"/>
      <c r="LNR43" s="30"/>
      <c r="LNS43" s="31"/>
      <c r="LNT43" s="30"/>
      <c r="LNU43" s="31"/>
      <c r="LNV43" s="30"/>
      <c r="LNW43" s="31"/>
      <c r="LNX43" s="30"/>
      <c r="LNY43" s="31"/>
      <c r="LNZ43" s="30"/>
      <c r="LOA43" s="31"/>
      <c r="LOB43" s="30"/>
      <c r="LOC43" s="31"/>
      <c r="LOD43" s="30"/>
      <c r="LOE43" s="31"/>
      <c r="LOF43" s="30"/>
      <c r="LOG43" s="31"/>
      <c r="LOH43" s="30"/>
      <c r="LOI43" s="31"/>
      <c r="LOJ43" s="30"/>
      <c r="LOK43" s="31"/>
      <c r="LOL43" s="30"/>
      <c r="LOM43" s="31"/>
      <c r="LON43" s="30"/>
      <c r="LOO43" s="31"/>
      <c r="LOP43" s="30"/>
      <c r="LOQ43" s="31"/>
      <c r="LOR43" s="30"/>
      <c r="LOS43" s="31"/>
      <c r="LOT43" s="30"/>
      <c r="LOU43" s="31"/>
      <c r="LOV43" s="30"/>
      <c r="LOW43" s="31"/>
      <c r="LOX43" s="30"/>
      <c r="LOY43" s="31"/>
      <c r="LOZ43" s="30"/>
      <c r="LPA43" s="31"/>
      <c r="LPB43" s="30"/>
      <c r="LPC43" s="31"/>
      <c r="LPD43" s="30"/>
      <c r="LPE43" s="31"/>
      <c r="LPF43" s="30"/>
      <c r="LPG43" s="31"/>
      <c r="LPH43" s="30"/>
      <c r="LPI43" s="31"/>
      <c r="LPJ43" s="30"/>
      <c r="LPK43" s="31"/>
      <c r="LPL43" s="30"/>
      <c r="LPM43" s="31"/>
      <c r="LPN43" s="30"/>
      <c r="LPO43" s="31"/>
      <c r="LPP43" s="30"/>
      <c r="LPQ43" s="31"/>
      <c r="LPR43" s="30"/>
      <c r="LPS43" s="31"/>
      <c r="LPT43" s="30"/>
      <c r="LPU43" s="31"/>
      <c r="LPV43" s="30"/>
      <c r="LPW43" s="31"/>
      <c r="LPX43" s="30"/>
      <c r="LPY43" s="31"/>
      <c r="LPZ43" s="30"/>
      <c r="LQA43" s="31"/>
      <c r="LQB43" s="30"/>
      <c r="LQC43" s="31"/>
      <c r="LQD43" s="30"/>
      <c r="LQE43" s="31"/>
      <c r="LQF43" s="30"/>
      <c r="LQG43" s="31"/>
      <c r="LQH43" s="30"/>
      <c r="LQI43" s="31"/>
      <c r="LQJ43" s="30"/>
      <c r="LQK43" s="31"/>
      <c r="LQL43" s="30"/>
      <c r="LQM43" s="31"/>
      <c r="LQN43" s="30"/>
      <c r="LQO43" s="31"/>
      <c r="LQP43" s="30"/>
      <c r="LQQ43" s="31"/>
      <c r="LQR43" s="30"/>
      <c r="LQS43" s="31"/>
      <c r="LQT43" s="30"/>
      <c r="LQU43" s="31"/>
      <c r="LQV43" s="30"/>
      <c r="LQW43" s="31"/>
      <c r="LQX43" s="30"/>
      <c r="LQY43" s="31"/>
      <c r="LQZ43" s="30"/>
      <c r="LRA43" s="31"/>
      <c r="LRB43" s="30"/>
      <c r="LRC43" s="31"/>
      <c r="LRD43" s="30"/>
      <c r="LRE43" s="31"/>
      <c r="LRF43" s="30"/>
      <c r="LRG43" s="31"/>
      <c r="LRH43" s="30"/>
      <c r="LRI43" s="31"/>
      <c r="LRJ43" s="30"/>
      <c r="LRK43" s="31"/>
      <c r="LRL43" s="30"/>
      <c r="LRM43" s="31"/>
      <c r="LRN43" s="30"/>
      <c r="LRO43" s="31"/>
      <c r="LRP43" s="30"/>
      <c r="LRQ43" s="31"/>
      <c r="LRR43" s="30"/>
      <c r="LRS43" s="31"/>
      <c r="LRT43" s="30"/>
      <c r="LRU43" s="31"/>
      <c r="LRV43" s="30"/>
      <c r="LRW43" s="31"/>
      <c r="LRX43" s="30"/>
      <c r="LRY43" s="31"/>
      <c r="LRZ43" s="30"/>
      <c r="LSA43" s="31"/>
      <c r="LSB43" s="30"/>
      <c r="LSC43" s="31"/>
      <c r="LSD43" s="30"/>
      <c r="LSE43" s="31"/>
      <c r="LSF43" s="30"/>
      <c r="LSG43" s="31"/>
      <c r="LSH43" s="30"/>
      <c r="LSI43" s="31"/>
      <c r="LSJ43" s="30"/>
      <c r="LSK43" s="31"/>
      <c r="LSL43" s="30"/>
      <c r="LSM43" s="31"/>
      <c r="LSN43" s="30"/>
      <c r="LSO43" s="31"/>
      <c r="LSP43" s="30"/>
      <c r="LSQ43" s="31"/>
      <c r="LSR43" s="30"/>
      <c r="LSS43" s="31"/>
      <c r="LST43" s="30"/>
      <c r="LSU43" s="31"/>
      <c r="LSV43" s="30"/>
      <c r="LSW43" s="31"/>
      <c r="LSX43" s="30"/>
      <c r="LSY43" s="31"/>
      <c r="LSZ43" s="30"/>
      <c r="LTA43" s="31"/>
      <c r="LTB43" s="30"/>
      <c r="LTC43" s="31"/>
      <c r="LTD43" s="30"/>
      <c r="LTE43" s="31"/>
      <c r="LTF43" s="30"/>
      <c r="LTG43" s="31"/>
      <c r="LTH43" s="30"/>
      <c r="LTI43" s="31"/>
      <c r="LTJ43" s="30"/>
      <c r="LTK43" s="31"/>
      <c r="LTL43" s="30"/>
      <c r="LTM43" s="31"/>
      <c r="LTN43" s="30"/>
      <c r="LTO43" s="31"/>
      <c r="LTP43" s="30"/>
      <c r="LTQ43" s="31"/>
      <c r="LTR43" s="30"/>
      <c r="LTS43" s="31"/>
      <c r="LTT43" s="30"/>
      <c r="LTU43" s="31"/>
      <c r="LTV43" s="30"/>
      <c r="LTW43" s="31"/>
      <c r="LTX43" s="30"/>
      <c r="LTY43" s="31"/>
      <c r="LTZ43" s="30"/>
      <c r="LUA43" s="31"/>
      <c r="LUB43" s="30"/>
      <c r="LUC43" s="31"/>
      <c r="LUD43" s="30"/>
      <c r="LUE43" s="31"/>
      <c r="LUF43" s="30"/>
      <c r="LUG43" s="31"/>
      <c r="LUH43" s="30"/>
      <c r="LUI43" s="31"/>
      <c r="LUJ43" s="30"/>
      <c r="LUK43" s="31"/>
      <c r="LUL43" s="30"/>
      <c r="LUM43" s="31"/>
      <c r="LUN43" s="30"/>
      <c r="LUO43" s="31"/>
      <c r="LUP43" s="30"/>
      <c r="LUQ43" s="31"/>
      <c r="LUR43" s="30"/>
      <c r="LUS43" s="31"/>
      <c r="LUT43" s="30"/>
      <c r="LUU43" s="31"/>
      <c r="LUV43" s="30"/>
      <c r="LUW43" s="31"/>
      <c r="LUX43" s="30"/>
      <c r="LUY43" s="31"/>
      <c r="LUZ43" s="30"/>
      <c r="LVA43" s="31"/>
      <c r="LVB43" s="30"/>
      <c r="LVC43" s="31"/>
      <c r="LVD43" s="30"/>
      <c r="LVE43" s="31"/>
      <c r="LVF43" s="30"/>
      <c r="LVG43" s="31"/>
      <c r="LVH43" s="30"/>
      <c r="LVI43" s="31"/>
      <c r="LVJ43" s="30"/>
      <c r="LVK43" s="31"/>
      <c r="LVL43" s="30"/>
      <c r="LVM43" s="31"/>
      <c r="LVN43" s="30"/>
      <c r="LVO43" s="31"/>
      <c r="LVP43" s="30"/>
      <c r="LVQ43" s="31"/>
      <c r="LVR43" s="30"/>
      <c r="LVS43" s="31"/>
      <c r="LVT43" s="30"/>
      <c r="LVU43" s="31"/>
      <c r="LVV43" s="30"/>
      <c r="LVW43" s="31"/>
      <c r="LVX43" s="30"/>
      <c r="LVY43" s="31"/>
      <c r="LVZ43" s="30"/>
      <c r="LWA43" s="31"/>
      <c r="LWB43" s="30"/>
      <c r="LWC43" s="31"/>
      <c r="LWD43" s="30"/>
      <c r="LWE43" s="31"/>
      <c r="LWF43" s="30"/>
      <c r="LWG43" s="31"/>
      <c r="LWH43" s="30"/>
      <c r="LWI43" s="31"/>
      <c r="LWJ43" s="30"/>
      <c r="LWK43" s="31"/>
      <c r="LWL43" s="30"/>
      <c r="LWM43" s="31"/>
      <c r="LWN43" s="30"/>
      <c r="LWO43" s="31"/>
      <c r="LWP43" s="30"/>
      <c r="LWQ43" s="31"/>
      <c r="LWR43" s="30"/>
      <c r="LWS43" s="31"/>
      <c r="LWT43" s="30"/>
      <c r="LWU43" s="31"/>
      <c r="LWV43" s="30"/>
      <c r="LWW43" s="31"/>
      <c r="LWX43" s="30"/>
      <c r="LWY43" s="31"/>
      <c r="LWZ43" s="30"/>
      <c r="LXA43" s="31"/>
      <c r="LXB43" s="30"/>
      <c r="LXC43" s="31"/>
      <c r="LXD43" s="30"/>
      <c r="LXE43" s="31"/>
      <c r="LXF43" s="30"/>
      <c r="LXG43" s="31"/>
      <c r="LXH43" s="30"/>
      <c r="LXI43" s="31"/>
      <c r="LXJ43" s="30"/>
      <c r="LXK43" s="31"/>
      <c r="LXL43" s="30"/>
      <c r="LXM43" s="31"/>
      <c r="LXN43" s="30"/>
      <c r="LXO43" s="31"/>
      <c r="LXP43" s="30"/>
      <c r="LXQ43" s="31"/>
      <c r="LXR43" s="30"/>
      <c r="LXS43" s="31"/>
      <c r="LXT43" s="30"/>
      <c r="LXU43" s="31"/>
      <c r="LXV43" s="30"/>
      <c r="LXW43" s="31"/>
      <c r="LXX43" s="30"/>
      <c r="LXY43" s="31"/>
      <c r="LXZ43" s="30"/>
      <c r="LYA43" s="31"/>
      <c r="LYB43" s="30"/>
      <c r="LYC43" s="31"/>
      <c r="LYD43" s="30"/>
      <c r="LYE43" s="31"/>
      <c r="LYF43" s="30"/>
      <c r="LYG43" s="31"/>
      <c r="LYH43" s="30"/>
      <c r="LYI43" s="31"/>
      <c r="LYJ43" s="30"/>
      <c r="LYK43" s="31"/>
      <c r="LYL43" s="30"/>
      <c r="LYM43" s="31"/>
      <c r="LYN43" s="30"/>
      <c r="LYO43" s="31"/>
      <c r="LYP43" s="30"/>
      <c r="LYQ43" s="31"/>
      <c r="LYR43" s="30"/>
      <c r="LYS43" s="31"/>
      <c r="LYT43" s="30"/>
      <c r="LYU43" s="31"/>
      <c r="LYV43" s="30"/>
      <c r="LYW43" s="31"/>
      <c r="LYX43" s="30"/>
      <c r="LYY43" s="31"/>
      <c r="LYZ43" s="30"/>
      <c r="LZA43" s="31"/>
      <c r="LZB43" s="30"/>
      <c r="LZC43" s="31"/>
      <c r="LZD43" s="30"/>
      <c r="LZE43" s="31"/>
      <c r="LZF43" s="30"/>
      <c r="LZG43" s="31"/>
      <c r="LZH43" s="30"/>
      <c r="LZI43" s="31"/>
      <c r="LZJ43" s="30"/>
      <c r="LZK43" s="31"/>
      <c r="LZL43" s="30"/>
      <c r="LZM43" s="31"/>
      <c r="LZN43" s="30"/>
      <c r="LZO43" s="31"/>
      <c r="LZP43" s="30"/>
      <c r="LZQ43" s="31"/>
      <c r="LZR43" s="30"/>
      <c r="LZS43" s="31"/>
      <c r="LZT43" s="30"/>
      <c r="LZU43" s="31"/>
      <c r="LZV43" s="30"/>
      <c r="LZW43" s="31"/>
      <c r="LZX43" s="30"/>
      <c r="LZY43" s="31"/>
      <c r="LZZ43" s="30"/>
      <c r="MAA43" s="31"/>
      <c r="MAB43" s="30"/>
      <c r="MAC43" s="31"/>
      <c r="MAD43" s="30"/>
      <c r="MAE43" s="31"/>
      <c r="MAF43" s="30"/>
      <c r="MAG43" s="31"/>
      <c r="MAH43" s="30"/>
      <c r="MAI43" s="31"/>
      <c r="MAJ43" s="30"/>
      <c r="MAK43" s="31"/>
      <c r="MAL43" s="30"/>
      <c r="MAM43" s="31"/>
      <c r="MAN43" s="30"/>
      <c r="MAO43" s="31"/>
      <c r="MAP43" s="30"/>
      <c r="MAQ43" s="31"/>
      <c r="MAR43" s="30"/>
      <c r="MAS43" s="31"/>
      <c r="MAT43" s="30"/>
      <c r="MAU43" s="31"/>
      <c r="MAV43" s="30"/>
      <c r="MAW43" s="31"/>
      <c r="MAX43" s="30"/>
      <c r="MAY43" s="31"/>
      <c r="MAZ43" s="30"/>
      <c r="MBA43" s="31"/>
      <c r="MBB43" s="30"/>
      <c r="MBC43" s="31"/>
      <c r="MBD43" s="30"/>
      <c r="MBE43" s="31"/>
      <c r="MBF43" s="30"/>
      <c r="MBG43" s="31"/>
      <c r="MBH43" s="30"/>
      <c r="MBI43" s="31"/>
      <c r="MBJ43" s="30"/>
      <c r="MBK43" s="31"/>
      <c r="MBL43" s="30"/>
      <c r="MBM43" s="31"/>
      <c r="MBN43" s="30"/>
      <c r="MBO43" s="31"/>
      <c r="MBP43" s="30"/>
      <c r="MBQ43" s="31"/>
      <c r="MBR43" s="30"/>
      <c r="MBS43" s="31"/>
      <c r="MBT43" s="30"/>
      <c r="MBU43" s="31"/>
      <c r="MBV43" s="30"/>
      <c r="MBW43" s="31"/>
      <c r="MBX43" s="30"/>
      <c r="MBY43" s="31"/>
      <c r="MBZ43" s="30"/>
      <c r="MCA43" s="31"/>
      <c r="MCB43" s="30"/>
      <c r="MCC43" s="31"/>
      <c r="MCD43" s="30"/>
      <c r="MCE43" s="31"/>
      <c r="MCF43" s="30"/>
      <c r="MCG43" s="31"/>
      <c r="MCH43" s="30"/>
      <c r="MCI43" s="31"/>
      <c r="MCJ43" s="30"/>
      <c r="MCK43" s="31"/>
      <c r="MCL43" s="30"/>
      <c r="MCM43" s="31"/>
      <c r="MCN43" s="30"/>
      <c r="MCO43" s="31"/>
      <c r="MCP43" s="30"/>
      <c r="MCQ43" s="31"/>
      <c r="MCR43" s="30"/>
      <c r="MCS43" s="31"/>
      <c r="MCT43" s="30"/>
      <c r="MCU43" s="31"/>
      <c r="MCV43" s="30"/>
      <c r="MCW43" s="31"/>
      <c r="MCX43" s="30"/>
      <c r="MCY43" s="31"/>
      <c r="MCZ43" s="30"/>
      <c r="MDA43" s="31"/>
      <c r="MDB43" s="30"/>
      <c r="MDC43" s="31"/>
      <c r="MDD43" s="30"/>
      <c r="MDE43" s="31"/>
      <c r="MDF43" s="30"/>
      <c r="MDG43" s="31"/>
      <c r="MDH43" s="30"/>
      <c r="MDI43" s="31"/>
      <c r="MDJ43" s="30"/>
      <c r="MDK43" s="31"/>
      <c r="MDL43" s="30"/>
      <c r="MDM43" s="31"/>
      <c r="MDN43" s="30"/>
      <c r="MDO43" s="31"/>
      <c r="MDP43" s="30"/>
      <c r="MDQ43" s="31"/>
      <c r="MDR43" s="30"/>
      <c r="MDS43" s="31"/>
      <c r="MDT43" s="30"/>
      <c r="MDU43" s="31"/>
      <c r="MDV43" s="30"/>
      <c r="MDW43" s="31"/>
      <c r="MDX43" s="30"/>
      <c r="MDY43" s="31"/>
      <c r="MDZ43" s="30"/>
      <c r="MEA43" s="31"/>
      <c r="MEB43" s="30"/>
      <c r="MEC43" s="31"/>
      <c r="MED43" s="30"/>
      <c r="MEE43" s="31"/>
      <c r="MEF43" s="30"/>
      <c r="MEG43" s="31"/>
      <c r="MEH43" s="30"/>
      <c r="MEI43" s="31"/>
      <c r="MEJ43" s="30"/>
      <c r="MEK43" s="31"/>
      <c r="MEL43" s="30"/>
      <c r="MEM43" s="31"/>
      <c r="MEN43" s="30"/>
      <c r="MEO43" s="31"/>
      <c r="MEP43" s="30"/>
      <c r="MEQ43" s="31"/>
      <c r="MER43" s="30"/>
      <c r="MES43" s="31"/>
      <c r="MET43" s="30"/>
      <c r="MEU43" s="31"/>
      <c r="MEV43" s="30"/>
      <c r="MEW43" s="31"/>
      <c r="MEX43" s="30"/>
      <c r="MEY43" s="31"/>
      <c r="MEZ43" s="30"/>
      <c r="MFA43" s="31"/>
      <c r="MFB43" s="30"/>
      <c r="MFC43" s="31"/>
      <c r="MFD43" s="30"/>
      <c r="MFE43" s="31"/>
      <c r="MFF43" s="30"/>
      <c r="MFG43" s="31"/>
      <c r="MFH43" s="30"/>
      <c r="MFI43" s="31"/>
      <c r="MFJ43" s="30"/>
      <c r="MFK43" s="31"/>
      <c r="MFL43" s="30"/>
      <c r="MFM43" s="31"/>
      <c r="MFN43" s="30"/>
      <c r="MFO43" s="31"/>
      <c r="MFP43" s="30"/>
      <c r="MFQ43" s="31"/>
      <c r="MFR43" s="30"/>
      <c r="MFS43" s="31"/>
      <c r="MFT43" s="30"/>
      <c r="MFU43" s="31"/>
      <c r="MFV43" s="30"/>
      <c r="MFW43" s="31"/>
      <c r="MFX43" s="30"/>
      <c r="MFY43" s="31"/>
      <c r="MFZ43" s="30"/>
      <c r="MGA43" s="31"/>
      <c r="MGB43" s="30"/>
      <c r="MGC43" s="31"/>
      <c r="MGD43" s="30"/>
      <c r="MGE43" s="31"/>
      <c r="MGF43" s="30"/>
      <c r="MGG43" s="31"/>
      <c r="MGH43" s="30"/>
      <c r="MGI43" s="31"/>
      <c r="MGJ43" s="30"/>
      <c r="MGK43" s="31"/>
      <c r="MGL43" s="30"/>
      <c r="MGM43" s="31"/>
      <c r="MGN43" s="30"/>
      <c r="MGO43" s="31"/>
      <c r="MGP43" s="30"/>
      <c r="MGQ43" s="31"/>
      <c r="MGR43" s="30"/>
      <c r="MGS43" s="31"/>
      <c r="MGT43" s="30"/>
      <c r="MGU43" s="31"/>
      <c r="MGV43" s="30"/>
      <c r="MGW43" s="31"/>
      <c r="MGX43" s="30"/>
      <c r="MGY43" s="31"/>
      <c r="MGZ43" s="30"/>
      <c r="MHA43" s="31"/>
      <c r="MHB43" s="30"/>
      <c r="MHC43" s="31"/>
      <c r="MHD43" s="30"/>
      <c r="MHE43" s="31"/>
      <c r="MHF43" s="30"/>
      <c r="MHG43" s="31"/>
      <c r="MHH43" s="30"/>
      <c r="MHI43" s="31"/>
      <c r="MHJ43" s="30"/>
      <c r="MHK43" s="31"/>
      <c r="MHL43" s="30"/>
      <c r="MHM43" s="31"/>
      <c r="MHN43" s="30"/>
      <c r="MHO43" s="31"/>
      <c r="MHP43" s="30"/>
      <c r="MHQ43" s="31"/>
      <c r="MHR43" s="30"/>
      <c r="MHS43" s="31"/>
      <c r="MHT43" s="30"/>
      <c r="MHU43" s="31"/>
      <c r="MHV43" s="30"/>
      <c r="MHW43" s="31"/>
      <c r="MHX43" s="30"/>
      <c r="MHY43" s="31"/>
      <c r="MHZ43" s="30"/>
      <c r="MIA43" s="31"/>
      <c r="MIB43" s="30"/>
      <c r="MIC43" s="31"/>
      <c r="MID43" s="30"/>
      <c r="MIE43" s="31"/>
      <c r="MIF43" s="30"/>
      <c r="MIG43" s="31"/>
      <c r="MIH43" s="30"/>
      <c r="MII43" s="31"/>
      <c r="MIJ43" s="30"/>
      <c r="MIK43" s="31"/>
      <c r="MIL43" s="30"/>
      <c r="MIM43" s="31"/>
      <c r="MIN43" s="30"/>
      <c r="MIO43" s="31"/>
      <c r="MIP43" s="30"/>
      <c r="MIQ43" s="31"/>
      <c r="MIR43" s="30"/>
      <c r="MIS43" s="31"/>
      <c r="MIT43" s="30"/>
      <c r="MIU43" s="31"/>
      <c r="MIV43" s="30"/>
      <c r="MIW43" s="31"/>
      <c r="MIX43" s="30"/>
      <c r="MIY43" s="31"/>
      <c r="MIZ43" s="30"/>
      <c r="MJA43" s="31"/>
      <c r="MJB43" s="30"/>
      <c r="MJC43" s="31"/>
      <c r="MJD43" s="30"/>
      <c r="MJE43" s="31"/>
      <c r="MJF43" s="30"/>
      <c r="MJG43" s="31"/>
      <c r="MJH43" s="30"/>
      <c r="MJI43" s="31"/>
      <c r="MJJ43" s="30"/>
      <c r="MJK43" s="31"/>
      <c r="MJL43" s="30"/>
      <c r="MJM43" s="31"/>
      <c r="MJN43" s="30"/>
      <c r="MJO43" s="31"/>
      <c r="MJP43" s="30"/>
      <c r="MJQ43" s="31"/>
      <c r="MJR43" s="30"/>
      <c r="MJS43" s="31"/>
      <c r="MJT43" s="30"/>
      <c r="MJU43" s="31"/>
      <c r="MJV43" s="30"/>
      <c r="MJW43" s="31"/>
      <c r="MJX43" s="30"/>
      <c r="MJY43" s="31"/>
      <c r="MJZ43" s="30"/>
      <c r="MKA43" s="31"/>
      <c r="MKB43" s="30"/>
      <c r="MKC43" s="31"/>
      <c r="MKD43" s="30"/>
      <c r="MKE43" s="31"/>
      <c r="MKF43" s="30"/>
      <c r="MKG43" s="31"/>
      <c r="MKH43" s="30"/>
      <c r="MKI43" s="31"/>
      <c r="MKJ43" s="30"/>
      <c r="MKK43" s="31"/>
      <c r="MKL43" s="30"/>
      <c r="MKM43" s="31"/>
      <c r="MKN43" s="30"/>
      <c r="MKO43" s="31"/>
      <c r="MKP43" s="30"/>
      <c r="MKQ43" s="31"/>
      <c r="MKR43" s="30"/>
      <c r="MKS43" s="31"/>
      <c r="MKT43" s="30"/>
      <c r="MKU43" s="31"/>
      <c r="MKV43" s="30"/>
      <c r="MKW43" s="31"/>
      <c r="MKX43" s="30"/>
      <c r="MKY43" s="31"/>
      <c r="MKZ43" s="30"/>
      <c r="MLA43" s="31"/>
      <c r="MLB43" s="30"/>
      <c r="MLC43" s="31"/>
      <c r="MLD43" s="30"/>
      <c r="MLE43" s="31"/>
      <c r="MLF43" s="30"/>
      <c r="MLG43" s="31"/>
      <c r="MLH43" s="30"/>
      <c r="MLI43" s="31"/>
      <c r="MLJ43" s="30"/>
      <c r="MLK43" s="31"/>
      <c r="MLL43" s="30"/>
      <c r="MLM43" s="31"/>
      <c r="MLN43" s="30"/>
      <c r="MLO43" s="31"/>
      <c r="MLP43" s="30"/>
      <c r="MLQ43" s="31"/>
      <c r="MLR43" s="30"/>
      <c r="MLS43" s="31"/>
      <c r="MLT43" s="30"/>
      <c r="MLU43" s="31"/>
      <c r="MLV43" s="30"/>
      <c r="MLW43" s="31"/>
      <c r="MLX43" s="30"/>
      <c r="MLY43" s="31"/>
      <c r="MLZ43" s="30"/>
      <c r="MMA43" s="31"/>
      <c r="MMB43" s="30"/>
      <c r="MMC43" s="31"/>
      <c r="MMD43" s="30"/>
      <c r="MME43" s="31"/>
      <c r="MMF43" s="30"/>
      <c r="MMG43" s="31"/>
      <c r="MMH43" s="30"/>
      <c r="MMI43" s="31"/>
      <c r="MMJ43" s="30"/>
      <c r="MMK43" s="31"/>
      <c r="MML43" s="30"/>
      <c r="MMM43" s="31"/>
      <c r="MMN43" s="30"/>
      <c r="MMO43" s="31"/>
      <c r="MMP43" s="30"/>
      <c r="MMQ43" s="31"/>
      <c r="MMR43" s="30"/>
      <c r="MMS43" s="31"/>
      <c r="MMT43" s="30"/>
      <c r="MMU43" s="31"/>
      <c r="MMV43" s="30"/>
      <c r="MMW43" s="31"/>
      <c r="MMX43" s="30"/>
      <c r="MMY43" s="31"/>
      <c r="MMZ43" s="30"/>
      <c r="MNA43" s="31"/>
      <c r="MNB43" s="30"/>
      <c r="MNC43" s="31"/>
      <c r="MND43" s="30"/>
      <c r="MNE43" s="31"/>
      <c r="MNF43" s="30"/>
      <c r="MNG43" s="31"/>
      <c r="MNH43" s="30"/>
      <c r="MNI43" s="31"/>
      <c r="MNJ43" s="30"/>
      <c r="MNK43" s="31"/>
      <c r="MNL43" s="30"/>
      <c r="MNM43" s="31"/>
      <c r="MNN43" s="30"/>
      <c r="MNO43" s="31"/>
      <c r="MNP43" s="30"/>
      <c r="MNQ43" s="31"/>
      <c r="MNR43" s="30"/>
      <c r="MNS43" s="31"/>
      <c r="MNT43" s="30"/>
      <c r="MNU43" s="31"/>
      <c r="MNV43" s="30"/>
      <c r="MNW43" s="31"/>
      <c r="MNX43" s="30"/>
      <c r="MNY43" s="31"/>
      <c r="MNZ43" s="30"/>
      <c r="MOA43" s="31"/>
      <c r="MOB43" s="30"/>
      <c r="MOC43" s="31"/>
      <c r="MOD43" s="30"/>
      <c r="MOE43" s="31"/>
      <c r="MOF43" s="30"/>
      <c r="MOG43" s="31"/>
      <c r="MOH43" s="30"/>
      <c r="MOI43" s="31"/>
      <c r="MOJ43" s="30"/>
      <c r="MOK43" s="31"/>
      <c r="MOL43" s="30"/>
      <c r="MOM43" s="31"/>
      <c r="MON43" s="30"/>
      <c r="MOO43" s="31"/>
      <c r="MOP43" s="30"/>
      <c r="MOQ43" s="31"/>
      <c r="MOR43" s="30"/>
      <c r="MOS43" s="31"/>
      <c r="MOT43" s="30"/>
      <c r="MOU43" s="31"/>
      <c r="MOV43" s="30"/>
      <c r="MOW43" s="31"/>
      <c r="MOX43" s="30"/>
      <c r="MOY43" s="31"/>
      <c r="MOZ43" s="30"/>
      <c r="MPA43" s="31"/>
      <c r="MPB43" s="30"/>
      <c r="MPC43" s="31"/>
      <c r="MPD43" s="30"/>
      <c r="MPE43" s="31"/>
      <c r="MPF43" s="30"/>
      <c r="MPG43" s="31"/>
      <c r="MPH43" s="30"/>
      <c r="MPI43" s="31"/>
      <c r="MPJ43" s="30"/>
      <c r="MPK43" s="31"/>
      <c r="MPL43" s="30"/>
      <c r="MPM43" s="31"/>
      <c r="MPN43" s="30"/>
      <c r="MPO43" s="31"/>
      <c r="MPP43" s="30"/>
      <c r="MPQ43" s="31"/>
      <c r="MPR43" s="30"/>
      <c r="MPS43" s="31"/>
      <c r="MPT43" s="30"/>
      <c r="MPU43" s="31"/>
      <c r="MPV43" s="30"/>
      <c r="MPW43" s="31"/>
      <c r="MPX43" s="30"/>
      <c r="MPY43" s="31"/>
      <c r="MPZ43" s="30"/>
      <c r="MQA43" s="31"/>
      <c r="MQB43" s="30"/>
      <c r="MQC43" s="31"/>
      <c r="MQD43" s="30"/>
      <c r="MQE43" s="31"/>
      <c r="MQF43" s="30"/>
      <c r="MQG43" s="31"/>
      <c r="MQH43" s="30"/>
      <c r="MQI43" s="31"/>
      <c r="MQJ43" s="30"/>
      <c r="MQK43" s="31"/>
      <c r="MQL43" s="30"/>
      <c r="MQM43" s="31"/>
      <c r="MQN43" s="30"/>
      <c r="MQO43" s="31"/>
      <c r="MQP43" s="30"/>
      <c r="MQQ43" s="31"/>
      <c r="MQR43" s="30"/>
      <c r="MQS43" s="31"/>
      <c r="MQT43" s="30"/>
      <c r="MQU43" s="31"/>
      <c r="MQV43" s="30"/>
      <c r="MQW43" s="31"/>
      <c r="MQX43" s="30"/>
      <c r="MQY43" s="31"/>
      <c r="MQZ43" s="30"/>
      <c r="MRA43" s="31"/>
      <c r="MRB43" s="30"/>
      <c r="MRC43" s="31"/>
      <c r="MRD43" s="30"/>
      <c r="MRE43" s="31"/>
      <c r="MRF43" s="30"/>
      <c r="MRG43" s="31"/>
      <c r="MRH43" s="30"/>
      <c r="MRI43" s="31"/>
      <c r="MRJ43" s="30"/>
      <c r="MRK43" s="31"/>
      <c r="MRL43" s="30"/>
      <c r="MRM43" s="31"/>
      <c r="MRN43" s="30"/>
      <c r="MRO43" s="31"/>
      <c r="MRP43" s="30"/>
      <c r="MRQ43" s="31"/>
      <c r="MRR43" s="30"/>
      <c r="MRS43" s="31"/>
      <c r="MRT43" s="30"/>
      <c r="MRU43" s="31"/>
      <c r="MRV43" s="30"/>
      <c r="MRW43" s="31"/>
      <c r="MRX43" s="30"/>
      <c r="MRY43" s="31"/>
      <c r="MRZ43" s="30"/>
      <c r="MSA43" s="31"/>
      <c r="MSB43" s="30"/>
      <c r="MSC43" s="31"/>
      <c r="MSD43" s="30"/>
      <c r="MSE43" s="31"/>
      <c r="MSF43" s="30"/>
      <c r="MSG43" s="31"/>
      <c r="MSH43" s="30"/>
      <c r="MSI43" s="31"/>
      <c r="MSJ43" s="30"/>
      <c r="MSK43" s="31"/>
      <c r="MSL43" s="30"/>
      <c r="MSM43" s="31"/>
      <c r="MSN43" s="30"/>
      <c r="MSO43" s="31"/>
      <c r="MSP43" s="30"/>
      <c r="MSQ43" s="31"/>
      <c r="MSR43" s="30"/>
      <c r="MSS43" s="31"/>
      <c r="MST43" s="30"/>
      <c r="MSU43" s="31"/>
      <c r="MSV43" s="30"/>
      <c r="MSW43" s="31"/>
      <c r="MSX43" s="30"/>
      <c r="MSY43" s="31"/>
      <c r="MSZ43" s="30"/>
      <c r="MTA43" s="31"/>
      <c r="MTB43" s="30"/>
      <c r="MTC43" s="31"/>
      <c r="MTD43" s="30"/>
      <c r="MTE43" s="31"/>
      <c r="MTF43" s="30"/>
      <c r="MTG43" s="31"/>
      <c r="MTH43" s="30"/>
      <c r="MTI43" s="31"/>
      <c r="MTJ43" s="30"/>
      <c r="MTK43" s="31"/>
      <c r="MTL43" s="30"/>
      <c r="MTM43" s="31"/>
      <c r="MTN43" s="30"/>
      <c r="MTO43" s="31"/>
      <c r="MTP43" s="30"/>
      <c r="MTQ43" s="31"/>
      <c r="MTR43" s="30"/>
      <c r="MTS43" s="31"/>
      <c r="MTT43" s="30"/>
      <c r="MTU43" s="31"/>
      <c r="MTV43" s="30"/>
      <c r="MTW43" s="31"/>
      <c r="MTX43" s="30"/>
      <c r="MTY43" s="31"/>
      <c r="MTZ43" s="30"/>
      <c r="MUA43" s="31"/>
      <c r="MUB43" s="30"/>
      <c r="MUC43" s="31"/>
      <c r="MUD43" s="30"/>
      <c r="MUE43" s="31"/>
      <c r="MUF43" s="30"/>
      <c r="MUG43" s="31"/>
      <c r="MUH43" s="30"/>
      <c r="MUI43" s="31"/>
      <c r="MUJ43" s="30"/>
      <c r="MUK43" s="31"/>
      <c r="MUL43" s="30"/>
      <c r="MUM43" s="31"/>
      <c r="MUN43" s="30"/>
      <c r="MUO43" s="31"/>
      <c r="MUP43" s="30"/>
      <c r="MUQ43" s="31"/>
      <c r="MUR43" s="30"/>
      <c r="MUS43" s="31"/>
      <c r="MUT43" s="30"/>
      <c r="MUU43" s="31"/>
      <c r="MUV43" s="30"/>
      <c r="MUW43" s="31"/>
      <c r="MUX43" s="30"/>
      <c r="MUY43" s="31"/>
      <c r="MUZ43" s="30"/>
      <c r="MVA43" s="31"/>
      <c r="MVB43" s="30"/>
      <c r="MVC43" s="31"/>
      <c r="MVD43" s="30"/>
      <c r="MVE43" s="31"/>
      <c r="MVF43" s="30"/>
      <c r="MVG43" s="31"/>
      <c r="MVH43" s="30"/>
      <c r="MVI43" s="31"/>
      <c r="MVJ43" s="30"/>
      <c r="MVK43" s="31"/>
      <c r="MVL43" s="30"/>
      <c r="MVM43" s="31"/>
      <c r="MVN43" s="30"/>
      <c r="MVO43" s="31"/>
      <c r="MVP43" s="30"/>
      <c r="MVQ43" s="31"/>
      <c r="MVR43" s="30"/>
      <c r="MVS43" s="31"/>
      <c r="MVT43" s="30"/>
      <c r="MVU43" s="31"/>
      <c r="MVV43" s="30"/>
      <c r="MVW43" s="31"/>
      <c r="MVX43" s="30"/>
      <c r="MVY43" s="31"/>
      <c r="MVZ43" s="30"/>
      <c r="MWA43" s="31"/>
      <c r="MWB43" s="30"/>
      <c r="MWC43" s="31"/>
      <c r="MWD43" s="30"/>
      <c r="MWE43" s="31"/>
      <c r="MWF43" s="30"/>
      <c r="MWG43" s="31"/>
      <c r="MWH43" s="30"/>
      <c r="MWI43" s="31"/>
      <c r="MWJ43" s="30"/>
      <c r="MWK43" s="31"/>
      <c r="MWL43" s="30"/>
      <c r="MWM43" s="31"/>
      <c r="MWN43" s="30"/>
      <c r="MWO43" s="31"/>
      <c r="MWP43" s="30"/>
      <c r="MWQ43" s="31"/>
      <c r="MWR43" s="30"/>
      <c r="MWS43" s="31"/>
      <c r="MWT43" s="30"/>
      <c r="MWU43" s="31"/>
      <c r="MWV43" s="30"/>
      <c r="MWW43" s="31"/>
      <c r="MWX43" s="30"/>
      <c r="MWY43" s="31"/>
      <c r="MWZ43" s="30"/>
      <c r="MXA43" s="31"/>
      <c r="MXB43" s="30"/>
      <c r="MXC43" s="31"/>
      <c r="MXD43" s="30"/>
      <c r="MXE43" s="31"/>
      <c r="MXF43" s="30"/>
      <c r="MXG43" s="31"/>
      <c r="MXH43" s="30"/>
      <c r="MXI43" s="31"/>
      <c r="MXJ43" s="30"/>
      <c r="MXK43" s="31"/>
      <c r="MXL43" s="30"/>
      <c r="MXM43" s="31"/>
      <c r="MXN43" s="30"/>
      <c r="MXO43" s="31"/>
      <c r="MXP43" s="30"/>
      <c r="MXQ43" s="31"/>
      <c r="MXR43" s="30"/>
      <c r="MXS43" s="31"/>
      <c r="MXT43" s="30"/>
      <c r="MXU43" s="31"/>
      <c r="MXV43" s="30"/>
      <c r="MXW43" s="31"/>
      <c r="MXX43" s="30"/>
      <c r="MXY43" s="31"/>
      <c r="MXZ43" s="30"/>
      <c r="MYA43" s="31"/>
      <c r="MYB43" s="30"/>
      <c r="MYC43" s="31"/>
      <c r="MYD43" s="30"/>
      <c r="MYE43" s="31"/>
      <c r="MYF43" s="30"/>
      <c r="MYG43" s="31"/>
      <c r="MYH43" s="30"/>
      <c r="MYI43" s="31"/>
      <c r="MYJ43" s="30"/>
      <c r="MYK43" s="31"/>
      <c r="MYL43" s="30"/>
      <c r="MYM43" s="31"/>
      <c r="MYN43" s="30"/>
      <c r="MYO43" s="31"/>
      <c r="MYP43" s="30"/>
      <c r="MYQ43" s="31"/>
      <c r="MYR43" s="30"/>
      <c r="MYS43" s="31"/>
      <c r="MYT43" s="30"/>
      <c r="MYU43" s="31"/>
      <c r="MYV43" s="30"/>
      <c r="MYW43" s="31"/>
      <c r="MYX43" s="30"/>
      <c r="MYY43" s="31"/>
      <c r="MYZ43" s="30"/>
      <c r="MZA43" s="31"/>
      <c r="MZB43" s="30"/>
      <c r="MZC43" s="31"/>
      <c r="MZD43" s="30"/>
      <c r="MZE43" s="31"/>
      <c r="MZF43" s="30"/>
      <c r="MZG43" s="31"/>
      <c r="MZH43" s="30"/>
      <c r="MZI43" s="31"/>
      <c r="MZJ43" s="30"/>
      <c r="MZK43" s="31"/>
      <c r="MZL43" s="30"/>
      <c r="MZM43" s="31"/>
      <c r="MZN43" s="30"/>
      <c r="MZO43" s="31"/>
      <c r="MZP43" s="30"/>
      <c r="MZQ43" s="31"/>
      <c r="MZR43" s="30"/>
      <c r="MZS43" s="31"/>
      <c r="MZT43" s="30"/>
      <c r="MZU43" s="31"/>
      <c r="MZV43" s="30"/>
      <c r="MZW43" s="31"/>
      <c r="MZX43" s="30"/>
      <c r="MZY43" s="31"/>
      <c r="MZZ43" s="30"/>
      <c r="NAA43" s="31"/>
      <c r="NAB43" s="30"/>
      <c r="NAC43" s="31"/>
      <c r="NAD43" s="30"/>
      <c r="NAE43" s="31"/>
      <c r="NAF43" s="30"/>
      <c r="NAG43" s="31"/>
      <c r="NAH43" s="30"/>
      <c r="NAI43" s="31"/>
      <c r="NAJ43" s="30"/>
      <c r="NAK43" s="31"/>
      <c r="NAL43" s="30"/>
      <c r="NAM43" s="31"/>
      <c r="NAN43" s="30"/>
      <c r="NAO43" s="31"/>
      <c r="NAP43" s="30"/>
      <c r="NAQ43" s="31"/>
      <c r="NAR43" s="30"/>
      <c r="NAS43" s="31"/>
      <c r="NAT43" s="30"/>
      <c r="NAU43" s="31"/>
      <c r="NAV43" s="30"/>
      <c r="NAW43" s="31"/>
      <c r="NAX43" s="30"/>
      <c r="NAY43" s="31"/>
      <c r="NAZ43" s="30"/>
      <c r="NBA43" s="31"/>
      <c r="NBB43" s="30"/>
      <c r="NBC43" s="31"/>
      <c r="NBD43" s="30"/>
      <c r="NBE43" s="31"/>
      <c r="NBF43" s="30"/>
      <c r="NBG43" s="31"/>
      <c r="NBH43" s="30"/>
      <c r="NBI43" s="31"/>
      <c r="NBJ43" s="30"/>
      <c r="NBK43" s="31"/>
      <c r="NBL43" s="30"/>
      <c r="NBM43" s="31"/>
      <c r="NBN43" s="30"/>
      <c r="NBO43" s="31"/>
      <c r="NBP43" s="30"/>
      <c r="NBQ43" s="31"/>
      <c r="NBR43" s="30"/>
      <c r="NBS43" s="31"/>
      <c r="NBT43" s="30"/>
      <c r="NBU43" s="31"/>
      <c r="NBV43" s="30"/>
      <c r="NBW43" s="31"/>
      <c r="NBX43" s="30"/>
      <c r="NBY43" s="31"/>
      <c r="NBZ43" s="30"/>
      <c r="NCA43" s="31"/>
      <c r="NCB43" s="30"/>
      <c r="NCC43" s="31"/>
      <c r="NCD43" s="30"/>
      <c r="NCE43" s="31"/>
      <c r="NCF43" s="30"/>
      <c r="NCG43" s="31"/>
      <c r="NCH43" s="30"/>
      <c r="NCI43" s="31"/>
      <c r="NCJ43" s="30"/>
      <c r="NCK43" s="31"/>
      <c r="NCL43" s="30"/>
      <c r="NCM43" s="31"/>
      <c r="NCN43" s="30"/>
      <c r="NCO43" s="31"/>
      <c r="NCP43" s="30"/>
      <c r="NCQ43" s="31"/>
      <c r="NCR43" s="30"/>
      <c r="NCS43" s="31"/>
      <c r="NCT43" s="30"/>
      <c r="NCU43" s="31"/>
      <c r="NCV43" s="30"/>
      <c r="NCW43" s="31"/>
      <c r="NCX43" s="30"/>
      <c r="NCY43" s="31"/>
      <c r="NCZ43" s="30"/>
      <c r="NDA43" s="31"/>
      <c r="NDB43" s="30"/>
      <c r="NDC43" s="31"/>
      <c r="NDD43" s="30"/>
      <c r="NDE43" s="31"/>
      <c r="NDF43" s="30"/>
      <c r="NDG43" s="31"/>
      <c r="NDH43" s="30"/>
      <c r="NDI43" s="31"/>
      <c r="NDJ43" s="30"/>
      <c r="NDK43" s="31"/>
      <c r="NDL43" s="30"/>
      <c r="NDM43" s="31"/>
      <c r="NDN43" s="30"/>
      <c r="NDO43" s="31"/>
      <c r="NDP43" s="30"/>
      <c r="NDQ43" s="31"/>
      <c r="NDR43" s="30"/>
      <c r="NDS43" s="31"/>
      <c r="NDT43" s="30"/>
      <c r="NDU43" s="31"/>
      <c r="NDV43" s="30"/>
      <c r="NDW43" s="31"/>
      <c r="NDX43" s="30"/>
      <c r="NDY43" s="31"/>
      <c r="NDZ43" s="30"/>
      <c r="NEA43" s="31"/>
      <c r="NEB43" s="30"/>
      <c r="NEC43" s="31"/>
      <c r="NED43" s="30"/>
      <c r="NEE43" s="31"/>
      <c r="NEF43" s="30"/>
      <c r="NEG43" s="31"/>
      <c r="NEH43" s="30"/>
      <c r="NEI43" s="31"/>
      <c r="NEJ43" s="30"/>
      <c r="NEK43" s="31"/>
      <c r="NEL43" s="30"/>
      <c r="NEM43" s="31"/>
      <c r="NEN43" s="30"/>
      <c r="NEO43" s="31"/>
      <c r="NEP43" s="30"/>
      <c r="NEQ43" s="31"/>
      <c r="NER43" s="30"/>
      <c r="NES43" s="31"/>
      <c r="NET43" s="30"/>
      <c r="NEU43" s="31"/>
      <c r="NEV43" s="30"/>
      <c r="NEW43" s="31"/>
      <c r="NEX43" s="30"/>
      <c r="NEY43" s="31"/>
      <c r="NEZ43" s="30"/>
      <c r="NFA43" s="31"/>
      <c r="NFB43" s="30"/>
      <c r="NFC43" s="31"/>
      <c r="NFD43" s="30"/>
      <c r="NFE43" s="31"/>
      <c r="NFF43" s="30"/>
      <c r="NFG43" s="31"/>
      <c r="NFH43" s="30"/>
      <c r="NFI43" s="31"/>
      <c r="NFJ43" s="30"/>
      <c r="NFK43" s="31"/>
      <c r="NFL43" s="30"/>
      <c r="NFM43" s="31"/>
      <c r="NFN43" s="30"/>
      <c r="NFO43" s="31"/>
      <c r="NFP43" s="30"/>
      <c r="NFQ43" s="31"/>
      <c r="NFR43" s="30"/>
      <c r="NFS43" s="31"/>
      <c r="NFT43" s="30"/>
      <c r="NFU43" s="31"/>
      <c r="NFV43" s="30"/>
      <c r="NFW43" s="31"/>
      <c r="NFX43" s="30"/>
      <c r="NFY43" s="31"/>
      <c r="NFZ43" s="30"/>
      <c r="NGA43" s="31"/>
      <c r="NGB43" s="30"/>
      <c r="NGC43" s="31"/>
      <c r="NGD43" s="30"/>
      <c r="NGE43" s="31"/>
      <c r="NGF43" s="30"/>
      <c r="NGG43" s="31"/>
      <c r="NGH43" s="30"/>
      <c r="NGI43" s="31"/>
      <c r="NGJ43" s="30"/>
      <c r="NGK43" s="31"/>
      <c r="NGL43" s="30"/>
      <c r="NGM43" s="31"/>
      <c r="NGN43" s="30"/>
      <c r="NGO43" s="31"/>
      <c r="NGP43" s="30"/>
      <c r="NGQ43" s="31"/>
      <c r="NGR43" s="30"/>
      <c r="NGS43" s="31"/>
      <c r="NGT43" s="30"/>
      <c r="NGU43" s="31"/>
      <c r="NGV43" s="30"/>
      <c r="NGW43" s="31"/>
      <c r="NGX43" s="30"/>
      <c r="NGY43" s="31"/>
      <c r="NGZ43" s="30"/>
      <c r="NHA43" s="31"/>
      <c r="NHB43" s="30"/>
      <c r="NHC43" s="31"/>
      <c r="NHD43" s="30"/>
      <c r="NHE43" s="31"/>
      <c r="NHF43" s="30"/>
      <c r="NHG43" s="31"/>
      <c r="NHH43" s="30"/>
      <c r="NHI43" s="31"/>
      <c r="NHJ43" s="30"/>
      <c r="NHK43" s="31"/>
      <c r="NHL43" s="30"/>
      <c r="NHM43" s="31"/>
      <c r="NHN43" s="30"/>
      <c r="NHO43" s="31"/>
      <c r="NHP43" s="30"/>
      <c r="NHQ43" s="31"/>
      <c r="NHR43" s="30"/>
      <c r="NHS43" s="31"/>
      <c r="NHT43" s="30"/>
      <c r="NHU43" s="31"/>
      <c r="NHV43" s="30"/>
      <c r="NHW43" s="31"/>
      <c r="NHX43" s="30"/>
      <c r="NHY43" s="31"/>
      <c r="NHZ43" s="30"/>
      <c r="NIA43" s="31"/>
      <c r="NIB43" s="30"/>
      <c r="NIC43" s="31"/>
      <c r="NID43" s="30"/>
      <c r="NIE43" s="31"/>
      <c r="NIF43" s="30"/>
      <c r="NIG43" s="31"/>
      <c r="NIH43" s="30"/>
      <c r="NII43" s="31"/>
      <c r="NIJ43" s="30"/>
      <c r="NIK43" s="31"/>
      <c r="NIL43" s="30"/>
      <c r="NIM43" s="31"/>
      <c r="NIN43" s="30"/>
      <c r="NIO43" s="31"/>
      <c r="NIP43" s="30"/>
      <c r="NIQ43" s="31"/>
      <c r="NIR43" s="30"/>
      <c r="NIS43" s="31"/>
      <c r="NIT43" s="30"/>
      <c r="NIU43" s="31"/>
      <c r="NIV43" s="30"/>
      <c r="NIW43" s="31"/>
      <c r="NIX43" s="30"/>
      <c r="NIY43" s="31"/>
      <c r="NIZ43" s="30"/>
      <c r="NJA43" s="31"/>
      <c r="NJB43" s="30"/>
      <c r="NJC43" s="31"/>
      <c r="NJD43" s="30"/>
      <c r="NJE43" s="31"/>
      <c r="NJF43" s="30"/>
      <c r="NJG43" s="31"/>
      <c r="NJH43" s="30"/>
      <c r="NJI43" s="31"/>
      <c r="NJJ43" s="30"/>
      <c r="NJK43" s="31"/>
      <c r="NJL43" s="30"/>
      <c r="NJM43" s="31"/>
      <c r="NJN43" s="30"/>
      <c r="NJO43" s="31"/>
      <c r="NJP43" s="30"/>
      <c r="NJQ43" s="31"/>
      <c r="NJR43" s="30"/>
      <c r="NJS43" s="31"/>
      <c r="NJT43" s="30"/>
      <c r="NJU43" s="31"/>
      <c r="NJV43" s="30"/>
      <c r="NJW43" s="31"/>
      <c r="NJX43" s="30"/>
      <c r="NJY43" s="31"/>
      <c r="NJZ43" s="30"/>
      <c r="NKA43" s="31"/>
      <c r="NKB43" s="30"/>
      <c r="NKC43" s="31"/>
      <c r="NKD43" s="30"/>
      <c r="NKE43" s="31"/>
      <c r="NKF43" s="30"/>
      <c r="NKG43" s="31"/>
      <c r="NKH43" s="30"/>
      <c r="NKI43" s="31"/>
      <c r="NKJ43" s="30"/>
      <c r="NKK43" s="31"/>
      <c r="NKL43" s="30"/>
      <c r="NKM43" s="31"/>
      <c r="NKN43" s="30"/>
      <c r="NKO43" s="31"/>
      <c r="NKP43" s="30"/>
      <c r="NKQ43" s="31"/>
      <c r="NKR43" s="30"/>
      <c r="NKS43" s="31"/>
      <c r="NKT43" s="30"/>
      <c r="NKU43" s="31"/>
      <c r="NKV43" s="30"/>
      <c r="NKW43" s="31"/>
      <c r="NKX43" s="30"/>
      <c r="NKY43" s="31"/>
      <c r="NKZ43" s="30"/>
      <c r="NLA43" s="31"/>
      <c r="NLB43" s="30"/>
      <c r="NLC43" s="31"/>
      <c r="NLD43" s="30"/>
      <c r="NLE43" s="31"/>
      <c r="NLF43" s="30"/>
      <c r="NLG43" s="31"/>
      <c r="NLH43" s="30"/>
      <c r="NLI43" s="31"/>
      <c r="NLJ43" s="30"/>
      <c r="NLK43" s="31"/>
      <c r="NLL43" s="30"/>
      <c r="NLM43" s="31"/>
      <c r="NLN43" s="30"/>
      <c r="NLO43" s="31"/>
      <c r="NLP43" s="30"/>
      <c r="NLQ43" s="31"/>
      <c r="NLR43" s="30"/>
      <c r="NLS43" s="31"/>
      <c r="NLT43" s="30"/>
      <c r="NLU43" s="31"/>
      <c r="NLV43" s="30"/>
      <c r="NLW43" s="31"/>
      <c r="NLX43" s="30"/>
      <c r="NLY43" s="31"/>
      <c r="NLZ43" s="30"/>
      <c r="NMA43" s="31"/>
      <c r="NMB43" s="30"/>
      <c r="NMC43" s="31"/>
      <c r="NMD43" s="30"/>
      <c r="NME43" s="31"/>
      <c r="NMF43" s="30"/>
      <c r="NMG43" s="31"/>
      <c r="NMH43" s="30"/>
      <c r="NMI43" s="31"/>
      <c r="NMJ43" s="30"/>
      <c r="NMK43" s="31"/>
      <c r="NML43" s="30"/>
      <c r="NMM43" s="31"/>
      <c r="NMN43" s="30"/>
      <c r="NMO43" s="31"/>
      <c r="NMP43" s="30"/>
      <c r="NMQ43" s="31"/>
      <c r="NMR43" s="30"/>
      <c r="NMS43" s="31"/>
      <c r="NMT43" s="30"/>
      <c r="NMU43" s="31"/>
      <c r="NMV43" s="30"/>
      <c r="NMW43" s="31"/>
      <c r="NMX43" s="30"/>
      <c r="NMY43" s="31"/>
      <c r="NMZ43" s="30"/>
      <c r="NNA43" s="31"/>
      <c r="NNB43" s="30"/>
      <c r="NNC43" s="31"/>
      <c r="NND43" s="30"/>
      <c r="NNE43" s="31"/>
      <c r="NNF43" s="30"/>
      <c r="NNG43" s="31"/>
      <c r="NNH43" s="30"/>
      <c r="NNI43" s="31"/>
      <c r="NNJ43" s="30"/>
      <c r="NNK43" s="31"/>
      <c r="NNL43" s="30"/>
      <c r="NNM43" s="31"/>
      <c r="NNN43" s="30"/>
      <c r="NNO43" s="31"/>
      <c r="NNP43" s="30"/>
      <c r="NNQ43" s="31"/>
      <c r="NNR43" s="30"/>
      <c r="NNS43" s="31"/>
      <c r="NNT43" s="30"/>
      <c r="NNU43" s="31"/>
      <c r="NNV43" s="30"/>
      <c r="NNW43" s="31"/>
      <c r="NNX43" s="30"/>
      <c r="NNY43" s="31"/>
      <c r="NNZ43" s="30"/>
      <c r="NOA43" s="31"/>
      <c r="NOB43" s="30"/>
      <c r="NOC43" s="31"/>
      <c r="NOD43" s="30"/>
      <c r="NOE43" s="31"/>
      <c r="NOF43" s="30"/>
      <c r="NOG43" s="31"/>
      <c r="NOH43" s="30"/>
      <c r="NOI43" s="31"/>
      <c r="NOJ43" s="30"/>
      <c r="NOK43" s="31"/>
      <c r="NOL43" s="30"/>
      <c r="NOM43" s="31"/>
      <c r="NON43" s="30"/>
      <c r="NOO43" s="31"/>
      <c r="NOP43" s="30"/>
      <c r="NOQ43" s="31"/>
      <c r="NOR43" s="30"/>
      <c r="NOS43" s="31"/>
      <c r="NOT43" s="30"/>
      <c r="NOU43" s="31"/>
      <c r="NOV43" s="30"/>
      <c r="NOW43" s="31"/>
      <c r="NOX43" s="30"/>
      <c r="NOY43" s="31"/>
      <c r="NOZ43" s="30"/>
      <c r="NPA43" s="31"/>
      <c r="NPB43" s="30"/>
      <c r="NPC43" s="31"/>
      <c r="NPD43" s="30"/>
      <c r="NPE43" s="31"/>
      <c r="NPF43" s="30"/>
      <c r="NPG43" s="31"/>
      <c r="NPH43" s="30"/>
      <c r="NPI43" s="31"/>
      <c r="NPJ43" s="30"/>
      <c r="NPK43" s="31"/>
      <c r="NPL43" s="30"/>
      <c r="NPM43" s="31"/>
      <c r="NPN43" s="30"/>
      <c r="NPO43" s="31"/>
      <c r="NPP43" s="30"/>
      <c r="NPQ43" s="31"/>
      <c r="NPR43" s="30"/>
      <c r="NPS43" s="31"/>
      <c r="NPT43" s="30"/>
      <c r="NPU43" s="31"/>
      <c r="NPV43" s="30"/>
      <c r="NPW43" s="31"/>
      <c r="NPX43" s="30"/>
      <c r="NPY43" s="31"/>
      <c r="NPZ43" s="30"/>
      <c r="NQA43" s="31"/>
      <c r="NQB43" s="30"/>
      <c r="NQC43" s="31"/>
      <c r="NQD43" s="30"/>
      <c r="NQE43" s="31"/>
      <c r="NQF43" s="30"/>
      <c r="NQG43" s="31"/>
      <c r="NQH43" s="30"/>
      <c r="NQI43" s="31"/>
      <c r="NQJ43" s="30"/>
      <c r="NQK43" s="31"/>
      <c r="NQL43" s="30"/>
      <c r="NQM43" s="31"/>
      <c r="NQN43" s="30"/>
      <c r="NQO43" s="31"/>
      <c r="NQP43" s="30"/>
      <c r="NQQ43" s="31"/>
      <c r="NQR43" s="30"/>
      <c r="NQS43" s="31"/>
      <c r="NQT43" s="30"/>
      <c r="NQU43" s="31"/>
      <c r="NQV43" s="30"/>
      <c r="NQW43" s="31"/>
      <c r="NQX43" s="30"/>
      <c r="NQY43" s="31"/>
      <c r="NQZ43" s="30"/>
      <c r="NRA43" s="31"/>
      <c r="NRB43" s="30"/>
      <c r="NRC43" s="31"/>
      <c r="NRD43" s="30"/>
      <c r="NRE43" s="31"/>
      <c r="NRF43" s="30"/>
      <c r="NRG43" s="31"/>
      <c r="NRH43" s="30"/>
      <c r="NRI43" s="31"/>
      <c r="NRJ43" s="30"/>
      <c r="NRK43" s="31"/>
      <c r="NRL43" s="30"/>
      <c r="NRM43" s="31"/>
      <c r="NRN43" s="30"/>
      <c r="NRO43" s="31"/>
      <c r="NRP43" s="30"/>
      <c r="NRQ43" s="31"/>
      <c r="NRR43" s="30"/>
      <c r="NRS43" s="31"/>
      <c r="NRT43" s="30"/>
      <c r="NRU43" s="31"/>
      <c r="NRV43" s="30"/>
      <c r="NRW43" s="31"/>
      <c r="NRX43" s="30"/>
      <c r="NRY43" s="31"/>
      <c r="NRZ43" s="30"/>
      <c r="NSA43" s="31"/>
      <c r="NSB43" s="30"/>
      <c r="NSC43" s="31"/>
      <c r="NSD43" s="30"/>
      <c r="NSE43" s="31"/>
      <c r="NSF43" s="30"/>
      <c r="NSG43" s="31"/>
      <c r="NSH43" s="30"/>
      <c r="NSI43" s="31"/>
      <c r="NSJ43" s="30"/>
      <c r="NSK43" s="31"/>
      <c r="NSL43" s="30"/>
      <c r="NSM43" s="31"/>
      <c r="NSN43" s="30"/>
      <c r="NSO43" s="31"/>
      <c r="NSP43" s="30"/>
      <c r="NSQ43" s="31"/>
      <c r="NSR43" s="30"/>
      <c r="NSS43" s="31"/>
      <c r="NST43" s="30"/>
      <c r="NSU43" s="31"/>
      <c r="NSV43" s="30"/>
      <c r="NSW43" s="31"/>
      <c r="NSX43" s="30"/>
      <c r="NSY43" s="31"/>
      <c r="NSZ43" s="30"/>
      <c r="NTA43" s="31"/>
      <c r="NTB43" s="30"/>
      <c r="NTC43" s="31"/>
      <c r="NTD43" s="30"/>
      <c r="NTE43" s="31"/>
      <c r="NTF43" s="30"/>
      <c r="NTG43" s="31"/>
      <c r="NTH43" s="30"/>
      <c r="NTI43" s="31"/>
      <c r="NTJ43" s="30"/>
      <c r="NTK43" s="31"/>
      <c r="NTL43" s="30"/>
      <c r="NTM43" s="31"/>
      <c r="NTN43" s="30"/>
      <c r="NTO43" s="31"/>
      <c r="NTP43" s="30"/>
      <c r="NTQ43" s="31"/>
      <c r="NTR43" s="30"/>
      <c r="NTS43" s="31"/>
      <c r="NTT43" s="30"/>
      <c r="NTU43" s="31"/>
      <c r="NTV43" s="30"/>
      <c r="NTW43" s="31"/>
      <c r="NTX43" s="30"/>
      <c r="NTY43" s="31"/>
      <c r="NTZ43" s="30"/>
      <c r="NUA43" s="31"/>
      <c r="NUB43" s="30"/>
      <c r="NUC43" s="31"/>
      <c r="NUD43" s="30"/>
      <c r="NUE43" s="31"/>
      <c r="NUF43" s="30"/>
      <c r="NUG43" s="31"/>
      <c r="NUH43" s="30"/>
      <c r="NUI43" s="31"/>
      <c r="NUJ43" s="30"/>
      <c r="NUK43" s="31"/>
      <c r="NUL43" s="30"/>
      <c r="NUM43" s="31"/>
      <c r="NUN43" s="30"/>
      <c r="NUO43" s="31"/>
      <c r="NUP43" s="30"/>
      <c r="NUQ43" s="31"/>
      <c r="NUR43" s="30"/>
      <c r="NUS43" s="31"/>
      <c r="NUT43" s="30"/>
      <c r="NUU43" s="31"/>
      <c r="NUV43" s="30"/>
      <c r="NUW43" s="31"/>
      <c r="NUX43" s="30"/>
      <c r="NUY43" s="31"/>
      <c r="NUZ43" s="30"/>
      <c r="NVA43" s="31"/>
      <c r="NVB43" s="30"/>
      <c r="NVC43" s="31"/>
      <c r="NVD43" s="30"/>
      <c r="NVE43" s="31"/>
      <c r="NVF43" s="30"/>
      <c r="NVG43" s="31"/>
      <c r="NVH43" s="30"/>
      <c r="NVI43" s="31"/>
      <c r="NVJ43" s="30"/>
      <c r="NVK43" s="31"/>
      <c r="NVL43" s="30"/>
      <c r="NVM43" s="31"/>
      <c r="NVN43" s="30"/>
      <c r="NVO43" s="31"/>
      <c r="NVP43" s="30"/>
      <c r="NVQ43" s="31"/>
      <c r="NVR43" s="30"/>
      <c r="NVS43" s="31"/>
      <c r="NVT43" s="30"/>
      <c r="NVU43" s="31"/>
      <c r="NVV43" s="30"/>
      <c r="NVW43" s="31"/>
      <c r="NVX43" s="30"/>
      <c r="NVY43" s="31"/>
      <c r="NVZ43" s="30"/>
      <c r="NWA43" s="31"/>
      <c r="NWB43" s="30"/>
      <c r="NWC43" s="31"/>
      <c r="NWD43" s="30"/>
      <c r="NWE43" s="31"/>
      <c r="NWF43" s="30"/>
      <c r="NWG43" s="31"/>
      <c r="NWH43" s="30"/>
      <c r="NWI43" s="31"/>
      <c r="NWJ43" s="30"/>
      <c r="NWK43" s="31"/>
      <c r="NWL43" s="30"/>
      <c r="NWM43" s="31"/>
      <c r="NWN43" s="30"/>
      <c r="NWO43" s="31"/>
      <c r="NWP43" s="30"/>
      <c r="NWQ43" s="31"/>
      <c r="NWR43" s="30"/>
      <c r="NWS43" s="31"/>
      <c r="NWT43" s="30"/>
      <c r="NWU43" s="31"/>
      <c r="NWV43" s="30"/>
      <c r="NWW43" s="31"/>
      <c r="NWX43" s="30"/>
      <c r="NWY43" s="31"/>
      <c r="NWZ43" s="30"/>
      <c r="NXA43" s="31"/>
      <c r="NXB43" s="30"/>
      <c r="NXC43" s="31"/>
      <c r="NXD43" s="30"/>
      <c r="NXE43" s="31"/>
      <c r="NXF43" s="30"/>
      <c r="NXG43" s="31"/>
      <c r="NXH43" s="30"/>
      <c r="NXI43" s="31"/>
      <c r="NXJ43" s="30"/>
      <c r="NXK43" s="31"/>
      <c r="NXL43" s="30"/>
      <c r="NXM43" s="31"/>
      <c r="NXN43" s="30"/>
      <c r="NXO43" s="31"/>
      <c r="NXP43" s="30"/>
      <c r="NXQ43" s="31"/>
      <c r="NXR43" s="30"/>
      <c r="NXS43" s="31"/>
      <c r="NXT43" s="30"/>
      <c r="NXU43" s="31"/>
      <c r="NXV43" s="30"/>
      <c r="NXW43" s="31"/>
      <c r="NXX43" s="30"/>
      <c r="NXY43" s="31"/>
      <c r="NXZ43" s="30"/>
      <c r="NYA43" s="31"/>
      <c r="NYB43" s="30"/>
      <c r="NYC43" s="31"/>
      <c r="NYD43" s="30"/>
      <c r="NYE43" s="31"/>
      <c r="NYF43" s="30"/>
      <c r="NYG43" s="31"/>
      <c r="NYH43" s="30"/>
      <c r="NYI43" s="31"/>
      <c r="NYJ43" s="30"/>
      <c r="NYK43" s="31"/>
      <c r="NYL43" s="30"/>
      <c r="NYM43" s="31"/>
      <c r="NYN43" s="30"/>
      <c r="NYO43" s="31"/>
      <c r="NYP43" s="30"/>
      <c r="NYQ43" s="31"/>
      <c r="NYR43" s="30"/>
      <c r="NYS43" s="31"/>
      <c r="NYT43" s="30"/>
      <c r="NYU43" s="31"/>
      <c r="NYV43" s="30"/>
      <c r="NYW43" s="31"/>
      <c r="NYX43" s="30"/>
      <c r="NYY43" s="31"/>
      <c r="NYZ43" s="30"/>
      <c r="NZA43" s="31"/>
      <c r="NZB43" s="30"/>
      <c r="NZC43" s="31"/>
      <c r="NZD43" s="30"/>
      <c r="NZE43" s="31"/>
      <c r="NZF43" s="30"/>
      <c r="NZG43" s="31"/>
      <c r="NZH43" s="30"/>
      <c r="NZI43" s="31"/>
      <c r="NZJ43" s="30"/>
      <c r="NZK43" s="31"/>
      <c r="NZL43" s="30"/>
      <c r="NZM43" s="31"/>
      <c r="NZN43" s="30"/>
      <c r="NZO43" s="31"/>
      <c r="NZP43" s="30"/>
      <c r="NZQ43" s="31"/>
      <c r="NZR43" s="30"/>
      <c r="NZS43" s="31"/>
      <c r="NZT43" s="30"/>
      <c r="NZU43" s="31"/>
      <c r="NZV43" s="30"/>
      <c r="NZW43" s="31"/>
      <c r="NZX43" s="30"/>
      <c r="NZY43" s="31"/>
      <c r="NZZ43" s="30"/>
      <c r="OAA43" s="31"/>
      <c r="OAB43" s="30"/>
      <c r="OAC43" s="31"/>
      <c r="OAD43" s="30"/>
      <c r="OAE43" s="31"/>
      <c r="OAF43" s="30"/>
      <c r="OAG43" s="31"/>
      <c r="OAH43" s="30"/>
      <c r="OAI43" s="31"/>
      <c r="OAJ43" s="30"/>
      <c r="OAK43" s="31"/>
      <c r="OAL43" s="30"/>
      <c r="OAM43" s="31"/>
      <c r="OAN43" s="30"/>
      <c r="OAO43" s="31"/>
      <c r="OAP43" s="30"/>
      <c r="OAQ43" s="31"/>
      <c r="OAR43" s="30"/>
      <c r="OAS43" s="31"/>
      <c r="OAT43" s="30"/>
      <c r="OAU43" s="31"/>
      <c r="OAV43" s="30"/>
      <c r="OAW43" s="31"/>
      <c r="OAX43" s="30"/>
      <c r="OAY43" s="31"/>
      <c r="OAZ43" s="30"/>
      <c r="OBA43" s="31"/>
      <c r="OBB43" s="30"/>
      <c r="OBC43" s="31"/>
      <c r="OBD43" s="30"/>
      <c r="OBE43" s="31"/>
      <c r="OBF43" s="30"/>
      <c r="OBG43" s="31"/>
      <c r="OBH43" s="30"/>
      <c r="OBI43" s="31"/>
      <c r="OBJ43" s="30"/>
      <c r="OBK43" s="31"/>
      <c r="OBL43" s="30"/>
      <c r="OBM43" s="31"/>
      <c r="OBN43" s="30"/>
      <c r="OBO43" s="31"/>
      <c r="OBP43" s="30"/>
      <c r="OBQ43" s="31"/>
      <c r="OBR43" s="30"/>
      <c r="OBS43" s="31"/>
      <c r="OBT43" s="30"/>
      <c r="OBU43" s="31"/>
      <c r="OBV43" s="30"/>
      <c r="OBW43" s="31"/>
      <c r="OBX43" s="30"/>
      <c r="OBY43" s="31"/>
      <c r="OBZ43" s="30"/>
      <c r="OCA43" s="31"/>
      <c r="OCB43" s="30"/>
      <c r="OCC43" s="31"/>
      <c r="OCD43" s="30"/>
      <c r="OCE43" s="31"/>
      <c r="OCF43" s="30"/>
      <c r="OCG43" s="31"/>
      <c r="OCH43" s="30"/>
      <c r="OCI43" s="31"/>
      <c r="OCJ43" s="30"/>
      <c r="OCK43" s="31"/>
      <c r="OCL43" s="30"/>
      <c r="OCM43" s="31"/>
      <c r="OCN43" s="30"/>
      <c r="OCO43" s="31"/>
      <c r="OCP43" s="30"/>
      <c r="OCQ43" s="31"/>
      <c r="OCR43" s="30"/>
      <c r="OCS43" s="31"/>
      <c r="OCT43" s="30"/>
      <c r="OCU43" s="31"/>
      <c r="OCV43" s="30"/>
      <c r="OCW43" s="31"/>
      <c r="OCX43" s="30"/>
      <c r="OCY43" s="31"/>
      <c r="OCZ43" s="30"/>
      <c r="ODA43" s="31"/>
      <c r="ODB43" s="30"/>
      <c r="ODC43" s="31"/>
      <c r="ODD43" s="30"/>
      <c r="ODE43" s="31"/>
      <c r="ODF43" s="30"/>
      <c r="ODG43" s="31"/>
      <c r="ODH43" s="30"/>
      <c r="ODI43" s="31"/>
      <c r="ODJ43" s="30"/>
      <c r="ODK43" s="31"/>
      <c r="ODL43" s="30"/>
      <c r="ODM43" s="31"/>
      <c r="ODN43" s="30"/>
      <c r="ODO43" s="31"/>
      <c r="ODP43" s="30"/>
      <c r="ODQ43" s="31"/>
      <c r="ODR43" s="30"/>
      <c r="ODS43" s="31"/>
      <c r="ODT43" s="30"/>
      <c r="ODU43" s="31"/>
      <c r="ODV43" s="30"/>
      <c r="ODW43" s="31"/>
      <c r="ODX43" s="30"/>
      <c r="ODY43" s="31"/>
      <c r="ODZ43" s="30"/>
      <c r="OEA43" s="31"/>
      <c r="OEB43" s="30"/>
      <c r="OEC43" s="31"/>
      <c r="OED43" s="30"/>
      <c r="OEE43" s="31"/>
      <c r="OEF43" s="30"/>
      <c r="OEG43" s="31"/>
      <c r="OEH43" s="30"/>
      <c r="OEI43" s="31"/>
      <c r="OEJ43" s="30"/>
      <c r="OEK43" s="31"/>
      <c r="OEL43" s="30"/>
      <c r="OEM43" s="31"/>
      <c r="OEN43" s="30"/>
      <c r="OEO43" s="31"/>
      <c r="OEP43" s="30"/>
      <c r="OEQ43" s="31"/>
      <c r="OER43" s="30"/>
      <c r="OES43" s="31"/>
      <c r="OET43" s="30"/>
      <c r="OEU43" s="31"/>
      <c r="OEV43" s="30"/>
      <c r="OEW43" s="31"/>
      <c r="OEX43" s="30"/>
      <c r="OEY43" s="31"/>
      <c r="OEZ43" s="30"/>
      <c r="OFA43" s="31"/>
      <c r="OFB43" s="30"/>
      <c r="OFC43" s="31"/>
      <c r="OFD43" s="30"/>
      <c r="OFE43" s="31"/>
      <c r="OFF43" s="30"/>
      <c r="OFG43" s="31"/>
      <c r="OFH43" s="30"/>
      <c r="OFI43" s="31"/>
      <c r="OFJ43" s="30"/>
      <c r="OFK43" s="31"/>
      <c r="OFL43" s="30"/>
      <c r="OFM43" s="31"/>
      <c r="OFN43" s="30"/>
      <c r="OFO43" s="31"/>
      <c r="OFP43" s="30"/>
      <c r="OFQ43" s="31"/>
      <c r="OFR43" s="30"/>
      <c r="OFS43" s="31"/>
      <c r="OFT43" s="30"/>
      <c r="OFU43" s="31"/>
      <c r="OFV43" s="30"/>
      <c r="OFW43" s="31"/>
      <c r="OFX43" s="30"/>
      <c r="OFY43" s="31"/>
      <c r="OFZ43" s="30"/>
      <c r="OGA43" s="31"/>
      <c r="OGB43" s="30"/>
      <c r="OGC43" s="31"/>
      <c r="OGD43" s="30"/>
      <c r="OGE43" s="31"/>
      <c r="OGF43" s="30"/>
      <c r="OGG43" s="31"/>
      <c r="OGH43" s="30"/>
      <c r="OGI43" s="31"/>
      <c r="OGJ43" s="30"/>
      <c r="OGK43" s="31"/>
      <c r="OGL43" s="30"/>
      <c r="OGM43" s="31"/>
      <c r="OGN43" s="30"/>
      <c r="OGO43" s="31"/>
      <c r="OGP43" s="30"/>
      <c r="OGQ43" s="31"/>
      <c r="OGR43" s="30"/>
      <c r="OGS43" s="31"/>
      <c r="OGT43" s="30"/>
      <c r="OGU43" s="31"/>
      <c r="OGV43" s="30"/>
      <c r="OGW43" s="31"/>
      <c r="OGX43" s="30"/>
      <c r="OGY43" s="31"/>
      <c r="OGZ43" s="30"/>
      <c r="OHA43" s="31"/>
      <c r="OHB43" s="30"/>
      <c r="OHC43" s="31"/>
      <c r="OHD43" s="30"/>
      <c r="OHE43" s="31"/>
      <c r="OHF43" s="30"/>
      <c r="OHG43" s="31"/>
      <c r="OHH43" s="30"/>
      <c r="OHI43" s="31"/>
      <c r="OHJ43" s="30"/>
      <c r="OHK43" s="31"/>
      <c r="OHL43" s="30"/>
      <c r="OHM43" s="31"/>
      <c r="OHN43" s="30"/>
      <c r="OHO43" s="31"/>
      <c r="OHP43" s="30"/>
      <c r="OHQ43" s="31"/>
      <c r="OHR43" s="30"/>
      <c r="OHS43" s="31"/>
      <c r="OHT43" s="30"/>
      <c r="OHU43" s="31"/>
      <c r="OHV43" s="30"/>
      <c r="OHW43" s="31"/>
      <c r="OHX43" s="30"/>
      <c r="OHY43" s="31"/>
      <c r="OHZ43" s="30"/>
      <c r="OIA43" s="31"/>
      <c r="OIB43" s="30"/>
      <c r="OIC43" s="31"/>
      <c r="OID43" s="30"/>
      <c r="OIE43" s="31"/>
      <c r="OIF43" s="30"/>
      <c r="OIG43" s="31"/>
      <c r="OIH43" s="30"/>
      <c r="OII43" s="31"/>
      <c r="OIJ43" s="30"/>
      <c r="OIK43" s="31"/>
      <c r="OIL43" s="30"/>
      <c r="OIM43" s="31"/>
      <c r="OIN43" s="30"/>
      <c r="OIO43" s="31"/>
      <c r="OIP43" s="30"/>
      <c r="OIQ43" s="31"/>
      <c r="OIR43" s="30"/>
      <c r="OIS43" s="31"/>
      <c r="OIT43" s="30"/>
      <c r="OIU43" s="31"/>
      <c r="OIV43" s="30"/>
      <c r="OIW43" s="31"/>
      <c r="OIX43" s="30"/>
      <c r="OIY43" s="31"/>
      <c r="OIZ43" s="30"/>
      <c r="OJA43" s="31"/>
      <c r="OJB43" s="30"/>
      <c r="OJC43" s="31"/>
      <c r="OJD43" s="30"/>
      <c r="OJE43" s="31"/>
      <c r="OJF43" s="30"/>
      <c r="OJG43" s="31"/>
      <c r="OJH43" s="30"/>
      <c r="OJI43" s="31"/>
      <c r="OJJ43" s="30"/>
      <c r="OJK43" s="31"/>
      <c r="OJL43" s="30"/>
      <c r="OJM43" s="31"/>
      <c r="OJN43" s="30"/>
      <c r="OJO43" s="31"/>
      <c r="OJP43" s="30"/>
      <c r="OJQ43" s="31"/>
      <c r="OJR43" s="30"/>
      <c r="OJS43" s="31"/>
      <c r="OJT43" s="30"/>
      <c r="OJU43" s="31"/>
      <c r="OJV43" s="30"/>
      <c r="OJW43" s="31"/>
      <c r="OJX43" s="30"/>
      <c r="OJY43" s="31"/>
      <c r="OJZ43" s="30"/>
      <c r="OKA43" s="31"/>
      <c r="OKB43" s="30"/>
      <c r="OKC43" s="31"/>
      <c r="OKD43" s="30"/>
      <c r="OKE43" s="31"/>
      <c r="OKF43" s="30"/>
      <c r="OKG43" s="31"/>
      <c r="OKH43" s="30"/>
      <c r="OKI43" s="31"/>
      <c r="OKJ43" s="30"/>
      <c r="OKK43" s="31"/>
      <c r="OKL43" s="30"/>
      <c r="OKM43" s="31"/>
      <c r="OKN43" s="30"/>
      <c r="OKO43" s="31"/>
      <c r="OKP43" s="30"/>
      <c r="OKQ43" s="31"/>
      <c r="OKR43" s="30"/>
      <c r="OKS43" s="31"/>
      <c r="OKT43" s="30"/>
      <c r="OKU43" s="31"/>
      <c r="OKV43" s="30"/>
      <c r="OKW43" s="31"/>
      <c r="OKX43" s="30"/>
      <c r="OKY43" s="31"/>
      <c r="OKZ43" s="30"/>
      <c r="OLA43" s="31"/>
      <c r="OLB43" s="30"/>
      <c r="OLC43" s="31"/>
      <c r="OLD43" s="30"/>
      <c r="OLE43" s="31"/>
      <c r="OLF43" s="30"/>
      <c r="OLG43" s="31"/>
      <c r="OLH43" s="30"/>
      <c r="OLI43" s="31"/>
      <c r="OLJ43" s="30"/>
      <c r="OLK43" s="31"/>
      <c r="OLL43" s="30"/>
      <c r="OLM43" s="31"/>
      <c r="OLN43" s="30"/>
      <c r="OLO43" s="31"/>
      <c r="OLP43" s="30"/>
      <c r="OLQ43" s="31"/>
      <c r="OLR43" s="30"/>
      <c r="OLS43" s="31"/>
      <c r="OLT43" s="30"/>
      <c r="OLU43" s="31"/>
      <c r="OLV43" s="30"/>
      <c r="OLW43" s="31"/>
      <c r="OLX43" s="30"/>
      <c r="OLY43" s="31"/>
      <c r="OLZ43" s="30"/>
      <c r="OMA43" s="31"/>
      <c r="OMB43" s="30"/>
      <c r="OMC43" s="31"/>
      <c r="OMD43" s="30"/>
      <c r="OME43" s="31"/>
      <c r="OMF43" s="30"/>
      <c r="OMG43" s="31"/>
      <c r="OMH43" s="30"/>
      <c r="OMI43" s="31"/>
      <c r="OMJ43" s="30"/>
      <c r="OMK43" s="31"/>
      <c r="OML43" s="30"/>
      <c r="OMM43" s="31"/>
      <c r="OMN43" s="30"/>
      <c r="OMO43" s="31"/>
      <c r="OMP43" s="30"/>
      <c r="OMQ43" s="31"/>
      <c r="OMR43" s="30"/>
      <c r="OMS43" s="31"/>
      <c r="OMT43" s="30"/>
      <c r="OMU43" s="31"/>
      <c r="OMV43" s="30"/>
      <c r="OMW43" s="31"/>
      <c r="OMX43" s="30"/>
      <c r="OMY43" s="31"/>
      <c r="OMZ43" s="30"/>
      <c r="ONA43" s="31"/>
      <c r="ONB43" s="30"/>
      <c r="ONC43" s="31"/>
      <c r="OND43" s="30"/>
      <c r="ONE43" s="31"/>
      <c r="ONF43" s="30"/>
      <c r="ONG43" s="31"/>
      <c r="ONH43" s="30"/>
      <c r="ONI43" s="31"/>
      <c r="ONJ43" s="30"/>
      <c r="ONK43" s="31"/>
      <c r="ONL43" s="30"/>
      <c r="ONM43" s="31"/>
      <c r="ONN43" s="30"/>
      <c r="ONO43" s="31"/>
      <c r="ONP43" s="30"/>
      <c r="ONQ43" s="31"/>
      <c r="ONR43" s="30"/>
      <c r="ONS43" s="31"/>
      <c r="ONT43" s="30"/>
      <c r="ONU43" s="31"/>
      <c r="ONV43" s="30"/>
      <c r="ONW43" s="31"/>
      <c r="ONX43" s="30"/>
      <c r="ONY43" s="31"/>
      <c r="ONZ43" s="30"/>
      <c r="OOA43" s="31"/>
      <c r="OOB43" s="30"/>
      <c r="OOC43" s="31"/>
      <c r="OOD43" s="30"/>
      <c r="OOE43" s="31"/>
      <c r="OOF43" s="30"/>
      <c r="OOG43" s="31"/>
      <c r="OOH43" s="30"/>
      <c r="OOI43" s="31"/>
      <c r="OOJ43" s="30"/>
      <c r="OOK43" s="31"/>
      <c r="OOL43" s="30"/>
      <c r="OOM43" s="31"/>
      <c r="OON43" s="30"/>
      <c r="OOO43" s="31"/>
      <c r="OOP43" s="30"/>
      <c r="OOQ43" s="31"/>
      <c r="OOR43" s="30"/>
      <c r="OOS43" s="31"/>
      <c r="OOT43" s="30"/>
      <c r="OOU43" s="31"/>
      <c r="OOV43" s="30"/>
      <c r="OOW43" s="31"/>
      <c r="OOX43" s="30"/>
      <c r="OOY43" s="31"/>
      <c r="OOZ43" s="30"/>
      <c r="OPA43" s="31"/>
      <c r="OPB43" s="30"/>
      <c r="OPC43" s="31"/>
      <c r="OPD43" s="30"/>
      <c r="OPE43" s="31"/>
      <c r="OPF43" s="30"/>
      <c r="OPG43" s="31"/>
      <c r="OPH43" s="30"/>
      <c r="OPI43" s="31"/>
      <c r="OPJ43" s="30"/>
      <c r="OPK43" s="31"/>
      <c r="OPL43" s="30"/>
      <c r="OPM43" s="31"/>
      <c r="OPN43" s="30"/>
      <c r="OPO43" s="31"/>
      <c r="OPP43" s="30"/>
      <c r="OPQ43" s="31"/>
      <c r="OPR43" s="30"/>
      <c r="OPS43" s="31"/>
      <c r="OPT43" s="30"/>
      <c r="OPU43" s="31"/>
      <c r="OPV43" s="30"/>
      <c r="OPW43" s="31"/>
      <c r="OPX43" s="30"/>
      <c r="OPY43" s="31"/>
      <c r="OPZ43" s="30"/>
      <c r="OQA43" s="31"/>
      <c r="OQB43" s="30"/>
      <c r="OQC43" s="31"/>
      <c r="OQD43" s="30"/>
      <c r="OQE43" s="31"/>
      <c r="OQF43" s="30"/>
      <c r="OQG43" s="31"/>
      <c r="OQH43" s="30"/>
      <c r="OQI43" s="31"/>
      <c r="OQJ43" s="30"/>
      <c r="OQK43" s="31"/>
      <c r="OQL43" s="30"/>
      <c r="OQM43" s="31"/>
      <c r="OQN43" s="30"/>
      <c r="OQO43" s="31"/>
      <c r="OQP43" s="30"/>
      <c r="OQQ43" s="31"/>
      <c r="OQR43" s="30"/>
      <c r="OQS43" s="31"/>
      <c r="OQT43" s="30"/>
      <c r="OQU43" s="31"/>
      <c r="OQV43" s="30"/>
      <c r="OQW43" s="31"/>
      <c r="OQX43" s="30"/>
      <c r="OQY43" s="31"/>
      <c r="OQZ43" s="30"/>
      <c r="ORA43" s="31"/>
      <c r="ORB43" s="30"/>
      <c r="ORC43" s="31"/>
      <c r="ORD43" s="30"/>
      <c r="ORE43" s="31"/>
      <c r="ORF43" s="30"/>
      <c r="ORG43" s="31"/>
      <c r="ORH43" s="30"/>
      <c r="ORI43" s="31"/>
      <c r="ORJ43" s="30"/>
      <c r="ORK43" s="31"/>
      <c r="ORL43" s="30"/>
      <c r="ORM43" s="31"/>
      <c r="ORN43" s="30"/>
      <c r="ORO43" s="31"/>
      <c r="ORP43" s="30"/>
      <c r="ORQ43" s="31"/>
      <c r="ORR43" s="30"/>
      <c r="ORS43" s="31"/>
      <c r="ORT43" s="30"/>
      <c r="ORU43" s="31"/>
      <c r="ORV43" s="30"/>
      <c r="ORW43" s="31"/>
      <c r="ORX43" s="30"/>
      <c r="ORY43" s="31"/>
      <c r="ORZ43" s="30"/>
      <c r="OSA43" s="31"/>
      <c r="OSB43" s="30"/>
      <c r="OSC43" s="31"/>
      <c r="OSD43" s="30"/>
      <c r="OSE43" s="31"/>
      <c r="OSF43" s="30"/>
      <c r="OSG43" s="31"/>
      <c r="OSH43" s="30"/>
      <c r="OSI43" s="31"/>
      <c r="OSJ43" s="30"/>
      <c r="OSK43" s="31"/>
      <c r="OSL43" s="30"/>
      <c r="OSM43" s="31"/>
      <c r="OSN43" s="30"/>
      <c r="OSO43" s="31"/>
      <c r="OSP43" s="30"/>
      <c r="OSQ43" s="31"/>
      <c r="OSR43" s="30"/>
      <c r="OSS43" s="31"/>
      <c r="OST43" s="30"/>
      <c r="OSU43" s="31"/>
      <c r="OSV43" s="30"/>
      <c r="OSW43" s="31"/>
      <c r="OSX43" s="30"/>
      <c r="OSY43" s="31"/>
      <c r="OSZ43" s="30"/>
      <c r="OTA43" s="31"/>
      <c r="OTB43" s="30"/>
      <c r="OTC43" s="31"/>
      <c r="OTD43" s="30"/>
      <c r="OTE43" s="31"/>
      <c r="OTF43" s="30"/>
      <c r="OTG43" s="31"/>
      <c r="OTH43" s="30"/>
      <c r="OTI43" s="31"/>
      <c r="OTJ43" s="30"/>
      <c r="OTK43" s="31"/>
      <c r="OTL43" s="30"/>
      <c r="OTM43" s="31"/>
      <c r="OTN43" s="30"/>
      <c r="OTO43" s="31"/>
      <c r="OTP43" s="30"/>
      <c r="OTQ43" s="31"/>
      <c r="OTR43" s="30"/>
      <c r="OTS43" s="31"/>
      <c r="OTT43" s="30"/>
      <c r="OTU43" s="31"/>
      <c r="OTV43" s="30"/>
      <c r="OTW43" s="31"/>
      <c r="OTX43" s="30"/>
      <c r="OTY43" s="31"/>
      <c r="OTZ43" s="30"/>
      <c r="OUA43" s="31"/>
      <c r="OUB43" s="30"/>
      <c r="OUC43" s="31"/>
      <c r="OUD43" s="30"/>
      <c r="OUE43" s="31"/>
      <c r="OUF43" s="30"/>
      <c r="OUG43" s="31"/>
      <c r="OUH43" s="30"/>
      <c r="OUI43" s="31"/>
      <c r="OUJ43" s="30"/>
      <c r="OUK43" s="31"/>
      <c r="OUL43" s="30"/>
      <c r="OUM43" s="31"/>
      <c r="OUN43" s="30"/>
      <c r="OUO43" s="31"/>
      <c r="OUP43" s="30"/>
      <c r="OUQ43" s="31"/>
      <c r="OUR43" s="30"/>
      <c r="OUS43" s="31"/>
      <c r="OUT43" s="30"/>
      <c r="OUU43" s="31"/>
      <c r="OUV43" s="30"/>
      <c r="OUW43" s="31"/>
      <c r="OUX43" s="30"/>
      <c r="OUY43" s="31"/>
      <c r="OUZ43" s="30"/>
      <c r="OVA43" s="31"/>
      <c r="OVB43" s="30"/>
      <c r="OVC43" s="31"/>
      <c r="OVD43" s="30"/>
      <c r="OVE43" s="31"/>
      <c r="OVF43" s="30"/>
      <c r="OVG43" s="31"/>
      <c r="OVH43" s="30"/>
      <c r="OVI43" s="31"/>
      <c r="OVJ43" s="30"/>
      <c r="OVK43" s="31"/>
      <c r="OVL43" s="30"/>
      <c r="OVM43" s="31"/>
      <c r="OVN43" s="30"/>
      <c r="OVO43" s="31"/>
      <c r="OVP43" s="30"/>
      <c r="OVQ43" s="31"/>
      <c r="OVR43" s="30"/>
      <c r="OVS43" s="31"/>
      <c r="OVT43" s="30"/>
      <c r="OVU43" s="31"/>
      <c r="OVV43" s="30"/>
      <c r="OVW43" s="31"/>
      <c r="OVX43" s="30"/>
      <c r="OVY43" s="31"/>
      <c r="OVZ43" s="30"/>
      <c r="OWA43" s="31"/>
      <c r="OWB43" s="30"/>
      <c r="OWC43" s="31"/>
      <c r="OWD43" s="30"/>
      <c r="OWE43" s="31"/>
      <c r="OWF43" s="30"/>
      <c r="OWG43" s="31"/>
      <c r="OWH43" s="30"/>
      <c r="OWI43" s="31"/>
      <c r="OWJ43" s="30"/>
      <c r="OWK43" s="31"/>
      <c r="OWL43" s="30"/>
      <c r="OWM43" s="31"/>
      <c r="OWN43" s="30"/>
      <c r="OWO43" s="31"/>
      <c r="OWP43" s="30"/>
      <c r="OWQ43" s="31"/>
      <c r="OWR43" s="30"/>
      <c r="OWS43" s="31"/>
      <c r="OWT43" s="30"/>
      <c r="OWU43" s="31"/>
      <c r="OWV43" s="30"/>
      <c r="OWW43" s="31"/>
      <c r="OWX43" s="30"/>
      <c r="OWY43" s="31"/>
      <c r="OWZ43" s="30"/>
      <c r="OXA43" s="31"/>
      <c r="OXB43" s="30"/>
      <c r="OXC43" s="31"/>
      <c r="OXD43" s="30"/>
      <c r="OXE43" s="31"/>
      <c r="OXF43" s="30"/>
      <c r="OXG43" s="31"/>
      <c r="OXH43" s="30"/>
      <c r="OXI43" s="31"/>
      <c r="OXJ43" s="30"/>
      <c r="OXK43" s="31"/>
      <c r="OXL43" s="30"/>
      <c r="OXM43" s="31"/>
      <c r="OXN43" s="30"/>
      <c r="OXO43" s="31"/>
      <c r="OXP43" s="30"/>
      <c r="OXQ43" s="31"/>
      <c r="OXR43" s="30"/>
      <c r="OXS43" s="31"/>
      <c r="OXT43" s="30"/>
      <c r="OXU43" s="31"/>
      <c r="OXV43" s="30"/>
      <c r="OXW43" s="31"/>
      <c r="OXX43" s="30"/>
      <c r="OXY43" s="31"/>
      <c r="OXZ43" s="30"/>
      <c r="OYA43" s="31"/>
      <c r="OYB43" s="30"/>
      <c r="OYC43" s="31"/>
      <c r="OYD43" s="30"/>
      <c r="OYE43" s="31"/>
      <c r="OYF43" s="30"/>
      <c r="OYG43" s="31"/>
      <c r="OYH43" s="30"/>
      <c r="OYI43" s="31"/>
      <c r="OYJ43" s="30"/>
      <c r="OYK43" s="31"/>
      <c r="OYL43" s="30"/>
      <c r="OYM43" s="31"/>
      <c r="OYN43" s="30"/>
      <c r="OYO43" s="31"/>
      <c r="OYP43" s="30"/>
      <c r="OYQ43" s="31"/>
      <c r="OYR43" s="30"/>
      <c r="OYS43" s="31"/>
      <c r="OYT43" s="30"/>
      <c r="OYU43" s="31"/>
      <c r="OYV43" s="30"/>
      <c r="OYW43" s="31"/>
      <c r="OYX43" s="30"/>
      <c r="OYY43" s="31"/>
      <c r="OYZ43" s="30"/>
      <c r="OZA43" s="31"/>
      <c r="OZB43" s="30"/>
      <c r="OZC43" s="31"/>
      <c r="OZD43" s="30"/>
      <c r="OZE43" s="31"/>
      <c r="OZF43" s="30"/>
      <c r="OZG43" s="31"/>
      <c r="OZH43" s="30"/>
      <c r="OZI43" s="31"/>
      <c r="OZJ43" s="30"/>
      <c r="OZK43" s="31"/>
      <c r="OZL43" s="30"/>
      <c r="OZM43" s="31"/>
      <c r="OZN43" s="30"/>
      <c r="OZO43" s="31"/>
      <c r="OZP43" s="30"/>
      <c r="OZQ43" s="31"/>
      <c r="OZR43" s="30"/>
      <c r="OZS43" s="31"/>
      <c r="OZT43" s="30"/>
      <c r="OZU43" s="31"/>
      <c r="OZV43" s="30"/>
      <c r="OZW43" s="31"/>
      <c r="OZX43" s="30"/>
      <c r="OZY43" s="31"/>
      <c r="OZZ43" s="30"/>
      <c r="PAA43" s="31"/>
      <c r="PAB43" s="30"/>
      <c r="PAC43" s="31"/>
      <c r="PAD43" s="30"/>
      <c r="PAE43" s="31"/>
      <c r="PAF43" s="30"/>
      <c r="PAG43" s="31"/>
      <c r="PAH43" s="30"/>
      <c r="PAI43" s="31"/>
      <c r="PAJ43" s="30"/>
      <c r="PAK43" s="31"/>
      <c r="PAL43" s="30"/>
      <c r="PAM43" s="31"/>
      <c r="PAN43" s="30"/>
      <c r="PAO43" s="31"/>
      <c r="PAP43" s="30"/>
      <c r="PAQ43" s="31"/>
      <c r="PAR43" s="30"/>
      <c r="PAS43" s="31"/>
      <c r="PAT43" s="30"/>
      <c r="PAU43" s="31"/>
      <c r="PAV43" s="30"/>
      <c r="PAW43" s="31"/>
      <c r="PAX43" s="30"/>
      <c r="PAY43" s="31"/>
      <c r="PAZ43" s="30"/>
      <c r="PBA43" s="31"/>
      <c r="PBB43" s="30"/>
      <c r="PBC43" s="31"/>
      <c r="PBD43" s="30"/>
      <c r="PBE43" s="31"/>
      <c r="PBF43" s="30"/>
      <c r="PBG43" s="31"/>
      <c r="PBH43" s="30"/>
      <c r="PBI43" s="31"/>
      <c r="PBJ43" s="30"/>
      <c r="PBK43" s="31"/>
      <c r="PBL43" s="30"/>
      <c r="PBM43" s="31"/>
      <c r="PBN43" s="30"/>
      <c r="PBO43" s="31"/>
      <c r="PBP43" s="30"/>
      <c r="PBQ43" s="31"/>
      <c r="PBR43" s="30"/>
      <c r="PBS43" s="31"/>
      <c r="PBT43" s="30"/>
      <c r="PBU43" s="31"/>
      <c r="PBV43" s="30"/>
      <c r="PBW43" s="31"/>
      <c r="PBX43" s="30"/>
      <c r="PBY43" s="31"/>
      <c r="PBZ43" s="30"/>
      <c r="PCA43" s="31"/>
      <c r="PCB43" s="30"/>
      <c r="PCC43" s="31"/>
      <c r="PCD43" s="30"/>
      <c r="PCE43" s="31"/>
      <c r="PCF43" s="30"/>
      <c r="PCG43" s="31"/>
      <c r="PCH43" s="30"/>
      <c r="PCI43" s="31"/>
      <c r="PCJ43" s="30"/>
      <c r="PCK43" s="31"/>
      <c r="PCL43" s="30"/>
      <c r="PCM43" s="31"/>
      <c r="PCN43" s="30"/>
      <c r="PCO43" s="31"/>
      <c r="PCP43" s="30"/>
      <c r="PCQ43" s="31"/>
      <c r="PCR43" s="30"/>
      <c r="PCS43" s="31"/>
      <c r="PCT43" s="30"/>
      <c r="PCU43" s="31"/>
      <c r="PCV43" s="30"/>
      <c r="PCW43" s="31"/>
      <c r="PCX43" s="30"/>
      <c r="PCY43" s="31"/>
      <c r="PCZ43" s="30"/>
      <c r="PDA43" s="31"/>
      <c r="PDB43" s="30"/>
      <c r="PDC43" s="31"/>
      <c r="PDD43" s="30"/>
      <c r="PDE43" s="31"/>
      <c r="PDF43" s="30"/>
      <c r="PDG43" s="31"/>
      <c r="PDH43" s="30"/>
      <c r="PDI43" s="31"/>
      <c r="PDJ43" s="30"/>
      <c r="PDK43" s="31"/>
      <c r="PDL43" s="30"/>
      <c r="PDM43" s="31"/>
      <c r="PDN43" s="30"/>
      <c r="PDO43" s="31"/>
      <c r="PDP43" s="30"/>
      <c r="PDQ43" s="31"/>
      <c r="PDR43" s="30"/>
      <c r="PDS43" s="31"/>
      <c r="PDT43" s="30"/>
      <c r="PDU43" s="31"/>
      <c r="PDV43" s="30"/>
      <c r="PDW43" s="31"/>
      <c r="PDX43" s="30"/>
      <c r="PDY43" s="31"/>
      <c r="PDZ43" s="30"/>
      <c r="PEA43" s="31"/>
      <c r="PEB43" s="30"/>
      <c r="PEC43" s="31"/>
      <c r="PED43" s="30"/>
      <c r="PEE43" s="31"/>
      <c r="PEF43" s="30"/>
      <c r="PEG43" s="31"/>
      <c r="PEH43" s="30"/>
      <c r="PEI43" s="31"/>
      <c r="PEJ43" s="30"/>
      <c r="PEK43" s="31"/>
      <c r="PEL43" s="30"/>
      <c r="PEM43" s="31"/>
      <c r="PEN43" s="30"/>
      <c r="PEO43" s="31"/>
      <c r="PEP43" s="30"/>
      <c r="PEQ43" s="31"/>
      <c r="PER43" s="30"/>
      <c r="PES43" s="31"/>
      <c r="PET43" s="30"/>
      <c r="PEU43" s="31"/>
      <c r="PEV43" s="30"/>
      <c r="PEW43" s="31"/>
      <c r="PEX43" s="30"/>
      <c r="PEY43" s="31"/>
      <c r="PEZ43" s="30"/>
      <c r="PFA43" s="31"/>
      <c r="PFB43" s="30"/>
      <c r="PFC43" s="31"/>
      <c r="PFD43" s="30"/>
      <c r="PFE43" s="31"/>
      <c r="PFF43" s="30"/>
      <c r="PFG43" s="31"/>
      <c r="PFH43" s="30"/>
      <c r="PFI43" s="31"/>
      <c r="PFJ43" s="30"/>
      <c r="PFK43" s="31"/>
      <c r="PFL43" s="30"/>
      <c r="PFM43" s="31"/>
      <c r="PFN43" s="30"/>
      <c r="PFO43" s="31"/>
      <c r="PFP43" s="30"/>
      <c r="PFQ43" s="31"/>
      <c r="PFR43" s="30"/>
      <c r="PFS43" s="31"/>
      <c r="PFT43" s="30"/>
      <c r="PFU43" s="31"/>
      <c r="PFV43" s="30"/>
      <c r="PFW43" s="31"/>
      <c r="PFX43" s="30"/>
      <c r="PFY43" s="31"/>
      <c r="PFZ43" s="30"/>
      <c r="PGA43" s="31"/>
      <c r="PGB43" s="30"/>
      <c r="PGC43" s="31"/>
      <c r="PGD43" s="30"/>
      <c r="PGE43" s="31"/>
      <c r="PGF43" s="30"/>
      <c r="PGG43" s="31"/>
      <c r="PGH43" s="30"/>
      <c r="PGI43" s="31"/>
      <c r="PGJ43" s="30"/>
      <c r="PGK43" s="31"/>
      <c r="PGL43" s="30"/>
      <c r="PGM43" s="31"/>
      <c r="PGN43" s="30"/>
      <c r="PGO43" s="31"/>
      <c r="PGP43" s="30"/>
      <c r="PGQ43" s="31"/>
      <c r="PGR43" s="30"/>
      <c r="PGS43" s="31"/>
      <c r="PGT43" s="30"/>
      <c r="PGU43" s="31"/>
      <c r="PGV43" s="30"/>
      <c r="PGW43" s="31"/>
      <c r="PGX43" s="30"/>
      <c r="PGY43" s="31"/>
      <c r="PGZ43" s="30"/>
      <c r="PHA43" s="31"/>
      <c r="PHB43" s="30"/>
      <c r="PHC43" s="31"/>
      <c r="PHD43" s="30"/>
      <c r="PHE43" s="31"/>
      <c r="PHF43" s="30"/>
      <c r="PHG43" s="31"/>
      <c r="PHH43" s="30"/>
      <c r="PHI43" s="31"/>
      <c r="PHJ43" s="30"/>
      <c r="PHK43" s="31"/>
      <c r="PHL43" s="30"/>
      <c r="PHM43" s="31"/>
      <c r="PHN43" s="30"/>
      <c r="PHO43" s="31"/>
      <c r="PHP43" s="30"/>
      <c r="PHQ43" s="31"/>
      <c r="PHR43" s="30"/>
      <c r="PHS43" s="31"/>
      <c r="PHT43" s="30"/>
      <c r="PHU43" s="31"/>
      <c r="PHV43" s="30"/>
      <c r="PHW43" s="31"/>
      <c r="PHX43" s="30"/>
      <c r="PHY43" s="31"/>
      <c r="PHZ43" s="30"/>
      <c r="PIA43" s="31"/>
      <c r="PIB43" s="30"/>
      <c r="PIC43" s="31"/>
      <c r="PID43" s="30"/>
      <c r="PIE43" s="31"/>
      <c r="PIF43" s="30"/>
      <c r="PIG43" s="31"/>
      <c r="PIH43" s="30"/>
      <c r="PII43" s="31"/>
      <c r="PIJ43" s="30"/>
      <c r="PIK43" s="31"/>
      <c r="PIL43" s="30"/>
      <c r="PIM43" s="31"/>
      <c r="PIN43" s="30"/>
      <c r="PIO43" s="31"/>
      <c r="PIP43" s="30"/>
      <c r="PIQ43" s="31"/>
      <c r="PIR43" s="30"/>
      <c r="PIS43" s="31"/>
      <c r="PIT43" s="30"/>
      <c r="PIU43" s="31"/>
      <c r="PIV43" s="30"/>
      <c r="PIW43" s="31"/>
      <c r="PIX43" s="30"/>
      <c r="PIY43" s="31"/>
      <c r="PIZ43" s="30"/>
      <c r="PJA43" s="31"/>
      <c r="PJB43" s="30"/>
      <c r="PJC43" s="31"/>
      <c r="PJD43" s="30"/>
      <c r="PJE43" s="31"/>
      <c r="PJF43" s="30"/>
      <c r="PJG43" s="31"/>
      <c r="PJH43" s="30"/>
      <c r="PJI43" s="31"/>
      <c r="PJJ43" s="30"/>
      <c r="PJK43" s="31"/>
      <c r="PJL43" s="30"/>
      <c r="PJM43" s="31"/>
      <c r="PJN43" s="30"/>
      <c r="PJO43" s="31"/>
      <c r="PJP43" s="30"/>
      <c r="PJQ43" s="31"/>
      <c r="PJR43" s="30"/>
      <c r="PJS43" s="31"/>
      <c r="PJT43" s="30"/>
      <c r="PJU43" s="31"/>
      <c r="PJV43" s="30"/>
      <c r="PJW43" s="31"/>
      <c r="PJX43" s="30"/>
      <c r="PJY43" s="31"/>
      <c r="PJZ43" s="30"/>
      <c r="PKA43" s="31"/>
      <c r="PKB43" s="30"/>
      <c r="PKC43" s="31"/>
      <c r="PKD43" s="30"/>
      <c r="PKE43" s="31"/>
      <c r="PKF43" s="30"/>
      <c r="PKG43" s="31"/>
      <c r="PKH43" s="30"/>
      <c r="PKI43" s="31"/>
      <c r="PKJ43" s="30"/>
      <c r="PKK43" s="31"/>
      <c r="PKL43" s="30"/>
      <c r="PKM43" s="31"/>
      <c r="PKN43" s="30"/>
      <c r="PKO43" s="31"/>
      <c r="PKP43" s="30"/>
      <c r="PKQ43" s="31"/>
      <c r="PKR43" s="30"/>
      <c r="PKS43" s="31"/>
      <c r="PKT43" s="30"/>
      <c r="PKU43" s="31"/>
      <c r="PKV43" s="30"/>
      <c r="PKW43" s="31"/>
      <c r="PKX43" s="30"/>
      <c r="PKY43" s="31"/>
      <c r="PKZ43" s="30"/>
      <c r="PLA43" s="31"/>
      <c r="PLB43" s="30"/>
      <c r="PLC43" s="31"/>
      <c r="PLD43" s="30"/>
      <c r="PLE43" s="31"/>
      <c r="PLF43" s="30"/>
      <c r="PLG43" s="31"/>
      <c r="PLH43" s="30"/>
      <c r="PLI43" s="31"/>
      <c r="PLJ43" s="30"/>
      <c r="PLK43" s="31"/>
      <c r="PLL43" s="30"/>
      <c r="PLM43" s="31"/>
      <c r="PLN43" s="30"/>
      <c r="PLO43" s="31"/>
      <c r="PLP43" s="30"/>
      <c r="PLQ43" s="31"/>
      <c r="PLR43" s="30"/>
      <c r="PLS43" s="31"/>
      <c r="PLT43" s="30"/>
      <c r="PLU43" s="31"/>
      <c r="PLV43" s="30"/>
      <c r="PLW43" s="31"/>
      <c r="PLX43" s="30"/>
      <c r="PLY43" s="31"/>
      <c r="PLZ43" s="30"/>
      <c r="PMA43" s="31"/>
      <c r="PMB43" s="30"/>
      <c r="PMC43" s="31"/>
      <c r="PMD43" s="30"/>
      <c r="PME43" s="31"/>
      <c r="PMF43" s="30"/>
      <c r="PMG43" s="31"/>
      <c r="PMH43" s="30"/>
      <c r="PMI43" s="31"/>
      <c r="PMJ43" s="30"/>
      <c r="PMK43" s="31"/>
      <c r="PML43" s="30"/>
      <c r="PMM43" s="31"/>
      <c r="PMN43" s="30"/>
      <c r="PMO43" s="31"/>
      <c r="PMP43" s="30"/>
      <c r="PMQ43" s="31"/>
      <c r="PMR43" s="30"/>
      <c r="PMS43" s="31"/>
      <c r="PMT43" s="30"/>
      <c r="PMU43" s="31"/>
      <c r="PMV43" s="30"/>
      <c r="PMW43" s="31"/>
      <c r="PMX43" s="30"/>
      <c r="PMY43" s="31"/>
      <c r="PMZ43" s="30"/>
      <c r="PNA43" s="31"/>
      <c r="PNB43" s="30"/>
      <c r="PNC43" s="31"/>
      <c r="PND43" s="30"/>
      <c r="PNE43" s="31"/>
      <c r="PNF43" s="30"/>
      <c r="PNG43" s="31"/>
      <c r="PNH43" s="30"/>
      <c r="PNI43" s="31"/>
      <c r="PNJ43" s="30"/>
      <c r="PNK43" s="31"/>
      <c r="PNL43" s="30"/>
      <c r="PNM43" s="31"/>
      <c r="PNN43" s="30"/>
      <c r="PNO43" s="31"/>
      <c r="PNP43" s="30"/>
      <c r="PNQ43" s="31"/>
      <c r="PNR43" s="30"/>
      <c r="PNS43" s="31"/>
      <c r="PNT43" s="30"/>
      <c r="PNU43" s="31"/>
      <c r="PNV43" s="30"/>
      <c r="PNW43" s="31"/>
      <c r="PNX43" s="30"/>
      <c r="PNY43" s="31"/>
      <c r="PNZ43" s="30"/>
      <c r="POA43" s="31"/>
      <c r="POB43" s="30"/>
      <c r="POC43" s="31"/>
      <c r="POD43" s="30"/>
      <c r="POE43" s="31"/>
      <c r="POF43" s="30"/>
      <c r="POG43" s="31"/>
      <c r="POH43" s="30"/>
      <c r="POI43" s="31"/>
      <c r="POJ43" s="30"/>
      <c r="POK43" s="31"/>
      <c r="POL43" s="30"/>
      <c r="POM43" s="31"/>
      <c r="PON43" s="30"/>
      <c r="POO43" s="31"/>
      <c r="POP43" s="30"/>
      <c r="POQ43" s="31"/>
      <c r="POR43" s="30"/>
      <c r="POS43" s="31"/>
      <c r="POT43" s="30"/>
      <c r="POU43" s="31"/>
      <c r="POV43" s="30"/>
      <c r="POW43" s="31"/>
      <c r="POX43" s="30"/>
      <c r="POY43" s="31"/>
      <c r="POZ43" s="30"/>
      <c r="PPA43" s="31"/>
      <c r="PPB43" s="30"/>
      <c r="PPC43" s="31"/>
      <c r="PPD43" s="30"/>
      <c r="PPE43" s="31"/>
      <c r="PPF43" s="30"/>
      <c r="PPG43" s="31"/>
      <c r="PPH43" s="30"/>
      <c r="PPI43" s="31"/>
      <c r="PPJ43" s="30"/>
      <c r="PPK43" s="31"/>
      <c r="PPL43" s="30"/>
      <c r="PPM43" s="31"/>
      <c r="PPN43" s="30"/>
      <c r="PPO43" s="31"/>
      <c r="PPP43" s="30"/>
      <c r="PPQ43" s="31"/>
      <c r="PPR43" s="30"/>
      <c r="PPS43" s="31"/>
      <c r="PPT43" s="30"/>
      <c r="PPU43" s="31"/>
      <c r="PPV43" s="30"/>
      <c r="PPW43" s="31"/>
      <c r="PPX43" s="30"/>
      <c r="PPY43" s="31"/>
      <c r="PPZ43" s="30"/>
      <c r="PQA43" s="31"/>
      <c r="PQB43" s="30"/>
      <c r="PQC43" s="31"/>
      <c r="PQD43" s="30"/>
      <c r="PQE43" s="31"/>
      <c r="PQF43" s="30"/>
      <c r="PQG43" s="31"/>
      <c r="PQH43" s="30"/>
      <c r="PQI43" s="31"/>
      <c r="PQJ43" s="30"/>
      <c r="PQK43" s="31"/>
      <c r="PQL43" s="30"/>
      <c r="PQM43" s="31"/>
      <c r="PQN43" s="30"/>
      <c r="PQO43" s="31"/>
      <c r="PQP43" s="30"/>
      <c r="PQQ43" s="31"/>
      <c r="PQR43" s="30"/>
      <c r="PQS43" s="31"/>
      <c r="PQT43" s="30"/>
      <c r="PQU43" s="31"/>
      <c r="PQV43" s="30"/>
      <c r="PQW43" s="31"/>
      <c r="PQX43" s="30"/>
      <c r="PQY43" s="31"/>
      <c r="PQZ43" s="30"/>
      <c r="PRA43" s="31"/>
      <c r="PRB43" s="30"/>
      <c r="PRC43" s="31"/>
      <c r="PRD43" s="30"/>
      <c r="PRE43" s="31"/>
      <c r="PRF43" s="30"/>
      <c r="PRG43" s="31"/>
      <c r="PRH43" s="30"/>
      <c r="PRI43" s="31"/>
      <c r="PRJ43" s="30"/>
      <c r="PRK43" s="31"/>
      <c r="PRL43" s="30"/>
      <c r="PRM43" s="31"/>
      <c r="PRN43" s="30"/>
      <c r="PRO43" s="31"/>
      <c r="PRP43" s="30"/>
      <c r="PRQ43" s="31"/>
      <c r="PRR43" s="30"/>
      <c r="PRS43" s="31"/>
      <c r="PRT43" s="30"/>
      <c r="PRU43" s="31"/>
      <c r="PRV43" s="30"/>
      <c r="PRW43" s="31"/>
      <c r="PRX43" s="30"/>
      <c r="PRY43" s="31"/>
      <c r="PRZ43" s="30"/>
      <c r="PSA43" s="31"/>
      <c r="PSB43" s="30"/>
      <c r="PSC43" s="31"/>
      <c r="PSD43" s="30"/>
      <c r="PSE43" s="31"/>
      <c r="PSF43" s="30"/>
      <c r="PSG43" s="31"/>
      <c r="PSH43" s="30"/>
      <c r="PSI43" s="31"/>
      <c r="PSJ43" s="30"/>
      <c r="PSK43" s="31"/>
      <c r="PSL43" s="30"/>
      <c r="PSM43" s="31"/>
      <c r="PSN43" s="30"/>
      <c r="PSO43" s="31"/>
      <c r="PSP43" s="30"/>
      <c r="PSQ43" s="31"/>
      <c r="PSR43" s="30"/>
      <c r="PSS43" s="31"/>
      <c r="PST43" s="30"/>
      <c r="PSU43" s="31"/>
      <c r="PSV43" s="30"/>
      <c r="PSW43" s="31"/>
      <c r="PSX43" s="30"/>
      <c r="PSY43" s="31"/>
      <c r="PSZ43" s="30"/>
      <c r="PTA43" s="31"/>
      <c r="PTB43" s="30"/>
      <c r="PTC43" s="31"/>
      <c r="PTD43" s="30"/>
      <c r="PTE43" s="31"/>
      <c r="PTF43" s="30"/>
      <c r="PTG43" s="31"/>
      <c r="PTH43" s="30"/>
      <c r="PTI43" s="31"/>
      <c r="PTJ43" s="30"/>
      <c r="PTK43" s="31"/>
      <c r="PTL43" s="30"/>
      <c r="PTM43" s="31"/>
      <c r="PTN43" s="30"/>
      <c r="PTO43" s="31"/>
      <c r="PTP43" s="30"/>
      <c r="PTQ43" s="31"/>
      <c r="PTR43" s="30"/>
      <c r="PTS43" s="31"/>
      <c r="PTT43" s="30"/>
      <c r="PTU43" s="31"/>
      <c r="PTV43" s="30"/>
      <c r="PTW43" s="31"/>
      <c r="PTX43" s="30"/>
      <c r="PTY43" s="31"/>
      <c r="PTZ43" s="30"/>
      <c r="PUA43" s="31"/>
      <c r="PUB43" s="30"/>
      <c r="PUC43" s="31"/>
      <c r="PUD43" s="30"/>
      <c r="PUE43" s="31"/>
      <c r="PUF43" s="30"/>
      <c r="PUG43" s="31"/>
      <c r="PUH43" s="30"/>
      <c r="PUI43" s="31"/>
      <c r="PUJ43" s="30"/>
      <c r="PUK43" s="31"/>
      <c r="PUL43" s="30"/>
      <c r="PUM43" s="31"/>
      <c r="PUN43" s="30"/>
      <c r="PUO43" s="31"/>
      <c r="PUP43" s="30"/>
      <c r="PUQ43" s="31"/>
      <c r="PUR43" s="30"/>
      <c r="PUS43" s="31"/>
      <c r="PUT43" s="30"/>
      <c r="PUU43" s="31"/>
      <c r="PUV43" s="30"/>
      <c r="PUW43" s="31"/>
      <c r="PUX43" s="30"/>
      <c r="PUY43" s="31"/>
      <c r="PUZ43" s="30"/>
      <c r="PVA43" s="31"/>
      <c r="PVB43" s="30"/>
      <c r="PVC43" s="31"/>
      <c r="PVD43" s="30"/>
      <c r="PVE43" s="31"/>
      <c r="PVF43" s="30"/>
      <c r="PVG43" s="31"/>
      <c r="PVH43" s="30"/>
      <c r="PVI43" s="31"/>
      <c r="PVJ43" s="30"/>
      <c r="PVK43" s="31"/>
      <c r="PVL43" s="30"/>
      <c r="PVM43" s="31"/>
      <c r="PVN43" s="30"/>
      <c r="PVO43" s="31"/>
      <c r="PVP43" s="30"/>
      <c r="PVQ43" s="31"/>
      <c r="PVR43" s="30"/>
      <c r="PVS43" s="31"/>
      <c r="PVT43" s="30"/>
      <c r="PVU43" s="31"/>
      <c r="PVV43" s="30"/>
      <c r="PVW43" s="31"/>
      <c r="PVX43" s="30"/>
      <c r="PVY43" s="31"/>
      <c r="PVZ43" s="30"/>
      <c r="PWA43" s="31"/>
      <c r="PWB43" s="30"/>
      <c r="PWC43" s="31"/>
      <c r="PWD43" s="30"/>
      <c r="PWE43" s="31"/>
      <c r="PWF43" s="30"/>
      <c r="PWG43" s="31"/>
      <c r="PWH43" s="30"/>
      <c r="PWI43" s="31"/>
      <c r="PWJ43" s="30"/>
      <c r="PWK43" s="31"/>
      <c r="PWL43" s="30"/>
      <c r="PWM43" s="31"/>
      <c r="PWN43" s="30"/>
      <c r="PWO43" s="31"/>
      <c r="PWP43" s="30"/>
      <c r="PWQ43" s="31"/>
      <c r="PWR43" s="30"/>
      <c r="PWS43" s="31"/>
      <c r="PWT43" s="30"/>
      <c r="PWU43" s="31"/>
      <c r="PWV43" s="30"/>
      <c r="PWW43" s="31"/>
      <c r="PWX43" s="30"/>
      <c r="PWY43" s="31"/>
      <c r="PWZ43" s="30"/>
      <c r="PXA43" s="31"/>
      <c r="PXB43" s="30"/>
      <c r="PXC43" s="31"/>
      <c r="PXD43" s="30"/>
      <c r="PXE43" s="31"/>
      <c r="PXF43" s="30"/>
      <c r="PXG43" s="31"/>
      <c r="PXH43" s="30"/>
      <c r="PXI43" s="31"/>
      <c r="PXJ43" s="30"/>
      <c r="PXK43" s="31"/>
      <c r="PXL43" s="30"/>
      <c r="PXM43" s="31"/>
      <c r="PXN43" s="30"/>
      <c r="PXO43" s="31"/>
      <c r="PXP43" s="30"/>
      <c r="PXQ43" s="31"/>
      <c r="PXR43" s="30"/>
      <c r="PXS43" s="31"/>
      <c r="PXT43" s="30"/>
      <c r="PXU43" s="31"/>
      <c r="PXV43" s="30"/>
      <c r="PXW43" s="31"/>
      <c r="PXX43" s="30"/>
      <c r="PXY43" s="31"/>
      <c r="PXZ43" s="30"/>
      <c r="PYA43" s="31"/>
      <c r="PYB43" s="30"/>
      <c r="PYC43" s="31"/>
      <c r="PYD43" s="30"/>
      <c r="PYE43" s="31"/>
      <c r="PYF43" s="30"/>
      <c r="PYG43" s="31"/>
      <c r="PYH43" s="30"/>
      <c r="PYI43" s="31"/>
      <c r="PYJ43" s="30"/>
      <c r="PYK43" s="31"/>
      <c r="PYL43" s="30"/>
      <c r="PYM43" s="31"/>
      <c r="PYN43" s="30"/>
      <c r="PYO43" s="31"/>
      <c r="PYP43" s="30"/>
      <c r="PYQ43" s="31"/>
      <c r="PYR43" s="30"/>
      <c r="PYS43" s="31"/>
      <c r="PYT43" s="30"/>
      <c r="PYU43" s="31"/>
      <c r="PYV43" s="30"/>
      <c r="PYW43" s="31"/>
      <c r="PYX43" s="30"/>
      <c r="PYY43" s="31"/>
      <c r="PYZ43" s="30"/>
      <c r="PZA43" s="31"/>
      <c r="PZB43" s="30"/>
      <c r="PZC43" s="31"/>
      <c r="PZD43" s="30"/>
      <c r="PZE43" s="31"/>
      <c r="PZF43" s="30"/>
      <c r="PZG43" s="31"/>
      <c r="PZH43" s="30"/>
      <c r="PZI43" s="31"/>
      <c r="PZJ43" s="30"/>
      <c r="PZK43" s="31"/>
      <c r="PZL43" s="30"/>
      <c r="PZM43" s="31"/>
      <c r="PZN43" s="30"/>
      <c r="PZO43" s="31"/>
      <c r="PZP43" s="30"/>
      <c r="PZQ43" s="31"/>
      <c r="PZR43" s="30"/>
      <c r="PZS43" s="31"/>
      <c r="PZT43" s="30"/>
      <c r="PZU43" s="31"/>
      <c r="PZV43" s="30"/>
      <c r="PZW43" s="31"/>
      <c r="PZX43" s="30"/>
      <c r="PZY43" s="31"/>
      <c r="PZZ43" s="30"/>
      <c r="QAA43" s="31"/>
      <c r="QAB43" s="30"/>
      <c r="QAC43" s="31"/>
      <c r="QAD43" s="30"/>
      <c r="QAE43" s="31"/>
      <c r="QAF43" s="30"/>
      <c r="QAG43" s="31"/>
      <c r="QAH43" s="30"/>
      <c r="QAI43" s="31"/>
      <c r="QAJ43" s="30"/>
      <c r="QAK43" s="31"/>
      <c r="QAL43" s="30"/>
      <c r="QAM43" s="31"/>
      <c r="QAN43" s="30"/>
      <c r="QAO43" s="31"/>
      <c r="QAP43" s="30"/>
      <c r="QAQ43" s="31"/>
      <c r="QAR43" s="30"/>
      <c r="QAS43" s="31"/>
      <c r="QAT43" s="30"/>
      <c r="QAU43" s="31"/>
      <c r="QAV43" s="30"/>
      <c r="QAW43" s="31"/>
      <c r="QAX43" s="30"/>
      <c r="QAY43" s="31"/>
      <c r="QAZ43" s="30"/>
      <c r="QBA43" s="31"/>
      <c r="QBB43" s="30"/>
      <c r="QBC43" s="31"/>
      <c r="QBD43" s="30"/>
      <c r="QBE43" s="31"/>
      <c r="QBF43" s="30"/>
      <c r="QBG43" s="31"/>
      <c r="QBH43" s="30"/>
      <c r="QBI43" s="31"/>
      <c r="QBJ43" s="30"/>
      <c r="QBK43" s="31"/>
      <c r="QBL43" s="30"/>
      <c r="QBM43" s="31"/>
      <c r="QBN43" s="30"/>
      <c r="QBO43" s="31"/>
      <c r="QBP43" s="30"/>
      <c r="QBQ43" s="31"/>
      <c r="QBR43" s="30"/>
      <c r="QBS43" s="31"/>
      <c r="QBT43" s="30"/>
      <c r="QBU43" s="31"/>
      <c r="QBV43" s="30"/>
      <c r="QBW43" s="31"/>
      <c r="QBX43" s="30"/>
      <c r="QBY43" s="31"/>
      <c r="QBZ43" s="30"/>
      <c r="QCA43" s="31"/>
      <c r="QCB43" s="30"/>
      <c r="QCC43" s="31"/>
      <c r="QCD43" s="30"/>
      <c r="QCE43" s="31"/>
      <c r="QCF43" s="30"/>
      <c r="QCG43" s="31"/>
      <c r="QCH43" s="30"/>
      <c r="QCI43" s="31"/>
      <c r="QCJ43" s="30"/>
      <c r="QCK43" s="31"/>
      <c r="QCL43" s="30"/>
      <c r="QCM43" s="31"/>
      <c r="QCN43" s="30"/>
      <c r="QCO43" s="31"/>
      <c r="QCP43" s="30"/>
      <c r="QCQ43" s="31"/>
      <c r="QCR43" s="30"/>
      <c r="QCS43" s="31"/>
      <c r="QCT43" s="30"/>
      <c r="QCU43" s="31"/>
      <c r="QCV43" s="30"/>
      <c r="QCW43" s="31"/>
      <c r="QCX43" s="30"/>
      <c r="QCY43" s="31"/>
      <c r="QCZ43" s="30"/>
      <c r="QDA43" s="31"/>
      <c r="QDB43" s="30"/>
      <c r="QDC43" s="31"/>
      <c r="QDD43" s="30"/>
      <c r="QDE43" s="31"/>
      <c r="QDF43" s="30"/>
      <c r="QDG43" s="31"/>
      <c r="QDH43" s="30"/>
      <c r="QDI43" s="31"/>
      <c r="QDJ43" s="30"/>
      <c r="QDK43" s="31"/>
      <c r="QDL43" s="30"/>
      <c r="QDM43" s="31"/>
      <c r="QDN43" s="30"/>
      <c r="QDO43" s="31"/>
      <c r="QDP43" s="30"/>
      <c r="QDQ43" s="31"/>
      <c r="QDR43" s="30"/>
      <c r="QDS43" s="31"/>
      <c r="QDT43" s="30"/>
      <c r="QDU43" s="31"/>
      <c r="QDV43" s="30"/>
      <c r="QDW43" s="31"/>
      <c r="QDX43" s="30"/>
      <c r="QDY43" s="31"/>
      <c r="QDZ43" s="30"/>
      <c r="QEA43" s="31"/>
      <c r="QEB43" s="30"/>
      <c r="QEC43" s="31"/>
      <c r="QED43" s="30"/>
      <c r="QEE43" s="31"/>
      <c r="QEF43" s="30"/>
      <c r="QEG43" s="31"/>
      <c r="QEH43" s="30"/>
      <c r="QEI43" s="31"/>
      <c r="QEJ43" s="30"/>
      <c r="QEK43" s="31"/>
      <c r="QEL43" s="30"/>
      <c r="QEM43" s="31"/>
      <c r="QEN43" s="30"/>
      <c r="QEO43" s="31"/>
      <c r="QEP43" s="30"/>
      <c r="QEQ43" s="31"/>
      <c r="QER43" s="30"/>
      <c r="QES43" s="31"/>
      <c r="QET43" s="30"/>
      <c r="QEU43" s="31"/>
      <c r="QEV43" s="30"/>
      <c r="QEW43" s="31"/>
      <c r="QEX43" s="30"/>
      <c r="QEY43" s="31"/>
      <c r="QEZ43" s="30"/>
      <c r="QFA43" s="31"/>
      <c r="QFB43" s="30"/>
      <c r="QFC43" s="31"/>
      <c r="QFD43" s="30"/>
      <c r="QFE43" s="31"/>
      <c r="QFF43" s="30"/>
      <c r="QFG43" s="31"/>
      <c r="QFH43" s="30"/>
      <c r="QFI43" s="31"/>
      <c r="QFJ43" s="30"/>
      <c r="QFK43" s="31"/>
      <c r="QFL43" s="30"/>
      <c r="QFM43" s="31"/>
      <c r="QFN43" s="30"/>
      <c r="QFO43" s="31"/>
      <c r="QFP43" s="30"/>
      <c r="QFQ43" s="31"/>
      <c r="QFR43" s="30"/>
      <c r="QFS43" s="31"/>
      <c r="QFT43" s="30"/>
      <c r="QFU43" s="31"/>
      <c r="QFV43" s="30"/>
      <c r="QFW43" s="31"/>
      <c r="QFX43" s="30"/>
      <c r="QFY43" s="31"/>
      <c r="QFZ43" s="30"/>
      <c r="QGA43" s="31"/>
      <c r="QGB43" s="30"/>
      <c r="QGC43" s="31"/>
      <c r="QGD43" s="30"/>
      <c r="QGE43" s="31"/>
      <c r="QGF43" s="30"/>
      <c r="QGG43" s="31"/>
      <c r="QGH43" s="30"/>
      <c r="QGI43" s="31"/>
      <c r="QGJ43" s="30"/>
      <c r="QGK43" s="31"/>
      <c r="QGL43" s="30"/>
      <c r="QGM43" s="31"/>
      <c r="QGN43" s="30"/>
      <c r="QGO43" s="31"/>
      <c r="QGP43" s="30"/>
      <c r="QGQ43" s="31"/>
      <c r="QGR43" s="30"/>
      <c r="QGS43" s="31"/>
      <c r="QGT43" s="30"/>
      <c r="QGU43" s="31"/>
      <c r="QGV43" s="30"/>
      <c r="QGW43" s="31"/>
      <c r="QGX43" s="30"/>
      <c r="QGY43" s="31"/>
      <c r="QGZ43" s="30"/>
      <c r="QHA43" s="31"/>
      <c r="QHB43" s="30"/>
      <c r="QHC43" s="31"/>
      <c r="QHD43" s="30"/>
      <c r="QHE43" s="31"/>
      <c r="QHF43" s="30"/>
      <c r="QHG43" s="31"/>
      <c r="QHH43" s="30"/>
      <c r="QHI43" s="31"/>
      <c r="QHJ43" s="30"/>
      <c r="QHK43" s="31"/>
      <c r="QHL43" s="30"/>
      <c r="QHM43" s="31"/>
      <c r="QHN43" s="30"/>
      <c r="QHO43" s="31"/>
      <c r="QHP43" s="30"/>
      <c r="QHQ43" s="31"/>
      <c r="QHR43" s="30"/>
      <c r="QHS43" s="31"/>
      <c r="QHT43" s="30"/>
      <c r="QHU43" s="31"/>
      <c r="QHV43" s="30"/>
      <c r="QHW43" s="31"/>
      <c r="QHX43" s="30"/>
      <c r="QHY43" s="31"/>
      <c r="QHZ43" s="30"/>
      <c r="QIA43" s="31"/>
      <c r="QIB43" s="30"/>
      <c r="QIC43" s="31"/>
      <c r="QID43" s="30"/>
      <c r="QIE43" s="31"/>
      <c r="QIF43" s="30"/>
      <c r="QIG43" s="31"/>
      <c r="QIH43" s="30"/>
      <c r="QII43" s="31"/>
      <c r="QIJ43" s="30"/>
      <c r="QIK43" s="31"/>
      <c r="QIL43" s="30"/>
      <c r="QIM43" s="31"/>
      <c r="QIN43" s="30"/>
      <c r="QIO43" s="31"/>
      <c r="QIP43" s="30"/>
      <c r="QIQ43" s="31"/>
      <c r="QIR43" s="30"/>
      <c r="QIS43" s="31"/>
      <c r="QIT43" s="30"/>
      <c r="QIU43" s="31"/>
      <c r="QIV43" s="30"/>
      <c r="QIW43" s="31"/>
      <c r="QIX43" s="30"/>
      <c r="QIY43" s="31"/>
      <c r="QIZ43" s="30"/>
      <c r="QJA43" s="31"/>
      <c r="QJB43" s="30"/>
      <c r="QJC43" s="31"/>
      <c r="QJD43" s="30"/>
      <c r="QJE43" s="31"/>
      <c r="QJF43" s="30"/>
      <c r="QJG43" s="31"/>
      <c r="QJH43" s="30"/>
      <c r="QJI43" s="31"/>
      <c r="QJJ43" s="30"/>
      <c r="QJK43" s="31"/>
      <c r="QJL43" s="30"/>
      <c r="QJM43" s="31"/>
      <c r="QJN43" s="30"/>
      <c r="QJO43" s="31"/>
      <c r="QJP43" s="30"/>
      <c r="QJQ43" s="31"/>
      <c r="QJR43" s="30"/>
      <c r="QJS43" s="31"/>
      <c r="QJT43" s="30"/>
      <c r="QJU43" s="31"/>
      <c r="QJV43" s="30"/>
      <c r="QJW43" s="31"/>
      <c r="QJX43" s="30"/>
      <c r="QJY43" s="31"/>
      <c r="QJZ43" s="30"/>
      <c r="QKA43" s="31"/>
      <c r="QKB43" s="30"/>
      <c r="QKC43" s="31"/>
      <c r="QKD43" s="30"/>
      <c r="QKE43" s="31"/>
      <c r="QKF43" s="30"/>
      <c r="QKG43" s="31"/>
      <c r="QKH43" s="30"/>
      <c r="QKI43" s="31"/>
      <c r="QKJ43" s="30"/>
      <c r="QKK43" s="31"/>
      <c r="QKL43" s="30"/>
      <c r="QKM43" s="31"/>
      <c r="QKN43" s="30"/>
      <c r="QKO43" s="31"/>
      <c r="QKP43" s="30"/>
      <c r="QKQ43" s="31"/>
      <c r="QKR43" s="30"/>
      <c r="QKS43" s="31"/>
      <c r="QKT43" s="30"/>
      <c r="QKU43" s="31"/>
      <c r="QKV43" s="30"/>
      <c r="QKW43" s="31"/>
      <c r="QKX43" s="30"/>
      <c r="QKY43" s="31"/>
      <c r="QKZ43" s="30"/>
      <c r="QLA43" s="31"/>
      <c r="QLB43" s="30"/>
      <c r="QLC43" s="31"/>
      <c r="QLD43" s="30"/>
      <c r="QLE43" s="31"/>
      <c r="QLF43" s="30"/>
      <c r="QLG43" s="31"/>
      <c r="QLH43" s="30"/>
      <c r="QLI43" s="31"/>
      <c r="QLJ43" s="30"/>
      <c r="QLK43" s="31"/>
      <c r="QLL43" s="30"/>
      <c r="QLM43" s="31"/>
      <c r="QLN43" s="30"/>
      <c r="QLO43" s="31"/>
      <c r="QLP43" s="30"/>
      <c r="QLQ43" s="31"/>
      <c r="QLR43" s="30"/>
      <c r="QLS43" s="31"/>
      <c r="QLT43" s="30"/>
      <c r="QLU43" s="31"/>
      <c r="QLV43" s="30"/>
      <c r="QLW43" s="31"/>
      <c r="QLX43" s="30"/>
      <c r="QLY43" s="31"/>
      <c r="QLZ43" s="30"/>
      <c r="QMA43" s="31"/>
      <c r="QMB43" s="30"/>
      <c r="QMC43" s="31"/>
      <c r="QMD43" s="30"/>
      <c r="QME43" s="31"/>
      <c r="QMF43" s="30"/>
      <c r="QMG43" s="31"/>
      <c r="QMH43" s="30"/>
      <c r="QMI43" s="31"/>
      <c r="QMJ43" s="30"/>
      <c r="QMK43" s="31"/>
      <c r="QML43" s="30"/>
      <c r="QMM43" s="31"/>
      <c r="QMN43" s="30"/>
      <c r="QMO43" s="31"/>
      <c r="QMP43" s="30"/>
      <c r="QMQ43" s="31"/>
      <c r="QMR43" s="30"/>
      <c r="QMS43" s="31"/>
      <c r="QMT43" s="30"/>
      <c r="QMU43" s="31"/>
      <c r="QMV43" s="30"/>
      <c r="QMW43" s="31"/>
      <c r="QMX43" s="30"/>
      <c r="QMY43" s="31"/>
      <c r="QMZ43" s="30"/>
      <c r="QNA43" s="31"/>
      <c r="QNB43" s="30"/>
      <c r="QNC43" s="31"/>
      <c r="QND43" s="30"/>
      <c r="QNE43" s="31"/>
      <c r="QNF43" s="30"/>
      <c r="QNG43" s="31"/>
      <c r="QNH43" s="30"/>
      <c r="QNI43" s="31"/>
      <c r="QNJ43" s="30"/>
      <c r="QNK43" s="31"/>
      <c r="QNL43" s="30"/>
      <c r="QNM43" s="31"/>
      <c r="QNN43" s="30"/>
      <c r="QNO43" s="31"/>
      <c r="QNP43" s="30"/>
      <c r="QNQ43" s="31"/>
      <c r="QNR43" s="30"/>
      <c r="QNS43" s="31"/>
      <c r="QNT43" s="30"/>
      <c r="QNU43" s="31"/>
      <c r="QNV43" s="30"/>
      <c r="QNW43" s="31"/>
      <c r="QNX43" s="30"/>
      <c r="QNY43" s="31"/>
      <c r="QNZ43" s="30"/>
      <c r="QOA43" s="31"/>
      <c r="QOB43" s="30"/>
      <c r="QOC43" s="31"/>
      <c r="QOD43" s="30"/>
      <c r="QOE43" s="31"/>
      <c r="QOF43" s="30"/>
      <c r="QOG43" s="31"/>
      <c r="QOH43" s="30"/>
      <c r="QOI43" s="31"/>
      <c r="QOJ43" s="30"/>
      <c r="QOK43" s="31"/>
      <c r="QOL43" s="30"/>
      <c r="QOM43" s="31"/>
      <c r="QON43" s="30"/>
      <c r="QOO43" s="31"/>
      <c r="QOP43" s="30"/>
      <c r="QOQ43" s="31"/>
      <c r="QOR43" s="30"/>
      <c r="QOS43" s="31"/>
      <c r="QOT43" s="30"/>
      <c r="QOU43" s="31"/>
      <c r="QOV43" s="30"/>
      <c r="QOW43" s="31"/>
      <c r="QOX43" s="30"/>
      <c r="QOY43" s="31"/>
      <c r="QOZ43" s="30"/>
      <c r="QPA43" s="31"/>
      <c r="QPB43" s="30"/>
      <c r="QPC43" s="31"/>
      <c r="QPD43" s="30"/>
      <c r="QPE43" s="31"/>
      <c r="QPF43" s="30"/>
      <c r="QPG43" s="31"/>
      <c r="QPH43" s="30"/>
      <c r="QPI43" s="31"/>
      <c r="QPJ43" s="30"/>
      <c r="QPK43" s="31"/>
      <c r="QPL43" s="30"/>
      <c r="QPM43" s="31"/>
      <c r="QPN43" s="30"/>
      <c r="QPO43" s="31"/>
      <c r="QPP43" s="30"/>
      <c r="QPQ43" s="31"/>
      <c r="QPR43" s="30"/>
      <c r="QPS43" s="31"/>
      <c r="QPT43" s="30"/>
      <c r="QPU43" s="31"/>
      <c r="QPV43" s="30"/>
      <c r="QPW43" s="31"/>
      <c r="QPX43" s="30"/>
      <c r="QPY43" s="31"/>
      <c r="QPZ43" s="30"/>
      <c r="QQA43" s="31"/>
      <c r="QQB43" s="30"/>
      <c r="QQC43" s="31"/>
      <c r="QQD43" s="30"/>
      <c r="QQE43" s="31"/>
      <c r="QQF43" s="30"/>
      <c r="QQG43" s="31"/>
      <c r="QQH43" s="30"/>
      <c r="QQI43" s="31"/>
      <c r="QQJ43" s="30"/>
      <c r="QQK43" s="31"/>
      <c r="QQL43" s="30"/>
      <c r="QQM43" s="31"/>
      <c r="QQN43" s="30"/>
      <c r="QQO43" s="31"/>
      <c r="QQP43" s="30"/>
      <c r="QQQ43" s="31"/>
      <c r="QQR43" s="30"/>
      <c r="QQS43" s="31"/>
      <c r="QQT43" s="30"/>
      <c r="QQU43" s="31"/>
      <c r="QQV43" s="30"/>
      <c r="QQW43" s="31"/>
      <c r="QQX43" s="30"/>
      <c r="QQY43" s="31"/>
      <c r="QQZ43" s="30"/>
      <c r="QRA43" s="31"/>
      <c r="QRB43" s="30"/>
      <c r="QRC43" s="31"/>
      <c r="QRD43" s="30"/>
      <c r="QRE43" s="31"/>
      <c r="QRF43" s="30"/>
      <c r="QRG43" s="31"/>
      <c r="QRH43" s="30"/>
      <c r="QRI43" s="31"/>
      <c r="QRJ43" s="30"/>
      <c r="QRK43" s="31"/>
      <c r="QRL43" s="30"/>
      <c r="QRM43" s="31"/>
      <c r="QRN43" s="30"/>
      <c r="QRO43" s="31"/>
      <c r="QRP43" s="30"/>
      <c r="QRQ43" s="31"/>
      <c r="QRR43" s="30"/>
      <c r="QRS43" s="31"/>
      <c r="QRT43" s="30"/>
      <c r="QRU43" s="31"/>
      <c r="QRV43" s="30"/>
      <c r="QRW43" s="31"/>
      <c r="QRX43" s="30"/>
      <c r="QRY43" s="31"/>
      <c r="QRZ43" s="30"/>
      <c r="QSA43" s="31"/>
      <c r="QSB43" s="30"/>
      <c r="QSC43" s="31"/>
      <c r="QSD43" s="30"/>
      <c r="QSE43" s="31"/>
      <c r="QSF43" s="30"/>
      <c r="QSG43" s="31"/>
      <c r="QSH43" s="30"/>
      <c r="QSI43" s="31"/>
      <c r="QSJ43" s="30"/>
      <c r="QSK43" s="31"/>
      <c r="QSL43" s="30"/>
      <c r="QSM43" s="31"/>
      <c r="QSN43" s="30"/>
      <c r="QSO43" s="31"/>
      <c r="QSP43" s="30"/>
      <c r="QSQ43" s="31"/>
      <c r="QSR43" s="30"/>
      <c r="QSS43" s="31"/>
      <c r="QST43" s="30"/>
      <c r="QSU43" s="31"/>
      <c r="QSV43" s="30"/>
      <c r="QSW43" s="31"/>
      <c r="QSX43" s="30"/>
      <c r="QSY43" s="31"/>
      <c r="QSZ43" s="30"/>
      <c r="QTA43" s="31"/>
      <c r="QTB43" s="30"/>
      <c r="QTC43" s="31"/>
      <c r="QTD43" s="30"/>
      <c r="QTE43" s="31"/>
      <c r="QTF43" s="30"/>
      <c r="QTG43" s="31"/>
      <c r="QTH43" s="30"/>
      <c r="QTI43" s="31"/>
      <c r="QTJ43" s="30"/>
      <c r="QTK43" s="31"/>
      <c r="QTL43" s="30"/>
      <c r="QTM43" s="31"/>
      <c r="QTN43" s="30"/>
      <c r="QTO43" s="31"/>
      <c r="QTP43" s="30"/>
      <c r="QTQ43" s="31"/>
      <c r="QTR43" s="30"/>
      <c r="QTS43" s="31"/>
      <c r="QTT43" s="30"/>
      <c r="QTU43" s="31"/>
      <c r="QTV43" s="30"/>
      <c r="QTW43" s="31"/>
      <c r="QTX43" s="30"/>
      <c r="QTY43" s="31"/>
      <c r="QTZ43" s="30"/>
      <c r="QUA43" s="31"/>
      <c r="QUB43" s="30"/>
      <c r="QUC43" s="31"/>
      <c r="QUD43" s="30"/>
      <c r="QUE43" s="31"/>
      <c r="QUF43" s="30"/>
      <c r="QUG43" s="31"/>
      <c r="QUH43" s="30"/>
      <c r="QUI43" s="31"/>
      <c r="QUJ43" s="30"/>
      <c r="QUK43" s="31"/>
      <c r="QUL43" s="30"/>
      <c r="QUM43" s="31"/>
      <c r="QUN43" s="30"/>
      <c r="QUO43" s="31"/>
      <c r="QUP43" s="30"/>
      <c r="QUQ43" s="31"/>
      <c r="QUR43" s="30"/>
      <c r="QUS43" s="31"/>
      <c r="QUT43" s="30"/>
      <c r="QUU43" s="31"/>
      <c r="QUV43" s="30"/>
      <c r="QUW43" s="31"/>
      <c r="QUX43" s="30"/>
      <c r="QUY43" s="31"/>
      <c r="QUZ43" s="30"/>
      <c r="QVA43" s="31"/>
      <c r="QVB43" s="30"/>
      <c r="QVC43" s="31"/>
      <c r="QVD43" s="30"/>
      <c r="QVE43" s="31"/>
      <c r="QVF43" s="30"/>
      <c r="QVG43" s="31"/>
      <c r="QVH43" s="30"/>
      <c r="QVI43" s="31"/>
      <c r="QVJ43" s="30"/>
      <c r="QVK43" s="31"/>
      <c r="QVL43" s="30"/>
      <c r="QVM43" s="31"/>
      <c r="QVN43" s="30"/>
      <c r="QVO43" s="31"/>
      <c r="QVP43" s="30"/>
      <c r="QVQ43" s="31"/>
      <c r="QVR43" s="30"/>
      <c r="QVS43" s="31"/>
      <c r="QVT43" s="30"/>
      <c r="QVU43" s="31"/>
      <c r="QVV43" s="30"/>
      <c r="QVW43" s="31"/>
      <c r="QVX43" s="30"/>
      <c r="QVY43" s="31"/>
      <c r="QVZ43" s="30"/>
      <c r="QWA43" s="31"/>
      <c r="QWB43" s="30"/>
      <c r="QWC43" s="31"/>
      <c r="QWD43" s="30"/>
      <c r="QWE43" s="31"/>
      <c r="QWF43" s="30"/>
      <c r="QWG43" s="31"/>
      <c r="QWH43" s="30"/>
      <c r="QWI43" s="31"/>
      <c r="QWJ43" s="30"/>
      <c r="QWK43" s="31"/>
      <c r="QWL43" s="30"/>
      <c r="QWM43" s="31"/>
      <c r="QWN43" s="30"/>
      <c r="QWO43" s="31"/>
      <c r="QWP43" s="30"/>
      <c r="QWQ43" s="31"/>
      <c r="QWR43" s="30"/>
      <c r="QWS43" s="31"/>
      <c r="QWT43" s="30"/>
      <c r="QWU43" s="31"/>
      <c r="QWV43" s="30"/>
      <c r="QWW43" s="31"/>
      <c r="QWX43" s="30"/>
      <c r="QWY43" s="31"/>
      <c r="QWZ43" s="30"/>
      <c r="QXA43" s="31"/>
      <c r="QXB43" s="30"/>
      <c r="QXC43" s="31"/>
      <c r="QXD43" s="30"/>
      <c r="QXE43" s="31"/>
      <c r="QXF43" s="30"/>
      <c r="QXG43" s="31"/>
      <c r="QXH43" s="30"/>
      <c r="QXI43" s="31"/>
      <c r="QXJ43" s="30"/>
      <c r="QXK43" s="31"/>
      <c r="QXL43" s="30"/>
      <c r="QXM43" s="31"/>
      <c r="QXN43" s="30"/>
      <c r="QXO43" s="31"/>
      <c r="QXP43" s="30"/>
      <c r="QXQ43" s="31"/>
      <c r="QXR43" s="30"/>
      <c r="QXS43" s="31"/>
      <c r="QXT43" s="30"/>
      <c r="QXU43" s="31"/>
      <c r="QXV43" s="30"/>
      <c r="QXW43" s="31"/>
      <c r="QXX43" s="30"/>
      <c r="QXY43" s="31"/>
      <c r="QXZ43" s="30"/>
      <c r="QYA43" s="31"/>
      <c r="QYB43" s="30"/>
      <c r="QYC43" s="31"/>
      <c r="QYD43" s="30"/>
      <c r="QYE43" s="31"/>
      <c r="QYF43" s="30"/>
      <c r="QYG43" s="31"/>
      <c r="QYH43" s="30"/>
      <c r="QYI43" s="31"/>
      <c r="QYJ43" s="30"/>
      <c r="QYK43" s="31"/>
      <c r="QYL43" s="30"/>
      <c r="QYM43" s="31"/>
      <c r="QYN43" s="30"/>
      <c r="QYO43" s="31"/>
      <c r="QYP43" s="30"/>
      <c r="QYQ43" s="31"/>
      <c r="QYR43" s="30"/>
      <c r="QYS43" s="31"/>
      <c r="QYT43" s="30"/>
      <c r="QYU43" s="31"/>
      <c r="QYV43" s="30"/>
      <c r="QYW43" s="31"/>
      <c r="QYX43" s="30"/>
      <c r="QYY43" s="31"/>
      <c r="QYZ43" s="30"/>
      <c r="QZA43" s="31"/>
      <c r="QZB43" s="30"/>
      <c r="QZC43" s="31"/>
      <c r="QZD43" s="30"/>
      <c r="QZE43" s="31"/>
      <c r="QZF43" s="30"/>
      <c r="QZG43" s="31"/>
      <c r="QZH43" s="30"/>
      <c r="QZI43" s="31"/>
      <c r="QZJ43" s="30"/>
      <c r="QZK43" s="31"/>
      <c r="QZL43" s="30"/>
      <c r="QZM43" s="31"/>
      <c r="QZN43" s="30"/>
      <c r="QZO43" s="31"/>
      <c r="QZP43" s="30"/>
      <c r="QZQ43" s="31"/>
      <c r="QZR43" s="30"/>
      <c r="QZS43" s="31"/>
      <c r="QZT43" s="30"/>
      <c r="QZU43" s="31"/>
      <c r="QZV43" s="30"/>
      <c r="QZW43" s="31"/>
      <c r="QZX43" s="30"/>
      <c r="QZY43" s="31"/>
      <c r="QZZ43" s="30"/>
      <c r="RAA43" s="31"/>
      <c r="RAB43" s="30"/>
      <c r="RAC43" s="31"/>
      <c r="RAD43" s="30"/>
      <c r="RAE43" s="31"/>
      <c r="RAF43" s="30"/>
      <c r="RAG43" s="31"/>
      <c r="RAH43" s="30"/>
      <c r="RAI43" s="31"/>
      <c r="RAJ43" s="30"/>
      <c r="RAK43" s="31"/>
      <c r="RAL43" s="30"/>
      <c r="RAM43" s="31"/>
      <c r="RAN43" s="30"/>
      <c r="RAO43" s="31"/>
      <c r="RAP43" s="30"/>
      <c r="RAQ43" s="31"/>
      <c r="RAR43" s="30"/>
      <c r="RAS43" s="31"/>
      <c r="RAT43" s="30"/>
      <c r="RAU43" s="31"/>
      <c r="RAV43" s="30"/>
      <c r="RAW43" s="31"/>
      <c r="RAX43" s="30"/>
      <c r="RAY43" s="31"/>
      <c r="RAZ43" s="30"/>
      <c r="RBA43" s="31"/>
      <c r="RBB43" s="30"/>
      <c r="RBC43" s="31"/>
      <c r="RBD43" s="30"/>
      <c r="RBE43" s="31"/>
      <c r="RBF43" s="30"/>
      <c r="RBG43" s="31"/>
      <c r="RBH43" s="30"/>
      <c r="RBI43" s="31"/>
      <c r="RBJ43" s="30"/>
      <c r="RBK43" s="31"/>
      <c r="RBL43" s="30"/>
      <c r="RBM43" s="31"/>
      <c r="RBN43" s="30"/>
      <c r="RBO43" s="31"/>
      <c r="RBP43" s="30"/>
      <c r="RBQ43" s="31"/>
      <c r="RBR43" s="30"/>
      <c r="RBS43" s="31"/>
      <c r="RBT43" s="30"/>
      <c r="RBU43" s="31"/>
      <c r="RBV43" s="30"/>
      <c r="RBW43" s="31"/>
      <c r="RBX43" s="30"/>
      <c r="RBY43" s="31"/>
      <c r="RBZ43" s="30"/>
      <c r="RCA43" s="31"/>
      <c r="RCB43" s="30"/>
      <c r="RCC43" s="31"/>
      <c r="RCD43" s="30"/>
      <c r="RCE43" s="31"/>
      <c r="RCF43" s="30"/>
      <c r="RCG43" s="31"/>
      <c r="RCH43" s="30"/>
      <c r="RCI43" s="31"/>
      <c r="RCJ43" s="30"/>
      <c r="RCK43" s="31"/>
      <c r="RCL43" s="30"/>
      <c r="RCM43" s="31"/>
      <c r="RCN43" s="30"/>
      <c r="RCO43" s="31"/>
      <c r="RCP43" s="30"/>
      <c r="RCQ43" s="31"/>
      <c r="RCR43" s="30"/>
      <c r="RCS43" s="31"/>
      <c r="RCT43" s="30"/>
      <c r="RCU43" s="31"/>
      <c r="RCV43" s="30"/>
      <c r="RCW43" s="31"/>
      <c r="RCX43" s="30"/>
      <c r="RCY43" s="31"/>
      <c r="RCZ43" s="30"/>
      <c r="RDA43" s="31"/>
      <c r="RDB43" s="30"/>
      <c r="RDC43" s="31"/>
      <c r="RDD43" s="30"/>
      <c r="RDE43" s="31"/>
      <c r="RDF43" s="30"/>
      <c r="RDG43" s="31"/>
      <c r="RDH43" s="30"/>
      <c r="RDI43" s="31"/>
      <c r="RDJ43" s="30"/>
      <c r="RDK43" s="31"/>
      <c r="RDL43" s="30"/>
      <c r="RDM43" s="31"/>
      <c r="RDN43" s="30"/>
      <c r="RDO43" s="31"/>
      <c r="RDP43" s="30"/>
      <c r="RDQ43" s="31"/>
      <c r="RDR43" s="30"/>
      <c r="RDS43" s="31"/>
      <c r="RDT43" s="30"/>
      <c r="RDU43" s="31"/>
      <c r="RDV43" s="30"/>
      <c r="RDW43" s="31"/>
      <c r="RDX43" s="30"/>
      <c r="RDY43" s="31"/>
      <c r="RDZ43" s="30"/>
      <c r="REA43" s="31"/>
      <c r="REB43" s="30"/>
      <c r="REC43" s="31"/>
      <c r="RED43" s="30"/>
      <c r="REE43" s="31"/>
      <c r="REF43" s="30"/>
      <c r="REG43" s="31"/>
      <c r="REH43" s="30"/>
      <c r="REI43" s="31"/>
      <c r="REJ43" s="30"/>
      <c r="REK43" s="31"/>
      <c r="REL43" s="30"/>
      <c r="REM43" s="31"/>
      <c r="REN43" s="30"/>
      <c r="REO43" s="31"/>
      <c r="REP43" s="30"/>
      <c r="REQ43" s="31"/>
      <c r="RER43" s="30"/>
      <c r="RES43" s="31"/>
      <c r="RET43" s="30"/>
      <c r="REU43" s="31"/>
      <c r="REV43" s="30"/>
      <c r="REW43" s="31"/>
      <c r="REX43" s="30"/>
      <c r="REY43" s="31"/>
      <c r="REZ43" s="30"/>
      <c r="RFA43" s="31"/>
      <c r="RFB43" s="30"/>
      <c r="RFC43" s="31"/>
      <c r="RFD43" s="30"/>
      <c r="RFE43" s="31"/>
      <c r="RFF43" s="30"/>
      <c r="RFG43" s="31"/>
      <c r="RFH43" s="30"/>
      <c r="RFI43" s="31"/>
      <c r="RFJ43" s="30"/>
      <c r="RFK43" s="31"/>
      <c r="RFL43" s="30"/>
      <c r="RFM43" s="31"/>
      <c r="RFN43" s="30"/>
      <c r="RFO43" s="31"/>
      <c r="RFP43" s="30"/>
      <c r="RFQ43" s="31"/>
      <c r="RFR43" s="30"/>
      <c r="RFS43" s="31"/>
      <c r="RFT43" s="30"/>
      <c r="RFU43" s="31"/>
      <c r="RFV43" s="30"/>
      <c r="RFW43" s="31"/>
      <c r="RFX43" s="30"/>
      <c r="RFY43" s="31"/>
      <c r="RFZ43" s="30"/>
      <c r="RGA43" s="31"/>
      <c r="RGB43" s="30"/>
      <c r="RGC43" s="31"/>
      <c r="RGD43" s="30"/>
      <c r="RGE43" s="31"/>
      <c r="RGF43" s="30"/>
      <c r="RGG43" s="31"/>
      <c r="RGH43" s="30"/>
      <c r="RGI43" s="31"/>
      <c r="RGJ43" s="30"/>
      <c r="RGK43" s="31"/>
      <c r="RGL43" s="30"/>
      <c r="RGM43" s="31"/>
      <c r="RGN43" s="30"/>
      <c r="RGO43" s="31"/>
      <c r="RGP43" s="30"/>
      <c r="RGQ43" s="31"/>
      <c r="RGR43" s="30"/>
      <c r="RGS43" s="31"/>
      <c r="RGT43" s="30"/>
      <c r="RGU43" s="31"/>
      <c r="RGV43" s="30"/>
      <c r="RGW43" s="31"/>
      <c r="RGX43" s="30"/>
      <c r="RGY43" s="31"/>
      <c r="RGZ43" s="30"/>
      <c r="RHA43" s="31"/>
      <c r="RHB43" s="30"/>
      <c r="RHC43" s="31"/>
      <c r="RHD43" s="30"/>
      <c r="RHE43" s="31"/>
      <c r="RHF43" s="30"/>
      <c r="RHG43" s="31"/>
      <c r="RHH43" s="30"/>
      <c r="RHI43" s="31"/>
      <c r="RHJ43" s="30"/>
      <c r="RHK43" s="31"/>
      <c r="RHL43" s="30"/>
      <c r="RHM43" s="31"/>
      <c r="RHN43" s="30"/>
      <c r="RHO43" s="31"/>
      <c r="RHP43" s="30"/>
      <c r="RHQ43" s="31"/>
      <c r="RHR43" s="30"/>
      <c r="RHS43" s="31"/>
      <c r="RHT43" s="30"/>
      <c r="RHU43" s="31"/>
      <c r="RHV43" s="30"/>
      <c r="RHW43" s="31"/>
      <c r="RHX43" s="30"/>
      <c r="RHY43" s="31"/>
      <c r="RHZ43" s="30"/>
      <c r="RIA43" s="31"/>
      <c r="RIB43" s="30"/>
      <c r="RIC43" s="31"/>
      <c r="RID43" s="30"/>
      <c r="RIE43" s="31"/>
      <c r="RIF43" s="30"/>
      <c r="RIG43" s="31"/>
      <c r="RIH43" s="30"/>
      <c r="RII43" s="31"/>
      <c r="RIJ43" s="30"/>
      <c r="RIK43" s="31"/>
      <c r="RIL43" s="30"/>
      <c r="RIM43" s="31"/>
      <c r="RIN43" s="30"/>
      <c r="RIO43" s="31"/>
      <c r="RIP43" s="30"/>
      <c r="RIQ43" s="31"/>
      <c r="RIR43" s="30"/>
      <c r="RIS43" s="31"/>
      <c r="RIT43" s="30"/>
      <c r="RIU43" s="31"/>
      <c r="RIV43" s="30"/>
      <c r="RIW43" s="31"/>
      <c r="RIX43" s="30"/>
      <c r="RIY43" s="31"/>
      <c r="RIZ43" s="30"/>
      <c r="RJA43" s="31"/>
      <c r="RJB43" s="30"/>
      <c r="RJC43" s="31"/>
      <c r="RJD43" s="30"/>
      <c r="RJE43" s="31"/>
      <c r="RJF43" s="30"/>
      <c r="RJG43" s="31"/>
      <c r="RJH43" s="30"/>
      <c r="RJI43" s="31"/>
      <c r="RJJ43" s="30"/>
      <c r="RJK43" s="31"/>
      <c r="RJL43" s="30"/>
      <c r="RJM43" s="31"/>
      <c r="RJN43" s="30"/>
      <c r="RJO43" s="31"/>
      <c r="RJP43" s="30"/>
      <c r="RJQ43" s="31"/>
      <c r="RJR43" s="30"/>
      <c r="RJS43" s="31"/>
      <c r="RJT43" s="30"/>
      <c r="RJU43" s="31"/>
      <c r="RJV43" s="30"/>
      <c r="RJW43" s="31"/>
      <c r="RJX43" s="30"/>
      <c r="RJY43" s="31"/>
      <c r="RJZ43" s="30"/>
      <c r="RKA43" s="31"/>
      <c r="RKB43" s="30"/>
      <c r="RKC43" s="31"/>
      <c r="RKD43" s="30"/>
      <c r="RKE43" s="31"/>
      <c r="RKF43" s="30"/>
      <c r="RKG43" s="31"/>
      <c r="RKH43" s="30"/>
      <c r="RKI43" s="31"/>
      <c r="RKJ43" s="30"/>
      <c r="RKK43" s="31"/>
      <c r="RKL43" s="30"/>
      <c r="RKM43" s="31"/>
      <c r="RKN43" s="30"/>
      <c r="RKO43" s="31"/>
      <c r="RKP43" s="30"/>
      <c r="RKQ43" s="31"/>
      <c r="RKR43" s="30"/>
      <c r="RKS43" s="31"/>
      <c r="RKT43" s="30"/>
      <c r="RKU43" s="31"/>
      <c r="RKV43" s="30"/>
      <c r="RKW43" s="31"/>
      <c r="RKX43" s="30"/>
      <c r="RKY43" s="31"/>
      <c r="RKZ43" s="30"/>
      <c r="RLA43" s="31"/>
      <c r="RLB43" s="30"/>
      <c r="RLC43" s="31"/>
      <c r="RLD43" s="30"/>
      <c r="RLE43" s="31"/>
      <c r="RLF43" s="30"/>
      <c r="RLG43" s="31"/>
      <c r="RLH43" s="30"/>
      <c r="RLI43" s="31"/>
      <c r="RLJ43" s="30"/>
      <c r="RLK43" s="31"/>
      <c r="RLL43" s="30"/>
      <c r="RLM43" s="31"/>
      <c r="RLN43" s="30"/>
      <c r="RLO43" s="31"/>
      <c r="RLP43" s="30"/>
      <c r="RLQ43" s="31"/>
      <c r="RLR43" s="30"/>
      <c r="RLS43" s="31"/>
      <c r="RLT43" s="30"/>
      <c r="RLU43" s="31"/>
      <c r="RLV43" s="30"/>
      <c r="RLW43" s="31"/>
      <c r="RLX43" s="30"/>
      <c r="RLY43" s="31"/>
      <c r="RLZ43" s="30"/>
      <c r="RMA43" s="31"/>
      <c r="RMB43" s="30"/>
      <c r="RMC43" s="31"/>
      <c r="RMD43" s="30"/>
      <c r="RME43" s="31"/>
      <c r="RMF43" s="30"/>
      <c r="RMG43" s="31"/>
      <c r="RMH43" s="30"/>
      <c r="RMI43" s="31"/>
      <c r="RMJ43" s="30"/>
      <c r="RMK43" s="31"/>
      <c r="RML43" s="30"/>
      <c r="RMM43" s="31"/>
      <c r="RMN43" s="30"/>
      <c r="RMO43" s="31"/>
      <c r="RMP43" s="30"/>
      <c r="RMQ43" s="31"/>
      <c r="RMR43" s="30"/>
      <c r="RMS43" s="31"/>
      <c r="RMT43" s="30"/>
      <c r="RMU43" s="31"/>
      <c r="RMV43" s="30"/>
      <c r="RMW43" s="31"/>
      <c r="RMX43" s="30"/>
      <c r="RMY43" s="31"/>
      <c r="RMZ43" s="30"/>
      <c r="RNA43" s="31"/>
      <c r="RNB43" s="30"/>
      <c r="RNC43" s="31"/>
      <c r="RND43" s="30"/>
      <c r="RNE43" s="31"/>
      <c r="RNF43" s="30"/>
      <c r="RNG43" s="31"/>
      <c r="RNH43" s="30"/>
      <c r="RNI43" s="31"/>
      <c r="RNJ43" s="30"/>
      <c r="RNK43" s="31"/>
      <c r="RNL43" s="30"/>
      <c r="RNM43" s="31"/>
      <c r="RNN43" s="30"/>
      <c r="RNO43" s="31"/>
      <c r="RNP43" s="30"/>
      <c r="RNQ43" s="31"/>
      <c r="RNR43" s="30"/>
      <c r="RNS43" s="31"/>
      <c r="RNT43" s="30"/>
      <c r="RNU43" s="31"/>
      <c r="RNV43" s="30"/>
      <c r="RNW43" s="31"/>
      <c r="RNX43" s="30"/>
      <c r="RNY43" s="31"/>
      <c r="RNZ43" s="30"/>
      <c r="ROA43" s="31"/>
      <c r="ROB43" s="30"/>
      <c r="ROC43" s="31"/>
      <c r="ROD43" s="30"/>
      <c r="ROE43" s="31"/>
      <c r="ROF43" s="30"/>
      <c r="ROG43" s="31"/>
      <c r="ROH43" s="30"/>
      <c r="ROI43" s="31"/>
      <c r="ROJ43" s="30"/>
      <c r="ROK43" s="31"/>
      <c r="ROL43" s="30"/>
      <c r="ROM43" s="31"/>
      <c r="RON43" s="30"/>
      <c r="ROO43" s="31"/>
      <c r="ROP43" s="30"/>
      <c r="ROQ43" s="31"/>
      <c r="ROR43" s="30"/>
      <c r="ROS43" s="31"/>
      <c r="ROT43" s="30"/>
      <c r="ROU43" s="31"/>
      <c r="ROV43" s="30"/>
      <c r="ROW43" s="31"/>
      <c r="ROX43" s="30"/>
      <c r="ROY43" s="31"/>
      <c r="ROZ43" s="30"/>
      <c r="RPA43" s="31"/>
      <c r="RPB43" s="30"/>
      <c r="RPC43" s="31"/>
      <c r="RPD43" s="30"/>
      <c r="RPE43" s="31"/>
      <c r="RPF43" s="30"/>
      <c r="RPG43" s="31"/>
      <c r="RPH43" s="30"/>
      <c r="RPI43" s="31"/>
      <c r="RPJ43" s="30"/>
      <c r="RPK43" s="31"/>
      <c r="RPL43" s="30"/>
      <c r="RPM43" s="31"/>
      <c r="RPN43" s="30"/>
      <c r="RPO43" s="31"/>
      <c r="RPP43" s="30"/>
      <c r="RPQ43" s="31"/>
      <c r="RPR43" s="30"/>
      <c r="RPS43" s="31"/>
      <c r="RPT43" s="30"/>
      <c r="RPU43" s="31"/>
      <c r="RPV43" s="30"/>
      <c r="RPW43" s="31"/>
      <c r="RPX43" s="30"/>
      <c r="RPY43" s="31"/>
      <c r="RPZ43" s="30"/>
      <c r="RQA43" s="31"/>
      <c r="RQB43" s="30"/>
      <c r="RQC43" s="31"/>
      <c r="RQD43" s="30"/>
      <c r="RQE43" s="31"/>
      <c r="RQF43" s="30"/>
      <c r="RQG43" s="31"/>
      <c r="RQH43" s="30"/>
      <c r="RQI43" s="31"/>
      <c r="RQJ43" s="30"/>
      <c r="RQK43" s="31"/>
      <c r="RQL43" s="30"/>
      <c r="RQM43" s="31"/>
      <c r="RQN43" s="30"/>
      <c r="RQO43" s="31"/>
      <c r="RQP43" s="30"/>
      <c r="RQQ43" s="31"/>
      <c r="RQR43" s="30"/>
      <c r="RQS43" s="31"/>
      <c r="RQT43" s="30"/>
      <c r="RQU43" s="31"/>
      <c r="RQV43" s="30"/>
      <c r="RQW43" s="31"/>
      <c r="RQX43" s="30"/>
      <c r="RQY43" s="31"/>
      <c r="RQZ43" s="30"/>
      <c r="RRA43" s="31"/>
      <c r="RRB43" s="30"/>
      <c r="RRC43" s="31"/>
      <c r="RRD43" s="30"/>
      <c r="RRE43" s="31"/>
      <c r="RRF43" s="30"/>
      <c r="RRG43" s="31"/>
      <c r="RRH43" s="30"/>
      <c r="RRI43" s="31"/>
      <c r="RRJ43" s="30"/>
      <c r="RRK43" s="31"/>
      <c r="RRL43" s="30"/>
      <c r="RRM43" s="31"/>
      <c r="RRN43" s="30"/>
      <c r="RRO43" s="31"/>
      <c r="RRP43" s="30"/>
      <c r="RRQ43" s="31"/>
      <c r="RRR43" s="30"/>
      <c r="RRS43" s="31"/>
      <c r="RRT43" s="30"/>
      <c r="RRU43" s="31"/>
      <c r="RRV43" s="30"/>
      <c r="RRW43" s="31"/>
      <c r="RRX43" s="30"/>
      <c r="RRY43" s="31"/>
      <c r="RRZ43" s="30"/>
      <c r="RSA43" s="31"/>
      <c r="RSB43" s="30"/>
      <c r="RSC43" s="31"/>
      <c r="RSD43" s="30"/>
      <c r="RSE43" s="31"/>
      <c r="RSF43" s="30"/>
      <c r="RSG43" s="31"/>
      <c r="RSH43" s="30"/>
      <c r="RSI43" s="31"/>
      <c r="RSJ43" s="30"/>
      <c r="RSK43" s="31"/>
      <c r="RSL43" s="30"/>
      <c r="RSM43" s="31"/>
      <c r="RSN43" s="30"/>
      <c r="RSO43" s="31"/>
      <c r="RSP43" s="30"/>
      <c r="RSQ43" s="31"/>
      <c r="RSR43" s="30"/>
      <c r="RSS43" s="31"/>
      <c r="RST43" s="30"/>
      <c r="RSU43" s="31"/>
      <c r="RSV43" s="30"/>
      <c r="RSW43" s="31"/>
      <c r="RSX43" s="30"/>
      <c r="RSY43" s="31"/>
      <c r="RSZ43" s="30"/>
      <c r="RTA43" s="31"/>
      <c r="RTB43" s="30"/>
      <c r="RTC43" s="31"/>
      <c r="RTD43" s="30"/>
      <c r="RTE43" s="31"/>
      <c r="RTF43" s="30"/>
      <c r="RTG43" s="31"/>
      <c r="RTH43" s="30"/>
      <c r="RTI43" s="31"/>
      <c r="RTJ43" s="30"/>
      <c r="RTK43" s="31"/>
      <c r="RTL43" s="30"/>
      <c r="RTM43" s="31"/>
      <c r="RTN43" s="30"/>
      <c r="RTO43" s="31"/>
      <c r="RTP43" s="30"/>
      <c r="RTQ43" s="31"/>
      <c r="RTR43" s="30"/>
      <c r="RTS43" s="31"/>
      <c r="RTT43" s="30"/>
      <c r="RTU43" s="31"/>
      <c r="RTV43" s="30"/>
      <c r="RTW43" s="31"/>
      <c r="RTX43" s="30"/>
      <c r="RTY43" s="31"/>
      <c r="RTZ43" s="30"/>
      <c r="RUA43" s="31"/>
      <c r="RUB43" s="30"/>
      <c r="RUC43" s="31"/>
      <c r="RUD43" s="30"/>
      <c r="RUE43" s="31"/>
      <c r="RUF43" s="30"/>
      <c r="RUG43" s="31"/>
      <c r="RUH43" s="30"/>
      <c r="RUI43" s="31"/>
      <c r="RUJ43" s="30"/>
      <c r="RUK43" s="31"/>
      <c r="RUL43" s="30"/>
      <c r="RUM43" s="31"/>
      <c r="RUN43" s="30"/>
      <c r="RUO43" s="31"/>
      <c r="RUP43" s="30"/>
      <c r="RUQ43" s="31"/>
      <c r="RUR43" s="30"/>
      <c r="RUS43" s="31"/>
      <c r="RUT43" s="30"/>
      <c r="RUU43" s="31"/>
      <c r="RUV43" s="30"/>
      <c r="RUW43" s="31"/>
      <c r="RUX43" s="30"/>
      <c r="RUY43" s="31"/>
      <c r="RUZ43" s="30"/>
      <c r="RVA43" s="31"/>
      <c r="RVB43" s="30"/>
      <c r="RVC43" s="31"/>
      <c r="RVD43" s="30"/>
      <c r="RVE43" s="31"/>
      <c r="RVF43" s="30"/>
      <c r="RVG43" s="31"/>
      <c r="RVH43" s="30"/>
      <c r="RVI43" s="31"/>
      <c r="RVJ43" s="30"/>
      <c r="RVK43" s="31"/>
      <c r="RVL43" s="30"/>
      <c r="RVM43" s="31"/>
      <c r="RVN43" s="30"/>
      <c r="RVO43" s="31"/>
      <c r="RVP43" s="30"/>
      <c r="RVQ43" s="31"/>
      <c r="RVR43" s="30"/>
      <c r="RVS43" s="31"/>
      <c r="RVT43" s="30"/>
      <c r="RVU43" s="31"/>
      <c r="RVV43" s="30"/>
      <c r="RVW43" s="31"/>
      <c r="RVX43" s="30"/>
      <c r="RVY43" s="31"/>
      <c r="RVZ43" s="30"/>
      <c r="RWA43" s="31"/>
      <c r="RWB43" s="30"/>
      <c r="RWC43" s="31"/>
      <c r="RWD43" s="30"/>
      <c r="RWE43" s="31"/>
      <c r="RWF43" s="30"/>
      <c r="RWG43" s="31"/>
      <c r="RWH43" s="30"/>
      <c r="RWI43" s="31"/>
      <c r="RWJ43" s="30"/>
      <c r="RWK43" s="31"/>
      <c r="RWL43" s="30"/>
      <c r="RWM43" s="31"/>
      <c r="RWN43" s="30"/>
      <c r="RWO43" s="31"/>
      <c r="RWP43" s="30"/>
      <c r="RWQ43" s="31"/>
      <c r="RWR43" s="30"/>
      <c r="RWS43" s="31"/>
      <c r="RWT43" s="30"/>
      <c r="RWU43" s="31"/>
      <c r="RWV43" s="30"/>
      <c r="RWW43" s="31"/>
      <c r="RWX43" s="30"/>
      <c r="RWY43" s="31"/>
      <c r="RWZ43" s="30"/>
      <c r="RXA43" s="31"/>
      <c r="RXB43" s="30"/>
      <c r="RXC43" s="31"/>
      <c r="RXD43" s="30"/>
      <c r="RXE43" s="31"/>
      <c r="RXF43" s="30"/>
      <c r="RXG43" s="31"/>
      <c r="RXH43" s="30"/>
      <c r="RXI43" s="31"/>
      <c r="RXJ43" s="30"/>
      <c r="RXK43" s="31"/>
      <c r="RXL43" s="30"/>
      <c r="RXM43" s="31"/>
      <c r="RXN43" s="30"/>
      <c r="RXO43" s="31"/>
      <c r="RXP43" s="30"/>
      <c r="RXQ43" s="31"/>
      <c r="RXR43" s="30"/>
      <c r="RXS43" s="31"/>
      <c r="RXT43" s="30"/>
      <c r="RXU43" s="31"/>
      <c r="RXV43" s="30"/>
      <c r="RXW43" s="31"/>
      <c r="RXX43" s="30"/>
      <c r="RXY43" s="31"/>
      <c r="RXZ43" s="30"/>
      <c r="RYA43" s="31"/>
      <c r="RYB43" s="30"/>
      <c r="RYC43" s="31"/>
      <c r="RYD43" s="30"/>
      <c r="RYE43" s="31"/>
      <c r="RYF43" s="30"/>
      <c r="RYG43" s="31"/>
      <c r="RYH43" s="30"/>
      <c r="RYI43" s="31"/>
      <c r="RYJ43" s="30"/>
      <c r="RYK43" s="31"/>
      <c r="RYL43" s="30"/>
      <c r="RYM43" s="31"/>
      <c r="RYN43" s="30"/>
      <c r="RYO43" s="31"/>
      <c r="RYP43" s="30"/>
      <c r="RYQ43" s="31"/>
      <c r="RYR43" s="30"/>
      <c r="RYS43" s="31"/>
      <c r="RYT43" s="30"/>
      <c r="RYU43" s="31"/>
      <c r="RYV43" s="30"/>
      <c r="RYW43" s="31"/>
      <c r="RYX43" s="30"/>
      <c r="RYY43" s="31"/>
      <c r="RYZ43" s="30"/>
      <c r="RZA43" s="31"/>
      <c r="RZB43" s="30"/>
      <c r="RZC43" s="31"/>
      <c r="RZD43" s="30"/>
      <c r="RZE43" s="31"/>
      <c r="RZF43" s="30"/>
      <c r="RZG43" s="31"/>
      <c r="RZH43" s="30"/>
      <c r="RZI43" s="31"/>
      <c r="RZJ43" s="30"/>
      <c r="RZK43" s="31"/>
      <c r="RZL43" s="30"/>
      <c r="RZM43" s="31"/>
      <c r="RZN43" s="30"/>
      <c r="RZO43" s="31"/>
      <c r="RZP43" s="30"/>
      <c r="RZQ43" s="31"/>
      <c r="RZR43" s="30"/>
      <c r="RZS43" s="31"/>
      <c r="RZT43" s="30"/>
      <c r="RZU43" s="31"/>
      <c r="RZV43" s="30"/>
      <c r="RZW43" s="31"/>
      <c r="RZX43" s="30"/>
      <c r="RZY43" s="31"/>
      <c r="RZZ43" s="30"/>
      <c r="SAA43" s="31"/>
      <c r="SAB43" s="30"/>
      <c r="SAC43" s="31"/>
      <c r="SAD43" s="30"/>
      <c r="SAE43" s="31"/>
      <c r="SAF43" s="30"/>
      <c r="SAG43" s="31"/>
      <c r="SAH43" s="30"/>
      <c r="SAI43" s="31"/>
      <c r="SAJ43" s="30"/>
      <c r="SAK43" s="31"/>
      <c r="SAL43" s="30"/>
      <c r="SAM43" s="31"/>
      <c r="SAN43" s="30"/>
      <c r="SAO43" s="31"/>
      <c r="SAP43" s="30"/>
      <c r="SAQ43" s="31"/>
      <c r="SAR43" s="30"/>
      <c r="SAS43" s="31"/>
      <c r="SAT43" s="30"/>
      <c r="SAU43" s="31"/>
      <c r="SAV43" s="30"/>
      <c r="SAW43" s="31"/>
      <c r="SAX43" s="30"/>
      <c r="SAY43" s="31"/>
      <c r="SAZ43" s="30"/>
      <c r="SBA43" s="31"/>
      <c r="SBB43" s="30"/>
      <c r="SBC43" s="31"/>
      <c r="SBD43" s="30"/>
      <c r="SBE43" s="31"/>
      <c r="SBF43" s="30"/>
      <c r="SBG43" s="31"/>
      <c r="SBH43" s="30"/>
      <c r="SBI43" s="31"/>
      <c r="SBJ43" s="30"/>
      <c r="SBK43" s="31"/>
      <c r="SBL43" s="30"/>
      <c r="SBM43" s="31"/>
      <c r="SBN43" s="30"/>
      <c r="SBO43" s="31"/>
      <c r="SBP43" s="30"/>
      <c r="SBQ43" s="31"/>
      <c r="SBR43" s="30"/>
      <c r="SBS43" s="31"/>
      <c r="SBT43" s="30"/>
      <c r="SBU43" s="31"/>
      <c r="SBV43" s="30"/>
      <c r="SBW43" s="31"/>
      <c r="SBX43" s="30"/>
      <c r="SBY43" s="31"/>
      <c r="SBZ43" s="30"/>
      <c r="SCA43" s="31"/>
      <c r="SCB43" s="30"/>
      <c r="SCC43" s="31"/>
      <c r="SCD43" s="30"/>
      <c r="SCE43" s="31"/>
      <c r="SCF43" s="30"/>
      <c r="SCG43" s="31"/>
      <c r="SCH43" s="30"/>
      <c r="SCI43" s="31"/>
      <c r="SCJ43" s="30"/>
      <c r="SCK43" s="31"/>
      <c r="SCL43" s="30"/>
      <c r="SCM43" s="31"/>
      <c r="SCN43" s="30"/>
      <c r="SCO43" s="31"/>
      <c r="SCP43" s="30"/>
      <c r="SCQ43" s="31"/>
      <c r="SCR43" s="30"/>
      <c r="SCS43" s="31"/>
      <c r="SCT43" s="30"/>
      <c r="SCU43" s="31"/>
      <c r="SCV43" s="30"/>
      <c r="SCW43" s="31"/>
      <c r="SCX43" s="30"/>
      <c r="SCY43" s="31"/>
      <c r="SCZ43" s="30"/>
      <c r="SDA43" s="31"/>
      <c r="SDB43" s="30"/>
      <c r="SDC43" s="31"/>
      <c r="SDD43" s="30"/>
      <c r="SDE43" s="31"/>
      <c r="SDF43" s="30"/>
      <c r="SDG43" s="31"/>
      <c r="SDH43" s="30"/>
      <c r="SDI43" s="31"/>
      <c r="SDJ43" s="30"/>
      <c r="SDK43" s="31"/>
      <c r="SDL43" s="30"/>
      <c r="SDM43" s="31"/>
      <c r="SDN43" s="30"/>
      <c r="SDO43" s="31"/>
      <c r="SDP43" s="30"/>
      <c r="SDQ43" s="31"/>
      <c r="SDR43" s="30"/>
      <c r="SDS43" s="31"/>
      <c r="SDT43" s="30"/>
      <c r="SDU43" s="31"/>
      <c r="SDV43" s="30"/>
      <c r="SDW43" s="31"/>
      <c r="SDX43" s="30"/>
      <c r="SDY43" s="31"/>
      <c r="SDZ43" s="30"/>
      <c r="SEA43" s="31"/>
      <c r="SEB43" s="30"/>
      <c r="SEC43" s="31"/>
      <c r="SED43" s="30"/>
      <c r="SEE43" s="31"/>
      <c r="SEF43" s="30"/>
      <c r="SEG43" s="31"/>
      <c r="SEH43" s="30"/>
      <c r="SEI43" s="31"/>
      <c r="SEJ43" s="30"/>
      <c r="SEK43" s="31"/>
      <c r="SEL43" s="30"/>
      <c r="SEM43" s="31"/>
      <c r="SEN43" s="30"/>
      <c r="SEO43" s="31"/>
      <c r="SEP43" s="30"/>
      <c r="SEQ43" s="31"/>
      <c r="SER43" s="30"/>
      <c r="SES43" s="31"/>
      <c r="SET43" s="30"/>
      <c r="SEU43" s="31"/>
      <c r="SEV43" s="30"/>
      <c r="SEW43" s="31"/>
      <c r="SEX43" s="30"/>
      <c r="SEY43" s="31"/>
      <c r="SEZ43" s="30"/>
      <c r="SFA43" s="31"/>
      <c r="SFB43" s="30"/>
      <c r="SFC43" s="31"/>
      <c r="SFD43" s="30"/>
      <c r="SFE43" s="31"/>
      <c r="SFF43" s="30"/>
      <c r="SFG43" s="31"/>
      <c r="SFH43" s="30"/>
      <c r="SFI43" s="31"/>
      <c r="SFJ43" s="30"/>
      <c r="SFK43" s="31"/>
      <c r="SFL43" s="30"/>
      <c r="SFM43" s="31"/>
      <c r="SFN43" s="30"/>
      <c r="SFO43" s="31"/>
      <c r="SFP43" s="30"/>
      <c r="SFQ43" s="31"/>
      <c r="SFR43" s="30"/>
      <c r="SFS43" s="31"/>
      <c r="SFT43" s="30"/>
      <c r="SFU43" s="31"/>
      <c r="SFV43" s="30"/>
      <c r="SFW43" s="31"/>
      <c r="SFX43" s="30"/>
      <c r="SFY43" s="31"/>
      <c r="SFZ43" s="30"/>
      <c r="SGA43" s="31"/>
      <c r="SGB43" s="30"/>
      <c r="SGC43" s="31"/>
      <c r="SGD43" s="30"/>
      <c r="SGE43" s="31"/>
      <c r="SGF43" s="30"/>
      <c r="SGG43" s="31"/>
      <c r="SGH43" s="30"/>
      <c r="SGI43" s="31"/>
      <c r="SGJ43" s="30"/>
      <c r="SGK43" s="31"/>
      <c r="SGL43" s="30"/>
      <c r="SGM43" s="31"/>
      <c r="SGN43" s="30"/>
      <c r="SGO43" s="31"/>
      <c r="SGP43" s="30"/>
      <c r="SGQ43" s="31"/>
      <c r="SGR43" s="30"/>
      <c r="SGS43" s="31"/>
      <c r="SGT43" s="30"/>
      <c r="SGU43" s="31"/>
      <c r="SGV43" s="30"/>
      <c r="SGW43" s="31"/>
      <c r="SGX43" s="30"/>
      <c r="SGY43" s="31"/>
      <c r="SGZ43" s="30"/>
      <c r="SHA43" s="31"/>
      <c r="SHB43" s="30"/>
      <c r="SHC43" s="31"/>
      <c r="SHD43" s="30"/>
      <c r="SHE43" s="31"/>
      <c r="SHF43" s="30"/>
      <c r="SHG43" s="31"/>
      <c r="SHH43" s="30"/>
      <c r="SHI43" s="31"/>
      <c r="SHJ43" s="30"/>
      <c r="SHK43" s="31"/>
      <c r="SHL43" s="30"/>
      <c r="SHM43" s="31"/>
      <c r="SHN43" s="30"/>
      <c r="SHO43" s="31"/>
      <c r="SHP43" s="30"/>
      <c r="SHQ43" s="31"/>
      <c r="SHR43" s="30"/>
      <c r="SHS43" s="31"/>
      <c r="SHT43" s="30"/>
      <c r="SHU43" s="31"/>
      <c r="SHV43" s="30"/>
      <c r="SHW43" s="31"/>
      <c r="SHX43" s="30"/>
      <c r="SHY43" s="31"/>
      <c r="SHZ43" s="30"/>
      <c r="SIA43" s="31"/>
      <c r="SIB43" s="30"/>
      <c r="SIC43" s="31"/>
      <c r="SID43" s="30"/>
      <c r="SIE43" s="31"/>
      <c r="SIF43" s="30"/>
      <c r="SIG43" s="31"/>
      <c r="SIH43" s="30"/>
      <c r="SII43" s="31"/>
      <c r="SIJ43" s="30"/>
      <c r="SIK43" s="31"/>
      <c r="SIL43" s="30"/>
      <c r="SIM43" s="31"/>
      <c r="SIN43" s="30"/>
      <c r="SIO43" s="31"/>
      <c r="SIP43" s="30"/>
      <c r="SIQ43" s="31"/>
      <c r="SIR43" s="30"/>
      <c r="SIS43" s="31"/>
      <c r="SIT43" s="30"/>
      <c r="SIU43" s="31"/>
      <c r="SIV43" s="30"/>
      <c r="SIW43" s="31"/>
      <c r="SIX43" s="30"/>
      <c r="SIY43" s="31"/>
      <c r="SIZ43" s="30"/>
      <c r="SJA43" s="31"/>
      <c r="SJB43" s="30"/>
      <c r="SJC43" s="31"/>
      <c r="SJD43" s="30"/>
      <c r="SJE43" s="31"/>
      <c r="SJF43" s="30"/>
      <c r="SJG43" s="31"/>
      <c r="SJH43" s="30"/>
      <c r="SJI43" s="31"/>
      <c r="SJJ43" s="30"/>
      <c r="SJK43" s="31"/>
      <c r="SJL43" s="30"/>
      <c r="SJM43" s="31"/>
      <c r="SJN43" s="30"/>
      <c r="SJO43" s="31"/>
      <c r="SJP43" s="30"/>
      <c r="SJQ43" s="31"/>
      <c r="SJR43" s="30"/>
      <c r="SJS43" s="31"/>
      <c r="SJT43" s="30"/>
      <c r="SJU43" s="31"/>
      <c r="SJV43" s="30"/>
      <c r="SJW43" s="31"/>
      <c r="SJX43" s="30"/>
      <c r="SJY43" s="31"/>
      <c r="SJZ43" s="30"/>
      <c r="SKA43" s="31"/>
      <c r="SKB43" s="30"/>
      <c r="SKC43" s="31"/>
      <c r="SKD43" s="30"/>
      <c r="SKE43" s="31"/>
      <c r="SKF43" s="30"/>
      <c r="SKG43" s="31"/>
      <c r="SKH43" s="30"/>
      <c r="SKI43" s="31"/>
      <c r="SKJ43" s="30"/>
      <c r="SKK43" s="31"/>
      <c r="SKL43" s="30"/>
      <c r="SKM43" s="31"/>
      <c r="SKN43" s="30"/>
      <c r="SKO43" s="31"/>
      <c r="SKP43" s="30"/>
      <c r="SKQ43" s="31"/>
      <c r="SKR43" s="30"/>
      <c r="SKS43" s="31"/>
      <c r="SKT43" s="30"/>
      <c r="SKU43" s="31"/>
      <c r="SKV43" s="30"/>
      <c r="SKW43" s="31"/>
      <c r="SKX43" s="30"/>
      <c r="SKY43" s="31"/>
      <c r="SKZ43" s="30"/>
      <c r="SLA43" s="31"/>
      <c r="SLB43" s="30"/>
      <c r="SLC43" s="31"/>
      <c r="SLD43" s="30"/>
      <c r="SLE43" s="31"/>
      <c r="SLF43" s="30"/>
      <c r="SLG43" s="31"/>
      <c r="SLH43" s="30"/>
      <c r="SLI43" s="31"/>
      <c r="SLJ43" s="30"/>
      <c r="SLK43" s="31"/>
      <c r="SLL43" s="30"/>
      <c r="SLM43" s="31"/>
      <c r="SLN43" s="30"/>
      <c r="SLO43" s="31"/>
      <c r="SLP43" s="30"/>
      <c r="SLQ43" s="31"/>
      <c r="SLR43" s="30"/>
      <c r="SLS43" s="31"/>
      <c r="SLT43" s="30"/>
      <c r="SLU43" s="31"/>
      <c r="SLV43" s="30"/>
      <c r="SLW43" s="31"/>
      <c r="SLX43" s="30"/>
      <c r="SLY43" s="31"/>
      <c r="SLZ43" s="30"/>
      <c r="SMA43" s="31"/>
      <c r="SMB43" s="30"/>
      <c r="SMC43" s="31"/>
      <c r="SMD43" s="30"/>
      <c r="SME43" s="31"/>
      <c r="SMF43" s="30"/>
      <c r="SMG43" s="31"/>
      <c r="SMH43" s="30"/>
      <c r="SMI43" s="31"/>
      <c r="SMJ43" s="30"/>
      <c r="SMK43" s="31"/>
      <c r="SML43" s="30"/>
      <c r="SMM43" s="31"/>
      <c r="SMN43" s="30"/>
      <c r="SMO43" s="31"/>
      <c r="SMP43" s="30"/>
      <c r="SMQ43" s="31"/>
      <c r="SMR43" s="30"/>
      <c r="SMS43" s="31"/>
      <c r="SMT43" s="30"/>
      <c r="SMU43" s="31"/>
      <c r="SMV43" s="30"/>
      <c r="SMW43" s="31"/>
      <c r="SMX43" s="30"/>
      <c r="SMY43" s="31"/>
      <c r="SMZ43" s="30"/>
      <c r="SNA43" s="31"/>
      <c r="SNB43" s="30"/>
      <c r="SNC43" s="31"/>
      <c r="SND43" s="30"/>
      <c r="SNE43" s="31"/>
      <c r="SNF43" s="30"/>
      <c r="SNG43" s="31"/>
      <c r="SNH43" s="30"/>
      <c r="SNI43" s="31"/>
      <c r="SNJ43" s="30"/>
      <c r="SNK43" s="31"/>
      <c r="SNL43" s="30"/>
      <c r="SNM43" s="31"/>
      <c r="SNN43" s="30"/>
      <c r="SNO43" s="31"/>
      <c r="SNP43" s="30"/>
      <c r="SNQ43" s="31"/>
      <c r="SNR43" s="30"/>
      <c r="SNS43" s="31"/>
      <c r="SNT43" s="30"/>
      <c r="SNU43" s="31"/>
      <c r="SNV43" s="30"/>
      <c r="SNW43" s="31"/>
      <c r="SNX43" s="30"/>
      <c r="SNY43" s="31"/>
      <c r="SNZ43" s="30"/>
      <c r="SOA43" s="31"/>
      <c r="SOB43" s="30"/>
      <c r="SOC43" s="31"/>
      <c r="SOD43" s="30"/>
      <c r="SOE43" s="31"/>
      <c r="SOF43" s="30"/>
      <c r="SOG43" s="31"/>
      <c r="SOH43" s="30"/>
      <c r="SOI43" s="31"/>
      <c r="SOJ43" s="30"/>
      <c r="SOK43" s="31"/>
      <c r="SOL43" s="30"/>
      <c r="SOM43" s="31"/>
      <c r="SON43" s="30"/>
      <c r="SOO43" s="31"/>
      <c r="SOP43" s="30"/>
      <c r="SOQ43" s="31"/>
      <c r="SOR43" s="30"/>
      <c r="SOS43" s="31"/>
      <c r="SOT43" s="30"/>
      <c r="SOU43" s="31"/>
      <c r="SOV43" s="30"/>
      <c r="SOW43" s="31"/>
      <c r="SOX43" s="30"/>
      <c r="SOY43" s="31"/>
      <c r="SOZ43" s="30"/>
      <c r="SPA43" s="31"/>
      <c r="SPB43" s="30"/>
      <c r="SPC43" s="31"/>
      <c r="SPD43" s="30"/>
      <c r="SPE43" s="31"/>
      <c r="SPF43" s="30"/>
      <c r="SPG43" s="31"/>
      <c r="SPH43" s="30"/>
      <c r="SPI43" s="31"/>
      <c r="SPJ43" s="30"/>
      <c r="SPK43" s="31"/>
      <c r="SPL43" s="30"/>
      <c r="SPM43" s="31"/>
      <c r="SPN43" s="30"/>
      <c r="SPO43" s="31"/>
      <c r="SPP43" s="30"/>
      <c r="SPQ43" s="31"/>
      <c r="SPR43" s="30"/>
      <c r="SPS43" s="31"/>
      <c r="SPT43" s="30"/>
      <c r="SPU43" s="31"/>
      <c r="SPV43" s="30"/>
      <c r="SPW43" s="31"/>
      <c r="SPX43" s="30"/>
      <c r="SPY43" s="31"/>
      <c r="SPZ43" s="30"/>
      <c r="SQA43" s="31"/>
      <c r="SQB43" s="30"/>
      <c r="SQC43" s="31"/>
      <c r="SQD43" s="30"/>
      <c r="SQE43" s="31"/>
      <c r="SQF43" s="30"/>
      <c r="SQG43" s="31"/>
      <c r="SQH43" s="30"/>
      <c r="SQI43" s="31"/>
      <c r="SQJ43" s="30"/>
      <c r="SQK43" s="31"/>
      <c r="SQL43" s="30"/>
      <c r="SQM43" s="31"/>
      <c r="SQN43" s="30"/>
      <c r="SQO43" s="31"/>
      <c r="SQP43" s="30"/>
      <c r="SQQ43" s="31"/>
      <c r="SQR43" s="30"/>
      <c r="SQS43" s="31"/>
      <c r="SQT43" s="30"/>
      <c r="SQU43" s="31"/>
      <c r="SQV43" s="30"/>
      <c r="SQW43" s="31"/>
      <c r="SQX43" s="30"/>
      <c r="SQY43" s="31"/>
      <c r="SQZ43" s="30"/>
      <c r="SRA43" s="31"/>
      <c r="SRB43" s="30"/>
      <c r="SRC43" s="31"/>
      <c r="SRD43" s="30"/>
      <c r="SRE43" s="31"/>
      <c r="SRF43" s="30"/>
      <c r="SRG43" s="31"/>
      <c r="SRH43" s="30"/>
      <c r="SRI43" s="31"/>
      <c r="SRJ43" s="30"/>
      <c r="SRK43" s="31"/>
      <c r="SRL43" s="30"/>
      <c r="SRM43" s="31"/>
      <c r="SRN43" s="30"/>
      <c r="SRO43" s="31"/>
      <c r="SRP43" s="30"/>
      <c r="SRQ43" s="31"/>
      <c r="SRR43" s="30"/>
      <c r="SRS43" s="31"/>
      <c r="SRT43" s="30"/>
      <c r="SRU43" s="31"/>
      <c r="SRV43" s="30"/>
      <c r="SRW43" s="31"/>
      <c r="SRX43" s="30"/>
      <c r="SRY43" s="31"/>
      <c r="SRZ43" s="30"/>
      <c r="SSA43" s="31"/>
      <c r="SSB43" s="30"/>
      <c r="SSC43" s="31"/>
      <c r="SSD43" s="30"/>
      <c r="SSE43" s="31"/>
      <c r="SSF43" s="30"/>
      <c r="SSG43" s="31"/>
      <c r="SSH43" s="30"/>
      <c r="SSI43" s="31"/>
      <c r="SSJ43" s="30"/>
      <c r="SSK43" s="31"/>
      <c r="SSL43" s="30"/>
      <c r="SSM43" s="31"/>
      <c r="SSN43" s="30"/>
      <c r="SSO43" s="31"/>
      <c r="SSP43" s="30"/>
      <c r="SSQ43" s="31"/>
      <c r="SSR43" s="30"/>
      <c r="SSS43" s="31"/>
      <c r="SST43" s="30"/>
      <c r="SSU43" s="31"/>
      <c r="SSV43" s="30"/>
      <c r="SSW43" s="31"/>
      <c r="SSX43" s="30"/>
      <c r="SSY43" s="31"/>
      <c r="SSZ43" s="30"/>
      <c r="STA43" s="31"/>
      <c r="STB43" s="30"/>
      <c r="STC43" s="31"/>
      <c r="STD43" s="30"/>
      <c r="STE43" s="31"/>
      <c r="STF43" s="30"/>
      <c r="STG43" s="31"/>
      <c r="STH43" s="30"/>
      <c r="STI43" s="31"/>
      <c r="STJ43" s="30"/>
      <c r="STK43" s="31"/>
      <c r="STL43" s="30"/>
      <c r="STM43" s="31"/>
      <c r="STN43" s="30"/>
      <c r="STO43" s="31"/>
      <c r="STP43" s="30"/>
      <c r="STQ43" s="31"/>
      <c r="STR43" s="30"/>
      <c r="STS43" s="31"/>
      <c r="STT43" s="30"/>
      <c r="STU43" s="31"/>
      <c r="STV43" s="30"/>
      <c r="STW43" s="31"/>
      <c r="STX43" s="30"/>
      <c r="STY43" s="31"/>
      <c r="STZ43" s="30"/>
      <c r="SUA43" s="31"/>
      <c r="SUB43" s="30"/>
      <c r="SUC43" s="31"/>
      <c r="SUD43" s="30"/>
      <c r="SUE43" s="31"/>
      <c r="SUF43" s="30"/>
      <c r="SUG43" s="31"/>
      <c r="SUH43" s="30"/>
      <c r="SUI43" s="31"/>
      <c r="SUJ43" s="30"/>
      <c r="SUK43" s="31"/>
      <c r="SUL43" s="30"/>
      <c r="SUM43" s="31"/>
      <c r="SUN43" s="30"/>
      <c r="SUO43" s="31"/>
      <c r="SUP43" s="30"/>
      <c r="SUQ43" s="31"/>
      <c r="SUR43" s="30"/>
      <c r="SUS43" s="31"/>
      <c r="SUT43" s="30"/>
      <c r="SUU43" s="31"/>
      <c r="SUV43" s="30"/>
      <c r="SUW43" s="31"/>
      <c r="SUX43" s="30"/>
      <c r="SUY43" s="31"/>
      <c r="SUZ43" s="30"/>
      <c r="SVA43" s="31"/>
      <c r="SVB43" s="30"/>
      <c r="SVC43" s="31"/>
      <c r="SVD43" s="30"/>
      <c r="SVE43" s="31"/>
      <c r="SVF43" s="30"/>
      <c r="SVG43" s="31"/>
      <c r="SVH43" s="30"/>
      <c r="SVI43" s="31"/>
      <c r="SVJ43" s="30"/>
      <c r="SVK43" s="31"/>
      <c r="SVL43" s="30"/>
      <c r="SVM43" s="31"/>
      <c r="SVN43" s="30"/>
      <c r="SVO43" s="31"/>
      <c r="SVP43" s="30"/>
      <c r="SVQ43" s="31"/>
      <c r="SVR43" s="30"/>
      <c r="SVS43" s="31"/>
      <c r="SVT43" s="30"/>
      <c r="SVU43" s="31"/>
      <c r="SVV43" s="30"/>
      <c r="SVW43" s="31"/>
      <c r="SVX43" s="30"/>
      <c r="SVY43" s="31"/>
      <c r="SVZ43" s="30"/>
      <c r="SWA43" s="31"/>
      <c r="SWB43" s="30"/>
      <c r="SWC43" s="31"/>
      <c r="SWD43" s="30"/>
      <c r="SWE43" s="31"/>
      <c r="SWF43" s="30"/>
      <c r="SWG43" s="31"/>
      <c r="SWH43" s="30"/>
      <c r="SWI43" s="31"/>
      <c r="SWJ43" s="30"/>
      <c r="SWK43" s="31"/>
      <c r="SWL43" s="30"/>
      <c r="SWM43" s="31"/>
      <c r="SWN43" s="30"/>
      <c r="SWO43" s="31"/>
      <c r="SWP43" s="30"/>
      <c r="SWQ43" s="31"/>
      <c r="SWR43" s="30"/>
      <c r="SWS43" s="31"/>
      <c r="SWT43" s="30"/>
      <c r="SWU43" s="31"/>
      <c r="SWV43" s="30"/>
      <c r="SWW43" s="31"/>
      <c r="SWX43" s="30"/>
      <c r="SWY43" s="31"/>
      <c r="SWZ43" s="30"/>
      <c r="SXA43" s="31"/>
      <c r="SXB43" s="30"/>
      <c r="SXC43" s="31"/>
      <c r="SXD43" s="30"/>
      <c r="SXE43" s="31"/>
      <c r="SXF43" s="30"/>
      <c r="SXG43" s="31"/>
      <c r="SXH43" s="30"/>
      <c r="SXI43" s="31"/>
      <c r="SXJ43" s="30"/>
      <c r="SXK43" s="31"/>
      <c r="SXL43" s="30"/>
      <c r="SXM43" s="31"/>
      <c r="SXN43" s="30"/>
      <c r="SXO43" s="31"/>
      <c r="SXP43" s="30"/>
      <c r="SXQ43" s="31"/>
      <c r="SXR43" s="30"/>
      <c r="SXS43" s="31"/>
      <c r="SXT43" s="30"/>
      <c r="SXU43" s="31"/>
      <c r="SXV43" s="30"/>
      <c r="SXW43" s="31"/>
      <c r="SXX43" s="30"/>
      <c r="SXY43" s="31"/>
      <c r="SXZ43" s="30"/>
      <c r="SYA43" s="31"/>
      <c r="SYB43" s="30"/>
      <c r="SYC43" s="31"/>
      <c r="SYD43" s="30"/>
      <c r="SYE43" s="31"/>
      <c r="SYF43" s="30"/>
      <c r="SYG43" s="31"/>
      <c r="SYH43" s="30"/>
      <c r="SYI43" s="31"/>
      <c r="SYJ43" s="30"/>
      <c r="SYK43" s="31"/>
      <c r="SYL43" s="30"/>
      <c r="SYM43" s="31"/>
      <c r="SYN43" s="30"/>
      <c r="SYO43" s="31"/>
      <c r="SYP43" s="30"/>
      <c r="SYQ43" s="31"/>
      <c r="SYR43" s="30"/>
      <c r="SYS43" s="31"/>
      <c r="SYT43" s="30"/>
      <c r="SYU43" s="31"/>
      <c r="SYV43" s="30"/>
      <c r="SYW43" s="31"/>
      <c r="SYX43" s="30"/>
      <c r="SYY43" s="31"/>
      <c r="SYZ43" s="30"/>
      <c r="SZA43" s="31"/>
      <c r="SZB43" s="30"/>
      <c r="SZC43" s="31"/>
      <c r="SZD43" s="30"/>
      <c r="SZE43" s="31"/>
      <c r="SZF43" s="30"/>
      <c r="SZG43" s="31"/>
      <c r="SZH43" s="30"/>
      <c r="SZI43" s="31"/>
      <c r="SZJ43" s="30"/>
      <c r="SZK43" s="31"/>
      <c r="SZL43" s="30"/>
      <c r="SZM43" s="31"/>
      <c r="SZN43" s="30"/>
      <c r="SZO43" s="31"/>
      <c r="SZP43" s="30"/>
      <c r="SZQ43" s="31"/>
      <c r="SZR43" s="30"/>
      <c r="SZS43" s="31"/>
      <c r="SZT43" s="30"/>
      <c r="SZU43" s="31"/>
      <c r="SZV43" s="30"/>
      <c r="SZW43" s="31"/>
      <c r="SZX43" s="30"/>
      <c r="SZY43" s="31"/>
      <c r="SZZ43" s="30"/>
      <c r="TAA43" s="31"/>
      <c r="TAB43" s="30"/>
      <c r="TAC43" s="31"/>
      <c r="TAD43" s="30"/>
      <c r="TAE43" s="31"/>
      <c r="TAF43" s="30"/>
      <c r="TAG43" s="31"/>
      <c r="TAH43" s="30"/>
      <c r="TAI43" s="31"/>
      <c r="TAJ43" s="30"/>
      <c r="TAK43" s="31"/>
      <c r="TAL43" s="30"/>
      <c r="TAM43" s="31"/>
      <c r="TAN43" s="30"/>
      <c r="TAO43" s="31"/>
      <c r="TAP43" s="30"/>
      <c r="TAQ43" s="31"/>
      <c r="TAR43" s="30"/>
      <c r="TAS43" s="31"/>
      <c r="TAT43" s="30"/>
      <c r="TAU43" s="31"/>
      <c r="TAV43" s="30"/>
      <c r="TAW43" s="31"/>
      <c r="TAX43" s="30"/>
      <c r="TAY43" s="31"/>
      <c r="TAZ43" s="30"/>
      <c r="TBA43" s="31"/>
      <c r="TBB43" s="30"/>
      <c r="TBC43" s="31"/>
      <c r="TBD43" s="30"/>
      <c r="TBE43" s="31"/>
      <c r="TBF43" s="30"/>
      <c r="TBG43" s="31"/>
      <c r="TBH43" s="30"/>
      <c r="TBI43" s="31"/>
      <c r="TBJ43" s="30"/>
      <c r="TBK43" s="31"/>
      <c r="TBL43" s="30"/>
      <c r="TBM43" s="31"/>
      <c r="TBN43" s="30"/>
      <c r="TBO43" s="31"/>
      <c r="TBP43" s="30"/>
      <c r="TBQ43" s="31"/>
      <c r="TBR43" s="30"/>
      <c r="TBS43" s="31"/>
      <c r="TBT43" s="30"/>
      <c r="TBU43" s="31"/>
      <c r="TBV43" s="30"/>
      <c r="TBW43" s="31"/>
      <c r="TBX43" s="30"/>
      <c r="TBY43" s="31"/>
      <c r="TBZ43" s="30"/>
      <c r="TCA43" s="31"/>
      <c r="TCB43" s="30"/>
      <c r="TCC43" s="31"/>
      <c r="TCD43" s="30"/>
      <c r="TCE43" s="31"/>
      <c r="TCF43" s="30"/>
      <c r="TCG43" s="31"/>
      <c r="TCH43" s="30"/>
      <c r="TCI43" s="31"/>
      <c r="TCJ43" s="30"/>
      <c r="TCK43" s="31"/>
      <c r="TCL43" s="30"/>
      <c r="TCM43" s="31"/>
      <c r="TCN43" s="30"/>
      <c r="TCO43" s="31"/>
      <c r="TCP43" s="30"/>
      <c r="TCQ43" s="31"/>
      <c r="TCR43" s="30"/>
      <c r="TCS43" s="31"/>
      <c r="TCT43" s="30"/>
      <c r="TCU43" s="31"/>
      <c r="TCV43" s="30"/>
      <c r="TCW43" s="31"/>
      <c r="TCX43" s="30"/>
      <c r="TCY43" s="31"/>
      <c r="TCZ43" s="30"/>
      <c r="TDA43" s="31"/>
      <c r="TDB43" s="30"/>
      <c r="TDC43" s="31"/>
      <c r="TDD43" s="30"/>
      <c r="TDE43" s="31"/>
      <c r="TDF43" s="30"/>
      <c r="TDG43" s="31"/>
      <c r="TDH43" s="30"/>
      <c r="TDI43" s="31"/>
      <c r="TDJ43" s="30"/>
      <c r="TDK43" s="31"/>
      <c r="TDL43" s="30"/>
      <c r="TDM43" s="31"/>
      <c r="TDN43" s="30"/>
      <c r="TDO43" s="31"/>
      <c r="TDP43" s="30"/>
      <c r="TDQ43" s="31"/>
      <c r="TDR43" s="30"/>
      <c r="TDS43" s="31"/>
      <c r="TDT43" s="30"/>
      <c r="TDU43" s="31"/>
      <c r="TDV43" s="30"/>
      <c r="TDW43" s="31"/>
      <c r="TDX43" s="30"/>
      <c r="TDY43" s="31"/>
      <c r="TDZ43" s="30"/>
      <c r="TEA43" s="31"/>
      <c r="TEB43" s="30"/>
      <c r="TEC43" s="31"/>
      <c r="TED43" s="30"/>
      <c r="TEE43" s="31"/>
      <c r="TEF43" s="30"/>
      <c r="TEG43" s="31"/>
      <c r="TEH43" s="30"/>
      <c r="TEI43" s="31"/>
      <c r="TEJ43" s="30"/>
      <c r="TEK43" s="31"/>
      <c r="TEL43" s="30"/>
      <c r="TEM43" s="31"/>
      <c r="TEN43" s="30"/>
      <c r="TEO43" s="31"/>
      <c r="TEP43" s="30"/>
      <c r="TEQ43" s="31"/>
      <c r="TER43" s="30"/>
      <c r="TES43" s="31"/>
      <c r="TET43" s="30"/>
      <c r="TEU43" s="31"/>
      <c r="TEV43" s="30"/>
      <c r="TEW43" s="31"/>
      <c r="TEX43" s="30"/>
      <c r="TEY43" s="31"/>
      <c r="TEZ43" s="30"/>
      <c r="TFA43" s="31"/>
      <c r="TFB43" s="30"/>
      <c r="TFC43" s="31"/>
      <c r="TFD43" s="30"/>
      <c r="TFE43" s="31"/>
      <c r="TFF43" s="30"/>
      <c r="TFG43" s="31"/>
      <c r="TFH43" s="30"/>
      <c r="TFI43" s="31"/>
      <c r="TFJ43" s="30"/>
      <c r="TFK43" s="31"/>
      <c r="TFL43" s="30"/>
      <c r="TFM43" s="31"/>
      <c r="TFN43" s="30"/>
      <c r="TFO43" s="31"/>
      <c r="TFP43" s="30"/>
      <c r="TFQ43" s="31"/>
      <c r="TFR43" s="30"/>
      <c r="TFS43" s="31"/>
      <c r="TFT43" s="30"/>
      <c r="TFU43" s="31"/>
      <c r="TFV43" s="30"/>
      <c r="TFW43" s="31"/>
      <c r="TFX43" s="30"/>
      <c r="TFY43" s="31"/>
      <c r="TFZ43" s="30"/>
      <c r="TGA43" s="31"/>
      <c r="TGB43" s="30"/>
      <c r="TGC43" s="31"/>
      <c r="TGD43" s="30"/>
      <c r="TGE43" s="31"/>
      <c r="TGF43" s="30"/>
      <c r="TGG43" s="31"/>
      <c r="TGH43" s="30"/>
      <c r="TGI43" s="31"/>
      <c r="TGJ43" s="30"/>
      <c r="TGK43" s="31"/>
      <c r="TGL43" s="30"/>
      <c r="TGM43" s="31"/>
      <c r="TGN43" s="30"/>
      <c r="TGO43" s="31"/>
      <c r="TGP43" s="30"/>
      <c r="TGQ43" s="31"/>
      <c r="TGR43" s="30"/>
      <c r="TGS43" s="31"/>
      <c r="TGT43" s="30"/>
      <c r="TGU43" s="31"/>
      <c r="TGV43" s="30"/>
      <c r="TGW43" s="31"/>
      <c r="TGX43" s="30"/>
      <c r="TGY43" s="31"/>
      <c r="TGZ43" s="30"/>
      <c r="THA43" s="31"/>
      <c r="THB43" s="30"/>
      <c r="THC43" s="31"/>
      <c r="THD43" s="30"/>
      <c r="THE43" s="31"/>
      <c r="THF43" s="30"/>
      <c r="THG43" s="31"/>
      <c r="THH43" s="30"/>
      <c r="THI43" s="31"/>
      <c r="THJ43" s="30"/>
      <c r="THK43" s="31"/>
      <c r="THL43" s="30"/>
      <c r="THM43" s="31"/>
      <c r="THN43" s="30"/>
      <c r="THO43" s="31"/>
      <c r="THP43" s="30"/>
      <c r="THQ43" s="31"/>
      <c r="THR43" s="30"/>
      <c r="THS43" s="31"/>
      <c r="THT43" s="30"/>
      <c r="THU43" s="31"/>
      <c r="THV43" s="30"/>
      <c r="THW43" s="31"/>
      <c r="THX43" s="30"/>
      <c r="THY43" s="31"/>
      <c r="THZ43" s="30"/>
      <c r="TIA43" s="31"/>
      <c r="TIB43" s="30"/>
      <c r="TIC43" s="31"/>
      <c r="TID43" s="30"/>
      <c r="TIE43" s="31"/>
      <c r="TIF43" s="30"/>
      <c r="TIG43" s="31"/>
      <c r="TIH43" s="30"/>
      <c r="TII43" s="31"/>
      <c r="TIJ43" s="30"/>
      <c r="TIK43" s="31"/>
      <c r="TIL43" s="30"/>
      <c r="TIM43" s="31"/>
      <c r="TIN43" s="30"/>
      <c r="TIO43" s="31"/>
      <c r="TIP43" s="30"/>
      <c r="TIQ43" s="31"/>
      <c r="TIR43" s="30"/>
      <c r="TIS43" s="31"/>
      <c r="TIT43" s="30"/>
      <c r="TIU43" s="31"/>
      <c r="TIV43" s="30"/>
      <c r="TIW43" s="31"/>
      <c r="TIX43" s="30"/>
      <c r="TIY43" s="31"/>
      <c r="TIZ43" s="30"/>
      <c r="TJA43" s="31"/>
      <c r="TJB43" s="30"/>
      <c r="TJC43" s="31"/>
      <c r="TJD43" s="30"/>
      <c r="TJE43" s="31"/>
      <c r="TJF43" s="30"/>
      <c r="TJG43" s="31"/>
      <c r="TJH43" s="30"/>
      <c r="TJI43" s="31"/>
      <c r="TJJ43" s="30"/>
      <c r="TJK43" s="31"/>
      <c r="TJL43" s="30"/>
      <c r="TJM43" s="31"/>
      <c r="TJN43" s="30"/>
      <c r="TJO43" s="31"/>
      <c r="TJP43" s="30"/>
      <c r="TJQ43" s="31"/>
      <c r="TJR43" s="30"/>
      <c r="TJS43" s="31"/>
      <c r="TJT43" s="30"/>
      <c r="TJU43" s="31"/>
      <c r="TJV43" s="30"/>
      <c r="TJW43" s="31"/>
      <c r="TJX43" s="30"/>
      <c r="TJY43" s="31"/>
      <c r="TJZ43" s="30"/>
      <c r="TKA43" s="31"/>
      <c r="TKB43" s="30"/>
      <c r="TKC43" s="31"/>
      <c r="TKD43" s="30"/>
      <c r="TKE43" s="31"/>
      <c r="TKF43" s="30"/>
      <c r="TKG43" s="31"/>
      <c r="TKH43" s="30"/>
      <c r="TKI43" s="31"/>
      <c r="TKJ43" s="30"/>
      <c r="TKK43" s="31"/>
      <c r="TKL43" s="30"/>
      <c r="TKM43" s="31"/>
      <c r="TKN43" s="30"/>
      <c r="TKO43" s="31"/>
      <c r="TKP43" s="30"/>
      <c r="TKQ43" s="31"/>
      <c r="TKR43" s="30"/>
      <c r="TKS43" s="31"/>
      <c r="TKT43" s="30"/>
      <c r="TKU43" s="31"/>
      <c r="TKV43" s="30"/>
      <c r="TKW43" s="31"/>
      <c r="TKX43" s="30"/>
      <c r="TKY43" s="31"/>
      <c r="TKZ43" s="30"/>
      <c r="TLA43" s="31"/>
      <c r="TLB43" s="30"/>
      <c r="TLC43" s="31"/>
      <c r="TLD43" s="30"/>
      <c r="TLE43" s="31"/>
      <c r="TLF43" s="30"/>
      <c r="TLG43" s="31"/>
      <c r="TLH43" s="30"/>
      <c r="TLI43" s="31"/>
      <c r="TLJ43" s="30"/>
      <c r="TLK43" s="31"/>
      <c r="TLL43" s="30"/>
      <c r="TLM43" s="31"/>
      <c r="TLN43" s="30"/>
      <c r="TLO43" s="31"/>
      <c r="TLP43" s="30"/>
      <c r="TLQ43" s="31"/>
      <c r="TLR43" s="30"/>
      <c r="TLS43" s="31"/>
      <c r="TLT43" s="30"/>
      <c r="TLU43" s="31"/>
      <c r="TLV43" s="30"/>
      <c r="TLW43" s="31"/>
      <c r="TLX43" s="30"/>
      <c r="TLY43" s="31"/>
      <c r="TLZ43" s="30"/>
      <c r="TMA43" s="31"/>
      <c r="TMB43" s="30"/>
      <c r="TMC43" s="31"/>
      <c r="TMD43" s="30"/>
      <c r="TME43" s="31"/>
      <c r="TMF43" s="30"/>
      <c r="TMG43" s="31"/>
      <c r="TMH43" s="30"/>
      <c r="TMI43" s="31"/>
      <c r="TMJ43" s="30"/>
      <c r="TMK43" s="31"/>
      <c r="TML43" s="30"/>
      <c r="TMM43" s="31"/>
      <c r="TMN43" s="30"/>
      <c r="TMO43" s="31"/>
      <c r="TMP43" s="30"/>
      <c r="TMQ43" s="31"/>
      <c r="TMR43" s="30"/>
      <c r="TMS43" s="31"/>
      <c r="TMT43" s="30"/>
      <c r="TMU43" s="31"/>
      <c r="TMV43" s="30"/>
      <c r="TMW43" s="31"/>
      <c r="TMX43" s="30"/>
      <c r="TMY43" s="31"/>
      <c r="TMZ43" s="30"/>
      <c r="TNA43" s="31"/>
      <c r="TNB43" s="30"/>
      <c r="TNC43" s="31"/>
      <c r="TND43" s="30"/>
      <c r="TNE43" s="31"/>
      <c r="TNF43" s="30"/>
      <c r="TNG43" s="31"/>
      <c r="TNH43" s="30"/>
      <c r="TNI43" s="31"/>
      <c r="TNJ43" s="30"/>
      <c r="TNK43" s="31"/>
      <c r="TNL43" s="30"/>
      <c r="TNM43" s="31"/>
      <c r="TNN43" s="30"/>
      <c r="TNO43" s="31"/>
      <c r="TNP43" s="30"/>
      <c r="TNQ43" s="31"/>
      <c r="TNR43" s="30"/>
      <c r="TNS43" s="31"/>
      <c r="TNT43" s="30"/>
      <c r="TNU43" s="31"/>
      <c r="TNV43" s="30"/>
      <c r="TNW43" s="31"/>
      <c r="TNX43" s="30"/>
      <c r="TNY43" s="31"/>
      <c r="TNZ43" s="30"/>
      <c r="TOA43" s="31"/>
      <c r="TOB43" s="30"/>
      <c r="TOC43" s="31"/>
      <c r="TOD43" s="30"/>
      <c r="TOE43" s="31"/>
      <c r="TOF43" s="30"/>
      <c r="TOG43" s="31"/>
      <c r="TOH43" s="30"/>
      <c r="TOI43" s="31"/>
      <c r="TOJ43" s="30"/>
      <c r="TOK43" s="31"/>
      <c r="TOL43" s="30"/>
      <c r="TOM43" s="31"/>
      <c r="TON43" s="30"/>
      <c r="TOO43" s="31"/>
      <c r="TOP43" s="30"/>
      <c r="TOQ43" s="31"/>
      <c r="TOR43" s="30"/>
      <c r="TOS43" s="31"/>
      <c r="TOT43" s="30"/>
      <c r="TOU43" s="31"/>
      <c r="TOV43" s="30"/>
      <c r="TOW43" s="31"/>
      <c r="TOX43" s="30"/>
      <c r="TOY43" s="31"/>
      <c r="TOZ43" s="30"/>
      <c r="TPA43" s="31"/>
      <c r="TPB43" s="30"/>
      <c r="TPC43" s="31"/>
      <c r="TPD43" s="30"/>
      <c r="TPE43" s="31"/>
      <c r="TPF43" s="30"/>
      <c r="TPG43" s="31"/>
      <c r="TPH43" s="30"/>
      <c r="TPI43" s="31"/>
      <c r="TPJ43" s="30"/>
      <c r="TPK43" s="31"/>
      <c r="TPL43" s="30"/>
      <c r="TPM43" s="31"/>
      <c r="TPN43" s="30"/>
      <c r="TPO43" s="31"/>
      <c r="TPP43" s="30"/>
      <c r="TPQ43" s="31"/>
      <c r="TPR43" s="30"/>
      <c r="TPS43" s="31"/>
      <c r="TPT43" s="30"/>
      <c r="TPU43" s="31"/>
      <c r="TPV43" s="30"/>
      <c r="TPW43" s="31"/>
      <c r="TPX43" s="30"/>
      <c r="TPY43" s="31"/>
      <c r="TPZ43" s="30"/>
      <c r="TQA43" s="31"/>
      <c r="TQB43" s="30"/>
      <c r="TQC43" s="31"/>
      <c r="TQD43" s="30"/>
      <c r="TQE43" s="31"/>
      <c r="TQF43" s="30"/>
      <c r="TQG43" s="31"/>
      <c r="TQH43" s="30"/>
      <c r="TQI43" s="31"/>
      <c r="TQJ43" s="30"/>
      <c r="TQK43" s="31"/>
      <c r="TQL43" s="30"/>
      <c r="TQM43" s="31"/>
      <c r="TQN43" s="30"/>
      <c r="TQO43" s="31"/>
      <c r="TQP43" s="30"/>
      <c r="TQQ43" s="31"/>
      <c r="TQR43" s="30"/>
      <c r="TQS43" s="31"/>
      <c r="TQT43" s="30"/>
      <c r="TQU43" s="31"/>
      <c r="TQV43" s="30"/>
      <c r="TQW43" s="31"/>
      <c r="TQX43" s="30"/>
      <c r="TQY43" s="31"/>
      <c r="TQZ43" s="30"/>
      <c r="TRA43" s="31"/>
      <c r="TRB43" s="30"/>
      <c r="TRC43" s="31"/>
      <c r="TRD43" s="30"/>
      <c r="TRE43" s="31"/>
      <c r="TRF43" s="30"/>
      <c r="TRG43" s="31"/>
      <c r="TRH43" s="30"/>
      <c r="TRI43" s="31"/>
      <c r="TRJ43" s="30"/>
      <c r="TRK43" s="31"/>
      <c r="TRL43" s="30"/>
      <c r="TRM43" s="31"/>
      <c r="TRN43" s="30"/>
      <c r="TRO43" s="31"/>
      <c r="TRP43" s="30"/>
      <c r="TRQ43" s="31"/>
      <c r="TRR43" s="30"/>
      <c r="TRS43" s="31"/>
      <c r="TRT43" s="30"/>
      <c r="TRU43" s="31"/>
      <c r="TRV43" s="30"/>
      <c r="TRW43" s="31"/>
      <c r="TRX43" s="30"/>
      <c r="TRY43" s="31"/>
      <c r="TRZ43" s="30"/>
      <c r="TSA43" s="31"/>
      <c r="TSB43" s="30"/>
      <c r="TSC43" s="31"/>
      <c r="TSD43" s="30"/>
      <c r="TSE43" s="31"/>
      <c r="TSF43" s="30"/>
      <c r="TSG43" s="31"/>
      <c r="TSH43" s="30"/>
      <c r="TSI43" s="31"/>
      <c r="TSJ43" s="30"/>
      <c r="TSK43" s="31"/>
      <c r="TSL43" s="30"/>
      <c r="TSM43" s="31"/>
      <c r="TSN43" s="30"/>
      <c r="TSO43" s="31"/>
      <c r="TSP43" s="30"/>
      <c r="TSQ43" s="31"/>
      <c r="TSR43" s="30"/>
      <c r="TSS43" s="31"/>
      <c r="TST43" s="30"/>
      <c r="TSU43" s="31"/>
      <c r="TSV43" s="30"/>
      <c r="TSW43" s="31"/>
      <c r="TSX43" s="30"/>
      <c r="TSY43" s="31"/>
      <c r="TSZ43" s="30"/>
      <c r="TTA43" s="31"/>
      <c r="TTB43" s="30"/>
      <c r="TTC43" s="31"/>
      <c r="TTD43" s="30"/>
      <c r="TTE43" s="31"/>
      <c r="TTF43" s="30"/>
      <c r="TTG43" s="31"/>
      <c r="TTH43" s="30"/>
      <c r="TTI43" s="31"/>
      <c r="TTJ43" s="30"/>
      <c r="TTK43" s="31"/>
      <c r="TTL43" s="30"/>
      <c r="TTM43" s="31"/>
      <c r="TTN43" s="30"/>
      <c r="TTO43" s="31"/>
      <c r="TTP43" s="30"/>
      <c r="TTQ43" s="31"/>
      <c r="TTR43" s="30"/>
      <c r="TTS43" s="31"/>
      <c r="TTT43" s="30"/>
      <c r="TTU43" s="31"/>
      <c r="TTV43" s="30"/>
      <c r="TTW43" s="31"/>
      <c r="TTX43" s="30"/>
      <c r="TTY43" s="31"/>
      <c r="TTZ43" s="30"/>
      <c r="TUA43" s="31"/>
      <c r="TUB43" s="30"/>
      <c r="TUC43" s="31"/>
      <c r="TUD43" s="30"/>
      <c r="TUE43" s="31"/>
      <c r="TUF43" s="30"/>
      <c r="TUG43" s="31"/>
      <c r="TUH43" s="30"/>
      <c r="TUI43" s="31"/>
      <c r="TUJ43" s="30"/>
      <c r="TUK43" s="31"/>
      <c r="TUL43" s="30"/>
      <c r="TUM43" s="31"/>
      <c r="TUN43" s="30"/>
      <c r="TUO43" s="31"/>
      <c r="TUP43" s="30"/>
      <c r="TUQ43" s="31"/>
      <c r="TUR43" s="30"/>
      <c r="TUS43" s="31"/>
      <c r="TUT43" s="30"/>
      <c r="TUU43" s="31"/>
      <c r="TUV43" s="30"/>
      <c r="TUW43" s="31"/>
      <c r="TUX43" s="30"/>
      <c r="TUY43" s="31"/>
      <c r="TUZ43" s="30"/>
      <c r="TVA43" s="31"/>
      <c r="TVB43" s="30"/>
      <c r="TVC43" s="31"/>
      <c r="TVD43" s="30"/>
      <c r="TVE43" s="31"/>
      <c r="TVF43" s="30"/>
      <c r="TVG43" s="31"/>
      <c r="TVH43" s="30"/>
      <c r="TVI43" s="31"/>
      <c r="TVJ43" s="30"/>
      <c r="TVK43" s="31"/>
      <c r="TVL43" s="30"/>
      <c r="TVM43" s="31"/>
      <c r="TVN43" s="30"/>
      <c r="TVO43" s="31"/>
      <c r="TVP43" s="30"/>
      <c r="TVQ43" s="31"/>
      <c r="TVR43" s="30"/>
      <c r="TVS43" s="31"/>
      <c r="TVT43" s="30"/>
      <c r="TVU43" s="31"/>
      <c r="TVV43" s="30"/>
      <c r="TVW43" s="31"/>
      <c r="TVX43" s="30"/>
      <c r="TVY43" s="31"/>
      <c r="TVZ43" s="30"/>
      <c r="TWA43" s="31"/>
      <c r="TWB43" s="30"/>
      <c r="TWC43" s="31"/>
      <c r="TWD43" s="30"/>
      <c r="TWE43" s="31"/>
      <c r="TWF43" s="30"/>
      <c r="TWG43" s="31"/>
      <c r="TWH43" s="30"/>
      <c r="TWI43" s="31"/>
      <c r="TWJ43" s="30"/>
      <c r="TWK43" s="31"/>
      <c r="TWL43" s="30"/>
      <c r="TWM43" s="31"/>
      <c r="TWN43" s="30"/>
      <c r="TWO43" s="31"/>
      <c r="TWP43" s="30"/>
      <c r="TWQ43" s="31"/>
      <c r="TWR43" s="30"/>
      <c r="TWS43" s="31"/>
      <c r="TWT43" s="30"/>
      <c r="TWU43" s="31"/>
      <c r="TWV43" s="30"/>
      <c r="TWW43" s="31"/>
      <c r="TWX43" s="30"/>
      <c r="TWY43" s="31"/>
      <c r="TWZ43" s="30"/>
      <c r="TXA43" s="31"/>
      <c r="TXB43" s="30"/>
      <c r="TXC43" s="31"/>
      <c r="TXD43" s="30"/>
      <c r="TXE43" s="31"/>
      <c r="TXF43" s="30"/>
      <c r="TXG43" s="31"/>
      <c r="TXH43" s="30"/>
      <c r="TXI43" s="31"/>
      <c r="TXJ43" s="30"/>
      <c r="TXK43" s="31"/>
      <c r="TXL43" s="30"/>
      <c r="TXM43" s="31"/>
      <c r="TXN43" s="30"/>
      <c r="TXO43" s="31"/>
      <c r="TXP43" s="30"/>
      <c r="TXQ43" s="31"/>
      <c r="TXR43" s="30"/>
      <c r="TXS43" s="31"/>
      <c r="TXT43" s="30"/>
      <c r="TXU43" s="31"/>
      <c r="TXV43" s="30"/>
      <c r="TXW43" s="31"/>
      <c r="TXX43" s="30"/>
      <c r="TXY43" s="31"/>
      <c r="TXZ43" s="30"/>
      <c r="TYA43" s="31"/>
      <c r="TYB43" s="30"/>
      <c r="TYC43" s="31"/>
      <c r="TYD43" s="30"/>
      <c r="TYE43" s="31"/>
      <c r="TYF43" s="30"/>
      <c r="TYG43" s="31"/>
      <c r="TYH43" s="30"/>
      <c r="TYI43" s="31"/>
      <c r="TYJ43" s="30"/>
      <c r="TYK43" s="31"/>
      <c r="TYL43" s="30"/>
      <c r="TYM43" s="31"/>
      <c r="TYN43" s="30"/>
      <c r="TYO43" s="31"/>
      <c r="TYP43" s="30"/>
      <c r="TYQ43" s="31"/>
      <c r="TYR43" s="30"/>
      <c r="TYS43" s="31"/>
      <c r="TYT43" s="30"/>
      <c r="TYU43" s="31"/>
      <c r="TYV43" s="30"/>
      <c r="TYW43" s="31"/>
      <c r="TYX43" s="30"/>
      <c r="TYY43" s="31"/>
      <c r="TYZ43" s="30"/>
      <c r="TZA43" s="31"/>
      <c r="TZB43" s="30"/>
      <c r="TZC43" s="31"/>
      <c r="TZD43" s="30"/>
      <c r="TZE43" s="31"/>
      <c r="TZF43" s="30"/>
      <c r="TZG43" s="31"/>
      <c r="TZH43" s="30"/>
      <c r="TZI43" s="31"/>
      <c r="TZJ43" s="30"/>
      <c r="TZK43" s="31"/>
      <c r="TZL43" s="30"/>
      <c r="TZM43" s="31"/>
      <c r="TZN43" s="30"/>
      <c r="TZO43" s="31"/>
      <c r="TZP43" s="30"/>
      <c r="TZQ43" s="31"/>
      <c r="TZR43" s="30"/>
      <c r="TZS43" s="31"/>
      <c r="TZT43" s="30"/>
      <c r="TZU43" s="31"/>
      <c r="TZV43" s="30"/>
      <c r="TZW43" s="31"/>
      <c r="TZX43" s="30"/>
      <c r="TZY43" s="31"/>
      <c r="TZZ43" s="30"/>
      <c r="UAA43" s="31"/>
      <c r="UAB43" s="30"/>
      <c r="UAC43" s="31"/>
      <c r="UAD43" s="30"/>
      <c r="UAE43" s="31"/>
      <c r="UAF43" s="30"/>
      <c r="UAG43" s="31"/>
      <c r="UAH43" s="30"/>
      <c r="UAI43" s="31"/>
      <c r="UAJ43" s="30"/>
      <c r="UAK43" s="31"/>
      <c r="UAL43" s="30"/>
      <c r="UAM43" s="31"/>
      <c r="UAN43" s="30"/>
      <c r="UAO43" s="31"/>
      <c r="UAP43" s="30"/>
      <c r="UAQ43" s="31"/>
      <c r="UAR43" s="30"/>
      <c r="UAS43" s="31"/>
      <c r="UAT43" s="30"/>
      <c r="UAU43" s="31"/>
      <c r="UAV43" s="30"/>
      <c r="UAW43" s="31"/>
      <c r="UAX43" s="30"/>
      <c r="UAY43" s="31"/>
      <c r="UAZ43" s="30"/>
      <c r="UBA43" s="31"/>
      <c r="UBB43" s="30"/>
      <c r="UBC43" s="31"/>
      <c r="UBD43" s="30"/>
      <c r="UBE43" s="31"/>
      <c r="UBF43" s="30"/>
      <c r="UBG43" s="31"/>
      <c r="UBH43" s="30"/>
      <c r="UBI43" s="31"/>
      <c r="UBJ43" s="30"/>
      <c r="UBK43" s="31"/>
      <c r="UBL43" s="30"/>
      <c r="UBM43" s="31"/>
      <c r="UBN43" s="30"/>
      <c r="UBO43" s="31"/>
      <c r="UBP43" s="30"/>
      <c r="UBQ43" s="31"/>
      <c r="UBR43" s="30"/>
      <c r="UBS43" s="31"/>
      <c r="UBT43" s="30"/>
      <c r="UBU43" s="31"/>
      <c r="UBV43" s="30"/>
      <c r="UBW43" s="31"/>
      <c r="UBX43" s="30"/>
      <c r="UBY43" s="31"/>
      <c r="UBZ43" s="30"/>
      <c r="UCA43" s="31"/>
      <c r="UCB43" s="30"/>
      <c r="UCC43" s="31"/>
      <c r="UCD43" s="30"/>
      <c r="UCE43" s="31"/>
      <c r="UCF43" s="30"/>
      <c r="UCG43" s="31"/>
      <c r="UCH43" s="30"/>
      <c r="UCI43" s="31"/>
      <c r="UCJ43" s="30"/>
      <c r="UCK43" s="31"/>
      <c r="UCL43" s="30"/>
      <c r="UCM43" s="31"/>
      <c r="UCN43" s="30"/>
      <c r="UCO43" s="31"/>
      <c r="UCP43" s="30"/>
      <c r="UCQ43" s="31"/>
      <c r="UCR43" s="30"/>
      <c r="UCS43" s="31"/>
      <c r="UCT43" s="30"/>
      <c r="UCU43" s="31"/>
      <c r="UCV43" s="30"/>
      <c r="UCW43" s="31"/>
      <c r="UCX43" s="30"/>
      <c r="UCY43" s="31"/>
      <c r="UCZ43" s="30"/>
      <c r="UDA43" s="31"/>
      <c r="UDB43" s="30"/>
      <c r="UDC43" s="31"/>
      <c r="UDD43" s="30"/>
      <c r="UDE43" s="31"/>
      <c r="UDF43" s="30"/>
      <c r="UDG43" s="31"/>
      <c r="UDH43" s="30"/>
      <c r="UDI43" s="31"/>
      <c r="UDJ43" s="30"/>
      <c r="UDK43" s="31"/>
      <c r="UDL43" s="30"/>
      <c r="UDM43" s="31"/>
      <c r="UDN43" s="30"/>
      <c r="UDO43" s="31"/>
      <c r="UDP43" s="30"/>
      <c r="UDQ43" s="31"/>
      <c r="UDR43" s="30"/>
      <c r="UDS43" s="31"/>
      <c r="UDT43" s="30"/>
      <c r="UDU43" s="31"/>
      <c r="UDV43" s="30"/>
      <c r="UDW43" s="31"/>
      <c r="UDX43" s="30"/>
      <c r="UDY43" s="31"/>
      <c r="UDZ43" s="30"/>
      <c r="UEA43" s="31"/>
      <c r="UEB43" s="30"/>
      <c r="UEC43" s="31"/>
      <c r="UED43" s="30"/>
      <c r="UEE43" s="31"/>
      <c r="UEF43" s="30"/>
      <c r="UEG43" s="31"/>
      <c r="UEH43" s="30"/>
      <c r="UEI43" s="31"/>
      <c r="UEJ43" s="30"/>
      <c r="UEK43" s="31"/>
      <c r="UEL43" s="30"/>
      <c r="UEM43" s="31"/>
      <c r="UEN43" s="30"/>
      <c r="UEO43" s="31"/>
      <c r="UEP43" s="30"/>
      <c r="UEQ43" s="31"/>
      <c r="UER43" s="30"/>
      <c r="UES43" s="31"/>
      <c r="UET43" s="30"/>
      <c r="UEU43" s="31"/>
      <c r="UEV43" s="30"/>
      <c r="UEW43" s="31"/>
      <c r="UEX43" s="30"/>
      <c r="UEY43" s="31"/>
      <c r="UEZ43" s="30"/>
      <c r="UFA43" s="31"/>
      <c r="UFB43" s="30"/>
      <c r="UFC43" s="31"/>
      <c r="UFD43" s="30"/>
      <c r="UFE43" s="31"/>
      <c r="UFF43" s="30"/>
      <c r="UFG43" s="31"/>
      <c r="UFH43" s="30"/>
      <c r="UFI43" s="31"/>
      <c r="UFJ43" s="30"/>
      <c r="UFK43" s="31"/>
      <c r="UFL43" s="30"/>
      <c r="UFM43" s="31"/>
      <c r="UFN43" s="30"/>
      <c r="UFO43" s="31"/>
      <c r="UFP43" s="30"/>
      <c r="UFQ43" s="31"/>
      <c r="UFR43" s="30"/>
      <c r="UFS43" s="31"/>
      <c r="UFT43" s="30"/>
      <c r="UFU43" s="31"/>
      <c r="UFV43" s="30"/>
      <c r="UFW43" s="31"/>
      <c r="UFX43" s="30"/>
      <c r="UFY43" s="31"/>
      <c r="UFZ43" s="30"/>
      <c r="UGA43" s="31"/>
      <c r="UGB43" s="30"/>
      <c r="UGC43" s="31"/>
      <c r="UGD43" s="30"/>
      <c r="UGE43" s="31"/>
      <c r="UGF43" s="30"/>
      <c r="UGG43" s="31"/>
      <c r="UGH43" s="30"/>
      <c r="UGI43" s="31"/>
      <c r="UGJ43" s="30"/>
      <c r="UGK43" s="31"/>
      <c r="UGL43" s="30"/>
      <c r="UGM43" s="31"/>
      <c r="UGN43" s="30"/>
      <c r="UGO43" s="31"/>
      <c r="UGP43" s="30"/>
      <c r="UGQ43" s="31"/>
      <c r="UGR43" s="30"/>
      <c r="UGS43" s="31"/>
      <c r="UGT43" s="30"/>
      <c r="UGU43" s="31"/>
      <c r="UGV43" s="30"/>
      <c r="UGW43" s="31"/>
      <c r="UGX43" s="30"/>
      <c r="UGY43" s="31"/>
      <c r="UGZ43" s="30"/>
      <c r="UHA43" s="31"/>
      <c r="UHB43" s="30"/>
      <c r="UHC43" s="31"/>
      <c r="UHD43" s="30"/>
      <c r="UHE43" s="31"/>
      <c r="UHF43" s="30"/>
      <c r="UHG43" s="31"/>
      <c r="UHH43" s="30"/>
      <c r="UHI43" s="31"/>
      <c r="UHJ43" s="30"/>
      <c r="UHK43" s="31"/>
      <c r="UHL43" s="30"/>
      <c r="UHM43" s="31"/>
      <c r="UHN43" s="30"/>
      <c r="UHO43" s="31"/>
      <c r="UHP43" s="30"/>
      <c r="UHQ43" s="31"/>
      <c r="UHR43" s="30"/>
      <c r="UHS43" s="31"/>
      <c r="UHT43" s="30"/>
      <c r="UHU43" s="31"/>
      <c r="UHV43" s="30"/>
      <c r="UHW43" s="31"/>
      <c r="UHX43" s="30"/>
      <c r="UHY43" s="31"/>
      <c r="UHZ43" s="30"/>
      <c r="UIA43" s="31"/>
      <c r="UIB43" s="30"/>
      <c r="UIC43" s="31"/>
      <c r="UID43" s="30"/>
      <c r="UIE43" s="31"/>
      <c r="UIF43" s="30"/>
      <c r="UIG43" s="31"/>
      <c r="UIH43" s="30"/>
      <c r="UII43" s="31"/>
      <c r="UIJ43" s="30"/>
      <c r="UIK43" s="31"/>
      <c r="UIL43" s="30"/>
      <c r="UIM43" s="31"/>
      <c r="UIN43" s="30"/>
      <c r="UIO43" s="31"/>
      <c r="UIP43" s="30"/>
      <c r="UIQ43" s="31"/>
      <c r="UIR43" s="30"/>
      <c r="UIS43" s="31"/>
      <c r="UIT43" s="30"/>
      <c r="UIU43" s="31"/>
      <c r="UIV43" s="30"/>
      <c r="UIW43" s="31"/>
      <c r="UIX43" s="30"/>
      <c r="UIY43" s="31"/>
      <c r="UIZ43" s="30"/>
      <c r="UJA43" s="31"/>
      <c r="UJB43" s="30"/>
      <c r="UJC43" s="31"/>
      <c r="UJD43" s="30"/>
      <c r="UJE43" s="31"/>
      <c r="UJF43" s="30"/>
      <c r="UJG43" s="31"/>
      <c r="UJH43" s="30"/>
      <c r="UJI43" s="31"/>
      <c r="UJJ43" s="30"/>
      <c r="UJK43" s="31"/>
      <c r="UJL43" s="30"/>
      <c r="UJM43" s="31"/>
      <c r="UJN43" s="30"/>
      <c r="UJO43" s="31"/>
      <c r="UJP43" s="30"/>
      <c r="UJQ43" s="31"/>
      <c r="UJR43" s="30"/>
      <c r="UJS43" s="31"/>
      <c r="UJT43" s="30"/>
      <c r="UJU43" s="31"/>
      <c r="UJV43" s="30"/>
      <c r="UJW43" s="31"/>
      <c r="UJX43" s="30"/>
      <c r="UJY43" s="31"/>
      <c r="UJZ43" s="30"/>
      <c r="UKA43" s="31"/>
      <c r="UKB43" s="30"/>
      <c r="UKC43" s="31"/>
      <c r="UKD43" s="30"/>
      <c r="UKE43" s="31"/>
      <c r="UKF43" s="30"/>
      <c r="UKG43" s="31"/>
      <c r="UKH43" s="30"/>
      <c r="UKI43" s="31"/>
      <c r="UKJ43" s="30"/>
      <c r="UKK43" s="31"/>
      <c r="UKL43" s="30"/>
      <c r="UKM43" s="31"/>
      <c r="UKN43" s="30"/>
      <c r="UKO43" s="31"/>
      <c r="UKP43" s="30"/>
      <c r="UKQ43" s="31"/>
      <c r="UKR43" s="30"/>
      <c r="UKS43" s="31"/>
      <c r="UKT43" s="30"/>
      <c r="UKU43" s="31"/>
      <c r="UKV43" s="30"/>
      <c r="UKW43" s="31"/>
      <c r="UKX43" s="30"/>
      <c r="UKY43" s="31"/>
      <c r="UKZ43" s="30"/>
      <c r="ULA43" s="31"/>
      <c r="ULB43" s="30"/>
      <c r="ULC43" s="31"/>
      <c r="ULD43" s="30"/>
      <c r="ULE43" s="31"/>
      <c r="ULF43" s="30"/>
      <c r="ULG43" s="31"/>
      <c r="ULH43" s="30"/>
      <c r="ULI43" s="31"/>
      <c r="ULJ43" s="30"/>
      <c r="ULK43" s="31"/>
      <c r="ULL43" s="30"/>
      <c r="ULM43" s="31"/>
      <c r="ULN43" s="30"/>
      <c r="ULO43" s="31"/>
      <c r="ULP43" s="30"/>
      <c r="ULQ43" s="31"/>
      <c r="ULR43" s="30"/>
      <c r="ULS43" s="31"/>
      <c r="ULT43" s="30"/>
      <c r="ULU43" s="31"/>
      <c r="ULV43" s="30"/>
      <c r="ULW43" s="31"/>
      <c r="ULX43" s="30"/>
      <c r="ULY43" s="31"/>
      <c r="ULZ43" s="30"/>
      <c r="UMA43" s="31"/>
      <c r="UMB43" s="30"/>
      <c r="UMC43" s="31"/>
      <c r="UMD43" s="30"/>
      <c r="UME43" s="31"/>
      <c r="UMF43" s="30"/>
      <c r="UMG43" s="31"/>
      <c r="UMH43" s="30"/>
      <c r="UMI43" s="31"/>
      <c r="UMJ43" s="30"/>
      <c r="UMK43" s="31"/>
      <c r="UML43" s="30"/>
      <c r="UMM43" s="31"/>
      <c r="UMN43" s="30"/>
      <c r="UMO43" s="31"/>
      <c r="UMP43" s="30"/>
      <c r="UMQ43" s="31"/>
      <c r="UMR43" s="30"/>
      <c r="UMS43" s="31"/>
      <c r="UMT43" s="30"/>
      <c r="UMU43" s="31"/>
      <c r="UMV43" s="30"/>
      <c r="UMW43" s="31"/>
      <c r="UMX43" s="30"/>
      <c r="UMY43" s="31"/>
      <c r="UMZ43" s="30"/>
      <c r="UNA43" s="31"/>
      <c r="UNB43" s="30"/>
      <c r="UNC43" s="31"/>
      <c r="UND43" s="30"/>
      <c r="UNE43" s="31"/>
      <c r="UNF43" s="30"/>
      <c r="UNG43" s="31"/>
      <c r="UNH43" s="30"/>
      <c r="UNI43" s="31"/>
      <c r="UNJ43" s="30"/>
      <c r="UNK43" s="31"/>
      <c r="UNL43" s="30"/>
      <c r="UNM43" s="31"/>
      <c r="UNN43" s="30"/>
      <c r="UNO43" s="31"/>
      <c r="UNP43" s="30"/>
      <c r="UNQ43" s="31"/>
      <c r="UNR43" s="30"/>
      <c r="UNS43" s="31"/>
      <c r="UNT43" s="30"/>
      <c r="UNU43" s="31"/>
      <c r="UNV43" s="30"/>
      <c r="UNW43" s="31"/>
      <c r="UNX43" s="30"/>
      <c r="UNY43" s="31"/>
      <c r="UNZ43" s="30"/>
      <c r="UOA43" s="31"/>
      <c r="UOB43" s="30"/>
      <c r="UOC43" s="31"/>
      <c r="UOD43" s="30"/>
      <c r="UOE43" s="31"/>
      <c r="UOF43" s="30"/>
      <c r="UOG43" s="31"/>
      <c r="UOH43" s="30"/>
      <c r="UOI43" s="31"/>
      <c r="UOJ43" s="30"/>
      <c r="UOK43" s="31"/>
      <c r="UOL43" s="30"/>
      <c r="UOM43" s="31"/>
      <c r="UON43" s="30"/>
      <c r="UOO43" s="31"/>
      <c r="UOP43" s="30"/>
      <c r="UOQ43" s="31"/>
      <c r="UOR43" s="30"/>
      <c r="UOS43" s="31"/>
      <c r="UOT43" s="30"/>
      <c r="UOU43" s="31"/>
      <c r="UOV43" s="30"/>
      <c r="UOW43" s="31"/>
      <c r="UOX43" s="30"/>
      <c r="UOY43" s="31"/>
      <c r="UOZ43" s="30"/>
      <c r="UPA43" s="31"/>
      <c r="UPB43" s="30"/>
      <c r="UPC43" s="31"/>
      <c r="UPD43" s="30"/>
      <c r="UPE43" s="31"/>
      <c r="UPF43" s="30"/>
      <c r="UPG43" s="31"/>
      <c r="UPH43" s="30"/>
      <c r="UPI43" s="31"/>
      <c r="UPJ43" s="30"/>
      <c r="UPK43" s="31"/>
      <c r="UPL43" s="30"/>
      <c r="UPM43" s="31"/>
      <c r="UPN43" s="30"/>
      <c r="UPO43" s="31"/>
      <c r="UPP43" s="30"/>
      <c r="UPQ43" s="31"/>
      <c r="UPR43" s="30"/>
      <c r="UPS43" s="31"/>
      <c r="UPT43" s="30"/>
      <c r="UPU43" s="31"/>
      <c r="UPV43" s="30"/>
      <c r="UPW43" s="31"/>
      <c r="UPX43" s="30"/>
      <c r="UPY43" s="31"/>
      <c r="UPZ43" s="30"/>
      <c r="UQA43" s="31"/>
      <c r="UQB43" s="30"/>
      <c r="UQC43" s="31"/>
      <c r="UQD43" s="30"/>
      <c r="UQE43" s="31"/>
      <c r="UQF43" s="30"/>
      <c r="UQG43" s="31"/>
      <c r="UQH43" s="30"/>
      <c r="UQI43" s="31"/>
      <c r="UQJ43" s="30"/>
      <c r="UQK43" s="31"/>
      <c r="UQL43" s="30"/>
      <c r="UQM43" s="31"/>
      <c r="UQN43" s="30"/>
      <c r="UQO43" s="31"/>
      <c r="UQP43" s="30"/>
      <c r="UQQ43" s="31"/>
      <c r="UQR43" s="30"/>
      <c r="UQS43" s="31"/>
      <c r="UQT43" s="30"/>
      <c r="UQU43" s="31"/>
      <c r="UQV43" s="30"/>
      <c r="UQW43" s="31"/>
      <c r="UQX43" s="30"/>
      <c r="UQY43" s="31"/>
      <c r="UQZ43" s="30"/>
      <c r="URA43" s="31"/>
      <c r="URB43" s="30"/>
      <c r="URC43" s="31"/>
      <c r="URD43" s="30"/>
      <c r="URE43" s="31"/>
      <c r="URF43" s="30"/>
      <c r="URG43" s="31"/>
      <c r="URH43" s="30"/>
      <c r="URI43" s="31"/>
      <c r="URJ43" s="30"/>
      <c r="URK43" s="31"/>
      <c r="URL43" s="30"/>
      <c r="URM43" s="31"/>
      <c r="URN43" s="30"/>
      <c r="URO43" s="31"/>
      <c r="URP43" s="30"/>
      <c r="URQ43" s="31"/>
      <c r="URR43" s="30"/>
      <c r="URS43" s="31"/>
      <c r="URT43" s="30"/>
      <c r="URU43" s="31"/>
      <c r="URV43" s="30"/>
      <c r="URW43" s="31"/>
      <c r="URX43" s="30"/>
      <c r="URY43" s="31"/>
      <c r="URZ43" s="30"/>
      <c r="USA43" s="31"/>
      <c r="USB43" s="30"/>
      <c r="USC43" s="31"/>
      <c r="USD43" s="30"/>
      <c r="USE43" s="31"/>
      <c r="USF43" s="30"/>
      <c r="USG43" s="31"/>
      <c r="USH43" s="30"/>
      <c r="USI43" s="31"/>
      <c r="USJ43" s="30"/>
      <c r="USK43" s="31"/>
      <c r="USL43" s="30"/>
      <c r="USM43" s="31"/>
      <c r="USN43" s="30"/>
      <c r="USO43" s="31"/>
      <c r="USP43" s="30"/>
      <c r="USQ43" s="31"/>
      <c r="USR43" s="30"/>
      <c r="USS43" s="31"/>
      <c r="UST43" s="30"/>
      <c r="USU43" s="31"/>
      <c r="USV43" s="30"/>
      <c r="USW43" s="31"/>
      <c r="USX43" s="30"/>
      <c r="USY43" s="31"/>
      <c r="USZ43" s="30"/>
      <c r="UTA43" s="31"/>
      <c r="UTB43" s="30"/>
      <c r="UTC43" s="31"/>
      <c r="UTD43" s="30"/>
      <c r="UTE43" s="31"/>
      <c r="UTF43" s="30"/>
      <c r="UTG43" s="31"/>
      <c r="UTH43" s="30"/>
      <c r="UTI43" s="31"/>
      <c r="UTJ43" s="30"/>
      <c r="UTK43" s="31"/>
      <c r="UTL43" s="30"/>
      <c r="UTM43" s="31"/>
      <c r="UTN43" s="30"/>
      <c r="UTO43" s="31"/>
      <c r="UTP43" s="30"/>
      <c r="UTQ43" s="31"/>
      <c r="UTR43" s="30"/>
      <c r="UTS43" s="31"/>
      <c r="UTT43" s="30"/>
      <c r="UTU43" s="31"/>
      <c r="UTV43" s="30"/>
      <c r="UTW43" s="31"/>
      <c r="UTX43" s="30"/>
      <c r="UTY43" s="31"/>
      <c r="UTZ43" s="30"/>
      <c r="UUA43" s="31"/>
      <c r="UUB43" s="30"/>
      <c r="UUC43" s="31"/>
      <c r="UUD43" s="30"/>
      <c r="UUE43" s="31"/>
      <c r="UUF43" s="30"/>
      <c r="UUG43" s="31"/>
      <c r="UUH43" s="30"/>
      <c r="UUI43" s="31"/>
      <c r="UUJ43" s="30"/>
      <c r="UUK43" s="31"/>
      <c r="UUL43" s="30"/>
      <c r="UUM43" s="31"/>
      <c r="UUN43" s="30"/>
      <c r="UUO43" s="31"/>
      <c r="UUP43" s="30"/>
      <c r="UUQ43" s="31"/>
      <c r="UUR43" s="30"/>
      <c r="UUS43" s="31"/>
      <c r="UUT43" s="30"/>
      <c r="UUU43" s="31"/>
      <c r="UUV43" s="30"/>
      <c r="UUW43" s="31"/>
      <c r="UUX43" s="30"/>
      <c r="UUY43" s="31"/>
      <c r="UUZ43" s="30"/>
      <c r="UVA43" s="31"/>
      <c r="UVB43" s="30"/>
      <c r="UVC43" s="31"/>
      <c r="UVD43" s="30"/>
      <c r="UVE43" s="31"/>
      <c r="UVF43" s="30"/>
      <c r="UVG43" s="31"/>
      <c r="UVH43" s="30"/>
      <c r="UVI43" s="31"/>
      <c r="UVJ43" s="30"/>
      <c r="UVK43" s="31"/>
      <c r="UVL43" s="30"/>
      <c r="UVM43" s="31"/>
      <c r="UVN43" s="30"/>
      <c r="UVO43" s="31"/>
      <c r="UVP43" s="30"/>
      <c r="UVQ43" s="31"/>
      <c r="UVR43" s="30"/>
      <c r="UVS43" s="31"/>
      <c r="UVT43" s="30"/>
      <c r="UVU43" s="31"/>
      <c r="UVV43" s="30"/>
      <c r="UVW43" s="31"/>
      <c r="UVX43" s="30"/>
      <c r="UVY43" s="31"/>
      <c r="UVZ43" s="30"/>
      <c r="UWA43" s="31"/>
      <c r="UWB43" s="30"/>
      <c r="UWC43" s="31"/>
      <c r="UWD43" s="30"/>
      <c r="UWE43" s="31"/>
      <c r="UWF43" s="30"/>
      <c r="UWG43" s="31"/>
      <c r="UWH43" s="30"/>
      <c r="UWI43" s="31"/>
      <c r="UWJ43" s="30"/>
      <c r="UWK43" s="31"/>
      <c r="UWL43" s="30"/>
      <c r="UWM43" s="31"/>
      <c r="UWN43" s="30"/>
      <c r="UWO43" s="31"/>
      <c r="UWP43" s="30"/>
      <c r="UWQ43" s="31"/>
      <c r="UWR43" s="30"/>
      <c r="UWS43" s="31"/>
      <c r="UWT43" s="30"/>
      <c r="UWU43" s="31"/>
      <c r="UWV43" s="30"/>
      <c r="UWW43" s="31"/>
      <c r="UWX43" s="30"/>
      <c r="UWY43" s="31"/>
      <c r="UWZ43" s="30"/>
      <c r="UXA43" s="31"/>
      <c r="UXB43" s="30"/>
      <c r="UXC43" s="31"/>
      <c r="UXD43" s="30"/>
      <c r="UXE43" s="31"/>
      <c r="UXF43" s="30"/>
      <c r="UXG43" s="31"/>
      <c r="UXH43" s="30"/>
      <c r="UXI43" s="31"/>
      <c r="UXJ43" s="30"/>
      <c r="UXK43" s="31"/>
      <c r="UXL43" s="30"/>
      <c r="UXM43" s="31"/>
      <c r="UXN43" s="30"/>
      <c r="UXO43" s="31"/>
      <c r="UXP43" s="30"/>
      <c r="UXQ43" s="31"/>
      <c r="UXR43" s="30"/>
      <c r="UXS43" s="31"/>
      <c r="UXT43" s="30"/>
      <c r="UXU43" s="31"/>
      <c r="UXV43" s="30"/>
      <c r="UXW43" s="31"/>
      <c r="UXX43" s="30"/>
      <c r="UXY43" s="31"/>
      <c r="UXZ43" s="30"/>
      <c r="UYA43" s="31"/>
      <c r="UYB43" s="30"/>
      <c r="UYC43" s="31"/>
      <c r="UYD43" s="30"/>
      <c r="UYE43" s="31"/>
      <c r="UYF43" s="30"/>
      <c r="UYG43" s="31"/>
      <c r="UYH43" s="30"/>
      <c r="UYI43" s="31"/>
      <c r="UYJ43" s="30"/>
      <c r="UYK43" s="31"/>
      <c r="UYL43" s="30"/>
      <c r="UYM43" s="31"/>
      <c r="UYN43" s="30"/>
      <c r="UYO43" s="31"/>
      <c r="UYP43" s="30"/>
      <c r="UYQ43" s="31"/>
      <c r="UYR43" s="30"/>
      <c r="UYS43" s="31"/>
      <c r="UYT43" s="30"/>
      <c r="UYU43" s="31"/>
      <c r="UYV43" s="30"/>
      <c r="UYW43" s="31"/>
      <c r="UYX43" s="30"/>
      <c r="UYY43" s="31"/>
      <c r="UYZ43" s="30"/>
      <c r="UZA43" s="31"/>
      <c r="UZB43" s="30"/>
      <c r="UZC43" s="31"/>
      <c r="UZD43" s="30"/>
      <c r="UZE43" s="31"/>
      <c r="UZF43" s="30"/>
      <c r="UZG43" s="31"/>
      <c r="UZH43" s="30"/>
      <c r="UZI43" s="31"/>
      <c r="UZJ43" s="30"/>
      <c r="UZK43" s="31"/>
      <c r="UZL43" s="30"/>
      <c r="UZM43" s="31"/>
      <c r="UZN43" s="30"/>
      <c r="UZO43" s="31"/>
      <c r="UZP43" s="30"/>
      <c r="UZQ43" s="31"/>
      <c r="UZR43" s="30"/>
      <c r="UZS43" s="31"/>
      <c r="UZT43" s="30"/>
      <c r="UZU43" s="31"/>
      <c r="UZV43" s="30"/>
      <c r="UZW43" s="31"/>
      <c r="UZX43" s="30"/>
      <c r="UZY43" s="31"/>
      <c r="UZZ43" s="30"/>
      <c r="VAA43" s="31"/>
      <c r="VAB43" s="30"/>
      <c r="VAC43" s="31"/>
      <c r="VAD43" s="30"/>
      <c r="VAE43" s="31"/>
      <c r="VAF43" s="30"/>
      <c r="VAG43" s="31"/>
      <c r="VAH43" s="30"/>
      <c r="VAI43" s="31"/>
      <c r="VAJ43" s="30"/>
      <c r="VAK43" s="31"/>
      <c r="VAL43" s="30"/>
      <c r="VAM43" s="31"/>
      <c r="VAN43" s="30"/>
      <c r="VAO43" s="31"/>
      <c r="VAP43" s="30"/>
      <c r="VAQ43" s="31"/>
      <c r="VAR43" s="30"/>
      <c r="VAS43" s="31"/>
      <c r="VAT43" s="30"/>
      <c r="VAU43" s="31"/>
      <c r="VAV43" s="30"/>
      <c r="VAW43" s="31"/>
      <c r="VAX43" s="30"/>
      <c r="VAY43" s="31"/>
      <c r="VAZ43" s="30"/>
      <c r="VBA43" s="31"/>
      <c r="VBB43" s="30"/>
      <c r="VBC43" s="31"/>
      <c r="VBD43" s="30"/>
      <c r="VBE43" s="31"/>
      <c r="VBF43" s="30"/>
      <c r="VBG43" s="31"/>
      <c r="VBH43" s="30"/>
      <c r="VBI43" s="31"/>
      <c r="VBJ43" s="30"/>
      <c r="VBK43" s="31"/>
      <c r="VBL43" s="30"/>
      <c r="VBM43" s="31"/>
      <c r="VBN43" s="30"/>
      <c r="VBO43" s="31"/>
      <c r="VBP43" s="30"/>
      <c r="VBQ43" s="31"/>
      <c r="VBR43" s="30"/>
      <c r="VBS43" s="31"/>
      <c r="VBT43" s="30"/>
      <c r="VBU43" s="31"/>
      <c r="VBV43" s="30"/>
      <c r="VBW43" s="31"/>
      <c r="VBX43" s="30"/>
      <c r="VBY43" s="31"/>
      <c r="VBZ43" s="30"/>
      <c r="VCA43" s="31"/>
      <c r="VCB43" s="30"/>
      <c r="VCC43" s="31"/>
      <c r="VCD43" s="30"/>
      <c r="VCE43" s="31"/>
      <c r="VCF43" s="30"/>
      <c r="VCG43" s="31"/>
      <c r="VCH43" s="30"/>
      <c r="VCI43" s="31"/>
      <c r="VCJ43" s="30"/>
      <c r="VCK43" s="31"/>
      <c r="VCL43" s="30"/>
      <c r="VCM43" s="31"/>
      <c r="VCN43" s="30"/>
      <c r="VCO43" s="31"/>
      <c r="VCP43" s="30"/>
      <c r="VCQ43" s="31"/>
      <c r="VCR43" s="30"/>
      <c r="VCS43" s="31"/>
      <c r="VCT43" s="30"/>
      <c r="VCU43" s="31"/>
      <c r="VCV43" s="30"/>
      <c r="VCW43" s="31"/>
      <c r="VCX43" s="30"/>
      <c r="VCY43" s="31"/>
      <c r="VCZ43" s="30"/>
      <c r="VDA43" s="31"/>
      <c r="VDB43" s="30"/>
      <c r="VDC43" s="31"/>
      <c r="VDD43" s="30"/>
      <c r="VDE43" s="31"/>
      <c r="VDF43" s="30"/>
      <c r="VDG43" s="31"/>
      <c r="VDH43" s="30"/>
      <c r="VDI43" s="31"/>
      <c r="VDJ43" s="30"/>
      <c r="VDK43" s="31"/>
      <c r="VDL43" s="30"/>
      <c r="VDM43" s="31"/>
      <c r="VDN43" s="30"/>
      <c r="VDO43" s="31"/>
      <c r="VDP43" s="30"/>
      <c r="VDQ43" s="31"/>
      <c r="VDR43" s="30"/>
      <c r="VDS43" s="31"/>
      <c r="VDT43" s="30"/>
      <c r="VDU43" s="31"/>
      <c r="VDV43" s="30"/>
      <c r="VDW43" s="31"/>
      <c r="VDX43" s="30"/>
      <c r="VDY43" s="31"/>
      <c r="VDZ43" s="30"/>
      <c r="VEA43" s="31"/>
      <c r="VEB43" s="30"/>
      <c r="VEC43" s="31"/>
      <c r="VED43" s="30"/>
      <c r="VEE43" s="31"/>
      <c r="VEF43" s="30"/>
      <c r="VEG43" s="31"/>
      <c r="VEH43" s="30"/>
      <c r="VEI43" s="31"/>
      <c r="VEJ43" s="30"/>
      <c r="VEK43" s="31"/>
      <c r="VEL43" s="30"/>
      <c r="VEM43" s="31"/>
      <c r="VEN43" s="30"/>
      <c r="VEO43" s="31"/>
      <c r="VEP43" s="30"/>
      <c r="VEQ43" s="31"/>
      <c r="VER43" s="30"/>
      <c r="VES43" s="31"/>
      <c r="VET43" s="30"/>
      <c r="VEU43" s="31"/>
      <c r="VEV43" s="30"/>
      <c r="VEW43" s="31"/>
      <c r="VEX43" s="30"/>
      <c r="VEY43" s="31"/>
      <c r="VEZ43" s="30"/>
      <c r="VFA43" s="31"/>
      <c r="VFB43" s="30"/>
      <c r="VFC43" s="31"/>
      <c r="VFD43" s="30"/>
      <c r="VFE43" s="31"/>
      <c r="VFF43" s="30"/>
      <c r="VFG43" s="31"/>
      <c r="VFH43" s="30"/>
      <c r="VFI43" s="31"/>
      <c r="VFJ43" s="30"/>
      <c r="VFK43" s="31"/>
      <c r="VFL43" s="30"/>
      <c r="VFM43" s="31"/>
      <c r="VFN43" s="30"/>
      <c r="VFO43" s="31"/>
      <c r="VFP43" s="30"/>
      <c r="VFQ43" s="31"/>
      <c r="VFR43" s="30"/>
      <c r="VFS43" s="31"/>
      <c r="VFT43" s="30"/>
      <c r="VFU43" s="31"/>
      <c r="VFV43" s="30"/>
      <c r="VFW43" s="31"/>
      <c r="VFX43" s="30"/>
      <c r="VFY43" s="31"/>
      <c r="VFZ43" s="30"/>
      <c r="VGA43" s="31"/>
      <c r="VGB43" s="30"/>
      <c r="VGC43" s="31"/>
      <c r="VGD43" s="30"/>
      <c r="VGE43" s="31"/>
      <c r="VGF43" s="30"/>
      <c r="VGG43" s="31"/>
      <c r="VGH43" s="30"/>
      <c r="VGI43" s="31"/>
      <c r="VGJ43" s="30"/>
      <c r="VGK43" s="31"/>
      <c r="VGL43" s="30"/>
      <c r="VGM43" s="31"/>
      <c r="VGN43" s="30"/>
      <c r="VGO43" s="31"/>
      <c r="VGP43" s="30"/>
      <c r="VGQ43" s="31"/>
      <c r="VGR43" s="30"/>
      <c r="VGS43" s="31"/>
      <c r="VGT43" s="30"/>
      <c r="VGU43" s="31"/>
      <c r="VGV43" s="30"/>
      <c r="VGW43" s="31"/>
      <c r="VGX43" s="30"/>
      <c r="VGY43" s="31"/>
      <c r="VGZ43" s="30"/>
      <c r="VHA43" s="31"/>
      <c r="VHB43" s="30"/>
      <c r="VHC43" s="31"/>
      <c r="VHD43" s="30"/>
      <c r="VHE43" s="31"/>
      <c r="VHF43" s="30"/>
      <c r="VHG43" s="31"/>
      <c r="VHH43" s="30"/>
      <c r="VHI43" s="31"/>
      <c r="VHJ43" s="30"/>
      <c r="VHK43" s="31"/>
      <c r="VHL43" s="30"/>
      <c r="VHM43" s="31"/>
      <c r="VHN43" s="30"/>
      <c r="VHO43" s="31"/>
      <c r="VHP43" s="30"/>
      <c r="VHQ43" s="31"/>
      <c r="VHR43" s="30"/>
      <c r="VHS43" s="31"/>
      <c r="VHT43" s="30"/>
      <c r="VHU43" s="31"/>
      <c r="VHV43" s="30"/>
      <c r="VHW43" s="31"/>
      <c r="VHX43" s="30"/>
      <c r="VHY43" s="31"/>
      <c r="VHZ43" s="30"/>
      <c r="VIA43" s="31"/>
      <c r="VIB43" s="30"/>
      <c r="VIC43" s="31"/>
      <c r="VID43" s="30"/>
      <c r="VIE43" s="31"/>
      <c r="VIF43" s="30"/>
      <c r="VIG43" s="31"/>
      <c r="VIH43" s="30"/>
      <c r="VII43" s="31"/>
      <c r="VIJ43" s="30"/>
      <c r="VIK43" s="31"/>
      <c r="VIL43" s="30"/>
      <c r="VIM43" s="31"/>
      <c r="VIN43" s="30"/>
      <c r="VIO43" s="31"/>
      <c r="VIP43" s="30"/>
      <c r="VIQ43" s="31"/>
      <c r="VIR43" s="30"/>
      <c r="VIS43" s="31"/>
      <c r="VIT43" s="30"/>
      <c r="VIU43" s="31"/>
      <c r="VIV43" s="30"/>
      <c r="VIW43" s="31"/>
      <c r="VIX43" s="30"/>
      <c r="VIY43" s="31"/>
      <c r="VIZ43" s="30"/>
      <c r="VJA43" s="31"/>
      <c r="VJB43" s="30"/>
      <c r="VJC43" s="31"/>
      <c r="VJD43" s="30"/>
      <c r="VJE43" s="31"/>
      <c r="VJF43" s="30"/>
      <c r="VJG43" s="31"/>
      <c r="VJH43" s="30"/>
      <c r="VJI43" s="31"/>
      <c r="VJJ43" s="30"/>
      <c r="VJK43" s="31"/>
      <c r="VJL43" s="30"/>
      <c r="VJM43" s="31"/>
      <c r="VJN43" s="30"/>
      <c r="VJO43" s="31"/>
      <c r="VJP43" s="30"/>
      <c r="VJQ43" s="31"/>
      <c r="VJR43" s="30"/>
      <c r="VJS43" s="31"/>
      <c r="VJT43" s="30"/>
      <c r="VJU43" s="31"/>
      <c r="VJV43" s="30"/>
      <c r="VJW43" s="31"/>
      <c r="VJX43" s="30"/>
      <c r="VJY43" s="31"/>
      <c r="VJZ43" s="30"/>
      <c r="VKA43" s="31"/>
      <c r="VKB43" s="30"/>
      <c r="VKC43" s="31"/>
      <c r="VKD43" s="30"/>
      <c r="VKE43" s="31"/>
      <c r="VKF43" s="30"/>
      <c r="VKG43" s="31"/>
      <c r="VKH43" s="30"/>
      <c r="VKI43" s="31"/>
      <c r="VKJ43" s="30"/>
      <c r="VKK43" s="31"/>
      <c r="VKL43" s="30"/>
      <c r="VKM43" s="31"/>
      <c r="VKN43" s="30"/>
      <c r="VKO43" s="31"/>
      <c r="VKP43" s="30"/>
      <c r="VKQ43" s="31"/>
      <c r="VKR43" s="30"/>
      <c r="VKS43" s="31"/>
      <c r="VKT43" s="30"/>
      <c r="VKU43" s="31"/>
      <c r="VKV43" s="30"/>
      <c r="VKW43" s="31"/>
      <c r="VKX43" s="30"/>
      <c r="VKY43" s="31"/>
      <c r="VKZ43" s="30"/>
      <c r="VLA43" s="31"/>
      <c r="VLB43" s="30"/>
      <c r="VLC43" s="31"/>
      <c r="VLD43" s="30"/>
      <c r="VLE43" s="31"/>
      <c r="VLF43" s="30"/>
      <c r="VLG43" s="31"/>
      <c r="VLH43" s="30"/>
      <c r="VLI43" s="31"/>
      <c r="VLJ43" s="30"/>
      <c r="VLK43" s="31"/>
      <c r="VLL43" s="30"/>
      <c r="VLM43" s="31"/>
      <c r="VLN43" s="30"/>
      <c r="VLO43" s="31"/>
      <c r="VLP43" s="30"/>
      <c r="VLQ43" s="31"/>
      <c r="VLR43" s="30"/>
      <c r="VLS43" s="31"/>
      <c r="VLT43" s="30"/>
      <c r="VLU43" s="31"/>
      <c r="VLV43" s="30"/>
      <c r="VLW43" s="31"/>
      <c r="VLX43" s="30"/>
      <c r="VLY43" s="31"/>
      <c r="VLZ43" s="30"/>
      <c r="VMA43" s="31"/>
      <c r="VMB43" s="30"/>
      <c r="VMC43" s="31"/>
      <c r="VMD43" s="30"/>
      <c r="VME43" s="31"/>
      <c r="VMF43" s="30"/>
      <c r="VMG43" s="31"/>
      <c r="VMH43" s="30"/>
      <c r="VMI43" s="31"/>
      <c r="VMJ43" s="30"/>
      <c r="VMK43" s="31"/>
      <c r="VML43" s="30"/>
      <c r="VMM43" s="31"/>
      <c r="VMN43" s="30"/>
      <c r="VMO43" s="31"/>
      <c r="VMP43" s="30"/>
      <c r="VMQ43" s="31"/>
      <c r="VMR43" s="30"/>
      <c r="VMS43" s="31"/>
      <c r="VMT43" s="30"/>
      <c r="VMU43" s="31"/>
      <c r="VMV43" s="30"/>
      <c r="VMW43" s="31"/>
      <c r="VMX43" s="30"/>
      <c r="VMY43" s="31"/>
      <c r="VMZ43" s="30"/>
      <c r="VNA43" s="31"/>
      <c r="VNB43" s="30"/>
      <c r="VNC43" s="31"/>
      <c r="VND43" s="30"/>
      <c r="VNE43" s="31"/>
      <c r="VNF43" s="30"/>
      <c r="VNG43" s="31"/>
      <c r="VNH43" s="30"/>
      <c r="VNI43" s="31"/>
      <c r="VNJ43" s="30"/>
      <c r="VNK43" s="31"/>
      <c r="VNL43" s="30"/>
      <c r="VNM43" s="31"/>
      <c r="VNN43" s="30"/>
      <c r="VNO43" s="31"/>
      <c r="VNP43" s="30"/>
      <c r="VNQ43" s="31"/>
      <c r="VNR43" s="30"/>
      <c r="VNS43" s="31"/>
      <c r="VNT43" s="30"/>
      <c r="VNU43" s="31"/>
      <c r="VNV43" s="30"/>
      <c r="VNW43" s="31"/>
      <c r="VNX43" s="30"/>
      <c r="VNY43" s="31"/>
      <c r="VNZ43" s="30"/>
      <c r="VOA43" s="31"/>
      <c r="VOB43" s="30"/>
      <c r="VOC43" s="31"/>
      <c r="VOD43" s="30"/>
      <c r="VOE43" s="31"/>
      <c r="VOF43" s="30"/>
      <c r="VOG43" s="31"/>
      <c r="VOH43" s="30"/>
      <c r="VOI43" s="31"/>
      <c r="VOJ43" s="30"/>
      <c r="VOK43" s="31"/>
      <c r="VOL43" s="30"/>
      <c r="VOM43" s="31"/>
      <c r="VON43" s="30"/>
      <c r="VOO43" s="31"/>
      <c r="VOP43" s="30"/>
      <c r="VOQ43" s="31"/>
      <c r="VOR43" s="30"/>
      <c r="VOS43" s="31"/>
      <c r="VOT43" s="30"/>
      <c r="VOU43" s="31"/>
      <c r="VOV43" s="30"/>
      <c r="VOW43" s="31"/>
      <c r="VOX43" s="30"/>
      <c r="VOY43" s="31"/>
      <c r="VOZ43" s="30"/>
      <c r="VPA43" s="31"/>
      <c r="VPB43" s="30"/>
      <c r="VPC43" s="31"/>
      <c r="VPD43" s="30"/>
      <c r="VPE43" s="31"/>
      <c r="VPF43" s="30"/>
      <c r="VPG43" s="31"/>
      <c r="VPH43" s="30"/>
      <c r="VPI43" s="31"/>
      <c r="VPJ43" s="30"/>
      <c r="VPK43" s="31"/>
      <c r="VPL43" s="30"/>
      <c r="VPM43" s="31"/>
      <c r="VPN43" s="30"/>
      <c r="VPO43" s="31"/>
      <c r="VPP43" s="30"/>
      <c r="VPQ43" s="31"/>
      <c r="VPR43" s="30"/>
      <c r="VPS43" s="31"/>
      <c r="VPT43" s="30"/>
      <c r="VPU43" s="31"/>
      <c r="VPV43" s="30"/>
      <c r="VPW43" s="31"/>
      <c r="VPX43" s="30"/>
      <c r="VPY43" s="31"/>
      <c r="VPZ43" s="30"/>
      <c r="VQA43" s="31"/>
      <c r="VQB43" s="30"/>
      <c r="VQC43" s="31"/>
      <c r="VQD43" s="30"/>
      <c r="VQE43" s="31"/>
      <c r="VQF43" s="30"/>
      <c r="VQG43" s="31"/>
      <c r="VQH43" s="30"/>
      <c r="VQI43" s="31"/>
      <c r="VQJ43" s="30"/>
      <c r="VQK43" s="31"/>
      <c r="VQL43" s="30"/>
      <c r="VQM43" s="31"/>
      <c r="VQN43" s="30"/>
      <c r="VQO43" s="31"/>
      <c r="VQP43" s="30"/>
      <c r="VQQ43" s="31"/>
      <c r="VQR43" s="30"/>
      <c r="VQS43" s="31"/>
      <c r="VQT43" s="30"/>
      <c r="VQU43" s="31"/>
      <c r="VQV43" s="30"/>
      <c r="VQW43" s="31"/>
      <c r="VQX43" s="30"/>
      <c r="VQY43" s="31"/>
      <c r="VQZ43" s="30"/>
      <c r="VRA43" s="31"/>
      <c r="VRB43" s="30"/>
      <c r="VRC43" s="31"/>
      <c r="VRD43" s="30"/>
      <c r="VRE43" s="31"/>
      <c r="VRF43" s="30"/>
      <c r="VRG43" s="31"/>
      <c r="VRH43" s="30"/>
      <c r="VRI43" s="31"/>
      <c r="VRJ43" s="30"/>
      <c r="VRK43" s="31"/>
      <c r="VRL43" s="30"/>
      <c r="VRM43" s="31"/>
      <c r="VRN43" s="30"/>
      <c r="VRO43" s="31"/>
      <c r="VRP43" s="30"/>
      <c r="VRQ43" s="31"/>
      <c r="VRR43" s="30"/>
      <c r="VRS43" s="31"/>
      <c r="VRT43" s="30"/>
      <c r="VRU43" s="31"/>
      <c r="VRV43" s="30"/>
      <c r="VRW43" s="31"/>
      <c r="VRX43" s="30"/>
      <c r="VRY43" s="31"/>
      <c r="VRZ43" s="30"/>
      <c r="VSA43" s="31"/>
      <c r="VSB43" s="30"/>
      <c r="VSC43" s="31"/>
      <c r="VSD43" s="30"/>
      <c r="VSE43" s="31"/>
      <c r="VSF43" s="30"/>
      <c r="VSG43" s="31"/>
      <c r="VSH43" s="30"/>
      <c r="VSI43" s="31"/>
      <c r="VSJ43" s="30"/>
      <c r="VSK43" s="31"/>
      <c r="VSL43" s="30"/>
      <c r="VSM43" s="31"/>
      <c r="VSN43" s="30"/>
      <c r="VSO43" s="31"/>
      <c r="VSP43" s="30"/>
      <c r="VSQ43" s="31"/>
      <c r="VSR43" s="30"/>
      <c r="VSS43" s="31"/>
      <c r="VST43" s="30"/>
      <c r="VSU43" s="31"/>
      <c r="VSV43" s="30"/>
      <c r="VSW43" s="31"/>
      <c r="VSX43" s="30"/>
      <c r="VSY43" s="31"/>
      <c r="VSZ43" s="30"/>
      <c r="VTA43" s="31"/>
      <c r="VTB43" s="30"/>
      <c r="VTC43" s="31"/>
      <c r="VTD43" s="30"/>
      <c r="VTE43" s="31"/>
      <c r="VTF43" s="30"/>
      <c r="VTG43" s="31"/>
      <c r="VTH43" s="30"/>
      <c r="VTI43" s="31"/>
      <c r="VTJ43" s="30"/>
      <c r="VTK43" s="31"/>
      <c r="VTL43" s="30"/>
      <c r="VTM43" s="31"/>
      <c r="VTN43" s="30"/>
      <c r="VTO43" s="31"/>
      <c r="VTP43" s="30"/>
      <c r="VTQ43" s="31"/>
      <c r="VTR43" s="30"/>
      <c r="VTS43" s="31"/>
      <c r="VTT43" s="30"/>
      <c r="VTU43" s="31"/>
      <c r="VTV43" s="30"/>
      <c r="VTW43" s="31"/>
      <c r="VTX43" s="30"/>
      <c r="VTY43" s="31"/>
      <c r="VTZ43" s="30"/>
      <c r="VUA43" s="31"/>
      <c r="VUB43" s="30"/>
      <c r="VUC43" s="31"/>
      <c r="VUD43" s="30"/>
      <c r="VUE43" s="31"/>
      <c r="VUF43" s="30"/>
      <c r="VUG43" s="31"/>
      <c r="VUH43" s="30"/>
      <c r="VUI43" s="31"/>
      <c r="VUJ43" s="30"/>
      <c r="VUK43" s="31"/>
      <c r="VUL43" s="30"/>
      <c r="VUM43" s="31"/>
      <c r="VUN43" s="30"/>
      <c r="VUO43" s="31"/>
      <c r="VUP43" s="30"/>
      <c r="VUQ43" s="31"/>
      <c r="VUR43" s="30"/>
      <c r="VUS43" s="31"/>
      <c r="VUT43" s="30"/>
      <c r="VUU43" s="31"/>
      <c r="VUV43" s="30"/>
      <c r="VUW43" s="31"/>
      <c r="VUX43" s="30"/>
      <c r="VUY43" s="31"/>
      <c r="VUZ43" s="30"/>
      <c r="VVA43" s="31"/>
      <c r="VVB43" s="30"/>
      <c r="VVC43" s="31"/>
      <c r="VVD43" s="30"/>
      <c r="VVE43" s="31"/>
      <c r="VVF43" s="30"/>
      <c r="VVG43" s="31"/>
      <c r="VVH43" s="30"/>
      <c r="VVI43" s="31"/>
      <c r="VVJ43" s="30"/>
      <c r="VVK43" s="31"/>
      <c r="VVL43" s="30"/>
      <c r="VVM43" s="31"/>
      <c r="VVN43" s="30"/>
      <c r="VVO43" s="31"/>
      <c r="VVP43" s="30"/>
      <c r="VVQ43" s="31"/>
      <c r="VVR43" s="30"/>
      <c r="VVS43" s="31"/>
      <c r="VVT43" s="30"/>
      <c r="VVU43" s="31"/>
      <c r="VVV43" s="30"/>
      <c r="VVW43" s="31"/>
      <c r="VVX43" s="30"/>
      <c r="VVY43" s="31"/>
      <c r="VVZ43" s="30"/>
      <c r="VWA43" s="31"/>
      <c r="VWB43" s="30"/>
      <c r="VWC43" s="31"/>
      <c r="VWD43" s="30"/>
      <c r="VWE43" s="31"/>
      <c r="VWF43" s="30"/>
      <c r="VWG43" s="31"/>
      <c r="VWH43" s="30"/>
      <c r="VWI43" s="31"/>
      <c r="VWJ43" s="30"/>
      <c r="VWK43" s="31"/>
      <c r="VWL43" s="30"/>
      <c r="VWM43" s="31"/>
      <c r="VWN43" s="30"/>
      <c r="VWO43" s="31"/>
      <c r="VWP43" s="30"/>
      <c r="VWQ43" s="31"/>
      <c r="VWR43" s="30"/>
      <c r="VWS43" s="31"/>
      <c r="VWT43" s="30"/>
      <c r="VWU43" s="31"/>
      <c r="VWV43" s="30"/>
      <c r="VWW43" s="31"/>
      <c r="VWX43" s="30"/>
      <c r="VWY43" s="31"/>
      <c r="VWZ43" s="30"/>
      <c r="VXA43" s="31"/>
      <c r="VXB43" s="30"/>
      <c r="VXC43" s="31"/>
      <c r="VXD43" s="30"/>
      <c r="VXE43" s="31"/>
      <c r="VXF43" s="30"/>
      <c r="VXG43" s="31"/>
      <c r="VXH43" s="30"/>
      <c r="VXI43" s="31"/>
      <c r="VXJ43" s="30"/>
      <c r="VXK43" s="31"/>
      <c r="VXL43" s="30"/>
      <c r="VXM43" s="31"/>
      <c r="VXN43" s="30"/>
      <c r="VXO43" s="31"/>
      <c r="VXP43" s="30"/>
      <c r="VXQ43" s="31"/>
      <c r="VXR43" s="30"/>
      <c r="VXS43" s="31"/>
      <c r="VXT43" s="30"/>
      <c r="VXU43" s="31"/>
      <c r="VXV43" s="30"/>
      <c r="VXW43" s="31"/>
      <c r="VXX43" s="30"/>
      <c r="VXY43" s="31"/>
      <c r="VXZ43" s="30"/>
      <c r="VYA43" s="31"/>
      <c r="VYB43" s="30"/>
      <c r="VYC43" s="31"/>
      <c r="VYD43" s="30"/>
      <c r="VYE43" s="31"/>
      <c r="VYF43" s="30"/>
      <c r="VYG43" s="31"/>
      <c r="VYH43" s="30"/>
      <c r="VYI43" s="31"/>
      <c r="VYJ43" s="30"/>
      <c r="VYK43" s="31"/>
      <c r="VYL43" s="30"/>
      <c r="VYM43" s="31"/>
      <c r="VYN43" s="30"/>
      <c r="VYO43" s="31"/>
      <c r="VYP43" s="30"/>
      <c r="VYQ43" s="31"/>
      <c r="VYR43" s="30"/>
      <c r="VYS43" s="31"/>
      <c r="VYT43" s="30"/>
      <c r="VYU43" s="31"/>
      <c r="VYV43" s="30"/>
      <c r="VYW43" s="31"/>
      <c r="VYX43" s="30"/>
      <c r="VYY43" s="31"/>
      <c r="VYZ43" s="30"/>
      <c r="VZA43" s="31"/>
      <c r="VZB43" s="30"/>
      <c r="VZC43" s="31"/>
      <c r="VZD43" s="30"/>
      <c r="VZE43" s="31"/>
      <c r="VZF43" s="30"/>
      <c r="VZG43" s="31"/>
      <c r="VZH43" s="30"/>
      <c r="VZI43" s="31"/>
      <c r="VZJ43" s="30"/>
      <c r="VZK43" s="31"/>
      <c r="VZL43" s="30"/>
      <c r="VZM43" s="31"/>
      <c r="VZN43" s="30"/>
      <c r="VZO43" s="31"/>
      <c r="VZP43" s="30"/>
      <c r="VZQ43" s="31"/>
      <c r="VZR43" s="30"/>
      <c r="VZS43" s="31"/>
      <c r="VZT43" s="30"/>
      <c r="VZU43" s="31"/>
      <c r="VZV43" s="30"/>
      <c r="VZW43" s="31"/>
      <c r="VZX43" s="30"/>
      <c r="VZY43" s="31"/>
      <c r="VZZ43" s="30"/>
      <c r="WAA43" s="31"/>
      <c r="WAB43" s="30"/>
      <c r="WAC43" s="31"/>
      <c r="WAD43" s="30"/>
      <c r="WAE43" s="31"/>
      <c r="WAF43" s="30"/>
      <c r="WAG43" s="31"/>
      <c r="WAH43" s="30"/>
      <c r="WAI43" s="31"/>
      <c r="WAJ43" s="30"/>
      <c r="WAK43" s="31"/>
      <c r="WAL43" s="30"/>
      <c r="WAM43" s="31"/>
      <c r="WAN43" s="30"/>
      <c r="WAO43" s="31"/>
      <c r="WAP43" s="30"/>
      <c r="WAQ43" s="31"/>
      <c r="WAR43" s="30"/>
      <c r="WAS43" s="31"/>
      <c r="WAT43" s="30"/>
      <c r="WAU43" s="31"/>
      <c r="WAV43" s="30"/>
      <c r="WAW43" s="31"/>
      <c r="WAX43" s="30"/>
      <c r="WAY43" s="31"/>
      <c r="WAZ43" s="30"/>
      <c r="WBA43" s="31"/>
      <c r="WBB43" s="30"/>
      <c r="WBC43" s="31"/>
      <c r="WBD43" s="30"/>
      <c r="WBE43" s="31"/>
      <c r="WBF43" s="30"/>
      <c r="WBG43" s="31"/>
      <c r="WBH43" s="30"/>
      <c r="WBI43" s="31"/>
      <c r="WBJ43" s="30"/>
      <c r="WBK43" s="31"/>
      <c r="WBL43" s="30"/>
      <c r="WBM43" s="31"/>
      <c r="WBN43" s="30"/>
      <c r="WBO43" s="31"/>
      <c r="WBP43" s="30"/>
      <c r="WBQ43" s="31"/>
      <c r="WBR43" s="30"/>
      <c r="WBS43" s="31"/>
      <c r="WBT43" s="30"/>
      <c r="WBU43" s="31"/>
      <c r="WBV43" s="30"/>
      <c r="WBW43" s="31"/>
      <c r="WBX43" s="30"/>
      <c r="WBY43" s="31"/>
      <c r="WBZ43" s="30"/>
      <c r="WCA43" s="31"/>
      <c r="WCB43" s="30"/>
      <c r="WCC43" s="31"/>
      <c r="WCD43" s="30"/>
      <c r="WCE43" s="31"/>
      <c r="WCF43" s="30"/>
      <c r="WCG43" s="31"/>
      <c r="WCH43" s="30"/>
      <c r="WCI43" s="31"/>
      <c r="WCJ43" s="30"/>
      <c r="WCK43" s="31"/>
      <c r="WCL43" s="30"/>
      <c r="WCM43" s="31"/>
      <c r="WCN43" s="30"/>
      <c r="WCO43" s="31"/>
      <c r="WCP43" s="30"/>
      <c r="WCQ43" s="31"/>
      <c r="WCR43" s="30"/>
      <c r="WCS43" s="31"/>
      <c r="WCT43" s="30"/>
      <c r="WCU43" s="31"/>
      <c r="WCV43" s="30"/>
      <c r="WCW43" s="31"/>
      <c r="WCX43" s="30"/>
      <c r="WCY43" s="31"/>
      <c r="WCZ43" s="30"/>
      <c r="WDA43" s="31"/>
      <c r="WDB43" s="30"/>
      <c r="WDC43" s="31"/>
      <c r="WDD43" s="30"/>
      <c r="WDE43" s="31"/>
      <c r="WDF43" s="30"/>
      <c r="WDG43" s="31"/>
      <c r="WDH43" s="30"/>
      <c r="WDI43" s="31"/>
      <c r="WDJ43" s="30"/>
      <c r="WDK43" s="31"/>
      <c r="WDL43" s="30"/>
      <c r="WDM43" s="31"/>
      <c r="WDN43" s="30"/>
      <c r="WDO43" s="31"/>
      <c r="WDP43" s="30"/>
      <c r="WDQ43" s="31"/>
      <c r="WDR43" s="30"/>
      <c r="WDS43" s="31"/>
      <c r="WDT43" s="30"/>
      <c r="WDU43" s="31"/>
      <c r="WDV43" s="30"/>
      <c r="WDW43" s="31"/>
      <c r="WDX43" s="30"/>
      <c r="WDY43" s="31"/>
      <c r="WDZ43" s="30"/>
      <c r="WEA43" s="31"/>
      <c r="WEB43" s="30"/>
      <c r="WEC43" s="31"/>
      <c r="WED43" s="30"/>
      <c r="WEE43" s="31"/>
      <c r="WEF43" s="30"/>
      <c r="WEG43" s="31"/>
      <c r="WEH43" s="30"/>
      <c r="WEI43" s="31"/>
      <c r="WEJ43" s="30"/>
      <c r="WEK43" s="31"/>
      <c r="WEL43" s="30"/>
      <c r="WEM43" s="31"/>
      <c r="WEN43" s="30"/>
      <c r="WEO43" s="31"/>
      <c r="WEP43" s="30"/>
      <c r="WEQ43" s="31"/>
      <c r="WER43" s="30"/>
      <c r="WES43" s="31"/>
      <c r="WET43" s="30"/>
      <c r="WEU43" s="31"/>
      <c r="WEV43" s="30"/>
      <c r="WEW43" s="31"/>
      <c r="WEX43" s="30"/>
      <c r="WEY43" s="31"/>
      <c r="WEZ43" s="30"/>
      <c r="WFA43" s="31"/>
      <c r="WFB43" s="30"/>
      <c r="WFC43" s="31"/>
      <c r="WFD43" s="30"/>
      <c r="WFE43" s="31"/>
      <c r="WFF43" s="30"/>
      <c r="WFG43" s="31"/>
      <c r="WFH43" s="30"/>
      <c r="WFI43" s="31"/>
      <c r="WFJ43" s="30"/>
      <c r="WFK43" s="31"/>
      <c r="WFL43" s="30"/>
      <c r="WFM43" s="31"/>
      <c r="WFN43" s="30"/>
      <c r="WFO43" s="31"/>
      <c r="WFP43" s="30"/>
      <c r="WFQ43" s="31"/>
      <c r="WFR43" s="30"/>
      <c r="WFS43" s="31"/>
      <c r="WFT43" s="30"/>
      <c r="WFU43" s="31"/>
      <c r="WFV43" s="30"/>
      <c r="WFW43" s="31"/>
      <c r="WFX43" s="30"/>
      <c r="WFY43" s="31"/>
      <c r="WFZ43" s="30"/>
      <c r="WGA43" s="31"/>
      <c r="WGB43" s="30"/>
      <c r="WGC43" s="31"/>
      <c r="WGD43" s="30"/>
      <c r="WGE43" s="31"/>
      <c r="WGF43" s="30"/>
      <c r="WGG43" s="31"/>
      <c r="WGH43" s="30"/>
      <c r="WGI43" s="31"/>
      <c r="WGJ43" s="30"/>
      <c r="WGK43" s="31"/>
      <c r="WGL43" s="30"/>
      <c r="WGM43" s="31"/>
      <c r="WGN43" s="30"/>
      <c r="WGO43" s="31"/>
      <c r="WGP43" s="30"/>
      <c r="WGQ43" s="31"/>
      <c r="WGR43" s="30"/>
      <c r="WGS43" s="31"/>
      <c r="WGT43" s="30"/>
      <c r="WGU43" s="31"/>
      <c r="WGV43" s="30"/>
      <c r="WGW43" s="31"/>
      <c r="WGX43" s="30"/>
      <c r="WGY43" s="31"/>
      <c r="WGZ43" s="30"/>
      <c r="WHA43" s="31"/>
      <c r="WHB43" s="30"/>
      <c r="WHC43" s="31"/>
      <c r="WHD43" s="30"/>
      <c r="WHE43" s="31"/>
      <c r="WHF43" s="30"/>
      <c r="WHG43" s="31"/>
      <c r="WHH43" s="30"/>
      <c r="WHI43" s="31"/>
      <c r="WHJ43" s="30"/>
      <c r="WHK43" s="31"/>
      <c r="WHL43" s="30"/>
      <c r="WHM43" s="31"/>
      <c r="WHN43" s="30"/>
      <c r="WHO43" s="31"/>
      <c r="WHP43" s="30"/>
      <c r="WHQ43" s="31"/>
      <c r="WHR43" s="30"/>
      <c r="WHS43" s="31"/>
      <c r="WHT43" s="30"/>
      <c r="WHU43" s="31"/>
      <c r="WHV43" s="30"/>
      <c r="WHW43" s="31"/>
      <c r="WHX43" s="30"/>
      <c r="WHY43" s="31"/>
      <c r="WHZ43" s="30"/>
      <c r="WIA43" s="31"/>
      <c r="WIB43" s="30"/>
      <c r="WIC43" s="31"/>
      <c r="WID43" s="30"/>
      <c r="WIE43" s="31"/>
      <c r="WIF43" s="30"/>
      <c r="WIG43" s="31"/>
      <c r="WIH43" s="30"/>
      <c r="WII43" s="31"/>
      <c r="WIJ43" s="30"/>
      <c r="WIK43" s="31"/>
      <c r="WIL43" s="30"/>
      <c r="WIM43" s="31"/>
      <c r="WIN43" s="30"/>
      <c r="WIO43" s="31"/>
      <c r="WIP43" s="30"/>
      <c r="WIQ43" s="31"/>
      <c r="WIR43" s="30"/>
      <c r="WIS43" s="31"/>
      <c r="WIT43" s="30"/>
      <c r="WIU43" s="31"/>
      <c r="WIV43" s="30"/>
      <c r="WIW43" s="31"/>
      <c r="WIX43" s="30"/>
      <c r="WIY43" s="31"/>
      <c r="WIZ43" s="30"/>
      <c r="WJA43" s="31"/>
      <c r="WJB43" s="30"/>
      <c r="WJC43" s="31"/>
      <c r="WJD43" s="30"/>
      <c r="WJE43" s="31"/>
      <c r="WJF43" s="30"/>
      <c r="WJG43" s="31"/>
      <c r="WJH43" s="30"/>
      <c r="WJI43" s="31"/>
      <c r="WJJ43" s="30"/>
      <c r="WJK43" s="31"/>
      <c r="WJL43" s="30"/>
      <c r="WJM43" s="31"/>
      <c r="WJN43" s="30"/>
      <c r="WJO43" s="31"/>
      <c r="WJP43" s="30"/>
      <c r="WJQ43" s="31"/>
      <c r="WJR43" s="30"/>
      <c r="WJS43" s="31"/>
      <c r="WJT43" s="30"/>
      <c r="WJU43" s="31"/>
      <c r="WJV43" s="30"/>
      <c r="WJW43" s="31"/>
      <c r="WJX43" s="30"/>
      <c r="WJY43" s="31"/>
      <c r="WJZ43" s="30"/>
      <c r="WKA43" s="31"/>
      <c r="WKB43" s="30"/>
      <c r="WKC43" s="31"/>
      <c r="WKD43" s="30"/>
      <c r="WKE43" s="31"/>
      <c r="WKF43" s="30"/>
      <c r="WKG43" s="31"/>
      <c r="WKH43" s="30"/>
      <c r="WKI43" s="31"/>
      <c r="WKJ43" s="30"/>
      <c r="WKK43" s="31"/>
      <c r="WKL43" s="30"/>
      <c r="WKM43" s="31"/>
      <c r="WKN43" s="30"/>
      <c r="WKO43" s="31"/>
      <c r="WKP43" s="30"/>
      <c r="WKQ43" s="31"/>
      <c r="WKR43" s="30"/>
      <c r="WKS43" s="31"/>
      <c r="WKT43" s="30"/>
      <c r="WKU43" s="31"/>
      <c r="WKV43" s="30"/>
      <c r="WKW43" s="31"/>
      <c r="WKX43" s="30"/>
      <c r="WKY43" s="31"/>
      <c r="WKZ43" s="30"/>
      <c r="WLA43" s="31"/>
      <c r="WLB43" s="30"/>
      <c r="WLC43" s="31"/>
      <c r="WLD43" s="30"/>
      <c r="WLE43" s="31"/>
      <c r="WLF43" s="30"/>
      <c r="WLG43" s="31"/>
      <c r="WLH43" s="30"/>
      <c r="WLI43" s="31"/>
      <c r="WLJ43" s="30"/>
      <c r="WLK43" s="31"/>
      <c r="WLL43" s="30"/>
      <c r="WLM43" s="31"/>
      <c r="WLN43" s="30"/>
      <c r="WLO43" s="31"/>
      <c r="WLP43" s="30"/>
      <c r="WLQ43" s="31"/>
      <c r="WLR43" s="30"/>
      <c r="WLS43" s="31"/>
      <c r="WLT43" s="30"/>
      <c r="WLU43" s="31"/>
      <c r="WLV43" s="30"/>
      <c r="WLW43" s="31"/>
      <c r="WLX43" s="30"/>
      <c r="WLY43" s="31"/>
      <c r="WLZ43" s="30"/>
      <c r="WMA43" s="31"/>
      <c r="WMB43" s="30"/>
      <c r="WMC43" s="31"/>
      <c r="WMD43" s="30"/>
      <c r="WME43" s="31"/>
      <c r="WMF43" s="30"/>
      <c r="WMG43" s="31"/>
      <c r="WMH43" s="30"/>
      <c r="WMI43" s="31"/>
      <c r="WMJ43" s="30"/>
      <c r="WMK43" s="31"/>
      <c r="WML43" s="30"/>
      <c r="WMM43" s="31"/>
      <c r="WMN43" s="30"/>
      <c r="WMO43" s="31"/>
      <c r="WMP43" s="30"/>
      <c r="WMQ43" s="31"/>
      <c r="WMR43" s="30"/>
      <c r="WMS43" s="31"/>
      <c r="WMT43" s="30"/>
      <c r="WMU43" s="31"/>
      <c r="WMV43" s="30"/>
      <c r="WMW43" s="31"/>
      <c r="WMX43" s="30"/>
      <c r="WMY43" s="31"/>
      <c r="WMZ43" s="30"/>
      <c r="WNA43" s="31"/>
      <c r="WNB43" s="30"/>
      <c r="WNC43" s="31"/>
      <c r="WND43" s="30"/>
      <c r="WNE43" s="31"/>
      <c r="WNF43" s="30"/>
      <c r="WNG43" s="31"/>
      <c r="WNH43" s="30"/>
      <c r="WNI43" s="31"/>
      <c r="WNJ43" s="30"/>
      <c r="WNK43" s="31"/>
      <c r="WNL43" s="30"/>
      <c r="WNM43" s="31"/>
      <c r="WNN43" s="30"/>
      <c r="WNO43" s="31"/>
      <c r="WNP43" s="30"/>
      <c r="WNQ43" s="31"/>
      <c r="WNR43" s="30"/>
      <c r="WNS43" s="31"/>
      <c r="WNT43" s="30"/>
      <c r="WNU43" s="31"/>
      <c r="WNV43" s="30"/>
      <c r="WNW43" s="31"/>
      <c r="WNX43" s="30"/>
      <c r="WNY43" s="31"/>
      <c r="WNZ43" s="30"/>
      <c r="WOA43" s="31"/>
      <c r="WOB43" s="30"/>
      <c r="WOC43" s="31"/>
      <c r="WOD43" s="30"/>
      <c r="WOE43" s="31"/>
      <c r="WOF43" s="30"/>
      <c r="WOG43" s="31"/>
      <c r="WOH43" s="30"/>
      <c r="WOI43" s="31"/>
      <c r="WOJ43" s="30"/>
      <c r="WOK43" s="31"/>
      <c r="WOL43" s="30"/>
      <c r="WOM43" s="31"/>
      <c r="WON43" s="30"/>
      <c r="WOO43" s="31"/>
      <c r="WOP43" s="30"/>
      <c r="WOQ43" s="31"/>
      <c r="WOR43" s="30"/>
      <c r="WOS43" s="31"/>
      <c r="WOT43" s="30"/>
      <c r="WOU43" s="31"/>
      <c r="WOV43" s="30"/>
      <c r="WOW43" s="31"/>
      <c r="WOX43" s="30"/>
      <c r="WOY43" s="31"/>
      <c r="WOZ43" s="30"/>
      <c r="WPA43" s="31"/>
      <c r="WPB43" s="30"/>
      <c r="WPC43" s="31"/>
      <c r="WPD43" s="30"/>
      <c r="WPE43" s="31"/>
      <c r="WPF43" s="30"/>
      <c r="WPG43" s="31"/>
      <c r="WPH43" s="30"/>
      <c r="WPI43" s="31"/>
      <c r="WPJ43" s="30"/>
      <c r="WPK43" s="31"/>
      <c r="WPL43" s="30"/>
      <c r="WPM43" s="31"/>
      <c r="WPN43" s="30"/>
      <c r="WPO43" s="31"/>
      <c r="WPP43" s="30"/>
      <c r="WPQ43" s="31"/>
      <c r="WPR43" s="30"/>
      <c r="WPS43" s="31"/>
      <c r="WPT43" s="30"/>
      <c r="WPU43" s="31"/>
      <c r="WPV43" s="30"/>
      <c r="WPW43" s="31"/>
      <c r="WPX43" s="30"/>
      <c r="WPY43" s="31"/>
      <c r="WPZ43" s="30"/>
      <c r="WQA43" s="31"/>
      <c r="WQB43" s="30"/>
      <c r="WQC43" s="31"/>
      <c r="WQD43" s="30"/>
      <c r="WQE43" s="31"/>
      <c r="WQF43" s="30"/>
      <c r="WQG43" s="31"/>
      <c r="WQH43" s="30"/>
      <c r="WQI43" s="31"/>
      <c r="WQJ43" s="30"/>
      <c r="WQK43" s="31"/>
      <c r="WQL43" s="30"/>
      <c r="WQM43" s="31"/>
      <c r="WQN43" s="30"/>
      <c r="WQO43" s="31"/>
      <c r="WQP43" s="30"/>
      <c r="WQQ43" s="31"/>
      <c r="WQR43" s="30"/>
      <c r="WQS43" s="31"/>
      <c r="WQT43" s="30"/>
      <c r="WQU43" s="31"/>
      <c r="WQV43" s="30"/>
      <c r="WQW43" s="31"/>
      <c r="WQX43" s="30"/>
      <c r="WQY43" s="31"/>
      <c r="WQZ43" s="30"/>
      <c r="WRA43" s="31"/>
      <c r="WRB43" s="30"/>
      <c r="WRC43" s="31"/>
      <c r="WRD43" s="30"/>
      <c r="WRE43" s="31"/>
      <c r="WRF43" s="30"/>
      <c r="WRG43" s="31"/>
      <c r="WRH43" s="30"/>
      <c r="WRI43" s="31"/>
      <c r="WRJ43" s="30"/>
      <c r="WRK43" s="31"/>
      <c r="WRL43" s="30"/>
      <c r="WRM43" s="31"/>
      <c r="WRN43" s="30"/>
      <c r="WRO43" s="31"/>
      <c r="WRP43" s="30"/>
      <c r="WRQ43" s="31"/>
      <c r="WRR43" s="30"/>
      <c r="WRS43" s="31"/>
      <c r="WRT43" s="30"/>
      <c r="WRU43" s="31"/>
      <c r="WRV43" s="30"/>
      <c r="WRW43" s="31"/>
      <c r="WRX43" s="30"/>
      <c r="WRY43" s="31"/>
      <c r="WRZ43" s="30"/>
      <c r="WSA43" s="31"/>
      <c r="WSB43" s="30"/>
      <c r="WSC43" s="31"/>
      <c r="WSD43" s="30"/>
      <c r="WSE43" s="31"/>
      <c r="WSF43" s="30"/>
      <c r="WSG43" s="31"/>
      <c r="WSH43" s="30"/>
      <c r="WSI43" s="31"/>
      <c r="WSJ43" s="30"/>
      <c r="WSK43" s="31"/>
      <c r="WSL43" s="30"/>
      <c r="WSM43" s="31"/>
      <c r="WSN43" s="30"/>
      <c r="WSO43" s="31"/>
      <c r="WSP43" s="30"/>
      <c r="WSQ43" s="31"/>
      <c r="WSR43" s="30"/>
      <c r="WSS43" s="31"/>
      <c r="WST43" s="30"/>
      <c r="WSU43" s="31"/>
      <c r="WSV43" s="30"/>
      <c r="WSW43" s="31"/>
      <c r="WSX43" s="30"/>
      <c r="WSY43" s="31"/>
      <c r="WSZ43" s="30"/>
      <c r="WTA43" s="31"/>
      <c r="WTB43" s="30"/>
      <c r="WTC43" s="31"/>
      <c r="WTD43" s="30"/>
      <c r="WTE43" s="31"/>
      <c r="WTF43" s="30"/>
      <c r="WTG43" s="31"/>
      <c r="WTH43" s="30"/>
      <c r="WTI43" s="31"/>
      <c r="WTJ43" s="30"/>
      <c r="WTK43" s="31"/>
      <c r="WTL43" s="30"/>
      <c r="WTM43" s="31"/>
      <c r="WTN43" s="30"/>
      <c r="WTO43" s="31"/>
      <c r="WTP43" s="30"/>
      <c r="WTQ43" s="31"/>
      <c r="WTR43" s="30"/>
      <c r="WTS43" s="31"/>
      <c r="WTT43" s="30"/>
      <c r="WTU43" s="31"/>
      <c r="WTV43" s="30"/>
      <c r="WTW43" s="31"/>
      <c r="WTX43" s="30"/>
      <c r="WTY43" s="31"/>
      <c r="WTZ43" s="30"/>
      <c r="WUA43" s="31"/>
      <c r="WUB43" s="30"/>
      <c r="WUC43" s="31"/>
      <c r="WUD43" s="30"/>
      <c r="WUE43" s="31"/>
      <c r="WUF43" s="30"/>
      <c r="WUG43" s="31"/>
      <c r="WUH43" s="30"/>
      <c r="WUI43" s="31"/>
      <c r="WUJ43" s="30"/>
      <c r="WUK43" s="31"/>
      <c r="WUL43" s="30"/>
      <c r="WUM43" s="31"/>
      <c r="WUN43" s="30"/>
      <c r="WUO43" s="31"/>
      <c r="WUP43" s="30"/>
      <c r="WUQ43" s="31"/>
      <c r="WUR43" s="30"/>
      <c r="WUS43" s="31"/>
      <c r="WUT43" s="30"/>
      <c r="WUU43" s="31"/>
      <c r="WUV43" s="30"/>
      <c r="WUW43" s="31"/>
      <c r="WUX43" s="30"/>
      <c r="WUY43" s="31"/>
      <c r="WUZ43" s="30"/>
      <c r="WVA43" s="31"/>
      <c r="WVB43" s="30"/>
      <c r="WVC43" s="31"/>
      <c r="WVD43" s="30"/>
      <c r="WVE43" s="31"/>
      <c r="WVF43" s="30"/>
      <c r="WVG43" s="31"/>
      <c r="WVH43" s="30"/>
      <c r="WVI43" s="31"/>
      <c r="WVJ43" s="30"/>
      <c r="WVK43" s="31"/>
      <c r="WVL43" s="30"/>
      <c r="WVM43" s="31"/>
      <c r="WVN43" s="30"/>
      <c r="WVO43" s="31"/>
      <c r="WVP43" s="30"/>
      <c r="WVQ43" s="31"/>
      <c r="WVR43" s="30"/>
      <c r="WVS43" s="31"/>
      <c r="WVT43" s="30"/>
      <c r="WVU43" s="31"/>
      <c r="WVV43" s="30"/>
      <c r="WVW43" s="31"/>
      <c r="WVX43" s="30"/>
      <c r="WVY43" s="31"/>
      <c r="WVZ43" s="30"/>
      <c r="WWA43" s="31"/>
      <c r="WWB43" s="30"/>
      <c r="WWC43" s="31"/>
      <c r="WWD43" s="30"/>
      <c r="WWE43" s="31"/>
      <c r="WWF43" s="30"/>
      <c r="WWG43" s="31"/>
      <c r="WWH43" s="30"/>
      <c r="WWI43" s="31"/>
      <c r="WWJ43" s="30"/>
      <c r="WWK43" s="31"/>
      <c r="WWL43" s="30"/>
      <c r="WWM43" s="31"/>
      <c r="WWN43" s="30"/>
      <c r="WWO43" s="31"/>
      <c r="WWP43" s="30"/>
      <c r="WWQ43" s="31"/>
      <c r="WWR43" s="30"/>
      <c r="WWS43" s="31"/>
      <c r="WWT43" s="30"/>
      <c r="WWU43" s="31"/>
      <c r="WWV43" s="30"/>
      <c r="WWW43" s="31"/>
      <c r="WWX43" s="30"/>
      <c r="WWY43" s="31"/>
      <c r="WWZ43" s="30"/>
      <c r="WXA43" s="31"/>
      <c r="WXB43" s="30"/>
      <c r="WXC43" s="31"/>
      <c r="WXD43" s="30"/>
      <c r="WXE43" s="31"/>
      <c r="WXF43" s="30"/>
      <c r="WXG43" s="31"/>
      <c r="WXH43" s="30"/>
      <c r="WXI43" s="31"/>
      <c r="WXJ43" s="30"/>
      <c r="WXK43" s="31"/>
      <c r="WXL43" s="30"/>
      <c r="WXM43" s="31"/>
      <c r="WXN43" s="30"/>
      <c r="WXO43" s="31"/>
      <c r="WXP43" s="30"/>
      <c r="WXQ43" s="31"/>
      <c r="WXR43" s="30"/>
      <c r="WXS43" s="31"/>
      <c r="WXT43" s="30"/>
      <c r="WXU43" s="31"/>
      <c r="WXV43" s="30"/>
      <c r="WXW43" s="31"/>
      <c r="WXX43" s="30"/>
      <c r="WXY43" s="31"/>
      <c r="WXZ43" s="30"/>
      <c r="WYA43" s="31"/>
      <c r="WYB43" s="30"/>
      <c r="WYC43" s="31"/>
      <c r="WYD43" s="30"/>
      <c r="WYE43" s="31"/>
      <c r="WYF43" s="30"/>
      <c r="WYG43" s="31"/>
      <c r="WYH43" s="30"/>
      <c r="WYI43" s="31"/>
      <c r="WYJ43" s="30"/>
      <c r="WYK43" s="31"/>
      <c r="WYL43" s="30"/>
      <c r="WYM43" s="31"/>
      <c r="WYN43" s="30"/>
      <c r="WYO43" s="31"/>
      <c r="WYP43" s="30"/>
      <c r="WYQ43" s="31"/>
      <c r="WYR43" s="30"/>
      <c r="WYS43" s="31"/>
      <c r="WYT43" s="30"/>
      <c r="WYU43" s="31"/>
      <c r="WYV43" s="30"/>
      <c r="WYW43" s="31"/>
      <c r="WYX43" s="30"/>
      <c r="WYY43" s="31"/>
      <c r="WYZ43" s="30"/>
      <c r="WZA43" s="31"/>
      <c r="WZB43" s="30"/>
      <c r="WZC43" s="31"/>
      <c r="WZD43" s="30"/>
      <c r="WZE43" s="31"/>
      <c r="WZF43" s="30"/>
      <c r="WZG43" s="31"/>
      <c r="WZH43" s="30"/>
      <c r="WZI43" s="31"/>
      <c r="WZJ43" s="30"/>
      <c r="WZK43" s="31"/>
      <c r="WZL43" s="30"/>
      <c r="WZM43" s="31"/>
      <c r="WZN43" s="30"/>
      <c r="WZO43" s="31"/>
      <c r="WZP43" s="30"/>
      <c r="WZQ43" s="31"/>
      <c r="WZR43" s="30"/>
      <c r="WZS43" s="31"/>
      <c r="WZT43" s="30"/>
      <c r="WZU43" s="31"/>
      <c r="WZV43" s="30"/>
      <c r="WZW43" s="31"/>
      <c r="WZX43" s="30"/>
      <c r="WZY43" s="31"/>
      <c r="WZZ43" s="30"/>
      <c r="XAA43" s="31"/>
      <c r="XAB43" s="30"/>
      <c r="XAC43" s="31"/>
      <c r="XAD43" s="30"/>
      <c r="XAE43" s="31"/>
      <c r="XAF43" s="30"/>
      <c r="XAG43" s="31"/>
      <c r="XAH43" s="30"/>
      <c r="XAI43" s="31"/>
      <c r="XAJ43" s="30"/>
      <c r="XAK43" s="31"/>
      <c r="XAL43" s="30"/>
      <c r="XAM43" s="31"/>
      <c r="XAN43" s="30"/>
      <c r="XAO43" s="31"/>
      <c r="XAP43" s="30"/>
      <c r="XAQ43" s="31"/>
      <c r="XAR43" s="30"/>
      <c r="XAS43" s="31"/>
      <c r="XAT43" s="30"/>
      <c r="XAU43" s="31"/>
      <c r="XAV43" s="30"/>
      <c r="XAW43" s="31"/>
      <c r="XAX43" s="30"/>
      <c r="XAY43" s="31"/>
      <c r="XAZ43" s="30"/>
      <c r="XBA43" s="31"/>
      <c r="XBB43" s="30"/>
      <c r="XBC43" s="31"/>
      <c r="XBD43" s="30"/>
      <c r="XBE43" s="31"/>
      <c r="XBF43" s="30"/>
      <c r="XBG43" s="31"/>
      <c r="XBH43" s="30"/>
      <c r="XBI43" s="31"/>
      <c r="XBJ43" s="30"/>
      <c r="XBK43" s="31"/>
      <c r="XBL43" s="30"/>
      <c r="XBM43" s="31"/>
      <c r="XBN43" s="30"/>
      <c r="XBO43" s="31"/>
      <c r="XBP43" s="30"/>
      <c r="XBQ43" s="31"/>
      <c r="XBR43" s="30"/>
      <c r="XBS43" s="31"/>
      <c r="XBT43" s="30"/>
      <c r="XBU43" s="31"/>
      <c r="XBV43" s="30"/>
      <c r="XBW43" s="31"/>
      <c r="XBX43" s="30"/>
      <c r="XBY43" s="31"/>
      <c r="XBZ43" s="30"/>
      <c r="XCA43" s="31"/>
      <c r="XCB43" s="30"/>
      <c r="XCC43" s="31"/>
      <c r="XCD43" s="30"/>
      <c r="XCE43" s="31"/>
      <c r="XCF43" s="30"/>
      <c r="XCG43" s="31"/>
      <c r="XCH43" s="30"/>
      <c r="XCI43" s="31"/>
      <c r="XCJ43" s="30"/>
      <c r="XCK43" s="31"/>
      <c r="XCL43" s="30"/>
      <c r="XCM43" s="31"/>
      <c r="XCN43" s="30"/>
      <c r="XCO43" s="31"/>
      <c r="XCP43" s="30"/>
      <c r="XCQ43" s="31"/>
      <c r="XCR43" s="30"/>
      <c r="XCS43" s="31"/>
      <c r="XCT43" s="30"/>
      <c r="XCU43" s="31"/>
      <c r="XCV43" s="30"/>
      <c r="XCW43" s="31"/>
      <c r="XCX43" s="30"/>
      <c r="XCY43" s="31"/>
      <c r="XCZ43" s="30"/>
      <c r="XDA43" s="31"/>
      <c r="XDB43" s="30"/>
      <c r="XDC43" s="31"/>
      <c r="XDD43" s="30"/>
      <c r="XDE43" s="31"/>
      <c r="XDF43" s="30"/>
      <c r="XDG43" s="31"/>
      <c r="XDH43" s="30"/>
      <c r="XDI43" s="31"/>
      <c r="XDJ43" s="30"/>
      <c r="XDK43" s="31"/>
      <c r="XDL43" s="30"/>
      <c r="XDM43" s="31"/>
      <c r="XDN43" s="30"/>
      <c r="XDO43" s="31"/>
      <c r="XDP43" s="30"/>
      <c r="XDQ43" s="31"/>
      <c r="XDR43" s="30"/>
      <c r="XDS43" s="31"/>
      <c r="XDT43" s="30"/>
      <c r="XDU43" s="31"/>
      <c r="XDV43" s="30"/>
      <c r="XDW43" s="31"/>
      <c r="XDX43" s="30"/>
      <c r="XDY43" s="31"/>
      <c r="XDZ43" s="30"/>
      <c r="XEA43" s="31"/>
      <c r="XEB43" s="30"/>
      <c r="XEC43" s="31"/>
      <c r="XED43" s="30"/>
      <c r="XEE43" s="31"/>
      <c r="XEF43" s="30"/>
      <c r="XEG43" s="31"/>
      <c r="XEH43" s="30"/>
      <c r="XEI43" s="31"/>
      <c r="XEJ43" s="30"/>
      <c r="XEK43" s="31"/>
      <c r="XEL43" s="30"/>
      <c r="XEM43" s="31"/>
      <c r="XEN43" s="30"/>
      <c r="XEO43" s="31"/>
      <c r="XEP43" s="30"/>
      <c r="XEQ43" s="31"/>
      <c r="XER43" s="30"/>
      <c r="XES43" s="31"/>
      <c r="XET43" s="30"/>
    </row>
    <row r="44" spans="2:16374" s="28" customFormat="1" ht="17" customHeight="1" thickBot="1">
      <c r="B44" s="205"/>
      <c r="C44" s="34" t="s">
        <v>0</v>
      </c>
      <c r="D44" s="193">
        <f>LN(D41/参数实验室!$E$53)/参数实验室!$E$55</f>
        <v>0.14813655468287767</v>
      </c>
      <c r="E44" s="194" t="s">
        <v>18</v>
      </c>
      <c r="F44" s="205"/>
      <c r="G44" s="34"/>
      <c r="H44" s="34"/>
      <c r="I44" s="205"/>
      <c r="J44" s="31"/>
      <c r="K44" s="205"/>
      <c r="L44" s="205"/>
      <c r="M44" s="912" t="s">
        <v>611</v>
      </c>
      <c r="N44" s="205"/>
      <c r="O44" s="205"/>
      <c r="P44" s="30"/>
      <c r="Q44" s="34"/>
      <c r="R44" s="34"/>
      <c r="S44" s="34"/>
      <c r="T44" s="34"/>
      <c r="U44" s="34"/>
      <c r="V44" s="34"/>
      <c r="W44" s="34"/>
      <c r="X44" s="34"/>
      <c r="Y44" s="34"/>
      <c r="Z44" s="34"/>
      <c r="AA44" s="34"/>
      <c r="AB44" s="34"/>
      <c r="AC44" s="34"/>
      <c r="AD44" s="34"/>
      <c r="AE44" s="34"/>
      <c r="AV44" s="30"/>
      <c r="AW44" s="31"/>
      <c r="AX44" s="30"/>
      <c r="AY44" s="31"/>
      <c r="AZ44" s="30"/>
      <c r="BA44" s="31"/>
      <c r="BB44" s="30"/>
      <c r="BC44" s="31"/>
      <c r="BD44" s="30"/>
      <c r="BE44" s="31"/>
      <c r="BF44" s="30"/>
      <c r="BG44" s="31"/>
      <c r="BH44" s="30"/>
      <c r="BI44" s="31"/>
      <c r="BJ44" s="30"/>
      <c r="BK44" s="31"/>
      <c r="BL44" s="30"/>
      <c r="BM44" s="31"/>
      <c r="BN44" s="30"/>
      <c r="BO44" s="31"/>
      <c r="BP44" s="30"/>
      <c r="BQ44" s="31"/>
      <c r="BR44" s="30"/>
      <c r="BS44" s="31"/>
      <c r="BT44" s="30"/>
      <c r="BU44" s="31"/>
      <c r="BV44" s="30"/>
      <c r="BW44" s="31"/>
      <c r="BX44" s="30"/>
      <c r="BY44" s="31"/>
      <c r="BZ44" s="30"/>
      <c r="CA44" s="31"/>
      <c r="CB44" s="30"/>
      <c r="CC44" s="31"/>
      <c r="CD44" s="30"/>
      <c r="CE44" s="31"/>
      <c r="CF44" s="30"/>
      <c r="CG44" s="31"/>
      <c r="CH44" s="30"/>
      <c r="CI44" s="31"/>
      <c r="CJ44" s="30"/>
      <c r="CK44" s="31"/>
      <c r="CL44" s="30"/>
      <c r="CM44" s="31"/>
      <c r="CN44" s="30"/>
      <c r="CO44" s="31"/>
      <c r="CP44" s="30"/>
      <c r="CQ44" s="31"/>
      <c r="CR44" s="30"/>
      <c r="CS44" s="31"/>
      <c r="CT44" s="30"/>
      <c r="CU44" s="31"/>
      <c r="CV44" s="30"/>
      <c r="CW44" s="31"/>
      <c r="CX44" s="30"/>
      <c r="CY44" s="31"/>
      <c r="CZ44" s="30"/>
      <c r="DA44" s="31"/>
      <c r="DB44" s="30"/>
      <c r="DC44" s="31"/>
      <c r="DD44" s="30"/>
      <c r="DE44" s="31"/>
      <c r="DF44" s="30"/>
      <c r="DG44" s="31"/>
      <c r="DH44" s="30"/>
      <c r="DI44" s="31"/>
      <c r="DJ44" s="30"/>
      <c r="DK44" s="31"/>
      <c r="DL44" s="30"/>
      <c r="DM44" s="31"/>
      <c r="DN44" s="30"/>
      <c r="DO44" s="31"/>
      <c r="DP44" s="30"/>
      <c r="DQ44" s="31"/>
      <c r="DR44" s="30"/>
      <c r="DS44" s="31"/>
      <c r="DT44" s="30"/>
      <c r="DU44" s="31"/>
      <c r="DV44" s="30"/>
      <c r="DW44" s="31"/>
      <c r="DX44" s="30"/>
      <c r="DY44" s="31"/>
      <c r="DZ44" s="30"/>
      <c r="EA44" s="31"/>
      <c r="EB44" s="30"/>
      <c r="EC44" s="31"/>
      <c r="ED44" s="30"/>
      <c r="EE44" s="31"/>
      <c r="EF44" s="30"/>
      <c r="EG44" s="31"/>
      <c r="EH44" s="30"/>
      <c r="EI44" s="31"/>
      <c r="EJ44" s="30"/>
      <c r="EK44" s="31"/>
      <c r="EL44" s="30"/>
      <c r="EM44" s="31"/>
      <c r="EN44" s="30"/>
      <c r="EO44" s="31"/>
      <c r="EP44" s="30"/>
      <c r="EQ44" s="31"/>
      <c r="ER44" s="30"/>
      <c r="ES44" s="31"/>
      <c r="ET44" s="30"/>
      <c r="EU44" s="31"/>
      <c r="EV44" s="30"/>
      <c r="EW44" s="31"/>
      <c r="EX44" s="30"/>
      <c r="EY44" s="31"/>
      <c r="EZ44" s="30"/>
      <c r="FA44" s="31"/>
      <c r="FB44" s="30"/>
      <c r="FC44" s="31"/>
      <c r="FD44" s="30"/>
      <c r="FE44" s="31"/>
      <c r="FF44" s="30"/>
      <c r="FG44" s="31"/>
      <c r="FH44" s="30"/>
      <c r="FI44" s="31"/>
      <c r="FJ44" s="30"/>
      <c r="FK44" s="31"/>
      <c r="FL44" s="30"/>
      <c r="FM44" s="31"/>
      <c r="FN44" s="30"/>
      <c r="FO44" s="31"/>
      <c r="FP44" s="30"/>
      <c r="FQ44" s="31"/>
      <c r="FR44" s="30"/>
      <c r="FS44" s="31"/>
      <c r="FT44" s="30"/>
      <c r="FU44" s="31"/>
      <c r="FV44" s="30"/>
      <c r="FW44" s="31"/>
      <c r="FX44" s="30"/>
      <c r="FY44" s="31"/>
      <c r="FZ44" s="30"/>
      <c r="GA44" s="31"/>
      <c r="GB44" s="30"/>
      <c r="GC44" s="31"/>
      <c r="GD44" s="30"/>
      <c r="GE44" s="31"/>
      <c r="GF44" s="30"/>
      <c r="GG44" s="31"/>
      <c r="GH44" s="30"/>
      <c r="GI44" s="31"/>
      <c r="GJ44" s="30"/>
      <c r="GK44" s="31"/>
      <c r="GL44" s="30"/>
      <c r="GM44" s="31"/>
      <c r="GN44" s="30"/>
      <c r="GO44" s="31"/>
      <c r="GP44" s="30"/>
      <c r="GQ44" s="31"/>
      <c r="GR44" s="30"/>
      <c r="GS44" s="31"/>
      <c r="GT44" s="30"/>
      <c r="GU44" s="31"/>
      <c r="GV44" s="30"/>
      <c r="GW44" s="31"/>
      <c r="GX44" s="30"/>
      <c r="GY44" s="31"/>
      <c r="GZ44" s="30"/>
      <c r="HA44" s="31"/>
      <c r="HB44" s="30"/>
      <c r="HC44" s="31"/>
      <c r="HD44" s="30"/>
      <c r="HE44" s="31"/>
      <c r="HF44" s="30"/>
      <c r="HG44" s="31"/>
      <c r="HH44" s="30"/>
      <c r="HI44" s="31"/>
      <c r="HJ44" s="30"/>
      <c r="HK44" s="31"/>
      <c r="HL44" s="30"/>
      <c r="HM44" s="31"/>
      <c r="HN44" s="30"/>
      <c r="HO44" s="31"/>
      <c r="HP44" s="30"/>
      <c r="HQ44" s="31"/>
      <c r="HR44" s="30"/>
      <c r="HS44" s="31"/>
      <c r="HT44" s="30"/>
      <c r="HU44" s="31"/>
      <c r="HV44" s="30"/>
      <c r="HW44" s="31"/>
      <c r="HX44" s="30"/>
      <c r="HY44" s="31"/>
      <c r="HZ44" s="30"/>
      <c r="IA44" s="31"/>
      <c r="IB44" s="30"/>
      <c r="IC44" s="31"/>
      <c r="ID44" s="30"/>
      <c r="IE44" s="31"/>
      <c r="IF44" s="30"/>
      <c r="IG44" s="31"/>
      <c r="IH44" s="30"/>
      <c r="II44" s="31"/>
      <c r="IJ44" s="30"/>
      <c r="IK44" s="31"/>
      <c r="IL44" s="30"/>
      <c r="IM44" s="31"/>
      <c r="IN44" s="30"/>
      <c r="IO44" s="31"/>
      <c r="IP44" s="30"/>
      <c r="IQ44" s="31"/>
      <c r="IR44" s="30"/>
      <c r="IS44" s="31"/>
      <c r="IT44" s="30"/>
      <c r="IU44" s="31"/>
      <c r="IV44" s="30"/>
      <c r="IW44" s="31"/>
      <c r="IX44" s="30"/>
      <c r="IY44" s="31"/>
      <c r="IZ44" s="30"/>
      <c r="JA44" s="31"/>
      <c r="JB44" s="30"/>
      <c r="JC44" s="31"/>
      <c r="JD44" s="30"/>
      <c r="JE44" s="31"/>
      <c r="JF44" s="30"/>
      <c r="JG44" s="31"/>
      <c r="JH44" s="30"/>
      <c r="JI44" s="31"/>
      <c r="JJ44" s="30"/>
      <c r="JK44" s="31"/>
      <c r="JL44" s="30"/>
      <c r="JM44" s="31"/>
      <c r="JN44" s="30"/>
      <c r="JO44" s="31"/>
      <c r="JP44" s="30"/>
      <c r="JQ44" s="31"/>
      <c r="JR44" s="30"/>
      <c r="JS44" s="31"/>
      <c r="JT44" s="30"/>
      <c r="JU44" s="31"/>
      <c r="JV44" s="30"/>
      <c r="JW44" s="31"/>
      <c r="JX44" s="30"/>
      <c r="JY44" s="31"/>
      <c r="JZ44" s="30"/>
      <c r="KA44" s="31"/>
      <c r="KB44" s="30"/>
      <c r="KC44" s="31"/>
      <c r="KD44" s="30"/>
      <c r="KE44" s="31"/>
      <c r="KF44" s="30"/>
      <c r="KG44" s="31"/>
      <c r="KH44" s="30"/>
      <c r="KI44" s="31"/>
      <c r="KJ44" s="30"/>
      <c r="KK44" s="31"/>
      <c r="KL44" s="30"/>
      <c r="KM44" s="31"/>
      <c r="KN44" s="30"/>
      <c r="KO44" s="31"/>
      <c r="KP44" s="30"/>
      <c r="KQ44" s="31"/>
      <c r="KR44" s="30"/>
      <c r="KS44" s="31"/>
      <c r="KT44" s="30"/>
      <c r="KU44" s="31"/>
      <c r="KV44" s="30"/>
      <c r="KW44" s="31"/>
      <c r="KX44" s="30"/>
      <c r="KY44" s="31"/>
      <c r="KZ44" s="30"/>
      <c r="LA44" s="31"/>
      <c r="LB44" s="30"/>
      <c r="LC44" s="31"/>
      <c r="LD44" s="30"/>
      <c r="LE44" s="31"/>
      <c r="LF44" s="30"/>
      <c r="LG44" s="31"/>
      <c r="LH44" s="30"/>
      <c r="LI44" s="31"/>
      <c r="LJ44" s="30"/>
      <c r="LK44" s="31"/>
      <c r="LL44" s="30"/>
      <c r="LM44" s="31"/>
      <c r="LN44" s="30"/>
      <c r="LO44" s="31"/>
      <c r="LP44" s="30"/>
      <c r="LQ44" s="31"/>
      <c r="LR44" s="30"/>
      <c r="LS44" s="31"/>
      <c r="LT44" s="30"/>
      <c r="LU44" s="31"/>
      <c r="LV44" s="30"/>
      <c r="LW44" s="31"/>
      <c r="LX44" s="30"/>
      <c r="LY44" s="31"/>
      <c r="LZ44" s="30"/>
      <c r="MA44" s="31"/>
      <c r="MB44" s="30"/>
      <c r="MC44" s="31"/>
      <c r="MD44" s="30"/>
      <c r="ME44" s="31"/>
      <c r="MF44" s="30"/>
      <c r="MG44" s="31"/>
      <c r="MH44" s="30"/>
      <c r="MI44" s="31"/>
      <c r="MJ44" s="30"/>
      <c r="MK44" s="31"/>
      <c r="ML44" s="30"/>
      <c r="MM44" s="31"/>
      <c r="MN44" s="30"/>
      <c r="MO44" s="31"/>
      <c r="MP44" s="30"/>
      <c r="MQ44" s="31"/>
      <c r="MR44" s="30"/>
      <c r="MS44" s="31"/>
      <c r="MT44" s="30"/>
      <c r="MU44" s="31"/>
      <c r="MV44" s="30"/>
      <c r="MW44" s="31"/>
      <c r="MX44" s="30"/>
      <c r="MY44" s="31"/>
      <c r="MZ44" s="30"/>
      <c r="NA44" s="31"/>
      <c r="NB44" s="30"/>
      <c r="NC44" s="31"/>
      <c r="ND44" s="30"/>
      <c r="NE44" s="31"/>
      <c r="NF44" s="30"/>
      <c r="NG44" s="31"/>
      <c r="NH44" s="30"/>
      <c r="NI44" s="31"/>
      <c r="NJ44" s="30"/>
      <c r="NK44" s="31"/>
      <c r="NL44" s="30"/>
      <c r="NM44" s="31"/>
      <c r="NN44" s="30"/>
      <c r="NO44" s="31"/>
      <c r="NP44" s="30"/>
      <c r="NQ44" s="31"/>
      <c r="NR44" s="30"/>
      <c r="NS44" s="31"/>
      <c r="NT44" s="30"/>
      <c r="NU44" s="31"/>
      <c r="NV44" s="30"/>
      <c r="NW44" s="31"/>
      <c r="NX44" s="30"/>
      <c r="NY44" s="31"/>
      <c r="NZ44" s="30"/>
      <c r="OA44" s="31"/>
      <c r="OB44" s="30"/>
      <c r="OC44" s="31"/>
      <c r="OD44" s="30"/>
      <c r="OE44" s="31"/>
      <c r="OF44" s="30"/>
      <c r="OG44" s="31"/>
      <c r="OH44" s="30"/>
      <c r="OI44" s="31"/>
      <c r="OJ44" s="30"/>
      <c r="OK44" s="31"/>
      <c r="OL44" s="30"/>
      <c r="OM44" s="31"/>
      <c r="ON44" s="30"/>
      <c r="OO44" s="31"/>
      <c r="OP44" s="30"/>
      <c r="OQ44" s="31"/>
      <c r="OR44" s="30"/>
      <c r="OS44" s="31"/>
      <c r="OT44" s="30"/>
      <c r="OU44" s="31"/>
      <c r="OV44" s="30"/>
      <c r="OW44" s="31"/>
      <c r="OX44" s="30"/>
      <c r="OY44" s="31"/>
      <c r="OZ44" s="30"/>
      <c r="PA44" s="31"/>
      <c r="PB44" s="30"/>
      <c r="PC44" s="31"/>
      <c r="PD44" s="30"/>
      <c r="PE44" s="31"/>
      <c r="PF44" s="30"/>
      <c r="PG44" s="31"/>
      <c r="PH44" s="30"/>
      <c r="PI44" s="31"/>
      <c r="PJ44" s="30"/>
      <c r="PK44" s="31"/>
      <c r="PL44" s="30"/>
      <c r="PM44" s="31"/>
      <c r="PN44" s="30"/>
      <c r="PO44" s="31"/>
      <c r="PP44" s="30"/>
      <c r="PQ44" s="31"/>
      <c r="PR44" s="30"/>
      <c r="PS44" s="31"/>
      <c r="PT44" s="30"/>
      <c r="PU44" s="31"/>
      <c r="PV44" s="30"/>
      <c r="PW44" s="31"/>
      <c r="PX44" s="30"/>
      <c r="PY44" s="31"/>
      <c r="PZ44" s="30"/>
      <c r="QA44" s="31"/>
      <c r="QB44" s="30"/>
      <c r="QC44" s="31"/>
      <c r="QD44" s="30"/>
      <c r="QE44" s="31"/>
      <c r="QF44" s="30"/>
      <c r="QG44" s="31"/>
      <c r="QH44" s="30"/>
      <c r="QI44" s="31"/>
      <c r="QJ44" s="30"/>
      <c r="QK44" s="31"/>
      <c r="QL44" s="30"/>
      <c r="QM44" s="31"/>
      <c r="QN44" s="30"/>
      <c r="QO44" s="31"/>
      <c r="QP44" s="30"/>
      <c r="QQ44" s="31"/>
      <c r="QR44" s="30"/>
      <c r="QS44" s="31"/>
      <c r="QT44" s="30"/>
      <c r="QU44" s="31"/>
      <c r="QV44" s="30"/>
      <c r="QW44" s="31"/>
      <c r="QX44" s="30"/>
      <c r="QY44" s="31"/>
      <c r="QZ44" s="30"/>
      <c r="RA44" s="31"/>
      <c r="RB44" s="30"/>
      <c r="RC44" s="31"/>
      <c r="RD44" s="30"/>
      <c r="RE44" s="31"/>
      <c r="RF44" s="30"/>
      <c r="RG44" s="31"/>
      <c r="RH44" s="30"/>
      <c r="RI44" s="31"/>
      <c r="RJ44" s="30"/>
      <c r="RK44" s="31"/>
      <c r="RL44" s="30"/>
      <c r="RM44" s="31"/>
      <c r="RN44" s="30"/>
      <c r="RO44" s="31"/>
      <c r="RP44" s="30"/>
      <c r="RQ44" s="31"/>
      <c r="RR44" s="30"/>
      <c r="RS44" s="31"/>
      <c r="RT44" s="30"/>
      <c r="RU44" s="31"/>
      <c r="RV44" s="30"/>
      <c r="RW44" s="31"/>
      <c r="RX44" s="30"/>
      <c r="RY44" s="31"/>
      <c r="RZ44" s="30"/>
      <c r="SA44" s="31"/>
      <c r="SB44" s="30"/>
      <c r="SC44" s="31"/>
      <c r="SD44" s="30"/>
      <c r="SE44" s="31"/>
      <c r="SF44" s="30"/>
      <c r="SG44" s="31"/>
      <c r="SH44" s="30"/>
      <c r="SI44" s="31"/>
      <c r="SJ44" s="30"/>
      <c r="SK44" s="31"/>
      <c r="SL44" s="30"/>
      <c r="SM44" s="31"/>
      <c r="SN44" s="30"/>
      <c r="SO44" s="31"/>
      <c r="SP44" s="30"/>
      <c r="SQ44" s="31"/>
      <c r="SR44" s="30"/>
      <c r="SS44" s="31"/>
      <c r="ST44" s="30"/>
      <c r="SU44" s="31"/>
      <c r="SV44" s="30"/>
      <c r="SW44" s="31"/>
      <c r="SX44" s="30"/>
      <c r="SY44" s="31"/>
      <c r="SZ44" s="30"/>
      <c r="TA44" s="31"/>
      <c r="TB44" s="30"/>
      <c r="TC44" s="31"/>
      <c r="TD44" s="30"/>
      <c r="TE44" s="31"/>
      <c r="TF44" s="30"/>
      <c r="TG44" s="31"/>
      <c r="TH44" s="30"/>
      <c r="TI44" s="31"/>
      <c r="TJ44" s="30"/>
      <c r="TK44" s="31"/>
      <c r="TL44" s="30"/>
      <c r="TM44" s="31"/>
      <c r="TN44" s="30"/>
      <c r="TO44" s="31"/>
      <c r="TP44" s="30"/>
      <c r="TQ44" s="31"/>
      <c r="TR44" s="30"/>
      <c r="TS44" s="31"/>
      <c r="TT44" s="30"/>
      <c r="TU44" s="31"/>
      <c r="TV44" s="30"/>
      <c r="TW44" s="31"/>
      <c r="TX44" s="30"/>
      <c r="TY44" s="31"/>
      <c r="TZ44" s="30"/>
      <c r="UA44" s="31"/>
      <c r="UB44" s="30"/>
      <c r="UC44" s="31"/>
      <c r="UD44" s="30"/>
      <c r="UE44" s="31"/>
      <c r="UF44" s="30"/>
      <c r="UG44" s="31"/>
      <c r="UH44" s="30"/>
      <c r="UI44" s="31"/>
      <c r="UJ44" s="30"/>
      <c r="UK44" s="31"/>
      <c r="UL44" s="30"/>
      <c r="UM44" s="31"/>
      <c r="UN44" s="30"/>
      <c r="UO44" s="31"/>
      <c r="UP44" s="30"/>
      <c r="UQ44" s="31"/>
      <c r="UR44" s="30"/>
      <c r="US44" s="31"/>
      <c r="UT44" s="30"/>
      <c r="UU44" s="31"/>
      <c r="UV44" s="30"/>
      <c r="UW44" s="31"/>
      <c r="UX44" s="30"/>
      <c r="UY44" s="31"/>
      <c r="UZ44" s="30"/>
      <c r="VA44" s="31"/>
      <c r="VB44" s="30"/>
      <c r="VC44" s="31"/>
      <c r="VD44" s="30"/>
      <c r="VE44" s="31"/>
      <c r="VF44" s="30"/>
      <c r="VG44" s="31"/>
      <c r="VH44" s="30"/>
      <c r="VI44" s="31"/>
      <c r="VJ44" s="30"/>
      <c r="VK44" s="31"/>
      <c r="VL44" s="30"/>
      <c r="VM44" s="31"/>
      <c r="VN44" s="30"/>
      <c r="VO44" s="31"/>
      <c r="VP44" s="30"/>
      <c r="VQ44" s="31"/>
      <c r="VR44" s="30"/>
      <c r="VS44" s="31"/>
      <c r="VT44" s="30"/>
      <c r="VU44" s="31"/>
      <c r="VV44" s="30"/>
      <c r="VW44" s="31"/>
      <c r="VX44" s="30"/>
      <c r="VY44" s="31"/>
      <c r="VZ44" s="30"/>
      <c r="WA44" s="31"/>
      <c r="WB44" s="30"/>
      <c r="WC44" s="31"/>
      <c r="WD44" s="30"/>
      <c r="WE44" s="31"/>
      <c r="WF44" s="30"/>
      <c r="WG44" s="31"/>
      <c r="WH44" s="30"/>
      <c r="WI44" s="31"/>
      <c r="WJ44" s="30"/>
      <c r="WK44" s="31"/>
      <c r="WL44" s="30"/>
      <c r="WM44" s="31"/>
      <c r="WN44" s="30"/>
      <c r="WO44" s="31"/>
      <c r="WP44" s="30"/>
      <c r="WQ44" s="31"/>
      <c r="WR44" s="30"/>
      <c r="WS44" s="31"/>
      <c r="WT44" s="30"/>
      <c r="WU44" s="31"/>
      <c r="WV44" s="30"/>
      <c r="WW44" s="31"/>
      <c r="WX44" s="30"/>
      <c r="WY44" s="31"/>
      <c r="WZ44" s="30"/>
      <c r="XA44" s="31"/>
      <c r="XB44" s="30"/>
      <c r="XC44" s="31"/>
      <c r="XD44" s="30"/>
      <c r="XE44" s="31"/>
      <c r="XF44" s="30"/>
      <c r="XG44" s="31"/>
      <c r="XH44" s="30"/>
      <c r="XI44" s="31"/>
      <c r="XJ44" s="30"/>
      <c r="XK44" s="31"/>
      <c r="XL44" s="30"/>
      <c r="XM44" s="31"/>
      <c r="XN44" s="30"/>
      <c r="XO44" s="31"/>
      <c r="XP44" s="30"/>
      <c r="XQ44" s="31"/>
      <c r="XR44" s="30"/>
      <c r="XS44" s="31"/>
      <c r="XT44" s="30"/>
      <c r="XU44" s="31"/>
      <c r="XV44" s="30"/>
      <c r="XW44" s="31"/>
      <c r="XX44" s="30"/>
      <c r="XY44" s="31"/>
      <c r="XZ44" s="30"/>
      <c r="YA44" s="31"/>
      <c r="YB44" s="30"/>
      <c r="YC44" s="31"/>
      <c r="YD44" s="30"/>
      <c r="YE44" s="31"/>
      <c r="YF44" s="30"/>
      <c r="YG44" s="31"/>
      <c r="YH44" s="30"/>
      <c r="YI44" s="31"/>
      <c r="YJ44" s="30"/>
      <c r="YK44" s="31"/>
      <c r="YL44" s="30"/>
      <c r="YM44" s="31"/>
      <c r="YN44" s="30"/>
      <c r="YO44" s="31"/>
      <c r="YP44" s="30"/>
      <c r="YQ44" s="31"/>
      <c r="YR44" s="30"/>
      <c r="YS44" s="31"/>
      <c r="YT44" s="30"/>
      <c r="YU44" s="31"/>
      <c r="YV44" s="30"/>
      <c r="YW44" s="31"/>
      <c r="YX44" s="30"/>
      <c r="YY44" s="31"/>
      <c r="YZ44" s="30"/>
      <c r="ZA44" s="31"/>
      <c r="ZB44" s="30"/>
      <c r="ZC44" s="31"/>
      <c r="ZD44" s="30"/>
      <c r="ZE44" s="31"/>
      <c r="ZF44" s="30"/>
      <c r="ZG44" s="31"/>
      <c r="ZH44" s="30"/>
      <c r="ZI44" s="31"/>
      <c r="ZJ44" s="30"/>
      <c r="ZK44" s="31"/>
      <c r="ZL44" s="30"/>
      <c r="ZM44" s="31"/>
      <c r="ZN44" s="30"/>
      <c r="ZO44" s="31"/>
      <c r="ZP44" s="30"/>
      <c r="ZQ44" s="31"/>
      <c r="ZR44" s="30"/>
      <c r="ZS44" s="31"/>
      <c r="ZT44" s="30"/>
      <c r="ZU44" s="31"/>
      <c r="ZV44" s="30"/>
      <c r="ZW44" s="31"/>
      <c r="ZX44" s="30"/>
      <c r="ZY44" s="31"/>
      <c r="ZZ44" s="30"/>
      <c r="AAA44" s="31"/>
      <c r="AAB44" s="30"/>
      <c r="AAC44" s="31"/>
      <c r="AAD44" s="30"/>
      <c r="AAE44" s="31"/>
      <c r="AAF44" s="30"/>
      <c r="AAG44" s="31"/>
      <c r="AAH44" s="30"/>
      <c r="AAI44" s="31"/>
      <c r="AAJ44" s="30"/>
      <c r="AAK44" s="31"/>
      <c r="AAL44" s="30"/>
      <c r="AAM44" s="31"/>
      <c r="AAN44" s="30"/>
      <c r="AAO44" s="31"/>
      <c r="AAP44" s="30"/>
      <c r="AAQ44" s="31"/>
      <c r="AAR44" s="30"/>
      <c r="AAS44" s="31"/>
      <c r="AAT44" s="30"/>
      <c r="AAU44" s="31"/>
      <c r="AAV44" s="30"/>
      <c r="AAW44" s="31"/>
      <c r="AAX44" s="30"/>
      <c r="AAY44" s="31"/>
      <c r="AAZ44" s="30"/>
      <c r="ABA44" s="31"/>
      <c r="ABB44" s="30"/>
      <c r="ABC44" s="31"/>
      <c r="ABD44" s="30"/>
      <c r="ABE44" s="31"/>
      <c r="ABF44" s="30"/>
      <c r="ABG44" s="31"/>
      <c r="ABH44" s="30"/>
      <c r="ABI44" s="31"/>
      <c r="ABJ44" s="30"/>
      <c r="ABK44" s="31"/>
      <c r="ABL44" s="30"/>
      <c r="ABM44" s="31"/>
      <c r="ABN44" s="30"/>
      <c r="ABO44" s="31"/>
      <c r="ABP44" s="30"/>
      <c r="ABQ44" s="31"/>
      <c r="ABR44" s="30"/>
      <c r="ABS44" s="31"/>
      <c r="ABT44" s="30"/>
      <c r="ABU44" s="31"/>
      <c r="ABV44" s="30"/>
      <c r="ABW44" s="31"/>
      <c r="ABX44" s="30"/>
      <c r="ABY44" s="31"/>
      <c r="ABZ44" s="30"/>
      <c r="ACA44" s="31"/>
      <c r="ACB44" s="30"/>
      <c r="ACC44" s="31"/>
      <c r="ACD44" s="30"/>
      <c r="ACE44" s="31"/>
      <c r="ACF44" s="30"/>
      <c r="ACG44" s="31"/>
      <c r="ACH44" s="30"/>
      <c r="ACI44" s="31"/>
      <c r="ACJ44" s="30"/>
      <c r="ACK44" s="31"/>
      <c r="ACL44" s="30"/>
      <c r="ACM44" s="31"/>
      <c r="ACN44" s="30"/>
      <c r="ACO44" s="31"/>
      <c r="ACP44" s="30"/>
      <c r="ACQ44" s="31"/>
      <c r="ACR44" s="30"/>
      <c r="ACS44" s="31"/>
      <c r="ACT44" s="30"/>
      <c r="ACU44" s="31"/>
      <c r="ACV44" s="30"/>
      <c r="ACW44" s="31"/>
      <c r="ACX44" s="30"/>
      <c r="ACY44" s="31"/>
      <c r="ACZ44" s="30"/>
      <c r="ADA44" s="31"/>
      <c r="ADB44" s="30"/>
      <c r="ADC44" s="31"/>
      <c r="ADD44" s="30"/>
      <c r="ADE44" s="31"/>
      <c r="ADF44" s="30"/>
      <c r="ADG44" s="31"/>
      <c r="ADH44" s="30"/>
      <c r="ADI44" s="31"/>
      <c r="ADJ44" s="30"/>
      <c r="ADK44" s="31"/>
      <c r="ADL44" s="30"/>
      <c r="ADM44" s="31"/>
      <c r="ADN44" s="30"/>
      <c r="ADO44" s="31"/>
      <c r="ADP44" s="30"/>
      <c r="ADQ44" s="31"/>
      <c r="ADR44" s="30"/>
      <c r="ADS44" s="31"/>
      <c r="ADT44" s="30"/>
      <c r="ADU44" s="31"/>
      <c r="ADV44" s="30"/>
      <c r="ADW44" s="31"/>
      <c r="ADX44" s="30"/>
      <c r="ADY44" s="31"/>
      <c r="ADZ44" s="30"/>
      <c r="AEA44" s="31"/>
      <c r="AEB44" s="30"/>
      <c r="AEC44" s="31"/>
      <c r="AED44" s="30"/>
      <c r="AEE44" s="31"/>
      <c r="AEF44" s="30"/>
      <c r="AEG44" s="31"/>
      <c r="AEH44" s="30"/>
      <c r="AEI44" s="31"/>
      <c r="AEJ44" s="30"/>
      <c r="AEK44" s="31"/>
      <c r="AEL44" s="30"/>
      <c r="AEM44" s="31"/>
      <c r="AEN44" s="30"/>
      <c r="AEO44" s="31"/>
      <c r="AEP44" s="30"/>
      <c r="AEQ44" s="31"/>
      <c r="AER44" s="30"/>
      <c r="AES44" s="31"/>
      <c r="AET44" s="30"/>
      <c r="AEU44" s="31"/>
      <c r="AEV44" s="30"/>
      <c r="AEW44" s="31"/>
      <c r="AEX44" s="30"/>
      <c r="AEY44" s="31"/>
      <c r="AEZ44" s="30"/>
      <c r="AFA44" s="31"/>
      <c r="AFB44" s="30"/>
      <c r="AFC44" s="31"/>
      <c r="AFD44" s="30"/>
      <c r="AFE44" s="31"/>
      <c r="AFF44" s="30"/>
      <c r="AFG44" s="31"/>
      <c r="AFH44" s="30"/>
      <c r="AFI44" s="31"/>
      <c r="AFJ44" s="30"/>
      <c r="AFK44" s="31"/>
      <c r="AFL44" s="30"/>
      <c r="AFM44" s="31"/>
      <c r="AFN44" s="30"/>
      <c r="AFO44" s="31"/>
      <c r="AFP44" s="30"/>
      <c r="AFQ44" s="31"/>
      <c r="AFR44" s="30"/>
      <c r="AFS44" s="31"/>
      <c r="AFT44" s="30"/>
      <c r="AFU44" s="31"/>
      <c r="AFV44" s="30"/>
      <c r="AFW44" s="31"/>
      <c r="AFX44" s="30"/>
      <c r="AFY44" s="31"/>
      <c r="AFZ44" s="30"/>
      <c r="AGA44" s="31"/>
      <c r="AGB44" s="30"/>
      <c r="AGC44" s="31"/>
      <c r="AGD44" s="30"/>
      <c r="AGE44" s="31"/>
      <c r="AGF44" s="30"/>
      <c r="AGG44" s="31"/>
      <c r="AGH44" s="30"/>
      <c r="AGI44" s="31"/>
      <c r="AGJ44" s="30"/>
      <c r="AGK44" s="31"/>
      <c r="AGL44" s="30"/>
      <c r="AGM44" s="31"/>
      <c r="AGN44" s="30"/>
      <c r="AGO44" s="31"/>
      <c r="AGP44" s="30"/>
      <c r="AGQ44" s="31"/>
      <c r="AGR44" s="30"/>
      <c r="AGS44" s="31"/>
      <c r="AGT44" s="30"/>
      <c r="AGU44" s="31"/>
      <c r="AGV44" s="30"/>
      <c r="AGW44" s="31"/>
      <c r="AGX44" s="30"/>
      <c r="AGY44" s="31"/>
      <c r="AGZ44" s="30"/>
      <c r="AHA44" s="31"/>
      <c r="AHB44" s="30"/>
      <c r="AHC44" s="31"/>
      <c r="AHD44" s="30"/>
      <c r="AHE44" s="31"/>
      <c r="AHF44" s="30"/>
      <c r="AHG44" s="31"/>
      <c r="AHH44" s="30"/>
      <c r="AHI44" s="31"/>
      <c r="AHJ44" s="30"/>
      <c r="AHK44" s="31"/>
      <c r="AHL44" s="30"/>
      <c r="AHM44" s="31"/>
      <c r="AHN44" s="30"/>
      <c r="AHO44" s="31"/>
      <c r="AHP44" s="30"/>
      <c r="AHQ44" s="31"/>
      <c r="AHR44" s="30"/>
      <c r="AHS44" s="31"/>
      <c r="AHT44" s="30"/>
      <c r="AHU44" s="31"/>
      <c r="AHV44" s="30"/>
      <c r="AHW44" s="31"/>
      <c r="AHX44" s="30"/>
      <c r="AHY44" s="31"/>
      <c r="AHZ44" s="30"/>
      <c r="AIA44" s="31"/>
      <c r="AIB44" s="30"/>
      <c r="AIC44" s="31"/>
      <c r="AID44" s="30"/>
      <c r="AIE44" s="31"/>
      <c r="AIF44" s="30"/>
      <c r="AIG44" s="31"/>
      <c r="AIH44" s="30"/>
      <c r="AII44" s="31"/>
      <c r="AIJ44" s="30"/>
      <c r="AIK44" s="31"/>
      <c r="AIL44" s="30"/>
      <c r="AIM44" s="31"/>
      <c r="AIN44" s="30"/>
      <c r="AIO44" s="31"/>
      <c r="AIP44" s="30"/>
      <c r="AIQ44" s="31"/>
      <c r="AIR44" s="30"/>
      <c r="AIS44" s="31"/>
      <c r="AIT44" s="30"/>
      <c r="AIU44" s="31"/>
      <c r="AIV44" s="30"/>
      <c r="AIW44" s="31"/>
      <c r="AIX44" s="30"/>
      <c r="AIY44" s="31"/>
      <c r="AIZ44" s="30"/>
      <c r="AJA44" s="31"/>
      <c r="AJB44" s="30"/>
      <c r="AJC44" s="31"/>
      <c r="AJD44" s="30"/>
      <c r="AJE44" s="31"/>
      <c r="AJF44" s="30"/>
      <c r="AJG44" s="31"/>
      <c r="AJH44" s="30"/>
      <c r="AJI44" s="31"/>
      <c r="AJJ44" s="30"/>
      <c r="AJK44" s="31"/>
      <c r="AJL44" s="30"/>
      <c r="AJM44" s="31"/>
      <c r="AJN44" s="30"/>
      <c r="AJO44" s="31"/>
      <c r="AJP44" s="30"/>
      <c r="AJQ44" s="31"/>
      <c r="AJR44" s="30"/>
      <c r="AJS44" s="31"/>
      <c r="AJT44" s="30"/>
      <c r="AJU44" s="31"/>
      <c r="AJV44" s="30"/>
      <c r="AJW44" s="31"/>
      <c r="AJX44" s="30"/>
      <c r="AJY44" s="31"/>
      <c r="AJZ44" s="30"/>
      <c r="AKA44" s="31"/>
      <c r="AKB44" s="30"/>
      <c r="AKC44" s="31"/>
      <c r="AKD44" s="30"/>
      <c r="AKE44" s="31"/>
      <c r="AKF44" s="30"/>
      <c r="AKG44" s="31"/>
      <c r="AKH44" s="30"/>
      <c r="AKI44" s="31"/>
      <c r="AKJ44" s="30"/>
      <c r="AKK44" s="31"/>
      <c r="AKL44" s="30"/>
      <c r="AKM44" s="31"/>
      <c r="AKN44" s="30"/>
      <c r="AKO44" s="31"/>
      <c r="AKP44" s="30"/>
      <c r="AKQ44" s="31"/>
      <c r="AKR44" s="30"/>
      <c r="AKS44" s="31"/>
      <c r="AKT44" s="30"/>
      <c r="AKU44" s="31"/>
      <c r="AKV44" s="30"/>
      <c r="AKW44" s="31"/>
      <c r="AKX44" s="30"/>
      <c r="AKY44" s="31"/>
      <c r="AKZ44" s="30"/>
      <c r="ALA44" s="31"/>
      <c r="ALB44" s="30"/>
      <c r="ALC44" s="31"/>
      <c r="ALD44" s="30"/>
      <c r="ALE44" s="31"/>
      <c r="ALF44" s="30"/>
      <c r="ALG44" s="31"/>
      <c r="ALH44" s="30"/>
      <c r="ALI44" s="31"/>
      <c r="ALJ44" s="30"/>
      <c r="ALK44" s="31"/>
      <c r="ALL44" s="30"/>
      <c r="ALM44" s="31"/>
      <c r="ALN44" s="30"/>
      <c r="ALO44" s="31"/>
      <c r="ALP44" s="30"/>
      <c r="ALQ44" s="31"/>
      <c r="ALR44" s="30"/>
      <c r="ALS44" s="31"/>
      <c r="ALT44" s="30"/>
      <c r="ALU44" s="31"/>
      <c r="ALV44" s="30"/>
      <c r="ALW44" s="31"/>
      <c r="ALX44" s="30"/>
      <c r="ALY44" s="31"/>
      <c r="ALZ44" s="30"/>
      <c r="AMA44" s="31"/>
      <c r="AMB44" s="30"/>
      <c r="AMC44" s="31"/>
      <c r="AMD44" s="30"/>
      <c r="AME44" s="31"/>
      <c r="AMF44" s="30"/>
      <c r="AMG44" s="31"/>
      <c r="AMH44" s="30"/>
      <c r="AMI44" s="31"/>
      <c r="AMJ44" s="30"/>
      <c r="AMK44" s="31"/>
      <c r="AML44" s="30"/>
      <c r="AMM44" s="31"/>
      <c r="AMN44" s="30"/>
      <c r="AMO44" s="31"/>
      <c r="AMP44" s="30"/>
      <c r="AMQ44" s="31"/>
      <c r="AMR44" s="30"/>
      <c r="AMS44" s="31"/>
      <c r="AMT44" s="30"/>
      <c r="AMU44" s="31"/>
      <c r="AMV44" s="30"/>
      <c r="AMW44" s="31"/>
      <c r="AMX44" s="30"/>
      <c r="AMY44" s="31"/>
      <c r="AMZ44" s="30"/>
      <c r="ANA44" s="31"/>
      <c r="ANB44" s="30"/>
      <c r="ANC44" s="31"/>
      <c r="AND44" s="30"/>
      <c r="ANE44" s="31"/>
      <c r="ANF44" s="30"/>
      <c r="ANG44" s="31"/>
      <c r="ANH44" s="30"/>
      <c r="ANI44" s="31"/>
      <c r="ANJ44" s="30"/>
      <c r="ANK44" s="31"/>
      <c r="ANL44" s="30"/>
      <c r="ANM44" s="31"/>
      <c r="ANN44" s="30"/>
      <c r="ANO44" s="31"/>
      <c r="ANP44" s="30"/>
      <c r="ANQ44" s="31"/>
      <c r="ANR44" s="30"/>
      <c r="ANS44" s="31"/>
      <c r="ANT44" s="30"/>
      <c r="ANU44" s="31"/>
      <c r="ANV44" s="30"/>
      <c r="ANW44" s="31"/>
      <c r="ANX44" s="30"/>
      <c r="ANY44" s="31"/>
      <c r="ANZ44" s="30"/>
      <c r="AOA44" s="31"/>
      <c r="AOB44" s="30"/>
      <c r="AOC44" s="31"/>
      <c r="AOD44" s="30"/>
      <c r="AOE44" s="31"/>
      <c r="AOF44" s="30"/>
      <c r="AOG44" s="31"/>
      <c r="AOH44" s="30"/>
      <c r="AOI44" s="31"/>
      <c r="AOJ44" s="30"/>
      <c r="AOK44" s="31"/>
      <c r="AOL44" s="30"/>
      <c r="AOM44" s="31"/>
      <c r="AON44" s="30"/>
      <c r="AOO44" s="31"/>
      <c r="AOP44" s="30"/>
      <c r="AOQ44" s="31"/>
      <c r="AOR44" s="30"/>
      <c r="AOS44" s="31"/>
      <c r="AOT44" s="30"/>
      <c r="AOU44" s="31"/>
      <c r="AOV44" s="30"/>
      <c r="AOW44" s="31"/>
      <c r="AOX44" s="30"/>
      <c r="AOY44" s="31"/>
      <c r="AOZ44" s="30"/>
      <c r="APA44" s="31"/>
      <c r="APB44" s="30"/>
      <c r="APC44" s="31"/>
      <c r="APD44" s="30"/>
      <c r="APE44" s="31"/>
      <c r="APF44" s="30"/>
      <c r="APG44" s="31"/>
      <c r="APH44" s="30"/>
      <c r="API44" s="31"/>
      <c r="APJ44" s="30"/>
      <c r="APK44" s="31"/>
      <c r="APL44" s="30"/>
      <c r="APM44" s="31"/>
      <c r="APN44" s="30"/>
      <c r="APO44" s="31"/>
      <c r="APP44" s="30"/>
      <c r="APQ44" s="31"/>
      <c r="APR44" s="30"/>
      <c r="APS44" s="31"/>
      <c r="APT44" s="30"/>
      <c r="APU44" s="31"/>
      <c r="APV44" s="30"/>
      <c r="APW44" s="31"/>
      <c r="APX44" s="30"/>
      <c r="APY44" s="31"/>
      <c r="APZ44" s="30"/>
      <c r="AQA44" s="31"/>
      <c r="AQB44" s="30"/>
      <c r="AQC44" s="31"/>
      <c r="AQD44" s="30"/>
      <c r="AQE44" s="31"/>
      <c r="AQF44" s="30"/>
      <c r="AQG44" s="31"/>
      <c r="AQH44" s="30"/>
      <c r="AQI44" s="31"/>
      <c r="AQJ44" s="30"/>
      <c r="AQK44" s="31"/>
      <c r="AQL44" s="30"/>
      <c r="AQM44" s="31"/>
      <c r="AQN44" s="30"/>
      <c r="AQO44" s="31"/>
      <c r="AQP44" s="30"/>
      <c r="AQQ44" s="31"/>
      <c r="AQR44" s="30"/>
      <c r="AQS44" s="31"/>
      <c r="AQT44" s="30"/>
      <c r="AQU44" s="31"/>
      <c r="AQV44" s="30"/>
      <c r="AQW44" s="31"/>
      <c r="AQX44" s="30"/>
      <c r="AQY44" s="31"/>
      <c r="AQZ44" s="30"/>
      <c r="ARA44" s="31"/>
      <c r="ARB44" s="30"/>
      <c r="ARC44" s="31"/>
      <c r="ARD44" s="30"/>
      <c r="ARE44" s="31"/>
      <c r="ARF44" s="30"/>
      <c r="ARG44" s="31"/>
      <c r="ARH44" s="30"/>
      <c r="ARI44" s="31"/>
      <c r="ARJ44" s="30"/>
      <c r="ARK44" s="31"/>
      <c r="ARL44" s="30"/>
      <c r="ARM44" s="31"/>
      <c r="ARN44" s="30"/>
      <c r="ARO44" s="31"/>
      <c r="ARP44" s="30"/>
      <c r="ARQ44" s="31"/>
      <c r="ARR44" s="30"/>
      <c r="ARS44" s="31"/>
      <c r="ART44" s="30"/>
      <c r="ARU44" s="31"/>
      <c r="ARV44" s="30"/>
      <c r="ARW44" s="31"/>
      <c r="ARX44" s="30"/>
      <c r="ARY44" s="31"/>
      <c r="ARZ44" s="30"/>
      <c r="ASA44" s="31"/>
      <c r="ASB44" s="30"/>
      <c r="ASC44" s="31"/>
      <c r="ASD44" s="30"/>
      <c r="ASE44" s="31"/>
      <c r="ASF44" s="30"/>
      <c r="ASG44" s="31"/>
      <c r="ASH44" s="30"/>
      <c r="ASI44" s="31"/>
      <c r="ASJ44" s="30"/>
      <c r="ASK44" s="31"/>
      <c r="ASL44" s="30"/>
      <c r="ASM44" s="31"/>
      <c r="ASN44" s="30"/>
      <c r="ASO44" s="31"/>
      <c r="ASP44" s="30"/>
      <c r="ASQ44" s="31"/>
      <c r="ASR44" s="30"/>
      <c r="ASS44" s="31"/>
      <c r="AST44" s="30"/>
      <c r="ASU44" s="31"/>
      <c r="ASV44" s="30"/>
      <c r="ASW44" s="31"/>
      <c r="ASX44" s="30"/>
      <c r="ASY44" s="31"/>
      <c r="ASZ44" s="30"/>
      <c r="ATA44" s="31"/>
      <c r="ATB44" s="30"/>
      <c r="ATC44" s="31"/>
      <c r="ATD44" s="30"/>
      <c r="ATE44" s="31"/>
      <c r="ATF44" s="30"/>
      <c r="ATG44" s="31"/>
      <c r="ATH44" s="30"/>
      <c r="ATI44" s="31"/>
      <c r="ATJ44" s="30"/>
      <c r="ATK44" s="31"/>
      <c r="ATL44" s="30"/>
      <c r="ATM44" s="31"/>
      <c r="ATN44" s="30"/>
      <c r="ATO44" s="31"/>
      <c r="ATP44" s="30"/>
      <c r="ATQ44" s="31"/>
      <c r="ATR44" s="30"/>
      <c r="ATS44" s="31"/>
      <c r="ATT44" s="30"/>
      <c r="ATU44" s="31"/>
      <c r="ATV44" s="30"/>
      <c r="ATW44" s="31"/>
      <c r="ATX44" s="30"/>
      <c r="ATY44" s="31"/>
      <c r="ATZ44" s="30"/>
      <c r="AUA44" s="31"/>
      <c r="AUB44" s="30"/>
      <c r="AUC44" s="31"/>
      <c r="AUD44" s="30"/>
      <c r="AUE44" s="31"/>
      <c r="AUF44" s="30"/>
      <c r="AUG44" s="31"/>
      <c r="AUH44" s="30"/>
      <c r="AUI44" s="31"/>
      <c r="AUJ44" s="30"/>
      <c r="AUK44" s="31"/>
      <c r="AUL44" s="30"/>
      <c r="AUM44" s="31"/>
      <c r="AUN44" s="30"/>
      <c r="AUO44" s="31"/>
      <c r="AUP44" s="30"/>
      <c r="AUQ44" s="31"/>
      <c r="AUR44" s="30"/>
      <c r="AUS44" s="31"/>
      <c r="AUT44" s="30"/>
      <c r="AUU44" s="31"/>
      <c r="AUV44" s="30"/>
      <c r="AUW44" s="31"/>
      <c r="AUX44" s="30"/>
      <c r="AUY44" s="31"/>
      <c r="AUZ44" s="30"/>
      <c r="AVA44" s="31"/>
      <c r="AVB44" s="30"/>
      <c r="AVC44" s="31"/>
      <c r="AVD44" s="30"/>
      <c r="AVE44" s="31"/>
      <c r="AVF44" s="30"/>
      <c r="AVG44" s="31"/>
      <c r="AVH44" s="30"/>
      <c r="AVI44" s="31"/>
      <c r="AVJ44" s="30"/>
      <c r="AVK44" s="31"/>
      <c r="AVL44" s="30"/>
      <c r="AVM44" s="31"/>
      <c r="AVN44" s="30"/>
      <c r="AVO44" s="31"/>
      <c r="AVP44" s="30"/>
      <c r="AVQ44" s="31"/>
      <c r="AVR44" s="30"/>
      <c r="AVS44" s="31"/>
      <c r="AVT44" s="30"/>
      <c r="AVU44" s="31"/>
      <c r="AVV44" s="30"/>
      <c r="AVW44" s="31"/>
      <c r="AVX44" s="30"/>
      <c r="AVY44" s="31"/>
      <c r="AVZ44" s="30"/>
      <c r="AWA44" s="31"/>
      <c r="AWB44" s="30"/>
      <c r="AWC44" s="31"/>
      <c r="AWD44" s="30"/>
      <c r="AWE44" s="31"/>
      <c r="AWF44" s="30"/>
      <c r="AWG44" s="31"/>
      <c r="AWH44" s="30"/>
      <c r="AWI44" s="31"/>
      <c r="AWJ44" s="30"/>
      <c r="AWK44" s="31"/>
      <c r="AWL44" s="30"/>
      <c r="AWM44" s="31"/>
      <c r="AWN44" s="30"/>
      <c r="AWO44" s="31"/>
      <c r="AWP44" s="30"/>
      <c r="AWQ44" s="31"/>
      <c r="AWR44" s="30"/>
      <c r="AWS44" s="31"/>
      <c r="AWT44" s="30"/>
      <c r="AWU44" s="31"/>
      <c r="AWV44" s="30"/>
      <c r="AWW44" s="31"/>
      <c r="AWX44" s="30"/>
      <c r="AWY44" s="31"/>
      <c r="AWZ44" s="30"/>
      <c r="AXA44" s="31"/>
      <c r="AXB44" s="30"/>
      <c r="AXC44" s="31"/>
      <c r="AXD44" s="30"/>
      <c r="AXE44" s="31"/>
      <c r="AXF44" s="30"/>
      <c r="AXG44" s="31"/>
      <c r="AXH44" s="30"/>
      <c r="AXI44" s="31"/>
      <c r="AXJ44" s="30"/>
      <c r="AXK44" s="31"/>
      <c r="AXL44" s="30"/>
      <c r="AXM44" s="31"/>
      <c r="AXN44" s="30"/>
      <c r="AXO44" s="31"/>
      <c r="AXP44" s="30"/>
      <c r="AXQ44" s="31"/>
      <c r="AXR44" s="30"/>
      <c r="AXS44" s="31"/>
      <c r="AXT44" s="30"/>
      <c r="AXU44" s="31"/>
      <c r="AXV44" s="30"/>
      <c r="AXW44" s="31"/>
      <c r="AXX44" s="30"/>
      <c r="AXY44" s="31"/>
      <c r="AXZ44" s="30"/>
      <c r="AYA44" s="31"/>
      <c r="AYB44" s="30"/>
      <c r="AYC44" s="31"/>
      <c r="AYD44" s="30"/>
      <c r="AYE44" s="31"/>
      <c r="AYF44" s="30"/>
      <c r="AYG44" s="31"/>
      <c r="AYH44" s="30"/>
      <c r="AYI44" s="31"/>
      <c r="AYJ44" s="30"/>
      <c r="AYK44" s="31"/>
      <c r="AYL44" s="30"/>
      <c r="AYM44" s="31"/>
      <c r="AYN44" s="30"/>
      <c r="AYO44" s="31"/>
      <c r="AYP44" s="30"/>
      <c r="AYQ44" s="31"/>
      <c r="AYR44" s="30"/>
      <c r="AYS44" s="31"/>
      <c r="AYT44" s="30"/>
      <c r="AYU44" s="31"/>
      <c r="AYV44" s="30"/>
      <c r="AYW44" s="31"/>
      <c r="AYX44" s="30"/>
      <c r="AYY44" s="31"/>
      <c r="AYZ44" s="30"/>
      <c r="AZA44" s="31"/>
      <c r="AZB44" s="30"/>
      <c r="AZC44" s="31"/>
      <c r="AZD44" s="30"/>
      <c r="AZE44" s="31"/>
      <c r="AZF44" s="30"/>
      <c r="AZG44" s="31"/>
      <c r="AZH44" s="30"/>
      <c r="AZI44" s="31"/>
      <c r="AZJ44" s="30"/>
      <c r="AZK44" s="31"/>
      <c r="AZL44" s="30"/>
      <c r="AZM44" s="31"/>
      <c r="AZN44" s="30"/>
      <c r="AZO44" s="31"/>
      <c r="AZP44" s="30"/>
      <c r="AZQ44" s="31"/>
      <c r="AZR44" s="30"/>
      <c r="AZS44" s="31"/>
      <c r="AZT44" s="30"/>
      <c r="AZU44" s="31"/>
      <c r="AZV44" s="30"/>
      <c r="AZW44" s="31"/>
      <c r="AZX44" s="30"/>
      <c r="AZY44" s="31"/>
      <c r="AZZ44" s="30"/>
      <c r="BAA44" s="31"/>
      <c r="BAB44" s="30"/>
      <c r="BAC44" s="31"/>
      <c r="BAD44" s="30"/>
      <c r="BAE44" s="31"/>
      <c r="BAF44" s="30"/>
      <c r="BAG44" s="31"/>
      <c r="BAH44" s="30"/>
      <c r="BAI44" s="31"/>
      <c r="BAJ44" s="30"/>
      <c r="BAK44" s="31"/>
      <c r="BAL44" s="30"/>
      <c r="BAM44" s="31"/>
      <c r="BAN44" s="30"/>
      <c r="BAO44" s="31"/>
      <c r="BAP44" s="30"/>
      <c r="BAQ44" s="31"/>
      <c r="BAR44" s="30"/>
      <c r="BAS44" s="31"/>
      <c r="BAT44" s="30"/>
      <c r="BAU44" s="31"/>
      <c r="BAV44" s="30"/>
      <c r="BAW44" s="31"/>
      <c r="BAX44" s="30"/>
      <c r="BAY44" s="31"/>
      <c r="BAZ44" s="30"/>
      <c r="BBA44" s="31"/>
      <c r="BBB44" s="30"/>
      <c r="BBC44" s="31"/>
      <c r="BBD44" s="30"/>
      <c r="BBE44" s="31"/>
      <c r="BBF44" s="30"/>
      <c r="BBG44" s="31"/>
      <c r="BBH44" s="30"/>
      <c r="BBI44" s="31"/>
      <c r="BBJ44" s="30"/>
      <c r="BBK44" s="31"/>
      <c r="BBL44" s="30"/>
      <c r="BBM44" s="31"/>
      <c r="BBN44" s="30"/>
      <c r="BBO44" s="31"/>
      <c r="BBP44" s="30"/>
      <c r="BBQ44" s="31"/>
      <c r="BBR44" s="30"/>
      <c r="BBS44" s="31"/>
      <c r="BBT44" s="30"/>
      <c r="BBU44" s="31"/>
      <c r="BBV44" s="30"/>
      <c r="BBW44" s="31"/>
      <c r="BBX44" s="30"/>
      <c r="BBY44" s="31"/>
      <c r="BBZ44" s="30"/>
      <c r="BCA44" s="31"/>
      <c r="BCB44" s="30"/>
      <c r="BCC44" s="31"/>
      <c r="BCD44" s="30"/>
      <c r="BCE44" s="31"/>
      <c r="BCF44" s="30"/>
      <c r="BCG44" s="31"/>
      <c r="BCH44" s="30"/>
      <c r="BCI44" s="31"/>
      <c r="BCJ44" s="30"/>
      <c r="BCK44" s="31"/>
      <c r="BCL44" s="30"/>
      <c r="BCM44" s="31"/>
      <c r="BCN44" s="30"/>
      <c r="BCO44" s="31"/>
      <c r="BCP44" s="30"/>
      <c r="BCQ44" s="31"/>
      <c r="BCR44" s="30"/>
      <c r="BCS44" s="31"/>
      <c r="BCT44" s="30"/>
      <c r="BCU44" s="31"/>
      <c r="BCV44" s="30"/>
      <c r="BCW44" s="31"/>
      <c r="BCX44" s="30"/>
      <c r="BCY44" s="31"/>
      <c r="BCZ44" s="30"/>
      <c r="BDA44" s="31"/>
      <c r="BDB44" s="30"/>
      <c r="BDC44" s="31"/>
      <c r="BDD44" s="30"/>
      <c r="BDE44" s="31"/>
      <c r="BDF44" s="30"/>
      <c r="BDG44" s="31"/>
      <c r="BDH44" s="30"/>
      <c r="BDI44" s="31"/>
      <c r="BDJ44" s="30"/>
      <c r="BDK44" s="31"/>
      <c r="BDL44" s="30"/>
      <c r="BDM44" s="31"/>
      <c r="BDN44" s="30"/>
      <c r="BDO44" s="31"/>
      <c r="BDP44" s="30"/>
      <c r="BDQ44" s="31"/>
      <c r="BDR44" s="30"/>
      <c r="BDS44" s="31"/>
      <c r="BDT44" s="30"/>
      <c r="BDU44" s="31"/>
      <c r="BDV44" s="30"/>
      <c r="BDW44" s="31"/>
      <c r="BDX44" s="30"/>
      <c r="BDY44" s="31"/>
      <c r="BDZ44" s="30"/>
      <c r="BEA44" s="31"/>
      <c r="BEB44" s="30"/>
      <c r="BEC44" s="31"/>
      <c r="BED44" s="30"/>
      <c r="BEE44" s="31"/>
      <c r="BEF44" s="30"/>
      <c r="BEG44" s="31"/>
      <c r="BEH44" s="30"/>
      <c r="BEI44" s="31"/>
      <c r="BEJ44" s="30"/>
      <c r="BEK44" s="31"/>
      <c r="BEL44" s="30"/>
      <c r="BEM44" s="31"/>
      <c r="BEN44" s="30"/>
      <c r="BEO44" s="31"/>
      <c r="BEP44" s="30"/>
      <c r="BEQ44" s="31"/>
      <c r="BER44" s="30"/>
      <c r="BES44" s="31"/>
      <c r="BET44" s="30"/>
      <c r="BEU44" s="31"/>
      <c r="BEV44" s="30"/>
      <c r="BEW44" s="31"/>
      <c r="BEX44" s="30"/>
      <c r="BEY44" s="31"/>
      <c r="BEZ44" s="30"/>
      <c r="BFA44" s="31"/>
      <c r="BFB44" s="30"/>
      <c r="BFC44" s="31"/>
      <c r="BFD44" s="30"/>
      <c r="BFE44" s="31"/>
      <c r="BFF44" s="30"/>
      <c r="BFG44" s="31"/>
      <c r="BFH44" s="30"/>
      <c r="BFI44" s="31"/>
      <c r="BFJ44" s="30"/>
      <c r="BFK44" s="31"/>
      <c r="BFL44" s="30"/>
      <c r="BFM44" s="31"/>
      <c r="BFN44" s="30"/>
      <c r="BFO44" s="31"/>
      <c r="BFP44" s="30"/>
      <c r="BFQ44" s="31"/>
      <c r="BFR44" s="30"/>
      <c r="BFS44" s="31"/>
      <c r="BFT44" s="30"/>
      <c r="BFU44" s="31"/>
      <c r="BFV44" s="30"/>
      <c r="BFW44" s="31"/>
      <c r="BFX44" s="30"/>
      <c r="BFY44" s="31"/>
      <c r="BFZ44" s="30"/>
      <c r="BGA44" s="31"/>
      <c r="BGB44" s="30"/>
      <c r="BGC44" s="31"/>
      <c r="BGD44" s="30"/>
      <c r="BGE44" s="31"/>
      <c r="BGF44" s="30"/>
      <c r="BGG44" s="31"/>
      <c r="BGH44" s="30"/>
      <c r="BGI44" s="31"/>
      <c r="BGJ44" s="30"/>
      <c r="BGK44" s="31"/>
      <c r="BGL44" s="30"/>
      <c r="BGM44" s="31"/>
      <c r="BGN44" s="30"/>
      <c r="BGO44" s="31"/>
      <c r="BGP44" s="30"/>
      <c r="BGQ44" s="31"/>
      <c r="BGR44" s="30"/>
      <c r="BGS44" s="31"/>
      <c r="BGT44" s="30"/>
      <c r="BGU44" s="31"/>
      <c r="BGV44" s="30"/>
      <c r="BGW44" s="31"/>
      <c r="BGX44" s="30"/>
      <c r="BGY44" s="31"/>
      <c r="BGZ44" s="30"/>
      <c r="BHA44" s="31"/>
      <c r="BHB44" s="30"/>
      <c r="BHC44" s="31"/>
      <c r="BHD44" s="30"/>
      <c r="BHE44" s="31"/>
      <c r="BHF44" s="30"/>
      <c r="BHG44" s="31"/>
      <c r="BHH44" s="30"/>
      <c r="BHI44" s="31"/>
      <c r="BHJ44" s="30"/>
      <c r="BHK44" s="31"/>
      <c r="BHL44" s="30"/>
      <c r="BHM44" s="31"/>
      <c r="BHN44" s="30"/>
      <c r="BHO44" s="31"/>
      <c r="BHP44" s="30"/>
      <c r="BHQ44" s="31"/>
      <c r="BHR44" s="30"/>
      <c r="BHS44" s="31"/>
      <c r="BHT44" s="30"/>
      <c r="BHU44" s="31"/>
      <c r="BHV44" s="30"/>
      <c r="BHW44" s="31"/>
      <c r="BHX44" s="30"/>
      <c r="BHY44" s="31"/>
      <c r="BHZ44" s="30"/>
      <c r="BIA44" s="31"/>
      <c r="BIB44" s="30"/>
      <c r="BIC44" s="31"/>
      <c r="BID44" s="30"/>
      <c r="BIE44" s="31"/>
      <c r="BIF44" s="30"/>
      <c r="BIG44" s="31"/>
      <c r="BIH44" s="30"/>
      <c r="BII44" s="31"/>
      <c r="BIJ44" s="30"/>
      <c r="BIK44" s="31"/>
      <c r="BIL44" s="30"/>
      <c r="BIM44" s="31"/>
      <c r="BIN44" s="30"/>
      <c r="BIO44" s="31"/>
      <c r="BIP44" s="30"/>
      <c r="BIQ44" s="31"/>
      <c r="BIR44" s="30"/>
      <c r="BIS44" s="31"/>
      <c r="BIT44" s="30"/>
      <c r="BIU44" s="31"/>
      <c r="BIV44" s="30"/>
      <c r="BIW44" s="31"/>
      <c r="BIX44" s="30"/>
      <c r="BIY44" s="31"/>
      <c r="BIZ44" s="30"/>
      <c r="BJA44" s="31"/>
      <c r="BJB44" s="30"/>
      <c r="BJC44" s="31"/>
      <c r="BJD44" s="30"/>
      <c r="BJE44" s="31"/>
      <c r="BJF44" s="30"/>
      <c r="BJG44" s="31"/>
      <c r="BJH44" s="30"/>
      <c r="BJI44" s="31"/>
      <c r="BJJ44" s="30"/>
      <c r="BJK44" s="31"/>
      <c r="BJL44" s="30"/>
      <c r="BJM44" s="31"/>
      <c r="BJN44" s="30"/>
      <c r="BJO44" s="31"/>
      <c r="BJP44" s="30"/>
      <c r="BJQ44" s="31"/>
      <c r="BJR44" s="30"/>
      <c r="BJS44" s="31"/>
      <c r="BJT44" s="30"/>
      <c r="BJU44" s="31"/>
      <c r="BJV44" s="30"/>
      <c r="BJW44" s="31"/>
      <c r="BJX44" s="30"/>
      <c r="BJY44" s="31"/>
      <c r="BJZ44" s="30"/>
      <c r="BKA44" s="31"/>
      <c r="BKB44" s="30"/>
      <c r="BKC44" s="31"/>
      <c r="BKD44" s="30"/>
      <c r="BKE44" s="31"/>
      <c r="BKF44" s="30"/>
      <c r="BKG44" s="31"/>
      <c r="BKH44" s="30"/>
      <c r="BKI44" s="31"/>
      <c r="BKJ44" s="30"/>
      <c r="BKK44" s="31"/>
      <c r="BKL44" s="30"/>
      <c r="BKM44" s="31"/>
      <c r="BKN44" s="30"/>
      <c r="BKO44" s="31"/>
      <c r="BKP44" s="30"/>
      <c r="BKQ44" s="31"/>
      <c r="BKR44" s="30"/>
      <c r="BKS44" s="31"/>
      <c r="BKT44" s="30"/>
      <c r="BKU44" s="31"/>
      <c r="BKV44" s="30"/>
      <c r="BKW44" s="31"/>
      <c r="BKX44" s="30"/>
      <c r="BKY44" s="31"/>
      <c r="BKZ44" s="30"/>
      <c r="BLA44" s="31"/>
      <c r="BLB44" s="30"/>
      <c r="BLC44" s="31"/>
      <c r="BLD44" s="30"/>
      <c r="BLE44" s="31"/>
      <c r="BLF44" s="30"/>
      <c r="BLG44" s="31"/>
      <c r="BLH44" s="30"/>
      <c r="BLI44" s="31"/>
      <c r="BLJ44" s="30"/>
      <c r="BLK44" s="31"/>
      <c r="BLL44" s="30"/>
      <c r="BLM44" s="31"/>
      <c r="BLN44" s="30"/>
      <c r="BLO44" s="31"/>
      <c r="BLP44" s="30"/>
      <c r="BLQ44" s="31"/>
      <c r="BLR44" s="30"/>
      <c r="BLS44" s="31"/>
      <c r="BLT44" s="30"/>
      <c r="BLU44" s="31"/>
      <c r="BLV44" s="30"/>
      <c r="BLW44" s="31"/>
      <c r="BLX44" s="30"/>
      <c r="BLY44" s="31"/>
      <c r="BLZ44" s="30"/>
      <c r="BMA44" s="31"/>
      <c r="BMB44" s="30"/>
      <c r="BMC44" s="31"/>
      <c r="BMD44" s="30"/>
      <c r="BME44" s="31"/>
      <c r="BMF44" s="30"/>
      <c r="BMG44" s="31"/>
      <c r="BMH44" s="30"/>
      <c r="BMI44" s="31"/>
      <c r="BMJ44" s="30"/>
      <c r="BMK44" s="31"/>
      <c r="BML44" s="30"/>
      <c r="BMM44" s="31"/>
      <c r="BMN44" s="30"/>
      <c r="BMO44" s="31"/>
      <c r="BMP44" s="30"/>
      <c r="BMQ44" s="31"/>
      <c r="BMR44" s="30"/>
      <c r="BMS44" s="31"/>
      <c r="BMT44" s="30"/>
      <c r="BMU44" s="31"/>
      <c r="BMV44" s="30"/>
      <c r="BMW44" s="31"/>
      <c r="BMX44" s="30"/>
      <c r="BMY44" s="31"/>
      <c r="BMZ44" s="30"/>
      <c r="BNA44" s="31"/>
      <c r="BNB44" s="30"/>
      <c r="BNC44" s="31"/>
      <c r="BND44" s="30"/>
      <c r="BNE44" s="31"/>
      <c r="BNF44" s="30"/>
      <c r="BNG44" s="31"/>
      <c r="BNH44" s="30"/>
      <c r="BNI44" s="31"/>
      <c r="BNJ44" s="30"/>
      <c r="BNK44" s="31"/>
      <c r="BNL44" s="30"/>
      <c r="BNM44" s="31"/>
      <c r="BNN44" s="30"/>
      <c r="BNO44" s="31"/>
      <c r="BNP44" s="30"/>
      <c r="BNQ44" s="31"/>
      <c r="BNR44" s="30"/>
      <c r="BNS44" s="31"/>
      <c r="BNT44" s="30"/>
      <c r="BNU44" s="31"/>
      <c r="BNV44" s="30"/>
      <c r="BNW44" s="31"/>
      <c r="BNX44" s="30"/>
      <c r="BNY44" s="31"/>
      <c r="BNZ44" s="30"/>
      <c r="BOA44" s="31"/>
      <c r="BOB44" s="30"/>
      <c r="BOC44" s="31"/>
      <c r="BOD44" s="30"/>
      <c r="BOE44" s="31"/>
      <c r="BOF44" s="30"/>
      <c r="BOG44" s="31"/>
      <c r="BOH44" s="30"/>
      <c r="BOI44" s="31"/>
      <c r="BOJ44" s="30"/>
      <c r="BOK44" s="31"/>
      <c r="BOL44" s="30"/>
      <c r="BOM44" s="31"/>
      <c r="BON44" s="30"/>
      <c r="BOO44" s="31"/>
      <c r="BOP44" s="30"/>
      <c r="BOQ44" s="31"/>
      <c r="BOR44" s="30"/>
      <c r="BOS44" s="31"/>
      <c r="BOT44" s="30"/>
      <c r="BOU44" s="31"/>
      <c r="BOV44" s="30"/>
      <c r="BOW44" s="31"/>
      <c r="BOX44" s="30"/>
      <c r="BOY44" s="31"/>
      <c r="BOZ44" s="30"/>
      <c r="BPA44" s="31"/>
      <c r="BPB44" s="30"/>
      <c r="BPC44" s="31"/>
      <c r="BPD44" s="30"/>
      <c r="BPE44" s="31"/>
      <c r="BPF44" s="30"/>
      <c r="BPG44" s="31"/>
      <c r="BPH44" s="30"/>
      <c r="BPI44" s="31"/>
      <c r="BPJ44" s="30"/>
      <c r="BPK44" s="31"/>
      <c r="BPL44" s="30"/>
      <c r="BPM44" s="31"/>
      <c r="BPN44" s="30"/>
      <c r="BPO44" s="31"/>
      <c r="BPP44" s="30"/>
      <c r="BPQ44" s="31"/>
      <c r="BPR44" s="30"/>
      <c r="BPS44" s="31"/>
      <c r="BPT44" s="30"/>
      <c r="BPU44" s="31"/>
      <c r="BPV44" s="30"/>
      <c r="BPW44" s="31"/>
      <c r="BPX44" s="30"/>
      <c r="BPY44" s="31"/>
      <c r="BPZ44" s="30"/>
      <c r="BQA44" s="31"/>
      <c r="BQB44" s="30"/>
      <c r="BQC44" s="31"/>
      <c r="BQD44" s="30"/>
      <c r="BQE44" s="31"/>
      <c r="BQF44" s="30"/>
      <c r="BQG44" s="31"/>
      <c r="BQH44" s="30"/>
      <c r="BQI44" s="31"/>
      <c r="BQJ44" s="30"/>
      <c r="BQK44" s="31"/>
      <c r="BQL44" s="30"/>
      <c r="BQM44" s="31"/>
      <c r="BQN44" s="30"/>
      <c r="BQO44" s="31"/>
      <c r="BQP44" s="30"/>
      <c r="BQQ44" s="31"/>
      <c r="BQR44" s="30"/>
      <c r="BQS44" s="31"/>
      <c r="BQT44" s="30"/>
      <c r="BQU44" s="31"/>
      <c r="BQV44" s="30"/>
      <c r="BQW44" s="31"/>
      <c r="BQX44" s="30"/>
      <c r="BQY44" s="31"/>
      <c r="BQZ44" s="30"/>
      <c r="BRA44" s="31"/>
      <c r="BRB44" s="30"/>
      <c r="BRC44" s="31"/>
      <c r="BRD44" s="30"/>
      <c r="BRE44" s="31"/>
      <c r="BRF44" s="30"/>
      <c r="BRG44" s="31"/>
      <c r="BRH44" s="30"/>
      <c r="BRI44" s="31"/>
      <c r="BRJ44" s="30"/>
      <c r="BRK44" s="31"/>
      <c r="BRL44" s="30"/>
      <c r="BRM44" s="31"/>
      <c r="BRN44" s="30"/>
      <c r="BRO44" s="31"/>
      <c r="BRP44" s="30"/>
      <c r="BRQ44" s="31"/>
      <c r="BRR44" s="30"/>
      <c r="BRS44" s="31"/>
      <c r="BRT44" s="30"/>
      <c r="BRU44" s="31"/>
      <c r="BRV44" s="30"/>
      <c r="BRW44" s="31"/>
      <c r="BRX44" s="30"/>
      <c r="BRY44" s="31"/>
      <c r="BRZ44" s="30"/>
      <c r="BSA44" s="31"/>
      <c r="BSB44" s="30"/>
      <c r="BSC44" s="31"/>
      <c r="BSD44" s="30"/>
      <c r="BSE44" s="31"/>
      <c r="BSF44" s="30"/>
      <c r="BSG44" s="31"/>
      <c r="BSH44" s="30"/>
      <c r="BSI44" s="31"/>
      <c r="BSJ44" s="30"/>
      <c r="BSK44" s="31"/>
      <c r="BSL44" s="30"/>
      <c r="BSM44" s="31"/>
      <c r="BSN44" s="30"/>
      <c r="BSO44" s="31"/>
      <c r="BSP44" s="30"/>
      <c r="BSQ44" s="31"/>
      <c r="BSR44" s="30"/>
      <c r="BSS44" s="31"/>
      <c r="BST44" s="30"/>
      <c r="BSU44" s="31"/>
      <c r="BSV44" s="30"/>
      <c r="BSW44" s="31"/>
      <c r="BSX44" s="30"/>
      <c r="BSY44" s="31"/>
      <c r="BSZ44" s="30"/>
      <c r="BTA44" s="31"/>
      <c r="BTB44" s="30"/>
      <c r="BTC44" s="31"/>
      <c r="BTD44" s="30"/>
      <c r="BTE44" s="31"/>
      <c r="BTF44" s="30"/>
      <c r="BTG44" s="31"/>
      <c r="BTH44" s="30"/>
      <c r="BTI44" s="31"/>
      <c r="BTJ44" s="30"/>
      <c r="BTK44" s="31"/>
      <c r="BTL44" s="30"/>
      <c r="BTM44" s="31"/>
      <c r="BTN44" s="30"/>
      <c r="BTO44" s="31"/>
      <c r="BTP44" s="30"/>
      <c r="BTQ44" s="31"/>
      <c r="BTR44" s="30"/>
      <c r="BTS44" s="31"/>
      <c r="BTT44" s="30"/>
      <c r="BTU44" s="31"/>
      <c r="BTV44" s="30"/>
      <c r="BTW44" s="31"/>
      <c r="BTX44" s="30"/>
      <c r="BTY44" s="31"/>
      <c r="BTZ44" s="30"/>
      <c r="BUA44" s="31"/>
      <c r="BUB44" s="30"/>
      <c r="BUC44" s="31"/>
      <c r="BUD44" s="30"/>
      <c r="BUE44" s="31"/>
      <c r="BUF44" s="30"/>
      <c r="BUG44" s="31"/>
      <c r="BUH44" s="30"/>
      <c r="BUI44" s="31"/>
      <c r="BUJ44" s="30"/>
      <c r="BUK44" s="31"/>
      <c r="BUL44" s="30"/>
      <c r="BUM44" s="31"/>
      <c r="BUN44" s="30"/>
      <c r="BUO44" s="31"/>
      <c r="BUP44" s="30"/>
      <c r="BUQ44" s="31"/>
      <c r="BUR44" s="30"/>
      <c r="BUS44" s="31"/>
      <c r="BUT44" s="30"/>
      <c r="BUU44" s="31"/>
      <c r="BUV44" s="30"/>
      <c r="BUW44" s="31"/>
      <c r="BUX44" s="30"/>
      <c r="BUY44" s="31"/>
      <c r="BUZ44" s="30"/>
      <c r="BVA44" s="31"/>
      <c r="BVB44" s="30"/>
      <c r="BVC44" s="31"/>
      <c r="BVD44" s="30"/>
      <c r="BVE44" s="31"/>
      <c r="BVF44" s="30"/>
      <c r="BVG44" s="31"/>
      <c r="BVH44" s="30"/>
      <c r="BVI44" s="31"/>
      <c r="BVJ44" s="30"/>
      <c r="BVK44" s="31"/>
      <c r="BVL44" s="30"/>
      <c r="BVM44" s="31"/>
      <c r="BVN44" s="30"/>
      <c r="BVO44" s="31"/>
      <c r="BVP44" s="30"/>
      <c r="BVQ44" s="31"/>
      <c r="BVR44" s="30"/>
      <c r="BVS44" s="31"/>
      <c r="BVT44" s="30"/>
      <c r="BVU44" s="31"/>
      <c r="BVV44" s="30"/>
      <c r="BVW44" s="31"/>
      <c r="BVX44" s="30"/>
      <c r="BVY44" s="31"/>
      <c r="BVZ44" s="30"/>
      <c r="BWA44" s="31"/>
      <c r="BWB44" s="30"/>
      <c r="BWC44" s="31"/>
      <c r="BWD44" s="30"/>
      <c r="BWE44" s="31"/>
      <c r="BWF44" s="30"/>
      <c r="BWG44" s="31"/>
      <c r="BWH44" s="30"/>
      <c r="BWI44" s="31"/>
      <c r="BWJ44" s="30"/>
      <c r="BWK44" s="31"/>
      <c r="BWL44" s="30"/>
      <c r="BWM44" s="31"/>
      <c r="BWN44" s="30"/>
      <c r="BWO44" s="31"/>
      <c r="BWP44" s="30"/>
      <c r="BWQ44" s="31"/>
      <c r="BWR44" s="30"/>
      <c r="BWS44" s="31"/>
      <c r="BWT44" s="30"/>
      <c r="BWU44" s="31"/>
      <c r="BWV44" s="30"/>
      <c r="BWW44" s="31"/>
      <c r="BWX44" s="30"/>
      <c r="BWY44" s="31"/>
      <c r="BWZ44" s="30"/>
      <c r="BXA44" s="31"/>
      <c r="BXB44" s="30"/>
      <c r="BXC44" s="31"/>
      <c r="BXD44" s="30"/>
      <c r="BXE44" s="31"/>
      <c r="BXF44" s="30"/>
      <c r="BXG44" s="31"/>
      <c r="BXH44" s="30"/>
      <c r="BXI44" s="31"/>
      <c r="BXJ44" s="30"/>
      <c r="BXK44" s="31"/>
      <c r="BXL44" s="30"/>
      <c r="BXM44" s="31"/>
      <c r="BXN44" s="30"/>
      <c r="BXO44" s="31"/>
      <c r="BXP44" s="30"/>
      <c r="BXQ44" s="31"/>
      <c r="BXR44" s="30"/>
      <c r="BXS44" s="31"/>
      <c r="BXT44" s="30"/>
      <c r="BXU44" s="31"/>
      <c r="BXV44" s="30"/>
      <c r="BXW44" s="31"/>
      <c r="BXX44" s="30"/>
      <c r="BXY44" s="31"/>
      <c r="BXZ44" s="30"/>
      <c r="BYA44" s="31"/>
      <c r="BYB44" s="30"/>
      <c r="BYC44" s="31"/>
      <c r="BYD44" s="30"/>
      <c r="BYE44" s="31"/>
      <c r="BYF44" s="30"/>
      <c r="BYG44" s="31"/>
      <c r="BYH44" s="30"/>
      <c r="BYI44" s="31"/>
      <c r="BYJ44" s="30"/>
      <c r="BYK44" s="31"/>
      <c r="BYL44" s="30"/>
      <c r="BYM44" s="31"/>
      <c r="BYN44" s="30"/>
      <c r="BYO44" s="31"/>
      <c r="BYP44" s="30"/>
      <c r="BYQ44" s="31"/>
      <c r="BYR44" s="30"/>
      <c r="BYS44" s="31"/>
      <c r="BYT44" s="30"/>
      <c r="BYU44" s="31"/>
      <c r="BYV44" s="30"/>
      <c r="BYW44" s="31"/>
      <c r="BYX44" s="30"/>
      <c r="BYY44" s="31"/>
      <c r="BYZ44" s="30"/>
      <c r="BZA44" s="31"/>
      <c r="BZB44" s="30"/>
      <c r="BZC44" s="31"/>
      <c r="BZD44" s="30"/>
      <c r="BZE44" s="31"/>
      <c r="BZF44" s="30"/>
      <c r="BZG44" s="31"/>
      <c r="BZH44" s="30"/>
      <c r="BZI44" s="31"/>
      <c r="BZJ44" s="30"/>
      <c r="BZK44" s="31"/>
      <c r="BZL44" s="30"/>
      <c r="BZM44" s="31"/>
      <c r="BZN44" s="30"/>
      <c r="BZO44" s="31"/>
      <c r="BZP44" s="30"/>
      <c r="BZQ44" s="31"/>
      <c r="BZR44" s="30"/>
      <c r="BZS44" s="31"/>
      <c r="BZT44" s="30"/>
      <c r="BZU44" s="31"/>
      <c r="BZV44" s="30"/>
      <c r="BZW44" s="31"/>
      <c r="BZX44" s="30"/>
      <c r="BZY44" s="31"/>
      <c r="BZZ44" s="30"/>
      <c r="CAA44" s="31"/>
      <c r="CAB44" s="30"/>
      <c r="CAC44" s="31"/>
      <c r="CAD44" s="30"/>
      <c r="CAE44" s="31"/>
      <c r="CAF44" s="30"/>
      <c r="CAG44" s="31"/>
      <c r="CAH44" s="30"/>
      <c r="CAI44" s="31"/>
      <c r="CAJ44" s="30"/>
      <c r="CAK44" s="31"/>
      <c r="CAL44" s="30"/>
      <c r="CAM44" s="31"/>
      <c r="CAN44" s="30"/>
      <c r="CAO44" s="31"/>
      <c r="CAP44" s="30"/>
      <c r="CAQ44" s="31"/>
      <c r="CAR44" s="30"/>
      <c r="CAS44" s="31"/>
      <c r="CAT44" s="30"/>
      <c r="CAU44" s="31"/>
      <c r="CAV44" s="30"/>
      <c r="CAW44" s="31"/>
      <c r="CAX44" s="30"/>
      <c r="CAY44" s="31"/>
      <c r="CAZ44" s="30"/>
      <c r="CBA44" s="31"/>
      <c r="CBB44" s="30"/>
      <c r="CBC44" s="31"/>
      <c r="CBD44" s="30"/>
      <c r="CBE44" s="31"/>
      <c r="CBF44" s="30"/>
      <c r="CBG44" s="31"/>
      <c r="CBH44" s="30"/>
      <c r="CBI44" s="31"/>
      <c r="CBJ44" s="30"/>
      <c r="CBK44" s="31"/>
      <c r="CBL44" s="30"/>
      <c r="CBM44" s="31"/>
      <c r="CBN44" s="30"/>
      <c r="CBO44" s="31"/>
      <c r="CBP44" s="30"/>
      <c r="CBQ44" s="31"/>
      <c r="CBR44" s="30"/>
      <c r="CBS44" s="31"/>
      <c r="CBT44" s="30"/>
      <c r="CBU44" s="31"/>
      <c r="CBV44" s="30"/>
      <c r="CBW44" s="31"/>
      <c r="CBX44" s="30"/>
      <c r="CBY44" s="31"/>
      <c r="CBZ44" s="30"/>
      <c r="CCA44" s="31"/>
      <c r="CCB44" s="30"/>
      <c r="CCC44" s="31"/>
      <c r="CCD44" s="30"/>
      <c r="CCE44" s="31"/>
      <c r="CCF44" s="30"/>
      <c r="CCG44" s="31"/>
      <c r="CCH44" s="30"/>
      <c r="CCI44" s="31"/>
      <c r="CCJ44" s="30"/>
      <c r="CCK44" s="31"/>
      <c r="CCL44" s="30"/>
      <c r="CCM44" s="31"/>
      <c r="CCN44" s="30"/>
      <c r="CCO44" s="31"/>
      <c r="CCP44" s="30"/>
      <c r="CCQ44" s="31"/>
      <c r="CCR44" s="30"/>
      <c r="CCS44" s="31"/>
      <c r="CCT44" s="30"/>
      <c r="CCU44" s="31"/>
      <c r="CCV44" s="30"/>
      <c r="CCW44" s="31"/>
      <c r="CCX44" s="30"/>
      <c r="CCY44" s="31"/>
      <c r="CCZ44" s="30"/>
      <c r="CDA44" s="31"/>
      <c r="CDB44" s="30"/>
      <c r="CDC44" s="31"/>
      <c r="CDD44" s="30"/>
      <c r="CDE44" s="31"/>
      <c r="CDF44" s="30"/>
      <c r="CDG44" s="31"/>
      <c r="CDH44" s="30"/>
      <c r="CDI44" s="31"/>
      <c r="CDJ44" s="30"/>
      <c r="CDK44" s="31"/>
      <c r="CDL44" s="30"/>
      <c r="CDM44" s="31"/>
      <c r="CDN44" s="30"/>
      <c r="CDO44" s="31"/>
      <c r="CDP44" s="30"/>
      <c r="CDQ44" s="31"/>
      <c r="CDR44" s="30"/>
      <c r="CDS44" s="31"/>
      <c r="CDT44" s="30"/>
      <c r="CDU44" s="31"/>
      <c r="CDV44" s="30"/>
      <c r="CDW44" s="31"/>
      <c r="CDX44" s="30"/>
      <c r="CDY44" s="31"/>
      <c r="CDZ44" s="30"/>
      <c r="CEA44" s="31"/>
      <c r="CEB44" s="30"/>
      <c r="CEC44" s="31"/>
      <c r="CED44" s="30"/>
      <c r="CEE44" s="31"/>
      <c r="CEF44" s="30"/>
      <c r="CEG44" s="31"/>
      <c r="CEH44" s="30"/>
      <c r="CEI44" s="31"/>
      <c r="CEJ44" s="30"/>
      <c r="CEK44" s="31"/>
      <c r="CEL44" s="30"/>
      <c r="CEM44" s="31"/>
      <c r="CEN44" s="30"/>
      <c r="CEO44" s="31"/>
      <c r="CEP44" s="30"/>
      <c r="CEQ44" s="31"/>
      <c r="CER44" s="30"/>
      <c r="CES44" s="31"/>
      <c r="CET44" s="30"/>
      <c r="CEU44" s="31"/>
      <c r="CEV44" s="30"/>
      <c r="CEW44" s="31"/>
      <c r="CEX44" s="30"/>
      <c r="CEY44" s="31"/>
      <c r="CEZ44" s="30"/>
      <c r="CFA44" s="31"/>
      <c r="CFB44" s="30"/>
      <c r="CFC44" s="31"/>
      <c r="CFD44" s="30"/>
      <c r="CFE44" s="31"/>
      <c r="CFF44" s="30"/>
      <c r="CFG44" s="31"/>
      <c r="CFH44" s="30"/>
      <c r="CFI44" s="31"/>
      <c r="CFJ44" s="30"/>
      <c r="CFK44" s="31"/>
      <c r="CFL44" s="30"/>
      <c r="CFM44" s="31"/>
      <c r="CFN44" s="30"/>
      <c r="CFO44" s="31"/>
      <c r="CFP44" s="30"/>
      <c r="CFQ44" s="31"/>
      <c r="CFR44" s="30"/>
      <c r="CFS44" s="31"/>
      <c r="CFT44" s="30"/>
      <c r="CFU44" s="31"/>
      <c r="CFV44" s="30"/>
      <c r="CFW44" s="31"/>
      <c r="CFX44" s="30"/>
      <c r="CFY44" s="31"/>
      <c r="CFZ44" s="30"/>
      <c r="CGA44" s="31"/>
      <c r="CGB44" s="30"/>
      <c r="CGC44" s="31"/>
      <c r="CGD44" s="30"/>
      <c r="CGE44" s="31"/>
      <c r="CGF44" s="30"/>
      <c r="CGG44" s="31"/>
      <c r="CGH44" s="30"/>
      <c r="CGI44" s="31"/>
      <c r="CGJ44" s="30"/>
      <c r="CGK44" s="31"/>
      <c r="CGL44" s="30"/>
      <c r="CGM44" s="31"/>
      <c r="CGN44" s="30"/>
      <c r="CGO44" s="31"/>
      <c r="CGP44" s="30"/>
      <c r="CGQ44" s="31"/>
      <c r="CGR44" s="30"/>
      <c r="CGS44" s="31"/>
      <c r="CGT44" s="30"/>
      <c r="CGU44" s="31"/>
      <c r="CGV44" s="30"/>
      <c r="CGW44" s="31"/>
      <c r="CGX44" s="30"/>
      <c r="CGY44" s="31"/>
      <c r="CGZ44" s="30"/>
      <c r="CHA44" s="31"/>
      <c r="CHB44" s="30"/>
      <c r="CHC44" s="31"/>
      <c r="CHD44" s="30"/>
      <c r="CHE44" s="31"/>
      <c r="CHF44" s="30"/>
      <c r="CHG44" s="31"/>
      <c r="CHH44" s="30"/>
      <c r="CHI44" s="31"/>
      <c r="CHJ44" s="30"/>
      <c r="CHK44" s="31"/>
      <c r="CHL44" s="30"/>
      <c r="CHM44" s="31"/>
      <c r="CHN44" s="30"/>
      <c r="CHO44" s="31"/>
      <c r="CHP44" s="30"/>
      <c r="CHQ44" s="31"/>
      <c r="CHR44" s="30"/>
      <c r="CHS44" s="31"/>
      <c r="CHT44" s="30"/>
      <c r="CHU44" s="31"/>
      <c r="CHV44" s="30"/>
      <c r="CHW44" s="31"/>
      <c r="CHX44" s="30"/>
      <c r="CHY44" s="31"/>
      <c r="CHZ44" s="30"/>
      <c r="CIA44" s="31"/>
      <c r="CIB44" s="30"/>
      <c r="CIC44" s="31"/>
      <c r="CID44" s="30"/>
      <c r="CIE44" s="31"/>
      <c r="CIF44" s="30"/>
      <c r="CIG44" s="31"/>
      <c r="CIH44" s="30"/>
      <c r="CII44" s="31"/>
      <c r="CIJ44" s="30"/>
      <c r="CIK44" s="31"/>
      <c r="CIL44" s="30"/>
      <c r="CIM44" s="31"/>
      <c r="CIN44" s="30"/>
      <c r="CIO44" s="31"/>
      <c r="CIP44" s="30"/>
      <c r="CIQ44" s="31"/>
      <c r="CIR44" s="30"/>
      <c r="CIS44" s="31"/>
      <c r="CIT44" s="30"/>
      <c r="CIU44" s="31"/>
      <c r="CIV44" s="30"/>
      <c r="CIW44" s="31"/>
      <c r="CIX44" s="30"/>
      <c r="CIY44" s="31"/>
      <c r="CIZ44" s="30"/>
      <c r="CJA44" s="31"/>
      <c r="CJB44" s="30"/>
      <c r="CJC44" s="31"/>
      <c r="CJD44" s="30"/>
      <c r="CJE44" s="31"/>
      <c r="CJF44" s="30"/>
      <c r="CJG44" s="31"/>
      <c r="CJH44" s="30"/>
      <c r="CJI44" s="31"/>
      <c r="CJJ44" s="30"/>
      <c r="CJK44" s="31"/>
      <c r="CJL44" s="30"/>
      <c r="CJM44" s="31"/>
      <c r="CJN44" s="30"/>
      <c r="CJO44" s="31"/>
      <c r="CJP44" s="30"/>
      <c r="CJQ44" s="31"/>
      <c r="CJR44" s="30"/>
      <c r="CJS44" s="31"/>
      <c r="CJT44" s="30"/>
      <c r="CJU44" s="31"/>
      <c r="CJV44" s="30"/>
      <c r="CJW44" s="31"/>
      <c r="CJX44" s="30"/>
      <c r="CJY44" s="31"/>
      <c r="CJZ44" s="30"/>
      <c r="CKA44" s="31"/>
      <c r="CKB44" s="30"/>
      <c r="CKC44" s="31"/>
      <c r="CKD44" s="30"/>
      <c r="CKE44" s="31"/>
      <c r="CKF44" s="30"/>
      <c r="CKG44" s="31"/>
      <c r="CKH44" s="30"/>
      <c r="CKI44" s="31"/>
      <c r="CKJ44" s="30"/>
      <c r="CKK44" s="31"/>
      <c r="CKL44" s="30"/>
      <c r="CKM44" s="31"/>
      <c r="CKN44" s="30"/>
      <c r="CKO44" s="31"/>
      <c r="CKP44" s="30"/>
      <c r="CKQ44" s="31"/>
      <c r="CKR44" s="30"/>
      <c r="CKS44" s="31"/>
      <c r="CKT44" s="30"/>
      <c r="CKU44" s="31"/>
      <c r="CKV44" s="30"/>
      <c r="CKW44" s="31"/>
      <c r="CKX44" s="30"/>
      <c r="CKY44" s="31"/>
      <c r="CKZ44" s="30"/>
      <c r="CLA44" s="31"/>
      <c r="CLB44" s="30"/>
      <c r="CLC44" s="31"/>
      <c r="CLD44" s="30"/>
      <c r="CLE44" s="31"/>
      <c r="CLF44" s="30"/>
      <c r="CLG44" s="31"/>
      <c r="CLH44" s="30"/>
      <c r="CLI44" s="31"/>
      <c r="CLJ44" s="30"/>
      <c r="CLK44" s="31"/>
      <c r="CLL44" s="30"/>
      <c r="CLM44" s="31"/>
      <c r="CLN44" s="30"/>
      <c r="CLO44" s="31"/>
      <c r="CLP44" s="30"/>
      <c r="CLQ44" s="31"/>
      <c r="CLR44" s="30"/>
      <c r="CLS44" s="31"/>
      <c r="CLT44" s="30"/>
      <c r="CLU44" s="31"/>
      <c r="CLV44" s="30"/>
      <c r="CLW44" s="31"/>
      <c r="CLX44" s="30"/>
      <c r="CLY44" s="31"/>
      <c r="CLZ44" s="30"/>
      <c r="CMA44" s="31"/>
      <c r="CMB44" s="30"/>
      <c r="CMC44" s="31"/>
      <c r="CMD44" s="30"/>
      <c r="CME44" s="31"/>
      <c r="CMF44" s="30"/>
      <c r="CMG44" s="31"/>
      <c r="CMH44" s="30"/>
      <c r="CMI44" s="31"/>
      <c r="CMJ44" s="30"/>
      <c r="CMK44" s="31"/>
      <c r="CML44" s="30"/>
      <c r="CMM44" s="31"/>
      <c r="CMN44" s="30"/>
      <c r="CMO44" s="31"/>
      <c r="CMP44" s="30"/>
      <c r="CMQ44" s="31"/>
      <c r="CMR44" s="30"/>
      <c r="CMS44" s="31"/>
      <c r="CMT44" s="30"/>
      <c r="CMU44" s="31"/>
      <c r="CMV44" s="30"/>
      <c r="CMW44" s="31"/>
      <c r="CMX44" s="30"/>
      <c r="CMY44" s="31"/>
      <c r="CMZ44" s="30"/>
      <c r="CNA44" s="31"/>
      <c r="CNB44" s="30"/>
      <c r="CNC44" s="31"/>
      <c r="CND44" s="30"/>
      <c r="CNE44" s="31"/>
      <c r="CNF44" s="30"/>
      <c r="CNG44" s="31"/>
      <c r="CNH44" s="30"/>
      <c r="CNI44" s="31"/>
      <c r="CNJ44" s="30"/>
      <c r="CNK44" s="31"/>
      <c r="CNL44" s="30"/>
      <c r="CNM44" s="31"/>
      <c r="CNN44" s="30"/>
      <c r="CNO44" s="31"/>
      <c r="CNP44" s="30"/>
      <c r="CNQ44" s="31"/>
      <c r="CNR44" s="30"/>
      <c r="CNS44" s="31"/>
      <c r="CNT44" s="30"/>
      <c r="CNU44" s="31"/>
      <c r="CNV44" s="30"/>
      <c r="CNW44" s="31"/>
      <c r="CNX44" s="30"/>
      <c r="CNY44" s="31"/>
      <c r="CNZ44" s="30"/>
      <c r="COA44" s="31"/>
      <c r="COB44" s="30"/>
      <c r="COC44" s="31"/>
      <c r="COD44" s="30"/>
      <c r="COE44" s="31"/>
      <c r="COF44" s="30"/>
      <c r="COG44" s="31"/>
      <c r="COH44" s="30"/>
      <c r="COI44" s="31"/>
      <c r="COJ44" s="30"/>
      <c r="COK44" s="31"/>
      <c r="COL44" s="30"/>
      <c r="COM44" s="31"/>
      <c r="CON44" s="30"/>
      <c r="COO44" s="31"/>
      <c r="COP44" s="30"/>
      <c r="COQ44" s="31"/>
      <c r="COR44" s="30"/>
      <c r="COS44" s="31"/>
      <c r="COT44" s="30"/>
      <c r="COU44" s="31"/>
      <c r="COV44" s="30"/>
      <c r="COW44" s="31"/>
      <c r="COX44" s="30"/>
      <c r="COY44" s="31"/>
      <c r="COZ44" s="30"/>
      <c r="CPA44" s="31"/>
      <c r="CPB44" s="30"/>
      <c r="CPC44" s="31"/>
      <c r="CPD44" s="30"/>
      <c r="CPE44" s="31"/>
      <c r="CPF44" s="30"/>
      <c r="CPG44" s="31"/>
      <c r="CPH44" s="30"/>
      <c r="CPI44" s="31"/>
      <c r="CPJ44" s="30"/>
      <c r="CPK44" s="31"/>
      <c r="CPL44" s="30"/>
      <c r="CPM44" s="31"/>
      <c r="CPN44" s="30"/>
      <c r="CPO44" s="31"/>
      <c r="CPP44" s="30"/>
      <c r="CPQ44" s="31"/>
      <c r="CPR44" s="30"/>
      <c r="CPS44" s="31"/>
      <c r="CPT44" s="30"/>
      <c r="CPU44" s="31"/>
      <c r="CPV44" s="30"/>
      <c r="CPW44" s="31"/>
      <c r="CPX44" s="30"/>
      <c r="CPY44" s="31"/>
      <c r="CPZ44" s="30"/>
      <c r="CQA44" s="31"/>
      <c r="CQB44" s="30"/>
      <c r="CQC44" s="31"/>
      <c r="CQD44" s="30"/>
      <c r="CQE44" s="31"/>
      <c r="CQF44" s="30"/>
      <c r="CQG44" s="31"/>
      <c r="CQH44" s="30"/>
      <c r="CQI44" s="31"/>
      <c r="CQJ44" s="30"/>
      <c r="CQK44" s="31"/>
      <c r="CQL44" s="30"/>
      <c r="CQM44" s="31"/>
      <c r="CQN44" s="30"/>
      <c r="CQO44" s="31"/>
      <c r="CQP44" s="30"/>
      <c r="CQQ44" s="31"/>
      <c r="CQR44" s="30"/>
      <c r="CQS44" s="31"/>
      <c r="CQT44" s="30"/>
      <c r="CQU44" s="31"/>
      <c r="CQV44" s="30"/>
      <c r="CQW44" s="31"/>
      <c r="CQX44" s="30"/>
      <c r="CQY44" s="31"/>
      <c r="CQZ44" s="30"/>
      <c r="CRA44" s="31"/>
      <c r="CRB44" s="30"/>
      <c r="CRC44" s="31"/>
      <c r="CRD44" s="30"/>
      <c r="CRE44" s="31"/>
      <c r="CRF44" s="30"/>
      <c r="CRG44" s="31"/>
      <c r="CRH44" s="30"/>
      <c r="CRI44" s="31"/>
      <c r="CRJ44" s="30"/>
      <c r="CRK44" s="31"/>
      <c r="CRL44" s="30"/>
      <c r="CRM44" s="31"/>
      <c r="CRN44" s="30"/>
      <c r="CRO44" s="31"/>
      <c r="CRP44" s="30"/>
      <c r="CRQ44" s="31"/>
      <c r="CRR44" s="30"/>
      <c r="CRS44" s="31"/>
      <c r="CRT44" s="30"/>
      <c r="CRU44" s="31"/>
      <c r="CRV44" s="30"/>
      <c r="CRW44" s="31"/>
      <c r="CRX44" s="30"/>
      <c r="CRY44" s="31"/>
      <c r="CRZ44" s="30"/>
      <c r="CSA44" s="31"/>
      <c r="CSB44" s="30"/>
      <c r="CSC44" s="31"/>
      <c r="CSD44" s="30"/>
      <c r="CSE44" s="31"/>
      <c r="CSF44" s="30"/>
      <c r="CSG44" s="31"/>
      <c r="CSH44" s="30"/>
      <c r="CSI44" s="31"/>
      <c r="CSJ44" s="30"/>
      <c r="CSK44" s="31"/>
      <c r="CSL44" s="30"/>
      <c r="CSM44" s="31"/>
      <c r="CSN44" s="30"/>
      <c r="CSO44" s="31"/>
      <c r="CSP44" s="30"/>
      <c r="CSQ44" s="31"/>
      <c r="CSR44" s="30"/>
      <c r="CSS44" s="31"/>
      <c r="CST44" s="30"/>
      <c r="CSU44" s="31"/>
      <c r="CSV44" s="30"/>
      <c r="CSW44" s="31"/>
      <c r="CSX44" s="30"/>
      <c r="CSY44" s="31"/>
      <c r="CSZ44" s="30"/>
      <c r="CTA44" s="31"/>
      <c r="CTB44" s="30"/>
      <c r="CTC44" s="31"/>
      <c r="CTD44" s="30"/>
      <c r="CTE44" s="31"/>
      <c r="CTF44" s="30"/>
      <c r="CTG44" s="31"/>
      <c r="CTH44" s="30"/>
      <c r="CTI44" s="31"/>
      <c r="CTJ44" s="30"/>
      <c r="CTK44" s="31"/>
      <c r="CTL44" s="30"/>
      <c r="CTM44" s="31"/>
      <c r="CTN44" s="30"/>
      <c r="CTO44" s="31"/>
      <c r="CTP44" s="30"/>
      <c r="CTQ44" s="31"/>
      <c r="CTR44" s="30"/>
      <c r="CTS44" s="31"/>
      <c r="CTT44" s="30"/>
      <c r="CTU44" s="31"/>
      <c r="CTV44" s="30"/>
      <c r="CTW44" s="31"/>
      <c r="CTX44" s="30"/>
      <c r="CTY44" s="31"/>
      <c r="CTZ44" s="30"/>
      <c r="CUA44" s="31"/>
      <c r="CUB44" s="30"/>
      <c r="CUC44" s="31"/>
      <c r="CUD44" s="30"/>
      <c r="CUE44" s="31"/>
      <c r="CUF44" s="30"/>
      <c r="CUG44" s="31"/>
      <c r="CUH44" s="30"/>
      <c r="CUI44" s="31"/>
      <c r="CUJ44" s="30"/>
      <c r="CUK44" s="31"/>
      <c r="CUL44" s="30"/>
      <c r="CUM44" s="31"/>
      <c r="CUN44" s="30"/>
      <c r="CUO44" s="31"/>
      <c r="CUP44" s="30"/>
      <c r="CUQ44" s="31"/>
      <c r="CUR44" s="30"/>
      <c r="CUS44" s="31"/>
      <c r="CUT44" s="30"/>
      <c r="CUU44" s="31"/>
      <c r="CUV44" s="30"/>
      <c r="CUW44" s="31"/>
      <c r="CUX44" s="30"/>
      <c r="CUY44" s="31"/>
      <c r="CUZ44" s="30"/>
      <c r="CVA44" s="31"/>
      <c r="CVB44" s="30"/>
      <c r="CVC44" s="31"/>
      <c r="CVD44" s="30"/>
      <c r="CVE44" s="31"/>
      <c r="CVF44" s="30"/>
      <c r="CVG44" s="31"/>
      <c r="CVH44" s="30"/>
      <c r="CVI44" s="31"/>
      <c r="CVJ44" s="30"/>
      <c r="CVK44" s="31"/>
      <c r="CVL44" s="30"/>
      <c r="CVM44" s="31"/>
      <c r="CVN44" s="30"/>
      <c r="CVO44" s="31"/>
      <c r="CVP44" s="30"/>
      <c r="CVQ44" s="31"/>
      <c r="CVR44" s="30"/>
      <c r="CVS44" s="31"/>
      <c r="CVT44" s="30"/>
      <c r="CVU44" s="31"/>
      <c r="CVV44" s="30"/>
      <c r="CVW44" s="31"/>
      <c r="CVX44" s="30"/>
      <c r="CVY44" s="31"/>
      <c r="CVZ44" s="30"/>
      <c r="CWA44" s="31"/>
      <c r="CWB44" s="30"/>
      <c r="CWC44" s="31"/>
      <c r="CWD44" s="30"/>
      <c r="CWE44" s="31"/>
      <c r="CWF44" s="30"/>
      <c r="CWG44" s="31"/>
      <c r="CWH44" s="30"/>
      <c r="CWI44" s="31"/>
      <c r="CWJ44" s="30"/>
      <c r="CWK44" s="31"/>
      <c r="CWL44" s="30"/>
      <c r="CWM44" s="31"/>
      <c r="CWN44" s="30"/>
      <c r="CWO44" s="31"/>
      <c r="CWP44" s="30"/>
      <c r="CWQ44" s="31"/>
      <c r="CWR44" s="30"/>
      <c r="CWS44" s="31"/>
      <c r="CWT44" s="30"/>
      <c r="CWU44" s="31"/>
      <c r="CWV44" s="30"/>
      <c r="CWW44" s="31"/>
      <c r="CWX44" s="30"/>
      <c r="CWY44" s="31"/>
      <c r="CWZ44" s="30"/>
      <c r="CXA44" s="31"/>
      <c r="CXB44" s="30"/>
      <c r="CXC44" s="31"/>
      <c r="CXD44" s="30"/>
      <c r="CXE44" s="31"/>
      <c r="CXF44" s="30"/>
      <c r="CXG44" s="31"/>
      <c r="CXH44" s="30"/>
      <c r="CXI44" s="31"/>
      <c r="CXJ44" s="30"/>
      <c r="CXK44" s="31"/>
      <c r="CXL44" s="30"/>
      <c r="CXM44" s="31"/>
      <c r="CXN44" s="30"/>
      <c r="CXO44" s="31"/>
      <c r="CXP44" s="30"/>
      <c r="CXQ44" s="31"/>
      <c r="CXR44" s="30"/>
      <c r="CXS44" s="31"/>
      <c r="CXT44" s="30"/>
      <c r="CXU44" s="31"/>
      <c r="CXV44" s="30"/>
      <c r="CXW44" s="31"/>
      <c r="CXX44" s="30"/>
      <c r="CXY44" s="31"/>
      <c r="CXZ44" s="30"/>
      <c r="CYA44" s="31"/>
      <c r="CYB44" s="30"/>
      <c r="CYC44" s="31"/>
      <c r="CYD44" s="30"/>
      <c r="CYE44" s="31"/>
      <c r="CYF44" s="30"/>
      <c r="CYG44" s="31"/>
      <c r="CYH44" s="30"/>
      <c r="CYI44" s="31"/>
      <c r="CYJ44" s="30"/>
      <c r="CYK44" s="31"/>
      <c r="CYL44" s="30"/>
      <c r="CYM44" s="31"/>
      <c r="CYN44" s="30"/>
      <c r="CYO44" s="31"/>
      <c r="CYP44" s="30"/>
      <c r="CYQ44" s="31"/>
      <c r="CYR44" s="30"/>
      <c r="CYS44" s="31"/>
      <c r="CYT44" s="30"/>
      <c r="CYU44" s="31"/>
      <c r="CYV44" s="30"/>
      <c r="CYW44" s="31"/>
      <c r="CYX44" s="30"/>
      <c r="CYY44" s="31"/>
      <c r="CYZ44" s="30"/>
      <c r="CZA44" s="31"/>
      <c r="CZB44" s="30"/>
      <c r="CZC44" s="31"/>
      <c r="CZD44" s="30"/>
      <c r="CZE44" s="31"/>
      <c r="CZF44" s="30"/>
      <c r="CZG44" s="31"/>
      <c r="CZH44" s="30"/>
      <c r="CZI44" s="31"/>
      <c r="CZJ44" s="30"/>
      <c r="CZK44" s="31"/>
      <c r="CZL44" s="30"/>
      <c r="CZM44" s="31"/>
      <c r="CZN44" s="30"/>
      <c r="CZO44" s="31"/>
      <c r="CZP44" s="30"/>
      <c r="CZQ44" s="31"/>
      <c r="CZR44" s="30"/>
      <c r="CZS44" s="31"/>
      <c r="CZT44" s="30"/>
      <c r="CZU44" s="31"/>
      <c r="CZV44" s="30"/>
      <c r="CZW44" s="31"/>
      <c r="CZX44" s="30"/>
      <c r="CZY44" s="31"/>
      <c r="CZZ44" s="30"/>
      <c r="DAA44" s="31"/>
      <c r="DAB44" s="30"/>
      <c r="DAC44" s="31"/>
      <c r="DAD44" s="30"/>
      <c r="DAE44" s="31"/>
      <c r="DAF44" s="30"/>
      <c r="DAG44" s="31"/>
      <c r="DAH44" s="30"/>
      <c r="DAI44" s="31"/>
      <c r="DAJ44" s="30"/>
      <c r="DAK44" s="31"/>
      <c r="DAL44" s="30"/>
      <c r="DAM44" s="31"/>
      <c r="DAN44" s="30"/>
      <c r="DAO44" s="31"/>
      <c r="DAP44" s="30"/>
      <c r="DAQ44" s="31"/>
      <c r="DAR44" s="30"/>
      <c r="DAS44" s="31"/>
      <c r="DAT44" s="30"/>
      <c r="DAU44" s="31"/>
      <c r="DAV44" s="30"/>
      <c r="DAW44" s="31"/>
      <c r="DAX44" s="30"/>
      <c r="DAY44" s="31"/>
      <c r="DAZ44" s="30"/>
      <c r="DBA44" s="31"/>
      <c r="DBB44" s="30"/>
      <c r="DBC44" s="31"/>
      <c r="DBD44" s="30"/>
      <c r="DBE44" s="31"/>
      <c r="DBF44" s="30"/>
      <c r="DBG44" s="31"/>
      <c r="DBH44" s="30"/>
      <c r="DBI44" s="31"/>
      <c r="DBJ44" s="30"/>
      <c r="DBK44" s="31"/>
      <c r="DBL44" s="30"/>
      <c r="DBM44" s="31"/>
      <c r="DBN44" s="30"/>
      <c r="DBO44" s="31"/>
      <c r="DBP44" s="30"/>
      <c r="DBQ44" s="31"/>
      <c r="DBR44" s="30"/>
      <c r="DBS44" s="31"/>
      <c r="DBT44" s="30"/>
      <c r="DBU44" s="31"/>
      <c r="DBV44" s="30"/>
      <c r="DBW44" s="31"/>
      <c r="DBX44" s="30"/>
      <c r="DBY44" s="31"/>
      <c r="DBZ44" s="30"/>
      <c r="DCA44" s="31"/>
      <c r="DCB44" s="30"/>
      <c r="DCC44" s="31"/>
      <c r="DCD44" s="30"/>
      <c r="DCE44" s="31"/>
      <c r="DCF44" s="30"/>
      <c r="DCG44" s="31"/>
      <c r="DCH44" s="30"/>
      <c r="DCI44" s="31"/>
      <c r="DCJ44" s="30"/>
      <c r="DCK44" s="31"/>
      <c r="DCL44" s="30"/>
      <c r="DCM44" s="31"/>
      <c r="DCN44" s="30"/>
      <c r="DCO44" s="31"/>
      <c r="DCP44" s="30"/>
      <c r="DCQ44" s="31"/>
      <c r="DCR44" s="30"/>
      <c r="DCS44" s="31"/>
      <c r="DCT44" s="30"/>
      <c r="DCU44" s="31"/>
      <c r="DCV44" s="30"/>
      <c r="DCW44" s="31"/>
      <c r="DCX44" s="30"/>
      <c r="DCY44" s="31"/>
      <c r="DCZ44" s="30"/>
      <c r="DDA44" s="31"/>
      <c r="DDB44" s="30"/>
      <c r="DDC44" s="31"/>
      <c r="DDD44" s="30"/>
      <c r="DDE44" s="31"/>
      <c r="DDF44" s="30"/>
      <c r="DDG44" s="31"/>
      <c r="DDH44" s="30"/>
      <c r="DDI44" s="31"/>
      <c r="DDJ44" s="30"/>
      <c r="DDK44" s="31"/>
      <c r="DDL44" s="30"/>
      <c r="DDM44" s="31"/>
      <c r="DDN44" s="30"/>
      <c r="DDO44" s="31"/>
      <c r="DDP44" s="30"/>
      <c r="DDQ44" s="31"/>
      <c r="DDR44" s="30"/>
      <c r="DDS44" s="31"/>
      <c r="DDT44" s="30"/>
      <c r="DDU44" s="31"/>
      <c r="DDV44" s="30"/>
      <c r="DDW44" s="31"/>
      <c r="DDX44" s="30"/>
      <c r="DDY44" s="31"/>
      <c r="DDZ44" s="30"/>
      <c r="DEA44" s="31"/>
      <c r="DEB44" s="30"/>
      <c r="DEC44" s="31"/>
      <c r="DED44" s="30"/>
      <c r="DEE44" s="31"/>
      <c r="DEF44" s="30"/>
      <c r="DEG44" s="31"/>
      <c r="DEH44" s="30"/>
      <c r="DEI44" s="31"/>
      <c r="DEJ44" s="30"/>
      <c r="DEK44" s="31"/>
      <c r="DEL44" s="30"/>
      <c r="DEM44" s="31"/>
      <c r="DEN44" s="30"/>
      <c r="DEO44" s="31"/>
      <c r="DEP44" s="30"/>
      <c r="DEQ44" s="31"/>
      <c r="DER44" s="30"/>
      <c r="DES44" s="31"/>
      <c r="DET44" s="30"/>
      <c r="DEU44" s="31"/>
      <c r="DEV44" s="30"/>
      <c r="DEW44" s="31"/>
      <c r="DEX44" s="30"/>
      <c r="DEY44" s="31"/>
      <c r="DEZ44" s="30"/>
      <c r="DFA44" s="31"/>
      <c r="DFB44" s="30"/>
      <c r="DFC44" s="31"/>
      <c r="DFD44" s="30"/>
      <c r="DFE44" s="31"/>
      <c r="DFF44" s="30"/>
      <c r="DFG44" s="31"/>
      <c r="DFH44" s="30"/>
      <c r="DFI44" s="31"/>
      <c r="DFJ44" s="30"/>
      <c r="DFK44" s="31"/>
      <c r="DFL44" s="30"/>
      <c r="DFM44" s="31"/>
      <c r="DFN44" s="30"/>
      <c r="DFO44" s="31"/>
      <c r="DFP44" s="30"/>
      <c r="DFQ44" s="31"/>
      <c r="DFR44" s="30"/>
      <c r="DFS44" s="31"/>
      <c r="DFT44" s="30"/>
      <c r="DFU44" s="31"/>
      <c r="DFV44" s="30"/>
      <c r="DFW44" s="31"/>
      <c r="DFX44" s="30"/>
      <c r="DFY44" s="31"/>
      <c r="DFZ44" s="30"/>
      <c r="DGA44" s="31"/>
      <c r="DGB44" s="30"/>
      <c r="DGC44" s="31"/>
      <c r="DGD44" s="30"/>
      <c r="DGE44" s="31"/>
      <c r="DGF44" s="30"/>
      <c r="DGG44" s="31"/>
      <c r="DGH44" s="30"/>
      <c r="DGI44" s="31"/>
      <c r="DGJ44" s="30"/>
      <c r="DGK44" s="31"/>
      <c r="DGL44" s="30"/>
      <c r="DGM44" s="31"/>
      <c r="DGN44" s="30"/>
      <c r="DGO44" s="31"/>
      <c r="DGP44" s="30"/>
      <c r="DGQ44" s="31"/>
      <c r="DGR44" s="30"/>
      <c r="DGS44" s="31"/>
      <c r="DGT44" s="30"/>
      <c r="DGU44" s="31"/>
      <c r="DGV44" s="30"/>
      <c r="DGW44" s="31"/>
      <c r="DGX44" s="30"/>
      <c r="DGY44" s="31"/>
      <c r="DGZ44" s="30"/>
      <c r="DHA44" s="31"/>
      <c r="DHB44" s="30"/>
      <c r="DHC44" s="31"/>
      <c r="DHD44" s="30"/>
      <c r="DHE44" s="31"/>
      <c r="DHF44" s="30"/>
      <c r="DHG44" s="31"/>
      <c r="DHH44" s="30"/>
      <c r="DHI44" s="31"/>
      <c r="DHJ44" s="30"/>
      <c r="DHK44" s="31"/>
      <c r="DHL44" s="30"/>
      <c r="DHM44" s="31"/>
      <c r="DHN44" s="30"/>
      <c r="DHO44" s="31"/>
      <c r="DHP44" s="30"/>
      <c r="DHQ44" s="31"/>
      <c r="DHR44" s="30"/>
      <c r="DHS44" s="31"/>
      <c r="DHT44" s="30"/>
      <c r="DHU44" s="31"/>
      <c r="DHV44" s="30"/>
      <c r="DHW44" s="31"/>
      <c r="DHX44" s="30"/>
      <c r="DHY44" s="31"/>
      <c r="DHZ44" s="30"/>
      <c r="DIA44" s="31"/>
      <c r="DIB44" s="30"/>
      <c r="DIC44" s="31"/>
      <c r="DID44" s="30"/>
      <c r="DIE44" s="31"/>
      <c r="DIF44" s="30"/>
      <c r="DIG44" s="31"/>
      <c r="DIH44" s="30"/>
      <c r="DII44" s="31"/>
      <c r="DIJ44" s="30"/>
      <c r="DIK44" s="31"/>
      <c r="DIL44" s="30"/>
      <c r="DIM44" s="31"/>
      <c r="DIN44" s="30"/>
      <c r="DIO44" s="31"/>
      <c r="DIP44" s="30"/>
      <c r="DIQ44" s="31"/>
      <c r="DIR44" s="30"/>
      <c r="DIS44" s="31"/>
      <c r="DIT44" s="30"/>
      <c r="DIU44" s="31"/>
      <c r="DIV44" s="30"/>
      <c r="DIW44" s="31"/>
      <c r="DIX44" s="30"/>
      <c r="DIY44" s="31"/>
      <c r="DIZ44" s="30"/>
      <c r="DJA44" s="31"/>
      <c r="DJB44" s="30"/>
      <c r="DJC44" s="31"/>
      <c r="DJD44" s="30"/>
      <c r="DJE44" s="31"/>
      <c r="DJF44" s="30"/>
      <c r="DJG44" s="31"/>
      <c r="DJH44" s="30"/>
      <c r="DJI44" s="31"/>
      <c r="DJJ44" s="30"/>
      <c r="DJK44" s="31"/>
      <c r="DJL44" s="30"/>
      <c r="DJM44" s="31"/>
      <c r="DJN44" s="30"/>
      <c r="DJO44" s="31"/>
      <c r="DJP44" s="30"/>
      <c r="DJQ44" s="31"/>
      <c r="DJR44" s="30"/>
      <c r="DJS44" s="31"/>
      <c r="DJT44" s="30"/>
      <c r="DJU44" s="31"/>
      <c r="DJV44" s="30"/>
      <c r="DJW44" s="31"/>
      <c r="DJX44" s="30"/>
      <c r="DJY44" s="31"/>
      <c r="DJZ44" s="30"/>
      <c r="DKA44" s="31"/>
      <c r="DKB44" s="30"/>
      <c r="DKC44" s="31"/>
      <c r="DKD44" s="30"/>
      <c r="DKE44" s="31"/>
      <c r="DKF44" s="30"/>
      <c r="DKG44" s="31"/>
      <c r="DKH44" s="30"/>
      <c r="DKI44" s="31"/>
      <c r="DKJ44" s="30"/>
      <c r="DKK44" s="31"/>
      <c r="DKL44" s="30"/>
      <c r="DKM44" s="31"/>
      <c r="DKN44" s="30"/>
      <c r="DKO44" s="31"/>
      <c r="DKP44" s="30"/>
      <c r="DKQ44" s="31"/>
      <c r="DKR44" s="30"/>
      <c r="DKS44" s="31"/>
      <c r="DKT44" s="30"/>
      <c r="DKU44" s="31"/>
      <c r="DKV44" s="30"/>
      <c r="DKW44" s="31"/>
      <c r="DKX44" s="30"/>
      <c r="DKY44" s="31"/>
      <c r="DKZ44" s="30"/>
      <c r="DLA44" s="31"/>
      <c r="DLB44" s="30"/>
      <c r="DLC44" s="31"/>
      <c r="DLD44" s="30"/>
      <c r="DLE44" s="31"/>
      <c r="DLF44" s="30"/>
      <c r="DLG44" s="31"/>
      <c r="DLH44" s="30"/>
      <c r="DLI44" s="31"/>
      <c r="DLJ44" s="30"/>
      <c r="DLK44" s="31"/>
      <c r="DLL44" s="30"/>
      <c r="DLM44" s="31"/>
      <c r="DLN44" s="30"/>
      <c r="DLO44" s="31"/>
      <c r="DLP44" s="30"/>
      <c r="DLQ44" s="31"/>
      <c r="DLR44" s="30"/>
      <c r="DLS44" s="31"/>
      <c r="DLT44" s="30"/>
      <c r="DLU44" s="31"/>
      <c r="DLV44" s="30"/>
      <c r="DLW44" s="31"/>
      <c r="DLX44" s="30"/>
      <c r="DLY44" s="31"/>
      <c r="DLZ44" s="30"/>
      <c r="DMA44" s="31"/>
      <c r="DMB44" s="30"/>
      <c r="DMC44" s="31"/>
      <c r="DMD44" s="30"/>
      <c r="DME44" s="31"/>
      <c r="DMF44" s="30"/>
      <c r="DMG44" s="31"/>
      <c r="DMH44" s="30"/>
      <c r="DMI44" s="31"/>
      <c r="DMJ44" s="30"/>
      <c r="DMK44" s="31"/>
      <c r="DML44" s="30"/>
      <c r="DMM44" s="31"/>
      <c r="DMN44" s="30"/>
      <c r="DMO44" s="31"/>
      <c r="DMP44" s="30"/>
      <c r="DMQ44" s="31"/>
      <c r="DMR44" s="30"/>
      <c r="DMS44" s="31"/>
      <c r="DMT44" s="30"/>
      <c r="DMU44" s="31"/>
      <c r="DMV44" s="30"/>
      <c r="DMW44" s="31"/>
      <c r="DMX44" s="30"/>
      <c r="DMY44" s="31"/>
      <c r="DMZ44" s="30"/>
      <c r="DNA44" s="31"/>
      <c r="DNB44" s="30"/>
      <c r="DNC44" s="31"/>
      <c r="DND44" s="30"/>
      <c r="DNE44" s="31"/>
      <c r="DNF44" s="30"/>
      <c r="DNG44" s="31"/>
      <c r="DNH44" s="30"/>
      <c r="DNI44" s="31"/>
      <c r="DNJ44" s="30"/>
      <c r="DNK44" s="31"/>
      <c r="DNL44" s="30"/>
      <c r="DNM44" s="31"/>
      <c r="DNN44" s="30"/>
      <c r="DNO44" s="31"/>
      <c r="DNP44" s="30"/>
      <c r="DNQ44" s="31"/>
      <c r="DNR44" s="30"/>
      <c r="DNS44" s="31"/>
      <c r="DNT44" s="30"/>
      <c r="DNU44" s="31"/>
      <c r="DNV44" s="30"/>
      <c r="DNW44" s="31"/>
      <c r="DNX44" s="30"/>
      <c r="DNY44" s="31"/>
      <c r="DNZ44" s="30"/>
      <c r="DOA44" s="31"/>
      <c r="DOB44" s="30"/>
      <c r="DOC44" s="31"/>
      <c r="DOD44" s="30"/>
      <c r="DOE44" s="31"/>
      <c r="DOF44" s="30"/>
      <c r="DOG44" s="31"/>
      <c r="DOH44" s="30"/>
      <c r="DOI44" s="31"/>
      <c r="DOJ44" s="30"/>
      <c r="DOK44" s="31"/>
      <c r="DOL44" s="30"/>
      <c r="DOM44" s="31"/>
      <c r="DON44" s="30"/>
      <c r="DOO44" s="31"/>
      <c r="DOP44" s="30"/>
      <c r="DOQ44" s="31"/>
      <c r="DOR44" s="30"/>
      <c r="DOS44" s="31"/>
      <c r="DOT44" s="30"/>
      <c r="DOU44" s="31"/>
      <c r="DOV44" s="30"/>
      <c r="DOW44" s="31"/>
      <c r="DOX44" s="30"/>
      <c r="DOY44" s="31"/>
      <c r="DOZ44" s="30"/>
      <c r="DPA44" s="31"/>
      <c r="DPB44" s="30"/>
      <c r="DPC44" s="31"/>
      <c r="DPD44" s="30"/>
      <c r="DPE44" s="31"/>
      <c r="DPF44" s="30"/>
      <c r="DPG44" s="31"/>
      <c r="DPH44" s="30"/>
      <c r="DPI44" s="31"/>
      <c r="DPJ44" s="30"/>
      <c r="DPK44" s="31"/>
      <c r="DPL44" s="30"/>
      <c r="DPM44" s="31"/>
      <c r="DPN44" s="30"/>
      <c r="DPO44" s="31"/>
      <c r="DPP44" s="30"/>
      <c r="DPQ44" s="31"/>
      <c r="DPR44" s="30"/>
      <c r="DPS44" s="31"/>
      <c r="DPT44" s="30"/>
      <c r="DPU44" s="31"/>
      <c r="DPV44" s="30"/>
      <c r="DPW44" s="31"/>
      <c r="DPX44" s="30"/>
      <c r="DPY44" s="31"/>
      <c r="DPZ44" s="30"/>
      <c r="DQA44" s="31"/>
      <c r="DQB44" s="30"/>
      <c r="DQC44" s="31"/>
      <c r="DQD44" s="30"/>
      <c r="DQE44" s="31"/>
      <c r="DQF44" s="30"/>
      <c r="DQG44" s="31"/>
      <c r="DQH44" s="30"/>
      <c r="DQI44" s="31"/>
      <c r="DQJ44" s="30"/>
      <c r="DQK44" s="31"/>
      <c r="DQL44" s="30"/>
      <c r="DQM44" s="31"/>
      <c r="DQN44" s="30"/>
      <c r="DQO44" s="31"/>
      <c r="DQP44" s="30"/>
      <c r="DQQ44" s="31"/>
      <c r="DQR44" s="30"/>
      <c r="DQS44" s="31"/>
      <c r="DQT44" s="30"/>
      <c r="DQU44" s="31"/>
      <c r="DQV44" s="30"/>
      <c r="DQW44" s="31"/>
      <c r="DQX44" s="30"/>
      <c r="DQY44" s="31"/>
      <c r="DQZ44" s="30"/>
      <c r="DRA44" s="31"/>
      <c r="DRB44" s="30"/>
      <c r="DRC44" s="31"/>
      <c r="DRD44" s="30"/>
      <c r="DRE44" s="31"/>
      <c r="DRF44" s="30"/>
      <c r="DRG44" s="31"/>
      <c r="DRH44" s="30"/>
      <c r="DRI44" s="31"/>
      <c r="DRJ44" s="30"/>
      <c r="DRK44" s="31"/>
      <c r="DRL44" s="30"/>
      <c r="DRM44" s="31"/>
      <c r="DRN44" s="30"/>
      <c r="DRO44" s="31"/>
      <c r="DRP44" s="30"/>
      <c r="DRQ44" s="31"/>
      <c r="DRR44" s="30"/>
      <c r="DRS44" s="31"/>
      <c r="DRT44" s="30"/>
      <c r="DRU44" s="31"/>
      <c r="DRV44" s="30"/>
      <c r="DRW44" s="31"/>
      <c r="DRX44" s="30"/>
      <c r="DRY44" s="31"/>
      <c r="DRZ44" s="30"/>
      <c r="DSA44" s="31"/>
      <c r="DSB44" s="30"/>
      <c r="DSC44" s="31"/>
      <c r="DSD44" s="30"/>
      <c r="DSE44" s="31"/>
      <c r="DSF44" s="30"/>
      <c r="DSG44" s="31"/>
      <c r="DSH44" s="30"/>
      <c r="DSI44" s="31"/>
      <c r="DSJ44" s="30"/>
      <c r="DSK44" s="31"/>
      <c r="DSL44" s="30"/>
      <c r="DSM44" s="31"/>
      <c r="DSN44" s="30"/>
      <c r="DSO44" s="31"/>
      <c r="DSP44" s="30"/>
      <c r="DSQ44" s="31"/>
      <c r="DSR44" s="30"/>
      <c r="DSS44" s="31"/>
      <c r="DST44" s="30"/>
      <c r="DSU44" s="31"/>
      <c r="DSV44" s="30"/>
      <c r="DSW44" s="31"/>
      <c r="DSX44" s="30"/>
      <c r="DSY44" s="31"/>
      <c r="DSZ44" s="30"/>
      <c r="DTA44" s="31"/>
      <c r="DTB44" s="30"/>
      <c r="DTC44" s="31"/>
      <c r="DTD44" s="30"/>
      <c r="DTE44" s="31"/>
      <c r="DTF44" s="30"/>
      <c r="DTG44" s="31"/>
      <c r="DTH44" s="30"/>
      <c r="DTI44" s="31"/>
      <c r="DTJ44" s="30"/>
      <c r="DTK44" s="31"/>
      <c r="DTL44" s="30"/>
      <c r="DTM44" s="31"/>
      <c r="DTN44" s="30"/>
      <c r="DTO44" s="31"/>
      <c r="DTP44" s="30"/>
      <c r="DTQ44" s="31"/>
      <c r="DTR44" s="30"/>
      <c r="DTS44" s="31"/>
      <c r="DTT44" s="30"/>
      <c r="DTU44" s="31"/>
      <c r="DTV44" s="30"/>
      <c r="DTW44" s="31"/>
      <c r="DTX44" s="30"/>
      <c r="DTY44" s="31"/>
      <c r="DTZ44" s="30"/>
      <c r="DUA44" s="31"/>
      <c r="DUB44" s="30"/>
      <c r="DUC44" s="31"/>
      <c r="DUD44" s="30"/>
      <c r="DUE44" s="31"/>
      <c r="DUF44" s="30"/>
      <c r="DUG44" s="31"/>
      <c r="DUH44" s="30"/>
      <c r="DUI44" s="31"/>
      <c r="DUJ44" s="30"/>
      <c r="DUK44" s="31"/>
      <c r="DUL44" s="30"/>
      <c r="DUM44" s="31"/>
      <c r="DUN44" s="30"/>
      <c r="DUO44" s="31"/>
      <c r="DUP44" s="30"/>
      <c r="DUQ44" s="31"/>
      <c r="DUR44" s="30"/>
      <c r="DUS44" s="31"/>
      <c r="DUT44" s="30"/>
      <c r="DUU44" s="31"/>
      <c r="DUV44" s="30"/>
      <c r="DUW44" s="31"/>
      <c r="DUX44" s="30"/>
      <c r="DUY44" s="31"/>
      <c r="DUZ44" s="30"/>
      <c r="DVA44" s="31"/>
      <c r="DVB44" s="30"/>
      <c r="DVC44" s="31"/>
      <c r="DVD44" s="30"/>
      <c r="DVE44" s="31"/>
      <c r="DVF44" s="30"/>
      <c r="DVG44" s="31"/>
      <c r="DVH44" s="30"/>
      <c r="DVI44" s="31"/>
      <c r="DVJ44" s="30"/>
      <c r="DVK44" s="31"/>
      <c r="DVL44" s="30"/>
      <c r="DVM44" s="31"/>
      <c r="DVN44" s="30"/>
      <c r="DVO44" s="31"/>
      <c r="DVP44" s="30"/>
      <c r="DVQ44" s="31"/>
      <c r="DVR44" s="30"/>
      <c r="DVS44" s="31"/>
      <c r="DVT44" s="30"/>
      <c r="DVU44" s="31"/>
      <c r="DVV44" s="30"/>
      <c r="DVW44" s="31"/>
      <c r="DVX44" s="30"/>
      <c r="DVY44" s="31"/>
      <c r="DVZ44" s="30"/>
      <c r="DWA44" s="31"/>
      <c r="DWB44" s="30"/>
      <c r="DWC44" s="31"/>
      <c r="DWD44" s="30"/>
      <c r="DWE44" s="31"/>
      <c r="DWF44" s="30"/>
      <c r="DWG44" s="31"/>
      <c r="DWH44" s="30"/>
      <c r="DWI44" s="31"/>
      <c r="DWJ44" s="30"/>
      <c r="DWK44" s="31"/>
      <c r="DWL44" s="30"/>
      <c r="DWM44" s="31"/>
      <c r="DWN44" s="30"/>
      <c r="DWO44" s="31"/>
      <c r="DWP44" s="30"/>
      <c r="DWQ44" s="31"/>
      <c r="DWR44" s="30"/>
      <c r="DWS44" s="31"/>
      <c r="DWT44" s="30"/>
      <c r="DWU44" s="31"/>
      <c r="DWV44" s="30"/>
      <c r="DWW44" s="31"/>
      <c r="DWX44" s="30"/>
      <c r="DWY44" s="31"/>
      <c r="DWZ44" s="30"/>
      <c r="DXA44" s="31"/>
      <c r="DXB44" s="30"/>
      <c r="DXC44" s="31"/>
      <c r="DXD44" s="30"/>
      <c r="DXE44" s="31"/>
      <c r="DXF44" s="30"/>
      <c r="DXG44" s="31"/>
      <c r="DXH44" s="30"/>
      <c r="DXI44" s="31"/>
      <c r="DXJ44" s="30"/>
      <c r="DXK44" s="31"/>
      <c r="DXL44" s="30"/>
      <c r="DXM44" s="31"/>
      <c r="DXN44" s="30"/>
      <c r="DXO44" s="31"/>
      <c r="DXP44" s="30"/>
      <c r="DXQ44" s="31"/>
      <c r="DXR44" s="30"/>
      <c r="DXS44" s="31"/>
      <c r="DXT44" s="30"/>
      <c r="DXU44" s="31"/>
      <c r="DXV44" s="30"/>
      <c r="DXW44" s="31"/>
      <c r="DXX44" s="30"/>
      <c r="DXY44" s="31"/>
      <c r="DXZ44" s="30"/>
      <c r="DYA44" s="31"/>
      <c r="DYB44" s="30"/>
      <c r="DYC44" s="31"/>
      <c r="DYD44" s="30"/>
      <c r="DYE44" s="31"/>
      <c r="DYF44" s="30"/>
      <c r="DYG44" s="31"/>
      <c r="DYH44" s="30"/>
      <c r="DYI44" s="31"/>
      <c r="DYJ44" s="30"/>
      <c r="DYK44" s="31"/>
      <c r="DYL44" s="30"/>
      <c r="DYM44" s="31"/>
      <c r="DYN44" s="30"/>
      <c r="DYO44" s="31"/>
      <c r="DYP44" s="30"/>
      <c r="DYQ44" s="31"/>
      <c r="DYR44" s="30"/>
      <c r="DYS44" s="31"/>
      <c r="DYT44" s="30"/>
      <c r="DYU44" s="31"/>
      <c r="DYV44" s="30"/>
      <c r="DYW44" s="31"/>
      <c r="DYX44" s="30"/>
      <c r="DYY44" s="31"/>
      <c r="DYZ44" s="30"/>
      <c r="DZA44" s="31"/>
      <c r="DZB44" s="30"/>
      <c r="DZC44" s="31"/>
      <c r="DZD44" s="30"/>
      <c r="DZE44" s="31"/>
      <c r="DZF44" s="30"/>
      <c r="DZG44" s="31"/>
      <c r="DZH44" s="30"/>
      <c r="DZI44" s="31"/>
      <c r="DZJ44" s="30"/>
      <c r="DZK44" s="31"/>
      <c r="DZL44" s="30"/>
      <c r="DZM44" s="31"/>
      <c r="DZN44" s="30"/>
      <c r="DZO44" s="31"/>
      <c r="DZP44" s="30"/>
      <c r="DZQ44" s="31"/>
      <c r="DZR44" s="30"/>
      <c r="DZS44" s="31"/>
      <c r="DZT44" s="30"/>
      <c r="DZU44" s="31"/>
      <c r="DZV44" s="30"/>
      <c r="DZW44" s="31"/>
      <c r="DZX44" s="30"/>
      <c r="DZY44" s="31"/>
      <c r="DZZ44" s="30"/>
      <c r="EAA44" s="31"/>
      <c r="EAB44" s="30"/>
      <c r="EAC44" s="31"/>
      <c r="EAD44" s="30"/>
      <c r="EAE44" s="31"/>
      <c r="EAF44" s="30"/>
      <c r="EAG44" s="31"/>
      <c r="EAH44" s="30"/>
      <c r="EAI44" s="31"/>
      <c r="EAJ44" s="30"/>
      <c r="EAK44" s="31"/>
      <c r="EAL44" s="30"/>
      <c r="EAM44" s="31"/>
      <c r="EAN44" s="30"/>
      <c r="EAO44" s="31"/>
      <c r="EAP44" s="30"/>
      <c r="EAQ44" s="31"/>
      <c r="EAR44" s="30"/>
      <c r="EAS44" s="31"/>
      <c r="EAT44" s="30"/>
      <c r="EAU44" s="31"/>
      <c r="EAV44" s="30"/>
      <c r="EAW44" s="31"/>
      <c r="EAX44" s="30"/>
      <c r="EAY44" s="31"/>
      <c r="EAZ44" s="30"/>
      <c r="EBA44" s="31"/>
      <c r="EBB44" s="30"/>
      <c r="EBC44" s="31"/>
      <c r="EBD44" s="30"/>
      <c r="EBE44" s="31"/>
      <c r="EBF44" s="30"/>
      <c r="EBG44" s="31"/>
      <c r="EBH44" s="30"/>
      <c r="EBI44" s="31"/>
      <c r="EBJ44" s="30"/>
      <c r="EBK44" s="31"/>
      <c r="EBL44" s="30"/>
      <c r="EBM44" s="31"/>
      <c r="EBN44" s="30"/>
      <c r="EBO44" s="31"/>
      <c r="EBP44" s="30"/>
      <c r="EBQ44" s="31"/>
      <c r="EBR44" s="30"/>
      <c r="EBS44" s="31"/>
      <c r="EBT44" s="30"/>
      <c r="EBU44" s="31"/>
      <c r="EBV44" s="30"/>
      <c r="EBW44" s="31"/>
      <c r="EBX44" s="30"/>
      <c r="EBY44" s="31"/>
      <c r="EBZ44" s="30"/>
      <c r="ECA44" s="31"/>
      <c r="ECB44" s="30"/>
      <c r="ECC44" s="31"/>
      <c r="ECD44" s="30"/>
      <c r="ECE44" s="31"/>
      <c r="ECF44" s="30"/>
      <c r="ECG44" s="31"/>
      <c r="ECH44" s="30"/>
      <c r="ECI44" s="31"/>
      <c r="ECJ44" s="30"/>
      <c r="ECK44" s="31"/>
      <c r="ECL44" s="30"/>
      <c r="ECM44" s="31"/>
      <c r="ECN44" s="30"/>
      <c r="ECO44" s="31"/>
      <c r="ECP44" s="30"/>
      <c r="ECQ44" s="31"/>
      <c r="ECR44" s="30"/>
      <c r="ECS44" s="31"/>
      <c r="ECT44" s="30"/>
      <c r="ECU44" s="31"/>
      <c r="ECV44" s="30"/>
      <c r="ECW44" s="31"/>
      <c r="ECX44" s="30"/>
      <c r="ECY44" s="31"/>
      <c r="ECZ44" s="30"/>
      <c r="EDA44" s="31"/>
      <c r="EDB44" s="30"/>
      <c r="EDC44" s="31"/>
      <c r="EDD44" s="30"/>
      <c r="EDE44" s="31"/>
      <c r="EDF44" s="30"/>
      <c r="EDG44" s="31"/>
      <c r="EDH44" s="30"/>
      <c r="EDI44" s="31"/>
      <c r="EDJ44" s="30"/>
      <c r="EDK44" s="31"/>
      <c r="EDL44" s="30"/>
      <c r="EDM44" s="31"/>
      <c r="EDN44" s="30"/>
      <c r="EDO44" s="31"/>
      <c r="EDP44" s="30"/>
      <c r="EDQ44" s="31"/>
      <c r="EDR44" s="30"/>
      <c r="EDS44" s="31"/>
      <c r="EDT44" s="30"/>
      <c r="EDU44" s="31"/>
      <c r="EDV44" s="30"/>
      <c r="EDW44" s="31"/>
      <c r="EDX44" s="30"/>
      <c r="EDY44" s="31"/>
      <c r="EDZ44" s="30"/>
      <c r="EEA44" s="31"/>
      <c r="EEB44" s="30"/>
      <c r="EEC44" s="31"/>
      <c r="EED44" s="30"/>
      <c r="EEE44" s="31"/>
      <c r="EEF44" s="30"/>
      <c r="EEG44" s="31"/>
      <c r="EEH44" s="30"/>
      <c r="EEI44" s="31"/>
      <c r="EEJ44" s="30"/>
      <c r="EEK44" s="31"/>
      <c r="EEL44" s="30"/>
      <c r="EEM44" s="31"/>
      <c r="EEN44" s="30"/>
      <c r="EEO44" s="31"/>
      <c r="EEP44" s="30"/>
      <c r="EEQ44" s="31"/>
      <c r="EER44" s="30"/>
      <c r="EES44" s="31"/>
      <c r="EET44" s="30"/>
      <c r="EEU44" s="31"/>
      <c r="EEV44" s="30"/>
      <c r="EEW44" s="31"/>
      <c r="EEX44" s="30"/>
      <c r="EEY44" s="31"/>
      <c r="EEZ44" s="30"/>
      <c r="EFA44" s="31"/>
      <c r="EFB44" s="30"/>
      <c r="EFC44" s="31"/>
      <c r="EFD44" s="30"/>
      <c r="EFE44" s="31"/>
      <c r="EFF44" s="30"/>
      <c r="EFG44" s="31"/>
      <c r="EFH44" s="30"/>
      <c r="EFI44" s="31"/>
      <c r="EFJ44" s="30"/>
      <c r="EFK44" s="31"/>
      <c r="EFL44" s="30"/>
      <c r="EFM44" s="31"/>
      <c r="EFN44" s="30"/>
      <c r="EFO44" s="31"/>
      <c r="EFP44" s="30"/>
      <c r="EFQ44" s="31"/>
      <c r="EFR44" s="30"/>
      <c r="EFS44" s="31"/>
      <c r="EFT44" s="30"/>
      <c r="EFU44" s="31"/>
      <c r="EFV44" s="30"/>
      <c r="EFW44" s="31"/>
      <c r="EFX44" s="30"/>
      <c r="EFY44" s="31"/>
      <c r="EFZ44" s="30"/>
      <c r="EGA44" s="31"/>
      <c r="EGB44" s="30"/>
      <c r="EGC44" s="31"/>
      <c r="EGD44" s="30"/>
      <c r="EGE44" s="31"/>
      <c r="EGF44" s="30"/>
      <c r="EGG44" s="31"/>
      <c r="EGH44" s="30"/>
      <c r="EGI44" s="31"/>
      <c r="EGJ44" s="30"/>
      <c r="EGK44" s="31"/>
      <c r="EGL44" s="30"/>
      <c r="EGM44" s="31"/>
      <c r="EGN44" s="30"/>
      <c r="EGO44" s="31"/>
      <c r="EGP44" s="30"/>
      <c r="EGQ44" s="31"/>
      <c r="EGR44" s="30"/>
      <c r="EGS44" s="31"/>
      <c r="EGT44" s="30"/>
      <c r="EGU44" s="31"/>
      <c r="EGV44" s="30"/>
      <c r="EGW44" s="31"/>
      <c r="EGX44" s="30"/>
      <c r="EGY44" s="31"/>
      <c r="EGZ44" s="30"/>
      <c r="EHA44" s="31"/>
      <c r="EHB44" s="30"/>
      <c r="EHC44" s="31"/>
      <c r="EHD44" s="30"/>
      <c r="EHE44" s="31"/>
      <c r="EHF44" s="30"/>
      <c r="EHG44" s="31"/>
      <c r="EHH44" s="30"/>
      <c r="EHI44" s="31"/>
      <c r="EHJ44" s="30"/>
      <c r="EHK44" s="31"/>
      <c r="EHL44" s="30"/>
      <c r="EHM44" s="31"/>
      <c r="EHN44" s="30"/>
      <c r="EHO44" s="31"/>
      <c r="EHP44" s="30"/>
      <c r="EHQ44" s="31"/>
      <c r="EHR44" s="30"/>
      <c r="EHS44" s="31"/>
      <c r="EHT44" s="30"/>
      <c r="EHU44" s="31"/>
      <c r="EHV44" s="30"/>
      <c r="EHW44" s="31"/>
      <c r="EHX44" s="30"/>
      <c r="EHY44" s="31"/>
      <c r="EHZ44" s="30"/>
      <c r="EIA44" s="31"/>
      <c r="EIB44" s="30"/>
      <c r="EIC44" s="31"/>
      <c r="EID44" s="30"/>
      <c r="EIE44" s="31"/>
      <c r="EIF44" s="30"/>
      <c r="EIG44" s="31"/>
      <c r="EIH44" s="30"/>
      <c r="EII44" s="31"/>
      <c r="EIJ44" s="30"/>
      <c r="EIK44" s="31"/>
      <c r="EIL44" s="30"/>
      <c r="EIM44" s="31"/>
      <c r="EIN44" s="30"/>
      <c r="EIO44" s="31"/>
      <c r="EIP44" s="30"/>
      <c r="EIQ44" s="31"/>
      <c r="EIR44" s="30"/>
      <c r="EIS44" s="31"/>
      <c r="EIT44" s="30"/>
      <c r="EIU44" s="31"/>
      <c r="EIV44" s="30"/>
      <c r="EIW44" s="31"/>
      <c r="EIX44" s="30"/>
      <c r="EIY44" s="31"/>
      <c r="EIZ44" s="30"/>
      <c r="EJA44" s="31"/>
      <c r="EJB44" s="30"/>
      <c r="EJC44" s="31"/>
      <c r="EJD44" s="30"/>
      <c r="EJE44" s="31"/>
      <c r="EJF44" s="30"/>
      <c r="EJG44" s="31"/>
      <c r="EJH44" s="30"/>
      <c r="EJI44" s="31"/>
      <c r="EJJ44" s="30"/>
      <c r="EJK44" s="31"/>
      <c r="EJL44" s="30"/>
      <c r="EJM44" s="31"/>
      <c r="EJN44" s="30"/>
      <c r="EJO44" s="31"/>
      <c r="EJP44" s="30"/>
      <c r="EJQ44" s="31"/>
      <c r="EJR44" s="30"/>
      <c r="EJS44" s="31"/>
      <c r="EJT44" s="30"/>
      <c r="EJU44" s="31"/>
      <c r="EJV44" s="30"/>
      <c r="EJW44" s="31"/>
      <c r="EJX44" s="30"/>
      <c r="EJY44" s="31"/>
      <c r="EJZ44" s="30"/>
      <c r="EKA44" s="31"/>
      <c r="EKB44" s="30"/>
      <c r="EKC44" s="31"/>
      <c r="EKD44" s="30"/>
      <c r="EKE44" s="31"/>
      <c r="EKF44" s="30"/>
      <c r="EKG44" s="31"/>
      <c r="EKH44" s="30"/>
      <c r="EKI44" s="31"/>
      <c r="EKJ44" s="30"/>
      <c r="EKK44" s="31"/>
      <c r="EKL44" s="30"/>
      <c r="EKM44" s="31"/>
      <c r="EKN44" s="30"/>
      <c r="EKO44" s="31"/>
      <c r="EKP44" s="30"/>
      <c r="EKQ44" s="31"/>
      <c r="EKR44" s="30"/>
      <c r="EKS44" s="31"/>
      <c r="EKT44" s="30"/>
      <c r="EKU44" s="31"/>
      <c r="EKV44" s="30"/>
      <c r="EKW44" s="31"/>
      <c r="EKX44" s="30"/>
      <c r="EKY44" s="31"/>
      <c r="EKZ44" s="30"/>
      <c r="ELA44" s="31"/>
      <c r="ELB44" s="30"/>
      <c r="ELC44" s="31"/>
      <c r="ELD44" s="30"/>
      <c r="ELE44" s="31"/>
      <c r="ELF44" s="30"/>
      <c r="ELG44" s="31"/>
      <c r="ELH44" s="30"/>
      <c r="ELI44" s="31"/>
      <c r="ELJ44" s="30"/>
      <c r="ELK44" s="31"/>
      <c r="ELL44" s="30"/>
      <c r="ELM44" s="31"/>
      <c r="ELN44" s="30"/>
      <c r="ELO44" s="31"/>
      <c r="ELP44" s="30"/>
      <c r="ELQ44" s="31"/>
      <c r="ELR44" s="30"/>
      <c r="ELS44" s="31"/>
      <c r="ELT44" s="30"/>
      <c r="ELU44" s="31"/>
      <c r="ELV44" s="30"/>
      <c r="ELW44" s="31"/>
      <c r="ELX44" s="30"/>
      <c r="ELY44" s="31"/>
      <c r="ELZ44" s="30"/>
      <c r="EMA44" s="31"/>
      <c r="EMB44" s="30"/>
      <c r="EMC44" s="31"/>
      <c r="EMD44" s="30"/>
      <c r="EME44" s="31"/>
      <c r="EMF44" s="30"/>
      <c r="EMG44" s="31"/>
      <c r="EMH44" s="30"/>
      <c r="EMI44" s="31"/>
      <c r="EMJ44" s="30"/>
      <c r="EMK44" s="31"/>
      <c r="EML44" s="30"/>
      <c r="EMM44" s="31"/>
      <c r="EMN44" s="30"/>
      <c r="EMO44" s="31"/>
      <c r="EMP44" s="30"/>
      <c r="EMQ44" s="31"/>
      <c r="EMR44" s="30"/>
      <c r="EMS44" s="31"/>
      <c r="EMT44" s="30"/>
      <c r="EMU44" s="31"/>
      <c r="EMV44" s="30"/>
      <c r="EMW44" s="31"/>
      <c r="EMX44" s="30"/>
      <c r="EMY44" s="31"/>
      <c r="EMZ44" s="30"/>
      <c r="ENA44" s="31"/>
      <c r="ENB44" s="30"/>
      <c r="ENC44" s="31"/>
      <c r="END44" s="30"/>
      <c r="ENE44" s="31"/>
      <c r="ENF44" s="30"/>
      <c r="ENG44" s="31"/>
      <c r="ENH44" s="30"/>
      <c r="ENI44" s="31"/>
      <c r="ENJ44" s="30"/>
      <c r="ENK44" s="31"/>
      <c r="ENL44" s="30"/>
      <c r="ENM44" s="31"/>
      <c r="ENN44" s="30"/>
      <c r="ENO44" s="31"/>
      <c r="ENP44" s="30"/>
      <c r="ENQ44" s="31"/>
      <c r="ENR44" s="30"/>
      <c r="ENS44" s="31"/>
      <c r="ENT44" s="30"/>
      <c r="ENU44" s="31"/>
      <c r="ENV44" s="30"/>
      <c r="ENW44" s="31"/>
      <c r="ENX44" s="30"/>
      <c r="ENY44" s="31"/>
      <c r="ENZ44" s="30"/>
      <c r="EOA44" s="31"/>
      <c r="EOB44" s="30"/>
      <c r="EOC44" s="31"/>
      <c r="EOD44" s="30"/>
      <c r="EOE44" s="31"/>
      <c r="EOF44" s="30"/>
      <c r="EOG44" s="31"/>
      <c r="EOH44" s="30"/>
      <c r="EOI44" s="31"/>
      <c r="EOJ44" s="30"/>
      <c r="EOK44" s="31"/>
      <c r="EOL44" s="30"/>
      <c r="EOM44" s="31"/>
      <c r="EON44" s="30"/>
      <c r="EOO44" s="31"/>
      <c r="EOP44" s="30"/>
      <c r="EOQ44" s="31"/>
      <c r="EOR44" s="30"/>
      <c r="EOS44" s="31"/>
      <c r="EOT44" s="30"/>
      <c r="EOU44" s="31"/>
      <c r="EOV44" s="30"/>
      <c r="EOW44" s="31"/>
      <c r="EOX44" s="30"/>
      <c r="EOY44" s="31"/>
      <c r="EOZ44" s="30"/>
      <c r="EPA44" s="31"/>
      <c r="EPB44" s="30"/>
      <c r="EPC44" s="31"/>
      <c r="EPD44" s="30"/>
      <c r="EPE44" s="31"/>
      <c r="EPF44" s="30"/>
      <c r="EPG44" s="31"/>
      <c r="EPH44" s="30"/>
      <c r="EPI44" s="31"/>
      <c r="EPJ44" s="30"/>
      <c r="EPK44" s="31"/>
      <c r="EPL44" s="30"/>
      <c r="EPM44" s="31"/>
      <c r="EPN44" s="30"/>
      <c r="EPO44" s="31"/>
      <c r="EPP44" s="30"/>
      <c r="EPQ44" s="31"/>
      <c r="EPR44" s="30"/>
      <c r="EPS44" s="31"/>
      <c r="EPT44" s="30"/>
      <c r="EPU44" s="31"/>
      <c r="EPV44" s="30"/>
      <c r="EPW44" s="31"/>
      <c r="EPX44" s="30"/>
      <c r="EPY44" s="31"/>
      <c r="EPZ44" s="30"/>
      <c r="EQA44" s="31"/>
      <c r="EQB44" s="30"/>
      <c r="EQC44" s="31"/>
      <c r="EQD44" s="30"/>
      <c r="EQE44" s="31"/>
      <c r="EQF44" s="30"/>
      <c r="EQG44" s="31"/>
      <c r="EQH44" s="30"/>
      <c r="EQI44" s="31"/>
      <c r="EQJ44" s="30"/>
      <c r="EQK44" s="31"/>
      <c r="EQL44" s="30"/>
      <c r="EQM44" s="31"/>
      <c r="EQN44" s="30"/>
      <c r="EQO44" s="31"/>
      <c r="EQP44" s="30"/>
      <c r="EQQ44" s="31"/>
      <c r="EQR44" s="30"/>
      <c r="EQS44" s="31"/>
      <c r="EQT44" s="30"/>
      <c r="EQU44" s="31"/>
      <c r="EQV44" s="30"/>
      <c r="EQW44" s="31"/>
      <c r="EQX44" s="30"/>
      <c r="EQY44" s="31"/>
      <c r="EQZ44" s="30"/>
      <c r="ERA44" s="31"/>
      <c r="ERB44" s="30"/>
      <c r="ERC44" s="31"/>
      <c r="ERD44" s="30"/>
      <c r="ERE44" s="31"/>
      <c r="ERF44" s="30"/>
      <c r="ERG44" s="31"/>
      <c r="ERH44" s="30"/>
      <c r="ERI44" s="31"/>
      <c r="ERJ44" s="30"/>
      <c r="ERK44" s="31"/>
      <c r="ERL44" s="30"/>
      <c r="ERM44" s="31"/>
      <c r="ERN44" s="30"/>
      <c r="ERO44" s="31"/>
      <c r="ERP44" s="30"/>
      <c r="ERQ44" s="31"/>
      <c r="ERR44" s="30"/>
      <c r="ERS44" s="31"/>
      <c r="ERT44" s="30"/>
      <c r="ERU44" s="31"/>
      <c r="ERV44" s="30"/>
      <c r="ERW44" s="31"/>
      <c r="ERX44" s="30"/>
      <c r="ERY44" s="31"/>
      <c r="ERZ44" s="30"/>
      <c r="ESA44" s="31"/>
      <c r="ESB44" s="30"/>
      <c r="ESC44" s="31"/>
      <c r="ESD44" s="30"/>
      <c r="ESE44" s="31"/>
      <c r="ESF44" s="30"/>
      <c r="ESG44" s="31"/>
      <c r="ESH44" s="30"/>
      <c r="ESI44" s="31"/>
      <c r="ESJ44" s="30"/>
      <c r="ESK44" s="31"/>
      <c r="ESL44" s="30"/>
      <c r="ESM44" s="31"/>
      <c r="ESN44" s="30"/>
      <c r="ESO44" s="31"/>
      <c r="ESP44" s="30"/>
      <c r="ESQ44" s="31"/>
      <c r="ESR44" s="30"/>
      <c r="ESS44" s="31"/>
      <c r="EST44" s="30"/>
      <c r="ESU44" s="31"/>
      <c r="ESV44" s="30"/>
      <c r="ESW44" s="31"/>
      <c r="ESX44" s="30"/>
      <c r="ESY44" s="31"/>
      <c r="ESZ44" s="30"/>
      <c r="ETA44" s="31"/>
      <c r="ETB44" s="30"/>
      <c r="ETC44" s="31"/>
      <c r="ETD44" s="30"/>
      <c r="ETE44" s="31"/>
      <c r="ETF44" s="30"/>
      <c r="ETG44" s="31"/>
      <c r="ETH44" s="30"/>
      <c r="ETI44" s="31"/>
      <c r="ETJ44" s="30"/>
      <c r="ETK44" s="31"/>
      <c r="ETL44" s="30"/>
      <c r="ETM44" s="31"/>
      <c r="ETN44" s="30"/>
      <c r="ETO44" s="31"/>
      <c r="ETP44" s="30"/>
      <c r="ETQ44" s="31"/>
      <c r="ETR44" s="30"/>
      <c r="ETS44" s="31"/>
      <c r="ETT44" s="30"/>
      <c r="ETU44" s="31"/>
      <c r="ETV44" s="30"/>
      <c r="ETW44" s="31"/>
      <c r="ETX44" s="30"/>
      <c r="ETY44" s="31"/>
      <c r="ETZ44" s="30"/>
      <c r="EUA44" s="31"/>
      <c r="EUB44" s="30"/>
      <c r="EUC44" s="31"/>
      <c r="EUD44" s="30"/>
      <c r="EUE44" s="31"/>
      <c r="EUF44" s="30"/>
      <c r="EUG44" s="31"/>
      <c r="EUH44" s="30"/>
      <c r="EUI44" s="31"/>
      <c r="EUJ44" s="30"/>
      <c r="EUK44" s="31"/>
      <c r="EUL44" s="30"/>
      <c r="EUM44" s="31"/>
      <c r="EUN44" s="30"/>
      <c r="EUO44" s="31"/>
      <c r="EUP44" s="30"/>
      <c r="EUQ44" s="31"/>
      <c r="EUR44" s="30"/>
      <c r="EUS44" s="31"/>
      <c r="EUT44" s="30"/>
      <c r="EUU44" s="31"/>
      <c r="EUV44" s="30"/>
      <c r="EUW44" s="31"/>
      <c r="EUX44" s="30"/>
      <c r="EUY44" s="31"/>
      <c r="EUZ44" s="30"/>
      <c r="EVA44" s="31"/>
      <c r="EVB44" s="30"/>
      <c r="EVC44" s="31"/>
      <c r="EVD44" s="30"/>
      <c r="EVE44" s="31"/>
      <c r="EVF44" s="30"/>
      <c r="EVG44" s="31"/>
      <c r="EVH44" s="30"/>
      <c r="EVI44" s="31"/>
      <c r="EVJ44" s="30"/>
      <c r="EVK44" s="31"/>
      <c r="EVL44" s="30"/>
      <c r="EVM44" s="31"/>
      <c r="EVN44" s="30"/>
      <c r="EVO44" s="31"/>
      <c r="EVP44" s="30"/>
      <c r="EVQ44" s="31"/>
      <c r="EVR44" s="30"/>
      <c r="EVS44" s="31"/>
      <c r="EVT44" s="30"/>
      <c r="EVU44" s="31"/>
      <c r="EVV44" s="30"/>
      <c r="EVW44" s="31"/>
      <c r="EVX44" s="30"/>
      <c r="EVY44" s="31"/>
      <c r="EVZ44" s="30"/>
      <c r="EWA44" s="31"/>
      <c r="EWB44" s="30"/>
      <c r="EWC44" s="31"/>
      <c r="EWD44" s="30"/>
      <c r="EWE44" s="31"/>
      <c r="EWF44" s="30"/>
      <c r="EWG44" s="31"/>
      <c r="EWH44" s="30"/>
      <c r="EWI44" s="31"/>
      <c r="EWJ44" s="30"/>
      <c r="EWK44" s="31"/>
      <c r="EWL44" s="30"/>
      <c r="EWM44" s="31"/>
      <c r="EWN44" s="30"/>
      <c r="EWO44" s="31"/>
      <c r="EWP44" s="30"/>
      <c r="EWQ44" s="31"/>
      <c r="EWR44" s="30"/>
      <c r="EWS44" s="31"/>
      <c r="EWT44" s="30"/>
      <c r="EWU44" s="31"/>
      <c r="EWV44" s="30"/>
      <c r="EWW44" s="31"/>
      <c r="EWX44" s="30"/>
      <c r="EWY44" s="31"/>
      <c r="EWZ44" s="30"/>
      <c r="EXA44" s="31"/>
      <c r="EXB44" s="30"/>
      <c r="EXC44" s="31"/>
      <c r="EXD44" s="30"/>
      <c r="EXE44" s="31"/>
      <c r="EXF44" s="30"/>
      <c r="EXG44" s="31"/>
      <c r="EXH44" s="30"/>
      <c r="EXI44" s="31"/>
      <c r="EXJ44" s="30"/>
      <c r="EXK44" s="31"/>
      <c r="EXL44" s="30"/>
      <c r="EXM44" s="31"/>
      <c r="EXN44" s="30"/>
      <c r="EXO44" s="31"/>
      <c r="EXP44" s="30"/>
      <c r="EXQ44" s="31"/>
      <c r="EXR44" s="30"/>
      <c r="EXS44" s="31"/>
      <c r="EXT44" s="30"/>
      <c r="EXU44" s="31"/>
      <c r="EXV44" s="30"/>
      <c r="EXW44" s="31"/>
      <c r="EXX44" s="30"/>
      <c r="EXY44" s="31"/>
      <c r="EXZ44" s="30"/>
      <c r="EYA44" s="31"/>
      <c r="EYB44" s="30"/>
      <c r="EYC44" s="31"/>
      <c r="EYD44" s="30"/>
      <c r="EYE44" s="31"/>
      <c r="EYF44" s="30"/>
      <c r="EYG44" s="31"/>
      <c r="EYH44" s="30"/>
      <c r="EYI44" s="31"/>
      <c r="EYJ44" s="30"/>
      <c r="EYK44" s="31"/>
      <c r="EYL44" s="30"/>
      <c r="EYM44" s="31"/>
      <c r="EYN44" s="30"/>
      <c r="EYO44" s="31"/>
      <c r="EYP44" s="30"/>
      <c r="EYQ44" s="31"/>
      <c r="EYR44" s="30"/>
      <c r="EYS44" s="31"/>
      <c r="EYT44" s="30"/>
      <c r="EYU44" s="31"/>
      <c r="EYV44" s="30"/>
      <c r="EYW44" s="31"/>
      <c r="EYX44" s="30"/>
      <c r="EYY44" s="31"/>
      <c r="EYZ44" s="30"/>
      <c r="EZA44" s="31"/>
      <c r="EZB44" s="30"/>
      <c r="EZC44" s="31"/>
      <c r="EZD44" s="30"/>
      <c r="EZE44" s="31"/>
      <c r="EZF44" s="30"/>
      <c r="EZG44" s="31"/>
      <c r="EZH44" s="30"/>
      <c r="EZI44" s="31"/>
      <c r="EZJ44" s="30"/>
      <c r="EZK44" s="31"/>
      <c r="EZL44" s="30"/>
      <c r="EZM44" s="31"/>
      <c r="EZN44" s="30"/>
      <c r="EZO44" s="31"/>
      <c r="EZP44" s="30"/>
      <c r="EZQ44" s="31"/>
      <c r="EZR44" s="30"/>
      <c r="EZS44" s="31"/>
      <c r="EZT44" s="30"/>
      <c r="EZU44" s="31"/>
      <c r="EZV44" s="30"/>
      <c r="EZW44" s="31"/>
      <c r="EZX44" s="30"/>
      <c r="EZY44" s="31"/>
      <c r="EZZ44" s="30"/>
      <c r="FAA44" s="31"/>
      <c r="FAB44" s="30"/>
      <c r="FAC44" s="31"/>
      <c r="FAD44" s="30"/>
      <c r="FAE44" s="31"/>
      <c r="FAF44" s="30"/>
      <c r="FAG44" s="31"/>
      <c r="FAH44" s="30"/>
      <c r="FAI44" s="31"/>
      <c r="FAJ44" s="30"/>
      <c r="FAK44" s="31"/>
      <c r="FAL44" s="30"/>
      <c r="FAM44" s="31"/>
      <c r="FAN44" s="30"/>
      <c r="FAO44" s="31"/>
      <c r="FAP44" s="30"/>
      <c r="FAQ44" s="31"/>
      <c r="FAR44" s="30"/>
      <c r="FAS44" s="31"/>
      <c r="FAT44" s="30"/>
      <c r="FAU44" s="31"/>
      <c r="FAV44" s="30"/>
      <c r="FAW44" s="31"/>
      <c r="FAX44" s="30"/>
      <c r="FAY44" s="31"/>
      <c r="FAZ44" s="30"/>
      <c r="FBA44" s="31"/>
      <c r="FBB44" s="30"/>
      <c r="FBC44" s="31"/>
      <c r="FBD44" s="30"/>
      <c r="FBE44" s="31"/>
      <c r="FBF44" s="30"/>
      <c r="FBG44" s="31"/>
      <c r="FBH44" s="30"/>
      <c r="FBI44" s="31"/>
      <c r="FBJ44" s="30"/>
      <c r="FBK44" s="31"/>
      <c r="FBL44" s="30"/>
      <c r="FBM44" s="31"/>
      <c r="FBN44" s="30"/>
      <c r="FBO44" s="31"/>
      <c r="FBP44" s="30"/>
      <c r="FBQ44" s="31"/>
      <c r="FBR44" s="30"/>
      <c r="FBS44" s="31"/>
      <c r="FBT44" s="30"/>
      <c r="FBU44" s="31"/>
      <c r="FBV44" s="30"/>
      <c r="FBW44" s="31"/>
      <c r="FBX44" s="30"/>
      <c r="FBY44" s="31"/>
      <c r="FBZ44" s="30"/>
      <c r="FCA44" s="31"/>
      <c r="FCB44" s="30"/>
      <c r="FCC44" s="31"/>
      <c r="FCD44" s="30"/>
      <c r="FCE44" s="31"/>
      <c r="FCF44" s="30"/>
      <c r="FCG44" s="31"/>
      <c r="FCH44" s="30"/>
      <c r="FCI44" s="31"/>
      <c r="FCJ44" s="30"/>
      <c r="FCK44" s="31"/>
      <c r="FCL44" s="30"/>
      <c r="FCM44" s="31"/>
      <c r="FCN44" s="30"/>
      <c r="FCO44" s="31"/>
      <c r="FCP44" s="30"/>
      <c r="FCQ44" s="31"/>
      <c r="FCR44" s="30"/>
      <c r="FCS44" s="31"/>
      <c r="FCT44" s="30"/>
      <c r="FCU44" s="31"/>
      <c r="FCV44" s="30"/>
      <c r="FCW44" s="31"/>
      <c r="FCX44" s="30"/>
      <c r="FCY44" s="31"/>
      <c r="FCZ44" s="30"/>
      <c r="FDA44" s="31"/>
      <c r="FDB44" s="30"/>
      <c r="FDC44" s="31"/>
      <c r="FDD44" s="30"/>
      <c r="FDE44" s="31"/>
      <c r="FDF44" s="30"/>
      <c r="FDG44" s="31"/>
      <c r="FDH44" s="30"/>
      <c r="FDI44" s="31"/>
      <c r="FDJ44" s="30"/>
      <c r="FDK44" s="31"/>
      <c r="FDL44" s="30"/>
      <c r="FDM44" s="31"/>
      <c r="FDN44" s="30"/>
      <c r="FDO44" s="31"/>
      <c r="FDP44" s="30"/>
      <c r="FDQ44" s="31"/>
      <c r="FDR44" s="30"/>
      <c r="FDS44" s="31"/>
      <c r="FDT44" s="30"/>
      <c r="FDU44" s="31"/>
      <c r="FDV44" s="30"/>
      <c r="FDW44" s="31"/>
      <c r="FDX44" s="30"/>
      <c r="FDY44" s="31"/>
      <c r="FDZ44" s="30"/>
      <c r="FEA44" s="31"/>
      <c r="FEB44" s="30"/>
      <c r="FEC44" s="31"/>
      <c r="FED44" s="30"/>
      <c r="FEE44" s="31"/>
      <c r="FEF44" s="30"/>
      <c r="FEG44" s="31"/>
      <c r="FEH44" s="30"/>
      <c r="FEI44" s="31"/>
      <c r="FEJ44" s="30"/>
      <c r="FEK44" s="31"/>
      <c r="FEL44" s="30"/>
      <c r="FEM44" s="31"/>
      <c r="FEN44" s="30"/>
      <c r="FEO44" s="31"/>
      <c r="FEP44" s="30"/>
      <c r="FEQ44" s="31"/>
      <c r="FER44" s="30"/>
      <c r="FES44" s="31"/>
      <c r="FET44" s="30"/>
      <c r="FEU44" s="31"/>
      <c r="FEV44" s="30"/>
      <c r="FEW44" s="31"/>
      <c r="FEX44" s="30"/>
      <c r="FEY44" s="31"/>
      <c r="FEZ44" s="30"/>
      <c r="FFA44" s="31"/>
      <c r="FFB44" s="30"/>
      <c r="FFC44" s="31"/>
      <c r="FFD44" s="30"/>
      <c r="FFE44" s="31"/>
      <c r="FFF44" s="30"/>
      <c r="FFG44" s="31"/>
      <c r="FFH44" s="30"/>
      <c r="FFI44" s="31"/>
      <c r="FFJ44" s="30"/>
      <c r="FFK44" s="31"/>
      <c r="FFL44" s="30"/>
      <c r="FFM44" s="31"/>
      <c r="FFN44" s="30"/>
      <c r="FFO44" s="31"/>
      <c r="FFP44" s="30"/>
      <c r="FFQ44" s="31"/>
      <c r="FFR44" s="30"/>
      <c r="FFS44" s="31"/>
      <c r="FFT44" s="30"/>
      <c r="FFU44" s="31"/>
      <c r="FFV44" s="30"/>
      <c r="FFW44" s="31"/>
      <c r="FFX44" s="30"/>
      <c r="FFY44" s="31"/>
      <c r="FFZ44" s="30"/>
      <c r="FGA44" s="31"/>
      <c r="FGB44" s="30"/>
      <c r="FGC44" s="31"/>
      <c r="FGD44" s="30"/>
      <c r="FGE44" s="31"/>
      <c r="FGF44" s="30"/>
      <c r="FGG44" s="31"/>
      <c r="FGH44" s="30"/>
      <c r="FGI44" s="31"/>
      <c r="FGJ44" s="30"/>
      <c r="FGK44" s="31"/>
      <c r="FGL44" s="30"/>
      <c r="FGM44" s="31"/>
      <c r="FGN44" s="30"/>
      <c r="FGO44" s="31"/>
      <c r="FGP44" s="30"/>
      <c r="FGQ44" s="31"/>
      <c r="FGR44" s="30"/>
      <c r="FGS44" s="31"/>
      <c r="FGT44" s="30"/>
      <c r="FGU44" s="31"/>
      <c r="FGV44" s="30"/>
      <c r="FGW44" s="31"/>
      <c r="FGX44" s="30"/>
      <c r="FGY44" s="31"/>
      <c r="FGZ44" s="30"/>
      <c r="FHA44" s="31"/>
      <c r="FHB44" s="30"/>
      <c r="FHC44" s="31"/>
      <c r="FHD44" s="30"/>
      <c r="FHE44" s="31"/>
      <c r="FHF44" s="30"/>
      <c r="FHG44" s="31"/>
      <c r="FHH44" s="30"/>
      <c r="FHI44" s="31"/>
      <c r="FHJ44" s="30"/>
      <c r="FHK44" s="31"/>
      <c r="FHL44" s="30"/>
      <c r="FHM44" s="31"/>
      <c r="FHN44" s="30"/>
      <c r="FHO44" s="31"/>
      <c r="FHP44" s="30"/>
      <c r="FHQ44" s="31"/>
      <c r="FHR44" s="30"/>
      <c r="FHS44" s="31"/>
      <c r="FHT44" s="30"/>
      <c r="FHU44" s="31"/>
      <c r="FHV44" s="30"/>
      <c r="FHW44" s="31"/>
      <c r="FHX44" s="30"/>
      <c r="FHY44" s="31"/>
      <c r="FHZ44" s="30"/>
      <c r="FIA44" s="31"/>
      <c r="FIB44" s="30"/>
      <c r="FIC44" s="31"/>
      <c r="FID44" s="30"/>
      <c r="FIE44" s="31"/>
      <c r="FIF44" s="30"/>
      <c r="FIG44" s="31"/>
      <c r="FIH44" s="30"/>
      <c r="FII44" s="31"/>
      <c r="FIJ44" s="30"/>
      <c r="FIK44" s="31"/>
      <c r="FIL44" s="30"/>
      <c r="FIM44" s="31"/>
      <c r="FIN44" s="30"/>
      <c r="FIO44" s="31"/>
      <c r="FIP44" s="30"/>
      <c r="FIQ44" s="31"/>
      <c r="FIR44" s="30"/>
      <c r="FIS44" s="31"/>
      <c r="FIT44" s="30"/>
      <c r="FIU44" s="31"/>
      <c r="FIV44" s="30"/>
      <c r="FIW44" s="31"/>
      <c r="FIX44" s="30"/>
      <c r="FIY44" s="31"/>
      <c r="FIZ44" s="30"/>
      <c r="FJA44" s="31"/>
      <c r="FJB44" s="30"/>
      <c r="FJC44" s="31"/>
      <c r="FJD44" s="30"/>
      <c r="FJE44" s="31"/>
      <c r="FJF44" s="30"/>
      <c r="FJG44" s="31"/>
      <c r="FJH44" s="30"/>
      <c r="FJI44" s="31"/>
      <c r="FJJ44" s="30"/>
      <c r="FJK44" s="31"/>
      <c r="FJL44" s="30"/>
      <c r="FJM44" s="31"/>
      <c r="FJN44" s="30"/>
      <c r="FJO44" s="31"/>
      <c r="FJP44" s="30"/>
      <c r="FJQ44" s="31"/>
      <c r="FJR44" s="30"/>
      <c r="FJS44" s="31"/>
      <c r="FJT44" s="30"/>
      <c r="FJU44" s="31"/>
      <c r="FJV44" s="30"/>
      <c r="FJW44" s="31"/>
      <c r="FJX44" s="30"/>
      <c r="FJY44" s="31"/>
      <c r="FJZ44" s="30"/>
      <c r="FKA44" s="31"/>
      <c r="FKB44" s="30"/>
      <c r="FKC44" s="31"/>
      <c r="FKD44" s="30"/>
      <c r="FKE44" s="31"/>
      <c r="FKF44" s="30"/>
      <c r="FKG44" s="31"/>
      <c r="FKH44" s="30"/>
      <c r="FKI44" s="31"/>
      <c r="FKJ44" s="30"/>
      <c r="FKK44" s="31"/>
      <c r="FKL44" s="30"/>
      <c r="FKM44" s="31"/>
      <c r="FKN44" s="30"/>
      <c r="FKO44" s="31"/>
      <c r="FKP44" s="30"/>
      <c r="FKQ44" s="31"/>
      <c r="FKR44" s="30"/>
      <c r="FKS44" s="31"/>
      <c r="FKT44" s="30"/>
      <c r="FKU44" s="31"/>
      <c r="FKV44" s="30"/>
      <c r="FKW44" s="31"/>
      <c r="FKX44" s="30"/>
      <c r="FKY44" s="31"/>
      <c r="FKZ44" s="30"/>
      <c r="FLA44" s="31"/>
      <c r="FLB44" s="30"/>
      <c r="FLC44" s="31"/>
      <c r="FLD44" s="30"/>
      <c r="FLE44" s="31"/>
      <c r="FLF44" s="30"/>
      <c r="FLG44" s="31"/>
      <c r="FLH44" s="30"/>
      <c r="FLI44" s="31"/>
      <c r="FLJ44" s="30"/>
      <c r="FLK44" s="31"/>
      <c r="FLL44" s="30"/>
      <c r="FLM44" s="31"/>
      <c r="FLN44" s="30"/>
      <c r="FLO44" s="31"/>
      <c r="FLP44" s="30"/>
      <c r="FLQ44" s="31"/>
      <c r="FLR44" s="30"/>
      <c r="FLS44" s="31"/>
      <c r="FLT44" s="30"/>
      <c r="FLU44" s="31"/>
      <c r="FLV44" s="30"/>
      <c r="FLW44" s="31"/>
      <c r="FLX44" s="30"/>
      <c r="FLY44" s="31"/>
      <c r="FLZ44" s="30"/>
      <c r="FMA44" s="31"/>
      <c r="FMB44" s="30"/>
      <c r="FMC44" s="31"/>
      <c r="FMD44" s="30"/>
      <c r="FME44" s="31"/>
      <c r="FMF44" s="30"/>
      <c r="FMG44" s="31"/>
      <c r="FMH44" s="30"/>
      <c r="FMI44" s="31"/>
      <c r="FMJ44" s="30"/>
      <c r="FMK44" s="31"/>
      <c r="FML44" s="30"/>
      <c r="FMM44" s="31"/>
      <c r="FMN44" s="30"/>
      <c r="FMO44" s="31"/>
      <c r="FMP44" s="30"/>
      <c r="FMQ44" s="31"/>
      <c r="FMR44" s="30"/>
      <c r="FMS44" s="31"/>
      <c r="FMT44" s="30"/>
      <c r="FMU44" s="31"/>
      <c r="FMV44" s="30"/>
      <c r="FMW44" s="31"/>
      <c r="FMX44" s="30"/>
      <c r="FMY44" s="31"/>
      <c r="FMZ44" s="30"/>
      <c r="FNA44" s="31"/>
      <c r="FNB44" s="30"/>
      <c r="FNC44" s="31"/>
      <c r="FND44" s="30"/>
      <c r="FNE44" s="31"/>
      <c r="FNF44" s="30"/>
      <c r="FNG44" s="31"/>
      <c r="FNH44" s="30"/>
      <c r="FNI44" s="31"/>
      <c r="FNJ44" s="30"/>
      <c r="FNK44" s="31"/>
      <c r="FNL44" s="30"/>
      <c r="FNM44" s="31"/>
      <c r="FNN44" s="30"/>
      <c r="FNO44" s="31"/>
      <c r="FNP44" s="30"/>
      <c r="FNQ44" s="31"/>
      <c r="FNR44" s="30"/>
      <c r="FNS44" s="31"/>
      <c r="FNT44" s="30"/>
      <c r="FNU44" s="31"/>
      <c r="FNV44" s="30"/>
      <c r="FNW44" s="31"/>
      <c r="FNX44" s="30"/>
      <c r="FNY44" s="31"/>
      <c r="FNZ44" s="30"/>
      <c r="FOA44" s="31"/>
      <c r="FOB44" s="30"/>
      <c r="FOC44" s="31"/>
      <c r="FOD44" s="30"/>
      <c r="FOE44" s="31"/>
      <c r="FOF44" s="30"/>
      <c r="FOG44" s="31"/>
      <c r="FOH44" s="30"/>
      <c r="FOI44" s="31"/>
      <c r="FOJ44" s="30"/>
      <c r="FOK44" s="31"/>
      <c r="FOL44" s="30"/>
      <c r="FOM44" s="31"/>
      <c r="FON44" s="30"/>
      <c r="FOO44" s="31"/>
      <c r="FOP44" s="30"/>
      <c r="FOQ44" s="31"/>
      <c r="FOR44" s="30"/>
      <c r="FOS44" s="31"/>
      <c r="FOT44" s="30"/>
      <c r="FOU44" s="31"/>
      <c r="FOV44" s="30"/>
      <c r="FOW44" s="31"/>
      <c r="FOX44" s="30"/>
      <c r="FOY44" s="31"/>
      <c r="FOZ44" s="30"/>
      <c r="FPA44" s="31"/>
      <c r="FPB44" s="30"/>
      <c r="FPC44" s="31"/>
      <c r="FPD44" s="30"/>
      <c r="FPE44" s="31"/>
      <c r="FPF44" s="30"/>
      <c r="FPG44" s="31"/>
      <c r="FPH44" s="30"/>
      <c r="FPI44" s="31"/>
      <c r="FPJ44" s="30"/>
      <c r="FPK44" s="31"/>
      <c r="FPL44" s="30"/>
      <c r="FPM44" s="31"/>
      <c r="FPN44" s="30"/>
      <c r="FPO44" s="31"/>
      <c r="FPP44" s="30"/>
      <c r="FPQ44" s="31"/>
      <c r="FPR44" s="30"/>
      <c r="FPS44" s="31"/>
      <c r="FPT44" s="30"/>
      <c r="FPU44" s="31"/>
      <c r="FPV44" s="30"/>
      <c r="FPW44" s="31"/>
      <c r="FPX44" s="30"/>
      <c r="FPY44" s="31"/>
      <c r="FPZ44" s="30"/>
      <c r="FQA44" s="31"/>
      <c r="FQB44" s="30"/>
      <c r="FQC44" s="31"/>
      <c r="FQD44" s="30"/>
      <c r="FQE44" s="31"/>
      <c r="FQF44" s="30"/>
      <c r="FQG44" s="31"/>
      <c r="FQH44" s="30"/>
      <c r="FQI44" s="31"/>
      <c r="FQJ44" s="30"/>
      <c r="FQK44" s="31"/>
      <c r="FQL44" s="30"/>
      <c r="FQM44" s="31"/>
      <c r="FQN44" s="30"/>
      <c r="FQO44" s="31"/>
      <c r="FQP44" s="30"/>
      <c r="FQQ44" s="31"/>
      <c r="FQR44" s="30"/>
      <c r="FQS44" s="31"/>
      <c r="FQT44" s="30"/>
      <c r="FQU44" s="31"/>
      <c r="FQV44" s="30"/>
      <c r="FQW44" s="31"/>
      <c r="FQX44" s="30"/>
      <c r="FQY44" s="31"/>
      <c r="FQZ44" s="30"/>
      <c r="FRA44" s="31"/>
      <c r="FRB44" s="30"/>
      <c r="FRC44" s="31"/>
      <c r="FRD44" s="30"/>
      <c r="FRE44" s="31"/>
      <c r="FRF44" s="30"/>
      <c r="FRG44" s="31"/>
      <c r="FRH44" s="30"/>
      <c r="FRI44" s="31"/>
      <c r="FRJ44" s="30"/>
      <c r="FRK44" s="31"/>
      <c r="FRL44" s="30"/>
      <c r="FRM44" s="31"/>
      <c r="FRN44" s="30"/>
      <c r="FRO44" s="31"/>
      <c r="FRP44" s="30"/>
      <c r="FRQ44" s="31"/>
      <c r="FRR44" s="30"/>
      <c r="FRS44" s="31"/>
      <c r="FRT44" s="30"/>
      <c r="FRU44" s="31"/>
      <c r="FRV44" s="30"/>
      <c r="FRW44" s="31"/>
      <c r="FRX44" s="30"/>
      <c r="FRY44" s="31"/>
      <c r="FRZ44" s="30"/>
      <c r="FSA44" s="31"/>
      <c r="FSB44" s="30"/>
      <c r="FSC44" s="31"/>
      <c r="FSD44" s="30"/>
      <c r="FSE44" s="31"/>
      <c r="FSF44" s="30"/>
      <c r="FSG44" s="31"/>
      <c r="FSH44" s="30"/>
      <c r="FSI44" s="31"/>
      <c r="FSJ44" s="30"/>
      <c r="FSK44" s="31"/>
      <c r="FSL44" s="30"/>
      <c r="FSM44" s="31"/>
      <c r="FSN44" s="30"/>
      <c r="FSO44" s="31"/>
      <c r="FSP44" s="30"/>
      <c r="FSQ44" s="31"/>
      <c r="FSR44" s="30"/>
      <c r="FSS44" s="31"/>
      <c r="FST44" s="30"/>
      <c r="FSU44" s="31"/>
      <c r="FSV44" s="30"/>
      <c r="FSW44" s="31"/>
      <c r="FSX44" s="30"/>
      <c r="FSY44" s="31"/>
      <c r="FSZ44" s="30"/>
      <c r="FTA44" s="31"/>
      <c r="FTB44" s="30"/>
      <c r="FTC44" s="31"/>
      <c r="FTD44" s="30"/>
      <c r="FTE44" s="31"/>
      <c r="FTF44" s="30"/>
      <c r="FTG44" s="31"/>
      <c r="FTH44" s="30"/>
      <c r="FTI44" s="31"/>
      <c r="FTJ44" s="30"/>
      <c r="FTK44" s="31"/>
      <c r="FTL44" s="30"/>
      <c r="FTM44" s="31"/>
      <c r="FTN44" s="30"/>
      <c r="FTO44" s="31"/>
      <c r="FTP44" s="30"/>
      <c r="FTQ44" s="31"/>
      <c r="FTR44" s="30"/>
      <c r="FTS44" s="31"/>
      <c r="FTT44" s="30"/>
      <c r="FTU44" s="31"/>
      <c r="FTV44" s="30"/>
      <c r="FTW44" s="31"/>
      <c r="FTX44" s="30"/>
      <c r="FTY44" s="31"/>
      <c r="FTZ44" s="30"/>
      <c r="FUA44" s="31"/>
      <c r="FUB44" s="30"/>
      <c r="FUC44" s="31"/>
      <c r="FUD44" s="30"/>
      <c r="FUE44" s="31"/>
      <c r="FUF44" s="30"/>
      <c r="FUG44" s="31"/>
      <c r="FUH44" s="30"/>
      <c r="FUI44" s="31"/>
      <c r="FUJ44" s="30"/>
      <c r="FUK44" s="31"/>
      <c r="FUL44" s="30"/>
      <c r="FUM44" s="31"/>
      <c r="FUN44" s="30"/>
      <c r="FUO44" s="31"/>
      <c r="FUP44" s="30"/>
      <c r="FUQ44" s="31"/>
      <c r="FUR44" s="30"/>
      <c r="FUS44" s="31"/>
      <c r="FUT44" s="30"/>
      <c r="FUU44" s="31"/>
      <c r="FUV44" s="30"/>
      <c r="FUW44" s="31"/>
      <c r="FUX44" s="30"/>
      <c r="FUY44" s="31"/>
      <c r="FUZ44" s="30"/>
      <c r="FVA44" s="31"/>
      <c r="FVB44" s="30"/>
      <c r="FVC44" s="31"/>
      <c r="FVD44" s="30"/>
      <c r="FVE44" s="31"/>
      <c r="FVF44" s="30"/>
      <c r="FVG44" s="31"/>
      <c r="FVH44" s="30"/>
      <c r="FVI44" s="31"/>
      <c r="FVJ44" s="30"/>
      <c r="FVK44" s="31"/>
      <c r="FVL44" s="30"/>
      <c r="FVM44" s="31"/>
      <c r="FVN44" s="30"/>
      <c r="FVO44" s="31"/>
      <c r="FVP44" s="30"/>
      <c r="FVQ44" s="31"/>
      <c r="FVR44" s="30"/>
      <c r="FVS44" s="31"/>
      <c r="FVT44" s="30"/>
      <c r="FVU44" s="31"/>
      <c r="FVV44" s="30"/>
      <c r="FVW44" s="31"/>
      <c r="FVX44" s="30"/>
      <c r="FVY44" s="31"/>
      <c r="FVZ44" s="30"/>
      <c r="FWA44" s="31"/>
      <c r="FWB44" s="30"/>
      <c r="FWC44" s="31"/>
      <c r="FWD44" s="30"/>
      <c r="FWE44" s="31"/>
      <c r="FWF44" s="30"/>
      <c r="FWG44" s="31"/>
      <c r="FWH44" s="30"/>
      <c r="FWI44" s="31"/>
      <c r="FWJ44" s="30"/>
      <c r="FWK44" s="31"/>
      <c r="FWL44" s="30"/>
      <c r="FWM44" s="31"/>
      <c r="FWN44" s="30"/>
      <c r="FWO44" s="31"/>
      <c r="FWP44" s="30"/>
      <c r="FWQ44" s="31"/>
      <c r="FWR44" s="30"/>
      <c r="FWS44" s="31"/>
      <c r="FWT44" s="30"/>
      <c r="FWU44" s="31"/>
      <c r="FWV44" s="30"/>
      <c r="FWW44" s="31"/>
      <c r="FWX44" s="30"/>
      <c r="FWY44" s="31"/>
      <c r="FWZ44" s="30"/>
      <c r="FXA44" s="31"/>
      <c r="FXB44" s="30"/>
      <c r="FXC44" s="31"/>
      <c r="FXD44" s="30"/>
      <c r="FXE44" s="31"/>
      <c r="FXF44" s="30"/>
      <c r="FXG44" s="31"/>
      <c r="FXH44" s="30"/>
      <c r="FXI44" s="31"/>
      <c r="FXJ44" s="30"/>
      <c r="FXK44" s="31"/>
      <c r="FXL44" s="30"/>
      <c r="FXM44" s="31"/>
      <c r="FXN44" s="30"/>
      <c r="FXO44" s="31"/>
      <c r="FXP44" s="30"/>
      <c r="FXQ44" s="31"/>
      <c r="FXR44" s="30"/>
      <c r="FXS44" s="31"/>
      <c r="FXT44" s="30"/>
      <c r="FXU44" s="31"/>
      <c r="FXV44" s="30"/>
      <c r="FXW44" s="31"/>
      <c r="FXX44" s="30"/>
      <c r="FXY44" s="31"/>
      <c r="FXZ44" s="30"/>
      <c r="FYA44" s="31"/>
      <c r="FYB44" s="30"/>
      <c r="FYC44" s="31"/>
      <c r="FYD44" s="30"/>
      <c r="FYE44" s="31"/>
      <c r="FYF44" s="30"/>
      <c r="FYG44" s="31"/>
      <c r="FYH44" s="30"/>
      <c r="FYI44" s="31"/>
      <c r="FYJ44" s="30"/>
      <c r="FYK44" s="31"/>
      <c r="FYL44" s="30"/>
      <c r="FYM44" s="31"/>
      <c r="FYN44" s="30"/>
      <c r="FYO44" s="31"/>
      <c r="FYP44" s="30"/>
      <c r="FYQ44" s="31"/>
      <c r="FYR44" s="30"/>
      <c r="FYS44" s="31"/>
      <c r="FYT44" s="30"/>
      <c r="FYU44" s="31"/>
      <c r="FYV44" s="30"/>
      <c r="FYW44" s="31"/>
      <c r="FYX44" s="30"/>
      <c r="FYY44" s="31"/>
      <c r="FYZ44" s="30"/>
      <c r="FZA44" s="31"/>
      <c r="FZB44" s="30"/>
      <c r="FZC44" s="31"/>
      <c r="FZD44" s="30"/>
      <c r="FZE44" s="31"/>
      <c r="FZF44" s="30"/>
      <c r="FZG44" s="31"/>
      <c r="FZH44" s="30"/>
      <c r="FZI44" s="31"/>
      <c r="FZJ44" s="30"/>
      <c r="FZK44" s="31"/>
      <c r="FZL44" s="30"/>
      <c r="FZM44" s="31"/>
      <c r="FZN44" s="30"/>
      <c r="FZO44" s="31"/>
      <c r="FZP44" s="30"/>
      <c r="FZQ44" s="31"/>
      <c r="FZR44" s="30"/>
      <c r="FZS44" s="31"/>
      <c r="FZT44" s="30"/>
      <c r="FZU44" s="31"/>
      <c r="FZV44" s="30"/>
      <c r="FZW44" s="31"/>
      <c r="FZX44" s="30"/>
      <c r="FZY44" s="31"/>
      <c r="FZZ44" s="30"/>
      <c r="GAA44" s="31"/>
      <c r="GAB44" s="30"/>
      <c r="GAC44" s="31"/>
      <c r="GAD44" s="30"/>
      <c r="GAE44" s="31"/>
      <c r="GAF44" s="30"/>
      <c r="GAG44" s="31"/>
      <c r="GAH44" s="30"/>
      <c r="GAI44" s="31"/>
      <c r="GAJ44" s="30"/>
      <c r="GAK44" s="31"/>
      <c r="GAL44" s="30"/>
      <c r="GAM44" s="31"/>
      <c r="GAN44" s="30"/>
      <c r="GAO44" s="31"/>
      <c r="GAP44" s="30"/>
      <c r="GAQ44" s="31"/>
      <c r="GAR44" s="30"/>
      <c r="GAS44" s="31"/>
      <c r="GAT44" s="30"/>
      <c r="GAU44" s="31"/>
      <c r="GAV44" s="30"/>
      <c r="GAW44" s="31"/>
      <c r="GAX44" s="30"/>
      <c r="GAY44" s="31"/>
      <c r="GAZ44" s="30"/>
      <c r="GBA44" s="31"/>
      <c r="GBB44" s="30"/>
      <c r="GBC44" s="31"/>
      <c r="GBD44" s="30"/>
      <c r="GBE44" s="31"/>
      <c r="GBF44" s="30"/>
      <c r="GBG44" s="31"/>
      <c r="GBH44" s="30"/>
      <c r="GBI44" s="31"/>
      <c r="GBJ44" s="30"/>
      <c r="GBK44" s="31"/>
      <c r="GBL44" s="30"/>
      <c r="GBM44" s="31"/>
      <c r="GBN44" s="30"/>
      <c r="GBO44" s="31"/>
      <c r="GBP44" s="30"/>
      <c r="GBQ44" s="31"/>
      <c r="GBR44" s="30"/>
      <c r="GBS44" s="31"/>
      <c r="GBT44" s="30"/>
      <c r="GBU44" s="31"/>
      <c r="GBV44" s="30"/>
      <c r="GBW44" s="31"/>
      <c r="GBX44" s="30"/>
      <c r="GBY44" s="31"/>
      <c r="GBZ44" s="30"/>
      <c r="GCA44" s="31"/>
      <c r="GCB44" s="30"/>
      <c r="GCC44" s="31"/>
      <c r="GCD44" s="30"/>
      <c r="GCE44" s="31"/>
      <c r="GCF44" s="30"/>
      <c r="GCG44" s="31"/>
      <c r="GCH44" s="30"/>
      <c r="GCI44" s="31"/>
      <c r="GCJ44" s="30"/>
      <c r="GCK44" s="31"/>
      <c r="GCL44" s="30"/>
      <c r="GCM44" s="31"/>
      <c r="GCN44" s="30"/>
      <c r="GCO44" s="31"/>
      <c r="GCP44" s="30"/>
      <c r="GCQ44" s="31"/>
      <c r="GCR44" s="30"/>
      <c r="GCS44" s="31"/>
      <c r="GCT44" s="30"/>
      <c r="GCU44" s="31"/>
      <c r="GCV44" s="30"/>
      <c r="GCW44" s="31"/>
      <c r="GCX44" s="30"/>
      <c r="GCY44" s="31"/>
      <c r="GCZ44" s="30"/>
      <c r="GDA44" s="31"/>
      <c r="GDB44" s="30"/>
      <c r="GDC44" s="31"/>
      <c r="GDD44" s="30"/>
      <c r="GDE44" s="31"/>
      <c r="GDF44" s="30"/>
      <c r="GDG44" s="31"/>
      <c r="GDH44" s="30"/>
      <c r="GDI44" s="31"/>
      <c r="GDJ44" s="30"/>
      <c r="GDK44" s="31"/>
      <c r="GDL44" s="30"/>
      <c r="GDM44" s="31"/>
      <c r="GDN44" s="30"/>
      <c r="GDO44" s="31"/>
      <c r="GDP44" s="30"/>
      <c r="GDQ44" s="31"/>
      <c r="GDR44" s="30"/>
      <c r="GDS44" s="31"/>
      <c r="GDT44" s="30"/>
      <c r="GDU44" s="31"/>
      <c r="GDV44" s="30"/>
      <c r="GDW44" s="31"/>
      <c r="GDX44" s="30"/>
      <c r="GDY44" s="31"/>
      <c r="GDZ44" s="30"/>
      <c r="GEA44" s="31"/>
      <c r="GEB44" s="30"/>
      <c r="GEC44" s="31"/>
      <c r="GED44" s="30"/>
      <c r="GEE44" s="31"/>
      <c r="GEF44" s="30"/>
      <c r="GEG44" s="31"/>
      <c r="GEH44" s="30"/>
      <c r="GEI44" s="31"/>
      <c r="GEJ44" s="30"/>
      <c r="GEK44" s="31"/>
      <c r="GEL44" s="30"/>
      <c r="GEM44" s="31"/>
      <c r="GEN44" s="30"/>
      <c r="GEO44" s="31"/>
      <c r="GEP44" s="30"/>
      <c r="GEQ44" s="31"/>
      <c r="GER44" s="30"/>
      <c r="GES44" s="31"/>
      <c r="GET44" s="30"/>
      <c r="GEU44" s="31"/>
      <c r="GEV44" s="30"/>
      <c r="GEW44" s="31"/>
      <c r="GEX44" s="30"/>
      <c r="GEY44" s="31"/>
      <c r="GEZ44" s="30"/>
      <c r="GFA44" s="31"/>
      <c r="GFB44" s="30"/>
      <c r="GFC44" s="31"/>
      <c r="GFD44" s="30"/>
      <c r="GFE44" s="31"/>
      <c r="GFF44" s="30"/>
      <c r="GFG44" s="31"/>
      <c r="GFH44" s="30"/>
      <c r="GFI44" s="31"/>
      <c r="GFJ44" s="30"/>
      <c r="GFK44" s="31"/>
      <c r="GFL44" s="30"/>
      <c r="GFM44" s="31"/>
      <c r="GFN44" s="30"/>
      <c r="GFO44" s="31"/>
      <c r="GFP44" s="30"/>
      <c r="GFQ44" s="31"/>
      <c r="GFR44" s="30"/>
      <c r="GFS44" s="31"/>
      <c r="GFT44" s="30"/>
      <c r="GFU44" s="31"/>
      <c r="GFV44" s="30"/>
      <c r="GFW44" s="31"/>
      <c r="GFX44" s="30"/>
      <c r="GFY44" s="31"/>
      <c r="GFZ44" s="30"/>
      <c r="GGA44" s="31"/>
      <c r="GGB44" s="30"/>
      <c r="GGC44" s="31"/>
      <c r="GGD44" s="30"/>
      <c r="GGE44" s="31"/>
      <c r="GGF44" s="30"/>
      <c r="GGG44" s="31"/>
      <c r="GGH44" s="30"/>
      <c r="GGI44" s="31"/>
      <c r="GGJ44" s="30"/>
      <c r="GGK44" s="31"/>
      <c r="GGL44" s="30"/>
      <c r="GGM44" s="31"/>
      <c r="GGN44" s="30"/>
      <c r="GGO44" s="31"/>
      <c r="GGP44" s="30"/>
      <c r="GGQ44" s="31"/>
      <c r="GGR44" s="30"/>
      <c r="GGS44" s="31"/>
      <c r="GGT44" s="30"/>
      <c r="GGU44" s="31"/>
      <c r="GGV44" s="30"/>
      <c r="GGW44" s="31"/>
      <c r="GGX44" s="30"/>
      <c r="GGY44" s="31"/>
      <c r="GGZ44" s="30"/>
      <c r="GHA44" s="31"/>
      <c r="GHB44" s="30"/>
      <c r="GHC44" s="31"/>
      <c r="GHD44" s="30"/>
      <c r="GHE44" s="31"/>
      <c r="GHF44" s="30"/>
      <c r="GHG44" s="31"/>
      <c r="GHH44" s="30"/>
      <c r="GHI44" s="31"/>
      <c r="GHJ44" s="30"/>
      <c r="GHK44" s="31"/>
      <c r="GHL44" s="30"/>
      <c r="GHM44" s="31"/>
      <c r="GHN44" s="30"/>
      <c r="GHO44" s="31"/>
      <c r="GHP44" s="30"/>
      <c r="GHQ44" s="31"/>
      <c r="GHR44" s="30"/>
      <c r="GHS44" s="31"/>
      <c r="GHT44" s="30"/>
      <c r="GHU44" s="31"/>
      <c r="GHV44" s="30"/>
      <c r="GHW44" s="31"/>
      <c r="GHX44" s="30"/>
      <c r="GHY44" s="31"/>
      <c r="GHZ44" s="30"/>
      <c r="GIA44" s="31"/>
      <c r="GIB44" s="30"/>
      <c r="GIC44" s="31"/>
      <c r="GID44" s="30"/>
      <c r="GIE44" s="31"/>
      <c r="GIF44" s="30"/>
      <c r="GIG44" s="31"/>
      <c r="GIH44" s="30"/>
      <c r="GII44" s="31"/>
      <c r="GIJ44" s="30"/>
      <c r="GIK44" s="31"/>
      <c r="GIL44" s="30"/>
      <c r="GIM44" s="31"/>
      <c r="GIN44" s="30"/>
      <c r="GIO44" s="31"/>
      <c r="GIP44" s="30"/>
      <c r="GIQ44" s="31"/>
      <c r="GIR44" s="30"/>
      <c r="GIS44" s="31"/>
      <c r="GIT44" s="30"/>
      <c r="GIU44" s="31"/>
      <c r="GIV44" s="30"/>
      <c r="GIW44" s="31"/>
      <c r="GIX44" s="30"/>
      <c r="GIY44" s="31"/>
      <c r="GIZ44" s="30"/>
      <c r="GJA44" s="31"/>
      <c r="GJB44" s="30"/>
      <c r="GJC44" s="31"/>
      <c r="GJD44" s="30"/>
      <c r="GJE44" s="31"/>
      <c r="GJF44" s="30"/>
      <c r="GJG44" s="31"/>
      <c r="GJH44" s="30"/>
      <c r="GJI44" s="31"/>
      <c r="GJJ44" s="30"/>
      <c r="GJK44" s="31"/>
      <c r="GJL44" s="30"/>
      <c r="GJM44" s="31"/>
      <c r="GJN44" s="30"/>
      <c r="GJO44" s="31"/>
      <c r="GJP44" s="30"/>
      <c r="GJQ44" s="31"/>
      <c r="GJR44" s="30"/>
      <c r="GJS44" s="31"/>
      <c r="GJT44" s="30"/>
      <c r="GJU44" s="31"/>
      <c r="GJV44" s="30"/>
      <c r="GJW44" s="31"/>
      <c r="GJX44" s="30"/>
      <c r="GJY44" s="31"/>
      <c r="GJZ44" s="30"/>
      <c r="GKA44" s="31"/>
      <c r="GKB44" s="30"/>
      <c r="GKC44" s="31"/>
      <c r="GKD44" s="30"/>
      <c r="GKE44" s="31"/>
      <c r="GKF44" s="30"/>
      <c r="GKG44" s="31"/>
      <c r="GKH44" s="30"/>
      <c r="GKI44" s="31"/>
      <c r="GKJ44" s="30"/>
      <c r="GKK44" s="31"/>
      <c r="GKL44" s="30"/>
      <c r="GKM44" s="31"/>
      <c r="GKN44" s="30"/>
      <c r="GKO44" s="31"/>
      <c r="GKP44" s="30"/>
      <c r="GKQ44" s="31"/>
      <c r="GKR44" s="30"/>
      <c r="GKS44" s="31"/>
      <c r="GKT44" s="30"/>
      <c r="GKU44" s="31"/>
      <c r="GKV44" s="30"/>
      <c r="GKW44" s="31"/>
      <c r="GKX44" s="30"/>
      <c r="GKY44" s="31"/>
      <c r="GKZ44" s="30"/>
      <c r="GLA44" s="31"/>
      <c r="GLB44" s="30"/>
      <c r="GLC44" s="31"/>
      <c r="GLD44" s="30"/>
      <c r="GLE44" s="31"/>
      <c r="GLF44" s="30"/>
      <c r="GLG44" s="31"/>
      <c r="GLH44" s="30"/>
      <c r="GLI44" s="31"/>
      <c r="GLJ44" s="30"/>
      <c r="GLK44" s="31"/>
      <c r="GLL44" s="30"/>
      <c r="GLM44" s="31"/>
      <c r="GLN44" s="30"/>
      <c r="GLO44" s="31"/>
      <c r="GLP44" s="30"/>
      <c r="GLQ44" s="31"/>
      <c r="GLR44" s="30"/>
      <c r="GLS44" s="31"/>
      <c r="GLT44" s="30"/>
      <c r="GLU44" s="31"/>
      <c r="GLV44" s="30"/>
      <c r="GLW44" s="31"/>
      <c r="GLX44" s="30"/>
      <c r="GLY44" s="31"/>
      <c r="GLZ44" s="30"/>
      <c r="GMA44" s="31"/>
      <c r="GMB44" s="30"/>
      <c r="GMC44" s="31"/>
      <c r="GMD44" s="30"/>
      <c r="GME44" s="31"/>
      <c r="GMF44" s="30"/>
      <c r="GMG44" s="31"/>
      <c r="GMH44" s="30"/>
      <c r="GMI44" s="31"/>
      <c r="GMJ44" s="30"/>
      <c r="GMK44" s="31"/>
      <c r="GML44" s="30"/>
      <c r="GMM44" s="31"/>
      <c r="GMN44" s="30"/>
      <c r="GMO44" s="31"/>
      <c r="GMP44" s="30"/>
      <c r="GMQ44" s="31"/>
      <c r="GMR44" s="30"/>
      <c r="GMS44" s="31"/>
      <c r="GMT44" s="30"/>
      <c r="GMU44" s="31"/>
      <c r="GMV44" s="30"/>
      <c r="GMW44" s="31"/>
      <c r="GMX44" s="30"/>
      <c r="GMY44" s="31"/>
      <c r="GMZ44" s="30"/>
      <c r="GNA44" s="31"/>
      <c r="GNB44" s="30"/>
      <c r="GNC44" s="31"/>
      <c r="GND44" s="30"/>
      <c r="GNE44" s="31"/>
      <c r="GNF44" s="30"/>
      <c r="GNG44" s="31"/>
      <c r="GNH44" s="30"/>
      <c r="GNI44" s="31"/>
      <c r="GNJ44" s="30"/>
      <c r="GNK44" s="31"/>
      <c r="GNL44" s="30"/>
      <c r="GNM44" s="31"/>
      <c r="GNN44" s="30"/>
      <c r="GNO44" s="31"/>
      <c r="GNP44" s="30"/>
      <c r="GNQ44" s="31"/>
      <c r="GNR44" s="30"/>
      <c r="GNS44" s="31"/>
      <c r="GNT44" s="30"/>
      <c r="GNU44" s="31"/>
      <c r="GNV44" s="30"/>
      <c r="GNW44" s="31"/>
      <c r="GNX44" s="30"/>
      <c r="GNY44" s="31"/>
      <c r="GNZ44" s="30"/>
      <c r="GOA44" s="31"/>
      <c r="GOB44" s="30"/>
      <c r="GOC44" s="31"/>
      <c r="GOD44" s="30"/>
      <c r="GOE44" s="31"/>
      <c r="GOF44" s="30"/>
      <c r="GOG44" s="31"/>
      <c r="GOH44" s="30"/>
      <c r="GOI44" s="31"/>
      <c r="GOJ44" s="30"/>
      <c r="GOK44" s="31"/>
      <c r="GOL44" s="30"/>
      <c r="GOM44" s="31"/>
      <c r="GON44" s="30"/>
      <c r="GOO44" s="31"/>
      <c r="GOP44" s="30"/>
      <c r="GOQ44" s="31"/>
      <c r="GOR44" s="30"/>
      <c r="GOS44" s="31"/>
      <c r="GOT44" s="30"/>
      <c r="GOU44" s="31"/>
      <c r="GOV44" s="30"/>
      <c r="GOW44" s="31"/>
      <c r="GOX44" s="30"/>
      <c r="GOY44" s="31"/>
      <c r="GOZ44" s="30"/>
      <c r="GPA44" s="31"/>
      <c r="GPB44" s="30"/>
      <c r="GPC44" s="31"/>
      <c r="GPD44" s="30"/>
      <c r="GPE44" s="31"/>
      <c r="GPF44" s="30"/>
      <c r="GPG44" s="31"/>
      <c r="GPH44" s="30"/>
      <c r="GPI44" s="31"/>
      <c r="GPJ44" s="30"/>
      <c r="GPK44" s="31"/>
      <c r="GPL44" s="30"/>
      <c r="GPM44" s="31"/>
      <c r="GPN44" s="30"/>
      <c r="GPO44" s="31"/>
      <c r="GPP44" s="30"/>
      <c r="GPQ44" s="31"/>
      <c r="GPR44" s="30"/>
      <c r="GPS44" s="31"/>
      <c r="GPT44" s="30"/>
      <c r="GPU44" s="31"/>
      <c r="GPV44" s="30"/>
      <c r="GPW44" s="31"/>
      <c r="GPX44" s="30"/>
      <c r="GPY44" s="31"/>
      <c r="GPZ44" s="30"/>
      <c r="GQA44" s="31"/>
      <c r="GQB44" s="30"/>
      <c r="GQC44" s="31"/>
      <c r="GQD44" s="30"/>
      <c r="GQE44" s="31"/>
      <c r="GQF44" s="30"/>
      <c r="GQG44" s="31"/>
      <c r="GQH44" s="30"/>
      <c r="GQI44" s="31"/>
      <c r="GQJ44" s="30"/>
      <c r="GQK44" s="31"/>
      <c r="GQL44" s="30"/>
      <c r="GQM44" s="31"/>
      <c r="GQN44" s="30"/>
      <c r="GQO44" s="31"/>
      <c r="GQP44" s="30"/>
      <c r="GQQ44" s="31"/>
      <c r="GQR44" s="30"/>
      <c r="GQS44" s="31"/>
      <c r="GQT44" s="30"/>
      <c r="GQU44" s="31"/>
      <c r="GQV44" s="30"/>
      <c r="GQW44" s="31"/>
      <c r="GQX44" s="30"/>
      <c r="GQY44" s="31"/>
      <c r="GQZ44" s="30"/>
      <c r="GRA44" s="31"/>
      <c r="GRB44" s="30"/>
      <c r="GRC44" s="31"/>
      <c r="GRD44" s="30"/>
      <c r="GRE44" s="31"/>
      <c r="GRF44" s="30"/>
      <c r="GRG44" s="31"/>
      <c r="GRH44" s="30"/>
      <c r="GRI44" s="31"/>
      <c r="GRJ44" s="30"/>
      <c r="GRK44" s="31"/>
      <c r="GRL44" s="30"/>
      <c r="GRM44" s="31"/>
      <c r="GRN44" s="30"/>
      <c r="GRO44" s="31"/>
      <c r="GRP44" s="30"/>
      <c r="GRQ44" s="31"/>
      <c r="GRR44" s="30"/>
      <c r="GRS44" s="31"/>
      <c r="GRT44" s="30"/>
      <c r="GRU44" s="31"/>
      <c r="GRV44" s="30"/>
      <c r="GRW44" s="31"/>
      <c r="GRX44" s="30"/>
      <c r="GRY44" s="31"/>
      <c r="GRZ44" s="30"/>
      <c r="GSA44" s="31"/>
      <c r="GSB44" s="30"/>
      <c r="GSC44" s="31"/>
      <c r="GSD44" s="30"/>
      <c r="GSE44" s="31"/>
      <c r="GSF44" s="30"/>
      <c r="GSG44" s="31"/>
      <c r="GSH44" s="30"/>
      <c r="GSI44" s="31"/>
      <c r="GSJ44" s="30"/>
      <c r="GSK44" s="31"/>
      <c r="GSL44" s="30"/>
      <c r="GSM44" s="31"/>
      <c r="GSN44" s="30"/>
      <c r="GSO44" s="31"/>
      <c r="GSP44" s="30"/>
      <c r="GSQ44" s="31"/>
      <c r="GSR44" s="30"/>
      <c r="GSS44" s="31"/>
      <c r="GST44" s="30"/>
      <c r="GSU44" s="31"/>
      <c r="GSV44" s="30"/>
      <c r="GSW44" s="31"/>
      <c r="GSX44" s="30"/>
      <c r="GSY44" s="31"/>
      <c r="GSZ44" s="30"/>
      <c r="GTA44" s="31"/>
      <c r="GTB44" s="30"/>
      <c r="GTC44" s="31"/>
      <c r="GTD44" s="30"/>
      <c r="GTE44" s="31"/>
      <c r="GTF44" s="30"/>
      <c r="GTG44" s="31"/>
      <c r="GTH44" s="30"/>
      <c r="GTI44" s="31"/>
      <c r="GTJ44" s="30"/>
      <c r="GTK44" s="31"/>
      <c r="GTL44" s="30"/>
      <c r="GTM44" s="31"/>
      <c r="GTN44" s="30"/>
      <c r="GTO44" s="31"/>
      <c r="GTP44" s="30"/>
      <c r="GTQ44" s="31"/>
      <c r="GTR44" s="30"/>
      <c r="GTS44" s="31"/>
      <c r="GTT44" s="30"/>
      <c r="GTU44" s="31"/>
      <c r="GTV44" s="30"/>
      <c r="GTW44" s="31"/>
      <c r="GTX44" s="30"/>
      <c r="GTY44" s="31"/>
      <c r="GTZ44" s="30"/>
      <c r="GUA44" s="31"/>
      <c r="GUB44" s="30"/>
      <c r="GUC44" s="31"/>
      <c r="GUD44" s="30"/>
      <c r="GUE44" s="31"/>
      <c r="GUF44" s="30"/>
      <c r="GUG44" s="31"/>
      <c r="GUH44" s="30"/>
      <c r="GUI44" s="31"/>
      <c r="GUJ44" s="30"/>
      <c r="GUK44" s="31"/>
      <c r="GUL44" s="30"/>
      <c r="GUM44" s="31"/>
      <c r="GUN44" s="30"/>
      <c r="GUO44" s="31"/>
      <c r="GUP44" s="30"/>
      <c r="GUQ44" s="31"/>
      <c r="GUR44" s="30"/>
      <c r="GUS44" s="31"/>
      <c r="GUT44" s="30"/>
      <c r="GUU44" s="31"/>
      <c r="GUV44" s="30"/>
      <c r="GUW44" s="31"/>
      <c r="GUX44" s="30"/>
      <c r="GUY44" s="31"/>
      <c r="GUZ44" s="30"/>
      <c r="GVA44" s="31"/>
      <c r="GVB44" s="30"/>
      <c r="GVC44" s="31"/>
      <c r="GVD44" s="30"/>
      <c r="GVE44" s="31"/>
      <c r="GVF44" s="30"/>
      <c r="GVG44" s="31"/>
      <c r="GVH44" s="30"/>
      <c r="GVI44" s="31"/>
      <c r="GVJ44" s="30"/>
      <c r="GVK44" s="31"/>
      <c r="GVL44" s="30"/>
      <c r="GVM44" s="31"/>
      <c r="GVN44" s="30"/>
      <c r="GVO44" s="31"/>
      <c r="GVP44" s="30"/>
      <c r="GVQ44" s="31"/>
      <c r="GVR44" s="30"/>
      <c r="GVS44" s="31"/>
      <c r="GVT44" s="30"/>
      <c r="GVU44" s="31"/>
      <c r="GVV44" s="30"/>
      <c r="GVW44" s="31"/>
      <c r="GVX44" s="30"/>
      <c r="GVY44" s="31"/>
      <c r="GVZ44" s="30"/>
      <c r="GWA44" s="31"/>
      <c r="GWB44" s="30"/>
      <c r="GWC44" s="31"/>
      <c r="GWD44" s="30"/>
      <c r="GWE44" s="31"/>
      <c r="GWF44" s="30"/>
      <c r="GWG44" s="31"/>
      <c r="GWH44" s="30"/>
      <c r="GWI44" s="31"/>
      <c r="GWJ44" s="30"/>
      <c r="GWK44" s="31"/>
      <c r="GWL44" s="30"/>
      <c r="GWM44" s="31"/>
      <c r="GWN44" s="30"/>
      <c r="GWO44" s="31"/>
      <c r="GWP44" s="30"/>
      <c r="GWQ44" s="31"/>
      <c r="GWR44" s="30"/>
      <c r="GWS44" s="31"/>
      <c r="GWT44" s="30"/>
      <c r="GWU44" s="31"/>
      <c r="GWV44" s="30"/>
      <c r="GWW44" s="31"/>
      <c r="GWX44" s="30"/>
      <c r="GWY44" s="31"/>
      <c r="GWZ44" s="30"/>
      <c r="GXA44" s="31"/>
      <c r="GXB44" s="30"/>
      <c r="GXC44" s="31"/>
      <c r="GXD44" s="30"/>
      <c r="GXE44" s="31"/>
      <c r="GXF44" s="30"/>
      <c r="GXG44" s="31"/>
      <c r="GXH44" s="30"/>
      <c r="GXI44" s="31"/>
      <c r="GXJ44" s="30"/>
      <c r="GXK44" s="31"/>
      <c r="GXL44" s="30"/>
      <c r="GXM44" s="31"/>
      <c r="GXN44" s="30"/>
      <c r="GXO44" s="31"/>
      <c r="GXP44" s="30"/>
      <c r="GXQ44" s="31"/>
      <c r="GXR44" s="30"/>
      <c r="GXS44" s="31"/>
      <c r="GXT44" s="30"/>
      <c r="GXU44" s="31"/>
      <c r="GXV44" s="30"/>
      <c r="GXW44" s="31"/>
      <c r="GXX44" s="30"/>
      <c r="GXY44" s="31"/>
      <c r="GXZ44" s="30"/>
      <c r="GYA44" s="31"/>
      <c r="GYB44" s="30"/>
      <c r="GYC44" s="31"/>
      <c r="GYD44" s="30"/>
      <c r="GYE44" s="31"/>
      <c r="GYF44" s="30"/>
      <c r="GYG44" s="31"/>
      <c r="GYH44" s="30"/>
      <c r="GYI44" s="31"/>
      <c r="GYJ44" s="30"/>
      <c r="GYK44" s="31"/>
      <c r="GYL44" s="30"/>
      <c r="GYM44" s="31"/>
      <c r="GYN44" s="30"/>
      <c r="GYO44" s="31"/>
      <c r="GYP44" s="30"/>
      <c r="GYQ44" s="31"/>
      <c r="GYR44" s="30"/>
      <c r="GYS44" s="31"/>
      <c r="GYT44" s="30"/>
      <c r="GYU44" s="31"/>
      <c r="GYV44" s="30"/>
      <c r="GYW44" s="31"/>
      <c r="GYX44" s="30"/>
      <c r="GYY44" s="31"/>
      <c r="GYZ44" s="30"/>
      <c r="GZA44" s="31"/>
      <c r="GZB44" s="30"/>
      <c r="GZC44" s="31"/>
      <c r="GZD44" s="30"/>
      <c r="GZE44" s="31"/>
      <c r="GZF44" s="30"/>
      <c r="GZG44" s="31"/>
      <c r="GZH44" s="30"/>
      <c r="GZI44" s="31"/>
      <c r="GZJ44" s="30"/>
      <c r="GZK44" s="31"/>
      <c r="GZL44" s="30"/>
      <c r="GZM44" s="31"/>
      <c r="GZN44" s="30"/>
      <c r="GZO44" s="31"/>
      <c r="GZP44" s="30"/>
      <c r="GZQ44" s="31"/>
      <c r="GZR44" s="30"/>
      <c r="GZS44" s="31"/>
      <c r="GZT44" s="30"/>
      <c r="GZU44" s="31"/>
      <c r="GZV44" s="30"/>
      <c r="GZW44" s="31"/>
      <c r="GZX44" s="30"/>
      <c r="GZY44" s="31"/>
      <c r="GZZ44" s="30"/>
      <c r="HAA44" s="31"/>
      <c r="HAB44" s="30"/>
      <c r="HAC44" s="31"/>
      <c r="HAD44" s="30"/>
      <c r="HAE44" s="31"/>
      <c r="HAF44" s="30"/>
      <c r="HAG44" s="31"/>
      <c r="HAH44" s="30"/>
      <c r="HAI44" s="31"/>
      <c r="HAJ44" s="30"/>
      <c r="HAK44" s="31"/>
      <c r="HAL44" s="30"/>
      <c r="HAM44" s="31"/>
      <c r="HAN44" s="30"/>
      <c r="HAO44" s="31"/>
      <c r="HAP44" s="30"/>
      <c r="HAQ44" s="31"/>
      <c r="HAR44" s="30"/>
      <c r="HAS44" s="31"/>
      <c r="HAT44" s="30"/>
      <c r="HAU44" s="31"/>
      <c r="HAV44" s="30"/>
      <c r="HAW44" s="31"/>
      <c r="HAX44" s="30"/>
      <c r="HAY44" s="31"/>
      <c r="HAZ44" s="30"/>
      <c r="HBA44" s="31"/>
      <c r="HBB44" s="30"/>
      <c r="HBC44" s="31"/>
      <c r="HBD44" s="30"/>
      <c r="HBE44" s="31"/>
      <c r="HBF44" s="30"/>
      <c r="HBG44" s="31"/>
      <c r="HBH44" s="30"/>
      <c r="HBI44" s="31"/>
      <c r="HBJ44" s="30"/>
      <c r="HBK44" s="31"/>
      <c r="HBL44" s="30"/>
      <c r="HBM44" s="31"/>
      <c r="HBN44" s="30"/>
      <c r="HBO44" s="31"/>
      <c r="HBP44" s="30"/>
      <c r="HBQ44" s="31"/>
      <c r="HBR44" s="30"/>
      <c r="HBS44" s="31"/>
      <c r="HBT44" s="30"/>
      <c r="HBU44" s="31"/>
      <c r="HBV44" s="30"/>
      <c r="HBW44" s="31"/>
      <c r="HBX44" s="30"/>
      <c r="HBY44" s="31"/>
      <c r="HBZ44" s="30"/>
      <c r="HCA44" s="31"/>
      <c r="HCB44" s="30"/>
      <c r="HCC44" s="31"/>
      <c r="HCD44" s="30"/>
      <c r="HCE44" s="31"/>
      <c r="HCF44" s="30"/>
      <c r="HCG44" s="31"/>
      <c r="HCH44" s="30"/>
      <c r="HCI44" s="31"/>
      <c r="HCJ44" s="30"/>
      <c r="HCK44" s="31"/>
      <c r="HCL44" s="30"/>
      <c r="HCM44" s="31"/>
      <c r="HCN44" s="30"/>
      <c r="HCO44" s="31"/>
      <c r="HCP44" s="30"/>
      <c r="HCQ44" s="31"/>
      <c r="HCR44" s="30"/>
      <c r="HCS44" s="31"/>
      <c r="HCT44" s="30"/>
      <c r="HCU44" s="31"/>
      <c r="HCV44" s="30"/>
      <c r="HCW44" s="31"/>
      <c r="HCX44" s="30"/>
      <c r="HCY44" s="31"/>
      <c r="HCZ44" s="30"/>
      <c r="HDA44" s="31"/>
      <c r="HDB44" s="30"/>
      <c r="HDC44" s="31"/>
      <c r="HDD44" s="30"/>
      <c r="HDE44" s="31"/>
      <c r="HDF44" s="30"/>
      <c r="HDG44" s="31"/>
      <c r="HDH44" s="30"/>
      <c r="HDI44" s="31"/>
      <c r="HDJ44" s="30"/>
      <c r="HDK44" s="31"/>
      <c r="HDL44" s="30"/>
      <c r="HDM44" s="31"/>
      <c r="HDN44" s="30"/>
      <c r="HDO44" s="31"/>
      <c r="HDP44" s="30"/>
      <c r="HDQ44" s="31"/>
      <c r="HDR44" s="30"/>
      <c r="HDS44" s="31"/>
      <c r="HDT44" s="30"/>
      <c r="HDU44" s="31"/>
      <c r="HDV44" s="30"/>
      <c r="HDW44" s="31"/>
      <c r="HDX44" s="30"/>
      <c r="HDY44" s="31"/>
      <c r="HDZ44" s="30"/>
      <c r="HEA44" s="31"/>
      <c r="HEB44" s="30"/>
      <c r="HEC44" s="31"/>
      <c r="HED44" s="30"/>
      <c r="HEE44" s="31"/>
      <c r="HEF44" s="30"/>
      <c r="HEG44" s="31"/>
      <c r="HEH44" s="30"/>
      <c r="HEI44" s="31"/>
      <c r="HEJ44" s="30"/>
      <c r="HEK44" s="31"/>
      <c r="HEL44" s="30"/>
      <c r="HEM44" s="31"/>
      <c r="HEN44" s="30"/>
      <c r="HEO44" s="31"/>
      <c r="HEP44" s="30"/>
      <c r="HEQ44" s="31"/>
      <c r="HER44" s="30"/>
      <c r="HES44" s="31"/>
      <c r="HET44" s="30"/>
      <c r="HEU44" s="31"/>
      <c r="HEV44" s="30"/>
      <c r="HEW44" s="31"/>
      <c r="HEX44" s="30"/>
      <c r="HEY44" s="31"/>
      <c r="HEZ44" s="30"/>
      <c r="HFA44" s="31"/>
      <c r="HFB44" s="30"/>
      <c r="HFC44" s="31"/>
      <c r="HFD44" s="30"/>
      <c r="HFE44" s="31"/>
      <c r="HFF44" s="30"/>
      <c r="HFG44" s="31"/>
      <c r="HFH44" s="30"/>
      <c r="HFI44" s="31"/>
      <c r="HFJ44" s="30"/>
      <c r="HFK44" s="31"/>
      <c r="HFL44" s="30"/>
      <c r="HFM44" s="31"/>
      <c r="HFN44" s="30"/>
      <c r="HFO44" s="31"/>
      <c r="HFP44" s="30"/>
      <c r="HFQ44" s="31"/>
      <c r="HFR44" s="30"/>
      <c r="HFS44" s="31"/>
      <c r="HFT44" s="30"/>
      <c r="HFU44" s="31"/>
      <c r="HFV44" s="30"/>
      <c r="HFW44" s="31"/>
      <c r="HFX44" s="30"/>
      <c r="HFY44" s="31"/>
      <c r="HFZ44" s="30"/>
      <c r="HGA44" s="31"/>
      <c r="HGB44" s="30"/>
      <c r="HGC44" s="31"/>
      <c r="HGD44" s="30"/>
      <c r="HGE44" s="31"/>
      <c r="HGF44" s="30"/>
      <c r="HGG44" s="31"/>
      <c r="HGH44" s="30"/>
      <c r="HGI44" s="31"/>
      <c r="HGJ44" s="30"/>
      <c r="HGK44" s="31"/>
      <c r="HGL44" s="30"/>
      <c r="HGM44" s="31"/>
      <c r="HGN44" s="30"/>
      <c r="HGO44" s="31"/>
      <c r="HGP44" s="30"/>
      <c r="HGQ44" s="31"/>
      <c r="HGR44" s="30"/>
      <c r="HGS44" s="31"/>
      <c r="HGT44" s="30"/>
      <c r="HGU44" s="31"/>
      <c r="HGV44" s="30"/>
      <c r="HGW44" s="31"/>
      <c r="HGX44" s="30"/>
      <c r="HGY44" s="31"/>
      <c r="HGZ44" s="30"/>
      <c r="HHA44" s="31"/>
      <c r="HHB44" s="30"/>
      <c r="HHC44" s="31"/>
      <c r="HHD44" s="30"/>
      <c r="HHE44" s="31"/>
      <c r="HHF44" s="30"/>
      <c r="HHG44" s="31"/>
      <c r="HHH44" s="30"/>
      <c r="HHI44" s="31"/>
      <c r="HHJ44" s="30"/>
      <c r="HHK44" s="31"/>
      <c r="HHL44" s="30"/>
      <c r="HHM44" s="31"/>
      <c r="HHN44" s="30"/>
      <c r="HHO44" s="31"/>
      <c r="HHP44" s="30"/>
      <c r="HHQ44" s="31"/>
      <c r="HHR44" s="30"/>
      <c r="HHS44" s="31"/>
      <c r="HHT44" s="30"/>
      <c r="HHU44" s="31"/>
      <c r="HHV44" s="30"/>
      <c r="HHW44" s="31"/>
      <c r="HHX44" s="30"/>
      <c r="HHY44" s="31"/>
      <c r="HHZ44" s="30"/>
      <c r="HIA44" s="31"/>
      <c r="HIB44" s="30"/>
      <c r="HIC44" s="31"/>
      <c r="HID44" s="30"/>
      <c r="HIE44" s="31"/>
      <c r="HIF44" s="30"/>
      <c r="HIG44" s="31"/>
      <c r="HIH44" s="30"/>
      <c r="HII44" s="31"/>
      <c r="HIJ44" s="30"/>
      <c r="HIK44" s="31"/>
      <c r="HIL44" s="30"/>
      <c r="HIM44" s="31"/>
      <c r="HIN44" s="30"/>
      <c r="HIO44" s="31"/>
      <c r="HIP44" s="30"/>
      <c r="HIQ44" s="31"/>
      <c r="HIR44" s="30"/>
      <c r="HIS44" s="31"/>
      <c r="HIT44" s="30"/>
      <c r="HIU44" s="31"/>
      <c r="HIV44" s="30"/>
      <c r="HIW44" s="31"/>
      <c r="HIX44" s="30"/>
      <c r="HIY44" s="31"/>
      <c r="HIZ44" s="30"/>
      <c r="HJA44" s="31"/>
      <c r="HJB44" s="30"/>
      <c r="HJC44" s="31"/>
      <c r="HJD44" s="30"/>
      <c r="HJE44" s="31"/>
      <c r="HJF44" s="30"/>
      <c r="HJG44" s="31"/>
      <c r="HJH44" s="30"/>
      <c r="HJI44" s="31"/>
      <c r="HJJ44" s="30"/>
      <c r="HJK44" s="31"/>
      <c r="HJL44" s="30"/>
      <c r="HJM44" s="31"/>
      <c r="HJN44" s="30"/>
      <c r="HJO44" s="31"/>
      <c r="HJP44" s="30"/>
      <c r="HJQ44" s="31"/>
      <c r="HJR44" s="30"/>
      <c r="HJS44" s="31"/>
      <c r="HJT44" s="30"/>
      <c r="HJU44" s="31"/>
      <c r="HJV44" s="30"/>
      <c r="HJW44" s="31"/>
      <c r="HJX44" s="30"/>
      <c r="HJY44" s="31"/>
      <c r="HJZ44" s="30"/>
      <c r="HKA44" s="31"/>
      <c r="HKB44" s="30"/>
      <c r="HKC44" s="31"/>
      <c r="HKD44" s="30"/>
      <c r="HKE44" s="31"/>
      <c r="HKF44" s="30"/>
      <c r="HKG44" s="31"/>
      <c r="HKH44" s="30"/>
      <c r="HKI44" s="31"/>
      <c r="HKJ44" s="30"/>
      <c r="HKK44" s="31"/>
      <c r="HKL44" s="30"/>
      <c r="HKM44" s="31"/>
      <c r="HKN44" s="30"/>
      <c r="HKO44" s="31"/>
      <c r="HKP44" s="30"/>
      <c r="HKQ44" s="31"/>
      <c r="HKR44" s="30"/>
      <c r="HKS44" s="31"/>
      <c r="HKT44" s="30"/>
      <c r="HKU44" s="31"/>
      <c r="HKV44" s="30"/>
      <c r="HKW44" s="31"/>
      <c r="HKX44" s="30"/>
      <c r="HKY44" s="31"/>
      <c r="HKZ44" s="30"/>
      <c r="HLA44" s="31"/>
      <c r="HLB44" s="30"/>
      <c r="HLC44" s="31"/>
      <c r="HLD44" s="30"/>
      <c r="HLE44" s="31"/>
      <c r="HLF44" s="30"/>
      <c r="HLG44" s="31"/>
      <c r="HLH44" s="30"/>
      <c r="HLI44" s="31"/>
      <c r="HLJ44" s="30"/>
      <c r="HLK44" s="31"/>
      <c r="HLL44" s="30"/>
      <c r="HLM44" s="31"/>
      <c r="HLN44" s="30"/>
      <c r="HLO44" s="31"/>
      <c r="HLP44" s="30"/>
      <c r="HLQ44" s="31"/>
      <c r="HLR44" s="30"/>
      <c r="HLS44" s="31"/>
      <c r="HLT44" s="30"/>
      <c r="HLU44" s="31"/>
      <c r="HLV44" s="30"/>
      <c r="HLW44" s="31"/>
      <c r="HLX44" s="30"/>
      <c r="HLY44" s="31"/>
      <c r="HLZ44" s="30"/>
      <c r="HMA44" s="31"/>
      <c r="HMB44" s="30"/>
      <c r="HMC44" s="31"/>
      <c r="HMD44" s="30"/>
      <c r="HME44" s="31"/>
      <c r="HMF44" s="30"/>
      <c r="HMG44" s="31"/>
      <c r="HMH44" s="30"/>
      <c r="HMI44" s="31"/>
      <c r="HMJ44" s="30"/>
      <c r="HMK44" s="31"/>
      <c r="HML44" s="30"/>
      <c r="HMM44" s="31"/>
      <c r="HMN44" s="30"/>
      <c r="HMO44" s="31"/>
      <c r="HMP44" s="30"/>
      <c r="HMQ44" s="31"/>
      <c r="HMR44" s="30"/>
      <c r="HMS44" s="31"/>
      <c r="HMT44" s="30"/>
      <c r="HMU44" s="31"/>
      <c r="HMV44" s="30"/>
      <c r="HMW44" s="31"/>
      <c r="HMX44" s="30"/>
      <c r="HMY44" s="31"/>
      <c r="HMZ44" s="30"/>
      <c r="HNA44" s="31"/>
      <c r="HNB44" s="30"/>
      <c r="HNC44" s="31"/>
      <c r="HND44" s="30"/>
      <c r="HNE44" s="31"/>
      <c r="HNF44" s="30"/>
      <c r="HNG44" s="31"/>
      <c r="HNH44" s="30"/>
      <c r="HNI44" s="31"/>
      <c r="HNJ44" s="30"/>
      <c r="HNK44" s="31"/>
      <c r="HNL44" s="30"/>
      <c r="HNM44" s="31"/>
      <c r="HNN44" s="30"/>
      <c r="HNO44" s="31"/>
      <c r="HNP44" s="30"/>
      <c r="HNQ44" s="31"/>
      <c r="HNR44" s="30"/>
      <c r="HNS44" s="31"/>
      <c r="HNT44" s="30"/>
      <c r="HNU44" s="31"/>
      <c r="HNV44" s="30"/>
      <c r="HNW44" s="31"/>
      <c r="HNX44" s="30"/>
      <c r="HNY44" s="31"/>
      <c r="HNZ44" s="30"/>
      <c r="HOA44" s="31"/>
      <c r="HOB44" s="30"/>
      <c r="HOC44" s="31"/>
      <c r="HOD44" s="30"/>
      <c r="HOE44" s="31"/>
      <c r="HOF44" s="30"/>
      <c r="HOG44" s="31"/>
      <c r="HOH44" s="30"/>
      <c r="HOI44" s="31"/>
      <c r="HOJ44" s="30"/>
      <c r="HOK44" s="31"/>
      <c r="HOL44" s="30"/>
      <c r="HOM44" s="31"/>
      <c r="HON44" s="30"/>
      <c r="HOO44" s="31"/>
      <c r="HOP44" s="30"/>
      <c r="HOQ44" s="31"/>
      <c r="HOR44" s="30"/>
      <c r="HOS44" s="31"/>
      <c r="HOT44" s="30"/>
      <c r="HOU44" s="31"/>
      <c r="HOV44" s="30"/>
      <c r="HOW44" s="31"/>
      <c r="HOX44" s="30"/>
      <c r="HOY44" s="31"/>
      <c r="HOZ44" s="30"/>
      <c r="HPA44" s="31"/>
      <c r="HPB44" s="30"/>
      <c r="HPC44" s="31"/>
      <c r="HPD44" s="30"/>
      <c r="HPE44" s="31"/>
      <c r="HPF44" s="30"/>
      <c r="HPG44" s="31"/>
      <c r="HPH44" s="30"/>
      <c r="HPI44" s="31"/>
      <c r="HPJ44" s="30"/>
      <c r="HPK44" s="31"/>
      <c r="HPL44" s="30"/>
      <c r="HPM44" s="31"/>
      <c r="HPN44" s="30"/>
      <c r="HPO44" s="31"/>
      <c r="HPP44" s="30"/>
      <c r="HPQ44" s="31"/>
      <c r="HPR44" s="30"/>
      <c r="HPS44" s="31"/>
      <c r="HPT44" s="30"/>
      <c r="HPU44" s="31"/>
      <c r="HPV44" s="30"/>
      <c r="HPW44" s="31"/>
      <c r="HPX44" s="30"/>
      <c r="HPY44" s="31"/>
      <c r="HPZ44" s="30"/>
      <c r="HQA44" s="31"/>
      <c r="HQB44" s="30"/>
      <c r="HQC44" s="31"/>
      <c r="HQD44" s="30"/>
      <c r="HQE44" s="31"/>
      <c r="HQF44" s="30"/>
      <c r="HQG44" s="31"/>
      <c r="HQH44" s="30"/>
      <c r="HQI44" s="31"/>
      <c r="HQJ44" s="30"/>
      <c r="HQK44" s="31"/>
      <c r="HQL44" s="30"/>
      <c r="HQM44" s="31"/>
      <c r="HQN44" s="30"/>
      <c r="HQO44" s="31"/>
      <c r="HQP44" s="30"/>
      <c r="HQQ44" s="31"/>
      <c r="HQR44" s="30"/>
      <c r="HQS44" s="31"/>
      <c r="HQT44" s="30"/>
      <c r="HQU44" s="31"/>
      <c r="HQV44" s="30"/>
      <c r="HQW44" s="31"/>
      <c r="HQX44" s="30"/>
      <c r="HQY44" s="31"/>
      <c r="HQZ44" s="30"/>
      <c r="HRA44" s="31"/>
      <c r="HRB44" s="30"/>
      <c r="HRC44" s="31"/>
      <c r="HRD44" s="30"/>
      <c r="HRE44" s="31"/>
      <c r="HRF44" s="30"/>
      <c r="HRG44" s="31"/>
      <c r="HRH44" s="30"/>
      <c r="HRI44" s="31"/>
      <c r="HRJ44" s="30"/>
      <c r="HRK44" s="31"/>
      <c r="HRL44" s="30"/>
      <c r="HRM44" s="31"/>
      <c r="HRN44" s="30"/>
      <c r="HRO44" s="31"/>
      <c r="HRP44" s="30"/>
      <c r="HRQ44" s="31"/>
      <c r="HRR44" s="30"/>
      <c r="HRS44" s="31"/>
      <c r="HRT44" s="30"/>
      <c r="HRU44" s="31"/>
      <c r="HRV44" s="30"/>
      <c r="HRW44" s="31"/>
      <c r="HRX44" s="30"/>
      <c r="HRY44" s="31"/>
      <c r="HRZ44" s="30"/>
      <c r="HSA44" s="31"/>
      <c r="HSB44" s="30"/>
      <c r="HSC44" s="31"/>
      <c r="HSD44" s="30"/>
      <c r="HSE44" s="31"/>
      <c r="HSF44" s="30"/>
      <c r="HSG44" s="31"/>
      <c r="HSH44" s="30"/>
      <c r="HSI44" s="31"/>
      <c r="HSJ44" s="30"/>
      <c r="HSK44" s="31"/>
      <c r="HSL44" s="30"/>
      <c r="HSM44" s="31"/>
      <c r="HSN44" s="30"/>
      <c r="HSO44" s="31"/>
      <c r="HSP44" s="30"/>
      <c r="HSQ44" s="31"/>
      <c r="HSR44" s="30"/>
      <c r="HSS44" s="31"/>
      <c r="HST44" s="30"/>
      <c r="HSU44" s="31"/>
      <c r="HSV44" s="30"/>
      <c r="HSW44" s="31"/>
      <c r="HSX44" s="30"/>
      <c r="HSY44" s="31"/>
      <c r="HSZ44" s="30"/>
      <c r="HTA44" s="31"/>
      <c r="HTB44" s="30"/>
      <c r="HTC44" s="31"/>
      <c r="HTD44" s="30"/>
      <c r="HTE44" s="31"/>
      <c r="HTF44" s="30"/>
      <c r="HTG44" s="31"/>
      <c r="HTH44" s="30"/>
      <c r="HTI44" s="31"/>
      <c r="HTJ44" s="30"/>
      <c r="HTK44" s="31"/>
      <c r="HTL44" s="30"/>
      <c r="HTM44" s="31"/>
      <c r="HTN44" s="30"/>
      <c r="HTO44" s="31"/>
      <c r="HTP44" s="30"/>
      <c r="HTQ44" s="31"/>
      <c r="HTR44" s="30"/>
      <c r="HTS44" s="31"/>
      <c r="HTT44" s="30"/>
      <c r="HTU44" s="31"/>
      <c r="HTV44" s="30"/>
      <c r="HTW44" s="31"/>
      <c r="HTX44" s="30"/>
      <c r="HTY44" s="31"/>
      <c r="HTZ44" s="30"/>
      <c r="HUA44" s="31"/>
      <c r="HUB44" s="30"/>
      <c r="HUC44" s="31"/>
      <c r="HUD44" s="30"/>
      <c r="HUE44" s="31"/>
      <c r="HUF44" s="30"/>
      <c r="HUG44" s="31"/>
      <c r="HUH44" s="30"/>
      <c r="HUI44" s="31"/>
      <c r="HUJ44" s="30"/>
      <c r="HUK44" s="31"/>
      <c r="HUL44" s="30"/>
      <c r="HUM44" s="31"/>
      <c r="HUN44" s="30"/>
      <c r="HUO44" s="31"/>
      <c r="HUP44" s="30"/>
      <c r="HUQ44" s="31"/>
      <c r="HUR44" s="30"/>
      <c r="HUS44" s="31"/>
      <c r="HUT44" s="30"/>
      <c r="HUU44" s="31"/>
      <c r="HUV44" s="30"/>
      <c r="HUW44" s="31"/>
      <c r="HUX44" s="30"/>
      <c r="HUY44" s="31"/>
      <c r="HUZ44" s="30"/>
      <c r="HVA44" s="31"/>
      <c r="HVB44" s="30"/>
      <c r="HVC44" s="31"/>
      <c r="HVD44" s="30"/>
      <c r="HVE44" s="31"/>
      <c r="HVF44" s="30"/>
      <c r="HVG44" s="31"/>
      <c r="HVH44" s="30"/>
      <c r="HVI44" s="31"/>
      <c r="HVJ44" s="30"/>
      <c r="HVK44" s="31"/>
      <c r="HVL44" s="30"/>
      <c r="HVM44" s="31"/>
      <c r="HVN44" s="30"/>
      <c r="HVO44" s="31"/>
      <c r="HVP44" s="30"/>
      <c r="HVQ44" s="31"/>
      <c r="HVR44" s="30"/>
      <c r="HVS44" s="31"/>
      <c r="HVT44" s="30"/>
      <c r="HVU44" s="31"/>
      <c r="HVV44" s="30"/>
      <c r="HVW44" s="31"/>
      <c r="HVX44" s="30"/>
      <c r="HVY44" s="31"/>
      <c r="HVZ44" s="30"/>
      <c r="HWA44" s="31"/>
      <c r="HWB44" s="30"/>
      <c r="HWC44" s="31"/>
      <c r="HWD44" s="30"/>
      <c r="HWE44" s="31"/>
      <c r="HWF44" s="30"/>
      <c r="HWG44" s="31"/>
      <c r="HWH44" s="30"/>
      <c r="HWI44" s="31"/>
      <c r="HWJ44" s="30"/>
      <c r="HWK44" s="31"/>
      <c r="HWL44" s="30"/>
      <c r="HWM44" s="31"/>
      <c r="HWN44" s="30"/>
      <c r="HWO44" s="31"/>
      <c r="HWP44" s="30"/>
      <c r="HWQ44" s="31"/>
      <c r="HWR44" s="30"/>
      <c r="HWS44" s="31"/>
      <c r="HWT44" s="30"/>
      <c r="HWU44" s="31"/>
      <c r="HWV44" s="30"/>
      <c r="HWW44" s="31"/>
      <c r="HWX44" s="30"/>
      <c r="HWY44" s="31"/>
      <c r="HWZ44" s="30"/>
      <c r="HXA44" s="31"/>
      <c r="HXB44" s="30"/>
      <c r="HXC44" s="31"/>
      <c r="HXD44" s="30"/>
      <c r="HXE44" s="31"/>
      <c r="HXF44" s="30"/>
      <c r="HXG44" s="31"/>
      <c r="HXH44" s="30"/>
      <c r="HXI44" s="31"/>
      <c r="HXJ44" s="30"/>
      <c r="HXK44" s="31"/>
      <c r="HXL44" s="30"/>
      <c r="HXM44" s="31"/>
      <c r="HXN44" s="30"/>
      <c r="HXO44" s="31"/>
      <c r="HXP44" s="30"/>
      <c r="HXQ44" s="31"/>
      <c r="HXR44" s="30"/>
      <c r="HXS44" s="31"/>
      <c r="HXT44" s="30"/>
      <c r="HXU44" s="31"/>
      <c r="HXV44" s="30"/>
      <c r="HXW44" s="31"/>
      <c r="HXX44" s="30"/>
      <c r="HXY44" s="31"/>
      <c r="HXZ44" s="30"/>
      <c r="HYA44" s="31"/>
      <c r="HYB44" s="30"/>
      <c r="HYC44" s="31"/>
      <c r="HYD44" s="30"/>
      <c r="HYE44" s="31"/>
      <c r="HYF44" s="30"/>
      <c r="HYG44" s="31"/>
      <c r="HYH44" s="30"/>
      <c r="HYI44" s="31"/>
      <c r="HYJ44" s="30"/>
      <c r="HYK44" s="31"/>
      <c r="HYL44" s="30"/>
      <c r="HYM44" s="31"/>
      <c r="HYN44" s="30"/>
      <c r="HYO44" s="31"/>
      <c r="HYP44" s="30"/>
      <c r="HYQ44" s="31"/>
      <c r="HYR44" s="30"/>
      <c r="HYS44" s="31"/>
      <c r="HYT44" s="30"/>
      <c r="HYU44" s="31"/>
      <c r="HYV44" s="30"/>
      <c r="HYW44" s="31"/>
      <c r="HYX44" s="30"/>
      <c r="HYY44" s="31"/>
      <c r="HYZ44" s="30"/>
      <c r="HZA44" s="31"/>
      <c r="HZB44" s="30"/>
      <c r="HZC44" s="31"/>
      <c r="HZD44" s="30"/>
      <c r="HZE44" s="31"/>
      <c r="HZF44" s="30"/>
      <c r="HZG44" s="31"/>
      <c r="HZH44" s="30"/>
      <c r="HZI44" s="31"/>
      <c r="HZJ44" s="30"/>
      <c r="HZK44" s="31"/>
      <c r="HZL44" s="30"/>
      <c r="HZM44" s="31"/>
      <c r="HZN44" s="30"/>
      <c r="HZO44" s="31"/>
      <c r="HZP44" s="30"/>
      <c r="HZQ44" s="31"/>
      <c r="HZR44" s="30"/>
      <c r="HZS44" s="31"/>
      <c r="HZT44" s="30"/>
      <c r="HZU44" s="31"/>
      <c r="HZV44" s="30"/>
      <c r="HZW44" s="31"/>
      <c r="HZX44" s="30"/>
      <c r="HZY44" s="31"/>
      <c r="HZZ44" s="30"/>
      <c r="IAA44" s="31"/>
      <c r="IAB44" s="30"/>
      <c r="IAC44" s="31"/>
      <c r="IAD44" s="30"/>
      <c r="IAE44" s="31"/>
      <c r="IAF44" s="30"/>
      <c r="IAG44" s="31"/>
      <c r="IAH44" s="30"/>
      <c r="IAI44" s="31"/>
      <c r="IAJ44" s="30"/>
      <c r="IAK44" s="31"/>
      <c r="IAL44" s="30"/>
      <c r="IAM44" s="31"/>
      <c r="IAN44" s="30"/>
      <c r="IAO44" s="31"/>
      <c r="IAP44" s="30"/>
      <c r="IAQ44" s="31"/>
      <c r="IAR44" s="30"/>
      <c r="IAS44" s="31"/>
      <c r="IAT44" s="30"/>
      <c r="IAU44" s="31"/>
      <c r="IAV44" s="30"/>
      <c r="IAW44" s="31"/>
      <c r="IAX44" s="30"/>
      <c r="IAY44" s="31"/>
      <c r="IAZ44" s="30"/>
      <c r="IBA44" s="31"/>
      <c r="IBB44" s="30"/>
      <c r="IBC44" s="31"/>
      <c r="IBD44" s="30"/>
      <c r="IBE44" s="31"/>
      <c r="IBF44" s="30"/>
      <c r="IBG44" s="31"/>
      <c r="IBH44" s="30"/>
      <c r="IBI44" s="31"/>
      <c r="IBJ44" s="30"/>
      <c r="IBK44" s="31"/>
      <c r="IBL44" s="30"/>
      <c r="IBM44" s="31"/>
      <c r="IBN44" s="30"/>
      <c r="IBO44" s="31"/>
      <c r="IBP44" s="30"/>
      <c r="IBQ44" s="31"/>
      <c r="IBR44" s="30"/>
      <c r="IBS44" s="31"/>
      <c r="IBT44" s="30"/>
      <c r="IBU44" s="31"/>
      <c r="IBV44" s="30"/>
      <c r="IBW44" s="31"/>
      <c r="IBX44" s="30"/>
      <c r="IBY44" s="31"/>
      <c r="IBZ44" s="30"/>
      <c r="ICA44" s="31"/>
      <c r="ICB44" s="30"/>
      <c r="ICC44" s="31"/>
      <c r="ICD44" s="30"/>
      <c r="ICE44" s="31"/>
      <c r="ICF44" s="30"/>
      <c r="ICG44" s="31"/>
      <c r="ICH44" s="30"/>
      <c r="ICI44" s="31"/>
      <c r="ICJ44" s="30"/>
      <c r="ICK44" s="31"/>
      <c r="ICL44" s="30"/>
      <c r="ICM44" s="31"/>
      <c r="ICN44" s="30"/>
      <c r="ICO44" s="31"/>
      <c r="ICP44" s="30"/>
      <c r="ICQ44" s="31"/>
      <c r="ICR44" s="30"/>
      <c r="ICS44" s="31"/>
      <c r="ICT44" s="30"/>
      <c r="ICU44" s="31"/>
      <c r="ICV44" s="30"/>
      <c r="ICW44" s="31"/>
      <c r="ICX44" s="30"/>
      <c r="ICY44" s="31"/>
      <c r="ICZ44" s="30"/>
      <c r="IDA44" s="31"/>
      <c r="IDB44" s="30"/>
      <c r="IDC44" s="31"/>
      <c r="IDD44" s="30"/>
      <c r="IDE44" s="31"/>
      <c r="IDF44" s="30"/>
      <c r="IDG44" s="31"/>
      <c r="IDH44" s="30"/>
      <c r="IDI44" s="31"/>
      <c r="IDJ44" s="30"/>
      <c r="IDK44" s="31"/>
      <c r="IDL44" s="30"/>
      <c r="IDM44" s="31"/>
      <c r="IDN44" s="30"/>
      <c r="IDO44" s="31"/>
      <c r="IDP44" s="30"/>
      <c r="IDQ44" s="31"/>
      <c r="IDR44" s="30"/>
      <c r="IDS44" s="31"/>
      <c r="IDT44" s="30"/>
      <c r="IDU44" s="31"/>
      <c r="IDV44" s="30"/>
      <c r="IDW44" s="31"/>
      <c r="IDX44" s="30"/>
      <c r="IDY44" s="31"/>
      <c r="IDZ44" s="30"/>
      <c r="IEA44" s="31"/>
      <c r="IEB44" s="30"/>
      <c r="IEC44" s="31"/>
      <c r="IED44" s="30"/>
      <c r="IEE44" s="31"/>
      <c r="IEF44" s="30"/>
      <c r="IEG44" s="31"/>
      <c r="IEH44" s="30"/>
      <c r="IEI44" s="31"/>
      <c r="IEJ44" s="30"/>
      <c r="IEK44" s="31"/>
      <c r="IEL44" s="30"/>
      <c r="IEM44" s="31"/>
      <c r="IEN44" s="30"/>
      <c r="IEO44" s="31"/>
      <c r="IEP44" s="30"/>
      <c r="IEQ44" s="31"/>
      <c r="IER44" s="30"/>
      <c r="IES44" s="31"/>
      <c r="IET44" s="30"/>
      <c r="IEU44" s="31"/>
      <c r="IEV44" s="30"/>
      <c r="IEW44" s="31"/>
      <c r="IEX44" s="30"/>
      <c r="IEY44" s="31"/>
      <c r="IEZ44" s="30"/>
      <c r="IFA44" s="31"/>
      <c r="IFB44" s="30"/>
      <c r="IFC44" s="31"/>
      <c r="IFD44" s="30"/>
      <c r="IFE44" s="31"/>
      <c r="IFF44" s="30"/>
      <c r="IFG44" s="31"/>
      <c r="IFH44" s="30"/>
      <c r="IFI44" s="31"/>
      <c r="IFJ44" s="30"/>
      <c r="IFK44" s="31"/>
      <c r="IFL44" s="30"/>
      <c r="IFM44" s="31"/>
      <c r="IFN44" s="30"/>
      <c r="IFO44" s="31"/>
      <c r="IFP44" s="30"/>
      <c r="IFQ44" s="31"/>
      <c r="IFR44" s="30"/>
      <c r="IFS44" s="31"/>
      <c r="IFT44" s="30"/>
      <c r="IFU44" s="31"/>
      <c r="IFV44" s="30"/>
      <c r="IFW44" s="31"/>
      <c r="IFX44" s="30"/>
      <c r="IFY44" s="31"/>
      <c r="IFZ44" s="30"/>
      <c r="IGA44" s="31"/>
      <c r="IGB44" s="30"/>
      <c r="IGC44" s="31"/>
      <c r="IGD44" s="30"/>
      <c r="IGE44" s="31"/>
      <c r="IGF44" s="30"/>
      <c r="IGG44" s="31"/>
      <c r="IGH44" s="30"/>
      <c r="IGI44" s="31"/>
      <c r="IGJ44" s="30"/>
      <c r="IGK44" s="31"/>
      <c r="IGL44" s="30"/>
      <c r="IGM44" s="31"/>
      <c r="IGN44" s="30"/>
      <c r="IGO44" s="31"/>
      <c r="IGP44" s="30"/>
      <c r="IGQ44" s="31"/>
      <c r="IGR44" s="30"/>
      <c r="IGS44" s="31"/>
      <c r="IGT44" s="30"/>
      <c r="IGU44" s="31"/>
      <c r="IGV44" s="30"/>
      <c r="IGW44" s="31"/>
      <c r="IGX44" s="30"/>
      <c r="IGY44" s="31"/>
      <c r="IGZ44" s="30"/>
      <c r="IHA44" s="31"/>
      <c r="IHB44" s="30"/>
      <c r="IHC44" s="31"/>
      <c r="IHD44" s="30"/>
      <c r="IHE44" s="31"/>
      <c r="IHF44" s="30"/>
      <c r="IHG44" s="31"/>
      <c r="IHH44" s="30"/>
      <c r="IHI44" s="31"/>
      <c r="IHJ44" s="30"/>
      <c r="IHK44" s="31"/>
      <c r="IHL44" s="30"/>
      <c r="IHM44" s="31"/>
      <c r="IHN44" s="30"/>
      <c r="IHO44" s="31"/>
      <c r="IHP44" s="30"/>
      <c r="IHQ44" s="31"/>
      <c r="IHR44" s="30"/>
      <c r="IHS44" s="31"/>
      <c r="IHT44" s="30"/>
      <c r="IHU44" s="31"/>
      <c r="IHV44" s="30"/>
      <c r="IHW44" s="31"/>
      <c r="IHX44" s="30"/>
      <c r="IHY44" s="31"/>
      <c r="IHZ44" s="30"/>
      <c r="IIA44" s="31"/>
      <c r="IIB44" s="30"/>
      <c r="IIC44" s="31"/>
      <c r="IID44" s="30"/>
      <c r="IIE44" s="31"/>
      <c r="IIF44" s="30"/>
      <c r="IIG44" s="31"/>
      <c r="IIH44" s="30"/>
      <c r="III44" s="31"/>
      <c r="IIJ44" s="30"/>
      <c r="IIK44" s="31"/>
      <c r="IIL44" s="30"/>
      <c r="IIM44" s="31"/>
      <c r="IIN44" s="30"/>
      <c r="IIO44" s="31"/>
      <c r="IIP44" s="30"/>
      <c r="IIQ44" s="31"/>
      <c r="IIR44" s="30"/>
      <c r="IIS44" s="31"/>
      <c r="IIT44" s="30"/>
      <c r="IIU44" s="31"/>
      <c r="IIV44" s="30"/>
      <c r="IIW44" s="31"/>
      <c r="IIX44" s="30"/>
      <c r="IIY44" s="31"/>
      <c r="IIZ44" s="30"/>
      <c r="IJA44" s="31"/>
      <c r="IJB44" s="30"/>
      <c r="IJC44" s="31"/>
      <c r="IJD44" s="30"/>
      <c r="IJE44" s="31"/>
      <c r="IJF44" s="30"/>
      <c r="IJG44" s="31"/>
      <c r="IJH44" s="30"/>
      <c r="IJI44" s="31"/>
      <c r="IJJ44" s="30"/>
      <c r="IJK44" s="31"/>
      <c r="IJL44" s="30"/>
      <c r="IJM44" s="31"/>
      <c r="IJN44" s="30"/>
      <c r="IJO44" s="31"/>
      <c r="IJP44" s="30"/>
      <c r="IJQ44" s="31"/>
      <c r="IJR44" s="30"/>
      <c r="IJS44" s="31"/>
      <c r="IJT44" s="30"/>
      <c r="IJU44" s="31"/>
      <c r="IJV44" s="30"/>
      <c r="IJW44" s="31"/>
      <c r="IJX44" s="30"/>
      <c r="IJY44" s="31"/>
      <c r="IJZ44" s="30"/>
      <c r="IKA44" s="31"/>
      <c r="IKB44" s="30"/>
      <c r="IKC44" s="31"/>
      <c r="IKD44" s="30"/>
      <c r="IKE44" s="31"/>
      <c r="IKF44" s="30"/>
      <c r="IKG44" s="31"/>
      <c r="IKH44" s="30"/>
      <c r="IKI44" s="31"/>
      <c r="IKJ44" s="30"/>
      <c r="IKK44" s="31"/>
      <c r="IKL44" s="30"/>
      <c r="IKM44" s="31"/>
      <c r="IKN44" s="30"/>
      <c r="IKO44" s="31"/>
      <c r="IKP44" s="30"/>
      <c r="IKQ44" s="31"/>
      <c r="IKR44" s="30"/>
      <c r="IKS44" s="31"/>
      <c r="IKT44" s="30"/>
      <c r="IKU44" s="31"/>
      <c r="IKV44" s="30"/>
      <c r="IKW44" s="31"/>
      <c r="IKX44" s="30"/>
      <c r="IKY44" s="31"/>
      <c r="IKZ44" s="30"/>
      <c r="ILA44" s="31"/>
      <c r="ILB44" s="30"/>
      <c r="ILC44" s="31"/>
      <c r="ILD44" s="30"/>
      <c r="ILE44" s="31"/>
      <c r="ILF44" s="30"/>
      <c r="ILG44" s="31"/>
      <c r="ILH44" s="30"/>
      <c r="ILI44" s="31"/>
      <c r="ILJ44" s="30"/>
      <c r="ILK44" s="31"/>
      <c r="ILL44" s="30"/>
      <c r="ILM44" s="31"/>
      <c r="ILN44" s="30"/>
      <c r="ILO44" s="31"/>
      <c r="ILP44" s="30"/>
      <c r="ILQ44" s="31"/>
      <c r="ILR44" s="30"/>
      <c r="ILS44" s="31"/>
      <c r="ILT44" s="30"/>
      <c r="ILU44" s="31"/>
      <c r="ILV44" s="30"/>
      <c r="ILW44" s="31"/>
      <c r="ILX44" s="30"/>
      <c r="ILY44" s="31"/>
      <c r="ILZ44" s="30"/>
      <c r="IMA44" s="31"/>
      <c r="IMB44" s="30"/>
      <c r="IMC44" s="31"/>
      <c r="IMD44" s="30"/>
      <c r="IME44" s="31"/>
      <c r="IMF44" s="30"/>
      <c r="IMG44" s="31"/>
      <c r="IMH44" s="30"/>
      <c r="IMI44" s="31"/>
      <c r="IMJ44" s="30"/>
      <c r="IMK44" s="31"/>
      <c r="IML44" s="30"/>
      <c r="IMM44" s="31"/>
      <c r="IMN44" s="30"/>
      <c r="IMO44" s="31"/>
      <c r="IMP44" s="30"/>
      <c r="IMQ44" s="31"/>
      <c r="IMR44" s="30"/>
      <c r="IMS44" s="31"/>
      <c r="IMT44" s="30"/>
      <c r="IMU44" s="31"/>
      <c r="IMV44" s="30"/>
      <c r="IMW44" s="31"/>
      <c r="IMX44" s="30"/>
      <c r="IMY44" s="31"/>
      <c r="IMZ44" s="30"/>
      <c r="INA44" s="31"/>
      <c r="INB44" s="30"/>
      <c r="INC44" s="31"/>
      <c r="IND44" s="30"/>
      <c r="INE44" s="31"/>
      <c r="INF44" s="30"/>
      <c r="ING44" s="31"/>
      <c r="INH44" s="30"/>
      <c r="INI44" s="31"/>
      <c r="INJ44" s="30"/>
      <c r="INK44" s="31"/>
      <c r="INL44" s="30"/>
      <c r="INM44" s="31"/>
      <c r="INN44" s="30"/>
      <c r="INO44" s="31"/>
      <c r="INP44" s="30"/>
      <c r="INQ44" s="31"/>
      <c r="INR44" s="30"/>
      <c r="INS44" s="31"/>
      <c r="INT44" s="30"/>
      <c r="INU44" s="31"/>
      <c r="INV44" s="30"/>
      <c r="INW44" s="31"/>
      <c r="INX44" s="30"/>
      <c r="INY44" s="31"/>
      <c r="INZ44" s="30"/>
      <c r="IOA44" s="31"/>
      <c r="IOB44" s="30"/>
      <c r="IOC44" s="31"/>
      <c r="IOD44" s="30"/>
      <c r="IOE44" s="31"/>
      <c r="IOF44" s="30"/>
      <c r="IOG44" s="31"/>
      <c r="IOH44" s="30"/>
      <c r="IOI44" s="31"/>
      <c r="IOJ44" s="30"/>
      <c r="IOK44" s="31"/>
      <c r="IOL44" s="30"/>
      <c r="IOM44" s="31"/>
      <c r="ION44" s="30"/>
      <c r="IOO44" s="31"/>
      <c r="IOP44" s="30"/>
      <c r="IOQ44" s="31"/>
      <c r="IOR44" s="30"/>
      <c r="IOS44" s="31"/>
      <c r="IOT44" s="30"/>
      <c r="IOU44" s="31"/>
      <c r="IOV44" s="30"/>
      <c r="IOW44" s="31"/>
      <c r="IOX44" s="30"/>
      <c r="IOY44" s="31"/>
      <c r="IOZ44" s="30"/>
      <c r="IPA44" s="31"/>
      <c r="IPB44" s="30"/>
      <c r="IPC44" s="31"/>
      <c r="IPD44" s="30"/>
      <c r="IPE44" s="31"/>
      <c r="IPF44" s="30"/>
      <c r="IPG44" s="31"/>
      <c r="IPH44" s="30"/>
      <c r="IPI44" s="31"/>
      <c r="IPJ44" s="30"/>
      <c r="IPK44" s="31"/>
      <c r="IPL44" s="30"/>
      <c r="IPM44" s="31"/>
      <c r="IPN44" s="30"/>
      <c r="IPO44" s="31"/>
      <c r="IPP44" s="30"/>
      <c r="IPQ44" s="31"/>
      <c r="IPR44" s="30"/>
      <c r="IPS44" s="31"/>
      <c r="IPT44" s="30"/>
      <c r="IPU44" s="31"/>
      <c r="IPV44" s="30"/>
      <c r="IPW44" s="31"/>
      <c r="IPX44" s="30"/>
      <c r="IPY44" s="31"/>
      <c r="IPZ44" s="30"/>
      <c r="IQA44" s="31"/>
      <c r="IQB44" s="30"/>
      <c r="IQC44" s="31"/>
      <c r="IQD44" s="30"/>
      <c r="IQE44" s="31"/>
      <c r="IQF44" s="30"/>
      <c r="IQG44" s="31"/>
      <c r="IQH44" s="30"/>
      <c r="IQI44" s="31"/>
      <c r="IQJ44" s="30"/>
      <c r="IQK44" s="31"/>
      <c r="IQL44" s="30"/>
      <c r="IQM44" s="31"/>
      <c r="IQN44" s="30"/>
      <c r="IQO44" s="31"/>
      <c r="IQP44" s="30"/>
      <c r="IQQ44" s="31"/>
      <c r="IQR44" s="30"/>
      <c r="IQS44" s="31"/>
      <c r="IQT44" s="30"/>
      <c r="IQU44" s="31"/>
      <c r="IQV44" s="30"/>
      <c r="IQW44" s="31"/>
      <c r="IQX44" s="30"/>
      <c r="IQY44" s="31"/>
      <c r="IQZ44" s="30"/>
      <c r="IRA44" s="31"/>
      <c r="IRB44" s="30"/>
      <c r="IRC44" s="31"/>
      <c r="IRD44" s="30"/>
      <c r="IRE44" s="31"/>
      <c r="IRF44" s="30"/>
      <c r="IRG44" s="31"/>
      <c r="IRH44" s="30"/>
      <c r="IRI44" s="31"/>
      <c r="IRJ44" s="30"/>
      <c r="IRK44" s="31"/>
      <c r="IRL44" s="30"/>
      <c r="IRM44" s="31"/>
      <c r="IRN44" s="30"/>
      <c r="IRO44" s="31"/>
      <c r="IRP44" s="30"/>
      <c r="IRQ44" s="31"/>
      <c r="IRR44" s="30"/>
      <c r="IRS44" s="31"/>
      <c r="IRT44" s="30"/>
      <c r="IRU44" s="31"/>
      <c r="IRV44" s="30"/>
      <c r="IRW44" s="31"/>
      <c r="IRX44" s="30"/>
      <c r="IRY44" s="31"/>
      <c r="IRZ44" s="30"/>
      <c r="ISA44" s="31"/>
      <c r="ISB44" s="30"/>
      <c r="ISC44" s="31"/>
      <c r="ISD44" s="30"/>
      <c r="ISE44" s="31"/>
      <c r="ISF44" s="30"/>
      <c r="ISG44" s="31"/>
      <c r="ISH44" s="30"/>
      <c r="ISI44" s="31"/>
      <c r="ISJ44" s="30"/>
      <c r="ISK44" s="31"/>
      <c r="ISL44" s="30"/>
      <c r="ISM44" s="31"/>
      <c r="ISN44" s="30"/>
      <c r="ISO44" s="31"/>
      <c r="ISP44" s="30"/>
      <c r="ISQ44" s="31"/>
      <c r="ISR44" s="30"/>
      <c r="ISS44" s="31"/>
      <c r="IST44" s="30"/>
      <c r="ISU44" s="31"/>
      <c r="ISV44" s="30"/>
      <c r="ISW44" s="31"/>
      <c r="ISX44" s="30"/>
      <c r="ISY44" s="31"/>
      <c r="ISZ44" s="30"/>
      <c r="ITA44" s="31"/>
      <c r="ITB44" s="30"/>
      <c r="ITC44" s="31"/>
      <c r="ITD44" s="30"/>
      <c r="ITE44" s="31"/>
      <c r="ITF44" s="30"/>
      <c r="ITG44" s="31"/>
      <c r="ITH44" s="30"/>
      <c r="ITI44" s="31"/>
      <c r="ITJ44" s="30"/>
      <c r="ITK44" s="31"/>
      <c r="ITL44" s="30"/>
      <c r="ITM44" s="31"/>
      <c r="ITN44" s="30"/>
      <c r="ITO44" s="31"/>
      <c r="ITP44" s="30"/>
      <c r="ITQ44" s="31"/>
      <c r="ITR44" s="30"/>
      <c r="ITS44" s="31"/>
      <c r="ITT44" s="30"/>
      <c r="ITU44" s="31"/>
      <c r="ITV44" s="30"/>
      <c r="ITW44" s="31"/>
      <c r="ITX44" s="30"/>
      <c r="ITY44" s="31"/>
      <c r="ITZ44" s="30"/>
      <c r="IUA44" s="31"/>
      <c r="IUB44" s="30"/>
      <c r="IUC44" s="31"/>
      <c r="IUD44" s="30"/>
      <c r="IUE44" s="31"/>
      <c r="IUF44" s="30"/>
      <c r="IUG44" s="31"/>
      <c r="IUH44" s="30"/>
      <c r="IUI44" s="31"/>
      <c r="IUJ44" s="30"/>
      <c r="IUK44" s="31"/>
      <c r="IUL44" s="30"/>
      <c r="IUM44" s="31"/>
      <c r="IUN44" s="30"/>
      <c r="IUO44" s="31"/>
      <c r="IUP44" s="30"/>
      <c r="IUQ44" s="31"/>
      <c r="IUR44" s="30"/>
      <c r="IUS44" s="31"/>
      <c r="IUT44" s="30"/>
      <c r="IUU44" s="31"/>
      <c r="IUV44" s="30"/>
      <c r="IUW44" s="31"/>
      <c r="IUX44" s="30"/>
      <c r="IUY44" s="31"/>
      <c r="IUZ44" s="30"/>
      <c r="IVA44" s="31"/>
      <c r="IVB44" s="30"/>
      <c r="IVC44" s="31"/>
      <c r="IVD44" s="30"/>
      <c r="IVE44" s="31"/>
      <c r="IVF44" s="30"/>
      <c r="IVG44" s="31"/>
      <c r="IVH44" s="30"/>
      <c r="IVI44" s="31"/>
      <c r="IVJ44" s="30"/>
      <c r="IVK44" s="31"/>
      <c r="IVL44" s="30"/>
      <c r="IVM44" s="31"/>
      <c r="IVN44" s="30"/>
      <c r="IVO44" s="31"/>
      <c r="IVP44" s="30"/>
      <c r="IVQ44" s="31"/>
      <c r="IVR44" s="30"/>
      <c r="IVS44" s="31"/>
      <c r="IVT44" s="30"/>
      <c r="IVU44" s="31"/>
      <c r="IVV44" s="30"/>
      <c r="IVW44" s="31"/>
      <c r="IVX44" s="30"/>
      <c r="IVY44" s="31"/>
      <c r="IVZ44" s="30"/>
      <c r="IWA44" s="31"/>
      <c r="IWB44" s="30"/>
      <c r="IWC44" s="31"/>
      <c r="IWD44" s="30"/>
      <c r="IWE44" s="31"/>
      <c r="IWF44" s="30"/>
      <c r="IWG44" s="31"/>
      <c r="IWH44" s="30"/>
      <c r="IWI44" s="31"/>
      <c r="IWJ44" s="30"/>
      <c r="IWK44" s="31"/>
      <c r="IWL44" s="30"/>
      <c r="IWM44" s="31"/>
      <c r="IWN44" s="30"/>
      <c r="IWO44" s="31"/>
      <c r="IWP44" s="30"/>
      <c r="IWQ44" s="31"/>
      <c r="IWR44" s="30"/>
      <c r="IWS44" s="31"/>
      <c r="IWT44" s="30"/>
      <c r="IWU44" s="31"/>
      <c r="IWV44" s="30"/>
      <c r="IWW44" s="31"/>
      <c r="IWX44" s="30"/>
      <c r="IWY44" s="31"/>
      <c r="IWZ44" s="30"/>
      <c r="IXA44" s="31"/>
      <c r="IXB44" s="30"/>
      <c r="IXC44" s="31"/>
      <c r="IXD44" s="30"/>
      <c r="IXE44" s="31"/>
      <c r="IXF44" s="30"/>
      <c r="IXG44" s="31"/>
      <c r="IXH44" s="30"/>
      <c r="IXI44" s="31"/>
      <c r="IXJ44" s="30"/>
      <c r="IXK44" s="31"/>
      <c r="IXL44" s="30"/>
      <c r="IXM44" s="31"/>
      <c r="IXN44" s="30"/>
      <c r="IXO44" s="31"/>
      <c r="IXP44" s="30"/>
      <c r="IXQ44" s="31"/>
      <c r="IXR44" s="30"/>
      <c r="IXS44" s="31"/>
      <c r="IXT44" s="30"/>
      <c r="IXU44" s="31"/>
      <c r="IXV44" s="30"/>
      <c r="IXW44" s="31"/>
      <c r="IXX44" s="30"/>
      <c r="IXY44" s="31"/>
      <c r="IXZ44" s="30"/>
      <c r="IYA44" s="31"/>
      <c r="IYB44" s="30"/>
      <c r="IYC44" s="31"/>
      <c r="IYD44" s="30"/>
      <c r="IYE44" s="31"/>
      <c r="IYF44" s="30"/>
      <c r="IYG44" s="31"/>
      <c r="IYH44" s="30"/>
      <c r="IYI44" s="31"/>
      <c r="IYJ44" s="30"/>
      <c r="IYK44" s="31"/>
      <c r="IYL44" s="30"/>
      <c r="IYM44" s="31"/>
      <c r="IYN44" s="30"/>
      <c r="IYO44" s="31"/>
      <c r="IYP44" s="30"/>
      <c r="IYQ44" s="31"/>
      <c r="IYR44" s="30"/>
      <c r="IYS44" s="31"/>
      <c r="IYT44" s="30"/>
      <c r="IYU44" s="31"/>
      <c r="IYV44" s="30"/>
      <c r="IYW44" s="31"/>
      <c r="IYX44" s="30"/>
      <c r="IYY44" s="31"/>
      <c r="IYZ44" s="30"/>
      <c r="IZA44" s="31"/>
      <c r="IZB44" s="30"/>
      <c r="IZC44" s="31"/>
      <c r="IZD44" s="30"/>
      <c r="IZE44" s="31"/>
      <c r="IZF44" s="30"/>
      <c r="IZG44" s="31"/>
      <c r="IZH44" s="30"/>
      <c r="IZI44" s="31"/>
      <c r="IZJ44" s="30"/>
      <c r="IZK44" s="31"/>
      <c r="IZL44" s="30"/>
      <c r="IZM44" s="31"/>
      <c r="IZN44" s="30"/>
      <c r="IZO44" s="31"/>
      <c r="IZP44" s="30"/>
      <c r="IZQ44" s="31"/>
      <c r="IZR44" s="30"/>
      <c r="IZS44" s="31"/>
      <c r="IZT44" s="30"/>
      <c r="IZU44" s="31"/>
      <c r="IZV44" s="30"/>
      <c r="IZW44" s="31"/>
      <c r="IZX44" s="30"/>
      <c r="IZY44" s="31"/>
      <c r="IZZ44" s="30"/>
      <c r="JAA44" s="31"/>
      <c r="JAB44" s="30"/>
      <c r="JAC44" s="31"/>
      <c r="JAD44" s="30"/>
      <c r="JAE44" s="31"/>
      <c r="JAF44" s="30"/>
      <c r="JAG44" s="31"/>
      <c r="JAH44" s="30"/>
      <c r="JAI44" s="31"/>
      <c r="JAJ44" s="30"/>
      <c r="JAK44" s="31"/>
      <c r="JAL44" s="30"/>
      <c r="JAM44" s="31"/>
      <c r="JAN44" s="30"/>
      <c r="JAO44" s="31"/>
      <c r="JAP44" s="30"/>
      <c r="JAQ44" s="31"/>
      <c r="JAR44" s="30"/>
      <c r="JAS44" s="31"/>
      <c r="JAT44" s="30"/>
      <c r="JAU44" s="31"/>
      <c r="JAV44" s="30"/>
      <c r="JAW44" s="31"/>
      <c r="JAX44" s="30"/>
      <c r="JAY44" s="31"/>
      <c r="JAZ44" s="30"/>
      <c r="JBA44" s="31"/>
      <c r="JBB44" s="30"/>
      <c r="JBC44" s="31"/>
      <c r="JBD44" s="30"/>
      <c r="JBE44" s="31"/>
      <c r="JBF44" s="30"/>
      <c r="JBG44" s="31"/>
      <c r="JBH44" s="30"/>
      <c r="JBI44" s="31"/>
      <c r="JBJ44" s="30"/>
      <c r="JBK44" s="31"/>
      <c r="JBL44" s="30"/>
      <c r="JBM44" s="31"/>
      <c r="JBN44" s="30"/>
      <c r="JBO44" s="31"/>
      <c r="JBP44" s="30"/>
      <c r="JBQ44" s="31"/>
      <c r="JBR44" s="30"/>
      <c r="JBS44" s="31"/>
      <c r="JBT44" s="30"/>
      <c r="JBU44" s="31"/>
      <c r="JBV44" s="30"/>
      <c r="JBW44" s="31"/>
      <c r="JBX44" s="30"/>
      <c r="JBY44" s="31"/>
      <c r="JBZ44" s="30"/>
      <c r="JCA44" s="31"/>
      <c r="JCB44" s="30"/>
      <c r="JCC44" s="31"/>
      <c r="JCD44" s="30"/>
      <c r="JCE44" s="31"/>
      <c r="JCF44" s="30"/>
      <c r="JCG44" s="31"/>
      <c r="JCH44" s="30"/>
      <c r="JCI44" s="31"/>
      <c r="JCJ44" s="30"/>
      <c r="JCK44" s="31"/>
      <c r="JCL44" s="30"/>
      <c r="JCM44" s="31"/>
      <c r="JCN44" s="30"/>
      <c r="JCO44" s="31"/>
      <c r="JCP44" s="30"/>
      <c r="JCQ44" s="31"/>
      <c r="JCR44" s="30"/>
      <c r="JCS44" s="31"/>
      <c r="JCT44" s="30"/>
      <c r="JCU44" s="31"/>
      <c r="JCV44" s="30"/>
      <c r="JCW44" s="31"/>
      <c r="JCX44" s="30"/>
      <c r="JCY44" s="31"/>
      <c r="JCZ44" s="30"/>
      <c r="JDA44" s="31"/>
      <c r="JDB44" s="30"/>
      <c r="JDC44" s="31"/>
      <c r="JDD44" s="30"/>
      <c r="JDE44" s="31"/>
      <c r="JDF44" s="30"/>
      <c r="JDG44" s="31"/>
      <c r="JDH44" s="30"/>
      <c r="JDI44" s="31"/>
      <c r="JDJ44" s="30"/>
      <c r="JDK44" s="31"/>
      <c r="JDL44" s="30"/>
      <c r="JDM44" s="31"/>
      <c r="JDN44" s="30"/>
      <c r="JDO44" s="31"/>
      <c r="JDP44" s="30"/>
      <c r="JDQ44" s="31"/>
      <c r="JDR44" s="30"/>
      <c r="JDS44" s="31"/>
      <c r="JDT44" s="30"/>
      <c r="JDU44" s="31"/>
      <c r="JDV44" s="30"/>
      <c r="JDW44" s="31"/>
      <c r="JDX44" s="30"/>
      <c r="JDY44" s="31"/>
      <c r="JDZ44" s="30"/>
      <c r="JEA44" s="31"/>
      <c r="JEB44" s="30"/>
      <c r="JEC44" s="31"/>
      <c r="JED44" s="30"/>
      <c r="JEE44" s="31"/>
      <c r="JEF44" s="30"/>
      <c r="JEG44" s="31"/>
      <c r="JEH44" s="30"/>
      <c r="JEI44" s="31"/>
      <c r="JEJ44" s="30"/>
      <c r="JEK44" s="31"/>
      <c r="JEL44" s="30"/>
      <c r="JEM44" s="31"/>
      <c r="JEN44" s="30"/>
      <c r="JEO44" s="31"/>
      <c r="JEP44" s="30"/>
      <c r="JEQ44" s="31"/>
      <c r="JER44" s="30"/>
      <c r="JES44" s="31"/>
      <c r="JET44" s="30"/>
      <c r="JEU44" s="31"/>
      <c r="JEV44" s="30"/>
      <c r="JEW44" s="31"/>
      <c r="JEX44" s="30"/>
      <c r="JEY44" s="31"/>
      <c r="JEZ44" s="30"/>
      <c r="JFA44" s="31"/>
      <c r="JFB44" s="30"/>
      <c r="JFC44" s="31"/>
      <c r="JFD44" s="30"/>
      <c r="JFE44" s="31"/>
      <c r="JFF44" s="30"/>
      <c r="JFG44" s="31"/>
      <c r="JFH44" s="30"/>
      <c r="JFI44" s="31"/>
      <c r="JFJ44" s="30"/>
      <c r="JFK44" s="31"/>
      <c r="JFL44" s="30"/>
      <c r="JFM44" s="31"/>
      <c r="JFN44" s="30"/>
      <c r="JFO44" s="31"/>
      <c r="JFP44" s="30"/>
      <c r="JFQ44" s="31"/>
      <c r="JFR44" s="30"/>
      <c r="JFS44" s="31"/>
      <c r="JFT44" s="30"/>
      <c r="JFU44" s="31"/>
      <c r="JFV44" s="30"/>
      <c r="JFW44" s="31"/>
      <c r="JFX44" s="30"/>
      <c r="JFY44" s="31"/>
      <c r="JFZ44" s="30"/>
      <c r="JGA44" s="31"/>
      <c r="JGB44" s="30"/>
      <c r="JGC44" s="31"/>
      <c r="JGD44" s="30"/>
      <c r="JGE44" s="31"/>
      <c r="JGF44" s="30"/>
      <c r="JGG44" s="31"/>
      <c r="JGH44" s="30"/>
      <c r="JGI44" s="31"/>
      <c r="JGJ44" s="30"/>
      <c r="JGK44" s="31"/>
      <c r="JGL44" s="30"/>
      <c r="JGM44" s="31"/>
      <c r="JGN44" s="30"/>
      <c r="JGO44" s="31"/>
      <c r="JGP44" s="30"/>
      <c r="JGQ44" s="31"/>
      <c r="JGR44" s="30"/>
      <c r="JGS44" s="31"/>
      <c r="JGT44" s="30"/>
      <c r="JGU44" s="31"/>
      <c r="JGV44" s="30"/>
      <c r="JGW44" s="31"/>
      <c r="JGX44" s="30"/>
      <c r="JGY44" s="31"/>
      <c r="JGZ44" s="30"/>
      <c r="JHA44" s="31"/>
      <c r="JHB44" s="30"/>
      <c r="JHC44" s="31"/>
      <c r="JHD44" s="30"/>
      <c r="JHE44" s="31"/>
      <c r="JHF44" s="30"/>
      <c r="JHG44" s="31"/>
      <c r="JHH44" s="30"/>
      <c r="JHI44" s="31"/>
      <c r="JHJ44" s="30"/>
      <c r="JHK44" s="31"/>
      <c r="JHL44" s="30"/>
      <c r="JHM44" s="31"/>
      <c r="JHN44" s="30"/>
      <c r="JHO44" s="31"/>
      <c r="JHP44" s="30"/>
      <c r="JHQ44" s="31"/>
      <c r="JHR44" s="30"/>
      <c r="JHS44" s="31"/>
      <c r="JHT44" s="30"/>
      <c r="JHU44" s="31"/>
      <c r="JHV44" s="30"/>
      <c r="JHW44" s="31"/>
      <c r="JHX44" s="30"/>
      <c r="JHY44" s="31"/>
      <c r="JHZ44" s="30"/>
      <c r="JIA44" s="31"/>
      <c r="JIB44" s="30"/>
      <c r="JIC44" s="31"/>
      <c r="JID44" s="30"/>
      <c r="JIE44" s="31"/>
      <c r="JIF44" s="30"/>
      <c r="JIG44" s="31"/>
      <c r="JIH44" s="30"/>
      <c r="JII44" s="31"/>
      <c r="JIJ44" s="30"/>
      <c r="JIK44" s="31"/>
      <c r="JIL44" s="30"/>
      <c r="JIM44" s="31"/>
      <c r="JIN44" s="30"/>
      <c r="JIO44" s="31"/>
      <c r="JIP44" s="30"/>
      <c r="JIQ44" s="31"/>
      <c r="JIR44" s="30"/>
      <c r="JIS44" s="31"/>
      <c r="JIT44" s="30"/>
      <c r="JIU44" s="31"/>
      <c r="JIV44" s="30"/>
      <c r="JIW44" s="31"/>
      <c r="JIX44" s="30"/>
      <c r="JIY44" s="31"/>
      <c r="JIZ44" s="30"/>
      <c r="JJA44" s="31"/>
      <c r="JJB44" s="30"/>
      <c r="JJC44" s="31"/>
      <c r="JJD44" s="30"/>
      <c r="JJE44" s="31"/>
      <c r="JJF44" s="30"/>
      <c r="JJG44" s="31"/>
      <c r="JJH44" s="30"/>
      <c r="JJI44" s="31"/>
      <c r="JJJ44" s="30"/>
      <c r="JJK44" s="31"/>
      <c r="JJL44" s="30"/>
      <c r="JJM44" s="31"/>
      <c r="JJN44" s="30"/>
      <c r="JJO44" s="31"/>
      <c r="JJP44" s="30"/>
      <c r="JJQ44" s="31"/>
      <c r="JJR44" s="30"/>
      <c r="JJS44" s="31"/>
      <c r="JJT44" s="30"/>
      <c r="JJU44" s="31"/>
      <c r="JJV44" s="30"/>
      <c r="JJW44" s="31"/>
      <c r="JJX44" s="30"/>
      <c r="JJY44" s="31"/>
      <c r="JJZ44" s="30"/>
      <c r="JKA44" s="31"/>
      <c r="JKB44" s="30"/>
      <c r="JKC44" s="31"/>
      <c r="JKD44" s="30"/>
      <c r="JKE44" s="31"/>
      <c r="JKF44" s="30"/>
      <c r="JKG44" s="31"/>
      <c r="JKH44" s="30"/>
      <c r="JKI44" s="31"/>
      <c r="JKJ44" s="30"/>
      <c r="JKK44" s="31"/>
      <c r="JKL44" s="30"/>
      <c r="JKM44" s="31"/>
      <c r="JKN44" s="30"/>
      <c r="JKO44" s="31"/>
      <c r="JKP44" s="30"/>
      <c r="JKQ44" s="31"/>
      <c r="JKR44" s="30"/>
      <c r="JKS44" s="31"/>
      <c r="JKT44" s="30"/>
      <c r="JKU44" s="31"/>
      <c r="JKV44" s="30"/>
      <c r="JKW44" s="31"/>
      <c r="JKX44" s="30"/>
      <c r="JKY44" s="31"/>
      <c r="JKZ44" s="30"/>
      <c r="JLA44" s="31"/>
      <c r="JLB44" s="30"/>
      <c r="JLC44" s="31"/>
      <c r="JLD44" s="30"/>
      <c r="JLE44" s="31"/>
      <c r="JLF44" s="30"/>
      <c r="JLG44" s="31"/>
      <c r="JLH44" s="30"/>
      <c r="JLI44" s="31"/>
      <c r="JLJ44" s="30"/>
      <c r="JLK44" s="31"/>
      <c r="JLL44" s="30"/>
      <c r="JLM44" s="31"/>
      <c r="JLN44" s="30"/>
      <c r="JLO44" s="31"/>
      <c r="JLP44" s="30"/>
      <c r="JLQ44" s="31"/>
      <c r="JLR44" s="30"/>
      <c r="JLS44" s="31"/>
      <c r="JLT44" s="30"/>
      <c r="JLU44" s="31"/>
      <c r="JLV44" s="30"/>
      <c r="JLW44" s="31"/>
      <c r="JLX44" s="30"/>
      <c r="JLY44" s="31"/>
      <c r="JLZ44" s="30"/>
      <c r="JMA44" s="31"/>
      <c r="JMB44" s="30"/>
      <c r="JMC44" s="31"/>
      <c r="JMD44" s="30"/>
      <c r="JME44" s="31"/>
      <c r="JMF44" s="30"/>
      <c r="JMG44" s="31"/>
      <c r="JMH44" s="30"/>
      <c r="JMI44" s="31"/>
      <c r="JMJ44" s="30"/>
      <c r="JMK44" s="31"/>
      <c r="JML44" s="30"/>
      <c r="JMM44" s="31"/>
      <c r="JMN44" s="30"/>
      <c r="JMO44" s="31"/>
      <c r="JMP44" s="30"/>
      <c r="JMQ44" s="31"/>
      <c r="JMR44" s="30"/>
      <c r="JMS44" s="31"/>
      <c r="JMT44" s="30"/>
      <c r="JMU44" s="31"/>
      <c r="JMV44" s="30"/>
      <c r="JMW44" s="31"/>
      <c r="JMX44" s="30"/>
      <c r="JMY44" s="31"/>
      <c r="JMZ44" s="30"/>
      <c r="JNA44" s="31"/>
      <c r="JNB44" s="30"/>
      <c r="JNC44" s="31"/>
      <c r="JND44" s="30"/>
      <c r="JNE44" s="31"/>
      <c r="JNF44" s="30"/>
      <c r="JNG44" s="31"/>
      <c r="JNH44" s="30"/>
      <c r="JNI44" s="31"/>
      <c r="JNJ44" s="30"/>
      <c r="JNK44" s="31"/>
      <c r="JNL44" s="30"/>
      <c r="JNM44" s="31"/>
      <c r="JNN44" s="30"/>
      <c r="JNO44" s="31"/>
      <c r="JNP44" s="30"/>
      <c r="JNQ44" s="31"/>
      <c r="JNR44" s="30"/>
      <c r="JNS44" s="31"/>
      <c r="JNT44" s="30"/>
      <c r="JNU44" s="31"/>
      <c r="JNV44" s="30"/>
      <c r="JNW44" s="31"/>
      <c r="JNX44" s="30"/>
      <c r="JNY44" s="31"/>
      <c r="JNZ44" s="30"/>
      <c r="JOA44" s="31"/>
      <c r="JOB44" s="30"/>
      <c r="JOC44" s="31"/>
      <c r="JOD44" s="30"/>
      <c r="JOE44" s="31"/>
      <c r="JOF44" s="30"/>
      <c r="JOG44" s="31"/>
      <c r="JOH44" s="30"/>
      <c r="JOI44" s="31"/>
      <c r="JOJ44" s="30"/>
      <c r="JOK44" s="31"/>
      <c r="JOL44" s="30"/>
      <c r="JOM44" s="31"/>
      <c r="JON44" s="30"/>
      <c r="JOO44" s="31"/>
      <c r="JOP44" s="30"/>
      <c r="JOQ44" s="31"/>
      <c r="JOR44" s="30"/>
      <c r="JOS44" s="31"/>
      <c r="JOT44" s="30"/>
      <c r="JOU44" s="31"/>
      <c r="JOV44" s="30"/>
      <c r="JOW44" s="31"/>
      <c r="JOX44" s="30"/>
      <c r="JOY44" s="31"/>
      <c r="JOZ44" s="30"/>
      <c r="JPA44" s="31"/>
      <c r="JPB44" s="30"/>
      <c r="JPC44" s="31"/>
      <c r="JPD44" s="30"/>
      <c r="JPE44" s="31"/>
      <c r="JPF44" s="30"/>
      <c r="JPG44" s="31"/>
      <c r="JPH44" s="30"/>
      <c r="JPI44" s="31"/>
      <c r="JPJ44" s="30"/>
      <c r="JPK44" s="31"/>
      <c r="JPL44" s="30"/>
      <c r="JPM44" s="31"/>
      <c r="JPN44" s="30"/>
      <c r="JPO44" s="31"/>
      <c r="JPP44" s="30"/>
      <c r="JPQ44" s="31"/>
      <c r="JPR44" s="30"/>
      <c r="JPS44" s="31"/>
      <c r="JPT44" s="30"/>
      <c r="JPU44" s="31"/>
      <c r="JPV44" s="30"/>
      <c r="JPW44" s="31"/>
      <c r="JPX44" s="30"/>
      <c r="JPY44" s="31"/>
      <c r="JPZ44" s="30"/>
      <c r="JQA44" s="31"/>
      <c r="JQB44" s="30"/>
      <c r="JQC44" s="31"/>
      <c r="JQD44" s="30"/>
      <c r="JQE44" s="31"/>
      <c r="JQF44" s="30"/>
      <c r="JQG44" s="31"/>
      <c r="JQH44" s="30"/>
      <c r="JQI44" s="31"/>
      <c r="JQJ44" s="30"/>
      <c r="JQK44" s="31"/>
      <c r="JQL44" s="30"/>
      <c r="JQM44" s="31"/>
      <c r="JQN44" s="30"/>
      <c r="JQO44" s="31"/>
      <c r="JQP44" s="30"/>
      <c r="JQQ44" s="31"/>
      <c r="JQR44" s="30"/>
      <c r="JQS44" s="31"/>
      <c r="JQT44" s="30"/>
      <c r="JQU44" s="31"/>
      <c r="JQV44" s="30"/>
      <c r="JQW44" s="31"/>
      <c r="JQX44" s="30"/>
      <c r="JQY44" s="31"/>
      <c r="JQZ44" s="30"/>
      <c r="JRA44" s="31"/>
      <c r="JRB44" s="30"/>
      <c r="JRC44" s="31"/>
      <c r="JRD44" s="30"/>
      <c r="JRE44" s="31"/>
      <c r="JRF44" s="30"/>
      <c r="JRG44" s="31"/>
      <c r="JRH44" s="30"/>
      <c r="JRI44" s="31"/>
      <c r="JRJ44" s="30"/>
      <c r="JRK44" s="31"/>
      <c r="JRL44" s="30"/>
      <c r="JRM44" s="31"/>
      <c r="JRN44" s="30"/>
      <c r="JRO44" s="31"/>
      <c r="JRP44" s="30"/>
      <c r="JRQ44" s="31"/>
      <c r="JRR44" s="30"/>
      <c r="JRS44" s="31"/>
      <c r="JRT44" s="30"/>
      <c r="JRU44" s="31"/>
      <c r="JRV44" s="30"/>
      <c r="JRW44" s="31"/>
      <c r="JRX44" s="30"/>
      <c r="JRY44" s="31"/>
      <c r="JRZ44" s="30"/>
      <c r="JSA44" s="31"/>
      <c r="JSB44" s="30"/>
      <c r="JSC44" s="31"/>
      <c r="JSD44" s="30"/>
      <c r="JSE44" s="31"/>
      <c r="JSF44" s="30"/>
      <c r="JSG44" s="31"/>
      <c r="JSH44" s="30"/>
      <c r="JSI44" s="31"/>
      <c r="JSJ44" s="30"/>
      <c r="JSK44" s="31"/>
      <c r="JSL44" s="30"/>
      <c r="JSM44" s="31"/>
      <c r="JSN44" s="30"/>
      <c r="JSO44" s="31"/>
      <c r="JSP44" s="30"/>
      <c r="JSQ44" s="31"/>
      <c r="JSR44" s="30"/>
      <c r="JSS44" s="31"/>
      <c r="JST44" s="30"/>
      <c r="JSU44" s="31"/>
      <c r="JSV44" s="30"/>
      <c r="JSW44" s="31"/>
      <c r="JSX44" s="30"/>
      <c r="JSY44" s="31"/>
      <c r="JSZ44" s="30"/>
      <c r="JTA44" s="31"/>
      <c r="JTB44" s="30"/>
      <c r="JTC44" s="31"/>
      <c r="JTD44" s="30"/>
      <c r="JTE44" s="31"/>
      <c r="JTF44" s="30"/>
      <c r="JTG44" s="31"/>
      <c r="JTH44" s="30"/>
      <c r="JTI44" s="31"/>
      <c r="JTJ44" s="30"/>
      <c r="JTK44" s="31"/>
      <c r="JTL44" s="30"/>
      <c r="JTM44" s="31"/>
      <c r="JTN44" s="30"/>
      <c r="JTO44" s="31"/>
      <c r="JTP44" s="30"/>
      <c r="JTQ44" s="31"/>
      <c r="JTR44" s="30"/>
      <c r="JTS44" s="31"/>
      <c r="JTT44" s="30"/>
      <c r="JTU44" s="31"/>
      <c r="JTV44" s="30"/>
      <c r="JTW44" s="31"/>
      <c r="JTX44" s="30"/>
      <c r="JTY44" s="31"/>
      <c r="JTZ44" s="30"/>
      <c r="JUA44" s="31"/>
      <c r="JUB44" s="30"/>
      <c r="JUC44" s="31"/>
      <c r="JUD44" s="30"/>
      <c r="JUE44" s="31"/>
      <c r="JUF44" s="30"/>
      <c r="JUG44" s="31"/>
      <c r="JUH44" s="30"/>
      <c r="JUI44" s="31"/>
      <c r="JUJ44" s="30"/>
      <c r="JUK44" s="31"/>
      <c r="JUL44" s="30"/>
      <c r="JUM44" s="31"/>
      <c r="JUN44" s="30"/>
      <c r="JUO44" s="31"/>
      <c r="JUP44" s="30"/>
      <c r="JUQ44" s="31"/>
      <c r="JUR44" s="30"/>
      <c r="JUS44" s="31"/>
      <c r="JUT44" s="30"/>
      <c r="JUU44" s="31"/>
      <c r="JUV44" s="30"/>
      <c r="JUW44" s="31"/>
      <c r="JUX44" s="30"/>
      <c r="JUY44" s="31"/>
      <c r="JUZ44" s="30"/>
      <c r="JVA44" s="31"/>
      <c r="JVB44" s="30"/>
      <c r="JVC44" s="31"/>
      <c r="JVD44" s="30"/>
      <c r="JVE44" s="31"/>
      <c r="JVF44" s="30"/>
      <c r="JVG44" s="31"/>
      <c r="JVH44" s="30"/>
      <c r="JVI44" s="31"/>
      <c r="JVJ44" s="30"/>
      <c r="JVK44" s="31"/>
      <c r="JVL44" s="30"/>
      <c r="JVM44" s="31"/>
      <c r="JVN44" s="30"/>
      <c r="JVO44" s="31"/>
      <c r="JVP44" s="30"/>
      <c r="JVQ44" s="31"/>
      <c r="JVR44" s="30"/>
      <c r="JVS44" s="31"/>
      <c r="JVT44" s="30"/>
      <c r="JVU44" s="31"/>
      <c r="JVV44" s="30"/>
      <c r="JVW44" s="31"/>
      <c r="JVX44" s="30"/>
      <c r="JVY44" s="31"/>
      <c r="JVZ44" s="30"/>
      <c r="JWA44" s="31"/>
      <c r="JWB44" s="30"/>
      <c r="JWC44" s="31"/>
      <c r="JWD44" s="30"/>
      <c r="JWE44" s="31"/>
      <c r="JWF44" s="30"/>
      <c r="JWG44" s="31"/>
      <c r="JWH44" s="30"/>
      <c r="JWI44" s="31"/>
      <c r="JWJ44" s="30"/>
      <c r="JWK44" s="31"/>
      <c r="JWL44" s="30"/>
      <c r="JWM44" s="31"/>
      <c r="JWN44" s="30"/>
      <c r="JWO44" s="31"/>
      <c r="JWP44" s="30"/>
      <c r="JWQ44" s="31"/>
      <c r="JWR44" s="30"/>
      <c r="JWS44" s="31"/>
      <c r="JWT44" s="30"/>
      <c r="JWU44" s="31"/>
      <c r="JWV44" s="30"/>
      <c r="JWW44" s="31"/>
      <c r="JWX44" s="30"/>
      <c r="JWY44" s="31"/>
      <c r="JWZ44" s="30"/>
      <c r="JXA44" s="31"/>
      <c r="JXB44" s="30"/>
      <c r="JXC44" s="31"/>
      <c r="JXD44" s="30"/>
      <c r="JXE44" s="31"/>
      <c r="JXF44" s="30"/>
      <c r="JXG44" s="31"/>
      <c r="JXH44" s="30"/>
      <c r="JXI44" s="31"/>
      <c r="JXJ44" s="30"/>
      <c r="JXK44" s="31"/>
      <c r="JXL44" s="30"/>
      <c r="JXM44" s="31"/>
      <c r="JXN44" s="30"/>
      <c r="JXO44" s="31"/>
      <c r="JXP44" s="30"/>
      <c r="JXQ44" s="31"/>
      <c r="JXR44" s="30"/>
      <c r="JXS44" s="31"/>
      <c r="JXT44" s="30"/>
      <c r="JXU44" s="31"/>
      <c r="JXV44" s="30"/>
      <c r="JXW44" s="31"/>
      <c r="JXX44" s="30"/>
      <c r="JXY44" s="31"/>
      <c r="JXZ44" s="30"/>
      <c r="JYA44" s="31"/>
      <c r="JYB44" s="30"/>
      <c r="JYC44" s="31"/>
      <c r="JYD44" s="30"/>
      <c r="JYE44" s="31"/>
      <c r="JYF44" s="30"/>
      <c r="JYG44" s="31"/>
      <c r="JYH44" s="30"/>
      <c r="JYI44" s="31"/>
      <c r="JYJ44" s="30"/>
      <c r="JYK44" s="31"/>
      <c r="JYL44" s="30"/>
      <c r="JYM44" s="31"/>
      <c r="JYN44" s="30"/>
      <c r="JYO44" s="31"/>
      <c r="JYP44" s="30"/>
      <c r="JYQ44" s="31"/>
      <c r="JYR44" s="30"/>
      <c r="JYS44" s="31"/>
      <c r="JYT44" s="30"/>
      <c r="JYU44" s="31"/>
      <c r="JYV44" s="30"/>
      <c r="JYW44" s="31"/>
      <c r="JYX44" s="30"/>
      <c r="JYY44" s="31"/>
      <c r="JYZ44" s="30"/>
      <c r="JZA44" s="31"/>
      <c r="JZB44" s="30"/>
      <c r="JZC44" s="31"/>
      <c r="JZD44" s="30"/>
      <c r="JZE44" s="31"/>
      <c r="JZF44" s="30"/>
      <c r="JZG44" s="31"/>
      <c r="JZH44" s="30"/>
      <c r="JZI44" s="31"/>
      <c r="JZJ44" s="30"/>
      <c r="JZK44" s="31"/>
      <c r="JZL44" s="30"/>
      <c r="JZM44" s="31"/>
      <c r="JZN44" s="30"/>
      <c r="JZO44" s="31"/>
      <c r="JZP44" s="30"/>
      <c r="JZQ44" s="31"/>
      <c r="JZR44" s="30"/>
      <c r="JZS44" s="31"/>
      <c r="JZT44" s="30"/>
      <c r="JZU44" s="31"/>
      <c r="JZV44" s="30"/>
      <c r="JZW44" s="31"/>
      <c r="JZX44" s="30"/>
      <c r="JZY44" s="31"/>
      <c r="JZZ44" s="30"/>
      <c r="KAA44" s="31"/>
      <c r="KAB44" s="30"/>
      <c r="KAC44" s="31"/>
      <c r="KAD44" s="30"/>
      <c r="KAE44" s="31"/>
      <c r="KAF44" s="30"/>
      <c r="KAG44" s="31"/>
      <c r="KAH44" s="30"/>
      <c r="KAI44" s="31"/>
      <c r="KAJ44" s="30"/>
      <c r="KAK44" s="31"/>
      <c r="KAL44" s="30"/>
      <c r="KAM44" s="31"/>
      <c r="KAN44" s="30"/>
      <c r="KAO44" s="31"/>
      <c r="KAP44" s="30"/>
      <c r="KAQ44" s="31"/>
      <c r="KAR44" s="30"/>
      <c r="KAS44" s="31"/>
      <c r="KAT44" s="30"/>
      <c r="KAU44" s="31"/>
      <c r="KAV44" s="30"/>
      <c r="KAW44" s="31"/>
      <c r="KAX44" s="30"/>
      <c r="KAY44" s="31"/>
      <c r="KAZ44" s="30"/>
      <c r="KBA44" s="31"/>
      <c r="KBB44" s="30"/>
      <c r="KBC44" s="31"/>
      <c r="KBD44" s="30"/>
      <c r="KBE44" s="31"/>
      <c r="KBF44" s="30"/>
      <c r="KBG44" s="31"/>
      <c r="KBH44" s="30"/>
      <c r="KBI44" s="31"/>
      <c r="KBJ44" s="30"/>
      <c r="KBK44" s="31"/>
      <c r="KBL44" s="30"/>
      <c r="KBM44" s="31"/>
      <c r="KBN44" s="30"/>
      <c r="KBO44" s="31"/>
      <c r="KBP44" s="30"/>
      <c r="KBQ44" s="31"/>
      <c r="KBR44" s="30"/>
      <c r="KBS44" s="31"/>
      <c r="KBT44" s="30"/>
      <c r="KBU44" s="31"/>
      <c r="KBV44" s="30"/>
      <c r="KBW44" s="31"/>
      <c r="KBX44" s="30"/>
      <c r="KBY44" s="31"/>
      <c r="KBZ44" s="30"/>
      <c r="KCA44" s="31"/>
      <c r="KCB44" s="30"/>
      <c r="KCC44" s="31"/>
      <c r="KCD44" s="30"/>
      <c r="KCE44" s="31"/>
      <c r="KCF44" s="30"/>
      <c r="KCG44" s="31"/>
      <c r="KCH44" s="30"/>
      <c r="KCI44" s="31"/>
      <c r="KCJ44" s="30"/>
      <c r="KCK44" s="31"/>
      <c r="KCL44" s="30"/>
      <c r="KCM44" s="31"/>
      <c r="KCN44" s="30"/>
      <c r="KCO44" s="31"/>
      <c r="KCP44" s="30"/>
      <c r="KCQ44" s="31"/>
      <c r="KCR44" s="30"/>
      <c r="KCS44" s="31"/>
      <c r="KCT44" s="30"/>
      <c r="KCU44" s="31"/>
      <c r="KCV44" s="30"/>
      <c r="KCW44" s="31"/>
      <c r="KCX44" s="30"/>
      <c r="KCY44" s="31"/>
      <c r="KCZ44" s="30"/>
      <c r="KDA44" s="31"/>
      <c r="KDB44" s="30"/>
      <c r="KDC44" s="31"/>
      <c r="KDD44" s="30"/>
      <c r="KDE44" s="31"/>
      <c r="KDF44" s="30"/>
      <c r="KDG44" s="31"/>
      <c r="KDH44" s="30"/>
      <c r="KDI44" s="31"/>
      <c r="KDJ44" s="30"/>
      <c r="KDK44" s="31"/>
      <c r="KDL44" s="30"/>
      <c r="KDM44" s="31"/>
      <c r="KDN44" s="30"/>
      <c r="KDO44" s="31"/>
      <c r="KDP44" s="30"/>
      <c r="KDQ44" s="31"/>
      <c r="KDR44" s="30"/>
      <c r="KDS44" s="31"/>
      <c r="KDT44" s="30"/>
      <c r="KDU44" s="31"/>
      <c r="KDV44" s="30"/>
      <c r="KDW44" s="31"/>
      <c r="KDX44" s="30"/>
      <c r="KDY44" s="31"/>
      <c r="KDZ44" s="30"/>
      <c r="KEA44" s="31"/>
      <c r="KEB44" s="30"/>
      <c r="KEC44" s="31"/>
      <c r="KED44" s="30"/>
      <c r="KEE44" s="31"/>
      <c r="KEF44" s="30"/>
      <c r="KEG44" s="31"/>
      <c r="KEH44" s="30"/>
      <c r="KEI44" s="31"/>
      <c r="KEJ44" s="30"/>
      <c r="KEK44" s="31"/>
      <c r="KEL44" s="30"/>
      <c r="KEM44" s="31"/>
      <c r="KEN44" s="30"/>
      <c r="KEO44" s="31"/>
      <c r="KEP44" s="30"/>
      <c r="KEQ44" s="31"/>
      <c r="KER44" s="30"/>
      <c r="KES44" s="31"/>
      <c r="KET44" s="30"/>
      <c r="KEU44" s="31"/>
      <c r="KEV44" s="30"/>
      <c r="KEW44" s="31"/>
      <c r="KEX44" s="30"/>
      <c r="KEY44" s="31"/>
      <c r="KEZ44" s="30"/>
      <c r="KFA44" s="31"/>
      <c r="KFB44" s="30"/>
      <c r="KFC44" s="31"/>
      <c r="KFD44" s="30"/>
      <c r="KFE44" s="31"/>
      <c r="KFF44" s="30"/>
      <c r="KFG44" s="31"/>
      <c r="KFH44" s="30"/>
      <c r="KFI44" s="31"/>
      <c r="KFJ44" s="30"/>
      <c r="KFK44" s="31"/>
      <c r="KFL44" s="30"/>
      <c r="KFM44" s="31"/>
      <c r="KFN44" s="30"/>
      <c r="KFO44" s="31"/>
      <c r="KFP44" s="30"/>
      <c r="KFQ44" s="31"/>
      <c r="KFR44" s="30"/>
      <c r="KFS44" s="31"/>
      <c r="KFT44" s="30"/>
      <c r="KFU44" s="31"/>
      <c r="KFV44" s="30"/>
      <c r="KFW44" s="31"/>
      <c r="KFX44" s="30"/>
      <c r="KFY44" s="31"/>
      <c r="KFZ44" s="30"/>
      <c r="KGA44" s="31"/>
      <c r="KGB44" s="30"/>
      <c r="KGC44" s="31"/>
      <c r="KGD44" s="30"/>
      <c r="KGE44" s="31"/>
      <c r="KGF44" s="30"/>
      <c r="KGG44" s="31"/>
      <c r="KGH44" s="30"/>
      <c r="KGI44" s="31"/>
      <c r="KGJ44" s="30"/>
      <c r="KGK44" s="31"/>
      <c r="KGL44" s="30"/>
      <c r="KGM44" s="31"/>
      <c r="KGN44" s="30"/>
      <c r="KGO44" s="31"/>
      <c r="KGP44" s="30"/>
      <c r="KGQ44" s="31"/>
      <c r="KGR44" s="30"/>
      <c r="KGS44" s="31"/>
      <c r="KGT44" s="30"/>
      <c r="KGU44" s="31"/>
      <c r="KGV44" s="30"/>
      <c r="KGW44" s="31"/>
      <c r="KGX44" s="30"/>
      <c r="KGY44" s="31"/>
      <c r="KGZ44" s="30"/>
      <c r="KHA44" s="31"/>
      <c r="KHB44" s="30"/>
      <c r="KHC44" s="31"/>
      <c r="KHD44" s="30"/>
      <c r="KHE44" s="31"/>
      <c r="KHF44" s="30"/>
      <c r="KHG44" s="31"/>
      <c r="KHH44" s="30"/>
      <c r="KHI44" s="31"/>
      <c r="KHJ44" s="30"/>
      <c r="KHK44" s="31"/>
      <c r="KHL44" s="30"/>
      <c r="KHM44" s="31"/>
      <c r="KHN44" s="30"/>
      <c r="KHO44" s="31"/>
      <c r="KHP44" s="30"/>
      <c r="KHQ44" s="31"/>
      <c r="KHR44" s="30"/>
      <c r="KHS44" s="31"/>
      <c r="KHT44" s="30"/>
      <c r="KHU44" s="31"/>
      <c r="KHV44" s="30"/>
      <c r="KHW44" s="31"/>
      <c r="KHX44" s="30"/>
      <c r="KHY44" s="31"/>
      <c r="KHZ44" s="30"/>
      <c r="KIA44" s="31"/>
      <c r="KIB44" s="30"/>
      <c r="KIC44" s="31"/>
      <c r="KID44" s="30"/>
      <c r="KIE44" s="31"/>
      <c r="KIF44" s="30"/>
      <c r="KIG44" s="31"/>
      <c r="KIH44" s="30"/>
      <c r="KII44" s="31"/>
      <c r="KIJ44" s="30"/>
      <c r="KIK44" s="31"/>
      <c r="KIL44" s="30"/>
      <c r="KIM44" s="31"/>
      <c r="KIN44" s="30"/>
      <c r="KIO44" s="31"/>
      <c r="KIP44" s="30"/>
      <c r="KIQ44" s="31"/>
      <c r="KIR44" s="30"/>
      <c r="KIS44" s="31"/>
      <c r="KIT44" s="30"/>
      <c r="KIU44" s="31"/>
      <c r="KIV44" s="30"/>
      <c r="KIW44" s="31"/>
      <c r="KIX44" s="30"/>
      <c r="KIY44" s="31"/>
      <c r="KIZ44" s="30"/>
      <c r="KJA44" s="31"/>
      <c r="KJB44" s="30"/>
      <c r="KJC44" s="31"/>
      <c r="KJD44" s="30"/>
      <c r="KJE44" s="31"/>
      <c r="KJF44" s="30"/>
      <c r="KJG44" s="31"/>
      <c r="KJH44" s="30"/>
      <c r="KJI44" s="31"/>
      <c r="KJJ44" s="30"/>
      <c r="KJK44" s="31"/>
      <c r="KJL44" s="30"/>
      <c r="KJM44" s="31"/>
      <c r="KJN44" s="30"/>
      <c r="KJO44" s="31"/>
      <c r="KJP44" s="30"/>
      <c r="KJQ44" s="31"/>
      <c r="KJR44" s="30"/>
      <c r="KJS44" s="31"/>
      <c r="KJT44" s="30"/>
      <c r="KJU44" s="31"/>
      <c r="KJV44" s="30"/>
      <c r="KJW44" s="31"/>
      <c r="KJX44" s="30"/>
      <c r="KJY44" s="31"/>
      <c r="KJZ44" s="30"/>
      <c r="KKA44" s="31"/>
      <c r="KKB44" s="30"/>
      <c r="KKC44" s="31"/>
      <c r="KKD44" s="30"/>
      <c r="KKE44" s="31"/>
      <c r="KKF44" s="30"/>
      <c r="KKG44" s="31"/>
      <c r="KKH44" s="30"/>
      <c r="KKI44" s="31"/>
      <c r="KKJ44" s="30"/>
      <c r="KKK44" s="31"/>
      <c r="KKL44" s="30"/>
      <c r="KKM44" s="31"/>
      <c r="KKN44" s="30"/>
      <c r="KKO44" s="31"/>
      <c r="KKP44" s="30"/>
      <c r="KKQ44" s="31"/>
      <c r="KKR44" s="30"/>
      <c r="KKS44" s="31"/>
      <c r="KKT44" s="30"/>
      <c r="KKU44" s="31"/>
      <c r="KKV44" s="30"/>
      <c r="KKW44" s="31"/>
      <c r="KKX44" s="30"/>
      <c r="KKY44" s="31"/>
      <c r="KKZ44" s="30"/>
      <c r="KLA44" s="31"/>
      <c r="KLB44" s="30"/>
      <c r="KLC44" s="31"/>
      <c r="KLD44" s="30"/>
      <c r="KLE44" s="31"/>
      <c r="KLF44" s="30"/>
      <c r="KLG44" s="31"/>
      <c r="KLH44" s="30"/>
      <c r="KLI44" s="31"/>
      <c r="KLJ44" s="30"/>
      <c r="KLK44" s="31"/>
      <c r="KLL44" s="30"/>
      <c r="KLM44" s="31"/>
      <c r="KLN44" s="30"/>
      <c r="KLO44" s="31"/>
      <c r="KLP44" s="30"/>
      <c r="KLQ44" s="31"/>
      <c r="KLR44" s="30"/>
      <c r="KLS44" s="31"/>
      <c r="KLT44" s="30"/>
      <c r="KLU44" s="31"/>
      <c r="KLV44" s="30"/>
      <c r="KLW44" s="31"/>
      <c r="KLX44" s="30"/>
      <c r="KLY44" s="31"/>
      <c r="KLZ44" s="30"/>
      <c r="KMA44" s="31"/>
      <c r="KMB44" s="30"/>
      <c r="KMC44" s="31"/>
      <c r="KMD44" s="30"/>
      <c r="KME44" s="31"/>
      <c r="KMF44" s="30"/>
      <c r="KMG44" s="31"/>
      <c r="KMH44" s="30"/>
      <c r="KMI44" s="31"/>
      <c r="KMJ44" s="30"/>
      <c r="KMK44" s="31"/>
      <c r="KML44" s="30"/>
      <c r="KMM44" s="31"/>
      <c r="KMN44" s="30"/>
      <c r="KMO44" s="31"/>
      <c r="KMP44" s="30"/>
      <c r="KMQ44" s="31"/>
      <c r="KMR44" s="30"/>
      <c r="KMS44" s="31"/>
      <c r="KMT44" s="30"/>
      <c r="KMU44" s="31"/>
      <c r="KMV44" s="30"/>
      <c r="KMW44" s="31"/>
      <c r="KMX44" s="30"/>
      <c r="KMY44" s="31"/>
      <c r="KMZ44" s="30"/>
      <c r="KNA44" s="31"/>
      <c r="KNB44" s="30"/>
      <c r="KNC44" s="31"/>
      <c r="KND44" s="30"/>
      <c r="KNE44" s="31"/>
      <c r="KNF44" s="30"/>
      <c r="KNG44" s="31"/>
      <c r="KNH44" s="30"/>
      <c r="KNI44" s="31"/>
      <c r="KNJ44" s="30"/>
      <c r="KNK44" s="31"/>
      <c r="KNL44" s="30"/>
      <c r="KNM44" s="31"/>
      <c r="KNN44" s="30"/>
      <c r="KNO44" s="31"/>
      <c r="KNP44" s="30"/>
      <c r="KNQ44" s="31"/>
      <c r="KNR44" s="30"/>
      <c r="KNS44" s="31"/>
      <c r="KNT44" s="30"/>
      <c r="KNU44" s="31"/>
      <c r="KNV44" s="30"/>
      <c r="KNW44" s="31"/>
      <c r="KNX44" s="30"/>
      <c r="KNY44" s="31"/>
      <c r="KNZ44" s="30"/>
      <c r="KOA44" s="31"/>
      <c r="KOB44" s="30"/>
      <c r="KOC44" s="31"/>
      <c r="KOD44" s="30"/>
      <c r="KOE44" s="31"/>
      <c r="KOF44" s="30"/>
      <c r="KOG44" s="31"/>
      <c r="KOH44" s="30"/>
      <c r="KOI44" s="31"/>
      <c r="KOJ44" s="30"/>
      <c r="KOK44" s="31"/>
      <c r="KOL44" s="30"/>
      <c r="KOM44" s="31"/>
      <c r="KON44" s="30"/>
      <c r="KOO44" s="31"/>
      <c r="KOP44" s="30"/>
      <c r="KOQ44" s="31"/>
      <c r="KOR44" s="30"/>
      <c r="KOS44" s="31"/>
      <c r="KOT44" s="30"/>
      <c r="KOU44" s="31"/>
      <c r="KOV44" s="30"/>
      <c r="KOW44" s="31"/>
      <c r="KOX44" s="30"/>
      <c r="KOY44" s="31"/>
      <c r="KOZ44" s="30"/>
      <c r="KPA44" s="31"/>
      <c r="KPB44" s="30"/>
      <c r="KPC44" s="31"/>
      <c r="KPD44" s="30"/>
      <c r="KPE44" s="31"/>
      <c r="KPF44" s="30"/>
      <c r="KPG44" s="31"/>
      <c r="KPH44" s="30"/>
      <c r="KPI44" s="31"/>
      <c r="KPJ44" s="30"/>
      <c r="KPK44" s="31"/>
      <c r="KPL44" s="30"/>
      <c r="KPM44" s="31"/>
      <c r="KPN44" s="30"/>
      <c r="KPO44" s="31"/>
      <c r="KPP44" s="30"/>
      <c r="KPQ44" s="31"/>
      <c r="KPR44" s="30"/>
      <c r="KPS44" s="31"/>
      <c r="KPT44" s="30"/>
      <c r="KPU44" s="31"/>
      <c r="KPV44" s="30"/>
      <c r="KPW44" s="31"/>
      <c r="KPX44" s="30"/>
      <c r="KPY44" s="31"/>
      <c r="KPZ44" s="30"/>
      <c r="KQA44" s="31"/>
      <c r="KQB44" s="30"/>
      <c r="KQC44" s="31"/>
      <c r="KQD44" s="30"/>
      <c r="KQE44" s="31"/>
      <c r="KQF44" s="30"/>
      <c r="KQG44" s="31"/>
      <c r="KQH44" s="30"/>
      <c r="KQI44" s="31"/>
      <c r="KQJ44" s="30"/>
      <c r="KQK44" s="31"/>
      <c r="KQL44" s="30"/>
      <c r="KQM44" s="31"/>
      <c r="KQN44" s="30"/>
      <c r="KQO44" s="31"/>
      <c r="KQP44" s="30"/>
      <c r="KQQ44" s="31"/>
      <c r="KQR44" s="30"/>
      <c r="KQS44" s="31"/>
      <c r="KQT44" s="30"/>
      <c r="KQU44" s="31"/>
      <c r="KQV44" s="30"/>
      <c r="KQW44" s="31"/>
      <c r="KQX44" s="30"/>
      <c r="KQY44" s="31"/>
      <c r="KQZ44" s="30"/>
      <c r="KRA44" s="31"/>
      <c r="KRB44" s="30"/>
      <c r="KRC44" s="31"/>
      <c r="KRD44" s="30"/>
      <c r="KRE44" s="31"/>
      <c r="KRF44" s="30"/>
      <c r="KRG44" s="31"/>
      <c r="KRH44" s="30"/>
      <c r="KRI44" s="31"/>
      <c r="KRJ44" s="30"/>
      <c r="KRK44" s="31"/>
      <c r="KRL44" s="30"/>
      <c r="KRM44" s="31"/>
      <c r="KRN44" s="30"/>
      <c r="KRO44" s="31"/>
      <c r="KRP44" s="30"/>
      <c r="KRQ44" s="31"/>
      <c r="KRR44" s="30"/>
      <c r="KRS44" s="31"/>
      <c r="KRT44" s="30"/>
      <c r="KRU44" s="31"/>
      <c r="KRV44" s="30"/>
      <c r="KRW44" s="31"/>
      <c r="KRX44" s="30"/>
      <c r="KRY44" s="31"/>
      <c r="KRZ44" s="30"/>
      <c r="KSA44" s="31"/>
      <c r="KSB44" s="30"/>
      <c r="KSC44" s="31"/>
      <c r="KSD44" s="30"/>
      <c r="KSE44" s="31"/>
      <c r="KSF44" s="30"/>
      <c r="KSG44" s="31"/>
      <c r="KSH44" s="30"/>
      <c r="KSI44" s="31"/>
      <c r="KSJ44" s="30"/>
      <c r="KSK44" s="31"/>
      <c r="KSL44" s="30"/>
      <c r="KSM44" s="31"/>
      <c r="KSN44" s="30"/>
      <c r="KSO44" s="31"/>
      <c r="KSP44" s="30"/>
      <c r="KSQ44" s="31"/>
      <c r="KSR44" s="30"/>
      <c r="KSS44" s="31"/>
      <c r="KST44" s="30"/>
      <c r="KSU44" s="31"/>
      <c r="KSV44" s="30"/>
      <c r="KSW44" s="31"/>
      <c r="KSX44" s="30"/>
      <c r="KSY44" s="31"/>
      <c r="KSZ44" s="30"/>
      <c r="KTA44" s="31"/>
      <c r="KTB44" s="30"/>
      <c r="KTC44" s="31"/>
      <c r="KTD44" s="30"/>
      <c r="KTE44" s="31"/>
      <c r="KTF44" s="30"/>
      <c r="KTG44" s="31"/>
      <c r="KTH44" s="30"/>
      <c r="KTI44" s="31"/>
      <c r="KTJ44" s="30"/>
      <c r="KTK44" s="31"/>
      <c r="KTL44" s="30"/>
      <c r="KTM44" s="31"/>
      <c r="KTN44" s="30"/>
      <c r="KTO44" s="31"/>
      <c r="KTP44" s="30"/>
      <c r="KTQ44" s="31"/>
      <c r="KTR44" s="30"/>
      <c r="KTS44" s="31"/>
      <c r="KTT44" s="30"/>
      <c r="KTU44" s="31"/>
      <c r="KTV44" s="30"/>
      <c r="KTW44" s="31"/>
      <c r="KTX44" s="30"/>
      <c r="KTY44" s="31"/>
      <c r="KTZ44" s="30"/>
      <c r="KUA44" s="31"/>
      <c r="KUB44" s="30"/>
      <c r="KUC44" s="31"/>
      <c r="KUD44" s="30"/>
      <c r="KUE44" s="31"/>
      <c r="KUF44" s="30"/>
      <c r="KUG44" s="31"/>
      <c r="KUH44" s="30"/>
      <c r="KUI44" s="31"/>
      <c r="KUJ44" s="30"/>
      <c r="KUK44" s="31"/>
      <c r="KUL44" s="30"/>
      <c r="KUM44" s="31"/>
      <c r="KUN44" s="30"/>
      <c r="KUO44" s="31"/>
      <c r="KUP44" s="30"/>
      <c r="KUQ44" s="31"/>
      <c r="KUR44" s="30"/>
      <c r="KUS44" s="31"/>
      <c r="KUT44" s="30"/>
      <c r="KUU44" s="31"/>
      <c r="KUV44" s="30"/>
      <c r="KUW44" s="31"/>
      <c r="KUX44" s="30"/>
      <c r="KUY44" s="31"/>
      <c r="KUZ44" s="30"/>
      <c r="KVA44" s="31"/>
      <c r="KVB44" s="30"/>
      <c r="KVC44" s="31"/>
      <c r="KVD44" s="30"/>
      <c r="KVE44" s="31"/>
      <c r="KVF44" s="30"/>
      <c r="KVG44" s="31"/>
      <c r="KVH44" s="30"/>
      <c r="KVI44" s="31"/>
      <c r="KVJ44" s="30"/>
      <c r="KVK44" s="31"/>
      <c r="KVL44" s="30"/>
      <c r="KVM44" s="31"/>
      <c r="KVN44" s="30"/>
      <c r="KVO44" s="31"/>
      <c r="KVP44" s="30"/>
      <c r="KVQ44" s="31"/>
      <c r="KVR44" s="30"/>
      <c r="KVS44" s="31"/>
      <c r="KVT44" s="30"/>
      <c r="KVU44" s="31"/>
      <c r="KVV44" s="30"/>
      <c r="KVW44" s="31"/>
      <c r="KVX44" s="30"/>
      <c r="KVY44" s="31"/>
      <c r="KVZ44" s="30"/>
      <c r="KWA44" s="31"/>
      <c r="KWB44" s="30"/>
      <c r="KWC44" s="31"/>
      <c r="KWD44" s="30"/>
      <c r="KWE44" s="31"/>
      <c r="KWF44" s="30"/>
      <c r="KWG44" s="31"/>
      <c r="KWH44" s="30"/>
      <c r="KWI44" s="31"/>
      <c r="KWJ44" s="30"/>
      <c r="KWK44" s="31"/>
      <c r="KWL44" s="30"/>
      <c r="KWM44" s="31"/>
      <c r="KWN44" s="30"/>
      <c r="KWO44" s="31"/>
      <c r="KWP44" s="30"/>
      <c r="KWQ44" s="31"/>
      <c r="KWR44" s="30"/>
      <c r="KWS44" s="31"/>
      <c r="KWT44" s="30"/>
      <c r="KWU44" s="31"/>
      <c r="KWV44" s="30"/>
      <c r="KWW44" s="31"/>
      <c r="KWX44" s="30"/>
      <c r="KWY44" s="31"/>
      <c r="KWZ44" s="30"/>
      <c r="KXA44" s="31"/>
      <c r="KXB44" s="30"/>
      <c r="KXC44" s="31"/>
      <c r="KXD44" s="30"/>
      <c r="KXE44" s="31"/>
      <c r="KXF44" s="30"/>
      <c r="KXG44" s="31"/>
      <c r="KXH44" s="30"/>
      <c r="KXI44" s="31"/>
      <c r="KXJ44" s="30"/>
      <c r="KXK44" s="31"/>
      <c r="KXL44" s="30"/>
      <c r="KXM44" s="31"/>
      <c r="KXN44" s="30"/>
      <c r="KXO44" s="31"/>
      <c r="KXP44" s="30"/>
      <c r="KXQ44" s="31"/>
      <c r="KXR44" s="30"/>
      <c r="KXS44" s="31"/>
      <c r="KXT44" s="30"/>
      <c r="KXU44" s="31"/>
      <c r="KXV44" s="30"/>
      <c r="KXW44" s="31"/>
      <c r="KXX44" s="30"/>
      <c r="KXY44" s="31"/>
      <c r="KXZ44" s="30"/>
      <c r="KYA44" s="31"/>
      <c r="KYB44" s="30"/>
      <c r="KYC44" s="31"/>
      <c r="KYD44" s="30"/>
      <c r="KYE44" s="31"/>
      <c r="KYF44" s="30"/>
      <c r="KYG44" s="31"/>
      <c r="KYH44" s="30"/>
      <c r="KYI44" s="31"/>
      <c r="KYJ44" s="30"/>
      <c r="KYK44" s="31"/>
      <c r="KYL44" s="30"/>
      <c r="KYM44" s="31"/>
      <c r="KYN44" s="30"/>
      <c r="KYO44" s="31"/>
      <c r="KYP44" s="30"/>
      <c r="KYQ44" s="31"/>
      <c r="KYR44" s="30"/>
      <c r="KYS44" s="31"/>
      <c r="KYT44" s="30"/>
      <c r="KYU44" s="31"/>
      <c r="KYV44" s="30"/>
      <c r="KYW44" s="31"/>
      <c r="KYX44" s="30"/>
      <c r="KYY44" s="31"/>
      <c r="KYZ44" s="30"/>
      <c r="KZA44" s="31"/>
      <c r="KZB44" s="30"/>
      <c r="KZC44" s="31"/>
      <c r="KZD44" s="30"/>
      <c r="KZE44" s="31"/>
      <c r="KZF44" s="30"/>
      <c r="KZG44" s="31"/>
      <c r="KZH44" s="30"/>
      <c r="KZI44" s="31"/>
      <c r="KZJ44" s="30"/>
      <c r="KZK44" s="31"/>
      <c r="KZL44" s="30"/>
      <c r="KZM44" s="31"/>
      <c r="KZN44" s="30"/>
      <c r="KZO44" s="31"/>
      <c r="KZP44" s="30"/>
      <c r="KZQ44" s="31"/>
      <c r="KZR44" s="30"/>
      <c r="KZS44" s="31"/>
      <c r="KZT44" s="30"/>
      <c r="KZU44" s="31"/>
      <c r="KZV44" s="30"/>
      <c r="KZW44" s="31"/>
      <c r="KZX44" s="30"/>
      <c r="KZY44" s="31"/>
      <c r="KZZ44" s="30"/>
      <c r="LAA44" s="31"/>
      <c r="LAB44" s="30"/>
      <c r="LAC44" s="31"/>
      <c r="LAD44" s="30"/>
      <c r="LAE44" s="31"/>
      <c r="LAF44" s="30"/>
      <c r="LAG44" s="31"/>
      <c r="LAH44" s="30"/>
      <c r="LAI44" s="31"/>
      <c r="LAJ44" s="30"/>
      <c r="LAK44" s="31"/>
      <c r="LAL44" s="30"/>
      <c r="LAM44" s="31"/>
      <c r="LAN44" s="30"/>
      <c r="LAO44" s="31"/>
      <c r="LAP44" s="30"/>
      <c r="LAQ44" s="31"/>
      <c r="LAR44" s="30"/>
      <c r="LAS44" s="31"/>
      <c r="LAT44" s="30"/>
      <c r="LAU44" s="31"/>
      <c r="LAV44" s="30"/>
      <c r="LAW44" s="31"/>
      <c r="LAX44" s="30"/>
      <c r="LAY44" s="31"/>
      <c r="LAZ44" s="30"/>
      <c r="LBA44" s="31"/>
      <c r="LBB44" s="30"/>
      <c r="LBC44" s="31"/>
      <c r="LBD44" s="30"/>
      <c r="LBE44" s="31"/>
      <c r="LBF44" s="30"/>
      <c r="LBG44" s="31"/>
      <c r="LBH44" s="30"/>
      <c r="LBI44" s="31"/>
      <c r="LBJ44" s="30"/>
      <c r="LBK44" s="31"/>
      <c r="LBL44" s="30"/>
      <c r="LBM44" s="31"/>
      <c r="LBN44" s="30"/>
      <c r="LBO44" s="31"/>
      <c r="LBP44" s="30"/>
      <c r="LBQ44" s="31"/>
      <c r="LBR44" s="30"/>
      <c r="LBS44" s="31"/>
      <c r="LBT44" s="30"/>
      <c r="LBU44" s="31"/>
      <c r="LBV44" s="30"/>
      <c r="LBW44" s="31"/>
      <c r="LBX44" s="30"/>
      <c r="LBY44" s="31"/>
      <c r="LBZ44" s="30"/>
      <c r="LCA44" s="31"/>
      <c r="LCB44" s="30"/>
      <c r="LCC44" s="31"/>
      <c r="LCD44" s="30"/>
      <c r="LCE44" s="31"/>
      <c r="LCF44" s="30"/>
      <c r="LCG44" s="31"/>
      <c r="LCH44" s="30"/>
      <c r="LCI44" s="31"/>
      <c r="LCJ44" s="30"/>
      <c r="LCK44" s="31"/>
      <c r="LCL44" s="30"/>
      <c r="LCM44" s="31"/>
      <c r="LCN44" s="30"/>
      <c r="LCO44" s="31"/>
      <c r="LCP44" s="30"/>
      <c r="LCQ44" s="31"/>
      <c r="LCR44" s="30"/>
      <c r="LCS44" s="31"/>
      <c r="LCT44" s="30"/>
      <c r="LCU44" s="31"/>
      <c r="LCV44" s="30"/>
      <c r="LCW44" s="31"/>
      <c r="LCX44" s="30"/>
      <c r="LCY44" s="31"/>
      <c r="LCZ44" s="30"/>
      <c r="LDA44" s="31"/>
      <c r="LDB44" s="30"/>
      <c r="LDC44" s="31"/>
      <c r="LDD44" s="30"/>
      <c r="LDE44" s="31"/>
      <c r="LDF44" s="30"/>
      <c r="LDG44" s="31"/>
      <c r="LDH44" s="30"/>
      <c r="LDI44" s="31"/>
      <c r="LDJ44" s="30"/>
      <c r="LDK44" s="31"/>
      <c r="LDL44" s="30"/>
      <c r="LDM44" s="31"/>
      <c r="LDN44" s="30"/>
      <c r="LDO44" s="31"/>
      <c r="LDP44" s="30"/>
      <c r="LDQ44" s="31"/>
      <c r="LDR44" s="30"/>
      <c r="LDS44" s="31"/>
      <c r="LDT44" s="30"/>
      <c r="LDU44" s="31"/>
      <c r="LDV44" s="30"/>
      <c r="LDW44" s="31"/>
      <c r="LDX44" s="30"/>
      <c r="LDY44" s="31"/>
      <c r="LDZ44" s="30"/>
      <c r="LEA44" s="31"/>
      <c r="LEB44" s="30"/>
      <c r="LEC44" s="31"/>
      <c r="LED44" s="30"/>
      <c r="LEE44" s="31"/>
      <c r="LEF44" s="30"/>
      <c r="LEG44" s="31"/>
      <c r="LEH44" s="30"/>
      <c r="LEI44" s="31"/>
      <c r="LEJ44" s="30"/>
      <c r="LEK44" s="31"/>
      <c r="LEL44" s="30"/>
      <c r="LEM44" s="31"/>
      <c r="LEN44" s="30"/>
      <c r="LEO44" s="31"/>
      <c r="LEP44" s="30"/>
      <c r="LEQ44" s="31"/>
      <c r="LER44" s="30"/>
      <c r="LES44" s="31"/>
      <c r="LET44" s="30"/>
      <c r="LEU44" s="31"/>
      <c r="LEV44" s="30"/>
      <c r="LEW44" s="31"/>
      <c r="LEX44" s="30"/>
      <c r="LEY44" s="31"/>
      <c r="LEZ44" s="30"/>
      <c r="LFA44" s="31"/>
      <c r="LFB44" s="30"/>
      <c r="LFC44" s="31"/>
      <c r="LFD44" s="30"/>
      <c r="LFE44" s="31"/>
      <c r="LFF44" s="30"/>
      <c r="LFG44" s="31"/>
      <c r="LFH44" s="30"/>
      <c r="LFI44" s="31"/>
      <c r="LFJ44" s="30"/>
      <c r="LFK44" s="31"/>
      <c r="LFL44" s="30"/>
      <c r="LFM44" s="31"/>
      <c r="LFN44" s="30"/>
      <c r="LFO44" s="31"/>
      <c r="LFP44" s="30"/>
      <c r="LFQ44" s="31"/>
      <c r="LFR44" s="30"/>
      <c r="LFS44" s="31"/>
      <c r="LFT44" s="30"/>
      <c r="LFU44" s="31"/>
      <c r="LFV44" s="30"/>
      <c r="LFW44" s="31"/>
      <c r="LFX44" s="30"/>
      <c r="LFY44" s="31"/>
      <c r="LFZ44" s="30"/>
      <c r="LGA44" s="31"/>
      <c r="LGB44" s="30"/>
      <c r="LGC44" s="31"/>
      <c r="LGD44" s="30"/>
      <c r="LGE44" s="31"/>
      <c r="LGF44" s="30"/>
      <c r="LGG44" s="31"/>
      <c r="LGH44" s="30"/>
      <c r="LGI44" s="31"/>
      <c r="LGJ44" s="30"/>
      <c r="LGK44" s="31"/>
      <c r="LGL44" s="30"/>
      <c r="LGM44" s="31"/>
      <c r="LGN44" s="30"/>
      <c r="LGO44" s="31"/>
      <c r="LGP44" s="30"/>
      <c r="LGQ44" s="31"/>
      <c r="LGR44" s="30"/>
      <c r="LGS44" s="31"/>
      <c r="LGT44" s="30"/>
      <c r="LGU44" s="31"/>
      <c r="LGV44" s="30"/>
      <c r="LGW44" s="31"/>
      <c r="LGX44" s="30"/>
      <c r="LGY44" s="31"/>
      <c r="LGZ44" s="30"/>
      <c r="LHA44" s="31"/>
      <c r="LHB44" s="30"/>
      <c r="LHC44" s="31"/>
      <c r="LHD44" s="30"/>
      <c r="LHE44" s="31"/>
      <c r="LHF44" s="30"/>
      <c r="LHG44" s="31"/>
      <c r="LHH44" s="30"/>
      <c r="LHI44" s="31"/>
      <c r="LHJ44" s="30"/>
      <c r="LHK44" s="31"/>
      <c r="LHL44" s="30"/>
      <c r="LHM44" s="31"/>
      <c r="LHN44" s="30"/>
      <c r="LHO44" s="31"/>
      <c r="LHP44" s="30"/>
      <c r="LHQ44" s="31"/>
      <c r="LHR44" s="30"/>
      <c r="LHS44" s="31"/>
      <c r="LHT44" s="30"/>
      <c r="LHU44" s="31"/>
      <c r="LHV44" s="30"/>
      <c r="LHW44" s="31"/>
      <c r="LHX44" s="30"/>
      <c r="LHY44" s="31"/>
      <c r="LHZ44" s="30"/>
      <c r="LIA44" s="31"/>
      <c r="LIB44" s="30"/>
      <c r="LIC44" s="31"/>
      <c r="LID44" s="30"/>
      <c r="LIE44" s="31"/>
      <c r="LIF44" s="30"/>
      <c r="LIG44" s="31"/>
      <c r="LIH44" s="30"/>
      <c r="LII44" s="31"/>
      <c r="LIJ44" s="30"/>
      <c r="LIK44" s="31"/>
      <c r="LIL44" s="30"/>
      <c r="LIM44" s="31"/>
      <c r="LIN44" s="30"/>
      <c r="LIO44" s="31"/>
      <c r="LIP44" s="30"/>
      <c r="LIQ44" s="31"/>
      <c r="LIR44" s="30"/>
      <c r="LIS44" s="31"/>
      <c r="LIT44" s="30"/>
      <c r="LIU44" s="31"/>
      <c r="LIV44" s="30"/>
      <c r="LIW44" s="31"/>
      <c r="LIX44" s="30"/>
      <c r="LIY44" s="31"/>
      <c r="LIZ44" s="30"/>
      <c r="LJA44" s="31"/>
      <c r="LJB44" s="30"/>
      <c r="LJC44" s="31"/>
      <c r="LJD44" s="30"/>
      <c r="LJE44" s="31"/>
      <c r="LJF44" s="30"/>
      <c r="LJG44" s="31"/>
      <c r="LJH44" s="30"/>
      <c r="LJI44" s="31"/>
      <c r="LJJ44" s="30"/>
      <c r="LJK44" s="31"/>
      <c r="LJL44" s="30"/>
      <c r="LJM44" s="31"/>
      <c r="LJN44" s="30"/>
      <c r="LJO44" s="31"/>
      <c r="LJP44" s="30"/>
      <c r="LJQ44" s="31"/>
      <c r="LJR44" s="30"/>
      <c r="LJS44" s="31"/>
      <c r="LJT44" s="30"/>
      <c r="LJU44" s="31"/>
      <c r="LJV44" s="30"/>
      <c r="LJW44" s="31"/>
      <c r="LJX44" s="30"/>
      <c r="LJY44" s="31"/>
      <c r="LJZ44" s="30"/>
      <c r="LKA44" s="31"/>
      <c r="LKB44" s="30"/>
      <c r="LKC44" s="31"/>
      <c r="LKD44" s="30"/>
      <c r="LKE44" s="31"/>
      <c r="LKF44" s="30"/>
      <c r="LKG44" s="31"/>
      <c r="LKH44" s="30"/>
      <c r="LKI44" s="31"/>
      <c r="LKJ44" s="30"/>
      <c r="LKK44" s="31"/>
      <c r="LKL44" s="30"/>
      <c r="LKM44" s="31"/>
      <c r="LKN44" s="30"/>
      <c r="LKO44" s="31"/>
      <c r="LKP44" s="30"/>
      <c r="LKQ44" s="31"/>
      <c r="LKR44" s="30"/>
      <c r="LKS44" s="31"/>
      <c r="LKT44" s="30"/>
      <c r="LKU44" s="31"/>
      <c r="LKV44" s="30"/>
      <c r="LKW44" s="31"/>
      <c r="LKX44" s="30"/>
      <c r="LKY44" s="31"/>
      <c r="LKZ44" s="30"/>
      <c r="LLA44" s="31"/>
      <c r="LLB44" s="30"/>
      <c r="LLC44" s="31"/>
      <c r="LLD44" s="30"/>
      <c r="LLE44" s="31"/>
      <c r="LLF44" s="30"/>
      <c r="LLG44" s="31"/>
      <c r="LLH44" s="30"/>
      <c r="LLI44" s="31"/>
      <c r="LLJ44" s="30"/>
      <c r="LLK44" s="31"/>
      <c r="LLL44" s="30"/>
      <c r="LLM44" s="31"/>
      <c r="LLN44" s="30"/>
      <c r="LLO44" s="31"/>
      <c r="LLP44" s="30"/>
      <c r="LLQ44" s="31"/>
      <c r="LLR44" s="30"/>
      <c r="LLS44" s="31"/>
      <c r="LLT44" s="30"/>
      <c r="LLU44" s="31"/>
      <c r="LLV44" s="30"/>
      <c r="LLW44" s="31"/>
      <c r="LLX44" s="30"/>
      <c r="LLY44" s="31"/>
      <c r="LLZ44" s="30"/>
      <c r="LMA44" s="31"/>
      <c r="LMB44" s="30"/>
      <c r="LMC44" s="31"/>
      <c r="LMD44" s="30"/>
      <c r="LME44" s="31"/>
      <c r="LMF44" s="30"/>
      <c r="LMG44" s="31"/>
      <c r="LMH44" s="30"/>
      <c r="LMI44" s="31"/>
      <c r="LMJ44" s="30"/>
      <c r="LMK44" s="31"/>
      <c r="LML44" s="30"/>
      <c r="LMM44" s="31"/>
      <c r="LMN44" s="30"/>
      <c r="LMO44" s="31"/>
      <c r="LMP44" s="30"/>
      <c r="LMQ44" s="31"/>
      <c r="LMR44" s="30"/>
      <c r="LMS44" s="31"/>
      <c r="LMT44" s="30"/>
      <c r="LMU44" s="31"/>
      <c r="LMV44" s="30"/>
      <c r="LMW44" s="31"/>
      <c r="LMX44" s="30"/>
      <c r="LMY44" s="31"/>
      <c r="LMZ44" s="30"/>
      <c r="LNA44" s="31"/>
      <c r="LNB44" s="30"/>
      <c r="LNC44" s="31"/>
      <c r="LND44" s="30"/>
      <c r="LNE44" s="31"/>
      <c r="LNF44" s="30"/>
      <c r="LNG44" s="31"/>
      <c r="LNH44" s="30"/>
      <c r="LNI44" s="31"/>
      <c r="LNJ44" s="30"/>
      <c r="LNK44" s="31"/>
      <c r="LNL44" s="30"/>
      <c r="LNM44" s="31"/>
      <c r="LNN44" s="30"/>
      <c r="LNO44" s="31"/>
      <c r="LNP44" s="30"/>
      <c r="LNQ44" s="31"/>
      <c r="LNR44" s="30"/>
      <c r="LNS44" s="31"/>
      <c r="LNT44" s="30"/>
      <c r="LNU44" s="31"/>
      <c r="LNV44" s="30"/>
      <c r="LNW44" s="31"/>
      <c r="LNX44" s="30"/>
      <c r="LNY44" s="31"/>
      <c r="LNZ44" s="30"/>
      <c r="LOA44" s="31"/>
      <c r="LOB44" s="30"/>
      <c r="LOC44" s="31"/>
      <c r="LOD44" s="30"/>
      <c r="LOE44" s="31"/>
      <c r="LOF44" s="30"/>
      <c r="LOG44" s="31"/>
      <c r="LOH44" s="30"/>
      <c r="LOI44" s="31"/>
      <c r="LOJ44" s="30"/>
      <c r="LOK44" s="31"/>
      <c r="LOL44" s="30"/>
      <c r="LOM44" s="31"/>
      <c r="LON44" s="30"/>
      <c r="LOO44" s="31"/>
      <c r="LOP44" s="30"/>
      <c r="LOQ44" s="31"/>
      <c r="LOR44" s="30"/>
      <c r="LOS44" s="31"/>
      <c r="LOT44" s="30"/>
      <c r="LOU44" s="31"/>
      <c r="LOV44" s="30"/>
      <c r="LOW44" s="31"/>
      <c r="LOX44" s="30"/>
      <c r="LOY44" s="31"/>
      <c r="LOZ44" s="30"/>
      <c r="LPA44" s="31"/>
      <c r="LPB44" s="30"/>
      <c r="LPC44" s="31"/>
      <c r="LPD44" s="30"/>
      <c r="LPE44" s="31"/>
      <c r="LPF44" s="30"/>
      <c r="LPG44" s="31"/>
      <c r="LPH44" s="30"/>
      <c r="LPI44" s="31"/>
      <c r="LPJ44" s="30"/>
      <c r="LPK44" s="31"/>
      <c r="LPL44" s="30"/>
      <c r="LPM44" s="31"/>
      <c r="LPN44" s="30"/>
      <c r="LPO44" s="31"/>
      <c r="LPP44" s="30"/>
      <c r="LPQ44" s="31"/>
      <c r="LPR44" s="30"/>
      <c r="LPS44" s="31"/>
      <c r="LPT44" s="30"/>
      <c r="LPU44" s="31"/>
      <c r="LPV44" s="30"/>
      <c r="LPW44" s="31"/>
      <c r="LPX44" s="30"/>
      <c r="LPY44" s="31"/>
      <c r="LPZ44" s="30"/>
      <c r="LQA44" s="31"/>
      <c r="LQB44" s="30"/>
      <c r="LQC44" s="31"/>
      <c r="LQD44" s="30"/>
      <c r="LQE44" s="31"/>
      <c r="LQF44" s="30"/>
      <c r="LQG44" s="31"/>
      <c r="LQH44" s="30"/>
      <c r="LQI44" s="31"/>
      <c r="LQJ44" s="30"/>
      <c r="LQK44" s="31"/>
      <c r="LQL44" s="30"/>
      <c r="LQM44" s="31"/>
      <c r="LQN44" s="30"/>
      <c r="LQO44" s="31"/>
      <c r="LQP44" s="30"/>
      <c r="LQQ44" s="31"/>
      <c r="LQR44" s="30"/>
      <c r="LQS44" s="31"/>
      <c r="LQT44" s="30"/>
      <c r="LQU44" s="31"/>
      <c r="LQV44" s="30"/>
      <c r="LQW44" s="31"/>
      <c r="LQX44" s="30"/>
      <c r="LQY44" s="31"/>
      <c r="LQZ44" s="30"/>
      <c r="LRA44" s="31"/>
      <c r="LRB44" s="30"/>
      <c r="LRC44" s="31"/>
      <c r="LRD44" s="30"/>
      <c r="LRE44" s="31"/>
      <c r="LRF44" s="30"/>
      <c r="LRG44" s="31"/>
      <c r="LRH44" s="30"/>
      <c r="LRI44" s="31"/>
      <c r="LRJ44" s="30"/>
      <c r="LRK44" s="31"/>
      <c r="LRL44" s="30"/>
      <c r="LRM44" s="31"/>
      <c r="LRN44" s="30"/>
      <c r="LRO44" s="31"/>
      <c r="LRP44" s="30"/>
      <c r="LRQ44" s="31"/>
      <c r="LRR44" s="30"/>
      <c r="LRS44" s="31"/>
      <c r="LRT44" s="30"/>
      <c r="LRU44" s="31"/>
      <c r="LRV44" s="30"/>
      <c r="LRW44" s="31"/>
      <c r="LRX44" s="30"/>
      <c r="LRY44" s="31"/>
      <c r="LRZ44" s="30"/>
      <c r="LSA44" s="31"/>
      <c r="LSB44" s="30"/>
      <c r="LSC44" s="31"/>
      <c r="LSD44" s="30"/>
      <c r="LSE44" s="31"/>
      <c r="LSF44" s="30"/>
      <c r="LSG44" s="31"/>
      <c r="LSH44" s="30"/>
      <c r="LSI44" s="31"/>
      <c r="LSJ44" s="30"/>
      <c r="LSK44" s="31"/>
      <c r="LSL44" s="30"/>
      <c r="LSM44" s="31"/>
      <c r="LSN44" s="30"/>
      <c r="LSO44" s="31"/>
      <c r="LSP44" s="30"/>
      <c r="LSQ44" s="31"/>
      <c r="LSR44" s="30"/>
      <c r="LSS44" s="31"/>
      <c r="LST44" s="30"/>
      <c r="LSU44" s="31"/>
      <c r="LSV44" s="30"/>
      <c r="LSW44" s="31"/>
      <c r="LSX44" s="30"/>
      <c r="LSY44" s="31"/>
      <c r="LSZ44" s="30"/>
      <c r="LTA44" s="31"/>
      <c r="LTB44" s="30"/>
      <c r="LTC44" s="31"/>
      <c r="LTD44" s="30"/>
      <c r="LTE44" s="31"/>
      <c r="LTF44" s="30"/>
      <c r="LTG44" s="31"/>
      <c r="LTH44" s="30"/>
      <c r="LTI44" s="31"/>
      <c r="LTJ44" s="30"/>
      <c r="LTK44" s="31"/>
      <c r="LTL44" s="30"/>
      <c r="LTM44" s="31"/>
      <c r="LTN44" s="30"/>
      <c r="LTO44" s="31"/>
      <c r="LTP44" s="30"/>
      <c r="LTQ44" s="31"/>
      <c r="LTR44" s="30"/>
      <c r="LTS44" s="31"/>
      <c r="LTT44" s="30"/>
      <c r="LTU44" s="31"/>
      <c r="LTV44" s="30"/>
      <c r="LTW44" s="31"/>
      <c r="LTX44" s="30"/>
      <c r="LTY44" s="31"/>
      <c r="LTZ44" s="30"/>
      <c r="LUA44" s="31"/>
      <c r="LUB44" s="30"/>
      <c r="LUC44" s="31"/>
      <c r="LUD44" s="30"/>
      <c r="LUE44" s="31"/>
      <c r="LUF44" s="30"/>
      <c r="LUG44" s="31"/>
      <c r="LUH44" s="30"/>
      <c r="LUI44" s="31"/>
      <c r="LUJ44" s="30"/>
      <c r="LUK44" s="31"/>
      <c r="LUL44" s="30"/>
      <c r="LUM44" s="31"/>
      <c r="LUN44" s="30"/>
      <c r="LUO44" s="31"/>
      <c r="LUP44" s="30"/>
      <c r="LUQ44" s="31"/>
      <c r="LUR44" s="30"/>
      <c r="LUS44" s="31"/>
      <c r="LUT44" s="30"/>
      <c r="LUU44" s="31"/>
      <c r="LUV44" s="30"/>
      <c r="LUW44" s="31"/>
      <c r="LUX44" s="30"/>
      <c r="LUY44" s="31"/>
      <c r="LUZ44" s="30"/>
      <c r="LVA44" s="31"/>
      <c r="LVB44" s="30"/>
      <c r="LVC44" s="31"/>
      <c r="LVD44" s="30"/>
      <c r="LVE44" s="31"/>
      <c r="LVF44" s="30"/>
      <c r="LVG44" s="31"/>
      <c r="LVH44" s="30"/>
      <c r="LVI44" s="31"/>
      <c r="LVJ44" s="30"/>
      <c r="LVK44" s="31"/>
      <c r="LVL44" s="30"/>
      <c r="LVM44" s="31"/>
      <c r="LVN44" s="30"/>
      <c r="LVO44" s="31"/>
      <c r="LVP44" s="30"/>
      <c r="LVQ44" s="31"/>
      <c r="LVR44" s="30"/>
      <c r="LVS44" s="31"/>
      <c r="LVT44" s="30"/>
      <c r="LVU44" s="31"/>
      <c r="LVV44" s="30"/>
      <c r="LVW44" s="31"/>
      <c r="LVX44" s="30"/>
      <c r="LVY44" s="31"/>
      <c r="LVZ44" s="30"/>
      <c r="LWA44" s="31"/>
      <c r="LWB44" s="30"/>
      <c r="LWC44" s="31"/>
      <c r="LWD44" s="30"/>
      <c r="LWE44" s="31"/>
      <c r="LWF44" s="30"/>
      <c r="LWG44" s="31"/>
      <c r="LWH44" s="30"/>
      <c r="LWI44" s="31"/>
      <c r="LWJ44" s="30"/>
      <c r="LWK44" s="31"/>
      <c r="LWL44" s="30"/>
      <c r="LWM44" s="31"/>
      <c r="LWN44" s="30"/>
      <c r="LWO44" s="31"/>
      <c r="LWP44" s="30"/>
      <c r="LWQ44" s="31"/>
      <c r="LWR44" s="30"/>
      <c r="LWS44" s="31"/>
      <c r="LWT44" s="30"/>
      <c r="LWU44" s="31"/>
      <c r="LWV44" s="30"/>
      <c r="LWW44" s="31"/>
      <c r="LWX44" s="30"/>
      <c r="LWY44" s="31"/>
      <c r="LWZ44" s="30"/>
      <c r="LXA44" s="31"/>
      <c r="LXB44" s="30"/>
      <c r="LXC44" s="31"/>
      <c r="LXD44" s="30"/>
      <c r="LXE44" s="31"/>
      <c r="LXF44" s="30"/>
      <c r="LXG44" s="31"/>
      <c r="LXH44" s="30"/>
      <c r="LXI44" s="31"/>
      <c r="LXJ44" s="30"/>
      <c r="LXK44" s="31"/>
      <c r="LXL44" s="30"/>
      <c r="LXM44" s="31"/>
      <c r="LXN44" s="30"/>
      <c r="LXO44" s="31"/>
      <c r="LXP44" s="30"/>
      <c r="LXQ44" s="31"/>
      <c r="LXR44" s="30"/>
      <c r="LXS44" s="31"/>
      <c r="LXT44" s="30"/>
      <c r="LXU44" s="31"/>
      <c r="LXV44" s="30"/>
      <c r="LXW44" s="31"/>
      <c r="LXX44" s="30"/>
      <c r="LXY44" s="31"/>
      <c r="LXZ44" s="30"/>
      <c r="LYA44" s="31"/>
      <c r="LYB44" s="30"/>
      <c r="LYC44" s="31"/>
      <c r="LYD44" s="30"/>
      <c r="LYE44" s="31"/>
      <c r="LYF44" s="30"/>
      <c r="LYG44" s="31"/>
      <c r="LYH44" s="30"/>
      <c r="LYI44" s="31"/>
      <c r="LYJ44" s="30"/>
      <c r="LYK44" s="31"/>
      <c r="LYL44" s="30"/>
      <c r="LYM44" s="31"/>
      <c r="LYN44" s="30"/>
      <c r="LYO44" s="31"/>
      <c r="LYP44" s="30"/>
      <c r="LYQ44" s="31"/>
      <c r="LYR44" s="30"/>
      <c r="LYS44" s="31"/>
      <c r="LYT44" s="30"/>
      <c r="LYU44" s="31"/>
      <c r="LYV44" s="30"/>
      <c r="LYW44" s="31"/>
      <c r="LYX44" s="30"/>
      <c r="LYY44" s="31"/>
      <c r="LYZ44" s="30"/>
      <c r="LZA44" s="31"/>
      <c r="LZB44" s="30"/>
      <c r="LZC44" s="31"/>
      <c r="LZD44" s="30"/>
      <c r="LZE44" s="31"/>
      <c r="LZF44" s="30"/>
      <c r="LZG44" s="31"/>
      <c r="LZH44" s="30"/>
      <c r="LZI44" s="31"/>
      <c r="LZJ44" s="30"/>
      <c r="LZK44" s="31"/>
      <c r="LZL44" s="30"/>
      <c r="LZM44" s="31"/>
      <c r="LZN44" s="30"/>
      <c r="LZO44" s="31"/>
      <c r="LZP44" s="30"/>
      <c r="LZQ44" s="31"/>
      <c r="LZR44" s="30"/>
      <c r="LZS44" s="31"/>
      <c r="LZT44" s="30"/>
      <c r="LZU44" s="31"/>
      <c r="LZV44" s="30"/>
      <c r="LZW44" s="31"/>
      <c r="LZX44" s="30"/>
      <c r="LZY44" s="31"/>
      <c r="LZZ44" s="30"/>
      <c r="MAA44" s="31"/>
      <c r="MAB44" s="30"/>
      <c r="MAC44" s="31"/>
      <c r="MAD44" s="30"/>
      <c r="MAE44" s="31"/>
      <c r="MAF44" s="30"/>
      <c r="MAG44" s="31"/>
      <c r="MAH44" s="30"/>
      <c r="MAI44" s="31"/>
      <c r="MAJ44" s="30"/>
      <c r="MAK44" s="31"/>
      <c r="MAL44" s="30"/>
      <c r="MAM44" s="31"/>
      <c r="MAN44" s="30"/>
      <c r="MAO44" s="31"/>
      <c r="MAP44" s="30"/>
      <c r="MAQ44" s="31"/>
      <c r="MAR44" s="30"/>
      <c r="MAS44" s="31"/>
      <c r="MAT44" s="30"/>
      <c r="MAU44" s="31"/>
      <c r="MAV44" s="30"/>
      <c r="MAW44" s="31"/>
      <c r="MAX44" s="30"/>
      <c r="MAY44" s="31"/>
      <c r="MAZ44" s="30"/>
      <c r="MBA44" s="31"/>
      <c r="MBB44" s="30"/>
      <c r="MBC44" s="31"/>
      <c r="MBD44" s="30"/>
      <c r="MBE44" s="31"/>
      <c r="MBF44" s="30"/>
      <c r="MBG44" s="31"/>
      <c r="MBH44" s="30"/>
      <c r="MBI44" s="31"/>
      <c r="MBJ44" s="30"/>
      <c r="MBK44" s="31"/>
      <c r="MBL44" s="30"/>
      <c r="MBM44" s="31"/>
      <c r="MBN44" s="30"/>
      <c r="MBO44" s="31"/>
      <c r="MBP44" s="30"/>
      <c r="MBQ44" s="31"/>
      <c r="MBR44" s="30"/>
      <c r="MBS44" s="31"/>
      <c r="MBT44" s="30"/>
      <c r="MBU44" s="31"/>
      <c r="MBV44" s="30"/>
      <c r="MBW44" s="31"/>
      <c r="MBX44" s="30"/>
      <c r="MBY44" s="31"/>
      <c r="MBZ44" s="30"/>
      <c r="MCA44" s="31"/>
      <c r="MCB44" s="30"/>
      <c r="MCC44" s="31"/>
      <c r="MCD44" s="30"/>
      <c r="MCE44" s="31"/>
      <c r="MCF44" s="30"/>
      <c r="MCG44" s="31"/>
      <c r="MCH44" s="30"/>
      <c r="MCI44" s="31"/>
      <c r="MCJ44" s="30"/>
      <c r="MCK44" s="31"/>
      <c r="MCL44" s="30"/>
      <c r="MCM44" s="31"/>
      <c r="MCN44" s="30"/>
      <c r="MCO44" s="31"/>
      <c r="MCP44" s="30"/>
      <c r="MCQ44" s="31"/>
      <c r="MCR44" s="30"/>
      <c r="MCS44" s="31"/>
      <c r="MCT44" s="30"/>
      <c r="MCU44" s="31"/>
      <c r="MCV44" s="30"/>
      <c r="MCW44" s="31"/>
      <c r="MCX44" s="30"/>
      <c r="MCY44" s="31"/>
      <c r="MCZ44" s="30"/>
      <c r="MDA44" s="31"/>
      <c r="MDB44" s="30"/>
      <c r="MDC44" s="31"/>
      <c r="MDD44" s="30"/>
      <c r="MDE44" s="31"/>
      <c r="MDF44" s="30"/>
      <c r="MDG44" s="31"/>
      <c r="MDH44" s="30"/>
      <c r="MDI44" s="31"/>
      <c r="MDJ44" s="30"/>
      <c r="MDK44" s="31"/>
      <c r="MDL44" s="30"/>
      <c r="MDM44" s="31"/>
      <c r="MDN44" s="30"/>
      <c r="MDO44" s="31"/>
      <c r="MDP44" s="30"/>
      <c r="MDQ44" s="31"/>
      <c r="MDR44" s="30"/>
      <c r="MDS44" s="31"/>
      <c r="MDT44" s="30"/>
      <c r="MDU44" s="31"/>
      <c r="MDV44" s="30"/>
      <c r="MDW44" s="31"/>
      <c r="MDX44" s="30"/>
      <c r="MDY44" s="31"/>
      <c r="MDZ44" s="30"/>
      <c r="MEA44" s="31"/>
      <c r="MEB44" s="30"/>
      <c r="MEC44" s="31"/>
      <c r="MED44" s="30"/>
      <c r="MEE44" s="31"/>
      <c r="MEF44" s="30"/>
      <c r="MEG44" s="31"/>
      <c r="MEH44" s="30"/>
      <c r="MEI44" s="31"/>
      <c r="MEJ44" s="30"/>
      <c r="MEK44" s="31"/>
      <c r="MEL44" s="30"/>
      <c r="MEM44" s="31"/>
      <c r="MEN44" s="30"/>
      <c r="MEO44" s="31"/>
      <c r="MEP44" s="30"/>
      <c r="MEQ44" s="31"/>
      <c r="MER44" s="30"/>
      <c r="MES44" s="31"/>
      <c r="MET44" s="30"/>
      <c r="MEU44" s="31"/>
      <c r="MEV44" s="30"/>
      <c r="MEW44" s="31"/>
      <c r="MEX44" s="30"/>
      <c r="MEY44" s="31"/>
      <c r="MEZ44" s="30"/>
      <c r="MFA44" s="31"/>
      <c r="MFB44" s="30"/>
      <c r="MFC44" s="31"/>
      <c r="MFD44" s="30"/>
      <c r="MFE44" s="31"/>
      <c r="MFF44" s="30"/>
      <c r="MFG44" s="31"/>
      <c r="MFH44" s="30"/>
      <c r="MFI44" s="31"/>
      <c r="MFJ44" s="30"/>
      <c r="MFK44" s="31"/>
      <c r="MFL44" s="30"/>
      <c r="MFM44" s="31"/>
      <c r="MFN44" s="30"/>
      <c r="MFO44" s="31"/>
      <c r="MFP44" s="30"/>
      <c r="MFQ44" s="31"/>
      <c r="MFR44" s="30"/>
      <c r="MFS44" s="31"/>
      <c r="MFT44" s="30"/>
      <c r="MFU44" s="31"/>
      <c r="MFV44" s="30"/>
      <c r="MFW44" s="31"/>
      <c r="MFX44" s="30"/>
      <c r="MFY44" s="31"/>
      <c r="MFZ44" s="30"/>
      <c r="MGA44" s="31"/>
      <c r="MGB44" s="30"/>
      <c r="MGC44" s="31"/>
      <c r="MGD44" s="30"/>
      <c r="MGE44" s="31"/>
      <c r="MGF44" s="30"/>
      <c r="MGG44" s="31"/>
      <c r="MGH44" s="30"/>
      <c r="MGI44" s="31"/>
      <c r="MGJ44" s="30"/>
      <c r="MGK44" s="31"/>
      <c r="MGL44" s="30"/>
      <c r="MGM44" s="31"/>
      <c r="MGN44" s="30"/>
      <c r="MGO44" s="31"/>
      <c r="MGP44" s="30"/>
      <c r="MGQ44" s="31"/>
      <c r="MGR44" s="30"/>
      <c r="MGS44" s="31"/>
      <c r="MGT44" s="30"/>
      <c r="MGU44" s="31"/>
      <c r="MGV44" s="30"/>
      <c r="MGW44" s="31"/>
      <c r="MGX44" s="30"/>
      <c r="MGY44" s="31"/>
      <c r="MGZ44" s="30"/>
      <c r="MHA44" s="31"/>
      <c r="MHB44" s="30"/>
      <c r="MHC44" s="31"/>
      <c r="MHD44" s="30"/>
      <c r="MHE44" s="31"/>
      <c r="MHF44" s="30"/>
      <c r="MHG44" s="31"/>
      <c r="MHH44" s="30"/>
      <c r="MHI44" s="31"/>
      <c r="MHJ44" s="30"/>
      <c r="MHK44" s="31"/>
      <c r="MHL44" s="30"/>
      <c r="MHM44" s="31"/>
      <c r="MHN44" s="30"/>
      <c r="MHO44" s="31"/>
      <c r="MHP44" s="30"/>
      <c r="MHQ44" s="31"/>
      <c r="MHR44" s="30"/>
      <c r="MHS44" s="31"/>
      <c r="MHT44" s="30"/>
      <c r="MHU44" s="31"/>
      <c r="MHV44" s="30"/>
      <c r="MHW44" s="31"/>
      <c r="MHX44" s="30"/>
      <c r="MHY44" s="31"/>
      <c r="MHZ44" s="30"/>
      <c r="MIA44" s="31"/>
      <c r="MIB44" s="30"/>
      <c r="MIC44" s="31"/>
      <c r="MID44" s="30"/>
      <c r="MIE44" s="31"/>
      <c r="MIF44" s="30"/>
      <c r="MIG44" s="31"/>
      <c r="MIH44" s="30"/>
      <c r="MII44" s="31"/>
      <c r="MIJ44" s="30"/>
      <c r="MIK44" s="31"/>
      <c r="MIL44" s="30"/>
      <c r="MIM44" s="31"/>
      <c r="MIN44" s="30"/>
      <c r="MIO44" s="31"/>
      <c r="MIP44" s="30"/>
      <c r="MIQ44" s="31"/>
      <c r="MIR44" s="30"/>
      <c r="MIS44" s="31"/>
      <c r="MIT44" s="30"/>
      <c r="MIU44" s="31"/>
      <c r="MIV44" s="30"/>
      <c r="MIW44" s="31"/>
      <c r="MIX44" s="30"/>
      <c r="MIY44" s="31"/>
      <c r="MIZ44" s="30"/>
      <c r="MJA44" s="31"/>
      <c r="MJB44" s="30"/>
      <c r="MJC44" s="31"/>
      <c r="MJD44" s="30"/>
      <c r="MJE44" s="31"/>
      <c r="MJF44" s="30"/>
      <c r="MJG44" s="31"/>
      <c r="MJH44" s="30"/>
      <c r="MJI44" s="31"/>
      <c r="MJJ44" s="30"/>
      <c r="MJK44" s="31"/>
      <c r="MJL44" s="30"/>
      <c r="MJM44" s="31"/>
      <c r="MJN44" s="30"/>
      <c r="MJO44" s="31"/>
      <c r="MJP44" s="30"/>
      <c r="MJQ44" s="31"/>
      <c r="MJR44" s="30"/>
      <c r="MJS44" s="31"/>
      <c r="MJT44" s="30"/>
      <c r="MJU44" s="31"/>
      <c r="MJV44" s="30"/>
      <c r="MJW44" s="31"/>
      <c r="MJX44" s="30"/>
      <c r="MJY44" s="31"/>
      <c r="MJZ44" s="30"/>
      <c r="MKA44" s="31"/>
      <c r="MKB44" s="30"/>
      <c r="MKC44" s="31"/>
      <c r="MKD44" s="30"/>
      <c r="MKE44" s="31"/>
      <c r="MKF44" s="30"/>
      <c r="MKG44" s="31"/>
      <c r="MKH44" s="30"/>
      <c r="MKI44" s="31"/>
      <c r="MKJ44" s="30"/>
      <c r="MKK44" s="31"/>
      <c r="MKL44" s="30"/>
      <c r="MKM44" s="31"/>
      <c r="MKN44" s="30"/>
      <c r="MKO44" s="31"/>
      <c r="MKP44" s="30"/>
      <c r="MKQ44" s="31"/>
      <c r="MKR44" s="30"/>
      <c r="MKS44" s="31"/>
      <c r="MKT44" s="30"/>
      <c r="MKU44" s="31"/>
      <c r="MKV44" s="30"/>
      <c r="MKW44" s="31"/>
      <c r="MKX44" s="30"/>
      <c r="MKY44" s="31"/>
      <c r="MKZ44" s="30"/>
      <c r="MLA44" s="31"/>
      <c r="MLB44" s="30"/>
      <c r="MLC44" s="31"/>
      <c r="MLD44" s="30"/>
      <c r="MLE44" s="31"/>
      <c r="MLF44" s="30"/>
      <c r="MLG44" s="31"/>
      <c r="MLH44" s="30"/>
      <c r="MLI44" s="31"/>
      <c r="MLJ44" s="30"/>
      <c r="MLK44" s="31"/>
      <c r="MLL44" s="30"/>
      <c r="MLM44" s="31"/>
      <c r="MLN44" s="30"/>
      <c r="MLO44" s="31"/>
      <c r="MLP44" s="30"/>
      <c r="MLQ44" s="31"/>
      <c r="MLR44" s="30"/>
      <c r="MLS44" s="31"/>
      <c r="MLT44" s="30"/>
      <c r="MLU44" s="31"/>
      <c r="MLV44" s="30"/>
      <c r="MLW44" s="31"/>
      <c r="MLX44" s="30"/>
      <c r="MLY44" s="31"/>
      <c r="MLZ44" s="30"/>
      <c r="MMA44" s="31"/>
      <c r="MMB44" s="30"/>
      <c r="MMC44" s="31"/>
      <c r="MMD44" s="30"/>
      <c r="MME44" s="31"/>
      <c r="MMF44" s="30"/>
      <c r="MMG44" s="31"/>
      <c r="MMH44" s="30"/>
      <c r="MMI44" s="31"/>
      <c r="MMJ44" s="30"/>
      <c r="MMK44" s="31"/>
      <c r="MML44" s="30"/>
      <c r="MMM44" s="31"/>
      <c r="MMN44" s="30"/>
      <c r="MMO44" s="31"/>
      <c r="MMP44" s="30"/>
      <c r="MMQ44" s="31"/>
      <c r="MMR44" s="30"/>
      <c r="MMS44" s="31"/>
      <c r="MMT44" s="30"/>
      <c r="MMU44" s="31"/>
      <c r="MMV44" s="30"/>
      <c r="MMW44" s="31"/>
      <c r="MMX44" s="30"/>
      <c r="MMY44" s="31"/>
      <c r="MMZ44" s="30"/>
      <c r="MNA44" s="31"/>
      <c r="MNB44" s="30"/>
      <c r="MNC44" s="31"/>
      <c r="MND44" s="30"/>
      <c r="MNE44" s="31"/>
      <c r="MNF44" s="30"/>
      <c r="MNG44" s="31"/>
      <c r="MNH44" s="30"/>
      <c r="MNI44" s="31"/>
      <c r="MNJ44" s="30"/>
      <c r="MNK44" s="31"/>
      <c r="MNL44" s="30"/>
      <c r="MNM44" s="31"/>
      <c r="MNN44" s="30"/>
      <c r="MNO44" s="31"/>
      <c r="MNP44" s="30"/>
      <c r="MNQ44" s="31"/>
      <c r="MNR44" s="30"/>
      <c r="MNS44" s="31"/>
      <c r="MNT44" s="30"/>
      <c r="MNU44" s="31"/>
      <c r="MNV44" s="30"/>
      <c r="MNW44" s="31"/>
      <c r="MNX44" s="30"/>
      <c r="MNY44" s="31"/>
      <c r="MNZ44" s="30"/>
      <c r="MOA44" s="31"/>
      <c r="MOB44" s="30"/>
      <c r="MOC44" s="31"/>
      <c r="MOD44" s="30"/>
      <c r="MOE44" s="31"/>
      <c r="MOF44" s="30"/>
      <c r="MOG44" s="31"/>
      <c r="MOH44" s="30"/>
      <c r="MOI44" s="31"/>
      <c r="MOJ44" s="30"/>
      <c r="MOK44" s="31"/>
      <c r="MOL44" s="30"/>
      <c r="MOM44" s="31"/>
      <c r="MON44" s="30"/>
      <c r="MOO44" s="31"/>
      <c r="MOP44" s="30"/>
      <c r="MOQ44" s="31"/>
      <c r="MOR44" s="30"/>
      <c r="MOS44" s="31"/>
      <c r="MOT44" s="30"/>
      <c r="MOU44" s="31"/>
      <c r="MOV44" s="30"/>
      <c r="MOW44" s="31"/>
      <c r="MOX44" s="30"/>
      <c r="MOY44" s="31"/>
      <c r="MOZ44" s="30"/>
      <c r="MPA44" s="31"/>
      <c r="MPB44" s="30"/>
      <c r="MPC44" s="31"/>
      <c r="MPD44" s="30"/>
      <c r="MPE44" s="31"/>
      <c r="MPF44" s="30"/>
      <c r="MPG44" s="31"/>
      <c r="MPH44" s="30"/>
      <c r="MPI44" s="31"/>
      <c r="MPJ44" s="30"/>
      <c r="MPK44" s="31"/>
      <c r="MPL44" s="30"/>
      <c r="MPM44" s="31"/>
      <c r="MPN44" s="30"/>
      <c r="MPO44" s="31"/>
      <c r="MPP44" s="30"/>
      <c r="MPQ44" s="31"/>
      <c r="MPR44" s="30"/>
      <c r="MPS44" s="31"/>
      <c r="MPT44" s="30"/>
      <c r="MPU44" s="31"/>
      <c r="MPV44" s="30"/>
      <c r="MPW44" s="31"/>
      <c r="MPX44" s="30"/>
      <c r="MPY44" s="31"/>
      <c r="MPZ44" s="30"/>
      <c r="MQA44" s="31"/>
      <c r="MQB44" s="30"/>
      <c r="MQC44" s="31"/>
      <c r="MQD44" s="30"/>
      <c r="MQE44" s="31"/>
      <c r="MQF44" s="30"/>
      <c r="MQG44" s="31"/>
      <c r="MQH44" s="30"/>
      <c r="MQI44" s="31"/>
      <c r="MQJ44" s="30"/>
      <c r="MQK44" s="31"/>
      <c r="MQL44" s="30"/>
      <c r="MQM44" s="31"/>
      <c r="MQN44" s="30"/>
      <c r="MQO44" s="31"/>
      <c r="MQP44" s="30"/>
      <c r="MQQ44" s="31"/>
      <c r="MQR44" s="30"/>
      <c r="MQS44" s="31"/>
      <c r="MQT44" s="30"/>
      <c r="MQU44" s="31"/>
      <c r="MQV44" s="30"/>
      <c r="MQW44" s="31"/>
      <c r="MQX44" s="30"/>
      <c r="MQY44" s="31"/>
      <c r="MQZ44" s="30"/>
      <c r="MRA44" s="31"/>
      <c r="MRB44" s="30"/>
      <c r="MRC44" s="31"/>
      <c r="MRD44" s="30"/>
      <c r="MRE44" s="31"/>
      <c r="MRF44" s="30"/>
      <c r="MRG44" s="31"/>
      <c r="MRH44" s="30"/>
      <c r="MRI44" s="31"/>
      <c r="MRJ44" s="30"/>
      <c r="MRK44" s="31"/>
      <c r="MRL44" s="30"/>
      <c r="MRM44" s="31"/>
      <c r="MRN44" s="30"/>
      <c r="MRO44" s="31"/>
      <c r="MRP44" s="30"/>
      <c r="MRQ44" s="31"/>
      <c r="MRR44" s="30"/>
      <c r="MRS44" s="31"/>
      <c r="MRT44" s="30"/>
      <c r="MRU44" s="31"/>
      <c r="MRV44" s="30"/>
      <c r="MRW44" s="31"/>
      <c r="MRX44" s="30"/>
      <c r="MRY44" s="31"/>
      <c r="MRZ44" s="30"/>
      <c r="MSA44" s="31"/>
      <c r="MSB44" s="30"/>
      <c r="MSC44" s="31"/>
      <c r="MSD44" s="30"/>
      <c r="MSE44" s="31"/>
      <c r="MSF44" s="30"/>
      <c r="MSG44" s="31"/>
      <c r="MSH44" s="30"/>
      <c r="MSI44" s="31"/>
      <c r="MSJ44" s="30"/>
      <c r="MSK44" s="31"/>
      <c r="MSL44" s="30"/>
      <c r="MSM44" s="31"/>
      <c r="MSN44" s="30"/>
      <c r="MSO44" s="31"/>
      <c r="MSP44" s="30"/>
      <c r="MSQ44" s="31"/>
      <c r="MSR44" s="30"/>
      <c r="MSS44" s="31"/>
      <c r="MST44" s="30"/>
      <c r="MSU44" s="31"/>
      <c r="MSV44" s="30"/>
      <c r="MSW44" s="31"/>
      <c r="MSX44" s="30"/>
      <c r="MSY44" s="31"/>
      <c r="MSZ44" s="30"/>
      <c r="MTA44" s="31"/>
      <c r="MTB44" s="30"/>
      <c r="MTC44" s="31"/>
      <c r="MTD44" s="30"/>
      <c r="MTE44" s="31"/>
      <c r="MTF44" s="30"/>
      <c r="MTG44" s="31"/>
      <c r="MTH44" s="30"/>
      <c r="MTI44" s="31"/>
      <c r="MTJ44" s="30"/>
      <c r="MTK44" s="31"/>
      <c r="MTL44" s="30"/>
      <c r="MTM44" s="31"/>
      <c r="MTN44" s="30"/>
      <c r="MTO44" s="31"/>
      <c r="MTP44" s="30"/>
      <c r="MTQ44" s="31"/>
      <c r="MTR44" s="30"/>
      <c r="MTS44" s="31"/>
      <c r="MTT44" s="30"/>
      <c r="MTU44" s="31"/>
      <c r="MTV44" s="30"/>
      <c r="MTW44" s="31"/>
      <c r="MTX44" s="30"/>
      <c r="MTY44" s="31"/>
      <c r="MTZ44" s="30"/>
      <c r="MUA44" s="31"/>
      <c r="MUB44" s="30"/>
      <c r="MUC44" s="31"/>
      <c r="MUD44" s="30"/>
      <c r="MUE44" s="31"/>
      <c r="MUF44" s="30"/>
      <c r="MUG44" s="31"/>
      <c r="MUH44" s="30"/>
      <c r="MUI44" s="31"/>
      <c r="MUJ44" s="30"/>
      <c r="MUK44" s="31"/>
      <c r="MUL44" s="30"/>
      <c r="MUM44" s="31"/>
      <c r="MUN44" s="30"/>
      <c r="MUO44" s="31"/>
      <c r="MUP44" s="30"/>
      <c r="MUQ44" s="31"/>
      <c r="MUR44" s="30"/>
      <c r="MUS44" s="31"/>
      <c r="MUT44" s="30"/>
      <c r="MUU44" s="31"/>
      <c r="MUV44" s="30"/>
      <c r="MUW44" s="31"/>
      <c r="MUX44" s="30"/>
      <c r="MUY44" s="31"/>
      <c r="MUZ44" s="30"/>
      <c r="MVA44" s="31"/>
      <c r="MVB44" s="30"/>
      <c r="MVC44" s="31"/>
      <c r="MVD44" s="30"/>
      <c r="MVE44" s="31"/>
      <c r="MVF44" s="30"/>
      <c r="MVG44" s="31"/>
      <c r="MVH44" s="30"/>
      <c r="MVI44" s="31"/>
      <c r="MVJ44" s="30"/>
      <c r="MVK44" s="31"/>
      <c r="MVL44" s="30"/>
      <c r="MVM44" s="31"/>
      <c r="MVN44" s="30"/>
      <c r="MVO44" s="31"/>
      <c r="MVP44" s="30"/>
      <c r="MVQ44" s="31"/>
      <c r="MVR44" s="30"/>
      <c r="MVS44" s="31"/>
      <c r="MVT44" s="30"/>
      <c r="MVU44" s="31"/>
      <c r="MVV44" s="30"/>
      <c r="MVW44" s="31"/>
      <c r="MVX44" s="30"/>
      <c r="MVY44" s="31"/>
      <c r="MVZ44" s="30"/>
      <c r="MWA44" s="31"/>
      <c r="MWB44" s="30"/>
      <c r="MWC44" s="31"/>
      <c r="MWD44" s="30"/>
      <c r="MWE44" s="31"/>
      <c r="MWF44" s="30"/>
      <c r="MWG44" s="31"/>
      <c r="MWH44" s="30"/>
      <c r="MWI44" s="31"/>
      <c r="MWJ44" s="30"/>
      <c r="MWK44" s="31"/>
      <c r="MWL44" s="30"/>
      <c r="MWM44" s="31"/>
      <c r="MWN44" s="30"/>
      <c r="MWO44" s="31"/>
      <c r="MWP44" s="30"/>
      <c r="MWQ44" s="31"/>
      <c r="MWR44" s="30"/>
      <c r="MWS44" s="31"/>
      <c r="MWT44" s="30"/>
      <c r="MWU44" s="31"/>
      <c r="MWV44" s="30"/>
      <c r="MWW44" s="31"/>
      <c r="MWX44" s="30"/>
      <c r="MWY44" s="31"/>
      <c r="MWZ44" s="30"/>
      <c r="MXA44" s="31"/>
      <c r="MXB44" s="30"/>
      <c r="MXC44" s="31"/>
      <c r="MXD44" s="30"/>
      <c r="MXE44" s="31"/>
      <c r="MXF44" s="30"/>
      <c r="MXG44" s="31"/>
      <c r="MXH44" s="30"/>
      <c r="MXI44" s="31"/>
      <c r="MXJ44" s="30"/>
      <c r="MXK44" s="31"/>
      <c r="MXL44" s="30"/>
      <c r="MXM44" s="31"/>
      <c r="MXN44" s="30"/>
      <c r="MXO44" s="31"/>
      <c r="MXP44" s="30"/>
      <c r="MXQ44" s="31"/>
      <c r="MXR44" s="30"/>
      <c r="MXS44" s="31"/>
      <c r="MXT44" s="30"/>
      <c r="MXU44" s="31"/>
      <c r="MXV44" s="30"/>
      <c r="MXW44" s="31"/>
      <c r="MXX44" s="30"/>
      <c r="MXY44" s="31"/>
      <c r="MXZ44" s="30"/>
      <c r="MYA44" s="31"/>
      <c r="MYB44" s="30"/>
      <c r="MYC44" s="31"/>
      <c r="MYD44" s="30"/>
      <c r="MYE44" s="31"/>
      <c r="MYF44" s="30"/>
      <c r="MYG44" s="31"/>
      <c r="MYH44" s="30"/>
      <c r="MYI44" s="31"/>
      <c r="MYJ44" s="30"/>
      <c r="MYK44" s="31"/>
      <c r="MYL44" s="30"/>
      <c r="MYM44" s="31"/>
      <c r="MYN44" s="30"/>
      <c r="MYO44" s="31"/>
      <c r="MYP44" s="30"/>
      <c r="MYQ44" s="31"/>
      <c r="MYR44" s="30"/>
      <c r="MYS44" s="31"/>
      <c r="MYT44" s="30"/>
      <c r="MYU44" s="31"/>
      <c r="MYV44" s="30"/>
      <c r="MYW44" s="31"/>
      <c r="MYX44" s="30"/>
      <c r="MYY44" s="31"/>
      <c r="MYZ44" s="30"/>
      <c r="MZA44" s="31"/>
      <c r="MZB44" s="30"/>
      <c r="MZC44" s="31"/>
      <c r="MZD44" s="30"/>
      <c r="MZE44" s="31"/>
      <c r="MZF44" s="30"/>
      <c r="MZG44" s="31"/>
      <c r="MZH44" s="30"/>
      <c r="MZI44" s="31"/>
      <c r="MZJ44" s="30"/>
      <c r="MZK44" s="31"/>
      <c r="MZL44" s="30"/>
      <c r="MZM44" s="31"/>
      <c r="MZN44" s="30"/>
      <c r="MZO44" s="31"/>
      <c r="MZP44" s="30"/>
      <c r="MZQ44" s="31"/>
      <c r="MZR44" s="30"/>
      <c r="MZS44" s="31"/>
      <c r="MZT44" s="30"/>
      <c r="MZU44" s="31"/>
      <c r="MZV44" s="30"/>
      <c r="MZW44" s="31"/>
      <c r="MZX44" s="30"/>
      <c r="MZY44" s="31"/>
      <c r="MZZ44" s="30"/>
      <c r="NAA44" s="31"/>
      <c r="NAB44" s="30"/>
      <c r="NAC44" s="31"/>
      <c r="NAD44" s="30"/>
      <c r="NAE44" s="31"/>
      <c r="NAF44" s="30"/>
      <c r="NAG44" s="31"/>
      <c r="NAH44" s="30"/>
      <c r="NAI44" s="31"/>
      <c r="NAJ44" s="30"/>
      <c r="NAK44" s="31"/>
      <c r="NAL44" s="30"/>
      <c r="NAM44" s="31"/>
      <c r="NAN44" s="30"/>
      <c r="NAO44" s="31"/>
      <c r="NAP44" s="30"/>
      <c r="NAQ44" s="31"/>
      <c r="NAR44" s="30"/>
      <c r="NAS44" s="31"/>
      <c r="NAT44" s="30"/>
      <c r="NAU44" s="31"/>
      <c r="NAV44" s="30"/>
      <c r="NAW44" s="31"/>
      <c r="NAX44" s="30"/>
      <c r="NAY44" s="31"/>
      <c r="NAZ44" s="30"/>
      <c r="NBA44" s="31"/>
      <c r="NBB44" s="30"/>
      <c r="NBC44" s="31"/>
      <c r="NBD44" s="30"/>
      <c r="NBE44" s="31"/>
      <c r="NBF44" s="30"/>
      <c r="NBG44" s="31"/>
      <c r="NBH44" s="30"/>
      <c r="NBI44" s="31"/>
      <c r="NBJ44" s="30"/>
      <c r="NBK44" s="31"/>
      <c r="NBL44" s="30"/>
      <c r="NBM44" s="31"/>
      <c r="NBN44" s="30"/>
      <c r="NBO44" s="31"/>
      <c r="NBP44" s="30"/>
      <c r="NBQ44" s="31"/>
      <c r="NBR44" s="30"/>
      <c r="NBS44" s="31"/>
      <c r="NBT44" s="30"/>
      <c r="NBU44" s="31"/>
      <c r="NBV44" s="30"/>
      <c r="NBW44" s="31"/>
      <c r="NBX44" s="30"/>
      <c r="NBY44" s="31"/>
      <c r="NBZ44" s="30"/>
      <c r="NCA44" s="31"/>
      <c r="NCB44" s="30"/>
      <c r="NCC44" s="31"/>
      <c r="NCD44" s="30"/>
      <c r="NCE44" s="31"/>
      <c r="NCF44" s="30"/>
      <c r="NCG44" s="31"/>
      <c r="NCH44" s="30"/>
      <c r="NCI44" s="31"/>
      <c r="NCJ44" s="30"/>
      <c r="NCK44" s="31"/>
      <c r="NCL44" s="30"/>
      <c r="NCM44" s="31"/>
      <c r="NCN44" s="30"/>
      <c r="NCO44" s="31"/>
      <c r="NCP44" s="30"/>
      <c r="NCQ44" s="31"/>
      <c r="NCR44" s="30"/>
      <c r="NCS44" s="31"/>
      <c r="NCT44" s="30"/>
      <c r="NCU44" s="31"/>
      <c r="NCV44" s="30"/>
      <c r="NCW44" s="31"/>
      <c r="NCX44" s="30"/>
      <c r="NCY44" s="31"/>
      <c r="NCZ44" s="30"/>
      <c r="NDA44" s="31"/>
      <c r="NDB44" s="30"/>
      <c r="NDC44" s="31"/>
      <c r="NDD44" s="30"/>
      <c r="NDE44" s="31"/>
      <c r="NDF44" s="30"/>
      <c r="NDG44" s="31"/>
      <c r="NDH44" s="30"/>
      <c r="NDI44" s="31"/>
      <c r="NDJ44" s="30"/>
      <c r="NDK44" s="31"/>
      <c r="NDL44" s="30"/>
      <c r="NDM44" s="31"/>
      <c r="NDN44" s="30"/>
      <c r="NDO44" s="31"/>
      <c r="NDP44" s="30"/>
      <c r="NDQ44" s="31"/>
      <c r="NDR44" s="30"/>
      <c r="NDS44" s="31"/>
      <c r="NDT44" s="30"/>
      <c r="NDU44" s="31"/>
      <c r="NDV44" s="30"/>
      <c r="NDW44" s="31"/>
      <c r="NDX44" s="30"/>
      <c r="NDY44" s="31"/>
      <c r="NDZ44" s="30"/>
      <c r="NEA44" s="31"/>
      <c r="NEB44" s="30"/>
      <c r="NEC44" s="31"/>
      <c r="NED44" s="30"/>
      <c r="NEE44" s="31"/>
      <c r="NEF44" s="30"/>
      <c r="NEG44" s="31"/>
      <c r="NEH44" s="30"/>
      <c r="NEI44" s="31"/>
      <c r="NEJ44" s="30"/>
      <c r="NEK44" s="31"/>
      <c r="NEL44" s="30"/>
      <c r="NEM44" s="31"/>
      <c r="NEN44" s="30"/>
      <c r="NEO44" s="31"/>
      <c r="NEP44" s="30"/>
      <c r="NEQ44" s="31"/>
      <c r="NER44" s="30"/>
      <c r="NES44" s="31"/>
      <c r="NET44" s="30"/>
      <c r="NEU44" s="31"/>
      <c r="NEV44" s="30"/>
      <c r="NEW44" s="31"/>
      <c r="NEX44" s="30"/>
      <c r="NEY44" s="31"/>
      <c r="NEZ44" s="30"/>
      <c r="NFA44" s="31"/>
      <c r="NFB44" s="30"/>
      <c r="NFC44" s="31"/>
      <c r="NFD44" s="30"/>
      <c r="NFE44" s="31"/>
      <c r="NFF44" s="30"/>
      <c r="NFG44" s="31"/>
      <c r="NFH44" s="30"/>
      <c r="NFI44" s="31"/>
      <c r="NFJ44" s="30"/>
      <c r="NFK44" s="31"/>
      <c r="NFL44" s="30"/>
      <c r="NFM44" s="31"/>
      <c r="NFN44" s="30"/>
      <c r="NFO44" s="31"/>
      <c r="NFP44" s="30"/>
      <c r="NFQ44" s="31"/>
      <c r="NFR44" s="30"/>
      <c r="NFS44" s="31"/>
      <c r="NFT44" s="30"/>
      <c r="NFU44" s="31"/>
      <c r="NFV44" s="30"/>
      <c r="NFW44" s="31"/>
      <c r="NFX44" s="30"/>
      <c r="NFY44" s="31"/>
      <c r="NFZ44" s="30"/>
      <c r="NGA44" s="31"/>
      <c r="NGB44" s="30"/>
      <c r="NGC44" s="31"/>
      <c r="NGD44" s="30"/>
      <c r="NGE44" s="31"/>
      <c r="NGF44" s="30"/>
      <c r="NGG44" s="31"/>
      <c r="NGH44" s="30"/>
      <c r="NGI44" s="31"/>
      <c r="NGJ44" s="30"/>
      <c r="NGK44" s="31"/>
      <c r="NGL44" s="30"/>
      <c r="NGM44" s="31"/>
      <c r="NGN44" s="30"/>
      <c r="NGO44" s="31"/>
      <c r="NGP44" s="30"/>
      <c r="NGQ44" s="31"/>
      <c r="NGR44" s="30"/>
      <c r="NGS44" s="31"/>
      <c r="NGT44" s="30"/>
      <c r="NGU44" s="31"/>
      <c r="NGV44" s="30"/>
      <c r="NGW44" s="31"/>
      <c r="NGX44" s="30"/>
      <c r="NGY44" s="31"/>
      <c r="NGZ44" s="30"/>
      <c r="NHA44" s="31"/>
      <c r="NHB44" s="30"/>
      <c r="NHC44" s="31"/>
      <c r="NHD44" s="30"/>
      <c r="NHE44" s="31"/>
      <c r="NHF44" s="30"/>
      <c r="NHG44" s="31"/>
      <c r="NHH44" s="30"/>
      <c r="NHI44" s="31"/>
      <c r="NHJ44" s="30"/>
      <c r="NHK44" s="31"/>
      <c r="NHL44" s="30"/>
      <c r="NHM44" s="31"/>
      <c r="NHN44" s="30"/>
      <c r="NHO44" s="31"/>
      <c r="NHP44" s="30"/>
      <c r="NHQ44" s="31"/>
      <c r="NHR44" s="30"/>
      <c r="NHS44" s="31"/>
      <c r="NHT44" s="30"/>
      <c r="NHU44" s="31"/>
      <c r="NHV44" s="30"/>
      <c r="NHW44" s="31"/>
      <c r="NHX44" s="30"/>
      <c r="NHY44" s="31"/>
      <c r="NHZ44" s="30"/>
      <c r="NIA44" s="31"/>
      <c r="NIB44" s="30"/>
      <c r="NIC44" s="31"/>
      <c r="NID44" s="30"/>
      <c r="NIE44" s="31"/>
      <c r="NIF44" s="30"/>
      <c r="NIG44" s="31"/>
      <c r="NIH44" s="30"/>
      <c r="NII44" s="31"/>
      <c r="NIJ44" s="30"/>
      <c r="NIK44" s="31"/>
      <c r="NIL44" s="30"/>
      <c r="NIM44" s="31"/>
      <c r="NIN44" s="30"/>
      <c r="NIO44" s="31"/>
      <c r="NIP44" s="30"/>
      <c r="NIQ44" s="31"/>
      <c r="NIR44" s="30"/>
      <c r="NIS44" s="31"/>
      <c r="NIT44" s="30"/>
      <c r="NIU44" s="31"/>
      <c r="NIV44" s="30"/>
      <c r="NIW44" s="31"/>
      <c r="NIX44" s="30"/>
      <c r="NIY44" s="31"/>
      <c r="NIZ44" s="30"/>
      <c r="NJA44" s="31"/>
      <c r="NJB44" s="30"/>
      <c r="NJC44" s="31"/>
      <c r="NJD44" s="30"/>
      <c r="NJE44" s="31"/>
      <c r="NJF44" s="30"/>
      <c r="NJG44" s="31"/>
      <c r="NJH44" s="30"/>
      <c r="NJI44" s="31"/>
      <c r="NJJ44" s="30"/>
      <c r="NJK44" s="31"/>
      <c r="NJL44" s="30"/>
      <c r="NJM44" s="31"/>
      <c r="NJN44" s="30"/>
      <c r="NJO44" s="31"/>
      <c r="NJP44" s="30"/>
      <c r="NJQ44" s="31"/>
      <c r="NJR44" s="30"/>
      <c r="NJS44" s="31"/>
      <c r="NJT44" s="30"/>
      <c r="NJU44" s="31"/>
      <c r="NJV44" s="30"/>
      <c r="NJW44" s="31"/>
      <c r="NJX44" s="30"/>
      <c r="NJY44" s="31"/>
      <c r="NJZ44" s="30"/>
      <c r="NKA44" s="31"/>
      <c r="NKB44" s="30"/>
      <c r="NKC44" s="31"/>
      <c r="NKD44" s="30"/>
      <c r="NKE44" s="31"/>
      <c r="NKF44" s="30"/>
      <c r="NKG44" s="31"/>
      <c r="NKH44" s="30"/>
      <c r="NKI44" s="31"/>
      <c r="NKJ44" s="30"/>
      <c r="NKK44" s="31"/>
      <c r="NKL44" s="30"/>
      <c r="NKM44" s="31"/>
      <c r="NKN44" s="30"/>
      <c r="NKO44" s="31"/>
      <c r="NKP44" s="30"/>
      <c r="NKQ44" s="31"/>
      <c r="NKR44" s="30"/>
      <c r="NKS44" s="31"/>
      <c r="NKT44" s="30"/>
      <c r="NKU44" s="31"/>
      <c r="NKV44" s="30"/>
      <c r="NKW44" s="31"/>
      <c r="NKX44" s="30"/>
      <c r="NKY44" s="31"/>
      <c r="NKZ44" s="30"/>
      <c r="NLA44" s="31"/>
      <c r="NLB44" s="30"/>
      <c r="NLC44" s="31"/>
      <c r="NLD44" s="30"/>
      <c r="NLE44" s="31"/>
      <c r="NLF44" s="30"/>
      <c r="NLG44" s="31"/>
      <c r="NLH44" s="30"/>
      <c r="NLI44" s="31"/>
      <c r="NLJ44" s="30"/>
      <c r="NLK44" s="31"/>
      <c r="NLL44" s="30"/>
      <c r="NLM44" s="31"/>
      <c r="NLN44" s="30"/>
      <c r="NLO44" s="31"/>
      <c r="NLP44" s="30"/>
      <c r="NLQ44" s="31"/>
      <c r="NLR44" s="30"/>
      <c r="NLS44" s="31"/>
      <c r="NLT44" s="30"/>
      <c r="NLU44" s="31"/>
      <c r="NLV44" s="30"/>
      <c r="NLW44" s="31"/>
      <c r="NLX44" s="30"/>
      <c r="NLY44" s="31"/>
      <c r="NLZ44" s="30"/>
      <c r="NMA44" s="31"/>
      <c r="NMB44" s="30"/>
      <c r="NMC44" s="31"/>
      <c r="NMD44" s="30"/>
      <c r="NME44" s="31"/>
      <c r="NMF44" s="30"/>
      <c r="NMG44" s="31"/>
      <c r="NMH44" s="30"/>
      <c r="NMI44" s="31"/>
      <c r="NMJ44" s="30"/>
      <c r="NMK44" s="31"/>
      <c r="NML44" s="30"/>
      <c r="NMM44" s="31"/>
      <c r="NMN44" s="30"/>
      <c r="NMO44" s="31"/>
      <c r="NMP44" s="30"/>
      <c r="NMQ44" s="31"/>
      <c r="NMR44" s="30"/>
      <c r="NMS44" s="31"/>
      <c r="NMT44" s="30"/>
      <c r="NMU44" s="31"/>
      <c r="NMV44" s="30"/>
      <c r="NMW44" s="31"/>
      <c r="NMX44" s="30"/>
      <c r="NMY44" s="31"/>
      <c r="NMZ44" s="30"/>
      <c r="NNA44" s="31"/>
      <c r="NNB44" s="30"/>
      <c r="NNC44" s="31"/>
      <c r="NND44" s="30"/>
      <c r="NNE44" s="31"/>
      <c r="NNF44" s="30"/>
      <c r="NNG44" s="31"/>
      <c r="NNH44" s="30"/>
      <c r="NNI44" s="31"/>
      <c r="NNJ44" s="30"/>
      <c r="NNK44" s="31"/>
      <c r="NNL44" s="30"/>
      <c r="NNM44" s="31"/>
      <c r="NNN44" s="30"/>
      <c r="NNO44" s="31"/>
      <c r="NNP44" s="30"/>
      <c r="NNQ44" s="31"/>
      <c r="NNR44" s="30"/>
      <c r="NNS44" s="31"/>
      <c r="NNT44" s="30"/>
      <c r="NNU44" s="31"/>
      <c r="NNV44" s="30"/>
      <c r="NNW44" s="31"/>
      <c r="NNX44" s="30"/>
      <c r="NNY44" s="31"/>
      <c r="NNZ44" s="30"/>
      <c r="NOA44" s="31"/>
      <c r="NOB44" s="30"/>
      <c r="NOC44" s="31"/>
      <c r="NOD44" s="30"/>
      <c r="NOE44" s="31"/>
      <c r="NOF44" s="30"/>
      <c r="NOG44" s="31"/>
      <c r="NOH44" s="30"/>
      <c r="NOI44" s="31"/>
      <c r="NOJ44" s="30"/>
      <c r="NOK44" s="31"/>
      <c r="NOL44" s="30"/>
      <c r="NOM44" s="31"/>
      <c r="NON44" s="30"/>
      <c r="NOO44" s="31"/>
      <c r="NOP44" s="30"/>
      <c r="NOQ44" s="31"/>
      <c r="NOR44" s="30"/>
      <c r="NOS44" s="31"/>
      <c r="NOT44" s="30"/>
      <c r="NOU44" s="31"/>
      <c r="NOV44" s="30"/>
      <c r="NOW44" s="31"/>
      <c r="NOX44" s="30"/>
      <c r="NOY44" s="31"/>
      <c r="NOZ44" s="30"/>
      <c r="NPA44" s="31"/>
      <c r="NPB44" s="30"/>
      <c r="NPC44" s="31"/>
      <c r="NPD44" s="30"/>
      <c r="NPE44" s="31"/>
      <c r="NPF44" s="30"/>
      <c r="NPG44" s="31"/>
      <c r="NPH44" s="30"/>
      <c r="NPI44" s="31"/>
      <c r="NPJ44" s="30"/>
      <c r="NPK44" s="31"/>
      <c r="NPL44" s="30"/>
      <c r="NPM44" s="31"/>
      <c r="NPN44" s="30"/>
      <c r="NPO44" s="31"/>
      <c r="NPP44" s="30"/>
      <c r="NPQ44" s="31"/>
      <c r="NPR44" s="30"/>
      <c r="NPS44" s="31"/>
      <c r="NPT44" s="30"/>
      <c r="NPU44" s="31"/>
      <c r="NPV44" s="30"/>
      <c r="NPW44" s="31"/>
      <c r="NPX44" s="30"/>
      <c r="NPY44" s="31"/>
      <c r="NPZ44" s="30"/>
      <c r="NQA44" s="31"/>
      <c r="NQB44" s="30"/>
      <c r="NQC44" s="31"/>
      <c r="NQD44" s="30"/>
      <c r="NQE44" s="31"/>
      <c r="NQF44" s="30"/>
      <c r="NQG44" s="31"/>
      <c r="NQH44" s="30"/>
      <c r="NQI44" s="31"/>
      <c r="NQJ44" s="30"/>
      <c r="NQK44" s="31"/>
      <c r="NQL44" s="30"/>
      <c r="NQM44" s="31"/>
      <c r="NQN44" s="30"/>
      <c r="NQO44" s="31"/>
      <c r="NQP44" s="30"/>
      <c r="NQQ44" s="31"/>
      <c r="NQR44" s="30"/>
      <c r="NQS44" s="31"/>
      <c r="NQT44" s="30"/>
      <c r="NQU44" s="31"/>
      <c r="NQV44" s="30"/>
      <c r="NQW44" s="31"/>
      <c r="NQX44" s="30"/>
      <c r="NQY44" s="31"/>
      <c r="NQZ44" s="30"/>
      <c r="NRA44" s="31"/>
      <c r="NRB44" s="30"/>
      <c r="NRC44" s="31"/>
      <c r="NRD44" s="30"/>
      <c r="NRE44" s="31"/>
      <c r="NRF44" s="30"/>
      <c r="NRG44" s="31"/>
      <c r="NRH44" s="30"/>
      <c r="NRI44" s="31"/>
      <c r="NRJ44" s="30"/>
      <c r="NRK44" s="31"/>
      <c r="NRL44" s="30"/>
      <c r="NRM44" s="31"/>
      <c r="NRN44" s="30"/>
      <c r="NRO44" s="31"/>
      <c r="NRP44" s="30"/>
      <c r="NRQ44" s="31"/>
      <c r="NRR44" s="30"/>
      <c r="NRS44" s="31"/>
      <c r="NRT44" s="30"/>
      <c r="NRU44" s="31"/>
      <c r="NRV44" s="30"/>
      <c r="NRW44" s="31"/>
      <c r="NRX44" s="30"/>
      <c r="NRY44" s="31"/>
      <c r="NRZ44" s="30"/>
      <c r="NSA44" s="31"/>
      <c r="NSB44" s="30"/>
      <c r="NSC44" s="31"/>
      <c r="NSD44" s="30"/>
      <c r="NSE44" s="31"/>
      <c r="NSF44" s="30"/>
      <c r="NSG44" s="31"/>
      <c r="NSH44" s="30"/>
      <c r="NSI44" s="31"/>
      <c r="NSJ44" s="30"/>
      <c r="NSK44" s="31"/>
      <c r="NSL44" s="30"/>
      <c r="NSM44" s="31"/>
      <c r="NSN44" s="30"/>
      <c r="NSO44" s="31"/>
      <c r="NSP44" s="30"/>
      <c r="NSQ44" s="31"/>
      <c r="NSR44" s="30"/>
      <c r="NSS44" s="31"/>
      <c r="NST44" s="30"/>
      <c r="NSU44" s="31"/>
      <c r="NSV44" s="30"/>
      <c r="NSW44" s="31"/>
      <c r="NSX44" s="30"/>
      <c r="NSY44" s="31"/>
      <c r="NSZ44" s="30"/>
      <c r="NTA44" s="31"/>
      <c r="NTB44" s="30"/>
      <c r="NTC44" s="31"/>
      <c r="NTD44" s="30"/>
      <c r="NTE44" s="31"/>
      <c r="NTF44" s="30"/>
      <c r="NTG44" s="31"/>
      <c r="NTH44" s="30"/>
      <c r="NTI44" s="31"/>
      <c r="NTJ44" s="30"/>
      <c r="NTK44" s="31"/>
      <c r="NTL44" s="30"/>
      <c r="NTM44" s="31"/>
      <c r="NTN44" s="30"/>
      <c r="NTO44" s="31"/>
      <c r="NTP44" s="30"/>
      <c r="NTQ44" s="31"/>
      <c r="NTR44" s="30"/>
      <c r="NTS44" s="31"/>
      <c r="NTT44" s="30"/>
      <c r="NTU44" s="31"/>
      <c r="NTV44" s="30"/>
      <c r="NTW44" s="31"/>
      <c r="NTX44" s="30"/>
      <c r="NTY44" s="31"/>
      <c r="NTZ44" s="30"/>
      <c r="NUA44" s="31"/>
      <c r="NUB44" s="30"/>
      <c r="NUC44" s="31"/>
      <c r="NUD44" s="30"/>
      <c r="NUE44" s="31"/>
      <c r="NUF44" s="30"/>
      <c r="NUG44" s="31"/>
      <c r="NUH44" s="30"/>
      <c r="NUI44" s="31"/>
      <c r="NUJ44" s="30"/>
      <c r="NUK44" s="31"/>
      <c r="NUL44" s="30"/>
      <c r="NUM44" s="31"/>
      <c r="NUN44" s="30"/>
      <c r="NUO44" s="31"/>
      <c r="NUP44" s="30"/>
      <c r="NUQ44" s="31"/>
      <c r="NUR44" s="30"/>
      <c r="NUS44" s="31"/>
      <c r="NUT44" s="30"/>
      <c r="NUU44" s="31"/>
      <c r="NUV44" s="30"/>
      <c r="NUW44" s="31"/>
      <c r="NUX44" s="30"/>
      <c r="NUY44" s="31"/>
      <c r="NUZ44" s="30"/>
      <c r="NVA44" s="31"/>
      <c r="NVB44" s="30"/>
      <c r="NVC44" s="31"/>
      <c r="NVD44" s="30"/>
      <c r="NVE44" s="31"/>
      <c r="NVF44" s="30"/>
      <c r="NVG44" s="31"/>
      <c r="NVH44" s="30"/>
      <c r="NVI44" s="31"/>
      <c r="NVJ44" s="30"/>
      <c r="NVK44" s="31"/>
      <c r="NVL44" s="30"/>
      <c r="NVM44" s="31"/>
      <c r="NVN44" s="30"/>
      <c r="NVO44" s="31"/>
      <c r="NVP44" s="30"/>
      <c r="NVQ44" s="31"/>
      <c r="NVR44" s="30"/>
      <c r="NVS44" s="31"/>
      <c r="NVT44" s="30"/>
      <c r="NVU44" s="31"/>
      <c r="NVV44" s="30"/>
      <c r="NVW44" s="31"/>
      <c r="NVX44" s="30"/>
      <c r="NVY44" s="31"/>
      <c r="NVZ44" s="30"/>
      <c r="NWA44" s="31"/>
      <c r="NWB44" s="30"/>
      <c r="NWC44" s="31"/>
      <c r="NWD44" s="30"/>
      <c r="NWE44" s="31"/>
      <c r="NWF44" s="30"/>
      <c r="NWG44" s="31"/>
      <c r="NWH44" s="30"/>
      <c r="NWI44" s="31"/>
      <c r="NWJ44" s="30"/>
      <c r="NWK44" s="31"/>
      <c r="NWL44" s="30"/>
      <c r="NWM44" s="31"/>
      <c r="NWN44" s="30"/>
      <c r="NWO44" s="31"/>
      <c r="NWP44" s="30"/>
      <c r="NWQ44" s="31"/>
      <c r="NWR44" s="30"/>
      <c r="NWS44" s="31"/>
      <c r="NWT44" s="30"/>
      <c r="NWU44" s="31"/>
      <c r="NWV44" s="30"/>
      <c r="NWW44" s="31"/>
      <c r="NWX44" s="30"/>
      <c r="NWY44" s="31"/>
      <c r="NWZ44" s="30"/>
      <c r="NXA44" s="31"/>
      <c r="NXB44" s="30"/>
      <c r="NXC44" s="31"/>
      <c r="NXD44" s="30"/>
      <c r="NXE44" s="31"/>
      <c r="NXF44" s="30"/>
      <c r="NXG44" s="31"/>
      <c r="NXH44" s="30"/>
      <c r="NXI44" s="31"/>
      <c r="NXJ44" s="30"/>
      <c r="NXK44" s="31"/>
      <c r="NXL44" s="30"/>
      <c r="NXM44" s="31"/>
      <c r="NXN44" s="30"/>
      <c r="NXO44" s="31"/>
      <c r="NXP44" s="30"/>
      <c r="NXQ44" s="31"/>
      <c r="NXR44" s="30"/>
      <c r="NXS44" s="31"/>
      <c r="NXT44" s="30"/>
      <c r="NXU44" s="31"/>
      <c r="NXV44" s="30"/>
      <c r="NXW44" s="31"/>
      <c r="NXX44" s="30"/>
      <c r="NXY44" s="31"/>
      <c r="NXZ44" s="30"/>
      <c r="NYA44" s="31"/>
      <c r="NYB44" s="30"/>
      <c r="NYC44" s="31"/>
      <c r="NYD44" s="30"/>
      <c r="NYE44" s="31"/>
      <c r="NYF44" s="30"/>
      <c r="NYG44" s="31"/>
      <c r="NYH44" s="30"/>
      <c r="NYI44" s="31"/>
      <c r="NYJ44" s="30"/>
      <c r="NYK44" s="31"/>
      <c r="NYL44" s="30"/>
      <c r="NYM44" s="31"/>
      <c r="NYN44" s="30"/>
      <c r="NYO44" s="31"/>
      <c r="NYP44" s="30"/>
      <c r="NYQ44" s="31"/>
      <c r="NYR44" s="30"/>
      <c r="NYS44" s="31"/>
      <c r="NYT44" s="30"/>
      <c r="NYU44" s="31"/>
      <c r="NYV44" s="30"/>
      <c r="NYW44" s="31"/>
      <c r="NYX44" s="30"/>
      <c r="NYY44" s="31"/>
      <c r="NYZ44" s="30"/>
      <c r="NZA44" s="31"/>
      <c r="NZB44" s="30"/>
      <c r="NZC44" s="31"/>
      <c r="NZD44" s="30"/>
      <c r="NZE44" s="31"/>
      <c r="NZF44" s="30"/>
      <c r="NZG44" s="31"/>
      <c r="NZH44" s="30"/>
      <c r="NZI44" s="31"/>
      <c r="NZJ44" s="30"/>
      <c r="NZK44" s="31"/>
      <c r="NZL44" s="30"/>
      <c r="NZM44" s="31"/>
      <c r="NZN44" s="30"/>
      <c r="NZO44" s="31"/>
      <c r="NZP44" s="30"/>
      <c r="NZQ44" s="31"/>
      <c r="NZR44" s="30"/>
      <c r="NZS44" s="31"/>
      <c r="NZT44" s="30"/>
      <c r="NZU44" s="31"/>
      <c r="NZV44" s="30"/>
      <c r="NZW44" s="31"/>
      <c r="NZX44" s="30"/>
      <c r="NZY44" s="31"/>
      <c r="NZZ44" s="30"/>
      <c r="OAA44" s="31"/>
      <c r="OAB44" s="30"/>
      <c r="OAC44" s="31"/>
      <c r="OAD44" s="30"/>
      <c r="OAE44" s="31"/>
      <c r="OAF44" s="30"/>
      <c r="OAG44" s="31"/>
      <c r="OAH44" s="30"/>
      <c r="OAI44" s="31"/>
      <c r="OAJ44" s="30"/>
      <c r="OAK44" s="31"/>
      <c r="OAL44" s="30"/>
      <c r="OAM44" s="31"/>
      <c r="OAN44" s="30"/>
      <c r="OAO44" s="31"/>
      <c r="OAP44" s="30"/>
      <c r="OAQ44" s="31"/>
      <c r="OAR44" s="30"/>
      <c r="OAS44" s="31"/>
      <c r="OAT44" s="30"/>
      <c r="OAU44" s="31"/>
      <c r="OAV44" s="30"/>
      <c r="OAW44" s="31"/>
      <c r="OAX44" s="30"/>
      <c r="OAY44" s="31"/>
      <c r="OAZ44" s="30"/>
      <c r="OBA44" s="31"/>
      <c r="OBB44" s="30"/>
      <c r="OBC44" s="31"/>
      <c r="OBD44" s="30"/>
      <c r="OBE44" s="31"/>
      <c r="OBF44" s="30"/>
      <c r="OBG44" s="31"/>
      <c r="OBH44" s="30"/>
      <c r="OBI44" s="31"/>
      <c r="OBJ44" s="30"/>
      <c r="OBK44" s="31"/>
      <c r="OBL44" s="30"/>
      <c r="OBM44" s="31"/>
      <c r="OBN44" s="30"/>
      <c r="OBO44" s="31"/>
      <c r="OBP44" s="30"/>
      <c r="OBQ44" s="31"/>
      <c r="OBR44" s="30"/>
      <c r="OBS44" s="31"/>
      <c r="OBT44" s="30"/>
      <c r="OBU44" s="31"/>
      <c r="OBV44" s="30"/>
      <c r="OBW44" s="31"/>
      <c r="OBX44" s="30"/>
      <c r="OBY44" s="31"/>
      <c r="OBZ44" s="30"/>
      <c r="OCA44" s="31"/>
      <c r="OCB44" s="30"/>
      <c r="OCC44" s="31"/>
      <c r="OCD44" s="30"/>
      <c r="OCE44" s="31"/>
      <c r="OCF44" s="30"/>
      <c r="OCG44" s="31"/>
      <c r="OCH44" s="30"/>
      <c r="OCI44" s="31"/>
      <c r="OCJ44" s="30"/>
      <c r="OCK44" s="31"/>
      <c r="OCL44" s="30"/>
      <c r="OCM44" s="31"/>
      <c r="OCN44" s="30"/>
      <c r="OCO44" s="31"/>
      <c r="OCP44" s="30"/>
      <c r="OCQ44" s="31"/>
      <c r="OCR44" s="30"/>
      <c r="OCS44" s="31"/>
      <c r="OCT44" s="30"/>
      <c r="OCU44" s="31"/>
      <c r="OCV44" s="30"/>
      <c r="OCW44" s="31"/>
      <c r="OCX44" s="30"/>
      <c r="OCY44" s="31"/>
      <c r="OCZ44" s="30"/>
      <c r="ODA44" s="31"/>
      <c r="ODB44" s="30"/>
      <c r="ODC44" s="31"/>
      <c r="ODD44" s="30"/>
      <c r="ODE44" s="31"/>
      <c r="ODF44" s="30"/>
      <c r="ODG44" s="31"/>
      <c r="ODH44" s="30"/>
      <c r="ODI44" s="31"/>
      <c r="ODJ44" s="30"/>
      <c r="ODK44" s="31"/>
      <c r="ODL44" s="30"/>
      <c r="ODM44" s="31"/>
      <c r="ODN44" s="30"/>
      <c r="ODO44" s="31"/>
      <c r="ODP44" s="30"/>
      <c r="ODQ44" s="31"/>
      <c r="ODR44" s="30"/>
      <c r="ODS44" s="31"/>
      <c r="ODT44" s="30"/>
      <c r="ODU44" s="31"/>
      <c r="ODV44" s="30"/>
      <c r="ODW44" s="31"/>
      <c r="ODX44" s="30"/>
      <c r="ODY44" s="31"/>
      <c r="ODZ44" s="30"/>
      <c r="OEA44" s="31"/>
      <c r="OEB44" s="30"/>
      <c r="OEC44" s="31"/>
      <c r="OED44" s="30"/>
      <c r="OEE44" s="31"/>
      <c r="OEF44" s="30"/>
      <c r="OEG44" s="31"/>
      <c r="OEH44" s="30"/>
      <c r="OEI44" s="31"/>
      <c r="OEJ44" s="30"/>
      <c r="OEK44" s="31"/>
      <c r="OEL44" s="30"/>
      <c r="OEM44" s="31"/>
      <c r="OEN44" s="30"/>
      <c r="OEO44" s="31"/>
      <c r="OEP44" s="30"/>
      <c r="OEQ44" s="31"/>
      <c r="OER44" s="30"/>
      <c r="OES44" s="31"/>
      <c r="OET44" s="30"/>
      <c r="OEU44" s="31"/>
      <c r="OEV44" s="30"/>
      <c r="OEW44" s="31"/>
      <c r="OEX44" s="30"/>
      <c r="OEY44" s="31"/>
      <c r="OEZ44" s="30"/>
      <c r="OFA44" s="31"/>
      <c r="OFB44" s="30"/>
      <c r="OFC44" s="31"/>
      <c r="OFD44" s="30"/>
      <c r="OFE44" s="31"/>
      <c r="OFF44" s="30"/>
      <c r="OFG44" s="31"/>
      <c r="OFH44" s="30"/>
      <c r="OFI44" s="31"/>
      <c r="OFJ44" s="30"/>
      <c r="OFK44" s="31"/>
      <c r="OFL44" s="30"/>
      <c r="OFM44" s="31"/>
      <c r="OFN44" s="30"/>
      <c r="OFO44" s="31"/>
      <c r="OFP44" s="30"/>
      <c r="OFQ44" s="31"/>
      <c r="OFR44" s="30"/>
      <c r="OFS44" s="31"/>
      <c r="OFT44" s="30"/>
      <c r="OFU44" s="31"/>
      <c r="OFV44" s="30"/>
      <c r="OFW44" s="31"/>
      <c r="OFX44" s="30"/>
      <c r="OFY44" s="31"/>
      <c r="OFZ44" s="30"/>
      <c r="OGA44" s="31"/>
      <c r="OGB44" s="30"/>
      <c r="OGC44" s="31"/>
      <c r="OGD44" s="30"/>
      <c r="OGE44" s="31"/>
      <c r="OGF44" s="30"/>
      <c r="OGG44" s="31"/>
      <c r="OGH44" s="30"/>
      <c r="OGI44" s="31"/>
      <c r="OGJ44" s="30"/>
      <c r="OGK44" s="31"/>
      <c r="OGL44" s="30"/>
      <c r="OGM44" s="31"/>
      <c r="OGN44" s="30"/>
      <c r="OGO44" s="31"/>
      <c r="OGP44" s="30"/>
      <c r="OGQ44" s="31"/>
      <c r="OGR44" s="30"/>
      <c r="OGS44" s="31"/>
      <c r="OGT44" s="30"/>
      <c r="OGU44" s="31"/>
      <c r="OGV44" s="30"/>
      <c r="OGW44" s="31"/>
      <c r="OGX44" s="30"/>
      <c r="OGY44" s="31"/>
      <c r="OGZ44" s="30"/>
      <c r="OHA44" s="31"/>
      <c r="OHB44" s="30"/>
      <c r="OHC44" s="31"/>
      <c r="OHD44" s="30"/>
      <c r="OHE44" s="31"/>
      <c r="OHF44" s="30"/>
      <c r="OHG44" s="31"/>
      <c r="OHH44" s="30"/>
      <c r="OHI44" s="31"/>
      <c r="OHJ44" s="30"/>
      <c r="OHK44" s="31"/>
      <c r="OHL44" s="30"/>
      <c r="OHM44" s="31"/>
      <c r="OHN44" s="30"/>
      <c r="OHO44" s="31"/>
      <c r="OHP44" s="30"/>
      <c r="OHQ44" s="31"/>
      <c r="OHR44" s="30"/>
      <c r="OHS44" s="31"/>
      <c r="OHT44" s="30"/>
      <c r="OHU44" s="31"/>
      <c r="OHV44" s="30"/>
      <c r="OHW44" s="31"/>
      <c r="OHX44" s="30"/>
      <c r="OHY44" s="31"/>
      <c r="OHZ44" s="30"/>
      <c r="OIA44" s="31"/>
      <c r="OIB44" s="30"/>
      <c r="OIC44" s="31"/>
      <c r="OID44" s="30"/>
      <c r="OIE44" s="31"/>
      <c r="OIF44" s="30"/>
      <c r="OIG44" s="31"/>
      <c r="OIH44" s="30"/>
      <c r="OII44" s="31"/>
      <c r="OIJ44" s="30"/>
      <c r="OIK44" s="31"/>
      <c r="OIL44" s="30"/>
      <c r="OIM44" s="31"/>
      <c r="OIN44" s="30"/>
      <c r="OIO44" s="31"/>
      <c r="OIP44" s="30"/>
      <c r="OIQ44" s="31"/>
      <c r="OIR44" s="30"/>
      <c r="OIS44" s="31"/>
      <c r="OIT44" s="30"/>
      <c r="OIU44" s="31"/>
      <c r="OIV44" s="30"/>
      <c r="OIW44" s="31"/>
      <c r="OIX44" s="30"/>
      <c r="OIY44" s="31"/>
      <c r="OIZ44" s="30"/>
      <c r="OJA44" s="31"/>
      <c r="OJB44" s="30"/>
      <c r="OJC44" s="31"/>
      <c r="OJD44" s="30"/>
      <c r="OJE44" s="31"/>
      <c r="OJF44" s="30"/>
      <c r="OJG44" s="31"/>
      <c r="OJH44" s="30"/>
      <c r="OJI44" s="31"/>
      <c r="OJJ44" s="30"/>
      <c r="OJK44" s="31"/>
      <c r="OJL44" s="30"/>
      <c r="OJM44" s="31"/>
      <c r="OJN44" s="30"/>
      <c r="OJO44" s="31"/>
      <c r="OJP44" s="30"/>
      <c r="OJQ44" s="31"/>
      <c r="OJR44" s="30"/>
      <c r="OJS44" s="31"/>
      <c r="OJT44" s="30"/>
      <c r="OJU44" s="31"/>
      <c r="OJV44" s="30"/>
      <c r="OJW44" s="31"/>
      <c r="OJX44" s="30"/>
      <c r="OJY44" s="31"/>
      <c r="OJZ44" s="30"/>
      <c r="OKA44" s="31"/>
      <c r="OKB44" s="30"/>
      <c r="OKC44" s="31"/>
      <c r="OKD44" s="30"/>
      <c r="OKE44" s="31"/>
      <c r="OKF44" s="30"/>
      <c r="OKG44" s="31"/>
      <c r="OKH44" s="30"/>
      <c r="OKI44" s="31"/>
      <c r="OKJ44" s="30"/>
      <c r="OKK44" s="31"/>
      <c r="OKL44" s="30"/>
      <c r="OKM44" s="31"/>
      <c r="OKN44" s="30"/>
      <c r="OKO44" s="31"/>
      <c r="OKP44" s="30"/>
      <c r="OKQ44" s="31"/>
      <c r="OKR44" s="30"/>
      <c r="OKS44" s="31"/>
      <c r="OKT44" s="30"/>
      <c r="OKU44" s="31"/>
      <c r="OKV44" s="30"/>
      <c r="OKW44" s="31"/>
      <c r="OKX44" s="30"/>
      <c r="OKY44" s="31"/>
      <c r="OKZ44" s="30"/>
      <c r="OLA44" s="31"/>
      <c r="OLB44" s="30"/>
      <c r="OLC44" s="31"/>
      <c r="OLD44" s="30"/>
      <c r="OLE44" s="31"/>
      <c r="OLF44" s="30"/>
      <c r="OLG44" s="31"/>
      <c r="OLH44" s="30"/>
      <c r="OLI44" s="31"/>
      <c r="OLJ44" s="30"/>
      <c r="OLK44" s="31"/>
      <c r="OLL44" s="30"/>
      <c r="OLM44" s="31"/>
      <c r="OLN44" s="30"/>
      <c r="OLO44" s="31"/>
      <c r="OLP44" s="30"/>
      <c r="OLQ44" s="31"/>
      <c r="OLR44" s="30"/>
      <c r="OLS44" s="31"/>
      <c r="OLT44" s="30"/>
      <c r="OLU44" s="31"/>
      <c r="OLV44" s="30"/>
      <c r="OLW44" s="31"/>
      <c r="OLX44" s="30"/>
      <c r="OLY44" s="31"/>
      <c r="OLZ44" s="30"/>
      <c r="OMA44" s="31"/>
      <c r="OMB44" s="30"/>
      <c r="OMC44" s="31"/>
      <c r="OMD44" s="30"/>
      <c r="OME44" s="31"/>
      <c r="OMF44" s="30"/>
      <c r="OMG44" s="31"/>
      <c r="OMH44" s="30"/>
      <c r="OMI44" s="31"/>
      <c r="OMJ44" s="30"/>
      <c r="OMK44" s="31"/>
      <c r="OML44" s="30"/>
      <c r="OMM44" s="31"/>
      <c r="OMN44" s="30"/>
      <c r="OMO44" s="31"/>
      <c r="OMP44" s="30"/>
      <c r="OMQ44" s="31"/>
      <c r="OMR44" s="30"/>
      <c r="OMS44" s="31"/>
      <c r="OMT44" s="30"/>
      <c r="OMU44" s="31"/>
      <c r="OMV44" s="30"/>
      <c r="OMW44" s="31"/>
      <c r="OMX44" s="30"/>
      <c r="OMY44" s="31"/>
      <c r="OMZ44" s="30"/>
      <c r="ONA44" s="31"/>
      <c r="ONB44" s="30"/>
      <c r="ONC44" s="31"/>
      <c r="OND44" s="30"/>
      <c r="ONE44" s="31"/>
      <c r="ONF44" s="30"/>
      <c r="ONG44" s="31"/>
      <c r="ONH44" s="30"/>
      <c r="ONI44" s="31"/>
      <c r="ONJ44" s="30"/>
      <c r="ONK44" s="31"/>
      <c r="ONL44" s="30"/>
      <c r="ONM44" s="31"/>
      <c r="ONN44" s="30"/>
      <c r="ONO44" s="31"/>
      <c r="ONP44" s="30"/>
      <c r="ONQ44" s="31"/>
      <c r="ONR44" s="30"/>
      <c r="ONS44" s="31"/>
      <c r="ONT44" s="30"/>
      <c r="ONU44" s="31"/>
      <c r="ONV44" s="30"/>
      <c r="ONW44" s="31"/>
      <c r="ONX44" s="30"/>
      <c r="ONY44" s="31"/>
      <c r="ONZ44" s="30"/>
      <c r="OOA44" s="31"/>
      <c r="OOB44" s="30"/>
      <c r="OOC44" s="31"/>
      <c r="OOD44" s="30"/>
      <c r="OOE44" s="31"/>
      <c r="OOF44" s="30"/>
      <c r="OOG44" s="31"/>
      <c r="OOH44" s="30"/>
      <c r="OOI44" s="31"/>
      <c r="OOJ44" s="30"/>
      <c r="OOK44" s="31"/>
      <c r="OOL44" s="30"/>
      <c r="OOM44" s="31"/>
      <c r="OON44" s="30"/>
      <c r="OOO44" s="31"/>
      <c r="OOP44" s="30"/>
      <c r="OOQ44" s="31"/>
      <c r="OOR44" s="30"/>
      <c r="OOS44" s="31"/>
      <c r="OOT44" s="30"/>
      <c r="OOU44" s="31"/>
      <c r="OOV44" s="30"/>
      <c r="OOW44" s="31"/>
      <c r="OOX44" s="30"/>
      <c r="OOY44" s="31"/>
      <c r="OOZ44" s="30"/>
      <c r="OPA44" s="31"/>
      <c r="OPB44" s="30"/>
      <c r="OPC44" s="31"/>
      <c r="OPD44" s="30"/>
      <c r="OPE44" s="31"/>
      <c r="OPF44" s="30"/>
      <c r="OPG44" s="31"/>
      <c r="OPH44" s="30"/>
      <c r="OPI44" s="31"/>
      <c r="OPJ44" s="30"/>
      <c r="OPK44" s="31"/>
      <c r="OPL44" s="30"/>
      <c r="OPM44" s="31"/>
      <c r="OPN44" s="30"/>
      <c r="OPO44" s="31"/>
      <c r="OPP44" s="30"/>
      <c r="OPQ44" s="31"/>
      <c r="OPR44" s="30"/>
      <c r="OPS44" s="31"/>
      <c r="OPT44" s="30"/>
      <c r="OPU44" s="31"/>
      <c r="OPV44" s="30"/>
      <c r="OPW44" s="31"/>
      <c r="OPX44" s="30"/>
      <c r="OPY44" s="31"/>
      <c r="OPZ44" s="30"/>
      <c r="OQA44" s="31"/>
      <c r="OQB44" s="30"/>
      <c r="OQC44" s="31"/>
      <c r="OQD44" s="30"/>
      <c r="OQE44" s="31"/>
      <c r="OQF44" s="30"/>
      <c r="OQG44" s="31"/>
      <c r="OQH44" s="30"/>
      <c r="OQI44" s="31"/>
      <c r="OQJ44" s="30"/>
      <c r="OQK44" s="31"/>
      <c r="OQL44" s="30"/>
      <c r="OQM44" s="31"/>
      <c r="OQN44" s="30"/>
      <c r="OQO44" s="31"/>
      <c r="OQP44" s="30"/>
      <c r="OQQ44" s="31"/>
      <c r="OQR44" s="30"/>
      <c r="OQS44" s="31"/>
      <c r="OQT44" s="30"/>
      <c r="OQU44" s="31"/>
      <c r="OQV44" s="30"/>
      <c r="OQW44" s="31"/>
      <c r="OQX44" s="30"/>
      <c r="OQY44" s="31"/>
      <c r="OQZ44" s="30"/>
      <c r="ORA44" s="31"/>
      <c r="ORB44" s="30"/>
      <c r="ORC44" s="31"/>
      <c r="ORD44" s="30"/>
      <c r="ORE44" s="31"/>
      <c r="ORF44" s="30"/>
      <c r="ORG44" s="31"/>
      <c r="ORH44" s="30"/>
      <c r="ORI44" s="31"/>
      <c r="ORJ44" s="30"/>
      <c r="ORK44" s="31"/>
      <c r="ORL44" s="30"/>
      <c r="ORM44" s="31"/>
      <c r="ORN44" s="30"/>
      <c r="ORO44" s="31"/>
      <c r="ORP44" s="30"/>
      <c r="ORQ44" s="31"/>
      <c r="ORR44" s="30"/>
      <c r="ORS44" s="31"/>
      <c r="ORT44" s="30"/>
      <c r="ORU44" s="31"/>
      <c r="ORV44" s="30"/>
      <c r="ORW44" s="31"/>
      <c r="ORX44" s="30"/>
      <c r="ORY44" s="31"/>
      <c r="ORZ44" s="30"/>
      <c r="OSA44" s="31"/>
      <c r="OSB44" s="30"/>
      <c r="OSC44" s="31"/>
      <c r="OSD44" s="30"/>
      <c r="OSE44" s="31"/>
      <c r="OSF44" s="30"/>
      <c r="OSG44" s="31"/>
      <c r="OSH44" s="30"/>
      <c r="OSI44" s="31"/>
      <c r="OSJ44" s="30"/>
      <c r="OSK44" s="31"/>
      <c r="OSL44" s="30"/>
      <c r="OSM44" s="31"/>
      <c r="OSN44" s="30"/>
      <c r="OSO44" s="31"/>
      <c r="OSP44" s="30"/>
      <c r="OSQ44" s="31"/>
      <c r="OSR44" s="30"/>
      <c r="OSS44" s="31"/>
      <c r="OST44" s="30"/>
      <c r="OSU44" s="31"/>
      <c r="OSV44" s="30"/>
      <c r="OSW44" s="31"/>
      <c r="OSX44" s="30"/>
      <c r="OSY44" s="31"/>
      <c r="OSZ44" s="30"/>
      <c r="OTA44" s="31"/>
      <c r="OTB44" s="30"/>
      <c r="OTC44" s="31"/>
      <c r="OTD44" s="30"/>
      <c r="OTE44" s="31"/>
      <c r="OTF44" s="30"/>
      <c r="OTG44" s="31"/>
      <c r="OTH44" s="30"/>
      <c r="OTI44" s="31"/>
      <c r="OTJ44" s="30"/>
      <c r="OTK44" s="31"/>
      <c r="OTL44" s="30"/>
      <c r="OTM44" s="31"/>
      <c r="OTN44" s="30"/>
      <c r="OTO44" s="31"/>
      <c r="OTP44" s="30"/>
      <c r="OTQ44" s="31"/>
      <c r="OTR44" s="30"/>
      <c r="OTS44" s="31"/>
      <c r="OTT44" s="30"/>
      <c r="OTU44" s="31"/>
      <c r="OTV44" s="30"/>
      <c r="OTW44" s="31"/>
      <c r="OTX44" s="30"/>
      <c r="OTY44" s="31"/>
      <c r="OTZ44" s="30"/>
      <c r="OUA44" s="31"/>
      <c r="OUB44" s="30"/>
      <c r="OUC44" s="31"/>
      <c r="OUD44" s="30"/>
      <c r="OUE44" s="31"/>
      <c r="OUF44" s="30"/>
      <c r="OUG44" s="31"/>
      <c r="OUH44" s="30"/>
      <c r="OUI44" s="31"/>
      <c r="OUJ44" s="30"/>
      <c r="OUK44" s="31"/>
      <c r="OUL44" s="30"/>
      <c r="OUM44" s="31"/>
      <c r="OUN44" s="30"/>
      <c r="OUO44" s="31"/>
      <c r="OUP44" s="30"/>
      <c r="OUQ44" s="31"/>
      <c r="OUR44" s="30"/>
      <c r="OUS44" s="31"/>
      <c r="OUT44" s="30"/>
      <c r="OUU44" s="31"/>
      <c r="OUV44" s="30"/>
      <c r="OUW44" s="31"/>
      <c r="OUX44" s="30"/>
      <c r="OUY44" s="31"/>
      <c r="OUZ44" s="30"/>
      <c r="OVA44" s="31"/>
      <c r="OVB44" s="30"/>
      <c r="OVC44" s="31"/>
      <c r="OVD44" s="30"/>
      <c r="OVE44" s="31"/>
      <c r="OVF44" s="30"/>
      <c r="OVG44" s="31"/>
      <c r="OVH44" s="30"/>
      <c r="OVI44" s="31"/>
      <c r="OVJ44" s="30"/>
      <c r="OVK44" s="31"/>
      <c r="OVL44" s="30"/>
      <c r="OVM44" s="31"/>
      <c r="OVN44" s="30"/>
      <c r="OVO44" s="31"/>
      <c r="OVP44" s="30"/>
      <c r="OVQ44" s="31"/>
      <c r="OVR44" s="30"/>
      <c r="OVS44" s="31"/>
      <c r="OVT44" s="30"/>
      <c r="OVU44" s="31"/>
      <c r="OVV44" s="30"/>
      <c r="OVW44" s="31"/>
      <c r="OVX44" s="30"/>
      <c r="OVY44" s="31"/>
      <c r="OVZ44" s="30"/>
      <c r="OWA44" s="31"/>
      <c r="OWB44" s="30"/>
      <c r="OWC44" s="31"/>
      <c r="OWD44" s="30"/>
      <c r="OWE44" s="31"/>
      <c r="OWF44" s="30"/>
      <c r="OWG44" s="31"/>
      <c r="OWH44" s="30"/>
      <c r="OWI44" s="31"/>
      <c r="OWJ44" s="30"/>
      <c r="OWK44" s="31"/>
      <c r="OWL44" s="30"/>
      <c r="OWM44" s="31"/>
      <c r="OWN44" s="30"/>
      <c r="OWO44" s="31"/>
      <c r="OWP44" s="30"/>
      <c r="OWQ44" s="31"/>
      <c r="OWR44" s="30"/>
      <c r="OWS44" s="31"/>
      <c r="OWT44" s="30"/>
      <c r="OWU44" s="31"/>
      <c r="OWV44" s="30"/>
      <c r="OWW44" s="31"/>
      <c r="OWX44" s="30"/>
      <c r="OWY44" s="31"/>
      <c r="OWZ44" s="30"/>
      <c r="OXA44" s="31"/>
      <c r="OXB44" s="30"/>
      <c r="OXC44" s="31"/>
      <c r="OXD44" s="30"/>
      <c r="OXE44" s="31"/>
      <c r="OXF44" s="30"/>
      <c r="OXG44" s="31"/>
      <c r="OXH44" s="30"/>
      <c r="OXI44" s="31"/>
      <c r="OXJ44" s="30"/>
      <c r="OXK44" s="31"/>
      <c r="OXL44" s="30"/>
      <c r="OXM44" s="31"/>
      <c r="OXN44" s="30"/>
      <c r="OXO44" s="31"/>
      <c r="OXP44" s="30"/>
      <c r="OXQ44" s="31"/>
      <c r="OXR44" s="30"/>
      <c r="OXS44" s="31"/>
      <c r="OXT44" s="30"/>
      <c r="OXU44" s="31"/>
      <c r="OXV44" s="30"/>
      <c r="OXW44" s="31"/>
      <c r="OXX44" s="30"/>
      <c r="OXY44" s="31"/>
      <c r="OXZ44" s="30"/>
      <c r="OYA44" s="31"/>
      <c r="OYB44" s="30"/>
      <c r="OYC44" s="31"/>
      <c r="OYD44" s="30"/>
      <c r="OYE44" s="31"/>
      <c r="OYF44" s="30"/>
      <c r="OYG44" s="31"/>
      <c r="OYH44" s="30"/>
      <c r="OYI44" s="31"/>
      <c r="OYJ44" s="30"/>
      <c r="OYK44" s="31"/>
      <c r="OYL44" s="30"/>
      <c r="OYM44" s="31"/>
      <c r="OYN44" s="30"/>
      <c r="OYO44" s="31"/>
      <c r="OYP44" s="30"/>
      <c r="OYQ44" s="31"/>
      <c r="OYR44" s="30"/>
      <c r="OYS44" s="31"/>
      <c r="OYT44" s="30"/>
      <c r="OYU44" s="31"/>
      <c r="OYV44" s="30"/>
      <c r="OYW44" s="31"/>
      <c r="OYX44" s="30"/>
      <c r="OYY44" s="31"/>
      <c r="OYZ44" s="30"/>
      <c r="OZA44" s="31"/>
      <c r="OZB44" s="30"/>
      <c r="OZC44" s="31"/>
      <c r="OZD44" s="30"/>
      <c r="OZE44" s="31"/>
      <c r="OZF44" s="30"/>
      <c r="OZG44" s="31"/>
      <c r="OZH44" s="30"/>
      <c r="OZI44" s="31"/>
      <c r="OZJ44" s="30"/>
      <c r="OZK44" s="31"/>
      <c r="OZL44" s="30"/>
      <c r="OZM44" s="31"/>
      <c r="OZN44" s="30"/>
      <c r="OZO44" s="31"/>
      <c r="OZP44" s="30"/>
      <c r="OZQ44" s="31"/>
      <c r="OZR44" s="30"/>
      <c r="OZS44" s="31"/>
      <c r="OZT44" s="30"/>
      <c r="OZU44" s="31"/>
      <c r="OZV44" s="30"/>
      <c r="OZW44" s="31"/>
      <c r="OZX44" s="30"/>
      <c r="OZY44" s="31"/>
      <c r="OZZ44" s="30"/>
      <c r="PAA44" s="31"/>
      <c r="PAB44" s="30"/>
      <c r="PAC44" s="31"/>
      <c r="PAD44" s="30"/>
      <c r="PAE44" s="31"/>
      <c r="PAF44" s="30"/>
      <c r="PAG44" s="31"/>
      <c r="PAH44" s="30"/>
      <c r="PAI44" s="31"/>
      <c r="PAJ44" s="30"/>
      <c r="PAK44" s="31"/>
      <c r="PAL44" s="30"/>
      <c r="PAM44" s="31"/>
      <c r="PAN44" s="30"/>
      <c r="PAO44" s="31"/>
      <c r="PAP44" s="30"/>
      <c r="PAQ44" s="31"/>
      <c r="PAR44" s="30"/>
      <c r="PAS44" s="31"/>
      <c r="PAT44" s="30"/>
      <c r="PAU44" s="31"/>
      <c r="PAV44" s="30"/>
      <c r="PAW44" s="31"/>
      <c r="PAX44" s="30"/>
      <c r="PAY44" s="31"/>
      <c r="PAZ44" s="30"/>
      <c r="PBA44" s="31"/>
      <c r="PBB44" s="30"/>
      <c r="PBC44" s="31"/>
      <c r="PBD44" s="30"/>
      <c r="PBE44" s="31"/>
      <c r="PBF44" s="30"/>
      <c r="PBG44" s="31"/>
      <c r="PBH44" s="30"/>
      <c r="PBI44" s="31"/>
      <c r="PBJ44" s="30"/>
      <c r="PBK44" s="31"/>
      <c r="PBL44" s="30"/>
      <c r="PBM44" s="31"/>
      <c r="PBN44" s="30"/>
      <c r="PBO44" s="31"/>
      <c r="PBP44" s="30"/>
      <c r="PBQ44" s="31"/>
      <c r="PBR44" s="30"/>
      <c r="PBS44" s="31"/>
      <c r="PBT44" s="30"/>
      <c r="PBU44" s="31"/>
      <c r="PBV44" s="30"/>
      <c r="PBW44" s="31"/>
      <c r="PBX44" s="30"/>
      <c r="PBY44" s="31"/>
      <c r="PBZ44" s="30"/>
      <c r="PCA44" s="31"/>
      <c r="PCB44" s="30"/>
      <c r="PCC44" s="31"/>
      <c r="PCD44" s="30"/>
      <c r="PCE44" s="31"/>
      <c r="PCF44" s="30"/>
      <c r="PCG44" s="31"/>
      <c r="PCH44" s="30"/>
      <c r="PCI44" s="31"/>
      <c r="PCJ44" s="30"/>
      <c r="PCK44" s="31"/>
      <c r="PCL44" s="30"/>
      <c r="PCM44" s="31"/>
      <c r="PCN44" s="30"/>
      <c r="PCO44" s="31"/>
      <c r="PCP44" s="30"/>
      <c r="PCQ44" s="31"/>
      <c r="PCR44" s="30"/>
      <c r="PCS44" s="31"/>
      <c r="PCT44" s="30"/>
      <c r="PCU44" s="31"/>
      <c r="PCV44" s="30"/>
      <c r="PCW44" s="31"/>
      <c r="PCX44" s="30"/>
      <c r="PCY44" s="31"/>
      <c r="PCZ44" s="30"/>
      <c r="PDA44" s="31"/>
      <c r="PDB44" s="30"/>
      <c r="PDC44" s="31"/>
      <c r="PDD44" s="30"/>
      <c r="PDE44" s="31"/>
      <c r="PDF44" s="30"/>
      <c r="PDG44" s="31"/>
      <c r="PDH44" s="30"/>
      <c r="PDI44" s="31"/>
      <c r="PDJ44" s="30"/>
      <c r="PDK44" s="31"/>
      <c r="PDL44" s="30"/>
      <c r="PDM44" s="31"/>
      <c r="PDN44" s="30"/>
      <c r="PDO44" s="31"/>
      <c r="PDP44" s="30"/>
      <c r="PDQ44" s="31"/>
      <c r="PDR44" s="30"/>
      <c r="PDS44" s="31"/>
      <c r="PDT44" s="30"/>
      <c r="PDU44" s="31"/>
      <c r="PDV44" s="30"/>
      <c r="PDW44" s="31"/>
      <c r="PDX44" s="30"/>
      <c r="PDY44" s="31"/>
      <c r="PDZ44" s="30"/>
      <c r="PEA44" s="31"/>
      <c r="PEB44" s="30"/>
      <c r="PEC44" s="31"/>
      <c r="PED44" s="30"/>
      <c r="PEE44" s="31"/>
      <c r="PEF44" s="30"/>
      <c r="PEG44" s="31"/>
      <c r="PEH44" s="30"/>
      <c r="PEI44" s="31"/>
      <c r="PEJ44" s="30"/>
      <c r="PEK44" s="31"/>
      <c r="PEL44" s="30"/>
      <c r="PEM44" s="31"/>
      <c r="PEN44" s="30"/>
      <c r="PEO44" s="31"/>
      <c r="PEP44" s="30"/>
      <c r="PEQ44" s="31"/>
      <c r="PER44" s="30"/>
      <c r="PES44" s="31"/>
      <c r="PET44" s="30"/>
      <c r="PEU44" s="31"/>
      <c r="PEV44" s="30"/>
      <c r="PEW44" s="31"/>
      <c r="PEX44" s="30"/>
      <c r="PEY44" s="31"/>
      <c r="PEZ44" s="30"/>
      <c r="PFA44" s="31"/>
      <c r="PFB44" s="30"/>
      <c r="PFC44" s="31"/>
      <c r="PFD44" s="30"/>
      <c r="PFE44" s="31"/>
      <c r="PFF44" s="30"/>
      <c r="PFG44" s="31"/>
      <c r="PFH44" s="30"/>
      <c r="PFI44" s="31"/>
      <c r="PFJ44" s="30"/>
      <c r="PFK44" s="31"/>
      <c r="PFL44" s="30"/>
      <c r="PFM44" s="31"/>
      <c r="PFN44" s="30"/>
      <c r="PFO44" s="31"/>
      <c r="PFP44" s="30"/>
      <c r="PFQ44" s="31"/>
      <c r="PFR44" s="30"/>
      <c r="PFS44" s="31"/>
      <c r="PFT44" s="30"/>
      <c r="PFU44" s="31"/>
      <c r="PFV44" s="30"/>
      <c r="PFW44" s="31"/>
      <c r="PFX44" s="30"/>
      <c r="PFY44" s="31"/>
      <c r="PFZ44" s="30"/>
      <c r="PGA44" s="31"/>
      <c r="PGB44" s="30"/>
      <c r="PGC44" s="31"/>
      <c r="PGD44" s="30"/>
      <c r="PGE44" s="31"/>
      <c r="PGF44" s="30"/>
      <c r="PGG44" s="31"/>
      <c r="PGH44" s="30"/>
      <c r="PGI44" s="31"/>
      <c r="PGJ44" s="30"/>
      <c r="PGK44" s="31"/>
      <c r="PGL44" s="30"/>
      <c r="PGM44" s="31"/>
      <c r="PGN44" s="30"/>
      <c r="PGO44" s="31"/>
      <c r="PGP44" s="30"/>
      <c r="PGQ44" s="31"/>
      <c r="PGR44" s="30"/>
      <c r="PGS44" s="31"/>
      <c r="PGT44" s="30"/>
      <c r="PGU44" s="31"/>
      <c r="PGV44" s="30"/>
      <c r="PGW44" s="31"/>
      <c r="PGX44" s="30"/>
      <c r="PGY44" s="31"/>
      <c r="PGZ44" s="30"/>
      <c r="PHA44" s="31"/>
      <c r="PHB44" s="30"/>
      <c r="PHC44" s="31"/>
      <c r="PHD44" s="30"/>
      <c r="PHE44" s="31"/>
      <c r="PHF44" s="30"/>
      <c r="PHG44" s="31"/>
      <c r="PHH44" s="30"/>
      <c r="PHI44" s="31"/>
      <c r="PHJ44" s="30"/>
      <c r="PHK44" s="31"/>
      <c r="PHL44" s="30"/>
      <c r="PHM44" s="31"/>
      <c r="PHN44" s="30"/>
      <c r="PHO44" s="31"/>
      <c r="PHP44" s="30"/>
      <c r="PHQ44" s="31"/>
      <c r="PHR44" s="30"/>
      <c r="PHS44" s="31"/>
      <c r="PHT44" s="30"/>
      <c r="PHU44" s="31"/>
      <c r="PHV44" s="30"/>
      <c r="PHW44" s="31"/>
      <c r="PHX44" s="30"/>
      <c r="PHY44" s="31"/>
      <c r="PHZ44" s="30"/>
      <c r="PIA44" s="31"/>
      <c r="PIB44" s="30"/>
      <c r="PIC44" s="31"/>
      <c r="PID44" s="30"/>
      <c r="PIE44" s="31"/>
      <c r="PIF44" s="30"/>
      <c r="PIG44" s="31"/>
      <c r="PIH44" s="30"/>
      <c r="PII44" s="31"/>
      <c r="PIJ44" s="30"/>
      <c r="PIK44" s="31"/>
      <c r="PIL44" s="30"/>
      <c r="PIM44" s="31"/>
      <c r="PIN44" s="30"/>
      <c r="PIO44" s="31"/>
      <c r="PIP44" s="30"/>
      <c r="PIQ44" s="31"/>
      <c r="PIR44" s="30"/>
      <c r="PIS44" s="31"/>
      <c r="PIT44" s="30"/>
      <c r="PIU44" s="31"/>
      <c r="PIV44" s="30"/>
      <c r="PIW44" s="31"/>
      <c r="PIX44" s="30"/>
      <c r="PIY44" s="31"/>
      <c r="PIZ44" s="30"/>
      <c r="PJA44" s="31"/>
      <c r="PJB44" s="30"/>
      <c r="PJC44" s="31"/>
      <c r="PJD44" s="30"/>
      <c r="PJE44" s="31"/>
      <c r="PJF44" s="30"/>
      <c r="PJG44" s="31"/>
      <c r="PJH44" s="30"/>
      <c r="PJI44" s="31"/>
      <c r="PJJ44" s="30"/>
      <c r="PJK44" s="31"/>
      <c r="PJL44" s="30"/>
      <c r="PJM44" s="31"/>
      <c r="PJN44" s="30"/>
      <c r="PJO44" s="31"/>
      <c r="PJP44" s="30"/>
      <c r="PJQ44" s="31"/>
      <c r="PJR44" s="30"/>
      <c r="PJS44" s="31"/>
      <c r="PJT44" s="30"/>
      <c r="PJU44" s="31"/>
      <c r="PJV44" s="30"/>
      <c r="PJW44" s="31"/>
      <c r="PJX44" s="30"/>
      <c r="PJY44" s="31"/>
      <c r="PJZ44" s="30"/>
      <c r="PKA44" s="31"/>
      <c r="PKB44" s="30"/>
      <c r="PKC44" s="31"/>
      <c r="PKD44" s="30"/>
      <c r="PKE44" s="31"/>
      <c r="PKF44" s="30"/>
      <c r="PKG44" s="31"/>
      <c r="PKH44" s="30"/>
      <c r="PKI44" s="31"/>
      <c r="PKJ44" s="30"/>
      <c r="PKK44" s="31"/>
      <c r="PKL44" s="30"/>
      <c r="PKM44" s="31"/>
      <c r="PKN44" s="30"/>
      <c r="PKO44" s="31"/>
      <c r="PKP44" s="30"/>
      <c r="PKQ44" s="31"/>
      <c r="PKR44" s="30"/>
      <c r="PKS44" s="31"/>
      <c r="PKT44" s="30"/>
      <c r="PKU44" s="31"/>
      <c r="PKV44" s="30"/>
      <c r="PKW44" s="31"/>
      <c r="PKX44" s="30"/>
      <c r="PKY44" s="31"/>
      <c r="PKZ44" s="30"/>
      <c r="PLA44" s="31"/>
      <c r="PLB44" s="30"/>
      <c r="PLC44" s="31"/>
      <c r="PLD44" s="30"/>
      <c r="PLE44" s="31"/>
      <c r="PLF44" s="30"/>
      <c r="PLG44" s="31"/>
      <c r="PLH44" s="30"/>
      <c r="PLI44" s="31"/>
      <c r="PLJ44" s="30"/>
      <c r="PLK44" s="31"/>
      <c r="PLL44" s="30"/>
      <c r="PLM44" s="31"/>
      <c r="PLN44" s="30"/>
      <c r="PLO44" s="31"/>
      <c r="PLP44" s="30"/>
      <c r="PLQ44" s="31"/>
      <c r="PLR44" s="30"/>
      <c r="PLS44" s="31"/>
      <c r="PLT44" s="30"/>
      <c r="PLU44" s="31"/>
      <c r="PLV44" s="30"/>
      <c r="PLW44" s="31"/>
      <c r="PLX44" s="30"/>
      <c r="PLY44" s="31"/>
      <c r="PLZ44" s="30"/>
      <c r="PMA44" s="31"/>
      <c r="PMB44" s="30"/>
      <c r="PMC44" s="31"/>
      <c r="PMD44" s="30"/>
      <c r="PME44" s="31"/>
      <c r="PMF44" s="30"/>
      <c r="PMG44" s="31"/>
      <c r="PMH44" s="30"/>
      <c r="PMI44" s="31"/>
      <c r="PMJ44" s="30"/>
      <c r="PMK44" s="31"/>
      <c r="PML44" s="30"/>
      <c r="PMM44" s="31"/>
      <c r="PMN44" s="30"/>
      <c r="PMO44" s="31"/>
      <c r="PMP44" s="30"/>
      <c r="PMQ44" s="31"/>
      <c r="PMR44" s="30"/>
      <c r="PMS44" s="31"/>
      <c r="PMT44" s="30"/>
      <c r="PMU44" s="31"/>
      <c r="PMV44" s="30"/>
      <c r="PMW44" s="31"/>
      <c r="PMX44" s="30"/>
      <c r="PMY44" s="31"/>
      <c r="PMZ44" s="30"/>
      <c r="PNA44" s="31"/>
      <c r="PNB44" s="30"/>
      <c r="PNC44" s="31"/>
      <c r="PND44" s="30"/>
      <c r="PNE44" s="31"/>
      <c r="PNF44" s="30"/>
      <c r="PNG44" s="31"/>
      <c r="PNH44" s="30"/>
      <c r="PNI44" s="31"/>
      <c r="PNJ44" s="30"/>
      <c r="PNK44" s="31"/>
      <c r="PNL44" s="30"/>
      <c r="PNM44" s="31"/>
      <c r="PNN44" s="30"/>
      <c r="PNO44" s="31"/>
      <c r="PNP44" s="30"/>
      <c r="PNQ44" s="31"/>
      <c r="PNR44" s="30"/>
      <c r="PNS44" s="31"/>
      <c r="PNT44" s="30"/>
      <c r="PNU44" s="31"/>
      <c r="PNV44" s="30"/>
      <c r="PNW44" s="31"/>
      <c r="PNX44" s="30"/>
      <c r="PNY44" s="31"/>
      <c r="PNZ44" s="30"/>
      <c r="POA44" s="31"/>
      <c r="POB44" s="30"/>
      <c r="POC44" s="31"/>
      <c r="POD44" s="30"/>
      <c r="POE44" s="31"/>
      <c r="POF44" s="30"/>
      <c r="POG44" s="31"/>
      <c r="POH44" s="30"/>
      <c r="POI44" s="31"/>
      <c r="POJ44" s="30"/>
      <c r="POK44" s="31"/>
      <c r="POL44" s="30"/>
      <c r="POM44" s="31"/>
      <c r="PON44" s="30"/>
      <c r="POO44" s="31"/>
      <c r="POP44" s="30"/>
      <c r="POQ44" s="31"/>
      <c r="POR44" s="30"/>
      <c r="POS44" s="31"/>
      <c r="POT44" s="30"/>
      <c r="POU44" s="31"/>
      <c r="POV44" s="30"/>
      <c r="POW44" s="31"/>
      <c r="POX44" s="30"/>
      <c r="POY44" s="31"/>
      <c r="POZ44" s="30"/>
      <c r="PPA44" s="31"/>
      <c r="PPB44" s="30"/>
      <c r="PPC44" s="31"/>
      <c r="PPD44" s="30"/>
      <c r="PPE44" s="31"/>
      <c r="PPF44" s="30"/>
      <c r="PPG44" s="31"/>
      <c r="PPH44" s="30"/>
      <c r="PPI44" s="31"/>
      <c r="PPJ44" s="30"/>
      <c r="PPK44" s="31"/>
      <c r="PPL44" s="30"/>
      <c r="PPM44" s="31"/>
      <c r="PPN44" s="30"/>
      <c r="PPO44" s="31"/>
      <c r="PPP44" s="30"/>
      <c r="PPQ44" s="31"/>
      <c r="PPR44" s="30"/>
      <c r="PPS44" s="31"/>
      <c r="PPT44" s="30"/>
      <c r="PPU44" s="31"/>
      <c r="PPV44" s="30"/>
      <c r="PPW44" s="31"/>
      <c r="PPX44" s="30"/>
      <c r="PPY44" s="31"/>
      <c r="PPZ44" s="30"/>
      <c r="PQA44" s="31"/>
      <c r="PQB44" s="30"/>
      <c r="PQC44" s="31"/>
      <c r="PQD44" s="30"/>
      <c r="PQE44" s="31"/>
      <c r="PQF44" s="30"/>
      <c r="PQG44" s="31"/>
      <c r="PQH44" s="30"/>
      <c r="PQI44" s="31"/>
      <c r="PQJ44" s="30"/>
      <c r="PQK44" s="31"/>
      <c r="PQL44" s="30"/>
      <c r="PQM44" s="31"/>
      <c r="PQN44" s="30"/>
      <c r="PQO44" s="31"/>
      <c r="PQP44" s="30"/>
      <c r="PQQ44" s="31"/>
      <c r="PQR44" s="30"/>
      <c r="PQS44" s="31"/>
      <c r="PQT44" s="30"/>
      <c r="PQU44" s="31"/>
      <c r="PQV44" s="30"/>
      <c r="PQW44" s="31"/>
      <c r="PQX44" s="30"/>
      <c r="PQY44" s="31"/>
      <c r="PQZ44" s="30"/>
      <c r="PRA44" s="31"/>
      <c r="PRB44" s="30"/>
      <c r="PRC44" s="31"/>
      <c r="PRD44" s="30"/>
      <c r="PRE44" s="31"/>
      <c r="PRF44" s="30"/>
      <c r="PRG44" s="31"/>
      <c r="PRH44" s="30"/>
      <c r="PRI44" s="31"/>
      <c r="PRJ44" s="30"/>
      <c r="PRK44" s="31"/>
      <c r="PRL44" s="30"/>
      <c r="PRM44" s="31"/>
      <c r="PRN44" s="30"/>
      <c r="PRO44" s="31"/>
      <c r="PRP44" s="30"/>
      <c r="PRQ44" s="31"/>
      <c r="PRR44" s="30"/>
      <c r="PRS44" s="31"/>
      <c r="PRT44" s="30"/>
      <c r="PRU44" s="31"/>
      <c r="PRV44" s="30"/>
      <c r="PRW44" s="31"/>
      <c r="PRX44" s="30"/>
      <c r="PRY44" s="31"/>
      <c r="PRZ44" s="30"/>
      <c r="PSA44" s="31"/>
      <c r="PSB44" s="30"/>
      <c r="PSC44" s="31"/>
      <c r="PSD44" s="30"/>
      <c r="PSE44" s="31"/>
      <c r="PSF44" s="30"/>
      <c r="PSG44" s="31"/>
      <c r="PSH44" s="30"/>
      <c r="PSI44" s="31"/>
      <c r="PSJ44" s="30"/>
      <c r="PSK44" s="31"/>
      <c r="PSL44" s="30"/>
      <c r="PSM44" s="31"/>
      <c r="PSN44" s="30"/>
      <c r="PSO44" s="31"/>
      <c r="PSP44" s="30"/>
      <c r="PSQ44" s="31"/>
      <c r="PSR44" s="30"/>
      <c r="PSS44" s="31"/>
      <c r="PST44" s="30"/>
      <c r="PSU44" s="31"/>
      <c r="PSV44" s="30"/>
      <c r="PSW44" s="31"/>
      <c r="PSX44" s="30"/>
      <c r="PSY44" s="31"/>
      <c r="PSZ44" s="30"/>
      <c r="PTA44" s="31"/>
      <c r="PTB44" s="30"/>
      <c r="PTC44" s="31"/>
      <c r="PTD44" s="30"/>
      <c r="PTE44" s="31"/>
      <c r="PTF44" s="30"/>
      <c r="PTG44" s="31"/>
      <c r="PTH44" s="30"/>
      <c r="PTI44" s="31"/>
      <c r="PTJ44" s="30"/>
      <c r="PTK44" s="31"/>
      <c r="PTL44" s="30"/>
      <c r="PTM44" s="31"/>
      <c r="PTN44" s="30"/>
      <c r="PTO44" s="31"/>
      <c r="PTP44" s="30"/>
      <c r="PTQ44" s="31"/>
      <c r="PTR44" s="30"/>
      <c r="PTS44" s="31"/>
      <c r="PTT44" s="30"/>
      <c r="PTU44" s="31"/>
      <c r="PTV44" s="30"/>
      <c r="PTW44" s="31"/>
      <c r="PTX44" s="30"/>
      <c r="PTY44" s="31"/>
      <c r="PTZ44" s="30"/>
      <c r="PUA44" s="31"/>
      <c r="PUB44" s="30"/>
      <c r="PUC44" s="31"/>
      <c r="PUD44" s="30"/>
      <c r="PUE44" s="31"/>
      <c r="PUF44" s="30"/>
      <c r="PUG44" s="31"/>
      <c r="PUH44" s="30"/>
      <c r="PUI44" s="31"/>
      <c r="PUJ44" s="30"/>
      <c r="PUK44" s="31"/>
      <c r="PUL44" s="30"/>
      <c r="PUM44" s="31"/>
      <c r="PUN44" s="30"/>
      <c r="PUO44" s="31"/>
      <c r="PUP44" s="30"/>
      <c r="PUQ44" s="31"/>
      <c r="PUR44" s="30"/>
      <c r="PUS44" s="31"/>
      <c r="PUT44" s="30"/>
      <c r="PUU44" s="31"/>
      <c r="PUV44" s="30"/>
      <c r="PUW44" s="31"/>
      <c r="PUX44" s="30"/>
      <c r="PUY44" s="31"/>
      <c r="PUZ44" s="30"/>
      <c r="PVA44" s="31"/>
      <c r="PVB44" s="30"/>
      <c r="PVC44" s="31"/>
      <c r="PVD44" s="30"/>
      <c r="PVE44" s="31"/>
      <c r="PVF44" s="30"/>
      <c r="PVG44" s="31"/>
      <c r="PVH44" s="30"/>
      <c r="PVI44" s="31"/>
      <c r="PVJ44" s="30"/>
      <c r="PVK44" s="31"/>
      <c r="PVL44" s="30"/>
      <c r="PVM44" s="31"/>
      <c r="PVN44" s="30"/>
      <c r="PVO44" s="31"/>
      <c r="PVP44" s="30"/>
      <c r="PVQ44" s="31"/>
      <c r="PVR44" s="30"/>
      <c r="PVS44" s="31"/>
      <c r="PVT44" s="30"/>
      <c r="PVU44" s="31"/>
      <c r="PVV44" s="30"/>
      <c r="PVW44" s="31"/>
      <c r="PVX44" s="30"/>
      <c r="PVY44" s="31"/>
      <c r="PVZ44" s="30"/>
      <c r="PWA44" s="31"/>
      <c r="PWB44" s="30"/>
      <c r="PWC44" s="31"/>
      <c r="PWD44" s="30"/>
      <c r="PWE44" s="31"/>
      <c r="PWF44" s="30"/>
      <c r="PWG44" s="31"/>
      <c r="PWH44" s="30"/>
      <c r="PWI44" s="31"/>
      <c r="PWJ44" s="30"/>
      <c r="PWK44" s="31"/>
      <c r="PWL44" s="30"/>
      <c r="PWM44" s="31"/>
      <c r="PWN44" s="30"/>
      <c r="PWO44" s="31"/>
      <c r="PWP44" s="30"/>
      <c r="PWQ44" s="31"/>
      <c r="PWR44" s="30"/>
      <c r="PWS44" s="31"/>
      <c r="PWT44" s="30"/>
      <c r="PWU44" s="31"/>
      <c r="PWV44" s="30"/>
      <c r="PWW44" s="31"/>
      <c r="PWX44" s="30"/>
      <c r="PWY44" s="31"/>
      <c r="PWZ44" s="30"/>
      <c r="PXA44" s="31"/>
      <c r="PXB44" s="30"/>
      <c r="PXC44" s="31"/>
      <c r="PXD44" s="30"/>
      <c r="PXE44" s="31"/>
      <c r="PXF44" s="30"/>
      <c r="PXG44" s="31"/>
      <c r="PXH44" s="30"/>
      <c r="PXI44" s="31"/>
      <c r="PXJ44" s="30"/>
      <c r="PXK44" s="31"/>
      <c r="PXL44" s="30"/>
      <c r="PXM44" s="31"/>
      <c r="PXN44" s="30"/>
      <c r="PXO44" s="31"/>
      <c r="PXP44" s="30"/>
      <c r="PXQ44" s="31"/>
      <c r="PXR44" s="30"/>
      <c r="PXS44" s="31"/>
      <c r="PXT44" s="30"/>
      <c r="PXU44" s="31"/>
      <c r="PXV44" s="30"/>
      <c r="PXW44" s="31"/>
      <c r="PXX44" s="30"/>
      <c r="PXY44" s="31"/>
      <c r="PXZ44" s="30"/>
      <c r="PYA44" s="31"/>
      <c r="PYB44" s="30"/>
      <c r="PYC44" s="31"/>
      <c r="PYD44" s="30"/>
      <c r="PYE44" s="31"/>
      <c r="PYF44" s="30"/>
      <c r="PYG44" s="31"/>
      <c r="PYH44" s="30"/>
      <c r="PYI44" s="31"/>
      <c r="PYJ44" s="30"/>
      <c r="PYK44" s="31"/>
      <c r="PYL44" s="30"/>
      <c r="PYM44" s="31"/>
      <c r="PYN44" s="30"/>
      <c r="PYO44" s="31"/>
      <c r="PYP44" s="30"/>
      <c r="PYQ44" s="31"/>
      <c r="PYR44" s="30"/>
      <c r="PYS44" s="31"/>
      <c r="PYT44" s="30"/>
      <c r="PYU44" s="31"/>
      <c r="PYV44" s="30"/>
      <c r="PYW44" s="31"/>
      <c r="PYX44" s="30"/>
      <c r="PYY44" s="31"/>
      <c r="PYZ44" s="30"/>
      <c r="PZA44" s="31"/>
      <c r="PZB44" s="30"/>
      <c r="PZC44" s="31"/>
      <c r="PZD44" s="30"/>
      <c r="PZE44" s="31"/>
      <c r="PZF44" s="30"/>
      <c r="PZG44" s="31"/>
      <c r="PZH44" s="30"/>
      <c r="PZI44" s="31"/>
      <c r="PZJ44" s="30"/>
      <c r="PZK44" s="31"/>
      <c r="PZL44" s="30"/>
      <c r="PZM44" s="31"/>
      <c r="PZN44" s="30"/>
      <c r="PZO44" s="31"/>
      <c r="PZP44" s="30"/>
      <c r="PZQ44" s="31"/>
      <c r="PZR44" s="30"/>
      <c r="PZS44" s="31"/>
      <c r="PZT44" s="30"/>
      <c r="PZU44" s="31"/>
      <c r="PZV44" s="30"/>
      <c r="PZW44" s="31"/>
      <c r="PZX44" s="30"/>
      <c r="PZY44" s="31"/>
      <c r="PZZ44" s="30"/>
      <c r="QAA44" s="31"/>
      <c r="QAB44" s="30"/>
      <c r="QAC44" s="31"/>
      <c r="QAD44" s="30"/>
      <c r="QAE44" s="31"/>
      <c r="QAF44" s="30"/>
      <c r="QAG44" s="31"/>
      <c r="QAH44" s="30"/>
      <c r="QAI44" s="31"/>
      <c r="QAJ44" s="30"/>
      <c r="QAK44" s="31"/>
      <c r="QAL44" s="30"/>
      <c r="QAM44" s="31"/>
      <c r="QAN44" s="30"/>
      <c r="QAO44" s="31"/>
      <c r="QAP44" s="30"/>
      <c r="QAQ44" s="31"/>
      <c r="QAR44" s="30"/>
      <c r="QAS44" s="31"/>
      <c r="QAT44" s="30"/>
      <c r="QAU44" s="31"/>
      <c r="QAV44" s="30"/>
      <c r="QAW44" s="31"/>
      <c r="QAX44" s="30"/>
      <c r="QAY44" s="31"/>
      <c r="QAZ44" s="30"/>
      <c r="QBA44" s="31"/>
      <c r="QBB44" s="30"/>
      <c r="QBC44" s="31"/>
      <c r="QBD44" s="30"/>
      <c r="QBE44" s="31"/>
      <c r="QBF44" s="30"/>
      <c r="QBG44" s="31"/>
      <c r="QBH44" s="30"/>
      <c r="QBI44" s="31"/>
      <c r="QBJ44" s="30"/>
      <c r="QBK44" s="31"/>
      <c r="QBL44" s="30"/>
      <c r="QBM44" s="31"/>
      <c r="QBN44" s="30"/>
      <c r="QBO44" s="31"/>
      <c r="QBP44" s="30"/>
      <c r="QBQ44" s="31"/>
      <c r="QBR44" s="30"/>
      <c r="QBS44" s="31"/>
      <c r="QBT44" s="30"/>
      <c r="QBU44" s="31"/>
      <c r="QBV44" s="30"/>
      <c r="QBW44" s="31"/>
      <c r="QBX44" s="30"/>
      <c r="QBY44" s="31"/>
      <c r="QBZ44" s="30"/>
      <c r="QCA44" s="31"/>
      <c r="QCB44" s="30"/>
      <c r="QCC44" s="31"/>
      <c r="QCD44" s="30"/>
      <c r="QCE44" s="31"/>
      <c r="QCF44" s="30"/>
      <c r="QCG44" s="31"/>
      <c r="QCH44" s="30"/>
      <c r="QCI44" s="31"/>
      <c r="QCJ44" s="30"/>
      <c r="QCK44" s="31"/>
      <c r="QCL44" s="30"/>
      <c r="QCM44" s="31"/>
      <c r="QCN44" s="30"/>
      <c r="QCO44" s="31"/>
      <c r="QCP44" s="30"/>
      <c r="QCQ44" s="31"/>
      <c r="QCR44" s="30"/>
      <c r="QCS44" s="31"/>
      <c r="QCT44" s="30"/>
      <c r="QCU44" s="31"/>
      <c r="QCV44" s="30"/>
      <c r="QCW44" s="31"/>
      <c r="QCX44" s="30"/>
      <c r="QCY44" s="31"/>
      <c r="QCZ44" s="30"/>
      <c r="QDA44" s="31"/>
      <c r="QDB44" s="30"/>
      <c r="QDC44" s="31"/>
      <c r="QDD44" s="30"/>
      <c r="QDE44" s="31"/>
      <c r="QDF44" s="30"/>
      <c r="QDG44" s="31"/>
      <c r="QDH44" s="30"/>
      <c r="QDI44" s="31"/>
      <c r="QDJ44" s="30"/>
      <c r="QDK44" s="31"/>
      <c r="QDL44" s="30"/>
      <c r="QDM44" s="31"/>
      <c r="QDN44" s="30"/>
      <c r="QDO44" s="31"/>
      <c r="QDP44" s="30"/>
      <c r="QDQ44" s="31"/>
      <c r="QDR44" s="30"/>
      <c r="QDS44" s="31"/>
      <c r="QDT44" s="30"/>
      <c r="QDU44" s="31"/>
      <c r="QDV44" s="30"/>
      <c r="QDW44" s="31"/>
      <c r="QDX44" s="30"/>
      <c r="QDY44" s="31"/>
      <c r="QDZ44" s="30"/>
      <c r="QEA44" s="31"/>
      <c r="QEB44" s="30"/>
      <c r="QEC44" s="31"/>
      <c r="QED44" s="30"/>
      <c r="QEE44" s="31"/>
      <c r="QEF44" s="30"/>
      <c r="QEG44" s="31"/>
      <c r="QEH44" s="30"/>
      <c r="QEI44" s="31"/>
      <c r="QEJ44" s="30"/>
      <c r="QEK44" s="31"/>
      <c r="QEL44" s="30"/>
      <c r="QEM44" s="31"/>
      <c r="QEN44" s="30"/>
      <c r="QEO44" s="31"/>
      <c r="QEP44" s="30"/>
      <c r="QEQ44" s="31"/>
      <c r="QER44" s="30"/>
      <c r="QES44" s="31"/>
      <c r="QET44" s="30"/>
      <c r="QEU44" s="31"/>
      <c r="QEV44" s="30"/>
      <c r="QEW44" s="31"/>
      <c r="QEX44" s="30"/>
      <c r="QEY44" s="31"/>
      <c r="QEZ44" s="30"/>
      <c r="QFA44" s="31"/>
      <c r="QFB44" s="30"/>
      <c r="QFC44" s="31"/>
      <c r="QFD44" s="30"/>
      <c r="QFE44" s="31"/>
      <c r="QFF44" s="30"/>
      <c r="QFG44" s="31"/>
      <c r="QFH44" s="30"/>
      <c r="QFI44" s="31"/>
      <c r="QFJ44" s="30"/>
      <c r="QFK44" s="31"/>
      <c r="QFL44" s="30"/>
      <c r="QFM44" s="31"/>
      <c r="QFN44" s="30"/>
      <c r="QFO44" s="31"/>
      <c r="QFP44" s="30"/>
      <c r="QFQ44" s="31"/>
      <c r="QFR44" s="30"/>
      <c r="QFS44" s="31"/>
      <c r="QFT44" s="30"/>
      <c r="QFU44" s="31"/>
      <c r="QFV44" s="30"/>
      <c r="QFW44" s="31"/>
      <c r="QFX44" s="30"/>
      <c r="QFY44" s="31"/>
      <c r="QFZ44" s="30"/>
      <c r="QGA44" s="31"/>
      <c r="QGB44" s="30"/>
      <c r="QGC44" s="31"/>
      <c r="QGD44" s="30"/>
      <c r="QGE44" s="31"/>
      <c r="QGF44" s="30"/>
      <c r="QGG44" s="31"/>
      <c r="QGH44" s="30"/>
      <c r="QGI44" s="31"/>
      <c r="QGJ44" s="30"/>
      <c r="QGK44" s="31"/>
      <c r="QGL44" s="30"/>
      <c r="QGM44" s="31"/>
      <c r="QGN44" s="30"/>
      <c r="QGO44" s="31"/>
      <c r="QGP44" s="30"/>
      <c r="QGQ44" s="31"/>
      <c r="QGR44" s="30"/>
      <c r="QGS44" s="31"/>
      <c r="QGT44" s="30"/>
      <c r="QGU44" s="31"/>
      <c r="QGV44" s="30"/>
      <c r="QGW44" s="31"/>
      <c r="QGX44" s="30"/>
      <c r="QGY44" s="31"/>
      <c r="QGZ44" s="30"/>
      <c r="QHA44" s="31"/>
      <c r="QHB44" s="30"/>
      <c r="QHC44" s="31"/>
      <c r="QHD44" s="30"/>
      <c r="QHE44" s="31"/>
      <c r="QHF44" s="30"/>
      <c r="QHG44" s="31"/>
      <c r="QHH44" s="30"/>
      <c r="QHI44" s="31"/>
      <c r="QHJ44" s="30"/>
      <c r="QHK44" s="31"/>
      <c r="QHL44" s="30"/>
      <c r="QHM44" s="31"/>
      <c r="QHN44" s="30"/>
      <c r="QHO44" s="31"/>
      <c r="QHP44" s="30"/>
      <c r="QHQ44" s="31"/>
      <c r="QHR44" s="30"/>
      <c r="QHS44" s="31"/>
      <c r="QHT44" s="30"/>
      <c r="QHU44" s="31"/>
      <c r="QHV44" s="30"/>
      <c r="QHW44" s="31"/>
      <c r="QHX44" s="30"/>
      <c r="QHY44" s="31"/>
      <c r="QHZ44" s="30"/>
      <c r="QIA44" s="31"/>
      <c r="QIB44" s="30"/>
      <c r="QIC44" s="31"/>
      <c r="QID44" s="30"/>
      <c r="QIE44" s="31"/>
      <c r="QIF44" s="30"/>
      <c r="QIG44" s="31"/>
      <c r="QIH44" s="30"/>
      <c r="QII44" s="31"/>
      <c r="QIJ44" s="30"/>
      <c r="QIK44" s="31"/>
      <c r="QIL44" s="30"/>
      <c r="QIM44" s="31"/>
      <c r="QIN44" s="30"/>
      <c r="QIO44" s="31"/>
      <c r="QIP44" s="30"/>
      <c r="QIQ44" s="31"/>
      <c r="QIR44" s="30"/>
      <c r="QIS44" s="31"/>
      <c r="QIT44" s="30"/>
      <c r="QIU44" s="31"/>
      <c r="QIV44" s="30"/>
      <c r="QIW44" s="31"/>
      <c r="QIX44" s="30"/>
      <c r="QIY44" s="31"/>
      <c r="QIZ44" s="30"/>
      <c r="QJA44" s="31"/>
      <c r="QJB44" s="30"/>
      <c r="QJC44" s="31"/>
      <c r="QJD44" s="30"/>
      <c r="QJE44" s="31"/>
      <c r="QJF44" s="30"/>
      <c r="QJG44" s="31"/>
      <c r="QJH44" s="30"/>
      <c r="QJI44" s="31"/>
      <c r="QJJ44" s="30"/>
      <c r="QJK44" s="31"/>
      <c r="QJL44" s="30"/>
      <c r="QJM44" s="31"/>
      <c r="QJN44" s="30"/>
      <c r="QJO44" s="31"/>
      <c r="QJP44" s="30"/>
      <c r="QJQ44" s="31"/>
      <c r="QJR44" s="30"/>
      <c r="QJS44" s="31"/>
      <c r="QJT44" s="30"/>
      <c r="QJU44" s="31"/>
      <c r="QJV44" s="30"/>
      <c r="QJW44" s="31"/>
      <c r="QJX44" s="30"/>
      <c r="QJY44" s="31"/>
      <c r="QJZ44" s="30"/>
      <c r="QKA44" s="31"/>
      <c r="QKB44" s="30"/>
      <c r="QKC44" s="31"/>
      <c r="QKD44" s="30"/>
      <c r="QKE44" s="31"/>
      <c r="QKF44" s="30"/>
      <c r="QKG44" s="31"/>
      <c r="QKH44" s="30"/>
      <c r="QKI44" s="31"/>
      <c r="QKJ44" s="30"/>
      <c r="QKK44" s="31"/>
      <c r="QKL44" s="30"/>
      <c r="QKM44" s="31"/>
      <c r="QKN44" s="30"/>
      <c r="QKO44" s="31"/>
      <c r="QKP44" s="30"/>
      <c r="QKQ44" s="31"/>
      <c r="QKR44" s="30"/>
      <c r="QKS44" s="31"/>
      <c r="QKT44" s="30"/>
      <c r="QKU44" s="31"/>
      <c r="QKV44" s="30"/>
      <c r="QKW44" s="31"/>
      <c r="QKX44" s="30"/>
      <c r="QKY44" s="31"/>
      <c r="QKZ44" s="30"/>
      <c r="QLA44" s="31"/>
      <c r="QLB44" s="30"/>
      <c r="QLC44" s="31"/>
      <c r="QLD44" s="30"/>
      <c r="QLE44" s="31"/>
      <c r="QLF44" s="30"/>
      <c r="QLG44" s="31"/>
      <c r="QLH44" s="30"/>
      <c r="QLI44" s="31"/>
      <c r="QLJ44" s="30"/>
      <c r="QLK44" s="31"/>
      <c r="QLL44" s="30"/>
      <c r="QLM44" s="31"/>
      <c r="QLN44" s="30"/>
      <c r="QLO44" s="31"/>
      <c r="QLP44" s="30"/>
      <c r="QLQ44" s="31"/>
      <c r="QLR44" s="30"/>
      <c r="QLS44" s="31"/>
      <c r="QLT44" s="30"/>
      <c r="QLU44" s="31"/>
      <c r="QLV44" s="30"/>
      <c r="QLW44" s="31"/>
      <c r="QLX44" s="30"/>
      <c r="QLY44" s="31"/>
      <c r="QLZ44" s="30"/>
      <c r="QMA44" s="31"/>
      <c r="QMB44" s="30"/>
      <c r="QMC44" s="31"/>
      <c r="QMD44" s="30"/>
      <c r="QME44" s="31"/>
      <c r="QMF44" s="30"/>
      <c r="QMG44" s="31"/>
      <c r="QMH44" s="30"/>
      <c r="QMI44" s="31"/>
      <c r="QMJ44" s="30"/>
      <c r="QMK44" s="31"/>
      <c r="QML44" s="30"/>
      <c r="QMM44" s="31"/>
      <c r="QMN44" s="30"/>
      <c r="QMO44" s="31"/>
      <c r="QMP44" s="30"/>
      <c r="QMQ44" s="31"/>
      <c r="QMR44" s="30"/>
      <c r="QMS44" s="31"/>
      <c r="QMT44" s="30"/>
      <c r="QMU44" s="31"/>
      <c r="QMV44" s="30"/>
      <c r="QMW44" s="31"/>
      <c r="QMX44" s="30"/>
      <c r="QMY44" s="31"/>
      <c r="QMZ44" s="30"/>
      <c r="QNA44" s="31"/>
      <c r="QNB44" s="30"/>
      <c r="QNC44" s="31"/>
      <c r="QND44" s="30"/>
      <c r="QNE44" s="31"/>
      <c r="QNF44" s="30"/>
      <c r="QNG44" s="31"/>
      <c r="QNH44" s="30"/>
      <c r="QNI44" s="31"/>
      <c r="QNJ44" s="30"/>
      <c r="QNK44" s="31"/>
      <c r="QNL44" s="30"/>
      <c r="QNM44" s="31"/>
      <c r="QNN44" s="30"/>
      <c r="QNO44" s="31"/>
      <c r="QNP44" s="30"/>
      <c r="QNQ44" s="31"/>
      <c r="QNR44" s="30"/>
      <c r="QNS44" s="31"/>
      <c r="QNT44" s="30"/>
      <c r="QNU44" s="31"/>
      <c r="QNV44" s="30"/>
      <c r="QNW44" s="31"/>
      <c r="QNX44" s="30"/>
      <c r="QNY44" s="31"/>
      <c r="QNZ44" s="30"/>
      <c r="QOA44" s="31"/>
      <c r="QOB44" s="30"/>
      <c r="QOC44" s="31"/>
      <c r="QOD44" s="30"/>
      <c r="QOE44" s="31"/>
      <c r="QOF44" s="30"/>
      <c r="QOG44" s="31"/>
      <c r="QOH44" s="30"/>
      <c r="QOI44" s="31"/>
      <c r="QOJ44" s="30"/>
      <c r="QOK44" s="31"/>
      <c r="QOL44" s="30"/>
      <c r="QOM44" s="31"/>
      <c r="QON44" s="30"/>
      <c r="QOO44" s="31"/>
      <c r="QOP44" s="30"/>
      <c r="QOQ44" s="31"/>
      <c r="QOR44" s="30"/>
      <c r="QOS44" s="31"/>
      <c r="QOT44" s="30"/>
      <c r="QOU44" s="31"/>
      <c r="QOV44" s="30"/>
      <c r="QOW44" s="31"/>
      <c r="QOX44" s="30"/>
      <c r="QOY44" s="31"/>
      <c r="QOZ44" s="30"/>
      <c r="QPA44" s="31"/>
      <c r="QPB44" s="30"/>
      <c r="QPC44" s="31"/>
      <c r="QPD44" s="30"/>
      <c r="QPE44" s="31"/>
      <c r="QPF44" s="30"/>
      <c r="QPG44" s="31"/>
      <c r="QPH44" s="30"/>
      <c r="QPI44" s="31"/>
      <c r="QPJ44" s="30"/>
      <c r="QPK44" s="31"/>
      <c r="QPL44" s="30"/>
      <c r="QPM44" s="31"/>
      <c r="QPN44" s="30"/>
      <c r="QPO44" s="31"/>
      <c r="QPP44" s="30"/>
      <c r="QPQ44" s="31"/>
      <c r="QPR44" s="30"/>
      <c r="QPS44" s="31"/>
      <c r="QPT44" s="30"/>
      <c r="QPU44" s="31"/>
      <c r="QPV44" s="30"/>
      <c r="QPW44" s="31"/>
      <c r="QPX44" s="30"/>
      <c r="QPY44" s="31"/>
      <c r="QPZ44" s="30"/>
      <c r="QQA44" s="31"/>
      <c r="QQB44" s="30"/>
      <c r="QQC44" s="31"/>
      <c r="QQD44" s="30"/>
      <c r="QQE44" s="31"/>
      <c r="QQF44" s="30"/>
      <c r="QQG44" s="31"/>
      <c r="QQH44" s="30"/>
      <c r="QQI44" s="31"/>
      <c r="QQJ44" s="30"/>
      <c r="QQK44" s="31"/>
      <c r="QQL44" s="30"/>
      <c r="QQM44" s="31"/>
      <c r="QQN44" s="30"/>
      <c r="QQO44" s="31"/>
      <c r="QQP44" s="30"/>
      <c r="QQQ44" s="31"/>
      <c r="QQR44" s="30"/>
      <c r="QQS44" s="31"/>
      <c r="QQT44" s="30"/>
      <c r="QQU44" s="31"/>
      <c r="QQV44" s="30"/>
      <c r="QQW44" s="31"/>
      <c r="QQX44" s="30"/>
      <c r="QQY44" s="31"/>
      <c r="QQZ44" s="30"/>
      <c r="QRA44" s="31"/>
      <c r="QRB44" s="30"/>
      <c r="QRC44" s="31"/>
      <c r="QRD44" s="30"/>
      <c r="QRE44" s="31"/>
      <c r="QRF44" s="30"/>
      <c r="QRG44" s="31"/>
      <c r="QRH44" s="30"/>
      <c r="QRI44" s="31"/>
      <c r="QRJ44" s="30"/>
      <c r="QRK44" s="31"/>
      <c r="QRL44" s="30"/>
      <c r="QRM44" s="31"/>
      <c r="QRN44" s="30"/>
      <c r="QRO44" s="31"/>
      <c r="QRP44" s="30"/>
      <c r="QRQ44" s="31"/>
      <c r="QRR44" s="30"/>
      <c r="QRS44" s="31"/>
      <c r="QRT44" s="30"/>
      <c r="QRU44" s="31"/>
      <c r="QRV44" s="30"/>
      <c r="QRW44" s="31"/>
      <c r="QRX44" s="30"/>
      <c r="QRY44" s="31"/>
      <c r="QRZ44" s="30"/>
      <c r="QSA44" s="31"/>
      <c r="QSB44" s="30"/>
      <c r="QSC44" s="31"/>
      <c r="QSD44" s="30"/>
      <c r="QSE44" s="31"/>
      <c r="QSF44" s="30"/>
      <c r="QSG44" s="31"/>
      <c r="QSH44" s="30"/>
      <c r="QSI44" s="31"/>
      <c r="QSJ44" s="30"/>
      <c r="QSK44" s="31"/>
      <c r="QSL44" s="30"/>
      <c r="QSM44" s="31"/>
      <c r="QSN44" s="30"/>
      <c r="QSO44" s="31"/>
      <c r="QSP44" s="30"/>
      <c r="QSQ44" s="31"/>
      <c r="QSR44" s="30"/>
      <c r="QSS44" s="31"/>
      <c r="QST44" s="30"/>
      <c r="QSU44" s="31"/>
      <c r="QSV44" s="30"/>
      <c r="QSW44" s="31"/>
      <c r="QSX44" s="30"/>
      <c r="QSY44" s="31"/>
      <c r="QSZ44" s="30"/>
      <c r="QTA44" s="31"/>
      <c r="QTB44" s="30"/>
      <c r="QTC44" s="31"/>
      <c r="QTD44" s="30"/>
      <c r="QTE44" s="31"/>
      <c r="QTF44" s="30"/>
      <c r="QTG44" s="31"/>
      <c r="QTH44" s="30"/>
      <c r="QTI44" s="31"/>
      <c r="QTJ44" s="30"/>
      <c r="QTK44" s="31"/>
      <c r="QTL44" s="30"/>
      <c r="QTM44" s="31"/>
      <c r="QTN44" s="30"/>
      <c r="QTO44" s="31"/>
      <c r="QTP44" s="30"/>
      <c r="QTQ44" s="31"/>
      <c r="QTR44" s="30"/>
      <c r="QTS44" s="31"/>
      <c r="QTT44" s="30"/>
      <c r="QTU44" s="31"/>
      <c r="QTV44" s="30"/>
      <c r="QTW44" s="31"/>
      <c r="QTX44" s="30"/>
      <c r="QTY44" s="31"/>
      <c r="QTZ44" s="30"/>
      <c r="QUA44" s="31"/>
      <c r="QUB44" s="30"/>
      <c r="QUC44" s="31"/>
      <c r="QUD44" s="30"/>
      <c r="QUE44" s="31"/>
      <c r="QUF44" s="30"/>
      <c r="QUG44" s="31"/>
      <c r="QUH44" s="30"/>
      <c r="QUI44" s="31"/>
      <c r="QUJ44" s="30"/>
      <c r="QUK44" s="31"/>
      <c r="QUL44" s="30"/>
      <c r="QUM44" s="31"/>
      <c r="QUN44" s="30"/>
      <c r="QUO44" s="31"/>
      <c r="QUP44" s="30"/>
      <c r="QUQ44" s="31"/>
      <c r="QUR44" s="30"/>
      <c r="QUS44" s="31"/>
      <c r="QUT44" s="30"/>
      <c r="QUU44" s="31"/>
      <c r="QUV44" s="30"/>
      <c r="QUW44" s="31"/>
      <c r="QUX44" s="30"/>
      <c r="QUY44" s="31"/>
      <c r="QUZ44" s="30"/>
      <c r="QVA44" s="31"/>
      <c r="QVB44" s="30"/>
      <c r="QVC44" s="31"/>
      <c r="QVD44" s="30"/>
      <c r="QVE44" s="31"/>
      <c r="QVF44" s="30"/>
      <c r="QVG44" s="31"/>
      <c r="QVH44" s="30"/>
      <c r="QVI44" s="31"/>
      <c r="QVJ44" s="30"/>
      <c r="QVK44" s="31"/>
      <c r="QVL44" s="30"/>
      <c r="QVM44" s="31"/>
      <c r="QVN44" s="30"/>
      <c r="QVO44" s="31"/>
      <c r="QVP44" s="30"/>
      <c r="QVQ44" s="31"/>
      <c r="QVR44" s="30"/>
      <c r="QVS44" s="31"/>
      <c r="QVT44" s="30"/>
      <c r="QVU44" s="31"/>
      <c r="QVV44" s="30"/>
      <c r="QVW44" s="31"/>
      <c r="QVX44" s="30"/>
      <c r="QVY44" s="31"/>
      <c r="QVZ44" s="30"/>
      <c r="QWA44" s="31"/>
      <c r="QWB44" s="30"/>
      <c r="QWC44" s="31"/>
      <c r="QWD44" s="30"/>
      <c r="QWE44" s="31"/>
      <c r="QWF44" s="30"/>
      <c r="QWG44" s="31"/>
      <c r="QWH44" s="30"/>
      <c r="QWI44" s="31"/>
      <c r="QWJ44" s="30"/>
      <c r="QWK44" s="31"/>
      <c r="QWL44" s="30"/>
      <c r="QWM44" s="31"/>
      <c r="QWN44" s="30"/>
      <c r="QWO44" s="31"/>
      <c r="QWP44" s="30"/>
      <c r="QWQ44" s="31"/>
      <c r="QWR44" s="30"/>
      <c r="QWS44" s="31"/>
      <c r="QWT44" s="30"/>
      <c r="QWU44" s="31"/>
      <c r="QWV44" s="30"/>
      <c r="QWW44" s="31"/>
      <c r="QWX44" s="30"/>
      <c r="QWY44" s="31"/>
      <c r="QWZ44" s="30"/>
      <c r="QXA44" s="31"/>
      <c r="QXB44" s="30"/>
      <c r="QXC44" s="31"/>
      <c r="QXD44" s="30"/>
      <c r="QXE44" s="31"/>
      <c r="QXF44" s="30"/>
      <c r="QXG44" s="31"/>
      <c r="QXH44" s="30"/>
      <c r="QXI44" s="31"/>
      <c r="QXJ44" s="30"/>
      <c r="QXK44" s="31"/>
      <c r="QXL44" s="30"/>
      <c r="QXM44" s="31"/>
      <c r="QXN44" s="30"/>
      <c r="QXO44" s="31"/>
      <c r="QXP44" s="30"/>
      <c r="QXQ44" s="31"/>
      <c r="QXR44" s="30"/>
      <c r="QXS44" s="31"/>
      <c r="QXT44" s="30"/>
      <c r="QXU44" s="31"/>
      <c r="QXV44" s="30"/>
      <c r="QXW44" s="31"/>
      <c r="QXX44" s="30"/>
      <c r="QXY44" s="31"/>
      <c r="QXZ44" s="30"/>
      <c r="QYA44" s="31"/>
      <c r="QYB44" s="30"/>
      <c r="QYC44" s="31"/>
      <c r="QYD44" s="30"/>
      <c r="QYE44" s="31"/>
      <c r="QYF44" s="30"/>
      <c r="QYG44" s="31"/>
      <c r="QYH44" s="30"/>
      <c r="QYI44" s="31"/>
      <c r="QYJ44" s="30"/>
      <c r="QYK44" s="31"/>
      <c r="QYL44" s="30"/>
      <c r="QYM44" s="31"/>
      <c r="QYN44" s="30"/>
      <c r="QYO44" s="31"/>
      <c r="QYP44" s="30"/>
      <c r="QYQ44" s="31"/>
      <c r="QYR44" s="30"/>
      <c r="QYS44" s="31"/>
      <c r="QYT44" s="30"/>
      <c r="QYU44" s="31"/>
      <c r="QYV44" s="30"/>
      <c r="QYW44" s="31"/>
      <c r="QYX44" s="30"/>
      <c r="QYY44" s="31"/>
      <c r="QYZ44" s="30"/>
      <c r="QZA44" s="31"/>
      <c r="QZB44" s="30"/>
      <c r="QZC44" s="31"/>
      <c r="QZD44" s="30"/>
      <c r="QZE44" s="31"/>
      <c r="QZF44" s="30"/>
      <c r="QZG44" s="31"/>
      <c r="QZH44" s="30"/>
      <c r="QZI44" s="31"/>
      <c r="QZJ44" s="30"/>
      <c r="QZK44" s="31"/>
      <c r="QZL44" s="30"/>
      <c r="QZM44" s="31"/>
      <c r="QZN44" s="30"/>
      <c r="QZO44" s="31"/>
      <c r="QZP44" s="30"/>
      <c r="QZQ44" s="31"/>
      <c r="QZR44" s="30"/>
      <c r="QZS44" s="31"/>
      <c r="QZT44" s="30"/>
      <c r="QZU44" s="31"/>
      <c r="QZV44" s="30"/>
      <c r="QZW44" s="31"/>
      <c r="QZX44" s="30"/>
      <c r="QZY44" s="31"/>
      <c r="QZZ44" s="30"/>
      <c r="RAA44" s="31"/>
      <c r="RAB44" s="30"/>
      <c r="RAC44" s="31"/>
      <c r="RAD44" s="30"/>
      <c r="RAE44" s="31"/>
      <c r="RAF44" s="30"/>
      <c r="RAG44" s="31"/>
      <c r="RAH44" s="30"/>
      <c r="RAI44" s="31"/>
      <c r="RAJ44" s="30"/>
      <c r="RAK44" s="31"/>
      <c r="RAL44" s="30"/>
      <c r="RAM44" s="31"/>
      <c r="RAN44" s="30"/>
      <c r="RAO44" s="31"/>
      <c r="RAP44" s="30"/>
      <c r="RAQ44" s="31"/>
      <c r="RAR44" s="30"/>
      <c r="RAS44" s="31"/>
      <c r="RAT44" s="30"/>
      <c r="RAU44" s="31"/>
      <c r="RAV44" s="30"/>
      <c r="RAW44" s="31"/>
      <c r="RAX44" s="30"/>
      <c r="RAY44" s="31"/>
      <c r="RAZ44" s="30"/>
      <c r="RBA44" s="31"/>
      <c r="RBB44" s="30"/>
      <c r="RBC44" s="31"/>
      <c r="RBD44" s="30"/>
      <c r="RBE44" s="31"/>
      <c r="RBF44" s="30"/>
      <c r="RBG44" s="31"/>
      <c r="RBH44" s="30"/>
      <c r="RBI44" s="31"/>
      <c r="RBJ44" s="30"/>
      <c r="RBK44" s="31"/>
      <c r="RBL44" s="30"/>
      <c r="RBM44" s="31"/>
      <c r="RBN44" s="30"/>
      <c r="RBO44" s="31"/>
      <c r="RBP44" s="30"/>
      <c r="RBQ44" s="31"/>
      <c r="RBR44" s="30"/>
      <c r="RBS44" s="31"/>
      <c r="RBT44" s="30"/>
      <c r="RBU44" s="31"/>
      <c r="RBV44" s="30"/>
      <c r="RBW44" s="31"/>
      <c r="RBX44" s="30"/>
      <c r="RBY44" s="31"/>
      <c r="RBZ44" s="30"/>
      <c r="RCA44" s="31"/>
      <c r="RCB44" s="30"/>
      <c r="RCC44" s="31"/>
      <c r="RCD44" s="30"/>
      <c r="RCE44" s="31"/>
      <c r="RCF44" s="30"/>
      <c r="RCG44" s="31"/>
      <c r="RCH44" s="30"/>
      <c r="RCI44" s="31"/>
      <c r="RCJ44" s="30"/>
      <c r="RCK44" s="31"/>
      <c r="RCL44" s="30"/>
      <c r="RCM44" s="31"/>
      <c r="RCN44" s="30"/>
      <c r="RCO44" s="31"/>
      <c r="RCP44" s="30"/>
      <c r="RCQ44" s="31"/>
      <c r="RCR44" s="30"/>
      <c r="RCS44" s="31"/>
      <c r="RCT44" s="30"/>
      <c r="RCU44" s="31"/>
      <c r="RCV44" s="30"/>
      <c r="RCW44" s="31"/>
      <c r="RCX44" s="30"/>
      <c r="RCY44" s="31"/>
      <c r="RCZ44" s="30"/>
      <c r="RDA44" s="31"/>
      <c r="RDB44" s="30"/>
      <c r="RDC44" s="31"/>
      <c r="RDD44" s="30"/>
      <c r="RDE44" s="31"/>
      <c r="RDF44" s="30"/>
      <c r="RDG44" s="31"/>
      <c r="RDH44" s="30"/>
      <c r="RDI44" s="31"/>
      <c r="RDJ44" s="30"/>
      <c r="RDK44" s="31"/>
      <c r="RDL44" s="30"/>
      <c r="RDM44" s="31"/>
      <c r="RDN44" s="30"/>
      <c r="RDO44" s="31"/>
      <c r="RDP44" s="30"/>
      <c r="RDQ44" s="31"/>
      <c r="RDR44" s="30"/>
      <c r="RDS44" s="31"/>
      <c r="RDT44" s="30"/>
      <c r="RDU44" s="31"/>
      <c r="RDV44" s="30"/>
      <c r="RDW44" s="31"/>
      <c r="RDX44" s="30"/>
      <c r="RDY44" s="31"/>
      <c r="RDZ44" s="30"/>
      <c r="REA44" s="31"/>
      <c r="REB44" s="30"/>
      <c r="REC44" s="31"/>
      <c r="RED44" s="30"/>
      <c r="REE44" s="31"/>
      <c r="REF44" s="30"/>
      <c r="REG44" s="31"/>
      <c r="REH44" s="30"/>
      <c r="REI44" s="31"/>
      <c r="REJ44" s="30"/>
      <c r="REK44" s="31"/>
      <c r="REL44" s="30"/>
      <c r="REM44" s="31"/>
      <c r="REN44" s="30"/>
      <c r="REO44" s="31"/>
      <c r="REP44" s="30"/>
      <c r="REQ44" s="31"/>
      <c r="RER44" s="30"/>
      <c r="RES44" s="31"/>
      <c r="RET44" s="30"/>
      <c r="REU44" s="31"/>
      <c r="REV44" s="30"/>
      <c r="REW44" s="31"/>
      <c r="REX44" s="30"/>
      <c r="REY44" s="31"/>
      <c r="REZ44" s="30"/>
      <c r="RFA44" s="31"/>
      <c r="RFB44" s="30"/>
      <c r="RFC44" s="31"/>
      <c r="RFD44" s="30"/>
      <c r="RFE44" s="31"/>
      <c r="RFF44" s="30"/>
      <c r="RFG44" s="31"/>
      <c r="RFH44" s="30"/>
      <c r="RFI44" s="31"/>
      <c r="RFJ44" s="30"/>
      <c r="RFK44" s="31"/>
      <c r="RFL44" s="30"/>
      <c r="RFM44" s="31"/>
      <c r="RFN44" s="30"/>
      <c r="RFO44" s="31"/>
      <c r="RFP44" s="30"/>
      <c r="RFQ44" s="31"/>
      <c r="RFR44" s="30"/>
      <c r="RFS44" s="31"/>
      <c r="RFT44" s="30"/>
      <c r="RFU44" s="31"/>
      <c r="RFV44" s="30"/>
      <c r="RFW44" s="31"/>
      <c r="RFX44" s="30"/>
      <c r="RFY44" s="31"/>
      <c r="RFZ44" s="30"/>
      <c r="RGA44" s="31"/>
      <c r="RGB44" s="30"/>
      <c r="RGC44" s="31"/>
      <c r="RGD44" s="30"/>
      <c r="RGE44" s="31"/>
      <c r="RGF44" s="30"/>
      <c r="RGG44" s="31"/>
      <c r="RGH44" s="30"/>
      <c r="RGI44" s="31"/>
      <c r="RGJ44" s="30"/>
      <c r="RGK44" s="31"/>
      <c r="RGL44" s="30"/>
      <c r="RGM44" s="31"/>
      <c r="RGN44" s="30"/>
      <c r="RGO44" s="31"/>
      <c r="RGP44" s="30"/>
      <c r="RGQ44" s="31"/>
      <c r="RGR44" s="30"/>
      <c r="RGS44" s="31"/>
      <c r="RGT44" s="30"/>
      <c r="RGU44" s="31"/>
      <c r="RGV44" s="30"/>
      <c r="RGW44" s="31"/>
      <c r="RGX44" s="30"/>
      <c r="RGY44" s="31"/>
      <c r="RGZ44" s="30"/>
      <c r="RHA44" s="31"/>
      <c r="RHB44" s="30"/>
      <c r="RHC44" s="31"/>
      <c r="RHD44" s="30"/>
      <c r="RHE44" s="31"/>
      <c r="RHF44" s="30"/>
      <c r="RHG44" s="31"/>
      <c r="RHH44" s="30"/>
      <c r="RHI44" s="31"/>
      <c r="RHJ44" s="30"/>
      <c r="RHK44" s="31"/>
      <c r="RHL44" s="30"/>
      <c r="RHM44" s="31"/>
      <c r="RHN44" s="30"/>
      <c r="RHO44" s="31"/>
      <c r="RHP44" s="30"/>
      <c r="RHQ44" s="31"/>
      <c r="RHR44" s="30"/>
      <c r="RHS44" s="31"/>
      <c r="RHT44" s="30"/>
      <c r="RHU44" s="31"/>
      <c r="RHV44" s="30"/>
      <c r="RHW44" s="31"/>
      <c r="RHX44" s="30"/>
      <c r="RHY44" s="31"/>
      <c r="RHZ44" s="30"/>
      <c r="RIA44" s="31"/>
      <c r="RIB44" s="30"/>
      <c r="RIC44" s="31"/>
      <c r="RID44" s="30"/>
      <c r="RIE44" s="31"/>
      <c r="RIF44" s="30"/>
      <c r="RIG44" s="31"/>
      <c r="RIH44" s="30"/>
      <c r="RII44" s="31"/>
      <c r="RIJ44" s="30"/>
      <c r="RIK44" s="31"/>
      <c r="RIL44" s="30"/>
      <c r="RIM44" s="31"/>
      <c r="RIN44" s="30"/>
      <c r="RIO44" s="31"/>
      <c r="RIP44" s="30"/>
      <c r="RIQ44" s="31"/>
      <c r="RIR44" s="30"/>
      <c r="RIS44" s="31"/>
      <c r="RIT44" s="30"/>
      <c r="RIU44" s="31"/>
      <c r="RIV44" s="30"/>
      <c r="RIW44" s="31"/>
      <c r="RIX44" s="30"/>
      <c r="RIY44" s="31"/>
      <c r="RIZ44" s="30"/>
      <c r="RJA44" s="31"/>
      <c r="RJB44" s="30"/>
      <c r="RJC44" s="31"/>
      <c r="RJD44" s="30"/>
      <c r="RJE44" s="31"/>
      <c r="RJF44" s="30"/>
      <c r="RJG44" s="31"/>
      <c r="RJH44" s="30"/>
      <c r="RJI44" s="31"/>
      <c r="RJJ44" s="30"/>
      <c r="RJK44" s="31"/>
      <c r="RJL44" s="30"/>
      <c r="RJM44" s="31"/>
      <c r="RJN44" s="30"/>
      <c r="RJO44" s="31"/>
      <c r="RJP44" s="30"/>
      <c r="RJQ44" s="31"/>
      <c r="RJR44" s="30"/>
      <c r="RJS44" s="31"/>
      <c r="RJT44" s="30"/>
      <c r="RJU44" s="31"/>
      <c r="RJV44" s="30"/>
      <c r="RJW44" s="31"/>
      <c r="RJX44" s="30"/>
      <c r="RJY44" s="31"/>
      <c r="RJZ44" s="30"/>
      <c r="RKA44" s="31"/>
      <c r="RKB44" s="30"/>
      <c r="RKC44" s="31"/>
      <c r="RKD44" s="30"/>
      <c r="RKE44" s="31"/>
      <c r="RKF44" s="30"/>
      <c r="RKG44" s="31"/>
      <c r="RKH44" s="30"/>
      <c r="RKI44" s="31"/>
      <c r="RKJ44" s="30"/>
      <c r="RKK44" s="31"/>
      <c r="RKL44" s="30"/>
      <c r="RKM44" s="31"/>
      <c r="RKN44" s="30"/>
      <c r="RKO44" s="31"/>
      <c r="RKP44" s="30"/>
      <c r="RKQ44" s="31"/>
      <c r="RKR44" s="30"/>
      <c r="RKS44" s="31"/>
      <c r="RKT44" s="30"/>
      <c r="RKU44" s="31"/>
      <c r="RKV44" s="30"/>
      <c r="RKW44" s="31"/>
      <c r="RKX44" s="30"/>
      <c r="RKY44" s="31"/>
      <c r="RKZ44" s="30"/>
      <c r="RLA44" s="31"/>
      <c r="RLB44" s="30"/>
      <c r="RLC44" s="31"/>
      <c r="RLD44" s="30"/>
      <c r="RLE44" s="31"/>
      <c r="RLF44" s="30"/>
      <c r="RLG44" s="31"/>
      <c r="RLH44" s="30"/>
      <c r="RLI44" s="31"/>
      <c r="RLJ44" s="30"/>
      <c r="RLK44" s="31"/>
      <c r="RLL44" s="30"/>
      <c r="RLM44" s="31"/>
      <c r="RLN44" s="30"/>
      <c r="RLO44" s="31"/>
      <c r="RLP44" s="30"/>
      <c r="RLQ44" s="31"/>
      <c r="RLR44" s="30"/>
      <c r="RLS44" s="31"/>
      <c r="RLT44" s="30"/>
      <c r="RLU44" s="31"/>
      <c r="RLV44" s="30"/>
      <c r="RLW44" s="31"/>
      <c r="RLX44" s="30"/>
      <c r="RLY44" s="31"/>
      <c r="RLZ44" s="30"/>
      <c r="RMA44" s="31"/>
      <c r="RMB44" s="30"/>
      <c r="RMC44" s="31"/>
      <c r="RMD44" s="30"/>
      <c r="RME44" s="31"/>
      <c r="RMF44" s="30"/>
      <c r="RMG44" s="31"/>
      <c r="RMH44" s="30"/>
      <c r="RMI44" s="31"/>
      <c r="RMJ44" s="30"/>
      <c r="RMK44" s="31"/>
      <c r="RML44" s="30"/>
      <c r="RMM44" s="31"/>
      <c r="RMN44" s="30"/>
      <c r="RMO44" s="31"/>
      <c r="RMP44" s="30"/>
      <c r="RMQ44" s="31"/>
      <c r="RMR44" s="30"/>
      <c r="RMS44" s="31"/>
      <c r="RMT44" s="30"/>
      <c r="RMU44" s="31"/>
      <c r="RMV44" s="30"/>
      <c r="RMW44" s="31"/>
      <c r="RMX44" s="30"/>
      <c r="RMY44" s="31"/>
      <c r="RMZ44" s="30"/>
      <c r="RNA44" s="31"/>
      <c r="RNB44" s="30"/>
      <c r="RNC44" s="31"/>
      <c r="RND44" s="30"/>
      <c r="RNE44" s="31"/>
      <c r="RNF44" s="30"/>
      <c r="RNG44" s="31"/>
      <c r="RNH44" s="30"/>
      <c r="RNI44" s="31"/>
      <c r="RNJ44" s="30"/>
      <c r="RNK44" s="31"/>
      <c r="RNL44" s="30"/>
      <c r="RNM44" s="31"/>
      <c r="RNN44" s="30"/>
      <c r="RNO44" s="31"/>
      <c r="RNP44" s="30"/>
      <c r="RNQ44" s="31"/>
      <c r="RNR44" s="30"/>
      <c r="RNS44" s="31"/>
      <c r="RNT44" s="30"/>
      <c r="RNU44" s="31"/>
      <c r="RNV44" s="30"/>
      <c r="RNW44" s="31"/>
      <c r="RNX44" s="30"/>
      <c r="RNY44" s="31"/>
      <c r="RNZ44" s="30"/>
      <c r="ROA44" s="31"/>
      <c r="ROB44" s="30"/>
      <c r="ROC44" s="31"/>
      <c r="ROD44" s="30"/>
      <c r="ROE44" s="31"/>
      <c r="ROF44" s="30"/>
      <c r="ROG44" s="31"/>
      <c r="ROH44" s="30"/>
      <c r="ROI44" s="31"/>
      <c r="ROJ44" s="30"/>
      <c r="ROK44" s="31"/>
      <c r="ROL44" s="30"/>
      <c r="ROM44" s="31"/>
      <c r="RON44" s="30"/>
      <c r="ROO44" s="31"/>
      <c r="ROP44" s="30"/>
      <c r="ROQ44" s="31"/>
      <c r="ROR44" s="30"/>
      <c r="ROS44" s="31"/>
      <c r="ROT44" s="30"/>
      <c r="ROU44" s="31"/>
      <c r="ROV44" s="30"/>
      <c r="ROW44" s="31"/>
      <c r="ROX44" s="30"/>
      <c r="ROY44" s="31"/>
      <c r="ROZ44" s="30"/>
      <c r="RPA44" s="31"/>
      <c r="RPB44" s="30"/>
      <c r="RPC44" s="31"/>
      <c r="RPD44" s="30"/>
      <c r="RPE44" s="31"/>
      <c r="RPF44" s="30"/>
      <c r="RPG44" s="31"/>
      <c r="RPH44" s="30"/>
      <c r="RPI44" s="31"/>
      <c r="RPJ44" s="30"/>
      <c r="RPK44" s="31"/>
      <c r="RPL44" s="30"/>
      <c r="RPM44" s="31"/>
      <c r="RPN44" s="30"/>
      <c r="RPO44" s="31"/>
      <c r="RPP44" s="30"/>
      <c r="RPQ44" s="31"/>
      <c r="RPR44" s="30"/>
      <c r="RPS44" s="31"/>
      <c r="RPT44" s="30"/>
      <c r="RPU44" s="31"/>
      <c r="RPV44" s="30"/>
      <c r="RPW44" s="31"/>
      <c r="RPX44" s="30"/>
      <c r="RPY44" s="31"/>
      <c r="RPZ44" s="30"/>
      <c r="RQA44" s="31"/>
      <c r="RQB44" s="30"/>
      <c r="RQC44" s="31"/>
      <c r="RQD44" s="30"/>
      <c r="RQE44" s="31"/>
      <c r="RQF44" s="30"/>
      <c r="RQG44" s="31"/>
      <c r="RQH44" s="30"/>
      <c r="RQI44" s="31"/>
      <c r="RQJ44" s="30"/>
      <c r="RQK44" s="31"/>
      <c r="RQL44" s="30"/>
      <c r="RQM44" s="31"/>
      <c r="RQN44" s="30"/>
      <c r="RQO44" s="31"/>
      <c r="RQP44" s="30"/>
      <c r="RQQ44" s="31"/>
      <c r="RQR44" s="30"/>
      <c r="RQS44" s="31"/>
      <c r="RQT44" s="30"/>
      <c r="RQU44" s="31"/>
      <c r="RQV44" s="30"/>
      <c r="RQW44" s="31"/>
      <c r="RQX44" s="30"/>
      <c r="RQY44" s="31"/>
      <c r="RQZ44" s="30"/>
      <c r="RRA44" s="31"/>
      <c r="RRB44" s="30"/>
      <c r="RRC44" s="31"/>
      <c r="RRD44" s="30"/>
      <c r="RRE44" s="31"/>
      <c r="RRF44" s="30"/>
      <c r="RRG44" s="31"/>
      <c r="RRH44" s="30"/>
      <c r="RRI44" s="31"/>
      <c r="RRJ44" s="30"/>
      <c r="RRK44" s="31"/>
      <c r="RRL44" s="30"/>
      <c r="RRM44" s="31"/>
      <c r="RRN44" s="30"/>
      <c r="RRO44" s="31"/>
      <c r="RRP44" s="30"/>
      <c r="RRQ44" s="31"/>
      <c r="RRR44" s="30"/>
      <c r="RRS44" s="31"/>
      <c r="RRT44" s="30"/>
      <c r="RRU44" s="31"/>
      <c r="RRV44" s="30"/>
      <c r="RRW44" s="31"/>
      <c r="RRX44" s="30"/>
      <c r="RRY44" s="31"/>
      <c r="RRZ44" s="30"/>
      <c r="RSA44" s="31"/>
      <c r="RSB44" s="30"/>
      <c r="RSC44" s="31"/>
      <c r="RSD44" s="30"/>
      <c r="RSE44" s="31"/>
      <c r="RSF44" s="30"/>
      <c r="RSG44" s="31"/>
      <c r="RSH44" s="30"/>
      <c r="RSI44" s="31"/>
      <c r="RSJ44" s="30"/>
      <c r="RSK44" s="31"/>
      <c r="RSL44" s="30"/>
      <c r="RSM44" s="31"/>
      <c r="RSN44" s="30"/>
      <c r="RSO44" s="31"/>
      <c r="RSP44" s="30"/>
      <c r="RSQ44" s="31"/>
      <c r="RSR44" s="30"/>
      <c r="RSS44" s="31"/>
      <c r="RST44" s="30"/>
      <c r="RSU44" s="31"/>
      <c r="RSV44" s="30"/>
      <c r="RSW44" s="31"/>
      <c r="RSX44" s="30"/>
      <c r="RSY44" s="31"/>
      <c r="RSZ44" s="30"/>
      <c r="RTA44" s="31"/>
      <c r="RTB44" s="30"/>
      <c r="RTC44" s="31"/>
      <c r="RTD44" s="30"/>
      <c r="RTE44" s="31"/>
      <c r="RTF44" s="30"/>
      <c r="RTG44" s="31"/>
      <c r="RTH44" s="30"/>
      <c r="RTI44" s="31"/>
      <c r="RTJ44" s="30"/>
      <c r="RTK44" s="31"/>
      <c r="RTL44" s="30"/>
      <c r="RTM44" s="31"/>
      <c r="RTN44" s="30"/>
      <c r="RTO44" s="31"/>
      <c r="RTP44" s="30"/>
      <c r="RTQ44" s="31"/>
      <c r="RTR44" s="30"/>
      <c r="RTS44" s="31"/>
      <c r="RTT44" s="30"/>
      <c r="RTU44" s="31"/>
      <c r="RTV44" s="30"/>
      <c r="RTW44" s="31"/>
      <c r="RTX44" s="30"/>
      <c r="RTY44" s="31"/>
      <c r="RTZ44" s="30"/>
      <c r="RUA44" s="31"/>
      <c r="RUB44" s="30"/>
      <c r="RUC44" s="31"/>
      <c r="RUD44" s="30"/>
      <c r="RUE44" s="31"/>
      <c r="RUF44" s="30"/>
      <c r="RUG44" s="31"/>
      <c r="RUH44" s="30"/>
      <c r="RUI44" s="31"/>
      <c r="RUJ44" s="30"/>
      <c r="RUK44" s="31"/>
      <c r="RUL44" s="30"/>
      <c r="RUM44" s="31"/>
      <c r="RUN44" s="30"/>
      <c r="RUO44" s="31"/>
      <c r="RUP44" s="30"/>
      <c r="RUQ44" s="31"/>
      <c r="RUR44" s="30"/>
      <c r="RUS44" s="31"/>
      <c r="RUT44" s="30"/>
      <c r="RUU44" s="31"/>
      <c r="RUV44" s="30"/>
      <c r="RUW44" s="31"/>
      <c r="RUX44" s="30"/>
      <c r="RUY44" s="31"/>
      <c r="RUZ44" s="30"/>
      <c r="RVA44" s="31"/>
      <c r="RVB44" s="30"/>
      <c r="RVC44" s="31"/>
      <c r="RVD44" s="30"/>
      <c r="RVE44" s="31"/>
      <c r="RVF44" s="30"/>
      <c r="RVG44" s="31"/>
      <c r="RVH44" s="30"/>
      <c r="RVI44" s="31"/>
      <c r="RVJ44" s="30"/>
      <c r="RVK44" s="31"/>
      <c r="RVL44" s="30"/>
      <c r="RVM44" s="31"/>
      <c r="RVN44" s="30"/>
      <c r="RVO44" s="31"/>
      <c r="RVP44" s="30"/>
      <c r="RVQ44" s="31"/>
      <c r="RVR44" s="30"/>
      <c r="RVS44" s="31"/>
      <c r="RVT44" s="30"/>
      <c r="RVU44" s="31"/>
      <c r="RVV44" s="30"/>
      <c r="RVW44" s="31"/>
      <c r="RVX44" s="30"/>
      <c r="RVY44" s="31"/>
      <c r="RVZ44" s="30"/>
      <c r="RWA44" s="31"/>
      <c r="RWB44" s="30"/>
      <c r="RWC44" s="31"/>
      <c r="RWD44" s="30"/>
      <c r="RWE44" s="31"/>
      <c r="RWF44" s="30"/>
      <c r="RWG44" s="31"/>
      <c r="RWH44" s="30"/>
      <c r="RWI44" s="31"/>
      <c r="RWJ44" s="30"/>
      <c r="RWK44" s="31"/>
      <c r="RWL44" s="30"/>
      <c r="RWM44" s="31"/>
      <c r="RWN44" s="30"/>
      <c r="RWO44" s="31"/>
      <c r="RWP44" s="30"/>
      <c r="RWQ44" s="31"/>
      <c r="RWR44" s="30"/>
      <c r="RWS44" s="31"/>
      <c r="RWT44" s="30"/>
      <c r="RWU44" s="31"/>
      <c r="RWV44" s="30"/>
      <c r="RWW44" s="31"/>
      <c r="RWX44" s="30"/>
      <c r="RWY44" s="31"/>
      <c r="RWZ44" s="30"/>
      <c r="RXA44" s="31"/>
      <c r="RXB44" s="30"/>
      <c r="RXC44" s="31"/>
      <c r="RXD44" s="30"/>
      <c r="RXE44" s="31"/>
      <c r="RXF44" s="30"/>
      <c r="RXG44" s="31"/>
      <c r="RXH44" s="30"/>
      <c r="RXI44" s="31"/>
      <c r="RXJ44" s="30"/>
      <c r="RXK44" s="31"/>
      <c r="RXL44" s="30"/>
      <c r="RXM44" s="31"/>
      <c r="RXN44" s="30"/>
      <c r="RXO44" s="31"/>
      <c r="RXP44" s="30"/>
      <c r="RXQ44" s="31"/>
      <c r="RXR44" s="30"/>
      <c r="RXS44" s="31"/>
      <c r="RXT44" s="30"/>
      <c r="RXU44" s="31"/>
      <c r="RXV44" s="30"/>
      <c r="RXW44" s="31"/>
      <c r="RXX44" s="30"/>
      <c r="RXY44" s="31"/>
      <c r="RXZ44" s="30"/>
      <c r="RYA44" s="31"/>
      <c r="RYB44" s="30"/>
      <c r="RYC44" s="31"/>
      <c r="RYD44" s="30"/>
      <c r="RYE44" s="31"/>
      <c r="RYF44" s="30"/>
      <c r="RYG44" s="31"/>
      <c r="RYH44" s="30"/>
      <c r="RYI44" s="31"/>
      <c r="RYJ44" s="30"/>
      <c r="RYK44" s="31"/>
      <c r="RYL44" s="30"/>
      <c r="RYM44" s="31"/>
      <c r="RYN44" s="30"/>
      <c r="RYO44" s="31"/>
      <c r="RYP44" s="30"/>
      <c r="RYQ44" s="31"/>
      <c r="RYR44" s="30"/>
      <c r="RYS44" s="31"/>
      <c r="RYT44" s="30"/>
      <c r="RYU44" s="31"/>
      <c r="RYV44" s="30"/>
      <c r="RYW44" s="31"/>
      <c r="RYX44" s="30"/>
      <c r="RYY44" s="31"/>
      <c r="RYZ44" s="30"/>
      <c r="RZA44" s="31"/>
      <c r="RZB44" s="30"/>
      <c r="RZC44" s="31"/>
      <c r="RZD44" s="30"/>
      <c r="RZE44" s="31"/>
      <c r="RZF44" s="30"/>
      <c r="RZG44" s="31"/>
      <c r="RZH44" s="30"/>
      <c r="RZI44" s="31"/>
      <c r="RZJ44" s="30"/>
      <c r="RZK44" s="31"/>
      <c r="RZL44" s="30"/>
      <c r="RZM44" s="31"/>
      <c r="RZN44" s="30"/>
      <c r="RZO44" s="31"/>
      <c r="RZP44" s="30"/>
      <c r="RZQ44" s="31"/>
      <c r="RZR44" s="30"/>
      <c r="RZS44" s="31"/>
      <c r="RZT44" s="30"/>
      <c r="RZU44" s="31"/>
      <c r="RZV44" s="30"/>
      <c r="RZW44" s="31"/>
      <c r="RZX44" s="30"/>
      <c r="RZY44" s="31"/>
      <c r="RZZ44" s="30"/>
      <c r="SAA44" s="31"/>
      <c r="SAB44" s="30"/>
      <c r="SAC44" s="31"/>
      <c r="SAD44" s="30"/>
      <c r="SAE44" s="31"/>
      <c r="SAF44" s="30"/>
      <c r="SAG44" s="31"/>
      <c r="SAH44" s="30"/>
      <c r="SAI44" s="31"/>
      <c r="SAJ44" s="30"/>
      <c r="SAK44" s="31"/>
      <c r="SAL44" s="30"/>
      <c r="SAM44" s="31"/>
      <c r="SAN44" s="30"/>
      <c r="SAO44" s="31"/>
      <c r="SAP44" s="30"/>
      <c r="SAQ44" s="31"/>
      <c r="SAR44" s="30"/>
      <c r="SAS44" s="31"/>
      <c r="SAT44" s="30"/>
      <c r="SAU44" s="31"/>
      <c r="SAV44" s="30"/>
      <c r="SAW44" s="31"/>
      <c r="SAX44" s="30"/>
      <c r="SAY44" s="31"/>
      <c r="SAZ44" s="30"/>
      <c r="SBA44" s="31"/>
      <c r="SBB44" s="30"/>
      <c r="SBC44" s="31"/>
      <c r="SBD44" s="30"/>
      <c r="SBE44" s="31"/>
      <c r="SBF44" s="30"/>
      <c r="SBG44" s="31"/>
      <c r="SBH44" s="30"/>
      <c r="SBI44" s="31"/>
      <c r="SBJ44" s="30"/>
      <c r="SBK44" s="31"/>
      <c r="SBL44" s="30"/>
      <c r="SBM44" s="31"/>
      <c r="SBN44" s="30"/>
      <c r="SBO44" s="31"/>
      <c r="SBP44" s="30"/>
      <c r="SBQ44" s="31"/>
      <c r="SBR44" s="30"/>
      <c r="SBS44" s="31"/>
      <c r="SBT44" s="30"/>
      <c r="SBU44" s="31"/>
      <c r="SBV44" s="30"/>
      <c r="SBW44" s="31"/>
      <c r="SBX44" s="30"/>
      <c r="SBY44" s="31"/>
      <c r="SBZ44" s="30"/>
      <c r="SCA44" s="31"/>
      <c r="SCB44" s="30"/>
      <c r="SCC44" s="31"/>
      <c r="SCD44" s="30"/>
      <c r="SCE44" s="31"/>
      <c r="SCF44" s="30"/>
      <c r="SCG44" s="31"/>
      <c r="SCH44" s="30"/>
      <c r="SCI44" s="31"/>
      <c r="SCJ44" s="30"/>
      <c r="SCK44" s="31"/>
      <c r="SCL44" s="30"/>
      <c r="SCM44" s="31"/>
      <c r="SCN44" s="30"/>
      <c r="SCO44" s="31"/>
      <c r="SCP44" s="30"/>
      <c r="SCQ44" s="31"/>
      <c r="SCR44" s="30"/>
      <c r="SCS44" s="31"/>
      <c r="SCT44" s="30"/>
      <c r="SCU44" s="31"/>
      <c r="SCV44" s="30"/>
      <c r="SCW44" s="31"/>
      <c r="SCX44" s="30"/>
      <c r="SCY44" s="31"/>
      <c r="SCZ44" s="30"/>
      <c r="SDA44" s="31"/>
      <c r="SDB44" s="30"/>
      <c r="SDC44" s="31"/>
      <c r="SDD44" s="30"/>
      <c r="SDE44" s="31"/>
      <c r="SDF44" s="30"/>
      <c r="SDG44" s="31"/>
      <c r="SDH44" s="30"/>
      <c r="SDI44" s="31"/>
      <c r="SDJ44" s="30"/>
      <c r="SDK44" s="31"/>
      <c r="SDL44" s="30"/>
      <c r="SDM44" s="31"/>
      <c r="SDN44" s="30"/>
      <c r="SDO44" s="31"/>
      <c r="SDP44" s="30"/>
      <c r="SDQ44" s="31"/>
      <c r="SDR44" s="30"/>
      <c r="SDS44" s="31"/>
      <c r="SDT44" s="30"/>
      <c r="SDU44" s="31"/>
      <c r="SDV44" s="30"/>
      <c r="SDW44" s="31"/>
      <c r="SDX44" s="30"/>
      <c r="SDY44" s="31"/>
      <c r="SDZ44" s="30"/>
      <c r="SEA44" s="31"/>
      <c r="SEB44" s="30"/>
      <c r="SEC44" s="31"/>
      <c r="SED44" s="30"/>
      <c r="SEE44" s="31"/>
      <c r="SEF44" s="30"/>
      <c r="SEG44" s="31"/>
      <c r="SEH44" s="30"/>
      <c r="SEI44" s="31"/>
      <c r="SEJ44" s="30"/>
      <c r="SEK44" s="31"/>
      <c r="SEL44" s="30"/>
      <c r="SEM44" s="31"/>
      <c r="SEN44" s="30"/>
      <c r="SEO44" s="31"/>
      <c r="SEP44" s="30"/>
      <c r="SEQ44" s="31"/>
      <c r="SER44" s="30"/>
      <c r="SES44" s="31"/>
      <c r="SET44" s="30"/>
      <c r="SEU44" s="31"/>
      <c r="SEV44" s="30"/>
      <c r="SEW44" s="31"/>
      <c r="SEX44" s="30"/>
      <c r="SEY44" s="31"/>
      <c r="SEZ44" s="30"/>
      <c r="SFA44" s="31"/>
      <c r="SFB44" s="30"/>
      <c r="SFC44" s="31"/>
      <c r="SFD44" s="30"/>
      <c r="SFE44" s="31"/>
      <c r="SFF44" s="30"/>
      <c r="SFG44" s="31"/>
      <c r="SFH44" s="30"/>
      <c r="SFI44" s="31"/>
      <c r="SFJ44" s="30"/>
      <c r="SFK44" s="31"/>
      <c r="SFL44" s="30"/>
      <c r="SFM44" s="31"/>
      <c r="SFN44" s="30"/>
      <c r="SFO44" s="31"/>
      <c r="SFP44" s="30"/>
      <c r="SFQ44" s="31"/>
      <c r="SFR44" s="30"/>
      <c r="SFS44" s="31"/>
      <c r="SFT44" s="30"/>
      <c r="SFU44" s="31"/>
      <c r="SFV44" s="30"/>
      <c r="SFW44" s="31"/>
      <c r="SFX44" s="30"/>
      <c r="SFY44" s="31"/>
      <c r="SFZ44" s="30"/>
      <c r="SGA44" s="31"/>
      <c r="SGB44" s="30"/>
      <c r="SGC44" s="31"/>
      <c r="SGD44" s="30"/>
      <c r="SGE44" s="31"/>
      <c r="SGF44" s="30"/>
      <c r="SGG44" s="31"/>
      <c r="SGH44" s="30"/>
      <c r="SGI44" s="31"/>
      <c r="SGJ44" s="30"/>
      <c r="SGK44" s="31"/>
      <c r="SGL44" s="30"/>
      <c r="SGM44" s="31"/>
      <c r="SGN44" s="30"/>
      <c r="SGO44" s="31"/>
      <c r="SGP44" s="30"/>
      <c r="SGQ44" s="31"/>
      <c r="SGR44" s="30"/>
      <c r="SGS44" s="31"/>
      <c r="SGT44" s="30"/>
      <c r="SGU44" s="31"/>
      <c r="SGV44" s="30"/>
      <c r="SGW44" s="31"/>
      <c r="SGX44" s="30"/>
      <c r="SGY44" s="31"/>
      <c r="SGZ44" s="30"/>
      <c r="SHA44" s="31"/>
      <c r="SHB44" s="30"/>
      <c r="SHC44" s="31"/>
      <c r="SHD44" s="30"/>
      <c r="SHE44" s="31"/>
      <c r="SHF44" s="30"/>
      <c r="SHG44" s="31"/>
      <c r="SHH44" s="30"/>
      <c r="SHI44" s="31"/>
      <c r="SHJ44" s="30"/>
      <c r="SHK44" s="31"/>
      <c r="SHL44" s="30"/>
      <c r="SHM44" s="31"/>
      <c r="SHN44" s="30"/>
      <c r="SHO44" s="31"/>
      <c r="SHP44" s="30"/>
      <c r="SHQ44" s="31"/>
      <c r="SHR44" s="30"/>
      <c r="SHS44" s="31"/>
      <c r="SHT44" s="30"/>
      <c r="SHU44" s="31"/>
      <c r="SHV44" s="30"/>
      <c r="SHW44" s="31"/>
      <c r="SHX44" s="30"/>
      <c r="SHY44" s="31"/>
      <c r="SHZ44" s="30"/>
      <c r="SIA44" s="31"/>
      <c r="SIB44" s="30"/>
      <c r="SIC44" s="31"/>
      <c r="SID44" s="30"/>
      <c r="SIE44" s="31"/>
      <c r="SIF44" s="30"/>
      <c r="SIG44" s="31"/>
      <c r="SIH44" s="30"/>
      <c r="SII44" s="31"/>
      <c r="SIJ44" s="30"/>
      <c r="SIK44" s="31"/>
      <c r="SIL44" s="30"/>
      <c r="SIM44" s="31"/>
      <c r="SIN44" s="30"/>
      <c r="SIO44" s="31"/>
      <c r="SIP44" s="30"/>
      <c r="SIQ44" s="31"/>
      <c r="SIR44" s="30"/>
      <c r="SIS44" s="31"/>
      <c r="SIT44" s="30"/>
      <c r="SIU44" s="31"/>
      <c r="SIV44" s="30"/>
      <c r="SIW44" s="31"/>
      <c r="SIX44" s="30"/>
      <c r="SIY44" s="31"/>
      <c r="SIZ44" s="30"/>
      <c r="SJA44" s="31"/>
      <c r="SJB44" s="30"/>
      <c r="SJC44" s="31"/>
      <c r="SJD44" s="30"/>
      <c r="SJE44" s="31"/>
      <c r="SJF44" s="30"/>
      <c r="SJG44" s="31"/>
      <c r="SJH44" s="30"/>
      <c r="SJI44" s="31"/>
      <c r="SJJ44" s="30"/>
      <c r="SJK44" s="31"/>
      <c r="SJL44" s="30"/>
      <c r="SJM44" s="31"/>
      <c r="SJN44" s="30"/>
      <c r="SJO44" s="31"/>
      <c r="SJP44" s="30"/>
      <c r="SJQ44" s="31"/>
      <c r="SJR44" s="30"/>
      <c r="SJS44" s="31"/>
      <c r="SJT44" s="30"/>
      <c r="SJU44" s="31"/>
      <c r="SJV44" s="30"/>
      <c r="SJW44" s="31"/>
      <c r="SJX44" s="30"/>
      <c r="SJY44" s="31"/>
      <c r="SJZ44" s="30"/>
      <c r="SKA44" s="31"/>
      <c r="SKB44" s="30"/>
      <c r="SKC44" s="31"/>
      <c r="SKD44" s="30"/>
      <c r="SKE44" s="31"/>
      <c r="SKF44" s="30"/>
      <c r="SKG44" s="31"/>
      <c r="SKH44" s="30"/>
      <c r="SKI44" s="31"/>
      <c r="SKJ44" s="30"/>
      <c r="SKK44" s="31"/>
      <c r="SKL44" s="30"/>
      <c r="SKM44" s="31"/>
      <c r="SKN44" s="30"/>
      <c r="SKO44" s="31"/>
      <c r="SKP44" s="30"/>
      <c r="SKQ44" s="31"/>
      <c r="SKR44" s="30"/>
      <c r="SKS44" s="31"/>
      <c r="SKT44" s="30"/>
      <c r="SKU44" s="31"/>
      <c r="SKV44" s="30"/>
      <c r="SKW44" s="31"/>
      <c r="SKX44" s="30"/>
      <c r="SKY44" s="31"/>
      <c r="SKZ44" s="30"/>
      <c r="SLA44" s="31"/>
      <c r="SLB44" s="30"/>
      <c r="SLC44" s="31"/>
      <c r="SLD44" s="30"/>
      <c r="SLE44" s="31"/>
      <c r="SLF44" s="30"/>
      <c r="SLG44" s="31"/>
      <c r="SLH44" s="30"/>
      <c r="SLI44" s="31"/>
      <c r="SLJ44" s="30"/>
      <c r="SLK44" s="31"/>
      <c r="SLL44" s="30"/>
      <c r="SLM44" s="31"/>
      <c r="SLN44" s="30"/>
      <c r="SLO44" s="31"/>
      <c r="SLP44" s="30"/>
      <c r="SLQ44" s="31"/>
      <c r="SLR44" s="30"/>
      <c r="SLS44" s="31"/>
      <c r="SLT44" s="30"/>
      <c r="SLU44" s="31"/>
      <c r="SLV44" s="30"/>
      <c r="SLW44" s="31"/>
      <c r="SLX44" s="30"/>
      <c r="SLY44" s="31"/>
      <c r="SLZ44" s="30"/>
      <c r="SMA44" s="31"/>
      <c r="SMB44" s="30"/>
      <c r="SMC44" s="31"/>
      <c r="SMD44" s="30"/>
      <c r="SME44" s="31"/>
      <c r="SMF44" s="30"/>
      <c r="SMG44" s="31"/>
      <c r="SMH44" s="30"/>
      <c r="SMI44" s="31"/>
      <c r="SMJ44" s="30"/>
      <c r="SMK44" s="31"/>
      <c r="SML44" s="30"/>
      <c r="SMM44" s="31"/>
      <c r="SMN44" s="30"/>
      <c r="SMO44" s="31"/>
      <c r="SMP44" s="30"/>
      <c r="SMQ44" s="31"/>
      <c r="SMR44" s="30"/>
      <c r="SMS44" s="31"/>
      <c r="SMT44" s="30"/>
      <c r="SMU44" s="31"/>
      <c r="SMV44" s="30"/>
      <c r="SMW44" s="31"/>
      <c r="SMX44" s="30"/>
      <c r="SMY44" s="31"/>
      <c r="SMZ44" s="30"/>
      <c r="SNA44" s="31"/>
      <c r="SNB44" s="30"/>
      <c r="SNC44" s="31"/>
      <c r="SND44" s="30"/>
      <c r="SNE44" s="31"/>
      <c r="SNF44" s="30"/>
      <c r="SNG44" s="31"/>
      <c r="SNH44" s="30"/>
      <c r="SNI44" s="31"/>
      <c r="SNJ44" s="30"/>
      <c r="SNK44" s="31"/>
      <c r="SNL44" s="30"/>
      <c r="SNM44" s="31"/>
      <c r="SNN44" s="30"/>
      <c r="SNO44" s="31"/>
      <c r="SNP44" s="30"/>
      <c r="SNQ44" s="31"/>
      <c r="SNR44" s="30"/>
      <c r="SNS44" s="31"/>
      <c r="SNT44" s="30"/>
      <c r="SNU44" s="31"/>
      <c r="SNV44" s="30"/>
      <c r="SNW44" s="31"/>
      <c r="SNX44" s="30"/>
      <c r="SNY44" s="31"/>
      <c r="SNZ44" s="30"/>
      <c r="SOA44" s="31"/>
      <c r="SOB44" s="30"/>
      <c r="SOC44" s="31"/>
      <c r="SOD44" s="30"/>
      <c r="SOE44" s="31"/>
      <c r="SOF44" s="30"/>
      <c r="SOG44" s="31"/>
      <c r="SOH44" s="30"/>
      <c r="SOI44" s="31"/>
      <c r="SOJ44" s="30"/>
      <c r="SOK44" s="31"/>
      <c r="SOL44" s="30"/>
      <c r="SOM44" s="31"/>
      <c r="SON44" s="30"/>
      <c r="SOO44" s="31"/>
      <c r="SOP44" s="30"/>
      <c r="SOQ44" s="31"/>
      <c r="SOR44" s="30"/>
      <c r="SOS44" s="31"/>
      <c r="SOT44" s="30"/>
      <c r="SOU44" s="31"/>
      <c r="SOV44" s="30"/>
      <c r="SOW44" s="31"/>
      <c r="SOX44" s="30"/>
      <c r="SOY44" s="31"/>
      <c r="SOZ44" s="30"/>
      <c r="SPA44" s="31"/>
      <c r="SPB44" s="30"/>
      <c r="SPC44" s="31"/>
      <c r="SPD44" s="30"/>
      <c r="SPE44" s="31"/>
      <c r="SPF44" s="30"/>
      <c r="SPG44" s="31"/>
      <c r="SPH44" s="30"/>
      <c r="SPI44" s="31"/>
      <c r="SPJ44" s="30"/>
      <c r="SPK44" s="31"/>
      <c r="SPL44" s="30"/>
      <c r="SPM44" s="31"/>
      <c r="SPN44" s="30"/>
      <c r="SPO44" s="31"/>
      <c r="SPP44" s="30"/>
      <c r="SPQ44" s="31"/>
      <c r="SPR44" s="30"/>
      <c r="SPS44" s="31"/>
      <c r="SPT44" s="30"/>
      <c r="SPU44" s="31"/>
      <c r="SPV44" s="30"/>
      <c r="SPW44" s="31"/>
      <c r="SPX44" s="30"/>
      <c r="SPY44" s="31"/>
      <c r="SPZ44" s="30"/>
      <c r="SQA44" s="31"/>
      <c r="SQB44" s="30"/>
      <c r="SQC44" s="31"/>
      <c r="SQD44" s="30"/>
      <c r="SQE44" s="31"/>
      <c r="SQF44" s="30"/>
      <c r="SQG44" s="31"/>
      <c r="SQH44" s="30"/>
      <c r="SQI44" s="31"/>
      <c r="SQJ44" s="30"/>
      <c r="SQK44" s="31"/>
      <c r="SQL44" s="30"/>
      <c r="SQM44" s="31"/>
      <c r="SQN44" s="30"/>
      <c r="SQO44" s="31"/>
      <c r="SQP44" s="30"/>
      <c r="SQQ44" s="31"/>
      <c r="SQR44" s="30"/>
      <c r="SQS44" s="31"/>
      <c r="SQT44" s="30"/>
      <c r="SQU44" s="31"/>
      <c r="SQV44" s="30"/>
      <c r="SQW44" s="31"/>
      <c r="SQX44" s="30"/>
      <c r="SQY44" s="31"/>
      <c r="SQZ44" s="30"/>
      <c r="SRA44" s="31"/>
      <c r="SRB44" s="30"/>
      <c r="SRC44" s="31"/>
      <c r="SRD44" s="30"/>
      <c r="SRE44" s="31"/>
      <c r="SRF44" s="30"/>
      <c r="SRG44" s="31"/>
      <c r="SRH44" s="30"/>
      <c r="SRI44" s="31"/>
      <c r="SRJ44" s="30"/>
      <c r="SRK44" s="31"/>
      <c r="SRL44" s="30"/>
      <c r="SRM44" s="31"/>
      <c r="SRN44" s="30"/>
      <c r="SRO44" s="31"/>
      <c r="SRP44" s="30"/>
      <c r="SRQ44" s="31"/>
      <c r="SRR44" s="30"/>
      <c r="SRS44" s="31"/>
      <c r="SRT44" s="30"/>
      <c r="SRU44" s="31"/>
      <c r="SRV44" s="30"/>
      <c r="SRW44" s="31"/>
      <c r="SRX44" s="30"/>
      <c r="SRY44" s="31"/>
      <c r="SRZ44" s="30"/>
      <c r="SSA44" s="31"/>
      <c r="SSB44" s="30"/>
      <c r="SSC44" s="31"/>
      <c r="SSD44" s="30"/>
      <c r="SSE44" s="31"/>
      <c r="SSF44" s="30"/>
      <c r="SSG44" s="31"/>
      <c r="SSH44" s="30"/>
      <c r="SSI44" s="31"/>
      <c r="SSJ44" s="30"/>
      <c r="SSK44" s="31"/>
      <c r="SSL44" s="30"/>
      <c r="SSM44" s="31"/>
      <c r="SSN44" s="30"/>
      <c r="SSO44" s="31"/>
      <c r="SSP44" s="30"/>
      <c r="SSQ44" s="31"/>
      <c r="SSR44" s="30"/>
      <c r="SSS44" s="31"/>
      <c r="SST44" s="30"/>
      <c r="SSU44" s="31"/>
      <c r="SSV44" s="30"/>
      <c r="SSW44" s="31"/>
      <c r="SSX44" s="30"/>
      <c r="SSY44" s="31"/>
      <c r="SSZ44" s="30"/>
      <c r="STA44" s="31"/>
      <c r="STB44" s="30"/>
      <c r="STC44" s="31"/>
      <c r="STD44" s="30"/>
      <c r="STE44" s="31"/>
      <c r="STF44" s="30"/>
      <c r="STG44" s="31"/>
      <c r="STH44" s="30"/>
      <c r="STI44" s="31"/>
      <c r="STJ44" s="30"/>
      <c r="STK44" s="31"/>
      <c r="STL44" s="30"/>
      <c r="STM44" s="31"/>
      <c r="STN44" s="30"/>
      <c r="STO44" s="31"/>
      <c r="STP44" s="30"/>
      <c r="STQ44" s="31"/>
      <c r="STR44" s="30"/>
      <c r="STS44" s="31"/>
      <c r="STT44" s="30"/>
      <c r="STU44" s="31"/>
      <c r="STV44" s="30"/>
      <c r="STW44" s="31"/>
      <c r="STX44" s="30"/>
      <c r="STY44" s="31"/>
      <c r="STZ44" s="30"/>
      <c r="SUA44" s="31"/>
      <c r="SUB44" s="30"/>
      <c r="SUC44" s="31"/>
      <c r="SUD44" s="30"/>
      <c r="SUE44" s="31"/>
      <c r="SUF44" s="30"/>
      <c r="SUG44" s="31"/>
      <c r="SUH44" s="30"/>
      <c r="SUI44" s="31"/>
      <c r="SUJ44" s="30"/>
      <c r="SUK44" s="31"/>
      <c r="SUL44" s="30"/>
      <c r="SUM44" s="31"/>
      <c r="SUN44" s="30"/>
      <c r="SUO44" s="31"/>
      <c r="SUP44" s="30"/>
      <c r="SUQ44" s="31"/>
      <c r="SUR44" s="30"/>
      <c r="SUS44" s="31"/>
      <c r="SUT44" s="30"/>
      <c r="SUU44" s="31"/>
      <c r="SUV44" s="30"/>
      <c r="SUW44" s="31"/>
      <c r="SUX44" s="30"/>
      <c r="SUY44" s="31"/>
      <c r="SUZ44" s="30"/>
      <c r="SVA44" s="31"/>
      <c r="SVB44" s="30"/>
      <c r="SVC44" s="31"/>
      <c r="SVD44" s="30"/>
      <c r="SVE44" s="31"/>
      <c r="SVF44" s="30"/>
      <c r="SVG44" s="31"/>
      <c r="SVH44" s="30"/>
      <c r="SVI44" s="31"/>
      <c r="SVJ44" s="30"/>
      <c r="SVK44" s="31"/>
      <c r="SVL44" s="30"/>
      <c r="SVM44" s="31"/>
      <c r="SVN44" s="30"/>
      <c r="SVO44" s="31"/>
      <c r="SVP44" s="30"/>
      <c r="SVQ44" s="31"/>
      <c r="SVR44" s="30"/>
      <c r="SVS44" s="31"/>
      <c r="SVT44" s="30"/>
      <c r="SVU44" s="31"/>
      <c r="SVV44" s="30"/>
      <c r="SVW44" s="31"/>
      <c r="SVX44" s="30"/>
      <c r="SVY44" s="31"/>
      <c r="SVZ44" s="30"/>
      <c r="SWA44" s="31"/>
      <c r="SWB44" s="30"/>
      <c r="SWC44" s="31"/>
      <c r="SWD44" s="30"/>
      <c r="SWE44" s="31"/>
      <c r="SWF44" s="30"/>
      <c r="SWG44" s="31"/>
      <c r="SWH44" s="30"/>
      <c r="SWI44" s="31"/>
      <c r="SWJ44" s="30"/>
      <c r="SWK44" s="31"/>
      <c r="SWL44" s="30"/>
      <c r="SWM44" s="31"/>
      <c r="SWN44" s="30"/>
      <c r="SWO44" s="31"/>
      <c r="SWP44" s="30"/>
      <c r="SWQ44" s="31"/>
      <c r="SWR44" s="30"/>
      <c r="SWS44" s="31"/>
      <c r="SWT44" s="30"/>
      <c r="SWU44" s="31"/>
      <c r="SWV44" s="30"/>
      <c r="SWW44" s="31"/>
      <c r="SWX44" s="30"/>
      <c r="SWY44" s="31"/>
      <c r="SWZ44" s="30"/>
      <c r="SXA44" s="31"/>
      <c r="SXB44" s="30"/>
      <c r="SXC44" s="31"/>
      <c r="SXD44" s="30"/>
      <c r="SXE44" s="31"/>
      <c r="SXF44" s="30"/>
      <c r="SXG44" s="31"/>
      <c r="SXH44" s="30"/>
      <c r="SXI44" s="31"/>
      <c r="SXJ44" s="30"/>
      <c r="SXK44" s="31"/>
      <c r="SXL44" s="30"/>
      <c r="SXM44" s="31"/>
      <c r="SXN44" s="30"/>
      <c r="SXO44" s="31"/>
      <c r="SXP44" s="30"/>
      <c r="SXQ44" s="31"/>
      <c r="SXR44" s="30"/>
      <c r="SXS44" s="31"/>
      <c r="SXT44" s="30"/>
      <c r="SXU44" s="31"/>
      <c r="SXV44" s="30"/>
      <c r="SXW44" s="31"/>
      <c r="SXX44" s="30"/>
      <c r="SXY44" s="31"/>
      <c r="SXZ44" s="30"/>
      <c r="SYA44" s="31"/>
      <c r="SYB44" s="30"/>
      <c r="SYC44" s="31"/>
      <c r="SYD44" s="30"/>
      <c r="SYE44" s="31"/>
      <c r="SYF44" s="30"/>
      <c r="SYG44" s="31"/>
      <c r="SYH44" s="30"/>
      <c r="SYI44" s="31"/>
      <c r="SYJ44" s="30"/>
      <c r="SYK44" s="31"/>
      <c r="SYL44" s="30"/>
      <c r="SYM44" s="31"/>
      <c r="SYN44" s="30"/>
      <c r="SYO44" s="31"/>
      <c r="SYP44" s="30"/>
      <c r="SYQ44" s="31"/>
      <c r="SYR44" s="30"/>
      <c r="SYS44" s="31"/>
      <c r="SYT44" s="30"/>
      <c r="SYU44" s="31"/>
      <c r="SYV44" s="30"/>
      <c r="SYW44" s="31"/>
      <c r="SYX44" s="30"/>
      <c r="SYY44" s="31"/>
      <c r="SYZ44" s="30"/>
      <c r="SZA44" s="31"/>
      <c r="SZB44" s="30"/>
      <c r="SZC44" s="31"/>
      <c r="SZD44" s="30"/>
      <c r="SZE44" s="31"/>
      <c r="SZF44" s="30"/>
      <c r="SZG44" s="31"/>
      <c r="SZH44" s="30"/>
      <c r="SZI44" s="31"/>
      <c r="SZJ44" s="30"/>
      <c r="SZK44" s="31"/>
      <c r="SZL44" s="30"/>
      <c r="SZM44" s="31"/>
      <c r="SZN44" s="30"/>
      <c r="SZO44" s="31"/>
      <c r="SZP44" s="30"/>
      <c r="SZQ44" s="31"/>
      <c r="SZR44" s="30"/>
      <c r="SZS44" s="31"/>
      <c r="SZT44" s="30"/>
      <c r="SZU44" s="31"/>
      <c r="SZV44" s="30"/>
      <c r="SZW44" s="31"/>
      <c r="SZX44" s="30"/>
      <c r="SZY44" s="31"/>
      <c r="SZZ44" s="30"/>
      <c r="TAA44" s="31"/>
      <c r="TAB44" s="30"/>
      <c r="TAC44" s="31"/>
      <c r="TAD44" s="30"/>
      <c r="TAE44" s="31"/>
      <c r="TAF44" s="30"/>
      <c r="TAG44" s="31"/>
      <c r="TAH44" s="30"/>
      <c r="TAI44" s="31"/>
      <c r="TAJ44" s="30"/>
      <c r="TAK44" s="31"/>
      <c r="TAL44" s="30"/>
      <c r="TAM44" s="31"/>
      <c r="TAN44" s="30"/>
      <c r="TAO44" s="31"/>
      <c r="TAP44" s="30"/>
      <c r="TAQ44" s="31"/>
      <c r="TAR44" s="30"/>
      <c r="TAS44" s="31"/>
      <c r="TAT44" s="30"/>
      <c r="TAU44" s="31"/>
      <c r="TAV44" s="30"/>
      <c r="TAW44" s="31"/>
      <c r="TAX44" s="30"/>
      <c r="TAY44" s="31"/>
      <c r="TAZ44" s="30"/>
      <c r="TBA44" s="31"/>
      <c r="TBB44" s="30"/>
      <c r="TBC44" s="31"/>
      <c r="TBD44" s="30"/>
      <c r="TBE44" s="31"/>
      <c r="TBF44" s="30"/>
      <c r="TBG44" s="31"/>
      <c r="TBH44" s="30"/>
      <c r="TBI44" s="31"/>
      <c r="TBJ44" s="30"/>
      <c r="TBK44" s="31"/>
      <c r="TBL44" s="30"/>
      <c r="TBM44" s="31"/>
      <c r="TBN44" s="30"/>
      <c r="TBO44" s="31"/>
      <c r="TBP44" s="30"/>
      <c r="TBQ44" s="31"/>
      <c r="TBR44" s="30"/>
      <c r="TBS44" s="31"/>
      <c r="TBT44" s="30"/>
      <c r="TBU44" s="31"/>
      <c r="TBV44" s="30"/>
      <c r="TBW44" s="31"/>
      <c r="TBX44" s="30"/>
      <c r="TBY44" s="31"/>
      <c r="TBZ44" s="30"/>
      <c r="TCA44" s="31"/>
      <c r="TCB44" s="30"/>
      <c r="TCC44" s="31"/>
      <c r="TCD44" s="30"/>
      <c r="TCE44" s="31"/>
      <c r="TCF44" s="30"/>
      <c r="TCG44" s="31"/>
      <c r="TCH44" s="30"/>
      <c r="TCI44" s="31"/>
      <c r="TCJ44" s="30"/>
      <c r="TCK44" s="31"/>
      <c r="TCL44" s="30"/>
      <c r="TCM44" s="31"/>
      <c r="TCN44" s="30"/>
      <c r="TCO44" s="31"/>
      <c r="TCP44" s="30"/>
      <c r="TCQ44" s="31"/>
      <c r="TCR44" s="30"/>
      <c r="TCS44" s="31"/>
      <c r="TCT44" s="30"/>
      <c r="TCU44" s="31"/>
      <c r="TCV44" s="30"/>
      <c r="TCW44" s="31"/>
      <c r="TCX44" s="30"/>
      <c r="TCY44" s="31"/>
      <c r="TCZ44" s="30"/>
      <c r="TDA44" s="31"/>
      <c r="TDB44" s="30"/>
      <c r="TDC44" s="31"/>
      <c r="TDD44" s="30"/>
      <c r="TDE44" s="31"/>
      <c r="TDF44" s="30"/>
      <c r="TDG44" s="31"/>
      <c r="TDH44" s="30"/>
      <c r="TDI44" s="31"/>
      <c r="TDJ44" s="30"/>
      <c r="TDK44" s="31"/>
      <c r="TDL44" s="30"/>
      <c r="TDM44" s="31"/>
      <c r="TDN44" s="30"/>
      <c r="TDO44" s="31"/>
      <c r="TDP44" s="30"/>
      <c r="TDQ44" s="31"/>
      <c r="TDR44" s="30"/>
      <c r="TDS44" s="31"/>
      <c r="TDT44" s="30"/>
      <c r="TDU44" s="31"/>
      <c r="TDV44" s="30"/>
      <c r="TDW44" s="31"/>
      <c r="TDX44" s="30"/>
      <c r="TDY44" s="31"/>
      <c r="TDZ44" s="30"/>
      <c r="TEA44" s="31"/>
      <c r="TEB44" s="30"/>
      <c r="TEC44" s="31"/>
      <c r="TED44" s="30"/>
      <c r="TEE44" s="31"/>
      <c r="TEF44" s="30"/>
      <c r="TEG44" s="31"/>
      <c r="TEH44" s="30"/>
      <c r="TEI44" s="31"/>
      <c r="TEJ44" s="30"/>
      <c r="TEK44" s="31"/>
      <c r="TEL44" s="30"/>
      <c r="TEM44" s="31"/>
      <c r="TEN44" s="30"/>
      <c r="TEO44" s="31"/>
      <c r="TEP44" s="30"/>
      <c r="TEQ44" s="31"/>
      <c r="TER44" s="30"/>
      <c r="TES44" s="31"/>
      <c r="TET44" s="30"/>
      <c r="TEU44" s="31"/>
      <c r="TEV44" s="30"/>
      <c r="TEW44" s="31"/>
      <c r="TEX44" s="30"/>
      <c r="TEY44" s="31"/>
      <c r="TEZ44" s="30"/>
      <c r="TFA44" s="31"/>
      <c r="TFB44" s="30"/>
      <c r="TFC44" s="31"/>
      <c r="TFD44" s="30"/>
      <c r="TFE44" s="31"/>
      <c r="TFF44" s="30"/>
      <c r="TFG44" s="31"/>
      <c r="TFH44" s="30"/>
      <c r="TFI44" s="31"/>
      <c r="TFJ44" s="30"/>
      <c r="TFK44" s="31"/>
      <c r="TFL44" s="30"/>
      <c r="TFM44" s="31"/>
      <c r="TFN44" s="30"/>
      <c r="TFO44" s="31"/>
      <c r="TFP44" s="30"/>
      <c r="TFQ44" s="31"/>
      <c r="TFR44" s="30"/>
      <c r="TFS44" s="31"/>
      <c r="TFT44" s="30"/>
      <c r="TFU44" s="31"/>
      <c r="TFV44" s="30"/>
      <c r="TFW44" s="31"/>
      <c r="TFX44" s="30"/>
      <c r="TFY44" s="31"/>
      <c r="TFZ44" s="30"/>
      <c r="TGA44" s="31"/>
      <c r="TGB44" s="30"/>
      <c r="TGC44" s="31"/>
      <c r="TGD44" s="30"/>
      <c r="TGE44" s="31"/>
      <c r="TGF44" s="30"/>
      <c r="TGG44" s="31"/>
      <c r="TGH44" s="30"/>
      <c r="TGI44" s="31"/>
      <c r="TGJ44" s="30"/>
      <c r="TGK44" s="31"/>
      <c r="TGL44" s="30"/>
      <c r="TGM44" s="31"/>
      <c r="TGN44" s="30"/>
      <c r="TGO44" s="31"/>
      <c r="TGP44" s="30"/>
      <c r="TGQ44" s="31"/>
      <c r="TGR44" s="30"/>
      <c r="TGS44" s="31"/>
      <c r="TGT44" s="30"/>
      <c r="TGU44" s="31"/>
      <c r="TGV44" s="30"/>
      <c r="TGW44" s="31"/>
      <c r="TGX44" s="30"/>
      <c r="TGY44" s="31"/>
      <c r="TGZ44" s="30"/>
      <c r="THA44" s="31"/>
      <c r="THB44" s="30"/>
      <c r="THC44" s="31"/>
      <c r="THD44" s="30"/>
      <c r="THE44" s="31"/>
      <c r="THF44" s="30"/>
      <c r="THG44" s="31"/>
      <c r="THH44" s="30"/>
      <c r="THI44" s="31"/>
      <c r="THJ44" s="30"/>
      <c r="THK44" s="31"/>
      <c r="THL44" s="30"/>
      <c r="THM44" s="31"/>
      <c r="THN44" s="30"/>
      <c r="THO44" s="31"/>
      <c r="THP44" s="30"/>
      <c r="THQ44" s="31"/>
      <c r="THR44" s="30"/>
      <c r="THS44" s="31"/>
      <c r="THT44" s="30"/>
      <c r="THU44" s="31"/>
      <c r="THV44" s="30"/>
      <c r="THW44" s="31"/>
      <c r="THX44" s="30"/>
      <c r="THY44" s="31"/>
      <c r="THZ44" s="30"/>
      <c r="TIA44" s="31"/>
      <c r="TIB44" s="30"/>
      <c r="TIC44" s="31"/>
      <c r="TID44" s="30"/>
      <c r="TIE44" s="31"/>
      <c r="TIF44" s="30"/>
      <c r="TIG44" s="31"/>
      <c r="TIH44" s="30"/>
      <c r="TII44" s="31"/>
      <c r="TIJ44" s="30"/>
      <c r="TIK44" s="31"/>
      <c r="TIL44" s="30"/>
      <c r="TIM44" s="31"/>
      <c r="TIN44" s="30"/>
      <c r="TIO44" s="31"/>
      <c r="TIP44" s="30"/>
      <c r="TIQ44" s="31"/>
      <c r="TIR44" s="30"/>
      <c r="TIS44" s="31"/>
      <c r="TIT44" s="30"/>
      <c r="TIU44" s="31"/>
      <c r="TIV44" s="30"/>
      <c r="TIW44" s="31"/>
      <c r="TIX44" s="30"/>
      <c r="TIY44" s="31"/>
      <c r="TIZ44" s="30"/>
      <c r="TJA44" s="31"/>
      <c r="TJB44" s="30"/>
      <c r="TJC44" s="31"/>
      <c r="TJD44" s="30"/>
      <c r="TJE44" s="31"/>
      <c r="TJF44" s="30"/>
      <c r="TJG44" s="31"/>
      <c r="TJH44" s="30"/>
      <c r="TJI44" s="31"/>
      <c r="TJJ44" s="30"/>
      <c r="TJK44" s="31"/>
      <c r="TJL44" s="30"/>
      <c r="TJM44" s="31"/>
      <c r="TJN44" s="30"/>
      <c r="TJO44" s="31"/>
      <c r="TJP44" s="30"/>
      <c r="TJQ44" s="31"/>
      <c r="TJR44" s="30"/>
      <c r="TJS44" s="31"/>
      <c r="TJT44" s="30"/>
      <c r="TJU44" s="31"/>
      <c r="TJV44" s="30"/>
      <c r="TJW44" s="31"/>
      <c r="TJX44" s="30"/>
      <c r="TJY44" s="31"/>
      <c r="TJZ44" s="30"/>
      <c r="TKA44" s="31"/>
      <c r="TKB44" s="30"/>
      <c r="TKC44" s="31"/>
      <c r="TKD44" s="30"/>
      <c r="TKE44" s="31"/>
      <c r="TKF44" s="30"/>
      <c r="TKG44" s="31"/>
      <c r="TKH44" s="30"/>
      <c r="TKI44" s="31"/>
      <c r="TKJ44" s="30"/>
      <c r="TKK44" s="31"/>
      <c r="TKL44" s="30"/>
      <c r="TKM44" s="31"/>
      <c r="TKN44" s="30"/>
      <c r="TKO44" s="31"/>
      <c r="TKP44" s="30"/>
      <c r="TKQ44" s="31"/>
      <c r="TKR44" s="30"/>
      <c r="TKS44" s="31"/>
      <c r="TKT44" s="30"/>
      <c r="TKU44" s="31"/>
      <c r="TKV44" s="30"/>
      <c r="TKW44" s="31"/>
      <c r="TKX44" s="30"/>
      <c r="TKY44" s="31"/>
      <c r="TKZ44" s="30"/>
      <c r="TLA44" s="31"/>
      <c r="TLB44" s="30"/>
      <c r="TLC44" s="31"/>
      <c r="TLD44" s="30"/>
      <c r="TLE44" s="31"/>
      <c r="TLF44" s="30"/>
      <c r="TLG44" s="31"/>
      <c r="TLH44" s="30"/>
      <c r="TLI44" s="31"/>
      <c r="TLJ44" s="30"/>
      <c r="TLK44" s="31"/>
      <c r="TLL44" s="30"/>
      <c r="TLM44" s="31"/>
      <c r="TLN44" s="30"/>
      <c r="TLO44" s="31"/>
      <c r="TLP44" s="30"/>
      <c r="TLQ44" s="31"/>
      <c r="TLR44" s="30"/>
      <c r="TLS44" s="31"/>
      <c r="TLT44" s="30"/>
      <c r="TLU44" s="31"/>
      <c r="TLV44" s="30"/>
      <c r="TLW44" s="31"/>
      <c r="TLX44" s="30"/>
      <c r="TLY44" s="31"/>
      <c r="TLZ44" s="30"/>
      <c r="TMA44" s="31"/>
      <c r="TMB44" s="30"/>
      <c r="TMC44" s="31"/>
      <c r="TMD44" s="30"/>
      <c r="TME44" s="31"/>
      <c r="TMF44" s="30"/>
      <c r="TMG44" s="31"/>
      <c r="TMH44" s="30"/>
      <c r="TMI44" s="31"/>
      <c r="TMJ44" s="30"/>
      <c r="TMK44" s="31"/>
      <c r="TML44" s="30"/>
      <c r="TMM44" s="31"/>
      <c r="TMN44" s="30"/>
      <c r="TMO44" s="31"/>
      <c r="TMP44" s="30"/>
      <c r="TMQ44" s="31"/>
      <c r="TMR44" s="30"/>
      <c r="TMS44" s="31"/>
      <c r="TMT44" s="30"/>
      <c r="TMU44" s="31"/>
      <c r="TMV44" s="30"/>
      <c r="TMW44" s="31"/>
      <c r="TMX44" s="30"/>
      <c r="TMY44" s="31"/>
      <c r="TMZ44" s="30"/>
      <c r="TNA44" s="31"/>
      <c r="TNB44" s="30"/>
      <c r="TNC44" s="31"/>
      <c r="TND44" s="30"/>
      <c r="TNE44" s="31"/>
      <c r="TNF44" s="30"/>
      <c r="TNG44" s="31"/>
      <c r="TNH44" s="30"/>
      <c r="TNI44" s="31"/>
      <c r="TNJ44" s="30"/>
      <c r="TNK44" s="31"/>
      <c r="TNL44" s="30"/>
      <c r="TNM44" s="31"/>
      <c r="TNN44" s="30"/>
      <c r="TNO44" s="31"/>
      <c r="TNP44" s="30"/>
      <c r="TNQ44" s="31"/>
      <c r="TNR44" s="30"/>
      <c r="TNS44" s="31"/>
      <c r="TNT44" s="30"/>
      <c r="TNU44" s="31"/>
      <c r="TNV44" s="30"/>
      <c r="TNW44" s="31"/>
      <c r="TNX44" s="30"/>
      <c r="TNY44" s="31"/>
      <c r="TNZ44" s="30"/>
      <c r="TOA44" s="31"/>
      <c r="TOB44" s="30"/>
      <c r="TOC44" s="31"/>
      <c r="TOD44" s="30"/>
      <c r="TOE44" s="31"/>
      <c r="TOF44" s="30"/>
      <c r="TOG44" s="31"/>
      <c r="TOH44" s="30"/>
      <c r="TOI44" s="31"/>
      <c r="TOJ44" s="30"/>
      <c r="TOK44" s="31"/>
      <c r="TOL44" s="30"/>
      <c r="TOM44" s="31"/>
      <c r="TON44" s="30"/>
      <c r="TOO44" s="31"/>
      <c r="TOP44" s="30"/>
      <c r="TOQ44" s="31"/>
      <c r="TOR44" s="30"/>
      <c r="TOS44" s="31"/>
      <c r="TOT44" s="30"/>
      <c r="TOU44" s="31"/>
      <c r="TOV44" s="30"/>
      <c r="TOW44" s="31"/>
      <c r="TOX44" s="30"/>
      <c r="TOY44" s="31"/>
      <c r="TOZ44" s="30"/>
      <c r="TPA44" s="31"/>
      <c r="TPB44" s="30"/>
      <c r="TPC44" s="31"/>
      <c r="TPD44" s="30"/>
      <c r="TPE44" s="31"/>
      <c r="TPF44" s="30"/>
      <c r="TPG44" s="31"/>
      <c r="TPH44" s="30"/>
      <c r="TPI44" s="31"/>
      <c r="TPJ44" s="30"/>
      <c r="TPK44" s="31"/>
      <c r="TPL44" s="30"/>
      <c r="TPM44" s="31"/>
      <c r="TPN44" s="30"/>
      <c r="TPO44" s="31"/>
      <c r="TPP44" s="30"/>
      <c r="TPQ44" s="31"/>
      <c r="TPR44" s="30"/>
      <c r="TPS44" s="31"/>
      <c r="TPT44" s="30"/>
      <c r="TPU44" s="31"/>
      <c r="TPV44" s="30"/>
      <c r="TPW44" s="31"/>
      <c r="TPX44" s="30"/>
      <c r="TPY44" s="31"/>
      <c r="TPZ44" s="30"/>
      <c r="TQA44" s="31"/>
      <c r="TQB44" s="30"/>
      <c r="TQC44" s="31"/>
      <c r="TQD44" s="30"/>
      <c r="TQE44" s="31"/>
      <c r="TQF44" s="30"/>
      <c r="TQG44" s="31"/>
      <c r="TQH44" s="30"/>
      <c r="TQI44" s="31"/>
      <c r="TQJ44" s="30"/>
      <c r="TQK44" s="31"/>
      <c r="TQL44" s="30"/>
      <c r="TQM44" s="31"/>
      <c r="TQN44" s="30"/>
      <c r="TQO44" s="31"/>
      <c r="TQP44" s="30"/>
      <c r="TQQ44" s="31"/>
      <c r="TQR44" s="30"/>
      <c r="TQS44" s="31"/>
      <c r="TQT44" s="30"/>
      <c r="TQU44" s="31"/>
      <c r="TQV44" s="30"/>
      <c r="TQW44" s="31"/>
      <c r="TQX44" s="30"/>
      <c r="TQY44" s="31"/>
      <c r="TQZ44" s="30"/>
      <c r="TRA44" s="31"/>
      <c r="TRB44" s="30"/>
      <c r="TRC44" s="31"/>
      <c r="TRD44" s="30"/>
      <c r="TRE44" s="31"/>
      <c r="TRF44" s="30"/>
      <c r="TRG44" s="31"/>
      <c r="TRH44" s="30"/>
      <c r="TRI44" s="31"/>
      <c r="TRJ44" s="30"/>
      <c r="TRK44" s="31"/>
      <c r="TRL44" s="30"/>
      <c r="TRM44" s="31"/>
      <c r="TRN44" s="30"/>
      <c r="TRO44" s="31"/>
      <c r="TRP44" s="30"/>
      <c r="TRQ44" s="31"/>
      <c r="TRR44" s="30"/>
      <c r="TRS44" s="31"/>
      <c r="TRT44" s="30"/>
      <c r="TRU44" s="31"/>
      <c r="TRV44" s="30"/>
      <c r="TRW44" s="31"/>
      <c r="TRX44" s="30"/>
      <c r="TRY44" s="31"/>
      <c r="TRZ44" s="30"/>
      <c r="TSA44" s="31"/>
      <c r="TSB44" s="30"/>
      <c r="TSC44" s="31"/>
      <c r="TSD44" s="30"/>
      <c r="TSE44" s="31"/>
      <c r="TSF44" s="30"/>
      <c r="TSG44" s="31"/>
      <c r="TSH44" s="30"/>
      <c r="TSI44" s="31"/>
      <c r="TSJ44" s="30"/>
      <c r="TSK44" s="31"/>
      <c r="TSL44" s="30"/>
      <c r="TSM44" s="31"/>
      <c r="TSN44" s="30"/>
      <c r="TSO44" s="31"/>
      <c r="TSP44" s="30"/>
      <c r="TSQ44" s="31"/>
      <c r="TSR44" s="30"/>
      <c r="TSS44" s="31"/>
      <c r="TST44" s="30"/>
      <c r="TSU44" s="31"/>
      <c r="TSV44" s="30"/>
      <c r="TSW44" s="31"/>
      <c r="TSX44" s="30"/>
      <c r="TSY44" s="31"/>
      <c r="TSZ44" s="30"/>
      <c r="TTA44" s="31"/>
      <c r="TTB44" s="30"/>
      <c r="TTC44" s="31"/>
      <c r="TTD44" s="30"/>
      <c r="TTE44" s="31"/>
      <c r="TTF44" s="30"/>
      <c r="TTG44" s="31"/>
      <c r="TTH44" s="30"/>
      <c r="TTI44" s="31"/>
      <c r="TTJ44" s="30"/>
      <c r="TTK44" s="31"/>
      <c r="TTL44" s="30"/>
      <c r="TTM44" s="31"/>
      <c r="TTN44" s="30"/>
      <c r="TTO44" s="31"/>
      <c r="TTP44" s="30"/>
      <c r="TTQ44" s="31"/>
      <c r="TTR44" s="30"/>
      <c r="TTS44" s="31"/>
      <c r="TTT44" s="30"/>
      <c r="TTU44" s="31"/>
      <c r="TTV44" s="30"/>
      <c r="TTW44" s="31"/>
      <c r="TTX44" s="30"/>
      <c r="TTY44" s="31"/>
      <c r="TTZ44" s="30"/>
      <c r="TUA44" s="31"/>
      <c r="TUB44" s="30"/>
      <c r="TUC44" s="31"/>
      <c r="TUD44" s="30"/>
      <c r="TUE44" s="31"/>
      <c r="TUF44" s="30"/>
      <c r="TUG44" s="31"/>
      <c r="TUH44" s="30"/>
      <c r="TUI44" s="31"/>
      <c r="TUJ44" s="30"/>
      <c r="TUK44" s="31"/>
      <c r="TUL44" s="30"/>
      <c r="TUM44" s="31"/>
      <c r="TUN44" s="30"/>
      <c r="TUO44" s="31"/>
      <c r="TUP44" s="30"/>
      <c r="TUQ44" s="31"/>
      <c r="TUR44" s="30"/>
      <c r="TUS44" s="31"/>
      <c r="TUT44" s="30"/>
      <c r="TUU44" s="31"/>
      <c r="TUV44" s="30"/>
      <c r="TUW44" s="31"/>
      <c r="TUX44" s="30"/>
      <c r="TUY44" s="31"/>
      <c r="TUZ44" s="30"/>
      <c r="TVA44" s="31"/>
      <c r="TVB44" s="30"/>
      <c r="TVC44" s="31"/>
      <c r="TVD44" s="30"/>
      <c r="TVE44" s="31"/>
      <c r="TVF44" s="30"/>
      <c r="TVG44" s="31"/>
      <c r="TVH44" s="30"/>
      <c r="TVI44" s="31"/>
      <c r="TVJ44" s="30"/>
      <c r="TVK44" s="31"/>
      <c r="TVL44" s="30"/>
      <c r="TVM44" s="31"/>
      <c r="TVN44" s="30"/>
      <c r="TVO44" s="31"/>
      <c r="TVP44" s="30"/>
      <c r="TVQ44" s="31"/>
      <c r="TVR44" s="30"/>
      <c r="TVS44" s="31"/>
      <c r="TVT44" s="30"/>
      <c r="TVU44" s="31"/>
      <c r="TVV44" s="30"/>
      <c r="TVW44" s="31"/>
      <c r="TVX44" s="30"/>
      <c r="TVY44" s="31"/>
      <c r="TVZ44" s="30"/>
      <c r="TWA44" s="31"/>
      <c r="TWB44" s="30"/>
      <c r="TWC44" s="31"/>
      <c r="TWD44" s="30"/>
      <c r="TWE44" s="31"/>
      <c r="TWF44" s="30"/>
      <c r="TWG44" s="31"/>
      <c r="TWH44" s="30"/>
      <c r="TWI44" s="31"/>
      <c r="TWJ44" s="30"/>
      <c r="TWK44" s="31"/>
      <c r="TWL44" s="30"/>
      <c r="TWM44" s="31"/>
      <c r="TWN44" s="30"/>
      <c r="TWO44" s="31"/>
      <c r="TWP44" s="30"/>
      <c r="TWQ44" s="31"/>
      <c r="TWR44" s="30"/>
      <c r="TWS44" s="31"/>
      <c r="TWT44" s="30"/>
      <c r="TWU44" s="31"/>
      <c r="TWV44" s="30"/>
      <c r="TWW44" s="31"/>
      <c r="TWX44" s="30"/>
      <c r="TWY44" s="31"/>
      <c r="TWZ44" s="30"/>
      <c r="TXA44" s="31"/>
      <c r="TXB44" s="30"/>
      <c r="TXC44" s="31"/>
      <c r="TXD44" s="30"/>
      <c r="TXE44" s="31"/>
      <c r="TXF44" s="30"/>
      <c r="TXG44" s="31"/>
      <c r="TXH44" s="30"/>
      <c r="TXI44" s="31"/>
      <c r="TXJ44" s="30"/>
      <c r="TXK44" s="31"/>
      <c r="TXL44" s="30"/>
      <c r="TXM44" s="31"/>
      <c r="TXN44" s="30"/>
      <c r="TXO44" s="31"/>
      <c r="TXP44" s="30"/>
      <c r="TXQ44" s="31"/>
      <c r="TXR44" s="30"/>
      <c r="TXS44" s="31"/>
      <c r="TXT44" s="30"/>
      <c r="TXU44" s="31"/>
      <c r="TXV44" s="30"/>
      <c r="TXW44" s="31"/>
      <c r="TXX44" s="30"/>
      <c r="TXY44" s="31"/>
      <c r="TXZ44" s="30"/>
      <c r="TYA44" s="31"/>
      <c r="TYB44" s="30"/>
      <c r="TYC44" s="31"/>
      <c r="TYD44" s="30"/>
      <c r="TYE44" s="31"/>
      <c r="TYF44" s="30"/>
      <c r="TYG44" s="31"/>
      <c r="TYH44" s="30"/>
      <c r="TYI44" s="31"/>
      <c r="TYJ44" s="30"/>
      <c r="TYK44" s="31"/>
      <c r="TYL44" s="30"/>
      <c r="TYM44" s="31"/>
      <c r="TYN44" s="30"/>
      <c r="TYO44" s="31"/>
      <c r="TYP44" s="30"/>
      <c r="TYQ44" s="31"/>
      <c r="TYR44" s="30"/>
      <c r="TYS44" s="31"/>
      <c r="TYT44" s="30"/>
      <c r="TYU44" s="31"/>
      <c r="TYV44" s="30"/>
      <c r="TYW44" s="31"/>
      <c r="TYX44" s="30"/>
      <c r="TYY44" s="31"/>
      <c r="TYZ44" s="30"/>
      <c r="TZA44" s="31"/>
      <c r="TZB44" s="30"/>
      <c r="TZC44" s="31"/>
      <c r="TZD44" s="30"/>
      <c r="TZE44" s="31"/>
      <c r="TZF44" s="30"/>
      <c r="TZG44" s="31"/>
      <c r="TZH44" s="30"/>
      <c r="TZI44" s="31"/>
      <c r="TZJ44" s="30"/>
      <c r="TZK44" s="31"/>
      <c r="TZL44" s="30"/>
      <c r="TZM44" s="31"/>
      <c r="TZN44" s="30"/>
      <c r="TZO44" s="31"/>
      <c r="TZP44" s="30"/>
      <c r="TZQ44" s="31"/>
      <c r="TZR44" s="30"/>
      <c r="TZS44" s="31"/>
      <c r="TZT44" s="30"/>
      <c r="TZU44" s="31"/>
      <c r="TZV44" s="30"/>
      <c r="TZW44" s="31"/>
      <c r="TZX44" s="30"/>
      <c r="TZY44" s="31"/>
      <c r="TZZ44" s="30"/>
      <c r="UAA44" s="31"/>
      <c r="UAB44" s="30"/>
      <c r="UAC44" s="31"/>
      <c r="UAD44" s="30"/>
      <c r="UAE44" s="31"/>
      <c r="UAF44" s="30"/>
      <c r="UAG44" s="31"/>
      <c r="UAH44" s="30"/>
      <c r="UAI44" s="31"/>
      <c r="UAJ44" s="30"/>
      <c r="UAK44" s="31"/>
      <c r="UAL44" s="30"/>
      <c r="UAM44" s="31"/>
      <c r="UAN44" s="30"/>
      <c r="UAO44" s="31"/>
      <c r="UAP44" s="30"/>
      <c r="UAQ44" s="31"/>
      <c r="UAR44" s="30"/>
      <c r="UAS44" s="31"/>
      <c r="UAT44" s="30"/>
      <c r="UAU44" s="31"/>
      <c r="UAV44" s="30"/>
      <c r="UAW44" s="31"/>
      <c r="UAX44" s="30"/>
      <c r="UAY44" s="31"/>
      <c r="UAZ44" s="30"/>
      <c r="UBA44" s="31"/>
      <c r="UBB44" s="30"/>
      <c r="UBC44" s="31"/>
      <c r="UBD44" s="30"/>
      <c r="UBE44" s="31"/>
      <c r="UBF44" s="30"/>
      <c r="UBG44" s="31"/>
      <c r="UBH44" s="30"/>
      <c r="UBI44" s="31"/>
      <c r="UBJ44" s="30"/>
      <c r="UBK44" s="31"/>
      <c r="UBL44" s="30"/>
      <c r="UBM44" s="31"/>
      <c r="UBN44" s="30"/>
      <c r="UBO44" s="31"/>
      <c r="UBP44" s="30"/>
      <c r="UBQ44" s="31"/>
      <c r="UBR44" s="30"/>
      <c r="UBS44" s="31"/>
      <c r="UBT44" s="30"/>
      <c r="UBU44" s="31"/>
      <c r="UBV44" s="30"/>
      <c r="UBW44" s="31"/>
      <c r="UBX44" s="30"/>
      <c r="UBY44" s="31"/>
      <c r="UBZ44" s="30"/>
      <c r="UCA44" s="31"/>
      <c r="UCB44" s="30"/>
      <c r="UCC44" s="31"/>
      <c r="UCD44" s="30"/>
      <c r="UCE44" s="31"/>
      <c r="UCF44" s="30"/>
      <c r="UCG44" s="31"/>
      <c r="UCH44" s="30"/>
      <c r="UCI44" s="31"/>
      <c r="UCJ44" s="30"/>
      <c r="UCK44" s="31"/>
      <c r="UCL44" s="30"/>
      <c r="UCM44" s="31"/>
      <c r="UCN44" s="30"/>
      <c r="UCO44" s="31"/>
      <c r="UCP44" s="30"/>
      <c r="UCQ44" s="31"/>
      <c r="UCR44" s="30"/>
      <c r="UCS44" s="31"/>
      <c r="UCT44" s="30"/>
      <c r="UCU44" s="31"/>
      <c r="UCV44" s="30"/>
      <c r="UCW44" s="31"/>
      <c r="UCX44" s="30"/>
      <c r="UCY44" s="31"/>
      <c r="UCZ44" s="30"/>
      <c r="UDA44" s="31"/>
      <c r="UDB44" s="30"/>
      <c r="UDC44" s="31"/>
      <c r="UDD44" s="30"/>
      <c r="UDE44" s="31"/>
      <c r="UDF44" s="30"/>
      <c r="UDG44" s="31"/>
      <c r="UDH44" s="30"/>
      <c r="UDI44" s="31"/>
      <c r="UDJ44" s="30"/>
      <c r="UDK44" s="31"/>
      <c r="UDL44" s="30"/>
      <c r="UDM44" s="31"/>
      <c r="UDN44" s="30"/>
      <c r="UDO44" s="31"/>
      <c r="UDP44" s="30"/>
      <c r="UDQ44" s="31"/>
      <c r="UDR44" s="30"/>
      <c r="UDS44" s="31"/>
      <c r="UDT44" s="30"/>
      <c r="UDU44" s="31"/>
      <c r="UDV44" s="30"/>
      <c r="UDW44" s="31"/>
      <c r="UDX44" s="30"/>
      <c r="UDY44" s="31"/>
      <c r="UDZ44" s="30"/>
      <c r="UEA44" s="31"/>
      <c r="UEB44" s="30"/>
      <c r="UEC44" s="31"/>
      <c r="UED44" s="30"/>
      <c r="UEE44" s="31"/>
      <c r="UEF44" s="30"/>
      <c r="UEG44" s="31"/>
      <c r="UEH44" s="30"/>
      <c r="UEI44" s="31"/>
      <c r="UEJ44" s="30"/>
      <c r="UEK44" s="31"/>
      <c r="UEL44" s="30"/>
      <c r="UEM44" s="31"/>
      <c r="UEN44" s="30"/>
      <c r="UEO44" s="31"/>
      <c r="UEP44" s="30"/>
      <c r="UEQ44" s="31"/>
      <c r="UER44" s="30"/>
      <c r="UES44" s="31"/>
      <c r="UET44" s="30"/>
      <c r="UEU44" s="31"/>
      <c r="UEV44" s="30"/>
      <c r="UEW44" s="31"/>
      <c r="UEX44" s="30"/>
      <c r="UEY44" s="31"/>
      <c r="UEZ44" s="30"/>
      <c r="UFA44" s="31"/>
      <c r="UFB44" s="30"/>
      <c r="UFC44" s="31"/>
      <c r="UFD44" s="30"/>
      <c r="UFE44" s="31"/>
      <c r="UFF44" s="30"/>
      <c r="UFG44" s="31"/>
      <c r="UFH44" s="30"/>
      <c r="UFI44" s="31"/>
      <c r="UFJ44" s="30"/>
      <c r="UFK44" s="31"/>
      <c r="UFL44" s="30"/>
      <c r="UFM44" s="31"/>
      <c r="UFN44" s="30"/>
      <c r="UFO44" s="31"/>
      <c r="UFP44" s="30"/>
      <c r="UFQ44" s="31"/>
      <c r="UFR44" s="30"/>
      <c r="UFS44" s="31"/>
      <c r="UFT44" s="30"/>
      <c r="UFU44" s="31"/>
      <c r="UFV44" s="30"/>
      <c r="UFW44" s="31"/>
      <c r="UFX44" s="30"/>
      <c r="UFY44" s="31"/>
      <c r="UFZ44" s="30"/>
      <c r="UGA44" s="31"/>
      <c r="UGB44" s="30"/>
      <c r="UGC44" s="31"/>
      <c r="UGD44" s="30"/>
      <c r="UGE44" s="31"/>
      <c r="UGF44" s="30"/>
      <c r="UGG44" s="31"/>
      <c r="UGH44" s="30"/>
      <c r="UGI44" s="31"/>
      <c r="UGJ44" s="30"/>
      <c r="UGK44" s="31"/>
      <c r="UGL44" s="30"/>
      <c r="UGM44" s="31"/>
      <c r="UGN44" s="30"/>
      <c r="UGO44" s="31"/>
      <c r="UGP44" s="30"/>
      <c r="UGQ44" s="31"/>
      <c r="UGR44" s="30"/>
      <c r="UGS44" s="31"/>
      <c r="UGT44" s="30"/>
      <c r="UGU44" s="31"/>
      <c r="UGV44" s="30"/>
      <c r="UGW44" s="31"/>
      <c r="UGX44" s="30"/>
      <c r="UGY44" s="31"/>
      <c r="UGZ44" s="30"/>
      <c r="UHA44" s="31"/>
      <c r="UHB44" s="30"/>
      <c r="UHC44" s="31"/>
      <c r="UHD44" s="30"/>
      <c r="UHE44" s="31"/>
      <c r="UHF44" s="30"/>
      <c r="UHG44" s="31"/>
      <c r="UHH44" s="30"/>
      <c r="UHI44" s="31"/>
      <c r="UHJ44" s="30"/>
      <c r="UHK44" s="31"/>
      <c r="UHL44" s="30"/>
      <c r="UHM44" s="31"/>
      <c r="UHN44" s="30"/>
      <c r="UHO44" s="31"/>
      <c r="UHP44" s="30"/>
      <c r="UHQ44" s="31"/>
      <c r="UHR44" s="30"/>
      <c r="UHS44" s="31"/>
      <c r="UHT44" s="30"/>
      <c r="UHU44" s="31"/>
      <c r="UHV44" s="30"/>
      <c r="UHW44" s="31"/>
      <c r="UHX44" s="30"/>
      <c r="UHY44" s="31"/>
      <c r="UHZ44" s="30"/>
      <c r="UIA44" s="31"/>
      <c r="UIB44" s="30"/>
      <c r="UIC44" s="31"/>
      <c r="UID44" s="30"/>
      <c r="UIE44" s="31"/>
      <c r="UIF44" s="30"/>
      <c r="UIG44" s="31"/>
      <c r="UIH44" s="30"/>
      <c r="UII44" s="31"/>
      <c r="UIJ44" s="30"/>
      <c r="UIK44" s="31"/>
      <c r="UIL44" s="30"/>
      <c r="UIM44" s="31"/>
      <c r="UIN44" s="30"/>
      <c r="UIO44" s="31"/>
      <c r="UIP44" s="30"/>
      <c r="UIQ44" s="31"/>
      <c r="UIR44" s="30"/>
      <c r="UIS44" s="31"/>
      <c r="UIT44" s="30"/>
      <c r="UIU44" s="31"/>
      <c r="UIV44" s="30"/>
      <c r="UIW44" s="31"/>
      <c r="UIX44" s="30"/>
      <c r="UIY44" s="31"/>
      <c r="UIZ44" s="30"/>
      <c r="UJA44" s="31"/>
      <c r="UJB44" s="30"/>
      <c r="UJC44" s="31"/>
      <c r="UJD44" s="30"/>
      <c r="UJE44" s="31"/>
      <c r="UJF44" s="30"/>
      <c r="UJG44" s="31"/>
      <c r="UJH44" s="30"/>
      <c r="UJI44" s="31"/>
      <c r="UJJ44" s="30"/>
      <c r="UJK44" s="31"/>
      <c r="UJL44" s="30"/>
      <c r="UJM44" s="31"/>
      <c r="UJN44" s="30"/>
      <c r="UJO44" s="31"/>
      <c r="UJP44" s="30"/>
      <c r="UJQ44" s="31"/>
      <c r="UJR44" s="30"/>
      <c r="UJS44" s="31"/>
      <c r="UJT44" s="30"/>
      <c r="UJU44" s="31"/>
      <c r="UJV44" s="30"/>
      <c r="UJW44" s="31"/>
      <c r="UJX44" s="30"/>
      <c r="UJY44" s="31"/>
      <c r="UJZ44" s="30"/>
      <c r="UKA44" s="31"/>
      <c r="UKB44" s="30"/>
      <c r="UKC44" s="31"/>
      <c r="UKD44" s="30"/>
      <c r="UKE44" s="31"/>
      <c r="UKF44" s="30"/>
      <c r="UKG44" s="31"/>
      <c r="UKH44" s="30"/>
      <c r="UKI44" s="31"/>
      <c r="UKJ44" s="30"/>
      <c r="UKK44" s="31"/>
      <c r="UKL44" s="30"/>
      <c r="UKM44" s="31"/>
      <c r="UKN44" s="30"/>
      <c r="UKO44" s="31"/>
      <c r="UKP44" s="30"/>
      <c r="UKQ44" s="31"/>
      <c r="UKR44" s="30"/>
      <c r="UKS44" s="31"/>
      <c r="UKT44" s="30"/>
      <c r="UKU44" s="31"/>
      <c r="UKV44" s="30"/>
      <c r="UKW44" s="31"/>
      <c r="UKX44" s="30"/>
      <c r="UKY44" s="31"/>
      <c r="UKZ44" s="30"/>
      <c r="ULA44" s="31"/>
      <c r="ULB44" s="30"/>
      <c r="ULC44" s="31"/>
      <c r="ULD44" s="30"/>
      <c r="ULE44" s="31"/>
      <c r="ULF44" s="30"/>
      <c r="ULG44" s="31"/>
      <c r="ULH44" s="30"/>
      <c r="ULI44" s="31"/>
      <c r="ULJ44" s="30"/>
      <c r="ULK44" s="31"/>
      <c r="ULL44" s="30"/>
      <c r="ULM44" s="31"/>
      <c r="ULN44" s="30"/>
      <c r="ULO44" s="31"/>
      <c r="ULP44" s="30"/>
      <c r="ULQ44" s="31"/>
      <c r="ULR44" s="30"/>
      <c r="ULS44" s="31"/>
      <c r="ULT44" s="30"/>
      <c r="ULU44" s="31"/>
      <c r="ULV44" s="30"/>
      <c r="ULW44" s="31"/>
      <c r="ULX44" s="30"/>
      <c r="ULY44" s="31"/>
      <c r="ULZ44" s="30"/>
      <c r="UMA44" s="31"/>
      <c r="UMB44" s="30"/>
      <c r="UMC44" s="31"/>
      <c r="UMD44" s="30"/>
      <c r="UME44" s="31"/>
      <c r="UMF44" s="30"/>
      <c r="UMG44" s="31"/>
      <c r="UMH44" s="30"/>
      <c r="UMI44" s="31"/>
      <c r="UMJ44" s="30"/>
      <c r="UMK44" s="31"/>
      <c r="UML44" s="30"/>
      <c r="UMM44" s="31"/>
      <c r="UMN44" s="30"/>
      <c r="UMO44" s="31"/>
      <c r="UMP44" s="30"/>
      <c r="UMQ44" s="31"/>
      <c r="UMR44" s="30"/>
      <c r="UMS44" s="31"/>
      <c r="UMT44" s="30"/>
      <c r="UMU44" s="31"/>
      <c r="UMV44" s="30"/>
      <c r="UMW44" s="31"/>
      <c r="UMX44" s="30"/>
      <c r="UMY44" s="31"/>
      <c r="UMZ44" s="30"/>
      <c r="UNA44" s="31"/>
      <c r="UNB44" s="30"/>
      <c r="UNC44" s="31"/>
      <c r="UND44" s="30"/>
      <c r="UNE44" s="31"/>
      <c r="UNF44" s="30"/>
      <c r="UNG44" s="31"/>
      <c r="UNH44" s="30"/>
      <c r="UNI44" s="31"/>
      <c r="UNJ44" s="30"/>
      <c r="UNK44" s="31"/>
      <c r="UNL44" s="30"/>
      <c r="UNM44" s="31"/>
      <c r="UNN44" s="30"/>
      <c r="UNO44" s="31"/>
      <c r="UNP44" s="30"/>
      <c r="UNQ44" s="31"/>
      <c r="UNR44" s="30"/>
      <c r="UNS44" s="31"/>
      <c r="UNT44" s="30"/>
      <c r="UNU44" s="31"/>
      <c r="UNV44" s="30"/>
      <c r="UNW44" s="31"/>
      <c r="UNX44" s="30"/>
      <c r="UNY44" s="31"/>
      <c r="UNZ44" s="30"/>
      <c r="UOA44" s="31"/>
      <c r="UOB44" s="30"/>
      <c r="UOC44" s="31"/>
      <c r="UOD44" s="30"/>
      <c r="UOE44" s="31"/>
      <c r="UOF44" s="30"/>
      <c r="UOG44" s="31"/>
      <c r="UOH44" s="30"/>
      <c r="UOI44" s="31"/>
      <c r="UOJ44" s="30"/>
      <c r="UOK44" s="31"/>
      <c r="UOL44" s="30"/>
      <c r="UOM44" s="31"/>
      <c r="UON44" s="30"/>
      <c r="UOO44" s="31"/>
      <c r="UOP44" s="30"/>
      <c r="UOQ44" s="31"/>
      <c r="UOR44" s="30"/>
      <c r="UOS44" s="31"/>
      <c r="UOT44" s="30"/>
      <c r="UOU44" s="31"/>
      <c r="UOV44" s="30"/>
      <c r="UOW44" s="31"/>
      <c r="UOX44" s="30"/>
      <c r="UOY44" s="31"/>
      <c r="UOZ44" s="30"/>
      <c r="UPA44" s="31"/>
      <c r="UPB44" s="30"/>
      <c r="UPC44" s="31"/>
      <c r="UPD44" s="30"/>
      <c r="UPE44" s="31"/>
      <c r="UPF44" s="30"/>
      <c r="UPG44" s="31"/>
      <c r="UPH44" s="30"/>
      <c r="UPI44" s="31"/>
      <c r="UPJ44" s="30"/>
      <c r="UPK44" s="31"/>
      <c r="UPL44" s="30"/>
      <c r="UPM44" s="31"/>
      <c r="UPN44" s="30"/>
      <c r="UPO44" s="31"/>
      <c r="UPP44" s="30"/>
      <c r="UPQ44" s="31"/>
      <c r="UPR44" s="30"/>
      <c r="UPS44" s="31"/>
      <c r="UPT44" s="30"/>
      <c r="UPU44" s="31"/>
      <c r="UPV44" s="30"/>
      <c r="UPW44" s="31"/>
      <c r="UPX44" s="30"/>
      <c r="UPY44" s="31"/>
      <c r="UPZ44" s="30"/>
      <c r="UQA44" s="31"/>
      <c r="UQB44" s="30"/>
      <c r="UQC44" s="31"/>
      <c r="UQD44" s="30"/>
      <c r="UQE44" s="31"/>
      <c r="UQF44" s="30"/>
      <c r="UQG44" s="31"/>
      <c r="UQH44" s="30"/>
      <c r="UQI44" s="31"/>
      <c r="UQJ44" s="30"/>
      <c r="UQK44" s="31"/>
      <c r="UQL44" s="30"/>
      <c r="UQM44" s="31"/>
      <c r="UQN44" s="30"/>
      <c r="UQO44" s="31"/>
      <c r="UQP44" s="30"/>
      <c r="UQQ44" s="31"/>
      <c r="UQR44" s="30"/>
      <c r="UQS44" s="31"/>
      <c r="UQT44" s="30"/>
      <c r="UQU44" s="31"/>
      <c r="UQV44" s="30"/>
      <c r="UQW44" s="31"/>
      <c r="UQX44" s="30"/>
      <c r="UQY44" s="31"/>
      <c r="UQZ44" s="30"/>
      <c r="URA44" s="31"/>
      <c r="URB44" s="30"/>
      <c r="URC44" s="31"/>
      <c r="URD44" s="30"/>
      <c r="URE44" s="31"/>
      <c r="URF44" s="30"/>
      <c r="URG44" s="31"/>
      <c r="URH44" s="30"/>
      <c r="URI44" s="31"/>
      <c r="URJ44" s="30"/>
      <c r="URK44" s="31"/>
      <c r="URL44" s="30"/>
      <c r="URM44" s="31"/>
      <c r="URN44" s="30"/>
      <c r="URO44" s="31"/>
      <c r="URP44" s="30"/>
      <c r="URQ44" s="31"/>
      <c r="URR44" s="30"/>
      <c r="URS44" s="31"/>
      <c r="URT44" s="30"/>
      <c r="URU44" s="31"/>
      <c r="URV44" s="30"/>
      <c r="URW44" s="31"/>
      <c r="URX44" s="30"/>
      <c r="URY44" s="31"/>
      <c r="URZ44" s="30"/>
      <c r="USA44" s="31"/>
      <c r="USB44" s="30"/>
      <c r="USC44" s="31"/>
      <c r="USD44" s="30"/>
      <c r="USE44" s="31"/>
      <c r="USF44" s="30"/>
      <c r="USG44" s="31"/>
      <c r="USH44" s="30"/>
      <c r="USI44" s="31"/>
      <c r="USJ44" s="30"/>
      <c r="USK44" s="31"/>
      <c r="USL44" s="30"/>
      <c r="USM44" s="31"/>
      <c r="USN44" s="30"/>
      <c r="USO44" s="31"/>
      <c r="USP44" s="30"/>
      <c r="USQ44" s="31"/>
      <c r="USR44" s="30"/>
      <c r="USS44" s="31"/>
      <c r="UST44" s="30"/>
      <c r="USU44" s="31"/>
      <c r="USV44" s="30"/>
      <c r="USW44" s="31"/>
      <c r="USX44" s="30"/>
      <c r="USY44" s="31"/>
      <c r="USZ44" s="30"/>
      <c r="UTA44" s="31"/>
      <c r="UTB44" s="30"/>
      <c r="UTC44" s="31"/>
      <c r="UTD44" s="30"/>
      <c r="UTE44" s="31"/>
      <c r="UTF44" s="30"/>
      <c r="UTG44" s="31"/>
      <c r="UTH44" s="30"/>
      <c r="UTI44" s="31"/>
      <c r="UTJ44" s="30"/>
      <c r="UTK44" s="31"/>
      <c r="UTL44" s="30"/>
      <c r="UTM44" s="31"/>
      <c r="UTN44" s="30"/>
      <c r="UTO44" s="31"/>
      <c r="UTP44" s="30"/>
      <c r="UTQ44" s="31"/>
      <c r="UTR44" s="30"/>
      <c r="UTS44" s="31"/>
      <c r="UTT44" s="30"/>
      <c r="UTU44" s="31"/>
      <c r="UTV44" s="30"/>
      <c r="UTW44" s="31"/>
      <c r="UTX44" s="30"/>
      <c r="UTY44" s="31"/>
      <c r="UTZ44" s="30"/>
      <c r="UUA44" s="31"/>
      <c r="UUB44" s="30"/>
      <c r="UUC44" s="31"/>
      <c r="UUD44" s="30"/>
      <c r="UUE44" s="31"/>
      <c r="UUF44" s="30"/>
      <c r="UUG44" s="31"/>
      <c r="UUH44" s="30"/>
      <c r="UUI44" s="31"/>
      <c r="UUJ44" s="30"/>
      <c r="UUK44" s="31"/>
      <c r="UUL44" s="30"/>
      <c r="UUM44" s="31"/>
      <c r="UUN44" s="30"/>
      <c r="UUO44" s="31"/>
      <c r="UUP44" s="30"/>
      <c r="UUQ44" s="31"/>
      <c r="UUR44" s="30"/>
      <c r="UUS44" s="31"/>
      <c r="UUT44" s="30"/>
      <c r="UUU44" s="31"/>
      <c r="UUV44" s="30"/>
      <c r="UUW44" s="31"/>
      <c r="UUX44" s="30"/>
      <c r="UUY44" s="31"/>
      <c r="UUZ44" s="30"/>
      <c r="UVA44" s="31"/>
      <c r="UVB44" s="30"/>
      <c r="UVC44" s="31"/>
      <c r="UVD44" s="30"/>
      <c r="UVE44" s="31"/>
      <c r="UVF44" s="30"/>
      <c r="UVG44" s="31"/>
      <c r="UVH44" s="30"/>
      <c r="UVI44" s="31"/>
      <c r="UVJ44" s="30"/>
      <c r="UVK44" s="31"/>
      <c r="UVL44" s="30"/>
      <c r="UVM44" s="31"/>
      <c r="UVN44" s="30"/>
      <c r="UVO44" s="31"/>
      <c r="UVP44" s="30"/>
      <c r="UVQ44" s="31"/>
      <c r="UVR44" s="30"/>
      <c r="UVS44" s="31"/>
      <c r="UVT44" s="30"/>
      <c r="UVU44" s="31"/>
      <c r="UVV44" s="30"/>
      <c r="UVW44" s="31"/>
      <c r="UVX44" s="30"/>
      <c r="UVY44" s="31"/>
      <c r="UVZ44" s="30"/>
      <c r="UWA44" s="31"/>
      <c r="UWB44" s="30"/>
      <c r="UWC44" s="31"/>
      <c r="UWD44" s="30"/>
      <c r="UWE44" s="31"/>
      <c r="UWF44" s="30"/>
      <c r="UWG44" s="31"/>
      <c r="UWH44" s="30"/>
      <c r="UWI44" s="31"/>
      <c r="UWJ44" s="30"/>
      <c r="UWK44" s="31"/>
      <c r="UWL44" s="30"/>
      <c r="UWM44" s="31"/>
      <c r="UWN44" s="30"/>
      <c r="UWO44" s="31"/>
      <c r="UWP44" s="30"/>
      <c r="UWQ44" s="31"/>
      <c r="UWR44" s="30"/>
      <c r="UWS44" s="31"/>
      <c r="UWT44" s="30"/>
      <c r="UWU44" s="31"/>
      <c r="UWV44" s="30"/>
      <c r="UWW44" s="31"/>
      <c r="UWX44" s="30"/>
      <c r="UWY44" s="31"/>
      <c r="UWZ44" s="30"/>
      <c r="UXA44" s="31"/>
      <c r="UXB44" s="30"/>
      <c r="UXC44" s="31"/>
      <c r="UXD44" s="30"/>
      <c r="UXE44" s="31"/>
      <c r="UXF44" s="30"/>
      <c r="UXG44" s="31"/>
      <c r="UXH44" s="30"/>
      <c r="UXI44" s="31"/>
      <c r="UXJ44" s="30"/>
      <c r="UXK44" s="31"/>
      <c r="UXL44" s="30"/>
      <c r="UXM44" s="31"/>
      <c r="UXN44" s="30"/>
      <c r="UXO44" s="31"/>
      <c r="UXP44" s="30"/>
      <c r="UXQ44" s="31"/>
      <c r="UXR44" s="30"/>
      <c r="UXS44" s="31"/>
      <c r="UXT44" s="30"/>
      <c r="UXU44" s="31"/>
      <c r="UXV44" s="30"/>
      <c r="UXW44" s="31"/>
      <c r="UXX44" s="30"/>
      <c r="UXY44" s="31"/>
      <c r="UXZ44" s="30"/>
      <c r="UYA44" s="31"/>
      <c r="UYB44" s="30"/>
      <c r="UYC44" s="31"/>
      <c r="UYD44" s="30"/>
      <c r="UYE44" s="31"/>
      <c r="UYF44" s="30"/>
      <c r="UYG44" s="31"/>
      <c r="UYH44" s="30"/>
      <c r="UYI44" s="31"/>
      <c r="UYJ44" s="30"/>
      <c r="UYK44" s="31"/>
      <c r="UYL44" s="30"/>
      <c r="UYM44" s="31"/>
      <c r="UYN44" s="30"/>
      <c r="UYO44" s="31"/>
      <c r="UYP44" s="30"/>
      <c r="UYQ44" s="31"/>
      <c r="UYR44" s="30"/>
      <c r="UYS44" s="31"/>
      <c r="UYT44" s="30"/>
      <c r="UYU44" s="31"/>
      <c r="UYV44" s="30"/>
      <c r="UYW44" s="31"/>
      <c r="UYX44" s="30"/>
      <c r="UYY44" s="31"/>
      <c r="UYZ44" s="30"/>
      <c r="UZA44" s="31"/>
      <c r="UZB44" s="30"/>
      <c r="UZC44" s="31"/>
      <c r="UZD44" s="30"/>
      <c r="UZE44" s="31"/>
      <c r="UZF44" s="30"/>
      <c r="UZG44" s="31"/>
      <c r="UZH44" s="30"/>
      <c r="UZI44" s="31"/>
      <c r="UZJ44" s="30"/>
      <c r="UZK44" s="31"/>
      <c r="UZL44" s="30"/>
      <c r="UZM44" s="31"/>
      <c r="UZN44" s="30"/>
      <c r="UZO44" s="31"/>
      <c r="UZP44" s="30"/>
      <c r="UZQ44" s="31"/>
      <c r="UZR44" s="30"/>
      <c r="UZS44" s="31"/>
      <c r="UZT44" s="30"/>
      <c r="UZU44" s="31"/>
      <c r="UZV44" s="30"/>
      <c r="UZW44" s="31"/>
      <c r="UZX44" s="30"/>
      <c r="UZY44" s="31"/>
      <c r="UZZ44" s="30"/>
      <c r="VAA44" s="31"/>
      <c r="VAB44" s="30"/>
      <c r="VAC44" s="31"/>
      <c r="VAD44" s="30"/>
      <c r="VAE44" s="31"/>
      <c r="VAF44" s="30"/>
      <c r="VAG44" s="31"/>
      <c r="VAH44" s="30"/>
      <c r="VAI44" s="31"/>
      <c r="VAJ44" s="30"/>
      <c r="VAK44" s="31"/>
      <c r="VAL44" s="30"/>
      <c r="VAM44" s="31"/>
      <c r="VAN44" s="30"/>
      <c r="VAO44" s="31"/>
      <c r="VAP44" s="30"/>
      <c r="VAQ44" s="31"/>
      <c r="VAR44" s="30"/>
      <c r="VAS44" s="31"/>
      <c r="VAT44" s="30"/>
      <c r="VAU44" s="31"/>
      <c r="VAV44" s="30"/>
      <c r="VAW44" s="31"/>
      <c r="VAX44" s="30"/>
      <c r="VAY44" s="31"/>
      <c r="VAZ44" s="30"/>
      <c r="VBA44" s="31"/>
      <c r="VBB44" s="30"/>
      <c r="VBC44" s="31"/>
      <c r="VBD44" s="30"/>
      <c r="VBE44" s="31"/>
      <c r="VBF44" s="30"/>
      <c r="VBG44" s="31"/>
      <c r="VBH44" s="30"/>
      <c r="VBI44" s="31"/>
      <c r="VBJ44" s="30"/>
      <c r="VBK44" s="31"/>
      <c r="VBL44" s="30"/>
      <c r="VBM44" s="31"/>
      <c r="VBN44" s="30"/>
      <c r="VBO44" s="31"/>
      <c r="VBP44" s="30"/>
      <c r="VBQ44" s="31"/>
      <c r="VBR44" s="30"/>
      <c r="VBS44" s="31"/>
      <c r="VBT44" s="30"/>
      <c r="VBU44" s="31"/>
      <c r="VBV44" s="30"/>
      <c r="VBW44" s="31"/>
      <c r="VBX44" s="30"/>
      <c r="VBY44" s="31"/>
      <c r="VBZ44" s="30"/>
      <c r="VCA44" s="31"/>
      <c r="VCB44" s="30"/>
      <c r="VCC44" s="31"/>
      <c r="VCD44" s="30"/>
      <c r="VCE44" s="31"/>
      <c r="VCF44" s="30"/>
      <c r="VCG44" s="31"/>
      <c r="VCH44" s="30"/>
      <c r="VCI44" s="31"/>
      <c r="VCJ44" s="30"/>
      <c r="VCK44" s="31"/>
      <c r="VCL44" s="30"/>
      <c r="VCM44" s="31"/>
      <c r="VCN44" s="30"/>
      <c r="VCO44" s="31"/>
      <c r="VCP44" s="30"/>
      <c r="VCQ44" s="31"/>
      <c r="VCR44" s="30"/>
      <c r="VCS44" s="31"/>
      <c r="VCT44" s="30"/>
      <c r="VCU44" s="31"/>
      <c r="VCV44" s="30"/>
      <c r="VCW44" s="31"/>
      <c r="VCX44" s="30"/>
      <c r="VCY44" s="31"/>
      <c r="VCZ44" s="30"/>
      <c r="VDA44" s="31"/>
      <c r="VDB44" s="30"/>
      <c r="VDC44" s="31"/>
      <c r="VDD44" s="30"/>
      <c r="VDE44" s="31"/>
      <c r="VDF44" s="30"/>
      <c r="VDG44" s="31"/>
      <c r="VDH44" s="30"/>
      <c r="VDI44" s="31"/>
      <c r="VDJ44" s="30"/>
      <c r="VDK44" s="31"/>
      <c r="VDL44" s="30"/>
      <c r="VDM44" s="31"/>
      <c r="VDN44" s="30"/>
      <c r="VDO44" s="31"/>
      <c r="VDP44" s="30"/>
      <c r="VDQ44" s="31"/>
      <c r="VDR44" s="30"/>
      <c r="VDS44" s="31"/>
      <c r="VDT44" s="30"/>
      <c r="VDU44" s="31"/>
      <c r="VDV44" s="30"/>
      <c r="VDW44" s="31"/>
      <c r="VDX44" s="30"/>
      <c r="VDY44" s="31"/>
      <c r="VDZ44" s="30"/>
      <c r="VEA44" s="31"/>
      <c r="VEB44" s="30"/>
      <c r="VEC44" s="31"/>
      <c r="VED44" s="30"/>
      <c r="VEE44" s="31"/>
      <c r="VEF44" s="30"/>
      <c r="VEG44" s="31"/>
      <c r="VEH44" s="30"/>
      <c r="VEI44" s="31"/>
      <c r="VEJ44" s="30"/>
      <c r="VEK44" s="31"/>
      <c r="VEL44" s="30"/>
      <c r="VEM44" s="31"/>
      <c r="VEN44" s="30"/>
      <c r="VEO44" s="31"/>
      <c r="VEP44" s="30"/>
      <c r="VEQ44" s="31"/>
      <c r="VER44" s="30"/>
      <c r="VES44" s="31"/>
      <c r="VET44" s="30"/>
      <c r="VEU44" s="31"/>
      <c r="VEV44" s="30"/>
      <c r="VEW44" s="31"/>
      <c r="VEX44" s="30"/>
      <c r="VEY44" s="31"/>
      <c r="VEZ44" s="30"/>
      <c r="VFA44" s="31"/>
      <c r="VFB44" s="30"/>
      <c r="VFC44" s="31"/>
      <c r="VFD44" s="30"/>
      <c r="VFE44" s="31"/>
      <c r="VFF44" s="30"/>
      <c r="VFG44" s="31"/>
      <c r="VFH44" s="30"/>
      <c r="VFI44" s="31"/>
      <c r="VFJ44" s="30"/>
      <c r="VFK44" s="31"/>
      <c r="VFL44" s="30"/>
      <c r="VFM44" s="31"/>
      <c r="VFN44" s="30"/>
      <c r="VFO44" s="31"/>
      <c r="VFP44" s="30"/>
      <c r="VFQ44" s="31"/>
      <c r="VFR44" s="30"/>
      <c r="VFS44" s="31"/>
      <c r="VFT44" s="30"/>
      <c r="VFU44" s="31"/>
      <c r="VFV44" s="30"/>
      <c r="VFW44" s="31"/>
      <c r="VFX44" s="30"/>
      <c r="VFY44" s="31"/>
      <c r="VFZ44" s="30"/>
      <c r="VGA44" s="31"/>
      <c r="VGB44" s="30"/>
      <c r="VGC44" s="31"/>
      <c r="VGD44" s="30"/>
      <c r="VGE44" s="31"/>
      <c r="VGF44" s="30"/>
      <c r="VGG44" s="31"/>
      <c r="VGH44" s="30"/>
      <c r="VGI44" s="31"/>
      <c r="VGJ44" s="30"/>
      <c r="VGK44" s="31"/>
      <c r="VGL44" s="30"/>
      <c r="VGM44" s="31"/>
      <c r="VGN44" s="30"/>
      <c r="VGO44" s="31"/>
      <c r="VGP44" s="30"/>
      <c r="VGQ44" s="31"/>
      <c r="VGR44" s="30"/>
      <c r="VGS44" s="31"/>
      <c r="VGT44" s="30"/>
      <c r="VGU44" s="31"/>
      <c r="VGV44" s="30"/>
      <c r="VGW44" s="31"/>
      <c r="VGX44" s="30"/>
      <c r="VGY44" s="31"/>
      <c r="VGZ44" s="30"/>
      <c r="VHA44" s="31"/>
      <c r="VHB44" s="30"/>
      <c r="VHC44" s="31"/>
      <c r="VHD44" s="30"/>
      <c r="VHE44" s="31"/>
      <c r="VHF44" s="30"/>
      <c r="VHG44" s="31"/>
      <c r="VHH44" s="30"/>
      <c r="VHI44" s="31"/>
      <c r="VHJ44" s="30"/>
      <c r="VHK44" s="31"/>
      <c r="VHL44" s="30"/>
      <c r="VHM44" s="31"/>
      <c r="VHN44" s="30"/>
      <c r="VHO44" s="31"/>
      <c r="VHP44" s="30"/>
      <c r="VHQ44" s="31"/>
      <c r="VHR44" s="30"/>
      <c r="VHS44" s="31"/>
      <c r="VHT44" s="30"/>
      <c r="VHU44" s="31"/>
      <c r="VHV44" s="30"/>
      <c r="VHW44" s="31"/>
      <c r="VHX44" s="30"/>
      <c r="VHY44" s="31"/>
      <c r="VHZ44" s="30"/>
      <c r="VIA44" s="31"/>
      <c r="VIB44" s="30"/>
      <c r="VIC44" s="31"/>
      <c r="VID44" s="30"/>
      <c r="VIE44" s="31"/>
      <c r="VIF44" s="30"/>
      <c r="VIG44" s="31"/>
      <c r="VIH44" s="30"/>
      <c r="VII44" s="31"/>
      <c r="VIJ44" s="30"/>
      <c r="VIK44" s="31"/>
      <c r="VIL44" s="30"/>
      <c r="VIM44" s="31"/>
      <c r="VIN44" s="30"/>
      <c r="VIO44" s="31"/>
      <c r="VIP44" s="30"/>
      <c r="VIQ44" s="31"/>
      <c r="VIR44" s="30"/>
      <c r="VIS44" s="31"/>
      <c r="VIT44" s="30"/>
      <c r="VIU44" s="31"/>
      <c r="VIV44" s="30"/>
      <c r="VIW44" s="31"/>
      <c r="VIX44" s="30"/>
      <c r="VIY44" s="31"/>
      <c r="VIZ44" s="30"/>
      <c r="VJA44" s="31"/>
      <c r="VJB44" s="30"/>
      <c r="VJC44" s="31"/>
      <c r="VJD44" s="30"/>
      <c r="VJE44" s="31"/>
      <c r="VJF44" s="30"/>
      <c r="VJG44" s="31"/>
      <c r="VJH44" s="30"/>
      <c r="VJI44" s="31"/>
      <c r="VJJ44" s="30"/>
      <c r="VJK44" s="31"/>
      <c r="VJL44" s="30"/>
      <c r="VJM44" s="31"/>
      <c r="VJN44" s="30"/>
      <c r="VJO44" s="31"/>
      <c r="VJP44" s="30"/>
      <c r="VJQ44" s="31"/>
      <c r="VJR44" s="30"/>
      <c r="VJS44" s="31"/>
      <c r="VJT44" s="30"/>
      <c r="VJU44" s="31"/>
      <c r="VJV44" s="30"/>
      <c r="VJW44" s="31"/>
      <c r="VJX44" s="30"/>
      <c r="VJY44" s="31"/>
      <c r="VJZ44" s="30"/>
      <c r="VKA44" s="31"/>
      <c r="VKB44" s="30"/>
      <c r="VKC44" s="31"/>
      <c r="VKD44" s="30"/>
      <c r="VKE44" s="31"/>
      <c r="VKF44" s="30"/>
      <c r="VKG44" s="31"/>
      <c r="VKH44" s="30"/>
      <c r="VKI44" s="31"/>
      <c r="VKJ44" s="30"/>
      <c r="VKK44" s="31"/>
      <c r="VKL44" s="30"/>
      <c r="VKM44" s="31"/>
      <c r="VKN44" s="30"/>
      <c r="VKO44" s="31"/>
      <c r="VKP44" s="30"/>
      <c r="VKQ44" s="31"/>
      <c r="VKR44" s="30"/>
      <c r="VKS44" s="31"/>
      <c r="VKT44" s="30"/>
      <c r="VKU44" s="31"/>
      <c r="VKV44" s="30"/>
      <c r="VKW44" s="31"/>
      <c r="VKX44" s="30"/>
      <c r="VKY44" s="31"/>
      <c r="VKZ44" s="30"/>
      <c r="VLA44" s="31"/>
      <c r="VLB44" s="30"/>
      <c r="VLC44" s="31"/>
      <c r="VLD44" s="30"/>
      <c r="VLE44" s="31"/>
      <c r="VLF44" s="30"/>
      <c r="VLG44" s="31"/>
      <c r="VLH44" s="30"/>
      <c r="VLI44" s="31"/>
      <c r="VLJ44" s="30"/>
      <c r="VLK44" s="31"/>
      <c r="VLL44" s="30"/>
      <c r="VLM44" s="31"/>
      <c r="VLN44" s="30"/>
      <c r="VLO44" s="31"/>
      <c r="VLP44" s="30"/>
      <c r="VLQ44" s="31"/>
      <c r="VLR44" s="30"/>
      <c r="VLS44" s="31"/>
      <c r="VLT44" s="30"/>
      <c r="VLU44" s="31"/>
      <c r="VLV44" s="30"/>
      <c r="VLW44" s="31"/>
      <c r="VLX44" s="30"/>
      <c r="VLY44" s="31"/>
      <c r="VLZ44" s="30"/>
      <c r="VMA44" s="31"/>
      <c r="VMB44" s="30"/>
      <c r="VMC44" s="31"/>
      <c r="VMD44" s="30"/>
      <c r="VME44" s="31"/>
      <c r="VMF44" s="30"/>
      <c r="VMG44" s="31"/>
      <c r="VMH44" s="30"/>
      <c r="VMI44" s="31"/>
      <c r="VMJ44" s="30"/>
      <c r="VMK44" s="31"/>
      <c r="VML44" s="30"/>
      <c r="VMM44" s="31"/>
      <c r="VMN44" s="30"/>
      <c r="VMO44" s="31"/>
      <c r="VMP44" s="30"/>
      <c r="VMQ44" s="31"/>
      <c r="VMR44" s="30"/>
      <c r="VMS44" s="31"/>
      <c r="VMT44" s="30"/>
      <c r="VMU44" s="31"/>
      <c r="VMV44" s="30"/>
      <c r="VMW44" s="31"/>
      <c r="VMX44" s="30"/>
      <c r="VMY44" s="31"/>
      <c r="VMZ44" s="30"/>
      <c r="VNA44" s="31"/>
      <c r="VNB44" s="30"/>
      <c r="VNC44" s="31"/>
      <c r="VND44" s="30"/>
      <c r="VNE44" s="31"/>
      <c r="VNF44" s="30"/>
      <c r="VNG44" s="31"/>
      <c r="VNH44" s="30"/>
      <c r="VNI44" s="31"/>
      <c r="VNJ44" s="30"/>
      <c r="VNK44" s="31"/>
      <c r="VNL44" s="30"/>
      <c r="VNM44" s="31"/>
      <c r="VNN44" s="30"/>
      <c r="VNO44" s="31"/>
      <c r="VNP44" s="30"/>
      <c r="VNQ44" s="31"/>
      <c r="VNR44" s="30"/>
      <c r="VNS44" s="31"/>
      <c r="VNT44" s="30"/>
      <c r="VNU44" s="31"/>
      <c r="VNV44" s="30"/>
      <c r="VNW44" s="31"/>
      <c r="VNX44" s="30"/>
      <c r="VNY44" s="31"/>
      <c r="VNZ44" s="30"/>
      <c r="VOA44" s="31"/>
      <c r="VOB44" s="30"/>
      <c r="VOC44" s="31"/>
      <c r="VOD44" s="30"/>
      <c r="VOE44" s="31"/>
      <c r="VOF44" s="30"/>
      <c r="VOG44" s="31"/>
      <c r="VOH44" s="30"/>
      <c r="VOI44" s="31"/>
      <c r="VOJ44" s="30"/>
      <c r="VOK44" s="31"/>
      <c r="VOL44" s="30"/>
      <c r="VOM44" s="31"/>
      <c r="VON44" s="30"/>
      <c r="VOO44" s="31"/>
      <c r="VOP44" s="30"/>
      <c r="VOQ44" s="31"/>
      <c r="VOR44" s="30"/>
      <c r="VOS44" s="31"/>
      <c r="VOT44" s="30"/>
      <c r="VOU44" s="31"/>
      <c r="VOV44" s="30"/>
      <c r="VOW44" s="31"/>
      <c r="VOX44" s="30"/>
      <c r="VOY44" s="31"/>
      <c r="VOZ44" s="30"/>
      <c r="VPA44" s="31"/>
      <c r="VPB44" s="30"/>
      <c r="VPC44" s="31"/>
      <c r="VPD44" s="30"/>
      <c r="VPE44" s="31"/>
      <c r="VPF44" s="30"/>
      <c r="VPG44" s="31"/>
      <c r="VPH44" s="30"/>
      <c r="VPI44" s="31"/>
      <c r="VPJ44" s="30"/>
      <c r="VPK44" s="31"/>
      <c r="VPL44" s="30"/>
      <c r="VPM44" s="31"/>
      <c r="VPN44" s="30"/>
      <c r="VPO44" s="31"/>
      <c r="VPP44" s="30"/>
      <c r="VPQ44" s="31"/>
      <c r="VPR44" s="30"/>
      <c r="VPS44" s="31"/>
      <c r="VPT44" s="30"/>
      <c r="VPU44" s="31"/>
      <c r="VPV44" s="30"/>
      <c r="VPW44" s="31"/>
      <c r="VPX44" s="30"/>
      <c r="VPY44" s="31"/>
      <c r="VPZ44" s="30"/>
      <c r="VQA44" s="31"/>
      <c r="VQB44" s="30"/>
      <c r="VQC44" s="31"/>
      <c r="VQD44" s="30"/>
      <c r="VQE44" s="31"/>
      <c r="VQF44" s="30"/>
      <c r="VQG44" s="31"/>
      <c r="VQH44" s="30"/>
      <c r="VQI44" s="31"/>
      <c r="VQJ44" s="30"/>
      <c r="VQK44" s="31"/>
      <c r="VQL44" s="30"/>
      <c r="VQM44" s="31"/>
      <c r="VQN44" s="30"/>
      <c r="VQO44" s="31"/>
      <c r="VQP44" s="30"/>
      <c r="VQQ44" s="31"/>
      <c r="VQR44" s="30"/>
      <c r="VQS44" s="31"/>
      <c r="VQT44" s="30"/>
      <c r="VQU44" s="31"/>
      <c r="VQV44" s="30"/>
      <c r="VQW44" s="31"/>
      <c r="VQX44" s="30"/>
      <c r="VQY44" s="31"/>
      <c r="VQZ44" s="30"/>
      <c r="VRA44" s="31"/>
      <c r="VRB44" s="30"/>
      <c r="VRC44" s="31"/>
      <c r="VRD44" s="30"/>
      <c r="VRE44" s="31"/>
      <c r="VRF44" s="30"/>
      <c r="VRG44" s="31"/>
      <c r="VRH44" s="30"/>
      <c r="VRI44" s="31"/>
      <c r="VRJ44" s="30"/>
      <c r="VRK44" s="31"/>
      <c r="VRL44" s="30"/>
      <c r="VRM44" s="31"/>
      <c r="VRN44" s="30"/>
      <c r="VRO44" s="31"/>
      <c r="VRP44" s="30"/>
      <c r="VRQ44" s="31"/>
      <c r="VRR44" s="30"/>
      <c r="VRS44" s="31"/>
      <c r="VRT44" s="30"/>
      <c r="VRU44" s="31"/>
      <c r="VRV44" s="30"/>
      <c r="VRW44" s="31"/>
      <c r="VRX44" s="30"/>
      <c r="VRY44" s="31"/>
      <c r="VRZ44" s="30"/>
      <c r="VSA44" s="31"/>
      <c r="VSB44" s="30"/>
      <c r="VSC44" s="31"/>
      <c r="VSD44" s="30"/>
      <c r="VSE44" s="31"/>
      <c r="VSF44" s="30"/>
      <c r="VSG44" s="31"/>
      <c r="VSH44" s="30"/>
      <c r="VSI44" s="31"/>
      <c r="VSJ44" s="30"/>
      <c r="VSK44" s="31"/>
      <c r="VSL44" s="30"/>
      <c r="VSM44" s="31"/>
      <c r="VSN44" s="30"/>
      <c r="VSO44" s="31"/>
      <c r="VSP44" s="30"/>
      <c r="VSQ44" s="31"/>
      <c r="VSR44" s="30"/>
      <c r="VSS44" s="31"/>
      <c r="VST44" s="30"/>
      <c r="VSU44" s="31"/>
      <c r="VSV44" s="30"/>
      <c r="VSW44" s="31"/>
      <c r="VSX44" s="30"/>
      <c r="VSY44" s="31"/>
      <c r="VSZ44" s="30"/>
      <c r="VTA44" s="31"/>
      <c r="VTB44" s="30"/>
      <c r="VTC44" s="31"/>
      <c r="VTD44" s="30"/>
      <c r="VTE44" s="31"/>
      <c r="VTF44" s="30"/>
      <c r="VTG44" s="31"/>
      <c r="VTH44" s="30"/>
      <c r="VTI44" s="31"/>
      <c r="VTJ44" s="30"/>
      <c r="VTK44" s="31"/>
      <c r="VTL44" s="30"/>
      <c r="VTM44" s="31"/>
      <c r="VTN44" s="30"/>
      <c r="VTO44" s="31"/>
      <c r="VTP44" s="30"/>
      <c r="VTQ44" s="31"/>
      <c r="VTR44" s="30"/>
      <c r="VTS44" s="31"/>
      <c r="VTT44" s="30"/>
      <c r="VTU44" s="31"/>
      <c r="VTV44" s="30"/>
      <c r="VTW44" s="31"/>
      <c r="VTX44" s="30"/>
      <c r="VTY44" s="31"/>
      <c r="VTZ44" s="30"/>
      <c r="VUA44" s="31"/>
      <c r="VUB44" s="30"/>
      <c r="VUC44" s="31"/>
      <c r="VUD44" s="30"/>
      <c r="VUE44" s="31"/>
      <c r="VUF44" s="30"/>
      <c r="VUG44" s="31"/>
      <c r="VUH44" s="30"/>
      <c r="VUI44" s="31"/>
      <c r="VUJ44" s="30"/>
      <c r="VUK44" s="31"/>
      <c r="VUL44" s="30"/>
      <c r="VUM44" s="31"/>
      <c r="VUN44" s="30"/>
      <c r="VUO44" s="31"/>
      <c r="VUP44" s="30"/>
      <c r="VUQ44" s="31"/>
      <c r="VUR44" s="30"/>
      <c r="VUS44" s="31"/>
      <c r="VUT44" s="30"/>
      <c r="VUU44" s="31"/>
      <c r="VUV44" s="30"/>
      <c r="VUW44" s="31"/>
      <c r="VUX44" s="30"/>
      <c r="VUY44" s="31"/>
      <c r="VUZ44" s="30"/>
      <c r="VVA44" s="31"/>
      <c r="VVB44" s="30"/>
      <c r="VVC44" s="31"/>
      <c r="VVD44" s="30"/>
      <c r="VVE44" s="31"/>
      <c r="VVF44" s="30"/>
      <c r="VVG44" s="31"/>
      <c r="VVH44" s="30"/>
      <c r="VVI44" s="31"/>
      <c r="VVJ44" s="30"/>
      <c r="VVK44" s="31"/>
      <c r="VVL44" s="30"/>
      <c r="VVM44" s="31"/>
      <c r="VVN44" s="30"/>
      <c r="VVO44" s="31"/>
      <c r="VVP44" s="30"/>
      <c r="VVQ44" s="31"/>
      <c r="VVR44" s="30"/>
      <c r="VVS44" s="31"/>
      <c r="VVT44" s="30"/>
      <c r="VVU44" s="31"/>
      <c r="VVV44" s="30"/>
      <c r="VVW44" s="31"/>
      <c r="VVX44" s="30"/>
      <c r="VVY44" s="31"/>
      <c r="VVZ44" s="30"/>
      <c r="VWA44" s="31"/>
      <c r="VWB44" s="30"/>
      <c r="VWC44" s="31"/>
      <c r="VWD44" s="30"/>
      <c r="VWE44" s="31"/>
      <c r="VWF44" s="30"/>
      <c r="VWG44" s="31"/>
      <c r="VWH44" s="30"/>
      <c r="VWI44" s="31"/>
      <c r="VWJ44" s="30"/>
      <c r="VWK44" s="31"/>
      <c r="VWL44" s="30"/>
      <c r="VWM44" s="31"/>
      <c r="VWN44" s="30"/>
      <c r="VWO44" s="31"/>
      <c r="VWP44" s="30"/>
      <c r="VWQ44" s="31"/>
      <c r="VWR44" s="30"/>
      <c r="VWS44" s="31"/>
      <c r="VWT44" s="30"/>
      <c r="VWU44" s="31"/>
      <c r="VWV44" s="30"/>
      <c r="VWW44" s="31"/>
      <c r="VWX44" s="30"/>
      <c r="VWY44" s="31"/>
      <c r="VWZ44" s="30"/>
      <c r="VXA44" s="31"/>
      <c r="VXB44" s="30"/>
      <c r="VXC44" s="31"/>
      <c r="VXD44" s="30"/>
      <c r="VXE44" s="31"/>
      <c r="VXF44" s="30"/>
      <c r="VXG44" s="31"/>
      <c r="VXH44" s="30"/>
      <c r="VXI44" s="31"/>
      <c r="VXJ44" s="30"/>
      <c r="VXK44" s="31"/>
      <c r="VXL44" s="30"/>
      <c r="VXM44" s="31"/>
      <c r="VXN44" s="30"/>
      <c r="VXO44" s="31"/>
      <c r="VXP44" s="30"/>
      <c r="VXQ44" s="31"/>
      <c r="VXR44" s="30"/>
      <c r="VXS44" s="31"/>
      <c r="VXT44" s="30"/>
      <c r="VXU44" s="31"/>
      <c r="VXV44" s="30"/>
      <c r="VXW44" s="31"/>
      <c r="VXX44" s="30"/>
      <c r="VXY44" s="31"/>
      <c r="VXZ44" s="30"/>
      <c r="VYA44" s="31"/>
      <c r="VYB44" s="30"/>
      <c r="VYC44" s="31"/>
      <c r="VYD44" s="30"/>
      <c r="VYE44" s="31"/>
      <c r="VYF44" s="30"/>
      <c r="VYG44" s="31"/>
      <c r="VYH44" s="30"/>
      <c r="VYI44" s="31"/>
      <c r="VYJ44" s="30"/>
      <c r="VYK44" s="31"/>
      <c r="VYL44" s="30"/>
      <c r="VYM44" s="31"/>
      <c r="VYN44" s="30"/>
      <c r="VYO44" s="31"/>
      <c r="VYP44" s="30"/>
      <c r="VYQ44" s="31"/>
      <c r="VYR44" s="30"/>
      <c r="VYS44" s="31"/>
      <c r="VYT44" s="30"/>
      <c r="VYU44" s="31"/>
      <c r="VYV44" s="30"/>
      <c r="VYW44" s="31"/>
      <c r="VYX44" s="30"/>
      <c r="VYY44" s="31"/>
      <c r="VYZ44" s="30"/>
      <c r="VZA44" s="31"/>
      <c r="VZB44" s="30"/>
      <c r="VZC44" s="31"/>
      <c r="VZD44" s="30"/>
      <c r="VZE44" s="31"/>
      <c r="VZF44" s="30"/>
      <c r="VZG44" s="31"/>
      <c r="VZH44" s="30"/>
      <c r="VZI44" s="31"/>
      <c r="VZJ44" s="30"/>
      <c r="VZK44" s="31"/>
      <c r="VZL44" s="30"/>
      <c r="VZM44" s="31"/>
      <c r="VZN44" s="30"/>
      <c r="VZO44" s="31"/>
      <c r="VZP44" s="30"/>
      <c r="VZQ44" s="31"/>
      <c r="VZR44" s="30"/>
      <c r="VZS44" s="31"/>
      <c r="VZT44" s="30"/>
      <c r="VZU44" s="31"/>
      <c r="VZV44" s="30"/>
      <c r="VZW44" s="31"/>
      <c r="VZX44" s="30"/>
      <c r="VZY44" s="31"/>
      <c r="VZZ44" s="30"/>
      <c r="WAA44" s="31"/>
      <c r="WAB44" s="30"/>
      <c r="WAC44" s="31"/>
      <c r="WAD44" s="30"/>
      <c r="WAE44" s="31"/>
      <c r="WAF44" s="30"/>
      <c r="WAG44" s="31"/>
      <c r="WAH44" s="30"/>
      <c r="WAI44" s="31"/>
      <c r="WAJ44" s="30"/>
      <c r="WAK44" s="31"/>
      <c r="WAL44" s="30"/>
      <c r="WAM44" s="31"/>
      <c r="WAN44" s="30"/>
      <c r="WAO44" s="31"/>
      <c r="WAP44" s="30"/>
      <c r="WAQ44" s="31"/>
      <c r="WAR44" s="30"/>
      <c r="WAS44" s="31"/>
      <c r="WAT44" s="30"/>
      <c r="WAU44" s="31"/>
      <c r="WAV44" s="30"/>
      <c r="WAW44" s="31"/>
      <c r="WAX44" s="30"/>
      <c r="WAY44" s="31"/>
      <c r="WAZ44" s="30"/>
      <c r="WBA44" s="31"/>
      <c r="WBB44" s="30"/>
      <c r="WBC44" s="31"/>
      <c r="WBD44" s="30"/>
      <c r="WBE44" s="31"/>
      <c r="WBF44" s="30"/>
      <c r="WBG44" s="31"/>
      <c r="WBH44" s="30"/>
      <c r="WBI44" s="31"/>
      <c r="WBJ44" s="30"/>
      <c r="WBK44" s="31"/>
      <c r="WBL44" s="30"/>
      <c r="WBM44" s="31"/>
      <c r="WBN44" s="30"/>
      <c r="WBO44" s="31"/>
      <c r="WBP44" s="30"/>
      <c r="WBQ44" s="31"/>
      <c r="WBR44" s="30"/>
      <c r="WBS44" s="31"/>
      <c r="WBT44" s="30"/>
      <c r="WBU44" s="31"/>
      <c r="WBV44" s="30"/>
      <c r="WBW44" s="31"/>
      <c r="WBX44" s="30"/>
      <c r="WBY44" s="31"/>
      <c r="WBZ44" s="30"/>
      <c r="WCA44" s="31"/>
      <c r="WCB44" s="30"/>
      <c r="WCC44" s="31"/>
      <c r="WCD44" s="30"/>
      <c r="WCE44" s="31"/>
      <c r="WCF44" s="30"/>
      <c r="WCG44" s="31"/>
      <c r="WCH44" s="30"/>
      <c r="WCI44" s="31"/>
      <c r="WCJ44" s="30"/>
      <c r="WCK44" s="31"/>
      <c r="WCL44" s="30"/>
      <c r="WCM44" s="31"/>
      <c r="WCN44" s="30"/>
      <c r="WCO44" s="31"/>
      <c r="WCP44" s="30"/>
      <c r="WCQ44" s="31"/>
      <c r="WCR44" s="30"/>
      <c r="WCS44" s="31"/>
      <c r="WCT44" s="30"/>
      <c r="WCU44" s="31"/>
      <c r="WCV44" s="30"/>
      <c r="WCW44" s="31"/>
      <c r="WCX44" s="30"/>
      <c r="WCY44" s="31"/>
      <c r="WCZ44" s="30"/>
      <c r="WDA44" s="31"/>
      <c r="WDB44" s="30"/>
      <c r="WDC44" s="31"/>
      <c r="WDD44" s="30"/>
      <c r="WDE44" s="31"/>
      <c r="WDF44" s="30"/>
      <c r="WDG44" s="31"/>
      <c r="WDH44" s="30"/>
      <c r="WDI44" s="31"/>
      <c r="WDJ44" s="30"/>
      <c r="WDK44" s="31"/>
      <c r="WDL44" s="30"/>
      <c r="WDM44" s="31"/>
      <c r="WDN44" s="30"/>
      <c r="WDO44" s="31"/>
      <c r="WDP44" s="30"/>
      <c r="WDQ44" s="31"/>
      <c r="WDR44" s="30"/>
      <c r="WDS44" s="31"/>
      <c r="WDT44" s="30"/>
      <c r="WDU44" s="31"/>
      <c r="WDV44" s="30"/>
      <c r="WDW44" s="31"/>
      <c r="WDX44" s="30"/>
      <c r="WDY44" s="31"/>
      <c r="WDZ44" s="30"/>
      <c r="WEA44" s="31"/>
      <c r="WEB44" s="30"/>
      <c r="WEC44" s="31"/>
      <c r="WED44" s="30"/>
      <c r="WEE44" s="31"/>
      <c r="WEF44" s="30"/>
      <c r="WEG44" s="31"/>
      <c r="WEH44" s="30"/>
      <c r="WEI44" s="31"/>
      <c r="WEJ44" s="30"/>
      <c r="WEK44" s="31"/>
      <c r="WEL44" s="30"/>
      <c r="WEM44" s="31"/>
      <c r="WEN44" s="30"/>
      <c r="WEO44" s="31"/>
      <c r="WEP44" s="30"/>
      <c r="WEQ44" s="31"/>
      <c r="WER44" s="30"/>
      <c r="WES44" s="31"/>
      <c r="WET44" s="30"/>
      <c r="WEU44" s="31"/>
      <c r="WEV44" s="30"/>
      <c r="WEW44" s="31"/>
      <c r="WEX44" s="30"/>
      <c r="WEY44" s="31"/>
      <c r="WEZ44" s="30"/>
      <c r="WFA44" s="31"/>
      <c r="WFB44" s="30"/>
      <c r="WFC44" s="31"/>
      <c r="WFD44" s="30"/>
      <c r="WFE44" s="31"/>
      <c r="WFF44" s="30"/>
      <c r="WFG44" s="31"/>
      <c r="WFH44" s="30"/>
      <c r="WFI44" s="31"/>
      <c r="WFJ44" s="30"/>
      <c r="WFK44" s="31"/>
      <c r="WFL44" s="30"/>
      <c r="WFM44" s="31"/>
      <c r="WFN44" s="30"/>
      <c r="WFO44" s="31"/>
      <c r="WFP44" s="30"/>
      <c r="WFQ44" s="31"/>
      <c r="WFR44" s="30"/>
      <c r="WFS44" s="31"/>
      <c r="WFT44" s="30"/>
      <c r="WFU44" s="31"/>
      <c r="WFV44" s="30"/>
      <c r="WFW44" s="31"/>
      <c r="WFX44" s="30"/>
      <c r="WFY44" s="31"/>
      <c r="WFZ44" s="30"/>
      <c r="WGA44" s="31"/>
      <c r="WGB44" s="30"/>
      <c r="WGC44" s="31"/>
      <c r="WGD44" s="30"/>
      <c r="WGE44" s="31"/>
      <c r="WGF44" s="30"/>
      <c r="WGG44" s="31"/>
      <c r="WGH44" s="30"/>
      <c r="WGI44" s="31"/>
      <c r="WGJ44" s="30"/>
      <c r="WGK44" s="31"/>
      <c r="WGL44" s="30"/>
      <c r="WGM44" s="31"/>
      <c r="WGN44" s="30"/>
      <c r="WGO44" s="31"/>
      <c r="WGP44" s="30"/>
      <c r="WGQ44" s="31"/>
      <c r="WGR44" s="30"/>
      <c r="WGS44" s="31"/>
      <c r="WGT44" s="30"/>
      <c r="WGU44" s="31"/>
      <c r="WGV44" s="30"/>
      <c r="WGW44" s="31"/>
      <c r="WGX44" s="30"/>
      <c r="WGY44" s="31"/>
      <c r="WGZ44" s="30"/>
      <c r="WHA44" s="31"/>
      <c r="WHB44" s="30"/>
      <c r="WHC44" s="31"/>
      <c r="WHD44" s="30"/>
      <c r="WHE44" s="31"/>
      <c r="WHF44" s="30"/>
      <c r="WHG44" s="31"/>
      <c r="WHH44" s="30"/>
      <c r="WHI44" s="31"/>
      <c r="WHJ44" s="30"/>
      <c r="WHK44" s="31"/>
      <c r="WHL44" s="30"/>
      <c r="WHM44" s="31"/>
      <c r="WHN44" s="30"/>
      <c r="WHO44" s="31"/>
      <c r="WHP44" s="30"/>
      <c r="WHQ44" s="31"/>
      <c r="WHR44" s="30"/>
      <c r="WHS44" s="31"/>
      <c r="WHT44" s="30"/>
      <c r="WHU44" s="31"/>
      <c r="WHV44" s="30"/>
      <c r="WHW44" s="31"/>
      <c r="WHX44" s="30"/>
      <c r="WHY44" s="31"/>
      <c r="WHZ44" s="30"/>
      <c r="WIA44" s="31"/>
      <c r="WIB44" s="30"/>
      <c r="WIC44" s="31"/>
      <c r="WID44" s="30"/>
      <c r="WIE44" s="31"/>
      <c r="WIF44" s="30"/>
      <c r="WIG44" s="31"/>
      <c r="WIH44" s="30"/>
      <c r="WII44" s="31"/>
      <c r="WIJ44" s="30"/>
      <c r="WIK44" s="31"/>
      <c r="WIL44" s="30"/>
      <c r="WIM44" s="31"/>
      <c r="WIN44" s="30"/>
      <c r="WIO44" s="31"/>
      <c r="WIP44" s="30"/>
      <c r="WIQ44" s="31"/>
      <c r="WIR44" s="30"/>
      <c r="WIS44" s="31"/>
      <c r="WIT44" s="30"/>
      <c r="WIU44" s="31"/>
      <c r="WIV44" s="30"/>
      <c r="WIW44" s="31"/>
      <c r="WIX44" s="30"/>
      <c r="WIY44" s="31"/>
      <c r="WIZ44" s="30"/>
      <c r="WJA44" s="31"/>
      <c r="WJB44" s="30"/>
      <c r="WJC44" s="31"/>
      <c r="WJD44" s="30"/>
      <c r="WJE44" s="31"/>
      <c r="WJF44" s="30"/>
      <c r="WJG44" s="31"/>
      <c r="WJH44" s="30"/>
      <c r="WJI44" s="31"/>
      <c r="WJJ44" s="30"/>
      <c r="WJK44" s="31"/>
      <c r="WJL44" s="30"/>
      <c r="WJM44" s="31"/>
      <c r="WJN44" s="30"/>
      <c r="WJO44" s="31"/>
      <c r="WJP44" s="30"/>
      <c r="WJQ44" s="31"/>
      <c r="WJR44" s="30"/>
      <c r="WJS44" s="31"/>
      <c r="WJT44" s="30"/>
      <c r="WJU44" s="31"/>
      <c r="WJV44" s="30"/>
      <c r="WJW44" s="31"/>
      <c r="WJX44" s="30"/>
      <c r="WJY44" s="31"/>
      <c r="WJZ44" s="30"/>
      <c r="WKA44" s="31"/>
      <c r="WKB44" s="30"/>
      <c r="WKC44" s="31"/>
      <c r="WKD44" s="30"/>
      <c r="WKE44" s="31"/>
      <c r="WKF44" s="30"/>
      <c r="WKG44" s="31"/>
      <c r="WKH44" s="30"/>
      <c r="WKI44" s="31"/>
      <c r="WKJ44" s="30"/>
      <c r="WKK44" s="31"/>
      <c r="WKL44" s="30"/>
      <c r="WKM44" s="31"/>
      <c r="WKN44" s="30"/>
      <c r="WKO44" s="31"/>
      <c r="WKP44" s="30"/>
      <c r="WKQ44" s="31"/>
      <c r="WKR44" s="30"/>
      <c r="WKS44" s="31"/>
      <c r="WKT44" s="30"/>
      <c r="WKU44" s="31"/>
      <c r="WKV44" s="30"/>
      <c r="WKW44" s="31"/>
      <c r="WKX44" s="30"/>
      <c r="WKY44" s="31"/>
      <c r="WKZ44" s="30"/>
      <c r="WLA44" s="31"/>
      <c r="WLB44" s="30"/>
      <c r="WLC44" s="31"/>
      <c r="WLD44" s="30"/>
      <c r="WLE44" s="31"/>
      <c r="WLF44" s="30"/>
      <c r="WLG44" s="31"/>
      <c r="WLH44" s="30"/>
      <c r="WLI44" s="31"/>
      <c r="WLJ44" s="30"/>
      <c r="WLK44" s="31"/>
      <c r="WLL44" s="30"/>
      <c r="WLM44" s="31"/>
      <c r="WLN44" s="30"/>
      <c r="WLO44" s="31"/>
      <c r="WLP44" s="30"/>
      <c r="WLQ44" s="31"/>
      <c r="WLR44" s="30"/>
      <c r="WLS44" s="31"/>
      <c r="WLT44" s="30"/>
      <c r="WLU44" s="31"/>
      <c r="WLV44" s="30"/>
      <c r="WLW44" s="31"/>
      <c r="WLX44" s="30"/>
      <c r="WLY44" s="31"/>
      <c r="WLZ44" s="30"/>
      <c r="WMA44" s="31"/>
      <c r="WMB44" s="30"/>
      <c r="WMC44" s="31"/>
      <c r="WMD44" s="30"/>
      <c r="WME44" s="31"/>
      <c r="WMF44" s="30"/>
      <c r="WMG44" s="31"/>
      <c r="WMH44" s="30"/>
      <c r="WMI44" s="31"/>
      <c r="WMJ44" s="30"/>
      <c r="WMK44" s="31"/>
      <c r="WML44" s="30"/>
      <c r="WMM44" s="31"/>
      <c r="WMN44" s="30"/>
      <c r="WMO44" s="31"/>
      <c r="WMP44" s="30"/>
      <c r="WMQ44" s="31"/>
      <c r="WMR44" s="30"/>
      <c r="WMS44" s="31"/>
      <c r="WMT44" s="30"/>
      <c r="WMU44" s="31"/>
      <c r="WMV44" s="30"/>
      <c r="WMW44" s="31"/>
      <c r="WMX44" s="30"/>
      <c r="WMY44" s="31"/>
      <c r="WMZ44" s="30"/>
      <c r="WNA44" s="31"/>
      <c r="WNB44" s="30"/>
      <c r="WNC44" s="31"/>
      <c r="WND44" s="30"/>
      <c r="WNE44" s="31"/>
      <c r="WNF44" s="30"/>
      <c r="WNG44" s="31"/>
      <c r="WNH44" s="30"/>
      <c r="WNI44" s="31"/>
      <c r="WNJ44" s="30"/>
      <c r="WNK44" s="31"/>
      <c r="WNL44" s="30"/>
      <c r="WNM44" s="31"/>
      <c r="WNN44" s="30"/>
      <c r="WNO44" s="31"/>
      <c r="WNP44" s="30"/>
      <c r="WNQ44" s="31"/>
      <c r="WNR44" s="30"/>
      <c r="WNS44" s="31"/>
      <c r="WNT44" s="30"/>
      <c r="WNU44" s="31"/>
      <c r="WNV44" s="30"/>
      <c r="WNW44" s="31"/>
      <c r="WNX44" s="30"/>
      <c r="WNY44" s="31"/>
      <c r="WNZ44" s="30"/>
      <c r="WOA44" s="31"/>
      <c r="WOB44" s="30"/>
      <c r="WOC44" s="31"/>
      <c r="WOD44" s="30"/>
      <c r="WOE44" s="31"/>
      <c r="WOF44" s="30"/>
      <c r="WOG44" s="31"/>
      <c r="WOH44" s="30"/>
      <c r="WOI44" s="31"/>
      <c r="WOJ44" s="30"/>
      <c r="WOK44" s="31"/>
      <c r="WOL44" s="30"/>
      <c r="WOM44" s="31"/>
      <c r="WON44" s="30"/>
      <c r="WOO44" s="31"/>
      <c r="WOP44" s="30"/>
      <c r="WOQ44" s="31"/>
      <c r="WOR44" s="30"/>
      <c r="WOS44" s="31"/>
      <c r="WOT44" s="30"/>
      <c r="WOU44" s="31"/>
      <c r="WOV44" s="30"/>
      <c r="WOW44" s="31"/>
      <c r="WOX44" s="30"/>
      <c r="WOY44" s="31"/>
      <c r="WOZ44" s="30"/>
      <c r="WPA44" s="31"/>
      <c r="WPB44" s="30"/>
      <c r="WPC44" s="31"/>
      <c r="WPD44" s="30"/>
      <c r="WPE44" s="31"/>
      <c r="WPF44" s="30"/>
      <c r="WPG44" s="31"/>
      <c r="WPH44" s="30"/>
      <c r="WPI44" s="31"/>
      <c r="WPJ44" s="30"/>
      <c r="WPK44" s="31"/>
      <c r="WPL44" s="30"/>
      <c r="WPM44" s="31"/>
      <c r="WPN44" s="30"/>
      <c r="WPO44" s="31"/>
      <c r="WPP44" s="30"/>
      <c r="WPQ44" s="31"/>
      <c r="WPR44" s="30"/>
      <c r="WPS44" s="31"/>
      <c r="WPT44" s="30"/>
      <c r="WPU44" s="31"/>
      <c r="WPV44" s="30"/>
      <c r="WPW44" s="31"/>
      <c r="WPX44" s="30"/>
      <c r="WPY44" s="31"/>
      <c r="WPZ44" s="30"/>
      <c r="WQA44" s="31"/>
      <c r="WQB44" s="30"/>
      <c r="WQC44" s="31"/>
      <c r="WQD44" s="30"/>
      <c r="WQE44" s="31"/>
      <c r="WQF44" s="30"/>
      <c r="WQG44" s="31"/>
      <c r="WQH44" s="30"/>
      <c r="WQI44" s="31"/>
      <c r="WQJ44" s="30"/>
      <c r="WQK44" s="31"/>
      <c r="WQL44" s="30"/>
      <c r="WQM44" s="31"/>
      <c r="WQN44" s="30"/>
      <c r="WQO44" s="31"/>
      <c r="WQP44" s="30"/>
      <c r="WQQ44" s="31"/>
      <c r="WQR44" s="30"/>
      <c r="WQS44" s="31"/>
      <c r="WQT44" s="30"/>
      <c r="WQU44" s="31"/>
      <c r="WQV44" s="30"/>
      <c r="WQW44" s="31"/>
      <c r="WQX44" s="30"/>
      <c r="WQY44" s="31"/>
      <c r="WQZ44" s="30"/>
      <c r="WRA44" s="31"/>
      <c r="WRB44" s="30"/>
      <c r="WRC44" s="31"/>
      <c r="WRD44" s="30"/>
      <c r="WRE44" s="31"/>
      <c r="WRF44" s="30"/>
      <c r="WRG44" s="31"/>
      <c r="WRH44" s="30"/>
      <c r="WRI44" s="31"/>
      <c r="WRJ44" s="30"/>
      <c r="WRK44" s="31"/>
      <c r="WRL44" s="30"/>
      <c r="WRM44" s="31"/>
      <c r="WRN44" s="30"/>
      <c r="WRO44" s="31"/>
      <c r="WRP44" s="30"/>
      <c r="WRQ44" s="31"/>
      <c r="WRR44" s="30"/>
      <c r="WRS44" s="31"/>
      <c r="WRT44" s="30"/>
      <c r="WRU44" s="31"/>
      <c r="WRV44" s="30"/>
      <c r="WRW44" s="31"/>
      <c r="WRX44" s="30"/>
      <c r="WRY44" s="31"/>
      <c r="WRZ44" s="30"/>
      <c r="WSA44" s="31"/>
      <c r="WSB44" s="30"/>
      <c r="WSC44" s="31"/>
      <c r="WSD44" s="30"/>
      <c r="WSE44" s="31"/>
      <c r="WSF44" s="30"/>
      <c r="WSG44" s="31"/>
      <c r="WSH44" s="30"/>
      <c r="WSI44" s="31"/>
      <c r="WSJ44" s="30"/>
      <c r="WSK44" s="31"/>
      <c r="WSL44" s="30"/>
      <c r="WSM44" s="31"/>
      <c r="WSN44" s="30"/>
      <c r="WSO44" s="31"/>
      <c r="WSP44" s="30"/>
      <c r="WSQ44" s="31"/>
      <c r="WSR44" s="30"/>
      <c r="WSS44" s="31"/>
      <c r="WST44" s="30"/>
      <c r="WSU44" s="31"/>
      <c r="WSV44" s="30"/>
      <c r="WSW44" s="31"/>
      <c r="WSX44" s="30"/>
      <c r="WSY44" s="31"/>
      <c r="WSZ44" s="30"/>
      <c r="WTA44" s="31"/>
      <c r="WTB44" s="30"/>
      <c r="WTC44" s="31"/>
      <c r="WTD44" s="30"/>
      <c r="WTE44" s="31"/>
      <c r="WTF44" s="30"/>
      <c r="WTG44" s="31"/>
      <c r="WTH44" s="30"/>
      <c r="WTI44" s="31"/>
      <c r="WTJ44" s="30"/>
      <c r="WTK44" s="31"/>
      <c r="WTL44" s="30"/>
      <c r="WTM44" s="31"/>
      <c r="WTN44" s="30"/>
      <c r="WTO44" s="31"/>
      <c r="WTP44" s="30"/>
      <c r="WTQ44" s="31"/>
      <c r="WTR44" s="30"/>
      <c r="WTS44" s="31"/>
      <c r="WTT44" s="30"/>
      <c r="WTU44" s="31"/>
      <c r="WTV44" s="30"/>
      <c r="WTW44" s="31"/>
      <c r="WTX44" s="30"/>
      <c r="WTY44" s="31"/>
      <c r="WTZ44" s="30"/>
      <c r="WUA44" s="31"/>
      <c r="WUB44" s="30"/>
      <c r="WUC44" s="31"/>
      <c r="WUD44" s="30"/>
      <c r="WUE44" s="31"/>
      <c r="WUF44" s="30"/>
      <c r="WUG44" s="31"/>
      <c r="WUH44" s="30"/>
      <c r="WUI44" s="31"/>
      <c r="WUJ44" s="30"/>
      <c r="WUK44" s="31"/>
      <c r="WUL44" s="30"/>
      <c r="WUM44" s="31"/>
      <c r="WUN44" s="30"/>
      <c r="WUO44" s="31"/>
      <c r="WUP44" s="30"/>
      <c r="WUQ44" s="31"/>
      <c r="WUR44" s="30"/>
      <c r="WUS44" s="31"/>
      <c r="WUT44" s="30"/>
      <c r="WUU44" s="31"/>
      <c r="WUV44" s="30"/>
      <c r="WUW44" s="31"/>
      <c r="WUX44" s="30"/>
      <c r="WUY44" s="31"/>
      <c r="WUZ44" s="30"/>
      <c r="WVA44" s="31"/>
      <c r="WVB44" s="30"/>
      <c r="WVC44" s="31"/>
      <c r="WVD44" s="30"/>
      <c r="WVE44" s="31"/>
      <c r="WVF44" s="30"/>
      <c r="WVG44" s="31"/>
      <c r="WVH44" s="30"/>
      <c r="WVI44" s="31"/>
      <c r="WVJ44" s="30"/>
      <c r="WVK44" s="31"/>
      <c r="WVL44" s="30"/>
      <c r="WVM44" s="31"/>
      <c r="WVN44" s="30"/>
      <c r="WVO44" s="31"/>
      <c r="WVP44" s="30"/>
      <c r="WVQ44" s="31"/>
      <c r="WVR44" s="30"/>
      <c r="WVS44" s="31"/>
      <c r="WVT44" s="30"/>
      <c r="WVU44" s="31"/>
      <c r="WVV44" s="30"/>
      <c r="WVW44" s="31"/>
      <c r="WVX44" s="30"/>
      <c r="WVY44" s="31"/>
      <c r="WVZ44" s="30"/>
      <c r="WWA44" s="31"/>
      <c r="WWB44" s="30"/>
      <c r="WWC44" s="31"/>
      <c r="WWD44" s="30"/>
      <c r="WWE44" s="31"/>
      <c r="WWF44" s="30"/>
      <c r="WWG44" s="31"/>
      <c r="WWH44" s="30"/>
      <c r="WWI44" s="31"/>
      <c r="WWJ44" s="30"/>
      <c r="WWK44" s="31"/>
      <c r="WWL44" s="30"/>
      <c r="WWM44" s="31"/>
      <c r="WWN44" s="30"/>
      <c r="WWO44" s="31"/>
      <c r="WWP44" s="30"/>
      <c r="WWQ44" s="31"/>
      <c r="WWR44" s="30"/>
      <c r="WWS44" s="31"/>
      <c r="WWT44" s="30"/>
      <c r="WWU44" s="31"/>
      <c r="WWV44" s="30"/>
      <c r="WWW44" s="31"/>
      <c r="WWX44" s="30"/>
      <c r="WWY44" s="31"/>
      <c r="WWZ44" s="30"/>
      <c r="WXA44" s="31"/>
      <c r="WXB44" s="30"/>
      <c r="WXC44" s="31"/>
      <c r="WXD44" s="30"/>
      <c r="WXE44" s="31"/>
      <c r="WXF44" s="30"/>
      <c r="WXG44" s="31"/>
      <c r="WXH44" s="30"/>
      <c r="WXI44" s="31"/>
      <c r="WXJ44" s="30"/>
      <c r="WXK44" s="31"/>
      <c r="WXL44" s="30"/>
      <c r="WXM44" s="31"/>
      <c r="WXN44" s="30"/>
      <c r="WXO44" s="31"/>
      <c r="WXP44" s="30"/>
      <c r="WXQ44" s="31"/>
      <c r="WXR44" s="30"/>
      <c r="WXS44" s="31"/>
      <c r="WXT44" s="30"/>
      <c r="WXU44" s="31"/>
      <c r="WXV44" s="30"/>
      <c r="WXW44" s="31"/>
      <c r="WXX44" s="30"/>
      <c r="WXY44" s="31"/>
      <c r="WXZ44" s="30"/>
      <c r="WYA44" s="31"/>
      <c r="WYB44" s="30"/>
      <c r="WYC44" s="31"/>
      <c r="WYD44" s="30"/>
      <c r="WYE44" s="31"/>
      <c r="WYF44" s="30"/>
      <c r="WYG44" s="31"/>
      <c r="WYH44" s="30"/>
      <c r="WYI44" s="31"/>
      <c r="WYJ44" s="30"/>
      <c r="WYK44" s="31"/>
      <c r="WYL44" s="30"/>
      <c r="WYM44" s="31"/>
      <c r="WYN44" s="30"/>
      <c r="WYO44" s="31"/>
      <c r="WYP44" s="30"/>
      <c r="WYQ44" s="31"/>
      <c r="WYR44" s="30"/>
      <c r="WYS44" s="31"/>
      <c r="WYT44" s="30"/>
      <c r="WYU44" s="31"/>
      <c r="WYV44" s="30"/>
      <c r="WYW44" s="31"/>
      <c r="WYX44" s="30"/>
      <c r="WYY44" s="31"/>
      <c r="WYZ44" s="30"/>
      <c r="WZA44" s="31"/>
      <c r="WZB44" s="30"/>
      <c r="WZC44" s="31"/>
      <c r="WZD44" s="30"/>
      <c r="WZE44" s="31"/>
      <c r="WZF44" s="30"/>
      <c r="WZG44" s="31"/>
      <c r="WZH44" s="30"/>
      <c r="WZI44" s="31"/>
      <c r="WZJ44" s="30"/>
      <c r="WZK44" s="31"/>
      <c r="WZL44" s="30"/>
      <c r="WZM44" s="31"/>
      <c r="WZN44" s="30"/>
      <c r="WZO44" s="31"/>
      <c r="WZP44" s="30"/>
      <c r="WZQ44" s="31"/>
      <c r="WZR44" s="30"/>
      <c r="WZS44" s="31"/>
      <c r="WZT44" s="30"/>
      <c r="WZU44" s="31"/>
      <c r="WZV44" s="30"/>
      <c r="WZW44" s="31"/>
      <c r="WZX44" s="30"/>
      <c r="WZY44" s="31"/>
      <c r="WZZ44" s="30"/>
      <c r="XAA44" s="31"/>
      <c r="XAB44" s="30"/>
      <c r="XAC44" s="31"/>
      <c r="XAD44" s="30"/>
      <c r="XAE44" s="31"/>
      <c r="XAF44" s="30"/>
      <c r="XAG44" s="31"/>
      <c r="XAH44" s="30"/>
      <c r="XAI44" s="31"/>
      <c r="XAJ44" s="30"/>
      <c r="XAK44" s="31"/>
      <c r="XAL44" s="30"/>
      <c r="XAM44" s="31"/>
      <c r="XAN44" s="30"/>
      <c r="XAO44" s="31"/>
      <c r="XAP44" s="30"/>
      <c r="XAQ44" s="31"/>
      <c r="XAR44" s="30"/>
      <c r="XAS44" s="31"/>
      <c r="XAT44" s="30"/>
      <c r="XAU44" s="31"/>
      <c r="XAV44" s="30"/>
      <c r="XAW44" s="31"/>
      <c r="XAX44" s="30"/>
      <c r="XAY44" s="31"/>
      <c r="XAZ44" s="30"/>
      <c r="XBA44" s="31"/>
      <c r="XBB44" s="30"/>
      <c r="XBC44" s="31"/>
      <c r="XBD44" s="30"/>
      <c r="XBE44" s="31"/>
      <c r="XBF44" s="30"/>
      <c r="XBG44" s="31"/>
      <c r="XBH44" s="30"/>
      <c r="XBI44" s="31"/>
      <c r="XBJ44" s="30"/>
      <c r="XBK44" s="31"/>
      <c r="XBL44" s="30"/>
      <c r="XBM44" s="31"/>
      <c r="XBN44" s="30"/>
      <c r="XBO44" s="31"/>
      <c r="XBP44" s="30"/>
      <c r="XBQ44" s="31"/>
      <c r="XBR44" s="30"/>
      <c r="XBS44" s="31"/>
      <c r="XBT44" s="30"/>
      <c r="XBU44" s="31"/>
      <c r="XBV44" s="30"/>
      <c r="XBW44" s="31"/>
      <c r="XBX44" s="30"/>
      <c r="XBY44" s="31"/>
      <c r="XBZ44" s="30"/>
      <c r="XCA44" s="31"/>
      <c r="XCB44" s="30"/>
      <c r="XCC44" s="31"/>
      <c r="XCD44" s="30"/>
      <c r="XCE44" s="31"/>
      <c r="XCF44" s="30"/>
      <c r="XCG44" s="31"/>
      <c r="XCH44" s="30"/>
      <c r="XCI44" s="31"/>
      <c r="XCJ44" s="30"/>
      <c r="XCK44" s="31"/>
      <c r="XCL44" s="30"/>
      <c r="XCM44" s="31"/>
      <c r="XCN44" s="30"/>
      <c r="XCO44" s="31"/>
      <c r="XCP44" s="30"/>
      <c r="XCQ44" s="31"/>
      <c r="XCR44" s="30"/>
      <c r="XCS44" s="31"/>
      <c r="XCT44" s="30"/>
      <c r="XCU44" s="31"/>
      <c r="XCV44" s="30"/>
      <c r="XCW44" s="31"/>
      <c r="XCX44" s="30"/>
      <c r="XCY44" s="31"/>
      <c r="XCZ44" s="30"/>
      <c r="XDA44" s="31"/>
      <c r="XDB44" s="30"/>
      <c r="XDC44" s="31"/>
      <c r="XDD44" s="30"/>
      <c r="XDE44" s="31"/>
      <c r="XDF44" s="30"/>
      <c r="XDG44" s="31"/>
      <c r="XDH44" s="30"/>
      <c r="XDI44" s="31"/>
      <c r="XDJ44" s="30"/>
      <c r="XDK44" s="31"/>
      <c r="XDL44" s="30"/>
      <c r="XDM44" s="31"/>
      <c r="XDN44" s="30"/>
      <c r="XDO44" s="31"/>
      <c r="XDP44" s="30"/>
      <c r="XDQ44" s="31"/>
      <c r="XDR44" s="30"/>
      <c r="XDS44" s="31"/>
      <c r="XDT44" s="30"/>
      <c r="XDU44" s="31"/>
      <c r="XDV44" s="30"/>
      <c r="XDW44" s="31"/>
      <c r="XDX44" s="30"/>
      <c r="XDY44" s="31"/>
      <c r="XDZ44" s="30"/>
      <c r="XEA44" s="31"/>
      <c r="XEB44" s="30"/>
      <c r="XEC44" s="31"/>
      <c r="XED44" s="30"/>
      <c r="XEE44" s="31"/>
      <c r="XEF44" s="30"/>
      <c r="XEG44" s="31"/>
      <c r="XEH44" s="30"/>
      <c r="XEI44" s="31"/>
      <c r="XEJ44" s="30"/>
      <c r="XEK44" s="31"/>
      <c r="XEL44" s="30"/>
      <c r="XEM44" s="31"/>
      <c r="XEN44" s="30"/>
      <c r="XEO44" s="31"/>
      <c r="XEP44" s="30"/>
      <c r="XEQ44" s="31"/>
      <c r="XER44" s="30"/>
      <c r="XES44" s="31"/>
      <c r="XET44" s="30"/>
    </row>
    <row r="45" spans="2:16374" s="28" customFormat="1" ht="17" customHeight="1" thickBot="1">
      <c r="B45" s="34"/>
      <c r="C45" s="34" t="s">
        <v>10</v>
      </c>
      <c r="D45" s="34">
        <f>D40/D42</f>
        <v>1.4452380952380952</v>
      </c>
      <c r="E45" s="34"/>
      <c r="F45" s="34"/>
      <c r="G45" s="191"/>
      <c r="H45" s="191"/>
      <c r="I45" s="34"/>
      <c r="J45" s="31"/>
      <c r="K45" s="42"/>
      <c r="L45" s="189"/>
      <c r="M45" s="42"/>
      <c r="N45" s="189"/>
      <c r="O45" s="42"/>
      <c r="P45" s="30"/>
      <c r="Q45" s="34"/>
      <c r="R45" s="34"/>
      <c r="S45" s="34"/>
      <c r="T45" s="34"/>
      <c r="U45" s="34"/>
      <c r="V45" s="34"/>
      <c r="W45" s="34"/>
      <c r="X45" s="34"/>
      <c r="Y45" s="34"/>
      <c r="Z45" s="34"/>
      <c r="AA45" s="34"/>
      <c r="AB45" s="34"/>
      <c r="AC45" s="34"/>
      <c r="AD45" s="34"/>
      <c r="AE45" s="34"/>
      <c r="AV45" s="30"/>
      <c r="AW45" s="31"/>
      <c r="AX45" s="30"/>
      <c r="AY45" s="31"/>
      <c r="AZ45" s="30"/>
      <c r="BA45" s="31"/>
      <c r="BB45" s="30"/>
      <c r="BC45" s="31"/>
      <c r="BD45" s="30"/>
      <c r="BE45" s="31"/>
      <c r="BF45" s="30"/>
      <c r="BG45" s="31"/>
      <c r="BH45" s="30"/>
      <c r="BI45" s="31"/>
      <c r="BJ45" s="30"/>
      <c r="BK45" s="31"/>
      <c r="BL45" s="30"/>
      <c r="BM45" s="31"/>
      <c r="BN45" s="30"/>
      <c r="BO45" s="31"/>
      <c r="BP45" s="30"/>
      <c r="BQ45" s="31"/>
      <c r="BR45" s="30"/>
      <c r="BS45" s="31"/>
      <c r="BT45" s="30"/>
      <c r="BU45" s="31"/>
      <c r="BV45" s="30"/>
      <c r="BW45" s="31"/>
      <c r="BX45" s="30"/>
      <c r="BY45" s="31"/>
      <c r="BZ45" s="30"/>
      <c r="CA45" s="31"/>
      <c r="CB45" s="30"/>
      <c r="CC45" s="31"/>
      <c r="CD45" s="30"/>
      <c r="CE45" s="31"/>
      <c r="CF45" s="30"/>
      <c r="CG45" s="31"/>
      <c r="CH45" s="30"/>
      <c r="CI45" s="31"/>
      <c r="CJ45" s="30"/>
      <c r="CK45" s="31"/>
      <c r="CL45" s="30"/>
      <c r="CM45" s="31"/>
      <c r="CN45" s="30"/>
      <c r="CO45" s="31"/>
      <c r="CP45" s="30"/>
      <c r="CQ45" s="31"/>
      <c r="CR45" s="30"/>
      <c r="CS45" s="31"/>
      <c r="CT45" s="30"/>
      <c r="CU45" s="31"/>
      <c r="CV45" s="30"/>
      <c r="CW45" s="31"/>
      <c r="CX45" s="30"/>
      <c r="CY45" s="31"/>
      <c r="CZ45" s="30"/>
      <c r="DA45" s="31"/>
      <c r="DB45" s="30"/>
      <c r="DC45" s="31"/>
      <c r="DD45" s="30"/>
      <c r="DE45" s="31"/>
      <c r="DF45" s="30"/>
      <c r="DG45" s="31"/>
      <c r="DH45" s="30"/>
      <c r="DI45" s="31"/>
      <c r="DJ45" s="30"/>
      <c r="DK45" s="31"/>
      <c r="DL45" s="30"/>
      <c r="DM45" s="31"/>
      <c r="DN45" s="30"/>
      <c r="DO45" s="31"/>
      <c r="DP45" s="30"/>
      <c r="DQ45" s="31"/>
      <c r="DR45" s="30"/>
      <c r="DS45" s="31"/>
      <c r="DT45" s="30"/>
      <c r="DU45" s="31"/>
      <c r="DV45" s="30"/>
      <c r="DW45" s="31"/>
      <c r="DX45" s="30"/>
      <c r="DY45" s="31"/>
      <c r="DZ45" s="30"/>
      <c r="EA45" s="31"/>
      <c r="EB45" s="30"/>
      <c r="EC45" s="31"/>
      <c r="ED45" s="30"/>
      <c r="EE45" s="31"/>
      <c r="EF45" s="30"/>
      <c r="EG45" s="31"/>
      <c r="EH45" s="30"/>
      <c r="EI45" s="31"/>
      <c r="EJ45" s="30"/>
      <c r="EK45" s="31"/>
      <c r="EL45" s="30"/>
      <c r="EM45" s="31"/>
      <c r="EN45" s="30"/>
      <c r="EO45" s="31"/>
      <c r="EP45" s="30"/>
      <c r="EQ45" s="31"/>
      <c r="ER45" s="30"/>
      <c r="ES45" s="31"/>
      <c r="ET45" s="30"/>
      <c r="EU45" s="31"/>
      <c r="EV45" s="30"/>
      <c r="EW45" s="31"/>
      <c r="EX45" s="30"/>
      <c r="EY45" s="31"/>
      <c r="EZ45" s="30"/>
      <c r="FA45" s="31"/>
      <c r="FB45" s="30"/>
      <c r="FC45" s="31"/>
      <c r="FD45" s="30"/>
      <c r="FE45" s="31"/>
      <c r="FF45" s="30"/>
      <c r="FG45" s="31"/>
      <c r="FH45" s="30"/>
      <c r="FI45" s="31"/>
      <c r="FJ45" s="30"/>
      <c r="FK45" s="31"/>
      <c r="FL45" s="30"/>
      <c r="FM45" s="31"/>
      <c r="FN45" s="30"/>
      <c r="FO45" s="31"/>
      <c r="FP45" s="30"/>
      <c r="FQ45" s="31"/>
      <c r="FR45" s="30"/>
      <c r="FS45" s="31"/>
      <c r="FT45" s="30"/>
      <c r="FU45" s="31"/>
      <c r="FV45" s="30"/>
      <c r="FW45" s="31"/>
      <c r="FX45" s="30"/>
      <c r="FY45" s="31"/>
      <c r="FZ45" s="30"/>
      <c r="GA45" s="31"/>
      <c r="GB45" s="30"/>
      <c r="GC45" s="31"/>
      <c r="GD45" s="30"/>
      <c r="GE45" s="31"/>
      <c r="GF45" s="30"/>
      <c r="GG45" s="31"/>
      <c r="GH45" s="30"/>
      <c r="GI45" s="31"/>
      <c r="GJ45" s="30"/>
      <c r="GK45" s="31"/>
      <c r="GL45" s="30"/>
      <c r="GM45" s="31"/>
      <c r="GN45" s="30"/>
      <c r="GO45" s="31"/>
      <c r="GP45" s="30"/>
      <c r="GQ45" s="31"/>
      <c r="GR45" s="30"/>
      <c r="GS45" s="31"/>
      <c r="GT45" s="30"/>
      <c r="GU45" s="31"/>
      <c r="GV45" s="30"/>
      <c r="GW45" s="31"/>
      <c r="GX45" s="30"/>
      <c r="GY45" s="31"/>
      <c r="GZ45" s="30"/>
      <c r="HA45" s="31"/>
      <c r="HB45" s="30"/>
      <c r="HC45" s="31"/>
      <c r="HD45" s="30"/>
      <c r="HE45" s="31"/>
      <c r="HF45" s="30"/>
      <c r="HG45" s="31"/>
      <c r="HH45" s="30"/>
      <c r="HI45" s="31"/>
      <c r="HJ45" s="30"/>
      <c r="HK45" s="31"/>
      <c r="HL45" s="30"/>
      <c r="HM45" s="31"/>
      <c r="HN45" s="30"/>
      <c r="HO45" s="31"/>
      <c r="HP45" s="30"/>
      <c r="HQ45" s="31"/>
      <c r="HR45" s="30"/>
      <c r="HS45" s="31"/>
      <c r="HT45" s="30"/>
      <c r="HU45" s="31"/>
      <c r="HV45" s="30"/>
      <c r="HW45" s="31"/>
      <c r="HX45" s="30"/>
      <c r="HY45" s="31"/>
      <c r="HZ45" s="30"/>
      <c r="IA45" s="31"/>
      <c r="IB45" s="30"/>
      <c r="IC45" s="31"/>
      <c r="ID45" s="30"/>
      <c r="IE45" s="31"/>
      <c r="IF45" s="30"/>
      <c r="IG45" s="31"/>
      <c r="IH45" s="30"/>
      <c r="II45" s="31"/>
      <c r="IJ45" s="30"/>
      <c r="IK45" s="31"/>
      <c r="IL45" s="30"/>
      <c r="IM45" s="31"/>
      <c r="IN45" s="30"/>
      <c r="IO45" s="31"/>
      <c r="IP45" s="30"/>
      <c r="IQ45" s="31"/>
      <c r="IR45" s="30"/>
      <c r="IS45" s="31"/>
      <c r="IT45" s="30"/>
      <c r="IU45" s="31"/>
      <c r="IV45" s="30"/>
      <c r="IW45" s="31"/>
      <c r="IX45" s="30"/>
      <c r="IY45" s="31"/>
      <c r="IZ45" s="30"/>
      <c r="JA45" s="31"/>
      <c r="JB45" s="30"/>
      <c r="JC45" s="31"/>
      <c r="JD45" s="30"/>
      <c r="JE45" s="31"/>
      <c r="JF45" s="30"/>
      <c r="JG45" s="31"/>
      <c r="JH45" s="30"/>
      <c r="JI45" s="31"/>
      <c r="JJ45" s="30"/>
      <c r="JK45" s="31"/>
      <c r="JL45" s="30"/>
      <c r="JM45" s="31"/>
      <c r="JN45" s="30"/>
      <c r="JO45" s="31"/>
      <c r="JP45" s="30"/>
      <c r="JQ45" s="31"/>
      <c r="JR45" s="30"/>
      <c r="JS45" s="31"/>
      <c r="JT45" s="30"/>
      <c r="JU45" s="31"/>
      <c r="JV45" s="30"/>
      <c r="JW45" s="31"/>
      <c r="JX45" s="30"/>
      <c r="JY45" s="31"/>
      <c r="JZ45" s="30"/>
      <c r="KA45" s="31"/>
      <c r="KB45" s="30"/>
      <c r="KC45" s="31"/>
      <c r="KD45" s="30"/>
      <c r="KE45" s="31"/>
      <c r="KF45" s="30"/>
      <c r="KG45" s="31"/>
      <c r="KH45" s="30"/>
      <c r="KI45" s="31"/>
      <c r="KJ45" s="30"/>
      <c r="KK45" s="31"/>
      <c r="KL45" s="30"/>
      <c r="KM45" s="31"/>
      <c r="KN45" s="30"/>
      <c r="KO45" s="31"/>
      <c r="KP45" s="30"/>
      <c r="KQ45" s="31"/>
      <c r="KR45" s="30"/>
      <c r="KS45" s="31"/>
      <c r="KT45" s="30"/>
      <c r="KU45" s="31"/>
      <c r="KV45" s="30"/>
      <c r="KW45" s="31"/>
      <c r="KX45" s="30"/>
      <c r="KY45" s="31"/>
      <c r="KZ45" s="30"/>
      <c r="LA45" s="31"/>
      <c r="LB45" s="30"/>
      <c r="LC45" s="31"/>
      <c r="LD45" s="30"/>
      <c r="LE45" s="31"/>
      <c r="LF45" s="30"/>
      <c r="LG45" s="31"/>
      <c r="LH45" s="30"/>
      <c r="LI45" s="31"/>
      <c r="LJ45" s="30"/>
      <c r="LK45" s="31"/>
      <c r="LL45" s="30"/>
      <c r="LM45" s="31"/>
      <c r="LN45" s="30"/>
      <c r="LO45" s="31"/>
      <c r="LP45" s="30"/>
      <c r="LQ45" s="31"/>
      <c r="LR45" s="30"/>
      <c r="LS45" s="31"/>
      <c r="LT45" s="30"/>
      <c r="LU45" s="31"/>
      <c r="LV45" s="30"/>
      <c r="LW45" s="31"/>
      <c r="LX45" s="30"/>
      <c r="LY45" s="31"/>
      <c r="LZ45" s="30"/>
      <c r="MA45" s="31"/>
      <c r="MB45" s="30"/>
      <c r="MC45" s="31"/>
      <c r="MD45" s="30"/>
      <c r="ME45" s="31"/>
      <c r="MF45" s="30"/>
      <c r="MG45" s="31"/>
      <c r="MH45" s="30"/>
      <c r="MI45" s="31"/>
      <c r="MJ45" s="30"/>
      <c r="MK45" s="31"/>
      <c r="ML45" s="30"/>
      <c r="MM45" s="31"/>
      <c r="MN45" s="30"/>
      <c r="MO45" s="31"/>
      <c r="MP45" s="30"/>
      <c r="MQ45" s="31"/>
      <c r="MR45" s="30"/>
      <c r="MS45" s="31"/>
      <c r="MT45" s="30"/>
      <c r="MU45" s="31"/>
      <c r="MV45" s="30"/>
      <c r="MW45" s="31"/>
      <c r="MX45" s="30"/>
      <c r="MY45" s="31"/>
      <c r="MZ45" s="30"/>
      <c r="NA45" s="31"/>
      <c r="NB45" s="30"/>
      <c r="NC45" s="31"/>
      <c r="ND45" s="30"/>
      <c r="NE45" s="31"/>
      <c r="NF45" s="30"/>
      <c r="NG45" s="31"/>
      <c r="NH45" s="30"/>
      <c r="NI45" s="31"/>
      <c r="NJ45" s="30"/>
      <c r="NK45" s="31"/>
      <c r="NL45" s="30"/>
      <c r="NM45" s="31"/>
      <c r="NN45" s="30"/>
      <c r="NO45" s="31"/>
      <c r="NP45" s="30"/>
      <c r="NQ45" s="31"/>
      <c r="NR45" s="30"/>
      <c r="NS45" s="31"/>
      <c r="NT45" s="30"/>
      <c r="NU45" s="31"/>
      <c r="NV45" s="30"/>
      <c r="NW45" s="31"/>
      <c r="NX45" s="30"/>
      <c r="NY45" s="31"/>
      <c r="NZ45" s="30"/>
      <c r="OA45" s="31"/>
      <c r="OB45" s="30"/>
      <c r="OC45" s="31"/>
      <c r="OD45" s="30"/>
      <c r="OE45" s="31"/>
      <c r="OF45" s="30"/>
      <c r="OG45" s="31"/>
      <c r="OH45" s="30"/>
      <c r="OI45" s="31"/>
      <c r="OJ45" s="30"/>
      <c r="OK45" s="31"/>
      <c r="OL45" s="30"/>
      <c r="OM45" s="31"/>
      <c r="ON45" s="30"/>
      <c r="OO45" s="31"/>
      <c r="OP45" s="30"/>
      <c r="OQ45" s="31"/>
      <c r="OR45" s="30"/>
      <c r="OS45" s="31"/>
      <c r="OT45" s="30"/>
      <c r="OU45" s="31"/>
      <c r="OV45" s="30"/>
      <c r="OW45" s="31"/>
      <c r="OX45" s="30"/>
      <c r="OY45" s="31"/>
      <c r="OZ45" s="30"/>
      <c r="PA45" s="31"/>
      <c r="PB45" s="30"/>
      <c r="PC45" s="31"/>
      <c r="PD45" s="30"/>
      <c r="PE45" s="31"/>
      <c r="PF45" s="30"/>
      <c r="PG45" s="31"/>
      <c r="PH45" s="30"/>
      <c r="PI45" s="31"/>
      <c r="PJ45" s="30"/>
      <c r="PK45" s="31"/>
      <c r="PL45" s="30"/>
      <c r="PM45" s="31"/>
      <c r="PN45" s="30"/>
      <c r="PO45" s="31"/>
      <c r="PP45" s="30"/>
      <c r="PQ45" s="31"/>
      <c r="PR45" s="30"/>
      <c r="PS45" s="31"/>
      <c r="PT45" s="30"/>
      <c r="PU45" s="31"/>
      <c r="PV45" s="30"/>
      <c r="PW45" s="31"/>
      <c r="PX45" s="30"/>
      <c r="PY45" s="31"/>
      <c r="PZ45" s="30"/>
      <c r="QA45" s="31"/>
      <c r="QB45" s="30"/>
      <c r="QC45" s="31"/>
      <c r="QD45" s="30"/>
      <c r="QE45" s="31"/>
      <c r="QF45" s="30"/>
      <c r="QG45" s="31"/>
      <c r="QH45" s="30"/>
      <c r="QI45" s="31"/>
      <c r="QJ45" s="30"/>
      <c r="QK45" s="31"/>
      <c r="QL45" s="30"/>
      <c r="QM45" s="31"/>
      <c r="QN45" s="30"/>
      <c r="QO45" s="31"/>
      <c r="QP45" s="30"/>
      <c r="QQ45" s="31"/>
      <c r="QR45" s="30"/>
      <c r="QS45" s="31"/>
      <c r="QT45" s="30"/>
      <c r="QU45" s="31"/>
      <c r="QV45" s="30"/>
      <c r="QW45" s="31"/>
      <c r="QX45" s="30"/>
      <c r="QY45" s="31"/>
      <c r="QZ45" s="30"/>
      <c r="RA45" s="31"/>
      <c r="RB45" s="30"/>
      <c r="RC45" s="31"/>
      <c r="RD45" s="30"/>
      <c r="RE45" s="31"/>
      <c r="RF45" s="30"/>
      <c r="RG45" s="31"/>
      <c r="RH45" s="30"/>
      <c r="RI45" s="31"/>
      <c r="RJ45" s="30"/>
      <c r="RK45" s="31"/>
      <c r="RL45" s="30"/>
      <c r="RM45" s="31"/>
      <c r="RN45" s="30"/>
      <c r="RO45" s="31"/>
      <c r="RP45" s="30"/>
      <c r="RQ45" s="31"/>
      <c r="RR45" s="30"/>
      <c r="RS45" s="31"/>
      <c r="RT45" s="30"/>
      <c r="RU45" s="31"/>
      <c r="RV45" s="30"/>
      <c r="RW45" s="31"/>
      <c r="RX45" s="30"/>
      <c r="RY45" s="31"/>
      <c r="RZ45" s="30"/>
      <c r="SA45" s="31"/>
      <c r="SB45" s="30"/>
      <c r="SC45" s="31"/>
      <c r="SD45" s="30"/>
      <c r="SE45" s="31"/>
      <c r="SF45" s="30"/>
      <c r="SG45" s="31"/>
      <c r="SH45" s="30"/>
      <c r="SI45" s="31"/>
      <c r="SJ45" s="30"/>
      <c r="SK45" s="31"/>
      <c r="SL45" s="30"/>
      <c r="SM45" s="31"/>
      <c r="SN45" s="30"/>
      <c r="SO45" s="31"/>
      <c r="SP45" s="30"/>
      <c r="SQ45" s="31"/>
      <c r="SR45" s="30"/>
      <c r="SS45" s="31"/>
      <c r="ST45" s="30"/>
      <c r="SU45" s="31"/>
      <c r="SV45" s="30"/>
      <c r="SW45" s="31"/>
      <c r="SX45" s="30"/>
      <c r="SY45" s="31"/>
      <c r="SZ45" s="30"/>
      <c r="TA45" s="31"/>
      <c r="TB45" s="30"/>
      <c r="TC45" s="31"/>
      <c r="TD45" s="30"/>
      <c r="TE45" s="31"/>
      <c r="TF45" s="30"/>
      <c r="TG45" s="31"/>
      <c r="TH45" s="30"/>
      <c r="TI45" s="31"/>
      <c r="TJ45" s="30"/>
      <c r="TK45" s="31"/>
      <c r="TL45" s="30"/>
      <c r="TM45" s="31"/>
      <c r="TN45" s="30"/>
      <c r="TO45" s="31"/>
      <c r="TP45" s="30"/>
      <c r="TQ45" s="31"/>
      <c r="TR45" s="30"/>
      <c r="TS45" s="31"/>
      <c r="TT45" s="30"/>
      <c r="TU45" s="31"/>
      <c r="TV45" s="30"/>
      <c r="TW45" s="31"/>
      <c r="TX45" s="30"/>
      <c r="TY45" s="31"/>
      <c r="TZ45" s="30"/>
      <c r="UA45" s="31"/>
      <c r="UB45" s="30"/>
      <c r="UC45" s="31"/>
      <c r="UD45" s="30"/>
      <c r="UE45" s="31"/>
      <c r="UF45" s="30"/>
      <c r="UG45" s="31"/>
      <c r="UH45" s="30"/>
      <c r="UI45" s="31"/>
      <c r="UJ45" s="30"/>
      <c r="UK45" s="31"/>
      <c r="UL45" s="30"/>
      <c r="UM45" s="31"/>
      <c r="UN45" s="30"/>
      <c r="UO45" s="31"/>
      <c r="UP45" s="30"/>
      <c r="UQ45" s="31"/>
      <c r="UR45" s="30"/>
      <c r="US45" s="31"/>
      <c r="UT45" s="30"/>
      <c r="UU45" s="31"/>
      <c r="UV45" s="30"/>
      <c r="UW45" s="31"/>
      <c r="UX45" s="30"/>
      <c r="UY45" s="31"/>
      <c r="UZ45" s="30"/>
      <c r="VA45" s="31"/>
      <c r="VB45" s="30"/>
      <c r="VC45" s="31"/>
      <c r="VD45" s="30"/>
      <c r="VE45" s="31"/>
      <c r="VF45" s="30"/>
      <c r="VG45" s="31"/>
      <c r="VH45" s="30"/>
      <c r="VI45" s="31"/>
      <c r="VJ45" s="30"/>
      <c r="VK45" s="31"/>
      <c r="VL45" s="30"/>
      <c r="VM45" s="31"/>
      <c r="VN45" s="30"/>
      <c r="VO45" s="31"/>
      <c r="VP45" s="30"/>
      <c r="VQ45" s="31"/>
      <c r="VR45" s="30"/>
      <c r="VS45" s="31"/>
      <c r="VT45" s="30"/>
      <c r="VU45" s="31"/>
      <c r="VV45" s="30"/>
      <c r="VW45" s="31"/>
      <c r="VX45" s="30"/>
      <c r="VY45" s="31"/>
      <c r="VZ45" s="30"/>
      <c r="WA45" s="31"/>
      <c r="WB45" s="30"/>
      <c r="WC45" s="31"/>
      <c r="WD45" s="30"/>
      <c r="WE45" s="31"/>
      <c r="WF45" s="30"/>
      <c r="WG45" s="31"/>
      <c r="WH45" s="30"/>
      <c r="WI45" s="31"/>
      <c r="WJ45" s="30"/>
      <c r="WK45" s="31"/>
      <c r="WL45" s="30"/>
      <c r="WM45" s="31"/>
      <c r="WN45" s="30"/>
      <c r="WO45" s="31"/>
      <c r="WP45" s="30"/>
      <c r="WQ45" s="31"/>
      <c r="WR45" s="30"/>
      <c r="WS45" s="31"/>
      <c r="WT45" s="30"/>
      <c r="WU45" s="31"/>
      <c r="WV45" s="30"/>
      <c r="WW45" s="31"/>
      <c r="WX45" s="30"/>
      <c r="WY45" s="31"/>
      <c r="WZ45" s="30"/>
      <c r="XA45" s="31"/>
      <c r="XB45" s="30"/>
      <c r="XC45" s="31"/>
      <c r="XD45" s="30"/>
      <c r="XE45" s="31"/>
      <c r="XF45" s="30"/>
      <c r="XG45" s="31"/>
      <c r="XH45" s="30"/>
      <c r="XI45" s="31"/>
      <c r="XJ45" s="30"/>
      <c r="XK45" s="31"/>
      <c r="XL45" s="30"/>
      <c r="XM45" s="31"/>
      <c r="XN45" s="30"/>
      <c r="XO45" s="31"/>
      <c r="XP45" s="30"/>
      <c r="XQ45" s="31"/>
      <c r="XR45" s="30"/>
      <c r="XS45" s="31"/>
      <c r="XT45" s="30"/>
      <c r="XU45" s="31"/>
      <c r="XV45" s="30"/>
      <c r="XW45" s="31"/>
      <c r="XX45" s="30"/>
      <c r="XY45" s="31"/>
      <c r="XZ45" s="30"/>
      <c r="YA45" s="31"/>
      <c r="YB45" s="30"/>
      <c r="YC45" s="31"/>
      <c r="YD45" s="30"/>
      <c r="YE45" s="31"/>
      <c r="YF45" s="30"/>
      <c r="YG45" s="31"/>
      <c r="YH45" s="30"/>
      <c r="YI45" s="31"/>
      <c r="YJ45" s="30"/>
      <c r="YK45" s="31"/>
      <c r="YL45" s="30"/>
      <c r="YM45" s="31"/>
      <c r="YN45" s="30"/>
      <c r="YO45" s="31"/>
      <c r="YP45" s="30"/>
      <c r="YQ45" s="31"/>
      <c r="YR45" s="30"/>
      <c r="YS45" s="31"/>
      <c r="YT45" s="30"/>
      <c r="YU45" s="31"/>
      <c r="YV45" s="30"/>
      <c r="YW45" s="31"/>
      <c r="YX45" s="30"/>
      <c r="YY45" s="31"/>
      <c r="YZ45" s="30"/>
      <c r="ZA45" s="31"/>
      <c r="ZB45" s="30"/>
      <c r="ZC45" s="31"/>
      <c r="ZD45" s="30"/>
      <c r="ZE45" s="31"/>
      <c r="ZF45" s="30"/>
      <c r="ZG45" s="31"/>
      <c r="ZH45" s="30"/>
      <c r="ZI45" s="31"/>
      <c r="ZJ45" s="30"/>
      <c r="ZK45" s="31"/>
      <c r="ZL45" s="30"/>
      <c r="ZM45" s="31"/>
      <c r="ZN45" s="30"/>
      <c r="ZO45" s="31"/>
      <c r="ZP45" s="30"/>
      <c r="ZQ45" s="31"/>
      <c r="ZR45" s="30"/>
      <c r="ZS45" s="31"/>
      <c r="ZT45" s="30"/>
      <c r="ZU45" s="31"/>
      <c r="ZV45" s="30"/>
      <c r="ZW45" s="31"/>
      <c r="ZX45" s="30"/>
      <c r="ZY45" s="31"/>
      <c r="ZZ45" s="30"/>
      <c r="AAA45" s="31"/>
      <c r="AAB45" s="30"/>
      <c r="AAC45" s="31"/>
      <c r="AAD45" s="30"/>
      <c r="AAE45" s="31"/>
      <c r="AAF45" s="30"/>
      <c r="AAG45" s="31"/>
      <c r="AAH45" s="30"/>
      <c r="AAI45" s="31"/>
      <c r="AAJ45" s="30"/>
      <c r="AAK45" s="31"/>
      <c r="AAL45" s="30"/>
      <c r="AAM45" s="31"/>
      <c r="AAN45" s="30"/>
      <c r="AAO45" s="31"/>
      <c r="AAP45" s="30"/>
      <c r="AAQ45" s="31"/>
      <c r="AAR45" s="30"/>
      <c r="AAS45" s="31"/>
      <c r="AAT45" s="30"/>
      <c r="AAU45" s="31"/>
      <c r="AAV45" s="30"/>
      <c r="AAW45" s="31"/>
      <c r="AAX45" s="30"/>
      <c r="AAY45" s="31"/>
      <c r="AAZ45" s="30"/>
      <c r="ABA45" s="31"/>
      <c r="ABB45" s="30"/>
      <c r="ABC45" s="31"/>
      <c r="ABD45" s="30"/>
      <c r="ABE45" s="31"/>
      <c r="ABF45" s="30"/>
      <c r="ABG45" s="31"/>
      <c r="ABH45" s="30"/>
      <c r="ABI45" s="31"/>
      <c r="ABJ45" s="30"/>
      <c r="ABK45" s="31"/>
      <c r="ABL45" s="30"/>
      <c r="ABM45" s="31"/>
      <c r="ABN45" s="30"/>
      <c r="ABO45" s="31"/>
      <c r="ABP45" s="30"/>
      <c r="ABQ45" s="31"/>
      <c r="ABR45" s="30"/>
      <c r="ABS45" s="31"/>
      <c r="ABT45" s="30"/>
      <c r="ABU45" s="31"/>
      <c r="ABV45" s="30"/>
      <c r="ABW45" s="31"/>
      <c r="ABX45" s="30"/>
      <c r="ABY45" s="31"/>
      <c r="ABZ45" s="30"/>
      <c r="ACA45" s="31"/>
      <c r="ACB45" s="30"/>
      <c r="ACC45" s="31"/>
      <c r="ACD45" s="30"/>
      <c r="ACE45" s="31"/>
      <c r="ACF45" s="30"/>
      <c r="ACG45" s="31"/>
      <c r="ACH45" s="30"/>
      <c r="ACI45" s="31"/>
      <c r="ACJ45" s="30"/>
      <c r="ACK45" s="31"/>
      <c r="ACL45" s="30"/>
      <c r="ACM45" s="31"/>
      <c r="ACN45" s="30"/>
      <c r="ACO45" s="31"/>
      <c r="ACP45" s="30"/>
      <c r="ACQ45" s="31"/>
      <c r="ACR45" s="30"/>
      <c r="ACS45" s="31"/>
      <c r="ACT45" s="30"/>
      <c r="ACU45" s="31"/>
      <c r="ACV45" s="30"/>
      <c r="ACW45" s="31"/>
      <c r="ACX45" s="30"/>
      <c r="ACY45" s="31"/>
      <c r="ACZ45" s="30"/>
      <c r="ADA45" s="31"/>
      <c r="ADB45" s="30"/>
      <c r="ADC45" s="31"/>
      <c r="ADD45" s="30"/>
      <c r="ADE45" s="31"/>
      <c r="ADF45" s="30"/>
      <c r="ADG45" s="31"/>
      <c r="ADH45" s="30"/>
      <c r="ADI45" s="31"/>
      <c r="ADJ45" s="30"/>
      <c r="ADK45" s="31"/>
      <c r="ADL45" s="30"/>
      <c r="ADM45" s="31"/>
      <c r="ADN45" s="30"/>
      <c r="ADO45" s="31"/>
      <c r="ADP45" s="30"/>
      <c r="ADQ45" s="31"/>
      <c r="ADR45" s="30"/>
      <c r="ADS45" s="31"/>
      <c r="ADT45" s="30"/>
      <c r="ADU45" s="31"/>
      <c r="ADV45" s="30"/>
      <c r="ADW45" s="31"/>
      <c r="ADX45" s="30"/>
      <c r="ADY45" s="31"/>
      <c r="ADZ45" s="30"/>
      <c r="AEA45" s="31"/>
      <c r="AEB45" s="30"/>
      <c r="AEC45" s="31"/>
      <c r="AED45" s="30"/>
      <c r="AEE45" s="31"/>
      <c r="AEF45" s="30"/>
      <c r="AEG45" s="31"/>
      <c r="AEH45" s="30"/>
      <c r="AEI45" s="31"/>
      <c r="AEJ45" s="30"/>
      <c r="AEK45" s="31"/>
      <c r="AEL45" s="30"/>
      <c r="AEM45" s="31"/>
      <c r="AEN45" s="30"/>
      <c r="AEO45" s="31"/>
      <c r="AEP45" s="30"/>
      <c r="AEQ45" s="31"/>
      <c r="AER45" s="30"/>
      <c r="AES45" s="31"/>
      <c r="AET45" s="30"/>
      <c r="AEU45" s="31"/>
      <c r="AEV45" s="30"/>
      <c r="AEW45" s="31"/>
      <c r="AEX45" s="30"/>
      <c r="AEY45" s="31"/>
      <c r="AEZ45" s="30"/>
      <c r="AFA45" s="31"/>
      <c r="AFB45" s="30"/>
      <c r="AFC45" s="31"/>
      <c r="AFD45" s="30"/>
      <c r="AFE45" s="31"/>
      <c r="AFF45" s="30"/>
      <c r="AFG45" s="31"/>
      <c r="AFH45" s="30"/>
      <c r="AFI45" s="31"/>
      <c r="AFJ45" s="30"/>
      <c r="AFK45" s="31"/>
      <c r="AFL45" s="30"/>
      <c r="AFM45" s="31"/>
      <c r="AFN45" s="30"/>
      <c r="AFO45" s="31"/>
      <c r="AFP45" s="30"/>
      <c r="AFQ45" s="31"/>
      <c r="AFR45" s="30"/>
      <c r="AFS45" s="31"/>
      <c r="AFT45" s="30"/>
      <c r="AFU45" s="31"/>
      <c r="AFV45" s="30"/>
      <c r="AFW45" s="31"/>
      <c r="AFX45" s="30"/>
      <c r="AFY45" s="31"/>
      <c r="AFZ45" s="30"/>
      <c r="AGA45" s="31"/>
      <c r="AGB45" s="30"/>
      <c r="AGC45" s="31"/>
      <c r="AGD45" s="30"/>
      <c r="AGE45" s="31"/>
      <c r="AGF45" s="30"/>
      <c r="AGG45" s="31"/>
      <c r="AGH45" s="30"/>
      <c r="AGI45" s="31"/>
      <c r="AGJ45" s="30"/>
      <c r="AGK45" s="31"/>
      <c r="AGL45" s="30"/>
      <c r="AGM45" s="31"/>
      <c r="AGN45" s="30"/>
      <c r="AGO45" s="31"/>
      <c r="AGP45" s="30"/>
      <c r="AGQ45" s="31"/>
      <c r="AGR45" s="30"/>
      <c r="AGS45" s="31"/>
      <c r="AGT45" s="30"/>
      <c r="AGU45" s="31"/>
      <c r="AGV45" s="30"/>
      <c r="AGW45" s="31"/>
      <c r="AGX45" s="30"/>
      <c r="AGY45" s="31"/>
      <c r="AGZ45" s="30"/>
      <c r="AHA45" s="31"/>
      <c r="AHB45" s="30"/>
      <c r="AHC45" s="31"/>
      <c r="AHD45" s="30"/>
      <c r="AHE45" s="31"/>
      <c r="AHF45" s="30"/>
      <c r="AHG45" s="31"/>
      <c r="AHH45" s="30"/>
      <c r="AHI45" s="31"/>
      <c r="AHJ45" s="30"/>
      <c r="AHK45" s="31"/>
      <c r="AHL45" s="30"/>
      <c r="AHM45" s="31"/>
      <c r="AHN45" s="30"/>
      <c r="AHO45" s="31"/>
      <c r="AHP45" s="30"/>
      <c r="AHQ45" s="31"/>
      <c r="AHR45" s="30"/>
      <c r="AHS45" s="31"/>
      <c r="AHT45" s="30"/>
      <c r="AHU45" s="31"/>
      <c r="AHV45" s="30"/>
      <c r="AHW45" s="31"/>
      <c r="AHX45" s="30"/>
      <c r="AHY45" s="31"/>
      <c r="AHZ45" s="30"/>
      <c r="AIA45" s="31"/>
      <c r="AIB45" s="30"/>
      <c r="AIC45" s="31"/>
      <c r="AID45" s="30"/>
      <c r="AIE45" s="31"/>
      <c r="AIF45" s="30"/>
      <c r="AIG45" s="31"/>
      <c r="AIH45" s="30"/>
      <c r="AII45" s="31"/>
      <c r="AIJ45" s="30"/>
      <c r="AIK45" s="31"/>
      <c r="AIL45" s="30"/>
      <c r="AIM45" s="31"/>
      <c r="AIN45" s="30"/>
      <c r="AIO45" s="31"/>
      <c r="AIP45" s="30"/>
      <c r="AIQ45" s="31"/>
      <c r="AIR45" s="30"/>
      <c r="AIS45" s="31"/>
      <c r="AIT45" s="30"/>
      <c r="AIU45" s="31"/>
      <c r="AIV45" s="30"/>
      <c r="AIW45" s="31"/>
      <c r="AIX45" s="30"/>
      <c r="AIY45" s="31"/>
      <c r="AIZ45" s="30"/>
      <c r="AJA45" s="31"/>
      <c r="AJB45" s="30"/>
      <c r="AJC45" s="31"/>
      <c r="AJD45" s="30"/>
      <c r="AJE45" s="31"/>
      <c r="AJF45" s="30"/>
      <c r="AJG45" s="31"/>
      <c r="AJH45" s="30"/>
      <c r="AJI45" s="31"/>
      <c r="AJJ45" s="30"/>
      <c r="AJK45" s="31"/>
      <c r="AJL45" s="30"/>
      <c r="AJM45" s="31"/>
      <c r="AJN45" s="30"/>
      <c r="AJO45" s="31"/>
      <c r="AJP45" s="30"/>
      <c r="AJQ45" s="31"/>
      <c r="AJR45" s="30"/>
      <c r="AJS45" s="31"/>
      <c r="AJT45" s="30"/>
      <c r="AJU45" s="31"/>
      <c r="AJV45" s="30"/>
      <c r="AJW45" s="31"/>
      <c r="AJX45" s="30"/>
      <c r="AJY45" s="31"/>
      <c r="AJZ45" s="30"/>
      <c r="AKA45" s="31"/>
      <c r="AKB45" s="30"/>
      <c r="AKC45" s="31"/>
      <c r="AKD45" s="30"/>
      <c r="AKE45" s="31"/>
      <c r="AKF45" s="30"/>
      <c r="AKG45" s="31"/>
      <c r="AKH45" s="30"/>
      <c r="AKI45" s="31"/>
      <c r="AKJ45" s="30"/>
      <c r="AKK45" s="31"/>
      <c r="AKL45" s="30"/>
      <c r="AKM45" s="31"/>
      <c r="AKN45" s="30"/>
      <c r="AKO45" s="31"/>
      <c r="AKP45" s="30"/>
      <c r="AKQ45" s="31"/>
      <c r="AKR45" s="30"/>
      <c r="AKS45" s="31"/>
      <c r="AKT45" s="30"/>
      <c r="AKU45" s="31"/>
      <c r="AKV45" s="30"/>
      <c r="AKW45" s="31"/>
      <c r="AKX45" s="30"/>
      <c r="AKY45" s="31"/>
      <c r="AKZ45" s="30"/>
      <c r="ALA45" s="31"/>
      <c r="ALB45" s="30"/>
      <c r="ALC45" s="31"/>
      <c r="ALD45" s="30"/>
      <c r="ALE45" s="31"/>
      <c r="ALF45" s="30"/>
      <c r="ALG45" s="31"/>
      <c r="ALH45" s="30"/>
      <c r="ALI45" s="31"/>
      <c r="ALJ45" s="30"/>
      <c r="ALK45" s="31"/>
      <c r="ALL45" s="30"/>
      <c r="ALM45" s="31"/>
      <c r="ALN45" s="30"/>
      <c r="ALO45" s="31"/>
      <c r="ALP45" s="30"/>
      <c r="ALQ45" s="31"/>
      <c r="ALR45" s="30"/>
      <c r="ALS45" s="31"/>
      <c r="ALT45" s="30"/>
      <c r="ALU45" s="31"/>
      <c r="ALV45" s="30"/>
      <c r="ALW45" s="31"/>
      <c r="ALX45" s="30"/>
      <c r="ALY45" s="31"/>
      <c r="ALZ45" s="30"/>
      <c r="AMA45" s="31"/>
      <c r="AMB45" s="30"/>
      <c r="AMC45" s="31"/>
      <c r="AMD45" s="30"/>
      <c r="AME45" s="31"/>
      <c r="AMF45" s="30"/>
      <c r="AMG45" s="31"/>
      <c r="AMH45" s="30"/>
      <c r="AMI45" s="31"/>
      <c r="AMJ45" s="30"/>
      <c r="AMK45" s="31"/>
      <c r="AML45" s="30"/>
      <c r="AMM45" s="31"/>
      <c r="AMN45" s="30"/>
      <c r="AMO45" s="31"/>
      <c r="AMP45" s="30"/>
      <c r="AMQ45" s="31"/>
      <c r="AMR45" s="30"/>
      <c r="AMS45" s="31"/>
      <c r="AMT45" s="30"/>
      <c r="AMU45" s="31"/>
      <c r="AMV45" s="30"/>
      <c r="AMW45" s="31"/>
      <c r="AMX45" s="30"/>
      <c r="AMY45" s="31"/>
      <c r="AMZ45" s="30"/>
      <c r="ANA45" s="31"/>
      <c r="ANB45" s="30"/>
      <c r="ANC45" s="31"/>
      <c r="AND45" s="30"/>
      <c r="ANE45" s="31"/>
      <c r="ANF45" s="30"/>
      <c r="ANG45" s="31"/>
      <c r="ANH45" s="30"/>
      <c r="ANI45" s="31"/>
      <c r="ANJ45" s="30"/>
      <c r="ANK45" s="31"/>
      <c r="ANL45" s="30"/>
      <c r="ANM45" s="31"/>
      <c r="ANN45" s="30"/>
      <c r="ANO45" s="31"/>
      <c r="ANP45" s="30"/>
      <c r="ANQ45" s="31"/>
      <c r="ANR45" s="30"/>
      <c r="ANS45" s="31"/>
      <c r="ANT45" s="30"/>
      <c r="ANU45" s="31"/>
      <c r="ANV45" s="30"/>
      <c r="ANW45" s="31"/>
      <c r="ANX45" s="30"/>
      <c r="ANY45" s="31"/>
      <c r="ANZ45" s="30"/>
      <c r="AOA45" s="31"/>
      <c r="AOB45" s="30"/>
      <c r="AOC45" s="31"/>
      <c r="AOD45" s="30"/>
      <c r="AOE45" s="31"/>
      <c r="AOF45" s="30"/>
      <c r="AOG45" s="31"/>
      <c r="AOH45" s="30"/>
      <c r="AOI45" s="31"/>
      <c r="AOJ45" s="30"/>
      <c r="AOK45" s="31"/>
      <c r="AOL45" s="30"/>
      <c r="AOM45" s="31"/>
      <c r="AON45" s="30"/>
      <c r="AOO45" s="31"/>
      <c r="AOP45" s="30"/>
      <c r="AOQ45" s="31"/>
      <c r="AOR45" s="30"/>
      <c r="AOS45" s="31"/>
      <c r="AOT45" s="30"/>
      <c r="AOU45" s="31"/>
      <c r="AOV45" s="30"/>
      <c r="AOW45" s="31"/>
      <c r="AOX45" s="30"/>
      <c r="AOY45" s="31"/>
      <c r="AOZ45" s="30"/>
      <c r="APA45" s="31"/>
      <c r="APB45" s="30"/>
      <c r="APC45" s="31"/>
      <c r="APD45" s="30"/>
      <c r="APE45" s="31"/>
      <c r="APF45" s="30"/>
      <c r="APG45" s="31"/>
      <c r="APH45" s="30"/>
      <c r="API45" s="31"/>
      <c r="APJ45" s="30"/>
      <c r="APK45" s="31"/>
      <c r="APL45" s="30"/>
      <c r="APM45" s="31"/>
      <c r="APN45" s="30"/>
      <c r="APO45" s="31"/>
      <c r="APP45" s="30"/>
      <c r="APQ45" s="31"/>
      <c r="APR45" s="30"/>
      <c r="APS45" s="31"/>
      <c r="APT45" s="30"/>
      <c r="APU45" s="31"/>
      <c r="APV45" s="30"/>
      <c r="APW45" s="31"/>
      <c r="APX45" s="30"/>
      <c r="APY45" s="31"/>
      <c r="APZ45" s="30"/>
      <c r="AQA45" s="31"/>
      <c r="AQB45" s="30"/>
      <c r="AQC45" s="31"/>
      <c r="AQD45" s="30"/>
      <c r="AQE45" s="31"/>
      <c r="AQF45" s="30"/>
      <c r="AQG45" s="31"/>
      <c r="AQH45" s="30"/>
      <c r="AQI45" s="31"/>
      <c r="AQJ45" s="30"/>
      <c r="AQK45" s="31"/>
      <c r="AQL45" s="30"/>
      <c r="AQM45" s="31"/>
      <c r="AQN45" s="30"/>
      <c r="AQO45" s="31"/>
      <c r="AQP45" s="30"/>
      <c r="AQQ45" s="31"/>
      <c r="AQR45" s="30"/>
      <c r="AQS45" s="31"/>
      <c r="AQT45" s="30"/>
      <c r="AQU45" s="31"/>
      <c r="AQV45" s="30"/>
      <c r="AQW45" s="31"/>
      <c r="AQX45" s="30"/>
      <c r="AQY45" s="31"/>
      <c r="AQZ45" s="30"/>
      <c r="ARA45" s="31"/>
      <c r="ARB45" s="30"/>
      <c r="ARC45" s="31"/>
      <c r="ARD45" s="30"/>
      <c r="ARE45" s="31"/>
      <c r="ARF45" s="30"/>
      <c r="ARG45" s="31"/>
      <c r="ARH45" s="30"/>
      <c r="ARI45" s="31"/>
      <c r="ARJ45" s="30"/>
      <c r="ARK45" s="31"/>
      <c r="ARL45" s="30"/>
      <c r="ARM45" s="31"/>
      <c r="ARN45" s="30"/>
      <c r="ARO45" s="31"/>
      <c r="ARP45" s="30"/>
      <c r="ARQ45" s="31"/>
      <c r="ARR45" s="30"/>
      <c r="ARS45" s="31"/>
      <c r="ART45" s="30"/>
      <c r="ARU45" s="31"/>
      <c r="ARV45" s="30"/>
      <c r="ARW45" s="31"/>
      <c r="ARX45" s="30"/>
      <c r="ARY45" s="31"/>
      <c r="ARZ45" s="30"/>
      <c r="ASA45" s="31"/>
      <c r="ASB45" s="30"/>
      <c r="ASC45" s="31"/>
      <c r="ASD45" s="30"/>
      <c r="ASE45" s="31"/>
      <c r="ASF45" s="30"/>
      <c r="ASG45" s="31"/>
      <c r="ASH45" s="30"/>
      <c r="ASI45" s="31"/>
      <c r="ASJ45" s="30"/>
      <c r="ASK45" s="31"/>
      <c r="ASL45" s="30"/>
      <c r="ASM45" s="31"/>
      <c r="ASN45" s="30"/>
      <c r="ASO45" s="31"/>
      <c r="ASP45" s="30"/>
      <c r="ASQ45" s="31"/>
      <c r="ASR45" s="30"/>
      <c r="ASS45" s="31"/>
      <c r="AST45" s="30"/>
      <c r="ASU45" s="31"/>
      <c r="ASV45" s="30"/>
      <c r="ASW45" s="31"/>
      <c r="ASX45" s="30"/>
      <c r="ASY45" s="31"/>
      <c r="ASZ45" s="30"/>
      <c r="ATA45" s="31"/>
      <c r="ATB45" s="30"/>
      <c r="ATC45" s="31"/>
      <c r="ATD45" s="30"/>
      <c r="ATE45" s="31"/>
      <c r="ATF45" s="30"/>
      <c r="ATG45" s="31"/>
      <c r="ATH45" s="30"/>
      <c r="ATI45" s="31"/>
      <c r="ATJ45" s="30"/>
      <c r="ATK45" s="31"/>
      <c r="ATL45" s="30"/>
      <c r="ATM45" s="31"/>
      <c r="ATN45" s="30"/>
      <c r="ATO45" s="31"/>
      <c r="ATP45" s="30"/>
      <c r="ATQ45" s="31"/>
      <c r="ATR45" s="30"/>
      <c r="ATS45" s="31"/>
      <c r="ATT45" s="30"/>
      <c r="ATU45" s="31"/>
      <c r="ATV45" s="30"/>
      <c r="ATW45" s="31"/>
      <c r="ATX45" s="30"/>
      <c r="ATY45" s="31"/>
      <c r="ATZ45" s="30"/>
      <c r="AUA45" s="31"/>
      <c r="AUB45" s="30"/>
      <c r="AUC45" s="31"/>
      <c r="AUD45" s="30"/>
      <c r="AUE45" s="31"/>
      <c r="AUF45" s="30"/>
      <c r="AUG45" s="31"/>
      <c r="AUH45" s="30"/>
      <c r="AUI45" s="31"/>
      <c r="AUJ45" s="30"/>
      <c r="AUK45" s="31"/>
      <c r="AUL45" s="30"/>
      <c r="AUM45" s="31"/>
      <c r="AUN45" s="30"/>
      <c r="AUO45" s="31"/>
      <c r="AUP45" s="30"/>
      <c r="AUQ45" s="31"/>
      <c r="AUR45" s="30"/>
      <c r="AUS45" s="31"/>
      <c r="AUT45" s="30"/>
      <c r="AUU45" s="31"/>
      <c r="AUV45" s="30"/>
      <c r="AUW45" s="31"/>
      <c r="AUX45" s="30"/>
      <c r="AUY45" s="31"/>
      <c r="AUZ45" s="30"/>
      <c r="AVA45" s="31"/>
      <c r="AVB45" s="30"/>
      <c r="AVC45" s="31"/>
      <c r="AVD45" s="30"/>
      <c r="AVE45" s="31"/>
      <c r="AVF45" s="30"/>
      <c r="AVG45" s="31"/>
      <c r="AVH45" s="30"/>
      <c r="AVI45" s="31"/>
      <c r="AVJ45" s="30"/>
      <c r="AVK45" s="31"/>
      <c r="AVL45" s="30"/>
      <c r="AVM45" s="31"/>
      <c r="AVN45" s="30"/>
      <c r="AVO45" s="31"/>
      <c r="AVP45" s="30"/>
      <c r="AVQ45" s="31"/>
      <c r="AVR45" s="30"/>
      <c r="AVS45" s="31"/>
      <c r="AVT45" s="30"/>
      <c r="AVU45" s="31"/>
      <c r="AVV45" s="30"/>
      <c r="AVW45" s="31"/>
      <c r="AVX45" s="30"/>
      <c r="AVY45" s="31"/>
      <c r="AVZ45" s="30"/>
      <c r="AWA45" s="31"/>
      <c r="AWB45" s="30"/>
      <c r="AWC45" s="31"/>
      <c r="AWD45" s="30"/>
      <c r="AWE45" s="31"/>
      <c r="AWF45" s="30"/>
      <c r="AWG45" s="31"/>
      <c r="AWH45" s="30"/>
      <c r="AWI45" s="31"/>
      <c r="AWJ45" s="30"/>
      <c r="AWK45" s="31"/>
      <c r="AWL45" s="30"/>
      <c r="AWM45" s="31"/>
      <c r="AWN45" s="30"/>
      <c r="AWO45" s="31"/>
      <c r="AWP45" s="30"/>
      <c r="AWQ45" s="31"/>
      <c r="AWR45" s="30"/>
      <c r="AWS45" s="31"/>
      <c r="AWT45" s="30"/>
      <c r="AWU45" s="31"/>
      <c r="AWV45" s="30"/>
      <c r="AWW45" s="31"/>
      <c r="AWX45" s="30"/>
      <c r="AWY45" s="31"/>
      <c r="AWZ45" s="30"/>
      <c r="AXA45" s="31"/>
      <c r="AXB45" s="30"/>
      <c r="AXC45" s="31"/>
      <c r="AXD45" s="30"/>
      <c r="AXE45" s="31"/>
      <c r="AXF45" s="30"/>
      <c r="AXG45" s="31"/>
      <c r="AXH45" s="30"/>
      <c r="AXI45" s="31"/>
      <c r="AXJ45" s="30"/>
      <c r="AXK45" s="31"/>
      <c r="AXL45" s="30"/>
      <c r="AXM45" s="31"/>
      <c r="AXN45" s="30"/>
      <c r="AXO45" s="31"/>
      <c r="AXP45" s="30"/>
      <c r="AXQ45" s="31"/>
      <c r="AXR45" s="30"/>
      <c r="AXS45" s="31"/>
      <c r="AXT45" s="30"/>
      <c r="AXU45" s="31"/>
      <c r="AXV45" s="30"/>
      <c r="AXW45" s="31"/>
      <c r="AXX45" s="30"/>
      <c r="AXY45" s="31"/>
      <c r="AXZ45" s="30"/>
      <c r="AYA45" s="31"/>
      <c r="AYB45" s="30"/>
      <c r="AYC45" s="31"/>
      <c r="AYD45" s="30"/>
      <c r="AYE45" s="31"/>
      <c r="AYF45" s="30"/>
      <c r="AYG45" s="31"/>
      <c r="AYH45" s="30"/>
      <c r="AYI45" s="31"/>
      <c r="AYJ45" s="30"/>
      <c r="AYK45" s="31"/>
      <c r="AYL45" s="30"/>
      <c r="AYM45" s="31"/>
      <c r="AYN45" s="30"/>
      <c r="AYO45" s="31"/>
      <c r="AYP45" s="30"/>
      <c r="AYQ45" s="31"/>
      <c r="AYR45" s="30"/>
      <c r="AYS45" s="31"/>
      <c r="AYT45" s="30"/>
      <c r="AYU45" s="31"/>
      <c r="AYV45" s="30"/>
      <c r="AYW45" s="31"/>
      <c r="AYX45" s="30"/>
      <c r="AYY45" s="31"/>
      <c r="AYZ45" s="30"/>
      <c r="AZA45" s="31"/>
      <c r="AZB45" s="30"/>
      <c r="AZC45" s="31"/>
      <c r="AZD45" s="30"/>
      <c r="AZE45" s="31"/>
      <c r="AZF45" s="30"/>
      <c r="AZG45" s="31"/>
      <c r="AZH45" s="30"/>
      <c r="AZI45" s="31"/>
      <c r="AZJ45" s="30"/>
      <c r="AZK45" s="31"/>
      <c r="AZL45" s="30"/>
      <c r="AZM45" s="31"/>
      <c r="AZN45" s="30"/>
      <c r="AZO45" s="31"/>
      <c r="AZP45" s="30"/>
      <c r="AZQ45" s="31"/>
      <c r="AZR45" s="30"/>
      <c r="AZS45" s="31"/>
      <c r="AZT45" s="30"/>
      <c r="AZU45" s="31"/>
      <c r="AZV45" s="30"/>
      <c r="AZW45" s="31"/>
      <c r="AZX45" s="30"/>
      <c r="AZY45" s="31"/>
      <c r="AZZ45" s="30"/>
      <c r="BAA45" s="31"/>
      <c r="BAB45" s="30"/>
      <c r="BAC45" s="31"/>
      <c r="BAD45" s="30"/>
      <c r="BAE45" s="31"/>
      <c r="BAF45" s="30"/>
      <c r="BAG45" s="31"/>
      <c r="BAH45" s="30"/>
      <c r="BAI45" s="31"/>
      <c r="BAJ45" s="30"/>
      <c r="BAK45" s="31"/>
      <c r="BAL45" s="30"/>
      <c r="BAM45" s="31"/>
      <c r="BAN45" s="30"/>
      <c r="BAO45" s="31"/>
      <c r="BAP45" s="30"/>
      <c r="BAQ45" s="31"/>
      <c r="BAR45" s="30"/>
      <c r="BAS45" s="31"/>
      <c r="BAT45" s="30"/>
      <c r="BAU45" s="31"/>
      <c r="BAV45" s="30"/>
      <c r="BAW45" s="31"/>
      <c r="BAX45" s="30"/>
      <c r="BAY45" s="31"/>
      <c r="BAZ45" s="30"/>
      <c r="BBA45" s="31"/>
      <c r="BBB45" s="30"/>
      <c r="BBC45" s="31"/>
      <c r="BBD45" s="30"/>
      <c r="BBE45" s="31"/>
      <c r="BBF45" s="30"/>
      <c r="BBG45" s="31"/>
      <c r="BBH45" s="30"/>
      <c r="BBI45" s="31"/>
      <c r="BBJ45" s="30"/>
      <c r="BBK45" s="31"/>
      <c r="BBL45" s="30"/>
      <c r="BBM45" s="31"/>
      <c r="BBN45" s="30"/>
      <c r="BBO45" s="31"/>
      <c r="BBP45" s="30"/>
      <c r="BBQ45" s="31"/>
      <c r="BBR45" s="30"/>
      <c r="BBS45" s="31"/>
      <c r="BBT45" s="30"/>
      <c r="BBU45" s="31"/>
      <c r="BBV45" s="30"/>
      <c r="BBW45" s="31"/>
      <c r="BBX45" s="30"/>
      <c r="BBY45" s="31"/>
      <c r="BBZ45" s="30"/>
      <c r="BCA45" s="31"/>
      <c r="BCB45" s="30"/>
      <c r="BCC45" s="31"/>
      <c r="BCD45" s="30"/>
      <c r="BCE45" s="31"/>
      <c r="BCF45" s="30"/>
      <c r="BCG45" s="31"/>
      <c r="BCH45" s="30"/>
      <c r="BCI45" s="31"/>
      <c r="BCJ45" s="30"/>
      <c r="BCK45" s="31"/>
      <c r="BCL45" s="30"/>
      <c r="BCM45" s="31"/>
      <c r="BCN45" s="30"/>
      <c r="BCO45" s="31"/>
      <c r="BCP45" s="30"/>
      <c r="BCQ45" s="31"/>
      <c r="BCR45" s="30"/>
      <c r="BCS45" s="31"/>
      <c r="BCT45" s="30"/>
      <c r="BCU45" s="31"/>
      <c r="BCV45" s="30"/>
      <c r="BCW45" s="31"/>
      <c r="BCX45" s="30"/>
      <c r="BCY45" s="31"/>
      <c r="BCZ45" s="30"/>
      <c r="BDA45" s="31"/>
      <c r="BDB45" s="30"/>
      <c r="BDC45" s="31"/>
      <c r="BDD45" s="30"/>
      <c r="BDE45" s="31"/>
      <c r="BDF45" s="30"/>
      <c r="BDG45" s="31"/>
      <c r="BDH45" s="30"/>
      <c r="BDI45" s="31"/>
      <c r="BDJ45" s="30"/>
      <c r="BDK45" s="31"/>
      <c r="BDL45" s="30"/>
      <c r="BDM45" s="31"/>
      <c r="BDN45" s="30"/>
      <c r="BDO45" s="31"/>
      <c r="BDP45" s="30"/>
      <c r="BDQ45" s="31"/>
      <c r="BDR45" s="30"/>
      <c r="BDS45" s="31"/>
      <c r="BDT45" s="30"/>
      <c r="BDU45" s="31"/>
      <c r="BDV45" s="30"/>
      <c r="BDW45" s="31"/>
      <c r="BDX45" s="30"/>
      <c r="BDY45" s="31"/>
      <c r="BDZ45" s="30"/>
      <c r="BEA45" s="31"/>
      <c r="BEB45" s="30"/>
      <c r="BEC45" s="31"/>
      <c r="BED45" s="30"/>
      <c r="BEE45" s="31"/>
      <c r="BEF45" s="30"/>
      <c r="BEG45" s="31"/>
      <c r="BEH45" s="30"/>
      <c r="BEI45" s="31"/>
      <c r="BEJ45" s="30"/>
      <c r="BEK45" s="31"/>
      <c r="BEL45" s="30"/>
      <c r="BEM45" s="31"/>
      <c r="BEN45" s="30"/>
      <c r="BEO45" s="31"/>
      <c r="BEP45" s="30"/>
      <c r="BEQ45" s="31"/>
      <c r="BER45" s="30"/>
      <c r="BES45" s="31"/>
      <c r="BET45" s="30"/>
      <c r="BEU45" s="31"/>
      <c r="BEV45" s="30"/>
      <c r="BEW45" s="31"/>
      <c r="BEX45" s="30"/>
      <c r="BEY45" s="31"/>
      <c r="BEZ45" s="30"/>
      <c r="BFA45" s="31"/>
      <c r="BFB45" s="30"/>
      <c r="BFC45" s="31"/>
      <c r="BFD45" s="30"/>
      <c r="BFE45" s="31"/>
      <c r="BFF45" s="30"/>
      <c r="BFG45" s="31"/>
      <c r="BFH45" s="30"/>
      <c r="BFI45" s="31"/>
      <c r="BFJ45" s="30"/>
      <c r="BFK45" s="31"/>
      <c r="BFL45" s="30"/>
      <c r="BFM45" s="31"/>
      <c r="BFN45" s="30"/>
      <c r="BFO45" s="31"/>
      <c r="BFP45" s="30"/>
      <c r="BFQ45" s="31"/>
      <c r="BFR45" s="30"/>
      <c r="BFS45" s="31"/>
      <c r="BFT45" s="30"/>
      <c r="BFU45" s="31"/>
      <c r="BFV45" s="30"/>
      <c r="BFW45" s="31"/>
      <c r="BFX45" s="30"/>
      <c r="BFY45" s="31"/>
      <c r="BFZ45" s="30"/>
      <c r="BGA45" s="31"/>
      <c r="BGB45" s="30"/>
      <c r="BGC45" s="31"/>
      <c r="BGD45" s="30"/>
      <c r="BGE45" s="31"/>
      <c r="BGF45" s="30"/>
      <c r="BGG45" s="31"/>
      <c r="BGH45" s="30"/>
      <c r="BGI45" s="31"/>
      <c r="BGJ45" s="30"/>
      <c r="BGK45" s="31"/>
      <c r="BGL45" s="30"/>
      <c r="BGM45" s="31"/>
      <c r="BGN45" s="30"/>
      <c r="BGO45" s="31"/>
      <c r="BGP45" s="30"/>
      <c r="BGQ45" s="31"/>
      <c r="BGR45" s="30"/>
      <c r="BGS45" s="31"/>
      <c r="BGT45" s="30"/>
      <c r="BGU45" s="31"/>
      <c r="BGV45" s="30"/>
      <c r="BGW45" s="31"/>
      <c r="BGX45" s="30"/>
      <c r="BGY45" s="31"/>
      <c r="BGZ45" s="30"/>
      <c r="BHA45" s="31"/>
      <c r="BHB45" s="30"/>
      <c r="BHC45" s="31"/>
      <c r="BHD45" s="30"/>
      <c r="BHE45" s="31"/>
      <c r="BHF45" s="30"/>
      <c r="BHG45" s="31"/>
      <c r="BHH45" s="30"/>
      <c r="BHI45" s="31"/>
      <c r="BHJ45" s="30"/>
      <c r="BHK45" s="31"/>
      <c r="BHL45" s="30"/>
      <c r="BHM45" s="31"/>
      <c r="BHN45" s="30"/>
      <c r="BHO45" s="31"/>
      <c r="BHP45" s="30"/>
      <c r="BHQ45" s="31"/>
      <c r="BHR45" s="30"/>
      <c r="BHS45" s="31"/>
      <c r="BHT45" s="30"/>
      <c r="BHU45" s="31"/>
      <c r="BHV45" s="30"/>
      <c r="BHW45" s="31"/>
      <c r="BHX45" s="30"/>
      <c r="BHY45" s="31"/>
      <c r="BHZ45" s="30"/>
      <c r="BIA45" s="31"/>
      <c r="BIB45" s="30"/>
      <c r="BIC45" s="31"/>
      <c r="BID45" s="30"/>
      <c r="BIE45" s="31"/>
      <c r="BIF45" s="30"/>
      <c r="BIG45" s="31"/>
      <c r="BIH45" s="30"/>
      <c r="BII45" s="31"/>
      <c r="BIJ45" s="30"/>
      <c r="BIK45" s="31"/>
      <c r="BIL45" s="30"/>
      <c r="BIM45" s="31"/>
      <c r="BIN45" s="30"/>
      <c r="BIO45" s="31"/>
      <c r="BIP45" s="30"/>
      <c r="BIQ45" s="31"/>
      <c r="BIR45" s="30"/>
      <c r="BIS45" s="31"/>
      <c r="BIT45" s="30"/>
      <c r="BIU45" s="31"/>
      <c r="BIV45" s="30"/>
      <c r="BIW45" s="31"/>
      <c r="BIX45" s="30"/>
      <c r="BIY45" s="31"/>
      <c r="BIZ45" s="30"/>
      <c r="BJA45" s="31"/>
      <c r="BJB45" s="30"/>
      <c r="BJC45" s="31"/>
      <c r="BJD45" s="30"/>
      <c r="BJE45" s="31"/>
      <c r="BJF45" s="30"/>
      <c r="BJG45" s="31"/>
      <c r="BJH45" s="30"/>
      <c r="BJI45" s="31"/>
      <c r="BJJ45" s="30"/>
      <c r="BJK45" s="31"/>
      <c r="BJL45" s="30"/>
      <c r="BJM45" s="31"/>
      <c r="BJN45" s="30"/>
      <c r="BJO45" s="31"/>
      <c r="BJP45" s="30"/>
      <c r="BJQ45" s="31"/>
      <c r="BJR45" s="30"/>
      <c r="BJS45" s="31"/>
      <c r="BJT45" s="30"/>
      <c r="BJU45" s="31"/>
      <c r="BJV45" s="30"/>
      <c r="BJW45" s="31"/>
      <c r="BJX45" s="30"/>
      <c r="BJY45" s="31"/>
      <c r="BJZ45" s="30"/>
      <c r="BKA45" s="31"/>
      <c r="BKB45" s="30"/>
      <c r="BKC45" s="31"/>
      <c r="BKD45" s="30"/>
      <c r="BKE45" s="31"/>
      <c r="BKF45" s="30"/>
      <c r="BKG45" s="31"/>
      <c r="BKH45" s="30"/>
      <c r="BKI45" s="31"/>
      <c r="BKJ45" s="30"/>
      <c r="BKK45" s="31"/>
      <c r="BKL45" s="30"/>
      <c r="BKM45" s="31"/>
      <c r="BKN45" s="30"/>
      <c r="BKO45" s="31"/>
      <c r="BKP45" s="30"/>
      <c r="BKQ45" s="31"/>
      <c r="BKR45" s="30"/>
      <c r="BKS45" s="31"/>
      <c r="BKT45" s="30"/>
      <c r="BKU45" s="31"/>
      <c r="BKV45" s="30"/>
      <c r="BKW45" s="31"/>
      <c r="BKX45" s="30"/>
      <c r="BKY45" s="31"/>
      <c r="BKZ45" s="30"/>
      <c r="BLA45" s="31"/>
      <c r="BLB45" s="30"/>
      <c r="BLC45" s="31"/>
      <c r="BLD45" s="30"/>
      <c r="BLE45" s="31"/>
      <c r="BLF45" s="30"/>
      <c r="BLG45" s="31"/>
      <c r="BLH45" s="30"/>
      <c r="BLI45" s="31"/>
      <c r="BLJ45" s="30"/>
      <c r="BLK45" s="31"/>
      <c r="BLL45" s="30"/>
      <c r="BLM45" s="31"/>
      <c r="BLN45" s="30"/>
      <c r="BLO45" s="31"/>
      <c r="BLP45" s="30"/>
      <c r="BLQ45" s="31"/>
      <c r="BLR45" s="30"/>
      <c r="BLS45" s="31"/>
      <c r="BLT45" s="30"/>
      <c r="BLU45" s="31"/>
      <c r="BLV45" s="30"/>
      <c r="BLW45" s="31"/>
      <c r="BLX45" s="30"/>
      <c r="BLY45" s="31"/>
      <c r="BLZ45" s="30"/>
      <c r="BMA45" s="31"/>
      <c r="BMB45" s="30"/>
      <c r="BMC45" s="31"/>
      <c r="BMD45" s="30"/>
      <c r="BME45" s="31"/>
      <c r="BMF45" s="30"/>
      <c r="BMG45" s="31"/>
      <c r="BMH45" s="30"/>
      <c r="BMI45" s="31"/>
      <c r="BMJ45" s="30"/>
      <c r="BMK45" s="31"/>
      <c r="BML45" s="30"/>
      <c r="BMM45" s="31"/>
      <c r="BMN45" s="30"/>
      <c r="BMO45" s="31"/>
      <c r="BMP45" s="30"/>
      <c r="BMQ45" s="31"/>
      <c r="BMR45" s="30"/>
      <c r="BMS45" s="31"/>
      <c r="BMT45" s="30"/>
      <c r="BMU45" s="31"/>
      <c r="BMV45" s="30"/>
      <c r="BMW45" s="31"/>
      <c r="BMX45" s="30"/>
      <c r="BMY45" s="31"/>
      <c r="BMZ45" s="30"/>
      <c r="BNA45" s="31"/>
      <c r="BNB45" s="30"/>
      <c r="BNC45" s="31"/>
      <c r="BND45" s="30"/>
      <c r="BNE45" s="31"/>
      <c r="BNF45" s="30"/>
      <c r="BNG45" s="31"/>
      <c r="BNH45" s="30"/>
      <c r="BNI45" s="31"/>
      <c r="BNJ45" s="30"/>
      <c r="BNK45" s="31"/>
      <c r="BNL45" s="30"/>
      <c r="BNM45" s="31"/>
      <c r="BNN45" s="30"/>
      <c r="BNO45" s="31"/>
      <c r="BNP45" s="30"/>
      <c r="BNQ45" s="31"/>
      <c r="BNR45" s="30"/>
      <c r="BNS45" s="31"/>
      <c r="BNT45" s="30"/>
      <c r="BNU45" s="31"/>
      <c r="BNV45" s="30"/>
      <c r="BNW45" s="31"/>
      <c r="BNX45" s="30"/>
      <c r="BNY45" s="31"/>
      <c r="BNZ45" s="30"/>
      <c r="BOA45" s="31"/>
      <c r="BOB45" s="30"/>
      <c r="BOC45" s="31"/>
      <c r="BOD45" s="30"/>
      <c r="BOE45" s="31"/>
      <c r="BOF45" s="30"/>
      <c r="BOG45" s="31"/>
      <c r="BOH45" s="30"/>
      <c r="BOI45" s="31"/>
      <c r="BOJ45" s="30"/>
      <c r="BOK45" s="31"/>
      <c r="BOL45" s="30"/>
      <c r="BOM45" s="31"/>
      <c r="BON45" s="30"/>
      <c r="BOO45" s="31"/>
      <c r="BOP45" s="30"/>
      <c r="BOQ45" s="31"/>
      <c r="BOR45" s="30"/>
      <c r="BOS45" s="31"/>
      <c r="BOT45" s="30"/>
      <c r="BOU45" s="31"/>
      <c r="BOV45" s="30"/>
      <c r="BOW45" s="31"/>
      <c r="BOX45" s="30"/>
      <c r="BOY45" s="31"/>
      <c r="BOZ45" s="30"/>
      <c r="BPA45" s="31"/>
      <c r="BPB45" s="30"/>
      <c r="BPC45" s="31"/>
      <c r="BPD45" s="30"/>
      <c r="BPE45" s="31"/>
      <c r="BPF45" s="30"/>
      <c r="BPG45" s="31"/>
      <c r="BPH45" s="30"/>
      <c r="BPI45" s="31"/>
      <c r="BPJ45" s="30"/>
      <c r="BPK45" s="31"/>
      <c r="BPL45" s="30"/>
      <c r="BPM45" s="31"/>
      <c r="BPN45" s="30"/>
      <c r="BPO45" s="31"/>
      <c r="BPP45" s="30"/>
      <c r="BPQ45" s="31"/>
      <c r="BPR45" s="30"/>
      <c r="BPS45" s="31"/>
      <c r="BPT45" s="30"/>
      <c r="BPU45" s="31"/>
      <c r="BPV45" s="30"/>
      <c r="BPW45" s="31"/>
      <c r="BPX45" s="30"/>
      <c r="BPY45" s="31"/>
      <c r="BPZ45" s="30"/>
      <c r="BQA45" s="31"/>
      <c r="BQB45" s="30"/>
      <c r="BQC45" s="31"/>
      <c r="BQD45" s="30"/>
      <c r="BQE45" s="31"/>
      <c r="BQF45" s="30"/>
      <c r="BQG45" s="31"/>
      <c r="BQH45" s="30"/>
      <c r="BQI45" s="31"/>
      <c r="BQJ45" s="30"/>
      <c r="BQK45" s="31"/>
      <c r="BQL45" s="30"/>
      <c r="BQM45" s="31"/>
      <c r="BQN45" s="30"/>
      <c r="BQO45" s="31"/>
      <c r="BQP45" s="30"/>
      <c r="BQQ45" s="31"/>
      <c r="BQR45" s="30"/>
      <c r="BQS45" s="31"/>
      <c r="BQT45" s="30"/>
      <c r="BQU45" s="31"/>
      <c r="BQV45" s="30"/>
      <c r="BQW45" s="31"/>
      <c r="BQX45" s="30"/>
      <c r="BQY45" s="31"/>
      <c r="BQZ45" s="30"/>
      <c r="BRA45" s="31"/>
      <c r="BRB45" s="30"/>
      <c r="BRC45" s="31"/>
      <c r="BRD45" s="30"/>
      <c r="BRE45" s="31"/>
      <c r="BRF45" s="30"/>
      <c r="BRG45" s="31"/>
      <c r="BRH45" s="30"/>
      <c r="BRI45" s="31"/>
      <c r="BRJ45" s="30"/>
      <c r="BRK45" s="31"/>
      <c r="BRL45" s="30"/>
      <c r="BRM45" s="31"/>
      <c r="BRN45" s="30"/>
      <c r="BRO45" s="31"/>
      <c r="BRP45" s="30"/>
      <c r="BRQ45" s="31"/>
      <c r="BRR45" s="30"/>
      <c r="BRS45" s="31"/>
      <c r="BRT45" s="30"/>
      <c r="BRU45" s="31"/>
      <c r="BRV45" s="30"/>
      <c r="BRW45" s="31"/>
      <c r="BRX45" s="30"/>
      <c r="BRY45" s="31"/>
      <c r="BRZ45" s="30"/>
      <c r="BSA45" s="31"/>
      <c r="BSB45" s="30"/>
      <c r="BSC45" s="31"/>
      <c r="BSD45" s="30"/>
      <c r="BSE45" s="31"/>
      <c r="BSF45" s="30"/>
      <c r="BSG45" s="31"/>
      <c r="BSH45" s="30"/>
      <c r="BSI45" s="31"/>
      <c r="BSJ45" s="30"/>
      <c r="BSK45" s="31"/>
      <c r="BSL45" s="30"/>
      <c r="BSM45" s="31"/>
      <c r="BSN45" s="30"/>
      <c r="BSO45" s="31"/>
      <c r="BSP45" s="30"/>
      <c r="BSQ45" s="31"/>
      <c r="BSR45" s="30"/>
      <c r="BSS45" s="31"/>
      <c r="BST45" s="30"/>
      <c r="BSU45" s="31"/>
      <c r="BSV45" s="30"/>
      <c r="BSW45" s="31"/>
      <c r="BSX45" s="30"/>
      <c r="BSY45" s="31"/>
      <c r="BSZ45" s="30"/>
      <c r="BTA45" s="31"/>
      <c r="BTB45" s="30"/>
      <c r="BTC45" s="31"/>
      <c r="BTD45" s="30"/>
      <c r="BTE45" s="31"/>
      <c r="BTF45" s="30"/>
      <c r="BTG45" s="31"/>
      <c r="BTH45" s="30"/>
      <c r="BTI45" s="31"/>
      <c r="BTJ45" s="30"/>
      <c r="BTK45" s="31"/>
      <c r="BTL45" s="30"/>
      <c r="BTM45" s="31"/>
      <c r="BTN45" s="30"/>
      <c r="BTO45" s="31"/>
      <c r="BTP45" s="30"/>
      <c r="BTQ45" s="31"/>
      <c r="BTR45" s="30"/>
      <c r="BTS45" s="31"/>
      <c r="BTT45" s="30"/>
      <c r="BTU45" s="31"/>
      <c r="BTV45" s="30"/>
      <c r="BTW45" s="31"/>
      <c r="BTX45" s="30"/>
      <c r="BTY45" s="31"/>
      <c r="BTZ45" s="30"/>
      <c r="BUA45" s="31"/>
      <c r="BUB45" s="30"/>
      <c r="BUC45" s="31"/>
      <c r="BUD45" s="30"/>
      <c r="BUE45" s="31"/>
      <c r="BUF45" s="30"/>
      <c r="BUG45" s="31"/>
      <c r="BUH45" s="30"/>
      <c r="BUI45" s="31"/>
      <c r="BUJ45" s="30"/>
      <c r="BUK45" s="31"/>
      <c r="BUL45" s="30"/>
      <c r="BUM45" s="31"/>
      <c r="BUN45" s="30"/>
      <c r="BUO45" s="31"/>
      <c r="BUP45" s="30"/>
      <c r="BUQ45" s="31"/>
      <c r="BUR45" s="30"/>
      <c r="BUS45" s="31"/>
      <c r="BUT45" s="30"/>
      <c r="BUU45" s="31"/>
      <c r="BUV45" s="30"/>
      <c r="BUW45" s="31"/>
      <c r="BUX45" s="30"/>
      <c r="BUY45" s="31"/>
      <c r="BUZ45" s="30"/>
      <c r="BVA45" s="31"/>
      <c r="BVB45" s="30"/>
      <c r="BVC45" s="31"/>
      <c r="BVD45" s="30"/>
      <c r="BVE45" s="31"/>
      <c r="BVF45" s="30"/>
      <c r="BVG45" s="31"/>
      <c r="BVH45" s="30"/>
      <c r="BVI45" s="31"/>
      <c r="BVJ45" s="30"/>
      <c r="BVK45" s="31"/>
      <c r="BVL45" s="30"/>
      <c r="BVM45" s="31"/>
      <c r="BVN45" s="30"/>
      <c r="BVO45" s="31"/>
      <c r="BVP45" s="30"/>
      <c r="BVQ45" s="31"/>
      <c r="BVR45" s="30"/>
      <c r="BVS45" s="31"/>
      <c r="BVT45" s="30"/>
      <c r="BVU45" s="31"/>
      <c r="BVV45" s="30"/>
      <c r="BVW45" s="31"/>
      <c r="BVX45" s="30"/>
      <c r="BVY45" s="31"/>
      <c r="BVZ45" s="30"/>
      <c r="BWA45" s="31"/>
      <c r="BWB45" s="30"/>
      <c r="BWC45" s="31"/>
      <c r="BWD45" s="30"/>
      <c r="BWE45" s="31"/>
      <c r="BWF45" s="30"/>
      <c r="BWG45" s="31"/>
      <c r="BWH45" s="30"/>
      <c r="BWI45" s="31"/>
      <c r="BWJ45" s="30"/>
      <c r="BWK45" s="31"/>
      <c r="BWL45" s="30"/>
      <c r="BWM45" s="31"/>
      <c r="BWN45" s="30"/>
      <c r="BWO45" s="31"/>
      <c r="BWP45" s="30"/>
      <c r="BWQ45" s="31"/>
      <c r="BWR45" s="30"/>
      <c r="BWS45" s="31"/>
      <c r="BWT45" s="30"/>
      <c r="BWU45" s="31"/>
      <c r="BWV45" s="30"/>
      <c r="BWW45" s="31"/>
      <c r="BWX45" s="30"/>
      <c r="BWY45" s="31"/>
      <c r="BWZ45" s="30"/>
      <c r="BXA45" s="31"/>
      <c r="BXB45" s="30"/>
      <c r="BXC45" s="31"/>
      <c r="BXD45" s="30"/>
      <c r="BXE45" s="31"/>
      <c r="BXF45" s="30"/>
      <c r="BXG45" s="31"/>
      <c r="BXH45" s="30"/>
      <c r="BXI45" s="31"/>
      <c r="BXJ45" s="30"/>
      <c r="BXK45" s="31"/>
      <c r="BXL45" s="30"/>
      <c r="BXM45" s="31"/>
      <c r="BXN45" s="30"/>
      <c r="BXO45" s="31"/>
      <c r="BXP45" s="30"/>
      <c r="BXQ45" s="31"/>
      <c r="BXR45" s="30"/>
      <c r="BXS45" s="31"/>
      <c r="BXT45" s="30"/>
      <c r="BXU45" s="31"/>
      <c r="BXV45" s="30"/>
      <c r="BXW45" s="31"/>
      <c r="BXX45" s="30"/>
      <c r="BXY45" s="31"/>
      <c r="BXZ45" s="30"/>
      <c r="BYA45" s="31"/>
      <c r="BYB45" s="30"/>
      <c r="BYC45" s="31"/>
      <c r="BYD45" s="30"/>
      <c r="BYE45" s="31"/>
      <c r="BYF45" s="30"/>
      <c r="BYG45" s="31"/>
      <c r="BYH45" s="30"/>
      <c r="BYI45" s="31"/>
      <c r="BYJ45" s="30"/>
      <c r="BYK45" s="31"/>
      <c r="BYL45" s="30"/>
      <c r="BYM45" s="31"/>
      <c r="BYN45" s="30"/>
      <c r="BYO45" s="31"/>
      <c r="BYP45" s="30"/>
      <c r="BYQ45" s="31"/>
      <c r="BYR45" s="30"/>
      <c r="BYS45" s="31"/>
      <c r="BYT45" s="30"/>
      <c r="BYU45" s="31"/>
      <c r="BYV45" s="30"/>
      <c r="BYW45" s="31"/>
      <c r="BYX45" s="30"/>
      <c r="BYY45" s="31"/>
      <c r="BYZ45" s="30"/>
      <c r="BZA45" s="31"/>
      <c r="BZB45" s="30"/>
      <c r="BZC45" s="31"/>
      <c r="BZD45" s="30"/>
      <c r="BZE45" s="31"/>
      <c r="BZF45" s="30"/>
      <c r="BZG45" s="31"/>
      <c r="BZH45" s="30"/>
      <c r="BZI45" s="31"/>
      <c r="BZJ45" s="30"/>
      <c r="BZK45" s="31"/>
      <c r="BZL45" s="30"/>
      <c r="BZM45" s="31"/>
      <c r="BZN45" s="30"/>
      <c r="BZO45" s="31"/>
      <c r="BZP45" s="30"/>
      <c r="BZQ45" s="31"/>
      <c r="BZR45" s="30"/>
      <c r="BZS45" s="31"/>
      <c r="BZT45" s="30"/>
      <c r="BZU45" s="31"/>
      <c r="BZV45" s="30"/>
      <c r="BZW45" s="31"/>
      <c r="BZX45" s="30"/>
      <c r="BZY45" s="31"/>
      <c r="BZZ45" s="30"/>
      <c r="CAA45" s="31"/>
      <c r="CAB45" s="30"/>
      <c r="CAC45" s="31"/>
      <c r="CAD45" s="30"/>
      <c r="CAE45" s="31"/>
      <c r="CAF45" s="30"/>
      <c r="CAG45" s="31"/>
      <c r="CAH45" s="30"/>
      <c r="CAI45" s="31"/>
      <c r="CAJ45" s="30"/>
      <c r="CAK45" s="31"/>
      <c r="CAL45" s="30"/>
      <c r="CAM45" s="31"/>
      <c r="CAN45" s="30"/>
      <c r="CAO45" s="31"/>
      <c r="CAP45" s="30"/>
      <c r="CAQ45" s="31"/>
      <c r="CAR45" s="30"/>
      <c r="CAS45" s="31"/>
      <c r="CAT45" s="30"/>
      <c r="CAU45" s="31"/>
      <c r="CAV45" s="30"/>
      <c r="CAW45" s="31"/>
      <c r="CAX45" s="30"/>
      <c r="CAY45" s="31"/>
      <c r="CAZ45" s="30"/>
      <c r="CBA45" s="31"/>
      <c r="CBB45" s="30"/>
      <c r="CBC45" s="31"/>
      <c r="CBD45" s="30"/>
      <c r="CBE45" s="31"/>
      <c r="CBF45" s="30"/>
      <c r="CBG45" s="31"/>
      <c r="CBH45" s="30"/>
      <c r="CBI45" s="31"/>
      <c r="CBJ45" s="30"/>
      <c r="CBK45" s="31"/>
      <c r="CBL45" s="30"/>
      <c r="CBM45" s="31"/>
      <c r="CBN45" s="30"/>
      <c r="CBO45" s="31"/>
      <c r="CBP45" s="30"/>
      <c r="CBQ45" s="31"/>
      <c r="CBR45" s="30"/>
      <c r="CBS45" s="31"/>
      <c r="CBT45" s="30"/>
      <c r="CBU45" s="31"/>
      <c r="CBV45" s="30"/>
      <c r="CBW45" s="31"/>
      <c r="CBX45" s="30"/>
      <c r="CBY45" s="31"/>
      <c r="CBZ45" s="30"/>
      <c r="CCA45" s="31"/>
      <c r="CCB45" s="30"/>
      <c r="CCC45" s="31"/>
      <c r="CCD45" s="30"/>
      <c r="CCE45" s="31"/>
      <c r="CCF45" s="30"/>
      <c r="CCG45" s="31"/>
      <c r="CCH45" s="30"/>
      <c r="CCI45" s="31"/>
      <c r="CCJ45" s="30"/>
      <c r="CCK45" s="31"/>
      <c r="CCL45" s="30"/>
      <c r="CCM45" s="31"/>
      <c r="CCN45" s="30"/>
      <c r="CCO45" s="31"/>
      <c r="CCP45" s="30"/>
      <c r="CCQ45" s="31"/>
      <c r="CCR45" s="30"/>
      <c r="CCS45" s="31"/>
      <c r="CCT45" s="30"/>
      <c r="CCU45" s="31"/>
      <c r="CCV45" s="30"/>
      <c r="CCW45" s="31"/>
      <c r="CCX45" s="30"/>
      <c r="CCY45" s="31"/>
      <c r="CCZ45" s="30"/>
      <c r="CDA45" s="31"/>
      <c r="CDB45" s="30"/>
      <c r="CDC45" s="31"/>
      <c r="CDD45" s="30"/>
      <c r="CDE45" s="31"/>
      <c r="CDF45" s="30"/>
      <c r="CDG45" s="31"/>
      <c r="CDH45" s="30"/>
      <c r="CDI45" s="31"/>
      <c r="CDJ45" s="30"/>
      <c r="CDK45" s="31"/>
      <c r="CDL45" s="30"/>
      <c r="CDM45" s="31"/>
      <c r="CDN45" s="30"/>
      <c r="CDO45" s="31"/>
      <c r="CDP45" s="30"/>
      <c r="CDQ45" s="31"/>
      <c r="CDR45" s="30"/>
      <c r="CDS45" s="31"/>
      <c r="CDT45" s="30"/>
      <c r="CDU45" s="31"/>
      <c r="CDV45" s="30"/>
      <c r="CDW45" s="31"/>
      <c r="CDX45" s="30"/>
      <c r="CDY45" s="31"/>
      <c r="CDZ45" s="30"/>
      <c r="CEA45" s="31"/>
      <c r="CEB45" s="30"/>
      <c r="CEC45" s="31"/>
      <c r="CED45" s="30"/>
      <c r="CEE45" s="31"/>
      <c r="CEF45" s="30"/>
      <c r="CEG45" s="31"/>
      <c r="CEH45" s="30"/>
      <c r="CEI45" s="31"/>
      <c r="CEJ45" s="30"/>
      <c r="CEK45" s="31"/>
      <c r="CEL45" s="30"/>
      <c r="CEM45" s="31"/>
      <c r="CEN45" s="30"/>
      <c r="CEO45" s="31"/>
      <c r="CEP45" s="30"/>
      <c r="CEQ45" s="31"/>
      <c r="CER45" s="30"/>
      <c r="CES45" s="31"/>
      <c r="CET45" s="30"/>
      <c r="CEU45" s="31"/>
      <c r="CEV45" s="30"/>
      <c r="CEW45" s="31"/>
      <c r="CEX45" s="30"/>
      <c r="CEY45" s="31"/>
      <c r="CEZ45" s="30"/>
      <c r="CFA45" s="31"/>
      <c r="CFB45" s="30"/>
      <c r="CFC45" s="31"/>
      <c r="CFD45" s="30"/>
      <c r="CFE45" s="31"/>
      <c r="CFF45" s="30"/>
      <c r="CFG45" s="31"/>
      <c r="CFH45" s="30"/>
      <c r="CFI45" s="31"/>
      <c r="CFJ45" s="30"/>
      <c r="CFK45" s="31"/>
      <c r="CFL45" s="30"/>
      <c r="CFM45" s="31"/>
      <c r="CFN45" s="30"/>
      <c r="CFO45" s="31"/>
      <c r="CFP45" s="30"/>
      <c r="CFQ45" s="31"/>
      <c r="CFR45" s="30"/>
      <c r="CFS45" s="31"/>
      <c r="CFT45" s="30"/>
      <c r="CFU45" s="31"/>
      <c r="CFV45" s="30"/>
      <c r="CFW45" s="31"/>
      <c r="CFX45" s="30"/>
      <c r="CFY45" s="31"/>
      <c r="CFZ45" s="30"/>
      <c r="CGA45" s="31"/>
      <c r="CGB45" s="30"/>
      <c r="CGC45" s="31"/>
      <c r="CGD45" s="30"/>
      <c r="CGE45" s="31"/>
      <c r="CGF45" s="30"/>
      <c r="CGG45" s="31"/>
      <c r="CGH45" s="30"/>
      <c r="CGI45" s="31"/>
      <c r="CGJ45" s="30"/>
      <c r="CGK45" s="31"/>
      <c r="CGL45" s="30"/>
      <c r="CGM45" s="31"/>
      <c r="CGN45" s="30"/>
      <c r="CGO45" s="31"/>
      <c r="CGP45" s="30"/>
      <c r="CGQ45" s="31"/>
      <c r="CGR45" s="30"/>
      <c r="CGS45" s="31"/>
      <c r="CGT45" s="30"/>
      <c r="CGU45" s="31"/>
      <c r="CGV45" s="30"/>
      <c r="CGW45" s="31"/>
      <c r="CGX45" s="30"/>
      <c r="CGY45" s="31"/>
      <c r="CGZ45" s="30"/>
      <c r="CHA45" s="31"/>
      <c r="CHB45" s="30"/>
      <c r="CHC45" s="31"/>
      <c r="CHD45" s="30"/>
      <c r="CHE45" s="31"/>
      <c r="CHF45" s="30"/>
      <c r="CHG45" s="31"/>
      <c r="CHH45" s="30"/>
      <c r="CHI45" s="31"/>
      <c r="CHJ45" s="30"/>
      <c r="CHK45" s="31"/>
      <c r="CHL45" s="30"/>
      <c r="CHM45" s="31"/>
      <c r="CHN45" s="30"/>
      <c r="CHO45" s="31"/>
      <c r="CHP45" s="30"/>
      <c r="CHQ45" s="31"/>
      <c r="CHR45" s="30"/>
      <c r="CHS45" s="31"/>
      <c r="CHT45" s="30"/>
      <c r="CHU45" s="31"/>
      <c r="CHV45" s="30"/>
      <c r="CHW45" s="31"/>
      <c r="CHX45" s="30"/>
      <c r="CHY45" s="31"/>
      <c r="CHZ45" s="30"/>
      <c r="CIA45" s="31"/>
      <c r="CIB45" s="30"/>
      <c r="CIC45" s="31"/>
      <c r="CID45" s="30"/>
      <c r="CIE45" s="31"/>
      <c r="CIF45" s="30"/>
      <c r="CIG45" s="31"/>
      <c r="CIH45" s="30"/>
      <c r="CII45" s="31"/>
      <c r="CIJ45" s="30"/>
      <c r="CIK45" s="31"/>
      <c r="CIL45" s="30"/>
      <c r="CIM45" s="31"/>
      <c r="CIN45" s="30"/>
      <c r="CIO45" s="31"/>
      <c r="CIP45" s="30"/>
      <c r="CIQ45" s="31"/>
      <c r="CIR45" s="30"/>
      <c r="CIS45" s="31"/>
      <c r="CIT45" s="30"/>
      <c r="CIU45" s="31"/>
      <c r="CIV45" s="30"/>
      <c r="CIW45" s="31"/>
      <c r="CIX45" s="30"/>
      <c r="CIY45" s="31"/>
      <c r="CIZ45" s="30"/>
      <c r="CJA45" s="31"/>
      <c r="CJB45" s="30"/>
      <c r="CJC45" s="31"/>
      <c r="CJD45" s="30"/>
      <c r="CJE45" s="31"/>
      <c r="CJF45" s="30"/>
      <c r="CJG45" s="31"/>
      <c r="CJH45" s="30"/>
      <c r="CJI45" s="31"/>
      <c r="CJJ45" s="30"/>
      <c r="CJK45" s="31"/>
      <c r="CJL45" s="30"/>
      <c r="CJM45" s="31"/>
      <c r="CJN45" s="30"/>
      <c r="CJO45" s="31"/>
      <c r="CJP45" s="30"/>
      <c r="CJQ45" s="31"/>
      <c r="CJR45" s="30"/>
      <c r="CJS45" s="31"/>
      <c r="CJT45" s="30"/>
      <c r="CJU45" s="31"/>
      <c r="CJV45" s="30"/>
      <c r="CJW45" s="31"/>
      <c r="CJX45" s="30"/>
      <c r="CJY45" s="31"/>
      <c r="CJZ45" s="30"/>
      <c r="CKA45" s="31"/>
      <c r="CKB45" s="30"/>
      <c r="CKC45" s="31"/>
      <c r="CKD45" s="30"/>
      <c r="CKE45" s="31"/>
      <c r="CKF45" s="30"/>
      <c r="CKG45" s="31"/>
      <c r="CKH45" s="30"/>
      <c r="CKI45" s="31"/>
      <c r="CKJ45" s="30"/>
      <c r="CKK45" s="31"/>
      <c r="CKL45" s="30"/>
      <c r="CKM45" s="31"/>
      <c r="CKN45" s="30"/>
      <c r="CKO45" s="31"/>
      <c r="CKP45" s="30"/>
      <c r="CKQ45" s="31"/>
      <c r="CKR45" s="30"/>
      <c r="CKS45" s="31"/>
      <c r="CKT45" s="30"/>
      <c r="CKU45" s="31"/>
      <c r="CKV45" s="30"/>
      <c r="CKW45" s="31"/>
      <c r="CKX45" s="30"/>
      <c r="CKY45" s="31"/>
      <c r="CKZ45" s="30"/>
      <c r="CLA45" s="31"/>
      <c r="CLB45" s="30"/>
      <c r="CLC45" s="31"/>
      <c r="CLD45" s="30"/>
      <c r="CLE45" s="31"/>
      <c r="CLF45" s="30"/>
      <c r="CLG45" s="31"/>
      <c r="CLH45" s="30"/>
      <c r="CLI45" s="31"/>
      <c r="CLJ45" s="30"/>
      <c r="CLK45" s="31"/>
      <c r="CLL45" s="30"/>
      <c r="CLM45" s="31"/>
      <c r="CLN45" s="30"/>
      <c r="CLO45" s="31"/>
      <c r="CLP45" s="30"/>
      <c r="CLQ45" s="31"/>
      <c r="CLR45" s="30"/>
      <c r="CLS45" s="31"/>
      <c r="CLT45" s="30"/>
      <c r="CLU45" s="31"/>
      <c r="CLV45" s="30"/>
      <c r="CLW45" s="31"/>
      <c r="CLX45" s="30"/>
      <c r="CLY45" s="31"/>
      <c r="CLZ45" s="30"/>
      <c r="CMA45" s="31"/>
      <c r="CMB45" s="30"/>
      <c r="CMC45" s="31"/>
      <c r="CMD45" s="30"/>
      <c r="CME45" s="31"/>
      <c r="CMF45" s="30"/>
      <c r="CMG45" s="31"/>
      <c r="CMH45" s="30"/>
      <c r="CMI45" s="31"/>
      <c r="CMJ45" s="30"/>
      <c r="CMK45" s="31"/>
      <c r="CML45" s="30"/>
      <c r="CMM45" s="31"/>
      <c r="CMN45" s="30"/>
      <c r="CMO45" s="31"/>
      <c r="CMP45" s="30"/>
      <c r="CMQ45" s="31"/>
      <c r="CMR45" s="30"/>
      <c r="CMS45" s="31"/>
      <c r="CMT45" s="30"/>
      <c r="CMU45" s="31"/>
      <c r="CMV45" s="30"/>
      <c r="CMW45" s="31"/>
      <c r="CMX45" s="30"/>
      <c r="CMY45" s="31"/>
      <c r="CMZ45" s="30"/>
      <c r="CNA45" s="31"/>
      <c r="CNB45" s="30"/>
      <c r="CNC45" s="31"/>
      <c r="CND45" s="30"/>
      <c r="CNE45" s="31"/>
      <c r="CNF45" s="30"/>
      <c r="CNG45" s="31"/>
      <c r="CNH45" s="30"/>
      <c r="CNI45" s="31"/>
      <c r="CNJ45" s="30"/>
      <c r="CNK45" s="31"/>
      <c r="CNL45" s="30"/>
      <c r="CNM45" s="31"/>
      <c r="CNN45" s="30"/>
      <c r="CNO45" s="31"/>
      <c r="CNP45" s="30"/>
      <c r="CNQ45" s="31"/>
      <c r="CNR45" s="30"/>
      <c r="CNS45" s="31"/>
      <c r="CNT45" s="30"/>
      <c r="CNU45" s="31"/>
      <c r="CNV45" s="30"/>
      <c r="CNW45" s="31"/>
      <c r="CNX45" s="30"/>
      <c r="CNY45" s="31"/>
      <c r="CNZ45" s="30"/>
      <c r="COA45" s="31"/>
      <c r="COB45" s="30"/>
      <c r="COC45" s="31"/>
      <c r="COD45" s="30"/>
      <c r="COE45" s="31"/>
      <c r="COF45" s="30"/>
      <c r="COG45" s="31"/>
      <c r="COH45" s="30"/>
      <c r="COI45" s="31"/>
      <c r="COJ45" s="30"/>
      <c r="COK45" s="31"/>
      <c r="COL45" s="30"/>
      <c r="COM45" s="31"/>
      <c r="CON45" s="30"/>
      <c r="COO45" s="31"/>
      <c r="COP45" s="30"/>
      <c r="COQ45" s="31"/>
      <c r="COR45" s="30"/>
      <c r="COS45" s="31"/>
      <c r="COT45" s="30"/>
      <c r="COU45" s="31"/>
      <c r="COV45" s="30"/>
      <c r="COW45" s="31"/>
      <c r="COX45" s="30"/>
      <c r="COY45" s="31"/>
      <c r="COZ45" s="30"/>
      <c r="CPA45" s="31"/>
      <c r="CPB45" s="30"/>
      <c r="CPC45" s="31"/>
      <c r="CPD45" s="30"/>
      <c r="CPE45" s="31"/>
      <c r="CPF45" s="30"/>
      <c r="CPG45" s="31"/>
      <c r="CPH45" s="30"/>
      <c r="CPI45" s="31"/>
      <c r="CPJ45" s="30"/>
      <c r="CPK45" s="31"/>
      <c r="CPL45" s="30"/>
      <c r="CPM45" s="31"/>
      <c r="CPN45" s="30"/>
      <c r="CPO45" s="31"/>
      <c r="CPP45" s="30"/>
      <c r="CPQ45" s="31"/>
      <c r="CPR45" s="30"/>
      <c r="CPS45" s="31"/>
      <c r="CPT45" s="30"/>
      <c r="CPU45" s="31"/>
      <c r="CPV45" s="30"/>
      <c r="CPW45" s="31"/>
      <c r="CPX45" s="30"/>
      <c r="CPY45" s="31"/>
      <c r="CPZ45" s="30"/>
      <c r="CQA45" s="31"/>
      <c r="CQB45" s="30"/>
      <c r="CQC45" s="31"/>
      <c r="CQD45" s="30"/>
      <c r="CQE45" s="31"/>
      <c r="CQF45" s="30"/>
      <c r="CQG45" s="31"/>
      <c r="CQH45" s="30"/>
      <c r="CQI45" s="31"/>
      <c r="CQJ45" s="30"/>
      <c r="CQK45" s="31"/>
      <c r="CQL45" s="30"/>
      <c r="CQM45" s="31"/>
      <c r="CQN45" s="30"/>
      <c r="CQO45" s="31"/>
      <c r="CQP45" s="30"/>
      <c r="CQQ45" s="31"/>
      <c r="CQR45" s="30"/>
      <c r="CQS45" s="31"/>
      <c r="CQT45" s="30"/>
      <c r="CQU45" s="31"/>
      <c r="CQV45" s="30"/>
      <c r="CQW45" s="31"/>
      <c r="CQX45" s="30"/>
      <c r="CQY45" s="31"/>
      <c r="CQZ45" s="30"/>
      <c r="CRA45" s="31"/>
      <c r="CRB45" s="30"/>
      <c r="CRC45" s="31"/>
      <c r="CRD45" s="30"/>
      <c r="CRE45" s="31"/>
      <c r="CRF45" s="30"/>
      <c r="CRG45" s="31"/>
      <c r="CRH45" s="30"/>
      <c r="CRI45" s="31"/>
      <c r="CRJ45" s="30"/>
      <c r="CRK45" s="31"/>
      <c r="CRL45" s="30"/>
      <c r="CRM45" s="31"/>
      <c r="CRN45" s="30"/>
      <c r="CRO45" s="31"/>
      <c r="CRP45" s="30"/>
      <c r="CRQ45" s="31"/>
      <c r="CRR45" s="30"/>
      <c r="CRS45" s="31"/>
      <c r="CRT45" s="30"/>
      <c r="CRU45" s="31"/>
      <c r="CRV45" s="30"/>
      <c r="CRW45" s="31"/>
      <c r="CRX45" s="30"/>
      <c r="CRY45" s="31"/>
      <c r="CRZ45" s="30"/>
      <c r="CSA45" s="31"/>
      <c r="CSB45" s="30"/>
      <c r="CSC45" s="31"/>
      <c r="CSD45" s="30"/>
      <c r="CSE45" s="31"/>
      <c r="CSF45" s="30"/>
      <c r="CSG45" s="31"/>
      <c r="CSH45" s="30"/>
      <c r="CSI45" s="31"/>
      <c r="CSJ45" s="30"/>
      <c r="CSK45" s="31"/>
      <c r="CSL45" s="30"/>
      <c r="CSM45" s="31"/>
      <c r="CSN45" s="30"/>
      <c r="CSO45" s="31"/>
      <c r="CSP45" s="30"/>
      <c r="CSQ45" s="31"/>
      <c r="CSR45" s="30"/>
      <c r="CSS45" s="31"/>
      <c r="CST45" s="30"/>
      <c r="CSU45" s="31"/>
      <c r="CSV45" s="30"/>
      <c r="CSW45" s="31"/>
      <c r="CSX45" s="30"/>
      <c r="CSY45" s="31"/>
      <c r="CSZ45" s="30"/>
      <c r="CTA45" s="31"/>
      <c r="CTB45" s="30"/>
      <c r="CTC45" s="31"/>
      <c r="CTD45" s="30"/>
      <c r="CTE45" s="31"/>
      <c r="CTF45" s="30"/>
      <c r="CTG45" s="31"/>
      <c r="CTH45" s="30"/>
      <c r="CTI45" s="31"/>
      <c r="CTJ45" s="30"/>
      <c r="CTK45" s="31"/>
      <c r="CTL45" s="30"/>
      <c r="CTM45" s="31"/>
      <c r="CTN45" s="30"/>
      <c r="CTO45" s="31"/>
      <c r="CTP45" s="30"/>
      <c r="CTQ45" s="31"/>
      <c r="CTR45" s="30"/>
      <c r="CTS45" s="31"/>
      <c r="CTT45" s="30"/>
      <c r="CTU45" s="31"/>
      <c r="CTV45" s="30"/>
      <c r="CTW45" s="31"/>
      <c r="CTX45" s="30"/>
      <c r="CTY45" s="31"/>
      <c r="CTZ45" s="30"/>
      <c r="CUA45" s="31"/>
      <c r="CUB45" s="30"/>
      <c r="CUC45" s="31"/>
      <c r="CUD45" s="30"/>
      <c r="CUE45" s="31"/>
      <c r="CUF45" s="30"/>
      <c r="CUG45" s="31"/>
      <c r="CUH45" s="30"/>
      <c r="CUI45" s="31"/>
      <c r="CUJ45" s="30"/>
      <c r="CUK45" s="31"/>
      <c r="CUL45" s="30"/>
      <c r="CUM45" s="31"/>
      <c r="CUN45" s="30"/>
      <c r="CUO45" s="31"/>
      <c r="CUP45" s="30"/>
      <c r="CUQ45" s="31"/>
      <c r="CUR45" s="30"/>
      <c r="CUS45" s="31"/>
      <c r="CUT45" s="30"/>
      <c r="CUU45" s="31"/>
      <c r="CUV45" s="30"/>
      <c r="CUW45" s="31"/>
      <c r="CUX45" s="30"/>
      <c r="CUY45" s="31"/>
      <c r="CUZ45" s="30"/>
      <c r="CVA45" s="31"/>
      <c r="CVB45" s="30"/>
      <c r="CVC45" s="31"/>
      <c r="CVD45" s="30"/>
      <c r="CVE45" s="31"/>
      <c r="CVF45" s="30"/>
      <c r="CVG45" s="31"/>
      <c r="CVH45" s="30"/>
      <c r="CVI45" s="31"/>
      <c r="CVJ45" s="30"/>
      <c r="CVK45" s="31"/>
      <c r="CVL45" s="30"/>
      <c r="CVM45" s="31"/>
      <c r="CVN45" s="30"/>
      <c r="CVO45" s="31"/>
      <c r="CVP45" s="30"/>
      <c r="CVQ45" s="31"/>
      <c r="CVR45" s="30"/>
      <c r="CVS45" s="31"/>
      <c r="CVT45" s="30"/>
      <c r="CVU45" s="31"/>
      <c r="CVV45" s="30"/>
      <c r="CVW45" s="31"/>
      <c r="CVX45" s="30"/>
      <c r="CVY45" s="31"/>
      <c r="CVZ45" s="30"/>
      <c r="CWA45" s="31"/>
      <c r="CWB45" s="30"/>
      <c r="CWC45" s="31"/>
      <c r="CWD45" s="30"/>
      <c r="CWE45" s="31"/>
      <c r="CWF45" s="30"/>
      <c r="CWG45" s="31"/>
      <c r="CWH45" s="30"/>
      <c r="CWI45" s="31"/>
      <c r="CWJ45" s="30"/>
      <c r="CWK45" s="31"/>
      <c r="CWL45" s="30"/>
      <c r="CWM45" s="31"/>
      <c r="CWN45" s="30"/>
      <c r="CWO45" s="31"/>
      <c r="CWP45" s="30"/>
      <c r="CWQ45" s="31"/>
      <c r="CWR45" s="30"/>
      <c r="CWS45" s="31"/>
      <c r="CWT45" s="30"/>
      <c r="CWU45" s="31"/>
      <c r="CWV45" s="30"/>
      <c r="CWW45" s="31"/>
      <c r="CWX45" s="30"/>
      <c r="CWY45" s="31"/>
      <c r="CWZ45" s="30"/>
      <c r="CXA45" s="31"/>
      <c r="CXB45" s="30"/>
      <c r="CXC45" s="31"/>
      <c r="CXD45" s="30"/>
      <c r="CXE45" s="31"/>
      <c r="CXF45" s="30"/>
      <c r="CXG45" s="31"/>
      <c r="CXH45" s="30"/>
      <c r="CXI45" s="31"/>
      <c r="CXJ45" s="30"/>
      <c r="CXK45" s="31"/>
      <c r="CXL45" s="30"/>
      <c r="CXM45" s="31"/>
      <c r="CXN45" s="30"/>
      <c r="CXO45" s="31"/>
      <c r="CXP45" s="30"/>
      <c r="CXQ45" s="31"/>
      <c r="CXR45" s="30"/>
      <c r="CXS45" s="31"/>
      <c r="CXT45" s="30"/>
      <c r="CXU45" s="31"/>
      <c r="CXV45" s="30"/>
      <c r="CXW45" s="31"/>
      <c r="CXX45" s="30"/>
      <c r="CXY45" s="31"/>
      <c r="CXZ45" s="30"/>
      <c r="CYA45" s="31"/>
      <c r="CYB45" s="30"/>
      <c r="CYC45" s="31"/>
      <c r="CYD45" s="30"/>
      <c r="CYE45" s="31"/>
      <c r="CYF45" s="30"/>
      <c r="CYG45" s="31"/>
      <c r="CYH45" s="30"/>
      <c r="CYI45" s="31"/>
      <c r="CYJ45" s="30"/>
      <c r="CYK45" s="31"/>
      <c r="CYL45" s="30"/>
      <c r="CYM45" s="31"/>
      <c r="CYN45" s="30"/>
      <c r="CYO45" s="31"/>
      <c r="CYP45" s="30"/>
      <c r="CYQ45" s="31"/>
      <c r="CYR45" s="30"/>
      <c r="CYS45" s="31"/>
      <c r="CYT45" s="30"/>
      <c r="CYU45" s="31"/>
      <c r="CYV45" s="30"/>
      <c r="CYW45" s="31"/>
      <c r="CYX45" s="30"/>
      <c r="CYY45" s="31"/>
      <c r="CYZ45" s="30"/>
      <c r="CZA45" s="31"/>
      <c r="CZB45" s="30"/>
      <c r="CZC45" s="31"/>
      <c r="CZD45" s="30"/>
      <c r="CZE45" s="31"/>
      <c r="CZF45" s="30"/>
      <c r="CZG45" s="31"/>
      <c r="CZH45" s="30"/>
      <c r="CZI45" s="31"/>
      <c r="CZJ45" s="30"/>
      <c r="CZK45" s="31"/>
      <c r="CZL45" s="30"/>
      <c r="CZM45" s="31"/>
      <c r="CZN45" s="30"/>
      <c r="CZO45" s="31"/>
      <c r="CZP45" s="30"/>
      <c r="CZQ45" s="31"/>
      <c r="CZR45" s="30"/>
      <c r="CZS45" s="31"/>
      <c r="CZT45" s="30"/>
      <c r="CZU45" s="31"/>
      <c r="CZV45" s="30"/>
      <c r="CZW45" s="31"/>
      <c r="CZX45" s="30"/>
      <c r="CZY45" s="31"/>
      <c r="CZZ45" s="30"/>
      <c r="DAA45" s="31"/>
      <c r="DAB45" s="30"/>
      <c r="DAC45" s="31"/>
      <c r="DAD45" s="30"/>
      <c r="DAE45" s="31"/>
      <c r="DAF45" s="30"/>
      <c r="DAG45" s="31"/>
      <c r="DAH45" s="30"/>
      <c r="DAI45" s="31"/>
      <c r="DAJ45" s="30"/>
      <c r="DAK45" s="31"/>
      <c r="DAL45" s="30"/>
      <c r="DAM45" s="31"/>
      <c r="DAN45" s="30"/>
      <c r="DAO45" s="31"/>
      <c r="DAP45" s="30"/>
      <c r="DAQ45" s="31"/>
      <c r="DAR45" s="30"/>
      <c r="DAS45" s="31"/>
      <c r="DAT45" s="30"/>
      <c r="DAU45" s="31"/>
      <c r="DAV45" s="30"/>
      <c r="DAW45" s="31"/>
      <c r="DAX45" s="30"/>
      <c r="DAY45" s="31"/>
      <c r="DAZ45" s="30"/>
      <c r="DBA45" s="31"/>
      <c r="DBB45" s="30"/>
      <c r="DBC45" s="31"/>
      <c r="DBD45" s="30"/>
      <c r="DBE45" s="31"/>
      <c r="DBF45" s="30"/>
      <c r="DBG45" s="31"/>
      <c r="DBH45" s="30"/>
      <c r="DBI45" s="31"/>
      <c r="DBJ45" s="30"/>
      <c r="DBK45" s="31"/>
      <c r="DBL45" s="30"/>
      <c r="DBM45" s="31"/>
      <c r="DBN45" s="30"/>
      <c r="DBO45" s="31"/>
      <c r="DBP45" s="30"/>
      <c r="DBQ45" s="31"/>
      <c r="DBR45" s="30"/>
      <c r="DBS45" s="31"/>
      <c r="DBT45" s="30"/>
      <c r="DBU45" s="31"/>
      <c r="DBV45" s="30"/>
      <c r="DBW45" s="31"/>
      <c r="DBX45" s="30"/>
      <c r="DBY45" s="31"/>
      <c r="DBZ45" s="30"/>
      <c r="DCA45" s="31"/>
      <c r="DCB45" s="30"/>
      <c r="DCC45" s="31"/>
      <c r="DCD45" s="30"/>
      <c r="DCE45" s="31"/>
      <c r="DCF45" s="30"/>
      <c r="DCG45" s="31"/>
      <c r="DCH45" s="30"/>
      <c r="DCI45" s="31"/>
      <c r="DCJ45" s="30"/>
      <c r="DCK45" s="31"/>
      <c r="DCL45" s="30"/>
      <c r="DCM45" s="31"/>
      <c r="DCN45" s="30"/>
      <c r="DCO45" s="31"/>
      <c r="DCP45" s="30"/>
      <c r="DCQ45" s="31"/>
      <c r="DCR45" s="30"/>
      <c r="DCS45" s="31"/>
      <c r="DCT45" s="30"/>
      <c r="DCU45" s="31"/>
      <c r="DCV45" s="30"/>
      <c r="DCW45" s="31"/>
      <c r="DCX45" s="30"/>
      <c r="DCY45" s="31"/>
      <c r="DCZ45" s="30"/>
      <c r="DDA45" s="31"/>
      <c r="DDB45" s="30"/>
      <c r="DDC45" s="31"/>
      <c r="DDD45" s="30"/>
      <c r="DDE45" s="31"/>
      <c r="DDF45" s="30"/>
      <c r="DDG45" s="31"/>
      <c r="DDH45" s="30"/>
      <c r="DDI45" s="31"/>
      <c r="DDJ45" s="30"/>
      <c r="DDK45" s="31"/>
      <c r="DDL45" s="30"/>
      <c r="DDM45" s="31"/>
      <c r="DDN45" s="30"/>
      <c r="DDO45" s="31"/>
      <c r="DDP45" s="30"/>
      <c r="DDQ45" s="31"/>
      <c r="DDR45" s="30"/>
      <c r="DDS45" s="31"/>
      <c r="DDT45" s="30"/>
      <c r="DDU45" s="31"/>
      <c r="DDV45" s="30"/>
      <c r="DDW45" s="31"/>
      <c r="DDX45" s="30"/>
      <c r="DDY45" s="31"/>
      <c r="DDZ45" s="30"/>
      <c r="DEA45" s="31"/>
      <c r="DEB45" s="30"/>
      <c r="DEC45" s="31"/>
      <c r="DED45" s="30"/>
      <c r="DEE45" s="31"/>
      <c r="DEF45" s="30"/>
      <c r="DEG45" s="31"/>
      <c r="DEH45" s="30"/>
      <c r="DEI45" s="31"/>
      <c r="DEJ45" s="30"/>
      <c r="DEK45" s="31"/>
      <c r="DEL45" s="30"/>
      <c r="DEM45" s="31"/>
      <c r="DEN45" s="30"/>
      <c r="DEO45" s="31"/>
      <c r="DEP45" s="30"/>
      <c r="DEQ45" s="31"/>
      <c r="DER45" s="30"/>
      <c r="DES45" s="31"/>
      <c r="DET45" s="30"/>
      <c r="DEU45" s="31"/>
      <c r="DEV45" s="30"/>
      <c r="DEW45" s="31"/>
      <c r="DEX45" s="30"/>
      <c r="DEY45" s="31"/>
      <c r="DEZ45" s="30"/>
      <c r="DFA45" s="31"/>
      <c r="DFB45" s="30"/>
      <c r="DFC45" s="31"/>
      <c r="DFD45" s="30"/>
      <c r="DFE45" s="31"/>
      <c r="DFF45" s="30"/>
      <c r="DFG45" s="31"/>
      <c r="DFH45" s="30"/>
      <c r="DFI45" s="31"/>
      <c r="DFJ45" s="30"/>
      <c r="DFK45" s="31"/>
      <c r="DFL45" s="30"/>
      <c r="DFM45" s="31"/>
      <c r="DFN45" s="30"/>
      <c r="DFO45" s="31"/>
      <c r="DFP45" s="30"/>
      <c r="DFQ45" s="31"/>
      <c r="DFR45" s="30"/>
      <c r="DFS45" s="31"/>
      <c r="DFT45" s="30"/>
      <c r="DFU45" s="31"/>
      <c r="DFV45" s="30"/>
      <c r="DFW45" s="31"/>
      <c r="DFX45" s="30"/>
      <c r="DFY45" s="31"/>
      <c r="DFZ45" s="30"/>
      <c r="DGA45" s="31"/>
      <c r="DGB45" s="30"/>
      <c r="DGC45" s="31"/>
      <c r="DGD45" s="30"/>
      <c r="DGE45" s="31"/>
      <c r="DGF45" s="30"/>
      <c r="DGG45" s="31"/>
      <c r="DGH45" s="30"/>
      <c r="DGI45" s="31"/>
      <c r="DGJ45" s="30"/>
      <c r="DGK45" s="31"/>
      <c r="DGL45" s="30"/>
      <c r="DGM45" s="31"/>
      <c r="DGN45" s="30"/>
      <c r="DGO45" s="31"/>
      <c r="DGP45" s="30"/>
      <c r="DGQ45" s="31"/>
      <c r="DGR45" s="30"/>
      <c r="DGS45" s="31"/>
      <c r="DGT45" s="30"/>
      <c r="DGU45" s="31"/>
      <c r="DGV45" s="30"/>
      <c r="DGW45" s="31"/>
      <c r="DGX45" s="30"/>
      <c r="DGY45" s="31"/>
      <c r="DGZ45" s="30"/>
      <c r="DHA45" s="31"/>
      <c r="DHB45" s="30"/>
      <c r="DHC45" s="31"/>
      <c r="DHD45" s="30"/>
      <c r="DHE45" s="31"/>
      <c r="DHF45" s="30"/>
      <c r="DHG45" s="31"/>
      <c r="DHH45" s="30"/>
      <c r="DHI45" s="31"/>
      <c r="DHJ45" s="30"/>
      <c r="DHK45" s="31"/>
      <c r="DHL45" s="30"/>
      <c r="DHM45" s="31"/>
      <c r="DHN45" s="30"/>
      <c r="DHO45" s="31"/>
      <c r="DHP45" s="30"/>
      <c r="DHQ45" s="31"/>
      <c r="DHR45" s="30"/>
      <c r="DHS45" s="31"/>
      <c r="DHT45" s="30"/>
      <c r="DHU45" s="31"/>
      <c r="DHV45" s="30"/>
      <c r="DHW45" s="31"/>
      <c r="DHX45" s="30"/>
      <c r="DHY45" s="31"/>
      <c r="DHZ45" s="30"/>
      <c r="DIA45" s="31"/>
      <c r="DIB45" s="30"/>
      <c r="DIC45" s="31"/>
      <c r="DID45" s="30"/>
      <c r="DIE45" s="31"/>
      <c r="DIF45" s="30"/>
      <c r="DIG45" s="31"/>
      <c r="DIH45" s="30"/>
      <c r="DII45" s="31"/>
      <c r="DIJ45" s="30"/>
      <c r="DIK45" s="31"/>
      <c r="DIL45" s="30"/>
      <c r="DIM45" s="31"/>
      <c r="DIN45" s="30"/>
      <c r="DIO45" s="31"/>
      <c r="DIP45" s="30"/>
      <c r="DIQ45" s="31"/>
      <c r="DIR45" s="30"/>
      <c r="DIS45" s="31"/>
      <c r="DIT45" s="30"/>
      <c r="DIU45" s="31"/>
      <c r="DIV45" s="30"/>
      <c r="DIW45" s="31"/>
      <c r="DIX45" s="30"/>
      <c r="DIY45" s="31"/>
      <c r="DIZ45" s="30"/>
      <c r="DJA45" s="31"/>
      <c r="DJB45" s="30"/>
      <c r="DJC45" s="31"/>
      <c r="DJD45" s="30"/>
      <c r="DJE45" s="31"/>
      <c r="DJF45" s="30"/>
      <c r="DJG45" s="31"/>
      <c r="DJH45" s="30"/>
      <c r="DJI45" s="31"/>
      <c r="DJJ45" s="30"/>
      <c r="DJK45" s="31"/>
      <c r="DJL45" s="30"/>
      <c r="DJM45" s="31"/>
      <c r="DJN45" s="30"/>
      <c r="DJO45" s="31"/>
      <c r="DJP45" s="30"/>
      <c r="DJQ45" s="31"/>
      <c r="DJR45" s="30"/>
      <c r="DJS45" s="31"/>
      <c r="DJT45" s="30"/>
      <c r="DJU45" s="31"/>
      <c r="DJV45" s="30"/>
      <c r="DJW45" s="31"/>
      <c r="DJX45" s="30"/>
      <c r="DJY45" s="31"/>
      <c r="DJZ45" s="30"/>
      <c r="DKA45" s="31"/>
      <c r="DKB45" s="30"/>
      <c r="DKC45" s="31"/>
      <c r="DKD45" s="30"/>
      <c r="DKE45" s="31"/>
      <c r="DKF45" s="30"/>
      <c r="DKG45" s="31"/>
      <c r="DKH45" s="30"/>
      <c r="DKI45" s="31"/>
      <c r="DKJ45" s="30"/>
      <c r="DKK45" s="31"/>
      <c r="DKL45" s="30"/>
      <c r="DKM45" s="31"/>
      <c r="DKN45" s="30"/>
      <c r="DKO45" s="31"/>
      <c r="DKP45" s="30"/>
      <c r="DKQ45" s="31"/>
      <c r="DKR45" s="30"/>
      <c r="DKS45" s="31"/>
      <c r="DKT45" s="30"/>
      <c r="DKU45" s="31"/>
      <c r="DKV45" s="30"/>
      <c r="DKW45" s="31"/>
      <c r="DKX45" s="30"/>
      <c r="DKY45" s="31"/>
      <c r="DKZ45" s="30"/>
      <c r="DLA45" s="31"/>
      <c r="DLB45" s="30"/>
      <c r="DLC45" s="31"/>
      <c r="DLD45" s="30"/>
      <c r="DLE45" s="31"/>
      <c r="DLF45" s="30"/>
      <c r="DLG45" s="31"/>
      <c r="DLH45" s="30"/>
      <c r="DLI45" s="31"/>
      <c r="DLJ45" s="30"/>
      <c r="DLK45" s="31"/>
      <c r="DLL45" s="30"/>
      <c r="DLM45" s="31"/>
      <c r="DLN45" s="30"/>
      <c r="DLO45" s="31"/>
      <c r="DLP45" s="30"/>
      <c r="DLQ45" s="31"/>
      <c r="DLR45" s="30"/>
      <c r="DLS45" s="31"/>
      <c r="DLT45" s="30"/>
      <c r="DLU45" s="31"/>
      <c r="DLV45" s="30"/>
      <c r="DLW45" s="31"/>
      <c r="DLX45" s="30"/>
      <c r="DLY45" s="31"/>
      <c r="DLZ45" s="30"/>
      <c r="DMA45" s="31"/>
      <c r="DMB45" s="30"/>
      <c r="DMC45" s="31"/>
      <c r="DMD45" s="30"/>
      <c r="DME45" s="31"/>
      <c r="DMF45" s="30"/>
      <c r="DMG45" s="31"/>
      <c r="DMH45" s="30"/>
      <c r="DMI45" s="31"/>
      <c r="DMJ45" s="30"/>
      <c r="DMK45" s="31"/>
      <c r="DML45" s="30"/>
      <c r="DMM45" s="31"/>
      <c r="DMN45" s="30"/>
      <c r="DMO45" s="31"/>
      <c r="DMP45" s="30"/>
      <c r="DMQ45" s="31"/>
      <c r="DMR45" s="30"/>
      <c r="DMS45" s="31"/>
      <c r="DMT45" s="30"/>
      <c r="DMU45" s="31"/>
      <c r="DMV45" s="30"/>
      <c r="DMW45" s="31"/>
      <c r="DMX45" s="30"/>
      <c r="DMY45" s="31"/>
      <c r="DMZ45" s="30"/>
      <c r="DNA45" s="31"/>
      <c r="DNB45" s="30"/>
      <c r="DNC45" s="31"/>
      <c r="DND45" s="30"/>
      <c r="DNE45" s="31"/>
      <c r="DNF45" s="30"/>
      <c r="DNG45" s="31"/>
      <c r="DNH45" s="30"/>
      <c r="DNI45" s="31"/>
      <c r="DNJ45" s="30"/>
      <c r="DNK45" s="31"/>
      <c r="DNL45" s="30"/>
      <c r="DNM45" s="31"/>
      <c r="DNN45" s="30"/>
      <c r="DNO45" s="31"/>
      <c r="DNP45" s="30"/>
      <c r="DNQ45" s="31"/>
      <c r="DNR45" s="30"/>
      <c r="DNS45" s="31"/>
      <c r="DNT45" s="30"/>
      <c r="DNU45" s="31"/>
      <c r="DNV45" s="30"/>
      <c r="DNW45" s="31"/>
      <c r="DNX45" s="30"/>
      <c r="DNY45" s="31"/>
      <c r="DNZ45" s="30"/>
      <c r="DOA45" s="31"/>
      <c r="DOB45" s="30"/>
      <c r="DOC45" s="31"/>
      <c r="DOD45" s="30"/>
      <c r="DOE45" s="31"/>
      <c r="DOF45" s="30"/>
      <c r="DOG45" s="31"/>
      <c r="DOH45" s="30"/>
      <c r="DOI45" s="31"/>
      <c r="DOJ45" s="30"/>
      <c r="DOK45" s="31"/>
      <c r="DOL45" s="30"/>
      <c r="DOM45" s="31"/>
      <c r="DON45" s="30"/>
      <c r="DOO45" s="31"/>
      <c r="DOP45" s="30"/>
      <c r="DOQ45" s="31"/>
      <c r="DOR45" s="30"/>
      <c r="DOS45" s="31"/>
      <c r="DOT45" s="30"/>
      <c r="DOU45" s="31"/>
      <c r="DOV45" s="30"/>
      <c r="DOW45" s="31"/>
      <c r="DOX45" s="30"/>
      <c r="DOY45" s="31"/>
      <c r="DOZ45" s="30"/>
      <c r="DPA45" s="31"/>
      <c r="DPB45" s="30"/>
      <c r="DPC45" s="31"/>
      <c r="DPD45" s="30"/>
      <c r="DPE45" s="31"/>
      <c r="DPF45" s="30"/>
      <c r="DPG45" s="31"/>
      <c r="DPH45" s="30"/>
      <c r="DPI45" s="31"/>
      <c r="DPJ45" s="30"/>
      <c r="DPK45" s="31"/>
      <c r="DPL45" s="30"/>
      <c r="DPM45" s="31"/>
      <c r="DPN45" s="30"/>
      <c r="DPO45" s="31"/>
      <c r="DPP45" s="30"/>
      <c r="DPQ45" s="31"/>
      <c r="DPR45" s="30"/>
      <c r="DPS45" s="31"/>
      <c r="DPT45" s="30"/>
      <c r="DPU45" s="31"/>
      <c r="DPV45" s="30"/>
      <c r="DPW45" s="31"/>
      <c r="DPX45" s="30"/>
      <c r="DPY45" s="31"/>
      <c r="DPZ45" s="30"/>
      <c r="DQA45" s="31"/>
      <c r="DQB45" s="30"/>
      <c r="DQC45" s="31"/>
      <c r="DQD45" s="30"/>
      <c r="DQE45" s="31"/>
      <c r="DQF45" s="30"/>
      <c r="DQG45" s="31"/>
      <c r="DQH45" s="30"/>
      <c r="DQI45" s="31"/>
      <c r="DQJ45" s="30"/>
      <c r="DQK45" s="31"/>
      <c r="DQL45" s="30"/>
      <c r="DQM45" s="31"/>
      <c r="DQN45" s="30"/>
      <c r="DQO45" s="31"/>
      <c r="DQP45" s="30"/>
      <c r="DQQ45" s="31"/>
      <c r="DQR45" s="30"/>
      <c r="DQS45" s="31"/>
      <c r="DQT45" s="30"/>
      <c r="DQU45" s="31"/>
      <c r="DQV45" s="30"/>
      <c r="DQW45" s="31"/>
      <c r="DQX45" s="30"/>
      <c r="DQY45" s="31"/>
      <c r="DQZ45" s="30"/>
      <c r="DRA45" s="31"/>
      <c r="DRB45" s="30"/>
      <c r="DRC45" s="31"/>
      <c r="DRD45" s="30"/>
      <c r="DRE45" s="31"/>
      <c r="DRF45" s="30"/>
      <c r="DRG45" s="31"/>
      <c r="DRH45" s="30"/>
      <c r="DRI45" s="31"/>
      <c r="DRJ45" s="30"/>
      <c r="DRK45" s="31"/>
      <c r="DRL45" s="30"/>
      <c r="DRM45" s="31"/>
      <c r="DRN45" s="30"/>
      <c r="DRO45" s="31"/>
      <c r="DRP45" s="30"/>
      <c r="DRQ45" s="31"/>
      <c r="DRR45" s="30"/>
      <c r="DRS45" s="31"/>
      <c r="DRT45" s="30"/>
      <c r="DRU45" s="31"/>
      <c r="DRV45" s="30"/>
      <c r="DRW45" s="31"/>
      <c r="DRX45" s="30"/>
      <c r="DRY45" s="31"/>
      <c r="DRZ45" s="30"/>
      <c r="DSA45" s="31"/>
      <c r="DSB45" s="30"/>
      <c r="DSC45" s="31"/>
      <c r="DSD45" s="30"/>
      <c r="DSE45" s="31"/>
      <c r="DSF45" s="30"/>
      <c r="DSG45" s="31"/>
      <c r="DSH45" s="30"/>
      <c r="DSI45" s="31"/>
      <c r="DSJ45" s="30"/>
      <c r="DSK45" s="31"/>
      <c r="DSL45" s="30"/>
      <c r="DSM45" s="31"/>
      <c r="DSN45" s="30"/>
      <c r="DSO45" s="31"/>
      <c r="DSP45" s="30"/>
      <c r="DSQ45" s="31"/>
      <c r="DSR45" s="30"/>
      <c r="DSS45" s="31"/>
      <c r="DST45" s="30"/>
      <c r="DSU45" s="31"/>
      <c r="DSV45" s="30"/>
      <c r="DSW45" s="31"/>
      <c r="DSX45" s="30"/>
      <c r="DSY45" s="31"/>
      <c r="DSZ45" s="30"/>
      <c r="DTA45" s="31"/>
      <c r="DTB45" s="30"/>
      <c r="DTC45" s="31"/>
      <c r="DTD45" s="30"/>
      <c r="DTE45" s="31"/>
      <c r="DTF45" s="30"/>
      <c r="DTG45" s="31"/>
      <c r="DTH45" s="30"/>
      <c r="DTI45" s="31"/>
      <c r="DTJ45" s="30"/>
      <c r="DTK45" s="31"/>
      <c r="DTL45" s="30"/>
      <c r="DTM45" s="31"/>
      <c r="DTN45" s="30"/>
      <c r="DTO45" s="31"/>
      <c r="DTP45" s="30"/>
      <c r="DTQ45" s="31"/>
      <c r="DTR45" s="30"/>
      <c r="DTS45" s="31"/>
      <c r="DTT45" s="30"/>
      <c r="DTU45" s="31"/>
      <c r="DTV45" s="30"/>
      <c r="DTW45" s="31"/>
      <c r="DTX45" s="30"/>
      <c r="DTY45" s="31"/>
      <c r="DTZ45" s="30"/>
      <c r="DUA45" s="31"/>
      <c r="DUB45" s="30"/>
      <c r="DUC45" s="31"/>
      <c r="DUD45" s="30"/>
      <c r="DUE45" s="31"/>
      <c r="DUF45" s="30"/>
      <c r="DUG45" s="31"/>
      <c r="DUH45" s="30"/>
      <c r="DUI45" s="31"/>
      <c r="DUJ45" s="30"/>
      <c r="DUK45" s="31"/>
      <c r="DUL45" s="30"/>
      <c r="DUM45" s="31"/>
      <c r="DUN45" s="30"/>
      <c r="DUO45" s="31"/>
      <c r="DUP45" s="30"/>
      <c r="DUQ45" s="31"/>
      <c r="DUR45" s="30"/>
      <c r="DUS45" s="31"/>
      <c r="DUT45" s="30"/>
      <c r="DUU45" s="31"/>
      <c r="DUV45" s="30"/>
      <c r="DUW45" s="31"/>
      <c r="DUX45" s="30"/>
      <c r="DUY45" s="31"/>
      <c r="DUZ45" s="30"/>
      <c r="DVA45" s="31"/>
      <c r="DVB45" s="30"/>
      <c r="DVC45" s="31"/>
      <c r="DVD45" s="30"/>
      <c r="DVE45" s="31"/>
      <c r="DVF45" s="30"/>
      <c r="DVG45" s="31"/>
      <c r="DVH45" s="30"/>
      <c r="DVI45" s="31"/>
      <c r="DVJ45" s="30"/>
      <c r="DVK45" s="31"/>
      <c r="DVL45" s="30"/>
      <c r="DVM45" s="31"/>
      <c r="DVN45" s="30"/>
      <c r="DVO45" s="31"/>
      <c r="DVP45" s="30"/>
      <c r="DVQ45" s="31"/>
      <c r="DVR45" s="30"/>
      <c r="DVS45" s="31"/>
      <c r="DVT45" s="30"/>
      <c r="DVU45" s="31"/>
      <c r="DVV45" s="30"/>
      <c r="DVW45" s="31"/>
      <c r="DVX45" s="30"/>
      <c r="DVY45" s="31"/>
      <c r="DVZ45" s="30"/>
      <c r="DWA45" s="31"/>
      <c r="DWB45" s="30"/>
      <c r="DWC45" s="31"/>
      <c r="DWD45" s="30"/>
      <c r="DWE45" s="31"/>
      <c r="DWF45" s="30"/>
      <c r="DWG45" s="31"/>
      <c r="DWH45" s="30"/>
      <c r="DWI45" s="31"/>
      <c r="DWJ45" s="30"/>
      <c r="DWK45" s="31"/>
      <c r="DWL45" s="30"/>
      <c r="DWM45" s="31"/>
      <c r="DWN45" s="30"/>
      <c r="DWO45" s="31"/>
      <c r="DWP45" s="30"/>
      <c r="DWQ45" s="31"/>
      <c r="DWR45" s="30"/>
      <c r="DWS45" s="31"/>
      <c r="DWT45" s="30"/>
      <c r="DWU45" s="31"/>
      <c r="DWV45" s="30"/>
      <c r="DWW45" s="31"/>
      <c r="DWX45" s="30"/>
      <c r="DWY45" s="31"/>
      <c r="DWZ45" s="30"/>
      <c r="DXA45" s="31"/>
      <c r="DXB45" s="30"/>
      <c r="DXC45" s="31"/>
      <c r="DXD45" s="30"/>
      <c r="DXE45" s="31"/>
      <c r="DXF45" s="30"/>
      <c r="DXG45" s="31"/>
      <c r="DXH45" s="30"/>
      <c r="DXI45" s="31"/>
      <c r="DXJ45" s="30"/>
      <c r="DXK45" s="31"/>
      <c r="DXL45" s="30"/>
      <c r="DXM45" s="31"/>
      <c r="DXN45" s="30"/>
      <c r="DXO45" s="31"/>
      <c r="DXP45" s="30"/>
      <c r="DXQ45" s="31"/>
      <c r="DXR45" s="30"/>
      <c r="DXS45" s="31"/>
      <c r="DXT45" s="30"/>
      <c r="DXU45" s="31"/>
      <c r="DXV45" s="30"/>
      <c r="DXW45" s="31"/>
      <c r="DXX45" s="30"/>
      <c r="DXY45" s="31"/>
      <c r="DXZ45" s="30"/>
      <c r="DYA45" s="31"/>
      <c r="DYB45" s="30"/>
      <c r="DYC45" s="31"/>
      <c r="DYD45" s="30"/>
      <c r="DYE45" s="31"/>
      <c r="DYF45" s="30"/>
      <c r="DYG45" s="31"/>
      <c r="DYH45" s="30"/>
      <c r="DYI45" s="31"/>
      <c r="DYJ45" s="30"/>
      <c r="DYK45" s="31"/>
      <c r="DYL45" s="30"/>
      <c r="DYM45" s="31"/>
      <c r="DYN45" s="30"/>
      <c r="DYO45" s="31"/>
      <c r="DYP45" s="30"/>
      <c r="DYQ45" s="31"/>
      <c r="DYR45" s="30"/>
      <c r="DYS45" s="31"/>
      <c r="DYT45" s="30"/>
      <c r="DYU45" s="31"/>
      <c r="DYV45" s="30"/>
      <c r="DYW45" s="31"/>
      <c r="DYX45" s="30"/>
      <c r="DYY45" s="31"/>
      <c r="DYZ45" s="30"/>
      <c r="DZA45" s="31"/>
      <c r="DZB45" s="30"/>
      <c r="DZC45" s="31"/>
      <c r="DZD45" s="30"/>
      <c r="DZE45" s="31"/>
      <c r="DZF45" s="30"/>
      <c r="DZG45" s="31"/>
      <c r="DZH45" s="30"/>
      <c r="DZI45" s="31"/>
      <c r="DZJ45" s="30"/>
      <c r="DZK45" s="31"/>
      <c r="DZL45" s="30"/>
      <c r="DZM45" s="31"/>
      <c r="DZN45" s="30"/>
      <c r="DZO45" s="31"/>
      <c r="DZP45" s="30"/>
      <c r="DZQ45" s="31"/>
      <c r="DZR45" s="30"/>
      <c r="DZS45" s="31"/>
      <c r="DZT45" s="30"/>
      <c r="DZU45" s="31"/>
      <c r="DZV45" s="30"/>
      <c r="DZW45" s="31"/>
      <c r="DZX45" s="30"/>
      <c r="DZY45" s="31"/>
      <c r="DZZ45" s="30"/>
      <c r="EAA45" s="31"/>
      <c r="EAB45" s="30"/>
      <c r="EAC45" s="31"/>
      <c r="EAD45" s="30"/>
      <c r="EAE45" s="31"/>
      <c r="EAF45" s="30"/>
      <c r="EAG45" s="31"/>
      <c r="EAH45" s="30"/>
      <c r="EAI45" s="31"/>
      <c r="EAJ45" s="30"/>
      <c r="EAK45" s="31"/>
      <c r="EAL45" s="30"/>
      <c r="EAM45" s="31"/>
      <c r="EAN45" s="30"/>
      <c r="EAO45" s="31"/>
      <c r="EAP45" s="30"/>
      <c r="EAQ45" s="31"/>
      <c r="EAR45" s="30"/>
      <c r="EAS45" s="31"/>
      <c r="EAT45" s="30"/>
      <c r="EAU45" s="31"/>
      <c r="EAV45" s="30"/>
      <c r="EAW45" s="31"/>
      <c r="EAX45" s="30"/>
      <c r="EAY45" s="31"/>
      <c r="EAZ45" s="30"/>
      <c r="EBA45" s="31"/>
      <c r="EBB45" s="30"/>
      <c r="EBC45" s="31"/>
      <c r="EBD45" s="30"/>
      <c r="EBE45" s="31"/>
      <c r="EBF45" s="30"/>
      <c r="EBG45" s="31"/>
      <c r="EBH45" s="30"/>
      <c r="EBI45" s="31"/>
      <c r="EBJ45" s="30"/>
      <c r="EBK45" s="31"/>
      <c r="EBL45" s="30"/>
      <c r="EBM45" s="31"/>
      <c r="EBN45" s="30"/>
      <c r="EBO45" s="31"/>
      <c r="EBP45" s="30"/>
      <c r="EBQ45" s="31"/>
      <c r="EBR45" s="30"/>
      <c r="EBS45" s="31"/>
      <c r="EBT45" s="30"/>
      <c r="EBU45" s="31"/>
      <c r="EBV45" s="30"/>
      <c r="EBW45" s="31"/>
      <c r="EBX45" s="30"/>
      <c r="EBY45" s="31"/>
      <c r="EBZ45" s="30"/>
      <c r="ECA45" s="31"/>
      <c r="ECB45" s="30"/>
      <c r="ECC45" s="31"/>
      <c r="ECD45" s="30"/>
      <c r="ECE45" s="31"/>
      <c r="ECF45" s="30"/>
      <c r="ECG45" s="31"/>
      <c r="ECH45" s="30"/>
      <c r="ECI45" s="31"/>
      <c r="ECJ45" s="30"/>
      <c r="ECK45" s="31"/>
      <c r="ECL45" s="30"/>
      <c r="ECM45" s="31"/>
      <c r="ECN45" s="30"/>
      <c r="ECO45" s="31"/>
      <c r="ECP45" s="30"/>
      <c r="ECQ45" s="31"/>
      <c r="ECR45" s="30"/>
      <c r="ECS45" s="31"/>
      <c r="ECT45" s="30"/>
      <c r="ECU45" s="31"/>
      <c r="ECV45" s="30"/>
      <c r="ECW45" s="31"/>
      <c r="ECX45" s="30"/>
      <c r="ECY45" s="31"/>
      <c r="ECZ45" s="30"/>
      <c r="EDA45" s="31"/>
      <c r="EDB45" s="30"/>
      <c r="EDC45" s="31"/>
      <c r="EDD45" s="30"/>
      <c r="EDE45" s="31"/>
      <c r="EDF45" s="30"/>
      <c r="EDG45" s="31"/>
      <c r="EDH45" s="30"/>
      <c r="EDI45" s="31"/>
      <c r="EDJ45" s="30"/>
      <c r="EDK45" s="31"/>
      <c r="EDL45" s="30"/>
      <c r="EDM45" s="31"/>
      <c r="EDN45" s="30"/>
      <c r="EDO45" s="31"/>
      <c r="EDP45" s="30"/>
      <c r="EDQ45" s="31"/>
      <c r="EDR45" s="30"/>
      <c r="EDS45" s="31"/>
      <c r="EDT45" s="30"/>
      <c r="EDU45" s="31"/>
      <c r="EDV45" s="30"/>
      <c r="EDW45" s="31"/>
      <c r="EDX45" s="30"/>
      <c r="EDY45" s="31"/>
      <c r="EDZ45" s="30"/>
      <c r="EEA45" s="31"/>
      <c r="EEB45" s="30"/>
      <c r="EEC45" s="31"/>
      <c r="EED45" s="30"/>
      <c r="EEE45" s="31"/>
      <c r="EEF45" s="30"/>
      <c r="EEG45" s="31"/>
      <c r="EEH45" s="30"/>
      <c r="EEI45" s="31"/>
      <c r="EEJ45" s="30"/>
      <c r="EEK45" s="31"/>
      <c r="EEL45" s="30"/>
      <c r="EEM45" s="31"/>
      <c r="EEN45" s="30"/>
      <c r="EEO45" s="31"/>
      <c r="EEP45" s="30"/>
      <c r="EEQ45" s="31"/>
      <c r="EER45" s="30"/>
      <c r="EES45" s="31"/>
      <c r="EET45" s="30"/>
      <c r="EEU45" s="31"/>
      <c r="EEV45" s="30"/>
      <c r="EEW45" s="31"/>
      <c r="EEX45" s="30"/>
      <c r="EEY45" s="31"/>
      <c r="EEZ45" s="30"/>
      <c r="EFA45" s="31"/>
      <c r="EFB45" s="30"/>
      <c r="EFC45" s="31"/>
      <c r="EFD45" s="30"/>
      <c r="EFE45" s="31"/>
      <c r="EFF45" s="30"/>
      <c r="EFG45" s="31"/>
      <c r="EFH45" s="30"/>
      <c r="EFI45" s="31"/>
      <c r="EFJ45" s="30"/>
      <c r="EFK45" s="31"/>
      <c r="EFL45" s="30"/>
      <c r="EFM45" s="31"/>
      <c r="EFN45" s="30"/>
      <c r="EFO45" s="31"/>
      <c r="EFP45" s="30"/>
      <c r="EFQ45" s="31"/>
      <c r="EFR45" s="30"/>
      <c r="EFS45" s="31"/>
      <c r="EFT45" s="30"/>
      <c r="EFU45" s="31"/>
      <c r="EFV45" s="30"/>
      <c r="EFW45" s="31"/>
      <c r="EFX45" s="30"/>
      <c r="EFY45" s="31"/>
      <c r="EFZ45" s="30"/>
      <c r="EGA45" s="31"/>
      <c r="EGB45" s="30"/>
      <c r="EGC45" s="31"/>
      <c r="EGD45" s="30"/>
      <c r="EGE45" s="31"/>
      <c r="EGF45" s="30"/>
      <c r="EGG45" s="31"/>
      <c r="EGH45" s="30"/>
      <c r="EGI45" s="31"/>
      <c r="EGJ45" s="30"/>
      <c r="EGK45" s="31"/>
      <c r="EGL45" s="30"/>
      <c r="EGM45" s="31"/>
      <c r="EGN45" s="30"/>
      <c r="EGO45" s="31"/>
      <c r="EGP45" s="30"/>
      <c r="EGQ45" s="31"/>
      <c r="EGR45" s="30"/>
      <c r="EGS45" s="31"/>
      <c r="EGT45" s="30"/>
      <c r="EGU45" s="31"/>
      <c r="EGV45" s="30"/>
      <c r="EGW45" s="31"/>
      <c r="EGX45" s="30"/>
      <c r="EGY45" s="31"/>
      <c r="EGZ45" s="30"/>
      <c r="EHA45" s="31"/>
      <c r="EHB45" s="30"/>
      <c r="EHC45" s="31"/>
      <c r="EHD45" s="30"/>
      <c r="EHE45" s="31"/>
      <c r="EHF45" s="30"/>
      <c r="EHG45" s="31"/>
      <c r="EHH45" s="30"/>
      <c r="EHI45" s="31"/>
      <c r="EHJ45" s="30"/>
      <c r="EHK45" s="31"/>
      <c r="EHL45" s="30"/>
      <c r="EHM45" s="31"/>
      <c r="EHN45" s="30"/>
      <c r="EHO45" s="31"/>
      <c r="EHP45" s="30"/>
      <c r="EHQ45" s="31"/>
      <c r="EHR45" s="30"/>
      <c r="EHS45" s="31"/>
      <c r="EHT45" s="30"/>
      <c r="EHU45" s="31"/>
      <c r="EHV45" s="30"/>
      <c r="EHW45" s="31"/>
      <c r="EHX45" s="30"/>
      <c r="EHY45" s="31"/>
      <c r="EHZ45" s="30"/>
      <c r="EIA45" s="31"/>
      <c r="EIB45" s="30"/>
      <c r="EIC45" s="31"/>
      <c r="EID45" s="30"/>
      <c r="EIE45" s="31"/>
      <c r="EIF45" s="30"/>
      <c r="EIG45" s="31"/>
      <c r="EIH45" s="30"/>
      <c r="EII45" s="31"/>
      <c r="EIJ45" s="30"/>
      <c r="EIK45" s="31"/>
      <c r="EIL45" s="30"/>
      <c r="EIM45" s="31"/>
      <c r="EIN45" s="30"/>
      <c r="EIO45" s="31"/>
      <c r="EIP45" s="30"/>
      <c r="EIQ45" s="31"/>
      <c r="EIR45" s="30"/>
      <c r="EIS45" s="31"/>
      <c r="EIT45" s="30"/>
      <c r="EIU45" s="31"/>
      <c r="EIV45" s="30"/>
      <c r="EIW45" s="31"/>
      <c r="EIX45" s="30"/>
      <c r="EIY45" s="31"/>
      <c r="EIZ45" s="30"/>
      <c r="EJA45" s="31"/>
      <c r="EJB45" s="30"/>
      <c r="EJC45" s="31"/>
      <c r="EJD45" s="30"/>
      <c r="EJE45" s="31"/>
      <c r="EJF45" s="30"/>
      <c r="EJG45" s="31"/>
      <c r="EJH45" s="30"/>
      <c r="EJI45" s="31"/>
      <c r="EJJ45" s="30"/>
      <c r="EJK45" s="31"/>
      <c r="EJL45" s="30"/>
      <c r="EJM45" s="31"/>
      <c r="EJN45" s="30"/>
      <c r="EJO45" s="31"/>
      <c r="EJP45" s="30"/>
      <c r="EJQ45" s="31"/>
      <c r="EJR45" s="30"/>
      <c r="EJS45" s="31"/>
      <c r="EJT45" s="30"/>
      <c r="EJU45" s="31"/>
      <c r="EJV45" s="30"/>
      <c r="EJW45" s="31"/>
      <c r="EJX45" s="30"/>
      <c r="EJY45" s="31"/>
      <c r="EJZ45" s="30"/>
      <c r="EKA45" s="31"/>
      <c r="EKB45" s="30"/>
      <c r="EKC45" s="31"/>
      <c r="EKD45" s="30"/>
      <c r="EKE45" s="31"/>
      <c r="EKF45" s="30"/>
      <c r="EKG45" s="31"/>
      <c r="EKH45" s="30"/>
      <c r="EKI45" s="31"/>
      <c r="EKJ45" s="30"/>
      <c r="EKK45" s="31"/>
      <c r="EKL45" s="30"/>
      <c r="EKM45" s="31"/>
      <c r="EKN45" s="30"/>
      <c r="EKO45" s="31"/>
      <c r="EKP45" s="30"/>
      <c r="EKQ45" s="31"/>
      <c r="EKR45" s="30"/>
      <c r="EKS45" s="31"/>
      <c r="EKT45" s="30"/>
      <c r="EKU45" s="31"/>
      <c r="EKV45" s="30"/>
      <c r="EKW45" s="31"/>
      <c r="EKX45" s="30"/>
      <c r="EKY45" s="31"/>
      <c r="EKZ45" s="30"/>
      <c r="ELA45" s="31"/>
      <c r="ELB45" s="30"/>
      <c r="ELC45" s="31"/>
      <c r="ELD45" s="30"/>
      <c r="ELE45" s="31"/>
      <c r="ELF45" s="30"/>
      <c r="ELG45" s="31"/>
      <c r="ELH45" s="30"/>
      <c r="ELI45" s="31"/>
      <c r="ELJ45" s="30"/>
      <c r="ELK45" s="31"/>
      <c r="ELL45" s="30"/>
      <c r="ELM45" s="31"/>
      <c r="ELN45" s="30"/>
      <c r="ELO45" s="31"/>
      <c r="ELP45" s="30"/>
      <c r="ELQ45" s="31"/>
      <c r="ELR45" s="30"/>
      <c r="ELS45" s="31"/>
      <c r="ELT45" s="30"/>
      <c r="ELU45" s="31"/>
      <c r="ELV45" s="30"/>
      <c r="ELW45" s="31"/>
      <c r="ELX45" s="30"/>
      <c r="ELY45" s="31"/>
      <c r="ELZ45" s="30"/>
      <c r="EMA45" s="31"/>
      <c r="EMB45" s="30"/>
      <c r="EMC45" s="31"/>
      <c r="EMD45" s="30"/>
      <c r="EME45" s="31"/>
      <c r="EMF45" s="30"/>
      <c r="EMG45" s="31"/>
      <c r="EMH45" s="30"/>
      <c r="EMI45" s="31"/>
      <c r="EMJ45" s="30"/>
      <c r="EMK45" s="31"/>
      <c r="EML45" s="30"/>
      <c r="EMM45" s="31"/>
      <c r="EMN45" s="30"/>
      <c r="EMO45" s="31"/>
      <c r="EMP45" s="30"/>
      <c r="EMQ45" s="31"/>
      <c r="EMR45" s="30"/>
      <c r="EMS45" s="31"/>
      <c r="EMT45" s="30"/>
      <c r="EMU45" s="31"/>
      <c r="EMV45" s="30"/>
      <c r="EMW45" s="31"/>
      <c r="EMX45" s="30"/>
      <c r="EMY45" s="31"/>
      <c r="EMZ45" s="30"/>
      <c r="ENA45" s="31"/>
      <c r="ENB45" s="30"/>
      <c r="ENC45" s="31"/>
      <c r="END45" s="30"/>
      <c r="ENE45" s="31"/>
      <c r="ENF45" s="30"/>
      <c r="ENG45" s="31"/>
      <c r="ENH45" s="30"/>
      <c r="ENI45" s="31"/>
      <c r="ENJ45" s="30"/>
      <c r="ENK45" s="31"/>
      <c r="ENL45" s="30"/>
      <c r="ENM45" s="31"/>
      <c r="ENN45" s="30"/>
      <c r="ENO45" s="31"/>
      <c r="ENP45" s="30"/>
      <c r="ENQ45" s="31"/>
      <c r="ENR45" s="30"/>
      <c r="ENS45" s="31"/>
      <c r="ENT45" s="30"/>
      <c r="ENU45" s="31"/>
      <c r="ENV45" s="30"/>
      <c r="ENW45" s="31"/>
      <c r="ENX45" s="30"/>
      <c r="ENY45" s="31"/>
      <c r="ENZ45" s="30"/>
      <c r="EOA45" s="31"/>
      <c r="EOB45" s="30"/>
      <c r="EOC45" s="31"/>
      <c r="EOD45" s="30"/>
      <c r="EOE45" s="31"/>
      <c r="EOF45" s="30"/>
      <c r="EOG45" s="31"/>
      <c r="EOH45" s="30"/>
      <c r="EOI45" s="31"/>
      <c r="EOJ45" s="30"/>
      <c r="EOK45" s="31"/>
      <c r="EOL45" s="30"/>
      <c r="EOM45" s="31"/>
      <c r="EON45" s="30"/>
      <c r="EOO45" s="31"/>
      <c r="EOP45" s="30"/>
      <c r="EOQ45" s="31"/>
      <c r="EOR45" s="30"/>
      <c r="EOS45" s="31"/>
      <c r="EOT45" s="30"/>
      <c r="EOU45" s="31"/>
      <c r="EOV45" s="30"/>
      <c r="EOW45" s="31"/>
      <c r="EOX45" s="30"/>
      <c r="EOY45" s="31"/>
      <c r="EOZ45" s="30"/>
      <c r="EPA45" s="31"/>
      <c r="EPB45" s="30"/>
      <c r="EPC45" s="31"/>
      <c r="EPD45" s="30"/>
      <c r="EPE45" s="31"/>
      <c r="EPF45" s="30"/>
      <c r="EPG45" s="31"/>
      <c r="EPH45" s="30"/>
      <c r="EPI45" s="31"/>
      <c r="EPJ45" s="30"/>
      <c r="EPK45" s="31"/>
      <c r="EPL45" s="30"/>
      <c r="EPM45" s="31"/>
      <c r="EPN45" s="30"/>
      <c r="EPO45" s="31"/>
      <c r="EPP45" s="30"/>
      <c r="EPQ45" s="31"/>
      <c r="EPR45" s="30"/>
      <c r="EPS45" s="31"/>
      <c r="EPT45" s="30"/>
      <c r="EPU45" s="31"/>
      <c r="EPV45" s="30"/>
      <c r="EPW45" s="31"/>
      <c r="EPX45" s="30"/>
      <c r="EPY45" s="31"/>
      <c r="EPZ45" s="30"/>
      <c r="EQA45" s="31"/>
      <c r="EQB45" s="30"/>
      <c r="EQC45" s="31"/>
      <c r="EQD45" s="30"/>
      <c r="EQE45" s="31"/>
      <c r="EQF45" s="30"/>
      <c r="EQG45" s="31"/>
      <c r="EQH45" s="30"/>
      <c r="EQI45" s="31"/>
      <c r="EQJ45" s="30"/>
      <c r="EQK45" s="31"/>
      <c r="EQL45" s="30"/>
      <c r="EQM45" s="31"/>
      <c r="EQN45" s="30"/>
      <c r="EQO45" s="31"/>
      <c r="EQP45" s="30"/>
      <c r="EQQ45" s="31"/>
      <c r="EQR45" s="30"/>
      <c r="EQS45" s="31"/>
      <c r="EQT45" s="30"/>
      <c r="EQU45" s="31"/>
      <c r="EQV45" s="30"/>
      <c r="EQW45" s="31"/>
      <c r="EQX45" s="30"/>
      <c r="EQY45" s="31"/>
      <c r="EQZ45" s="30"/>
      <c r="ERA45" s="31"/>
      <c r="ERB45" s="30"/>
      <c r="ERC45" s="31"/>
      <c r="ERD45" s="30"/>
      <c r="ERE45" s="31"/>
      <c r="ERF45" s="30"/>
      <c r="ERG45" s="31"/>
      <c r="ERH45" s="30"/>
      <c r="ERI45" s="31"/>
      <c r="ERJ45" s="30"/>
      <c r="ERK45" s="31"/>
      <c r="ERL45" s="30"/>
      <c r="ERM45" s="31"/>
      <c r="ERN45" s="30"/>
      <c r="ERO45" s="31"/>
      <c r="ERP45" s="30"/>
      <c r="ERQ45" s="31"/>
      <c r="ERR45" s="30"/>
      <c r="ERS45" s="31"/>
      <c r="ERT45" s="30"/>
      <c r="ERU45" s="31"/>
      <c r="ERV45" s="30"/>
      <c r="ERW45" s="31"/>
      <c r="ERX45" s="30"/>
      <c r="ERY45" s="31"/>
      <c r="ERZ45" s="30"/>
      <c r="ESA45" s="31"/>
      <c r="ESB45" s="30"/>
      <c r="ESC45" s="31"/>
      <c r="ESD45" s="30"/>
      <c r="ESE45" s="31"/>
      <c r="ESF45" s="30"/>
      <c r="ESG45" s="31"/>
      <c r="ESH45" s="30"/>
      <c r="ESI45" s="31"/>
      <c r="ESJ45" s="30"/>
      <c r="ESK45" s="31"/>
      <c r="ESL45" s="30"/>
      <c r="ESM45" s="31"/>
      <c r="ESN45" s="30"/>
      <c r="ESO45" s="31"/>
      <c r="ESP45" s="30"/>
      <c r="ESQ45" s="31"/>
      <c r="ESR45" s="30"/>
      <c r="ESS45" s="31"/>
      <c r="EST45" s="30"/>
      <c r="ESU45" s="31"/>
      <c r="ESV45" s="30"/>
      <c r="ESW45" s="31"/>
      <c r="ESX45" s="30"/>
      <c r="ESY45" s="31"/>
      <c r="ESZ45" s="30"/>
      <c r="ETA45" s="31"/>
      <c r="ETB45" s="30"/>
      <c r="ETC45" s="31"/>
      <c r="ETD45" s="30"/>
      <c r="ETE45" s="31"/>
      <c r="ETF45" s="30"/>
      <c r="ETG45" s="31"/>
      <c r="ETH45" s="30"/>
      <c r="ETI45" s="31"/>
      <c r="ETJ45" s="30"/>
      <c r="ETK45" s="31"/>
      <c r="ETL45" s="30"/>
      <c r="ETM45" s="31"/>
      <c r="ETN45" s="30"/>
      <c r="ETO45" s="31"/>
      <c r="ETP45" s="30"/>
      <c r="ETQ45" s="31"/>
      <c r="ETR45" s="30"/>
      <c r="ETS45" s="31"/>
      <c r="ETT45" s="30"/>
      <c r="ETU45" s="31"/>
      <c r="ETV45" s="30"/>
      <c r="ETW45" s="31"/>
      <c r="ETX45" s="30"/>
      <c r="ETY45" s="31"/>
      <c r="ETZ45" s="30"/>
      <c r="EUA45" s="31"/>
      <c r="EUB45" s="30"/>
      <c r="EUC45" s="31"/>
      <c r="EUD45" s="30"/>
      <c r="EUE45" s="31"/>
      <c r="EUF45" s="30"/>
      <c r="EUG45" s="31"/>
      <c r="EUH45" s="30"/>
      <c r="EUI45" s="31"/>
      <c r="EUJ45" s="30"/>
      <c r="EUK45" s="31"/>
      <c r="EUL45" s="30"/>
      <c r="EUM45" s="31"/>
      <c r="EUN45" s="30"/>
      <c r="EUO45" s="31"/>
      <c r="EUP45" s="30"/>
      <c r="EUQ45" s="31"/>
      <c r="EUR45" s="30"/>
      <c r="EUS45" s="31"/>
      <c r="EUT45" s="30"/>
      <c r="EUU45" s="31"/>
      <c r="EUV45" s="30"/>
      <c r="EUW45" s="31"/>
      <c r="EUX45" s="30"/>
      <c r="EUY45" s="31"/>
      <c r="EUZ45" s="30"/>
      <c r="EVA45" s="31"/>
      <c r="EVB45" s="30"/>
      <c r="EVC45" s="31"/>
      <c r="EVD45" s="30"/>
      <c r="EVE45" s="31"/>
      <c r="EVF45" s="30"/>
      <c r="EVG45" s="31"/>
      <c r="EVH45" s="30"/>
      <c r="EVI45" s="31"/>
      <c r="EVJ45" s="30"/>
      <c r="EVK45" s="31"/>
      <c r="EVL45" s="30"/>
      <c r="EVM45" s="31"/>
      <c r="EVN45" s="30"/>
      <c r="EVO45" s="31"/>
      <c r="EVP45" s="30"/>
      <c r="EVQ45" s="31"/>
      <c r="EVR45" s="30"/>
      <c r="EVS45" s="31"/>
      <c r="EVT45" s="30"/>
      <c r="EVU45" s="31"/>
      <c r="EVV45" s="30"/>
      <c r="EVW45" s="31"/>
      <c r="EVX45" s="30"/>
      <c r="EVY45" s="31"/>
      <c r="EVZ45" s="30"/>
      <c r="EWA45" s="31"/>
      <c r="EWB45" s="30"/>
      <c r="EWC45" s="31"/>
      <c r="EWD45" s="30"/>
      <c r="EWE45" s="31"/>
      <c r="EWF45" s="30"/>
      <c r="EWG45" s="31"/>
      <c r="EWH45" s="30"/>
      <c r="EWI45" s="31"/>
      <c r="EWJ45" s="30"/>
      <c r="EWK45" s="31"/>
      <c r="EWL45" s="30"/>
      <c r="EWM45" s="31"/>
      <c r="EWN45" s="30"/>
      <c r="EWO45" s="31"/>
      <c r="EWP45" s="30"/>
      <c r="EWQ45" s="31"/>
      <c r="EWR45" s="30"/>
      <c r="EWS45" s="31"/>
      <c r="EWT45" s="30"/>
      <c r="EWU45" s="31"/>
      <c r="EWV45" s="30"/>
      <c r="EWW45" s="31"/>
      <c r="EWX45" s="30"/>
      <c r="EWY45" s="31"/>
      <c r="EWZ45" s="30"/>
      <c r="EXA45" s="31"/>
      <c r="EXB45" s="30"/>
      <c r="EXC45" s="31"/>
      <c r="EXD45" s="30"/>
      <c r="EXE45" s="31"/>
      <c r="EXF45" s="30"/>
      <c r="EXG45" s="31"/>
      <c r="EXH45" s="30"/>
      <c r="EXI45" s="31"/>
      <c r="EXJ45" s="30"/>
      <c r="EXK45" s="31"/>
      <c r="EXL45" s="30"/>
      <c r="EXM45" s="31"/>
      <c r="EXN45" s="30"/>
      <c r="EXO45" s="31"/>
      <c r="EXP45" s="30"/>
      <c r="EXQ45" s="31"/>
      <c r="EXR45" s="30"/>
      <c r="EXS45" s="31"/>
      <c r="EXT45" s="30"/>
      <c r="EXU45" s="31"/>
      <c r="EXV45" s="30"/>
      <c r="EXW45" s="31"/>
      <c r="EXX45" s="30"/>
      <c r="EXY45" s="31"/>
      <c r="EXZ45" s="30"/>
      <c r="EYA45" s="31"/>
      <c r="EYB45" s="30"/>
      <c r="EYC45" s="31"/>
      <c r="EYD45" s="30"/>
      <c r="EYE45" s="31"/>
      <c r="EYF45" s="30"/>
      <c r="EYG45" s="31"/>
      <c r="EYH45" s="30"/>
      <c r="EYI45" s="31"/>
      <c r="EYJ45" s="30"/>
      <c r="EYK45" s="31"/>
      <c r="EYL45" s="30"/>
      <c r="EYM45" s="31"/>
      <c r="EYN45" s="30"/>
      <c r="EYO45" s="31"/>
      <c r="EYP45" s="30"/>
      <c r="EYQ45" s="31"/>
      <c r="EYR45" s="30"/>
      <c r="EYS45" s="31"/>
      <c r="EYT45" s="30"/>
      <c r="EYU45" s="31"/>
      <c r="EYV45" s="30"/>
      <c r="EYW45" s="31"/>
      <c r="EYX45" s="30"/>
      <c r="EYY45" s="31"/>
      <c r="EYZ45" s="30"/>
      <c r="EZA45" s="31"/>
      <c r="EZB45" s="30"/>
      <c r="EZC45" s="31"/>
      <c r="EZD45" s="30"/>
      <c r="EZE45" s="31"/>
      <c r="EZF45" s="30"/>
      <c r="EZG45" s="31"/>
      <c r="EZH45" s="30"/>
      <c r="EZI45" s="31"/>
      <c r="EZJ45" s="30"/>
      <c r="EZK45" s="31"/>
      <c r="EZL45" s="30"/>
      <c r="EZM45" s="31"/>
      <c r="EZN45" s="30"/>
      <c r="EZO45" s="31"/>
      <c r="EZP45" s="30"/>
      <c r="EZQ45" s="31"/>
      <c r="EZR45" s="30"/>
      <c r="EZS45" s="31"/>
      <c r="EZT45" s="30"/>
      <c r="EZU45" s="31"/>
      <c r="EZV45" s="30"/>
      <c r="EZW45" s="31"/>
      <c r="EZX45" s="30"/>
      <c r="EZY45" s="31"/>
      <c r="EZZ45" s="30"/>
      <c r="FAA45" s="31"/>
      <c r="FAB45" s="30"/>
      <c r="FAC45" s="31"/>
      <c r="FAD45" s="30"/>
      <c r="FAE45" s="31"/>
      <c r="FAF45" s="30"/>
      <c r="FAG45" s="31"/>
      <c r="FAH45" s="30"/>
      <c r="FAI45" s="31"/>
      <c r="FAJ45" s="30"/>
      <c r="FAK45" s="31"/>
      <c r="FAL45" s="30"/>
      <c r="FAM45" s="31"/>
      <c r="FAN45" s="30"/>
      <c r="FAO45" s="31"/>
      <c r="FAP45" s="30"/>
      <c r="FAQ45" s="31"/>
      <c r="FAR45" s="30"/>
      <c r="FAS45" s="31"/>
      <c r="FAT45" s="30"/>
      <c r="FAU45" s="31"/>
      <c r="FAV45" s="30"/>
      <c r="FAW45" s="31"/>
      <c r="FAX45" s="30"/>
      <c r="FAY45" s="31"/>
      <c r="FAZ45" s="30"/>
      <c r="FBA45" s="31"/>
      <c r="FBB45" s="30"/>
      <c r="FBC45" s="31"/>
      <c r="FBD45" s="30"/>
      <c r="FBE45" s="31"/>
      <c r="FBF45" s="30"/>
      <c r="FBG45" s="31"/>
      <c r="FBH45" s="30"/>
      <c r="FBI45" s="31"/>
      <c r="FBJ45" s="30"/>
      <c r="FBK45" s="31"/>
      <c r="FBL45" s="30"/>
      <c r="FBM45" s="31"/>
      <c r="FBN45" s="30"/>
      <c r="FBO45" s="31"/>
      <c r="FBP45" s="30"/>
      <c r="FBQ45" s="31"/>
      <c r="FBR45" s="30"/>
      <c r="FBS45" s="31"/>
      <c r="FBT45" s="30"/>
      <c r="FBU45" s="31"/>
      <c r="FBV45" s="30"/>
      <c r="FBW45" s="31"/>
      <c r="FBX45" s="30"/>
      <c r="FBY45" s="31"/>
      <c r="FBZ45" s="30"/>
      <c r="FCA45" s="31"/>
      <c r="FCB45" s="30"/>
      <c r="FCC45" s="31"/>
      <c r="FCD45" s="30"/>
      <c r="FCE45" s="31"/>
      <c r="FCF45" s="30"/>
      <c r="FCG45" s="31"/>
      <c r="FCH45" s="30"/>
      <c r="FCI45" s="31"/>
      <c r="FCJ45" s="30"/>
      <c r="FCK45" s="31"/>
      <c r="FCL45" s="30"/>
      <c r="FCM45" s="31"/>
      <c r="FCN45" s="30"/>
      <c r="FCO45" s="31"/>
      <c r="FCP45" s="30"/>
      <c r="FCQ45" s="31"/>
      <c r="FCR45" s="30"/>
      <c r="FCS45" s="31"/>
      <c r="FCT45" s="30"/>
      <c r="FCU45" s="31"/>
      <c r="FCV45" s="30"/>
      <c r="FCW45" s="31"/>
      <c r="FCX45" s="30"/>
      <c r="FCY45" s="31"/>
      <c r="FCZ45" s="30"/>
      <c r="FDA45" s="31"/>
      <c r="FDB45" s="30"/>
      <c r="FDC45" s="31"/>
      <c r="FDD45" s="30"/>
      <c r="FDE45" s="31"/>
      <c r="FDF45" s="30"/>
      <c r="FDG45" s="31"/>
      <c r="FDH45" s="30"/>
      <c r="FDI45" s="31"/>
      <c r="FDJ45" s="30"/>
      <c r="FDK45" s="31"/>
      <c r="FDL45" s="30"/>
      <c r="FDM45" s="31"/>
      <c r="FDN45" s="30"/>
      <c r="FDO45" s="31"/>
      <c r="FDP45" s="30"/>
      <c r="FDQ45" s="31"/>
      <c r="FDR45" s="30"/>
      <c r="FDS45" s="31"/>
      <c r="FDT45" s="30"/>
      <c r="FDU45" s="31"/>
      <c r="FDV45" s="30"/>
      <c r="FDW45" s="31"/>
      <c r="FDX45" s="30"/>
      <c r="FDY45" s="31"/>
      <c r="FDZ45" s="30"/>
      <c r="FEA45" s="31"/>
      <c r="FEB45" s="30"/>
      <c r="FEC45" s="31"/>
      <c r="FED45" s="30"/>
      <c r="FEE45" s="31"/>
      <c r="FEF45" s="30"/>
      <c r="FEG45" s="31"/>
      <c r="FEH45" s="30"/>
      <c r="FEI45" s="31"/>
      <c r="FEJ45" s="30"/>
      <c r="FEK45" s="31"/>
      <c r="FEL45" s="30"/>
      <c r="FEM45" s="31"/>
      <c r="FEN45" s="30"/>
      <c r="FEO45" s="31"/>
      <c r="FEP45" s="30"/>
      <c r="FEQ45" s="31"/>
      <c r="FER45" s="30"/>
      <c r="FES45" s="31"/>
      <c r="FET45" s="30"/>
      <c r="FEU45" s="31"/>
      <c r="FEV45" s="30"/>
      <c r="FEW45" s="31"/>
      <c r="FEX45" s="30"/>
      <c r="FEY45" s="31"/>
      <c r="FEZ45" s="30"/>
      <c r="FFA45" s="31"/>
      <c r="FFB45" s="30"/>
      <c r="FFC45" s="31"/>
      <c r="FFD45" s="30"/>
      <c r="FFE45" s="31"/>
      <c r="FFF45" s="30"/>
      <c r="FFG45" s="31"/>
      <c r="FFH45" s="30"/>
      <c r="FFI45" s="31"/>
      <c r="FFJ45" s="30"/>
      <c r="FFK45" s="31"/>
      <c r="FFL45" s="30"/>
      <c r="FFM45" s="31"/>
      <c r="FFN45" s="30"/>
      <c r="FFO45" s="31"/>
      <c r="FFP45" s="30"/>
      <c r="FFQ45" s="31"/>
      <c r="FFR45" s="30"/>
      <c r="FFS45" s="31"/>
      <c r="FFT45" s="30"/>
      <c r="FFU45" s="31"/>
      <c r="FFV45" s="30"/>
      <c r="FFW45" s="31"/>
      <c r="FFX45" s="30"/>
      <c r="FFY45" s="31"/>
      <c r="FFZ45" s="30"/>
      <c r="FGA45" s="31"/>
      <c r="FGB45" s="30"/>
      <c r="FGC45" s="31"/>
      <c r="FGD45" s="30"/>
      <c r="FGE45" s="31"/>
      <c r="FGF45" s="30"/>
      <c r="FGG45" s="31"/>
      <c r="FGH45" s="30"/>
      <c r="FGI45" s="31"/>
      <c r="FGJ45" s="30"/>
      <c r="FGK45" s="31"/>
      <c r="FGL45" s="30"/>
      <c r="FGM45" s="31"/>
      <c r="FGN45" s="30"/>
      <c r="FGO45" s="31"/>
      <c r="FGP45" s="30"/>
      <c r="FGQ45" s="31"/>
      <c r="FGR45" s="30"/>
      <c r="FGS45" s="31"/>
      <c r="FGT45" s="30"/>
      <c r="FGU45" s="31"/>
      <c r="FGV45" s="30"/>
      <c r="FGW45" s="31"/>
      <c r="FGX45" s="30"/>
      <c r="FGY45" s="31"/>
      <c r="FGZ45" s="30"/>
      <c r="FHA45" s="31"/>
      <c r="FHB45" s="30"/>
      <c r="FHC45" s="31"/>
      <c r="FHD45" s="30"/>
      <c r="FHE45" s="31"/>
      <c r="FHF45" s="30"/>
      <c r="FHG45" s="31"/>
      <c r="FHH45" s="30"/>
      <c r="FHI45" s="31"/>
      <c r="FHJ45" s="30"/>
      <c r="FHK45" s="31"/>
      <c r="FHL45" s="30"/>
      <c r="FHM45" s="31"/>
      <c r="FHN45" s="30"/>
      <c r="FHO45" s="31"/>
      <c r="FHP45" s="30"/>
      <c r="FHQ45" s="31"/>
      <c r="FHR45" s="30"/>
      <c r="FHS45" s="31"/>
      <c r="FHT45" s="30"/>
      <c r="FHU45" s="31"/>
      <c r="FHV45" s="30"/>
      <c r="FHW45" s="31"/>
      <c r="FHX45" s="30"/>
      <c r="FHY45" s="31"/>
      <c r="FHZ45" s="30"/>
      <c r="FIA45" s="31"/>
      <c r="FIB45" s="30"/>
      <c r="FIC45" s="31"/>
      <c r="FID45" s="30"/>
      <c r="FIE45" s="31"/>
      <c r="FIF45" s="30"/>
      <c r="FIG45" s="31"/>
      <c r="FIH45" s="30"/>
      <c r="FII45" s="31"/>
      <c r="FIJ45" s="30"/>
      <c r="FIK45" s="31"/>
      <c r="FIL45" s="30"/>
      <c r="FIM45" s="31"/>
      <c r="FIN45" s="30"/>
      <c r="FIO45" s="31"/>
      <c r="FIP45" s="30"/>
      <c r="FIQ45" s="31"/>
      <c r="FIR45" s="30"/>
      <c r="FIS45" s="31"/>
      <c r="FIT45" s="30"/>
      <c r="FIU45" s="31"/>
      <c r="FIV45" s="30"/>
      <c r="FIW45" s="31"/>
      <c r="FIX45" s="30"/>
      <c r="FIY45" s="31"/>
      <c r="FIZ45" s="30"/>
      <c r="FJA45" s="31"/>
      <c r="FJB45" s="30"/>
      <c r="FJC45" s="31"/>
      <c r="FJD45" s="30"/>
      <c r="FJE45" s="31"/>
      <c r="FJF45" s="30"/>
      <c r="FJG45" s="31"/>
      <c r="FJH45" s="30"/>
      <c r="FJI45" s="31"/>
      <c r="FJJ45" s="30"/>
      <c r="FJK45" s="31"/>
      <c r="FJL45" s="30"/>
      <c r="FJM45" s="31"/>
      <c r="FJN45" s="30"/>
      <c r="FJO45" s="31"/>
      <c r="FJP45" s="30"/>
      <c r="FJQ45" s="31"/>
      <c r="FJR45" s="30"/>
      <c r="FJS45" s="31"/>
      <c r="FJT45" s="30"/>
      <c r="FJU45" s="31"/>
      <c r="FJV45" s="30"/>
      <c r="FJW45" s="31"/>
      <c r="FJX45" s="30"/>
      <c r="FJY45" s="31"/>
      <c r="FJZ45" s="30"/>
      <c r="FKA45" s="31"/>
      <c r="FKB45" s="30"/>
      <c r="FKC45" s="31"/>
      <c r="FKD45" s="30"/>
      <c r="FKE45" s="31"/>
      <c r="FKF45" s="30"/>
      <c r="FKG45" s="31"/>
      <c r="FKH45" s="30"/>
      <c r="FKI45" s="31"/>
      <c r="FKJ45" s="30"/>
      <c r="FKK45" s="31"/>
      <c r="FKL45" s="30"/>
      <c r="FKM45" s="31"/>
      <c r="FKN45" s="30"/>
      <c r="FKO45" s="31"/>
      <c r="FKP45" s="30"/>
      <c r="FKQ45" s="31"/>
      <c r="FKR45" s="30"/>
      <c r="FKS45" s="31"/>
      <c r="FKT45" s="30"/>
      <c r="FKU45" s="31"/>
      <c r="FKV45" s="30"/>
      <c r="FKW45" s="31"/>
      <c r="FKX45" s="30"/>
      <c r="FKY45" s="31"/>
      <c r="FKZ45" s="30"/>
      <c r="FLA45" s="31"/>
      <c r="FLB45" s="30"/>
      <c r="FLC45" s="31"/>
      <c r="FLD45" s="30"/>
      <c r="FLE45" s="31"/>
      <c r="FLF45" s="30"/>
      <c r="FLG45" s="31"/>
      <c r="FLH45" s="30"/>
      <c r="FLI45" s="31"/>
      <c r="FLJ45" s="30"/>
      <c r="FLK45" s="31"/>
      <c r="FLL45" s="30"/>
      <c r="FLM45" s="31"/>
      <c r="FLN45" s="30"/>
      <c r="FLO45" s="31"/>
      <c r="FLP45" s="30"/>
      <c r="FLQ45" s="31"/>
      <c r="FLR45" s="30"/>
      <c r="FLS45" s="31"/>
      <c r="FLT45" s="30"/>
      <c r="FLU45" s="31"/>
      <c r="FLV45" s="30"/>
      <c r="FLW45" s="31"/>
      <c r="FLX45" s="30"/>
      <c r="FLY45" s="31"/>
      <c r="FLZ45" s="30"/>
      <c r="FMA45" s="31"/>
      <c r="FMB45" s="30"/>
      <c r="FMC45" s="31"/>
      <c r="FMD45" s="30"/>
      <c r="FME45" s="31"/>
      <c r="FMF45" s="30"/>
      <c r="FMG45" s="31"/>
      <c r="FMH45" s="30"/>
      <c r="FMI45" s="31"/>
      <c r="FMJ45" s="30"/>
      <c r="FMK45" s="31"/>
      <c r="FML45" s="30"/>
      <c r="FMM45" s="31"/>
      <c r="FMN45" s="30"/>
      <c r="FMO45" s="31"/>
      <c r="FMP45" s="30"/>
      <c r="FMQ45" s="31"/>
      <c r="FMR45" s="30"/>
      <c r="FMS45" s="31"/>
      <c r="FMT45" s="30"/>
      <c r="FMU45" s="31"/>
      <c r="FMV45" s="30"/>
      <c r="FMW45" s="31"/>
      <c r="FMX45" s="30"/>
      <c r="FMY45" s="31"/>
      <c r="FMZ45" s="30"/>
      <c r="FNA45" s="31"/>
      <c r="FNB45" s="30"/>
      <c r="FNC45" s="31"/>
      <c r="FND45" s="30"/>
      <c r="FNE45" s="31"/>
      <c r="FNF45" s="30"/>
      <c r="FNG45" s="31"/>
      <c r="FNH45" s="30"/>
      <c r="FNI45" s="31"/>
      <c r="FNJ45" s="30"/>
      <c r="FNK45" s="31"/>
      <c r="FNL45" s="30"/>
      <c r="FNM45" s="31"/>
      <c r="FNN45" s="30"/>
      <c r="FNO45" s="31"/>
      <c r="FNP45" s="30"/>
      <c r="FNQ45" s="31"/>
      <c r="FNR45" s="30"/>
      <c r="FNS45" s="31"/>
      <c r="FNT45" s="30"/>
      <c r="FNU45" s="31"/>
      <c r="FNV45" s="30"/>
      <c r="FNW45" s="31"/>
      <c r="FNX45" s="30"/>
      <c r="FNY45" s="31"/>
      <c r="FNZ45" s="30"/>
      <c r="FOA45" s="31"/>
      <c r="FOB45" s="30"/>
      <c r="FOC45" s="31"/>
      <c r="FOD45" s="30"/>
      <c r="FOE45" s="31"/>
      <c r="FOF45" s="30"/>
      <c r="FOG45" s="31"/>
      <c r="FOH45" s="30"/>
      <c r="FOI45" s="31"/>
      <c r="FOJ45" s="30"/>
      <c r="FOK45" s="31"/>
      <c r="FOL45" s="30"/>
      <c r="FOM45" s="31"/>
      <c r="FON45" s="30"/>
      <c r="FOO45" s="31"/>
      <c r="FOP45" s="30"/>
      <c r="FOQ45" s="31"/>
      <c r="FOR45" s="30"/>
      <c r="FOS45" s="31"/>
      <c r="FOT45" s="30"/>
      <c r="FOU45" s="31"/>
      <c r="FOV45" s="30"/>
      <c r="FOW45" s="31"/>
      <c r="FOX45" s="30"/>
      <c r="FOY45" s="31"/>
      <c r="FOZ45" s="30"/>
      <c r="FPA45" s="31"/>
      <c r="FPB45" s="30"/>
      <c r="FPC45" s="31"/>
      <c r="FPD45" s="30"/>
      <c r="FPE45" s="31"/>
      <c r="FPF45" s="30"/>
      <c r="FPG45" s="31"/>
      <c r="FPH45" s="30"/>
      <c r="FPI45" s="31"/>
      <c r="FPJ45" s="30"/>
      <c r="FPK45" s="31"/>
      <c r="FPL45" s="30"/>
      <c r="FPM45" s="31"/>
      <c r="FPN45" s="30"/>
      <c r="FPO45" s="31"/>
      <c r="FPP45" s="30"/>
      <c r="FPQ45" s="31"/>
      <c r="FPR45" s="30"/>
      <c r="FPS45" s="31"/>
      <c r="FPT45" s="30"/>
      <c r="FPU45" s="31"/>
      <c r="FPV45" s="30"/>
      <c r="FPW45" s="31"/>
      <c r="FPX45" s="30"/>
      <c r="FPY45" s="31"/>
      <c r="FPZ45" s="30"/>
      <c r="FQA45" s="31"/>
      <c r="FQB45" s="30"/>
      <c r="FQC45" s="31"/>
      <c r="FQD45" s="30"/>
      <c r="FQE45" s="31"/>
      <c r="FQF45" s="30"/>
      <c r="FQG45" s="31"/>
      <c r="FQH45" s="30"/>
      <c r="FQI45" s="31"/>
      <c r="FQJ45" s="30"/>
      <c r="FQK45" s="31"/>
      <c r="FQL45" s="30"/>
      <c r="FQM45" s="31"/>
      <c r="FQN45" s="30"/>
      <c r="FQO45" s="31"/>
      <c r="FQP45" s="30"/>
      <c r="FQQ45" s="31"/>
      <c r="FQR45" s="30"/>
      <c r="FQS45" s="31"/>
      <c r="FQT45" s="30"/>
      <c r="FQU45" s="31"/>
      <c r="FQV45" s="30"/>
      <c r="FQW45" s="31"/>
      <c r="FQX45" s="30"/>
      <c r="FQY45" s="31"/>
      <c r="FQZ45" s="30"/>
      <c r="FRA45" s="31"/>
      <c r="FRB45" s="30"/>
      <c r="FRC45" s="31"/>
      <c r="FRD45" s="30"/>
      <c r="FRE45" s="31"/>
      <c r="FRF45" s="30"/>
      <c r="FRG45" s="31"/>
      <c r="FRH45" s="30"/>
      <c r="FRI45" s="31"/>
      <c r="FRJ45" s="30"/>
      <c r="FRK45" s="31"/>
      <c r="FRL45" s="30"/>
      <c r="FRM45" s="31"/>
      <c r="FRN45" s="30"/>
      <c r="FRO45" s="31"/>
      <c r="FRP45" s="30"/>
      <c r="FRQ45" s="31"/>
      <c r="FRR45" s="30"/>
      <c r="FRS45" s="31"/>
      <c r="FRT45" s="30"/>
      <c r="FRU45" s="31"/>
      <c r="FRV45" s="30"/>
      <c r="FRW45" s="31"/>
      <c r="FRX45" s="30"/>
      <c r="FRY45" s="31"/>
      <c r="FRZ45" s="30"/>
      <c r="FSA45" s="31"/>
      <c r="FSB45" s="30"/>
      <c r="FSC45" s="31"/>
      <c r="FSD45" s="30"/>
      <c r="FSE45" s="31"/>
      <c r="FSF45" s="30"/>
      <c r="FSG45" s="31"/>
      <c r="FSH45" s="30"/>
      <c r="FSI45" s="31"/>
      <c r="FSJ45" s="30"/>
      <c r="FSK45" s="31"/>
      <c r="FSL45" s="30"/>
      <c r="FSM45" s="31"/>
      <c r="FSN45" s="30"/>
      <c r="FSO45" s="31"/>
      <c r="FSP45" s="30"/>
      <c r="FSQ45" s="31"/>
      <c r="FSR45" s="30"/>
      <c r="FSS45" s="31"/>
      <c r="FST45" s="30"/>
      <c r="FSU45" s="31"/>
      <c r="FSV45" s="30"/>
      <c r="FSW45" s="31"/>
      <c r="FSX45" s="30"/>
      <c r="FSY45" s="31"/>
      <c r="FSZ45" s="30"/>
      <c r="FTA45" s="31"/>
      <c r="FTB45" s="30"/>
      <c r="FTC45" s="31"/>
      <c r="FTD45" s="30"/>
      <c r="FTE45" s="31"/>
      <c r="FTF45" s="30"/>
      <c r="FTG45" s="31"/>
      <c r="FTH45" s="30"/>
      <c r="FTI45" s="31"/>
      <c r="FTJ45" s="30"/>
      <c r="FTK45" s="31"/>
      <c r="FTL45" s="30"/>
      <c r="FTM45" s="31"/>
      <c r="FTN45" s="30"/>
      <c r="FTO45" s="31"/>
      <c r="FTP45" s="30"/>
      <c r="FTQ45" s="31"/>
      <c r="FTR45" s="30"/>
      <c r="FTS45" s="31"/>
      <c r="FTT45" s="30"/>
      <c r="FTU45" s="31"/>
      <c r="FTV45" s="30"/>
      <c r="FTW45" s="31"/>
      <c r="FTX45" s="30"/>
      <c r="FTY45" s="31"/>
      <c r="FTZ45" s="30"/>
      <c r="FUA45" s="31"/>
      <c r="FUB45" s="30"/>
      <c r="FUC45" s="31"/>
      <c r="FUD45" s="30"/>
      <c r="FUE45" s="31"/>
      <c r="FUF45" s="30"/>
      <c r="FUG45" s="31"/>
      <c r="FUH45" s="30"/>
      <c r="FUI45" s="31"/>
      <c r="FUJ45" s="30"/>
      <c r="FUK45" s="31"/>
      <c r="FUL45" s="30"/>
      <c r="FUM45" s="31"/>
      <c r="FUN45" s="30"/>
      <c r="FUO45" s="31"/>
      <c r="FUP45" s="30"/>
      <c r="FUQ45" s="31"/>
      <c r="FUR45" s="30"/>
      <c r="FUS45" s="31"/>
      <c r="FUT45" s="30"/>
      <c r="FUU45" s="31"/>
      <c r="FUV45" s="30"/>
      <c r="FUW45" s="31"/>
      <c r="FUX45" s="30"/>
      <c r="FUY45" s="31"/>
      <c r="FUZ45" s="30"/>
      <c r="FVA45" s="31"/>
      <c r="FVB45" s="30"/>
      <c r="FVC45" s="31"/>
      <c r="FVD45" s="30"/>
      <c r="FVE45" s="31"/>
      <c r="FVF45" s="30"/>
      <c r="FVG45" s="31"/>
      <c r="FVH45" s="30"/>
      <c r="FVI45" s="31"/>
      <c r="FVJ45" s="30"/>
      <c r="FVK45" s="31"/>
      <c r="FVL45" s="30"/>
      <c r="FVM45" s="31"/>
      <c r="FVN45" s="30"/>
      <c r="FVO45" s="31"/>
      <c r="FVP45" s="30"/>
      <c r="FVQ45" s="31"/>
      <c r="FVR45" s="30"/>
      <c r="FVS45" s="31"/>
      <c r="FVT45" s="30"/>
      <c r="FVU45" s="31"/>
      <c r="FVV45" s="30"/>
      <c r="FVW45" s="31"/>
      <c r="FVX45" s="30"/>
      <c r="FVY45" s="31"/>
      <c r="FVZ45" s="30"/>
      <c r="FWA45" s="31"/>
      <c r="FWB45" s="30"/>
      <c r="FWC45" s="31"/>
      <c r="FWD45" s="30"/>
      <c r="FWE45" s="31"/>
      <c r="FWF45" s="30"/>
      <c r="FWG45" s="31"/>
      <c r="FWH45" s="30"/>
      <c r="FWI45" s="31"/>
      <c r="FWJ45" s="30"/>
      <c r="FWK45" s="31"/>
      <c r="FWL45" s="30"/>
      <c r="FWM45" s="31"/>
      <c r="FWN45" s="30"/>
      <c r="FWO45" s="31"/>
      <c r="FWP45" s="30"/>
      <c r="FWQ45" s="31"/>
      <c r="FWR45" s="30"/>
      <c r="FWS45" s="31"/>
      <c r="FWT45" s="30"/>
      <c r="FWU45" s="31"/>
      <c r="FWV45" s="30"/>
      <c r="FWW45" s="31"/>
      <c r="FWX45" s="30"/>
      <c r="FWY45" s="31"/>
      <c r="FWZ45" s="30"/>
      <c r="FXA45" s="31"/>
      <c r="FXB45" s="30"/>
      <c r="FXC45" s="31"/>
      <c r="FXD45" s="30"/>
      <c r="FXE45" s="31"/>
      <c r="FXF45" s="30"/>
      <c r="FXG45" s="31"/>
      <c r="FXH45" s="30"/>
      <c r="FXI45" s="31"/>
      <c r="FXJ45" s="30"/>
      <c r="FXK45" s="31"/>
      <c r="FXL45" s="30"/>
      <c r="FXM45" s="31"/>
      <c r="FXN45" s="30"/>
      <c r="FXO45" s="31"/>
      <c r="FXP45" s="30"/>
      <c r="FXQ45" s="31"/>
      <c r="FXR45" s="30"/>
      <c r="FXS45" s="31"/>
      <c r="FXT45" s="30"/>
      <c r="FXU45" s="31"/>
      <c r="FXV45" s="30"/>
      <c r="FXW45" s="31"/>
      <c r="FXX45" s="30"/>
      <c r="FXY45" s="31"/>
      <c r="FXZ45" s="30"/>
      <c r="FYA45" s="31"/>
      <c r="FYB45" s="30"/>
      <c r="FYC45" s="31"/>
      <c r="FYD45" s="30"/>
      <c r="FYE45" s="31"/>
      <c r="FYF45" s="30"/>
      <c r="FYG45" s="31"/>
      <c r="FYH45" s="30"/>
      <c r="FYI45" s="31"/>
      <c r="FYJ45" s="30"/>
      <c r="FYK45" s="31"/>
      <c r="FYL45" s="30"/>
      <c r="FYM45" s="31"/>
      <c r="FYN45" s="30"/>
      <c r="FYO45" s="31"/>
      <c r="FYP45" s="30"/>
      <c r="FYQ45" s="31"/>
      <c r="FYR45" s="30"/>
      <c r="FYS45" s="31"/>
      <c r="FYT45" s="30"/>
      <c r="FYU45" s="31"/>
      <c r="FYV45" s="30"/>
      <c r="FYW45" s="31"/>
      <c r="FYX45" s="30"/>
      <c r="FYY45" s="31"/>
      <c r="FYZ45" s="30"/>
      <c r="FZA45" s="31"/>
      <c r="FZB45" s="30"/>
      <c r="FZC45" s="31"/>
      <c r="FZD45" s="30"/>
      <c r="FZE45" s="31"/>
      <c r="FZF45" s="30"/>
      <c r="FZG45" s="31"/>
      <c r="FZH45" s="30"/>
      <c r="FZI45" s="31"/>
      <c r="FZJ45" s="30"/>
      <c r="FZK45" s="31"/>
      <c r="FZL45" s="30"/>
      <c r="FZM45" s="31"/>
      <c r="FZN45" s="30"/>
      <c r="FZO45" s="31"/>
      <c r="FZP45" s="30"/>
      <c r="FZQ45" s="31"/>
      <c r="FZR45" s="30"/>
      <c r="FZS45" s="31"/>
      <c r="FZT45" s="30"/>
      <c r="FZU45" s="31"/>
      <c r="FZV45" s="30"/>
      <c r="FZW45" s="31"/>
      <c r="FZX45" s="30"/>
      <c r="FZY45" s="31"/>
      <c r="FZZ45" s="30"/>
      <c r="GAA45" s="31"/>
      <c r="GAB45" s="30"/>
      <c r="GAC45" s="31"/>
      <c r="GAD45" s="30"/>
      <c r="GAE45" s="31"/>
      <c r="GAF45" s="30"/>
      <c r="GAG45" s="31"/>
      <c r="GAH45" s="30"/>
      <c r="GAI45" s="31"/>
      <c r="GAJ45" s="30"/>
      <c r="GAK45" s="31"/>
      <c r="GAL45" s="30"/>
      <c r="GAM45" s="31"/>
      <c r="GAN45" s="30"/>
      <c r="GAO45" s="31"/>
      <c r="GAP45" s="30"/>
      <c r="GAQ45" s="31"/>
      <c r="GAR45" s="30"/>
      <c r="GAS45" s="31"/>
      <c r="GAT45" s="30"/>
      <c r="GAU45" s="31"/>
      <c r="GAV45" s="30"/>
      <c r="GAW45" s="31"/>
      <c r="GAX45" s="30"/>
      <c r="GAY45" s="31"/>
      <c r="GAZ45" s="30"/>
      <c r="GBA45" s="31"/>
      <c r="GBB45" s="30"/>
      <c r="GBC45" s="31"/>
      <c r="GBD45" s="30"/>
      <c r="GBE45" s="31"/>
      <c r="GBF45" s="30"/>
      <c r="GBG45" s="31"/>
      <c r="GBH45" s="30"/>
      <c r="GBI45" s="31"/>
      <c r="GBJ45" s="30"/>
      <c r="GBK45" s="31"/>
      <c r="GBL45" s="30"/>
      <c r="GBM45" s="31"/>
      <c r="GBN45" s="30"/>
      <c r="GBO45" s="31"/>
      <c r="GBP45" s="30"/>
      <c r="GBQ45" s="31"/>
      <c r="GBR45" s="30"/>
      <c r="GBS45" s="31"/>
      <c r="GBT45" s="30"/>
      <c r="GBU45" s="31"/>
      <c r="GBV45" s="30"/>
      <c r="GBW45" s="31"/>
      <c r="GBX45" s="30"/>
      <c r="GBY45" s="31"/>
      <c r="GBZ45" s="30"/>
      <c r="GCA45" s="31"/>
      <c r="GCB45" s="30"/>
      <c r="GCC45" s="31"/>
      <c r="GCD45" s="30"/>
      <c r="GCE45" s="31"/>
      <c r="GCF45" s="30"/>
      <c r="GCG45" s="31"/>
      <c r="GCH45" s="30"/>
      <c r="GCI45" s="31"/>
      <c r="GCJ45" s="30"/>
      <c r="GCK45" s="31"/>
      <c r="GCL45" s="30"/>
      <c r="GCM45" s="31"/>
      <c r="GCN45" s="30"/>
      <c r="GCO45" s="31"/>
      <c r="GCP45" s="30"/>
      <c r="GCQ45" s="31"/>
      <c r="GCR45" s="30"/>
      <c r="GCS45" s="31"/>
      <c r="GCT45" s="30"/>
      <c r="GCU45" s="31"/>
      <c r="GCV45" s="30"/>
      <c r="GCW45" s="31"/>
      <c r="GCX45" s="30"/>
      <c r="GCY45" s="31"/>
      <c r="GCZ45" s="30"/>
      <c r="GDA45" s="31"/>
      <c r="GDB45" s="30"/>
      <c r="GDC45" s="31"/>
      <c r="GDD45" s="30"/>
      <c r="GDE45" s="31"/>
      <c r="GDF45" s="30"/>
      <c r="GDG45" s="31"/>
      <c r="GDH45" s="30"/>
      <c r="GDI45" s="31"/>
      <c r="GDJ45" s="30"/>
      <c r="GDK45" s="31"/>
      <c r="GDL45" s="30"/>
      <c r="GDM45" s="31"/>
      <c r="GDN45" s="30"/>
      <c r="GDO45" s="31"/>
      <c r="GDP45" s="30"/>
      <c r="GDQ45" s="31"/>
      <c r="GDR45" s="30"/>
      <c r="GDS45" s="31"/>
      <c r="GDT45" s="30"/>
      <c r="GDU45" s="31"/>
      <c r="GDV45" s="30"/>
      <c r="GDW45" s="31"/>
      <c r="GDX45" s="30"/>
      <c r="GDY45" s="31"/>
      <c r="GDZ45" s="30"/>
      <c r="GEA45" s="31"/>
      <c r="GEB45" s="30"/>
      <c r="GEC45" s="31"/>
      <c r="GED45" s="30"/>
      <c r="GEE45" s="31"/>
      <c r="GEF45" s="30"/>
      <c r="GEG45" s="31"/>
      <c r="GEH45" s="30"/>
      <c r="GEI45" s="31"/>
      <c r="GEJ45" s="30"/>
      <c r="GEK45" s="31"/>
      <c r="GEL45" s="30"/>
      <c r="GEM45" s="31"/>
      <c r="GEN45" s="30"/>
      <c r="GEO45" s="31"/>
      <c r="GEP45" s="30"/>
      <c r="GEQ45" s="31"/>
      <c r="GER45" s="30"/>
      <c r="GES45" s="31"/>
      <c r="GET45" s="30"/>
      <c r="GEU45" s="31"/>
      <c r="GEV45" s="30"/>
      <c r="GEW45" s="31"/>
      <c r="GEX45" s="30"/>
      <c r="GEY45" s="31"/>
      <c r="GEZ45" s="30"/>
      <c r="GFA45" s="31"/>
      <c r="GFB45" s="30"/>
      <c r="GFC45" s="31"/>
      <c r="GFD45" s="30"/>
      <c r="GFE45" s="31"/>
      <c r="GFF45" s="30"/>
      <c r="GFG45" s="31"/>
      <c r="GFH45" s="30"/>
      <c r="GFI45" s="31"/>
      <c r="GFJ45" s="30"/>
      <c r="GFK45" s="31"/>
      <c r="GFL45" s="30"/>
      <c r="GFM45" s="31"/>
      <c r="GFN45" s="30"/>
      <c r="GFO45" s="31"/>
      <c r="GFP45" s="30"/>
      <c r="GFQ45" s="31"/>
      <c r="GFR45" s="30"/>
      <c r="GFS45" s="31"/>
      <c r="GFT45" s="30"/>
      <c r="GFU45" s="31"/>
      <c r="GFV45" s="30"/>
      <c r="GFW45" s="31"/>
      <c r="GFX45" s="30"/>
      <c r="GFY45" s="31"/>
      <c r="GFZ45" s="30"/>
      <c r="GGA45" s="31"/>
      <c r="GGB45" s="30"/>
      <c r="GGC45" s="31"/>
      <c r="GGD45" s="30"/>
      <c r="GGE45" s="31"/>
      <c r="GGF45" s="30"/>
      <c r="GGG45" s="31"/>
      <c r="GGH45" s="30"/>
      <c r="GGI45" s="31"/>
      <c r="GGJ45" s="30"/>
      <c r="GGK45" s="31"/>
      <c r="GGL45" s="30"/>
      <c r="GGM45" s="31"/>
      <c r="GGN45" s="30"/>
      <c r="GGO45" s="31"/>
      <c r="GGP45" s="30"/>
      <c r="GGQ45" s="31"/>
      <c r="GGR45" s="30"/>
      <c r="GGS45" s="31"/>
      <c r="GGT45" s="30"/>
      <c r="GGU45" s="31"/>
      <c r="GGV45" s="30"/>
      <c r="GGW45" s="31"/>
      <c r="GGX45" s="30"/>
      <c r="GGY45" s="31"/>
      <c r="GGZ45" s="30"/>
      <c r="GHA45" s="31"/>
      <c r="GHB45" s="30"/>
      <c r="GHC45" s="31"/>
      <c r="GHD45" s="30"/>
      <c r="GHE45" s="31"/>
      <c r="GHF45" s="30"/>
      <c r="GHG45" s="31"/>
      <c r="GHH45" s="30"/>
      <c r="GHI45" s="31"/>
      <c r="GHJ45" s="30"/>
      <c r="GHK45" s="31"/>
      <c r="GHL45" s="30"/>
      <c r="GHM45" s="31"/>
      <c r="GHN45" s="30"/>
      <c r="GHO45" s="31"/>
      <c r="GHP45" s="30"/>
      <c r="GHQ45" s="31"/>
      <c r="GHR45" s="30"/>
      <c r="GHS45" s="31"/>
      <c r="GHT45" s="30"/>
      <c r="GHU45" s="31"/>
      <c r="GHV45" s="30"/>
      <c r="GHW45" s="31"/>
      <c r="GHX45" s="30"/>
      <c r="GHY45" s="31"/>
      <c r="GHZ45" s="30"/>
      <c r="GIA45" s="31"/>
      <c r="GIB45" s="30"/>
      <c r="GIC45" s="31"/>
      <c r="GID45" s="30"/>
      <c r="GIE45" s="31"/>
      <c r="GIF45" s="30"/>
      <c r="GIG45" s="31"/>
      <c r="GIH45" s="30"/>
      <c r="GII45" s="31"/>
      <c r="GIJ45" s="30"/>
      <c r="GIK45" s="31"/>
      <c r="GIL45" s="30"/>
      <c r="GIM45" s="31"/>
      <c r="GIN45" s="30"/>
      <c r="GIO45" s="31"/>
      <c r="GIP45" s="30"/>
      <c r="GIQ45" s="31"/>
      <c r="GIR45" s="30"/>
      <c r="GIS45" s="31"/>
      <c r="GIT45" s="30"/>
      <c r="GIU45" s="31"/>
      <c r="GIV45" s="30"/>
      <c r="GIW45" s="31"/>
      <c r="GIX45" s="30"/>
      <c r="GIY45" s="31"/>
      <c r="GIZ45" s="30"/>
      <c r="GJA45" s="31"/>
      <c r="GJB45" s="30"/>
      <c r="GJC45" s="31"/>
      <c r="GJD45" s="30"/>
      <c r="GJE45" s="31"/>
      <c r="GJF45" s="30"/>
      <c r="GJG45" s="31"/>
      <c r="GJH45" s="30"/>
      <c r="GJI45" s="31"/>
      <c r="GJJ45" s="30"/>
      <c r="GJK45" s="31"/>
      <c r="GJL45" s="30"/>
      <c r="GJM45" s="31"/>
      <c r="GJN45" s="30"/>
      <c r="GJO45" s="31"/>
      <c r="GJP45" s="30"/>
      <c r="GJQ45" s="31"/>
      <c r="GJR45" s="30"/>
      <c r="GJS45" s="31"/>
      <c r="GJT45" s="30"/>
      <c r="GJU45" s="31"/>
      <c r="GJV45" s="30"/>
      <c r="GJW45" s="31"/>
      <c r="GJX45" s="30"/>
      <c r="GJY45" s="31"/>
      <c r="GJZ45" s="30"/>
      <c r="GKA45" s="31"/>
      <c r="GKB45" s="30"/>
      <c r="GKC45" s="31"/>
      <c r="GKD45" s="30"/>
      <c r="GKE45" s="31"/>
      <c r="GKF45" s="30"/>
      <c r="GKG45" s="31"/>
      <c r="GKH45" s="30"/>
      <c r="GKI45" s="31"/>
      <c r="GKJ45" s="30"/>
      <c r="GKK45" s="31"/>
      <c r="GKL45" s="30"/>
      <c r="GKM45" s="31"/>
      <c r="GKN45" s="30"/>
      <c r="GKO45" s="31"/>
      <c r="GKP45" s="30"/>
      <c r="GKQ45" s="31"/>
      <c r="GKR45" s="30"/>
      <c r="GKS45" s="31"/>
      <c r="GKT45" s="30"/>
      <c r="GKU45" s="31"/>
      <c r="GKV45" s="30"/>
      <c r="GKW45" s="31"/>
      <c r="GKX45" s="30"/>
      <c r="GKY45" s="31"/>
      <c r="GKZ45" s="30"/>
      <c r="GLA45" s="31"/>
      <c r="GLB45" s="30"/>
      <c r="GLC45" s="31"/>
      <c r="GLD45" s="30"/>
      <c r="GLE45" s="31"/>
      <c r="GLF45" s="30"/>
      <c r="GLG45" s="31"/>
      <c r="GLH45" s="30"/>
      <c r="GLI45" s="31"/>
      <c r="GLJ45" s="30"/>
      <c r="GLK45" s="31"/>
      <c r="GLL45" s="30"/>
      <c r="GLM45" s="31"/>
      <c r="GLN45" s="30"/>
      <c r="GLO45" s="31"/>
      <c r="GLP45" s="30"/>
      <c r="GLQ45" s="31"/>
      <c r="GLR45" s="30"/>
      <c r="GLS45" s="31"/>
      <c r="GLT45" s="30"/>
      <c r="GLU45" s="31"/>
      <c r="GLV45" s="30"/>
      <c r="GLW45" s="31"/>
      <c r="GLX45" s="30"/>
      <c r="GLY45" s="31"/>
      <c r="GLZ45" s="30"/>
      <c r="GMA45" s="31"/>
      <c r="GMB45" s="30"/>
      <c r="GMC45" s="31"/>
      <c r="GMD45" s="30"/>
      <c r="GME45" s="31"/>
      <c r="GMF45" s="30"/>
      <c r="GMG45" s="31"/>
      <c r="GMH45" s="30"/>
      <c r="GMI45" s="31"/>
      <c r="GMJ45" s="30"/>
      <c r="GMK45" s="31"/>
      <c r="GML45" s="30"/>
      <c r="GMM45" s="31"/>
      <c r="GMN45" s="30"/>
      <c r="GMO45" s="31"/>
      <c r="GMP45" s="30"/>
      <c r="GMQ45" s="31"/>
      <c r="GMR45" s="30"/>
      <c r="GMS45" s="31"/>
      <c r="GMT45" s="30"/>
      <c r="GMU45" s="31"/>
      <c r="GMV45" s="30"/>
      <c r="GMW45" s="31"/>
      <c r="GMX45" s="30"/>
      <c r="GMY45" s="31"/>
      <c r="GMZ45" s="30"/>
      <c r="GNA45" s="31"/>
      <c r="GNB45" s="30"/>
      <c r="GNC45" s="31"/>
      <c r="GND45" s="30"/>
      <c r="GNE45" s="31"/>
      <c r="GNF45" s="30"/>
      <c r="GNG45" s="31"/>
      <c r="GNH45" s="30"/>
      <c r="GNI45" s="31"/>
      <c r="GNJ45" s="30"/>
      <c r="GNK45" s="31"/>
      <c r="GNL45" s="30"/>
      <c r="GNM45" s="31"/>
      <c r="GNN45" s="30"/>
      <c r="GNO45" s="31"/>
      <c r="GNP45" s="30"/>
      <c r="GNQ45" s="31"/>
      <c r="GNR45" s="30"/>
      <c r="GNS45" s="31"/>
      <c r="GNT45" s="30"/>
      <c r="GNU45" s="31"/>
      <c r="GNV45" s="30"/>
      <c r="GNW45" s="31"/>
      <c r="GNX45" s="30"/>
      <c r="GNY45" s="31"/>
      <c r="GNZ45" s="30"/>
      <c r="GOA45" s="31"/>
      <c r="GOB45" s="30"/>
      <c r="GOC45" s="31"/>
      <c r="GOD45" s="30"/>
      <c r="GOE45" s="31"/>
      <c r="GOF45" s="30"/>
      <c r="GOG45" s="31"/>
      <c r="GOH45" s="30"/>
      <c r="GOI45" s="31"/>
      <c r="GOJ45" s="30"/>
      <c r="GOK45" s="31"/>
      <c r="GOL45" s="30"/>
      <c r="GOM45" s="31"/>
      <c r="GON45" s="30"/>
      <c r="GOO45" s="31"/>
      <c r="GOP45" s="30"/>
      <c r="GOQ45" s="31"/>
      <c r="GOR45" s="30"/>
      <c r="GOS45" s="31"/>
      <c r="GOT45" s="30"/>
      <c r="GOU45" s="31"/>
      <c r="GOV45" s="30"/>
      <c r="GOW45" s="31"/>
      <c r="GOX45" s="30"/>
      <c r="GOY45" s="31"/>
      <c r="GOZ45" s="30"/>
      <c r="GPA45" s="31"/>
      <c r="GPB45" s="30"/>
      <c r="GPC45" s="31"/>
      <c r="GPD45" s="30"/>
      <c r="GPE45" s="31"/>
      <c r="GPF45" s="30"/>
      <c r="GPG45" s="31"/>
      <c r="GPH45" s="30"/>
      <c r="GPI45" s="31"/>
      <c r="GPJ45" s="30"/>
      <c r="GPK45" s="31"/>
      <c r="GPL45" s="30"/>
      <c r="GPM45" s="31"/>
      <c r="GPN45" s="30"/>
      <c r="GPO45" s="31"/>
      <c r="GPP45" s="30"/>
      <c r="GPQ45" s="31"/>
      <c r="GPR45" s="30"/>
      <c r="GPS45" s="31"/>
      <c r="GPT45" s="30"/>
      <c r="GPU45" s="31"/>
      <c r="GPV45" s="30"/>
      <c r="GPW45" s="31"/>
      <c r="GPX45" s="30"/>
      <c r="GPY45" s="31"/>
      <c r="GPZ45" s="30"/>
      <c r="GQA45" s="31"/>
      <c r="GQB45" s="30"/>
      <c r="GQC45" s="31"/>
      <c r="GQD45" s="30"/>
      <c r="GQE45" s="31"/>
      <c r="GQF45" s="30"/>
      <c r="GQG45" s="31"/>
      <c r="GQH45" s="30"/>
      <c r="GQI45" s="31"/>
      <c r="GQJ45" s="30"/>
      <c r="GQK45" s="31"/>
      <c r="GQL45" s="30"/>
      <c r="GQM45" s="31"/>
      <c r="GQN45" s="30"/>
      <c r="GQO45" s="31"/>
      <c r="GQP45" s="30"/>
      <c r="GQQ45" s="31"/>
      <c r="GQR45" s="30"/>
      <c r="GQS45" s="31"/>
      <c r="GQT45" s="30"/>
      <c r="GQU45" s="31"/>
      <c r="GQV45" s="30"/>
      <c r="GQW45" s="31"/>
      <c r="GQX45" s="30"/>
      <c r="GQY45" s="31"/>
      <c r="GQZ45" s="30"/>
      <c r="GRA45" s="31"/>
      <c r="GRB45" s="30"/>
      <c r="GRC45" s="31"/>
      <c r="GRD45" s="30"/>
      <c r="GRE45" s="31"/>
      <c r="GRF45" s="30"/>
      <c r="GRG45" s="31"/>
      <c r="GRH45" s="30"/>
      <c r="GRI45" s="31"/>
      <c r="GRJ45" s="30"/>
      <c r="GRK45" s="31"/>
      <c r="GRL45" s="30"/>
      <c r="GRM45" s="31"/>
      <c r="GRN45" s="30"/>
      <c r="GRO45" s="31"/>
      <c r="GRP45" s="30"/>
      <c r="GRQ45" s="31"/>
      <c r="GRR45" s="30"/>
      <c r="GRS45" s="31"/>
      <c r="GRT45" s="30"/>
      <c r="GRU45" s="31"/>
      <c r="GRV45" s="30"/>
      <c r="GRW45" s="31"/>
      <c r="GRX45" s="30"/>
      <c r="GRY45" s="31"/>
      <c r="GRZ45" s="30"/>
      <c r="GSA45" s="31"/>
      <c r="GSB45" s="30"/>
      <c r="GSC45" s="31"/>
      <c r="GSD45" s="30"/>
      <c r="GSE45" s="31"/>
      <c r="GSF45" s="30"/>
      <c r="GSG45" s="31"/>
      <c r="GSH45" s="30"/>
      <c r="GSI45" s="31"/>
      <c r="GSJ45" s="30"/>
      <c r="GSK45" s="31"/>
      <c r="GSL45" s="30"/>
      <c r="GSM45" s="31"/>
      <c r="GSN45" s="30"/>
      <c r="GSO45" s="31"/>
      <c r="GSP45" s="30"/>
      <c r="GSQ45" s="31"/>
      <c r="GSR45" s="30"/>
      <c r="GSS45" s="31"/>
      <c r="GST45" s="30"/>
      <c r="GSU45" s="31"/>
      <c r="GSV45" s="30"/>
      <c r="GSW45" s="31"/>
      <c r="GSX45" s="30"/>
      <c r="GSY45" s="31"/>
      <c r="GSZ45" s="30"/>
      <c r="GTA45" s="31"/>
      <c r="GTB45" s="30"/>
      <c r="GTC45" s="31"/>
      <c r="GTD45" s="30"/>
      <c r="GTE45" s="31"/>
      <c r="GTF45" s="30"/>
      <c r="GTG45" s="31"/>
      <c r="GTH45" s="30"/>
      <c r="GTI45" s="31"/>
      <c r="GTJ45" s="30"/>
      <c r="GTK45" s="31"/>
      <c r="GTL45" s="30"/>
      <c r="GTM45" s="31"/>
      <c r="GTN45" s="30"/>
      <c r="GTO45" s="31"/>
      <c r="GTP45" s="30"/>
      <c r="GTQ45" s="31"/>
      <c r="GTR45" s="30"/>
      <c r="GTS45" s="31"/>
      <c r="GTT45" s="30"/>
      <c r="GTU45" s="31"/>
      <c r="GTV45" s="30"/>
      <c r="GTW45" s="31"/>
      <c r="GTX45" s="30"/>
      <c r="GTY45" s="31"/>
      <c r="GTZ45" s="30"/>
      <c r="GUA45" s="31"/>
      <c r="GUB45" s="30"/>
      <c r="GUC45" s="31"/>
      <c r="GUD45" s="30"/>
      <c r="GUE45" s="31"/>
      <c r="GUF45" s="30"/>
      <c r="GUG45" s="31"/>
      <c r="GUH45" s="30"/>
      <c r="GUI45" s="31"/>
      <c r="GUJ45" s="30"/>
      <c r="GUK45" s="31"/>
      <c r="GUL45" s="30"/>
      <c r="GUM45" s="31"/>
      <c r="GUN45" s="30"/>
      <c r="GUO45" s="31"/>
      <c r="GUP45" s="30"/>
      <c r="GUQ45" s="31"/>
      <c r="GUR45" s="30"/>
      <c r="GUS45" s="31"/>
      <c r="GUT45" s="30"/>
      <c r="GUU45" s="31"/>
      <c r="GUV45" s="30"/>
      <c r="GUW45" s="31"/>
      <c r="GUX45" s="30"/>
      <c r="GUY45" s="31"/>
      <c r="GUZ45" s="30"/>
      <c r="GVA45" s="31"/>
      <c r="GVB45" s="30"/>
      <c r="GVC45" s="31"/>
      <c r="GVD45" s="30"/>
      <c r="GVE45" s="31"/>
      <c r="GVF45" s="30"/>
      <c r="GVG45" s="31"/>
      <c r="GVH45" s="30"/>
      <c r="GVI45" s="31"/>
      <c r="GVJ45" s="30"/>
      <c r="GVK45" s="31"/>
      <c r="GVL45" s="30"/>
      <c r="GVM45" s="31"/>
      <c r="GVN45" s="30"/>
      <c r="GVO45" s="31"/>
      <c r="GVP45" s="30"/>
      <c r="GVQ45" s="31"/>
      <c r="GVR45" s="30"/>
      <c r="GVS45" s="31"/>
      <c r="GVT45" s="30"/>
      <c r="GVU45" s="31"/>
      <c r="GVV45" s="30"/>
      <c r="GVW45" s="31"/>
      <c r="GVX45" s="30"/>
      <c r="GVY45" s="31"/>
      <c r="GVZ45" s="30"/>
      <c r="GWA45" s="31"/>
      <c r="GWB45" s="30"/>
      <c r="GWC45" s="31"/>
      <c r="GWD45" s="30"/>
      <c r="GWE45" s="31"/>
      <c r="GWF45" s="30"/>
      <c r="GWG45" s="31"/>
      <c r="GWH45" s="30"/>
      <c r="GWI45" s="31"/>
      <c r="GWJ45" s="30"/>
      <c r="GWK45" s="31"/>
      <c r="GWL45" s="30"/>
      <c r="GWM45" s="31"/>
      <c r="GWN45" s="30"/>
      <c r="GWO45" s="31"/>
      <c r="GWP45" s="30"/>
      <c r="GWQ45" s="31"/>
      <c r="GWR45" s="30"/>
      <c r="GWS45" s="31"/>
      <c r="GWT45" s="30"/>
      <c r="GWU45" s="31"/>
      <c r="GWV45" s="30"/>
      <c r="GWW45" s="31"/>
      <c r="GWX45" s="30"/>
      <c r="GWY45" s="31"/>
      <c r="GWZ45" s="30"/>
      <c r="GXA45" s="31"/>
      <c r="GXB45" s="30"/>
      <c r="GXC45" s="31"/>
      <c r="GXD45" s="30"/>
      <c r="GXE45" s="31"/>
      <c r="GXF45" s="30"/>
      <c r="GXG45" s="31"/>
      <c r="GXH45" s="30"/>
      <c r="GXI45" s="31"/>
      <c r="GXJ45" s="30"/>
      <c r="GXK45" s="31"/>
      <c r="GXL45" s="30"/>
      <c r="GXM45" s="31"/>
      <c r="GXN45" s="30"/>
      <c r="GXO45" s="31"/>
      <c r="GXP45" s="30"/>
      <c r="GXQ45" s="31"/>
      <c r="GXR45" s="30"/>
      <c r="GXS45" s="31"/>
      <c r="GXT45" s="30"/>
      <c r="GXU45" s="31"/>
      <c r="GXV45" s="30"/>
      <c r="GXW45" s="31"/>
      <c r="GXX45" s="30"/>
      <c r="GXY45" s="31"/>
      <c r="GXZ45" s="30"/>
      <c r="GYA45" s="31"/>
      <c r="GYB45" s="30"/>
      <c r="GYC45" s="31"/>
      <c r="GYD45" s="30"/>
      <c r="GYE45" s="31"/>
      <c r="GYF45" s="30"/>
      <c r="GYG45" s="31"/>
      <c r="GYH45" s="30"/>
      <c r="GYI45" s="31"/>
      <c r="GYJ45" s="30"/>
      <c r="GYK45" s="31"/>
      <c r="GYL45" s="30"/>
      <c r="GYM45" s="31"/>
      <c r="GYN45" s="30"/>
      <c r="GYO45" s="31"/>
      <c r="GYP45" s="30"/>
      <c r="GYQ45" s="31"/>
      <c r="GYR45" s="30"/>
      <c r="GYS45" s="31"/>
      <c r="GYT45" s="30"/>
      <c r="GYU45" s="31"/>
      <c r="GYV45" s="30"/>
      <c r="GYW45" s="31"/>
      <c r="GYX45" s="30"/>
      <c r="GYY45" s="31"/>
      <c r="GYZ45" s="30"/>
      <c r="GZA45" s="31"/>
      <c r="GZB45" s="30"/>
      <c r="GZC45" s="31"/>
      <c r="GZD45" s="30"/>
      <c r="GZE45" s="31"/>
      <c r="GZF45" s="30"/>
      <c r="GZG45" s="31"/>
      <c r="GZH45" s="30"/>
      <c r="GZI45" s="31"/>
      <c r="GZJ45" s="30"/>
      <c r="GZK45" s="31"/>
      <c r="GZL45" s="30"/>
      <c r="GZM45" s="31"/>
      <c r="GZN45" s="30"/>
      <c r="GZO45" s="31"/>
      <c r="GZP45" s="30"/>
      <c r="GZQ45" s="31"/>
      <c r="GZR45" s="30"/>
      <c r="GZS45" s="31"/>
      <c r="GZT45" s="30"/>
      <c r="GZU45" s="31"/>
      <c r="GZV45" s="30"/>
      <c r="GZW45" s="31"/>
      <c r="GZX45" s="30"/>
      <c r="GZY45" s="31"/>
      <c r="GZZ45" s="30"/>
      <c r="HAA45" s="31"/>
      <c r="HAB45" s="30"/>
      <c r="HAC45" s="31"/>
      <c r="HAD45" s="30"/>
      <c r="HAE45" s="31"/>
      <c r="HAF45" s="30"/>
      <c r="HAG45" s="31"/>
      <c r="HAH45" s="30"/>
      <c r="HAI45" s="31"/>
      <c r="HAJ45" s="30"/>
      <c r="HAK45" s="31"/>
      <c r="HAL45" s="30"/>
      <c r="HAM45" s="31"/>
      <c r="HAN45" s="30"/>
      <c r="HAO45" s="31"/>
      <c r="HAP45" s="30"/>
      <c r="HAQ45" s="31"/>
      <c r="HAR45" s="30"/>
      <c r="HAS45" s="31"/>
      <c r="HAT45" s="30"/>
      <c r="HAU45" s="31"/>
      <c r="HAV45" s="30"/>
      <c r="HAW45" s="31"/>
      <c r="HAX45" s="30"/>
      <c r="HAY45" s="31"/>
      <c r="HAZ45" s="30"/>
      <c r="HBA45" s="31"/>
      <c r="HBB45" s="30"/>
      <c r="HBC45" s="31"/>
      <c r="HBD45" s="30"/>
      <c r="HBE45" s="31"/>
      <c r="HBF45" s="30"/>
      <c r="HBG45" s="31"/>
      <c r="HBH45" s="30"/>
      <c r="HBI45" s="31"/>
      <c r="HBJ45" s="30"/>
      <c r="HBK45" s="31"/>
      <c r="HBL45" s="30"/>
      <c r="HBM45" s="31"/>
      <c r="HBN45" s="30"/>
      <c r="HBO45" s="31"/>
      <c r="HBP45" s="30"/>
      <c r="HBQ45" s="31"/>
      <c r="HBR45" s="30"/>
      <c r="HBS45" s="31"/>
      <c r="HBT45" s="30"/>
      <c r="HBU45" s="31"/>
      <c r="HBV45" s="30"/>
      <c r="HBW45" s="31"/>
      <c r="HBX45" s="30"/>
      <c r="HBY45" s="31"/>
      <c r="HBZ45" s="30"/>
      <c r="HCA45" s="31"/>
      <c r="HCB45" s="30"/>
      <c r="HCC45" s="31"/>
      <c r="HCD45" s="30"/>
      <c r="HCE45" s="31"/>
      <c r="HCF45" s="30"/>
      <c r="HCG45" s="31"/>
      <c r="HCH45" s="30"/>
      <c r="HCI45" s="31"/>
      <c r="HCJ45" s="30"/>
      <c r="HCK45" s="31"/>
      <c r="HCL45" s="30"/>
      <c r="HCM45" s="31"/>
      <c r="HCN45" s="30"/>
      <c r="HCO45" s="31"/>
      <c r="HCP45" s="30"/>
      <c r="HCQ45" s="31"/>
      <c r="HCR45" s="30"/>
      <c r="HCS45" s="31"/>
      <c r="HCT45" s="30"/>
      <c r="HCU45" s="31"/>
      <c r="HCV45" s="30"/>
      <c r="HCW45" s="31"/>
      <c r="HCX45" s="30"/>
      <c r="HCY45" s="31"/>
      <c r="HCZ45" s="30"/>
      <c r="HDA45" s="31"/>
      <c r="HDB45" s="30"/>
      <c r="HDC45" s="31"/>
      <c r="HDD45" s="30"/>
      <c r="HDE45" s="31"/>
      <c r="HDF45" s="30"/>
      <c r="HDG45" s="31"/>
      <c r="HDH45" s="30"/>
      <c r="HDI45" s="31"/>
      <c r="HDJ45" s="30"/>
      <c r="HDK45" s="31"/>
      <c r="HDL45" s="30"/>
      <c r="HDM45" s="31"/>
      <c r="HDN45" s="30"/>
      <c r="HDO45" s="31"/>
      <c r="HDP45" s="30"/>
      <c r="HDQ45" s="31"/>
      <c r="HDR45" s="30"/>
      <c r="HDS45" s="31"/>
      <c r="HDT45" s="30"/>
      <c r="HDU45" s="31"/>
      <c r="HDV45" s="30"/>
      <c r="HDW45" s="31"/>
      <c r="HDX45" s="30"/>
      <c r="HDY45" s="31"/>
      <c r="HDZ45" s="30"/>
      <c r="HEA45" s="31"/>
      <c r="HEB45" s="30"/>
      <c r="HEC45" s="31"/>
      <c r="HED45" s="30"/>
      <c r="HEE45" s="31"/>
      <c r="HEF45" s="30"/>
      <c r="HEG45" s="31"/>
      <c r="HEH45" s="30"/>
      <c r="HEI45" s="31"/>
      <c r="HEJ45" s="30"/>
      <c r="HEK45" s="31"/>
      <c r="HEL45" s="30"/>
      <c r="HEM45" s="31"/>
      <c r="HEN45" s="30"/>
      <c r="HEO45" s="31"/>
      <c r="HEP45" s="30"/>
      <c r="HEQ45" s="31"/>
      <c r="HER45" s="30"/>
      <c r="HES45" s="31"/>
      <c r="HET45" s="30"/>
      <c r="HEU45" s="31"/>
      <c r="HEV45" s="30"/>
      <c r="HEW45" s="31"/>
      <c r="HEX45" s="30"/>
      <c r="HEY45" s="31"/>
      <c r="HEZ45" s="30"/>
      <c r="HFA45" s="31"/>
      <c r="HFB45" s="30"/>
      <c r="HFC45" s="31"/>
      <c r="HFD45" s="30"/>
      <c r="HFE45" s="31"/>
      <c r="HFF45" s="30"/>
      <c r="HFG45" s="31"/>
      <c r="HFH45" s="30"/>
      <c r="HFI45" s="31"/>
      <c r="HFJ45" s="30"/>
      <c r="HFK45" s="31"/>
      <c r="HFL45" s="30"/>
      <c r="HFM45" s="31"/>
      <c r="HFN45" s="30"/>
      <c r="HFO45" s="31"/>
      <c r="HFP45" s="30"/>
      <c r="HFQ45" s="31"/>
      <c r="HFR45" s="30"/>
      <c r="HFS45" s="31"/>
      <c r="HFT45" s="30"/>
      <c r="HFU45" s="31"/>
      <c r="HFV45" s="30"/>
      <c r="HFW45" s="31"/>
      <c r="HFX45" s="30"/>
      <c r="HFY45" s="31"/>
      <c r="HFZ45" s="30"/>
      <c r="HGA45" s="31"/>
      <c r="HGB45" s="30"/>
      <c r="HGC45" s="31"/>
      <c r="HGD45" s="30"/>
      <c r="HGE45" s="31"/>
      <c r="HGF45" s="30"/>
      <c r="HGG45" s="31"/>
      <c r="HGH45" s="30"/>
      <c r="HGI45" s="31"/>
      <c r="HGJ45" s="30"/>
      <c r="HGK45" s="31"/>
      <c r="HGL45" s="30"/>
      <c r="HGM45" s="31"/>
      <c r="HGN45" s="30"/>
      <c r="HGO45" s="31"/>
      <c r="HGP45" s="30"/>
      <c r="HGQ45" s="31"/>
      <c r="HGR45" s="30"/>
      <c r="HGS45" s="31"/>
      <c r="HGT45" s="30"/>
      <c r="HGU45" s="31"/>
      <c r="HGV45" s="30"/>
      <c r="HGW45" s="31"/>
      <c r="HGX45" s="30"/>
      <c r="HGY45" s="31"/>
      <c r="HGZ45" s="30"/>
      <c r="HHA45" s="31"/>
      <c r="HHB45" s="30"/>
      <c r="HHC45" s="31"/>
      <c r="HHD45" s="30"/>
      <c r="HHE45" s="31"/>
      <c r="HHF45" s="30"/>
      <c r="HHG45" s="31"/>
      <c r="HHH45" s="30"/>
      <c r="HHI45" s="31"/>
      <c r="HHJ45" s="30"/>
      <c r="HHK45" s="31"/>
      <c r="HHL45" s="30"/>
      <c r="HHM45" s="31"/>
      <c r="HHN45" s="30"/>
      <c r="HHO45" s="31"/>
      <c r="HHP45" s="30"/>
      <c r="HHQ45" s="31"/>
      <c r="HHR45" s="30"/>
      <c r="HHS45" s="31"/>
      <c r="HHT45" s="30"/>
      <c r="HHU45" s="31"/>
      <c r="HHV45" s="30"/>
      <c r="HHW45" s="31"/>
      <c r="HHX45" s="30"/>
      <c r="HHY45" s="31"/>
      <c r="HHZ45" s="30"/>
      <c r="HIA45" s="31"/>
      <c r="HIB45" s="30"/>
      <c r="HIC45" s="31"/>
      <c r="HID45" s="30"/>
      <c r="HIE45" s="31"/>
      <c r="HIF45" s="30"/>
      <c r="HIG45" s="31"/>
      <c r="HIH45" s="30"/>
      <c r="HII45" s="31"/>
      <c r="HIJ45" s="30"/>
      <c r="HIK45" s="31"/>
      <c r="HIL45" s="30"/>
      <c r="HIM45" s="31"/>
      <c r="HIN45" s="30"/>
      <c r="HIO45" s="31"/>
      <c r="HIP45" s="30"/>
      <c r="HIQ45" s="31"/>
      <c r="HIR45" s="30"/>
      <c r="HIS45" s="31"/>
      <c r="HIT45" s="30"/>
      <c r="HIU45" s="31"/>
      <c r="HIV45" s="30"/>
      <c r="HIW45" s="31"/>
      <c r="HIX45" s="30"/>
      <c r="HIY45" s="31"/>
      <c r="HIZ45" s="30"/>
      <c r="HJA45" s="31"/>
      <c r="HJB45" s="30"/>
      <c r="HJC45" s="31"/>
      <c r="HJD45" s="30"/>
      <c r="HJE45" s="31"/>
      <c r="HJF45" s="30"/>
      <c r="HJG45" s="31"/>
      <c r="HJH45" s="30"/>
      <c r="HJI45" s="31"/>
      <c r="HJJ45" s="30"/>
      <c r="HJK45" s="31"/>
      <c r="HJL45" s="30"/>
      <c r="HJM45" s="31"/>
      <c r="HJN45" s="30"/>
      <c r="HJO45" s="31"/>
      <c r="HJP45" s="30"/>
      <c r="HJQ45" s="31"/>
      <c r="HJR45" s="30"/>
      <c r="HJS45" s="31"/>
      <c r="HJT45" s="30"/>
      <c r="HJU45" s="31"/>
      <c r="HJV45" s="30"/>
      <c r="HJW45" s="31"/>
      <c r="HJX45" s="30"/>
      <c r="HJY45" s="31"/>
      <c r="HJZ45" s="30"/>
      <c r="HKA45" s="31"/>
      <c r="HKB45" s="30"/>
      <c r="HKC45" s="31"/>
      <c r="HKD45" s="30"/>
      <c r="HKE45" s="31"/>
      <c r="HKF45" s="30"/>
      <c r="HKG45" s="31"/>
      <c r="HKH45" s="30"/>
      <c r="HKI45" s="31"/>
      <c r="HKJ45" s="30"/>
      <c r="HKK45" s="31"/>
      <c r="HKL45" s="30"/>
      <c r="HKM45" s="31"/>
      <c r="HKN45" s="30"/>
      <c r="HKO45" s="31"/>
      <c r="HKP45" s="30"/>
      <c r="HKQ45" s="31"/>
      <c r="HKR45" s="30"/>
      <c r="HKS45" s="31"/>
      <c r="HKT45" s="30"/>
      <c r="HKU45" s="31"/>
      <c r="HKV45" s="30"/>
      <c r="HKW45" s="31"/>
      <c r="HKX45" s="30"/>
      <c r="HKY45" s="31"/>
      <c r="HKZ45" s="30"/>
      <c r="HLA45" s="31"/>
      <c r="HLB45" s="30"/>
      <c r="HLC45" s="31"/>
      <c r="HLD45" s="30"/>
      <c r="HLE45" s="31"/>
      <c r="HLF45" s="30"/>
      <c r="HLG45" s="31"/>
      <c r="HLH45" s="30"/>
      <c r="HLI45" s="31"/>
      <c r="HLJ45" s="30"/>
      <c r="HLK45" s="31"/>
      <c r="HLL45" s="30"/>
      <c r="HLM45" s="31"/>
      <c r="HLN45" s="30"/>
      <c r="HLO45" s="31"/>
      <c r="HLP45" s="30"/>
      <c r="HLQ45" s="31"/>
      <c r="HLR45" s="30"/>
      <c r="HLS45" s="31"/>
      <c r="HLT45" s="30"/>
      <c r="HLU45" s="31"/>
      <c r="HLV45" s="30"/>
      <c r="HLW45" s="31"/>
      <c r="HLX45" s="30"/>
      <c r="HLY45" s="31"/>
      <c r="HLZ45" s="30"/>
      <c r="HMA45" s="31"/>
      <c r="HMB45" s="30"/>
      <c r="HMC45" s="31"/>
      <c r="HMD45" s="30"/>
      <c r="HME45" s="31"/>
      <c r="HMF45" s="30"/>
      <c r="HMG45" s="31"/>
      <c r="HMH45" s="30"/>
      <c r="HMI45" s="31"/>
      <c r="HMJ45" s="30"/>
      <c r="HMK45" s="31"/>
      <c r="HML45" s="30"/>
      <c r="HMM45" s="31"/>
      <c r="HMN45" s="30"/>
      <c r="HMO45" s="31"/>
      <c r="HMP45" s="30"/>
      <c r="HMQ45" s="31"/>
      <c r="HMR45" s="30"/>
      <c r="HMS45" s="31"/>
      <c r="HMT45" s="30"/>
      <c r="HMU45" s="31"/>
      <c r="HMV45" s="30"/>
      <c r="HMW45" s="31"/>
      <c r="HMX45" s="30"/>
      <c r="HMY45" s="31"/>
      <c r="HMZ45" s="30"/>
      <c r="HNA45" s="31"/>
      <c r="HNB45" s="30"/>
      <c r="HNC45" s="31"/>
      <c r="HND45" s="30"/>
      <c r="HNE45" s="31"/>
      <c r="HNF45" s="30"/>
      <c r="HNG45" s="31"/>
      <c r="HNH45" s="30"/>
      <c r="HNI45" s="31"/>
      <c r="HNJ45" s="30"/>
      <c r="HNK45" s="31"/>
      <c r="HNL45" s="30"/>
      <c r="HNM45" s="31"/>
      <c r="HNN45" s="30"/>
      <c r="HNO45" s="31"/>
      <c r="HNP45" s="30"/>
      <c r="HNQ45" s="31"/>
      <c r="HNR45" s="30"/>
      <c r="HNS45" s="31"/>
      <c r="HNT45" s="30"/>
      <c r="HNU45" s="31"/>
      <c r="HNV45" s="30"/>
      <c r="HNW45" s="31"/>
      <c r="HNX45" s="30"/>
      <c r="HNY45" s="31"/>
      <c r="HNZ45" s="30"/>
      <c r="HOA45" s="31"/>
      <c r="HOB45" s="30"/>
      <c r="HOC45" s="31"/>
      <c r="HOD45" s="30"/>
      <c r="HOE45" s="31"/>
      <c r="HOF45" s="30"/>
      <c r="HOG45" s="31"/>
      <c r="HOH45" s="30"/>
      <c r="HOI45" s="31"/>
      <c r="HOJ45" s="30"/>
      <c r="HOK45" s="31"/>
      <c r="HOL45" s="30"/>
      <c r="HOM45" s="31"/>
      <c r="HON45" s="30"/>
      <c r="HOO45" s="31"/>
      <c r="HOP45" s="30"/>
      <c r="HOQ45" s="31"/>
      <c r="HOR45" s="30"/>
      <c r="HOS45" s="31"/>
      <c r="HOT45" s="30"/>
      <c r="HOU45" s="31"/>
      <c r="HOV45" s="30"/>
      <c r="HOW45" s="31"/>
      <c r="HOX45" s="30"/>
      <c r="HOY45" s="31"/>
      <c r="HOZ45" s="30"/>
      <c r="HPA45" s="31"/>
      <c r="HPB45" s="30"/>
      <c r="HPC45" s="31"/>
      <c r="HPD45" s="30"/>
      <c r="HPE45" s="31"/>
      <c r="HPF45" s="30"/>
      <c r="HPG45" s="31"/>
      <c r="HPH45" s="30"/>
      <c r="HPI45" s="31"/>
      <c r="HPJ45" s="30"/>
      <c r="HPK45" s="31"/>
      <c r="HPL45" s="30"/>
      <c r="HPM45" s="31"/>
      <c r="HPN45" s="30"/>
      <c r="HPO45" s="31"/>
      <c r="HPP45" s="30"/>
      <c r="HPQ45" s="31"/>
      <c r="HPR45" s="30"/>
      <c r="HPS45" s="31"/>
      <c r="HPT45" s="30"/>
      <c r="HPU45" s="31"/>
      <c r="HPV45" s="30"/>
      <c r="HPW45" s="31"/>
      <c r="HPX45" s="30"/>
      <c r="HPY45" s="31"/>
      <c r="HPZ45" s="30"/>
      <c r="HQA45" s="31"/>
      <c r="HQB45" s="30"/>
      <c r="HQC45" s="31"/>
      <c r="HQD45" s="30"/>
      <c r="HQE45" s="31"/>
      <c r="HQF45" s="30"/>
      <c r="HQG45" s="31"/>
      <c r="HQH45" s="30"/>
      <c r="HQI45" s="31"/>
      <c r="HQJ45" s="30"/>
      <c r="HQK45" s="31"/>
      <c r="HQL45" s="30"/>
      <c r="HQM45" s="31"/>
      <c r="HQN45" s="30"/>
      <c r="HQO45" s="31"/>
      <c r="HQP45" s="30"/>
      <c r="HQQ45" s="31"/>
      <c r="HQR45" s="30"/>
      <c r="HQS45" s="31"/>
      <c r="HQT45" s="30"/>
      <c r="HQU45" s="31"/>
      <c r="HQV45" s="30"/>
      <c r="HQW45" s="31"/>
      <c r="HQX45" s="30"/>
      <c r="HQY45" s="31"/>
      <c r="HQZ45" s="30"/>
      <c r="HRA45" s="31"/>
      <c r="HRB45" s="30"/>
      <c r="HRC45" s="31"/>
      <c r="HRD45" s="30"/>
      <c r="HRE45" s="31"/>
      <c r="HRF45" s="30"/>
      <c r="HRG45" s="31"/>
      <c r="HRH45" s="30"/>
      <c r="HRI45" s="31"/>
      <c r="HRJ45" s="30"/>
      <c r="HRK45" s="31"/>
      <c r="HRL45" s="30"/>
      <c r="HRM45" s="31"/>
      <c r="HRN45" s="30"/>
      <c r="HRO45" s="31"/>
      <c r="HRP45" s="30"/>
      <c r="HRQ45" s="31"/>
      <c r="HRR45" s="30"/>
      <c r="HRS45" s="31"/>
      <c r="HRT45" s="30"/>
      <c r="HRU45" s="31"/>
      <c r="HRV45" s="30"/>
      <c r="HRW45" s="31"/>
      <c r="HRX45" s="30"/>
      <c r="HRY45" s="31"/>
      <c r="HRZ45" s="30"/>
      <c r="HSA45" s="31"/>
      <c r="HSB45" s="30"/>
      <c r="HSC45" s="31"/>
      <c r="HSD45" s="30"/>
      <c r="HSE45" s="31"/>
      <c r="HSF45" s="30"/>
      <c r="HSG45" s="31"/>
      <c r="HSH45" s="30"/>
      <c r="HSI45" s="31"/>
      <c r="HSJ45" s="30"/>
      <c r="HSK45" s="31"/>
      <c r="HSL45" s="30"/>
      <c r="HSM45" s="31"/>
      <c r="HSN45" s="30"/>
      <c r="HSO45" s="31"/>
      <c r="HSP45" s="30"/>
      <c r="HSQ45" s="31"/>
      <c r="HSR45" s="30"/>
      <c r="HSS45" s="31"/>
      <c r="HST45" s="30"/>
      <c r="HSU45" s="31"/>
      <c r="HSV45" s="30"/>
      <c r="HSW45" s="31"/>
      <c r="HSX45" s="30"/>
      <c r="HSY45" s="31"/>
      <c r="HSZ45" s="30"/>
      <c r="HTA45" s="31"/>
      <c r="HTB45" s="30"/>
      <c r="HTC45" s="31"/>
      <c r="HTD45" s="30"/>
      <c r="HTE45" s="31"/>
      <c r="HTF45" s="30"/>
      <c r="HTG45" s="31"/>
      <c r="HTH45" s="30"/>
      <c r="HTI45" s="31"/>
      <c r="HTJ45" s="30"/>
      <c r="HTK45" s="31"/>
      <c r="HTL45" s="30"/>
      <c r="HTM45" s="31"/>
      <c r="HTN45" s="30"/>
      <c r="HTO45" s="31"/>
      <c r="HTP45" s="30"/>
      <c r="HTQ45" s="31"/>
      <c r="HTR45" s="30"/>
      <c r="HTS45" s="31"/>
      <c r="HTT45" s="30"/>
      <c r="HTU45" s="31"/>
      <c r="HTV45" s="30"/>
      <c r="HTW45" s="31"/>
      <c r="HTX45" s="30"/>
      <c r="HTY45" s="31"/>
      <c r="HTZ45" s="30"/>
      <c r="HUA45" s="31"/>
      <c r="HUB45" s="30"/>
      <c r="HUC45" s="31"/>
      <c r="HUD45" s="30"/>
      <c r="HUE45" s="31"/>
      <c r="HUF45" s="30"/>
      <c r="HUG45" s="31"/>
      <c r="HUH45" s="30"/>
      <c r="HUI45" s="31"/>
      <c r="HUJ45" s="30"/>
      <c r="HUK45" s="31"/>
      <c r="HUL45" s="30"/>
      <c r="HUM45" s="31"/>
      <c r="HUN45" s="30"/>
      <c r="HUO45" s="31"/>
      <c r="HUP45" s="30"/>
      <c r="HUQ45" s="31"/>
      <c r="HUR45" s="30"/>
      <c r="HUS45" s="31"/>
      <c r="HUT45" s="30"/>
      <c r="HUU45" s="31"/>
      <c r="HUV45" s="30"/>
      <c r="HUW45" s="31"/>
      <c r="HUX45" s="30"/>
      <c r="HUY45" s="31"/>
      <c r="HUZ45" s="30"/>
      <c r="HVA45" s="31"/>
      <c r="HVB45" s="30"/>
      <c r="HVC45" s="31"/>
      <c r="HVD45" s="30"/>
      <c r="HVE45" s="31"/>
      <c r="HVF45" s="30"/>
      <c r="HVG45" s="31"/>
      <c r="HVH45" s="30"/>
      <c r="HVI45" s="31"/>
      <c r="HVJ45" s="30"/>
      <c r="HVK45" s="31"/>
      <c r="HVL45" s="30"/>
      <c r="HVM45" s="31"/>
      <c r="HVN45" s="30"/>
      <c r="HVO45" s="31"/>
      <c r="HVP45" s="30"/>
      <c r="HVQ45" s="31"/>
      <c r="HVR45" s="30"/>
      <c r="HVS45" s="31"/>
      <c r="HVT45" s="30"/>
      <c r="HVU45" s="31"/>
      <c r="HVV45" s="30"/>
      <c r="HVW45" s="31"/>
      <c r="HVX45" s="30"/>
      <c r="HVY45" s="31"/>
      <c r="HVZ45" s="30"/>
      <c r="HWA45" s="31"/>
      <c r="HWB45" s="30"/>
      <c r="HWC45" s="31"/>
      <c r="HWD45" s="30"/>
      <c r="HWE45" s="31"/>
      <c r="HWF45" s="30"/>
      <c r="HWG45" s="31"/>
      <c r="HWH45" s="30"/>
      <c r="HWI45" s="31"/>
      <c r="HWJ45" s="30"/>
      <c r="HWK45" s="31"/>
      <c r="HWL45" s="30"/>
      <c r="HWM45" s="31"/>
      <c r="HWN45" s="30"/>
      <c r="HWO45" s="31"/>
      <c r="HWP45" s="30"/>
      <c r="HWQ45" s="31"/>
      <c r="HWR45" s="30"/>
      <c r="HWS45" s="31"/>
      <c r="HWT45" s="30"/>
      <c r="HWU45" s="31"/>
      <c r="HWV45" s="30"/>
      <c r="HWW45" s="31"/>
      <c r="HWX45" s="30"/>
      <c r="HWY45" s="31"/>
      <c r="HWZ45" s="30"/>
      <c r="HXA45" s="31"/>
      <c r="HXB45" s="30"/>
      <c r="HXC45" s="31"/>
      <c r="HXD45" s="30"/>
      <c r="HXE45" s="31"/>
      <c r="HXF45" s="30"/>
      <c r="HXG45" s="31"/>
      <c r="HXH45" s="30"/>
      <c r="HXI45" s="31"/>
      <c r="HXJ45" s="30"/>
      <c r="HXK45" s="31"/>
      <c r="HXL45" s="30"/>
      <c r="HXM45" s="31"/>
      <c r="HXN45" s="30"/>
      <c r="HXO45" s="31"/>
      <c r="HXP45" s="30"/>
      <c r="HXQ45" s="31"/>
      <c r="HXR45" s="30"/>
      <c r="HXS45" s="31"/>
      <c r="HXT45" s="30"/>
      <c r="HXU45" s="31"/>
      <c r="HXV45" s="30"/>
      <c r="HXW45" s="31"/>
      <c r="HXX45" s="30"/>
      <c r="HXY45" s="31"/>
      <c r="HXZ45" s="30"/>
      <c r="HYA45" s="31"/>
      <c r="HYB45" s="30"/>
      <c r="HYC45" s="31"/>
      <c r="HYD45" s="30"/>
      <c r="HYE45" s="31"/>
      <c r="HYF45" s="30"/>
      <c r="HYG45" s="31"/>
      <c r="HYH45" s="30"/>
      <c r="HYI45" s="31"/>
      <c r="HYJ45" s="30"/>
      <c r="HYK45" s="31"/>
      <c r="HYL45" s="30"/>
      <c r="HYM45" s="31"/>
      <c r="HYN45" s="30"/>
      <c r="HYO45" s="31"/>
      <c r="HYP45" s="30"/>
      <c r="HYQ45" s="31"/>
      <c r="HYR45" s="30"/>
      <c r="HYS45" s="31"/>
      <c r="HYT45" s="30"/>
      <c r="HYU45" s="31"/>
      <c r="HYV45" s="30"/>
      <c r="HYW45" s="31"/>
      <c r="HYX45" s="30"/>
      <c r="HYY45" s="31"/>
      <c r="HYZ45" s="30"/>
      <c r="HZA45" s="31"/>
      <c r="HZB45" s="30"/>
      <c r="HZC45" s="31"/>
      <c r="HZD45" s="30"/>
      <c r="HZE45" s="31"/>
      <c r="HZF45" s="30"/>
      <c r="HZG45" s="31"/>
      <c r="HZH45" s="30"/>
      <c r="HZI45" s="31"/>
      <c r="HZJ45" s="30"/>
      <c r="HZK45" s="31"/>
      <c r="HZL45" s="30"/>
      <c r="HZM45" s="31"/>
      <c r="HZN45" s="30"/>
      <c r="HZO45" s="31"/>
      <c r="HZP45" s="30"/>
      <c r="HZQ45" s="31"/>
      <c r="HZR45" s="30"/>
      <c r="HZS45" s="31"/>
      <c r="HZT45" s="30"/>
      <c r="HZU45" s="31"/>
      <c r="HZV45" s="30"/>
      <c r="HZW45" s="31"/>
      <c r="HZX45" s="30"/>
      <c r="HZY45" s="31"/>
      <c r="HZZ45" s="30"/>
      <c r="IAA45" s="31"/>
      <c r="IAB45" s="30"/>
      <c r="IAC45" s="31"/>
      <c r="IAD45" s="30"/>
      <c r="IAE45" s="31"/>
      <c r="IAF45" s="30"/>
      <c r="IAG45" s="31"/>
      <c r="IAH45" s="30"/>
      <c r="IAI45" s="31"/>
      <c r="IAJ45" s="30"/>
      <c r="IAK45" s="31"/>
      <c r="IAL45" s="30"/>
      <c r="IAM45" s="31"/>
      <c r="IAN45" s="30"/>
      <c r="IAO45" s="31"/>
      <c r="IAP45" s="30"/>
      <c r="IAQ45" s="31"/>
      <c r="IAR45" s="30"/>
      <c r="IAS45" s="31"/>
      <c r="IAT45" s="30"/>
      <c r="IAU45" s="31"/>
      <c r="IAV45" s="30"/>
      <c r="IAW45" s="31"/>
      <c r="IAX45" s="30"/>
      <c r="IAY45" s="31"/>
      <c r="IAZ45" s="30"/>
      <c r="IBA45" s="31"/>
      <c r="IBB45" s="30"/>
      <c r="IBC45" s="31"/>
      <c r="IBD45" s="30"/>
      <c r="IBE45" s="31"/>
      <c r="IBF45" s="30"/>
      <c r="IBG45" s="31"/>
      <c r="IBH45" s="30"/>
      <c r="IBI45" s="31"/>
      <c r="IBJ45" s="30"/>
      <c r="IBK45" s="31"/>
      <c r="IBL45" s="30"/>
      <c r="IBM45" s="31"/>
      <c r="IBN45" s="30"/>
      <c r="IBO45" s="31"/>
      <c r="IBP45" s="30"/>
      <c r="IBQ45" s="31"/>
      <c r="IBR45" s="30"/>
      <c r="IBS45" s="31"/>
      <c r="IBT45" s="30"/>
      <c r="IBU45" s="31"/>
      <c r="IBV45" s="30"/>
      <c r="IBW45" s="31"/>
      <c r="IBX45" s="30"/>
      <c r="IBY45" s="31"/>
      <c r="IBZ45" s="30"/>
      <c r="ICA45" s="31"/>
      <c r="ICB45" s="30"/>
      <c r="ICC45" s="31"/>
      <c r="ICD45" s="30"/>
      <c r="ICE45" s="31"/>
      <c r="ICF45" s="30"/>
      <c r="ICG45" s="31"/>
      <c r="ICH45" s="30"/>
      <c r="ICI45" s="31"/>
      <c r="ICJ45" s="30"/>
      <c r="ICK45" s="31"/>
      <c r="ICL45" s="30"/>
      <c r="ICM45" s="31"/>
      <c r="ICN45" s="30"/>
      <c r="ICO45" s="31"/>
      <c r="ICP45" s="30"/>
      <c r="ICQ45" s="31"/>
      <c r="ICR45" s="30"/>
      <c r="ICS45" s="31"/>
      <c r="ICT45" s="30"/>
      <c r="ICU45" s="31"/>
      <c r="ICV45" s="30"/>
      <c r="ICW45" s="31"/>
      <c r="ICX45" s="30"/>
      <c r="ICY45" s="31"/>
      <c r="ICZ45" s="30"/>
      <c r="IDA45" s="31"/>
      <c r="IDB45" s="30"/>
      <c r="IDC45" s="31"/>
      <c r="IDD45" s="30"/>
      <c r="IDE45" s="31"/>
      <c r="IDF45" s="30"/>
      <c r="IDG45" s="31"/>
      <c r="IDH45" s="30"/>
      <c r="IDI45" s="31"/>
      <c r="IDJ45" s="30"/>
      <c r="IDK45" s="31"/>
      <c r="IDL45" s="30"/>
      <c r="IDM45" s="31"/>
      <c r="IDN45" s="30"/>
      <c r="IDO45" s="31"/>
      <c r="IDP45" s="30"/>
      <c r="IDQ45" s="31"/>
      <c r="IDR45" s="30"/>
      <c r="IDS45" s="31"/>
      <c r="IDT45" s="30"/>
      <c r="IDU45" s="31"/>
      <c r="IDV45" s="30"/>
      <c r="IDW45" s="31"/>
      <c r="IDX45" s="30"/>
      <c r="IDY45" s="31"/>
      <c r="IDZ45" s="30"/>
      <c r="IEA45" s="31"/>
      <c r="IEB45" s="30"/>
      <c r="IEC45" s="31"/>
      <c r="IED45" s="30"/>
      <c r="IEE45" s="31"/>
      <c r="IEF45" s="30"/>
      <c r="IEG45" s="31"/>
      <c r="IEH45" s="30"/>
      <c r="IEI45" s="31"/>
      <c r="IEJ45" s="30"/>
      <c r="IEK45" s="31"/>
      <c r="IEL45" s="30"/>
      <c r="IEM45" s="31"/>
      <c r="IEN45" s="30"/>
      <c r="IEO45" s="31"/>
      <c r="IEP45" s="30"/>
      <c r="IEQ45" s="31"/>
      <c r="IER45" s="30"/>
      <c r="IES45" s="31"/>
      <c r="IET45" s="30"/>
      <c r="IEU45" s="31"/>
      <c r="IEV45" s="30"/>
      <c r="IEW45" s="31"/>
      <c r="IEX45" s="30"/>
      <c r="IEY45" s="31"/>
      <c r="IEZ45" s="30"/>
      <c r="IFA45" s="31"/>
      <c r="IFB45" s="30"/>
      <c r="IFC45" s="31"/>
      <c r="IFD45" s="30"/>
      <c r="IFE45" s="31"/>
      <c r="IFF45" s="30"/>
      <c r="IFG45" s="31"/>
      <c r="IFH45" s="30"/>
      <c r="IFI45" s="31"/>
      <c r="IFJ45" s="30"/>
      <c r="IFK45" s="31"/>
      <c r="IFL45" s="30"/>
      <c r="IFM45" s="31"/>
      <c r="IFN45" s="30"/>
      <c r="IFO45" s="31"/>
      <c r="IFP45" s="30"/>
      <c r="IFQ45" s="31"/>
      <c r="IFR45" s="30"/>
      <c r="IFS45" s="31"/>
      <c r="IFT45" s="30"/>
      <c r="IFU45" s="31"/>
      <c r="IFV45" s="30"/>
      <c r="IFW45" s="31"/>
      <c r="IFX45" s="30"/>
      <c r="IFY45" s="31"/>
      <c r="IFZ45" s="30"/>
      <c r="IGA45" s="31"/>
      <c r="IGB45" s="30"/>
      <c r="IGC45" s="31"/>
      <c r="IGD45" s="30"/>
      <c r="IGE45" s="31"/>
      <c r="IGF45" s="30"/>
      <c r="IGG45" s="31"/>
      <c r="IGH45" s="30"/>
      <c r="IGI45" s="31"/>
      <c r="IGJ45" s="30"/>
      <c r="IGK45" s="31"/>
      <c r="IGL45" s="30"/>
      <c r="IGM45" s="31"/>
      <c r="IGN45" s="30"/>
      <c r="IGO45" s="31"/>
      <c r="IGP45" s="30"/>
      <c r="IGQ45" s="31"/>
      <c r="IGR45" s="30"/>
      <c r="IGS45" s="31"/>
      <c r="IGT45" s="30"/>
      <c r="IGU45" s="31"/>
      <c r="IGV45" s="30"/>
      <c r="IGW45" s="31"/>
      <c r="IGX45" s="30"/>
      <c r="IGY45" s="31"/>
      <c r="IGZ45" s="30"/>
      <c r="IHA45" s="31"/>
      <c r="IHB45" s="30"/>
      <c r="IHC45" s="31"/>
      <c r="IHD45" s="30"/>
      <c r="IHE45" s="31"/>
      <c r="IHF45" s="30"/>
      <c r="IHG45" s="31"/>
      <c r="IHH45" s="30"/>
      <c r="IHI45" s="31"/>
      <c r="IHJ45" s="30"/>
      <c r="IHK45" s="31"/>
      <c r="IHL45" s="30"/>
      <c r="IHM45" s="31"/>
      <c r="IHN45" s="30"/>
      <c r="IHO45" s="31"/>
      <c r="IHP45" s="30"/>
      <c r="IHQ45" s="31"/>
      <c r="IHR45" s="30"/>
      <c r="IHS45" s="31"/>
      <c r="IHT45" s="30"/>
      <c r="IHU45" s="31"/>
      <c r="IHV45" s="30"/>
      <c r="IHW45" s="31"/>
      <c r="IHX45" s="30"/>
      <c r="IHY45" s="31"/>
      <c r="IHZ45" s="30"/>
      <c r="IIA45" s="31"/>
      <c r="IIB45" s="30"/>
      <c r="IIC45" s="31"/>
      <c r="IID45" s="30"/>
      <c r="IIE45" s="31"/>
      <c r="IIF45" s="30"/>
      <c r="IIG45" s="31"/>
      <c r="IIH45" s="30"/>
      <c r="III45" s="31"/>
      <c r="IIJ45" s="30"/>
      <c r="IIK45" s="31"/>
      <c r="IIL45" s="30"/>
      <c r="IIM45" s="31"/>
      <c r="IIN45" s="30"/>
      <c r="IIO45" s="31"/>
      <c r="IIP45" s="30"/>
      <c r="IIQ45" s="31"/>
      <c r="IIR45" s="30"/>
      <c r="IIS45" s="31"/>
      <c r="IIT45" s="30"/>
      <c r="IIU45" s="31"/>
      <c r="IIV45" s="30"/>
      <c r="IIW45" s="31"/>
      <c r="IIX45" s="30"/>
      <c r="IIY45" s="31"/>
      <c r="IIZ45" s="30"/>
      <c r="IJA45" s="31"/>
      <c r="IJB45" s="30"/>
      <c r="IJC45" s="31"/>
      <c r="IJD45" s="30"/>
      <c r="IJE45" s="31"/>
      <c r="IJF45" s="30"/>
      <c r="IJG45" s="31"/>
      <c r="IJH45" s="30"/>
      <c r="IJI45" s="31"/>
      <c r="IJJ45" s="30"/>
      <c r="IJK45" s="31"/>
      <c r="IJL45" s="30"/>
      <c r="IJM45" s="31"/>
      <c r="IJN45" s="30"/>
      <c r="IJO45" s="31"/>
      <c r="IJP45" s="30"/>
      <c r="IJQ45" s="31"/>
      <c r="IJR45" s="30"/>
      <c r="IJS45" s="31"/>
      <c r="IJT45" s="30"/>
      <c r="IJU45" s="31"/>
      <c r="IJV45" s="30"/>
      <c r="IJW45" s="31"/>
      <c r="IJX45" s="30"/>
      <c r="IJY45" s="31"/>
      <c r="IJZ45" s="30"/>
      <c r="IKA45" s="31"/>
      <c r="IKB45" s="30"/>
      <c r="IKC45" s="31"/>
      <c r="IKD45" s="30"/>
      <c r="IKE45" s="31"/>
      <c r="IKF45" s="30"/>
      <c r="IKG45" s="31"/>
      <c r="IKH45" s="30"/>
      <c r="IKI45" s="31"/>
      <c r="IKJ45" s="30"/>
      <c r="IKK45" s="31"/>
      <c r="IKL45" s="30"/>
      <c r="IKM45" s="31"/>
      <c r="IKN45" s="30"/>
      <c r="IKO45" s="31"/>
      <c r="IKP45" s="30"/>
      <c r="IKQ45" s="31"/>
      <c r="IKR45" s="30"/>
      <c r="IKS45" s="31"/>
      <c r="IKT45" s="30"/>
      <c r="IKU45" s="31"/>
      <c r="IKV45" s="30"/>
      <c r="IKW45" s="31"/>
      <c r="IKX45" s="30"/>
      <c r="IKY45" s="31"/>
      <c r="IKZ45" s="30"/>
      <c r="ILA45" s="31"/>
      <c r="ILB45" s="30"/>
      <c r="ILC45" s="31"/>
      <c r="ILD45" s="30"/>
      <c r="ILE45" s="31"/>
      <c r="ILF45" s="30"/>
      <c r="ILG45" s="31"/>
      <c r="ILH45" s="30"/>
      <c r="ILI45" s="31"/>
      <c r="ILJ45" s="30"/>
      <c r="ILK45" s="31"/>
      <c r="ILL45" s="30"/>
      <c r="ILM45" s="31"/>
      <c r="ILN45" s="30"/>
      <c r="ILO45" s="31"/>
      <c r="ILP45" s="30"/>
      <c r="ILQ45" s="31"/>
      <c r="ILR45" s="30"/>
      <c r="ILS45" s="31"/>
      <c r="ILT45" s="30"/>
      <c r="ILU45" s="31"/>
      <c r="ILV45" s="30"/>
      <c r="ILW45" s="31"/>
      <c r="ILX45" s="30"/>
      <c r="ILY45" s="31"/>
      <c r="ILZ45" s="30"/>
      <c r="IMA45" s="31"/>
      <c r="IMB45" s="30"/>
      <c r="IMC45" s="31"/>
      <c r="IMD45" s="30"/>
      <c r="IME45" s="31"/>
      <c r="IMF45" s="30"/>
      <c r="IMG45" s="31"/>
      <c r="IMH45" s="30"/>
      <c r="IMI45" s="31"/>
      <c r="IMJ45" s="30"/>
      <c r="IMK45" s="31"/>
      <c r="IML45" s="30"/>
      <c r="IMM45" s="31"/>
      <c r="IMN45" s="30"/>
      <c r="IMO45" s="31"/>
      <c r="IMP45" s="30"/>
      <c r="IMQ45" s="31"/>
      <c r="IMR45" s="30"/>
      <c r="IMS45" s="31"/>
      <c r="IMT45" s="30"/>
      <c r="IMU45" s="31"/>
      <c r="IMV45" s="30"/>
      <c r="IMW45" s="31"/>
      <c r="IMX45" s="30"/>
      <c r="IMY45" s="31"/>
      <c r="IMZ45" s="30"/>
      <c r="INA45" s="31"/>
      <c r="INB45" s="30"/>
      <c r="INC45" s="31"/>
      <c r="IND45" s="30"/>
      <c r="INE45" s="31"/>
      <c r="INF45" s="30"/>
      <c r="ING45" s="31"/>
      <c r="INH45" s="30"/>
      <c r="INI45" s="31"/>
      <c r="INJ45" s="30"/>
      <c r="INK45" s="31"/>
      <c r="INL45" s="30"/>
      <c r="INM45" s="31"/>
      <c r="INN45" s="30"/>
      <c r="INO45" s="31"/>
      <c r="INP45" s="30"/>
      <c r="INQ45" s="31"/>
      <c r="INR45" s="30"/>
      <c r="INS45" s="31"/>
      <c r="INT45" s="30"/>
      <c r="INU45" s="31"/>
      <c r="INV45" s="30"/>
      <c r="INW45" s="31"/>
      <c r="INX45" s="30"/>
      <c r="INY45" s="31"/>
      <c r="INZ45" s="30"/>
      <c r="IOA45" s="31"/>
      <c r="IOB45" s="30"/>
      <c r="IOC45" s="31"/>
      <c r="IOD45" s="30"/>
      <c r="IOE45" s="31"/>
      <c r="IOF45" s="30"/>
      <c r="IOG45" s="31"/>
      <c r="IOH45" s="30"/>
      <c r="IOI45" s="31"/>
      <c r="IOJ45" s="30"/>
      <c r="IOK45" s="31"/>
      <c r="IOL45" s="30"/>
      <c r="IOM45" s="31"/>
      <c r="ION45" s="30"/>
      <c r="IOO45" s="31"/>
      <c r="IOP45" s="30"/>
      <c r="IOQ45" s="31"/>
      <c r="IOR45" s="30"/>
      <c r="IOS45" s="31"/>
      <c r="IOT45" s="30"/>
      <c r="IOU45" s="31"/>
      <c r="IOV45" s="30"/>
      <c r="IOW45" s="31"/>
      <c r="IOX45" s="30"/>
      <c r="IOY45" s="31"/>
      <c r="IOZ45" s="30"/>
      <c r="IPA45" s="31"/>
      <c r="IPB45" s="30"/>
      <c r="IPC45" s="31"/>
      <c r="IPD45" s="30"/>
      <c r="IPE45" s="31"/>
      <c r="IPF45" s="30"/>
      <c r="IPG45" s="31"/>
      <c r="IPH45" s="30"/>
      <c r="IPI45" s="31"/>
      <c r="IPJ45" s="30"/>
      <c r="IPK45" s="31"/>
      <c r="IPL45" s="30"/>
      <c r="IPM45" s="31"/>
      <c r="IPN45" s="30"/>
      <c r="IPO45" s="31"/>
      <c r="IPP45" s="30"/>
      <c r="IPQ45" s="31"/>
      <c r="IPR45" s="30"/>
      <c r="IPS45" s="31"/>
      <c r="IPT45" s="30"/>
      <c r="IPU45" s="31"/>
      <c r="IPV45" s="30"/>
      <c r="IPW45" s="31"/>
      <c r="IPX45" s="30"/>
      <c r="IPY45" s="31"/>
      <c r="IPZ45" s="30"/>
      <c r="IQA45" s="31"/>
      <c r="IQB45" s="30"/>
      <c r="IQC45" s="31"/>
      <c r="IQD45" s="30"/>
      <c r="IQE45" s="31"/>
      <c r="IQF45" s="30"/>
      <c r="IQG45" s="31"/>
      <c r="IQH45" s="30"/>
      <c r="IQI45" s="31"/>
      <c r="IQJ45" s="30"/>
      <c r="IQK45" s="31"/>
      <c r="IQL45" s="30"/>
      <c r="IQM45" s="31"/>
      <c r="IQN45" s="30"/>
      <c r="IQO45" s="31"/>
      <c r="IQP45" s="30"/>
      <c r="IQQ45" s="31"/>
      <c r="IQR45" s="30"/>
      <c r="IQS45" s="31"/>
      <c r="IQT45" s="30"/>
      <c r="IQU45" s="31"/>
      <c r="IQV45" s="30"/>
      <c r="IQW45" s="31"/>
      <c r="IQX45" s="30"/>
      <c r="IQY45" s="31"/>
      <c r="IQZ45" s="30"/>
      <c r="IRA45" s="31"/>
      <c r="IRB45" s="30"/>
      <c r="IRC45" s="31"/>
      <c r="IRD45" s="30"/>
      <c r="IRE45" s="31"/>
      <c r="IRF45" s="30"/>
      <c r="IRG45" s="31"/>
      <c r="IRH45" s="30"/>
      <c r="IRI45" s="31"/>
      <c r="IRJ45" s="30"/>
      <c r="IRK45" s="31"/>
      <c r="IRL45" s="30"/>
      <c r="IRM45" s="31"/>
      <c r="IRN45" s="30"/>
      <c r="IRO45" s="31"/>
      <c r="IRP45" s="30"/>
      <c r="IRQ45" s="31"/>
      <c r="IRR45" s="30"/>
      <c r="IRS45" s="31"/>
      <c r="IRT45" s="30"/>
      <c r="IRU45" s="31"/>
      <c r="IRV45" s="30"/>
      <c r="IRW45" s="31"/>
      <c r="IRX45" s="30"/>
      <c r="IRY45" s="31"/>
      <c r="IRZ45" s="30"/>
      <c r="ISA45" s="31"/>
      <c r="ISB45" s="30"/>
      <c r="ISC45" s="31"/>
      <c r="ISD45" s="30"/>
      <c r="ISE45" s="31"/>
      <c r="ISF45" s="30"/>
      <c r="ISG45" s="31"/>
      <c r="ISH45" s="30"/>
      <c r="ISI45" s="31"/>
      <c r="ISJ45" s="30"/>
      <c r="ISK45" s="31"/>
      <c r="ISL45" s="30"/>
      <c r="ISM45" s="31"/>
      <c r="ISN45" s="30"/>
      <c r="ISO45" s="31"/>
      <c r="ISP45" s="30"/>
      <c r="ISQ45" s="31"/>
      <c r="ISR45" s="30"/>
      <c r="ISS45" s="31"/>
      <c r="IST45" s="30"/>
      <c r="ISU45" s="31"/>
      <c r="ISV45" s="30"/>
      <c r="ISW45" s="31"/>
      <c r="ISX45" s="30"/>
      <c r="ISY45" s="31"/>
      <c r="ISZ45" s="30"/>
      <c r="ITA45" s="31"/>
      <c r="ITB45" s="30"/>
      <c r="ITC45" s="31"/>
      <c r="ITD45" s="30"/>
      <c r="ITE45" s="31"/>
      <c r="ITF45" s="30"/>
      <c r="ITG45" s="31"/>
      <c r="ITH45" s="30"/>
      <c r="ITI45" s="31"/>
      <c r="ITJ45" s="30"/>
      <c r="ITK45" s="31"/>
      <c r="ITL45" s="30"/>
      <c r="ITM45" s="31"/>
      <c r="ITN45" s="30"/>
      <c r="ITO45" s="31"/>
      <c r="ITP45" s="30"/>
      <c r="ITQ45" s="31"/>
      <c r="ITR45" s="30"/>
      <c r="ITS45" s="31"/>
      <c r="ITT45" s="30"/>
      <c r="ITU45" s="31"/>
      <c r="ITV45" s="30"/>
      <c r="ITW45" s="31"/>
      <c r="ITX45" s="30"/>
      <c r="ITY45" s="31"/>
      <c r="ITZ45" s="30"/>
      <c r="IUA45" s="31"/>
      <c r="IUB45" s="30"/>
      <c r="IUC45" s="31"/>
      <c r="IUD45" s="30"/>
      <c r="IUE45" s="31"/>
      <c r="IUF45" s="30"/>
      <c r="IUG45" s="31"/>
      <c r="IUH45" s="30"/>
      <c r="IUI45" s="31"/>
      <c r="IUJ45" s="30"/>
      <c r="IUK45" s="31"/>
      <c r="IUL45" s="30"/>
      <c r="IUM45" s="31"/>
      <c r="IUN45" s="30"/>
      <c r="IUO45" s="31"/>
      <c r="IUP45" s="30"/>
      <c r="IUQ45" s="31"/>
      <c r="IUR45" s="30"/>
      <c r="IUS45" s="31"/>
      <c r="IUT45" s="30"/>
      <c r="IUU45" s="31"/>
      <c r="IUV45" s="30"/>
      <c r="IUW45" s="31"/>
      <c r="IUX45" s="30"/>
      <c r="IUY45" s="31"/>
      <c r="IUZ45" s="30"/>
      <c r="IVA45" s="31"/>
      <c r="IVB45" s="30"/>
      <c r="IVC45" s="31"/>
      <c r="IVD45" s="30"/>
      <c r="IVE45" s="31"/>
      <c r="IVF45" s="30"/>
      <c r="IVG45" s="31"/>
      <c r="IVH45" s="30"/>
      <c r="IVI45" s="31"/>
      <c r="IVJ45" s="30"/>
      <c r="IVK45" s="31"/>
      <c r="IVL45" s="30"/>
      <c r="IVM45" s="31"/>
      <c r="IVN45" s="30"/>
      <c r="IVO45" s="31"/>
      <c r="IVP45" s="30"/>
      <c r="IVQ45" s="31"/>
      <c r="IVR45" s="30"/>
      <c r="IVS45" s="31"/>
      <c r="IVT45" s="30"/>
      <c r="IVU45" s="31"/>
      <c r="IVV45" s="30"/>
      <c r="IVW45" s="31"/>
      <c r="IVX45" s="30"/>
      <c r="IVY45" s="31"/>
      <c r="IVZ45" s="30"/>
      <c r="IWA45" s="31"/>
      <c r="IWB45" s="30"/>
      <c r="IWC45" s="31"/>
      <c r="IWD45" s="30"/>
      <c r="IWE45" s="31"/>
      <c r="IWF45" s="30"/>
      <c r="IWG45" s="31"/>
      <c r="IWH45" s="30"/>
      <c r="IWI45" s="31"/>
      <c r="IWJ45" s="30"/>
      <c r="IWK45" s="31"/>
      <c r="IWL45" s="30"/>
      <c r="IWM45" s="31"/>
      <c r="IWN45" s="30"/>
      <c r="IWO45" s="31"/>
      <c r="IWP45" s="30"/>
      <c r="IWQ45" s="31"/>
      <c r="IWR45" s="30"/>
      <c r="IWS45" s="31"/>
      <c r="IWT45" s="30"/>
      <c r="IWU45" s="31"/>
      <c r="IWV45" s="30"/>
      <c r="IWW45" s="31"/>
      <c r="IWX45" s="30"/>
      <c r="IWY45" s="31"/>
      <c r="IWZ45" s="30"/>
      <c r="IXA45" s="31"/>
      <c r="IXB45" s="30"/>
      <c r="IXC45" s="31"/>
      <c r="IXD45" s="30"/>
      <c r="IXE45" s="31"/>
      <c r="IXF45" s="30"/>
      <c r="IXG45" s="31"/>
      <c r="IXH45" s="30"/>
      <c r="IXI45" s="31"/>
      <c r="IXJ45" s="30"/>
      <c r="IXK45" s="31"/>
      <c r="IXL45" s="30"/>
      <c r="IXM45" s="31"/>
      <c r="IXN45" s="30"/>
      <c r="IXO45" s="31"/>
      <c r="IXP45" s="30"/>
      <c r="IXQ45" s="31"/>
      <c r="IXR45" s="30"/>
      <c r="IXS45" s="31"/>
      <c r="IXT45" s="30"/>
      <c r="IXU45" s="31"/>
      <c r="IXV45" s="30"/>
      <c r="IXW45" s="31"/>
      <c r="IXX45" s="30"/>
      <c r="IXY45" s="31"/>
      <c r="IXZ45" s="30"/>
      <c r="IYA45" s="31"/>
      <c r="IYB45" s="30"/>
      <c r="IYC45" s="31"/>
      <c r="IYD45" s="30"/>
      <c r="IYE45" s="31"/>
      <c r="IYF45" s="30"/>
      <c r="IYG45" s="31"/>
      <c r="IYH45" s="30"/>
      <c r="IYI45" s="31"/>
      <c r="IYJ45" s="30"/>
      <c r="IYK45" s="31"/>
      <c r="IYL45" s="30"/>
      <c r="IYM45" s="31"/>
      <c r="IYN45" s="30"/>
      <c r="IYO45" s="31"/>
      <c r="IYP45" s="30"/>
      <c r="IYQ45" s="31"/>
      <c r="IYR45" s="30"/>
      <c r="IYS45" s="31"/>
      <c r="IYT45" s="30"/>
      <c r="IYU45" s="31"/>
      <c r="IYV45" s="30"/>
      <c r="IYW45" s="31"/>
      <c r="IYX45" s="30"/>
      <c r="IYY45" s="31"/>
      <c r="IYZ45" s="30"/>
      <c r="IZA45" s="31"/>
      <c r="IZB45" s="30"/>
      <c r="IZC45" s="31"/>
      <c r="IZD45" s="30"/>
      <c r="IZE45" s="31"/>
      <c r="IZF45" s="30"/>
      <c r="IZG45" s="31"/>
      <c r="IZH45" s="30"/>
      <c r="IZI45" s="31"/>
      <c r="IZJ45" s="30"/>
      <c r="IZK45" s="31"/>
      <c r="IZL45" s="30"/>
      <c r="IZM45" s="31"/>
      <c r="IZN45" s="30"/>
      <c r="IZO45" s="31"/>
      <c r="IZP45" s="30"/>
      <c r="IZQ45" s="31"/>
      <c r="IZR45" s="30"/>
      <c r="IZS45" s="31"/>
      <c r="IZT45" s="30"/>
      <c r="IZU45" s="31"/>
      <c r="IZV45" s="30"/>
      <c r="IZW45" s="31"/>
      <c r="IZX45" s="30"/>
      <c r="IZY45" s="31"/>
      <c r="IZZ45" s="30"/>
      <c r="JAA45" s="31"/>
      <c r="JAB45" s="30"/>
      <c r="JAC45" s="31"/>
      <c r="JAD45" s="30"/>
      <c r="JAE45" s="31"/>
      <c r="JAF45" s="30"/>
      <c r="JAG45" s="31"/>
      <c r="JAH45" s="30"/>
      <c r="JAI45" s="31"/>
      <c r="JAJ45" s="30"/>
      <c r="JAK45" s="31"/>
      <c r="JAL45" s="30"/>
      <c r="JAM45" s="31"/>
      <c r="JAN45" s="30"/>
      <c r="JAO45" s="31"/>
      <c r="JAP45" s="30"/>
      <c r="JAQ45" s="31"/>
      <c r="JAR45" s="30"/>
      <c r="JAS45" s="31"/>
      <c r="JAT45" s="30"/>
      <c r="JAU45" s="31"/>
      <c r="JAV45" s="30"/>
      <c r="JAW45" s="31"/>
      <c r="JAX45" s="30"/>
      <c r="JAY45" s="31"/>
      <c r="JAZ45" s="30"/>
      <c r="JBA45" s="31"/>
      <c r="JBB45" s="30"/>
      <c r="JBC45" s="31"/>
      <c r="JBD45" s="30"/>
      <c r="JBE45" s="31"/>
      <c r="JBF45" s="30"/>
      <c r="JBG45" s="31"/>
      <c r="JBH45" s="30"/>
      <c r="JBI45" s="31"/>
      <c r="JBJ45" s="30"/>
      <c r="JBK45" s="31"/>
      <c r="JBL45" s="30"/>
      <c r="JBM45" s="31"/>
      <c r="JBN45" s="30"/>
      <c r="JBO45" s="31"/>
      <c r="JBP45" s="30"/>
      <c r="JBQ45" s="31"/>
      <c r="JBR45" s="30"/>
      <c r="JBS45" s="31"/>
      <c r="JBT45" s="30"/>
      <c r="JBU45" s="31"/>
      <c r="JBV45" s="30"/>
      <c r="JBW45" s="31"/>
      <c r="JBX45" s="30"/>
      <c r="JBY45" s="31"/>
      <c r="JBZ45" s="30"/>
      <c r="JCA45" s="31"/>
      <c r="JCB45" s="30"/>
      <c r="JCC45" s="31"/>
      <c r="JCD45" s="30"/>
      <c r="JCE45" s="31"/>
      <c r="JCF45" s="30"/>
      <c r="JCG45" s="31"/>
      <c r="JCH45" s="30"/>
      <c r="JCI45" s="31"/>
      <c r="JCJ45" s="30"/>
      <c r="JCK45" s="31"/>
      <c r="JCL45" s="30"/>
      <c r="JCM45" s="31"/>
      <c r="JCN45" s="30"/>
      <c r="JCO45" s="31"/>
      <c r="JCP45" s="30"/>
      <c r="JCQ45" s="31"/>
      <c r="JCR45" s="30"/>
      <c r="JCS45" s="31"/>
      <c r="JCT45" s="30"/>
      <c r="JCU45" s="31"/>
      <c r="JCV45" s="30"/>
      <c r="JCW45" s="31"/>
      <c r="JCX45" s="30"/>
      <c r="JCY45" s="31"/>
      <c r="JCZ45" s="30"/>
      <c r="JDA45" s="31"/>
      <c r="JDB45" s="30"/>
      <c r="JDC45" s="31"/>
      <c r="JDD45" s="30"/>
      <c r="JDE45" s="31"/>
      <c r="JDF45" s="30"/>
      <c r="JDG45" s="31"/>
      <c r="JDH45" s="30"/>
      <c r="JDI45" s="31"/>
      <c r="JDJ45" s="30"/>
      <c r="JDK45" s="31"/>
      <c r="JDL45" s="30"/>
      <c r="JDM45" s="31"/>
      <c r="JDN45" s="30"/>
      <c r="JDO45" s="31"/>
      <c r="JDP45" s="30"/>
      <c r="JDQ45" s="31"/>
      <c r="JDR45" s="30"/>
      <c r="JDS45" s="31"/>
      <c r="JDT45" s="30"/>
      <c r="JDU45" s="31"/>
      <c r="JDV45" s="30"/>
      <c r="JDW45" s="31"/>
      <c r="JDX45" s="30"/>
      <c r="JDY45" s="31"/>
      <c r="JDZ45" s="30"/>
      <c r="JEA45" s="31"/>
      <c r="JEB45" s="30"/>
      <c r="JEC45" s="31"/>
      <c r="JED45" s="30"/>
      <c r="JEE45" s="31"/>
      <c r="JEF45" s="30"/>
      <c r="JEG45" s="31"/>
      <c r="JEH45" s="30"/>
      <c r="JEI45" s="31"/>
      <c r="JEJ45" s="30"/>
      <c r="JEK45" s="31"/>
      <c r="JEL45" s="30"/>
      <c r="JEM45" s="31"/>
      <c r="JEN45" s="30"/>
      <c r="JEO45" s="31"/>
      <c r="JEP45" s="30"/>
      <c r="JEQ45" s="31"/>
      <c r="JER45" s="30"/>
      <c r="JES45" s="31"/>
      <c r="JET45" s="30"/>
      <c r="JEU45" s="31"/>
      <c r="JEV45" s="30"/>
      <c r="JEW45" s="31"/>
      <c r="JEX45" s="30"/>
      <c r="JEY45" s="31"/>
      <c r="JEZ45" s="30"/>
      <c r="JFA45" s="31"/>
      <c r="JFB45" s="30"/>
      <c r="JFC45" s="31"/>
      <c r="JFD45" s="30"/>
      <c r="JFE45" s="31"/>
      <c r="JFF45" s="30"/>
      <c r="JFG45" s="31"/>
      <c r="JFH45" s="30"/>
      <c r="JFI45" s="31"/>
      <c r="JFJ45" s="30"/>
      <c r="JFK45" s="31"/>
      <c r="JFL45" s="30"/>
      <c r="JFM45" s="31"/>
      <c r="JFN45" s="30"/>
      <c r="JFO45" s="31"/>
      <c r="JFP45" s="30"/>
      <c r="JFQ45" s="31"/>
      <c r="JFR45" s="30"/>
      <c r="JFS45" s="31"/>
      <c r="JFT45" s="30"/>
      <c r="JFU45" s="31"/>
      <c r="JFV45" s="30"/>
      <c r="JFW45" s="31"/>
      <c r="JFX45" s="30"/>
      <c r="JFY45" s="31"/>
      <c r="JFZ45" s="30"/>
      <c r="JGA45" s="31"/>
      <c r="JGB45" s="30"/>
      <c r="JGC45" s="31"/>
      <c r="JGD45" s="30"/>
      <c r="JGE45" s="31"/>
      <c r="JGF45" s="30"/>
      <c r="JGG45" s="31"/>
      <c r="JGH45" s="30"/>
      <c r="JGI45" s="31"/>
      <c r="JGJ45" s="30"/>
      <c r="JGK45" s="31"/>
      <c r="JGL45" s="30"/>
      <c r="JGM45" s="31"/>
      <c r="JGN45" s="30"/>
      <c r="JGO45" s="31"/>
      <c r="JGP45" s="30"/>
      <c r="JGQ45" s="31"/>
      <c r="JGR45" s="30"/>
      <c r="JGS45" s="31"/>
      <c r="JGT45" s="30"/>
      <c r="JGU45" s="31"/>
      <c r="JGV45" s="30"/>
      <c r="JGW45" s="31"/>
      <c r="JGX45" s="30"/>
      <c r="JGY45" s="31"/>
      <c r="JGZ45" s="30"/>
      <c r="JHA45" s="31"/>
      <c r="JHB45" s="30"/>
      <c r="JHC45" s="31"/>
      <c r="JHD45" s="30"/>
      <c r="JHE45" s="31"/>
      <c r="JHF45" s="30"/>
      <c r="JHG45" s="31"/>
      <c r="JHH45" s="30"/>
      <c r="JHI45" s="31"/>
      <c r="JHJ45" s="30"/>
      <c r="JHK45" s="31"/>
      <c r="JHL45" s="30"/>
      <c r="JHM45" s="31"/>
      <c r="JHN45" s="30"/>
      <c r="JHO45" s="31"/>
      <c r="JHP45" s="30"/>
      <c r="JHQ45" s="31"/>
      <c r="JHR45" s="30"/>
      <c r="JHS45" s="31"/>
      <c r="JHT45" s="30"/>
      <c r="JHU45" s="31"/>
      <c r="JHV45" s="30"/>
      <c r="JHW45" s="31"/>
      <c r="JHX45" s="30"/>
      <c r="JHY45" s="31"/>
      <c r="JHZ45" s="30"/>
      <c r="JIA45" s="31"/>
      <c r="JIB45" s="30"/>
      <c r="JIC45" s="31"/>
      <c r="JID45" s="30"/>
      <c r="JIE45" s="31"/>
      <c r="JIF45" s="30"/>
      <c r="JIG45" s="31"/>
      <c r="JIH45" s="30"/>
      <c r="JII45" s="31"/>
      <c r="JIJ45" s="30"/>
      <c r="JIK45" s="31"/>
      <c r="JIL45" s="30"/>
      <c r="JIM45" s="31"/>
      <c r="JIN45" s="30"/>
      <c r="JIO45" s="31"/>
      <c r="JIP45" s="30"/>
      <c r="JIQ45" s="31"/>
      <c r="JIR45" s="30"/>
      <c r="JIS45" s="31"/>
      <c r="JIT45" s="30"/>
      <c r="JIU45" s="31"/>
      <c r="JIV45" s="30"/>
      <c r="JIW45" s="31"/>
      <c r="JIX45" s="30"/>
      <c r="JIY45" s="31"/>
      <c r="JIZ45" s="30"/>
      <c r="JJA45" s="31"/>
      <c r="JJB45" s="30"/>
      <c r="JJC45" s="31"/>
      <c r="JJD45" s="30"/>
      <c r="JJE45" s="31"/>
      <c r="JJF45" s="30"/>
      <c r="JJG45" s="31"/>
      <c r="JJH45" s="30"/>
      <c r="JJI45" s="31"/>
      <c r="JJJ45" s="30"/>
      <c r="JJK45" s="31"/>
      <c r="JJL45" s="30"/>
      <c r="JJM45" s="31"/>
      <c r="JJN45" s="30"/>
      <c r="JJO45" s="31"/>
      <c r="JJP45" s="30"/>
      <c r="JJQ45" s="31"/>
      <c r="JJR45" s="30"/>
      <c r="JJS45" s="31"/>
      <c r="JJT45" s="30"/>
      <c r="JJU45" s="31"/>
      <c r="JJV45" s="30"/>
      <c r="JJW45" s="31"/>
      <c r="JJX45" s="30"/>
      <c r="JJY45" s="31"/>
      <c r="JJZ45" s="30"/>
      <c r="JKA45" s="31"/>
      <c r="JKB45" s="30"/>
      <c r="JKC45" s="31"/>
      <c r="JKD45" s="30"/>
      <c r="JKE45" s="31"/>
      <c r="JKF45" s="30"/>
      <c r="JKG45" s="31"/>
      <c r="JKH45" s="30"/>
      <c r="JKI45" s="31"/>
      <c r="JKJ45" s="30"/>
      <c r="JKK45" s="31"/>
      <c r="JKL45" s="30"/>
      <c r="JKM45" s="31"/>
      <c r="JKN45" s="30"/>
      <c r="JKO45" s="31"/>
      <c r="JKP45" s="30"/>
      <c r="JKQ45" s="31"/>
      <c r="JKR45" s="30"/>
      <c r="JKS45" s="31"/>
      <c r="JKT45" s="30"/>
      <c r="JKU45" s="31"/>
      <c r="JKV45" s="30"/>
      <c r="JKW45" s="31"/>
      <c r="JKX45" s="30"/>
      <c r="JKY45" s="31"/>
      <c r="JKZ45" s="30"/>
      <c r="JLA45" s="31"/>
      <c r="JLB45" s="30"/>
      <c r="JLC45" s="31"/>
      <c r="JLD45" s="30"/>
      <c r="JLE45" s="31"/>
      <c r="JLF45" s="30"/>
      <c r="JLG45" s="31"/>
      <c r="JLH45" s="30"/>
      <c r="JLI45" s="31"/>
      <c r="JLJ45" s="30"/>
      <c r="JLK45" s="31"/>
      <c r="JLL45" s="30"/>
      <c r="JLM45" s="31"/>
      <c r="JLN45" s="30"/>
      <c r="JLO45" s="31"/>
      <c r="JLP45" s="30"/>
      <c r="JLQ45" s="31"/>
      <c r="JLR45" s="30"/>
      <c r="JLS45" s="31"/>
      <c r="JLT45" s="30"/>
      <c r="JLU45" s="31"/>
      <c r="JLV45" s="30"/>
      <c r="JLW45" s="31"/>
      <c r="JLX45" s="30"/>
      <c r="JLY45" s="31"/>
      <c r="JLZ45" s="30"/>
      <c r="JMA45" s="31"/>
      <c r="JMB45" s="30"/>
      <c r="JMC45" s="31"/>
      <c r="JMD45" s="30"/>
      <c r="JME45" s="31"/>
      <c r="JMF45" s="30"/>
      <c r="JMG45" s="31"/>
      <c r="JMH45" s="30"/>
      <c r="JMI45" s="31"/>
      <c r="JMJ45" s="30"/>
      <c r="JMK45" s="31"/>
      <c r="JML45" s="30"/>
      <c r="JMM45" s="31"/>
      <c r="JMN45" s="30"/>
      <c r="JMO45" s="31"/>
      <c r="JMP45" s="30"/>
      <c r="JMQ45" s="31"/>
      <c r="JMR45" s="30"/>
      <c r="JMS45" s="31"/>
      <c r="JMT45" s="30"/>
      <c r="JMU45" s="31"/>
      <c r="JMV45" s="30"/>
      <c r="JMW45" s="31"/>
      <c r="JMX45" s="30"/>
      <c r="JMY45" s="31"/>
      <c r="JMZ45" s="30"/>
      <c r="JNA45" s="31"/>
      <c r="JNB45" s="30"/>
      <c r="JNC45" s="31"/>
      <c r="JND45" s="30"/>
      <c r="JNE45" s="31"/>
      <c r="JNF45" s="30"/>
      <c r="JNG45" s="31"/>
      <c r="JNH45" s="30"/>
      <c r="JNI45" s="31"/>
      <c r="JNJ45" s="30"/>
      <c r="JNK45" s="31"/>
      <c r="JNL45" s="30"/>
      <c r="JNM45" s="31"/>
      <c r="JNN45" s="30"/>
      <c r="JNO45" s="31"/>
      <c r="JNP45" s="30"/>
      <c r="JNQ45" s="31"/>
      <c r="JNR45" s="30"/>
      <c r="JNS45" s="31"/>
      <c r="JNT45" s="30"/>
      <c r="JNU45" s="31"/>
      <c r="JNV45" s="30"/>
      <c r="JNW45" s="31"/>
      <c r="JNX45" s="30"/>
      <c r="JNY45" s="31"/>
      <c r="JNZ45" s="30"/>
      <c r="JOA45" s="31"/>
      <c r="JOB45" s="30"/>
      <c r="JOC45" s="31"/>
      <c r="JOD45" s="30"/>
      <c r="JOE45" s="31"/>
      <c r="JOF45" s="30"/>
      <c r="JOG45" s="31"/>
      <c r="JOH45" s="30"/>
      <c r="JOI45" s="31"/>
      <c r="JOJ45" s="30"/>
      <c r="JOK45" s="31"/>
      <c r="JOL45" s="30"/>
      <c r="JOM45" s="31"/>
      <c r="JON45" s="30"/>
      <c r="JOO45" s="31"/>
      <c r="JOP45" s="30"/>
      <c r="JOQ45" s="31"/>
      <c r="JOR45" s="30"/>
      <c r="JOS45" s="31"/>
      <c r="JOT45" s="30"/>
      <c r="JOU45" s="31"/>
      <c r="JOV45" s="30"/>
      <c r="JOW45" s="31"/>
      <c r="JOX45" s="30"/>
      <c r="JOY45" s="31"/>
      <c r="JOZ45" s="30"/>
      <c r="JPA45" s="31"/>
      <c r="JPB45" s="30"/>
      <c r="JPC45" s="31"/>
      <c r="JPD45" s="30"/>
      <c r="JPE45" s="31"/>
      <c r="JPF45" s="30"/>
      <c r="JPG45" s="31"/>
      <c r="JPH45" s="30"/>
      <c r="JPI45" s="31"/>
      <c r="JPJ45" s="30"/>
      <c r="JPK45" s="31"/>
      <c r="JPL45" s="30"/>
      <c r="JPM45" s="31"/>
      <c r="JPN45" s="30"/>
      <c r="JPO45" s="31"/>
      <c r="JPP45" s="30"/>
      <c r="JPQ45" s="31"/>
      <c r="JPR45" s="30"/>
      <c r="JPS45" s="31"/>
      <c r="JPT45" s="30"/>
      <c r="JPU45" s="31"/>
      <c r="JPV45" s="30"/>
      <c r="JPW45" s="31"/>
      <c r="JPX45" s="30"/>
      <c r="JPY45" s="31"/>
      <c r="JPZ45" s="30"/>
      <c r="JQA45" s="31"/>
      <c r="JQB45" s="30"/>
      <c r="JQC45" s="31"/>
      <c r="JQD45" s="30"/>
      <c r="JQE45" s="31"/>
      <c r="JQF45" s="30"/>
      <c r="JQG45" s="31"/>
      <c r="JQH45" s="30"/>
      <c r="JQI45" s="31"/>
      <c r="JQJ45" s="30"/>
      <c r="JQK45" s="31"/>
      <c r="JQL45" s="30"/>
      <c r="JQM45" s="31"/>
      <c r="JQN45" s="30"/>
      <c r="JQO45" s="31"/>
      <c r="JQP45" s="30"/>
      <c r="JQQ45" s="31"/>
      <c r="JQR45" s="30"/>
      <c r="JQS45" s="31"/>
      <c r="JQT45" s="30"/>
      <c r="JQU45" s="31"/>
      <c r="JQV45" s="30"/>
      <c r="JQW45" s="31"/>
      <c r="JQX45" s="30"/>
      <c r="JQY45" s="31"/>
      <c r="JQZ45" s="30"/>
      <c r="JRA45" s="31"/>
      <c r="JRB45" s="30"/>
      <c r="JRC45" s="31"/>
      <c r="JRD45" s="30"/>
      <c r="JRE45" s="31"/>
      <c r="JRF45" s="30"/>
      <c r="JRG45" s="31"/>
      <c r="JRH45" s="30"/>
      <c r="JRI45" s="31"/>
      <c r="JRJ45" s="30"/>
      <c r="JRK45" s="31"/>
      <c r="JRL45" s="30"/>
      <c r="JRM45" s="31"/>
      <c r="JRN45" s="30"/>
      <c r="JRO45" s="31"/>
      <c r="JRP45" s="30"/>
      <c r="JRQ45" s="31"/>
      <c r="JRR45" s="30"/>
      <c r="JRS45" s="31"/>
      <c r="JRT45" s="30"/>
      <c r="JRU45" s="31"/>
      <c r="JRV45" s="30"/>
      <c r="JRW45" s="31"/>
      <c r="JRX45" s="30"/>
      <c r="JRY45" s="31"/>
      <c r="JRZ45" s="30"/>
      <c r="JSA45" s="31"/>
      <c r="JSB45" s="30"/>
      <c r="JSC45" s="31"/>
      <c r="JSD45" s="30"/>
      <c r="JSE45" s="31"/>
      <c r="JSF45" s="30"/>
      <c r="JSG45" s="31"/>
      <c r="JSH45" s="30"/>
      <c r="JSI45" s="31"/>
      <c r="JSJ45" s="30"/>
      <c r="JSK45" s="31"/>
      <c r="JSL45" s="30"/>
      <c r="JSM45" s="31"/>
      <c r="JSN45" s="30"/>
      <c r="JSO45" s="31"/>
      <c r="JSP45" s="30"/>
      <c r="JSQ45" s="31"/>
      <c r="JSR45" s="30"/>
      <c r="JSS45" s="31"/>
      <c r="JST45" s="30"/>
      <c r="JSU45" s="31"/>
      <c r="JSV45" s="30"/>
      <c r="JSW45" s="31"/>
      <c r="JSX45" s="30"/>
      <c r="JSY45" s="31"/>
      <c r="JSZ45" s="30"/>
      <c r="JTA45" s="31"/>
      <c r="JTB45" s="30"/>
      <c r="JTC45" s="31"/>
      <c r="JTD45" s="30"/>
      <c r="JTE45" s="31"/>
      <c r="JTF45" s="30"/>
      <c r="JTG45" s="31"/>
      <c r="JTH45" s="30"/>
      <c r="JTI45" s="31"/>
      <c r="JTJ45" s="30"/>
      <c r="JTK45" s="31"/>
      <c r="JTL45" s="30"/>
      <c r="JTM45" s="31"/>
      <c r="JTN45" s="30"/>
      <c r="JTO45" s="31"/>
      <c r="JTP45" s="30"/>
      <c r="JTQ45" s="31"/>
      <c r="JTR45" s="30"/>
      <c r="JTS45" s="31"/>
      <c r="JTT45" s="30"/>
      <c r="JTU45" s="31"/>
      <c r="JTV45" s="30"/>
      <c r="JTW45" s="31"/>
      <c r="JTX45" s="30"/>
      <c r="JTY45" s="31"/>
      <c r="JTZ45" s="30"/>
      <c r="JUA45" s="31"/>
      <c r="JUB45" s="30"/>
      <c r="JUC45" s="31"/>
      <c r="JUD45" s="30"/>
      <c r="JUE45" s="31"/>
      <c r="JUF45" s="30"/>
      <c r="JUG45" s="31"/>
      <c r="JUH45" s="30"/>
      <c r="JUI45" s="31"/>
      <c r="JUJ45" s="30"/>
      <c r="JUK45" s="31"/>
      <c r="JUL45" s="30"/>
      <c r="JUM45" s="31"/>
      <c r="JUN45" s="30"/>
      <c r="JUO45" s="31"/>
      <c r="JUP45" s="30"/>
      <c r="JUQ45" s="31"/>
      <c r="JUR45" s="30"/>
      <c r="JUS45" s="31"/>
      <c r="JUT45" s="30"/>
      <c r="JUU45" s="31"/>
      <c r="JUV45" s="30"/>
      <c r="JUW45" s="31"/>
      <c r="JUX45" s="30"/>
      <c r="JUY45" s="31"/>
      <c r="JUZ45" s="30"/>
      <c r="JVA45" s="31"/>
      <c r="JVB45" s="30"/>
      <c r="JVC45" s="31"/>
      <c r="JVD45" s="30"/>
      <c r="JVE45" s="31"/>
      <c r="JVF45" s="30"/>
      <c r="JVG45" s="31"/>
      <c r="JVH45" s="30"/>
      <c r="JVI45" s="31"/>
      <c r="JVJ45" s="30"/>
      <c r="JVK45" s="31"/>
      <c r="JVL45" s="30"/>
      <c r="JVM45" s="31"/>
      <c r="JVN45" s="30"/>
      <c r="JVO45" s="31"/>
      <c r="JVP45" s="30"/>
      <c r="JVQ45" s="31"/>
      <c r="JVR45" s="30"/>
      <c r="JVS45" s="31"/>
      <c r="JVT45" s="30"/>
      <c r="JVU45" s="31"/>
      <c r="JVV45" s="30"/>
      <c r="JVW45" s="31"/>
      <c r="JVX45" s="30"/>
      <c r="JVY45" s="31"/>
      <c r="JVZ45" s="30"/>
      <c r="JWA45" s="31"/>
      <c r="JWB45" s="30"/>
      <c r="JWC45" s="31"/>
      <c r="JWD45" s="30"/>
      <c r="JWE45" s="31"/>
      <c r="JWF45" s="30"/>
      <c r="JWG45" s="31"/>
      <c r="JWH45" s="30"/>
      <c r="JWI45" s="31"/>
      <c r="JWJ45" s="30"/>
      <c r="JWK45" s="31"/>
      <c r="JWL45" s="30"/>
      <c r="JWM45" s="31"/>
      <c r="JWN45" s="30"/>
      <c r="JWO45" s="31"/>
      <c r="JWP45" s="30"/>
      <c r="JWQ45" s="31"/>
      <c r="JWR45" s="30"/>
      <c r="JWS45" s="31"/>
      <c r="JWT45" s="30"/>
      <c r="JWU45" s="31"/>
      <c r="JWV45" s="30"/>
      <c r="JWW45" s="31"/>
      <c r="JWX45" s="30"/>
      <c r="JWY45" s="31"/>
      <c r="JWZ45" s="30"/>
      <c r="JXA45" s="31"/>
      <c r="JXB45" s="30"/>
      <c r="JXC45" s="31"/>
      <c r="JXD45" s="30"/>
      <c r="JXE45" s="31"/>
      <c r="JXF45" s="30"/>
      <c r="JXG45" s="31"/>
      <c r="JXH45" s="30"/>
      <c r="JXI45" s="31"/>
      <c r="JXJ45" s="30"/>
      <c r="JXK45" s="31"/>
      <c r="JXL45" s="30"/>
      <c r="JXM45" s="31"/>
      <c r="JXN45" s="30"/>
      <c r="JXO45" s="31"/>
      <c r="JXP45" s="30"/>
      <c r="JXQ45" s="31"/>
      <c r="JXR45" s="30"/>
      <c r="JXS45" s="31"/>
      <c r="JXT45" s="30"/>
      <c r="JXU45" s="31"/>
      <c r="JXV45" s="30"/>
      <c r="JXW45" s="31"/>
      <c r="JXX45" s="30"/>
      <c r="JXY45" s="31"/>
      <c r="JXZ45" s="30"/>
      <c r="JYA45" s="31"/>
      <c r="JYB45" s="30"/>
      <c r="JYC45" s="31"/>
      <c r="JYD45" s="30"/>
      <c r="JYE45" s="31"/>
      <c r="JYF45" s="30"/>
      <c r="JYG45" s="31"/>
      <c r="JYH45" s="30"/>
      <c r="JYI45" s="31"/>
      <c r="JYJ45" s="30"/>
      <c r="JYK45" s="31"/>
      <c r="JYL45" s="30"/>
      <c r="JYM45" s="31"/>
      <c r="JYN45" s="30"/>
      <c r="JYO45" s="31"/>
      <c r="JYP45" s="30"/>
      <c r="JYQ45" s="31"/>
      <c r="JYR45" s="30"/>
      <c r="JYS45" s="31"/>
      <c r="JYT45" s="30"/>
      <c r="JYU45" s="31"/>
      <c r="JYV45" s="30"/>
      <c r="JYW45" s="31"/>
      <c r="JYX45" s="30"/>
      <c r="JYY45" s="31"/>
      <c r="JYZ45" s="30"/>
      <c r="JZA45" s="31"/>
      <c r="JZB45" s="30"/>
      <c r="JZC45" s="31"/>
      <c r="JZD45" s="30"/>
      <c r="JZE45" s="31"/>
      <c r="JZF45" s="30"/>
      <c r="JZG45" s="31"/>
      <c r="JZH45" s="30"/>
      <c r="JZI45" s="31"/>
      <c r="JZJ45" s="30"/>
      <c r="JZK45" s="31"/>
      <c r="JZL45" s="30"/>
      <c r="JZM45" s="31"/>
      <c r="JZN45" s="30"/>
      <c r="JZO45" s="31"/>
      <c r="JZP45" s="30"/>
      <c r="JZQ45" s="31"/>
      <c r="JZR45" s="30"/>
      <c r="JZS45" s="31"/>
      <c r="JZT45" s="30"/>
      <c r="JZU45" s="31"/>
      <c r="JZV45" s="30"/>
      <c r="JZW45" s="31"/>
      <c r="JZX45" s="30"/>
      <c r="JZY45" s="31"/>
      <c r="JZZ45" s="30"/>
      <c r="KAA45" s="31"/>
      <c r="KAB45" s="30"/>
      <c r="KAC45" s="31"/>
      <c r="KAD45" s="30"/>
      <c r="KAE45" s="31"/>
      <c r="KAF45" s="30"/>
      <c r="KAG45" s="31"/>
      <c r="KAH45" s="30"/>
      <c r="KAI45" s="31"/>
      <c r="KAJ45" s="30"/>
      <c r="KAK45" s="31"/>
      <c r="KAL45" s="30"/>
      <c r="KAM45" s="31"/>
      <c r="KAN45" s="30"/>
      <c r="KAO45" s="31"/>
      <c r="KAP45" s="30"/>
      <c r="KAQ45" s="31"/>
      <c r="KAR45" s="30"/>
      <c r="KAS45" s="31"/>
      <c r="KAT45" s="30"/>
      <c r="KAU45" s="31"/>
      <c r="KAV45" s="30"/>
      <c r="KAW45" s="31"/>
      <c r="KAX45" s="30"/>
      <c r="KAY45" s="31"/>
      <c r="KAZ45" s="30"/>
      <c r="KBA45" s="31"/>
      <c r="KBB45" s="30"/>
      <c r="KBC45" s="31"/>
      <c r="KBD45" s="30"/>
      <c r="KBE45" s="31"/>
      <c r="KBF45" s="30"/>
      <c r="KBG45" s="31"/>
      <c r="KBH45" s="30"/>
      <c r="KBI45" s="31"/>
      <c r="KBJ45" s="30"/>
      <c r="KBK45" s="31"/>
      <c r="KBL45" s="30"/>
      <c r="KBM45" s="31"/>
      <c r="KBN45" s="30"/>
      <c r="KBO45" s="31"/>
      <c r="KBP45" s="30"/>
      <c r="KBQ45" s="31"/>
      <c r="KBR45" s="30"/>
      <c r="KBS45" s="31"/>
      <c r="KBT45" s="30"/>
      <c r="KBU45" s="31"/>
      <c r="KBV45" s="30"/>
      <c r="KBW45" s="31"/>
      <c r="KBX45" s="30"/>
      <c r="KBY45" s="31"/>
      <c r="KBZ45" s="30"/>
      <c r="KCA45" s="31"/>
      <c r="KCB45" s="30"/>
      <c r="KCC45" s="31"/>
      <c r="KCD45" s="30"/>
      <c r="KCE45" s="31"/>
      <c r="KCF45" s="30"/>
      <c r="KCG45" s="31"/>
      <c r="KCH45" s="30"/>
      <c r="KCI45" s="31"/>
      <c r="KCJ45" s="30"/>
      <c r="KCK45" s="31"/>
      <c r="KCL45" s="30"/>
      <c r="KCM45" s="31"/>
      <c r="KCN45" s="30"/>
      <c r="KCO45" s="31"/>
      <c r="KCP45" s="30"/>
      <c r="KCQ45" s="31"/>
      <c r="KCR45" s="30"/>
      <c r="KCS45" s="31"/>
      <c r="KCT45" s="30"/>
      <c r="KCU45" s="31"/>
      <c r="KCV45" s="30"/>
      <c r="KCW45" s="31"/>
      <c r="KCX45" s="30"/>
      <c r="KCY45" s="31"/>
      <c r="KCZ45" s="30"/>
      <c r="KDA45" s="31"/>
      <c r="KDB45" s="30"/>
      <c r="KDC45" s="31"/>
      <c r="KDD45" s="30"/>
      <c r="KDE45" s="31"/>
      <c r="KDF45" s="30"/>
      <c r="KDG45" s="31"/>
      <c r="KDH45" s="30"/>
      <c r="KDI45" s="31"/>
      <c r="KDJ45" s="30"/>
      <c r="KDK45" s="31"/>
      <c r="KDL45" s="30"/>
      <c r="KDM45" s="31"/>
      <c r="KDN45" s="30"/>
      <c r="KDO45" s="31"/>
      <c r="KDP45" s="30"/>
      <c r="KDQ45" s="31"/>
      <c r="KDR45" s="30"/>
      <c r="KDS45" s="31"/>
      <c r="KDT45" s="30"/>
      <c r="KDU45" s="31"/>
      <c r="KDV45" s="30"/>
      <c r="KDW45" s="31"/>
      <c r="KDX45" s="30"/>
      <c r="KDY45" s="31"/>
      <c r="KDZ45" s="30"/>
      <c r="KEA45" s="31"/>
      <c r="KEB45" s="30"/>
      <c r="KEC45" s="31"/>
      <c r="KED45" s="30"/>
      <c r="KEE45" s="31"/>
      <c r="KEF45" s="30"/>
      <c r="KEG45" s="31"/>
      <c r="KEH45" s="30"/>
      <c r="KEI45" s="31"/>
      <c r="KEJ45" s="30"/>
      <c r="KEK45" s="31"/>
      <c r="KEL45" s="30"/>
      <c r="KEM45" s="31"/>
      <c r="KEN45" s="30"/>
      <c r="KEO45" s="31"/>
      <c r="KEP45" s="30"/>
      <c r="KEQ45" s="31"/>
      <c r="KER45" s="30"/>
      <c r="KES45" s="31"/>
      <c r="KET45" s="30"/>
      <c r="KEU45" s="31"/>
      <c r="KEV45" s="30"/>
      <c r="KEW45" s="31"/>
      <c r="KEX45" s="30"/>
      <c r="KEY45" s="31"/>
      <c r="KEZ45" s="30"/>
      <c r="KFA45" s="31"/>
      <c r="KFB45" s="30"/>
      <c r="KFC45" s="31"/>
      <c r="KFD45" s="30"/>
      <c r="KFE45" s="31"/>
      <c r="KFF45" s="30"/>
      <c r="KFG45" s="31"/>
      <c r="KFH45" s="30"/>
      <c r="KFI45" s="31"/>
      <c r="KFJ45" s="30"/>
      <c r="KFK45" s="31"/>
      <c r="KFL45" s="30"/>
      <c r="KFM45" s="31"/>
      <c r="KFN45" s="30"/>
      <c r="KFO45" s="31"/>
      <c r="KFP45" s="30"/>
      <c r="KFQ45" s="31"/>
      <c r="KFR45" s="30"/>
      <c r="KFS45" s="31"/>
      <c r="KFT45" s="30"/>
      <c r="KFU45" s="31"/>
      <c r="KFV45" s="30"/>
      <c r="KFW45" s="31"/>
      <c r="KFX45" s="30"/>
      <c r="KFY45" s="31"/>
      <c r="KFZ45" s="30"/>
      <c r="KGA45" s="31"/>
      <c r="KGB45" s="30"/>
      <c r="KGC45" s="31"/>
      <c r="KGD45" s="30"/>
      <c r="KGE45" s="31"/>
      <c r="KGF45" s="30"/>
      <c r="KGG45" s="31"/>
      <c r="KGH45" s="30"/>
      <c r="KGI45" s="31"/>
      <c r="KGJ45" s="30"/>
      <c r="KGK45" s="31"/>
      <c r="KGL45" s="30"/>
      <c r="KGM45" s="31"/>
      <c r="KGN45" s="30"/>
      <c r="KGO45" s="31"/>
      <c r="KGP45" s="30"/>
      <c r="KGQ45" s="31"/>
      <c r="KGR45" s="30"/>
      <c r="KGS45" s="31"/>
      <c r="KGT45" s="30"/>
      <c r="KGU45" s="31"/>
      <c r="KGV45" s="30"/>
      <c r="KGW45" s="31"/>
      <c r="KGX45" s="30"/>
      <c r="KGY45" s="31"/>
      <c r="KGZ45" s="30"/>
      <c r="KHA45" s="31"/>
      <c r="KHB45" s="30"/>
      <c r="KHC45" s="31"/>
      <c r="KHD45" s="30"/>
      <c r="KHE45" s="31"/>
      <c r="KHF45" s="30"/>
      <c r="KHG45" s="31"/>
      <c r="KHH45" s="30"/>
      <c r="KHI45" s="31"/>
      <c r="KHJ45" s="30"/>
      <c r="KHK45" s="31"/>
      <c r="KHL45" s="30"/>
      <c r="KHM45" s="31"/>
      <c r="KHN45" s="30"/>
      <c r="KHO45" s="31"/>
      <c r="KHP45" s="30"/>
      <c r="KHQ45" s="31"/>
      <c r="KHR45" s="30"/>
      <c r="KHS45" s="31"/>
      <c r="KHT45" s="30"/>
      <c r="KHU45" s="31"/>
      <c r="KHV45" s="30"/>
      <c r="KHW45" s="31"/>
      <c r="KHX45" s="30"/>
      <c r="KHY45" s="31"/>
      <c r="KHZ45" s="30"/>
      <c r="KIA45" s="31"/>
      <c r="KIB45" s="30"/>
      <c r="KIC45" s="31"/>
      <c r="KID45" s="30"/>
      <c r="KIE45" s="31"/>
      <c r="KIF45" s="30"/>
      <c r="KIG45" s="31"/>
      <c r="KIH45" s="30"/>
      <c r="KII45" s="31"/>
      <c r="KIJ45" s="30"/>
      <c r="KIK45" s="31"/>
      <c r="KIL45" s="30"/>
      <c r="KIM45" s="31"/>
      <c r="KIN45" s="30"/>
      <c r="KIO45" s="31"/>
      <c r="KIP45" s="30"/>
      <c r="KIQ45" s="31"/>
      <c r="KIR45" s="30"/>
      <c r="KIS45" s="31"/>
      <c r="KIT45" s="30"/>
      <c r="KIU45" s="31"/>
      <c r="KIV45" s="30"/>
      <c r="KIW45" s="31"/>
      <c r="KIX45" s="30"/>
      <c r="KIY45" s="31"/>
      <c r="KIZ45" s="30"/>
      <c r="KJA45" s="31"/>
      <c r="KJB45" s="30"/>
      <c r="KJC45" s="31"/>
      <c r="KJD45" s="30"/>
      <c r="KJE45" s="31"/>
      <c r="KJF45" s="30"/>
      <c r="KJG45" s="31"/>
      <c r="KJH45" s="30"/>
      <c r="KJI45" s="31"/>
      <c r="KJJ45" s="30"/>
      <c r="KJK45" s="31"/>
      <c r="KJL45" s="30"/>
      <c r="KJM45" s="31"/>
      <c r="KJN45" s="30"/>
      <c r="KJO45" s="31"/>
      <c r="KJP45" s="30"/>
      <c r="KJQ45" s="31"/>
      <c r="KJR45" s="30"/>
      <c r="KJS45" s="31"/>
      <c r="KJT45" s="30"/>
      <c r="KJU45" s="31"/>
      <c r="KJV45" s="30"/>
      <c r="KJW45" s="31"/>
      <c r="KJX45" s="30"/>
      <c r="KJY45" s="31"/>
      <c r="KJZ45" s="30"/>
      <c r="KKA45" s="31"/>
      <c r="KKB45" s="30"/>
      <c r="KKC45" s="31"/>
      <c r="KKD45" s="30"/>
      <c r="KKE45" s="31"/>
      <c r="KKF45" s="30"/>
      <c r="KKG45" s="31"/>
      <c r="KKH45" s="30"/>
      <c r="KKI45" s="31"/>
      <c r="KKJ45" s="30"/>
      <c r="KKK45" s="31"/>
      <c r="KKL45" s="30"/>
      <c r="KKM45" s="31"/>
      <c r="KKN45" s="30"/>
      <c r="KKO45" s="31"/>
      <c r="KKP45" s="30"/>
      <c r="KKQ45" s="31"/>
      <c r="KKR45" s="30"/>
      <c r="KKS45" s="31"/>
      <c r="KKT45" s="30"/>
      <c r="KKU45" s="31"/>
      <c r="KKV45" s="30"/>
      <c r="KKW45" s="31"/>
      <c r="KKX45" s="30"/>
      <c r="KKY45" s="31"/>
      <c r="KKZ45" s="30"/>
      <c r="KLA45" s="31"/>
      <c r="KLB45" s="30"/>
      <c r="KLC45" s="31"/>
      <c r="KLD45" s="30"/>
      <c r="KLE45" s="31"/>
      <c r="KLF45" s="30"/>
      <c r="KLG45" s="31"/>
      <c r="KLH45" s="30"/>
      <c r="KLI45" s="31"/>
      <c r="KLJ45" s="30"/>
      <c r="KLK45" s="31"/>
      <c r="KLL45" s="30"/>
      <c r="KLM45" s="31"/>
      <c r="KLN45" s="30"/>
      <c r="KLO45" s="31"/>
      <c r="KLP45" s="30"/>
      <c r="KLQ45" s="31"/>
      <c r="KLR45" s="30"/>
      <c r="KLS45" s="31"/>
      <c r="KLT45" s="30"/>
      <c r="KLU45" s="31"/>
      <c r="KLV45" s="30"/>
      <c r="KLW45" s="31"/>
      <c r="KLX45" s="30"/>
      <c r="KLY45" s="31"/>
      <c r="KLZ45" s="30"/>
      <c r="KMA45" s="31"/>
      <c r="KMB45" s="30"/>
      <c r="KMC45" s="31"/>
      <c r="KMD45" s="30"/>
      <c r="KME45" s="31"/>
      <c r="KMF45" s="30"/>
      <c r="KMG45" s="31"/>
      <c r="KMH45" s="30"/>
      <c r="KMI45" s="31"/>
      <c r="KMJ45" s="30"/>
      <c r="KMK45" s="31"/>
      <c r="KML45" s="30"/>
      <c r="KMM45" s="31"/>
      <c r="KMN45" s="30"/>
      <c r="KMO45" s="31"/>
      <c r="KMP45" s="30"/>
      <c r="KMQ45" s="31"/>
      <c r="KMR45" s="30"/>
      <c r="KMS45" s="31"/>
      <c r="KMT45" s="30"/>
      <c r="KMU45" s="31"/>
      <c r="KMV45" s="30"/>
      <c r="KMW45" s="31"/>
      <c r="KMX45" s="30"/>
      <c r="KMY45" s="31"/>
      <c r="KMZ45" s="30"/>
      <c r="KNA45" s="31"/>
      <c r="KNB45" s="30"/>
      <c r="KNC45" s="31"/>
      <c r="KND45" s="30"/>
      <c r="KNE45" s="31"/>
      <c r="KNF45" s="30"/>
      <c r="KNG45" s="31"/>
      <c r="KNH45" s="30"/>
      <c r="KNI45" s="31"/>
      <c r="KNJ45" s="30"/>
      <c r="KNK45" s="31"/>
      <c r="KNL45" s="30"/>
      <c r="KNM45" s="31"/>
      <c r="KNN45" s="30"/>
      <c r="KNO45" s="31"/>
      <c r="KNP45" s="30"/>
      <c r="KNQ45" s="31"/>
      <c r="KNR45" s="30"/>
      <c r="KNS45" s="31"/>
      <c r="KNT45" s="30"/>
      <c r="KNU45" s="31"/>
      <c r="KNV45" s="30"/>
      <c r="KNW45" s="31"/>
      <c r="KNX45" s="30"/>
      <c r="KNY45" s="31"/>
      <c r="KNZ45" s="30"/>
      <c r="KOA45" s="31"/>
      <c r="KOB45" s="30"/>
      <c r="KOC45" s="31"/>
      <c r="KOD45" s="30"/>
      <c r="KOE45" s="31"/>
      <c r="KOF45" s="30"/>
      <c r="KOG45" s="31"/>
      <c r="KOH45" s="30"/>
      <c r="KOI45" s="31"/>
      <c r="KOJ45" s="30"/>
      <c r="KOK45" s="31"/>
      <c r="KOL45" s="30"/>
      <c r="KOM45" s="31"/>
      <c r="KON45" s="30"/>
      <c r="KOO45" s="31"/>
      <c r="KOP45" s="30"/>
      <c r="KOQ45" s="31"/>
      <c r="KOR45" s="30"/>
      <c r="KOS45" s="31"/>
      <c r="KOT45" s="30"/>
      <c r="KOU45" s="31"/>
      <c r="KOV45" s="30"/>
      <c r="KOW45" s="31"/>
      <c r="KOX45" s="30"/>
      <c r="KOY45" s="31"/>
      <c r="KOZ45" s="30"/>
      <c r="KPA45" s="31"/>
      <c r="KPB45" s="30"/>
      <c r="KPC45" s="31"/>
      <c r="KPD45" s="30"/>
      <c r="KPE45" s="31"/>
      <c r="KPF45" s="30"/>
      <c r="KPG45" s="31"/>
      <c r="KPH45" s="30"/>
      <c r="KPI45" s="31"/>
      <c r="KPJ45" s="30"/>
      <c r="KPK45" s="31"/>
      <c r="KPL45" s="30"/>
      <c r="KPM45" s="31"/>
      <c r="KPN45" s="30"/>
      <c r="KPO45" s="31"/>
      <c r="KPP45" s="30"/>
      <c r="KPQ45" s="31"/>
      <c r="KPR45" s="30"/>
      <c r="KPS45" s="31"/>
      <c r="KPT45" s="30"/>
      <c r="KPU45" s="31"/>
      <c r="KPV45" s="30"/>
      <c r="KPW45" s="31"/>
      <c r="KPX45" s="30"/>
      <c r="KPY45" s="31"/>
      <c r="KPZ45" s="30"/>
      <c r="KQA45" s="31"/>
      <c r="KQB45" s="30"/>
      <c r="KQC45" s="31"/>
      <c r="KQD45" s="30"/>
      <c r="KQE45" s="31"/>
      <c r="KQF45" s="30"/>
      <c r="KQG45" s="31"/>
      <c r="KQH45" s="30"/>
      <c r="KQI45" s="31"/>
      <c r="KQJ45" s="30"/>
      <c r="KQK45" s="31"/>
      <c r="KQL45" s="30"/>
      <c r="KQM45" s="31"/>
      <c r="KQN45" s="30"/>
      <c r="KQO45" s="31"/>
      <c r="KQP45" s="30"/>
      <c r="KQQ45" s="31"/>
      <c r="KQR45" s="30"/>
      <c r="KQS45" s="31"/>
      <c r="KQT45" s="30"/>
      <c r="KQU45" s="31"/>
      <c r="KQV45" s="30"/>
      <c r="KQW45" s="31"/>
      <c r="KQX45" s="30"/>
      <c r="KQY45" s="31"/>
      <c r="KQZ45" s="30"/>
      <c r="KRA45" s="31"/>
      <c r="KRB45" s="30"/>
      <c r="KRC45" s="31"/>
      <c r="KRD45" s="30"/>
      <c r="KRE45" s="31"/>
      <c r="KRF45" s="30"/>
      <c r="KRG45" s="31"/>
      <c r="KRH45" s="30"/>
      <c r="KRI45" s="31"/>
      <c r="KRJ45" s="30"/>
      <c r="KRK45" s="31"/>
      <c r="KRL45" s="30"/>
      <c r="KRM45" s="31"/>
      <c r="KRN45" s="30"/>
      <c r="KRO45" s="31"/>
      <c r="KRP45" s="30"/>
      <c r="KRQ45" s="31"/>
      <c r="KRR45" s="30"/>
      <c r="KRS45" s="31"/>
      <c r="KRT45" s="30"/>
      <c r="KRU45" s="31"/>
      <c r="KRV45" s="30"/>
      <c r="KRW45" s="31"/>
      <c r="KRX45" s="30"/>
      <c r="KRY45" s="31"/>
      <c r="KRZ45" s="30"/>
      <c r="KSA45" s="31"/>
      <c r="KSB45" s="30"/>
      <c r="KSC45" s="31"/>
      <c r="KSD45" s="30"/>
      <c r="KSE45" s="31"/>
      <c r="KSF45" s="30"/>
      <c r="KSG45" s="31"/>
      <c r="KSH45" s="30"/>
      <c r="KSI45" s="31"/>
      <c r="KSJ45" s="30"/>
      <c r="KSK45" s="31"/>
      <c r="KSL45" s="30"/>
      <c r="KSM45" s="31"/>
      <c r="KSN45" s="30"/>
      <c r="KSO45" s="31"/>
      <c r="KSP45" s="30"/>
      <c r="KSQ45" s="31"/>
      <c r="KSR45" s="30"/>
      <c r="KSS45" s="31"/>
      <c r="KST45" s="30"/>
      <c r="KSU45" s="31"/>
      <c r="KSV45" s="30"/>
      <c r="KSW45" s="31"/>
      <c r="KSX45" s="30"/>
      <c r="KSY45" s="31"/>
      <c r="KSZ45" s="30"/>
      <c r="KTA45" s="31"/>
      <c r="KTB45" s="30"/>
      <c r="KTC45" s="31"/>
      <c r="KTD45" s="30"/>
      <c r="KTE45" s="31"/>
      <c r="KTF45" s="30"/>
      <c r="KTG45" s="31"/>
      <c r="KTH45" s="30"/>
      <c r="KTI45" s="31"/>
      <c r="KTJ45" s="30"/>
      <c r="KTK45" s="31"/>
      <c r="KTL45" s="30"/>
      <c r="KTM45" s="31"/>
      <c r="KTN45" s="30"/>
      <c r="KTO45" s="31"/>
      <c r="KTP45" s="30"/>
      <c r="KTQ45" s="31"/>
      <c r="KTR45" s="30"/>
      <c r="KTS45" s="31"/>
      <c r="KTT45" s="30"/>
      <c r="KTU45" s="31"/>
      <c r="KTV45" s="30"/>
      <c r="KTW45" s="31"/>
      <c r="KTX45" s="30"/>
      <c r="KTY45" s="31"/>
      <c r="KTZ45" s="30"/>
      <c r="KUA45" s="31"/>
      <c r="KUB45" s="30"/>
      <c r="KUC45" s="31"/>
      <c r="KUD45" s="30"/>
      <c r="KUE45" s="31"/>
      <c r="KUF45" s="30"/>
      <c r="KUG45" s="31"/>
      <c r="KUH45" s="30"/>
      <c r="KUI45" s="31"/>
      <c r="KUJ45" s="30"/>
      <c r="KUK45" s="31"/>
      <c r="KUL45" s="30"/>
      <c r="KUM45" s="31"/>
      <c r="KUN45" s="30"/>
      <c r="KUO45" s="31"/>
      <c r="KUP45" s="30"/>
      <c r="KUQ45" s="31"/>
      <c r="KUR45" s="30"/>
      <c r="KUS45" s="31"/>
      <c r="KUT45" s="30"/>
      <c r="KUU45" s="31"/>
      <c r="KUV45" s="30"/>
      <c r="KUW45" s="31"/>
      <c r="KUX45" s="30"/>
      <c r="KUY45" s="31"/>
      <c r="KUZ45" s="30"/>
      <c r="KVA45" s="31"/>
      <c r="KVB45" s="30"/>
      <c r="KVC45" s="31"/>
      <c r="KVD45" s="30"/>
      <c r="KVE45" s="31"/>
      <c r="KVF45" s="30"/>
      <c r="KVG45" s="31"/>
      <c r="KVH45" s="30"/>
      <c r="KVI45" s="31"/>
      <c r="KVJ45" s="30"/>
      <c r="KVK45" s="31"/>
      <c r="KVL45" s="30"/>
      <c r="KVM45" s="31"/>
      <c r="KVN45" s="30"/>
      <c r="KVO45" s="31"/>
      <c r="KVP45" s="30"/>
      <c r="KVQ45" s="31"/>
      <c r="KVR45" s="30"/>
      <c r="KVS45" s="31"/>
      <c r="KVT45" s="30"/>
      <c r="KVU45" s="31"/>
      <c r="KVV45" s="30"/>
      <c r="KVW45" s="31"/>
      <c r="KVX45" s="30"/>
      <c r="KVY45" s="31"/>
      <c r="KVZ45" s="30"/>
      <c r="KWA45" s="31"/>
      <c r="KWB45" s="30"/>
      <c r="KWC45" s="31"/>
      <c r="KWD45" s="30"/>
      <c r="KWE45" s="31"/>
      <c r="KWF45" s="30"/>
      <c r="KWG45" s="31"/>
      <c r="KWH45" s="30"/>
      <c r="KWI45" s="31"/>
      <c r="KWJ45" s="30"/>
      <c r="KWK45" s="31"/>
      <c r="KWL45" s="30"/>
      <c r="KWM45" s="31"/>
      <c r="KWN45" s="30"/>
      <c r="KWO45" s="31"/>
      <c r="KWP45" s="30"/>
      <c r="KWQ45" s="31"/>
      <c r="KWR45" s="30"/>
      <c r="KWS45" s="31"/>
      <c r="KWT45" s="30"/>
      <c r="KWU45" s="31"/>
      <c r="KWV45" s="30"/>
      <c r="KWW45" s="31"/>
      <c r="KWX45" s="30"/>
      <c r="KWY45" s="31"/>
      <c r="KWZ45" s="30"/>
      <c r="KXA45" s="31"/>
      <c r="KXB45" s="30"/>
      <c r="KXC45" s="31"/>
      <c r="KXD45" s="30"/>
      <c r="KXE45" s="31"/>
      <c r="KXF45" s="30"/>
      <c r="KXG45" s="31"/>
      <c r="KXH45" s="30"/>
      <c r="KXI45" s="31"/>
      <c r="KXJ45" s="30"/>
      <c r="KXK45" s="31"/>
      <c r="KXL45" s="30"/>
      <c r="KXM45" s="31"/>
      <c r="KXN45" s="30"/>
      <c r="KXO45" s="31"/>
      <c r="KXP45" s="30"/>
      <c r="KXQ45" s="31"/>
      <c r="KXR45" s="30"/>
      <c r="KXS45" s="31"/>
      <c r="KXT45" s="30"/>
      <c r="KXU45" s="31"/>
      <c r="KXV45" s="30"/>
      <c r="KXW45" s="31"/>
      <c r="KXX45" s="30"/>
      <c r="KXY45" s="31"/>
      <c r="KXZ45" s="30"/>
      <c r="KYA45" s="31"/>
      <c r="KYB45" s="30"/>
      <c r="KYC45" s="31"/>
      <c r="KYD45" s="30"/>
      <c r="KYE45" s="31"/>
      <c r="KYF45" s="30"/>
      <c r="KYG45" s="31"/>
      <c r="KYH45" s="30"/>
      <c r="KYI45" s="31"/>
      <c r="KYJ45" s="30"/>
      <c r="KYK45" s="31"/>
      <c r="KYL45" s="30"/>
      <c r="KYM45" s="31"/>
      <c r="KYN45" s="30"/>
      <c r="KYO45" s="31"/>
      <c r="KYP45" s="30"/>
      <c r="KYQ45" s="31"/>
      <c r="KYR45" s="30"/>
      <c r="KYS45" s="31"/>
      <c r="KYT45" s="30"/>
      <c r="KYU45" s="31"/>
      <c r="KYV45" s="30"/>
      <c r="KYW45" s="31"/>
      <c r="KYX45" s="30"/>
      <c r="KYY45" s="31"/>
      <c r="KYZ45" s="30"/>
      <c r="KZA45" s="31"/>
      <c r="KZB45" s="30"/>
      <c r="KZC45" s="31"/>
      <c r="KZD45" s="30"/>
      <c r="KZE45" s="31"/>
      <c r="KZF45" s="30"/>
      <c r="KZG45" s="31"/>
      <c r="KZH45" s="30"/>
      <c r="KZI45" s="31"/>
      <c r="KZJ45" s="30"/>
      <c r="KZK45" s="31"/>
      <c r="KZL45" s="30"/>
      <c r="KZM45" s="31"/>
      <c r="KZN45" s="30"/>
      <c r="KZO45" s="31"/>
      <c r="KZP45" s="30"/>
      <c r="KZQ45" s="31"/>
      <c r="KZR45" s="30"/>
      <c r="KZS45" s="31"/>
      <c r="KZT45" s="30"/>
      <c r="KZU45" s="31"/>
      <c r="KZV45" s="30"/>
      <c r="KZW45" s="31"/>
      <c r="KZX45" s="30"/>
      <c r="KZY45" s="31"/>
      <c r="KZZ45" s="30"/>
      <c r="LAA45" s="31"/>
      <c r="LAB45" s="30"/>
      <c r="LAC45" s="31"/>
      <c r="LAD45" s="30"/>
      <c r="LAE45" s="31"/>
      <c r="LAF45" s="30"/>
      <c r="LAG45" s="31"/>
      <c r="LAH45" s="30"/>
      <c r="LAI45" s="31"/>
      <c r="LAJ45" s="30"/>
      <c r="LAK45" s="31"/>
      <c r="LAL45" s="30"/>
      <c r="LAM45" s="31"/>
      <c r="LAN45" s="30"/>
      <c r="LAO45" s="31"/>
      <c r="LAP45" s="30"/>
      <c r="LAQ45" s="31"/>
      <c r="LAR45" s="30"/>
      <c r="LAS45" s="31"/>
      <c r="LAT45" s="30"/>
      <c r="LAU45" s="31"/>
      <c r="LAV45" s="30"/>
      <c r="LAW45" s="31"/>
      <c r="LAX45" s="30"/>
      <c r="LAY45" s="31"/>
      <c r="LAZ45" s="30"/>
      <c r="LBA45" s="31"/>
      <c r="LBB45" s="30"/>
      <c r="LBC45" s="31"/>
      <c r="LBD45" s="30"/>
      <c r="LBE45" s="31"/>
      <c r="LBF45" s="30"/>
      <c r="LBG45" s="31"/>
      <c r="LBH45" s="30"/>
      <c r="LBI45" s="31"/>
      <c r="LBJ45" s="30"/>
      <c r="LBK45" s="31"/>
      <c r="LBL45" s="30"/>
      <c r="LBM45" s="31"/>
      <c r="LBN45" s="30"/>
      <c r="LBO45" s="31"/>
      <c r="LBP45" s="30"/>
      <c r="LBQ45" s="31"/>
      <c r="LBR45" s="30"/>
      <c r="LBS45" s="31"/>
      <c r="LBT45" s="30"/>
      <c r="LBU45" s="31"/>
      <c r="LBV45" s="30"/>
      <c r="LBW45" s="31"/>
      <c r="LBX45" s="30"/>
      <c r="LBY45" s="31"/>
      <c r="LBZ45" s="30"/>
      <c r="LCA45" s="31"/>
      <c r="LCB45" s="30"/>
      <c r="LCC45" s="31"/>
      <c r="LCD45" s="30"/>
      <c r="LCE45" s="31"/>
      <c r="LCF45" s="30"/>
      <c r="LCG45" s="31"/>
      <c r="LCH45" s="30"/>
      <c r="LCI45" s="31"/>
      <c r="LCJ45" s="30"/>
      <c r="LCK45" s="31"/>
      <c r="LCL45" s="30"/>
      <c r="LCM45" s="31"/>
      <c r="LCN45" s="30"/>
      <c r="LCO45" s="31"/>
      <c r="LCP45" s="30"/>
      <c r="LCQ45" s="31"/>
      <c r="LCR45" s="30"/>
      <c r="LCS45" s="31"/>
      <c r="LCT45" s="30"/>
      <c r="LCU45" s="31"/>
      <c r="LCV45" s="30"/>
      <c r="LCW45" s="31"/>
      <c r="LCX45" s="30"/>
      <c r="LCY45" s="31"/>
      <c r="LCZ45" s="30"/>
      <c r="LDA45" s="31"/>
      <c r="LDB45" s="30"/>
      <c r="LDC45" s="31"/>
      <c r="LDD45" s="30"/>
      <c r="LDE45" s="31"/>
      <c r="LDF45" s="30"/>
      <c r="LDG45" s="31"/>
      <c r="LDH45" s="30"/>
      <c r="LDI45" s="31"/>
      <c r="LDJ45" s="30"/>
      <c r="LDK45" s="31"/>
      <c r="LDL45" s="30"/>
      <c r="LDM45" s="31"/>
      <c r="LDN45" s="30"/>
      <c r="LDO45" s="31"/>
      <c r="LDP45" s="30"/>
      <c r="LDQ45" s="31"/>
      <c r="LDR45" s="30"/>
      <c r="LDS45" s="31"/>
      <c r="LDT45" s="30"/>
      <c r="LDU45" s="31"/>
      <c r="LDV45" s="30"/>
      <c r="LDW45" s="31"/>
      <c r="LDX45" s="30"/>
      <c r="LDY45" s="31"/>
      <c r="LDZ45" s="30"/>
      <c r="LEA45" s="31"/>
      <c r="LEB45" s="30"/>
      <c r="LEC45" s="31"/>
      <c r="LED45" s="30"/>
      <c r="LEE45" s="31"/>
      <c r="LEF45" s="30"/>
      <c r="LEG45" s="31"/>
      <c r="LEH45" s="30"/>
      <c r="LEI45" s="31"/>
      <c r="LEJ45" s="30"/>
      <c r="LEK45" s="31"/>
      <c r="LEL45" s="30"/>
      <c r="LEM45" s="31"/>
      <c r="LEN45" s="30"/>
      <c r="LEO45" s="31"/>
      <c r="LEP45" s="30"/>
      <c r="LEQ45" s="31"/>
      <c r="LER45" s="30"/>
      <c r="LES45" s="31"/>
      <c r="LET45" s="30"/>
      <c r="LEU45" s="31"/>
      <c r="LEV45" s="30"/>
      <c r="LEW45" s="31"/>
      <c r="LEX45" s="30"/>
      <c r="LEY45" s="31"/>
      <c r="LEZ45" s="30"/>
      <c r="LFA45" s="31"/>
      <c r="LFB45" s="30"/>
      <c r="LFC45" s="31"/>
      <c r="LFD45" s="30"/>
      <c r="LFE45" s="31"/>
      <c r="LFF45" s="30"/>
      <c r="LFG45" s="31"/>
      <c r="LFH45" s="30"/>
      <c r="LFI45" s="31"/>
      <c r="LFJ45" s="30"/>
      <c r="LFK45" s="31"/>
      <c r="LFL45" s="30"/>
      <c r="LFM45" s="31"/>
      <c r="LFN45" s="30"/>
      <c r="LFO45" s="31"/>
      <c r="LFP45" s="30"/>
      <c r="LFQ45" s="31"/>
      <c r="LFR45" s="30"/>
      <c r="LFS45" s="31"/>
      <c r="LFT45" s="30"/>
      <c r="LFU45" s="31"/>
      <c r="LFV45" s="30"/>
      <c r="LFW45" s="31"/>
      <c r="LFX45" s="30"/>
      <c r="LFY45" s="31"/>
      <c r="LFZ45" s="30"/>
      <c r="LGA45" s="31"/>
      <c r="LGB45" s="30"/>
      <c r="LGC45" s="31"/>
      <c r="LGD45" s="30"/>
      <c r="LGE45" s="31"/>
      <c r="LGF45" s="30"/>
      <c r="LGG45" s="31"/>
      <c r="LGH45" s="30"/>
      <c r="LGI45" s="31"/>
      <c r="LGJ45" s="30"/>
      <c r="LGK45" s="31"/>
      <c r="LGL45" s="30"/>
      <c r="LGM45" s="31"/>
      <c r="LGN45" s="30"/>
      <c r="LGO45" s="31"/>
      <c r="LGP45" s="30"/>
      <c r="LGQ45" s="31"/>
      <c r="LGR45" s="30"/>
      <c r="LGS45" s="31"/>
      <c r="LGT45" s="30"/>
      <c r="LGU45" s="31"/>
      <c r="LGV45" s="30"/>
      <c r="LGW45" s="31"/>
      <c r="LGX45" s="30"/>
      <c r="LGY45" s="31"/>
      <c r="LGZ45" s="30"/>
      <c r="LHA45" s="31"/>
      <c r="LHB45" s="30"/>
      <c r="LHC45" s="31"/>
      <c r="LHD45" s="30"/>
      <c r="LHE45" s="31"/>
      <c r="LHF45" s="30"/>
      <c r="LHG45" s="31"/>
      <c r="LHH45" s="30"/>
      <c r="LHI45" s="31"/>
      <c r="LHJ45" s="30"/>
      <c r="LHK45" s="31"/>
      <c r="LHL45" s="30"/>
      <c r="LHM45" s="31"/>
      <c r="LHN45" s="30"/>
      <c r="LHO45" s="31"/>
      <c r="LHP45" s="30"/>
      <c r="LHQ45" s="31"/>
      <c r="LHR45" s="30"/>
      <c r="LHS45" s="31"/>
      <c r="LHT45" s="30"/>
      <c r="LHU45" s="31"/>
      <c r="LHV45" s="30"/>
      <c r="LHW45" s="31"/>
      <c r="LHX45" s="30"/>
      <c r="LHY45" s="31"/>
      <c r="LHZ45" s="30"/>
      <c r="LIA45" s="31"/>
      <c r="LIB45" s="30"/>
      <c r="LIC45" s="31"/>
      <c r="LID45" s="30"/>
      <c r="LIE45" s="31"/>
      <c r="LIF45" s="30"/>
      <c r="LIG45" s="31"/>
      <c r="LIH45" s="30"/>
      <c r="LII45" s="31"/>
      <c r="LIJ45" s="30"/>
      <c r="LIK45" s="31"/>
      <c r="LIL45" s="30"/>
      <c r="LIM45" s="31"/>
      <c r="LIN45" s="30"/>
      <c r="LIO45" s="31"/>
      <c r="LIP45" s="30"/>
      <c r="LIQ45" s="31"/>
      <c r="LIR45" s="30"/>
      <c r="LIS45" s="31"/>
      <c r="LIT45" s="30"/>
      <c r="LIU45" s="31"/>
      <c r="LIV45" s="30"/>
      <c r="LIW45" s="31"/>
      <c r="LIX45" s="30"/>
      <c r="LIY45" s="31"/>
      <c r="LIZ45" s="30"/>
      <c r="LJA45" s="31"/>
      <c r="LJB45" s="30"/>
      <c r="LJC45" s="31"/>
      <c r="LJD45" s="30"/>
      <c r="LJE45" s="31"/>
      <c r="LJF45" s="30"/>
      <c r="LJG45" s="31"/>
      <c r="LJH45" s="30"/>
      <c r="LJI45" s="31"/>
      <c r="LJJ45" s="30"/>
      <c r="LJK45" s="31"/>
      <c r="LJL45" s="30"/>
      <c r="LJM45" s="31"/>
      <c r="LJN45" s="30"/>
      <c r="LJO45" s="31"/>
      <c r="LJP45" s="30"/>
      <c r="LJQ45" s="31"/>
      <c r="LJR45" s="30"/>
      <c r="LJS45" s="31"/>
      <c r="LJT45" s="30"/>
      <c r="LJU45" s="31"/>
      <c r="LJV45" s="30"/>
      <c r="LJW45" s="31"/>
      <c r="LJX45" s="30"/>
      <c r="LJY45" s="31"/>
      <c r="LJZ45" s="30"/>
      <c r="LKA45" s="31"/>
      <c r="LKB45" s="30"/>
      <c r="LKC45" s="31"/>
      <c r="LKD45" s="30"/>
      <c r="LKE45" s="31"/>
      <c r="LKF45" s="30"/>
      <c r="LKG45" s="31"/>
      <c r="LKH45" s="30"/>
      <c r="LKI45" s="31"/>
      <c r="LKJ45" s="30"/>
      <c r="LKK45" s="31"/>
      <c r="LKL45" s="30"/>
      <c r="LKM45" s="31"/>
      <c r="LKN45" s="30"/>
      <c r="LKO45" s="31"/>
      <c r="LKP45" s="30"/>
      <c r="LKQ45" s="31"/>
      <c r="LKR45" s="30"/>
      <c r="LKS45" s="31"/>
      <c r="LKT45" s="30"/>
      <c r="LKU45" s="31"/>
      <c r="LKV45" s="30"/>
      <c r="LKW45" s="31"/>
      <c r="LKX45" s="30"/>
      <c r="LKY45" s="31"/>
      <c r="LKZ45" s="30"/>
      <c r="LLA45" s="31"/>
      <c r="LLB45" s="30"/>
      <c r="LLC45" s="31"/>
      <c r="LLD45" s="30"/>
      <c r="LLE45" s="31"/>
      <c r="LLF45" s="30"/>
      <c r="LLG45" s="31"/>
      <c r="LLH45" s="30"/>
      <c r="LLI45" s="31"/>
      <c r="LLJ45" s="30"/>
      <c r="LLK45" s="31"/>
      <c r="LLL45" s="30"/>
      <c r="LLM45" s="31"/>
      <c r="LLN45" s="30"/>
      <c r="LLO45" s="31"/>
      <c r="LLP45" s="30"/>
      <c r="LLQ45" s="31"/>
      <c r="LLR45" s="30"/>
      <c r="LLS45" s="31"/>
      <c r="LLT45" s="30"/>
      <c r="LLU45" s="31"/>
      <c r="LLV45" s="30"/>
      <c r="LLW45" s="31"/>
      <c r="LLX45" s="30"/>
      <c r="LLY45" s="31"/>
      <c r="LLZ45" s="30"/>
      <c r="LMA45" s="31"/>
      <c r="LMB45" s="30"/>
      <c r="LMC45" s="31"/>
      <c r="LMD45" s="30"/>
      <c r="LME45" s="31"/>
      <c r="LMF45" s="30"/>
      <c r="LMG45" s="31"/>
      <c r="LMH45" s="30"/>
      <c r="LMI45" s="31"/>
      <c r="LMJ45" s="30"/>
      <c r="LMK45" s="31"/>
      <c r="LML45" s="30"/>
      <c r="LMM45" s="31"/>
      <c r="LMN45" s="30"/>
      <c r="LMO45" s="31"/>
      <c r="LMP45" s="30"/>
      <c r="LMQ45" s="31"/>
      <c r="LMR45" s="30"/>
      <c r="LMS45" s="31"/>
      <c r="LMT45" s="30"/>
      <c r="LMU45" s="31"/>
      <c r="LMV45" s="30"/>
      <c r="LMW45" s="31"/>
      <c r="LMX45" s="30"/>
      <c r="LMY45" s="31"/>
      <c r="LMZ45" s="30"/>
      <c r="LNA45" s="31"/>
      <c r="LNB45" s="30"/>
      <c r="LNC45" s="31"/>
      <c r="LND45" s="30"/>
      <c r="LNE45" s="31"/>
      <c r="LNF45" s="30"/>
      <c r="LNG45" s="31"/>
      <c r="LNH45" s="30"/>
      <c r="LNI45" s="31"/>
      <c r="LNJ45" s="30"/>
      <c r="LNK45" s="31"/>
      <c r="LNL45" s="30"/>
      <c r="LNM45" s="31"/>
      <c r="LNN45" s="30"/>
      <c r="LNO45" s="31"/>
      <c r="LNP45" s="30"/>
      <c r="LNQ45" s="31"/>
      <c r="LNR45" s="30"/>
      <c r="LNS45" s="31"/>
      <c r="LNT45" s="30"/>
      <c r="LNU45" s="31"/>
      <c r="LNV45" s="30"/>
      <c r="LNW45" s="31"/>
      <c r="LNX45" s="30"/>
      <c r="LNY45" s="31"/>
      <c r="LNZ45" s="30"/>
      <c r="LOA45" s="31"/>
      <c r="LOB45" s="30"/>
      <c r="LOC45" s="31"/>
      <c r="LOD45" s="30"/>
      <c r="LOE45" s="31"/>
      <c r="LOF45" s="30"/>
      <c r="LOG45" s="31"/>
      <c r="LOH45" s="30"/>
      <c r="LOI45" s="31"/>
      <c r="LOJ45" s="30"/>
      <c r="LOK45" s="31"/>
      <c r="LOL45" s="30"/>
      <c r="LOM45" s="31"/>
      <c r="LON45" s="30"/>
      <c r="LOO45" s="31"/>
      <c r="LOP45" s="30"/>
      <c r="LOQ45" s="31"/>
      <c r="LOR45" s="30"/>
      <c r="LOS45" s="31"/>
      <c r="LOT45" s="30"/>
      <c r="LOU45" s="31"/>
      <c r="LOV45" s="30"/>
      <c r="LOW45" s="31"/>
      <c r="LOX45" s="30"/>
      <c r="LOY45" s="31"/>
      <c r="LOZ45" s="30"/>
      <c r="LPA45" s="31"/>
      <c r="LPB45" s="30"/>
      <c r="LPC45" s="31"/>
      <c r="LPD45" s="30"/>
      <c r="LPE45" s="31"/>
      <c r="LPF45" s="30"/>
      <c r="LPG45" s="31"/>
      <c r="LPH45" s="30"/>
      <c r="LPI45" s="31"/>
      <c r="LPJ45" s="30"/>
      <c r="LPK45" s="31"/>
      <c r="LPL45" s="30"/>
      <c r="LPM45" s="31"/>
      <c r="LPN45" s="30"/>
      <c r="LPO45" s="31"/>
      <c r="LPP45" s="30"/>
      <c r="LPQ45" s="31"/>
      <c r="LPR45" s="30"/>
      <c r="LPS45" s="31"/>
      <c r="LPT45" s="30"/>
      <c r="LPU45" s="31"/>
      <c r="LPV45" s="30"/>
      <c r="LPW45" s="31"/>
      <c r="LPX45" s="30"/>
      <c r="LPY45" s="31"/>
      <c r="LPZ45" s="30"/>
      <c r="LQA45" s="31"/>
      <c r="LQB45" s="30"/>
      <c r="LQC45" s="31"/>
      <c r="LQD45" s="30"/>
      <c r="LQE45" s="31"/>
      <c r="LQF45" s="30"/>
      <c r="LQG45" s="31"/>
      <c r="LQH45" s="30"/>
      <c r="LQI45" s="31"/>
      <c r="LQJ45" s="30"/>
      <c r="LQK45" s="31"/>
      <c r="LQL45" s="30"/>
      <c r="LQM45" s="31"/>
      <c r="LQN45" s="30"/>
      <c r="LQO45" s="31"/>
      <c r="LQP45" s="30"/>
      <c r="LQQ45" s="31"/>
      <c r="LQR45" s="30"/>
      <c r="LQS45" s="31"/>
      <c r="LQT45" s="30"/>
      <c r="LQU45" s="31"/>
      <c r="LQV45" s="30"/>
      <c r="LQW45" s="31"/>
      <c r="LQX45" s="30"/>
      <c r="LQY45" s="31"/>
      <c r="LQZ45" s="30"/>
      <c r="LRA45" s="31"/>
      <c r="LRB45" s="30"/>
      <c r="LRC45" s="31"/>
      <c r="LRD45" s="30"/>
      <c r="LRE45" s="31"/>
      <c r="LRF45" s="30"/>
      <c r="LRG45" s="31"/>
      <c r="LRH45" s="30"/>
      <c r="LRI45" s="31"/>
      <c r="LRJ45" s="30"/>
      <c r="LRK45" s="31"/>
      <c r="LRL45" s="30"/>
      <c r="LRM45" s="31"/>
      <c r="LRN45" s="30"/>
      <c r="LRO45" s="31"/>
      <c r="LRP45" s="30"/>
      <c r="LRQ45" s="31"/>
      <c r="LRR45" s="30"/>
      <c r="LRS45" s="31"/>
      <c r="LRT45" s="30"/>
      <c r="LRU45" s="31"/>
      <c r="LRV45" s="30"/>
      <c r="LRW45" s="31"/>
      <c r="LRX45" s="30"/>
      <c r="LRY45" s="31"/>
      <c r="LRZ45" s="30"/>
      <c r="LSA45" s="31"/>
      <c r="LSB45" s="30"/>
      <c r="LSC45" s="31"/>
      <c r="LSD45" s="30"/>
      <c r="LSE45" s="31"/>
      <c r="LSF45" s="30"/>
      <c r="LSG45" s="31"/>
      <c r="LSH45" s="30"/>
      <c r="LSI45" s="31"/>
      <c r="LSJ45" s="30"/>
      <c r="LSK45" s="31"/>
      <c r="LSL45" s="30"/>
      <c r="LSM45" s="31"/>
      <c r="LSN45" s="30"/>
      <c r="LSO45" s="31"/>
      <c r="LSP45" s="30"/>
      <c r="LSQ45" s="31"/>
      <c r="LSR45" s="30"/>
      <c r="LSS45" s="31"/>
      <c r="LST45" s="30"/>
      <c r="LSU45" s="31"/>
      <c r="LSV45" s="30"/>
      <c r="LSW45" s="31"/>
      <c r="LSX45" s="30"/>
      <c r="LSY45" s="31"/>
      <c r="LSZ45" s="30"/>
      <c r="LTA45" s="31"/>
      <c r="LTB45" s="30"/>
      <c r="LTC45" s="31"/>
      <c r="LTD45" s="30"/>
      <c r="LTE45" s="31"/>
      <c r="LTF45" s="30"/>
      <c r="LTG45" s="31"/>
      <c r="LTH45" s="30"/>
      <c r="LTI45" s="31"/>
      <c r="LTJ45" s="30"/>
      <c r="LTK45" s="31"/>
      <c r="LTL45" s="30"/>
      <c r="LTM45" s="31"/>
      <c r="LTN45" s="30"/>
      <c r="LTO45" s="31"/>
      <c r="LTP45" s="30"/>
      <c r="LTQ45" s="31"/>
      <c r="LTR45" s="30"/>
      <c r="LTS45" s="31"/>
      <c r="LTT45" s="30"/>
      <c r="LTU45" s="31"/>
      <c r="LTV45" s="30"/>
      <c r="LTW45" s="31"/>
      <c r="LTX45" s="30"/>
      <c r="LTY45" s="31"/>
      <c r="LTZ45" s="30"/>
      <c r="LUA45" s="31"/>
      <c r="LUB45" s="30"/>
      <c r="LUC45" s="31"/>
      <c r="LUD45" s="30"/>
      <c r="LUE45" s="31"/>
      <c r="LUF45" s="30"/>
      <c r="LUG45" s="31"/>
      <c r="LUH45" s="30"/>
      <c r="LUI45" s="31"/>
      <c r="LUJ45" s="30"/>
      <c r="LUK45" s="31"/>
      <c r="LUL45" s="30"/>
      <c r="LUM45" s="31"/>
      <c r="LUN45" s="30"/>
      <c r="LUO45" s="31"/>
      <c r="LUP45" s="30"/>
      <c r="LUQ45" s="31"/>
      <c r="LUR45" s="30"/>
      <c r="LUS45" s="31"/>
      <c r="LUT45" s="30"/>
      <c r="LUU45" s="31"/>
      <c r="LUV45" s="30"/>
      <c r="LUW45" s="31"/>
      <c r="LUX45" s="30"/>
      <c r="LUY45" s="31"/>
      <c r="LUZ45" s="30"/>
      <c r="LVA45" s="31"/>
      <c r="LVB45" s="30"/>
      <c r="LVC45" s="31"/>
      <c r="LVD45" s="30"/>
      <c r="LVE45" s="31"/>
      <c r="LVF45" s="30"/>
      <c r="LVG45" s="31"/>
      <c r="LVH45" s="30"/>
      <c r="LVI45" s="31"/>
      <c r="LVJ45" s="30"/>
      <c r="LVK45" s="31"/>
      <c r="LVL45" s="30"/>
      <c r="LVM45" s="31"/>
      <c r="LVN45" s="30"/>
      <c r="LVO45" s="31"/>
      <c r="LVP45" s="30"/>
      <c r="LVQ45" s="31"/>
      <c r="LVR45" s="30"/>
      <c r="LVS45" s="31"/>
      <c r="LVT45" s="30"/>
      <c r="LVU45" s="31"/>
      <c r="LVV45" s="30"/>
      <c r="LVW45" s="31"/>
      <c r="LVX45" s="30"/>
      <c r="LVY45" s="31"/>
      <c r="LVZ45" s="30"/>
      <c r="LWA45" s="31"/>
      <c r="LWB45" s="30"/>
      <c r="LWC45" s="31"/>
      <c r="LWD45" s="30"/>
      <c r="LWE45" s="31"/>
      <c r="LWF45" s="30"/>
      <c r="LWG45" s="31"/>
      <c r="LWH45" s="30"/>
      <c r="LWI45" s="31"/>
      <c r="LWJ45" s="30"/>
      <c r="LWK45" s="31"/>
      <c r="LWL45" s="30"/>
      <c r="LWM45" s="31"/>
      <c r="LWN45" s="30"/>
      <c r="LWO45" s="31"/>
      <c r="LWP45" s="30"/>
      <c r="LWQ45" s="31"/>
      <c r="LWR45" s="30"/>
      <c r="LWS45" s="31"/>
      <c r="LWT45" s="30"/>
      <c r="LWU45" s="31"/>
      <c r="LWV45" s="30"/>
      <c r="LWW45" s="31"/>
      <c r="LWX45" s="30"/>
      <c r="LWY45" s="31"/>
      <c r="LWZ45" s="30"/>
      <c r="LXA45" s="31"/>
      <c r="LXB45" s="30"/>
      <c r="LXC45" s="31"/>
      <c r="LXD45" s="30"/>
      <c r="LXE45" s="31"/>
      <c r="LXF45" s="30"/>
      <c r="LXG45" s="31"/>
      <c r="LXH45" s="30"/>
      <c r="LXI45" s="31"/>
      <c r="LXJ45" s="30"/>
      <c r="LXK45" s="31"/>
      <c r="LXL45" s="30"/>
      <c r="LXM45" s="31"/>
      <c r="LXN45" s="30"/>
      <c r="LXO45" s="31"/>
      <c r="LXP45" s="30"/>
      <c r="LXQ45" s="31"/>
      <c r="LXR45" s="30"/>
      <c r="LXS45" s="31"/>
      <c r="LXT45" s="30"/>
      <c r="LXU45" s="31"/>
      <c r="LXV45" s="30"/>
      <c r="LXW45" s="31"/>
      <c r="LXX45" s="30"/>
      <c r="LXY45" s="31"/>
      <c r="LXZ45" s="30"/>
      <c r="LYA45" s="31"/>
      <c r="LYB45" s="30"/>
      <c r="LYC45" s="31"/>
      <c r="LYD45" s="30"/>
      <c r="LYE45" s="31"/>
      <c r="LYF45" s="30"/>
      <c r="LYG45" s="31"/>
      <c r="LYH45" s="30"/>
      <c r="LYI45" s="31"/>
      <c r="LYJ45" s="30"/>
      <c r="LYK45" s="31"/>
      <c r="LYL45" s="30"/>
      <c r="LYM45" s="31"/>
      <c r="LYN45" s="30"/>
      <c r="LYO45" s="31"/>
      <c r="LYP45" s="30"/>
      <c r="LYQ45" s="31"/>
      <c r="LYR45" s="30"/>
      <c r="LYS45" s="31"/>
      <c r="LYT45" s="30"/>
      <c r="LYU45" s="31"/>
      <c r="LYV45" s="30"/>
      <c r="LYW45" s="31"/>
      <c r="LYX45" s="30"/>
      <c r="LYY45" s="31"/>
      <c r="LYZ45" s="30"/>
      <c r="LZA45" s="31"/>
      <c r="LZB45" s="30"/>
      <c r="LZC45" s="31"/>
      <c r="LZD45" s="30"/>
      <c r="LZE45" s="31"/>
      <c r="LZF45" s="30"/>
      <c r="LZG45" s="31"/>
      <c r="LZH45" s="30"/>
      <c r="LZI45" s="31"/>
      <c r="LZJ45" s="30"/>
      <c r="LZK45" s="31"/>
      <c r="LZL45" s="30"/>
      <c r="LZM45" s="31"/>
      <c r="LZN45" s="30"/>
      <c r="LZO45" s="31"/>
      <c r="LZP45" s="30"/>
      <c r="LZQ45" s="31"/>
      <c r="LZR45" s="30"/>
      <c r="LZS45" s="31"/>
      <c r="LZT45" s="30"/>
      <c r="LZU45" s="31"/>
      <c r="LZV45" s="30"/>
      <c r="LZW45" s="31"/>
      <c r="LZX45" s="30"/>
      <c r="LZY45" s="31"/>
      <c r="LZZ45" s="30"/>
      <c r="MAA45" s="31"/>
      <c r="MAB45" s="30"/>
      <c r="MAC45" s="31"/>
      <c r="MAD45" s="30"/>
      <c r="MAE45" s="31"/>
      <c r="MAF45" s="30"/>
      <c r="MAG45" s="31"/>
      <c r="MAH45" s="30"/>
      <c r="MAI45" s="31"/>
      <c r="MAJ45" s="30"/>
      <c r="MAK45" s="31"/>
      <c r="MAL45" s="30"/>
      <c r="MAM45" s="31"/>
      <c r="MAN45" s="30"/>
      <c r="MAO45" s="31"/>
      <c r="MAP45" s="30"/>
      <c r="MAQ45" s="31"/>
      <c r="MAR45" s="30"/>
      <c r="MAS45" s="31"/>
      <c r="MAT45" s="30"/>
      <c r="MAU45" s="31"/>
      <c r="MAV45" s="30"/>
      <c r="MAW45" s="31"/>
      <c r="MAX45" s="30"/>
      <c r="MAY45" s="31"/>
      <c r="MAZ45" s="30"/>
      <c r="MBA45" s="31"/>
      <c r="MBB45" s="30"/>
      <c r="MBC45" s="31"/>
      <c r="MBD45" s="30"/>
      <c r="MBE45" s="31"/>
      <c r="MBF45" s="30"/>
      <c r="MBG45" s="31"/>
      <c r="MBH45" s="30"/>
      <c r="MBI45" s="31"/>
      <c r="MBJ45" s="30"/>
      <c r="MBK45" s="31"/>
      <c r="MBL45" s="30"/>
      <c r="MBM45" s="31"/>
      <c r="MBN45" s="30"/>
      <c r="MBO45" s="31"/>
      <c r="MBP45" s="30"/>
      <c r="MBQ45" s="31"/>
      <c r="MBR45" s="30"/>
      <c r="MBS45" s="31"/>
      <c r="MBT45" s="30"/>
      <c r="MBU45" s="31"/>
      <c r="MBV45" s="30"/>
      <c r="MBW45" s="31"/>
      <c r="MBX45" s="30"/>
      <c r="MBY45" s="31"/>
      <c r="MBZ45" s="30"/>
      <c r="MCA45" s="31"/>
      <c r="MCB45" s="30"/>
      <c r="MCC45" s="31"/>
      <c r="MCD45" s="30"/>
      <c r="MCE45" s="31"/>
      <c r="MCF45" s="30"/>
      <c r="MCG45" s="31"/>
      <c r="MCH45" s="30"/>
      <c r="MCI45" s="31"/>
      <c r="MCJ45" s="30"/>
      <c r="MCK45" s="31"/>
      <c r="MCL45" s="30"/>
      <c r="MCM45" s="31"/>
      <c r="MCN45" s="30"/>
      <c r="MCO45" s="31"/>
      <c r="MCP45" s="30"/>
      <c r="MCQ45" s="31"/>
      <c r="MCR45" s="30"/>
      <c r="MCS45" s="31"/>
      <c r="MCT45" s="30"/>
      <c r="MCU45" s="31"/>
      <c r="MCV45" s="30"/>
      <c r="MCW45" s="31"/>
      <c r="MCX45" s="30"/>
      <c r="MCY45" s="31"/>
      <c r="MCZ45" s="30"/>
      <c r="MDA45" s="31"/>
      <c r="MDB45" s="30"/>
      <c r="MDC45" s="31"/>
      <c r="MDD45" s="30"/>
      <c r="MDE45" s="31"/>
      <c r="MDF45" s="30"/>
      <c r="MDG45" s="31"/>
      <c r="MDH45" s="30"/>
      <c r="MDI45" s="31"/>
      <c r="MDJ45" s="30"/>
      <c r="MDK45" s="31"/>
      <c r="MDL45" s="30"/>
      <c r="MDM45" s="31"/>
      <c r="MDN45" s="30"/>
      <c r="MDO45" s="31"/>
      <c r="MDP45" s="30"/>
      <c r="MDQ45" s="31"/>
      <c r="MDR45" s="30"/>
      <c r="MDS45" s="31"/>
      <c r="MDT45" s="30"/>
      <c r="MDU45" s="31"/>
      <c r="MDV45" s="30"/>
      <c r="MDW45" s="31"/>
      <c r="MDX45" s="30"/>
      <c r="MDY45" s="31"/>
      <c r="MDZ45" s="30"/>
      <c r="MEA45" s="31"/>
      <c r="MEB45" s="30"/>
      <c r="MEC45" s="31"/>
      <c r="MED45" s="30"/>
      <c r="MEE45" s="31"/>
      <c r="MEF45" s="30"/>
      <c r="MEG45" s="31"/>
      <c r="MEH45" s="30"/>
      <c r="MEI45" s="31"/>
      <c r="MEJ45" s="30"/>
      <c r="MEK45" s="31"/>
      <c r="MEL45" s="30"/>
      <c r="MEM45" s="31"/>
      <c r="MEN45" s="30"/>
      <c r="MEO45" s="31"/>
      <c r="MEP45" s="30"/>
      <c r="MEQ45" s="31"/>
      <c r="MER45" s="30"/>
      <c r="MES45" s="31"/>
      <c r="MET45" s="30"/>
      <c r="MEU45" s="31"/>
      <c r="MEV45" s="30"/>
      <c r="MEW45" s="31"/>
      <c r="MEX45" s="30"/>
      <c r="MEY45" s="31"/>
      <c r="MEZ45" s="30"/>
      <c r="MFA45" s="31"/>
      <c r="MFB45" s="30"/>
      <c r="MFC45" s="31"/>
      <c r="MFD45" s="30"/>
      <c r="MFE45" s="31"/>
      <c r="MFF45" s="30"/>
      <c r="MFG45" s="31"/>
      <c r="MFH45" s="30"/>
      <c r="MFI45" s="31"/>
      <c r="MFJ45" s="30"/>
      <c r="MFK45" s="31"/>
      <c r="MFL45" s="30"/>
      <c r="MFM45" s="31"/>
      <c r="MFN45" s="30"/>
      <c r="MFO45" s="31"/>
      <c r="MFP45" s="30"/>
      <c r="MFQ45" s="31"/>
      <c r="MFR45" s="30"/>
      <c r="MFS45" s="31"/>
      <c r="MFT45" s="30"/>
      <c r="MFU45" s="31"/>
      <c r="MFV45" s="30"/>
      <c r="MFW45" s="31"/>
      <c r="MFX45" s="30"/>
      <c r="MFY45" s="31"/>
      <c r="MFZ45" s="30"/>
      <c r="MGA45" s="31"/>
      <c r="MGB45" s="30"/>
      <c r="MGC45" s="31"/>
      <c r="MGD45" s="30"/>
      <c r="MGE45" s="31"/>
      <c r="MGF45" s="30"/>
      <c r="MGG45" s="31"/>
      <c r="MGH45" s="30"/>
      <c r="MGI45" s="31"/>
      <c r="MGJ45" s="30"/>
      <c r="MGK45" s="31"/>
      <c r="MGL45" s="30"/>
      <c r="MGM45" s="31"/>
      <c r="MGN45" s="30"/>
      <c r="MGO45" s="31"/>
      <c r="MGP45" s="30"/>
      <c r="MGQ45" s="31"/>
      <c r="MGR45" s="30"/>
      <c r="MGS45" s="31"/>
      <c r="MGT45" s="30"/>
      <c r="MGU45" s="31"/>
      <c r="MGV45" s="30"/>
      <c r="MGW45" s="31"/>
      <c r="MGX45" s="30"/>
      <c r="MGY45" s="31"/>
      <c r="MGZ45" s="30"/>
      <c r="MHA45" s="31"/>
      <c r="MHB45" s="30"/>
      <c r="MHC45" s="31"/>
      <c r="MHD45" s="30"/>
      <c r="MHE45" s="31"/>
      <c r="MHF45" s="30"/>
      <c r="MHG45" s="31"/>
      <c r="MHH45" s="30"/>
      <c r="MHI45" s="31"/>
      <c r="MHJ45" s="30"/>
      <c r="MHK45" s="31"/>
      <c r="MHL45" s="30"/>
      <c r="MHM45" s="31"/>
      <c r="MHN45" s="30"/>
      <c r="MHO45" s="31"/>
      <c r="MHP45" s="30"/>
      <c r="MHQ45" s="31"/>
      <c r="MHR45" s="30"/>
      <c r="MHS45" s="31"/>
      <c r="MHT45" s="30"/>
      <c r="MHU45" s="31"/>
      <c r="MHV45" s="30"/>
      <c r="MHW45" s="31"/>
      <c r="MHX45" s="30"/>
      <c r="MHY45" s="31"/>
      <c r="MHZ45" s="30"/>
      <c r="MIA45" s="31"/>
      <c r="MIB45" s="30"/>
      <c r="MIC45" s="31"/>
      <c r="MID45" s="30"/>
      <c r="MIE45" s="31"/>
      <c r="MIF45" s="30"/>
      <c r="MIG45" s="31"/>
      <c r="MIH45" s="30"/>
      <c r="MII45" s="31"/>
      <c r="MIJ45" s="30"/>
      <c r="MIK45" s="31"/>
      <c r="MIL45" s="30"/>
      <c r="MIM45" s="31"/>
      <c r="MIN45" s="30"/>
      <c r="MIO45" s="31"/>
      <c r="MIP45" s="30"/>
      <c r="MIQ45" s="31"/>
      <c r="MIR45" s="30"/>
      <c r="MIS45" s="31"/>
      <c r="MIT45" s="30"/>
      <c r="MIU45" s="31"/>
      <c r="MIV45" s="30"/>
      <c r="MIW45" s="31"/>
      <c r="MIX45" s="30"/>
      <c r="MIY45" s="31"/>
      <c r="MIZ45" s="30"/>
      <c r="MJA45" s="31"/>
      <c r="MJB45" s="30"/>
      <c r="MJC45" s="31"/>
      <c r="MJD45" s="30"/>
      <c r="MJE45" s="31"/>
      <c r="MJF45" s="30"/>
      <c r="MJG45" s="31"/>
      <c r="MJH45" s="30"/>
      <c r="MJI45" s="31"/>
      <c r="MJJ45" s="30"/>
      <c r="MJK45" s="31"/>
      <c r="MJL45" s="30"/>
      <c r="MJM45" s="31"/>
      <c r="MJN45" s="30"/>
      <c r="MJO45" s="31"/>
      <c r="MJP45" s="30"/>
      <c r="MJQ45" s="31"/>
      <c r="MJR45" s="30"/>
      <c r="MJS45" s="31"/>
      <c r="MJT45" s="30"/>
      <c r="MJU45" s="31"/>
      <c r="MJV45" s="30"/>
      <c r="MJW45" s="31"/>
      <c r="MJX45" s="30"/>
      <c r="MJY45" s="31"/>
      <c r="MJZ45" s="30"/>
      <c r="MKA45" s="31"/>
      <c r="MKB45" s="30"/>
      <c r="MKC45" s="31"/>
      <c r="MKD45" s="30"/>
      <c r="MKE45" s="31"/>
      <c r="MKF45" s="30"/>
      <c r="MKG45" s="31"/>
      <c r="MKH45" s="30"/>
      <c r="MKI45" s="31"/>
      <c r="MKJ45" s="30"/>
      <c r="MKK45" s="31"/>
      <c r="MKL45" s="30"/>
      <c r="MKM45" s="31"/>
      <c r="MKN45" s="30"/>
      <c r="MKO45" s="31"/>
      <c r="MKP45" s="30"/>
      <c r="MKQ45" s="31"/>
      <c r="MKR45" s="30"/>
      <c r="MKS45" s="31"/>
      <c r="MKT45" s="30"/>
      <c r="MKU45" s="31"/>
      <c r="MKV45" s="30"/>
      <c r="MKW45" s="31"/>
      <c r="MKX45" s="30"/>
      <c r="MKY45" s="31"/>
      <c r="MKZ45" s="30"/>
      <c r="MLA45" s="31"/>
      <c r="MLB45" s="30"/>
      <c r="MLC45" s="31"/>
      <c r="MLD45" s="30"/>
      <c r="MLE45" s="31"/>
      <c r="MLF45" s="30"/>
      <c r="MLG45" s="31"/>
      <c r="MLH45" s="30"/>
      <c r="MLI45" s="31"/>
      <c r="MLJ45" s="30"/>
      <c r="MLK45" s="31"/>
      <c r="MLL45" s="30"/>
      <c r="MLM45" s="31"/>
      <c r="MLN45" s="30"/>
      <c r="MLO45" s="31"/>
      <c r="MLP45" s="30"/>
      <c r="MLQ45" s="31"/>
      <c r="MLR45" s="30"/>
      <c r="MLS45" s="31"/>
      <c r="MLT45" s="30"/>
      <c r="MLU45" s="31"/>
      <c r="MLV45" s="30"/>
      <c r="MLW45" s="31"/>
      <c r="MLX45" s="30"/>
      <c r="MLY45" s="31"/>
      <c r="MLZ45" s="30"/>
      <c r="MMA45" s="31"/>
      <c r="MMB45" s="30"/>
      <c r="MMC45" s="31"/>
      <c r="MMD45" s="30"/>
      <c r="MME45" s="31"/>
      <c r="MMF45" s="30"/>
      <c r="MMG45" s="31"/>
      <c r="MMH45" s="30"/>
      <c r="MMI45" s="31"/>
      <c r="MMJ45" s="30"/>
      <c r="MMK45" s="31"/>
      <c r="MML45" s="30"/>
      <c r="MMM45" s="31"/>
      <c r="MMN45" s="30"/>
      <c r="MMO45" s="31"/>
      <c r="MMP45" s="30"/>
      <c r="MMQ45" s="31"/>
      <c r="MMR45" s="30"/>
      <c r="MMS45" s="31"/>
      <c r="MMT45" s="30"/>
      <c r="MMU45" s="31"/>
      <c r="MMV45" s="30"/>
      <c r="MMW45" s="31"/>
      <c r="MMX45" s="30"/>
      <c r="MMY45" s="31"/>
      <c r="MMZ45" s="30"/>
      <c r="MNA45" s="31"/>
      <c r="MNB45" s="30"/>
      <c r="MNC45" s="31"/>
      <c r="MND45" s="30"/>
      <c r="MNE45" s="31"/>
      <c r="MNF45" s="30"/>
      <c r="MNG45" s="31"/>
      <c r="MNH45" s="30"/>
      <c r="MNI45" s="31"/>
      <c r="MNJ45" s="30"/>
      <c r="MNK45" s="31"/>
      <c r="MNL45" s="30"/>
      <c r="MNM45" s="31"/>
      <c r="MNN45" s="30"/>
      <c r="MNO45" s="31"/>
      <c r="MNP45" s="30"/>
      <c r="MNQ45" s="31"/>
      <c r="MNR45" s="30"/>
      <c r="MNS45" s="31"/>
      <c r="MNT45" s="30"/>
      <c r="MNU45" s="31"/>
      <c r="MNV45" s="30"/>
      <c r="MNW45" s="31"/>
      <c r="MNX45" s="30"/>
      <c r="MNY45" s="31"/>
      <c r="MNZ45" s="30"/>
      <c r="MOA45" s="31"/>
      <c r="MOB45" s="30"/>
      <c r="MOC45" s="31"/>
      <c r="MOD45" s="30"/>
      <c r="MOE45" s="31"/>
      <c r="MOF45" s="30"/>
      <c r="MOG45" s="31"/>
      <c r="MOH45" s="30"/>
      <c r="MOI45" s="31"/>
      <c r="MOJ45" s="30"/>
      <c r="MOK45" s="31"/>
      <c r="MOL45" s="30"/>
      <c r="MOM45" s="31"/>
      <c r="MON45" s="30"/>
      <c r="MOO45" s="31"/>
      <c r="MOP45" s="30"/>
      <c r="MOQ45" s="31"/>
      <c r="MOR45" s="30"/>
      <c r="MOS45" s="31"/>
      <c r="MOT45" s="30"/>
      <c r="MOU45" s="31"/>
      <c r="MOV45" s="30"/>
      <c r="MOW45" s="31"/>
      <c r="MOX45" s="30"/>
      <c r="MOY45" s="31"/>
      <c r="MOZ45" s="30"/>
      <c r="MPA45" s="31"/>
      <c r="MPB45" s="30"/>
      <c r="MPC45" s="31"/>
      <c r="MPD45" s="30"/>
      <c r="MPE45" s="31"/>
      <c r="MPF45" s="30"/>
      <c r="MPG45" s="31"/>
      <c r="MPH45" s="30"/>
      <c r="MPI45" s="31"/>
      <c r="MPJ45" s="30"/>
      <c r="MPK45" s="31"/>
      <c r="MPL45" s="30"/>
      <c r="MPM45" s="31"/>
      <c r="MPN45" s="30"/>
      <c r="MPO45" s="31"/>
      <c r="MPP45" s="30"/>
      <c r="MPQ45" s="31"/>
      <c r="MPR45" s="30"/>
      <c r="MPS45" s="31"/>
      <c r="MPT45" s="30"/>
      <c r="MPU45" s="31"/>
      <c r="MPV45" s="30"/>
      <c r="MPW45" s="31"/>
      <c r="MPX45" s="30"/>
      <c r="MPY45" s="31"/>
      <c r="MPZ45" s="30"/>
      <c r="MQA45" s="31"/>
      <c r="MQB45" s="30"/>
      <c r="MQC45" s="31"/>
      <c r="MQD45" s="30"/>
      <c r="MQE45" s="31"/>
      <c r="MQF45" s="30"/>
      <c r="MQG45" s="31"/>
      <c r="MQH45" s="30"/>
      <c r="MQI45" s="31"/>
      <c r="MQJ45" s="30"/>
      <c r="MQK45" s="31"/>
      <c r="MQL45" s="30"/>
      <c r="MQM45" s="31"/>
      <c r="MQN45" s="30"/>
      <c r="MQO45" s="31"/>
      <c r="MQP45" s="30"/>
      <c r="MQQ45" s="31"/>
      <c r="MQR45" s="30"/>
      <c r="MQS45" s="31"/>
      <c r="MQT45" s="30"/>
      <c r="MQU45" s="31"/>
      <c r="MQV45" s="30"/>
      <c r="MQW45" s="31"/>
      <c r="MQX45" s="30"/>
      <c r="MQY45" s="31"/>
      <c r="MQZ45" s="30"/>
      <c r="MRA45" s="31"/>
      <c r="MRB45" s="30"/>
      <c r="MRC45" s="31"/>
      <c r="MRD45" s="30"/>
      <c r="MRE45" s="31"/>
      <c r="MRF45" s="30"/>
      <c r="MRG45" s="31"/>
      <c r="MRH45" s="30"/>
      <c r="MRI45" s="31"/>
      <c r="MRJ45" s="30"/>
      <c r="MRK45" s="31"/>
      <c r="MRL45" s="30"/>
      <c r="MRM45" s="31"/>
      <c r="MRN45" s="30"/>
      <c r="MRO45" s="31"/>
      <c r="MRP45" s="30"/>
      <c r="MRQ45" s="31"/>
      <c r="MRR45" s="30"/>
      <c r="MRS45" s="31"/>
      <c r="MRT45" s="30"/>
      <c r="MRU45" s="31"/>
      <c r="MRV45" s="30"/>
      <c r="MRW45" s="31"/>
      <c r="MRX45" s="30"/>
      <c r="MRY45" s="31"/>
      <c r="MRZ45" s="30"/>
      <c r="MSA45" s="31"/>
      <c r="MSB45" s="30"/>
      <c r="MSC45" s="31"/>
      <c r="MSD45" s="30"/>
      <c r="MSE45" s="31"/>
      <c r="MSF45" s="30"/>
      <c r="MSG45" s="31"/>
      <c r="MSH45" s="30"/>
      <c r="MSI45" s="31"/>
      <c r="MSJ45" s="30"/>
      <c r="MSK45" s="31"/>
      <c r="MSL45" s="30"/>
      <c r="MSM45" s="31"/>
      <c r="MSN45" s="30"/>
      <c r="MSO45" s="31"/>
      <c r="MSP45" s="30"/>
      <c r="MSQ45" s="31"/>
      <c r="MSR45" s="30"/>
      <c r="MSS45" s="31"/>
      <c r="MST45" s="30"/>
      <c r="MSU45" s="31"/>
      <c r="MSV45" s="30"/>
      <c r="MSW45" s="31"/>
      <c r="MSX45" s="30"/>
      <c r="MSY45" s="31"/>
      <c r="MSZ45" s="30"/>
      <c r="MTA45" s="31"/>
      <c r="MTB45" s="30"/>
      <c r="MTC45" s="31"/>
      <c r="MTD45" s="30"/>
      <c r="MTE45" s="31"/>
      <c r="MTF45" s="30"/>
      <c r="MTG45" s="31"/>
      <c r="MTH45" s="30"/>
      <c r="MTI45" s="31"/>
      <c r="MTJ45" s="30"/>
      <c r="MTK45" s="31"/>
      <c r="MTL45" s="30"/>
      <c r="MTM45" s="31"/>
      <c r="MTN45" s="30"/>
      <c r="MTO45" s="31"/>
      <c r="MTP45" s="30"/>
      <c r="MTQ45" s="31"/>
      <c r="MTR45" s="30"/>
      <c r="MTS45" s="31"/>
      <c r="MTT45" s="30"/>
      <c r="MTU45" s="31"/>
      <c r="MTV45" s="30"/>
      <c r="MTW45" s="31"/>
      <c r="MTX45" s="30"/>
      <c r="MTY45" s="31"/>
      <c r="MTZ45" s="30"/>
      <c r="MUA45" s="31"/>
      <c r="MUB45" s="30"/>
      <c r="MUC45" s="31"/>
      <c r="MUD45" s="30"/>
      <c r="MUE45" s="31"/>
      <c r="MUF45" s="30"/>
      <c r="MUG45" s="31"/>
      <c r="MUH45" s="30"/>
      <c r="MUI45" s="31"/>
      <c r="MUJ45" s="30"/>
      <c r="MUK45" s="31"/>
      <c r="MUL45" s="30"/>
      <c r="MUM45" s="31"/>
      <c r="MUN45" s="30"/>
      <c r="MUO45" s="31"/>
      <c r="MUP45" s="30"/>
      <c r="MUQ45" s="31"/>
      <c r="MUR45" s="30"/>
      <c r="MUS45" s="31"/>
      <c r="MUT45" s="30"/>
      <c r="MUU45" s="31"/>
      <c r="MUV45" s="30"/>
      <c r="MUW45" s="31"/>
      <c r="MUX45" s="30"/>
      <c r="MUY45" s="31"/>
      <c r="MUZ45" s="30"/>
      <c r="MVA45" s="31"/>
      <c r="MVB45" s="30"/>
      <c r="MVC45" s="31"/>
      <c r="MVD45" s="30"/>
      <c r="MVE45" s="31"/>
      <c r="MVF45" s="30"/>
      <c r="MVG45" s="31"/>
      <c r="MVH45" s="30"/>
      <c r="MVI45" s="31"/>
      <c r="MVJ45" s="30"/>
      <c r="MVK45" s="31"/>
      <c r="MVL45" s="30"/>
      <c r="MVM45" s="31"/>
      <c r="MVN45" s="30"/>
      <c r="MVO45" s="31"/>
      <c r="MVP45" s="30"/>
      <c r="MVQ45" s="31"/>
      <c r="MVR45" s="30"/>
      <c r="MVS45" s="31"/>
      <c r="MVT45" s="30"/>
      <c r="MVU45" s="31"/>
      <c r="MVV45" s="30"/>
      <c r="MVW45" s="31"/>
      <c r="MVX45" s="30"/>
      <c r="MVY45" s="31"/>
      <c r="MVZ45" s="30"/>
      <c r="MWA45" s="31"/>
      <c r="MWB45" s="30"/>
      <c r="MWC45" s="31"/>
      <c r="MWD45" s="30"/>
      <c r="MWE45" s="31"/>
      <c r="MWF45" s="30"/>
      <c r="MWG45" s="31"/>
      <c r="MWH45" s="30"/>
      <c r="MWI45" s="31"/>
      <c r="MWJ45" s="30"/>
      <c r="MWK45" s="31"/>
      <c r="MWL45" s="30"/>
      <c r="MWM45" s="31"/>
      <c r="MWN45" s="30"/>
      <c r="MWO45" s="31"/>
      <c r="MWP45" s="30"/>
      <c r="MWQ45" s="31"/>
      <c r="MWR45" s="30"/>
      <c r="MWS45" s="31"/>
      <c r="MWT45" s="30"/>
      <c r="MWU45" s="31"/>
      <c r="MWV45" s="30"/>
      <c r="MWW45" s="31"/>
      <c r="MWX45" s="30"/>
      <c r="MWY45" s="31"/>
      <c r="MWZ45" s="30"/>
      <c r="MXA45" s="31"/>
      <c r="MXB45" s="30"/>
      <c r="MXC45" s="31"/>
      <c r="MXD45" s="30"/>
      <c r="MXE45" s="31"/>
      <c r="MXF45" s="30"/>
      <c r="MXG45" s="31"/>
      <c r="MXH45" s="30"/>
      <c r="MXI45" s="31"/>
      <c r="MXJ45" s="30"/>
      <c r="MXK45" s="31"/>
      <c r="MXL45" s="30"/>
      <c r="MXM45" s="31"/>
      <c r="MXN45" s="30"/>
      <c r="MXO45" s="31"/>
      <c r="MXP45" s="30"/>
      <c r="MXQ45" s="31"/>
      <c r="MXR45" s="30"/>
      <c r="MXS45" s="31"/>
      <c r="MXT45" s="30"/>
      <c r="MXU45" s="31"/>
      <c r="MXV45" s="30"/>
      <c r="MXW45" s="31"/>
      <c r="MXX45" s="30"/>
      <c r="MXY45" s="31"/>
      <c r="MXZ45" s="30"/>
      <c r="MYA45" s="31"/>
      <c r="MYB45" s="30"/>
      <c r="MYC45" s="31"/>
      <c r="MYD45" s="30"/>
      <c r="MYE45" s="31"/>
      <c r="MYF45" s="30"/>
      <c r="MYG45" s="31"/>
      <c r="MYH45" s="30"/>
      <c r="MYI45" s="31"/>
      <c r="MYJ45" s="30"/>
      <c r="MYK45" s="31"/>
      <c r="MYL45" s="30"/>
      <c r="MYM45" s="31"/>
      <c r="MYN45" s="30"/>
      <c r="MYO45" s="31"/>
      <c r="MYP45" s="30"/>
      <c r="MYQ45" s="31"/>
      <c r="MYR45" s="30"/>
      <c r="MYS45" s="31"/>
      <c r="MYT45" s="30"/>
      <c r="MYU45" s="31"/>
      <c r="MYV45" s="30"/>
      <c r="MYW45" s="31"/>
      <c r="MYX45" s="30"/>
      <c r="MYY45" s="31"/>
      <c r="MYZ45" s="30"/>
      <c r="MZA45" s="31"/>
      <c r="MZB45" s="30"/>
      <c r="MZC45" s="31"/>
      <c r="MZD45" s="30"/>
      <c r="MZE45" s="31"/>
      <c r="MZF45" s="30"/>
      <c r="MZG45" s="31"/>
      <c r="MZH45" s="30"/>
      <c r="MZI45" s="31"/>
      <c r="MZJ45" s="30"/>
      <c r="MZK45" s="31"/>
      <c r="MZL45" s="30"/>
      <c r="MZM45" s="31"/>
      <c r="MZN45" s="30"/>
      <c r="MZO45" s="31"/>
      <c r="MZP45" s="30"/>
      <c r="MZQ45" s="31"/>
      <c r="MZR45" s="30"/>
      <c r="MZS45" s="31"/>
      <c r="MZT45" s="30"/>
      <c r="MZU45" s="31"/>
      <c r="MZV45" s="30"/>
      <c r="MZW45" s="31"/>
      <c r="MZX45" s="30"/>
      <c r="MZY45" s="31"/>
      <c r="MZZ45" s="30"/>
      <c r="NAA45" s="31"/>
      <c r="NAB45" s="30"/>
      <c r="NAC45" s="31"/>
      <c r="NAD45" s="30"/>
      <c r="NAE45" s="31"/>
      <c r="NAF45" s="30"/>
      <c r="NAG45" s="31"/>
      <c r="NAH45" s="30"/>
      <c r="NAI45" s="31"/>
      <c r="NAJ45" s="30"/>
      <c r="NAK45" s="31"/>
      <c r="NAL45" s="30"/>
      <c r="NAM45" s="31"/>
      <c r="NAN45" s="30"/>
      <c r="NAO45" s="31"/>
      <c r="NAP45" s="30"/>
      <c r="NAQ45" s="31"/>
      <c r="NAR45" s="30"/>
      <c r="NAS45" s="31"/>
      <c r="NAT45" s="30"/>
      <c r="NAU45" s="31"/>
      <c r="NAV45" s="30"/>
      <c r="NAW45" s="31"/>
      <c r="NAX45" s="30"/>
      <c r="NAY45" s="31"/>
      <c r="NAZ45" s="30"/>
      <c r="NBA45" s="31"/>
      <c r="NBB45" s="30"/>
      <c r="NBC45" s="31"/>
      <c r="NBD45" s="30"/>
      <c r="NBE45" s="31"/>
      <c r="NBF45" s="30"/>
      <c r="NBG45" s="31"/>
      <c r="NBH45" s="30"/>
      <c r="NBI45" s="31"/>
      <c r="NBJ45" s="30"/>
      <c r="NBK45" s="31"/>
      <c r="NBL45" s="30"/>
      <c r="NBM45" s="31"/>
      <c r="NBN45" s="30"/>
      <c r="NBO45" s="31"/>
      <c r="NBP45" s="30"/>
      <c r="NBQ45" s="31"/>
      <c r="NBR45" s="30"/>
      <c r="NBS45" s="31"/>
      <c r="NBT45" s="30"/>
      <c r="NBU45" s="31"/>
      <c r="NBV45" s="30"/>
      <c r="NBW45" s="31"/>
      <c r="NBX45" s="30"/>
      <c r="NBY45" s="31"/>
      <c r="NBZ45" s="30"/>
      <c r="NCA45" s="31"/>
      <c r="NCB45" s="30"/>
      <c r="NCC45" s="31"/>
      <c r="NCD45" s="30"/>
      <c r="NCE45" s="31"/>
      <c r="NCF45" s="30"/>
      <c r="NCG45" s="31"/>
      <c r="NCH45" s="30"/>
      <c r="NCI45" s="31"/>
      <c r="NCJ45" s="30"/>
      <c r="NCK45" s="31"/>
      <c r="NCL45" s="30"/>
      <c r="NCM45" s="31"/>
      <c r="NCN45" s="30"/>
      <c r="NCO45" s="31"/>
      <c r="NCP45" s="30"/>
      <c r="NCQ45" s="31"/>
      <c r="NCR45" s="30"/>
      <c r="NCS45" s="31"/>
      <c r="NCT45" s="30"/>
      <c r="NCU45" s="31"/>
      <c r="NCV45" s="30"/>
      <c r="NCW45" s="31"/>
      <c r="NCX45" s="30"/>
      <c r="NCY45" s="31"/>
      <c r="NCZ45" s="30"/>
      <c r="NDA45" s="31"/>
      <c r="NDB45" s="30"/>
      <c r="NDC45" s="31"/>
      <c r="NDD45" s="30"/>
      <c r="NDE45" s="31"/>
      <c r="NDF45" s="30"/>
      <c r="NDG45" s="31"/>
      <c r="NDH45" s="30"/>
      <c r="NDI45" s="31"/>
      <c r="NDJ45" s="30"/>
      <c r="NDK45" s="31"/>
      <c r="NDL45" s="30"/>
      <c r="NDM45" s="31"/>
      <c r="NDN45" s="30"/>
      <c r="NDO45" s="31"/>
      <c r="NDP45" s="30"/>
      <c r="NDQ45" s="31"/>
      <c r="NDR45" s="30"/>
      <c r="NDS45" s="31"/>
      <c r="NDT45" s="30"/>
      <c r="NDU45" s="31"/>
      <c r="NDV45" s="30"/>
      <c r="NDW45" s="31"/>
      <c r="NDX45" s="30"/>
      <c r="NDY45" s="31"/>
      <c r="NDZ45" s="30"/>
      <c r="NEA45" s="31"/>
      <c r="NEB45" s="30"/>
      <c r="NEC45" s="31"/>
      <c r="NED45" s="30"/>
      <c r="NEE45" s="31"/>
      <c r="NEF45" s="30"/>
      <c r="NEG45" s="31"/>
      <c r="NEH45" s="30"/>
      <c r="NEI45" s="31"/>
      <c r="NEJ45" s="30"/>
      <c r="NEK45" s="31"/>
      <c r="NEL45" s="30"/>
      <c r="NEM45" s="31"/>
      <c r="NEN45" s="30"/>
      <c r="NEO45" s="31"/>
      <c r="NEP45" s="30"/>
      <c r="NEQ45" s="31"/>
      <c r="NER45" s="30"/>
      <c r="NES45" s="31"/>
      <c r="NET45" s="30"/>
      <c r="NEU45" s="31"/>
      <c r="NEV45" s="30"/>
      <c r="NEW45" s="31"/>
      <c r="NEX45" s="30"/>
      <c r="NEY45" s="31"/>
      <c r="NEZ45" s="30"/>
      <c r="NFA45" s="31"/>
      <c r="NFB45" s="30"/>
      <c r="NFC45" s="31"/>
      <c r="NFD45" s="30"/>
      <c r="NFE45" s="31"/>
      <c r="NFF45" s="30"/>
      <c r="NFG45" s="31"/>
      <c r="NFH45" s="30"/>
      <c r="NFI45" s="31"/>
      <c r="NFJ45" s="30"/>
      <c r="NFK45" s="31"/>
      <c r="NFL45" s="30"/>
      <c r="NFM45" s="31"/>
      <c r="NFN45" s="30"/>
      <c r="NFO45" s="31"/>
      <c r="NFP45" s="30"/>
      <c r="NFQ45" s="31"/>
      <c r="NFR45" s="30"/>
      <c r="NFS45" s="31"/>
      <c r="NFT45" s="30"/>
      <c r="NFU45" s="31"/>
      <c r="NFV45" s="30"/>
      <c r="NFW45" s="31"/>
      <c r="NFX45" s="30"/>
      <c r="NFY45" s="31"/>
      <c r="NFZ45" s="30"/>
      <c r="NGA45" s="31"/>
      <c r="NGB45" s="30"/>
      <c r="NGC45" s="31"/>
      <c r="NGD45" s="30"/>
      <c r="NGE45" s="31"/>
      <c r="NGF45" s="30"/>
      <c r="NGG45" s="31"/>
      <c r="NGH45" s="30"/>
      <c r="NGI45" s="31"/>
      <c r="NGJ45" s="30"/>
      <c r="NGK45" s="31"/>
      <c r="NGL45" s="30"/>
      <c r="NGM45" s="31"/>
      <c r="NGN45" s="30"/>
      <c r="NGO45" s="31"/>
      <c r="NGP45" s="30"/>
      <c r="NGQ45" s="31"/>
      <c r="NGR45" s="30"/>
      <c r="NGS45" s="31"/>
      <c r="NGT45" s="30"/>
      <c r="NGU45" s="31"/>
      <c r="NGV45" s="30"/>
      <c r="NGW45" s="31"/>
      <c r="NGX45" s="30"/>
      <c r="NGY45" s="31"/>
      <c r="NGZ45" s="30"/>
      <c r="NHA45" s="31"/>
      <c r="NHB45" s="30"/>
      <c r="NHC45" s="31"/>
      <c r="NHD45" s="30"/>
      <c r="NHE45" s="31"/>
      <c r="NHF45" s="30"/>
      <c r="NHG45" s="31"/>
      <c r="NHH45" s="30"/>
      <c r="NHI45" s="31"/>
      <c r="NHJ45" s="30"/>
      <c r="NHK45" s="31"/>
      <c r="NHL45" s="30"/>
      <c r="NHM45" s="31"/>
      <c r="NHN45" s="30"/>
      <c r="NHO45" s="31"/>
      <c r="NHP45" s="30"/>
      <c r="NHQ45" s="31"/>
      <c r="NHR45" s="30"/>
      <c r="NHS45" s="31"/>
      <c r="NHT45" s="30"/>
      <c r="NHU45" s="31"/>
      <c r="NHV45" s="30"/>
      <c r="NHW45" s="31"/>
      <c r="NHX45" s="30"/>
      <c r="NHY45" s="31"/>
      <c r="NHZ45" s="30"/>
      <c r="NIA45" s="31"/>
      <c r="NIB45" s="30"/>
      <c r="NIC45" s="31"/>
      <c r="NID45" s="30"/>
      <c r="NIE45" s="31"/>
      <c r="NIF45" s="30"/>
      <c r="NIG45" s="31"/>
      <c r="NIH45" s="30"/>
      <c r="NII45" s="31"/>
      <c r="NIJ45" s="30"/>
      <c r="NIK45" s="31"/>
      <c r="NIL45" s="30"/>
      <c r="NIM45" s="31"/>
      <c r="NIN45" s="30"/>
      <c r="NIO45" s="31"/>
      <c r="NIP45" s="30"/>
      <c r="NIQ45" s="31"/>
      <c r="NIR45" s="30"/>
      <c r="NIS45" s="31"/>
      <c r="NIT45" s="30"/>
      <c r="NIU45" s="31"/>
      <c r="NIV45" s="30"/>
      <c r="NIW45" s="31"/>
      <c r="NIX45" s="30"/>
      <c r="NIY45" s="31"/>
      <c r="NIZ45" s="30"/>
      <c r="NJA45" s="31"/>
      <c r="NJB45" s="30"/>
      <c r="NJC45" s="31"/>
      <c r="NJD45" s="30"/>
      <c r="NJE45" s="31"/>
      <c r="NJF45" s="30"/>
      <c r="NJG45" s="31"/>
      <c r="NJH45" s="30"/>
      <c r="NJI45" s="31"/>
      <c r="NJJ45" s="30"/>
      <c r="NJK45" s="31"/>
      <c r="NJL45" s="30"/>
      <c r="NJM45" s="31"/>
      <c r="NJN45" s="30"/>
      <c r="NJO45" s="31"/>
      <c r="NJP45" s="30"/>
      <c r="NJQ45" s="31"/>
      <c r="NJR45" s="30"/>
      <c r="NJS45" s="31"/>
      <c r="NJT45" s="30"/>
      <c r="NJU45" s="31"/>
      <c r="NJV45" s="30"/>
      <c r="NJW45" s="31"/>
      <c r="NJX45" s="30"/>
      <c r="NJY45" s="31"/>
      <c r="NJZ45" s="30"/>
      <c r="NKA45" s="31"/>
      <c r="NKB45" s="30"/>
      <c r="NKC45" s="31"/>
      <c r="NKD45" s="30"/>
      <c r="NKE45" s="31"/>
      <c r="NKF45" s="30"/>
      <c r="NKG45" s="31"/>
      <c r="NKH45" s="30"/>
      <c r="NKI45" s="31"/>
      <c r="NKJ45" s="30"/>
      <c r="NKK45" s="31"/>
      <c r="NKL45" s="30"/>
      <c r="NKM45" s="31"/>
      <c r="NKN45" s="30"/>
      <c r="NKO45" s="31"/>
      <c r="NKP45" s="30"/>
      <c r="NKQ45" s="31"/>
      <c r="NKR45" s="30"/>
      <c r="NKS45" s="31"/>
      <c r="NKT45" s="30"/>
      <c r="NKU45" s="31"/>
      <c r="NKV45" s="30"/>
      <c r="NKW45" s="31"/>
      <c r="NKX45" s="30"/>
      <c r="NKY45" s="31"/>
      <c r="NKZ45" s="30"/>
      <c r="NLA45" s="31"/>
      <c r="NLB45" s="30"/>
      <c r="NLC45" s="31"/>
      <c r="NLD45" s="30"/>
      <c r="NLE45" s="31"/>
      <c r="NLF45" s="30"/>
      <c r="NLG45" s="31"/>
      <c r="NLH45" s="30"/>
      <c r="NLI45" s="31"/>
      <c r="NLJ45" s="30"/>
      <c r="NLK45" s="31"/>
      <c r="NLL45" s="30"/>
      <c r="NLM45" s="31"/>
      <c r="NLN45" s="30"/>
      <c r="NLO45" s="31"/>
      <c r="NLP45" s="30"/>
      <c r="NLQ45" s="31"/>
      <c r="NLR45" s="30"/>
      <c r="NLS45" s="31"/>
      <c r="NLT45" s="30"/>
      <c r="NLU45" s="31"/>
      <c r="NLV45" s="30"/>
      <c r="NLW45" s="31"/>
      <c r="NLX45" s="30"/>
      <c r="NLY45" s="31"/>
      <c r="NLZ45" s="30"/>
      <c r="NMA45" s="31"/>
      <c r="NMB45" s="30"/>
      <c r="NMC45" s="31"/>
      <c r="NMD45" s="30"/>
      <c r="NME45" s="31"/>
      <c r="NMF45" s="30"/>
      <c r="NMG45" s="31"/>
      <c r="NMH45" s="30"/>
      <c r="NMI45" s="31"/>
      <c r="NMJ45" s="30"/>
      <c r="NMK45" s="31"/>
      <c r="NML45" s="30"/>
      <c r="NMM45" s="31"/>
      <c r="NMN45" s="30"/>
      <c r="NMO45" s="31"/>
      <c r="NMP45" s="30"/>
      <c r="NMQ45" s="31"/>
      <c r="NMR45" s="30"/>
      <c r="NMS45" s="31"/>
      <c r="NMT45" s="30"/>
      <c r="NMU45" s="31"/>
      <c r="NMV45" s="30"/>
      <c r="NMW45" s="31"/>
      <c r="NMX45" s="30"/>
      <c r="NMY45" s="31"/>
      <c r="NMZ45" s="30"/>
      <c r="NNA45" s="31"/>
      <c r="NNB45" s="30"/>
      <c r="NNC45" s="31"/>
      <c r="NND45" s="30"/>
      <c r="NNE45" s="31"/>
      <c r="NNF45" s="30"/>
      <c r="NNG45" s="31"/>
      <c r="NNH45" s="30"/>
      <c r="NNI45" s="31"/>
      <c r="NNJ45" s="30"/>
      <c r="NNK45" s="31"/>
      <c r="NNL45" s="30"/>
      <c r="NNM45" s="31"/>
      <c r="NNN45" s="30"/>
      <c r="NNO45" s="31"/>
      <c r="NNP45" s="30"/>
      <c r="NNQ45" s="31"/>
      <c r="NNR45" s="30"/>
      <c r="NNS45" s="31"/>
      <c r="NNT45" s="30"/>
      <c r="NNU45" s="31"/>
      <c r="NNV45" s="30"/>
      <c r="NNW45" s="31"/>
      <c r="NNX45" s="30"/>
      <c r="NNY45" s="31"/>
      <c r="NNZ45" s="30"/>
      <c r="NOA45" s="31"/>
      <c r="NOB45" s="30"/>
      <c r="NOC45" s="31"/>
      <c r="NOD45" s="30"/>
      <c r="NOE45" s="31"/>
      <c r="NOF45" s="30"/>
      <c r="NOG45" s="31"/>
      <c r="NOH45" s="30"/>
      <c r="NOI45" s="31"/>
      <c r="NOJ45" s="30"/>
      <c r="NOK45" s="31"/>
      <c r="NOL45" s="30"/>
      <c r="NOM45" s="31"/>
      <c r="NON45" s="30"/>
      <c r="NOO45" s="31"/>
      <c r="NOP45" s="30"/>
      <c r="NOQ45" s="31"/>
      <c r="NOR45" s="30"/>
      <c r="NOS45" s="31"/>
      <c r="NOT45" s="30"/>
      <c r="NOU45" s="31"/>
      <c r="NOV45" s="30"/>
      <c r="NOW45" s="31"/>
      <c r="NOX45" s="30"/>
      <c r="NOY45" s="31"/>
      <c r="NOZ45" s="30"/>
      <c r="NPA45" s="31"/>
      <c r="NPB45" s="30"/>
      <c r="NPC45" s="31"/>
      <c r="NPD45" s="30"/>
      <c r="NPE45" s="31"/>
      <c r="NPF45" s="30"/>
      <c r="NPG45" s="31"/>
      <c r="NPH45" s="30"/>
      <c r="NPI45" s="31"/>
      <c r="NPJ45" s="30"/>
      <c r="NPK45" s="31"/>
      <c r="NPL45" s="30"/>
      <c r="NPM45" s="31"/>
      <c r="NPN45" s="30"/>
      <c r="NPO45" s="31"/>
      <c r="NPP45" s="30"/>
      <c r="NPQ45" s="31"/>
      <c r="NPR45" s="30"/>
      <c r="NPS45" s="31"/>
      <c r="NPT45" s="30"/>
      <c r="NPU45" s="31"/>
      <c r="NPV45" s="30"/>
      <c r="NPW45" s="31"/>
      <c r="NPX45" s="30"/>
      <c r="NPY45" s="31"/>
      <c r="NPZ45" s="30"/>
      <c r="NQA45" s="31"/>
      <c r="NQB45" s="30"/>
      <c r="NQC45" s="31"/>
      <c r="NQD45" s="30"/>
      <c r="NQE45" s="31"/>
      <c r="NQF45" s="30"/>
      <c r="NQG45" s="31"/>
      <c r="NQH45" s="30"/>
      <c r="NQI45" s="31"/>
      <c r="NQJ45" s="30"/>
      <c r="NQK45" s="31"/>
      <c r="NQL45" s="30"/>
      <c r="NQM45" s="31"/>
      <c r="NQN45" s="30"/>
      <c r="NQO45" s="31"/>
      <c r="NQP45" s="30"/>
      <c r="NQQ45" s="31"/>
      <c r="NQR45" s="30"/>
      <c r="NQS45" s="31"/>
      <c r="NQT45" s="30"/>
      <c r="NQU45" s="31"/>
      <c r="NQV45" s="30"/>
      <c r="NQW45" s="31"/>
      <c r="NQX45" s="30"/>
      <c r="NQY45" s="31"/>
      <c r="NQZ45" s="30"/>
      <c r="NRA45" s="31"/>
      <c r="NRB45" s="30"/>
      <c r="NRC45" s="31"/>
      <c r="NRD45" s="30"/>
      <c r="NRE45" s="31"/>
      <c r="NRF45" s="30"/>
      <c r="NRG45" s="31"/>
      <c r="NRH45" s="30"/>
      <c r="NRI45" s="31"/>
      <c r="NRJ45" s="30"/>
      <c r="NRK45" s="31"/>
      <c r="NRL45" s="30"/>
      <c r="NRM45" s="31"/>
      <c r="NRN45" s="30"/>
      <c r="NRO45" s="31"/>
      <c r="NRP45" s="30"/>
      <c r="NRQ45" s="31"/>
      <c r="NRR45" s="30"/>
      <c r="NRS45" s="31"/>
      <c r="NRT45" s="30"/>
      <c r="NRU45" s="31"/>
      <c r="NRV45" s="30"/>
      <c r="NRW45" s="31"/>
      <c r="NRX45" s="30"/>
      <c r="NRY45" s="31"/>
      <c r="NRZ45" s="30"/>
      <c r="NSA45" s="31"/>
      <c r="NSB45" s="30"/>
      <c r="NSC45" s="31"/>
      <c r="NSD45" s="30"/>
      <c r="NSE45" s="31"/>
      <c r="NSF45" s="30"/>
      <c r="NSG45" s="31"/>
      <c r="NSH45" s="30"/>
      <c r="NSI45" s="31"/>
      <c r="NSJ45" s="30"/>
      <c r="NSK45" s="31"/>
      <c r="NSL45" s="30"/>
      <c r="NSM45" s="31"/>
      <c r="NSN45" s="30"/>
      <c r="NSO45" s="31"/>
      <c r="NSP45" s="30"/>
      <c r="NSQ45" s="31"/>
      <c r="NSR45" s="30"/>
      <c r="NSS45" s="31"/>
      <c r="NST45" s="30"/>
      <c r="NSU45" s="31"/>
      <c r="NSV45" s="30"/>
      <c r="NSW45" s="31"/>
      <c r="NSX45" s="30"/>
      <c r="NSY45" s="31"/>
      <c r="NSZ45" s="30"/>
      <c r="NTA45" s="31"/>
      <c r="NTB45" s="30"/>
      <c r="NTC45" s="31"/>
      <c r="NTD45" s="30"/>
      <c r="NTE45" s="31"/>
      <c r="NTF45" s="30"/>
      <c r="NTG45" s="31"/>
      <c r="NTH45" s="30"/>
      <c r="NTI45" s="31"/>
      <c r="NTJ45" s="30"/>
      <c r="NTK45" s="31"/>
      <c r="NTL45" s="30"/>
      <c r="NTM45" s="31"/>
      <c r="NTN45" s="30"/>
      <c r="NTO45" s="31"/>
      <c r="NTP45" s="30"/>
      <c r="NTQ45" s="31"/>
      <c r="NTR45" s="30"/>
      <c r="NTS45" s="31"/>
      <c r="NTT45" s="30"/>
      <c r="NTU45" s="31"/>
      <c r="NTV45" s="30"/>
      <c r="NTW45" s="31"/>
      <c r="NTX45" s="30"/>
      <c r="NTY45" s="31"/>
      <c r="NTZ45" s="30"/>
      <c r="NUA45" s="31"/>
      <c r="NUB45" s="30"/>
      <c r="NUC45" s="31"/>
      <c r="NUD45" s="30"/>
      <c r="NUE45" s="31"/>
      <c r="NUF45" s="30"/>
      <c r="NUG45" s="31"/>
      <c r="NUH45" s="30"/>
      <c r="NUI45" s="31"/>
      <c r="NUJ45" s="30"/>
      <c r="NUK45" s="31"/>
      <c r="NUL45" s="30"/>
      <c r="NUM45" s="31"/>
      <c r="NUN45" s="30"/>
      <c r="NUO45" s="31"/>
      <c r="NUP45" s="30"/>
      <c r="NUQ45" s="31"/>
      <c r="NUR45" s="30"/>
      <c r="NUS45" s="31"/>
      <c r="NUT45" s="30"/>
      <c r="NUU45" s="31"/>
      <c r="NUV45" s="30"/>
      <c r="NUW45" s="31"/>
      <c r="NUX45" s="30"/>
      <c r="NUY45" s="31"/>
      <c r="NUZ45" s="30"/>
      <c r="NVA45" s="31"/>
      <c r="NVB45" s="30"/>
      <c r="NVC45" s="31"/>
      <c r="NVD45" s="30"/>
      <c r="NVE45" s="31"/>
      <c r="NVF45" s="30"/>
      <c r="NVG45" s="31"/>
      <c r="NVH45" s="30"/>
      <c r="NVI45" s="31"/>
      <c r="NVJ45" s="30"/>
      <c r="NVK45" s="31"/>
      <c r="NVL45" s="30"/>
      <c r="NVM45" s="31"/>
      <c r="NVN45" s="30"/>
      <c r="NVO45" s="31"/>
      <c r="NVP45" s="30"/>
      <c r="NVQ45" s="31"/>
      <c r="NVR45" s="30"/>
      <c r="NVS45" s="31"/>
      <c r="NVT45" s="30"/>
      <c r="NVU45" s="31"/>
      <c r="NVV45" s="30"/>
      <c r="NVW45" s="31"/>
      <c r="NVX45" s="30"/>
      <c r="NVY45" s="31"/>
      <c r="NVZ45" s="30"/>
      <c r="NWA45" s="31"/>
      <c r="NWB45" s="30"/>
      <c r="NWC45" s="31"/>
      <c r="NWD45" s="30"/>
      <c r="NWE45" s="31"/>
      <c r="NWF45" s="30"/>
      <c r="NWG45" s="31"/>
      <c r="NWH45" s="30"/>
      <c r="NWI45" s="31"/>
      <c r="NWJ45" s="30"/>
      <c r="NWK45" s="31"/>
      <c r="NWL45" s="30"/>
      <c r="NWM45" s="31"/>
      <c r="NWN45" s="30"/>
      <c r="NWO45" s="31"/>
      <c r="NWP45" s="30"/>
      <c r="NWQ45" s="31"/>
      <c r="NWR45" s="30"/>
      <c r="NWS45" s="31"/>
      <c r="NWT45" s="30"/>
      <c r="NWU45" s="31"/>
      <c r="NWV45" s="30"/>
      <c r="NWW45" s="31"/>
      <c r="NWX45" s="30"/>
      <c r="NWY45" s="31"/>
      <c r="NWZ45" s="30"/>
      <c r="NXA45" s="31"/>
      <c r="NXB45" s="30"/>
      <c r="NXC45" s="31"/>
      <c r="NXD45" s="30"/>
      <c r="NXE45" s="31"/>
      <c r="NXF45" s="30"/>
      <c r="NXG45" s="31"/>
      <c r="NXH45" s="30"/>
      <c r="NXI45" s="31"/>
      <c r="NXJ45" s="30"/>
      <c r="NXK45" s="31"/>
      <c r="NXL45" s="30"/>
      <c r="NXM45" s="31"/>
      <c r="NXN45" s="30"/>
      <c r="NXO45" s="31"/>
      <c r="NXP45" s="30"/>
      <c r="NXQ45" s="31"/>
      <c r="NXR45" s="30"/>
      <c r="NXS45" s="31"/>
      <c r="NXT45" s="30"/>
      <c r="NXU45" s="31"/>
      <c r="NXV45" s="30"/>
      <c r="NXW45" s="31"/>
      <c r="NXX45" s="30"/>
      <c r="NXY45" s="31"/>
      <c r="NXZ45" s="30"/>
      <c r="NYA45" s="31"/>
      <c r="NYB45" s="30"/>
      <c r="NYC45" s="31"/>
      <c r="NYD45" s="30"/>
      <c r="NYE45" s="31"/>
      <c r="NYF45" s="30"/>
      <c r="NYG45" s="31"/>
      <c r="NYH45" s="30"/>
      <c r="NYI45" s="31"/>
      <c r="NYJ45" s="30"/>
      <c r="NYK45" s="31"/>
      <c r="NYL45" s="30"/>
      <c r="NYM45" s="31"/>
      <c r="NYN45" s="30"/>
      <c r="NYO45" s="31"/>
      <c r="NYP45" s="30"/>
      <c r="NYQ45" s="31"/>
      <c r="NYR45" s="30"/>
      <c r="NYS45" s="31"/>
      <c r="NYT45" s="30"/>
      <c r="NYU45" s="31"/>
      <c r="NYV45" s="30"/>
      <c r="NYW45" s="31"/>
      <c r="NYX45" s="30"/>
      <c r="NYY45" s="31"/>
      <c r="NYZ45" s="30"/>
      <c r="NZA45" s="31"/>
      <c r="NZB45" s="30"/>
      <c r="NZC45" s="31"/>
      <c r="NZD45" s="30"/>
      <c r="NZE45" s="31"/>
      <c r="NZF45" s="30"/>
      <c r="NZG45" s="31"/>
      <c r="NZH45" s="30"/>
      <c r="NZI45" s="31"/>
      <c r="NZJ45" s="30"/>
      <c r="NZK45" s="31"/>
      <c r="NZL45" s="30"/>
      <c r="NZM45" s="31"/>
      <c r="NZN45" s="30"/>
      <c r="NZO45" s="31"/>
      <c r="NZP45" s="30"/>
      <c r="NZQ45" s="31"/>
      <c r="NZR45" s="30"/>
      <c r="NZS45" s="31"/>
      <c r="NZT45" s="30"/>
      <c r="NZU45" s="31"/>
      <c r="NZV45" s="30"/>
      <c r="NZW45" s="31"/>
      <c r="NZX45" s="30"/>
      <c r="NZY45" s="31"/>
      <c r="NZZ45" s="30"/>
      <c r="OAA45" s="31"/>
      <c r="OAB45" s="30"/>
      <c r="OAC45" s="31"/>
      <c r="OAD45" s="30"/>
      <c r="OAE45" s="31"/>
      <c r="OAF45" s="30"/>
      <c r="OAG45" s="31"/>
      <c r="OAH45" s="30"/>
      <c r="OAI45" s="31"/>
      <c r="OAJ45" s="30"/>
      <c r="OAK45" s="31"/>
      <c r="OAL45" s="30"/>
      <c r="OAM45" s="31"/>
      <c r="OAN45" s="30"/>
      <c r="OAO45" s="31"/>
      <c r="OAP45" s="30"/>
      <c r="OAQ45" s="31"/>
      <c r="OAR45" s="30"/>
      <c r="OAS45" s="31"/>
      <c r="OAT45" s="30"/>
      <c r="OAU45" s="31"/>
      <c r="OAV45" s="30"/>
      <c r="OAW45" s="31"/>
      <c r="OAX45" s="30"/>
      <c r="OAY45" s="31"/>
      <c r="OAZ45" s="30"/>
      <c r="OBA45" s="31"/>
      <c r="OBB45" s="30"/>
      <c r="OBC45" s="31"/>
      <c r="OBD45" s="30"/>
      <c r="OBE45" s="31"/>
      <c r="OBF45" s="30"/>
      <c r="OBG45" s="31"/>
      <c r="OBH45" s="30"/>
      <c r="OBI45" s="31"/>
      <c r="OBJ45" s="30"/>
      <c r="OBK45" s="31"/>
      <c r="OBL45" s="30"/>
      <c r="OBM45" s="31"/>
      <c r="OBN45" s="30"/>
      <c r="OBO45" s="31"/>
      <c r="OBP45" s="30"/>
      <c r="OBQ45" s="31"/>
      <c r="OBR45" s="30"/>
      <c r="OBS45" s="31"/>
      <c r="OBT45" s="30"/>
      <c r="OBU45" s="31"/>
      <c r="OBV45" s="30"/>
      <c r="OBW45" s="31"/>
      <c r="OBX45" s="30"/>
      <c r="OBY45" s="31"/>
      <c r="OBZ45" s="30"/>
      <c r="OCA45" s="31"/>
      <c r="OCB45" s="30"/>
      <c r="OCC45" s="31"/>
      <c r="OCD45" s="30"/>
      <c r="OCE45" s="31"/>
      <c r="OCF45" s="30"/>
      <c r="OCG45" s="31"/>
      <c r="OCH45" s="30"/>
      <c r="OCI45" s="31"/>
      <c r="OCJ45" s="30"/>
      <c r="OCK45" s="31"/>
      <c r="OCL45" s="30"/>
      <c r="OCM45" s="31"/>
      <c r="OCN45" s="30"/>
      <c r="OCO45" s="31"/>
      <c r="OCP45" s="30"/>
      <c r="OCQ45" s="31"/>
      <c r="OCR45" s="30"/>
      <c r="OCS45" s="31"/>
      <c r="OCT45" s="30"/>
      <c r="OCU45" s="31"/>
      <c r="OCV45" s="30"/>
      <c r="OCW45" s="31"/>
      <c r="OCX45" s="30"/>
      <c r="OCY45" s="31"/>
      <c r="OCZ45" s="30"/>
      <c r="ODA45" s="31"/>
      <c r="ODB45" s="30"/>
      <c r="ODC45" s="31"/>
      <c r="ODD45" s="30"/>
      <c r="ODE45" s="31"/>
      <c r="ODF45" s="30"/>
      <c r="ODG45" s="31"/>
      <c r="ODH45" s="30"/>
      <c r="ODI45" s="31"/>
      <c r="ODJ45" s="30"/>
      <c r="ODK45" s="31"/>
      <c r="ODL45" s="30"/>
      <c r="ODM45" s="31"/>
      <c r="ODN45" s="30"/>
      <c r="ODO45" s="31"/>
      <c r="ODP45" s="30"/>
      <c r="ODQ45" s="31"/>
      <c r="ODR45" s="30"/>
      <c r="ODS45" s="31"/>
      <c r="ODT45" s="30"/>
      <c r="ODU45" s="31"/>
      <c r="ODV45" s="30"/>
      <c r="ODW45" s="31"/>
      <c r="ODX45" s="30"/>
      <c r="ODY45" s="31"/>
      <c r="ODZ45" s="30"/>
      <c r="OEA45" s="31"/>
      <c r="OEB45" s="30"/>
      <c r="OEC45" s="31"/>
      <c r="OED45" s="30"/>
      <c r="OEE45" s="31"/>
      <c r="OEF45" s="30"/>
      <c r="OEG45" s="31"/>
      <c r="OEH45" s="30"/>
      <c r="OEI45" s="31"/>
      <c r="OEJ45" s="30"/>
      <c r="OEK45" s="31"/>
      <c r="OEL45" s="30"/>
      <c r="OEM45" s="31"/>
      <c r="OEN45" s="30"/>
      <c r="OEO45" s="31"/>
      <c r="OEP45" s="30"/>
      <c r="OEQ45" s="31"/>
      <c r="OER45" s="30"/>
      <c r="OES45" s="31"/>
      <c r="OET45" s="30"/>
      <c r="OEU45" s="31"/>
      <c r="OEV45" s="30"/>
      <c r="OEW45" s="31"/>
      <c r="OEX45" s="30"/>
      <c r="OEY45" s="31"/>
      <c r="OEZ45" s="30"/>
      <c r="OFA45" s="31"/>
      <c r="OFB45" s="30"/>
      <c r="OFC45" s="31"/>
      <c r="OFD45" s="30"/>
      <c r="OFE45" s="31"/>
      <c r="OFF45" s="30"/>
      <c r="OFG45" s="31"/>
      <c r="OFH45" s="30"/>
      <c r="OFI45" s="31"/>
      <c r="OFJ45" s="30"/>
      <c r="OFK45" s="31"/>
      <c r="OFL45" s="30"/>
      <c r="OFM45" s="31"/>
      <c r="OFN45" s="30"/>
      <c r="OFO45" s="31"/>
      <c r="OFP45" s="30"/>
      <c r="OFQ45" s="31"/>
      <c r="OFR45" s="30"/>
      <c r="OFS45" s="31"/>
      <c r="OFT45" s="30"/>
      <c r="OFU45" s="31"/>
      <c r="OFV45" s="30"/>
      <c r="OFW45" s="31"/>
      <c r="OFX45" s="30"/>
      <c r="OFY45" s="31"/>
      <c r="OFZ45" s="30"/>
      <c r="OGA45" s="31"/>
      <c r="OGB45" s="30"/>
      <c r="OGC45" s="31"/>
      <c r="OGD45" s="30"/>
      <c r="OGE45" s="31"/>
      <c r="OGF45" s="30"/>
      <c r="OGG45" s="31"/>
      <c r="OGH45" s="30"/>
      <c r="OGI45" s="31"/>
      <c r="OGJ45" s="30"/>
      <c r="OGK45" s="31"/>
      <c r="OGL45" s="30"/>
      <c r="OGM45" s="31"/>
      <c r="OGN45" s="30"/>
      <c r="OGO45" s="31"/>
      <c r="OGP45" s="30"/>
      <c r="OGQ45" s="31"/>
      <c r="OGR45" s="30"/>
      <c r="OGS45" s="31"/>
      <c r="OGT45" s="30"/>
      <c r="OGU45" s="31"/>
      <c r="OGV45" s="30"/>
      <c r="OGW45" s="31"/>
      <c r="OGX45" s="30"/>
      <c r="OGY45" s="31"/>
      <c r="OGZ45" s="30"/>
      <c r="OHA45" s="31"/>
      <c r="OHB45" s="30"/>
      <c r="OHC45" s="31"/>
      <c r="OHD45" s="30"/>
      <c r="OHE45" s="31"/>
      <c r="OHF45" s="30"/>
      <c r="OHG45" s="31"/>
      <c r="OHH45" s="30"/>
      <c r="OHI45" s="31"/>
      <c r="OHJ45" s="30"/>
      <c r="OHK45" s="31"/>
      <c r="OHL45" s="30"/>
      <c r="OHM45" s="31"/>
      <c r="OHN45" s="30"/>
      <c r="OHO45" s="31"/>
      <c r="OHP45" s="30"/>
      <c r="OHQ45" s="31"/>
      <c r="OHR45" s="30"/>
      <c r="OHS45" s="31"/>
      <c r="OHT45" s="30"/>
      <c r="OHU45" s="31"/>
      <c r="OHV45" s="30"/>
      <c r="OHW45" s="31"/>
      <c r="OHX45" s="30"/>
      <c r="OHY45" s="31"/>
      <c r="OHZ45" s="30"/>
      <c r="OIA45" s="31"/>
      <c r="OIB45" s="30"/>
      <c r="OIC45" s="31"/>
      <c r="OID45" s="30"/>
      <c r="OIE45" s="31"/>
      <c r="OIF45" s="30"/>
      <c r="OIG45" s="31"/>
      <c r="OIH45" s="30"/>
      <c r="OII45" s="31"/>
      <c r="OIJ45" s="30"/>
      <c r="OIK45" s="31"/>
      <c r="OIL45" s="30"/>
      <c r="OIM45" s="31"/>
      <c r="OIN45" s="30"/>
      <c r="OIO45" s="31"/>
      <c r="OIP45" s="30"/>
      <c r="OIQ45" s="31"/>
      <c r="OIR45" s="30"/>
      <c r="OIS45" s="31"/>
      <c r="OIT45" s="30"/>
      <c r="OIU45" s="31"/>
      <c r="OIV45" s="30"/>
      <c r="OIW45" s="31"/>
      <c r="OIX45" s="30"/>
      <c r="OIY45" s="31"/>
      <c r="OIZ45" s="30"/>
      <c r="OJA45" s="31"/>
      <c r="OJB45" s="30"/>
      <c r="OJC45" s="31"/>
      <c r="OJD45" s="30"/>
      <c r="OJE45" s="31"/>
      <c r="OJF45" s="30"/>
      <c r="OJG45" s="31"/>
      <c r="OJH45" s="30"/>
      <c r="OJI45" s="31"/>
      <c r="OJJ45" s="30"/>
      <c r="OJK45" s="31"/>
      <c r="OJL45" s="30"/>
      <c r="OJM45" s="31"/>
      <c r="OJN45" s="30"/>
      <c r="OJO45" s="31"/>
      <c r="OJP45" s="30"/>
      <c r="OJQ45" s="31"/>
      <c r="OJR45" s="30"/>
      <c r="OJS45" s="31"/>
      <c r="OJT45" s="30"/>
      <c r="OJU45" s="31"/>
      <c r="OJV45" s="30"/>
      <c r="OJW45" s="31"/>
      <c r="OJX45" s="30"/>
      <c r="OJY45" s="31"/>
      <c r="OJZ45" s="30"/>
      <c r="OKA45" s="31"/>
      <c r="OKB45" s="30"/>
      <c r="OKC45" s="31"/>
      <c r="OKD45" s="30"/>
      <c r="OKE45" s="31"/>
      <c r="OKF45" s="30"/>
      <c r="OKG45" s="31"/>
      <c r="OKH45" s="30"/>
      <c r="OKI45" s="31"/>
      <c r="OKJ45" s="30"/>
      <c r="OKK45" s="31"/>
      <c r="OKL45" s="30"/>
      <c r="OKM45" s="31"/>
      <c r="OKN45" s="30"/>
      <c r="OKO45" s="31"/>
      <c r="OKP45" s="30"/>
      <c r="OKQ45" s="31"/>
      <c r="OKR45" s="30"/>
      <c r="OKS45" s="31"/>
      <c r="OKT45" s="30"/>
      <c r="OKU45" s="31"/>
      <c r="OKV45" s="30"/>
      <c r="OKW45" s="31"/>
      <c r="OKX45" s="30"/>
      <c r="OKY45" s="31"/>
      <c r="OKZ45" s="30"/>
      <c r="OLA45" s="31"/>
      <c r="OLB45" s="30"/>
      <c r="OLC45" s="31"/>
      <c r="OLD45" s="30"/>
      <c r="OLE45" s="31"/>
      <c r="OLF45" s="30"/>
      <c r="OLG45" s="31"/>
      <c r="OLH45" s="30"/>
      <c r="OLI45" s="31"/>
      <c r="OLJ45" s="30"/>
      <c r="OLK45" s="31"/>
      <c r="OLL45" s="30"/>
      <c r="OLM45" s="31"/>
      <c r="OLN45" s="30"/>
      <c r="OLO45" s="31"/>
      <c r="OLP45" s="30"/>
      <c r="OLQ45" s="31"/>
      <c r="OLR45" s="30"/>
      <c r="OLS45" s="31"/>
      <c r="OLT45" s="30"/>
      <c r="OLU45" s="31"/>
      <c r="OLV45" s="30"/>
      <c r="OLW45" s="31"/>
      <c r="OLX45" s="30"/>
      <c r="OLY45" s="31"/>
      <c r="OLZ45" s="30"/>
      <c r="OMA45" s="31"/>
      <c r="OMB45" s="30"/>
      <c r="OMC45" s="31"/>
      <c r="OMD45" s="30"/>
      <c r="OME45" s="31"/>
      <c r="OMF45" s="30"/>
      <c r="OMG45" s="31"/>
      <c r="OMH45" s="30"/>
      <c r="OMI45" s="31"/>
      <c r="OMJ45" s="30"/>
      <c r="OMK45" s="31"/>
      <c r="OML45" s="30"/>
      <c r="OMM45" s="31"/>
      <c r="OMN45" s="30"/>
      <c r="OMO45" s="31"/>
      <c r="OMP45" s="30"/>
      <c r="OMQ45" s="31"/>
      <c r="OMR45" s="30"/>
      <c r="OMS45" s="31"/>
      <c r="OMT45" s="30"/>
      <c r="OMU45" s="31"/>
      <c r="OMV45" s="30"/>
      <c r="OMW45" s="31"/>
      <c r="OMX45" s="30"/>
      <c r="OMY45" s="31"/>
      <c r="OMZ45" s="30"/>
      <c r="ONA45" s="31"/>
      <c r="ONB45" s="30"/>
      <c r="ONC45" s="31"/>
      <c r="OND45" s="30"/>
      <c r="ONE45" s="31"/>
      <c r="ONF45" s="30"/>
      <c r="ONG45" s="31"/>
      <c r="ONH45" s="30"/>
      <c r="ONI45" s="31"/>
      <c r="ONJ45" s="30"/>
      <c r="ONK45" s="31"/>
      <c r="ONL45" s="30"/>
      <c r="ONM45" s="31"/>
      <c r="ONN45" s="30"/>
      <c r="ONO45" s="31"/>
      <c r="ONP45" s="30"/>
      <c r="ONQ45" s="31"/>
      <c r="ONR45" s="30"/>
      <c r="ONS45" s="31"/>
      <c r="ONT45" s="30"/>
      <c r="ONU45" s="31"/>
      <c r="ONV45" s="30"/>
      <c r="ONW45" s="31"/>
      <c r="ONX45" s="30"/>
      <c r="ONY45" s="31"/>
      <c r="ONZ45" s="30"/>
      <c r="OOA45" s="31"/>
      <c r="OOB45" s="30"/>
      <c r="OOC45" s="31"/>
      <c r="OOD45" s="30"/>
      <c r="OOE45" s="31"/>
      <c r="OOF45" s="30"/>
      <c r="OOG45" s="31"/>
      <c r="OOH45" s="30"/>
      <c r="OOI45" s="31"/>
      <c r="OOJ45" s="30"/>
      <c r="OOK45" s="31"/>
      <c r="OOL45" s="30"/>
      <c r="OOM45" s="31"/>
      <c r="OON45" s="30"/>
      <c r="OOO45" s="31"/>
      <c r="OOP45" s="30"/>
      <c r="OOQ45" s="31"/>
      <c r="OOR45" s="30"/>
      <c r="OOS45" s="31"/>
      <c r="OOT45" s="30"/>
      <c r="OOU45" s="31"/>
      <c r="OOV45" s="30"/>
      <c r="OOW45" s="31"/>
      <c r="OOX45" s="30"/>
      <c r="OOY45" s="31"/>
      <c r="OOZ45" s="30"/>
      <c r="OPA45" s="31"/>
      <c r="OPB45" s="30"/>
      <c r="OPC45" s="31"/>
      <c r="OPD45" s="30"/>
      <c r="OPE45" s="31"/>
      <c r="OPF45" s="30"/>
      <c r="OPG45" s="31"/>
      <c r="OPH45" s="30"/>
      <c r="OPI45" s="31"/>
      <c r="OPJ45" s="30"/>
      <c r="OPK45" s="31"/>
      <c r="OPL45" s="30"/>
      <c r="OPM45" s="31"/>
      <c r="OPN45" s="30"/>
      <c r="OPO45" s="31"/>
      <c r="OPP45" s="30"/>
      <c r="OPQ45" s="31"/>
      <c r="OPR45" s="30"/>
      <c r="OPS45" s="31"/>
      <c r="OPT45" s="30"/>
      <c r="OPU45" s="31"/>
      <c r="OPV45" s="30"/>
      <c r="OPW45" s="31"/>
      <c r="OPX45" s="30"/>
      <c r="OPY45" s="31"/>
      <c r="OPZ45" s="30"/>
      <c r="OQA45" s="31"/>
      <c r="OQB45" s="30"/>
      <c r="OQC45" s="31"/>
      <c r="OQD45" s="30"/>
      <c r="OQE45" s="31"/>
      <c r="OQF45" s="30"/>
      <c r="OQG45" s="31"/>
      <c r="OQH45" s="30"/>
      <c r="OQI45" s="31"/>
      <c r="OQJ45" s="30"/>
      <c r="OQK45" s="31"/>
      <c r="OQL45" s="30"/>
      <c r="OQM45" s="31"/>
      <c r="OQN45" s="30"/>
      <c r="OQO45" s="31"/>
      <c r="OQP45" s="30"/>
      <c r="OQQ45" s="31"/>
      <c r="OQR45" s="30"/>
      <c r="OQS45" s="31"/>
      <c r="OQT45" s="30"/>
      <c r="OQU45" s="31"/>
      <c r="OQV45" s="30"/>
      <c r="OQW45" s="31"/>
      <c r="OQX45" s="30"/>
      <c r="OQY45" s="31"/>
      <c r="OQZ45" s="30"/>
      <c r="ORA45" s="31"/>
      <c r="ORB45" s="30"/>
      <c r="ORC45" s="31"/>
      <c r="ORD45" s="30"/>
      <c r="ORE45" s="31"/>
      <c r="ORF45" s="30"/>
      <c r="ORG45" s="31"/>
      <c r="ORH45" s="30"/>
      <c r="ORI45" s="31"/>
      <c r="ORJ45" s="30"/>
      <c r="ORK45" s="31"/>
      <c r="ORL45" s="30"/>
      <c r="ORM45" s="31"/>
      <c r="ORN45" s="30"/>
      <c r="ORO45" s="31"/>
      <c r="ORP45" s="30"/>
      <c r="ORQ45" s="31"/>
      <c r="ORR45" s="30"/>
      <c r="ORS45" s="31"/>
      <c r="ORT45" s="30"/>
      <c r="ORU45" s="31"/>
      <c r="ORV45" s="30"/>
      <c r="ORW45" s="31"/>
      <c r="ORX45" s="30"/>
      <c r="ORY45" s="31"/>
      <c r="ORZ45" s="30"/>
      <c r="OSA45" s="31"/>
      <c r="OSB45" s="30"/>
      <c r="OSC45" s="31"/>
      <c r="OSD45" s="30"/>
      <c r="OSE45" s="31"/>
      <c r="OSF45" s="30"/>
      <c r="OSG45" s="31"/>
      <c r="OSH45" s="30"/>
      <c r="OSI45" s="31"/>
      <c r="OSJ45" s="30"/>
      <c r="OSK45" s="31"/>
      <c r="OSL45" s="30"/>
      <c r="OSM45" s="31"/>
      <c r="OSN45" s="30"/>
      <c r="OSO45" s="31"/>
      <c r="OSP45" s="30"/>
      <c r="OSQ45" s="31"/>
      <c r="OSR45" s="30"/>
      <c r="OSS45" s="31"/>
      <c r="OST45" s="30"/>
      <c r="OSU45" s="31"/>
      <c r="OSV45" s="30"/>
      <c r="OSW45" s="31"/>
      <c r="OSX45" s="30"/>
      <c r="OSY45" s="31"/>
      <c r="OSZ45" s="30"/>
      <c r="OTA45" s="31"/>
      <c r="OTB45" s="30"/>
      <c r="OTC45" s="31"/>
      <c r="OTD45" s="30"/>
      <c r="OTE45" s="31"/>
      <c r="OTF45" s="30"/>
      <c r="OTG45" s="31"/>
      <c r="OTH45" s="30"/>
      <c r="OTI45" s="31"/>
      <c r="OTJ45" s="30"/>
      <c r="OTK45" s="31"/>
      <c r="OTL45" s="30"/>
      <c r="OTM45" s="31"/>
      <c r="OTN45" s="30"/>
      <c r="OTO45" s="31"/>
      <c r="OTP45" s="30"/>
      <c r="OTQ45" s="31"/>
      <c r="OTR45" s="30"/>
      <c r="OTS45" s="31"/>
      <c r="OTT45" s="30"/>
      <c r="OTU45" s="31"/>
      <c r="OTV45" s="30"/>
      <c r="OTW45" s="31"/>
      <c r="OTX45" s="30"/>
      <c r="OTY45" s="31"/>
      <c r="OTZ45" s="30"/>
      <c r="OUA45" s="31"/>
      <c r="OUB45" s="30"/>
      <c r="OUC45" s="31"/>
      <c r="OUD45" s="30"/>
      <c r="OUE45" s="31"/>
      <c r="OUF45" s="30"/>
      <c r="OUG45" s="31"/>
      <c r="OUH45" s="30"/>
      <c r="OUI45" s="31"/>
      <c r="OUJ45" s="30"/>
      <c r="OUK45" s="31"/>
      <c r="OUL45" s="30"/>
      <c r="OUM45" s="31"/>
      <c r="OUN45" s="30"/>
      <c r="OUO45" s="31"/>
      <c r="OUP45" s="30"/>
      <c r="OUQ45" s="31"/>
      <c r="OUR45" s="30"/>
      <c r="OUS45" s="31"/>
      <c r="OUT45" s="30"/>
      <c r="OUU45" s="31"/>
      <c r="OUV45" s="30"/>
      <c r="OUW45" s="31"/>
      <c r="OUX45" s="30"/>
      <c r="OUY45" s="31"/>
      <c r="OUZ45" s="30"/>
      <c r="OVA45" s="31"/>
      <c r="OVB45" s="30"/>
      <c r="OVC45" s="31"/>
      <c r="OVD45" s="30"/>
      <c r="OVE45" s="31"/>
      <c r="OVF45" s="30"/>
      <c r="OVG45" s="31"/>
      <c r="OVH45" s="30"/>
      <c r="OVI45" s="31"/>
      <c r="OVJ45" s="30"/>
      <c r="OVK45" s="31"/>
      <c r="OVL45" s="30"/>
      <c r="OVM45" s="31"/>
      <c r="OVN45" s="30"/>
      <c r="OVO45" s="31"/>
      <c r="OVP45" s="30"/>
      <c r="OVQ45" s="31"/>
      <c r="OVR45" s="30"/>
      <c r="OVS45" s="31"/>
      <c r="OVT45" s="30"/>
      <c r="OVU45" s="31"/>
      <c r="OVV45" s="30"/>
      <c r="OVW45" s="31"/>
      <c r="OVX45" s="30"/>
      <c r="OVY45" s="31"/>
      <c r="OVZ45" s="30"/>
      <c r="OWA45" s="31"/>
      <c r="OWB45" s="30"/>
      <c r="OWC45" s="31"/>
      <c r="OWD45" s="30"/>
      <c r="OWE45" s="31"/>
      <c r="OWF45" s="30"/>
      <c r="OWG45" s="31"/>
      <c r="OWH45" s="30"/>
      <c r="OWI45" s="31"/>
      <c r="OWJ45" s="30"/>
      <c r="OWK45" s="31"/>
      <c r="OWL45" s="30"/>
      <c r="OWM45" s="31"/>
      <c r="OWN45" s="30"/>
      <c r="OWO45" s="31"/>
      <c r="OWP45" s="30"/>
      <c r="OWQ45" s="31"/>
      <c r="OWR45" s="30"/>
      <c r="OWS45" s="31"/>
      <c r="OWT45" s="30"/>
      <c r="OWU45" s="31"/>
      <c r="OWV45" s="30"/>
      <c r="OWW45" s="31"/>
      <c r="OWX45" s="30"/>
      <c r="OWY45" s="31"/>
      <c r="OWZ45" s="30"/>
      <c r="OXA45" s="31"/>
      <c r="OXB45" s="30"/>
      <c r="OXC45" s="31"/>
      <c r="OXD45" s="30"/>
      <c r="OXE45" s="31"/>
      <c r="OXF45" s="30"/>
      <c r="OXG45" s="31"/>
      <c r="OXH45" s="30"/>
      <c r="OXI45" s="31"/>
      <c r="OXJ45" s="30"/>
      <c r="OXK45" s="31"/>
      <c r="OXL45" s="30"/>
      <c r="OXM45" s="31"/>
      <c r="OXN45" s="30"/>
      <c r="OXO45" s="31"/>
      <c r="OXP45" s="30"/>
      <c r="OXQ45" s="31"/>
      <c r="OXR45" s="30"/>
      <c r="OXS45" s="31"/>
      <c r="OXT45" s="30"/>
      <c r="OXU45" s="31"/>
      <c r="OXV45" s="30"/>
      <c r="OXW45" s="31"/>
      <c r="OXX45" s="30"/>
      <c r="OXY45" s="31"/>
      <c r="OXZ45" s="30"/>
      <c r="OYA45" s="31"/>
      <c r="OYB45" s="30"/>
      <c r="OYC45" s="31"/>
      <c r="OYD45" s="30"/>
      <c r="OYE45" s="31"/>
      <c r="OYF45" s="30"/>
      <c r="OYG45" s="31"/>
      <c r="OYH45" s="30"/>
      <c r="OYI45" s="31"/>
      <c r="OYJ45" s="30"/>
      <c r="OYK45" s="31"/>
      <c r="OYL45" s="30"/>
      <c r="OYM45" s="31"/>
      <c r="OYN45" s="30"/>
      <c r="OYO45" s="31"/>
      <c r="OYP45" s="30"/>
      <c r="OYQ45" s="31"/>
      <c r="OYR45" s="30"/>
      <c r="OYS45" s="31"/>
      <c r="OYT45" s="30"/>
      <c r="OYU45" s="31"/>
      <c r="OYV45" s="30"/>
      <c r="OYW45" s="31"/>
      <c r="OYX45" s="30"/>
      <c r="OYY45" s="31"/>
      <c r="OYZ45" s="30"/>
      <c r="OZA45" s="31"/>
      <c r="OZB45" s="30"/>
      <c r="OZC45" s="31"/>
      <c r="OZD45" s="30"/>
      <c r="OZE45" s="31"/>
      <c r="OZF45" s="30"/>
      <c r="OZG45" s="31"/>
      <c r="OZH45" s="30"/>
      <c r="OZI45" s="31"/>
      <c r="OZJ45" s="30"/>
      <c r="OZK45" s="31"/>
      <c r="OZL45" s="30"/>
      <c r="OZM45" s="31"/>
      <c r="OZN45" s="30"/>
      <c r="OZO45" s="31"/>
      <c r="OZP45" s="30"/>
      <c r="OZQ45" s="31"/>
      <c r="OZR45" s="30"/>
      <c r="OZS45" s="31"/>
      <c r="OZT45" s="30"/>
      <c r="OZU45" s="31"/>
      <c r="OZV45" s="30"/>
      <c r="OZW45" s="31"/>
      <c r="OZX45" s="30"/>
      <c r="OZY45" s="31"/>
      <c r="OZZ45" s="30"/>
      <c r="PAA45" s="31"/>
      <c r="PAB45" s="30"/>
      <c r="PAC45" s="31"/>
      <c r="PAD45" s="30"/>
      <c r="PAE45" s="31"/>
      <c r="PAF45" s="30"/>
      <c r="PAG45" s="31"/>
      <c r="PAH45" s="30"/>
      <c r="PAI45" s="31"/>
      <c r="PAJ45" s="30"/>
      <c r="PAK45" s="31"/>
      <c r="PAL45" s="30"/>
      <c r="PAM45" s="31"/>
      <c r="PAN45" s="30"/>
      <c r="PAO45" s="31"/>
      <c r="PAP45" s="30"/>
      <c r="PAQ45" s="31"/>
      <c r="PAR45" s="30"/>
      <c r="PAS45" s="31"/>
      <c r="PAT45" s="30"/>
      <c r="PAU45" s="31"/>
      <c r="PAV45" s="30"/>
      <c r="PAW45" s="31"/>
      <c r="PAX45" s="30"/>
      <c r="PAY45" s="31"/>
      <c r="PAZ45" s="30"/>
      <c r="PBA45" s="31"/>
      <c r="PBB45" s="30"/>
      <c r="PBC45" s="31"/>
      <c r="PBD45" s="30"/>
      <c r="PBE45" s="31"/>
      <c r="PBF45" s="30"/>
      <c r="PBG45" s="31"/>
      <c r="PBH45" s="30"/>
      <c r="PBI45" s="31"/>
      <c r="PBJ45" s="30"/>
      <c r="PBK45" s="31"/>
      <c r="PBL45" s="30"/>
      <c r="PBM45" s="31"/>
      <c r="PBN45" s="30"/>
      <c r="PBO45" s="31"/>
      <c r="PBP45" s="30"/>
      <c r="PBQ45" s="31"/>
      <c r="PBR45" s="30"/>
      <c r="PBS45" s="31"/>
      <c r="PBT45" s="30"/>
      <c r="PBU45" s="31"/>
      <c r="PBV45" s="30"/>
      <c r="PBW45" s="31"/>
      <c r="PBX45" s="30"/>
      <c r="PBY45" s="31"/>
      <c r="PBZ45" s="30"/>
      <c r="PCA45" s="31"/>
      <c r="PCB45" s="30"/>
      <c r="PCC45" s="31"/>
      <c r="PCD45" s="30"/>
      <c r="PCE45" s="31"/>
      <c r="PCF45" s="30"/>
      <c r="PCG45" s="31"/>
      <c r="PCH45" s="30"/>
      <c r="PCI45" s="31"/>
      <c r="PCJ45" s="30"/>
      <c r="PCK45" s="31"/>
      <c r="PCL45" s="30"/>
      <c r="PCM45" s="31"/>
      <c r="PCN45" s="30"/>
      <c r="PCO45" s="31"/>
      <c r="PCP45" s="30"/>
      <c r="PCQ45" s="31"/>
      <c r="PCR45" s="30"/>
      <c r="PCS45" s="31"/>
      <c r="PCT45" s="30"/>
      <c r="PCU45" s="31"/>
      <c r="PCV45" s="30"/>
      <c r="PCW45" s="31"/>
      <c r="PCX45" s="30"/>
      <c r="PCY45" s="31"/>
      <c r="PCZ45" s="30"/>
      <c r="PDA45" s="31"/>
      <c r="PDB45" s="30"/>
      <c r="PDC45" s="31"/>
      <c r="PDD45" s="30"/>
      <c r="PDE45" s="31"/>
      <c r="PDF45" s="30"/>
      <c r="PDG45" s="31"/>
      <c r="PDH45" s="30"/>
      <c r="PDI45" s="31"/>
      <c r="PDJ45" s="30"/>
      <c r="PDK45" s="31"/>
      <c r="PDL45" s="30"/>
      <c r="PDM45" s="31"/>
      <c r="PDN45" s="30"/>
      <c r="PDO45" s="31"/>
      <c r="PDP45" s="30"/>
      <c r="PDQ45" s="31"/>
      <c r="PDR45" s="30"/>
      <c r="PDS45" s="31"/>
      <c r="PDT45" s="30"/>
      <c r="PDU45" s="31"/>
      <c r="PDV45" s="30"/>
      <c r="PDW45" s="31"/>
      <c r="PDX45" s="30"/>
      <c r="PDY45" s="31"/>
      <c r="PDZ45" s="30"/>
      <c r="PEA45" s="31"/>
      <c r="PEB45" s="30"/>
      <c r="PEC45" s="31"/>
      <c r="PED45" s="30"/>
      <c r="PEE45" s="31"/>
      <c r="PEF45" s="30"/>
      <c r="PEG45" s="31"/>
      <c r="PEH45" s="30"/>
      <c r="PEI45" s="31"/>
      <c r="PEJ45" s="30"/>
      <c r="PEK45" s="31"/>
      <c r="PEL45" s="30"/>
      <c r="PEM45" s="31"/>
      <c r="PEN45" s="30"/>
      <c r="PEO45" s="31"/>
      <c r="PEP45" s="30"/>
      <c r="PEQ45" s="31"/>
      <c r="PER45" s="30"/>
      <c r="PES45" s="31"/>
      <c r="PET45" s="30"/>
      <c r="PEU45" s="31"/>
      <c r="PEV45" s="30"/>
      <c r="PEW45" s="31"/>
      <c r="PEX45" s="30"/>
      <c r="PEY45" s="31"/>
      <c r="PEZ45" s="30"/>
      <c r="PFA45" s="31"/>
      <c r="PFB45" s="30"/>
      <c r="PFC45" s="31"/>
      <c r="PFD45" s="30"/>
      <c r="PFE45" s="31"/>
      <c r="PFF45" s="30"/>
      <c r="PFG45" s="31"/>
      <c r="PFH45" s="30"/>
      <c r="PFI45" s="31"/>
      <c r="PFJ45" s="30"/>
      <c r="PFK45" s="31"/>
      <c r="PFL45" s="30"/>
      <c r="PFM45" s="31"/>
      <c r="PFN45" s="30"/>
      <c r="PFO45" s="31"/>
      <c r="PFP45" s="30"/>
      <c r="PFQ45" s="31"/>
      <c r="PFR45" s="30"/>
      <c r="PFS45" s="31"/>
      <c r="PFT45" s="30"/>
      <c r="PFU45" s="31"/>
      <c r="PFV45" s="30"/>
      <c r="PFW45" s="31"/>
      <c r="PFX45" s="30"/>
      <c r="PFY45" s="31"/>
      <c r="PFZ45" s="30"/>
      <c r="PGA45" s="31"/>
      <c r="PGB45" s="30"/>
      <c r="PGC45" s="31"/>
      <c r="PGD45" s="30"/>
      <c r="PGE45" s="31"/>
      <c r="PGF45" s="30"/>
      <c r="PGG45" s="31"/>
      <c r="PGH45" s="30"/>
      <c r="PGI45" s="31"/>
      <c r="PGJ45" s="30"/>
      <c r="PGK45" s="31"/>
      <c r="PGL45" s="30"/>
      <c r="PGM45" s="31"/>
      <c r="PGN45" s="30"/>
      <c r="PGO45" s="31"/>
      <c r="PGP45" s="30"/>
      <c r="PGQ45" s="31"/>
      <c r="PGR45" s="30"/>
      <c r="PGS45" s="31"/>
      <c r="PGT45" s="30"/>
      <c r="PGU45" s="31"/>
      <c r="PGV45" s="30"/>
      <c r="PGW45" s="31"/>
      <c r="PGX45" s="30"/>
      <c r="PGY45" s="31"/>
      <c r="PGZ45" s="30"/>
      <c r="PHA45" s="31"/>
      <c r="PHB45" s="30"/>
      <c r="PHC45" s="31"/>
      <c r="PHD45" s="30"/>
      <c r="PHE45" s="31"/>
      <c r="PHF45" s="30"/>
      <c r="PHG45" s="31"/>
      <c r="PHH45" s="30"/>
      <c r="PHI45" s="31"/>
      <c r="PHJ45" s="30"/>
      <c r="PHK45" s="31"/>
      <c r="PHL45" s="30"/>
      <c r="PHM45" s="31"/>
      <c r="PHN45" s="30"/>
      <c r="PHO45" s="31"/>
      <c r="PHP45" s="30"/>
      <c r="PHQ45" s="31"/>
      <c r="PHR45" s="30"/>
      <c r="PHS45" s="31"/>
      <c r="PHT45" s="30"/>
      <c r="PHU45" s="31"/>
      <c r="PHV45" s="30"/>
      <c r="PHW45" s="31"/>
      <c r="PHX45" s="30"/>
      <c r="PHY45" s="31"/>
      <c r="PHZ45" s="30"/>
      <c r="PIA45" s="31"/>
      <c r="PIB45" s="30"/>
      <c r="PIC45" s="31"/>
      <c r="PID45" s="30"/>
      <c r="PIE45" s="31"/>
      <c r="PIF45" s="30"/>
      <c r="PIG45" s="31"/>
      <c r="PIH45" s="30"/>
      <c r="PII45" s="31"/>
      <c r="PIJ45" s="30"/>
      <c r="PIK45" s="31"/>
      <c r="PIL45" s="30"/>
      <c r="PIM45" s="31"/>
      <c r="PIN45" s="30"/>
      <c r="PIO45" s="31"/>
      <c r="PIP45" s="30"/>
      <c r="PIQ45" s="31"/>
      <c r="PIR45" s="30"/>
      <c r="PIS45" s="31"/>
      <c r="PIT45" s="30"/>
      <c r="PIU45" s="31"/>
      <c r="PIV45" s="30"/>
      <c r="PIW45" s="31"/>
      <c r="PIX45" s="30"/>
      <c r="PIY45" s="31"/>
      <c r="PIZ45" s="30"/>
      <c r="PJA45" s="31"/>
      <c r="PJB45" s="30"/>
      <c r="PJC45" s="31"/>
      <c r="PJD45" s="30"/>
      <c r="PJE45" s="31"/>
      <c r="PJF45" s="30"/>
      <c r="PJG45" s="31"/>
      <c r="PJH45" s="30"/>
      <c r="PJI45" s="31"/>
      <c r="PJJ45" s="30"/>
      <c r="PJK45" s="31"/>
      <c r="PJL45" s="30"/>
      <c r="PJM45" s="31"/>
      <c r="PJN45" s="30"/>
      <c r="PJO45" s="31"/>
      <c r="PJP45" s="30"/>
      <c r="PJQ45" s="31"/>
      <c r="PJR45" s="30"/>
      <c r="PJS45" s="31"/>
      <c r="PJT45" s="30"/>
      <c r="PJU45" s="31"/>
      <c r="PJV45" s="30"/>
      <c r="PJW45" s="31"/>
      <c r="PJX45" s="30"/>
      <c r="PJY45" s="31"/>
      <c r="PJZ45" s="30"/>
      <c r="PKA45" s="31"/>
      <c r="PKB45" s="30"/>
      <c r="PKC45" s="31"/>
      <c r="PKD45" s="30"/>
      <c r="PKE45" s="31"/>
      <c r="PKF45" s="30"/>
      <c r="PKG45" s="31"/>
      <c r="PKH45" s="30"/>
      <c r="PKI45" s="31"/>
      <c r="PKJ45" s="30"/>
      <c r="PKK45" s="31"/>
      <c r="PKL45" s="30"/>
      <c r="PKM45" s="31"/>
      <c r="PKN45" s="30"/>
      <c r="PKO45" s="31"/>
      <c r="PKP45" s="30"/>
      <c r="PKQ45" s="31"/>
      <c r="PKR45" s="30"/>
      <c r="PKS45" s="31"/>
      <c r="PKT45" s="30"/>
      <c r="PKU45" s="31"/>
      <c r="PKV45" s="30"/>
      <c r="PKW45" s="31"/>
      <c r="PKX45" s="30"/>
      <c r="PKY45" s="31"/>
      <c r="PKZ45" s="30"/>
      <c r="PLA45" s="31"/>
      <c r="PLB45" s="30"/>
      <c r="PLC45" s="31"/>
      <c r="PLD45" s="30"/>
      <c r="PLE45" s="31"/>
      <c r="PLF45" s="30"/>
      <c r="PLG45" s="31"/>
      <c r="PLH45" s="30"/>
      <c r="PLI45" s="31"/>
      <c r="PLJ45" s="30"/>
      <c r="PLK45" s="31"/>
      <c r="PLL45" s="30"/>
      <c r="PLM45" s="31"/>
      <c r="PLN45" s="30"/>
      <c r="PLO45" s="31"/>
      <c r="PLP45" s="30"/>
      <c r="PLQ45" s="31"/>
      <c r="PLR45" s="30"/>
      <c r="PLS45" s="31"/>
      <c r="PLT45" s="30"/>
      <c r="PLU45" s="31"/>
      <c r="PLV45" s="30"/>
      <c r="PLW45" s="31"/>
      <c r="PLX45" s="30"/>
      <c r="PLY45" s="31"/>
      <c r="PLZ45" s="30"/>
      <c r="PMA45" s="31"/>
      <c r="PMB45" s="30"/>
      <c r="PMC45" s="31"/>
      <c r="PMD45" s="30"/>
      <c r="PME45" s="31"/>
      <c r="PMF45" s="30"/>
      <c r="PMG45" s="31"/>
      <c r="PMH45" s="30"/>
      <c r="PMI45" s="31"/>
      <c r="PMJ45" s="30"/>
      <c r="PMK45" s="31"/>
      <c r="PML45" s="30"/>
      <c r="PMM45" s="31"/>
      <c r="PMN45" s="30"/>
      <c r="PMO45" s="31"/>
      <c r="PMP45" s="30"/>
      <c r="PMQ45" s="31"/>
      <c r="PMR45" s="30"/>
      <c r="PMS45" s="31"/>
      <c r="PMT45" s="30"/>
      <c r="PMU45" s="31"/>
      <c r="PMV45" s="30"/>
      <c r="PMW45" s="31"/>
      <c r="PMX45" s="30"/>
      <c r="PMY45" s="31"/>
      <c r="PMZ45" s="30"/>
      <c r="PNA45" s="31"/>
      <c r="PNB45" s="30"/>
      <c r="PNC45" s="31"/>
      <c r="PND45" s="30"/>
      <c r="PNE45" s="31"/>
      <c r="PNF45" s="30"/>
      <c r="PNG45" s="31"/>
      <c r="PNH45" s="30"/>
      <c r="PNI45" s="31"/>
      <c r="PNJ45" s="30"/>
      <c r="PNK45" s="31"/>
      <c r="PNL45" s="30"/>
      <c r="PNM45" s="31"/>
      <c r="PNN45" s="30"/>
      <c r="PNO45" s="31"/>
      <c r="PNP45" s="30"/>
      <c r="PNQ45" s="31"/>
      <c r="PNR45" s="30"/>
      <c r="PNS45" s="31"/>
      <c r="PNT45" s="30"/>
      <c r="PNU45" s="31"/>
      <c r="PNV45" s="30"/>
      <c r="PNW45" s="31"/>
      <c r="PNX45" s="30"/>
      <c r="PNY45" s="31"/>
      <c r="PNZ45" s="30"/>
      <c r="POA45" s="31"/>
      <c r="POB45" s="30"/>
      <c r="POC45" s="31"/>
      <c r="POD45" s="30"/>
      <c r="POE45" s="31"/>
      <c r="POF45" s="30"/>
      <c r="POG45" s="31"/>
      <c r="POH45" s="30"/>
      <c r="POI45" s="31"/>
      <c r="POJ45" s="30"/>
      <c r="POK45" s="31"/>
      <c r="POL45" s="30"/>
      <c r="POM45" s="31"/>
      <c r="PON45" s="30"/>
      <c r="POO45" s="31"/>
      <c r="POP45" s="30"/>
      <c r="POQ45" s="31"/>
      <c r="POR45" s="30"/>
      <c r="POS45" s="31"/>
      <c r="POT45" s="30"/>
      <c r="POU45" s="31"/>
      <c r="POV45" s="30"/>
      <c r="POW45" s="31"/>
      <c r="POX45" s="30"/>
      <c r="POY45" s="31"/>
      <c r="POZ45" s="30"/>
      <c r="PPA45" s="31"/>
      <c r="PPB45" s="30"/>
      <c r="PPC45" s="31"/>
      <c r="PPD45" s="30"/>
      <c r="PPE45" s="31"/>
      <c r="PPF45" s="30"/>
      <c r="PPG45" s="31"/>
      <c r="PPH45" s="30"/>
      <c r="PPI45" s="31"/>
      <c r="PPJ45" s="30"/>
      <c r="PPK45" s="31"/>
      <c r="PPL45" s="30"/>
      <c r="PPM45" s="31"/>
      <c r="PPN45" s="30"/>
      <c r="PPO45" s="31"/>
      <c r="PPP45" s="30"/>
      <c r="PPQ45" s="31"/>
      <c r="PPR45" s="30"/>
      <c r="PPS45" s="31"/>
      <c r="PPT45" s="30"/>
      <c r="PPU45" s="31"/>
      <c r="PPV45" s="30"/>
      <c r="PPW45" s="31"/>
      <c r="PPX45" s="30"/>
      <c r="PPY45" s="31"/>
      <c r="PPZ45" s="30"/>
      <c r="PQA45" s="31"/>
      <c r="PQB45" s="30"/>
      <c r="PQC45" s="31"/>
      <c r="PQD45" s="30"/>
      <c r="PQE45" s="31"/>
      <c r="PQF45" s="30"/>
      <c r="PQG45" s="31"/>
      <c r="PQH45" s="30"/>
      <c r="PQI45" s="31"/>
      <c r="PQJ45" s="30"/>
      <c r="PQK45" s="31"/>
      <c r="PQL45" s="30"/>
      <c r="PQM45" s="31"/>
      <c r="PQN45" s="30"/>
      <c r="PQO45" s="31"/>
      <c r="PQP45" s="30"/>
      <c r="PQQ45" s="31"/>
      <c r="PQR45" s="30"/>
      <c r="PQS45" s="31"/>
      <c r="PQT45" s="30"/>
      <c r="PQU45" s="31"/>
      <c r="PQV45" s="30"/>
      <c r="PQW45" s="31"/>
      <c r="PQX45" s="30"/>
      <c r="PQY45" s="31"/>
      <c r="PQZ45" s="30"/>
      <c r="PRA45" s="31"/>
      <c r="PRB45" s="30"/>
      <c r="PRC45" s="31"/>
      <c r="PRD45" s="30"/>
      <c r="PRE45" s="31"/>
      <c r="PRF45" s="30"/>
      <c r="PRG45" s="31"/>
      <c r="PRH45" s="30"/>
      <c r="PRI45" s="31"/>
      <c r="PRJ45" s="30"/>
      <c r="PRK45" s="31"/>
      <c r="PRL45" s="30"/>
      <c r="PRM45" s="31"/>
      <c r="PRN45" s="30"/>
      <c r="PRO45" s="31"/>
      <c r="PRP45" s="30"/>
      <c r="PRQ45" s="31"/>
      <c r="PRR45" s="30"/>
      <c r="PRS45" s="31"/>
      <c r="PRT45" s="30"/>
      <c r="PRU45" s="31"/>
      <c r="PRV45" s="30"/>
      <c r="PRW45" s="31"/>
      <c r="PRX45" s="30"/>
      <c r="PRY45" s="31"/>
      <c r="PRZ45" s="30"/>
      <c r="PSA45" s="31"/>
      <c r="PSB45" s="30"/>
      <c r="PSC45" s="31"/>
      <c r="PSD45" s="30"/>
      <c r="PSE45" s="31"/>
      <c r="PSF45" s="30"/>
      <c r="PSG45" s="31"/>
      <c r="PSH45" s="30"/>
      <c r="PSI45" s="31"/>
      <c r="PSJ45" s="30"/>
      <c r="PSK45" s="31"/>
      <c r="PSL45" s="30"/>
      <c r="PSM45" s="31"/>
      <c r="PSN45" s="30"/>
      <c r="PSO45" s="31"/>
      <c r="PSP45" s="30"/>
      <c r="PSQ45" s="31"/>
      <c r="PSR45" s="30"/>
      <c r="PSS45" s="31"/>
      <c r="PST45" s="30"/>
      <c r="PSU45" s="31"/>
      <c r="PSV45" s="30"/>
      <c r="PSW45" s="31"/>
      <c r="PSX45" s="30"/>
      <c r="PSY45" s="31"/>
      <c r="PSZ45" s="30"/>
      <c r="PTA45" s="31"/>
      <c r="PTB45" s="30"/>
      <c r="PTC45" s="31"/>
      <c r="PTD45" s="30"/>
      <c r="PTE45" s="31"/>
      <c r="PTF45" s="30"/>
      <c r="PTG45" s="31"/>
      <c r="PTH45" s="30"/>
      <c r="PTI45" s="31"/>
      <c r="PTJ45" s="30"/>
      <c r="PTK45" s="31"/>
      <c r="PTL45" s="30"/>
      <c r="PTM45" s="31"/>
      <c r="PTN45" s="30"/>
      <c r="PTO45" s="31"/>
      <c r="PTP45" s="30"/>
      <c r="PTQ45" s="31"/>
      <c r="PTR45" s="30"/>
      <c r="PTS45" s="31"/>
      <c r="PTT45" s="30"/>
      <c r="PTU45" s="31"/>
      <c r="PTV45" s="30"/>
      <c r="PTW45" s="31"/>
      <c r="PTX45" s="30"/>
      <c r="PTY45" s="31"/>
      <c r="PTZ45" s="30"/>
      <c r="PUA45" s="31"/>
      <c r="PUB45" s="30"/>
      <c r="PUC45" s="31"/>
      <c r="PUD45" s="30"/>
      <c r="PUE45" s="31"/>
      <c r="PUF45" s="30"/>
      <c r="PUG45" s="31"/>
      <c r="PUH45" s="30"/>
      <c r="PUI45" s="31"/>
      <c r="PUJ45" s="30"/>
      <c r="PUK45" s="31"/>
      <c r="PUL45" s="30"/>
      <c r="PUM45" s="31"/>
      <c r="PUN45" s="30"/>
      <c r="PUO45" s="31"/>
      <c r="PUP45" s="30"/>
      <c r="PUQ45" s="31"/>
      <c r="PUR45" s="30"/>
      <c r="PUS45" s="31"/>
      <c r="PUT45" s="30"/>
      <c r="PUU45" s="31"/>
      <c r="PUV45" s="30"/>
      <c r="PUW45" s="31"/>
      <c r="PUX45" s="30"/>
      <c r="PUY45" s="31"/>
      <c r="PUZ45" s="30"/>
      <c r="PVA45" s="31"/>
      <c r="PVB45" s="30"/>
      <c r="PVC45" s="31"/>
      <c r="PVD45" s="30"/>
      <c r="PVE45" s="31"/>
      <c r="PVF45" s="30"/>
      <c r="PVG45" s="31"/>
      <c r="PVH45" s="30"/>
      <c r="PVI45" s="31"/>
      <c r="PVJ45" s="30"/>
      <c r="PVK45" s="31"/>
      <c r="PVL45" s="30"/>
      <c r="PVM45" s="31"/>
      <c r="PVN45" s="30"/>
      <c r="PVO45" s="31"/>
      <c r="PVP45" s="30"/>
      <c r="PVQ45" s="31"/>
      <c r="PVR45" s="30"/>
      <c r="PVS45" s="31"/>
      <c r="PVT45" s="30"/>
      <c r="PVU45" s="31"/>
      <c r="PVV45" s="30"/>
      <c r="PVW45" s="31"/>
      <c r="PVX45" s="30"/>
      <c r="PVY45" s="31"/>
      <c r="PVZ45" s="30"/>
      <c r="PWA45" s="31"/>
      <c r="PWB45" s="30"/>
      <c r="PWC45" s="31"/>
      <c r="PWD45" s="30"/>
      <c r="PWE45" s="31"/>
      <c r="PWF45" s="30"/>
      <c r="PWG45" s="31"/>
      <c r="PWH45" s="30"/>
      <c r="PWI45" s="31"/>
      <c r="PWJ45" s="30"/>
      <c r="PWK45" s="31"/>
      <c r="PWL45" s="30"/>
      <c r="PWM45" s="31"/>
      <c r="PWN45" s="30"/>
      <c r="PWO45" s="31"/>
      <c r="PWP45" s="30"/>
      <c r="PWQ45" s="31"/>
      <c r="PWR45" s="30"/>
      <c r="PWS45" s="31"/>
      <c r="PWT45" s="30"/>
      <c r="PWU45" s="31"/>
      <c r="PWV45" s="30"/>
      <c r="PWW45" s="31"/>
      <c r="PWX45" s="30"/>
      <c r="PWY45" s="31"/>
      <c r="PWZ45" s="30"/>
      <c r="PXA45" s="31"/>
      <c r="PXB45" s="30"/>
      <c r="PXC45" s="31"/>
      <c r="PXD45" s="30"/>
      <c r="PXE45" s="31"/>
      <c r="PXF45" s="30"/>
      <c r="PXG45" s="31"/>
      <c r="PXH45" s="30"/>
      <c r="PXI45" s="31"/>
      <c r="PXJ45" s="30"/>
      <c r="PXK45" s="31"/>
      <c r="PXL45" s="30"/>
      <c r="PXM45" s="31"/>
      <c r="PXN45" s="30"/>
      <c r="PXO45" s="31"/>
      <c r="PXP45" s="30"/>
      <c r="PXQ45" s="31"/>
      <c r="PXR45" s="30"/>
      <c r="PXS45" s="31"/>
      <c r="PXT45" s="30"/>
      <c r="PXU45" s="31"/>
      <c r="PXV45" s="30"/>
      <c r="PXW45" s="31"/>
      <c r="PXX45" s="30"/>
      <c r="PXY45" s="31"/>
      <c r="PXZ45" s="30"/>
      <c r="PYA45" s="31"/>
      <c r="PYB45" s="30"/>
      <c r="PYC45" s="31"/>
      <c r="PYD45" s="30"/>
      <c r="PYE45" s="31"/>
      <c r="PYF45" s="30"/>
      <c r="PYG45" s="31"/>
      <c r="PYH45" s="30"/>
      <c r="PYI45" s="31"/>
      <c r="PYJ45" s="30"/>
      <c r="PYK45" s="31"/>
      <c r="PYL45" s="30"/>
      <c r="PYM45" s="31"/>
      <c r="PYN45" s="30"/>
      <c r="PYO45" s="31"/>
      <c r="PYP45" s="30"/>
      <c r="PYQ45" s="31"/>
      <c r="PYR45" s="30"/>
      <c r="PYS45" s="31"/>
      <c r="PYT45" s="30"/>
      <c r="PYU45" s="31"/>
      <c r="PYV45" s="30"/>
      <c r="PYW45" s="31"/>
      <c r="PYX45" s="30"/>
      <c r="PYY45" s="31"/>
      <c r="PYZ45" s="30"/>
      <c r="PZA45" s="31"/>
      <c r="PZB45" s="30"/>
      <c r="PZC45" s="31"/>
      <c r="PZD45" s="30"/>
      <c r="PZE45" s="31"/>
      <c r="PZF45" s="30"/>
      <c r="PZG45" s="31"/>
      <c r="PZH45" s="30"/>
      <c r="PZI45" s="31"/>
      <c r="PZJ45" s="30"/>
      <c r="PZK45" s="31"/>
      <c r="PZL45" s="30"/>
      <c r="PZM45" s="31"/>
      <c r="PZN45" s="30"/>
      <c r="PZO45" s="31"/>
      <c r="PZP45" s="30"/>
      <c r="PZQ45" s="31"/>
      <c r="PZR45" s="30"/>
      <c r="PZS45" s="31"/>
      <c r="PZT45" s="30"/>
      <c r="PZU45" s="31"/>
      <c r="PZV45" s="30"/>
      <c r="PZW45" s="31"/>
      <c r="PZX45" s="30"/>
      <c r="PZY45" s="31"/>
      <c r="PZZ45" s="30"/>
      <c r="QAA45" s="31"/>
      <c r="QAB45" s="30"/>
      <c r="QAC45" s="31"/>
      <c r="QAD45" s="30"/>
      <c r="QAE45" s="31"/>
      <c r="QAF45" s="30"/>
      <c r="QAG45" s="31"/>
      <c r="QAH45" s="30"/>
      <c r="QAI45" s="31"/>
      <c r="QAJ45" s="30"/>
      <c r="QAK45" s="31"/>
      <c r="QAL45" s="30"/>
      <c r="QAM45" s="31"/>
      <c r="QAN45" s="30"/>
      <c r="QAO45" s="31"/>
      <c r="QAP45" s="30"/>
      <c r="QAQ45" s="31"/>
      <c r="QAR45" s="30"/>
      <c r="QAS45" s="31"/>
      <c r="QAT45" s="30"/>
      <c r="QAU45" s="31"/>
      <c r="QAV45" s="30"/>
      <c r="QAW45" s="31"/>
      <c r="QAX45" s="30"/>
      <c r="QAY45" s="31"/>
      <c r="QAZ45" s="30"/>
      <c r="QBA45" s="31"/>
      <c r="QBB45" s="30"/>
      <c r="QBC45" s="31"/>
      <c r="QBD45" s="30"/>
      <c r="QBE45" s="31"/>
      <c r="QBF45" s="30"/>
      <c r="QBG45" s="31"/>
      <c r="QBH45" s="30"/>
      <c r="QBI45" s="31"/>
      <c r="QBJ45" s="30"/>
      <c r="QBK45" s="31"/>
      <c r="QBL45" s="30"/>
      <c r="QBM45" s="31"/>
      <c r="QBN45" s="30"/>
      <c r="QBO45" s="31"/>
      <c r="QBP45" s="30"/>
      <c r="QBQ45" s="31"/>
      <c r="QBR45" s="30"/>
      <c r="QBS45" s="31"/>
      <c r="QBT45" s="30"/>
      <c r="QBU45" s="31"/>
      <c r="QBV45" s="30"/>
      <c r="QBW45" s="31"/>
      <c r="QBX45" s="30"/>
      <c r="QBY45" s="31"/>
      <c r="QBZ45" s="30"/>
      <c r="QCA45" s="31"/>
      <c r="QCB45" s="30"/>
      <c r="QCC45" s="31"/>
      <c r="QCD45" s="30"/>
      <c r="QCE45" s="31"/>
      <c r="QCF45" s="30"/>
      <c r="QCG45" s="31"/>
      <c r="QCH45" s="30"/>
      <c r="QCI45" s="31"/>
      <c r="QCJ45" s="30"/>
      <c r="QCK45" s="31"/>
      <c r="QCL45" s="30"/>
      <c r="QCM45" s="31"/>
      <c r="QCN45" s="30"/>
      <c r="QCO45" s="31"/>
      <c r="QCP45" s="30"/>
      <c r="QCQ45" s="31"/>
      <c r="QCR45" s="30"/>
      <c r="QCS45" s="31"/>
      <c r="QCT45" s="30"/>
      <c r="QCU45" s="31"/>
      <c r="QCV45" s="30"/>
      <c r="QCW45" s="31"/>
      <c r="QCX45" s="30"/>
      <c r="QCY45" s="31"/>
      <c r="QCZ45" s="30"/>
      <c r="QDA45" s="31"/>
      <c r="QDB45" s="30"/>
      <c r="QDC45" s="31"/>
      <c r="QDD45" s="30"/>
      <c r="QDE45" s="31"/>
      <c r="QDF45" s="30"/>
      <c r="QDG45" s="31"/>
      <c r="QDH45" s="30"/>
      <c r="QDI45" s="31"/>
      <c r="QDJ45" s="30"/>
      <c r="QDK45" s="31"/>
      <c r="QDL45" s="30"/>
      <c r="QDM45" s="31"/>
      <c r="QDN45" s="30"/>
      <c r="QDO45" s="31"/>
      <c r="QDP45" s="30"/>
      <c r="QDQ45" s="31"/>
      <c r="QDR45" s="30"/>
      <c r="QDS45" s="31"/>
      <c r="QDT45" s="30"/>
      <c r="QDU45" s="31"/>
      <c r="QDV45" s="30"/>
      <c r="QDW45" s="31"/>
      <c r="QDX45" s="30"/>
      <c r="QDY45" s="31"/>
      <c r="QDZ45" s="30"/>
      <c r="QEA45" s="31"/>
      <c r="QEB45" s="30"/>
      <c r="QEC45" s="31"/>
      <c r="QED45" s="30"/>
      <c r="QEE45" s="31"/>
      <c r="QEF45" s="30"/>
      <c r="QEG45" s="31"/>
      <c r="QEH45" s="30"/>
      <c r="QEI45" s="31"/>
      <c r="QEJ45" s="30"/>
      <c r="QEK45" s="31"/>
      <c r="QEL45" s="30"/>
      <c r="QEM45" s="31"/>
      <c r="QEN45" s="30"/>
      <c r="QEO45" s="31"/>
      <c r="QEP45" s="30"/>
      <c r="QEQ45" s="31"/>
      <c r="QER45" s="30"/>
      <c r="QES45" s="31"/>
      <c r="QET45" s="30"/>
      <c r="QEU45" s="31"/>
      <c r="QEV45" s="30"/>
      <c r="QEW45" s="31"/>
      <c r="QEX45" s="30"/>
      <c r="QEY45" s="31"/>
      <c r="QEZ45" s="30"/>
      <c r="QFA45" s="31"/>
      <c r="QFB45" s="30"/>
      <c r="QFC45" s="31"/>
      <c r="QFD45" s="30"/>
      <c r="QFE45" s="31"/>
      <c r="QFF45" s="30"/>
      <c r="QFG45" s="31"/>
      <c r="QFH45" s="30"/>
      <c r="QFI45" s="31"/>
      <c r="QFJ45" s="30"/>
      <c r="QFK45" s="31"/>
      <c r="QFL45" s="30"/>
      <c r="QFM45" s="31"/>
      <c r="QFN45" s="30"/>
      <c r="QFO45" s="31"/>
      <c r="QFP45" s="30"/>
      <c r="QFQ45" s="31"/>
      <c r="QFR45" s="30"/>
      <c r="QFS45" s="31"/>
      <c r="QFT45" s="30"/>
      <c r="QFU45" s="31"/>
      <c r="QFV45" s="30"/>
      <c r="QFW45" s="31"/>
      <c r="QFX45" s="30"/>
      <c r="QFY45" s="31"/>
      <c r="QFZ45" s="30"/>
      <c r="QGA45" s="31"/>
      <c r="QGB45" s="30"/>
      <c r="QGC45" s="31"/>
      <c r="QGD45" s="30"/>
      <c r="QGE45" s="31"/>
      <c r="QGF45" s="30"/>
      <c r="QGG45" s="31"/>
      <c r="QGH45" s="30"/>
      <c r="QGI45" s="31"/>
      <c r="QGJ45" s="30"/>
      <c r="QGK45" s="31"/>
      <c r="QGL45" s="30"/>
      <c r="QGM45" s="31"/>
      <c r="QGN45" s="30"/>
      <c r="QGO45" s="31"/>
      <c r="QGP45" s="30"/>
      <c r="QGQ45" s="31"/>
      <c r="QGR45" s="30"/>
      <c r="QGS45" s="31"/>
      <c r="QGT45" s="30"/>
      <c r="QGU45" s="31"/>
      <c r="QGV45" s="30"/>
      <c r="QGW45" s="31"/>
      <c r="QGX45" s="30"/>
      <c r="QGY45" s="31"/>
      <c r="QGZ45" s="30"/>
      <c r="QHA45" s="31"/>
      <c r="QHB45" s="30"/>
      <c r="QHC45" s="31"/>
      <c r="QHD45" s="30"/>
      <c r="QHE45" s="31"/>
      <c r="QHF45" s="30"/>
      <c r="QHG45" s="31"/>
      <c r="QHH45" s="30"/>
      <c r="QHI45" s="31"/>
      <c r="QHJ45" s="30"/>
      <c r="QHK45" s="31"/>
      <c r="QHL45" s="30"/>
      <c r="QHM45" s="31"/>
      <c r="QHN45" s="30"/>
      <c r="QHO45" s="31"/>
      <c r="QHP45" s="30"/>
      <c r="QHQ45" s="31"/>
      <c r="QHR45" s="30"/>
      <c r="QHS45" s="31"/>
      <c r="QHT45" s="30"/>
      <c r="QHU45" s="31"/>
      <c r="QHV45" s="30"/>
      <c r="QHW45" s="31"/>
      <c r="QHX45" s="30"/>
      <c r="QHY45" s="31"/>
      <c r="QHZ45" s="30"/>
      <c r="QIA45" s="31"/>
      <c r="QIB45" s="30"/>
      <c r="QIC45" s="31"/>
      <c r="QID45" s="30"/>
      <c r="QIE45" s="31"/>
      <c r="QIF45" s="30"/>
      <c r="QIG45" s="31"/>
      <c r="QIH45" s="30"/>
      <c r="QII45" s="31"/>
      <c r="QIJ45" s="30"/>
      <c r="QIK45" s="31"/>
      <c r="QIL45" s="30"/>
      <c r="QIM45" s="31"/>
      <c r="QIN45" s="30"/>
      <c r="QIO45" s="31"/>
      <c r="QIP45" s="30"/>
      <c r="QIQ45" s="31"/>
      <c r="QIR45" s="30"/>
      <c r="QIS45" s="31"/>
      <c r="QIT45" s="30"/>
      <c r="QIU45" s="31"/>
      <c r="QIV45" s="30"/>
      <c r="QIW45" s="31"/>
      <c r="QIX45" s="30"/>
      <c r="QIY45" s="31"/>
      <c r="QIZ45" s="30"/>
      <c r="QJA45" s="31"/>
      <c r="QJB45" s="30"/>
      <c r="QJC45" s="31"/>
      <c r="QJD45" s="30"/>
      <c r="QJE45" s="31"/>
      <c r="QJF45" s="30"/>
      <c r="QJG45" s="31"/>
      <c r="QJH45" s="30"/>
      <c r="QJI45" s="31"/>
      <c r="QJJ45" s="30"/>
      <c r="QJK45" s="31"/>
      <c r="QJL45" s="30"/>
      <c r="QJM45" s="31"/>
      <c r="QJN45" s="30"/>
      <c r="QJO45" s="31"/>
      <c r="QJP45" s="30"/>
      <c r="QJQ45" s="31"/>
      <c r="QJR45" s="30"/>
      <c r="QJS45" s="31"/>
      <c r="QJT45" s="30"/>
      <c r="QJU45" s="31"/>
      <c r="QJV45" s="30"/>
      <c r="QJW45" s="31"/>
      <c r="QJX45" s="30"/>
      <c r="QJY45" s="31"/>
      <c r="QJZ45" s="30"/>
      <c r="QKA45" s="31"/>
      <c r="QKB45" s="30"/>
      <c r="QKC45" s="31"/>
      <c r="QKD45" s="30"/>
      <c r="QKE45" s="31"/>
      <c r="QKF45" s="30"/>
      <c r="QKG45" s="31"/>
      <c r="QKH45" s="30"/>
      <c r="QKI45" s="31"/>
      <c r="QKJ45" s="30"/>
      <c r="QKK45" s="31"/>
      <c r="QKL45" s="30"/>
      <c r="QKM45" s="31"/>
      <c r="QKN45" s="30"/>
      <c r="QKO45" s="31"/>
      <c r="QKP45" s="30"/>
      <c r="QKQ45" s="31"/>
      <c r="QKR45" s="30"/>
      <c r="QKS45" s="31"/>
      <c r="QKT45" s="30"/>
      <c r="QKU45" s="31"/>
      <c r="QKV45" s="30"/>
      <c r="QKW45" s="31"/>
      <c r="QKX45" s="30"/>
      <c r="QKY45" s="31"/>
      <c r="QKZ45" s="30"/>
      <c r="QLA45" s="31"/>
      <c r="QLB45" s="30"/>
      <c r="QLC45" s="31"/>
      <c r="QLD45" s="30"/>
      <c r="QLE45" s="31"/>
      <c r="QLF45" s="30"/>
      <c r="QLG45" s="31"/>
      <c r="QLH45" s="30"/>
      <c r="QLI45" s="31"/>
      <c r="QLJ45" s="30"/>
      <c r="QLK45" s="31"/>
      <c r="QLL45" s="30"/>
      <c r="QLM45" s="31"/>
      <c r="QLN45" s="30"/>
      <c r="QLO45" s="31"/>
      <c r="QLP45" s="30"/>
      <c r="QLQ45" s="31"/>
      <c r="QLR45" s="30"/>
      <c r="QLS45" s="31"/>
      <c r="QLT45" s="30"/>
      <c r="QLU45" s="31"/>
      <c r="QLV45" s="30"/>
      <c r="QLW45" s="31"/>
      <c r="QLX45" s="30"/>
      <c r="QLY45" s="31"/>
      <c r="QLZ45" s="30"/>
      <c r="QMA45" s="31"/>
      <c r="QMB45" s="30"/>
      <c r="QMC45" s="31"/>
      <c r="QMD45" s="30"/>
      <c r="QME45" s="31"/>
      <c r="QMF45" s="30"/>
      <c r="QMG45" s="31"/>
      <c r="QMH45" s="30"/>
      <c r="QMI45" s="31"/>
      <c r="QMJ45" s="30"/>
      <c r="QMK45" s="31"/>
      <c r="QML45" s="30"/>
      <c r="QMM45" s="31"/>
      <c r="QMN45" s="30"/>
      <c r="QMO45" s="31"/>
      <c r="QMP45" s="30"/>
      <c r="QMQ45" s="31"/>
      <c r="QMR45" s="30"/>
      <c r="QMS45" s="31"/>
      <c r="QMT45" s="30"/>
      <c r="QMU45" s="31"/>
      <c r="QMV45" s="30"/>
      <c r="QMW45" s="31"/>
      <c r="QMX45" s="30"/>
      <c r="QMY45" s="31"/>
      <c r="QMZ45" s="30"/>
      <c r="QNA45" s="31"/>
      <c r="QNB45" s="30"/>
      <c r="QNC45" s="31"/>
      <c r="QND45" s="30"/>
      <c r="QNE45" s="31"/>
      <c r="QNF45" s="30"/>
      <c r="QNG45" s="31"/>
      <c r="QNH45" s="30"/>
      <c r="QNI45" s="31"/>
      <c r="QNJ45" s="30"/>
      <c r="QNK45" s="31"/>
      <c r="QNL45" s="30"/>
      <c r="QNM45" s="31"/>
      <c r="QNN45" s="30"/>
      <c r="QNO45" s="31"/>
      <c r="QNP45" s="30"/>
      <c r="QNQ45" s="31"/>
      <c r="QNR45" s="30"/>
      <c r="QNS45" s="31"/>
      <c r="QNT45" s="30"/>
      <c r="QNU45" s="31"/>
      <c r="QNV45" s="30"/>
      <c r="QNW45" s="31"/>
      <c r="QNX45" s="30"/>
      <c r="QNY45" s="31"/>
      <c r="QNZ45" s="30"/>
      <c r="QOA45" s="31"/>
      <c r="QOB45" s="30"/>
      <c r="QOC45" s="31"/>
      <c r="QOD45" s="30"/>
      <c r="QOE45" s="31"/>
      <c r="QOF45" s="30"/>
      <c r="QOG45" s="31"/>
      <c r="QOH45" s="30"/>
      <c r="QOI45" s="31"/>
      <c r="QOJ45" s="30"/>
      <c r="QOK45" s="31"/>
      <c r="QOL45" s="30"/>
      <c r="QOM45" s="31"/>
      <c r="QON45" s="30"/>
      <c r="QOO45" s="31"/>
      <c r="QOP45" s="30"/>
      <c r="QOQ45" s="31"/>
      <c r="QOR45" s="30"/>
      <c r="QOS45" s="31"/>
      <c r="QOT45" s="30"/>
      <c r="QOU45" s="31"/>
      <c r="QOV45" s="30"/>
      <c r="QOW45" s="31"/>
      <c r="QOX45" s="30"/>
      <c r="QOY45" s="31"/>
      <c r="QOZ45" s="30"/>
      <c r="QPA45" s="31"/>
      <c r="QPB45" s="30"/>
      <c r="QPC45" s="31"/>
      <c r="QPD45" s="30"/>
      <c r="QPE45" s="31"/>
      <c r="QPF45" s="30"/>
      <c r="QPG45" s="31"/>
      <c r="QPH45" s="30"/>
      <c r="QPI45" s="31"/>
      <c r="QPJ45" s="30"/>
      <c r="QPK45" s="31"/>
      <c r="QPL45" s="30"/>
      <c r="QPM45" s="31"/>
      <c r="QPN45" s="30"/>
      <c r="QPO45" s="31"/>
      <c r="QPP45" s="30"/>
      <c r="QPQ45" s="31"/>
      <c r="QPR45" s="30"/>
      <c r="QPS45" s="31"/>
      <c r="QPT45" s="30"/>
      <c r="QPU45" s="31"/>
      <c r="QPV45" s="30"/>
      <c r="QPW45" s="31"/>
      <c r="QPX45" s="30"/>
      <c r="QPY45" s="31"/>
      <c r="QPZ45" s="30"/>
      <c r="QQA45" s="31"/>
      <c r="QQB45" s="30"/>
      <c r="QQC45" s="31"/>
      <c r="QQD45" s="30"/>
      <c r="QQE45" s="31"/>
      <c r="QQF45" s="30"/>
      <c r="QQG45" s="31"/>
      <c r="QQH45" s="30"/>
      <c r="QQI45" s="31"/>
      <c r="QQJ45" s="30"/>
      <c r="QQK45" s="31"/>
      <c r="QQL45" s="30"/>
      <c r="QQM45" s="31"/>
      <c r="QQN45" s="30"/>
      <c r="QQO45" s="31"/>
      <c r="QQP45" s="30"/>
      <c r="QQQ45" s="31"/>
      <c r="QQR45" s="30"/>
      <c r="QQS45" s="31"/>
      <c r="QQT45" s="30"/>
      <c r="QQU45" s="31"/>
      <c r="QQV45" s="30"/>
      <c r="QQW45" s="31"/>
      <c r="QQX45" s="30"/>
      <c r="QQY45" s="31"/>
      <c r="QQZ45" s="30"/>
      <c r="QRA45" s="31"/>
      <c r="QRB45" s="30"/>
      <c r="QRC45" s="31"/>
      <c r="QRD45" s="30"/>
      <c r="QRE45" s="31"/>
      <c r="QRF45" s="30"/>
      <c r="QRG45" s="31"/>
      <c r="QRH45" s="30"/>
      <c r="QRI45" s="31"/>
      <c r="QRJ45" s="30"/>
      <c r="QRK45" s="31"/>
      <c r="QRL45" s="30"/>
      <c r="QRM45" s="31"/>
      <c r="QRN45" s="30"/>
      <c r="QRO45" s="31"/>
      <c r="QRP45" s="30"/>
      <c r="QRQ45" s="31"/>
      <c r="QRR45" s="30"/>
      <c r="QRS45" s="31"/>
      <c r="QRT45" s="30"/>
      <c r="QRU45" s="31"/>
      <c r="QRV45" s="30"/>
      <c r="QRW45" s="31"/>
      <c r="QRX45" s="30"/>
      <c r="QRY45" s="31"/>
      <c r="QRZ45" s="30"/>
      <c r="QSA45" s="31"/>
      <c r="QSB45" s="30"/>
      <c r="QSC45" s="31"/>
      <c r="QSD45" s="30"/>
      <c r="QSE45" s="31"/>
      <c r="QSF45" s="30"/>
      <c r="QSG45" s="31"/>
      <c r="QSH45" s="30"/>
      <c r="QSI45" s="31"/>
      <c r="QSJ45" s="30"/>
      <c r="QSK45" s="31"/>
      <c r="QSL45" s="30"/>
      <c r="QSM45" s="31"/>
      <c r="QSN45" s="30"/>
      <c r="QSO45" s="31"/>
      <c r="QSP45" s="30"/>
      <c r="QSQ45" s="31"/>
      <c r="QSR45" s="30"/>
      <c r="QSS45" s="31"/>
      <c r="QST45" s="30"/>
      <c r="QSU45" s="31"/>
      <c r="QSV45" s="30"/>
      <c r="QSW45" s="31"/>
      <c r="QSX45" s="30"/>
      <c r="QSY45" s="31"/>
      <c r="QSZ45" s="30"/>
      <c r="QTA45" s="31"/>
      <c r="QTB45" s="30"/>
      <c r="QTC45" s="31"/>
      <c r="QTD45" s="30"/>
      <c r="QTE45" s="31"/>
      <c r="QTF45" s="30"/>
      <c r="QTG45" s="31"/>
      <c r="QTH45" s="30"/>
      <c r="QTI45" s="31"/>
      <c r="QTJ45" s="30"/>
      <c r="QTK45" s="31"/>
      <c r="QTL45" s="30"/>
      <c r="QTM45" s="31"/>
      <c r="QTN45" s="30"/>
      <c r="QTO45" s="31"/>
      <c r="QTP45" s="30"/>
      <c r="QTQ45" s="31"/>
      <c r="QTR45" s="30"/>
      <c r="QTS45" s="31"/>
      <c r="QTT45" s="30"/>
      <c r="QTU45" s="31"/>
      <c r="QTV45" s="30"/>
      <c r="QTW45" s="31"/>
      <c r="QTX45" s="30"/>
      <c r="QTY45" s="31"/>
      <c r="QTZ45" s="30"/>
      <c r="QUA45" s="31"/>
      <c r="QUB45" s="30"/>
      <c r="QUC45" s="31"/>
      <c r="QUD45" s="30"/>
      <c r="QUE45" s="31"/>
      <c r="QUF45" s="30"/>
      <c r="QUG45" s="31"/>
      <c r="QUH45" s="30"/>
      <c r="QUI45" s="31"/>
      <c r="QUJ45" s="30"/>
      <c r="QUK45" s="31"/>
      <c r="QUL45" s="30"/>
      <c r="QUM45" s="31"/>
      <c r="QUN45" s="30"/>
      <c r="QUO45" s="31"/>
      <c r="QUP45" s="30"/>
      <c r="QUQ45" s="31"/>
      <c r="QUR45" s="30"/>
      <c r="QUS45" s="31"/>
      <c r="QUT45" s="30"/>
      <c r="QUU45" s="31"/>
      <c r="QUV45" s="30"/>
      <c r="QUW45" s="31"/>
      <c r="QUX45" s="30"/>
      <c r="QUY45" s="31"/>
      <c r="QUZ45" s="30"/>
      <c r="QVA45" s="31"/>
      <c r="QVB45" s="30"/>
      <c r="QVC45" s="31"/>
      <c r="QVD45" s="30"/>
      <c r="QVE45" s="31"/>
      <c r="QVF45" s="30"/>
      <c r="QVG45" s="31"/>
      <c r="QVH45" s="30"/>
      <c r="QVI45" s="31"/>
      <c r="QVJ45" s="30"/>
      <c r="QVK45" s="31"/>
      <c r="QVL45" s="30"/>
      <c r="QVM45" s="31"/>
      <c r="QVN45" s="30"/>
      <c r="QVO45" s="31"/>
      <c r="QVP45" s="30"/>
      <c r="QVQ45" s="31"/>
      <c r="QVR45" s="30"/>
      <c r="QVS45" s="31"/>
      <c r="QVT45" s="30"/>
      <c r="QVU45" s="31"/>
      <c r="QVV45" s="30"/>
      <c r="QVW45" s="31"/>
      <c r="QVX45" s="30"/>
      <c r="QVY45" s="31"/>
      <c r="QVZ45" s="30"/>
      <c r="QWA45" s="31"/>
      <c r="QWB45" s="30"/>
      <c r="QWC45" s="31"/>
      <c r="QWD45" s="30"/>
      <c r="QWE45" s="31"/>
      <c r="QWF45" s="30"/>
      <c r="QWG45" s="31"/>
      <c r="QWH45" s="30"/>
      <c r="QWI45" s="31"/>
      <c r="QWJ45" s="30"/>
      <c r="QWK45" s="31"/>
      <c r="QWL45" s="30"/>
      <c r="QWM45" s="31"/>
      <c r="QWN45" s="30"/>
      <c r="QWO45" s="31"/>
      <c r="QWP45" s="30"/>
      <c r="QWQ45" s="31"/>
      <c r="QWR45" s="30"/>
      <c r="QWS45" s="31"/>
      <c r="QWT45" s="30"/>
      <c r="QWU45" s="31"/>
      <c r="QWV45" s="30"/>
      <c r="QWW45" s="31"/>
      <c r="QWX45" s="30"/>
      <c r="QWY45" s="31"/>
      <c r="QWZ45" s="30"/>
      <c r="QXA45" s="31"/>
      <c r="QXB45" s="30"/>
      <c r="QXC45" s="31"/>
      <c r="QXD45" s="30"/>
      <c r="QXE45" s="31"/>
      <c r="QXF45" s="30"/>
      <c r="QXG45" s="31"/>
      <c r="QXH45" s="30"/>
      <c r="QXI45" s="31"/>
      <c r="QXJ45" s="30"/>
      <c r="QXK45" s="31"/>
      <c r="QXL45" s="30"/>
      <c r="QXM45" s="31"/>
      <c r="QXN45" s="30"/>
      <c r="QXO45" s="31"/>
      <c r="QXP45" s="30"/>
      <c r="QXQ45" s="31"/>
      <c r="QXR45" s="30"/>
      <c r="QXS45" s="31"/>
      <c r="QXT45" s="30"/>
      <c r="QXU45" s="31"/>
      <c r="QXV45" s="30"/>
      <c r="QXW45" s="31"/>
      <c r="QXX45" s="30"/>
      <c r="QXY45" s="31"/>
      <c r="QXZ45" s="30"/>
      <c r="QYA45" s="31"/>
      <c r="QYB45" s="30"/>
      <c r="QYC45" s="31"/>
      <c r="QYD45" s="30"/>
      <c r="QYE45" s="31"/>
      <c r="QYF45" s="30"/>
      <c r="QYG45" s="31"/>
      <c r="QYH45" s="30"/>
      <c r="QYI45" s="31"/>
      <c r="QYJ45" s="30"/>
      <c r="QYK45" s="31"/>
      <c r="QYL45" s="30"/>
      <c r="QYM45" s="31"/>
      <c r="QYN45" s="30"/>
      <c r="QYO45" s="31"/>
      <c r="QYP45" s="30"/>
      <c r="QYQ45" s="31"/>
      <c r="QYR45" s="30"/>
      <c r="QYS45" s="31"/>
      <c r="QYT45" s="30"/>
      <c r="QYU45" s="31"/>
      <c r="QYV45" s="30"/>
      <c r="QYW45" s="31"/>
      <c r="QYX45" s="30"/>
      <c r="QYY45" s="31"/>
      <c r="QYZ45" s="30"/>
      <c r="QZA45" s="31"/>
      <c r="QZB45" s="30"/>
      <c r="QZC45" s="31"/>
      <c r="QZD45" s="30"/>
      <c r="QZE45" s="31"/>
      <c r="QZF45" s="30"/>
      <c r="QZG45" s="31"/>
      <c r="QZH45" s="30"/>
      <c r="QZI45" s="31"/>
      <c r="QZJ45" s="30"/>
      <c r="QZK45" s="31"/>
      <c r="QZL45" s="30"/>
      <c r="QZM45" s="31"/>
      <c r="QZN45" s="30"/>
      <c r="QZO45" s="31"/>
      <c r="QZP45" s="30"/>
      <c r="QZQ45" s="31"/>
      <c r="QZR45" s="30"/>
      <c r="QZS45" s="31"/>
      <c r="QZT45" s="30"/>
      <c r="QZU45" s="31"/>
      <c r="QZV45" s="30"/>
      <c r="QZW45" s="31"/>
      <c r="QZX45" s="30"/>
      <c r="QZY45" s="31"/>
      <c r="QZZ45" s="30"/>
      <c r="RAA45" s="31"/>
      <c r="RAB45" s="30"/>
      <c r="RAC45" s="31"/>
      <c r="RAD45" s="30"/>
      <c r="RAE45" s="31"/>
      <c r="RAF45" s="30"/>
      <c r="RAG45" s="31"/>
      <c r="RAH45" s="30"/>
      <c r="RAI45" s="31"/>
      <c r="RAJ45" s="30"/>
      <c r="RAK45" s="31"/>
      <c r="RAL45" s="30"/>
      <c r="RAM45" s="31"/>
      <c r="RAN45" s="30"/>
      <c r="RAO45" s="31"/>
      <c r="RAP45" s="30"/>
      <c r="RAQ45" s="31"/>
      <c r="RAR45" s="30"/>
      <c r="RAS45" s="31"/>
      <c r="RAT45" s="30"/>
      <c r="RAU45" s="31"/>
      <c r="RAV45" s="30"/>
      <c r="RAW45" s="31"/>
      <c r="RAX45" s="30"/>
      <c r="RAY45" s="31"/>
      <c r="RAZ45" s="30"/>
      <c r="RBA45" s="31"/>
      <c r="RBB45" s="30"/>
      <c r="RBC45" s="31"/>
      <c r="RBD45" s="30"/>
      <c r="RBE45" s="31"/>
      <c r="RBF45" s="30"/>
      <c r="RBG45" s="31"/>
      <c r="RBH45" s="30"/>
      <c r="RBI45" s="31"/>
      <c r="RBJ45" s="30"/>
      <c r="RBK45" s="31"/>
      <c r="RBL45" s="30"/>
      <c r="RBM45" s="31"/>
      <c r="RBN45" s="30"/>
      <c r="RBO45" s="31"/>
      <c r="RBP45" s="30"/>
      <c r="RBQ45" s="31"/>
      <c r="RBR45" s="30"/>
      <c r="RBS45" s="31"/>
      <c r="RBT45" s="30"/>
      <c r="RBU45" s="31"/>
      <c r="RBV45" s="30"/>
      <c r="RBW45" s="31"/>
      <c r="RBX45" s="30"/>
      <c r="RBY45" s="31"/>
      <c r="RBZ45" s="30"/>
      <c r="RCA45" s="31"/>
      <c r="RCB45" s="30"/>
      <c r="RCC45" s="31"/>
      <c r="RCD45" s="30"/>
      <c r="RCE45" s="31"/>
      <c r="RCF45" s="30"/>
      <c r="RCG45" s="31"/>
      <c r="RCH45" s="30"/>
      <c r="RCI45" s="31"/>
      <c r="RCJ45" s="30"/>
      <c r="RCK45" s="31"/>
      <c r="RCL45" s="30"/>
      <c r="RCM45" s="31"/>
      <c r="RCN45" s="30"/>
      <c r="RCO45" s="31"/>
      <c r="RCP45" s="30"/>
      <c r="RCQ45" s="31"/>
      <c r="RCR45" s="30"/>
      <c r="RCS45" s="31"/>
      <c r="RCT45" s="30"/>
      <c r="RCU45" s="31"/>
      <c r="RCV45" s="30"/>
      <c r="RCW45" s="31"/>
      <c r="RCX45" s="30"/>
      <c r="RCY45" s="31"/>
      <c r="RCZ45" s="30"/>
      <c r="RDA45" s="31"/>
      <c r="RDB45" s="30"/>
      <c r="RDC45" s="31"/>
      <c r="RDD45" s="30"/>
      <c r="RDE45" s="31"/>
      <c r="RDF45" s="30"/>
      <c r="RDG45" s="31"/>
      <c r="RDH45" s="30"/>
      <c r="RDI45" s="31"/>
      <c r="RDJ45" s="30"/>
      <c r="RDK45" s="31"/>
      <c r="RDL45" s="30"/>
      <c r="RDM45" s="31"/>
      <c r="RDN45" s="30"/>
      <c r="RDO45" s="31"/>
      <c r="RDP45" s="30"/>
      <c r="RDQ45" s="31"/>
      <c r="RDR45" s="30"/>
      <c r="RDS45" s="31"/>
      <c r="RDT45" s="30"/>
      <c r="RDU45" s="31"/>
      <c r="RDV45" s="30"/>
      <c r="RDW45" s="31"/>
      <c r="RDX45" s="30"/>
      <c r="RDY45" s="31"/>
      <c r="RDZ45" s="30"/>
      <c r="REA45" s="31"/>
      <c r="REB45" s="30"/>
      <c r="REC45" s="31"/>
      <c r="RED45" s="30"/>
      <c r="REE45" s="31"/>
      <c r="REF45" s="30"/>
      <c r="REG45" s="31"/>
      <c r="REH45" s="30"/>
      <c r="REI45" s="31"/>
      <c r="REJ45" s="30"/>
      <c r="REK45" s="31"/>
      <c r="REL45" s="30"/>
      <c r="REM45" s="31"/>
      <c r="REN45" s="30"/>
      <c r="REO45" s="31"/>
      <c r="REP45" s="30"/>
      <c r="REQ45" s="31"/>
      <c r="RER45" s="30"/>
      <c r="RES45" s="31"/>
      <c r="RET45" s="30"/>
      <c r="REU45" s="31"/>
      <c r="REV45" s="30"/>
      <c r="REW45" s="31"/>
      <c r="REX45" s="30"/>
      <c r="REY45" s="31"/>
      <c r="REZ45" s="30"/>
      <c r="RFA45" s="31"/>
      <c r="RFB45" s="30"/>
      <c r="RFC45" s="31"/>
      <c r="RFD45" s="30"/>
      <c r="RFE45" s="31"/>
      <c r="RFF45" s="30"/>
      <c r="RFG45" s="31"/>
      <c r="RFH45" s="30"/>
      <c r="RFI45" s="31"/>
      <c r="RFJ45" s="30"/>
      <c r="RFK45" s="31"/>
      <c r="RFL45" s="30"/>
      <c r="RFM45" s="31"/>
      <c r="RFN45" s="30"/>
      <c r="RFO45" s="31"/>
      <c r="RFP45" s="30"/>
      <c r="RFQ45" s="31"/>
      <c r="RFR45" s="30"/>
      <c r="RFS45" s="31"/>
      <c r="RFT45" s="30"/>
      <c r="RFU45" s="31"/>
      <c r="RFV45" s="30"/>
      <c r="RFW45" s="31"/>
      <c r="RFX45" s="30"/>
      <c r="RFY45" s="31"/>
      <c r="RFZ45" s="30"/>
      <c r="RGA45" s="31"/>
      <c r="RGB45" s="30"/>
      <c r="RGC45" s="31"/>
      <c r="RGD45" s="30"/>
      <c r="RGE45" s="31"/>
      <c r="RGF45" s="30"/>
      <c r="RGG45" s="31"/>
      <c r="RGH45" s="30"/>
      <c r="RGI45" s="31"/>
      <c r="RGJ45" s="30"/>
      <c r="RGK45" s="31"/>
      <c r="RGL45" s="30"/>
      <c r="RGM45" s="31"/>
      <c r="RGN45" s="30"/>
      <c r="RGO45" s="31"/>
      <c r="RGP45" s="30"/>
      <c r="RGQ45" s="31"/>
      <c r="RGR45" s="30"/>
      <c r="RGS45" s="31"/>
      <c r="RGT45" s="30"/>
      <c r="RGU45" s="31"/>
      <c r="RGV45" s="30"/>
      <c r="RGW45" s="31"/>
      <c r="RGX45" s="30"/>
      <c r="RGY45" s="31"/>
      <c r="RGZ45" s="30"/>
      <c r="RHA45" s="31"/>
      <c r="RHB45" s="30"/>
      <c r="RHC45" s="31"/>
      <c r="RHD45" s="30"/>
      <c r="RHE45" s="31"/>
      <c r="RHF45" s="30"/>
      <c r="RHG45" s="31"/>
      <c r="RHH45" s="30"/>
      <c r="RHI45" s="31"/>
      <c r="RHJ45" s="30"/>
      <c r="RHK45" s="31"/>
      <c r="RHL45" s="30"/>
      <c r="RHM45" s="31"/>
      <c r="RHN45" s="30"/>
      <c r="RHO45" s="31"/>
      <c r="RHP45" s="30"/>
      <c r="RHQ45" s="31"/>
      <c r="RHR45" s="30"/>
      <c r="RHS45" s="31"/>
      <c r="RHT45" s="30"/>
      <c r="RHU45" s="31"/>
      <c r="RHV45" s="30"/>
      <c r="RHW45" s="31"/>
      <c r="RHX45" s="30"/>
      <c r="RHY45" s="31"/>
      <c r="RHZ45" s="30"/>
      <c r="RIA45" s="31"/>
      <c r="RIB45" s="30"/>
      <c r="RIC45" s="31"/>
      <c r="RID45" s="30"/>
      <c r="RIE45" s="31"/>
      <c r="RIF45" s="30"/>
      <c r="RIG45" s="31"/>
      <c r="RIH45" s="30"/>
      <c r="RII45" s="31"/>
      <c r="RIJ45" s="30"/>
      <c r="RIK45" s="31"/>
      <c r="RIL45" s="30"/>
      <c r="RIM45" s="31"/>
      <c r="RIN45" s="30"/>
      <c r="RIO45" s="31"/>
      <c r="RIP45" s="30"/>
      <c r="RIQ45" s="31"/>
      <c r="RIR45" s="30"/>
      <c r="RIS45" s="31"/>
      <c r="RIT45" s="30"/>
      <c r="RIU45" s="31"/>
      <c r="RIV45" s="30"/>
      <c r="RIW45" s="31"/>
      <c r="RIX45" s="30"/>
      <c r="RIY45" s="31"/>
      <c r="RIZ45" s="30"/>
      <c r="RJA45" s="31"/>
      <c r="RJB45" s="30"/>
      <c r="RJC45" s="31"/>
      <c r="RJD45" s="30"/>
      <c r="RJE45" s="31"/>
      <c r="RJF45" s="30"/>
      <c r="RJG45" s="31"/>
      <c r="RJH45" s="30"/>
      <c r="RJI45" s="31"/>
      <c r="RJJ45" s="30"/>
      <c r="RJK45" s="31"/>
      <c r="RJL45" s="30"/>
      <c r="RJM45" s="31"/>
      <c r="RJN45" s="30"/>
      <c r="RJO45" s="31"/>
      <c r="RJP45" s="30"/>
      <c r="RJQ45" s="31"/>
      <c r="RJR45" s="30"/>
      <c r="RJS45" s="31"/>
      <c r="RJT45" s="30"/>
      <c r="RJU45" s="31"/>
      <c r="RJV45" s="30"/>
      <c r="RJW45" s="31"/>
      <c r="RJX45" s="30"/>
      <c r="RJY45" s="31"/>
      <c r="RJZ45" s="30"/>
      <c r="RKA45" s="31"/>
      <c r="RKB45" s="30"/>
      <c r="RKC45" s="31"/>
      <c r="RKD45" s="30"/>
      <c r="RKE45" s="31"/>
      <c r="RKF45" s="30"/>
      <c r="RKG45" s="31"/>
      <c r="RKH45" s="30"/>
      <c r="RKI45" s="31"/>
      <c r="RKJ45" s="30"/>
      <c r="RKK45" s="31"/>
      <c r="RKL45" s="30"/>
      <c r="RKM45" s="31"/>
      <c r="RKN45" s="30"/>
      <c r="RKO45" s="31"/>
      <c r="RKP45" s="30"/>
      <c r="RKQ45" s="31"/>
      <c r="RKR45" s="30"/>
      <c r="RKS45" s="31"/>
      <c r="RKT45" s="30"/>
      <c r="RKU45" s="31"/>
      <c r="RKV45" s="30"/>
      <c r="RKW45" s="31"/>
      <c r="RKX45" s="30"/>
      <c r="RKY45" s="31"/>
      <c r="RKZ45" s="30"/>
      <c r="RLA45" s="31"/>
      <c r="RLB45" s="30"/>
      <c r="RLC45" s="31"/>
      <c r="RLD45" s="30"/>
      <c r="RLE45" s="31"/>
      <c r="RLF45" s="30"/>
      <c r="RLG45" s="31"/>
      <c r="RLH45" s="30"/>
      <c r="RLI45" s="31"/>
      <c r="RLJ45" s="30"/>
      <c r="RLK45" s="31"/>
      <c r="RLL45" s="30"/>
      <c r="RLM45" s="31"/>
      <c r="RLN45" s="30"/>
      <c r="RLO45" s="31"/>
      <c r="RLP45" s="30"/>
      <c r="RLQ45" s="31"/>
      <c r="RLR45" s="30"/>
      <c r="RLS45" s="31"/>
      <c r="RLT45" s="30"/>
      <c r="RLU45" s="31"/>
      <c r="RLV45" s="30"/>
      <c r="RLW45" s="31"/>
      <c r="RLX45" s="30"/>
      <c r="RLY45" s="31"/>
      <c r="RLZ45" s="30"/>
      <c r="RMA45" s="31"/>
      <c r="RMB45" s="30"/>
      <c r="RMC45" s="31"/>
      <c r="RMD45" s="30"/>
      <c r="RME45" s="31"/>
      <c r="RMF45" s="30"/>
      <c r="RMG45" s="31"/>
      <c r="RMH45" s="30"/>
      <c r="RMI45" s="31"/>
      <c r="RMJ45" s="30"/>
      <c r="RMK45" s="31"/>
      <c r="RML45" s="30"/>
      <c r="RMM45" s="31"/>
      <c r="RMN45" s="30"/>
      <c r="RMO45" s="31"/>
      <c r="RMP45" s="30"/>
      <c r="RMQ45" s="31"/>
      <c r="RMR45" s="30"/>
      <c r="RMS45" s="31"/>
      <c r="RMT45" s="30"/>
      <c r="RMU45" s="31"/>
      <c r="RMV45" s="30"/>
      <c r="RMW45" s="31"/>
      <c r="RMX45" s="30"/>
      <c r="RMY45" s="31"/>
      <c r="RMZ45" s="30"/>
      <c r="RNA45" s="31"/>
      <c r="RNB45" s="30"/>
      <c r="RNC45" s="31"/>
      <c r="RND45" s="30"/>
      <c r="RNE45" s="31"/>
      <c r="RNF45" s="30"/>
      <c r="RNG45" s="31"/>
      <c r="RNH45" s="30"/>
      <c r="RNI45" s="31"/>
      <c r="RNJ45" s="30"/>
      <c r="RNK45" s="31"/>
      <c r="RNL45" s="30"/>
      <c r="RNM45" s="31"/>
      <c r="RNN45" s="30"/>
      <c r="RNO45" s="31"/>
      <c r="RNP45" s="30"/>
      <c r="RNQ45" s="31"/>
      <c r="RNR45" s="30"/>
      <c r="RNS45" s="31"/>
      <c r="RNT45" s="30"/>
      <c r="RNU45" s="31"/>
      <c r="RNV45" s="30"/>
      <c r="RNW45" s="31"/>
      <c r="RNX45" s="30"/>
      <c r="RNY45" s="31"/>
      <c r="RNZ45" s="30"/>
      <c r="ROA45" s="31"/>
      <c r="ROB45" s="30"/>
      <c r="ROC45" s="31"/>
      <c r="ROD45" s="30"/>
      <c r="ROE45" s="31"/>
      <c r="ROF45" s="30"/>
      <c r="ROG45" s="31"/>
      <c r="ROH45" s="30"/>
      <c r="ROI45" s="31"/>
      <c r="ROJ45" s="30"/>
      <c r="ROK45" s="31"/>
      <c r="ROL45" s="30"/>
      <c r="ROM45" s="31"/>
      <c r="RON45" s="30"/>
      <c r="ROO45" s="31"/>
      <c r="ROP45" s="30"/>
      <c r="ROQ45" s="31"/>
      <c r="ROR45" s="30"/>
      <c r="ROS45" s="31"/>
      <c r="ROT45" s="30"/>
      <c r="ROU45" s="31"/>
      <c r="ROV45" s="30"/>
      <c r="ROW45" s="31"/>
      <c r="ROX45" s="30"/>
      <c r="ROY45" s="31"/>
      <c r="ROZ45" s="30"/>
      <c r="RPA45" s="31"/>
      <c r="RPB45" s="30"/>
      <c r="RPC45" s="31"/>
      <c r="RPD45" s="30"/>
      <c r="RPE45" s="31"/>
      <c r="RPF45" s="30"/>
      <c r="RPG45" s="31"/>
      <c r="RPH45" s="30"/>
      <c r="RPI45" s="31"/>
      <c r="RPJ45" s="30"/>
      <c r="RPK45" s="31"/>
      <c r="RPL45" s="30"/>
      <c r="RPM45" s="31"/>
      <c r="RPN45" s="30"/>
      <c r="RPO45" s="31"/>
      <c r="RPP45" s="30"/>
      <c r="RPQ45" s="31"/>
      <c r="RPR45" s="30"/>
      <c r="RPS45" s="31"/>
      <c r="RPT45" s="30"/>
      <c r="RPU45" s="31"/>
      <c r="RPV45" s="30"/>
      <c r="RPW45" s="31"/>
      <c r="RPX45" s="30"/>
      <c r="RPY45" s="31"/>
      <c r="RPZ45" s="30"/>
      <c r="RQA45" s="31"/>
      <c r="RQB45" s="30"/>
      <c r="RQC45" s="31"/>
      <c r="RQD45" s="30"/>
      <c r="RQE45" s="31"/>
      <c r="RQF45" s="30"/>
      <c r="RQG45" s="31"/>
      <c r="RQH45" s="30"/>
      <c r="RQI45" s="31"/>
      <c r="RQJ45" s="30"/>
      <c r="RQK45" s="31"/>
      <c r="RQL45" s="30"/>
      <c r="RQM45" s="31"/>
      <c r="RQN45" s="30"/>
      <c r="RQO45" s="31"/>
      <c r="RQP45" s="30"/>
      <c r="RQQ45" s="31"/>
      <c r="RQR45" s="30"/>
      <c r="RQS45" s="31"/>
      <c r="RQT45" s="30"/>
      <c r="RQU45" s="31"/>
      <c r="RQV45" s="30"/>
      <c r="RQW45" s="31"/>
      <c r="RQX45" s="30"/>
      <c r="RQY45" s="31"/>
      <c r="RQZ45" s="30"/>
      <c r="RRA45" s="31"/>
      <c r="RRB45" s="30"/>
      <c r="RRC45" s="31"/>
      <c r="RRD45" s="30"/>
      <c r="RRE45" s="31"/>
      <c r="RRF45" s="30"/>
      <c r="RRG45" s="31"/>
      <c r="RRH45" s="30"/>
      <c r="RRI45" s="31"/>
      <c r="RRJ45" s="30"/>
      <c r="RRK45" s="31"/>
      <c r="RRL45" s="30"/>
      <c r="RRM45" s="31"/>
      <c r="RRN45" s="30"/>
      <c r="RRO45" s="31"/>
      <c r="RRP45" s="30"/>
      <c r="RRQ45" s="31"/>
      <c r="RRR45" s="30"/>
      <c r="RRS45" s="31"/>
      <c r="RRT45" s="30"/>
      <c r="RRU45" s="31"/>
      <c r="RRV45" s="30"/>
      <c r="RRW45" s="31"/>
      <c r="RRX45" s="30"/>
      <c r="RRY45" s="31"/>
      <c r="RRZ45" s="30"/>
      <c r="RSA45" s="31"/>
      <c r="RSB45" s="30"/>
      <c r="RSC45" s="31"/>
      <c r="RSD45" s="30"/>
      <c r="RSE45" s="31"/>
      <c r="RSF45" s="30"/>
      <c r="RSG45" s="31"/>
      <c r="RSH45" s="30"/>
      <c r="RSI45" s="31"/>
      <c r="RSJ45" s="30"/>
      <c r="RSK45" s="31"/>
      <c r="RSL45" s="30"/>
      <c r="RSM45" s="31"/>
      <c r="RSN45" s="30"/>
      <c r="RSO45" s="31"/>
      <c r="RSP45" s="30"/>
      <c r="RSQ45" s="31"/>
      <c r="RSR45" s="30"/>
      <c r="RSS45" s="31"/>
      <c r="RST45" s="30"/>
      <c r="RSU45" s="31"/>
      <c r="RSV45" s="30"/>
      <c r="RSW45" s="31"/>
      <c r="RSX45" s="30"/>
      <c r="RSY45" s="31"/>
      <c r="RSZ45" s="30"/>
      <c r="RTA45" s="31"/>
      <c r="RTB45" s="30"/>
      <c r="RTC45" s="31"/>
      <c r="RTD45" s="30"/>
      <c r="RTE45" s="31"/>
      <c r="RTF45" s="30"/>
      <c r="RTG45" s="31"/>
      <c r="RTH45" s="30"/>
      <c r="RTI45" s="31"/>
      <c r="RTJ45" s="30"/>
      <c r="RTK45" s="31"/>
      <c r="RTL45" s="30"/>
      <c r="RTM45" s="31"/>
      <c r="RTN45" s="30"/>
      <c r="RTO45" s="31"/>
      <c r="RTP45" s="30"/>
      <c r="RTQ45" s="31"/>
      <c r="RTR45" s="30"/>
      <c r="RTS45" s="31"/>
      <c r="RTT45" s="30"/>
      <c r="RTU45" s="31"/>
      <c r="RTV45" s="30"/>
      <c r="RTW45" s="31"/>
      <c r="RTX45" s="30"/>
      <c r="RTY45" s="31"/>
      <c r="RTZ45" s="30"/>
      <c r="RUA45" s="31"/>
      <c r="RUB45" s="30"/>
      <c r="RUC45" s="31"/>
      <c r="RUD45" s="30"/>
      <c r="RUE45" s="31"/>
      <c r="RUF45" s="30"/>
      <c r="RUG45" s="31"/>
      <c r="RUH45" s="30"/>
      <c r="RUI45" s="31"/>
      <c r="RUJ45" s="30"/>
      <c r="RUK45" s="31"/>
      <c r="RUL45" s="30"/>
      <c r="RUM45" s="31"/>
      <c r="RUN45" s="30"/>
      <c r="RUO45" s="31"/>
      <c r="RUP45" s="30"/>
      <c r="RUQ45" s="31"/>
      <c r="RUR45" s="30"/>
      <c r="RUS45" s="31"/>
      <c r="RUT45" s="30"/>
      <c r="RUU45" s="31"/>
      <c r="RUV45" s="30"/>
      <c r="RUW45" s="31"/>
      <c r="RUX45" s="30"/>
      <c r="RUY45" s="31"/>
      <c r="RUZ45" s="30"/>
      <c r="RVA45" s="31"/>
      <c r="RVB45" s="30"/>
      <c r="RVC45" s="31"/>
      <c r="RVD45" s="30"/>
      <c r="RVE45" s="31"/>
      <c r="RVF45" s="30"/>
      <c r="RVG45" s="31"/>
      <c r="RVH45" s="30"/>
      <c r="RVI45" s="31"/>
      <c r="RVJ45" s="30"/>
      <c r="RVK45" s="31"/>
      <c r="RVL45" s="30"/>
      <c r="RVM45" s="31"/>
      <c r="RVN45" s="30"/>
      <c r="RVO45" s="31"/>
      <c r="RVP45" s="30"/>
      <c r="RVQ45" s="31"/>
      <c r="RVR45" s="30"/>
      <c r="RVS45" s="31"/>
      <c r="RVT45" s="30"/>
      <c r="RVU45" s="31"/>
      <c r="RVV45" s="30"/>
      <c r="RVW45" s="31"/>
      <c r="RVX45" s="30"/>
      <c r="RVY45" s="31"/>
      <c r="RVZ45" s="30"/>
      <c r="RWA45" s="31"/>
      <c r="RWB45" s="30"/>
      <c r="RWC45" s="31"/>
      <c r="RWD45" s="30"/>
      <c r="RWE45" s="31"/>
      <c r="RWF45" s="30"/>
      <c r="RWG45" s="31"/>
      <c r="RWH45" s="30"/>
      <c r="RWI45" s="31"/>
      <c r="RWJ45" s="30"/>
      <c r="RWK45" s="31"/>
      <c r="RWL45" s="30"/>
      <c r="RWM45" s="31"/>
      <c r="RWN45" s="30"/>
      <c r="RWO45" s="31"/>
      <c r="RWP45" s="30"/>
      <c r="RWQ45" s="31"/>
      <c r="RWR45" s="30"/>
      <c r="RWS45" s="31"/>
      <c r="RWT45" s="30"/>
      <c r="RWU45" s="31"/>
      <c r="RWV45" s="30"/>
      <c r="RWW45" s="31"/>
      <c r="RWX45" s="30"/>
      <c r="RWY45" s="31"/>
      <c r="RWZ45" s="30"/>
      <c r="RXA45" s="31"/>
      <c r="RXB45" s="30"/>
      <c r="RXC45" s="31"/>
      <c r="RXD45" s="30"/>
      <c r="RXE45" s="31"/>
      <c r="RXF45" s="30"/>
      <c r="RXG45" s="31"/>
      <c r="RXH45" s="30"/>
      <c r="RXI45" s="31"/>
      <c r="RXJ45" s="30"/>
      <c r="RXK45" s="31"/>
      <c r="RXL45" s="30"/>
      <c r="RXM45" s="31"/>
      <c r="RXN45" s="30"/>
      <c r="RXO45" s="31"/>
      <c r="RXP45" s="30"/>
      <c r="RXQ45" s="31"/>
      <c r="RXR45" s="30"/>
      <c r="RXS45" s="31"/>
      <c r="RXT45" s="30"/>
      <c r="RXU45" s="31"/>
      <c r="RXV45" s="30"/>
      <c r="RXW45" s="31"/>
      <c r="RXX45" s="30"/>
      <c r="RXY45" s="31"/>
      <c r="RXZ45" s="30"/>
      <c r="RYA45" s="31"/>
      <c r="RYB45" s="30"/>
      <c r="RYC45" s="31"/>
      <c r="RYD45" s="30"/>
      <c r="RYE45" s="31"/>
      <c r="RYF45" s="30"/>
      <c r="RYG45" s="31"/>
      <c r="RYH45" s="30"/>
      <c r="RYI45" s="31"/>
      <c r="RYJ45" s="30"/>
      <c r="RYK45" s="31"/>
      <c r="RYL45" s="30"/>
      <c r="RYM45" s="31"/>
      <c r="RYN45" s="30"/>
      <c r="RYO45" s="31"/>
      <c r="RYP45" s="30"/>
      <c r="RYQ45" s="31"/>
      <c r="RYR45" s="30"/>
      <c r="RYS45" s="31"/>
      <c r="RYT45" s="30"/>
      <c r="RYU45" s="31"/>
      <c r="RYV45" s="30"/>
      <c r="RYW45" s="31"/>
      <c r="RYX45" s="30"/>
      <c r="RYY45" s="31"/>
      <c r="RYZ45" s="30"/>
      <c r="RZA45" s="31"/>
      <c r="RZB45" s="30"/>
      <c r="RZC45" s="31"/>
      <c r="RZD45" s="30"/>
      <c r="RZE45" s="31"/>
      <c r="RZF45" s="30"/>
      <c r="RZG45" s="31"/>
      <c r="RZH45" s="30"/>
      <c r="RZI45" s="31"/>
      <c r="RZJ45" s="30"/>
      <c r="RZK45" s="31"/>
      <c r="RZL45" s="30"/>
      <c r="RZM45" s="31"/>
      <c r="RZN45" s="30"/>
      <c r="RZO45" s="31"/>
      <c r="RZP45" s="30"/>
      <c r="RZQ45" s="31"/>
      <c r="RZR45" s="30"/>
      <c r="RZS45" s="31"/>
      <c r="RZT45" s="30"/>
      <c r="RZU45" s="31"/>
      <c r="RZV45" s="30"/>
      <c r="RZW45" s="31"/>
      <c r="RZX45" s="30"/>
      <c r="RZY45" s="31"/>
      <c r="RZZ45" s="30"/>
      <c r="SAA45" s="31"/>
      <c r="SAB45" s="30"/>
      <c r="SAC45" s="31"/>
      <c r="SAD45" s="30"/>
      <c r="SAE45" s="31"/>
      <c r="SAF45" s="30"/>
      <c r="SAG45" s="31"/>
      <c r="SAH45" s="30"/>
      <c r="SAI45" s="31"/>
      <c r="SAJ45" s="30"/>
      <c r="SAK45" s="31"/>
      <c r="SAL45" s="30"/>
      <c r="SAM45" s="31"/>
      <c r="SAN45" s="30"/>
      <c r="SAO45" s="31"/>
      <c r="SAP45" s="30"/>
      <c r="SAQ45" s="31"/>
      <c r="SAR45" s="30"/>
      <c r="SAS45" s="31"/>
      <c r="SAT45" s="30"/>
      <c r="SAU45" s="31"/>
      <c r="SAV45" s="30"/>
      <c r="SAW45" s="31"/>
      <c r="SAX45" s="30"/>
      <c r="SAY45" s="31"/>
      <c r="SAZ45" s="30"/>
      <c r="SBA45" s="31"/>
      <c r="SBB45" s="30"/>
      <c r="SBC45" s="31"/>
      <c r="SBD45" s="30"/>
      <c r="SBE45" s="31"/>
      <c r="SBF45" s="30"/>
      <c r="SBG45" s="31"/>
      <c r="SBH45" s="30"/>
      <c r="SBI45" s="31"/>
      <c r="SBJ45" s="30"/>
      <c r="SBK45" s="31"/>
      <c r="SBL45" s="30"/>
      <c r="SBM45" s="31"/>
      <c r="SBN45" s="30"/>
      <c r="SBO45" s="31"/>
      <c r="SBP45" s="30"/>
      <c r="SBQ45" s="31"/>
      <c r="SBR45" s="30"/>
      <c r="SBS45" s="31"/>
      <c r="SBT45" s="30"/>
      <c r="SBU45" s="31"/>
      <c r="SBV45" s="30"/>
      <c r="SBW45" s="31"/>
      <c r="SBX45" s="30"/>
      <c r="SBY45" s="31"/>
      <c r="SBZ45" s="30"/>
      <c r="SCA45" s="31"/>
      <c r="SCB45" s="30"/>
      <c r="SCC45" s="31"/>
      <c r="SCD45" s="30"/>
      <c r="SCE45" s="31"/>
      <c r="SCF45" s="30"/>
      <c r="SCG45" s="31"/>
      <c r="SCH45" s="30"/>
      <c r="SCI45" s="31"/>
      <c r="SCJ45" s="30"/>
      <c r="SCK45" s="31"/>
      <c r="SCL45" s="30"/>
      <c r="SCM45" s="31"/>
      <c r="SCN45" s="30"/>
      <c r="SCO45" s="31"/>
      <c r="SCP45" s="30"/>
      <c r="SCQ45" s="31"/>
      <c r="SCR45" s="30"/>
      <c r="SCS45" s="31"/>
      <c r="SCT45" s="30"/>
      <c r="SCU45" s="31"/>
      <c r="SCV45" s="30"/>
      <c r="SCW45" s="31"/>
      <c r="SCX45" s="30"/>
      <c r="SCY45" s="31"/>
      <c r="SCZ45" s="30"/>
      <c r="SDA45" s="31"/>
      <c r="SDB45" s="30"/>
      <c r="SDC45" s="31"/>
      <c r="SDD45" s="30"/>
      <c r="SDE45" s="31"/>
      <c r="SDF45" s="30"/>
      <c r="SDG45" s="31"/>
      <c r="SDH45" s="30"/>
      <c r="SDI45" s="31"/>
      <c r="SDJ45" s="30"/>
      <c r="SDK45" s="31"/>
      <c r="SDL45" s="30"/>
      <c r="SDM45" s="31"/>
      <c r="SDN45" s="30"/>
      <c r="SDO45" s="31"/>
      <c r="SDP45" s="30"/>
      <c r="SDQ45" s="31"/>
      <c r="SDR45" s="30"/>
      <c r="SDS45" s="31"/>
      <c r="SDT45" s="30"/>
      <c r="SDU45" s="31"/>
      <c r="SDV45" s="30"/>
      <c r="SDW45" s="31"/>
      <c r="SDX45" s="30"/>
      <c r="SDY45" s="31"/>
      <c r="SDZ45" s="30"/>
      <c r="SEA45" s="31"/>
      <c r="SEB45" s="30"/>
      <c r="SEC45" s="31"/>
      <c r="SED45" s="30"/>
      <c r="SEE45" s="31"/>
      <c r="SEF45" s="30"/>
      <c r="SEG45" s="31"/>
      <c r="SEH45" s="30"/>
      <c r="SEI45" s="31"/>
      <c r="SEJ45" s="30"/>
      <c r="SEK45" s="31"/>
      <c r="SEL45" s="30"/>
      <c r="SEM45" s="31"/>
      <c r="SEN45" s="30"/>
      <c r="SEO45" s="31"/>
      <c r="SEP45" s="30"/>
      <c r="SEQ45" s="31"/>
      <c r="SER45" s="30"/>
      <c r="SES45" s="31"/>
      <c r="SET45" s="30"/>
      <c r="SEU45" s="31"/>
      <c r="SEV45" s="30"/>
      <c r="SEW45" s="31"/>
      <c r="SEX45" s="30"/>
      <c r="SEY45" s="31"/>
      <c r="SEZ45" s="30"/>
      <c r="SFA45" s="31"/>
      <c r="SFB45" s="30"/>
      <c r="SFC45" s="31"/>
      <c r="SFD45" s="30"/>
      <c r="SFE45" s="31"/>
      <c r="SFF45" s="30"/>
      <c r="SFG45" s="31"/>
      <c r="SFH45" s="30"/>
      <c r="SFI45" s="31"/>
      <c r="SFJ45" s="30"/>
      <c r="SFK45" s="31"/>
      <c r="SFL45" s="30"/>
      <c r="SFM45" s="31"/>
      <c r="SFN45" s="30"/>
      <c r="SFO45" s="31"/>
      <c r="SFP45" s="30"/>
      <c r="SFQ45" s="31"/>
      <c r="SFR45" s="30"/>
      <c r="SFS45" s="31"/>
      <c r="SFT45" s="30"/>
      <c r="SFU45" s="31"/>
      <c r="SFV45" s="30"/>
      <c r="SFW45" s="31"/>
      <c r="SFX45" s="30"/>
      <c r="SFY45" s="31"/>
      <c r="SFZ45" s="30"/>
      <c r="SGA45" s="31"/>
      <c r="SGB45" s="30"/>
      <c r="SGC45" s="31"/>
      <c r="SGD45" s="30"/>
      <c r="SGE45" s="31"/>
      <c r="SGF45" s="30"/>
      <c r="SGG45" s="31"/>
      <c r="SGH45" s="30"/>
      <c r="SGI45" s="31"/>
      <c r="SGJ45" s="30"/>
      <c r="SGK45" s="31"/>
      <c r="SGL45" s="30"/>
      <c r="SGM45" s="31"/>
      <c r="SGN45" s="30"/>
      <c r="SGO45" s="31"/>
      <c r="SGP45" s="30"/>
      <c r="SGQ45" s="31"/>
      <c r="SGR45" s="30"/>
      <c r="SGS45" s="31"/>
      <c r="SGT45" s="30"/>
      <c r="SGU45" s="31"/>
      <c r="SGV45" s="30"/>
      <c r="SGW45" s="31"/>
      <c r="SGX45" s="30"/>
      <c r="SGY45" s="31"/>
      <c r="SGZ45" s="30"/>
      <c r="SHA45" s="31"/>
      <c r="SHB45" s="30"/>
      <c r="SHC45" s="31"/>
      <c r="SHD45" s="30"/>
      <c r="SHE45" s="31"/>
      <c r="SHF45" s="30"/>
      <c r="SHG45" s="31"/>
      <c r="SHH45" s="30"/>
      <c r="SHI45" s="31"/>
      <c r="SHJ45" s="30"/>
      <c r="SHK45" s="31"/>
      <c r="SHL45" s="30"/>
      <c r="SHM45" s="31"/>
      <c r="SHN45" s="30"/>
      <c r="SHO45" s="31"/>
      <c r="SHP45" s="30"/>
      <c r="SHQ45" s="31"/>
      <c r="SHR45" s="30"/>
      <c r="SHS45" s="31"/>
      <c r="SHT45" s="30"/>
      <c r="SHU45" s="31"/>
      <c r="SHV45" s="30"/>
      <c r="SHW45" s="31"/>
      <c r="SHX45" s="30"/>
      <c r="SHY45" s="31"/>
      <c r="SHZ45" s="30"/>
      <c r="SIA45" s="31"/>
      <c r="SIB45" s="30"/>
      <c r="SIC45" s="31"/>
      <c r="SID45" s="30"/>
      <c r="SIE45" s="31"/>
      <c r="SIF45" s="30"/>
      <c r="SIG45" s="31"/>
      <c r="SIH45" s="30"/>
      <c r="SII45" s="31"/>
      <c r="SIJ45" s="30"/>
      <c r="SIK45" s="31"/>
      <c r="SIL45" s="30"/>
      <c r="SIM45" s="31"/>
      <c r="SIN45" s="30"/>
      <c r="SIO45" s="31"/>
      <c r="SIP45" s="30"/>
      <c r="SIQ45" s="31"/>
      <c r="SIR45" s="30"/>
      <c r="SIS45" s="31"/>
      <c r="SIT45" s="30"/>
      <c r="SIU45" s="31"/>
      <c r="SIV45" s="30"/>
      <c r="SIW45" s="31"/>
      <c r="SIX45" s="30"/>
      <c r="SIY45" s="31"/>
      <c r="SIZ45" s="30"/>
      <c r="SJA45" s="31"/>
      <c r="SJB45" s="30"/>
      <c r="SJC45" s="31"/>
      <c r="SJD45" s="30"/>
      <c r="SJE45" s="31"/>
      <c r="SJF45" s="30"/>
      <c r="SJG45" s="31"/>
      <c r="SJH45" s="30"/>
      <c r="SJI45" s="31"/>
      <c r="SJJ45" s="30"/>
      <c r="SJK45" s="31"/>
      <c r="SJL45" s="30"/>
      <c r="SJM45" s="31"/>
      <c r="SJN45" s="30"/>
      <c r="SJO45" s="31"/>
      <c r="SJP45" s="30"/>
      <c r="SJQ45" s="31"/>
      <c r="SJR45" s="30"/>
      <c r="SJS45" s="31"/>
      <c r="SJT45" s="30"/>
      <c r="SJU45" s="31"/>
      <c r="SJV45" s="30"/>
      <c r="SJW45" s="31"/>
      <c r="SJX45" s="30"/>
      <c r="SJY45" s="31"/>
      <c r="SJZ45" s="30"/>
      <c r="SKA45" s="31"/>
      <c r="SKB45" s="30"/>
      <c r="SKC45" s="31"/>
      <c r="SKD45" s="30"/>
      <c r="SKE45" s="31"/>
      <c r="SKF45" s="30"/>
      <c r="SKG45" s="31"/>
      <c r="SKH45" s="30"/>
      <c r="SKI45" s="31"/>
      <c r="SKJ45" s="30"/>
      <c r="SKK45" s="31"/>
      <c r="SKL45" s="30"/>
      <c r="SKM45" s="31"/>
      <c r="SKN45" s="30"/>
      <c r="SKO45" s="31"/>
      <c r="SKP45" s="30"/>
      <c r="SKQ45" s="31"/>
      <c r="SKR45" s="30"/>
      <c r="SKS45" s="31"/>
      <c r="SKT45" s="30"/>
      <c r="SKU45" s="31"/>
      <c r="SKV45" s="30"/>
      <c r="SKW45" s="31"/>
      <c r="SKX45" s="30"/>
      <c r="SKY45" s="31"/>
      <c r="SKZ45" s="30"/>
      <c r="SLA45" s="31"/>
      <c r="SLB45" s="30"/>
      <c r="SLC45" s="31"/>
      <c r="SLD45" s="30"/>
      <c r="SLE45" s="31"/>
      <c r="SLF45" s="30"/>
      <c r="SLG45" s="31"/>
      <c r="SLH45" s="30"/>
      <c r="SLI45" s="31"/>
      <c r="SLJ45" s="30"/>
      <c r="SLK45" s="31"/>
      <c r="SLL45" s="30"/>
      <c r="SLM45" s="31"/>
      <c r="SLN45" s="30"/>
      <c r="SLO45" s="31"/>
      <c r="SLP45" s="30"/>
      <c r="SLQ45" s="31"/>
      <c r="SLR45" s="30"/>
      <c r="SLS45" s="31"/>
      <c r="SLT45" s="30"/>
      <c r="SLU45" s="31"/>
      <c r="SLV45" s="30"/>
      <c r="SLW45" s="31"/>
      <c r="SLX45" s="30"/>
      <c r="SLY45" s="31"/>
      <c r="SLZ45" s="30"/>
      <c r="SMA45" s="31"/>
      <c r="SMB45" s="30"/>
      <c r="SMC45" s="31"/>
      <c r="SMD45" s="30"/>
      <c r="SME45" s="31"/>
      <c r="SMF45" s="30"/>
      <c r="SMG45" s="31"/>
      <c r="SMH45" s="30"/>
      <c r="SMI45" s="31"/>
      <c r="SMJ45" s="30"/>
      <c r="SMK45" s="31"/>
      <c r="SML45" s="30"/>
      <c r="SMM45" s="31"/>
      <c r="SMN45" s="30"/>
      <c r="SMO45" s="31"/>
      <c r="SMP45" s="30"/>
      <c r="SMQ45" s="31"/>
      <c r="SMR45" s="30"/>
      <c r="SMS45" s="31"/>
      <c r="SMT45" s="30"/>
      <c r="SMU45" s="31"/>
      <c r="SMV45" s="30"/>
      <c r="SMW45" s="31"/>
      <c r="SMX45" s="30"/>
      <c r="SMY45" s="31"/>
      <c r="SMZ45" s="30"/>
      <c r="SNA45" s="31"/>
      <c r="SNB45" s="30"/>
      <c r="SNC45" s="31"/>
      <c r="SND45" s="30"/>
      <c r="SNE45" s="31"/>
      <c r="SNF45" s="30"/>
      <c r="SNG45" s="31"/>
      <c r="SNH45" s="30"/>
      <c r="SNI45" s="31"/>
      <c r="SNJ45" s="30"/>
      <c r="SNK45" s="31"/>
      <c r="SNL45" s="30"/>
      <c r="SNM45" s="31"/>
      <c r="SNN45" s="30"/>
      <c r="SNO45" s="31"/>
      <c r="SNP45" s="30"/>
      <c r="SNQ45" s="31"/>
      <c r="SNR45" s="30"/>
      <c r="SNS45" s="31"/>
      <c r="SNT45" s="30"/>
      <c r="SNU45" s="31"/>
      <c r="SNV45" s="30"/>
      <c r="SNW45" s="31"/>
      <c r="SNX45" s="30"/>
      <c r="SNY45" s="31"/>
      <c r="SNZ45" s="30"/>
      <c r="SOA45" s="31"/>
      <c r="SOB45" s="30"/>
      <c r="SOC45" s="31"/>
      <c r="SOD45" s="30"/>
      <c r="SOE45" s="31"/>
      <c r="SOF45" s="30"/>
      <c r="SOG45" s="31"/>
      <c r="SOH45" s="30"/>
      <c r="SOI45" s="31"/>
      <c r="SOJ45" s="30"/>
      <c r="SOK45" s="31"/>
      <c r="SOL45" s="30"/>
      <c r="SOM45" s="31"/>
      <c r="SON45" s="30"/>
      <c r="SOO45" s="31"/>
      <c r="SOP45" s="30"/>
      <c r="SOQ45" s="31"/>
      <c r="SOR45" s="30"/>
      <c r="SOS45" s="31"/>
      <c r="SOT45" s="30"/>
      <c r="SOU45" s="31"/>
      <c r="SOV45" s="30"/>
      <c r="SOW45" s="31"/>
      <c r="SOX45" s="30"/>
      <c r="SOY45" s="31"/>
      <c r="SOZ45" s="30"/>
      <c r="SPA45" s="31"/>
      <c r="SPB45" s="30"/>
      <c r="SPC45" s="31"/>
      <c r="SPD45" s="30"/>
      <c r="SPE45" s="31"/>
      <c r="SPF45" s="30"/>
      <c r="SPG45" s="31"/>
      <c r="SPH45" s="30"/>
      <c r="SPI45" s="31"/>
      <c r="SPJ45" s="30"/>
      <c r="SPK45" s="31"/>
      <c r="SPL45" s="30"/>
      <c r="SPM45" s="31"/>
      <c r="SPN45" s="30"/>
      <c r="SPO45" s="31"/>
      <c r="SPP45" s="30"/>
      <c r="SPQ45" s="31"/>
      <c r="SPR45" s="30"/>
      <c r="SPS45" s="31"/>
      <c r="SPT45" s="30"/>
      <c r="SPU45" s="31"/>
      <c r="SPV45" s="30"/>
      <c r="SPW45" s="31"/>
      <c r="SPX45" s="30"/>
      <c r="SPY45" s="31"/>
      <c r="SPZ45" s="30"/>
      <c r="SQA45" s="31"/>
      <c r="SQB45" s="30"/>
      <c r="SQC45" s="31"/>
      <c r="SQD45" s="30"/>
      <c r="SQE45" s="31"/>
      <c r="SQF45" s="30"/>
      <c r="SQG45" s="31"/>
      <c r="SQH45" s="30"/>
      <c r="SQI45" s="31"/>
      <c r="SQJ45" s="30"/>
      <c r="SQK45" s="31"/>
      <c r="SQL45" s="30"/>
      <c r="SQM45" s="31"/>
      <c r="SQN45" s="30"/>
      <c r="SQO45" s="31"/>
      <c r="SQP45" s="30"/>
      <c r="SQQ45" s="31"/>
      <c r="SQR45" s="30"/>
      <c r="SQS45" s="31"/>
      <c r="SQT45" s="30"/>
      <c r="SQU45" s="31"/>
      <c r="SQV45" s="30"/>
      <c r="SQW45" s="31"/>
      <c r="SQX45" s="30"/>
      <c r="SQY45" s="31"/>
      <c r="SQZ45" s="30"/>
      <c r="SRA45" s="31"/>
      <c r="SRB45" s="30"/>
      <c r="SRC45" s="31"/>
      <c r="SRD45" s="30"/>
      <c r="SRE45" s="31"/>
      <c r="SRF45" s="30"/>
      <c r="SRG45" s="31"/>
      <c r="SRH45" s="30"/>
      <c r="SRI45" s="31"/>
      <c r="SRJ45" s="30"/>
      <c r="SRK45" s="31"/>
      <c r="SRL45" s="30"/>
      <c r="SRM45" s="31"/>
      <c r="SRN45" s="30"/>
      <c r="SRO45" s="31"/>
      <c r="SRP45" s="30"/>
      <c r="SRQ45" s="31"/>
      <c r="SRR45" s="30"/>
      <c r="SRS45" s="31"/>
      <c r="SRT45" s="30"/>
      <c r="SRU45" s="31"/>
      <c r="SRV45" s="30"/>
      <c r="SRW45" s="31"/>
      <c r="SRX45" s="30"/>
      <c r="SRY45" s="31"/>
      <c r="SRZ45" s="30"/>
      <c r="SSA45" s="31"/>
      <c r="SSB45" s="30"/>
      <c r="SSC45" s="31"/>
      <c r="SSD45" s="30"/>
      <c r="SSE45" s="31"/>
      <c r="SSF45" s="30"/>
      <c r="SSG45" s="31"/>
      <c r="SSH45" s="30"/>
      <c r="SSI45" s="31"/>
      <c r="SSJ45" s="30"/>
      <c r="SSK45" s="31"/>
      <c r="SSL45" s="30"/>
      <c r="SSM45" s="31"/>
      <c r="SSN45" s="30"/>
      <c r="SSO45" s="31"/>
      <c r="SSP45" s="30"/>
      <c r="SSQ45" s="31"/>
      <c r="SSR45" s="30"/>
      <c r="SSS45" s="31"/>
      <c r="SST45" s="30"/>
      <c r="SSU45" s="31"/>
      <c r="SSV45" s="30"/>
      <c r="SSW45" s="31"/>
      <c r="SSX45" s="30"/>
      <c r="SSY45" s="31"/>
      <c r="SSZ45" s="30"/>
      <c r="STA45" s="31"/>
      <c r="STB45" s="30"/>
      <c r="STC45" s="31"/>
      <c r="STD45" s="30"/>
      <c r="STE45" s="31"/>
      <c r="STF45" s="30"/>
      <c r="STG45" s="31"/>
      <c r="STH45" s="30"/>
      <c r="STI45" s="31"/>
      <c r="STJ45" s="30"/>
      <c r="STK45" s="31"/>
      <c r="STL45" s="30"/>
      <c r="STM45" s="31"/>
      <c r="STN45" s="30"/>
      <c r="STO45" s="31"/>
      <c r="STP45" s="30"/>
      <c r="STQ45" s="31"/>
      <c r="STR45" s="30"/>
      <c r="STS45" s="31"/>
      <c r="STT45" s="30"/>
      <c r="STU45" s="31"/>
      <c r="STV45" s="30"/>
      <c r="STW45" s="31"/>
      <c r="STX45" s="30"/>
      <c r="STY45" s="31"/>
      <c r="STZ45" s="30"/>
      <c r="SUA45" s="31"/>
      <c r="SUB45" s="30"/>
      <c r="SUC45" s="31"/>
      <c r="SUD45" s="30"/>
      <c r="SUE45" s="31"/>
      <c r="SUF45" s="30"/>
      <c r="SUG45" s="31"/>
      <c r="SUH45" s="30"/>
      <c r="SUI45" s="31"/>
      <c r="SUJ45" s="30"/>
      <c r="SUK45" s="31"/>
      <c r="SUL45" s="30"/>
      <c r="SUM45" s="31"/>
      <c r="SUN45" s="30"/>
      <c r="SUO45" s="31"/>
      <c r="SUP45" s="30"/>
      <c r="SUQ45" s="31"/>
      <c r="SUR45" s="30"/>
      <c r="SUS45" s="31"/>
      <c r="SUT45" s="30"/>
      <c r="SUU45" s="31"/>
      <c r="SUV45" s="30"/>
      <c r="SUW45" s="31"/>
      <c r="SUX45" s="30"/>
      <c r="SUY45" s="31"/>
      <c r="SUZ45" s="30"/>
      <c r="SVA45" s="31"/>
      <c r="SVB45" s="30"/>
      <c r="SVC45" s="31"/>
      <c r="SVD45" s="30"/>
      <c r="SVE45" s="31"/>
      <c r="SVF45" s="30"/>
      <c r="SVG45" s="31"/>
      <c r="SVH45" s="30"/>
      <c r="SVI45" s="31"/>
      <c r="SVJ45" s="30"/>
      <c r="SVK45" s="31"/>
      <c r="SVL45" s="30"/>
      <c r="SVM45" s="31"/>
      <c r="SVN45" s="30"/>
      <c r="SVO45" s="31"/>
      <c r="SVP45" s="30"/>
      <c r="SVQ45" s="31"/>
      <c r="SVR45" s="30"/>
      <c r="SVS45" s="31"/>
      <c r="SVT45" s="30"/>
      <c r="SVU45" s="31"/>
      <c r="SVV45" s="30"/>
      <c r="SVW45" s="31"/>
      <c r="SVX45" s="30"/>
      <c r="SVY45" s="31"/>
      <c r="SVZ45" s="30"/>
      <c r="SWA45" s="31"/>
      <c r="SWB45" s="30"/>
      <c r="SWC45" s="31"/>
      <c r="SWD45" s="30"/>
      <c r="SWE45" s="31"/>
      <c r="SWF45" s="30"/>
      <c r="SWG45" s="31"/>
      <c r="SWH45" s="30"/>
      <c r="SWI45" s="31"/>
      <c r="SWJ45" s="30"/>
      <c r="SWK45" s="31"/>
      <c r="SWL45" s="30"/>
      <c r="SWM45" s="31"/>
      <c r="SWN45" s="30"/>
      <c r="SWO45" s="31"/>
      <c r="SWP45" s="30"/>
      <c r="SWQ45" s="31"/>
      <c r="SWR45" s="30"/>
      <c r="SWS45" s="31"/>
      <c r="SWT45" s="30"/>
      <c r="SWU45" s="31"/>
      <c r="SWV45" s="30"/>
      <c r="SWW45" s="31"/>
      <c r="SWX45" s="30"/>
      <c r="SWY45" s="31"/>
      <c r="SWZ45" s="30"/>
      <c r="SXA45" s="31"/>
      <c r="SXB45" s="30"/>
      <c r="SXC45" s="31"/>
      <c r="SXD45" s="30"/>
      <c r="SXE45" s="31"/>
      <c r="SXF45" s="30"/>
      <c r="SXG45" s="31"/>
      <c r="SXH45" s="30"/>
      <c r="SXI45" s="31"/>
      <c r="SXJ45" s="30"/>
      <c r="SXK45" s="31"/>
      <c r="SXL45" s="30"/>
      <c r="SXM45" s="31"/>
      <c r="SXN45" s="30"/>
      <c r="SXO45" s="31"/>
      <c r="SXP45" s="30"/>
      <c r="SXQ45" s="31"/>
      <c r="SXR45" s="30"/>
      <c r="SXS45" s="31"/>
      <c r="SXT45" s="30"/>
      <c r="SXU45" s="31"/>
      <c r="SXV45" s="30"/>
      <c r="SXW45" s="31"/>
      <c r="SXX45" s="30"/>
      <c r="SXY45" s="31"/>
      <c r="SXZ45" s="30"/>
      <c r="SYA45" s="31"/>
      <c r="SYB45" s="30"/>
      <c r="SYC45" s="31"/>
      <c r="SYD45" s="30"/>
      <c r="SYE45" s="31"/>
      <c r="SYF45" s="30"/>
      <c r="SYG45" s="31"/>
      <c r="SYH45" s="30"/>
      <c r="SYI45" s="31"/>
      <c r="SYJ45" s="30"/>
      <c r="SYK45" s="31"/>
      <c r="SYL45" s="30"/>
      <c r="SYM45" s="31"/>
      <c r="SYN45" s="30"/>
      <c r="SYO45" s="31"/>
      <c r="SYP45" s="30"/>
      <c r="SYQ45" s="31"/>
      <c r="SYR45" s="30"/>
      <c r="SYS45" s="31"/>
      <c r="SYT45" s="30"/>
      <c r="SYU45" s="31"/>
      <c r="SYV45" s="30"/>
      <c r="SYW45" s="31"/>
      <c r="SYX45" s="30"/>
      <c r="SYY45" s="31"/>
      <c r="SYZ45" s="30"/>
      <c r="SZA45" s="31"/>
      <c r="SZB45" s="30"/>
      <c r="SZC45" s="31"/>
      <c r="SZD45" s="30"/>
      <c r="SZE45" s="31"/>
      <c r="SZF45" s="30"/>
      <c r="SZG45" s="31"/>
      <c r="SZH45" s="30"/>
      <c r="SZI45" s="31"/>
      <c r="SZJ45" s="30"/>
      <c r="SZK45" s="31"/>
      <c r="SZL45" s="30"/>
      <c r="SZM45" s="31"/>
      <c r="SZN45" s="30"/>
      <c r="SZO45" s="31"/>
      <c r="SZP45" s="30"/>
      <c r="SZQ45" s="31"/>
      <c r="SZR45" s="30"/>
      <c r="SZS45" s="31"/>
      <c r="SZT45" s="30"/>
      <c r="SZU45" s="31"/>
      <c r="SZV45" s="30"/>
      <c r="SZW45" s="31"/>
      <c r="SZX45" s="30"/>
      <c r="SZY45" s="31"/>
      <c r="SZZ45" s="30"/>
      <c r="TAA45" s="31"/>
      <c r="TAB45" s="30"/>
      <c r="TAC45" s="31"/>
      <c r="TAD45" s="30"/>
      <c r="TAE45" s="31"/>
      <c r="TAF45" s="30"/>
      <c r="TAG45" s="31"/>
      <c r="TAH45" s="30"/>
      <c r="TAI45" s="31"/>
      <c r="TAJ45" s="30"/>
      <c r="TAK45" s="31"/>
      <c r="TAL45" s="30"/>
      <c r="TAM45" s="31"/>
      <c r="TAN45" s="30"/>
      <c r="TAO45" s="31"/>
      <c r="TAP45" s="30"/>
      <c r="TAQ45" s="31"/>
      <c r="TAR45" s="30"/>
      <c r="TAS45" s="31"/>
      <c r="TAT45" s="30"/>
      <c r="TAU45" s="31"/>
      <c r="TAV45" s="30"/>
      <c r="TAW45" s="31"/>
      <c r="TAX45" s="30"/>
      <c r="TAY45" s="31"/>
      <c r="TAZ45" s="30"/>
      <c r="TBA45" s="31"/>
      <c r="TBB45" s="30"/>
      <c r="TBC45" s="31"/>
      <c r="TBD45" s="30"/>
      <c r="TBE45" s="31"/>
      <c r="TBF45" s="30"/>
      <c r="TBG45" s="31"/>
      <c r="TBH45" s="30"/>
      <c r="TBI45" s="31"/>
      <c r="TBJ45" s="30"/>
      <c r="TBK45" s="31"/>
      <c r="TBL45" s="30"/>
      <c r="TBM45" s="31"/>
      <c r="TBN45" s="30"/>
      <c r="TBO45" s="31"/>
      <c r="TBP45" s="30"/>
      <c r="TBQ45" s="31"/>
      <c r="TBR45" s="30"/>
      <c r="TBS45" s="31"/>
      <c r="TBT45" s="30"/>
      <c r="TBU45" s="31"/>
      <c r="TBV45" s="30"/>
      <c r="TBW45" s="31"/>
      <c r="TBX45" s="30"/>
      <c r="TBY45" s="31"/>
      <c r="TBZ45" s="30"/>
      <c r="TCA45" s="31"/>
      <c r="TCB45" s="30"/>
      <c r="TCC45" s="31"/>
      <c r="TCD45" s="30"/>
      <c r="TCE45" s="31"/>
      <c r="TCF45" s="30"/>
      <c r="TCG45" s="31"/>
      <c r="TCH45" s="30"/>
      <c r="TCI45" s="31"/>
      <c r="TCJ45" s="30"/>
      <c r="TCK45" s="31"/>
      <c r="TCL45" s="30"/>
      <c r="TCM45" s="31"/>
      <c r="TCN45" s="30"/>
      <c r="TCO45" s="31"/>
      <c r="TCP45" s="30"/>
      <c r="TCQ45" s="31"/>
      <c r="TCR45" s="30"/>
      <c r="TCS45" s="31"/>
      <c r="TCT45" s="30"/>
      <c r="TCU45" s="31"/>
      <c r="TCV45" s="30"/>
      <c r="TCW45" s="31"/>
      <c r="TCX45" s="30"/>
      <c r="TCY45" s="31"/>
      <c r="TCZ45" s="30"/>
      <c r="TDA45" s="31"/>
      <c r="TDB45" s="30"/>
      <c r="TDC45" s="31"/>
      <c r="TDD45" s="30"/>
      <c r="TDE45" s="31"/>
      <c r="TDF45" s="30"/>
      <c r="TDG45" s="31"/>
      <c r="TDH45" s="30"/>
      <c r="TDI45" s="31"/>
      <c r="TDJ45" s="30"/>
      <c r="TDK45" s="31"/>
      <c r="TDL45" s="30"/>
      <c r="TDM45" s="31"/>
      <c r="TDN45" s="30"/>
      <c r="TDO45" s="31"/>
      <c r="TDP45" s="30"/>
      <c r="TDQ45" s="31"/>
      <c r="TDR45" s="30"/>
      <c r="TDS45" s="31"/>
      <c r="TDT45" s="30"/>
      <c r="TDU45" s="31"/>
      <c r="TDV45" s="30"/>
      <c r="TDW45" s="31"/>
      <c r="TDX45" s="30"/>
      <c r="TDY45" s="31"/>
      <c r="TDZ45" s="30"/>
      <c r="TEA45" s="31"/>
      <c r="TEB45" s="30"/>
      <c r="TEC45" s="31"/>
      <c r="TED45" s="30"/>
      <c r="TEE45" s="31"/>
      <c r="TEF45" s="30"/>
      <c r="TEG45" s="31"/>
      <c r="TEH45" s="30"/>
      <c r="TEI45" s="31"/>
      <c r="TEJ45" s="30"/>
      <c r="TEK45" s="31"/>
      <c r="TEL45" s="30"/>
      <c r="TEM45" s="31"/>
      <c r="TEN45" s="30"/>
      <c r="TEO45" s="31"/>
      <c r="TEP45" s="30"/>
      <c r="TEQ45" s="31"/>
      <c r="TER45" s="30"/>
      <c r="TES45" s="31"/>
      <c r="TET45" s="30"/>
      <c r="TEU45" s="31"/>
      <c r="TEV45" s="30"/>
      <c r="TEW45" s="31"/>
      <c r="TEX45" s="30"/>
      <c r="TEY45" s="31"/>
      <c r="TEZ45" s="30"/>
      <c r="TFA45" s="31"/>
      <c r="TFB45" s="30"/>
      <c r="TFC45" s="31"/>
      <c r="TFD45" s="30"/>
      <c r="TFE45" s="31"/>
      <c r="TFF45" s="30"/>
      <c r="TFG45" s="31"/>
      <c r="TFH45" s="30"/>
      <c r="TFI45" s="31"/>
      <c r="TFJ45" s="30"/>
      <c r="TFK45" s="31"/>
      <c r="TFL45" s="30"/>
      <c r="TFM45" s="31"/>
      <c r="TFN45" s="30"/>
      <c r="TFO45" s="31"/>
      <c r="TFP45" s="30"/>
      <c r="TFQ45" s="31"/>
      <c r="TFR45" s="30"/>
      <c r="TFS45" s="31"/>
      <c r="TFT45" s="30"/>
      <c r="TFU45" s="31"/>
      <c r="TFV45" s="30"/>
      <c r="TFW45" s="31"/>
      <c r="TFX45" s="30"/>
      <c r="TFY45" s="31"/>
      <c r="TFZ45" s="30"/>
      <c r="TGA45" s="31"/>
      <c r="TGB45" s="30"/>
      <c r="TGC45" s="31"/>
      <c r="TGD45" s="30"/>
      <c r="TGE45" s="31"/>
      <c r="TGF45" s="30"/>
      <c r="TGG45" s="31"/>
      <c r="TGH45" s="30"/>
      <c r="TGI45" s="31"/>
      <c r="TGJ45" s="30"/>
      <c r="TGK45" s="31"/>
      <c r="TGL45" s="30"/>
      <c r="TGM45" s="31"/>
      <c r="TGN45" s="30"/>
      <c r="TGO45" s="31"/>
      <c r="TGP45" s="30"/>
      <c r="TGQ45" s="31"/>
      <c r="TGR45" s="30"/>
      <c r="TGS45" s="31"/>
      <c r="TGT45" s="30"/>
      <c r="TGU45" s="31"/>
      <c r="TGV45" s="30"/>
      <c r="TGW45" s="31"/>
      <c r="TGX45" s="30"/>
      <c r="TGY45" s="31"/>
      <c r="TGZ45" s="30"/>
      <c r="THA45" s="31"/>
      <c r="THB45" s="30"/>
      <c r="THC45" s="31"/>
      <c r="THD45" s="30"/>
      <c r="THE45" s="31"/>
      <c r="THF45" s="30"/>
      <c r="THG45" s="31"/>
      <c r="THH45" s="30"/>
      <c r="THI45" s="31"/>
      <c r="THJ45" s="30"/>
      <c r="THK45" s="31"/>
      <c r="THL45" s="30"/>
      <c r="THM45" s="31"/>
      <c r="THN45" s="30"/>
      <c r="THO45" s="31"/>
      <c r="THP45" s="30"/>
      <c r="THQ45" s="31"/>
      <c r="THR45" s="30"/>
      <c r="THS45" s="31"/>
      <c r="THT45" s="30"/>
      <c r="THU45" s="31"/>
      <c r="THV45" s="30"/>
      <c r="THW45" s="31"/>
      <c r="THX45" s="30"/>
      <c r="THY45" s="31"/>
      <c r="THZ45" s="30"/>
      <c r="TIA45" s="31"/>
      <c r="TIB45" s="30"/>
      <c r="TIC45" s="31"/>
      <c r="TID45" s="30"/>
      <c r="TIE45" s="31"/>
      <c r="TIF45" s="30"/>
      <c r="TIG45" s="31"/>
      <c r="TIH45" s="30"/>
      <c r="TII45" s="31"/>
      <c r="TIJ45" s="30"/>
      <c r="TIK45" s="31"/>
      <c r="TIL45" s="30"/>
      <c r="TIM45" s="31"/>
      <c r="TIN45" s="30"/>
      <c r="TIO45" s="31"/>
      <c r="TIP45" s="30"/>
      <c r="TIQ45" s="31"/>
      <c r="TIR45" s="30"/>
      <c r="TIS45" s="31"/>
      <c r="TIT45" s="30"/>
      <c r="TIU45" s="31"/>
      <c r="TIV45" s="30"/>
      <c r="TIW45" s="31"/>
      <c r="TIX45" s="30"/>
      <c r="TIY45" s="31"/>
      <c r="TIZ45" s="30"/>
      <c r="TJA45" s="31"/>
      <c r="TJB45" s="30"/>
      <c r="TJC45" s="31"/>
      <c r="TJD45" s="30"/>
      <c r="TJE45" s="31"/>
      <c r="TJF45" s="30"/>
      <c r="TJG45" s="31"/>
      <c r="TJH45" s="30"/>
      <c r="TJI45" s="31"/>
      <c r="TJJ45" s="30"/>
      <c r="TJK45" s="31"/>
      <c r="TJL45" s="30"/>
      <c r="TJM45" s="31"/>
      <c r="TJN45" s="30"/>
      <c r="TJO45" s="31"/>
      <c r="TJP45" s="30"/>
      <c r="TJQ45" s="31"/>
      <c r="TJR45" s="30"/>
      <c r="TJS45" s="31"/>
      <c r="TJT45" s="30"/>
      <c r="TJU45" s="31"/>
      <c r="TJV45" s="30"/>
      <c r="TJW45" s="31"/>
      <c r="TJX45" s="30"/>
      <c r="TJY45" s="31"/>
      <c r="TJZ45" s="30"/>
      <c r="TKA45" s="31"/>
      <c r="TKB45" s="30"/>
      <c r="TKC45" s="31"/>
      <c r="TKD45" s="30"/>
      <c r="TKE45" s="31"/>
      <c r="TKF45" s="30"/>
      <c r="TKG45" s="31"/>
      <c r="TKH45" s="30"/>
      <c r="TKI45" s="31"/>
      <c r="TKJ45" s="30"/>
      <c r="TKK45" s="31"/>
      <c r="TKL45" s="30"/>
      <c r="TKM45" s="31"/>
      <c r="TKN45" s="30"/>
      <c r="TKO45" s="31"/>
      <c r="TKP45" s="30"/>
      <c r="TKQ45" s="31"/>
      <c r="TKR45" s="30"/>
      <c r="TKS45" s="31"/>
      <c r="TKT45" s="30"/>
      <c r="TKU45" s="31"/>
      <c r="TKV45" s="30"/>
      <c r="TKW45" s="31"/>
      <c r="TKX45" s="30"/>
      <c r="TKY45" s="31"/>
      <c r="TKZ45" s="30"/>
      <c r="TLA45" s="31"/>
      <c r="TLB45" s="30"/>
      <c r="TLC45" s="31"/>
      <c r="TLD45" s="30"/>
      <c r="TLE45" s="31"/>
      <c r="TLF45" s="30"/>
      <c r="TLG45" s="31"/>
      <c r="TLH45" s="30"/>
      <c r="TLI45" s="31"/>
      <c r="TLJ45" s="30"/>
      <c r="TLK45" s="31"/>
      <c r="TLL45" s="30"/>
      <c r="TLM45" s="31"/>
      <c r="TLN45" s="30"/>
      <c r="TLO45" s="31"/>
      <c r="TLP45" s="30"/>
      <c r="TLQ45" s="31"/>
      <c r="TLR45" s="30"/>
      <c r="TLS45" s="31"/>
      <c r="TLT45" s="30"/>
      <c r="TLU45" s="31"/>
      <c r="TLV45" s="30"/>
      <c r="TLW45" s="31"/>
      <c r="TLX45" s="30"/>
      <c r="TLY45" s="31"/>
      <c r="TLZ45" s="30"/>
      <c r="TMA45" s="31"/>
      <c r="TMB45" s="30"/>
      <c r="TMC45" s="31"/>
      <c r="TMD45" s="30"/>
      <c r="TME45" s="31"/>
      <c r="TMF45" s="30"/>
      <c r="TMG45" s="31"/>
      <c r="TMH45" s="30"/>
      <c r="TMI45" s="31"/>
      <c r="TMJ45" s="30"/>
      <c r="TMK45" s="31"/>
      <c r="TML45" s="30"/>
      <c r="TMM45" s="31"/>
      <c r="TMN45" s="30"/>
      <c r="TMO45" s="31"/>
      <c r="TMP45" s="30"/>
      <c r="TMQ45" s="31"/>
      <c r="TMR45" s="30"/>
      <c r="TMS45" s="31"/>
      <c r="TMT45" s="30"/>
      <c r="TMU45" s="31"/>
      <c r="TMV45" s="30"/>
      <c r="TMW45" s="31"/>
      <c r="TMX45" s="30"/>
      <c r="TMY45" s="31"/>
      <c r="TMZ45" s="30"/>
      <c r="TNA45" s="31"/>
      <c r="TNB45" s="30"/>
      <c r="TNC45" s="31"/>
      <c r="TND45" s="30"/>
      <c r="TNE45" s="31"/>
      <c r="TNF45" s="30"/>
      <c r="TNG45" s="31"/>
      <c r="TNH45" s="30"/>
      <c r="TNI45" s="31"/>
      <c r="TNJ45" s="30"/>
      <c r="TNK45" s="31"/>
      <c r="TNL45" s="30"/>
      <c r="TNM45" s="31"/>
      <c r="TNN45" s="30"/>
      <c r="TNO45" s="31"/>
      <c r="TNP45" s="30"/>
      <c r="TNQ45" s="31"/>
      <c r="TNR45" s="30"/>
      <c r="TNS45" s="31"/>
      <c r="TNT45" s="30"/>
      <c r="TNU45" s="31"/>
      <c r="TNV45" s="30"/>
      <c r="TNW45" s="31"/>
      <c r="TNX45" s="30"/>
      <c r="TNY45" s="31"/>
      <c r="TNZ45" s="30"/>
      <c r="TOA45" s="31"/>
      <c r="TOB45" s="30"/>
      <c r="TOC45" s="31"/>
      <c r="TOD45" s="30"/>
      <c r="TOE45" s="31"/>
      <c r="TOF45" s="30"/>
      <c r="TOG45" s="31"/>
      <c r="TOH45" s="30"/>
      <c r="TOI45" s="31"/>
      <c r="TOJ45" s="30"/>
      <c r="TOK45" s="31"/>
      <c r="TOL45" s="30"/>
      <c r="TOM45" s="31"/>
      <c r="TON45" s="30"/>
      <c r="TOO45" s="31"/>
      <c r="TOP45" s="30"/>
      <c r="TOQ45" s="31"/>
      <c r="TOR45" s="30"/>
      <c r="TOS45" s="31"/>
      <c r="TOT45" s="30"/>
      <c r="TOU45" s="31"/>
      <c r="TOV45" s="30"/>
      <c r="TOW45" s="31"/>
      <c r="TOX45" s="30"/>
      <c r="TOY45" s="31"/>
      <c r="TOZ45" s="30"/>
      <c r="TPA45" s="31"/>
      <c r="TPB45" s="30"/>
      <c r="TPC45" s="31"/>
      <c r="TPD45" s="30"/>
      <c r="TPE45" s="31"/>
      <c r="TPF45" s="30"/>
      <c r="TPG45" s="31"/>
      <c r="TPH45" s="30"/>
      <c r="TPI45" s="31"/>
      <c r="TPJ45" s="30"/>
      <c r="TPK45" s="31"/>
      <c r="TPL45" s="30"/>
      <c r="TPM45" s="31"/>
      <c r="TPN45" s="30"/>
      <c r="TPO45" s="31"/>
      <c r="TPP45" s="30"/>
      <c r="TPQ45" s="31"/>
      <c r="TPR45" s="30"/>
      <c r="TPS45" s="31"/>
      <c r="TPT45" s="30"/>
      <c r="TPU45" s="31"/>
      <c r="TPV45" s="30"/>
      <c r="TPW45" s="31"/>
      <c r="TPX45" s="30"/>
      <c r="TPY45" s="31"/>
      <c r="TPZ45" s="30"/>
      <c r="TQA45" s="31"/>
      <c r="TQB45" s="30"/>
      <c r="TQC45" s="31"/>
      <c r="TQD45" s="30"/>
      <c r="TQE45" s="31"/>
      <c r="TQF45" s="30"/>
      <c r="TQG45" s="31"/>
      <c r="TQH45" s="30"/>
      <c r="TQI45" s="31"/>
      <c r="TQJ45" s="30"/>
      <c r="TQK45" s="31"/>
      <c r="TQL45" s="30"/>
      <c r="TQM45" s="31"/>
      <c r="TQN45" s="30"/>
      <c r="TQO45" s="31"/>
      <c r="TQP45" s="30"/>
      <c r="TQQ45" s="31"/>
      <c r="TQR45" s="30"/>
      <c r="TQS45" s="31"/>
      <c r="TQT45" s="30"/>
      <c r="TQU45" s="31"/>
      <c r="TQV45" s="30"/>
      <c r="TQW45" s="31"/>
      <c r="TQX45" s="30"/>
      <c r="TQY45" s="31"/>
      <c r="TQZ45" s="30"/>
      <c r="TRA45" s="31"/>
      <c r="TRB45" s="30"/>
      <c r="TRC45" s="31"/>
      <c r="TRD45" s="30"/>
      <c r="TRE45" s="31"/>
      <c r="TRF45" s="30"/>
      <c r="TRG45" s="31"/>
      <c r="TRH45" s="30"/>
      <c r="TRI45" s="31"/>
      <c r="TRJ45" s="30"/>
      <c r="TRK45" s="31"/>
      <c r="TRL45" s="30"/>
      <c r="TRM45" s="31"/>
      <c r="TRN45" s="30"/>
      <c r="TRO45" s="31"/>
      <c r="TRP45" s="30"/>
      <c r="TRQ45" s="31"/>
      <c r="TRR45" s="30"/>
      <c r="TRS45" s="31"/>
      <c r="TRT45" s="30"/>
      <c r="TRU45" s="31"/>
      <c r="TRV45" s="30"/>
      <c r="TRW45" s="31"/>
      <c r="TRX45" s="30"/>
      <c r="TRY45" s="31"/>
      <c r="TRZ45" s="30"/>
      <c r="TSA45" s="31"/>
      <c r="TSB45" s="30"/>
      <c r="TSC45" s="31"/>
      <c r="TSD45" s="30"/>
      <c r="TSE45" s="31"/>
      <c r="TSF45" s="30"/>
      <c r="TSG45" s="31"/>
      <c r="TSH45" s="30"/>
      <c r="TSI45" s="31"/>
      <c r="TSJ45" s="30"/>
      <c r="TSK45" s="31"/>
      <c r="TSL45" s="30"/>
      <c r="TSM45" s="31"/>
      <c r="TSN45" s="30"/>
      <c r="TSO45" s="31"/>
      <c r="TSP45" s="30"/>
      <c r="TSQ45" s="31"/>
      <c r="TSR45" s="30"/>
      <c r="TSS45" s="31"/>
      <c r="TST45" s="30"/>
      <c r="TSU45" s="31"/>
      <c r="TSV45" s="30"/>
      <c r="TSW45" s="31"/>
      <c r="TSX45" s="30"/>
      <c r="TSY45" s="31"/>
      <c r="TSZ45" s="30"/>
      <c r="TTA45" s="31"/>
      <c r="TTB45" s="30"/>
      <c r="TTC45" s="31"/>
      <c r="TTD45" s="30"/>
      <c r="TTE45" s="31"/>
      <c r="TTF45" s="30"/>
      <c r="TTG45" s="31"/>
      <c r="TTH45" s="30"/>
      <c r="TTI45" s="31"/>
      <c r="TTJ45" s="30"/>
      <c r="TTK45" s="31"/>
      <c r="TTL45" s="30"/>
      <c r="TTM45" s="31"/>
      <c r="TTN45" s="30"/>
      <c r="TTO45" s="31"/>
      <c r="TTP45" s="30"/>
      <c r="TTQ45" s="31"/>
      <c r="TTR45" s="30"/>
      <c r="TTS45" s="31"/>
      <c r="TTT45" s="30"/>
      <c r="TTU45" s="31"/>
      <c r="TTV45" s="30"/>
      <c r="TTW45" s="31"/>
      <c r="TTX45" s="30"/>
      <c r="TTY45" s="31"/>
      <c r="TTZ45" s="30"/>
      <c r="TUA45" s="31"/>
      <c r="TUB45" s="30"/>
      <c r="TUC45" s="31"/>
      <c r="TUD45" s="30"/>
      <c r="TUE45" s="31"/>
      <c r="TUF45" s="30"/>
      <c r="TUG45" s="31"/>
      <c r="TUH45" s="30"/>
      <c r="TUI45" s="31"/>
      <c r="TUJ45" s="30"/>
      <c r="TUK45" s="31"/>
      <c r="TUL45" s="30"/>
      <c r="TUM45" s="31"/>
      <c r="TUN45" s="30"/>
      <c r="TUO45" s="31"/>
      <c r="TUP45" s="30"/>
      <c r="TUQ45" s="31"/>
      <c r="TUR45" s="30"/>
      <c r="TUS45" s="31"/>
      <c r="TUT45" s="30"/>
      <c r="TUU45" s="31"/>
      <c r="TUV45" s="30"/>
      <c r="TUW45" s="31"/>
      <c r="TUX45" s="30"/>
      <c r="TUY45" s="31"/>
      <c r="TUZ45" s="30"/>
      <c r="TVA45" s="31"/>
      <c r="TVB45" s="30"/>
      <c r="TVC45" s="31"/>
      <c r="TVD45" s="30"/>
      <c r="TVE45" s="31"/>
      <c r="TVF45" s="30"/>
      <c r="TVG45" s="31"/>
      <c r="TVH45" s="30"/>
      <c r="TVI45" s="31"/>
      <c r="TVJ45" s="30"/>
      <c r="TVK45" s="31"/>
      <c r="TVL45" s="30"/>
      <c r="TVM45" s="31"/>
      <c r="TVN45" s="30"/>
      <c r="TVO45" s="31"/>
      <c r="TVP45" s="30"/>
      <c r="TVQ45" s="31"/>
      <c r="TVR45" s="30"/>
      <c r="TVS45" s="31"/>
      <c r="TVT45" s="30"/>
      <c r="TVU45" s="31"/>
      <c r="TVV45" s="30"/>
      <c r="TVW45" s="31"/>
      <c r="TVX45" s="30"/>
      <c r="TVY45" s="31"/>
      <c r="TVZ45" s="30"/>
      <c r="TWA45" s="31"/>
      <c r="TWB45" s="30"/>
      <c r="TWC45" s="31"/>
      <c r="TWD45" s="30"/>
      <c r="TWE45" s="31"/>
      <c r="TWF45" s="30"/>
      <c r="TWG45" s="31"/>
      <c r="TWH45" s="30"/>
      <c r="TWI45" s="31"/>
      <c r="TWJ45" s="30"/>
      <c r="TWK45" s="31"/>
      <c r="TWL45" s="30"/>
      <c r="TWM45" s="31"/>
      <c r="TWN45" s="30"/>
      <c r="TWO45" s="31"/>
      <c r="TWP45" s="30"/>
      <c r="TWQ45" s="31"/>
      <c r="TWR45" s="30"/>
      <c r="TWS45" s="31"/>
      <c r="TWT45" s="30"/>
      <c r="TWU45" s="31"/>
      <c r="TWV45" s="30"/>
      <c r="TWW45" s="31"/>
      <c r="TWX45" s="30"/>
      <c r="TWY45" s="31"/>
      <c r="TWZ45" s="30"/>
      <c r="TXA45" s="31"/>
      <c r="TXB45" s="30"/>
      <c r="TXC45" s="31"/>
      <c r="TXD45" s="30"/>
      <c r="TXE45" s="31"/>
      <c r="TXF45" s="30"/>
      <c r="TXG45" s="31"/>
      <c r="TXH45" s="30"/>
      <c r="TXI45" s="31"/>
      <c r="TXJ45" s="30"/>
      <c r="TXK45" s="31"/>
      <c r="TXL45" s="30"/>
      <c r="TXM45" s="31"/>
      <c r="TXN45" s="30"/>
      <c r="TXO45" s="31"/>
      <c r="TXP45" s="30"/>
      <c r="TXQ45" s="31"/>
      <c r="TXR45" s="30"/>
      <c r="TXS45" s="31"/>
      <c r="TXT45" s="30"/>
      <c r="TXU45" s="31"/>
      <c r="TXV45" s="30"/>
      <c r="TXW45" s="31"/>
      <c r="TXX45" s="30"/>
      <c r="TXY45" s="31"/>
      <c r="TXZ45" s="30"/>
      <c r="TYA45" s="31"/>
      <c r="TYB45" s="30"/>
      <c r="TYC45" s="31"/>
      <c r="TYD45" s="30"/>
      <c r="TYE45" s="31"/>
      <c r="TYF45" s="30"/>
      <c r="TYG45" s="31"/>
      <c r="TYH45" s="30"/>
      <c r="TYI45" s="31"/>
      <c r="TYJ45" s="30"/>
      <c r="TYK45" s="31"/>
      <c r="TYL45" s="30"/>
      <c r="TYM45" s="31"/>
      <c r="TYN45" s="30"/>
      <c r="TYO45" s="31"/>
      <c r="TYP45" s="30"/>
      <c r="TYQ45" s="31"/>
      <c r="TYR45" s="30"/>
      <c r="TYS45" s="31"/>
      <c r="TYT45" s="30"/>
      <c r="TYU45" s="31"/>
      <c r="TYV45" s="30"/>
      <c r="TYW45" s="31"/>
      <c r="TYX45" s="30"/>
      <c r="TYY45" s="31"/>
      <c r="TYZ45" s="30"/>
      <c r="TZA45" s="31"/>
      <c r="TZB45" s="30"/>
      <c r="TZC45" s="31"/>
      <c r="TZD45" s="30"/>
      <c r="TZE45" s="31"/>
      <c r="TZF45" s="30"/>
      <c r="TZG45" s="31"/>
      <c r="TZH45" s="30"/>
      <c r="TZI45" s="31"/>
      <c r="TZJ45" s="30"/>
      <c r="TZK45" s="31"/>
      <c r="TZL45" s="30"/>
      <c r="TZM45" s="31"/>
      <c r="TZN45" s="30"/>
      <c r="TZO45" s="31"/>
      <c r="TZP45" s="30"/>
      <c r="TZQ45" s="31"/>
      <c r="TZR45" s="30"/>
      <c r="TZS45" s="31"/>
      <c r="TZT45" s="30"/>
      <c r="TZU45" s="31"/>
      <c r="TZV45" s="30"/>
      <c r="TZW45" s="31"/>
      <c r="TZX45" s="30"/>
      <c r="TZY45" s="31"/>
      <c r="TZZ45" s="30"/>
      <c r="UAA45" s="31"/>
      <c r="UAB45" s="30"/>
      <c r="UAC45" s="31"/>
      <c r="UAD45" s="30"/>
      <c r="UAE45" s="31"/>
      <c r="UAF45" s="30"/>
      <c r="UAG45" s="31"/>
      <c r="UAH45" s="30"/>
      <c r="UAI45" s="31"/>
      <c r="UAJ45" s="30"/>
      <c r="UAK45" s="31"/>
      <c r="UAL45" s="30"/>
      <c r="UAM45" s="31"/>
      <c r="UAN45" s="30"/>
      <c r="UAO45" s="31"/>
      <c r="UAP45" s="30"/>
      <c r="UAQ45" s="31"/>
      <c r="UAR45" s="30"/>
      <c r="UAS45" s="31"/>
      <c r="UAT45" s="30"/>
      <c r="UAU45" s="31"/>
      <c r="UAV45" s="30"/>
      <c r="UAW45" s="31"/>
      <c r="UAX45" s="30"/>
      <c r="UAY45" s="31"/>
      <c r="UAZ45" s="30"/>
      <c r="UBA45" s="31"/>
      <c r="UBB45" s="30"/>
      <c r="UBC45" s="31"/>
      <c r="UBD45" s="30"/>
      <c r="UBE45" s="31"/>
      <c r="UBF45" s="30"/>
      <c r="UBG45" s="31"/>
      <c r="UBH45" s="30"/>
      <c r="UBI45" s="31"/>
      <c r="UBJ45" s="30"/>
      <c r="UBK45" s="31"/>
      <c r="UBL45" s="30"/>
      <c r="UBM45" s="31"/>
      <c r="UBN45" s="30"/>
      <c r="UBO45" s="31"/>
      <c r="UBP45" s="30"/>
      <c r="UBQ45" s="31"/>
      <c r="UBR45" s="30"/>
      <c r="UBS45" s="31"/>
      <c r="UBT45" s="30"/>
      <c r="UBU45" s="31"/>
      <c r="UBV45" s="30"/>
      <c r="UBW45" s="31"/>
      <c r="UBX45" s="30"/>
      <c r="UBY45" s="31"/>
      <c r="UBZ45" s="30"/>
      <c r="UCA45" s="31"/>
      <c r="UCB45" s="30"/>
      <c r="UCC45" s="31"/>
      <c r="UCD45" s="30"/>
      <c r="UCE45" s="31"/>
      <c r="UCF45" s="30"/>
      <c r="UCG45" s="31"/>
      <c r="UCH45" s="30"/>
      <c r="UCI45" s="31"/>
      <c r="UCJ45" s="30"/>
      <c r="UCK45" s="31"/>
      <c r="UCL45" s="30"/>
      <c r="UCM45" s="31"/>
      <c r="UCN45" s="30"/>
      <c r="UCO45" s="31"/>
      <c r="UCP45" s="30"/>
      <c r="UCQ45" s="31"/>
      <c r="UCR45" s="30"/>
      <c r="UCS45" s="31"/>
      <c r="UCT45" s="30"/>
      <c r="UCU45" s="31"/>
      <c r="UCV45" s="30"/>
      <c r="UCW45" s="31"/>
      <c r="UCX45" s="30"/>
      <c r="UCY45" s="31"/>
      <c r="UCZ45" s="30"/>
      <c r="UDA45" s="31"/>
      <c r="UDB45" s="30"/>
      <c r="UDC45" s="31"/>
      <c r="UDD45" s="30"/>
      <c r="UDE45" s="31"/>
      <c r="UDF45" s="30"/>
      <c r="UDG45" s="31"/>
      <c r="UDH45" s="30"/>
      <c r="UDI45" s="31"/>
      <c r="UDJ45" s="30"/>
      <c r="UDK45" s="31"/>
      <c r="UDL45" s="30"/>
      <c r="UDM45" s="31"/>
      <c r="UDN45" s="30"/>
      <c r="UDO45" s="31"/>
      <c r="UDP45" s="30"/>
      <c r="UDQ45" s="31"/>
      <c r="UDR45" s="30"/>
      <c r="UDS45" s="31"/>
      <c r="UDT45" s="30"/>
      <c r="UDU45" s="31"/>
      <c r="UDV45" s="30"/>
      <c r="UDW45" s="31"/>
      <c r="UDX45" s="30"/>
      <c r="UDY45" s="31"/>
      <c r="UDZ45" s="30"/>
      <c r="UEA45" s="31"/>
      <c r="UEB45" s="30"/>
      <c r="UEC45" s="31"/>
      <c r="UED45" s="30"/>
      <c r="UEE45" s="31"/>
      <c r="UEF45" s="30"/>
      <c r="UEG45" s="31"/>
      <c r="UEH45" s="30"/>
      <c r="UEI45" s="31"/>
      <c r="UEJ45" s="30"/>
      <c r="UEK45" s="31"/>
      <c r="UEL45" s="30"/>
      <c r="UEM45" s="31"/>
      <c r="UEN45" s="30"/>
      <c r="UEO45" s="31"/>
      <c r="UEP45" s="30"/>
      <c r="UEQ45" s="31"/>
      <c r="UER45" s="30"/>
      <c r="UES45" s="31"/>
      <c r="UET45" s="30"/>
      <c r="UEU45" s="31"/>
      <c r="UEV45" s="30"/>
      <c r="UEW45" s="31"/>
      <c r="UEX45" s="30"/>
      <c r="UEY45" s="31"/>
      <c r="UEZ45" s="30"/>
      <c r="UFA45" s="31"/>
      <c r="UFB45" s="30"/>
      <c r="UFC45" s="31"/>
      <c r="UFD45" s="30"/>
      <c r="UFE45" s="31"/>
      <c r="UFF45" s="30"/>
      <c r="UFG45" s="31"/>
      <c r="UFH45" s="30"/>
      <c r="UFI45" s="31"/>
      <c r="UFJ45" s="30"/>
      <c r="UFK45" s="31"/>
      <c r="UFL45" s="30"/>
      <c r="UFM45" s="31"/>
      <c r="UFN45" s="30"/>
      <c r="UFO45" s="31"/>
      <c r="UFP45" s="30"/>
      <c r="UFQ45" s="31"/>
      <c r="UFR45" s="30"/>
      <c r="UFS45" s="31"/>
      <c r="UFT45" s="30"/>
      <c r="UFU45" s="31"/>
      <c r="UFV45" s="30"/>
      <c r="UFW45" s="31"/>
      <c r="UFX45" s="30"/>
      <c r="UFY45" s="31"/>
      <c r="UFZ45" s="30"/>
      <c r="UGA45" s="31"/>
      <c r="UGB45" s="30"/>
      <c r="UGC45" s="31"/>
      <c r="UGD45" s="30"/>
      <c r="UGE45" s="31"/>
      <c r="UGF45" s="30"/>
      <c r="UGG45" s="31"/>
      <c r="UGH45" s="30"/>
      <c r="UGI45" s="31"/>
      <c r="UGJ45" s="30"/>
      <c r="UGK45" s="31"/>
      <c r="UGL45" s="30"/>
      <c r="UGM45" s="31"/>
      <c r="UGN45" s="30"/>
      <c r="UGO45" s="31"/>
      <c r="UGP45" s="30"/>
      <c r="UGQ45" s="31"/>
      <c r="UGR45" s="30"/>
      <c r="UGS45" s="31"/>
      <c r="UGT45" s="30"/>
      <c r="UGU45" s="31"/>
      <c r="UGV45" s="30"/>
      <c r="UGW45" s="31"/>
      <c r="UGX45" s="30"/>
      <c r="UGY45" s="31"/>
      <c r="UGZ45" s="30"/>
      <c r="UHA45" s="31"/>
      <c r="UHB45" s="30"/>
      <c r="UHC45" s="31"/>
      <c r="UHD45" s="30"/>
      <c r="UHE45" s="31"/>
      <c r="UHF45" s="30"/>
      <c r="UHG45" s="31"/>
      <c r="UHH45" s="30"/>
      <c r="UHI45" s="31"/>
      <c r="UHJ45" s="30"/>
      <c r="UHK45" s="31"/>
      <c r="UHL45" s="30"/>
      <c r="UHM45" s="31"/>
      <c r="UHN45" s="30"/>
      <c r="UHO45" s="31"/>
      <c r="UHP45" s="30"/>
      <c r="UHQ45" s="31"/>
      <c r="UHR45" s="30"/>
      <c r="UHS45" s="31"/>
      <c r="UHT45" s="30"/>
      <c r="UHU45" s="31"/>
      <c r="UHV45" s="30"/>
      <c r="UHW45" s="31"/>
      <c r="UHX45" s="30"/>
      <c r="UHY45" s="31"/>
      <c r="UHZ45" s="30"/>
      <c r="UIA45" s="31"/>
      <c r="UIB45" s="30"/>
      <c r="UIC45" s="31"/>
      <c r="UID45" s="30"/>
      <c r="UIE45" s="31"/>
      <c r="UIF45" s="30"/>
      <c r="UIG45" s="31"/>
      <c r="UIH45" s="30"/>
      <c r="UII45" s="31"/>
      <c r="UIJ45" s="30"/>
      <c r="UIK45" s="31"/>
      <c r="UIL45" s="30"/>
      <c r="UIM45" s="31"/>
      <c r="UIN45" s="30"/>
      <c r="UIO45" s="31"/>
      <c r="UIP45" s="30"/>
      <c r="UIQ45" s="31"/>
      <c r="UIR45" s="30"/>
      <c r="UIS45" s="31"/>
      <c r="UIT45" s="30"/>
      <c r="UIU45" s="31"/>
      <c r="UIV45" s="30"/>
      <c r="UIW45" s="31"/>
      <c r="UIX45" s="30"/>
      <c r="UIY45" s="31"/>
      <c r="UIZ45" s="30"/>
      <c r="UJA45" s="31"/>
      <c r="UJB45" s="30"/>
      <c r="UJC45" s="31"/>
      <c r="UJD45" s="30"/>
      <c r="UJE45" s="31"/>
      <c r="UJF45" s="30"/>
      <c r="UJG45" s="31"/>
      <c r="UJH45" s="30"/>
      <c r="UJI45" s="31"/>
      <c r="UJJ45" s="30"/>
      <c r="UJK45" s="31"/>
      <c r="UJL45" s="30"/>
      <c r="UJM45" s="31"/>
      <c r="UJN45" s="30"/>
      <c r="UJO45" s="31"/>
      <c r="UJP45" s="30"/>
      <c r="UJQ45" s="31"/>
      <c r="UJR45" s="30"/>
      <c r="UJS45" s="31"/>
      <c r="UJT45" s="30"/>
      <c r="UJU45" s="31"/>
      <c r="UJV45" s="30"/>
      <c r="UJW45" s="31"/>
      <c r="UJX45" s="30"/>
      <c r="UJY45" s="31"/>
      <c r="UJZ45" s="30"/>
      <c r="UKA45" s="31"/>
      <c r="UKB45" s="30"/>
      <c r="UKC45" s="31"/>
      <c r="UKD45" s="30"/>
      <c r="UKE45" s="31"/>
      <c r="UKF45" s="30"/>
      <c r="UKG45" s="31"/>
      <c r="UKH45" s="30"/>
      <c r="UKI45" s="31"/>
      <c r="UKJ45" s="30"/>
      <c r="UKK45" s="31"/>
      <c r="UKL45" s="30"/>
      <c r="UKM45" s="31"/>
      <c r="UKN45" s="30"/>
      <c r="UKO45" s="31"/>
      <c r="UKP45" s="30"/>
      <c r="UKQ45" s="31"/>
      <c r="UKR45" s="30"/>
      <c r="UKS45" s="31"/>
      <c r="UKT45" s="30"/>
      <c r="UKU45" s="31"/>
      <c r="UKV45" s="30"/>
      <c r="UKW45" s="31"/>
      <c r="UKX45" s="30"/>
      <c r="UKY45" s="31"/>
      <c r="UKZ45" s="30"/>
      <c r="ULA45" s="31"/>
      <c r="ULB45" s="30"/>
      <c r="ULC45" s="31"/>
      <c r="ULD45" s="30"/>
      <c r="ULE45" s="31"/>
      <c r="ULF45" s="30"/>
      <c r="ULG45" s="31"/>
      <c r="ULH45" s="30"/>
      <c r="ULI45" s="31"/>
      <c r="ULJ45" s="30"/>
      <c r="ULK45" s="31"/>
      <c r="ULL45" s="30"/>
      <c r="ULM45" s="31"/>
      <c r="ULN45" s="30"/>
      <c r="ULO45" s="31"/>
      <c r="ULP45" s="30"/>
      <c r="ULQ45" s="31"/>
      <c r="ULR45" s="30"/>
      <c r="ULS45" s="31"/>
      <c r="ULT45" s="30"/>
      <c r="ULU45" s="31"/>
      <c r="ULV45" s="30"/>
      <c r="ULW45" s="31"/>
      <c r="ULX45" s="30"/>
      <c r="ULY45" s="31"/>
      <c r="ULZ45" s="30"/>
      <c r="UMA45" s="31"/>
      <c r="UMB45" s="30"/>
      <c r="UMC45" s="31"/>
      <c r="UMD45" s="30"/>
      <c r="UME45" s="31"/>
      <c r="UMF45" s="30"/>
      <c r="UMG45" s="31"/>
      <c r="UMH45" s="30"/>
      <c r="UMI45" s="31"/>
      <c r="UMJ45" s="30"/>
      <c r="UMK45" s="31"/>
      <c r="UML45" s="30"/>
      <c r="UMM45" s="31"/>
      <c r="UMN45" s="30"/>
      <c r="UMO45" s="31"/>
      <c r="UMP45" s="30"/>
      <c r="UMQ45" s="31"/>
      <c r="UMR45" s="30"/>
      <c r="UMS45" s="31"/>
      <c r="UMT45" s="30"/>
      <c r="UMU45" s="31"/>
      <c r="UMV45" s="30"/>
      <c r="UMW45" s="31"/>
      <c r="UMX45" s="30"/>
      <c r="UMY45" s="31"/>
      <c r="UMZ45" s="30"/>
      <c r="UNA45" s="31"/>
      <c r="UNB45" s="30"/>
      <c r="UNC45" s="31"/>
      <c r="UND45" s="30"/>
      <c r="UNE45" s="31"/>
      <c r="UNF45" s="30"/>
      <c r="UNG45" s="31"/>
      <c r="UNH45" s="30"/>
      <c r="UNI45" s="31"/>
      <c r="UNJ45" s="30"/>
      <c r="UNK45" s="31"/>
      <c r="UNL45" s="30"/>
      <c r="UNM45" s="31"/>
      <c r="UNN45" s="30"/>
      <c r="UNO45" s="31"/>
      <c r="UNP45" s="30"/>
      <c r="UNQ45" s="31"/>
      <c r="UNR45" s="30"/>
      <c r="UNS45" s="31"/>
      <c r="UNT45" s="30"/>
      <c r="UNU45" s="31"/>
      <c r="UNV45" s="30"/>
      <c r="UNW45" s="31"/>
      <c r="UNX45" s="30"/>
      <c r="UNY45" s="31"/>
      <c r="UNZ45" s="30"/>
      <c r="UOA45" s="31"/>
      <c r="UOB45" s="30"/>
      <c r="UOC45" s="31"/>
      <c r="UOD45" s="30"/>
      <c r="UOE45" s="31"/>
      <c r="UOF45" s="30"/>
      <c r="UOG45" s="31"/>
      <c r="UOH45" s="30"/>
      <c r="UOI45" s="31"/>
      <c r="UOJ45" s="30"/>
      <c r="UOK45" s="31"/>
      <c r="UOL45" s="30"/>
      <c r="UOM45" s="31"/>
      <c r="UON45" s="30"/>
      <c r="UOO45" s="31"/>
      <c r="UOP45" s="30"/>
      <c r="UOQ45" s="31"/>
      <c r="UOR45" s="30"/>
      <c r="UOS45" s="31"/>
      <c r="UOT45" s="30"/>
      <c r="UOU45" s="31"/>
      <c r="UOV45" s="30"/>
      <c r="UOW45" s="31"/>
      <c r="UOX45" s="30"/>
      <c r="UOY45" s="31"/>
      <c r="UOZ45" s="30"/>
      <c r="UPA45" s="31"/>
      <c r="UPB45" s="30"/>
      <c r="UPC45" s="31"/>
      <c r="UPD45" s="30"/>
      <c r="UPE45" s="31"/>
      <c r="UPF45" s="30"/>
      <c r="UPG45" s="31"/>
      <c r="UPH45" s="30"/>
      <c r="UPI45" s="31"/>
      <c r="UPJ45" s="30"/>
      <c r="UPK45" s="31"/>
      <c r="UPL45" s="30"/>
      <c r="UPM45" s="31"/>
      <c r="UPN45" s="30"/>
      <c r="UPO45" s="31"/>
      <c r="UPP45" s="30"/>
      <c r="UPQ45" s="31"/>
      <c r="UPR45" s="30"/>
      <c r="UPS45" s="31"/>
      <c r="UPT45" s="30"/>
      <c r="UPU45" s="31"/>
      <c r="UPV45" s="30"/>
      <c r="UPW45" s="31"/>
      <c r="UPX45" s="30"/>
      <c r="UPY45" s="31"/>
      <c r="UPZ45" s="30"/>
      <c r="UQA45" s="31"/>
      <c r="UQB45" s="30"/>
      <c r="UQC45" s="31"/>
      <c r="UQD45" s="30"/>
      <c r="UQE45" s="31"/>
      <c r="UQF45" s="30"/>
      <c r="UQG45" s="31"/>
      <c r="UQH45" s="30"/>
      <c r="UQI45" s="31"/>
      <c r="UQJ45" s="30"/>
      <c r="UQK45" s="31"/>
      <c r="UQL45" s="30"/>
      <c r="UQM45" s="31"/>
      <c r="UQN45" s="30"/>
      <c r="UQO45" s="31"/>
      <c r="UQP45" s="30"/>
      <c r="UQQ45" s="31"/>
      <c r="UQR45" s="30"/>
      <c r="UQS45" s="31"/>
      <c r="UQT45" s="30"/>
      <c r="UQU45" s="31"/>
      <c r="UQV45" s="30"/>
      <c r="UQW45" s="31"/>
      <c r="UQX45" s="30"/>
      <c r="UQY45" s="31"/>
      <c r="UQZ45" s="30"/>
      <c r="URA45" s="31"/>
      <c r="URB45" s="30"/>
      <c r="URC45" s="31"/>
      <c r="URD45" s="30"/>
      <c r="URE45" s="31"/>
      <c r="URF45" s="30"/>
      <c r="URG45" s="31"/>
      <c r="URH45" s="30"/>
      <c r="URI45" s="31"/>
      <c r="URJ45" s="30"/>
      <c r="URK45" s="31"/>
      <c r="URL45" s="30"/>
      <c r="URM45" s="31"/>
      <c r="URN45" s="30"/>
      <c r="URO45" s="31"/>
      <c r="URP45" s="30"/>
      <c r="URQ45" s="31"/>
      <c r="URR45" s="30"/>
      <c r="URS45" s="31"/>
      <c r="URT45" s="30"/>
      <c r="URU45" s="31"/>
      <c r="URV45" s="30"/>
      <c r="URW45" s="31"/>
      <c r="URX45" s="30"/>
      <c r="URY45" s="31"/>
      <c r="URZ45" s="30"/>
      <c r="USA45" s="31"/>
      <c r="USB45" s="30"/>
      <c r="USC45" s="31"/>
      <c r="USD45" s="30"/>
      <c r="USE45" s="31"/>
      <c r="USF45" s="30"/>
      <c r="USG45" s="31"/>
      <c r="USH45" s="30"/>
      <c r="USI45" s="31"/>
      <c r="USJ45" s="30"/>
      <c r="USK45" s="31"/>
      <c r="USL45" s="30"/>
      <c r="USM45" s="31"/>
      <c r="USN45" s="30"/>
      <c r="USO45" s="31"/>
      <c r="USP45" s="30"/>
      <c r="USQ45" s="31"/>
      <c r="USR45" s="30"/>
      <c r="USS45" s="31"/>
      <c r="UST45" s="30"/>
      <c r="USU45" s="31"/>
      <c r="USV45" s="30"/>
      <c r="USW45" s="31"/>
      <c r="USX45" s="30"/>
      <c r="USY45" s="31"/>
      <c r="USZ45" s="30"/>
      <c r="UTA45" s="31"/>
      <c r="UTB45" s="30"/>
      <c r="UTC45" s="31"/>
      <c r="UTD45" s="30"/>
      <c r="UTE45" s="31"/>
      <c r="UTF45" s="30"/>
      <c r="UTG45" s="31"/>
      <c r="UTH45" s="30"/>
      <c r="UTI45" s="31"/>
      <c r="UTJ45" s="30"/>
      <c r="UTK45" s="31"/>
      <c r="UTL45" s="30"/>
      <c r="UTM45" s="31"/>
      <c r="UTN45" s="30"/>
      <c r="UTO45" s="31"/>
      <c r="UTP45" s="30"/>
      <c r="UTQ45" s="31"/>
      <c r="UTR45" s="30"/>
      <c r="UTS45" s="31"/>
      <c r="UTT45" s="30"/>
      <c r="UTU45" s="31"/>
      <c r="UTV45" s="30"/>
      <c r="UTW45" s="31"/>
      <c r="UTX45" s="30"/>
      <c r="UTY45" s="31"/>
      <c r="UTZ45" s="30"/>
      <c r="UUA45" s="31"/>
      <c r="UUB45" s="30"/>
      <c r="UUC45" s="31"/>
      <c r="UUD45" s="30"/>
      <c r="UUE45" s="31"/>
      <c r="UUF45" s="30"/>
      <c r="UUG45" s="31"/>
      <c r="UUH45" s="30"/>
      <c r="UUI45" s="31"/>
      <c r="UUJ45" s="30"/>
      <c r="UUK45" s="31"/>
      <c r="UUL45" s="30"/>
      <c r="UUM45" s="31"/>
      <c r="UUN45" s="30"/>
      <c r="UUO45" s="31"/>
      <c r="UUP45" s="30"/>
      <c r="UUQ45" s="31"/>
      <c r="UUR45" s="30"/>
      <c r="UUS45" s="31"/>
      <c r="UUT45" s="30"/>
      <c r="UUU45" s="31"/>
      <c r="UUV45" s="30"/>
      <c r="UUW45" s="31"/>
      <c r="UUX45" s="30"/>
      <c r="UUY45" s="31"/>
      <c r="UUZ45" s="30"/>
      <c r="UVA45" s="31"/>
      <c r="UVB45" s="30"/>
      <c r="UVC45" s="31"/>
      <c r="UVD45" s="30"/>
      <c r="UVE45" s="31"/>
      <c r="UVF45" s="30"/>
      <c r="UVG45" s="31"/>
      <c r="UVH45" s="30"/>
      <c r="UVI45" s="31"/>
      <c r="UVJ45" s="30"/>
      <c r="UVK45" s="31"/>
      <c r="UVL45" s="30"/>
      <c r="UVM45" s="31"/>
      <c r="UVN45" s="30"/>
      <c r="UVO45" s="31"/>
      <c r="UVP45" s="30"/>
      <c r="UVQ45" s="31"/>
      <c r="UVR45" s="30"/>
      <c r="UVS45" s="31"/>
      <c r="UVT45" s="30"/>
      <c r="UVU45" s="31"/>
      <c r="UVV45" s="30"/>
      <c r="UVW45" s="31"/>
      <c r="UVX45" s="30"/>
      <c r="UVY45" s="31"/>
      <c r="UVZ45" s="30"/>
      <c r="UWA45" s="31"/>
      <c r="UWB45" s="30"/>
      <c r="UWC45" s="31"/>
      <c r="UWD45" s="30"/>
      <c r="UWE45" s="31"/>
      <c r="UWF45" s="30"/>
      <c r="UWG45" s="31"/>
      <c r="UWH45" s="30"/>
      <c r="UWI45" s="31"/>
      <c r="UWJ45" s="30"/>
      <c r="UWK45" s="31"/>
      <c r="UWL45" s="30"/>
      <c r="UWM45" s="31"/>
      <c r="UWN45" s="30"/>
      <c r="UWO45" s="31"/>
      <c r="UWP45" s="30"/>
      <c r="UWQ45" s="31"/>
      <c r="UWR45" s="30"/>
      <c r="UWS45" s="31"/>
      <c r="UWT45" s="30"/>
      <c r="UWU45" s="31"/>
      <c r="UWV45" s="30"/>
      <c r="UWW45" s="31"/>
      <c r="UWX45" s="30"/>
      <c r="UWY45" s="31"/>
      <c r="UWZ45" s="30"/>
      <c r="UXA45" s="31"/>
      <c r="UXB45" s="30"/>
      <c r="UXC45" s="31"/>
      <c r="UXD45" s="30"/>
      <c r="UXE45" s="31"/>
      <c r="UXF45" s="30"/>
      <c r="UXG45" s="31"/>
      <c r="UXH45" s="30"/>
      <c r="UXI45" s="31"/>
      <c r="UXJ45" s="30"/>
      <c r="UXK45" s="31"/>
      <c r="UXL45" s="30"/>
      <c r="UXM45" s="31"/>
      <c r="UXN45" s="30"/>
      <c r="UXO45" s="31"/>
      <c r="UXP45" s="30"/>
      <c r="UXQ45" s="31"/>
      <c r="UXR45" s="30"/>
      <c r="UXS45" s="31"/>
      <c r="UXT45" s="30"/>
      <c r="UXU45" s="31"/>
      <c r="UXV45" s="30"/>
      <c r="UXW45" s="31"/>
      <c r="UXX45" s="30"/>
      <c r="UXY45" s="31"/>
      <c r="UXZ45" s="30"/>
      <c r="UYA45" s="31"/>
      <c r="UYB45" s="30"/>
      <c r="UYC45" s="31"/>
      <c r="UYD45" s="30"/>
      <c r="UYE45" s="31"/>
      <c r="UYF45" s="30"/>
      <c r="UYG45" s="31"/>
      <c r="UYH45" s="30"/>
      <c r="UYI45" s="31"/>
      <c r="UYJ45" s="30"/>
      <c r="UYK45" s="31"/>
      <c r="UYL45" s="30"/>
      <c r="UYM45" s="31"/>
      <c r="UYN45" s="30"/>
      <c r="UYO45" s="31"/>
      <c r="UYP45" s="30"/>
      <c r="UYQ45" s="31"/>
      <c r="UYR45" s="30"/>
      <c r="UYS45" s="31"/>
      <c r="UYT45" s="30"/>
      <c r="UYU45" s="31"/>
      <c r="UYV45" s="30"/>
      <c r="UYW45" s="31"/>
      <c r="UYX45" s="30"/>
      <c r="UYY45" s="31"/>
      <c r="UYZ45" s="30"/>
      <c r="UZA45" s="31"/>
      <c r="UZB45" s="30"/>
      <c r="UZC45" s="31"/>
      <c r="UZD45" s="30"/>
      <c r="UZE45" s="31"/>
      <c r="UZF45" s="30"/>
      <c r="UZG45" s="31"/>
      <c r="UZH45" s="30"/>
      <c r="UZI45" s="31"/>
      <c r="UZJ45" s="30"/>
      <c r="UZK45" s="31"/>
      <c r="UZL45" s="30"/>
      <c r="UZM45" s="31"/>
      <c r="UZN45" s="30"/>
      <c r="UZO45" s="31"/>
      <c r="UZP45" s="30"/>
      <c r="UZQ45" s="31"/>
      <c r="UZR45" s="30"/>
      <c r="UZS45" s="31"/>
      <c r="UZT45" s="30"/>
      <c r="UZU45" s="31"/>
      <c r="UZV45" s="30"/>
      <c r="UZW45" s="31"/>
      <c r="UZX45" s="30"/>
      <c r="UZY45" s="31"/>
      <c r="UZZ45" s="30"/>
      <c r="VAA45" s="31"/>
      <c r="VAB45" s="30"/>
      <c r="VAC45" s="31"/>
      <c r="VAD45" s="30"/>
      <c r="VAE45" s="31"/>
      <c r="VAF45" s="30"/>
      <c r="VAG45" s="31"/>
      <c r="VAH45" s="30"/>
      <c r="VAI45" s="31"/>
      <c r="VAJ45" s="30"/>
      <c r="VAK45" s="31"/>
      <c r="VAL45" s="30"/>
      <c r="VAM45" s="31"/>
      <c r="VAN45" s="30"/>
      <c r="VAO45" s="31"/>
      <c r="VAP45" s="30"/>
      <c r="VAQ45" s="31"/>
      <c r="VAR45" s="30"/>
      <c r="VAS45" s="31"/>
      <c r="VAT45" s="30"/>
      <c r="VAU45" s="31"/>
      <c r="VAV45" s="30"/>
      <c r="VAW45" s="31"/>
      <c r="VAX45" s="30"/>
      <c r="VAY45" s="31"/>
      <c r="VAZ45" s="30"/>
      <c r="VBA45" s="31"/>
      <c r="VBB45" s="30"/>
      <c r="VBC45" s="31"/>
      <c r="VBD45" s="30"/>
      <c r="VBE45" s="31"/>
      <c r="VBF45" s="30"/>
      <c r="VBG45" s="31"/>
      <c r="VBH45" s="30"/>
      <c r="VBI45" s="31"/>
      <c r="VBJ45" s="30"/>
      <c r="VBK45" s="31"/>
      <c r="VBL45" s="30"/>
      <c r="VBM45" s="31"/>
      <c r="VBN45" s="30"/>
      <c r="VBO45" s="31"/>
      <c r="VBP45" s="30"/>
      <c r="VBQ45" s="31"/>
      <c r="VBR45" s="30"/>
      <c r="VBS45" s="31"/>
      <c r="VBT45" s="30"/>
      <c r="VBU45" s="31"/>
      <c r="VBV45" s="30"/>
      <c r="VBW45" s="31"/>
      <c r="VBX45" s="30"/>
      <c r="VBY45" s="31"/>
      <c r="VBZ45" s="30"/>
      <c r="VCA45" s="31"/>
      <c r="VCB45" s="30"/>
      <c r="VCC45" s="31"/>
      <c r="VCD45" s="30"/>
      <c r="VCE45" s="31"/>
      <c r="VCF45" s="30"/>
      <c r="VCG45" s="31"/>
      <c r="VCH45" s="30"/>
      <c r="VCI45" s="31"/>
      <c r="VCJ45" s="30"/>
      <c r="VCK45" s="31"/>
      <c r="VCL45" s="30"/>
      <c r="VCM45" s="31"/>
      <c r="VCN45" s="30"/>
      <c r="VCO45" s="31"/>
      <c r="VCP45" s="30"/>
      <c r="VCQ45" s="31"/>
      <c r="VCR45" s="30"/>
      <c r="VCS45" s="31"/>
      <c r="VCT45" s="30"/>
      <c r="VCU45" s="31"/>
      <c r="VCV45" s="30"/>
      <c r="VCW45" s="31"/>
      <c r="VCX45" s="30"/>
      <c r="VCY45" s="31"/>
      <c r="VCZ45" s="30"/>
      <c r="VDA45" s="31"/>
      <c r="VDB45" s="30"/>
      <c r="VDC45" s="31"/>
      <c r="VDD45" s="30"/>
      <c r="VDE45" s="31"/>
      <c r="VDF45" s="30"/>
      <c r="VDG45" s="31"/>
      <c r="VDH45" s="30"/>
      <c r="VDI45" s="31"/>
      <c r="VDJ45" s="30"/>
      <c r="VDK45" s="31"/>
      <c r="VDL45" s="30"/>
      <c r="VDM45" s="31"/>
      <c r="VDN45" s="30"/>
      <c r="VDO45" s="31"/>
      <c r="VDP45" s="30"/>
      <c r="VDQ45" s="31"/>
      <c r="VDR45" s="30"/>
      <c r="VDS45" s="31"/>
      <c r="VDT45" s="30"/>
      <c r="VDU45" s="31"/>
      <c r="VDV45" s="30"/>
      <c r="VDW45" s="31"/>
      <c r="VDX45" s="30"/>
      <c r="VDY45" s="31"/>
      <c r="VDZ45" s="30"/>
      <c r="VEA45" s="31"/>
      <c r="VEB45" s="30"/>
      <c r="VEC45" s="31"/>
      <c r="VED45" s="30"/>
      <c r="VEE45" s="31"/>
      <c r="VEF45" s="30"/>
      <c r="VEG45" s="31"/>
      <c r="VEH45" s="30"/>
      <c r="VEI45" s="31"/>
      <c r="VEJ45" s="30"/>
      <c r="VEK45" s="31"/>
      <c r="VEL45" s="30"/>
      <c r="VEM45" s="31"/>
      <c r="VEN45" s="30"/>
      <c r="VEO45" s="31"/>
      <c r="VEP45" s="30"/>
      <c r="VEQ45" s="31"/>
      <c r="VER45" s="30"/>
      <c r="VES45" s="31"/>
      <c r="VET45" s="30"/>
      <c r="VEU45" s="31"/>
      <c r="VEV45" s="30"/>
      <c r="VEW45" s="31"/>
      <c r="VEX45" s="30"/>
      <c r="VEY45" s="31"/>
      <c r="VEZ45" s="30"/>
      <c r="VFA45" s="31"/>
      <c r="VFB45" s="30"/>
      <c r="VFC45" s="31"/>
      <c r="VFD45" s="30"/>
      <c r="VFE45" s="31"/>
      <c r="VFF45" s="30"/>
      <c r="VFG45" s="31"/>
      <c r="VFH45" s="30"/>
      <c r="VFI45" s="31"/>
      <c r="VFJ45" s="30"/>
      <c r="VFK45" s="31"/>
      <c r="VFL45" s="30"/>
      <c r="VFM45" s="31"/>
      <c r="VFN45" s="30"/>
      <c r="VFO45" s="31"/>
      <c r="VFP45" s="30"/>
      <c r="VFQ45" s="31"/>
      <c r="VFR45" s="30"/>
      <c r="VFS45" s="31"/>
      <c r="VFT45" s="30"/>
      <c r="VFU45" s="31"/>
      <c r="VFV45" s="30"/>
      <c r="VFW45" s="31"/>
      <c r="VFX45" s="30"/>
      <c r="VFY45" s="31"/>
      <c r="VFZ45" s="30"/>
      <c r="VGA45" s="31"/>
      <c r="VGB45" s="30"/>
      <c r="VGC45" s="31"/>
      <c r="VGD45" s="30"/>
      <c r="VGE45" s="31"/>
      <c r="VGF45" s="30"/>
      <c r="VGG45" s="31"/>
      <c r="VGH45" s="30"/>
      <c r="VGI45" s="31"/>
      <c r="VGJ45" s="30"/>
      <c r="VGK45" s="31"/>
      <c r="VGL45" s="30"/>
      <c r="VGM45" s="31"/>
      <c r="VGN45" s="30"/>
      <c r="VGO45" s="31"/>
      <c r="VGP45" s="30"/>
      <c r="VGQ45" s="31"/>
      <c r="VGR45" s="30"/>
      <c r="VGS45" s="31"/>
      <c r="VGT45" s="30"/>
      <c r="VGU45" s="31"/>
      <c r="VGV45" s="30"/>
      <c r="VGW45" s="31"/>
      <c r="VGX45" s="30"/>
      <c r="VGY45" s="31"/>
      <c r="VGZ45" s="30"/>
      <c r="VHA45" s="31"/>
      <c r="VHB45" s="30"/>
      <c r="VHC45" s="31"/>
      <c r="VHD45" s="30"/>
      <c r="VHE45" s="31"/>
      <c r="VHF45" s="30"/>
      <c r="VHG45" s="31"/>
      <c r="VHH45" s="30"/>
      <c r="VHI45" s="31"/>
      <c r="VHJ45" s="30"/>
      <c r="VHK45" s="31"/>
      <c r="VHL45" s="30"/>
      <c r="VHM45" s="31"/>
      <c r="VHN45" s="30"/>
      <c r="VHO45" s="31"/>
      <c r="VHP45" s="30"/>
      <c r="VHQ45" s="31"/>
      <c r="VHR45" s="30"/>
      <c r="VHS45" s="31"/>
      <c r="VHT45" s="30"/>
      <c r="VHU45" s="31"/>
      <c r="VHV45" s="30"/>
      <c r="VHW45" s="31"/>
      <c r="VHX45" s="30"/>
      <c r="VHY45" s="31"/>
      <c r="VHZ45" s="30"/>
      <c r="VIA45" s="31"/>
      <c r="VIB45" s="30"/>
      <c r="VIC45" s="31"/>
      <c r="VID45" s="30"/>
      <c r="VIE45" s="31"/>
      <c r="VIF45" s="30"/>
      <c r="VIG45" s="31"/>
      <c r="VIH45" s="30"/>
      <c r="VII45" s="31"/>
      <c r="VIJ45" s="30"/>
      <c r="VIK45" s="31"/>
      <c r="VIL45" s="30"/>
      <c r="VIM45" s="31"/>
      <c r="VIN45" s="30"/>
      <c r="VIO45" s="31"/>
      <c r="VIP45" s="30"/>
      <c r="VIQ45" s="31"/>
      <c r="VIR45" s="30"/>
      <c r="VIS45" s="31"/>
      <c r="VIT45" s="30"/>
      <c r="VIU45" s="31"/>
      <c r="VIV45" s="30"/>
      <c r="VIW45" s="31"/>
      <c r="VIX45" s="30"/>
      <c r="VIY45" s="31"/>
      <c r="VIZ45" s="30"/>
      <c r="VJA45" s="31"/>
      <c r="VJB45" s="30"/>
      <c r="VJC45" s="31"/>
      <c r="VJD45" s="30"/>
      <c r="VJE45" s="31"/>
      <c r="VJF45" s="30"/>
      <c r="VJG45" s="31"/>
      <c r="VJH45" s="30"/>
      <c r="VJI45" s="31"/>
      <c r="VJJ45" s="30"/>
      <c r="VJK45" s="31"/>
      <c r="VJL45" s="30"/>
      <c r="VJM45" s="31"/>
      <c r="VJN45" s="30"/>
      <c r="VJO45" s="31"/>
      <c r="VJP45" s="30"/>
      <c r="VJQ45" s="31"/>
      <c r="VJR45" s="30"/>
      <c r="VJS45" s="31"/>
      <c r="VJT45" s="30"/>
      <c r="VJU45" s="31"/>
      <c r="VJV45" s="30"/>
      <c r="VJW45" s="31"/>
      <c r="VJX45" s="30"/>
      <c r="VJY45" s="31"/>
      <c r="VJZ45" s="30"/>
      <c r="VKA45" s="31"/>
      <c r="VKB45" s="30"/>
      <c r="VKC45" s="31"/>
      <c r="VKD45" s="30"/>
      <c r="VKE45" s="31"/>
      <c r="VKF45" s="30"/>
      <c r="VKG45" s="31"/>
      <c r="VKH45" s="30"/>
      <c r="VKI45" s="31"/>
      <c r="VKJ45" s="30"/>
      <c r="VKK45" s="31"/>
      <c r="VKL45" s="30"/>
      <c r="VKM45" s="31"/>
      <c r="VKN45" s="30"/>
      <c r="VKO45" s="31"/>
      <c r="VKP45" s="30"/>
      <c r="VKQ45" s="31"/>
      <c r="VKR45" s="30"/>
      <c r="VKS45" s="31"/>
      <c r="VKT45" s="30"/>
      <c r="VKU45" s="31"/>
      <c r="VKV45" s="30"/>
      <c r="VKW45" s="31"/>
      <c r="VKX45" s="30"/>
      <c r="VKY45" s="31"/>
      <c r="VKZ45" s="30"/>
      <c r="VLA45" s="31"/>
      <c r="VLB45" s="30"/>
      <c r="VLC45" s="31"/>
      <c r="VLD45" s="30"/>
      <c r="VLE45" s="31"/>
      <c r="VLF45" s="30"/>
      <c r="VLG45" s="31"/>
      <c r="VLH45" s="30"/>
      <c r="VLI45" s="31"/>
      <c r="VLJ45" s="30"/>
      <c r="VLK45" s="31"/>
      <c r="VLL45" s="30"/>
      <c r="VLM45" s="31"/>
      <c r="VLN45" s="30"/>
      <c r="VLO45" s="31"/>
      <c r="VLP45" s="30"/>
      <c r="VLQ45" s="31"/>
      <c r="VLR45" s="30"/>
      <c r="VLS45" s="31"/>
      <c r="VLT45" s="30"/>
      <c r="VLU45" s="31"/>
      <c r="VLV45" s="30"/>
      <c r="VLW45" s="31"/>
      <c r="VLX45" s="30"/>
      <c r="VLY45" s="31"/>
      <c r="VLZ45" s="30"/>
      <c r="VMA45" s="31"/>
      <c r="VMB45" s="30"/>
      <c r="VMC45" s="31"/>
      <c r="VMD45" s="30"/>
      <c r="VME45" s="31"/>
      <c r="VMF45" s="30"/>
      <c r="VMG45" s="31"/>
      <c r="VMH45" s="30"/>
      <c r="VMI45" s="31"/>
      <c r="VMJ45" s="30"/>
      <c r="VMK45" s="31"/>
      <c r="VML45" s="30"/>
      <c r="VMM45" s="31"/>
      <c r="VMN45" s="30"/>
      <c r="VMO45" s="31"/>
      <c r="VMP45" s="30"/>
      <c r="VMQ45" s="31"/>
      <c r="VMR45" s="30"/>
      <c r="VMS45" s="31"/>
      <c r="VMT45" s="30"/>
      <c r="VMU45" s="31"/>
      <c r="VMV45" s="30"/>
      <c r="VMW45" s="31"/>
      <c r="VMX45" s="30"/>
      <c r="VMY45" s="31"/>
      <c r="VMZ45" s="30"/>
      <c r="VNA45" s="31"/>
      <c r="VNB45" s="30"/>
      <c r="VNC45" s="31"/>
      <c r="VND45" s="30"/>
      <c r="VNE45" s="31"/>
      <c r="VNF45" s="30"/>
      <c r="VNG45" s="31"/>
      <c r="VNH45" s="30"/>
      <c r="VNI45" s="31"/>
      <c r="VNJ45" s="30"/>
      <c r="VNK45" s="31"/>
      <c r="VNL45" s="30"/>
      <c r="VNM45" s="31"/>
      <c r="VNN45" s="30"/>
      <c r="VNO45" s="31"/>
      <c r="VNP45" s="30"/>
      <c r="VNQ45" s="31"/>
      <c r="VNR45" s="30"/>
      <c r="VNS45" s="31"/>
      <c r="VNT45" s="30"/>
      <c r="VNU45" s="31"/>
      <c r="VNV45" s="30"/>
      <c r="VNW45" s="31"/>
      <c r="VNX45" s="30"/>
      <c r="VNY45" s="31"/>
      <c r="VNZ45" s="30"/>
      <c r="VOA45" s="31"/>
      <c r="VOB45" s="30"/>
      <c r="VOC45" s="31"/>
      <c r="VOD45" s="30"/>
      <c r="VOE45" s="31"/>
      <c r="VOF45" s="30"/>
      <c r="VOG45" s="31"/>
      <c r="VOH45" s="30"/>
      <c r="VOI45" s="31"/>
      <c r="VOJ45" s="30"/>
      <c r="VOK45" s="31"/>
      <c r="VOL45" s="30"/>
      <c r="VOM45" s="31"/>
      <c r="VON45" s="30"/>
      <c r="VOO45" s="31"/>
      <c r="VOP45" s="30"/>
      <c r="VOQ45" s="31"/>
      <c r="VOR45" s="30"/>
      <c r="VOS45" s="31"/>
      <c r="VOT45" s="30"/>
      <c r="VOU45" s="31"/>
      <c r="VOV45" s="30"/>
      <c r="VOW45" s="31"/>
      <c r="VOX45" s="30"/>
      <c r="VOY45" s="31"/>
      <c r="VOZ45" s="30"/>
      <c r="VPA45" s="31"/>
      <c r="VPB45" s="30"/>
      <c r="VPC45" s="31"/>
      <c r="VPD45" s="30"/>
      <c r="VPE45" s="31"/>
      <c r="VPF45" s="30"/>
      <c r="VPG45" s="31"/>
      <c r="VPH45" s="30"/>
      <c r="VPI45" s="31"/>
      <c r="VPJ45" s="30"/>
      <c r="VPK45" s="31"/>
      <c r="VPL45" s="30"/>
      <c r="VPM45" s="31"/>
      <c r="VPN45" s="30"/>
      <c r="VPO45" s="31"/>
      <c r="VPP45" s="30"/>
      <c r="VPQ45" s="31"/>
      <c r="VPR45" s="30"/>
      <c r="VPS45" s="31"/>
      <c r="VPT45" s="30"/>
      <c r="VPU45" s="31"/>
      <c r="VPV45" s="30"/>
      <c r="VPW45" s="31"/>
      <c r="VPX45" s="30"/>
      <c r="VPY45" s="31"/>
      <c r="VPZ45" s="30"/>
      <c r="VQA45" s="31"/>
      <c r="VQB45" s="30"/>
      <c r="VQC45" s="31"/>
      <c r="VQD45" s="30"/>
      <c r="VQE45" s="31"/>
      <c r="VQF45" s="30"/>
      <c r="VQG45" s="31"/>
      <c r="VQH45" s="30"/>
      <c r="VQI45" s="31"/>
      <c r="VQJ45" s="30"/>
      <c r="VQK45" s="31"/>
      <c r="VQL45" s="30"/>
      <c r="VQM45" s="31"/>
      <c r="VQN45" s="30"/>
      <c r="VQO45" s="31"/>
      <c r="VQP45" s="30"/>
      <c r="VQQ45" s="31"/>
      <c r="VQR45" s="30"/>
      <c r="VQS45" s="31"/>
      <c r="VQT45" s="30"/>
      <c r="VQU45" s="31"/>
      <c r="VQV45" s="30"/>
      <c r="VQW45" s="31"/>
      <c r="VQX45" s="30"/>
      <c r="VQY45" s="31"/>
      <c r="VQZ45" s="30"/>
      <c r="VRA45" s="31"/>
      <c r="VRB45" s="30"/>
      <c r="VRC45" s="31"/>
      <c r="VRD45" s="30"/>
      <c r="VRE45" s="31"/>
      <c r="VRF45" s="30"/>
      <c r="VRG45" s="31"/>
      <c r="VRH45" s="30"/>
      <c r="VRI45" s="31"/>
      <c r="VRJ45" s="30"/>
      <c r="VRK45" s="31"/>
      <c r="VRL45" s="30"/>
      <c r="VRM45" s="31"/>
      <c r="VRN45" s="30"/>
      <c r="VRO45" s="31"/>
      <c r="VRP45" s="30"/>
      <c r="VRQ45" s="31"/>
      <c r="VRR45" s="30"/>
      <c r="VRS45" s="31"/>
      <c r="VRT45" s="30"/>
      <c r="VRU45" s="31"/>
      <c r="VRV45" s="30"/>
      <c r="VRW45" s="31"/>
      <c r="VRX45" s="30"/>
      <c r="VRY45" s="31"/>
      <c r="VRZ45" s="30"/>
      <c r="VSA45" s="31"/>
      <c r="VSB45" s="30"/>
      <c r="VSC45" s="31"/>
      <c r="VSD45" s="30"/>
      <c r="VSE45" s="31"/>
      <c r="VSF45" s="30"/>
      <c r="VSG45" s="31"/>
      <c r="VSH45" s="30"/>
      <c r="VSI45" s="31"/>
      <c r="VSJ45" s="30"/>
      <c r="VSK45" s="31"/>
      <c r="VSL45" s="30"/>
      <c r="VSM45" s="31"/>
      <c r="VSN45" s="30"/>
      <c r="VSO45" s="31"/>
      <c r="VSP45" s="30"/>
      <c r="VSQ45" s="31"/>
      <c r="VSR45" s="30"/>
      <c r="VSS45" s="31"/>
      <c r="VST45" s="30"/>
      <c r="VSU45" s="31"/>
      <c r="VSV45" s="30"/>
      <c r="VSW45" s="31"/>
      <c r="VSX45" s="30"/>
      <c r="VSY45" s="31"/>
      <c r="VSZ45" s="30"/>
      <c r="VTA45" s="31"/>
      <c r="VTB45" s="30"/>
      <c r="VTC45" s="31"/>
      <c r="VTD45" s="30"/>
      <c r="VTE45" s="31"/>
      <c r="VTF45" s="30"/>
      <c r="VTG45" s="31"/>
      <c r="VTH45" s="30"/>
      <c r="VTI45" s="31"/>
      <c r="VTJ45" s="30"/>
      <c r="VTK45" s="31"/>
      <c r="VTL45" s="30"/>
      <c r="VTM45" s="31"/>
      <c r="VTN45" s="30"/>
      <c r="VTO45" s="31"/>
      <c r="VTP45" s="30"/>
      <c r="VTQ45" s="31"/>
      <c r="VTR45" s="30"/>
      <c r="VTS45" s="31"/>
      <c r="VTT45" s="30"/>
      <c r="VTU45" s="31"/>
      <c r="VTV45" s="30"/>
      <c r="VTW45" s="31"/>
      <c r="VTX45" s="30"/>
      <c r="VTY45" s="31"/>
      <c r="VTZ45" s="30"/>
      <c r="VUA45" s="31"/>
      <c r="VUB45" s="30"/>
      <c r="VUC45" s="31"/>
      <c r="VUD45" s="30"/>
      <c r="VUE45" s="31"/>
      <c r="VUF45" s="30"/>
      <c r="VUG45" s="31"/>
      <c r="VUH45" s="30"/>
      <c r="VUI45" s="31"/>
      <c r="VUJ45" s="30"/>
      <c r="VUK45" s="31"/>
      <c r="VUL45" s="30"/>
      <c r="VUM45" s="31"/>
      <c r="VUN45" s="30"/>
      <c r="VUO45" s="31"/>
      <c r="VUP45" s="30"/>
      <c r="VUQ45" s="31"/>
      <c r="VUR45" s="30"/>
      <c r="VUS45" s="31"/>
      <c r="VUT45" s="30"/>
      <c r="VUU45" s="31"/>
      <c r="VUV45" s="30"/>
      <c r="VUW45" s="31"/>
      <c r="VUX45" s="30"/>
      <c r="VUY45" s="31"/>
      <c r="VUZ45" s="30"/>
      <c r="VVA45" s="31"/>
      <c r="VVB45" s="30"/>
      <c r="VVC45" s="31"/>
      <c r="VVD45" s="30"/>
      <c r="VVE45" s="31"/>
      <c r="VVF45" s="30"/>
      <c r="VVG45" s="31"/>
      <c r="VVH45" s="30"/>
      <c r="VVI45" s="31"/>
      <c r="VVJ45" s="30"/>
      <c r="VVK45" s="31"/>
      <c r="VVL45" s="30"/>
      <c r="VVM45" s="31"/>
      <c r="VVN45" s="30"/>
      <c r="VVO45" s="31"/>
      <c r="VVP45" s="30"/>
      <c r="VVQ45" s="31"/>
      <c r="VVR45" s="30"/>
      <c r="VVS45" s="31"/>
      <c r="VVT45" s="30"/>
      <c r="VVU45" s="31"/>
      <c r="VVV45" s="30"/>
      <c r="VVW45" s="31"/>
      <c r="VVX45" s="30"/>
      <c r="VVY45" s="31"/>
      <c r="VVZ45" s="30"/>
      <c r="VWA45" s="31"/>
      <c r="VWB45" s="30"/>
      <c r="VWC45" s="31"/>
      <c r="VWD45" s="30"/>
      <c r="VWE45" s="31"/>
      <c r="VWF45" s="30"/>
      <c r="VWG45" s="31"/>
      <c r="VWH45" s="30"/>
      <c r="VWI45" s="31"/>
      <c r="VWJ45" s="30"/>
      <c r="VWK45" s="31"/>
      <c r="VWL45" s="30"/>
      <c r="VWM45" s="31"/>
      <c r="VWN45" s="30"/>
      <c r="VWO45" s="31"/>
      <c r="VWP45" s="30"/>
      <c r="VWQ45" s="31"/>
      <c r="VWR45" s="30"/>
      <c r="VWS45" s="31"/>
      <c r="VWT45" s="30"/>
      <c r="VWU45" s="31"/>
      <c r="VWV45" s="30"/>
      <c r="VWW45" s="31"/>
      <c r="VWX45" s="30"/>
      <c r="VWY45" s="31"/>
      <c r="VWZ45" s="30"/>
      <c r="VXA45" s="31"/>
      <c r="VXB45" s="30"/>
      <c r="VXC45" s="31"/>
      <c r="VXD45" s="30"/>
      <c r="VXE45" s="31"/>
      <c r="VXF45" s="30"/>
      <c r="VXG45" s="31"/>
      <c r="VXH45" s="30"/>
      <c r="VXI45" s="31"/>
      <c r="VXJ45" s="30"/>
      <c r="VXK45" s="31"/>
      <c r="VXL45" s="30"/>
      <c r="VXM45" s="31"/>
      <c r="VXN45" s="30"/>
      <c r="VXO45" s="31"/>
      <c r="VXP45" s="30"/>
      <c r="VXQ45" s="31"/>
      <c r="VXR45" s="30"/>
      <c r="VXS45" s="31"/>
      <c r="VXT45" s="30"/>
      <c r="VXU45" s="31"/>
      <c r="VXV45" s="30"/>
      <c r="VXW45" s="31"/>
      <c r="VXX45" s="30"/>
      <c r="VXY45" s="31"/>
      <c r="VXZ45" s="30"/>
      <c r="VYA45" s="31"/>
      <c r="VYB45" s="30"/>
      <c r="VYC45" s="31"/>
      <c r="VYD45" s="30"/>
      <c r="VYE45" s="31"/>
      <c r="VYF45" s="30"/>
      <c r="VYG45" s="31"/>
      <c r="VYH45" s="30"/>
      <c r="VYI45" s="31"/>
      <c r="VYJ45" s="30"/>
      <c r="VYK45" s="31"/>
      <c r="VYL45" s="30"/>
      <c r="VYM45" s="31"/>
      <c r="VYN45" s="30"/>
      <c r="VYO45" s="31"/>
      <c r="VYP45" s="30"/>
      <c r="VYQ45" s="31"/>
      <c r="VYR45" s="30"/>
      <c r="VYS45" s="31"/>
      <c r="VYT45" s="30"/>
      <c r="VYU45" s="31"/>
      <c r="VYV45" s="30"/>
      <c r="VYW45" s="31"/>
      <c r="VYX45" s="30"/>
      <c r="VYY45" s="31"/>
      <c r="VYZ45" s="30"/>
      <c r="VZA45" s="31"/>
      <c r="VZB45" s="30"/>
      <c r="VZC45" s="31"/>
      <c r="VZD45" s="30"/>
      <c r="VZE45" s="31"/>
      <c r="VZF45" s="30"/>
      <c r="VZG45" s="31"/>
      <c r="VZH45" s="30"/>
      <c r="VZI45" s="31"/>
      <c r="VZJ45" s="30"/>
      <c r="VZK45" s="31"/>
      <c r="VZL45" s="30"/>
      <c r="VZM45" s="31"/>
      <c r="VZN45" s="30"/>
      <c r="VZO45" s="31"/>
      <c r="VZP45" s="30"/>
      <c r="VZQ45" s="31"/>
      <c r="VZR45" s="30"/>
      <c r="VZS45" s="31"/>
      <c r="VZT45" s="30"/>
      <c r="VZU45" s="31"/>
      <c r="VZV45" s="30"/>
      <c r="VZW45" s="31"/>
      <c r="VZX45" s="30"/>
      <c r="VZY45" s="31"/>
      <c r="VZZ45" s="30"/>
      <c r="WAA45" s="31"/>
      <c r="WAB45" s="30"/>
      <c r="WAC45" s="31"/>
      <c r="WAD45" s="30"/>
      <c r="WAE45" s="31"/>
      <c r="WAF45" s="30"/>
      <c r="WAG45" s="31"/>
      <c r="WAH45" s="30"/>
      <c r="WAI45" s="31"/>
      <c r="WAJ45" s="30"/>
      <c r="WAK45" s="31"/>
      <c r="WAL45" s="30"/>
      <c r="WAM45" s="31"/>
      <c r="WAN45" s="30"/>
      <c r="WAO45" s="31"/>
      <c r="WAP45" s="30"/>
      <c r="WAQ45" s="31"/>
      <c r="WAR45" s="30"/>
      <c r="WAS45" s="31"/>
      <c r="WAT45" s="30"/>
      <c r="WAU45" s="31"/>
      <c r="WAV45" s="30"/>
      <c r="WAW45" s="31"/>
      <c r="WAX45" s="30"/>
      <c r="WAY45" s="31"/>
      <c r="WAZ45" s="30"/>
      <c r="WBA45" s="31"/>
      <c r="WBB45" s="30"/>
      <c r="WBC45" s="31"/>
      <c r="WBD45" s="30"/>
      <c r="WBE45" s="31"/>
      <c r="WBF45" s="30"/>
      <c r="WBG45" s="31"/>
      <c r="WBH45" s="30"/>
      <c r="WBI45" s="31"/>
      <c r="WBJ45" s="30"/>
      <c r="WBK45" s="31"/>
      <c r="WBL45" s="30"/>
      <c r="WBM45" s="31"/>
      <c r="WBN45" s="30"/>
      <c r="WBO45" s="31"/>
      <c r="WBP45" s="30"/>
      <c r="WBQ45" s="31"/>
      <c r="WBR45" s="30"/>
      <c r="WBS45" s="31"/>
      <c r="WBT45" s="30"/>
      <c r="WBU45" s="31"/>
      <c r="WBV45" s="30"/>
      <c r="WBW45" s="31"/>
      <c r="WBX45" s="30"/>
      <c r="WBY45" s="31"/>
      <c r="WBZ45" s="30"/>
      <c r="WCA45" s="31"/>
      <c r="WCB45" s="30"/>
      <c r="WCC45" s="31"/>
      <c r="WCD45" s="30"/>
      <c r="WCE45" s="31"/>
      <c r="WCF45" s="30"/>
      <c r="WCG45" s="31"/>
      <c r="WCH45" s="30"/>
      <c r="WCI45" s="31"/>
      <c r="WCJ45" s="30"/>
      <c r="WCK45" s="31"/>
      <c r="WCL45" s="30"/>
      <c r="WCM45" s="31"/>
      <c r="WCN45" s="30"/>
      <c r="WCO45" s="31"/>
      <c r="WCP45" s="30"/>
      <c r="WCQ45" s="31"/>
      <c r="WCR45" s="30"/>
      <c r="WCS45" s="31"/>
      <c r="WCT45" s="30"/>
      <c r="WCU45" s="31"/>
      <c r="WCV45" s="30"/>
      <c r="WCW45" s="31"/>
      <c r="WCX45" s="30"/>
      <c r="WCY45" s="31"/>
      <c r="WCZ45" s="30"/>
      <c r="WDA45" s="31"/>
      <c r="WDB45" s="30"/>
      <c r="WDC45" s="31"/>
      <c r="WDD45" s="30"/>
      <c r="WDE45" s="31"/>
      <c r="WDF45" s="30"/>
      <c r="WDG45" s="31"/>
      <c r="WDH45" s="30"/>
      <c r="WDI45" s="31"/>
      <c r="WDJ45" s="30"/>
      <c r="WDK45" s="31"/>
      <c r="WDL45" s="30"/>
      <c r="WDM45" s="31"/>
      <c r="WDN45" s="30"/>
      <c r="WDO45" s="31"/>
      <c r="WDP45" s="30"/>
      <c r="WDQ45" s="31"/>
      <c r="WDR45" s="30"/>
      <c r="WDS45" s="31"/>
      <c r="WDT45" s="30"/>
      <c r="WDU45" s="31"/>
      <c r="WDV45" s="30"/>
      <c r="WDW45" s="31"/>
      <c r="WDX45" s="30"/>
      <c r="WDY45" s="31"/>
      <c r="WDZ45" s="30"/>
      <c r="WEA45" s="31"/>
      <c r="WEB45" s="30"/>
      <c r="WEC45" s="31"/>
      <c r="WED45" s="30"/>
      <c r="WEE45" s="31"/>
      <c r="WEF45" s="30"/>
      <c r="WEG45" s="31"/>
      <c r="WEH45" s="30"/>
      <c r="WEI45" s="31"/>
      <c r="WEJ45" s="30"/>
      <c r="WEK45" s="31"/>
      <c r="WEL45" s="30"/>
      <c r="WEM45" s="31"/>
      <c r="WEN45" s="30"/>
      <c r="WEO45" s="31"/>
      <c r="WEP45" s="30"/>
      <c r="WEQ45" s="31"/>
      <c r="WER45" s="30"/>
      <c r="WES45" s="31"/>
      <c r="WET45" s="30"/>
      <c r="WEU45" s="31"/>
      <c r="WEV45" s="30"/>
      <c r="WEW45" s="31"/>
      <c r="WEX45" s="30"/>
      <c r="WEY45" s="31"/>
      <c r="WEZ45" s="30"/>
      <c r="WFA45" s="31"/>
      <c r="WFB45" s="30"/>
      <c r="WFC45" s="31"/>
      <c r="WFD45" s="30"/>
      <c r="WFE45" s="31"/>
      <c r="WFF45" s="30"/>
      <c r="WFG45" s="31"/>
      <c r="WFH45" s="30"/>
      <c r="WFI45" s="31"/>
      <c r="WFJ45" s="30"/>
      <c r="WFK45" s="31"/>
      <c r="WFL45" s="30"/>
      <c r="WFM45" s="31"/>
      <c r="WFN45" s="30"/>
      <c r="WFO45" s="31"/>
      <c r="WFP45" s="30"/>
      <c r="WFQ45" s="31"/>
      <c r="WFR45" s="30"/>
      <c r="WFS45" s="31"/>
      <c r="WFT45" s="30"/>
      <c r="WFU45" s="31"/>
      <c r="WFV45" s="30"/>
      <c r="WFW45" s="31"/>
      <c r="WFX45" s="30"/>
      <c r="WFY45" s="31"/>
      <c r="WFZ45" s="30"/>
      <c r="WGA45" s="31"/>
      <c r="WGB45" s="30"/>
      <c r="WGC45" s="31"/>
      <c r="WGD45" s="30"/>
      <c r="WGE45" s="31"/>
      <c r="WGF45" s="30"/>
      <c r="WGG45" s="31"/>
      <c r="WGH45" s="30"/>
      <c r="WGI45" s="31"/>
      <c r="WGJ45" s="30"/>
      <c r="WGK45" s="31"/>
      <c r="WGL45" s="30"/>
      <c r="WGM45" s="31"/>
      <c r="WGN45" s="30"/>
      <c r="WGO45" s="31"/>
      <c r="WGP45" s="30"/>
      <c r="WGQ45" s="31"/>
      <c r="WGR45" s="30"/>
      <c r="WGS45" s="31"/>
      <c r="WGT45" s="30"/>
      <c r="WGU45" s="31"/>
      <c r="WGV45" s="30"/>
      <c r="WGW45" s="31"/>
      <c r="WGX45" s="30"/>
      <c r="WGY45" s="31"/>
      <c r="WGZ45" s="30"/>
      <c r="WHA45" s="31"/>
      <c r="WHB45" s="30"/>
      <c r="WHC45" s="31"/>
      <c r="WHD45" s="30"/>
      <c r="WHE45" s="31"/>
      <c r="WHF45" s="30"/>
      <c r="WHG45" s="31"/>
      <c r="WHH45" s="30"/>
      <c r="WHI45" s="31"/>
      <c r="WHJ45" s="30"/>
      <c r="WHK45" s="31"/>
      <c r="WHL45" s="30"/>
      <c r="WHM45" s="31"/>
      <c r="WHN45" s="30"/>
      <c r="WHO45" s="31"/>
      <c r="WHP45" s="30"/>
      <c r="WHQ45" s="31"/>
      <c r="WHR45" s="30"/>
      <c r="WHS45" s="31"/>
      <c r="WHT45" s="30"/>
      <c r="WHU45" s="31"/>
      <c r="WHV45" s="30"/>
      <c r="WHW45" s="31"/>
      <c r="WHX45" s="30"/>
      <c r="WHY45" s="31"/>
      <c r="WHZ45" s="30"/>
      <c r="WIA45" s="31"/>
      <c r="WIB45" s="30"/>
      <c r="WIC45" s="31"/>
      <c r="WID45" s="30"/>
      <c r="WIE45" s="31"/>
      <c r="WIF45" s="30"/>
      <c r="WIG45" s="31"/>
      <c r="WIH45" s="30"/>
      <c r="WII45" s="31"/>
      <c r="WIJ45" s="30"/>
      <c r="WIK45" s="31"/>
      <c r="WIL45" s="30"/>
      <c r="WIM45" s="31"/>
      <c r="WIN45" s="30"/>
      <c r="WIO45" s="31"/>
      <c r="WIP45" s="30"/>
      <c r="WIQ45" s="31"/>
      <c r="WIR45" s="30"/>
      <c r="WIS45" s="31"/>
      <c r="WIT45" s="30"/>
      <c r="WIU45" s="31"/>
      <c r="WIV45" s="30"/>
      <c r="WIW45" s="31"/>
      <c r="WIX45" s="30"/>
      <c r="WIY45" s="31"/>
      <c r="WIZ45" s="30"/>
      <c r="WJA45" s="31"/>
      <c r="WJB45" s="30"/>
      <c r="WJC45" s="31"/>
      <c r="WJD45" s="30"/>
      <c r="WJE45" s="31"/>
      <c r="WJF45" s="30"/>
      <c r="WJG45" s="31"/>
      <c r="WJH45" s="30"/>
      <c r="WJI45" s="31"/>
      <c r="WJJ45" s="30"/>
      <c r="WJK45" s="31"/>
      <c r="WJL45" s="30"/>
      <c r="WJM45" s="31"/>
      <c r="WJN45" s="30"/>
      <c r="WJO45" s="31"/>
      <c r="WJP45" s="30"/>
      <c r="WJQ45" s="31"/>
      <c r="WJR45" s="30"/>
      <c r="WJS45" s="31"/>
      <c r="WJT45" s="30"/>
      <c r="WJU45" s="31"/>
      <c r="WJV45" s="30"/>
      <c r="WJW45" s="31"/>
      <c r="WJX45" s="30"/>
      <c r="WJY45" s="31"/>
      <c r="WJZ45" s="30"/>
      <c r="WKA45" s="31"/>
      <c r="WKB45" s="30"/>
      <c r="WKC45" s="31"/>
      <c r="WKD45" s="30"/>
      <c r="WKE45" s="31"/>
      <c r="WKF45" s="30"/>
      <c r="WKG45" s="31"/>
      <c r="WKH45" s="30"/>
      <c r="WKI45" s="31"/>
      <c r="WKJ45" s="30"/>
      <c r="WKK45" s="31"/>
      <c r="WKL45" s="30"/>
      <c r="WKM45" s="31"/>
      <c r="WKN45" s="30"/>
      <c r="WKO45" s="31"/>
      <c r="WKP45" s="30"/>
      <c r="WKQ45" s="31"/>
      <c r="WKR45" s="30"/>
      <c r="WKS45" s="31"/>
      <c r="WKT45" s="30"/>
      <c r="WKU45" s="31"/>
      <c r="WKV45" s="30"/>
      <c r="WKW45" s="31"/>
      <c r="WKX45" s="30"/>
      <c r="WKY45" s="31"/>
      <c r="WKZ45" s="30"/>
      <c r="WLA45" s="31"/>
      <c r="WLB45" s="30"/>
      <c r="WLC45" s="31"/>
      <c r="WLD45" s="30"/>
      <c r="WLE45" s="31"/>
      <c r="WLF45" s="30"/>
      <c r="WLG45" s="31"/>
      <c r="WLH45" s="30"/>
      <c r="WLI45" s="31"/>
      <c r="WLJ45" s="30"/>
      <c r="WLK45" s="31"/>
      <c r="WLL45" s="30"/>
      <c r="WLM45" s="31"/>
      <c r="WLN45" s="30"/>
      <c r="WLO45" s="31"/>
      <c r="WLP45" s="30"/>
      <c r="WLQ45" s="31"/>
      <c r="WLR45" s="30"/>
      <c r="WLS45" s="31"/>
      <c r="WLT45" s="30"/>
      <c r="WLU45" s="31"/>
      <c r="WLV45" s="30"/>
      <c r="WLW45" s="31"/>
      <c r="WLX45" s="30"/>
      <c r="WLY45" s="31"/>
      <c r="WLZ45" s="30"/>
      <c r="WMA45" s="31"/>
      <c r="WMB45" s="30"/>
      <c r="WMC45" s="31"/>
      <c r="WMD45" s="30"/>
      <c r="WME45" s="31"/>
      <c r="WMF45" s="30"/>
      <c r="WMG45" s="31"/>
      <c r="WMH45" s="30"/>
      <c r="WMI45" s="31"/>
      <c r="WMJ45" s="30"/>
      <c r="WMK45" s="31"/>
      <c r="WML45" s="30"/>
      <c r="WMM45" s="31"/>
      <c r="WMN45" s="30"/>
      <c r="WMO45" s="31"/>
      <c r="WMP45" s="30"/>
      <c r="WMQ45" s="31"/>
      <c r="WMR45" s="30"/>
      <c r="WMS45" s="31"/>
      <c r="WMT45" s="30"/>
      <c r="WMU45" s="31"/>
      <c r="WMV45" s="30"/>
      <c r="WMW45" s="31"/>
      <c r="WMX45" s="30"/>
      <c r="WMY45" s="31"/>
      <c r="WMZ45" s="30"/>
      <c r="WNA45" s="31"/>
      <c r="WNB45" s="30"/>
      <c r="WNC45" s="31"/>
      <c r="WND45" s="30"/>
      <c r="WNE45" s="31"/>
      <c r="WNF45" s="30"/>
      <c r="WNG45" s="31"/>
      <c r="WNH45" s="30"/>
      <c r="WNI45" s="31"/>
      <c r="WNJ45" s="30"/>
      <c r="WNK45" s="31"/>
      <c r="WNL45" s="30"/>
      <c r="WNM45" s="31"/>
      <c r="WNN45" s="30"/>
      <c r="WNO45" s="31"/>
      <c r="WNP45" s="30"/>
      <c r="WNQ45" s="31"/>
      <c r="WNR45" s="30"/>
      <c r="WNS45" s="31"/>
      <c r="WNT45" s="30"/>
      <c r="WNU45" s="31"/>
      <c r="WNV45" s="30"/>
      <c r="WNW45" s="31"/>
      <c r="WNX45" s="30"/>
      <c r="WNY45" s="31"/>
      <c r="WNZ45" s="30"/>
      <c r="WOA45" s="31"/>
      <c r="WOB45" s="30"/>
      <c r="WOC45" s="31"/>
      <c r="WOD45" s="30"/>
      <c r="WOE45" s="31"/>
      <c r="WOF45" s="30"/>
      <c r="WOG45" s="31"/>
      <c r="WOH45" s="30"/>
      <c r="WOI45" s="31"/>
      <c r="WOJ45" s="30"/>
      <c r="WOK45" s="31"/>
      <c r="WOL45" s="30"/>
      <c r="WOM45" s="31"/>
      <c r="WON45" s="30"/>
      <c r="WOO45" s="31"/>
      <c r="WOP45" s="30"/>
      <c r="WOQ45" s="31"/>
      <c r="WOR45" s="30"/>
      <c r="WOS45" s="31"/>
      <c r="WOT45" s="30"/>
      <c r="WOU45" s="31"/>
      <c r="WOV45" s="30"/>
      <c r="WOW45" s="31"/>
      <c r="WOX45" s="30"/>
      <c r="WOY45" s="31"/>
      <c r="WOZ45" s="30"/>
      <c r="WPA45" s="31"/>
      <c r="WPB45" s="30"/>
      <c r="WPC45" s="31"/>
      <c r="WPD45" s="30"/>
      <c r="WPE45" s="31"/>
      <c r="WPF45" s="30"/>
      <c r="WPG45" s="31"/>
      <c r="WPH45" s="30"/>
      <c r="WPI45" s="31"/>
      <c r="WPJ45" s="30"/>
      <c r="WPK45" s="31"/>
      <c r="WPL45" s="30"/>
      <c r="WPM45" s="31"/>
      <c r="WPN45" s="30"/>
      <c r="WPO45" s="31"/>
      <c r="WPP45" s="30"/>
      <c r="WPQ45" s="31"/>
      <c r="WPR45" s="30"/>
      <c r="WPS45" s="31"/>
      <c r="WPT45" s="30"/>
      <c r="WPU45" s="31"/>
      <c r="WPV45" s="30"/>
      <c r="WPW45" s="31"/>
      <c r="WPX45" s="30"/>
      <c r="WPY45" s="31"/>
      <c r="WPZ45" s="30"/>
      <c r="WQA45" s="31"/>
      <c r="WQB45" s="30"/>
      <c r="WQC45" s="31"/>
      <c r="WQD45" s="30"/>
      <c r="WQE45" s="31"/>
      <c r="WQF45" s="30"/>
      <c r="WQG45" s="31"/>
      <c r="WQH45" s="30"/>
      <c r="WQI45" s="31"/>
      <c r="WQJ45" s="30"/>
      <c r="WQK45" s="31"/>
      <c r="WQL45" s="30"/>
      <c r="WQM45" s="31"/>
      <c r="WQN45" s="30"/>
      <c r="WQO45" s="31"/>
      <c r="WQP45" s="30"/>
      <c r="WQQ45" s="31"/>
      <c r="WQR45" s="30"/>
      <c r="WQS45" s="31"/>
      <c r="WQT45" s="30"/>
      <c r="WQU45" s="31"/>
      <c r="WQV45" s="30"/>
      <c r="WQW45" s="31"/>
      <c r="WQX45" s="30"/>
      <c r="WQY45" s="31"/>
      <c r="WQZ45" s="30"/>
      <c r="WRA45" s="31"/>
      <c r="WRB45" s="30"/>
      <c r="WRC45" s="31"/>
      <c r="WRD45" s="30"/>
      <c r="WRE45" s="31"/>
      <c r="WRF45" s="30"/>
      <c r="WRG45" s="31"/>
      <c r="WRH45" s="30"/>
      <c r="WRI45" s="31"/>
      <c r="WRJ45" s="30"/>
      <c r="WRK45" s="31"/>
      <c r="WRL45" s="30"/>
      <c r="WRM45" s="31"/>
      <c r="WRN45" s="30"/>
      <c r="WRO45" s="31"/>
      <c r="WRP45" s="30"/>
      <c r="WRQ45" s="31"/>
      <c r="WRR45" s="30"/>
      <c r="WRS45" s="31"/>
      <c r="WRT45" s="30"/>
      <c r="WRU45" s="31"/>
      <c r="WRV45" s="30"/>
      <c r="WRW45" s="31"/>
      <c r="WRX45" s="30"/>
      <c r="WRY45" s="31"/>
      <c r="WRZ45" s="30"/>
      <c r="WSA45" s="31"/>
      <c r="WSB45" s="30"/>
      <c r="WSC45" s="31"/>
      <c r="WSD45" s="30"/>
      <c r="WSE45" s="31"/>
      <c r="WSF45" s="30"/>
      <c r="WSG45" s="31"/>
      <c r="WSH45" s="30"/>
      <c r="WSI45" s="31"/>
      <c r="WSJ45" s="30"/>
      <c r="WSK45" s="31"/>
      <c r="WSL45" s="30"/>
      <c r="WSM45" s="31"/>
      <c r="WSN45" s="30"/>
      <c r="WSO45" s="31"/>
      <c r="WSP45" s="30"/>
      <c r="WSQ45" s="31"/>
      <c r="WSR45" s="30"/>
      <c r="WSS45" s="31"/>
      <c r="WST45" s="30"/>
      <c r="WSU45" s="31"/>
      <c r="WSV45" s="30"/>
      <c r="WSW45" s="31"/>
      <c r="WSX45" s="30"/>
      <c r="WSY45" s="31"/>
      <c r="WSZ45" s="30"/>
      <c r="WTA45" s="31"/>
      <c r="WTB45" s="30"/>
      <c r="WTC45" s="31"/>
      <c r="WTD45" s="30"/>
      <c r="WTE45" s="31"/>
      <c r="WTF45" s="30"/>
      <c r="WTG45" s="31"/>
      <c r="WTH45" s="30"/>
      <c r="WTI45" s="31"/>
      <c r="WTJ45" s="30"/>
      <c r="WTK45" s="31"/>
      <c r="WTL45" s="30"/>
      <c r="WTM45" s="31"/>
      <c r="WTN45" s="30"/>
      <c r="WTO45" s="31"/>
      <c r="WTP45" s="30"/>
      <c r="WTQ45" s="31"/>
      <c r="WTR45" s="30"/>
      <c r="WTS45" s="31"/>
      <c r="WTT45" s="30"/>
      <c r="WTU45" s="31"/>
      <c r="WTV45" s="30"/>
      <c r="WTW45" s="31"/>
      <c r="WTX45" s="30"/>
      <c r="WTY45" s="31"/>
      <c r="WTZ45" s="30"/>
      <c r="WUA45" s="31"/>
      <c r="WUB45" s="30"/>
      <c r="WUC45" s="31"/>
      <c r="WUD45" s="30"/>
      <c r="WUE45" s="31"/>
      <c r="WUF45" s="30"/>
      <c r="WUG45" s="31"/>
      <c r="WUH45" s="30"/>
      <c r="WUI45" s="31"/>
      <c r="WUJ45" s="30"/>
      <c r="WUK45" s="31"/>
      <c r="WUL45" s="30"/>
      <c r="WUM45" s="31"/>
      <c r="WUN45" s="30"/>
      <c r="WUO45" s="31"/>
      <c r="WUP45" s="30"/>
      <c r="WUQ45" s="31"/>
      <c r="WUR45" s="30"/>
      <c r="WUS45" s="31"/>
      <c r="WUT45" s="30"/>
      <c r="WUU45" s="31"/>
      <c r="WUV45" s="30"/>
      <c r="WUW45" s="31"/>
      <c r="WUX45" s="30"/>
      <c r="WUY45" s="31"/>
      <c r="WUZ45" s="30"/>
      <c r="WVA45" s="31"/>
      <c r="WVB45" s="30"/>
      <c r="WVC45" s="31"/>
      <c r="WVD45" s="30"/>
      <c r="WVE45" s="31"/>
      <c r="WVF45" s="30"/>
      <c r="WVG45" s="31"/>
      <c r="WVH45" s="30"/>
      <c r="WVI45" s="31"/>
      <c r="WVJ45" s="30"/>
      <c r="WVK45" s="31"/>
      <c r="WVL45" s="30"/>
      <c r="WVM45" s="31"/>
      <c r="WVN45" s="30"/>
      <c r="WVO45" s="31"/>
      <c r="WVP45" s="30"/>
      <c r="WVQ45" s="31"/>
      <c r="WVR45" s="30"/>
      <c r="WVS45" s="31"/>
      <c r="WVT45" s="30"/>
      <c r="WVU45" s="31"/>
      <c r="WVV45" s="30"/>
      <c r="WVW45" s="31"/>
      <c r="WVX45" s="30"/>
      <c r="WVY45" s="31"/>
      <c r="WVZ45" s="30"/>
      <c r="WWA45" s="31"/>
      <c r="WWB45" s="30"/>
      <c r="WWC45" s="31"/>
      <c r="WWD45" s="30"/>
      <c r="WWE45" s="31"/>
      <c r="WWF45" s="30"/>
      <c r="WWG45" s="31"/>
      <c r="WWH45" s="30"/>
      <c r="WWI45" s="31"/>
      <c r="WWJ45" s="30"/>
      <c r="WWK45" s="31"/>
      <c r="WWL45" s="30"/>
      <c r="WWM45" s="31"/>
      <c r="WWN45" s="30"/>
      <c r="WWO45" s="31"/>
      <c r="WWP45" s="30"/>
      <c r="WWQ45" s="31"/>
      <c r="WWR45" s="30"/>
      <c r="WWS45" s="31"/>
      <c r="WWT45" s="30"/>
      <c r="WWU45" s="31"/>
      <c r="WWV45" s="30"/>
      <c r="WWW45" s="31"/>
      <c r="WWX45" s="30"/>
      <c r="WWY45" s="31"/>
      <c r="WWZ45" s="30"/>
      <c r="WXA45" s="31"/>
      <c r="WXB45" s="30"/>
      <c r="WXC45" s="31"/>
      <c r="WXD45" s="30"/>
      <c r="WXE45" s="31"/>
      <c r="WXF45" s="30"/>
      <c r="WXG45" s="31"/>
      <c r="WXH45" s="30"/>
      <c r="WXI45" s="31"/>
      <c r="WXJ45" s="30"/>
      <c r="WXK45" s="31"/>
      <c r="WXL45" s="30"/>
      <c r="WXM45" s="31"/>
      <c r="WXN45" s="30"/>
      <c r="WXO45" s="31"/>
      <c r="WXP45" s="30"/>
      <c r="WXQ45" s="31"/>
      <c r="WXR45" s="30"/>
      <c r="WXS45" s="31"/>
      <c r="WXT45" s="30"/>
      <c r="WXU45" s="31"/>
      <c r="WXV45" s="30"/>
      <c r="WXW45" s="31"/>
      <c r="WXX45" s="30"/>
      <c r="WXY45" s="31"/>
      <c r="WXZ45" s="30"/>
      <c r="WYA45" s="31"/>
      <c r="WYB45" s="30"/>
      <c r="WYC45" s="31"/>
      <c r="WYD45" s="30"/>
      <c r="WYE45" s="31"/>
      <c r="WYF45" s="30"/>
      <c r="WYG45" s="31"/>
      <c r="WYH45" s="30"/>
      <c r="WYI45" s="31"/>
      <c r="WYJ45" s="30"/>
      <c r="WYK45" s="31"/>
      <c r="WYL45" s="30"/>
      <c r="WYM45" s="31"/>
      <c r="WYN45" s="30"/>
      <c r="WYO45" s="31"/>
      <c r="WYP45" s="30"/>
      <c r="WYQ45" s="31"/>
      <c r="WYR45" s="30"/>
      <c r="WYS45" s="31"/>
      <c r="WYT45" s="30"/>
      <c r="WYU45" s="31"/>
      <c r="WYV45" s="30"/>
      <c r="WYW45" s="31"/>
      <c r="WYX45" s="30"/>
      <c r="WYY45" s="31"/>
      <c r="WYZ45" s="30"/>
      <c r="WZA45" s="31"/>
      <c r="WZB45" s="30"/>
      <c r="WZC45" s="31"/>
      <c r="WZD45" s="30"/>
      <c r="WZE45" s="31"/>
      <c r="WZF45" s="30"/>
      <c r="WZG45" s="31"/>
      <c r="WZH45" s="30"/>
      <c r="WZI45" s="31"/>
      <c r="WZJ45" s="30"/>
      <c r="WZK45" s="31"/>
      <c r="WZL45" s="30"/>
      <c r="WZM45" s="31"/>
      <c r="WZN45" s="30"/>
      <c r="WZO45" s="31"/>
      <c r="WZP45" s="30"/>
      <c r="WZQ45" s="31"/>
      <c r="WZR45" s="30"/>
      <c r="WZS45" s="31"/>
      <c r="WZT45" s="30"/>
      <c r="WZU45" s="31"/>
      <c r="WZV45" s="30"/>
      <c r="WZW45" s="31"/>
      <c r="WZX45" s="30"/>
      <c r="WZY45" s="31"/>
      <c r="WZZ45" s="30"/>
      <c r="XAA45" s="31"/>
      <c r="XAB45" s="30"/>
      <c r="XAC45" s="31"/>
      <c r="XAD45" s="30"/>
      <c r="XAE45" s="31"/>
      <c r="XAF45" s="30"/>
      <c r="XAG45" s="31"/>
      <c r="XAH45" s="30"/>
      <c r="XAI45" s="31"/>
      <c r="XAJ45" s="30"/>
      <c r="XAK45" s="31"/>
      <c r="XAL45" s="30"/>
      <c r="XAM45" s="31"/>
      <c r="XAN45" s="30"/>
      <c r="XAO45" s="31"/>
      <c r="XAP45" s="30"/>
      <c r="XAQ45" s="31"/>
      <c r="XAR45" s="30"/>
      <c r="XAS45" s="31"/>
      <c r="XAT45" s="30"/>
      <c r="XAU45" s="31"/>
      <c r="XAV45" s="30"/>
      <c r="XAW45" s="31"/>
      <c r="XAX45" s="30"/>
      <c r="XAY45" s="31"/>
      <c r="XAZ45" s="30"/>
      <c r="XBA45" s="31"/>
      <c r="XBB45" s="30"/>
      <c r="XBC45" s="31"/>
      <c r="XBD45" s="30"/>
      <c r="XBE45" s="31"/>
      <c r="XBF45" s="30"/>
      <c r="XBG45" s="31"/>
      <c r="XBH45" s="30"/>
      <c r="XBI45" s="31"/>
      <c r="XBJ45" s="30"/>
      <c r="XBK45" s="31"/>
      <c r="XBL45" s="30"/>
      <c r="XBM45" s="31"/>
      <c r="XBN45" s="30"/>
      <c r="XBO45" s="31"/>
      <c r="XBP45" s="30"/>
      <c r="XBQ45" s="31"/>
      <c r="XBR45" s="30"/>
      <c r="XBS45" s="31"/>
      <c r="XBT45" s="30"/>
      <c r="XBU45" s="31"/>
      <c r="XBV45" s="30"/>
      <c r="XBW45" s="31"/>
      <c r="XBX45" s="30"/>
      <c r="XBY45" s="31"/>
      <c r="XBZ45" s="30"/>
      <c r="XCA45" s="31"/>
      <c r="XCB45" s="30"/>
      <c r="XCC45" s="31"/>
      <c r="XCD45" s="30"/>
      <c r="XCE45" s="31"/>
      <c r="XCF45" s="30"/>
      <c r="XCG45" s="31"/>
      <c r="XCH45" s="30"/>
      <c r="XCI45" s="31"/>
      <c r="XCJ45" s="30"/>
      <c r="XCK45" s="31"/>
      <c r="XCL45" s="30"/>
      <c r="XCM45" s="31"/>
      <c r="XCN45" s="30"/>
      <c r="XCO45" s="31"/>
      <c r="XCP45" s="30"/>
      <c r="XCQ45" s="31"/>
      <c r="XCR45" s="30"/>
      <c r="XCS45" s="31"/>
      <c r="XCT45" s="30"/>
      <c r="XCU45" s="31"/>
      <c r="XCV45" s="30"/>
      <c r="XCW45" s="31"/>
      <c r="XCX45" s="30"/>
      <c r="XCY45" s="31"/>
      <c r="XCZ45" s="30"/>
      <c r="XDA45" s="31"/>
      <c r="XDB45" s="30"/>
      <c r="XDC45" s="31"/>
      <c r="XDD45" s="30"/>
      <c r="XDE45" s="31"/>
      <c r="XDF45" s="30"/>
      <c r="XDG45" s="31"/>
      <c r="XDH45" s="30"/>
      <c r="XDI45" s="31"/>
      <c r="XDJ45" s="30"/>
      <c r="XDK45" s="31"/>
      <c r="XDL45" s="30"/>
      <c r="XDM45" s="31"/>
      <c r="XDN45" s="30"/>
      <c r="XDO45" s="31"/>
      <c r="XDP45" s="30"/>
      <c r="XDQ45" s="31"/>
      <c r="XDR45" s="30"/>
      <c r="XDS45" s="31"/>
      <c r="XDT45" s="30"/>
      <c r="XDU45" s="31"/>
      <c r="XDV45" s="30"/>
      <c r="XDW45" s="31"/>
      <c r="XDX45" s="30"/>
      <c r="XDY45" s="31"/>
      <c r="XDZ45" s="30"/>
      <c r="XEA45" s="31"/>
      <c r="XEB45" s="30"/>
      <c r="XEC45" s="31"/>
      <c r="XED45" s="30"/>
      <c r="XEE45" s="31"/>
      <c r="XEF45" s="30"/>
      <c r="XEG45" s="31"/>
      <c r="XEH45" s="30"/>
      <c r="XEI45" s="31"/>
      <c r="XEJ45" s="30"/>
      <c r="XEK45" s="31"/>
      <c r="XEL45" s="30"/>
      <c r="XEM45" s="31"/>
      <c r="XEN45" s="30"/>
      <c r="XEO45" s="31"/>
      <c r="XEP45" s="30"/>
      <c r="XEQ45" s="31"/>
      <c r="XER45" s="30"/>
      <c r="XES45" s="31"/>
      <c r="XET45" s="30"/>
    </row>
    <row r="46" spans="2:16374" s="28" customFormat="1" ht="17" thickBot="1">
      <c r="B46" s="190"/>
      <c r="C46" s="34" t="s">
        <v>1</v>
      </c>
      <c r="D46" s="195">
        <f>LN(D45/参数实验室!$E$58)/参数实验室!$E$59</f>
        <v>2.7601150823867234E-3</v>
      </c>
      <c r="E46" s="196" t="s">
        <v>19</v>
      </c>
      <c r="F46" s="34"/>
      <c r="G46" s="34"/>
      <c r="H46" s="34"/>
      <c r="I46" s="191"/>
      <c r="J46" s="31"/>
      <c r="K46" s="189"/>
      <c r="L46" s="42"/>
      <c r="M46" s="189"/>
      <c r="N46" s="42"/>
      <c r="O46" s="189"/>
      <c r="P46" s="31"/>
      <c r="Q46" s="205"/>
      <c r="R46" s="182" t="s">
        <v>171</v>
      </c>
      <c r="S46" s="183" t="s">
        <v>172</v>
      </c>
      <c r="T46" s="183" t="s">
        <v>173</v>
      </c>
      <c r="U46" s="183" t="s">
        <v>174</v>
      </c>
      <c r="V46" s="183" t="s">
        <v>169</v>
      </c>
      <c r="W46" s="183" t="s">
        <v>170</v>
      </c>
      <c r="X46" s="183" t="s">
        <v>175</v>
      </c>
      <c r="Y46" s="183" t="s">
        <v>176</v>
      </c>
      <c r="Z46" s="183" t="s">
        <v>177</v>
      </c>
      <c r="AA46" s="183" t="s">
        <v>183</v>
      </c>
      <c r="AB46" s="183" t="s">
        <v>184</v>
      </c>
      <c r="AC46" s="183" t="s">
        <v>178</v>
      </c>
      <c r="AD46" s="184" t="s">
        <v>179</v>
      </c>
      <c r="AE46" s="205"/>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1"/>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c r="TW46" s="31"/>
      <c r="TX46" s="31"/>
      <c r="TY46" s="31"/>
      <c r="TZ46" s="31"/>
      <c r="UA46" s="31"/>
      <c r="UB46" s="31"/>
      <c r="UC46" s="31"/>
      <c r="UD46" s="31"/>
      <c r="UE46" s="31"/>
      <c r="UF46" s="31"/>
      <c r="UG46" s="31"/>
      <c r="UH46" s="31"/>
      <c r="UI46" s="31"/>
      <c r="UJ46" s="31"/>
      <c r="UK46" s="31"/>
      <c r="UL46" s="31"/>
      <c r="UM46" s="31"/>
      <c r="UN46" s="31"/>
      <c r="UO46" s="31"/>
      <c r="UP46" s="31"/>
      <c r="UQ46" s="31"/>
      <c r="UR46" s="31"/>
      <c r="US46" s="31"/>
      <c r="UT46" s="31"/>
      <c r="UU46" s="31"/>
      <c r="UV46" s="31"/>
      <c r="UW46" s="31"/>
      <c r="UX46" s="31"/>
      <c r="UY46" s="31"/>
      <c r="UZ46" s="31"/>
      <c r="VA46" s="31"/>
      <c r="VB46" s="31"/>
      <c r="VC46" s="31"/>
      <c r="VD46" s="31"/>
      <c r="VE46" s="31"/>
      <c r="VF46" s="31"/>
      <c r="VG46" s="31"/>
      <c r="VH46" s="31"/>
      <c r="VI46" s="31"/>
      <c r="VJ46" s="31"/>
      <c r="VK46" s="31"/>
      <c r="VL46" s="31"/>
      <c r="VM46" s="31"/>
      <c r="VN46" s="31"/>
      <c r="VO46" s="31"/>
      <c r="VP46" s="31"/>
      <c r="VQ46" s="31"/>
      <c r="VR46" s="31"/>
      <c r="VS46" s="31"/>
      <c r="VT46" s="31"/>
      <c r="VU46" s="31"/>
      <c r="VV46" s="31"/>
      <c r="VW46" s="31"/>
      <c r="VX46" s="31"/>
      <c r="VY46" s="31"/>
      <c r="VZ46" s="31"/>
      <c r="WA46" s="31"/>
      <c r="WB46" s="31"/>
      <c r="WC46" s="31"/>
      <c r="WD46" s="31"/>
      <c r="WE46" s="31"/>
      <c r="WF46" s="31"/>
      <c r="WG46" s="31"/>
      <c r="WH46" s="31"/>
      <c r="WI46" s="31"/>
      <c r="WJ46" s="31"/>
      <c r="WK46" s="31"/>
      <c r="WL46" s="31"/>
      <c r="WM46" s="31"/>
      <c r="WN46" s="31"/>
      <c r="WO46" s="31"/>
      <c r="WP46" s="31"/>
      <c r="WQ46" s="31"/>
      <c r="WR46" s="31"/>
      <c r="WS46" s="31"/>
      <c r="WT46" s="31"/>
      <c r="WU46" s="31"/>
      <c r="WV46" s="31"/>
      <c r="WW46" s="31"/>
      <c r="WX46" s="31"/>
      <c r="WY46" s="31"/>
      <c r="WZ46" s="31"/>
      <c r="XA46" s="31"/>
      <c r="XB46" s="31"/>
      <c r="XC46" s="31"/>
      <c r="XD46" s="31"/>
      <c r="XE46" s="31"/>
      <c r="XF46" s="31"/>
      <c r="XG46" s="31"/>
      <c r="XH46" s="31"/>
      <c r="XI46" s="31"/>
      <c r="XJ46" s="31"/>
      <c r="XK46" s="31"/>
      <c r="XL46" s="31"/>
      <c r="XM46" s="31"/>
      <c r="XN46" s="31"/>
      <c r="XO46" s="31"/>
      <c r="XP46" s="31"/>
      <c r="XQ46" s="31"/>
      <c r="XR46" s="31"/>
      <c r="XS46" s="31"/>
      <c r="XT46" s="31"/>
      <c r="XU46" s="31"/>
      <c r="XV46" s="31"/>
      <c r="XW46" s="31"/>
      <c r="XX46" s="31"/>
      <c r="XY46" s="31"/>
      <c r="XZ46" s="31"/>
      <c r="YA46" s="31"/>
      <c r="YB46" s="31"/>
      <c r="YC46" s="31"/>
      <c r="YD46" s="31"/>
      <c r="YE46" s="31"/>
      <c r="YF46" s="31"/>
      <c r="YG46" s="31"/>
      <c r="YH46" s="31"/>
      <c r="YI46" s="31"/>
      <c r="YJ46" s="31"/>
      <c r="YK46" s="31"/>
      <c r="YL46" s="31"/>
      <c r="YM46" s="31"/>
      <c r="YN46" s="31"/>
      <c r="YO46" s="31"/>
      <c r="YP46" s="31"/>
      <c r="YQ46" s="31"/>
      <c r="YR46" s="31"/>
      <c r="YS46" s="31"/>
      <c r="YT46" s="31"/>
      <c r="YU46" s="31"/>
      <c r="YV46" s="31"/>
      <c r="YW46" s="31"/>
      <c r="YX46" s="31"/>
      <c r="YY46" s="31"/>
      <c r="YZ46" s="31"/>
      <c r="ZA46" s="31"/>
      <c r="ZB46" s="31"/>
      <c r="ZC46" s="31"/>
      <c r="ZD46" s="31"/>
      <c r="ZE46" s="31"/>
      <c r="ZF46" s="31"/>
      <c r="ZG46" s="31"/>
      <c r="ZH46" s="31"/>
      <c r="ZI46" s="31"/>
      <c r="ZJ46" s="31"/>
      <c r="ZK46" s="31"/>
      <c r="ZL46" s="31"/>
      <c r="ZM46" s="31"/>
      <c r="ZN46" s="31"/>
      <c r="ZO46" s="31"/>
      <c r="ZP46" s="31"/>
      <c r="ZQ46" s="31"/>
      <c r="ZR46" s="31"/>
      <c r="ZS46" s="31"/>
      <c r="ZT46" s="31"/>
      <c r="ZU46" s="31"/>
      <c r="ZV46" s="31"/>
      <c r="ZW46" s="31"/>
      <c r="ZX46" s="31"/>
      <c r="ZY46" s="31"/>
      <c r="ZZ46" s="31"/>
      <c r="AAA46" s="31"/>
      <c r="AAB46" s="31"/>
      <c r="AAC46" s="31"/>
      <c r="AAD46" s="31"/>
      <c r="AAE46" s="31"/>
      <c r="AAF46" s="31"/>
      <c r="AAG46" s="31"/>
      <c r="AAH46" s="31"/>
      <c r="AAI46" s="31"/>
      <c r="AAJ46" s="31"/>
      <c r="AAK46" s="31"/>
      <c r="AAL46" s="31"/>
      <c r="AAM46" s="31"/>
      <c r="AAN46" s="31"/>
      <c r="AAO46" s="31"/>
      <c r="AAP46" s="31"/>
      <c r="AAQ46" s="31"/>
      <c r="AAR46" s="31"/>
      <c r="AAS46" s="31"/>
      <c r="AAT46" s="31"/>
      <c r="AAU46" s="31"/>
      <c r="AAV46" s="31"/>
      <c r="AAW46" s="31"/>
      <c r="AAX46" s="31"/>
      <c r="AAY46" s="31"/>
      <c r="AAZ46" s="31"/>
      <c r="ABA46" s="31"/>
      <c r="ABB46" s="31"/>
      <c r="ABC46" s="31"/>
      <c r="ABD46" s="31"/>
      <c r="ABE46" s="31"/>
      <c r="ABF46" s="31"/>
      <c r="ABG46" s="31"/>
      <c r="ABH46" s="31"/>
      <c r="ABI46" s="31"/>
      <c r="ABJ46" s="31"/>
      <c r="ABK46" s="31"/>
      <c r="ABL46" s="31"/>
      <c r="ABM46" s="31"/>
      <c r="ABN46" s="31"/>
      <c r="ABO46" s="31"/>
      <c r="ABP46" s="31"/>
      <c r="ABQ46" s="31"/>
      <c r="ABR46" s="31"/>
      <c r="ABS46" s="31"/>
      <c r="ABT46" s="31"/>
      <c r="ABU46" s="31"/>
      <c r="ABV46" s="31"/>
      <c r="ABW46" s="31"/>
      <c r="ABX46" s="31"/>
      <c r="ABY46" s="31"/>
      <c r="ABZ46" s="31"/>
      <c r="ACA46" s="31"/>
      <c r="ACB46" s="31"/>
      <c r="ACC46" s="31"/>
      <c r="ACD46" s="31"/>
      <c r="ACE46" s="31"/>
      <c r="ACF46" s="31"/>
      <c r="ACG46" s="31"/>
      <c r="ACH46" s="31"/>
      <c r="ACI46" s="31"/>
      <c r="ACJ46" s="31"/>
      <c r="ACK46" s="31"/>
      <c r="ACL46" s="31"/>
      <c r="ACM46" s="31"/>
      <c r="ACN46" s="31"/>
      <c r="ACO46" s="31"/>
      <c r="ACP46" s="31"/>
      <c r="ACQ46" s="31"/>
      <c r="ACR46" s="31"/>
      <c r="ACS46" s="31"/>
      <c r="ACT46" s="31"/>
      <c r="ACU46" s="31"/>
      <c r="ACV46" s="31"/>
      <c r="ACW46" s="31"/>
      <c r="ACX46" s="31"/>
      <c r="ACY46" s="31"/>
      <c r="ACZ46" s="31"/>
      <c r="ADA46" s="31"/>
      <c r="ADB46" s="31"/>
      <c r="ADC46" s="31"/>
      <c r="ADD46" s="31"/>
      <c r="ADE46" s="31"/>
      <c r="ADF46" s="31"/>
      <c r="ADG46" s="31"/>
      <c r="ADH46" s="31"/>
      <c r="ADI46" s="31"/>
      <c r="ADJ46" s="31"/>
      <c r="ADK46" s="31"/>
      <c r="ADL46" s="31"/>
      <c r="ADM46" s="31"/>
      <c r="ADN46" s="31"/>
      <c r="ADO46" s="31"/>
      <c r="ADP46" s="31"/>
      <c r="ADQ46" s="31"/>
      <c r="ADR46" s="31"/>
      <c r="ADS46" s="31"/>
      <c r="ADT46" s="31"/>
      <c r="ADU46" s="31"/>
      <c r="ADV46" s="31"/>
      <c r="ADW46" s="31"/>
      <c r="ADX46" s="31"/>
      <c r="ADY46" s="31"/>
      <c r="ADZ46" s="31"/>
      <c r="AEA46" s="31"/>
      <c r="AEB46" s="31"/>
      <c r="AEC46" s="31"/>
      <c r="AED46" s="31"/>
      <c r="AEE46" s="31"/>
      <c r="AEF46" s="31"/>
      <c r="AEG46" s="31"/>
      <c r="AEH46" s="31"/>
      <c r="AEI46" s="31"/>
      <c r="AEJ46" s="31"/>
      <c r="AEK46" s="31"/>
      <c r="AEL46" s="31"/>
      <c r="AEM46" s="31"/>
      <c r="AEN46" s="31"/>
      <c r="AEO46" s="31"/>
      <c r="AEP46" s="31"/>
      <c r="AEQ46" s="31"/>
      <c r="AER46" s="31"/>
      <c r="AES46" s="31"/>
      <c r="AET46" s="31"/>
      <c r="AEU46" s="31"/>
      <c r="AEV46" s="31"/>
      <c r="AEW46" s="31"/>
      <c r="AEX46" s="31"/>
      <c r="AEY46" s="31"/>
      <c r="AEZ46" s="31"/>
      <c r="AFA46" s="31"/>
      <c r="AFB46" s="31"/>
      <c r="AFC46" s="31"/>
      <c r="AFD46" s="31"/>
      <c r="AFE46" s="31"/>
      <c r="AFF46" s="31"/>
      <c r="AFG46" s="31"/>
      <c r="AFH46" s="31"/>
      <c r="AFI46" s="31"/>
      <c r="AFJ46" s="31"/>
      <c r="AFK46" s="31"/>
      <c r="AFL46" s="31"/>
      <c r="AFM46" s="31"/>
      <c r="AFN46" s="31"/>
      <c r="AFO46" s="31"/>
      <c r="AFP46" s="31"/>
      <c r="AFQ46" s="31"/>
      <c r="AFR46" s="31"/>
      <c r="AFS46" s="31"/>
      <c r="AFT46" s="31"/>
      <c r="AFU46" s="31"/>
      <c r="AFV46" s="31"/>
      <c r="AFW46" s="31"/>
      <c r="AFX46" s="31"/>
      <c r="AFY46" s="31"/>
      <c r="AFZ46" s="31"/>
      <c r="AGA46" s="31"/>
      <c r="AGB46" s="31"/>
      <c r="AGC46" s="31"/>
      <c r="AGD46" s="31"/>
      <c r="AGE46" s="31"/>
      <c r="AGF46" s="31"/>
      <c r="AGG46" s="31"/>
      <c r="AGH46" s="31"/>
      <c r="AGI46" s="31"/>
      <c r="AGJ46" s="31"/>
      <c r="AGK46" s="31"/>
      <c r="AGL46" s="31"/>
      <c r="AGM46" s="31"/>
      <c r="AGN46" s="31"/>
      <c r="AGO46" s="31"/>
      <c r="AGP46" s="31"/>
      <c r="AGQ46" s="31"/>
      <c r="AGR46" s="31"/>
      <c r="AGS46" s="31"/>
      <c r="AGT46" s="31"/>
      <c r="AGU46" s="31"/>
      <c r="AGV46" s="31"/>
      <c r="AGW46" s="31"/>
      <c r="AGX46" s="31"/>
      <c r="AGY46" s="31"/>
      <c r="AGZ46" s="31"/>
      <c r="AHA46" s="31"/>
      <c r="AHB46" s="31"/>
      <c r="AHC46" s="31"/>
      <c r="AHD46" s="31"/>
      <c r="AHE46" s="31"/>
      <c r="AHF46" s="31"/>
      <c r="AHG46" s="31"/>
      <c r="AHH46" s="31"/>
      <c r="AHI46" s="31"/>
      <c r="AHJ46" s="31"/>
      <c r="AHK46" s="31"/>
      <c r="AHL46" s="31"/>
      <c r="AHM46" s="31"/>
      <c r="AHN46" s="31"/>
      <c r="AHO46" s="31"/>
      <c r="AHP46" s="31"/>
      <c r="AHQ46" s="31"/>
      <c r="AHR46" s="31"/>
      <c r="AHS46" s="31"/>
      <c r="AHT46" s="31"/>
      <c r="AHU46" s="31"/>
      <c r="AHV46" s="31"/>
      <c r="AHW46" s="31"/>
      <c r="AHX46" s="31"/>
      <c r="AHY46" s="31"/>
      <c r="AHZ46" s="31"/>
      <c r="AIA46" s="31"/>
      <c r="AIB46" s="31"/>
      <c r="AIC46" s="31"/>
      <c r="AID46" s="31"/>
      <c r="AIE46" s="31"/>
      <c r="AIF46" s="31"/>
      <c r="AIG46" s="31"/>
      <c r="AIH46" s="31"/>
      <c r="AII46" s="31"/>
      <c r="AIJ46" s="31"/>
      <c r="AIK46" s="31"/>
      <c r="AIL46" s="31"/>
      <c r="AIM46" s="31"/>
      <c r="AIN46" s="31"/>
      <c r="AIO46" s="31"/>
      <c r="AIP46" s="31"/>
      <c r="AIQ46" s="31"/>
      <c r="AIR46" s="31"/>
      <c r="AIS46" s="31"/>
      <c r="AIT46" s="31"/>
      <c r="AIU46" s="31"/>
      <c r="AIV46" s="31"/>
      <c r="AIW46" s="31"/>
      <c r="AIX46" s="31"/>
      <c r="AIY46" s="31"/>
      <c r="AIZ46" s="31"/>
      <c r="AJA46" s="31"/>
      <c r="AJB46" s="31"/>
      <c r="AJC46" s="31"/>
      <c r="AJD46" s="31"/>
      <c r="AJE46" s="31"/>
      <c r="AJF46" s="31"/>
      <c r="AJG46" s="31"/>
      <c r="AJH46" s="31"/>
      <c r="AJI46" s="31"/>
      <c r="AJJ46" s="31"/>
      <c r="AJK46" s="31"/>
      <c r="AJL46" s="31"/>
      <c r="AJM46" s="31"/>
      <c r="AJN46" s="31"/>
      <c r="AJO46" s="31"/>
      <c r="AJP46" s="31"/>
      <c r="AJQ46" s="31"/>
      <c r="AJR46" s="31"/>
      <c r="AJS46" s="31"/>
      <c r="AJT46" s="31"/>
      <c r="AJU46" s="31"/>
      <c r="AJV46" s="31"/>
      <c r="AJW46" s="31"/>
      <c r="AJX46" s="31"/>
      <c r="AJY46" s="31"/>
      <c r="AJZ46" s="31"/>
      <c r="AKA46" s="31"/>
      <c r="AKB46" s="31"/>
      <c r="AKC46" s="31"/>
      <c r="AKD46" s="31"/>
      <c r="AKE46" s="31"/>
      <c r="AKF46" s="31"/>
      <c r="AKG46" s="31"/>
      <c r="AKH46" s="31"/>
      <c r="AKI46" s="31"/>
      <c r="AKJ46" s="31"/>
      <c r="AKK46" s="31"/>
      <c r="AKL46" s="31"/>
      <c r="AKM46" s="31"/>
      <c r="AKN46" s="31"/>
      <c r="AKO46" s="31"/>
      <c r="AKP46" s="31"/>
      <c r="AKQ46" s="31"/>
      <c r="AKR46" s="31"/>
      <c r="AKS46" s="31"/>
      <c r="AKT46" s="31"/>
      <c r="AKU46" s="31"/>
      <c r="AKV46" s="31"/>
      <c r="AKW46" s="31"/>
      <c r="AKX46" s="31"/>
      <c r="AKY46" s="31"/>
      <c r="AKZ46" s="31"/>
      <c r="ALA46" s="31"/>
      <c r="ALB46" s="31"/>
      <c r="ALC46" s="31"/>
      <c r="ALD46" s="31"/>
      <c r="ALE46" s="31"/>
      <c r="ALF46" s="31"/>
      <c r="ALG46" s="31"/>
      <c r="ALH46" s="31"/>
      <c r="ALI46" s="31"/>
      <c r="ALJ46" s="31"/>
      <c r="ALK46" s="31"/>
      <c r="ALL46" s="31"/>
      <c r="ALM46" s="31"/>
      <c r="ALN46" s="31"/>
      <c r="ALO46" s="31"/>
      <c r="ALP46" s="31"/>
      <c r="ALQ46" s="31"/>
      <c r="ALR46" s="31"/>
      <c r="ALS46" s="31"/>
      <c r="ALT46" s="31"/>
      <c r="ALU46" s="31"/>
      <c r="ALV46" s="31"/>
      <c r="ALW46" s="31"/>
      <c r="ALX46" s="31"/>
      <c r="ALY46" s="31"/>
      <c r="ALZ46" s="31"/>
      <c r="AMA46" s="31"/>
      <c r="AMB46" s="31"/>
      <c r="AMC46" s="31"/>
      <c r="AMD46" s="31"/>
      <c r="AME46" s="31"/>
      <c r="AMF46" s="31"/>
      <c r="AMG46" s="31"/>
      <c r="AMH46" s="31"/>
      <c r="AMI46" s="31"/>
      <c r="AMJ46" s="31"/>
      <c r="AMK46" s="31"/>
      <c r="AML46" s="31"/>
      <c r="AMM46" s="31"/>
      <c r="AMN46" s="31"/>
      <c r="AMO46" s="31"/>
      <c r="AMP46" s="31"/>
      <c r="AMQ46" s="31"/>
      <c r="AMR46" s="31"/>
      <c r="AMS46" s="31"/>
      <c r="AMT46" s="31"/>
      <c r="AMU46" s="31"/>
      <c r="AMV46" s="31"/>
      <c r="AMW46" s="31"/>
      <c r="AMX46" s="31"/>
      <c r="AMY46" s="31"/>
      <c r="AMZ46" s="31"/>
      <c r="ANA46" s="31"/>
      <c r="ANB46" s="31"/>
      <c r="ANC46" s="31"/>
      <c r="AND46" s="31"/>
      <c r="ANE46" s="31"/>
      <c r="ANF46" s="31"/>
      <c r="ANG46" s="31"/>
      <c r="ANH46" s="31"/>
      <c r="ANI46" s="31"/>
      <c r="ANJ46" s="31"/>
      <c r="ANK46" s="31"/>
      <c r="ANL46" s="31"/>
      <c r="ANM46" s="31"/>
      <c r="ANN46" s="31"/>
      <c r="ANO46" s="31"/>
      <c r="ANP46" s="31"/>
      <c r="ANQ46" s="31"/>
      <c r="ANR46" s="31"/>
      <c r="ANS46" s="31"/>
      <c r="ANT46" s="31"/>
      <c r="ANU46" s="31"/>
      <c r="ANV46" s="31"/>
      <c r="ANW46" s="31"/>
      <c r="ANX46" s="31"/>
      <c r="ANY46" s="31"/>
      <c r="ANZ46" s="31"/>
      <c r="AOA46" s="31"/>
      <c r="AOB46" s="31"/>
      <c r="AOC46" s="31"/>
      <c r="AOD46" s="31"/>
      <c r="AOE46" s="31"/>
      <c r="AOF46" s="31"/>
      <c r="AOG46" s="31"/>
      <c r="AOH46" s="31"/>
      <c r="AOI46" s="31"/>
      <c r="AOJ46" s="31"/>
      <c r="AOK46" s="31"/>
      <c r="AOL46" s="31"/>
      <c r="AOM46" s="31"/>
      <c r="AON46" s="31"/>
      <c r="AOO46" s="31"/>
      <c r="AOP46" s="31"/>
      <c r="AOQ46" s="31"/>
      <c r="AOR46" s="31"/>
      <c r="AOS46" s="31"/>
      <c r="AOT46" s="31"/>
      <c r="AOU46" s="31"/>
      <c r="AOV46" s="31"/>
      <c r="AOW46" s="31"/>
      <c r="AOX46" s="31"/>
      <c r="AOY46" s="31"/>
      <c r="AOZ46" s="31"/>
      <c r="APA46" s="31"/>
      <c r="APB46" s="31"/>
      <c r="APC46" s="31"/>
      <c r="APD46" s="31"/>
      <c r="APE46" s="31"/>
      <c r="APF46" s="31"/>
      <c r="APG46" s="31"/>
      <c r="APH46" s="31"/>
      <c r="API46" s="31"/>
      <c r="APJ46" s="31"/>
      <c r="APK46" s="31"/>
      <c r="APL46" s="31"/>
      <c r="APM46" s="31"/>
      <c r="APN46" s="31"/>
      <c r="APO46" s="31"/>
      <c r="APP46" s="31"/>
      <c r="APQ46" s="31"/>
      <c r="APR46" s="31"/>
      <c r="APS46" s="31"/>
      <c r="APT46" s="31"/>
      <c r="APU46" s="31"/>
      <c r="APV46" s="31"/>
      <c r="APW46" s="31"/>
      <c r="APX46" s="31"/>
      <c r="APY46" s="31"/>
      <c r="APZ46" s="31"/>
      <c r="AQA46" s="31"/>
      <c r="AQB46" s="31"/>
      <c r="AQC46" s="31"/>
      <c r="AQD46" s="31"/>
      <c r="AQE46" s="31"/>
      <c r="AQF46" s="31"/>
      <c r="AQG46" s="31"/>
      <c r="AQH46" s="31"/>
      <c r="AQI46" s="31"/>
      <c r="AQJ46" s="31"/>
      <c r="AQK46" s="31"/>
      <c r="AQL46" s="31"/>
      <c r="AQM46" s="31"/>
      <c r="AQN46" s="31"/>
      <c r="AQO46" s="31"/>
      <c r="AQP46" s="31"/>
      <c r="AQQ46" s="31"/>
      <c r="AQR46" s="31"/>
      <c r="AQS46" s="31"/>
      <c r="AQT46" s="31"/>
      <c r="AQU46" s="31"/>
      <c r="AQV46" s="31"/>
      <c r="AQW46" s="31"/>
      <c r="AQX46" s="31"/>
      <c r="AQY46" s="31"/>
      <c r="AQZ46" s="31"/>
      <c r="ARA46" s="31"/>
      <c r="ARB46" s="31"/>
      <c r="ARC46" s="31"/>
      <c r="ARD46" s="31"/>
      <c r="ARE46" s="31"/>
      <c r="ARF46" s="31"/>
      <c r="ARG46" s="31"/>
      <c r="ARH46" s="31"/>
      <c r="ARI46" s="31"/>
      <c r="ARJ46" s="31"/>
      <c r="ARK46" s="31"/>
      <c r="ARL46" s="31"/>
      <c r="ARM46" s="31"/>
      <c r="ARN46" s="31"/>
      <c r="ARO46" s="31"/>
      <c r="ARP46" s="31"/>
      <c r="ARQ46" s="31"/>
      <c r="ARR46" s="31"/>
      <c r="ARS46" s="31"/>
      <c r="ART46" s="31"/>
      <c r="ARU46" s="31"/>
      <c r="ARV46" s="31"/>
      <c r="ARW46" s="31"/>
      <c r="ARX46" s="31"/>
      <c r="ARY46" s="31"/>
      <c r="ARZ46" s="31"/>
      <c r="ASA46" s="31"/>
      <c r="ASB46" s="31"/>
      <c r="ASC46" s="31"/>
      <c r="ASD46" s="31"/>
      <c r="ASE46" s="31"/>
      <c r="ASF46" s="31"/>
      <c r="ASG46" s="31"/>
      <c r="ASH46" s="31"/>
      <c r="ASI46" s="31"/>
      <c r="ASJ46" s="31"/>
      <c r="ASK46" s="31"/>
      <c r="ASL46" s="31"/>
      <c r="ASM46" s="31"/>
      <c r="ASN46" s="31"/>
      <c r="ASO46" s="31"/>
      <c r="ASP46" s="31"/>
      <c r="ASQ46" s="31"/>
      <c r="ASR46" s="31"/>
      <c r="ASS46" s="31"/>
      <c r="AST46" s="31"/>
      <c r="ASU46" s="31"/>
      <c r="ASV46" s="31"/>
      <c r="ASW46" s="31"/>
      <c r="ASX46" s="31"/>
      <c r="ASY46" s="31"/>
      <c r="ASZ46" s="31"/>
      <c r="ATA46" s="31"/>
      <c r="ATB46" s="31"/>
      <c r="ATC46" s="31"/>
      <c r="ATD46" s="31"/>
      <c r="ATE46" s="31"/>
      <c r="ATF46" s="31"/>
      <c r="ATG46" s="31"/>
      <c r="ATH46" s="31"/>
      <c r="ATI46" s="31"/>
      <c r="ATJ46" s="31"/>
      <c r="ATK46" s="31"/>
      <c r="ATL46" s="31"/>
      <c r="ATM46" s="31"/>
      <c r="ATN46" s="31"/>
      <c r="ATO46" s="31"/>
      <c r="ATP46" s="31"/>
      <c r="ATQ46" s="31"/>
      <c r="ATR46" s="31"/>
      <c r="ATS46" s="31"/>
      <c r="ATT46" s="31"/>
      <c r="ATU46" s="31"/>
      <c r="ATV46" s="31"/>
      <c r="ATW46" s="31"/>
      <c r="ATX46" s="31"/>
      <c r="ATY46" s="31"/>
      <c r="ATZ46" s="31"/>
      <c r="AUA46" s="31"/>
      <c r="AUB46" s="31"/>
      <c r="AUC46" s="31"/>
      <c r="AUD46" s="31"/>
      <c r="AUE46" s="31"/>
      <c r="AUF46" s="31"/>
      <c r="AUG46" s="31"/>
      <c r="AUH46" s="31"/>
      <c r="AUI46" s="31"/>
      <c r="AUJ46" s="31"/>
      <c r="AUK46" s="31"/>
      <c r="AUL46" s="31"/>
      <c r="AUM46" s="31"/>
      <c r="AUN46" s="31"/>
      <c r="AUO46" s="31"/>
      <c r="AUP46" s="31"/>
      <c r="AUQ46" s="31"/>
      <c r="AUR46" s="31"/>
      <c r="AUS46" s="31"/>
      <c r="AUT46" s="31"/>
      <c r="AUU46" s="31"/>
      <c r="AUV46" s="31"/>
      <c r="AUW46" s="31"/>
      <c r="AUX46" s="31"/>
      <c r="AUY46" s="31"/>
      <c r="AUZ46" s="31"/>
      <c r="AVA46" s="31"/>
      <c r="AVB46" s="31"/>
      <c r="AVC46" s="31"/>
      <c r="AVD46" s="31"/>
      <c r="AVE46" s="31"/>
      <c r="AVF46" s="31"/>
      <c r="AVG46" s="31"/>
      <c r="AVH46" s="31"/>
      <c r="AVI46" s="31"/>
      <c r="AVJ46" s="31"/>
      <c r="AVK46" s="31"/>
      <c r="AVL46" s="31"/>
      <c r="AVM46" s="31"/>
      <c r="AVN46" s="31"/>
      <c r="AVO46" s="31"/>
      <c r="AVP46" s="31"/>
      <c r="AVQ46" s="31"/>
      <c r="AVR46" s="31"/>
      <c r="AVS46" s="31"/>
      <c r="AVT46" s="31"/>
      <c r="AVU46" s="31"/>
      <c r="AVV46" s="31"/>
      <c r="AVW46" s="31"/>
      <c r="AVX46" s="31"/>
      <c r="AVY46" s="31"/>
      <c r="AVZ46" s="31"/>
      <c r="AWA46" s="31"/>
      <c r="AWB46" s="31"/>
      <c r="AWC46" s="31"/>
      <c r="AWD46" s="31"/>
      <c r="AWE46" s="31"/>
      <c r="AWF46" s="31"/>
      <c r="AWG46" s="31"/>
      <c r="AWH46" s="31"/>
      <c r="AWI46" s="31"/>
      <c r="AWJ46" s="31"/>
      <c r="AWK46" s="31"/>
      <c r="AWL46" s="31"/>
      <c r="AWM46" s="31"/>
      <c r="AWN46" s="31"/>
      <c r="AWO46" s="31"/>
      <c r="AWP46" s="31"/>
      <c r="AWQ46" s="31"/>
      <c r="AWR46" s="31"/>
      <c r="AWS46" s="31"/>
      <c r="AWT46" s="31"/>
      <c r="AWU46" s="31"/>
      <c r="AWV46" s="31"/>
      <c r="AWW46" s="31"/>
      <c r="AWX46" s="31"/>
      <c r="AWY46" s="31"/>
      <c r="AWZ46" s="31"/>
      <c r="AXA46" s="31"/>
      <c r="AXB46" s="31"/>
      <c r="AXC46" s="31"/>
      <c r="AXD46" s="31"/>
      <c r="AXE46" s="31"/>
      <c r="AXF46" s="31"/>
      <c r="AXG46" s="31"/>
      <c r="AXH46" s="31"/>
      <c r="AXI46" s="31"/>
      <c r="AXJ46" s="31"/>
      <c r="AXK46" s="31"/>
      <c r="AXL46" s="31"/>
      <c r="AXM46" s="31"/>
      <c r="AXN46" s="31"/>
      <c r="AXO46" s="31"/>
      <c r="AXP46" s="31"/>
      <c r="AXQ46" s="31"/>
      <c r="AXR46" s="31"/>
      <c r="AXS46" s="31"/>
      <c r="AXT46" s="31"/>
      <c r="AXU46" s="31"/>
      <c r="AXV46" s="31"/>
      <c r="AXW46" s="31"/>
      <c r="AXX46" s="31"/>
      <c r="AXY46" s="31"/>
      <c r="AXZ46" s="31"/>
      <c r="AYA46" s="31"/>
      <c r="AYB46" s="31"/>
      <c r="AYC46" s="31"/>
      <c r="AYD46" s="31"/>
      <c r="AYE46" s="31"/>
      <c r="AYF46" s="31"/>
      <c r="AYG46" s="31"/>
      <c r="AYH46" s="31"/>
      <c r="AYI46" s="31"/>
      <c r="AYJ46" s="31"/>
      <c r="AYK46" s="31"/>
      <c r="AYL46" s="31"/>
      <c r="AYM46" s="31"/>
      <c r="AYN46" s="31"/>
      <c r="AYO46" s="31"/>
      <c r="AYP46" s="31"/>
      <c r="AYQ46" s="31"/>
      <c r="AYR46" s="31"/>
      <c r="AYS46" s="31"/>
      <c r="AYT46" s="31"/>
      <c r="AYU46" s="31"/>
      <c r="AYV46" s="31"/>
      <c r="AYW46" s="31"/>
      <c r="AYX46" s="31"/>
      <c r="AYY46" s="31"/>
      <c r="AYZ46" s="31"/>
      <c r="AZA46" s="31"/>
      <c r="AZB46" s="31"/>
      <c r="AZC46" s="31"/>
      <c r="AZD46" s="31"/>
      <c r="AZE46" s="31"/>
      <c r="AZF46" s="31"/>
      <c r="AZG46" s="31"/>
      <c r="AZH46" s="31"/>
      <c r="AZI46" s="31"/>
      <c r="AZJ46" s="31"/>
      <c r="AZK46" s="31"/>
      <c r="AZL46" s="31"/>
      <c r="AZM46" s="31"/>
      <c r="AZN46" s="31"/>
      <c r="AZO46" s="31"/>
      <c r="AZP46" s="31"/>
      <c r="AZQ46" s="31"/>
      <c r="AZR46" s="31"/>
      <c r="AZS46" s="31"/>
      <c r="AZT46" s="31"/>
      <c r="AZU46" s="31"/>
      <c r="AZV46" s="31"/>
      <c r="AZW46" s="31"/>
      <c r="AZX46" s="31"/>
      <c r="AZY46" s="31"/>
      <c r="AZZ46" s="31"/>
      <c r="BAA46" s="31"/>
      <c r="BAB46" s="31"/>
      <c r="BAC46" s="31"/>
      <c r="BAD46" s="31"/>
      <c r="BAE46" s="31"/>
      <c r="BAF46" s="31"/>
      <c r="BAG46" s="31"/>
      <c r="BAH46" s="31"/>
      <c r="BAI46" s="31"/>
      <c r="BAJ46" s="31"/>
      <c r="BAK46" s="31"/>
      <c r="BAL46" s="31"/>
      <c r="BAM46" s="31"/>
      <c r="BAN46" s="31"/>
      <c r="BAO46" s="31"/>
      <c r="BAP46" s="31"/>
      <c r="BAQ46" s="31"/>
      <c r="BAR46" s="31"/>
      <c r="BAS46" s="31"/>
      <c r="BAT46" s="31"/>
      <c r="BAU46" s="31"/>
      <c r="BAV46" s="31"/>
      <c r="BAW46" s="31"/>
      <c r="BAX46" s="31"/>
      <c r="BAY46" s="31"/>
      <c r="BAZ46" s="31"/>
      <c r="BBA46" s="31"/>
      <c r="BBB46" s="31"/>
      <c r="BBC46" s="31"/>
      <c r="BBD46" s="31"/>
      <c r="BBE46" s="31"/>
      <c r="BBF46" s="31"/>
      <c r="BBG46" s="31"/>
      <c r="BBH46" s="31"/>
      <c r="BBI46" s="31"/>
      <c r="BBJ46" s="31"/>
      <c r="BBK46" s="31"/>
      <c r="BBL46" s="31"/>
      <c r="BBM46" s="31"/>
      <c r="BBN46" s="31"/>
      <c r="BBO46" s="31"/>
      <c r="BBP46" s="31"/>
      <c r="BBQ46" s="31"/>
      <c r="BBR46" s="31"/>
      <c r="BBS46" s="31"/>
      <c r="BBT46" s="31"/>
      <c r="BBU46" s="31"/>
      <c r="BBV46" s="31"/>
      <c r="BBW46" s="31"/>
      <c r="BBX46" s="31"/>
      <c r="BBY46" s="31"/>
      <c r="BBZ46" s="31"/>
      <c r="BCA46" s="31"/>
      <c r="BCB46" s="31"/>
      <c r="BCC46" s="31"/>
      <c r="BCD46" s="31"/>
      <c r="BCE46" s="31"/>
      <c r="BCF46" s="31"/>
      <c r="BCG46" s="31"/>
      <c r="BCH46" s="31"/>
      <c r="BCI46" s="31"/>
      <c r="BCJ46" s="31"/>
      <c r="BCK46" s="31"/>
      <c r="BCL46" s="31"/>
      <c r="BCM46" s="31"/>
      <c r="BCN46" s="31"/>
      <c r="BCO46" s="31"/>
      <c r="BCP46" s="31"/>
      <c r="BCQ46" s="31"/>
      <c r="BCR46" s="31"/>
      <c r="BCS46" s="31"/>
      <c r="BCT46" s="31"/>
      <c r="BCU46" s="31"/>
      <c r="BCV46" s="31"/>
      <c r="BCW46" s="31"/>
      <c r="BCX46" s="31"/>
      <c r="BCY46" s="31"/>
      <c r="BCZ46" s="31"/>
      <c r="BDA46" s="31"/>
      <c r="BDB46" s="31"/>
      <c r="BDC46" s="31"/>
      <c r="BDD46" s="31"/>
      <c r="BDE46" s="31"/>
      <c r="BDF46" s="31"/>
      <c r="BDG46" s="31"/>
      <c r="BDH46" s="31"/>
      <c r="BDI46" s="31"/>
      <c r="BDJ46" s="31"/>
      <c r="BDK46" s="31"/>
      <c r="BDL46" s="31"/>
      <c r="BDM46" s="31"/>
      <c r="BDN46" s="31"/>
      <c r="BDO46" s="31"/>
      <c r="BDP46" s="31"/>
      <c r="BDQ46" s="31"/>
      <c r="BDR46" s="31"/>
      <c r="BDS46" s="31"/>
      <c r="BDT46" s="31"/>
      <c r="BDU46" s="31"/>
      <c r="BDV46" s="31"/>
      <c r="BDW46" s="31"/>
      <c r="BDX46" s="31"/>
      <c r="BDY46" s="31"/>
      <c r="BDZ46" s="31"/>
      <c r="BEA46" s="31"/>
      <c r="BEB46" s="31"/>
      <c r="BEC46" s="31"/>
      <c r="BED46" s="31"/>
      <c r="BEE46" s="31"/>
      <c r="BEF46" s="31"/>
      <c r="BEG46" s="31"/>
      <c r="BEH46" s="31"/>
      <c r="BEI46" s="31"/>
      <c r="BEJ46" s="31"/>
      <c r="BEK46" s="31"/>
      <c r="BEL46" s="31"/>
      <c r="BEM46" s="31"/>
      <c r="BEN46" s="31"/>
      <c r="BEO46" s="31"/>
      <c r="BEP46" s="31"/>
      <c r="BEQ46" s="31"/>
      <c r="BER46" s="31"/>
      <c r="BES46" s="31"/>
      <c r="BET46" s="31"/>
      <c r="BEU46" s="31"/>
      <c r="BEV46" s="31"/>
      <c r="BEW46" s="31"/>
      <c r="BEX46" s="31"/>
      <c r="BEY46" s="31"/>
      <c r="BEZ46" s="31"/>
      <c r="BFA46" s="31"/>
      <c r="BFB46" s="31"/>
      <c r="BFC46" s="31"/>
      <c r="BFD46" s="31"/>
      <c r="BFE46" s="31"/>
      <c r="BFF46" s="31"/>
      <c r="BFG46" s="31"/>
      <c r="BFH46" s="31"/>
      <c r="BFI46" s="31"/>
      <c r="BFJ46" s="31"/>
      <c r="BFK46" s="31"/>
      <c r="BFL46" s="31"/>
      <c r="BFM46" s="31"/>
      <c r="BFN46" s="31"/>
      <c r="BFO46" s="31"/>
      <c r="BFP46" s="31"/>
      <c r="BFQ46" s="31"/>
      <c r="BFR46" s="31"/>
      <c r="BFS46" s="31"/>
      <c r="BFT46" s="31"/>
      <c r="BFU46" s="31"/>
      <c r="BFV46" s="31"/>
      <c r="BFW46" s="31"/>
      <c r="BFX46" s="31"/>
      <c r="BFY46" s="31"/>
      <c r="BFZ46" s="31"/>
      <c r="BGA46" s="31"/>
      <c r="BGB46" s="31"/>
      <c r="BGC46" s="31"/>
      <c r="BGD46" s="31"/>
      <c r="BGE46" s="31"/>
      <c r="BGF46" s="31"/>
      <c r="BGG46" s="31"/>
      <c r="BGH46" s="31"/>
      <c r="BGI46" s="31"/>
      <c r="BGJ46" s="31"/>
      <c r="BGK46" s="31"/>
      <c r="BGL46" s="31"/>
      <c r="BGM46" s="31"/>
      <c r="BGN46" s="31"/>
      <c r="BGO46" s="31"/>
      <c r="BGP46" s="31"/>
      <c r="BGQ46" s="31"/>
      <c r="BGR46" s="31"/>
      <c r="BGS46" s="31"/>
      <c r="BGT46" s="31"/>
      <c r="BGU46" s="31"/>
      <c r="BGV46" s="31"/>
      <c r="BGW46" s="31"/>
      <c r="BGX46" s="31"/>
      <c r="BGY46" s="31"/>
      <c r="BGZ46" s="31"/>
      <c r="BHA46" s="31"/>
      <c r="BHB46" s="31"/>
      <c r="BHC46" s="31"/>
      <c r="BHD46" s="31"/>
      <c r="BHE46" s="31"/>
      <c r="BHF46" s="31"/>
      <c r="BHG46" s="31"/>
      <c r="BHH46" s="31"/>
      <c r="BHI46" s="31"/>
      <c r="BHJ46" s="31"/>
      <c r="BHK46" s="31"/>
      <c r="BHL46" s="31"/>
      <c r="BHM46" s="31"/>
      <c r="BHN46" s="31"/>
      <c r="BHO46" s="31"/>
      <c r="BHP46" s="31"/>
      <c r="BHQ46" s="31"/>
      <c r="BHR46" s="31"/>
      <c r="BHS46" s="31"/>
      <c r="BHT46" s="31"/>
      <c r="BHU46" s="31"/>
      <c r="BHV46" s="31"/>
      <c r="BHW46" s="31"/>
      <c r="BHX46" s="31"/>
      <c r="BHY46" s="31"/>
      <c r="BHZ46" s="31"/>
      <c r="BIA46" s="31"/>
      <c r="BIB46" s="31"/>
      <c r="BIC46" s="31"/>
      <c r="BID46" s="31"/>
      <c r="BIE46" s="31"/>
      <c r="BIF46" s="31"/>
      <c r="BIG46" s="31"/>
      <c r="BIH46" s="31"/>
      <c r="BII46" s="31"/>
      <c r="BIJ46" s="31"/>
      <c r="BIK46" s="31"/>
      <c r="BIL46" s="31"/>
      <c r="BIM46" s="31"/>
      <c r="BIN46" s="31"/>
      <c r="BIO46" s="31"/>
      <c r="BIP46" s="31"/>
      <c r="BIQ46" s="31"/>
      <c r="BIR46" s="31"/>
      <c r="BIS46" s="31"/>
      <c r="BIT46" s="31"/>
      <c r="BIU46" s="31"/>
      <c r="BIV46" s="31"/>
      <c r="BIW46" s="31"/>
      <c r="BIX46" s="31"/>
      <c r="BIY46" s="31"/>
      <c r="BIZ46" s="31"/>
      <c r="BJA46" s="31"/>
      <c r="BJB46" s="31"/>
      <c r="BJC46" s="31"/>
      <c r="BJD46" s="31"/>
      <c r="BJE46" s="31"/>
      <c r="BJF46" s="31"/>
      <c r="BJG46" s="31"/>
      <c r="BJH46" s="31"/>
      <c r="BJI46" s="31"/>
      <c r="BJJ46" s="31"/>
      <c r="BJK46" s="31"/>
      <c r="BJL46" s="31"/>
      <c r="BJM46" s="31"/>
      <c r="BJN46" s="31"/>
      <c r="BJO46" s="31"/>
      <c r="BJP46" s="31"/>
      <c r="BJQ46" s="31"/>
      <c r="BJR46" s="31"/>
      <c r="BJS46" s="31"/>
      <c r="BJT46" s="31"/>
      <c r="BJU46" s="31"/>
      <c r="BJV46" s="31"/>
      <c r="BJW46" s="31"/>
      <c r="BJX46" s="31"/>
      <c r="BJY46" s="31"/>
      <c r="BJZ46" s="31"/>
      <c r="BKA46" s="31"/>
      <c r="BKB46" s="31"/>
      <c r="BKC46" s="31"/>
      <c r="BKD46" s="31"/>
      <c r="BKE46" s="31"/>
      <c r="BKF46" s="31"/>
      <c r="BKG46" s="31"/>
      <c r="BKH46" s="31"/>
      <c r="BKI46" s="31"/>
      <c r="BKJ46" s="31"/>
      <c r="BKK46" s="31"/>
      <c r="BKL46" s="31"/>
      <c r="BKM46" s="31"/>
      <c r="BKN46" s="31"/>
      <c r="BKO46" s="31"/>
      <c r="BKP46" s="31"/>
      <c r="BKQ46" s="31"/>
      <c r="BKR46" s="31"/>
      <c r="BKS46" s="31"/>
      <c r="BKT46" s="31"/>
      <c r="BKU46" s="31"/>
      <c r="BKV46" s="31"/>
      <c r="BKW46" s="31"/>
      <c r="BKX46" s="31"/>
      <c r="BKY46" s="31"/>
      <c r="BKZ46" s="31"/>
      <c r="BLA46" s="31"/>
      <c r="BLB46" s="31"/>
      <c r="BLC46" s="31"/>
      <c r="BLD46" s="31"/>
      <c r="BLE46" s="31"/>
      <c r="BLF46" s="31"/>
      <c r="BLG46" s="31"/>
      <c r="BLH46" s="31"/>
      <c r="BLI46" s="31"/>
      <c r="BLJ46" s="31"/>
      <c r="BLK46" s="31"/>
      <c r="BLL46" s="31"/>
      <c r="BLM46" s="31"/>
      <c r="BLN46" s="31"/>
      <c r="BLO46" s="31"/>
      <c r="BLP46" s="31"/>
      <c r="BLQ46" s="31"/>
      <c r="BLR46" s="31"/>
      <c r="BLS46" s="31"/>
      <c r="BLT46" s="31"/>
      <c r="BLU46" s="31"/>
      <c r="BLV46" s="31"/>
      <c r="BLW46" s="31"/>
      <c r="BLX46" s="31"/>
      <c r="BLY46" s="31"/>
      <c r="BLZ46" s="31"/>
      <c r="BMA46" s="31"/>
      <c r="BMB46" s="31"/>
      <c r="BMC46" s="31"/>
      <c r="BMD46" s="31"/>
      <c r="BME46" s="31"/>
      <c r="BMF46" s="31"/>
      <c r="BMG46" s="31"/>
      <c r="BMH46" s="31"/>
      <c r="BMI46" s="31"/>
      <c r="BMJ46" s="31"/>
      <c r="BMK46" s="31"/>
      <c r="BML46" s="31"/>
      <c r="BMM46" s="31"/>
      <c r="BMN46" s="31"/>
      <c r="BMO46" s="31"/>
      <c r="BMP46" s="31"/>
      <c r="BMQ46" s="31"/>
      <c r="BMR46" s="31"/>
      <c r="BMS46" s="31"/>
      <c r="BMT46" s="31"/>
      <c r="BMU46" s="31"/>
      <c r="BMV46" s="31"/>
      <c r="BMW46" s="31"/>
      <c r="BMX46" s="31"/>
      <c r="BMY46" s="31"/>
      <c r="BMZ46" s="31"/>
      <c r="BNA46" s="31"/>
      <c r="BNB46" s="31"/>
      <c r="BNC46" s="31"/>
      <c r="BND46" s="31"/>
      <c r="BNE46" s="31"/>
      <c r="BNF46" s="31"/>
      <c r="BNG46" s="31"/>
      <c r="BNH46" s="31"/>
      <c r="BNI46" s="31"/>
      <c r="BNJ46" s="31"/>
      <c r="BNK46" s="31"/>
      <c r="BNL46" s="31"/>
      <c r="BNM46" s="31"/>
      <c r="BNN46" s="31"/>
      <c r="BNO46" s="31"/>
      <c r="BNP46" s="31"/>
      <c r="BNQ46" s="31"/>
      <c r="BNR46" s="31"/>
      <c r="BNS46" s="31"/>
      <c r="BNT46" s="31"/>
      <c r="BNU46" s="31"/>
      <c r="BNV46" s="31"/>
      <c r="BNW46" s="31"/>
      <c r="BNX46" s="31"/>
      <c r="BNY46" s="31"/>
      <c r="BNZ46" s="31"/>
      <c r="BOA46" s="31"/>
      <c r="BOB46" s="31"/>
      <c r="BOC46" s="31"/>
      <c r="BOD46" s="31"/>
      <c r="BOE46" s="31"/>
      <c r="BOF46" s="31"/>
      <c r="BOG46" s="31"/>
      <c r="BOH46" s="31"/>
      <c r="BOI46" s="31"/>
      <c r="BOJ46" s="31"/>
      <c r="BOK46" s="31"/>
      <c r="BOL46" s="31"/>
      <c r="BOM46" s="31"/>
      <c r="BON46" s="31"/>
      <c r="BOO46" s="31"/>
      <c r="BOP46" s="31"/>
      <c r="BOQ46" s="31"/>
      <c r="BOR46" s="31"/>
      <c r="BOS46" s="31"/>
      <c r="BOT46" s="31"/>
      <c r="BOU46" s="31"/>
      <c r="BOV46" s="31"/>
      <c r="BOW46" s="31"/>
      <c r="BOX46" s="31"/>
      <c r="BOY46" s="31"/>
      <c r="BOZ46" s="31"/>
      <c r="BPA46" s="31"/>
      <c r="BPB46" s="31"/>
      <c r="BPC46" s="31"/>
      <c r="BPD46" s="31"/>
      <c r="BPE46" s="31"/>
      <c r="BPF46" s="31"/>
      <c r="BPG46" s="31"/>
      <c r="BPH46" s="31"/>
      <c r="BPI46" s="31"/>
      <c r="BPJ46" s="31"/>
      <c r="BPK46" s="31"/>
      <c r="BPL46" s="31"/>
      <c r="BPM46" s="31"/>
      <c r="BPN46" s="31"/>
      <c r="BPO46" s="31"/>
      <c r="BPP46" s="31"/>
      <c r="BPQ46" s="31"/>
      <c r="BPR46" s="31"/>
      <c r="BPS46" s="31"/>
      <c r="BPT46" s="31"/>
      <c r="BPU46" s="31"/>
      <c r="BPV46" s="31"/>
      <c r="BPW46" s="31"/>
      <c r="BPX46" s="31"/>
      <c r="BPY46" s="31"/>
      <c r="BPZ46" s="31"/>
      <c r="BQA46" s="31"/>
      <c r="BQB46" s="31"/>
      <c r="BQC46" s="31"/>
      <c r="BQD46" s="31"/>
      <c r="BQE46" s="31"/>
      <c r="BQF46" s="31"/>
      <c r="BQG46" s="31"/>
      <c r="BQH46" s="31"/>
      <c r="BQI46" s="31"/>
      <c r="BQJ46" s="31"/>
      <c r="BQK46" s="31"/>
      <c r="BQL46" s="31"/>
      <c r="BQM46" s="31"/>
      <c r="BQN46" s="31"/>
      <c r="BQO46" s="31"/>
      <c r="BQP46" s="31"/>
      <c r="BQQ46" s="31"/>
      <c r="BQR46" s="31"/>
      <c r="BQS46" s="31"/>
      <c r="BQT46" s="31"/>
      <c r="BQU46" s="31"/>
      <c r="BQV46" s="31"/>
      <c r="BQW46" s="31"/>
      <c r="BQX46" s="31"/>
      <c r="BQY46" s="31"/>
      <c r="BQZ46" s="31"/>
      <c r="BRA46" s="31"/>
      <c r="BRB46" s="31"/>
      <c r="BRC46" s="31"/>
      <c r="BRD46" s="31"/>
      <c r="BRE46" s="31"/>
      <c r="BRF46" s="31"/>
      <c r="BRG46" s="31"/>
      <c r="BRH46" s="31"/>
      <c r="BRI46" s="31"/>
      <c r="BRJ46" s="31"/>
      <c r="BRK46" s="31"/>
      <c r="BRL46" s="31"/>
      <c r="BRM46" s="31"/>
      <c r="BRN46" s="31"/>
      <c r="BRO46" s="31"/>
      <c r="BRP46" s="31"/>
      <c r="BRQ46" s="31"/>
      <c r="BRR46" s="31"/>
      <c r="BRS46" s="31"/>
      <c r="BRT46" s="31"/>
      <c r="BRU46" s="31"/>
      <c r="BRV46" s="31"/>
      <c r="BRW46" s="31"/>
      <c r="BRX46" s="31"/>
      <c r="BRY46" s="31"/>
      <c r="BRZ46" s="31"/>
      <c r="BSA46" s="31"/>
      <c r="BSB46" s="31"/>
      <c r="BSC46" s="31"/>
      <c r="BSD46" s="31"/>
      <c r="BSE46" s="31"/>
      <c r="BSF46" s="31"/>
      <c r="BSG46" s="31"/>
      <c r="BSH46" s="31"/>
      <c r="BSI46" s="31"/>
      <c r="BSJ46" s="31"/>
      <c r="BSK46" s="31"/>
      <c r="BSL46" s="31"/>
      <c r="BSM46" s="31"/>
      <c r="BSN46" s="31"/>
      <c r="BSO46" s="31"/>
      <c r="BSP46" s="31"/>
      <c r="BSQ46" s="31"/>
      <c r="BSR46" s="31"/>
      <c r="BSS46" s="31"/>
      <c r="BST46" s="31"/>
      <c r="BSU46" s="31"/>
      <c r="BSV46" s="31"/>
      <c r="BSW46" s="31"/>
      <c r="BSX46" s="31"/>
      <c r="BSY46" s="31"/>
      <c r="BSZ46" s="31"/>
      <c r="BTA46" s="31"/>
      <c r="BTB46" s="31"/>
      <c r="BTC46" s="31"/>
      <c r="BTD46" s="31"/>
      <c r="BTE46" s="31"/>
      <c r="BTF46" s="31"/>
      <c r="BTG46" s="31"/>
      <c r="BTH46" s="31"/>
      <c r="BTI46" s="31"/>
      <c r="BTJ46" s="31"/>
      <c r="BTK46" s="31"/>
      <c r="BTL46" s="31"/>
      <c r="BTM46" s="31"/>
      <c r="BTN46" s="31"/>
      <c r="BTO46" s="31"/>
      <c r="BTP46" s="31"/>
      <c r="BTQ46" s="31"/>
      <c r="BTR46" s="31"/>
      <c r="BTS46" s="31"/>
      <c r="BTT46" s="31"/>
      <c r="BTU46" s="31"/>
      <c r="BTV46" s="31"/>
      <c r="BTW46" s="31"/>
      <c r="BTX46" s="31"/>
      <c r="BTY46" s="31"/>
      <c r="BTZ46" s="31"/>
      <c r="BUA46" s="31"/>
      <c r="BUB46" s="31"/>
      <c r="BUC46" s="31"/>
      <c r="BUD46" s="31"/>
      <c r="BUE46" s="31"/>
      <c r="BUF46" s="31"/>
      <c r="BUG46" s="31"/>
      <c r="BUH46" s="31"/>
      <c r="BUI46" s="31"/>
      <c r="BUJ46" s="31"/>
      <c r="BUK46" s="31"/>
      <c r="BUL46" s="31"/>
      <c r="BUM46" s="31"/>
      <c r="BUN46" s="31"/>
      <c r="BUO46" s="31"/>
      <c r="BUP46" s="31"/>
      <c r="BUQ46" s="31"/>
      <c r="BUR46" s="31"/>
      <c r="BUS46" s="31"/>
      <c r="BUT46" s="31"/>
      <c r="BUU46" s="31"/>
      <c r="BUV46" s="31"/>
      <c r="BUW46" s="31"/>
      <c r="BUX46" s="31"/>
      <c r="BUY46" s="31"/>
      <c r="BUZ46" s="31"/>
      <c r="BVA46" s="31"/>
      <c r="BVB46" s="31"/>
      <c r="BVC46" s="31"/>
      <c r="BVD46" s="31"/>
      <c r="BVE46" s="31"/>
      <c r="BVF46" s="31"/>
      <c r="BVG46" s="31"/>
      <c r="BVH46" s="31"/>
      <c r="BVI46" s="31"/>
      <c r="BVJ46" s="31"/>
      <c r="BVK46" s="31"/>
      <c r="BVL46" s="31"/>
      <c r="BVM46" s="31"/>
      <c r="BVN46" s="31"/>
      <c r="BVO46" s="31"/>
      <c r="BVP46" s="31"/>
      <c r="BVQ46" s="31"/>
      <c r="BVR46" s="31"/>
      <c r="BVS46" s="31"/>
      <c r="BVT46" s="31"/>
      <c r="BVU46" s="31"/>
      <c r="BVV46" s="31"/>
      <c r="BVW46" s="31"/>
      <c r="BVX46" s="31"/>
      <c r="BVY46" s="31"/>
      <c r="BVZ46" s="31"/>
      <c r="BWA46" s="31"/>
      <c r="BWB46" s="31"/>
      <c r="BWC46" s="31"/>
      <c r="BWD46" s="31"/>
      <c r="BWE46" s="31"/>
      <c r="BWF46" s="31"/>
      <c r="BWG46" s="31"/>
      <c r="BWH46" s="31"/>
      <c r="BWI46" s="31"/>
      <c r="BWJ46" s="31"/>
      <c r="BWK46" s="31"/>
      <c r="BWL46" s="31"/>
      <c r="BWM46" s="31"/>
      <c r="BWN46" s="31"/>
      <c r="BWO46" s="31"/>
      <c r="BWP46" s="31"/>
      <c r="BWQ46" s="31"/>
      <c r="BWR46" s="31"/>
      <c r="BWS46" s="31"/>
      <c r="BWT46" s="31"/>
      <c r="BWU46" s="31"/>
      <c r="BWV46" s="31"/>
      <c r="BWW46" s="31"/>
      <c r="BWX46" s="31"/>
      <c r="BWY46" s="31"/>
      <c r="BWZ46" s="31"/>
      <c r="BXA46" s="31"/>
      <c r="BXB46" s="31"/>
      <c r="BXC46" s="31"/>
      <c r="BXD46" s="31"/>
      <c r="BXE46" s="31"/>
      <c r="BXF46" s="31"/>
      <c r="BXG46" s="31"/>
      <c r="BXH46" s="31"/>
      <c r="BXI46" s="31"/>
      <c r="BXJ46" s="31"/>
      <c r="BXK46" s="31"/>
      <c r="BXL46" s="31"/>
      <c r="BXM46" s="31"/>
      <c r="BXN46" s="31"/>
      <c r="BXO46" s="31"/>
      <c r="BXP46" s="31"/>
      <c r="BXQ46" s="31"/>
      <c r="BXR46" s="31"/>
      <c r="BXS46" s="31"/>
      <c r="BXT46" s="31"/>
      <c r="BXU46" s="31"/>
      <c r="BXV46" s="31"/>
      <c r="BXW46" s="31"/>
      <c r="BXX46" s="31"/>
      <c r="BXY46" s="31"/>
      <c r="BXZ46" s="31"/>
      <c r="BYA46" s="31"/>
      <c r="BYB46" s="31"/>
      <c r="BYC46" s="31"/>
      <c r="BYD46" s="31"/>
      <c r="BYE46" s="31"/>
      <c r="BYF46" s="31"/>
      <c r="BYG46" s="31"/>
      <c r="BYH46" s="31"/>
      <c r="BYI46" s="31"/>
      <c r="BYJ46" s="31"/>
      <c r="BYK46" s="31"/>
      <c r="BYL46" s="31"/>
      <c r="BYM46" s="31"/>
      <c r="BYN46" s="31"/>
      <c r="BYO46" s="31"/>
      <c r="BYP46" s="31"/>
      <c r="BYQ46" s="31"/>
      <c r="BYR46" s="31"/>
      <c r="BYS46" s="31"/>
      <c r="BYT46" s="31"/>
      <c r="BYU46" s="31"/>
      <c r="BYV46" s="31"/>
      <c r="BYW46" s="31"/>
      <c r="BYX46" s="31"/>
      <c r="BYY46" s="31"/>
      <c r="BYZ46" s="31"/>
      <c r="BZA46" s="31"/>
      <c r="BZB46" s="31"/>
      <c r="BZC46" s="31"/>
      <c r="BZD46" s="31"/>
      <c r="BZE46" s="31"/>
      <c r="BZF46" s="31"/>
      <c r="BZG46" s="31"/>
      <c r="BZH46" s="31"/>
      <c r="BZI46" s="31"/>
      <c r="BZJ46" s="31"/>
      <c r="BZK46" s="31"/>
      <c r="BZL46" s="31"/>
      <c r="BZM46" s="31"/>
      <c r="BZN46" s="31"/>
      <c r="BZO46" s="31"/>
      <c r="BZP46" s="31"/>
      <c r="BZQ46" s="31"/>
      <c r="BZR46" s="31"/>
      <c r="BZS46" s="31"/>
      <c r="BZT46" s="31"/>
      <c r="BZU46" s="31"/>
      <c r="BZV46" s="31"/>
      <c r="BZW46" s="31"/>
      <c r="BZX46" s="31"/>
      <c r="BZY46" s="31"/>
      <c r="BZZ46" s="31"/>
      <c r="CAA46" s="31"/>
      <c r="CAB46" s="31"/>
      <c r="CAC46" s="31"/>
      <c r="CAD46" s="31"/>
      <c r="CAE46" s="31"/>
      <c r="CAF46" s="31"/>
      <c r="CAG46" s="31"/>
      <c r="CAH46" s="31"/>
      <c r="CAI46" s="31"/>
      <c r="CAJ46" s="31"/>
      <c r="CAK46" s="31"/>
      <c r="CAL46" s="31"/>
      <c r="CAM46" s="31"/>
      <c r="CAN46" s="31"/>
      <c r="CAO46" s="31"/>
      <c r="CAP46" s="31"/>
      <c r="CAQ46" s="31"/>
      <c r="CAR46" s="31"/>
      <c r="CAS46" s="31"/>
      <c r="CAT46" s="31"/>
      <c r="CAU46" s="31"/>
      <c r="CAV46" s="31"/>
      <c r="CAW46" s="31"/>
      <c r="CAX46" s="31"/>
      <c r="CAY46" s="31"/>
      <c r="CAZ46" s="31"/>
      <c r="CBA46" s="31"/>
      <c r="CBB46" s="31"/>
      <c r="CBC46" s="31"/>
      <c r="CBD46" s="31"/>
      <c r="CBE46" s="31"/>
      <c r="CBF46" s="31"/>
      <c r="CBG46" s="31"/>
      <c r="CBH46" s="31"/>
      <c r="CBI46" s="31"/>
      <c r="CBJ46" s="31"/>
      <c r="CBK46" s="31"/>
      <c r="CBL46" s="31"/>
      <c r="CBM46" s="31"/>
      <c r="CBN46" s="31"/>
      <c r="CBO46" s="31"/>
      <c r="CBP46" s="31"/>
      <c r="CBQ46" s="31"/>
      <c r="CBR46" s="31"/>
      <c r="CBS46" s="31"/>
      <c r="CBT46" s="31"/>
      <c r="CBU46" s="31"/>
      <c r="CBV46" s="31"/>
      <c r="CBW46" s="31"/>
      <c r="CBX46" s="31"/>
      <c r="CBY46" s="31"/>
      <c r="CBZ46" s="31"/>
      <c r="CCA46" s="31"/>
      <c r="CCB46" s="31"/>
      <c r="CCC46" s="31"/>
      <c r="CCD46" s="31"/>
      <c r="CCE46" s="31"/>
      <c r="CCF46" s="31"/>
      <c r="CCG46" s="31"/>
      <c r="CCH46" s="31"/>
      <c r="CCI46" s="31"/>
      <c r="CCJ46" s="31"/>
      <c r="CCK46" s="31"/>
      <c r="CCL46" s="31"/>
      <c r="CCM46" s="31"/>
      <c r="CCN46" s="31"/>
      <c r="CCO46" s="31"/>
      <c r="CCP46" s="31"/>
      <c r="CCQ46" s="31"/>
      <c r="CCR46" s="31"/>
      <c r="CCS46" s="31"/>
      <c r="CCT46" s="31"/>
      <c r="CCU46" s="31"/>
      <c r="CCV46" s="31"/>
      <c r="CCW46" s="31"/>
      <c r="CCX46" s="31"/>
      <c r="CCY46" s="31"/>
      <c r="CCZ46" s="31"/>
      <c r="CDA46" s="31"/>
      <c r="CDB46" s="31"/>
      <c r="CDC46" s="31"/>
      <c r="CDD46" s="31"/>
      <c r="CDE46" s="31"/>
      <c r="CDF46" s="31"/>
      <c r="CDG46" s="31"/>
      <c r="CDH46" s="31"/>
      <c r="CDI46" s="31"/>
      <c r="CDJ46" s="31"/>
      <c r="CDK46" s="31"/>
      <c r="CDL46" s="31"/>
      <c r="CDM46" s="31"/>
      <c r="CDN46" s="31"/>
      <c r="CDO46" s="31"/>
      <c r="CDP46" s="31"/>
      <c r="CDQ46" s="31"/>
      <c r="CDR46" s="31"/>
      <c r="CDS46" s="31"/>
      <c r="CDT46" s="31"/>
      <c r="CDU46" s="31"/>
      <c r="CDV46" s="31"/>
      <c r="CDW46" s="31"/>
      <c r="CDX46" s="31"/>
      <c r="CDY46" s="31"/>
      <c r="CDZ46" s="31"/>
      <c r="CEA46" s="31"/>
      <c r="CEB46" s="31"/>
      <c r="CEC46" s="31"/>
      <c r="CED46" s="31"/>
      <c r="CEE46" s="31"/>
      <c r="CEF46" s="31"/>
      <c r="CEG46" s="31"/>
      <c r="CEH46" s="31"/>
      <c r="CEI46" s="31"/>
      <c r="CEJ46" s="31"/>
      <c r="CEK46" s="31"/>
      <c r="CEL46" s="31"/>
      <c r="CEM46" s="31"/>
      <c r="CEN46" s="31"/>
      <c r="CEO46" s="31"/>
      <c r="CEP46" s="31"/>
      <c r="CEQ46" s="31"/>
      <c r="CER46" s="31"/>
      <c r="CES46" s="31"/>
      <c r="CET46" s="31"/>
      <c r="CEU46" s="31"/>
      <c r="CEV46" s="31"/>
      <c r="CEW46" s="31"/>
      <c r="CEX46" s="31"/>
      <c r="CEY46" s="31"/>
      <c r="CEZ46" s="31"/>
      <c r="CFA46" s="31"/>
      <c r="CFB46" s="31"/>
      <c r="CFC46" s="31"/>
      <c r="CFD46" s="31"/>
      <c r="CFE46" s="31"/>
      <c r="CFF46" s="31"/>
      <c r="CFG46" s="31"/>
      <c r="CFH46" s="31"/>
      <c r="CFI46" s="31"/>
      <c r="CFJ46" s="31"/>
      <c r="CFK46" s="31"/>
      <c r="CFL46" s="31"/>
      <c r="CFM46" s="31"/>
      <c r="CFN46" s="31"/>
      <c r="CFO46" s="31"/>
      <c r="CFP46" s="31"/>
      <c r="CFQ46" s="31"/>
      <c r="CFR46" s="31"/>
      <c r="CFS46" s="31"/>
      <c r="CFT46" s="31"/>
      <c r="CFU46" s="31"/>
      <c r="CFV46" s="31"/>
      <c r="CFW46" s="31"/>
      <c r="CFX46" s="31"/>
      <c r="CFY46" s="31"/>
      <c r="CFZ46" s="31"/>
      <c r="CGA46" s="31"/>
      <c r="CGB46" s="31"/>
      <c r="CGC46" s="31"/>
      <c r="CGD46" s="31"/>
      <c r="CGE46" s="31"/>
      <c r="CGF46" s="31"/>
      <c r="CGG46" s="31"/>
      <c r="CGH46" s="31"/>
      <c r="CGI46" s="31"/>
      <c r="CGJ46" s="31"/>
      <c r="CGK46" s="31"/>
      <c r="CGL46" s="31"/>
      <c r="CGM46" s="31"/>
      <c r="CGN46" s="31"/>
      <c r="CGO46" s="31"/>
      <c r="CGP46" s="31"/>
      <c r="CGQ46" s="31"/>
      <c r="CGR46" s="31"/>
      <c r="CGS46" s="31"/>
      <c r="CGT46" s="31"/>
      <c r="CGU46" s="31"/>
      <c r="CGV46" s="31"/>
      <c r="CGW46" s="31"/>
      <c r="CGX46" s="31"/>
      <c r="CGY46" s="31"/>
      <c r="CGZ46" s="31"/>
      <c r="CHA46" s="31"/>
      <c r="CHB46" s="31"/>
      <c r="CHC46" s="31"/>
      <c r="CHD46" s="31"/>
      <c r="CHE46" s="31"/>
      <c r="CHF46" s="31"/>
      <c r="CHG46" s="31"/>
      <c r="CHH46" s="31"/>
      <c r="CHI46" s="31"/>
      <c r="CHJ46" s="31"/>
      <c r="CHK46" s="31"/>
      <c r="CHL46" s="31"/>
      <c r="CHM46" s="31"/>
      <c r="CHN46" s="31"/>
      <c r="CHO46" s="31"/>
      <c r="CHP46" s="31"/>
      <c r="CHQ46" s="31"/>
      <c r="CHR46" s="31"/>
      <c r="CHS46" s="31"/>
      <c r="CHT46" s="31"/>
      <c r="CHU46" s="31"/>
      <c r="CHV46" s="31"/>
      <c r="CHW46" s="31"/>
      <c r="CHX46" s="31"/>
      <c r="CHY46" s="31"/>
      <c r="CHZ46" s="31"/>
      <c r="CIA46" s="31"/>
      <c r="CIB46" s="31"/>
      <c r="CIC46" s="31"/>
      <c r="CID46" s="31"/>
      <c r="CIE46" s="31"/>
      <c r="CIF46" s="31"/>
      <c r="CIG46" s="31"/>
      <c r="CIH46" s="31"/>
      <c r="CII46" s="31"/>
      <c r="CIJ46" s="31"/>
      <c r="CIK46" s="31"/>
      <c r="CIL46" s="31"/>
      <c r="CIM46" s="31"/>
      <c r="CIN46" s="31"/>
      <c r="CIO46" s="31"/>
      <c r="CIP46" s="31"/>
      <c r="CIQ46" s="31"/>
      <c r="CIR46" s="31"/>
      <c r="CIS46" s="31"/>
      <c r="CIT46" s="31"/>
      <c r="CIU46" s="31"/>
      <c r="CIV46" s="31"/>
      <c r="CIW46" s="31"/>
      <c r="CIX46" s="31"/>
      <c r="CIY46" s="31"/>
      <c r="CIZ46" s="31"/>
      <c r="CJA46" s="31"/>
      <c r="CJB46" s="31"/>
      <c r="CJC46" s="31"/>
      <c r="CJD46" s="31"/>
      <c r="CJE46" s="31"/>
      <c r="CJF46" s="31"/>
      <c r="CJG46" s="31"/>
      <c r="CJH46" s="31"/>
      <c r="CJI46" s="31"/>
      <c r="CJJ46" s="31"/>
      <c r="CJK46" s="31"/>
      <c r="CJL46" s="31"/>
      <c r="CJM46" s="31"/>
      <c r="CJN46" s="31"/>
      <c r="CJO46" s="31"/>
      <c r="CJP46" s="31"/>
      <c r="CJQ46" s="31"/>
      <c r="CJR46" s="31"/>
      <c r="CJS46" s="31"/>
      <c r="CJT46" s="31"/>
      <c r="CJU46" s="31"/>
      <c r="CJV46" s="31"/>
      <c r="CJW46" s="31"/>
      <c r="CJX46" s="31"/>
      <c r="CJY46" s="31"/>
      <c r="CJZ46" s="31"/>
      <c r="CKA46" s="31"/>
      <c r="CKB46" s="31"/>
      <c r="CKC46" s="31"/>
      <c r="CKD46" s="31"/>
      <c r="CKE46" s="31"/>
      <c r="CKF46" s="31"/>
      <c r="CKG46" s="31"/>
      <c r="CKH46" s="31"/>
      <c r="CKI46" s="31"/>
      <c r="CKJ46" s="31"/>
      <c r="CKK46" s="31"/>
      <c r="CKL46" s="31"/>
      <c r="CKM46" s="31"/>
      <c r="CKN46" s="31"/>
      <c r="CKO46" s="31"/>
      <c r="CKP46" s="31"/>
      <c r="CKQ46" s="31"/>
      <c r="CKR46" s="31"/>
      <c r="CKS46" s="31"/>
      <c r="CKT46" s="31"/>
      <c r="CKU46" s="31"/>
      <c r="CKV46" s="31"/>
      <c r="CKW46" s="31"/>
      <c r="CKX46" s="31"/>
      <c r="CKY46" s="31"/>
      <c r="CKZ46" s="31"/>
      <c r="CLA46" s="31"/>
      <c r="CLB46" s="31"/>
      <c r="CLC46" s="31"/>
      <c r="CLD46" s="31"/>
      <c r="CLE46" s="31"/>
      <c r="CLF46" s="31"/>
      <c r="CLG46" s="31"/>
      <c r="CLH46" s="31"/>
      <c r="CLI46" s="31"/>
      <c r="CLJ46" s="31"/>
      <c r="CLK46" s="31"/>
      <c r="CLL46" s="31"/>
      <c r="CLM46" s="31"/>
      <c r="CLN46" s="31"/>
      <c r="CLO46" s="31"/>
      <c r="CLP46" s="31"/>
      <c r="CLQ46" s="31"/>
      <c r="CLR46" s="31"/>
      <c r="CLS46" s="31"/>
      <c r="CLT46" s="31"/>
      <c r="CLU46" s="31"/>
      <c r="CLV46" s="31"/>
      <c r="CLW46" s="31"/>
      <c r="CLX46" s="31"/>
      <c r="CLY46" s="31"/>
      <c r="CLZ46" s="31"/>
      <c r="CMA46" s="31"/>
      <c r="CMB46" s="31"/>
      <c r="CMC46" s="31"/>
      <c r="CMD46" s="31"/>
      <c r="CME46" s="31"/>
      <c r="CMF46" s="31"/>
      <c r="CMG46" s="31"/>
      <c r="CMH46" s="31"/>
      <c r="CMI46" s="31"/>
      <c r="CMJ46" s="31"/>
      <c r="CMK46" s="31"/>
      <c r="CML46" s="31"/>
      <c r="CMM46" s="31"/>
      <c r="CMN46" s="31"/>
      <c r="CMO46" s="31"/>
      <c r="CMP46" s="31"/>
      <c r="CMQ46" s="31"/>
      <c r="CMR46" s="31"/>
      <c r="CMS46" s="31"/>
      <c r="CMT46" s="31"/>
      <c r="CMU46" s="31"/>
      <c r="CMV46" s="31"/>
      <c r="CMW46" s="31"/>
      <c r="CMX46" s="31"/>
      <c r="CMY46" s="31"/>
      <c r="CMZ46" s="31"/>
      <c r="CNA46" s="31"/>
      <c r="CNB46" s="31"/>
      <c r="CNC46" s="31"/>
      <c r="CND46" s="31"/>
      <c r="CNE46" s="31"/>
      <c r="CNF46" s="31"/>
      <c r="CNG46" s="31"/>
      <c r="CNH46" s="31"/>
      <c r="CNI46" s="31"/>
      <c r="CNJ46" s="31"/>
      <c r="CNK46" s="31"/>
      <c r="CNL46" s="31"/>
      <c r="CNM46" s="31"/>
      <c r="CNN46" s="31"/>
      <c r="CNO46" s="31"/>
      <c r="CNP46" s="31"/>
      <c r="CNQ46" s="31"/>
      <c r="CNR46" s="31"/>
      <c r="CNS46" s="31"/>
      <c r="CNT46" s="31"/>
      <c r="CNU46" s="31"/>
      <c r="CNV46" s="31"/>
      <c r="CNW46" s="31"/>
      <c r="CNX46" s="31"/>
      <c r="CNY46" s="31"/>
      <c r="CNZ46" s="31"/>
      <c r="COA46" s="31"/>
      <c r="COB46" s="31"/>
      <c r="COC46" s="31"/>
      <c r="COD46" s="31"/>
      <c r="COE46" s="31"/>
      <c r="COF46" s="31"/>
      <c r="COG46" s="31"/>
      <c r="COH46" s="31"/>
      <c r="COI46" s="31"/>
      <c r="COJ46" s="31"/>
      <c r="COK46" s="31"/>
      <c r="COL46" s="31"/>
      <c r="COM46" s="31"/>
      <c r="CON46" s="31"/>
      <c r="COO46" s="31"/>
      <c r="COP46" s="31"/>
      <c r="COQ46" s="31"/>
      <c r="COR46" s="31"/>
      <c r="COS46" s="31"/>
      <c r="COT46" s="31"/>
      <c r="COU46" s="31"/>
      <c r="COV46" s="31"/>
      <c r="COW46" s="31"/>
      <c r="COX46" s="31"/>
      <c r="COY46" s="31"/>
      <c r="COZ46" s="31"/>
      <c r="CPA46" s="31"/>
      <c r="CPB46" s="31"/>
      <c r="CPC46" s="31"/>
      <c r="CPD46" s="31"/>
      <c r="CPE46" s="31"/>
      <c r="CPF46" s="31"/>
      <c r="CPG46" s="31"/>
      <c r="CPH46" s="31"/>
      <c r="CPI46" s="31"/>
      <c r="CPJ46" s="31"/>
      <c r="CPK46" s="31"/>
      <c r="CPL46" s="31"/>
      <c r="CPM46" s="31"/>
      <c r="CPN46" s="31"/>
      <c r="CPO46" s="31"/>
      <c r="CPP46" s="31"/>
      <c r="CPQ46" s="31"/>
      <c r="CPR46" s="31"/>
      <c r="CPS46" s="31"/>
      <c r="CPT46" s="31"/>
      <c r="CPU46" s="31"/>
      <c r="CPV46" s="31"/>
      <c r="CPW46" s="31"/>
      <c r="CPX46" s="31"/>
      <c r="CPY46" s="31"/>
      <c r="CPZ46" s="31"/>
      <c r="CQA46" s="31"/>
      <c r="CQB46" s="31"/>
      <c r="CQC46" s="31"/>
      <c r="CQD46" s="31"/>
      <c r="CQE46" s="31"/>
      <c r="CQF46" s="31"/>
      <c r="CQG46" s="31"/>
      <c r="CQH46" s="31"/>
      <c r="CQI46" s="31"/>
      <c r="CQJ46" s="31"/>
      <c r="CQK46" s="31"/>
      <c r="CQL46" s="31"/>
      <c r="CQM46" s="31"/>
      <c r="CQN46" s="31"/>
      <c r="CQO46" s="31"/>
      <c r="CQP46" s="31"/>
      <c r="CQQ46" s="31"/>
      <c r="CQR46" s="31"/>
      <c r="CQS46" s="31"/>
      <c r="CQT46" s="31"/>
      <c r="CQU46" s="31"/>
      <c r="CQV46" s="31"/>
      <c r="CQW46" s="31"/>
      <c r="CQX46" s="31"/>
      <c r="CQY46" s="31"/>
      <c r="CQZ46" s="31"/>
      <c r="CRA46" s="31"/>
      <c r="CRB46" s="31"/>
      <c r="CRC46" s="31"/>
      <c r="CRD46" s="31"/>
      <c r="CRE46" s="31"/>
      <c r="CRF46" s="31"/>
      <c r="CRG46" s="31"/>
      <c r="CRH46" s="31"/>
      <c r="CRI46" s="31"/>
      <c r="CRJ46" s="31"/>
      <c r="CRK46" s="31"/>
      <c r="CRL46" s="31"/>
      <c r="CRM46" s="31"/>
      <c r="CRN46" s="31"/>
      <c r="CRO46" s="31"/>
      <c r="CRP46" s="31"/>
      <c r="CRQ46" s="31"/>
      <c r="CRR46" s="31"/>
      <c r="CRS46" s="31"/>
      <c r="CRT46" s="31"/>
      <c r="CRU46" s="31"/>
      <c r="CRV46" s="31"/>
      <c r="CRW46" s="31"/>
      <c r="CRX46" s="31"/>
      <c r="CRY46" s="31"/>
      <c r="CRZ46" s="31"/>
      <c r="CSA46" s="31"/>
      <c r="CSB46" s="31"/>
      <c r="CSC46" s="31"/>
      <c r="CSD46" s="31"/>
      <c r="CSE46" s="31"/>
      <c r="CSF46" s="31"/>
      <c r="CSG46" s="31"/>
      <c r="CSH46" s="31"/>
      <c r="CSI46" s="31"/>
      <c r="CSJ46" s="31"/>
      <c r="CSK46" s="31"/>
      <c r="CSL46" s="31"/>
      <c r="CSM46" s="31"/>
      <c r="CSN46" s="31"/>
      <c r="CSO46" s="31"/>
      <c r="CSP46" s="31"/>
      <c r="CSQ46" s="31"/>
      <c r="CSR46" s="31"/>
      <c r="CSS46" s="31"/>
      <c r="CST46" s="31"/>
      <c r="CSU46" s="31"/>
      <c r="CSV46" s="31"/>
      <c r="CSW46" s="31"/>
      <c r="CSX46" s="31"/>
      <c r="CSY46" s="31"/>
      <c r="CSZ46" s="31"/>
      <c r="CTA46" s="31"/>
      <c r="CTB46" s="31"/>
      <c r="CTC46" s="31"/>
      <c r="CTD46" s="31"/>
      <c r="CTE46" s="31"/>
      <c r="CTF46" s="31"/>
      <c r="CTG46" s="31"/>
      <c r="CTH46" s="31"/>
      <c r="CTI46" s="31"/>
      <c r="CTJ46" s="31"/>
      <c r="CTK46" s="31"/>
      <c r="CTL46" s="31"/>
      <c r="CTM46" s="31"/>
      <c r="CTN46" s="31"/>
      <c r="CTO46" s="31"/>
      <c r="CTP46" s="31"/>
      <c r="CTQ46" s="31"/>
      <c r="CTR46" s="31"/>
      <c r="CTS46" s="31"/>
      <c r="CTT46" s="31"/>
      <c r="CTU46" s="31"/>
      <c r="CTV46" s="31"/>
      <c r="CTW46" s="31"/>
      <c r="CTX46" s="31"/>
      <c r="CTY46" s="31"/>
      <c r="CTZ46" s="31"/>
      <c r="CUA46" s="31"/>
      <c r="CUB46" s="31"/>
      <c r="CUC46" s="31"/>
      <c r="CUD46" s="31"/>
      <c r="CUE46" s="31"/>
      <c r="CUF46" s="31"/>
      <c r="CUG46" s="31"/>
      <c r="CUH46" s="31"/>
      <c r="CUI46" s="31"/>
      <c r="CUJ46" s="31"/>
      <c r="CUK46" s="31"/>
      <c r="CUL46" s="31"/>
      <c r="CUM46" s="31"/>
      <c r="CUN46" s="31"/>
      <c r="CUO46" s="31"/>
      <c r="CUP46" s="31"/>
      <c r="CUQ46" s="31"/>
      <c r="CUR46" s="31"/>
      <c r="CUS46" s="31"/>
      <c r="CUT46" s="31"/>
      <c r="CUU46" s="31"/>
      <c r="CUV46" s="31"/>
      <c r="CUW46" s="31"/>
      <c r="CUX46" s="31"/>
      <c r="CUY46" s="31"/>
      <c r="CUZ46" s="31"/>
      <c r="CVA46" s="31"/>
      <c r="CVB46" s="31"/>
      <c r="CVC46" s="31"/>
      <c r="CVD46" s="31"/>
      <c r="CVE46" s="31"/>
      <c r="CVF46" s="31"/>
      <c r="CVG46" s="31"/>
      <c r="CVH46" s="31"/>
      <c r="CVI46" s="31"/>
      <c r="CVJ46" s="31"/>
      <c r="CVK46" s="31"/>
      <c r="CVL46" s="31"/>
      <c r="CVM46" s="31"/>
      <c r="CVN46" s="31"/>
      <c r="CVO46" s="31"/>
      <c r="CVP46" s="31"/>
      <c r="CVQ46" s="31"/>
      <c r="CVR46" s="31"/>
      <c r="CVS46" s="31"/>
      <c r="CVT46" s="31"/>
      <c r="CVU46" s="31"/>
      <c r="CVV46" s="31"/>
      <c r="CVW46" s="31"/>
      <c r="CVX46" s="31"/>
      <c r="CVY46" s="31"/>
      <c r="CVZ46" s="31"/>
      <c r="CWA46" s="31"/>
      <c r="CWB46" s="31"/>
      <c r="CWC46" s="31"/>
      <c r="CWD46" s="31"/>
      <c r="CWE46" s="31"/>
      <c r="CWF46" s="31"/>
      <c r="CWG46" s="31"/>
      <c r="CWH46" s="31"/>
      <c r="CWI46" s="31"/>
      <c r="CWJ46" s="31"/>
      <c r="CWK46" s="31"/>
      <c r="CWL46" s="31"/>
      <c r="CWM46" s="31"/>
      <c r="CWN46" s="31"/>
      <c r="CWO46" s="31"/>
      <c r="CWP46" s="31"/>
      <c r="CWQ46" s="31"/>
      <c r="CWR46" s="31"/>
      <c r="CWS46" s="31"/>
      <c r="CWT46" s="31"/>
      <c r="CWU46" s="31"/>
      <c r="CWV46" s="31"/>
      <c r="CWW46" s="31"/>
      <c r="CWX46" s="31"/>
      <c r="CWY46" s="31"/>
      <c r="CWZ46" s="31"/>
      <c r="CXA46" s="31"/>
      <c r="CXB46" s="31"/>
      <c r="CXC46" s="31"/>
      <c r="CXD46" s="31"/>
      <c r="CXE46" s="31"/>
      <c r="CXF46" s="31"/>
      <c r="CXG46" s="31"/>
      <c r="CXH46" s="31"/>
      <c r="CXI46" s="31"/>
      <c r="CXJ46" s="31"/>
      <c r="CXK46" s="31"/>
      <c r="CXL46" s="31"/>
      <c r="CXM46" s="31"/>
      <c r="CXN46" s="31"/>
      <c r="CXO46" s="31"/>
      <c r="CXP46" s="31"/>
      <c r="CXQ46" s="31"/>
      <c r="CXR46" s="31"/>
      <c r="CXS46" s="31"/>
      <c r="CXT46" s="31"/>
      <c r="CXU46" s="31"/>
      <c r="CXV46" s="31"/>
      <c r="CXW46" s="31"/>
      <c r="CXX46" s="31"/>
      <c r="CXY46" s="31"/>
      <c r="CXZ46" s="31"/>
      <c r="CYA46" s="31"/>
      <c r="CYB46" s="31"/>
      <c r="CYC46" s="31"/>
      <c r="CYD46" s="31"/>
      <c r="CYE46" s="31"/>
      <c r="CYF46" s="31"/>
      <c r="CYG46" s="31"/>
      <c r="CYH46" s="31"/>
      <c r="CYI46" s="31"/>
      <c r="CYJ46" s="31"/>
      <c r="CYK46" s="31"/>
      <c r="CYL46" s="31"/>
      <c r="CYM46" s="31"/>
      <c r="CYN46" s="31"/>
      <c r="CYO46" s="31"/>
      <c r="CYP46" s="31"/>
      <c r="CYQ46" s="31"/>
      <c r="CYR46" s="31"/>
      <c r="CYS46" s="31"/>
      <c r="CYT46" s="31"/>
      <c r="CYU46" s="31"/>
      <c r="CYV46" s="31"/>
      <c r="CYW46" s="31"/>
      <c r="CYX46" s="31"/>
      <c r="CYY46" s="31"/>
      <c r="CYZ46" s="31"/>
      <c r="CZA46" s="31"/>
      <c r="CZB46" s="31"/>
      <c r="CZC46" s="31"/>
      <c r="CZD46" s="31"/>
      <c r="CZE46" s="31"/>
      <c r="CZF46" s="31"/>
      <c r="CZG46" s="31"/>
      <c r="CZH46" s="31"/>
      <c r="CZI46" s="31"/>
      <c r="CZJ46" s="31"/>
      <c r="CZK46" s="31"/>
      <c r="CZL46" s="31"/>
      <c r="CZM46" s="31"/>
      <c r="CZN46" s="31"/>
      <c r="CZO46" s="31"/>
      <c r="CZP46" s="31"/>
      <c r="CZQ46" s="31"/>
      <c r="CZR46" s="31"/>
      <c r="CZS46" s="31"/>
      <c r="CZT46" s="31"/>
      <c r="CZU46" s="31"/>
      <c r="CZV46" s="31"/>
      <c r="CZW46" s="31"/>
      <c r="CZX46" s="31"/>
      <c r="CZY46" s="31"/>
      <c r="CZZ46" s="31"/>
      <c r="DAA46" s="31"/>
      <c r="DAB46" s="31"/>
      <c r="DAC46" s="31"/>
      <c r="DAD46" s="31"/>
      <c r="DAE46" s="31"/>
      <c r="DAF46" s="31"/>
      <c r="DAG46" s="31"/>
      <c r="DAH46" s="31"/>
      <c r="DAI46" s="31"/>
      <c r="DAJ46" s="31"/>
      <c r="DAK46" s="31"/>
      <c r="DAL46" s="31"/>
      <c r="DAM46" s="31"/>
      <c r="DAN46" s="31"/>
      <c r="DAO46" s="31"/>
      <c r="DAP46" s="31"/>
      <c r="DAQ46" s="31"/>
      <c r="DAR46" s="31"/>
      <c r="DAS46" s="31"/>
      <c r="DAT46" s="31"/>
      <c r="DAU46" s="31"/>
      <c r="DAV46" s="31"/>
      <c r="DAW46" s="31"/>
      <c r="DAX46" s="31"/>
      <c r="DAY46" s="31"/>
      <c r="DAZ46" s="31"/>
      <c r="DBA46" s="31"/>
      <c r="DBB46" s="31"/>
      <c r="DBC46" s="31"/>
      <c r="DBD46" s="31"/>
      <c r="DBE46" s="31"/>
      <c r="DBF46" s="31"/>
      <c r="DBG46" s="31"/>
      <c r="DBH46" s="31"/>
      <c r="DBI46" s="31"/>
      <c r="DBJ46" s="31"/>
      <c r="DBK46" s="31"/>
      <c r="DBL46" s="31"/>
      <c r="DBM46" s="31"/>
      <c r="DBN46" s="31"/>
      <c r="DBO46" s="31"/>
      <c r="DBP46" s="31"/>
      <c r="DBQ46" s="31"/>
      <c r="DBR46" s="31"/>
      <c r="DBS46" s="31"/>
      <c r="DBT46" s="31"/>
      <c r="DBU46" s="31"/>
      <c r="DBV46" s="31"/>
      <c r="DBW46" s="31"/>
      <c r="DBX46" s="31"/>
      <c r="DBY46" s="31"/>
      <c r="DBZ46" s="31"/>
      <c r="DCA46" s="31"/>
      <c r="DCB46" s="31"/>
      <c r="DCC46" s="31"/>
      <c r="DCD46" s="31"/>
      <c r="DCE46" s="31"/>
      <c r="DCF46" s="31"/>
      <c r="DCG46" s="31"/>
      <c r="DCH46" s="31"/>
      <c r="DCI46" s="31"/>
      <c r="DCJ46" s="31"/>
      <c r="DCK46" s="31"/>
      <c r="DCL46" s="31"/>
      <c r="DCM46" s="31"/>
      <c r="DCN46" s="31"/>
      <c r="DCO46" s="31"/>
      <c r="DCP46" s="31"/>
      <c r="DCQ46" s="31"/>
      <c r="DCR46" s="31"/>
      <c r="DCS46" s="31"/>
      <c r="DCT46" s="31"/>
      <c r="DCU46" s="31"/>
      <c r="DCV46" s="31"/>
      <c r="DCW46" s="31"/>
      <c r="DCX46" s="31"/>
      <c r="DCY46" s="31"/>
      <c r="DCZ46" s="31"/>
      <c r="DDA46" s="31"/>
      <c r="DDB46" s="31"/>
      <c r="DDC46" s="31"/>
      <c r="DDD46" s="31"/>
      <c r="DDE46" s="31"/>
      <c r="DDF46" s="31"/>
      <c r="DDG46" s="31"/>
      <c r="DDH46" s="31"/>
      <c r="DDI46" s="31"/>
      <c r="DDJ46" s="31"/>
      <c r="DDK46" s="31"/>
      <c r="DDL46" s="31"/>
      <c r="DDM46" s="31"/>
      <c r="DDN46" s="31"/>
      <c r="DDO46" s="31"/>
      <c r="DDP46" s="31"/>
      <c r="DDQ46" s="31"/>
      <c r="DDR46" s="31"/>
      <c r="DDS46" s="31"/>
      <c r="DDT46" s="31"/>
      <c r="DDU46" s="31"/>
      <c r="DDV46" s="31"/>
      <c r="DDW46" s="31"/>
      <c r="DDX46" s="31"/>
      <c r="DDY46" s="31"/>
      <c r="DDZ46" s="31"/>
      <c r="DEA46" s="31"/>
      <c r="DEB46" s="31"/>
      <c r="DEC46" s="31"/>
      <c r="DED46" s="31"/>
      <c r="DEE46" s="31"/>
      <c r="DEF46" s="31"/>
      <c r="DEG46" s="31"/>
      <c r="DEH46" s="31"/>
      <c r="DEI46" s="31"/>
      <c r="DEJ46" s="31"/>
      <c r="DEK46" s="31"/>
      <c r="DEL46" s="31"/>
      <c r="DEM46" s="31"/>
      <c r="DEN46" s="31"/>
      <c r="DEO46" s="31"/>
      <c r="DEP46" s="31"/>
      <c r="DEQ46" s="31"/>
      <c r="DER46" s="31"/>
      <c r="DES46" s="31"/>
      <c r="DET46" s="31"/>
      <c r="DEU46" s="31"/>
      <c r="DEV46" s="31"/>
      <c r="DEW46" s="31"/>
      <c r="DEX46" s="31"/>
      <c r="DEY46" s="31"/>
      <c r="DEZ46" s="31"/>
      <c r="DFA46" s="31"/>
      <c r="DFB46" s="31"/>
      <c r="DFC46" s="31"/>
      <c r="DFD46" s="31"/>
      <c r="DFE46" s="31"/>
      <c r="DFF46" s="31"/>
      <c r="DFG46" s="31"/>
      <c r="DFH46" s="31"/>
      <c r="DFI46" s="31"/>
      <c r="DFJ46" s="31"/>
      <c r="DFK46" s="31"/>
      <c r="DFL46" s="31"/>
      <c r="DFM46" s="31"/>
      <c r="DFN46" s="31"/>
      <c r="DFO46" s="31"/>
      <c r="DFP46" s="31"/>
      <c r="DFQ46" s="31"/>
      <c r="DFR46" s="31"/>
      <c r="DFS46" s="31"/>
      <c r="DFT46" s="31"/>
      <c r="DFU46" s="31"/>
      <c r="DFV46" s="31"/>
      <c r="DFW46" s="31"/>
      <c r="DFX46" s="31"/>
      <c r="DFY46" s="31"/>
      <c r="DFZ46" s="31"/>
      <c r="DGA46" s="31"/>
      <c r="DGB46" s="31"/>
      <c r="DGC46" s="31"/>
      <c r="DGD46" s="31"/>
      <c r="DGE46" s="31"/>
      <c r="DGF46" s="31"/>
      <c r="DGG46" s="31"/>
      <c r="DGH46" s="31"/>
      <c r="DGI46" s="31"/>
      <c r="DGJ46" s="31"/>
      <c r="DGK46" s="31"/>
      <c r="DGL46" s="31"/>
      <c r="DGM46" s="31"/>
      <c r="DGN46" s="31"/>
      <c r="DGO46" s="31"/>
      <c r="DGP46" s="31"/>
      <c r="DGQ46" s="31"/>
      <c r="DGR46" s="31"/>
      <c r="DGS46" s="31"/>
      <c r="DGT46" s="31"/>
      <c r="DGU46" s="31"/>
      <c r="DGV46" s="31"/>
      <c r="DGW46" s="31"/>
      <c r="DGX46" s="31"/>
      <c r="DGY46" s="31"/>
      <c r="DGZ46" s="31"/>
      <c r="DHA46" s="31"/>
      <c r="DHB46" s="31"/>
      <c r="DHC46" s="31"/>
      <c r="DHD46" s="31"/>
      <c r="DHE46" s="31"/>
      <c r="DHF46" s="31"/>
      <c r="DHG46" s="31"/>
      <c r="DHH46" s="31"/>
      <c r="DHI46" s="31"/>
      <c r="DHJ46" s="31"/>
      <c r="DHK46" s="31"/>
      <c r="DHL46" s="31"/>
      <c r="DHM46" s="31"/>
      <c r="DHN46" s="31"/>
      <c r="DHO46" s="31"/>
      <c r="DHP46" s="31"/>
      <c r="DHQ46" s="31"/>
      <c r="DHR46" s="31"/>
      <c r="DHS46" s="31"/>
      <c r="DHT46" s="31"/>
      <c r="DHU46" s="31"/>
      <c r="DHV46" s="31"/>
      <c r="DHW46" s="31"/>
      <c r="DHX46" s="31"/>
      <c r="DHY46" s="31"/>
      <c r="DHZ46" s="31"/>
      <c r="DIA46" s="31"/>
      <c r="DIB46" s="31"/>
      <c r="DIC46" s="31"/>
      <c r="DID46" s="31"/>
      <c r="DIE46" s="31"/>
      <c r="DIF46" s="31"/>
      <c r="DIG46" s="31"/>
      <c r="DIH46" s="31"/>
      <c r="DII46" s="31"/>
      <c r="DIJ46" s="31"/>
      <c r="DIK46" s="31"/>
      <c r="DIL46" s="31"/>
      <c r="DIM46" s="31"/>
      <c r="DIN46" s="31"/>
      <c r="DIO46" s="31"/>
      <c r="DIP46" s="31"/>
      <c r="DIQ46" s="31"/>
      <c r="DIR46" s="31"/>
      <c r="DIS46" s="31"/>
      <c r="DIT46" s="31"/>
      <c r="DIU46" s="31"/>
      <c r="DIV46" s="31"/>
      <c r="DIW46" s="31"/>
      <c r="DIX46" s="31"/>
      <c r="DIY46" s="31"/>
      <c r="DIZ46" s="31"/>
      <c r="DJA46" s="31"/>
      <c r="DJB46" s="31"/>
      <c r="DJC46" s="31"/>
      <c r="DJD46" s="31"/>
      <c r="DJE46" s="31"/>
      <c r="DJF46" s="31"/>
      <c r="DJG46" s="31"/>
      <c r="DJH46" s="31"/>
      <c r="DJI46" s="31"/>
      <c r="DJJ46" s="31"/>
      <c r="DJK46" s="31"/>
      <c r="DJL46" s="31"/>
      <c r="DJM46" s="31"/>
      <c r="DJN46" s="31"/>
      <c r="DJO46" s="31"/>
      <c r="DJP46" s="31"/>
      <c r="DJQ46" s="31"/>
      <c r="DJR46" s="31"/>
      <c r="DJS46" s="31"/>
      <c r="DJT46" s="31"/>
      <c r="DJU46" s="31"/>
      <c r="DJV46" s="31"/>
      <c r="DJW46" s="31"/>
      <c r="DJX46" s="31"/>
      <c r="DJY46" s="31"/>
      <c r="DJZ46" s="31"/>
      <c r="DKA46" s="31"/>
      <c r="DKB46" s="31"/>
      <c r="DKC46" s="31"/>
      <c r="DKD46" s="31"/>
      <c r="DKE46" s="31"/>
      <c r="DKF46" s="31"/>
      <c r="DKG46" s="31"/>
      <c r="DKH46" s="31"/>
      <c r="DKI46" s="31"/>
      <c r="DKJ46" s="31"/>
      <c r="DKK46" s="31"/>
      <c r="DKL46" s="31"/>
      <c r="DKM46" s="31"/>
      <c r="DKN46" s="31"/>
      <c r="DKO46" s="31"/>
      <c r="DKP46" s="31"/>
      <c r="DKQ46" s="31"/>
      <c r="DKR46" s="31"/>
      <c r="DKS46" s="31"/>
      <c r="DKT46" s="31"/>
      <c r="DKU46" s="31"/>
      <c r="DKV46" s="31"/>
      <c r="DKW46" s="31"/>
      <c r="DKX46" s="31"/>
      <c r="DKY46" s="31"/>
      <c r="DKZ46" s="31"/>
      <c r="DLA46" s="31"/>
      <c r="DLB46" s="31"/>
      <c r="DLC46" s="31"/>
      <c r="DLD46" s="31"/>
      <c r="DLE46" s="31"/>
      <c r="DLF46" s="31"/>
      <c r="DLG46" s="31"/>
      <c r="DLH46" s="31"/>
      <c r="DLI46" s="31"/>
      <c r="DLJ46" s="31"/>
      <c r="DLK46" s="31"/>
      <c r="DLL46" s="31"/>
      <c r="DLM46" s="31"/>
      <c r="DLN46" s="31"/>
      <c r="DLO46" s="31"/>
      <c r="DLP46" s="31"/>
      <c r="DLQ46" s="31"/>
      <c r="DLR46" s="31"/>
      <c r="DLS46" s="31"/>
      <c r="DLT46" s="31"/>
      <c r="DLU46" s="31"/>
      <c r="DLV46" s="31"/>
      <c r="DLW46" s="31"/>
      <c r="DLX46" s="31"/>
      <c r="DLY46" s="31"/>
      <c r="DLZ46" s="31"/>
      <c r="DMA46" s="31"/>
      <c r="DMB46" s="31"/>
      <c r="DMC46" s="31"/>
      <c r="DMD46" s="31"/>
      <c r="DME46" s="31"/>
      <c r="DMF46" s="31"/>
      <c r="DMG46" s="31"/>
      <c r="DMH46" s="31"/>
      <c r="DMI46" s="31"/>
      <c r="DMJ46" s="31"/>
      <c r="DMK46" s="31"/>
      <c r="DML46" s="31"/>
      <c r="DMM46" s="31"/>
      <c r="DMN46" s="31"/>
      <c r="DMO46" s="31"/>
      <c r="DMP46" s="31"/>
      <c r="DMQ46" s="31"/>
      <c r="DMR46" s="31"/>
      <c r="DMS46" s="31"/>
      <c r="DMT46" s="31"/>
      <c r="DMU46" s="31"/>
      <c r="DMV46" s="31"/>
      <c r="DMW46" s="31"/>
      <c r="DMX46" s="31"/>
      <c r="DMY46" s="31"/>
      <c r="DMZ46" s="31"/>
      <c r="DNA46" s="31"/>
      <c r="DNB46" s="31"/>
      <c r="DNC46" s="31"/>
      <c r="DND46" s="31"/>
      <c r="DNE46" s="31"/>
      <c r="DNF46" s="31"/>
      <c r="DNG46" s="31"/>
      <c r="DNH46" s="31"/>
      <c r="DNI46" s="31"/>
      <c r="DNJ46" s="31"/>
      <c r="DNK46" s="31"/>
      <c r="DNL46" s="31"/>
      <c r="DNM46" s="31"/>
      <c r="DNN46" s="31"/>
      <c r="DNO46" s="31"/>
      <c r="DNP46" s="31"/>
      <c r="DNQ46" s="31"/>
      <c r="DNR46" s="31"/>
      <c r="DNS46" s="31"/>
      <c r="DNT46" s="31"/>
      <c r="DNU46" s="31"/>
      <c r="DNV46" s="31"/>
      <c r="DNW46" s="31"/>
      <c r="DNX46" s="31"/>
      <c r="DNY46" s="31"/>
      <c r="DNZ46" s="31"/>
      <c r="DOA46" s="31"/>
      <c r="DOB46" s="31"/>
      <c r="DOC46" s="31"/>
      <c r="DOD46" s="31"/>
      <c r="DOE46" s="31"/>
      <c r="DOF46" s="31"/>
      <c r="DOG46" s="31"/>
      <c r="DOH46" s="31"/>
      <c r="DOI46" s="31"/>
      <c r="DOJ46" s="31"/>
      <c r="DOK46" s="31"/>
      <c r="DOL46" s="31"/>
      <c r="DOM46" s="31"/>
      <c r="DON46" s="31"/>
      <c r="DOO46" s="31"/>
      <c r="DOP46" s="31"/>
      <c r="DOQ46" s="31"/>
      <c r="DOR46" s="31"/>
      <c r="DOS46" s="31"/>
      <c r="DOT46" s="31"/>
      <c r="DOU46" s="31"/>
      <c r="DOV46" s="31"/>
      <c r="DOW46" s="31"/>
      <c r="DOX46" s="31"/>
      <c r="DOY46" s="31"/>
      <c r="DOZ46" s="31"/>
      <c r="DPA46" s="31"/>
      <c r="DPB46" s="31"/>
      <c r="DPC46" s="31"/>
      <c r="DPD46" s="31"/>
      <c r="DPE46" s="31"/>
      <c r="DPF46" s="31"/>
      <c r="DPG46" s="31"/>
      <c r="DPH46" s="31"/>
      <c r="DPI46" s="31"/>
      <c r="DPJ46" s="31"/>
      <c r="DPK46" s="31"/>
      <c r="DPL46" s="31"/>
      <c r="DPM46" s="31"/>
      <c r="DPN46" s="31"/>
      <c r="DPO46" s="31"/>
      <c r="DPP46" s="31"/>
      <c r="DPQ46" s="31"/>
      <c r="DPR46" s="31"/>
      <c r="DPS46" s="31"/>
      <c r="DPT46" s="31"/>
      <c r="DPU46" s="31"/>
      <c r="DPV46" s="31"/>
      <c r="DPW46" s="31"/>
      <c r="DPX46" s="31"/>
      <c r="DPY46" s="31"/>
      <c r="DPZ46" s="31"/>
      <c r="DQA46" s="31"/>
      <c r="DQB46" s="31"/>
      <c r="DQC46" s="31"/>
      <c r="DQD46" s="31"/>
      <c r="DQE46" s="31"/>
      <c r="DQF46" s="31"/>
      <c r="DQG46" s="31"/>
      <c r="DQH46" s="31"/>
      <c r="DQI46" s="31"/>
      <c r="DQJ46" s="31"/>
      <c r="DQK46" s="31"/>
      <c r="DQL46" s="31"/>
      <c r="DQM46" s="31"/>
      <c r="DQN46" s="31"/>
      <c r="DQO46" s="31"/>
      <c r="DQP46" s="31"/>
      <c r="DQQ46" s="31"/>
      <c r="DQR46" s="31"/>
      <c r="DQS46" s="31"/>
      <c r="DQT46" s="31"/>
      <c r="DQU46" s="31"/>
      <c r="DQV46" s="31"/>
      <c r="DQW46" s="31"/>
      <c r="DQX46" s="31"/>
      <c r="DQY46" s="31"/>
      <c r="DQZ46" s="31"/>
      <c r="DRA46" s="31"/>
      <c r="DRB46" s="31"/>
      <c r="DRC46" s="31"/>
      <c r="DRD46" s="31"/>
      <c r="DRE46" s="31"/>
      <c r="DRF46" s="31"/>
      <c r="DRG46" s="31"/>
      <c r="DRH46" s="31"/>
      <c r="DRI46" s="31"/>
      <c r="DRJ46" s="31"/>
      <c r="DRK46" s="31"/>
      <c r="DRL46" s="31"/>
      <c r="DRM46" s="31"/>
      <c r="DRN46" s="31"/>
      <c r="DRO46" s="31"/>
      <c r="DRP46" s="31"/>
      <c r="DRQ46" s="31"/>
      <c r="DRR46" s="31"/>
      <c r="DRS46" s="31"/>
      <c r="DRT46" s="31"/>
      <c r="DRU46" s="31"/>
      <c r="DRV46" s="31"/>
      <c r="DRW46" s="31"/>
      <c r="DRX46" s="31"/>
      <c r="DRY46" s="31"/>
      <c r="DRZ46" s="31"/>
      <c r="DSA46" s="31"/>
      <c r="DSB46" s="31"/>
      <c r="DSC46" s="31"/>
      <c r="DSD46" s="31"/>
      <c r="DSE46" s="31"/>
      <c r="DSF46" s="31"/>
      <c r="DSG46" s="31"/>
      <c r="DSH46" s="31"/>
      <c r="DSI46" s="31"/>
      <c r="DSJ46" s="31"/>
      <c r="DSK46" s="31"/>
      <c r="DSL46" s="31"/>
      <c r="DSM46" s="31"/>
      <c r="DSN46" s="31"/>
      <c r="DSO46" s="31"/>
      <c r="DSP46" s="31"/>
      <c r="DSQ46" s="31"/>
      <c r="DSR46" s="31"/>
      <c r="DSS46" s="31"/>
      <c r="DST46" s="31"/>
      <c r="DSU46" s="31"/>
      <c r="DSV46" s="31"/>
      <c r="DSW46" s="31"/>
      <c r="DSX46" s="31"/>
      <c r="DSY46" s="31"/>
      <c r="DSZ46" s="31"/>
      <c r="DTA46" s="31"/>
      <c r="DTB46" s="31"/>
      <c r="DTC46" s="31"/>
      <c r="DTD46" s="31"/>
      <c r="DTE46" s="31"/>
      <c r="DTF46" s="31"/>
      <c r="DTG46" s="31"/>
      <c r="DTH46" s="31"/>
      <c r="DTI46" s="31"/>
      <c r="DTJ46" s="31"/>
      <c r="DTK46" s="31"/>
      <c r="DTL46" s="31"/>
      <c r="DTM46" s="31"/>
      <c r="DTN46" s="31"/>
      <c r="DTO46" s="31"/>
      <c r="DTP46" s="31"/>
      <c r="DTQ46" s="31"/>
      <c r="DTR46" s="31"/>
      <c r="DTS46" s="31"/>
      <c r="DTT46" s="31"/>
      <c r="DTU46" s="31"/>
      <c r="DTV46" s="31"/>
      <c r="DTW46" s="31"/>
      <c r="DTX46" s="31"/>
      <c r="DTY46" s="31"/>
      <c r="DTZ46" s="31"/>
      <c r="DUA46" s="31"/>
      <c r="DUB46" s="31"/>
      <c r="DUC46" s="31"/>
      <c r="DUD46" s="31"/>
      <c r="DUE46" s="31"/>
      <c r="DUF46" s="31"/>
      <c r="DUG46" s="31"/>
      <c r="DUH46" s="31"/>
      <c r="DUI46" s="31"/>
      <c r="DUJ46" s="31"/>
      <c r="DUK46" s="31"/>
      <c r="DUL46" s="31"/>
      <c r="DUM46" s="31"/>
      <c r="DUN46" s="31"/>
      <c r="DUO46" s="31"/>
      <c r="DUP46" s="31"/>
      <c r="DUQ46" s="31"/>
      <c r="DUR46" s="31"/>
      <c r="DUS46" s="31"/>
      <c r="DUT46" s="31"/>
      <c r="DUU46" s="31"/>
      <c r="DUV46" s="31"/>
      <c r="DUW46" s="31"/>
      <c r="DUX46" s="31"/>
      <c r="DUY46" s="31"/>
      <c r="DUZ46" s="31"/>
      <c r="DVA46" s="31"/>
      <c r="DVB46" s="31"/>
      <c r="DVC46" s="31"/>
      <c r="DVD46" s="31"/>
      <c r="DVE46" s="31"/>
      <c r="DVF46" s="31"/>
      <c r="DVG46" s="31"/>
      <c r="DVH46" s="31"/>
      <c r="DVI46" s="31"/>
      <c r="DVJ46" s="31"/>
      <c r="DVK46" s="31"/>
      <c r="DVL46" s="31"/>
      <c r="DVM46" s="31"/>
      <c r="DVN46" s="31"/>
      <c r="DVO46" s="31"/>
      <c r="DVP46" s="31"/>
      <c r="DVQ46" s="31"/>
      <c r="DVR46" s="31"/>
      <c r="DVS46" s="31"/>
      <c r="DVT46" s="31"/>
      <c r="DVU46" s="31"/>
      <c r="DVV46" s="31"/>
      <c r="DVW46" s="31"/>
      <c r="DVX46" s="31"/>
      <c r="DVY46" s="31"/>
      <c r="DVZ46" s="31"/>
      <c r="DWA46" s="31"/>
      <c r="DWB46" s="31"/>
      <c r="DWC46" s="31"/>
      <c r="DWD46" s="31"/>
      <c r="DWE46" s="31"/>
      <c r="DWF46" s="31"/>
      <c r="DWG46" s="31"/>
      <c r="DWH46" s="31"/>
      <c r="DWI46" s="31"/>
      <c r="DWJ46" s="31"/>
      <c r="DWK46" s="31"/>
      <c r="DWL46" s="31"/>
      <c r="DWM46" s="31"/>
      <c r="DWN46" s="31"/>
      <c r="DWO46" s="31"/>
      <c r="DWP46" s="31"/>
      <c r="DWQ46" s="31"/>
      <c r="DWR46" s="31"/>
      <c r="DWS46" s="31"/>
      <c r="DWT46" s="31"/>
      <c r="DWU46" s="31"/>
      <c r="DWV46" s="31"/>
      <c r="DWW46" s="31"/>
      <c r="DWX46" s="31"/>
      <c r="DWY46" s="31"/>
      <c r="DWZ46" s="31"/>
      <c r="DXA46" s="31"/>
      <c r="DXB46" s="31"/>
      <c r="DXC46" s="31"/>
      <c r="DXD46" s="31"/>
      <c r="DXE46" s="31"/>
      <c r="DXF46" s="31"/>
      <c r="DXG46" s="31"/>
      <c r="DXH46" s="31"/>
      <c r="DXI46" s="31"/>
      <c r="DXJ46" s="31"/>
      <c r="DXK46" s="31"/>
      <c r="DXL46" s="31"/>
      <c r="DXM46" s="31"/>
      <c r="DXN46" s="31"/>
      <c r="DXO46" s="31"/>
      <c r="DXP46" s="31"/>
      <c r="DXQ46" s="31"/>
      <c r="DXR46" s="31"/>
      <c r="DXS46" s="31"/>
      <c r="DXT46" s="31"/>
      <c r="DXU46" s="31"/>
      <c r="DXV46" s="31"/>
      <c r="DXW46" s="31"/>
      <c r="DXX46" s="31"/>
      <c r="DXY46" s="31"/>
      <c r="DXZ46" s="31"/>
      <c r="DYA46" s="31"/>
      <c r="DYB46" s="31"/>
      <c r="DYC46" s="31"/>
      <c r="DYD46" s="31"/>
      <c r="DYE46" s="31"/>
      <c r="DYF46" s="31"/>
      <c r="DYG46" s="31"/>
      <c r="DYH46" s="31"/>
      <c r="DYI46" s="31"/>
      <c r="DYJ46" s="31"/>
      <c r="DYK46" s="31"/>
      <c r="DYL46" s="31"/>
      <c r="DYM46" s="31"/>
      <c r="DYN46" s="31"/>
      <c r="DYO46" s="31"/>
      <c r="DYP46" s="31"/>
      <c r="DYQ46" s="31"/>
      <c r="DYR46" s="31"/>
      <c r="DYS46" s="31"/>
      <c r="DYT46" s="31"/>
      <c r="DYU46" s="31"/>
      <c r="DYV46" s="31"/>
      <c r="DYW46" s="31"/>
      <c r="DYX46" s="31"/>
      <c r="DYY46" s="31"/>
      <c r="DYZ46" s="31"/>
      <c r="DZA46" s="31"/>
      <c r="DZB46" s="31"/>
      <c r="DZC46" s="31"/>
      <c r="DZD46" s="31"/>
      <c r="DZE46" s="31"/>
      <c r="DZF46" s="31"/>
      <c r="DZG46" s="31"/>
      <c r="DZH46" s="31"/>
      <c r="DZI46" s="31"/>
      <c r="DZJ46" s="31"/>
      <c r="DZK46" s="31"/>
      <c r="DZL46" s="31"/>
      <c r="DZM46" s="31"/>
      <c r="DZN46" s="31"/>
      <c r="DZO46" s="31"/>
      <c r="DZP46" s="31"/>
      <c r="DZQ46" s="31"/>
      <c r="DZR46" s="31"/>
      <c r="DZS46" s="31"/>
      <c r="DZT46" s="31"/>
      <c r="DZU46" s="31"/>
      <c r="DZV46" s="31"/>
      <c r="DZW46" s="31"/>
      <c r="DZX46" s="31"/>
      <c r="DZY46" s="31"/>
      <c r="DZZ46" s="31"/>
      <c r="EAA46" s="31"/>
      <c r="EAB46" s="31"/>
      <c r="EAC46" s="31"/>
      <c r="EAD46" s="31"/>
      <c r="EAE46" s="31"/>
      <c r="EAF46" s="31"/>
      <c r="EAG46" s="31"/>
      <c r="EAH46" s="31"/>
      <c r="EAI46" s="31"/>
      <c r="EAJ46" s="31"/>
      <c r="EAK46" s="31"/>
      <c r="EAL46" s="31"/>
      <c r="EAM46" s="31"/>
      <c r="EAN46" s="31"/>
      <c r="EAO46" s="31"/>
      <c r="EAP46" s="31"/>
      <c r="EAQ46" s="31"/>
      <c r="EAR46" s="31"/>
      <c r="EAS46" s="31"/>
      <c r="EAT46" s="31"/>
      <c r="EAU46" s="31"/>
      <c r="EAV46" s="31"/>
      <c r="EAW46" s="31"/>
      <c r="EAX46" s="31"/>
      <c r="EAY46" s="31"/>
      <c r="EAZ46" s="31"/>
      <c r="EBA46" s="31"/>
      <c r="EBB46" s="31"/>
      <c r="EBC46" s="31"/>
      <c r="EBD46" s="31"/>
      <c r="EBE46" s="31"/>
      <c r="EBF46" s="31"/>
      <c r="EBG46" s="31"/>
      <c r="EBH46" s="31"/>
      <c r="EBI46" s="31"/>
      <c r="EBJ46" s="31"/>
      <c r="EBK46" s="31"/>
      <c r="EBL46" s="31"/>
      <c r="EBM46" s="31"/>
      <c r="EBN46" s="31"/>
      <c r="EBO46" s="31"/>
      <c r="EBP46" s="31"/>
      <c r="EBQ46" s="31"/>
      <c r="EBR46" s="31"/>
      <c r="EBS46" s="31"/>
      <c r="EBT46" s="31"/>
      <c r="EBU46" s="31"/>
      <c r="EBV46" s="31"/>
      <c r="EBW46" s="31"/>
      <c r="EBX46" s="31"/>
      <c r="EBY46" s="31"/>
      <c r="EBZ46" s="31"/>
      <c r="ECA46" s="31"/>
      <c r="ECB46" s="31"/>
      <c r="ECC46" s="31"/>
      <c r="ECD46" s="31"/>
      <c r="ECE46" s="31"/>
      <c r="ECF46" s="31"/>
      <c r="ECG46" s="31"/>
      <c r="ECH46" s="31"/>
      <c r="ECI46" s="31"/>
      <c r="ECJ46" s="31"/>
      <c r="ECK46" s="31"/>
      <c r="ECL46" s="31"/>
      <c r="ECM46" s="31"/>
      <c r="ECN46" s="31"/>
      <c r="ECO46" s="31"/>
      <c r="ECP46" s="31"/>
      <c r="ECQ46" s="31"/>
      <c r="ECR46" s="31"/>
      <c r="ECS46" s="31"/>
      <c r="ECT46" s="31"/>
      <c r="ECU46" s="31"/>
      <c r="ECV46" s="31"/>
      <c r="ECW46" s="31"/>
      <c r="ECX46" s="31"/>
      <c r="ECY46" s="31"/>
      <c r="ECZ46" s="31"/>
      <c r="EDA46" s="31"/>
      <c r="EDB46" s="31"/>
      <c r="EDC46" s="31"/>
      <c r="EDD46" s="31"/>
      <c r="EDE46" s="31"/>
      <c r="EDF46" s="31"/>
      <c r="EDG46" s="31"/>
      <c r="EDH46" s="31"/>
      <c r="EDI46" s="31"/>
      <c r="EDJ46" s="31"/>
      <c r="EDK46" s="31"/>
      <c r="EDL46" s="31"/>
      <c r="EDM46" s="31"/>
      <c r="EDN46" s="31"/>
      <c r="EDO46" s="31"/>
      <c r="EDP46" s="31"/>
      <c r="EDQ46" s="31"/>
      <c r="EDR46" s="31"/>
      <c r="EDS46" s="31"/>
      <c r="EDT46" s="31"/>
      <c r="EDU46" s="31"/>
      <c r="EDV46" s="31"/>
      <c r="EDW46" s="31"/>
      <c r="EDX46" s="31"/>
      <c r="EDY46" s="31"/>
      <c r="EDZ46" s="31"/>
      <c r="EEA46" s="31"/>
      <c r="EEB46" s="31"/>
      <c r="EEC46" s="31"/>
      <c r="EED46" s="31"/>
      <c r="EEE46" s="31"/>
      <c r="EEF46" s="31"/>
      <c r="EEG46" s="31"/>
      <c r="EEH46" s="31"/>
      <c r="EEI46" s="31"/>
      <c r="EEJ46" s="31"/>
      <c r="EEK46" s="31"/>
      <c r="EEL46" s="31"/>
      <c r="EEM46" s="31"/>
      <c r="EEN46" s="31"/>
      <c r="EEO46" s="31"/>
      <c r="EEP46" s="31"/>
      <c r="EEQ46" s="31"/>
      <c r="EER46" s="31"/>
      <c r="EES46" s="31"/>
      <c r="EET46" s="31"/>
      <c r="EEU46" s="31"/>
      <c r="EEV46" s="31"/>
      <c r="EEW46" s="31"/>
      <c r="EEX46" s="31"/>
      <c r="EEY46" s="31"/>
      <c r="EEZ46" s="31"/>
      <c r="EFA46" s="31"/>
      <c r="EFB46" s="31"/>
      <c r="EFC46" s="31"/>
      <c r="EFD46" s="31"/>
      <c r="EFE46" s="31"/>
      <c r="EFF46" s="31"/>
      <c r="EFG46" s="31"/>
      <c r="EFH46" s="31"/>
      <c r="EFI46" s="31"/>
      <c r="EFJ46" s="31"/>
      <c r="EFK46" s="31"/>
      <c r="EFL46" s="31"/>
      <c r="EFM46" s="31"/>
      <c r="EFN46" s="31"/>
      <c r="EFO46" s="31"/>
      <c r="EFP46" s="31"/>
      <c r="EFQ46" s="31"/>
      <c r="EFR46" s="31"/>
      <c r="EFS46" s="31"/>
      <c r="EFT46" s="31"/>
      <c r="EFU46" s="31"/>
      <c r="EFV46" s="31"/>
      <c r="EFW46" s="31"/>
      <c r="EFX46" s="31"/>
      <c r="EFY46" s="31"/>
      <c r="EFZ46" s="31"/>
      <c r="EGA46" s="31"/>
      <c r="EGB46" s="31"/>
      <c r="EGC46" s="31"/>
      <c r="EGD46" s="31"/>
      <c r="EGE46" s="31"/>
      <c r="EGF46" s="31"/>
      <c r="EGG46" s="31"/>
      <c r="EGH46" s="31"/>
      <c r="EGI46" s="31"/>
      <c r="EGJ46" s="31"/>
      <c r="EGK46" s="31"/>
      <c r="EGL46" s="31"/>
      <c r="EGM46" s="31"/>
      <c r="EGN46" s="31"/>
      <c r="EGO46" s="31"/>
      <c r="EGP46" s="31"/>
      <c r="EGQ46" s="31"/>
      <c r="EGR46" s="31"/>
      <c r="EGS46" s="31"/>
      <c r="EGT46" s="31"/>
      <c r="EGU46" s="31"/>
      <c r="EGV46" s="31"/>
      <c r="EGW46" s="31"/>
      <c r="EGX46" s="31"/>
      <c r="EGY46" s="31"/>
      <c r="EGZ46" s="31"/>
      <c r="EHA46" s="31"/>
      <c r="EHB46" s="31"/>
      <c r="EHC46" s="31"/>
      <c r="EHD46" s="31"/>
      <c r="EHE46" s="31"/>
      <c r="EHF46" s="31"/>
      <c r="EHG46" s="31"/>
      <c r="EHH46" s="31"/>
      <c r="EHI46" s="31"/>
      <c r="EHJ46" s="31"/>
      <c r="EHK46" s="31"/>
      <c r="EHL46" s="31"/>
      <c r="EHM46" s="31"/>
      <c r="EHN46" s="31"/>
      <c r="EHO46" s="31"/>
      <c r="EHP46" s="31"/>
      <c r="EHQ46" s="31"/>
      <c r="EHR46" s="31"/>
      <c r="EHS46" s="31"/>
      <c r="EHT46" s="31"/>
      <c r="EHU46" s="31"/>
      <c r="EHV46" s="31"/>
      <c r="EHW46" s="31"/>
      <c r="EHX46" s="31"/>
      <c r="EHY46" s="31"/>
      <c r="EHZ46" s="31"/>
      <c r="EIA46" s="31"/>
      <c r="EIB46" s="31"/>
      <c r="EIC46" s="31"/>
      <c r="EID46" s="31"/>
      <c r="EIE46" s="31"/>
      <c r="EIF46" s="31"/>
      <c r="EIG46" s="31"/>
      <c r="EIH46" s="31"/>
      <c r="EII46" s="31"/>
      <c r="EIJ46" s="31"/>
      <c r="EIK46" s="31"/>
      <c r="EIL46" s="31"/>
      <c r="EIM46" s="31"/>
      <c r="EIN46" s="31"/>
      <c r="EIO46" s="31"/>
      <c r="EIP46" s="31"/>
      <c r="EIQ46" s="31"/>
      <c r="EIR46" s="31"/>
      <c r="EIS46" s="31"/>
      <c r="EIT46" s="31"/>
      <c r="EIU46" s="31"/>
      <c r="EIV46" s="31"/>
      <c r="EIW46" s="31"/>
      <c r="EIX46" s="31"/>
      <c r="EIY46" s="31"/>
      <c r="EIZ46" s="31"/>
      <c r="EJA46" s="31"/>
      <c r="EJB46" s="31"/>
      <c r="EJC46" s="31"/>
      <c r="EJD46" s="31"/>
      <c r="EJE46" s="31"/>
      <c r="EJF46" s="31"/>
      <c r="EJG46" s="31"/>
      <c r="EJH46" s="31"/>
      <c r="EJI46" s="31"/>
      <c r="EJJ46" s="31"/>
      <c r="EJK46" s="31"/>
      <c r="EJL46" s="31"/>
      <c r="EJM46" s="31"/>
      <c r="EJN46" s="31"/>
      <c r="EJO46" s="31"/>
      <c r="EJP46" s="31"/>
      <c r="EJQ46" s="31"/>
      <c r="EJR46" s="31"/>
      <c r="EJS46" s="31"/>
      <c r="EJT46" s="31"/>
      <c r="EJU46" s="31"/>
      <c r="EJV46" s="31"/>
      <c r="EJW46" s="31"/>
      <c r="EJX46" s="31"/>
      <c r="EJY46" s="31"/>
      <c r="EJZ46" s="31"/>
      <c r="EKA46" s="31"/>
      <c r="EKB46" s="31"/>
      <c r="EKC46" s="31"/>
      <c r="EKD46" s="31"/>
      <c r="EKE46" s="31"/>
      <c r="EKF46" s="31"/>
      <c r="EKG46" s="31"/>
      <c r="EKH46" s="31"/>
      <c r="EKI46" s="31"/>
      <c r="EKJ46" s="31"/>
      <c r="EKK46" s="31"/>
      <c r="EKL46" s="31"/>
      <c r="EKM46" s="31"/>
      <c r="EKN46" s="31"/>
      <c r="EKO46" s="31"/>
      <c r="EKP46" s="31"/>
      <c r="EKQ46" s="31"/>
      <c r="EKR46" s="31"/>
      <c r="EKS46" s="31"/>
      <c r="EKT46" s="31"/>
      <c r="EKU46" s="31"/>
      <c r="EKV46" s="31"/>
      <c r="EKW46" s="31"/>
      <c r="EKX46" s="31"/>
      <c r="EKY46" s="31"/>
      <c r="EKZ46" s="31"/>
      <c r="ELA46" s="31"/>
      <c r="ELB46" s="31"/>
      <c r="ELC46" s="31"/>
      <c r="ELD46" s="31"/>
      <c r="ELE46" s="31"/>
      <c r="ELF46" s="31"/>
      <c r="ELG46" s="31"/>
      <c r="ELH46" s="31"/>
      <c r="ELI46" s="31"/>
      <c r="ELJ46" s="31"/>
      <c r="ELK46" s="31"/>
      <c r="ELL46" s="31"/>
      <c r="ELM46" s="31"/>
      <c r="ELN46" s="31"/>
      <c r="ELO46" s="31"/>
      <c r="ELP46" s="31"/>
      <c r="ELQ46" s="31"/>
      <c r="ELR46" s="31"/>
      <c r="ELS46" s="31"/>
      <c r="ELT46" s="31"/>
      <c r="ELU46" s="31"/>
      <c r="ELV46" s="31"/>
      <c r="ELW46" s="31"/>
      <c r="ELX46" s="31"/>
      <c r="ELY46" s="31"/>
      <c r="ELZ46" s="31"/>
      <c r="EMA46" s="31"/>
      <c r="EMB46" s="31"/>
      <c r="EMC46" s="31"/>
      <c r="EMD46" s="31"/>
      <c r="EME46" s="31"/>
      <c r="EMF46" s="31"/>
      <c r="EMG46" s="31"/>
      <c r="EMH46" s="31"/>
      <c r="EMI46" s="31"/>
      <c r="EMJ46" s="31"/>
      <c r="EMK46" s="31"/>
      <c r="EML46" s="31"/>
      <c r="EMM46" s="31"/>
      <c r="EMN46" s="31"/>
      <c r="EMO46" s="31"/>
      <c r="EMP46" s="31"/>
      <c r="EMQ46" s="31"/>
      <c r="EMR46" s="31"/>
      <c r="EMS46" s="31"/>
      <c r="EMT46" s="31"/>
      <c r="EMU46" s="31"/>
      <c r="EMV46" s="31"/>
      <c r="EMW46" s="31"/>
      <c r="EMX46" s="31"/>
      <c r="EMY46" s="31"/>
      <c r="EMZ46" s="31"/>
      <c r="ENA46" s="31"/>
      <c r="ENB46" s="31"/>
      <c r="ENC46" s="31"/>
      <c r="END46" s="31"/>
      <c r="ENE46" s="31"/>
      <c r="ENF46" s="31"/>
      <c r="ENG46" s="31"/>
      <c r="ENH46" s="31"/>
      <c r="ENI46" s="31"/>
      <c r="ENJ46" s="31"/>
      <c r="ENK46" s="31"/>
      <c r="ENL46" s="31"/>
      <c r="ENM46" s="31"/>
      <c r="ENN46" s="31"/>
      <c r="ENO46" s="31"/>
      <c r="ENP46" s="31"/>
      <c r="ENQ46" s="31"/>
      <c r="ENR46" s="31"/>
      <c r="ENS46" s="31"/>
      <c r="ENT46" s="31"/>
      <c r="ENU46" s="31"/>
      <c r="ENV46" s="31"/>
      <c r="ENW46" s="31"/>
      <c r="ENX46" s="31"/>
      <c r="ENY46" s="31"/>
      <c r="ENZ46" s="31"/>
      <c r="EOA46" s="31"/>
      <c r="EOB46" s="31"/>
      <c r="EOC46" s="31"/>
      <c r="EOD46" s="31"/>
      <c r="EOE46" s="31"/>
      <c r="EOF46" s="31"/>
      <c r="EOG46" s="31"/>
      <c r="EOH46" s="31"/>
      <c r="EOI46" s="31"/>
      <c r="EOJ46" s="31"/>
      <c r="EOK46" s="31"/>
      <c r="EOL46" s="31"/>
      <c r="EOM46" s="31"/>
      <c r="EON46" s="31"/>
      <c r="EOO46" s="31"/>
      <c r="EOP46" s="31"/>
      <c r="EOQ46" s="31"/>
      <c r="EOR46" s="31"/>
      <c r="EOS46" s="31"/>
      <c r="EOT46" s="31"/>
      <c r="EOU46" s="31"/>
      <c r="EOV46" s="31"/>
      <c r="EOW46" s="31"/>
      <c r="EOX46" s="31"/>
      <c r="EOY46" s="31"/>
      <c r="EOZ46" s="31"/>
      <c r="EPA46" s="31"/>
      <c r="EPB46" s="31"/>
      <c r="EPC46" s="31"/>
      <c r="EPD46" s="31"/>
      <c r="EPE46" s="31"/>
      <c r="EPF46" s="31"/>
      <c r="EPG46" s="31"/>
      <c r="EPH46" s="31"/>
      <c r="EPI46" s="31"/>
      <c r="EPJ46" s="31"/>
      <c r="EPK46" s="31"/>
      <c r="EPL46" s="31"/>
      <c r="EPM46" s="31"/>
      <c r="EPN46" s="31"/>
      <c r="EPO46" s="31"/>
      <c r="EPP46" s="31"/>
      <c r="EPQ46" s="31"/>
      <c r="EPR46" s="31"/>
      <c r="EPS46" s="31"/>
      <c r="EPT46" s="31"/>
      <c r="EPU46" s="31"/>
      <c r="EPV46" s="31"/>
      <c r="EPW46" s="31"/>
      <c r="EPX46" s="31"/>
      <c r="EPY46" s="31"/>
      <c r="EPZ46" s="31"/>
      <c r="EQA46" s="31"/>
      <c r="EQB46" s="31"/>
      <c r="EQC46" s="31"/>
      <c r="EQD46" s="31"/>
      <c r="EQE46" s="31"/>
      <c r="EQF46" s="31"/>
      <c r="EQG46" s="31"/>
      <c r="EQH46" s="31"/>
      <c r="EQI46" s="31"/>
      <c r="EQJ46" s="31"/>
      <c r="EQK46" s="31"/>
      <c r="EQL46" s="31"/>
      <c r="EQM46" s="31"/>
      <c r="EQN46" s="31"/>
      <c r="EQO46" s="31"/>
      <c r="EQP46" s="31"/>
      <c r="EQQ46" s="31"/>
      <c r="EQR46" s="31"/>
      <c r="EQS46" s="31"/>
      <c r="EQT46" s="31"/>
      <c r="EQU46" s="31"/>
      <c r="EQV46" s="31"/>
      <c r="EQW46" s="31"/>
      <c r="EQX46" s="31"/>
      <c r="EQY46" s="31"/>
      <c r="EQZ46" s="31"/>
      <c r="ERA46" s="31"/>
      <c r="ERB46" s="31"/>
      <c r="ERC46" s="31"/>
      <c r="ERD46" s="31"/>
      <c r="ERE46" s="31"/>
      <c r="ERF46" s="31"/>
      <c r="ERG46" s="31"/>
      <c r="ERH46" s="31"/>
      <c r="ERI46" s="31"/>
      <c r="ERJ46" s="31"/>
      <c r="ERK46" s="31"/>
      <c r="ERL46" s="31"/>
      <c r="ERM46" s="31"/>
      <c r="ERN46" s="31"/>
      <c r="ERO46" s="31"/>
      <c r="ERP46" s="31"/>
      <c r="ERQ46" s="31"/>
      <c r="ERR46" s="31"/>
      <c r="ERS46" s="31"/>
      <c r="ERT46" s="31"/>
      <c r="ERU46" s="31"/>
      <c r="ERV46" s="31"/>
      <c r="ERW46" s="31"/>
      <c r="ERX46" s="31"/>
      <c r="ERY46" s="31"/>
      <c r="ERZ46" s="31"/>
      <c r="ESA46" s="31"/>
      <c r="ESB46" s="31"/>
      <c r="ESC46" s="31"/>
      <c r="ESD46" s="31"/>
      <c r="ESE46" s="31"/>
      <c r="ESF46" s="31"/>
      <c r="ESG46" s="31"/>
      <c r="ESH46" s="31"/>
      <c r="ESI46" s="31"/>
      <c r="ESJ46" s="31"/>
      <c r="ESK46" s="31"/>
      <c r="ESL46" s="31"/>
      <c r="ESM46" s="31"/>
      <c r="ESN46" s="31"/>
      <c r="ESO46" s="31"/>
      <c r="ESP46" s="31"/>
      <c r="ESQ46" s="31"/>
      <c r="ESR46" s="31"/>
      <c r="ESS46" s="31"/>
      <c r="EST46" s="31"/>
      <c r="ESU46" s="31"/>
      <c r="ESV46" s="31"/>
      <c r="ESW46" s="31"/>
      <c r="ESX46" s="31"/>
      <c r="ESY46" s="31"/>
      <c r="ESZ46" s="31"/>
      <c r="ETA46" s="31"/>
      <c r="ETB46" s="31"/>
      <c r="ETC46" s="31"/>
      <c r="ETD46" s="31"/>
      <c r="ETE46" s="31"/>
      <c r="ETF46" s="31"/>
      <c r="ETG46" s="31"/>
      <c r="ETH46" s="31"/>
      <c r="ETI46" s="31"/>
      <c r="ETJ46" s="31"/>
      <c r="ETK46" s="31"/>
      <c r="ETL46" s="31"/>
      <c r="ETM46" s="31"/>
      <c r="ETN46" s="31"/>
      <c r="ETO46" s="31"/>
      <c r="ETP46" s="31"/>
      <c r="ETQ46" s="31"/>
      <c r="ETR46" s="31"/>
      <c r="ETS46" s="31"/>
      <c r="ETT46" s="31"/>
      <c r="ETU46" s="31"/>
      <c r="ETV46" s="31"/>
      <c r="ETW46" s="31"/>
      <c r="ETX46" s="31"/>
      <c r="ETY46" s="31"/>
      <c r="ETZ46" s="31"/>
      <c r="EUA46" s="31"/>
      <c r="EUB46" s="31"/>
      <c r="EUC46" s="31"/>
      <c r="EUD46" s="31"/>
      <c r="EUE46" s="31"/>
      <c r="EUF46" s="31"/>
      <c r="EUG46" s="31"/>
      <c r="EUH46" s="31"/>
      <c r="EUI46" s="31"/>
      <c r="EUJ46" s="31"/>
      <c r="EUK46" s="31"/>
      <c r="EUL46" s="31"/>
      <c r="EUM46" s="31"/>
      <c r="EUN46" s="31"/>
      <c r="EUO46" s="31"/>
      <c r="EUP46" s="31"/>
      <c r="EUQ46" s="31"/>
      <c r="EUR46" s="31"/>
      <c r="EUS46" s="31"/>
      <c r="EUT46" s="31"/>
      <c r="EUU46" s="31"/>
      <c r="EUV46" s="31"/>
      <c r="EUW46" s="31"/>
      <c r="EUX46" s="31"/>
      <c r="EUY46" s="31"/>
      <c r="EUZ46" s="31"/>
      <c r="EVA46" s="31"/>
      <c r="EVB46" s="31"/>
      <c r="EVC46" s="31"/>
      <c r="EVD46" s="31"/>
      <c r="EVE46" s="31"/>
      <c r="EVF46" s="31"/>
      <c r="EVG46" s="31"/>
      <c r="EVH46" s="31"/>
      <c r="EVI46" s="31"/>
      <c r="EVJ46" s="31"/>
      <c r="EVK46" s="31"/>
      <c r="EVL46" s="31"/>
      <c r="EVM46" s="31"/>
      <c r="EVN46" s="31"/>
      <c r="EVO46" s="31"/>
      <c r="EVP46" s="31"/>
      <c r="EVQ46" s="31"/>
      <c r="EVR46" s="31"/>
      <c r="EVS46" s="31"/>
      <c r="EVT46" s="31"/>
      <c r="EVU46" s="31"/>
      <c r="EVV46" s="31"/>
      <c r="EVW46" s="31"/>
      <c r="EVX46" s="31"/>
      <c r="EVY46" s="31"/>
      <c r="EVZ46" s="31"/>
      <c r="EWA46" s="31"/>
      <c r="EWB46" s="31"/>
      <c r="EWC46" s="31"/>
      <c r="EWD46" s="31"/>
      <c r="EWE46" s="31"/>
      <c r="EWF46" s="31"/>
      <c r="EWG46" s="31"/>
      <c r="EWH46" s="31"/>
      <c r="EWI46" s="31"/>
      <c r="EWJ46" s="31"/>
      <c r="EWK46" s="31"/>
      <c r="EWL46" s="31"/>
      <c r="EWM46" s="31"/>
      <c r="EWN46" s="31"/>
      <c r="EWO46" s="31"/>
      <c r="EWP46" s="31"/>
      <c r="EWQ46" s="31"/>
      <c r="EWR46" s="31"/>
      <c r="EWS46" s="31"/>
      <c r="EWT46" s="31"/>
      <c r="EWU46" s="31"/>
      <c r="EWV46" s="31"/>
      <c r="EWW46" s="31"/>
      <c r="EWX46" s="31"/>
      <c r="EWY46" s="31"/>
      <c r="EWZ46" s="31"/>
      <c r="EXA46" s="31"/>
      <c r="EXB46" s="31"/>
      <c r="EXC46" s="31"/>
      <c r="EXD46" s="31"/>
      <c r="EXE46" s="31"/>
      <c r="EXF46" s="31"/>
      <c r="EXG46" s="31"/>
      <c r="EXH46" s="31"/>
      <c r="EXI46" s="31"/>
      <c r="EXJ46" s="31"/>
      <c r="EXK46" s="31"/>
      <c r="EXL46" s="31"/>
      <c r="EXM46" s="31"/>
      <c r="EXN46" s="31"/>
      <c r="EXO46" s="31"/>
      <c r="EXP46" s="31"/>
      <c r="EXQ46" s="31"/>
      <c r="EXR46" s="31"/>
      <c r="EXS46" s="31"/>
      <c r="EXT46" s="31"/>
      <c r="EXU46" s="31"/>
      <c r="EXV46" s="31"/>
      <c r="EXW46" s="31"/>
      <c r="EXX46" s="31"/>
      <c r="EXY46" s="31"/>
      <c r="EXZ46" s="31"/>
      <c r="EYA46" s="31"/>
      <c r="EYB46" s="31"/>
      <c r="EYC46" s="31"/>
      <c r="EYD46" s="31"/>
      <c r="EYE46" s="31"/>
      <c r="EYF46" s="31"/>
      <c r="EYG46" s="31"/>
      <c r="EYH46" s="31"/>
      <c r="EYI46" s="31"/>
      <c r="EYJ46" s="31"/>
      <c r="EYK46" s="31"/>
      <c r="EYL46" s="31"/>
      <c r="EYM46" s="31"/>
      <c r="EYN46" s="31"/>
      <c r="EYO46" s="31"/>
      <c r="EYP46" s="31"/>
      <c r="EYQ46" s="31"/>
      <c r="EYR46" s="31"/>
      <c r="EYS46" s="31"/>
      <c r="EYT46" s="31"/>
      <c r="EYU46" s="31"/>
      <c r="EYV46" s="31"/>
      <c r="EYW46" s="31"/>
      <c r="EYX46" s="31"/>
      <c r="EYY46" s="31"/>
      <c r="EYZ46" s="31"/>
      <c r="EZA46" s="31"/>
      <c r="EZB46" s="31"/>
      <c r="EZC46" s="31"/>
      <c r="EZD46" s="31"/>
      <c r="EZE46" s="31"/>
      <c r="EZF46" s="31"/>
      <c r="EZG46" s="31"/>
      <c r="EZH46" s="31"/>
      <c r="EZI46" s="31"/>
      <c r="EZJ46" s="31"/>
      <c r="EZK46" s="31"/>
      <c r="EZL46" s="31"/>
      <c r="EZM46" s="31"/>
      <c r="EZN46" s="31"/>
      <c r="EZO46" s="31"/>
      <c r="EZP46" s="31"/>
      <c r="EZQ46" s="31"/>
      <c r="EZR46" s="31"/>
      <c r="EZS46" s="31"/>
      <c r="EZT46" s="31"/>
      <c r="EZU46" s="31"/>
      <c r="EZV46" s="31"/>
      <c r="EZW46" s="31"/>
      <c r="EZX46" s="31"/>
      <c r="EZY46" s="31"/>
      <c r="EZZ46" s="31"/>
      <c r="FAA46" s="31"/>
      <c r="FAB46" s="31"/>
      <c r="FAC46" s="31"/>
      <c r="FAD46" s="31"/>
      <c r="FAE46" s="31"/>
      <c r="FAF46" s="31"/>
      <c r="FAG46" s="31"/>
      <c r="FAH46" s="31"/>
      <c r="FAI46" s="31"/>
      <c r="FAJ46" s="31"/>
      <c r="FAK46" s="31"/>
      <c r="FAL46" s="31"/>
      <c r="FAM46" s="31"/>
      <c r="FAN46" s="31"/>
      <c r="FAO46" s="31"/>
      <c r="FAP46" s="31"/>
      <c r="FAQ46" s="31"/>
      <c r="FAR46" s="31"/>
      <c r="FAS46" s="31"/>
      <c r="FAT46" s="31"/>
      <c r="FAU46" s="31"/>
      <c r="FAV46" s="31"/>
      <c r="FAW46" s="31"/>
      <c r="FAX46" s="31"/>
      <c r="FAY46" s="31"/>
      <c r="FAZ46" s="31"/>
      <c r="FBA46" s="31"/>
      <c r="FBB46" s="31"/>
      <c r="FBC46" s="31"/>
      <c r="FBD46" s="31"/>
      <c r="FBE46" s="31"/>
      <c r="FBF46" s="31"/>
      <c r="FBG46" s="31"/>
      <c r="FBH46" s="31"/>
      <c r="FBI46" s="31"/>
      <c r="FBJ46" s="31"/>
      <c r="FBK46" s="31"/>
      <c r="FBL46" s="31"/>
      <c r="FBM46" s="31"/>
      <c r="FBN46" s="31"/>
      <c r="FBO46" s="31"/>
      <c r="FBP46" s="31"/>
      <c r="FBQ46" s="31"/>
      <c r="FBR46" s="31"/>
      <c r="FBS46" s="31"/>
      <c r="FBT46" s="31"/>
      <c r="FBU46" s="31"/>
      <c r="FBV46" s="31"/>
      <c r="FBW46" s="31"/>
      <c r="FBX46" s="31"/>
      <c r="FBY46" s="31"/>
      <c r="FBZ46" s="31"/>
      <c r="FCA46" s="31"/>
      <c r="FCB46" s="31"/>
      <c r="FCC46" s="31"/>
      <c r="FCD46" s="31"/>
      <c r="FCE46" s="31"/>
      <c r="FCF46" s="31"/>
      <c r="FCG46" s="31"/>
      <c r="FCH46" s="31"/>
      <c r="FCI46" s="31"/>
      <c r="FCJ46" s="31"/>
      <c r="FCK46" s="31"/>
      <c r="FCL46" s="31"/>
      <c r="FCM46" s="31"/>
      <c r="FCN46" s="31"/>
      <c r="FCO46" s="31"/>
      <c r="FCP46" s="31"/>
      <c r="FCQ46" s="31"/>
      <c r="FCR46" s="31"/>
      <c r="FCS46" s="31"/>
      <c r="FCT46" s="31"/>
      <c r="FCU46" s="31"/>
      <c r="FCV46" s="31"/>
      <c r="FCW46" s="31"/>
      <c r="FCX46" s="31"/>
      <c r="FCY46" s="31"/>
      <c r="FCZ46" s="31"/>
      <c r="FDA46" s="31"/>
      <c r="FDB46" s="31"/>
      <c r="FDC46" s="31"/>
      <c r="FDD46" s="31"/>
      <c r="FDE46" s="31"/>
      <c r="FDF46" s="31"/>
      <c r="FDG46" s="31"/>
      <c r="FDH46" s="31"/>
      <c r="FDI46" s="31"/>
      <c r="FDJ46" s="31"/>
      <c r="FDK46" s="31"/>
      <c r="FDL46" s="31"/>
      <c r="FDM46" s="31"/>
      <c r="FDN46" s="31"/>
      <c r="FDO46" s="31"/>
      <c r="FDP46" s="31"/>
      <c r="FDQ46" s="31"/>
      <c r="FDR46" s="31"/>
      <c r="FDS46" s="31"/>
      <c r="FDT46" s="31"/>
      <c r="FDU46" s="31"/>
      <c r="FDV46" s="31"/>
      <c r="FDW46" s="31"/>
      <c r="FDX46" s="31"/>
      <c r="FDY46" s="31"/>
      <c r="FDZ46" s="31"/>
      <c r="FEA46" s="31"/>
      <c r="FEB46" s="31"/>
      <c r="FEC46" s="31"/>
      <c r="FED46" s="31"/>
      <c r="FEE46" s="31"/>
      <c r="FEF46" s="31"/>
      <c r="FEG46" s="31"/>
      <c r="FEH46" s="31"/>
      <c r="FEI46" s="31"/>
      <c r="FEJ46" s="31"/>
      <c r="FEK46" s="31"/>
      <c r="FEL46" s="31"/>
      <c r="FEM46" s="31"/>
      <c r="FEN46" s="31"/>
      <c r="FEO46" s="31"/>
      <c r="FEP46" s="31"/>
      <c r="FEQ46" s="31"/>
      <c r="FER46" s="31"/>
      <c r="FES46" s="31"/>
      <c r="FET46" s="31"/>
      <c r="FEU46" s="31"/>
      <c r="FEV46" s="31"/>
      <c r="FEW46" s="31"/>
      <c r="FEX46" s="31"/>
      <c r="FEY46" s="31"/>
      <c r="FEZ46" s="31"/>
      <c r="FFA46" s="31"/>
      <c r="FFB46" s="31"/>
      <c r="FFC46" s="31"/>
      <c r="FFD46" s="31"/>
      <c r="FFE46" s="31"/>
      <c r="FFF46" s="31"/>
      <c r="FFG46" s="31"/>
      <c r="FFH46" s="31"/>
      <c r="FFI46" s="31"/>
      <c r="FFJ46" s="31"/>
      <c r="FFK46" s="31"/>
      <c r="FFL46" s="31"/>
      <c r="FFM46" s="31"/>
      <c r="FFN46" s="31"/>
      <c r="FFO46" s="31"/>
      <c r="FFP46" s="31"/>
      <c r="FFQ46" s="31"/>
      <c r="FFR46" s="31"/>
      <c r="FFS46" s="31"/>
      <c r="FFT46" s="31"/>
      <c r="FFU46" s="31"/>
      <c r="FFV46" s="31"/>
      <c r="FFW46" s="31"/>
      <c r="FFX46" s="31"/>
      <c r="FFY46" s="31"/>
      <c r="FFZ46" s="31"/>
      <c r="FGA46" s="31"/>
      <c r="FGB46" s="31"/>
      <c r="FGC46" s="31"/>
      <c r="FGD46" s="31"/>
      <c r="FGE46" s="31"/>
      <c r="FGF46" s="31"/>
      <c r="FGG46" s="31"/>
      <c r="FGH46" s="31"/>
      <c r="FGI46" s="31"/>
      <c r="FGJ46" s="31"/>
      <c r="FGK46" s="31"/>
      <c r="FGL46" s="31"/>
      <c r="FGM46" s="31"/>
      <c r="FGN46" s="31"/>
      <c r="FGO46" s="31"/>
      <c r="FGP46" s="31"/>
      <c r="FGQ46" s="31"/>
      <c r="FGR46" s="31"/>
      <c r="FGS46" s="31"/>
      <c r="FGT46" s="31"/>
      <c r="FGU46" s="31"/>
      <c r="FGV46" s="31"/>
      <c r="FGW46" s="31"/>
      <c r="FGX46" s="31"/>
      <c r="FGY46" s="31"/>
      <c r="FGZ46" s="31"/>
      <c r="FHA46" s="31"/>
      <c r="FHB46" s="31"/>
      <c r="FHC46" s="31"/>
      <c r="FHD46" s="31"/>
      <c r="FHE46" s="31"/>
      <c r="FHF46" s="31"/>
      <c r="FHG46" s="31"/>
      <c r="FHH46" s="31"/>
      <c r="FHI46" s="31"/>
      <c r="FHJ46" s="31"/>
      <c r="FHK46" s="31"/>
      <c r="FHL46" s="31"/>
      <c r="FHM46" s="31"/>
      <c r="FHN46" s="31"/>
      <c r="FHO46" s="31"/>
      <c r="FHP46" s="31"/>
      <c r="FHQ46" s="31"/>
      <c r="FHR46" s="31"/>
      <c r="FHS46" s="31"/>
      <c r="FHT46" s="31"/>
      <c r="FHU46" s="31"/>
      <c r="FHV46" s="31"/>
      <c r="FHW46" s="31"/>
      <c r="FHX46" s="31"/>
      <c r="FHY46" s="31"/>
      <c r="FHZ46" s="31"/>
      <c r="FIA46" s="31"/>
      <c r="FIB46" s="31"/>
      <c r="FIC46" s="31"/>
      <c r="FID46" s="31"/>
      <c r="FIE46" s="31"/>
      <c r="FIF46" s="31"/>
      <c r="FIG46" s="31"/>
      <c r="FIH46" s="31"/>
      <c r="FII46" s="31"/>
      <c r="FIJ46" s="31"/>
      <c r="FIK46" s="31"/>
      <c r="FIL46" s="31"/>
      <c r="FIM46" s="31"/>
      <c r="FIN46" s="31"/>
      <c r="FIO46" s="31"/>
      <c r="FIP46" s="31"/>
      <c r="FIQ46" s="31"/>
      <c r="FIR46" s="31"/>
      <c r="FIS46" s="31"/>
      <c r="FIT46" s="31"/>
      <c r="FIU46" s="31"/>
      <c r="FIV46" s="31"/>
      <c r="FIW46" s="31"/>
      <c r="FIX46" s="31"/>
      <c r="FIY46" s="31"/>
      <c r="FIZ46" s="31"/>
      <c r="FJA46" s="31"/>
      <c r="FJB46" s="31"/>
      <c r="FJC46" s="31"/>
      <c r="FJD46" s="31"/>
      <c r="FJE46" s="31"/>
      <c r="FJF46" s="31"/>
      <c r="FJG46" s="31"/>
      <c r="FJH46" s="31"/>
      <c r="FJI46" s="31"/>
      <c r="FJJ46" s="31"/>
      <c r="FJK46" s="31"/>
      <c r="FJL46" s="31"/>
      <c r="FJM46" s="31"/>
      <c r="FJN46" s="31"/>
      <c r="FJO46" s="31"/>
      <c r="FJP46" s="31"/>
      <c r="FJQ46" s="31"/>
      <c r="FJR46" s="31"/>
      <c r="FJS46" s="31"/>
      <c r="FJT46" s="31"/>
      <c r="FJU46" s="31"/>
      <c r="FJV46" s="31"/>
      <c r="FJW46" s="31"/>
      <c r="FJX46" s="31"/>
      <c r="FJY46" s="31"/>
      <c r="FJZ46" s="31"/>
      <c r="FKA46" s="31"/>
      <c r="FKB46" s="31"/>
      <c r="FKC46" s="31"/>
      <c r="FKD46" s="31"/>
      <c r="FKE46" s="31"/>
      <c r="FKF46" s="31"/>
      <c r="FKG46" s="31"/>
      <c r="FKH46" s="31"/>
      <c r="FKI46" s="31"/>
      <c r="FKJ46" s="31"/>
      <c r="FKK46" s="31"/>
      <c r="FKL46" s="31"/>
      <c r="FKM46" s="31"/>
      <c r="FKN46" s="31"/>
      <c r="FKO46" s="31"/>
      <c r="FKP46" s="31"/>
      <c r="FKQ46" s="31"/>
      <c r="FKR46" s="31"/>
      <c r="FKS46" s="31"/>
      <c r="FKT46" s="31"/>
      <c r="FKU46" s="31"/>
      <c r="FKV46" s="31"/>
      <c r="FKW46" s="31"/>
      <c r="FKX46" s="31"/>
      <c r="FKY46" s="31"/>
      <c r="FKZ46" s="31"/>
      <c r="FLA46" s="31"/>
      <c r="FLB46" s="31"/>
      <c r="FLC46" s="31"/>
      <c r="FLD46" s="31"/>
      <c r="FLE46" s="31"/>
      <c r="FLF46" s="31"/>
      <c r="FLG46" s="31"/>
      <c r="FLH46" s="31"/>
      <c r="FLI46" s="31"/>
      <c r="FLJ46" s="31"/>
      <c r="FLK46" s="31"/>
      <c r="FLL46" s="31"/>
      <c r="FLM46" s="31"/>
      <c r="FLN46" s="31"/>
      <c r="FLO46" s="31"/>
      <c r="FLP46" s="31"/>
      <c r="FLQ46" s="31"/>
      <c r="FLR46" s="31"/>
      <c r="FLS46" s="31"/>
      <c r="FLT46" s="31"/>
      <c r="FLU46" s="31"/>
      <c r="FLV46" s="31"/>
      <c r="FLW46" s="31"/>
      <c r="FLX46" s="31"/>
      <c r="FLY46" s="31"/>
      <c r="FLZ46" s="31"/>
      <c r="FMA46" s="31"/>
      <c r="FMB46" s="31"/>
      <c r="FMC46" s="31"/>
      <c r="FMD46" s="31"/>
      <c r="FME46" s="31"/>
      <c r="FMF46" s="31"/>
      <c r="FMG46" s="31"/>
      <c r="FMH46" s="31"/>
      <c r="FMI46" s="31"/>
      <c r="FMJ46" s="31"/>
      <c r="FMK46" s="31"/>
      <c r="FML46" s="31"/>
      <c r="FMM46" s="31"/>
      <c r="FMN46" s="31"/>
      <c r="FMO46" s="31"/>
      <c r="FMP46" s="31"/>
      <c r="FMQ46" s="31"/>
      <c r="FMR46" s="31"/>
      <c r="FMS46" s="31"/>
      <c r="FMT46" s="31"/>
      <c r="FMU46" s="31"/>
      <c r="FMV46" s="31"/>
      <c r="FMW46" s="31"/>
      <c r="FMX46" s="31"/>
      <c r="FMY46" s="31"/>
      <c r="FMZ46" s="31"/>
      <c r="FNA46" s="31"/>
      <c r="FNB46" s="31"/>
      <c r="FNC46" s="31"/>
      <c r="FND46" s="31"/>
      <c r="FNE46" s="31"/>
      <c r="FNF46" s="31"/>
      <c r="FNG46" s="31"/>
      <c r="FNH46" s="31"/>
      <c r="FNI46" s="31"/>
      <c r="FNJ46" s="31"/>
      <c r="FNK46" s="31"/>
      <c r="FNL46" s="31"/>
      <c r="FNM46" s="31"/>
      <c r="FNN46" s="31"/>
      <c r="FNO46" s="31"/>
      <c r="FNP46" s="31"/>
      <c r="FNQ46" s="31"/>
      <c r="FNR46" s="31"/>
      <c r="FNS46" s="31"/>
      <c r="FNT46" s="31"/>
      <c r="FNU46" s="31"/>
      <c r="FNV46" s="31"/>
      <c r="FNW46" s="31"/>
      <c r="FNX46" s="31"/>
      <c r="FNY46" s="31"/>
      <c r="FNZ46" s="31"/>
      <c r="FOA46" s="31"/>
      <c r="FOB46" s="31"/>
      <c r="FOC46" s="31"/>
      <c r="FOD46" s="31"/>
      <c r="FOE46" s="31"/>
      <c r="FOF46" s="31"/>
      <c r="FOG46" s="31"/>
      <c r="FOH46" s="31"/>
      <c r="FOI46" s="31"/>
      <c r="FOJ46" s="31"/>
      <c r="FOK46" s="31"/>
      <c r="FOL46" s="31"/>
      <c r="FOM46" s="31"/>
      <c r="FON46" s="31"/>
      <c r="FOO46" s="31"/>
      <c r="FOP46" s="31"/>
      <c r="FOQ46" s="31"/>
      <c r="FOR46" s="31"/>
      <c r="FOS46" s="31"/>
      <c r="FOT46" s="31"/>
      <c r="FOU46" s="31"/>
      <c r="FOV46" s="31"/>
      <c r="FOW46" s="31"/>
      <c r="FOX46" s="31"/>
      <c r="FOY46" s="31"/>
      <c r="FOZ46" s="31"/>
      <c r="FPA46" s="31"/>
      <c r="FPB46" s="31"/>
      <c r="FPC46" s="31"/>
      <c r="FPD46" s="31"/>
      <c r="FPE46" s="31"/>
      <c r="FPF46" s="31"/>
      <c r="FPG46" s="31"/>
      <c r="FPH46" s="31"/>
      <c r="FPI46" s="31"/>
      <c r="FPJ46" s="31"/>
      <c r="FPK46" s="31"/>
      <c r="FPL46" s="31"/>
      <c r="FPM46" s="31"/>
      <c r="FPN46" s="31"/>
      <c r="FPO46" s="31"/>
      <c r="FPP46" s="31"/>
      <c r="FPQ46" s="31"/>
      <c r="FPR46" s="31"/>
      <c r="FPS46" s="31"/>
      <c r="FPT46" s="31"/>
      <c r="FPU46" s="31"/>
      <c r="FPV46" s="31"/>
      <c r="FPW46" s="31"/>
      <c r="FPX46" s="31"/>
      <c r="FPY46" s="31"/>
      <c r="FPZ46" s="31"/>
      <c r="FQA46" s="31"/>
      <c r="FQB46" s="31"/>
      <c r="FQC46" s="31"/>
      <c r="FQD46" s="31"/>
      <c r="FQE46" s="31"/>
      <c r="FQF46" s="31"/>
      <c r="FQG46" s="31"/>
      <c r="FQH46" s="31"/>
      <c r="FQI46" s="31"/>
      <c r="FQJ46" s="31"/>
      <c r="FQK46" s="31"/>
      <c r="FQL46" s="31"/>
      <c r="FQM46" s="31"/>
      <c r="FQN46" s="31"/>
      <c r="FQO46" s="31"/>
      <c r="FQP46" s="31"/>
      <c r="FQQ46" s="31"/>
      <c r="FQR46" s="31"/>
      <c r="FQS46" s="31"/>
      <c r="FQT46" s="31"/>
      <c r="FQU46" s="31"/>
      <c r="FQV46" s="31"/>
      <c r="FQW46" s="31"/>
      <c r="FQX46" s="31"/>
      <c r="FQY46" s="31"/>
      <c r="FQZ46" s="31"/>
      <c r="FRA46" s="31"/>
      <c r="FRB46" s="31"/>
      <c r="FRC46" s="31"/>
      <c r="FRD46" s="31"/>
      <c r="FRE46" s="31"/>
      <c r="FRF46" s="31"/>
      <c r="FRG46" s="31"/>
      <c r="FRH46" s="31"/>
      <c r="FRI46" s="31"/>
      <c r="FRJ46" s="31"/>
      <c r="FRK46" s="31"/>
      <c r="FRL46" s="31"/>
      <c r="FRM46" s="31"/>
      <c r="FRN46" s="31"/>
      <c r="FRO46" s="31"/>
      <c r="FRP46" s="31"/>
      <c r="FRQ46" s="31"/>
      <c r="FRR46" s="31"/>
      <c r="FRS46" s="31"/>
      <c r="FRT46" s="31"/>
      <c r="FRU46" s="31"/>
      <c r="FRV46" s="31"/>
      <c r="FRW46" s="31"/>
      <c r="FRX46" s="31"/>
      <c r="FRY46" s="31"/>
      <c r="FRZ46" s="31"/>
      <c r="FSA46" s="31"/>
      <c r="FSB46" s="31"/>
      <c r="FSC46" s="31"/>
      <c r="FSD46" s="31"/>
      <c r="FSE46" s="31"/>
      <c r="FSF46" s="31"/>
      <c r="FSG46" s="31"/>
      <c r="FSH46" s="31"/>
      <c r="FSI46" s="31"/>
      <c r="FSJ46" s="31"/>
      <c r="FSK46" s="31"/>
      <c r="FSL46" s="31"/>
      <c r="FSM46" s="31"/>
      <c r="FSN46" s="31"/>
      <c r="FSO46" s="31"/>
      <c r="FSP46" s="31"/>
      <c r="FSQ46" s="31"/>
      <c r="FSR46" s="31"/>
      <c r="FSS46" s="31"/>
      <c r="FST46" s="31"/>
      <c r="FSU46" s="31"/>
      <c r="FSV46" s="31"/>
      <c r="FSW46" s="31"/>
      <c r="FSX46" s="31"/>
      <c r="FSY46" s="31"/>
      <c r="FSZ46" s="31"/>
      <c r="FTA46" s="31"/>
      <c r="FTB46" s="31"/>
      <c r="FTC46" s="31"/>
      <c r="FTD46" s="31"/>
      <c r="FTE46" s="31"/>
      <c r="FTF46" s="31"/>
      <c r="FTG46" s="31"/>
      <c r="FTH46" s="31"/>
      <c r="FTI46" s="31"/>
      <c r="FTJ46" s="31"/>
      <c r="FTK46" s="31"/>
      <c r="FTL46" s="31"/>
      <c r="FTM46" s="31"/>
      <c r="FTN46" s="31"/>
      <c r="FTO46" s="31"/>
      <c r="FTP46" s="31"/>
      <c r="FTQ46" s="31"/>
      <c r="FTR46" s="31"/>
      <c r="FTS46" s="31"/>
      <c r="FTT46" s="31"/>
      <c r="FTU46" s="31"/>
      <c r="FTV46" s="31"/>
      <c r="FTW46" s="31"/>
      <c r="FTX46" s="31"/>
      <c r="FTY46" s="31"/>
      <c r="FTZ46" s="31"/>
      <c r="FUA46" s="31"/>
      <c r="FUB46" s="31"/>
      <c r="FUC46" s="31"/>
      <c r="FUD46" s="31"/>
      <c r="FUE46" s="31"/>
      <c r="FUF46" s="31"/>
      <c r="FUG46" s="31"/>
      <c r="FUH46" s="31"/>
      <c r="FUI46" s="31"/>
      <c r="FUJ46" s="31"/>
      <c r="FUK46" s="31"/>
      <c r="FUL46" s="31"/>
      <c r="FUM46" s="31"/>
      <c r="FUN46" s="31"/>
      <c r="FUO46" s="31"/>
      <c r="FUP46" s="31"/>
      <c r="FUQ46" s="31"/>
      <c r="FUR46" s="31"/>
      <c r="FUS46" s="31"/>
      <c r="FUT46" s="31"/>
      <c r="FUU46" s="31"/>
      <c r="FUV46" s="31"/>
      <c r="FUW46" s="31"/>
      <c r="FUX46" s="31"/>
      <c r="FUY46" s="31"/>
      <c r="FUZ46" s="31"/>
      <c r="FVA46" s="31"/>
      <c r="FVB46" s="31"/>
      <c r="FVC46" s="31"/>
      <c r="FVD46" s="31"/>
      <c r="FVE46" s="31"/>
      <c r="FVF46" s="31"/>
      <c r="FVG46" s="31"/>
      <c r="FVH46" s="31"/>
      <c r="FVI46" s="31"/>
      <c r="FVJ46" s="31"/>
      <c r="FVK46" s="31"/>
      <c r="FVL46" s="31"/>
      <c r="FVM46" s="31"/>
      <c r="FVN46" s="31"/>
      <c r="FVO46" s="31"/>
      <c r="FVP46" s="31"/>
      <c r="FVQ46" s="31"/>
      <c r="FVR46" s="31"/>
      <c r="FVS46" s="31"/>
      <c r="FVT46" s="31"/>
      <c r="FVU46" s="31"/>
      <c r="FVV46" s="31"/>
      <c r="FVW46" s="31"/>
      <c r="FVX46" s="31"/>
      <c r="FVY46" s="31"/>
      <c r="FVZ46" s="31"/>
      <c r="FWA46" s="31"/>
      <c r="FWB46" s="31"/>
      <c r="FWC46" s="31"/>
      <c r="FWD46" s="31"/>
      <c r="FWE46" s="31"/>
      <c r="FWF46" s="31"/>
      <c r="FWG46" s="31"/>
      <c r="FWH46" s="31"/>
      <c r="FWI46" s="31"/>
      <c r="FWJ46" s="31"/>
      <c r="FWK46" s="31"/>
      <c r="FWL46" s="31"/>
      <c r="FWM46" s="31"/>
      <c r="FWN46" s="31"/>
      <c r="FWO46" s="31"/>
      <c r="FWP46" s="31"/>
      <c r="FWQ46" s="31"/>
      <c r="FWR46" s="31"/>
      <c r="FWS46" s="31"/>
      <c r="FWT46" s="31"/>
      <c r="FWU46" s="31"/>
      <c r="FWV46" s="31"/>
      <c r="FWW46" s="31"/>
      <c r="FWX46" s="31"/>
      <c r="FWY46" s="31"/>
      <c r="FWZ46" s="31"/>
      <c r="FXA46" s="31"/>
      <c r="FXB46" s="31"/>
      <c r="FXC46" s="31"/>
      <c r="FXD46" s="31"/>
      <c r="FXE46" s="31"/>
      <c r="FXF46" s="31"/>
      <c r="FXG46" s="31"/>
      <c r="FXH46" s="31"/>
      <c r="FXI46" s="31"/>
      <c r="FXJ46" s="31"/>
      <c r="FXK46" s="31"/>
      <c r="FXL46" s="31"/>
      <c r="FXM46" s="31"/>
      <c r="FXN46" s="31"/>
      <c r="FXO46" s="31"/>
      <c r="FXP46" s="31"/>
      <c r="FXQ46" s="31"/>
      <c r="FXR46" s="31"/>
      <c r="FXS46" s="31"/>
      <c r="FXT46" s="31"/>
      <c r="FXU46" s="31"/>
      <c r="FXV46" s="31"/>
      <c r="FXW46" s="31"/>
      <c r="FXX46" s="31"/>
      <c r="FXY46" s="31"/>
      <c r="FXZ46" s="31"/>
      <c r="FYA46" s="31"/>
      <c r="FYB46" s="31"/>
      <c r="FYC46" s="31"/>
      <c r="FYD46" s="31"/>
      <c r="FYE46" s="31"/>
      <c r="FYF46" s="31"/>
      <c r="FYG46" s="31"/>
      <c r="FYH46" s="31"/>
      <c r="FYI46" s="31"/>
      <c r="FYJ46" s="31"/>
      <c r="FYK46" s="31"/>
      <c r="FYL46" s="31"/>
      <c r="FYM46" s="31"/>
      <c r="FYN46" s="31"/>
      <c r="FYO46" s="31"/>
      <c r="FYP46" s="31"/>
      <c r="FYQ46" s="31"/>
      <c r="FYR46" s="31"/>
      <c r="FYS46" s="31"/>
      <c r="FYT46" s="31"/>
      <c r="FYU46" s="31"/>
      <c r="FYV46" s="31"/>
      <c r="FYW46" s="31"/>
      <c r="FYX46" s="31"/>
      <c r="FYY46" s="31"/>
      <c r="FYZ46" s="31"/>
      <c r="FZA46" s="31"/>
      <c r="FZB46" s="31"/>
      <c r="FZC46" s="31"/>
      <c r="FZD46" s="31"/>
      <c r="FZE46" s="31"/>
      <c r="FZF46" s="31"/>
      <c r="FZG46" s="31"/>
      <c r="FZH46" s="31"/>
      <c r="FZI46" s="31"/>
      <c r="FZJ46" s="31"/>
      <c r="FZK46" s="31"/>
      <c r="FZL46" s="31"/>
      <c r="FZM46" s="31"/>
      <c r="FZN46" s="31"/>
      <c r="FZO46" s="31"/>
      <c r="FZP46" s="31"/>
      <c r="FZQ46" s="31"/>
      <c r="FZR46" s="31"/>
      <c r="FZS46" s="31"/>
      <c r="FZT46" s="31"/>
      <c r="FZU46" s="31"/>
      <c r="FZV46" s="31"/>
      <c r="FZW46" s="31"/>
      <c r="FZX46" s="31"/>
      <c r="FZY46" s="31"/>
      <c r="FZZ46" s="31"/>
      <c r="GAA46" s="31"/>
      <c r="GAB46" s="31"/>
      <c r="GAC46" s="31"/>
      <c r="GAD46" s="31"/>
      <c r="GAE46" s="31"/>
      <c r="GAF46" s="31"/>
      <c r="GAG46" s="31"/>
      <c r="GAH46" s="31"/>
      <c r="GAI46" s="31"/>
      <c r="GAJ46" s="31"/>
      <c r="GAK46" s="31"/>
      <c r="GAL46" s="31"/>
      <c r="GAM46" s="31"/>
      <c r="GAN46" s="31"/>
      <c r="GAO46" s="31"/>
      <c r="GAP46" s="31"/>
      <c r="GAQ46" s="31"/>
      <c r="GAR46" s="31"/>
      <c r="GAS46" s="31"/>
      <c r="GAT46" s="31"/>
      <c r="GAU46" s="31"/>
      <c r="GAV46" s="31"/>
      <c r="GAW46" s="31"/>
      <c r="GAX46" s="31"/>
      <c r="GAY46" s="31"/>
      <c r="GAZ46" s="31"/>
      <c r="GBA46" s="31"/>
      <c r="GBB46" s="31"/>
      <c r="GBC46" s="31"/>
      <c r="GBD46" s="31"/>
      <c r="GBE46" s="31"/>
      <c r="GBF46" s="31"/>
      <c r="GBG46" s="31"/>
      <c r="GBH46" s="31"/>
      <c r="GBI46" s="31"/>
      <c r="GBJ46" s="31"/>
      <c r="GBK46" s="31"/>
      <c r="GBL46" s="31"/>
      <c r="GBM46" s="31"/>
      <c r="GBN46" s="31"/>
      <c r="GBO46" s="31"/>
      <c r="GBP46" s="31"/>
      <c r="GBQ46" s="31"/>
      <c r="GBR46" s="31"/>
      <c r="GBS46" s="31"/>
      <c r="GBT46" s="31"/>
      <c r="GBU46" s="31"/>
      <c r="GBV46" s="31"/>
      <c r="GBW46" s="31"/>
      <c r="GBX46" s="31"/>
      <c r="GBY46" s="31"/>
      <c r="GBZ46" s="31"/>
      <c r="GCA46" s="31"/>
      <c r="GCB46" s="31"/>
      <c r="GCC46" s="31"/>
      <c r="GCD46" s="31"/>
      <c r="GCE46" s="31"/>
      <c r="GCF46" s="31"/>
      <c r="GCG46" s="31"/>
      <c r="GCH46" s="31"/>
      <c r="GCI46" s="31"/>
      <c r="GCJ46" s="31"/>
      <c r="GCK46" s="31"/>
      <c r="GCL46" s="31"/>
      <c r="GCM46" s="31"/>
      <c r="GCN46" s="31"/>
      <c r="GCO46" s="31"/>
      <c r="GCP46" s="31"/>
      <c r="GCQ46" s="31"/>
      <c r="GCR46" s="31"/>
      <c r="GCS46" s="31"/>
      <c r="GCT46" s="31"/>
      <c r="GCU46" s="31"/>
      <c r="GCV46" s="31"/>
      <c r="GCW46" s="31"/>
      <c r="GCX46" s="31"/>
      <c r="GCY46" s="31"/>
      <c r="GCZ46" s="31"/>
      <c r="GDA46" s="31"/>
      <c r="GDB46" s="31"/>
      <c r="GDC46" s="31"/>
      <c r="GDD46" s="31"/>
      <c r="GDE46" s="31"/>
      <c r="GDF46" s="31"/>
      <c r="GDG46" s="31"/>
      <c r="GDH46" s="31"/>
      <c r="GDI46" s="31"/>
      <c r="GDJ46" s="31"/>
      <c r="GDK46" s="31"/>
      <c r="GDL46" s="31"/>
      <c r="GDM46" s="31"/>
      <c r="GDN46" s="31"/>
      <c r="GDO46" s="31"/>
      <c r="GDP46" s="31"/>
      <c r="GDQ46" s="31"/>
      <c r="GDR46" s="31"/>
      <c r="GDS46" s="31"/>
      <c r="GDT46" s="31"/>
      <c r="GDU46" s="31"/>
      <c r="GDV46" s="31"/>
      <c r="GDW46" s="31"/>
      <c r="GDX46" s="31"/>
      <c r="GDY46" s="31"/>
      <c r="GDZ46" s="31"/>
      <c r="GEA46" s="31"/>
      <c r="GEB46" s="31"/>
      <c r="GEC46" s="31"/>
      <c r="GED46" s="31"/>
      <c r="GEE46" s="31"/>
      <c r="GEF46" s="31"/>
      <c r="GEG46" s="31"/>
      <c r="GEH46" s="31"/>
      <c r="GEI46" s="31"/>
      <c r="GEJ46" s="31"/>
      <c r="GEK46" s="31"/>
      <c r="GEL46" s="31"/>
      <c r="GEM46" s="31"/>
      <c r="GEN46" s="31"/>
      <c r="GEO46" s="31"/>
      <c r="GEP46" s="31"/>
      <c r="GEQ46" s="31"/>
      <c r="GER46" s="31"/>
      <c r="GES46" s="31"/>
      <c r="GET46" s="31"/>
      <c r="GEU46" s="31"/>
      <c r="GEV46" s="31"/>
      <c r="GEW46" s="31"/>
      <c r="GEX46" s="31"/>
      <c r="GEY46" s="31"/>
      <c r="GEZ46" s="31"/>
      <c r="GFA46" s="31"/>
      <c r="GFB46" s="31"/>
      <c r="GFC46" s="31"/>
      <c r="GFD46" s="31"/>
      <c r="GFE46" s="31"/>
      <c r="GFF46" s="31"/>
      <c r="GFG46" s="31"/>
      <c r="GFH46" s="31"/>
      <c r="GFI46" s="31"/>
      <c r="GFJ46" s="31"/>
      <c r="GFK46" s="31"/>
      <c r="GFL46" s="31"/>
      <c r="GFM46" s="31"/>
      <c r="GFN46" s="31"/>
      <c r="GFO46" s="31"/>
      <c r="GFP46" s="31"/>
      <c r="GFQ46" s="31"/>
      <c r="GFR46" s="31"/>
      <c r="GFS46" s="31"/>
      <c r="GFT46" s="31"/>
      <c r="GFU46" s="31"/>
      <c r="GFV46" s="31"/>
      <c r="GFW46" s="31"/>
      <c r="GFX46" s="31"/>
      <c r="GFY46" s="31"/>
      <c r="GFZ46" s="31"/>
      <c r="GGA46" s="31"/>
      <c r="GGB46" s="31"/>
      <c r="GGC46" s="31"/>
      <c r="GGD46" s="31"/>
      <c r="GGE46" s="31"/>
      <c r="GGF46" s="31"/>
      <c r="GGG46" s="31"/>
      <c r="GGH46" s="31"/>
      <c r="GGI46" s="31"/>
      <c r="GGJ46" s="31"/>
      <c r="GGK46" s="31"/>
      <c r="GGL46" s="31"/>
      <c r="GGM46" s="31"/>
      <c r="GGN46" s="31"/>
      <c r="GGO46" s="31"/>
      <c r="GGP46" s="31"/>
      <c r="GGQ46" s="31"/>
      <c r="GGR46" s="31"/>
      <c r="GGS46" s="31"/>
      <c r="GGT46" s="31"/>
      <c r="GGU46" s="31"/>
      <c r="GGV46" s="31"/>
      <c r="GGW46" s="31"/>
      <c r="GGX46" s="31"/>
      <c r="GGY46" s="31"/>
      <c r="GGZ46" s="31"/>
      <c r="GHA46" s="31"/>
      <c r="GHB46" s="31"/>
      <c r="GHC46" s="31"/>
      <c r="GHD46" s="31"/>
      <c r="GHE46" s="31"/>
      <c r="GHF46" s="31"/>
      <c r="GHG46" s="31"/>
      <c r="GHH46" s="31"/>
      <c r="GHI46" s="31"/>
      <c r="GHJ46" s="31"/>
      <c r="GHK46" s="31"/>
      <c r="GHL46" s="31"/>
      <c r="GHM46" s="31"/>
      <c r="GHN46" s="31"/>
      <c r="GHO46" s="31"/>
      <c r="GHP46" s="31"/>
      <c r="GHQ46" s="31"/>
      <c r="GHR46" s="31"/>
      <c r="GHS46" s="31"/>
      <c r="GHT46" s="31"/>
      <c r="GHU46" s="31"/>
      <c r="GHV46" s="31"/>
      <c r="GHW46" s="31"/>
      <c r="GHX46" s="31"/>
      <c r="GHY46" s="31"/>
      <c r="GHZ46" s="31"/>
      <c r="GIA46" s="31"/>
      <c r="GIB46" s="31"/>
      <c r="GIC46" s="31"/>
      <c r="GID46" s="31"/>
      <c r="GIE46" s="31"/>
      <c r="GIF46" s="31"/>
      <c r="GIG46" s="31"/>
      <c r="GIH46" s="31"/>
      <c r="GII46" s="31"/>
      <c r="GIJ46" s="31"/>
      <c r="GIK46" s="31"/>
      <c r="GIL46" s="31"/>
      <c r="GIM46" s="31"/>
      <c r="GIN46" s="31"/>
      <c r="GIO46" s="31"/>
      <c r="GIP46" s="31"/>
      <c r="GIQ46" s="31"/>
      <c r="GIR46" s="31"/>
      <c r="GIS46" s="31"/>
      <c r="GIT46" s="31"/>
      <c r="GIU46" s="31"/>
      <c r="GIV46" s="31"/>
      <c r="GIW46" s="31"/>
      <c r="GIX46" s="31"/>
      <c r="GIY46" s="31"/>
      <c r="GIZ46" s="31"/>
      <c r="GJA46" s="31"/>
      <c r="GJB46" s="31"/>
      <c r="GJC46" s="31"/>
      <c r="GJD46" s="31"/>
      <c r="GJE46" s="31"/>
      <c r="GJF46" s="31"/>
      <c r="GJG46" s="31"/>
      <c r="GJH46" s="31"/>
      <c r="GJI46" s="31"/>
      <c r="GJJ46" s="31"/>
      <c r="GJK46" s="31"/>
      <c r="GJL46" s="31"/>
      <c r="GJM46" s="31"/>
      <c r="GJN46" s="31"/>
      <c r="GJO46" s="31"/>
      <c r="GJP46" s="31"/>
      <c r="GJQ46" s="31"/>
      <c r="GJR46" s="31"/>
      <c r="GJS46" s="31"/>
      <c r="GJT46" s="31"/>
      <c r="GJU46" s="31"/>
      <c r="GJV46" s="31"/>
      <c r="GJW46" s="31"/>
      <c r="GJX46" s="31"/>
      <c r="GJY46" s="31"/>
      <c r="GJZ46" s="31"/>
      <c r="GKA46" s="31"/>
      <c r="GKB46" s="31"/>
      <c r="GKC46" s="31"/>
      <c r="GKD46" s="31"/>
      <c r="GKE46" s="31"/>
      <c r="GKF46" s="31"/>
      <c r="GKG46" s="31"/>
      <c r="GKH46" s="31"/>
      <c r="GKI46" s="31"/>
      <c r="GKJ46" s="31"/>
      <c r="GKK46" s="31"/>
      <c r="GKL46" s="31"/>
      <c r="GKM46" s="31"/>
      <c r="GKN46" s="31"/>
      <c r="GKO46" s="31"/>
      <c r="GKP46" s="31"/>
      <c r="GKQ46" s="31"/>
      <c r="GKR46" s="31"/>
      <c r="GKS46" s="31"/>
      <c r="GKT46" s="31"/>
      <c r="GKU46" s="31"/>
      <c r="GKV46" s="31"/>
      <c r="GKW46" s="31"/>
      <c r="GKX46" s="31"/>
      <c r="GKY46" s="31"/>
      <c r="GKZ46" s="31"/>
      <c r="GLA46" s="31"/>
      <c r="GLB46" s="31"/>
      <c r="GLC46" s="31"/>
      <c r="GLD46" s="31"/>
      <c r="GLE46" s="31"/>
      <c r="GLF46" s="31"/>
      <c r="GLG46" s="31"/>
      <c r="GLH46" s="31"/>
      <c r="GLI46" s="31"/>
      <c r="GLJ46" s="31"/>
      <c r="GLK46" s="31"/>
      <c r="GLL46" s="31"/>
      <c r="GLM46" s="31"/>
      <c r="GLN46" s="31"/>
      <c r="GLO46" s="31"/>
      <c r="GLP46" s="31"/>
      <c r="GLQ46" s="31"/>
      <c r="GLR46" s="31"/>
      <c r="GLS46" s="31"/>
      <c r="GLT46" s="31"/>
      <c r="GLU46" s="31"/>
      <c r="GLV46" s="31"/>
      <c r="GLW46" s="31"/>
      <c r="GLX46" s="31"/>
      <c r="GLY46" s="31"/>
      <c r="GLZ46" s="31"/>
      <c r="GMA46" s="31"/>
      <c r="GMB46" s="31"/>
      <c r="GMC46" s="31"/>
      <c r="GMD46" s="31"/>
      <c r="GME46" s="31"/>
      <c r="GMF46" s="31"/>
      <c r="GMG46" s="31"/>
      <c r="GMH46" s="31"/>
      <c r="GMI46" s="31"/>
      <c r="GMJ46" s="31"/>
      <c r="GMK46" s="31"/>
      <c r="GML46" s="31"/>
      <c r="GMM46" s="31"/>
      <c r="GMN46" s="31"/>
      <c r="GMO46" s="31"/>
      <c r="GMP46" s="31"/>
      <c r="GMQ46" s="31"/>
      <c r="GMR46" s="31"/>
      <c r="GMS46" s="31"/>
      <c r="GMT46" s="31"/>
      <c r="GMU46" s="31"/>
      <c r="GMV46" s="31"/>
      <c r="GMW46" s="31"/>
      <c r="GMX46" s="31"/>
      <c r="GMY46" s="31"/>
      <c r="GMZ46" s="31"/>
      <c r="GNA46" s="31"/>
      <c r="GNB46" s="31"/>
      <c r="GNC46" s="31"/>
      <c r="GND46" s="31"/>
      <c r="GNE46" s="31"/>
      <c r="GNF46" s="31"/>
      <c r="GNG46" s="31"/>
      <c r="GNH46" s="31"/>
      <c r="GNI46" s="31"/>
      <c r="GNJ46" s="31"/>
      <c r="GNK46" s="31"/>
      <c r="GNL46" s="31"/>
      <c r="GNM46" s="31"/>
      <c r="GNN46" s="31"/>
      <c r="GNO46" s="31"/>
      <c r="GNP46" s="31"/>
      <c r="GNQ46" s="31"/>
      <c r="GNR46" s="31"/>
      <c r="GNS46" s="31"/>
      <c r="GNT46" s="31"/>
      <c r="GNU46" s="31"/>
      <c r="GNV46" s="31"/>
      <c r="GNW46" s="31"/>
      <c r="GNX46" s="31"/>
      <c r="GNY46" s="31"/>
      <c r="GNZ46" s="31"/>
      <c r="GOA46" s="31"/>
      <c r="GOB46" s="31"/>
      <c r="GOC46" s="31"/>
      <c r="GOD46" s="31"/>
      <c r="GOE46" s="31"/>
      <c r="GOF46" s="31"/>
      <c r="GOG46" s="31"/>
      <c r="GOH46" s="31"/>
      <c r="GOI46" s="31"/>
      <c r="GOJ46" s="31"/>
      <c r="GOK46" s="31"/>
      <c r="GOL46" s="31"/>
      <c r="GOM46" s="31"/>
      <c r="GON46" s="31"/>
      <c r="GOO46" s="31"/>
      <c r="GOP46" s="31"/>
      <c r="GOQ46" s="31"/>
      <c r="GOR46" s="31"/>
      <c r="GOS46" s="31"/>
      <c r="GOT46" s="31"/>
      <c r="GOU46" s="31"/>
      <c r="GOV46" s="31"/>
      <c r="GOW46" s="31"/>
      <c r="GOX46" s="31"/>
      <c r="GOY46" s="31"/>
      <c r="GOZ46" s="31"/>
      <c r="GPA46" s="31"/>
      <c r="GPB46" s="31"/>
      <c r="GPC46" s="31"/>
      <c r="GPD46" s="31"/>
      <c r="GPE46" s="31"/>
      <c r="GPF46" s="31"/>
      <c r="GPG46" s="31"/>
      <c r="GPH46" s="31"/>
      <c r="GPI46" s="31"/>
      <c r="GPJ46" s="31"/>
      <c r="GPK46" s="31"/>
      <c r="GPL46" s="31"/>
      <c r="GPM46" s="31"/>
      <c r="GPN46" s="31"/>
      <c r="GPO46" s="31"/>
      <c r="GPP46" s="31"/>
      <c r="GPQ46" s="31"/>
      <c r="GPR46" s="31"/>
      <c r="GPS46" s="31"/>
      <c r="GPT46" s="31"/>
      <c r="GPU46" s="31"/>
      <c r="GPV46" s="31"/>
      <c r="GPW46" s="31"/>
      <c r="GPX46" s="31"/>
      <c r="GPY46" s="31"/>
      <c r="GPZ46" s="31"/>
      <c r="GQA46" s="31"/>
      <c r="GQB46" s="31"/>
      <c r="GQC46" s="31"/>
      <c r="GQD46" s="31"/>
      <c r="GQE46" s="31"/>
      <c r="GQF46" s="31"/>
      <c r="GQG46" s="31"/>
      <c r="GQH46" s="31"/>
      <c r="GQI46" s="31"/>
      <c r="GQJ46" s="31"/>
      <c r="GQK46" s="31"/>
      <c r="GQL46" s="31"/>
      <c r="GQM46" s="31"/>
      <c r="GQN46" s="31"/>
      <c r="GQO46" s="31"/>
      <c r="GQP46" s="31"/>
      <c r="GQQ46" s="31"/>
      <c r="GQR46" s="31"/>
      <c r="GQS46" s="31"/>
      <c r="GQT46" s="31"/>
      <c r="GQU46" s="31"/>
      <c r="GQV46" s="31"/>
      <c r="GQW46" s="31"/>
      <c r="GQX46" s="31"/>
      <c r="GQY46" s="31"/>
      <c r="GQZ46" s="31"/>
      <c r="GRA46" s="31"/>
      <c r="GRB46" s="31"/>
      <c r="GRC46" s="31"/>
      <c r="GRD46" s="31"/>
      <c r="GRE46" s="31"/>
      <c r="GRF46" s="31"/>
      <c r="GRG46" s="31"/>
      <c r="GRH46" s="31"/>
      <c r="GRI46" s="31"/>
      <c r="GRJ46" s="31"/>
      <c r="GRK46" s="31"/>
      <c r="GRL46" s="31"/>
      <c r="GRM46" s="31"/>
      <c r="GRN46" s="31"/>
      <c r="GRO46" s="31"/>
      <c r="GRP46" s="31"/>
      <c r="GRQ46" s="31"/>
      <c r="GRR46" s="31"/>
      <c r="GRS46" s="31"/>
      <c r="GRT46" s="31"/>
      <c r="GRU46" s="31"/>
      <c r="GRV46" s="31"/>
      <c r="GRW46" s="31"/>
      <c r="GRX46" s="31"/>
      <c r="GRY46" s="31"/>
      <c r="GRZ46" s="31"/>
      <c r="GSA46" s="31"/>
      <c r="GSB46" s="31"/>
      <c r="GSC46" s="31"/>
      <c r="GSD46" s="31"/>
      <c r="GSE46" s="31"/>
      <c r="GSF46" s="31"/>
      <c r="GSG46" s="31"/>
      <c r="GSH46" s="31"/>
      <c r="GSI46" s="31"/>
      <c r="GSJ46" s="31"/>
      <c r="GSK46" s="31"/>
      <c r="GSL46" s="31"/>
      <c r="GSM46" s="31"/>
      <c r="GSN46" s="31"/>
      <c r="GSO46" s="31"/>
      <c r="GSP46" s="31"/>
      <c r="GSQ46" s="31"/>
      <c r="GSR46" s="31"/>
      <c r="GSS46" s="31"/>
      <c r="GST46" s="31"/>
      <c r="GSU46" s="31"/>
      <c r="GSV46" s="31"/>
      <c r="GSW46" s="31"/>
      <c r="GSX46" s="31"/>
      <c r="GSY46" s="31"/>
      <c r="GSZ46" s="31"/>
      <c r="GTA46" s="31"/>
      <c r="GTB46" s="31"/>
      <c r="GTC46" s="31"/>
      <c r="GTD46" s="31"/>
      <c r="GTE46" s="31"/>
      <c r="GTF46" s="31"/>
      <c r="GTG46" s="31"/>
      <c r="GTH46" s="31"/>
      <c r="GTI46" s="31"/>
      <c r="GTJ46" s="31"/>
      <c r="GTK46" s="31"/>
      <c r="GTL46" s="31"/>
      <c r="GTM46" s="31"/>
      <c r="GTN46" s="31"/>
      <c r="GTO46" s="31"/>
      <c r="GTP46" s="31"/>
      <c r="GTQ46" s="31"/>
      <c r="GTR46" s="31"/>
      <c r="GTS46" s="31"/>
      <c r="GTT46" s="31"/>
      <c r="GTU46" s="31"/>
      <c r="GTV46" s="31"/>
      <c r="GTW46" s="31"/>
      <c r="GTX46" s="31"/>
      <c r="GTY46" s="31"/>
      <c r="GTZ46" s="31"/>
      <c r="GUA46" s="31"/>
      <c r="GUB46" s="31"/>
      <c r="GUC46" s="31"/>
      <c r="GUD46" s="31"/>
      <c r="GUE46" s="31"/>
      <c r="GUF46" s="31"/>
      <c r="GUG46" s="31"/>
      <c r="GUH46" s="31"/>
      <c r="GUI46" s="31"/>
      <c r="GUJ46" s="31"/>
      <c r="GUK46" s="31"/>
      <c r="GUL46" s="31"/>
      <c r="GUM46" s="31"/>
      <c r="GUN46" s="31"/>
      <c r="GUO46" s="31"/>
      <c r="GUP46" s="31"/>
      <c r="GUQ46" s="31"/>
      <c r="GUR46" s="31"/>
      <c r="GUS46" s="31"/>
      <c r="GUT46" s="31"/>
      <c r="GUU46" s="31"/>
      <c r="GUV46" s="31"/>
      <c r="GUW46" s="31"/>
      <c r="GUX46" s="31"/>
      <c r="GUY46" s="31"/>
      <c r="GUZ46" s="31"/>
      <c r="GVA46" s="31"/>
      <c r="GVB46" s="31"/>
      <c r="GVC46" s="31"/>
      <c r="GVD46" s="31"/>
      <c r="GVE46" s="31"/>
      <c r="GVF46" s="31"/>
      <c r="GVG46" s="31"/>
      <c r="GVH46" s="31"/>
      <c r="GVI46" s="31"/>
      <c r="GVJ46" s="31"/>
      <c r="GVK46" s="31"/>
      <c r="GVL46" s="31"/>
      <c r="GVM46" s="31"/>
      <c r="GVN46" s="31"/>
      <c r="GVO46" s="31"/>
      <c r="GVP46" s="31"/>
      <c r="GVQ46" s="31"/>
      <c r="GVR46" s="31"/>
      <c r="GVS46" s="31"/>
      <c r="GVT46" s="31"/>
      <c r="GVU46" s="31"/>
      <c r="GVV46" s="31"/>
      <c r="GVW46" s="31"/>
      <c r="GVX46" s="31"/>
      <c r="GVY46" s="31"/>
      <c r="GVZ46" s="31"/>
      <c r="GWA46" s="31"/>
      <c r="GWB46" s="31"/>
      <c r="GWC46" s="31"/>
      <c r="GWD46" s="31"/>
      <c r="GWE46" s="31"/>
      <c r="GWF46" s="31"/>
      <c r="GWG46" s="31"/>
      <c r="GWH46" s="31"/>
      <c r="GWI46" s="31"/>
      <c r="GWJ46" s="31"/>
      <c r="GWK46" s="31"/>
      <c r="GWL46" s="31"/>
      <c r="GWM46" s="31"/>
      <c r="GWN46" s="31"/>
      <c r="GWO46" s="31"/>
      <c r="GWP46" s="31"/>
      <c r="GWQ46" s="31"/>
      <c r="GWR46" s="31"/>
      <c r="GWS46" s="31"/>
      <c r="GWT46" s="31"/>
      <c r="GWU46" s="31"/>
      <c r="GWV46" s="31"/>
      <c r="GWW46" s="31"/>
      <c r="GWX46" s="31"/>
      <c r="GWY46" s="31"/>
      <c r="GWZ46" s="31"/>
      <c r="GXA46" s="31"/>
      <c r="GXB46" s="31"/>
      <c r="GXC46" s="31"/>
      <c r="GXD46" s="31"/>
      <c r="GXE46" s="31"/>
      <c r="GXF46" s="31"/>
      <c r="GXG46" s="31"/>
      <c r="GXH46" s="31"/>
      <c r="GXI46" s="31"/>
      <c r="GXJ46" s="31"/>
      <c r="GXK46" s="31"/>
      <c r="GXL46" s="31"/>
      <c r="GXM46" s="31"/>
      <c r="GXN46" s="31"/>
      <c r="GXO46" s="31"/>
      <c r="GXP46" s="31"/>
      <c r="GXQ46" s="31"/>
      <c r="GXR46" s="31"/>
      <c r="GXS46" s="31"/>
      <c r="GXT46" s="31"/>
      <c r="GXU46" s="31"/>
      <c r="GXV46" s="31"/>
      <c r="GXW46" s="31"/>
      <c r="GXX46" s="31"/>
      <c r="GXY46" s="31"/>
      <c r="GXZ46" s="31"/>
      <c r="GYA46" s="31"/>
      <c r="GYB46" s="31"/>
      <c r="GYC46" s="31"/>
      <c r="GYD46" s="31"/>
      <c r="GYE46" s="31"/>
      <c r="GYF46" s="31"/>
      <c r="GYG46" s="31"/>
      <c r="GYH46" s="31"/>
      <c r="GYI46" s="31"/>
      <c r="GYJ46" s="31"/>
      <c r="GYK46" s="31"/>
      <c r="GYL46" s="31"/>
      <c r="GYM46" s="31"/>
      <c r="GYN46" s="31"/>
      <c r="GYO46" s="31"/>
      <c r="GYP46" s="31"/>
      <c r="GYQ46" s="31"/>
      <c r="GYR46" s="31"/>
      <c r="GYS46" s="31"/>
      <c r="GYT46" s="31"/>
      <c r="GYU46" s="31"/>
      <c r="GYV46" s="31"/>
      <c r="GYW46" s="31"/>
      <c r="GYX46" s="31"/>
      <c r="GYY46" s="31"/>
      <c r="GYZ46" s="31"/>
      <c r="GZA46" s="31"/>
      <c r="GZB46" s="31"/>
      <c r="GZC46" s="31"/>
      <c r="GZD46" s="31"/>
      <c r="GZE46" s="31"/>
      <c r="GZF46" s="31"/>
      <c r="GZG46" s="31"/>
      <c r="GZH46" s="31"/>
      <c r="GZI46" s="31"/>
      <c r="GZJ46" s="31"/>
      <c r="GZK46" s="31"/>
      <c r="GZL46" s="31"/>
      <c r="GZM46" s="31"/>
      <c r="GZN46" s="31"/>
      <c r="GZO46" s="31"/>
      <c r="GZP46" s="31"/>
      <c r="GZQ46" s="31"/>
      <c r="GZR46" s="31"/>
      <c r="GZS46" s="31"/>
      <c r="GZT46" s="31"/>
      <c r="GZU46" s="31"/>
      <c r="GZV46" s="31"/>
      <c r="GZW46" s="31"/>
      <c r="GZX46" s="31"/>
      <c r="GZY46" s="31"/>
      <c r="GZZ46" s="31"/>
      <c r="HAA46" s="31"/>
      <c r="HAB46" s="31"/>
      <c r="HAC46" s="31"/>
      <c r="HAD46" s="31"/>
      <c r="HAE46" s="31"/>
      <c r="HAF46" s="31"/>
      <c r="HAG46" s="31"/>
      <c r="HAH46" s="31"/>
      <c r="HAI46" s="31"/>
      <c r="HAJ46" s="31"/>
      <c r="HAK46" s="31"/>
      <c r="HAL46" s="31"/>
      <c r="HAM46" s="31"/>
      <c r="HAN46" s="31"/>
      <c r="HAO46" s="31"/>
      <c r="HAP46" s="31"/>
      <c r="HAQ46" s="31"/>
      <c r="HAR46" s="31"/>
      <c r="HAS46" s="31"/>
      <c r="HAT46" s="31"/>
      <c r="HAU46" s="31"/>
      <c r="HAV46" s="31"/>
      <c r="HAW46" s="31"/>
      <c r="HAX46" s="31"/>
      <c r="HAY46" s="31"/>
      <c r="HAZ46" s="31"/>
      <c r="HBA46" s="31"/>
      <c r="HBB46" s="31"/>
      <c r="HBC46" s="31"/>
      <c r="HBD46" s="31"/>
      <c r="HBE46" s="31"/>
      <c r="HBF46" s="31"/>
      <c r="HBG46" s="31"/>
      <c r="HBH46" s="31"/>
      <c r="HBI46" s="31"/>
      <c r="HBJ46" s="31"/>
      <c r="HBK46" s="31"/>
      <c r="HBL46" s="31"/>
      <c r="HBM46" s="31"/>
      <c r="HBN46" s="31"/>
      <c r="HBO46" s="31"/>
      <c r="HBP46" s="31"/>
      <c r="HBQ46" s="31"/>
      <c r="HBR46" s="31"/>
      <c r="HBS46" s="31"/>
      <c r="HBT46" s="31"/>
      <c r="HBU46" s="31"/>
      <c r="HBV46" s="31"/>
      <c r="HBW46" s="31"/>
      <c r="HBX46" s="31"/>
      <c r="HBY46" s="31"/>
      <c r="HBZ46" s="31"/>
      <c r="HCA46" s="31"/>
      <c r="HCB46" s="31"/>
      <c r="HCC46" s="31"/>
      <c r="HCD46" s="31"/>
      <c r="HCE46" s="31"/>
      <c r="HCF46" s="31"/>
      <c r="HCG46" s="31"/>
      <c r="HCH46" s="31"/>
      <c r="HCI46" s="31"/>
      <c r="HCJ46" s="31"/>
      <c r="HCK46" s="31"/>
      <c r="HCL46" s="31"/>
      <c r="HCM46" s="31"/>
      <c r="HCN46" s="31"/>
      <c r="HCO46" s="31"/>
      <c r="HCP46" s="31"/>
      <c r="HCQ46" s="31"/>
      <c r="HCR46" s="31"/>
      <c r="HCS46" s="31"/>
      <c r="HCT46" s="31"/>
      <c r="HCU46" s="31"/>
      <c r="HCV46" s="31"/>
      <c r="HCW46" s="31"/>
      <c r="HCX46" s="31"/>
      <c r="HCY46" s="31"/>
      <c r="HCZ46" s="31"/>
      <c r="HDA46" s="31"/>
      <c r="HDB46" s="31"/>
      <c r="HDC46" s="31"/>
      <c r="HDD46" s="31"/>
      <c r="HDE46" s="31"/>
      <c r="HDF46" s="31"/>
      <c r="HDG46" s="31"/>
      <c r="HDH46" s="31"/>
      <c r="HDI46" s="31"/>
      <c r="HDJ46" s="31"/>
      <c r="HDK46" s="31"/>
      <c r="HDL46" s="31"/>
      <c r="HDM46" s="31"/>
      <c r="HDN46" s="31"/>
      <c r="HDO46" s="31"/>
      <c r="HDP46" s="31"/>
      <c r="HDQ46" s="31"/>
      <c r="HDR46" s="31"/>
      <c r="HDS46" s="31"/>
      <c r="HDT46" s="31"/>
      <c r="HDU46" s="31"/>
      <c r="HDV46" s="31"/>
      <c r="HDW46" s="31"/>
      <c r="HDX46" s="31"/>
      <c r="HDY46" s="31"/>
      <c r="HDZ46" s="31"/>
      <c r="HEA46" s="31"/>
      <c r="HEB46" s="31"/>
      <c r="HEC46" s="31"/>
      <c r="HED46" s="31"/>
      <c r="HEE46" s="31"/>
      <c r="HEF46" s="31"/>
      <c r="HEG46" s="31"/>
      <c r="HEH46" s="31"/>
      <c r="HEI46" s="31"/>
      <c r="HEJ46" s="31"/>
      <c r="HEK46" s="31"/>
      <c r="HEL46" s="31"/>
      <c r="HEM46" s="31"/>
      <c r="HEN46" s="31"/>
      <c r="HEO46" s="31"/>
      <c r="HEP46" s="31"/>
      <c r="HEQ46" s="31"/>
      <c r="HER46" s="31"/>
      <c r="HES46" s="31"/>
      <c r="HET46" s="31"/>
      <c r="HEU46" s="31"/>
      <c r="HEV46" s="31"/>
      <c r="HEW46" s="31"/>
      <c r="HEX46" s="31"/>
      <c r="HEY46" s="31"/>
      <c r="HEZ46" s="31"/>
      <c r="HFA46" s="31"/>
      <c r="HFB46" s="31"/>
      <c r="HFC46" s="31"/>
      <c r="HFD46" s="31"/>
      <c r="HFE46" s="31"/>
      <c r="HFF46" s="31"/>
      <c r="HFG46" s="31"/>
      <c r="HFH46" s="31"/>
      <c r="HFI46" s="31"/>
      <c r="HFJ46" s="31"/>
      <c r="HFK46" s="31"/>
      <c r="HFL46" s="31"/>
      <c r="HFM46" s="31"/>
      <c r="HFN46" s="31"/>
      <c r="HFO46" s="31"/>
      <c r="HFP46" s="31"/>
      <c r="HFQ46" s="31"/>
      <c r="HFR46" s="31"/>
      <c r="HFS46" s="31"/>
      <c r="HFT46" s="31"/>
      <c r="HFU46" s="31"/>
      <c r="HFV46" s="31"/>
      <c r="HFW46" s="31"/>
      <c r="HFX46" s="31"/>
      <c r="HFY46" s="31"/>
      <c r="HFZ46" s="31"/>
      <c r="HGA46" s="31"/>
      <c r="HGB46" s="31"/>
      <c r="HGC46" s="31"/>
      <c r="HGD46" s="31"/>
      <c r="HGE46" s="31"/>
      <c r="HGF46" s="31"/>
      <c r="HGG46" s="31"/>
      <c r="HGH46" s="31"/>
      <c r="HGI46" s="31"/>
      <c r="HGJ46" s="31"/>
      <c r="HGK46" s="31"/>
      <c r="HGL46" s="31"/>
      <c r="HGM46" s="31"/>
      <c r="HGN46" s="31"/>
      <c r="HGO46" s="31"/>
      <c r="HGP46" s="31"/>
      <c r="HGQ46" s="31"/>
      <c r="HGR46" s="31"/>
      <c r="HGS46" s="31"/>
      <c r="HGT46" s="31"/>
      <c r="HGU46" s="31"/>
      <c r="HGV46" s="31"/>
      <c r="HGW46" s="31"/>
      <c r="HGX46" s="31"/>
      <c r="HGY46" s="31"/>
      <c r="HGZ46" s="31"/>
      <c r="HHA46" s="31"/>
      <c r="HHB46" s="31"/>
      <c r="HHC46" s="31"/>
      <c r="HHD46" s="31"/>
      <c r="HHE46" s="31"/>
      <c r="HHF46" s="31"/>
      <c r="HHG46" s="31"/>
      <c r="HHH46" s="31"/>
      <c r="HHI46" s="31"/>
      <c r="HHJ46" s="31"/>
      <c r="HHK46" s="31"/>
      <c r="HHL46" s="31"/>
      <c r="HHM46" s="31"/>
      <c r="HHN46" s="31"/>
      <c r="HHO46" s="31"/>
      <c r="HHP46" s="31"/>
      <c r="HHQ46" s="31"/>
      <c r="HHR46" s="31"/>
      <c r="HHS46" s="31"/>
      <c r="HHT46" s="31"/>
      <c r="HHU46" s="31"/>
      <c r="HHV46" s="31"/>
      <c r="HHW46" s="31"/>
      <c r="HHX46" s="31"/>
      <c r="HHY46" s="31"/>
      <c r="HHZ46" s="31"/>
      <c r="HIA46" s="31"/>
      <c r="HIB46" s="31"/>
      <c r="HIC46" s="31"/>
      <c r="HID46" s="31"/>
      <c r="HIE46" s="31"/>
      <c r="HIF46" s="31"/>
      <c r="HIG46" s="31"/>
      <c r="HIH46" s="31"/>
      <c r="HII46" s="31"/>
      <c r="HIJ46" s="31"/>
      <c r="HIK46" s="31"/>
      <c r="HIL46" s="31"/>
      <c r="HIM46" s="31"/>
      <c r="HIN46" s="31"/>
      <c r="HIO46" s="31"/>
      <c r="HIP46" s="31"/>
      <c r="HIQ46" s="31"/>
      <c r="HIR46" s="31"/>
      <c r="HIS46" s="31"/>
      <c r="HIT46" s="31"/>
      <c r="HIU46" s="31"/>
      <c r="HIV46" s="31"/>
      <c r="HIW46" s="31"/>
      <c r="HIX46" s="31"/>
      <c r="HIY46" s="31"/>
      <c r="HIZ46" s="31"/>
      <c r="HJA46" s="31"/>
      <c r="HJB46" s="31"/>
      <c r="HJC46" s="31"/>
      <c r="HJD46" s="31"/>
      <c r="HJE46" s="31"/>
      <c r="HJF46" s="31"/>
      <c r="HJG46" s="31"/>
      <c r="HJH46" s="31"/>
      <c r="HJI46" s="31"/>
      <c r="HJJ46" s="31"/>
      <c r="HJK46" s="31"/>
      <c r="HJL46" s="31"/>
      <c r="HJM46" s="31"/>
      <c r="HJN46" s="31"/>
      <c r="HJO46" s="31"/>
      <c r="HJP46" s="31"/>
      <c r="HJQ46" s="31"/>
      <c r="HJR46" s="31"/>
      <c r="HJS46" s="31"/>
      <c r="HJT46" s="31"/>
      <c r="HJU46" s="31"/>
      <c r="HJV46" s="31"/>
      <c r="HJW46" s="31"/>
      <c r="HJX46" s="31"/>
      <c r="HJY46" s="31"/>
      <c r="HJZ46" s="31"/>
      <c r="HKA46" s="31"/>
      <c r="HKB46" s="31"/>
      <c r="HKC46" s="31"/>
      <c r="HKD46" s="31"/>
      <c r="HKE46" s="31"/>
      <c r="HKF46" s="31"/>
      <c r="HKG46" s="31"/>
      <c r="HKH46" s="31"/>
      <c r="HKI46" s="31"/>
      <c r="HKJ46" s="31"/>
      <c r="HKK46" s="31"/>
      <c r="HKL46" s="31"/>
      <c r="HKM46" s="31"/>
      <c r="HKN46" s="31"/>
      <c r="HKO46" s="31"/>
      <c r="HKP46" s="31"/>
      <c r="HKQ46" s="31"/>
      <c r="HKR46" s="31"/>
      <c r="HKS46" s="31"/>
      <c r="HKT46" s="31"/>
      <c r="HKU46" s="31"/>
      <c r="HKV46" s="31"/>
      <c r="HKW46" s="31"/>
      <c r="HKX46" s="31"/>
      <c r="HKY46" s="31"/>
      <c r="HKZ46" s="31"/>
      <c r="HLA46" s="31"/>
      <c r="HLB46" s="31"/>
      <c r="HLC46" s="31"/>
      <c r="HLD46" s="31"/>
      <c r="HLE46" s="31"/>
      <c r="HLF46" s="31"/>
      <c r="HLG46" s="31"/>
      <c r="HLH46" s="31"/>
      <c r="HLI46" s="31"/>
      <c r="HLJ46" s="31"/>
      <c r="HLK46" s="31"/>
      <c r="HLL46" s="31"/>
      <c r="HLM46" s="31"/>
      <c r="HLN46" s="31"/>
      <c r="HLO46" s="31"/>
      <c r="HLP46" s="31"/>
      <c r="HLQ46" s="31"/>
      <c r="HLR46" s="31"/>
      <c r="HLS46" s="31"/>
      <c r="HLT46" s="31"/>
      <c r="HLU46" s="31"/>
      <c r="HLV46" s="31"/>
      <c r="HLW46" s="31"/>
      <c r="HLX46" s="31"/>
      <c r="HLY46" s="31"/>
      <c r="HLZ46" s="31"/>
      <c r="HMA46" s="31"/>
      <c r="HMB46" s="31"/>
      <c r="HMC46" s="31"/>
      <c r="HMD46" s="31"/>
      <c r="HME46" s="31"/>
      <c r="HMF46" s="31"/>
      <c r="HMG46" s="31"/>
      <c r="HMH46" s="31"/>
      <c r="HMI46" s="31"/>
      <c r="HMJ46" s="31"/>
      <c r="HMK46" s="31"/>
      <c r="HML46" s="31"/>
      <c r="HMM46" s="31"/>
      <c r="HMN46" s="31"/>
      <c r="HMO46" s="31"/>
      <c r="HMP46" s="31"/>
      <c r="HMQ46" s="31"/>
      <c r="HMR46" s="31"/>
      <c r="HMS46" s="31"/>
      <c r="HMT46" s="31"/>
      <c r="HMU46" s="31"/>
      <c r="HMV46" s="31"/>
      <c r="HMW46" s="31"/>
      <c r="HMX46" s="31"/>
      <c r="HMY46" s="31"/>
      <c r="HMZ46" s="31"/>
      <c r="HNA46" s="31"/>
      <c r="HNB46" s="31"/>
      <c r="HNC46" s="31"/>
      <c r="HND46" s="31"/>
      <c r="HNE46" s="31"/>
      <c r="HNF46" s="31"/>
      <c r="HNG46" s="31"/>
      <c r="HNH46" s="31"/>
      <c r="HNI46" s="31"/>
      <c r="HNJ46" s="31"/>
      <c r="HNK46" s="31"/>
      <c r="HNL46" s="31"/>
      <c r="HNM46" s="31"/>
      <c r="HNN46" s="31"/>
      <c r="HNO46" s="31"/>
      <c r="HNP46" s="31"/>
      <c r="HNQ46" s="31"/>
      <c r="HNR46" s="31"/>
      <c r="HNS46" s="31"/>
      <c r="HNT46" s="31"/>
      <c r="HNU46" s="31"/>
      <c r="HNV46" s="31"/>
      <c r="HNW46" s="31"/>
      <c r="HNX46" s="31"/>
      <c r="HNY46" s="31"/>
      <c r="HNZ46" s="31"/>
      <c r="HOA46" s="31"/>
      <c r="HOB46" s="31"/>
      <c r="HOC46" s="31"/>
      <c r="HOD46" s="31"/>
      <c r="HOE46" s="31"/>
      <c r="HOF46" s="31"/>
      <c r="HOG46" s="31"/>
      <c r="HOH46" s="31"/>
      <c r="HOI46" s="31"/>
      <c r="HOJ46" s="31"/>
      <c r="HOK46" s="31"/>
      <c r="HOL46" s="31"/>
      <c r="HOM46" s="31"/>
      <c r="HON46" s="31"/>
      <c r="HOO46" s="31"/>
      <c r="HOP46" s="31"/>
      <c r="HOQ46" s="31"/>
      <c r="HOR46" s="31"/>
      <c r="HOS46" s="31"/>
      <c r="HOT46" s="31"/>
      <c r="HOU46" s="31"/>
      <c r="HOV46" s="31"/>
      <c r="HOW46" s="31"/>
      <c r="HOX46" s="31"/>
      <c r="HOY46" s="31"/>
      <c r="HOZ46" s="31"/>
      <c r="HPA46" s="31"/>
      <c r="HPB46" s="31"/>
      <c r="HPC46" s="31"/>
      <c r="HPD46" s="31"/>
      <c r="HPE46" s="31"/>
      <c r="HPF46" s="31"/>
      <c r="HPG46" s="31"/>
      <c r="HPH46" s="31"/>
      <c r="HPI46" s="31"/>
      <c r="HPJ46" s="31"/>
      <c r="HPK46" s="31"/>
      <c r="HPL46" s="31"/>
      <c r="HPM46" s="31"/>
      <c r="HPN46" s="31"/>
      <c r="HPO46" s="31"/>
      <c r="HPP46" s="31"/>
      <c r="HPQ46" s="31"/>
      <c r="HPR46" s="31"/>
      <c r="HPS46" s="31"/>
      <c r="HPT46" s="31"/>
      <c r="HPU46" s="31"/>
      <c r="HPV46" s="31"/>
      <c r="HPW46" s="31"/>
      <c r="HPX46" s="31"/>
      <c r="HPY46" s="31"/>
      <c r="HPZ46" s="31"/>
      <c r="HQA46" s="31"/>
      <c r="HQB46" s="31"/>
      <c r="HQC46" s="31"/>
      <c r="HQD46" s="31"/>
      <c r="HQE46" s="31"/>
      <c r="HQF46" s="31"/>
      <c r="HQG46" s="31"/>
      <c r="HQH46" s="31"/>
      <c r="HQI46" s="31"/>
      <c r="HQJ46" s="31"/>
      <c r="HQK46" s="31"/>
      <c r="HQL46" s="31"/>
      <c r="HQM46" s="31"/>
      <c r="HQN46" s="31"/>
      <c r="HQO46" s="31"/>
      <c r="HQP46" s="31"/>
      <c r="HQQ46" s="31"/>
      <c r="HQR46" s="31"/>
      <c r="HQS46" s="31"/>
      <c r="HQT46" s="31"/>
      <c r="HQU46" s="31"/>
      <c r="HQV46" s="31"/>
      <c r="HQW46" s="31"/>
      <c r="HQX46" s="31"/>
      <c r="HQY46" s="31"/>
      <c r="HQZ46" s="31"/>
      <c r="HRA46" s="31"/>
      <c r="HRB46" s="31"/>
      <c r="HRC46" s="31"/>
      <c r="HRD46" s="31"/>
      <c r="HRE46" s="31"/>
      <c r="HRF46" s="31"/>
      <c r="HRG46" s="31"/>
      <c r="HRH46" s="31"/>
      <c r="HRI46" s="31"/>
      <c r="HRJ46" s="31"/>
      <c r="HRK46" s="31"/>
      <c r="HRL46" s="31"/>
      <c r="HRM46" s="31"/>
      <c r="HRN46" s="31"/>
      <c r="HRO46" s="31"/>
      <c r="HRP46" s="31"/>
      <c r="HRQ46" s="31"/>
      <c r="HRR46" s="31"/>
      <c r="HRS46" s="31"/>
      <c r="HRT46" s="31"/>
      <c r="HRU46" s="31"/>
      <c r="HRV46" s="31"/>
      <c r="HRW46" s="31"/>
      <c r="HRX46" s="31"/>
      <c r="HRY46" s="31"/>
      <c r="HRZ46" s="31"/>
      <c r="HSA46" s="31"/>
      <c r="HSB46" s="31"/>
      <c r="HSC46" s="31"/>
      <c r="HSD46" s="31"/>
      <c r="HSE46" s="31"/>
      <c r="HSF46" s="31"/>
      <c r="HSG46" s="31"/>
      <c r="HSH46" s="31"/>
      <c r="HSI46" s="31"/>
      <c r="HSJ46" s="31"/>
      <c r="HSK46" s="31"/>
      <c r="HSL46" s="31"/>
      <c r="HSM46" s="31"/>
      <c r="HSN46" s="31"/>
      <c r="HSO46" s="31"/>
      <c r="HSP46" s="31"/>
      <c r="HSQ46" s="31"/>
      <c r="HSR46" s="31"/>
      <c r="HSS46" s="31"/>
      <c r="HST46" s="31"/>
      <c r="HSU46" s="31"/>
      <c r="HSV46" s="31"/>
      <c r="HSW46" s="31"/>
      <c r="HSX46" s="31"/>
      <c r="HSY46" s="31"/>
      <c r="HSZ46" s="31"/>
      <c r="HTA46" s="31"/>
      <c r="HTB46" s="31"/>
      <c r="HTC46" s="31"/>
      <c r="HTD46" s="31"/>
      <c r="HTE46" s="31"/>
      <c r="HTF46" s="31"/>
      <c r="HTG46" s="31"/>
      <c r="HTH46" s="31"/>
      <c r="HTI46" s="31"/>
      <c r="HTJ46" s="31"/>
      <c r="HTK46" s="31"/>
      <c r="HTL46" s="31"/>
      <c r="HTM46" s="31"/>
      <c r="HTN46" s="31"/>
      <c r="HTO46" s="31"/>
      <c r="HTP46" s="31"/>
      <c r="HTQ46" s="31"/>
      <c r="HTR46" s="31"/>
      <c r="HTS46" s="31"/>
      <c r="HTT46" s="31"/>
      <c r="HTU46" s="31"/>
      <c r="HTV46" s="31"/>
      <c r="HTW46" s="31"/>
      <c r="HTX46" s="31"/>
      <c r="HTY46" s="31"/>
      <c r="HTZ46" s="31"/>
      <c r="HUA46" s="31"/>
      <c r="HUB46" s="31"/>
      <c r="HUC46" s="31"/>
      <c r="HUD46" s="31"/>
      <c r="HUE46" s="31"/>
      <c r="HUF46" s="31"/>
      <c r="HUG46" s="31"/>
      <c r="HUH46" s="31"/>
      <c r="HUI46" s="31"/>
      <c r="HUJ46" s="31"/>
      <c r="HUK46" s="31"/>
      <c r="HUL46" s="31"/>
      <c r="HUM46" s="31"/>
      <c r="HUN46" s="31"/>
      <c r="HUO46" s="31"/>
      <c r="HUP46" s="31"/>
      <c r="HUQ46" s="31"/>
      <c r="HUR46" s="31"/>
      <c r="HUS46" s="31"/>
      <c r="HUT46" s="31"/>
      <c r="HUU46" s="31"/>
      <c r="HUV46" s="31"/>
      <c r="HUW46" s="31"/>
      <c r="HUX46" s="31"/>
      <c r="HUY46" s="31"/>
      <c r="HUZ46" s="31"/>
      <c r="HVA46" s="31"/>
      <c r="HVB46" s="31"/>
      <c r="HVC46" s="31"/>
      <c r="HVD46" s="31"/>
      <c r="HVE46" s="31"/>
      <c r="HVF46" s="31"/>
      <c r="HVG46" s="31"/>
      <c r="HVH46" s="31"/>
      <c r="HVI46" s="31"/>
      <c r="HVJ46" s="31"/>
      <c r="HVK46" s="31"/>
      <c r="HVL46" s="31"/>
      <c r="HVM46" s="31"/>
      <c r="HVN46" s="31"/>
      <c r="HVO46" s="31"/>
      <c r="HVP46" s="31"/>
      <c r="HVQ46" s="31"/>
      <c r="HVR46" s="31"/>
      <c r="HVS46" s="31"/>
      <c r="HVT46" s="31"/>
      <c r="HVU46" s="31"/>
      <c r="HVV46" s="31"/>
      <c r="HVW46" s="31"/>
      <c r="HVX46" s="31"/>
      <c r="HVY46" s="31"/>
      <c r="HVZ46" s="31"/>
      <c r="HWA46" s="31"/>
      <c r="HWB46" s="31"/>
      <c r="HWC46" s="31"/>
      <c r="HWD46" s="31"/>
      <c r="HWE46" s="31"/>
      <c r="HWF46" s="31"/>
      <c r="HWG46" s="31"/>
      <c r="HWH46" s="31"/>
      <c r="HWI46" s="31"/>
      <c r="HWJ46" s="31"/>
      <c r="HWK46" s="31"/>
      <c r="HWL46" s="31"/>
      <c r="HWM46" s="31"/>
      <c r="HWN46" s="31"/>
      <c r="HWO46" s="31"/>
      <c r="HWP46" s="31"/>
      <c r="HWQ46" s="31"/>
      <c r="HWR46" s="31"/>
      <c r="HWS46" s="31"/>
      <c r="HWT46" s="31"/>
      <c r="HWU46" s="31"/>
      <c r="HWV46" s="31"/>
      <c r="HWW46" s="31"/>
      <c r="HWX46" s="31"/>
      <c r="HWY46" s="31"/>
      <c r="HWZ46" s="31"/>
      <c r="HXA46" s="31"/>
      <c r="HXB46" s="31"/>
      <c r="HXC46" s="31"/>
      <c r="HXD46" s="31"/>
      <c r="HXE46" s="31"/>
      <c r="HXF46" s="31"/>
      <c r="HXG46" s="31"/>
      <c r="HXH46" s="31"/>
      <c r="HXI46" s="31"/>
      <c r="HXJ46" s="31"/>
      <c r="HXK46" s="31"/>
      <c r="HXL46" s="31"/>
      <c r="HXM46" s="31"/>
      <c r="HXN46" s="31"/>
      <c r="HXO46" s="31"/>
      <c r="HXP46" s="31"/>
      <c r="HXQ46" s="31"/>
      <c r="HXR46" s="31"/>
      <c r="HXS46" s="31"/>
      <c r="HXT46" s="31"/>
      <c r="HXU46" s="31"/>
      <c r="HXV46" s="31"/>
      <c r="HXW46" s="31"/>
      <c r="HXX46" s="31"/>
      <c r="HXY46" s="31"/>
      <c r="HXZ46" s="31"/>
      <c r="HYA46" s="31"/>
      <c r="HYB46" s="31"/>
      <c r="HYC46" s="31"/>
      <c r="HYD46" s="31"/>
      <c r="HYE46" s="31"/>
      <c r="HYF46" s="31"/>
      <c r="HYG46" s="31"/>
      <c r="HYH46" s="31"/>
      <c r="HYI46" s="31"/>
      <c r="HYJ46" s="31"/>
      <c r="HYK46" s="31"/>
      <c r="HYL46" s="31"/>
      <c r="HYM46" s="31"/>
      <c r="HYN46" s="31"/>
      <c r="HYO46" s="31"/>
      <c r="HYP46" s="31"/>
      <c r="HYQ46" s="31"/>
      <c r="HYR46" s="31"/>
      <c r="HYS46" s="31"/>
      <c r="HYT46" s="31"/>
      <c r="HYU46" s="31"/>
      <c r="HYV46" s="31"/>
      <c r="HYW46" s="31"/>
      <c r="HYX46" s="31"/>
      <c r="HYY46" s="31"/>
      <c r="HYZ46" s="31"/>
      <c r="HZA46" s="31"/>
      <c r="HZB46" s="31"/>
      <c r="HZC46" s="31"/>
      <c r="HZD46" s="31"/>
      <c r="HZE46" s="31"/>
      <c r="HZF46" s="31"/>
      <c r="HZG46" s="31"/>
      <c r="HZH46" s="31"/>
      <c r="HZI46" s="31"/>
      <c r="HZJ46" s="31"/>
      <c r="HZK46" s="31"/>
      <c r="HZL46" s="31"/>
      <c r="HZM46" s="31"/>
      <c r="HZN46" s="31"/>
      <c r="HZO46" s="31"/>
      <c r="HZP46" s="31"/>
      <c r="HZQ46" s="31"/>
      <c r="HZR46" s="31"/>
      <c r="HZS46" s="31"/>
      <c r="HZT46" s="31"/>
      <c r="HZU46" s="31"/>
      <c r="HZV46" s="31"/>
      <c r="HZW46" s="31"/>
      <c r="HZX46" s="31"/>
      <c r="HZY46" s="31"/>
      <c r="HZZ46" s="31"/>
      <c r="IAA46" s="31"/>
      <c r="IAB46" s="31"/>
      <c r="IAC46" s="31"/>
      <c r="IAD46" s="31"/>
      <c r="IAE46" s="31"/>
      <c r="IAF46" s="31"/>
      <c r="IAG46" s="31"/>
      <c r="IAH46" s="31"/>
      <c r="IAI46" s="31"/>
      <c r="IAJ46" s="31"/>
      <c r="IAK46" s="31"/>
      <c r="IAL46" s="31"/>
      <c r="IAM46" s="31"/>
      <c r="IAN46" s="31"/>
      <c r="IAO46" s="31"/>
      <c r="IAP46" s="31"/>
      <c r="IAQ46" s="31"/>
      <c r="IAR46" s="31"/>
      <c r="IAS46" s="31"/>
      <c r="IAT46" s="31"/>
      <c r="IAU46" s="31"/>
      <c r="IAV46" s="31"/>
      <c r="IAW46" s="31"/>
      <c r="IAX46" s="31"/>
      <c r="IAY46" s="31"/>
      <c r="IAZ46" s="31"/>
      <c r="IBA46" s="31"/>
      <c r="IBB46" s="31"/>
      <c r="IBC46" s="31"/>
      <c r="IBD46" s="31"/>
      <c r="IBE46" s="31"/>
      <c r="IBF46" s="31"/>
      <c r="IBG46" s="31"/>
      <c r="IBH46" s="31"/>
      <c r="IBI46" s="31"/>
      <c r="IBJ46" s="31"/>
      <c r="IBK46" s="31"/>
      <c r="IBL46" s="31"/>
      <c r="IBM46" s="31"/>
      <c r="IBN46" s="31"/>
      <c r="IBO46" s="31"/>
      <c r="IBP46" s="31"/>
      <c r="IBQ46" s="31"/>
      <c r="IBR46" s="31"/>
      <c r="IBS46" s="31"/>
      <c r="IBT46" s="31"/>
      <c r="IBU46" s="31"/>
      <c r="IBV46" s="31"/>
      <c r="IBW46" s="31"/>
      <c r="IBX46" s="31"/>
      <c r="IBY46" s="31"/>
      <c r="IBZ46" s="31"/>
      <c r="ICA46" s="31"/>
      <c r="ICB46" s="31"/>
      <c r="ICC46" s="31"/>
      <c r="ICD46" s="31"/>
      <c r="ICE46" s="31"/>
      <c r="ICF46" s="31"/>
      <c r="ICG46" s="31"/>
      <c r="ICH46" s="31"/>
      <c r="ICI46" s="31"/>
      <c r="ICJ46" s="31"/>
      <c r="ICK46" s="31"/>
      <c r="ICL46" s="31"/>
      <c r="ICM46" s="31"/>
      <c r="ICN46" s="31"/>
      <c r="ICO46" s="31"/>
      <c r="ICP46" s="31"/>
      <c r="ICQ46" s="31"/>
      <c r="ICR46" s="31"/>
      <c r="ICS46" s="31"/>
      <c r="ICT46" s="31"/>
      <c r="ICU46" s="31"/>
      <c r="ICV46" s="31"/>
      <c r="ICW46" s="31"/>
      <c r="ICX46" s="31"/>
      <c r="ICY46" s="31"/>
      <c r="ICZ46" s="31"/>
      <c r="IDA46" s="31"/>
      <c r="IDB46" s="31"/>
      <c r="IDC46" s="31"/>
      <c r="IDD46" s="31"/>
      <c r="IDE46" s="31"/>
      <c r="IDF46" s="31"/>
      <c r="IDG46" s="31"/>
      <c r="IDH46" s="31"/>
      <c r="IDI46" s="31"/>
      <c r="IDJ46" s="31"/>
      <c r="IDK46" s="31"/>
      <c r="IDL46" s="31"/>
      <c r="IDM46" s="31"/>
      <c r="IDN46" s="31"/>
      <c r="IDO46" s="31"/>
      <c r="IDP46" s="31"/>
      <c r="IDQ46" s="31"/>
      <c r="IDR46" s="31"/>
      <c r="IDS46" s="31"/>
      <c r="IDT46" s="31"/>
      <c r="IDU46" s="31"/>
      <c r="IDV46" s="31"/>
      <c r="IDW46" s="31"/>
      <c r="IDX46" s="31"/>
      <c r="IDY46" s="31"/>
      <c r="IDZ46" s="31"/>
      <c r="IEA46" s="31"/>
      <c r="IEB46" s="31"/>
      <c r="IEC46" s="31"/>
      <c r="IED46" s="31"/>
      <c r="IEE46" s="31"/>
      <c r="IEF46" s="31"/>
      <c r="IEG46" s="31"/>
      <c r="IEH46" s="31"/>
      <c r="IEI46" s="31"/>
      <c r="IEJ46" s="31"/>
      <c r="IEK46" s="31"/>
      <c r="IEL46" s="31"/>
      <c r="IEM46" s="31"/>
      <c r="IEN46" s="31"/>
      <c r="IEO46" s="31"/>
      <c r="IEP46" s="31"/>
      <c r="IEQ46" s="31"/>
      <c r="IER46" s="31"/>
      <c r="IES46" s="31"/>
      <c r="IET46" s="31"/>
      <c r="IEU46" s="31"/>
      <c r="IEV46" s="31"/>
      <c r="IEW46" s="31"/>
      <c r="IEX46" s="31"/>
      <c r="IEY46" s="31"/>
      <c r="IEZ46" s="31"/>
      <c r="IFA46" s="31"/>
      <c r="IFB46" s="31"/>
      <c r="IFC46" s="31"/>
      <c r="IFD46" s="31"/>
      <c r="IFE46" s="31"/>
      <c r="IFF46" s="31"/>
      <c r="IFG46" s="31"/>
      <c r="IFH46" s="31"/>
      <c r="IFI46" s="31"/>
      <c r="IFJ46" s="31"/>
      <c r="IFK46" s="31"/>
      <c r="IFL46" s="31"/>
      <c r="IFM46" s="31"/>
      <c r="IFN46" s="31"/>
      <c r="IFO46" s="31"/>
      <c r="IFP46" s="31"/>
      <c r="IFQ46" s="31"/>
      <c r="IFR46" s="31"/>
      <c r="IFS46" s="31"/>
      <c r="IFT46" s="31"/>
      <c r="IFU46" s="31"/>
      <c r="IFV46" s="31"/>
      <c r="IFW46" s="31"/>
      <c r="IFX46" s="31"/>
      <c r="IFY46" s="31"/>
      <c r="IFZ46" s="31"/>
      <c r="IGA46" s="31"/>
      <c r="IGB46" s="31"/>
      <c r="IGC46" s="31"/>
      <c r="IGD46" s="31"/>
      <c r="IGE46" s="31"/>
      <c r="IGF46" s="31"/>
      <c r="IGG46" s="31"/>
      <c r="IGH46" s="31"/>
      <c r="IGI46" s="31"/>
      <c r="IGJ46" s="31"/>
      <c r="IGK46" s="31"/>
      <c r="IGL46" s="31"/>
      <c r="IGM46" s="31"/>
      <c r="IGN46" s="31"/>
      <c r="IGO46" s="31"/>
      <c r="IGP46" s="31"/>
      <c r="IGQ46" s="31"/>
      <c r="IGR46" s="31"/>
      <c r="IGS46" s="31"/>
      <c r="IGT46" s="31"/>
      <c r="IGU46" s="31"/>
      <c r="IGV46" s="31"/>
      <c r="IGW46" s="31"/>
      <c r="IGX46" s="31"/>
      <c r="IGY46" s="31"/>
      <c r="IGZ46" s="31"/>
      <c r="IHA46" s="31"/>
      <c r="IHB46" s="31"/>
      <c r="IHC46" s="31"/>
      <c r="IHD46" s="31"/>
      <c r="IHE46" s="31"/>
      <c r="IHF46" s="31"/>
      <c r="IHG46" s="31"/>
      <c r="IHH46" s="31"/>
      <c r="IHI46" s="31"/>
      <c r="IHJ46" s="31"/>
      <c r="IHK46" s="31"/>
      <c r="IHL46" s="31"/>
      <c r="IHM46" s="31"/>
      <c r="IHN46" s="31"/>
      <c r="IHO46" s="31"/>
      <c r="IHP46" s="31"/>
      <c r="IHQ46" s="31"/>
      <c r="IHR46" s="31"/>
      <c r="IHS46" s="31"/>
      <c r="IHT46" s="31"/>
      <c r="IHU46" s="31"/>
      <c r="IHV46" s="31"/>
      <c r="IHW46" s="31"/>
      <c r="IHX46" s="31"/>
      <c r="IHY46" s="31"/>
      <c r="IHZ46" s="31"/>
      <c r="IIA46" s="31"/>
      <c r="IIB46" s="31"/>
      <c r="IIC46" s="31"/>
      <c r="IID46" s="31"/>
      <c r="IIE46" s="31"/>
      <c r="IIF46" s="31"/>
      <c r="IIG46" s="31"/>
      <c r="IIH46" s="31"/>
      <c r="III46" s="31"/>
      <c r="IIJ46" s="31"/>
      <c r="IIK46" s="31"/>
      <c r="IIL46" s="31"/>
      <c r="IIM46" s="31"/>
      <c r="IIN46" s="31"/>
      <c r="IIO46" s="31"/>
      <c r="IIP46" s="31"/>
      <c r="IIQ46" s="31"/>
      <c r="IIR46" s="31"/>
      <c r="IIS46" s="31"/>
      <c r="IIT46" s="31"/>
      <c r="IIU46" s="31"/>
      <c r="IIV46" s="31"/>
      <c r="IIW46" s="31"/>
      <c r="IIX46" s="31"/>
      <c r="IIY46" s="31"/>
      <c r="IIZ46" s="31"/>
      <c r="IJA46" s="31"/>
      <c r="IJB46" s="31"/>
      <c r="IJC46" s="31"/>
      <c r="IJD46" s="31"/>
      <c r="IJE46" s="31"/>
      <c r="IJF46" s="31"/>
      <c r="IJG46" s="31"/>
      <c r="IJH46" s="31"/>
      <c r="IJI46" s="31"/>
      <c r="IJJ46" s="31"/>
      <c r="IJK46" s="31"/>
      <c r="IJL46" s="31"/>
      <c r="IJM46" s="31"/>
      <c r="IJN46" s="31"/>
      <c r="IJO46" s="31"/>
      <c r="IJP46" s="31"/>
      <c r="IJQ46" s="31"/>
      <c r="IJR46" s="31"/>
      <c r="IJS46" s="31"/>
      <c r="IJT46" s="31"/>
      <c r="IJU46" s="31"/>
      <c r="IJV46" s="31"/>
      <c r="IJW46" s="31"/>
      <c r="IJX46" s="31"/>
      <c r="IJY46" s="31"/>
      <c r="IJZ46" s="31"/>
      <c r="IKA46" s="31"/>
      <c r="IKB46" s="31"/>
      <c r="IKC46" s="31"/>
      <c r="IKD46" s="31"/>
      <c r="IKE46" s="31"/>
      <c r="IKF46" s="31"/>
      <c r="IKG46" s="31"/>
      <c r="IKH46" s="31"/>
      <c r="IKI46" s="31"/>
      <c r="IKJ46" s="31"/>
      <c r="IKK46" s="31"/>
      <c r="IKL46" s="31"/>
      <c r="IKM46" s="31"/>
      <c r="IKN46" s="31"/>
      <c r="IKO46" s="31"/>
      <c r="IKP46" s="31"/>
      <c r="IKQ46" s="31"/>
      <c r="IKR46" s="31"/>
      <c r="IKS46" s="31"/>
      <c r="IKT46" s="31"/>
      <c r="IKU46" s="31"/>
      <c r="IKV46" s="31"/>
      <c r="IKW46" s="31"/>
      <c r="IKX46" s="31"/>
      <c r="IKY46" s="31"/>
      <c r="IKZ46" s="31"/>
      <c r="ILA46" s="31"/>
      <c r="ILB46" s="31"/>
      <c r="ILC46" s="31"/>
      <c r="ILD46" s="31"/>
      <c r="ILE46" s="31"/>
      <c r="ILF46" s="31"/>
      <c r="ILG46" s="31"/>
      <c r="ILH46" s="31"/>
      <c r="ILI46" s="31"/>
      <c r="ILJ46" s="31"/>
      <c r="ILK46" s="31"/>
      <c r="ILL46" s="31"/>
      <c r="ILM46" s="31"/>
      <c r="ILN46" s="31"/>
      <c r="ILO46" s="31"/>
      <c r="ILP46" s="31"/>
      <c r="ILQ46" s="31"/>
      <c r="ILR46" s="31"/>
      <c r="ILS46" s="31"/>
      <c r="ILT46" s="31"/>
      <c r="ILU46" s="31"/>
      <c r="ILV46" s="31"/>
      <c r="ILW46" s="31"/>
      <c r="ILX46" s="31"/>
      <c r="ILY46" s="31"/>
      <c r="ILZ46" s="31"/>
      <c r="IMA46" s="31"/>
      <c r="IMB46" s="31"/>
      <c r="IMC46" s="31"/>
      <c r="IMD46" s="31"/>
      <c r="IME46" s="31"/>
      <c r="IMF46" s="31"/>
      <c r="IMG46" s="31"/>
      <c r="IMH46" s="31"/>
      <c r="IMI46" s="31"/>
      <c r="IMJ46" s="31"/>
      <c r="IMK46" s="31"/>
      <c r="IML46" s="31"/>
      <c r="IMM46" s="31"/>
      <c r="IMN46" s="31"/>
      <c r="IMO46" s="31"/>
      <c r="IMP46" s="31"/>
      <c r="IMQ46" s="31"/>
      <c r="IMR46" s="31"/>
      <c r="IMS46" s="31"/>
      <c r="IMT46" s="31"/>
      <c r="IMU46" s="31"/>
      <c r="IMV46" s="31"/>
      <c r="IMW46" s="31"/>
      <c r="IMX46" s="31"/>
      <c r="IMY46" s="31"/>
      <c r="IMZ46" s="31"/>
      <c r="INA46" s="31"/>
      <c r="INB46" s="31"/>
      <c r="INC46" s="31"/>
      <c r="IND46" s="31"/>
      <c r="INE46" s="31"/>
      <c r="INF46" s="31"/>
      <c r="ING46" s="31"/>
      <c r="INH46" s="31"/>
      <c r="INI46" s="31"/>
      <c r="INJ46" s="31"/>
      <c r="INK46" s="31"/>
      <c r="INL46" s="31"/>
      <c r="INM46" s="31"/>
      <c r="INN46" s="31"/>
      <c r="INO46" s="31"/>
      <c r="INP46" s="31"/>
      <c r="INQ46" s="31"/>
      <c r="INR46" s="31"/>
      <c r="INS46" s="31"/>
      <c r="INT46" s="31"/>
      <c r="INU46" s="31"/>
      <c r="INV46" s="31"/>
      <c r="INW46" s="31"/>
      <c r="INX46" s="31"/>
      <c r="INY46" s="31"/>
      <c r="INZ46" s="31"/>
      <c r="IOA46" s="31"/>
      <c r="IOB46" s="31"/>
      <c r="IOC46" s="31"/>
      <c r="IOD46" s="31"/>
      <c r="IOE46" s="31"/>
      <c r="IOF46" s="31"/>
      <c r="IOG46" s="31"/>
      <c r="IOH46" s="31"/>
      <c r="IOI46" s="31"/>
      <c r="IOJ46" s="31"/>
      <c r="IOK46" s="31"/>
      <c r="IOL46" s="31"/>
      <c r="IOM46" s="31"/>
      <c r="ION46" s="31"/>
      <c r="IOO46" s="31"/>
      <c r="IOP46" s="31"/>
      <c r="IOQ46" s="31"/>
      <c r="IOR46" s="31"/>
      <c r="IOS46" s="31"/>
      <c r="IOT46" s="31"/>
      <c r="IOU46" s="31"/>
      <c r="IOV46" s="31"/>
      <c r="IOW46" s="31"/>
      <c r="IOX46" s="31"/>
      <c r="IOY46" s="31"/>
      <c r="IOZ46" s="31"/>
      <c r="IPA46" s="31"/>
      <c r="IPB46" s="31"/>
      <c r="IPC46" s="31"/>
      <c r="IPD46" s="31"/>
      <c r="IPE46" s="31"/>
      <c r="IPF46" s="31"/>
      <c r="IPG46" s="31"/>
      <c r="IPH46" s="31"/>
      <c r="IPI46" s="31"/>
      <c r="IPJ46" s="31"/>
      <c r="IPK46" s="31"/>
      <c r="IPL46" s="31"/>
      <c r="IPM46" s="31"/>
      <c r="IPN46" s="31"/>
      <c r="IPO46" s="31"/>
      <c r="IPP46" s="31"/>
      <c r="IPQ46" s="31"/>
      <c r="IPR46" s="31"/>
      <c r="IPS46" s="31"/>
      <c r="IPT46" s="31"/>
      <c r="IPU46" s="31"/>
      <c r="IPV46" s="31"/>
      <c r="IPW46" s="31"/>
      <c r="IPX46" s="31"/>
      <c r="IPY46" s="31"/>
      <c r="IPZ46" s="31"/>
      <c r="IQA46" s="31"/>
      <c r="IQB46" s="31"/>
      <c r="IQC46" s="31"/>
      <c r="IQD46" s="31"/>
      <c r="IQE46" s="31"/>
      <c r="IQF46" s="31"/>
      <c r="IQG46" s="31"/>
      <c r="IQH46" s="31"/>
      <c r="IQI46" s="31"/>
      <c r="IQJ46" s="31"/>
      <c r="IQK46" s="31"/>
      <c r="IQL46" s="31"/>
      <c r="IQM46" s="31"/>
      <c r="IQN46" s="31"/>
      <c r="IQO46" s="31"/>
      <c r="IQP46" s="31"/>
      <c r="IQQ46" s="31"/>
      <c r="IQR46" s="31"/>
      <c r="IQS46" s="31"/>
      <c r="IQT46" s="31"/>
      <c r="IQU46" s="31"/>
      <c r="IQV46" s="31"/>
      <c r="IQW46" s="31"/>
      <c r="IQX46" s="31"/>
      <c r="IQY46" s="31"/>
      <c r="IQZ46" s="31"/>
      <c r="IRA46" s="31"/>
      <c r="IRB46" s="31"/>
      <c r="IRC46" s="31"/>
      <c r="IRD46" s="31"/>
      <c r="IRE46" s="31"/>
      <c r="IRF46" s="31"/>
      <c r="IRG46" s="31"/>
      <c r="IRH46" s="31"/>
      <c r="IRI46" s="31"/>
      <c r="IRJ46" s="31"/>
      <c r="IRK46" s="31"/>
      <c r="IRL46" s="31"/>
      <c r="IRM46" s="31"/>
      <c r="IRN46" s="31"/>
      <c r="IRO46" s="31"/>
      <c r="IRP46" s="31"/>
      <c r="IRQ46" s="31"/>
      <c r="IRR46" s="31"/>
      <c r="IRS46" s="31"/>
      <c r="IRT46" s="31"/>
      <c r="IRU46" s="31"/>
      <c r="IRV46" s="31"/>
      <c r="IRW46" s="31"/>
      <c r="IRX46" s="31"/>
      <c r="IRY46" s="31"/>
      <c r="IRZ46" s="31"/>
      <c r="ISA46" s="31"/>
      <c r="ISB46" s="31"/>
      <c r="ISC46" s="31"/>
      <c r="ISD46" s="31"/>
      <c r="ISE46" s="31"/>
      <c r="ISF46" s="31"/>
      <c r="ISG46" s="31"/>
      <c r="ISH46" s="31"/>
      <c r="ISI46" s="31"/>
      <c r="ISJ46" s="31"/>
      <c r="ISK46" s="31"/>
      <c r="ISL46" s="31"/>
      <c r="ISM46" s="31"/>
      <c r="ISN46" s="31"/>
      <c r="ISO46" s="31"/>
      <c r="ISP46" s="31"/>
      <c r="ISQ46" s="31"/>
      <c r="ISR46" s="31"/>
      <c r="ISS46" s="31"/>
      <c r="IST46" s="31"/>
      <c r="ISU46" s="31"/>
      <c r="ISV46" s="31"/>
      <c r="ISW46" s="31"/>
      <c r="ISX46" s="31"/>
      <c r="ISY46" s="31"/>
      <c r="ISZ46" s="31"/>
      <c r="ITA46" s="31"/>
      <c r="ITB46" s="31"/>
      <c r="ITC46" s="31"/>
      <c r="ITD46" s="31"/>
      <c r="ITE46" s="31"/>
      <c r="ITF46" s="31"/>
      <c r="ITG46" s="31"/>
      <c r="ITH46" s="31"/>
      <c r="ITI46" s="31"/>
      <c r="ITJ46" s="31"/>
      <c r="ITK46" s="31"/>
      <c r="ITL46" s="31"/>
      <c r="ITM46" s="31"/>
      <c r="ITN46" s="31"/>
      <c r="ITO46" s="31"/>
      <c r="ITP46" s="31"/>
      <c r="ITQ46" s="31"/>
      <c r="ITR46" s="31"/>
      <c r="ITS46" s="31"/>
      <c r="ITT46" s="31"/>
      <c r="ITU46" s="31"/>
      <c r="ITV46" s="31"/>
      <c r="ITW46" s="31"/>
      <c r="ITX46" s="31"/>
      <c r="ITY46" s="31"/>
      <c r="ITZ46" s="31"/>
      <c r="IUA46" s="31"/>
      <c r="IUB46" s="31"/>
      <c r="IUC46" s="31"/>
      <c r="IUD46" s="31"/>
      <c r="IUE46" s="31"/>
      <c r="IUF46" s="31"/>
      <c r="IUG46" s="31"/>
      <c r="IUH46" s="31"/>
      <c r="IUI46" s="31"/>
      <c r="IUJ46" s="31"/>
      <c r="IUK46" s="31"/>
      <c r="IUL46" s="31"/>
      <c r="IUM46" s="31"/>
      <c r="IUN46" s="31"/>
      <c r="IUO46" s="31"/>
      <c r="IUP46" s="31"/>
      <c r="IUQ46" s="31"/>
      <c r="IUR46" s="31"/>
      <c r="IUS46" s="31"/>
      <c r="IUT46" s="31"/>
      <c r="IUU46" s="31"/>
      <c r="IUV46" s="31"/>
      <c r="IUW46" s="31"/>
      <c r="IUX46" s="31"/>
      <c r="IUY46" s="31"/>
      <c r="IUZ46" s="31"/>
      <c r="IVA46" s="31"/>
      <c r="IVB46" s="31"/>
      <c r="IVC46" s="31"/>
      <c r="IVD46" s="31"/>
      <c r="IVE46" s="31"/>
      <c r="IVF46" s="31"/>
      <c r="IVG46" s="31"/>
      <c r="IVH46" s="31"/>
      <c r="IVI46" s="31"/>
      <c r="IVJ46" s="31"/>
      <c r="IVK46" s="31"/>
      <c r="IVL46" s="31"/>
      <c r="IVM46" s="31"/>
      <c r="IVN46" s="31"/>
      <c r="IVO46" s="31"/>
      <c r="IVP46" s="31"/>
      <c r="IVQ46" s="31"/>
      <c r="IVR46" s="31"/>
      <c r="IVS46" s="31"/>
      <c r="IVT46" s="31"/>
      <c r="IVU46" s="31"/>
      <c r="IVV46" s="31"/>
      <c r="IVW46" s="31"/>
      <c r="IVX46" s="31"/>
      <c r="IVY46" s="31"/>
      <c r="IVZ46" s="31"/>
      <c r="IWA46" s="31"/>
      <c r="IWB46" s="31"/>
      <c r="IWC46" s="31"/>
      <c r="IWD46" s="31"/>
      <c r="IWE46" s="31"/>
      <c r="IWF46" s="31"/>
      <c r="IWG46" s="31"/>
      <c r="IWH46" s="31"/>
      <c r="IWI46" s="31"/>
      <c r="IWJ46" s="31"/>
      <c r="IWK46" s="31"/>
      <c r="IWL46" s="31"/>
      <c r="IWM46" s="31"/>
      <c r="IWN46" s="31"/>
      <c r="IWO46" s="31"/>
      <c r="IWP46" s="31"/>
      <c r="IWQ46" s="31"/>
      <c r="IWR46" s="31"/>
      <c r="IWS46" s="31"/>
      <c r="IWT46" s="31"/>
      <c r="IWU46" s="31"/>
      <c r="IWV46" s="31"/>
      <c r="IWW46" s="31"/>
      <c r="IWX46" s="31"/>
      <c r="IWY46" s="31"/>
      <c r="IWZ46" s="31"/>
      <c r="IXA46" s="31"/>
      <c r="IXB46" s="31"/>
      <c r="IXC46" s="31"/>
      <c r="IXD46" s="31"/>
      <c r="IXE46" s="31"/>
      <c r="IXF46" s="31"/>
      <c r="IXG46" s="31"/>
      <c r="IXH46" s="31"/>
      <c r="IXI46" s="31"/>
      <c r="IXJ46" s="31"/>
      <c r="IXK46" s="31"/>
      <c r="IXL46" s="31"/>
      <c r="IXM46" s="31"/>
      <c r="IXN46" s="31"/>
      <c r="IXO46" s="31"/>
      <c r="IXP46" s="31"/>
      <c r="IXQ46" s="31"/>
      <c r="IXR46" s="31"/>
      <c r="IXS46" s="31"/>
      <c r="IXT46" s="31"/>
      <c r="IXU46" s="31"/>
      <c r="IXV46" s="31"/>
      <c r="IXW46" s="31"/>
      <c r="IXX46" s="31"/>
      <c r="IXY46" s="31"/>
      <c r="IXZ46" s="31"/>
      <c r="IYA46" s="31"/>
      <c r="IYB46" s="31"/>
      <c r="IYC46" s="31"/>
      <c r="IYD46" s="31"/>
      <c r="IYE46" s="31"/>
      <c r="IYF46" s="31"/>
      <c r="IYG46" s="31"/>
      <c r="IYH46" s="31"/>
      <c r="IYI46" s="31"/>
      <c r="IYJ46" s="31"/>
      <c r="IYK46" s="31"/>
      <c r="IYL46" s="31"/>
      <c r="IYM46" s="31"/>
      <c r="IYN46" s="31"/>
      <c r="IYO46" s="31"/>
      <c r="IYP46" s="31"/>
      <c r="IYQ46" s="31"/>
      <c r="IYR46" s="31"/>
      <c r="IYS46" s="31"/>
      <c r="IYT46" s="31"/>
      <c r="IYU46" s="31"/>
      <c r="IYV46" s="31"/>
      <c r="IYW46" s="31"/>
      <c r="IYX46" s="31"/>
      <c r="IYY46" s="31"/>
      <c r="IYZ46" s="31"/>
      <c r="IZA46" s="31"/>
      <c r="IZB46" s="31"/>
      <c r="IZC46" s="31"/>
      <c r="IZD46" s="31"/>
      <c r="IZE46" s="31"/>
      <c r="IZF46" s="31"/>
      <c r="IZG46" s="31"/>
      <c r="IZH46" s="31"/>
      <c r="IZI46" s="31"/>
      <c r="IZJ46" s="31"/>
      <c r="IZK46" s="31"/>
      <c r="IZL46" s="31"/>
      <c r="IZM46" s="31"/>
      <c r="IZN46" s="31"/>
      <c r="IZO46" s="31"/>
      <c r="IZP46" s="31"/>
      <c r="IZQ46" s="31"/>
      <c r="IZR46" s="31"/>
      <c r="IZS46" s="31"/>
      <c r="IZT46" s="31"/>
      <c r="IZU46" s="31"/>
      <c r="IZV46" s="31"/>
      <c r="IZW46" s="31"/>
      <c r="IZX46" s="31"/>
      <c r="IZY46" s="31"/>
      <c r="IZZ46" s="31"/>
      <c r="JAA46" s="31"/>
      <c r="JAB46" s="31"/>
      <c r="JAC46" s="31"/>
      <c r="JAD46" s="31"/>
      <c r="JAE46" s="31"/>
      <c r="JAF46" s="31"/>
      <c r="JAG46" s="31"/>
      <c r="JAH46" s="31"/>
      <c r="JAI46" s="31"/>
      <c r="JAJ46" s="31"/>
      <c r="JAK46" s="31"/>
      <c r="JAL46" s="31"/>
      <c r="JAM46" s="31"/>
      <c r="JAN46" s="31"/>
      <c r="JAO46" s="31"/>
      <c r="JAP46" s="31"/>
      <c r="JAQ46" s="31"/>
      <c r="JAR46" s="31"/>
      <c r="JAS46" s="31"/>
      <c r="JAT46" s="31"/>
      <c r="JAU46" s="31"/>
      <c r="JAV46" s="31"/>
      <c r="JAW46" s="31"/>
      <c r="JAX46" s="31"/>
      <c r="JAY46" s="31"/>
      <c r="JAZ46" s="31"/>
      <c r="JBA46" s="31"/>
      <c r="JBB46" s="31"/>
      <c r="JBC46" s="31"/>
      <c r="JBD46" s="31"/>
      <c r="JBE46" s="31"/>
      <c r="JBF46" s="31"/>
      <c r="JBG46" s="31"/>
      <c r="JBH46" s="31"/>
      <c r="JBI46" s="31"/>
      <c r="JBJ46" s="31"/>
      <c r="JBK46" s="31"/>
      <c r="JBL46" s="31"/>
      <c r="JBM46" s="31"/>
      <c r="JBN46" s="31"/>
      <c r="JBO46" s="31"/>
      <c r="JBP46" s="31"/>
      <c r="JBQ46" s="31"/>
      <c r="JBR46" s="31"/>
      <c r="JBS46" s="31"/>
      <c r="JBT46" s="31"/>
      <c r="JBU46" s="31"/>
      <c r="JBV46" s="31"/>
      <c r="JBW46" s="31"/>
      <c r="JBX46" s="31"/>
      <c r="JBY46" s="31"/>
      <c r="JBZ46" s="31"/>
      <c r="JCA46" s="31"/>
      <c r="JCB46" s="31"/>
      <c r="JCC46" s="31"/>
      <c r="JCD46" s="31"/>
      <c r="JCE46" s="31"/>
      <c r="JCF46" s="31"/>
      <c r="JCG46" s="31"/>
      <c r="JCH46" s="31"/>
      <c r="JCI46" s="31"/>
      <c r="JCJ46" s="31"/>
      <c r="JCK46" s="31"/>
      <c r="JCL46" s="31"/>
      <c r="JCM46" s="31"/>
      <c r="JCN46" s="31"/>
      <c r="JCO46" s="31"/>
      <c r="JCP46" s="31"/>
      <c r="JCQ46" s="31"/>
      <c r="JCR46" s="31"/>
      <c r="JCS46" s="31"/>
      <c r="JCT46" s="31"/>
      <c r="JCU46" s="31"/>
      <c r="JCV46" s="31"/>
      <c r="JCW46" s="31"/>
      <c r="JCX46" s="31"/>
      <c r="JCY46" s="31"/>
      <c r="JCZ46" s="31"/>
      <c r="JDA46" s="31"/>
      <c r="JDB46" s="31"/>
      <c r="JDC46" s="31"/>
      <c r="JDD46" s="31"/>
      <c r="JDE46" s="31"/>
      <c r="JDF46" s="31"/>
      <c r="JDG46" s="31"/>
      <c r="JDH46" s="31"/>
      <c r="JDI46" s="31"/>
      <c r="JDJ46" s="31"/>
      <c r="JDK46" s="31"/>
      <c r="JDL46" s="31"/>
      <c r="JDM46" s="31"/>
      <c r="JDN46" s="31"/>
      <c r="JDO46" s="31"/>
      <c r="JDP46" s="31"/>
      <c r="JDQ46" s="31"/>
      <c r="JDR46" s="31"/>
      <c r="JDS46" s="31"/>
      <c r="JDT46" s="31"/>
      <c r="JDU46" s="31"/>
      <c r="JDV46" s="31"/>
      <c r="JDW46" s="31"/>
      <c r="JDX46" s="31"/>
      <c r="JDY46" s="31"/>
      <c r="JDZ46" s="31"/>
      <c r="JEA46" s="31"/>
      <c r="JEB46" s="31"/>
      <c r="JEC46" s="31"/>
      <c r="JED46" s="31"/>
      <c r="JEE46" s="31"/>
      <c r="JEF46" s="31"/>
      <c r="JEG46" s="31"/>
      <c r="JEH46" s="31"/>
      <c r="JEI46" s="31"/>
      <c r="JEJ46" s="31"/>
      <c r="JEK46" s="31"/>
      <c r="JEL46" s="31"/>
      <c r="JEM46" s="31"/>
      <c r="JEN46" s="31"/>
      <c r="JEO46" s="31"/>
      <c r="JEP46" s="31"/>
      <c r="JEQ46" s="31"/>
      <c r="JER46" s="31"/>
      <c r="JES46" s="31"/>
      <c r="JET46" s="31"/>
      <c r="JEU46" s="31"/>
      <c r="JEV46" s="31"/>
      <c r="JEW46" s="31"/>
      <c r="JEX46" s="31"/>
      <c r="JEY46" s="31"/>
      <c r="JEZ46" s="31"/>
      <c r="JFA46" s="31"/>
      <c r="JFB46" s="31"/>
      <c r="JFC46" s="31"/>
      <c r="JFD46" s="31"/>
      <c r="JFE46" s="31"/>
      <c r="JFF46" s="31"/>
      <c r="JFG46" s="31"/>
      <c r="JFH46" s="31"/>
      <c r="JFI46" s="31"/>
      <c r="JFJ46" s="31"/>
      <c r="JFK46" s="31"/>
      <c r="JFL46" s="31"/>
      <c r="JFM46" s="31"/>
      <c r="JFN46" s="31"/>
      <c r="JFO46" s="31"/>
      <c r="JFP46" s="31"/>
      <c r="JFQ46" s="31"/>
      <c r="JFR46" s="31"/>
      <c r="JFS46" s="31"/>
      <c r="JFT46" s="31"/>
      <c r="JFU46" s="31"/>
      <c r="JFV46" s="31"/>
      <c r="JFW46" s="31"/>
      <c r="JFX46" s="31"/>
      <c r="JFY46" s="31"/>
      <c r="JFZ46" s="31"/>
      <c r="JGA46" s="31"/>
      <c r="JGB46" s="31"/>
      <c r="JGC46" s="31"/>
      <c r="JGD46" s="31"/>
      <c r="JGE46" s="31"/>
      <c r="JGF46" s="31"/>
      <c r="JGG46" s="31"/>
      <c r="JGH46" s="31"/>
      <c r="JGI46" s="31"/>
      <c r="JGJ46" s="31"/>
      <c r="JGK46" s="31"/>
      <c r="JGL46" s="31"/>
      <c r="JGM46" s="31"/>
      <c r="JGN46" s="31"/>
      <c r="JGO46" s="31"/>
      <c r="JGP46" s="31"/>
      <c r="JGQ46" s="31"/>
      <c r="JGR46" s="31"/>
      <c r="JGS46" s="31"/>
      <c r="JGT46" s="31"/>
      <c r="JGU46" s="31"/>
      <c r="JGV46" s="31"/>
      <c r="JGW46" s="31"/>
      <c r="JGX46" s="31"/>
      <c r="JGY46" s="31"/>
      <c r="JGZ46" s="31"/>
      <c r="JHA46" s="31"/>
      <c r="JHB46" s="31"/>
      <c r="JHC46" s="31"/>
      <c r="JHD46" s="31"/>
      <c r="JHE46" s="31"/>
      <c r="JHF46" s="31"/>
      <c r="JHG46" s="31"/>
      <c r="JHH46" s="31"/>
      <c r="JHI46" s="31"/>
      <c r="JHJ46" s="31"/>
      <c r="JHK46" s="31"/>
      <c r="JHL46" s="31"/>
      <c r="JHM46" s="31"/>
      <c r="JHN46" s="31"/>
      <c r="JHO46" s="31"/>
      <c r="JHP46" s="31"/>
      <c r="JHQ46" s="31"/>
      <c r="JHR46" s="31"/>
      <c r="JHS46" s="31"/>
      <c r="JHT46" s="31"/>
      <c r="JHU46" s="31"/>
      <c r="JHV46" s="31"/>
      <c r="JHW46" s="31"/>
      <c r="JHX46" s="31"/>
      <c r="JHY46" s="31"/>
      <c r="JHZ46" s="31"/>
      <c r="JIA46" s="31"/>
      <c r="JIB46" s="31"/>
      <c r="JIC46" s="31"/>
      <c r="JID46" s="31"/>
      <c r="JIE46" s="31"/>
      <c r="JIF46" s="31"/>
      <c r="JIG46" s="31"/>
      <c r="JIH46" s="31"/>
      <c r="JII46" s="31"/>
      <c r="JIJ46" s="31"/>
      <c r="JIK46" s="31"/>
      <c r="JIL46" s="31"/>
      <c r="JIM46" s="31"/>
      <c r="JIN46" s="31"/>
      <c r="JIO46" s="31"/>
      <c r="JIP46" s="31"/>
      <c r="JIQ46" s="31"/>
      <c r="JIR46" s="31"/>
      <c r="JIS46" s="31"/>
      <c r="JIT46" s="31"/>
      <c r="JIU46" s="31"/>
      <c r="JIV46" s="31"/>
      <c r="JIW46" s="31"/>
      <c r="JIX46" s="31"/>
      <c r="JIY46" s="31"/>
      <c r="JIZ46" s="31"/>
      <c r="JJA46" s="31"/>
      <c r="JJB46" s="31"/>
      <c r="JJC46" s="31"/>
      <c r="JJD46" s="31"/>
      <c r="JJE46" s="31"/>
      <c r="JJF46" s="31"/>
      <c r="JJG46" s="31"/>
      <c r="JJH46" s="31"/>
      <c r="JJI46" s="31"/>
      <c r="JJJ46" s="31"/>
      <c r="JJK46" s="31"/>
      <c r="JJL46" s="31"/>
      <c r="JJM46" s="31"/>
      <c r="JJN46" s="31"/>
      <c r="JJO46" s="31"/>
      <c r="JJP46" s="31"/>
      <c r="JJQ46" s="31"/>
      <c r="JJR46" s="31"/>
      <c r="JJS46" s="31"/>
      <c r="JJT46" s="31"/>
      <c r="JJU46" s="31"/>
      <c r="JJV46" s="31"/>
      <c r="JJW46" s="31"/>
      <c r="JJX46" s="31"/>
      <c r="JJY46" s="31"/>
      <c r="JJZ46" s="31"/>
      <c r="JKA46" s="31"/>
      <c r="JKB46" s="31"/>
      <c r="JKC46" s="31"/>
      <c r="JKD46" s="31"/>
      <c r="JKE46" s="31"/>
      <c r="JKF46" s="31"/>
      <c r="JKG46" s="31"/>
      <c r="JKH46" s="31"/>
      <c r="JKI46" s="31"/>
      <c r="JKJ46" s="31"/>
      <c r="JKK46" s="31"/>
      <c r="JKL46" s="31"/>
      <c r="JKM46" s="31"/>
      <c r="JKN46" s="31"/>
      <c r="JKO46" s="31"/>
      <c r="JKP46" s="31"/>
      <c r="JKQ46" s="31"/>
      <c r="JKR46" s="31"/>
      <c r="JKS46" s="31"/>
      <c r="JKT46" s="31"/>
      <c r="JKU46" s="31"/>
      <c r="JKV46" s="31"/>
      <c r="JKW46" s="31"/>
      <c r="JKX46" s="31"/>
      <c r="JKY46" s="31"/>
      <c r="JKZ46" s="31"/>
      <c r="JLA46" s="31"/>
      <c r="JLB46" s="31"/>
      <c r="JLC46" s="31"/>
      <c r="JLD46" s="31"/>
      <c r="JLE46" s="31"/>
      <c r="JLF46" s="31"/>
      <c r="JLG46" s="31"/>
      <c r="JLH46" s="31"/>
      <c r="JLI46" s="31"/>
      <c r="JLJ46" s="31"/>
      <c r="JLK46" s="31"/>
      <c r="JLL46" s="31"/>
      <c r="JLM46" s="31"/>
      <c r="JLN46" s="31"/>
      <c r="JLO46" s="31"/>
      <c r="JLP46" s="31"/>
      <c r="JLQ46" s="31"/>
      <c r="JLR46" s="31"/>
      <c r="JLS46" s="31"/>
      <c r="JLT46" s="31"/>
      <c r="JLU46" s="31"/>
      <c r="JLV46" s="31"/>
      <c r="JLW46" s="31"/>
      <c r="JLX46" s="31"/>
      <c r="JLY46" s="31"/>
      <c r="JLZ46" s="31"/>
      <c r="JMA46" s="31"/>
      <c r="JMB46" s="31"/>
      <c r="JMC46" s="31"/>
      <c r="JMD46" s="31"/>
      <c r="JME46" s="31"/>
      <c r="JMF46" s="31"/>
      <c r="JMG46" s="31"/>
      <c r="JMH46" s="31"/>
      <c r="JMI46" s="31"/>
      <c r="JMJ46" s="31"/>
      <c r="JMK46" s="31"/>
      <c r="JML46" s="31"/>
      <c r="JMM46" s="31"/>
      <c r="JMN46" s="31"/>
      <c r="JMO46" s="31"/>
      <c r="JMP46" s="31"/>
      <c r="JMQ46" s="31"/>
      <c r="JMR46" s="31"/>
      <c r="JMS46" s="31"/>
      <c r="JMT46" s="31"/>
      <c r="JMU46" s="31"/>
      <c r="JMV46" s="31"/>
      <c r="JMW46" s="31"/>
      <c r="JMX46" s="31"/>
      <c r="JMY46" s="31"/>
      <c r="JMZ46" s="31"/>
      <c r="JNA46" s="31"/>
      <c r="JNB46" s="31"/>
      <c r="JNC46" s="31"/>
      <c r="JND46" s="31"/>
      <c r="JNE46" s="31"/>
      <c r="JNF46" s="31"/>
      <c r="JNG46" s="31"/>
      <c r="JNH46" s="31"/>
      <c r="JNI46" s="31"/>
      <c r="JNJ46" s="31"/>
      <c r="JNK46" s="31"/>
      <c r="JNL46" s="31"/>
      <c r="JNM46" s="31"/>
      <c r="JNN46" s="31"/>
      <c r="JNO46" s="31"/>
      <c r="JNP46" s="31"/>
      <c r="JNQ46" s="31"/>
      <c r="JNR46" s="31"/>
      <c r="JNS46" s="31"/>
      <c r="JNT46" s="31"/>
      <c r="JNU46" s="31"/>
      <c r="JNV46" s="31"/>
      <c r="JNW46" s="31"/>
      <c r="JNX46" s="31"/>
      <c r="JNY46" s="31"/>
      <c r="JNZ46" s="31"/>
      <c r="JOA46" s="31"/>
      <c r="JOB46" s="31"/>
      <c r="JOC46" s="31"/>
      <c r="JOD46" s="31"/>
      <c r="JOE46" s="31"/>
      <c r="JOF46" s="31"/>
      <c r="JOG46" s="31"/>
      <c r="JOH46" s="31"/>
      <c r="JOI46" s="31"/>
      <c r="JOJ46" s="31"/>
      <c r="JOK46" s="31"/>
      <c r="JOL46" s="31"/>
      <c r="JOM46" s="31"/>
      <c r="JON46" s="31"/>
      <c r="JOO46" s="31"/>
      <c r="JOP46" s="31"/>
      <c r="JOQ46" s="31"/>
      <c r="JOR46" s="31"/>
      <c r="JOS46" s="31"/>
      <c r="JOT46" s="31"/>
      <c r="JOU46" s="31"/>
      <c r="JOV46" s="31"/>
      <c r="JOW46" s="31"/>
      <c r="JOX46" s="31"/>
      <c r="JOY46" s="31"/>
      <c r="JOZ46" s="31"/>
      <c r="JPA46" s="31"/>
      <c r="JPB46" s="31"/>
      <c r="JPC46" s="31"/>
      <c r="JPD46" s="31"/>
      <c r="JPE46" s="31"/>
      <c r="JPF46" s="31"/>
      <c r="JPG46" s="31"/>
      <c r="JPH46" s="31"/>
      <c r="JPI46" s="31"/>
      <c r="JPJ46" s="31"/>
      <c r="JPK46" s="31"/>
      <c r="JPL46" s="31"/>
      <c r="JPM46" s="31"/>
      <c r="JPN46" s="31"/>
      <c r="JPO46" s="31"/>
      <c r="JPP46" s="31"/>
      <c r="JPQ46" s="31"/>
      <c r="JPR46" s="31"/>
      <c r="JPS46" s="31"/>
      <c r="JPT46" s="31"/>
      <c r="JPU46" s="31"/>
      <c r="JPV46" s="31"/>
      <c r="JPW46" s="31"/>
      <c r="JPX46" s="31"/>
      <c r="JPY46" s="31"/>
      <c r="JPZ46" s="31"/>
      <c r="JQA46" s="31"/>
      <c r="JQB46" s="31"/>
      <c r="JQC46" s="31"/>
      <c r="JQD46" s="31"/>
      <c r="JQE46" s="31"/>
      <c r="JQF46" s="31"/>
      <c r="JQG46" s="31"/>
      <c r="JQH46" s="31"/>
      <c r="JQI46" s="31"/>
      <c r="JQJ46" s="31"/>
      <c r="JQK46" s="31"/>
      <c r="JQL46" s="31"/>
      <c r="JQM46" s="31"/>
      <c r="JQN46" s="31"/>
      <c r="JQO46" s="31"/>
      <c r="JQP46" s="31"/>
      <c r="JQQ46" s="31"/>
      <c r="JQR46" s="31"/>
      <c r="JQS46" s="31"/>
      <c r="JQT46" s="31"/>
      <c r="JQU46" s="31"/>
      <c r="JQV46" s="31"/>
      <c r="JQW46" s="31"/>
      <c r="JQX46" s="31"/>
      <c r="JQY46" s="31"/>
      <c r="JQZ46" s="31"/>
      <c r="JRA46" s="31"/>
      <c r="JRB46" s="31"/>
      <c r="JRC46" s="31"/>
      <c r="JRD46" s="31"/>
      <c r="JRE46" s="31"/>
      <c r="JRF46" s="31"/>
      <c r="JRG46" s="31"/>
      <c r="JRH46" s="31"/>
      <c r="JRI46" s="31"/>
      <c r="JRJ46" s="31"/>
      <c r="JRK46" s="31"/>
      <c r="JRL46" s="31"/>
      <c r="JRM46" s="31"/>
      <c r="JRN46" s="31"/>
      <c r="JRO46" s="31"/>
      <c r="JRP46" s="31"/>
      <c r="JRQ46" s="31"/>
      <c r="JRR46" s="31"/>
      <c r="JRS46" s="31"/>
      <c r="JRT46" s="31"/>
      <c r="JRU46" s="31"/>
      <c r="JRV46" s="31"/>
      <c r="JRW46" s="31"/>
      <c r="JRX46" s="31"/>
      <c r="JRY46" s="31"/>
      <c r="JRZ46" s="31"/>
      <c r="JSA46" s="31"/>
      <c r="JSB46" s="31"/>
      <c r="JSC46" s="31"/>
      <c r="JSD46" s="31"/>
      <c r="JSE46" s="31"/>
      <c r="JSF46" s="31"/>
      <c r="JSG46" s="31"/>
      <c r="JSH46" s="31"/>
      <c r="JSI46" s="31"/>
      <c r="JSJ46" s="31"/>
      <c r="JSK46" s="31"/>
      <c r="JSL46" s="31"/>
      <c r="JSM46" s="31"/>
      <c r="JSN46" s="31"/>
      <c r="JSO46" s="31"/>
      <c r="JSP46" s="31"/>
      <c r="JSQ46" s="31"/>
      <c r="JSR46" s="31"/>
      <c r="JSS46" s="31"/>
      <c r="JST46" s="31"/>
      <c r="JSU46" s="31"/>
      <c r="JSV46" s="31"/>
      <c r="JSW46" s="31"/>
      <c r="JSX46" s="31"/>
      <c r="JSY46" s="31"/>
      <c r="JSZ46" s="31"/>
      <c r="JTA46" s="31"/>
      <c r="JTB46" s="31"/>
      <c r="JTC46" s="31"/>
      <c r="JTD46" s="31"/>
      <c r="JTE46" s="31"/>
      <c r="JTF46" s="31"/>
      <c r="JTG46" s="31"/>
      <c r="JTH46" s="31"/>
      <c r="JTI46" s="31"/>
      <c r="JTJ46" s="31"/>
      <c r="JTK46" s="31"/>
      <c r="JTL46" s="31"/>
      <c r="JTM46" s="31"/>
      <c r="JTN46" s="31"/>
      <c r="JTO46" s="31"/>
      <c r="JTP46" s="31"/>
      <c r="JTQ46" s="31"/>
      <c r="JTR46" s="31"/>
      <c r="JTS46" s="31"/>
      <c r="JTT46" s="31"/>
      <c r="JTU46" s="31"/>
      <c r="JTV46" s="31"/>
      <c r="JTW46" s="31"/>
      <c r="JTX46" s="31"/>
      <c r="JTY46" s="31"/>
      <c r="JTZ46" s="31"/>
      <c r="JUA46" s="31"/>
      <c r="JUB46" s="31"/>
      <c r="JUC46" s="31"/>
      <c r="JUD46" s="31"/>
      <c r="JUE46" s="31"/>
      <c r="JUF46" s="31"/>
      <c r="JUG46" s="31"/>
      <c r="JUH46" s="31"/>
      <c r="JUI46" s="31"/>
      <c r="JUJ46" s="31"/>
      <c r="JUK46" s="31"/>
      <c r="JUL46" s="31"/>
      <c r="JUM46" s="31"/>
      <c r="JUN46" s="31"/>
      <c r="JUO46" s="31"/>
      <c r="JUP46" s="31"/>
      <c r="JUQ46" s="31"/>
      <c r="JUR46" s="31"/>
      <c r="JUS46" s="31"/>
      <c r="JUT46" s="31"/>
      <c r="JUU46" s="31"/>
      <c r="JUV46" s="31"/>
      <c r="JUW46" s="31"/>
      <c r="JUX46" s="31"/>
      <c r="JUY46" s="31"/>
      <c r="JUZ46" s="31"/>
      <c r="JVA46" s="31"/>
      <c r="JVB46" s="31"/>
      <c r="JVC46" s="31"/>
      <c r="JVD46" s="31"/>
      <c r="JVE46" s="31"/>
      <c r="JVF46" s="31"/>
      <c r="JVG46" s="31"/>
      <c r="JVH46" s="31"/>
      <c r="JVI46" s="31"/>
      <c r="JVJ46" s="31"/>
      <c r="JVK46" s="31"/>
      <c r="JVL46" s="31"/>
      <c r="JVM46" s="31"/>
      <c r="JVN46" s="31"/>
      <c r="JVO46" s="31"/>
      <c r="JVP46" s="31"/>
      <c r="JVQ46" s="31"/>
      <c r="JVR46" s="31"/>
      <c r="JVS46" s="31"/>
      <c r="JVT46" s="31"/>
      <c r="JVU46" s="31"/>
      <c r="JVV46" s="31"/>
      <c r="JVW46" s="31"/>
      <c r="JVX46" s="31"/>
      <c r="JVY46" s="31"/>
      <c r="JVZ46" s="31"/>
      <c r="JWA46" s="31"/>
      <c r="JWB46" s="31"/>
      <c r="JWC46" s="31"/>
      <c r="JWD46" s="31"/>
      <c r="JWE46" s="31"/>
      <c r="JWF46" s="31"/>
      <c r="JWG46" s="31"/>
      <c r="JWH46" s="31"/>
      <c r="JWI46" s="31"/>
      <c r="JWJ46" s="31"/>
      <c r="JWK46" s="31"/>
      <c r="JWL46" s="31"/>
      <c r="JWM46" s="31"/>
      <c r="JWN46" s="31"/>
      <c r="JWO46" s="31"/>
      <c r="JWP46" s="31"/>
      <c r="JWQ46" s="31"/>
      <c r="JWR46" s="31"/>
      <c r="JWS46" s="31"/>
      <c r="JWT46" s="31"/>
      <c r="JWU46" s="31"/>
      <c r="JWV46" s="31"/>
      <c r="JWW46" s="31"/>
      <c r="JWX46" s="31"/>
      <c r="JWY46" s="31"/>
      <c r="JWZ46" s="31"/>
      <c r="JXA46" s="31"/>
      <c r="JXB46" s="31"/>
      <c r="JXC46" s="31"/>
      <c r="JXD46" s="31"/>
      <c r="JXE46" s="31"/>
      <c r="JXF46" s="31"/>
      <c r="JXG46" s="31"/>
      <c r="JXH46" s="31"/>
      <c r="JXI46" s="31"/>
      <c r="JXJ46" s="31"/>
      <c r="JXK46" s="31"/>
      <c r="JXL46" s="31"/>
      <c r="JXM46" s="31"/>
      <c r="JXN46" s="31"/>
      <c r="JXO46" s="31"/>
      <c r="JXP46" s="31"/>
      <c r="JXQ46" s="31"/>
      <c r="JXR46" s="31"/>
      <c r="JXS46" s="31"/>
      <c r="JXT46" s="31"/>
      <c r="JXU46" s="31"/>
      <c r="JXV46" s="31"/>
      <c r="JXW46" s="31"/>
      <c r="JXX46" s="31"/>
      <c r="JXY46" s="31"/>
      <c r="JXZ46" s="31"/>
      <c r="JYA46" s="31"/>
      <c r="JYB46" s="31"/>
      <c r="JYC46" s="31"/>
      <c r="JYD46" s="31"/>
      <c r="JYE46" s="31"/>
      <c r="JYF46" s="31"/>
      <c r="JYG46" s="31"/>
      <c r="JYH46" s="31"/>
      <c r="JYI46" s="31"/>
      <c r="JYJ46" s="31"/>
      <c r="JYK46" s="31"/>
      <c r="JYL46" s="31"/>
      <c r="JYM46" s="31"/>
      <c r="JYN46" s="31"/>
      <c r="JYO46" s="31"/>
      <c r="JYP46" s="31"/>
      <c r="JYQ46" s="31"/>
      <c r="JYR46" s="31"/>
      <c r="JYS46" s="31"/>
      <c r="JYT46" s="31"/>
      <c r="JYU46" s="31"/>
      <c r="JYV46" s="31"/>
      <c r="JYW46" s="31"/>
      <c r="JYX46" s="31"/>
      <c r="JYY46" s="31"/>
      <c r="JYZ46" s="31"/>
      <c r="JZA46" s="31"/>
      <c r="JZB46" s="31"/>
      <c r="JZC46" s="31"/>
      <c r="JZD46" s="31"/>
      <c r="JZE46" s="31"/>
      <c r="JZF46" s="31"/>
      <c r="JZG46" s="31"/>
      <c r="JZH46" s="31"/>
      <c r="JZI46" s="31"/>
      <c r="JZJ46" s="31"/>
      <c r="JZK46" s="31"/>
      <c r="JZL46" s="31"/>
      <c r="JZM46" s="31"/>
      <c r="JZN46" s="31"/>
      <c r="JZO46" s="31"/>
      <c r="JZP46" s="31"/>
      <c r="JZQ46" s="31"/>
      <c r="JZR46" s="31"/>
      <c r="JZS46" s="31"/>
      <c r="JZT46" s="31"/>
      <c r="JZU46" s="31"/>
      <c r="JZV46" s="31"/>
      <c r="JZW46" s="31"/>
      <c r="JZX46" s="31"/>
      <c r="JZY46" s="31"/>
      <c r="JZZ46" s="31"/>
      <c r="KAA46" s="31"/>
      <c r="KAB46" s="31"/>
      <c r="KAC46" s="31"/>
      <c r="KAD46" s="31"/>
      <c r="KAE46" s="31"/>
      <c r="KAF46" s="31"/>
      <c r="KAG46" s="31"/>
      <c r="KAH46" s="31"/>
      <c r="KAI46" s="31"/>
      <c r="KAJ46" s="31"/>
      <c r="KAK46" s="31"/>
      <c r="KAL46" s="31"/>
      <c r="KAM46" s="31"/>
      <c r="KAN46" s="31"/>
      <c r="KAO46" s="31"/>
      <c r="KAP46" s="31"/>
      <c r="KAQ46" s="31"/>
      <c r="KAR46" s="31"/>
      <c r="KAS46" s="31"/>
      <c r="KAT46" s="31"/>
      <c r="KAU46" s="31"/>
      <c r="KAV46" s="31"/>
      <c r="KAW46" s="31"/>
      <c r="KAX46" s="31"/>
      <c r="KAY46" s="31"/>
      <c r="KAZ46" s="31"/>
      <c r="KBA46" s="31"/>
      <c r="KBB46" s="31"/>
      <c r="KBC46" s="31"/>
      <c r="KBD46" s="31"/>
      <c r="KBE46" s="31"/>
      <c r="KBF46" s="31"/>
      <c r="KBG46" s="31"/>
      <c r="KBH46" s="31"/>
      <c r="KBI46" s="31"/>
      <c r="KBJ46" s="31"/>
      <c r="KBK46" s="31"/>
      <c r="KBL46" s="31"/>
      <c r="KBM46" s="31"/>
      <c r="KBN46" s="31"/>
      <c r="KBO46" s="31"/>
      <c r="KBP46" s="31"/>
      <c r="KBQ46" s="31"/>
      <c r="KBR46" s="31"/>
      <c r="KBS46" s="31"/>
      <c r="KBT46" s="31"/>
      <c r="KBU46" s="31"/>
      <c r="KBV46" s="31"/>
      <c r="KBW46" s="31"/>
      <c r="KBX46" s="31"/>
      <c r="KBY46" s="31"/>
      <c r="KBZ46" s="31"/>
      <c r="KCA46" s="31"/>
      <c r="KCB46" s="31"/>
      <c r="KCC46" s="31"/>
      <c r="KCD46" s="31"/>
      <c r="KCE46" s="31"/>
      <c r="KCF46" s="31"/>
      <c r="KCG46" s="31"/>
      <c r="KCH46" s="31"/>
      <c r="KCI46" s="31"/>
      <c r="KCJ46" s="31"/>
      <c r="KCK46" s="31"/>
      <c r="KCL46" s="31"/>
      <c r="KCM46" s="31"/>
      <c r="KCN46" s="31"/>
      <c r="KCO46" s="31"/>
      <c r="KCP46" s="31"/>
      <c r="KCQ46" s="31"/>
      <c r="KCR46" s="31"/>
      <c r="KCS46" s="31"/>
      <c r="KCT46" s="31"/>
      <c r="KCU46" s="31"/>
      <c r="KCV46" s="31"/>
      <c r="KCW46" s="31"/>
      <c r="KCX46" s="31"/>
      <c r="KCY46" s="31"/>
      <c r="KCZ46" s="31"/>
      <c r="KDA46" s="31"/>
      <c r="KDB46" s="31"/>
      <c r="KDC46" s="31"/>
      <c r="KDD46" s="31"/>
      <c r="KDE46" s="31"/>
      <c r="KDF46" s="31"/>
      <c r="KDG46" s="31"/>
      <c r="KDH46" s="31"/>
      <c r="KDI46" s="31"/>
      <c r="KDJ46" s="31"/>
      <c r="KDK46" s="31"/>
      <c r="KDL46" s="31"/>
      <c r="KDM46" s="31"/>
      <c r="KDN46" s="31"/>
      <c r="KDO46" s="31"/>
      <c r="KDP46" s="31"/>
      <c r="KDQ46" s="31"/>
      <c r="KDR46" s="31"/>
      <c r="KDS46" s="31"/>
      <c r="KDT46" s="31"/>
      <c r="KDU46" s="31"/>
      <c r="KDV46" s="31"/>
      <c r="KDW46" s="31"/>
      <c r="KDX46" s="31"/>
      <c r="KDY46" s="31"/>
      <c r="KDZ46" s="31"/>
      <c r="KEA46" s="31"/>
      <c r="KEB46" s="31"/>
      <c r="KEC46" s="31"/>
      <c r="KED46" s="31"/>
      <c r="KEE46" s="31"/>
      <c r="KEF46" s="31"/>
      <c r="KEG46" s="31"/>
      <c r="KEH46" s="31"/>
      <c r="KEI46" s="31"/>
      <c r="KEJ46" s="31"/>
      <c r="KEK46" s="31"/>
      <c r="KEL46" s="31"/>
      <c r="KEM46" s="31"/>
      <c r="KEN46" s="31"/>
      <c r="KEO46" s="31"/>
      <c r="KEP46" s="31"/>
      <c r="KEQ46" s="31"/>
      <c r="KER46" s="31"/>
      <c r="KES46" s="31"/>
      <c r="KET46" s="31"/>
      <c r="KEU46" s="31"/>
      <c r="KEV46" s="31"/>
      <c r="KEW46" s="31"/>
      <c r="KEX46" s="31"/>
      <c r="KEY46" s="31"/>
      <c r="KEZ46" s="31"/>
      <c r="KFA46" s="31"/>
      <c r="KFB46" s="31"/>
      <c r="KFC46" s="31"/>
      <c r="KFD46" s="31"/>
      <c r="KFE46" s="31"/>
      <c r="KFF46" s="31"/>
      <c r="KFG46" s="31"/>
      <c r="KFH46" s="31"/>
      <c r="KFI46" s="31"/>
      <c r="KFJ46" s="31"/>
      <c r="KFK46" s="31"/>
      <c r="KFL46" s="31"/>
      <c r="KFM46" s="31"/>
      <c r="KFN46" s="31"/>
      <c r="KFO46" s="31"/>
      <c r="KFP46" s="31"/>
      <c r="KFQ46" s="31"/>
      <c r="KFR46" s="31"/>
      <c r="KFS46" s="31"/>
      <c r="KFT46" s="31"/>
      <c r="KFU46" s="31"/>
      <c r="KFV46" s="31"/>
      <c r="KFW46" s="31"/>
      <c r="KFX46" s="31"/>
      <c r="KFY46" s="31"/>
      <c r="KFZ46" s="31"/>
      <c r="KGA46" s="31"/>
      <c r="KGB46" s="31"/>
      <c r="KGC46" s="31"/>
      <c r="KGD46" s="31"/>
      <c r="KGE46" s="31"/>
      <c r="KGF46" s="31"/>
      <c r="KGG46" s="31"/>
      <c r="KGH46" s="31"/>
      <c r="KGI46" s="31"/>
      <c r="KGJ46" s="31"/>
      <c r="KGK46" s="31"/>
      <c r="KGL46" s="31"/>
      <c r="KGM46" s="31"/>
      <c r="KGN46" s="31"/>
      <c r="KGO46" s="31"/>
      <c r="KGP46" s="31"/>
      <c r="KGQ46" s="31"/>
      <c r="KGR46" s="31"/>
      <c r="KGS46" s="31"/>
      <c r="KGT46" s="31"/>
      <c r="KGU46" s="31"/>
      <c r="KGV46" s="31"/>
      <c r="KGW46" s="31"/>
      <c r="KGX46" s="31"/>
      <c r="KGY46" s="31"/>
      <c r="KGZ46" s="31"/>
      <c r="KHA46" s="31"/>
      <c r="KHB46" s="31"/>
      <c r="KHC46" s="31"/>
      <c r="KHD46" s="31"/>
      <c r="KHE46" s="31"/>
      <c r="KHF46" s="31"/>
      <c r="KHG46" s="31"/>
      <c r="KHH46" s="31"/>
      <c r="KHI46" s="31"/>
      <c r="KHJ46" s="31"/>
      <c r="KHK46" s="31"/>
      <c r="KHL46" s="31"/>
      <c r="KHM46" s="31"/>
      <c r="KHN46" s="31"/>
      <c r="KHO46" s="31"/>
      <c r="KHP46" s="31"/>
      <c r="KHQ46" s="31"/>
      <c r="KHR46" s="31"/>
      <c r="KHS46" s="31"/>
      <c r="KHT46" s="31"/>
      <c r="KHU46" s="31"/>
      <c r="KHV46" s="31"/>
      <c r="KHW46" s="31"/>
      <c r="KHX46" s="31"/>
      <c r="KHY46" s="31"/>
      <c r="KHZ46" s="31"/>
      <c r="KIA46" s="31"/>
      <c r="KIB46" s="31"/>
      <c r="KIC46" s="31"/>
      <c r="KID46" s="31"/>
      <c r="KIE46" s="31"/>
      <c r="KIF46" s="31"/>
      <c r="KIG46" s="31"/>
      <c r="KIH46" s="31"/>
      <c r="KII46" s="31"/>
      <c r="KIJ46" s="31"/>
      <c r="KIK46" s="31"/>
      <c r="KIL46" s="31"/>
      <c r="KIM46" s="31"/>
      <c r="KIN46" s="31"/>
      <c r="KIO46" s="31"/>
      <c r="KIP46" s="31"/>
      <c r="KIQ46" s="31"/>
      <c r="KIR46" s="31"/>
      <c r="KIS46" s="31"/>
      <c r="KIT46" s="31"/>
      <c r="KIU46" s="31"/>
      <c r="KIV46" s="31"/>
      <c r="KIW46" s="31"/>
      <c r="KIX46" s="31"/>
      <c r="KIY46" s="31"/>
      <c r="KIZ46" s="31"/>
      <c r="KJA46" s="31"/>
      <c r="KJB46" s="31"/>
      <c r="KJC46" s="31"/>
      <c r="KJD46" s="31"/>
      <c r="KJE46" s="31"/>
      <c r="KJF46" s="31"/>
      <c r="KJG46" s="31"/>
      <c r="KJH46" s="31"/>
      <c r="KJI46" s="31"/>
      <c r="KJJ46" s="31"/>
      <c r="KJK46" s="31"/>
      <c r="KJL46" s="31"/>
      <c r="KJM46" s="31"/>
      <c r="KJN46" s="31"/>
      <c r="KJO46" s="31"/>
      <c r="KJP46" s="31"/>
      <c r="KJQ46" s="31"/>
      <c r="KJR46" s="31"/>
      <c r="KJS46" s="31"/>
      <c r="KJT46" s="31"/>
      <c r="KJU46" s="31"/>
      <c r="KJV46" s="31"/>
      <c r="KJW46" s="31"/>
      <c r="KJX46" s="31"/>
      <c r="KJY46" s="31"/>
      <c r="KJZ46" s="31"/>
      <c r="KKA46" s="31"/>
      <c r="KKB46" s="31"/>
      <c r="KKC46" s="31"/>
      <c r="KKD46" s="31"/>
      <c r="KKE46" s="31"/>
      <c r="KKF46" s="31"/>
      <c r="KKG46" s="31"/>
      <c r="KKH46" s="31"/>
      <c r="KKI46" s="31"/>
      <c r="KKJ46" s="31"/>
      <c r="KKK46" s="31"/>
      <c r="KKL46" s="31"/>
      <c r="KKM46" s="31"/>
      <c r="KKN46" s="31"/>
      <c r="KKO46" s="31"/>
      <c r="KKP46" s="31"/>
      <c r="KKQ46" s="31"/>
      <c r="KKR46" s="31"/>
      <c r="KKS46" s="31"/>
      <c r="KKT46" s="31"/>
      <c r="KKU46" s="31"/>
      <c r="KKV46" s="31"/>
      <c r="KKW46" s="31"/>
      <c r="KKX46" s="31"/>
      <c r="KKY46" s="31"/>
      <c r="KKZ46" s="31"/>
      <c r="KLA46" s="31"/>
      <c r="KLB46" s="31"/>
      <c r="KLC46" s="31"/>
      <c r="KLD46" s="31"/>
      <c r="KLE46" s="31"/>
      <c r="KLF46" s="31"/>
      <c r="KLG46" s="31"/>
      <c r="KLH46" s="31"/>
      <c r="KLI46" s="31"/>
      <c r="KLJ46" s="31"/>
      <c r="KLK46" s="31"/>
      <c r="KLL46" s="31"/>
      <c r="KLM46" s="31"/>
      <c r="KLN46" s="31"/>
      <c r="KLO46" s="31"/>
      <c r="KLP46" s="31"/>
      <c r="KLQ46" s="31"/>
      <c r="KLR46" s="31"/>
      <c r="KLS46" s="31"/>
      <c r="KLT46" s="31"/>
      <c r="KLU46" s="31"/>
      <c r="KLV46" s="31"/>
      <c r="KLW46" s="31"/>
      <c r="KLX46" s="31"/>
      <c r="KLY46" s="31"/>
      <c r="KLZ46" s="31"/>
      <c r="KMA46" s="31"/>
      <c r="KMB46" s="31"/>
      <c r="KMC46" s="31"/>
      <c r="KMD46" s="31"/>
      <c r="KME46" s="31"/>
      <c r="KMF46" s="31"/>
      <c r="KMG46" s="31"/>
      <c r="KMH46" s="31"/>
      <c r="KMI46" s="31"/>
      <c r="KMJ46" s="31"/>
      <c r="KMK46" s="31"/>
      <c r="KML46" s="31"/>
      <c r="KMM46" s="31"/>
      <c r="KMN46" s="31"/>
      <c r="KMO46" s="31"/>
      <c r="KMP46" s="31"/>
      <c r="KMQ46" s="31"/>
      <c r="KMR46" s="31"/>
      <c r="KMS46" s="31"/>
      <c r="KMT46" s="31"/>
      <c r="KMU46" s="31"/>
      <c r="KMV46" s="31"/>
      <c r="KMW46" s="31"/>
      <c r="KMX46" s="31"/>
      <c r="KMY46" s="31"/>
      <c r="KMZ46" s="31"/>
      <c r="KNA46" s="31"/>
      <c r="KNB46" s="31"/>
      <c r="KNC46" s="31"/>
      <c r="KND46" s="31"/>
      <c r="KNE46" s="31"/>
      <c r="KNF46" s="31"/>
      <c r="KNG46" s="31"/>
      <c r="KNH46" s="31"/>
      <c r="KNI46" s="31"/>
      <c r="KNJ46" s="31"/>
      <c r="KNK46" s="31"/>
      <c r="KNL46" s="31"/>
      <c r="KNM46" s="31"/>
      <c r="KNN46" s="31"/>
      <c r="KNO46" s="31"/>
      <c r="KNP46" s="31"/>
      <c r="KNQ46" s="31"/>
      <c r="KNR46" s="31"/>
      <c r="KNS46" s="31"/>
      <c r="KNT46" s="31"/>
      <c r="KNU46" s="31"/>
      <c r="KNV46" s="31"/>
      <c r="KNW46" s="31"/>
      <c r="KNX46" s="31"/>
      <c r="KNY46" s="31"/>
      <c r="KNZ46" s="31"/>
      <c r="KOA46" s="31"/>
      <c r="KOB46" s="31"/>
      <c r="KOC46" s="31"/>
      <c r="KOD46" s="31"/>
      <c r="KOE46" s="31"/>
      <c r="KOF46" s="31"/>
      <c r="KOG46" s="31"/>
      <c r="KOH46" s="31"/>
      <c r="KOI46" s="31"/>
      <c r="KOJ46" s="31"/>
      <c r="KOK46" s="31"/>
      <c r="KOL46" s="31"/>
      <c r="KOM46" s="31"/>
      <c r="KON46" s="31"/>
      <c r="KOO46" s="31"/>
      <c r="KOP46" s="31"/>
      <c r="KOQ46" s="31"/>
      <c r="KOR46" s="31"/>
      <c r="KOS46" s="31"/>
      <c r="KOT46" s="31"/>
      <c r="KOU46" s="31"/>
      <c r="KOV46" s="31"/>
      <c r="KOW46" s="31"/>
      <c r="KOX46" s="31"/>
      <c r="KOY46" s="31"/>
      <c r="KOZ46" s="31"/>
      <c r="KPA46" s="31"/>
      <c r="KPB46" s="31"/>
      <c r="KPC46" s="31"/>
      <c r="KPD46" s="31"/>
      <c r="KPE46" s="31"/>
      <c r="KPF46" s="31"/>
      <c r="KPG46" s="31"/>
      <c r="KPH46" s="31"/>
      <c r="KPI46" s="31"/>
      <c r="KPJ46" s="31"/>
      <c r="KPK46" s="31"/>
      <c r="KPL46" s="31"/>
      <c r="KPM46" s="31"/>
      <c r="KPN46" s="31"/>
      <c r="KPO46" s="31"/>
      <c r="KPP46" s="31"/>
      <c r="KPQ46" s="31"/>
      <c r="KPR46" s="31"/>
      <c r="KPS46" s="31"/>
      <c r="KPT46" s="31"/>
      <c r="KPU46" s="31"/>
      <c r="KPV46" s="31"/>
      <c r="KPW46" s="31"/>
      <c r="KPX46" s="31"/>
      <c r="KPY46" s="31"/>
      <c r="KPZ46" s="31"/>
      <c r="KQA46" s="31"/>
      <c r="KQB46" s="31"/>
      <c r="KQC46" s="31"/>
      <c r="KQD46" s="31"/>
      <c r="KQE46" s="31"/>
      <c r="KQF46" s="31"/>
      <c r="KQG46" s="31"/>
      <c r="KQH46" s="31"/>
      <c r="KQI46" s="31"/>
      <c r="KQJ46" s="31"/>
      <c r="KQK46" s="31"/>
      <c r="KQL46" s="31"/>
      <c r="KQM46" s="31"/>
      <c r="KQN46" s="31"/>
      <c r="KQO46" s="31"/>
      <c r="KQP46" s="31"/>
      <c r="KQQ46" s="31"/>
      <c r="KQR46" s="31"/>
      <c r="KQS46" s="31"/>
      <c r="KQT46" s="31"/>
      <c r="KQU46" s="31"/>
      <c r="KQV46" s="31"/>
      <c r="KQW46" s="31"/>
      <c r="KQX46" s="31"/>
      <c r="KQY46" s="31"/>
      <c r="KQZ46" s="31"/>
      <c r="KRA46" s="31"/>
      <c r="KRB46" s="31"/>
      <c r="KRC46" s="31"/>
      <c r="KRD46" s="31"/>
      <c r="KRE46" s="31"/>
      <c r="KRF46" s="31"/>
      <c r="KRG46" s="31"/>
      <c r="KRH46" s="31"/>
      <c r="KRI46" s="31"/>
      <c r="KRJ46" s="31"/>
      <c r="KRK46" s="31"/>
      <c r="KRL46" s="31"/>
      <c r="KRM46" s="31"/>
      <c r="KRN46" s="31"/>
      <c r="KRO46" s="31"/>
      <c r="KRP46" s="31"/>
      <c r="KRQ46" s="31"/>
      <c r="KRR46" s="31"/>
      <c r="KRS46" s="31"/>
      <c r="KRT46" s="31"/>
      <c r="KRU46" s="31"/>
      <c r="KRV46" s="31"/>
      <c r="KRW46" s="31"/>
      <c r="KRX46" s="31"/>
      <c r="KRY46" s="31"/>
      <c r="KRZ46" s="31"/>
      <c r="KSA46" s="31"/>
      <c r="KSB46" s="31"/>
      <c r="KSC46" s="31"/>
      <c r="KSD46" s="31"/>
      <c r="KSE46" s="31"/>
      <c r="KSF46" s="31"/>
      <c r="KSG46" s="31"/>
      <c r="KSH46" s="31"/>
      <c r="KSI46" s="31"/>
      <c r="KSJ46" s="31"/>
      <c r="KSK46" s="31"/>
      <c r="KSL46" s="31"/>
      <c r="KSM46" s="31"/>
      <c r="KSN46" s="31"/>
      <c r="KSO46" s="31"/>
      <c r="KSP46" s="31"/>
      <c r="KSQ46" s="31"/>
      <c r="KSR46" s="31"/>
      <c r="KSS46" s="31"/>
      <c r="KST46" s="31"/>
      <c r="KSU46" s="31"/>
      <c r="KSV46" s="31"/>
      <c r="KSW46" s="31"/>
      <c r="KSX46" s="31"/>
      <c r="KSY46" s="31"/>
      <c r="KSZ46" s="31"/>
      <c r="KTA46" s="31"/>
      <c r="KTB46" s="31"/>
      <c r="KTC46" s="31"/>
      <c r="KTD46" s="31"/>
      <c r="KTE46" s="31"/>
      <c r="KTF46" s="31"/>
      <c r="KTG46" s="31"/>
      <c r="KTH46" s="31"/>
      <c r="KTI46" s="31"/>
      <c r="KTJ46" s="31"/>
      <c r="KTK46" s="31"/>
      <c r="KTL46" s="31"/>
      <c r="KTM46" s="31"/>
      <c r="KTN46" s="31"/>
      <c r="KTO46" s="31"/>
      <c r="KTP46" s="31"/>
      <c r="KTQ46" s="31"/>
      <c r="KTR46" s="31"/>
      <c r="KTS46" s="31"/>
      <c r="KTT46" s="31"/>
      <c r="KTU46" s="31"/>
      <c r="KTV46" s="31"/>
      <c r="KTW46" s="31"/>
      <c r="KTX46" s="31"/>
      <c r="KTY46" s="31"/>
      <c r="KTZ46" s="31"/>
      <c r="KUA46" s="31"/>
      <c r="KUB46" s="31"/>
      <c r="KUC46" s="31"/>
      <c r="KUD46" s="31"/>
      <c r="KUE46" s="31"/>
      <c r="KUF46" s="31"/>
      <c r="KUG46" s="31"/>
      <c r="KUH46" s="31"/>
      <c r="KUI46" s="31"/>
      <c r="KUJ46" s="31"/>
      <c r="KUK46" s="31"/>
      <c r="KUL46" s="31"/>
      <c r="KUM46" s="31"/>
      <c r="KUN46" s="31"/>
      <c r="KUO46" s="31"/>
      <c r="KUP46" s="31"/>
      <c r="KUQ46" s="31"/>
      <c r="KUR46" s="31"/>
      <c r="KUS46" s="31"/>
      <c r="KUT46" s="31"/>
      <c r="KUU46" s="31"/>
      <c r="KUV46" s="31"/>
      <c r="KUW46" s="31"/>
      <c r="KUX46" s="31"/>
      <c r="KUY46" s="31"/>
      <c r="KUZ46" s="31"/>
      <c r="KVA46" s="31"/>
      <c r="KVB46" s="31"/>
      <c r="KVC46" s="31"/>
      <c r="KVD46" s="31"/>
      <c r="KVE46" s="31"/>
      <c r="KVF46" s="31"/>
      <c r="KVG46" s="31"/>
      <c r="KVH46" s="31"/>
      <c r="KVI46" s="31"/>
      <c r="KVJ46" s="31"/>
      <c r="KVK46" s="31"/>
      <c r="KVL46" s="31"/>
      <c r="KVM46" s="31"/>
      <c r="KVN46" s="31"/>
      <c r="KVO46" s="31"/>
      <c r="KVP46" s="31"/>
      <c r="KVQ46" s="31"/>
      <c r="KVR46" s="31"/>
      <c r="KVS46" s="31"/>
      <c r="KVT46" s="31"/>
      <c r="KVU46" s="31"/>
      <c r="KVV46" s="31"/>
      <c r="KVW46" s="31"/>
      <c r="KVX46" s="31"/>
      <c r="KVY46" s="31"/>
      <c r="KVZ46" s="31"/>
      <c r="KWA46" s="31"/>
      <c r="KWB46" s="31"/>
      <c r="KWC46" s="31"/>
      <c r="KWD46" s="31"/>
      <c r="KWE46" s="31"/>
      <c r="KWF46" s="31"/>
      <c r="KWG46" s="31"/>
      <c r="KWH46" s="31"/>
      <c r="KWI46" s="31"/>
      <c r="KWJ46" s="31"/>
      <c r="KWK46" s="31"/>
      <c r="KWL46" s="31"/>
      <c r="KWM46" s="31"/>
      <c r="KWN46" s="31"/>
      <c r="KWO46" s="31"/>
      <c r="KWP46" s="31"/>
      <c r="KWQ46" s="31"/>
      <c r="KWR46" s="31"/>
      <c r="KWS46" s="31"/>
      <c r="KWT46" s="31"/>
      <c r="KWU46" s="31"/>
      <c r="KWV46" s="31"/>
      <c r="KWW46" s="31"/>
      <c r="KWX46" s="31"/>
      <c r="KWY46" s="31"/>
      <c r="KWZ46" s="31"/>
      <c r="KXA46" s="31"/>
      <c r="KXB46" s="31"/>
      <c r="KXC46" s="31"/>
      <c r="KXD46" s="31"/>
      <c r="KXE46" s="31"/>
      <c r="KXF46" s="31"/>
      <c r="KXG46" s="31"/>
      <c r="KXH46" s="31"/>
      <c r="KXI46" s="31"/>
      <c r="KXJ46" s="31"/>
      <c r="KXK46" s="31"/>
      <c r="KXL46" s="31"/>
      <c r="KXM46" s="31"/>
      <c r="KXN46" s="31"/>
      <c r="KXO46" s="31"/>
      <c r="KXP46" s="31"/>
      <c r="KXQ46" s="31"/>
      <c r="KXR46" s="31"/>
      <c r="KXS46" s="31"/>
      <c r="KXT46" s="31"/>
      <c r="KXU46" s="31"/>
      <c r="KXV46" s="31"/>
      <c r="KXW46" s="31"/>
      <c r="KXX46" s="31"/>
      <c r="KXY46" s="31"/>
      <c r="KXZ46" s="31"/>
      <c r="KYA46" s="31"/>
      <c r="KYB46" s="31"/>
      <c r="KYC46" s="31"/>
      <c r="KYD46" s="31"/>
      <c r="KYE46" s="31"/>
      <c r="KYF46" s="31"/>
      <c r="KYG46" s="31"/>
      <c r="KYH46" s="31"/>
      <c r="KYI46" s="31"/>
      <c r="KYJ46" s="31"/>
      <c r="KYK46" s="31"/>
      <c r="KYL46" s="31"/>
      <c r="KYM46" s="31"/>
      <c r="KYN46" s="31"/>
      <c r="KYO46" s="31"/>
      <c r="KYP46" s="31"/>
      <c r="KYQ46" s="31"/>
      <c r="KYR46" s="31"/>
      <c r="KYS46" s="31"/>
      <c r="KYT46" s="31"/>
      <c r="KYU46" s="31"/>
      <c r="KYV46" s="31"/>
      <c r="KYW46" s="31"/>
      <c r="KYX46" s="31"/>
      <c r="KYY46" s="31"/>
      <c r="KYZ46" s="31"/>
      <c r="KZA46" s="31"/>
      <c r="KZB46" s="31"/>
      <c r="KZC46" s="31"/>
      <c r="KZD46" s="31"/>
      <c r="KZE46" s="31"/>
      <c r="KZF46" s="31"/>
      <c r="KZG46" s="31"/>
      <c r="KZH46" s="31"/>
      <c r="KZI46" s="31"/>
      <c r="KZJ46" s="31"/>
      <c r="KZK46" s="31"/>
      <c r="KZL46" s="31"/>
      <c r="KZM46" s="31"/>
      <c r="KZN46" s="31"/>
      <c r="KZO46" s="31"/>
      <c r="KZP46" s="31"/>
      <c r="KZQ46" s="31"/>
      <c r="KZR46" s="31"/>
      <c r="KZS46" s="31"/>
      <c r="KZT46" s="31"/>
      <c r="KZU46" s="31"/>
      <c r="KZV46" s="31"/>
      <c r="KZW46" s="31"/>
      <c r="KZX46" s="31"/>
      <c r="KZY46" s="31"/>
      <c r="KZZ46" s="31"/>
      <c r="LAA46" s="31"/>
      <c r="LAB46" s="31"/>
      <c r="LAC46" s="31"/>
      <c r="LAD46" s="31"/>
      <c r="LAE46" s="31"/>
      <c r="LAF46" s="31"/>
      <c r="LAG46" s="31"/>
      <c r="LAH46" s="31"/>
      <c r="LAI46" s="31"/>
      <c r="LAJ46" s="31"/>
      <c r="LAK46" s="31"/>
      <c r="LAL46" s="31"/>
      <c r="LAM46" s="31"/>
      <c r="LAN46" s="31"/>
      <c r="LAO46" s="31"/>
      <c r="LAP46" s="31"/>
      <c r="LAQ46" s="31"/>
      <c r="LAR46" s="31"/>
      <c r="LAS46" s="31"/>
      <c r="LAT46" s="31"/>
      <c r="LAU46" s="31"/>
      <c r="LAV46" s="31"/>
      <c r="LAW46" s="31"/>
      <c r="LAX46" s="31"/>
      <c r="LAY46" s="31"/>
      <c r="LAZ46" s="31"/>
      <c r="LBA46" s="31"/>
      <c r="LBB46" s="31"/>
      <c r="LBC46" s="31"/>
      <c r="LBD46" s="31"/>
      <c r="LBE46" s="31"/>
      <c r="LBF46" s="31"/>
      <c r="LBG46" s="31"/>
      <c r="LBH46" s="31"/>
      <c r="LBI46" s="31"/>
      <c r="LBJ46" s="31"/>
      <c r="LBK46" s="31"/>
      <c r="LBL46" s="31"/>
      <c r="LBM46" s="31"/>
      <c r="LBN46" s="31"/>
      <c r="LBO46" s="31"/>
      <c r="LBP46" s="31"/>
      <c r="LBQ46" s="31"/>
      <c r="LBR46" s="31"/>
      <c r="LBS46" s="31"/>
      <c r="LBT46" s="31"/>
      <c r="LBU46" s="31"/>
      <c r="LBV46" s="31"/>
      <c r="LBW46" s="31"/>
      <c r="LBX46" s="31"/>
      <c r="LBY46" s="31"/>
      <c r="LBZ46" s="31"/>
      <c r="LCA46" s="31"/>
      <c r="LCB46" s="31"/>
      <c r="LCC46" s="31"/>
      <c r="LCD46" s="31"/>
      <c r="LCE46" s="31"/>
      <c r="LCF46" s="31"/>
      <c r="LCG46" s="31"/>
      <c r="LCH46" s="31"/>
      <c r="LCI46" s="31"/>
      <c r="LCJ46" s="31"/>
      <c r="LCK46" s="31"/>
      <c r="LCL46" s="31"/>
      <c r="LCM46" s="31"/>
      <c r="LCN46" s="31"/>
      <c r="LCO46" s="31"/>
      <c r="LCP46" s="31"/>
      <c r="LCQ46" s="31"/>
      <c r="LCR46" s="31"/>
      <c r="LCS46" s="31"/>
      <c r="LCT46" s="31"/>
      <c r="LCU46" s="31"/>
      <c r="LCV46" s="31"/>
      <c r="LCW46" s="31"/>
      <c r="LCX46" s="31"/>
      <c r="LCY46" s="31"/>
      <c r="LCZ46" s="31"/>
      <c r="LDA46" s="31"/>
      <c r="LDB46" s="31"/>
      <c r="LDC46" s="31"/>
      <c r="LDD46" s="31"/>
      <c r="LDE46" s="31"/>
      <c r="LDF46" s="31"/>
      <c r="LDG46" s="31"/>
      <c r="LDH46" s="31"/>
      <c r="LDI46" s="31"/>
      <c r="LDJ46" s="31"/>
      <c r="LDK46" s="31"/>
      <c r="LDL46" s="31"/>
      <c r="LDM46" s="31"/>
      <c r="LDN46" s="31"/>
      <c r="LDO46" s="31"/>
      <c r="LDP46" s="31"/>
      <c r="LDQ46" s="31"/>
      <c r="LDR46" s="31"/>
      <c r="LDS46" s="31"/>
      <c r="LDT46" s="31"/>
      <c r="LDU46" s="31"/>
      <c r="LDV46" s="31"/>
      <c r="LDW46" s="31"/>
      <c r="LDX46" s="31"/>
      <c r="LDY46" s="31"/>
      <c r="LDZ46" s="31"/>
      <c r="LEA46" s="31"/>
      <c r="LEB46" s="31"/>
      <c r="LEC46" s="31"/>
      <c r="LED46" s="31"/>
      <c r="LEE46" s="31"/>
      <c r="LEF46" s="31"/>
      <c r="LEG46" s="31"/>
      <c r="LEH46" s="31"/>
      <c r="LEI46" s="31"/>
      <c r="LEJ46" s="31"/>
      <c r="LEK46" s="31"/>
      <c r="LEL46" s="31"/>
      <c r="LEM46" s="31"/>
      <c r="LEN46" s="31"/>
      <c r="LEO46" s="31"/>
      <c r="LEP46" s="31"/>
      <c r="LEQ46" s="31"/>
      <c r="LER46" s="31"/>
      <c r="LES46" s="31"/>
      <c r="LET46" s="31"/>
      <c r="LEU46" s="31"/>
      <c r="LEV46" s="31"/>
      <c r="LEW46" s="31"/>
      <c r="LEX46" s="31"/>
      <c r="LEY46" s="31"/>
      <c r="LEZ46" s="31"/>
      <c r="LFA46" s="31"/>
      <c r="LFB46" s="31"/>
      <c r="LFC46" s="31"/>
      <c r="LFD46" s="31"/>
      <c r="LFE46" s="31"/>
      <c r="LFF46" s="31"/>
      <c r="LFG46" s="31"/>
      <c r="LFH46" s="31"/>
      <c r="LFI46" s="31"/>
      <c r="LFJ46" s="31"/>
      <c r="LFK46" s="31"/>
      <c r="LFL46" s="31"/>
      <c r="LFM46" s="31"/>
      <c r="LFN46" s="31"/>
      <c r="LFO46" s="31"/>
      <c r="LFP46" s="31"/>
      <c r="LFQ46" s="31"/>
      <c r="LFR46" s="31"/>
      <c r="LFS46" s="31"/>
      <c r="LFT46" s="31"/>
      <c r="LFU46" s="31"/>
      <c r="LFV46" s="31"/>
      <c r="LFW46" s="31"/>
      <c r="LFX46" s="31"/>
      <c r="LFY46" s="31"/>
      <c r="LFZ46" s="31"/>
      <c r="LGA46" s="31"/>
      <c r="LGB46" s="31"/>
      <c r="LGC46" s="31"/>
      <c r="LGD46" s="31"/>
      <c r="LGE46" s="31"/>
      <c r="LGF46" s="31"/>
      <c r="LGG46" s="31"/>
      <c r="LGH46" s="31"/>
      <c r="LGI46" s="31"/>
      <c r="LGJ46" s="31"/>
      <c r="LGK46" s="31"/>
      <c r="LGL46" s="31"/>
      <c r="LGM46" s="31"/>
      <c r="LGN46" s="31"/>
      <c r="LGO46" s="31"/>
      <c r="LGP46" s="31"/>
      <c r="LGQ46" s="31"/>
      <c r="LGR46" s="31"/>
      <c r="LGS46" s="31"/>
      <c r="LGT46" s="31"/>
      <c r="LGU46" s="31"/>
      <c r="LGV46" s="31"/>
      <c r="LGW46" s="31"/>
      <c r="LGX46" s="31"/>
      <c r="LGY46" s="31"/>
      <c r="LGZ46" s="31"/>
      <c r="LHA46" s="31"/>
      <c r="LHB46" s="31"/>
      <c r="LHC46" s="31"/>
      <c r="LHD46" s="31"/>
      <c r="LHE46" s="31"/>
      <c r="LHF46" s="31"/>
      <c r="LHG46" s="31"/>
      <c r="LHH46" s="31"/>
      <c r="LHI46" s="31"/>
      <c r="LHJ46" s="31"/>
      <c r="LHK46" s="31"/>
      <c r="LHL46" s="31"/>
      <c r="LHM46" s="31"/>
      <c r="LHN46" s="31"/>
      <c r="LHO46" s="31"/>
      <c r="LHP46" s="31"/>
      <c r="LHQ46" s="31"/>
      <c r="LHR46" s="31"/>
      <c r="LHS46" s="31"/>
      <c r="LHT46" s="31"/>
      <c r="LHU46" s="31"/>
      <c r="LHV46" s="31"/>
      <c r="LHW46" s="31"/>
      <c r="LHX46" s="31"/>
      <c r="LHY46" s="31"/>
      <c r="LHZ46" s="31"/>
      <c r="LIA46" s="31"/>
      <c r="LIB46" s="31"/>
      <c r="LIC46" s="31"/>
      <c r="LID46" s="31"/>
      <c r="LIE46" s="31"/>
      <c r="LIF46" s="31"/>
      <c r="LIG46" s="31"/>
      <c r="LIH46" s="31"/>
      <c r="LII46" s="31"/>
      <c r="LIJ46" s="31"/>
      <c r="LIK46" s="31"/>
      <c r="LIL46" s="31"/>
      <c r="LIM46" s="31"/>
      <c r="LIN46" s="31"/>
      <c r="LIO46" s="31"/>
      <c r="LIP46" s="31"/>
      <c r="LIQ46" s="31"/>
      <c r="LIR46" s="31"/>
      <c r="LIS46" s="31"/>
      <c r="LIT46" s="31"/>
      <c r="LIU46" s="31"/>
      <c r="LIV46" s="31"/>
      <c r="LIW46" s="31"/>
      <c r="LIX46" s="31"/>
      <c r="LIY46" s="31"/>
      <c r="LIZ46" s="31"/>
      <c r="LJA46" s="31"/>
      <c r="LJB46" s="31"/>
      <c r="LJC46" s="31"/>
      <c r="LJD46" s="31"/>
      <c r="LJE46" s="31"/>
      <c r="LJF46" s="31"/>
      <c r="LJG46" s="31"/>
      <c r="LJH46" s="31"/>
      <c r="LJI46" s="31"/>
      <c r="LJJ46" s="31"/>
      <c r="LJK46" s="31"/>
      <c r="LJL46" s="31"/>
      <c r="LJM46" s="31"/>
      <c r="LJN46" s="31"/>
      <c r="LJO46" s="31"/>
      <c r="LJP46" s="31"/>
      <c r="LJQ46" s="31"/>
      <c r="LJR46" s="31"/>
      <c r="LJS46" s="31"/>
      <c r="LJT46" s="31"/>
      <c r="LJU46" s="31"/>
      <c r="LJV46" s="31"/>
      <c r="LJW46" s="31"/>
      <c r="LJX46" s="31"/>
      <c r="LJY46" s="31"/>
      <c r="LJZ46" s="31"/>
      <c r="LKA46" s="31"/>
      <c r="LKB46" s="31"/>
      <c r="LKC46" s="31"/>
      <c r="LKD46" s="31"/>
      <c r="LKE46" s="31"/>
      <c r="LKF46" s="31"/>
      <c r="LKG46" s="31"/>
      <c r="LKH46" s="31"/>
      <c r="LKI46" s="31"/>
      <c r="LKJ46" s="31"/>
      <c r="LKK46" s="31"/>
      <c r="LKL46" s="31"/>
      <c r="LKM46" s="31"/>
      <c r="LKN46" s="31"/>
      <c r="LKO46" s="31"/>
      <c r="LKP46" s="31"/>
      <c r="LKQ46" s="31"/>
      <c r="LKR46" s="31"/>
      <c r="LKS46" s="31"/>
      <c r="LKT46" s="31"/>
      <c r="LKU46" s="31"/>
      <c r="LKV46" s="31"/>
      <c r="LKW46" s="31"/>
      <c r="LKX46" s="31"/>
      <c r="LKY46" s="31"/>
      <c r="LKZ46" s="31"/>
      <c r="LLA46" s="31"/>
      <c r="LLB46" s="31"/>
      <c r="LLC46" s="31"/>
      <c r="LLD46" s="31"/>
      <c r="LLE46" s="31"/>
      <c r="LLF46" s="31"/>
      <c r="LLG46" s="31"/>
      <c r="LLH46" s="31"/>
      <c r="LLI46" s="31"/>
      <c r="LLJ46" s="31"/>
      <c r="LLK46" s="31"/>
      <c r="LLL46" s="31"/>
      <c r="LLM46" s="31"/>
      <c r="LLN46" s="31"/>
      <c r="LLO46" s="31"/>
      <c r="LLP46" s="31"/>
      <c r="LLQ46" s="31"/>
      <c r="LLR46" s="31"/>
      <c r="LLS46" s="31"/>
      <c r="LLT46" s="31"/>
      <c r="LLU46" s="31"/>
      <c r="LLV46" s="31"/>
      <c r="LLW46" s="31"/>
      <c r="LLX46" s="31"/>
      <c r="LLY46" s="31"/>
      <c r="LLZ46" s="31"/>
      <c r="LMA46" s="31"/>
      <c r="LMB46" s="31"/>
      <c r="LMC46" s="31"/>
      <c r="LMD46" s="31"/>
      <c r="LME46" s="31"/>
      <c r="LMF46" s="31"/>
      <c r="LMG46" s="31"/>
      <c r="LMH46" s="31"/>
      <c r="LMI46" s="31"/>
      <c r="LMJ46" s="31"/>
      <c r="LMK46" s="31"/>
      <c r="LML46" s="31"/>
      <c r="LMM46" s="31"/>
      <c r="LMN46" s="31"/>
      <c r="LMO46" s="31"/>
      <c r="LMP46" s="31"/>
      <c r="LMQ46" s="31"/>
      <c r="LMR46" s="31"/>
      <c r="LMS46" s="31"/>
      <c r="LMT46" s="31"/>
      <c r="LMU46" s="31"/>
      <c r="LMV46" s="31"/>
      <c r="LMW46" s="31"/>
      <c r="LMX46" s="31"/>
      <c r="LMY46" s="31"/>
      <c r="LMZ46" s="31"/>
      <c r="LNA46" s="31"/>
      <c r="LNB46" s="31"/>
      <c r="LNC46" s="31"/>
      <c r="LND46" s="31"/>
      <c r="LNE46" s="31"/>
      <c r="LNF46" s="31"/>
      <c r="LNG46" s="31"/>
      <c r="LNH46" s="31"/>
      <c r="LNI46" s="31"/>
      <c r="LNJ46" s="31"/>
      <c r="LNK46" s="31"/>
      <c r="LNL46" s="31"/>
      <c r="LNM46" s="31"/>
      <c r="LNN46" s="31"/>
      <c r="LNO46" s="31"/>
      <c r="LNP46" s="31"/>
      <c r="LNQ46" s="31"/>
      <c r="LNR46" s="31"/>
      <c r="LNS46" s="31"/>
      <c r="LNT46" s="31"/>
      <c r="LNU46" s="31"/>
      <c r="LNV46" s="31"/>
      <c r="LNW46" s="31"/>
      <c r="LNX46" s="31"/>
      <c r="LNY46" s="31"/>
      <c r="LNZ46" s="31"/>
      <c r="LOA46" s="31"/>
      <c r="LOB46" s="31"/>
      <c r="LOC46" s="31"/>
      <c r="LOD46" s="31"/>
      <c r="LOE46" s="31"/>
      <c r="LOF46" s="31"/>
      <c r="LOG46" s="31"/>
      <c r="LOH46" s="31"/>
      <c r="LOI46" s="31"/>
      <c r="LOJ46" s="31"/>
      <c r="LOK46" s="31"/>
      <c r="LOL46" s="31"/>
      <c r="LOM46" s="31"/>
      <c r="LON46" s="31"/>
      <c r="LOO46" s="31"/>
      <c r="LOP46" s="31"/>
      <c r="LOQ46" s="31"/>
      <c r="LOR46" s="31"/>
      <c r="LOS46" s="31"/>
      <c r="LOT46" s="31"/>
      <c r="LOU46" s="31"/>
      <c r="LOV46" s="31"/>
      <c r="LOW46" s="31"/>
      <c r="LOX46" s="31"/>
      <c r="LOY46" s="31"/>
      <c r="LOZ46" s="31"/>
      <c r="LPA46" s="31"/>
      <c r="LPB46" s="31"/>
      <c r="LPC46" s="31"/>
      <c r="LPD46" s="31"/>
      <c r="LPE46" s="31"/>
      <c r="LPF46" s="31"/>
      <c r="LPG46" s="31"/>
      <c r="LPH46" s="31"/>
      <c r="LPI46" s="31"/>
      <c r="LPJ46" s="31"/>
      <c r="LPK46" s="31"/>
      <c r="LPL46" s="31"/>
      <c r="LPM46" s="31"/>
      <c r="LPN46" s="31"/>
      <c r="LPO46" s="31"/>
      <c r="LPP46" s="31"/>
      <c r="LPQ46" s="31"/>
      <c r="LPR46" s="31"/>
      <c r="LPS46" s="31"/>
      <c r="LPT46" s="31"/>
      <c r="LPU46" s="31"/>
      <c r="LPV46" s="31"/>
      <c r="LPW46" s="31"/>
      <c r="LPX46" s="31"/>
      <c r="LPY46" s="31"/>
      <c r="LPZ46" s="31"/>
      <c r="LQA46" s="31"/>
      <c r="LQB46" s="31"/>
      <c r="LQC46" s="31"/>
      <c r="LQD46" s="31"/>
      <c r="LQE46" s="31"/>
      <c r="LQF46" s="31"/>
      <c r="LQG46" s="31"/>
      <c r="LQH46" s="31"/>
      <c r="LQI46" s="31"/>
      <c r="LQJ46" s="31"/>
      <c r="LQK46" s="31"/>
      <c r="LQL46" s="31"/>
      <c r="LQM46" s="31"/>
      <c r="LQN46" s="31"/>
      <c r="LQO46" s="31"/>
      <c r="LQP46" s="31"/>
      <c r="LQQ46" s="31"/>
      <c r="LQR46" s="31"/>
      <c r="LQS46" s="31"/>
      <c r="LQT46" s="31"/>
      <c r="LQU46" s="31"/>
      <c r="LQV46" s="31"/>
      <c r="LQW46" s="31"/>
      <c r="LQX46" s="31"/>
      <c r="LQY46" s="31"/>
      <c r="LQZ46" s="31"/>
      <c r="LRA46" s="31"/>
      <c r="LRB46" s="31"/>
      <c r="LRC46" s="31"/>
      <c r="LRD46" s="31"/>
      <c r="LRE46" s="31"/>
      <c r="LRF46" s="31"/>
      <c r="LRG46" s="31"/>
      <c r="LRH46" s="31"/>
      <c r="LRI46" s="31"/>
      <c r="LRJ46" s="31"/>
      <c r="LRK46" s="31"/>
      <c r="LRL46" s="31"/>
      <c r="LRM46" s="31"/>
      <c r="LRN46" s="31"/>
      <c r="LRO46" s="31"/>
      <c r="LRP46" s="31"/>
      <c r="LRQ46" s="31"/>
      <c r="LRR46" s="31"/>
      <c r="LRS46" s="31"/>
      <c r="LRT46" s="31"/>
      <c r="LRU46" s="31"/>
      <c r="LRV46" s="31"/>
      <c r="LRW46" s="31"/>
      <c r="LRX46" s="31"/>
      <c r="LRY46" s="31"/>
      <c r="LRZ46" s="31"/>
      <c r="LSA46" s="31"/>
      <c r="LSB46" s="31"/>
      <c r="LSC46" s="31"/>
      <c r="LSD46" s="31"/>
      <c r="LSE46" s="31"/>
      <c r="LSF46" s="31"/>
      <c r="LSG46" s="31"/>
      <c r="LSH46" s="31"/>
      <c r="LSI46" s="31"/>
      <c r="LSJ46" s="31"/>
      <c r="LSK46" s="31"/>
      <c r="LSL46" s="31"/>
      <c r="LSM46" s="31"/>
      <c r="LSN46" s="31"/>
      <c r="LSO46" s="31"/>
      <c r="LSP46" s="31"/>
      <c r="LSQ46" s="31"/>
      <c r="LSR46" s="31"/>
      <c r="LSS46" s="31"/>
      <c r="LST46" s="31"/>
      <c r="LSU46" s="31"/>
      <c r="LSV46" s="31"/>
      <c r="LSW46" s="31"/>
      <c r="LSX46" s="31"/>
      <c r="LSY46" s="31"/>
      <c r="LSZ46" s="31"/>
      <c r="LTA46" s="31"/>
      <c r="LTB46" s="31"/>
      <c r="LTC46" s="31"/>
      <c r="LTD46" s="31"/>
      <c r="LTE46" s="31"/>
      <c r="LTF46" s="31"/>
      <c r="LTG46" s="31"/>
      <c r="LTH46" s="31"/>
      <c r="LTI46" s="31"/>
      <c r="LTJ46" s="31"/>
      <c r="LTK46" s="31"/>
      <c r="LTL46" s="31"/>
      <c r="LTM46" s="31"/>
      <c r="LTN46" s="31"/>
      <c r="LTO46" s="31"/>
      <c r="LTP46" s="31"/>
      <c r="LTQ46" s="31"/>
      <c r="LTR46" s="31"/>
      <c r="LTS46" s="31"/>
      <c r="LTT46" s="31"/>
      <c r="LTU46" s="31"/>
      <c r="LTV46" s="31"/>
      <c r="LTW46" s="31"/>
      <c r="LTX46" s="31"/>
      <c r="LTY46" s="31"/>
      <c r="LTZ46" s="31"/>
      <c r="LUA46" s="31"/>
      <c r="LUB46" s="31"/>
      <c r="LUC46" s="31"/>
      <c r="LUD46" s="31"/>
      <c r="LUE46" s="31"/>
      <c r="LUF46" s="31"/>
      <c r="LUG46" s="31"/>
      <c r="LUH46" s="31"/>
      <c r="LUI46" s="31"/>
      <c r="LUJ46" s="31"/>
      <c r="LUK46" s="31"/>
      <c r="LUL46" s="31"/>
      <c r="LUM46" s="31"/>
      <c r="LUN46" s="31"/>
      <c r="LUO46" s="31"/>
      <c r="LUP46" s="31"/>
      <c r="LUQ46" s="31"/>
      <c r="LUR46" s="31"/>
      <c r="LUS46" s="31"/>
      <c r="LUT46" s="31"/>
      <c r="LUU46" s="31"/>
      <c r="LUV46" s="31"/>
      <c r="LUW46" s="31"/>
      <c r="LUX46" s="31"/>
      <c r="LUY46" s="31"/>
      <c r="LUZ46" s="31"/>
      <c r="LVA46" s="31"/>
      <c r="LVB46" s="31"/>
      <c r="LVC46" s="31"/>
      <c r="LVD46" s="31"/>
      <c r="LVE46" s="31"/>
      <c r="LVF46" s="31"/>
      <c r="LVG46" s="31"/>
      <c r="LVH46" s="31"/>
      <c r="LVI46" s="31"/>
      <c r="LVJ46" s="31"/>
      <c r="LVK46" s="31"/>
      <c r="LVL46" s="31"/>
      <c r="LVM46" s="31"/>
      <c r="LVN46" s="31"/>
      <c r="LVO46" s="31"/>
      <c r="LVP46" s="31"/>
      <c r="LVQ46" s="31"/>
      <c r="LVR46" s="31"/>
      <c r="LVS46" s="31"/>
      <c r="LVT46" s="31"/>
      <c r="LVU46" s="31"/>
      <c r="LVV46" s="31"/>
      <c r="LVW46" s="31"/>
      <c r="LVX46" s="31"/>
      <c r="LVY46" s="31"/>
      <c r="LVZ46" s="31"/>
      <c r="LWA46" s="31"/>
      <c r="LWB46" s="31"/>
      <c r="LWC46" s="31"/>
      <c r="LWD46" s="31"/>
      <c r="LWE46" s="31"/>
      <c r="LWF46" s="31"/>
      <c r="LWG46" s="31"/>
      <c r="LWH46" s="31"/>
      <c r="LWI46" s="31"/>
      <c r="LWJ46" s="31"/>
      <c r="LWK46" s="31"/>
      <c r="LWL46" s="31"/>
      <c r="LWM46" s="31"/>
      <c r="LWN46" s="31"/>
      <c r="LWO46" s="31"/>
      <c r="LWP46" s="31"/>
      <c r="LWQ46" s="31"/>
      <c r="LWR46" s="31"/>
      <c r="LWS46" s="31"/>
      <c r="LWT46" s="31"/>
      <c r="LWU46" s="31"/>
      <c r="LWV46" s="31"/>
      <c r="LWW46" s="31"/>
      <c r="LWX46" s="31"/>
      <c r="LWY46" s="31"/>
      <c r="LWZ46" s="31"/>
      <c r="LXA46" s="31"/>
      <c r="LXB46" s="31"/>
      <c r="LXC46" s="31"/>
      <c r="LXD46" s="31"/>
      <c r="LXE46" s="31"/>
      <c r="LXF46" s="31"/>
      <c r="LXG46" s="31"/>
      <c r="LXH46" s="31"/>
      <c r="LXI46" s="31"/>
      <c r="LXJ46" s="31"/>
      <c r="LXK46" s="31"/>
      <c r="LXL46" s="31"/>
      <c r="LXM46" s="31"/>
      <c r="LXN46" s="31"/>
      <c r="LXO46" s="31"/>
      <c r="LXP46" s="31"/>
      <c r="LXQ46" s="31"/>
      <c r="LXR46" s="31"/>
      <c r="LXS46" s="31"/>
      <c r="LXT46" s="31"/>
      <c r="LXU46" s="31"/>
      <c r="LXV46" s="31"/>
      <c r="LXW46" s="31"/>
      <c r="LXX46" s="31"/>
      <c r="LXY46" s="31"/>
      <c r="LXZ46" s="31"/>
      <c r="LYA46" s="31"/>
      <c r="LYB46" s="31"/>
      <c r="LYC46" s="31"/>
      <c r="LYD46" s="31"/>
      <c r="LYE46" s="31"/>
      <c r="LYF46" s="31"/>
      <c r="LYG46" s="31"/>
      <c r="LYH46" s="31"/>
      <c r="LYI46" s="31"/>
      <c r="LYJ46" s="31"/>
      <c r="LYK46" s="31"/>
      <c r="LYL46" s="31"/>
      <c r="LYM46" s="31"/>
      <c r="LYN46" s="31"/>
      <c r="LYO46" s="31"/>
      <c r="LYP46" s="31"/>
      <c r="LYQ46" s="31"/>
      <c r="LYR46" s="31"/>
      <c r="LYS46" s="31"/>
      <c r="LYT46" s="31"/>
      <c r="LYU46" s="31"/>
      <c r="LYV46" s="31"/>
      <c r="LYW46" s="31"/>
      <c r="LYX46" s="31"/>
      <c r="LYY46" s="31"/>
      <c r="LYZ46" s="31"/>
      <c r="LZA46" s="31"/>
      <c r="LZB46" s="31"/>
      <c r="LZC46" s="31"/>
      <c r="LZD46" s="31"/>
      <c r="LZE46" s="31"/>
      <c r="LZF46" s="31"/>
      <c r="LZG46" s="31"/>
      <c r="LZH46" s="31"/>
      <c r="LZI46" s="31"/>
      <c r="LZJ46" s="31"/>
      <c r="LZK46" s="31"/>
      <c r="LZL46" s="31"/>
      <c r="LZM46" s="31"/>
      <c r="LZN46" s="31"/>
      <c r="LZO46" s="31"/>
      <c r="LZP46" s="31"/>
      <c r="LZQ46" s="31"/>
      <c r="LZR46" s="31"/>
      <c r="LZS46" s="31"/>
      <c r="LZT46" s="31"/>
      <c r="LZU46" s="31"/>
      <c r="LZV46" s="31"/>
      <c r="LZW46" s="31"/>
      <c r="LZX46" s="31"/>
      <c r="LZY46" s="31"/>
      <c r="LZZ46" s="31"/>
      <c r="MAA46" s="31"/>
      <c r="MAB46" s="31"/>
      <c r="MAC46" s="31"/>
      <c r="MAD46" s="31"/>
      <c r="MAE46" s="31"/>
      <c r="MAF46" s="31"/>
      <c r="MAG46" s="31"/>
      <c r="MAH46" s="31"/>
      <c r="MAI46" s="31"/>
      <c r="MAJ46" s="31"/>
      <c r="MAK46" s="31"/>
      <c r="MAL46" s="31"/>
      <c r="MAM46" s="31"/>
      <c r="MAN46" s="31"/>
      <c r="MAO46" s="31"/>
      <c r="MAP46" s="31"/>
      <c r="MAQ46" s="31"/>
      <c r="MAR46" s="31"/>
      <c r="MAS46" s="31"/>
      <c r="MAT46" s="31"/>
      <c r="MAU46" s="31"/>
      <c r="MAV46" s="31"/>
      <c r="MAW46" s="31"/>
      <c r="MAX46" s="31"/>
      <c r="MAY46" s="31"/>
      <c r="MAZ46" s="31"/>
      <c r="MBA46" s="31"/>
      <c r="MBB46" s="31"/>
      <c r="MBC46" s="31"/>
      <c r="MBD46" s="31"/>
      <c r="MBE46" s="31"/>
      <c r="MBF46" s="31"/>
      <c r="MBG46" s="31"/>
      <c r="MBH46" s="31"/>
      <c r="MBI46" s="31"/>
      <c r="MBJ46" s="31"/>
      <c r="MBK46" s="31"/>
      <c r="MBL46" s="31"/>
      <c r="MBM46" s="31"/>
      <c r="MBN46" s="31"/>
      <c r="MBO46" s="31"/>
      <c r="MBP46" s="31"/>
      <c r="MBQ46" s="31"/>
      <c r="MBR46" s="31"/>
      <c r="MBS46" s="31"/>
      <c r="MBT46" s="31"/>
      <c r="MBU46" s="31"/>
      <c r="MBV46" s="31"/>
      <c r="MBW46" s="31"/>
      <c r="MBX46" s="31"/>
      <c r="MBY46" s="31"/>
      <c r="MBZ46" s="31"/>
      <c r="MCA46" s="31"/>
      <c r="MCB46" s="31"/>
      <c r="MCC46" s="31"/>
      <c r="MCD46" s="31"/>
      <c r="MCE46" s="31"/>
      <c r="MCF46" s="31"/>
      <c r="MCG46" s="31"/>
      <c r="MCH46" s="31"/>
      <c r="MCI46" s="31"/>
      <c r="MCJ46" s="31"/>
      <c r="MCK46" s="31"/>
      <c r="MCL46" s="31"/>
      <c r="MCM46" s="31"/>
      <c r="MCN46" s="31"/>
      <c r="MCO46" s="31"/>
      <c r="MCP46" s="31"/>
      <c r="MCQ46" s="31"/>
      <c r="MCR46" s="31"/>
      <c r="MCS46" s="31"/>
      <c r="MCT46" s="31"/>
      <c r="MCU46" s="31"/>
      <c r="MCV46" s="31"/>
      <c r="MCW46" s="31"/>
      <c r="MCX46" s="31"/>
      <c r="MCY46" s="31"/>
      <c r="MCZ46" s="31"/>
      <c r="MDA46" s="31"/>
      <c r="MDB46" s="31"/>
      <c r="MDC46" s="31"/>
      <c r="MDD46" s="31"/>
      <c r="MDE46" s="31"/>
      <c r="MDF46" s="31"/>
      <c r="MDG46" s="31"/>
      <c r="MDH46" s="31"/>
      <c r="MDI46" s="31"/>
      <c r="MDJ46" s="31"/>
      <c r="MDK46" s="31"/>
      <c r="MDL46" s="31"/>
      <c r="MDM46" s="31"/>
      <c r="MDN46" s="31"/>
      <c r="MDO46" s="31"/>
      <c r="MDP46" s="31"/>
      <c r="MDQ46" s="31"/>
      <c r="MDR46" s="31"/>
      <c r="MDS46" s="31"/>
      <c r="MDT46" s="31"/>
      <c r="MDU46" s="31"/>
      <c r="MDV46" s="31"/>
      <c r="MDW46" s="31"/>
      <c r="MDX46" s="31"/>
      <c r="MDY46" s="31"/>
      <c r="MDZ46" s="31"/>
      <c r="MEA46" s="31"/>
      <c r="MEB46" s="31"/>
      <c r="MEC46" s="31"/>
      <c r="MED46" s="31"/>
      <c r="MEE46" s="31"/>
      <c r="MEF46" s="31"/>
      <c r="MEG46" s="31"/>
      <c r="MEH46" s="31"/>
      <c r="MEI46" s="31"/>
      <c r="MEJ46" s="31"/>
      <c r="MEK46" s="31"/>
      <c r="MEL46" s="31"/>
      <c r="MEM46" s="31"/>
      <c r="MEN46" s="31"/>
      <c r="MEO46" s="31"/>
      <c r="MEP46" s="31"/>
      <c r="MEQ46" s="31"/>
      <c r="MER46" s="31"/>
      <c r="MES46" s="31"/>
      <c r="MET46" s="31"/>
      <c r="MEU46" s="31"/>
      <c r="MEV46" s="31"/>
      <c r="MEW46" s="31"/>
      <c r="MEX46" s="31"/>
      <c r="MEY46" s="31"/>
      <c r="MEZ46" s="31"/>
      <c r="MFA46" s="31"/>
      <c r="MFB46" s="31"/>
      <c r="MFC46" s="31"/>
      <c r="MFD46" s="31"/>
      <c r="MFE46" s="31"/>
      <c r="MFF46" s="31"/>
      <c r="MFG46" s="31"/>
      <c r="MFH46" s="31"/>
      <c r="MFI46" s="31"/>
      <c r="MFJ46" s="31"/>
      <c r="MFK46" s="31"/>
      <c r="MFL46" s="31"/>
      <c r="MFM46" s="31"/>
      <c r="MFN46" s="31"/>
      <c r="MFO46" s="31"/>
      <c r="MFP46" s="31"/>
      <c r="MFQ46" s="31"/>
      <c r="MFR46" s="31"/>
      <c r="MFS46" s="31"/>
      <c r="MFT46" s="31"/>
      <c r="MFU46" s="31"/>
      <c r="MFV46" s="31"/>
      <c r="MFW46" s="31"/>
      <c r="MFX46" s="31"/>
      <c r="MFY46" s="31"/>
      <c r="MFZ46" s="31"/>
      <c r="MGA46" s="31"/>
      <c r="MGB46" s="31"/>
      <c r="MGC46" s="31"/>
      <c r="MGD46" s="31"/>
      <c r="MGE46" s="31"/>
      <c r="MGF46" s="31"/>
      <c r="MGG46" s="31"/>
      <c r="MGH46" s="31"/>
      <c r="MGI46" s="31"/>
      <c r="MGJ46" s="31"/>
      <c r="MGK46" s="31"/>
      <c r="MGL46" s="31"/>
      <c r="MGM46" s="31"/>
      <c r="MGN46" s="31"/>
      <c r="MGO46" s="31"/>
      <c r="MGP46" s="31"/>
      <c r="MGQ46" s="31"/>
      <c r="MGR46" s="31"/>
      <c r="MGS46" s="31"/>
      <c r="MGT46" s="31"/>
      <c r="MGU46" s="31"/>
      <c r="MGV46" s="31"/>
      <c r="MGW46" s="31"/>
      <c r="MGX46" s="31"/>
      <c r="MGY46" s="31"/>
      <c r="MGZ46" s="31"/>
      <c r="MHA46" s="31"/>
      <c r="MHB46" s="31"/>
      <c r="MHC46" s="31"/>
      <c r="MHD46" s="31"/>
      <c r="MHE46" s="31"/>
      <c r="MHF46" s="31"/>
      <c r="MHG46" s="31"/>
      <c r="MHH46" s="31"/>
      <c r="MHI46" s="31"/>
      <c r="MHJ46" s="31"/>
      <c r="MHK46" s="31"/>
      <c r="MHL46" s="31"/>
      <c r="MHM46" s="31"/>
      <c r="MHN46" s="31"/>
      <c r="MHO46" s="31"/>
      <c r="MHP46" s="31"/>
      <c r="MHQ46" s="31"/>
      <c r="MHR46" s="31"/>
      <c r="MHS46" s="31"/>
      <c r="MHT46" s="31"/>
      <c r="MHU46" s="31"/>
      <c r="MHV46" s="31"/>
      <c r="MHW46" s="31"/>
      <c r="MHX46" s="31"/>
      <c r="MHY46" s="31"/>
      <c r="MHZ46" s="31"/>
      <c r="MIA46" s="31"/>
      <c r="MIB46" s="31"/>
      <c r="MIC46" s="31"/>
      <c r="MID46" s="31"/>
      <c r="MIE46" s="31"/>
      <c r="MIF46" s="31"/>
      <c r="MIG46" s="31"/>
      <c r="MIH46" s="31"/>
      <c r="MII46" s="31"/>
      <c r="MIJ46" s="31"/>
      <c r="MIK46" s="31"/>
      <c r="MIL46" s="31"/>
      <c r="MIM46" s="31"/>
      <c r="MIN46" s="31"/>
      <c r="MIO46" s="31"/>
      <c r="MIP46" s="31"/>
      <c r="MIQ46" s="31"/>
      <c r="MIR46" s="31"/>
      <c r="MIS46" s="31"/>
      <c r="MIT46" s="31"/>
      <c r="MIU46" s="31"/>
      <c r="MIV46" s="31"/>
      <c r="MIW46" s="31"/>
      <c r="MIX46" s="31"/>
      <c r="MIY46" s="31"/>
      <c r="MIZ46" s="31"/>
      <c r="MJA46" s="31"/>
      <c r="MJB46" s="31"/>
      <c r="MJC46" s="31"/>
      <c r="MJD46" s="31"/>
      <c r="MJE46" s="31"/>
      <c r="MJF46" s="31"/>
      <c r="MJG46" s="31"/>
      <c r="MJH46" s="31"/>
      <c r="MJI46" s="31"/>
      <c r="MJJ46" s="31"/>
      <c r="MJK46" s="31"/>
      <c r="MJL46" s="31"/>
      <c r="MJM46" s="31"/>
      <c r="MJN46" s="31"/>
      <c r="MJO46" s="31"/>
      <c r="MJP46" s="31"/>
      <c r="MJQ46" s="31"/>
      <c r="MJR46" s="31"/>
      <c r="MJS46" s="31"/>
      <c r="MJT46" s="31"/>
      <c r="MJU46" s="31"/>
      <c r="MJV46" s="31"/>
      <c r="MJW46" s="31"/>
      <c r="MJX46" s="31"/>
      <c r="MJY46" s="31"/>
      <c r="MJZ46" s="31"/>
      <c r="MKA46" s="31"/>
      <c r="MKB46" s="31"/>
      <c r="MKC46" s="31"/>
      <c r="MKD46" s="31"/>
      <c r="MKE46" s="31"/>
      <c r="MKF46" s="31"/>
      <c r="MKG46" s="31"/>
      <c r="MKH46" s="31"/>
      <c r="MKI46" s="31"/>
      <c r="MKJ46" s="31"/>
      <c r="MKK46" s="31"/>
      <c r="MKL46" s="31"/>
      <c r="MKM46" s="31"/>
      <c r="MKN46" s="31"/>
      <c r="MKO46" s="31"/>
      <c r="MKP46" s="31"/>
      <c r="MKQ46" s="31"/>
      <c r="MKR46" s="31"/>
      <c r="MKS46" s="31"/>
      <c r="MKT46" s="31"/>
      <c r="MKU46" s="31"/>
      <c r="MKV46" s="31"/>
      <c r="MKW46" s="31"/>
      <c r="MKX46" s="31"/>
      <c r="MKY46" s="31"/>
      <c r="MKZ46" s="31"/>
      <c r="MLA46" s="31"/>
      <c r="MLB46" s="31"/>
      <c r="MLC46" s="31"/>
      <c r="MLD46" s="31"/>
      <c r="MLE46" s="31"/>
      <c r="MLF46" s="31"/>
      <c r="MLG46" s="31"/>
      <c r="MLH46" s="31"/>
      <c r="MLI46" s="31"/>
      <c r="MLJ46" s="31"/>
      <c r="MLK46" s="31"/>
      <c r="MLL46" s="31"/>
      <c r="MLM46" s="31"/>
      <c r="MLN46" s="31"/>
      <c r="MLO46" s="31"/>
      <c r="MLP46" s="31"/>
      <c r="MLQ46" s="31"/>
      <c r="MLR46" s="31"/>
      <c r="MLS46" s="31"/>
      <c r="MLT46" s="31"/>
      <c r="MLU46" s="31"/>
      <c r="MLV46" s="31"/>
      <c r="MLW46" s="31"/>
      <c r="MLX46" s="31"/>
      <c r="MLY46" s="31"/>
      <c r="MLZ46" s="31"/>
      <c r="MMA46" s="31"/>
      <c r="MMB46" s="31"/>
      <c r="MMC46" s="31"/>
      <c r="MMD46" s="31"/>
      <c r="MME46" s="31"/>
      <c r="MMF46" s="31"/>
      <c r="MMG46" s="31"/>
      <c r="MMH46" s="31"/>
      <c r="MMI46" s="31"/>
      <c r="MMJ46" s="31"/>
      <c r="MMK46" s="31"/>
      <c r="MML46" s="31"/>
      <c r="MMM46" s="31"/>
      <c r="MMN46" s="31"/>
      <c r="MMO46" s="31"/>
      <c r="MMP46" s="31"/>
      <c r="MMQ46" s="31"/>
      <c r="MMR46" s="31"/>
      <c r="MMS46" s="31"/>
      <c r="MMT46" s="31"/>
      <c r="MMU46" s="31"/>
      <c r="MMV46" s="31"/>
      <c r="MMW46" s="31"/>
      <c r="MMX46" s="31"/>
      <c r="MMY46" s="31"/>
      <c r="MMZ46" s="31"/>
      <c r="MNA46" s="31"/>
      <c r="MNB46" s="31"/>
      <c r="MNC46" s="31"/>
      <c r="MND46" s="31"/>
      <c r="MNE46" s="31"/>
      <c r="MNF46" s="31"/>
      <c r="MNG46" s="31"/>
      <c r="MNH46" s="31"/>
      <c r="MNI46" s="31"/>
      <c r="MNJ46" s="31"/>
      <c r="MNK46" s="31"/>
      <c r="MNL46" s="31"/>
      <c r="MNM46" s="31"/>
      <c r="MNN46" s="31"/>
      <c r="MNO46" s="31"/>
      <c r="MNP46" s="31"/>
      <c r="MNQ46" s="31"/>
      <c r="MNR46" s="31"/>
      <c r="MNS46" s="31"/>
      <c r="MNT46" s="31"/>
      <c r="MNU46" s="31"/>
      <c r="MNV46" s="31"/>
      <c r="MNW46" s="31"/>
      <c r="MNX46" s="31"/>
      <c r="MNY46" s="31"/>
      <c r="MNZ46" s="31"/>
      <c r="MOA46" s="31"/>
      <c r="MOB46" s="31"/>
      <c r="MOC46" s="31"/>
      <c r="MOD46" s="31"/>
      <c r="MOE46" s="31"/>
      <c r="MOF46" s="31"/>
      <c r="MOG46" s="31"/>
      <c r="MOH46" s="31"/>
      <c r="MOI46" s="31"/>
      <c r="MOJ46" s="31"/>
      <c r="MOK46" s="31"/>
      <c r="MOL46" s="31"/>
      <c r="MOM46" s="31"/>
      <c r="MON46" s="31"/>
      <c r="MOO46" s="31"/>
      <c r="MOP46" s="31"/>
      <c r="MOQ46" s="31"/>
      <c r="MOR46" s="31"/>
      <c r="MOS46" s="31"/>
      <c r="MOT46" s="31"/>
      <c r="MOU46" s="31"/>
      <c r="MOV46" s="31"/>
      <c r="MOW46" s="31"/>
      <c r="MOX46" s="31"/>
      <c r="MOY46" s="31"/>
      <c r="MOZ46" s="31"/>
      <c r="MPA46" s="31"/>
      <c r="MPB46" s="31"/>
      <c r="MPC46" s="31"/>
      <c r="MPD46" s="31"/>
      <c r="MPE46" s="31"/>
      <c r="MPF46" s="31"/>
      <c r="MPG46" s="31"/>
      <c r="MPH46" s="31"/>
      <c r="MPI46" s="31"/>
      <c r="MPJ46" s="31"/>
      <c r="MPK46" s="31"/>
      <c r="MPL46" s="31"/>
      <c r="MPM46" s="31"/>
      <c r="MPN46" s="31"/>
      <c r="MPO46" s="31"/>
      <c r="MPP46" s="31"/>
      <c r="MPQ46" s="31"/>
      <c r="MPR46" s="31"/>
      <c r="MPS46" s="31"/>
      <c r="MPT46" s="31"/>
      <c r="MPU46" s="31"/>
      <c r="MPV46" s="31"/>
      <c r="MPW46" s="31"/>
      <c r="MPX46" s="31"/>
      <c r="MPY46" s="31"/>
      <c r="MPZ46" s="31"/>
      <c r="MQA46" s="31"/>
      <c r="MQB46" s="31"/>
      <c r="MQC46" s="31"/>
      <c r="MQD46" s="31"/>
      <c r="MQE46" s="31"/>
      <c r="MQF46" s="31"/>
      <c r="MQG46" s="31"/>
      <c r="MQH46" s="31"/>
      <c r="MQI46" s="31"/>
      <c r="MQJ46" s="31"/>
      <c r="MQK46" s="31"/>
      <c r="MQL46" s="31"/>
      <c r="MQM46" s="31"/>
      <c r="MQN46" s="31"/>
      <c r="MQO46" s="31"/>
      <c r="MQP46" s="31"/>
      <c r="MQQ46" s="31"/>
      <c r="MQR46" s="31"/>
      <c r="MQS46" s="31"/>
      <c r="MQT46" s="31"/>
      <c r="MQU46" s="31"/>
      <c r="MQV46" s="31"/>
      <c r="MQW46" s="31"/>
      <c r="MQX46" s="31"/>
      <c r="MQY46" s="31"/>
      <c r="MQZ46" s="31"/>
      <c r="MRA46" s="31"/>
      <c r="MRB46" s="31"/>
      <c r="MRC46" s="31"/>
      <c r="MRD46" s="31"/>
      <c r="MRE46" s="31"/>
      <c r="MRF46" s="31"/>
      <c r="MRG46" s="31"/>
      <c r="MRH46" s="31"/>
      <c r="MRI46" s="31"/>
      <c r="MRJ46" s="31"/>
      <c r="MRK46" s="31"/>
      <c r="MRL46" s="31"/>
      <c r="MRM46" s="31"/>
      <c r="MRN46" s="31"/>
      <c r="MRO46" s="31"/>
      <c r="MRP46" s="31"/>
      <c r="MRQ46" s="31"/>
      <c r="MRR46" s="31"/>
      <c r="MRS46" s="31"/>
      <c r="MRT46" s="31"/>
      <c r="MRU46" s="31"/>
      <c r="MRV46" s="31"/>
      <c r="MRW46" s="31"/>
      <c r="MRX46" s="31"/>
      <c r="MRY46" s="31"/>
      <c r="MRZ46" s="31"/>
      <c r="MSA46" s="31"/>
      <c r="MSB46" s="31"/>
      <c r="MSC46" s="31"/>
      <c r="MSD46" s="31"/>
      <c r="MSE46" s="31"/>
      <c r="MSF46" s="31"/>
      <c r="MSG46" s="31"/>
      <c r="MSH46" s="31"/>
      <c r="MSI46" s="31"/>
      <c r="MSJ46" s="31"/>
      <c r="MSK46" s="31"/>
      <c r="MSL46" s="31"/>
      <c r="MSM46" s="31"/>
      <c r="MSN46" s="31"/>
      <c r="MSO46" s="31"/>
      <c r="MSP46" s="31"/>
      <c r="MSQ46" s="31"/>
      <c r="MSR46" s="31"/>
      <c r="MSS46" s="31"/>
      <c r="MST46" s="31"/>
      <c r="MSU46" s="31"/>
      <c r="MSV46" s="31"/>
      <c r="MSW46" s="31"/>
      <c r="MSX46" s="31"/>
      <c r="MSY46" s="31"/>
      <c r="MSZ46" s="31"/>
      <c r="MTA46" s="31"/>
      <c r="MTB46" s="31"/>
      <c r="MTC46" s="31"/>
      <c r="MTD46" s="31"/>
      <c r="MTE46" s="31"/>
      <c r="MTF46" s="31"/>
      <c r="MTG46" s="31"/>
      <c r="MTH46" s="31"/>
      <c r="MTI46" s="31"/>
      <c r="MTJ46" s="31"/>
      <c r="MTK46" s="31"/>
      <c r="MTL46" s="31"/>
      <c r="MTM46" s="31"/>
      <c r="MTN46" s="31"/>
      <c r="MTO46" s="31"/>
      <c r="MTP46" s="31"/>
      <c r="MTQ46" s="31"/>
      <c r="MTR46" s="31"/>
      <c r="MTS46" s="31"/>
      <c r="MTT46" s="31"/>
      <c r="MTU46" s="31"/>
      <c r="MTV46" s="31"/>
      <c r="MTW46" s="31"/>
      <c r="MTX46" s="31"/>
      <c r="MTY46" s="31"/>
      <c r="MTZ46" s="31"/>
      <c r="MUA46" s="31"/>
      <c r="MUB46" s="31"/>
      <c r="MUC46" s="31"/>
      <c r="MUD46" s="31"/>
      <c r="MUE46" s="31"/>
      <c r="MUF46" s="31"/>
      <c r="MUG46" s="31"/>
      <c r="MUH46" s="31"/>
      <c r="MUI46" s="31"/>
      <c r="MUJ46" s="31"/>
      <c r="MUK46" s="31"/>
      <c r="MUL46" s="31"/>
      <c r="MUM46" s="31"/>
      <c r="MUN46" s="31"/>
      <c r="MUO46" s="31"/>
      <c r="MUP46" s="31"/>
      <c r="MUQ46" s="31"/>
      <c r="MUR46" s="31"/>
      <c r="MUS46" s="31"/>
      <c r="MUT46" s="31"/>
      <c r="MUU46" s="31"/>
      <c r="MUV46" s="31"/>
      <c r="MUW46" s="31"/>
      <c r="MUX46" s="31"/>
      <c r="MUY46" s="31"/>
      <c r="MUZ46" s="31"/>
      <c r="MVA46" s="31"/>
      <c r="MVB46" s="31"/>
      <c r="MVC46" s="31"/>
      <c r="MVD46" s="31"/>
      <c r="MVE46" s="31"/>
      <c r="MVF46" s="31"/>
      <c r="MVG46" s="31"/>
      <c r="MVH46" s="31"/>
      <c r="MVI46" s="31"/>
      <c r="MVJ46" s="31"/>
      <c r="MVK46" s="31"/>
      <c r="MVL46" s="31"/>
      <c r="MVM46" s="31"/>
      <c r="MVN46" s="31"/>
      <c r="MVO46" s="31"/>
      <c r="MVP46" s="31"/>
      <c r="MVQ46" s="31"/>
      <c r="MVR46" s="31"/>
      <c r="MVS46" s="31"/>
      <c r="MVT46" s="31"/>
      <c r="MVU46" s="31"/>
      <c r="MVV46" s="31"/>
      <c r="MVW46" s="31"/>
      <c r="MVX46" s="31"/>
      <c r="MVY46" s="31"/>
      <c r="MVZ46" s="31"/>
      <c r="MWA46" s="31"/>
      <c r="MWB46" s="31"/>
      <c r="MWC46" s="31"/>
      <c r="MWD46" s="31"/>
      <c r="MWE46" s="31"/>
      <c r="MWF46" s="31"/>
      <c r="MWG46" s="31"/>
      <c r="MWH46" s="31"/>
      <c r="MWI46" s="31"/>
      <c r="MWJ46" s="31"/>
      <c r="MWK46" s="31"/>
      <c r="MWL46" s="31"/>
      <c r="MWM46" s="31"/>
      <c r="MWN46" s="31"/>
      <c r="MWO46" s="31"/>
      <c r="MWP46" s="31"/>
      <c r="MWQ46" s="31"/>
      <c r="MWR46" s="31"/>
      <c r="MWS46" s="31"/>
      <c r="MWT46" s="31"/>
      <c r="MWU46" s="31"/>
      <c r="MWV46" s="31"/>
      <c r="MWW46" s="31"/>
      <c r="MWX46" s="31"/>
      <c r="MWY46" s="31"/>
      <c r="MWZ46" s="31"/>
      <c r="MXA46" s="31"/>
      <c r="MXB46" s="31"/>
      <c r="MXC46" s="31"/>
      <c r="MXD46" s="31"/>
      <c r="MXE46" s="31"/>
      <c r="MXF46" s="31"/>
      <c r="MXG46" s="31"/>
      <c r="MXH46" s="31"/>
      <c r="MXI46" s="31"/>
      <c r="MXJ46" s="31"/>
      <c r="MXK46" s="31"/>
      <c r="MXL46" s="31"/>
      <c r="MXM46" s="31"/>
      <c r="MXN46" s="31"/>
      <c r="MXO46" s="31"/>
      <c r="MXP46" s="31"/>
      <c r="MXQ46" s="31"/>
      <c r="MXR46" s="31"/>
      <c r="MXS46" s="31"/>
      <c r="MXT46" s="31"/>
      <c r="MXU46" s="31"/>
      <c r="MXV46" s="31"/>
      <c r="MXW46" s="31"/>
      <c r="MXX46" s="31"/>
      <c r="MXY46" s="31"/>
      <c r="MXZ46" s="31"/>
      <c r="MYA46" s="31"/>
      <c r="MYB46" s="31"/>
      <c r="MYC46" s="31"/>
      <c r="MYD46" s="31"/>
      <c r="MYE46" s="31"/>
      <c r="MYF46" s="31"/>
      <c r="MYG46" s="31"/>
      <c r="MYH46" s="31"/>
      <c r="MYI46" s="31"/>
      <c r="MYJ46" s="31"/>
      <c r="MYK46" s="31"/>
      <c r="MYL46" s="31"/>
      <c r="MYM46" s="31"/>
      <c r="MYN46" s="31"/>
      <c r="MYO46" s="31"/>
      <c r="MYP46" s="31"/>
      <c r="MYQ46" s="31"/>
      <c r="MYR46" s="31"/>
      <c r="MYS46" s="31"/>
      <c r="MYT46" s="31"/>
      <c r="MYU46" s="31"/>
      <c r="MYV46" s="31"/>
      <c r="MYW46" s="31"/>
      <c r="MYX46" s="31"/>
      <c r="MYY46" s="31"/>
      <c r="MYZ46" s="31"/>
      <c r="MZA46" s="31"/>
      <c r="MZB46" s="31"/>
      <c r="MZC46" s="31"/>
      <c r="MZD46" s="31"/>
      <c r="MZE46" s="31"/>
      <c r="MZF46" s="31"/>
      <c r="MZG46" s="31"/>
      <c r="MZH46" s="31"/>
      <c r="MZI46" s="31"/>
      <c r="MZJ46" s="31"/>
      <c r="MZK46" s="31"/>
      <c r="MZL46" s="31"/>
      <c r="MZM46" s="31"/>
      <c r="MZN46" s="31"/>
      <c r="MZO46" s="31"/>
      <c r="MZP46" s="31"/>
      <c r="MZQ46" s="31"/>
      <c r="MZR46" s="31"/>
      <c r="MZS46" s="31"/>
      <c r="MZT46" s="31"/>
      <c r="MZU46" s="31"/>
      <c r="MZV46" s="31"/>
      <c r="MZW46" s="31"/>
      <c r="MZX46" s="31"/>
      <c r="MZY46" s="31"/>
      <c r="MZZ46" s="31"/>
      <c r="NAA46" s="31"/>
      <c r="NAB46" s="31"/>
      <c r="NAC46" s="31"/>
      <c r="NAD46" s="31"/>
      <c r="NAE46" s="31"/>
      <c r="NAF46" s="31"/>
      <c r="NAG46" s="31"/>
      <c r="NAH46" s="31"/>
      <c r="NAI46" s="31"/>
      <c r="NAJ46" s="31"/>
      <c r="NAK46" s="31"/>
      <c r="NAL46" s="31"/>
      <c r="NAM46" s="31"/>
      <c r="NAN46" s="31"/>
      <c r="NAO46" s="31"/>
      <c r="NAP46" s="31"/>
      <c r="NAQ46" s="31"/>
      <c r="NAR46" s="31"/>
      <c r="NAS46" s="31"/>
      <c r="NAT46" s="31"/>
      <c r="NAU46" s="31"/>
      <c r="NAV46" s="31"/>
      <c r="NAW46" s="31"/>
      <c r="NAX46" s="31"/>
      <c r="NAY46" s="31"/>
      <c r="NAZ46" s="31"/>
      <c r="NBA46" s="31"/>
      <c r="NBB46" s="31"/>
      <c r="NBC46" s="31"/>
      <c r="NBD46" s="31"/>
      <c r="NBE46" s="31"/>
      <c r="NBF46" s="31"/>
      <c r="NBG46" s="31"/>
      <c r="NBH46" s="31"/>
      <c r="NBI46" s="31"/>
      <c r="NBJ46" s="31"/>
      <c r="NBK46" s="31"/>
      <c r="NBL46" s="31"/>
      <c r="NBM46" s="31"/>
      <c r="NBN46" s="31"/>
      <c r="NBO46" s="31"/>
      <c r="NBP46" s="31"/>
      <c r="NBQ46" s="31"/>
      <c r="NBR46" s="31"/>
      <c r="NBS46" s="31"/>
      <c r="NBT46" s="31"/>
      <c r="NBU46" s="31"/>
      <c r="NBV46" s="31"/>
      <c r="NBW46" s="31"/>
      <c r="NBX46" s="31"/>
      <c r="NBY46" s="31"/>
      <c r="NBZ46" s="31"/>
      <c r="NCA46" s="31"/>
      <c r="NCB46" s="31"/>
      <c r="NCC46" s="31"/>
      <c r="NCD46" s="31"/>
      <c r="NCE46" s="31"/>
      <c r="NCF46" s="31"/>
      <c r="NCG46" s="31"/>
      <c r="NCH46" s="31"/>
      <c r="NCI46" s="31"/>
      <c r="NCJ46" s="31"/>
      <c r="NCK46" s="31"/>
      <c r="NCL46" s="31"/>
      <c r="NCM46" s="31"/>
      <c r="NCN46" s="31"/>
      <c r="NCO46" s="31"/>
      <c r="NCP46" s="31"/>
      <c r="NCQ46" s="31"/>
      <c r="NCR46" s="31"/>
      <c r="NCS46" s="31"/>
      <c r="NCT46" s="31"/>
      <c r="NCU46" s="31"/>
      <c r="NCV46" s="31"/>
      <c r="NCW46" s="31"/>
      <c r="NCX46" s="31"/>
      <c r="NCY46" s="31"/>
      <c r="NCZ46" s="31"/>
      <c r="NDA46" s="31"/>
      <c r="NDB46" s="31"/>
      <c r="NDC46" s="31"/>
      <c r="NDD46" s="31"/>
      <c r="NDE46" s="31"/>
      <c r="NDF46" s="31"/>
      <c r="NDG46" s="31"/>
      <c r="NDH46" s="31"/>
      <c r="NDI46" s="31"/>
      <c r="NDJ46" s="31"/>
      <c r="NDK46" s="31"/>
      <c r="NDL46" s="31"/>
      <c r="NDM46" s="31"/>
      <c r="NDN46" s="31"/>
      <c r="NDO46" s="31"/>
      <c r="NDP46" s="31"/>
      <c r="NDQ46" s="31"/>
      <c r="NDR46" s="31"/>
      <c r="NDS46" s="31"/>
      <c r="NDT46" s="31"/>
      <c r="NDU46" s="31"/>
      <c r="NDV46" s="31"/>
      <c r="NDW46" s="31"/>
      <c r="NDX46" s="31"/>
      <c r="NDY46" s="31"/>
      <c r="NDZ46" s="31"/>
      <c r="NEA46" s="31"/>
      <c r="NEB46" s="31"/>
      <c r="NEC46" s="31"/>
      <c r="NED46" s="31"/>
      <c r="NEE46" s="31"/>
      <c r="NEF46" s="31"/>
      <c r="NEG46" s="31"/>
      <c r="NEH46" s="31"/>
      <c r="NEI46" s="31"/>
      <c r="NEJ46" s="31"/>
      <c r="NEK46" s="31"/>
      <c r="NEL46" s="31"/>
      <c r="NEM46" s="31"/>
      <c r="NEN46" s="31"/>
      <c r="NEO46" s="31"/>
      <c r="NEP46" s="31"/>
      <c r="NEQ46" s="31"/>
      <c r="NER46" s="31"/>
      <c r="NES46" s="31"/>
      <c r="NET46" s="31"/>
      <c r="NEU46" s="31"/>
      <c r="NEV46" s="31"/>
      <c r="NEW46" s="31"/>
      <c r="NEX46" s="31"/>
      <c r="NEY46" s="31"/>
      <c r="NEZ46" s="31"/>
      <c r="NFA46" s="31"/>
      <c r="NFB46" s="31"/>
      <c r="NFC46" s="31"/>
      <c r="NFD46" s="31"/>
      <c r="NFE46" s="31"/>
      <c r="NFF46" s="31"/>
      <c r="NFG46" s="31"/>
      <c r="NFH46" s="31"/>
      <c r="NFI46" s="31"/>
      <c r="NFJ46" s="31"/>
      <c r="NFK46" s="31"/>
      <c r="NFL46" s="31"/>
      <c r="NFM46" s="31"/>
      <c r="NFN46" s="31"/>
      <c r="NFO46" s="31"/>
      <c r="NFP46" s="31"/>
      <c r="NFQ46" s="31"/>
      <c r="NFR46" s="31"/>
      <c r="NFS46" s="31"/>
      <c r="NFT46" s="31"/>
      <c r="NFU46" s="31"/>
      <c r="NFV46" s="31"/>
      <c r="NFW46" s="31"/>
      <c r="NFX46" s="31"/>
      <c r="NFY46" s="31"/>
      <c r="NFZ46" s="31"/>
      <c r="NGA46" s="31"/>
      <c r="NGB46" s="31"/>
      <c r="NGC46" s="31"/>
      <c r="NGD46" s="31"/>
      <c r="NGE46" s="31"/>
      <c r="NGF46" s="31"/>
      <c r="NGG46" s="31"/>
      <c r="NGH46" s="31"/>
      <c r="NGI46" s="31"/>
      <c r="NGJ46" s="31"/>
      <c r="NGK46" s="31"/>
      <c r="NGL46" s="31"/>
      <c r="NGM46" s="31"/>
      <c r="NGN46" s="31"/>
      <c r="NGO46" s="31"/>
      <c r="NGP46" s="31"/>
      <c r="NGQ46" s="31"/>
      <c r="NGR46" s="31"/>
      <c r="NGS46" s="31"/>
      <c r="NGT46" s="31"/>
      <c r="NGU46" s="31"/>
      <c r="NGV46" s="31"/>
      <c r="NGW46" s="31"/>
      <c r="NGX46" s="31"/>
      <c r="NGY46" s="31"/>
      <c r="NGZ46" s="31"/>
      <c r="NHA46" s="31"/>
      <c r="NHB46" s="31"/>
      <c r="NHC46" s="31"/>
      <c r="NHD46" s="31"/>
      <c r="NHE46" s="31"/>
      <c r="NHF46" s="31"/>
      <c r="NHG46" s="31"/>
      <c r="NHH46" s="31"/>
      <c r="NHI46" s="31"/>
      <c r="NHJ46" s="31"/>
      <c r="NHK46" s="31"/>
      <c r="NHL46" s="31"/>
      <c r="NHM46" s="31"/>
      <c r="NHN46" s="31"/>
      <c r="NHO46" s="31"/>
      <c r="NHP46" s="31"/>
      <c r="NHQ46" s="31"/>
      <c r="NHR46" s="31"/>
      <c r="NHS46" s="31"/>
      <c r="NHT46" s="31"/>
      <c r="NHU46" s="31"/>
      <c r="NHV46" s="31"/>
      <c r="NHW46" s="31"/>
      <c r="NHX46" s="31"/>
      <c r="NHY46" s="31"/>
      <c r="NHZ46" s="31"/>
      <c r="NIA46" s="31"/>
      <c r="NIB46" s="31"/>
      <c r="NIC46" s="31"/>
      <c r="NID46" s="31"/>
      <c r="NIE46" s="31"/>
      <c r="NIF46" s="31"/>
      <c r="NIG46" s="31"/>
      <c r="NIH46" s="31"/>
      <c r="NII46" s="31"/>
      <c r="NIJ46" s="31"/>
      <c r="NIK46" s="31"/>
      <c r="NIL46" s="31"/>
      <c r="NIM46" s="31"/>
      <c r="NIN46" s="31"/>
      <c r="NIO46" s="31"/>
      <c r="NIP46" s="31"/>
      <c r="NIQ46" s="31"/>
      <c r="NIR46" s="31"/>
      <c r="NIS46" s="31"/>
      <c r="NIT46" s="31"/>
      <c r="NIU46" s="31"/>
      <c r="NIV46" s="31"/>
      <c r="NIW46" s="31"/>
      <c r="NIX46" s="31"/>
      <c r="NIY46" s="31"/>
      <c r="NIZ46" s="31"/>
      <c r="NJA46" s="31"/>
      <c r="NJB46" s="31"/>
      <c r="NJC46" s="31"/>
      <c r="NJD46" s="31"/>
      <c r="NJE46" s="31"/>
      <c r="NJF46" s="31"/>
      <c r="NJG46" s="31"/>
      <c r="NJH46" s="31"/>
      <c r="NJI46" s="31"/>
      <c r="NJJ46" s="31"/>
      <c r="NJK46" s="31"/>
      <c r="NJL46" s="31"/>
      <c r="NJM46" s="31"/>
      <c r="NJN46" s="31"/>
      <c r="NJO46" s="31"/>
      <c r="NJP46" s="31"/>
      <c r="NJQ46" s="31"/>
      <c r="NJR46" s="31"/>
      <c r="NJS46" s="31"/>
      <c r="NJT46" s="31"/>
      <c r="NJU46" s="31"/>
      <c r="NJV46" s="31"/>
      <c r="NJW46" s="31"/>
      <c r="NJX46" s="31"/>
      <c r="NJY46" s="31"/>
      <c r="NJZ46" s="31"/>
      <c r="NKA46" s="31"/>
      <c r="NKB46" s="31"/>
      <c r="NKC46" s="31"/>
      <c r="NKD46" s="31"/>
      <c r="NKE46" s="31"/>
      <c r="NKF46" s="31"/>
      <c r="NKG46" s="31"/>
      <c r="NKH46" s="31"/>
      <c r="NKI46" s="31"/>
      <c r="NKJ46" s="31"/>
      <c r="NKK46" s="31"/>
      <c r="NKL46" s="31"/>
      <c r="NKM46" s="31"/>
      <c r="NKN46" s="31"/>
      <c r="NKO46" s="31"/>
      <c r="NKP46" s="31"/>
      <c r="NKQ46" s="31"/>
      <c r="NKR46" s="31"/>
      <c r="NKS46" s="31"/>
      <c r="NKT46" s="31"/>
      <c r="NKU46" s="31"/>
      <c r="NKV46" s="31"/>
      <c r="NKW46" s="31"/>
      <c r="NKX46" s="31"/>
      <c r="NKY46" s="31"/>
      <c r="NKZ46" s="31"/>
      <c r="NLA46" s="31"/>
      <c r="NLB46" s="31"/>
      <c r="NLC46" s="31"/>
      <c r="NLD46" s="31"/>
      <c r="NLE46" s="31"/>
      <c r="NLF46" s="31"/>
      <c r="NLG46" s="31"/>
      <c r="NLH46" s="31"/>
      <c r="NLI46" s="31"/>
      <c r="NLJ46" s="31"/>
      <c r="NLK46" s="31"/>
      <c r="NLL46" s="31"/>
      <c r="NLM46" s="31"/>
      <c r="NLN46" s="31"/>
      <c r="NLO46" s="31"/>
      <c r="NLP46" s="31"/>
      <c r="NLQ46" s="31"/>
      <c r="NLR46" s="31"/>
      <c r="NLS46" s="31"/>
      <c r="NLT46" s="31"/>
      <c r="NLU46" s="31"/>
      <c r="NLV46" s="31"/>
      <c r="NLW46" s="31"/>
      <c r="NLX46" s="31"/>
      <c r="NLY46" s="31"/>
      <c r="NLZ46" s="31"/>
      <c r="NMA46" s="31"/>
      <c r="NMB46" s="31"/>
      <c r="NMC46" s="31"/>
      <c r="NMD46" s="31"/>
      <c r="NME46" s="31"/>
      <c r="NMF46" s="31"/>
      <c r="NMG46" s="31"/>
      <c r="NMH46" s="31"/>
      <c r="NMI46" s="31"/>
      <c r="NMJ46" s="31"/>
      <c r="NMK46" s="31"/>
      <c r="NML46" s="31"/>
      <c r="NMM46" s="31"/>
      <c r="NMN46" s="31"/>
      <c r="NMO46" s="31"/>
      <c r="NMP46" s="31"/>
      <c r="NMQ46" s="31"/>
      <c r="NMR46" s="31"/>
      <c r="NMS46" s="31"/>
      <c r="NMT46" s="31"/>
      <c r="NMU46" s="31"/>
      <c r="NMV46" s="31"/>
      <c r="NMW46" s="31"/>
      <c r="NMX46" s="31"/>
      <c r="NMY46" s="31"/>
      <c r="NMZ46" s="31"/>
      <c r="NNA46" s="31"/>
      <c r="NNB46" s="31"/>
      <c r="NNC46" s="31"/>
      <c r="NND46" s="31"/>
      <c r="NNE46" s="31"/>
      <c r="NNF46" s="31"/>
      <c r="NNG46" s="31"/>
      <c r="NNH46" s="31"/>
      <c r="NNI46" s="31"/>
      <c r="NNJ46" s="31"/>
      <c r="NNK46" s="31"/>
      <c r="NNL46" s="31"/>
      <c r="NNM46" s="31"/>
      <c r="NNN46" s="31"/>
      <c r="NNO46" s="31"/>
      <c r="NNP46" s="31"/>
      <c r="NNQ46" s="31"/>
      <c r="NNR46" s="31"/>
      <c r="NNS46" s="31"/>
      <c r="NNT46" s="31"/>
      <c r="NNU46" s="31"/>
      <c r="NNV46" s="31"/>
      <c r="NNW46" s="31"/>
      <c r="NNX46" s="31"/>
      <c r="NNY46" s="31"/>
      <c r="NNZ46" s="31"/>
      <c r="NOA46" s="31"/>
      <c r="NOB46" s="31"/>
      <c r="NOC46" s="31"/>
      <c r="NOD46" s="31"/>
      <c r="NOE46" s="31"/>
      <c r="NOF46" s="31"/>
      <c r="NOG46" s="31"/>
      <c r="NOH46" s="31"/>
      <c r="NOI46" s="31"/>
      <c r="NOJ46" s="31"/>
      <c r="NOK46" s="31"/>
      <c r="NOL46" s="31"/>
      <c r="NOM46" s="31"/>
      <c r="NON46" s="31"/>
      <c r="NOO46" s="31"/>
      <c r="NOP46" s="31"/>
      <c r="NOQ46" s="31"/>
      <c r="NOR46" s="31"/>
      <c r="NOS46" s="31"/>
      <c r="NOT46" s="31"/>
      <c r="NOU46" s="31"/>
      <c r="NOV46" s="31"/>
      <c r="NOW46" s="31"/>
      <c r="NOX46" s="31"/>
      <c r="NOY46" s="31"/>
      <c r="NOZ46" s="31"/>
      <c r="NPA46" s="31"/>
      <c r="NPB46" s="31"/>
      <c r="NPC46" s="31"/>
      <c r="NPD46" s="31"/>
      <c r="NPE46" s="31"/>
      <c r="NPF46" s="31"/>
      <c r="NPG46" s="31"/>
      <c r="NPH46" s="31"/>
      <c r="NPI46" s="31"/>
      <c r="NPJ46" s="31"/>
      <c r="NPK46" s="31"/>
      <c r="NPL46" s="31"/>
      <c r="NPM46" s="31"/>
      <c r="NPN46" s="31"/>
      <c r="NPO46" s="31"/>
      <c r="NPP46" s="31"/>
      <c r="NPQ46" s="31"/>
      <c r="NPR46" s="31"/>
      <c r="NPS46" s="31"/>
      <c r="NPT46" s="31"/>
      <c r="NPU46" s="31"/>
      <c r="NPV46" s="31"/>
      <c r="NPW46" s="31"/>
      <c r="NPX46" s="31"/>
      <c r="NPY46" s="31"/>
      <c r="NPZ46" s="31"/>
      <c r="NQA46" s="31"/>
      <c r="NQB46" s="31"/>
      <c r="NQC46" s="31"/>
      <c r="NQD46" s="31"/>
      <c r="NQE46" s="31"/>
      <c r="NQF46" s="31"/>
      <c r="NQG46" s="31"/>
      <c r="NQH46" s="31"/>
      <c r="NQI46" s="31"/>
      <c r="NQJ46" s="31"/>
      <c r="NQK46" s="31"/>
      <c r="NQL46" s="31"/>
      <c r="NQM46" s="31"/>
      <c r="NQN46" s="31"/>
      <c r="NQO46" s="31"/>
      <c r="NQP46" s="31"/>
      <c r="NQQ46" s="31"/>
      <c r="NQR46" s="31"/>
      <c r="NQS46" s="31"/>
      <c r="NQT46" s="31"/>
      <c r="NQU46" s="31"/>
      <c r="NQV46" s="31"/>
      <c r="NQW46" s="31"/>
      <c r="NQX46" s="31"/>
      <c r="NQY46" s="31"/>
      <c r="NQZ46" s="31"/>
      <c r="NRA46" s="31"/>
      <c r="NRB46" s="31"/>
      <c r="NRC46" s="31"/>
      <c r="NRD46" s="31"/>
      <c r="NRE46" s="31"/>
      <c r="NRF46" s="31"/>
      <c r="NRG46" s="31"/>
      <c r="NRH46" s="31"/>
      <c r="NRI46" s="31"/>
      <c r="NRJ46" s="31"/>
      <c r="NRK46" s="31"/>
      <c r="NRL46" s="31"/>
      <c r="NRM46" s="31"/>
      <c r="NRN46" s="31"/>
      <c r="NRO46" s="31"/>
      <c r="NRP46" s="31"/>
      <c r="NRQ46" s="31"/>
      <c r="NRR46" s="31"/>
      <c r="NRS46" s="31"/>
      <c r="NRT46" s="31"/>
      <c r="NRU46" s="31"/>
      <c r="NRV46" s="31"/>
      <c r="NRW46" s="31"/>
      <c r="NRX46" s="31"/>
      <c r="NRY46" s="31"/>
      <c r="NRZ46" s="31"/>
      <c r="NSA46" s="31"/>
      <c r="NSB46" s="31"/>
      <c r="NSC46" s="31"/>
      <c r="NSD46" s="31"/>
      <c r="NSE46" s="31"/>
      <c r="NSF46" s="31"/>
      <c r="NSG46" s="31"/>
      <c r="NSH46" s="31"/>
      <c r="NSI46" s="31"/>
      <c r="NSJ46" s="31"/>
      <c r="NSK46" s="31"/>
      <c r="NSL46" s="31"/>
      <c r="NSM46" s="31"/>
      <c r="NSN46" s="31"/>
      <c r="NSO46" s="31"/>
      <c r="NSP46" s="31"/>
      <c r="NSQ46" s="31"/>
      <c r="NSR46" s="31"/>
      <c r="NSS46" s="31"/>
      <c r="NST46" s="31"/>
      <c r="NSU46" s="31"/>
      <c r="NSV46" s="31"/>
      <c r="NSW46" s="31"/>
      <c r="NSX46" s="31"/>
      <c r="NSY46" s="31"/>
      <c r="NSZ46" s="31"/>
      <c r="NTA46" s="31"/>
      <c r="NTB46" s="31"/>
      <c r="NTC46" s="31"/>
      <c r="NTD46" s="31"/>
      <c r="NTE46" s="31"/>
      <c r="NTF46" s="31"/>
      <c r="NTG46" s="31"/>
      <c r="NTH46" s="31"/>
      <c r="NTI46" s="31"/>
      <c r="NTJ46" s="31"/>
      <c r="NTK46" s="31"/>
      <c r="NTL46" s="31"/>
      <c r="NTM46" s="31"/>
      <c r="NTN46" s="31"/>
      <c r="NTO46" s="31"/>
      <c r="NTP46" s="31"/>
      <c r="NTQ46" s="31"/>
      <c r="NTR46" s="31"/>
      <c r="NTS46" s="31"/>
      <c r="NTT46" s="31"/>
      <c r="NTU46" s="31"/>
      <c r="NTV46" s="31"/>
      <c r="NTW46" s="31"/>
      <c r="NTX46" s="31"/>
      <c r="NTY46" s="31"/>
      <c r="NTZ46" s="31"/>
      <c r="NUA46" s="31"/>
      <c r="NUB46" s="31"/>
      <c r="NUC46" s="31"/>
      <c r="NUD46" s="31"/>
      <c r="NUE46" s="31"/>
      <c r="NUF46" s="31"/>
      <c r="NUG46" s="31"/>
      <c r="NUH46" s="31"/>
      <c r="NUI46" s="31"/>
      <c r="NUJ46" s="31"/>
      <c r="NUK46" s="31"/>
      <c r="NUL46" s="31"/>
      <c r="NUM46" s="31"/>
      <c r="NUN46" s="31"/>
      <c r="NUO46" s="31"/>
      <c r="NUP46" s="31"/>
      <c r="NUQ46" s="31"/>
      <c r="NUR46" s="31"/>
      <c r="NUS46" s="31"/>
      <c r="NUT46" s="31"/>
      <c r="NUU46" s="31"/>
      <c r="NUV46" s="31"/>
      <c r="NUW46" s="31"/>
      <c r="NUX46" s="31"/>
      <c r="NUY46" s="31"/>
      <c r="NUZ46" s="31"/>
      <c r="NVA46" s="31"/>
      <c r="NVB46" s="31"/>
      <c r="NVC46" s="31"/>
      <c r="NVD46" s="31"/>
      <c r="NVE46" s="31"/>
      <c r="NVF46" s="31"/>
      <c r="NVG46" s="31"/>
      <c r="NVH46" s="31"/>
      <c r="NVI46" s="31"/>
      <c r="NVJ46" s="31"/>
      <c r="NVK46" s="31"/>
      <c r="NVL46" s="31"/>
      <c r="NVM46" s="31"/>
      <c r="NVN46" s="31"/>
      <c r="NVO46" s="31"/>
      <c r="NVP46" s="31"/>
      <c r="NVQ46" s="31"/>
      <c r="NVR46" s="31"/>
      <c r="NVS46" s="31"/>
      <c r="NVT46" s="31"/>
      <c r="NVU46" s="31"/>
      <c r="NVV46" s="31"/>
      <c r="NVW46" s="31"/>
      <c r="NVX46" s="31"/>
      <c r="NVY46" s="31"/>
      <c r="NVZ46" s="31"/>
      <c r="NWA46" s="31"/>
      <c r="NWB46" s="31"/>
      <c r="NWC46" s="31"/>
      <c r="NWD46" s="31"/>
      <c r="NWE46" s="31"/>
      <c r="NWF46" s="31"/>
      <c r="NWG46" s="31"/>
      <c r="NWH46" s="31"/>
      <c r="NWI46" s="31"/>
      <c r="NWJ46" s="31"/>
      <c r="NWK46" s="31"/>
      <c r="NWL46" s="31"/>
      <c r="NWM46" s="31"/>
      <c r="NWN46" s="31"/>
      <c r="NWO46" s="31"/>
      <c r="NWP46" s="31"/>
      <c r="NWQ46" s="31"/>
      <c r="NWR46" s="31"/>
      <c r="NWS46" s="31"/>
      <c r="NWT46" s="31"/>
      <c r="NWU46" s="31"/>
      <c r="NWV46" s="31"/>
      <c r="NWW46" s="31"/>
      <c r="NWX46" s="31"/>
      <c r="NWY46" s="31"/>
      <c r="NWZ46" s="31"/>
      <c r="NXA46" s="31"/>
      <c r="NXB46" s="31"/>
      <c r="NXC46" s="31"/>
      <c r="NXD46" s="31"/>
      <c r="NXE46" s="31"/>
      <c r="NXF46" s="31"/>
      <c r="NXG46" s="31"/>
      <c r="NXH46" s="31"/>
      <c r="NXI46" s="31"/>
      <c r="NXJ46" s="31"/>
      <c r="NXK46" s="31"/>
      <c r="NXL46" s="31"/>
      <c r="NXM46" s="31"/>
      <c r="NXN46" s="31"/>
      <c r="NXO46" s="31"/>
      <c r="NXP46" s="31"/>
      <c r="NXQ46" s="31"/>
      <c r="NXR46" s="31"/>
      <c r="NXS46" s="31"/>
      <c r="NXT46" s="31"/>
      <c r="NXU46" s="31"/>
      <c r="NXV46" s="31"/>
      <c r="NXW46" s="31"/>
      <c r="NXX46" s="31"/>
      <c r="NXY46" s="31"/>
      <c r="NXZ46" s="31"/>
      <c r="NYA46" s="31"/>
      <c r="NYB46" s="31"/>
      <c r="NYC46" s="31"/>
      <c r="NYD46" s="31"/>
      <c r="NYE46" s="31"/>
      <c r="NYF46" s="31"/>
      <c r="NYG46" s="31"/>
      <c r="NYH46" s="31"/>
      <c r="NYI46" s="31"/>
      <c r="NYJ46" s="31"/>
      <c r="NYK46" s="31"/>
      <c r="NYL46" s="31"/>
      <c r="NYM46" s="31"/>
      <c r="NYN46" s="31"/>
      <c r="NYO46" s="31"/>
      <c r="NYP46" s="31"/>
      <c r="NYQ46" s="31"/>
      <c r="NYR46" s="31"/>
      <c r="NYS46" s="31"/>
      <c r="NYT46" s="31"/>
      <c r="NYU46" s="31"/>
      <c r="NYV46" s="31"/>
      <c r="NYW46" s="31"/>
      <c r="NYX46" s="31"/>
      <c r="NYY46" s="31"/>
      <c r="NYZ46" s="31"/>
      <c r="NZA46" s="31"/>
      <c r="NZB46" s="31"/>
      <c r="NZC46" s="31"/>
      <c r="NZD46" s="31"/>
      <c r="NZE46" s="31"/>
      <c r="NZF46" s="31"/>
      <c r="NZG46" s="31"/>
      <c r="NZH46" s="31"/>
      <c r="NZI46" s="31"/>
      <c r="NZJ46" s="31"/>
      <c r="NZK46" s="31"/>
      <c r="NZL46" s="31"/>
      <c r="NZM46" s="31"/>
      <c r="NZN46" s="31"/>
      <c r="NZO46" s="31"/>
      <c r="NZP46" s="31"/>
      <c r="NZQ46" s="31"/>
      <c r="NZR46" s="31"/>
      <c r="NZS46" s="31"/>
      <c r="NZT46" s="31"/>
      <c r="NZU46" s="31"/>
      <c r="NZV46" s="31"/>
      <c r="NZW46" s="31"/>
      <c r="NZX46" s="31"/>
      <c r="NZY46" s="31"/>
      <c r="NZZ46" s="31"/>
      <c r="OAA46" s="31"/>
      <c r="OAB46" s="31"/>
      <c r="OAC46" s="31"/>
      <c r="OAD46" s="31"/>
      <c r="OAE46" s="31"/>
      <c r="OAF46" s="31"/>
      <c r="OAG46" s="31"/>
      <c r="OAH46" s="31"/>
      <c r="OAI46" s="31"/>
      <c r="OAJ46" s="31"/>
      <c r="OAK46" s="31"/>
      <c r="OAL46" s="31"/>
      <c r="OAM46" s="31"/>
      <c r="OAN46" s="31"/>
      <c r="OAO46" s="31"/>
      <c r="OAP46" s="31"/>
      <c r="OAQ46" s="31"/>
      <c r="OAR46" s="31"/>
      <c r="OAS46" s="31"/>
      <c r="OAT46" s="31"/>
      <c r="OAU46" s="31"/>
      <c r="OAV46" s="31"/>
      <c r="OAW46" s="31"/>
      <c r="OAX46" s="31"/>
      <c r="OAY46" s="31"/>
      <c r="OAZ46" s="31"/>
      <c r="OBA46" s="31"/>
      <c r="OBB46" s="31"/>
      <c r="OBC46" s="31"/>
      <c r="OBD46" s="31"/>
      <c r="OBE46" s="31"/>
      <c r="OBF46" s="31"/>
      <c r="OBG46" s="31"/>
      <c r="OBH46" s="31"/>
      <c r="OBI46" s="31"/>
      <c r="OBJ46" s="31"/>
      <c r="OBK46" s="31"/>
      <c r="OBL46" s="31"/>
      <c r="OBM46" s="31"/>
      <c r="OBN46" s="31"/>
      <c r="OBO46" s="31"/>
      <c r="OBP46" s="31"/>
      <c r="OBQ46" s="31"/>
      <c r="OBR46" s="31"/>
      <c r="OBS46" s="31"/>
      <c r="OBT46" s="31"/>
      <c r="OBU46" s="31"/>
      <c r="OBV46" s="31"/>
      <c r="OBW46" s="31"/>
      <c r="OBX46" s="31"/>
      <c r="OBY46" s="31"/>
      <c r="OBZ46" s="31"/>
      <c r="OCA46" s="31"/>
      <c r="OCB46" s="31"/>
      <c r="OCC46" s="31"/>
      <c r="OCD46" s="31"/>
      <c r="OCE46" s="31"/>
      <c r="OCF46" s="31"/>
      <c r="OCG46" s="31"/>
      <c r="OCH46" s="31"/>
      <c r="OCI46" s="31"/>
      <c r="OCJ46" s="31"/>
      <c r="OCK46" s="31"/>
      <c r="OCL46" s="31"/>
      <c r="OCM46" s="31"/>
      <c r="OCN46" s="31"/>
      <c r="OCO46" s="31"/>
      <c r="OCP46" s="31"/>
      <c r="OCQ46" s="31"/>
      <c r="OCR46" s="31"/>
      <c r="OCS46" s="31"/>
      <c r="OCT46" s="31"/>
      <c r="OCU46" s="31"/>
      <c r="OCV46" s="31"/>
      <c r="OCW46" s="31"/>
      <c r="OCX46" s="31"/>
      <c r="OCY46" s="31"/>
      <c r="OCZ46" s="31"/>
      <c r="ODA46" s="31"/>
      <c r="ODB46" s="31"/>
      <c r="ODC46" s="31"/>
      <c r="ODD46" s="31"/>
      <c r="ODE46" s="31"/>
      <c r="ODF46" s="31"/>
      <c r="ODG46" s="31"/>
      <c r="ODH46" s="31"/>
      <c r="ODI46" s="31"/>
      <c r="ODJ46" s="31"/>
      <c r="ODK46" s="31"/>
      <c r="ODL46" s="31"/>
      <c r="ODM46" s="31"/>
      <c r="ODN46" s="31"/>
      <c r="ODO46" s="31"/>
      <c r="ODP46" s="31"/>
      <c r="ODQ46" s="31"/>
      <c r="ODR46" s="31"/>
      <c r="ODS46" s="31"/>
      <c r="ODT46" s="31"/>
      <c r="ODU46" s="31"/>
      <c r="ODV46" s="31"/>
      <c r="ODW46" s="31"/>
      <c r="ODX46" s="31"/>
      <c r="ODY46" s="31"/>
      <c r="ODZ46" s="31"/>
      <c r="OEA46" s="31"/>
      <c r="OEB46" s="31"/>
      <c r="OEC46" s="31"/>
      <c r="OED46" s="31"/>
      <c r="OEE46" s="31"/>
      <c r="OEF46" s="31"/>
      <c r="OEG46" s="31"/>
      <c r="OEH46" s="31"/>
      <c r="OEI46" s="31"/>
      <c r="OEJ46" s="31"/>
      <c r="OEK46" s="31"/>
      <c r="OEL46" s="31"/>
      <c r="OEM46" s="31"/>
      <c r="OEN46" s="31"/>
      <c r="OEO46" s="31"/>
      <c r="OEP46" s="31"/>
      <c r="OEQ46" s="31"/>
      <c r="OER46" s="31"/>
      <c r="OES46" s="31"/>
      <c r="OET46" s="31"/>
      <c r="OEU46" s="31"/>
      <c r="OEV46" s="31"/>
      <c r="OEW46" s="31"/>
      <c r="OEX46" s="31"/>
      <c r="OEY46" s="31"/>
      <c r="OEZ46" s="31"/>
      <c r="OFA46" s="31"/>
      <c r="OFB46" s="31"/>
      <c r="OFC46" s="31"/>
      <c r="OFD46" s="31"/>
      <c r="OFE46" s="31"/>
      <c r="OFF46" s="31"/>
      <c r="OFG46" s="31"/>
      <c r="OFH46" s="31"/>
      <c r="OFI46" s="31"/>
      <c r="OFJ46" s="31"/>
      <c r="OFK46" s="31"/>
      <c r="OFL46" s="31"/>
      <c r="OFM46" s="31"/>
      <c r="OFN46" s="31"/>
      <c r="OFO46" s="31"/>
      <c r="OFP46" s="31"/>
      <c r="OFQ46" s="31"/>
      <c r="OFR46" s="31"/>
      <c r="OFS46" s="31"/>
      <c r="OFT46" s="31"/>
      <c r="OFU46" s="31"/>
      <c r="OFV46" s="31"/>
      <c r="OFW46" s="31"/>
      <c r="OFX46" s="31"/>
      <c r="OFY46" s="31"/>
      <c r="OFZ46" s="31"/>
      <c r="OGA46" s="31"/>
      <c r="OGB46" s="31"/>
      <c r="OGC46" s="31"/>
      <c r="OGD46" s="31"/>
      <c r="OGE46" s="31"/>
      <c r="OGF46" s="31"/>
      <c r="OGG46" s="31"/>
      <c r="OGH46" s="31"/>
      <c r="OGI46" s="31"/>
      <c r="OGJ46" s="31"/>
      <c r="OGK46" s="31"/>
      <c r="OGL46" s="31"/>
      <c r="OGM46" s="31"/>
      <c r="OGN46" s="31"/>
      <c r="OGO46" s="31"/>
      <c r="OGP46" s="31"/>
      <c r="OGQ46" s="31"/>
      <c r="OGR46" s="31"/>
      <c r="OGS46" s="31"/>
      <c r="OGT46" s="31"/>
      <c r="OGU46" s="31"/>
      <c r="OGV46" s="31"/>
      <c r="OGW46" s="31"/>
      <c r="OGX46" s="31"/>
      <c r="OGY46" s="31"/>
      <c r="OGZ46" s="31"/>
      <c r="OHA46" s="31"/>
      <c r="OHB46" s="31"/>
      <c r="OHC46" s="31"/>
      <c r="OHD46" s="31"/>
      <c r="OHE46" s="31"/>
      <c r="OHF46" s="31"/>
      <c r="OHG46" s="31"/>
      <c r="OHH46" s="31"/>
      <c r="OHI46" s="31"/>
      <c r="OHJ46" s="31"/>
      <c r="OHK46" s="31"/>
      <c r="OHL46" s="31"/>
      <c r="OHM46" s="31"/>
      <c r="OHN46" s="31"/>
      <c r="OHO46" s="31"/>
      <c r="OHP46" s="31"/>
      <c r="OHQ46" s="31"/>
      <c r="OHR46" s="31"/>
      <c r="OHS46" s="31"/>
      <c r="OHT46" s="31"/>
      <c r="OHU46" s="31"/>
      <c r="OHV46" s="31"/>
      <c r="OHW46" s="31"/>
      <c r="OHX46" s="31"/>
      <c r="OHY46" s="31"/>
      <c r="OHZ46" s="31"/>
      <c r="OIA46" s="31"/>
      <c r="OIB46" s="31"/>
      <c r="OIC46" s="31"/>
      <c r="OID46" s="31"/>
      <c r="OIE46" s="31"/>
      <c r="OIF46" s="31"/>
      <c r="OIG46" s="31"/>
      <c r="OIH46" s="31"/>
      <c r="OII46" s="31"/>
      <c r="OIJ46" s="31"/>
      <c r="OIK46" s="31"/>
      <c r="OIL46" s="31"/>
      <c r="OIM46" s="31"/>
      <c r="OIN46" s="31"/>
      <c r="OIO46" s="31"/>
      <c r="OIP46" s="31"/>
      <c r="OIQ46" s="31"/>
      <c r="OIR46" s="31"/>
      <c r="OIS46" s="31"/>
      <c r="OIT46" s="31"/>
      <c r="OIU46" s="31"/>
      <c r="OIV46" s="31"/>
      <c r="OIW46" s="31"/>
      <c r="OIX46" s="31"/>
      <c r="OIY46" s="31"/>
      <c r="OIZ46" s="31"/>
      <c r="OJA46" s="31"/>
      <c r="OJB46" s="31"/>
      <c r="OJC46" s="31"/>
      <c r="OJD46" s="31"/>
      <c r="OJE46" s="31"/>
      <c r="OJF46" s="31"/>
      <c r="OJG46" s="31"/>
      <c r="OJH46" s="31"/>
      <c r="OJI46" s="31"/>
      <c r="OJJ46" s="31"/>
      <c r="OJK46" s="31"/>
      <c r="OJL46" s="31"/>
      <c r="OJM46" s="31"/>
      <c r="OJN46" s="31"/>
      <c r="OJO46" s="31"/>
      <c r="OJP46" s="31"/>
      <c r="OJQ46" s="31"/>
      <c r="OJR46" s="31"/>
      <c r="OJS46" s="31"/>
      <c r="OJT46" s="31"/>
      <c r="OJU46" s="31"/>
      <c r="OJV46" s="31"/>
      <c r="OJW46" s="31"/>
      <c r="OJX46" s="31"/>
      <c r="OJY46" s="31"/>
      <c r="OJZ46" s="31"/>
      <c r="OKA46" s="31"/>
      <c r="OKB46" s="31"/>
      <c r="OKC46" s="31"/>
      <c r="OKD46" s="31"/>
      <c r="OKE46" s="31"/>
      <c r="OKF46" s="31"/>
      <c r="OKG46" s="31"/>
      <c r="OKH46" s="31"/>
      <c r="OKI46" s="31"/>
      <c r="OKJ46" s="31"/>
      <c r="OKK46" s="31"/>
      <c r="OKL46" s="31"/>
      <c r="OKM46" s="31"/>
      <c r="OKN46" s="31"/>
      <c r="OKO46" s="31"/>
      <c r="OKP46" s="31"/>
      <c r="OKQ46" s="31"/>
      <c r="OKR46" s="31"/>
      <c r="OKS46" s="31"/>
      <c r="OKT46" s="31"/>
      <c r="OKU46" s="31"/>
      <c r="OKV46" s="31"/>
      <c r="OKW46" s="31"/>
      <c r="OKX46" s="31"/>
      <c r="OKY46" s="31"/>
      <c r="OKZ46" s="31"/>
      <c r="OLA46" s="31"/>
      <c r="OLB46" s="31"/>
      <c r="OLC46" s="31"/>
      <c r="OLD46" s="31"/>
      <c r="OLE46" s="31"/>
      <c r="OLF46" s="31"/>
      <c r="OLG46" s="31"/>
      <c r="OLH46" s="31"/>
      <c r="OLI46" s="31"/>
      <c r="OLJ46" s="31"/>
      <c r="OLK46" s="31"/>
      <c r="OLL46" s="31"/>
      <c r="OLM46" s="31"/>
      <c r="OLN46" s="31"/>
      <c r="OLO46" s="31"/>
      <c r="OLP46" s="31"/>
      <c r="OLQ46" s="31"/>
      <c r="OLR46" s="31"/>
      <c r="OLS46" s="31"/>
      <c r="OLT46" s="31"/>
      <c r="OLU46" s="31"/>
      <c r="OLV46" s="31"/>
      <c r="OLW46" s="31"/>
      <c r="OLX46" s="31"/>
      <c r="OLY46" s="31"/>
      <c r="OLZ46" s="31"/>
      <c r="OMA46" s="31"/>
      <c r="OMB46" s="31"/>
      <c r="OMC46" s="31"/>
      <c r="OMD46" s="31"/>
      <c r="OME46" s="31"/>
      <c r="OMF46" s="31"/>
      <c r="OMG46" s="31"/>
      <c r="OMH46" s="31"/>
      <c r="OMI46" s="31"/>
      <c r="OMJ46" s="31"/>
      <c r="OMK46" s="31"/>
      <c r="OML46" s="31"/>
      <c r="OMM46" s="31"/>
      <c r="OMN46" s="31"/>
      <c r="OMO46" s="31"/>
      <c r="OMP46" s="31"/>
      <c r="OMQ46" s="31"/>
      <c r="OMR46" s="31"/>
      <c r="OMS46" s="31"/>
      <c r="OMT46" s="31"/>
      <c r="OMU46" s="31"/>
      <c r="OMV46" s="31"/>
      <c r="OMW46" s="31"/>
      <c r="OMX46" s="31"/>
      <c r="OMY46" s="31"/>
      <c r="OMZ46" s="31"/>
      <c r="ONA46" s="31"/>
      <c r="ONB46" s="31"/>
      <c r="ONC46" s="31"/>
      <c r="OND46" s="31"/>
      <c r="ONE46" s="31"/>
      <c r="ONF46" s="31"/>
      <c r="ONG46" s="31"/>
      <c r="ONH46" s="31"/>
      <c r="ONI46" s="31"/>
      <c r="ONJ46" s="31"/>
      <c r="ONK46" s="31"/>
      <c r="ONL46" s="31"/>
      <c r="ONM46" s="31"/>
      <c r="ONN46" s="31"/>
      <c r="ONO46" s="31"/>
      <c r="ONP46" s="31"/>
      <c r="ONQ46" s="31"/>
      <c r="ONR46" s="31"/>
      <c r="ONS46" s="31"/>
      <c r="ONT46" s="31"/>
      <c r="ONU46" s="31"/>
      <c r="ONV46" s="31"/>
      <c r="ONW46" s="31"/>
      <c r="ONX46" s="31"/>
      <c r="ONY46" s="31"/>
      <c r="ONZ46" s="31"/>
      <c r="OOA46" s="31"/>
      <c r="OOB46" s="31"/>
      <c r="OOC46" s="31"/>
      <c r="OOD46" s="31"/>
      <c r="OOE46" s="31"/>
      <c r="OOF46" s="31"/>
      <c r="OOG46" s="31"/>
      <c r="OOH46" s="31"/>
      <c r="OOI46" s="31"/>
      <c r="OOJ46" s="31"/>
      <c r="OOK46" s="31"/>
      <c r="OOL46" s="31"/>
      <c r="OOM46" s="31"/>
      <c r="OON46" s="31"/>
      <c r="OOO46" s="31"/>
      <c r="OOP46" s="31"/>
      <c r="OOQ46" s="31"/>
      <c r="OOR46" s="31"/>
      <c r="OOS46" s="31"/>
      <c r="OOT46" s="31"/>
      <c r="OOU46" s="31"/>
      <c r="OOV46" s="31"/>
      <c r="OOW46" s="31"/>
      <c r="OOX46" s="31"/>
      <c r="OOY46" s="31"/>
      <c r="OOZ46" s="31"/>
      <c r="OPA46" s="31"/>
      <c r="OPB46" s="31"/>
      <c r="OPC46" s="31"/>
      <c r="OPD46" s="31"/>
      <c r="OPE46" s="31"/>
      <c r="OPF46" s="31"/>
      <c r="OPG46" s="31"/>
      <c r="OPH46" s="31"/>
      <c r="OPI46" s="31"/>
      <c r="OPJ46" s="31"/>
      <c r="OPK46" s="31"/>
      <c r="OPL46" s="31"/>
      <c r="OPM46" s="31"/>
      <c r="OPN46" s="31"/>
      <c r="OPO46" s="31"/>
      <c r="OPP46" s="31"/>
      <c r="OPQ46" s="31"/>
      <c r="OPR46" s="31"/>
      <c r="OPS46" s="31"/>
      <c r="OPT46" s="31"/>
      <c r="OPU46" s="31"/>
      <c r="OPV46" s="31"/>
      <c r="OPW46" s="31"/>
      <c r="OPX46" s="31"/>
      <c r="OPY46" s="31"/>
      <c r="OPZ46" s="31"/>
      <c r="OQA46" s="31"/>
      <c r="OQB46" s="31"/>
      <c r="OQC46" s="31"/>
      <c r="OQD46" s="31"/>
      <c r="OQE46" s="31"/>
      <c r="OQF46" s="31"/>
      <c r="OQG46" s="31"/>
      <c r="OQH46" s="31"/>
      <c r="OQI46" s="31"/>
      <c r="OQJ46" s="31"/>
      <c r="OQK46" s="31"/>
      <c r="OQL46" s="31"/>
      <c r="OQM46" s="31"/>
      <c r="OQN46" s="31"/>
      <c r="OQO46" s="31"/>
      <c r="OQP46" s="31"/>
      <c r="OQQ46" s="31"/>
      <c r="OQR46" s="31"/>
      <c r="OQS46" s="31"/>
      <c r="OQT46" s="31"/>
      <c r="OQU46" s="31"/>
      <c r="OQV46" s="31"/>
      <c r="OQW46" s="31"/>
      <c r="OQX46" s="31"/>
      <c r="OQY46" s="31"/>
      <c r="OQZ46" s="31"/>
      <c r="ORA46" s="31"/>
      <c r="ORB46" s="31"/>
      <c r="ORC46" s="31"/>
      <c r="ORD46" s="31"/>
      <c r="ORE46" s="31"/>
      <c r="ORF46" s="31"/>
      <c r="ORG46" s="31"/>
      <c r="ORH46" s="31"/>
      <c r="ORI46" s="31"/>
      <c r="ORJ46" s="31"/>
      <c r="ORK46" s="31"/>
      <c r="ORL46" s="31"/>
      <c r="ORM46" s="31"/>
      <c r="ORN46" s="31"/>
      <c r="ORO46" s="31"/>
      <c r="ORP46" s="31"/>
      <c r="ORQ46" s="31"/>
      <c r="ORR46" s="31"/>
      <c r="ORS46" s="31"/>
      <c r="ORT46" s="31"/>
      <c r="ORU46" s="31"/>
      <c r="ORV46" s="31"/>
      <c r="ORW46" s="31"/>
      <c r="ORX46" s="31"/>
      <c r="ORY46" s="31"/>
      <c r="ORZ46" s="31"/>
      <c r="OSA46" s="31"/>
      <c r="OSB46" s="31"/>
      <c r="OSC46" s="31"/>
      <c r="OSD46" s="31"/>
      <c r="OSE46" s="31"/>
      <c r="OSF46" s="31"/>
      <c r="OSG46" s="31"/>
      <c r="OSH46" s="31"/>
      <c r="OSI46" s="31"/>
      <c r="OSJ46" s="31"/>
      <c r="OSK46" s="31"/>
      <c r="OSL46" s="31"/>
      <c r="OSM46" s="31"/>
      <c r="OSN46" s="31"/>
      <c r="OSO46" s="31"/>
      <c r="OSP46" s="31"/>
      <c r="OSQ46" s="31"/>
      <c r="OSR46" s="31"/>
      <c r="OSS46" s="31"/>
      <c r="OST46" s="31"/>
      <c r="OSU46" s="31"/>
      <c r="OSV46" s="31"/>
      <c r="OSW46" s="31"/>
      <c r="OSX46" s="31"/>
      <c r="OSY46" s="31"/>
      <c r="OSZ46" s="31"/>
      <c r="OTA46" s="31"/>
      <c r="OTB46" s="31"/>
      <c r="OTC46" s="31"/>
      <c r="OTD46" s="31"/>
      <c r="OTE46" s="31"/>
      <c r="OTF46" s="31"/>
      <c r="OTG46" s="31"/>
      <c r="OTH46" s="31"/>
      <c r="OTI46" s="31"/>
      <c r="OTJ46" s="31"/>
      <c r="OTK46" s="31"/>
      <c r="OTL46" s="31"/>
      <c r="OTM46" s="31"/>
      <c r="OTN46" s="31"/>
      <c r="OTO46" s="31"/>
      <c r="OTP46" s="31"/>
      <c r="OTQ46" s="31"/>
      <c r="OTR46" s="31"/>
      <c r="OTS46" s="31"/>
      <c r="OTT46" s="31"/>
      <c r="OTU46" s="31"/>
      <c r="OTV46" s="31"/>
      <c r="OTW46" s="31"/>
      <c r="OTX46" s="31"/>
      <c r="OTY46" s="31"/>
      <c r="OTZ46" s="31"/>
      <c r="OUA46" s="31"/>
      <c r="OUB46" s="31"/>
      <c r="OUC46" s="31"/>
      <c r="OUD46" s="31"/>
      <c r="OUE46" s="31"/>
      <c r="OUF46" s="31"/>
      <c r="OUG46" s="31"/>
      <c r="OUH46" s="31"/>
      <c r="OUI46" s="31"/>
      <c r="OUJ46" s="31"/>
      <c r="OUK46" s="31"/>
      <c r="OUL46" s="31"/>
      <c r="OUM46" s="31"/>
      <c r="OUN46" s="31"/>
      <c r="OUO46" s="31"/>
      <c r="OUP46" s="31"/>
      <c r="OUQ46" s="31"/>
      <c r="OUR46" s="31"/>
      <c r="OUS46" s="31"/>
      <c r="OUT46" s="31"/>
      <c r="OUU46" s="31"/>
      <c r="OUV46" s="31"/>
      <c r="OUW46" s="31"/>
      <c r="OUX46" s="31"/>
      <c r="OUY46" s="31"/>
      <c r="OUZ46" s="31"/>
      <c r="OVA46" s="31"/>
      <c r="OVB46" s="31"/>
      <c r="OVC46" s="31"/>
      <c r="OVD46" s="31"/>
      <c r="OVE46" s="31"/>
      <c r="OVF46" s="31"/>
      <c r="OVG46" s="31"/>
      <c r="OVH46" s="31"/>
      <c r="OVI46" s="31"/>
      <c r="OVJ46" s="31"/>
      <c r="OVK46" s="31"/>
      <c r="OVL46" s="31"/>
      <c r="OVM46" s="31"/>
      <c r="OVN46" s="31"/>
      <c r="OVO46" s="31"/>
      <c r="OVP46" s="31"/>
      <c r="OVQ46" s="31"/>
      <c r="OVR46" s="31"/>
      <c r="OVS46" s="31"/>
      <c r="OVT46" s="31"/>
      <c r="OVU46" s="31"/>
      <c r="OVV46" s="31"/>
      <c r="OVW46" s="31"/>
      <c r="OVX46" s="31"/>
      <c r="OVY46" s="31"/>
      <c r="OVZ46" s="31"/>
      <c r="OWA46" s="31"/>
      <c r="OWB46" s="31"/>
      <c r="OWC46" s="31"/>
      <c r="OWD46" s="31"/>
      <c r="OWE46" s="31"/>
      <c r="OWF46" s="31"/>
      <c r="OWG46" s="31"/>
      <c r="OWH46" s="31"/>
      <c r="OWI46" s="31"/>
      <c r="OWJ46" s="31"/>
      <c r="OWK46" s="31"/>
      <c r="OWL46" s="31"/>
      <c r="OWM46" s="31"/>
      <c r="OWN46" s="31"/>
      <c r="OWO46" s="31"/>
      <c r="OWP46" s="31"/>
      <c r="OWQ46" s="31"/>
      <c r="OWR46" s="31"/>
      <c r="OWS46" s="31"/>
      <c r="OWT46" s="31"/>
      <c r="OWU46" s="31"/>
      <c r="OWV46" s="31"/>
      <c r="OWW46" s="31"/>
      <c r="OWX46" s="31"/>
      <c r="OWY46" s="31"/>
      <c r="OWZ46" s="31"/>
      <c r="OXA46" s="31"/>
      <c r="OXB46" s="31"/>
      <c r="OXC46" s="31"/>
      <c r="OXD46" s="31"/>
      <c r="OXE46" s="31"/>
      <c r="OXF46" s="31"/>
      <c r="OXG46" s="31"/>
      <c r="OXH46" s="31"/>
      <c r="OXI46" s="31"/>
      <c r="OXJ46" s="31"/>
      <c r="OXK46" s="31"/>
      <c r="OXL46" s="31"/>
      <c r="OXM46" s="31"/>
      <c r="OXN46" s="31"/>
      <c r="OXO46" s="31"/>
      <c r="OXP46" s="31"/>
      <c r="OXQ46" s="31"/>
      <c r="OXR46" s="31"/>
      <c r="OXS46" s="31"/>
      <c r="OXT46" s="31"/>
      <c r="OXU46" s="31"/>
      <c r="OXV46" s="31"/>
      <c r="OXW46" s="31"/>
      <c r="OXX46" s="31"/>
      <c r="OXY46" s="31"/>
      <c r="OXZ46" s="31"/>
      <c r="OYA46" s="31"/>
      <c r="OYB46" s="31"/>
      <c r="OYC46" s="31"/>
      <c r="OYD46" s="31"/>
      <c r="OYE46" s="31"/>
      <c r="OYF46" s="31"/>
      <c r="OYG46" s="31"/>
      <c r="OYH46" s="31"/>
      <c r="OYI46" s="31"/>
      <c r="OYJ46" s="31"/>
      <c r="OYK46" s="31"/>
      <c r="OYL46" s="31"/>
      <c r="OYM46" s="31"/>
      <c r="OYN46" s="31"/>
      <c r="OYO46" s="31"/>
      <c r="OYP46" s="31"/>
      <c r="OYQ46" s="31"/>
      <c r="OYR46" s="31"/>
      <c r="OYS46" s="31"/>
      <c r="OYT46" s="31"/>
      <c r="OYU46" s="31"/>
      <c r="OYV46" s="31"/>
      <c r="OYW46" s="31"/>
      <c r="OYX46" s="31"/>
      <c r="OYY46" s="31"/>
      <c r="OYZ46" s="31"/>
      <c r="OZA46" s="31"/>
      <c r="OZB46" s="31"/>
      <c r="OZC46" s="31"/>
      <c r="OZD46" s="31"/>
      <c r="OZE46" s="31"/>
      <c r="OZF46" s="31"/>
      <c r="OZG46" s="31"/>
      <c r="OZH46" s="31"/>
      <c r="OZI46" s="31"/>
      <c r="OZJ46" s="31"/>
      <c r="OZK46" s="31"/>
      <c r="OZL46" s="31"/>
      <c r="OZM46" s="31"/>
      <c r="OZN46" s="31"/>
      <c r="OZO46" s="31"/>
      <c r="OZP46" s="31"/>
      <c r="OZQ46" s="31"/>
      <c r="OZR46" s="31"/>
      <c r="OZS46" s="31"/>
      <c r="OZT46" s="31"/>
      <c r="OZU46" s="31"/>
      <c r="OZV46" s="31"/>
      <c r="OZW46" s="31"/>
      <c r="OZX46" s="31"/>
      <c r="OZY46" s="31"/>
      <c r="OZZ46" s="31"/>
      <c r="PAA46" s="31"/>
      <c r="PAB46" s="31"/>
      <c r="PAC46" s="31"/>
      <c r="PAD46" s="31"/>
      <c r="PAE46" s="31"/>
      <c r="PAF46" s="31"/>
      <c r="PAG46" s="31"/>
      <c r="PAH46" s="31"/>
      <c r="PAI46" s="31"/>
      <c r="PAJ46" s="31"/>
      <c r="PAK46" s="31"/>
      <c r="PAL46" s="31"/>
      <c r="PAM46" s="31"/>
      <c r="PAN46" s="31"/>
      <c r="PAO46" s="31"/>
      <c r="PAP46" s="31"/>
      <c r="PAQ46" s="31"/>
      <c r="PAR46" s="31"/>
      <c r="PAS46" s="31"/>
      <c r="PAT46" s="31"/>
      <c r="PAU46" s="31"/>
      <c r="PAV46" s="31"/>
      <c r="PAW46" s="31"/>
      <c r="PAX46" s="31"/>
      <c r="PAY46" s="31"/>
      <c r="PAZ46" s="31"/>
      <c r="PBA46" s="31"/>
      <c r="PBB46" s="31"/>
      <c r="PBC46" s="31"/>
      <c r="PBD46" s="31"/>
      <c r="PBE46" s="31"/>
      <c r="PBF46" s="31"/>
      <c r="PBG46" s="31"/>
      <c r="PBH46" s="31"/>
      <c r="PBI46" s="31"/>
      <c r="PBJ46" s="31"/>
      <c r="PBK46" s="31"/>
      <c r="PBL46" s="31"/>
      <c r="PBM46" s="31"/>
      <c r="PBN46" s="31"/>
      <c r="PBO46" s="31"/>
      <c r="PBP46" s="31"/>
      <c r="PBQ46" s="31"/>
      <c r="PBR46" s="31"/>
      <c r="PBS46" s="31"/>
      <c r="PBT46" s="31"/>
      <c r="PBU46" s="31"/>
      <c r="PBV46" s="31"/>
      <c r="PBW46" s="31"/>
      <c r="PBX46" s="31"/>
      <c r="PBY46" s="31"/>
      <c r="PBZ46" s="31"/>
      <c r="PCA46" s="31"/>
      <c r="PCB46" s="31"/>
      <c r="PCC46" s="31"/>
      <c r="PCD46" s="31"/>
      <c r="PCE46" s="31"/>
      <c r="PCF46" s="31"/>
      <c r="PCG46" s="31"/>
      <c r="PCH46" s="31"/>
      <c r="PCI46" s="31"/>
      <c r="PCJ46" s="31"/>
      <c r="PCK46" s="31"/>
      <c r="PCL46" s="31"/>
      <c r="PCM46" s="31"/>
      <c r="PCN46" s="31"/>
      <c r="PCO46" s="31"/>
      <c r="PCP46" s="31"/>
      <c r="PCQ46" s="31"/>
      <c r="PCR46" s="31"/>
      <c r="PCS46" s="31"/>
      <c r="PCT46" s="31"/>
      <c r="PCU46" s="31"/>
      <c r="PCV46" s="31"/>
      <c r="PCW46" s="31"/>
      <c r="PCX46" s="31"/>
      <c r="PCY46" s="31"/>
      <c r="PCZ46" s="31"/>
      <c r="PDA46" s="31"/>
      <c r="PDB46" s="31"/>
      <c r="PDC46" s="31"/>
      <c r="PDD46" s="31"/>
      <c r="PDE46" s="31"/>
      <c r="PDF46" s="31"/>
      <c r="PDG46" s="31"/>
      <c r="PDH46" s="31"/>
      <c r="PDI46" s="31"/>
      <c r="PDJ46" s="31"/>
      <c r="PDK46" s="31"/>
      <c r="PDL46" s="31"/>
      <c r="PDM46" s="31"/>
      <c r="PDN46" s="31"/>
      <c r="PDO46" s="31"/>
      <c r="PDP46" s="31"/>
      <c r="PDQ46" s="31"/>
      <c r="PDR46" s="31"/>
      <c r="PDS46" s="31"/>
      <c r="PDT46" s="31"/>
      <c r="PDU46" s="31"/>
      <c r="PDV46" s="31"/>
      <c r="PDW46" s="31"/>
      <c r="PDX46" s="31"/>
      <c r="PDY46" s="31"/>
      <c r="PDZ46" s="31"/>
      <c r="PEA46" s="31"/>
      <c r="PEB46" s="31"/>
      <c r="PEC46" s="31"/>
      <c r="PED46" s="31"/>
      <c r="PEE46" s="31"/>
      <c r="PEF46" s="31"/>
      <c r="PEG46" s="31"/>
      <c r="PEH46" s="31"/>
      <c r="PEI46" s="31"/>
      <c r="PEJ46" s="31"/>
      <c r="PEK46" s="31"/>
      <c r="PEL46" s="31"/>
      <c r="PEM46" s="31"/>
      <c r="PEN46" s="31"/>
      <c r="PEO46" s="31"/>
      <c r="PEP46" s="31"/>
      <c r="PEQ46" s="31"/>
      <c r="PER46" s="31"/>
      <c r="PES46" s="31"/>
      <c r="PET46" s="31"/>
      <c r="PEU46" s="31"/>
      <c r="PEV46" s="31"/>
      <c r="PEW46" s="31"/>
      <c r="PEX46" s="31"/>
      <c r="PEY46" s="31"/>
      <c r="PEZ46" s="31"/>
      <c r="PFA46" s="31"/>
      <c r="PFB46" s="31"/>
      <c r="PFC46" s="31"/>
      <c r="PFD46" s="31"/>
      <c r="PFE46" s="31"/>
      <c r="PFF46" s="31"/>
      <c r="PFG46" s="31"/>
      <c r="PFH46" s="31"/>
      <c r="PFI46" s="31"/>
      <c r="PFJ46" s="31"/>
      <c r="PFK46" s="31"/>
      <c r="PFL46" s="31"/>
      <c r="PFM46" s="31"/>
      <c r="PFN46" s="31"/>
      <c r="PFO46" s="31"/>
      <c r="PFP46" s="31"/>
      <c r="PFQ46" s="31"/>
      <c r="PFR46" s="31"/>
      <c r="PFS46" s="31"/>
      <c r="PFT46" s="31"/>
      <c r="PFU46" s="31"/>
      <c r="PFV46" s="31"/>
      <c r="PFW46" s="31"/>
      <c r="PFX46" s="31"/>
      <c r="PFY46" s="31"/>
      <c r="PFZ46" s="31"/>
      <c r="PGA46" s="31"/>
      <c r="PGB46" s="31"/>
      <c r="PGC46" s="31"/>
      <c r="PGD46" s="31"/>
      <c r="PGE46" s="31"/>
      <c r="PGF46" s="31"/>
      <c r="PGG46" s="31"/>
      <c r="PGH46" s="31"/>
      <c r="PGI46" s="31"/>
      <c r="PGJ46" s="31"/>
      <c r="PGK46" s="31"/>
      <c r="PGL46" s="31"/>
      <c r="PGM46" s="31"/>
      <c r="PGN46" s="31"/>
      <c r="PGO46" s="31"/>
      <c r="PGP46" s="31"/>
      <c r="PGQ46" s="31"/>
      <c r="PGR46" s="31"/>
      <c r="PGS46" s="31"/>
      <c r="PGT46" s="31"/>
      <c r="PGU46" s="31"/>
      <c r="PGV46" s="31"/>
      <c r="PGW46" s="31"/>
      <c r="PGX46" s="31"/>
      <c r="PGY46" s="31"/>
      <c r="PGZ46" s="31"/>
      <c r="PHA46" s="31"/>
      <c r="PHB46" s="31"/>
      <c r="PHC46" s="31"/>
      <c r="PHD46" s="31"/>
      <c r="PHE46" s="31"/>
      <c r="PHF46" s="31"/>
      <c r="PHG46" s="31"/>
      <c r="PHH46" s="31"/>
      <c r="PHI46" s="31"/>
      <c r="PHJ46" s="31"/>
      <c r="PHK46" s="31"/>
      <c r="PHL46" s="31"/>
      <c r="PHM46" s="31"/>
      <c r="PHN46" s="31"/>
      <c r="PHO46" s="31"/>
      <c r="PHP46" s="31"/>
      <c r="PHQ46" s="31"/>
      <c r="PHR46" s="31"/>
      <c r="PHS46" s="31"/>
      <c r="PHT46" s="31"/>
      <c r="PHU46" s="31"/>
      <c r="PHV46" s="31"/>
      <c r="PHW46" s="31"/>
      <c r="PHX46" s="31"/>
      <c r="PHY46" s="31"/>
      <c r="PHZ46" s="31"/>
      <c r="PIA46" s="31"/>
      <c r="PIB46" s="31"/>
      <c r="PIC46" s="31"/>
      <c r="PID46" s="31"/>
      <c r="PIE46" s="31"/>
      <c r="PIF46" s="31"/>
      <c r="PIG46" s="31"/>
      <c r="PIH46" s="31"/>
      <c r="PII46" s="31"/>
      <c r="PIJ46" s="31"/>
      <c r="PIK46" s="31"/>
      <c r="PIL46" s="31"/>
      <c r="PIM46" s="31"/>
      <c r="PIN46" s="31"/>
      <c r="PIO46" s="31"/>
      <c r="PIP46" s="31"/>
      <c r="PIQ46" s="31"/>
      <c r="PIR46" s="31"/>
      <c r="PIS46" s="31"/>
      <c r="PIT46" s="31"/>
      <c r="PIU46" s="31"/>
      <c r="PIV46" s="31"/>
      <c r="PIW46" s="31"/>
      <c r="PIX46" s="31"/>
      <c r="PIY46" s="31"/>
      <c r="PIZ46" s="31"/>
      <c r="PJA46" s="31"/>
      <c r="PJB46" s="31"/>
      <c r="PJC46" s="31"/>
      <c r="PJD46" s="31"/>
      <c r="PJE46" s="31"/>
      <c r="PJF46" s="31"/>
      <c r="PJG46" s="31"/>
      <c r="PJH46" s="31"/>
      <c r="PJI46" s="31"/>
      <c r="PJJ46" s="31"/>
      <c r="PJK46" s="31"/>
      <c r="PJL46" s="31"/>
      <c r="PJM46" s="31"/>
      <c r="PJN46" s="31"/>
      <c r="PJO46" s="31"/>
      <c r="PJP46" s="31"/>
      <c r="PJQ46" s="31"/>
      <c r="PJR46" s="31"/>
      <c r="PJS46" s="31"/>
      <c r="PJT46" s="31"/>
      <c r="PJU46" s="31"/>
      <c r="PJV46" s="31"/>
      <c r="PJW46" s="31"/>
      <c r="PJX46" s="31"/>
      <c r="PJY46" s="31"/>
      <c r="PJZ46" s="31"/>
      <c r="PKA46" s="31"/>
      <c r="PKB46" s="31"/>
      <c r="PKC46" s="31"/>
      <c r="PKD46" s="31"/>
      <c r="PKE46" s="31"/>
      <c r="PKF46" s="31"/>
      <c r="PKG46" s="31"/>
      <c r="PKH46" s="31"/>
      <c r="PKI46" s="31"/>
      <c r="PKJ46" s="31"/>
      <c r="PKK46" s="31"/>
      <c r="PKL46" s="31"/>
      <c r="PKM46" s="31"/>
      <c r="PKN46" s="31"/>
      <c r="PKO46" s="31"/>
      <c r="PKP46" s="31"/>
      <c r="PKQ46" s="31"/>
      <c r="PKR46" s="31"/>
      <c r="PKS46" s="31"/>
      <c r="PKT46" s="31"/>
      <c r="PKU46" s="31"/>
      <c r="PKV46" s="31"/>
      <c r="PKW46" s="31"/>
      <c r="PKX46" s="31"/>
      <c r="PKY46" s="31"/>
      <c r="PKZ46" s="31"/>
      <c r="PLA46" s="31"/>
      <c r="PLB46" s="31"/>
      <c r="PLC46" s="31"/>
      <c r="PLD46" s="31"/>
      <c r="PLE46" s="31"/>
      <c r="PLF46" s="31"/>
      <c r="PLG46" s="31"/>
      <c r="PLH46" s="31"/>
      <c r="PLI46" s="31"/>
      <c r="PLJ46" s="31"/>
      <c r="PLK46" s="31"/>
      <c r="PLL46" s="31"/>
      <c r="PLM46" s="31"/>
      <c r="PLN46" s="31"/>
      <c r="PLO46" s="31"/>
      <c r="PLP46" s="31"/>
      <c r="PLQ46" s="31"/>
      <c r="PLR46" s="31"/>
      <c r="PLS46" s="31"/>
      <c r="PLT46" s="31"/>
      <c r="PLU46" s="31"/>
      <c r="PLV46" s="31"/>
      <c r="PLW46" s="31"/>
      <c r="PLX46" s="31"/>
      <c r="PLY46" s="31"/>
      <c r="PLZ46" s="31"/>
      <c r="PMA46" s="31"/>
      <c r="PMB46" s="31"/>
      <c r="PMC46" s="31"/>
      <c r="PMD46" s="31"/>
      <c r="PME46" s="31"/>
      <c r="PMF46" s="31"/>
      <c r="PMG46" s="31"/>
      <c r="PMH46" s="31"/>
      <c r="PMI46" s="31"/>
      <c r="PMJ46" s="31"/>
      <c r="PMK46" s="31"/>
      <c r="PML46" s="31"/>
      <c r="PMM46" s="31"/>
      <c r="PMN46" s="31"/>
      <c r="PMO46" s="31"/>
      <c r="PMP46" s="31"/>
      <c r="PMQ46" s="31"/>
      <c r="PMR46" s="31"/>
      <c r="PMS46" s="31"/>
      <c r="PMT46" s="31"/>
      <c r="PMU46" s="31"/>
      <c r="PMV46" s="31"/>
      <c r="PMW46" s="31"/>
      <c r="PMX46" s="31"/>
      <c r="PMY46" s="31"/>
      <c r="PMZ46" s="31"/>
      <c r="PNA46" s="31"/>
      <c r="PNB46" s="31"/>
      <c r="PNC46" s="31"/>
      <c r="PND46" s="31"/>
      <c r="PNE46" s="31"/>
      <c r="PNF46" s="31"/>
      <c r="PNG46" s="31"/>
      <c r="PNH46" s="31"/>
      <c r="PNI46" s="31"/>
      <c r="PNJ46" s="31"/>
      <c r="PNK46" s="31"/>
      <c r="PNL46" s="31"/>
      <c r="PNM46" s="31"/>
      <c r="PNN46" s="31"/>
      <c r="PNO46" s="31"/>
      <c r="PNP46" s="31"/>
      <c r="PNQ46" s="31"/>
      <c r="PNR46" s="31"/>
      <c r="PNS46" s="31"/>
      <c r="PNT46" s="31"/>
      <c r="PNU46" s="31"/>
      <c r="PNV46" s="31"/>
      <c r="PNW46" s="31"/>
      <c r="PNX46" s="31"/>
      <c r="PNY46" s="31"/>
      <c r="PNZ46" s="31"/>
      <c r="POA46" s="31"/>
      <c r="POB46" s="31"/>
      <c r="POC46" s="31"/>
      <c r="POD46" s="31"/>
      <c r="POE46" s="31"/>
      <c r="POF46" s="31"/>
      <c r="POG46" s="31"/>
      <c r="POH46" s="31"/>
      <c r="POI46" s="31"/>
      <c r="POJ46" s="31"/>
      <c r="POK46" s="31"/>
      <c r="POL46" s="31"/>
      <c r="POM46" s="31"/>
      <c r="PON46" s="31"/>
      <c r="POO46" s="31"/>
      <c r="POP46" s="31"/>
      <c r="POQ46" s="31"/>
      <c r="POR46" s="31"/>
      <c r="POS46" s="31"/>
      <c r="POT46" s="31"/>
      <c r="POU46" s="31"/>
      <c r="POV46" s="31"/>
      <c r="POW46" s="31"/>
      <c r="POX46" s="31"/>
      <c r="POY46" s="31"/>
      <c r="POZ46" s="31"/>
      <c r="PPA46" s="31"/>
      <c r="PPB46" s="31"/>
      <c r="PPC46" s="31"/>
      <c r="PPD46" s="31"/>
      <c r="PPE46" s="31"/>
      <c r="PPF46" s="31"/>
      <c r="PPG46" s="31"/>
      <c r="PPH46" s="31"/>
      <c r="PPI46" s="31"/>
      <c r="PPJ46" s="31"/>
      <c r="PPK46" s="31"/>
      <c r="PPL46" s="31"/>
      <c r="PPM46" s="31"/>
      <c r="PPN46" s="31"/>
      <c r="PPO46" s="31"/>
      <c r="PPP46" s="31"/>
      <c r="PPQ46" s="31"/>
      <c r="PPR46" s="31"/>
      <c r="PPS46" s="31"/>
      <c r="PPT46" s="31"/>
      <c r="PPU46" s="31"/>
      <c r="PPV46" s="31"/>
      <c r="PPW46" s="31"/>
      <c r="PPX46" s="31"/>
      <c r="PPY46" s="31"/>
      <c r="PPZ46" s="31"/>
      <c r="PQA46" s="31"/>
      <c r="PQB46" s="31"/>
      <c r="PQC46" s="31"/>
      <c r="PQD46" s="31"/>
      <c r="PQE46" s="31"/>
      <c r="PQF46" s="31"/>
      <c r="PQG46" s="31"/>
      <c r="PQH46" s="31"/>
      <c r="PQI46" s="31"/>
      <c r="PQJ46" s="31"/>
      <c r="PQK46" s="31"/>
      <c r="PQL46" s="31"/>
      <c r="PQM46" s="31"/>
      <c r="PQN46" s="31"/>
      <c r="PQO46" s="31"/>
      <c r="PQP46" s="31"/>
      <c r="PQQ46" s="31"/>
      <c r="PQR46" s="31"/>
      <c r="PQS46" s="31"/>
      <c r="PQT46" s="31"/>
      <c r="PQU46" s="31"/>
      <c r="PQV46" s="31"/>
      <c r="PQW46" s="31"/>
      <c r="PQX46" s="31"/>
      <c r="PQY46" s="31"/>
      <c r="PQZ46" s="31"/>
      <c r="PRA46" s="31"/>
      <c r="PRB46" s="31"/>
      <c r="PRC46" s="31"/>
      <c r="PRD46" s="31"/>
      <c r="PRE46" s="31"/>
      <c r="PRF46" s="31"/>
      <c r="PRG46" s="31"/>
      <c r="PRH46" s="31"/>
      <c r="PRI46" s="31"/>
      <c r="PRJ46" s="31"/>
      <c r="PRK46" s="31"/>
      <c r="PRL46" s="31"/>
      <c r="PRM46" s="31"/>
      <c r="PRN46" s="31"/>
      <c r="PRO46" s="31"/>
      <c r="PRP46" s="31"/>
      <c r="PRQ46" s="31"/>
      <c r="PRR46" s="31"/>
      <c r="PRS46" s="31"/>
      <c r="PRT46" s="31"/>
      <c r="PRU46" s="31"/>
      <c r="PRV46" s="31"/>
      <c r="PRW46" s="31"/>
      <c r="PRX46" s="31"/>
      <c r="PRY46" s="31"/>
      <c r="PRZ46" s="31"/>
      <c r="PSA46" s="31"/>
      <c r="PSB46" s="31"/>
      <c r="PSC46" s="31"/>
      <c r="PSD46" s="31"/>
      <c r="PSE46" s="31"/>
      <c r="PSF46" s="31"/>
      <c r="PSG46" s="31"/>
      <c r="PSH46" s="31"/>
      <c r="PSI46" s="31"/>
      <c r="PSJ46" s="31"/>
      <c r="PSK46" s="31"/>
      <c r="PSL46" s="31"/>
      <c r="PSM46" s="31"/>
      <c r="PSN46" s="31"/>
      <c r="PSO46" s="31"/>
      <c r="PSP46" s="31"/>
      <c r="PSQ46" s="31"/>
      <c r="PSR46" s="31"/>
      <c r="PSS46" s="31"/>
      <c r="PST46" s="31"/>
      <c r="PSU46" s="31"/>
      <c r="PSV46" s="31"/>
      <c r="PSW46" s="31"/>
      <c r="PSX46" s="31"/>
      <c r="PSY46" s="31"/>
      <c r="PSZ46" s="31"/>
      <c r="PTA46" s="31"/>
      <c r="PTB46" s="31"/>
      <c r="PTC46" s="31"/>
      <c r="PTD46" s="31"/>
      <c r="PTE46" s="31"/>
      <c r="PTF46" s="31"/>
      <c r="PTG46" s="31"/>
      <c r="PTH46" s="31"/>
      <c r="PTI46" s="31"/>
      <c r="PTJ46" s="31"/>
      <c r="PTK46" s="31"/>
      <c r="PTL46" s="31"/>
      <c r="PTM46" s="31"/>
      <c r="PTN46" s="31"/>
      <c r="PTO46" s="31"/>
      <c r="PTP46" s="31"/>
      <c r="PTQ46" s="31"/>
      <c r="PTR46" s="31"/>
      <c r="PTS46" s="31"/>
      <c r="PTT46" s="31"/>
      <c r="PTU46" s="31"/>
      <c r="PTV46" s="31"/>
      <c r="PTW46" s="31"/>
      <c r="PTX46" s="31"/>
      <c r="PTY46" s="31"/>
      <c r="PTZ46" s="31"/>
      <c r="PUA46" s="31"/>
      <c r="PUB46" s="31"/>
      <c r="PUC46" s="31"/>
      <c r="PUD46" s="31"/>
      <c r="PUE46" s="31"/>
      <c r="PUF46" s="31"/>
      <c r="PUG46" s="31"/>
      <c r="PUH46" s="31"/>
      <c r="PUI46" s="31"/>
      <c r="PUJ46" s="31"/>
      <c r="PUK46" s="31"/>
      <c r="PUL46" s="31"/>
      <c r="PUM46" s="31"/>
      <c r="PUN46" s="31"/>
      <c r="PUO46" s="31"/>
      <c r="PUP46" s="31"/>
      <c r="PUQ46" s="31"/>
      <c r="PUR46" s="31"/>
      <c r="PUS46" s="31"/>
      <c r="PUT46" s="31"/>
      <c r="PUU46" s="31"/>
      <c r="PUV46" s="31"/>
      <c r="PUW46" s="31"/>
      <c r="PUX46" s="31"/>
      <c r="PUY46" s="31"/>
      <c r="PUZ46" s="31"/>
      <c r="PVA46" s="31"/>
      <c r="PVB46" s="31"/>
      <c r="PVC46" s="31"/>
      <c r="PVD46" s="31"/>
      <c r="PVE46" s="31"/>
      <c r="PVF46" s="31"/>
      <c r="PVG46" s="31"/>
      <c r="PVH46" s="31"/>
      <c r="PVI46" s="31"/>
      <c r="PVJ46" s="31"/>
      <c r="PVK46" s="31"/>
      <c r="PVL46" s="31"/>
      <c r="PVM46" s="31"/>
      <c r="PVN46" s="31"/>
      <c r="PVO46" s="31"/>
      <c r="PVP46" s="31"/>
      <c r="PVQ46" s="31"/>
      <c r="PVR46" s="31"/>
      <c r="PVS46" s="31"/>
      <c r="PVT46" s="31"/>
      <c r="PVU46" s="31"/>
      <c r="PVV46" s="31"/>
      <c r="PVW46" s="31"/>
      <c r="PVX46" s="31"/>
      <c r="PVY46" s="31"/>
      <c r="PVZ46" s="31"/>
      <c r="PWA46" s="31"/>
      <c r="PWB46" s="31"/>
      <c r="PWC46" s="31"/>
      <c r="PWD46" s="31"/>
      <c r="PWE46" s="31"/>
      <c r="PWF46" s="31"/>
      <c r="PWG46" s="31"/>
      <c r="PWH46" s="31"/>
      <c r="PWI46" s="31"/>
      <c r="PWJ46" s="31"/>
      <c r="PWK46" s="31"/>
      <c r="PWL46" s="31"/>
      <c r="PWM46" s="31"/>
      <c r="PWN46" s="31"/>
      <c r="PWO46" s="31"/>
      <c r="PWP46" s="31"/>
      <c r="PWQ46" s="31"/>
      <c r="PWR46" s="31"/>
      <c r="PWS46" s="31"/>
      <c r="PWT46" s="31"/>
      <c r="PWU46" s="31"/>
      <c r="PWV46" s="31"/>
      <c r="PWW46" s="31"/>
      <c r="PWX46" s="31"/>
      <c r="PWY46" s="31"/>
      <c r="PWZ46" s="31"/>
      <c r="PXA46" s="31"/>
      <c r="PXB46" s="31"/>
      <c r="PXC46" s="31"/>
      <c r="PXD46" s="31"/>
      <c r="PXE46" s="31"/>
      <c r="PXF46" s="31"/>
      <c r="PXG46" s="31"/>
      <c r="PXH46" s="31"/>
      <c r="PXI46" s="31"/>
      <c r="PXJ46" s="31"/>
      <c r="PXK46" s="31"/>
      <c r="PXL46" s="31"/>
      <c r="PXM46" s="31"/>
      <c r="PXN46" s="31"/>
      <c r="PXO46" s="31"/>
      <c r="PXP46" s="31"/>
      <c r="PXQ46" s="31"/>
      <c r="PXR46" s="31"/>
      <c r="PXS46" s="31"/>
      <c r="PXT46" s="31"/>
      <c r="PXU46" s="31"/>
      <c r="PXV46" s="31"/>
      <c r="PXW46" s="31"/>
      <c r="PXX46" s="31"/>
      <c r="PXY46" s="31"/>
      <c r="PXZ46" s="31"/>
      <c r="PYA46" s="31"/>
      <c r="PYB46" s="31"/>
      <c r="PYC46" s="31"/>
      <c r="PYD46" s="31"/>
      <c r="PYE46" s="31"/>
      <c r="PYF46" s="31"/>
      <c r="PYG46" s="31"/>
      <c r="PYH46" s="31"/>
      <c r="PYI46" s="31"/>
      <c r="PYJ46" s="31"/>
      <c r="PYK46" s="31"/>
      <c r="PYL46" s="31"/>
      <c r="PYM46" s="31"/>
      <c r="PYN46" s="31"/>
      <c r="PYO46" s="31"/>
      <c r="PYP46" s="31"/>
      <c r="PYQ46" s="31"/>
      <c r="PYR46" s="31"/>
      <c r="PYS46" s="31"/>
      <c r="PYT46" s="31"/>
      <c r="PYU46" s="31"/>
      <c r="PYV46" s="31"/>
      <c r="PYW46" s="31"/>
      <c r="PYX46" s="31"/>
      <c r="PYY46" s="31"/>
      <c r="PYZ46" s="31"/>
      <c r="PZA46" s="31"/>
      <c r="PZB46" s="31"/>
      <c r="PZC46" s="31"/>
      <c r="PZD46" s="31"/>
      <c r="PZE46" s="31"/>
      <c r="PZF46" s="31"/>
      <c r="PZG46" s="31"/>
      <c r="PZH46" s="31"/>
      <c r="PZI46" s="31"/>
      <c r="PZJ46" s="31"/>
      <c r="PZK46" s="31"/>
      <c r="PZL46" s="31"/>
      <c r="PZM46" s="31"/>
      <c r="PZN46" s="31"/>
      <c r="PZO46" s="31"/>
      <c r="PZP46" s="31"/>
      <c r="PZQ46" s="31"/>
      <c r="PZR46" s="31"/>
      <c r="PZS46" s="31"/>
      <c r="PZT46" s="31"/>
      <c r="PZU46" s="31"/>
      <c r="PZV46" s="31"/>
      <c r="PZW46" s="31"/>
      <c r="PZX46" s="31"/>
      <c r="PZY46" s="31"/>
      <c r="PZZ46" s="31"/>
      <c r="QAA46" s="31"/>
      <c r="QAB46" s="31"/>
      <c r="QAC46" s="31"/>
      <c r="QAD46" s="31"/>
      <c r="QAE46" s="31"/>
      <c r="QAF46" s="31"/>
      <c r="QAG46" s="31"/>
      <c r="QAH46" s="31"/>
      <c r="QAI46" s="31"/>
      <c r="QAJ46" s="31"/>
      <c r="QAK46" s="31"/>
      <c r="QAL46" s="31"/>
      <c r="QAM46" s="31"/>
      <c r="QAN46" s="31"/>
      <c r="QAO46" s="31"/>
      <c r="QAP46" s="31"/>
      <c r="QAQ46" s="31"/>
      <c r="QAR46" s="31"/>
      <c r="QAS46" s="31"/>
      <c r="QAT46" s="31"/>
      <c r="QAU46" s="31"/>
      <c r="QAV46" s="31"/>
      <c r="QAW46" s="31"/>
      <c r="QAX46" s="31"/>
      <c r="QAY46" s="31"/>
      <c r="QAZ46" s="31"/>
      <c r="QBA46" s="31"/>
      <c r="QBB46" s="31"/>
      <c r="QBC46" s="31"/>
      <c r="QBD46" s="31"/>
      <c r="QBE46" s="31"/>
      <c r="QBF46" s="31"/>
      <c r="QBG46" s="31"/>
      <c r="QBH46" s="31"/>
      <c r="QBI46" s="31"/>
      <c r="QBJ46" s="31"/>
      <c r="QBK46" s="31"/>
      <c r="QBL46" s="31"/>
      <c r="QBM46" s="31"/>
      <c r="QBN46" s="31"/>
      <c r="QBO46" s="31"/>
      <c r="QBP46" s="31"/>
      <c r="QBQ46" s="31"/>
      <c r="QBR46" s="31"/>
      <c r="QBS46" s="31"/>
      <c r="QBT46" s="31"/>
      <c r="QBU46" s="31"/>
      <c r="QBV46" s="31"/>
      <c r="QBW46" s="31"/>
      <c r="QBX46" s="31"/>
      <c r="QBY46" s="31"/>
      <c r="QBZ46" s="31"/>
      <c r="QCA46" s="31"/>
      <c r="QCB46" s="31"/>
      <c r="QCC46" s="31"/>
      <c r="QCD46" s="31"/>
      <c r="QCE46" s="31"/>
      <c r="QCF46" s="31"/>
      <c r="QCG46" s="31"/>
      <c r="QCH46" s="31"/>
      <c r="QCI46" s="31"/>
      <c r="QCJ46" s="31"/>
      <c r="QCK46" s="31"/>
      <c r="QCL46" s="31"/>
      <c r="QCM46" s="31"/>
      <c r="QCN46" s="31"/>
      <c r="QCO46" s="31"/>
      <c r="QCP46" s="31"/>
      <c r="QCQ46" s="31"/>
      <c r="QCR46" s="31"/>
      <c r="QCS46" s="31"/>
      <c r="QCT46" s="31"/>
      <c r="QCU46" s="31"/>
      <c r="QCV46" s="31"/>
      <c r="QCW46" s="31"/>
      <c r="QCX46" s="31"/>
      <c r="QCY46" s="31"/>
      <c r="QCZ46" s="31"/>
      <c r="QDA46" s="31"/>
      <c r="QDB46" s="31"/>
      <c r="QDC46" s="31"/>
      <c r="QDD46" s="31"/>
      <c r="QDE46" s="31"/>
      <c r="QDF46" s="31"/>
      <c r="QDG46" s="31"/>
      <c r="QDH46" s="31"/>
      <c r="QDI46" s="31"/>
      <c r="QDJ46" s="31"/>
      <c r="QDK46" s="31"/>
      <c r="QDL46" s="31"/>
      <c r="QDM46" s="31"/>
      <c r="QDN46" s="31"/>
      <c r="QDO46" s="31"/>
      <c r="QDP46" s="31"/>
      <c r="QDQ46" s="31"/>
      <c r="QDR46" s="31"/>
      <c r="QDS46" s="31"/>
      <c r="QDT46" s="31"/>
      <c r="QDU46" s="31"/>
      <c r="QDV46" s="31"/>
      <c r="QDW46" s="31"/>
      <c r="QDX46" s="31"/>
      <c r="QDY46" s="31"/>
      <c r="QDZ46" s="31"/>
      <c r="QEA46" s="31"/>
      <c r="QEB46" s="31"/>
      <c r="QEC46" s="31"/>
      <c r="QED46" s="31"/>
      <c r="QEE46" s="31"/>
      <c r="QEF46" s="31"/>
      <c r="QEG46" s="31"/>
      <c r="QEH46" s="31"/>
      <c r="QEI46" s="31"/>
      <c r="QEJ46" s="31"/>
      <c r="QEK46" s="31"/>
      <c r="QEL46" s="31"/>
      <c r="QEM46" s="31"/>
      <c r="QEN46" s="31"/>
      <c r="QEO46" s="31"/>
      <c r="QEP46" s="31"/>
      <c r="QEQ46" s="31"/>
      <c r="QER46" s="31"/>
      <c r="QES46" s="31"/>
      <c r="QET46" s="31"/>
      <c r="QEU46" s="31"/>
      <c r="QEV46" s="31"/>
      <c r="QEW46" s="31"/>
      <c r="QEX46" s="31"/>
      <c r="QEY46" s="31"/>
      <c r="QEZ46" s="31"/>
      <c r="QFA46" s="31"/>
      <c r="QFB46" s="31"/>
      <c r="QFC46" s="31"/>
      <c r="QFD46" s="31"/>
      <c r="QFE46" s="31"/>
      <c r="QFF46" s="31"/>
      <c r="QFG46" s="31"/>
      <c r="QFH46" s="31"/>
      <c r="QFI46" s="31"/>
      <c r="QFJ46" s="31"/>
      <c r="QFK46" s="31"/>
      <c r="QFL46" s="31"/>
      <c r="QFM46" s="31"/>
      <c r="QFN46" s="31"/>
      <c r="QFO46" s="31"/>
      <c r="QFP46" s="31"/>
      <c r="QFQ46" s="31"/>
      <c r="QFR46" s="31"/>
      <c r="QFS46" s="31"/>
      <c r="QFT46" s="31"/>
      <c r="QFU46" s="31"/>
      <c r="QFV46" s="31"/>
      <c r="QFW46" s="31"/>
      <c r="QFX46" s="31"/>
      <c r="QFY46" s="31"/>
      <c r="QFZ46" s="31"/>
      <c r="QGA46" s="31"/>
      <c r="QGB46" s="31"/>
      <c r="QGC46" s="31"/>
      <c r="QGD46" s="31"/>
      <c r="QGE46" s="31"/>
      <c r="QGF46" s="31"/>
      <c r="QGG46" s="31"/>
      <c r="QGH46" s="31"/>
      <c r="QGI46" s="31"/>
      <c r="QGJ46" s="31"/>
      <c r="QGK46" s="31"/>
      <c r="QGL46" s="31"/>
      <c r="QGM46" s="31"/>
      <c r="QGN46" s="31"/>
      <c r="QGO46" s="31"/>
      <c r="QGP46" s="31"/>
      <c r="QGQ46" s="31"/>
      <c r="QGR46" s="31"/>
      <c r="QGS46" s="31"/>
      <c r="QGT46" s="31"/>
      <c r="QGU46" s="31"/>
      <c r="QGV46" s="31"/>
      <c r="QGW46" s="31"/>
      <c r="QGX46" s="31"/>
      <c r="QGY46" s="31"/>
      <c r="QGZ46" s="31"/>
      <c r="QHA46" s="31"/>
      <c r="QHB46" s="31"/>
      <c r="QHC46" s="31"/>
      <c r="QHD46" s="31"/>
      <c r="QHE46" s="31"/>
      <c r="QHF46" s="31"/>
      <c r="QHG46" s="31"/>
      <c r="QHH46" s="31"/>
      <c r="QHI46" s="31"/>
      <c r="QHJ46" s="31"/>
      <c r="QHK46" s="31"/>
      <c r="QHL46" s="31"/>
      <c r="QHM46" s="31"/>
      <c r="QHN46" s="31"/>
      <c r="QHO46" s="31"/>
      <c r="QHP46" s="31"/>
      <c r="QHQ46" s="31"/>
      <c r="QHR46" s="31"/>
      <c r="QHS46" s="31"/>
      <c r="QHT46" s="31"/>
      <c r="QHU46" s="31"/>
      <c r="QHV46" s="31"/>
      <c r="QHW46" s="31"/>
      <c r="QHX46" s="31"/>
      <c r="QHY46" s="31"/>
      <c r="QHZ46" s="31"/>
      <c r="QIA46" s="31"/>
      <c r="QIB46" s="31"/>
      <c r="QIC46" s="31"/>
      <c r="QID46" s="31"/>
      <c r="QIE46" s="31"/>
      <c r="QIF46" s="31"/>
      <c r="QIG46" s="31"/>
      <c r="QIH46" s="31"/>
      <c r="QII46" s="31"/>
      <c r="QIJ46" s="31"/>
      <c r="QIK46" s="31"/>
      <c r="QIL46" s="31"/>
      <c r="QIM46" s="31"/>
      <c r="QIN46" s="31"/>
      <c r="QIO46" s="31"/>
      <c r="QIP46" s="31"/>
      <c r="QIQ46" s="31"/>
      <c r="QIR46" s="31"/>
      <c r="QIS46" s="31"/>
      <c r="QIT46" s="31"/>
      <c r="QIU46" s="31"/>
      <c r="QIV46" s="31"/>
      <c r="QIW46" s="31"/>
      <c r="QIX46" s="31"/>
      <c r="QIY46" s="31"/>
      <c r="QIZ46" s="31"/>
      <c r="QJA46" s="31"/>
      <c r="QJB46" s="31"/>
      <c r="QJC46" s="31"/>
      <c r="QJD46" s="31"/>
      <c r="QJE46" s="31"/>
      <c r="QJF46" s="31"/>
      <c r="QJG46" s="31"/>
      <c r="QJH46" s="31"/>
      <c r="QJI46" s="31"/>
      <c r="QJJ46" s="31"/>
      <c r="QJK46" s="31"/>
      <c r="QJL46" s="31"/>
      <c r="QJM46" s="31"/>
      <c r="QJN46" s="31"/>
      <c r="QJO46" s="31"/>
      <c r="QJP46" s="31"/>
      <c r="QJQ46" s="31"/>
      <c r="QJR46" s="31"/>
      <c r="QJS46" s="31"/>
      <c r="QJT46" s="31"/>
      <c r="QJU46" s="31"/>
      <c r="QJV46" s="31"/>
      <c r="QJW46" s="31"/>
      <c r="QJX46" s="31"/>
      <c r="QJY46" s="31"/>
      <c r="QJZ46" s="31"/>
      <c r="QKA46" s="31"/>
      <c r="QKB46" s="31"/>
      <c r="QKC46" s="31"/>
      <c r="QKD46" s="31"/>
      <c r="QKE46" s="31"/>
      <c r="QKF46" s="31"/>
      <c r="QKG46" s="31"/>
      <c r="QKH46" s="31"/>
      <c r="QKI46" s="31"/>
      <c r="QKJ46" s="31"/>
      <c r="QKK46" s="31"/>
      <c r="QKL46" s="31"/>
      <c r="QKM46" s="31"/>
      <c r="QKN46" s="31"/>
      <c r="QKO46" s="31"/>
      <c r="QKP46" s="31"/>
      <c r="QKQ46" s="31"/>
      <c r="QKR46" s="31"/>
      <c r="QKS46" s="31"/>
      <c r="QKT46" s="31"/>
      <c r="QKU46" s="31"/>
      <c r="QKV46" s="31"/>
      <c r="QKW46" s="31"/>
      <c r="QKX46" s="31"/>
      <c r="QKY46" s="31"/>
      <c r="QKZ46" s="31"/>
      <c r="QLA46" s="31"/>
      <c r="QLB46" s="31"/>
      <c r="QLC46" s="31"/>
      <c r="QLD46" s="31"/>
      <c r="QLE46" s="31"/>
      <c r="QLF46" s="31"/>
      <c r="QLG46" s="31"/>
      <c r="QLH46" s="31"/>
      <c r="QLI46" s="31"/>
      <c r="QLJ46" s="31"/>
      <c r="QLK46" s="31"/>
      <c r="QLL46" s="31"/>
      <c r="QLM46" s="31"/>
      <c r="QLN46" s="31"/>
      <c r="QLO46" s="31"/>
      <c r="QLP46" s="31"/>
      <c r="QLQ46" s="31"/>
      <c r="QLR46" s="31"/>
      <c r="QLS46" s="31"/>
      <c r="QLT46" s="31"/>
      <c r="QLU46" s="31"/>
      <c r="QLV46" s="31"/>
      <c r="QLW46" s="31"/>
      <c r="QLX46" s="31"/>
      <c r="QLY46" s="31"/>
      <c r="QLZ46" s="31"/>
      <c r="QMA46" s="31"/>
      <c r="QMB46" s="31"/>
      <c r="QMC46" s="31"/>
      <c r="QMD46" s="31"/>
      <c r="QME46" s="31"/>
      <c r="QMF46" s="31"/>
      <c r="QMG46" s="31"/>
      <c r="QMH46" s="31"/>
      <c r="QMI46" s="31"/>
      <c r="QMJ46" s="31"/>
      <c r="QMK46" s="31"/>
      <c r="QML46" s="31"/>
      <c r="QMM46" s="31"/>
      <c r="QMN46" s="31"/>
      <c r="QMO46" s="31"/>
      <c r="QMP46" s="31"/>
      <c r="QMQ46" s="31"/>
      <c r="QMR46" s="31"/>
      <c r="QMS46" s="31"/>
      <c r="QMT46" s="31"/>
      <c r="QMU46" s="31"/>
      <c r="QMV46" s="31"/>
      <c r="QMW46" s="31"/>
      <c r="QMX46" s="31"/>
      <c r="QMY46" s="31"/>
      <c r="QMZ46" s="31"/>
      <c r="QNA46" s="31"/>
      <c r="QNB46" s="31"/>
      <c r="QNC46" s="31"/>
      <c r="QND46" s="31"/>
      <c r="QNE46" s="31"/>
      <c r="QNF46" s="31"/>
      <c r="QNG46" s="31"/>
      <c r="QNH46" s="31"/>
      <c r="QNI46" s="31"/>
      <c r="QNJ46" s="31"/>
      <c r="QNK46" s="31"/>
      <c r="QNL46" s="31"/>
      <c r="QNM46" s="31"/>
      <c r="QNN46" s="31"/>
      <c r="QNO46" s="31"/>
      <c r="QNP46" s="31"/>
      <c r="QNQ46" s="31"/>
      <c r="QNR46" s="31"/>
      <c r="QNS46" s="31"/>
      <c r="QNT46" s="31"/>
      <c r="QNU46" s="31"/>
      <c r="QNV46" s="31"/>
      <c r="QNW46" s="31"/>
      <c r="QNX46" s="31"/>
      <c r="QNY46" s="31"/>
      <c r="QNZ46" s="31"/>
      <c r="QOA46" s="31"/>
      <c r="QOB46" s="31"/>
      <c r="QOC46" s="31"/>
      <c r="QOD46" s="31"/>
      <c r="QOE46" s="31"/>
      <c r="QOF46" s="31"/>
      <c r="QOG46" s="31"/>
      <c r="QOH46" s="31"/>
      <c r="QOI46" s="31"/>
      <c r="QOJ46" s="31"/>
      <c r="QOK46" s="31"/>
      <c r="QOL46" s="31"/>
      <c r="QOM46" s="31"/>
      <c r="QON46" s="31"/>
      <c r="QOO46" s="31"/>
      <c r="QOP46" s="31"/>
      <c r="QOQ46" s="31"/>
      <c r="QOR46" s="31"/>
      <c r="QOS46" s="31"/>
      <c r="QOT46" s="31"/>
      <c r="QOU46" s="31"/>
      <c r="QOV46" s="31"/>
      <c r="QOW46" s="31"/>
      <c r="QOX46" s="31"/>
      <c r="QOY46" s="31"/>
      <c r="QOZ46" s="31"/>
      <c r="QPA46" s="31"/>
      <c r="QPB46" s="31"/>
      <c r="QPC46" s="31"/>
      <c r="QPD46" s="31"/>
      <c r="QPE46" s="31"/>
      <c r="QPF46" s="31"/>
      <c r="QPG46" s="31"/>
      <c r="QPH46" s="31"/>
      <c r="QPI46" s="31"/>
      <c r="QPJ46" s="31"/>
      <c r="QPK46" s="31"/>
      <c r="QPL46" s="31"/>
      <c r="QPM46" s="31"/>
      <c r="QPN46" s="31"/>
      <c r="QPO46" s="31"/>
      <c r="QPP46" s="31"/>
      <c r="QPQ46" s="31"/>
      <c r="QPR46" s="31"/>
      <c r="QPS46" s="31"/>
      <c r="QPT46" s="31"/>
      <c r="QPU46" s="31"/>
      <c r="QPV46" s="31"/>
      <c r="QPW46" s="31"/>
      <c r="QPX46" s="31"/>
      <c r="QPY46" s="31"/>
      <c r="QPZ46" s="31"/>
      <c r="QQA46" s="31"/>
      <c r="QQB46" s="31"/>
      <c r="QQC46" s="31"/>
      <c r="QQD46" s="31"/>
      <c r="QQE46" s="31"/>
      <c r="QQF46" s="31"/>
      <c r="QQG46" s="31"/>
      <c r="QQH46" s="31"/>
      <c r="QQI46" s="31"/>
      <c r="QQJ46" s="31"/>
      <c r="QQK46" s="31"/>
      <c r="QQL46" s="31"/>
      <c r="QQM46" s="31"/>
      <c r="QQN46" s="31"/>
      <c r="QQO46" s="31"/>
      <c r="QQP46" s="31"/>
      <c r="QQQ46" s="31"/>
      <c r="QQR46" s="31"/>
      <c r="QQS46" s="31"/>
      <c r="QQT46" s="31"/>
      <c r="QQU46" s="31"/>
      <c r="QQV46" s="31"/>
      <c r="QQW46" s="31"/>
      <c r="QQX46" s="31"/>
      <c r="QQY46" s="31"/>
      <c r="QQZ46" s="31"/>
      <c r="QRA46" s="31"/>
      <c r="QRB46" s="31"/>
      <c r="QRC46" s="31"/>
      <c r="QRD46" s="31"/>
      <c r="QRE46" s="31"/>
      <c r="QRF46" s="31"/>
      <c r="QRG46" s="31"/>
      <c r="QRH46" s="31"/>
      <c r="QRI46" s="31"/>
      <c r="QRJ46" s="31"/>
      <c r="QRK46" s="31"/>
      <c r="QRL46" s="31"/>
      <c r="QRM46" s="31"/>
      <c r="QRN46" s="31"/>
      <c r="QRO46" s="31"/>
      <c r="QRP46" s="31"/>
      <c r="QRQ46" s="31"/>
      <c r="QRR46" s="31"/>
      <c r="QRS46" s="31"/>
      <c r="QRT46" s="31"/>
      <c r="QRU46" s="31"/>
      <c r="QRV46" s="31"/>
      <c r="QRW46" s="31"/>
      <c r="QRX46" s="31"/>
      <c r="QRY46" s="31"/>
      <c r="QRZ46" s="31"/>
      <c r="QSA46" s="31"/>
      <c r="QSB46" s="31"/>
      <c r="QSC46" s="31"/>
      <c r="QSD46" s="31"/>
      <c r="QSE46" s="31"/>
      <c r="QSF46" s="31"/>
      <c r="QSG46" s="31"/>
      <c r="QSH46" s="31"/>
      <c r="QSI46" s="31"/>
      <c r="QSJ46" s="31"/>
      <c r="QSK46" s="31"/>
      <c r="QSL46" s="31"/>
      <c r="QSM46" s="31"/>
      <c r="QSN46" s="31"/>
      <c r="QSO46" s="31"/>
      <c r="QSP46" s="31"/>
      <c r="QSQ46" s="31"/>
      <c r="QSR46" s="31"/>
      <c r="QSS46" s="31"/>
      <c r="QST46" s="31"/>
      <c r="QSU46" s="31"/>
      <c r="QSV46" s="31"/>
      <c r="QSW46" s="31"/>
      <c r="QSX46" s="31"/>
      <c r="QSY46" s="31"/>
      <c r="QSZ46" s="31"/>
      <c r="QTA46" s="31"/>
      <c r="QTB46" s="31"/>
      <c r="QTC46" s="31"/>
      <c r="QTD46" s="31"/>
      <c r="QTE46" s="31"/>
      <c r="QTF46" s="31"/>
      <c r="QTG46" s="31"/>
      <c r="QTH46" s="31"/>
      <c r="QTI46" s="31"/>
      <c r="QTJ46" s="31"/>
      <c r="QTK46" s="31"/>
      <c r="QTL46" s="31"/>
      <c r="QTM46" s="31"/>
      <c r="QTN46" s="31"/>
      <c r="QTO46" s="31"/>
      <c r="QTP46" s="31"/>
      <c r="QTQ46" s="31"/>
      <c r="QTR46" s="31"/>
      <c r="QTS46" s="31"/>
      <c r="QTT46" s="31"/>
      <c r="QTU46" s="31"/>
      <c r="QTV46" s="31"/>
      <c r="QTW46" s="31"/>
      <c r="QTX46" s="31"/>
      <c r="QTY46" s="31"/>
      <c r="QTZ46" s="31"/>
      <c r="QUA46" s="31"/>
      <c r="QUB46" s="31"/>
      <c r="QUC46" s="31"/>
      <c r="QUD46" s="31"/>
      <c r="QUE46" s="31"/>
      <c r="QUF46" s="31"/>
      <c r="QUG46" s="31"/>
      <c r="QUH46" s="31"/>
      <c r="QUI46" s="31"/>
      <c r="QUJ46" s="31"/>
      <c r="QUK46" s="31"/>
      <c r="QUL46" s="31"/>
      <c r="QUM46" s="31"/>
      <c r="QUN46" s="31"/>
      <c r="QUO46" s="31"/>
      <c r="QUP46" s="31"/>
      <c r="QUQ46" s="31"/>
      <c r="QUR46" s="31"/>
      <c r="QUS46" s="31"/>
      <c r="QUT46" s="31"/>
      <c r="QUU46" s="31"/>
      <c r="QUV46" s="31"/>
      <c r="QUW46" s="31"/>
      <c r="QUX46" s="31"/>
      <c r="QUY46" s="31"/>
      <c r="QUZ46" s="31"/>
      <c r="QVA46" s="31"/>
      <c r="QVB46" s="31"/>
      <c r="QVC46" s="31"/>
      <c r="QVD46" s="31"/>
      <c r="QVE46" s="31"/>
      <c r="QVF46" s="31"/>
      <c r="QVG46" s="31"/>
      <c r="QVH46" s="31"/>
      <c r="QVI46" s="31"/>
      <c r="QVJ46" s="31"/>
      <c r="QVK46" s="31"/>
      <c r="QVL46" s="31"/>
      <c r="QVM46" s="31"/>
      <c r="QVN46" s="31"/>
      <c r="QVO46" s="31"/>
      <c r="QVP46" s="31"/>
      <c r="QVQ46" s="31"/>
      <c r="QVR46" s="31"/>
      <c r="QVS46" s="31"/>
      <c r="QVT46" s="31"/>
      <c r="QVU46" s="31"/>
      <c r="QVV46" s="31"/>
      <c r="QVW46" s="31"/>
      <c r="QVX46" s="31"/>
      <c r="QVY46" s="31"/>
      <c r="QVZ46" s="31"/>
      <c r="QWA46" s="31"/>
      <c r="QWB46" s="31"/>
      <c r="QWC46" s="31"/>
      <c r="QWD46" s="31"/>
      <c r="QWE46" s="31"/>
      <c r="QWF46" s="31"/>
      <c r="QWG46" s="31"/>
      <c r="QWH46" s="31"/>
      <c r="QWI46" s="31"/>
      <c r="QWJ46" s="31"/>
      <c r="QWK46" s="31"/>
      <c r="QWL46" s="31"/>
      <c r="QWM46" s="31"/>
      <c r="QWN46" s="31"/>
      <c r="QWO46" s="31"/>
      <c r="QWP46" s="31"/>
      <c r="QWQ46" s="31"/>
      <c r="QWR46" s="31"/>
      <c r="QWS46" s="31"/>
      <c r="QWT46" s="31"/>
      <c r="QWU46" s="31"/>
      <c r="QWV46" s="31"/>
      <c r="QWW46" s="31"/>
      <c r="QWX46" s="31"/>
      <c r="QWY46" s="31"/>
      <c r="QWZ46" s="31"/>
      <c r="QXA46" s="31"/>
      <c r="QXB46" s="31"/>
      <c r="QXC46" s="31"/>
      <c r="QXD46" s="31"/>
      <c r="QXE46" s="31"/>
      <c r="QXF46" s="31"/>
      <c r="QXG46" s="31"/>
      <c r="QXH46" s="31"/>
      <c r="QXI46" s="31"/>
      <c r="QXJ46" s="31"/>
      <c r="QXK46" s="31"/>
      <c r="QXL46" s="31"/>
      <c r="QXM46" s="31"/>
      <c r="QXN46" s="31"/>
      <c r="QXO46" s="31"/>
      <c r="QXP46" s="31"/>
      <c r="QXQ46" s="31"/>
      <c r="QXR46" s="31"/>
      <c r="QXS46" s="31"/>
      <c r="QXT46" s="31"/>
      <c r="QXU46" s="31"/>
      <c r="QXV46" s="31"/>
      <c r="QXW46" s="31"/>
      <c r="QXX46" s="31"/>
      <c r="QXY46" s="31"/>
      <c r="QXZ46" s="31"/>
      <c r="QYA46" s="31"/>
      <c r="QYB46" s="31"/>
      <c r="QYC46" s="31"/>
      <c r="QYD46" s="31"/>
      <c r="QYE46" s="31"/>
      <c r="QYF46" s="31"/>
      <c r="QYG46" s="31"/>
      <c r="QYH46" s="31"/>
      <c r="QYI46" s="31"/>
      <c r="QYJ46" s="31"/>
      <c r="QYK46" s="31"/>
      <c r="QYL46" s="31"/>
      <c r="QYM46" s="31"/>
      <c r="QYN46" s="31"/>
      <c r="QYO46" s="31"/>
      <c r="QYP46" s="31"/>
      <c r="QYQ46" s="31"/>
      <c r="QYR46" s="31"/>
      <c r="QYS46" s="31"/>
      <c r="QYT46" s="31"/>
      <c r="QYU46" s="31"/>
      <c r="QYV46" s="31"/>
      <c r="QYW46" s="31"/>
      <c r="QYX46" s="31"/>
      <c r="QYY46" s="31"/>
      <c r="QYZ46" s="31"/>
      <c r="QZA46" s="31"/>
      <c r="QZB46" s="31"/>
      <c r="QZC46" s="31"/>
      <c r="QZD46" s="31"/>
      <c r="QZE46" s="31"/>
      <c r="QZF46" s="31"/>
      <c r="QZG46" s="31"/>
      <c r="QZH46" s="31"/>
      <c r="QZI46" s="31"/>
      <c r="QZJ46" s="31"/>
      <c r="QZK46" s="31"/>
      <c r="QZL46" s="31"/>
      <c r="QZM46" s="31"/>
      <c r="QZN46" s="31"/>
      <c r="QZO46" s="31"/>
      <c r="QZP46" s="31"/>
      <c r="QZQ46" s="31"/>
      <c r="QZR46" s="31"/>
      <c r="QZS46" s="31"/>
      <c r="QZT46" s="31"/>
      <c r="QZU46" s="31"/>
      <c r="QZV46" s="31"/>
      <c r="QZW46" s="31"/>
      <c r="QZX46" s="31"/>
      <c r="QZY46" s="31"/>
      <c r="QZZ46" s="31"/>
      <c r="RAA46" s="31"/>
      <c r="RAB46" s="31"/>
      <c r="RAC46" s="31"/>
      <c r="RAD46" s="31"/>
      <c r="RAE46" s="31"/>
      <c r="RAF46" s="31"/>
      <c r="RAG46" s="31"/>
      <c r="RAH46" s="31"/>
      <c r="RAI46" s="31"/>
      <c r="RAJ46" s="31"/>
      <c r="RAK46" s="31"/>
      <c r="RAL46" s="31"/>
      <c r="RAM46" s="31"/>
      <c r="RAN46" s="31"/>
      <c r="RAO46" s="31"/>
      <c r="RAP46" s="31"/>
      <c r="RAQ46" s="31"/>
      <c r="RAR46" s="31"/>
      <c r="RAS46" s="31"/>
      <c r="RAT46" s="31"/>
      <c r="RAU46" s="31"/>
      <c r="RAV46" s="31"/>
      <c r="RAW46" s="31"/>
      <c r="RAX46" s="31"/>
      <c r="RAY46" s="31"/>
      <c r="RAZ46" s="31"/>
      <c r="RBA46" s="31"/>
      <c r="RBB46" s="31"/>
      <c r="RBC46" s="31"/>
      <c r="RBD46" s="31"/>
      <c r="RBE46" s="31"/>
      <c r="RBF46" s="31"/>
      <c r="RBG46" s="31"/>
      <c r="RBH46" s="31"/>
      <c r="RBI46" s="31"/>
      <c r="RBJ46" s="31"/>
      <c r="RBK46" s="31"/>
      <c r="RBL46" s="31"/>
      <c r="RBM46" s="31"/>
      <c r="RBN46" s="31"/>
      <c r="RBO46" s="31"/>
      <c r="RBP46" s="31"/>
      <c r="RBQ46" s="31"/>
      <c r="RBR46" s="31"/>
      <c r="RBS46" s="31"/>
      <c r="RBT46" s="31"/>
      <c r="RBU46" s="31"/>
      <c r="RBV46" s="31"/>
      <c r="RBW46" s="31"/>
      <c r="RBX46" s="31"/>
      <c r="RBY46" s="31"/>
      <c r="RBZ46" s="31"/>
      <c r="RCA46" s="31"/>
      <c r="RCB46" s="31"/>
      <c r="RCC46" s="31"/>
      <c r="RCD46" s="31"/>
      <c r="RCE46" s="31"/>
      <c r="RCF46" s="31"/>
      <c r="RCG46" s="31"/>
      <c r="RCH46" s="31"/>
      <c r="RCI46" s="31"/>
      <c r="RCJ46" s="31"/>
      <c r="RCK46" s="31"/>
      <c r="RCL46" s="31"/>
      <c r="RCM46" s="31"/>
      <c r="RCN46" s="31"/>
      <c r="RCO46" s="31"/>
      <c r="RCP46" s="31"/>
      <c r="RCQ46" s="31"/>
      <c r="RCR46" s="31"/>
      <c r="RCS46" s="31"/>
      <c r="RCT46" s="31"/>
      <c r="RCU46" s="31"/>
      <c r="RCV46" s="31"/>
      <c r="RCW46" s="31"/>
      <c r="RCX46" s="31"/>
      <c r="RCY46" s="31"/>
      <c r="RCZ46" s="31"/>
      <c r="RDA46" s="31"/>
      <c r="RDB46" s="31"/>
      <c r="RDC46" s="31"/>
      <c r="RDD46" s="31"/>
      <c r="RDE46" s="31"/>
      <c r="RDF46" s="31"/>
      <c r="RDG46" s="31"/>
      <c r="RDH46" s="31"/>
      <c r="RDI46" s="31"/>
      <c r="RDJ46" s="31"/>
      <c r="RDK46" s="31"/>
      <c r="RDL46" s="31"/>
      <c r="RDM46" s="31"/>
      <c r="RDN46" s="31"/>
      <c r="RDO46" s="31"/>
      <c r="RDP46" s="31"/>
      <c r="RDQ46" s="31"/>
      <c r="RDR46" s="31"/>
      <c r="RDS46" s="31"/>
      <c r="RDT46" s="31"/>
      <c r="RDU46" s="31"/>
      <c r="RDV46" s="31"/>
      <c r="RDW46" s="31"/>
      <c r="RDX46" s="31"/>
      <c r="RDY46" s="31"/>
      <c r="RDZ46" s="31"/>
      <c r="REA46" s="31"/>
      <c r="REB46" s="31"/>
      <c r="REC46" s="31"/>
      <c r="RED46" s="31"/>
      <c r="REE46" s="31"/>
      <c r="REF46" s="31"/>
      <c r="REG46" s="31"/>
      <c r="REH46" s="31"/>
      <c r="REI46" s="31"/>
      <c r="REJ46" s="31"/>
      <c r="REK46" s="31"/>
      <c r="REL46" s="31"/>
      <c r="REM46" s="31"/>
      <c r="REN46" s="31"/>
      <c r="REO46" s="31"/>
      <c r="REP46" s="31"/>
      <c r="REQ46" s="31"/>
      <c r="RER46" s="31"/>
      <c r="RES46" s="31"/>
      <c r="RET46" s="31"/>
      <c r="REU46" s="31"/>
      <c r="REV46" s="31"/>
      <c r="REW46" s="31"/>
      <c r="REX46" s="31"/>
      <c r="REY46" s="31"/>
      <c r="REZ46" s="31"/>
      <c r="RFA46" s="31"/>
      <c r="RFB46" s="31"/>
      <c r="RFC46" s="31"/>
      <c r="RFD46" s="31"/>
      <c r="RFE46" s="31"/>
      <c r="RFF46" s="31"/>
      <c r="RFG46" s="31"/>
      <c r="RFH46" s="31"/>
      <c r="RFI46" s="31"/>
      <c r="RFJ46" s="31"/>
      <c r="RFK46" s="31"/>
      <c r="RFL46" s="31"/>
      <c r="RFM46" s="31"/>
      <c r="RFN46" s="31"/>
      <c r="RFO46" s="31"/>
      <c r="RFP46" s="31"/>
      <c r="RFQ46" s="31"/>
      <c r="RFR46" s="31"/>
      <c r="RFS46" s="31"/>
      <c r="RFT46" s="31"/>
      <c r="RFU46" s="31"/>
      <c r="RFV46" s="31"/>
      <c r="RFW46" s="31"/>
      <c r="RFX46" s="31"/>
      <c r="RFY46" s="31"/>
      <c r="RFZ46" s="31"/>
      <c r="RGA46" s="31"/>
      <c r="RGB46" s="31"/>
      <c r="RGC46" s="31"/>
      <c r="RGD46" s="31"/>
      <c r="RGE46" s="31"/>
      <c r="RGF46" s="31"/>
      <c r="RGG46" s="31"/>
      <c r="RGH46" s="31"/>
      <c r="RGI46" s="31"/>
      <c r="RGJ46" s="31"/>
      <c r="RGK46" s="31"/>
      <c r="RGL46" s="31"/>
      <c r="RGM46" s="31"/>
      <c r="RGN46" s="31"/>
      <c r="RGO46" s="31"/>
      <c r="RGP46" s="31"/>
      <c r="RGQ46" s="31"/>
      <c r="RGR46" s="31"/>
      <c r="RGS46" s="31"/>
      <c r="RGT46" s="31"/>
      <c r="RGU46" s="31"/>
      <c r="RGV46" s="31"/>
      <c r="RGW46" s="31"/>
      <c r="RGX46" s="31"/>
      <c r="RGY46" s="31"/>
      <c r="RGZ46" s="31"/>
      <c r="RHA46" s="31"/>
      <c r="RHB46" s="31"/>
      <c r="RHC46" s="31"/>
      <c r="RHD46" s="31"/>
      <c r="RHE46" s="31"/>
      <c r="RHF46" s="31"/>
      <c r="RHG46" s="31"/>
      <c r="RHH46" s="31"/>
      <c r="RHI46" s="31"/>
      <c r="RHJ46" s="31"/>
      <c r="RHK46" s="31"/>
      <c r="RHL46" s="31"/>
      <c r="RHM46" s="31"/>
      <c r="RHN46" s="31"/>
      <c r="RHO46" s="31"/>
      <c r="RHP46" s="31"/>
      <c r="RHQ46" s="31"/>
      <c r="RHR46" s="31"/>
      <c r="RHS46" s="31"/>
      <c r="RHT46" s="31"/>
      <c r="RHU46" s="31"/>
      <c r="RHV46" s="31"/>
      <c r="RHW46" s="31"/>
      <c r="RHX46" s="31"/>
      <c r="RHY46" s="31"/>
      <c r="RHZ46" s="31"/>
      <c r="RIA46" s="31"/>
      <c r="RIB46" s="31"/>
      <c r="RIC46" s="31"/>
      <c r="RID46" s="31"/>
      <c r="RIE46" s="31"/>
      <c r="RIF46" s="31"/>
      <c r="RIG46" s="31"/>
      <c r="RIH46" s="31"/>
      <c r="RII46" s="31"/>
      <c r="RIJ46" s="31"/>
      <c r="RIK46" s="31"/>
      <c r="RIL46" s="31"/>
      <c r="RIM46" s="31"/>
      <c r="RIN46" s="31"/>
      <c r="RIO46" s="31"/>
      <c r="RIP46" s="31"/>
      <c r="RIQ46" s="31"/>
      <c r="RIR46" s="31"/>
      <c r="RIS46" s="31"/>
      <c r="RIT46" s="31"/>
      <c r="RIU46" s="31"/>
      <c r="RIV46" s="31"/>
      <c r="RIW46" s="31"/>
      <c r="RIX46" s="31"/>
      <c r="RIY46" s="31"/>
      <c r="RIZ46" s="31"/>
      <c r="RJA46" s="31"/>
      <c r="RJB46" s="31"/>
      <c r="RJC46" s="31"/>
      <c r="RJD46" s="31"/>
      <c r="RJE46" s="31"/>
      <c r="RJF46" s="31"/>
      <c r="RJG46" s="31"/>
      <c r="RJH46" s="31"/>
      <c r="RJI46" s="31"/>
      <c r="RJJ46" s="31"/>
      <c r="RJK46" s="31"/>
      <c r="RJL46" s="31"/>
      <c r="RJM46" s="31"/>
      <c r="RJN46" s="31"/>
      <c r="RJO46" s="31"/>
      <c r="RJP46" s="31"/>
      <c r="RJQ46" s="31"/>
      <c r="RJR46" s="31"/>
      <c r="RJS46" s="31"/>
      <c r="RJT46" s="31"/>
      <c r="RJU46" s="31"/>
      <c r="RJV46" s="31"/>
      <c r="RJW46" s="31"/>
      <c r="RJX46" s="31"/>
      <c r="RJY46" s="31"/>
      <c r="RJZ46" s="31"/>
      <c r="RKA46" s="31"/>
      <c r="RKB46" s="31"/>
      <c r="RKC46" s="31"/>
      <c r="RKD46" s="31"/>
      <c r="RKE46" s="31"/>
      <c r="RKF46" s="31"/>
      <c r="RKG46" s="31"/>
      <c r="RKH46" s="31"/>
      <c r="RKI46" s="31"/>
      <c r="RKJ46" s="31"/>
      <c r="RKK46" s="31"/>
      <c r="RKL46" s="31"/>
      <c r="RKM46" s="31"/>
      <c r="RKN46" s="31"/>
      <c r="RKO46" s="31"/>
      <c r="RKP46" s="31"/>
      <c r="RKQ46" s="31"/>
      <c r="RKR46" s="31"/>
      <c r="RKS46" s="31"/>
      <c r="RKT46" s="31"/>
      <c r="RKU46" s="31"/>
      <c r="RKV46" s="31"/>
      <c r="RKW46" s="31"/>
      <c r="RKX46" s="31"/>
      <c r="RKY46" s="31"/>
      <c r="RKZ46" s="31"/>
      <c r="RLA46" s="31"/>
      <c r="RLB46" s="31"/>
      <c r="RLC46" s="31"/>
      <c r="RLD46" s="31"/>
      <c r="RLE46" s="31"/>
      <c r="RLF46" s="31"/>
      <c r="RLG46" s="31"/>
      <c r="RLH46" s="31"/>
      <c r="RLI46" s="31"/>
      <c r="RLJ46" s="31"/>
      <c r="RLK46" s="31"/>
      <c r="RLL46" s="31"/>
      <c r="RLM46" s="31"/>
      <c r="RLN46" s="31"/>
      <c r="RLO46" s="31"/>
      <c r="RLP46" s="31"/>
      <c r="RLQ46" s="31"/>
      <c r="RLR46" s="31"/>
      <c r="RLS46" s="31"/>
      <c r="RLT46" s="31"/>
      <c r="RLU46" s="31"/>
      <c r="RLV46" s="31"/>
      <c r="RLW46" s="31"/>
      <c r="RLX46" s="31"/>
      <c r="RLY46" s="31"/>
      <c r="RLZ46" s="31"/>
      <c r="RMA46" s="31"/>
      <c r="RMB46" s="31"/>
      <c r="RMC46" s="31"/>
      <c r="RMD46" s="31"/>
      <c r="RME46" s="31"/>
      <c r="RMF46" s="31"/>
      <c r="RMG46" s="31"/>
      <c r="RMH46" s="31"/>
      <c r="RMI46" s="31"/>
      <c r="RMJ46" s="31"/>
      <c r="RMK46" s="31"/>
      <c r="RML46" s="31"/>
      <c r="RMM46" s="31"/>
      <c r="RMN46" s="31"/>
      <c r="RMO46" s="31"/>
      <c r="RMP46" s="31"/>
      <c r="RMQ46" s="31"/>
      <c r="RMR46" s="31"/>
      <c r="RMS46" s="31"/>
      <c r="RMT46" s="31"/>
      <c r="RMU46" s="31"/>
      <c r="RMV46" s="31"/>
      <c r="RMW46" s="31"/>
      <c r="RMX46" s="31"/>
      <c r="RMY46" s="31"/>
      <c r="RMZ46" s="31"/>
      <c r="RNA46" s="31"/>
      <c r="RNB46" s="31"/>
      <c r="RNC46" s="31"/>
      <c r="RND46" s="31"/>
      <c r="RNE46" s="31"/>
      <c r="RNF46" s="31"/>
      <c r="RNG46" s="31"/>
      <c r="RNH46" s="31"/>
      <c r="RNI46" s="31"/>
      <c r="RNJ46" s="31"/>
      <c r="RNK46" s="31"/>
      <c r="RNL46" s="31"/>
      <c r="RNM46" s="31"/>
      <c r="RNN46" s="31"/>
      <c r="RNO46" s="31"/>
      <c r="RNP46" s="31"/>
      <c r="RNQ46" s="31"/>
      <c r="RNR46" s="31"/>
      <c r="RNS46" s="31"/>
      <c r="RNT46" s="31"/>
      <c r="RNU46" s="31"/>
      <c r="RNV46" s="31"/>
      <c r="RNW46" s="31"/>
      <c r="RNX46" s="31"/>
      <c r="RNY46" s="31"/>
      <c r="RNZ46" s="31"/>
      <c r="ROA46" s="31"/>
      <c r="ROB46" s="31"/>
      <c r="ROC46" s="31"/>
      <c r="ROD46" s="31"/>
      <c r="ROE46" s="31"/>
      <c r="ROF46" s="31"/>
      <c r="ROG46" s="31"/>
      <c r="ROH46" s="31"/>
      <c r="ROI46" s="31"/>
      <c r="ROJ46" s="31"/>
      <c r="ROK46" s="31"/>
      <c r="ROL46" s="31"/>
      <c r="ROM46" s="31"/>
      <c r="RON46" s="31"/>
      <c r="ROO46" s="31"/>
      <c r="ROP46" s="31"/>
      <c r="ROQ46" s="31"/>
      <c r="ROR46" s="31"/>
      <c r="ROS46" s="31"/>
      <c r="ROT46" s="31"/>
      <c r="ROU46" s="31"/>
      <c r="ROV46" s="31"/>
      <c r="ROW46" s="31"/>
      <c r="ROX46" s="31"/>
      <c r="ROY46" s="31"/>
      <c r="ROZ46" s="31"/>
      <c r="RPA46" s="31"/>
      <c r="RPB46" s="31"/>
      <c r="RPC46" s="31"/>
      <c r="RPD46" s="31"/>
      <c r="RPE46" s="31"/>
      <c r="RPF46" s="31"/>
      <c r="RPG46" s="31"/>
      <c r="RPH46" s="31"/>
      <c r="RPI46" s="31"/>
      <c r="RPJ46" s="31"/>
      <c r="RPK46" s="31"/>
      <c r="RPL46" s="31"/>
      <c r="RPM46" s="31"/>
      <c r="RPN46" s="31"/>
      <c r="RPO46" s="31"/>
      <c r="RPP46" s="31"/>
      <c r="RPQ46" s="31"/>
      <c r="RPR46" s="31"/>
      <c r="RPS46" s="31"/>
      <c r="RPT46" s="31"/>
      <c r="RPU46" s="31"/>
      <c r="RPV46" s="31"/>
      <c r="RPW46" s="31"/>
      <c r="RPX46" s="31"/>
      <c r="RPY46" s="31"/>
      <c r="RPZ46" s="31"/>
      <c r="RQA46" s="31"/>
      <c r="RQB46" s="31"/>
      <c r="RQC46" s="31"/>
      <c r="RQD46" s="31"/>
      <c r="RQE46" s="31"/>
      <c r="RQF46" s="31"/>
      <c r="RQG46" s="31"/>
      <c r="RQH46" s="31"/>
      <c r="RQI46" s="31"/>
      <c r="RQJ46" s="31"/>
      <c r="RQK46" s="31"/>
      <c r="RQL46" s="31"/>
      <c r="RQM46" s="31"/>
      <c r="RQN46" s="31"/>
      <c r="RQO46" s="31"/>
      <c r="RQP46" s="31"/>
      <c r="RQQ46" s="31"/>
      <c r="RQR46" s="31"/>
      <c r="RQS46" s="31"/>
      <c r="RQT46" s="31"/>
      <c r="RQU46" s="31"/>
      <c r="RQV46" s="31"/>
      <c r="RQW46" s="31"/>
      <c r="RQX46" s="31"/>
      <c r="RQY46" s="31"/>
      <c r="RQZ46" s="31"/>
      <c r="RRA46" s="31"/>
      <c r="RRB46" s="31"/>
      <c r="RRC46" s="31"/>
      <c r="RRD46" s="31"/>
      <c r="RRE46" s="31"/>
      <c r="RRF46" s="31"/>
      <c r="RRG46" s="31"/>
      <c r="RRH46" s="31"/>
      <c r="RRI46" s="31"/>
      <c r="RRJ46" s="31"/>
      <c r="RRK46" s="31"/>
      <c r="RRL46" s="31"/>
      <c r="RRM46" s="31"/>
      <c r="RRN46" s="31"/>
      <c r="RRO46" s="31"/>
      <c r="RRP46" s="31"/>
      <c r="RRQ46" s="31"/>
      <c r="RRR46" s="31"/>
      <c r="RRS46" s="31"/>
      <c r="RRT46" s="31"/>
      <c r="RRU46" s="31"/>
      <c r="RRV46" s="31"/>
      <c r="RRW46" s="31"/>
      <c r="RRX46" s="31"/>
      <c r="RRY46" s="31"/>
      <c r="RRZ46" s="31"/>
      <c r="RSA46" s="31"/>
      <c r="RSB46" s="31"/>
      <c r="RSC46" s="31"/>
      <c r="RSD46" s="31"/>
      <c r="RSE46" s="31"/>
      <c r="RSF46" s="31"/>
      <c r="RSG46" s="31"/>
      <c r="RSH46" s="31"/>
      <c r="RSI46" s="31"/>
      <c r="RSJ46" s="31"/>
      <c r="RSK46" s="31"/>
      <c r="RSL46" s="31"/>
      <c r="RSM46" s="31"/>
      <c r="RSN46" s="31"/>
      <c r="RSO46" s="31"/>
      <c r="RSP46" s="31"/>
      <c r="RSQ46" s="31"/>
      <c r="RSR46" s="31"/>
      <c r="RSS46" s="31"/>
      <c r="RST46" s="31"/>
      <c r="RSU46" s="31"/>
      <c r="RSV46" s="31"/>
      <c r="RSW46" s="31"/>
      <c r="RSX46" s="31"/>
      <c r="RSY46" s="31"/>
      <c r="RSZ46" s="31"/>
      <c r="RTA46" s="31"/>
      <c r="RTB46" s="31"/>
      <c r="RTC46" s="31"/>
      <c r="RTD46" s="31"/>
      <c r="RTE46" s="31"/>
      <c r="RTF46" s="31"/>
      <c r="RTG46" s="31"/>
      <c r="RTH46" s="31"/>
      <c r="RTI46" s="31"/>
      <c r="RTJ46" s="31"/>
      <c r="RTK46" s="31"/>
      <c r="RTL46" s="31"/>
      <c r="RTM46" s="31"/>
      <c r="RTN46" s="31"/>
      <c r="RTO46" s="31"/>
      <c r="RTP46" s="31"/>
      <c r="RTQ46" s="31"/>
      <c r="RTR46" s="31"/>
      <c r="RTS46" s="31"/>
      <c r="RTT46" s="31"/>
      <c r="RTU46" s="31"/>
      <c r="RTV46" s="31"/>
      <c r="RTW46" s="31"/>
      <c r="RTX46" s="31"/>
      <c r="RTY46" s="31"/>
      <c r="RTZ46" s="31"/>
      <c r="RUA46" s="31"/>
      <c r="RUB46" s="31"/>
      <c r="RUC46" s="31"/>
      <c r="RUD46" s="31"/>
      <c r="RUE46" s="31"/>
      <c r="RUF46" s="31"/>
      <c r="RUG46" s="31"/>
      <c r="RUH46" s="31"/>
      <c r="RUI46" s="31"/>
      <c r="RUJ46" s="31"/>
      <c r="RUK46" s="31"/>
      <c r="RUL46" s="31"/>
      <c r="RUM46" s="31"/>
      <c r="RUN46" s="31"/>
      <c r="RUO46" s="31"/>
      <c r="RUP46" s="31"/>
      <c r="RUQ46" s="31"/>
      <c r="RUR46" s="31"/>
      <c r="RUS46" s="31"/>
      <c r="RUT46" s="31"/>
      <c r="RUU46" s="31"/>
      <c r="RUV46" s="31"/>
      <c r="RUW46" s="31"/>
      <c r="RUX46" s="31"/>
      <c r="RUY46" s="31"/>
      <c r="RUZ46" s="31"/>
      <c r="RVA46" s="31"/>
      <c r="RVB46" s="31"/>
      <c r="RVC46" s="31"/>
      <c r="RVD46" s="31"/>
      <c r="RVE46" s="31"/>
      <c r="RVF46" s="31"/>
      <c r="RVG46" s="31"/>
      <c r="RVH46" s="31"/>
      <c r="RVI46" s="31"/>
      <c r="RVJ46" s="31"/>
      <c r="RVK46" s="31"/>
      <c r="RVL46" s="31"/>
      <c r="RVM46" s="31"/>
      <c r="RVN46" s="31"/>
      <c r="RVO46" s="31"/>
      <c r="RVP46" s="31"/>
      <c r="RVQ46" s="31"/>
      <c r="RVR46" s="31"/>
      <c r="RVS46" s="31"/>
      <c r="RVT46" s="31"/>
      <c r="RVU46" s="31"/>
      <c r="RVV46" s="31"/>
      <c r="RVW46" s="31"/>
      <c r="RVX46" s="31"/>
      <c r="RVY46" s="31"/>
      <c r="RVZ46" s="31"/>
      <c r="RWA46" s="31"/>
      <c r="RWB46" s="31"/>
      <c r="RWC46" s="31"/>
      <c r="RWD46" s="31"/>
      <c r="RWE46" s="31"/>
      <c r="RWF46" s="31"/>
      <c r="RWG46" s="31"/>
      <c r="RWH46" s="31"/>
      <c r="RWI46" s="31"/>
      <c r="RWJ46" s="31"/>
      <c r="RWK46" s="31"/>
      <c r="RWL46" s="31"/>
      <c r="RWM46" s="31"/>
      <c r="RWN46" s="31"/>
      <c r="RWO46" s="31"/>
      <c r="RWP46" s="31"/>
      <c r="RWQ46" s="31"/>
      <c r="RWR46" s="31"/>
      <c r="RWS46" s="31"/>
      <c r="RWT46" s="31"/>
      <c r="RWU46" s="31"/>
      <c r="RWV46" s="31"/>
      <c r="RWW46" s="31"/>
      <c r="RWX46" s="31"/>
      <c r="RWY46" s="31"/>
      <c r="RWZ46" s="31"/>
      <c r="RXA46" s="31"/>
      <c r="RXB46" s="31"/>
      <c r="RXC46" s="31"/>
      <c r="RXD46" s="31"/>
      <c r="RXE46" s="31"/>
      <c r="RXF46" s="31"/>
      <c r="RXG46" s="31"/>
      <c r="RXH46" s="31"/>
      <c r="RXI46" s="31"/>
      <c r="RXJ46" s="31"/>
      <c r="RXK46" s="31"/>
      <c r="RXL46" s="31"/>
      <c r="RXM46" s="31"/>
      <c r="RXN46" s="31"/>
      <c r="RXO46" s="31"/>
      <c r="RXP46" s="31"/>
      <c r="RXQ46" s="31"/>
      <c r="RXR46" s="31"/>
      <c r="RXS46" s="31"/>
      <c r="RXT46" s="31"/>
      <c r="RXU46" s="31"/>
      <c r="RXV46" s="31"/>
      <c r="RXW46" s="31"/>
      <c r="RXX46" s="31"/>
      <c r="RXY46" s="31"/>
      <c r="RXZ46" s="31"/>
      <c r="RYA46" s="31"/>
      <c r="RYB46" s="31"/>
      <c r="RYC46" s="31"/>
      <c r="RYD46" s="31"/>
      <c r="RYE46" s="31"/>
      <c r="RYF46" s="31"/>
      <c r="RYG46" s="31"/>
      <c r="RYH46" s="31"/>
      <c r="RYI46" s="31"/>
      <c r="RYJ46" s="31"/>
      <c r="RYK46" s="31"/>
      <c r="RYL46" s="31"/>
      <c r="RYM46" s="31"/>
      <c r="RYN46" s="31"/>
      <c r="RYO46" s="31"/>
      <c r="RYP46" s="31"/>
      <c r="RYQ46" s="31"/>
      <c r="RYR46" s="31"/>
      <c r="RYS46" s="31"/>
      <c r="RYT46" s="31"/>
      <c r="RYU46" s="31"/>
      <c r="RYV46" s="31"/>
      <c r="RYW46" s="31"/>
      <c r="RYX46" s="31"/>
      <c r="RYY46" s="31"/>
      <c r="RYZ46" s="31"/>
      <c r="RZA46" s="31"/>
      <c r="RZB46" s="31"/>
      <c r="RZC46" s="31"/>
      <c r="RZD46" s="31"/>
      <c r="RZE46" s="31"/>
      <c r="RZF46" s="31"/>
      <c r="RZG46" s="31"/>
      <c r="RZH46" s="31"/>
      <c r="RZI46" s="31"/>
      <c r="RZJ46" s="31"/>
      <c r="RZK46" s="31"/>
      <c r="RZL46" s="31"/>
      <c r="RZM46" s="31"/>
      <c r="RZN46" s="31"/>
      <c r="RZO46" s="31"/>
      <c r="RZP46" s="31"/>
      <c r="RZQ46" s="31"/>
      <c r="RZR46" s="31"/>
      <c r="RZS46" s="31"/>
      <c r="RZT46" s="31"/>
      <c r="RZU46" s="31"/>
      <c r="RZV46" s="31"/>
      <c r="RZW46" s="31"/>
      <c r="RZX46" s="31"/>
      <c r="RZY46" s="31"/>
      <c r="RZZ46" s="31"/>
      <c r="SAA46" s="31"/>
      <c r="SAB46" s="31"/>
      <c r="SAC46" s="31"/>
      <c r="SAD46" s="31"/>
      <c r="SAE46" s="31"/>
      <c r="SAF46" s="31"/>
      <c r="SAG46" s="31"/>
      <c r="SAH46" s="31"/>
      <c r="SAI46" s="31"/>
      <c r="SAJ46" s="31"/>
      <c r="SAK46" s="31"/>
      <c r="SAL46" s="31"/>
      <c r="SAM46" s="31"/>
      <c r="SAN46" s="31"/>
      <c r="SAO46" s="31"/>
      <c r="SAP46" s="31"/>
      <c r="SAQ46" s="31"/>
      <c r="SAR46" s="31"/>
      <c r="SAS46" s="31"/>
      <c r="SAT46" s="31"/>
      <c r="SAU46" s="31"/>
      <c r="SAV46" s="31"/>
      <c r="SAW46" s="31"/>
      <c r="SAX46" s="31"/>
      <c r="SAY46" s="31"/>
      <c r="SAZ46" s="31"/>
      <c r="SBA46" s="31"/>
      <c r="SBB46" s="31"/>
      <c r="SBC46" s="31"/>
      <c r="SBD46" s="31"/>
      <c r="SBE46" s="31"/>
      <c r="SBF46" s="31"/>
      <c r="SBG46" s="31"/>
      <c r="SBH46" s="31"/>
      <c r="SBI46" s="31"/>
      <c r="SBJ46" s="31"/>
      <c r="SBK46" s="31"/>
      <c r="SBL46" s="31"/>
      <c r="SBM46" s="31"/>
      <c r="SBN46" s="31"/>
      <c r="SBO46" s="31"/>
      <c r="SBP46" s="31"/>
      <c r="SBQ46" s="31"/>
      <c r="SBR46" s="31"/>
      <c r="SBS46" s="31"/>
      <c r="SBT46" s="31"/>
      <c r="SBU46" s="31"/>
      <c r="SBV46" s="31"/>
      <c r="SBW46" s="31"/>
      <c r="SBX46" s="31"/>
      <c r="SBY46" s="31"/>
      <c r="SBZ46" s="31"/>
      <c r="SCA46" s="31"/>
      <c r="SCB46" s="31"/>
      <c r="SCC46" s="31"/>
      <c r="SCD46" s="31"/>
      <c r="SCE46" s="31"/>
      <c r="SCF46" s="31"/>
      <c r="SCG46" s="31"/>
      <c r="SCH46" s="31"/>
      <c r="SCI46" s="31"/>
      <c r="SCJ46" s="31"/>
      <c r="SCK46" s="31"/>
      <c r="SCL46" s="31"/>
      <c r="SCM46" s="31"/>
      <c r="SCN46" s="31"/>
      <c r="SCO46" s="31"/>
      <c r="SCP46" s="31"/>
      <c r="SCQ46" s="31"/>
      <c r="SCR46" s="31"/>
      <c r="SCS46" s="31"/>
      <c r="SCT46" s="31"/>
      <c r="SCU46" s="31"/>
      <c r="SCV46" s="31"/>
      <c r="SCW46" s="31"/>
      <c r="SCX46" s="31"/>
      <c r="SCY46" s="31"/>
      <c r="SCZ46" s="31"/>
      <c r="SDA46" s="31"/>
      <c r="SDB46" s="31"/>
      <c r="SDC46" s="31"/>
      <c r="SDD46" s="31"/>
      <c r="SDE46" s="31"/>
      <c r="SDF46" s="31"/>
      <c r="SDG46" s="31"/>
      <c r="SDH46" s="31"/>
      <c r="SDI46" s="31"/>
      <c r="SDJ46" s="31"/>
      <c r="SDK46" s="31"/>
      <c r="SDL46" s="31"/>
      <c r="SDM46" s="31"/>
      <c r="SDN46" s="31"/>
      <c r="SDO46" s="31"/>
      <c r="SDP46" s="31"/>
      <c r="SDQ46" s="31"/>
      <c r="SDR46" s="31"/>
      <c r="SDS46" s="31"/>
      <c r="SDT46" s="31"/>
      <c r="SDU46" s="31"/>
      <c r="SDV46" s="31"/>
      <c r="SDW46" s="31"/>
      <c r="SDX46" s="31"/>
      <c r="SDY46" s="31"/>
      <c r="SDZ46" s="31"/>
      <c r="SEA46" s="31"/>
      <c r="SEB46" s="31"/>
      <c r="SEC46" s="31"/>
      <c r="SED46" s="31"/>
      <c r="SEE46" s="31"/>
      <c r="SEF46" s="31"/>
      <c r="SEG46" s="31"/>
      <c r="SEH46" s="31"/>
      <c r="SEI46" s="31"/>
      <c r="SEJ46" s="31"/>
      <c r="SEK46" s="31"/>
      <c r="SEL46" s="31"/>
      <c r="SEM46" s="31"/>
      <c r="SEN46" s="31"/>
      <c r="SEO46" s="31"/>
      <c r="SEP46" s="31"/>
      <c r="SEQ46" s="31"/>
      <c r="SER46" s="31"/>
      <c r="SES46" s="31"/>
      <c r="SET46" s="31"/>
      <c r="SEU46" s="31"/>
      <c r="SEV46" s="31"/>
      <c r="SEW46" s="31"/>
      <c r="SEX46" s="31"/>
      <c r="SEY46" s="31"/>
      <c r="SEZ46" s="31"/>
      <c r="SFA46" s="31"/>
      <c r="SFB46" s="31"/>
      <c r="SFC46" s="31"/>
      <c r="SFD46" s="31"/>
      <c r="SFE46" s="31"/>
      <c r="SFF46" s="31"/>
      <c r="SFG46" s="31"/>
      <c r="SFH46" s="31"/>
      <c r="SFI46" s="31"/>
      <c r="SFJ46" s="31"/>
      <c r="SFK46" s="31"/>
      <c r="SFL46" s="31"/>
      <c r="SFM46" s="31"/>
      <c r="SFN46" s="31"/>
      <c r="SFO46" s="31"/>
      <c r="SFP46" s="31"/>
      <c r="SFQ46" s="31"/>
      <c r="SFR46" s="31"/>
      <c r="SFS46" s="31"/>
      <c r="SFT46" s="31"/>
      <c r="SFU46" s="31"/>
      <c r="SFV46" s="31"/>
      <c r="SFW46" s="31"/>
      <c r="SFX46" s="31"/>
      <c r="SFY46" s="31"/>
      <c r="SFZ46" s="31"/>
      <c r="SGA46" s="31"/>
      <c r="SGB46" s="31"/>
      <c r="SGC46" s="31"/>
      <c r="SGD46" s="31"/>
      <c r="SGE46" s="31"/>
      <c r="SGF46" s="31"/>
      <c r="SGG46" s="31"/>
      <c r="SGH46" s="31"/>
      <c r="SGI46" s="31"/>
      <c r="SGJ46" s="31"/>
      <c r="SGK46" s="31"/>
      <c r="SGL46" s="31"/>
      <c r="SGM46" s="31"/>
      <c r="SGN46" s="31"/>
      <c r="SGO46" s="31"/>
      <c r="SGP46" s="31"/>
      <c r="SGQ46" s="31"/>
      <c r="SGR46" s="31"/>
      <c r="SGS46" s="31"/>
      <c r="SGT46" s="31"/>
      <c r="SGU46" s="31"/>
      <c r="SGV46" s="31"/>
      <c r="SGW46" s="31"/>
      <c r="SGX46" s="31"/>
      <c r="SGY46" s="31"/>
      <c r="SGZ46" s="31"/>
      <c r="SHA46" s="31"/>
      <c r="SHB46" s="31"/>
      <c r="SHC46" s="31"/>
      <c r="SHD46" s="31"/>
      <c r="SHE46" s="31"/>
      <c r="SHF46" s="31"/>
      <c r="SHG46" s="31"/>
      <c r="SHH46" s="31"/>
      <c r="SHI46" s="31"/>
      <c r="SHJ46" s="31"/>
      <c r="SHK46" s="31"/>
      <c r="SHL46" s="31"/>
      <c r="SHM46" s="31"/>
      <c r="SHN46" s="31"/>
      <c r="SHO46" s="31"/>
      <c r="SHP46" s="31"/>
      <c r="SHQ46" s="31"/>
      <c r="SHR46" s="31"/>
      <c r="SHS46" s="31"/>
      <c r="SHT46" s="31"/>
      <c r="SHU46" s="31"/>
      <c r="SHV46" s="31"/>
      <c r="SHW46" s="31"/>
      <c r="SHX46" s="31"/>
      <c r="SHY46" s="31"/>
      <c r="SHZ46" s="31"/>
      <c r="SIA46" s="31"/>
      <c r="SIB46" s="31"/>
      <c r="SIC46" s="31"/>
      <c r="SID46" s="31"/>
      <c r="SIE46" s="31"/>
      <c r="SIF46" s="31"/>
      <c r="SIG46" s="31"/>
      <c r="SIH46" s="31"/>
      <c r="SII46" s="31"/>
      <c r="SIJ46" s="31"/>
      <c r="SIK46" s="31"/>
      <c r="SIL46" s="31"/>
      <c r="SIM46" s="31"/>
      <c r="SIN46" s="31"/>
      <c r="SIO46" s="31"/>
      <c r="SIP46" s="31"/>
      <c r="SIQ46" s="31"/>
      <c r="SIR46" s="31"/>
      <c r="SIS46" s="31"/>
      <c r="SIT46" s="31"/>
      <c r="SIU46" s="31"/>
      <c r="SIV46" s="31"/>
      <c r="SIW46" s="31"/>
      <c r="SIX46" s="31"/>
      <c r="SIY46" s="31"/>
      <c r="SIZ46" s="31"/>
      <c r="SJA46" s="31"/>
      <c r="SJB46" s="31"/>
      <c r="SJC46" s="31"/>
      <c r="SJD46" s="31"/>
      <c r="SJE46" s="31"/>
      <c r="SJF46" s="31"/>
      <c r="SJG46" s="31"/>
      <c r="SJH46" s="31"/>
      <c r="SJI46" s="31"/>
      <c r="SJJ46" s="31"/>
      <c r="SJK46" s="31"/>
      <c r="SJL46" s="31"/>
      <c r="SJM46" s="31"/>
      <c r="SJN46" s="31"/>
      <c r="SJO46" s="31"/>
      <c r="SJP46" s="31"/>
      <c r="SJQ46" s="31"/>
      <c r="SJR46" s="31"/>
      <c r="SJS46" s="31"/>
      <c r="SJT46" s="31"/>
      <c r="SJU46" s="31"/>
      <c r="SJV46" s="31"/>
      <c r="SJW46" s="31"/>
      <c r="SJX46" s="31"/>
      <c r="SJY46" s="31"/>
      <c r="SJZ46" s="31"/>
      <c r="SKA46" s="31"/>
      <c r="SKB46" s="31"/>
      <c r="SKC46" s="31"/>
      <c r="SKD46" s="31"/>
      <c r="SKE46" s="31"/>
      <c r="SKF46" s="31"/>
      <c r="SKG46" s="31"/>
      <c r="SKH46" s="31"/>
      <c r="SKI46" s="31"/>
      <c r="SKJ46" s="31"/>
      <c r="SKK46" s="31"/>
      <c r="SKL46" s="31"/>
      <c r="SKM46" s="31"/>
      <c r="SKN46" s="31"/>
      <c r="SKO46" s="31"/>
      <c r="SKP46" s="31"/>
      <c r="SKQ46" s="31"/>
      <c r="SKR46" s="31"/>
      <c r="SKS46" s="31"/>
      <c r="SKT46" s="31"/>
      <c r="SKU46" s="31"/>
      <c r="SKV46" s="31"/>
      <c r="SKW46" s="31"/>
      <c r="SKX46" s="31"/>
      <c r="SKY46" s="31"/>
      <c r="SKZ46" s="31"/>
      <c r="SLA46" s="31"/>
      <c r="SLB46" s="31"/>
      <c r="SLC46" s="31"/>
      <c r="SLD46" s="31"/>
      <c r="SLE46" s="31"/>
      <c r="SLF46" s="31"/>
      <c r="SLG46" s="31"/>
      <c r="SLH46" s="31"/>
      <c r="SLI46" s="31"/>
      <c r="SLJ46" s="31"/>
      <c r="SLK46" s="31"/>
      <c r="SLL46" s="31"/>
      <c r="SLM46" s="31"/>
      <c r="SLN46" s="31"/>
      <c r="SLO46" s="31"/>
      <c r="SLP46" s="31"/>
      <c r="SLQ46" s="31"/>
      <c r="SLR46" s="31"/>
      <c r="SLS46" s="31"/>
      <c r="SLT46" s="31"/>
      <c r="SLU46" s="31"/>
      <c r="SLV46" s="31"/>
      <c r="SLW46" s="31"/>
      <c r="SLX46" s="31"/>
      <c r="SLY46" s="31"/>
      <c r="SLZ46" s="31"/>
      <c r="SMA46" s="31"/>
      <c r="SMB46" s="31"/>
      <c r="SMC46" s="31"/>
      <c r="SMD46" s="31"/>
      <c r="SME46" s="31"/>
      <c r="SMF46" s="31"/>
      <c r="SMG46" s="31"/>
      <c r="SMH46" s="31"/>
      <c r="SMI46" s="31"/>
      <c r="SMJ46" s="31"/>
      <c r="SMK46" s="31"/>
      <c r="SML46" s="31"/>
      <c r="SMM46" s="31"/>
      <c r="SMN46" s="31"/>
      <c r="SMO46" s="31"/>
      <c r="SMP46" s="31"/>
      <c r="SMQ46" s="31"/>
      <c r="SMR46" s="31"/>
      <c r="SMS46" s="31"/>
      <c r="SMT46" s="31"/>
      <c r="SMU46" s="31"/>
      <c r="SMV46" s="31"/>
      <c r="SMW46" s="31"/>
      <c r="SMX46" s="31"/>
      <c r="SMY46" s="31"/>
      <c r="SMZ46" s="31"/>
      <c r="SNA46" s="31"/>
      <c r="SNB46" s="31"/>
      <c r="SNC46" s="31"/>
      <c r="SND46" s="31"/>
      <c r="SNE46" s="31"/>
      <c r="SNF46" s="31"/>
      <c r="SNG46" s="31"/>
      <c r="SNH46" s="31"/>
      <c r="SNI46" s="31"/>
      <c r="SNJ46" s="31"/>
      <c r="SNK46" s="31"/>
      <c r="SNL46" s="31"/>
      <c r="SNM46" s="31"/>
      <c r="SNN46" s="31"/>
      <c r="SNO46" s="31"/>
      <c r="SNP46" s="31"/>
      <c r="SNQ46" s="31"/>
      <c r="SNR46" s="31"/>
      <c r="SNS46" s="31"/>
      <c r="SNT46" s="31"/>
      <c r="SNU46" s="31"/>
      <c r="SNV46" s="31"/>
      <c r="SNW46" s="31"/>
      <c r="SNX46" s="31"/>
      <c r="SNY46" s="31"/>
      <c r="SNZ46" s="31"/>
      <c r="SOA46" s="31"/>
      <c r="SOB46" s="31"/>
      <c r="SOC46" s="31"/>
      <c r="SOD46" s="31"/>
      <c r="SOE46" s="31"/>
      <c r="SOF46" s="31"/>
      <c r="SOG46" s="31"/>
      <c r="SOH46" s="31"/>
      <c r="SOI46" s="31"/>
      <c r="SOJ46" s="31"/>
      <c r="SOK46" s="31"/>
      <c r="SOL46" s="31"/>
      <c r="SOM46" s="31"/>
      <c r="SON46" s="31"/>
      <c r="SOO46" s="31"/>
      <c r="SOP46" s="31"/>
      <c r="SOQ46" s="31"/>
      <c r="SOR46" s="31"/>
      <c r="SOS46" s="31"/>
      <c r="SOT46" s="31"/>
      <c r="SOU46" s="31"/>
      <c r="SOV46" s="31"/>
      <c r="SOW46" s="31"/>
      <c r="SOX46" s="31"/>
      <c r="SOY46" s="31"/>
      <c r="SOZ46" s="31"/>
      <c r="SPA46" s="31"/>
      <c r="SPB46" s="31"/>
      <c r="SPC46" s="31"/>
      <c r="SPD46" s="31"/>
      <c r="SPE46" s="31"/>
      <c r="SPF46" s="31"/>
      <c r="SPG46" s="31"/>
      <c r="SPH46" s="31"/>
      <c r="SPI46" s="31"/>
      <c r="SPJ46" s="31"/>
      <c r="SPK46" s="31"/>
      <c r="SPL46" s="31"/>
      <c r="SPM46" s="31"/>
      <c r="SPN46" s="31"/>
      <c r="SPO46" s="31"/>
      <c r="SPP46" s="31"/>
      <c r="SPQ46" s="31"/>
      <c r="SPR46" s="31"/>
      <c r="SPS46" s="31"/>
      <c r="SPT46" s="31"/>
      <c r="SPU46" s="31"/>
      <c r="SPV46" s="31"/>
      <c r="SPW46" s="31"/>
      <c r="SPX46" s="31"/>
      <c r="SPY46" s="31"/>
      <c r="SPZ46" s="31"/>
      <c r="SQA46" s="31"/>
      <c r="SQB46" s="31"/>
      <c r="SQC46" s="31"/>
      <c r="SQD46" s="31"/>
      <c r="SQE46" s="31"/>
      <c r="SQF46" s="31"/>
      <c r="SQG46" s="31"/>
      <c r="SQH46" s="31"/>
      <c r="SQI46" s="31"/>
      <c r="SQJ46" s="31"/>
      <c r="SQK46" s="31"/>
      <c r="SQL46" s="31"/>
      <c r="SQM46" s="31"/>
      <c r="SQN46" s="31"/>
      <c r="SQO46" s="31"/>
      <c r="SQP46" s="31"/>
      <c r="SQQ46" s="31"/>
      <c r="SQR46" s="31"/>
      <c r="SQS46" s="31"/>
      <c r="SQT46" s="31"/>
      <c r="SQU46" s="31"/>
      <c r="SQV46" s="31"/>
      <c r="SQW46" s="31"/>
      <c r="SQX46" s="31"/>
      <c r="SQY46" s="31"/>
      <c r="SQZ46" s="31"/>
      <c r="SRA46" s="31"/>
      <c r="SRB46" s="31"/>
      <c r="SRC46" s="31"/>
      <c r="SRD46" s="31"/>
      <c r="SRE46" s="31"/>
      <c r="SRF46" s="31"/>
      <c r="SRG46" s="31"/>
      <c r="SRH46" s="31"/>
      <c r="SRI46" s="31"/>
      <c r="SRJ46" s="31"/>
      <c r="SRK46" s="31"/>
      <c r="SRL46" s="31"/>
      <c r="SRM46" s="31"/>
      <c r="SRN46" s="31"/>
      <c r="SRO46" s="31"/>
      <c r="SRP46" s="31"/>
      <c r="SRQ46" s="31"/>
      <c r="SRR46" s="31"/>
      <c r="SRS46" s="31"/>
      <c r="SRT46" s="31"/>
      <c r="SRU46" s="31"/>
      <c r="SRV46" s="31"/>
      <c r="SRW46" s="31"/>
      <c r="SRX46" s="31"/>
      <c r="SRY46" s="31"/>
      <c r="SRZ46" s="31"/>
      <c r="SSA46" s="31"/>
      <c r="SSB46" s="31"/>
      <c r="SSC46" s="31"/>
      <c r="SSD46" s="31"/>
      <c r="SSE46" s="31"/>
      <c r="SSF46" s="31"/>
      <c r="SSG46" s="31"/>
      <c r="SSH46" s="31"/>
      <c r="SSI46" s="31"/>
      <c r="SSJ46" s="31"/>
      <c r="SSK46" s="31"/>
      <c r="SSL46" s="31"/>
      <c r="SSM46" s="31"/>
      <c r="SSN46" s="31"/>
      <c r="SSO46" s="31"/>
      <c r="SSP46" s="31"/>
      <c r="SSQ46" s="31"/>
      <c r="SSR46" s="31"/>
      <c r="SSS46" s="31"/>
      <c r="SST46" s="31"/>
      <c r="SSU46" s="31"/>
      <c r="SSV46" s="31"/>
      <c r="SSW46" s="31"/>
      <c r="SSX46" s="31"/>
      <c r="SSY46" s="31"/>
      <c r="SSZ46" s="31"/>
      <c r="STA46" s="31"/>
      <c r="STB46" s="31"/>
      <c r="STC46" s="31"/>
      <c r="STD46" s="31"/>
      <c r="STE46" s="31"/>
      <c r="STF46" s="31"/>
      <c r="STG46" s="31"/>
      <c r="STH46" s="31"/>
      <c r="STI46" s="31"/>
      <c r="STJ46" s="31"/>
      <c r="STK46" s="31"/>
      <c r="STL46" s="31"/>
      <c r="STM46" s="31"/>
      <c r="STN46" s="31"/>
      <c r="STO46" s="31"/>
      <c r="STP46" s="31"/>
      <c r="STQ46" s="31"/>
      <c r="STR46" s="31"/>
      <c r="STS46" s="31"/>
      <c r="STT46" s="31"/>
      <c r="STU46" s="31"/>
      <c r="STV46" s="31"/>
      <c r="STW46" s="31"/>
      <c r="STX46" s="31"/>
      <c r="STY46" s="31"/>
      <c r="STZ46" s="31"/>
      <c r="SUA46" s="31"/>
      <c r="SUB46" s="31"/>
      <c r="SUC46" s="31"/>
      <c r="SUD46" s="31"/>
      <c r="SUE46" s="31"/>
      <c r="SUF46" s="31"/>
      <c r="SUG46" s="31"/>
      <c r="SUH46" s="31"/>
      <c r="SUI46" s="31"/>
      <c r="SUJ46" s="31"/>
      <c r="SUK46" s="31"/>
      <c r="SUL46" s="31"/>
      <c r="SUM46" s="31"/>
      <c r="SUN46" s="31"/>
      <c r="SUO46" s="31"/>
      <c r="SUP46" s="31"/>
      <c r="SUQ46" s="31"/>
      <c r="SUR46" s="31"/>
      <c r="SUS46" s="31"/>
      <c r="SUT46" s="31"/>
      <c r="SUU46" s="31"/>
      <c r="SUV46" s="31"/>
      <c r="SUW46" s="31"/>
      <c r="SUX46" s="31"/>
      <c r="SUY46" s="31"/>
      <c r="SUZ46" s="31"/>
      <c r="SVA46" s="31"/>
      <c r="SVB46" s="31"/>
      <c r="SVC46" s="31"/>
      <c r="SVD46" s="31"/>
      <c r="SVE46" s="31"/>
      <c r="SVF46" s="31"/>
      <c r="SVG46" s="31"/>
      <c r="SVH46" s="31"/>
      <c r="SVI46" s="31"/>
      <c r="SVJ46" s="31"/>
      <c r="SVK46" s="31"/>
      <c r="SVL46" s="31"/>
      <c r="SVM46" s="31"/>
      <c r="SVN46" s="31"/>
      <c r="SVO46" s="31"/>
      <c r="SVP46" s="31"/>
      <c r="SVQ46" s="31"/>
      <c r="SVR46" s="31"/>
      <c r="SVS46" s="31"/>
      <c r="SVT46" s="31"/>
      <c r="SVU46" s="31"/>
      <c r="SVV46" s="31"/>
      <c r="SVW46" s="31"/>
      <c r="SVX46" s="31"/>
      <c r="SVY46" s="31"/>
      <c r="SVZ46" s="31"/>
      <c r="SWA46" s="31"/>
      <c r="SWB46" s="31"/>
      <c r="SWC46" s="31"/>
      <c r="SWD46" s="31"/>
      <c r="SWE46" s="31"/>
      <c r="SWF46" s="31"/>
      <c r="SWG46" s="31"/>
      <c r="SWH46" s="31"/>
      <c r="SWI46" s="31"/>
      <c r="SWJ46" s="31"/>
      <c r="SWK46" s="31"/>
      <c r="SWL46" s="31"/>
      <c r="SWM46" s="31"/>
      <c r="SWN46" s="31"/>
      <c r="SWO46" s="31"/>
      <c r="SWP46" s="31"/>
      <c r="SWQ46" s="31"/>
      <c r="SWR46" s="31"/>
      <c r="SWS46" s="31"/>
      <c r="SWT46" s="31"/>
      <c r="SWU46" s="31"/>
      <c r="SWV46" s="31"/>
      <c r="SWW46" s="31"/>
      <c r="SWX46" s="31"/>
      <c r="SWY46" s="31"/>
      <c r="SWZ46" s="31"/>
      <c r="SXA46" s="31"/>
      <c r="SXB46" s="31"/>
      <c r="SXC46" s="31"/>
      <c r="SXD46" s="31"/>
      <c r="SXE46" s="31"/>
      <c r="SXF46" s="31"/>
      <c r="SXG46" s="31"/>
      <c r="SXH46" s="31"/>
      <c r="SXI46" s="31"/>
      <c r="SXJ46" s="31"/>
      <c r="SXK46" s="31"/>
      <c r="SXL46" s="31"/>
      <c r="SXM46" s="31"/>
      <c r="SXN46" s="31"/>
      <c r="SXO46" s="31"/>
      <c r="SXP46" s="31"/>
      <c r="SXQ46" s="31"/>
      <c r="SXR46" s="31"/>
      <c r="SXS46" s="31"/>
      <c r="SXT46" s="31"/>
      <c r="SXU46" s="31"/>
      <c r="SXV46" s="31"/>
      <c r="SXW46" s="31"/>
      <c r="SXX46" s="31"/>
      <c r="SXY46" s="31"/>
      <c r="SXZ46" s="31"/>
      <c r="SYA46" s="31"/>
      <c r="SYB46" s="31"/>
      <c r="SYC46" s="31"/>
      <c r="SYD46" s="31"/>
      <c r="SYE46" s="31"/>
      <c r="SYF46" s="31"/>
      <c r="SYG46" s="31"/>
      <c r="SYH46" s="31"/>
      <c r="SYI46" s="31"/>
      <c r="SYJ46" s="31"/>
      <c r="SYK46" s="31"/>
      <c r="SYL46" s="31"/>
      <c r="SYM46" s="31"/>
      <c r="SYN46" s="31"/>
      <c r="SYO46" s="31"/>
      <c r="SYP46" s="31"/>
      <c r="SYQ46" s="31"/>
      <c r="SYR46" s="31"/>
      <c r="SYS46" s="31"/>
      <c r="SYT46" s="31"/>
      <c r="SYU46" s="31"/>
      <c r="SYV46" s="31"/>
      <c r="SYW46" s="31"/>
      <c r="SYX46" s="31"/>
      <c r="SYY46" s="31"/>
      <c r="SYZ46" s="31"/>
      <c r="SZA46" s="31"/>
      <c r="SZB46" s="31"/>
      <c r="SZC46" s="31"/>
      <c r="SZD46" s="31"/>
      <c r="SZE46" s="31"/>
      <c r="SZF46" s="31"/>
      <c r="SZG46" s="31"/>
      <c r="SZH46" s="31"/>
      <c r="SZI46" s="31"/>
      <c r="SZJ46" s="31"/>
      <c r="SZK46" s="31"/>
      <c r="SZL46" s="31"/>
      <c r="SZM46" s="31"/>
      <c r="SZN46" s="31"/>
      <c r="SZO46" s="31"/>
      <c r="SZP46" s="31"/>
      <c r="SZQ46" s="31"/>
      <c r="SZR46" s="31"/>
      <c r="SZS46" s="31"/>
      <c r="SZT46" s="31"/>
      <c r="SZU46" s="31"/>
      <c r="SZV46" s="31"/>
      <c r="SZW46" s="31"/>
      <c r="SZX46" s="31"/>
      <c r="SZY46" s="31"/>
      <c r="SZZ46" s="31"/>
      <c r="TAA46" s="31"/>
      <c r="TAB46" s="31"/>
      <c r="TAC46" s="31"/>
      <c r="TAD46" s="31"/>
      <c r="TAE46" s="31"/>
      <c r="TAF46" s="31"/>
      <c r="TAG46" s="31"/>
      <c r="TAH46" s="31"/>
      <c r="TAI46" s="31"/>
      <c r="TAJ46" s="31"/>
      <c r="TAK46" s="31"/>
      <c r="TAL46" s="31"/>
      <c r="TAM46" s="31"/>
      <c r="TAN46" s="31"/>
      <c r="TAO46" s="31"/>
      <c r="TAP46" s="31"/>
      <c r="TAQ46" s="31"/>
      <c r="TAR46" s="31"/>
      <c r="TAS46" s="31"/>
      <c r="TAT46" s="31"/>
      <c r="TAU46" s="31"/>
      <c r="TAV46" s="31"/>
      <c r="TAW46" s="31"/>
      <c r="TAX46" s="31"/>
      <c r="TAY46" s="31"/>
      <c r="TAZ46" s="31"/>
      <c r="TBA46" s="31"/>
      <c r="TBB46" s="31"/>
      <c r="TBC46" s="31"/>
      <c r="TBD46" s="31"/>
      <c r="TBE46" s="31"/>
      <c r="TBF46" s="31"/>
      <c r="TBG46" s="31"/>
      <c r="TBH46" s="31"/>
      <c r="TBI46" s="31"/>
      <c r="TBJ46" s="31"/>
      <c r="TBK46" s="31"/>
      <c r="TBL46" s="31"/>
      <c r="TBM46" s="31"/>
      <c r="TBN46" s="31"/>
      <c r="TBO46" s="31"/>
      <c r="TBP46" s="31"/>
      <c r="TBQ46" s="31"/>
      <c r="TBR46" s="31"/>
      <c r="TBS46" s="31"/>
      <c r="TBT46" s="31"/>
      <c r="TBU46" s="31"/>
      <c r="TBV46" s="31"/>
      <c r="TBW46" s="31"/>
      <c r="TBX46" s="31"/>
      <c r="TBY46" s="31"/>
      <c r="TBZ46" s="31"/>
      <c r="TCA46" s="31"/>
      <c r="TCB46" s="31"/>
      <c r="TCC46" s="31"/>
      <c r="TCD46" s="31"/>
      <c r="TCE46" s="31"/>
      <c r="TCF46" s="31"/>
      <c r="TCG46" s="31"/>
      <c r="TCH46" s="31"/>
      <c r="TCI46" s="31"/>
      <c r="TCJ46" s="31"/>
      <c r="TCK46" s="31"/>
      <c r="TCL46" s="31"/>
      <c r="TCM46" s="31"/>
      <c r="TCN46" s="31"/>
      <c r="TCO46" s="31"/>
      <c r="TCP46" s="31"/>
      <c r="TCQ46" s="31"/>
      <c r="TCR46" s="31"/>
      <c r="TCS46" s="31"/>
      <c r="TCT46" s="31"/>
      <c r="TCU46" s="31"/>
      <c r="TCV46" s="31"/>
      <c r="TCW46" s="31"/>
      <c r="TCX46" s="31"/>
      <c r="TCY46" s="31"/>
      <c r="TCZ46" s="31"/>
      <c r="TDA46" s="31"/>
      <c r="TDB46" s="31"/>
      <c r="TDC46" s="31"/>
      <c r="TDD46" s="31"/>
      <c r="TDE46" s="31"/>
      <c r="TDF46" s="31"/>
      <c r="TDG46" s="31"/>
      <c r="TDH46" s="31"/>
      <c r="TDI46" s="31"/>
      <c r="TDJ46" s="31"/>
      <c r="TDK46" s="31"/>
      <c r="TDL46" s="31"/>
      <c r="TDM46" s="31"/>
      <c r="TDN46" s="31"/>
      <c r="TDO46" s="31"/>
      <c r="TDP46" s="31"/>
      <c r="TDQ46" s="31"/>
      <c r="TDR46" s="31"/>
      <c r="TDS46" s="31"/>
      <c r="TDT46" s="31"/>
      <c r="TDU46" s="31"/>
      <c r="TDV46" s="31"/>
      <c r="TDW46" s="31"/>
      <c r="TDX46" s="31"/>
      <c r="TDY46" s="31"/>
      <c r="TDZ46" s="31"/>
      <c r="TEA46" s="31"/>
      <c r="TEB46" s="31"/>
      <c r="TEC46" s="31"/>
      <c r="TED46" s="31"/>
      <c r="TEE46" s="31"/>
      <c r="TEF46" s="31"/>
      <c r="TEG46" s="31"/>
      <c r="TEH46" s="31"/>
      <c r="TEI46" s="31"/>
      <c r="TEJ46" s="31"/>
      <c r="TEK46" s="31"/>
      <c r="TEL46" s="31"/>
      <c r="TEM46" s="31"/>
      <c r="TEN46" s="31"/>
      <c r="TEO46" s="31"/>
      <c r="TEP46" s="31"/>
      <c r="TEQ46" s="31"/>
      <c r="TER46" s="31"/>
      <c r="TES46" s="31"/>
      <c r="TET46" s="31"/>
      <c r="TEU46" s="31"/>
      <c r="TEV46" s="31"/>
      <c r="TEW46" s="31"/>
      <c r="TEX46" s="31"/>
      <c r="TEY46" s="31"/>
      <c r="TEZ46" s="31"/>
      <c r="TFA46" s="31"/>
      <c r="TFB46" s="31"/>
      <c r="TFC46" s="31"/>
      <c r="TFD46" s="31"/>
      <c r="TFE46" s="31"/>
      <c r="TFF46" s="31"/>
      <c r="TFG46" s="31"/>
      <c r="TFH46" s="31"/>
      <c r="TFI46" s="31"/>
      <c r="TFJ46" s="31"/>
      <c r="TFK46" s="31"/>
      <c r="TFL46" s="31"/>
      <c r="TFM46" s="31"/>
      <c r="TFN46" s="31"/>
      <c r="TFO46" s="31"/>
      <c r="TFP46" s="31"/>
      <c r="TFQ46" s="31"/>
      <c r="TFR46" s="31"/>
      <c r="TFS46" s="31"/>
      <c r="TFT46" s="31"/>
      <c r="TFU46" s="31"/>
      <c r="TFV46" s="31"/>
      <c r="TFW46" s="31"/>
      <c r="TFX46" s="31"/>
      <c r="TFY46" s="31"/>
      <c r="TFZ46" s="31"/>
      <c r="TGA46" s="31"/>
      <c r="TGB46" s="31"/>
      <c r="TGC46" s="31"/>
      <c r="TGD46" s="31"/>
      <c r="TGE46" s="31"/>
      <c r="TGF46" s="31"/>
      <c r="TGG46" s="31"/>
      <c r="TGH46" s="31"/>
      <c r="TGI46" s="31"/>
      <c r="TGJ46" s="31"/>
      <c r="TGK46" s="31"/>
      <c r="TGL46" s="31"/>
      <c r="TGM46" s="31"/>
      <c r="TGN46" s="31"/>
      <c r="TGO46" s="31"/>
      <c r="TGP46" s="31"/>
      <c r="TGQ46" s="31"/>
      <c r="TGR46" s="31"/>
      <c r="TGS46" s="31"/>
      <c r="TGT46" s="31"/>
      <c r="TGU46" s="31"/>
      <c r="TGV46" s="31"/>
      <c r="TGW46" s="31"/>
      <c r="TGX46" s="31"/>
      <c r="TGY46" s="31"/>
      <c r="TGZ46" s="31"/>
      <c r="THA46" s="31"/>
      <c r="THB46" s="31"/>
      <c r="THC46" s="31"/>
      <c r="THD46" s="31"/>
      <c r="THE46" s="31"/>
      <c r="THF46" s="31"/>
      <c r="THG46" s="31"/>
      <c r="THH46" s="31"/>
      <c r="THI46" s="31"/>
      <c r="THJ46" s="31"/>
      <c r="THK46" s="31"/>
      <c r="THL46" s="31"/>
      <c r="THM46" s="31"/>
      <c r="THN46" s="31"/>
      <c r="THO46" s="31"/>
      <c r="THP46" s="31"/>
      <c r="THQ46" s="31"/>
      <c r="THR46" s="31"/>
      <c r="THS46" s="31"/>
      <c r="THT46" s="31"/>
      <c r="THU46" s="31"/>
      <c r="THV46" s="31"/>
      <c r="THW46" s="31"/>
      <c r="THX46" s="31"/>
      <c r="THY46" s="31"/>
      <c r="THZ46" s="31"/>
      <c r="TIA46" s="31"/>
      <c r="TIB46" s="31"/>
      <c r="TIC46" s="31"/>
      <c r="TID46" s="31"/>
      <c r="TIE46" s="31"/>
      <c r="TIF46" s="31"/>
      <c r="TIG46" s="31"/>
      <c r="TIH46" s="31"/>
      <c r="TII46" s="31"/>
      <c r="TIJ46" s="31"/>
      <c r="TIK46" s="31"/>
      <c r="TIL46" s="31"/>
      <c r="TIM46" s="31"/>
      <c r="TIN46" s="31"/>
      <c r="TIO46" s="31"/>
      <c r="TIP46" s="31"/>
      <c r="TIQ46" s="31"/>
      <c r="TIR46" s="31"/>
      <c r="TIS46" s="31"/>
      <c r="TIT46" s="31"/>
      <c r="TIU46" s="31"/>
      <c r="TIV46" s="31"/>
      <c r="TIW46" s="31"/>
      <c r="TIX46" s="31"/>
      <c r="TIY46" s="31"/>
      <c r="TIZ46" s="31"/>
      <c r="TJA46" s="31"/>
      <c r="TJB46" s="31"/>
      <c r="TJC46" s="31"/>
      <c r="TJD46" s="31"/>
      <c r="TJE46" s="31"/>
      <c r="TJF46" s="31"/>
      <c r="TJG46" s="31"/>
      <c r="TJH46" s="31"/>
      <c r="TJI46" s="31"/>
      <c r="TJJ46" s="31"/>
      <c r="TJK46" s="31"/>
      <c r="TJL46" s="31"/>
      <c r="TJM46" s="31"/>
      <c r="TJN46" s="31"/>
      <c r="TJO46" s="31"/>
      <c r="TJP46" s="31"/>
      <c r="TJQ46" s="31"/>
      <c r="TJR46" s="31"/>
      <c r="TJS46" s="31"/>
      <c r="TJT46" s="31"/>
      <c r="TJU46" s="31"/>
      <c r="TJV46" s="31"/>
      <c r="TJW46" s="31"/>
      <c r="TJX46" s="31"/>
      <c r="TJY46" s="31"/>
      <c r="TJZ46" s="31"/>
      <c r="TKA46" s="31"/>
      <c r="TKB46" s="31"/>
      <c r="TKC46" s="31"/>
      <c r="TKD46" s="31"/>
      <c r="TKE46" s="31"/>
      <c r="TKF46" s="31"/>
      <c r="TKG46" s="31"/>
      <c r="TKH46" s="31"/>
      <c r="TKI46" s="31"/>
      <c r="TKJ46" s="31"/>
      <c r="TKK46" s="31"/>
      <c r="TKL46" s="31"/>
      <c r="TKM46" s="31"/>
      <c r="TKN46" s="31"/>
      <c r="TKO46" s="31"/>
      <c r="TKP46" s="31"/>
      <c r="TKQ46" s="31"/>
      <c r="TKR46" s="31"/>
      <c r="TKS46" s="31"/>
      <c r="TKT46" s="31"/>
      <c r="TKU46" s="31"/>
      <c r="TKV46" s="31"/>
      <c r="TKW46" s="31"/>
      <c r="TKX46" s="31"/>
      <c r="TKY46" s="31"/>
      <c r="TKZ46" s="31"/>
      <c r="TLA46" s="31"/>
      <c r="TLB46" s="31"/>
      <c r="TLC46" s="31"/>
      <c r="TLD46" s="31"/>
      <c r="TLE46" s="31"/>
      <c r="TLF46" s="31"/>
      <c r="TLG46" s="31"/>
      <c r="TLH46" s="31"/>
      <c r="TLI46" s="31"/>
      <c r="TLJ46" s="31"/>
      <c r="TLK46" s="31"/>
      <c r="TLL46" s="31"/>
      <c r="TLM46" s="31"/>
      <c r="TLN46" s="31"/>
      <c r="TLO46" s="31"/>
      <c r="TLP46" s="31"/>
      <c r="TLQ46" s="31"/>
      <c r="TLR46" s="31"/>
      <c r="TLS46" s="31"/>
      <c r="TLT46" s="31"/>
      <c r="TLU46" s="31"/>
      <c r="TLV46" s="31"/>
      <c r="TLW46" s="31"/>
      <c r="TLX46" s="31"/>
      <c r="TLY46" s="31"/>
      <c r="TLZ46" s="31"/>
      <c r="TMA46" s="31"/>
      <c r="TMB46" s="31"/>
      <c r="TMC46" s="31"/>
      <c r="TMD46" s="31"/>
      <c r="TME46" s="31"/>
      <c r="TMF46" s="31"/>
      <c r="TMG46" s="31"/>
      <c r="TMH46" s="31"/>
      <c r="TMI46" s="31"/>
      <c r="TMJ46" s="31"/>
      <c r="TMK46" s="31"/>
      <c r="TML46" s="31"/>
      <c r="TMM46" s="31"/>
      <c r="TMN46" s="31"/>
      <c r="TMO46" s="31"/>
      <c r="TMP46" s="31"/>
      <c r="TMQ46" s="31"/>
      <c r="TMR46" s="31"/>
      <c r="TMS46" s="31"/>
      <c r="TMT46" s="31"/>
      <c r="TMU46" s="31"/>
      <c r="TMV46" s="31"/>
      <c r="TMW46" s="31"/>
      <c r="TMX46" s="31"/>
      <c r="TMY46" s="31"/>
      <c r="TMZ46" s="31"/>
      <c r="TNA46" s="31"/>
      <c r="TNB46" s="31"/>
      <c r="TNC46" s="31"/>
      <c r="TND46" s="31"/>
      <c r="TNE46" s="31"/>
      <c r="TNF46" s="31"/>
      <c r="TNG46" s="31"/>
      <c r="TNH46" s="31"/>
      <c r="TNI46" s="31"/>
      <c r="TNJ46" s="31"/>
      <c r="TNK46" s="31"/>
      <c r="TNL46" s="31"/>
      <c r="TNM46" s="31"/>
      <c r="TNN46" s="31"/>
      <c r="TNO46" s="31"/>
      <c r="TNP46" s="31"/>
      <c r="TNQ46" s="31"/>
      <c r="TNR46" s="31"/>
      <c r="TNS46" s="31"/>
      <c r="TNT46" s="31"/>
      <c r="TNU46" s="31"/>
      <c r="TNV46" s="31"/>
      <c r="TNW46" s="31"/>
      <c r="TNX46" s="31"/>
      <c r="TNY46" s="31"/>
      <c r="TNZ46" s="31"/>
      <c r="TOA46" s="31"/>
      <c r="TOB46" s="31"/>
      <c r="TOC46" s="31"/>
      <c r="TOD46" s="31"/>
      <c r="TOE46" s="31"/>
      <c r="TOF46" s="31"/>
      <c r="TOG46" s="31"/>
      <c r="TOH46" s="31"/>
      <c r="TOI46" s="31"/>
      <c r="TOJ46" s="31"/>
      <c r="TOK46" s="31"/>
      <c r="TOL46" s="31"/>
      <c r="TOM46" s="31"/>
      <c r="TON46" s="31"/>
      <c r="TOO46" s="31"/>
      <c r="TOP46" s="31"/>
      <c r="TOQ46" s="31"/>
      <c r="TOR46" s="31"/>
      <c r="TOS46" s="31"/>
      <c r="TOT46" s="31"/>
      <c r="TOU46" s="31"/>
      <c r="TOV46" s="31"/>
      <c r="TOW46" s="31"/>
      <c r="TOX46" s="31"/>
      <c r="TOY46" s="31"/>
      <c r="TOZ46" s="31"/>
      <c r="TPA46" s="31"/>
      <c r="TPB46" s="31"/>
      <c r="TPC46" s="31"/>
      <c r="TPD46" s="31"/>
      <c r="TPE46" s="31"/>
      <c r="TPF46" s="31"/>
      <c r="TPG46" s="31"/>
      <c r="TPH46" s="31"/>
      <c r="TPI46" s="31"/>
      <c r="TPJ46" s="31"/>
      <c r="TPK46" s="31"/>
      <c r="TPL46" s="31"/>
      <c r="TPM46" s="31"/>
      <c r="TPN46" s="31"/>
      <c r="TPO46" s="31"/>
      <c r="TPP46" s="31"/>
      <c r="TPQ46" s="31"/>
      <c r="TPR46" s="31"/>
      <c r="TPS46" s="31"/>
      <c r="TPT46" s="31"/>
      <c r="TPU46" s="31"/>
      <c r="TPV46" s="31"/>
      <c r="TPW46" s="31"/>
      <c r="TPX46" s="31"/>
      <c r="TPY46" s="31"/>
      <c r="TPZ46" s="31"/>
      <c r="TQA46" s="31"/>
      <c r="TQB46" s="31"/>
      <c r="TQC46" s="31"/>
      <c r="TQD46" s="31"/>
      <c r="TQE46" s="31"/>
      <c r="TQF46" s="31"/>
      <c r="TQG46" s="31"/>
      <c r="TQH46" s="31"/>
      <c r="TQI46" s="31"/>
      <c r="TQJ46" s="31"/>
      <c r="TQK46" s="31"/>
      <c r="TQL46" s="31"/>
      <c r="TQM46" s="31"/>
      <c r="TQN46" s="31"/>
      <c r="TQO46" s="31"/>
      <c r="TQP46" s="31"/>
      <c r="TQQ46" s="31"/>
      <c r="TQR46" s="31"/>
      <c r="TQS46" s="31"/>
      <c r="TQT46" s="31"/>
      <c r="TQU46" s="31"/>
      <c r="TQV46" s="31"/>
      <c r="TQW46" s="31"/>
      <c r="TQX46" s="31"/>
      <c r="TQY46" s="31"/>
      <c r="TQZ46" s="31"/>
      <c r="TRA46" s="31"/>
      <c r="TRB46" s="31"/>
      <c r="TRC46" s="31"/>
      <c r="TRD46" s="31"/>
      <c r="TRE46" s="31"/>
      <c r="TRF46" s="31"/>
      <c r="TRG46" s="31"/>
      <c r="TRH46" s="31"/>
      <c r="TRI46" s="31"/>
      <c r="TRJ46" s="31"/>
      <c r="TRK46" s="31"/>
      <c r="TRL46" s="31"/>
      <c r="TRM46" s="31"/>
      <c r="TRN46" s="31"/>
      <c r="TRO46" s="31"/>
      <c r="TRP46" s="31"/>
      <c r="TRQ46" s="31"/>
      <c r="TRR46" s="31"/>
      <c r="TRS46" s="31"/>
      <c r="TRT46" s="31"/>
      <c r="TRU46" s="31"/>
      <c r="TRV46" s="31"/>
      <c r="TRW46" s="31"/>
      <c r="TRX46" s="31"/>
      <c r="TRY46" s="31"/>
      <c r="TRZ46" s="31"/>
      <c r="TSA46" s="31"/>
      <c r="TSB46" s="31"/>
      <c r="TSC46" s="31"/>
      <c r="TSD46" s="31"/>
      <c r="TSE46" s="31"/>
      <c r="TSF46" s="31"/>
      <c r="TSG46" s="31"/>
      <c r="TSH46" s="31"/>
      <c r="TSI46" s="31"/>
      <c r="TSJ46" s="31"/>
      <c r="TSK46" s="31"/>
      <c r="TSL46" s="31"/>
      <c r="TSM46" s="31"/>
      <c r="TSN46" s="31"/>
      <c r="TSO46" s="31"/>
      <c r="TSP46" s="31"/>
      <c r="TSQ46" s="31"/>
      <c r="TSR46" s="31"/>
      <c r="TSS46" s="31"/>
      <c r="TST46" s="31"/>
      <c r="TSU46" s="31"/>
      <c r="TSV46" s="31"/>
      <c r="TSW46" s="31"/>
      <c r="TSX46" s="31"/>
      <c r="TSY46" s="31"/>
      <c r="TSZ46" s="31"/>
      <c r="TTA46" s="31"/>
      <c r="TTB46" s="31"/>
      <c r="TTC46" s="31"/>
      <c r="TTD46" s="31"/>
      <c r="TTE46" s="31"/>
      <c r="TTF46" s="31"/>
      <c r="TTG46" s="31"/>
      <c r="TTH46" s="31"/>
      <c r="TTI46" s="31"/>
      <c r="TTJ46" s="31"/>
      <c r="TTK46" s="31"/>
      <c r="TTL46" s="31"/>
      <c r="TTM46" s="31"/>
      <c r="TTN46" s="31"/>
      <c r="TTO46" s="31"/>
      <c r="TTP46" s="31"/>
      <c r="TTQ46" s="31"/>
      <c r="TTR46" s="31"/>
      <c r="TTS46" s="31"/>
      <c r="TTT46" s="31"/>
      <c r="TTU46" s="31"/>
      <c r="TTV46" s="31"/>
      <c r="TTW46" s="31"/>
      <c r="TTX46" s="31"/>
      <c r="TTY46" s="31"/>
      <c r="TTZ46" s="31"/>
      <c r="TUA46" s="31"/>
      <c r="TUB46" s="31"/>
      <c r="TUC46" s="31"/>
      <c r="TUD46" s="31"/>
      <c r="TUE46" s="31"/>
      <c r="TUF46" s="31"/>
      <c r="TUG46" s="31"/>
      <c r="TUH46" s="31"/>
      <c r="TUI46" s="31"/>
      <c r="TUJ46" s="31"/>
      <c r="TUK46" s="31"/>
      <c r="TUL46" s="31"/>
      <c r="TUM46" s="31"/>
      <c r="TUN46" s="31"/>
      <c r="TUO46" s="31"/>
      <c r="TUP46" s="31"/>
      <c r="TUQ46" s="31"/>
      <c r="TUR46" s="31"/>
      <c r="TUS46" s="31"/>
      <c r="TUT46" s="31"/>
      <c r="TUU46" s="31"/>
      <c r="TUV46" s="31"/>
      <c r="TUW46" s="31"/>
      <c r="TUX46" s="31"/>
      <c r="TUY46" s="31"/>
      <c r="TUZ46" s="31"/>
      <c r="TVA46" s="31"/>
      <c r="TVB46" s="31"/>
      <c r="TVC46" s="31"/>
      <c r="TVD46" s="31"/>
      <c r="TVE46" s="31"/>
      <c r="TVF46" s="31"/>
      <c r="TVG46" s="31"/>
      <c r="TVH46" s="31"/>
      <c r="TVI46" s="31"/>
      <c r="TVJ46" s="31"/>
      <c r="TVK46" s="31"/>
      <c r="TVL46" s="31"/>
      <c r="TVM46" s="31"/>
      <c r="TVN46" s="31"/>
      <c r="TVO46" s="31"/>
      <c r="TVP46" s="31"/>
      <c r="TVQ46" s="31"/>
      <c r="TVR46" s="31"/>
      <c r="TVS46" s="31"/>
      <c r="TVT46" s="31"/>
      <c r="TVU46" s="31"/>
      <c r="TVV46" s="31"/>
      <c r="TVW46" s="31"/>
      <c r="TVX46" s="31"/>
      <c r="TVY46" s="31"/>
      <c r="TVZ46" s="31"/>
      <c r="TWA46" s="31"/>
      <c r="TWB46" s="31"/>
      <c r="TWC46" s="31"/>
      <c r="TWD46" s="31"/>
      <c r="TWE46" s="31"/>
      <c r="TWF46" s="31"/>
      <c r="TWG46" s="31"/>
      <c r="TWH46" s="31"/>
      <c r="TWI46" s="31"/>
      <c r="TWJ46" s="31"/>
      <c r="TWK46" s="31"/>
      <c r="TWL46" s="31"/>
      <c r="TWM46" s="31"/>
      <c r="TWN46" s="31"/>
      <c r="TWO46" s="31"/>
      <c r="TWP46" s="31"/>
      <c r="TWQ46" s="31"/>
      <c r="TWR46" s="31"/>
      <c r="TWS46" s="31"/>
      <c r="TWT46" s="31"/>
      <c r="TWU46" s="31"/>
      <c r="TWV46" s="31"/>
      <c r="TWW46" s="31"/>
      <c r="TWX46" s="31"/>
      <c r="TWY46" s="31"/>
      <c r="TWZ46" s="31"/>
      <c r="TXA46" s="31"/>
      <c r="TXB46" s="31"/>
      <c r="TXC46" s="31"/>
      <c r="TXD46" s="31"/>
      <c r="TXE46" s="31"/>
      <c r="TXF46" s="31"/>
      <c r="TXG46" s="31"/>
      <c r="TXH46" s="31"/>
      <c r="TXI46" s="31"/>
      <c r="TXJ46" s="31"/>
      <c r="TXK46" s="31"/>
      <c r="TXL46" s="31"/>
      <c r="TXM46" s="31"/>
      <c r="TXN46" s="31"/>
      <c r="TXO46" s="31"/>
      <c r="TXP46" s="31"/>
      <c r="TXQ46" s="31"/>
      <c r="TXR46" s="31"/>
      <c r="TXS46" s="31"/>
      <c r="TXT46" s="31"/>
      <c r="TXU46" s="31"/>
      <c r="TXV46" s="31"/>
      <c r="TXW46" s="31"/>
      <c r="TXX46" s="31"/>
      <c r="TXY46" s="31"/>
      <c r="TXZ46" s="31"/>
      <c r="TYA46" s="31"/>
      <c r="TYB46" s="31"/>
      <c r="TYC46" s="31"/>
      <c r="TYD46" s="31"/>
      <c r="TYE46" s="31"/>
      <c r="TYF46" s="31"/>
      <c r="TYG46" s="31"/>
      <c r="TYH46" s="31"/>
      <c r="TYI46" s="31"/>
      <c r="TYJ46" s="31"/>
      <c r="TYK46" s="31"/>
      <c r="TYL46" s="31"/>
      <c r="TYM46" s="31"/>
      <c r="TYN46" s="31"/>
      <c r="TYO46" s="31"/>
      <c r="TYP46" s="31"/>
      <c r="TYQ46" s="31"/>
      <c r="TYR46" s="31"/>
      <c r="TYS46" s="31"/>
      <c r="TYT46" s="31"/>
      <c r="TYU46" s="31"/>
      <c r="TYV46" s="31"/>
      <c r="TYW46" s="31"/>
      <c r="TYX46" s="31"/>
      <c r="TYY46" s="31"/>
      <c r="TYZ46" s="31"/>
      <c r="TZA46" s="31"/>
      <c r="TZB46" s="31"/>
      <c r="TZC46" s="31"/>
      <c r="TZD46" s="31"/>
      <c r="TZE46" s="31"/>
      <c r="TZF46" s="31"/>
      <c r="TZG46" s="31"/>
      <c r="TZH46" s="31"/>
      <c r="TZI46" s="31"/>
      <c r="TZJ46" s="31"/>
      <c r="TZK46" s="31"/>
      <c r="TZL46" s="31"/>
      <c r="TZM46" s="31"/>
      <c r="TZN46" s="31"/>
      <c r="TZO46" s="31"/>
      <c r="TZP46" s="31"/>
      <c r="TZQ46" s="31"/>
      <c r="TZR46" s="31"/>
      <c r="TZS46" s="31"/>
      <c r="TZT46" s="31"/>
      <c r="TZU46" s="31"/>
      <c r="TZV46" s="31"/>
      <c r="TZW46" s="31"/>
      <c r="TZX46" s="31"/>
      <c r="TZY46" s="31"/>
      <c r="TZZ46" s="31"/>
      <c r="UAA46" s="31"/>
      <c r="UAB46" s="31"/>
      <c r="UAC46" s="31"/>
      <c r="UAD46" s="31"/>
      <c r="UAE46" s="31"/>
      <c r="UAF46" s="31"/>
      <c r="UAG46" s="31"/>
      <c r="UAH46" s="31"/>
      <c r="UAI46" s="31"/>
      <c r="UAJ46" s="31"/>
      <c r="UAK46" s="31"/>
      <c r="UAL46" s="31"/>
      <c r="UAM46" s="31"/>
      <c r="UAN46" s="31"/>
      <c r="UAO46" s="31"/>
      <c r="UAP46" s="31"/>
      <c r="UAQ46" s="31"/>
      <c r="UAR46" s="31"/>
      <c r="UAS46" s="31"/>
      <c r="UAT46" s="31"/>
      <c r="UAU46" s="31"/>
      <c r="UAV46" s="31"/>
      <c r="UAW46" s="31"/>
      <c r="UAX46" s="31"/>
      <c r="UAY46" s="31"/>
      <c r="UAZ46" s="31"/>
      <c r="UBA46" s="31"/>
      <c r="UBB46" s="31"/>
      <c r="UBC46" s="31"/>
      <c r="UBD46" s="31"/>
      <c r="UBE46" s="31"/>
      <c r="UBF46" s="31"/>
      <c r="UBG46" s="31"/>
      <c r="UBH46" s="31"/>
      <c r="UBI46" s="31"/>
      <c r="UBJ46" s="31"/>
      <c r="UBK46" s="31"/>
      <c r="UBL46" s="31"/>
      <c r="UBM46" s="31"/>
      <c r="UBN46" s="31"/>
      <c r="UBO46" s="31"/>
      <c r="UBP46" s="31"/>
      <c r="UBQ46" s="31"/>
      <c r="UBR46" s="31"/>
      <c r="UBS46" s="31"/>
      <c r="UBT46" s="31"/>
      <c r="UBU46" s="31"/>
      <c r="UBV46" s="31"/>
      <c r="UBW46" s="31"/>
      <c r="UBX46" s="31"/>
      <c r="UBY46" s="31"/>
      <c r="UBZ46" s="31"/>
      <c r="UCA46" s="31"/>
      <c r="UCB46" s="31"/>
      <c r="UCC46" s="31"/>
      <c r="UCD46" s="31"/>
      <c r="UCE46" s="31"/>
      <c r="UCF46" s="31"/>
      <c r="UCG46" s="31"/>
      <c r="UCH46" s="31"/>
      <c r="UCI46" s="31"/>
      <c r="UCJ46" s="31"/>
      <c r="UCK46" s="31"/>
      <c r="UCL46" s="31"/>
      <c r="UCM46" s="31"/>
      <c r="UCN46" s="31"/>
      <c r="UCO46" s="31"/>
      <c r="UCP46" s="31"/>
      <c r="UCQ46" s="31"/>
      <c r="UCR46" s="31"/>
      <c r="UCS46" s="31"/>
      <c r="UCT46" s="31"/>
      <c r="UCU46" s="31"/>
      <c r="UCV46" s="31"/>
      <c r="UCW46" s="31"/>
      <c r="UCX46" s="31"/>
      <c r="UCY46" s="31"/>
      <c r="UCZ46" s="31"/>
      <c r="UDA46" s="31"/>
      <c r="UDB46" s="31"/>
      <c r="UDC46" s="31"/>
      <c r="UDD46" s="31"/>
      <c r="UDE46" s="31"/>
      <c r="UDF46" s="31"/>
      <c r="UDG46" s="31"/>
      <c r="UDH46" s="31"/>
      <c r="UDI46" s="31"/>
      <c r="UDJ46" s="31"/>
      <c r="UDK46" s="31"/>
      <c r="UDL46" s="31"/>
      <c r="UDM46" s="31"/>
      <c r="UDN46" s="31"/>
      <c r="UDO46" s="31"/>
      <c r="UDP46" s="31"/>
      <c r="UDQ46" s="31"/>
      <c r="UDR46" s="31"/>
      <c r="UDS46" s="31"/>
      <c r="UDT46" s="31"/>
      <c r="UDU46" s="31"/>
      <c r="UDV46" s="31"/>
      <c r="UDW46" s="31"/>
      <c r="UDX46" s="31"/>
      <c r="UDY46" s="31"/>
      <c r="UDZ46" s="31"/>
      <c r="UEA46" s="31"/>
      <c r="UEB46" s="31"/>
      <c r="UEC46" s="31"/>
      <c r="UED46" s="31"/>
      <c r="UEE46" s="31"/>
      <c r="UEF46" s="31"/>
      <c r="UEG46" s="31"/>
      <c r="UEH46" s="31"/>
      <c r="UEI46" s="31"/>
      <c r="UEJ46" s="31"/>
      <c r="UEK46" s="31"/>
      <c r="UEL46" s="31"/>
      <c r="UEM46" s="31"/>
      <c r="UEN46" s="31"/>
      <c r="UEO46" s="31"/>
      <c r="UEP46" s="31"/>
      <c r="UEQ46" s="31"/>
      <c r="UER46" s="31"/>
      <c r="UES46" s="31"/>
      <c r="UET46" s="31"/>
      <c r="UEU46" s="31"/>
      <c r="UEV46" s="31"/>
      <c r="UEW46" s="31"/>
      <c r="UEX46" s="31"/>
      <c r="UEY46" s="31"/>
      <c r="UEZ46" s="31"/>
      <c r="UFA46" s="31"/>
      <c r="UFB46" s="31"/>
      <c r="UFC46" s="31"/>
      <c r="UFD46" s="31"/>
      <c r="UFE46" s="31"/>
      <c r="UFF46" s="31"/>
      <c r="UFG46" s="31"/>
      <c r="UFH46" s="31"/>
      <c r="UFI46" s="31"/>
      <c r="UFJ46" s="31"/>
      <c r="UFK46" s="31"/>
      <c r="UFL46" s="31"/>
      <c r="UFM46" s="31"/>
      <c r="UFN46" s="31"/>
      <c r="UFO46" s="31"/>
      <c r="UFP46" s="31"/>
      <c r="UFQ46" s="31"/>
      <c r="UFR46" s="31"/>
      <c r="UFS46" s="31"/>
      <c r="UFT46" s="31"/>
      <c r="UFU46" s="31"/>
      <c r="UFV46" s="31"/>
      <c r="UFW46" s="31"/>
      <c r="UFX46" s="31"/>
      <c r="UFY46" s="31"/>
      <c r="UFZ46" s="31"/>
      <c r="UGA46" s="31"/>
      <c r="UGB46" s="31"/>
      <c r="UGC46" s="31"/>
      <c r="UGD46" s="31"/>
      <c r="UGE46" s="31"/>
      <c r="UGF46" s="31"/>
      <c r="UGG46" s="31"/>
      <c r="UGH46" s="31"/>
      <c r="UGI46" s="31"/>
      <c r="UGJ46" s="31"/>
      <c r="UGK46" s="31"/>
      <c r="UGL46" s="31"/>
      <c r="UGM46" s="31"/>
      <c r="UGN46" s="31"/>
      <c r="UGO46" s="31"/>
      <c r="UGP46" s="31"/>
      <c r="UGQ46" s="31"/>
      <c r="UGR46" s="31"/>
      <c r="UGS46" s="31"/>
      <c r="UGT46" s="31"/>
      <c r="UGU46" s="31"/>
      <c r="UGV46" s="31"/>
      <c r="UGW46" s="31"/>
      <c r="UGX46" s="31"/>
      <c r="UGY46" s="31"/>
      <c r="UGZ46" s="31"/>
      <c r="UHA46" s="31"/>
      <c r="UHB46" s="31"/>
      <c r="UHC46" s="31"/>
      <c r="UHD46" s="31"/>
      <c r="UHE46" s="31"/>
      <c r="UHF46" s="31"/>
      <c r="UHG46" s="31"/>
      <c r="UHH46" s="31"/>
      <c r="UHI46" s="31"/>
      <c r="UHJ46" s="31"/>
      <c r="UHK46" s="31"/>
      <c r="UHL46" s="31"/>
      <c r="UHM46" s="31"/>
      <c r="UHN46" s="31"/>
      <c r="UHO46" s="31"/>
      <c r="UHP46" s="31"/>
      <c r="UHQ46" s="31"/>
      <c r="UHR46" s="31"/>
      <c r="UHS46" s="31"/>
      <c r="UHT46" s="31"/>
      <c r="UHU46" s="31"/>
      <c r="UHV46" s="31"/>
      <c r="UHW46" s="31"/>
      <c r="UHX46" s="31"/>
      <c r="UHY46" s="31"/>
      <c r="UHZ46" s="31"/>
      <c r="UIA46" s="31"/>
      <c r="UIB46" s="31"/>
      <c r="UIC46" s="31"/>
      <c r="UID46" s="31"/>
      <c r="UIE46" s="31"/>
      <c r="UIF46" s="31"/>
      <c r="UIG46" s="31"/>
      <c r="UIH46" s="31"/>
      <c r="UII46" s="31"/>
      <c r="UIJ46" s="31"/>
      <c r="UIK46" s="31"/>
      <c r="UIL46" s="31"/>
      <c r="UIM46" s="31"/>
      <c r="UIN46" s="31"/>
      <c r="UIO46" s="31"/>
      <c r="UIP46" s="31"/>
      <c r="UIQ46" s="31"/>
      <c r="UIR46" s="31"/>
      <c r="UIS46" s="31"/>
      <c r="UIT46" s="31"/>
      <c r="UIU46" s="31"/>
      <c r="UIV46" s="31"/>
      <c r="UIW46" s="31"/>
      <c r="UIX46" s="31"/>
      <c r="UIY46" s="31"/>
      <c r="UIZ46" s="31"/>
      <c r="UJA46" s="31"/>
      <c r="UJB46" s="31"/>
      <c r="UJC46" s="31"/>
      <c r="UJD46" s="31"/>
      <c r="UJE46" s="31"/>
      <c r="UJF46" s="31"/>
      <c r="UJG46" s="31"/>
      <c r="UJH46" s="31"/>
      <c r="UJI46" s="31"/>
      <c r="UJJ46" s="31"/>
      <c r="UJK46" s="31"/>
      <c r="UJL46" s="31"/>
      <c r="UJM46" s="31"/>
      <c r="UJN46" s="31"/>
      <c r="UJO46" s="31"/>
      <c r="UJP46" s="31"/>
      <c r="UJQ46" s="31"/>
      <c r="UJR46" s="31"/>
      <c r="UJS46" s="31"/>
      <c r="UJT46" s="31"/>
      <c r="UJU46" s="31"/>
      <c r="UJV46" s="31"/>
      <c r="UJW46" s="31"/>
      <c r="UJX46" s="31"/>
      <c r="UJY46" s="31"/>
      <c r="UJZ46" s="31"/>
      <c r="UKA46" s="31"/>
      <c r="UKB46" s="31"/>
      <c r="UKC46" s="31"/>
      <c r="UKD46" s="31"/>
      <c r="UKE46" s="31"/>
      <c r="UKF46" s="31"/>
      <c r="UKG46" s="31"/>
      <c r="UKH46" s="31"/>
      <c r="UKI46" s="31"/>
      <c r="UKJ46" s="31"/>
      <c r="UKK46" s="31"/>
      <c r="UKL46" s="31"/>
      <c r="UKM46" s="31"/>
      <c r="UKN46" s="31"/>
      <c r="UKO46" s="31"/>
      <c r="UKP46" s="31"/>
      <c r="UKQ46" s="31"/>
      <c r="UKR46" s="31"/>
      <c r="UKS46" s="31"/>
      <c r="UKT46" s="31"/>
      <c r="UKU46" s="31"/>
      <c r="UKV46" s="31"/>
      <c r="UKW46" s="31"/>
      <c r="UKX46" s="31"/>
      <c r="UKY46" s="31"/>
      <c r="UKZ46" s="31"/>
      <c r="ULA46" s="31"/>
      <c r="ULB46" s="31"/>
      <c r="ULC46" s="31"/>
      <c r="ULD46" s="31"/>
      <c r="ULE46" s="31"/>
      <c r="ULF46" s="31"/>
      <c r="ULG46" s="31"/>
      <c r="ULH46" s="31"/>
      <c r="ULI46" s="31"/>
      <c r="ULJ46" s="31"/>
      <c r="ULK46" s="31"/>
      <c r="ULL46" s="31"/>
      <c r="ULM46" s="31"/>
      <c r="ULN46" s="31"/>
      <c r="ULO46" s="31"/>
      <c r="ULP46" s="31"/>
      <c r="ULQ46" s="31"/>
      <c r="ULR46" s="31"/>
      <c r="ULS46" s="31"/>
      <c r="ULT46" s="31"/>
      <c r="ULU46" s="31"/>
      <c r="ULV46" s="31"/>
      <c r="ULW46" s="31"/>
      <c r="ULX46" s="31"/>
      <c r="ULY46" s="31"/>
      <c r="ULZ46" s="31"/>
      <c r="UMA46" s="31"/>
      <c r="UMB46" s="31"/>
      <c r="UMC46" s="31"/>
      <c r="UMD46" s="31"/>
      <c r="UME46" s="31"/>
      <c r="UMF46" s="31"/>
      <c r="UMG46" s="31"/>
      <c r="UMH46" s="31"/>
      <c r="UMI46" s="31"/>
      <c r="UMJ46" s="31"/>
      <c r="UMK46" s="31"/>
      <c r="UML46" s="31"/>
      <c r="UMM46" s="31"/>
      <c r="UMN46" s="31"/>
      <c r="UMO46" s="31"/>
      <c r="UMP46" s="31"/>
      <c r="UMQ46" s="31"/>
      <c r="UMR46" s="31"/>
      <c r="UMS46" s="31"/>
      <c r="UMT46" s="31"/>
      <c r="UMU46" s="31"/>
      <c r="UMV46" s="31"/>
      <c r="UMW46" s="31"/>
      <c r="UMX46" s="31"/>
      <c r="UMY46" s="31"/>
      <c r="UMZ46" s="31"/>
      <c r="UNA46" s="31"/>
      <c r="UNB46" s="31"/>
      <c r="UNC46" s="31"/>
      <c r="UND46" s="31"/>
      <c r="UNE46" s="31"/>
      <c r="UNF46" s="31"/>
      <c r="UNG46" s="31"/>
      <c r="UNH46" s="31"/>
      <c r="UNI46" s="31"/>
      <c r="UNJ46" s="31"/>
      <c r="UNK46" s="31"/>
      <c r="UNL46" s="31"/>
      <c r="UNM46" s="31"/>
      <c r="UNN46" s="31"/>
      <c r="UNO46" s="31"/>
      <c r="UNP46" s="31"/>
      <c r="UNQ46" s="31"/>
      <c r="UNR46" s="31"/>
      <c r="UNS46" s="31"/>
      <c r="UNT46" s="31"/>
      <c r="UNU46" s="31"/>
      <c r="UNV46" s="31"/>
      <c r="UNW46" s="31"/>
      <c r="UNX46" s="31"/>
      <c r="UNY46" s="31"/>
      <c r="UNZ46" s="31"/>
      <c r="UOA46" s="31"/>
      <c r="UOB46" s="31"/>
      <c r="UOC46" s="31"/>
      <c r="UOD46" s="31"/>
      <c r="UOE46" s="31"/>
      <c r="UOF46" s="31"/>
      <c r="UOG46" s="31"/>
      <c r="UOH46" s="31"/>
      <c r="UOI46" s="31"/>
      <c r="UOJ46" s="31"/>
      <c r="UOK46" s="31"/>
      <c r="UOL46" s="31"/>
      <c r="UOM46" s="31"/>
      <c r="UON46" s="31"/>
      <c r="UOO46" s="31"/>
      <c r="UOP46" s="31"/>
      <c r="UOQ46" s="31"/>
      <c r="UOR46" s="31"/>
      <c r="UOS46" s="31"/>
      <c r="UOT46" s="31"/>
      <c r="UOU46" s="31"/>
      <c r="UOV46" s="31"/>
      <c r="UOW46" s="31"/>
      <c r="UOX46" s="31"/>
      <c r="UOY46" s="31"/>
      <c r="UOZ46" s="31"/>
      <c r="UPA46" s="31"/>
      <c r="UPB46" s="31"/>
      <c r="UPC46" s="31"/>
      <c r="UPD46" s="31"/>
      <c r="UPE46" s="31"/>
      <c r="UPF46" s="31"/>
      <c r="UPG46" s="31"/>
      <c r="UPH46" s="31"/>
      <c r="UPI46" s="31"/>
      <c r="UPJ46" s="31"/>
      <c r="UPK46" s="31"/>
      <c r="UPL46" s="31"/>
      <c r="UPM46" s="31"/>
      <c r="UPN46" s="31"/>
      <c r="UPO46" s="31"/>
      <c r="UPP46" s="31"/>
      <c r="UPQ46" s="31"/>
      <c r="UPR46" s="31"/>
      <c r="UPS46" s="31"/>
      <c r="UPT46" s="31"/>
      <c r="UPU46" s="31"/>
      <c r="UPV46" s="31"/>
      <c r="UPW46" s="31"/>
      <c r="UPX46" s="31"/>
      <c r="UPY46" s="31"/>
      <c r="UPZ46" s="31"/>
      <c r="UQA46" s="31"/>
      <c r="UQB46" s="31"/>
      <c r="UQC46" s="31"/>
      <c r="UQD46" s="31"/>
      <c r="UQE46" s="31"/>
      <c r="UQF46" s="31"/>
      <c r="UQG46" s="31"/>
      <c r="UQH46" s="31"/>
      <c r="UQI46" s="31"/>
      <c r="UQJ46" s="31"/>
      <c r="UQK46" s="31"/>
      <c r="UQL46" s="31"/>
      <c r="UQM46" s="31"/>
      <c r="UQN46" s="31"/>
      <c r="UQO46" s="31"/>
      <c r="UQP46" s="31"/>
      <c r="UQQ46" s="31"/>
      <c r="UQR46" s="31"/>
      <c r="UQS46" s="31"/>
      <c r="UQT46" s="31"/>
      <c r="UQU46" s="31"/>
      <c r="UQV46" s="31"/>
      <c r="UQW46" s="31"/>
      <c r="UQX46" s="31"/>
      <c r="UQY46" s="31"/>
      <c r="UQZ46" s="31"/>
      <c r="URA46" s="31"/>
      <c r="URB46" s="31"/>
      <c r="URC46" s="31"/>
      <c r="URD46" s="31"/>
      <c r="URE46" s="31"/>
      <c r="URF46" s="31"/>
      <c r="URG46" s="31"/>
      <c r="URH46" s="31"/>
      <c r="URI46" s="31"/>
      <c r="URJ46" s="31"/>
      <c r="URK46" s="31"/>
      <c r="URL46" s="31"/>
      <c r="URM46" s="31"/>
      <c r="URN46" s="31"/>
      <c r="URO46" s="31"/>
      <c r="URP46" s="31"/>
      <c r="URQ46" s="31"/>
      <c r="URR46" s="31"/>
      <c r="URS46" s="31"/>
      <c r="URT46" s="31"/>
      <c r="URU46" s="31"/>
      <c r="URV46" s="31"/>
      <c r="URW46" s="31"/>
      <c r="URX46" s="31"/>
      <c r="URY46" s="31"/>
      <c r="URZ46" s="31"/>
      <c r="USA46" s="31"/>
      <c r="USB46" s="31"/>
      <c r="USC46" s="31"/>
      <c r="USD46" s="31"/>
      <c r="USE46" s="31"/>
      <c r="USF46" s="31"/>
      <c r="USG46" s="31"/>
      <c r="USH46" s="31"/>
      <c r="USI46" s="31"/>
      <c r="USJ46" s="31"/>
      <c r="USK46" s="31"/>
      <c r="USL46" s="31"/>
      <c r="USM46" s="31"/>
      <c r="USN46" s="31"/>
      <c r="USO46" s="31"/>
      <c r="USP46" s="31"/>
      <c r="USQ46" s="31"/>
      <c r="USR46" s="31"/>
      <c r="USS46" s="31"/>
      <c r="UST46" s="31"/>
      <c r="USU46" s="31"/>
      <c r="USV46" s="31"/>
      <c r="USW46" s="31"/>
      <c r="USX46" s="31"/>
      <c r="USY46" s="31"/>
      <c r="USZ46" s="31"/>
      <c r="UTA46" s="31"/>
      <c r="UTB46" s="31"/>
      <c r="UTC46" s="31"/>
      <c r="UTD46" s="31"/>
      <c r="UTE46" s="31"/>
      <c r="UTF46" s="31"/>
      <c r="UTG46" s="31"/>
      <c r="UTH46" s="31"/>
      <c r="UTI46" s="31"/>
      <c r="UTJ46" s="31"/>
      <c r="UTK46" s="31"/>
      <c r="UTL46" s="31"/>
      <c r="UTM46" s="31"/>
      <c r="UTN46" s="31"/>
      <c r="UTO46" s="31"/>
      <c r="UTP46" s="31"/>
      <c r="UTQ46" s="31"/>
      <c r="UTR46" s="31"/>
      <c r="UTS46" s="31"/>
      <c r="UTT46" s="31"/>
      <c r="UTU46" s="31"/>
      <c r="UTV46" s="31"/>
      <c r="UTW46" s="31"/>
      <c r="UTX46" s="31"/>
      <c r="UTY46" s="31"/>
      <c r="UTZ46" s="31"/>
      <c r="UUA46" s="31"/>
      <c r="UUB46" s="31"/>
      <c r="UUC46" s="31"/>
      <c r="UUD46" s="31"/>
      <c r="UUE46" s="31"/>
      <c r="UUF46" s="31"/>
      <c r="UUG46" s="31"/>
      <c r="UUH46" s="31"/>
      <c r="UUI46" s="31"/>
      <c r="UUJ46" s="31"/>
      <c r="UUK46" s="31"/>
      <c r="UUL46" s="31"/>
      <c r="UUM46" s="31"/>
      <c r="UUN46" s="31"/>
      <c r="UUO46" s="31"/>
      <c r="UUP46" s="31"/>
      <c r="UUQ46" s="31"/>
      <c r="UUR46" s="31"/>
      <c r="UUS46" s="31"/>
      <c r="UUT46" s="31"/>
      <c r="UUU46" s="31"/>
      <c r="UUV46" s="31"/>
      <c r="UUW46" s="31"/>
      <c r="UUX46" s="31"/>
      <c r="UUY46" s="31"/>
      <c r="UUZ46" s="31"/>
      <c r="UVA46" s="31"/>
      <c r="UVB46" s="31"/>
      <c r="UVC46" s="31"/>
      <c r="UVD46" s="31"/>
      <c r="UVE46" s="31"/>
      <c r="UVF46" s="31"/>
      <c r="UVG46" s="31"/>
      <c r="UVH46" s="31"/>
      <c r="UVI46" s="31"/>
      <c r="UVJ46" s="31"/>
      <c r="UVK46" s="31"/>
      <c r="UVL46" s="31"/>
      <c r="UVM46" s="31"/>
      <c r="UVN46" s="31"/>
      <c r="UVO46" s="31"/>
      <c r="UVP46" s="31"/>
      <c r="UVQ46" s="31"/>
      <c r="UVR46" s="31"/>
      <c r="UVS46" s="31"/>
      <c r="UVT46" s="31"/>
      <c r="UVU46" s="31"/>
      <c r="UVV46" s="31"/>
      <c r="UVW46" s="31"/>
      <c r="UVX46" s="31"/>
      <c r="UVY46" s="31"/>
      <c r="UVZ46" s="31"/>
      <c r="UWA46" s="31"/>
      <c r="UWB46" s="31"/>
      <c r="UWC46" s="31"/>
      <c r="UWD46" s="31"/>
      <c r="UWE46" s="31"/>
      <c r="UWF46" s="31"/>
      <c r="UWG46" s="31"/>
      <c r="UWH46" s="31"/>
      <c r="UWI46" s="31"/>
      <c r="UWJ46" s="31"/>
      <c r="UWK46" s="31"/>
      <c r="UWL46" s="31"/>
      <c r="UWM46" s="31"/>
      <c r="UWN46" s="31"/>
      <c r="UWO46" s="31"/>
      <c r="UWP46" s="31"/>
      <c r="UWQ46" s="31"/>
      <c r="UWR46" s="31"/>
      <c r="UWS46" s="31"/>
      <c r="UWT46" s="31"/>
      <c r="UWU46" s="31"/>
      <c r="UWV46" s="31"/>
      <c r="UWW46" s="31"/>
      <c r="UWX46" s="31"/>
      <c r="UWY46" s="31"/>
      <c r="UWZ46" s="31"/>
      <c r="UXA46" s="31"/>
      <c r="UXB46" s="31"/>
      <c r="UXC46" s="31"/>
      <c r="UXD46" s="31"/>
      <c r="UXE46" s="31"/>
      <c r="UXF46" s="31"/>
      <c r="UXG46" s="31"/>
      <c r="UXH46" s="31"/>
      <c r="UXI46" s="31"/>
      <c r="UXJ46" s="31"/>
      <c r="UXK46" s="31"/>
      <c r="UXL46" s="31"/>
      <c r="UXM46" s="31"/>
      <c r="UXN46" s="31"/>
      <c r="UXO46" s="31"/>
      <c r="UXP46" s="31"/>
      <c r="UXQ46" s="31"/>
      <c r="UXR46" s="31"/>
      <c r="UXS46" s="31"/>
      <c r="UXT46" s="31"/>
      <c r="UXU46" s="31"/>
      <c r="UXV46" s="31"/>
      <c r="UXW46" s="31"/>
      <c r="UXX46" s="31"/>
      <c r="UXY46" s="31"/>
      <c r="UXZ46" s="31"/>
      <c r="UYA46" s="31"/>
      <c r="UYB46" s="31"/>
      <c r="UYC46" s="31"/>
      <c r="UYD46" s="31"/>
      <c r="UYE46" s="31"/>
      <c r="UYF46" s="31"/>
      <c r="UYG46" s="31"/>
      <c r="UYH46" s="31"/>
      <c r="UYI46" s="31"/>
      <c r="UYJ46" s="31"/>
      <c r="UYK46" s="31"/>
      <c r="UYL46" s="31"/>
      <c r="UYM46" s="31"/>
      <c r="UYN46" s="31"/>
      <c r="UYO46" s="31"/>
      <c r="UYP46" s="31"/>
      <c r="UYQ46" s="31"/>
      <c r="UYR46" s="31"/>
      <c r="UYS46" s="31"/>
      <c r="UYT46" s="31"/>
      <c r="UYU46" s="31"/>
      <c r="UYV46" s="31"/>
      <c r="UYW46" s="31"/>
      <c r="UYX46" s="31"/>
      <c r="UYY46" s="31"/>
      <c r="UYZ46" s="31"/>
      <c r="UZA46" s="31"/>
      <c r="UZB46" s="31"/>
      <c r="UZC46" s="31"/>
      <c r="UZD46" s="31"/>
      <c r="UZE46" s="31"/>
      <c r="UZF46" s="31"/>
      <c r="UZG46" s="31"/>
      <c r="UZH46" s="31"/>
      <c r="UZI46" s="31"/>
      <c r="UZJ46" s="31"/>
      <c r="UZK46" s="31"/>
      <c r="UZL46" s="31"/>
      <c r="UZM46" s="31"/>
      <c r="UZN46" s="31"/>
      <c r="UZO46" s="31"/>
      <c r="UZP46" s="31"/>
      <c r="UZQ46" s="31"/>
      <c r="UZR46" s="31"/>
      <c r="UZS46" s="31"/>
      <c r="UZT46" s="31"/>
      <c r="UZU46" s="31"/>
      <c r="UZV46" s="31"/>
      <c r="UZW46" s="31"/>
      <c r="UZX46" s="31"/>
      <c r="UZY46" s="31"/>
      <c r="UZZ46" s="31"/>
      <c r="VAA46" s="31"/>
      <c r="VAB46" s="31"/>
      <c r="VAC46" s="31"/>
      <c r="VAD46" s="31"/>
      <c r="VAE46" s="31"/>
      <c r="VAF46" s="31"/>
      <c r="VAG46" s="31"/>
      <c r="VAH46" s="31"/>
      <c r="VAI46" s="31"/>
      <c r="VAJ46" s="31"/>
      <c r="VAK46" s="31"/>
      <c r="VAL46" s="31"/>
      <c r="VAM46" s="31"/>
      <c r="VAN46" s="31"/>
      <c r="VAO46" s="31"/>
      <c r="VAP46" s="31"/>
      <c r="VAQ46" s="31"/>
      <c r="VAR46" s="31"/>
      <c r="VAS46" s="31"/>
      <c r="VAT46" s="31"/>
      <c r="VAU46" s="31"/>
      <c r="VAV46" s="31"/>
      <c r="VAW46" s="31"/>
      <c r="VAX46" s="31"/>
      <c r="VAY46" s="31"/>
      <c r="VAZ46" s="31"/>
      <c r="VBA46" s="31"/>
      <c r="VBB46" s="31"/>
      <c r="VBC46" s="31"/>
      <c r="VBD46" s="31"/>
      <c r="VBE46" s="31"/>
      <c r="VBF46" s="31"/>
      <c r="VBG46" s="31"/>
      <c r="VBH46" s="31"/>
      <c r="VBI46" s="31"/>
      <c r="VBJ46" s="31"/>
      <c r="VBK46" s="31"/>
      <c r="VBL46" s="31"/>
      <c r="VBM46" s="31"/>
      <c r="VBN46" s="31"/>
      <c r="VBO46" s="31"/>
      <c r="VBP46" s="31"/>
      <c r="VBQ46" s="31"/>
      <c r="VBR46" s="31"/>
      <c r="VBS46" s="31"/>
      <c r="VBT46" s="31"/>
      <c r="VBU46" s="31"/>
      <c r="VBV46" s="31"/>
      <c r="VBW46" s="31"/>
      <c r="VBX46" s="31"/>
      <c r="VBY46" s="31"/>
      <c r="VBZ46" s="31"/>
      <c r="VCA46" s="31"/>
      <c r="VCB46" s="31"/>
      <c r="VCC46" s="31"/>
      <c r="VCD46" s="31"/>
      <c r="VCE46" s="31"/>
      <c r="VCF46" s="31"/>
      <c r="VCG46" s="31"/>
      <c r="VCH46" s="31"/>
      <c r="VCI46" s="31"/>
      <c r="VCJ46" s="31"/>
      <c r="VCK46" s="31"/>
      <c r="VCL46" s="31"/>
      <c r="VCM46" s="31"/>
      <c r="VCN46" s="31"/>
      <c r="VCO46" s="31"/>
      <c r="VCP46" s="31"/>
      <c r="VCQ46" s="31"/>
      <c r="VCR46" s="31"/>
      <c r="VCS46" s="31"/>
      <c r="VCT46" s="31"/>
      <c r="VCU46" s="31"/>
      <c r="VCV46" s="31"/>
      <c r="VCW46" s="31"/>
      <c r="VCX46" s="31"/>
      <c r="VCY46" s="31"/>
      <c r="VCZ46" s="31"/>
      <c r="VDA46" s="31"/>
      <c r="VDB46" s="31"/>
      <c r="VDC46" s="31"/>
      <c r="VDD46" s="31"/>
      <c r="VDE46" s="31"/>
      <c r="VDF46" s="31"/>
      <c r="VDG46" s="31"/>
      <c r="VDH46" s="31"/>
      <c r="VDI46" s="31"/>
      <c r="VDJ46" s="31"/>
      <c r="VDK46" s="31"/>
      <c r="VDL46" s="31"/>
      <c r="VDM46" s="31"/>
      <c r="VDN46" s="31"/>
      <c r="VDO46" s="31"/>
      <c r="VDP46" s="31"/>
      <c r="VDQ46" s="31"/>
      <c r="VDR46" s="31"/>
      <c r="VDS46" s="31"/>
      <c r="VDT46" s="31"/>
      <c r="VDU46" s="31"/>
      <c r="VDV46" s="31"/>
      <c r="VDW46" s="31"/>
      <c r="VDX46" s="31"/>
      <c r="VDY46" s="31"/>
      <c r="VDZ46" s="31"/>
      <c r="VEA46" s="31"/>
      <c r="VEB46" s="31"/>
      <c r="VEC46" s="31"/>
      <c r="VED46" s="31"/>
      <c r="VEE46" s="31"/>
      <c r="VEF46" s="31"/>
      <c r="VEG46" s="31"/>
      <c r="VEH46" s="31"/>
      <c r="VEI46" s="31"/>
      <c r="VEJ46" s="31"/>
      <c r="VEK46" s="31"/>
      <c r="VEL46" s="31"/>
      <c r="VEM46" s="31"/>
      <c r="VEN46" s="31"/>
      <c r="VEO46" s="31"/>
      <c r="VEP46" s="31"/>
      <c r="VEQ46" s="31"/>
      <c r="VER46" s="31"/>
      <c r="VES46" s="31"/>
      <c r="VET46" s="31"/>
      <c r="VEU46" s="31"/>
      <c r="VEV46" s="31"/>
      <c r="VEW46" s="31"/>
      <c r="VEX46" s="31"/>
      <c r="VEY46" s="31"/>
      <c r="VEZ46" s="31"/>
      <c r="VFA46" s="31"/>
      <c r="VFB46" s="31"/>
      <c r="VFC46" s="31"/>
      <c r="VFD46" s="31"/>
      <c r="VFE46" s="31"/>
      <c r="VFF46" s="31"/>
      <c r="VFG46" s="31"/>
      <c r="VFH46" s="31"/>
      <c r="VFI46" s="31"/>
      <c r="VFJ46" s="31"/>
      <c r="VFK46" s="31"/>
      <c r="VFL46" s="31"/>
      <c r="VFM46" s="31"/>
      <c r="VFN46" s="31"/>
      <c r="VFO46" s="31"/>
      <c r="VFP46" s="31"/>
      <c r="VFQ46" s="31"/>
      <c r="VFR46" s="31"/>
      <c r="VFS46" s="31"/>
      <c r="VFT46" s="31"/>
      <c r="VFU46" s="31"/>
      <c r="VFV46" s="31"/>
      <c r="VFW46" s="31"/>
      <c r="VFX46" s="31"/>
      <c r="VFY46" s="31"/>
      <c r="VFZ46" s="31"/>
      <c r="VGA46" s="31"/>
      <c r="VGB46" s="31"/>
      <c r="VGC46" s="31"/>
      <c r="VGD46" s="31"/>
      <c r="VGE46" s="31"/>
      <c r="VGF46" s="31"/>
      <c r="VGG46" s="31"/>
      <c r="VGH46" s="31"/>
      <c r="VGI46" s="31"/>
      <c r="VGJ46" s="31"/>
      <c r="VGK46" s="31"/>
      <c r="VGL46" s="31"/>
      <c r="VGM46" s="31"/>
      <c r="VGN46" s="31"/>
      <c r="VGO46" s="31"/>
      <c r="VGP46" s="31"/>
      <c r="VGQ46" s="31"/>
      <c r="VGR46" s="31"/>
      <c r="VGS46" s="31"/>
      <c r="VGT46" s="31"/>
      <c r="VGU46" s="31"/>
      <c r="VGV46" s="31"/>
      <c r="VGW46" s="31"/>
      <c r="VGX46" s="31"/>
      <c r="VGY46" s="31"/>
      <c r="VGZ46" s="31"/>
      <c r="VHA46" s="31"/>
      <c r="VHB46" s="31"/>
      <c r="VHC46" s="31"/>
      <c r="VHD46" s="31"/>
      <c r="VHE46" s="31"/>
      <c r="VHF46" s="31"/>
      <c r="VHG46" s="31"/>
      <c r="VHH46" s="31"/>
      <c r="VHI46" s="31"/>
      <c r="VHJ46" s="31"/>
      <c r="VHK46" s="31"/>
      <c r="VHL46" s="31"/>
      <c r="VHM46" s="31"/>
      <c r="VHN46" s="31"/>
      <c r="VHO46" s="31"/>
      <c r="VHP46" s="31"/>
      <c r="VHQ46" s="31"/>
      <c r="VHR46" s="31"/>
      <c r="VHS46" s="31"/>
      <c r="VHT46" s="31"/>
      <c r="VHU46" s="31"/>
      <c r="VHV46" s="31"/>
      <c r="VHW46" s="31"/>
      <c r="VHX46" s="31"/>
      <c r="VHY46" s="31"/>
      <c r="VHZ46" s="31"/>
      <c r="VIA46" s="31"/>
      <c r="VIB46" s="31"/>
      <c r="VIC46" s="31"/>
      <c r="VID46" s="31"/>
      <c r="VIE46" s="31"/>
      <c r="VIF46" s="31"/>
      <c r="VIG46" s="31"/>
      <c r="VIH46" s="31"/>
      <c r="VII46" s="31"/>
      <c r="VIJ46" s="31"/>
      <c r="VIK46" s="31"/>
      <c r="VIL46" s="31"/>
      <c r="VIM46" s="31"/>
      <c r="VIN46" s="31"/>
      <c r="VIO46" s="31"/>
      <c r="VIP46" s="31"/>
      <c r="VIQ46" s="31"/>
      <c r="VIR46" s="31"/>
      <c r="VIS46" s="31"/>
      <c r="VIT46" s="31"/>
      <c r="VIU46" s="31"/>
      <c r="VIV46" s="31"/>
      <c r="VIW46" s="31"/>
      <c r="VIX46" s="31"/>
      <c r="VIY46" s="31"/>
      <c r="VIZ46" s="31"/>
      <c r="VJA46" s="31"/>
      <c r="VJB46" s="31"/>
      <c r="VJC46" s="31"/>
      <c r="VJD46" s="31"/>
      <c r="VJE46" s="31"/>
      <c r="VJF46" s="31"/>
      <c r="VJG46" s="31"/>
      <c r="VJH46" s="31"/>
      <c r="VJI46" s="31"/>
      <c r="VJJ46" s="31"/>
      <c r="VJK46" s="31"/>
      <c r="VJL46" s="31"/>
      <c r="VJM46" s="31"/>
      <c r="VJN46" s="31"/>
      <c r="VJO46" s="31"/>
      <c r="VJP46" s="31"/>
      <c r="VJQ46" s="31"/>
      <c r="VJR46" s="31"/>
      <c r="VJS46" s="31"/>
      <c r="VJT46" s="31"/>
      <c r="VJU46" s="31"/>
      <c r="VJV46" s="31"/>
      <c r="VJW46" s="31"/>
      <c r="VJX46" s="31"/>
      <c r="VJY46" s="31"/>
      <c r="VJZ46" s="31"/>
      <c r="VKA46" s="31"/>
      <c r="VKB46" s="31"/>
      <c r="VKC46" s="31"/>
      <c r="VKD46" s="31"/>
      <c r="VKE46" s="31"/>
      <c r="VKF46" s="31"/>
      <c r="VKG46" s="31"/>
      <c r="VKH46" s="31"/>
      <c r="VKI46" s="31"/>
      <c r="VKJ46" s="31"/>
      <c r="VKK46" s="31"/>
      <c r="VKL46" s="31"/>
      <c r="VKM46" s="31"/>
      <c r="VKN46" s="31"/>
      <c r="VKO46" s="31"/>
      <c r="VKP46" s="31"/>
      <c r="VKQ46" s="31"/>
      <c r="VKR46" s="31"/>
      <c r="VKS46" s="31"/>
      <c r="VKT46" s="31"/>
      <c r="VKU46" s="31"/>
      <c r="VKV46" s="31"/>
      <c r="VKW46" s="31"/>
      <c r="VKX46" s="31"/>
      <c r="VKY46" s="31"/>
      <c r="VKZ46" s="31"/>
      <c r="VLA46" s="31"/>
      <c r="VLB46" s="31"/>
      <c r="VLC46" s="31"/>
      <c r="VLD46" s="31"/>
      <c r="VLE46" s="31"/>
      <c r="VLF46" s="31"/>
      <c r="VLG46" s="31"/>
      <c r="VLH46" s="31"/>
      <c r="VLI46" s="31"/>
      <c r="VLJ46" s="31"/>
      <c r="VLK46" s="31"/>
      <c r="VLL46" s="31"/>
      <c r="VLM46" s="31"/>
      <c r="VLN46" s="31"/>
      <c r="VLO46" s="31"/>
      <c r="VLP46" s="31"/>
      <c r="VLQ46" s="31"/>
      <c r="VLR46" s="31"/>
      <c r="VLS46" s="31"/>
      <c r="VLT46" s="31"/>
      <c r="VLU46" s="31"/>
      <c r="VLV46" s="31"/>
      <c r="VLW46" s="31"/>
      <c r="VLX46" s="31"/>
      <c r="VLY46" s="31"/>
      <c r="VLZ46" s="31"/>
      <c r="VMA46" s="31"/>
      <c r="VMB46" s="31"/>
      <c r="VMC46" s="31"/>
      <c r="VMD46" s="31"/>
      <c r="VME46" s="31"/>
      <c r="VMF46" s="31"/>
      <c r="VMG46" s="31"/>
      <c r="VMH46" s="31"/>
      <c r="VMI46" s="31"/>
      <c r="VMJ46" s="31"/>
      <c r="VMK46" s="31"/>
      <c r="VML46" s="31"/>
      <c r="VMM46" s="31"/>
      <c r="VMN46" s="31"/>
      <c r="VMO46" s="31"/>
      <c r="VMP46" s="31"/>
      <c r="VMQ46" s="31"/>
      <c r="VMR46" s="31"/>
      <c r="VMS46" s="31"/>
      <c r="VMT46" s="31"/>
      <c r="VMU46" s="31"/>
      <c r="VMV46" s="31"/>
      <c r="VMW46" s="31"/>
      <c r="VMX46" s="31"/>
      <c r="VMY46" s="31"/>
      <c r="VMZ46" s="31"/>
      <c r="VNA46" s="31"/>
      <c r="VNB46" s="31"/>
      <c r="VNC46" s="31"/>
      <c r="VND46" s="31"/>
      <c r="VNE46" s="31"/>
      <c r="VNF46" s="31"/>
      <c r="VNG46" s="31"/>
      <c r="VNH46" s="31"/>
      <c r="VNI46" s="31"/>
      <c r="VNJ46" s="31"/>
      <c r="VNK46" s="31"/>
      <c r="VNL46" s="31"/>
      <c r="VNM46" s="31"/>
      <c r="VNN46" s="31"/>
      <c r="VNO46" s="31"/>
      <c r="VNP46" s="31"/>
      <c r="VNQ46" s="31"/>
      <c r="VNR46" s="31"/>
      <c r="VNS46" s="31"/>
      <c r="VNT46" s="31"/>
      <c r="VNU46" s="31"/>
      <c r="VNV46" s="31"/>
      <c r="VNW46" s="31"/>
      <c r="VNX46" s="31"/>
      <c r="VNY46" s="31"/>
      <c r="VNZ46" s="31"/>
      <c r="VOA46" s="31"/>
      <c r="VOB46" s="31"/>
      <c r="VOC46" s="31"/>
      <c r="VOD46" s="31"/>
      <c r="VOE46" s="31"/>
      <c r="VOF46" s="31"/>
      <c r="VOG46" s="31"/>
      <c r="VOH46" s="31"/>
      <c r="VOI46" s="31"/>
      <c r="VOJ46" s="31"/>
      <c r="VOK46" s="31"/>
      <c r="VOL46" s="31"/>
      <c r="VOM46" s="31"/>
      <c r="VON46" s="31"/>
      <c r="VOO46" s="31"/>
      <c r="VOP46" s="31"/>
      <c r="VOQ46" s="31"/>
      <c r="VOR46" s="31"/>
      <c r="VOS46" s="31"/>
      <c r="VOT46" s="31"/>
      <c r="VOU46" s="31"/>
      <c r="VOV46" s="31"/>
      <c r="VOW46" s="31"/>
      <c r="VOX46" s="31"/>
      <c r="VOY46" s="31"/>
      <c r="VOZ46" s="31"/>
      <c r="VPA46" s="31"/>
      <c r="VPB46" s="31"/>
      <c r="VPC46" s="31"/>
      <c r="VPD46" s="31"/>
      <c r="VPE46" s="31"/>
      <c r="VPF46" s="31"/>
      <c r="VPG46" s="31"/>
      <c r="VPH46" s="31"/>
      <c r="VPI46" s="31"/>
      <c r="VPJ46" s="31"/>
      <c r="VPK46" s="31"/>
      <c r="VPL46" s="31"/>
      <c r="VPM46" s="31"/>
      <c r="VPN46" s="31"/>
      <c r="VPO46" s="31"/>
      <c r="VPP46" s="31"/>
      <c r="VPQ46" s="31"/>
      <c r="VPR46" s="31"/>
      <c r="VPS46" s="31"/>
      <c r="VPT46" s="31"/>
      <c r="VPU46" s="31"/>
      <c r="VPV46" s="31"/>
      <c r="VPW46" s="31"/>
      <c r="VPX46" s="31"/>
      <c r="VPY46" s="31"/>
      <c r="VPZ46" s="31"/>
      <c r="VQA46" s="31"/>
      <c r="VQB46" s="31"/>
      <c r="VQC46" s="31"/>
      <c r="VQD46" s="31"/>
      <c r="VQE46" s="31"/>
      <c r="VQF46" s="31"/>
      <c r="VQG46" s="31"/>
      <c r="VQH46" s="31"/>
      <c r="VQI46" s="31"/>
      <c r="VQJ46" s="31"/>
      <c r="VQK46" s="31"/>
      <c r="VQL46" s="31"/>
      <c r="VQM46" s="31"/>
      <c r="VQN46" s="31"/>
      <c r="VQO46" s="31"/>
      <c r="VQP46" s="31"/>
      <c r="VQQ46" s="31"/>
      <c r="VQR46" s="31"/>
      <c r="VQS46" s="31"/>
      <c r="VQT46" s="31"/>
      <c r="VQU46" s="31"/>
      <c r="VQV46" s="31"/>
      <c r="VQW46" s="31"/>
      <c r="VQX46" s="31"/>
      <c r="VQY46" s="31"/>
      <c r="VQZ46" s="31"/>
      <c r="VRA46" s="31"/>
      <c r="VRB46" s="31"/>
      <c r="VRC46" s="31"/>
      <c r="VRD46" s="31"/>
      <c r="VRE46" s="31"/>
      <c r="VRF46" s="31"/>
      <c r="VRG46" s="31"/>
      <c r="VRH46" s="31"/>
      <c r="VRI46" s="31"/>
      <c r="VRJ46" s="31"/>
      <c r="VRK46" s="31"/>
      <c r="VRL46" s="31"/>
      <c r="VRM46" s="31"/>
      <c r="VRN46" s="31"/>
      <c r="VRO46" s="31"/>
      <c r="VRP46" s="31"/>
      <c r="VRQ46" s="31"/>
      <c r="VRR46" s="31"/>
      <c r="VRS46" s="31"/>
      <c r="VRT46" s="31"/>
      <c r="VRU46" s="31"/>
      <c r="VRV46" s="31"/>
      <c r="VRW46" s="31"/>
      <c r="VRX46" s="31"/>
      <c r="VRY46" s="31"/>
      <c r="VRZ46" s="31"/>
      <c r="VSA46" s="31"/>
      <c r="VSB46" s="31"/>
      <c r="VSC46" s="31"/>
      <c r="VSD46" s="31"/>
      <c r="VSE46" s="31"/>
      <c r="VSF46" s="31"/>
      <c r="VSG46" s="31"/>
      <c r="VSH46" s="31"/>
      <c r="VSI46" s="31"/>
      <c r="VSJ46" s="31"/>
      <c r="VSK46" s="31"/>
      <c r="VSL46" s="31"/>
      <c r="VSM46" s="31"/>
      <c r="VSN46" s="31"/>
      <c r="VSO46" s="31"/>
      <c r="VSP46" s="31"/>
      <c r="VSQ46" s="31"/>
      <c r="VSR46" s="31"/>
      <c r="VSS46" s="31"/>
      <c r="VST46" s="31"/>
      <c r="VSU46" s="31"/>
      <c r="VSV46" s="31"/>
      <c r="VSW46" s="31"/>
      <c r="VSX46" s="31"/>
      <c r="VSY46" s="31"/>
      <c r="VSZ46" s="31"/>
      <c r="VTA46" s="31"/>
      <c r="VTB46" s="31"/>
      <c r="VTC46" s="31"/>
      <c r="VTD46" s="31"/>
      <c r="VTE46" s="31"/>
      <c r="VTF46" s="31"/>
      <c r="VTG46" s="31"/>
      <c r="VTH46" s="31"/>
      <c r="VTI46" s="31"/>
      <c r="VTJ46" s="31"/>
      <c r="VTK46" s="31"/>
      <c r="VTL46" s="31"/>
      <c r="VTM46" s="31"/>
      <c r="VTN46" s="31"/>
      <c r="VTO46" s="31"/>
      <c r="VTP46" s="31"/>
      <c r="VTQ46" s="31"/>
      <c r="VTR46" s="31"/>
      <c r="VTS46" s="31"/>
      <c r="VTT46" s="31"/>
      <c r="VTU46" s="31"/>
      <c r="VTV46" s="31"/>
      <c r="VTW46" s="31"/>
      <c r="VTX46" s="31"/>
      <c r="VTY46" s="31"/>
      <c r="VTZ46" s="31"/>
      <c r="VUA46" s="31"/>
      <c r="VUB46" s="31"/>
      <c r="VUC46" s="31"/>
      <c r="VUD46" s="31"/>
      <c r="VUE46" s="31"/>
      <c r="VUF46" s="31"/>
      <c r="VUG46" s="31"/>
      <c r="VUH46" s="31"/>
      <c r="VUI46" s="31"/>
      <c r="VUJ46" s="31"/>
      <c r="VUK46" s="31"/>
      <c r="VUL46" s="31"/>
      <c r="VUM46" s="31"/>
      <c r="VUN46" s="31"/>
      <c r="VUO46" s="31"/>
      <c r="VUP46" s="31"/>
      <c r="VUQ46" s="31"/>
      <c r="VUR46" s="31"/>
      <c r="VUS46" s="31"/>
      <c r="VUT46" s="31"/>
      <c r="VUU46" s="31"/>
      <c r="VUV46" s="31"/>
      <c r="VUW46" s="31"/>
      <c r="VUX46" s="31"/>
      <c r="VUY46" s="31"/>
      <c r="VUZ46" s="31"/>
      <c r="VVA46" s="31"/>
      <c r="VVB46" s="31"/>
      <c r="VVC46" s="31"/>
      <c r="VVD46" s="31"/>
      <c r="VVE46" s="31"/>
      <c r="VVF46" s="31"/>
      <c r="VVG46" s="31"/>
      <c r="VVH46" s="31"/>
      <c r="VVI46" s="31"/>
      <c r="VVJ46" s="31"/>
      <c r="VVK46" s="31"/>
      <c r="VVL46" s="31"/>
      <c r="VVM46" s="31"/>
      <c r="VVN46" s="31"/>
      <c r="VVO46" s="31"/>
      <c r="VVP46" s="31"/>
      <c r="VVQ46" s="31"/>
      <c r="VVR46" s="31"/>
      <c r="VVS46" s="31"/>
      <c r="VVT46" s="31"/>
      <c r="VVU46" s="31"/>
      <c r="VVV46" s="31"/>
      <c r="VVW46" s="31"/>
      <c r="VVX46" s="31"/>
      <c r="VVY46" s="31"/>
      <c r="VVZ46" s="31"/>
      <c r="VWA46" s="31"/>
      <c r="VWB46" s="31"/>
      <c r="VWC46" s="31"/>
      <c r="VWD46" s="31"/>
      <c r="VWE46" s="31"/>
      <c r="VWF46" s="31"/>
      <c r="VWG46" s="31"/>
      <c r="VWH46" s="31"/>
      <c r="VWI46" s="31"/>
      <c r="VWJ46" s="31"/>
      <c r="VWK46" s="31"/>
      <c r="VWL46" s="31"/>
      <c r="VWM46" s="31"/>
      <c r="VWN46" s="31"/>
      <c r="VWO46" s="31"/>
      <c r="VWP46" s="31"/>
      <c r="VWQ46" s="31"/>
      <c r="VWR46" s="31"/>
      <c r="VWS46" s="31"/>
      <c r="VWT46" s="31"/>
      <c r="VWU46" s="31"/>
      <c r="VWV46" s="31"/>
      <c r="VWW46" s="31"/>
      <c r="VWX46" s="31"/>
      <c r="VWY46" s="31"/>
      <c r="VWZ46" s="31"/>
      <c r="VXA46" s="31"/>
      <c r="VXB46" s="31"/>
      <c r="VXC46" s="31"/>
      <c r="VXD46" s="31"/>
      <c r="VXE46" s="31"/>
      <c r="VXF46" s="31"/>
      <c r="VXG46" s="31"/>
      <c r="VXH46" s="31"/>
      <c r="VXI46" s="31"/>
      <c r="VXJ46" s="31"/>
      <c r="VXK46" s="31"/>
      <c r="VXL46" s="31"/>
      <c r="VXM46" s="31"/>
      <c r="VXN46" s="31"/>
      <c r="VXO46" s="31"/>
      <c r="VXP46" s="31"/>
      <c r="VXQ46" s="31"/>
      <c r="VXR46" s="31"/>
      <c r="VXS46" s="31"/>
      <c r="VXT46" s="31"/>
      <c r="VXU46" s="31"/>
      <c r="VXV46" s="31"/>
      <c r="VXW46" s="31"/>
      <c r="VXX46" s="31"/>
      <c r="VXY46" s="31"/>
      <c r="VXZ46" s="31"/>
      <c r="VYA46" s="31"/>
      <c r="VYB46" s="31"/>
      <c r="VYC46" s="31"/>
      <c r="VYD46" s="31"/>
      <c r="VYE46" s="31"/>
      <c r="VYF46" s="31"/>
      <c r="VYG46" s="31"/>
      <c r="VYH46" s="31"/>
      <c r="VYI46" s="31"/>
      <c r="VYJ46" s="31"/>
      <c r="VYK46" s="31"/>
      <c r="VYL46" s="31"/>
      <c r="VYM46" s="31"/>
      <c r="VYN46" s="31"/>
      <c r="VYO46" s="31"/>
      <c r="VYP46" s="31"/>
      <c r="VYQ46" s="31"/>
      <c r="VYR46" s="31"/>
      <c r="VYS46" s="31"/>
      <c r="VYT46" s="31"/>
      <c r="VYU46" s="31"/>
      <c r="VYV46" s="31"/>
      <c r="VYW46" s="31"/>
      <c r="VYX46" s="31"/>
      <c r="VYY46" s="31"/>
      <c r="VYZ46" s="31"/>
      <c r="VZA46" s="31"/>
      <c r="VZB46" s="31"/>
      <c r="VZC46" s="31"/>
      <c r="VZD46" s="31"/>
      <c r="VZE46" s="31"/>
      <c r="VZF46" s="31"/>
      <c r="VZG46" s="31"/>
      <c r="VZH46" s="31"/>
      <c r="VZI46" s="31"/>
      <c r="VZJ46" s="31"/>
      <c r="VZK46" s="31"/>
      <c r="VZL46" s="31"/>
      <c r="VZM46" s="31"/>
      <c r="VZN46" s="31"/>
      <c r="VZO46" s="31"/>
      <c r="VZP46" s="31"/>
      <c r="VZQ46" s="31"/>
      <c r="VZR46" s="31"/>
      <c r="VZS46" s="31"/>
      <c r="VZT46" s="31"/>
      <c r="VZU46" s="31"/>
      <c r="VZV46" s="31"/>
      <c r="VZW46" s="31"/>
      <c r="VZX46" s="31"/>
      <c r="VZY46" s="31"/>
      <c r="VZZ46" s="31"/>
      <c r="WAA46" s="31"/>
      <c r="WAB46" s="31"/>
      <c r="WAC46" s="31"/>
      <c r="WAD46" s="31"/>
      <c r="WAE46" s="31"/>
      <c r="WAF46" s="31"/>
      <c r="WAG46" s="31"/>
      <c r="WAH46" s="31"/>
      <c r="WAI46" s="31"/>
      <c r="WAJ46" s="31"/>
      <c r="WAK46" s="31"/>
      <c r="WAL46" s="31"/>
      <c r="WAM46" s="31"/>
      <c r="WAN46" s="31"/>
      <c r="WAO46" s="31"/>
      <c r="WAP46" s="31"/>
      <c r="WAQ46" s="31"/>
      <c r="WAR46" s="31"/>
      <c r="WAS46" s="31"/>
      <c r="WAT46" s="31"/>
      <c r="WAU46" s="31"/>
      <c r="WAV46" s="31"/>
      <c r="WAW46" s="31"/>
      <c r="WAX46" s="31"/>
      <c r="WAY46" s="31"/>
      <c r="WAZ46" s="31"/>
      <c r="WBA46" s="31"/>
      <c r="WBB46" s="31"/>
      <c r="WBC46" s="31"/>
      <c r="WBD46" s="31"/>
      <c r="WBE46" s="31"/>
      <c r="WBF46" s="31"/>
      <c r="WBG46" s="31"/>
      <c r="WBH46" s="31"/>
      <c r="WBI46" s="31"/>
      <c r="WBJ46" s="31"/>
      <c r="WBK46" s="31"/>
      <c r="WBL46" s="31"/>
      <c r="WBM46" s="31"/>
      <c r="WBN46" s="31"/>
      <c r="WBO46" s="31"/>
      <c r="WBP46" s="31"/>
      <c r="WBQ46" s="31"/>
      <c r="WBR46" s="31"/>
      <c r="WBS46" s="31"/>
      <c r="WBT46" s="31"/>
      <c r="WBU46" s="31"/>
      <c r="WBV46" s="31"/>
      <c r="WBW46" s="31"/>
      <c r="WBX46" s="31"/>
      <c r="WBY46" s="31"/>
      <c r="WBZ46" s="31"/>
      <c r="WCA46" s="31"/>
      <c r="WCB46" s="31"/>
      <c r="WCC46" s="31"/>
      <c r="WCD46" s="31"/>
      <c r="WCE46" s="31"/>
      <c r="WCF46" s="31"/>
      <c r="WCG46" s="31"/>
      <c r="WCH46" s="31"/>
      <c r="WCI46" s="31"/>
      <c r="WCJ46" s="31"/>
      <c r="WCK46" s="31"/>
      <c r="WCL46" s="31"/>
      <c r="WCM46" s="31"/>
      <c r="WCN46" s="31"/>
      <c r="WCO46" s="31"/>
      <c r="WCP46" s="31"/>
      <c r="WCQ46" s="31"/>
      <c r="WCR46" s="31"/>
      <c r="WCS46" s="31"/>
      <c r="WCT46" s="31"/>
      <c r="WCU46" s="31"/>
      <c r="WCV46" s="31"/>
      <c r="WCW46" s="31"/>
      <c r="WCX46" s="31"/>
      <c r="WCY46" s="31"/>
      <c r="WCZ46" s="31"/>
      <c r="WDA46" s="31"/>
      <c r="WDB46" s="31"/>
      <c r="WDC46" s="31"/>
      <c r="WDD46" s="31"/>
      <c r="WDE46" s="31"/>
      <c r="WDF46" s="31"/>
      <c r="WDG46" s="31"/>
      <c r="WDH46" s="31"/>
      <c r="WDI46" s="31"/>
      <c r="WDJ46" s="31"/>
      <c r="WDK46" s="31"/>
      <c r="WDL46" s="31"/>
      <c r="WDM46" s="31"/>
      <c r="WDN46" s="31"/>
      <c r="WDO46" s="31"/>
      <c r="WDP46" s="31"/>
      <c r="WDQ46" s="31"/>
      <c r="WDR46" s="31"/>
      <c r="WDS46" s="31"/>
      <c r="WDT46" s="31"/>
      <c r="WDU46" s="31"/>
      <c r="WDV46" s="31"/>
      <c r="WDW46" s="31"/>
      <c r="WDX46" s="31"/>
      <c r="WDY46" s="31"/>
      <c r="WDZ46" s="31"/>
      <c r="WEA46" s="31"/>
      <c r="WEB46" s="31"/>
      <c r="WEC46" s="31"/>
      <c r="WED46" s="31"/>
      <c r="WEE46" s="31"/>
      <c r="WEF46" s="31"/>
      <c r="WEG46" s="31"/>
      <c r="WEH46" s="31"/>
      <c r="WEI46" s="31"/>
      <c r="WEJ46" s="31"/>
      <c r="WEK46" s="31"/>
      <c r="WEL46" s="31"/>
      <c r="WEM46" s="31"/>
      <c r="WEN46" s="31"/>
      <c r="WEO46" s="31"/>
      <c r="WEP46" s="31"/>
      <c r="WEQ46" s="31"/>
      <c r="WER46" s="31"/>
      <c r="WES46" s="31"/>
      <c r="WET46" s="31"/>
      <c r="WEU46" s="31"/>
      <c r="WEV46" s="31"/>
      <c r="WEW46" s="31"/>
      <c r="WEX46" s="31"/>
      <c r="WEY46" s="31"/>
      <c r="WEZ46" s="31"/>
      <c r="WFA46" s="31"/>
      <c r="WFB46" s="31"/>
      <c r="WFC46" s="31"/>
      <c r="WFD46" s="31"/>
      <c r="WFE46" s="31"/>
      <c r="WFF46" s="31"/>
      <c r="WFG46" s="31"/>
      <c r="WFH46" s="31"/>
      <c r="WFI46" s="31"/>
      <c r="WFJ46" s="31"/>
      <c r="WFK46" s="31"/>
      <c r="WFL46" s="31"/>
      <c r="WFM46" s="31"/>
      <c r="WFN46" s="31"/>
      <c r="WFO46" s="31"/>
      <c r="WFP46" s="31"/>
      <c r="WFQ46" s="31"/>
      <c r="WFR46" s="31"/>
      <c r="WFS46" s="31"/>
      <c r="WFT46" s="31"/>
      <c r="WFU46" s="31"/>
      <c r="WFV46" s="31"/>
      <c r="WFW46" s="31"/>
      <c r="WFX46" s="31"/>
      <c r="WFY46" s="31"/>
      <c r="WFZ46" s="31"/>
      <c r="WGA46" s="31"/>
      <c r="WGB46" s="31"/>
      <c r="WGC46" s="31"/>
      <c r="WGD46" s="31"/>
      <c r="WGE46" s="31"/>
      <c r="WGF46" s="31"/>
      <c r="WGG46" s="31"/>
      <c r="WGH46" s="31"/>
      <c r="WGI46" s="31"/>
      <c r="WGJ46" s="31"/>
      <c r="WGK46" s="31"/>
      <c r="WGL46" s="31"/>
      <c r="WGM46" s="31"/>
      <c r="WGN46" s="31"/>
      <c r="WGO46" s="31"/>
      <c r="WGP46" s="31"/>
      <c r="WGQ46" s="31"/>
      <c r="WGR46" s="31"/>
      <c r="WGS46" s="31"/>
      <c r="WGT46" s="31"/>
      <c r="WGU46" s="31"/>
      <c r="WGV46" s="31"/>
      <c r="WGW46" s="31"/>
      <c r="WGX46" s="31"/>
      <c r="WGY46" s="31"/>
      <c r="WGZ46" s="31"/>
      <c r="WHA46" s="31"/>
      <c r="WHB46" s="31"/>
      <c r="WHC46" s="31"/>
      <c r="WHD46" s="31"/>
      <c r="WHE46" s="31"/>
      <c r="WHF46" s="31"/>
      <c r="WHG46" s="31"/>
      <c r="WHH46" s="31"/>
      <c r="WHI46" s="31"/>
      <c r="WHJ46" s="31"/>
      <c r="WHK46" s="31"/>
      <c r="WHL46" s="31"/>
      <c r="WHM46" s="31"/>
      <c r="WHN46" s="31"/>
      <c r="WHO46" s="31"/>
      <c r="WHP46" s="31"/>
      <c r="WHQ46" s="31"/>
      <c r="WHR46" s="31"/>
      <c r="WHS46" s="31"/>
      <c r="WHT46" s="31"/>
      <c r="WHU46" s="31"/>
      <c r="WHV46" s="31"/>
      <c r="WHW46" s="31"/>
      <c r="WHX46" s="31"/>
      <c r="WHY46" s="31"/>
      <c r="WHZ46" s="31"/>
      <c r="WIA46" s="31"/>
      <c r="WIB46" s="31"/>
      <c r="WIC46" s="31"/>
      <c r="WID46" s="31"/>
      <c r="WIE46" s="31"/>
      <c r="WIF46" s="31"/>
      <c r="WIG46" s="31"/>
      <c r="WIH46" s="31"/>
      <c r="WII46" s="31"/>
      <c r="WIJ46" s="31"/>
      <c r="WIK46" s="31"/>
      <c r="WIL46" s="31"/>
      <c r="WIM46" s="31"/>
      <c r="WIN46" s="31"/>
      <c r="WIO46" s="31"/>
      <c r="WIP46" s="31"/>
      <c r="WIQ46" s="31"/>
      <c r="WIR46" s="31"/>
      <c r="WIS46" s="31"/>
      <c r="WIT46" s="31"/>
      <c r="WIU46" s="31"/>
      <c r="WIV46" s="31"/>
      <c r="WIW46" s="31"/>
      <c r="WIX46" s="31"/>
      <c r="WIY46" s="31"/>
      <c r="WIZ46" s="31"/>
      <c r="WJA46" s="31"/>
      <c r="WJB46" s="31"/>
      <c r="WJC46" s="31"/>
      <c r="WJD46" s="31"/>
      <c r="WJE46" s="31"/>
      <c r="WJF46" s="31"/>
      <c r="WJG46" s="31"/>
      <c r="WJH46" s="31"/>
      <c r="WJI46" s="31"/>
      <c r="WJJ46" s="31"/>
      <c r="WJK46" s="31"/>
      <c r="WJL46" s="31"/>
      <c r="WJM46" s="31"/>
      <c r="WJN46" s="31"/>
      <c r="WJO46" s="31"/>
      <c r="WJP46" s="31"/>
      <c r="WJQ46" s="31"/>
      <c r="WJR46" s="31"/>
      <c r="WJS46" s="31"/>
      <c r="WJT46" s="31"/>
      <c r="WJU46" s="31"/>
      <c r="WJV46" s="31"/>
      <c r="WJW46" s="31"/>
      <c r="WJX46" s="31"/>
      <c r="WJY46" s="31"/>
      <c r="WJZ46" s="31"/>
      <c r="WKA46" s="31"/>
      <c r="WKB46" s="31"/>
      <c r="WKC46" s="31"/>
      <c r="WKD46" s="31"/>
      <c r="WKE46" s="31"/>
      <c r="WKF46" s="31"/>
      <c r="WKG46" s="31"/>
      <c r="WKH46" s="31"/>
      <c r="WKI46" s="31"/>
      <c r="WKJ46" s="31"/>
      <c r="WKK46" s="31"/>
      <c r="WKL46" s="31"/>
      <c r="WKM46" s="31"/>
      <c r="WKN46" s="31"/>
      <c r="WKO46" s="31"/>
      <c r="WKP46" s="31"/>
      <c r="WKQ46" s="31"/>
      <c r="WKR46" s="31"/>
      <c r="WKS46" s="31"/>
      <c r="WKT46" s="31"/>
      <c r="WKU46" s="31"/>
      <c r="WKV46" s="31"/>
      <c r="WKW46" s="31"/>
      <c r="WKX46" s="31"/>
      <c r="WKY46" s="31"/>
      <c r="WKZ46" s="31"/>
      <c r="WLA46" s="31"/>
      <c r="WLB46" s="31"/>
      <c r="WLC46" s="31"/>
      <c r="WLD46" s="31"/>
      <c r="WLE46" s="31"/>
      <c r="WLF46" s="31"/>
      <c r="WLG46" s="31"/>
      <c r="WLH46" s="31"/>
      <c r="WLI46" s="31"/>
      <c r="WLJ46" s="31"/>
      <c r="WLK46" s="31"/>
      <c r="WLL46" s="31"/>
      <c r="WLM46" s="31"/>
      <c r="WLN46" s="31"/>
      <c r="WLO46" s="31"/>
      <c r="WLP46" s="31"/>
      <c r="WLQ46" s="31"/>
      <c r="WLR46" s="31"/>
      <c r="WLS46" s="31"/>
      <c r="WLT46" s="31"/>
      <c r="WLU46" s="31"/>
      <c r="WLV46" s="31"/>
      <c r="WLW46" s="31"/>
      <c r="WLX46" s="31"/>
      <c r="WLY46" s="31"/>
      <c r="WLZ46" s="31"/>
      <c r="WMA46" s="31"/>
      <c r="WMB46" s="31"/>
      <c r="WMC46" s="31"/>
      <c r="WMD46" s="31"/>
      <c r="WME46" s="31"/>
      <c r="WMF46" s="31"/>
      <c r="WMG46" s="31"/>
      <c r="WMH46" s="31"/>
      <c r="WMI46" s="31"/>
      <c r="WMJ46" s="31"/>
      <c r="WMK46" s="31"/>
      <c r="WML46" s="31"/>
      <c r="WMM46" s="31"/>
      <c r="WMN46" s="31"/>
      <c r="WMO46" s="31"/>
      <c r="WMP46" s="31"/>
      <c r="WMQ46" s="31"/>
      <c r="WMR46" s="31"/>
      <c r="WMS46" s="31"/>
      <c r="WMT46" s="31"/>
      <c r="WMU46" s="31"/>
      <c r="WMV46" s="31"/>
      <c r="WMW46" s="31"/>
      <c r="WMX46" s="31"/>
      <c r="WMY46" s="31"/>
      <c r="WMZ46" s="31"/>
      <c r="WNA46" s="31"/>
      <c r="WNB46" s="31"/>
      <c r="WNC46" s="31"/>
      <c r="WND46" s="31"/>
      <c r="WNE46" s="31"/>
      <c r="WNF46" s="31"/>
      <c r="WNG46" s="31"/>
      <c r="WNH46" s="31"/>
      <c r="WNI46" s="31"/>
      <c r="WNJ46" s="31"/>
      <c r="WNK46" s="31"/>
      <c r="WNL46" s="31"/>
      <c r="WNM46" s="31"/>
      <c r="WNN46" s="31"/>
      <c r="WNO46" s="31"/>
      <c r="WNP46" s="31"/>
      <c r="WNQ46" s="31"/>
      <c r="WNR46" s="31"/>
      <c r="WNS46" s="31"/>
      <c r="WNT46" s="31"/>
      <c r="WNU46" s="31"/>
      <c r="WNV46" s="31"/>
      <c r="WNW46" s="31"/>
      <c r="WNX46" s="31"/>
      <c r="WNY46" s="31"/>
      <c r="WNZ46" s="31"/>
      <c r="WOA46" s="31"/>
      <c r="WOB46" s="31"/>
      <c r="WOC46" s="31"/>
      <c r="WOD46" s="31"/>
      <c r="WOE46" s="31"/>
      <c r="WOF46" s="31"/>
      <c r="WOG46" s="31"/>
      <c r="WOH46" s="31"/>
      <c r="WOI46" s="31"/>
      <c r="WOJ46" s="31"/>
      <c r="WOK46" s="31"/>
      <c r="WOL46" s="31"/>
      <c r="WOM46" s="31"/>
      <c r="WON46" s="31"/>
      <c r="WOO46" s="31"/>
      <c r="WOP46" s="31"/>
      <c r="WOQ46" s="31"/>
      <c r="WOR46" s="31"/>
      <c r="WOS46" s="31"/>
      <c r="WOT46" s="31"/>
      <c r="WOU46" s="31"/>
      <c r="WOV46" s="31"/>
      <c r="WOW46" s="31"/>
      <c r="WOX46" s="31"/>
      <c r="WOY46" s="31"/>
      <c r="WOZ46" s="31"/>
      <c r="WPA46" s="31"/>
      <c r="WPB46" s="31"/>
      <c r="WPC46" s="31"/>
      <c r="WPD46" s="31"/>
      <c r="WPE46" s="31"/>
      <c r="WPF46" s="31"/>
      <c r="WPG46" s="31"/>
      <c r="WPH46" s="31"/>
      <c r="WPI46" s="31"/>
      <c r="WPJ46" s="31"/>
      <c r="WPK46" s="31"/>
      <c r="WPL46" s="31"/>
      <c r="WPM46" s="31"/>
      <c r="WPN46" s="31"/>
      <c r="WPO46" s="31"/>
      <c r="WPP46" s="31"/>
      <c r="WPQ46" s="31"/>
      <c r="WPR46" s="31"/>
      <c r="WPS46" s="31"/>
      <c r="WPT46" s="31"/>
      <c r="WPU46" s="31"/>
      <c r="WPV46" s="31"/>
      <c r="WPW46" s="31"/>
      <c r="WPX46" s="31"/>
      <c r="WPY46" s="31"/>
      <c r="WPZ46" s="31"/>
      <c r="WQA46" s="31"/>
      <c r="WQB46" s="31"/>
      <c r="WQC46" s="31"/>
      <c r="WQD46" s="31"/>
      <c r="WQE46" s="31"/>
      <c r="WQF46" s="31"/>
      <c r="WQG46" s="31"/>
      <c r="WQH46" s="31"/>
      <c r="WQI46" s="31"/>
      <c r="WQJ46" s="31"/>
      <c r="WQK46" s="31"/>
      <c r="WQL46" s="31"/>
      <c r="WQM46" s="31"/>
      <c r="WQN46" s="31"/>
      <c r="WQO46" s="31"/>
      <c r="WQP46" s="31"/>
      <c r="WQQ46" s="31"/>
      <c r="WQR46" s="31"/>
      <c r="WQS46" s="31"/>
      <c r="WQT46" s="31"/>
      <c r="WQU46" s="31"/>
      <c r="WQV46" s="31"/>
      <c r="WQW46" s="31"/>
      <c r="WQX46" s="31"/>
      <c r="WQY46" s="31"/>
      <c r="WQZ46" s="31"/>
      <c r="WRA46" s="31"/>
      <c r="WRB46" s="31"/>
      <c r="WRC46" s="31"/>
      <c r="WRD46" s="31"/>
      <c r="WRE46" s="31"/>
      <c r="WRF46" s="31"/>
      <c r="WRG46" s="31"/>
      <c r="WRH46" s="31"/>
      <c r="WRI46" s="31"/>
      <c r="WRJ46" s="31"/>
      <c r="WRK46" s="31"/>
      <c r="WRL46" s="31"/>
      <c r="WRM46" s="31"/>
      <c r="WRN46" s="31"/>
      <c r="WRO46" s="31"/>
      <c r="WRP46" s="31"/>
      <c r="WRQ46" s="31"/>
      <c r="WRR46" s="31"/>
      <c r="WRS46" s="31"/>
      <c r="WRT46" s="31"/>
      <c r="WRU46" s="31"/>
      <c r="WRV46" s="31"/>
      <c r="WRW46" s="31"/>
      <c r="WRX46" s="31"/>
      <c r="WRY46" s="31"/>
      <c r="WRZ46" s="31"/>
      <c r="WSA46" s="31"/>
      <c r="WSB46" s="31"/>
      <c r="WSC46" s="31"/>
      <c r="WSD46" s="31"/>
      <c r="WSE46" s="31"/>
      <c r="WSF46" s="31"/>
      <c r="WSG46" s="31"/>
      <c r="WSH46" s="31"/>
      <c r="WSI46" s="31"/>
      <c r="WSJ46" s="31"/>
      <c r="WSK46" s="31"/>
      <c r="WSL46" s="31"/>
      <c r="WSM46" s="31"/>
      <c r="WSN46" s="31"/>
      <c r="WSO46" s="31"/>
      <c r="WSP46" s="31"/>
      <c r="WSQ46" s="31"/>
      <c r="WSR46" s="31"/>
      <c r="WSS46" s="31"/>
      <c r="WST46" s="31"/>
      <c r="WSU46" s="31"/>
      <c r="WSV46" s="31"/>
      <c r="WSW46" s="31"/>
      <c r="WSX46" s="31"/>
      <c r="WSY46" s="31"/>
      <c r="WSZ46" s="31"/>
      <c r="WTA46" s="31"/>
      <c r="WTB46" s="31"/>
      <c r="WTC46" s="31"/>
      <c r="WTD46" s="31"/>
      <c r="WTE46" s="31"/>
      <c r="WTF46" s="31"/>
      <c r="WTG46" s="31"/>
      <c r="WTH46" s="31"/>
      <c r="WTI46" s="31"/>
      <c r="WTJ46" s="31"/>
      <c r="WTK46" s="31"/>
      <c r="WTL46" s="31"/>
      <c r="WTM46" s="31"/>
      <c r="WTN46" s="31"/>
      <c r="WTO46" s="31"/>
      <c r="WTP46" s="31"/>
      <c r="WTQ46" s="31"/>
      <c r="WTR46" s="31"/>
      <c r="WTS46" s="31"/>
      <c r="WTT46" s="31"/>
      <c r="WTU46" s="31"/>
      <c r="WTV46" s="31"/>
      <c r="WTW46" s="31"/>
      <c r="WTX46" s="31"/>
      <c r="WTY46" s="31"/>
      <c r="WTZ46" s="31"/>
      <c r="WUA46" s="31"/>
      <c r="WUB46" s="31"/>
      <c r="WUC46" s="31"/>
      <c r="WUD46" s="31"/>
      <c r="WUE46" s="31"/>
      <c r="WUF46" s="31"/>
      <c r="WUG46" s="31"/>
      <c r="WUH46" s="31"/>
      <c r="WUI46" s="31"/>
      <c r="WUJ46" s="31"/>
      <c r="WUK46" s="31"/>
      <c r="WUL46" s="31"/>
      <c r="WUM46" s="31"/>
      <c r="WUN46" s="31"/>
      <c r="WUO46" s="31"/>
      <c r="WUP46" s="31"/>
      <c r="WUQ46" s="31"/>
      <c r="WUR46" s="31"/>
      <c r="WUS46" s="31"/>
      <c r="WUT46" s="31"/>
      <c r="WUU46" s="31"/>
      <c r="WUV46" s="31"/>
      <c r="WUW46" s="31"/>
      <c r="WUX46" s="31"/>
      <c r="WUY46" s="31"/>
      <c r="WUZ46" s="31"/>
      <c r="WVA46" s="31"/>
      <c r="WVB46" s="31"/>
      <c r="WVC46" s="31"/>
      <c r="WVD46" s="31"/>
      <c r="WVE46" s="31"/>
      <c r="WVF46" s="31"/>
      <c r="WVG46" s="31"/>
      <c r="WVH46" s="31"/>
      <c r="WVI46" s="31"/>
      <c r="WVJ46" s="31"/>
      <c r="WVK46" s="31"/>
      <c r="WVL46" s="31"/>
      <c r="WVM46" s="31"/>
      <c r="WVN46" s="31"/>
      <c r="WVO46" s="31"/>
      <c r="WVP46" s="31"/>
      <c r="WVQ46" s="31"/>
      <c r="WVR46" s="31"/>
      <c r="WVS46" s="31"/>
      <c r="WVT46" s="31"/>
      <c r="WVU46" s="31"/>
      <c r="WVV46" s="31"/>
      <c r="WVW46" s="31"/>
      <c r="WVX46" s="31"/>
      <c r="WVY46" s="31"/>
      <c r="WVZ46" s="31"/>
      <c r="WWA46" s="31"/>
      <c r="WWB46" s="31"/>
      <c r="WWC46" s="31"/>
      <c r="WWD46" s="31"/>
      <c r="WWE46" s="31"/>
      <c r="WWF46" s="31"/>
      <c r="WWG46" s="31"/>
      <c r="WWH46" s="31"/>
      <c r="WWI46" s="31"/>
      <c r="WWJ46" s="31"/>
      <c r="WWK46" s="31"/>
      <c r="WWL46" s="31"/>
      <c r="WWM46" s="31"/>
      <c r="WWN46" s="31"/>
      <c r="WWO46" s="31"/>
      <c r="WWP46" s="31"/>
      <c r="WWQ46" s="31"/>
      <c r="WWR46" s="31"/>
      <c r="WWS46" s="31"/>
      <c r="WWT46" s="31"/>
      <c r="WWU46" s="31"/>
      <c r="WWV46" s="31"/>
      <c r="WWW46" s="31"/>
      <c r="WWX46" s="31"/>
      <c r="WWY46" s="31"/>
      <c r="WWZ46" s="31"/>
      <c r="WXA46" s="31"/>
      <c r="WXB46" s="31"/>
      <c r="WXC46" s="31"/>
      <c r="WXD46" s="31"/>
      <c r="WXE46" s="31"/>
      <c r="WXF46" s="31"/>
      <c r="WXG46" s="31"/>
      <c r="WXH46" s="31"/>
      <c r="WXI46" s="31"/>
      <c r="WXJ46" s="31"/>
      <c r="WXK46" s="31"/>
      <c r="WXL46" s="31"/>
      <c r="WXM46" s="31"/>
      <c r="WXN46" s="31"/>
      <c r="WXO46" s="31"/>
      <c r="WXP46" s="31"/>
      <c r="WXQ46" s="31"/>
      <c r="WXR46" s="31"/>
      <c r="WXS46" s="31"/>
      <c r="WXT46" s="31"/>
      <c r="WXU46" s="31"/>
      <c r="WXV46" s="31"/>
      <c r="WXW46" s="31"/>
      <c r="WXX46" s="31"/>
      <c r="WXY46" s="31"/>
      <c r="WXZ46" s="31"/>
      <c r="WYA46" s="31"/>
      <c r="WYB46" s="31"/>
      <c r="WYC46" s="31"/>
      <c r="WYD46" s="31"/>
      <c r="WYE46" s="31"/>
      <c r="WYF46" s="31"/>
      <c r="WYG46" s="31"/>
      <c r="WYH46" s="31"/>
      <c r="WYI46" s="31"/>
      <c r="WYJ46" s="31"/>
      <c r="WYK46" s="31"/>
      <c r="WYL46" s="31"/>
      <c r="WYM46" s="31"/>
      <c r="WYN46" s="31"/>
      <c r="WYO46" s="31"/>
      <c r="WYP46" s="31"/>
      <c r="WYQ46" s="31"/>
      <c r="WYR46" s="31"/>
      <c r="WYS46" s="31"/>
      <c r="WYT46" s="31"/>
      <c r="WYU46" s="31"/>
      <c r="WYV46" s="31"/>
      <c r="WYW46" s="31"/>
      <c r="WYX46" s="31"/>
      <c r="WYY46" s="31"/>
      <c r="WYZ46" s="31"/>
      <c r="WZA46" s="31"/>
      <c r="WZB46" s="31"/>
      <c r="WZC46" s="31"/>
      <c r="WZD46" s="31"/>
      <c r="WZE46" s="31"/>
      <c r="WZF46" s="31"/>
      <c r="WZG46" s="31"/>
      <c r="WZH46" s="31"/>
      <c r="WZI46" s="31"/>
      <c r="WZJ46" s="31"/>
      <c r="WZK46" s="31"/>
      <c r="WZL46" s="31"/>
      <c r="WZM46" s="31"/>
      <c r="WZN46" s="31"/>
      <c r="WZO46" s="31"/>
      <c r="WZP46" s="31"/>
      <c r="WZQ46" s="31"/>
      <c r="WZR46" s="31"/>
      <c r="WZS46" s="31"/>
      <c r="WZT46" s="31"/>
      <c r="WZU46" s="31"/>
      <c r="WZV46" s="31"/>
      <c r="WZW46" s="31"/>
      <c r="WZX46" s="31"/>
      <c r="WZY46" s="31"/>
      <c r="WZZ46" s="31"/>
      <c r="XAA46" s="31"/>
      <c r="XAB46" s="31"/>
      <c r="XAC46" s="31"/>
      <c r="XAD46" s="31"/>
      <c r="XAE46" s="31"/>
      <c r="XAF46" s="31"/>
      <c r="XAG46" s="31"/>
      <c r="XAH46" s="31"/>
      <c r="XAI46" s="31"/>
      <c r="XAJ46" s="31"/>
      <c r="XAK46" s="31"/>
      <c r="XAL46" s="31"/>
      <c r="XAM46" s="31"/>
      <c r="XAN46" s="31"/>
      <c r="XAO46" s="31"/>
      <c r="XAP46" s="31"/>
      <c r="XAQ46" s="31"/>
      <c r="XAR46" s="31"/>
      <c r="XAS46" s="31"/>
      <c r="XAT46" s="31"/>
      <c r="XAU46" s="31"/>
      <c r="XAV46" s="31"/>
      <c r="XAW46" s="31"/>
      <c r="XAX46" s="31"/>
      <c r="XAY46" s="31"/>
      <c r="XAZ46" s="31"/>
      <c r="XBA46" s="31"/>
      <c r="XBB46" s="31"/>
      <c r="XBC46" s="31"/>
      <c r="XBD46" s="31"/>
      <c r="XBE46" s="31"/>
      <c r="XBF46" s="31"/>
      <c r="XBG46" s="31"/>
      <c r="XBH46" s="31"/>
      <c r="XBI46" s="31"/>
      <c r="XBJ46" s="31"/>
      <c r="XBK46" s="31"/>
      <c r="XBL46" s="31"/>
      <c r="XBM46" s="31"/>
      <c r="XBN46" s="31"/>
      <c r="XBO46" s="31"/>
      <c r="XBP46" s="31"/>
      <c r="XBQ46" s="31"/>
      <c r="XBR46" s="31"/>
      <c r="XBS46" s="31"/>
      <c r="XBT46" s="31"/>
      <c r="XBU46" s="31"/>
      <c r="XBV46" s="31"/>
      <c r="XBW46" s="31"/>
      <c r="XBX46" s="31"/>
      <c r="XBY46" s="31"/>
      <c r="XBZ46" s="31"/>
      <c r="XCA46" s="31"/>
      <c r="XCB46" s="31"/>
      <c r="XCC46" s="31"/>
      <c r="XCD46" s="31"/>
      <c r="XCE46" s="31"/>
      <c r="XCF46" s="31"/>
      <c r="XCG46" s="31"/>
      <c r="XCH46" s="31"/>
      <c r="XCI46" s="31"/>
      <c r="XCJ46" s="31"/>
      <c r="XCK46" s="31"/>
      <c r="XCL46" s="31"/>
      <c r="XCM46" s="31"/>
      <c r="XCN46" s="31"/>
      <c r="XCO46" s="31"/>
      <c r="XCP46" s="31"/>
      <c r="XCQ46" s="31"/>
      <c r="XCR46" s="31"/>
      <c r="XCS46" s="31"/>
      <c r="XCT46" s="31"/>
      <c r="XCU46" s="31"/>
      <c r="XCV46" s="31"/>
      <c r="XCW46" s="31"/>
      <c r="XCX46" s="31"/>
      <c r="XCY46" s="31"/>
      <c r="XCZ46" s="31"/>
      <c r="XDA46" s="31"/>
      <c r="XDB46" s="31"/>
      <c r="XDC46" s="31"/>
      <c r="XDD46" s="31"/>
      <c r="XDE46" s="31"/>
      <c r="XDF46" s="31"/>
      <c r="XDG46" s="31"/>
      <c r="XDH46" s="31"/>
      <c r="XDI46" s="31"/>
      <c r="XDJ46" s="31"/>
      <c r="XDK46" s="31"/>
      <c r="XDL46" s="31"/>
      <c r="XDM46" s="31"/>
      <c r="XDN46" s="31"/>
      <c r="XDO46" s="31"/>
      <c r="XDP46" s="31"/>
      <c r="XDQ46" s="31"/>
      <c r="XDR46" s="31"/>
      <c r="XDS46" s="31"/>
      <c r="XDT46" s="31"/>
      <c r="XDU46" s="31"/>
      <c r="XDV46" s="31"/>
      <c r="XDW46" s="31"/>
      <c r="XDX46" s="31"/>
      <c r="XDY46" s="31"/>
      <c r="XDZ46" s="31"/>
      <c r="XEA46" s="31"/>
      <c r="XEB46" s="31"/>
      <c r="XEC46" s="31"/>
      <c r="XED46" s="31"/>
      <c r="XEE46" s="31"/>
      <c r="XEF46" s="31"/>
      <c r="XEG46" s="31"/>
      <c r="XEH46" s="31"/>
      <c r="XEI46" s="31"/>
      <c r="XEJ46" s="31"/>
      <c r="XEK46" s="31"/>
      <c r="XEL46" s="31"/>
      <c r="XEM46" s="31"/>
      <c r="XEN46" s="31"/>
      <c r="XEO46" s="31"/>
      <c r="XEP46" s="31"/>
      <c r="XEQ46" s="31"/>
      <c r="XER46" s="31"/>
      <c r="XES46" s="31"/>
      <c r="XET46" s="31"/>
    </row>
    <row r="47" spans="2:16374" ht="16" customHeight="1">
      <c r="B47" s="34"/>
      <c r="C47" s="34" t="s">
        <v>242</v>
      </c>
      <c r="D47" s="197">
        <f>参数实验室!E8</f>
        <v>-7.2714895967875268E-2</v>
      </c>
      <c r="E47" s="198">
        <f>参数实验室!E24</f>
        <v>1.0363574479839377</v>
      </c>
      <c r="F47" s="199">
        <f>参数实验室!E40</f>
        <v>-0.9636425520160623</v>
      </c>
      <c r="G47" s="199">
        <f>参数实验室!E56</f>
        <v>-7.2714895967875268E-2</v>
      </c>
      <c r="H47" s="200">
        <f>参数实验室!E8</f>
        <v>-7.2714895967875268E-2</v>
      </c>
      <c r="I47" s="34"/>
      <c r="J47" s="30"/>
      <c r="K47" s="42"/>
      <c r="L47" s="189"/>
      <c r="M47" s="42"/>
      <c r="N47" s="189"/>
      <c r="O47" s="42"/>
      <c r="Q47" s="205"/>
      <c r="R47" s="456">
        <f>D47</f>
        <v>-7.2714895967875268E-2</v>
      </c>
      <c r="S47" s="181">
        <f>D48</f>
        <v>0.94568502188495451</v>
      </c>
      <c r="T47" s="181">
        <f>E47</f>
        <v>1.0363574479839377</v>
      </c>
      <c r="U47" s="181">
        <f>E48</f>
        <v>-1.0543149781150456</v>
      </c>
      <c r="V47" s="181">
        <f>(T47-R47)*($S$42-R47)+(U47-S47)*($S$43-S47)</f>
        <v>2.1307900496435241</v>
      </c>
      <c r="W47" s="181">
        <f>(T47-R47)*(T47-R47)+(U47-S47)*(U47-S47)</f>
        <v>5.2300414641187682</v>
      </c>
      <c r="X47" s="181">
        <f>V47/W47</f>
        <v>0.40741360546795397</v>
      </c>
      <c r="Y47" s="181">
        <f>R47+(T47-R47)*X47</f>
        <v>0.37913626640632753</v>
      </c>
      <c r="Z47" s="181">
        <f>S47+(U47-S47)*X47</f>
        <v>0.13085781094904658</v>
      </c>
      <c r="AA47" s="185">
        <f t="shared" ref="AA47:AB50" si="0">_xlfn.IFS($V47&lt;=0,R47,$V47&gt;=$W47,T47,TRUE,Y47)</f>
        <v>0.37913626640632753</v>
      </c>
      <c r="AB47" s="185">
        <f t="shared" si="0"/>
        <v>0.13085781094904658</v>
      </c>
      <c r="AC47" s="185">
        <f>SQRT(($S$42 - AA47) * ($S$42- AA47) + ($S$43 - AB47) * ($S$43-AB47))</f>
        <v>0.2641398994901456</v>
      </c>
      <c r="AD47" s="1292">
        <f>MIN(AC47,AC48,AC49,AC50)</f>
        <v>0.24491587641306992</v>
      </c>
      <c r="AE47" s="205"/>
    </row>
    <row r="48" spans="2:16374" ht="17" customHeight="1" thickBot="1">
      <c r="B48" s="205"/>
      <c r="C48" s="34" t="s">
        <v>243</v>
      </c>
      <c r="D48" s="201">
        <f>参数实验室!E12</f>
        <v>0.94568502188495451</v>
      </c>
      <c r="E48" s="202">
        <f>参数实验室!E28</f>
        <v>-1.0543149781150456</v>
      </c>
      <c r="F48" s="203">
        <f>参数实验室!E44</f>
        <v>0.10862995623009114</v>
      </c>
      <c r="G48" s="203">
        <f>参数实验室!E60</f>
        <v>0.10862995623009114</v>
      </c>
      <c r="H48" s="204">
        <f>参数实验室!E12</f>
        <v>0.94568502188495451</v>
      </c>
      <c r="I48" s="205"/>
      <c r="J48" s="30"/>
      <c r="K48" s="189"/>
      <c r="L48" s="42"/>
      <c r="M48" s="189"/>
      <c r="N48" s="42"/>
      <c r="O48" s="189"/>
      <c r="Q48" s="205"/>
      <c r="R48" s="457">
        <f>E47</f>
        <v>1.0363574479839377</v>
      </c>
      <c r="S48" s="180">
        <f>E48</f>
        <v>-1.0543149781150456</v>
      </c>
      <c r="T48" s="180">
        <f>F47</f>
        <v>-0.9636425520160623</v>
      </c>
      <c r="U48" s="180">
        <f>F48</f>
        <v>0.10862995623009114</v>
      </c>
      <c r="V48" s="180">
        <f>(T48-R48)*($S$42-R48)+(U48-S48)*($S$43-S48)</f>
        <v>3.0057619114584875</v>
      </c>
      <c r="W48" s="180">
        <f t="shared" ref="W48:W49" si="1">(T48-R48)*(T48-R48)+(U48-S48)*(U48-S48)</f>
        <v>5.3524409203190144</v>
      </c>
      <c r="X48" s="180">
        <f t="shared" ref="X48:X49" si="2">V48/W48</f>
        <v>0.56156844254888838</v>
      </c>
      <c r="Y48" s="180">
        <f t="shared" ref="Y48:Y49" si="3">R48+(T48-R48)*X48</f>
        <v>-8.6779437113839064E-2</v>
      </c>
      <c r="Z48" s="180">
        <f t="shared" ref="Z48:Z49" si="4">S48+(U48-S48)*X48</f>
        <v>-0.40124180256472786</v>
      </c>
      <c r="AA48" s="185">
        <f t="shared" si="0"/>
        <v>-8.6779437113839064E-2</v>
      </c>
      <c r="AB48" s="185">
        <f t="shared" si="0"/>
        <v>-0.40124180256472786</v>
      </c>
      <c r="AC48" s="185">
        <f>SQRT(($S$42 - AA48) * ($S$42- AA48) + ($S$43 - AB48) * ($S$43-AB48))</f>
        <v>0.46733614525775879</v>
      </c>
      <c r="AD48" s="1293"/>
      <c r="AE48" s="205"/>
    </row>
    <row r="49" spans="1:31" ht="17" customHeight="1">
      <c r="B49" s="37"/>
      <c r="C49" s="34" t="s">
        <v>2</v>
      </c>
      <c r="D49" s="197">
        <v>0</v>
      </c>
      <c r="E49" s="198">
        <v>1</v>
      </c>
      <c r="F49" s="199">
        <v>-1</v>
      </c>
      <c r="G49" s="199">
        <v>0</v>
      </c>
      <c r="H49" s="200">
        <v>0</v>
      </c>
      <c r="I49" s="37"/>
      <c r="J49" s="28"/>
      <c r="K49" s="42"/>
      <c r="L49" s="189"/>
      <c r="M49" s="42"/>
      <c r="N49" s="189"/>
      <c r="O49" s="42"/>
      <c r="Q49" s="205"/>
      <c r="R49" s="457">
        <f>F47</f>
        <v>-0.9636425520160623</v>
      </c>
      <c r="S49" s="180">
        <f>F48</f>
        <v>0.10862995623009114</v>
      </c>
      <c r="T49" s="180">
        <f>G47</f>
        <v>-7.2714895967875268E-2</v>
      </c>
      <c r="U49" s="180">
        <f>G48</f>
        <v>0.10862995623009114</v>
      </c>
      <c r="V49" s="180">
        <f>(T49-R49)*($S$42-R49)+(U49-S49)*($S$43-S49)</f>
        <v>0.99051475357463381</v>
      </c>
      <c r="W49" s="180">
        <f t="shared" si="1"/>
        <v>0.79375208831151667</v>
      </c>
      <c r="X49" s="180">
        <f t="shared" si="2"/>
        <v>1.2478893198021994</v>
      </c>
      <c r="Y49" s="180">
        <f t="shared" si="3"/>
        <v>0.14813655468287767</v>
      </c>
      <c r="Z49" s="180">
        <f t="shared" si="4"/>
        <v>0.10862995623009114</v>
      </c>
      <c r="AA49" s="185">
        <f t="shared" si="0"/>
        <v>-7.2714895967875268E-2</v>
      </c>
      <c r="AB49" s="185">
        <f t="shared" si="0"/>
        <v>0.10862995623009114</v>
      </c>
      <c r="AC49" s="185">
        <f>SQRT(($S$42 - AA49) * ($S$42- AA49) + ($S$43 - AB49) * ($S$43-AB49))</f>
        <v>0.24491587641306992</v>
      </c>
      <c r="AD49" s="1293"/>
      <c r="AE49" s="205"/>
    </row>
    <row r="50" spans="1:31" ht="17" customHeight="1" thickBot="1">
      <c r="B50" s="206"/>
      <c r="C50" s="34" t="s">
        <v>3</v>
      </c>
      <c r="D50" s="201">
        <v>1</v>
      </c>
      <c r="E50" s="202">
        <v>-1</v>
      </c>
      <c r="F50" s="203">
        <v>0</v>
      </c>
      <c r="G50" s="203">
        <v>0</v>
      </c>
      <c r="H50" s="204">
        <v>1</v>
      </c>
      <c r="I50" s="206"/>
      <c r="J50" s="28"/>
      <c r="K50" s="189"/>
      <c r="L50" s="42"/>
      <c r="M50" s="189"/>
      <c r="N50" s="42"/>
      <c r="O50" s="189"/>
      <c r="Q50" s="262"/>
      <c r="R50" s="458">
        <f>G47</f>
        <v>-7.2714895967875268E-2</v>
      </c>
      <c r="S50" s="459">
        <f>G48</f>
        <v>0.10862995623009114</v>
      </c>
      <c r="T50" s="459">
        <f>H47</f>
        <v>-7.2714895967875268E-2</v>
      </c>
      <c r="U50" s="459">
        <f>H48</f>
        <v>0.94568502188495451</v>
      </c>
      <c r="V50" s="459">
        <f>(T50-R50)*($S$42-R50)+(U50-S50)*($S$43-S50)</f>
        <v>-8.8618886832761673E-2</v>
      </c>
      <c r="W50" s="459">
        <f t="shared" ref="W50" si="5">(T50-R50)*(T50-R50)+(U50-S50)*(U50-S50)</f>
        <v>0.70066118293846769</v>
      </c>
      <c r="X50" s="459">
        <f t="shared" ref="X50" si="6">V50/W50</f>
        <v>-0.12647894444659741</v>
      </c>
      <c r="Y50" s="459">
        <f t="shared" ref="Y50" si="7">R50+(T50-R50)*X50</f>
        <v>-7.2714895967875268E-2</v>
      </c>
      <c r="Z50" s="459">
        <f t="shared" ref="Z50" si="8">S50+(U50-S50)*X50</f>
        <v>2.7601150823867299E-3</v>
      </c>
      <c r="AA50" s="460">
        <f t="shared" si="0"/>
        <v>-7.2714895967875268E-2</v>
      </c>
      <c r="AB50" s="460">
        <f t="shared" si="0"/>
        <v>0.10862995623009114</v>
      </c>
      <c r="AC50" s="460">
        <f>SQRT(($S$42 - AA50) * ($S$42- AA50) + ($S$43 - AB50) * ($S$43-AB50))</f>
        <v>0.24491587641306992</v>
      </c>
      <c r="AD50" s="1294"/>
      <c r="AE50" s="262"/>
    </row>
    <row r="51" spans="1:31">
      <c r="B51" s="262"/>
      <c r="C51" s="206"/>
      <c r="D51" s="262"/>
      <c r="E51" s="262"/>
      <c r="F51" s="262"/>
      <c r="G51" s="206"/>
      <c r="H51" s="206"/>
      <c r="I51" s="262"/>
      <c r="J51" s="28"/>
      <c r="K51" s="42"/>
      <c r="L51" s="189"/>
      <c r="M51" s="42"/>
      <c r="N51" s="189"/>
      <c r="O51" s="42"/>
      <c r="Q51" s="262"/>
      <c r="R51" s="205"/>
      <c r="S51" s="205"/>
      <c r="T51" s="205"/>
      <c r="U51" s="34"/>
      <c r="V51" s="34"/>
      <c r="W51" s="34"/>
      <c r="X51" s="34"/>
      <c r="Y51" s="34"/>
      <c r="Z51" s="34"/>
      <c r="AA51" s="34"/>
      <c r="AB51" s="205"/>
      <c r="AC51" s="205"/>
      <c r="AD51" s="205"/>
      <c r="AE51" s="262"/>
    </row>
    <row r="52" spans="1:31">
      <c r="B52" s="262"/>
      <c r="C52" s="113"/>
      <c r="D52" s="113"/>
      <c r="E52" s="113"/>
      <c r="F52" s="113"/>
      <c r="G52" s="113"/>
      <c r="H52" s="113"/>
      <c r="I52" s="262"/>
      <c r="J52" s="28"/>
      <c r="K52" s="189"/>
      <c r="L52" s="42"/>
      <c r="M52" s="189"/>
      <c r="N52" s="42"/>
      <c r="O52" s="189"/>
      <c r="Q52" s="262"/>
      <c r="R52" s="205"/>
      <c r="S52" s="205"/>
      <c r="T52" s="205"/>
      <c r="U52" s="34"/>
      <c r="V52" s="34"/>
      <c r="W52" s="34"/>
      <c r="X52" s="34"/>
      <c r="Y52" s="34"/>
      <c r="Z52" s="34"/>
      <c r="AA52" s="34"/>
      <c r="AB52" s="205"/>
      <c r="AC52" s="205"/>
      <c r="AD52" s="205"/>
      <c r="AE52" s="262"/>
    </row>
    <row r="53" spans="1:31">
      <c r="B53" s="262"/>
      <c r="C53" s="113"/>
      <c r="D53" s="113"/>
      <c r="E53" s="113"/>
      <c r="F53" s="113"/>
      <c r="G53" s="113"/>
      <c r="H53" s="113"/>
      <c r="I53" s="262"/>
      <c r="K53" s="42"/>
      <c r="L53" s="189"/>
      <c r="M53" s="42"/>
      <c r="N53" s="189"/>
      <c r="O53" s="42"/>
      <c r="Q53" s="137"/>
      <c r="R53" s="137"/>
      <c r="S53" s="137"/>
      <c r="T53" s="137"/>
      <c r="U53" s="137"/>
      <c r="V53" s="137"/>
      <c r="W53" s="137"/>
      <c r="X53" s="137"/>
      <c r="Y53" s="137"/>
      <c r="Z53" s="137"/>
      <c r="AA53" s="137"/>
      <c r="AB53" s="137"/>
      <c r="AC53" s="137"/>
      <c r="AD53" s="137"/>
      <c r="AE53" s="137"/>
    </row>
    <row r="54" spans="1:31">
      <c r="B54" s="262"/>
      <c r="C54" s="113"/>
      <c r="D54" s="113"/>
      <c r="E54" s="113"/>
      <c r="F54" s="113"/>
      <c r="G54" s="113"/>
      <c r="H54" s="113"/>
      <c r="I54" s="262"/>
      <c r="K54" s="189"/>
      <c r="L54" s="42"/>
      <c r="M54" s="189"/>
      <c r="N54" s="42"/>
      <c r="O54" s="189"/>
      <c r="Q54" s="137"/>
      <c r="R54" s="137"/>
      <c r="S54" s="137"/>
      <c r="T54" s="137"/>
      <c r="U54" s="137"/>
      <c r="V54" s="137"/>
      <c r="W54" s="137"/>
      <c r="X54" s="137"/>
      <c r="Y54" s="137"/>
      <c r="Z54" s="137"/>
      <c r="AA54" s="137"/>
      <c r="AB54" s="137"/>
      <c r="AC54" s="137"/>
      <c r="AD54" s="137"/>
      <c r="AE54" s="137"/>
    </row>
    <row r="55" spans="1:31">
      <c r="B55" s="262"/>
      <c r="C55" s="113"/>
      <c r="D55" s="113"/>
      <c r="E55" s="113"/>
      <c r="F55" s="113"/>
      <c r="G55" s="113"/>
      <c r="H55" s="113"/>
      <c r="I55" s="262"/>
      <c r="K55" s="42"/>
      <c r="L55" s="189"/>
      <c r="M55" s="42"/>
      <c r="N55" s="189"/>
      <c r="O55" s="42"/>
      <c r="Q55" s="137"/>
      <c r="R55" s="137"/>
      <c r="S55" s="137"/>
      <c r="T55" s="137"/>
      <c r="U55" s="137"/>
      <c r="V55" s="137"/>
      <c r="W55" s="137"/>
      <c r="X55" s="137"/>
      <c r="Y55" s="137"/>
      <c r="Z55" s="137"/>
      <c r="AA55" s="137"/>
      <c r="AB55" s="137"/>
      <c r="AC55" s="137"/>
      <c r="AD55" s="137"/>
      <c r="AE55" s="137"/>
    </row>
    <row r="56" spans="1:31">
      <c r="B56" s="262"/>
      <c r="C56" s="113"/>
      <c r="D56" s="113"/>
      <c r="E56" s="113"/>
      <c r="F56" s="113"/>
      <c r="G56" s="113"/>
      <c r="H56" s="113"/>
      <c r="I56" s="262"/>
      <c r="K56" s="189"/>
      <c r="L56" s="42"/>
      <c r="M56" s="189"/>
      <c r="N56" s="42"/>
      <c r="O56" s="189"/>
      <c r="Q56" s="188"/>
      <c r="R56" s="188"/>
      <c r="S56" s="188"/>
      <c r="T56" s="188"/>
      <c r="U56" s="188"/>
      <c r="V56" s="188"/>
      <c r="W56" s="188"/>
      <c r="X56" s="188"/>
      <c r="Y56" s="188"/>
      <c r="Z56" s="188"/>
      <c r="AA56" s="188"/>
      <c r="AB56" s="188"/>
      <c r="AC56" s="188"/>
      <c r="AD56" s="188"/>
      <c r="AE56" s="188"/>
    </row>
    <row r="57" spans="1:31">
      <c r="B57" s="262"/>
      <c r="C57" s="113"/>
      <c r="D57" s="113"/>
      <c r="E57" s="113"/>
      <c r="F57" s="113"/>
      <c r="G57" s="113"/>
      <c r="H57" s="113"/>
      <c r="I57" s="262"/>
      <c r="K57" s="42"/>
      <c r="L57" s="189"/>
      <c r="M57" s="42"/>
      <c r="N57" s="189"/>
      <c r="O57" s="42"/>
      <c r="Q57" s="186"/>
      <c r="R57" s="189"/>
      <c r="S57" s="186"/>
      <c r="T57" s="189"/>
      <c r="U57" s="186"/>
      <c r="V57" s="189"/>
      <c r="W57" s="186"/>
      <c r="X57" s="189"/>
      <c r="Y57" s="186"/>
      <c r="Z57" s="189"/>
      <c r="AA57" s="186"/>
      <c r="AB57" s="189"/>
      <c r="AC57" s="186"/>
      <c r="AD57" s="189"/>
      <c r="AE57" s="186"/>
    </row>
    <row r="58" spans="1:31">
      <c r="A58" s="4"/>
      <c r="B58" s="262"/>
      <c r="C58" s="113"/>
      <c r="D58" s="113"/>
      <c r="E58" s="113"/>
      <c r="F58" s="113"/>
      <c r="G58" s="113"/>
      <c r="H58" s="113"/>
      <c r="I58" s="262"/>
      <c r="K58" s="189"/>
      <c r="L58" s="42"/>
      <c r="M58" s="189"/>
      <c r="N58" s="42"/>
      <c r="O58" s="189"/>
      <c r="Q58" s="188"/>
      <c r="R58" s="188"/>
      <c r="S58" s="188"/>
      <c r="T58" s="188"/>
      <c r="U58" s="188"/>
      <c r="V58" s="188"/>
      <c r="W58" s="188"/>
      <c r="X58" s="188"/>
      <c r="Y58" s="188"/>
      <c r="Z58" s="188"/>
      <c r="AA58" s="188"/>
      <c r="AB58" s="188"/>
      <c r="AC58" s="188"/>
      <c r="AD58" s="188"/>
      <c r="AE58" s="188"/>
    </row>
    <row r="59" spans="1:31">
      <c r="A59" s="4"/>
      <c r="B59" s="262"/>
      <c r="C59" s="113"/>
      <c r="D59" s="113"/>
      <c r="E59" s="113"/>
      <c r="F59" s="113"/>
      <c r="G59" s="113"/>
      <c r="H59" s="113"/>
      <c r="I59" s="262"/>
      <c r="K59" s="42"/>
      <c r="L59" s="189"/>
      <c r="M59" s="42"/>
      <c r="N59" s="189"/>
      <c r="O59" s="42"/>
      <c r="Q59" s="189"/>
      <c r="R59" s="1284" t="str">
        <f>"比坊梦联合体"&amp;_xlfn.IFS(H40=0,"维持",H40&gt;0,"上调",H40&lt;0,"下调")&amp;"推荐仓位"&amp;_xlfn.IFS(H40=0,"不变",TRUE,TEXT($H$40,"?")&amp;"个基点")&amp;"至"&amp;TEXT($F$41,"?.??")</f>
        <v>比坊梦联合体维持推荐仓位不变至1.19</v>
      </c>
      <c r="S59" s="1284"/>
      <c r="T59" s="1284"/>
      <c r="U59" s="1284"/>
      <c r="V59" s="1284"/>
      <c r="W59" s="1284"/>
      <c r="X59" s="481"/>
      <c r="Y59" s="1284" t="str">
        <f>_xlfn.IFS($H$40=0,"，此次没有任何公开市场操作",TRUE,"，并执行公开市场操作")&amp;_xlfn.IFS(
AND(($F$41-$H$40*0.01)&gt;1,$F$41&gt;1,$H$40&gt;0),"买入BTC2L和ETH2L",
AND(($F$41-$H$40*0.01)&gt;1,$F$41&gt;1,$H$40&lt;0),"卖出BTC2L和ETH2L",
AND(($F$41-$H$40*0.01)&gt;1,AND($F$41&gt;=0,$F$41&lt;=1),$H$40&lt;0),"卖出BTC2L和ETH2L",
AND(AND(($F$41-$H$40*0.01)&gt;=0,($F$41-$H$40*0.01)&lt;=1),$F$41&gt;1,$H$40&gt;0),"买入BTC2L和ETH2L",
AND(AND(($F$41-$H$40*0.01)&gt;=0,($F$41-$H$40*0.01)&lt;=1),AND($F$41&gt;=0,$F$41&lt;=1),$H$40&gt;0),"买入BTC和ETH",
AND(AND(($F$41-$H$40*0.01)&gt;=0,($F$41-$H$40*0.01)&lt;=1),AND($F$41&gt;=0,$F$41&lt;=1),$H$40&lt;0),"卖出BTC和ETH",
AND(AND(($F$41-$H$40*0.01)&gt;=0,($F$41-$H$40*0.01)&lt;=1),AND($F$41&gt;-1,$F$41&lt;0),$H$40&lt;0),"卖出BTC和ETH，买入BTC1S和ETH1S",
AND(AND(($F$41-$H$40*0.01)&gt;-1,($F$41-$H$40*0.01)&lt;0),AND($F$41&gt;=0,$F$41&lt;=1),$H$40&gt;0),"买入BTC和ETH，卖出BTC1S和ETH1S",
AND(AND(($F$41-$H$40*0.01)&gt;-1,($F$41-$H$40*0.01)&lt;0),AND($F$41&gt;-1,$F$41&lt;0),$H$40&gt;0),"卖出BTC1S和ETH1S",
AND(AND(($F$41-$H$40*0.01)&gt;-1,($F$41-$H$40*0.01)&lt;0),AND($F$41&gt;-1,$F$41&lt;0),$H$40&lt;0),"买入BTC1S和ETH1S",
TRUE,""
)&amp;"。"</f>
        <v>，此次没有任何公开市场操作。</v>
      </c>
      <c r="Z59" s="1284"/>
      <c r="AA59" s="1284"/>
      <c r="AB59" s="1284"/>
      <c r="AC59" s="1284"/>
      <c r="AD59" s="1284"/>
      <c r="AE59" s="189"/>
    </row>
    <row r="60" spans="1:31">
      <c r="B60" s="262"/>
      <c r="C60" s="113"/>
      <c r="D60" s="113"/>
      <c r="E60" s="113"/>
      <c r="F60" s="113"/>
      <c r="G60" s="113"/>
      <c r="H60" s="113"/>
      <c r="I60" s="262"/>
      <c r="K60" s="189"/>
      <c r="L60" s="42"/>
      <c r="M60" s="189"/>
      <c r="N60" s="42"/>
      <c r="O60" s="189"/>
      <c r="Q60" s="42"/>
      <c r="R60" s="1284"/>
      <c r="S60" s="1284"/>
      <c r="T60" s="1284"/>
      <c r="U60" s="1284"/>
      <c r="V60" s="1284"/>
      <c r="W60" s="1284"/>
      <c r="X60" s="481"/>
      <c r="Y60" s="1284"/>
      <c r="Z60" s="1284"/>
      <c r="AA60" s="1284"/>
      <c r="AB60" s="1284"/>
      <c r="AC60" s="1284"/>
      <c r="AD60" s="1284"/>
      <c r="AE60" s="42"/>
    </row>
    <row r="61" spans="1:31">
      <c r="B61" s="262"/>
      <c r="C61" s="113"/>
      <c r="D61" s="113"/>
      <c r="E61" s="113"/>
      <c r="F61" s="113"/>
      <c r="G61" s="113"/>
      <c r="H61" s="113"/>
      <c r="I61" s="262"/>
      <c r="K61" s="42"/>
      <c r="L61" s="189"/>
      <c r="M61" s="42"/>
      <c r="N61" s="189"/>
      <c r="O61" s="42"/>
      <c r="Q61" s="189"/>
      <c r="R61" s="1284"/>
      <c r="S61" s="1284"/>
      <c r="T61" s="1284"/>
      <c r="U61" s="1284"/>
      <c r="V61" s="1284"/>
      <c r="W61" s="1284"/>
      <c r="X61" s="481"/>
      <c r="Y61" s="1284"/>
      <c r="Z61" s="1284"/>
      <c r="AA61" s="1284"/>
      <c r="AB61" s="1284"/>
      <c r="AC61" s="1284"/>
      <c r="AD61" s="1284"/>
      <c r="AE61" s="189"/>
    </row>
    <row r="62" spans="1:31">
      <c r="B62" s="262"/>
      <c r="C62" s="113"/>
      <c r="D62" s="113"/>
      <c r="E62" s="113"/>
      <c r="F62" s="113"/>
      <c r="G62" s="113"/>
      <c r="H62" s="113"/>
      <c r="I62" s="262"/>
      <c r="K62" s="189"/>
      <c r="L62" s="42"/>
      <c r="M62" s="189"/>
      <c r="N62" s="42"/>
      <c r="O62" s="189"/>
      <c r="Q62" s="42"/>
      <c r="R62" s="189"/>
      <c r="S62" s="42"/>
      <c r="T62" s="189"/>
      <c r="U62" s="42"/>
      <c r="V62" s="189"/>
      <c r="W62" s="42"/>
      <c r="X62" s="189"/>
      <c r="Y62" s="42"/>
      <c r="Z62" s="189"/>
      <c r="AA62" s="42"/>
      <c r="AB62" s="189"/>
      <c r="AC62" s="42"/>
      <c r="AD62" s="189"/>
      <c r="AE62" s="42"/>
    </row>
    <row r="63" spans="1:31">
      <c r="B63" s="262"/>
      <c r="C63" s="113"/>
      <c r="D63" s="113"/>
      <c r="E63" s="113"/>
      <c r="F63" s="113"/>
      <c r="G63" s="113"/>
      <c r="H63" s="113"/>
      <c r="I63" s="262"/>
      <c r="K63" s="42"/>
      <c r="L63" s="189"/>
      <c r="M63" s="42"/>
      <c r="N63" s="189"/>
      <c r="O63" s="42"/>
      <c r="Q63" s="189"/>
      <c r="R63" s="1284" t="str">
        <f>"这显示了比坊梦"&amp;_xlfn.IFS(AND($F$41&gt;1,$F$41&lt;=2),"宽松",AND($F$41&gt;=0,$F$41&lt;=1),"稳健",AND($F$41&gt;=-1,$F$41&lt;0),"紧缩")&amp;"的货币政策"&amp;"，"</f>
        <v>这显示了比坊梦宽松的货币政策，</v>
      </c>
      <c r="S63" s="1284"/>
      <c r="T63" s="1284"/>
      <c r="U63" s="1284"/>
      <c r="V63" s="1284"/>
      <c r="W63" s="1284"/>
      <c r="X63" s="481"/>
      <c r="Y63" s="1284" t="str">
        <f>"比坊梦预计市场即将进入"&amp;_xlfn.IFS(AND($F$41&gt;1,$F$41&lt;=2),"扩张",AND($F$41&gt;=0,$F$41&lt;=1),"震荡复苏",AND($F$41&gt;=-1,$F$41&lt;0),"衰退")&amp;"周期。"</f>
        <v>比坊梦预计市场即将进入扩张周期。</v>
      </c>
      <c r="Z63" s="1284"/>
      <c r="AA63" s="1284"/>
      <c r="AB63" s="1284"/>
      <c r="AC63" s="1284"/>
      <c r="AD63" s="1284"/>
      <c r="AE63" s="189"/>
    </row>
    <row r="64" spans="1:31">
      <c r="B64" s="262"/>
      <c r="C64" s="113"/>
      <c r="D64" s="113"/>
      <c r="E64" s="113"/>
      <c r="F64" s="113"/>
      <c r="G64" s="113"/>
      <c r="H64" s="113"/>
      <c r="I64" s="262"/>
      <c r="K64" s="189"/>
      <c r="L64" s="42"/>
      <c r="M64" s="189"/>
      <c r="N64" s="42"/>
      <c r="O64" s="189"/>
      <c r="Q64" s="42"/>
      <c r="R64" s="1284"/>
      <c r="S64" s="1284"/>
      <c r="T64" s="1284"/>
      <c r="U64" s="1284"/>
      <c r="V64" s="1284"/>
      <c r="W64" s="1284"/>
      <c r="X64" s="481"/>
      <c r="Y64" s="1284"/>
      <c r="Z64" s="1284"/>
      <c r="AA64" s="1284"/>
      <c r="AB64" s="1284"/>
      <c r="AC64" s="1284"/>
      <c r="AD64" s="1284"/>
      <c r="AE64" s="42"/>
    </row>
    <row r="65" spans="2:31">
      <c r="B65" s="262"/>
      <c r="C65" s="113"/>
      <c r="D65" s="113"/>
      <c r="E65" s="113"/>
      <c r="F65" s="113"/>
      <c r="G65" s="113"/>
      <c r="H65" s="113"/>
      <c r="I65" s="262"/>
      <c r="K65" s="42"/>
      <c r="L65" s="189"/>
      <c r="M65" s="42"/>
      <c r="N65" s="189"/>
      <c r="O65" s="42"/>
      <c r="Q65" s="189"/>
      <c r="R65" s="1284"/>
      <c r="S65" s="1284"/>
      <c r="T65" s="1284"/>
      <c r="U65" s="1284"/>
      <c r="V65" s="1284"/>
      <c r="W65" s="1284"/>
      <c r="X65" s="481"/>
      <c r="Y65" s="1284"/>
      <c r="Z65" s="1284"/>
      <c r="AA65" s="1284"/>
      <c r="AB65" s="1284"/>
      <c r="AC65" s="1284"/>
      <c r="AD65" s="1284"/>
      <c r="AE65" s="189"/>
    </row>
    <row r="66" spans="2:31">
      <c r="B66" s="262"/>
      <c r="C66" s="113"/>
      <c r="D66" s="113"/>
      <c r="E66" s="113"/>
      <c r="F66" s="113"/>
      <c r="G66" s="113"/>
      <c r="H66" s="113"/>
      <c r="I66" s="262"/>
      <c r="K66" s="189"/>
      <c r="L66" s="42"/>
      <c r="M66" s="189"/>
      <c r="N66" s="42"/>
      <c r="O66" s="189"/>
      <c r="Q66" s="42"/>
      <c r="R66" s="189"/>
      <c r="S66" s="42"/>
      <c r="T66" s="189"/>
      <c r="U66" s="42"/>
      <c r="V66" s="189"/>
      <c r="W66" s="42"/>
      <c r="X66" s="189"/>
      <c r="Y66" s="42"/>
      <c r="Z66" s="189"/>
      <c r="AA66" s="42"/>
      <c r="AB66" s="189"/>
      <c r="AC66" s="42"/>
      <c r="AD66" s="189"/>
      <c r="AE66" s="42"/>
    </row>
    <row r="67" spans="2:31">
      <c r="B67" s="262"/>
      <c r="C67" s="113"/>
      <c r="D67" s="113"/>
      <c r="E67" s="113"/>
      <c r="F67" s="113"/>
      <c r="G67" s="113"/>
      <c r="H67" s="113"/>
      <c r="I67" s="262"/>
      <c r="K67" s="42"/>
      <c r="L67" s="189"/>
      <c r="M67" s="42"/>
      <c r="N67" s="189"/>
      <c r="O67" s="42"/>
      <c r="Q67" s="189"/>
      <c r="R67" s="1283" t="s">
        <v>190</v>
      </c>
      <c r="S67" s="1283"/>
      <c r="T67" s="1283"/>
      <c r="U67" s="1283"/>
      <c r="V67" s="1283"/>
      <c r="W67" s="1283"/>
      <c r="X67" s="1283"/>
      <c r="Y67" s="1283"/>
      <c r="Z67" s="1283"/>
      <c r="AA67" s="1283"/>
      <c r="AB67" s="1283"/>
      <c r="AC67" s="1283"/>
      <c r="AD67" s="1283"/>
      <c r="AE67" s="189"/>
    </row>
    <row r="68" spans="2:31">
      <c r="B68" s="262"/>
      <c r="C68" s="113"/>
      <c r="D68" s="113"/>
      <c r="E68" s="113"/>
      <c r="F68" s="113"/>
      <c r="G68" s="113"/>
      <c r="H68" s="113"/>
      <c r="I68" s="262"/>
      <c r="K68" s="189"/>
      <c r="L68" s="42"/>
      <c r="M68" s="189"/>
      <c r="N68" s="42"/>
      <c r="O68" s="189"/>
      <c r="Q68" s="42"/>
      <c r="R68" s="1283"/>
      <c r="S68" s="1283"/>
      <c r="T68" s="1283"/>
      <c r="U68" s="1283"/>
      <c r="V68" s="1283"/>
      <c r="W68" s="1283"/>
      <c r="X68" s="1283"/>
      <c r="Y68" s="1283"/>
      <c r="Z68" s="1283"/>
      <c r="AA68" s="1283"/>
      <c r="AB68" s="1283"/>
      <c r="AC68" s="1283"/>
      <c r="AD68" s="1283"/>
      <c r="AE68" s="42"/>
    </row>
    <row r="69" spans="2:31">
      <c r="B69" s="262"/>
      <c r="C69" s="113"/>
      <c r="D69" s="113"/>
      <c r="E69" s="113"/>
      <c r="F69" s="113"/>
      <c r="G69" s="113"/>
      <c r="H69" s="113"/>
      <c r="I69" s="262"/>
      <c r="K69" s="42"/>
      <c r="L69" s="189"/>
      <c r="M69" s="42"/>
      <c r="N69" s="189"/>
      <c r="O69" s="42"/>
      <c r="Q69" s="189"/>
      <c r="R69" s="1283"/>
      <c r="S69" s="1283"/>
      <c r="T69" s="1283"/>
      <c r="U69" s="1283"/>
      <c r="V69" s="1283"/>
      <c r="W69" s="1283"/>
      <c r="X69" s="1283"/>
      <c r="Y69" s="1283"/>
      <c r="Z69" s="1283"/>
      <c r="AA69" s="1283"/>
      <c r="AB69" s="1283"/>
      <c r="AC69" s="1283"/>
      <c r="AD69" s="1283"/>
      <c r="AE69" s="189"/>
    </row>
    <row r="70" spans="2:31">
      <c r="B70" s="262"/>
      <c r="C70" s="113"/>
      <c r="D70" s="113"/>
      <c r="E70" s="113"/>
      <c r="F70" s="113"/>
      <c r="G70" s="113"/>
      <c r="H70" s="113"/>
      <c r="I70" s="262"/>
      <c r="K70" s="189"/>
      <c r="L70" s="42"/>
      <c r="M70" s="189"/>
      <c r="N70" s="42"/>
      <c r="O70" s="189"/>
      <c r="Q70" s="42"/>
      <c r="R70" s="1283"/>
      <c r="S70" s="1283"/>
      <c r="T70" s="1283"/>
      <c r="U70" s="1283"/>
      <c r="V70" s="1283"/>
      <c r="W70" s="1283"/>
      <c r="X70" s="1283"/>
      <c r="Y70" s="1283"/>
      <c r="Z70" s="1283"/>
      <c r="AA70" s="1283"/>
      <c r="AB70" s="1283"/>
      <c r="AC70" s="1283"/>
      <c r="AD70" s="1283"/>
      <c r="AE70" s="42"/>
    </row>
    <row r="71" spans="2:31">
      <c r="B71" s="262"/>
      <c r="C71" s="113"/>
      <c r="D71" s="113"/>
      <c r="E71" s="113"/>
      <c r="F71" s="113"/>
      <c r="G71" s="113"/>
      <c r="H71" s="113"/>
      <c r="I71" s="262"/>
      <c r="K71" s="42"/>
      <c r="L71" s="189"/>
      <c r="M71" s="42"/>
      <c r="N71" s="189"/>
      <c r="O71" s="42"/>
      <c r="Q71" s="189"/>
      <c r="R71" s="1283"/>
      <c r="S71" s="1283"/>
      <c r="T71" s="1283"/>
      <c r="U71" s="1283"/>
      <c r="V71" s="1283"/>
      <c r="W71" s="1283"/>
      <c r="X71" s="1283"/>
      <c r="Y71" s="1283"/>
      <c r="Z71" s="1283"/>
      <c r="AA71" s="1283"/>
      <c r="AB71" s="1283"/>
      <c r="AC71" s="1283"/>
      <c r="AD71" s="1283"/>
      <c r="AE71" s="189"/>
    </row>
    <row r="72" spans="2:31">
      <c r="B72" s="262"/>
      <c r="C72" s="113"/>
      <c r="D72" s="113"/>
      <c r="E72" s="113"/>
      <c r="F72" s="113"/>
      <c r="G72" s="113"/>
      <c r="H72" s="113"/>
      <c r="I72" s="262"/>
      <c r="K72" s="189"/>
      <c r="L72" s="42"/>
      <c r="M72" s="189"/>
      <c r="N72" s="42"/>
      <c r="O72" s="189"/>
      <c r="Q72" s="42"/>
      <c r="R72" s="1283"/>
      <c r="S72" s="1283"/>
      <c r="T72" s="1283"/>
      <c r="U72" s="1283"/>
      <c r="V72" s="1283"/>
      <c r="W72" s="1283"/>
      <c r="X72" s="1283"/>
      <c r="Y72" s="1283"/>
      <c r="Z72" s="1283"/>
      <c r="AA72" s="1283"/>
      <c r="AB72" s="1283"/>
      <c r="AC72" s="1283"/>
      <c r="AD72" s="1283"/>
      <c r="AE72" s="42"/>
    </row>
    <row r="73" spans="2:31">
      <c r="B73" s="262"/>
      <c r="C73" s="113"/>
      <c r="D73" s="113"/>
      <c r="E73" s="113"/>
      <c r="F73" s="113"/>
      <c r="G73" s="113"/>
      <c r="H73" s="113"/>
      <c r="I73" s="262"/>
      <c r="K73" s="42"/>
      <c r="L73" s="189"/>
      <c r="M73" s="42"/>
      <c r="N73" s="189"/>
      <c r="O73" s="42"/>
      <c r="Q73" s="189"/>
      <c r="R73" s="42"/>
      <c r="S73" s="189"/>
      <c r="T73" s="42"/>
      <c r="U73" s="189"/>
      <c r="V73" s="42"/>
      <c r="W73" s="189"/>
      <c r="X73" s="42"/>
      <c r="Y73" s="189"/>
      <c r="Z73" s="42"/>
      <c r="AA73" s="189"/>
      <c r="AB73" s="42"/>
      <c r="AC73" s="189"/>
      <c r="AD73" s="42"/>
      <c r="AE73" s="189"/>
    </row>
    <row r="74" spans="2:31">
      <c r="B74" s="206"/>
      <c r="C74" s="113"/>
      <c r="D74" s="113"/>
      <c r="E74" s="113"/>
      <c r="F74" s="113"/>
      <c r="G74" s="113"/>
      <c r="H74" s="113"/>
      <c r="I74" s="206"/>
      <c r="K74" s="189"/>
      <c r="L74" s="42"/>
      <c r="M74" s="189"/>
      <c r="N74" s="42"/>
      <c r="O74" s="189"/>
      <c r="Q74" s="188"/>
      <c r="R74" s="188"/>
      <c r="S74" s="188"/>
      <c r="T74" s="188"/>
      <c r="U74" s="188"/>
      <c r="V74" s="188"/>
      <c r="W74" s="188"/>
      <c r="X74" s="188"/>
      <c r="Y74" s="188"/>
      <c r="Z74" s="188"/>
      <c r="AA74" s="188"/>
      <c r="AB74" s="188"/>
      <c r="AC74" s="188"/>
      <c r="AD74" s="188"/>
      <c r="AE74" s="188"/>
    </row>
    <row r="75" spans="2:31">
      <c r="B75" s="36"/>
      <c r="C75" s="206"/>
      <c r="D75" s="262"/>
      <c r="E75" s="262"/>
      <c r="F75" s="262"/>
      <c r="G75" s="262"/>
      <c r="H75" s="206"/>
      <c r="I75" s="37"/>
      <c r="K75" s="42"/>
      <c r="L75" s="189"/>
      <c r="M75" s="42"/>
      <c r="N75" s="189"/>
      <c r="O75" s="42"/>
      <c r="Q75" s="186"/>
      <c r="R75" s="189"/>
      <c r="S75" s="186"/>
      <c r="T75" s="189"/>
      <c r="U75" s="186"/>
      <c r="V75" s="189"/>
      <c r="W75" s="186"/>
      <c r="X75" s="189"/>
      <c r="Y75" s="186"/>
      <c r="Z75" s="189"/>
      <c r="AA75" s="186"/>
      <c r="AB75" s="189"/>
      <c r="AC75" s="186"/>
      <c r="AD75" s="189"/>
      <c r="AE75" s="186"/>
    </row>
    <row r="76" spans="2:31">
      <c r="L76" s="137"/>
      <c r="M76" s="137"/>
      <c r="N76" s="137"/>
      <c r="O76" s="137"/>
      <c r="P76" s="137"/>
      <c r="Q76" s="137"/>
      <c r="R76" s="137"/>
      <c r="S76" s="137"/>
      <c r="T76" s="137"/>
      <c r="U76" s="137"/>
      <c r="V76" s="137"/>
      <c r="W76" s="137"/>
    </row>
  </sheetData>
  <mergeCells count="24">
    <mergeCell ref="C6:H6"/>
    <mergeCell ref="D7:E7"/>
    <mergeCell ref="F8:G8"/>
    <mergeCell ref="F9:G10"/>
    <mergeCell ref="L6:M6"/>
    <mergeCell ref="L7:M7"/>
    <mergeCell ref="L9:M9"/>
    <mergeCell ref="L10:M10"/>
    <mergeCell ref="L12:M15"/>
    <mergeCell ref="L16:M16"/>
    <mergeCell ref="F11:G11"/>
    <mergeCell ref="R67:AD72"/>
    <mergeCell ref="R59:W61"/>
    <mergeCell ref="Y59:AD61"/>
    <mergeCell ref="Y63:AD65"/>
    <mergeCell ref="R63:W65"/>
    <mergeCell ref="C38:H38"/>
    <mergeCell ref="F40:G40"/>
    <mergeCell ref="AC42:AD43"/>
    <mergeCell ref="AD47:AD50"/>
    <mergeCell ref="Y42:AA43"/>
    <mergeCell ref="F41:G42"/>
    <mergeCell ref="F43:G43"/>
    <mergeCell ref="K40:L40"/>
  </mergeCells>
  <phoneticPr fontId="2" type="noConversion"/>
  <conditionalFormatting sqref="F41">
    <cfRule type="colorScale" priority="93">
      <colorScale>
        <cfvo type="min"/>
        <cfvo type="percentile" val="50"/>
        <cfvo type="max"/>
        <color rgb="FF63BE7B"/>
        <color rgb="FFFFEB84"/>
        <color rgb="FFF8696B"/>
      </colorScale>
    </cfRule>
  </conditionalFormatting>
  <conditionalFormatting sqref="AD47">
    <cfRule type="colorScale" priority="88">
      <colorScale>
        <cfvo type="num" val="0.11"/>
        <cfvo type="num" val="0.16500000000000001"/>
        <cfvo type="num" val="0.22"/>
        <color theme="9" tint="0.59999389629810485"/>
        <color theme="7" tint="0.59999389629810485"/>
        <color theme="5" tint="0.79998168889431442"/>
      </colorScale>
    </cfRule>
    <cfRule type="colorScale" priority="92">
      <colorScale>
        <cfvo type="num" val="0.34"/>
        <cfvo type="num" val="0.34"/>
        <color theme="9" tint="0.59999389629810485"/>
        <color theme="5" tint="0.59999389629810485"/>
      </colorScale>
    </cfRule>
  </conditionalFormatting>
  <conditionalFormatting sqref="F41 H41">
    <cfRule type="colorScale" priority="89">
      <colorScale>
        <cfvo type="num" val="0"/>
        <cfvo type="num" val="0.5"/>
        <cfvo type="num" val="1"/>
        <color theme="9" tint="0.59999389629810485"/>
        <color theme="7" tint="0.59999389629810485"/>
        <color theme="5" tint="0.59999389629810485"/>
      </colorScale>
    </cfRule>
    <cfRule type="colorScale" priority="90">
      <colorScale>
        <cfvo type="num" val="0"/>
        <cfvo type="num" val="0.5"/>
        <cfvo type="num" val="1"/>
        <color theme="9" tint="0.79998168889431442"/>
        <color theme="7" tint="0.79998168889431442"/>
        <color theme="5" tint="0.79998168889431442"/>
      </colorScale>
    </cfRule>
    <cfRule type="colorScale" priority="91">
      <colorScale>
        <cfvo type="min"/>
        <cfvo type="percentile" val="50"/>
        <cfvo type="max"/>
        <color rgb="FF63BE7B"/>
        <color rgb="FFFFEB84"/>
        <color rgb="FFF8696B"/>
      </colorScale>
    </cfRule>
  </conditionalFormatting>
  <conditionalFormatting sqref="F43">
    <cfRule type="colorScale" priority="81">
      <colorScale>
        <cfvo type="min"/>
        <cfvo type="percentile" val="50"/>
        <cfvo type="max"/>
        <color rgb="FF63BE7B"/>
        <color rgb="FFFFEB84"/>
        <color rgb="FFF8696B"/>
      </colorScale>
    </cfRule>
  </conditionalFormatting>
  <conditionalFormatting sqref="F43">
    <cfRule type="colorScale" priority="78">
      <colorScale>
        <cfvo type="num" val="0"/>
        <cfvo type="num" val="0.5"/>
        <cfvo type="num" val="1"/>
        <color theme="9" tint="0.59999389629810485"/>
        <color theme="7" tint="0.59999389629810485"/>
        <color theme="5" tint="0.59999389629810485"/>
      </colorScale>
    </cfRule>
    <cfRule type="colorScale" priority="79">
      <colorScale>
        <cfvo type="num" val="0"/>
        <cfvo type="num" val="0.5"/>
        <cfvo type="num" val="1"/>
        <color theme="9" tint="0.79998168889431442"/>
        <color theme="7" tint="0.79998168889431442"/>
        <color theme="5" tint="0.79998168889431442"/>
      </colorScale>
    </cfRule>
    <cfRule type="colorScale" priority="80">
      <colorScale>
        <cfvo type="min"/>
        <cfvo type="percentile" val="50"/>
        <cfvo type="max"/>
        <color rgb="FF63BE7B"/>
        <color rgb="FFFFEB84"/>
        <color rgb="FFF8696B"/>
      </colorScale>
    </cfRule>
  </conditionalFormatting>
  <conditionalFormatting sqref="H42">
    <cfRule type="colorScale" priority="77">
      <colorScale>
        <cfvo type="min"/>
        <cfvo type="percentile" val="50"/>
        <cfvo type="max"/>
        <color rgb="FF63BE7B"/>
        <color rgb="FFFFEB84"/>
        <color rgb="FFF8696B"/>
      </colorScale>
    </cfRule>
  </conditionalFormatting>
  <conditionalFormatting sqref="H42">
    <cfRule type="colorScale" priority="74">
      <colorScale>
        <cfvo type="num" val="0"/>
        <cfvo type="num" val="0.5"/>
        <cfvo type="num" val="1"/>
        <color theme="9" tint="0.59999389629810485"/>
        <color theme="7" tint="0.59999389629810485"/>
        <color theme="5" tint="0.59999389629810485"/>
      </colorScale>
    </cfRule>
    <cfRule type="colorScale" priority="75">
      <colorScale>
        <cfvo type="num" val="0"/>
        <cfvo type="num" val="0.5"/>
        <cfvo type="num" val="1"/>
        <color theme="9" tint="0.79998168889431442"/>
        <color theme="7" tint="0.79998168889431442"/>
        <color theme="5" tint="0.79998168889431442"/>
      </colorScale>
    </cfRule>
    <cfRule type="colorScale" priority="76">
      <colorScale>
        <cfvo type="min"/>
        <cfvo type="percentile" val="50"/>
        <cfvo type="max"/>
        <color rgb="FF63BE7B"/>
        <color rgb="FFFFEB84"/>
        <color rgb="FFF8696B"/>
      </colorScale>
    </cfRule>
  </conditionalFormatting>
  <conditionalFormatting sqref="H43">
    <cfRule type="colorScale" priority="72">
      <colorScale>
        <cfvo type="num" val="0.11"/>
        <cfvo type="num" val="0.16500000000000001"/>
        <cfvo type="num" val="0.22"/>
        <color theme="9" tint="0.59999389629810485"/>
        <color theme="7" tint="0.59999389629810485"/>
        <color theme="5" tint="0.79998168889431442"/>
      </colorScale>
    </cfRule>
    <cfRule type="colorScale" priority="73">
      <colorScale>
        <cfvo type="num" val="0.34"/>
        <cfvo type="num" val="0.34"/>
        <color theme="9" tint="0.59999389629810485"/>
        <color theme="5" tint="0.59999389629810485"/>
      </colorScale>
    </cfRule>
  </conditionalFormatting>
  <conditionalFormatting sqref="H40">
    <cfRule type="colorScale" priority="69">
      <colorScale>
        <cfvo type="num" val="0"/>
        <cfvo type="num" val="0.5"/>
        <cfvo type="num" val="1"/>
        <color theme="9" tint="0.59999389629810485"/>
        <color theme="7" tint="0.59999389629810485"/>
        <color theme="5" tint="0.59999389629810485"/>
      </colorScale>
    </cfRule>
    <cfRule type="colorScale" priority="70">
      <colorScale>
        <cfvo type="num" val="0"/>
        <cfvo type="num" val="0.5"/>
        <cfvo type="num" val="1"/>
        <color theme="9" tint="0.79998168889431442"/>
        <color theme="7" tint="0.79998168889431442"/>
        <color theme="5" tint="0.79998168889431442"/>
      </colorScale>
    </cfRule>
    <cfRule type="colorScale" priority="71">
      <colorScale>
        <cfvo type="min"/>
        <cfvo type="percentile" val="50"/>
        <cfvo type="max"/>
        <color rgb="FF63BE7B"/>
        <color rgb="FFFFEB84"/>
        <color rgb="FFF8696B"/>
      </colorScale>
    </cfRule>
  </conditionalFormatting>
  <conditionalFormatting sqref="H11">
    <cfRule type="colorScale" priority="55">
      <colorScale>
        <cfvo type="num" val="0.11"/>
        <cfvo type="num" val="0.16500000000000001"/>
        <cfvo type="num" val="0.22"/>
        <color theme="9" tint="0.59999389629810485"/>
        <color theme="7" tint="0.59999389629810485"/>
        <color theme="5" tint="0.79998168889431442"/>
      </colorScale>
    </cfRule>
    <cfRule type="colorScale" priority="56">
      <colorScale>
        <cfvo type="num" val="0.34"/>
        <cfvo type="num" val="0.34"/>
        <color theme="9" tint="0.59999389629810485"/>
        <color theme="5" tint="0.59999389629810485"/>
      </colorScale>
    </cfRule>
  </conditionalFormatting>
  <conditionalFormatting sqref="F9">
    <cfRule type="colorScale" priority="68">
      <colorScale>
        <cfvo type="min"/>
        <cfvo type="percentile" val="50"/>
        <cfvo type="max"/>
        <color rgb="FF63BE7B"/>
        <color rgb="FFFFEB84"/>
        <color rgb="FFF8696B"/>
      </colorScale>
    </cfRule>
  </conditionalFormatting>
  <conditionalFormatting sqref="H9 F9">
    <cfRule type="colorScale" priority="65">
      <colorScale>
        <cfvo type="num" val="0"/>
        <cfvo type="num" val="0.5"/>
        <cfvo type="num" val="1"/>
        <color theme="9" tint="0.59999389629810485"/>
        <color theme="7" tint="0.59999389629810485"/>
        <color theme="5" tint="0.59999389629810485"/>
      </colorScale>
    </cfRule>
    <cfRule type="colorScale" priority="66">
      <colorScale>
        <cfvo type="num" val="0"/>
        <cfvo type="num" val="0.5"/>
        <cfvo type="num" val="1"/>
        <color theme="9" tint="0.79998168889431442"/>
        <color theme="7" tint="0.79998168889431442"/>
        <color theme="5" tint="0.79998168889431442"/>
      </colorScale>
    </cfRule>
    <cfRule type="colorScale" priority="67">
      <colorScale>
        <cfvo type="min"/>
        <cfvo type="percentile" val="50"/>
        <cfvo type="max"/>
        <color rgb="FF63BE7B"/>
        <color rgb="FFFFEB84"/>
        <color rgb="FFF8696B"/>
      </colorScale>
    </cfRule>
  </conditionalFormatting>
  <conditionalFormatting sqref="F11">
    <cfRule type="colorScale" priority="64">
      <colorScale>
        <cfvo type="min"/>
        <cfvo type="percentile" val="50"/>
        <cfvo type="max"/>
        <color rgb="FF63BE7B"/>
        <color rgb="FFFFEB84"/>
        <color rgb="FFF8696B"/>
      </colorScale>
    </cfRule>
  </conditionalFormatting>
  <conditionalFormatting sqref="F11">
    <cfRule type="colorScale" priority="61">
      <colorScale>
        <cfvo type="num" val="0"/>
        <cfvo type="num" val="0.5"/>
        <cfvo type="num" val="1"/>
        <color theme="9" tint="0.59999389629810485"/>
        <color theme="7" tint="0.59999389629810485"/>
        <color theme="5" tint="0.59999389629810485"/>
      </colorScale>
    </cfRule>
    <cfRule type="colorScale" priority="62">
      <colorScale>
        <cfvo type="num" val="0"/>
        <cfvo type="num" val="0.5"/>
        <cfvo type="num" val="1"/>
        <color theme="9" tint="0.79998168889431442"/>
        <color theme="7" tint="0.79998168889431442"/>
        <color theme="5" tint="0.79998168889431442"/>
      </colorScale>
    </cfRule>
    <cfRule type="colorScale" priority="63">
      <colorScale>
        <cfvo type="min"/>
        <cfvo type="percentile" val="50"/>
        <cfvo type="max"/>
        <color rgb="FF63BE7B"/>
        <color rgb="FFFFEB84"/>
        <color rgb="FFF8696B"/>
      </colorScale>
    </cfRule>
  </conditionalFormatting>
  <conditionalFormatting sqref="H10">
    <cfRule type="colorScale" priority="60">
      <colorScale>
        <cfvo type="min"/>
        <cfvo type="percentile" val="50"/>
        <cfvo type="max"/>
        <color rgb="FF63BE7B"/>
        <color rgb="FFFFEB84"/>
        <color rgb="FFF8696B"/>
      </colorScale>
    </cfRule>
  </conditionalFormatting>
  <conditionalFormatting sqref="H10">
    <cfRule type="colorScale" priority="57">
      <colorScale>
        <cfvo type="num" val="0"/>
        <cfvo type="num" val="0.5"/>
        <cfvo type="num" val="1"/>
        <color theme="9" tint="0.59999389629810485"/>
        <color theme="7" tint="0.59999389629810485"/>
        <color theme="5" tint="0.59999389629810485"/>
      </colorScale>
    </cfRule>
    <cfRule type="colorScale" priority="58">
      <colorScale>
        <cfvo type="num" val="0"/>
        <cfvo type="num" val="0.5"/>
        <cfvo type="num" val="1"/>
        <color theme="9" tint="0.79998168889431442"/>
        <color theme="7" tint="0.79998168889431442"/>
        <color theme="5" tint="0.79998168889431442"/>
      </colorScale>
    </cfRule>
    <cfRule type="colorScale" priority="59">
      <colorScale>
        <cfvo type="min"/>
        <cfvo type="percentile" val="50"/>
        <cfvo type="max"/>
        <color rgb="FF63BE7B"/>
        <color rgb="FFFFEB84"/>
        <color rgb="FFF8696B"/>
      </colorScale>
    </cfRule>
  </conditionalFormatting>
  <conditionalFormatting sqref="H8">
    <cfRule type="colorScale" priority="52">
      <colorScale>
        <cfvo type="num" val="0"/>
        <cfvo type="num" val="0.5"/>
        <cfvo type="num" val="1"/>
        <color theme="9" tint="0.59999389629810485"/>
        <color theme="7" tint="0.59999389629810485"/>
        <color theme="5" tint="0.59999389629810485"/>
      </colorScale>
    </cfRule>
    <cfRule type="colorScale" priority="53">
      <colorScale>
        <cfvo type="num" val="0"/>
        <cfvo type="num" val="0.5"/>
        <cfvo type="num" val="1"/>
        <color theme="9" tint="0.79998168889431442"/>
        <color theme="7" tint="0.79998168889431442"/>
        <color theme="5" tint="0.79998168889431442"/>
      </colorScale>
    </cfRule>
    <cfRule type="colorScale" priority="54">
      <colorScale>
        <cfvo type="min"/>
        <cfvo type="percentile" val="50"/>
        <cfvo type="max"/>
        <color rgb="FF63BE7B"/>
        <color rgb="FFFFEB84"/>
        <color rgb="FFF8696B"/>
      </colorScale>
    </cfRule>
  </conditionalFormatting>
  <conditionalFormatting sqref="N42">
    <cfRule type="colorScale" priority="48">
      <colorScale>
        <cfvo type="num" val="0"/>
        <cfvo type="num" val="0.5"/>
        <cfvo type="num" val="1"/>
        <color theme="9" tint="0.59999389629810485"/>
        <color theme="7" tint="0.59999389629810485"/>
        <color theme="5" tint="0.59999389629810485"/>
      </colorScale>
    </cfRule>
    <cfRule type="colorScale" priority="49">
      <colorScale>
        <cfvo type="num" val="0"/>
        <cfvo type="num" val="0.5"/>
        <cfvo type="num" val="1"/>
        <color theme="9" tint="0.79998168889431442"/>
        <color theme="7" tint="0.79998168889431442"/>
        <color theme="5" tint="0.79998168889431442"/>
      </colorScale>
    </cfRule>
    <cfRule type="colorScale" priority="50">
      <colorScale>
        <cfvo type="min"/>
        <cfvo type="percentile" val="50"/>
        <cfvo type="max"/>
        <color rgb="FF63BE7B"/>
        <color rgb="FFFFEB84"/>
        <color rgb="FFF8696B"/>
      </colorScale>
    </cfRule>
  </conditionalFormatting>
  <conditionalFormatting sqref="N40">
    <cfRule type="colorScale" priority="35">
      <colorScale>
        <cfvo type="num" val="0"/>
        <cfvo type="num" val="0.5"/>
        <cfvo type="num" val="1"/>
        <color theme="9" tint="0.59999389629810485"/>
        <color theme="7" tint="0.59999389629810485"/>
        <color theme="5" tint="0.59999389629810485"/>
      </colorScale>
    </cfRule>
    <cfRule type="colorScale" priority="36">
      <colorScale>
        <cfvo type="num" val="0"/>
        <cfvo type="num" val="0.5"/>
        <cfvo type="num" val="1"/>
        <color theme="9" tint="0.79998168889431442"/>
        <color theme="7" tint="0.79998168889431442"/>
        <color theme="5" tint="0.79998168889431442"/>
      </colorScale>
    </cfRule>
    <cfRule type="colorScale" priority="37">
      <colorScale>
        <cfvo type="min"/>
        <cfvo type="percentile" val="50"/>
        <cfvo type="max"/>
        <color rgb="FF63BE7B"/>
        <color rgb="FFFFEB84"/>
        <color rgb="FFF8696B"/>
      </colorScale>
    </cfRule>
  </conditionalFormatting>
  <conditionalFormatting sqref="L42">
    <cfRule type="colorScale" priority="32">
      <colorScale>
        <cfvo type="num" val="0"/>
        <cfvo type="num" val="0.5"/>
        <cfvo type="num" val="1"/>
        <color theme="9" tint="0.59999389629810485"/>
        <color theme="7" tint="0.59999389629810485"/>
        <color theme="5" tint="0.59999389629810485"/>
      </colorScale>
    </cfRule>
    <cfRule type="colorScale" priority="33">
      <colorScale>
        <cfvo type="num" val="0"/>
        <cfvo type="num" val="0.5"/>
        <cfvo type="num" val="1"/>
        <color theme="9" tint="0.79998168889431442"/>
        <color theme="7" tint="0.79998168889431442"/>
        <color theme="5" tint="0.79998168889431442"/>
      </colorScale>
    </cfRule>
    <cfRule type="colorScale" priority="34">
      <colorScale>
        <cfvo type="min"/>
        <cfvo type="percentile" val="50"/>
        <cfvo type="max"/>
        <color rgb="FF63BE7B"/>
        <color rgb="FFFFEB84"/>
        <color rgb="FFF8696B"/>
      </colorScale>
    </cfRule>
  </conditionalFormatting>
  <conditionalFormatting sqref="N41">
    <cfRule type="colorScale" priority="26">
      <colorScale>
        <cfvo type="num" val="0"/>
        <cfvo type="num" val="0.5"/>
        <cfvo type="num" val="1"/>
        <color theme="9" tint="0.59999389629810485"/>
        <color theme="7" tint="0.59999389629810485"/>
        <color theme="5" tint="0.59999389629810485"/>
      </colorScale>
    </cfRule>
    <cfRule type="colorScale" priority="27">
      <colorScale>
        <cfvo type="num" val="0"/>
        <cfvo type="num" val="0.5"/>
        <cfvo type="num" val="1"/>
        <color theme="9" tint="0.79998168889431442"/>
        <color theme="7" tint="0.79998168889431442"/>
        <color theme="5" tint="0.79998168889431442"/>
      </colorScale>
    </cfRule>
    <cfRule type="colorScale" priority="28">
      <colorScale>
        <cfvo type="min"/>
        <cfvo type="percentile" val="50"/>
        <cfvo type="max"/>
        <color rgb="FF63BE7B"/>
        <color rgb="FFFFEB84"/>
        <color rgb="FFF8696B"/>
      </colorScale>
    </cfRule>
  </conditionalFormatting>
  <conditionalFormatting sqref="M43">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D11">
    <cfRule type="colorScale" priority="1">
      <colorScale>
        <cfvo type="num" val="0"/>
        <cfvo type="num" val="0.5"/>
        <cfvo type="num" val="1"/>
        <color theme="9" tint="0.59999389629810485"/>
        <color theme="7" tint="0.59999389629810485"/>
        <color theme="5" tint="0.59999389629810485"/>
      </colorScale>
    </cfRule>
    <cfRule type="colorScale" priority="2">
      <colorScale>
        <cfvo type="num" val="0"/>
        <cfvo type="num" val="0.5"/>
        <cfvo type="num" val="1"/>
        <color theme="9" tint="0.79998168889431442"/>
        <color theme="7" tint="0.79998168889431442"/>
        <color theme="5" tint="0.79998168889431442"/>
      </colorScale>
    </cfRule>
    <cfRule type="colorScale" priority="3">
      <colorScale>
        <cfvo type="min"/>
        <cfvo type="percentile" val="50"/>
        <cfvo type="max"/>
        <color rgb="FF63BE7B"/>
        <color rgb="FFFFEB84"/>
        <color rgb="FFF8696B"/>
      </colorScale>
    </cfRule>
  </conditionalFormatting>
  <hyperlinks>
    <hyperlink ref="C41" r:id="rId1" xr:uid="{64635279-48B3-BD42-9479-A01B44E976A8}"/>
    <hyperlink ref="C40" r:id="rId2" display="S2F" xr:uid="{CBB936A4-080F-3E43-A102-49DEEFBB3E8A}"/>
    <hyperlink ref="C42" r:id="rId3" xr:uid="{F64C04B7-25A6-6047-9BF9-580836FC8214}"/>
    <hyperlink ref="AC42:AD43" location="说明!A1" display="目录" xr:uid="{67F0ABF4-BE67-5D40-8073-99043434E788}"/>
    <hyperlink ref="Y42" r:id="rId4" xr:uid="{28A9417D-CE3E-684F-BE39-FCBC63496ECB}"/>
    <hyperlink ref="Y42:AA43" r:id="rId5" display="距离误差分析" xr:uid="{743F6E47-5AEF-C540-8FD8-A8E157DED535}"/>
    <hyperlink ref="C9" r:id="rId6" xr:uid="{6C6FCB2C-B78E-9440-8491-B5A62C4B71E7}"/>
    <hyperlink ref="C8" r:id="rId7" display="S2F" xr:uid="{2D4A2B7B-439B-6941-8B26-737D0D6BB7E5}"/>
    <hyperlink ref="C10" r:id="rId8" xr:uid="{87623C25-5556-B64B-B12E-AE38533BF660}"/>
    <hyperlink ref="L9:M9" location="记录仪!A1" display="记录仪" xr:uid="{C3AE4646-A22C-D944-ABB2-98886063D09F}"/>
    <hyperlink ref="L12:M15" location="币圈驾驶舱!A1" display="币圈驾驶舱" xr:uid="{49883C7C-B10C-2249-A475-49EBE7BE0AC6}"/>
    <hyperlink ref="L6:M6" location="目录!A1" display="目录" xr:uid="{3A328CC8-57AD-834B-BDC4-3C9697F16603}"/>
  </hyperlinks>
  <pageMargins left="0.7" right="0.7" top="0.75" bottom="0.75" header="0.3" footer="0.3"/>
  <pageSetup paperSize="9" orientation="portrait" horizontalDpi="0" verticalDpi="0"/>
  <drawing r:id="rId9"/>
  <picture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CCD82-61F8-4B47-95B7-F4392CAA0602}">
  <dimension ref="B1:P35"/>
  <sheetViews>
    <sheetView zoomScale="75" workbookViewId="0">
      <selection activeCell="C2" sqref="C2"/>
    </sheetView>
  </sheetViews>
  <sheetFormatPr baseColWidth="10" defaultRowHeight="16"/>
  <cols>
    <col min="2" max="2" width="4.83203125" customWidth="1"/>
    <col min="3" max="15" width="19.83203125" customWidth="1"/>
    <col min="16" max="16" width="4.83203125" customWidth="1"/>
  </cols>
  <sheetData>
    <row r="1" spans="2:16" ht="51" customHeight="1" thickBot="1"/>
    <row r="2" spans="2:16" ht="51" customHeight="1" thickBot="1">
      <c r="C2" s="1441" t="s">
        <v>199</v>
      </c>
    </row>
    <row r="3" spans="2:16" ht="22" customHeight="1">
      <c r="C3" s="187"/>
    </row>
    <row r="4" spans="2:16" ht="51" customHeight="1"/>
    <row r="5" spans="2:16">
      <c r="B5" s="187"/>
      <c r="C5" s="187"/>
      <c r="D5" s="187"/>
      <c r="E5" s="187"/>
      <c r="F5" s="187"/>
      <c r="G5" s="187"/>
      <c r="H5" s="187"/>
      <c r="I5" s="187"/>
      <c r="J5" s="187"/>
      <c r="K5" s="187"/>
      <c r="L5" s="187"/>
      <c r="M5" s="187"/>
      <c r="N5" s="187"/>
      <c r="O5" s="187"/>
      <c r="P5" s="187"/>
    </row>
    <row r="6" spans="2:16">
      <c r="B6" s="187"/>
      <c r="C6" s="333" t="s">
        <v>78</v>
      </c>
      <c r="D6" s="330" t="s">
        <v>93</v>
      </c>
      <c r="E6" s="187"/>
      <c r="F6" s="605"/>
      <c r="G6" s="605"/>
      <c r="H6" s="605"/>
      <c r="I6" s="605"/>
      <c r="J6" s="605"/>
      <c r="K6" s="605"/>
      <c r="L6" s="605"/>
      <c r="M6" s="606"/>
      <c r="N6" s="606"/>
      <c r="O6" s="606"/>
      <c r="P6" s="113"/>
    </row>
    <row r="7" spans="2:16" s="144" customFormat="1">
      <c r="B7" s="607"/>
      <c r="C7" s="333" t="s">
        <v>94</v>
      </c>
      <c r="D7" s="330" t="s">
        <v>213</v>
      </c>
      <c r="E7" s="187"/>
      <c r="F7" s="608"/>
      <c r="G7" s="608"/>
      <c r="H7" s="608"/>
      <c r="I7" s="330"/>
      <c r="J7" s="330"/>
      <c r="K7" s="330"/>
      <c r="L7" s="330"/>
      <c r="M7" s="330"/>
      <c r="N7" s="330"/>
      <c r="O7" s="330"/>
      <c r="P7" s="113"/>
    </row>
    <row r="8" spans="2:16">
      <c r="B8" s="187"/>
      <c r="C8" s="333" t="s">
        <v>333</v>
      </c>
      <c r="D8" s="606">
        <f>D16+D24+D32</f>
        <v>485000</v>
      </c>
      <c r="E8" s="187"/>
      <c r="F8" s="606"/>
      <c r="G8" s="606"/>
      <c r="H8" s="606"/>
      <c r="I8" s="606"/>
      <c r="J8" s="606"/>
      <c r="K8" s="606"/>
      <c r="L8" s="606"/>
      <c r="M8" s="606"/>
      <c r="N8" s="606"/>
      <c r="O8" s="606"/>
      <c r="P8" s="113"/>
    </row>
    <row r="9" spans="2:16">
      <c r="B9" s="187"/>
      <c r="C9" s="333" t="s">
        <v>334</v>
      </c>
      <c r="D9" s="606"/>
      <c r="E9" s="187"/>
      <c r="F9" s="606"/>
      <c r="G9" s="606"/>
      <c r="H9" s="606"/>
      <c r="I9" s="606"/>
      <c r="J9" s="606"/>
      <c r="K9" s="606"/>
      <c r="L9" s="606"/>
      <c r="M9" s="606"/>
      <c r="N9" s="606"/>
      <c r="O9" s="606"/>
      <c r="P9" s="113"/>
    </row>
    <row r="10" spans="2:16">
      <c r="B10" s="187"/>
      <c r="C10" s="606"/>
      <c r="D10" s="606"/>
      <c r="E10" s="187"/>
      <c r="F10" s="606"/>
      <c r="G10" s="606"/>
      <c r="H10" s="606"/>
      <c r="I10" s="606"/>
      <c r="J10" s="606"/>
      <c r="K10" s="606"/>
      <c r="L10" s="606"/>
      <c r="M10" s="606"/>
      <c r="N10" s="606"/>
      <c r="O10" s="606"/>
      <c r="P10" s="113"/>
    </row>
    <row r="11" spans="2:16">
      <c r="B11" s="187"/>
      <c r="C11" s="113"/>
      <c r="D11" s="113"/>
      <c r="E11" s="187"/>
      <c r="F11" s="113"/>
      <c r="G11" s="113"/>
      <c r="H11" s="113"/>
      <c r="I11" s="113"/>
      <c r="J11" s="113"/>
      <c r="K11" s="113"/>
      <c r="L11" s="113"/>
      <c r="M11" s="113"/>
      <c r="N11" s="113"/>
      <c r="O11" s="113"/>
      <c r="P11" s="113"/>
    </row>
    <row r="13" spans="2:16">
      <c r="B13" s="187"/>
      <c r="C13" s="187"/>
      <c r="D13" s="187"/>
      <c r="E13" s="187"/>
      <c r="F13" s="187"/>
      <c r="G13" s="187"/>
      <c r="H13" s="187"/>
      <c r="I13" s="187"/>
      <c r="J13" s="187"/>
      <c r="K13" s="187"/>
      <c r="L13" s="187"/>
      <c r="M13" s="187"/>
      <c r="N13" s="187"/>
      <c r="O13" s="187"/>
      <c r="P13" s="187"/>
    </row>
    <row r="14" spans="2:16">
      <c r="B14" s="187"/>
      <c r="C14" s="333" t="s">
        <v>78</v>
      </c>
      <c r="D14" s="330" t="s">
        <v>93</v>
      </c>
      <c r="E14" s="187"/>
      <c r="F14" s="605">
        <v>44276</v>
      </c>
      <c r="G14" s="605">
        <v>44326</v>
      </c>
      <c r="H14" s="605">
        <v>44403</v>
      </c>
      <c r="I14" s="605">
        <v>44407</v>
      </c>
      <c r="J14" s="605">
        <v>44412</v>
      </c>
      <c r="K14" s="605">
        <v>44440</v>
      </c>
      <c r="L14" s="605"/>
      <c r="M14" s="606"/>
      <c r="N14" s="606"/>
      <c r="O14" s="606"/>
      <c r="P14" s="113"/>
    </row>
    <row r="15" spans="2:16" s="144" customFormat="1">
      <c r="B15" s="607"/>
      <c r="C15" s="333" t="s">
        <v>94</v>
      </c>
      <c r="D15" s="608" t="s">
        <v>335</v>
      </c>
      <c r="E15" s="187"/>
      <c r="F15" s="608" t="s">
        <v>335</v>
      </c>
      <c r="G15" s="608" t="s">
        <v>335</v>
      </c>
      <c r="H15" s="330" t="s">
        <v>335</v>
      </c>
      <c r="I15" s="330" t="s">
        <v>335</v>
      </c>
      <c r="J15" s="330" t="s">
        <v>335</v>
      </c>
      <c r="K15" s="330" t="s">
        <v>335</v>
      </c>
      <c r="L15" s="330"/>
      <c r="M15" s="330"/>
      <c r="N15" s="330"/>
      <c r="O15" s="330"/>
      <c r="P15" s="113"/>
    </row>
    <row r="16" spans="2:16">
      <c r="B16" s="187"/>
      <c r="C16" s="333" t="s">
        <v>333</v>
      </c>
      <c r="D16" s="606">
        <f>LOOKUP(9E+307,F16:O16)</f>
        <v>267000</v>
      </c>
      <c r="E16" s="187"/>
      <c r="F16" s="606">
        <f>E16+F17</f>
        <v>100168.68</v>
      </c>
      <c r="G16" s="606">
        <f t="shared" ref="G16:K16" si="0">F16+G17</f>
        <v>205168.68</v>
      </c>
      <c r="H16" s="606">
        <f t="shared" si="0"/>
        <v>225168.68</v>
      </c>
      <c r="I16" s="606">
        <f t="shared" si="0"/>
        <v>245168.68</v>
      </c>
      <c r="J16" s="606">
        <f t="shared" si="0"/>
        <v>255000</v>
      </c>
      <c r="K16" s="606">
        <f t="shared" si="0"/>
        <v>267000</v>
      </c>
      <c r="L16" s="606"/>
      <c r="M16" s="606"/>
      <c r="N16" s="606"/>
      <c r="O16" s="606"/>
      <c r="P16" s="113"/>
    </row>
    <row r="17" spans="2:16">
      <c r="B17" s="187"/>
      <c r="C17" s="333" t="s">
        <v>334</v>
      </c>
      <c r="D17" s="606"/>
      <c r="E17" s="187"/>
      <c r="F17" s="606">
        <f>50130.68+38+50000</f>
        <v>100168.68</v>
      </c>
      <c r="G17" s="606">
        <v>105000</v>
      </c>
      <c r="H17" s="606">
        <v>20000</v>
      </c>
      <c r="I17" s="606">
        <v>20000</v>
      </c>
      <c r="J17" s="606">
        <v>9831.32</v>
      </c>
      <c r="K17" s="606">
        <v>12000</v>
      </c>
      <c r="L17" s="606"/>
      <c r="M17" s="606"/>
      <c r="N17" s="606"/>
      <c r="O17" s="606"/>
      <c r="P17" s="113"/>
    </row>
    <row r="18" spans="2:16">
      <c r="B18" s="187"/>
      <c r="C18" s="606"/>
      <c r="D18" s="606"/>
      <c r="E18" s="187"/>
      <c r="F18" s="606"/>
      <c r="G18" s="606"/>
      <c r="H18" s="606"/>
      <c r="I18" s="606"/>
      <c r="J18" s="606"/>
      <c r="K18" s="606"/>
      <c r="L18" s="606"/>
      <c r="M18" s="606"/>
      <c r="N18" s="606"/>
      <c r="O18" s="606"/>
      <c r="P18" s="113"/>
    </row>
    <row r="19" spans="2:16">
      <c r="B19" s="187"/>
      <c r="C19" s="113"/>
      <c r="D19" s="113"/>
      <c r="E19" s="187"/>
      <c r="F19" s="113"/>
      <c r="G19" s="113"/>
      <c r="H19" s="113"/>
      <c r="I19" s="113"/>
      <c r="J19" s="113"/>
      <c r="K19" s="113"/>
      <c r="L19" s="113"/>
      <c r="M19" s="113"/>
      <c r="N19" s="113"/>
      <c r="O19" s="113"/>
      <c r="P19" s="113"/>
    </row>
    <row r="21" spans="2:16">
      <c r="B21" s="187"/>
      <c r="C21" s="187"/>
      <c r="D21" s="187"/>
      <c r="E21" s="187"/>
      <c r="F21" s="187"/>
      <c r="G21" s="187"/>
      <c r="H21" s="187"/>
      <c r="I21" s="187"/>
      <c r="J21" s="187"/>
      <c r="K21" s="187"/>
      <c r="L21" s="187"/>
      <c r="M21" s="187"/>
      <c r="N21" s="187"/>
      <c r="O21" s="187"/>
      <c r="P21" s="187"/>
    </row>
    <row r="22" spans="2:16">
      <c r="B22" s="187"/>
      <c r="C22" s="333" t="s">
        <v>78</v>
      </c>
      <c r="D22" s="330" t="s">
        <v>93</v>
      </c>
      <c r="E22" s="187"/>
      <c r="F22" s="605">
        <v>44340</v>
      </c>
      <c r="G22" s="605">
        <v>44407</v>
      </c>
      <c r="H22" s="605">
        <v>44447</v>
      </c>
      <c r="I22" s="605"/>
      <c r="J22" s="605"/>
      <c r="K22" s="605"/>
      <c r="L22" s="605"/>
      <c r="M22" s="606"/>
      <c r="N22" s="606"/>
      <c r="O22" s="606"/>
      <c r="P22" s="113"/>
    </row>
    <row r="23" spans="2:16" s="144" customFormat="1">
      <c r="B23" s="607"/>
      <c r="C23" s="333" t="s">
        <v>94</v>
      </c>
      <c r="D23" s="330" t="s">
        <v>336</v>
      </c>
      <c r="E23" s="187"/>
      <c r="F23" s="330" t="s">
        <v>336</v>
      </c>
      <c r="G23" s="330" t="s">
        <v>336</v>
      </c>
      <c r="H23" s="608"/>
      <c r="I23" s="608"/>
      <c r="J23" s="608"/>
      <c r="K23" s="608"/>
      <c r="L23" s="330"/>
      <c r="M23" s="330"/>
      <c r="N23" s="330"/>
      <c r="O23" s="330"/>
      <c r="P23" s="113"/>
    </row>
    <row r="24" spans="2:16">
      <c r="B24" s="187"/>
      <c r="C24" s="333" t="s">
        <v>333</v>
      </c>
      <c r="D24" s="606">
        <f>LOOKUP(9E+307,F24:O24)</f>
        <v>200000</v>
      </c>
      <c r="E24" s="187"/>
      <c r="F24" s="606">
        <f>E24+F25</f>
        <v>70000</v>
      </c>
      <c r="G24" s="606">
        <f>F24+G25</f>
        <v>50000</v>
      </c>
      <c r="H24" s="606">
        <f>G24+H25</f>
        <v>200000</v>
      </c>
      <c r="I24" s="606"/>
      <c r="J24" s="606"/>
      <c r="K24" s="606"/>
      <c r="L24" s="606"/>
      <c r="M24" s="606"/>
      <c r="N24" s="606"/>
      <c r="O24" s="606"/>
      <c r="P24" s="113"/>
    </row>
    <row r="25" spans="2:16">
      <c r="B25" s="187"/>
      <c r="C25" s="333" t="s">
        <v>334</v>
      </c>
      <c r="D25" s="606"/>
      <c r="E25" s="187"/>
      <c r="F25" s="606">
        <v>70000</v>
      </c>
      <c r="G25" s="606">
        <v>-20000</v>
      </c>
      <c r="H25" s="606">
        <v>150000</v>
      </c>
      <c r="I25" s="606"/>
      <c r="J25" s="606"/>
      <c r="K25" s="606"/>
      <c r="L25" s="606"/>
      <c r="M25" s="606"/>
      <c r="N25" s="606"/>
      <c r="O25" s="606"/>
      <c r="P25" s="113"/>
    </row>
    <row r="26" spans="2:16">
      <c r="B26" s="187"/>
      <c r="C26" s="606"/>
      <c r="D26" s="606"/>
      <c r="E26" s="187"/>
      <c r="F26" s="606"/>
      <c r="G26" s="606"/>
      <c r="H26" s="606"/>
      <c r="I26" s="606"/>
      <c r="J26" s="606"/>
      <c r="K26" s="606"/>
      <c r="L26" s="606"/>
      <c r="M26" s="606"/>
      <c r="N26" s="606"/>
      <c r="O26" s="606"/>
      <c r="P26" s="113"/>
    </row>
    <row r="27" spans="2:16">
      <c r="B27" s="187"/>
      <c r="C27" s="113"/>
      <c r="D27" s="113"/>
      <c r="E27" s="187"/>
      <c r="F27" s="113"/>
      <c r="G27" s="113"/>
      <c r="H27" s="113"/>
      <c r="I27" s="113"/>
      <c r="J27" s="113"/>
      <c r="K27" s="113"/>
      <c r="L27" s="113"/>
      <c r="M27" s="113"/>
      <c r="N27" s="113"/>
      <c r="O27" s="113"/>
      <c r="P27" s="113"/>
    </row>
    <row r="29" spans="2:16">
      <c r="B29" s="187"/>
      <c r="C29" s="187"/>
      <c r="D29" s="187"/>
      <c r="E29" s="187"/>
      <c r="F29" s="187"/>
      <c r="G29" s="187"/>
      <c r="H29" s="187"/>
      <c r="I29" s="187"/>
      <c r="J29" s="187"/>
      <c r="K29" s="187"/>
      <c r="L29" s="187"/>
      <c r="M29" s="187"/>
      <c r="N29" s="187"/>
      <c r="O29" s="187"/>
      <c r="P29" s="187"/>
    </row>
    <row r="30" spans="2:16">
      <c r="B30" s="187"/>
      <c r="C30" s="333" t="s">
        <v>78</v>
      </c>
      <c r="D30" s="330" t="s">
        <v>93</v>
      </c>
      <c r="E30" s="187"/>
      <c r="F30" s="605">
        <v>44318</v>
      </c>
      <c r="G30" s="605"/>
      <c r="H30" s="605"/>
      <c r="I30" s="605"/>
      <c r="J30" s="605"/>
      <c r="K30" s="605"/>
      <c r="L30" s="605"/>
      <c r="M30" s="606"/>
      <c r="N30" s="606"/>
      <c r="O30" s="606"/>
      <c r="P30" s="113"/>
    </row>
    <row r="31" spans="2:16" s="144" customFormat="1">
      <c r="B31" s="607"/>
      <c r="C31" s="333" t="s">
        <v>94</v>
      </c>
      <c r="D31" s="608" t="s">
        <v>337</v>
      </c>
      <c r="E31" s="187"/>
      <c r="F31" s="608" t="s">
        <v>337</v>
      </c>
      <c r="G31" s="608"/>
      <c r="H31" s="608"/>
      <c r="I31" s="330"/>
      <c r="J31" s="330"/>
      <c r="K31" s="330"/>
      <c r="L31" s="330"/>
      <c r="M31" s="330"/>
      <c r="N31" s="330"/>
      <c r="O31" s="330"/>
      <c r="P31" s="113"/>
    </row>
    <row r="32" spans="2:16">
      <c r="B32" s="187"/>
      <c r="C32" s="333" t="s">
        <v>333</v>
      </c>
      <c r="D32" s="606">
        <f>LOOKUP(9E+307,F32:O32)</f>
        <v>18000</v>
      </c>
      <c r="E32" s="187"/>
      <c r="F32" s="606">
        <f>E32+F33</f>
        <v>18000</v>
      </c>
      <c r="G32" s="606"/>
      <c r="H32" s="606"/>
      <c r="I32" s="606"/>
      <c r="J32" s="606"/>
      <c r="K32" s="606"/>
      <c r="L32" s="606"/>
      <c r="M32" s="606"/>
      <c r="N32" s="606"/>
      <c r="O32" s="606"/>
      <c r="P32" s="113"/>
    </row>
    <row r="33" spans="2:16">
      <c r="B33" s="187"/>
      <c r="C33" s="333" t="s">
        <v>334</v>
      </c>
      <c r="D33" s="606"/>
      <c r="E33" s="187"/>
      <c r="F33" s="606">
        <v>18000</v>
      </c>
      <c r="G33" s="606"/>
      <c r="H33" s="606"/>
      <c r="I33" s="606"/>
      <c r="J33" s="606"/>
      <c r="K33" s="606"/>
      <c r="L33" s="606"/>
      <c r="M33" s="606"/>
      <c r="N33" s="606"/>
      <c r="O33" s="606"/>
      <c r="P33" s="113"/>
    </row>
    <row r="34" spans="2:16">
      <c r="B34" s="187"/>
      <c r="C34" s="606"/>
      <c r="D34" s="606"/>
      <c r="E34" s="187"/>
      <c r="F34" s="606"/>
      <c r="G34" s="606"/>
      <c r="H34" s="606"/>
      <c r="I34" s="606"/>
      <c r="J34" s="606"/>
      <c r="K34" s="606"/>
      <c r="L34" s="606"/>
      <c r="M34" s="606"/>
      <c r="N34" s="606"/>
      <c r="O34" s="606"/>
      <c r="P34" s="113"/>
    </row>
    <row r="35" spans="2:16">
      <c r="B35" s="187"/>
      <c r="C35" s="113"/>
      <c r="D35" s="113"/>
      <c r="E35" s="187"/>
      <c r="F35" s="113"/>
      <c r="G35" s="113"/>
      <c r="H35" s="113"/>
      <c r="I35" s="113"/>
      <c r="J35" s="113"/>
      <c r="K35" s="113"/>
      <c r="L35" s="113"/>
      <c r="M35" s="113"/>
      <c r="N35" s="113"/>
      <c r="O35" s="113"/>
      <c r="P35" s="113"/>
    </row>
  </sheetData>
  <phoneticPr fontId="2" type="noConversion"/>
  <hyperlinks>
    <hyperlink ref="C2" location="目录!A1" display="目录" xr:uid="{8C18FB93-3B4B-B343-925F-626C850A8F8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A1DAE-EA3D-6945-AAEF-99A6CDE8E5B1}">
  <dimension ref="B1:AD62"/>
  <sheetViews>
    <sheetView showGridLines="0" topLeftCell="D7" zoomScale="106" zoomScaleNormal="161" workbookViewId="0">
      <selection activeCell="J22" sqref="J22"/>
    </sheetView>
  </sheetViews>
  <sheetFormatPr baseColWidth="10" defaultRowHeight="16"/>
  <cols>
    <col min="1" max="1" width="16.33203125" customWidth="1"/>
    <col min="2" max="2" width="4.1640625" customWidth="1"/>
    <col min="3" max="3" width="5.1640625" customWidth="1"/>
    <col min="4" max="4" width="18.33203125" customWidth="1"/>
    <col min="5" max="5" width="9.1640625" customWidth="1"/>
    <col min="6" max="6" width="8.5" customWidth="1"/>
    <col min="7" max="17" width="16" customWidth="1"/>
    <col min="18" max="18" width="18.33203125" customWidth="1"/>
    <col min="19" max="19" width="4.5" customWidth="1"/>
    <col min="21" max="21" width="3.83203125" customWidth="1"/>
    <col min="22" max="22" width="14.1640625" bestFit="1" customWidth="1"/>
    <col min="24" max="24" width="3.5" customWidth="1"/>
    <col min="25" max="25" width="6.6640625" customWidth="1"/>
    <col min="26" max="26" width="4" customWidth="1"/>
    <col min="27" max="27" width="14.1640625" bestFit="1" customWidth="1"/>
    <col min="29" max="29" width="3.5" customWidth="1"/>
  </cols>
  <sheetData>
    <row r="1" spans="2:29" ht="73" customHeight="1"/>
    <row r="2" spans="2:29">
      <c r="B2" s="205"/>
      <c r="C2" s="34"/>
      <c r="D2" s="205"/>
      <c r="E2" s="34"/>
      <c r="F2" s="34"/>
      <c r="G2" s="34"/>
      <c r="H2" s="205"/>
      <c r="I2" s="205"/>
      <c r="J2" s="34"/>
      <c r="K2" s="205"/>
      <c r="L2" s="34"/>
      <c r="M2" s="205"/>
      <c r="N2" s="34"/>
      <c r="O2" s="205"/>
      <c r="P2" s="34"/>
      <c r="Q2" s="205"/>
      <c r="R2" s="34"/>
      <c r="S2" s="205"/>
    </row>
    <row r="3" spans="2:29">
      <c r="B3" s="34"/>
      <c r="C3" s="1347" t="s">
        <v>21</v>
      </c>
      <c r="D3" s="1348"/>
      <c r="E3" s="1348"/>
      <c r="F3" s="1348"/>
      <c r="G3" s="1348"/>
      <c r="H3" s="1348"/>
      <c r="I3" s="1348"/>
      <c r="J3" s="1348"/>
      <c r="K3" s="1348"/>
      <c r="L3" s="1348"/>
      <c r="M3" s="1348"/>
      <c r="N3" s="1348"/>
      <c r="O3" s="1348"/>
      <c r="P3" s="1348"/>
      <c r="Q3" s="1348"/>
      <c r="R3" s="1348"/>
      <c r="S3" s="34"/>
    </row>
    <row r="4" spans="2:29" ht="17" thickBot="1">
      <c r="B4" s="205"/>
      <c r="C4" s="34"/>
      <c r="D4" s="205"/>
      <c r="E4" s="34"/>
      <c r="F4" s="205"/>
      <c r="G4" s="34"/>
      <c r="H4" s="205"/>
      <c r="I4" s="34"/>
      <c r="J4" s="205"/>
      <c r="K4" s="34"/>
      <c r="L4" s="205"/>
      <c r="M4" s="34"/>
      <c r="N4" s="205"/>
      <c r="O4" s="205"/>
      <c r="P4" s="34"/>
      <c r="Q4" s="205"/>
      <c r="R4" s="34"/>
      <c r="S4" s="205"/>
    </row>
    <row r="5" spans="2:29" ht="34" customHeight="1" thickBot="1">
      <c r="B5" s="34"/>
      <c r="C5" s="1339" t="s">
        <v>22</v>
      </c>
      <c r="D5" s="1340"/>
      <c r="E5" s="1349" t="s">
        <v>23</v>
      </c>
      <c r="F5" s="1350"/>
      <c r="G5" s="43"/>
      <c r="H5" s="44"/>
      <c r="I5" s="45" t="s">
        <v>24</v>
      </c>
      <c r="J5" s="45" t="s">
        <v>25</v>
      </c>
      <c r="K5" s="45" t="s">
        <v>26</v>
      </c>
      <c r="L5" s="45" t="s">
        <v>27</v>
      </c>
      <c r="M5" s="46" t="s">
        <v>28</v>
      </c>
      <c r="N5" s="47" t="s">
        <v>29</v>
      </c>
      <c r="O5" s="34"/>
      <c r="P5" s="380" t="s">
        <v>199</v>
      </c>
      <c r="Q5" s="34"/>
      <c r="R5" s="1370"/>
      <c r="S5" s="34"/>
    </row>
    <row r="6" spans="2:29" ht="17" customHeight="1" thickBot="1">
      <c r="B6" s="34"/>
      <c r="C6" s="1341"/>
      <c r="D6" s="1342"/>
      <c r="E6" s="1351">
        <v>20</v>
      </c>
      <c r="F6" s="1352"/>
      <c r="G6" s="48"/>
      <c r="H6" s="48"/>
      <c r="I6" s="49">
        <v>70</v>
      </c>
      <c r="J6" s="49">
        <v>7000</v>
      </c>
      <c r="K6" s="49">
        <v>70</v>
      </c>
      <c r="L6" s="50">
        <v>20</v>
      </c>
      <c r="M6" s="51">
        <v>7000</v>
      </c>
      <c r="N6" s="52">
        <v>1</v>
      </c>
      <c r="O6" s="34"/>
      <c r="P6" s="187"/>
      <c r="Q6" s="34"/>
      <c r="R6" s="1371"/>
      <c r="S6" s="34"/>
    </row>
    <row r="7" spans="2:29" ht="17" thickBot="1">
      <c r="B7" s="205"/>
      <c r="C7" s="34"/>
      <c r="D7" s="205"/>
      <c r="E7" s="34"/>
      <c r="F7" s="205"/>
      <c r="G7" s="34"/>
      <c r="H7" s="205"/>
      <c r="I7" s="34"/>
      <c r="J7" s="205"/>
      <c r="K7" s="34"/>
      <c r="L7" s="205"/>
      <c r="M7" s="34"/>
      <c r="N7" s="205"/>
      <c r="O7" s="205"/>
      <c r="P7" s="34"/>
      <c r="Q7" s="205"/>
      <c r="R7" s="34"/>
      <c r="S7" s="205"/>
    </row>
    <row r="8" spans="2:29" ht="34">
      <c r="B8" s="34"/>
      <c r="C8" s="1339" t="s">
        <v>31</v>
      </c>
      <c r="D8" s="1340"/>
      <c r="E8" s="1343" t="s">
        <v>32</v>
      </c>
      <c r="F8" s="1344"/>
      <c r="G8" s="229"/>
      <c r="H8" s="230"/>
      <c r="I8" s="231" t="s">
        <v>33</v>
      </c>
      <c r="J8" s="229"/>
      <c r="K8" s="229"/>
      <c r="L8" s="231" t="s">
        <v>34</v>
      </c>
      <c r="M8" s="229"/>
      <c r="N8" s="232" t="s">
        <v>35</v>
      </c>
      <c r="O8" s="34"/>
      <c r="P8" s="53" t="s">
        <v>36</v>
      </c>
      <c r="Q8" s="54" t="s">
        <v>37</v>
      </c>
      <c r="R8" s="55" t="s">
        <v>38</v>
      </c>
      <c r="S8" s="34"/>
    </row>
    <row r="9" spans="2:29" ht="17" thickBot="1">
      <c r="B9" s="34"/>
      <c r="C9" s="1341"/>
      <c r="D9" s="1342"/>
      <c r="E9" s="1345">
        <v>25</v>
      </c>
      <c r="F9" s="1346"/>
      <c r="G9" s="233"/>
      <c r="H9" s="234"/>
      <c r="I9" s="235">
        <v>0.77</v>
      </c>
      <c r="J9" s="233"/>
      <c r="K9" s="234"/>
      <c r="L9" s="236">
        <f>I9*I9/(E9/100)*100</f>
        <v>237.16</v>
      </c>
      <c r="M9" s="237"/>
      <c r="N9" s="238"/>
      <c r="O9" s="34"/>
      <c r="P9" s="263" t="e">
        <f>记录仪!D18</f>
        <v>#N/A</v>
      </c>
      <c r="Q9" s="264">
        <f>记录仪!D10</f>
        <v>60700</v>
      </c>
      <c r="R9" s="265" t="e">
        <f>记录仪!D8</f>
        <v>#N/A</v>
      </c>
      <c r="S9" s="34"/>
    </row>
    <row r="10" spans="2:29">
      <c r="B10" s="205"/>
      <c r="C10" s="34"/>
      <c r="D10" s="205"/>
      <c r="E10" s="34"/>
      <c r="F10" s="205"/>
      <c r="G10" s="34"/>
      <c r="H10" s="205"/>
      <c r="I10" s="34"/>
      <c r="J10" s="205"/>
      <c r="K10" s="34"/>
      <c r="L10" s="205"/>
      <c r="M10" s="34"/>
      <c r="N10" s="205"/>
      <c r="O10" s="205"/>
      <c r="P10" s="34"/>
      <c r="Q10" s="205"/>
      <c r="R10" s="34"/>
      <c r="S10" s="205"/>
    </row>
    <row r="11" spans="2:29" ht="17" thickBot="1">
      <c r="B11" s="153"/>
      <c r="C11" s="277"/>
      <c r="D11" s="277"/>
      <c r="E11" s="277"/>
      <c r="F11" s="277"/>
      <c r="G11" s="277"/>
      <c r="H11" s="277"/>
      <c r="I11" s="277"/>
      <c r="J11" s="277"/>
      <c r="K11" s="277"/>
      <c r="L11" s="277"/>
      <c r="M11" s="277"/>
      <c r="N11" s="277"/>
      <c r="O11" s="277"/>
      <c r="P11" s="277"/>
      <c r="Q11" s="277"/>
      <c r="R11" s="277"/>
      <c r="S11" s="153"/>
    </row>
    <row r="12" spans="2:29" ht="18" thickTop="1" thickBot="1">
      <c r="B12" s="109"/>
      <c r="C12" s="1353" t="s">
        <v>39</v>
      </c>
      <c r="D12" s="1354"/>
      <c r="E12" s="1357" t="s">
        <v>40</v>
      </c>
      <c r="F12" s="1358"/>
      <c r="G12" s="1359"/>
      <c r="H12" s="1359"/>
      <c r="I12" s="1358"/>
      <c r="J12" s="1358"/>
      <c r="K12" s="1358"/>
      <c r="L12" s="1359" t="s">
        <v>41</v>
      </c>
      <c r="M12" s="1359"/>
      <c r="N12" s="1359"/>
      <c r="O12" s="1360"/>
      <c r="P12" s="1361" t="s">
        <v>42</v>
      </c>
      <c r="Q12" s="1361" t="s">
        <v>43</v>
      </c>
      <c r="R12" s="1363"/>
      <c r="S12" s="228"/>
    </row>
    <row r="13" spans="2:29" ht="17" thickBot="1">
      <c r="B13" s="109"/>
      <c r="C13" s="1355"/>
      <c r="D13" s="1356"/>
      <c r="E13" s="1366" t="s">
        <v>44</v>
      </c>
      <c r="F13" s="1367"/>
      <c r="G13" s="1368" t="s">
        <v>77</v>
      </c>
      <c r="H13" s="1369"/>
      <c r="I13" s="242" t="s">
        <v>45</v>
      </c>
      <c r="J13" s="243" t="s">
        <v>46</v>
      </c>
      <c r="K13" s="244" t="s">
        <v>47</v>
      </c>
      <c r="L13" s="245" t="s">
        <v>48</v>
      </c>
      <c r="M13" s="245" t="s">
        <v>49</v>
      </c>
      <c r="N13" s="245" t="s">
        <v>50</v>
      </c>
      <c r="O13" s="246" t="s">
        <v>51</v>
      </c>
      <c r="P13" s="1362"/>
      <c r="Q13" s="1364"/>
      <c r="R13" s="1365"/>
      <c r="S13" s="228"/>
      <c r="T13" s="56"/>
      <c r="U13" s="56"/>
      <c r="V13" s="56"/>
    </row>
    <row r="14" spans="2:29" s="57" customFormat="1" ht="17" thickBot="1">
      <c r="B14" s="278"/>
      <c r="C14" s="1329" t="s">
        <v>40</v>
      </c>
      <c r="D14" s="226" t="s">
        <v>5</v>
      </c>
      <c r="E14" s="1332">
        <f>记录仪!$D$11</f>
        <v>2.04</v>
      </c>
      <c r="F14" s="1333"/>
      <c r="G14" s="239"/>
      <c r="H14" s="239"/>
      <c r="I14" s="240"/>
      <c r="J14" s="59"/>
      <c r="K14" s="241"/>
      <c r="L14" s="239"/>
      <c r="M14" s="239"/>
      <c r="N14" s="239"/>
      <c r="O14" s="239"/>
      <c r="P14" s="240"/>
      <c r="Q14" s="266" t="s">
        <v>52</v>
      </c>
      <c r="R14" s="272" t="s">
        <v>53</v>
      </c>
      <c r="S14" s="228"/>
    </row>
    <row r="15" spans="2:29" s="57" customFormat="1" ht="17" thickBot="1">
      <c r="B15" s="278"/>
      <c r="C15" s="1330"/>
      <c r="D15" s="58" t="s">
        <v>54</v>
      </c>
      <c r="E15" s="1334" t="e">
        <f>记录仪!$D$18</f>
        <v>#N/A</v>
      </c>
      <c r="F15" s="1335"/>
      <c r="G15" s="239"/>
      <c r="H15" s="239"/>
      <c r="I15" s="240"/>
      <c r="J15" s="59"/>
      <c r="K15" s="60"/>
      <c r="L15" s="239"/>
      <c r="M15" s="239"/>
      <c r="N15" s="239"/>
      <c r="O15" s="239"/>
      <c r="P15" s="240"/>
      <c r="Q15" s="61" t="e">
        <f>(J25-J18-J16)/J24</f>
        <v>#N/A</v>
      </c>
      <c r="R15" s="273">
        <f>E26/100</f>
        <v>1.1878973697903477E-2</v>
      </c>
      <c r="S15" s="228"/>
      <c r="U15" s="106"/>
      <c r="V15" s="107"/>
      <c r="W15" s="107"/>
      <c r="X15" s="108"/>
      <c r="Z15" s="106"/>
      <c r="AA15" s="107"/>
      <c r="AB15" s="107"/>
      <c r="AC15" s="108"/>
    </row>
    <row r="16" spans="2:29" s="57" customFormat="1" ht="17" thickBot="1">
      <c r="B16" s="278"/>
      <c r="C16" s="1330"/>
      <c r="D16" s="58" t="s">
        <v>55</v>
      </c>
      <c r="E16" s="62"/>
      <c r="F16" s="240"/>
      <c r="G16" s="239"/>
      <c r="H16" s="239"/>
      <c r="I16" s="240"/>
      <c r="J16" s="247" t="e">
        <f>K16*E15</f>
        <v>#N/A</v>
      </c>
      <c r="K16" s="268" t="e">
        <f>记录仪!$D$22</f>
        <v>#N/A</v>
      </c>
      <c r="L16" s="239"/>
      <c r="M16" s="239"/>
      <c r="N16" s="239"/>
      <c r="O16" s="239"/>
      <c r="P16" s="240"/>
      <c r="Q16" s="63" t="e">
        <f>J24*R15-(J25-J16-J18)</f>
        <v>#N/A</v>
      </c>
      <c r="R16" s="274" t="s">
        <v>91</v>
      </c>
      <c r="S16" s="228"/>
      <c r="U16" s="109"/>
      <c r="V16" s="1323" t="s">
        <v>72</v>
      </c>
      <c r="W16" s="1324"/>
      <c r="X16" s="110"/>
      <c r="Z16" s="109"/>
      <c r="AA16" s="1323" t="s">
        <v>160</v>
      </c>
      <c r="AB16" s="1324"/>
      <c r="AC16" s="110"/>
    </row>
    <row r="17" spans="2:30" s="57" customFormat="1" ht="17" thickBot="1">
      <c r="B17" s="278"/>
      <c r="C17" s="1330"/>
      <c r="D17" s="58" t="s">
        <v>56</v>
      </c>
      <c r="E17" s="62"/>
      <c r="F17" s="240"/>
      <c r="G17" s="239"/>
      <c r="H17" s="239"/>
      <c r="I17" s="240"/>
      <c r="J17" s="247" t="e">
        <f>K17*E15</f>
        <v>#N/A</v>
      </c>
      <c r="K17" s="268" t="e">
        <f>记录仪!$D$24</f>
        <v>#N/A</v>
      </c>
      <c r="L17" s="239"/>
      <c r="M17" s="239"/>
      <c r="N17" s="239"/>
      <c r="O17" s="239"/>
      <c r="P17" s="240"/>
      <c r="Q17" s="240"/>
      <c r="R17" s="275"/>
      <c r="S17" s="228"/>
      <c r="U17" s="109"/>
      <c r="V17" s="111"/>
      <c r="W17" s="111"/>
      <c r="X17" s="110"/>
      <c r="Z17" s="109"/>
      <c r="AA17" s="111"/>
      <c r="AB17" s="111"/>
      <c r="AC17" s="110"/>
    </row>
    <row r="18" spans="2:30" s="57" customFormat="1">
      <c r="B18" s="278"/>
      <c r="C18" s="1330"/>
      <c r="D18" s="58" t="s">
        <v>57</v>
      </c>
      <c r="E18" s="62"/>
      <c r="F18" s="240"/>
      <c r="G18" s="239"/>
      <c r="H18" s="239"/>
      <c r="I18" s="240"/>
      <c r="J18" s="64" t="e">
        <f>记录仪!$D$21</f>
        <v>#N/A</v>
      </c>
      <c r="K18" s="65" t="e">
        <f>J18/E15</f>
        <v>#N/A</v>
      </c>
      <c r="L18" s="239"/>
      <c r="M18" s="239"/>
      <c r="N18" s="239"/>
      <c r="O18" s="239"/>
      <c r="P18" s="239"/>
      <c r="Q18" s="239"/>
      <c r="R18" s="271"/>
      <c r="S18" s="228"/>
      <c r="U18" s="109"/>
      <c r="V18" s="147" t="s">
        <v>73</v>
      </c>
      <c r="W18" s="148">
        <v>2</v>
      </c>
      <c r="X18" s="110"/>
      <c r="Z18" s="109"/>
      <c r="AA18" s="147" t="s">
        <v>158</v>
      </c>
      <c r="AB18" s="148">
        <f>(18+3.6)/10</f>
        <v>2.16</v>
      </c>
      <c r="AC18" s="110"/>
    </row>
    <row r="19" spans="2:30" s="57" customFormat="1">
      <c r="B19" s="278"/>
      <c r="C19" s="1330"/>
      <c r="D19" s="58" t="s">
        <v>58</v>
      </c>
      <c r="E19" s="1336" t="e">
        <f>记录仪!$D$19</f>
        <v>#N/A</v>
      </c>
      <c r="F19" s="1337"/>
      <c r="G19" s="239"/>
      <c r="H19" s="239"/>
      <c r="I19" s="240"/>
      <c r="J19" s="64" t="e">
        <f>记录仪!$D$20</f>
        <v>#N/A</v>
      </c>
      <c r="K19" s="65" t="e">
        <f>J19/E15</f>
        <v>#N/A</v>
      </c>
      <c r="L19" s="239"/>
      <c r="M19" s="248" t="e">
        <f>J19/E19</f>
        <v>#N/A</v>
      </c>
      <c r="N19" s="239"/>
      <c r="O19" s="239"/>
      <c r="P19" s="239"/>
      <c r="Q19" s="239"/>
      <c r="R19" s="276"/>
      <c r="S19" s="228"/>
      <c r="U19" s="109"/>
      <c r="V19" s="149" t="s">
        <v>74</v>
      </c>
      <c r="W19" s="150" t="e">
        <f>K26/MIN(99999999,W18)</f>
        <v>#N/A</v>
      </c>
      <c r="X19" s="110"/>
      <c r="Z19" s="109"/>
      <c r="AA19" s="149" t="s">
        <v>157</v>
      </c>
      <c r="AB19" s="150">
        <v>29396</v>
      </c>
      <c r="AC19" s="110"/>
    </row>
    <row r="20" spans="2:30" s="57" customFormat="1" ht="17" thickBot="1">
      <c r="B20" s="278"/>
      <c r="C20" s="1330"/>
      <c r="D20" s="66" t="s">
        <v>59</v>
      </c>
      <c r="E20" s="133"/>
      <c r="F20" s="133"/>
      <c r="G20" s="133"/>
      <c r="H20" s="133"/>
      <c r="I20" s="133"/>
      <c r="J20" s="267" t="e">
        <f>记录仪!$D$26</f>
        <v>#N/A</v>
      </c>
      <c r="K20" s="67" t="e">
        <f>J20/E15</f>
        <v>#N/A</v>
      </c>
      <c r="L20" s="239"/>
      <c r="M20" s="239"/>
      <c r="N20" s="239"/>
      <c r="O20" s="239"/>
      <c r="P20" s="239"/>
      <c r="Q20" s="239"/>
      <c r="R20" s="276"/>
      <c r="S20" s="228"/>
      <c r="U20" s="109"/>
      <c r="V20" s="151" t="s">
        <v>75</v>
      </c>
      <c r="W20" s="152">
        <f>MIN(0,(I26-1))/(MIN(99999999,W18)-1)</f>
        <v>0</v>
      </c>
      <c r="X20" s="110"/>
      <c r="Z20" s="109"/>
      <c r="AA20" s="151" t="s">
        <v>159</v>
      </c>
      <c r="AB20" s="152">
        <f>AB19/AB18</f>
        <v>13609.259259259259</v>
      </c>
      <c r="AC20" s="110"/>
    </row>
    <row r="21" spans="2:30" s="57" customFormat="1">
      <c r="B21" s="278"/>
      <c r="C21" s="1330"/>
      <c r="D21" s="66" t="s">
        <v>60</v>
      </c>
      <c r="E21" s="133"/>
      <c r="F21" s="133"/>
      <c r="G21" s="133"/>
      <c r="H21" s="133"/>
      <c r="I21" s="133"/>
      <c r="J21" s="267" t="e">
        <f>记录仪!$D$27</f>
        <v>#N/A</v>
      </c>
      <c r="K21" s="67" t="e">
        <f>J21/E15</f>
        <v>#N/A</v>
      </c>
      <c r="L21" s="239"/>
      <c r="M21" s="239"/>
      <c r="N21" s="239"/>
      <c r="O21" s="239"/>
      <c r="P21" s="239"/>
      <c r="Q21" s="239"/>
      <c r="R21" s="276"/>
      <c r="S21" s="228"/>
      <c r="U21" s="109"/>
      <c r="V21" s="153"/>
      <c r="W21" s="153"/>
      <c r="X21" s="110"/>
      <c r="Z21" s="109"/>
      <c r="AA21" s="153"/>
      <c r="AB21" s="153"/>
      <c r="AC21" s="110"/>
    </row>
    <row r="22" spans="2:30" s="57" customFormat="1">
      <c r="B22" s="278"/>
      <c r="C22" s="1330"/>
      <c r="D22" s="66" t="s">
        <v>92</v>
      </c>
      <c r="E22" s="133"/>
      <c r="F22" s="133"/>
      <c r="G22" s="133"/>
      <c r="H22" s="133"/>
      <c r="I22" s="133"/>
      <c r="J22" s="267" t="e">
        <f>记录仪!$D$28*L22</f>
        <v>#N/A</v>
      </c>
      <c r="K22" s="67" t="e">
        <f>J22/E14</f>
        <v>#N/A</v>
      </c>
      <c r="L22" s="312">
        <v>1</v>
      </c>
      <c r="M22" s="315" t="s">
        <v>212</v>
      </c>
      <c r="N22" s="314"/>
      <c r="O22" s="239"/>
      <c r="P22" s="239"/>
      <c r="Q22" s="239"/>
      <c r="R22" s="276"/>
      <c r="S22" s="228"/>
      <c r="U22" s="28"/>
      <c r="V22" s="30"/>
      <c r="W22" s="30"/>
      <c r="X22" s="28"/>
      <c r="Z22" s="28"/>
      <c r="AA22" s="30"/>
      <c r="AB22" s="30"/>
      <c r="AC22" s="28"/>
      <c r="AD22" s="30"/>
    </row>
    <row r="23" spans="2:30" s="57" customFormat="1">
      <c r="B23" s="278"/>
      <c r="C23" s="1330"/>
      <c r="D23" s="66" t="s">
        <v>61</v>
      </c>
      <c r="E23" s="1338" t="e">
        <f>J25/J24</f>
        <v>#N/A</v>
      </c>
      <c r="F23" s="1338"/>
      <c r="G23" s="133"/>
      <c r="H23" s="133"/>
      <c r="I23" s="133"/>
      <c r="J23" s="68" t="e">
        <f>J20+J21+J22</f>
        <v>#N/A</v>
      </c>
      <c r="K23" s="67" t="e">
        <f>J23/E15</f>
        <v>#N/A</v>
      </c>
      <c r="L23" s="249" t="e">
        <f>J24*R15-(J25-J16-J18)</f>
        <v>#N/A</v>
      </c>
      <c r="M23" s="313"/>
      <c r="N23" s="239"/>
      <c r="O23" s="239"/>
      <c r="P23" s="239"/>
      <c r="Q23" s="239"/>
      <c r="R23" s="276"/>
      <c r="S23" s="228"/>
      <c r="U23" s="28"/>
      <c r="V23" s="30"/>
      <c r="W23" s="30"/>
      <c r="X23" s="28"/>
      <c r="Z23" s="28"/>
      <c r="AA23" s="30"/>
      <c r="AB23" s="30"/>
      <c r="AC23" s="28"/>
      <c r="AD23" s="30"/>
    </row>
    <row r="24" spans="2:30" s="57" customFormat="1">
      <c r="B24" s="278"/>
      <c r="C24" s="1330"/>
      <c r="D24" s="58" t="s">
        <v>62</v>
      </c>
      <c r="E24" s="69"/>
      <c r="F24" s="136"/>
      <c r="G24" s="239"/>
      <c r="H24" s="239"/>
      <c r="I24" s="240"/>
      <c r="J24" s="70" t="e">
        <f>J19+J18+J16+J17-J23</f>
        <v>#N/A</v>
      </c>
      <c r="K24" s="65" t="e">
        <f>J24/E15</f>
        <v>#N/A</v>
      </c>
      <c r="L24" s="239"/>
      <c r="M24" s="239"/>
      <c r="N24" s="239"/>
      <c r="O24" s="239"/>
      <c r="P24" s="136" t="s">
        <v>63</v>
      </c>
      <c r="Q24" s="239"/>
      <c r="R24" s="276"/>
      <c r="S24" s="228"/>
      <c r="U24" s="30"/>
      <c r="V24" s="30"/>
      <c r="W24" s="30"/>
      <c r="X24" s="30"/>
      <c r="Z24" s="30"/>
      <c r="AA24" s="30"/>
      <c r="AB24" s="30"/>
      <c r="AC24" s="30"/>
      <c r="AD24" s="30"/>
    </row>
    <row r="25" spans="2:30" s="57" customFormat="1" ht="17" thickBot="1">
      <c r="B25" s="278"/>
      <c r="C25" s="1331"/>
      <c r="D25" s="71" t="s">
        <v>64</v>
      </c>
      <c r="E25" s="72"/>
      <c r="F25" s="73"/>
      <c r="G25" s="74"/>
      <c r="H25" s="74"/>
      <c r="I25" s="75"/>
      <c r="J25" s="76" t="e">
        <f>J19+J18+J16+J17</f>
        <v>#N/A</v>
      </c>
      <c r="K25" s="77" t="e">
        <f>J25/E15</f>
        <v>#N/A</v>
      </c>
      <c r="L25" s="239"/>
      <c r="M25" s="239"/>
      <c r="N25" s="239"/>
      <c r="O25" s="239"/>
      <c r="P25" s="136" t="e">
        <f>L26-L29</f>
        <v>#N/A</v>
      </c>
      <c r="Q25" s="239"/>
      <c r="R25" s="276"/>
      <c r="S25" s="228"/>
      <c r="Z25" s="30"/>
      <c r="AA25" s="30"/>
      <c r="AB25" s="30"/>
      <c r="AC25" s="30"/>
      <c r="AD25" s="30"/>
    </row>
    <row r="26" spans="2:30" s="57" customFormat="1" ht="17" customHeight="1" thickBot="1">
      <c r="B26" s="278"/>
      <c r="C26" s="261"/>
      <c r="D26" s="80" t="s">
        <v>90</v>
      </c>
      <c r="E26" s="833">
        <f>记录仪!$D$16</f>
        <v>1.1878973697903477</v>
      </c>
      <c r="F26" s="834">
        <f>E26</f>
        <v>1.1878973697903477</v>
      </c>
      <c r="G26" s="835">
        <f>ABS(F26)/MAX(0.001,1-ABS(F26))</f>
        <v>1187.8973697903477</v>
      </c>
      <c r="H26" s="836">
        <f>G26/SUM($G$26:$G$27)</f>
        <v>0.99951779801475116</v>
      </c>
      <c r="I26" s="837">
        <f>F26*H26</f>
        <v>1.1873245633203628</v>
      </c>
      <c r="J26" s="81" t="e">
        <f>($J$25-$M$6-$J$23)*I26/100</f>
        <v>#N/A</v>
      </c>
      <c r="K26" s="82" t="e">
        <f>J26/$E$15</f>
        <v>#N/A</v>
      </c>
      <c r="L26" s="83" t="e">
        <f t="shared" ref="L26" si="0">J26-$J$17</f>
        <v>#N/A</v>
      </c>
      <c r="M26" s="78" t="e">
        <f t="shared" ref="M26" si="1">L26/$E$19</f>
        <v>#N/A</v>
      </c>
      <c r="N26" s="79" t="e">
        <f t="shared" ref="N26" si="2">K26-$K$17</f>
        <v>#N/A</v>
      </c>
      <c r="O26" s="84" t="e">
        <f>N26/MAX(0.01,$K$17)*100</f>
        <v>#N/A</v>
      </c>
      <c r="P26" s="85">
        <v>1</v>
      </c>
      <c r="Q26" s="86" t="s">
        <v>65</v>
      </c>
      <c r="R26" s="1322" t="s">
        <v>66</v>
      </c>
      <c r="S26" s="228"/>
    </row>
    <row r="27" spans="2:30" s="57" customFormat="1" ht="17" customHeight="1" thickBot="1">
      <c r="B27" s="278"/>
      <c r="C27" s="1325" t="s">
        <v>487</v>
      </c>
      <c r="D27" s="1317"/>
      <c r="E27" s="1326">
        <f>总指挥室!J5</f>
        <v>0.36430555811086784</v>
      </c>
      <c r="F27" s="1327"/>
      <c r="G27" s="838">
        <f>E27/(1-E27)</f>
        <v>0.57308281165435182</v>
      </c>
      <c r="H27" s="839">
        <f>G27/SUM($G$26:$G$27)</f>
        <v>4.8220198524890647E-4</v>
      </c>
      <c r="I27" s="840">
        <f>E27*H27</f>
        <v>1.7566886335827132E-4</v>
      </c>
      <c r="J27" s="87" t="e">
        <f>($J$25-$M$6-$J$23)*I27/100</f>
        <v>#N/A</v>
      </c>
      <c r="K27" s="88" t="e">
        <f>J27/$E$15</f>
        <v>#N/A</v>
      </c>
      <c r="L27" s="89" t="e">
        <f>J27-$J$19</f>
        <v>#N/A</v>
      </c>
      <c r="M27" s="90" t="e">
        <f>L27/$E$19</f>
        <v>#N/A</v>
      </c>
      <c r="N27" s="91" t="e">
        <f>L27/$E$15</f>
        <v>#N/A</v>
      </c>
      <c r="O27" s="92" t="e">
        <f>N27/MAX($K$19,0.1)*100</f>
        <v>#N/A</v>
      </c>
      <c r="P27" s="93">
        <v>2</v>
      </c>
      <c r="Q27" s="94" t="s">
        <v>67</v>
      </c>
      <c r="R27" s="1322"/>
      <c r="S27" s="228"/>
    </row>
    <row r="28" spans="2:30" s="57" customFormat="1" ht="19" customHeight="1" thickBot="1">
      <c r="B28" s="278"/>
      <c r="C28" s="1328" t="s">
        <v>68</v>
      </c>
      <c r="D28" s="1328"/>
      <c r="E28" s="95"/>
      <c r="F28" s="250"/>
      <c r="G28" s="251"/>
      <c r="H28" s="251"/>
      <c r="I28" s="251"/>
      <c r="J28" s="97" t="e">
        <f>$J$25-J26-J27</f>
        <v>#N/A</v>
      </c>
      <c r="K28" s="96"/>
      <c r="L28" s="252"/>
      <c r="M28" s="253"/>
      <c r="N28" s="254"/>
      <c r="O28" s="255"/>
      <c r="P28" s="256"/>
      <c r="Q28" s="257"/>
      <c r="R28" s="271"/>
      <c r="S28" s="228"/>
    </row>
    <row r="29" spans="2:30" s="57" customFormat="1" ht="17" thickBot="1">
      <c r="B29" s="278"/>
      <c r="C29" s="1317" t="s">
        <v>55</v>
      </c>
      <c r="D29" s="1317"/>
      <c r="E29" s="98"/>
      <c r="F29" s="258"/>
      <c r="G29" s="258"/>
      <c r="H29" s="258"/>
      <c r="I29" s="258"/>
      <c r="J29" s="87" t="e">
        <f>J28-$M$6-$J$23*$N$6/100</f>
        <v>#N/A</v>
      </c>
      <c r="K29" s="99" t="e">
        <f>J29/$E$15</f>
        <v>#N/A</v>
      </c>
      <c r="L29" s="100" t="e">
        <f>J16-J29</f>
        <v>#N/A</v>
      </c>
      <c r="M29" s="100" t="e">
        <f>L29/E19</f>
        <v>#N/A</v>
      </c>
      <c r="N29" s="101" t="e">
        <f>L29/E15</f>
        <v>#N/A</v>
      </c>
      <c r="O29" s="102" t="e">
        <f>J16/J29*100</f>
        <v>#N/A</v>
      </c>
      <c r="P29" s="103">
        <v>3</v>
      </c>
      <c r="Q29" s="104" t="s">
        <v>69</v>
      </c>
      <c r="R29" s="1318" t="s">
        <v>70</v>
      </c>
      <c r="S29" s="228"/>
    </row>
    <row r="30" spans="2:30" s="57" customFormat="1" ht="17" thickBot="1">
      <c r="B30" s="278"/>
      <c r="C30" s="1320" t="s">
        <v>57</v>
      </c>
      <c r="D30" s="1321"/>
      <c r="E30" s="279"/>
      <c r="F30" s="280"/>
      <c r="G30" s="280"/>
      <c r="H30" s="280"/>
      <c r="I30" s="280"/>
      <c r="J30" s="281" t="e">
        <f>$M$6+$J$23*$N$6/100</f>
        <v>#N/A</v>
      </c>
      <c r="K30" s="282" t="e">
        <f>J30/$E$15</f>
        <v>#N/A</v>
      </c>
      <c r="L30" s="283" t="e">
        <f>J18-J30</f>
        <v>#N/A</v>
      </c>
      <c r="M30" s="283" t="e">
        <f>L30/E19</f>
        <v>#N/A</v>
      </c>
      <c r="N30" s="284" t="e">
        <f>L30/E15</f>
        <v>#N/A</v>
      </c>
      <c r="O30" s="285" t="e">
        <f>J18/J30*100</f>
        <v>#N/A</v>
      </c>
      <c r="P30" s="286">
        <v>4</v>
      </c>
      <c r="Q30" s="287" t="s">
        <v>71</v>
      </c>
      <c r="R30" s="1319"/>
      <c r="S30" s="228"/>
    </row>
    <row r="31" spans="2:30" ht="17" thickTop="1">
      <c r="B31" s="153"/>
      <c r="C31" s="105"/>
      <c r="D31" s="105"/>
      <c r="E31" s="116"/>
      <c r="F31" s="116"/>
      <c r="G31" s="116"/>
      <c r="H31" s="116"/>
      <c r="I31" s="116"/>
      <c r="J31" s="116"/>
      <c r="K31" s="116"/>
      <c r="L31" s="270"/>
      <c r="M31" s="270"/>
      <c r="N31" s="270"/>
      <c r="O31" s="270"/>
      <c r="P31" s="116"/>
      <c r="Q31" s="116"/>
      <c r="R31" s="116"/>
      <c r="S31" s="153"/>
    </row>
    <row r="32" spans="2:30">
      <c r="B32" s="153"/>
      <c r="C32" s="113"/>
      <c r="D32" s="113"/>
      <c r="E32" s="269"/>
      <c r="F32" s="269"/>
      <c r="G32" s="269"/>
      <c r="H32" s="269"/>
      <c r="I32" s="269"/>
      <c r="J32" s="116"/>
      <c r="K32" s="116"/>
      <c r="L32" s="116"/>
      <c r="M32" s="116"/>
      <c r="N32" s="116"/>
      <c r="O32" s="116"/>
      <c r="P32" s="116"/>
      <c r="Q32" s="116"/>
      <c r="R32" s="116"/>
      <c r="S32" s="153"/>
    </row>
    <row r="33" spans="2:19">
      <c r="B33" s="153"/>
      <c r="C33" s="116"/>
      <c r="D33" s="116"/>
      <c r="E33" s="116"/>
      <c r="F33" s="116"/>
      <c r="G33" s="116"/>
      <c r="H33" s="116"/>
      <c r="I33" s="116"/>
      <c r="J33" s="116"/>
      <c r="K33" s="116"/>
      <c r="L33" s="116"/>
      <c r="M33" s="116"/>
      <c r="N33" s="116"/>
      <c r="O33" s="116"/>
      <c r="P33" s="116"/>
      <c r="Q33" s="116"/>
      <c r="R33" s="116"/>
      <c r="S33" s="153"/>
    </row>
    <row r="34" spans="2:19">
      <c r="B34" s="153"/>
      <c r="C34" s="113"/>
      <c r="D34" s="113"/>
      <c r="E34" s="116"/>
      <c r="F34" s="116"/>
      <c r="G34" s="116"/>
      <c r="H34" s="116"/>
      <c r="I34" s="116"/>
      <c r="J34" s="116"/>
      <c r="K34" s="116"/>
      <c r="L34" s="116"/>
      <c r="M34" s="116"/>
      <c r="N34" s="116"/>
      <c r="O34" s="116"/>
      <c r="P34" s="116"/>
      <c r="Q34" s="116"/>
      <c r="R34" s="116"/>
      <c r="S34" s="153"/>
    </row>
    <row r="35" spans="2:19">
      <c r="B35" s="153"/>
      <c r="C35" s="116"/>
      <c r="D35" s="116"/>
      <c r="E35" s="116"/>
      <c r="F35" s="116"/>
      <c r="G35" s="116"/>
      <c r="H35" s="116"/>
      <c r="I35" s="116"/>
      <c r="J35" s="116"/>
      <c r="K35" s="116"/>
      <c r="L35" s="116"/>
      <c r="M35" s="116"/>
      <c r="N35" s="116"/>
      <c r="O35" s="116"/>
      <c r="P35" s="116"/>
      <c r="Q35" s="116"/>
      <c r="R35" s="116"/>
      <c r="S35" s="153"/>
    </row>
    <row r="36" spans="2:19">
      <c r="B36" s="153"/>
      <c r="C36" s="113"/>
      <c r="D36" s="113"/>
      <c r="E36" s="116"/>
      <c r="F36" s="116"/>
      <c r="G36" s="116"/>
      <c r="H36" s="116"/>
      <c r="I36" s="116"/>
      <c r="J36" s="116"/>
      <c r="K36" s="116"/>
      <c r="L36" s="116"/>
      <c r="M36" s="116"/>
      <c r="N36" s="116"/>
      <c r="O36" s="116"/>
      <c r="P36" s="116"/>
      <c r="Q36" s="116"/>
      <c r="R36" s="116"/>
      <c r="S36" s="153"/>
    </row>
    <row r="37" spans="2:19">
      <c r="B37" s="153"/>
      <c r="C37" s="116"/>
      <c r="D37" s="116"/>
      <c r="E37" s="116"/>
      <c r="F37" s="116"/>
      <c r="G37" s="116"/>
      <c r="H37" s="116"/>
      <c r="I37" s="116"/>
      <c r="J37" s="116"/>
      <c r="K37" s="116"/>
      <c r="L37" s="116"/>
      <c r="M37" s="116"/>
      <c r="N37" s="116"/>
      <c r="O37" s="116"/>
      <c r="P37" s="116"/>
      <c r="Q37" s="116"/>
      <c r="R37" s="116"/>
      <c r="S37" s="153"/>
    </row>
    <row r="38" spans="2:19">
      <c r="B38" s="153"/>
      <c r="C38" s="113"/>
      <c r="D38" s="113"/>
      <c r="E38" s="116"/>
      <c r="F38" s="116"/>
      <c r="G38" s="116"/>
      <c r="H38" s="116"/>
      <c r="I38" s="116"/>
      <c r="J38" s="116"/>
      <c r="K38" s="116"/>
      <c r="L38" s="116"/>
      <c r="M38" s="116"/>
      <c r="N38" s="116"/>
      <c r="O38" s="116"/>
      <c r="P38" s="116"/>
      <c r="Q38" s="116"/>
      <c r="R38" s="116"/>
      <c r="S38" s="153"/>
    </row>
    <row r="39" spans="2:19">
      <c r="B39" s="153"/>
      <c r="C39" s="116"/>
      <c r="D39" s="116"/>
      <c r="E39" s="116"/>
      <c r="F39" s="116"/>
      <c r="G39" s="116"/>
      <c r="H39" s="116"/>
      <c r="I39" s="116"/>
      <c r="J39" s="116"/>
      <c r="K39" s="116"/>
      <c r="L39" s="116"/>
      <c r="M39" s="116"/>
      <c r="N39" s="116"/>
      <c r="O39" s="116"/>
      <c r="P39" s="116"/>
      <c r="Q39" s="116"/>
      <c r="R39" s="116"/>
      <c r="S39" s="153"/>
    </row>
    <row r="40" spans="2:19">
      <c r="B40" s="153"/>
      <c r="C40" s="113"/>
      <c r="D40" s="113"/>
      <c r="E40" s="116"/>
      <c r="F40" s="116"/>
      <c r="G40" s="116"/>
      <c r="H40" s="116"/>
      <c r="I40" s="116"/>
      <c r="J40" s="116"/>
      <c r="K40" s="116"/>
      <c r="L40" s="116"/>
      <c r="M40" s="116"/>
      <c r="N40" s="116"/>
      <c r="O40" s="116"/>
      <c r="P40" s="116"/>
      <c r="Q40" s="116"/>
      <c r="R40" s="116"/>
      <c r="S40" s="153"/>
    </row>
    <row r="41" spans="2:19">
      <c r="B41" s="153"/>
      <c r="C41" s="116"/>
      <c r="D41" s="116"/>
      <c r="E41" s="116"/>
      <c r="F41" s="116"/>
      <c r="G41" s="116"/>
      <c r="H41" s="116"/>
      <c r="I41" s="116"/>
      <c r="J41" s="116"/>
      <c r="K41" s="116"/>
      <c r="L41" s="116"/>
      <c r="M41" s="116"/>
      <c r="N41" s="116"/>
      <c r="O41" s="116"/>
      <c r="P41" s="116"/>
      <c r="Q41" s="116"/>
      <c r="R41" s="116"/>
      <c r="S41" s="153"/>
    </row>
    <row r="42" spans="2:19">
      <c r="B42" s="153"/>
      <c r="C42" s="113"/>
      <c r="D42" s="113"/>
      <c r="E42" s="116"/>
      <c r="F42" s="116"/>
      <c r="G42" s="116"/>
      <c r="H42" s="116"/>
      <c r="I42" s="116"/>
      <c r="J42" s="116"/>
      <c r="K42" s="116"/>
      <c r="L42" s="116"/>
      <c r="M42" s="116"/>
      <c r="N42" s="116"/>
      <c r="O42" s="116"/>
      <c r="P42" s="116"/>
      <c r="Q42" s="116"/>
      <c r="R42" s="116"/>
      <c r="S42" s="153"/>
    </row>
    <row r="43" spans="2:19">
      <c r="B43" s="153"/>
      <c r="C43" s="116"/>
      <c r="D43" s="116"/>
      <c r="E43" s="116"/>
      <c r="F43" s="116"/>
      <c r="G43" s="116"/>
      <c r="H43" s="116"/>
      <c r="I43" s="116"/>
      <c r="J43" s="116"/>
      <c r="K43" s="116"/>
      <c r="L43" s="116"/>
      <c r="M43" s="116"/>
      <c r="N43" s="116"/>
      <c r="O43" s="116"/>
      <c r="P43" s="116"/>
      <c r="Q43" s="116"/>
      <c r="R43" s="116"/>
      <c r="S43" s="153"/>
    </row>
    <row r="44" spans="2:19">
      <c r="B44" s="153"/>
      <c r="C44" s="187"/>
      <c r="D44" s="113"/>
      <c r="E44" s="116"/>
      <c r="F44" s="116"/>
      <c r="G44" s="116"/>
      <c r="H44" s="116"/>
      <c r="I44" s="116"/>
      <c r="J44" s="116"/>
      <c r="K44" s="116"/>
      <c r="L44" s="116"/>
      <c r="M44" s="116"/>
      <c r="N44" s="116"/>
      <c r="O44" s="116"/>
      <c r="P44" s="116"/>
      <c r="Q44" s="116"/>
      <c r="R44" s="116"/>
      <c r="S44" s="153"/>
    </row>
    <row r="45" spans="2:19">
      <c r="B45" s="187"/>
      <c r="C45" s="109"/>
      <c r="D45" s="259"/>
      <c r="E45" s="109"/>
      <c r="F45" s="109"/>
      <c r="G45" s="109"/>
      <c r="H45" s="109"/>
      <c r="I45" s="109"/>
      <c r="J45" s="109"/>
      <c r="K45" s="109"/>
      <c r="L45" s="109"/>
      <c r="M45" s="109"/>
      <c r="N45" s="109"/>
      <c r="O45" s="109"/>
      <c r="P45" s="109"/>
      <c r="Q45" s="109"/>
      <c r="R45" s="109"/>
      <c r="S45" s="187"/>
    </row>
    <row r="46" spans="2:19">
      <c r="B46" s="224"/>
      <c r="C46" s="259"/>
      <c r="D46" s="113"/>
      <c r="E46" s="259"/>
      <c r="F46" s="259"/>
      <c r="G46" s="259"/>
      <c r="H46" s="259"/>
      <c r="I46" s="259"/>
      <c r="J46" s="259"/>
      <c r="K46" s="259"/>
      <c r="L46" s="259"/>
      <c r="M46" s="259"/>
      <c r="N46" s="259"/>
      <c r="O46" s="259"/>
      <c r="P46" s="259"/>
      <c r="Q46" s="259"/>
      <c r="R46" s="259"/>
      <c r="S46" s="224"/>
    </row>
    <row r="47" spans="2:19">
      <c r="I47" s="28"/>
      <c r="J47" s="28"/>
      <c r="K47" s="27"/>
      <c r="L47" s="28"/>
      <c r="M47" s="28"/>
      <c r="N47" s="28"/>
      <c r="O47" s="28"/>
      <c r="P47" s="28"/>
      <c r="Q47" s="28"/>
      <c r="R47" s="28"/>
    </row>
    <row r="48" spans="2:19">
      <c r="I48" s="28"/>
      <c r="J48" s="28"/>
      <c r="K48" s="27"/>
      <c r="L48" s="28"/>
      <c r="M48" s="28"/>
      <c r="N48" s="28"/>
      <c r="O48" s="28"/>
      <c r="P48" s="28"/>
      <c r="Q48" s="28"/>
      <c r="R48" s="28"/>
    </row>
    <row r="49" spans="9:18">
      <c r="I49" s="28"/>
      <c r="J49" s="30"/>
      <c r="K49" s="30"/>
      <c r="L49" s="30"/>
      <c r="M49" s="30"/>
      <c r="N49" s="30"/>
      <c r="O49" s="30"/>
      <c r="P49" s="30"/>
      <c r="Q49" s="30"/>
      <c r="R49" s="28"/>
    </row>
    <row r="50" spans="9:18">
      <c r="I50" s="28"/>
      <c r="J50" s="30"/>
      <c r="K50" s="30"/>
      <c r="L50" s="30"/>
      <c r="M50" s="30"/>
      <c r="N50" s="30"/>
      <c r="O50" s="30"/>
      <c r="P50" s="30"/>
      <c r="Q50" s="30"/>
      <c r="R50" s="28"/>
    </row>
    <row r="51" spans="9:18">
      <c r="I51" s="28"/>
      <c r="J51" s="28"/>
      <c r="K51" s="28"/>
      <c r="L51" s="28"/>
      <c r="M51" s="28"/>
      <c r="N51" s="28"/>
      <c r="O51" s="28"/>
      <c r="P51" s="28"/>
      <c r="Q51" s="28"/>
      <c r="R51" s="28"/>
    </row>
    <row r="52" spans="9:18">
      <c r="I52" s="28"/>
      <c r="J52" s="28"/>
      <c r="K52" s="28"/>
      <c r="L52" s="28"/>
      <c r="M52" s="28"/>
      <c r="N52" s="28"/>
      <c r="O52" s="28"/>
      <c r="P52" s="28"/>
      <c r="Q52" s="28"/>
      <c r="R52" s="28"/>
    </row>
    <row r="53" spans="9:18">
      <c r="I53" s="28"/>
      <c r="J53" s="28"/>
      <c r="K53" s="28"/>
      <c r="L53" s="28"/>
      <c r="M53" s="28"/>
      <c r="N53" s="28"/>
      <c r="O53" s="28"/>
      <c r="P53" s="28"/>
      <c r="Q53" s="28"/>
      <c r="R53" s="28"/>
    </row>
    <row r="54" spans="9:18">
      <c r="I54" s="28"/>
      <c r="J54" s="28"/>
      <c r="K54" s="28"/>
      <c r="L54" s="28"/>
      <c r="M54" s="28"/>
      <c r="N54" s="28"/>
      <c r="O54" s="28"/>
      <c r="P54" s="28"/>
      <c r="Q54" s="28"/>
      <c r="R54" s="28"/>
    </row>
    <row r="55" spans="9:18">
      <c r="I55" s="28"/>
      <c r="J55" s="28"/>
      <c r="K55" s="28"/>
      <c r="L55" s="28"/>
      <c r="M55" s="28"/>
      <c r="N55" s="28"/>
      <c r="O55" s="28"/>
      <c r="P55" s="28"/>
      <c r="Q55" s="28"/>
      <c r="R55" s="28"/>
    </row>
    <row r="56" spans="9:18">
      <c r="I56" s="28"/>
      <c r="J56" s="28"/>
      <c r="K56" s="28"/>
      <c r="L56" s="28"/>
      <c r="M56" s="28"/>
      <c r="N56" s="28"/>
      <c r="O56" s="28"/>
      <c r="P56" s="28"/>
      <c r="Q56" s="28"/>
      <c r="R56" s="28"/>
    </row>
    <row r="61" spans="9:18">
      <c r="I61" s="4"/>
      <c r="J61" s="4"/>
    </row>
    <row r="62" spans="9:18">
      <c r="I62" s="4"/>
      <c r="J62" s="4"/>
    </row>
  </sheetData>
  <dataConsolidate/>
  <mergeCells count="29">
    <mergeCell ref="AA16:AB16"/>
    <mergeCell ref="C8:D9"/>
    <mergeCell ref="E8:F8"/>
    <mergeCell ref="E9:F9"/>
    <mergeCell ref="C3:R3"/>
    <mergeCell ref="C5:D6"/>
    <mergeCell ref="E5:F5"/>
    <mergeCell ref="E6:F6"/>
    <mergeCell ref="C12:D13"/>
    <mergeCell ref="E12:K12"/>
    <mergeCell ref="L12:O12"/>
    <mergeCell ref="P12:P13"/>
    <mergeCell ref="Q12:R13"/>
    <mergeCell ref="E13:F13"/>
    <mergeCell ref="G13:H13"/>
    <mergeCell ref="R5:R6"/>
    <mergeCell ref="C29:D29"/>
    <mergeCell ref="R29:R30"/>
    <mergeCell ref="C30:D30"/>
    <mergeCell ref="R26:R27"/>
    <mergeCell ref="V16:W16"/>
    <mergeCell ref="C27:D27"/>
    <mergeCell ref="E27:F27"/>
    <mergeCell ref="C28:D28"/>
    <mergeCell ref="C14:C25"/>
    <mergeCell ref="E14:F14"/>
    <mergeCell ref="E15:F15"/>
    <mergeCell ref="E19:F19"/>
    <mergeCell ref="E23:F23"/>
  </mergeCells>
  <phoneticPr fontId="2" type="noConversion"/>
  <conditionalFormatting sqref="L26:O30">
    <cfRule type="colorScale" priority="15">
      <colorScale>
        <cfvo type="num" val="0"/>
        <cfvo type="num" val="0"/>
        <color theme="9" tint="0.59999389629810485"/>
        <color theme="5" tint="0.59999389629810485"/>
      </colorScale>
    </cfRule>
  </conditionalFormatting>
  <conditionalFormatting sqref="L30:M30">
    <cfRule type="colorScale" priority="14">
      <colorScale>
        <cfvo type="num" val="0"/>
        <cfvo type="num" val="0"/>
        <color theme="5" tint="0.59999389629810485"/>
        <color theme="9" tint="0.59999389629810485"/>
      </colorScale>
    </cfRule>
  </conditionalFormatting>
  <conditionalFormatting sqref="L29:M29">
    <cfRule type="colorScale" priority="13">
      <colorScale>
        <cfvo type="num" val="0"/>
        <cfvo type="num" val="0"/>
        <color theme="5" tint="0.59999389629810485"/>
        <color theme="9" tint="0.59999389629810485"/>
      </colorScale>
    </cfRule>
  </conditionalFormatting>
  <conditionalFormatting sqref="L23">
    <cfRule type="colorScale" priority="12">
      <colorScale>
        <cfvo type="num" val="0"/>
        <cfvo type="num" val="0"/>
        <color theme="1"/>
        <color theme="0"/>
      </colorScale>
    </cfRule>
  </conditionalFormatting>
  <conditionalFormatting sqref="Q16">
    <cfRule type="colorScale" priority="10">
      <colorScale>
        <cfvo type="num" val="0"/>
        <cfvo type="num" val="0"/>
        <color theme="1"/>
        <color theme="0"/>
      </colorScale>
    </cfRule>
  </conditionalFormatting>
  <conditionalFormatting sqref="Q15">
    <cfRule type="iconSet" priority="11">
      <iconSet iconSet="3Arrows" reverse="1">
        <cfvo type="percent" val="0"/>
        <cfvo type="num" val="1" gte="0"/>
        <cfvo type="num" val="1.1858"/>
      </iconSet>
    </cfRule>
  </conditionalFormatting>
  <conditionalFormatting sqref="N29">
    <cfRule type="colorScale" priority="9">
      <colorScale>
        <cfvo type="num" val="0"/>
        <cfvo type="num" val="0"/>
        <color theme="5" tint="0.59999389629810485"/>
        <color theme="9" tint="0.59999389629810485"/>
      </colorScale>
    </cfRule>
  </conditionalFormatting>
  <conditionalFormatting sqref="N30">
    <cfRule type="colorScale" priority="8">
      <colorScale>
        <cfvo type="num" val="0"/>
        <cfvo type="num" val="0"/>
        <color theme="5" tint="0.59999389629810485"/>
        <color theme="9" tint="0.59999389629810485"/>
      </colorScale>
    </cfRule>
  </conditionalFormatting>
  <conditionalFormatting sqref="O29:O30">
    <cfRule type="colorScale" priority="2">
      <colorScale>
        <cfvo type="num" val="100"/>
        <cfvo type="num" val="100"/>
        <color theme="5" tint="0.59999389629810485"/>
        <color theme="9" tint="0.59999389629810485"/>
      </colorScale>
    </cfRule>
  </conditionalFormatting>
  <conditionalFormatting sqref="P25">
    <cfRule type="colorScale" priority="1">
      <colorScale>
        <cfvo type="num" val="0"/>
        <cfvo type="num" val="0"/>
        <color theme="9" tint="0.59999389629810485"/>
        <color theme="5" tint="0.59999389629810485"/>
      </colorScale>
    </cfRule>
  </conditionalFormatting>
  <conditionalFormatting sqref="O29">
    <cfRule type="colorScale" priority="16">
      <colorScale>
        <cfvo type="num" val="80"/>
        <cfvo type="num" val="100"/>
        <cfvo type="num" val="120"/>
        <color theme="5" tint="0.59999389629810485"/>
        <color theme="7" tint="0.59999389629810485"/>
        <color theme="9" tint="0.59999389629810485"/>
      </colorScale>
    </cfRule>
    <cfRule type="iconSet" priority="17">
      <iconSet iconSet="5Arrows" reverse="1">
        <cfvo type="percent" val="0"/>
        <cfvo type="num" val="80"/>
        <cfvo type="num" val="100"/>
        <cfvo type="num" val="100" gte="0"/>
        <cfvo type="num" val="120" gte="0"/>
      </iconSet>
    </cfRule>
  </conditionalFormatting>
  <conditionalFormatting sqref="L30">
    <cfRule type="iconSet" priority="25">
      <iconSet>
        <cfvo type="percent" val="0"/>
        <cfvo type="num" val="-33"/>
        <cfvo type="num" val="0"/>
      </iconSet>
    </cfRule>
  </conditionalFormatting>
  <conditionalFormatting sqref="O30">
    <cfRule type="colorScale" priority="26">
      <colorScale>
        <cfvo type="num" val="100"/>
        <cfvo type="num" val="100"/>
        <color theme="5" tint="0.59999389629810485"/>
        <color theme="9" tint="0.59999389629810485"/>
      </colorScale>
    </cfRule>
    <cfRule type="iconSet" priority="27">
      <iconSet iconSet="3Symbols2">
        <cfvo type="percent" val="0"/>
        <cfvo type="num" val="50"/>
        <cfvo type="num" val="80" gte="0"/>
      </iconSet>
    </cfRule>
    <cfRule type="iconSet" priority="28">
      <iconSet iconSet="3ArrowsGray">
        <cfvo type="percent" val="0"/>
        <cfvo type="percent" val="33"/>
        <cfvo type="percent" val="67"/>
      </iconSet>
    </cfRule>
  </conditionalFormatting>
  <conditionalFormatting sqref="L26">
    <cfRule type="iconSet" priority="34">
      <iconSet>
        <cfvo type="percent" val="0"/>
        <cfvo type="percent" val="33"/>
        <cfvo type="percent" val="67"/>
      </iconSet>
    </cfRule>
  </conditionalFormatting>
  <conditionalFormatting sqref="L27:L28">
    <cfRule type="iconSet" priority="141">
      <iconSet>
        <cfvo type="percent" val="0"/>
        <cfvo type="percent" val="33"/>
        <cfvo type="percent" val="67"/>
      </iconSet>
    </cfRule>
  </conditionalFormatting>
  <hyperlinks>
    <hyperlink ref="D14" r:id="rId1" xr:uid="{94BEF5DB-D903-3340-8FF9-BF33B2F56E2B}"/>
    <hyperlink ref="Q8" r:id="rId2" xr:uid="{B86E7777-D097-6D49-8B22-7BE4167F1592}"/>
    <hyperlink ref="R8" r:id="rId3" xr:uid="{67A0D96A-891B-6840-ADE3-E55C48123988}"/>
    <hyperlink ref="P8" r:id="rId4" xr:uid="{75461629-DE50-0A47-8557-4399605DFC37}"/>
    <hyperlink ref="P5" location="说明!A1" display="目录" xr:uid="{9E2AE5BB-57B2-B745-A997-606EEFED3CDF}"/>
  </hyperlinks>
  <pageMargins left="0.7" right="0.7" top="0.75" bottom="0.75" header="0.3" footer="0.3"/>
  <drawing r:id="rId5"/>
  <picture r:id="rId6"/>
  <extLst>
    <ext xmlns:x14="http://schemas.microsoft.com/office/spreadsheetml/2009/9/main" uri="{78C0D931-6437-407d-A8EE-F0AAD7539E65}">
      <x14:conditionalFormattings>
        <x14:conditionalFormatting xmlns:xm="http://schemas.microsoft.com/office/excel/2006/main">
          <x14:cfRule type="iconSet" priority="18" id="{6FDF2AA6-0D76-E943-B6EC-5BDC2810C9FE}">
            <x14:iconSet custom="1">
              <x14:cfvo type="percent">
                <xm:f>0</xm:f>
              </x14:cfvo>
              <x14:cfvo type="num">
                <xm:f>0</xm:f>
              </x14:cfvo>
              <x14:cfvo type="num" gte="0">
                <xm:f>0</xm:f>
              </x14:cfvo>
              <x14:cfIcon iconSet="3TrafficLights1" iconId="0"/>
              <x14:cfIcon iconSet="NoIcons" iconId="0"/>
              <x14:cfIcon iconSet="3TrafficLights1" iconId="2"/>
            </x14:iconSet>
          </x14:cfRule>
          <x14:cfRule type="iconSet" priority="24" id="{0D570716-ED24-1249-B13C-540CEEE51F90}">
            <x14:iconSet custom="1">
              <x14:cfvo type="percent">
                <xm:f>0</xm:f>
              </x14:cfvo>
              <x14:cfvo type="num">
                <xm:f>0</xm:f>
              </x14:cfvo>
              <x14:cfvo type="num">
                <xm:f>0</xm:f>
              </x14:cfvo>
              <x14:cfIcon iconSet="3TrafficLights1" iconId="0"/>
              <x14:cfIcon iconSet="3TrafficLights1" iconId="0"/>
              <x14:cfIcon iconSet="3TrafficLights1" iconId="2"/>
            </x14:iconSet>
          </x14:cfRule>
          <xm:sqref>L29</xm:sqref>
        </x14:conditionalFormatting>
        <x14:conditionalFormatting xmlns:xm="http://schemas.microsoft.com/office/excel/2006/main">
          <x14:cfRule type="iconSet" priority="29" id="{EC9BE7B0-61EB-3F4E-942D-984C5E47FECD}">
            <x14:iconSet custom="1">
              <x14:cfvo type="percent">
                <xm:f>0</xm:f>
              </x14:cfvo>
              <x14:cfvo type="num">
                <xm:f>0</xm:f>
              </x14:cfvo>
              <x14:cfvo type="num" gte="0">
                <xm:f>0</xm:f>
              </x14:cfvo>
              <x14:cfIcon iconSet="3TrafficLights1" iconId="0"/>
              <x14:cfIcon iconSet="NoIcons" iconId="0"/>
              <x14:cfIcon iconSet="3TrafficLights1" iconId="2"/>
            </x14:iconSet>
          </x14:cfRule>
          <x14:cfRule type="iconSet" priority="30" id="{B7919251-9985-1B4D-9FA4-F956937AC34A}">
            <x14:iconSet custom="1">
              <x14:cfvo type="percent">
                <xm:f>0</xm:f>
              </x14:cfvo>
              <x14:cfvo type="num">
                <xm:f>-10</xm:f>
              </x14:cfvo>
              <x14:cfvo type="num">
                <xm:f>10</xm:f>
              </x14:cfvo>
              <x14:cfIcon iconSet="3TrafficLights1" iconId="0"/>
              <x14:cfIcon iconSet="NoIcons" iconId="0"/>
              <x14:cfIcon iconSet="3TrafficLights1" iconId="2"/>
            </x14:iconSet>
          </x14:cfRule>
          <xm:sqref>L30</xm:sqref>
        </x14:conditionalFormatting>
        <x14:conditionalFormatting xmlns:xm="http://schemas.microsoft.com/office/excel/2006/main">
          <x14:cfRule type="iconSet" priority="37" id="{F4C7B036-779F-6149-B9E5-7CEBC3B41CF0}">
            <x14:iconSet custom="1">
              <x14:cfvo type="percent">
                <xm:f>0</xm:f>
              </x14:cfvo>
              <x14:cfvo type="num">
                <xm:f>0</xm:f>
              </x14:cfvo>
              <x14:cfvo type="num" gte="0">
                <xm:f>0</xm:f>
              </x14:cfvo>
              <x14:cfIcon iconSet="NoIcons" iconId="0"/>
              <x14:cfIcon iconSet="NoIcons" iconId="0"/>
              <x14:cfIcon iconSet="3TrafficLights1" iconId="0"/>
            </x14:iconSet>
          </x14:cfRule>
          <xm:sqref>L26</xm:sqref>
        </x14:conditionalFormatting>
        <x14:conditionalFormatting xmlns:xm="http://schemas.microsoft.com/office/excel/2006/main">
          <x14:cfRule type="iconSet" priority="38" id="{2C6F198B-B317-B741-9C45-C34A3DCE9EDF}">
            <x14:iconSet custom="1">
              <x14:cfvo type="percent">
                <xm:f>0</xm:f>
              </x14:cfvo>
              <x14:cfvo type="num">
                <xm:f>0</xm:f>
              </x14:cfvo>
              <x14:cfvo type="num" gte="0">
                <xm:f>0</xm:f>
              </x14:cfvo>
              <x14:cfIcon iconSet="3TrafficLights1" iconId="2"/>
              <x14:cfIcon iconSet="NoIcons" iconId="0"/>
              <x14:cfIcon iconSet="NoIcons" iconId="0"/>
            </x14:iconSet>
          </x14:cfRule>
          <xm:sqref>N26</xm:sqref>
        </x14:conditionalFormatting>
        <x14:conditionalFormatting xmlns:xm="http://schemas.microsoft.com/office/excel/2006/main">
          <x14:cfRule type="iconSet" priority="39" id="{8CF1CE77-DB64-C647-91D1-F05E4F8FB4B0}">
            <x14:iconSet custom="1">
              <x14:cfvo type="percent">
                <xm:f>0</xm:f>
              </x14:cfvo>
              <x14:cfvo type="num" gte="0">
                <xm:f>-10</xm:f>
              </x14:cfvo>
              <x14:cfvo type="num">
                <xm:f>10</xm:f>
              </x14:cfvo>
              <x14:cfIcon iconSet="3TrafficLights1" iconId="2"/>
              <x14:cfIcon iconSet="NoIcons" iconId="0"/>
              <x14:cfIcon iconSet="3TrafficLights1" iconId="0"/>
            </x14:iconSet>
          </x14:cfRule>
          <xm:sqref>O26</xm:sqref>
        </x14:conditionalFormatting>
        <x14:conditionalFormatting xmlns:xm="http://schemas.microsoft.com/office/excel/2006/main">
          <x14:cfRule type="iconSet" priority="143" id="{3A16C4F8-764C-2044-9A0A-0DE5E08B0125}">
            <x14:iconSet custom="1">
              <x14:cfvo type="percent">
                <xm:f>0</xm:f>
              </x14:cfvo>
              <x14:cfvo type="num" gte="0">
                <xm:f>-10</xm:f>
              </x14:cfvo>
              <x14:cfvo type="num">
                <xm:f>10</xm:f>
              </x14:cfvo>
              <x14:cfIcon iconSet="3TrafficLights1" iconId="2"/>
              <x14:cfIcon iconSet="NoIcons" iconId="0"/>
              <x14:cfIcon iconSet="3TrafficLights1" iconId="0"/>
            </x14:iconSet>
          </x14:cfRule>
          <xm:sqref>O27:O28</xm:sqref>
        </x14:conditionalFormatting>
        <x14:conditionalFormatting xmlns:xm="http://schemas.microsoft.com/office/excel/2006/main">
          <x14:cfRule type="iconSet" priority="145" id="{570FDB6C-1D28-D340-AB73-B5D82E6B63E7}">
            <x14:iconSet custom="1">
              <x14:cfvo type="percent">
                <xm:f>0</xm:f>
              </x14:cfvo>
              <x14:cfvo type="num">
                <xm:f>0</xm:f>
              </x14:cfvo>
              <x14:cfvo type="num" gte="0">
                <xm:f>0</xm:f>
              </x14:cfvo>
              <x14:cfIcon iconSet="NoIcons" iconId="0"/>
              <x14:cfIcon iconSet="NoIcons" iconId="0"/>
              <x14:cfIcon iconSet="3TrafficLights1" iconId="0"/>
            </x14:iconSet>
          </x14:cfRule>
          <xm:sqref>L27:L28</xm:sqref>
        </x14:conditionalFormatting>
        <x14:conditionalFormatting xmlns:xm="http://schemas.microsoft.com/office/excel/2006/main">
          <x14:cfRule type="iconSet" priority="147" id="{77820068-354C-624E-B421-A22B87389793}">
            <x14:iconSet custom="1">
              <x14:cfvo type="percent">
                <xm:f>0</xm:f>
              </x14:cfvo>
              <x14:cfvo type="num">
                <xm:f>0</xm:f>
              </x14:cfvo>
              <x14:cfvo type="num" gte="0">
                <xm:f>0</xm:f>
              </x14:cfvo>
              <x14:cfIcon iconSet="3TrafficLights1" iconId="2"/>
              <x14:cfIcon iconSet="NoIcons" iconId="0"/>
              <x14:cfIcon iconSet="NoIcons" iconId="0"/>
            </x14:iconSet>
          </x14:cfRule>
          <xm:sqref>N27:N28</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5FA4F-0CDB-C347-B49C-70501DF32F67}">
  <dimension ref="A1:GH264"/>
  <sheetViews>
    <sheetView showGridLines="0" topLeftCell="AB3" zoomScale="107" zoomScaleNormal="69" workbookViewId="0">
      <selection activeCell="D5" sqref="D5:BO5"/>
    </sheetView>
  </sheetViews>
  <sheetFormatPr baseColWidth="10" defaultColWidth="7.6640625" defaultRowHeight="42" customHeight="1"/>
  <cols>
    <col min="1" max="1" width="38.33203125" style="120" customWidth="1"/>
    <col min="2" max="2" width="9" style="120" customWidth="1"/>
    <col min="3" max="16384" width="7.6640625" style="120"/>
  </cols>
  <sheetData>
    <row r="1" spans="1:188" ht="136" customHeight="1">
      <c r="B1" s="120" t="s">
        <v>233</v>
      </c>
    </row>
    <row r="2" spans="1:188" ht="42" customHeight="1" thickBot="1">
      <c r="C2" s="422"/>
      <c r="D2" s="422"/>
      <c r="E2" s="422"/>
      <c r="F2" s="422"/>
      <c r="G2" s="422"/>
      <c r="H2" s="423"/>
      <c r="I2" s="423"/>
      <c r="J2" s="423"/>
      <c r="K2" s="423"/>
      <c r="L2" s="424"/>
      <c r="M2" s="424"/>
      <c r="N2" s="424"/>
      <c r="O2" s="424"/>
      <c r="P2" s="424"/>
      <c r="Q2" s="424"/>
      <c r="R2" s="424"/>
      <c r="S2" s="425"/>
      <c r="T2" s="425"/>
      <c r="U2" s="425"/>
      <c r="V2" s="425"/>
      <c r="W2" s="425"/>
      <c r="X2" s="425"/>
      <c r="Y2" s="425"/>
      <c r="Z2" s="425"/>
      <c r="AA2" s="425"/>
      <c r="AB2" s="425"/>
      <c r="AC2" s="425"/>
      <c r="AD2" s="425"/>
      <c r="AE2" s="425"/>
      <c r="AF2" s="425"/>
      <c r="AG2" s="425"/>
      <c r="AH2" s="426"/>
      <c r="AI2" s="426"/>
      <c r="AJ2" s="426"/>
      <c r="AK2" s="426"/>
      <c r="AL2" s="426"/>
      <c r="AM2" s="426"/>
      <c r="AN2" s="426"/>
      <c r="AO2" s="426"/>
      <c r="AP2" s="426"/>
      <c r="AQ2" s="426"/>
      <c r="AR2" s="426"/>
      <c r="AS2" s="426"/>
      <c r="AT2" s="426"/>
      <c r="AU2" s="426"/>
      <c r="AV2" s="426"/>
      <c r="AW2" s="426"/>
      <c r="AX2" s="426"/>
      <c r="AY2" s="426"/>
      <c r="AZ2" s="426"/>
      <c r="BA2" s="426"/>
      <c r="BB2" s="426"/>
      <c r="BC2" s="426"/>
      <c r="BD2" s="426"/>
      <c r="BE2" s="426"/>
      <c r="BF2" s="426"/>
      <c r="BG2" s="426"/>
      <c r="BH2" s="426"/>
      <c r="BI2" s="426"/>
      <c r="BJ2" s="426"/>
      <c r="BK2" s="426"/>
      <c r="BL2" s="426"/>
      <c r="BM2" s="426"/>
      <c r="BN2" s="426"/>
      <c r="BO2" s="426"/>
      <c r="BP2" s="425"/>
      <c r="BX2" s="139"/>
    </row>
    <row r="3" spans="1:188" ht="344" customHeight="1" thickBot="1">
      <c r="C3" s="422"/>
      <c r="D3" s="1372" t="s">
        <v>437</v>
      </c>
      <c r="E3" s="1373"/>
      <c r="F3" s="1373"/>
      <c r="G3" s="1373"/>
      <c r="H3" s="1373"/>
      <c r="I3" s="1373"/>
      <c r="J3" s="1373"/>
      <c r="K3" s="1373"/>
      <c r="L3" s="1373"/>
      <c r="M3" s="1373"/>
      <c r="N3" s="1373"/>
      <c r="O3" s="1373"/>
      <c r="P3" s="1373"/>
      <c r="Q3" s="1373"/>
      <c r="R3" s="1373"/>
      <c r="S3" s="1373"/>
      <c r="T3" s="1373"/>
      <c r="U3" s="1373"/>
      <c r="V3" s="1373"/>
      <c r="W3" s="1373"/>
      <c r="X3" s="1373"/>
      <c r="Y3" s="1373"/>
      <c r="Z3" s="1373"/>
      <c r="AA3" s="1373"/>
      <c r="AB3" s="1373"/>
      <c r="AC3" s="1373"/>
      <c r="AD3" s="1373"/>
      <c r="AE3" s="1373"/>
      <c r="AF3" s="1373"/>
      <c r="AG3" s="1373"/>
      <c r="AH3" s="1373"/>
      <c r="AI3" s="1373"/>
      <c r="AJ3" s="1373"/>
      <c r="AK3" s="1373"/>
      <c r="AL3" s="1373"/>
      <c r="AM3" s="1373"/>
      <c r="AN3" s="1373"/>
      <c r="AO3" s="1373"/>
      <c r="AP3" s="1373"/>
      <c r="AQ3" s="1373"/>
      <c r="AR3" s="1373"/>
      <c r="AS3" s="1373"/>
      <c r="AT3" s="1373"/>
      <c r="AU3" s="1373"/>
      <c r="AV3" s="1373"/>
      <c r="AW3" s="1373"/>
      <c r="AX3" s="1373"/>
      <c r="AY3" s="1373"/>
      <c r="AZ3" s="1373"/>
      <c r="BA3" s="1373"/>
      <c r="BB3" s="1373"/>
      <c r="BC3" s="1373"/>
      <c r="BD3" s="1373"/>
      <c r="BE3" s="1373"/>
      <c r="BF3" s="1373"/>
      <c r="BG3" s="1373"/>
      <c r="BH3" s="1373"/>
      <c r="BI3" s="1373"/>
      <c r="BJ3" s="1373"/>
      <c r="BK3" s="1373"/>
      <c r="BL3" s="1373"/>
      <c r="BM3" s="1373"/>
      <c r="BN3" s="1373"/>
      <c r="BO3" s="1374"/>
      <c r="BP3" s="426"/>
    </row>
    <row r="4" spans="1:188" ht="42" customHeight="1" thickBot="1">
      <c r="C4" s="422"/>
      <c r="D4" s="422"/>
      <c r="E4" s="422"/>
      <c r="F4" s="422"/>
      <c r="G4" s="422"/>
      <c r="H4" s="423"/>
      <c r="I4" s="423"/>
      <c r="J4" s="423"/>
      <c r="K4" s="423"/>
      <c r="L4" s="424"/>
      <c r="M4" s="424"/>
      <c r="N4" s="424"/>
      <c r="O4" s="424"/>
      <c r="P4" s="424"/>
      <c r="Q4" s="424"/>
      <c r="R4" s="424"/>
      <c r="S4" s="425"/>
      <c r="T4" s="425"/>
      <c r="U4" s="425"/>
      <c r="V4" s="425"/>
      <c r="W4" s="425"/>
      <c r="X4" s="425"/>
      <c r="Y4" s="425"/>
      <c r="Z4" s="425"/>
      <c r="AA4" s="425"/>
      <c r="AB4" s="425"/>
      <c r="AC4" s="425"/>
      <c r="AD4" s="425"/>
      <c r="AE4" s="425"/>
      <c r="AF4" s="425"/>
      <c r="AG4" s="425"/>
      <c r="AH4" s="426"/>
      <c r="AI4" s="426"/>
      <c r="AJ4" s="426"/>
      <c r="AK4" s="426"/>
      <c r="AL4" s="426"/>
      <c r="AM4" s="426"/>
      <c r="AN4" s="426"/>
      <c r="AO4" s="426"/>
      <c r="AP4" s="426"/>
      <c r="AQ4" s="426"/>
      <c r="AR4" s="426"/>
      <c r="AS4" s="426"/>
      <c r="AT4" s="426"/>
      <c r="AU4" s="426"/>
      <c r="AV4" s="426"/>
      <c r="AW4" s="426"/>
      <c r="AX4" s="426"/>
      <c r="AY4" s="426"/>
      <c r="AZ4" s="426"/>
      <c r="BA4" s="426"/>
      <c r="BB4" s="426"/>
      <c r="BC4" s="426"/>
      <c r="BD4" s="426"/>
      <c r="BE4" s="426"/>
      <c r="BF4" s="426"/>
      <c r="BG4" s="426"/>
      <c r="BH4" s="426"/>
      <c r="BI4" s="426"/>
      <c r="BJ4" s="426"/>
      <c r="BK4" s="426"/>
      <c r="BL4" s="426"/>
      <c r="BM4" s="426"/>
      <c r="BN4" s="426"/>
      <c r="BO4" s="426"/>
      <c r="BP4" s="425"/>
      <c r="BX4" s="139"/>
    </row>
    <row r="5" spans="1:188" ht="133" customHeight="1" thickBot="1">
      <c r="B5" s="964"/>
      <c r="C5" s="423"/>
      <c r="D5" s="1445" t="s">
        <v>198</v>
      </c>
      <c r="E5" s="1446"/>
      <c r="F5" s="1446"/>
      <c r="G5" s="1446"/>
      <c r="H5" s="1446"/>
      <c r="I5" s="1446"/>
      <c r="J5" s="1446"/>
      <c r="K5" s="1446"/>
      <c r="L5" s="1446"/>
      <c r="M5" s="1446"/>
      <c r="N5" s="1446"/>
      <c r="O5" s="1446"/>
      <c r="P5" s="1446"/>
      <c r="Q5" s="1446"/>
      <c r="R5" s="1446"/>
      <c r="S5" s="1446"/>
      <c r="T5" s="1446"/>
      <c r="U5" s="1446"/>
      <c r="V5" s="1446"/>
      <c r="W5" s="1446"/>
      <c r="X5" s="1446"/>
      <c r="Y5" s="1446"/>
      <c r="Z5" s="1446"/>
      <c r="AA5" s="1446"/>
      <c r="AB5" s="1446"/>
      <c r="AC5" s="1446"/>
      <c r="AD5" s="1446"/>
      <c r="AE5" s="1446"/>
      <c r="AF5" s="1446"/>
      <c r="AG5" s="1446"/>
      <c r="AH5" s="1446"/>
      <c r="AI5" s="1446"/>
      <c r="AJ5" s="1446"/>
      <c r="AK5" s="1446"/>
      <c r="AL5" s="1446"/>
      <c r="AM5" s="1446"/>
      <c r="AN5" s="1446"/>
      <c r="AO5" s="1446"/>
      <c r="AP5" s="1446"/>
      <c r="AQ5" s="1446"/>
      <c r="AR5" s="1446"/>
      <c r="AS5" s="1446"/>
      <c r="AT5" s="1446"/>
      <c r="AU5" s="1446"/>
      <c r="AV5" s="1446"/>
      <c r="AW5" s="1446"/>
      <c r="AX5" s="1446"/>
      <c r="AY5" s="1446"/>
      <c r="AZ5" s="1446"/>
      <c r="BA5" s="1446"/>
      <c r="BB5" s="1446"/>
      <c r="BC5" s="1446"/>
      <c r="BD5" s="1446"/>
      <c r="BE5" s="1446"/>
      <c r="BF5" s="1446"/>
      <c r="BG5" s="1446"/>
      <c r="BH5" s="1446"/>
      <c r="BI5" s="1446"/>
      <c r="BJ5" s="1446"/>
      <c r="BK5" s="1446"/>
      <c r="BL5" s="1446"/>
      <c r="BM5" s="1446"/>
      <c r="BN5" s="1446"/>
      <c r="BO5" s="1447"/>
      <c r="BP5" s="426"/>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row>
    <row r="6" spans="1:188" ht="42" customHeight="1" thickBot="1">
      <c r="A6" s="961" t="s">
        <v>646</v>
      </c>
      <c r="B6" s="965">
        <v>3</v>
      </c>
      <c r="C6" s="422" t="s">
        <v>161</v>
      </c>
      <c r="D6" s="422"/>
      <c r="E6" s="422" t="s">
        <v>209</v>
      </c>
      <c r="F6" s="422" t="s">
        <v>162</v>
      </c>
      <c r="G6" s="422"/>
      <c r="H6" s="423"/>
      <c r="I6" s="423"/>
      <c r="J6" s="423"/>
      <c r="K6" s="423"/>
      <c r="L6" s="424"/>
      <c r="M6" s="424"/>
      <c r="N6" s="424"/>
      <c r="O6" s="424"/>
      <c r="P6" s="424"/>
      <c r="Q6" s="424"/>
      <c r="R6" s="424"/>
      <c r="S6" s="425"/>
      <c r="T6" s="425"/>
      <c r="U6" s="425"/>
      <c r="V6" s="425"/>
      <c r="W6" s="425"/>
      <c r="X6" s="425"/>
      <c r="Y6" s="425"/>
      <c r="Z6" s="425"/>
      <c r="AA6" s="425"/>
      <c r="AB6" s="425"/>
      <c r="AC6" s="425"/>
      <c r="AD6" s="425"/>
      <c r="AE6" s="425"/>
      <c r="AF6" s="425"/>
      <c r="AG6" s="425"/>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5"/>
      <c r="BX6" s="139"/>
      <c r="DJ6" s="427"/>
      <c r="DK6" s="427"/>
      <c r="DL6" s="427"/>
      <c r="DM6" s="27"/>
      <c r="DN6" s="27"/>
      <c r="DO6" s="27"/>
      <c r="DP6" s="27"/>
      <c r="DQ6" s="27"/>
      <c r="DR6" s="27"/>
      <c r="DS6" s="27"/>
      <c r="DT6" s="27"/>
      <c r="DU6" s="27"/>
      <c r="DV6" s="27"/>
      <c r="DW6" s="27"/>
      <c r="DX6" s="27"/>
      <c r="DY6" s="27"/>
      <c r="DZ6" s="27"/>
      <c r="EA6" s="27"/>
      <c r="EB6" s="27"/>
      <c r="EC6" s="27"/>
      <c r="ED6" s="27"/>
      <c r="EE6" s="27"/>
      <c r="EF6" s="27"/>
      <c r="EG6" s="27"/>
      <c r="EH6" s="27"/>
      <c r="EI6" s="427"/>
      <c r="EJ6" s="427"/>
      <c r="EK6" s="427"/>
      <c r="EL6" s="27"/>
      <c r="EM6" s="27"/>
      <c r="EN6" s="27"/>
      <c r="EO6" s="27"/>
      <c r="EP6" s="27"/>
      <c r="EQ6" s="27"/>
      <c r="ER6" s="27"/>
      <c r="ES6" s="27"/>
      <c r="ET6" s="27"/>
      <c r="EU6" s="27"/>
      <c r="EV6" s="27"/>
      <c r="EW6" s="27"/>
      <c r="EX6" s="27"/>
      <c r="EY6" s="27"/>
      <c r="EZ6" s="27"/>
      <c r="FA6" s="27"/>
      <c r="FB6" s="27"/>
      <c r="FC6" s="27"/>
      <c r="FD6" s="27"/>
      <c r="FE6" s="27"/>
      <c r="FF6" s="27"/>
      <c r="FG6" s="27"/>
      <c r="FH6" s="427"/>
      <c r="FI6" s="427"/>
      <c r="FJ6" s="427"/>
      <c r="FK6" s="27"/>
      <c r="FL6" s="27"/>
      <c r="FM6" s="27"/>
      <c r="FN6" s="27"/>
      <c r="FO6" s="27"/>
      <c r="FP6" s="27"/>
      <c r="FQ6" s="27"/>
      <c r="FR6" s="27"/>
      <c r="FS6" s="27"/>
      <c r="FT6" s="27"/>
      <c r="FU6" s="27"/>
      <c r="FV6" s="27"/>
      <c r="FW6" s="27"/>
      <c r="FX6" s="27"/>
      <c r="FY6" s="27"/>
      <c r="FZ6" s="27"/>
      <c r="GA6" s="27"/>
      <c r="GB6" s="27"/>
      <c r="GC6" s="27"/>
      <c r="GD6" s="27"/>
      <c r="GE6" s="27"/>
      <c r="GF6" s="27"/>
    </row>
    <row r="7" spans="1:188" ht="42" customHeight="1" thickBot="1">
      <c r="A7" s="966" t="s">
        <v>646</v>
      </c>
      <c r="B7" s="967">
        <v>2.75</v>
      </c>
      <c r="C7" s="428"/>
      <c r="D7" s="429">
        <v>0</v>
      </c>
      <c r="E7" s="430">
        <f>参数实验室!$E$56</f>
        <v>-7.2714895967875268E-2</v>
      </c>
      <c r="F7" s="123">
        <f>B8</f>
        <v>2.5</v>
      </c>
      <c r="G7" s="422"/>
      <c r="H7" s="422"/>
      <c r="I7" s="422"/>
      <c r="J7" s="422"/>
      <c r="K7" s="422"/>
      <c r="L7" s="423"/>
      <c r="M7" s="423"/>
      <c r="N7" s="423"/>
      <c r="O7" s="423"/>
      <c r="P7" s="423"/>
      <c r="Q7" s="423"/>
      <c r="R7" s="423"/>
      <c r="S7" s="424"/>
      <c r="T7" s="424"/>
      <c r="U7" s="424"/>
      <c r="V7" s="424"/>
      <c r="W7" s="424"/>
      <c r="X7" s="424"/>
      <c r="Y7" s="424"/>
      <c r="Z7" s="424"/>
      <c r="AA7" s="424"/>
      <c r="AB7" s="424"/>
      <c r="AC7" s="424"/>
      <c r="AD7" s="424"/>
      <c r="AE7" s="424"/>
      <c r="AF7" s="424"/>
      <c r="AG7" s="424"/>
      <c r="AH7" s="425"/>
      <c r="AI7" s="425"/>
      <c r="AJ7" s="425"/>
      <c r="AK7" s="425"/>
      <c r="AL7" s="425"/>
      <c r="AM7" s="425"/>
      <c r="AN7" s="425"/>
      <c r="AO7" s="425"/>
      <c r="AP7" s="425"/>
      <c r="AQ7" s="425"/>
      <c r="AR7" s="425"/>
      <c r="AS7" s="425"/>
      <c r="AT7" s="425"/>
      <c r="AU7" s="425"/>
      <c r="AV7" s="425"/>
      <c r="AW7" s="425"/>
      <c r="AX7" s="425"/>
      <c r="AY7" s="425"/>
      <c r="AZ7" s="425"/>
      <c r="BA7" s="425"/>
      <c r="BB7" s="425"/>
      <c r="BC7" s="425"/>
      <c r="BD7" s="425"/>
      <c r="BE7" s="425"/>
      <c r="BF7" s="425"/>
      <c r="BG7" s="425"/>
      <c r="BH7" s="425"/>
      <c r="BI7" s="425"/>
      <c r="BJ7" s="425"/>
      <c r="BK7" s="425"/>
      <c r="BL7" s="425"/>
      <c r="BM7" s="425"/>
      <c r="BN7" s="425"/>
      <c r="BO7" s="425"/>
      <c r="BP7" s="426"/>
      <c r="BX7" s="139"/>
      <c r="DJ7" s="427"/>
      <c r="DK7" s="427"/>
      <c r="DL7" s="427"/>
      <c r="DM7" s="27"/>
      <c r="DN7" s="27"/>
      <c r="DO7" s="27"/>
      <c r="DP7" s="27"/>
      <c r="DQ7" s="27"/>
      <c r="DR7" s="27"/>
      <c r="DS7" s="27"/>
      <c r="DT7" s="27"/>
      <c r="DU7" s="27"/>
      <c r="DV7" s="27"/>
      <c r="DW7" s="27"/>
      <c r="DX7" s="27"/>
      <c r="DY7" s="27"/>
      <c r="DZ7" s="27"/>
      <c r="EA7" s="27"/>
      <c r="EB7" s="27"/>
      <c r="EC7" s="27"/>
      <c r="ED7" s="27"/>
      <c r="EE7" s="27"/>
      <c r="EF7" s="27"/>
      <c r="EG7" s="27"/>
      <c r="EH7" s="27"/>
      <c r="EI7" s="427"/>
      <c r="EJ7" s="427"/>
      <c r="EK7" s="427"/>
      <c r="EL7" s="27"/>
      <c r="EM7" s="27"/>
      <c r="EN7" s="27"/>
      <c r="EO7" s="27"/>
      <c r="EP7" s="27"/>
      <c r="EQ7" s="27"/>
      <c r="ER7" s="27"/>
      <c r="ES7" s="27"/>
      <c r="ET7" s="27"/>
      <c r="EU7" s="27"/>
      <c r="EV7" s="27"/>
      <c r="EW7" s="27"/>
      <c r="EX7" s="27"/>
      <c r="EY7" s="27"/>
      <c r="EZ7" s="27"/>
      <c r="FA7" s="27"/>
      <c r="FB7" s="27"/>
      <c r="FC7" s="27"/>
      <c r="FD7" s="27"/>
      <c r="FE7" s="27"/>
      <c r="FF7" s="27"/>
      <c r="FG7" s="27"/>
      <c r="FH7" s="427"/>
      <c r="FI7" s="427"/>
      <c r="FJ7" s="427"/>
      <c r="FK7" s="27"/>
      <c r="FL7" s="27"/>
      <c r="FM7" s="27"/>
      <c r="FN7" s="27"/>
      <c r="FO7" s="27"/>
      <c r="FP7" s="27"/>
      <c r="FQ7" s="27"/>
      <c r="FR7" s="27"/>
      <c r="FS7" s="27"/>
      <c r="FT7" s="27"/>
      <c r="FU7" s="27"/>
      <c r="FV7" s="27"/>
      <c r="FW7" s="27"/>
      <c r="FX7" s="27"/>
      <c r="FY7" s="27"/>
      <c r="FZ7" s="27"/>
      <c r="GA7" s="27"/>
      <c r="GB7" s="27"/>
      <c r="GC7" s="27"/>
      <c r="GD7" s="27"/>
      <c r="GE7" s="27"/>
      <c r="GF7" s="27"/>
    </row>
    <row r="8" spans="1:188" ht="42" customHeight="1" thickTop="1" thickBot="1">
      <c r="A8" s="973" t="s">
        <v>645</v>
      </c>
      <c r="B8" s="972">
        <v>2.5</v>
      </c>
      <c r="C8" s="431" t="s">
        <v>210</v>
      </c>
      <c r="D8" s="432">
        <f>参数实验室!$E$60</f>
        <v>0.10862995623009114</v>
      </c>
      <c r="E8" s="433" t="s">
        <v>164</v>
      </c>
      <c r="F8" s="434"/>
      <c r="G8" s="435">
        <v>-1.5</v>
      </c>
      <c r="H8" s="436">
        <v>-1.45</v>
      </c>
      <c r="I8" s="435">
        <v>-1.4</v>
      </c>
      <c r="J8" s="436">
        <v>-1.35</v>
      </c>
      <c r="K8" s="435">
        <v>-1.3</v>
      </c>
      <c r="L8" s="436">
        <v>-1.25</v>
      </c>
      <c r="M8" s="435">
        <v>-1.2</v>
      </c>
      <c r="N8" s="436">
        <v>-1.1499999999999999</v>
      </c>
      <c r="O8" s="435">
        <v>-1.1000000000000001</v>
      </c>
      <c r="P8" s="436">
        <v>-1.05</v>
      </c>
      <c r="Q8" s="435">
        <v>-1</v>
      </c>
      <c r="R8" s="436">
        <v>-0.95</v>
      </c>
      <c r="S8" s="436">
        <v>-0.9</v>
      </c>
      <c r="T8" s="435">
        <v>-0.85</v>
      </c>
      <c r="U8" s="436">
        <v>-0.8</v>
      </c>
      <c r="V8" s="436">
        <v>-0.75</v>
      </c>
      <c r="W8" s="435">
        <v>-0.7</v>
      </c>
      <c r="X8" s="436">
        <v>-0.65</v>
      </c>
      <c r="Y8" s="436">
        <v>-0.6</v>
      </c>
      <c r="Z8" s="435">
        <v>-0.55000000000000004</v>
      </c>
      <c r="AA8" s="436">
        <v>-0.5</v>
      </c>
      <c r="AB8" s="435">
        <v>-0.45</v>
      </c>
      <c r="AC8" s="436">
        <v>-0.4</v>
      </c>
      <c r="AD8" s="435">
        <v>-0.35</v>
      </c>
      <c r="AE8" s="436">
        <v>-0.3</v>
      </c>
      <c r="AF8" s="435">
        <v>-0.25</v>
      </c>
      <c r="AG8" s="436">
        <v>-0.2</v>
      </c>
      <c r="AH8" s="435">
        <v>-0.15</v>
      </c>
      <c r="AI8" s="436">
        <v>-0.1</v>
      </c>
      <c r="AJ8" s="435">
        <v>-0.05</v>
      </c>
      <c r="AK8" s="436">
        <v>0</v>
      </c>
      <c r="AL8" s="435">
        <v>0.05</v>
      </c>
      <c r="AM8" s="436">
        <v>0.1</v>
      </c>
      <c r="AN8" s="435">
        <v>0.15</v>
      </c>
      <c r="AO8" s="436">
        <v>0.2</v>
      </c>
      <c r="AP8" s="435">
        <v>0.25</v>
      </c>
      <c r="AQ8" s="436">
        <v>0.3</v>
      </c>
      <c r="AR8" s="435">
        <v>0.35</v>
      </c>
      <c r="AS8" s="436">
        <v>0.4</v>
      </c>
      <c r="AT8" s="435">
        <v>0.45</v>
      </c>
      <c r="AU8" s="436">
        <v>0.5</v>
      </c>
      <c r="AV8" s="435">
        <v>0.55000000000000004</v>
      </c>
      <c r="AW8" s="436">
        <v>0.6</v>
      </c>
      <c r="AX8" s="435">
        <v>0.65</v>
      </c>
      <c r="AY8" s="436">
        <v>0.7</v>
      </c>
      <c r="AZ8" s="435">
        <v>0.75</v>
      </c>
      <c r="BA8" s="436">
        <v>0.8</v>
      </c>
      <c r="BB8" s="435">
        <v>0.85</v>
      </c>
      <c r="BC8" s="436">
        <v>0.9</v>
      </c>
      <c r="BD8" s="435">
        <v>0.95</v>
      </c>
      <c r="BE8" s="436">
        <v>1</v>
      </c>
      <c r="BF8" s="435">
        <v>1.05</v>
      </c>
      <c r="BG8" s="436">
        <v>1.1000000000000001</v>
      </c>
      <c r="BH8" s="435">
        <v>1.1499999999999999</v>
      </c>
      <c r="BI8" s="436">
        <v>1.2</v>
      </c>
      <c r="BJ8" s="435">
        <v>1.25</v>
      </c>
      <c r="BK8" s="436">
        <v>1.3</v>
      </c>
      <c r="BL8" s="435">
        <v>1.35</v>
      </c>
      <c r="BM8" s="436">
        <v>1.4</v>
      </c>
      <c r="BN8" s="435">
        <v>1.45</v>
      </c>
      <c r="BO8" s="436">
        <v>1.5</v>
      </c>
      <c r="BP8" s="425"/>
      <c r="BX8" s="139"/>
      <c r="DJ8" s="427"/>
      <c r="DK8" s="427"/>
      <c r="DL8" s="427"/>
      <c r="DM8" s="427"/>
      <c r="DN8" s="427"/>
      <c r="DO8" s="427"/>
      <c r="DP8" s="427"/>
      <c r="DQ8" s="427"/>
      <c r="DR8" s="427"/>
      <c r="DS8" s="427"/>
      <c r="DT8" s="427"/>
      <c r="DU8" s="427"/>
      <c r="DV8" s="427"/>
      <c r="DW8" s="427"/>
      <c r="DX8" s="427"/>
      <c r="DY8" s="427"/>
      <c r="DZ8" s="427"/>
      <c r="EA8" s="427"/>
      <c r="EB8" s="427"/>
      <c r="EC8" s="427"/>
      <c r="ED8" s="427"/>
      <c r="EE8" s="427"/>
      <c r="EF8" s="427"/>
      <c r="EG8" s="427"/>
      <c r="EH8" s="27"/>
      <c r="EI8" s="427"/>
      <c r="EJ8" s="427"/>
      <c r="EK8" s="427"/>
      <c r="EL8" s="427"/>
      <c r="EM8" s="427"/>
      <c r="EN8" s="427"/>
      <c r="EO8" s="427"/>
      <c r="EP8" s="427"/>
      <c r="EQ8" s="427"/>
      <c r="ER8" s="427"/>
      <c r="ES8" s="427"/>
      <c r="ET8" s="427"/>
      <c r="EU8" s="427"/>
      <c r="EV8" s="427"/>
      <c r="EW8" s="427"/>
      <c r="EX8" s="427"/>
      <c r="EY8" s="427"/>
      <c r="EZ8" s="427"/>
      <c r="FA8" s="427"/>
      <c r="FB8" s="427"/>
      <c r="FC8" s="427"/>
      <c r="FD8" s="427"/>
      <c r="FE8" s="427"/>
      <c r="FF8" s="427"/>
      <c r="FG8" s="27"/>
      <c r="FH8" s="427"/>
      <c r="FI8" s="427"/>
      <c r="FJ8" s="427"/>
      <c r="FK8" s="427"/>
      <c r="FL8" s="427"/>
      <c r="FM8" s="427"/>
      <c r="FN8" s="427"/>
      <c r="FO8" s="427"/>
      <c r="FP8" s="427"/>
      <c r="FQ8" s="427"/>
      <c r="FR8" s="427"/>
      <c r="FS8" s="427"/>
      <c r="FT8" s="427"/>
      <c r="FU8" s="427"/>
      <c r="FV8" s="427"/>
      <c r="FW8" s="427"/>
      <c r="FX8" s="427"/>
      <c r="FY8" s="427"/>
      <c r="FZ8" s="427"/>
      <c r="GA8" s="427"/>
      <c r="GB8" s="427"/>
      <c r="GC8" s="427"/>
      <c r="GD8" s="427"/>
      <c r="GE8" s="427"/>
      <c r="GF8" s="27"/>
    </row>
    <row r="9" spans="1:188" ht="42" customHeight="1" thickBot="1">
      <c r="A9" s="971" t="s">
        <v>644</v>
      </c>
      <c r="B9" s="970">
        <v>2.25</v>
      </c>
      <c r="C9" s="437" t="s">
        <v>163</v>
      </c>
      <c r="D9" s="438">
        <f>-F7/2</f>
        <v>-1.25</v>
      </c>
      <c r="E9" s="439"/>
      <c r="F9" s="440">
        <v>4</v>
      </c>
      <c r="G9" s="441">
        <f>D9</f>
        <v>-1.25</v>
      </c>
      <c r="H9" s="441">
        <f>$G$9+($BO$9-$G$9)*1/(1+EXP(-($F$9*(H8-$E$7))))</f>
        <v>-1.2348752981171769</v>
      </c>
      <c r="I9" s="441">
        <f t="shared" ref="I9:BN9" si="0">$G$9+($BO$9-$G$9)*1/(1+EXP(-($F$9*(I8-$E$7))))</f>
        <v>-1.2315431289011878</v>
      </c>
      <c r="J9" s="441">
        <f t="shared" si="0"/>
        <v>-1.2274812655609677</v>
      </c>
      <c r="K9" s="441">
        <f t="shared" si="0"/>
        <v>-1.2225320748743285</v>
      </c>
      <c r="L9" s="441">
        <f t="shared" si="0"/>
        <v>-1.2165049203489355</v>
      </c>
      <c r="M9" s="441">
        <f t="shared" si="0"/>
        <v>-1.2091697621518345</v>
      </c>
      <c r="N9" s="441">
        <f t="shared" si="0"/>
        <v>-1.2002497651439306</v>
      </c>
      <c r="O9" s="441">
        <f t="shared" si="0"/>
        <v>-1.189412887873986</v>
      </c>
      <c r="P9" s="441">
        <f t="shared" si="0"/>
        <v>-1.1762625011125967</v>
      </c>
      <c r="Q9" s="441">
        <f t="shared" si="0"/>
        <v>-1.1603272074314537</v>
      </c>
      <c r="R9" s="441">
        <f t="shared" si="0"/>
        <v>-1.1410502218245535</v>
      </c>
      <c r="S9" s="441">
        <f t="shared" si="0"/>
        <v>-1.1177789490452117</v>
      </c>
      <c r="T9" s="441">
        <f t="shared" si="0"/>
        <v>-1.0897557786689571</v>
      </c>
      <c r="U9" s="441">
        <f t="shared" si="0"/>
        <v>-1.0561116316644967</v>
      </c>
      <c r="V9" s="441">
        <f t="shared" si="0"/>
        <v>-1.0158644349733195</v>
      </c>
      <c r="W9" s="441">
        <f t="shared" si="0"/>
        <v>-0.96792544287906368</v>
      </c>
      <c r="X9" s="441">
        <f t="shared" si="0"/>
        <v>-0.9111170766243224</v>
      </c>
      <c r="Y9" s="441">
        <f t="shared" si="0"/>
        <v>-0.84420653653518662</v>
      </c>
      <c r="Z9" s="441">
        <f t="shared" si="0"/>
        <v>-0.76595955230176416</v>
      </c>
      <c r="AA9" s="441">
        <f t="shared" si="0"/>
        <v>-0.67521784631350323</v>
      </c>
      <c r="AB9" s="441">
        <f t="shared" si="0"/>
        <v>-0.57100168109185789</v>
      </c>
      <c r="AC9" s="441">
        <f t="shared" si="0"/>
        <v>-0.45263480316083393</v>
      </c>
      <c r="AD9" s="441">
        <f t="shared" si="0"/>
        <v>-0.31988308889943162</v>
      </c>
      <c r="AE9" s="441">
        <f t="shared" si="0"/>
        <v>-0.17309087414104374</v>
      </c>
      <c r="AF9" s="441">
        <f t="shared" si="0"/>
        <v>-1.329198268404852E-2</v>
      </c>
      <c r="AG9" s="441">
        <f t="shared" si="0"/>
        <v>0.15773145124365739</v>
      </c>
      <c r="AH9" s="441">
        <f t="shared" si="0"/>
        <v>0.33746712773090537</v>
      </c>
      <c r="AI9" s="441">
        <f t="shared" si="0"/>
        <v>0.52278230469254194</v>
      </c>
      <c r="AJ9" s="441">
        <f t="shared" si="0"/>
        <v>0.71012230758996964</v>
      </c>
      <c r="AK9" s="441">
        <f t="shared" si="0"/>
        <v>0.89577460097366668</v>
      </c>
      <c r="AL9" s="441">
        <f t="shared" si="0"/>
        <v>1.076158402825615</v>
      </c>
      <c r="AM9" s="441">
        <f t="shared" si="0"/>
        <v>1.2480929431617964</v>
      </c>
      <c r="AN9" s="441">
        <f t="shared" si="0"/>
        <v>1.4090032324204911</v>
      </c>
      <c r="AO9" s="441">
        <f t="shared" si="0"/>
        <v>1.5570383210997312</v>
      </c>
      <c r="AP9" s="441">
        <f t="shared" si="0"/>
        <v>1.6910974267337462</v>
      </c>
      <c r="AQ9" s="441">
        <f t="shared" si="0"/>
        <v>1.8107772113560472</v>
      </c>
      <c r="AR9" s="441">
        <f t="shared" si="0"/>
        <v>1.916264387768821</v>
      </c>
      <c r="AS9" s="441">
        <f t="shared" si="0"/>
        <v>2.0082006576267091</v>
      </c>
      <c r="AT9" s="441">
        <f t="shared" si="0"/>
        <v>2.0875434975069482</v>
      </c>
      <c r="AU9" s="441">
        <f t="shared" si="0"/>
        <v>2.1554394970582096</v>
      </c>
      <c r="AV9" s="441">
        <f t="shared" si="0"/>
        <v>2.2131195755475495</v>
      </c>
      <c r="AW9" s="441">
        <f t="shared" si="0"/>
        <v>2.261819235737057</v>
      </c>
      <c r="AX9" s="441">
        <f t="shared" si="0"/>
        <v>2.3027227730417072</v>
      </c>
      <c r="AY9" s="441">
        <f t="shared" si="0"/>
        <v>2.3369280000146984</v>
      </c>
      <c r="AZ9" s="441">
        <f t="shared" si="0"/>
        <v>2.3654271479129965</v>
      </c>
      <c r="BA9" s="441">
        <f t="shared" si="0"/>
        <v>2.3890996557130779</v>
      </c>
      <c r="BB9" s="441">
        <f t="shared" si="0"/>
        <v>2.4087131111875211</v>
      </c>
      <c r="BC9" s="441">
        <f t="shared" si="0"/>
        <v>2.4249293549313911</v>
      </c>
      <c r="BD9" s="441">
        <f t="shared" si="0"/>
        <v>2.4383135062921153</v>
      </c>
      <c r="BE9" s="441">
        <f t="shared" si="0"/>
        <v>2.4493443239134081</v>
      </c>
      <c r="BF9" s="441">
        <f t="shared" si="0"/>
        <v>2.4584248384949223</v>
      </c>
      <c r="BG9" s="441">
        <f t="shared" si="0"/>
        <v>2.4658925917516195</v>
      </c>
      <c r="BH9" s="441">
        <f t="shared" si="0"/>
        <v>2.4720291003429113</v>
      </c>
      <c r="BI9" s="441">
        <f t="shared" si="0"/>
        <v>2.4770683590670646</v>
      </c>
      <c r="BJ9" s="441">
        <f t="shared" si="0"/>
        <v>2.4812043257142027</v>
      </c>
      <c r="BK9" s="441">
        <f t="shared" si="0"/>
        <v>2.4845974093511196</v>
      </c>
      <c r="BL9" s="441">
        <f t="shared" si="0"/>
        <v>2.4873800293159798</v>
      </c>
      <c r="BM9" s="441">
        <f t="shared" si="0"/>
        <v>2.4896613350020154</v>
      </c>
      <c r="BN9" s="441">
        <f t="shared" si="0"/>
        <v>2.4915311846858459</v>
      </c>
      <c r="BO9" s="442">
        <f>F7</f>
        <v>2.5</v>
      </c>
      <c r="BP9" s="223"/>
      <c r="BX9" s="139"/>
      <c r="DJ9" s="27"/>
      <c r="DK9" s="27"/>
      <c r="DL9" s="427"/>
      <c r="DM9" s="421"/>
      <c r="DN9" s="421"/>
      <c r="DO9" s="421"/>
      <c r="DP9" s="421"/>
      <c r="DQ9" s="421"/>
      <c r="DR9" s="421"/>
      <c r="DS9" s="421"/>
      <c r="DT9" s="421"/>
      <c r="DU9" s="421"/>
      <c r="DV9" s="421"/>
      <c r="DW9" s="421"/>
      <c r="DX9" s="421"/>
      <c r="DY9" s="421"/>
      <c r="DZ9" s="421"/>
      <c r="EA9" s="421"/>
      <c r="EB9" s="421"/>
      <c r="EC9" s="421"/>
      <c r="ED9" s="421"/>
      <c r="EE9" s="421"/>
      <c r="EF9" s="421"/>
      <c r="EG9" s="421"/>
      <c r="EH9" s="27"/>
      <c r="EI9" s="27"/>
      <c r="EJ9" s="27"/>
      <c r="EK9" s="427"/>
      <c r="EL9" s="421"/>
      <c r="EM9" s="421"/>
      <c r="EN9" s="421"/>
      <c r="EO9" s="421"/>
      <c r="EP9" s="421"/>
      <c r="EQ9" s="421"/>
      <c r="ER9" s="421"/>
      <c r="ES9" s="421"/>
      <c r="ET9" s="421"/>
      <c r="EU9" s="421"/>
      <c r="EV9" s="421"/>
      <c r="EW9" s="421"/>
      <c r="EX9" s="421"/>
      <c r="EY9" s="421"/>
      <c r="EZ9" s="421"/>
      <c r="FA9" s="421"/>
      <c r="FB9" s="421"/>
      <c r="FC9" s="421"/>
      <c r="FD9" s="421"/>
      <c r="FE9" s="421"/>
      <c r="FF9" s="421"/>
      <c r="FG9" s="27"/>
      <c r="FH9" s="27"/>
      <c r="FI9" s="27"/>
      <c r="FJ9" s="427"/>
      <c r="FK9" s="421"/>
      <c r="FL9" s="421"/>
      <c r="FM9" s="421"/>
      <c r="FN9" s="421"/>
      <c r="FO9" s="421"/>
      <c r="FP9" s="421"/>
      <c r="FQ9" s="421"/>
      <c r="FR9" s="421"/>
      <c r="FS9" s="421"/>
      <c r="FT9" s="421"/>
      <c r="FU9" s="421"/>
      <c r="FV9" s="421"/>
      <c r="FW9" s="421"/>
      <c r="FX9" s="421"/>
      <c r="FY9" s="421"/>
      <c r="FZ9" s="421"/>
      <c r="GA9" s="421"/>
      <c r="GB9" s="421"/>
      <c r="GC9" s="421"/>
      <c r="GD9" s="421"/>
      <c r="GE9" s="421"/>
      <c r="GF9" s="27"/>
    </row>
    <row r="10" spans="1:188" ht="42" customHeight="1">
      <c r="A10" s="962" t="s">
        <v>644</v>
      </c>
      <c r="B10" s="969">
        <v>2</v>
      </c>
      <c r="C10" s="428"/>
      <c r="D10" s="428"/>
      <c r="E10" s="443">
        <v>1.5</v>
      </c>
      <c r="F10" s="444">
        <f>F7</f>
        <v>2.5</v>
      </c>
      <c r="G10" s="771">
        <f t="shared" ref="G10:AL10" si="1">G77*G144</f>
        <v>0.62498513404491218</v>
      </c>
      <c r="H10" s="772">
        <f t="shared" si="1"/>
        <v>0.63254649662054141</v>
      </c>
      <c r="I10" s="772">
        <f t="shared" si="1"/>
        <v>0.63421184144472997</v>
      </c>
      <c r="J10" s="772">
        <f t="shared" si="1"/>
        <v>0.63624213718441203</v>
      </c>
      <c r="K10" s="772">
        <f t="shared" si="1"/>
        <v>0.63871619732204299</v>
      </c>
      <c r="L10" s="772">
        <f t="shared" si="1"/>
        <v>0.64172933160842449</v>
      </c>
      <c r="M10" s="772">
        <f t="shared" si="1"/>
        <v>0.64539654674256086</v>
      </c>
      <c r="N10" s="772">
        <f t="shared" si="1"/>
        <v>0.64985624310556189</v>
      </c>
      <c r="O10" s="772">
        <f t="shared" si="1"/>
        <v>0.65527442099589528</v>
      </c>
      <c r="P10" s="772">
        <f t="shared" si="1"/>
        <v>0.66184937196591009</v>
      </c>
      <c r="Q10" s="772">
        <f t="shared" si="1"/>
        <v>0.66981676941852464</v>
      </c>
      <c r="R10" s="772">
        <f t="shared" si="1"/>
        <v>0.67945497853718428</v>
      </c>
      <c r="S10" s="772">
        <f t="shared" si="1"/>
        <v>0.6910902810653915</v>
      </c>
      <c r="T10" s="772">
        <f t="shared" si="1"/>
        <v>0.70510149017740398</v>
      </c>
      <c r="U10" s="772">
        <f t="shared" si="1"/>
        <v>0.7219231562326055</v>
      </c>
      <c r="V10" s="772">
        <f t="shared" si="1"/>
        <v>0.74204632738976251</v>
      </c>
      <c r="W10" s="772">
        <f t="shared" si="1"/>
        <v>0.76601538950758674</v>
      </c>
      <c r="X10" s="772">
        <f t="shared" si="1"/>
        <v>0.79441914701532079</v>
      </c>
      <c r="Y10" s="772">
        <f t="shared" si="1"/>
        <v>0.82787401759105683</v>
      </c>
      <c r="Z10" s="772">
        <f t="shared" si="1"/>
        <v>0.86699715772688468</v>
      </c>
      <c r="AA10" s="772">
        <f t="shared" si="1"/>
        <v>0.91236773155404904</v>
      </c>
      <c r="AB10" s="772">
        <f t="shared" si="1"/>
        <v>0.96447563715024631</v>
      </c>
      <c r="AC10" s="772">
        <f t="shared" si="1"/>
        <v>1.0236590338561993</v>
      </c>
      <c r="AD10" s="772">
        <f t="shared" si="1"/>
        <v>1.0900350175563864</v>
      </c>
      <c r="AE10" s="772">
        <f t="shared" si="1"/>
        <v>1.1634314529126499</v>
      </c>
      <c r="AF10" s="772">
        <f t="shared" si="1"/>
        <v>1.243331455111828</v>
      </c>
      <c r="AG10" s="772">
        <f t="shared" si="1"/>
        <v>1.3288439741091933</v>
      </c>
      <c r="AH10" s="772">
        <f t="shared" si="1"/>
        <v>1.4187128627960859</v>
      </c>
      <c r="AI10" s="772">
        <f t="shared" si="1"/>
        <v>1.511371735891498</v>
      </c>
      <c r="AJ10" s="772">
        <f t="shared" si="1"/>
        <v>1.6050432241871235</v>
      </c>
      <c r="AK10" s="772">
        <f t="shared" si="1"/>
        <v>1.6978710124098819</v>
      </c>
      <c r="AL10" s="772">
        <f t="shared" si="1"/>
        <v>1.7880646509867912</v>
      </c>
      <c r="AM10" s="772">
        <f t="shared" ref="AM10:BO10" si="2">AM77*AM144</f>
        <v>1.8740336915888605</v>
      </c>
      <c r="AN10" s="772">
        <f t="shared" si="2"/>
        <v>1.9544905779689394</v>
      </c>
      <c r="AO10" s="772">
        <f t="shared" si="2"/>
        <v>2.0285097815706079</v>
      </c>
      <c r="AP10" s="772">
        <f t="shared" si="2"/>
        <v>2.0955408690447626</v>
      </c>
      <c r="AQ10" s="772">
        <f t="shared" si="2"/>
        <v>2.1553821428713507</v>
      </c>
      <c r="AR10" s="772">
        <f t="shared" si="2"/>
        <v>2.2081269443845244</v>
      </c>
      <c r="AS10" s="772">
        <f t="shared" si="2"/>
        <v>2.2540961211952584</v>
      </c>
      <c r="AT10" s="772">
        <f t="shared" si="2"/>
        <v>2.2937684177270117</v>
      </c>
      <c r="AU10" s="772">
        <f t="shared" si="2"/>
        <v>2.3277171415010449</v>
      </c>
      <c r="AV10" s="772">
        <f t="shared" si="2"/>
        <v>2.3565577687769848</v>
      </c>
      <c r="AW10" s="772">
        <f t="shared" si="2"/>
        <v>2.3809080692836284</v>
      </c>
      <c r="AX10" s="772">
        <f t="shared" si="2"/>
        <v>2.4013602091271342</v>
      </c>
      <c r="AY10" s="772">
        <f t="shared" si="2"/>
        <v>2.4184631118964668</v>
      </c>
      <c r="AZ10" s="772">
        <f t="shared" si="2"/>
        <v>2.4327129087711707</v>
      </c>
      <c r="BA10" s="772">
        <f t="shared" si="2"/>
        <v>2.4445493327158978</v>
      </c>
      <c r="BB10" s="772">
        <f t="shared" si="2"/>
        <v>2.4543561889635535</v>
      </c>
      <c r="BC10" s="772">
        <f t="shared" si="2"/>
        <v>2.4624644071404904</v>
      </c>
      <c r="BD10" s="772">
        <f t="shared" si="2"/>
        <v>2.4691565544382099</v>
      </c>
      <c r="BE10" s="772">
        <f t="shared" si="2"/>
        <v>2.474672016134118</v>
      </c>
      <c r="BF10" s="772">
        <f t="shared" si="2"/>
        <v>2.4792123122266623</v>
      </c>
      <c r="BG10" s="772">
        <f t="shared" si="2"/>
        <v>2.4829462171565031</v>
      </c>
      <c r="BH10" s="772">
        <f t="shared" si="2"/>
        <v>2.4860144919857223</v>
      </c>
      <c r="BI10" s="772">
        <f t="shared" si="2"/>
        <v>2.4885341361751441</v>
      </c>
      <c r="BJ10" s="772">
        <f t="shared" si="2"/>
        <v>2.4906021301615455</v>
      </c>
      <c r="BK10" s="772">
        <f t="shared" si="2"/>
        <v>2.4922986796220918</v>
      </c>
      <c r="BL10" s="772">
        <f t="shared" si="2"/>
        <v>2.4936899950683942</v>
      </c>
      <c r="BM10" s="772">
        <f t="shared" si="2"/>
        <v>2.4948306518137389</v>
      </c>
      <c r="BN10" s="772">
        <f t="shared" si="2"/>
        <v>2.4957655794451825</v>
      </c>
      <c r="BO10" s="773">
        <f t="shared" si="2"/>
        <v>2.4999999890886837</v>
      </c>
      <c r="BP10" s="223"/>
      <c r="BX10" s="139"/>
      <c r="DJ10" s="27"/>
      <c r="DK10" s="27"/>
      <c r="DL10" s="427"/>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27"/>
      <c r="EI10" s="27"/>
      <c r="EJ10" s="27"/>
      <c r="EK10" s="427"/>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27"/>
      <c r="FH10" s="27"/>
      <c r="FI10" s="27"/>
      <c r="FJ10" s="427"/>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27"/>
    </row>
    <row r="11" spans="1:188" ht="42" customHeight="1" thickBot="1">
      <c r="A11" s="963" t="s">
        <v>644</v>
      </c>
      <c r="B11" s="968">
        <v>1.75</v>
      </c>
      <c r="C11" s="423"/>
      <c r="D11" s="428"/>
      <c r="E11" s="445">
        <v>1.45</v>
      </c>
      <c r="F11" s="444">
        <f t="shared" ref="F11:F42" si="3">$F$10-($F$10-$F$70)*1/(1+EXP(-($F$9*(-E11+$D$8))))</f>
        <v>2.4825495292741584</v>
      </c>
      <c r="G11" s="774">
        <f t="shared" ref="G11:AL11" si="4">G78*G145</f>
        <v>0.61625323044276858</v>
      </c>
      <c r="H11" s="302">
        <f t="shared" si="4"/>
        <v>0.62381405907731369</v>
      </c>
      <c r="I11" s="302">
        <f t="shared" si="4"/>
        <v>0.6325378686733818</v>
      </c>
      <c r="J11" s="302">
        <f t="shared" si="4"/>
        <v>0.63420296484163741</v>
      </c>
      <c r="K11" s="302">
        <f t="shared" si="4"/>
        <v>0.6362330710480335</v>
      </c>
      <c r="L11" s="302">
        <f t="shared" si="4"/>
        <v>0.63870699266520259</v>
      </c>
      <c r="M11" s="302">
        <f t="shared" si="4"/>
        <v>0.6417200288901822</v>
      </c>
      <c r="N11" s="302">
        <f t="shared" si="4"/>
        <v>0.64538717407441271</v>
      </c>
      <c r="O11" s="302">
        <f t="shared" si="4"/>
        <v>0.64984681501546004</v>
      </c>
      <c r="P11" s="302">
        <f t="shared" si="4"/>
        <v>0.65526493758555526</v>
      </c>
      <c r="Q11" s="302">
        <f t="shared" si="4"/>
        <v>0.66183981824809424</v>
      </c>
      <c r="R11" s="302">
        <f t="shared" si="4"/>
        <v>0.67072033232836104</v>
      </c>
      <c r="S11" s="302">
        <f t="shared" si="4"/>
        <v>0.68235547132359964</v>
      </c>
      <c r="T11" s="302">
        <f t="shared" si="4"/>
        <v>0.6963664987015874</v>
      </c>
      <c r="U11" s="302">
        <f t="shared" si="4"/>
        <v>0.7131879723676301</v>
      </c>
      <c r="V11" s="302">
        <f t="shared" si="4"/>
        <v>0.73331094860345736</v>
      </c>
      <c r="W11" s="302">
        <f t="shared" si="4"/>
        <v>0.75727982221536083</v>
      </c>
      <c r="X11" s="302">
        <f t="shared" si="4"/>
        <v>0.78568340764593925</v>
      </c>
      <c r="Y11" s="302">
        <f t="shared" si="4"/>
        <v>0.81913813385924883</v>
      </c>
      <c r="Z11" s="302">
        <f t="shared" si="4"/>
        <v>0.85826117001849178</v>
      </c>
      <c r="AA11" s="302">
        <f t="shared" si="4"/>
        <v>0.90363169423483392</v>
      </c>
      <c r="AB11" s="302">
        <f t="shared" si="4"/>
        <v>0.95573961948981245</v>
      </c>
      <c r="AC11" s="302">
        <f t="shared" si="4"/>
        <v>1.0149231201417883</v>
      </c>
      <c r="AD11" s="302">
        <f t="shared" si="4"/>
        <v>1.0812993059055456</v>
      </c>
      <c r="AE11" s="302">
        <f t="shared" si="4"/>
        <v>1.1546960523378234</v>
      </c>
      <c r="AF11" s="302">
        <f t="shared" si="4"/>
        <v>1.234596480592385</v>
      </c>
      <c r="AG11" s="302">
        <f t="shared" si="4"/>
        <v>1.3201095397943057</v>
      </c>
      <c r="AH11" s="302">
        <f t="shared" si="4"/>
        <v>1.4099790739346427</v>
      </c>
      <c r="AI11" s="302">
        <f t="shared" si="4"/>
        <v>1.5026386805323098</v>
      </c>
      <c r="AJ11" s="302">
        <f t="shared" si="4"/>
        <v>1.5963109659501231</v>
      </c>
      <c r="AK11" s="302">
        <f t="shared" si="4"/>
        <v>1.6891395855689093</v>
      </c>
      <c r="AL11" s="302">
        <f t="shared" si="4"/>
        <v>1.7793340587039719</v>
      </c>
      <c r="AM11" s="302">
        <f t="shared" ref="AM11:BO11" si="5">AM78*AM145</f>
        <v>1.8653039075075728</v>
      </c>
      <c r="AN11" s="302">
        <f t="shared" si="5"/>
        <v>1.9457615507057091</v>
      </c>
      <c r="AO11" s="302">
        <f t="shared" si="5"/>
        <v>2.0197814411482198</v>
      </c>
      <c r="AP11" s="302">
        <f t="shared" si="5"/>
        <v>2.0868131341010732</v>
      </c>
      <c r="AQ11" s="302">
        <f t="shared" si="5"/>
        <v>2.1466549275654665</v>
      </c>
      <c r="AR11" s="302">
        <f t="shared" si="5"/>
        <v>2.1994001642149112</v>
      </c>
      <c r="AS11" s="302">
        <f t="shared" si="5"/>
        <v>2.2453696973159296</v>
      </c>
      <c r="AT11" s="302">
        <f t="shared" si="5"/>
        <v>2.2850422796879082</v>
      </c>
      <c r="AU11" s="302">
        <f t="shared" si="5"/>
        <v>2.3189912285826071</v>
      </c>
      <c r="AV11" s="302">
        <f t="shared" si="5"/>
        <v>2.3478320302204461</v>
      </c>
      <c r="AW11" s="302">
        <f t="shared" si="5"/>
        <v>2.3721824637543407</v>
      </c>
      <c r="AX11" s="302">
        <f t="shared" si="5"/>
        <v>2.3926347037195534</v>
      </c>
      <c r="AY11" s="302">
        <f t="shared" si="5"/>
        <v>2.4097376809277353</v>
      </c>
      <c r="AZ11" s="302">
        <f t="shared" si="5"/>
        <v>2.4239875325396745</v>
      </c>
      <c r="BA11" s="302">
        <f t="shared" si="5"/>
        <v>2.4358239963366519</v>
      </c>
      <c r="BB11" s="302">
        <f t="shared" si="5"/>
        <v>2.445630881340799</v>
      </c>
      <c r="BC11" s="302">
        <f t="shared" si="5"/>
        <v>2.4543562335109455</v>
      </c>
      <c r="BD11" s="302">
        <f t="shared" si="5"/>
        <v>2.4624644415123234</v>
      </c>
      <c r="BE11" s="302">
        <f t="shared" si="5"/>
        <v>2.4691565803725104</v>
      </c>
      <c r="BF11" s="302">
        <f t="shared" si="5"/>
        <v>2.4746720352393186</v>
      </c>
      <c r="BG11" s="302">
        <f t="shared" si="5"/>
        <v>2.4792123259131889</v>
      </c>
      <c r="BH11" s="302">
        <f t="shared" si="5"/>
        <v>2.4829462266168152</v>
      </c>
      <c r="BI11" s="302">
        <f t="shared" si="5"/>
        <v>2.4860144981982368</v>
      </c>
      <c r="BJ11" s="302">
        <f t="shared" si="5"/>
        <v>2.4885341399249383</v>
      </c>
      <c r="BK11" s="302">
        <f t="shared" si="5"/>
        <v>2.4906021320676768</v>
      </c>
      <c r="BL11" s="302">
        <f t="shared" si="5"/>
        <v>2.4922986801659945</v>
      </c>
      <c r="BM11" s="302">
        <f t="shared" si="5"/>
        <v>2.4936899946204103</v>
      </c>
      <c r="BN11" s="302">
        <f t="shared" si="5"/>
        <v>2.4948306506564077</v>
      </c>
      <c r="BO11" s="775">
        <f t="shared" si="5"/>
        <v>2.4957655777927923</v>
      </c>
      <c r="BP11" s="223"/>
      <c r="BX11" s="139"/>
      <c r="DJ11" s="27"/>
      <c r="DK11" s="27"/>
      <c r="DL11" s="427"/>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27"/>
      <c r="EI11" s="27"/>
      <c r="EJ11" s="27"/>
      <c r="EK11" s="427"/>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27"/>
      <c r="FH11" s="27"/>
      <c r="FI11" s="27"/>
      <c r="FJ11" s="427"/>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27"/>
    </row>
    <row r="12" spans="1:188" ht="42" customHeight="1" thickTop="1">
      <c r="A12" s="974"/>
      <c r="B12" s="975"/>
      <c r="C12" s="423"/>
      <c r="D12" s="428"/>
      <c r="E12" s="443">
        <v>1.4</v>
      </c>
      <c r="F12" s="444">
        <f t="shared" si="3"/>
        <v>2.478707883949268</v>
      </c>
      <c r="G12" s="774">
        <f t="shared" ref="G12:AL12" si="6">G79*G146</f>
        <v>0.61432245977469502</v>
      </c>
      <c r="H12" s="302">
        <f t="shared" si="6"/>
        <v>0.61624122171578843</v>
      </c>
      <c r="I12" s="302">
        <f t="shared" si="6"/>
        <v>0.61623951624333217</v>
      </c>
      <c r="J12" s="302">
        <f t="shared" si="6"/>
        <v>0.63419068834287828</v>
      </c>
      <c r="K12" s="302">
        <f t="shared" si="6"/>
        <v>0.63622031021156833</v>
      </c>
      <c r="L12" s="302">
        <f t="shared" si="6"/>
        <v>0.63869383806084823</v>
      </c>
      <c r="M12" s="302">
        <f t="shared" si="6"/>
        <v>0.64170656181645958</v>
      </c>
      <c r="N12" s="302">
        <f t="shared" si="6"/>
        <v>0.64537346203869039</v>
      </c>
      <c r="O12" s="302">
        <f t="shared" si="6"/>
        <v>0.64983290816400108</v>
      </c>
      <c r="P12" s="302">
        <f t="shared" si="6"/>
        <v>0.6552508660004398</v>
      </c>
      <c r="Q12" s="302">
        <f t="shared" si="6"/>
        <v>0.66182558989548224</v>
      </c>
      <c r="R12" s="302">
        <f t="shared" si="6"/>
        <v>0.66979271396106899</v>
      </c>
      <c r="S12" s="302">
        <f t="shared" si="6"/>
        <v>0.68042011009880432</v>
      </c>
      <c r="T12" s="302">
        <f t="shared" si="6"/>
        <v>0.69443086933635434</v>
      </c>
      <c r="U12" s="302">
        <f t="shared" si="6"/>
        <v>0.71125206328974444</v>
      </c>
      <c r="V12" s="302">
        <f t="shared" si="6"/>
        <v>0.73137476241285682</v>
      </c>
      <c r="W12" s="302">
        <f t="shared" si="6"/>
        <v>0.75534337692996723</v>
      </c>
      <c r="X12" s="302">
        <f t="shared" si="6"/>
        <v>0.78374673818874563</v>
      </c>
      <c r="Y12" s="302">
        <f t="shared" si="6"/>
        <v>0.81720129368384375</v>
      </c>
      <c r="Z12" s="302">
        <f t="shared" si="6"/>
        <v>0.85632423268234537</v>
      </c>
      <c r="AA12" s="302">
        <f t="shared" si="6"/>
        <v>0.9016947545985885</v>
      </c>
      <c r="AB12" s="302">
        <f t="shared" si="6"/>
        <v>0.95380279406621138</v>
      </c>
      <c r="AC12" s="302">
        <f t="shared" si="6"/>
        <v>1.0129865459866945</v>
      </c>
      <c r="AD12" s="302">
        <f t="shared" si="6"/>
        <v>1.0793631374084662</v>
      </c>
      <c r="AE12" s="302">
        <f t="shared" si="6"/>
        <v>1.1527604554113977</v>
      </c>
      <c r="AF12" s="302">
        <f t="shared" si="6"/>
        <v>1.2326616241323716</v>
      </c>
      <c r="AG12" s="302">
        <f t="shared" si="6"/>
        <v>1.3181755848646823</v>
      </c>
      <c r="AH12" s="302">
        <f t="shared" si="6"/>
        <v>1.4080461618052673</v>
      </c>
      <c r="AI12" s="302">
        <f t="shared" si="6"/>
        <v>1.5007069212493338</v>
      </c>
      <c r="AJ12" s="302">
        <f t="shared" si="6"/>
        <v>1.5943804293235719</v>
      </c>
      <c r="AK12" s="302">
        <f t="shared" si="6"/>
        <v>1.6872102961764419</v>
      </c>
      <c r="AL12" s="302">
        <f t="shared" si="6"/>
        <v>1.7774059957677346</v>
      </c>
      <c r="AM12" s="302">
        <f t="shared" ref="AM12:BO12" si="7">AM79*AM146</f>
        <v>1.863377009517315</v>
      </c>
      <c r="AN12" s="302">
        <f t="shared" si="7"/>
        <v>1.9438357237463475</v>
      </c>
      <c r="AO12" s="302">
        <f t="shared" si="7"/>
        <v>2.017856569312968</v>
      </c>
      <c r="AP12" s="302">
        <f t="shared" si="7"/>
        <v>2.0848890902521098</v>
      </c>
      <c r="AQ12" s="302">
        <f t="shared" si="7"/>
        <v>2.1447315829897331</v>
      </c>
      <c r="AR12" s="302">
        <f t="shared" si="7"/>
        <v>2.1974773962441665</v>
      </c>
      <c r="AS12" s="302">
        <f t="shared" si="7"/>
        <v>2.2434473945444733</v>
      </c>
      <c r="AT12" s="302">
        <f t="shared" si="7"/>
        <v>2.2831203448835313</v>
      </c>
      <c r="AU12" s="302">
        <f t="shared" si="7"/>
        <v>2.3170695796792469</v>
      </c>
      <c r="AV12" s="302">
        <f t="shared" si="7"/>
        <v>2.3459105999055221</v>
      </c>
      <c r="AW12" s="302">
        <f t="shared" si="7"/>
        <v>2.3702611981602262</v>
      </c>
      <c r="AX12" s="302">
        <f t="shared" si="7"/>
        <v>2.3907135606495427</v>
      </c>
      <c r="AY12" s="302">
        <f t="shared" si="7"/>
        <v>2.4078166279374855</v>
      </c>
      <c r="AZ12" s="302">
        <f t="shared" si="7"/>
        <v>2.4220665450867562</v>
      </c>
      <c r="BA12" s="302">
        <f t="shared" si="7"/>
        <v>2.4339030561200108</v>
      </c>
      <c r="BB12" s="302">
        <f t="shared" si="7"/>
        <v>2.4445493049932296</v>
      </c>
      <c r="BC12" s="302">
        <f t="shared" si="7"/>
        <v>2.4543561733504706</v>
      </c>
      <c r="BD12" s="302">
        <f t="shared" si="7"/>
        <v>2.46246439828459</v>
      </c>
      <c r="BE12" s="302">
        <f t="shared" si="7"/>
        <v>2.4691565490129004</v>
      </c>
      <c r="BF12" s="302">
        <f t="shared" si="7"/>
        <v>2.4746720121504993</v>
      </c>
      <c r="BG12" s="302">
        <f t="shared" si="7"/>
        <v>2.4792123085587536</v>
      </c>
      <c r="BH12" s="302">
        <f t="shared" si="7"/>
        <v>2.4829462132217266</v>
      </c>
      <c r="BI12" s="302">
        <f t="shared" si="7"/>
        <v>2.4860144875286276</v>
      </c>
      <c r="BJ12" s="302">
        <f t="shared" si="7"/>
        <v>2.4885341311288194</v>
      </c>
      <c r="BK12" s="302">
        <f t="shared" si="7"/>
        <v>2.4906021245609136</v>
      </c>
      <c r="BL12" s="302">
        <f t="shared" si="7"/>
        <v>2.4922986735513515</v>
      </c>
      <c r="BM12" s="302">
        <f t="shared" si="7"/>
        <v>2.4936899886304995</v>
      </c>
      <c r="BN12" s="302">
        <f t="shared" si="7"/>
        <v>2.4948306451136788</v>
      </c>
      <c r="BO12" s="775">
        <f t="shared" si="7"/>
        <v>2.495765572581639</v>
      </c>
      <c r="BP12" s="223"/>
      <c r="BX12" s="139"/>
      <c r="DJ12" s="27"/>
      <c r="DK12" s="27"/>
      <c r="DL12" s="427"/>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27"/>
      <c r="EI12" s="27"/>
      <c r="EJ12" s="27"/>
      <c r="EK12" s="427"/>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27"/>
      <c r="FH12" s="27"/>
      <c r="FI12" s="27"/>
      <c r="FJ12" s="427"/>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27"/>
    </row>
    <row r="13" spans="1:188" ht="42" customHeight="1">
      <c r="C13" s="423"/>
      <c r="D13" s="428"/>
      <c r="E13" s="445">
        <v>1.35</v>
      </c>
      <c r="F13" s="444">
        <f t="shared" si="3"/>
        <v>2.4740264021953089</v>
      </c>
      <c r="G13" s="774">
        <f t="shared" ref="G13:AL13" si="8">G80*G147</f>
        <v>0.61196729850752529</v>
      </c>
      <c r="H13" s="302">
        <f t="shared" si="8"/>
        <v>0.61430477342983569</v>
      </c>
      <c r="I13" s="302">
        <f t="shared" si="8"/>
        <v>0.61430207272259185</v>
      </c>
      <c r="J13" s="302">
        <f t="shared" si="8"/>
        <v>0.61622045089028332</v>
      </c>
      <c r="K13" s="302">
        <f t="shared" si="8"/>
        <v>0.63417064146032698</v>
      </c>
      <c r="L13" s="302">
        <f t="shared" si="8"/>
        <v>0.63619992327445474</v>
      </c>
      <c r="M13" s="302">
        <f t="shared" si="8"/>
        <v>0.63867322350030642</v>
      </c>
      <c r="N13" s="302">
        <f t="shared" si="8"/>
        <v>0.64168580157603505</v>
      </c>
      <c r="O13" s="302">
        <f t="shared" si="8"/>
        <v>0.64535260407189188</v>
      </c>
      <c r="P13" s="302">
        <f t="shared" si="8"/>
        <v>0.6498119643161101</v>
      </c>
      <c r="Q13" s="302">
        <f t="shared" si="8"/>
        <v>0.65678570061648467</v>
      </c>
      <c r="R13" s="302">
        <f t="shared" si="8"/>
        <v>0.66642325065334307</v>
      </c>
      <c r="S13" s="302">
        <f t="shared" si="8"/>
        <v>0.67805778413489914</v>
      </c>
      <c r="T13" s="302">
        <f t="shared" si="8"/>
        <v>0.6920681474460264</v>
      </c>
      <c r="U13" s="302">
        <f t="shared" si="8"/>
        <v>0.70888893419264387</v>
      </c>
      <c r="V13" s="302">
        <f t="shared" si="8"/>
        <v>0.72901123885667962</v>
      </c>
      <c r="W13" s="302">
        <f t="shared" si="8"/>
        <v>0.75297949756919713</v>
      </c>
      <c r="X13" s="302">
        <f t="shared" si="8"/>
        <v>0.78138256961845398</v>
      </c>
      <c r="Y13" s="302">
        <f t="shared" si="8"/>
        <v>0.81483693238970833</v>
      </c>
      <c r="Z13" s="302">
        <f t="shared" si="8"/>
        <v>0.85395980654515224</v>
      </c>
      <c r="AA13" s="302">
        <f t="shared" si="8"/>
        <v>0.89933042342143454</v>
      </c>
      <c r="AB13" s="302">
        <f t="shared" si="8"/>
        <v>0.95143874841268383</v>
      </c>
      <c r="AC13" s="302">
        <f t="shared" si="8"/>
        <v>1.0106230035037942</v>
      </c>
      <c r="AD13" s="302">
        <f t="shared" si="8"/>
        <v>1.0770003358644051</v>
      </c>
      <c r="AE13" s="302">
        <f t="shared" si="8"/>
        <v>1.1503986420077406</v>
      </c>
      <c r="AF13" s="302">
        <f t="shared" si="8"/>
        <v>1.2303010412944058</v>
      </c>
      <c r="AG13" s="302">
        <f t="shared" si="8"/>
        <v>1.3158164535961896</v>
      </c>
      <c r="AH13" s="302">
        <f t="shared" si="8"/>
        <v>1.4056886645926905</v>
      </c>
      <c r="AI13" s="302">
        <f t="shared" si="8"/>
        <v>1.498351187097104</v>
      </c>
      <c r="AJ13" s="302">
        <f t="shared" si="8"/>
        <v>1.5920265235040445</v>
      </c>
      <c r="AK13" s="302">
        <f t="shared" si="8"/>
        <v>1.6848582165683816</v>
      </c>
      <c r="AL13" s="302">
        <f t="shared" si="8"/>
        <v>1.7750556763893366</v>
      </c>
      <c r="AM13" s="302">
        <f t="shared" ref="AM13:BO13" si="9">AM80*AM147</f>
        <v>1.8610283304172648</v>
      </c>
      <c r="AN13" s="302">
        <f t="shared" si="9"/>
        <v>1.9414885252521061</v>
      </c>
      <c r="AO13" s="302">
        <f t="shared" si="9"/>
        <v>2.0155106680730079</v>
      </c>
      <c r="AP13" s="302">
        <f t="shared" si="9"/>
        <v>2.0825442946219095</v>
      </c>
      <c r="AQ13" s="302">
        <f t="shared" si="9"/>
        <v>2.1423877059363909</v>
      </c>
      <c r="AR13" s="302">
        <f t="shared" si="9"/>
        <v>2.1951342647953926</v>
      </c>
      <c r="AS13" s="302">
        <f t="shared" si="9"/>
        <v>2.2411048556113786</v>
      </c>
      <c r="AT13" s="302">
        <f t="shared" si="9"/>
        <v>2.2807782678713502</v>
      </c>
      <c r="AU13" s="302">
        <f t="shared" si="9"/>
        <v>2.3147278566134353</v>
      </c>
      <c r="AV13" s="302">
        <f t="shared" si="9"/>
        <v>2.3435691438786916</v>
      </c>
      <c r="AW13" s="302">
        <f t="shared" si="9"/>
        <v>2.3679199408255838</v>
      </c>
      <c r="AX13" s="302">
        <f t="shared" si="9"/>
        <v>2.3883724493285303</v>
      </c>
      <c r="AY13" s="302">
        <f t="shared" si="9"/>
        <v>2.4054756227342358</v>
      </c>
      <c r="AZ13" s="302">
        <f t="shared" si="9"/>
        <v>2.4197256162463447</v>
      </c>
      <c r="BA13" s="302">
        <f t="shared" si="9"/>
        <v>2.4315621817472373</v>
      </c>
      <c r="BB13" s="302">
        <f t="shared" si="9"/>
        <v>2.4413691390570893</v>
      </c>
      <c r="BC13" s="302">
        <f t="shared" si="9"/>
        <v>2.4494774288508627</v>
      </c>
      <c r="BD13" s="302">
        <f t="shared" si="9"/>
        <v>2.4561696265605399</v>
      </c>
      <c r="BE13" s="302">
        <f t="shared" si="9"/>
        <v>2.4624644378635079</v>
      </c>
      <c r="BF13" s="302">
        <f t="shared" si="9"/>
        <v>2.4691565767544779</v>
      </c>
      <c r="BG13" s="302">
        <f t="shared" si="9"/>
        <v>2.4746720308189665</v>
      </c>
      <c r="BH13" s="302">
        <f t="shared" si="9"/>
        <v>2.4792123203652476</v>
      </c>
      <c r="BI13" s="302">
        <f t="shared" si="9"/>
        <v>2.4829462199003496</v>
      </c>
      <c r="BJ13" s="302">
        <f t="shared" si="9"/>
        <v>2.4860144904194992</v>
      </c>
      <c r="BK13" s="302">
        <f t="shared" si="9"/>
        <v>2.4885341312558462</v>
      </c>
      <c r="BL13" s="302">
        <f t="shared" si="9"/>
        <v>2.49060212269961</v>
      </c>
      <c r="BM13" s="302">
        <f t="shared" si="9"/>
        <v>2.4922986702854817</v>
      </c>
      <c r="BN13" s="302">
        <f t="shared" si="9"/>
        <v>2.4936899843978764</v>
      </c>
      <c r="BO13" s="775">
        <f t="shared" si="9"/>
        <v>2.494830640242288</v>
      </c>
      <c r="BP13" s="223"/>
      <c r="BX13" s="139"/>
      <c r="DJ13" s="27"/>
      <c r="DK13" s="27"/>
      <c r="DL13" s="427"/>
      <c r="DM13" s="421"/>
      <c r="DN13" s="421"/>
      <c r="DO13" s="421"/>
      <c r="DP13" s="421"/>
      <c r="DQ13" s="421"/>
      <c r="DR13" s="421"/>
      <c r="DS13" s="421"/>
      <c r="DT13" s="421"/>
      <c r="DU13" s="421"/>
      <c r="DV13" s="421"/>
      <c r="DW13" s="421"/>
      <c r="DX13" s="421"/>
      <c r="DY13" s="421"/>
      <c r="DZ13" s="421"/>
      <c r="EA13" s="421"/>
      <c r="EB13" s="421"/>
      <c r="EC13" s="421"/>
      <c r="ED13" s="421"/>
      <c r="EE13" s="421"/>
      <c r="EF13" s="421"/>
      <c r="EG13" s="421"/>
      <c r="EH13" s="27"/>
      <c r="EI13" s="27"/>
      <c r="EJ13" s="27"/>
      <c r="EK13" s="427"/>
      <c r="EL13" s="421"/>
      <c r="EM13" s="421"/>
      <c r="EN13" s="421"/>
      <c r="EO13" s="421"/>
      <c r="EP13" s="421"/>
      <c r="EQ13" s="421"/>
      <c r="ER13" s="421"/>
      <c r="ES13" s="421"/>
      <c r="ET13" s="421"/>
      <c r="EU13" s="421"/>
      <c r="EV13" s="421"/>
      <c r="EW13" s="421"/>
      <c r="EX13" s="421"/>
      <c r="EY13" s="421"/>
      <c r="EZ13" s="421"/>
      <c r="FA13" s="421"/>
      <c r="FB13" s="421"/>
      <c r="FC13" s="421"/>
      <c r="FD13" s="421"/>
      <c r="FE13" s="421"/>
      <c r="FF13" s="421"/>
      <c r="FG13" s="27"/>
      <c r="FH13" s="27"/>
      <c r="FI13" s="27"/>
      <c r="FJ13" s="427"/>
      <c r="FK13" s="421"/>
      <c r="FL13" s="421"/>
      <c r="FM13" s="421"/>
      <c r="FN13" s="421"/>
      <c r="FO13" s="421"/>
      <c r="FP13" s="421"/>
      <c r="FQ13" s="421"/>
      <c r="FR13" s="421"/>
      <c r="FS13" s="421"/>
      <c r="FT13" s="421"/>
      <c r="FU13" s="421"/>
      <c r="FV13" s="421"/>
      <c r="FW13" s="421"/>
      <c r="FX13" s="421"/>
      <c r="FY13" s="421"/>
      <c r="FZ13" s="421"/>
      <c r="GA13" s="421"/>
      <c r="GB13" s="421"/>
      <c r="GC13" s="421"/>
      <c r="GD13" s="421"/>
      <c r="GE13" s="421"/>
      <c r="GF13" s="27"/>
    </row>
    <row r="14" spans="1:188" ht="42" customHeight="1">
      <c r="C14" s="423"/>
      <c r="D14" s="428"/>
      <c r="E14" s="443">
        <v>1.3</v>
      </c>
      <c r="F14" s="444">
        <f t="shared" si="3"/>
        <v>2.4683243506204104</v>
      </c>
      <c r="G14" s="774">
        <f t="shared" ref="G14:AL14" si="10">G81*G148</f>
        <v>0.60909545731414072</v>
      </c>
      <c r="H14" s="302">
        <f t="shared" si="10"/>
        <v>0.6119413052410152</v>
      </c>
      <c r="I14" s="302">
        <f t="shared" si="10"/>
        <v>0.61193702685181717</v>
      </c>
      <c r="J14" s="302">
        <f t="shared" si="10"/>
        <v>0.61427383970378557</v>
      </c>
      <c r="K14" s="302">
        <f t="shared" si="10"/>
        <v>0.61427088882435232</v>
      </c>
      <c r="L14" s="302">
        <f t="shared" si="10"/>
        <v>0.63617099425305712</v>
      </c>
      <c r="M14" s="302">
        <f t="shared" si="10"/>
        <v>0.63864352882786302</v>
      </c>
      <c r="N14" s="302">
        <f t="shared" si="10"/>
        <v>0.64165552746286747</v>
      </c>
      <c r="O14" s="302">
        <f t="shared" si="10"/>
        <v>0.64532189498243664</v>
      </c>
      <c r="P14" s="302">
        <f t="shared" si="10"/>
        <v>0.64978091532959614</v>
      </c>
      <c r="Q14" s="302">
        <f t="shared" si="10"/>
        <v>0.65519846209085919</v>
      </c>
      <c r="R14" s="302">
        <f t="shared" si="10"/>
        <v>0.66354075134000512</v>
      </c>
      <c r="S14" s="302">
        <f t="shared" si="10"/>
        <v>0.67517474595502291</v>
      </c>
      <c r="T14" s="302">
        <f t="shared" si="10"/>
        <v>0.68918452545435682</v>
      </c>
      <c r="U14" s="302">
        <f t="shared" si="10"/>
        <v>0.70600472154685723</v>
      </c>
      <c r="V14" s="302">
        <f t="shared" si="10"/>
        <v>0.72612646933584912</v>
      </c>
      <c r="W14" s="302">
        <f t="shared" si="10"/>
        <v>0.75009424833231508</v>
      </c>
      <c r="X14" s="302">
        <f t="shared" si="10"/>
        <v>0.7784969637971525</v>
      </c>
      <c r="Y14" s="302">
        <f t="shared" si="10"/>
        <v>0.81195114101372223</v>
      </c>
      <c r="Z14" s="302">
        <f t="shared" si="10"/>
        <v>0.85107404914667728</v>
      </c>
      <c r="AA14" s="302">
        <f t="shared" si="10"/>
        <v>0.89644496647725369</v>
      </c>
      <c r="AB14" s="302">
        <f t="shared" si="10"/>
        <v>0.94855390062527623</v>
      </c>
      <c r="AC14" s="302">
        <f t="shared" si="10"/>
        <v>1.0077391069075106</v>
      </c>
      <c r="AD14" s="302">
        <f t="shared" si="10"/>
        <v>1.0741177520102463</v>
      </c>
      <c r="AE14" s="302">
        <f t="shared" si="10"/>
        <v>1.1475177331394735</v>
      </c>
      <c r="AF14" s="302">
        <f t="shared" si="10"/>
        <v>1.2274221474753717</v>
      </c>
      <c r="AG14" s="302">
        <f t="shared" si="10"/>
        <v>1.3129398679924906</v>
      </c>
      <c r="AH14" s="302">
        <f t="shared" si="10"/>
        <v>1.4028146101937855</v>
      </c>
      <c r="AI14" s="302">
        <f t="shared" si="10"/>
        <v>1.4954797986130848</v>
      </c>
      <c r="AJ14" s="302">
        <f t="shared" si="10"/>
        <v>1.5891578376962534</v>
      </c>
      <c r="AK14" s="302">
        <f t="shared" si="10"/>
        <v>1.681992172837685</v>
      </c>
      <c r="AL14" s="302">
        <f t="shared" si="10"/>
        <v>1.7721921274360872</v>
      </c>
      <c r="AM14" s="302">
        <f t="shared" ref="AM14:BO14" si="11">AM81*AM148</f>
        <v>1.8581670608214715</v>
      </c>
      <c r="AN14" s="302">
        <f t="shared" si="11"/>
        <v>1.9386292745052902</v>
      </c>
      <c r="AO14" s="302">
        <f t="shared" si="11"/>
        <v>2.0126531542508421</v>
      </c>
      <c r="AP14" s="302">
        <f t="shared" si="11"/>
        <v>2.0796882354647481</v>
      </c>
      <c r="AQ14" s="302">
        <f t="shared" si="11"/>
        <v>2.1395328352570022</v>
      </c>
      <c r="AR14" s="302">
        <f t="shared" si="11"/>
        <v>2.1922803434185014</v>
      </c>
      <c r="AS14" s="302">
        <f t="shared" si="11"/>
        <v>2.2382516771160139</v>
      </c>
      <c r="AT14" s="302">
        <f t="shared" si="11"/>
        <v>2.277925660079632</v>
      </c>
      <c r="AU14" s="302">
        <f t="shared" si="11"/>
        <v>2.3118756800417914</v>
      </c>
      <c r="AV14" s="302">
        <f t="shared" si="11"/>
        <v>2.3407172883360223</v>
      </c>
      <c r="AW14" s="302">
        <f t="shared" si="11"/>
        <v>2.3650683211358614</v>
      </c>
      <c r="AX14" s="302">
        <f t="shared" si="11"/>
        <v>2.3855210008847023</v>
      </c>
      <c r="AY14" s="302">
        <f t="shared" si="11"/>
        <v>2.4026242973309411</v>
      </c>
      <c r="AZ14" s="302">
        <f t="shared" si="11"/>
        <v>2.4168743784289388</v>
      </c>
      <c r="BA14" s="302">
        <f t="shared" si="11"/>
        <v>2.4287110057645771</v>
      </c>
      <c r="BB14" s="302">
        <f t="shared" si="11"/>
        <v>2.4385180064103795</v>
      </c>
      <c r="BC14" s="302">
        <f t="shared" si="11"/>
        <v>2.4466263263785994</v>
      </c>
      <c r="BD14" s="302">
        <f t="shared" si="11"/>
        <v>2.454356171952528</v>
      </c>
      <c r="BE14" s="302">
        <f t="shared" si="11"/>
        <v>2.4624643961145676</v>
      </c>
      <c r="BF14" s="302">
        <f t="shared" si="11"/>
        <v>2.4691565449264905</v>
      </c>
      <c r="BG14" s="302">
        <f t="shared" si="11"/>
        <v>2.4746720057715561</v>
      </c>
      <c r="BH14" s="302">
        <f t="shared" si="11"/>
        <v>2.4792122999381232</v>
      </c>
      <c r="BI14" s="302">
        <f t="shared" si="11"/>
        <v>2.4829462026178546</v>
      </c>
      <c r="BJ14" s="302">
        <f t="shared" si="11"/>
        <v>2.4860144752813178</v>
      </c>
      <c r="BK14" s="302">
        <f t="shared" si="11"/>
        <v>2.4885341175902043</v>
      </c>
      <c r="BL14" s="302">
        <f t="shared" si="11"/>
        <v>2.4906021100609834</v>
      </c>
      <c r="BM14" s="302">
        <f t="shared" si="11"/>
        <v>2.4922986583837075</v>
      </c>
      <c r="BN14" s="302">
        <f t="shared" si="11"/>
        <v>2.4936899730492104</v>
      </c>
      <c r="BO14" s="775">
        <f t="shared" si="11"/>
        <v>2.4948306293356906</v>
      </c>
      <c r="BP14" s="223"/>
      <c r="BX14" s="139"/>
      <c r="DJ14" s="27"/>
      <c r="DK14" s="27"/>
      <c r="DL14" s="427"/>
      <c r="DM14" s="421"/>
      <c r="DN14" s="421"/>
      <c r="DO14" s="421"/>
      <c r="DP14" s="421"/>
      <c r="DQ14" s="421"/>
      <c r="DR14" s="421"/>
      <c r="DS14" s="421"/>
      <c r="DT14" s="421"/>
      <c r="DU14" s="421"/>
      <c r="DV14" s="421"/>
      <c r="DW14" s="421"/>
      <c r="DX14" s="421"/>
      <c r="DY14" s="421"/>
      <c r="DZ14" s="421"/>
      <c r="EA14" s="421"/>
      <c r="EB14" s="421"/>
      <c r="EC14" s="421"/>
      <c r="ED14" s="421"/>
      <c r="EE14" s="421"/>
      <c r="EF14" s="421"/>
      <c r="EG14" s="421"/>
      <c r="EH14" s="27"/>
      <c r="EI14" s="27"/>
      <c r="EJ14" s="27"/>
      <c r="EK14" s="427"/>
      <c r="EL14" s="421"/>
      <c r="EM14" s="421"/>
      <c r="EN14" s="421"/>
      <c r="EO14" s="421"/>
      <c r="EP14" s="421"/>
      <c r="EQ14" s="421"/>
      <c r="ER14" s="421"/>
      <c r="ES14" s="421"/>
      <c r="ET14" s="421"/>
      <c r="EU14" s="421"/>
      <c r="EV14" s="421"/>
      <c r="EW14" s="421"/>
      <c r="EX14" s="421"/>
      <c r="EY14" s="421"/>
      <c r="EZ14" s="421"/>
      <c r="FA14" s="421"/>
      <c r="FB14" s="421"/>
      <c r="FC14" s="421"/>
      <c r="FD14" s="421"/>
      <c r="FE14" s="421"/>
      <c r="FF14" s="421"/>
      <c r="FG14" s="27"/>
      <c r="FH14" s="27"/>
      <c r="FI14" s="27"/>
      <c r="FJ14" s="427"/>
      <c r="FK14" s="421"/>
      <c r="FL14" s="421"/>
      <c r="FM14" s="421"/>
      <c r="FN14" s="421"/>
      <c r="FO14" s="421"/>
      <c r="FP14" s="421"/>
      <c r="FQ14" s="421"/>
      <c r="FR14" s="421"/>
      <c r="FS14" s="421"/>
      <c r="FT14" s="421"/>
      <c r="FU14" s="421"/>
      <c r="FV14" s="421"/>
      <c r="FW14" s="421"/>
      <c r="FX14" s="421"/>
      <c r="FY14" s="421"/>
      <c r="FZ14" s="421"/>
      <c r="GA14" s="421"/>
      <c r="GB14" s="421"/>
      <c r="GC14" s="421"/>
      <c r="GD14" s="421"/>
      <c r="GE14" s="421"/>
      <c r="GF14" s="27"/>
    </row>
    <row r="15" spans="1:188" ht="42" customHeight="1">
      <c r="C15" s="423"/>
      <c r="D15" s="428"/>
      <c r="E15" s="445">
        <v>1.25</v>
      </c>
      <c r="F15" s="444">
        <f t="shared" si="3"/>
        <v>2.4613834932817462</v>
      </c>
      <c r="G15" s="774">
        <f t="shared" ref="G15:AL15" si="12">G82*G149</f>
        <v>0.60559513284694122</v>
      </c>
      <c r="H15" s="302">
        <f t="shared" si="12"/>
        <v>0.60905735256029181</v>
      </c>
      <c r="I15" s="302">
        <f t="shared" si="12"/>
        <v>0.60905057402458851</v>
      </c>
      <c r="J15" s="302">
        <f t="shared" si="12"/>
        <v>0.61189527718043957</v>
      </c>
      <c r="K15" s="302">
        <f t="shared" si="12"/>
        <v>0.61189054861418823</v>
      </c>
      <c r="L15" s="302">
        <f t="shared" si="12"/>
        <v>0.6142271439504895</v>
      </c>
      <c r="M15" s="302">
        <f t="shared" si="12"/>
        <v>0.6361252793780674</v>
      </c>
      <c r="N15" s="302">
        <f t="shared" si="12"/>
        <v>0.63859749380921571</v>
      </c>
      <c r="O15" s="302">
        <f t="shared" si="12"/>
        <v>0.64160932015406247</v>
      </c>
      <c r="P15" s="302">
        <f t="shared" si="12"/>
        <v>0.64527557048993756</v>
      </c>
      <c r="Q15" s="302">
        <f t="shared" si="12"/>
        <v>0.65038731725637944</v>
      </c>
      <c r="R15" s="302">
        <f t="shared" si="12"/>
        <v>0.66002371012022643</v>
      </c>
      <c r="S15" s="302">
        <f t="shared" si="12"/>
        <v>0.67165690324669813</v>
      </c>
      <c r="T15" s="302">
        <f t="shared" si="12"/>
        <v>0.68566582327261916</v>
      </c>
      <c r="U15" s="302">
        <f t="shared" si="12"/>
        <v>0.70248516639474123</v>
      </c>
      <c r="V15" s="302">
        <f t="shared" si="12"/>
        <v>0.72260613623061554</v>
      </c>
      <c r="W15" s="302">
        <f t="shared" si="12"/>
        <v>0.74657328469723194</v>
      </c>
      <c r="X15" s="302">
        <f t="shared" si="12"/>
        <v>0.77497559233836277</v>
      </c>
      <c r="Y15" s="302">
        <f t="shared" si="12"/>
        <v>0.80842966059255483</v>
      </c>
      <c r="Z15" s="302">
        <f t="shared" si="12"/>
        <v>0.84755283251893498</v>
      </c>
      <c r="AA15" s="302">
        <f t="shared" si="12"/>
        <v>0.89292445365007167</v>
      </c>
      <c r="AB15" s="302">
        <f t="shared" si="12"/>
        <v>0.9450345865787636</v>
      </c>
      <c r="AC15" s="302">
        <f t="shared" si="12"/>
        <v>1.0042215226927473</v>
      </c>
      <c r="AD15" s="302">
        <f t="shared" si="12"/>
        <v>1.0706024389239397</v>
      </c>
      <c r="AE15" s="302">
        <f t="shared" si="12"/>
        <v>1.1440052108619758</v>
      </c>
      <c r="AF15" s="302">
        <f t="shared" si="12"/>
        <v>1.2239128786248488</v>
      </c>
      <c r="AG15" s="302">
        <f t="shared" si="12"/>
        <v>1.3094342231244864</v>
      </c>
      <c r="AH15" s="302">
        <f t="shared" si="12"/>
        <v>1.3993128383008724</v>
      </c>
      <c r="AI15" s="302">
        <f t="shared" si="12"/>
        <v>1.4919820081054411</v>
      </c>
      <c r="AJ15" s="302">
        <f t="shared" si="12"/>
        <v>1.5856639914166608</v>
      </c>
      <c r="AK15" s="302">
        <f t="shared" si="12"/>
        <v>1.6785020981272256</v>
      </c>
      <c r="AL15" s="302">
        <f t="shared" si="12"/>
        <v>1.7687055393370272</v>
      </c>
      <c r="AM15" s="302">
        <f t="shared" ref="AM15:BO15" si="13">AM82*AM149</f>
        <v>1.8546835940911688</v>
      </c>
      <c r="AN15" s="302">
        <f t="shared" si="13"/>
        <v>1.9351485189242921</v>
      </c>
      <c r="AO15" s="302">
        <f t="shared" si="13"/>
        <v>2.0091746879515289</v>
      </c>
      <c r="AP15" s="302">
        <f t="shared" si="13"/>
        <v>2.0762116523774536</v>
      </c>
      <c r="AQ15" s="302">
        <f t="shared" si="13"/>
        <v>2.1360577646588848</v>
      </c>
      <c r="AR15" s="302">
        <f t="shared" si="13"/>
        <v>2.1888064613624523</v>
      </c>
      <c r="AS15" s="302">
        <f t="shared" si="13"/>
        <v>2.2347787108105117</v>
      </c>
      <c r="AT15" s="302">
        <f t="shared" si="13"/>
        <v>2.2744533869580912</v>
      </c>
      <c r="AU15" s="302">
        <f t="shared" si="13"/>
        <v>2.3084039233860634</v>
      </c>
      <c r="AV15" s="302">
        <f t="shared" si="13"/>
        <v>2.3372459110884827</v>
      </c>
      <c r="AW15" s="302">
        <f t="shared" si="13"/>
        <v>2.3615972191389356</v>
      </c>
      <c r="AX15" s="302">
        <f t="shared" si="13"/>
        <v>2.382050096368737</v>
      </c>
      <c r="AY15" s="302">
        <f t="shared" si="13"/>
        <v>2.3991535331136569</v>
      </c>
      <c r="AZ15" s="302">
        <f t="shared" si="13"/>
        <v>2.4134037130239636</v>
      </c>
      <c r="BA15" s="302">
        <f t="shared" si="13"/>
        <v>2.4252404094220061</v>
      </c>
      <c r="BB15" s="302">
        <f t="shared" si="13"/>
        <v>2.435047458012499</v>
      </c>
      <c r="BC15" s="302">
        <f t="shared" si="13"/>
        <v>2.4431558110675766</v>
      </c>
      <c r="BD15" s="302">
        <f t="shared" si="13"/>
        <v>2.4498480523797612</v>
      </c>
      <c r="BE15" s="302">
        <f t="shared" si="13"/>
        <v>2.4561696247902374</v>
      </c>
      <c r="BF15" s="302">
        <f t="shared" si="13"/>
        <v>2.4624644316262687</v>
      </c>
      <c r="BG15" s="302">
        <f t="shared" si="13"/>
        <v>2.4691565663234911</v>
      </c>
      <c r="BH15" s="302">
        <f t="shared" si="13"/>
        <v>2.4746720167569007</v>
      </c>
      <c r="BI15" s="302">
        <f t="shared" si="13"/>
        <v>2.4792123033249251</v>
      </c>
      <c r="BJ15" s="302">
        <f t="shared" si="13"/>
        <v>2.4829462005222549</v>
      </c>
      <c r="BK15" s="302">
        <f t="shared" si="13"/>
        <v>2.4860144692843531</v>
      </c>
      <c r="BL15" s="302">
        <f t="shared" si="13"/>
        <v>2.4885341088682149</v>
      </c>
      <c r="BM15" s="302">
        <f t="shared" si="13"/>
        <v>2.4906020994880085</v>
      </c>
      <c r="BN15" s="302">
        <f t="shared" si="13"/>
        <v>2.4922986466102421</v>
      </c>
      <c r="BO15" s="775">
        <f t="shared" si="13"/>
        <v>2.493689960561678</v>
      </c>
      <c r="BP15" s="223"/>
      <c r="BX15" s="139"/>
      <c r="DJ15" s="27"/>
      <c r="DK15" s="27"/>
      <c r="DL15" s="427"/>
      <c r="DM15" s="421"/>
      <c r="DN15" s="421"/>
      <c r="DO15" s="421"/>
      <c r="DP15" s="421"/>
      <c r="DQ15" s="421"/>
      <c r="DR15" s="421"/>
      <c r="DS15" s="421"/>
      <c r="DT15" s="421"/>
      <c r="DU15" s="421"/>
      <c r="DV15" s="421"/>
      <c r="DW15" s="421"/>
      <c r="DX15" s="421"/>
      <c r="DY15" s="421"/>
      <c r="DZ15" s="421"/>
      <c r="EA15" s="421"/>
      <c r="EB15" s="421"/>
      <c r="EC15" s="421"/>
      <c r="ED15" s="421"/>
      <c r="EE15" s="421"/>
      <c r="EF15" s="421"/>
      <c r="EG15" s="421"/>
      <c r="EH15" s="27"/>
      <c r="EI15" s="27"/>
      <c r="EJ15" s="27"/>
      <c r="EK15" s="427"/>
      <c r="EL15" s="421"/>
      <c r="EM15" s="421"/>
      <c r="EN15" s="421"/>
      <c r="EO15" s="421"/>
      <c r="EP15" s="421"/>
      <c r="EQ15" s="421"/>
      <c r="ER15" s="421"/>
      <c r="ES15" s="421"/>
      <c r="ET15" s="421"/>
      <c r="EU15" s="421"/>
      <c r="EV15" s="421"/>
      <c r="EW15" s="421"/>
      <c r="EX15" s="421"/>
      <c r="EY15" s="421"/>
      <c r="EZ15" s="421"/>
      <c r="FA15" s="421"/>
      <c r="FB15" s="421"/>
      <c r="FC15" s="421"/>
      <c r="FD15" s="421"/>
      <c r="FE15" s="421"/>
      <c r="FF15" s="421"/>
      <c r="FG15" s="27"/>
      <c r="FH15" s="27"/>
      <c r="FI15" s="27"/>
      <c r="FJ15" s="427"/>
      <c r="FK15" s="421"/>
      <c r="FL15" s="421"/>
      <c r="FM15" s="421"/>
      <c r="FN15" s="421"/>
      <c r="FO15" s="421"/>
      <c r="FP15" s="421"/>
      <c r="FQ15" s="421"/>
      <c r="FR15" s="421"/>
      <c r="FS15" s="421"/>
      <c r="FT15" s="421"/>
      <c r="FU15" s="421"/>
      <c r="FV15" s="421"/>
      <c r="FW15" s="421"/>
      <c r="FX15" s="421"/>
      <c r="FY15" s="421"/>
      <c r="FZ15" s="421"/>
      <c r="GA15" s="421"/>
      <c r="GB15" s="421"/>
      <c r="GC15" s="421"/>
      <c r="GD15" s="421"/>
      <c r="GE15" s="421"/>
      <c r="GF15" s="27"/>
    </row>
    <row r="16" spans="1:188" ht="42" customHeight="1">
      <c r="C16" s="424"/>
      <c r="D16" s="423"/>
      <c r="E16" s="443">
        <v>1.2</v>
      </c>
      <c r="F16" s="444">
        <f t="shared" si="3"/>
        <v>2.4529409842437024</v>
      </c>
      <c r="G16" s="774">
        <f t="shared" ref="G16:AL16" si="14">G83*G150</f>
        <v>0.6013311984183789</v>
      </c>
      <c r="H16" s="302">
        <f t="shared" si="14"/>
        <v>0.60553944459800313</v>
      </c>
      <c r="I16" s="302">
        <f t="shared" si="14"/>
        <v>0.60552870745376464</v>
      </c>
      <c r="J16" s="302">
        <f t="shared" si="14"/>
        <v>0.60898894378258428</v>
      </c>
      <c r="K16" s="302">
        <f t="shared" si="14"/>
        <v>0.60898135582272828</v>
      </c>
      <c r="L16" s="302">
        <f t="shared" si="14"/>
        <v>0.61182560609860159</v>
      </c>
      <c r="M16" s="302">
        <f t="shared" si="14"/>
        <v>0.6118212812702577</v>
      </c>
      <c r="N16" s="302">
        <f t="shared" si="14"/>
        <v>0.63853063744644878</v>
      </c>
      <c r="O16" s="302">
        <f t="shared" si="14"/>
        <v>0.64154145137281937</v>
      </c>
      <c r="P16" s="302">
        <f t="shared" si="14"/>
        <v>0.64520697395098325</v>
      </c>
      <c r="Q16" s="302">
        <f t="shared" si="14"/>
        <v>0.64966525428191313</v>
      </c>
      <c r="R16" s="302">
        <f t="shared" si="14"/>
        <v>0.65573353609209517</v>
      </c>
      <c r="S16" s="302">
        <f t="shared" si="14"/>
        <v>0.66736553760417971</v>
      </c>
      <c r="T16" s="302">
        <f t="shared" si="14"/>
        <v>0.68137319474153979</v>
      </c>
      <c r="U16" s="302">
        <f t="shared" si="14"/>
        <v>0.69819131271224688</v>
      </c>
      <c r="V16" s="302">
        <f t="shared" si="14"/>
        <v>0.71831121047194224</v>
      </c>
      <c r="W16" s="302">
        <f t="shared" si="14"/>
        <v>0.74227756041717896</v>
      </c>
      <c r="X16" s="302">
        <f t="shared" si="14"/>
        <v>0.77067946571824308</v>
      </c>
      <c r="Y16" s="302">
        <f t="shared" si="14"/>
        <v>0.80413364772686879</v>
      </c>
      <c r="Z16" s="302">
        <f t="shared" si="14"/>
        <v>0.84325755999571139</v>
      </c>
      <c r="AA16" s="302">
        <f t="shared" si="14"/>
        <v>0.88863064075690956</v>
      </c>
      <c r="AB16" s="302">
        <f t="shared" si="14"/>
        <v>0.94074301792846582</v>
      </c>
      <c r="AC16" s="302">
        <f t="shared" si="14"/>
        <v>0.99993301095878462</v>
      </c>
      <c r="AD16" s="302">
        <f t="shared" si="14"/>
        <v>1.0663177788117904</v>
      </c>
      <c r="AE16" s="302">
        <f t="shared" si="14"/>
        <v>1.1397251273584346</v>
      </c>
      <c r="AF16" s="302">
        <f t="shared" si="14"/>
        <v>1.2196379746309476</v>
      </c>
      <c r="AG16" s="302">
        <f t="shared" si="14"/>
        <v>1.3051649331737365</v>
      </c>
      <c r="AH16" s="302">
        <f t="shared" si="14"/>
        <v>1.3950493954632088</v>
      </c>
      <c r="AI16" s="302">
        <f t="shared" si="14"/>
        <v>1.4877244298580077</v>
      </c>
      <c r="AJ16" s="302">
        <f t="shared" si="14"/>
        <v>1.5814120872495046</v>
      </c>
      <c r="AK16" s="302">
        <f t="shared" si="14"/>
        <v>1.6742554976470234</v>
      </c>
      <c r="AL16" s="302">
        <f t="shared" si="14"/>
        <v>1.7644637358070256</v>
      </c>
      <c r="AM16" s="302">
        <f t="shared" ref="AM16:BO16" si="15">AM83*AM150</f>
        <v>1.8504459958597312</v>
      </c>
      <c r="AN16" s="302">
        <f t="shared" si="15"/>
        <v>1.9309145006935147</v>
      </c>
      <c r="AO16" s="302">
        <f t="shared" si="15"/>
        <v>2.0049436352183343</v>
      </c>
      <c r="AP16" s="302">
        <f t="shared" si="15"/>
        <v>2.0719829949313149</v>
      </c>
      <c r="AQ16" s="302">
        <f t="shared" si="15"/>
        <v>2.1318309978124179</v>
      </c>
      <c r="AR16" s="302">
        <f t="shared" si="15"/>
        <v>2.1845811558661601</v>
      </c>
      <c r="AS16" s="302">
        <f t="shared" si="15"/>
        <v>2.2305545137858092</v>
      </c>
      <c r="AT16" s="302">
        <f t="shared" si="15"/>
        <v>2.2702300166716749</v>
      </c>
      <c r="AU16" s="302">
        <f t="shared" si="15"/>
        <v>2.3041811605142275</v>
      </c>
      <c r="AV16" s="302">
        <f t="shared" si="15"/>
        <v>2.333023588581244</v>
      </c>
      <c r="AW16" s="302">
        <f t="shared" si="15"/>
        <v>2.3573752121461835</v>
      </c>
      <c r="AX16" s="302">
        <f t="shared" si="15"/>
        <v>2.377828313098612</v>
      </c>
      <c r="AY16" s="302">
        <f t="shared" si="15"/>
        <v>2.3949319070338997</v>
      </c>
      <c r="AZ16" s="302">
        <f t="shared" si="15"/>
        <v>2.4091821965041156</v>
      </c>
      <c r="BA16" s="302">
        <f t="shared" si="15"/>
        <v>2.4210189687283825</v>
      </c>
      <c r="BB16" s="302">
        <f t="shared" si="15"/>
        <v>2.4308260694760255</v>
      </c>
      <c r="BC16" s="302">
        <f t="shared" si="15"/>
        <v>2.4389344582150509</v>
      </c>
      <c r="BD16" s="302">
        <f t="shared" si="15"/>
        <v>2.4466263311207417</v>
      </c>
      <c r="BE16" s="302">
        <f t="shared" si="15"/>
        <v>2.4543561681823225</v>
      </c>
      <c r="BF16" s="302">
        <f t="shared" si="15"/>
        <v>2.4624643846438201</v>
      </c>
      <c r="BG16" s="302">
        <f t="shared" si="15"/>
        <v>2.4691565269062492</v>
      </c>
      <c r="BH16" s="302">
        <f t="shared" si="15"/>
        <v>2.4746719824342973</v>
      </c>
      <c r="BI16" s="302">
        <f t="shared" si="15"/>
        <v>2.4792122724411501</v>
      </c>
      <c r="BJ16" s="302">
        <f t="shared" si="15"/>
        <v>2.4829461719799615</v>
      </c>
      <c r="BK16" s="302">
        <f t="shared" si="15"/>
        <v>2.4860144423680324</v>
      </c>
      <c r="BL16" s="302">
        <f t="shared" si="15"/>
        <v>2.4885340831230707</v>
      </c>
      <c r="BM16" s="302">
        <f t="shared" si="15"/>
        <v>2.4906020746371507</v>
      </c>
      <c r="BN16" s="302">
        <f t="shared" si="15"/>
        <v>2.4922986224981041</v>
      </c>
      <c r="BO16" s="775">
        <f t="shared" si="15"/>
        <v>2.493689937115271</v>
      </c>
      <c r="BP16" s="223"/>
      <c r="BX16" s="139"/>
      <c r="DJ16" s="27"/>
      <c r="DK16" s="27"/>
      <c r="DL16" s="427"/>
      <c r="DM16" s="421"/>
      <c r="DN16" s="421"/>
      <c r="DO16" s="421"/>
      <c r="DP16" s="421"/>
      <c r="DQ16" s="421"/>
      <c r="DR16" s="421"/>
      <c r="DS16" s="421"/>
      <c r="DT16" s="421"/>
      <c r="DU16" s="421"/>
      <c r="DV16" s="421"/>
      <c r="DW16" s="421"/>
      <c r="DX16" s="421"/>
      <c r="DY16" s="421"/>
      <c r="DZ16" s="421"/>
      <c r="EA16" s="421"/>
      <c r="EB16" s="421"/>
      <c r="EC16" s="421"/>
      <c r="ED16" s="421"/>
      <c r="EE16" s="421"/>
      <c r="EF16" s="421"/>
      <c r="EG16" s="421"/>
      <c r="EH16" s="27"/>
      <c r="EI16" s="27"/>
      <c r="EJ16" s="27"/>
      <c r="EK16" s="427"/>
      <c r="EL16" s="421"/>
      <c r="EM16" s="421"/>
      <c r="EN16" s="421"/>
      <c r="EO16" s="421"/>
      <c r="EP16" s="421"/>
      <c r="EQ16" s="421"/>
      <c r="ER16" s="421"/>
      <c r="ES16" s="421"/>
      <c r="ET16" s="421"/>
      <c r="EU16" s="421"/>
      <c r="EV16" s="421"/>
      <c r="EW16" s="421"/>
      <c r="EX16" s="421"/>
      <c r="EY16" s="421"/>
      <c r="EZ16" s="421"/>
      <c r="FA16" s="421"/>
      <c r="FB16" s="421"/>
      <c r="FC16" s="421"/>
      <c r="FD16" s="421"/>
      <c r="FE16" s="421"/>
      <c r="FF16" s="421"/>
      <c r="FG16" s="27"/>
      <c r="FH16" s="27"/>
      <c r="FI16" s="27"/>
      <c r="FJ16" s="427"/>
      <c r="FK16" s="421"/>
      <c r="FL16" s="421"/>
      <c r="FM16" s="421"/>
      <c r="FN16" s="421"/>
      <c r="FO16" s="421"/>
      <c r="FP16" s="421"/>
      <c r="FQ16" s="421"/>
      <c r="FR16" s="421"/>
      <c r="FS16" s="421"/>
      <c r="FT16" s="421"/>
      <c r="FU16" s="421"/>
      <c r="FV16" s="421"/>
      <c r="FW16" s="421"/>
      <c r="FX16" s="421"/>
      <c r="FY16" s="421"/>
      <c r="FZ16" s="421"/>
      <c r="GA16" s="421"/>
      <c r="GB16" s="421"/>
      <c r="GC16" s="421"/>
      <c r="GD16" s="421"/>
      <c r="GE16" s="421"/>
      <c r="GF16" s="27"/>
    </row>
    <row r="17" spans="3:188" ht="42" customHeight="1">
      <c r="C17" s="424"/>
      <c r="D17" s="423"/>
      <c r="E17" s="445">
        <v>1.1499999999999999</v>
      </c>
      <c r="F17" s="444">
        <f t="shared" si="3"/>
        <v>2.4426812427312488</v>
      </c>
      <c r="G17" s="774">
        <f t="shared" ref="G17:AL17" si="16">G84*G151</f>
        <v>0.5961408361546523</v>
      </c>
      <c r="H17" s="302">
        <f t="shared" si="16"/>
        <v>0.60125011536388895</v>
      </c>
      <c r="I17" s="302">
        <f t="shared" si="16"/>
        <v>0.60123311987266581</v>
      </c>
      <c r="J17" s="302">
        <f t="shared" si="16"/>
        <v>0.60543792403196039</v>
      </c>
      <c r="K17" s="302">
        <f t="shared" si="16"/>
        <v>0.60542573219795004</v>
      </c>
      <c r="L17" s="302">
        <f t="shared" si="16"/>
        <v>0.60888505424383799</v>
      </c>
      <c r="M17" s="302">
        <f t="shared" si="16"/>
        <v>0.60887803984270306</v>
      </c>
      <c r="N17" s="302">
        <f t="shared" si="16"/>
        <v>0.61172299960815946</v>
      </c>
      <c r="O17" s="302">
        <f t="shared" si="16"/>
        <v>0.63842815308338718</v>
      </c>
      <c r="P17" s="302">
        <f t="shared" si="16"/>
        <v>0.6414388568187499</v>
      </c>
      <c r="Q17" s="302">
        <f t="shared" si="16"/>
        <v>0.64510421658117101</v>
      </c>
      <c r="R17" s="302">
        <f t="shared" si="16"/>
        <v>0.65050197143886113</v>
      </c>
      <c r="S17" s="302">
        <f t="shared" si="16"/>
        <v>0.66213220217420266</v>
      </c>
      <c r="T17" s="302">
        <f t="shared" si="16"/>
        <v>0.67613800785726652</v>
      </c>
      <c r="U17" s="302">
        <f t="shared" si="16"/>
        <v>0.69295437782165192</v>
      </c>
      <c r="V17" s="302">
        <f t="shared" si="16"/>
        <v>0.71307282486639967</v>
      </c>
      <c r="W17" s="302">
        <f t="shared" si="16"/>
        <v>0.73703822121763463</v>
      </c>
      <c r="X17" s="302">
        <f t="shared" si="16"/>
        <v>0.76543986854309243</v>
      </c>
      <c r="Y17" s="302">
        <f t="shared" si="16"/>
        <v>0.79889467466414144</v>
      </c>
      <c r="Z17" s="302">
        <f t="shared" si="16"/>
        <v>0.83802025407886183</v>
      </c>
      <c r="AA17" s="302">
        <f t="shared" si="16"/>
        <v>0.88339616519029862</v>
      </c>
      <c r="AB17" s="302">
        <f t="shared" si="16"/>
        <v>0.93551259989992652</v>
      </c>
      <c r="AC17" s="302">
        <f t="shared" si="16"/>
        <v>0.99470787202619226</v>
      </c>
      <c r="AD17" s="302">
        <f t="shared" si="16"/>
        <v>1.0610990564343576</v>
      </c>
      <c r="AE17" s="302">
        <f t="shared" si="16"/>
        <v>1.1345137948003889</v>
      </c>
      <c r="AF17" s="302">
        <f t="shared" si="16"/>
        <v>1.2144347685509298</v>
      </c>
      <c r="AG17" s="302">
        <f t="shared" si="16"/>
        <v>1.2999702989071589</v>
      </c>
      <c r="AH17" s="302">
        <f t="shared" si="16"/>
        <v>1.3898634586119565</v>
      </c>
      <c r="AI17" s="302">
        <f t="shared" si="16"/>
        <v>1.4825469991530518</v>
      </c>
      <c r="AJ17" s="302">
        <f t="shared" si="16"/>
        <v>1.5762426883797225</v>
      </c>
      <c r="AK17" s="302">
        <f t="shared" si="16"/>
        <v>1.6690934322090294</v>
      </c>
      <c r="AL17" s="302">
        <f t="shared" si="16"/>
        <v>1.759308155329887</v>
      </c>
      <c r="AM17" s="302">
        <f t="shared" ref="AM17:BO17" si="17">AM84*AM151</f>
        <v>1.8452959791773138</v>
      </c>
      <c r="AN17" s="302">
        <f t="shared" si="17"/>
        <v>1.9257691240449233</v>
      </c>
      <c r="AO17" s="302">
        <f t="shared" si="17"/>
        <v>1.9998020276683293</v>
      </c>
      <c r="AP17" s="302">
        <f t="shared" si="17"/>
        <v>2.0668443757754584</v>
      </c>
      <c r="AQ17" s="302">
        <f t="shared" si="17"/>
        <v>2.1266946963375908</v>
      </c>
      <c r="AR17" s="302">
        <f t="shared" si="17"/>
        <v>2.1794466163908681</v>
      </c>
      <c r="AS17" s="302">
        <f t="shared" si="17"/>
        <v>2.2254212900915307</v>
      </c>
      <c r="AT17" s="302">
        <f t="shared" si="17"/>
        <v>2.2650977599820368</v>
      </c>
      <c r="AU17" s="302">
        <f t="shared" si="17"/>
        <v>2.299049604509797</v>
      </c>
      <c r="AV17" s="302">
        <f t="shared" si="17"/>
        <v>2.3278925339763923</v>
      </c>
      <c r="AW17" s="302">
        <f t="shared" si="17"/>
        <v>2.3522445124053086</v>
      </c>
      <c r="AX17" s="302">
        <f t="shared" si="17"/>
        <v>2.3726978620956802</v>
      </c>
      <c r="AY17" s="302">
        <f t="shared" si="17"/>
        <v>2.3898016289125588</v>
      </c>
      <c r="AZ17" s="302">
        <f t="shared" si="17"/>
        <v>2.4040520376583081</v>
      </c>
      <c r="BA17" s="302">
        <f t="shared" si="17"/>
        <v>2.4158888916480619</v>
      </c>
      <c r="BB17" s="302">
        <f t="shared" si="17"/>
        <v>2.4256960481373526</v>
      </c>
      <c r="BC17" s="302">
        <f t="shared" si="17"/>
        <v>2.4350474776778088</v>
      </c>
      <c r="BD17" s="302">
        <f t="shared" si="17"/>
        <v>2.4431558147904719</v>
      </c>
      <c r="BE17" s="302">
        <f t="shared" si="17"/>
        <v>2.4498480421555153</v>
      </c>
      <c r="BF17" s="302">
        <f t="shared" si="17"/>
        <v>2.4561696029493612</v>
      </c>
      <c r="BG17" s="302">
        <f t="shared" si="17"/>
        <v>2.4624644004354388</v>
      </c>
      <c r="BH17" s="302">
        <f t="shared" si="17"/>
        <v>2.4691565278280181</v>
      </c>
      <c r="BI17" s="302">
        <f t="shared" si="17"/>
        <v>2.474671972730595</v>
      </c>
      <c r="BJ17" s="302">
        <f t="shared" si="17"/>
        <v>2.479212255246229</v>
      </c>
      <c r="BK17" s="302">
        <f t="shared" si="17"/>
        <v>2.4829461496033782</v>
      </c>
      <c r="BL17" s="302">
        <f t="shared" si="17"/>
        <v>2.4860144165136391</v>
      </c>
      <c r="BM17" s="302">
        <f t="shared" si="17"/>
        <v>2.4885340550539743</v>
      </c>
      <c r="BN17" s="302">
        <f t="shared" si="17"/>
        <v>2.4906020452979711</v>
      </c>
      <c r="BO17" s="775">
        <f t="shared" si="17"/>
        <v>2.4922985926041696</v>
      </c>
      <c r="BP17" s="223"/>
      <c r="BX17" s="139"/>
      <c r="DJ17" s="27"/>
      <c r="DK17" s="27"/>
      <c r="DL17" s="427"/>
      <c r="DM17" s="421"/>
      <c r="DN17" s="421"/>
      <c r="DO17" s="421"/>
      <c r="DP17" s="421"/>
      <c r="DQ17" s="421"/>
      <c r="DR17" s="421"/>
      <c r="DS17" s="421"/>
      <c r="DT17" s="421"/>
      <c r="DU17" s="421"/>
      <c r="DV17" s="421"/>
      <c r="DW17" s="421"/>
      <c r="DX17" s="421"/>
      <c r="DY17" s="421"/>
      <c r="DZ17" s="421"/>
      <c r="EA17" s="421"/>
      <c r="EB17" s="421"/>
      <c r="EC17" s="421"/>
      <c r="ED17" s="421"/>
      <c r="EE17" s="421"/>
      <c r="EF17" s="421"/>
      <c r="EG17" s="421"/>
      <c r="EH17" s="27"/>
      <c r="EI17" s="27"/>
      <c r="EJ17" s="27"/>
      <c r="EK17" s="427"/>
      <c r="EL17" s="421"/>
      <c r="EM17" s="421"/>
      <c r="EN17" s="421"/>
      <c r="EO17" s="421"/>
      <c r="EP17" s="421"/>
      <c r="EQ17" s="421"/>
      <c r="ER17" s="421"/>
      <c r="ES17" s="421"/>
      <c r="ET17" s="421"/>
      <c r="EU17" s="421"/>
      <c r="EV17" s="421"/>
      <c r="EW17" s="421"/>
      <c r="EX17" s="421"/>
      <c r="EY17" s="421"/>
      <c r="EZ17" s="421"/>
      <c r="FA17" s="421"/>
      <c r="FB17" s="421"/>
      <c r="FC17" s="421"/>
      <c r="FD17" s="421"/>
      <c r="FE17" s="421"/>
      <c r="FF17" s="421"/>
      <c r="FG17" s="27"/>
      <c r="FH17" s="27"/>
      <c r="FI17" s="27"/>
      <c r="FJ17" s="427"/>
      <c r="FK17" s="421"/>
      <c r="FL17" s="421"/>
      <c r="FM17" s="421"/>
      <c r="FN17" s="421"/>
      <c r="FO17" s="421"/>
      <c r="FP17" s="421"/>
      <c r="FQ17" s="421"/>
      <c r="FR17" s="421"/>
      <c r="FS17" s="421"/>
      <c r="FT17" s="421"/>
      <c r="FU17" s="421"/>
      <c r="FV17" s="421"/>
      <c r="FW17" s="421"/>
      <c r="FX17" s="421"/>
      <c r="FY17" s="421"/>
      <c r="FZ17" s="421"/>
      <c r="GA17" s="421"/>
      <c r="GB17" s="421"/>
      <c r="GC17" s="421"/>
      <c r="GD17" s="421"/>
      <c r="GE17" s="421"/>
      <c r="GF17" s="27"/>
    </row>
    <row r="18" spans="3:188" ht="42" customHeight="1">
      <c r="C18" s="424"/>
      <c r="D18" s="423"/>
      <c r="E18" s="443">
        <v>1.1000000000000001</v>
      </c>
      <c r="F18" s="444">
        <f t="shared" si="3"/>
        <v>2.4302268340502255</v>
      </c>
      <c r="G18" s="774">
        <f t="shared" ref="G18:AL18" si="18">G85*G152</f>
        <v>0.58982864275096891</v>
      </c>
      <c r="H18" s="302">
        <f t="shared" si="18"/>
        <v>0.59602331233780048</v>
      </c>
      <c r="I18" s="302">
        <f t="shared" si="18"/>
        <v>0.5959964464787072</v>
      </c>
      <c r="J18" s="302">
        <f t="shared" si="18"/>
        <v>0.60100209770643165</v>
      </c>
      <c r="K18" s="302">
        <f t="shared" si="18"/>
        <v>0.60108013623856948</v>
      </c>
      <c r="L18" s="302">
        <f t="shared" si="18"/>
        <v>0.60528313328783812</v>
      </c>
      <c r="M18" s="302">
        <f t="shared" si="18"/>
        <v>0.60527172707688681</v>
      </c>
      <c r="N18" s="302">
        <f t="shared" si="18"/>
        <v>0.60873201729672055</v>
      </c>
      <c r="O18" s="302">
        <f t="shared" si="18"/>
        <v>0.60872741377479722</v>
      </c>
      <c r="P18" s="302">
        <f t="shared" si="18"/>
        <v>0.64128716879016934</v>
      </c>
      <c r="Q18" s="302">
        <f t="shared" si="18"/>
        <v>0.64495136785131835</v>
      </c>
      <c r="R18" s="302">
        <f t="shared" si="18"/>
        <v>0.64940810382333558</v>
      </c>
      <c r="S18" s="302">
        <f t="shared" si="18"/>
        <v>0.65575269254308666</v>
      </c>
      <c r="T18" s="302">
        <f t="shared" si="18"/>
        <v>0.66975579127022278</v>
      </c>
      <c r="U18" s="302">
        <f t="shared" si="18"/>
        <v>0.68656968807771024</v>
      </c>
      <c r="V18" s="302">
        <f t="shared" si="18"/>
        <v>0.70668622105908108</v>
      </c>
      <c r="W18" s="302">
        <f t="shared" si="18"/>
        <v>0.73065059270568211</v>
      </c>
      <c r="X18" s="302">
        <f t="shared" si="18"/>
        <v>0.75905242352163904</v>
      </c>
      <c r="Y18" s="302">
        <f t="shared" si="18"/>
        <v>0.79250890648325134</v>
      </c>
      <c r="Z18" s="302">
        <f t="shared" si="18"/>
        <v>0.8316378815894665</v>
      </c>
      <c r="AA18" s="302">
        <f t="shared" si="18"/>
        <v>0.87701904660538776</v>
      </c>
      <c r="AB18" s="302">
        <f t="shared" si="18"/>
        <v>0.92914262368824196</v>
      </c>
      <c r="AC18" s="302">
        <f t="shared" si="18"/>
        <v>0.98834683269982859</v>
      </c>
      <c r="AD18" s="302">
        <f t="shared" si="18"/>
        <v>1.0547485270290997</v>
      </c>
      <c r="AE18" s="302">
        <f t="shared" si="18"/>
        <v>1.1281750105126298</v>
      </c>
      <c r="AF18" s="302">
        <f t="shared" si="18"/>
        <v>1.2081085365134574</v>
      </c>
      <c r="AG18" s="302">
        <f t="shared" si="18"/>
        <v>1.2936569468194303</v>
      </c>
      <c r="AH18" s="302">
        <f t="shared" si="18"/>
        <v>1.3835628298138347</v>
      </c>
      <c r="AI18" s="302">
        <f t="shared" si="18"/>
        <v>1.4762584945016906</v>
      </c>
      <c r="AJ18" s="302">
        <f t="shared" si="18"/>
        <v>1.5699653475377644</v>
      </c>
      <c r="AK18" s="302">
        <f t="shared" si="18"/>
        <v>1.6628260406651816</v>
      </c>
      <c r="AL18" s="302">
        <f t="shared" si="18"/>
        <v>1.7530493603241621</v>
      </c>
      <c r="AM18" s="302">
        <f t="shared" ref="AM18:BO18" si="19">AM85*AM152</f>
        <v>1.8390443983764597</v>
      </c>
      <c r="AN18" s="302">
        <f t="shared" si="19"/>
        <v>1.9195234347436654</v>
      </c>
      <c r="AO18" s="302">
        <f t="shared" si="19"/>
        <v>1.9935610299731976</v>
      </c>
      <c r="AP18" s="302">
        <f t="shared" si="19"/>
        <v>2.0606070288973091</v>
      </c>
      <c r="AQ18" s="302">
        <f t="shared" si="19"/>
        <v>2.1204601314279325</v>
      </c>
      <c r="AR18" s="302">
        <f t="shared" si="19"/>
        <v>2.1732141317174629</v>
      </c>
      <c r="AS18" s="302">
        <f t="shared" si="19"/>
        <v>2.2191903348863216</v>
      </c>
      <c r="AT18" s="302">
        <f t="shared" si="19"/>
        <v>2.2588679125578888</v>
      </c>
      <c r="AU18" s="302">
        <f t="shared" si="19"/>
        <v>2.2928205488772386</v>
      </c>
      <c r="AV18" s="302">
        <f t="shared" si="19"/>
        <v>2.3216640377194295</v>
      </c>
      <c r="AW18" s="302">
        <f t="shared" si="19"/>
        <v>2.3460164073114118</v>
      </c>
      <c r="AX18" s="302">
        <f t="shared" si="19"/>
        <v>2.3664700281061672</v>
      </c>
      <c r="AY18" s="302">
        <f t="shared" si="19"/>
        <v>2.3835739813652994</v>
      </c>
      <c r="AZ18" s="302">
        <f t="shared" si="19"/>
        <v>2.3978245174715878</v>
      </c>
      <c r="BA18" s="302">
        <f t="shared" si="19"/>
        <v>2.4096614579616085</v>
      </c>
      <c r="BB18" s="302">
        <f t="shared" si="19"/>
        <v>2.4210190194378645</v>
      </c>
      <c r="BC18" s="302">
        <f t="shared" si="19"/>
        <v>2.4308260907600268</v>
      </c>
      <c r="BD18" s="302">
        <f t="shared" si="19"/>
        <v>2.4389344544115459</v>
      </c>
      <c r="BE18" s="302">
        <f t="shared" si="19"/>
        <v>2.44662630681644</v>
      </c>
      <c r="BF18" s="302">
        <f t="shared" si="19"/>
        <v>2.4543561275843597</v>
      </c>
      <c r="BG18" s="302">
        <f t="shared" si="19"/>
        <v>2.4624643313669505</v>
      </c>
      <c r="BH18" s="302">
        <f t="shared" si="19"/>
        <v>2.4691564640297492</v>
      </c>
      <c r="BI18" s="302">
        <f t="shared" si="19"/>
        <v>2.4746719124805336</v>
      </c>
      <c r="BJ18" s="302">
        <f t="shared" si="19"/>
        <v>2.4792121974441752</v>
      </c>
      <c r="BK18" s="302">
        <f t="shared" si="19"/>
        <v>2.4829460935726853</v>
      </c>
      <c r="BL18" s="302">
        <f t="shared" si="19"/>
        <v>2.486014361866864</v>
      </c>
      <c r="BM18" s="302">
        <f t="shared" si="19"/>
        <v>2.4885340016017343</v>
      </c>
      <c r="BN18" s="302">
        <f t="shared" si="19"/>
        <v>2.4906019929867647</v>
      </c>
      <c r="BO18" s="775">
        <f t="shared" si="19"/>
        <v>2.4922985414734229</v>
      </c>
      <c r="BP18" s="223"/>
      <c r="BX18" s="139"/>
      <c r="DJ18" s="27"/>
      <c r="DK18" s="27"/>
      <c r="DL18" s="427"/>
      <c r="DM18" s="421"/>
      <c r="DN18" s="421"/>
      <c r="DO18" s="421"/>
      <c r="DP18" s="421"/>
      <c r="DQ18" s="421"/>
      <c r="DR18" s="421"/>
      <c r="DS18" s="421"/>
      <c r="DT18" s="421"/>
      <c r="DU18" s="421"/>
      <c r="DV18" s="421"/>
      <c r="DW18" s="421"/>
      <c r="DX18" s="421"/>
      <c r="DY18" s="421"/>
      <c r="DZ18" s="421"/>
      <c r="EA18" s="421"/>
      <c r="EB18" s="421"/>
      <c r="EC18" s="421"/>
      <c r="ED18" s="421"/>
      <c r="EE18" s="421"/>
      <c r="EF18" s="421"/>
      <c r="EG18" s="421"/>
      <c r="EH18" s="27"/>
      <c r="EI18" s="27"/>
      <c r="EJ18" s="27"/>
      <c r="EK18" s="427"/>
      <c r="EL18" s="421"/>
      <c r="EM18" s="421"/>
      <c r="EN18" s="421"/>
      <c r="EO18" s="421"/>
      <c r="EP18" s="421"/>
      <c r="EQ18" s="421"/>
      <c r="ER18" s="421"/>
      <c r="ES18" s="421"/>
      <c r="ET18" s="421"/>
      <c r="EU18" s="421"/>
      <c r="EV18" s="421"/>
      <c r="EW18" s="421"/>
      <c r="EX18" s="421"/>
      <c r="EY18" s="421"/>
      <c r="EZ18" s="421"/>
      <c r="FA18" s="421"/>
      <c r="FB18" s="421"/>
      <c r="FC18" s="421"/>
      <c r="FD18" s="421"/>
      <c r="FE18" s="421"/>
      <c r="FF18" s="421"/>
      <c r="FG18" s="27"/>
      <c r="FH18" s="27"/>
      <c r="FI18" s="27"/>
      <c r="FJ18" s="427"/>
      <c r="FK18" s="421"/>
      <c r="FL18" s="421"/>
      <c r="FM18" s="421"/>
      <c r="FN18" s="421"/>
      <c r="FO18" s="421"/>
      <c r="FP18" s="421"/>
      <c r="FQ18" s="421"/>
      <c r="FR18" s="421"/>
      <c r="FS18" s="421"/>
      <c r="FT18" s="421"/>
      <c r="FU18" s="421"/>
      <c r="FV18" s="421"/>
      <c r="FW18" s="421"/>
      <c r="FX18" s="421"/>
      <c r="FY18" s="421"/>
      <c r="FZ18" s="421"/>
      <c r="GA18" s="421"/>
      <c r="GB18" s="421"/>
      <c r="GC18" s="421"/>
      <c r="GD18" s="421"/>
      <c r="GE18" s="421"/>
      <c r="GF18" s="27"/>
    </row>
    <row r="19" spans="3:188" ht="42" customHeight="1">
      <c r="C19" s="424"/>
      <c r="D19" s="423"/>
      <c r="E19" s="445">
        <v>1.05</v>
      </c>
      <c r="F19" s="444">
        <f t="shared" si="3"/>
        <v>2.4151284873829693</v>
      </c>
      <c r="G19" s="774">
        <f t="shared" ref="G19:AL19" si="20">G86*G153</f>
        <v>0.58216132789828579</v>
      </c>
      <c r="H19" s="302">
        <f t="shared" si="20"/>
        <v>0.58965924382796786</v>
      </c>
      <c r="I19" s="302">
        <f t="shared" si="20"/>
        <v>0.58961686631107579</v>
      </c>
      <c r="J19" s="302">
        <f t="shared" si="20"/>
        <v>0.59328640674430122</v>
      </c>
      <c r="K19" s="302">
        <f t="shared" si="20"/>
        <v>0.59572720533481072</v>
      </c>
      <c r="L19" s="302">
        <f t="shared" si="20"/>
        <v>0.598712809908167</v>
      </c>
      <c r="M19" s="302">
        <f t="shared" si="20"/>
        <v>0.60085076498749967</v>
      </c>
      <c r="N19" s="302">
        <f t="shared" si="20"/>
        <v>0.60505500565348103</v>
      </c>
      <c r="O19" s="302">
        <f t="shared" si="20"/>
        <v>0.60504744907013708</v>
      </c>
      <c r="P19" s="302">
        <f t="shared" si="20"/>
        <v>0.60851049417866132</v>
      </c>
      <c r="Q19" s="302">
        <f t="shared" si="20"/>
        <v>0.64105976734864323</v>
      </c>
      <c r="R19" s="302">
        <f t="shared" si="20"/>
        <v>0.64472332083187844</v>
      </c>
      <c r="S19" s="302">
        <f t="shared" si="20"/>
        <v>0.65011845872823137</v>
      </c>
      <c r="T19" s="302">
        <f t="shared" si="20"/>
        <v>0.66197916418753255</v>
      </c>
      <c r="U19" s="302">
        <f t="shared" si="20"/>
        <v>0.67878959916929171</v>
      </c>
      <c r="V19" s="302">
        <f t="shared" si="20"/>
        <v>0.69890369836879063</v>
      </c>
      <c r="W19" s="302">
        <f t="shared" si="20"/>
        <v>0.72286720782249381</v>
      </c>
      <c r="X19" s="302">
        <f t="shared" si="20"/>
        <v>0.75127025508091427</v>
      </c>
      <c r="Y19" s="302">
        <f t="shared" si="20"/>
        <v>0.7847304590994425</v>
      </c>
      <c r="Z19" s="302">
        <f t="shared" si="20"/>
        <v>0.82386595669932261</v>
      </c>
      <c r="AA19" s="302">
        <f t="shared" si="20"/>
        <v>0.86925656983737121</v>
      </c>
      <c r="AB19" s="302">
        <f t="shared" si="20"/>
        <v>0.92139244219150929</v>
      </c>
      <c r="AC19" s="302">
        <f t="shared" si="20"/>
        <v>0.9806115034283408</v>
      </c>
      <c r="AD19" s="302">
        <f t="shared" si="20"/>
        <v>1.047030121363197</v>
      </c>
      <c r="AE19" s="302">
        <f t="shared" si="20"/>
        <v>1.120474960491824</v>
      </c>
      <c r="AF19" s="302">
        <f t="shared" si="20"/>
        <v>1.2004275430189</v>
      </c>
      <c r="AG19" s="302">
        <f t="shared" si="20"/>
        <v>1.2859949610446386</v>
      </c>
      <c r="AH19" s="302">
        <f t="shared" si="20"/>
        <v>1.3759191080123538</v>
      </c>
      <c r="AI19" s="302">
        <f t="shared" si="20"/>
        <v>1.468631714636951</v>
      </c>
      <c r="AJ19" s="302">
        <f t="shared" si="20"/>
        <v>1.5623537675368686</v>
      </c>
      <c r="AK19" s="302">
        <f t="shared" si="20"/>
        <v>1.6552276734257787</v>
      </c>
      <c r="AL19" s="302">
        <f t="shared" si="20"/>
        <v>1.7454621412441533</v>
      </c>
      <c r="AM19" s="302">
        <f t="shared" ref="AM19:BO19" si="21">AM86*AM153</f>
        <v>1.831466326348953</v>
      </c>
      <c r="AN19" s="302">
        <f t="shared" si="21"/>
        <v>1.9119526754678362</v>
      </c>
      <c r="AO19" s="302">
        <f t="shared" si="21"/>
        <v>1.9859959787589643</v>
      </c>
      <c r="AP19" s="302">
        <f t="shared" si="21"/>
        <v>2.0530463369027232</v>
      </c>
      <c r="AQ19" s="302">
        <f t="shared" si="21"/>
        <v>2.1129027033802656</v>
      </c>
      <c r="AR19" s="302">
        <f t="shared" si="21"/>
        <v>2.1656591045554534</v>
      </c>
      <c r="AS19" s="302">
        <f t="shared" si="21"/>
        <v>2.2116370460619947</v>
      </c>
      <c r="AT19" s="302">
        <f t="shared" si="21"/>
        <v>2.2513158648668012</v>
      </c>
      <c r="AU19" s="302">
        <f t="shared" si="21"/>
        <v>2.28526937647263</v>
      </c>
      <c r="AV19" s="302">
        <f t="shared" si="21"/>
        <v>2.3141134759622277</v>
      </c>
      <c r="AW19" s="302">
        <f t="shared" si="21"/>
        <v>2.3384662675770009</v>
      </c>
      <c r="AX19" s="302">
        <f t="shared" si="21"/>
        <v>2.3589201776547641</v>
      </c>
      <c r="AY19" s="302">
        <f t="shared" si="21"/>
        <v>2.3760243278090729</v>
      </c>
      <c r="AZ19" s="302">
        <f t="shared" si="21"/>
        <v>2.390274997117543</v>
      </c>
      <c r="BA19" s="302">
        <f t="shared" si="21"/>
        <v>2.4040521493813305</v>
      </c>
      <c r="BB19" s="302">
        <f t="shared" si="21"/>
        <v>2.4158889497614164</v>
      </c>
      <c r="BC19" s="302">
        <f t="shared" si="21"/>
        <v>2.4256960615084795</v>
      </c>
      <c r="BD19" s="302">
        <f t="shared" si="21"/>
        <v>2.4350474550755248</v>
      </c>
      <c r="BE19" s="302">
        <f t="shared" si="21"/>
        <v>2.4431557640073605</v>
      </c>
      <c r="BF19" s="302">
        <f t="shared" si="21"/>
        <v>2.4498479697211946</v>
      </c>
      <c r="BG19" s="302">
        <f t="shared" si="21"/>
        <v>2.4561695141363611</v>
      </c>
      <c r="BH19" s="302">
        <f t="shared" si="21"/>
        <v>2.4624642994813217</v>
      </c>
      <c r="BI19" s="302">
        <f t="shared" si="21"/>
        <v>2.4691564180635086</v>
      </c>
      <c r="BJ19" s="302">
        <f t="shared" si="21"/>
        <v>2.4746718568462267</v>
      </c>
      <c r="BK19" s="302">
        <f t="shared" si="21"/>
        <v>2.4792121353827836</v>
      </c>
      <c r="BL19" s="302">
        <f t="shared" si="21"/>
        <v>2.4829460274854891</v>
      </c>
      <c r="BM19" s="302">
        <f t="shared" si="21"/>
        <v>2.4860142935575196</v>
      </c>
      <c r="BN19" s="302">
        <f t="shared" si="21"/>
        <v>2.4885339324500979</v>
      </c>
      <c r="BO19" s="775">
        <f t="shared" si="21"/>
        <v>2.4906019240715529</v>
      </c>
      <c r="BP19" s="223"/>
      <c r="BX19" s="139"/>
      <c r="DJ19" s="27"/>
      <c r="DK19" s="27"/>
      <c r="DL19" s="427"/>
      <c r="DM19" s="421"/>
      <c r="DN19" s="421"/>
      <c r="DO19" s="421"/>
      <c r="DP19" s="421"/>
      <c r="DQ19" s="421"/>
      <c r="DR19" s="421"/>
      <c r="DS19" s="421"/>
      <c r="DT19" s="421"/>
      <c r="DU19" s="421"/>
      <c r="DV19" s="421"/>
      <c r="DW19" s="421"/>
      <c r="DX19" s="421"/>
      <c r="DY19" s="421"/>
      <c r="DZ19" s="421"/>
      <c r="EA19" s="421"/>
      <c r="EB19" s="421"/>
      <c r="EC19" s="421"/>
      <c r="ED19" s="421"/>
      <c r="EE19" s="421"/>
      <c r="EF19" s="421"/>
      <c r="EG19" s="421"/>
      <c r="EH19" s="27"/>
      <c r="EI19" s="27"/>
      <c r="EJ19" s="27"/>
      <c r="EK19" s="427"/>
      <c r="EL19" s="421"/>
      <c r="EM19" s="421"/>
      <c r="EN19" s="421"/>
      <c r="EO19" s="421"/>
      <c r="EP19" s="421"/>
      <c r="EQ19" s="421"/>
      <c r="ER19" s="421"/>
      <c r="ES19" s="421"/>
      <c r="ET19" s="421"/>
      <c r="EU19" s="421"/>
      <c r="EV19" s="421"/>
      <c r="EW19" s="421"/>
      <c r="EX19" s="421"/>
      <c r="EY19" s="421"/>
      <c r="EZ19" s="421"/>
      <c r="FA19" s="421"/>
      <c r="FB19" s="421"/>
      <c r="FC19" s="421"/>
      <c r="FD19" s="421"/>
      <c r="FE19" s="421"/>
      <c r="FF19" s="421"/>
      <c r="FG19" s="27"/>
      <c r="FH19" s="27"/>
      <c r="FI19" s="27"/>
      <c r="FJ19" s="427"/>
      <c r="FK19" s="421"/>
      <c r="FL19" s="421"/>
      <c r="FM19" s="421"/>
      <c r="FN19" s="421"/>
      <c r="FO19" s="421"/>
      <c r="FP19" s="421"/>
      <c r="FQ19" s="421"/>
      <c r="FR19" s="421"/>
      <c r="FS19" s="421"/>
      <c r="FT19" s="421"/>
      <c r="FU19" s="421"/>
      <c r="FV19" s="421"/>
      <c r="FW19" s="421"/>
      <c r="FX19" s="421"/>
      <c r="FY19" s="421"/>
      <c r="FZ19" s="421"/>
      <c r="GA19" s="421"/>
      <c r="GB19" s="421"/>
      <c r="GC19" s="421"/>
      <c r="GD19" s="421"/>
      <c r="GE19" s="421"/>
      <c r="GF19" s="27"/>
    </row>
    <row r="20" spans="3:188" ht="42" customHeight="1">
      <c r="C20" s="424"/>
      <c r="D20" s="423"/>
      <c r="E20" s="443">
        <v>1</v>
      </c>
      <c r="F20" s="444">
        <f t="shared" si="3"/>
        <v>2.3968545495171996</v>
      </c>
      <c r="G20" s="774">
        <f t="shared" ref="G20:AL20" si="22">G87*G154</f>
        <v>0.57286226457965161</v>
      </c>
      <c r="H20" s="302">
        <f t="shared" si="22"/>
        <v>0.58034594255930472</v>
      </c>
      <c r="I20" s="302">
        <f t="shared" si="22"/>
        <v>0.5818521854605736</v>
      </c>
      <c r="J20" s="302">
        <f t="shared" si="22"/>
        <v>0.58391244799472053</v>
      </c>
      <c r="K20" s="302">
        <f t="shared" si="22"/>
        <v>0.58633321589660292</v>
      </c>
      <c r="L20" s="302">
        <f t="shared" si="22"/>
        <v>0.58930204858356883</v>
      </c>
      <c r="M20" s="302">
        <f t="shared" si="22"/>
        <v>0.59293393630380109</v>
      </c>
      <c r="N20" s="302">
        <f t="shared" si="22"/>
        <v>0.5973664059878484</v>
      </c>
      <c r="O20" s="302">
        <f t="shared" si="22"/>
        <v>0.60051709789812491</v>
      </c>
      <c r="P20" s="302">
        <f t="shared" si="22"/>
        <v>0.60472556133465361</v>
      </c>
      <c r="Q20" s="302">
        <f t="shared" si="22"/>
        <v>0.6047236287287866</v>
      </c>
      <c r="R20" s="302">
        <f t="shared" si="22"/>
        <v>0.64438335058053875</v>
      </c>
      <c r="S20" s="302">
        <f t="shared" si="22"/>
        <v>0.6488371075312509</v>
      </c>
      <c r="T20" s="302">
        <f t="shared" si="22"/>
        <v>0.65518003204801756</v>
      </c>
      <c r="U20" s="302">
        <f t="shared" si="22"/>
        <v>0.66931538614718589</v>
      </c>
      <c r="V20" s="302">
        <f t="shared" si="22"/>
        <v>0.68942656605036678</v>
      </c>
      <c r="W20" s="302">
        <f t="shared" si="22"/>
        <v>0.71338990518329082</v>
      </c>
      <c r="X20" s="302">
        <f t="shared" si="22"/>
        <v>0.74179632671514217</v>
      </c>
      <c r="Y20" s="302">
        <f t="shared" si="22"/>
        <v>0.77526406436525785</v>
      </c>
      <c r="Z20" s="302">
        <f t="shared" si="22"/>
        <v>0.81441160329332818</v>
      </c>
      <c r="AA20" s="302">
        <f t="shared" si="22"/>
        <v>0.85981878154230462</v>
      </c>
      <c r="AB20" s="302">
        <f t="shared" si="22"/>
        <v>0.91197539780071313</v>
      </c>
      <c r="AC20" s="302">
        <f t="shared" si="22"/>
        <v>0.97121869447393649</v>
      </c>
      <c r="AD20" s="302">
        <f t="shared" si="22"/>
        <v>1.0376640766254728</v>
      </c>
      <c r="AE20" s="302">
        <f t="shared" si="22"/>
        <v>1.1111370748976108</v>
      </c>
      <c r="AF20" s="302">
        <f t="shared" si="22"/>
        <v>1.1911180303168356</v>
      </c>
      <c r="AG20" s="302">
        <f t="shared" si="22"/>
        <v>1.2767129284644079</v>
      </c>
      <c r="AH20" s="302">
        <f t="shared" si="22"/>
        <v>1.3666627320295568</v>
      </c>
      <c r="AI20" s="302">
        <f t="shared" si="22"/>
        <v>1.4593984837532326</v>
      </c>
      <c r="AJ20" s="302">
        <f t="shared" si="22"/>
        <v>1.5531407525111052</v>
      </c>
      <c r="AK20" s="302">
        <f t="shared" si="22"/>
        <v>1.6460317876149846</v>
      </c>
      <c r="AL20" s="302">
        <f t="shared" si="22"/>
        <v>1.7362803620229894</v>
      </c>
      <c r="AM20" s="302">
        <f t="shared" ref="AM20:BO20" si="23">AM87*AM154</f>
        <v>1.8222958603219639</v>
      </c>
      <c r="AN20" s="302">
        <f t="shared" si="23"/>
        <v>1.9027910623751545</v>
      </c>
      <c r="AO20" s="302">
        <f t="shared" si="23"/>
        <v>1.9768411390467968</v>
      </c>
      <c r="AP20" s="302">
        <f t="shared" si="23"/>
        <v>2.043896574373544</v>
      </c>
      <c r="AQ20" s="302">
        <f t="shared" si="23"/>
        <v>2.1037566768897853</v>
      </c>
      <c r="AR20" s="302">
        <f t="shared" si="23"/>
        <v>2.1565157821193535</v>
      </c>
      <c r="AS20" s="302">
        <f t="shared" si="23"/>
        <v>2.2024956522002483</v>
      </c>
      <c r="AT20" s="302">
        <f t="shared" si="23"/>
        <v>2.2421758287599585</v>
      </c>
      <c r="AU20" s="302">
        <f t="shared" si="23"/>
        <v>2.2761302854192591</v>
      </c>
      <c r="AV20" s="302">
        <f t="shared" si="23"/>
        <v>2.3049750361834138</v>
      </c>
      <c r="AW20" s="302">
        <f t="shared" si="23"/>
        <v>2.3293282727432305</v>
      </c>
      <c r="AX20" s="302">
        <f t="shared" si="23"/>
        <v>2.3497824845314335</v>
      </c>
      <c r="AY20" s="302">
        <f t="shared" si="23"/>
        <v>2.3668868379579511</v>
      </c>
      <c r="AZ20" s="302">
        <f t="shared" si="23"/>
        <v>2.3835742085102809</v>
      </c>
      <c r="BA20" s="302">
        <f t="shared" si="23"/>
        <v>2.3978246480970706</v>
      </c>
      <c r="BB20" s="302">
        <f t="shared" si="23"/>
        <v>2.4096615094588762</v>
      </c>
      <c r="BC20" s="302">
        <f t="shared" si="23"/>
        <v>2.421019008194091</v>
      </c>
      <c r="BD20" s="302">
        <f t="shared" si="23"/>
        <v>2.4308260309247229</v>
      </c>
      <c r="BE20" s="302">
        <f t="shared" si="23"/>
        <v>2.4389343576369429</v>
      </c>
      <c r="BF20" s="302">
        <f t="shared" si="23"/>
        <v>2.4466261822852529</v>
      </c>
      <c r="BG20" s="302">
        <f t="shared" si="23"/>
        <v>2.454355982407241</v>
      </c>
      <c r="BH20" s="302">
        <f t="shared" si="23"/>
        <v>2.4624641710972077</v>
      </c>
      <c r="BI20" s="302">
        <f t="shared" si="23"/>
        <v>2.4691562930946076</v>
      </c>
      <c r="BJ20" s="302">
        <f t="shared" si="23"/>
        <v>2.47467173435279</v>
      </c>
      <c r="BK20" s="302">
        <f t="shared" si="23"/>
        <v>2.4792120148827883</v>
      </c>
      <c r="BL20" s="302">
        <f t="shared" si="23"/>
        <v>2.4829459088148131</v>
      </c>
      <c r="BM20" s="302">
        <f t="shared" si="23"/>
        <v>2.4860141767746451</v>
      </c>
      <c r="BN20" s="302">
        <f t="shared" si="23"/>
        <v>2.4885338177698064</v>
      </c>
      <c r="BO20" s="775">
        <f t="shared" si="23"/>
        <v>2.4906018118171618</v>
      </c>
      <c r="BP20" s="223"/>
      <c r="BX20" s="139"/>
      <c r="DJ20" s="27"/>
      <c r="DK20" s="27"/>
      <c r="DL20" s="427"/>
      <c r="DM20" s="421"/>
      <c r="DN20" s="421"/>
      <c r="DO20" s="421"/>
      <c r="DP20" s="421"/>
      <c r="DQ20" s="421"/>
      <c r="DR20" s="421"/>
      <c r="DS20" s="421"/>
      <c r="DT20" s="421"/>
      <c r="DU20" s="421"/>
      <c r="DV20" s="421"/>
      <c r="DW20" s="421"/>
      <c r="DX20" s="421"/>
      <c r="DY20" s="421"/>
      <c r="DZ20" s="421"/>
      <c r="EA20" s="421"/>
      <c r="EB20" s="421"/>
      <c r="EC20" s="421"/>
      <c r="ED20" s="421"/>
      <c r="EE20" s="421"/>
      <c r="EF20" s="421"/>
      <c r="EG20" s="421"/>
      <c r="EH20" s="27"/>
      <c r="EI20" s="27"/>
      <c r="EJ20" s="27"/>
      <c r="EK20" s="427"/>
      <c r="EL20" s="421"/>
      <c r="EM20" s="421"/>
      <c r="EN20" s="421"/>
      <c r="EO20" s="421"/>
      <c r="EP20" s="421"/>
      <c r="EQ20" s="421"/>
      <c r="ER20" s="421"/>
      <c r="ES20" s="421"/>
      <c r="ET20" s="421"/>
      <c r="EU20" s="421"/>
      <c r="EV20" s="421"/>
      <c r="EW20" s="421"/>
      <c r="EX20" s="421"/>
      <c r="EY20" s="421"/>
      <c r="EZ20" s="421"/>
      <c r="FA20" s="421"/>
      <c r="FB20" s="421"/>
      <c r="FC20" s="421"/>
      <c r="FD20" s="421"/>
      <c r="FE20" s="421"/>
      <c r="FF20" s="421"/>
      <c r="FG20" s="27"/>
      <c r="FH20" s="27"/>
      <c r="FI20" s="27"/>
      <c r="FJ20" s="427"/>
      <c r="FK20" s="421"/>
      <c r="FL20" s="421"/>
      <c r="FM20" s="421"/>
      <c r="FN20" s="421"/>
      <c r="FO20" s="421"/>
      <c r="FP20" s="421"/>
      <c r="FQ20" s="421"/>
      <c r="FR20" s="421"/>
      <c r="FS20" s="421"/>
      <c r="FT20" s="421"/>
      <c r="FU20" s="421"/>
      <c r="FV20" s="421"/>
      <c r="FW20" s="421"/>
      <c r="FX20" s="421"/>
      <c r="FY20" s="421"/>
      <c r="FZ20" s="421"/>
      <c r="GA20" s="421"/>
      <c r="GB20" s="421"/>
      <c r="GC20" s="421"/>
      <c r="GD20" s="421"/>
      <c r="GE20" s="421"/>
      <c r="GF20" s="27"/>
    </row>
    <row r="21" spans="3:188" ht="42" customHeight="1">
      <c r="C21" s="424"/>
      <c r="D21" s="423"/>
      <c r="E21" s="445">
        <v>0.95</v>
      </c>
      <c r="F21" s="444">
        <f t="shared" si="3"/>
        <v>2.3747804223763902</v>
      </c>
      <c r="G21" s="774">
        <f t="shared" ref="G21:AL21" si="24">G88*G155</f>
        <v>0.56160636177728884</v>
      </c>
      <c r="H21" s="302">
        <f t="shared" si="24"/>
        <v>0.56904879091723637</v>
      </c>
      <c r="I21" s="302">
        <f t="shared" si="24"/>
        <v>0.57060828144703235</v>
      </c>
      <c r="J21" s="302">
        <f t="shared" si="24"/>
        <v>0.57254147962972979</v>
      </c>
      <c r="K21" s="302">
        <f t="shared" si="24"/>
        <v>0.57493045582371916</v>
      </c>
      <c r="L21" s="302">
        <f t="shared" si="24"/>
        <v>0.57787244044314323</v>
      </c>
      <c r="M21" s="302">
        <f t="shared" si="24"/>
        <v>0.58148282373531168</v>
      </c>
      <c r="N21" s="302">
        <f t="shared" si="24"/>
        <v>0.58589889007191598</v>
      </c>
      <c r="O21" s="302">
        <f t="shared" si="24"/>
        <v>0.59128424619852149</v>
      </c>
      <c r="P21" s="302">
        <f t="shared" si="24"/>
        <v>0.59687953191173837</v>
      </c>
      <c r="Q21" s="302">
        <f t="shared" si="24"/>
        <v>0.60003688746594763</v>
      </c>
      <c r="R21" s="302">
        <f t="shared" si="24"/>
        <v>0.60424783285744177</v>
      </c>
      <c r="S21" s="302">
        <f t="shared" si="24"/>
        <v>0.64387798423511733</v>
      </c>
      <c r="T21" s="302">
        <f t="shared" si="24"/>
        <v>0.64927254627713793</v>
      </c>
      <c r="U21" s="302">
        <f t="shared" si="24"/>
        <v>0.66113232461374316</v>
      </c>
      <c r="V21" s="302">
        <f t="shared" si="24"/>
        <v>0.67794656975457257</v>
      </c>
      <c r="W21" s="302">
        <f t="shared" si="24"/>
        <v>0.7018612016476492</v>
      </c>
      <c r="X21" s="302">
        <f t="shared" si="24"/>
        <v>0.73027522488601015</v>
      </c>
      <c r="Y21" s="302">
        <f t="shared" si="24"/>
        <v>0.76375739492331218</v>
      </c>
      <c r="Z21" s="302">
        <f t="shared" si="24"/>
        <v>0.80292650661726461</v>
      </c>
      <c r="AA21" s="302">
        <f t="shared" si="24"/>
        <v>0.84836209110487026</v>
      </c>
      <c r="AB21" s="302">
        <f t="shared" si="24"/>
        <v>0.90055302566027051</v>
      </c>
      <c r="AC21" s="302">
        <f t="shared" si="24"/>
        <v>0.95983511544725053</v>
      </c>
      <c r="AD21" s="302">
        <f t="shared" si="24"/>
        <v>1.0263219902221909</v>
      </c>
      <c r="AE21" s="302">
        <f t="shared" si="24"/>
        <v>1.099837286795895</v>
      </c>
      <c r="AF21" s="302">
        <f t="shared" si="24"/>
        <v>1.1798595508373477</v>
      </c>
      <c r="AG21" s="302">
        <f t="shared" si="24"/>
        <v>1.2654932475413523</v>
      </c>
      <c r="AH21" s="302">
        <f t="shared" si="24"/>
        <v>1.3554782071754989</v>
      </c>
      <c r="AI21" s="302">
        <f t="shared" si="24"/>
        <v>1.4482447714826956</v>
      </c>
      <c r="AJ21" s="302">
        <f t="shared" si="24"/>
        <v>1.542013221597569</v>
      </c>
      <c r="AK21" s="302">
        <f t="shared" si="24"/>
        <v>1.6349258691027106</v>
      </c>
      <c r="AL21" s="302">
        <f t="shared" si="24"/>
        <v>1.7251918107182191</v>
      </c>
      <c r="AM21" s="302">
        <f t="shared" ref="AM21:BO21" si="25">AM88*AM155</f>
        <v>1.811220921200061</v>
      </c>
      <c r="AN21" s="302">
        <f t="shared" si="25"/>
        <v>1.8917265500236931</v>
      </c>
      <c r="AO21" s="302">
        <f t="shared" si="25"/>
        <v>1.9657844474736443</v>
      </c>
      <c r="AP21" s="302">
        <f t="shared" si="25"/>
        <v>2.0328456382011213</v>
      </c>
      <c r="AQ21" s="302">
        <f t="shared" si="25"/>
        <v>2.0927099041849826</v>
      </c>
      <c r="AR21" s="302">
        <f t="shared" si="25"/>
        <v>2.1454719755087366</v>
      </c>
      <c r="AS21" s="302">
        <f t="shared" si="25"/>
        <v>2.1914539301561087</v>
      </c>
      <c r="AT21" s="302">
        <f t="shared" si="25"/>
        <v>2.2311355543004034</v>
      </c>
      <c r="AU21" s="302">
        <f t="shared" si="25"/>
        <v>2.2650910056916973</v>
      </c>
      <c r="AV21" s="302">
        <f t="shared" si="25"/>
        <v>2.2939364337520036</v>
      </c>
      <c r="AW21" s="302">
        <f t="shared" si="25"/>
        <v>2.3182901278027281</v>
      </c>
      <c r="AX21" s="302">
        <f t="shared" si="25"/>
        <v>2.3387446464877817</v>
      </c>
      <c r="AY21" s="302">
        <f t="shared" si="25"/>
        <v>2.3589206170720427</v>
      </c>
      <c r="AZ21" s="302">
        <f t="shared" si="25"/>
        <v>2.3760245953803625</v>
      </c>
      <c r="BA21" s="302">
        <f t="shared" si="25"/>
        <v>2.3902751259196244</v>
      </c>
      <c r="BB21" s="302">
        <f t="shared" si="25"/>
        <v>2.4040521694665551</v>
      </c>
      <c r="BC21" s="302">
        <f t="shared" si="25"/>
        <v>2.4158888864606882</v>
      </c>
      <c r="BD21" s="302">
        <f t="shared" si="25"/>
        <v>2.425695935380022</v>
      </c>
      <c r="BE21" s="302">
        <f t="shared" si="25"/>
        <v>2.4350472821661739</v>
      </c>
      <c r="BF21" s="302">
        <f t="shared" si="25"/>
        <v>2.4431555565814587</v>
      </c>
      <c r="BG21" s="302">
        <f t="shared" si="25"/>
        <v>2.4498477371109719</v>
      </c>
      <c r="BH21" s="302">
        <f t="shared" si="25"/>
        <v>2.4561692635009482</v>
      </c>
      <c r="BI21" s="302">
        <f t="shared" si="25"/>
        <v>2.4624640363018169</v>
      </c>
      <c r="BJ21" s="302">
        <f t="shared" si="25"/>
        <v>2.4691561465615872</v>
      </c>
      <c r="BK21" s="302">
        <f t="shared" si="25"/>
        <v>2.4746715805529629</v>
      </c>
      <c r="BL21" s="302">
        <f t="shared" si="25"/>
        <v>2.4792118572074178</v>
      </c>
      <c r="BM21" s="302">
        <f t="shared" si="25"/>
        <v>2.4829457499022509</v>
      </c>
      <c r="BN21" s="302">
        <f t="shared" si="25"/>
        <v>2.4860140187371065</v>
      </c>
      <c r="BO21" s="775">
        <f t="shared" si="25"/>
        <v>2.4885336623466556</v>
      </c>
      <c r="BP21" s="223"/>
      <c r="BX21" s="139"/>
      <c r="DJ21" s="27"/>
      <c r="DK21" s="27"/>
      <c r="DL21" s="427"/>
      <c r="DM21" s="421"/>
      <c r="DN21" s="421"/>
      <c r="DO21" s="421"/>
      <c r="DP21" s="421"/>
      <c r="DQ21" s="421"/>
      <c r="DR21" s="421"/>
      <c r="DS21" s="421"/>
      <c r="DT21" s="421"/>
      <c r="DU21" s="421"/>
      <c r="DV21" s="421"/>
      <c r="DW21" s="421"/>
      <c r="DX21" s="421"/>
      <c r="DY21" s="421"/>
      <c r="DZ21" s="421"/>
      <c r="EA21" s="421"/>
      <c r="EB21" s="421"/>
      <c r="EC21" s="421"/>
      <c r="ED21" s="421"/>
      <c r="EE21" s="421"/>
      <c r="EF21" s="421"/>
      <c r="EG21" s="421"/>
      <c r="EH21" s="27"/>
      <c r="EI21" s="27"/>
      <c r="EJ21" s="27"/>
      <c r="EK21" s="427"/>
      <c r="EL21" s="421"/>
      <c r="EM21" s="421"/>
      <c r="EN21" s="421"/>
      <c r="EO21" s="421"/>
      <c r="EP21" s="421"/>
      <c r="EQ21" s="421"/>
      <c r="ER21" s="421"/>
      <c r="ES21" s="421"/>
      <c r="ET21" s="421"/>
      <c r="EU21" s="421"/>
      <c r="EV21" s="421"/>
      <c r="EW21" s="421"/>
      <c r="EX21" s="421"/>
      <c r="EY21" s="421"/>
      <c r="EZ21" s="421"/>
      <c r="FA21" s="421"/>
      <c r="FB21" s="421"/>
      <c r="FC21" s="421"/>
      <c r="FD21" s="421"/>
      <c r="FE21" s="421"/>
      <c r="FF21" s="421"/>
      <c r="FG21" s="27"/>
      <c r="FH21" s="27"/>
      <c r="FI21" s="27"/>
      <c r="FJ21" s="427"/>
      <c r="FK21" s="421"/>
      <c r="FL21" s="421"/>
      <c r="FM21" s="421"/>
      <c r="FN21" s="421"/>
      <c r="FO21" s="421"/>
      <c r="FP21" s="421"/>
      <c r="FQ21" s="421"/>
      <c r="FR21" s="421"/>
      <c r="FS21" s="421"/>
      <c r="FT21" s="421"/>
      <c r="FU21" s="421"/>
      <c r="FV21" s="421"/>
      <c r="FW21" s="421"/>
      <c r="FX21" s="421"/>
      <c r="FY21" s="421"/>
      <c r="FZ21" s="421"/>
      <c r="GA21" s="421"/>
      <c r="GB21" s="421"/>
      <c r="GC21" s="421"/>
      <c r="GD21" s="421"/>
      <c r="GE21" s="421"/>
      <c r="GF21" s="27"/>
    </row>
    <row r="22" spans="3:188" ht="42" customHeight="1">
      <c r="C22" s="424"/>
      <c r="D22" s="423"/>
      <c r="E22" s="443">
        <v>0.9</v>
      </c>
      <c r="F22" s="444">
        <f t="shared" si="3"/>
        <v>2.3481788845180058</v>
      </c>
      <c r="G22" s="774">
        <f t="shared" ref="G22:AL22" si="26">G89*G156</f>
        <v>0.54801602580400688</v>
      </c>
      <c r="H22" s="302">
        <f t="shared" si="26"/>
        <v>0.55539721739322401</v>
      </c>
      <c r="I22" s="302">
        <f t="shared" si="26"/>
        <v>0.55689856505359392</v>
      </c>
      <c r="J22" s="302">
        <f t="shared" si="26"/>
        <v>0.55877621818406187</v>
      </c>
      <c r="K22" s="302">
        <f t="shared" si="26"/>
        <v>0.56111497191195669</v>
      </c>
      <c r="L22" s="302">
        <f t="shared" si="26"/>
        <v>0.56401407090928712</v>
      </c>
      <c r="M22" s="302">
        <f t="shared" si="26"/>
        <v>0.56758990093917039</v>
      </c>
      <c r="N22" s="302">
        <f t="shared" si="26"/>
        <v>0.57197962646189071</v>
      </c>
      <c r="O22" s="302">
        <f t="shared" si="26"/>
        <v>0.57734572101949411</v>
      </c>
      <c r="P22" s="302">
        <f t="shared" si="26"/>
        <v>0.58388119883717748</v>
      </c>
      <c r="Q22" s="302">
        <f t="shared" si="26"/>
        <v>0.59057760842627549</v>
      </c>
      <c r="R22" s="302">
        <f t="shared" si="26"/>
        <v>0.59617585499702208</v>
      </c>
      <c r="S22" s="302">
        <f t="shared" si="26"/>
        <v>0.59933501136995815</v>
      </c>
      <c r="T22" s="302">
        <f t="shared" si="26"/>
        <v>0.64757959968867373</v>
      </c>
      <c r="U22" s="302">
        <f t="shared" si="26"/>
        <v>0.65393442501942156</v>
      </c>
      <c r="V22" s="302">
        <f t="shared" si="26"/>
        <v>0.6680848647612988</v>
      </c>
      <c r="W22" s="302">
        <f t="shared" si="26"/>
        <v>0.68822258820800153</v>
      </c>
      <c r="X22" s="302">
        <f t="shared" si="26"/>
        <v>0.71628502296512109</v>
      </c>
      <c r="Y22" s="302">
        <f t="shared" si="26"/>
        <v>0.74979379691250481</v>
      </c>
      <c r="Z22" s="302">
        <f t="shared" si="26"/>
        <v>0.78900059845612935</v>
      </c>
      <c r="AA22" s="302">
        <f t="shared" si="26"/>
        <v>0.83448387514875122</v>
      </c>
      <c r="AB22" s="302">
        <f t="shared" si="26"/>
        <v>0.88673043347551228</v>
      </c>
      <c r="AC22" s="302">
        <f t="shared" si="26"/>
        <v>0.94607331023076613</v>
      </c>
      <c r="AD22" s="302">
        <f t="shared" si="26"/>
        <v>1.0126230643331373</v>
      </c>
      <c r="AE22" s="302">
        <f t="shared" si="26"/>
        <v>1.0862003646926515</v>
      </c>
      <c r="AF22" s="302">
        <f t="shared" si="26"/>
        <v>1.1662812228978294</v>
      </c>
      <c r="AG22" s="302">
        <f t="shared" si="26"/>
        <v>1.2519682105972239</v>
      </c>
      <c r="AH22" s="302">
        <f t="shared" si="26"/>
        <v>1.3419999786249148</v>
      </c>
      <c r="AI22" s="302">
        <f t="shared" si="26"/>
        <v>1.4348063656033911</v>
      </c>
      <c r="AJ22" s="302">
        <f t="shared" si="26"/>
        <v>1.5286077134152816</v>
      </c>
      <c r="AK22" s="302">
        <f t="shared" si="26"/>
        <v>1.6215468093741943</v>
      </c>
      <c r="AL22" s="302">
        <f t="shared" si="26"/>
        <v>1.7118334872051719</v>
      </c>
      <c r="AM22" s="302">
        <f t="shared" ref="AM22:BO22" si="27">AM89*AM156</f>
        <v>1.797878483298635</v>
      </c>
      <c r="AN22" s="302">
        <f t="shared" si="27"/>
        <v>1.878396025930277</v>
      </c>
      <c r="AO22" s="302">
        <f t="shared" si="27"/>
        <v>1.9524626869439521</v>
      </c>
      <c r="AP22" s="302">
        <f t="shared" si="27"/>
        <v>2.0195302118226577</v>
      </c>
      <c r="AQ22" s="302">
        <f t="shared" si="27"/>
        <v>2.0793989843389089</v>
      </c>
      <c r="AR22" s="302">
        <f t="shared" si="27"/>
        <v>2.1321642170369572</v>
      </c>
      <c r="AS22" s="302">
        <f t="shared" si="27"/>
        <v>2.1781483618417821</v>
      </c>
      <c r="AT22" s="302">
        <f t="shared" si="27"/>
        <v>2.2178314866152027</v>
      </c>
      <c r="AU22" s="302">
        <f t="shared" si="27"/>
        <v>2.2517879562348586</v>
      </c>
      <c r="AV22" s="302">
        <f t="shared" si="27"/>
        <v>2.2806340693265215</v>
      </c>
      <c r="AW22" s="302">
        <f t="shared" si="27"/>
        <v>2.3049882208247134</v>
      </c>
      <c r="AX22" s="302">
        <f t="shared" si="27"/>
        <v>2.3293290938585702</v>
      </c>
      <c r="AY22" s="302">
        <f t="shared" si="27"/>
        <v>2.3497830029894469</v>
      </c>
      <c r="AZ22" s="302">
        <f t="shared" si="27"/>
        <v>2.3668871151357584</v>
      </c>
      <c r="BA22" s="302">
        <f t="shared" si="27"/>
        <v>2.3835742986191732</v>
      </c>
      <c r="BB22" s="302">
        <f t="shared" si="27"/>
        <v>2.3978245958896509</v>
      </c>
      <c r="BC22" s="302">
        <f t="shared" si="27"/>
        <v>2.4096613508117852</v>
      </c>
      <c r="BD22" s="302">
        <f t="shared" si="27"/>
        <v>2.4210187708789626</v>
      </c>
      <c r="BE22" s="302">
        <f t="shared" si="27"/>
        <v>2.4308257360463341</v>
      </c>
      <c r="BF22" s="302">
        <f t="shared" si="27"/>
        <v>2.4389340209165438</v>
      </c>
      <c r="BG22" s="302">
        <f t="shared" si="27"/>
        <v>2.4466258152678253</v>
      </c>
      <c r="BH22" s="302">
        <f t="shared" si="27"/>
        <v>2.4543555938928074</v>
      </c>
      <c r="BI22" s="302">
        <f t="shared" si="27"/>
        <v>2.4624637677854082</v>
      </c>
      <c r="BJ22" s="302">
        <f t="shared" si="27"/>
        <v>2.4691558805246521</v>
      </c>
      <c r="BK22" s="302">
        <f t="shared" si="27"/>
        <v>2.4746713170301766</v>
      </c>
      <c r="BL22" s="302">
        <f t="shared" si="27"/>
        <v>2.4792115966026587</v>
      </c>
      <c r="BM22" s="302">
        <f t="shared" si="27"/>
        <v>2.4829454928912549</v>
      </c>
      <c r="BN22" s="302">
        <f t="shared" si="27"/>
        <v>2.4860137661947692</v>
      </c>
      <c r="BO22" s="775">
        <f t="shared" si="27"/>
        <v>2.4885334152886358</v>
      </c>
      <c r="BP22" s="223"/>
      <c r="BX22" s="139"/>
      <c r="DJ22" s="27"/>
      <c r="DK22" s="27"/>
      <c r="DL22" s="427"/>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27"/>
      <c r="EI22" s="27"/>
      <c r="EJ22" s="27"/>
      <c r="EK22" s="427"/>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27"/>
      <c r="FH22" s="27"/>
      <c r="FI22" s="27"/>
      <c r="FJ22" s="427"/>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27"/>
    </row>
    <row r="23" spans="3:188" ht="42" customHeight="1">
      <c r="C23" s="425"/>
      <c r="D23" s="424"/>
      <c r="E23" s="445">
        <v>0.85</v>
      </c>
      <c r="F23" s="444">
        <f t="shared" si="3"/>
        <v>2.3162126724655767</v>
      </c>
      <c r="G23" s="774">
        <f t="shared" ref="G23:AL23" si="28">G90*G157</f>
        <v>0.53165934987041152</v>
      </c>
      <c r="H23" s="302">
        <f t="shared" si="28"/>
        <v>0.53895128433392792</v>
      </c>
      <c r="I23" s="302">
        <f t="shared" si="28"/>
        <v>0.54036522572931056</v>
      </c>
      <c r="J23" s="302">
        <f t="shared" si="28"/>
        <v>0.54215741541886864</v>
      </c>
      <c r="K23" s="302">
        <f t="shared" si="28"/>
        <v>0.54441740434972685</v>
      </c>
      <c r="L23" s="302">
        <f t="shared" si="28"/>
        <v>0.54724827849856661</v>
      </c>
      <c r="M23" s="302">
        <f t="shared" si="28"/>
        <v>0.55076866549142034</v>
      </c>
      <c r="N23" s="302">
        <f t="shared" si="28"/>
        <v>0.55511605890568005</v>
      </c>
      <c r="O23" s="302">
        <f t="shared" si="28"/>
        <v>0.56045143676859621</v>
      </c>
      <c r="P23" s="302">
        <f t="shared" si="28"/>
        <v>0.56696486612852726</v>
      </c>
      <c r="Q23" s="302">
        <f t="shared" si="28"/>
        <v>0.57488162271502041</v>
      </c>
      <c r="R23" s="302">
        <f t="shared" si="28"/>
        <v>0.58285394303227256</v>
      </c>
      <c r="S23" s="302">
        <f t="shared" si="28"/>
        <v>0.58954776198080305</v>
      </c>
      <c r="T23" s="302">
        <f t="shared" si="28"/>
        <v>0.59515511009755795</v>
      </c>
      <c r="U23" s="302">
        <f t="shared" si="28"/>
        <v>0.64743970746639901</v>
      </c>
      <c r="V23" s="302">
        <f t="shared" si="28"/>
        <v>0.65933614644684135</v>
      </c>
      <c r="W23" s="302">
        <f t="shared" si="28"/>
        <v>0.67620974883418206</v>
      </c>
      <c r="X23" s="302">
        <f t="shared" si="28"/>
        <v>0.70020614782263901</v>
      </c>
      <c r="Y23" s="302">
        <f t="shared" si="28"/>
        <v>0.73288683630605933</v>
      </c>
      <c r="Z23" s="302">
        <f t="shared" si="28"/>
        <v>0.77215797187525337</v>
      </c>
      <c r="AA23" s="302">
        <f t="shared" si="28"/>
        <v>0.81771958528843802</v>
      </c>
      <c r="AB23" s="302">
        <f t="shared" si="28"/>
        <v>0.87005427025591686</v>
      </c>
      <c r="AC23" s="302">
        <f t="shared" si="28"/>
        <v>0.92949008512931941</v>
      </c>
      <c r="AD23" s="302">
        <f t="shared" si="28"/>
        <v>0.99613261724970104</v>
      </c>
      <c r="AE23" s="302">
        <f t="shared" si="28"/>
        <v>1.0697982254304652</v>
      </c>
      <c r="AF23" s="302">
        <f t="shared" si="28"/>
        <v>1.1499596853340968</v>
      </c>
      <c r="AG23" s="302">
        <f t="shared" si="28"/>
        <v>1.2357175513090661</v>
      </c>
      <c r="AH23" s="302">
        <f t="shared" si="28"/>
        <v>1.3258096011007201</v>
      </c>
      <c r="AI23" s="302">
        <f t="shared" si="28"/>
        <v>1.4186657341838287</v>
      </c>
      <c r="AJ23" s="302">
        <f t="shared" si="28"/>
        <v>1.512507021809582</v>
      </c>
      <c r="AK23" s="302">
        <f t="shared" si="28"/>
        <v>1.605477388239718</v>
      </c>
      <c r="AL23" s="302">
        <f t="shared" si="28"/>
        <v>1.6957879902594193</v>
      </c>
      <c r="AM23" s="302">
        <f t="shared" ref="AM23:BO23" si="29">AM90*AM157</f>
        <v>1.7818509061926127</v>
      </c>
      <c r="AN23" s="302">
        <f t="shared" si="29"/>
        <v>1.8623816131941693</v>
      </c>
      <c r="AO23" s="302">
        <f t="shared" si="29"/>
        <v>1.9364577754525205</v>
      </c>
      <c r="AP23" s="302">
        <f t="shared" si="29"/>
        <v>2.0035320486425126</v>
      </c>
      <c r="AQ23" s="302">
        <f t="shared" si="29"/>
        <v>2.0634055454180897</v>
      </c>
      <c r="AR23" s="302">
        <f t="shared" si="29"/>
        <v>2.1161740428518248</v>
      </c>
      <c r="AS23" s="302">
        <f t="shared" si="29"/>
        <v>2.1621604178507883</v>
      </c>
      <c r="AT23" s="302">
        <f t="shared" si="29"/>
        <v>2.2018450505118117</v>
      </c>
      <c r="AU23" s="302">
        <f t="shared" si="29"/>
        <v>2.2358025303684452</v>
      </c>
      <c r="AV23" s="302">
        <f t="shared" si="29"/>
        <v>2.2650931472310436</v>
      </c>
      <c r="AW23" s="302">
        <f t="shared" si="29"/>
        <v>2.2939379281705685</v>
      </c>
      <c r="AX23" s="302">
        <f t="shared" si="29"/>
        <v>2.3182910949393842</v>
      </c>
      <c r="AY23" s="302">
        <f t="shared" si="29"/>
        <v>2.3387451978521518</v>
      </c>
      <c r="AZ23" s="302">
        <f t="shared" si="29"/>
        <v>2.3589208489869162</v>
      </c>
      <c r="BA23" s="302">
        <f t="shared" si="29"/>
        <v>2.3760245858969928</v>
      </c>
      <c r="BB23" s="302">
        <f t="shared" si="29"/>
        <v>2.3902749369741496</v>
      </c>
      <c r="BC23" s="302">
        <f t="shared" si="29"/>
        <v>2.404051848656545</v>
      </c>
      <c r="BD23" s="302">
        <f t="shared" si="29"/>
        <v>2.4158884697736487</v>
      </c>
      <c r="BE23" s="302">
        <f t="shared" si="29"/>
        <v>2.4256954495595662</v>
      </c>
      <c r="BF23" s="302">
        <f t="shared" si="29"/>
        <v>2.4350467463912251</v>
      </c>
      <c r="BG23" s="302">
        <f t="shared" si="29"/>
        <v>2.4431549850245848</v>
      </c>
      <c r="BH23" s="302">
        <f t="shared" si="29"/>
        <v>2.4498471407933193</v>
      </c>
      <c r="BI23" s="302">
        <f t="shared" si="29"/>
        <v>2.4561686507841998</v>
      </c>
      <c r="BJ23" s="302">
        <f t="shared" si="29"/>
        <v>2.4624634137788455</v>
      </c>
      <c r="BK23" s="302">
        <f t="shared" si="29"/>
        <v>2.4691555196008963</v>
      </c>
      <c r="BL23" s="302">
        <f t="shared" si="29"/>
        <v>2.4746709542077472</v>
      </c>
      <c r="BM23" s="302">
        <f t="shared" si="29"/>
        <v>2.4792112360296041</v>
      </c>
      <c r="BN23" s="302">
        <f t="shared" si="29"/>
        <v>2.4829451381117145</v>
      </c>
      <c r="BO23" s="775">
        <f t="shared" si="29"/>
        <v>2.4860134203149014</v>
      </c>
      <c r="BP23" s="223"/>
      <c r="BX23" s="139"/>
      <c r="DJ23" s="27"/>
      <c r="DK23" s="27"/>
      <c r="DL23" s="427"/>
      <c r="DM23" s="421"/>
      <c r="DN23" s="421"/>
      <c r="DO23" s="421"/>
      <c r="DP23" s="421"/>
      <c r="DQ23" s="421"/>
      <c r="DR23" s="421"/>
      <c r="DS23" s="421"/>
      <c r="DT23" s="421"/>
      <c r="DU23" s="421"/>
      <c r="DV23" s="421"/>
      <c r="DW23" s="421"/>
      <c r="DX23" s="421"/>
      <c r="DY23" s="421"/>
      <c r="DZ23" s="421"/>
      <c r="EA23" s="421"/>
      <c r="EB23" s="421"/>
      <c r="EC23" s="421"/>
      <c r="ED23" s="421"/>
      <c r="EE23" s="421"/>
      <c r="EF23" s="421"/>
      <c r="EG23" s="421"/>
      <c r="EH23" s="27"/>
      <c r="EI23" s="27"/>
      <c r="EJ23" s="27"/>
      <c r="EK23" s="427"/>
      <c r="EL23" s="421"/>
      <c r="EM23" s="421"/>
      <c r="EN23" s="421"/>
      <c r="EO23" s="421"/>
      <c r="EP23" s="421"/>
      <c r="EQ23" s="421"/>
      <c r="ER23" s="421"/>
      <c r="ES23" s="421"/>
      <c r="ET23" s="421"/>
      <c r="EU23" s="421"/>
      <c r="EV23" s="421"/>
      <c r="EW23" s="421"/>
      <c r="EX23" s="421"/>
      <c r="EY23" s="421"/>
      <c r="EZ23" s="421"/>
      <c r="FA23" s="421"/>
      <c r="FB23" s="421"/>
      <c r="FC23" s="421"/>
      <c r="FD23" s="421"/>
      <c r="FE23" s="421"/>
      <c r="FF23" s="421"/>
      <c r="FG23" s="27"/>
      <c r="FH23" s="27"/>
      <c r="FI23" s="27"/>
      <c r="FJ23" s="427"/>
      <c r="FK23" s="421"/>
      <c r="FL23" s="421"/>
      <c r="FM23" s="421"/>
      <c r="FN23" s="421"/>
      <c r="FO23" s="421"/>
      <c r="FP23" s="421"/>
      <c r="FQ23" s="421"/>
      <c r="FR23" s="421"/>
      <c r="FS23" s="421"/>
      <c r="FT23" s="421"/>
      <c r="FU23" s="421"/>
      <c r="FV23" s="421"/>
      <c r="FW23" s="421"/>
      <c r="FX23" s="421"/>
      <c r="FY23" s="421"/>
      <c r="FZ23" s="421"/>
      <c r="GA23" s="421"/>
      <c r="GB23" s="421"/>
      <c r="GC23" s="421"/>
      <c r="GD23" s="421"/>
      <c r="GE23" s="421"/>
      <c r="GF23" s="27"/>
    </row>
    <row r="24" spans="3:188" ht="42" customHeight="1">
      <c r="C24" s="425"/>
      <c r="D24" s="424"/>
      <c r="E24" s="443">
        <v>0.8</v>
      </c>
      <c r="F24" s="444">
        <f t="shared" si="3"/>
        <v>2.2779313050956609</v>
      </c>
      <c r="G24" s="774">
        <f t="shared" ref="G24:AL24" si="30">G91*G158</f>
        <v>0.51205206939167081</v>
      </c>
      <c r="H24" s="302">
        <f t="shared" si="30"/>
        <v>0.51921706400040069</v>
      </c>
      <c r="I24" s="302">
        <f t="shared" si="30"/>
        <v>0.52050224466969452</v>
      </c>
      <c r="J24" s="302">
        <f t="shared" si="30"/>
        <v>0.52216494890324983</v>
      </c>
      <c r="K24" s="302">
        <f t="shared" si="30"/>
        <v>0.52430274446600211</v>
      </c>
      <c r="L24" s="302">
        <f t="shared" si="30"/>
        <v>0.52702582043415191</v>
      </c>
      <c r="M24" s="302">
        <f t="shared" si="30"/>
        <v>0.53045754654256794</v>
      </c>
      <c r="N24" s="302">
        <f t="shared" si="30"/>
        <v>0.53473694910505432</v>
      </c>
      <c r="O24" s="302">
        <f t="shared" si="30"/>
        <v>0.54002326785983124</v>
      </c>
      <c r="P24" s="302">
        <f t="shared" si="30"/>
        <v>0.54650213560626815</v>
      </c>
      <c r="Q24" s="302">
        <f t="shared" si="30"/>
        <v>0.55439254815578187</v>
      </c>
      <c r="R24" s="302">
        <f t="shared" si="30"/>
        <v>0.56395384797745929</v>
      </c>
      <c r="S24" s="302">
        <f t="shared" si="30"/>
        <v>0.57338750052055876</v>
      </c>
      <c r="T24" s="302">
        <f t="shared" si="30"/>
        <v>0.58137067466624825</v>
      </c>
      <c r="U24" s="302">
        <f t="shared" si="30"/>
        <v>0.58811770956701381</v>
      </c>
      <c r="V24" s="302">
        <f t="shared" si="30"/>
        <v>0.65131494663247225</v>
      </c>
      <c r="W24" s="302">
        <f t="shared" si="30"/>
        <v>0.66558378297357612</v>
      </c>
      <c r="X24" s="302">
        <f t="shared" si="30"/>
        <v>0.68588047948944153</v>
      </c>
      <c r="Y24" s="302">
        <f t="shared" si="30"/>
        <v>0.71413741718210699</v>
      </c>
      <c r="Z24" s="302">
        <f t="shared" si="30"/>
        <v>0.75185747374969503</v>
      </c>
      <c r="AA24" s="302">
        <f t="shared" si="30"/>
        <v>0.79754465454129908</v>
      </c>
      <c r="AB24" s="302">
        <f t="shared" si="30"/>
        <v>0.85001529692444877</v>
      </c>
      <c r="AC24" s="302">
        <f t="shared" si="30"/>
        <v>0.90958910267453452</v>
      </c>
      <c r="AD24" s="302">
        <f t="shared" si="30"/>
        <v>0.97636421408410512</v>
      </c>
      <c r="AE24" s="302">
        <f t="shared" si="30"/>
        <v>1.0501513355036953</v>
      </c>
      <c r="AF24" s="302">
        <f t="shared" si="30"/>
        <v>1.1304197081353566</v>
      </c>
      <c r="AG24" s="302">
        <f t="shared" si="30"/>
        <v>1.2162683455186645</v>
      </c>
      <c r="AH24" s="302">
        <f t="shared" si="30"/>
        <v>1.3064350799782023</v>
      </c>
      <c r="AI24" s="302">
        <f t="shared" si="30"/>
        <v>1.3993509687588066</v>
      </c>
      <c r="AJ24" s="302">
        <f t="shared" si="30"/>
        <v>1.493238880812757</v>
      </c>
      <c r="AK24" s="302">
        <f t="shared" si="30"/>
        <v>1.5862448054422551</v>
      </c>
      <c r="AL24" s="302">
        <f t="shared" si="30"/>
        <v>1.6765819664555781</v>
      </c>
      <c r="AM24" s="302">
        <f t="shared" ref="AM24:BO24" si="31">AM91*AM158</f>
        <v>1.7626643441878826</v>
      </c>
      <c r="AN24" s="302">
        <f t="shared" si="31"/>
        <v>1.8432090646634118</v>
      </c>
      <c r="AO24" s="302">
        <f t="shared" si="31"/>
        <v>1.9172951569859016</v>
      </c>
      <c r="AP24" s="302">
        <f t="shared" si="31"/>
        <v>1.9843763647841823</v>
      </c>
      <c r="AQ24" s="302">
        <f t="shared" si="31"/>
        <v>2.0442546406166553</v>
      </c>
      <c r="AR24" s="302">
        <f t="shared" si="31"/>
        <v>2.0970263923600578</v>
      </c>
      <c r="AS24" s="302">
        <f t="shared" si="31"/>
        <v>2.1430149595016217</v>
      </c>
      <c r="AT24" s="302">
        <f t="shared" si="31"/>
        <v>2.182701054386226</v>
      </c>
      <c r="AU24" s="302">
        <f t="shared" si="31"/>
        <v>2.2178352771157863</v>
      </c>
      <c r="AV24" s="302">
        <f t="shared" si="31"/>
        <v>2.2517906178885809</v>
      </c>
      <c r="AW24" s="302">
        <f t="shared" si="31"/>
        <v>2.2806358225813304</v>
      </c>
      <c r="AX24" s="302">
        <f t="shared" si="31"/>
        <v>2.3049892644253775</v>
      </c>
      <c r="AY24" s="302">
        <f t="shared" si="31"/>
        <v>2.3293295964926264</v>
      </c>
      <c r="AZ24" s="302">
        <f t="shared" si="31"/>
        <v>2.3497830990070248</v>
      </c>
      <c r="BA24" s="302">
        <f t="shared" si="31"/>
        <v>2.3668869102869619</v>
      </c>
      <c r="BB24" s="302">
        <f t="shared" si="31"/>
        <v>2.383573873669965</v>
      </c>
      <c r="BC24" s="302">
        <f t="shared" si="31"/>
        <v>2.397824011623833</v>
      </c>
      <c r="BD24" s="302">
        <f t="shared" si="31"/>
        <v>2.409660652316183</v>
      </c>
      <c r="BE24" s="302">
        <f t="shared" si="31"/>
        <v>2.421017990478461</v>
      </c>
      <c r="BF24" s="302">
        <f t="shared" si="31"/>
        <v>2.4308248970449089</v>
      </c>
      <c r="BG24" s="302">
        <f t="shared" si="31"/>
        <v>2.438933140334123</v>
      </c>
      <c r="BH24" s="302">
        <f t="shared" si="31"/>
        <v>2.4466249060120515</v>
      </c>
      <c r="BI24" s="302">
        <f t="shared" si="31"/>
        <v>2.4543546659639213</v>
      </c>
      <c r="BJ24" s="302">
        <f t="shared" si="31"/>
        <v>2.4624628292232398</v>
      </c>
      <c r="BK24" s="302">
        <f t="shared" si="31"/>
        <v>2.4691549389097607</v>
      </c>
      <c r="BL24" s="302">
        <f t="shared" si="31"/>
        <v>2.4746703791700031</v>
      </c>
      <c r="BM24" s="302">
        <f t="shared" si="31"/>
        <v>2.4792106688301749</v>
      </c>
      <c r="BN24" s="302">
        <f t="shared" si="31"/>
        <v>2.4829445812384265</v>
      </c>
      <c r="BO24" s="775">
        <f t="shared" si="31"/>
        <v>2.4860128764683642</v>
      </c>
      <c r="BP24" s="223"/>
      <c r="BX24" s="139"/>
      <c r="DJ24" s="27"/>
      <c r="DK24" s="27"/>
      <c r="DL24" s="427"/>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27"/>
      <c r="EI24" s="27"/>
      <c r="EJ24" s="27"/>
      <c r="EK24" s="427"/>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27"/>
      <c r="FH24" s="27"/>
      <c r="FI24" s="27"/>
      <c r="FJ24" s="427"/>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27"/>
    </row>
    <row r="25" spans="3:188" ht="42" customHeight="1">
      <c r="C25" s="425"/>
      <c r="D25" s="424"/>
      <c r="E25" s="445">
        <v>0.75</v>
      </c>
      <c r="F25" s="444">
        <f t="shared" si="3"/>
        <v>2.2322748544524948</v>
      </c>
      <c r="G25" s="774">
        <f t="shared" ref="G25:AL25" si="32">G92*G159</f>
        <v>0.48866510541001262</v>
      </c>
      <c r="H25" s="302">
        <f t="shared" si="32"/>
        <v>0.49565542316408623</v>
      </c>
      <c r="I25" s="302">
        <f t="shared" si="32"/>
        <v>0.49675611863053515</v>
      </c>
      <c r="J25" s="302">
        <f t="shared" si="32"/>
        <v>0.49822686379060993</v>
      </c>
      <c r="K25" s="302">
        <f t="shared" si="32"/>
        <v>0.50017810307915378</v>
      </c>
      <c r="L25" s="302">
        <f t="shared" si="32"/>
        <v>0.50273268294551932</v>
      </c>
      <c r="M25" s="302">
        <f t="shared" si="32"/>
        <v>0.50602352418249719</v>
      </c>
      <c r="N25" s="302">
        <f t="shared" si="32"/>
        <v>0.51019401868233671</v>
      </c>
      <c r="O25" s="302">
        <f t="shared" si="32"/>
        <v>0.51540197344066896</v>
      </c>
      <c r="P25" s="302">
        <f t="shared" si="32"/>
        <v>0.52182656949245454</v>
      </c>
      <c r="Q25" s="302">
        <f t="shared" si="32"/>
        <v>0.52967684708927065</v>
      </c>
      <c r="R25" s="302">
        <f t="shared" si="32"/>
        <v>0.53920021856466172</v>
      </c>
      <c r="S25" s="302">
        <f t="shared" si="32"/>
        <v>0.55070986971551539</v>
      </c>
      <c r="T25" s="302">
        <f t="shared" si="32"/>
        <v>0.56182282520718607</v>
      </c>
      <c r="U25" s="302">
        <f t="shared" si="32"/>
        <v>0.57133869253745284</v>
      </c>
      <c r="V25" s="302">
        <f t="shared" si="32"/>
        <v>0.57948642535128381</v>
      </c>
      <c r="W25" s="302">
        <f t="shared" si="32"/>
        <v>0.6557477748013093</v>
      </c>
      <c r="X25" s="302">
        <f t="shared" si="32"/>
        <v>0.6729154019105511</v>
      </c>
      <c r="Y25" s="302">
        <f t="shared" si="32"/>
        <v>0.69726017383873951</v>
      </c>
      <c r="Z25" s="302">
        <f t="shared" si="32"/>
        <v>0.73032512806103411</v>
      </c>
      <c r="AA25" s="302">
        <f t="shared" si="32"/>
        <v>0.77338437804950477</v>
      </c>
      <c r="AB25" s="302">
        <f t="shared" si="32"/>
        <v>0.8260580968747776</v>
      </c>
      <c r="AC25" s="302">
        <f t="shared" si="32"/>
        <v>0.88582957235688897</v>
      </c>
      <c r="AD25" s="302">
        <f t="shared" si="32"/>
        <v>0.95278688880850648</v>
      </c>
      <c r="AE25" s="302">
        <f t="shared" si="32"/>
        <v>1.026734401729821</v>
      </c>
      <c r="AF25" s="302">
        <f t="shared" si="32"/>
        <v>1.1071385524877284</v>
      </c>
      <c r="AG25" s="302">
        <f t="shared" si="32"/>
        <v>1.1930983585035391</v>
      </c>
      <c r="AH25" s="302">
        <f t="shared" si="32"/>
        <v>1.283353527998385</v>
      </c>
      <c r="AI25" s="302">
        <f t="shared" si="32"/>
        <v>1.3763380156967051</v>
      </c>
      <c r="AJ25" s="302">
        <f t="shared" si="32"/>
        <v>1.4702779603978742</v>
      </c>
      <c r="AK25" s="302">
        <f t="shared" si="32"/>
        <v>1.5633225619731501</v>
      </c>
      <c r="AL25" s="302">
        <f t="shared" si="32"/>
        <v>1.6536879466188676</v>
      </c>
      <c r="AM25" s="302">
        <f t="shared" ref="AM25:BO25" si="33">AM92*AM159</f>
        <v>1.7397905734015247</v>
      </c>
      <c r="AN25" s="302">
        <f t="shared" si="33"/>
        <v>1.8203495959774088</v>
      </c>
      <c r="AO25" s="302">
        <f t="shared" si="33"/>
        <v>1.8944456451891665</v>
      </c>
      <c r="AP25" s="302">
        <f t="shared" si="33"/>
        <v>1.9615336931236893</v>
      </c>
      <c r="AQ25" s="302">
        <f t="shared" si="33"/>
        <v>2.0214166106115532</v>
      </c>
      <c r="AR25" s="302">
        <f t="shared" si="33"/>
        <v>2.0741914765826888</v>
      </c>
      <c r="AS25" s="302">
        <f t="shared" si="33"/>
        <v>2.1201821112035195</v>
      </c>
      <c r="AT25" s="302">
        <f t="shared" si="33"/>
        <v>2.1621670120332066</v>
      </c>
      <c r="AU25" s="302">
        <f t="shared" si="33"/>
        <v>2.2018497024062635</v>
      </c>
      <c r="AV25" s="302">
        <f t="shared" si="33"/>
        <v>2.235805635620145</v>
      </c>
      <c r="AW25" s="302">
        <f t="shared" si="33"/>
        <v>2.2650950540367791</v>
      </c>
      <c r="AX25" s="302">
        <f t="shared" si="33"/>
        <v>2.2939389269962822</v>
      </c>
      <c r="AY25" s="302">
        <f t="shared" si="33"/>
        <v>2.3182914142337019</v>
      </c>
      <c r="AZ25" s="302">
        <f t="shared" si="33"/>
        <v>2.3387450160900016</v>
      </c>
      <c r="BA25" s="302">
        <f t="shared" si="33"/>
        <v>2.358920301777744</v>
      </c>
      <c r="BB25" s="302">
        <f t="shared" si="33"/>
        <v>2.3760237748732798</v>
      </c>
      <c r="BC25" s="302">
        <f t="shared" si="33"/>
        <v>2.3902739374262882</v>
      </c>
      <c r="BD25" s="302">
        <f t="shared" si="33"/>
        <v>2.4040507145559258</v>
      </c>
      <c r="BE25" s="302">
        <f t="shared" si="33"/>
        <v>2.415887240259575</v>
      </c>
      <c r="BF25" s="302">
        <f t="shared" si="33"/>
        <v>2.4256941523139735</v>
      </c>
      <c r="BG25" s="302">
        <f t="shared" si="33"/>
        <v>2.4350454006680753</v>
      </c>
      <c r="BH25" s="302">
        <f t="shared" si="33"/>
        <v>2.4431536065729729</v>
      </c>
      <c r="BI25" s="302">
        <f t="shared" si="33"/>
        <v>2.4498457425716977</v>
      </c>
      <c r="BJ25" s="302">
        <f t="shared" si="33"/>
        <v>2.4561672433060795</v>
      </c>
      <c r="BK25" s="302">
        <f t="shared" si="33"/>
        <v>2.4624620062879932</v>
      </c>
      <c r="BL25" s="302">
        <f t="shared" si="33"/>
        <v>2.4691541205517367</v>
      </c>
      <c r="BM25" s="302">
        <f t="shared" si="33"/>
        <v>2.4746695727097379</v>
      </c>
      <c r="BN25" s="302">
        <f t="shared" si="33"/>
        <v>2.4792098809625394</v>
      </c>
      <c r="BO25" s="775">
        <f t="shared" si="33"/>
        <v>2.4829438181560608</v>
      </c>
      <c r="BP25" s="223"/>
      <c r="BX25" s="139"/>
      <c r="DJ25" s="27"/>
      <c r="DK25" s="27"/>
      <c r="DL25" s="427"/>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27"/>
      <c r="EI25" s="27"/>
      <c r="EJ25" s="27"/>
      <c r="EK25" s="427"/>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27"/>
      <c r="FH25" s="27"/>
      <c r="FI25" s="27"/>
      <c r="FJ25" s="427"/>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27"/>
    </row>
    <row r="26" spans="3:188" ht="42" customHeight="1">
      <c r="C26" s="425"/>
      <c r="D26" s="424"/>
      <c r="E26" s="443">
        <v>0.7</v>
      </c>
      <c r="F26" s="444">
        <f t="shared" si="3"/>
        <v>2.1780881297807722</v>
      </c>
      <c r="G26" s="774">
        <f t="shared" ref="G26:AL26" si="34">G93*G160</f>
        <v>0.46093943959238642</v>
      </c>
      <c r="H26" s="302">
        <f t="shared" si="34"/>
        <v>0.46769988450873951</v>
      </c>
      <c r="I26" s="302">
        <f t="shared" si="34"/>
        <v>0.46854619725671975</v>
      </c>
      <c r="J26" s="302">
        <f t="shared" si="34"/>
        <v>0.46974101105396832</v>
      </c>
      <c r="K26" s="302">
        <f t="shared" si="34"/>
        <v>0.47141403862283299</v>
      </c>
      <c r="L26" s="302">
        <f t="shared" si="34"/>
        <v>0.47370959964222886</v>
      </c>
      <c r="M26" s="302">
        <f t="shared" si="34"/>
        <v>0.47677896218643745</v>
      </c>
      <c r="N26" s="302">
        <f t="shared" si="34"/>
        <v>0.48077603020946152</v>
      </c>
      <c r="O26" s="302">
        <f t="shared" si="34"/>
        <v>0.48585907279869484</v>
      </c>
      <c r="P26" s="302">
        <f t="shared" si="34"/>
        <v>0.49219841262476588</v>
      </c>
      <c r="Q26" s="302">
        <f t="shared" si="34"/>
        <v>0.49998751942033359</v>
      </c>
      <c r="R26" s="302">
        <f t="shared" si="34"/>
        <v>0.50945445517835075</v>
      </c>
      <c r="S26" s="302">
        <f t="shared" si="34"/>
        <v>0.52090453616813448</v>
      </c>
      <c r="T26" s="302">
        <f t="shared" si="34"/>
        <v>0.53475784372918211</v>
      </c>
      <c r="U26" s="302">
        <f t="shared" si="34"/>
        <v>0.547821468780893</v>
      </c>
      <c r="V26" s="302">
        <f t="shared" si="34"/>
        <v>0.55919901527587201</v>
      </c>
      <c r="W26" s="302">
        <f t="shared" si="34"/>
        <v>0.5691123465591803</v>
      </c>
      <c r="X26" s="302">
        <f t="shared" si="34"/>
        <v>0.66099168819164644</v>
      </c>
      <c r="Y26" s="302">
        <f t="shared" si="34"/>
        <v>0.68189370915384095</v>
      </c>
      <c r="Z26" s="302">
        <f t="shared" si="34"/>
        <v>0.71079142949484253</v>
      </c>
      <c r="AA26" s="302">
        <f t="shared" si="34"/>
        <v>0.74914510065033346</v>
      </c>
      <c r="AB26" s="302">
        <f t="shared" si="34"/>
        <v>0.79760054776412292</v>
      </c>
      <c r="AC26" s="302">
        <f t="shared" si="34"/>
        <v>0.85764279228283458</v>
      </c>
      <c r="AD26" s="302">
        <f t="shared" si="34"/>
        <v>0.92483872780306187</v>
      </c>
      <c r="AE26" s="302">
        <f t="shared" si="34"/>
        <v>0.99898746811293082</v>
      </c>
      <c r="AF26" s="302">
        <f t="shared" si="34"/>
        <v>1.0795552502425587</v>
      </c>
      <c r="AG26" s="302">
        <f t="shared" si="34"/>
        <v>1.1656441481718751</v>
      </c>
      <c r="AH26" s="302">
        <f t="shared" si="34"/>
        <v>1.2559985930449717</v>
      </c>
      <c r="AI26" s="302">
        <f t="shared" si="34"/>
        <v>1.3490577669405461</v>
      </c>
      <c r="AJ26" s="302">
        <f t="shared" si="34"/>
        <v>1.4430528219730732</v>
      </c>
      <c r="AK26" s="302">
        <f t="shared" si="34"/>
        <v>1.5361373860901346</v>
      </c>
      <c r="AL26" s="302">
        <f t="shared" si="34"/>
        <v>1.626531289104566</v>
      </c>
      <c r="AM26" s="302">
        <f t="shared" ref="AM26:BO26" si="35">AM93*AM160</f>
        <v>1.7126539669765544</v>
      </c>
      <c r="AN26" s="302">
        <f t="shared" si="35"/>
        <v>1.7932268923217818</v>
      </c>
      <c r="AO26" s="302">
        <f t="shared" si="35"/>
        <v>1.8673324556719948</v>
      </c>
      <c r="AP26" s="302">
        <f t="shared" si="35"/>
        <v>1.9344269342058198</v>
      </c>
      <c r="AQ26" s="302">
        <f t="shared" si="35"/>
        <v>1.9943141470899894</v>
      </c>
      <c r="AR26" s="302">
        <f t="shared" si="35"/>
        <v>2.0470918497467503</v>
      </c>
      <c r="AS26" s="302">
        <f t="shared" si="35"/>
        <v>2.0970376762234042</v>
      </c>
      <c r="AT26" s="302">
        <f t="shared" si="35"/>
        <v>2.143022949124409</v>
      </c>
      <c r="AU26" s="302">
        <f t="shared" si="35"/>
        <v>2.1827064438667452</v>
      </c>
      <c r="AV26" s="302">
        <f t="shared" si="35"/>
        <v>2.2178386660740541</v>
      </c>
      <c r="AW26" s="302">
        <f t="shared" si="35"/>
        <v>2.2517924981778257</v>
      </c>
      <c r="AX26" s="302">
        <f t="shared" si="35"/>
        <v>2.2806365773795427</v>
      </c>
      <c r="AY26" s="302">
        <f t="shared" si="35"/>
        <v>2.3049891912097293</v>
      </c>
      <c r="AZ26" s="302">
        <f t="shared" si="35"/>
        <v>2.3293289203769088</v>
      </c>
      <c r="BA26" s="302">
        <f t="shared" si="35"/>
        <v>2.3497819880543585</v>
      </c>
      <c r="BB26" s="302">
        <f t="shared" si="35"/>
        <v>2.3668854889434741</v>
      </c>
      <c r="BC26" s="302">
        <f t="shared" si="35"/>
        <v>2.3835722311381429</v>
      </c>
      <c r="BD26" s="302">
        <f t="shared" si="35"/>
        <v>2.3978222130322848</v>
      </c>
      <c r="BE26" s="302">
        <f t="shared" si="35"/>
        <v>2.4096587440576989</v>
      </c>
      <c r="BF26" s="302">
        <f t="shared" si="35"/>
        <v>2.4210160033972405</v>
      </c>
      <c r="BG26" s="302">
        <f t="shared" si="35"/>
        <v>2.4308228539882388</v>
      </c>
      <c r="BH26" s="302">
        <f t="shared" si="35"/>
        <v>2.4389310604674441</v>
      </c>
      <c r="BI26" s="302">
        <f t="shared" si="35"/>
        <v>2.4466228045656031</v>
      </c>
      <c r="BJ26" s="302">
        <f t="shared" si="35"/>
        <v>2.4543525560988928</v>
      </c>
      <c r="BK26" s="302">
        <f t="shared" si="35"/>
        <v>2.4624607230279283</v>
      </c>
      <c r="BL26" s="302">
        <f t="shared" si="35"/>
        <v>2.4691528497829172</v>
      </c>
      <c r="BM26" s="302">
        <f t="shared" si="35"/>
        <v>2.4746683203377766</v>
      </c>
      <c r="BN26" s="302">
        <f t="shared" si="35"/>
        <v>2.4792086534448212</v>
      </c>
      <c r="BO26" s="775">
        <f t="shared" si="35"/>
        <v>2.4829426223157984</v>
      </c>
      <c r="BP26" s="223"/>
      <c r="BX26" s="139"/>
      <c r="DJ26" s="27"/>
      <c r="DK26" s="27"/>
      <c r="DL26" s="427"/>
      <c r="DM26" s="421"/>
      <c r="DN26" s="421"/>
      <c r="DO26" s="421"/>
      <c r="DP26" s="421"/>
      <c r="DQ26" s="421"/>
      <c r="DR26" s="421"/>
      <c r="DS26" s="421"/>
      <c r="DT26" s="421"/>
      <c r="DU26" s="421"/>
      <c r="DV26" s="421"/>
      <c r="DW26" s="421"/>
      <c r="DX26" s="421"/>
      <c r="DY26" s="421"/>
      <c r="DZ26" s="421"/>
      <c r="EA26" s="421"/>
      <c r="EB26" s="421"/>
      <c r="EC26" s="421"/>
      <c r="ED26" s="421"/>
      <c r="EE26" s="421"/>
      <c r="EF26" s="421"/>
      <c r="EG26" s="421"/>
      <c r="EH26" s="27"/>
      <c r="EI26" s="27"/>
      <c r="EJ26" s="27"/>
      <c r="EK26" s="427"/>
      <c r="EL26" s="421"/>
      <c r="EM26" s="421"/>
      <c r="EN26" s="421"/>
      <c r="EO26" s="421"/>
      <c r="EP26" s="421"/>
      <c r="EQ26" s="421"/>
      <c r="ER26" s="421"/>
      <c r="ES26" s="421"/>
      <c r="ET26" s="421"/>
      <c r="EU26" s="421"/>
      <c r="EV26" s="421"/>
      <c r="EW26" s="421"/>
      <c r="EX26" s="421"/>
      <c r="EY26" s="421"/>
      <c r="EZ26" s="421"/>
      <c r="FA26" s="421"/>
      <c r="FB26" s="421"/>
      <c r="FC26" s="421"/>
      <c r="FD26" s="421"/>
      <c r="FE26" s="421"/>
      <c r="FF26" s="421"/>
      <c r="FG26" s="27"/>
      <c r="FH26" s="27"/>
      <c r="FI26" s="27"/>
      <c r="FJ26" s="427"/>
      <c r="FK26" s="421"/>
      <c r="FL26" s="421"/>
      <c r="FM26" s="421"/>
      <c r="FN26" s="421"/>
      <c r="FO26" s="421"/>
      <c r="FP26" s="421"/>
      <c r="FQ26" s="421"/>
      <c r="FR26" s="421"/>
      <c r="FS26" s="421"/>
      <c r="FT26" s="421"/>
      <c r="FU26" s="421"/>
      <c r="FV26" s="421"/>
      <c r="FW26" s="421"/>
      <c r="FX26" s="421"/>
      <c r="FY26" s="421"/>
      <c r="FZ26" s="421"/>
      <c r="GA26" s="421"/>
      <c r="GB26" s="421"/>
      <c r="GC26" s="421"/>
      <c r="GD26" s="421"/>
      <c r="GE26" s="421"/>
      <c r="GF26" s="27"/>
    </row>
    <row r="27" spans="3:188" ht="42" customHeight="1">
      <c r="C27" s="425"/>
      <c r="D27" s="424"/>
      <c r="E27" s="445">
        <v>0.65</v>
      </c>
      <c r="F27" s="444">
        <f t="shared" si="3"/>
        <v>2.1141493970469325</v>
      </c>
      <c r="G27" s="774">
        <f t="shared" ref="G27:AL27" si="36">G94*G161</f>
        <v>0.42830929458572425</v>
      </c>
      <c r="H27" s="302">
        <f t="shared" si="36"/>
        <v>0.43478528078171413</v>
      </c>
      <c r="I27" s="302">
        <f t="shared" si="36"/>
        <v>0.43529918613841717</v>
      </c>
      <c r="J27" s="302">
        <f t="shared" si="36"/>
        <v>0.43611451128216233</v>
      </c>
      <c r="K27" s="302">
        <f t="shared" si="36"/>
        <v>0.4373867545202012</v>
      </c>
      <c r="L27" s="302">
        <f t="shared" si="36"/>
        <v>0.43929417496110035</v>
      </c>
      <c r="M27" s="302">
        <f t="shared" si="36"/>
        <v>0.4420213909882128</v>
      </c>
      <c r="N27" s="302">
        <f t="shared" si="36"/>
        <v>0.44574525965134587</v>
      </c>
      <c r="O27" s="302">
        <f t="shared" si="36"/>
        <v>0.45063029957311423</v>
      </c>
      <c r="P27" s="302">
        <f t="shared" si="36"/>
        <v>0.45683595993799564</v>
      </c>
      <c r="Q27" s="302">
        <f t="shared" si="36"/>
        <v>0.46453190717013282</v>
      </c>
      <c r="R27" s="302">
        <f t="shared" si="36"/>
        <v>0.47391504827948894</v>
      </c>
      <c r="S27" s="302">
        <f t="shared" si="36"/>
        <v>0.48527813585902807</v>
      </c>
      <c r="T27" s="302">
        <f t="shared" si="36"/>
        <v>0.49906960696003555</v>
      </c>
      <c r="U27" s="302">
        <f t="shared" si="36"/>
        <v>0.51580674718501196</v>
      </c>
      <c r="V27" s="302">
        <f t="shared" si="36"/>
        <v>0.53119811080866031</v>
      </c>
      <c r="W27" s="302">
        <f t="shared" si="36"/>
        <v>0.54490159184550879</v>
      </c>
      <c r="X27" s="302">
        <f t="shared" si="36"/>
        <v>0.55707297470086892</v>
      </c>
      <c r="Y27" s="302">
        <f t="shared" si="36"/>
        <v>0.66762383391933466</v>
      </c>
      <c r="Z27" s="302">
        <f t="shared" si="36"/>
        <v>0.69300334420090626</v>
      </c>
      <c r="AA27" s="302">
        <f t="shared" si="36"/>
        <v>0.72703900668528043</v>
      </c>
      <c r="AB27" s="302">
        <f t="shared" si="36"/>
        <v>0.77095167953057264</v>
      </c>
      <c r="AC27" s="302">
        <f t="shared" si="36"/>
        <v>0.82445734963822381</v>
      </c>
      <c r="AD27" s="302">
        <f t="shared" si="36"/>
        <v>0.89194744551549132</v>
      </c>
      <c r="AE27" s="302">
        <f t="shared" si="36"/>
        <v>0.96633327139890457</v>
      </c>
      <c r="AF27" s="302">
        <f t="shared" si="36"/>
        <v>1.0470860129153696</v>
      </c>
      <c r="AG27" s="302">
        <f t="shared" si="36"/>
        <v>1.1333154652173705</v>
      </c>
      <c r="AH27" s="302">
        <f t="shared" si="36"/>
        <v>1.2237744392832794</v>
      </c>
      <c r="AI27" s="302">
        <f t="shared" si="36"/>
        <v>1.3169099422699642</v>
      </c>
      <c r="AJ27" s="302">
        <f t="shared" si="36"/>
        <v>1.4109598470419786</v>
      </c>
      <c r="AK27" s="302">
        <f t="shared" si="36"/>
        <v>1.5040832557170782</v>
      </c>
      <c r="AL27" s="302">
        <f t="shared" si="36"/>
        <v>1.5945042963547456</v>
      </c>
      <c r="AM27" s="302">
        <f t="shared" ref="AM27:BO27" si="37">AM94*AM161</f>
        <v>1.6806456884745045</v>
      </c>
      <c r="AN27" s="302">
        <f t="shared" si="37"/>
        <v>1.7612313580803427</v>
      </c>
      <c r="AO27" s="302">
        <f t="shared" si="37"/>
        <v>1.8353454940407206</v>
      </c>
      <c r="AP27" s="302">
        <f t="shared" si="37"/>
        <v>1.9024456690931026</v>
      </c>
      <c r="AQ27" s="302">
        <f t="shared" si="37"/>
        <v>1.9623366209116104</v>
      </c>
      <c r="AR27" s="302">
        <f t="shared" si="37"/>
        <v>2.0214356042754957</v>
      </c>
      <c r="AS27" s="302">
        <f t="shared" si="37"/>
        <v>2.0742049679909171</v>
      </c>
      <c r="AT27" s="302">
        <f t="shared" si="37"/>
        <v>2.120191291536718</v>
      </c>
      <c r="AU27" s="302">
        <f t="shared" si="37"/>
        <v>2.1621728962195927</v>
      </c>
      <c r="AV27" s="302">
        <f t="shared" si="37"/>
        <v>2.2018531081457051</v>
      </c>
      <c r="AW27" s="302">
        <f t="shared" si="37"/>
        <v>2.2358071962041222</v>
      </c>
      <c r="AX27" s="302">
        <f t="shared" si="37"/>
        <v>2.2650952586067583</v>
      </c>
      <c r="AY27" s="302">
        <f t="shared" si="37"/>
        <v>2.2939381445138132</v>
      </c>
      <c r="AZ27" s="302">
        <f t="shared" si="37"/>
        <v>2.31828991922545</v>
      </c>
      <c r="BA27" s="302">
        <f t="shared" si="37"/>
        <v>2.3387430119376678</v>
      </c>
      <c r="BB27" s="302">
        <f t="shared" si="37"/>
        <v>2.3589179342838742</v>
      </c>
      <c r="BC27" s="302">
        <f t="shared" si="37"/>
        <v>2.3760211513328628</v>
      </c>
      <c r="BD27" s="302">
        <f t="shared" si="37"/>
        <v>2.3902711348140282</v>
      </c>
      <c r="BE27" s="302">
        <f t="shared" si="37"/>
        <v>2.404047784512743</v>
      </c>
      <c r="BF27" s="302">
        <f t="shared" si="37"/>
        <v>2.4158842193076984</v>
      </c>
      <c r="BG27" s="302">
        <f t="shared" si="37"/>
        <v>2.4256910671451655</v>
      </c>
      <c r="BH27" s="302">
        <f t="shared" si="37"/>
        <v>2.4350422728061671</v>
      </c>
      <c r="BI27" s="302">
        <f t="shared" si="37"/>
        <v>2.4431504561130422</v>
      </c>
      <c r="BJ27" s="302">
        <f t="shared" si="37"/>
        <v>2.44984258867991</v>
      </c>
      <c r="BK27" s="302">
        <f t="shared" si="37"/>
        <v>2.4561641035873762</v>
      </c>
      <c r="BL27" s="302">
        <f t="shared" si="37"/>
        <v>2.4624588982446349</v>
      </c>
      <c r="BM27" s="302">
        <f t="shared" si="37"/>
        <v>2.4691510617323238</v>
      </c>
      <c r="BN27" s="302">
        <f t="shared" si="37"/>
        <v>2.4746665831379784</v>
      </c>
      <c r="BO27" s="775">
        <f t="shared" si="37"/>
        <v>2.4792069805854715</v>
      </c>
      <c r="BP27" s="223"/>
      <c r="BX27" s="139"/>
      <c r="DJ27" s="27"/>
      <c r="DK27" s="27"/>
      <c r="DL27" s="427"/>
      <c r="DM27" s="421"/>
      <c r="DN27" s="421"/>
      <c r="DO27" s="421"/>
      <c r="DP27" s="421"/>
      <c r="DQ27" s="421"/>
      <c r="DR27" s="421"/>
      <c r="DS27" s="421"/>
      <c r="DT27" s="421"/>
      <c r="DU27" s="421"/>
      <c r="DV27" s="421"/>
      <c r="DW27" s="421"/>
      <c r="DX27" s="421"/>
      <c r="DY27" s="421"/>
      <c r="DZ27" s="421"/>
      <c r="EA27" s="421"/>
      <c r="EB27" s="421"/>
      <c r="EC27" s="421"/>
      <c r="ED27" s="421"/>
      <c r="EE27" s="421"/>
      <c r="EF27" s="421"/>
      <c r="EG27" s="421"/>
      <c r="EH27" s="27"/>
      <c r="EI27" s="27"/>
      <c r="EJ27" s="27"/>
      <c r="EK27" s="427"/>
      <c r="EL27" s="421"/>
      <c r="EM27" s="421"/>
      <c r="EN27" s="421"/>
      <c r="EO27" s="421"/>
      <c r="EP27" s="421"/>
      <c r="EQ27" s="421"/>
      <c r="ER27" s="421"/>
      <c r="ES27" s="421"/>
      <c r="ET27" s="421"/>
      <c r="EU27" s="421"/>
      <c r="EV27" s="421"/>
      <c r="EW27" s="421"/>
      <c r="EX27" s="421"/>
      <c r="EY27" s="421"/>
      <c r="EZ27" s="421"/>
      <c r="FA27" s="421"/>
      <c r="FB27" s="421"/>
      <c r="FC27" s="421"/>
      <c r="FD27" s="421"/>
      <c r="FE27" s="421"/>
      <c r="FF27" s="421"/>
      <c r="FG27" s="27"/>
      <c r="FH27" s="27"/>
      <c r="FI27" s="27"/>
      <c r="FJ27" s="427"/>
      <c r="FK27" s="421"/>
      <c r="FL27" s="421"/>
      <c r="FM27" s="421"/>
      <c r="FN27" s="421"/>
      <c r="FO27" s="421"/>
      <c r="FP27" s="421"/>
      <c r="FQ27" s="421"/>
      <c r="FR27" s="421"/>
      <c r="FS27" s="421"/>
      <c r="FT27" s="421"/>
      <c r="FU27" s="421"/>
      <c r="FV27" s="421"/>
      <c r="FW27" s="421"/>
      <c r="FX27" s="421"/>
      <c r="FY27" s="421"/>
      <c r="FZ27" s="421"/>
      <c r="GA27" s="421"/>
      <c r="GB27" s="421"/>
      <c r="GC27" s="421"/>
      <c r="GD27" s="421"/>
      <c r="GE27" s="421"/>
      <c r="GF27" s="27"/>
    </row>
    <row r="28" spans="3:188" ht="42" customHeight="1">
      <c r="C28" s="425"/>
      <c r="D28" s="424"/>
      <c r="E28" s="443">
        <v>0.6</v>
      </c>
      <c r="F28" s="444">
        <f t="shared" si="3"/>
        <v>2.0392180386627801</v>
      </c>
      <c r="G28" s="774">
        <f t="shared" ref="G28:AL28" si="38">G95*G162</f>
        <v>0.39023293254033109</v>
      </c>
      <c r="H28" s="302">
        <f t="shared" si="38"/>
        <v>0.39638653299099313</v>
      </c>
      <c r="I28" s="302">
        <f t="shared" si="38"/>
        <v>0.39649850811974585</v>
      </c>
      <c r="J28" s="302">
        <f t="shared" si="38"/>
        <v>0.39682466726730486</v>
      </c>
      <c r="K28" s="302">
        <f t="shared" si="38"/>
        <v>0.39754873697524301</v>
      </c>
      <c r="L28" s="302">
        <f t="shared" si="38"/>
        <v>0.39889699671124101</v>
      </c>
      <c r="M28" s="302">
        <f t="shared" si="38"/>
        <v>0.40111030667064457</v>
      </c>
      <c r="N28" s="302">
        <f t="shared" si="38"/>
        <v>0.40441174657784668</v>
      </c>
      <c r="O28" s="302">
        <f t="shared" si="38"/>
        <v>0.40898640925586027</v>
      </c>
      <c r="P28" s="302">
        <f t="shared" si="38"/>
        <v>0.41498364160487822</v>
      </c>
      <c r="Q28" s="302">
        <f t="shared" si="38"/>
        <v>0.42253811637240613</v>
      </c>
      <c r="R28" s="302">
        <f t="shared" si="38"/>
        <v>0.43179725363497073</v>
      </c>
      <c r="S28" s="302">
        <f t="shared" si="38"/>
        <v>0.44303392427378008</v>
      </c>
      <c r="T28" s="302">
        <f t="shared" si="38"/>
        <v>0.45674381993922036</v>
      </c>
      <c r="U28" s="302">
        <f t="shared" si="38"/>
        <v>0.47349848539615874</v>
      </c>
      <c r="V28" s="302">
        <f t="shared" si="38"/>
        <v>0.49390721726344727</v>
      </c>
      <c r="W28" s="302">
        <f t="shared" si="38"/>
        <v>0.51216848704279061</v>
      </c>
      <c r="X28" s="302">
        <f t="shared" si="38"/>
        <v>0.52879719353912946</v>
      </c>
      <c r="Y28" s="302">
        <f t="shared" si="38"/>
        <v>0.54377192663159624</v>
      </c>
      <c r="Z28" s="302">
        <f t="shared" si="38"/>
        <v>0.67667487110546676</v>
      </c>
      <c r="AA28" s="302">
        <f t="shared" si="38"/>
        <v>0.70699695875932311</v>
      </c>
      <c r="AB28" s="302">
        <f t="shared" si="38"/>
        <v>0.74652203097733383</v>
      </c>
      <c r="AC28" s="302">
        <f t="shared" si="38"/>
        <v>0.79588584417363317</v>
      </c>
      <c r="AD28" s="302">
        <f t="shared" si="38"/>
        <v>0.85659504806877584</v>
      </c>
      <c r="AE28" s="302">
        <f t="shared" si="38"/>
        <v>0.92820138827324605</v>
      </c>
      <c r="AF28" s="302">
        <f t="shared" si="38"/>
        <v>1.009147038538817</v>
      </c>
      <c r="AG28" s="302">
        <f t="shared" si="38"/>
        <v>1.0955177092233754</v>
      </c>
      <c r="AH28" s="302">
        <f t="shared" si="38"/>
        <v>1.1860783176874028</v>
      </c>
      <c r="AI28" s="302">
        <f t="shared" si="38"/>
        <v>1.2792859322310735</v>
      </c>
      <c r="AJ28" s="302">
        <f t="shared" si="38"/>
        <v>1.3733863599387026</v>
      </c>
      <c r="AK28" s="302">
        <f t="shared" si="38"/>
        <v>1.466544750631626</v>
      </c>
      <c r="AL28" s="302">
        <f t="shared" si="38"/>
        <v>1.5569897350409667</v>
      </c>
      <c r="AM28" s="302">
        <f t="shared" ref="AM28:BO28" si="39">AM95*AM162</f>
        <v>1.6431473264628604</v>
      </c>
      <c r="AN28" s="302">
        <f t="shared" si="39"/>
        <v>1.7237438254898105</v>
      </c>
      <c r="AO28" s="302">
        <f t="shared" si="39"/>
        <v>1.7978651105366339</v>
      </c>
      <c r="AP28" s="302">
        <f t="shared" si="39"/>
        <v>1.867375192024574</v>
      </c>
      <c r="AQ28" s="302">
        <f t="shared" si="39"/>
        <v>1.9344583665515009</v>
      </c>
      <c r="AR28" s="302">
        <f t="shared" si="39"/>
        <v>1.9943365408815987</v>
      </c>
      <c r="AS28" s="302">
        <f t="shared" si="39"/>
        <v>2.04710720454921</v>
      </c>
      <c r="AT28" s="302">
        <f t="shared" si="39"/>
        <v>2.0970476800089779</v>
      </c>
      <c r="AU28" s="302">
        <f t="shared" si="39"/>
        <v>2.1430289332063759</v>
      </c>
      <c r="AV28" s="302">
        <f t="shared" si="39"/>
        <v>2.1827094382071279</v>
      </c>
      <c r="AW28" s="302">
        <f t="shared" si="39"/>
        <v>2.2178394631814284</v>
      </c>
      <c r="AX28" s="302">
        <f t="shared" si="39"/>
        <v>2.2517916938344267</v>
      </c>
      <c r="AY28" s="302">
        <f t="shared" si="39"/>
        <v>2.2806346139766047</v>
      </c>
      <c r="AZ28" s="302">
        <f t="shared" si="39"/>
        <v>2.3049863969191815</v>
      </c>
      <c r="BA28" s="302">
        <f t="shared" si="39"/>
        <v>2.3293255305497547</v>
      </c>
      <c r="BB28" s="302">
        <f t="shared" si="39"/>
        <v>2.3497781775233952</v>
      </c>
      <c r="BC28" s="302">
        <f t="shared" si="39"/>
        <v>2.3668813840265357</v>
      </c>
      <c r="BD28" s="302">
        <f t="shared" si="39"/>
        <v>2.3835679172682158</v>
      </c>
      <c r="BE28" s="302">
        <f t="shared" si="39"/>
        <v>2.3978177524058735</v>
      </c>
      <c r="BF28" s="302">
        <f t="shared" si="39"/>
        <v>2.4096541789475698</v>
      </c>
      <c r="BG28" s="302">
        <f t="shared" si="39"/>
        <v>2.4210113613812272</v>
      </c>
      <c r="BH28" s="302">
        <f t="shared" si="39"/>
        <v>2.4308181630385746</v>
      </c>
      <c r="BI28" s="302">
        <f t="shared" si="39"/>
        <v>2.4389263474600935</v>
      </c>
      <c r="BJ28" s="302">
        <f t="shared" si="39"/>
        <v>2.446618093787281</v>
      </c>
      <c r="BK28" s="302">
        <f t="shared" si="39"/>
        <v>2.4543478718405978</v>
      </c>
      <c r="BL28" s="302">
        <f t="shared" si="39"/>
        <v>2.4624560903299568</v>
      </c>
      <c r="BM28" s="302">
        <f t="shared" si="39"/>
        <v>2.4691482985043613</v>
      </c>
      <c r="BN28" s="302">
        <f t="shared" si="39"/>
        <v>2.4746638809047501</v>
      </c>
      <c r="BO28" s="775">
        <f t="shared" si="39"/>
        <v>2.4792043563094444</v>
      </c>
      <c r="BP28" s="223"/>
      <c r="BX28" s="139"/>
      <c r="DJ28" s="27"/>
      <c r="DK28" s="27"/>
      <c r="DL28" s="427"/>
      <c r="DM28" s="421"/>
      <c r="DN28" s="421"/>
      <c r="DO28" s="421"/>
      <c r="DP28" s="421"/>
      <c r="DQ28" s="421"/>
      <c r="DR28" s="421"/>
      <c r="DS28" s="421"/>
      <c r="DT28" s="421"/>
      <c r="DU28" s="421"/>
      <c r="DV28" s="421"/>
      <c r="DW28" s="421"/>
      <c r="DX28" s="421"/>
      <c r="DY28" s="421"/>
      <c r="DZ28" s="421"/>
      <c r="EA28" s="421"/>
      <c r="EB28" s="421"/>
      <c r="EC28" s="421"/>
      <c r="ED28" s="421"/>
      <c r="EE28" s="421"/>
      <c r="EF28" s="421"/>
      <c r="EG28" s="421"/>
      <c r="EH28" s="27"/>
      <c r="EI28" s="27"/>
      <c r="EJ28" s="27"/>
      <c r="EK28" s="427"/>
      <c r="EL28" s="421"/>
      <c r="EM28" s="421"/>
      <c r="EN28" s="421"/>
      <c r="EO28" s="421"/>
      <c r="EP28" s="421"/>
      <c r="EQ28" s="421"/>
      <c r="ER28" s="421"/>
      <c r="ES28" s="421"/>
      <c r="ET28" s="421"/>
      <c r="EU28" s="421"/>
      <c r="EV28" s="421"/>
      <c r="EW28" s="421"/>
      <c r="EX28" s="421"/>
      <c r="EY28" s="421"/>
      <c r="EZ28" s="421"/>
      <c r="FA28" s="421"/>
      <c r="FB28" s="421"/>
      <c r="FC28" s="421"/>
      <c r="FD28" s="421"/>
      <c r="FE28" s="421"/>
      <c r="FF28" s="421"/>
      <c r="FG28" s="27"/>
      <c r="FH28" s="27"/>
      <c r="FI28" s="27"/>
      <c r="FJ28" s="427"/>
      <c r="FK28" s="421"/>
      <c r="FL28" s="421"/>
      <c r="FM28" s="421"/>
      <c r="FN28" s="421"/>
      <c r="FO28" s="421"/>
      <c r="FP28" s="421"/>
      <c r="FQ28" s="421"/>
      <c r="FR28" s="421"/>
      <c r="FS28" s="421"/>
      <c r="FT28" s="421"/>
      <c r="FU28" s="421"/>
      <c r="FV28" s="421"/>
      <c r="FW28" s="421"/>
      <c r="FX28" s="421"/>
      <c r="FY28" s="421"/>
      <c r="FZ28" s="421"/>
      <c r="GA28" s="421"/>
      <c r="GB28" s="421"/>
      <c r="GC28" s="421"/>
      <c r="GD28" s="421"/>
      <c r="GE28" s="421"/>
      <c r="GF28" s="27"/>
    </row>
    <row r="29" spans="3:188" ht="42" customHeight="1">
      <c r="C29" s="425"/>
      <c r="D29" s="424"/>
      <c r="E29" s="445">
        <v>0.55000000000000004</v>
      </c>
      <c r="F29" s="444">
        <f t="shared" si="3"/>
        <v>1.9521050714892176</v>
      </c>
      <c r="G29" s="774">
        <f t="shared" ref="G29:AL29" si="40">G96*G163</f>
        <v>0.3462281877282028</v>
      </c>
      <c r="H29" s="302">
        <f t="shared" si="40"/>
        <v>0.3520627129004707</v>
      </c>
      <c r="I29" s="302">
        <f t="shared" si="40"/>
        <v>0.35174321454818697</v>
      </c>
      <c r="J29" s="302">
        <f t="shared" si="40"/>
        <v>0.35149849667271571</v>
      </c>
      <c r="K29" s="302">
        <f t="shared" si="40"/>
        <v>0.3515307979350889</v>
      </c>
      <c r="L29" s="302">
        <f t="shared" si="40"/>
        <v>0.35212225016328286</v>
      </c>
      <c r="M29" s="302">
        <f t="shared" si="40"/>
        <v>0.35359823309073707</v>
      </c>
      <c r="N29" s="302">
        <f t="shared" si="40"/>
        <v>0.35626685880048525</v>
      </c>
      <c r="O29" s="302">
        <f t="shared" si="40"/>
        <v>0.36036483670898906</v>
      </c>
      <c r="P29" s="302">
        <f t="shared" si="40"/>
        <v>0.36604095106629125</v>
      </c>
      <c r="Q29" s="302">
        <f t="shared" si="40"/>
        <v>0.37338195505886007</v>
      </c>
      <c r="R29" s="302">
        <f t="shared" si="40"/>
        <v>0.38245852152677517</v>
      </c>
      <c r="S29" s="302">
        <f t="shared" si="40"/>
        <v>0.39351258856056481</v>
      </c>
      <c r="T29" s="302">
        <f t="shared" si="40"/>
        <v>0.40711754952386286</v>
      </c>
      <c r="U29" s="302">
        <f t="shared" si="40"/>
        <v>0.42393185083036106</v>
      </c>
      <c r="V29" s="302">
        <f t="shared" si="40"/>
        <v>0.44462582300926923</v>
      </c>
      <c r="W29" s="302">
        <f t="shared" si="40"/>
        <v>0.46931086573004771</v>
      </c>
      <c r="X29" s="302">
        <f t="shared" si="40"/>
        <v>0.49158979782940188</v>
      </c>
      <c r="Y29" s="302">
        <f t="shared" si="40"/>
        <v>0.51167630612294845</v>
      </c>
      <c r="Z29" s="302">
        <f t="shared" si="40"/>
        <v>0.5297897226979893</v>
      </c>
      <c r="AA29" s="302">
        <f t="shared" si="40"/>
        <v>0.68891489187622723</v>
      </c>
      <c r="AB29" s="302">
        <f t="shared" si="40"/>
        <v>0.72445913402044171</v>
      </c>
      <c r="AC29" s="302">
        <f t="shared" si="40"/>
        <v>0.76945001432566851</v>
      </c>
      <c r="AD29" s="302">
        <f t="shared" si="40"/>
        <v>0.82368487457270401</v>
      </c>
      <c r="AE29" s="302">
        <f t="shared" si="40"/>
        <v>0.89163891904791082</v>
      </c>
      <c r="AF29" s="302">
        <f t="shared" si="40"/>
        <v>0.96630390171642544</v>
      </c>
      <c r="AG29" s="302">
        <f t="shared" si="40"/>
        <v>1.0516842753996865</v>
      </c>
      <c r="AH29" s="302">
        <f t="shared" si="40"/>
        <v>1.1423337491478691</v>
      </c>
      <c r="AI29" s="302">
        <f t="shared" si="40"/>
        <v>1.2356026702570968</v>
      </c>
      <c r="AJ29" s="302">
        <f t="shared" si="40"/>
        <v>1.3297450015889023</v>
      </c>
      <c r="AK29" s="302">
        <f t="shared" si="40"/>
        <v>1.4229317649810014</v>
      </c>
      <c r="AL29" s="302">
        <f t="shared" si="40"/>
        <v>1.5133957657885433</v>
      </c>
      <c r="AM29" s="302">
        <f t="shared" ref="AM29:BO29" si="41">AM96*AM163</f>
        <v>1.5995659581669794</v>
      </c>
      <c r="AN29" s="302">
        <f t="shared" si="41"/>
        <v>1.6807375869850929</v>
      </c>
      <c r="AO29" s="302">
        <f t="shared" si="41"/>
        <v>1.761300812776319</v>
      </c>
      <c r="AP29" s="302">
        <f t="shared" si="41"/>
        <v>1.8353965793439475</v>
      </c>
      <c r="AQ29" s="302">
        <f t="shared" si="41"/>
        <v>1.9024821763704294</v>
      </c>
      <c r="AR29" s="302">
        <f t="shared" si="41"/>
        <v>1.9623618307001482</v>
      </c>
      <c r="AS29" s="302">
        <f t="shared" si="41"/>
        <v>2.0214522736174287</v>
      </c>
      <c r="AT29" s="302">
        <f t="shared" si="41"/>
        <v>2.0742152120957371</v>
      </c>
      <c r="AU29" s="302">
        <f t="shared" si="41"/>
        <v>2.1201967561459814</v>
      </c>
      <c r="AV29" s="302">
        <f t="shared" si="41"/>
        <v>2.1621748446695079</v>
      </c>
      <c r="AW29" s="302">
        <f t="shared" si="41"/>
        <v>2.2018524859632618</v>
      </c>
      <c r="AX29" s="302">
        <f t="shared" si="41"/>
        <v>2.2358047053903629</v>
      </c>
      <c r="AY29" s="302">
        <f t="shared" si="41"/>
        <v>2.2650914202512724</v>
      </c>
      <c r="AZ29" s="302">
        <f t="shared" si="41"/>
        <v>2.2939333345703319</v>
      </c>
      <c r="BA29" s="302">
        <f t="shared" si="41"/>
        <v>2.3182844182912818</v>
      </c>
      <c r="BB29" s="302">
        <f t="shared" si="41"/>
        <v>2.3387370247789425</v>
      </c>
      <c r="BC29" s="302">
        <f t="shared" si="41"/>
        <v>2.3589116003546073</v>
      </c>
      <c r="BD29" s="302">
        <f t="shared" si="41"/>
        <v>2.3760145754010678</v>
      </c>
      <c r="BE29" s="302">
        <f t="shared" si="41"/>
        <v>2.390264389913535</v>
      </c>
      <c r="BF29" s="302">
        <f t="shared" si="41"/>
        <v>2.4040409131450859</v>
      </c>
      <c r="BG29" s="302">
        <f t="shared" si="41"/>
        <v>2.4158772561476476</v>
      </c>
      <c r="BH29" s="302">
        <f t="shared" si="41"/>
        <v>2.4256840485351026</v>
      </c>
      <c r="BI29" s="302">
        <f t="shared" si="41"/>
        <v>2.4350352311178414</v>
      </c>
      <c r="BJ29" s="302">
        <f t="shared" si="41"/>
        <v>2.4431434277679038</v>
      </c>
      <c r="BK29" s="302">
        <f t="shared" si="41"/>
        <v>2.4498356132764014</v>
      </c>
      <c r="BL29" s="302">
        <f t="shared" si="41"/>
        <v>2.4561572206896432</v>
      </c>
      <c r="BM29" s="302">
        <f t="shared" si="41"/>
        <v>2.4624521492040206</v>
      </c>
      <c r="BN29" s="302">
        <f t="shared" si="41"/>
        <v>2.4691444888352128</v>
      </c>
      <c r="BO29" s="775">
        <f t="shared" si="41"/>
        <v>2.4746602337754378</v>
      </c>
      <c r="BP29" s="223"/>
      <c r="BX29" s="139"/>
      <c r="DJ29" s="27"/>
      <c r="DK29" s="27"/>
      <c r="DL29" s="427"/>
      <c r="DM29" s="421"/>
      <c r="DN29" s="421"/>
      <c r="DO29" s="421"/>
      <c r="DP29" s="421"/>
      <c r="DQ29" s="421"/>
      <c r="DR29" s="421"/>
      <c r="DS29" s="421"/>
      <c r="DT29" s="421"/>
      <c r="DU29" s="421"/>
      <c r="DV29" s="421"/>
      <c r="DW29" s="421"/>
      <c r="DX29" s="421"/>
      <c r="DY29" s="421"/>
      <c r="DZ29" s="421"/>
      <c r="EA29" s="421"/>
      <c r="EB29" s="421"/>
      <c r="EC29" s="421"/>
      <c r="ED29" s="421"/>
      <c r="EE29" s="421"/>
      <c r="EF29" s="421"/>
      <c r="EG29" s="421"/>
      <c r="EH29" s="27"/>
      <c r="EI29" s="27"/>
      <c r="EJ29" s="27"/>
      <c r="EK29" s="427"/>
      <c r="EL29" s="421"/>
      <c r="EM29" s="421"/>
      <c r="EN29" s="421"/>
      <c r="EO29" s="421"/>
      <c r="EP29" s="421"/>
      <c r="EQ29" s="421"/>
      <c r="ER29" s="421"/>
      <c r="ES29" s="421"/>
      <c r="ET29" s="421"/>
      <c r="EU29" s="421"/>
      <c r="EV29" s="421"/>
      <c r="EW29" s="421"/>
      <c r="EX29" s="421"/>
      <c r="EY29" s="421"/>
      <c r="EZ29" s="421"/>
      <c r="FA29" s="421"/>
      <c r="FB29" s="421"/>
      <c r="FC29" s="421"/>
      <c r="FD29" s="421"/>
      <c r="FE29" s="421"/>
      <c r="FF29" s="421"/>
      <c r="FG29" s="27"/>
      <c r="FH29" s="27"/>
      <c r="FI29" s="27"/>
      <c r="FJ29" s="427"/>
      <c r="FK29" s="421"/>
      <c r="FL29" s="421"/>
      <c r="FM29" s="421"/>
      <c r="FN29" s="421"/>
      <c r="FO29" s="421"/>
      <c r="FP29" s="421"/>
      <c r="FQ29" s="421"/>
      <c r="FR29" s="421"/>
      <c r="FS29" s="421"/>
      <c r="FT29" s="421"/>
      <c r="FU29" s="421"/>
      <c r="FV29" s="421"/>
      <c r="FW29" s="421"/>
      <c r="FX29" s="421"/>
      <c r="FY29" s="421"/>
      <c r="FZ29" s="421"/>
      <c r="GA29" s="421"/>
      <c r="GB29" s="421"/>
      <c r="GC29" s="421"/>
      <c r="GD29" s="421"/>
      <c r="GE29" s="421"/>
      <c r="GF29" s="27"/>
    </row>
    <row r="30" spans="3:188" ht="42" customHeight="1">
      <c r="C30" s="425"/>
      <c r="D30" s="424"/>
      <c r="E30" s="443">
        <v>0.5</v>
      </c>
      <c r="F30" s="444">
        <f t="shared" si="3"/>
        <v>1.8517686871464205</v>
      </c>
      <c r="G30" s="774">
        <f t="shared" ref="G30:AL30" si="42">G97*G164</f>
        <v>0.2959084586429393</v>
      </c>
      <c r="H30" s="302">
        <f t="shared" si="42"/>
        <v>0.30149707358740385</v>
      </c>
      <c r="I30" s="302">
        <f t="shared" si="42"/>
        <v>0.30080187771499678</v>
      </c>
      <c r="J30" s="302">
        <f t="shared" si="42"/>
        <v>0.29999414061192431</v>
      </c>
      <c r="K30" s="302">
        <f t="shared" si="42"/>
        <v>0.29926323925001708</v>
      </c>
      <c r="L30" s="302">
        <f t="shared" si="42"/>
        <v>0.29893195340917172</v>
      </c>
      <c r="M30" s="302">
        <f t="shared" si="42"/>
        <v>0.29942919942961715</v>
      </c>
      <c r="N30" s="302">
        <f t="shared" si="42"/>
        <v>0.30120057074157924</v>
      </c>
      <c r="O30" s="302">
        <f t="shared" si="42"/>
        <v>0.3045929245403588</v>
      </c>
      <c r="P30" s="302">
        <f t="shared" si="42"/>
        <v>0.30978551540076998</v>
      </c>
      <c r="Q30" s="302">
        <f t="shared" si="42"/>
        <v>0.31680841528361409</v>
      </c>
      <c r="R30" s="302">
        <f t="shared" si="42"/>
        <v>0.32561827804128229</v>
      </c>
      <c r="S30" s="302">
        <f t="shared" si="42"/>
        <v>0.33641041339470085</v>
      </c>
      <c r="T30" s="302">
        <f t="shared" si="42"/>
        <v>0.349883149329062</v>
      </c>
      <c r="U30" s="302">
        <f t="shared" si="42"/>
        <v>0.3668292677104335</v>
      </c>
      <c r="V30" s="302">
        <f t="shared" si="42"/>
        <v>0.38799565260307994</v>
      </c>
      <c r="W30" s="302">
        <f t="shared" si="42"/>
        <v>0.41398129248496063</v>
      </c>
      <c r="X30" s="302">
        <f t="shared" si="42"/>
        <v>0.44311495253274591</v>
      </c>
      <c r="Y30" s="302">
        <f t="shared" si="42"/>
        <v>0.47025402022160961</v>
      </c>
      <c r="Z30" s="302">
        <f t="shared" si="42"/>
        <v>0.49432605609781882</v>
      </c>
      <c r="AA30" s="302">
        <f t="shared" si="42"/>
        <v>0.51539720254556032</v>
      </c>
      <c r="AB30" s="302">
        <f t="shared" si="42"/>
        <v>0.70482212248479481</v>
      </c>
      <c r="AC30" s="302">
        <f t="shared" si="42"/>
        <v>0.74550537907608883</v>
      </c>
      <c r="AD30" s="302">
        <f t="shared" si="42"/>
        <v>0.79557227822789622</v>
      </c>
      <c r="AE30" s="302">
        <f t="shared" si="42"/>
        <v>0.85667656103293333</v>
      </c>
      <c r="AF30" s="302">
        <f t="shared" si="42"/>
        <v>0.92848135504445839</v>
      </c>
      <c r="AG30" s="302">
        <f t="shared" si="42"/>
        <v>1.0095051896633795</v>
      </c>
      <c r="AH30" s="302">
        <f t="shared" si="42"/>
        <v>1.0958834920262501</v>
      </c>
      <c r="AI30" s="302">
        <f t="shared" si="42"/>
        <v>1.1864142239139284</v>
      </c>
      <c r="AJ30" s="302">
        <f t="shared" si="42"/>
        <v>1.2795752121391162</v>
      </c>
      <c r="AK30" s="302">
        <f t="shared" si="42"/>
        <v>1.3736246051634537</v>
      </c>
      <c r="AL30" s="302">
        <f t="shared" si="42"/>
        <v>1.4667343606606347</v>
      </c>
      <c r="AM30" s="302">
        <f t="shared" ref="AM30:BO30" si="43">AM97*AM164</f>
        <v>1.5571364124305942</v>
      </c>
      <c r="AN30" s="302">
        <f t="shared" si="43"/>
        <v>1.6432579500457445</v>
      </c>
      <c r="AO30" s="302">
        <f t="shared" si="43"/>
        <v>1.7238252358461883</v>
      </c>
      <c r="AP30" s="302">
        <f t="shared" si="43"/>
        <v>1.7979234839107936</v>
      </c>
      <c r="AQ30" s="302">
        <f t="shared" si="43"/>
        <v>1.8674158330229262</v>
      </c>
      <c r="AR30" s="302">
        <f t="shared" si="43"/>
        <v>1.9344855902121909</v>
      </c>
      <c r="AS30" s="302">
        <f t="shared" si="43"/>
        <v>1.9943536627222795</v>
      </c>
      <c r="AT30" s="302">
        <f t="shared" si="43"/>
        <v>2.047116803408954</v>
      </c>
      <c r="AU30" s="302">
        <f t="shared" si="43"/>
        <v>2.0970517341930495</v>
      </c>
      <c r="AV30" s="302">
        <f t="shared" si="43"/>
        <v>2.1430289129651765</v>
      </c>
      <c r="AW30" s="302">
        <f t="shared" si="43"/>
        <v>2.182706438068426</v>
      </c>
      <c r="AX30" s="302">
        <f t="shared" si="43"/>
        <v>2.2178342962670743</v>
      </c>
      <c r="AY30" s="302">
        <f t="shared" si="43"/>
        <v>2.2517849513636605</v>
      </c>
      <c r="AZ30" s="302">
        <f t="shared" si="43"/>
        <v>2.2806267393833557</v>
      </c>
      <c r="BA30" s="302">
        <f t="shared" si="43"/>
        <v>2.3049777174369948</v>
      </c>
      <c r="BB30" s="302">
        <f t="shared" si="43"/>
        <v>2.3293162703363479</v>
      </c>
      <c r="BC30" s="302">
        <f t="shared" si="43"/>
        <v>2.3497685109923849</v>
      </c>
      <c r="BD30" s="302">
        <f t="shared" si="43"/>
        <v>2.3668714355404172</v>
      </c>
      <c r="BE30" s="302">
        <f t="shared" si="43"/>
        <v>2.3835577618580164</v>
      </c>
      <c r="BF30" s="302">
        <f t="shared" si="43"/>
        <v>2.3978074447485387</v>
      </c>
      <c r="BG30" s="302">
        <f t="shared" si="43"/>
        <v>2.4096437611054871</v>
      </c>
      <c r="BH30" s="302">
        <f t="shared" si="43"/>
        <v>2.4210008737007676</v>
      </c>
      <c r="BI30" s="302">
        <f t="shared" si="43"/>
        <v>2.4308076545485591</v>
      </c>
      <c r="BJ30" s="302">
        <f t="shared" si="43"/>
        <v>2.4389158728077032</v>
      </c>
      <c r="BK30" s="302">
        <f t="shared" si="43"/>
        <v>2.4466077078315007</v>
      </c>
      <c r="BL30" s="302">
        <f t="shared" si="43"/>
        <v>2.4543376332619138</v>
      </c>
      <c r="BM30" s="302">
        <f t="shared" si="43"/>
        <v>2.4624460614443908</v>
      </c>
      <c r="BN30" s="302">
        <f t="shared" si="43"/>
        <v>2.4691385524057421</v>
      </c>
      <c r="BO30" s="775">
        <f t="shared" si="43"/>
        <v>2.4746544906584216</v>
      </c>
      <c r="BP30" s="223"/>
      <c r="BX30" s="139"/>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row>
    <row r="31" spans="3:188" ht="42" customHeight="1">
      <c r="C31" s="425"/>
      <c r="D31" s="424"/>
      <c r="E31" s="445">
        <v>0.45</v>
      </c>
      <c r="F31" s="444">
        <f t="shared" si="3"/>
        <v>1.7374334734495021</v>
      </c>
      <c r="G31" s="774">
        <f t="shared" ref="G31:AL31" si="44">G98*G165</f>
        <v>0.23901628285701351</v>
      </c>
      <c r="H31" s="302">
        <f t="shared" si="44"/>
        <v>0.24452303101659353</v>
      </c>
      <c r="I31" s="302">
        <f t="shared" si="44"/>
        <v>0.24363937727607032</v>
      </c>
      <c r="J31" s="302">
        <f t="shared" si="44"/>
        <v>0.24244813038827173</v>
      </c>
      <c r="K31" s="302">
        <f t="shared" si="44"/>
        <v>0.24107282230164051</v>
      </c>
      <c r="L31" s="302">
        <f t="shared" si="44"/>
        <v>0.23981847027450467</v>
      </c>
      <c r="M31" s="302">
        <f t="shared" si="44"/>
        <v>0.23919153970163337</v>
      </c>
      <c r="N31" s="302">
        <f t="shared" si="44"/>
        <v>0.23981430978962801</v>
      </c>
      <c r="O31" s="302">
        <f t="shared" si="44"/>
        <v>0.2422318120422354</v>
      </c>
      <c r="P31" s="302">
        <f t="shared" si="44"/>
        <v>0.2467274777319135</v>
      </c>
      <c r="Q31" s="302">
        <f t="shared" si="44"/>
        <v>0.25328738350861513</v>
      </c>
      <c r="R31" s="302">
        <f t="shared" si="44"/>
        <v>0.26171225468826681</v>
      </c>
      <c r="S31" s="302">
        <f t="shared" si="44"/>
        <v>0.27213129316834234</v>
      </c>
      <c r="T31" s="302">
        <f t="shared" si="44"/>
        <v>0.28543606856128795</v>
      </c>
      <c r="U31" s="302">
        <f t="shared" si="44"/>
        <v>0.30261449390613243</v>
      </c>
      <c r="V31" s="302">
        <f t="shared" si="44"/>
        <v>0.32448498167610734</v>
      </c>
      <c r="W31" s="302">
        <f t="shared" si="44"/>
        <v>0.35153778155458615</v>
      </c>
      <c r="X31" s="302">
        <f t="shared" si="44"/>
        <v>0.38396176552671846</v>
      </c>
      <c r="Y31" s="302">
        <f t="shared" si="44"/>
        <v>0.41739978070570682</v>
      </c>
      <c r="Z31" s="302">
        <f t="shared" si="44"/>
        <v>0.44841221964732164</v>
      </c>
      <c r="AA31" s="302">
        <f t="shared" si="44"/>
        <v>0.47627325802270715</v>
      </c>
      <c r="AB31" s="302">
        <f t="shared" si="44"/>
        <v>0.5001773572778021</v>
      </c>
      <c r="AC31" s="302">
        <f t="shared" si="44"/>
        <v>0.72423478618499337</v>
      </c>
      <c r="AD31" s="302">
        <f t="shared" si="44"/>
        <v>0.76977967690279381</v>
      </c>
      <c r="AE31" s="302">
        <f t="shared" si="44"/>
        <v>0.82425682811269485</v>
      </c>
      <c r="AF31" s="302">
        <f t="shared" si="44"/>
        <v>0.89227995439705077</v>
      </c>
      <c r="AG31" s="302">
        <f t="shared" si="44"/>
        <v>0.96691925687380398</v>
      </c>
      <c r="AH31" s="302">
        <f t="shared" si="44"/>
        <v>1.052231492075191</v>
      </c>
      <c r="AI31" s="302">
        <f t="shared" si="44"/>
        <v>1.1427959717847813</v>
      </c>
      <c r="AJ31" s="302">
        <f t="shared" si="44"/>
        <v>1.2359786599311484</v>
      </c>
      <c r="AK31" s="302">
        <f t="shared" si="44"/>
        <v>1.3300419506903416</v>
      </c>
      <c r="AL31" s="302">
        <f t="shared" si="44"/>
        <v>1.4231605198768988</v>
      </c>
      <c r="AM31" s="302">
        <f t="shared" ref="AM31:BO31" si="45">AM98*AM165</f>
        <v>1.5135680579295889</v>
      </c>
      <c r="AN31" s="302">
        <f t="shared" si="45"/>
        <v>1.5996929010602241</v>
      </c>
      <c r="AO31" s="302">
        <f t="shared" si="45"/>
        <v>1.6808289865484778</v>
      </c>
      <c r="AP31" s="302">
        <f t="shared" si="45"/>
        <v>1.7613650493857969</v>
      </c>
      <c r="AQ31" s="302">
        <f t="shared" si="45"/>
        <v>1.8354401218083576</v>
      </c>
      <c r="AR31" s="302">
        <f t="shared" si="45"/>
        <v>1.9025101328939398</v>
      </c>
      <c r="AS31" s="302">
        <f t="shared" si="45"/>
        <v>1.9623781558320141</v>
      </c>
      <c r="AT31" s="302">
        <f t="shared" si="45"/>
        <v>2.0214600057956824</v>
      </c>
      <c r="AU31" s="302">
        <f t="shared" si="45"/>
        <v>2.0742165822646617</v>
      </c>
      <c r="AV31" s="302">
        <f t="shared" si="45"/>
        <v>2.1201934368720678</v>
      </c>
      <c r="AW31" s="302">
        <f t="shared" si="45"/>
        <v>2.1621680793730182</v>
      </c>
      <c r="AX31" s="302">
        <f t="shared" si="45"/>
        <v>2.2018431870240516</v>
      </c>
      <c r="AY31" s="302">
        <f t="shared" si="45"/>
        <v>2.2357935607958672</v>
      </c>
      <c r="AZ31" s="302">
        <f t="shared" si="45"/>
        <v>2.265078941603377</v>
      </c>
      <c r="BA31" s="302">
        <f t="shared" si="45"/>
        <v>2.2939198804152992</v>
      </c>
      <c r="BB31" s="302">
        <f t="shared" si="45"/>
        <v>2.318270272785758</v>
      </c>
      <c r="BC31" s="302">
        <f t="shared" si="45"/>
        <v>2.3387223963677135</v>
      </c>
      <c r="BD31" s="302">
        <f t="shared" si="45"/>
        <v>2.3588966184936266</v>
      </c>
      <c r="BE31" s="302">
        <f t="shared" si="45"/>
        <v>2.3759993426045978</v>
      </c>
      <c r="BF31" s="302">
        <f t="shared" si="45"/>
        <v>2.3902489718794087</v>
      </c>
      <c r="BG31" s="302">
        <f t="shared" si="45"/>
        <v>2.4040253473017437</v>
      </c>
      <c r="BH31" s="302">
        <f t="shared" si="45"/>
        <v>2.4158616048530988</v>
      </c>
      <c r="BI31" s="302">
        <f t="shared" si="45"/>
        <v>2.4256683846629481</v>
      </c>
      <c r="BJ31" s="302">
        <f t="shared" si="45"/>
        <v>2.4350196276767839</v>
      </c>
      <c r="BK31" s="302">
        <f t="shared" si="45"/>
        <v>2.4431279735647853</v>
      </c>
      <c r="BL31" s="302">
        <f t="shared" si="45"/>
        <v>2.4498204080234749</v>
      </c>
      <c r="BM31" s="302">
        <f t="shared" si="45"/>
        <v>2.4561423655033394</v>
      </c>
      <c r="BN31" s="302">
        <f t="shared" si="45"/>
        <v>2.4624377484237003</v>
      </c>
      <c r="BO31" s="775">
        <f t="shared" si="45"/>
        <v>2.4691306461570464</v>
      </c>
      <c r="BP31" s="223"/>
      <c r="BX31" s="139"/>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row>
    <row r="32" spans="3:188" ht="42" customHeight="1">
      <c r="C32" s="425"/>
      <c r="D32" s="424"/>
      <c r="E32" s="443">
        <v>0.4</v>
      </c>
      <c r="F32" s="444">
        <f t="shared" si="3"/>
        <v>1.6087264925225999</v>
      </c>
      <c r="G32" s="774">
        <f t="shared" ref="G32:AL32" si="46">G99*G166</f>
        <v>0.17545643587240226</v>
      </c>
      <c r="H32" s="302">
        <f t="shared" si="46"/>
        <v>0.18113395189306994</v>
      </c>
      <c r="I32" s="302">
        <f t="shared" si="46"/>
        <v>0.18040012364344085</v>
      </c>
      <c r="J32" s="302">
        <f t="shared" si="46"/>
        <v>0.17924336711984426</v>
      </c>
      <c r="K32" s="302">
        <f t="shared" si="46"/>
        <v>0.1776740342642861</v>
      </c>
      <c r="L32" s="302">
        <f t="shared" si="46"/>
        <v>0.17588229566097352</v>
      </c>
      <c r="M32" s="302">
        <f t="shared" si="46"/>
        <v>0.17433663952071601</v>
      </c>
      <c r="N32" s="302">
        <f t="shared" si="46"/>
        <v>0.17378392343155213</v>
      </c>
      <c r="O32" s="302">
        <f t="shared" si="46"/>
        <v>0.17503699385514823</v>
      </c>
      <c r="P32" s="302">
        <f t="shared" si="46"/>
        <v>0.1786141066114118</v>
      </c>
      <c r="Q32" s="302">
        <f t="shared" si="46"/>
        <v>0.18453004070413137</v>
      </c>
      <c r="R32" s="302">
        <f t="shared" si="46"/>
        <v>0.19240918808890917</v>
      </c>
      <c r="S32" s="302">
        <f t="shared" si="46"/>
        <v>0.2022989803851539</v>
      </c>
      <c r="T32" s="302">
        <f t="shared" si="46"/>
        <v>0.21536898840071489</v>
      </c>
      <c r="U32" s="302">
        <f t="shared" si="46"/>
        <v>0.2328587929827842</v>
      </c>
      <c r="V32" s="302">
        <f t="shared" si="46"/>
        <v>0.25559458081743558</v>
      </c>
      <c r="W32" s="302">
        <f t="shared" si="46"/>
        <v>0.28380713795382151</v>
      </c>
      <c r="X32" s="302">
        <f t="shared" si="46"/>
        <v>0.3173567013699839</v>
      </c>
      <c r="Y32" s="302">
        <f t="shared" si="46"/>
        <v>0.35611414435409905</v>
      </c>
      <c r="Z32" s="302">
        <f t="shared" si="46"/>
        <v>0.39236451226610275</v>
      </c>
      <c r="AA32" s="302">
        <f t="shared" si="46"/>
        <v>0.42592450684781225</v>
      </c>
      <c r="AB32" s="302">
        <f t="shared" si="46"/>
        <v>0.45613493222542267</v>
      </c>
      <c r="AC32" s="302">
        <f t="shared" si="46"/>
        <v>0.48276068630989571</v>
      </c>
      <c r="AD32" s="302">
        <f t="shared" si="46"/>
        <v>0.74662402140380391</v>
      </c>
      <c r="AE32" s="302">
        <f t="shared" si="46"/>
        <v>0.79670032066981811</v>
      </c>
      <c r="AF32" s="302">
        <f t="shared" si="46"/>
        <v>0.85769966159957101</v>
      </c>
      <c r="AG32" s="302">
        <f t="shared" si="46"/>
        <v>0.92935739952242247</v>
      </c>
      <c r="AH32" s="302">
        <f t="shared" si="46"/>
        <v>1.0102278104139466</v>
      </c>
      <c r="AI32" s="302">
        <f t="shared" si="46"/>
        <v>1.096462278026997</v>
      </c>
      <c r="AJ32" s="302">
        <f t="shared" si="46"/>
        <v>1.1868671890189382</v>
      </c>
      <c r="AK32" s="302">
        <f t="shared" si="46"/>
        <v>1.2799227501815464</v>
      </c>
      <c r="AL32" s="302">
        <f t="shared" si="46"/>
        <v>1.3738864032226001</v>
      </c>
      <c r="AM32" s="302">
        <f t="shared" ref="AM32:BO32" si="47">AM99*AM166</f>
        <v>1.4669279754240268</v>
      </c>
      <c r="AN32" s="302">
        <f t="shared" si="47"/>
        <v>1.5572767589828125</v>
      </c>
      <c r="AO32" s="302">
        <f t="shared" si="47"/>
        <v>1.6433572765899949</v>
      </c>
      <c r="AP32" s="302">
        <f t="shared" si="47"/>
        <v>1.7238933434355819</v>
      </c>
      <c r="AQ32" s="302">
        <f t="shared" si="47"/>
        <v>1.7979680543091341</v>
      </c>
      <c r="AR32" s="302">
        <f t="shared" si="47"/>
        <v>1.8674428211453629</v>
      </c>
      <c r="AS32" s="302">
        <f t="shared" si="47"/>
        <v>1.9344994973342091</v>
      </c>
      <c r="AT32" s="302">
        <f t="shared" si="47"/>
        <v>1.9943578094226995</v>
      </c>
      <c r="AU32" s="302">
        <f t="shared" si="47"/>
        <v>2.0471136877746936</v>
      </c>
      <c r="AV32" s="302">
        <f t="shared" si="47"/>
        <v>2.0970432136260233</v>
      </c>
      <c r="AW32" s="302">
        <f t="shared" si="47"/>
        <v>2.1430163637046413</v>
      </c>
      <c r="AX32" s="302">
        <f t="shared" si="47"/>
        <v>2.1826909039786746</v>
      </c>
      <c r="AY32" s="302">
        <f t="shared" si="47"/>
        <v>2.2178165585487837</v>
      </c>
      <c r="AZ32" s="302">
        <f t="shared" si="47"/>
        <v>2.2517655738067015</v>
      </c>
      <c r="BA32" s="302">
        <f t="shared" si="47"/>
        <v>2.2806061762755103</v>
      </c>
      <c r="BB32" s="302">
        <f t="shared" si="47"/>
        <v>2.3049563119589229</v>
      </c>
      <c r="BC32" s="302">
        <f t="shared" si="47"/>
        <v>2.3292942404105368</v>
      </c>
      <c r="BD32" s="302">
        <f t="shared" si="47"/>
        <v>2.3497460438301756</v>
      </c>
      <c r="BE32" s="302">
        <f t="shared" si="47"/>
        <v>2.3668486592134088</v>
      </c>
      <c r="BF32" s="302">
        <f t="shared" si="47"/>
        <v>2.3835347307868004</v>
      </c>
      <c r="BG32" s="302">
        <f t="shared" si="47"/>
        <v>2.3977842199135728</v>
      </c>
      <c r="BH32" s="302">
        <f t="shared" si="47"/>
        <v>2.4096204333530444</v>
      </c>
      <c r="BI32" s="302">
        <f t="shared" si="47"/>
        <v>2.420977534762534</v>
      </c>
      <c r="BJ32" s="302">
        <f t="shared" si="47"/>
        <v>2.4307844255584192</v>
      </c>
      <c r="BK32" s="302">
        <f t="shared" si="47"/>
        <v>2.4388928948960191</v>
      </c>
      <c r="BL32" s="302">
        <f t="shared" si="47"/>
        <v>2.4465851265764225</v>
      </c>
      <c r="BM32" s="302">
        <f t="shared" si="47"/>
        <v>2.4543156033687881</v>
      </c>
      <c r="BN32" s="302">
        <f t="shared" si="47"/>
        <v>2.4624247431267605</v>
      </c>
      <c r="BO32" s="775">
        <f t="shared" si="47"/>
        <v>2.4691181232120463</v>
      </c>
      <c r="BP32" s="223"/>
      <c r="BX32" s="139"/>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427"/>
      <c r="EJ32" s="427"/>
      <c r="EK32" s="4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row>
    <row r="33" spans="3:188" ht="42" customHeight="1">
      <c r="C33" s="425"/>
      <c r="D33" s="424"/>
      <c r="E33" s="445">
        <v>0.35</v>
      </c>
      <c r="F33" s="444">
        <f t="shared" si="3"/>
        <v>1.4658163178117132</v>
      </c>
      <c r="G33" s="774">
        <f t="shared" ref="G33:AL33" si="48">G100*G167</f>
        <v>0.1053353552098366</v>
      </c>
      <c r="H33" s="302">
        <f t="shared" si="48"/>
        <v>0.11148987784671183</v>
      </c>
      <c r="I33" s="302">
        <f t="shared" si="48"/>
        <v>0.11135955938396427</v>
      </c>
      <c r="J33" s="302">
        <f t="shared" si="48"/>
        <v>0.11088402614858407</v>
      </c>
      <c r="K33" s="302">
        <f t="shared" si="48"/>
        <v>0.1099741479418568</v>
      </c>
      <c r="L33" s="302">
        <f t="shared" si="48"/>
        <v>0.10864046817776035</v>
      </c>
      <c r="M33" s="302">
        <f t="shared" si="48"/>
        <v>0.10713062659634645</v>
      </c>
      <c r="N33" s="302">
        <f t="shared" si="48"/>
        <v>0.10607016383485388</v>
      </c>
      <c r="O33" s="302">
        <f t="shared" si="48"/>
        <v>0.10641540556165399</v>
      </c>
      <c r="P33" s="302">
        <f t="shared" si="48"/>
        <v>0.10902654065164828</v>
      </c>
      <c r="Q33" s="302">
        <f t="shared" si="48"/>
        <v>0.11413027310871283</v>
      </c>
      <c r="R33" s="302">
        <f t="shared" si="48"/>
        <v>0.12125743470149908</v>
      </c>
      <c r="S33" s="302">
        <f t="shared" si="48"/>
        <v>0.13039119912645072</v>
      </c>
      <c r="T33" s="302">
        <f t="shared" si="48"/>
        <v>0.14304170075731393</v>
      </c>
      <c r="U33" s="302">
        <f t="shared" si="48"/>
        <v>0.16069755736151245</v>
      </c>
      <c r="V33" s="302">
        <f t="shared" si="48"/>
        <v>0.18403468493255462</v>
      </c>
      <c r="W33" s="302">
        <f t="shared" si="48"/>
        <v>0.21288640171452972</v>
      </c>
      <c r="X33" s="302">
        <f t="shared" si="48"/>
        <v>0.24683772911735227</v>
      </c>
      <c r="Y33" s="302">
        <f t="shared" si="48"/>
        <v>0.28571957957699495</v>
      </c>
      <c r="Z33" s="302">
        <f t="shared" si="48"/>
        <v>0.32865571089397322</v>
      </c>
      <c r="AA33" s="302">
        <f t="shared" si="48"/>
        <v>0.36672994677991105</v>
      </c>
      <c r="AB33" s="302">
        <f t="shared" si="48"/>
        <v>0.40149806188215015</v>
      </c>
      <c r="AC33" s="302">
        <f t="shared" si="48"/>
        <v>0.43333364384686707</v>
      </c>
      <c r="AD33" s="302">
        <f t="shared" si="48"/>
        <v>0.46189547396542674</v>
      </c>
      <c r="AE33" s="302">
        <f t="shared" si="48"/>
        <v>0.77147673383776816</v>
      </c>
      <c r="AF33" s="302">
        <f t="shared" si="48"/>
        <v>0.82564845849416124</v>
      </c>
      <c r="AG33" s="302">
        <f t="shared" si="48"/>
        <v>0.8933963081396431</v>
      </c>
      <c r="AH33" s="302">
        <f t="shared" si="48"/>
        <v>0.96779553850984401</v>
      </c>
      <c r="AI33" s="302">
        <f t="shared" si="48"/>
        <v>1.0529108007614849</v>
      </c>
      <c r="AJ33" s="302">
        <f t="shared" si="48"/>
        <v>1.1433147277508295</v>
      </c>
      <c r="AK33" s="302">
        <f t="shared" si="48"/>
        <v>1.2363688147682446</v>
      </c>
      <c r="AL33" s="302">
        <f t="shared" si="48"/>
        <v>1.3303308519692558</v>
      </c>
      <c r="AM33" s="302">
        <f t="shared" ref="AM33:BO33" si="49">AM100*AM167</f>
        <v>1.4233707906626181</v>
      </c>
      <c r="AN33" s="302">
        <f t="shared" si="49"/>
        <v>1.5137179550634443</v>
      </c>
      <c r="AO33" s="302">
        <f t="shared" si="49"/>
        <v>1.5997968699515224</v>
      </c>
      <c r="AP33" s="302">
        <f t="shared" si="49"/>
        <v>1.6808982926214355</v>
      </c>
      <c r="AQ33" s="302">
        <f t="shared" si="49"/>
        <v>1.7614084458683441</v>
      </c>
      <c r="AR33" s="302">
        <f t="shared" si="49"/>
        <v>1.8354640148163057</v>
      </c>
      <c r="AS33" s="302">
        <f t="shared" si="49"/>
        <v>1.9025193577295365</v>
      </c>
      <c r="AT33" s="302">
        <f t="shared" si="49"/>
        <v>1.9623763486352241</v>
      </c>
      <c r="AU33" s="302">
        <f t="shared" si="49"/>
        <v>2.0214498677404382</v>
      </c>
      <c r="AV33" s="302">
        <f t="shared" si="49"/>
        <v>2.0742001321041275</v>
      </c>
      <c r="AW33" s="302">
        <f t="shared" si="49"/>
        <v>2.120172215959776</v>
      </c>
      <c r="AX33" s="302">
        <f t="shared" si="49"/>
        <v>2.1621432455026182</v>
      </c>
      <c r="AY33" s="302">
        <f t="shared" si="49"/>
        <v>2.2018156073943875</v>
      </c>
      <c r="AZ33" s="302">
        <f t="shared" si="49"/>
        <v>2.2357639446826321</v>
      </c>
      <c r="BA33" s="302">
        <f t="shared" si="49"/>
        <v>2.2650478356532742</v>
      </c>
      <c r="BB33" s="302">
        <f t="shared" si="49"/>
        <v>2.2938876534479071</v>
      </c>
      <c r="BC33" s="302">
        <f t="shared" si="49"/>
        <v>2.3182372523776116</v>
      </c>
      <c r="BD33" s="302">
        <f t="shared" si="49"/>
        <v>2.3386888218220898</v>
      </c>
      <c r="BE33" s="302">
        <f t="shared" si="49"/>
        <v>2.3588626079703219</v>
      </c>
      <c r="BF33" s="302">
        <f t="shared" si="49"/>
        <v>2.3759649939780521</v>
      </c>
      <c r="BG33" s="302">
        <f t="shared" si="49"/>
        <v>2.390214367809266</v>
      </c>
      <c r="BH33" s="302">
        <f t="shared" si="49"/>
        <v>2.4039905897359248</v>
      </c>
      <c r="BI33" s="302">
        <f t="shared" si="49"/>
        <v>2.4158268524090554</v>
      </c>
      <c r="BJ33" s="302">
        <f t="shared" si="49"/>
        <v>2.4256338302470799</v>
      </c>
      <c r="BK33" s="302">
        <f t="shared" si="49"/>
        <v>2.4349854731428415</v>
      </c>
      <c r="BL33" s="302">
        <f t="shared" si="49"/>
        <v>2.443094459273635</v>
      </c>
      <c r="BM33" s="302">
        <f t="shared" si="49"/>
        <v>2.4497877967340482</v>
      </c>
      <c r="BN33" s="302">
        <f t="shared" si="49"/>
        <v>2.4561109167762796</v>
      </c>
      <c r="BO33" s="775">
        <f t="shared" si="49"/>
        <v>2.4624077178630754</v>
      </c>
      <c r="BP33" s="223"/>
      <c r="BX33" s="139"/>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427"/>
      <c r="EJ33" s="427"/>
      <c r="EK33" s="4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row>
    <row r="34" spans="3:188" ht="42" customHeight="1">
      <c r="C34" s="425"/>
      <c r="D34" s="424"/>
      <c r="E34" s="443">
        <v>0.3</v>
      </c>
      <c r="F34" s="444">
        <f t="shared" si="3"/>
        <v>1.3095338305976731</v>
      </c>
      <c r="G34" s="774">
        <f t="shared" ref="G34:AL34" si="50">G101*G168</f>
        <v>2.901194967053727E-2</v>
      </c>
      <c r="H34" s="302">
        <f t="shared" si="50"/>
        <v>3.5944018189803174E-2</v>
      </c>
      <c r="I34" s="302">
        <f t="shared" si="50"/>
        <v>3.6893345065771362E-2</v>
      </c>
      <c r="J34" s="302">
        <f t="shared" si="50"/>
        <v>3.7847366952971785E-2</v>
      </c>
      <c r="K34" s="302">
        <f t="shared" si="50"/>
        <v>3.8729255680282765E-2</v>
      </c>
      <c r="L34" s="302">
        <f t="shared" si="50"/>
        <v>3.9452523768214988E-2</v>
      </c>
      <c r="M34" s="302">
        <f t="shared" si="50"/>
        <v>3.9981624306490812E-2</v>
      </c>
      <c r="N34" s="302">
        <f t="shared" si="50"/>
        <v>4.0472188068774791E-2</v>
      </c>
      <c r="O34" s="302">
        <f t="shared" si="50"/>
        <v>4.145772355945803E-2</v>
      </c>
      <c r="P34" s="302">
        <f t="shared" si="50"/>
        <v>4.3807147118261176E-2</v>
      </c>
      <c r="Q34" s="302">
        <f t="shared" si="50"/>
        <v>4.8142520475640702E-2</v>
      </c>
      <c r="R34" s="302">
        <f t="shared" si="50"/>
        <v>5.4281003389025029E-2</v>
      </c>
      <c r="S34" s="302">
        <f t="shared" si="50"/>
        <v>6.2290072085120135E-2</v>
      </c>
      <c r="T34" s="302">
        <f t="shared" si="50"/>
        <v>7.3916719916096343E-2</v>
      </c>
      <c r="U34" s="302">
        <f t="shared" si="50"/>
        <v>9.0762858442349451E-2</v>
      </c>
      <c r="V34" s="302">
        <f t="shared" si="50"/>
        <v>0.11326047197398464</v>
      </c>
      <c r="W34" s="302">
        <f t="shared" si="50"/>
        <v>0.14105012549984031</v>
      </c>
      <c r="X34" s="302">
        <f t="shared" si="50"/>
        <v>0.17379513561915619</v>
      </c>
      <c r="Y34" s="302">
        <f t="shared" si="50"/>
        <v>0.21150404411215482</v>
      </c>
      <c r="Z34" s="302">
        <f t="shared" si="50"/>
        <v>0.25448419857839372</v>
      </c>
      <c r="AA34" s="302">
        <f t="shared" si="50"/>
        <v>0.29712455972060947</v>
      </c>
      <c r="AB34" s="302">
        <f t="shared" si="50"/>
        <v>0.33828021975575751</v>
      </c>
      <c r="AC34" s="302">
        <f t="shared" si="50"/>
        <v>0.37440009886647913</v>
      </c>
      <c r="AD34" s="302">
        <f t="shared" si="50"/>
        <v>0.40739299656216021</v>
      </c>
      <c r="AE34" s="302">
        <f t="shared" si="50"/>
        <v>0.43774885705601851</v>
      </c>
      <c r="AF34" s="302">
        <f t="shared" si="50"/>
        <v>0.79841942739249172</v>
      </c>
      <c r="AG34" s="302">
        <f t="shared" si="50"/>
        <v>0.85901664845282599</v>
      </c>
      <c r="AH34" s="302">
        <f t="shared" si="50"/>
        <v>0.93035963023532975</v>
      </c>
      <c r="AI34" s="302">
        <f t="shared" si="50"/>
        <v>1.0109852095785274</v>
      </c>
      <c r="AJ34" s="302">
        <f t="shared" si="50"/>
        <v>1.097028902987381</v>
      </c>
      <c r="AK34" s="302">
        <f t="shared" si="50"/>
        <v>1.1872865256747198</v>
      </c>
      <c r="AL34" s="302">
        <f t="shared" si="50"/>
        <v>1.2802291524497338</v>
      </c>
      <c r="AM34" s="302">
        <f t="shared" ref="AM34:BO34" si="51">AM101*AM168</f>
        <v>1.3741066748897306</v>
      </c>
      <c r="AN34" s="302">
        <f t="shared" si="51"/>
        <v>1.4670828269413345</v>
      </c>
      <c r="AO34" s="302">
        <f t="shared" si="51"/>
        <v>1.5573820579541875</v>
      </c>
      <c r="AP34" s="302">
        <f t="shared" si="51"/>
        <v>1.6434250879462204</v>
      </c>
      <c r="AQ34" s="302">
        <f t="shared" si="51"/>
        <v>1.7239327812224001</v>
      </c>
      <c r="AR34" s="302">
        <f t="shared" si="51"/>
        <v>1.797985971426951</v>
      </c>
      <c r="AS34" s="302">
        <f t="shared" si="51"/>
        <v>1.8674443627874195</v>
      </c>
      <c r="AT34" s="302">
        <f t="shared" si="51"/>
        <v>1.9344884719259607</v>
      </c>
      <c r="AU34" s="302">
        <f t="shared" si="51"/>
        <v>1.9943370795744073</v>
      </c>
      <c r="AV34" s="302">
        <f t="shared" si="51"/>
        <v>2.0470854553908895</v>
      </c>
      <c r="AW34" s="302">
        <f t="shared" si="51"/>
        <v>2.0970091299110161</v>
      </c>
      <c r="AX34" s="302">
        <f t="shared" si="51"/>
        <v>2.1429777252186515</v>
      </c>
      <c r="AY34" s="302">
        <f t="shared" si="51"/>
        <v>2.1826487842664806</v>
      </c>
      <c r="AZ34" s="302">
        <f t="shared" si="51"/>
        <v>2.2177717992106114</v>
      </c>
      <c r="BA34" s="302">
        <f t="shared" si="51"/>
        <v>2.2517187853524634</v>
      </c>
      <c r="BB34" s="302">
        <f t="shared" si="51"/>
        <v>2.2805579153426656</v>
      </c>
      <c r="BC34" s="302">
        <f t="shared" si="51"/>
        <v>2.3049070093011812</v>
      </c>
      <c r="BD34" s="302">
        <f t="shared" si="51"/>
        <v>2.3292441295516895</v>
      </c>
      <c r="BE34" s="302">
        <f t="shared" si="51"/>
        <v>2.3496953494924289</v>
      </c>
      <c r="BF34" s="302">
        <f t="shared" si="51"/>
        <v>2.3667975113040938</v>
      </c>
      <c r="BG34" s="302">
        <f t="shared" si="51"/>
        <v>2.3834831851803671</v>
      </c>
      <c r="BH34" s="302">
        <f t="shared" si="51"/>
        <v>2.3977324681966845</v>
      </c>
      <c r="BI34" s="302">
        <f t="shared" si="51"/>
        <v>2.4095687276224962</v>
      </c>
      <c r="BJ34" s="302">
        <f t="shared" si="51"/>
        <v>2.4209261414076573</v>
      </c>
      <c r="BK34" s="302">
        <f t="shared" si="51"/>
        <v>2.4307336859710711</v>
      </c>
      <c r="BL34" s="302">
        <f t="shared" si="51"/>
        <v>2.4388431969144979</v>
      </c>
      <c r="BM34" s="302">
        <f t="shared" si="51"/>
        <v>2.4465368629670841</v>
      </c>
      <c r="BN34" s="302">
        <f t="shared" si="51"/>
        <v>2.454269174443461</v>
      </c>
      <c r="BO34" s="775">
        <f t="shared" si="51"/>
        <v>2.4623805412790682</v>
      </c>
      <c r="BP34" s="223"/>
      <c r="BX34" s="139"/>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427"/>
      <c r="EJ34" s="427"/>
      <c r="EK34" s="427"/>
      <c r="EL34" s="427"/>
      <c r="EM34" s="427"/>
      <c r="EN34" s="427"/>
      <c r="EO34" s="427"/>
      <c r="EP34" s="427"/>
      <c r="EQ34" s="427"/>
      <c r="ER34" s="427"/>
      <c r="ES34" s="427"/>
      <c r="ET34" s="427"/>
      <c r="EU34" s="427"/>
      <c r="EV34" s="427"/>
      <c r="EW34" s="427"/>
      <c r="EX34" s="427"/>
      <c r="EY34" s="427"/>
      <c r="EZ34" s="427"/>
      <c r="FA34" s="427"/>
      <c r="FB34" s="427"/>
      <c r="FC34" s="427"/>
      <c r="FD34" s="427"/>
      <c r="FE34" s="427"/>
      <c r="FF34" s="4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row>
    <row r="35" spans="3:188" ht="42" customHeight="1">
      <c r="C35" s="425"/>
      <c r="D35" s="424"/>
      <c r="E35" s="445">
        <v>0.25</v>
      </c>
      <c r="F35" s="444">
        <f t="shared" si="3"/>
        <v>1.1414484864842829</v>
      </c>
      <c r="G35" s="774">
        <f t="shared" ref="G35:AL35" si="52">G102*G169</f>
        <v>-5.2846605618583023E-2</v>
      </c>
      <c r="H35" s="302">
        <f t="shared" si="52"/>
        <v>-4.4900147435897812E-2</v>
      </c>
      <c r="I35" s="302">
        <f t="shared" si="52"/>
        <v>-4.2482244888682123E-2</v>
      </c>
      <c r="J35" s="302">
        <f t="shared" si="52"/>
        <v>-3.9448951567231529E-2</v>
      </c>
      <c r="K35" s="302">
        <f t="shared" si="52"/>
        <v>-3.5696567730478246E-2</v>
      </c>
      <c r="L35" s="302">
        <f t="shared" si="52"/>
        <v>-3.1165971518953766E-2</v>
      </c>
      <c r="M35" s="302">
        <f t="shared" si="52"/>
        <v>-2.5908920125598617E-2</v>
      </c>
      <c r="N35" s="302">
        <f t="shared" si="52"/>
        <v>-2.0180315852755593E-2</v>
      </c>
      <c r="O35" s="302">
        <f t="shared" si="52"/>
        <v>-1.4494941561820239E-2</v>
      </c>
      <c r="P35" s="302">
        <f t="shared" si="52"/>
        <v>-9.4168536630398862E-3</v>
      </c>
      <c r="Q35" s="302">
        <f t="shared" si="52"/>
        <v>-4.8554248299398856E-3</v>
      </c>
      <c r="R35" s="302">
        <f t="shared" si="52"/>
        <v>1.0198703166351869E-4</v>
      </c>
      <c r="S35" s="302">
        <f t="shared" si="52"/>
        <v>6.2043519095610665E-3</v>
      </c>
      <c r="T35" s="302">
        <f t="shared" si="52"/>
        <v>1.477732630187956E-2</v>
      </c>
      <c r="U35" s="302">
        <f t="shared" si="52"/>
        <v>2.7669344211054332E-2</v>
      </c>
      <c r="V35" s="302">
        <f t="shared" si="52"/>
        <v>4.5881659108846659E-2</v>
      </c>
      <c r="W35" s="302">
        <f t="shared" si="52"/>
        <v>6.9644723434273609E-2</v>
      </c>
      <c r="X35" s="302">
        <f t="shared" si="52"/>
        <v>9.8994641127870764E-2</v>
      </c>
      <c r="Y35" s="302">
        <f t="shared" si="52"/>
        <v>0.13404691796827298</v>
      </c>
      <c r="Z35" s="302">
        <f t="shared" si="52"/>
        <v>0.17504901143602017</v>
      </c>
      <c r="AA35" s="302">
        <f t="shared" si="52"/>
        <v>0.22190711042171821</v>
      </c>
      <c r="AB35" s="302">
        <f t="shared" si="52"/>
        <v>0.26324617921009685</v>
      </c>
      <c r="AC35" s="302">
        <f t="shared" si="52"/>
        <v>0.30419229840064227</v>
      </c>
      <c r="AD35" s="302">
        <f t="shared" si="52"/>
        <v>0.34379408923887578</v>
      </c>
      <c r="AE35" s="302">
        <f t="shared" si="52"/>
        <v>0.3785591964926403</v>
      </c>
      <c r="AF35" s="302">
        <f t="shared" si="52"/>
        <v>0.41046569498531255</v>
      </c>
      <c r="AG35" s="302">
        <f t="shared" si="52"/>
        <v>0.82711542319895848</v>
      </c>
      <c r="AH35" s="302">
        <f t="shared" si="52"/>
        <v>0.89448805913628826</v>
      </c>
      <c r="AI35" s="302">
        <f t="shared" si="52"/>
        <v>0.96860391868759221</v>
      </c>
      <c r="AJ35" s="302">
        <f t="shared" si="52"/>
        <v>1.0535083854924099</v>
      </c>
      <c r="AK35" s="302">
        <f t="shared" si="52"/>
        <v>1.1437527064016673</v>
      </c>
      <c r="AL35" s="302">
        <f t="shared" si="52"/>
        <v>1.2366856820262546</v>
      </c>
      <c r="AM35" s="302">
        <f t="shared" ref="AM35:BO35" si="53">AM102*AM169</f>
        <v>1.3305559423390692</v>
      </c>
      <c r="AN35" s="302">
        <f t="shared" si="53"/>
        <v>1.4235263491306938</v>
      </c>
      <c r="AO35" s="302">
        <f t="shared" si="53"/>
        <v>1.5138207661324381</v>
      </c>
      <c r="AP35" s="302">
        <f t="shared" si="53"/>
        <v>1.5998595375476288</v>
      </c>
      <c r="AQ35" s="302">
        <f t="shared" si="53"/>
        <v>1.6809302584172707</v>
      </c>
      <c r="AR35" s="302">
        <f t="shared" si="53"/>
        <v>1.7614167716999223</v>
      </c>
      <c r="AS35" s="302">
        <f t="shared" si="53"/>
        <v>1.8354538561103395</v>
      </c>
      <c r="AT35" s="302">
        <f t="shared" si="53"/>
        <v>1.9024946288991207</v>
      </c>
      <c r="AU35" s="302">
        <f t="shared" si="53"/>
        <v>1.962340072294108</v>
      </c>
      <c r="AV35" s="302">
        <f t="shared" si="53"/>
        <v>2.0214042838760595</v>
      </c>
      <c r="AW35" s="302">
        <f t="shared" si="53"/>
        <v>2.0741471086805876</v>
      </c>
      <c r="AX35" s="302">
        <f t="shared" si="53"/>
        <v>2.1201133118143396</v>
      </c>
      <c r="AY35" s="302">
        <f t="shared" si="53"/>
        <v>2.1620796971714196</v>
      </c>
      <c r="AZ35" s="302">
        <f t="shared" si="53"/>
        <v>2.2017483960719941</v>
      </c>
      <c r="BA35" s="302">
        <f t="shared" si="53"/>
        <v>2.2356939845673072</v>
      </c>
      <c r="BB35" s="302">
        <f t="shared" si="53"/>
        <v>2.2649758599462566</v>
      </c>
      <c r="BC35" s="302">
        <f t="shared" si="53"/>
        <v>2.2938141204257607</v>
      </c>
      <c r="BD35" s="302">
        <f t="shared" si="53"/>
        <v>2.3181626161145612</v>
      </c>
      <c r="BE35" s="302">
        <f t="shared" si="53"/>
        <v>2.338613391395671</v>
      </c>
      <c r="BF35" s="302">
        <f t="shared" si="53"/>
        <v>2.3587864554442866</v>
      </c>
      <c r="BG35" s="302">
        <f t="shared" si="53"/>
        <v>2.3758882735121016</v>
      </c>
      <c r="BH35" s="302">
        <f t="shared" si="53"/>
        <v>2.3901373805114225</v>
      </c>
      <c r="BI35" s="302">
        <f t="shared" si="53"/>
        <v>2.4039136627383511</v>
      </c>
      <c r="BJ35" s="302">
        <f t="shared" si="53"/>
        <v>2.4157504528672167</v>
      </c>
      <c r="BK35" s="302">
        <f t="shared" si="53"/>
        <v>2.425558512117175</v>
      </c>
      <c r="BL35" s="302">
        <f t="shared" si="53"/>
        <v>2.4349118106987255</v>
      </c>
      <c r="BM35" s="302">
        <f t="shared" si="53"/>
        <v>2.4430230992124784</v>
      </c>
      <c r="BN35" s="302">
        <f t="shared" si="53"/>
        <v>2.4497194091322028</v>
      </c>
      <c r="BO35" s="775">
        <f t="shared" si="53"/>
        <v>2.4560461277442505</v>
      </c>
      <c r="BP35" s="223"/>
      <c r="BX35" s="139"/>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427"/>
      <c r="EL35" s="421"/>
      <c r="EM35" s="421"/>
      <c r="EN35" s="421"/>
      <c r="EO35" s="421"/>
      <c r="EP35" s="421"/>
      <c r="EQ35" s="421"/>
      <c r="ER35" s="421"/>
      <c r="ES35" s="421"/>
      <c r="ET35" s="421"/>
      <c r="EU35" s="421"/>
      <c r="EV35" s="421"/>
      <c r="EW35" s="421"/>
      <c r="EX35" s="421"/>
      <c r="EY35" s="421"/>
      <c r="EZ35" s="421"/>
      <c r="FA35" s="421"/>
      <c r="FB35" s="421"/>
      <c r="FC35" s="421"/>
      <c r="FD35" s="421"/>
      <c r="FE35" s="421"/>
      <c r="FF35" s="421"/>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row>
    <row r="36" spans="3:188" ht="42" customHeight="1">
      <c r="C36" s="425"/>
      <c r="D36" s="424"/>
      <c r="E36" s="443">
        <v>0.2</v>
      </c>
      <c r="F36" s="444">
        <f t="shared" si="3"/>
        <v>0.9638739234530953</v>
      </c>
      <c r="G36" s="774">
        <f t="shared" ref="G36:AL36" si="54">G103*G170</f>
        <v>-0.13922481888347263</v>
      </c>
      <c r="H36" s="302">
        <f t="shared" si="54"/>
        <v>-0.13012098525354582</v>
      </c>
      <c r="I36" s="302">
        <f t="shared" si="54"/>
        <v>-0.1260001136696583</v>
      </c>
      <c r="J36" s="302">
        <f t="shared" si="54"/>
        <v>-0.12048832142730266</v>
      </c>
      <c r="K36" s="302">
        <f t="shared" si="54"/>
        <v>-0.11317309331043342</v>
      </c>
      <c r="L36" s="302">
        <f t="shared" si="54"/>
        <v>-0.10361524470335347</v>
      </c>
      <c r="M36" s="302">
        <f t="shared" si="54"/>
        <v>-9.146387727436496E-2</v>
      </c>
      <c r="N36" s="302">
        <f t="shared" si="54"/>
        <v>-7.6708463685884909E-2</v>
      </c>
      <c r="O36" s="302">
        <f t="shared" si="54"/>
        <v>-6.0193614529675428E-2</v>
      </c>
      <c r="P36" s="302">
        <f t="shared" si="54"/>
        <v>-4.4646121295849994E-2</v>
      </c>
      <c r="Q36" s="302">
        <f t="shared" si="54"/>
        <v>-3.50288925007241E-2</v>
      </c>
      <c r="R36" s="302">
        <f t="shared" si="54"/>
        <v>-3.1040164896446166E-2</v>
      </c>
      <c r="S36" s="302">
        <f t="shared" si="54"/>
        <v>-2.9417266768257934E-2</v>
      </c>
      <c r="T36" s="302">
        <f t="shared" si="54"/>
        <v>-3.0194283106222054E-2</v>
      </c>
      <c r="U36" s="302">
        <f t="shared" si="54"/>
        <v>-2.7594170061663523E-2</v>
      </c>
      <c r="V36" s="302">
        <f t="shared" si="54"/>
        <v>-1.8315185722795141E-2</v>
      </c>
      <c r="W36" s="302">
        <f t="shared" si="54"/>
        <v>-1.5984975685836671E-3</v>
      </c>
      <c r="X36" s="302">
        <f t="shared" si="54"/>
        <v>2.2484663717706355E-2</v>
      </c>
      <c r="Y36" s="302">
        <f t="shared" si="54"/>
        <v>5.3735592020882204E-2</v>
      </c>
      <c r="Z36" s="302">
        <f t="shared" si="54"/>
        <v>9.2058154184558413E-2</v>
      </c>
      <c r="AA36" s="302">
        <f t="shared" si="54"/>
        <v>0.13748860129148682</v>
      </c>
      <c r="AB36" s="302">
        <f t="shared" si="54"/>
        <v>0.18172328743120203</v>
      </c>
      <c r="AC36" s="302">
        <f t="shared" si="54"/>
        <v>0.22762852285656679</v>
      </c>
      <c r="AD36" s="302">
        <f t="shared" si="54"/>
        <v>0.26782598705476218</v>
      </c>
      <c r="AE36" s="302">
        <f t="shared" si="54"/>
        <v>0.30775815001306511</v>
      </c>
      <c r="AF36" s="302">
        <f t="shared" si="54"/>
        <v>0.34650666352848897</v>
      </c>
      <c r="AG36" s="302">
        <f t="shared" si="54"/>
        <v>0.38056782704358894</v>
      </c>
      <c r="AH36" s="302">
        <f t="shared" si="54"/>
        <v>0.86016008065029426</v>
      </c>
      <c r="AI36" s="302">
        <f t="shared" si="54"/>
        <v>0.93119637071003947</v>
      </c>
      <c r="AJ36" s="302">
        <f t="shared" si="54"/>
        <v>1.0115967445766396</v>
      </c>
      <c r="AK36" s="302">
        <f t="shared" si="54"/>
        <v>1.0974723757234852</v>
      </c>
      <c r="AL36" s="302">
        <f t="shared" si="54"/>
        <v>1.1876041012401717</v>
      </c>
      <c r="AM36" s="302">
        <f t="shared" ref="AM36:BO36" si="55">AM103*AM170</f>
        <v>1.2804519480646801</v>
      </c>
      <c r="AN36" s="302">
        <f t="shared" si="55"/>
        <v>1.3742576474462724</v>
      </c>
      <c r="AO36" s="302">
        <f t="shared" si="55"/>
        <v>1.4671788996782054</v>
      </c>
      <c r="AP36" s="302">
        <f t="shared" si="55"/>
        <v>1.5574357006927346</v>
      </c>
      <c r="AQ36" s="302">
        <f t="shared" si="55"/>
        <v>1.6434455039812912</v>
      </c>
      <c r="AR36" s="302">
        <f t="shared" si="55"/>
        <v>1.72392680514315</v>
      </c>
      <c r="AS36" s="302">
        <f t="shared" si="55"/>
        <v>1.7979587471169889</v>
      </c>
      <c r="AT36" s="302">
        <f t="shared" si="55"/>
        <v>1.8673997908656241</v>
      </c>
      <c r="AU36" s="302">
        <f t="shared" si="55"/>
        <v>1.9344295124519106</v>
      </c>
      <c r="AV36" s="302">
        <f t="shared" si="55"/>
        <v>1.9942662378600695</v>
      </c>
      <c r="AW36" s="302">
        <f t="shared" si="55"/>
        <v>2.0470048704470818</v>
      </c>
      <c r="AX36" s="302">
        <f t="shared" si="55"/>
        <v>2.0969204994102686</v>
      </c>
      <c r="AY36" s="302">
        <f t="shared" si="55"/>
        <v>2.1428825652386494</v>
      </c>
      <c r="AZ36" s="302">
        <f t="shared" si="55"/>
        <v>2.1825485318393136</v>
      </c>
      <c r="BA36" s="302">
        <f t="shared" si="55"/>
        <v>2.2176676423153694</v>
      </c>
      <c r="BB36" s="302">
        <f t="shared" si="55"/>
        <v>2.2516115764282518</v>
      </c>
      <c r="BC36" s="302">
        <f t="shared" si="55"/>
        <v>2.2804485130686425</v>
      </c>
      <c r="BD36" s="302">
        <f t="shared" si="55"/>
        <v>2.304796062913411</v>
      </c>
      <c r="BE36" s="302">
        <f t="shared" si="55"/>
        <v>2.329131890439196</v>
      </c>
      <c r="BF36" s="302">
        <f t="shared" si="55"/>
        <v>2.3495820763147881</v>
      </c>
      <c r="BG36" s="302">
        <f t="shared" si="55"/>
        <v>2.3666834333556421</v>
      </c>
      <c r="BH36" s="302">
        <f t="shared" si="55"/>
        <v>2.3833686445875188</v>
      </c>
      <c r="BI36" s="302">
        <f t="shared" si="55"/>
        <v>2.3976180748811808</v>
      </c>
      <c r="BJ36" s="302">
        <f t="shared" si="55"/>
        <v>2.4094552418091064</v>
      </c>
      <c r="BK36" s="302">
        <f t="shared" si="55"/>
        <v>2.420814368415511</v>
      </c>
      <c r="BL36" s="302">
        <f t="shared" si="55"/>
        <v>2.4306245916886207</v>
      </c>
      <c r="BM36" s="302">
        <f t="shared" si="55"/>
        <v>2.4387378233648134</v>
      </c>
      <c r="BN36" s="302">
        <f t="shared" si="55"/>
        <v>2.446436217436442</v>
      </c>
      <c r="BO36" s="775">
        <f t="shared" si="55"/>
        <v>2.4541742149086803</v>
      </c>
      <c r="BP36" s="223"/>
      <c r="BX36" s="139"/>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427"/>
      <c r="EL36" s="421"/>
      <c r="EM36" s="421"/>
      <c r="EN36" s="421"/>
      <c r="EO36" s="421"/>
      <c r="EP36" s="421"/>
      <c r="EQ36" s="421"/>
      <c r="ER36" s="421"/>
      <c r="ES36" s="421"/>
      <c r="ET36" s="421"/>
      <c r="EU36" s="421"/>
      <c r="EV36" s="421"/>
      <c r="EW36" s="421"/>
      <c r="EX36" s="421"/>
      <c r="EY36" s="421"/>
      <c r="EZ36" s="421"/>
      <c r="FA36" s="421"/>
      <c r="FB36" s="421"/>
      <c r="FC36" s="421"/>
      <c r="FD36" s="421"/>
      <c r="FE36" s="421"/>
      <c r="FF36" s="421"/>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row>
    <row r="37" spans="3:188" ht="42" customHeight="1">
      <c r="C37" s="425"/>
      <c r="D37" s="424"/>
      <c r="E37" s="445">
        <v>0.15</v>
      </c>
      <c r="F37" s="444">
        <f t="shared" si="3"/>
        <v>0.77978461077553929</v>
      </c>
      <c r="G37" s="774">
        <f t="shared" ref="G37:AL37" si="56">G104*G171</f>
        <v>-0.2287600505614624</v>
      </c>
      <c r="H37" s="302">
        <f t="shared" si="56"/>
        <v>-0.21844207833649121</v>
      </c>
      <c r="I37" s="302">
        <f t="shared" si="56"/>
        <v>-0.2125320582146987</v>
      </c>
      <c r="J37" s="302">
        <f t="shared" si="56"/>
        <v>-0.20440338055425872</v>
      </c>
      <c r="K37" s="302">
        <f t="shared" si="56"/>
        <v>-0.19329657352694965</v>
      </c>
      <c r="L37" s="302">
        <f t="shared" si="56"/>
        <v>-0.1783168102718819</v>
      </c>
      <c r="M37" s="302">
        <f t="shared" si="56"/>
        <v>-0.15854508043859897</v>
      </c>
      <c r="N37" s="302">
        <f t="shared" si="56"/>
        <v>-0.13329522147265879</v>
      </c>
      <c r="O37" s="302">
        <f t="shared" si="56"/>
        <v>-0.10258430341097308</v>
      </c>
      <c r="P37" s="302">
        <f t="shared" si="56"/>
        <v>-6.8024401657245451E-2</v>
      </c>
      <c r="Q37" s="302">
        <f t="shared" si="56"/>
        <v>-3.6945941366045107E-2</v>
      </c>
      <c r="R37" s="302">
        <f t="shared" si="56"/>
        <v>-2.996477770490634E-2</v>
      </c>
      <c r="S37" s="302">
        <f t="shared" si="56"/>
        <v>-4.5496982226918441E-2</v>
      </c>
      <c r="T37" s="302">
        <f t="shared" si="56"/>
        <v>-6.6879706399616448E-2</v>
      </c>
      <c r="U37" s="302">
        <f t="shared" si="56"/>
        <v>-7.9731667079953231E-2</v>
      </c>
      <c r="V37" s="302">
        <f t="shared" si="56"/>
        <v>-8.198094997518042E-2</v>
      </c>
      <c r="W37" s="302">
        <f t="shared" si="56"/>
        <v>-7.3760566950301559E-2</v>
      </c>
      <c r="X37" s="302">
        <f t="shared" si="56"/>
        <v>-5.5804892005106688E-2</v>
      </c>
      <c r="Y37" s="302">
        <f t="shared" si="56"/>
        <v>-2.8884599223800277E-2</v>
      </c>
      <c r="Z37" s="302">
        <f t="shared" si="56"/>
        <v>6.4255830052784048E-3</v>
      </c>
      <c r="AA37" s="302">
        <f t="shared" si="56"/>
        <v>4.9784964413991689E-2</v>
      </c>
      <c r="AB37" s="302">
        <f t="shared" si="56"/>
        <v>9.5761606411776376E-2</v>
      </c>
      <c r="AC37" s="302">
        <f t="shared" si="56"/>
        <v>0.14118655613826064</v>
      </c>
      <c r="AD37" s="302">
        <f t="shared" si="56"/>
        <v>0.18499472024526728</v>
      </c>
      <c r="AE37" s="302">
        <f t="shared" si="56"/>
        <v>0.23037313709731622</v>
      </c>
      <c r="AF37" s="302">
        <f t="shared" si="56"/>
        <v>0.26998964206793424</v>
      </c>
      <c r="AG37" s="302">
        <f t="shared" si="56"/>
        <v>0.30942408600186722</v>
      </c>
      <c r="AH37" s="302">
        <f t="shared" si="56"/>
        <v>0.34776320946890216</v>
      </c>
      <c r="AI37" s="302">
        <f t="shared" si="56"/>
        <v>0.89533025610124262</v>
      </c>
      <c r="AJ37" s="302">
        <f t="shared" si="56"/>
        <v>0.96921287320345451</v>
      </c>
      <c r="AK37" s="302">
        <f t="shared" si="56"/>
        <v>1.0539475037188322</v>
      </c>
      <c r="AL37" s="302">
        <f t="shared" si="56"/>
        <v>1.1440648400729447</v>
      </c>
      <c r="AM37" s="302">
        <f t="shared" ref="AM37:BO37" si="57">AM104*AM171</f>
        <v>1.2369016632459293</v>
      </c>
      <c r="AN37" s="302">
        <f t="shared" si="57"/>
        <v>1.3306983093284139</v>
      </c>
      <c r="AO37" s="302">
        <f t="shared" si="57"/>
        <v>1.4236115492669867</v>
      </c>
      <c r="AP37" s="302">
        <f t="shared" si="57"/>
        <v>1.5138607900267746</v>
      </c>
      <c r="AQ37" s="302">
        <f t="shared" si="57"/>
        <v>1.5998631518384356</v>
      </c>
      <c r="AR37" s="302">
        <f t="shared" si="57"/>
        <v>1.6809039361148541</v>
      </c>
      <c r="AS37" s="302">
        <f t="shared" si="57"/>
        <v>1.7613652354575726</v>
      </c>
      <c r="AT37" s="302">
        <f t="shared" si="57"/>
        <v>1.8353808165201457</v>
      </c>
      <c r="AU37" s="302">
        <f t="shared" si="57"/>
        <v>1.9024031741783951</v>
      </c>
      <c r="AV37" s="302">
        <f t="shared" si="57"/>
        <v>1.9622329139182519</v>
      </c>
      <c r="AW37" s="302">
        <f t="shared" si="57"/>
        <v>2.0212835189022256</v>
      </c>
      <c r="AX37" s="302">
        <f t="shared" si="57"/>
        <v>2.07401495627284</v>
      </c>
      <c r="AY37" s="302">
        <f t="shared" si="57"/>
        <v>2.1199718993930188</v>
      </c>
      <c r="AZ37" s="302">
        <f t="shared" si="57"/>
        <v>2.1619308278649001</v>
      </c>
      <c r="BA37" s="302">
        <f t="shared" si="57"/>
        <v>2.2015935735798662</v>
      </c>
      <c r="BB37" s="302">
        <f t="shared" si="57"/>
        <v>2.2355347427586514</v>
      </c>
      <c r="BC37" s="302">
        <f t="shared" si="57"/>
        <v>2.2648134242397737</v>
      </c>
      <c r="BD37" s="302">
        <f t="shared" si="57"/>
        <v>2.2936491544448194</v>
      </c>
      <c r="BE37" s="302">
        <f t="shared" si="57"/>
        <v>2.3179958022035274</v>
      </c>
      <c r="BF37" s="302">
        <f t="shared" si="57"/>
        <v>2.3384450952343534</v>
      </c>
      <c r="BG37" s="302">
        <f t="shared" si="57"/>
        <v>2.3586167855632802</v>
      </c>
      <c r="BH37" s="302">
        <f t="shared" si="57"/>
        <v>2.3757179560607682</v>
      </c>
      <c r="BI37" s="302">
        <f t="shared" si="57"/>
        <v>2.3899674056849078</v>
      </c>
      <c r="BJ37" s="302">
        <f t="shared" si="57"/>
        <v>2.4037450994416152</v>
      </c>
      <c r="BK37" s="302">
        <f t="shared" si="57"/>
        <v>2.415584694609429</v>
      </c>
      <c r="BL37" s="302">
        <f t="shared" si="57"/>
        <v>2.4253971278001414</v>
      </c>
      <c r="BM37" s="302">
        <f t="shared" si="57"/>
        <v>2.4347563664796676</v>
      </c>
      <c r="BN37" s="302">
        <f t="shared" si="57"/>
        <v>2.4428752326976313</v>
      </c>
      <c r="BO37" s="775">
        <f t="shared" si="57"/>
        <v>2.4495806862115108</v>
      </c>
      <c r="BP37" s="223"/>
      <c r="BX37" s="139"/>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427"/>
      <c r="EL37" s="421"/>
      <c r="EM37" s="421"/>
      <c r="EN37" s="421"/>
      <c r="EO37" s="421"/>
      <c r="EP37" s="421"/>
      <c r="EQ37" s="421"/>
      <c r="ER37" s="421"/>
      <c r="ES37" s="421"/>
      <c r="ET37" s="421"/>
      <c r="EU37" s="421"/>
      <c r="EV37" s="421"/>
      <c r="EW37" s="421"/>
      <c r="EX37" s="421"/>
      <c r="EY37" s="421"/>
      <c r="EZ37" s="421"/>
      <c r="FA37" s="421"/>
      <c r="FB37" s="421"/>
      <c r="FC37" s="421"/>
      <c r="FD37" s="421"/>
      <c r="FE37" s="421"/>
      <c r="FF37" s="421"/>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row>
    <row r="38" spans="3:188" ht="42" customHeight="1">
      <c r="C38" s="425"/>
      <c r="D38" s="424"/>
      <c r="E38" s="443">
        <v>0.1</v>
      </c>
      <c r="F38" s="444">
        <f t="shared" si="3"/>
        <v>0.59264087738360005</v>
      </c>
      <c r="G38" s="774">
        <f t="shared" ref="G38:AL38" si="58">G105*G172</f>
        <v>-0.31979988742256371</v>
      </c>
      <c r="H38" s="302">
        <f t="shared" si="58"/>
        <v>-0.30826051364641016</v>
      </c>
      <c r="I38" s="302">
        <f t="shared" si="58"/>
        <v>-0.30055676183873298</v>
      </c>
      <c r="J38" s="302">
        <f t="shared" si="58"/>
        <v>-0.28981391132662726</v>
      </c>
      <c r="K38" s="302">
        <f t="shared" si="58"/>
        <v>-0.27493870647227625</v>
      </c>
      <c r="L38" s="302">
        <f t="shared" si="58"/>
        <v>-0.25461073119381111</v>
      </c>
      <c r="M38" s="302">
        <f t="shared" si="58"/>
        <v>-0.22741099410329782</v>
      </c>
      <c r="N38" s="302">
        <f t="shared" si="58"/>
        <v>-0.19213483318492849</v>
      </c>
      <c r="O38" s="302">
        <f t="shared" si="58"/>
        <v>-0.14833418391889461</v>
      </c>
      <c r="P38" s="302">
        <f t="shared" si="58"/>
        <v>-9.700328458672082E-2</v>
      </c>
      <c r="Q38" s="302">
        <f t="shared" si="58"/>
        <v>-4.1170039005268881E-2</v>
      </c>
      <c r="R38" s="302">
        <f t="shared" si="58"/>
        <v>-1.6113682648580298E-2</v>
      </c>
      <c r="S38" s="302">
        <f t="shared" si="58"/>
        <v>-6.5486849937294242E-2</v>
      </c>
      <c r="T38" s="302">
        <f t="shared" si="58"/>
        <v>-0.1058115802451777</v>
      </c>
      <c r="U38" s="302">
        <f t="shared" si="58"/>
        <v>-0.13319218732003643</v>
      </c>
      <c r="V38" s="302">
        <f t="shared" si="58"/>
        <v>-0.14674409267063451</v>
      </c>
      <c r="W38" s="302">
        <f t="shared" si="58"/>
        <v>-0.14703295761765681</v>
      </c>
      <c r="X38" s="302">
        <f t="shared" si="58"/>
        <v>-0.13528264258121733</v>
      </c>
      <c r="Y38" s="302">
        <f t="shared" si="58"/>
        <v>-0.11277603105019178</v>
      </c>
      <c r="Z38" s="302">
        <f t="shared" si="58"/>
        <v>-8.0548246931980205E-2</v>
      </c>
      <c r="AA38" s="302">
        <f t="shared" si="58"/>
        <v>-3.9313780220199948E-2</v>
      </c>
      <c r="AB38" s="302">
        <f t="shared" si="58"/>
        <v>6.6891471709358509E-3</v>
      </c>
      <c r="AC38" s="302">
        <f t="shared" si="58"/>
        <v>5.1144671163788735E-2</v>
      </c>
      <c r="AD38" s="302">
        <f t="shared" si="58"/>
        <v>9.7507030636899888E-2</v>
      </c>
      <c r="AE38" s="302">
        <f t="shared" si="58"/>
        <v>0.14290638154777122</v>
      </c>
      <c r="AF38" s="302">
        <f t="shared" si="58"/>
        <v>0.18650200608492751</v>
      </c>
      <c r="AG38" s="302">
        <f t="shared" si="58"/>
        <v>0.23162909771973367</v>
      </c>
      <c r="AH38" s="302">
        <f t="shared" si="58"/>
        <v>0.27097447737900399</v>
      </c>
      <c r="AI38" s="302">
        <f t="shared" si="58"/>
        <v>0.31017875400750128</v>
      </c>
      <c r="AJ38" s="302">
        <f t="shared" si="58"/>
        <v>0.93179225243224195</v>
      </c>
      <c r="AK38" s="302">
        <f t="shared" si="58"/>
        <v>1.0120229397945839</v>
      </c>
      <c r="AL38" s="302">
        <f t="shared" si="58"/>
        <v>1.0977717314187945</v>
      </c>
      <c r="AM38" s="302">
        <f t="shared" ref="AM38:BO38" si="59">AM105*AM172</f>
        <v>1.1878071735015627</v>
      </c>
      <c r="AN38" s="302">
        <f t="shared" si="59"/>
        <v>1.280580468322374</v>
      </c>
      <c r="AO38" s="302">
        <f t="shared" si="59"/>
        <v>1.3743270021546068</v>
      </c>
      <c r="AP38" s="302">
        <f t="shared" si="59"/>
        <v>1.4671999440199588</v>
      </c>
      <c r="AQ38" s="302">
        <f t="shared" si="59"/>
        <v>1.5574161173748993</v>
      </c>
      <c r="AR38" s="302">
        <f t="shared" si="59"/>
        <v>1.6433908381871354</v>
      </c>
      <c r="AS38" s="302">
        <f t="shared" si="59"/>
        <v>1.7238412515537946</v>
      </c>
      <c r="AT38" s="302">
        <f t="shared" si="59"/>
        <v>1.7978457311617499</v>
      </c>
      <c r="AU38" s="302">
        <f t="shared" si="59"/>
        <v>1.8672621929338808</v>
      </c>
      <c r="AV38" s="302">
        <f t="shared" si="59"/>
        <v>1.9342698288427571</v>
      </c>
      <c r="AW38" s="302">
        <f t="shared" si="59"/>
        <v>1.9940873001820962</v>
      </c>
      <c r="AX38" s="302">
        <f t="shared" si="59"/>
        <v>2.0468095653031106</v>
      </c>
      <c r="AY38" s="302">
        <f t="shared" si="59"/>
        <v>2.0967113097084571</v>
      </c>
      <c r="AZ38" s="302">
        <f t="shared" si="59"/>
        <v>2.1426619901127339</v>
      </c>
      <c r="BA38" s="302">
        <f t="shared" si="59"/>
        <v>2.1823191498995071</v>
      </c>
      <c r="BB38" s="302">
        <f t="shared" si="59"/>
        <v>2.2174316045903284</v>
      </c>
      <c r="BC38" s="302">
        <f t="shared" si="59"/>
        <v>2.2513703456285059</v>
      </c>
      <c r="BD38" s="302">
        <f t="shared" si="59"/>
        <v>2.2802035895763053</v>
      </c>
      <c r="BE38" s="302">
        <f t="shared" si="59"/>
        <v>2.3045484667657306</v>
      </c>
      <c r="BF38" s="302">
        <f t="shared" si="59"/>
        <v>2.3288817313016739</v>
      </c>
      <c r="BG38" s="302">
        <f t="shared" si="59"/>
        <v>2.3493298941056229</v>
      </c>
      <c r="BH38" s="302">
        <f t="shared" si="59"/>
        <v>2.3664303903267352</v>
      </c>
      <c r="BI38" s="302">
        <f t="shared" si="59"/>
        <v>2.3831160491355061</v>
      </c>
      <c r="BJ38" s="302">
        <f t="shared" si="59"/>
        <v>2.3973678564381973</v>
      </c>
      <c r="BK38" s="302">
        <f t="shared" si="59"/>
        <v>2.4092096765730666</v>
      </c>
      <c r="BL38" s="302">
        <f t="shared" si="59"/>
        <v>2.4205758000319149</v>
      </c>
      <c r="BM38" s="302">
        <f t="shared" si="59"/>
        <v>2.4303956207384725</v>
      </c>
      <c r="BN38" s="302">
        <f t="shared" si="59"/>
        <v>2.4385210567461995</v>
      </c>
      <c r="BO38" s="775">
        <f t="shared" si="59"/>
        <v>2.4462339761872633</v>
      </c>
      <c r="BP38" s="223"/>
      <c r="BX38" s="139"/>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427"/>
      <c r="EL38" s="421"/>
      <c r="EM38" s="421"/>
      <c r="EN38" s="421"/>
      <c r="EO38" s="421"/>
      <c r="EP38" s="421"/>
      <c r="EQ38" s="421"/>
      <c r="ER38" s="421"/>
      <c r="ES38" s="421"/>
      <c r="ET38" s="421"/>
      <c r="EU38" s="421"/>
      <c r="EV38" s="421"/>
      <c r="EW38" s="421"/>
      <c r="EX38" s="421"/>
      <c r="EY38" s="421"/>
      <c r="EZ38" s="421"/>
      <c r="FA38" s="421"/>
      <c r="FB38" s="421"/>
      <c r="FC38" s="421"/>
      <c r="FD38" s="421"/>
      <c r="FE38" s="421"/>
      <c r="FF38" s="421"/>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row>
    <row r="39" spans="3:188" ht="42" customHeight="1">
      <c r="C39" s="426"/>
      <c r="D39" s="425"/>
      <c r="E39" s="445">
        <v>0.05</v>
      </c>
      <c r="F39" s="444">
        <f t="shared" si="3"/>
        <v>0.40613984663573133</v>
      </c>
      <c r="G39" s="774">
        <f t="shared" ref="G39:AL39" si="60">G106*G173</f>
        <v>-0.41055204040562515</v>
      </c>
      <c r="H39" s="302">
        <f t="shared" si="60"/>
        <v>-0.39781428094085947</v>
      </c>
      <c r="I39" s="302">
        <f t="shared" si="60"/>
        <v>-0.38835835596509893</v>
      </c>
      <c r="J39" s="302">
        <f t="shared" si="60"/>
        <v>-0.37507662143125009</v>
      </c>
      <c r="K39" s="302">
        <f t="shared" si="60"/>
        <v>-0.35657285750873546</v>
      </c>
      <c r="L39" s="302">
        <f t="shared" si="60"/>
        <v>-0.33116464828515518</v>
      </c>
      <c r="M39" s="302">
        <f t="shared" si="60"/>
        <v>-0.29707315379734606</v>
      </c>
      <c r="N39" s="302">
        <f t="shared" si="60"/>
        <v>-0.25291917163505034</v>
      </c>
      <c r="O39" s="302">
        <f t="shared" si="60"/>
        <v>-0.19880162922596381</v>
      </c>
      <c r="P39" s="302">
        <f t="shared" si="60"/>
        <v>-0.1390777721659314</v>
      </c>
      <c r="Q39" s="302">
        <f t="shared" si="60"/>
        <v>-9.3012473748848107E-2</v>
      </c>
      <c r="R39" s="302">
        <f t="shared" si="60"/>
        <v>-8.4970844332659848E-2</v>
      </c>
      <c r="S39" s="302">
        <f t="shared" si="60"/>
        <v>-0.10645589364307358</v>
      </c>
      <c r="T39" s="302">
        <f t="shared" si="60"/>
        <v>-0.15101802788283913</v>
      </c>
      <c r="U39" s="302">
        <f t="shared" si="60"/>
        <v>-0.18892090073293136</v>
      </c>
      <c r="V39" s="302">
        <f t="shared" si="60"/>
        <v>-0.21232817533669729</v>
      </c>
      <c r="W39" s="302">
        <f t="shared" si="60"/>
        <v>-0.22051734516424332</v>
      </c>
      <c r="X39" s="302">
        <f t="shared" si="60"/>
        <v>-0.21469515319361568</v>
      </c>
      <c r="Y39" s="302">
        <f t="shared" si="60"/>
        <v>-0.19647051036365884</v>
      </c>
      <c r="Z39" s="302">
        <f t="shared" si="60"/>
        <v>-0.16726105853461731</v>
      </c>
      <c r="AA39" s="302">
        <f t="shared" si="60"/>
        <v>-0.12811997841209735</v>
      </c>
      <c r="AB39" s="302">
        <f t="shared" si="60"/>
        <v>-8.3864435697110287E-2</v>
      </c>
      <c r="AC39" s="302">
        <f t="shared" si="60"/>
        <v>-4.0390704711020672E-2</v>
      </c>
      <c r="AD39" s="302">
        <f t="shared" si="60"/>
        <v>6.8113659492166486E-3</v>
      </c>
      <c r="AE39" s="302">
        <f t="shared" si="60"/>
        <v>5.1768924553765597E-2</v>
      </c>
      <c r="AF39" s="302">
        <f t="shared" si="60"/>
        <v>9.8302778220892423E-2</v>
      </c>
      <c r="AG39" s="302">
        <f t="shared" si="60"/>
        <v>0.14368643752345239</v>
      </c>
      <c r="AH39" s="302">
        <f t="shared" si="60"/>
        <v>0.18718278852188391</v>
      </c>
      <c r="AI39" s="302">
        <f t="shared" si="60"/>
        <v>0.2321939843344332</v>
      </c>
      <c r="AJ39" s="302">
        <f t="shared" si="60"/>
        <v>0.27141505023937018</v>
      </c>
      <c r="AK39" s="302">
        <f t="shared" si="60"/>
        <v>0.96961959596350966</v>
      </c>
      <c r="AL39" s="302">
        <f t="shared" si="60"/>
        <v>1.0542300443176431</v>
      </c>
      <c r="AM39" s="302">
        <f t="shared" ref="AM39:BO39" si="61">AM106*AM173</f>
        <v>1.1442518361508895</v>
      </c>
      <c r="AN39" s="302">
        <f t="shared" si="61"/>
        <v>1.2370128404787293</v>
      </c>
      <c r="AO39" s="302">
        <f t="shared" si="61"/>
        <v>1.3307472862425869</v>
      </c>
      <c r="AP39" s="302">
        <f t="shared" si="61"/>
        <v>1.4236075855284396</v>
      </c>
      <c r="AQ39" s="302">
        <f t="shared" si="61"/>
        <v>1.5138101435927382</v>
      </c>
      <c r="AR39" s="302">
        <f t="shared" si="61"/>
        <v>1.5997701575197154</v>
      </c>
      <c r="AS39" s="302">
        <f t="shared" si="61"/>
        <v>1.6807718152109754</v>
      </c>
      <c r="AT39" s="302">
        <f t="shared" si="61"/>
        <v>1.7611962507969627</v>
      </c>
      <c r="AU39" s="302">
        <f t="shared" si="61"/>
        <v>1.8351775916078679</v>
      </c>
      <c r="AV39" s="302">
        <f t="shared" si="61"/>
        <v>1.9021686801216116</v>
      </c>
      <c r="AW39" s="302">
        <f t="shared" si="61"/>
        <v>1.9619705600635662</v>
      </c>
      <c r="AX39" s="302">
        <f t="shared" si="61"/>
        <v>2.0209961953498765</v>
      </c>
      <c r="AY39" s="302">
        <f t="shared" si="61"/>
        <v>2.0737065159566539</v>
      </c>
      <c r="AZ39" s="302">
        <f t="shared" si="61"/>
        <v>2.1196463632046538</v>
      </c>
      <c r="BA39" s="302">
        <f t="shared" si="61"/>
        <v>2.1615916783879672</v>
      </c>
      <c r="BB39" s="302">
        <f t="shared" si="61"/>
        <v>2.2012437043444537</v>
      </c>
      <c r="BC39" s="302">
        <f t="shared" si="61"/>
        <v>2.2351771232939806</v>
      </c>
      <c r="BD39" s="302">
        <f t="shared" si="61"/>
        <v>2.2644502826674295</v>
      </c>
      <c r="BE39" s="302">
        <f t="shared" si="61"/>
        <v>2.2932813926438125</v>
      </c>
      <c r="BF39" s="302">
        <f t="shared" si="61"/>
        <v>2.3176242884203213</v>
      </c>
      <c r="BG39" s="302">
        <f t="shared" si="61"/>
        <v>2.3380706329684044</v>
      </c>
      <c r="BH39" s="302">
        <f t="shared" si="61"/>
        <v>2.3582407094508153</v>
      </c>
      <c r="BI39" s="302">
        <f t="shared" si="61"/>
        <v>2.3753428025488583</v>
      </c>
      <c r="BJ39" s="302">
        <f t="shared" si="61"/>
        <v>2.3895963313160524</v>
      </c>
      <c r="BK39" s="302">
        <f t="shared" si="61"/>
        <v>2.4033814535300055</v>
      </c>
      <c r="BL39" s="302">
        <f t="shared" si="61"/>
        <v>2.4152324661580278</v>
      </c>
      <c r="BM39" s="302">
        <f t="shared" si="61"/>
        <v>2.4250605077540097</v>
      </c>
      <c r="BN39" s="302">
        <f t="shared" si="61"/>
        <v>2.4344392603924812</v>
      </c>
      <c r="BO39" s="775">
        <f t="shared" si="61"/>
        <v>2.4425813136153236</v>
      </c>
      <c r="BP39" s="223"/>
      <c r="BX39" s="139"/>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427"/>
      <c r="EL39" s="421"/>
      <c r="EM39" s="421"/>
      <c r="EN39" s="421"/>
      <c r="EO39" s="421"/>
      <c r="EP39" s="421"/>
      <c r="EQ39" s="421"/>
      <c r="ER39" s="421"/>
      <c r="ES39" s="421"/>
      <c r="ET39" s="421"/>
      <c r="EU39" s="421"/>
      <c r="EV39" s="421"/>
      <c r="EW39" s="421"/>
      <c r="EX39" s="421"/>
      <c r="EY39" s="421"/>
      <c r="EZ39" s="421"/>
      <c r="FA39" s="421"/>
      <c r="FB39" s="421"/>
      <c r="FC39" s="421"/>
      <c r="FD39" s="421"/>
      <c r="FE39" s="421"/>
      <c r="FF39" s="421"/>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row>
    <row r="40" spans="3:188" ht="42" customHeight="1">
      <c r="C40" s="426"/>
      <c r="D40" s="425"/>
      <c r="E40" s="443">
        <v>0</v>
      </c>
      <c r="F40" s="444">
        <f t="shared" si="3"/>
        <v>0.22392833940517187</v>
      </c>
      <c r="G40" s="774">
        <f t="shared" ref="G40:AL40" si="62">G107*G174</f>
        <v>-0.49933656134826981</v>
      </c>
      <c r="H40" s="302">
        <f t="shared" si="62"/>
        <v>-0.48551908126285076</v>
      </c>
      <c r="I40" s="302">
        <f t="shared" si="62"/>
        <v>-0.4745209563134638</v>
      </c>
      <c r="J40" s="302">
        <f t="shared" si="62"/>
        <v>-0.45907522278221163</v>
      </c>
      <c r="K40" s="302">
        <f t="shared" si="62"/>
        <v>-0.43762758547990516</v>
      </c>
      <c r="L40" s="302">
        <f t="shared" si="62"/>
        <v>-0.4084229284634564</v>
      </c>
      <c r="M40" s="302">
        <f t="shared" si="62"/>
        <v>-0.36992379204339187</v>
      </c>
      <c r="N40" s="302">
        <f t="shared" si="62"/>
        <v>-0.32188216583546519</v>
      </c>
      <c r="O40" s="302">
        <f t="shared" si="62"/>
        <v>-0.26777487844951736</v>
      </c>
      <c r="P40" s="302">
        <f t="shared" si="62"/>
        <v>-0.21917009579613381</v>
      </c>
      <c r="Q40" s="302">
        <f t="shared" si="62"/>
        <v>-0.19362289817399783</v>
      </c>
      <c r="R40" s="302">
        <f t="shared" si="62"/>
        <v>-0.18770289180533153</v>
      </c>
      <c r="S40" s="302">
        <f t="shared" si="62"/>
        <v>-0.1929019821248841</v>
      </c>
      <c r="T40" s="302">
        <f t="shared" si="62"/>
        <v>-0.22003120115745864</v>
      </c>
      <c r="U40" s="302">
        <f t="shared" si="62"/>
        <v>-0.25488423112010189</v>
      </c>
      <c r="V40" s="302">
        <f t="shared" si="62"/>
        <v>-0.28178409436167429</v>
      </c>
      <c r="W40" s="302">
        <f t="shared" si="62"/>
        <v>-0.29487647096998976</v>
      </c>
      <c r="X40" s="302">
        <f t="shared" si="62"/>
        <v>-0.29351875486040024</v>
      </c>
      <c r="Y40" s="302">
        <f t="shared" si="62"/>
        <v>-0.27883851114542579</v>
      </c>
      <c r="Z40" s="302">
        <f t="shared" si="62"/>
        <v>-0.25226645536721976</v>
      </c>
      <c r="AA40" s="302">
        <f t="shared" si="62"/>
        <v>-0.21501812845740756</v>
      </c>
      <c r="AB40" s="302">
        <f t="shared" si="62"/>
        <v>-0.17416914899093525</v>
      </c>
      <c r="AC40" s="302">
        <f t="shared" si="62"/>
        <v>-0.13163950746205577</v>
      </c>
      <c r="AD40" s="302">
        <f t="shared" si="62"/>
        <v>-8.540056301774579E-2</v>
      </c>
      <c r="AE40" s="302">
        <f t="shared" si="62"/>
        <v>-4.0884771138112737E-2</v>
      </c>
      <c r="AF40" s="302">
        <f t="shared" si="62"/>
        <v>6.8670554581324143E-3</v>
      </c>
      <c r="AG40" s="302">
        <f t="shared" si="62"/>
        <v>5.2051914671605068E-2</v>
      </c>
      <c r="AH40" s="302">
        <f t="shared" si="62"/>
        <v>9.8661926014030996E-2</v>
      </c>
      <c r="AI40" s="302">
        <f t="shared" si="62"/>
        <v>0.14403683372405976</v>
      </c>
      <c r="AJ40" s="302">
        <f t="shared" si="62"/>
        <v>0.18748659045098026</v>
      </c>
      <c r="AK40" s="302">
        <f t="shared" si="62"/>
        <v>0.2324433758486491</v>
      </c>
      <c r="AL40" s="302">
        <f t="shared" si="62"/>
        <v>1.0122874945979659</v>
      </c>
      <c r="AM40" s="302">
        <f t="shared" ref="AM40:BO40" si="63">AM107*AM174</f>
        <v>1.09794003402622</v>
      </c>
      <c r="AN40" s="302">
        <f t="shared" si="63"/>
        <v>1.1878973697903477</v>
      </c>
      <c r="AO40" s="302">
        <f t="shared" si="63"/>
        <v>1.280604217802453</v>
      </c>
      <c r="AP40" s="302">
        <f t="shared" si="63"/>
        <v>1.3742913774151087</v>
      </c>
      <c r="AQ40" s="302">
        <f t="shared" si="63"/>
        <v>1.4671089396742505</v>
      </c>
      <c r="AR40" s="302">
        <f t="shared" si="63"/>
        <v>1.5572719004676661</v>
      </c>
      <c r="AS40" s="302">
        <f t="shared" si="63"/>
        <v>1.6431947921089631</v>
      </c>
      <c r="AT40" s="302">
        <f t="shared" si="63"/>
        <v>1.7235948114442901</v>
      </c>
      <c r="AU40" s="302">
        <f t="shared" si="63"/>
        <v>1.7975509837065444</v>
      </c>
      <c r="AV40" s="302">
        <f t="shared" si="63"/>
        <v>1.8669217780124923</v>
      </c>
      <c r="AW40" s="302">
        <f t="shared" si="63"/>
        <v>1.9338868743672437</v>
      </c>
      <c r="AX40" s="302">
        <f t="shared" si="63"/>
        <v>1.993666722296078</v>
      </c>
      <c r="AY40" s="302">
        <f t="shared" si="63"/>
        <v>2.0463570055759068</v>
      </c>
      <c r="AZ40" s="302">
        <f t="shared" si="63"/>
        <v>2.0962318161800919</v>
      </c>
      <c r="BA40" s="302">
        <f t="shared" si="63"/>
        <v>2.1421607976683701</v>
      </c>
      <c r="BB40" s="302">
        <f t="shared" si="63"/>
        <v>2.1818016621009528</v>
      </c>
      <c r="BC40" s="302">
        <f t="shared" si="63"/>
        <v>2.2169021480524269</v>
      </c>
      <c r="BD40" s="302">
        <f t="shared" si="63"/>
        <v>2.250831548482191</v>
      </c>
      <c r="BE40" s="302">
        <f t="shared" si="63"/>
        <v>2.2796579891617736</v>
      </c>
      <c r="BF40" s="302">
        <f t="shared" si="63"/>
        <v>2.3039973552066026</v>
      </c>
      <c r="BG40" s="302">
        <f t="shared" si="63"/>
        <v>2.3283253849188501</v>
      </c>
      <c r="BH40" s="302">
        <f t="shared" si="63"/>
        <v>2.3487713314560619</v>
      </c>
      <c r="BI40" s="302">
        <f t="shared" si="63"/>
        <v>2.3658737361090565</v>
      </c>
      <c r="BJ40" s="302">
        <f t="shared" si="63"/>
        <v>2.3825658100921756</v>
      </c>
      <c r="BK40" s="302">
        <f t="shared" si="63"/>
        <v>2.3968299179972612</v>
      </c>
      <c r="BL40" s="302">
        <f t="shared" si="63"/>
        <v>2.4086905296843413</v>
      </c>
      <c r="BM40" s="302">
        <f t="shared" si="63"/>
        <v>2.4200817584979832</v>
      </c>
      <c r="BN40" s="302">
        <f t="shared" si="63"/>
        <v>2.4299330271480644</v>
      </c>
      <c r="BO40" s="775">
        <f t="shared" si="63"/>
        <v>2.4380955750850632</v>
      </c>
      <c r="BP40" s="223"/>
      <c r="BX40" s="139"/>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427"/>
      <c r="EL40" s="421"/>
      <c r="EM40" s="421"/>
      <c r="EN40" s="421"/>
      <c r="EO40" s="421"/>
      <c r="EP40" s="421"/>
      <c r="EQ40" s="421"/>
      <c r="ER40" s="421"/>
      <c r="ES40" s="421"/>
      <c r="ET40" s="421"/>
      <c r="EU40" s="421"/>
      <c r="EV40" s="421"/>
      <c r="EW40" s="421"/>
      <c r="EX40" s="421"/>
      <c r="EY40" s="421"/>
      <c r="EZ40" s="421"/>
      <c r="FA40" s="421"/>
      <c r="FB40" s="421"/>
      <c r="FC40" s="421"/>
      <c r="FD40" s="421"/>
      <c r="FE40" s="421"/>
      <c r="FF40" s="421"/>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row>
    <row r="41" spans="3:188" ht="42" customHeight="1">
      <c r="C41" s="426"/>
      <c r="D41" s="425"/>
      <c r="E41" s="445">
        <v>-0.05</v>
      </c>
      <c r="F41" s="444">
        <f t="shared" si="3"/>
        <v>4.9323958158932868E-2</v>
      </c>
      <c r="G41" s="774">
        <f t="shared" ref="G41:AL41" si="64">G108*G175</f>
        <v>-0.58469569608800576</v>
      </c>
      <c r="H41" s="302">
        <f t="shared" si="64"/>
        <v>-0.57005525561036863</v>
      </c>
      <c r="I41" s="302">
        <f t="shared" si="64"/>
        <v>-0.55796687350778018</v>
      </c>
      <c r="J41" s="302">
        <f t="shared" si="64"/>
        <v>-0.541155624353028</v>
      </c>
      <c r="K41" s="302">
        <f t="shared" si="64"/>
        <v>-0.51818990954848265</v>
      </c>
      <c r="L41" s="302">
        <f t="shared" si="64"/>
        <v>-0.48774626495482254</v>
      </c>
      <c r="M41" s="302">
        <f t="shared" si="64"/>
        <v>-0.44937482465192269</v>
      </c>
      <c r="N41" s="302">
        <f t="shared" si="64"/>
        <v>-0.4050406085469741</v>
      </c>
      <c r="O41" s="302">
        <f t="shared" si="64"/>
        <v>-0.3612235981773636</v>
      </c>
      <c r="P41" s="302">
        <f t="shared" si="64"/>
        <v>-0.32848859969599209</v>
      </c>
      <c r="Q41" s="302">
        <f t="shared" si="64"/>
        <v>-0.3126872929570399</v>
      </c>
      <c r="R41" s="302">
        <f t="shared" si="64"/>
        <v>-0.3063649676739304</v>
      </c>
      <c r="S41" s="302">
        <f t="shared" si="64"/>
        <v>-0.30464368943932713</v>
      </c>
      <c r="T41" s="302">
        <f t="shared" si="64"/>
        <v>-0.31582604648782181</v>
      </c>
      <c r="U41" s="302">
        <f t="shared" si="64"/>
        <v>-0.33769751404220244</v>
      </c>
      <c r="V41" s="302">
        <f t="shared" si="64"/>
        <v>-0.35928109788115664</v>
      </c>
      <c r="W41" s="302">
        <f t="shared" si="64"/>
        <v>-0.3718974915499435</v>
      </c>
      <c r="X41" s="302">
        <f t="shared" si="64"/>
        <v>-0.37202955763857187</v>
      </c>
      <c r="Y41" s="302">
        <f t="shared" si="64"/>
        <v>-0.35929152298415734</v>
      </c>
      <c r="Z41" s="302">
        <f t="shared" si="64"/>
        <v>-0.33449656962510349</v>
      </c>
      <c r="AA41" s="302">
        <f t="shared" si="64"/>
        <v>-0.29867672432117554</v>
      </c>
      <c r="AB41" s="302">
        <f t="shared" si="64"/>
        <v>-0.26259475049172853</v>
      </c>
      <c r="AC41" s="302">
        <f t="shared" si="64"/>
        <v>-0.2208887469036292</v>
      </c>
      <c r="AD41" s="302">
        <f t="shared" si="64"/>
        <v>-0.17734524066155824</v>
      </c>
      <c r="AE41" s="302">
        <f t="shared" si="64"/>
        <v>-0.13324438450686549</v>
      </c>
      <c r="AF41" s="302">
        <f t="shared" si="64"/>
        <v>-8.6096955809716186E-2</v>
      </c>
      <c r="AG41" s="302">
        <f t="shared" si="64"/>
        <v>-4.1107753260775107E-2</v>
      </c>
      <c r="AH41" s="302">
        <f t="shared" si="64"/>
        <v>6.8920855997542455E-3</v>
      </c>
      <c r="AI41" s="302">
        <f t="shared" si="64"/>
        <v>5.2178470463171381E-2</v>
      </c>
      <c r="AJ41" s="302">
        <f t="shared" si="64"/>
        <v>9.8821301391201308E-2</v>
      </c>
      <c r="AK41" s="302">
        <f t="shared" si="64"/>
        <v>0.14419021982033148</v>
      </c>
      <c r="AL41" s="302">
        <f t="shared" si="64"/>
        <v>0.18761624397632121</v>
      </c>
      <c r="AM41" s="302">
        <f t="shared" ref="AM41:BO41" si="65">AM108*AM175</f>
        <v>1.0543791075818334</v>
      </c>
      <c r="AN41" s="302">
        <f t="shared" si="65"/>
        <v>1.1443188666183293</v>
      </c>
      <c r="AO41" s="302">
        <f t="shared" si="65"/>
        <v>1.2370067307940589</v>
      </c>
      <c r="AP41" s="302">
        <f t="shared" si="65"/>
        <v>1.3306722236450521</v>
      </c>
      <c r="AQ41" s="302">
        <f t="shared" si="65"/>
        <v>1.4234646161346216</v>
      </c>
      <c r="AR41" s="302">
        <f t="shared" si="65"/>
        <v>1.5135985784920616</v>
      </c>
      <c r="AS41" s="302">
        <f t="shared" si="65"/>
        <v>1.5994888480044762</v>
      </c>
      <c r="AT41" s="302">
        <f t="shared" si="65"/>
        <v>1.6804201325793338</v>
      </c>
      <c r="AU41" s="302">
        <f t="shared" si="65"/>
        <v>1.7607737183655185</v>
      </c>
      <c r="AV41" s="302">
        <f t="shared" si="65"/>
        <v>1.8346866475134445</v>
      </c>
      <c r="AW41" s="302">
        <f t="shared" si="65"/>
        <v>1.901613979957405</v>
      </c>
      <c r="AX41" s="302">
        <f t="shared" si="65"/>
        <v>1.9613587643006838</v>
      </c>
      <c r="AY41" s="302">
        <f t="shared" si="65"/>
        <v>2.0203333755614099</v>
      </c>
      <c r="AZ41" s="302">
        <f t="shared" si="65"/>
        <v>2.0730012805109679</v>
      </c>
      <c r="BA41" s="302">
        <f t="shared" si="65"/>
        <v>2.1189077150749642</v>
      </c>
      <c r="BB41" s="302">
        <f t="shared" si="65"/>
        <v>2.1608272206472336</v>
      </c>
      <c r="BC41" s="302">
        <f t="shared" si="65"/>
        <v>2.2004594279660434</v>
      </c>
      <c r="BD41" s="302">
        <f t="shared" si="65"/>
        <v>2.234378843398769</v>
      </c>
      <c r="BE41" s="302">
        <f t="shared" si="65"/>
        <v>2.2636417880201667</v>
      </c>
      <c r="BF41" s="302">
        <f t="shared" si="65"/>
        <v>2.2924631821055899</v>
      </c>
      <c r="BG41" s="302">
        <f t="shared" si="65"/>
        <v>2.3167983964981338</v>
      </c>
      <c r="BH41" s="302">
        <f t="shared" si="65"/>
        <v>2.3372418555433523</v>
      </c>
      <c r="BI41" s="302">
        <f t="shared" si="65"/>
        <v>2.3574145960171387</v>
      </c>
      <c r="BJ41" s="302">
        <f t="shared" si="65"/>
        <v>2.3745276464660274</v>
      </c>
      <c r="BK41" s="302">
        <f t="shared" si="65"/>
        <v>2.3888017687699388</v>
      </c>
      <c r="BL41" s="302">
        <f t="shared" si="65"/>
        <v>2.4026172570656548</v>
      </c>
      <c r="BM41" s="302">
        <f t="shared" si="65"/>
        <v>2.4145091633885425</v>
      </c>
      <c r="BN41" s="302">
        <f t="shared" si="65"/>
        <v>2.424388090282994</v>
      </c>
      <c r="BO41" s="775">
        <f t="shared" si="65"/>
        <v>2.4338259115307688</v>
      </c>
      <c r="BP41" s="223"/>
      <c r="BX41" s="139"/>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427"/>
      <c r="EL41" s="421"/>
      <c r="EM41" s="421"/>
      <c r="EN41" s="421"/>
      <c r="EO41" s="421"/>
      <c r="EP41" s="421"/>
      <c r="EQ41" s="421"/>
      <c r="ER41" s="421"/>
      <c r="ES41" s="421"/>
      <c r="ET41" s="421"/>
      <c r="EU41" s="421"/>
      <c r="EV41" s="421"/>
      <c r="EW41" s="421"/>
      <c r="EX41" s="421"/>
      <c r="EY41" s="421"/>
      <c r="EZ41" s="421"/>
      <c r="FA41" s="421"/>
      <c r="FB41" s="421"/>
      <c r="FC41" s="421"/>
      <c r="FD41" s="421"/>
      <c r="FE41" s="421"/>
      <c r="FF41" s="421"/>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row>
    <row r="42" spans="3:188" ht="42" customHeight="1">
      <c r="C42" s="426"/>
      <c r="D42" s="425"/>
      <c r="E42" s="443">
        <v>-0.1</v>
      </c>
      <c r="F42" s="444">
        <f t="shared" si="3"/>
        <v>-0.1149116524842797</v>
      </c>
      <c r="G42" s="774">
        <f t="shared" ref="G42:AL42" si="66">G109*G176</f>
        <v>-0.66546150088531864</v>
      </c>
      <c r="H42" s="302">
        <f t="shared" si="66"/>
        <v>-0.65039204414613894</v>
      </c>
      <c r="I42" s="302">
        <f t="shared" si="66"/>
        <v>-0.63788909413030781</v>
      </c>
      <c r="J42" s="302">
        <f t="shared" si="66"/>
        <v>-0.62085926308439443</v>
      </c>
      <c r="K42" s="302">
        <f t="shared" si="66"/>
        <v>-0.59829367407758827</v>
      </c>
      <c r="L42" s="302">
        <f t="shared" si="66"/>
        <v>-0.5696921847161065</v>
      </c>
      <c r="M42" s="302">
        <f t="shared" si="66"/>
        <v>-0.53593516718487755</v>
      </c>
      <c r="N42" s="302">
        <f t="shared" si="66"/>
        <v>-0.50038396504500005</v>
      </c>
      <c r="O42" s="302">
        <f t="shared" si="66"/>
        <v>-0.4690093098350725</v>
      </c>
      <c r="P42" s="302">
        <f t="shared" si="66"/>
        <v>-0.44742344162383429</v>
      </c>
      <c r="Q42" s="302">
        <f t="shared" si="66"/>
        <v>-0.43592694167829016</v>
      </c>
      <c r="R42" s="302">
        <f t="shared" si="66"/>
        <v>-0.42887134428748536</v>
      </c>
      <c r="S42" s="302">
        <f t="shared" si="66"/>
        <v>-0.4234586507597124</v>
      </c>
      <c r="T42" s="302">
        <f t="shared" si="66"/>
        <v>-0.42466935445445991</v>
      </c>
      <c r="U42" s="302">
        <f t="shared" si="66"/>
        <v>-0.43356755541399628</v>
      </c>
      <c r="V42" s="302">
        <f t="shared" si="66"/>
        <v>-0.44511266916919301</v>
      </c>
      <c r="W42" s="302">
        <f t="shared" si="66"/>
        <v>-0.4523391859566136</v>
      </c>
      <c r="X42" s="302">
        <f t="shared" si="66"/>
        <v>-0.45045686809574403</v>
      </c>
      <c r="Y42" s="302">
        <f t="shared" si="66"/>
        <v>-0.43748785465116585</v>
      </c>
      <c r="Z42" s="302">
        <f t="shared" si="66"/>
        <v>-0.41319986299426514</v>
      </c>
      <c r="AA42" s="302">
        <f t="shared" si="66"/>
        <v>-0.38035935351566896</v>
      </c>
      <c r="AB42" s="302">
        <f t="shared" si="66"/>
        <v>-0.34771742471376055</v>
      </c>
      <c r="AC42" s="302">
        <f t="shared" si="66"/>
        <v>-0.30661717938408184</v>
      </c>
      <c r="AD42" s="302">
        <f t="shared" si="66"/>
        <v>-0.26728515199184727</v>
      </c>
      <c r="AE42" s="302">
        <f t="shared" si="66"/>
        <v>-0.2235375171131401</v>
      </c>
      <c r="AF42" s="302">
        <f t="shared" si="66"/>
        <v>-0.17877190660900527</v>
      </c>
      <c r="AG42" s="302">
        <f t="shared" si="66"/>
        <v>-0.13396278033946046</v>
      </c>
      <c r="AH42" s="302">
        <f t="shared" si="66"/>
        <v>-8.6407568094113402E-2</v>
      </c>
      <c r="AI42" s="302">
        <f t="shared" si="66"/>
        <v>-4.120669943647004E-2</v>
      </c>
      <c r="AJ42" s="302">
        <f t="shared" si="66"/>
        <v>6.9030923885750189E-3</v>
      </c>
      <c r="AK42" s="302">
        <f t="shared" si="66"/>
        <v>5.2233171610684213E-2</v>
      </c>
      <c r="AL42" s="302">
        <f t="shared" si="66"/>
        <v>9.8887901933420147E-2</v>
      </c>
      <c r="AM42" s="302">
        <f t="shared" ref="AM42:BO42" si="67">AM109*AM176</f>
        <v>0.14425010747060138</v>
      </c>
      <c r="AN42" s="302">
        <f t="shared" si="67"/>
        <v>1.0979806027987287</v>
      </c>
      <c r="AO42" s="302">
        <f t="shared" si="67"/>
        <v>1.1878558985151273</v>
      </c>
      <c r="AP42" s="302">
        <f t="shared" si="67"/>
        <v>1.2804811196591386</v>
      </c>
      <c r="AQ42" s="302">
        <f t="shared" si="67"/>
        <v>1.374083265446286</v>
      </c>
      <c r="AR42" s="302">
        <f t="shared" si="67"/>
        <v>1.4668103302743836</v>
      </c>
      <c r="AS42" s="302">
        <f t="shared" si="67"/>
        <v>1.5568769143241705</v>
      </c>
      <c r="AT42" s="302">
        <f t="shared" si="67"/>
        <v>1.6426987747607855</v>
      </c>
      <c r="AU42" s="302">
        <f t="shared" si="67"/>
        <v>1.7229957074619136</v>
      </c>
      <c r="AV42" s="302">
        <f t="shared" si="67"/>
        <v>1.7968502729440148</v>
      </c>
      <c r="AW42" s="302">
        <f t="shared" si="67"/>
        <v>1.8661238013833901</v>
      </c>
      <c r="AX42" s="302">
        <f t="shared" si="67"/>
        <v>1.9329982678469229</v>
      </c>
      <c r="AY42" s="302">
        <f t="shared" si="67"/>
        <v>1.9926989689623948</v>
      </c>
      <c r="AZ42" s="302">
        <f t="shared" si="67"/>
        <v>2.0453234827818769</v>
      </c>
      <c r="BA42" s="302">
        <f t="shared" si="67"/>
        <v>2.0951444073681418</v>
      </c>
      <c r="BB42" s="302">
        <f t="shared" si="67"/>
        <v>2.1410314070331262</v>
      </c>
      <c r="BC42" s="302">
        <f t="shared" si="67"/>
        <v>2.1806419713659433</v>
      </c>
      <c r="BD42" s="302">
        <f t="shared" si="67"/>
        <v>2.2157207323039096</v>
      </c>
      <c r="BE42" s="302">
        <f t="shared" si="67"/>
        <v>2.2496325084698583</v>
      </c>
      <c r="BF42" s="302">
        <f t="shared" si="67"/>
        <v>2.2784446008188253</v>
      </c>
      <c r="BG42" s="302">
        <f t="shared" si="67"/>
        <v>2.3027727082306924</v>
      </c>
      <c r="BH42" s="302">
        <f t="shared" si="67"/>
        <v>2.3270950825812071</v>
      </c>
      <c r="BI42" s="302">
        <f t="shared" si="67"/>
        <v>2.3475464013818388</v>
      </c>
      <c r="BJ42" s="302">
        <f t="shared" si="67"/>
        <v>2.364667765533444</v>
      </c>
      <c r="BK42" s="302">
        <f t="shared" si="67"/>
        <v>2.3813931691130152</v>
      </c>
      <c r="BL42" s="302">
        <f t="shared" si="67"/>
        <v>2.3957073845657755</v>
      </c>
      <c r="BM42" s="302">
        <f t="shared" si="67"/>
        <v>2.4076349797099801</v>
      </c>
      <c r="BN42" s="302">
        <f t="shared" si="67"/>
        <v>2.4191079622639102</v>
      </c>
      <c r="BO42" s="775">
        <f t="shared" si="67"/>
        <v>2.4290536127973188</v>
      </c>
      <c r="BP42" s="223"/>
    </row>
    <row r="43" spans="3:188" ht="42" customHeight="1">
      <c r="C43" s="426"/>
      <c r="D43" s="425"/>
      <c r="E43" s="445">
        <v>-0.15</v>
      </c>
      <c r="F43" s="444">
        <f t="shared" ref="F43:F69" si="68">$F$10-($F$10-$F$70)*1/(1+EXP(-($F$9*(-E43+$D$8))))</f>
        <v>-0.26671707262787026</v>
      </c>
      <c r="G43" s="774">
        <f t="shared" ref="G43:AL43" si="69">G110*G177</f>
        <v>-0.74077316759585554</v>
      </c>
      <c r="H43" s="302">
        <f t="shared" si="69"/>
        <v>-0.72575280826715294</v>
      </c>
      <c r="I43" s="302">
        <f t="shared" si="69"/>
        <v>-0.71361236742125278</v>
      </c>
      <c r="J43" s="302">
        <f t="shared" si="69"/>
        <v>-0.69758133559453628</v>
      </c>
      <c r="K43" s="302">
        <f t="shared" si="69"/>
        <v>-0.67721197084680018</v>
      </c>
      <c r="L43" s="302">
        <f t="shared" si="69"/>
        <v>-0.65279486857423019</v>
      </c>
      <c r="M43" s="302">
        <f t="shared" si="69"/>
        <v>-0.6259460589866449</v>
      </c>
      <c r="N43" s="302">
        <f t="shared" si="69"/>
        <v>-0.59984027291158049</v>
      </c>
      <c r="O43" s="302">
        <f t="shared" si="69"/>
        <v>-0.5782472816161538</v>
      </c>
      <c r="P43" s="302">
        <f t="shared" si="69"/>
        <v>-0.56327848951572723</v>
      </c>
      <c r="Q43" s="302">
        <f t="shared" si="69"/>
        <v>-0.55376137494147148</v>
      </c>
      <c r="R43" s="302">
        <f t="shared" si="69"/>
        <v>-0.54602703499372485</v>
      </c>
      <c r="S43" s="302">
        <f t="shared" si="69"/>
        <v>-0.53839095598059794</v>
      </c>
      <c r="T43" s="302">
        <f t="shared" si="69"/>
        <v>-0.5336386335540686</v>
      </c>
      <c r="U43" s="302">
        <f t="shared" si="69"/>
        <v>-0.53307182885439031</v>
      </c>
      <c r="V43" s="302">
        <f t="shared" si="69"/>
        <v>-0.53476203748689233</v>
      </c>
      <c r="W43" s="302">
        <f t="shared" si="69"/>
        <v>-0.53449298171615722</v>
      </c>
      <c r="X43" s="302">
        <f t="shared" si="69"/>
        <v>-0.52809551563309365</v>
      </c>
      <c r="Y43" s="302">
        <f t="shared" si="69"/>
        <v>-0.51289953380314779</v>
      </c>
      <c r="Z43" s="302">
        <f t="shared" si="69"/>
        <v>-0.48776321125584055</v>
      </c>
      <c r="AA43" s="302">
        <f t="shared" si="69"/>
        <v>-0.46075791959905921</v>
      </c>
      <c r="AB43" s="302">
        <f t="shared" si="69"/>
        <v>-0.42837081028630275</v>
      </c>
      <c r="AC43" s="302">
        <f t="shared" si="69"/>
        <v>-0.38990896592980601</v>
      </c>
      <c r="AD43" s="302">
        <f t="shared" si="69"/>
        <v>-0.35365214793145566</v>
      </c>
      <c r="AE43" s="302">
        <f t="shared" si="69"/>
        <v>-0.31016069708053556</v>
      </c>
      <c r="AF43" s="302">
        <f t="shared" si="69"/>
        <v>-0.26937055401147175</v>
      </c>
      <c r="AG43" s="302">
        <f t="shared" si="69"/>
        <v>-0.22471184169094793</v>
      </c>
      <c r="AH43" s="302">
        <f t="shared" si="69"/>
        <v>-0.17940232635482092</v>
      </c>
      <c r="AI43" s="302">
        <f t="shared" si="69"/>
        <v>-0.13427846311701774</v>
      </c>
      <c r="AJ43" s="302">
        <f t="shared" si="69"/>
        <v>-8.6542580624500112E-2</v>
      </c>
      <c r="AK43" s="302">
        <f t="shared" si="69"/>
        <v>-4.1248771334708077E-2</v>
      </c>
      <c r="AL43" s="302">
        <f t="shared" si="69"/>
        <v>6.9075663375174901E-3</v>
      </c>
      <c r="AM43" s="302">
        <f t="shared" ref="AM43:BO43" si="70">AM110*AM177</f>
        <v>5.2253386166092243E-2</v>
      </c>
      <c r="AN43" s="302">
        <f t="shared" si="70"/>
        <v>9.8907609325982332E-2</v>
      </c>
      <c r="AO43" s="302">
        <f t="shared" si="70"/>
        <v>1.1442356835540914</v>
      </c>
      <c r="AP43" s="302">
        <f t="shared" si="70"/>
        <v>1.2368247565584678</v>
      </c>
      <c r="AQ43" s="302">
        <f t="shared" si="70"/>
        <v>1.3303819157174839</v>
      </c>
      <c r="AR43" s="302">
        <f t="shared" si="70"/>
        <v>1.4230538058217563</v>
      </c>
      <c r="AS43" s="302">
        <f t="shared" si="70"/>
        <v>1.5130546766770299</v>
      </c>
      <c r="AT43" s="302">
        <f t="shared" si="70"/>
        <v>1.5988011710636514</v>
      </c>
      <c r="AU43" s="302">
        <f t="shared" si="70"/>
        <v>1.6795817831332025</v>
      </c>
      <c r="AV43" s="302">
        <f t="shared" si="70"/>
        <v>1.7597804063748304</v>
      </c>
      <c r="AW43" s="302">
        <f t="shared" si="70"/>
        <v>1.8335428682925901</v>
      </c>
      <c r="AX43" s="302">
        <f t="shared" si="70"/>
        <v>1.9003308205363119</v>
      </c>
      <c r="AY43" s="302">
        <f t="shared" si="70"/>
        <v>1.959952816609847</v>
      </c>
      <c r="AZ43" s="302">
        <f t="shared" si="70"/>
        <v>2.0188201475663274</v>
      </c>
      <c r="BA43" s="302">
        <f t="shared" si="70"/>
        <v>2.0714017784411314</v>
      </c>
      <c r="BB43" s="302">
        <f t="shared" si="70"/>
        <v>2.1172430113819551</v>
      </c>
      <c r="BC43" s="302">
        <f t="shared" si="70"/>
        <v>2.1591141005898566</v>
      </c>
      <c r="BD43" s="302">
        <f t="shared" si="70"/>
        <v>2.1987098260305462</v>
      </c>
      <c r="BE43" s="302">
        <f t="shared" si="70"/>
        <v>2.2326030548099567</v>
      </c>
      <c r="BF43" s="302">
        <f t="shared" si="70"/>
        <v>2.2618444532285671</v>
      </c>
      <c r="BG43" s="302">
        <f t="shared" si="70"/>
        <v>2.2906458142121529</v>
      </c>
      <c r="BH43" s="302">
        <f t="shared" si="70"/>
        <v>2.314973800331189</v>
      </c>
      <c r="BI43" s="302">
        <f t="shared" si="70"/>
        <v>2.3354279262966711</v>
      </c>
      <c r="BJ43" s="302">
        <f t="shared" si="70"/>
        <v>2.3556311101269487</v>
      </c>
      <c r="BK43" s="302">
        <f t="shared" si="70"/>
        <v>2.3728001719891747</v>
      </c>
      <c r="BL43" s="302">
        <f t="shared" si="70"/>
        <v>2.3871575699003342</v>
      </c>
      <c r="BM43" s="302">
        <f t="shared" si="70"/>
        <v>2.4010816789523632</v>
      </c>
      <c r="BN43" s="302">
        <f t="shared" si="70"/>
        <v>2.4131058844405739</v>
      </c>
      <c r="BO43" s="775">
        <f t="shared" si="70"/>
        <v>2.4231357154829416</v>
      </c>
      <c r="BP43" s="223"/>
    </row>
    <row r="44" spans="3:188" ht="42" customHeight="1">
      <c r="C44" s="426"/>
      <c r="D44" s="425"/>
      <c r="E44" s="443">
        <v>-0.2</v>
      </c>
      <c r="F44" s="444">
        <f t="shared" si="68"/>
        <v>-0.40478251311758706</v>
      </c>
      <c r="G44" s="774">
        <f t="shared" ref="G44:AL44" si="71">G111*G178</f>
        <v>-0.81004800767368845</v>
      </c>
      <c r="H44" s="302">
        <f t="shared" si="71"/>
        <v>-0.7955442526574521</v>
      </c>
      <c r="I44" s="302">
        <f t="shared" si="71"/>
        <v>-0.78445850833446151</v>
      </c>
      <c r="J44" s="302">
        <f t="shared" si="71"/>
        <v>-0.770368004787087</v>
      </c>
      <c r="K44" s="302">
        <f t="shared" si="71"/>
        <v>-0.75329532970303981</v>
      </c>
      <c r="L44" s="302">
        <f t="shared" si="71"/>
        <v>-0.73395350416396299</v>
      </c>
      <c r="M44" s="302">
        <f t="shared" si="71"/>
        <v>-0.71393653116127809</v>
      </c>
      <c r="N44" s="302">
        <f t="shared" si="71"/>
        <v>-0.69544360760277846</v>
      </c>
      <c r="O44" s="302">
        <f t="shared" si="71"/>
        <v>-0.68035152093805362</v>
      </c>
      <c r="P44" s="302">
        <f t="shared" si="71"/>
        <v>-0.66913161695630607</v>
      </c>
      <c r="Q44" s="302">
        <f t="shared" si="71"/>
        <v>-0.660537892076418</v>
      </c>
      <c r="R44" s="302">
        <f t="shared" si="71"/>
        <v>-0.65226060872612279</v>
      </c>
      <c r="S44" s="302">
        <f t="shared" si="71"/>
        <v>-0.64321954934699543</v>
      </c>
      <c r="T44" s="302">
        <f t="shared" si="71"/>
        <v>-0.63488338555906909</v>
      </c>
      <c r="U44" s="302">
        <f t="shared" si="71"/>
        <v>-0.62812671401977416</v>
      </c>
      <c r="V44" s="302">
        <f t="shared" si="71"/>
        <v>-0.62222686136931071</v>
      </c>
      <c r="W44" s="302">
        <f t="shared" si="71"/>
        <v>-0.61488284484320499</v>
      </c>
      <c r="X44" s="302">
        <f t="shared" si="71"/>
        <v>-0.60315993799135481</v>
      </c>
      <c r="Y44" s="302">
        <f t="shared" si="71"/>
        <v>-0.58456738149375054</v>
      </c>
      <c r="Z44" s="302">
        <f t="shared" si="71"/>
        <v>-0.5609215502102598</v>
      </c>
      <c r="AA44" s="302">
        <f t="shared" si="71"/>
        <v>-0.53630242595098443</v>
      </c>
      <c r="AB44" s="302">
        <f t="shared" si="71"/>
        <v>-0.50364904160200485</v>
      </c>
      <c r="AC44" s="302">
        <f t="shared" si="71"/>
        <v>-0.47127462620209248</v>
      </c>
      <c r="AD44" s="302">
        <f t="shared" si="71"/>
        <v>-0.43513968992096197</v>
      </c>
      <c r="AE44" s="302">
        <f t="shared" si="71"/>
        <v>-0.3941382036686194</v>
      </c>
      <c r="AF44" s="302">
        <f t="shared" si="71"/>
        <v>-0.35626883031991119</v>
      </c>
      <c r="AG44" s="302">
        <f t="shared" si="71"/>
        <v>-0.31171801401500476</v>
      </c>
      <c r="AH44" s="302">
        <f t="shared" si="71"/>
        <v>-0.27028357383289736</v>
      </c>
      <c r="AI44" s="302">
        <f t="shared" si="71"/>
        <v>-0.22522253134567718</v>
      </c>
      <c r="AJ44" s="302">
        <f t="shared" si="71"/>
        <v>-0.17967275257091911</v>
      </c>
      <c r="AK44" s="302">
        <f t="shared" si="71"/>
        <v>-0.13441006158362648</v>
      </c>
      <c r="AL44" s="302">
        <f t="shared" si="71"/>
        <v>-8.6595554665327659E-2</v>
      </c>
      <c r="AM44" s="302">
        <f t="shared" ref="AM44:BO44" si="72">AM111*AM178</f>
        <v>-4.1263190542632625E-2</v>
      </c>
      <c r="AN44" s="302">
        <f t="shared" si="72"/>
        <v>6.9086398052491723E-3</v>
      </c>
      <c r="AO44" s="302">
        <f t="shared" si="72"/>
        <v>5.2253622209963539E-2</v>
      </c>
      <c r="AP44" s="302">
        <f t="shared" si="72"/>
        <v>1.1876049331184406</v>
      </c>
      <c r="AQ44" s="302">
        <f t="shared" si="72"/>
        <v>1.2800920406105674</v>
      </c>
      <c r="AR44" s="302">
        <f t="shared" si="72"/>
        <v>1.3735334764828999</v>
      </c>
      <c r="AS44" s="302">
        <f t="shared" si="72"/>
        <v>1.4660757524313852</v>
      </c>
      <c r="AT44" s="302">
        <f t="shared" si="72"/>
        <v>1.5559354048663148</v>
      </c>
      <c r="AU44" s="302">
        <f t="shared" si="72"/>
        <v>1.6415337291806078</v>
      </c>
      <c r="AV44" s="302">
        <f t="shared" si="72"/>
        <v>1.7215992175652799</v>
      </c>
      <c r="AW44" s="302">
        <f t="shared" si="72"/>
        <v>1.7952251533725363</v>
      </c>
      <c r="AX44" s="302">
        <f t="shared" si="72"/>
        <v>1.8642816021898718</v>
      </c>
      <c r="AY44" s="302">
        <f t="shared" si="72"/>
        <v>1.9309572529427241</v>
      </c>
      <c r="AZ44" s="302">
        <f t="shared" si="72"/>
        <v>1.9904890122838315</v>
      </c>
      <c r="BA44" s="302">
        <f t="shared" si="72"/>
        <v>2.0429782106589562</v>
      </c>
      <c r="BB44" s="302">
        <f t="shared" si="72"/>
        <v>2.0926926495475842</v>
      </c>
      <c r="BC44" s="302">
        <f t="shared" si="72"/>
        <v>2.1385001042199669</v>
      </c>
      <c r="BD44" s="302">
        <f t="shared" si="72"/>
        <v>2.1780553243173042</v>
      </c>
      <c r="BE44" s="302">
        <f t="shared" si="72"/>
        <v>2.2130937385791243</v>
      </c>
      <c r="BF44" s="302">
        <f t="shared" si="72"/>
        <v>2.2469681786502327</v>
      </c>
      <c r="BG44" s="302">
        <f t="shared" si="72"/>
        <v>2.2757509291318341</v>
      </c>
      <c r="BH44" s="302">
        <f t="shared" si="72"/>
        <v>2.3000703531959235</v>
      </c>
      <c r="BI44" s="302">
        <f t="shared" si="72"/>
        <v>2.3244087491518024</v>
      </c>
      <c r="BJ44" s="302">
        <f t="shared" si="72"/>
        <v>2.344913051890976</v>
      </c>
      <c r="BK44" s="302">
        <f t="shared" si="72"/>
        <v>2.3621293215209445</v>
      </c>
      <c r="BL44" s="302">
        <f t="shared" si="72"/>
        <v>2.3789909395759223</v>
      </c>
      <c r="BM44" s="302">
        <f t="shared" si="72"/>
        <v>2.3934834731039372</v>
      </c>
      <c r="BN44" s="302">
        <f t="shared" si="72"/>
        <v>2.4056256130692266</v>
      </c>
      <c r="BO44" s="775">
        <f t="shared" si="72"/>
        <v>2.4173381339721458</v>
      </c>
      <c r="BP44" s="223"/>
    </row>
    <row r="45" spans="3:188" ht="42" customHeight="1">
      <c r="C45" s="426"/>
      <c r="D45" s="425"/>
      <c r="E45" s="445">
        <v>-0.25</v>
      </c>
      <c r="F45" s="444">
        <f t="shared" si="68"/>
        <v>-0.52851717543578802</v>
      </c>
      <c r="G45" s="774">
        <f t="shared" ref="G45:AL45" si="73">G112*G179</f>
        <v>-0.87293549779043678</v>
      </c>
      <c r="H45" s="302">
        <f t="shared" si="73"/>
        <v>-0.85930684110301059</v>
      </c>
      <c r="I45" s="302">
        <f t="shared" si="73"/>
        <v>-0.84972520658658457</v>
      </c>
      <c r="J45" s="302">
        <f t="shared" si="73"/>
        <v>-0.83803141066517994</v>
      </c>
      <c r="K45" s="302">
        <f t="shared" si="73"/>
        <v>-0.82450102550345872</v>
      </c>
      <c r="L45" s="302">
        <f t="shared" si="73"/>
        <v>-0.80988805614330517</v>
      </c>
      <c r="M45" s="302">
        <f t="shared" si="73"/>
        <v>-0.79536992369036286</v>
      </c>
      <c r="N45" s="302">
        <f t="shared" si="73"/>
        <v>-0.78219185000579639</v>
      </c>
      <c r="O45" s="302">
        <f t="shared" si="73"/>
        <v>-0.77110816714510122</v>
      </c>
      <c r="P45" s="302">
        <f t="shared" si="73"/>
        <v>-0.7619785663224643</v>
      </c>
      <c r="Q45" s="302">
        <f t="shared" si="73"/>
        <v>-0.75380743081538393</v>
      </c>
      <c r="R45" s="302">
        <f t="shared" si="73"/>
        <v>-0.74512318579701031</v>
      </c>
      <c r="S45" s="302">
        <f t="shared" si="73"/>
        <v>-0.73517809390136057</v>
      </c>
      <c r="T45" s="302">
        <f t="shared" si="73"/>
        <v>-0.72466965661479366</v>
      </c>
      <c r="U45" s="302">
        <f t="shared" si="73"/>
        <v>-0.71403486582333886</v>
      </c>
      <c r="V45" s="302">
        <f t="shared" si="73"/>
        <v>-0.70291787134611394</v>
      </c>
      <c r="W45" s="302">
        <f t="shared" si="73"/>
        <v>-0.69003157576404506</v>
      </c>
      <c r="X45" s="302">
        <f t="shared" si="73"/>
        <v>-0.67346362458161046</v>
      </c>
      <c r="Y45" s="302">
        <f t="shared" si="73"/>
        <v>-0.65125173423581451</v>
      </c>
      <c r="Z45" s="302">
        <f t="shared" si="73"/>
        <v>-0.63213635726071538</v>
      </c>
      <c r="AA45" s="302">
        <f t="shared" si="73"/>
        <v>-0.60622881966194386</v>
      </c>
      <c r="AB45" s="302">
        <f t="shared" si="73"/>
        <v>-0.57635827880181312</v>
      </c>
      <c r="AC45" s="302">
        <f t="shared" si="73"/>
        <v>-0.54697219397271091</v>
      </c>
      <c r="AD45" s="302">
        <f t="shared" si="73"/>
        <v>-0.51075529571207356</v>
      </c>
      <c r="AE45" s="302">
        <f t="shared" si="73"/>
        <v>-0.47592550752609075</v>
      </c>
      <c r="AF45" s="302">
        <f t="shared" si="73"/>
        <v>-0.4381120976531464</v>
      </c>
      <c r="AG45" s="302">
        <f t="shared" si="73"/>
        <v>-0.39598595774924455</v>
      </c>
      <c r="AH45" s="302">
        <f t="shared" si="73"/>
        <v>-0.35740581662515492</v>
      </c>
      <c r="AI45" s="302">
        <f t="shared" si="73"/>
        <v>-0.31238863016612284</v>
      </c>
      <c r="AJ45" s="302">
        <f t="shared" si="73"/>
        <v>-0.27066975901036999</v>
      </c>
      <c r="AK45" s="302">
        <f t="shared" si="73"/>
        <v>-0.22543055047793598</v>
      </c>
      <c r="AL45" s="302">
        <f t="shared" si="73"/>
        <v>-0.1797742107014034</v>
      </c>
      <c r="AM45" s="302">
        <f t="shared" ref="AM45:BO45" si="74">AM112*AM179</f>
        <v>-0.13445064944753965</v>
      </c>
      <c r="AN45" s="302">
        <f t="shared" si="74"/>
        <v>-8.6604253818559851E-2</v>
      </c>
      <c r="AO45" s="302">
        <f t="shared" si="74"/>
        <v>-4.126054427018884E-2</v>
      </c>
      <c r="AP45" s="302">
        <f t="shared" si="74"/>
        <v>6.9072011680922883E-3</v>
      </c>
      <c r="AQ45" s="302">
        <f t="shared" si="74"/>
        <v>1.2363159069592971</v>
      </c>
      <c r="AR45" s="302">
        <f t="shared" si="74"/>
        <v>1.3296591039019521</v>
      </c>
      <c r="AS45" s="302">
        <f t="shared" si="74"/>
        <v>1.4220766642460918</v>
      </c>
      <c r="AT45" s="302">
        <f t="shared" si="74"/>
        <v>1.5117843464226863</v>
      </c>
      <c r="AU45" s="302">
        <f t="shared" si="74"/>
        <v>1.597205920961033</v>
      </c>
      <c r="AV45" s="302">
        <f t="shared" si="74"/>
        <v>1.677641835805483</v>
      </c>
      <c r="AW45" s="302">
        <f t="shared" si="74"/>
        <v>1.7574855347110234</v>
      </c>
      <c r="AX45" s="302">
        <f t="shared" si="74"/>
        <v>1.8309064914754705</v>
      </c>
      <c r="AY45" s="302">
        <f t="shared" si="74"/>
        <v>1.8973840294942554</v>
      </c>
      <c r="AZ45" s="302">
        <f t="shared" si="74"/>
        <v>1.9567403635001419</v>
      </c>
      <c r="BA45" s="302">
        <f t="shared" si="74"/>
        <v>2.0153836555682134</v>
      </c>
      <c r="BB45" s="302">
        <f t="shared" si="74"/>
        <v>2.0677931939411982</v>
      </c>
      <c r="BC45" s="302">
        <f t="shared" si="74"/>
        <v>2.1135110009204294</v>
      </c>
      <c r="BD45" s="302">
        <f t="shared" si="74"/>
        <v>2.1552937313693179</v>
      </c>
      <c r="BE45" s="302">
        <f t="shared" si="74"/>
        <v>2.1948213510058325</v>
      </c>
      <c r="BF45" s="302">
        <f t="shared" si="74"/>
        <v>2.2286594230860928</v>
      </c>
      <c r="BG45" s="302">
        <f t="shared" si="74"/>
        <v>2.2578571984166427</v>
      </c>
      <c r="BH45" s="302">
        <f t="shared" si="74"/>
        <v>2.2866414326738655</v>
      </c>
      <c r="BI45" s="302">
        <f t="shared" si="74"/>
        <v>2.3110014883351839</v>
      </c>
      <c r="BJ45" s="302">
        <f t="shared" si="74"/>
        <v>2.3315484043325458</v>
      </c>
      <c r="BK45" s="302">
        <f t="shared" si="74"/>
        <v>2.3519078881696069</v>
      </c>
      <c r="BL45" s="302">
        <f t="shared" si="74"/>
        <v>2.3693044222083146</v>
      </c>
      <c r="BM45" s="302">
        <f t="shared" si="74"/>
        <v>2.3839556173594763</v>
      </c>
      <c r="BN45" s="302">
        <f t="shared" si="74"/>
        <v>2.3982248648169424</v>
      </c>
      <c r="BO45" s="775">
        <f t="shared" si="74"/>
        <v>2.4106296532873248</v>
      </c>
      <c r="BP45" s="223"/>
    </row>
    <row r="46" spans="3:188" ht="42" customHeight="1">
      <c r="C46" s="426"/>
      <c r="D46" s="425"/>
      <c r="E46" s="443">
        <v>-0.3</v>
      </c>
      <c r="F46" s="444">
        <f t="shared" si="68"/>
        <v>-0.63795450899740436</v>
      </c>
      <c r="G46" s="774">
        <f t="shared" ref="G46:AL46" si="75">G113*G180</f>
        <v>-0.92928185413500453</v>
      </c>
      <c r="H46" s="302">
        <f t="shared" si="75"/>
        <v>-0.91671895276642623</v>
      </c>
      <c r="I46" s="302">
        <f t="shared" si="75"/>
        <v>-0.90879304679547124</v>
      </c>
      <c r="J46" s="302">
        <f t="shared" si="75"/>
        <v>-0.89948151246920882</v>
      </c>
      <c r="K46" s="302">
        <f t="shared" si="75"/>
        <v>-0.88911360484263391</v>
      </c>
      <c r="L46" s="302">
        <f t="shared" si="75"/>
        <v>-0.87827680835676802</v>
      </c>
      <c r="M46" s="302">
        <f t="shared" si="75"/>
        <v>-0.86769001159737613</v>
      </c>
      <c r="N46" s="302">
        <f t="shared" si="75"/>
        <v>-0.857946798299977</v>
      </c>
      <c r="O46" s="302">
        <f t="shared" si="75"/>
        <v>-0.84924623108131048</v>
      </c>
      <c r="P46" s="302">
        <f t="shared" si="75"/>
        <v>-0.84127330992758464</v>
      </c>
      <c r="Q46" s="302">
        <f t="shared" si="75"/>
        <v>-0.83328473066218722</v>
      </c>
      <c r="R46" s="302">
        <f t="shared" si="75"/>
        <v>-0.82430651229806939</v>
      </c>
      <c r="S46" s="302">
        <f t="shared" si="75"/>
        <v>-0.81377549930299331</v>
      </c>
      <c r="T46" s="302">
        <f t="shared" si="75"/>
        <v>-0.80194081346940327</v>
      </c>
      <c r="U46" s="302">
        <f t="shared" si="75"/>
        <v>-0.78891875382622489</v>
      </c>
      <c r="V46" s="302">
        <f t="shared" si="75"/>
        <v>-0.77441485430199053</v>
      </c>
      <c r="W46" s="302">
        <f t="shared" si="75"/>
        <v>-0.75760871638126104</v>
      </c>
      <c r="X46" s="302">
        <f t="shared" si="75"/>
        <v>-0.73722998208688451</v>
      </c>
      <c r="Y46" s="302">
        <f t="shared" si="75"/>
        <v>-0.7186796146723039</v>
      </c>
      <c r="Z46" s="302">
        <f t="shared" si="75"/>
        <v>-0.69734249383370006</v>
      </c>
      <c r="AA46" s="302">
        <f t="shared" si="75"/>
        <v>-0.669927870239578</v>
      </c>
      <c r="AB46" s="302">
        <f t="shared" si="75"/>
        <v>-0.64617113922746461</v>
      </c>
      <c r="AC46" s="302">
        <f t="shared" si="75"/>
        <v>-0.61630412378541077</v>
      </c>
      <c r="AD46" s="302">
        <f t="shared" si="75"/>
        <v>-0.58334816509486931</v>
      </c>
      <c r="AE46" s="302">
        <f t="shared" si="75"/>
        <v>-0.5517202076005665</v>
      </c>
      <c r="AF46" s="302">
        <f t="shared" si="75"/>
        <v>-0.51388151638675161</v>
      </c>
      <c r="AG46" s="302">
        <f t="shared" si="75"/>
        <v>-0.4779542486348563</v>
      </c>
      <c r="AH46" s="302">
        <f t="shared" si="75"/>
        <v>-0.43939765390169994</v>
      </c>
      <c r="AI46" s="302">
        <f t="shared" si="75"/>
        <v>-0.39677503106834472</v>
      </c>
      <c r="AJ46" s="302">
        <f t="shared" si="75"/>
        <v>-0.35787984315646648</v>
      </c>
      <c r="AK46" s="302">
        <f t="shared" si="75"/>
        <v>-0.31265452478407557</v>
      </c>
      <c r="AL46" s="302">
        <f t="shared" si="75"/>
        <v>-0.27080654895712108</v>
      </c>
      <c r="AM46" s="302">
        <f t="shared" ref="AM46:BO46" si="76">AM113*AM180</f>
        <v>-0.22548551736951877</v>
      </c>
      <c r="AN46" s="302">
        <f t="shared" si="76"/>
        <v>-0.17978030439049728</v>
      </c>
      <c r="AO46" s="302">
        <f t="shared" si="76"/>
        <v>-0.13443077051308086</v>
      </c>
      <c r="AP46" s="302">
        <f t="shared" si="76"/>
        <v>-8.657672641251056E-2</v>
      </c>
      <c r="AQ46" s="302">
        <f t="shared" si="76"/>
        <v>-4.1240454560797467E-2</v>
      </c>
      <c r="AR46" s="302">
        <f t="shared" si="76"/>
        <v>1.2791668956586753</v>
      </c>
      <c r="AS46" s="302">
        <f t="shared" si="76"/>
        <v>1.3722622987736333</v>
      </c>
      <c r="AT46" s="302">
        <f t="shared" si="76"/>
        <v>1.4643912114135935</v>
      </c>
      <c r="AU46" s="302">
        <f t="shared" si="76"/>
        <v>1.5537769892672737</v>
      </c>
      <c r="AV46" s="302">
        <f t="shared" si="76"/>
        <v>1.6388573328569012</v>
      </c>
      <c r="AW46" s="302">
        <f t="shared" si="76"/>
        <v>1.7183856971198417</v>
      </c>
      <c r="AX46" s="302">
        <f t="shared" si="76"/>
        <v>1.7914855071021871</v>
      </c>
      <c r="AY46" s="302">
        <f t="shared" si="76"/>
        <v>1.8600515835710041</v>
      </c>
      <c r="AZ46" s="302">
        <f t="shared" si="76"/>
        <v>1.926290613451644</v>
      </c>
      <c r="BA46" s="302">
        <f t="shared" si="76"/>
        <v>1.9854657261559177</v>
      </c>
      <c r="BB46" s="302">
        <f t="shared" si="76"/>
        <v>2.0376833471323579</v>
      </c>
      <c r="BC46" s="302">
        <f t="shared" si="76"/>
        <v>2.0871947398970399</v>
      </c>
      <c r="BD46" s="302">
        <f t="shared" si="76"/>
        <v>2.1328565896359728</v>
      </c>
      <c r="BE46" s="302">
        <f t="shared" si="76"/>
        <v>2.172310326450372</v>
      </c>
      <c r="BF46" s="302">
        <f t="shared" si="76"/>
        <v>2.2072642807052505</v>
      </c>
      <c r="BG46" s="302">
        <f t="shared" si="76"/>
        <v>2.2410630480056706</v>
      </c>
      <c r="BH46" s="302">
        <f t="shared" si="76"/>
        <v>2.2698268624385096</v>
      </c>
      <c r="BI46" s="302">
        <f t="shared" si="76"/>
        <v>2.2942085857078394</v>
      </c>
      <c r="BJ46" s="302">
        <f t="shared" si="76"/>
        <v>2.3186999861065263</v>
      </c>
      <c r="BK46" s="302">
        <f t="shared" si="76"/>
        <v>2.3394713125612392</v>
      </c>
      <c r="BL46" s="302">
        <f t="shared" si="76"/>
        <v>2.3570693202041508</v>
      </c>
      <c r="BM46" s="302">
        <f t="shared" si="76"/>
        <v>2.3744102646163658</v>
      </c>
      <c r="BN46" s="302">
        <f t="shared" si="76"/>
        <v>2.3894605177482902</v>
      </c>
      <c r="BO46" s="775">
        <f t="shared" si="76"/>
        <v>2.4022049358898898</v>
      </c>
      <c r="BP46" s="223"/>
    </row>
    <row r="47" spans="3:188" ht="42" customHeight="1">
      <c r="C47" s="426"/>
      <c r="D47" s="425"/>
      <c r="E47" s="445">
        <v>-0.35</v>
      </c>
      <c r="F47" s="444">
        <f t="shared" si="68"/>
        <v>-0.73362232512125924</v>
      </c>
      <c r="G47" s="774">
        <f t="shared" ref="G47:AL47" si="77">G114*G181</f>
        <v>-0.97911347510142444</v>
      </c>
      <c r="H47" s="302">
        <f t="shared" si="77"/>
        <v>-0.9676386007824751</v>
      </c>
      <c r="I47" s="302">
        <f t="shared" si="77"/>
        <v>-0.96127258047628172</v>
      </c>
      <c r="J47" s="302">
        <f t="shared" si="77"/>
        <v>-0.95402260941521277</v>
      </c>
      <c r="K47" s="302">
        <f t="shared" si="77"/>
        <v>-0.94615887380144215</v>
      </c>
      <c r="L47" s="302">
        <f t="shared" si="77"/>
        <v>-0.93805701999320013</v>
      </c>
      <c r="M47" s="302">
        <f t="shared" si="77"/>
        <v>-0.93008799867814618</v>
      </c>
      <c r="N47" s="302">
        <f t="shared" si="77"/>
        <v>-0.92247123577205403</v>
      </c>
      <c r="O47" s="302">
        <f t="shared" si="77"/>
        <v>-0.91516138182557294</v>
      </c>
      <c r="P47" s="302">
        <f t="shared" si="77"/>
        <v>-0.90782539622984115</v>
      </c>
      <c r="Q47" s="302">
        <f t="shared" si="77"/>
        <v>-0.89990611095564821</v>
      </c>
      <c r="R47" s="302">
        <f t="shared" si="77"/>
        <v>-0.89072041380716638</v>
      </c>
      <c r="S47" s="302">
        <f t="shared" si="77"/>
        <v>-0.87980827216094171</v>
      </c>
      <c r="T47" s="302">
        <f t="shared" si="77"/>
        <v>-0.86715843805815285</v>
      </c>
      <c r="U47" s="302">
        <f t="shared" si="77"/>
        <v>-0.8526761004689023</v>
      </c>
      <c r="V47" s="302">
        <f t="shared" si="77"/>
        <v>-0.83603690893540472</v>
      </c>
      <c r="W47" s="302">
        <f t="shared" si="77"/>
        <v>-0.8166152006365045</v>
      </c>
      <c r="X47" s="302">
        <f t="shared" si="77"/>
        <v>-0.79787265451637845</v>
      </c>
      <c r="Y47" s="302">
        <f t="shared" si="77"/>
        <v>-0.77917893997989673</v>
      </c>
      <c r="Z47" s="302">
        <f t="shared" si="77"/>
        <v>-0.75588600533484152</v>
      </c>
      <c r="AA47" s="302">
        <f t="shared" si="77"/>
        <v>-0.73401713105440403</v>
      </c>
      <c r="AB47" s="302">
        <f t="shared" si="77"/>
        <v>-0.70933288466392619</v>
      </c>
      <c r="AC47" s="302">
        <f t="shared" si="77"/>
        <v>-0.67886450745175153</v>
      </c>
      <c r="AD47" s="302">
        <f t="shared" si="77"/>
        <v>-0.65265855327381539</v>
      </c>
      <c r="AE47" s="302">
        <f t="shared" si="77"/>
        <v>-0.62084997534914133</v>
      </c>
      <c r="AF47" s="302">
        <f t="shared" si="77"/>
        <v>-0.5864484419700331</v>
      </c>
      <c r="AG47" s="302">
        <f t="shared" si="77"/>
        <v>-0.55379843649671057</v>
      </c>
      <c r="AH47" s="302">
        <f t="shared" si="77"/>
        <v>-0.51523219373049767</v>
      </c>
      <c r="AI47" s="302">
        <f t="shared" si="77"/>
        <v>-0.47881512889002076</v>
      </c>
      <c r="AJ47" s="302">
        <f t="shared" si="77"/>
        <v>-0.43992575380605697</v>
      </c>
      <c r="AK47" s="302">
        <f t="shared" si="77"/>
        <v>-0.39707804310729755</v>
      </c>
      <c r="AL47" s="302">
        <f t="shared" si="77"/>
        <v>-0.35803544821391908</v>
      </c>
      <c r="AM47" s="302">
        <f t="shared" ref="AM47:BO47" si="78">AM114*AM181</f>
        <v>-0.3127094290736831</v>
      </c>
      <c r="AN47" s="302">
        <f t="shared" si="78"/>
        <v>-0.2707946392643536</v>
      </c>
      <c r="AO47" s="302">
        <f t="shared" si="78"/>
        <v>-0.22542987472766768</v>
      </c>
      <c r="AP47" s="302">
        <f t="shared" si="78"/>
        <v>-0.17969944484047501</v>
      </c>
      <c r="AQ47" s="302">
        <f t="shared" si="78"/>
        <v>-0.13434138617075597</v>
      </c>
      <c r="AR47" s="302">
        <f t="shared" si="78"/>
        <v>-8.6498885842676856E-2</v>
      </c>
      <c r="AS47" s="302">
        <f t="shared" si="78"/>
        <v>1.3280312005330788</v>
      </c>
      <c r="AT47" s="302">
        <f t="shared" si="78"/>
        <v>1.4198764279873388</v>
      </c>
      <c r="AU47" s="302">
        <f t="shared" si="78"/>
        <v>1.5089085797155188</v>
      </c>
      <c r="AV47" s="302">
        <f t="shared" si="78"/>
        <v>1.5935714096742448</v>
      </c>
      <c r="AW47" s="302">
        <f t="shared" si="78"/>
        <v>1.6731994388628015</v>
      </c>
      <c r="AX47" s="302">
        <f t="shared" si="78"/>
        <v>1.752216802180705</v>
      </c>
      <c r="AY47" s="302">
        <f t="shared" si="78"/>
        <v>1.824855984841836</v>
      </c>
      <c r="AZ47" s="302">
        <f t="shared" si="78"/>
        <v>1.8906428770342443</v>
      </c>
      <c r="BA47" s="302">
        <f t="shared" si="78"/>
        <v>1.9494319494337535</v>
      </c>
      <c r="BB47" s="302">
        <f t="shared" si="78"/>
        <v>2.0076196938605579</v>
      </c>
      <c r="BC47" s="302">
        <f t="shared" si="78"/>
        <v>2.0596996101631495</v>
      </c>
      <c r="BD47" s="302">
        <f t="shared" si="78"/>
        <v>2.1051941085616881</v>
      </c>
      <c r="BE47" s="302">
        <f t="shared" si="78"/>
        <v>2.1468165136391559</v>
      </c>
      <c r="BF47" s="302">
        <f t="shared" si="78"/>
        <v>2.1862019404853723</v>
      </c>
      <c r="BG47" s="302">
        <f t="shared" si="78"/>
        <v>2.2199301291875901</v>
      </c>
      <c r="BH47" s="302">
        <f t="shared" si="78"/>
        <v>2.2491097592048765</v>
      </c>
      <c r="BI47" s="302">
        <f t="shared" si="78"/>
        <v>2.2779957817317982</v>
      </c>
      <c r="BJ47" s="302">
        <f t="shared" si="78"/>
        <v>2.3026274999009551</v>
      </c>
      <c r="BK47" s="302">
        <f t="shared" si="78"/>
        <v>2.3236329334320134</v>
      </c>
      <c r="BL47" s="302">
        <f t="shared" si="78"/>
        <v>2.3446242999981015</v>
      </c>
      <c r="BM47" s="302">
        <f t="shared" si="78"/>
        <v>2.362810518080948</v>
      </c>
      <c r="BN47" s="302">
        <f t="shared" si="78"/>
        <v>2.3783607012781571</v>
      </c>
      <c r="BO47" s="775">
        <f t="shared" si="78"/>
        <v>2.3935715140295764</v>
      </c>
      <c r="BP47" s="223"/>
    </row>
    <row r="48" spans="3:188" ht="42" customHeight="1">
      <c r="C48" s="426"/>
      <c r="D48" s="425"/>
      <c r="E48" s="443">
        <v>-0.4</v>
      </c>
      <c r="F48" s="444">
        <f t="shared" si="68"/>
        <v>-0.81640273746870484</v>
      </c>
      <c r="G48" s="774">
        <f t="shared" ref="G48:AL48" si="79">G115*G182</f>
        <v>-1.0226281602701677</v>
      </c>
      <c r="H48" s="302">
        <f t="shared" si="79"/>
        <v>-1.0121391214378801</v>
      </c>
      <c r="I48" s="302">
        <f t="shared" si="79"/>
        <v>-1.0070920319208307</v>
      </c>
      <c r="J48" s="302">
        <f t="shared" si="79"/>
        <v>-1.0014625756599034</v>
      </c>
      <c r="K48" s="302">
        <f t="shared" si="79"/>
        <v>-0.99542703377875608</v>
      </c>
      <c r="L48" s="302">
        <f t="shared" si="79"/>
        <v>-0.98918463850930161</v>
      </c>
      <c r="M48" s="302">
        <f t="shared" si="79"/>
        <v>-0.98288480058126404</v>
      </c>
      <c r="N48" s="302">
        <f t="shared" si="79"/>
        <v>-0.97655290883456447</v>
      </c>
      <c r="O48" s="302">
        <f t="shared" si="79"/>
        <v>-0.97004695547263309</v>
      </c>
      <c r="P48" s="302">
        <f t="shared" si="79"/>
        <v>-0.96306030948755639</v>
      </c>
      <c r="Q48" s="302">
        <f t="shared" si="79"/>
        <v>-0.95515908245522396</v>
      </c>
      <c r="R48" s="302">
        <f t="shared" si="79"/>
        <v>-0.94582917733232186</v>
      </c>
      <c r="S48" s="302">
        <f t="shared" si="79"/>
        <v>-0.93466847070206494</v>
      </c>
      <c r="T48" s="302">
        <f t="shared" si="79"/>
        <v>-0.92151426661766556</v>
      </c>
      <c r="U48" s="302">
        <f t="shared" si="79"/>
        <v>-0.90613911904422095</v>
      </c>
      <c r="V48" s="302">
        <f t="shared" si="79"/>
        <v>-0.88817302511877338</v>
      </c>
      <c r="W48" s="302">
        <f t="shared" si="79"/>
        <v>-0.86969018548757759</v>
      </c>
      <c r="X48" s="302">
        <f t="shared" si="79"/>
        <v>-0.85277713330581439</v>
      </c>
      <c r="Y48" s="302">
        <f t="shared" si="79"/>
        <v>-0.83233761270719864</v>
      </c>
      <c r="Z48" s="302">
        <f t="shared" si="79"/>
        <v>-0.81195130455649678</v>
      </c>
      <c r="AA48" s="302">
        <f t="shared" si="79"/>
        <v>-0.79118678824115807</v>
      </c>
      <c r="AB48" s="302">
        <f t="shared" si="79"/>
        <v>-0.76561457365229413</v>
      </c>
      <c r="AC48" s="302">
        <f t="shared" si="79"/>
        <v>-0.74160238842247306</v>
      </c>
      <c r="AD48" s="302">
        <f t="shared" si="79"/>
        <v>-0.71502507457718045</v>
      </c>
      <c r="AE48" s="302">
        <f t="shared" si="79"/>
        <v>-0.6829786341344618</v>
      </c>
      <c r="AF48" s="302">
        <f t="shared" si="79"/>
        <v>-0.6555766345053301</v>
      </c>
      <c r="AG48" s="302">
        <f t="shared" si="79"/>
        <v>-0.62285645839876758</v>
      </c>
      <c r="AH48" s="302">
        <f t="shared" si="79"/>
        <v>-0.58779147677555854</v>
      </c>
      <c r="AI48" s="302">
        <f t="shared" si="79"/>
        <v>-0.55467644745781164</v>
      </c>
      <c r="AJ48" s="302">
        <f t="shared" si="79"/>
        <v>-0.51577837593697917</v>
      </c>
      <c r="AK48" s="302">
        <f t="shared" si="79"/>
        <v>-0.47913293868224294</v>
      </c>
      <c r="AL48" s="302">
        <f t="shared" si="79"/>
        <v>-0.44008177200229937</v>
      </c>
      <c r="AM48" s="302">
        <f t="shared" ref="AM48:BO48" si="80">AM115*AM182</f>
        <v>-0.39711723485410799</v>
      </c>
      <c r="AN48" s="302">
        <f t="shared" si="80"/>
        <v>-0.35798824455864314</v>
      </c>
      <c r="AO48" s="302">
        <f t="shared" si="80"/>
        <v>-0.31259694985786401</v>
      </c>
      <c r="AP48" s="302">
        <f t="shared" si="80"/>
        <v>-0.27063124827410689</v>
      </c>
      <c r="AQ48" s="302">
        <f t="shared" si="80"/>
        <v>-0.22523209622783241</v>
      </c>
      <c r="AR48" s="302">
        <f t="shared" si="80"/>
        <v>-0.17948537496337602</v>
      </c>
      <c r="AS48" s="302">
        <f t="shared" si="80"/>
        <v>-0.13413333758624618</v>
      </c>
      <c r="AT48" s="302">
        <f t="shared" si="80"/>
        <v>1.3694561075270431</v>
      </c>
      <c r="AU48" s="302">
        <f t="shared" si="80"/>
        <v>1.460633148274376</v>
      </c>
      <c r="AV48" s="302">
        <f t="shared" si="80"/>
        <v>1.548909723912465</v>
      </c>
      <c r="AW48" s="302">
        <f t="shared" si="80"/>
        <v>1.6327687627741765</v>
      </c>
      <c r="AX48" s="302">
        <f t="shared" si="80"/>
        <v>1.7110342151462425</v>
      </c>
      <c r="AY48" s="302">
        <f t="shared" si="80"/>
        <v>1.7829144776055021</v>
      </c>
      <c r="AZ48" s="302">
        <f t="shared" si="80"/>
        <v>1.8503742828512553</v>
      </c>
      <c r="BA48" s="302">
        <f t="shared" si="80"/>
        <v>1.9156669545176326</v>
      </c>
      <c r="BB48" s="302">
        <f t="shared" si="80"/>
        <v>1.9741104127673483</v>
      </c>
      <c r="BC48" s="302">
        <f t="shared" si="80"/>
        <v>2.0258076132853864</v>
      </c>
      <c r="BD48" s="302">
        <f t="shared" si="80"/>
        <v>2.0749514905781856</v>
      </c>
      <c r="BE48" s="302">
        <f t="shared" si="80"/>
        <v>2.1203508147239765</v>
      </c>
      <c r="BF48" s="302">
        <f t="shared" si="80"/>
        <v>2.1595954110425444</v>
      </c>
      <c r="BG48" s="302">
        <f t="shared" si="80"/>
        <v>2.1943840846763711</v>
      </c>
      <c r="BH48" s="302">
        <f t="shared" si="80"/>
        <v>2.2281504687553886</v>
      </c>
      <c r="BI48" s="302">
        <f t="shared" si="80"/>
        <v>2.257113468110084</v>
      </c>
      <c r="BJ48" s="302">
        <f t="shared" si="80"/>
        <v>2.2819778914500932</v>
      </c>
      <c r="BK48" s="302">
        <f t="shared" si="80"/>
        <v>2.3072391481181311</v>
      </c>
      <c r="BL48" s="302">
        <f t="shared" si="80"/>
        <v>2.3290754966952192</v>
      </c>
      <c r="BM48" s="302">
        <f t="shared" si="80"/>
        <v>2.3479733163788774</v>
      </c>
      <c r="BN48" s="302">
        <f t="shared" si="80"/>
        <v>2.3667455275458158</v>
      </c>
      <c r="BO48" s="775">
        <f t="shared" si="80"/>
        <v>2.3832575097912367</v>
      </c>
      <c r="BP48" s="223"/>
    </row>
    <row r="49" spans="3:68" ht="42" customHeight="1">
      <c r="C49" s="426"/>
      <c r="D49" s="425"/>
      <c r="E49" s="445">
        <v>-0.45</v>
      </c>
      <c r="F49" s="444">
        <f t="shared" si="68"/>
        <v>-0.88740071363613016</v>
      </c>
      <c r="G49" s="774">
        <f t="shared" ref="G49:AL49" si="81">G116*G183</f>
        <v>-1.0601781269969301</v>
      </c>
      <c r="H49" s="302">
        <f t="shared" si="81"/>
        <v>-1.0505073112037353</v>
      </c>
      <c r="I49" s="302">
        <f t="shared" si="81"/>
        <v>-1.0464907996738959</v>
      </c>
      <c r="J49" s="302">
        <f t="shared" si="81"/>
        <v>-1.0420508653942333</v>
      </c>
      <c r="K49" s="302">
        <f t="shared" si="81"/>
        <v>-1.0372776962173962</v>
      </c>
      <c r="L49" s="302">
        <f t="shared" si="81"/>
        <v>-1.0322484682944955</v>
      </c>
      <c r="M49" s="302">
        <f t="shared" si="81"/>
        <v>-1.0269851297257973</v>
      </c>
      <c r="N49" s="302">
        <f t="shared" si="81"/>
        <v>-1.021419158804473</v>
      </c>
      <c r="O49" s="302">
        <f t="shared" si="81"/>
        <v>-1.0153758007264773</v>
      </c>
      <c r="P49" s="302">
        <f t="shared" si="81"/>
        <v>-1.0085799826321764</v>
      </c>
      <c r="Q49" s="302">
        <f t="shared" si="81"/>
        <v>-1.0006755262718781</v>
      </c>
      <c r="R49" s="302">
        <f t="shared" si="81"/>
        <v>-0.99124642145701136</v>
      </c>
      <c r="S49" s="302">
        <f t="shared" si="81"/>
        <v>-0.97992321383092984</v>
      </c>
      <c r="T49" s="302">
        <f t="shared" si="81"/>
        <v>-0.96645481234655639</v>
      </c>
      <c r="U49" s="302">
        <f t="shared" si="81"/>
        <v>-0.95053229355555469</v>
      </c>
      <c r="V49" s="302">
        <f t="shared" si="81"/>
        <v>-0.93316308951228089</v>
      </c>
      <c r="W49" s="302">
        <f t="shared" si="81"/>
        <v>-0.91799430368441248</v>
      </c>
      <c r="X49" s="302">
        <f t="shared" si="81"/>
        <v>-0.899916880444392</v>
      </c>
      <c r="Y49" s="302">
        <f t="shared" si="81"/>
        <v>-0.88092167534408816</v>
      </c>
      <c r="Z49" s="302">
        <f t="shared" si="81"/>
        <v>-0.86310628589995186</v>
      </c>
      <c r="AA49" s="302">
        <f t="shared" si="81"/>
        <v>-0.84139572320850475</v>
      </c>
      <c r="AB49" s="302">
        <f t="shared" si="81"/>
        <v>-0.8195634089923064</v>
      </c>
      <c r="AC49" s="302">
        <f t="shared" si="81"/>
        <v>-0.79733234689777033</v>
      </c>
      <c r="AD49" s="302">
        <f t="shared" si="81"/>
        <v>-0.77037350271861205</v>
      </c>
      <c r="AE49" s="302">
        <f t="shared" si="81"/>
        <v>-0.74518100839337154</v>
      </c>
      <c r="AF49" s="302">
        <f t="shared" si="81"/>
        <v>-0.71763360586304159</v>
      </c>
      <c r="AG49" s="302">
        <f t="shared" si="81"/>
        <v>-0.68481748404425757</v>
      </c>
      <c r="AH49" s="302">
        <f t="shared" si="81"/>
        <v>-0.65684808564670449</v>
      </c>
      <c r="AI49" s="302">
        <f t="shared" si="81"/>
        <v>-0.6237015065022109</v>
      </c>
      <c r="AJ49" s="302">
        <f t="shared" si="81"/>
        <v>-0.58832479446590058</v>
      </c>
      <c r="AK49" s="302">
        <f t="shared" si="81"/>
        <v>-0.55498441126737386</v>
      </c>
      <c r="AL49" s="302">
        <f t="shared" si="81"/>
        <v>-0.51591640708691688</v>
      </c>
      <c r="AM49" s="302">
        <f t="shared" ref="AM49:BO49" si="82">AM116*AM183</f>
        <v>-0.47914032927200711</v>
      </c>
      <c r="AN49" s="302">
        <f t="shared" si="82"/>
        <v>-0.43998174972381759</v>
      </c>
      <c r="AO49" s="302">
        <f t="shared" si="82"/>
        <v>-0.39692506111668352</v>
      </c>
      <c r="AP49" s="302">
        <f t="shared" si="82"/>
        <v>-0.35771050867962073</v>
      </c>
      <c r="AQ49" s="302">
        <f t="shared" si="82"/>
        <v>-0.3122462433463879</v>
      </c>
      <c r="AR49" s="302">
        <f t="shared" si="82"/>
        <v>-0.27021519078112377</v>
      </c>
      <c r="AS49" s="302">
        <f t="shared" si="82"/>
        <v>-0.2247746504149975</v>
      </c>
      <c r="AT49" s="302">
        <f t="shared" si="82"/>
        <v>-0.17901841295641038</v>
      </c>
      <c r="AU49" s="302">
        <f t="shared" si="82"/>
        <v>1.4150547997665621</v>
      </c>
      <c r="AV49" s="302">
        <f t="shared" si="82"/>
        <v>1.5025100611031421</v>
      </c>
      <c r="AW49" s="302">
        <f t="shared" si="82"/>
        <v>1.5853796994706761</v>
      </c>
      <c r="AX49" s="302">
        <f t="shared" si="82"/>
        <v>1.6630942510724214</v>
      </c>
      <c r="AY49" s="302">
        <f t="shared" si="82"/>
        <v>1.7401749666563995</v>
      </c>
      <c r="AZ49" s="302">
        <f t="shared" si="82"/>
        <v>1.8110254701095543</v>
      </c>
      <c r="BA49" s="302">
        <f t="shared" si="82"/>
        <v>1.8752945701731634</v>
      </c>
      <c r="BB49" s="302">
        <f t="shared" si="82"/>
        <v>1.9329075799048712</v>
      </c>
      <c r="BC49" s="302">
        <f t="shared" si="82"/>
        <v>1.9902123528206703</v>
      </c>
      <c r="BD49" s="302">
        <f t="shared" si="82"/>
        <v>2.0416981627785762</v>
      </c>
      <c r="BE49" s="302">
        <f t="shared" si="82"/>
        <v>2.0868008476608972</v>
      </c>
      <c r="BF49" s="302">
        <f t="shared" si="82"/>
        <v>2.1280968315958231</v>
      </c>
      <c r="BG49" s="302">
        <f t="shared" si="82"/>
        <v>2.1672066862450574</v>
      </c>
      <c r="BH49" s="302">
        <f t="shared" si="82"/>
        <v>2.2009266626747461</v>
      </c>
      <c r="BI49" s="302">
        <f t="shared" si="82"/>
        <v>2.2304859225748817</v>
      </c>
      <c r="BJ49" s="302">
        <f t="shared" si="82"/>
        <v>2.2601961124855467</v>
      </c>
      <c r="BK49" s="302">
        <f t="shared" si="82"/>
        <v>2.2861632477512948</v>
      </c>
      <c r="BL49" s="302">
        <f t="shared" si="82"/>
        <v>2.3089645852862071</v>
      </c>
      <c r="BM49" s="302">
        <f t="shared" si="82"/>
        <v>2.3320678738582639</v>
      </c>
      <c r="BN49" s="302">
        <f t="shared" si="82"/>
        <v>2.3525242595786739</v>
      </c>
      <c r="BO49" s="775">
        <f t="shared" si="82"/>
        <v>2.3703094323311897</v>
      </c>
      <c r="BP49" s="223"/>
    </row>
    <row r="50" spans="3:68" ht="42" customHeight="1">
      <c r="C50" s="426"/>
      <c r="D50" s="425"/>
      <c r="E50" s="443">
        <v>-0.5</v>
      </c>
      <c r="F50" s="444">
        <f t="shared" si="68"/>
        <v>-0.94783257572967727</v>
      </c>
      <c r="G50" s="774">
        <f t="shared" ref="G50:AL50" si="83">G117*G184</f>
        <v>-1.0922376795915394</v>
      </c>
      <c r="H50" s="302">
        <f t="shared" si="83"/>
        <v>-1.0832022873980192</v>
      </c>
      <c r="I50" s="302">
        <f t="shared" si="83"/>
        <v>-1.0799453070004263</v>
      </c>
      <c r="J50" s="302">
        <f t="shared" si="83"/>
        <v>-1.0763366858811247</v>
      </c>
      <c r="K50" s="302">
        <f t="shared" si="83"/>
        <v>-1.0724024383065369</v>
      </c>
      <c r="L50" s="302">
        <f t="shared" si="83"/>
        <v>-1.0681437393430016</v>
      </c>
      <c r="M50" s="302">
        <f t="shared" si="83"/>
        <v>-1.0635137901330194</v>
      </c>
      <c r="N50" s="302">
        <f t="shared" si="83"/>
        <v>-1.058401126802031</v>
      </c>
      <c r="O50" s="302">
        <f t="shared" si="83"/>
        <v>-1.0526235046413683</v>
      </c>
      <c r="P50" s="302">
        <f t="shared" si="83"/>
        <v>-1.0459314163687956</v>
      </c>
      <c r="Q50" s="302">
        <f t="shared" si="83"/>
        <v>-1.0380164480099554</v>
      </c>
      <c r="R50" s="302">
        <f t="shared" si="83"/>
        <v>-1.0285195876305504</v>
      </c>
      <c r="S50" s="302">
        <f t="shared" si="83"/>
        <v>-1.0170898897951608</v>
      </c>
      <c r="T50" s="302">
        <f t="shared" si="83"/>
        <v>-1.003424436166513</v>
      </c>
      <c r="U50" s="302">
        <f t="shared" si="83"/>
        <v>-0.98777338956340122</v>
      </c>
      <c r="V50" s="302">
        <f t="shared" si="83"/>
        <v>-0.97450748634661777</v>
      </c>
      <c r="W50" s="302">
        <f t="shared" si="83"/>
        <v>-0.95871515322463197</v>
      </c>
      <c r="X50" s="302">
        <f t="shared" si="83"/>
        <v>-0.94131435561129639</v>
      </c>
      <c r="Y50" s="302">
        <f t="shared" si="83"/>
        <v>-0.92591058948782012</v>
      </c>
      <c r="Z50" s="302">
        <f t="shared" si="83"/>
        <v>-0.90732179898216858</v>
      </c>
      <c r="AA50" s="302">
        <f t="shared" si="83"/>
        <v>-0.88758274336556187</v>
      </c>
      <c r="AB50" s="302">
        <f t="shared" si="83"/>
        <v>-0.86887689851784555</v>
      </c>
      <c r="AC50" s="302">
        <f t="shared" si="83"/>
        <v>-0.84618757489491148</v>
      </c>
      <c r="AD50" s="302">
        <f t="shared" si="83"/>
        <v>-0.82340352341466927</v>
      </c>
      <c r="AE50" s="302">
        <f t="shared" si="83"/>
        <v>-0.80031033017072084</v>
      </c>
      <c r="AF50" s="302">
        <f t="shared" si="83"/>
        <v>-0.77260185649253221</v>
      </c>
      <c r="AG50" s="302">
        <f t="shared" si="83"/>
        <v>-0.74680533362411405</v>
      </c>
      <c r="AH50" s="302">
        <f t="shared" si="83"/>
        <v>-0.71877904311679242</v>
      </c>
      <c r="AI50" s="302">
        <f t="shared" si="83"/>
        <v>-0.68558939822602361</v>
      </c>
      <c r="AJ50" s="302">
        <f t="shared" si="83"/>
        <v>-0.65734140017930154</v>
      </c>
      <c r="AK50" s="302">
        <f t="shared" si="83"/>
        <v>-0.62397769287443428</v>
      </c>
      <c r="AL50" s="302">
        <f t="shared" si="83"/>
        <v>-0.58842899763854939</v>
      </c>
      <c r="AM50" s="302">
        <f t="shared" ref="AM50:BO50" si="84">AM117*AM184</f>
        <v>-0.55494491182501449</v>
      </c>
      <c r="AN50" s="302">
        <f t="shared" si="84"/>
        <v>-0.51574774143142676</v>
      </c>
      <c r="AO50" s="302">
        <f t="shared" si="84"/>
        <v>-0.47884554394413442</v>
      </c>
      <c r="AP50" s="302">
        <f t="shared" si="84"/>
        <v>-0.43955859219778332</v>
      </c>
      <c r="AQ50" s="302">
        <f t="shared" si="84"/>
        <v>-0.39637241517833005</v>
      </c>
      <c r="AR50" s="302">
        <f t="shared" si="84"/>
        <v>-0.35701968704750298</v>
      </c>
      <c r="AS50" s="302">
        <f t="shared" si="84"/>
        <v>-0.3114351057709196</v>
      </c>
      <c r="AT50" s="302">
        <f t="shared" si="84"/>
        <v>-0.26929639891574064</v>
      </c>
      <c r="AU50" s="302">
        <f t="shared" si="84"/>
        <v>-0.22380173030267128</v>
      </c>
      <c r="AV50" s="302">
        <f t="shared" si="84"/>
        <v>1.4524188007614165</v>
      </c>
      <c r="AW50" s="302">
        <f t="shared" si="84"/>
        <v>1.5380834549862643</v>
      </c>
      <c r="AX50" s="302">
        <f t="shared" si="84"/>
        <v>1.6190413326224602</v>
      </c>
      <c r="AY50" s="302">
        <f t="shared" si="84"/>
        <v>1.6943185479604281</v>
      </c>
      <c r="AZ50" s="302">
        <f t="shared" si="84"/>
        <v>1.7633695312298965</v>
      </c>
      <c r="BA50" s="302">
        <f t="shared" si="84"/>
        <v>1.8283595936197972</v>
      </c>
      <c r="BB50" s="302">
        <f t="shared" si="84"/>
        <v>1.8916578391721135</v>
      </c>
      <c r="BC50" s="302">
        <f t="shared" si="84"/>
        <v>1.9486761639194286</v>
      </c>
      <c r="BD50" s="302">
        <f t="shared" si="84"/>
        <v>1.9994466430505484</v>
      </c>
      <c r="BE50" s="302">
        <f t="shared" si="84"/>
        <v>2.0479543432032283</v>
      </c>
      <c r="BF50" s="302">
        <f t="shared" si="84"/>
        <v>2.0928258243614648</v>
      </c>
      <c r="BG50" s="302">
        <f t="shared" si="84"/>
        <v>2.1316791842434197</v>
      </c>
      <c r="BH50" s="302">
        <f t="shared" si="84"/>
        <v>2.1665152780841392</v>
      </c>
      <c r="BI50" s="302">
        <f t="shared" si="84"/>
        <v>2.2009504570908627</v>
      </c>
      <c r="BJ50" s="302">
        <f t="shared" si="84"/>
        <v>2.2313984672263567</v>
      </c>
      <c r="BK50" s="302">
        <f t="shared" si="84"/>
        <v>2.2585808850931905</v>
      </c>
      <c r="BL50" s="302">
        <f t="shared" si="84"/>
        <v>2.2868265969534698</v>
      </c>
      <c r="BM50" s="302">
        <f t="shared" si="84"/>
        <v>2.3120983416042038</v>
      </c>
      <c r="BN50" s="302">
        <f t="shared" si="84"/>
        <v>2.3345450967654848</v>
      </c>
      <c r="BO50" s="775">
        <f t="shared" si="84"/>
        <v>2.3566465910609082</v>
      </c>
      <c r="BP50" s="223"/>
    </row>
    <row r="51" spans="3:68" ht="42" customHeight="1">
      <c r="C51" s="426"/>
      <c r="D51" s="425"/>
      <c r="E51" s="445">
        <v>-0.55000000000000004</v>
      </c>
      <c r="F51" s="444">
        <f t="shared" si="68"/>
        <v>-0.99893916485538625</v>
      </c>
      <c r="G51" s="774">
        <f t="shared" ref="G51:AL51" si="85">G118*G185</f>
        <v>-1.1193596932866723</v>
      </c>
      <c r="H51" s="302">
        <f t="shared" si="85"/>
        <v>-1.1107932763591171</v>
      </c>
      <c r="I51" s="302">
        <f t="shared" si="85"/>
        <v>-1.1080722494415134</v>
      </c>
      <c r="J51" s="302">
        <f t="shared" si="85"/>
        <v>-1.1050244911285363</v>
      </c>
      <c r="K51" s="302">
        <f t="shared" si="85"/>
        <v>-1.1016333006082877</v>
      </c>
      <c r="L51" s="302">
        <f t="shared" si="85"/>
        <v>-1.0978555684472084</v>
      </c>
      <c r="M51" s="302">
        <f t="shared" si="85"/>
        <v>-1.0936090461764163</v>
      </c>
      <c r="N51" s="302">
        <f t="shared" si="85"/>
        <v>-1.0887637824888681</v>
      </c>
      <c r="O51" s="302">
        <f t="shared" si="85"/>
        <v>-1.083138783750961</v>
      </c>
      <c r="P51" s="302">
        <f t="shared" si="85"/>
        <v>-1.076502710143074</v>
      </c>
      <c r="Q51" s="302">
        <f t="shared" si="85"/>
        <v>-1.0685761179513085</v>
      </c>
      <c r="R51" s="302">
        <f t="shared" si="85"/>
        <v>-1.0590332071347648</v>
      </c>
      <c r="S51" s="302">
        <f t="shared" si="85"/>
        <v>-1.0475335601931524</v>
      </c>
      <c r="T51" s="302">
        <f t="shared" si="85"/>
        <v>-1.0338366873667677</v>
      </c>
      <c r="U51" s="302">
        <f t="shared" si="85"/>
        <v>-1.0225029710354814</v>
      </c>
      <c r="V51" s="302">
        <f t="shared" si="85"/>
        <v>-1.008953922989281</v>
      </c>
      <c r="W51" s="302">
        <f t="shared" si="85"/>
        <v>-0.99338522680178587</v>
      </c>
      <c r="X51" s="302">
        <f t="shared" si="85"/>
        <v>-0.98013673262432199</v>
      </c>
      <c r="Y51" s="302">
        <f t="shared" si="85"/>
        <v>-0.96422251489727173</v>
      </c>
      <c r="Z51" s="302">
        <f t="shared" si="85"/>
        <v>-0.94654046919179891</v>
      </c>
      <c r="AA51" s="302">
        <f t="shared" si="85"/>
        <v>-0.93071884341629885</v>
      </c>
      <c r="AB51" s="302">
        <f t="shared" si="85"/>
        <v>-0.91157835879075588</v>
      </c>
      <c r="AC51" s="302">
        <f t="shared" si="85"/>
        <v>-0.89121529592281112</v>
      </c>
      <c r="AD51" s="302">
        <f t="shared" si="85"/>
        <v>-0.87187597781086834</v>
      </c>
      <c r="AE51" s="302">
        <f t="shared" si="85"/>
        <v>-0.84857328350349959</v>
      </c>
      <c r="AF51" s="302">
        <f t="shared" si="85"/>
        <v>-0.82524288690868841</v>
      </c>
      <c r="AG51" s="302">
        <f t="shared" si="85"/>
        <v>-0.80168467006951394</v>
      </c>
      <c r="AH51" s="302">
        <f t="shared" si="85"/>
        <v>-0.77358826692730598</v>
      </c>
      <c r="AI51" s="302">
        <f t="shared" si="85"/>
        <v>-0.74748334855909448</v>
      </c>
      <c r="AJ51" s="302">
        <f t="shared" si="85"/>
        <v>-0.71920921928105808</v>
      </c>
      <c r="AK51" s="302">
        <f t="shared" si="85"/>
        <v>-0.68581666050085766</v>
      </c>
      <c r="AL51" s="302">
        <f t="shared" si="85"/>
        <v>-0.65739850872180483</v>
      </c>
      <c r="AM51" s="302">
        <f t="shared" ref="AM51:BO51" si="86">AM118*AM185</f>
        <v>-0.62387933845584365</v>
      </c>
      <c r="AN51" s="302">
        <f t="shared" si="86"/>
        <v>-0.58817789686013844</v>
      </c>
      <c r="AO51" s="302">
        <f t="shared" si="86"/>
        <v>-0.55452970074764008</v>
      </c>
      <c r="AP51" s="302">
        <f t="shared" si="86"/>
        <v>-0.51515281392710921</v>
      </c>
      <c r="AQ51" s="302">
        <f t="shared" si="86"/>
        <v>-0.47804204532135114</v>
      </c>
      <c r="AR51" s="302">
        <f t="shared" si="86"/>
        <v>-0.43852150770207837</v>
      </c>
      <c r="AS51" s="302">
        <f t="shared" si="86"/>
        <v>-0.39509051748576512</v>
      </c>
      <c r="AT51" s="302">
        <f t="shared" si="86"/>
        <v>-0.35547397493500138</v>
      </c>
      <c r="AU51" s="302">
        <f t="shared" si="86"/>
        <v>-0.30967488576388091</v>
      </c>
      <c r="AV51" s="302">
        <f t="shared" si="86"/>
        <v>-0.26736520215917847</v>
      </c>
      <c r="AW51" s="302">
        <f t="shared" si="86"/>
        <v>1.4885399582599956</v>
      </c>
      <c r="AX51" s="302">
        <f t="shared" si="86"/>
        <v>1.5671584428568703</v>
      </c>
      <c r="AY51" s="302">
        <f t="shared" si="86"/>
        <v>1.6403182012764654</v>
      </c>
      <c r="AZ51" s="302">
        <f t="shared" si="86"/>
        <v>1.7128516170750487</v>
      </c>
      <c r="BA51" s="302">
        <f t="shared" si="86"/>
        <v>1.7796424708553187</v>
      </c>
      <c r="BB51" s="302">
        <f t="shared" si="86"/>
        <v>1.8406642493670533</v>
      </c>
      <c r="BC51" s="302">
        <f t="shared" si="86"/>
        <v>1.8959699035665314</v>
      </c>
      <c r="BD51" s="302">
        <f t="shared" si="86"/>
        <v>1.9516947783324126</v>
      </c>
      <c r="BE51" s="302">
        <f t="shared" si="86"/>
        <v>2.0021761072549347</v>
      </c>
      <c r="BF51" s="302">
        <f t="shared" si="86"/>
        <v>2.0465121700031133</v>
      </c>
      <c r="BG51" s="302">
        <f t="shared" si="86"/>
        <v>2.0872191537728928</v>
      </c>
      <c r="BH51" s="302">
        <f t="shared" si="86"/>
        <v>2.1264567143788007</v>
      </c>
      <c r="BI51" s="302">
        <f t="shared" si="86"/>
        <v>2.1614752490978946</v>
      </c>
      <c r="BJ51" s="302">
        <f t="shared" si="86"/>
        <v>2.1937051900430551</v>
      </c>
      <c r="BK51" s="302">
        <f t="shared" si="86"/>
        <v>2.2273709588590478</v>
      </c>
      <c r="BL51" s="302">
        <f t="shared" si="86"/>
        <v>2.2583414762210263</v>
      </c>
      <c r="BM51" s="302">
        <f t="shared" si="86"/>
        <v>2.2866560093249162</v>
      </c>
      <c r="BN51" s="302">
        <f t="shared" si="86"/>
        <v>2.3151590951416336</v>
      </c>
      <c r="BO51" s="775">
        <f t="shared" si="86"/>
        <v>2.3404399098160118</v>
      </c>
      <c r="BP51" s="223"/>
    </row>
    <row r="52" spans="3:68" ht="42" customHeight="1">
      <c r="C52" s="426"/>
      <c r="D52" s="425"/>
      <c r="E52" s="443">
        <v>-0.6</v>
      </c>
      <c r="F52" s="444">
        <f t="shared" si="68"/>
        <v>-1.041923579658564</v>
      </c>
      <c r="G52" s="774">
        <f t="shared" ref="G52:AL52" si="87">G119*G186</f>
        <v>-1.1421304081104229</v>
      </c>
      <c r="H52" s="302">
        <f t="shared" si="87"/>
        <v>-1.133896864656889</v>
      </c>
      <c r="I52" s="302">
        <f t="shared" si="87"/>
        <v>-1.1315420045120594</v>
      </c>
      <c r="J52" s="302">
        <f t="shared" si="87"/>
        <v>-1.1288632239372149</v>
      </c>
      <c r="K52" s="302">
        <f t="shared" si="87"/>
        <v>-1.1258173273718952</v>
      </c>
      <c r="L52" s="302">
        <f t="shared" si="87"/>
        <v>-1.1223365235212999</v>
      </c>
      <c r="M52" s="302">
        <f t="shared" si="87"/>
        <v>-1.1183209127384068</v>
      </c>
      <c r="N52" s="302">
        <f t="shared" si="87"/>
        <v>-1.1136332315747177</v>
      </c>
      <c r="O52" s="302">
        <f t="shared" si="87"/>
        <v>-1.1080959434925881</v>
      </c>
      <c r="P52" s="302">
        <f t="shared" si="87"/>
        <v>-1.1014898391164176</v>
      </c>
      <c r="Q52" s="302">
        <f t="shared" si="87"/>
        <v>-1.0935529268164172</v>
      </c>
      <c r="R52" s="302">
        <f t="shared" si="87"/>
        <v>-1.0839788261253518</v>
      </c>
      <c r="S52" s="302">
        <f t="shared" si="87"/>
        <v>-1.0724331293323566</v>
      </c>
      <c r="T52" s="302">
        <f t="shared" si="87"/>
        <v>-1.0626909240645472</v>
      </c>
      <c r="U52" s="302">
        <f t="shared" si="87"/>
        <v>-1.051244420668225</v>
      </c>
      <c r="V52" s="302">
        <f t="shared" si="87"/>
        <v>-1.0376141014129374</v>
      </c>
      <c r="W52" s="302">
        <f t="shared" si="87"/>
        <v>-1.0263460028039491</v>
      </c>
      <c r="X52" s="302">
        <f t="shared" si="87"/>
        <v>-1.0128128192832597</v>
      </c>
      <c r="Y52" s="302">
        <f t="shared" si="87"/>
        <v>-0.99718229193464503</v>
      </c>
      <c r="Z52" s="302">
        <f t="shared" si="87"/>
        <v>-0.98379201644106296</v>
      </c>
      <c r="AA52" s="302">
        <f t="shared" si="87"/>
        <v>-0.9676327607022609</v>
      </c>
      <c r="AB52" s="302">
        <f t="shared" si="87"/>
        <v>-0.94961812014308566</v>
      </c>
      <c r="AC52" s="302">
        <f t="shared" si="87"/>
        <v>-0.9334125559268458</v>
      </c>
      <c r="AD52" s="302">
        <f t="shared" si="87"/>
        <v>-0.91385209379677512</v>
      </c>
      <c r="AE52" s="302">
        <f t="shared" si="87"/>
        <v>-0.89307109376254667</v>
      </c>
      <c r="AF52" s="302">
        <f t="shared" si="87"/>
        <v>-0.87334457778134311</v>
      </c>
      <c r="AG52" s="302">
        <f t="shared" si="87"/>
        <v>-0.84969202084119766</v>
      </c>
      <c r="AH52" s="302">
        <f t="shared" si="87"/>
        <v>-0.82606213000208983</v>
      </c>
      <c r="AI52" s="302">
        <f t="shared" si="87"/>
        <v>-0.80225187632605699</v>
      </c>
      <c r="AJ52" s="302">
        <f t="shared" si="87"/>
        <v>-0.77394094813877856</v>
      </c>
      <c r="AK52" s="302">
        <f t="shared" si="87"/>
        <v>-0.74765207656611588</v>
      </c>
      <c r="AL52" s="302">
        <f t="shared" si="87"/>
        <v>-0.71920957378287209</v>
      </c>
      <c r="AM52" s="302">
        <f t="shared" ref="AM52:BO52" si="88">AM119*AM186</f>
        <v>-0.68565175691125302</v>
      </c>
      <c r="AN52" s="302">
        <f t="shared" si="88"/>
        <v>-0.65705504950951177</v>
      </c>
      <c r="AO52" s="302">
        <f t="shared" si="88"/>
        <v>-0.62333235540231335</v>
      </c>
      <c r="AP52" s="302">
        <f t="shared" si="88"/>
        <v>-0.587388640492574</v>
      </c>
      <c r="AQ52" s="302">
        <f t="shared" si="88"/>
        <v>-0.55344013881159115</v>
      </c>
      <c r="AR52" s="302">
        <f t="shared" si="88"/>
        <v>-0.51370981073688593</v>
      </c>
      <c r="AS52" s="302">
        <f t="shared" si="88"/>
        <v>-0.47617205905534382</v>
      </c>
      <c r="AT52" s="302">
        <f t="shared" si="88"/>
        <v>-0.43617295986034216</v>
      </c>
      <c r="AU52" s="302">
        <f t="shared" si="88"/>
        <v>-0.3922562287910995</v>
      </c>
      <c r="AV52" s="302">
        <f t="shared" si="88"/>
        <v>-0.35214498170943753</v>
      </c>
      <c r="AW52" s="302">
        <f t="shared" si="88"/>
        <v>-0.30600403885891025</v>
      </c>
      <c r="AX52" s="302">
        <f t="shared" si="88"/>
        <v>1.5144799365902439</v>
      </c>
      <c r="AY52" s="302">
        <f t="shared" si="88"/>
        <v>1.588538183655956</v>
      </c>
      <c r="AZ52" s="302">
        <f t="shared" si="88"/>
        <v>1.6567322927793249</v>
      </c>
      <c r="BA52" s="302">
        <f t="shared" si="88"/>
        <v>1.7192567941880068</v>
      </c>
      <c r="BB52" s="302">
        <f t="shared" si="88"/>
        <v>1.7788654071527721</v>
      </c>
      <c r="BC52" s="302">
        <f t="shared" si="88"/>
        <v>1.838184533949625</v>
      </c>
      <c r="BD52" s="302">
        <f t="shared" si="88"/>
        <v>1.8926738467946704</v>
      </c>
      <c r="BE52" s="302">
        <f t="shared" si="88"/>
        <v>1.941941955517537</v>
      </c>
      <c r="BF52" s="302">
        <f t="shared" si="88"/>
        <v>1.9892357192456258</v>
      </c>
      <c r="BG52" s="302">
        <f t="shared" si="88"/>
        <v>2.0331928889699591</v>
      </c>
      <c r="BH52" s="302">
        <f t="shared" si="88"/>
        <v>2.0725120820988985</v>
      </c>
      <c r="BI52" s="302">
        <f t="shared" si="88"/>
        <v>2.1098201092116664</v>
      </c>
      <c r="BJ52" s="302">
        <f t="shared" si="88"/>
        <v>2.1489702445969168</v>
      </c>
      <c r="BK52" s="302">
        <f t="shared" si="88"/>
        <v>2.1862887652995027</v>
      </c>
      <c r="BL52" s="302">
        <f t="shared" si="88"/>
        <v>2.2217560634731686</v>
      </c>
      <c r="BM52" s="302">
        <f t="shared" si="88"/>
        <v>2.2586051481496643</v>
      </c>
      <c r="BN52" s="302">
        <f t="shared" si="88"/>
        <v>2.2918716192980733</v>
      </c>
      <c r="BO52" s="775">
        <f t="shared" si="88"/>
        <v>2.3210104649923009</v>
      </c>
      <c r="BP52" s="223"/>
    </row>
    <row r="53" spans="3:68" ht="42" customHeight="1">
      <c r="C53" s="426"/>
      <c r="D53" s="425"/>
      <c r="E53" s="445">
        <v>-0.65</v>
      </c>
      <c r="F53" s="444">
        <f t="shared" si="68"/>
        <v>-1.0779105435856398</v>
      </c>
      <c r="G53" s="774">
        <f t="shared" ref="G53:AL53" si="89">G120*G187</f>
        <v>-1.1611308077588651</v>
      </c>
      <c r="H53" s="302">
        <f t="shared" si="89"/>
        <v>-1.1531265673410085</v>
      </c>
      <c r="I53" s="302">
        <f t="shared" si="89"/>
        <v>-1.1510159570217422</v>
      </c>
      <c r="J53" s="302">
        <f t="shared" si="89"/>
        <v>-1.1485755982772077</v>
      </c>
      <c r="K53" s="302">
        <f t="shared" si="89"/>
        <v>-1.1457466151274198</v>
      </c>
      <c r="L53" s="302">
        <f t="shared" si="89"/>
        <v>-1.1424478862358549</v>
      </c>
      <c r="M53" s="302">
        <f t="shared" si="89"/>
        <v>-1.1385709983542422</v>
      </c>
      <c r="N53" s="302">
        <f t="shared" si="89"/>
        <v>-1.1339762249407241</v>
      </c>
      <c r="O53" s="302">
        <f t="shared" si="89"/>
        <v>-1.1284893877008899</v>
      </c>
      <c r="P53" s="302">
        <f t="shared" si="89"/>
        <v>-1.1218991058112779</v>
      </c>
      <c r="Q53" s="302">
        <f t="shared" si="89"/>
        <v>-1.1139538689715653</v>
      </c>
      <c r="R53" s="302">
        <f t="shared" si="89"/>
        <v>-1.1043586955767941</v>
      </c>
      <c r="S53" s="302">
        <f t="shared" si="89"/>
        <v>-1.0960481395772599</v>
      </c>
      <c r="T53" s="302">
        <f t="shared" si="89"/>
        <v>-1.0864819313461844</v>
      </c>
      <c r="U53" s="302">
        <f t="shared" si="89"/>
        <v>-1.0749653398039685</v>
      </c>
      <c r="V53" s="302">
        <f t="shared" si="89"/>
        <v>-1.0652703811920183</v>
      </c>
      <c r="W53" s="302">
        <f t="shared" si="89"/>
        <v>-1.0538633669721154</v>
      </c>
      <c r="X53" s="302">
        <f t="shared" si="89"/>
        <v>-1.0402448525172638</v>
      </c>
      <c r="Y53" s="302">
        <f t="shared" si="89"/>
        <v>-1.0289552122440799</v>
      </c>
      <c r="Z53" s="302">
        <f t="shared" si="89"/>
        <v>-1.0153426161393819</v>
      </c>
      <c r="AA53" s="302">
        <f t="shared" si="89"/>
        <v>-0.99956990147072933</v>
      </c>
      <c r="AB53" s="302">
        <f t="shared" si="89"/>
        <v>-0.98598825655812938</v>
      </c>
      <c r="AC53" s="302">
        <f t="shared" si="89"/>
        <v>-0.96958801537210948</v>
      </c>
      <c r="AD53" s="302">
        <f t="shared" si="89"/>
        <v>-0.95130252601950127</v>
      </c>
      <c r="AE53" s="302">
        <f t="shared" si="89"/>
        <v>-0.93482114736766087</v>
      </c>
      <c r="AF53" s="302">
        <f t="shared" si="89"/>
        <v>-0.91498787549703464</v>
      </c>
      <c r="AG53" s="302">
        <f t="shared" si="89"/>
        <v>-0.89395301091320889</v>
      </c>
      <c r="AH53" s="302">
        <f t="shared" si="89"/>
        <v>-0.87399963156729488</v>
      </c>
      <c r="AI53" s="302">
        <f t="shared" si="89"/>
        <v>-0.85014374501385592</v>
      </c>
      <c r="AJ53" s="302">
        <f t="shared" si="89"/>
        <v>-0.82633295353614711</v>
      </c>
      <c r="AK53" s="302">
        <f t="shared" si="89"/>
        <v>-0.80235549466639444</v>
      </c>
      <c r="AL53" s="302">
        <f t="shared" si="89"/>
        <v>-0.77387982430637781</v>
      </c>
      <c r="AM53" s="302">
        <f t="shared" ref="AM53:BO53" si="90">AM120*AM187</f>
        <v>-0.74741540822442254</v>
      </c>
      <c r="AN53" s="302">
        <f t="shared" si="90"/>
        <v>-0.71877074124418883</v>
      </c>
      <c r="AO53" s="302">
        <f t="shared" si="90"/>
        <v>-0.68496956415366794</v>
      </c>
      <c r="AP53" s="302">
        <f t="shared" si="90"/>
        <v>-0.65605817910582731</v>
      </c>
      <c r="AQ53" s="302">
        <f t="shared" si="90"/>
        <v>-0.62193796267646229</v>
      </c>
      <c r="AR53" s="302">
        <f t="shared" si="90"/>
        <v>-0.58549093883792813</v>
      </c>
      <c r="AS53" s="302">
        <f t="shared" si="90"/>
        <v>-0.5508993500339997</v>
      </c>
      <c r="AT53" s="302">
        <f t="shared" si="90"/>
        <v>-0.51041139208547615</v>
      </c>
      <c r="AU53" s="302">
        <f t="shared" si="90"/>
        <v>-0.47197262278494512</v>
      </c>
      <c r="AV53" s="302">
        <f t="shared" si="90"/>
        <v>-0.43100476411848421</v>
      </c>
      <c r="AW53" s="302">
        <f t="shared" si="90"/>
        <v>-0.38618169315049716</v>
      </c>
      <c r="AX53" s="302">
        <f t="shared" si="90"/>
        <v>-0.34525889942089255</v>
      </c>
      <c r="AY53" s="302">
        <f t="shared" si="90"/>
        <v>1.5275567672448667</v>
      </c>
      <c r="AZ53" s="302">
        <f t="shared" si="90"/>
        <v>1.589888929374708</v>
      </c>
      <c r="BA53" s="302">
        <f t="shared" si="90"/>
        <v>1.651794689131278</v>
      </c>
      <c r="BB53" s="302">
        <f t="shared" si="90"/>
        <v>1.7095637228515659</v>
      </c>
      <c r="BC53" s="302">
        <f t="shared" si="90"/>
        <v>1.764011848921587</v>
      </c>
      <c r="BD53" s="302">
        <f t="shared" si="90"/>
        <v>1.8152494162975088</v>
      </c>
      <c r="BE53" s="302">
        <f t="shared" si="90"/>
        <v>1.8684613773448209</v>
      </c>
      <c r="BF53" s="302">
        <f t="shared" si="90"/>
        <v>1.9170992760578647</v>
      </c>
      <c r="BG53" s="302">
        <f t="shared" si="90"/>
        <v>1.9602259186353592</v>
      </c>
      <c r="BH53" s="302">
        <f t="shared" si="90"/>
        <v>2.002072333034763</v>
      </c>
      <c r="BI53" s="302">
        <f t="shared" si="90"/>
        <v>2.0459067254776784</v>
      </c>
      <c r="BJ53" s="302">
        <f t="shared" si="90"/>
        <v>2.0894924783727191</v>
      </c>
      <c r="BK53" s="302">
        <f t="shared" si="90"/>
        <v>2.1335288391555416</v>
      </c>
      <c r="BL53" s="302">
        <f t="shared" si="90"/>
        <v>2.1805349793165409</v>
      </c>
      <c r="BM53" s="302">
        <f t="shared" si="90"/>
        <v>2.2245875447321426</v>
      </c>
      <c r="BN53" s="302">
        <f t="shared" si="90"/>
        <v>2.2641869300910624</v>
      </c>
      <c r="BO53" s="775">
        <f t="shared" si="90"/>
        <v>2.3013979513405394</v>
      </c>
      <c r="BP53" s="223"/>
    </row>
    <row r="54" spans="3:68" ht="42" customHeight="1">
      <c r="C54" s="426"/>
      <c r="D54" s="425"/>
      <c r="E54" s="443">
        <v>-0.7</v>
      </c>
      <c r="F54" s="444">
        <f t="shared" si="68"/>
        <v>-1.1079231981495945</v>
      </c>
      <c r="G54" s="774">
        <f t="shared" ref="G54:AL54" si="91">G121*G188</f>
        <v>-1.1769087164670227</v>
      </c>
      <c r="H54" s="302">
        <f t="shared" si="91"/>
        <v>-1.1690588567708029</v>
      </c>
      <c r="I54" s="302">
        <f t="shared" si="91"/>
        <v>-1.1671083181313089</v>
      </c>
      <c r="J54" s="302">
        <f t="shared" si="91"/>
        <v>-1.1648200771870127</v>
      </c>
      <c r="K54" s="302">
        <f t="shared" si="91"/>
        <v>-1.1621262750914976</v>
      </c>
      <c r="L54" s="302">
        <f t="shared" si="91"/>
        <v>-1.1589387614125994</v>
      </c>
      <c r="M54" s="302">
        <f t="shared" si="91"/>
        <v>-1.1551451571109939</v>
      </c>
      <c r="N54" s="302">
        <f t="shared" si="91"/>
        <v>-1.1506052309372525</v>
      </c>
      <c r="O54" s="302">
        <f t="shared" si="91"/>
        <v>-1.1451474373250139</v>
      </c>
      <c r="P54" s="302">
        <f t="shared" si="91"/>
        <v>-1.1385653481747156</v>
      </c>
      <c r="Q54" s="302">
        <f t="shared" si="91"/>
        <v>-1.1306137429114416</v>
      </c>
      <c r="R54" s="302">
        <f t="shared" si="91"/>
        <v>-1.1235961187155918</v>
      </c>
      <c r="S54" s="302">
        <f t="shared" si="91"/>
        <v>-1.1156566125288165</v>
      </c>
      <c r="T54" s="302">
        <f t="shared" si="91"/>
        <v>-1.1060645904666269</v>
      </c>
      <c r="U54" s="302">
        <f t="shared" si="91"/>
        <v>-1.097774875904808</v>
      </c>
      <c r="V54" s="302">
        <f t="shared" si="91"/>
        <v>-1.088236463517259</v>
      </c>
      <c r="W54" s="302">
        <f t="shared" si="91"/>
        <v>-1.0767432671904773</v>
      </c>
      <c r="X54" s="302">
        <f t="shared" si="91"/>
        <v>-1.0670627738142993</v>
      </c>
      <c r="Y54" s="302">
        <f t="shared" si="91"/>
        <v>-1.0556451382355068</v>
      </c>
      <c r="Z54" s="302">
        <f t="shared" si="91"/>
        <v>-1.0419817266003648</v>
      </c>
      <c r="AA54" s="302">
        <f t="shared" si="91"/>
        <v>-1.0306157545148804</v>
      </c>
      <c r="AB54" s="302">
        <f t="shared" si="91"/>
        <v>-1.0168875927434924</v>
      </c>
      <c r="AC54" s="302">
        <f t="shared" si="91"/>
        <v>-1.0009655049551633</v>
      </c>
      <c r="AD54" s="302">
        <f t="shared" si="91"/>
        <v>-0.98721527406160337</v>
      </c>
      <c r="AE54" s="302">
        <f t="shared" si="91"/>
        <v>-0.97063085041632213</v>
      </c>
      <c r="AF54" s="302">
        <f t="shared" si="91"/>
        <v>-0.9521576081930978</v>
      </c>
      <c r="AG54" s="302">
        <f t="shared" si="91"/>
        <v>-0.93549616063673213</v>
      </c>
      <c r="AH54" s="302">
        <f t="shared" si="91"/>
        <v>-0.91549094072519677</v>
      </c>
      <c r="AI54" s="302">
        <f t="shared" si="91"/>
        <v>-0.89429510909292764</v>
      </c>
      <c r="AJ54" s="302">
        <f t="shared" si="91"/>
        <v>-0.8741892559443023</v>
      </c>
      <c r="AK54" s="302">
        <f t="shared" si="91"/>
        <v>-0.85018132244333511</v>
      </c>
      <c r="AL54" s="302">
        <f t="shared" si="91"/>
        <v>-0.82620958111911336</v>
      </c>
      <c r="AM54" s="302">
        <f t="shared" ref="AM54:BO54" si="92">AM121*AM188</f>
        <v>-0.80204774264935907</v>
      </c>
      <c r="AN54" s="302">
        <f t="shared" si="92"/>
        <v>-0.77334837392128297</v>
      </c>
      <c r="AO54" s="302">
        <f t="shared" si="92"/>
        <v>-0.74659481473176814</v>
      </c>
      <c r="AP54" s="302">
        <f t="shared" si="92"/>
        <v>-0.71756971681513182</v>
      </c>
      <c r="AQ54" s="302">
        <f t="shared" si="92"/>
        <v>-0.68327129969105815</v>
      </c>
      <c r="AR54" s="302">
        <f t="shared" si="92"/>
        <v>-0.65368223120334645</v>
      </c>
      <c r="AS54" s="302">
        <f t="shared" si="92"/>
        <v>-0.61868797118553054</v>
      </c>
      <c r="AT54" s="302">
        <f t="shared" si="92"/>
        <v>-0.58112935017829104</v>
      </c>
      <c r="AU54" s="302">
        <f t="shared" si="92"/>
        <v>-0.54513046595975878</v>
      </c>
      <c r="AV54" s="302">
        <f t="shared" si="92"/>
        <v>-0.5030297743925517</v>
      </c>
      <c r="AW54" s="302">
        <f t="shared" si="92"/>
        <v>-0.46276082459712964</v>
      </c>
      <c r="AX54" s="302">
        <f t="shared" si="92"/>
        <v>-0.41999013737321017</v>
      </c>
      <c r="AY54" s="302">
        <f t="shared" si="92"/>
        <v>-0.37375598218763145</v>
      </c>
      <c r="AZ54" s="302">
        <f t="shared" si="92"/>
        <v>1.5226745278744243</v>
      </c>
      <c r="BA54" s="302">
        <f t="shared" si="92"/>
        <v>1.5741911734572014</v>
      </c>
      <c r="BB54" s="302">
        <f t="shared" si="92"/>
        <v>1.6219318292747913</v>
      </c>
      <c r="BC54" s="302">
        <f t="shared" si="92"/>
        <v>1.6704194727733099</v>
      </c>
      <c r="BD54" s="302">
        <f t="shared" si="92"/>
        <v>1.7226466526318713</v>
      </c>
      <c r="BE54" s="302">
        <f t="shared" si="92"/>
        <v>1.7733151832011707</v>
      </c>
      <c r="BF54" s="302">
        <f t="shared" si="92"/>
        <v>1.820004046274651</v>
      </c>
      <c r="BG54" s="302">
        <f t="shared" si="92"/>
        <v>1.86557250118333</v>
      </c>
      <c r="BH54" s="302">
        <f t="shared" si="92"/>
        <v>1.9120741015470601</v>
      </c>
      <c r="BI54" s="302">
        <f t="shared" si="92"/>
        <v>1.9603349500518701</v>
      </c>
      <c r="BJ54" s="302">
        <f t="shared" si="92"/>
        <v>2.0130587389751535</v>
      </c>
      <c r="BK54" s="302">
        <f t="shared" si="92"/>
        <v>2.071994874454695</v>
      </c>
      <c r="BL54" s="302">
        <f t="shared" si="92"/>
        <v>2.1302775438695796</v>
      </c>
      <c r="BM54" s="302">
        <f t="shared" si="92"/>
        <v>2.1846214211531532</v>
      </c>
      <c r="BN54" s="302">
        <f t="shared" si="92"/>
        <v>2.2362915969984267</v>
      </c>
      <c r="BO54" s="775">
        <f t="shared" si="92"/>
        <v>2.2799874749875486</v>
      </c>
      <c r="BP54" s="223"/>
    </row>
    <row r="55" spans="3:68" ht="42" customHeight="1">
      <c r="C55" s="426"/>
      <c r="D55" s="425"/>
      <c r="E55" s="445">
        <v>-0.75</v>
      </c>
      <c r="F55" s="444">
        <f t="shared" si="68"/>
        <v>-1.1328729508490221</v>
      </c>
      <c r="G55" s="774">
        <f t="shared" ref="G55:AL55" si="93">G122*G189</f>
        <v>-1.1899619300041502</v>
      </c>
      <c r="H55" s="302">
        <f t="shared" si="93"/>
        <v>-1.1822142064637278</v>
      </c>
      <c r="I55" s="302">
        <f t="shared" si="93"/>
        <v>-1.1803672198410002</v>
      </c>
      <c r="J55" s="302">
        <f t="shared" si="93"/>
        <v>-1.1781751765087511</v>
      </c>
      <c r="K55" s="302">
        <f t="shared" si="93"/>
        <v>-1.1755651909552491</v>
      </c>
      <c r="L55" s="302">
        <f t="shared" si="93"/>
        <v>-1.1724454796224539</v>
      </c>
      <c r="M55" s="302">
        <f t="shared" si="93"/>
        <v>-1.168701898779853</v>
      </c>
      <c r="N55" s="302">
        <f t="shared" si="93"/>
        <v>-1.1641944076706592</v>
      </c>
      <c r="O55" s="302">
        <f t="shared" si="93"/>
        <v>-1.1587533434351862</v>
      </c>
      <c r="P55" s="302">
        <f t="shared" si="93"/>
        <v>-1.1521753738898843</v>
      </c>
      <c r="Q55" s="302">
        <f t="shared" si="93"/>
        <v>-1.1462827244435649</v>
      </c>
      <c r="R55" s="302">
        <f t="shared" si="93"/>
        <v>-1.1397207026266742</v>
      </c>
      <c r="S55" s="302">
        <f t="shared" si="93"/>
        <v>-1.13177163894346</v>
      </c>
      <c r="T55" s="302">
        <f t="shared" si="93"/>
        <v>-1.1247575547394721</v>
      </c>
      <c r="U55" s="302">
        <f t="shared" si="93"/>
        <v>-1.1168302177734577</v>
      </c>
      <c r="V55" s="302">
        <f t="shared" si="93"/>
        <v>-1.1072542539320813</v>
      </c>
      <c r="W55" s="302">
        <f t="shared" si="93"/>
        <v>-1.0989817714836516</v>
      </c>
      <c r="X55" s="302">
        <f t="shared" si="93"/>
        <v>-1.089452739664434</v>
      </c>
      <c r="Y55" s="302">
        <f t="shared" si="93"/>
        <v>-1.0779540488376653</v>
      </c>
      <c r="Z55" s="302">
        <f t="shared" si="93"/>
        <v>-1.0682521091164869</v>
      </c>
      <c r="AA55" s="302">
        <f t="shared" si="93"/>
        <v>-1.0567895283107915</v>
      </c>
      <c r="AB55" s="302">
        <f t="shared" si="93"/>
        <v>-1.0430561454648462</v>
      </c>
      <c r="AC55" s="302">
        <f t="shared" si="93"/>
        <v>-1.0316014754968561</v>
      </c>
      <c r="AD55" s="302">
        <f t="shared" si="93"/>
        <v>-1.0177650840122838</v>
      </c>
      <c r="AE55" s="302">
        <f t="shared" si="93"/>
        <v>-1.0017212706067384</v>
      </c>
      <c r="AF55" s="302">
        <f t="shared" si="93"/>
        <v>-0.98784483228017717</v>
      </c>
      <c r="AG55" s="302">
        <f t="shared" si="93"/>
        <v>-0.97113082737311462</v>
      </c>
      <c r="AH55" s="302">
        <f t="shared" si="93"/>
        <v>-0.95252849511998861</v>
      </c>
      <c r="AI55" s="302">
        <f t="shared" si="93"/>
        <v>-0.93573986365083472</v>
      </c>
      <c r="AJ55" s="302">
        <f t="shared" si="93"/>
        <v>-0.91560454467627084</v>
      </c>
      <c r="AK55" s="302">
        <f t="shared" si="93"/>
        <v>-0.89427009832422066</v>
      </c>
      <c r="AL55" s="302">
        <f t="shared" si="93"/>
        <v>-0.8740063665594221</v>
      </c>
      <c r="AM55" s="302">
        <f t="shared" ref="AM55:BO55" si="94">AM122*AM189</f>
        <v>-0.84980719449148512</v>
      </c>
      <c r="AN55" s="302">
        <f t="shared" si="94"/>
        <v>-0.82558973996745944</v>
      </c>
      <c r="AO55" s="302">
        <f t="shared" si="94"/>
        <v>-0.80109945560186036</v>
      </c>
      <c r="AP55" s="302">
        <f t="shared" si="94"/>
        <v>-0.77195862628376966</v>
      </c>
      <c r="AQ55" s="302">
        <f t="shared" si="94"/>
        <v>-0.74459390606192499</v>
      </c>
      <c r="AR55" s="302">
        <f t="shared" si="94"/>
        <v>-0.71473473679012645</v>
      </c>
      <c r="AS55" s="302">
        <f t="shared" si="94"/>
        <v>-0.67932693560311253</v>
      </c>
      <c r="AT55" s="302">
        <f t="shared" si="94"/>
        <v>-0.64821585146253347</v>
      </c>
      <c r="AU55" s="302">
        <f t="shared" si="94"/>
        <v>-0.6112685796530597</v>
      </c>
      <c r="AV55" s="302">
        <f t="shared" si="94"/>
        <v>-0.57126511206089825</v>
      </c>
      <c r="AW55" s="302">
        <f t="shared" si="94"/>
        <v>-0.53226238161652739</v>
      </c>
      <c r="AX55" s="302">
        <f t="shared" si="94"/>
        <v>-0.48691347569562399</v>
      </c>
      <c r="AY55" s="302">
        <f t="shared" si="94"/>
        <v>-0.44330115702832878</v>
      </c>
      <c r="AZ55" s="302">
        <f t="shared" si="94"/>
        <v>-0.39783768342862869</v>
      </c>
      <c r="BA55" s="302">
        <f t="shared" si="94"/>
        <v>1.482335935291941</v>
      </c>
      <c r="BB55" s="302">
        <f t="shared" si="94"/>
        <v>1.5198427040724418</v>
      </c>
      <c r="BC55" s="302">
        <f t="shared" si="94"/>
        <v>1.5585003736247105</v>
      </c>
      <c r="BD55" s="302">
        <f t="shared" si="94"/>
        <v>1.6011526330059533</v>
      </c>
      <c r="BE55" s="302">
        <f t="shared" si="94"/>
        <v>1.646602268305396</v>
      </c>
      <c r="BF55" s="302">
        <f t="shared" si="94"/>
        <v>1.6957667361227566</v>
      </c>
      <c r="BG55" s="302">
        <f t="shared" si="94"/>
        <v>1.7422559281516108</v>
      </c>
      <c r="BH55" s="302">
        <f t="shared" si="94"/>
        <v>1.7913760078761443</v>
      </c>
      <c r="BI55" s="302">
        <f t="shared" si="94"/>
        <v>1.8503607553710701</v>
      </c>
      <c r="BJ55" s="302">
        <f t="shared" si="94"/>
        <v>1.9214249391123122</v>
      </c>
      <c r="BK55" s="302">
        <f t="shared" si="94"/>
        <v>1.9974609744012846</v>
      </c>
      <c r="BL55" s="302">
        <f t="shared" si="94"/>
        <v>2.0726121836074651</v>
      </c>
      <c r="BM55" s="302">
        <f t="shared" si="94"/>
        <v>2.144723329975025</v>
      </c>
      <c r="BN55" s="302">
        <f t="shared" si="94"/>
        <v>2.206465877269856</v>
      </c>
      <c r="BO55" s="775">
        <f t="shared" si="94"/>
        <v>2.2570765977390264</v>
      </c>
      <c r="BP55" s="223"/>
    </row>
    <row r="56" spans="3:68" ht="42" customHeight="1">
      <c r="C56" s="426"/>
      <c r="D56" s="425"/>
      <c r="E56" s="443">
        <v>-0.8</v>
      </c>
      <c r="F56" s="444">
        <f t="shared" si="68"/>
        <v>-1.1535584557140082</v>
      </c>
      <c r="G56" s="774">
        <f t="shared" ref="G56:AL56" si="95">G123*G190</f>
        <v>-1.2007304902272287</v>
      </c>
      <c r="H56" s="302">
        <f t="shared" si="95"/>
        <v>-1.1930494440231223</v>
      </c>
      <c r="I56" s="302">
        <f t="shared" si="95"/>
        <v>-1.1912688156749032</v>
      </c>
      <c r="J56" s="302">
        <f t="shared" si="95"/>
        <v>-1.1891372382170666</v>
      </c>
      <c r="K56" s="302">
        <f t="shared" si="95"/>
        <v>-1.186579062628182</v>
      </c>
      <c r="L56" s="302">
        <f t="shared" si="95"/>
        <v>-1.1835006627046407</v>
      </c>
      <c r="M56" s="302">
        <f t="shared" si="95"/>
        <v>-1.1797871636719581</v>
      </c>
      <c r="N56" s="302">
        <f t="shared" si="95"/>
        <v>-1.1752988912211624</v>
      </c>
      <c r="O56" s="302">
        <f t="shared" si="95"/>
        <v>-1.1698674643312454</v>
      </c>
      <c r="P56" s="302">
        <f t="shared" si="95"/>
        <v>-1.1649400571600368</v>
      </c>
      <c r="Q56" s="302">
        <f t="shared" si="95"/>
        <v>-1.1595259795569426</v>
      </c>
      <c r="R56" s="302">
        <f t="shared" si="95"/>
        <v>-1.1529596119381724</v>
      </c>
      <c r="S56" s="302">
        <f t="shared" si="95"/>
        <v>-1.1470693235130718</v>
      </c>
      <c r="T56" s="302">
        <f t="shared" si="95"/>
        <v>-1.1405092632375569</v>
      </c>
      <c r="U56" s="302">
        <f t="shared" si="95"/>
        <v>-1.1325670373525427</v>
      </c>
      <c r="V56" s="302">
        <f t="shared" si="95"/>
        <v>-1.1255639973677414</v>
      </c>
      <c r="W56" s="302">
        <f t="shared" si="95"/>
        <v>-1.1176471678770061</v>
      </c>
      <c r="X56" s="302">
        <f t="shared" si="95"/>
        <v>-1.1080768988944554</v>
      </c>
      <c r="Y56" s="302">
        <f t="shared" si="95"/>
        <v>-1.0998037569870953</v>
      </c>
      <c r="Z56" s="302">
        <f t="shared" si="95"/>
        <v>-1.0902624571873374</v>
      </c>
      <c r="AA56" s="302">
        <f t="shared" si="95"/>
        <v>-1.0787368665088495</v>
      </c>
      <c r="AB56" s="302">
        <f t="shared" si="95"/>
        <v>-1.0689948755814485</v>
      </c>
      <c r="AC56" s="302">
        <f t="shared" si="95"/>
        <v>-1.0574767086331653</v>
      </c>
      <c r="AD56" s="302">
        <f t="shared" si="95"/>
        <v>-1.0436736261955601</v>
      </c>
      <c r="AE56" s="302">
        <f t="shared" si="95"/>
        <v>-1.0321403844825183</v>
      </c>
      <c r="AF56" s="302">
        <f t="shared" si="95"/>
        <v>-1.0182166387168177</v>
      </c>
      <c r="AG56" s="302">
        <f t="shared" si="95"/>
        <v>-1.0020794509011155</v>
      </c>
      <c r="AH56" s="302">
        <f t="shared" si="95"/>
        <v>-0.98810618845862686</v>
      </c>
      <c r="AI56" s="302">
        <f t="shared" si="95"/>
        <v>-0.97128922450574584</v>
      </c>
      <c r="AJ56" s="302">
        <f t="shared" si="95"/>
        <v>-0.95257482651477821</v>
      </c>
      <c r="AK56" s="302">
        <f t="shared" si="95"/>
        <v>-0.93565819066407163</v>
      </c>
      <c r="AL56" s="302">
        <f t="shared" si="95"/>
        <v>-0.91536796704343837</v>
      </c>
      <c r="AM56" s="302">
        <f t="shared" ref="AM56:BO56" si="96">AM123*AM190</f>
        <v>-0.89383584035357722</v>
      </c>
      <c r="AN56" s="302">
        <f t="shared" si="96"/>
        <v>-0.87330718170638189</v>
      </c>
      <c r="AO56" s="302">
        <f t="shared" si="96"/>
        <v>-0.84874751163133888</v>
      </c>
      <c r="AP56" s="302">
        <f t="shared" si="96"/>
        <v>-0.82402716335323767</v>
      </c>
      <c r="AQ56" s="302">
        <f t="shared" si="96"/>
        <v>-0.79883018879319279</v>
      </c>
      <c r="AR56" s="302">
        <f t="shared" si="96"/>
        <v>-0.76871319751572675</v>
      </c>
      <c r="AS56" s="302">
        <f t="shared" si="96"/>
        <v>-0.73997629635388118</v>
      </c>
      <c r="AT56" s="302">
        <f t="shared" si="96"/>
        <v>-0.70823394945558626</v>
      </c>
      <c r="AU56" s="302">
        <f t="shared" si="96"/>
        <v>-0.67032508698817761</v>
      </c>
      <c r="AV56" s="302">
        <f t="shared" si="96"/>
        <v>-0.63581038716492932</v>
      </c>
      <c r="AW56" s="302">
        <f t="shared" si="96"/>
        <v>-0.59457769487996193</v>
      </c>
      <c r="AX56" s="302">
        <f t="shared" si="96"/>
        <v>-0.54939553814348319</v>
      </c>
      <c r="AY56" s="302">
        <f t="shared" si="96"/>
        <v>-0.50441382737550322</v>
      </c>
      <c r="AZ56" s="302">
        <f t="shared" si="96"/>
        <v>-0.45336896333595395</v>
      </c>
      <c r="BA56" s="302">
        <f t="shared" si="96"/>
        <v>-0.40518131199836233</v>
      </c>
      <c r="BB56" s="302">
        <f t="shared" si="96"/>
        <v>1.401942904429285</v>
      </c>
      <c r="BC56" s="302">
        <f t="shared" si="96"/>
        <v>1.4175491855416542</v>
      </c>
      <c r="BD56" s="302">
        <f t="shared" si="96"/>
        <v>1.4455972795486223</v>
      </c>
      <c r="BE56" s="302">
        <f t="shared" si="96"/>
        <v>1.4879969445893875</v>
      </c>
      <c r="BF56" s="302">
        <f t="shared" si="96"/>
        <v>1.5332588860660523</v>
      </c>
      <c r="BG56" s="302">
        <f t="shared" si="96"/>
        <v>1.578171610834288</v>
      </c>
      <c r="BH56" s="302">
        <f t="shared" si="96"/>
        <v>1.6367928991466771</v>
      </c>
      <c r="BI56" s="302">
        <f t="shared" si="96"/>
        <v>1.7159749110613078</v>
      </c>
      <c r="BJ56" s="302">
        <f t="shared" si="96"/>
        <v>1.8115931856467846</v>
      </c>
      <c r="BK56" s="302">
        <f t="shared" si="96"/>
        <v>1.9143610441494228</v>
      </c>
      <c r="BL56" s="302">
        <f t="shared" si="96"/>
        <v>2.0154162779102425</v>
      </c>
      <c r="BM56" s="302">
        <f t="shared" si="96"/>
        <v>2.1035218885010569</v>
      </c>
      <c r="BN56" s="302">
        <f t="shared" si="96"/>
        <v>2.1760075180448899</v>
      </c>
      <c r="BO56" s="775">
        <f t="shared" si="96"/>
        <v>2.2371684056069214</v>
      </c>
      <c r="BP56" s="223"/>
    </row>
    <row r="57" spans="3:68" ht="42" customHeight="1">
      <c r="C57" s="426"/>
      <c r="D57" s="425"/>
      <c r="E57" s="445">
        <v>-0.85</v>
      </c>
      <c r="F57" s="444">
        <f t="shared" si="68"/>
        <v>-1.170670520773236</v>
      </c>
      <c r="G57" s="774">
        <f t="shared" ref="G57:AL57" si="97">G124*G191</f>
        <v>-1.2095954961805924</v>
      </c>
      <c r="H57" s="302">
        <f t="shared" si="97"/>
        <v>-1.2019575404388712</v>
      </c>
      <c r="I57" s="302">
        <f t="shared" si="97"/>
        <v>-1.2008910530842811</v>
      </c>
      <c r="J57" s="302">
        <f t="shared" si="97"/>
        <v>-1.1981254228222222</v>
      </c>
      <c r="K57" s="302">
        <f t="shared" si="97"/>
        <v>-1.1955992209506192</v>
      </c>
      <c r="L57" s="302">
        <f t="shared" si="97"/>
        <v>-1.1925459996006209</v>
      </c>
      <c r="M57" s="302">
        <f t="shared" si="97"/>
        <v>-1.1888506198618785</v>
      </c>
      <c r="N57" s="302">
        <f t="shared" si="97"/>
        <v>-1.1843737577906228</v>
      </c>
      <c r="O57" s="302">
        <f t="shared" si="97"/>
        <v>-1.1802690587853946</v>
      </c>
      <c r="P57" s="302">
        <f t="shared" si="97"/>
        <v>-1.1758071577990834</v>
      </c>
      <c r="Q57" s="302">
        <f t="shared" si="97"/>
        <v>-1.1703918166543115</v>
      </c>
      <c r="R57" s="302">
        <f t="shared" si="97"/>
        <v>-1.1654718612140251</v>
      </c>
      <c r="S57" s="302">
        <f t="shared" si="97"/>
        <v>-1.1600591430177007</v>
      </c>
      <c r="T57" s="302">
        <f t="shared" si="97"/>
        <v>-1.1534936468034296</v>
      </c>
      <c r="U57" s="302">
        <f t="shared" si="97"/>
        <v>-1.1476081092866366</v>
      </c>
      <c r="V57" s="302">
        <f t="shared" si="97"/>
        <v>-1.1410547035660319</v>
      </c>
      <c r="W57" s="302">
        <f t="shared" si="97"/>
        <v>-1.133118636538331</v>
      </c>
      <c r="X57" s="302">
        <f t="shared" si="97"/>
        <v>-1.1261201729871588</v>
      </c>
      <c r="Y57" s="302">
        <f t="shared" si="97"/>
        <v>-1.1182031739141145</v>
      </c>
      <c r="Z57" s="302">
        <f t="shared" si="97"/>
        <v>-1.1086254971568896</v>
      </c>
      <c r="AA57" s="302">
        <f t="shared" si="97"/>
        <v>-1.100337437709886</v>
      </c>
      <c r="AB57" s="302">
        <f t="shared" si="97"/>
        <v>-1.0907713170045288</v>
      </c>
      <c r="AC57" s="302">
        <f t="shared" si="97"/>
        <v>-1.0792103543760563</v>
      </c>
      <c r="AD57" s="302">
        <f t="shared" si="97"/>
        <v>-1.0694244688128964</v>
      </c>
      <c r="AE57" s="302">
        <f t="shared" si="97"/>
        <v>-1.0578532065667021</v>
      </c>
      <c r="AF57" s="302">
        <f t="shared" si="97"/>
        <v>-1.0439888493819605</v>
      </c>
      <c r="AG57" s="302">
        <f t="shared" si="97"/>
        <v>-1.0323881748340806</v>
      </c>
      <c r="AH57" s="302">
        <f t="shared" si="97"/>
        <v>-1.0183890905289303</v>
      </c>
      <c r="AI57" s="302">
        <f t="shared" si="97"/>
        <v>-1.0021670175041311</v>
      </c>
      <c r="AJ57" s="302">
        <f t="shared" si="97"/>
        <v>-0.98809533277052675</v>
      </c>
      <c r="AK57" s="302">
        <f t="shared" si="97"/>
        <v>-0.97115853591160983</v>
      </c>
      <c r="AL57" s="302">
        <f t="shared" si="97"/>
        <v>-0.95229161268046825</v>
      </c>
      <c r="AM57" s="302">
        <f t="shared" ref="AM57:BO57" si="98">AM124*AM191</f>
        <v>-0.93517102942105479</v>
      </c>
      <c r="AN57" s="302">
        <f t="shared" si="98"/>
        <v>-0.91460216679858175</v>
      </c>
      <c r="AO57" s="302">
        <f t="shared" si="98"/>
        <v>-0.89268049613264333</v>
      </c>
      <c r="AP57" s="302">
        <f t="shared" si="98"/>
        <v>-0.87159684248172786</v>
      </c>
      <c r="AQ57" s="302">
        <f t="shared" si="98"/>
        <v>-0.84625480345310078</v>
      </c>
      <c r="AR57" s="302">
        <f t="shared" si="98"/>
        <v>-0.82041958251140235</v>
      </c>
      <c r="AS57" s="302">
        <f t="shared" si="98"/>
        <v>-0.79363819231556587</v>
      </c>
      <c r="AT57" s="302">
        <f t="shared" si="98"/>
        <v>-0.76132237549403381</v>
      </c>
      <c r="AU57" s="302">
        <f t="shared" si="98"/>
        <v>-0.72949400579754897</v>
      </c>
      <c r="AV57" s="302">
        <f t="shared" si="98"/>
        <v>-0.6935294160906017</v>
      </c>
      <c r="AW57" s="302">
        <f t="shared" si="98"/>
        <v>-0.65007775089023123</v>
      </c>
      <c r="AX57" s="302">
        <f t="shared" si="98"/>
        <v>-0.60817706935138838</v>
      </c>
      <c r="AY57" s="302">
        <f t="shared" si="98"/>
        <v>-0.55801436349978051</v>
      </c>
      <c r="AZ57" s="302">
        <f t="shared" si="98"/>
        <v>-0.50282508367831602</v>
      </c>
      <c r="BA57" s="302">
        <f t="shared" si="98"/>
        <v>-0.44784957611272908</v>
      </c>
      <c r="BB57" s="302">
        <f t="shared" si="98"/>
        <v>-0.39028421427957405</v>
      </c>
      <c r="BC57" s="302">
        <f t="shared" si="98"/>
        <v>1.2543252217009551</v>
      </c>
      <c r="BD57" s="302">
        <f t="shared" si="98"/>
        <v>1.2562688719011026</v>
      </c>
      <c r="BE57" s="302">
        <f t="shared" si="98"/>
        <v>1.2831516323192527</v>
      </c>
      <c r="BF57" s="302">
        <f t="shared" si="98"/>
        <v>1.3219544498672653</v>
      </c>
      <c r="BG57" s="302">
        <f t="shared" si="98"/>
        <v>1.3706039297964161</v>
      </c>
      <c r="BH57" s="302">
        <f t="shared" si="98"/>
        <v>1.4460184313114122</v>
      </c>
      <c r="BI57" s="302">
        <f t="shared" si="98"/>
        <v>1.557273552378575</v>
      </c>
      <c r="BJ57" s="302">
        <f t="shared" si="98"/>
        <v>1.6935375932896337</v>
      </c>
      <c r="BK57" s="302">
        <f t="shared" si="98"/>
        <v>1.8341494029877126</v>
      </c>
      <c r="BL57" s="302">
        <f t="shared" si="98"/>
        <v>1.9599317991516114</v>
      </c>
      <c r="BM57" s="302">
        <f t="shared" si="98"/>
        <v>2.0644990249469601</v>
      </c>
      <c r="BN57" s="302">
        <f t="shared" si="98"/>
        <v>2.1510043519302497</v>
      </c>
      <c r="BO57" s="775">
        <f t="shared" si="98"/>
        <v>2.2180352459281161</v>
      </c>
      <c r="BP57" s="223"/>
    </row>
    <row r="58" spans="3:68" ht="42" customHeight="1">
      <c r="C58" s="426"/>
      <c r="D58" s="425"/>
      <c r="E58" s="443">
        <v>-0.9</v>
      </c>
      <c r="F58" s="444">
        <f t="shared" si="68"/>
        <v>-1.1848004974599742</v>
      </c>
      <c r="G58" s="774">
        <f t="shared" ref="G58:AL58" si="99">G125*G192</f>
        <v>-1.2168820237739075</v>
      </c>
      <c r="H58" s="302">
        <f t="shared" si="99"/>
        <v>-1.2097688328641782</v>
      </c>
      <c r="I58" s="302">
        <f t="shared" si="99"/>
        <v>-1.2097224130204787</v>
      </c>
      <c r="J58" s="302">
        <f t="shared" si="99"/>
        <v>-1.2054899740554124</v>
      </c>
      <c r="K58" s="302">
        <f t="shared" si="99"/>
        <v>-1.2029834924457106</v>
      </c>
      <c r="L58" s="302">
        <f t="shared" si="99"/>
        <v>-1.1999456310404928</v>
      </c>
      <c r="M58" s="302">
        <f t="shared" si="99"/>
        <v>-1.1962611856942045</v>
      </c>
      <c r="N58" s="302">
        <f t="shared" si="99"/>
        <v>-1.1928530464811711</v>
      </c>
      <c r="O58" s="302">
        <f t="shared" si="99"/>
        <v>-1.1891801236035251</v>
      </c>
      <c r="P58" s="302">
        <f t="shared" si="99"/>
        <v>-1.1847191961983006</v>
      </c>
      <c r="Q58" s="302">
        <f t="shared" si="99"/>
        <v>-1.180624503444252</v>
      </c>
      <c r="R58" s="302">
        <f t="shared" si="99"/>
        <v>-1.1761671122285151</v>
      </c>
      <c r="S58" s="302">
        <f t="shared" si="99"/>
        <v>-1.1707524128416025</v>
      </c>
      <c r="T58" s="302">
        <f t="shared" si="99"/>
        <v>-1.1658332758024592</v>
      </c>
      <c r="U58" s="302">
        <f t="shared" si="99"/>
        <v>-1.1604233994411524</v>
      </c>
      <c r="V58" s="302">
        <f t="shared" si="99"/>
        <v>-1.1538617459203238</v>
      </c>
      <c r="W58" s="302">
        <f t="shared" si="99"/>
        <v>-1.1479804048108075</v>
      </c>
      <c r="X58" s="302">
        <f t="shared" si="99"/>
        <v>-1.1414297846465697</v>
      </c>
      <c r="Y58" s="302">
        <f t="shared" si="99"/>
        <v>-1.1334934593357944</v>
      </c>
      <c r="Z58" s="302">
        <f t="shared" si="99"/>
        <v>-1.12649110655979</v>
      </c>
      <c r="AA58" s="302">
        <f t="shared" si="99"/>
        <v>-1.1185647787981523</v>
      </c>
      <c r="AB58" s="302">
        <f t="shared" si="99"/>
        <v>-1.1089711909185682</v>
      </c>
      <c r="AC58" s="302">
        <f t="shared" si="99"/>
        <v>-1.1006609962553027</v>
      </c>
      <c r="AD58" s="302">
        <f t="shared" si="99"/>
        <v>-1.091065480732903</v>
      </c>
      <c r="AE58" s="302">
        <f t="shared" si="99"/>
        <v>-1.0794677265455828</v>
      </c>
      <c r="AF58" s="302">
        <f t="shared" si="99"/>
        <v>-1.0696385109494504</v>
      </c>
      <c r="AG58" s="302">
        <f t="shared" si="99"/>
        <v>-1.0580160628177002</v>
      </c>
      <c r="AH58" s="302">
        <f t="shared" si="99"/>
        <v>-1.0440914103957144</v>
      </c>
      <c r="AI58" s="302">
        <f t="shared" si="99"/>
        <v>-1.0324189463333211</v>
      </c>
      <c r="AJ58" s="302">
        <f t="shared" si="99"/>
        <v>-1.0183310878017151</v>
      </c>
      <c r="AK58" s="302">
        <f t="shared" si="99"/>
        <v>-1.0019954719082493</v>
      </c>
      <c r="AL58" s="302">
        <f t="shared" si="99"/>
        <v>-0.98777212454217034</v>
      </c>
      <c r="AM58" s="302">
        <f t="shared" ref="AM58:BO58" si="100">AM125*AM192</f>
        <v>-0.97062786277891799</v>
      </c>
      <c r="AN58" s="302">
        <f t="shared" si="100"/>
        <v>-0.95147098254596862</v>
      </c>
      <c r="AO58" s="302">
        <f t="shared" si="100"/>
        <v>-0.93393511548729269</v>
      </c>
      <c r="AP58" s="302">
        <f t="shared" si="100"/>
        <v>-0.91277470603870337</v>
      </c>
      <c r="AQ58" s="302">
        <f t="shared" si="100"/>
        <v>-0.89000417517134223</v>
      </c>
      <c r="AR58" s="302">
        <f t="shared" si="100"/>
        <v>-0.86769263820326448</v>
      </c>
      <c r="AS58" s="302">
        <f t="shared" si="100"/>
        <v>-0.84060656178639503</v>
      </c>
      <c r="AT58" s="302">
        <f t="shared" si="100"/>
        <v>-0.81227810460733918</v>
      </c>
      <c r="AU58" s="302">
        <f t="shared" si="100"/>
        <v>-0.78195488290565607</v>
      </c>
      <c r="AV58" s="302">
        <f t="shared" si="100"/>
        <v>-0.74474400321277467</v>
      </c>
      <c r="AW58" s="302">
        <f t="shared" si="100"/>
        <v>-0.70609170069288352</v>
      </c>
      <c r="AX58" s="302">
        <f t="shared" si="100"/>
        <v>-0.66095146914421465</v>
      </c>
      <c r="AY58" s="302">
        <f t="shared" si="100"/>
        <v>-0.60578252090505591</v>
      </c>
      <c r="AZ58" s="302">
        <f t="shared" si="100"/>
        <v>-0.54896498798256343</v>
      </c>
      <c r="BA58" s="302">
        <f t="shared" si="100"/>
        <v>-0.48231197465938952</v>
      </c>
      <c r="BB58" s="302">
        <f t="shared" si="100"/>
        <v>-0.41184141698865379</v>
      </c>
      <c r="BC58" s="302">
        <f t="shared" si="100"/>
        <v>-0.3478615865227126</v>
      </c>
      <c r="BD58" s="302">
        <f t="shared" si="100"/>
        <v>1.0296252116615707</v>
      </c>
      <c r="BE58" s="302">
        <f t="shared" si="100"/>
        <v>1.02918721783624</v>
      </c>
      <c r="BF58" s="302">
        <f t="shared" si="100"/>
        <v>1.0627038073511323</v>
      </c>
      <c r="BG58" s="302">
        <f t="shared" si="100"/>
        <v>1.114875141194031</v>
      </c>
      <c r="BH58" s="302">
        <f t="shared" si="100"/>
        <v>1.224729028824209</v>
      </c>
      <c r="BI58" s="302">
        <f t="shared" si="100"/>
        <v>1.3947650519356272</v>
      </c>
      <c r="BJ58" s="302">
        <f t="shared" si="100"/>
        <v>1.586080758921103</v>
      </c>
      <c r="BK58" s="302">
        <f t="shared" si="100"/>
        <v>1.7633275400035746</v>
      </c>
      <c r="BL58" s="302">
        <f t="shared" si="100"/>
        <v>1.9126188074257766</v>
      </c>
      <c r="BM58" s="302">
        <f t="shared" si="100"/>
        <v>2.0344117021015742</v>
      </c>
      <c r="BN58" s="302">
        <f t="shared" si="100"/>
        <v>2.1283342445332161</v>
      </c>
      <c r="BO58" s="775">
        <f t="shared" si="100"/>
        <v>2.1995048281274063</v>
      </c>
      <c r="BP58" s="223"/>
    </row>
    <row r="59" spans="3:68" ht="42" customHeight="1">
      <c r="C59" s="426"/>
      <c r="D59" s="425"/>
      <c r="E59" s="445">
        <v>-0.95</v>
      </c>
      <c r="F59" s="444">
        <f t="shared" si="68"/>
        <v>-1.196450392891073</v>
      </c>
      <c r="G59" s="774">
        <f t="shared" ref="G59:AL59" si="101">G126*G193</f>
        <v>-1.222864267952922</v>
      </c>
      <c r="H59" s="302">
        <f t="shared" si="101"/>
        <v>-1.2170084125260188</v>
      </c>
      <c r="I59" s="302">
        <f t="shared" si="101"/>
        <v>-1.2169791254223834</v>
      </c>
      <c r="J59" s="302">
        <f t="shared" si="101"/>
        <v>-1.2115214661144331</v>
      </c>
      <c r="K59" s="302">
        <f t="shared" si="101"/>
        <v>-1.2098708513841678</v>
      </c>
      <c r="L59" s="302">
        <f t="shared" si="101"/>
        <v>-1.2059986697952729</v>
      </c>
      <c r="M59" s="302">
        <f t="shared" si="101"/>
        <v>-1.2031766965964361</v>
      </c>
      <c r="N59" s="302">
        <f t="shared" si="101"/>
        <v>-1.2001564850194961</v>
      </c>
      <c r="O59" s="302">
        <f t="shared" si="101"/>
        <v>-1.1964857494330843</v>
      </c>
      <c r="P59" s="302">
        <f t="shared" si="101"/>
        <v>-1.1930874700793059</v>
      </c>
      <c r="Q59" s="302">
        <f t="shared" si="101"/>
        <v>-1.1894206549525259</v>
      </c>
      <c r="R59" s="302">
        <f t="shared" si="101"/>
        <v>-1.184962376748004</v>
      </c>
      <c r="S59" s="302">
        <f t="shared" si="101"/>
        <v>-1.1808682178635368</v>
      </c>
      <c r="T59" s="302">
        <f t="shared" si="101"/>
        <v>-1.1764112929439166</v>
      </c>
      <c r="U59" s="302">
        <f t="shared" si="101"/>
        <v>-1.1709981812286336</v>
      </c>
      <c r="V59" s="302">
        <f t="shared" si="101"/>
        <v>-1.1660815638053217</v>
      </c>
      <c r="W59" s="302">
        <f t="shared" si="101"/>
        <v>-1.1606741835275176</v>
      </c>
      <c r="X59" s="302">
        <f t="shared" si="101"/>
        <v>-1.1541140343914826</v>
      </c>
      <c r="Y59" s="302">
        <f t="shared" si="101"/>
        <v>-1.1482327319267291</v>
      </c>
      <c r="Z59" s="302">
        <f t="shared" si="101"/>
        <v>-1.1416795080295279</v>
      </c>
      <c r="AA59" s="302">
        <f t="shared" si="101"/>
        <v>-1.1337369468686269</v>
      </c>
      <c r="AB59" s="302">
        <f t="shared" si="101"/>
        <v>-1.126724490329952</v>
      </c>
      <c r="AC59" s="302">
        <f t="shared" si="101"/>
        <v>-1.1187831784913096</v>
      </c>
      <c r="AD59" s="302">
        <f t="shared" si="101"/>
        <v>-1.109169100910977</v>
      </c>
      <c r="AE59" s="302">
        <f t="shared" si="101"/>
        <v>-1.1008329465329463</v>
      </c>
      <c r="AF59" s="302">
        <f t="shared" si="101"/>
        <v>-1.0912048535171834</v>
      </c>
      <c r="AG59" s="302">
        <f t="shared" si="101"/>
        <v>-1.0795667392591919</v>
      </c>
      <c r="AH59" s="302">
        <f t="shared" si="101"/>
        <v>-1.069687697565664</v>
      </c>
      <c r="AI59" s="302">
        <f t="shared" si="101"/>
        <v>-1.058002147530372</v>
      </c>
      <c r="AJ59" s="302">
        <f t="shared" si="101"/>
        <v>-1.0439957239358271</v>
      </c>
      <c r="AK59" s="302">
        <f t="shared" si="101"/>
        <v>-1.0322136286140791</v>
      </c>
      <c r="AL59" s="302">
        <f t="shared" si="101"/>
        <v>-1.0179754422645642</v>
      </c>
      <c r="AM59" s="302">
        <f t="shared" ref="AM59:BO59" si="102">AM126*AM193</f>
        <v>-1.0014297374223222</v>
      </c>
      <c r="AN59" s="302">
        <f t="shared" si="102"/>
        <v>-0.98690509346409638</v>
      </c>
      <c r="AO59" s="302">
        <f t="shared" si="102"/>
        <v>-0.96932943279694073</v>
      </c>
      <c r="AP59" s="302">
        <f t="shared" si="102"/>
        <v>-0.94955138578873</v>
      </c>
      <c r="AQ59" s="302">
        <f t="shared" si="102"/>
        <v>-0.93110927957100342</v>
      </c>
      <c r="AR59" s="302">
        <f t="shared" si="102"/>
        <v>-0.90864557573005966</v>
      </c>
      <c r="AS59" s="302">
        <f t="shared" si="102"/>
        <v>-0.88399616349947951</v>
      </c>
      <c r="AT59" s="302">
        <f t="shared" si="102"/>
        <v>-0.85896403632366813</v>
      </c>
      <c r="AU59" s="302">
        <f t="shared" si="102"/>
        <v>-0.82802222775286738</v>
      </c>
      <c r="AV59" s="302">
        <f t="shared" si="102"/>
        <v>-0.79421072872154885</v>
      </c>
      <c r="AW59" s="302">
        <f t="shared" si="102"/>
        <v>-0.75617083014407938</v>
      </c>
      <c r="AX59" s="302">
        <f t="shared" si="102"/>
        <v>-0.70845816572769238</v>
      </c>
      <c r="AY59" s="302">
        <f t="shared" si="102"/>
        <v>-0.65550526584823765</v>
      </c>
      <c r="AZ59" s="302">
        <f t="shared" si="102"/>
        <v>-0.59183942880583373</v>
      </c>
      <c r="BA59" s="302">
        <f t="shared" si="102"/>
        <v>-0.51441807247837601</v>
      </c>
      <c r="BB59" s="302">
        <f t="shared" si="102"/>
        <v>-0.4319613703854826</v>
      </c>
      <c r="BC59" s="302">
        <f t="shared" si="102"/>
        <v>-0.34287898943187145</v>
      </c>
      <c r="BD59" s="302">
        <f t="shared" si="102"/>
        <v>-0.26500724649862073</v>
      </c>
      <c r="BE59" s="302">
        <f t="shared" si="102"/>
        <v>0.73334071011771385</v>
      </c>
      <c r="BF59" s="302">
        <f t="shared" si="102"/>
        <v>0.75131165428121305</v>
      </c>
      <c r="BG59" s="302">
        <f t="shared" si="102"/>
        <v>0.822657884036749</v>
      </c>
      <c r="BH59" s="302">
        <f t="shared" si="102"/>
        <v>1.0121517924916297</v>
      </c>
      <c r="BI59" s="302">
        <f t="shared" si="102"/>
        <v>1.2625488400130311</v>
      </c>
      <c r="BJ59" s="302">
        <f t="shared" si="102"/>
        <v>1.5046703969587065</v>
      </c>
      <c r="BK59" s="302">
        <f t="shared" si="102"/>
        <v>1.7117702016088852</v>
      </c>
      <c r="BL59" s="302">
        <f t="shared" si="102"/>
        <v>1.8798214513228262</v>
      </c>
      <c r="BM59" s="302">
        <f t="shared" si="102"/>
        <v>2.009555037948235</v>
      </c>
      <c r="BN59" s="302">
        <f t="shared" si="102"/>
        <v>2.1080688531247165</v>
      </c>
      <c r="BO59" s="775">
        <f t="shared" si="102"/>
        <v>2.1857329369995404</v>
      </c>
      <c r="BP59" s="223"/>
    </row>
    <row r="60" spans="3:68" ht="42" customHeight="1">
      <c r="C60" s="426"/>
      <c r="D60" s="425"/>
      <c r="E60" s="443">
        <v>-1</v>
      </c>
      <c r="F60" s="444">
        <f t="shared" si="68"/>
        <v>-1.2060435082083414</v>
      </c>
      <c r="G60" s="774">
        <f t="shared" ref="G60:AL60" si="103">G127*G194</f>
        <v>-1.2277716057813444</v>
      </c>
      <c r="H60" s="302">
        <f t="shared" si="103"/>
        <v>-1.2229552773166579</v>
      </c>
      <c r="I60" s="302">
        <f t="shared" si="103"/>
        <v>-1.2229368117319512</v>
      </c>
      <c r="J60" s="302">
        <f t="shared" si="103"/>
        <v>-1.2170975170035707</v>
      </c>
      <c r="K60" s="302">
        <f t="shared" si="103"/>
        <v>-1.2170846547870819</v>
      </c>
      <c r="L60" s="302">
        <f t="shared" si="103"/>
        <v>-1.2116416956182121</v>
      </c>
      <c r="M60" s="302">
        <f t="shared" si="103"/>
        <v>-1.2100043172951462</v>
      </c>
      <c r="N60" s="302">
        <f t="shared" si="103"/>
        <v>-1.2061429189879005</v>
      </c>
      <c r="O60" s="302">
        <f t="shared" si="103"/>
        <v>-1.2033294411394695</v>
      </c>
      <c r="P60" s="302">
        <f t="shared" si="103"/>
        <v>-1.2003152826000731</v>
      </c>
      <c r="Q60" s="302">
        <f t="shared" si="103"/>
        <v>-1.1966482329007551</v>
      </c>
      <c r="R60" s="302">
        <f t="shared" si="103"/>
        <v>-1.1932516479770103</v>
      </c>
      <c r="S60" s="302">
        <f t="shared" si="103"/>
        <v>-1.189585139976963</v>
      </c>
      <c r="T60" s="302">
        <f t="shared" si="103"/>
        <v>-1.1851270521527739</v>
      </c>
      <c r="U60" s="302">
        <f t="shared" si="103"/>
        <v>-1.1810339295640546</v>
      </c>
      <c r="V60" s="302">
        <f t="shared" si="103"/>
        <v>-1.1765784801121244</v>
      </c>
      <c r="W60" s="302">
        <f t="shared" si="103"/>
        <v>-1.1711667307276317</v>
      </c>
      <c r="X60" s="302">
        <f t="shared" si="103"/>
        <v>-1.1662510527888887</v>
      </c>
      <c r="Y60" s="302">
        <f t="shared" si="103"/>
        <v>-1.1608434842841722</v>
      </c>
      <c r="Z60" s="302">
        <f t="shared" si="103"/>
        <v>-1.1542813289264924</v>
      </c>
      <c r="AA60" s="302">
        <f t="shared" si="103"/>
        <v>-1.1483958646163086</v>
      </c>
      <c r="AB60" s="302">
        <f t="shared" si="103"/>
        <v>-1.1418355277006955</v>
      </c>
      <c r="AC60" s="302">
        <f t="shared" si="103"/>
        <v>-1.133882217920394</v>
      </c>
      <c r="AD60" s="302">
        <f t="shared" si="103"/>
        <v>-1.1268550493557188</v>
      </c>
      <c r="AE60" s="302">
        <f t="shared" si="103"/>
        <v>-1.1188940635463203</v>
      </c>
      <c r="AF60" s="302">
        <f t="shared" si="103"/>
        <v>-1.1092542700155916</v>
      </c>
      <c r="AG60" s="302">
        <f t="shared" si="103"/>
        <v>-1.1008850094516627</v>
      </c>
      <c r="AH60" s="302">
        <f t="shared" si="103"/>
        <v>-1.0912137112042519</v>
      </c>
      <c r="AI60" s="302">
        <f t="shared" si="103"/>
        <v>-1.0795184670966687</v>
      </c>
      <c r="AJ60" s="302">
        <f t="shared" si="103"/>
        <v>-1.0695621198059466</v>
      </c>
      <c r="AK60" s="302">
        <f t="shared" si="103"/>
        <v>-1.0577699518729722</v>
      </c>
      <c r="AL60" s="302">
        <f t="shared" si="103"/>
        <v>-1.0436142172000156</v>
      </c>
      <c r="AM60" s="302">
        <f t="shared" ref="AM60:BO60" si="104">AM127*AM194</f>
        <v>-1.0316178736489794</v>
      </c>
      <c r="AN60" s="302">
        <f t="shared" si="104"/>
        <v>-1.0170720214712983</v>
      </c>
      <c r="AO60" s="302">
        <f t="shared" si="104"/>
        <v>-1.0000824495414344</v>
      </c>
      <c r="AP60" s="302">
        <f t="shared" si="104"/>
        <v>-0.98490764936038844</v>
      </c>
      <c r="AQ60" s="302">
        <f t="shared" si="104"/>
        <v>-0.96639036133212153</v>
      </c>
      <c r="AR60" s="302">
        <f t="shared" si="104"/>
        <v>-0.94524839738533772</v>
      </c>
      <c r="AS60" s="302">
        <f t="shared" si="104"/>
        <v>-0.92481226823699925</v>
      </c>
      <c r="AT60" s="302">
        <f t="shared" si="104"/>
        <v>-0.89948453755875435</v>
      </c>
      <c r="AU60" s="302">
        <f t="shared" si="104"/>
        <v>-0.87072311156875315</v>
      </c>
      <c r="AV60" s="302">
        <f t="shared" si="104"/>
        <v>-0.83978035398095585</v>
      </c>
      <c r="AW60" s="302">
        <f t="shared" si="104"/>
        <v>-0.80056113625245606</v>
      </c>
      <c r="AX60" s="302">
        <f t="shared" si="104"/>
        <v>-0.75518714404659448</v>
      </c>
      <c r="AY60" s="302">
        <f t="shared" si="104"/>
        <v>-0.70130167804639509</v>
      </c>
      <c r="AZ60" s="302">
        <f t="shared" si="104"/>
        <v>-0.63287288795980623</v>
      </c>
      <c r="BA60" s="302">
        <f t="shared" si="104"/>
        <v>-0.55326316876448689</v>
      </c>
      <c r="BB60" s="302">
        <f t="shared" si="104"/>
        <v>-0.45784798194891585</v>
      </c>
      <c r="BC60" s="302">
        <f t="shared" si="104"/>
        <v>-0.34696595062142904</v>
      </c>
      <c r="BD60" s="302">
        <f t="shared" si="104"/>
        <v>-0.23404993747900896</v>
      </c>
      <c r="BE60" s="302">
        <f t="shared" si="104"/>
        <v>-0.14536095318893497</v>
      </c>
      <c r="BF60" s="302">
        <f t="shared" si="104"/>
        <v>0.40151478999831514</v>
      </c>
      <c r="BG60" s="302">
        <f t="shared" si="104"/>
        <v>0.56194458118246959</v>
      </c>
      <c r="BH60" s="302">
        <f t="shared" si="104"/>
        <v>0.87483746229183545</v>
      </c>
      <c r="BI60" s="302">
        <f t="shared" si="104"/>
        <v>1.1873491405349146</v>
      </c>
      <c r="BJ60" s="302">
        <f t="shared" si="104"/>
        <v>1.4592832874211281</v>
      </c>
      <c r="BK60" s="302">
        <f t="shared" si="104"/>
        <v>1.68178606003398</v>
      </c>
      <c r="BL60" s="302">
        <f t="shared" si="104"/>
        <v>1.8556812315409725</v>
      </c>
      <c r="BM60" s="302">
        <f t="shared" si="104"/>
        <v>1.9892194841085005</v>
      </c>
      <c r="BN60" s="302">
        <f t="shared" si="104"/>
        <v>2.0933981854793529</v>
      </c>
      <c r="BO60" s="775">
        <f t="shared" si="104"/>
        <v>2.1717873698628911</v>
      </c>
      <c r="BP60" s="223"/>
    </row>
    <row r="61" spans="3:68" ht="42" customHeight="1">
      <c r="C61" s="426"/>
      <c r="D61" s="425"/>
      <c r="E61" s="445">
        <v>-1.05</v>
      </c>
      <c r="F61" s="444">
        <f t="shared" si="68"/>
        <v>-1.2139348374985799</v>
      </c>
      <c r="G61" s="774">
        <f t="shared" ref="G61:AL61" si="105">G128*G195</f>
        <v>-1.2317947654359769</v>
      </c>
      <c r="H61" s="302">
        <f t="shared" si="105"/>
        <v>-1.2278364756127595</v>
      </c>
      <c r="I61" s="302">
        <f t="shared" si="105"/>
        <v>-1.227824834938521</v>
      </c>
      <c r="J61" s="302">
        <f t="shared" si="105"/>
        <v>-1.2230191895974016</v>
      </c>
      <c r="K61" s="302">
        <f t="shared" si="105"/>
        <v>-1.2230111647910509</v>
      </c>
      <c r="L61" s="302">
        <f t="shared" si="105"/>
        <v>-1.2171810541115218</v>
      </c>
      <c r="M61" s="302">
        <f t="shared" si="105"/>
        <v>-1.2171765560172032</v>
      </c>
      <c r="N61" s="302">
        <f t="shared" si="105"/>
        <v>-1.2117401302349424</v>
      </c>
      <c r="O61" s="302">
        <f t="shared" si="105"/>
        <v>-1.210108069438748</v>
      </c>
      <c r="P61" s="302">
        <f t="shared" si="105"/>
        <v>-1.2062502934858741</v>
      </c>
      <c r="Q61" s="302">
        <f t="shared" si="105"/>
        <v>-1.203439117611768</v>
      </c>
      <c r="R61" s="302">
        <f t="shared" si="105"/>
        <v>-1.2004259892875524</v>
      </c>
      <c r="S61" s="302">
        <f t="shared" si="105"/>
        <v>-1.1967590693878687</v>
      </c>
      <c r="T61" s="302">
        <f t="shared" si="105"/>
        <v>-1.1933626217666544</v>
      </c>
      <c r="U61" s="302">
        <f t="shared" si="105"/>
        <v>-1.1896966973426835</v>
      </c>
      <c r="V61" s="302">
        <f t="shared" si="105"/>
        <v>-1.1852393943680217</v>
      </c>
      <c r="W61" s="302">
        <f t="shared" si="105"/>
        <v>-1.1811470687745278</v>
      </c>
      <c r="X61" s="302">
        <f t="shared" si="105"/>
        <v>-1.1766920227730935</v>
      </c>
      <c r="Y61" s="302">
        <f t="shared" si="105"/>
        <v>-1.1712798475711996</v>
      </c>
      <c r="Z61" s="302">
        <f t="shared" si="105"/>
        <v>-1.1663626371541591</v>
      </c>
      <c r="AA61" s="302">
        <f t="shared" si="105"/>
        <v>-1.1609518770928648</v>
      </c>
      <c r="AB61" s="302">
        <f t="shared" si="105"/>
        <v>-1.1543843112433239</v>
      </c>
      <c r="AC61" s="302">
        <f t="shared" si="105"/>
        <v>-1.1484908166240191</v>
      </c>
      <c r="AD61" s="302">
        <f t="shared" si="105"/>
        <v>-1.1419190244102546</v>
      </c>
      <c r="AE61" s="302">
        <f t="shared" si="105"/>
        <v>-1.1339499086887237</v>
      </c>
      <c r="AF61" s="302">
        <f t="shared" si="105"/>
        <v>-1.1269014791379592</v>
      </c>
      <c r="AG61" s="302">
        <f t="shared" si="105"/>
        <v>-1.1189118068415751</v>
      </c>
      <c r="AH61" s="302">
        <f t="shared" si="105"/>
        <v>-1.1092331406092955</v>
      </c>
      <c r="AI61" s="302">
        <f t="shared" si="105"/>
        <v>-1.1008105128834182</v>
      </c>
      <c r="AJ61" s="302">
        <f t="shared" si="105"/>
        <v>-1.0910649193915165</v>
      </c>
      <c r="AK61" s="302">
        <f t="shared" si="105"/>
        <v>-1.0792650553659338</v>
      </c>
      <c r="AL61" s="302">
        <f t="shared" si="105"/>
        <v>-1.069158467681133</v>
      </c>
      <c r="AM61" s="302">
        <f t="shared" ref="AM61:BO61" si="106">AM128*AM195</f>
        <v>-1.0571499027346083</v>
      </c>
      <c r="AN61" s="302">
        <f t="shared" si="106"/>
        <v>-1.0426813978509091</v>
      </c>
      <c r="AO61" s="302">
        <f t="shared" si="106"/>
        <v>-1.0302259858342711</v>
      </c>
      <c r="AP61" s="302">
        <f t="shared" si="106"/>
        <v>-1.0150122160242068</v>
      </c>
      <c r="AQ61" s="302">
        <f t="shared" si="106"/>
        <v>-0.9970518675990645</v>
      </c>
      <c r="AR61" s="302">
        <f t="shared" si="106"/>
        <v>-0.98045011378911218</v>
      </c>
      <c r="AS61" s="302">
        <f t="shared" si="106"/>
        <v>-0.95986607117503553</v>
      </c>
      <c r="AT61" s="302">
        <f t="shared" si="106"/>
        <v>-0.93573830077781839</v>
      </c>
      <c r="AU61" s="302">
        <f t="shared" si="106"/>
        <v>-0.91096015840890843</v>
      </c>
      <c r="AV61" s="302">
        <f t="shared" si="106"/>
        <v>-0.87945178556673387</v>
      </c>
      <c r="AW61" s="302">
        <f t="shared" si="106"/>
        <v>-0.84193709582708065</v>
      </c>
      <c r="AX61" s="302">
        <f t="shared" si="106"/>
        <v>-0.79866458926560913</v>
      </c>
      <c r="AY61" s="302">
        <f t="shared" si="106"/>
        <v>-0.74269985432079033</v>
      </c>
      <c r="AZ61" s="302">
        <f t="shared" si="106"/>
        <v>-0.6749519017062976</v>
      </c>
      <c r="BA61" s="302">
        <f t="shared" si="106"/>
        <v>-0.59233489687865692</v>
      </c>
      <c r="BB61" s="302">
        <f t="shared" si="106"/>
        <v>-0.48982895680639882</v>
      </c>
      <c r="BC61" s="302">
        <f t="shared" si="106"/>
        <v>-0.37193432749434024</v>
      </c>
      <c r="BD61" s="302">
        <f t="shared" si="106"/>
        <v>-0.23921607807154752</v>
      </c>
      <c r="BE61" s="302">
        <f t="shared" si="106"/>
        <v>-9.9174076869875047E-2</v>
      </c>
      <c r="BF61" s="302">
        <f t="shared" si="106"/>
        <v>-3.6242489345383322E-2</v>
      </c>
      <c r="BG61" s="302">
        <f t="shared" si="106"/>
        <v>0.47419973946266536</v>
      </c>
      <c r="BH61" s="302">
        <f t="shared" si="106"/>
        <v>0.83533279236274649</v>
      </c>
      <c r="BI61" s="302">
        <f t="shared" si="106"/>
        <v>1.1618543494974924</v>
      </c>
      <c r="BJ61" s="302">
        <f t="shared" si="106"/>
        <v>1.4384037701149011</v>
      </c>
      <c r="BK61" s="302">
        <f t="shared" si="106"/>
        <v>1.6613703978543937</v>
      </c>
      <c r="BL61" s="302">
        <f t="shared" si="106"/>
        <v>1.8369254442388712</v>
      </c>
      <c r="BM61" s="302">
        <f t="shared" si="106"/>
        <v>1.9741885300620019</v>
      </c>
      <c r="BN61" s="302">
        <f t="shared" si="106"/>
        <v>2.0781605201272706</v>
      </c>
      <c r="BO61" s="775">
        <f t="shared" si="106"/>
        <v>2.1567800666605432</v>
      </c>
      <c r="BP61" s="223"/>
    </row>
    <row r="62" spans="3:68" ht="42" customHeight="1">
      <c r="C62" s="426"/>
      <c r="D62" s="425"/>
      <c r="E62" s="443">
        <v>-1.1000000000000001</v>
      </c>
      <c r="F62" s="444">
        <f t="shared" si="68"/>
        <v>-1.2204207758596843</v>
      </c>
      <c r="G62" s="774">
        <f t="shared" ref="G62:AL62" si="107">G129*G196</f>
        <v>-1.2350916404171595</v>
      </c>
      <c r="H62" s="302">
        <f t="shared" si="107"/>
        <v>-1.2318406185317068</v>
      </c>
      <c r="I62" s="302">
        <f t="shared" si="107"/>
        <v>-1.231833278667938</v>
      </c>
      <c r="J62" s="302">
        <f t="shared" si="107"/>
        <v>-1.2278818579346584</v>
      </c>
      <c r="K62" s="302">
        <f t="shared" si="107"/>
        <v>-1.227876843340262</v>
      </c>
      <c r="L62" s="302">
        <f t="shared" si="107"/>
        <v>-1.2230769969029121</v>
      </c>
      <c r="M62" s="302">
        <f t="shared" si="107"/>
        <v>-1.2230741966700922</v>
      </c>
      <c r="N62" s="302">
        <f t="shared" si="107"/>
        <v>-1.2172480969610942</v>
      </c>
      <c r="O62" s="302">
        <f t="shared" si="107"/>
        <v>-1.2172469716385192</v>
      </c>
      <c r="P62" s="302">
        <f t="shared" si="107"/>
        <v>-1.2118126642103202</v>
      </c>
      <c r="Q62" s="302">
        <f t="shared" si="107"/>
        <v>-1.2101820679905644</v>
      </c>
      <c r="R62" s="302">
        <f t="shared" si="107"/>
        <v>-1.206324839983657</v>
      </c>
      <c r="S62" s="302">
        <f t="shared" si="107"/>
        <v>-1.20351374792502</v>
      </c>
      <c r="T62" s="302">
        <f t="shared" si="107"/>
        <v>-1.2005006660387711</v>
      </c>
      <c r="U62" s="302">
        <f t="shared" si="107"/>
        <v>-1.1968340224008223</v>
      </c>
      <c r="V62" s="302">
        <f t="shared" si="107"/>
        <v>-1.1934380088838754</v>
      </c>
      <c r="W62" s="302">
        <f t="shared" si="107"/>
        <v>-1.1897724450467064</v>
      </c>
      <c r="X62" s="302">
        <f t="shared" si="107"/>
        <v>-1.1853151663474986</v>
      </c>
      <c r="Y62" s="302">
        <f t="shared" si="107"/>
        <v>-1.1812223357143952</v>
      </c>
      <c r="Z62" s="302">
        <f t="shared" si="107"/>
        <v>-1.1767658979639333</v>
      </c>
      <c r="AA62" s="302">
        <f t="shared" si="107"/>
        <v>-1.171351043604473</v>
      </c>
      <c r="AB62" s="302">
        <f t="shared" si="107"/>
        <v>-1.166429520349012</v>
      </c>
      <c r="AC62" s="302">
        <f t="shared" si="107"/>
        <v>-1.1610122124240727</v>
      </c>
      <c r="AD62" s="302">
        <f t="shared" si="107"/>
        <v>-1.1544351343193184</v>
      </c>
      <c r="AE62" s="302">
        <f t="shared" si="107"/>
        <v>-1.1485282880935717</v>
      </c>
      <c r="AF62" s="302">
        <f t="shared" si="107"/>
        <v>-1.1419378680072629</v>
      </c>
      <c r="AG62" s="302">
        <f t="shared" si="107"/>
        <v>-1.1339428453294942</v>
      </c>
      <c r="AH62" s="302">
        <f t="shared" si="107"/>
        <v>-1.1268582173521806</v>
      </c>
      <c r="AI62" s="302">
        <f t="shared" si="107"/>
        <v>-1.118817539357835</v>
      </c>
      <c r="AJ62" s="302">
        <f t="shared" si="107"/>
        <v>-1.1090664730514799</v>
      </c>
      <c r="AK62" s="302">
        <f t="shared" si="107"/>
        <v>-1.1005395768252408</v>
      </c>
      <c r="AL62" s="302">
        <f t="shared" si="107"/>
        <v>-1.0906432707003457</v>
      </c>
      <c r="AM62" s="302">
        <f t="shared" ref="AM62:BO62" si="108">AM129*AM196</f>
        <v>-1.078624922233921</v>
      </c>
      <c r="AN62" s="302">
        <f t="shared" si="108"/>
        <v>-1.0681975074253691</v>
      </c>
      <c r="AO62" s="302">
        <f t="shared" si="108"/>
        <v>-1.0557203490722611</v>
      </c>
      <c r="AP62" s="302">
        <f t="shared" si="108"/>
        <v>-1.0405687069547378</v>
      </c>
      <c r="AQ62" s="302">
        <f t="shared" si="108"/>
        <v>-1.0271056575721389</v>
      </c>
      <c r="AR62" s="302">
        <f t="shared" si="108"/>
        <v>-1.0104236073464459</v>
      </c>
      <c r="AS62" s="302">
        <f t="shared" si="108"/>
        <v>-0.99033116659642029</v>
      </c>
      <c r="AT62" s="302">
        <f t="shared" si="108"/>
        <v>-0.97060530399514533</v>
      </c>
      <c r="AU62" s="302">
        <f t="shared" si="108"/>
        <v>-0.94552336175976015</v>
      </c>
      <c r="AV62" s="302">
        <f t="shared" si="108"/>
        <v>-0.91495864410187711</v>
      </c>
      <c r="AW62" s="302">
        <f t="shared" si="108"/>
        <v>-0.88095100734137288</v>
      </c>
      <c r="AX62" s="302">
        <f t="shared" si="108"/>
        <v>-0.83658467242428736</v>
      </c>
      <c r="AY62" s="302">
        <f t="shared" si="108"/>
        <v>-0.78143050801240799</v>
      </c>
      <c r="AZ62" s="302">
        <f t="shared" si="108"/>
        <v>-0.71444672733904879</v>
      </c>
      <c r="BA62" s="302">
        <f t="shared" si="108"/>
        <v>-0.62850050655241596</v>
      </c>
      <c r="BB62" s="302">
        <f t="shared" si="108"/>
        <v>-0.5247528070950318</v>
      </c>
      <c r="BC62" s="302">
        <f t="shared" si="108"/>
        <v>-0.40320011655927041</v>
      </c>
      <c r="BD62" s="302">
        <f t="shared" si="108"/>
        <v>-0.26853902451469891</v>
      </c>
      <c r="BE62" s="302">
        <f t="shared" si="108"/>
        <v>-0.1544072553350577</v>
      </c>
      <c r="BF62" s="302">
        <f t="shared" si="108"/>
        <v>-0.13121379676118036</v>
      </c>
      <c r="BG62" s="302">
        <f t="shared" si="108"/>
        <v>-0.18904377900276051</v>
      </c>
      <c r="BH62" s="302">
        <f t="shared" si="108"/>
        <v>0.83866157160630272</v>
      </c>
      <c r="BI62" s="302">
        <f t="shared" si="108"/>
        <v>1.1525557507852584</v>
      </c>
      <c r="BJ62" s="302">
        <f t="shared" si="108"/>
        <v>1.4225582467308546</v>
      </c>
      <c r="BK62" s="302">
        <f t="shared" si="108"/>
        <v>1.6447131877044425</v>
      </c>
      <c r="BL62" s="302">
        <f t="shared" si="108"/>
        <v>1.8214326401195626</v>
      </c>
      <c r="BM62" s="302">
        <f t="shared" si="108"/>
        <v>1.9574377185987379</v>
      </c>
      <c r="BN62" s="302">
        <f t="shared" si="108"/>
        <v>2.0616862530398796</v>
      </c>
      <c r="BO62" s="775">
        <f t="shared" si="108"/>
        <v>2.1442395369313227</v>
      </c>
      <c r="BP62" s="223"/>
    </row>
    <row r="63" spans="3:68" ht="42" customHeight="1">
      <c r="C63" s="426"/>
      <c r="D63" s="425"/>
      <c r="E63" s="445">
        <v>-1.1499999999999999</v>
      </c>
      <c r="F63" s="444">
        <f t="shared" si="68"/>
        <v>-1.2257479035494421</v>
      </c>
      <c r="G63" s="774">
        <f t="shared" ref="G63:AL63" si="109">G130*G197</f>
        <v>-1.2377925240767274</v>
      </c>
      <c r="H63" s="302">
        <f t="shared" si="109"/>
        <v>-1.2351238277476371</v>
      </c>
      <c r="I63" s="302">
        <f t="shared" si="109"/>
        <v>-1.2351191972858788</v>
      </c>
      <c r="J63" s="302">
        <f t="shared" si="109"/>
        <v>-1.2318725813561533</v>
      </c>
      <c r="K63" s="302">
        <f t="shared" si="109"/>
        <v>-1.231869442261472</v>
      </c>
      <c r="L63" s="302">
        <f t="shared" si="109"/>
        <v>-1.2279216822948866</v>
      </c>
      <c r="M63" s="302">
        <f t="shared" si="109"/>
        <v>-1.2279199334792446</v>
      </c>
      <c r="N63" s="302">
        <f t="shared" si="109"/>
        <v>-1.2231226015296373</v>
      </c>
      <c r="O63" s="302">
        <f t="shared" si="109"/>
        <v>-1.2231218903949292</v>
      </c>
      <c r="P63" s="302">
        <f t="shared" si="109"/>
        <v>-1.2172970620052617</v>
      </c>
      <c r="Q63" s="302">
        <f t="shared" si="109"/>
        <v>-1.2172968911028494</v>
      </c>
      <c r="R63" s="302">
        <f t="shared" si="109"/>
        <v>-1.2118628248876606</v>
      </c>
      <c r="S63" s="302">
        <f t="shared" si="109"/>
        <v>-1.2102322893688449</v>
      </c>
      <c r="T63" s="302">
        <f t="shared" si="109"/>
        <v>-1.206374999608564</v>
      </c>
      <c r="U63" s="302">
        <f t="shared" si="109"/>
        <v>-1.2035640353738364</v>
      </c>
      <c r="V63" s="302">
        <f t="shared" si="109"/>
        <v>-1.2005511289252027</v>
      </c>
      <c r="W63" s="302">
        <f t="shared" si="109"/>
        <v>-1.1968845519497553</v>
      </c>
      <c r="X63" s="302">
        <f t="shared" si="109"/>
        <v>-1.1934883706605925</v>
      </c>
      <c r="Y63" s="302">
        <f t="shared" si="109"/>
        <v>-1.189822181880422</v>
      </c>
      <c r="Z63" s="302">
        <f t="shared" si="109"/>
        <v>-1.1853635539225991</v>
      </c>
      <c r="AA63" s="302">
        <f t="shared" si="109"/>
        <v>-1.1812683905498045</v>
      </c>
      <c r="AB63" s="302">
        <f t="shared" si="109"/>
        <v>-1.1768082134908273</v>
      </c>
      <c r="AC63" s="302">
        <f t="shared" si="109"/>
        <v>-1.1713876767853786</v>
      </c>
      <c r="AD63" s="302">
        <f t="shared" si="109"/>
        <v>-1.1664578689659273</v>
      </c>
      <c r="AE63" s="302">
        <f t="shared" si="109"/>
        <v>-1.161028643323972</v>
      </c>
      <c r="AF63" s="302">
        <f t="shared" si="109"/>
        <v>-1.1544345766799242</v>
      </c>
      <c r="AG63" s="302">
        <f t="shared" si="109"/>
        <v>-1.1485035605954084</v>
      </c>
      <c r="AH63" s="302">
        <f t="shared" si="109"/>
        <v>-1.1418786384726398</v>
      </c>
      <c r="AI63" s="302">
        <f t="shared" si="109"/>
        <v>-1.1338341954773909</v>
      </c>
      <c r="AJ63" s="302">
        <f t="shared" si="109"/>
        <v>-1.1266780798738176</v>
      </c>
      <c r="AK63" s="302">
        <f t="shared" si="109"/>
        <v>-1.1185336793254765</v>
      </c>
      <c r="AL63" s="302">
        <f t="shared" si="109"/>
        <v>-1.1086317934106888</v>
      </c>
      <c r="AM63" s="302">
        <f t="shared" ref="AM63:BO63" si="110">AM130*AM197</f>
        <v>-1.0998833802433334</v>
      </c>
      <c r="AN63" s="302">
        <f t="shared" si="110"/>
        <v>-1.0896626871713933</v>
      </c>
      <c r="AO63" s="302">
        <f t="shared" si="110"/>
        <v>-1.0771701406665672</v>
      </c>
      <c r="AP63" s="302">
        <f t="shared" si="110"/>
        <v>-1.066042922792839</v>
      </c>
      <c r="AQ63" s="302">
        <f t="shared" si="110"/>
        <v>-1.0525419656204222</v>
      </c>
      <c r="AR63" s="302">
        <f t="shared" si="110"/>
        <v>-1.0358990126363561</v>
      </c>
      <c r="AS63" s="302">
        <f t="shared" si="110"/>
        <v>-1.0202428294210848</v>
      </c>
      <c r="AT63" s="302">
        <f t="shared" si="110"/>
        <v>-1.0003831576625297</v>
      </c>
      <c r="AU63" s="302">
        <f t="shared" si="110"/>
        <v>-0.97571724132812632</v>
      </c>
      <c r="AV63" s="302">
        <f t="shared" si="110"/>
        <v>-0.94937673261548683</v>
      </c>
      <c r="AW63" s="302">
        <f t="shared" si="110"/>
        <v>-0.91495685658340675</v>
      </c>
      <c r="AX63" s="302">
        <f t="shared" si="110"/>
        <v>-0.87141346243282802</v>
      </c>
      <c r="AY63" s="302">
        <f t="shared" si="110"/>
        <v>-0.81958629126306481</v>
      </c>
      <c r="AZ63" s="302">
        <f t="shared" si="110"/>
        <v>-0.75203281532963917</v>
      </c>
      <c r="BA63" s="302">
        <f t="shared" si="110"/>
        <v>-0.66837036879454803</v>
      </c>
      <c r="BB63" s="302">
        <f t="shared" si="110"/>
        <v>-0.56976947596582184</v>
      </c>
      <c r="BC63" s="302">
        <f t="shared" si="110"/>
        <v>-0.45820729231223289</v>
      </c>
      <c r="BD63" s="302">
        <f t="shared" si="110"/>
        <v>-0.35558637090238054</v>
      </c>
      <c r="BE63" s="302">
        <f t="shared" si="110"/>
        <v>-0.29791326083252984</v>
      </c>
      <c r="BF63" s="302">
        <f t="shared" si="110"/>
        <v>-0.28301911539474789</v>
      </c>
      <c r="BG63" s="302">
        <f t="shared" si="110"/>
        <v>-0.29516337454576247</v>
      </c>
      <c r="BH63" s="302">
        <f t="shared" si="110"/>
        <v>-0.35011478905464677</v>
      </c>
      <c r="BI63" s="302">
        <f t="shared" si="110"/>
        <v>1.1805140574591699</v>
      </c>
      <c r="BJ63" s="302">
        <f t="shared" si="110"/>
        <v>1.4274689514890828</v>
      </c>
      <c r="BK63" s="302">
        <f t="shared" si="110"/>
        <v>1.6384254891020507</v>
      </c>
      <c r="BL63" s="302">
        <f t="shared" si="110"/>
        <v>1.8081405506901747</v>
      </c>
      <c r="BM63" s="302">
        <f t="shared" si="110"/>
        <v>1.9423131612711402</v>
      </c>
      <c r="BN63" s="302">
        <f t="shared" si="110"/>
        <v>2.0486303529812604</v>
      </c>
      <c r="BO63" s="775">
        <f t="shared" si="110"/>
        <v>2.130021759871263</v>
      </c>
      <c r="BP63" s="223"/>
    </row>
    <row r="64" spans="3:68" ht="42" customHeight="1">
      <c r="C64" s="426"/>
      <c r="D64" s="425"/>
      <c r="E64" s="443">
        <v>-1.2</v>
      </c>
      <c r="F64" s="444">
        <f t="shared" si="68"/>
        <v>-1.2301207581925278</v>
      </c>
      <c r="G64" s="774">
        <f t="shared" ref="G64:AL64" si="111">G131*G198</f>
        <v>-1.2400046853597742</v>
      </c>
      <c r="H64" s="302">
        <f t="shared" si="111"/>
        <v>-1.2378149880058862</v>
      </c>
      <c r="I64" s="302">
        <f t="shared" si="111"/>
        <v>-1.2378120645561075</v>
      </c>
      <c r="J64" s="302">
        <f t="shared" si="111"/>
        <v>-1.2351461891588691</v>
      </c>
      <c r="K64" s="302">
        <f t="shared" si="111"/>
        <v>-1.2351442202145033</v>
      </c>
      <c r="L64" s="302">
        <f t="shared" si="111"/>
        <v>-1.231899915175843</v>
      </c>
      <c r="M64" s="302">
        <f t="shared" si="111"/>
        <v>-1.2318988188376616</v>
      </c>
      <c r="N64" s="302">
        <f t="shared" si="111"/>
        <v>-1.2279526353965786</v>
      </c>
      <c r="O64" s="302">
        <f t="shared" si="111"/>
        <v>-1.2279521808083662</v>
      </c>
      <c r="P64" s="302">
        <f t="shared" si="111"/>
        <v>-1.223155645481675</v>
      </c>
      <c r="Q64" s="302">
        <f t="shared" si="111"/>
        <v>-1.2231555133380672</v>
      </c>
      <c r="R64" s="302">
        <f t="shared" si="111"/>
        <v>-1.2173307920364118</v>
      </c>
      <c r="S64" s="302">
        <f t="shared" si="111"/>
        <v>-1.2173306695844921</v>
      </c>
      <c r="T64" s="302">
        <f t="shared" si="111"/>
        <v>-1.2118964675282737</v>
      </c>
      <c r="U64" s="302">
        <f t="shared" si="111"/>
        <v>-1.2102659706868752</v>
      </c>
      <c r="V64" s="302">
        <f t="shared" si="111"/>
        <v>-1.2064086601700656</v>
      </c>
      <c r="W64" s="302">
        <f t="shared" si="111"/>
        <v>-1.2035976061244185</v>
      </c>
      <c r="X64" s="302">
        <f t="shared" si="111"/>
        <v>-1.2005843805358785</v>
      </c>
      <c r="Y64" s="302">
        <f t="shared" si="111"/>
        <v>-1.1969170834230334</v>
      </c>
      <c r="Z64" s="302">
        <f t="shared" si="111"/>
        <v>-1.1935196006627735</v>
      </c>
      <c r="AA64" s="302">
        <f t="shared" si="111"/>
        <v>-1.1898512433408068</v>
      </c>
      <c r="AB64" s="302">
        <f t="shared" si="111"/>
        <v>-1.1853892043930969</v>
      </c>
      <c r="AC64" s="302">
        <f t="shared" si="111"/>
        <v>-1.1812889132026541</v>
      </c>
      <c r="AD64" s="302">
        <f t="shared" si="111"/>
        <v>-1.1768211689016093</v>
      </c>
      <c r="AE64" s="302">
        <f t="shared" si="111"/>
        <v>-1.1713896129340666</v>
      </c>
      <c r="AF64" s="302">
        <f t="shared" si="111"/>
        <v>-1.1664438668745021</v>
      </c>
      <c r="AG64" s="302">
        <f t="shared" si="111"/>
        <v>-1.1609916066957686</v>
      </c>
      <c r="AH64" s="302">
        <f t="shared" si="111"/>
        <v>-1.1543642467419848</v>
      </c>
      <c r="AI64" s="302">
        <f t="shared" si="111"/>
        <v>-1.148384828986696</v>
      </c>
      <c r="AJ64" s="302">
        <f t="shared" si="111"/>
        <v>-1.1416894145151488</v>
      </c>
      <c r="AK64" s="302">
        <f t="shared" si="111"/>
        <v>-1.1335421928305101</v>
      </c>
      <c r="AL64" s="302">
        <f t="shared" si="111"/>
        <v>-1.1262350902140572</v>
      </c>
      <c r="AM64" s="302">
        <f t="shared" ref="AM64:BO64" si="112">AM131*AM198</f>
        <v>-1.117869277704153</v>
      </c>
      <c r="AN64" s="302">
        <f t="shared" si="112"/>
        <v>-1.1076432385188892</v>
      </c>
      <c r="AO64" s="302">
        <f t="shared" si="112"/>
        <v>-1.0984168737154609</v>
      </c>
      <c r="AP64" s="302">
        <f t="shared" si="112"/>
        <v>-1.0874958029808108</v>
      </c>
      <c r="AQ64" s="302">
        <f t="shared" si="112"/>
        <v>-1.0739813846035373</v>
      </c>
      <c r="AR64" s="302">
        <f t="shared" si="112"/>
        <v>-1.0613525385180196</v>
      </c>
      <c r="AS64" s="302">
        <f t="shared" si="112"/>
        <v>-1.0456704702461044</v>
      </c>
      <c r="AT64" s="302">
        <f t="shared" si="112"/>
        <v>-1.0258841349579177</v>
      </c>
      <c r="AU64" s="302">
        <f t="shared" si="112"/>
        <v>-1.005674430315258</v>
      </c>
      <c r="AV64" s="302">
        <f t="shared" si="112"/>
        <v>-0.97936125122359985</v>
      </c>
      <c r="AW64" s="302">
        <f t="shared" si="112"/>
        <v>-0.94570170584832292</v>
      </c>
      <c r="AX64" s="302">
        <f t="shared" si="112"/>
        <v>-0.9069541468209168</v>
      </c>
      <c r="AY64" s="302">
        <f t="shared" si="112"/>
        <v>-0.85627059210358325</v>
      </c>
      <c r="AZ64" s="302">
        <f t="shared" si="112"/>
        <v>-0.79268228355110026</v>
      </c>
      <c r="BA64" s="302">
        <f t="shared" si="112"/>
        <v>-0.71853917253745991</v>
      </c>
      <c r="BB64" s="302">
        <f t="shared" si="112"/>
        <v>-0.63266391429829671</v>
      </c>
      <c r="BC64" s="302">
        <f t="shared" si="112"/>
        <v>-0.54730361687449181</v>
      </c>
      <c r="BD64" s="302">
        <f t="shared" si="112"/>
        <v>-0.48250671368938747</v>
      </c>
      <c r="BE64" s="302">
        <f t="shared" si="112"/>
        <v>-0.44821110784616403</v>
      </c>
      <c r="BF64" s="302">
        <f t="shared" si="112"/>
        <v>-0.43393700728446749</v>
      </c>
      <c r="BG64" s="302">
        <f t="shared" si="112"/>
        <v>-0.43036296375787586</v>
      </c>
      <c r="BH64" s="302">
        <f t="shared" si="112"/>
        <v>-0.44965701635805838</v>
      </c>
      <c r="BI64" s="302">
        <f t="shared" si="112"/>
        <v>-0.4892588787116447</v>
      </c>
      <c r="BJ64" s="302">
        <f t="shared" si="112"/>
        <v>1.4633576493230664</v>
      </c>
      <c r="BK64" s="302">
        <f t="shared" si="112"/>
        <v>1.64665686750822</v>
      </c>
      <c r="BL64" s="302">
        <f t="shared" si="112"/>
        <v>1.8044900400208388</v>
      </c>
      <c r="BM64" s="302">
        <f t="shared" si="112"/>
        <v>1.9339444402599844</v>
      </c>
      <c r="BN64" s="302">
        <f t="shared" si="112"/>
        <v>2.0357160172444972</v>
      </c>
      <c r="BO64" s="775">
        <f t="shared" si="112"/>
        <v>2.1156515363954163</v>
      </c>
      <c r="BP64" s="223"/>
    </row>
    <row r="65" spans="3:188" ht="42" customHeight="1">
      <c r="C65" s="426"/>
      <c r="D65" s="425"/>
      <c r="E65" s="445">
        <v>-1.25</v>
      </c>
      <c r="F65" s="444">
        <f t="shared" si="68"/>
        <v>-1.2337085984544465</v>
      </c>
      <c r="G65" s="774">
        <f t="shared" ref="G65:AL65" si="113">G132*G199</f>
        <v>-1.2418162903241017</v>
      </c>
      <c r="H65" s="302">
        <f t="shared" si="113"/>
        <v>-1.2400202869073973</v>
      </c>
      <c r="I65" s="302">
        <f t="shared" si="113"/>
        <v>-1.240018439347548</v>
      </c>
      <c r="J65" s="302">
        <f t="shared" si="113"/>
        <v>-1.2378305456630316</v>
      </c>
      <c r="K65" s="302">
        <f t="shared" si="113"/>
        <v>-1.2378293078868055</v>
      </c>
      <c r="L65" s="302">
        <f t="shared" si="113"/>
        <v>-1.2351648912396072</v>
      </c>
      <c r="M65" s="302">
        <f t="shared" si="113"/>
        <v>-1.2351642006711343</v>
      </c>
      <c r="N65" s="302">
        <f t="shared" si="113"/>
        <v>-1.2319208836541846</v>
      </c>
      <c r="O65" s="302">
        <f t="shared" si="113"/>
        <v>-1.2319205883634152</v>
      </c>
      <c r="P65" s="302">
        <f t="shared" si="113"/>
        <v>-1.2279749008583187</v>
      </c>
      <c r="Q65" s="302">
        <f t="shared" si="113"/>
        <v>-1.2279747928630464</v>
      </c>
      <c r="R65" s="302">
        <f t="shared" si="113"/>
        <v>-1.2231783149023283</v>
      </c>
      <c r="S65" s="302">
        <f t="shared" si="113"/>
        <v>-1.2231781819414387</v>
      </c>
      <c r="T65" s="302">
        <f t="shared" si="113"/>
        <v>-1.217353316178156</v>
      </c>
      <c r="U65" s="302">
        <f t="shared" si="113"/>
        <v>-1.2173531780729514</v>
      </c>
      <c r="V65" s="302">
        <f t="shared" si="113"/>
        <v>-1.2119188290043752</v>
      </c>
      <c r="W65" s="302">
        <f t="shared" si="113"/>
        <v>-1.2102881460388717</v>
      </c>
      <c r="X65" s="302">
        <f t="shared" si="113"/>
        <v>-1.2064303977808779</v>
      </c>
      <c r="Y65" s="302">
        <f t="shared" si="113"/>
        <v>-1.2036185799806123</v>
      </c>
      <c r="Z65" s="302">
        <f t="shared" si="113"/>
        <v>-1.2006040610310917</v>
      </c>
      <c r="AA65" s="302">
        <f t="shared" si="113"/>
        <v>-1.1969346869858686</v>
      </c>
      <c r="AB65" s="302">
        <f t="shared" si="113"/>
        <v>-1.1935340142166826</v>
      </c>
      <c r="AC65" s="302">
        <f t="shared" si="113"/>
        <v>-1.1898608586728927</v>
      </c>
      <c r="AD65" s="302">
        <f t="shared" si="113"/>
        <v>-1.1853917146118012</v>
      </c>
      <c r="AE65" s="302">
        <f t="shared" si="113"/>
        <v>-1.1812810048782389</v>
      </c>
      <c r="AF65" s="302">
        <f t="shared" si="113"/>
        <v>-1.1767980419659467</v>
      </c>
      <c r="AG65" s="302">
        <f t="shared" si="113"/>
        <v>-1.171344311018117</v>
      </c>
      <c r="AH65" s="302">
        <f t="shared" si="113"/>
        <v>-1.1663661698498644</v>
      </c>
      <c r="AI65" s="302">
        <f t="shared" si="113"/>
        <v>-1.1608665659067763</v>
      </c>
      <c r="AJ65" s="302">
        <f t="shared" si="113"/>
        <v>-1.1541700190858029</v>
      </c>
      <c r="AK65" s="302">
        <f t="shared" si="113"/>
        <v>-1.1480889561787824</v>
      </c>
      <c r="AL65" s="302">
        <f t="shared" si="113"/>
        <v>-1.1412444169855982</v>
      </c>
      <c r="AM65" s="302">
        <f t="shared" ref="AM65:BO65" si="114">AM132*AM199</f>
        <v>-1.132878802742832</v>
      </c>
      <c r="AN65" s="302">
        <f t="shared" si="114"/>
        <v>-1.1252502348230939</v>
      </c>
      <c r="AO65" s="302">
        <f t="shared" si="114"/>
        <v>-1.116413492380752</v>
      </c>
      <c r="AP65" s="302">
        <f t="shared" si="114"/>
        <v>-1.1055005396095381</v>
      </c>
      <c r="AQ65" s="302">
        <f t="shared" si="114"/>
        <v>-1.0952676769410843</v>
      </c>
      <c r="AR65" s="302">
        <f t="shared" si="114"/>
        <v>-1.0828857236954432</v>
      </c>
      <c r="AS65" s="302">
        <f t="shared" si="114"/>
        <v>-1.0672683869919026</v>
      </c>
      <c r="AT65" s="302">
        <f t="shared" si="114"/>
        <v>-1.0516057171930717</v>
      </c>
      <c r="AU65" s="302">
        <f t="shared" si="114"/>
        <v>-1.0316302749466173</v>
      </c>
      <c r="AV65" s="302">
        <f t="shared" si="114"/>
        <v>-1.0058814423688103</v>
      </c>
      <c r="AW65" s="302">
        <f t="shared" si="114"/>
        <v>-0.97747949297961867</v>
      </c>
      <c r="AX65" s="302">
        <f t="shared" si="114"/>
        <v>-0.94045766170606293</v>
      </c>
      <c r="AY65" s="302">
        <f t="shared" si="114"/>
        <v>-0.89366783340849032</v>
      </c>
      <c r="AZ65" s="302">
        <f t="shared" si="114"/>
        <v>-0.84030729935270432</v>
      </c>
      <c r="BA65" s="302">
        <f t="shared" si="114"/>
        <v>-0.7772754499529545</v>
      </c>
      <c r="BB65" s="302">
        <f t="shared" si="114"/>
        <v>-0.71073735654946868</v>
      </c>
      <c r="BC65" s="302">
        <f t="shared" si="114"/>
        <v>-0.65312602245635953</v>
      </c>
      <c r="BD65" s="302">
        <f t="shared" si="114"/>
        <v>-0.61067027225308312</v>
      </c>
      <c r="BE65" s="302">
        <f t="shared" si="114"/>
        <v>-0.58634420334444615</v>
      </c>
      <c r="BF65" s="302">
        <f t="shared" si="114"/>
        <v>-0.57236835147407117</v>
      </c>
      <c r="BG65" s="302">
        <f t="shared" si="114"/>
        <v>-0.5609346125032858</v>
      </c>
      <c r="BH65" s="302">
        <f t="shared" si="114"/>
        <v>-0.56305959519080995</v>
      </c>
      <c r="BI65" s="302">
        <f t="shared" si="114"/>
        <v>-0.58002306622796318</v>
      </c>
      <c r="BJ65" s="302">
        <f t="shared" si="114"/>
        <v>-0.60047996381420987</v>
      </c>
      <c r="BK65" s="302">
        <f t="shared" si="114"/>
        <v>1.6741357700323882</v>
      </c>
      <c r="BL65" s="302">
        <f t="shared" si="114"/>
        <v>1.812467952999</v>
      </c>
      <c r="BM65" s="302">
        <f t="shared" si="114"/>
        <v>1.9290457442017299</v>
      </c>
      <c r="BN65" s="302">
        <f t="shared" si="114"/>
        <v>2.02549475222852</v>
      </c>
      <c r="BO65" s="775">
        <f t="shared" si="114"/>
        <v>2.1055050071583565</v>
      </c>
      <c r="BP65" s="223"/>
    </row>
    <row r="66" spans="3:188" ht="42" customHeight="1">
      <c r="C66" s="426"/>
      <c r="D66" s="425"/>
      <c r="E66" s="443">
        <v>-1.3</v>
      </c>
      <c r="F66" s="444">
        <f t="shared" si="68"/>
        <v>-1.2366512163586783</v>
      </c>
      <c r="G66" s="774">
        <f t="shared" ref="G66:AL66" si="115">G133*G200</f>
        <v>-1.2432997175445109</v>
      </c>
      <c r="H66" s="302">
        <f t="shared" si="115"/>
        <v>-1.2418270810814274</v>
      </c>
      <c r="I66" s="302">
        <f t="shared" si="115"/>
        <v>-1.2418259120429933</v>
      </c>
      <c r="J66" s="302">
        <f t="shared" si="115"/>
        <v>-1.2400310606772238</v>
      </c>
      <c r="K66" s="302">
        <f t="shared" si="115"/>
        <v>-1.2400302804889392</v>
      </c>
      <c r="L66" s="302">
        <f t="shared" si="115"/>
        <v>-1.237843307524221</v>
      </c>
      <c r="M66" s="302">
        <f t="shared" si="115"/>
        <v>-1.2378428698419295</v>
      </c>
      <c r="N66" s="302">
        <f t="shared" si="115"/>
        <v>-1.2351790715897724</v>
      </c>
      <c r="O66" s="302">
        <f t="shared" si="115"/>
        <v>-1.2351788754794855</v>
      </c>
      <c r="P66" s="302">
        <f t="shared" si="115"/>
        <v>-1.2319358639523466</v>
      </c>
      <c r="Q66" s="302">
        <f t="shared" si="115"/>
        <v>-1.2319357711514343</v>
      </c>
      <c r="R66" s="302">
        <f t="shared" si="115"/>
        <v>-1.2279901054339855</v>
      </c>
      <c r="S66" s="302">
        <f t="shared" si="115"/>
        <v>-1.2279899663241931</v>
      </c>
      <c r="T66" s="302">
        <f t="shared" si="115"/>
        <v>-1.2231933609763119</v>
      </c>
      <c r="U66" s="302">
        <f t="shared" si="115"/>
        <v>-1.2231931509368408</v>
      </c>
      <c r="V66" s="302">
        <f t="shared" si="115"/>
        <v>-1.2173680853418707</v>
      </c>
      <c r="W66" s="302">
        <f t="shared" si="115"/>
        <v>-1.2173677018683653</v>
      </c>
      <c r="X66" s="302">
        <f t="shared" si="115"/>
        <v>-1.2119328400842913</v>
      </c>
      <c r="Y66" s="302">
        <f t="shared" si="115"/>
        <v>-1.2103013678238759</v>
      </c>
      <c r="Z66" s="302">
        <f t="shared" si="115"/>
        <v>-1.2064423207375383</v>
      </c>
      <c r="AA66" s="302">
        <f t="shared" si="115"/>
        <v>-1.2036284991249639</v>
      </c>
      <c r="AB66" s="302">
        <f t="shared" si="115"/>
        <v>-1.2006109292497056</v>
      </c>
      <c r="AC66" s="302">
        <f t="shared" si="115"/>
        <v>-1.1969369840367361</v>
      </c>
      <c r="AD66" s="302">
        <f t="shared" si="115"/>
        <v>-1.1935295390858551</v>
      </c>
      <c r="AE66" s="302">
        <f t="shared" si="115"/>
        <v>-1.1898464083021025</v>
      </c>
      <c r="AF66" s="302">
        <f t="shared" si="115"/>
        <v>-1.1853626334617096</v>
      </c>
      <c r="AG66" s="302">
        <f t="shared" si="115"/>
        <v>-1.1812304610384183</v>
      </c>
      <c r="AH66" s="302">
        <f t="shared" si="115"/>
        <v>-1.1767160420342175</v>
      </c>
      <c r="AI66" s="302">
        <f t="shared" si="115"/>
        <v>-1.1712162608497554</v>
      </c>
      <c r="AJ66" s="302">
        <f t="shared" si="115"/>
        <v>-1.1661704784315257</v>
      </c>
      <c r="AK66" s="302">
        <f t="shared" si="115"/>
        <v>-1.1605716641198449</v>
      </c>
      <c r="AL66" s="302">
        <f t="shared" si="115"/>
        <v>-1.1537299107931109</v>
      </c>
      <c r="AM66" s="302">
        <f t="shared" ref="AM66:BO66" si="116">AM133*AM200</f>
        <v>-1.1474356122040947</v>
      </c>
      <c r="AN66" s="302">
        <f t="shared" si="116"/>
        <v>-1.1402792204769183</v>
      </c>
      <c r="AO66" s="302">
        <f t="shared" si="116"/>
        <v>-1.1314595759358614</v>
      </c>
      <c r="AP66" s="302">
        <f t="shared" si="116"/>
        <v>-1.1231684541724209</v>
      </c>
      <c r="AQ66" s="302">
        <f t="shared" si="116"/>
        <v>-1.1133729303910525</v>
      </c>
      <c r="AR66" s="302">
        <f t="shared" si="116"/>
        <v>-1.1010845640416957</v>
      </c>
      <c r="AS66" s="302">
        <f t="shared" si="116"/>
        <v>-1.0888804725864882</v>
      </c>
      <c r="AT66" s="302">
        <f t="shared" si="116"/>
        <v>-1.0737227451106515</v>
      </c>
      <c r="AU66" s="302">
        <f t="shared" si="116"/>
        <v>-1.0542737911339035</v>
      </c>
      <c r="AV66" s="302">
        <f t="shared" si="116"/>
        <v>-1.0333966316826195</v>
      </c>
      <c r="AW66" s="302">
        <f t="shared" si="116"/>
        <v>-1.0066511201301747</v>
      </c>
      <c r="AX66" s="302">
        <f t="shared" si="116"/>
        <v>-0.97266390832001925</v>
      </c>
      <c r="AY66" s="302">
        <f t="shared" si="116"/>
        <v>-0.93510632821012218</v>
      </c>
      <c r="AZ66" s="302">
        <f t="shared" si="116"/>
        <v>-0.89010753847150215</v>
      </c>
      <c r="BA66" s="302">
        <f t="shared" si="116"/>
        <v>-0.84038107322791822</v>
      </c>
      <c r="BB66" s="302">
        <f t="shared" si="116"/>
        <v>-0.79446996591314911</v>
      </c>
      <c r="BC66" s="302">
        <f t="shared" si="116"/>
        <v>-0.75431007803211458</v>
      </c>
      <c r="BD66" s="302">
        <f t="shared" si="116"/>
        <v>-0.72456144391450983</v>
      </c>
      <c r="BE66" s="302">
        <f t="shared" si="116"/>
        <v>-0.70659927601620398</v>
      </c>
      <c r="BF66" s="302">
        <f t="shared" si="116"/>
        <v>-0.69101553314071795</v>
      </c>
      <c r="BG66" s="302">
        <f t="shared" si="116"/>
        <v>-0.67712783137134869</v>
      </c>
      <c r="BH66" s="302">
        <f t="shared" si="116"/>
        <v>-0.67134020893507829</v>
      </c>
      <c r="BI66" s="302">
        <f t="shared" si="116"/>
        <v>-0.67207424494295387</v>
      </c>
      <c r="BJ66" s="302">
        <f t="shared" si="116"/>
        <v>-0.67974237963621387</v>
      </c>
      <c r="BK66" s="302">
        <f t="shared" si="116"/>
        <v>-0.68877497377287145</v>
      </c>
      <c r="BL66" s="302">
        <f t="shared" si="116"/>
        <v>1.825366408146305</v>
      </c>
      <c r="BM66" s="302">
        <f t="shared" si="116"/>
        <v>1.9299383508416763</v>
      </c>
      <c r="BN66" s="302">
        <f t="shared" si="116"/>
        <v>2.0205356820262432</v>
      </c>
      <c r="BO66" s="775">
        <f t="shared" si="116"/>
        <v>2.0948139133924411</v>
      </c>
      <c r="BP66" s="223"/>
    </row>
    <row r="67" spans="3:188" ht="42" customHeight="1">
      <c r="C67" s="426"/>
      <c r="D67" s="425"/>
      <c r="E67" s="445">
        <v>-1.35</v>
      </c>
      <c r="F67" s="444">
        <f t="shared" si="68"/>
        <v>-1.2390638836812888</v>
      </c>
      <c r="G67" s="774">
        <f t="shared" ref="G67:AL67" si="117">G134*G201</f>
        <v>-1.2445143345649421</v>
      </c>
      <c r="H67" s="302">
        <f t="shared" si="117"/>
        <v>-1.2433071545803227</v>
      </c>
      <c r="I67" s="302">
        <f t="shared" si="117"/>
        <v>-1.2433064137906746</v>
      </c>
      <c r="J67" s="302">
        <f t="shared" si="117"/>
        <v>-1.2418345125473462</v>
      </c>
      <c r="K67" s="302">
        <f t="shared" si="117"/>
        <v>-1.241834019196274</v>
      </c>
      <c r="L67" s="302">
        <f t="shared" si="117"/>
        <v>-1.2400397487185548</v>
      </c>
      <c r="M67" s="302">
        <f t="shared" si="117"/>
        <v>-1.2400394689875882</v>
      </c>
      <c r="N67" s="302">
        <f t="shared" si="117"/>
        <v>-1.2378528820322072</v>
      </c>
      <c r="O67" s="302">
        <f t="shared" si="117"/>
        <v>-1.2378527478715231</v>
      </c>
      <c r="P67" s="302">
        <f t="shared" si="117"/>
        <v>-1.2351891345288191</v>
      </c>
      <c r="Q67" s="302">
        <f t="shared" si="117"/>
        <v>-1.2351890514662156</v>
      </c>
      <c r="R67" s="302">
        <f t="shared" si="117"/>
        <v>-1.2319460370835364</v>
      </c>
      <c r="S67" s="302">
        <f t="shared" si="117"/>
        <v>-1.2319458947730295</v>
      </c>
      <c r="T67" s="302">
        <f t="shared" si="117"/>
        <v>-1.2280001094871156</v>
      </c>
      <c r="U67" s="302">
        <f t="shared" si="117"/>
        <v>-1.2279998560297356</v>
      </c>
      <c r="V67" s="302">
        <f t="shared" si="117"/>
        <v>-1.2232030337462789</v>
      </c>
      <c r="W67" s="302">
        <f t="shared" si="117"/>
        <v>-1.2232025248216236</v>
      </c>
      <c r="X67" s="302">
        <f t="shared" si="117"/>
        <v>-1.2173769195832236</v>
      </c>
      <c r="Y67" s="302">
        <f t="shared" si="117"/>
        <v>-1.2173757344454346</v>
      </c>
      <c r="Z67" s="302">
        <f t="shared" si="117"/>
        <v>-1.2119395788649785</v>
      </c>
      <c r="AA67" s="302">
        <f t="shared" si="117"/>
        <v>-1.2103061604292389</v>
      </c>
      <c r="AB67" s="302">
        <f t="shared" si="117"/>
        <v>-1.2064441688023111</v>
      </c>
      <c r="AC67" s="302">
        <f t="shared" si="117"/>
        <v>-1.2036259601009938</v>
      </c>
      <c r="AD67" s="302">
        <f t="shared" si="117"/>
        <v>-1.2006018902404789</v>
      </c>
      <c r="AE67" s="302">
        <f t="shared" si="117"/>
        <v>-1.1969183655138877</v>
      </c>
      <c r="AF67" s="302">
        <f t="shared" si="117"/>
        <v>-1.1934968243741539</v>
      </c>
      <c r="AG67" s="302">
        <f t="shared" si="117"/>
        <v>-1.1897929919087236</v>
      </c>
      <c r="AH67" s="302">
        <f t="shared" si="117"/>
        <v>-1.1852788770116551</v>
      </c>
      <c r="AI67" s="302">
        <f t="shared" si="117"/>
        <v>-1.1811021635216783</v>
      </c>
      <c r="AJ67" s="302">
        <f t="shared" si="117"/>
        <v>-1.1765224729454291</v>
      </c>
      <c r="AK67" s="302">
        <f t="shared" si="117"/>
        <v>-1.1709272837583491</v>
      </c>
      <c r="AL67" s="302">
        <f t="shared" si="117"/>
        <v>-1.1657417940393113</v>
      </c>
      <c r="AM67" s="302">
        <f t="shared" ref="AM67:BO67" si="118">AM134*AM201</f>
        <v>-1.159939204709644</v>
      </c>
      <c r="AN67" s="302">
        <f t="shared" si="118"/>
        <v>-1.1528016532100216</v>
      </c>
      <c r="AO67" s="302">
        <f t="shared" si="118"/>
        <v>-1.1460778026227223</v>
      </c>
      <c r="AP67" s="302">
        <f t="shared" si="118"/>
        <v>-1.1383025662475734</v>
      </c>
      <c r="AQ67" s="302">
        <f t="shared" si="118"/>
        <v>-1.1285995796707655</v>
      </c>
      <c r="AR67" s="302">
        <f t="shared" si="118"/>
        <v>-1.1190520889215627</v>
      </c>
      <c r="AS67" s="302">
        <f t="shared" si="118"/>
        <v>-1.1074996257589582</v>
      </c>
      <c r="AT67" s="302">
        <f t="shared" si="118"/>
        <v>-1.0928045777274327</v>
      </c>
      <c r="AU67" s="302">
        <f t="shared" si="118"/>
        <v>-1.0773609546428384</v>
      </c>
      <c r="AV67" s="302">
        <f t="shared" si="118"/>
        <v>-1.0580326860829246</v>
      </c>
      <c r="AW67" s="302">
        <f t="shared" si="118"/>
        <v>-1.0335436084622129</v>
      </c>
      <c r="AX67" s="302">
        <f t="shared" si="118"/>
        <v>-1.0070826233460777</v>
      </c>
      <c r="AY67" s="302">
        <f t="shared" si="118"/>
        <v>-0.97533089063656941</v>
      </c>
      <c r="AZ67" s="302">
        <f t="shared" si="118"/>
        <v>-0.93896275849756494</v>
      </c>
      <c r="BA67" s="302">
        <f t="shared" si="118"/>
        <v>-0.90445447289105063</v>
      </c>
      <c r="BB67" s="302">
        <f t="shared" si="118"/>
        <v>-0.8709962444884396</v>
      </c>
      <c r="BC67" s="302">
        <f t="shared" si="118"/>
        <v>-0.84188947550900406</v>
      </c>
      <c r="BD67" s="302">
        <f t="shared" si="118"/>
        <v>-0.8218513046194651</v>
      </c>
      <c r="BE67" s="302">
        <f t="shared" si="118"/>
        <v>-0.80514217608529659</v>
      </c>
      <c r="BF67" s="302">
        <f t="shared" si="118"/>
        <v>-0.78946013553549443</v>
      </c>
      <c r="BG67" s="302">
        <f t="shared" si="118"/>
        <v>-0.77666238144491628</v>
      </c>
      <c r="BH67" s="302">
        <f t="shared" si="118"/>
        <v>-0.7650504194868798</v>
      </c>
      <c r="BI67" s="302">
        <f t="shared" si="118"/>
        <v>-0.75812250221030186</v>
      </c>
      <c r="BJ67" s="302">
        <f t="shared" si="118"/>
        <v>-0.75731782420851623</v>
      </c>
      <c r="BK67" s="302">
        <f t="shared" si="118"/>
        <v>-0.75578187349825177</v>
      </c>
      <c r="BL67" s="302">
        <f t="shared" si="118"/>
        <v>-0.75378687597444838</v>
      </c>
      <c r="BM67" s="302">
        <f t="shared" si="118"/>
        <v>1.9347011361099904</v>
      </c>
      <c r="BN67" s="302">
        <f t="shared" si="118"/>
        <v>2.0149950410727375</v>
      </c>
      <c r="BO67" s="775">
        <f t="shared" si="118"/>
        <v>2.0848474135669948</v>
      </c>
      <c r="BP67" s="223"/>
    </row>
    <row r="68" spans="3:188" ht="42" customHeight="1">
      <c r="C68" s="426"/>
      <c r="D68" s="425"/>
      <c r="E68" s="443">
        <v>-1.4</v>
      </c>
      <c r="F68" s="444">
        <f t="shared" si="68"/>
        <v>-1.241041529488812</v>
      </c>
      <c r="G68" s="774">
        <f t="shared" ref="G68:AL68" si="119">G135*G202</f>
        <v>-1.2455088074862448</v>
      </c>
      <c r="H68" s="302">
        <f t="shared" si="119"/>
        <v>-1.2445194446149677</v>
      </c>
      <c r="I68" s="302">
        <f t="shared" si="119"/>
        <v>-1.2445189743587011</v>
      </c>
      <c r="J68" s="302">
        <f t="shared" si="119"/>
        <v>-1.2433122632014539</v>
      </c>
      <c r="K68" s="302">
        <f t="shared" si="119"/>
        <v>-1.2433119499531038</v>
      </c>
      <c r="L68" s="302">
        <f t="shared" si="119"/>
        <v>-1.2418404148451978</v>
      </c>
      <c r="M68" s="302">
        <f t="shared" si="119"/>
        <v>-1.2418402339986514</v>
      </c>
      <c r="N68" s="302">
        <f t="shared" si="119"/>
        <v>-1.2400462032984976</v>
      </c>
      <c r="O68" s="302">
        <f t="shared" si="119"/>
        <v>-1.240046107996593</v>
      </c>
      <c r="P68" s="302">
        <f t="shared" si="119"/>
        <v>-1.2378596296704849</v>
      </c>
      <c r="Q68" s="302">
        <f t="shared" si="119"/>
        <v>-1.2378595530604881</v>
      </c>
      <c r="R68" s="302">
        <f t="shared" si="119"/>
        <v>-1.2351959203021683</v>
      </c>
      <c r="S68" s="302">
        <f t="shared" si="119"/>
        <v>-1.2351957768849418</v>
      </c>
      <c r="T68" s="302">
        <f t="shared" si="119"/>
        <v>-1.2319526467729127</v>
      </c>
      <c r="U68" s="302">
        <f t="shared" si="119"/>
        <v>-1.2319523683176814</v>
      </c>
      <c r="V68" s="302">
        <f t="shared" si="119"/>
        <v>-1.2280063551230014</v>
      </c>
      <c r="W68" s="302">
        <f t="shared" si="119"/>
        <v>-1.2280057728147731</v>
      </c>
      <c r="X68" s="302">
        <f t="shared" si="119"/>
        <v>-1.2232084078950807</v>
      </c>
      <c r="Y68" s="302">
        <f t="shared" si="119"/>
        <v>-1.2232070863038393</v>
      </c>
      <c r="Z68" s="302">
        <f t="shared" si="119"/>
        <v>-1.2173802136969392</v>
      </c>
      <c r="AA68" s="302">
        <f t="shared" si="119"/>
        <v>-1.2173771357334398</v>
      </c>
      <c r="AB68" s="302">
        <f t="shared" si="119"/>
        <v>-1.211938140320187</v>
      </c>
      <c r="AC68" s="302">
        <f t="shared" si="119"/>
        <v>-1.2103005011533245</v>
      </c>
      <c r="AD68" s="302">
        <f t="shared" si="119"/>
        <v>-1.206432280093833</v>
      </c>
      <c r="AE68" s="302">
        <f t="shared" si="119"/>
        <v>-1.2036048815609661</v>
      </c>
      <c r="AF68" s="302">
        <f t="shared" si="119"/>
        <v>-1.2005673003330628</v>
      </c>
      <c r="AG68" s="302">
        <f t="shared" si="119"/>
        <v>-1.1968639655927888</v>
      </c>
      <c r="AH68" s="302">
        <f t="shared" si="119"/>
        <v>-1.1934133700105101</v>
      </c>
      <c r="AI68" s="302">
        <f t="shared" si="119"/>
        <v>-1.1896670201916211</v>
      </c>
      <c r="AJ68" s="302">
        <f t="shared" si="119"/>
        <v>-1.1850908733477357</v>
      </c>
      <c r="AK68" s="302">
        <f t="shared" si="119"/>
        <v>-1.1808236178222435</v>
      </c>
      <c r="AL68" s="302">
        <f t="shared" si="119"/>
        <v>-1.1761123024332403</v>
      </c>
      <c r="AM68" s="302">
        <f t="shared" ref="AM68:BO68" si="120">AM135*AM202</f>
        <v>-1.1703267540888616</v>
      </c>
      <c r="AN68" s="302">
        <f t="shared" si="120"/>
        <v>-1.1648662985169482</v>
      </c>
      <c r="AO68" s="302">
        <f t="shared" si="120"/>
        <v>-1.1586696641266798</v>
      </c>
      <c r="AP68" s="302">
        <f t="shared" si="120"/>
        <v>-1.1509729244610487</v>
      </c>
      <c r="AQ68" s="302">
        <f t="shared" si="120"/>
        <v>-1.1434600934703485</v>
      </c>
      <c r="AR68" s="302">
        <f t="shared" si="120"/>
        <v>-1.1345900579492978</v>
      </c>
      <c r="AS68" s="302">
        <f t="shared" si="120"/>
        <v>-1.123399855566876</v>
      </c>
      <c r="AT68" s="302">
        <f t="shared" si="120"/>
        <v>-1.1118718778814032</v>
      </c>
      <c r="AU68" s="302">
        <f t="shared" si="120"/>
        <v>-1.0977918197162593</v>
      </c>
      <c r="AV68" s="302">
        <f t="shared" si="120"/>
        <v>-1.0800612412204176</v>
      </c>
      <c r="AW68" s="302">
        <f t="shared" si="120"/>
        <v>-1.0612624660307193</v>
      </c>
      <c r="AX68" s="302">
        <f t="shared" si="120"/>
        <v>-1.0388496187041834</v>
      </c>
      <c r="AY68" s="302">
        <f t="shared" si="120"/>
        <v>-1.0126170895324309</v>
      </c>
      <c r="AZ68" s="302">
        <f t="shared" si="120"/>
        <v>-0.98723019549037261</v>
      </c>
      <c r="BA68" s="302">
        <f t="shared" si="120"/>
        <v>-0.96111332951722772</v>
      </c>
      <c r="BB68" s="302">
        <f t="shared" si="120"/>
        <v>-0.93580380720962031</v>
      </c>
      <c r="BC68" s="302">
        <f t="shared" si="120"/>
        <v>-0.91671182770052817</v>
      </c>
      <c r="BD68" s="302">
        <f t="shared" si="120"/>
        <v>-0.89974440738816652</v>
      </c>
      <c r="BE68" s="302">
        <f t="shared" si="120"/>
        <v>-0.88396613511876587</v>
      </c>
      <c r="BF68" s="302">
        <f t="shared" si="120"/>
        <v>-0.87150058027191546</v>
      </c>
      <c r="BG68" s="302">
        <f t="shared" si="120"/>
        <v>-0.85728460946160356</v>
      </c>
      <c r="BH68" s="302">
        <f t="shared" si="120"/>
        <v>-0.84358873482052876</v>
      </c>
      <c r="BI68" s="302">
        <f t="shared" si="120"/>
        <v>-0.834829542912776</v>
      </c>
      <c r="BJ68" s="302">
        <f t="shared" si="120"/>
        <v>-0.82654130516425239</v>
      </c>
      <c r="BK68" s="302">
        <f t="shared" si="120"/>
        <v>-0.81957791670202707</v>
      </c>
      <c r="BL68" s="302">
        <f t="shared" si="120"/>
        <v>-0.81432459832301407</v>
      </c>
      <c r="BM68" s="302">
        <f t="shared" si="120"/>
        <v>-0.80449696404896498</v>
      </c>
      <c r="BN68" s="302">
        <f t="shared" si="120"/>
        <v>2.010318444270728</v>
      </c>
      <c r="BO68" s="775">
        <f t="shared" si="120"/>
        <v>2.0774323170964815</v>
      </c>
      <c r="BP68" s="223"/>
    </row>
    <row r="69" spans="3:188" ht="42" customHeight="1">
      <c r="C69" s="426"/>
      <c r="D69" s="425"/>
      <c r="E69" s="445">
        <v>-1.45</v>
      </c>
      <c r="F69" s="444">
        <f t="shared" si="68"/>
        <v>-1.2426622471608444</v>
      </c>
      <c r="G69" s="774">
        <f t="shared" ref="G69:AL69" si="121">G136*G203</f>
        <v>-1.2463230131001366</v>
      </c>
      <c r="H69" s="302">
        <f t="shared" si="121"/>
        <v>-1.2455123093758063</v>
      </c>
      <c r="I69" s="302">
        <f t="shared" si="121"/>
        <v>-1.2455120101927573</v>
      </c>
      <c r="J69" s="302">
        <f t="shared" si="121"/>
        <v>-1.2445229460028746</v>
      </c>
      <c r="K69" s="302">
        <f t="shared" si="121"/>
        <v>-1.2445227460354347</v>
      </c>
      <c r="L69" s="302">
        <f t="shared" si="121"/>
        <v>-1.2433162652272329</v>
      </c>
      <c r="M69" s="302">
        <f t="shared" si="121"/>
        <v>-1.2433161464469664</v>
      </c>
      <c r="N69" s="302">
        <f t="shared" si="121"/>
        <v>-1.2418447590359707</v>
      </c>
      <c r="O69" s="302">
        <f t="shared" si="121"/>
        <v>-1.2418446882594825</v>
      </c>
      <c r="P69" s="302">
        <f t="shared" si="121"/>
        <v>-1.2400507180196305</v>
      </c>
      <c r="Q69" s="302">
        <f t="shared" si="121"/>
        <v>-1.240050645927615</v>
      </c>
      <c r="R69" s="302">
        <f t="shared" si="121"/>
        <v>-1.2378641374420958</v>
      </c>
      <c r="S69" s="302">
        <f t="shared" si="121"/>
        <v>-1.2378639944974332</v>
      </c>
      <c r="T69" s="302">
        <f t="shared" si="121"/>
        <v>-1.2352002485030484</v>
      </c>
      <c r="U69" s="302">
        <f t="shared" si="121"/>
        <v>-1.2351999572246946</v>
      </c>
      <c r="V69" s="302">
        <f t="shared" si="121"/>
        <v>-1.2319565938459232</v>
      </c>
      <c r="W69" s="302">
        <f t="shared" si="121"/>
        <v>-1.231955972425574</v>
      </c>
      <c r="X69" s="302">
        <f t="shared" si="121"/>
        <v>-1.2280094200077898</v>
      </c>
      <c r="Y69" s="302">
        <f t="shared" si="121"/>
        <v>-1.2280080295911393</v>
      </c>
      <c r="Z69" s="302">
        <f t="shared" si="121"/>
        <v>-1.2232094348230691</v>
      </c>
      <c r="AA69" s="302">
        <f t="shared" si="121"/>
        <v>-1.223206277018722</v>
      </c>
      <c r="AB69" s="302">
        <f t="shared" si="121"/>
        <v>-1.2173766793760927</v>
      </c>
      <c r="AC69" s="302">
        <f t="shared" si="121"/>
        <v>-1.2173695484960771</v>
      </c>
      <c r="AD69" s="302">
        <f t="shared" si="121"/>
        <v>-1.2119246187935735</v>
      </c>
      <c r="AE69" s="302">
        <f t="shared" si="121"/>
        <v>-1.2102782087762729</v>
      </c>
      <c r="AF69" s="302">
        <f t="shared" si="121"/>
        <v>-1.206397170448386</v>
      </c>
      <c r="AG69" s="302">
        <f t="shared" si="121"/>
        <v>-1.2035509769618649</v>
      </c>
      <c r="AH69" s="302">
        <f t="shared" si="121"/>
        <v>-1.2004859429649894</v>
      </c>
      <c r="AI69" s="302">
        <f t="shared" si="121"/>
        <v>-1.1967426477979388</v>
      </c>
      <c r="AJ69" s="302">
        <f t="shared" si="121"/>
        <v>-1.1932339288994351</v>
      </c>
      <c r="AK69" s="302">
        <f t="shared" si="121"/>
        <v>-1.1894033992363813</v>
      </c>
      <c r="AL69" s="302">
        <f t="shared" si="121"/>
        <v>-1.1847060142164239</v>
      </c>
      <c r="AM69" s="302">
        <f t="shared" ref="AM69:BO69" si="122">AM136*AM203</f>
        <v>-1.1802646032882858</v>
      </c>
      <c r="AN69" s="302">
        <f t="shared" si="122"/>
        <v>-1.1753051330668862</v>
      </c>
      <c r="AO69" s="302">
        <f t="shared" si="122"/>
        <v>-1.1691696089138757</v>
      </c>
      <c r="AP69" s="302">
        <f t="shared" si="122"/>
        <v>-1.1632192773427998</v>
      </c>
      <c r="AQ69" s="302">
        <f t="shared" si="122"/>
        <v>-1.1563482481523972</v>
      </c>
      <c r="AR69" s="302">
        <f t="shared" si="122"/>
        <v>-1.1477429352812656</v>
      </c>
      <c r="AS69" s="302">
        <f t="shared" si="122"/>
        <v>-1.1390321446699911</v>
      </c>
      <c r="AT69" s="302">
        <f t="shared" si="122"/>
        <v>-1.1286455735730305</v>
      </c>
      <c r="AU69" s="302">
        <f t="shared" si="122"/>
        <v>-1.1156438785916205</v>
      </c>
      <c r="AV69" s="302">
        <f t="shared" si="122"/>
        <v>-1.1021155663287183</v>
      </c>
      <c r="AW69" s="302">
        <f t="shared" si="122"/>
        <v>-1.0861557373236119</v>
      </c>
      <c r="AX69" s="302">
        <f t="shared" si="122"/>
        <v>-1.0672235848010865</v>
      </c>
      <c r="AY69" s="302">
        <f t="shared" si="122"/>
        <v>-1.0486786312366743</v>
      </c>
      <c r="AZ69" s="302">
        <f t="shared" si="122"/>
        <v>-1.02893769020529</v>
      </c>
      <c r="BA69" s="302">
        <f t="shared" si="122"/>
        <v>-1.0084681722247022</v>
      </c>
      <c r="BB69" s="302">
        <f t="shared" si="122"/>
        <v>-0.9917963170155486</v>
      </c>
      <c r="BC69" s="302">
        <f t="shared" si="122"/>
        <v>-0.97609794655152315</v>
      </c>
      <c r="BD69" s="302">
        <f t="shared" si="122"/>
        <v>-0.96075420501180342</v>
      </c>
      <c r="BE69" s="302">
        <f t="shared" si="122"/>
        <v>-0.94924378840783052</v>
      </c>
      <c r="BF69" s="302">
        <f t="shared" si="122"/>
        <v>-0.93630452907238892</v>
      </c>
      <c r="BG69" s="302">
        <f t="shared" si="122"/>
        <v>-0.92174968559141901</v>
      </c>
      <c r="BH69" s="302">
        <f t="shared" si="122"/>
        <v>-0.91041521270906811</v>
      </c>
      <c r="BI69" s="302">
        <f t="shared" si="122"/>
        <v>-0.89839812218734039</v>
      </c>
      <c r="BJ69" s="302">
        <f t="shared" si="122"/>
        <v>-0.88679768935585235</v>
      </c>
      <c r="BK69" s="302">
        <f t="shared" si="122"/>
        <v>-0.87870108414157877</v>
      </c>
      <c r="BL69" s="302">
        <f t="shared" si="122"/>
        <v>-0.86843283981461195</v>
      </c>
      <c r="BM69" s="302">
        <f t="shared" si="122"/>
        <v>-0.85697091122291813</v>
      </c>
      <c r="BN69" s="302">
        <f t="shared" si="122"/>
        <v>-0.84567758947525185</v>
      </c>
      <c r="BO69" s="775">
        <f t="shared" si="122"/>
        <v>2.0666110434929541</v>
      </c>
      <c r="BP69" s="223"/>
    </row>
    <row r="70" spans="3:188" ht="42" customHeight="1" thickBot="1">
      <c r="C70" s="426"/>
      <c r="D70" s="425"/>
      <c r="E70" s="443">
        <v>-1.5</v>
      </c>
      <c r="F70" s="446">
        <f>D9</f>
        <v>-1.25</v>
      </c>
      <c r="G70" s="776">
        <f t="shared" ref="G70:AL70" si="123">G137*G204</f>
        <v>-1.2499944911776226</v>
      </c>
      <c r="H70" s="777">
        <f t="shared" si="123"/>
        <v>-1.2463254073750101</v>
      </c>
      <c r="I70" s="777">
        <f t="shared" si="123"/>
        <v>-1.2463252164897038</v>
      </c>
      <c r="J70" s="777">
        <f t="shared" si="123"/>
        <v>-1.2455147028130131</v>
      </c>
      <c r="K70" s="777">
        <f t="shared" si="123"/>
        <v>-1.2455145742283587</v>
      </c>
      <c r="L70" s="777">
        <f t="shared" si="123"/>
        <v>-1.2445256544844312</v>
      </c>
      <c r="M70" s="777">
        <f t="shared" si="123"/>
        <v>-1.2445255747825967</v>
      </c>
      <c r="N70" s="777">
        <f t="shared" si="123"/>
        <v>-1.2433191836724096</v>
      </c>
      <c r="O70" s="777">
        <f t="shared" si="123"/>
        <v>-1.2433191285244798</v>
      </c>
      <c r="P70" s="777">
        <f t="shared" si="123"/>
        <v>-1.2418477712638676</v>
      </c>
      <c r="Q70" s="777">
        <f t="shared" si="123"/>
        <v>-1.2418477025984183</v>
      </c>
      <c r="R70" s="777">
        <f t="shared" si="123"/>
        <v>-1.2400536955772747</v>
      </c>
      <c r="S70" s="777">
        <f t="shared" si="123"/>
        <v>-1.2400535543735596</v>
      </c>
      <c r="T70" s="777">
        <f t="shared" si="123"/>
        <v>-1.2378669350663463</v>
      </c>
      <c r="U70" s="777">
        <f t="shared" si="123"/>
        <v>-1.237866639265979</v>
      </c>
      <c r="V70" s="777">
        <f t="shared" si="123"/>
        <v>-1.2352026594544461</v>
      </c>
      <c r="W70" s="777">
        <f t="shared" si="123"/>
        <v>-1.2352020220869233</v>
      </c>
      <c r="X70" s="777">
        <f t="shared" si="123"/>
        <v>-1.2319581294140456</v>
      </c>
      <c r="Y70" s="777">
        <f t="shared" si="123"/>
        <v>-1.2319567168567498</v>
      </c>
      <c r="Z70" s="777">
        <f t="shared" si="123"/>
        <v>-1.228008978591477</v>
      </c>
      <c r="AA70" s="777">
        <f t="shared" si="123"/>
        <v>-1.2280058226865318</v>
      </c>
      <c r="AB70" s="777">
        <f t="shared" si="123"/>
        <v>-1.2232046263871856</v>
      </c>
      <c r="AC70" s="777">
        <f t="shared" si="123"/>
        <v>-1.223197610679357</v>
      </c>
      <c r="AD70" s="777">
        <f t="shared" si="123"/>
        <v>-1.2173623987716036</v>
      </c>
      <c r="AE70" s="777">
        <f t="shared" si="123"/>
        <v>-1.2173469617003359</v>
      </c>
      <c r="AF70" s="777">
        <f t="shared" si="123"/>
        <v>-1.2118900202174268</v>
      </c>
      <c r="AG70" s="777">
        <f t="shared" si="123"/>
        <v>-1.2102259842455989</v>
      </c>
      <c r="AH70" s="777">
        <f t="shared" si="123"/>
        <v>-1.2063194471580105</v>
      </c>
      <c r="AI70" s="777">
        <f t="shared" si="123"/>
        <v>-1.2034362483425669</v>
      </c>
      <c r="AJ70" s="777">
        <f t="shared" si="123"/>
        <v>-1.2003178342146945</v>
      </c>
      <c r="AK70" s="777">
        <f t="shared" si="123"/>
        <v>-1.1964979974595011</v>
      </c>
      <c r="AL70" s="777">
        <f t="shared" si="123"/>
        <v>-1.1928799404262198</v>
      </c>
      <c r="AM70" s="777">
        <f t="shared" ref="AM70:BO70" si="124">AM137*AM204</f>
        <v>-1.1888945225901779</v>
      </c>
      <c r="AN70" s="777">
        <f t="shared" si="124"/>
        <v>-1.183980061842671</v>
      </c>
      <c r="AO70" s="777">
        <f t="shared" si="124"/>
        <v>-1.1792371204444525</v>
      </c>
      <c r="AP70" s="777">
        <f t="shared" si="124"/>
        <v>-1.1738657211571055</v>
      </c>
      <c r="AQ70" s="777">
        <f t="shared" si="124"/>
        <v>-1.1671795517482801</v>
      </c>
      <c r="AR70" s="777">
        <f t="shared" si="124"/>
        <v>-1.1605096156737242</v>
      </c>
      <c r="AS70" s="777">
        <f t="shared" si="124"/>
        <v>-1.1527341386144991</v>
      </c>
      <c r="AT70" s="777">
        <f t="shared" si="124"/>
        <v>-1.143053124568399</v>
      </c>
      <c r="AU70" s="777">
        <f t="shared" si="124"/>
        <v>-1.1331541523330102</v>
      </c>
      <c r="AV70" s="777">
        <f t="shared" si="124"/>
        <v>-1.1216291177742392</v>
      </c>
      <c r="AW70" s="777">
        <f t="shared" si="124"/>
        <v>-1.1078296299722754</v>
      </c>
      <c r="AX70" s="777">
        <f t="shared" si="124"/>
        <v>-1.0942536909349181</v>
      </c>
      <c r="AY70" s="777">
        <f t="shared" si="124"/>
        <v>-1.0795206702660407</v>
      </c>
      <c r="AZ70" s="777">
        <f t="shared" si="124"/>
        <v>-1.0635315949708495</v>
      </c>
      <c r="BA70" s="777">
        <f t="shared" si="124"/>
        <v>-1.0497561915688856</v>
      </c>
      <c r="BB70" s="777">
        <f t="shared" si="124"/>
        <v>-1.0362040745609016</v>
      </c>
      <c r="BC70" s="777">
        <f t="shared" si="124"/>
        <v>-1.022364716715755</v>
      </c>
      <c r="BD70" s="777">
        <f t="shared" si="124"/>
        <v>-1.0116249919244602</v>
      </c>
      <c r="BE70" s="777">
        <f t="shared" si="124"/>
        <v>-1.0001742531934841</v>
      </c>
      <c r="BF70" s="777">
        <f t="shared" si="124"/>
        <v>-0.98698761622872844</v>
      </c>
      <c r="BG70" s="777">
        <f t="shared" si="124"/>
        <v>-0.97618087992590408</v>
      </c>
      <c r="BH70" s="777">
        <f t="shared" si="124"/>
        <v>-0.96380754991055695</v>
      </c>
      <c r="BI70" s="777">
        <f t="shared" si="124"/>
        <v>-0.95045773755910601</v>
      </c>
      <c r="BJ70" s="777">
        <f t="shared" si="124"/>
        <v>-0.94049487841369683</v>
      </c>
      <c r="BK70" s="777">
        <f t="shared" si="124"/>
        <v>-0.92907284522077305</v>
      </c>
      <c r="BL70" s="777">
        <f t="shared" si="124"/>
        <v>-0.91668499145083582</v>
      </c>
      <c r="BM70" s="777">
        <f t="shared" si="124"/>
        <v>-0.90633255881204733</v>
      </c>
      <c r="BN70" s="777">
        <f t="shared" si="124"/>
        <v>-0.89247886665531884</v>
      </c>
      <c r="BO70" s="778">
        <f t="shared" si="124"/>
        <v>-0.87678067383688196</v>
      </c>
      <c r="BP70" s="223"/>
    </row>
    <row r="71" spans="3:188" ht="42" customHeight="1">
      <c r="C71" s="425"/>
      <c r="D71" s="426"/>
      <c r="E71" s="425"/>
      <c r="F71" s="425"/>
      <c r="G71" s="425"/>
      <c r="H71" s="425"/>
      <c r="I71" s="425"/>
      <c r="J71" s="425"/>
      <c r="K71" s="425"/>
      <c r="L71" s="425"/>
      <c r="M71" s="425"/>
      <c r="N71" s="425"/>
      <c r="O71" s="425"/>
      <c r="P71" s="425"/>
      <c r="Q71" s="425"/>
      <c r="R71" s="425"/>
      <c r="S71" s="425"/>
      <c r="T71" s="425"/>
      <c r="U71" s="425"/>
      <c r="V71" s="425"/>
      <c r="W71" s="425"/>
      <c r="X71" s="425"/>
      <c r="Y71" s="425"/>
      <c r="Z71" s="425"/>
      <c r="AA71" s="425"/>
      <c r="AB71" s="425"/>
      <c r="AC71" s="425"/>
      <c r="AD71" s="425"/>
      <c r="AE71" s="425"/>
      <c r="AF71" s="425"/>
      <c r="AG71" s="425"/>
      <c r="AH71" s="425"/>
      <c r="AI71" s="425"/>
      <c r="AJ71" s="425"/>
      <c r="AK71" s="425"/>
      <c r="AL71" s="425"/>
      <c r="AM71" s="425"/>
      <c r="AN71" s="425"/>
      <c r="AO71" s="425"/>
      <c r="AP71" s="425"/>
      <c r="AQ71" s="425"/>
      <c r="AR71" s="425"/>
      <c r="AS71" s="425"/>
      <c r="AT71" s="425"/>
      <c r="AU71" s="425"/>
      <c r="AV71" s="425"/>
      <c r="AW71" s="425"/>
      <c r="AX71" s="425"/>
      <c r="AY71" s="425"/>
      <c r="AZ71" s="425"/>
      <c r="BA71" s="425"/>
      <c r="BB71" s="425"/>
      <c r="BC71" s="425"/>
      <c r="BD71" s="425"/>
      <c r="BE71" s="425"/>
      <c r="BF71" s="425"/>
      <c r="BG71" s="425"/>
      <c r="BH71" s="425"/>
      <c r="BI71" s="425"/>
      <c r="BJ71" s="425"/>
      <c r="BK71" s="425"/>
      <c r="BL71" s="425"/>
      <c r="BM71" s="425"/>
      <c r="BN71" s="425"/>
      <c r="BO71" s="425"/>
      <c r="BP71" s="426"/>
    </row>
    <row r="72" spans="3:188" ht="42" customHeight="1">
      <c r="AL72" s="139"/>
      <c r="AM72" s="139"/>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c r="BS72" s="139"/>
      <c r="BT72" s="139"/>
      <c r="BU72" s="139"/>
      <c r="BV72" s="139"/>
      <c r="BW72" s="139"/>
      <c r="BX72" s="139"/>
      <c r="BY72" s="139"/>
      <c r="BZ72" s="139"/>
      <c r="CA72" s="139"/>
      <c r="CB72" s="139"/>
      <c r="CC72" s="139"/>
      <c r="CD72" s="139"/>
      <c r="CE72" s="139"/>
      <c r="CF72" s="139"/>
      <c r="CG72" s="139"/>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427"/>
      <c r="EL72" s="421"/>
      <c r="EM72" s="421"/>
      <c r="EN72" s="421"/>
      <c r="EO72" s="421"/>
      <c r="EP72" s="421"/>
      <c r="EQ72" s="421"/>
      <c r="ER72" s="421"/>
      <c r="ES72" s="421"/>
      <c r="ET72" s="421"/>
      <c r="EU72" s="421"/>
      <c r="EV72" s="421"/>
      <c r="EW72" s="421"/>
      <c r="EX72" s="421"/>
      <c r="EY72" s="421"/>
      <c r="EZ72" s="421"/>
      <c r="FA72" s="421"/>
      <c r="FB72" s="421"/>
      <c r="FC72" s="421"/>
      <c r="FD72" s="421"/>
      <c r="FE72" s="421"/>
      <c r="FF72" s="421"/>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row>
    <row r="73" spans="3:188" ht="42" customHeight="1" thickBot="1">
      <c r="C73" s="422"/>
      <c r="D73" s="422" t="s">
        <v>238</v>
      </c>
      <c r="E73" s="422" t="s">
        <v>239</v>
      </c>
      <c r="F73" s="422" t="s">
        <v>162</v>
      </c>
      <c r="G73" s="422"/>
      <c r="H73" s="423"/>
      <c r="I73" s="423"/>
      <c r="J73" s="423"/>
      <c r="K73" s="423"/>
      <c r="L73" s="424"/>
      <c r="M73" s="424"/>
      <c r="N73" s="424"/>
      <c r="O73" s="424"/>
      <c r="P73" s="424"/>
      <c r="Q73" s="424"/>
      <c r="R73" s="424"/>
      <c r="S73" s="425"/>
      <c r="T73" s="425"/>
      <c r="U73" s="425"/>
      <c r="V73" s="425"/>
      <c r="W73" s="425"/>
      <c r="X73" s="425"/>
      <c r="Y73" s="425"/>
      <c r="Z73" s="425"/>
      <c r="AA73" s="425"/>
      <c r="AB73" s="425"/>
      <c r="AC73" s="425"/>
      <c r="AD73" s="425"/>
      <c r="AE73" s="425"/>
      <c r="AF73" s="425"/>
      <c r="AG73" s="425"/>
      <c r="AH73" s="426"/>
      <c r="AI73" s="426"/>
      <c r="AJ73" s="426"/>
      <c r="AK73" s="426"/>
      <c r="AL73" s="426"/>
      <c r="AM73" s="426"/>
      <c r="AN73" s="426"/>
      <c r="AO73" s="426"/>
      <c r="AP73" s="426"/>
      <c r="AQ73" s="426"/>
      <c r="AR73" s="426"/>
      <c r="AS73" s="426"/>
      <c r="AT73" s="426"/>
      <c r="AU73" s="426"/>
      <c r="AV73" s="426"/>
      <c r="AW73" s="426"/>
      <c r="AX73" s="426"/>
      <c r="AY73" s="426"/>
      <c r="AZ73" s="426"/>
      <c r="BA73" s="426"/>
      <c r="BB73" s="426"/>
      <c r="BC73" s="426"/>
      <c r="BD73" s="426"/>
      <c r="BE73" s="426"/>
      <c r="BF73" s="426"/>
      <c r="BG73" s="426"/>
      <c r="BH73" s="426"/>
      <c r="BI73" s="426"/>
      <c r="BJ73" s="426"/>
      <c r="BK73" s="426"/>
      <c r="BL73" s="426"/>
      <c r="BM73" s="426"/>
      <c r="BN73" s="426"/>
      <c r="BO73" s="426"/>
      <c r="BP73" s="425"/>
      <c r="BQ73" s="139"/>
      <c r="BR73" s="139"/>
      <c r="BS73" s="139"/>
      <c r="BT73" s="139"/>
      <c r="BU73" s="139"/>
      <c r="BV73" s="139"/>
      <c r="BW73" s="139"/>
      <c r="BX73" s="139"/>
      <c r="BY73" s="139"/>
      <c r="BZ73" s="139"/>
      <c r="CA73" s="139"/>
      <c r="CB73" s="139"/>
      <c r="CC73" s="139"/>
      <c r="CD73" s="139"/>
      <c r="CE73" s="139"/>
      <c r="CF73" s="139"/>
      <c r="CG73" s="139"/>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427"/>
      <c r="EL73" s="421"/>
      <c r="EM73" s="421"/>
      <c r="EN73" s="421"/>
      <c r="EO73" s="421"/>
      <c r="EP73" s="421"/>
      <c r="EQ73" s="421"/>
      <c r="ER73" s="421"/>
      <c r="ES73" s="421"/>
      <c r="ET73" s="421"/>
      <c r="EU73" s="421"/>
      <c r="EV73" s="421"/>
      <c r="EW73" s="421"/>
      <c r="EX73" s="421"/>
      <c r="EY73" s="421"/>
      <c r="EZ73" s="421"/>
      <c r="FA73" s="421"/>
      <c r="FB73" s="421"/>
      <c r="FC73" s="421"/>
      <c r="FD73" s="421"/>
      <c r="FE73" s="421"/>
      <c r="FF73" s="421"/>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row>
    <row r="74" spans="3:188" ht="42" customHeight="1" thickBot="1">
      <c r="C74" s="422" t="s">
        <v>240</v>
      </c>
      <c r="D74" s="470">
        <f>参数实验室!E24</f>
        <v>1.0363574479839377</v>
      </c>
      <c r="E74" s="470">
        <f>参数实验室!E40</f>
        <v>-0.9636425520160623</v>
      </c>
      <c r="F74" s="468">
        <v>1</v>
      </c>
      <c r="G74" s="422"/>
      <c r="H74" s="422"/>
      <c r="I74" s="422"/>
      <c r="J74" s="422"/>
      <c r="K74" s="422"/>
      <c r="L74" s="423"/>
      <c r="M74" s="423"/>
      <c r="N74" s="423"/>
      <c r="O74" s="423"/>
      <c r="P74" s="423"/>
      <c r="Q74" s="423"/>
      <c r="R74" s="423"/>
      <c r="S74" s="424"/>
      <c r="T74" s="424"/>
      <c r="U74" s="424"/>
      <c r="V74" s="424"/>
      <c r="W74" s="424"/>
      <c r="X74" s="424"/>
      <c r="Y74" s="424"/>
      <c r="Z74" s="424"/>
      <c r="AA74" s="424"/>
      <c r="AB74" s="424"/>
      <c r="AC74" s="424"/>
      <c r="AD74" s="424"/>
      <c r="AE74" s="424"/>
      <c r="AF74" s="424"/>
      <c r="AG74" s="424"/>
      <c r="AH74" s="425"/>
      <c r="AI74" s="425"/>
      <c r="AJ74" s="425"/>
      <c r="AK74" s="425"/>
      <c r="AL74" s="425"/>
      <c r="AM74" s="425"/>
      <c r="AN74" s="425"/>
      <c r="AO74" s="425"/>
      <c r="AP74" s="425"/>
      <c r="AQ74" s="425"/>
      <c r="AR74" s="425"/>
      <c r="AS74" s="425"/>
      <c r="AT74" s="425"/>
      <c r="AU74" s="425"/>
      <c r="AV74" s="425"/>
      <c r="AW74" s="425"/>
      <c r="AX74" s="425"/>
      <c r="AY74" s="425"/>
      <c r="AZ74" s="425"/>
      <c r="BA74" s="425"/>
      <c r="BB74" s="425"/>
      <c r="BC74" s="425"/>
      <c r="BD74" s="425"/>
      <c r="BE74" s="425"/>
      <c r="BF74" s="425"/>
      <c r="BG74" s="425"/>
      <c r="BH74" s="425"/>
      <c r="BI74" s="425"/>
      <c r="BJ74" s="425"/>
      <c r="BK74" s="425"/>
      <c r="BL74" s="425"/>
      <c r="BM74" s="425"/>
      <c r="BN74" s="425"/>
      <c r="BO74" s="425"/>
      <c r="BP74" s="426"/>
      <c r="BQ74" s="139"/>
      <c r="BR74" s="139"/>
      <c r="BS74" s="139"/>
      <c r="BT74" s="139"/>
      <c r="BU74" s="139"/>
      <c r="BV74" s="139"/>
      <c r="BW74" s="139"/>
      <c r="BX74" s="139"/>
      <c r="BY74" s="139"/>
      <c r="BZ74" s="139"/>
      <c r="CA74" s="139"/>
      <c r="CB74" s="139"/>
      <c r="CC74" s="139"/>
      <c r="CD74" s="139"/>
      <c r="CE74" s="139"/>
      <c r="CF74" s="139"/>
      <c r="CG74" s="139"/>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427"/>
      <c r="EL74" s="421"/>
      <c r="EM74" s="421"/>
      <c r="EN74" s="421"/>
      <c r="EO74" s="421"/>
      <c r="EP74" s="421"/>
      <c r="EQ74" s="421"/>
      <c r="ER74" s="421"/>
      <c r="ES74" s="421"/>
      <c r="ET74" s="421"/>
      <c r="EU74" s="421"/>
      <c r="EV74" s="421"/>
      <c r="EW74" s="421"/>
      <c r="EX74" s="421"/>
      <c r="EY74" s="421"/>
      <c r="EZ74" s="421"/>
      <c r="FA74" s="421"/>
      <c r="FB74" s="421"/>
      <c r="FC74" s="421"/>
      <c r="FD74" s="421"/>
      <c r="FE74" s="421"/>
      <c r="FF74" s="421"/>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row>
    <row r="75" spans="3:188" ht="42" customHeight="1" thickBot="1">
      <c r="C75" s="431" t="s">
        <v>241</v>
      </c>
      <c r="D75" s="471">
        <f>参数实验室!E28</f>
        <v>-1.0543149781150456</v>
      </c>
      <c r="E75" s="471">
        <f>参数实验室!E44</f>
        <v>0.10862995623009114</v>
      </c>
      <c r="F75" s="434"/>
      <c r="G75" s="435">
        <v>-1.5</v>
      </c>
      <c r="H75" s="436">
        <v>-1.45</v>
      </c>
      <c r="I75" s="435">
        <v>-1.4</v>
      </c>
      <c r="J75" s="436">
        <v>-1.35</v>
      </c>
      <c r="K75" s="435">
        <v>-1.3</v>
      </c>
      <c r="L75" s="436">
        <v>-1.25</v>
      </c>
      <c r="M75" s="435">
        <v>-1.2</v>
      </c>
      <c r="N75" s="436">
        <v>-1.1499999999999999</v>
      </c>
      <c r="O75" s="435">
        <v>-1.1000000000000001</v>
      </c>
      <c r="P75" s="436">
        <v>-1.05</v>
      </c>
      <c r="Q75" s="435">
        <v>-1</v>
      </c>
      <c r="R75" s="436">
        <v>-0.95</v>
      </c>
      <c r="S75" s="436">
        <v>-0.9</v>
      </c>
      <c r="T75" s="435">
        <v>-0.85</v>
      </c>
      <c r="U75" s="436">
        <v>-0.8</v>
      </c>
      <c r="V75" s="436">
        <v>-0.75</v>
      </c>
      <c r="W75" s="435">
        <v>-0.7</v>
      </c>
      <c r="X75" s="436">
        <v>-0.65</v>
      </c>
      <c r="Y75" s="436">
        <v>-0.6</v>
      </c>
      <c r="Z75" s="435">
        <v>-0.55000000000000004</v>
      </c>
      <c r="AA75" s="436">
        <v>-0.5</v>
      </c>
      <c r="AB75" s="435">
        <v>-0.45</v>
      </c>
      <c r="AC75" s="436">
        <v>-0.4</v>
      </c>
      <c r="AD75" s="435">
        <v>-0.35</v>
      </c>
      <c r="AE75" s="436">
        <v>-0.3</v>
      </c>
      <c r="AF75" s="435">
        <v>-0.25</v>
      </c>
      <c r="AG75" s="436">
        <v>-0.2</v>
      </c>
      <c r="AH75" s="435">
        <v>-0.15</v>
      </c>
      <c r="AI75" s="436">
        <v>-0.1</v>
      </c>
      <c r="AJ75" s="435">
        <v>-0.05</v>
      </c>
      <c r="AK75" s="436">
        <v>0</v>
      </c>
      <c r="AL75" s="435">
        <v>0.05</v>
      </c>
      <c r="AM75" s="436">
        <v>0.1</v>
      </c>
      <c r="AN75" s="435">
        <v>0.15</v>
      </c>
      <c r="AO75" s="436">
        <v>0.2</v>
      </c>
      <c r="AP75" s="435">
        <v>0.25</v>
      </c>
      <c r="AQ75" s="436">
        <v>0.3</v>
      </c>
      <c r="AR75" s="435">
        <v>0.35</v>
      </c>
      <c r="AS75" s="436">
        <v>0.4</v>
      </c>
      <c r="AT75" s="435">
        <v>0.45</v>
      </c>
      <c r="AU75" s="436">
        <v>0.5</v>
      </c>
      <c r="AV75" s="435">
        <v>0.55000000000000004</v>
      </c>
      <c r="AW75" s="436">
        <v>0.6</v>
      </c>
      <c r="AX75" s="435">
        <v>0.65</v>
      </c>
      <c r="AY75" s="436">
        <v>0.7</v>
      </c>
      <c r="AZ75" s="435">
        <v>0.75</v>
      </c>
      <c r="BA75" s="436">
        <v>0.8</v>
      </c>
      <c r="BB75" s="435">
        <v>0.85</v>
      </c>
      <c r="BC75" s="436">
        <v>0.9</v>
      </c>
      <c r="BD75" s="435">
        <v>0.95</v>
      </c>
      <c r="BE75" s="436">
        <v>1</v>
      </c>
      <c r="BF75" s="435">
        <v>1.05</v>
      </c>
      <c r="BG75" s="436">
        <v>1.1000000000000001</v>
      </c>
      <c r="BH75" s="435">
        <v>1.1499999999999999</v>
      </c>
      <c r="BI75" s="436">
        <v>1.2</v>
      </c>
      <c r="BJ75" s="435">
        <v>1.25</v>
      </c>
      <c r="BK75" s="436">
        <v>1.3</v>
      </c>
      <c r="BL75" s="435">
        <v>1.35</v>
      </c>
      <c r="BM75" s="436">
        <v>1.4</v>
      </c>
      <c r="BN75" s="435">
        <v>1.45</v>
      </c>
      <c r="BO75" s="436">
        <v>1.5</v>
      </c>
      <c r="BP75" s="425"/>
      <c r="BQ75" s="139"/>
      <c r="BR75" s="139"/>
      <c r="BS75" s="139"/>
      <c r="BT75" s="139"/>
      <c r="BU75" s="139"/>
      <c r="BV75" s="139"/>
      <c r="BW75" s="139"/>
      <c r="BX75" s="139"/>
      <c r="BY75" s="139"/>
      <c r="BZ75" s="139"/>
      <c r="CA75" s="139"/>
      <c r="CB75" s="139"/>
      <c r="CC75" s="139"/>
      <c r="CD75" s="139"/>
      <c r="CE75" s="139"/>
      <c r="CF75" s="139"/>
      <c r="CG75" s="139"/>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427"/>
      <c r="EL75" s="421"/>
      <c r="EM75" s="421"/>
      <c r="EN75" s="421"/>
      <c r="EO75" s="421"/>
      <c r="EP75" s="421"/>
      <c r="EQ75" s="421"/>
      <c r="ER75" s="421"/>
      <c r="ES75" s="421"/>
      <c r="ET75" s="421"/>
      <c r="EU75" s="421"/>
      <c r="EV75" s="421"/>
      <c r="EW75" s="421"/>
      <c r="EX75" s="421"/>
      <c r="EY75" s="421"/>
      <c r="EZ75" s="421"/>
      <c r="FA75" s="421"/>
      <c r="FB75" s="421"/>
      <c r="FC75" s="421"/>
      <c r="FD75" s="421"/>
      <c r="FE75" s="421"/>
      <c r="FF75" s="421"/>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row>
    <row r="76" spans="3:188" ht="42" customHeight="1" thickBot="1">
      <c r="C76" s="437" t="s">
        <v>163</v>
      </c>
      <c r="D76" s="469">
        <v>0</v>
      </c>
      <c r="E76" s="472" t="s">
        <v>237</v>
      </c>
      <c r="F76" s="440">
        <v>0.5</v>
      </c>
      <c r="G76" s="466"/>
      <c r="H76" s="466"/>
      <c r="I76" s="466"/>
      <c r="J76" s="466"/>
      <c r="K76" s="466"/>
      <c r="L76" s="466"/>
      <c r="M76" s="466"/>
      <c r="N76" s="466"/>
      <c r="O76" s="466"/>
      <c r="P76" s="466"/>
      <c r="Q76" s="466"/>
      <c r="R76" s="466"/>
      <c r="S76" s="466"/>
      <c r="T76" s="466"/>
      <c r="U76" s="466"/>
      <c r="V76" s="466"/>
      <c r="W76" s="466"/>
      <c r="X76" s="466"/>
      <c r="Y76" s="466"/>
      <c r="Z76" s="466"/>
      <c r="AA76" s="466"/>
      <c r="AB76" s="466"/>
      <c r="AC76" s="466"/>
      <c r="AD76" s="466"/>
      <c r="AE76" s="466"/>
      <c r="AF76" s="466"/>
      <c r="AG76" s="466"/>
      <c r="AH76" s="466"/>
      <c r="AI76" s="466"/>
      <c r="AJ76" s="466"/>
      <c r="AK76" s="466"/>
      <c r="AL76" s="466"/>
      <c r="AM76" s="466"/>
      <c r="AN76" s="466"/>
      <c r="AO76" s="466"/>
      <c r="AP76" s="466"/>
      <c r="AQ76" s="466"/>
      <c r="AR76" s="466"/>
      <c r="AS76" s="466"/>
      <c r="AT76" s="466"/>
      <c r="AU76" s="466"/>
      <c r="AV76" s="466"/>
      <c r="AW76" s="466"/>
      <c r="AX76" s="466"/>
      <c r="AY76" s="466"/>
      <c r="AZ76" s="466"/>
      <c r="BA76" s="466"/>
      <c r="BB76" s="466"/>
      <c r="BC76" s="466"/>
      <c r="BD76" s="466"/>
      <c r="BE76" s="466"/>
      <c r="BF76" s="466"/>
      <c r="BG76" s="466"/>
      <c r="BH76" s="466"/>
      <c r="BI76" s="466"/>
      <c r="BJ76" s="466"/>
      <c r="BK76" s="466"/>
      <c r="BL76" s="466"/>
      <c r="BM76" s="466"/>
      <c r="BN76" s="466"/>
      <c r="BO76" s="467"/>
      <c r="BP76" s="223"/>
      <c r="BQ76" s="139"/>
      <c r="BR76" s="139"/>
      <c r="BS76" s="139"/>
      <c r="BT76" s="139"/>
      <c r="BU76" s="139"/>
      <c r="BV76" s="139"/>
      <c r="BW76" s="139"/>
      <c r="BX76" s="139"/>
      <c r="BY76" s="139"/>
      <c r="BZ76" s="139"/>
      <c r="CA76" s="139"/>
      <c r="CB76" s="139"/>
      <c r="CC76" s="139"/>
      <c r="CD76" s="139"/>
      <c r="CE76" s="139"/>
      <c r="CF76" s="139"/>
      <c r="CG76" s="139"/>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427"/>
      <c r="EL76" s="421"/>
      <c r="EM76" s="421"/>
      <c r="EN76" s="421"/>
      <c r="EO76" s="421"/>
      <c r="EP76" s="421"/>
      <c r="EQ76" s="421"/>
      <c r="ER76" s="421"/>
      <c r="ES76" s="421"/>
      <c r="ET76" s="421"/>
      <c r="EU76" s="421"/>
      <c r="EV76" s="421"/>
      <c r="EW76" s="421"/>
      <c r="EX76" s="421"/>
      <c r="EY76" s="421"/>
      <c r="EZ76" s="421"/>
      <c r="FA76" s="421"/>
      <c r="FB76" s="421"/>
      <c r="FC76" s="421"/>
      <c r="FD76" s="421"/>
      <c r="FE76" s="421"/>
      <c r="FF76" s="421"/>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row>
    <row r="77" spans="3:188" ht="42" customHeight="1">
      <c r="C77" s="428"/>
      <c r="D77" s="428"/>
      <c r="E77" s="443">
        <v>1.5</v>
      </c>
      <c r="F77" s="464"/>
      <c r="G77" s="302">
        <f>($F$74-$D$76)*2*(1/(1+EXP(-4/$F$76*(POWER(POWER((ABS(G$75-($E$74))),3)+POWER(ABS($E77-($E$75)),3),1/3))))-0.5+$D$76)*($F$74-$D$76)*2*(1/(1+EXP(-4/$F$76*(POWER(POWER((ABS(G$75-($D$74))),3)+POWER(ABS($E77-($D$75)),3),1/3))))-0.5+$D$76)</f>
        <v>0.99997621447185947</v>
      </c>
      <c r="H77" s="302">
        <f t="shared" ref="H77:BO81" si="125">($F$74-$D$76)*2*(1/(1+EXP(-4/$F$76*(POWER(POWER((ABS(H$75-($E$74))),3)+POWER(ABS($E77-($E$75)),3),1/3))))-0.5+$D$76)*($F$74-$D$76)*2*(1/(1+EXP(-4/$F$76*(POWER(POWER((ABS(H$75-($D$74))),3)+POWER(ABS($E77-($D$75)),3),1/3))))-0.5+$D$76)</f>
        <v>0.99997493635078571</v>
      </c>
      <c r="I77" s="302">
        <f t="shared" si="125"/>
        <v>0.99997383576051457</v>
      </c>
      <c r="J77" s="302">
        <f t="shared" si="125"/>
        <v>0.99997291979341785</v>
      </c>
      <c r="K77" s="302">
        <f t="shared" si="125"/>
        <v>0.99997218679163147</v>
      </c>
      <c r="L77" s="302">
        <f t="shared" si="125"/>
        <v>0.99997162713375931</v>
      </c>
      <c r="M77" s="302">
        <f t="shared" si="125"/>
        <v>0.99997122443993425</v>
      </c>
      <c r="N77" s="302">
        <f t="shared" si="125"/>
        <v>0.9999709570008658</v>
      </c>
      <c r="O77" s="302">
        <f t="shared" si="125"/>
        <v>0.99997079924419419</v>
      </c>
      <c r="P77" s="302">
        <f t="shared" si="125"/>
        <v>0.99997072308096147</v>
      </c>
      <c r="Q77" s="302">
        <f t="shared" si="125"/>
        <v>0.99997069901567393</v>
      </c>
      <c r="R77" s="302">
        <f t="shared" si="125"/>
        <v>0.99997069715031606</v>
      </c>
      <c r="S77" s="302">
        <f t="shared" si="125"/>
        <v>0.99997070741761795</v>
      </c>
      <c r="T77" s="302">
        <f t="shared" si="125"/>
        <v>0.99997075614591358</v>
      </c>
      <c r="U77" s="302">
        <f t="shared" si="125"/>
        <v>0.99997087318437172</v>
      </c>
      <c r="V77" s="302">
        <f t="shared" si="125"/>
        <v>0.99997108738031304</v>
      </c>
      <c r="W77" s="302">
        <f t="shared" si="125"/>
        <v>0.99997142560356522</v>
      </c>
      <c r="X77" s="302">
        <f t="shared" si="125"/>
        <v>0.99997191149556741</v>
      </c>
      <c r="Y77" s="302">
        <f t="shared" si="125"/>
        <v>0.99997256404032142</v>
      </c>
      <c r="Z77" s="302">
        <f t="shared" si="125"/>
        <v>0.99997339609665525</v>
      </c>
      <c r="AA77" s="302">
        <f t="shared" si="125"/>
        <v>0.99997441306716839</v>
      </c>
      <c r="AB77" s="302">
        <f t="shared" si="125"/>
        <v>0.99997561189805695</v>
      </c>
      <c r="AC77" s="302">
        <f t="shared" si="125"/>
        <v>0.99997698059591911</v>
      </c>
      <c r="AD77" s="302">
        <f t="shared" si="125"/>
        <v>0.99997849840641262</v>
      </c>
      <c r="AE77" s="302">
        <f t="shared" si="125"/>
        <v>0.99998013672594999</v>
      </c>
      <c r="AF77" s="302">
        <f t="shared" si="125"/>
        <v>0.99998186072028494</v>
      </c>
      <c r="AG77" s="302">
        <f t="shared" si="125"/>
        <v>0.99998363151956127</v>
      </c>
      <c r="AH77" s="302">
        <f t="shared" si="125"/>
        <v>0.99998540876885278</v>
      </c>
      <c r="AI77" s="302">
        <f t="shared" si="125"/>
        <v>0.9999871532562945</v>
      </c>
      <c r="AJ77" s="302">
        <f t="shared" si="125"/>
        <v>0.9999888293303848</v>
      </c>
      <c r="AK77" s="302">
        <f t="shared" si="125"/>
        <v>0.99999040685624618</v>
      </c>
      <c r="AL77" s="302">
        <f t="shared" si="125"/>
        <v>0.99999186253830097</v>
      </c>
      <c r="AM77" s="302">
        <f t="shared" si="125"/>
        <v>0.99999318053621855</v>
      </c>
      <c r="AN77" s="302">
        <f t="shared" si="125"/>
        <v>0.99999435240103429</v>
      </c>
      <c r="AO77" s="302">
        <f t="shared" si="125"/>
        <v>0.9999953764403906</v>
      </c>
      <c r="AP77" s="302">
        <f t="shared" si="125"/>
        <v>0.9999962566739391</v>
      </c>
      <c r="AQ77" s="302">
        <f t="shared" si="125"/>
        <v>0.99999700155848659</v>
      </c>
      <c r="AR77" s="302">
        <f t="shared" si="125"/>
        <v>0.99999762265144221</v>
      </c>
      <c r="AS77" s="302">
        <f t="shared" si="125"/>
        <v>0.99999813334923804</v>
      </c>
      <c r="AT77" s="302">
        <f t="shared" si="125"/>
        <v>0.9999985477951483</v>
      </c>
      <c r="AU77" s="302">
        <f t="shared" si="125"/>
        <v>0.99999888000775805</v>
      </c>
      <c r="AV77" s="302">
        <f t="shared" si="125"/>
        <v>0.99999914324397765</v>
      </c>
      <c r="AW77" s="302">
        <f t="shared" si="125"/>
        <v>0.99999934958266012</v>
      </c>
      <c r="AX77" s="302">
        <f t="shared" si="125"/>
        <v>0.99999950969740492</v>
      </c>
      <c r="AY77" s="302">
        <f t="shared" si="125"/>
        <v>0.99999963277895298</v>
      </c>
      <c r="AZ77" s="302">
        <f t="shared" si="125"/>
        <v>0.99999972656652458</v>
      </c>
      <c r="BA77" s="302">
        <f t="shared" si="125"/>
        <v>0.99999979745119705</v>
      </c>
      <c r="BB77" s="302">
        <f t="shared" si="125"/>
        <v>0.99999985062064178</v>
      </c>
      <c r="BC77" s="302">
        <f t="shared" si="125"/>
        <v>0.99999989022169211</v>
      </c>
      <c r="BD77" s="302">
        <f t="shared" si="125"/>
        <v>0.99999991952400458</v>
      </c>
      <c r="BE77" s="302">
        <f t="shared" si="125"/>
        <v>0.99999994107397805</v>
      </c>
      <c r="BF77" s="302">
        <f t="shared" si="125"/>
        <v>0.99999995683274323</v>
      </c>
      <c r="BG77" s="302">
        <f t="shared" si="125"/>
        <v>0.99999996829600912</v>
      </c>
      <c r="BH77" s="302">
        <f t="shared" si="125"/>
        <v>0.99999997659477358</v>
      </c>
      <c r="BI77" s="302">
        <f t="shared" si="125"/>
        <v>0.99999998257673584</v>
      </c>
      <c r="BJ77" s="302">
        <f t="shared" si="125"/>
        <v>0.99999998687242941</v>
      </c>
      <c r="BK77" s="302">
        <f t="shared" si="125"/>
        <v>0.99999998994764638</v>
      </c>
      <c r="BL77" s="302">
        <f t="shared" si="125"/>
        <v>0.9999999921443341</v>
      </c>
      <c r="BM77" s="302">
        <f t="shared" si="125"/>
        <v>0.9999999937120907</v>
      </c>
      <c r="BN77" s="302">
        <f t="shared" si="125"/>
        <v>0.99999999483215074</v>
      </c>
      <c r="BO77" s="303">
        <f t="shared" si="125"/>
        <v>0.99999999563547348</v>
      </c>
      <c r="BP77" s="223"/>
      <c r="BQ77" s="139"/>
      <c r="BR77" s="139"/>
      <c r="BS77" s="139"/>
      <c r="BT77" s="139"/>
      <c r="BU77" s="139"/>
      <c r="BV77" s="139"/>
      <c r="BW77" s="139"/>
      <c r="BX77" s="139"/>
      <c r="BY77" s="139"/>
      <c r="BZ77" s="139"/>
      <c r="CA77" s="139"/>
      <c r="CB77" s="139"/>
      <c r="CC77" s="139"/>
      <c r="CD77" s="139"/>
      <c r="CE77" s="139"/>
      <c r="CF77" s="139"/>
      <c r="CG77" s="139"/>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427"/>
      <c r="EL77" s="421"/>
      <c r="EM77" s="421"/>
      <c r="EN77" s="421"/>
      <c r="EO77" s="421"/>
      <c r="EP77" s="421"/>
      <c r="EQ77" s="421"/>
      <c r="ER77" s="421"/>
      <c r="ES77" s="421"/>
      <c r="ET77" s="421"/>
      <c r="EU77" s="421"/>
      <c r="EV77" s="421"/>
      <c r="EW77" s="421"/>
      <c r="EX77" s="421"/>
      <c r="EY77" s="421"/>
      <c r="EZ77" s="421"/>
      <c r="FA77" s="421"/>
      <c r="FB77" s="421"/>
      <c r="FC77" s="421"/>
      <c r="FD77" s="421"/>
      <c r="FE77" s="421"/>
      <c r="FF77" s="421"/>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row>
    <row r="78" spans="3:188" ht="42" customHeight="1">
      <c r="C78" s="423"/>
      <c r="D78" s="428"/>
      <c r="E78" s="445">
        <v>1.45</v>
      </c>
      <c r="F78" s="464"/>
      <c r="G78" s="302">
        <f t="shared" ref="G78:V97" si="126">($F$74-$D$76)*2*(1/(1+EXP(-4/$F$76*(POWER(POWER((ABS(G$75-($E$74))),3)+POWER(ABS($E78-($E$75)),3),1/3))))-0.5+$D$76)*($F$74-$D$76)*2*(1/(1+EXP(-4/$F$76*(POWER(POWER((ABS(G$75-($D$74))),3)+POWER(ABS($E78-($D$75)),3),1/3))))-0.5+$D$76)</f>
        <v>0.99996505747834208</v>
      </c>
      <c r="H78" s="302">
        <f t="shared" si="125"/>
        <v>0.99996304083133025</v>
      </c>
      <c r="I78" s="302">
        <f t="shared" si="125"/>
        <v>0.99996129667218836</v>
      </c>
      <c r="J78" s="302">
        <f t="shared" si="125"/>
        <v>0.99995983985210835</v>
      </c>
      <c r="K78" s="302">
        <f t="shared" si="125"/>
        <v>0.9999586706729402</v>
      </c>
      <c r="L78" s="302">
        <f t="shared" si="125"/>
        <v>0.99995777600814439</v>
      </c>
      <c r="M78" s="302">
        <f t="shared" si="125"/>
        <v>0.99995713121805263</v>
      </c>
      <c r="N78" s="302">
        <f t="shared" si="125"/>
        <v>0.99995670251772739</v>
      </c>
      <c r="O78" s="302">
        <f t="shared" si="125"/>
        <v>0.99995644945957196</v>
      </c>
      <c r="P78" s="302">
        <f t="shared" si="125"/>
        <v>0.99995632724114714</v>
      </c>
      <c r="Q78" s="302">
        <f t="shared" si="125"/>
        <v>0.99995628862122332</v>
      </c>
      <c r="R78" s="302">
        <f t="shared" si="125"/>
        <v>0.9999562856331291</v>
      </c>
      <c r="S78" s="302">
        <f t="shared" si="125"/>
        <v>0.99995630211948339</v>
      </c>
      <c r="T78" s="302">
        <f t="shared" si="125"/>
        <v>0.99995638033125855</v>
      </c>
      <c r="U78" s="302">
        <f t="shared" si="125"/>
        <v>0.99995656812364186</v>
      </c>
      <c r="V78" s="302">
        <f t="shared" si="125"/>
        <v>0.99995691161369959</v>
      </c>
      <c r="W78" s="302">
        <f t="shared" si="125"/>
        <v>0.99995745349294796</v>
      </c>
      <c r="X78" s="302">
        <f t="shared" si="125"/>
        <v>0.99995823087537306</v>
      </c>
      <c r="Y78" s="302">
        <f t="shared" si="125"/>
        <v>0.9999592728624167</v>
      </c>
      <c r="Z78" s="302">
        <f t="shared" si="125"/>
        <v>0.99996059808322424</v>
      </c>
      <c r="AA78" s="302">
        <f t="shared" si="125"/>
        <v>0.99996221253042195</v>
      </c>
      <c r="AB78" s="302">
        <f t="shared" si="125"/>
        <v>0.99996410803802749</v>
      </c>
      <c r="AC78" s="302">
        <f t="shared" si="125"/>
        <v>0.99996626172081682</v>
      </c>
      <c r="AD78" s="302">
        <f t="shared" si="125"/>
        <v>0.9999686366041618</v>
      </c>
      <c r="AE78" s="302">
        <f t="shared" si="125"/>
        <v>0.99997118352505676</v>
      </c>
      <c r="AF78" s="302">
        <f t="shared" si="125"/>
        <v>0.99997384420048485</v>
      </c>
      <c r="AG78" s="302">
        <f t="shared" si="125"/>
        <v>0.99997655517361173</v>
      </c>
      <c r="AH78" s="302">
        <f t="shared" si="125"/>
        <v>0.99997925220206307</v>
      </c>
      <c r="AI78" s="302">
        <f t="shared" si="125"/>
        <v>0.9999818745798833</v>
      </c>
      <c r="AJ78" s="302">
        <f t="shared" si="125"/>
        <v>0.99998436890277742</v>
      </c>
      <c r="AK78" s="302">
        <f t="shared" si="125"/>
        <v>0.99998669188974387</v>
      </c>
      <c r="AL78" s="302">
        <f t="shared" si="125"/>
        <v>0.99998881203723677</v>
      </c>
      <c r="AM78" s="302">
        <f t="shared" si="125"/>
        <v>0.99999071006641205</v>
      </c>
      <c r="AN78" s="302">
        <f t="shared" si="125"/>
        <v>0.99999237829086551</v>
      </c>
      <c r="AO78" s="302">
        <f t="shared" si="125"/>
        <v>0.99999381915225649</v>
      </c>
      <c r="AP78" s="302">
        <f t="shared" si="125"/>
        <v>0.99999504323054234</v>
      </c>
      <c r="AQ78" s="302">
        <f t="shared" si="125"/>
        <v>0.99999606703605559</v>
      </c>
      <c r="AR78" s="302">
        <f t="shared" si="125"/>
        <v>0.99999691084610254</v>
      </c>
      <c r="AS78" s="302">
        <f t="shared" si="125"/>
        <v>0.99999759677814193</v>
      </c>
      <c r="AT78" s="302">
        <f t="shared" si="125"/>
        <v>0.99999814721380054</v>
      </c>
      <c r="AU78" s="302">
        <f t="shared" si="125"/>
        <v>0.99999858361735716</v>
      </c>
      <c r="AV78" s="302">
        <f t="shared" si="125"/>
        <v>0.99999892573758864</v>
      </c>
      <c r="AW78" s="302">
        <f t="shared" si="125"/>
        <v>0.99999919114581437</v>
      </c>
      <c r="AX78" s="302">
        <f t="shared" si="125"/>
        <v>0.99999939504450819</v>
      </c>
      <c r="AY78" s="302">
        <f t="shared" si="125"/>
        <v>0.99999955027627507</v>
      </c>
      <c r="AZ78" s="302">
        <f t="shared" si="125"/>
        <v>0.99999966746791213</v>
      </c>
      <c r="BA78" s="302">
        <f t="shared" si="125"/>
        <v>0.9999997552545582</v>
      </c>
      <c r="BB78" s="302">
        <f t="shared" si="125"/>
        <v>0.99999982054120862</v>
      </c>
      <c r="BC78" s="302">
        <f t="shared" si="125"/>
        <v>0.99999986877097602</v>
      </c>
      <c r="BD78" s="302">
        <f t="shared" si="125"/>
        <v>0.99999990417999707</v>
      </c>
      <c r="BE78" s="302">
        <f t="shared" si="125"/>
        <v>0.99999993002730725</v>
      </c>
      <c r="BF78" s="302">
        <f t="shared" si="125"/>
        <v>0.99999994879427367</v>
      </c>
      <c r="BG78" s="302">
        <f t="shared" si="125"/>
        <v>0.99999996235325728</v>
      </c>
      <c r="BH78" s="302">
        <f t="shared" si="125"/>
        <v>0.99999997210612468</v>
      </c>
      <c r="BI78" s="302">
        <f t="shared" si="125"/>
        <v>0.99999997909375915</v>
      </c>
      <c r="BJ78" s="302">
        <f t="shared" si="125"/>
        <v>0.99999998408356428</v>
      </c>
      <c r="BK78" s="302">
        <f t="shared" si="125"/>
        <v>0.99999998763775899</v>
      </c>
      <c r="BL78" s="302">
        <f t="shared" si="125"/>
        <v>0.99999999016587982</v>
      </c>
      <c r="BM78" s="302">
        <f t="shared" si="125"/>
        <v>0.99999999196468714</v>
      </c>
      <c r="BN78" s="302">
        <f t="shared" si="125"/>
        <v>0.9999999932481991</v>
      </c>
      <c r="BO78" s="303">
        <f t="shared" si="125"/>
        <v>0.99999999417007324</v>
      </c>
      <c r="BP78" s="223"/>
      <c r="BQ78" s="139"/>
      <c r="BR78" s="139"/>
      <c r="BS78" s="139"/>
      <c r="BT78" s="139"/>
      <c r="BU78" s="139"/>
      <c r="BV78" s="139"/>
      <c r="BW78" s="139"/>
      <c r="BX78" s="139"/>
      <c r="BY78" s="139"/>
      <c r="BZ78" s="139"/>
      <c r="CA78" s="139"/>
      <c r="CB78" s="139"/>
      <c r="CC78" s="139"/>
      <c r="CD78" s="139"/>
      <c r="CE78" s="139"/>
      <c r="CF78" s="139"/>
      <c r="CG78" s="139"/>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427"/>
      <c r="EL78" s="421"/>
      <c r="EM78" s="421"/>
      <c r="EN78" s="421"/>
      <c r="EO78" s="421"/>
      <c r="EP78" s="421"/>
      <c r="EQ78" s="421"/>
      <c r="ER78" s="421"/>
      <c r="ES78" s="421"/>
      <c r="ET78" s="421"/>
      <c r="EU78" s="421"/>
      <c r="EV78" s="421"/>
      <c r="EW78" s="421"/>
      <c r="EX78" s="421"/>
      <c r="EY78" s="421"/>
      <c r="EZ78" s="421"/>
      <c r="FA78" s="421"/>
      <c r="FB78" s="421"/>
      <c r="FC78" s="421"/>
      <c r="FD78" s="421"/>
      <c r="FE78" s="421"/>
      <c r="FF78" s="421"/>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row>
    <row r="79" spans="3:188" ht="42" customHeight="1">
      <c r="C79" s="423"/>
      <c r="D79" s="428"/>
      <c r="E79" s="443">
        <v>1.4</v>
      </c>
      <c r="F79" s="464"/>
      <c r="G79" s="302">
        <f t="shared" si="126"/>
        <v>0.99994875559870622</v>
      </c>
      <c r="H79" s="302">
        <f t="shared" si="125"/>
        <v>0.99994557148334551</v>
      </c>
      <c r="I79" s="302">
        <f t="shared" si="125"/>
        <v>0.99994280409361269</v>
      </c>
      <c r="J79" s="302">
        <f t="shared" si="125"/>
        <v>0.99994048326373897</v>
      </c>
      <c r="K79" s="302">
        <f t="shared" si="125"/>
        <v>0.99993861464371281</v>
      </c>
      <c r="L79" s="302">
        <f t="shared" si="125"/>
        <v>0.99993718119852826</v>
      </c>
      <c r="M79" s="302">
        <f t="shared" si="125"/>
        <v>0.99993614621556037</v>
      </c>
      <c r="N79" s="302">
        <f t="shared" si="125"/>
        <v>0.99993545722098698</v>
      </c>
      <c r="O79" s="302">
        <f t="shared" si="125"/>
        <v>0.9999350501921036</v>
      </c>
      <c r="P79" s="302">
        <f t="shared" si="125"/>
        <v>0.99993485352912115</v>
      </c>
      <c r="Q79" s="302">
        <f t="shared" si="125"/>
        <v>0.99993479137932451</v>
      </c>
      <c r="R79" s="302">
        <f t="shared" si="125"/>
        <v>0.99993478657856383</v>
      </c>
      <c r="S79" s="302">
        <f t="shared" si="125"/>
        <v>0.99993481312346855</v>
      </c>
      <c r="T79" s="302">
        <f t="shared" si="125"/>
        <v>0.9999349390038299</v>
      </c>
      <c r="U79" s="302">
        <f t="shared" si="125"/>
        <v>0.99993524114439747</v>
      </c>
      <c r="V79" s="302">
        <f t="shared" si="125"/>
        <v>0.99993579343688443</v>
      </c>
      <c r="W79" s="302">
        <f t="shared" si="125"/>
        <v>0.99993666380567547</v>
      </c>
      <c r="X79" s="302">
        <f t="shared" si="125"/>
        <v>0.99993791048850278</v>
      </c>
      <c r="Y79" s="302">
        <f t="shared" si="125"/>
        <v>0.99993957787397969</v>
      </c>
      <c r="Z79" s="302">
        <f t="shared" si="125"/>
        <v>0.99994169237770203</v>
      </c>
      <c r="AA79" s="302">
        <f t="shared" si="125"/>
        <v>0.99994425894433026</v>
      </c>
      <c r="AB79" s="302">
        <f t="shared" si="125"/>
        <v>0.99994725879444291</v>
      </c>
      <c r="AC79" s="302">
        <f t="shared" si="125"/>
        <v>0.99995064895931285</v>
      </c>
      <c r="AD79" s="302">
        <f t="shared" si="125"/>
        <v>0.99995436395156767</v>
      </c>
      <c r="AE79" s="302">
        <f t="shared" si="125"/>
        <v>0.99995831962332848</v>
      </c>
      <c r="AF79" s="302">
        <f t="shared" si="125"/>
        <v>0.99996241891665061</v>
      </c>
      <c r="AG79" s="302">
        <f t="shared" si="125"/>
        <v>0.99996655888782138</v>
      </c>
      <c r="AH79" s="302">
        <f t="shared" si="125"/>
        <v>0.99997063816371634</v>
      </c>
      <c r="AI79" s="302">
        <f t="shared" si="125"/>
        <v>0.99997456392047146</v>
      </c>
      <c r="AJ79" s="302">
        <f t="shared" si="125"/>
        <v>0.99997825757787995</v>
      </c>
      <c r="AK79" s="302">
        <f t="shared" si="125"/>
        <v>0.99998165864830313</v>
      </c>
      <c r="AL79" s="302">
        <f t="shared" si="125"/>
        <v>0.99998472650304293</v>
      </c>
      <c r="AM79" s="302">
        <f t="shared" si="125"/>
        <v>0.99998744014542074</v>
      </c>
      <c r="AN79" s="302">
        <f t="shared" si="125"/>
        <v>0.99998979634137497</v>
      </c>
      <c r="AO79" s="302">
        <f t="shared" si="125"/>
        <v>0.99999180661484066</v>
      </c>
      <c r="AP79" s="302">
        <f t="shared" si="125"/>
        <v>0.99999349365815127</v>
      </c>
      <c r="AQ79" s="302">
        <f t="shared" si="125"/>
        <v>0.99999488765542688</v>
      </c>
      <c r="AR79" s="302">
        <f t="shared" si="125"/>
        <v>0.99999602290329137</v>
      </c>
      <c r="AS79" s="302">
        <f t="shared" si="125"/>
        <v>0.99999693497496045</v>
      </c>
      <c r="AT79" s="302">
        <f t="shared" si="125"/>
        <v>0.99999765854127154</v>
      </c>
      <c r="AU79" s="302">
        <f t="shared" si="125"/>
        <v>0.99999822585509102</v>
      </c>
      <c r="AV79" s="302">
        <f t="shared" si="125"/>
        <v>0.99999866583206076</v>
      </c>
      <c r="AW79" s="302">
        <f t="shared" si="125"/>
        <v>0.99999900362011374</v>
      </c>
      <c r="AX79" s="302">
        <f t="shared" si="125"/>
        <v>0.99999926053682597</v>
      </c>
      <c r="AY79" s="302">
        <f t="shared" si="125"/>
        <v>0.99999945425919678</v>
      </c>
      <c r="AZ79" s="302">
        <f t="shared" si="125"/>
        <v>0.99999959916708769</v>
      </c>
      <c r="BA79" s="302">
        <f t="shared" si="125"/>
        <v>0.99999970676278538</v>
      </c>
      <c r="BB79" s="302">
        <f t="shared" si="125"/>
        <v>0.99999978611059437</v>
      </c>
      <c r="BC79" s="302">
        <f t="shared" si="125"/>
        <v>0.99999984425926658</v>
      </c>
      <c r="BD79" s="302">
        <f t="shared" si="125"/>
        <v>0.9999998866253359</v>
      </c>
      <c r="BE79" s="302">
        <f t="shared" si="125"/>
        <v>0.99999991732677285</v>
      </c>
      <c r="BF79" s="302">
        <f t="shared" si="125"/>
        <v>0.99999993946422194</v>
      </c>
      <c r="BG79" s="302">
        <f t="shared" si="125"/>
        <v>0.99999995535327812</v>
      </c>
      <c r="BH79" s="302">
        <f t="shared" si="125"/>
        <v>0.99999996671128832</v>
      </c>
      <c r="BI79" s="302">
        <f t="shared" si="125"/>
        <v>0.99999997480190606</v>
      </c>
      <c r="BJ79" s="302">
        <f t="shared" si="125"/>
        <v>0.9999999805489056</v>
      </c>
      <c r="BK79" s="302">
        <f t="shared" si="125"/>
        <v>0.99999998462372341</v>
      </c>
      <c r="BL79" s="302">
        <f t="shared" si="125"/>
        <v>0.99999998751184682</v>
      </c>
      <c r="BM79" s="302">
        <f t="shared" si="125"/>
        <v>0.99999998956266012</v>
      </c>
      <c r="BN79" s="302">
        <f t="shared" si="125"/>
        <v>0.9999999910265136</v>
      </c>
      <c r="BO79" s="303">
        <f t="shared" si="125"/>
        <v>0.99999999208207546</v>
      </c>
      <c r="BP79" s="223"/>
      <c r="BQ79" s="139"/>
      <c r="BR79" s="139"/>
      <c r="BS79" s="139"/>
      <c r="BT79" s="139"/>
      <c r="BU79" s="139"/>
      <c r="BV79" s="139"/>
      <c r="BW79" s="139"/>
      <c r="BX79" s="139"/>
      <c r="BY79" s="139"/>
      <c r="BZ79" s="139"/>
      <c r="CA79" s="139"/>
      <c r="CB79" s="139"/>
      <c r="CC79" s="139"/>
      <c r="CD79" s="139"/>
      <c r="CE79" s="139"/>
      <c r="CF79" s="139"/>
      <c r="CG79" s="139"/>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427"/>
      <c r="EL79" s="421"/>
      <c r="EM79" s="421"/>
      <c r="EN79" s="421"/>
      <c r="EO79" s="421"/>
      <c r="EP79" s="421"/>
      <c r="EQ79" s="421"/>
      <c r="ER79" s="421"/>
      <c r="ES79" s="421"/>
      <c r="ET79" s="421"/>
      <c r="EU79" s="421"/>
      <c r="EV79" s="421"/>
      <c r="EW79" s="421"/>
      <c r="EX79" s="421"/>
      <c r="EY79" s="421"/>
      <c r="EZ79" s="421"/>
      <c r="FA79" s="421"/>
      <c r="FB79" s="421"/>
      <c r="FC79" s="421"/>
      <c r="FD79" s="421"/>
      <c r="FE79" s="421"/>
      <c r="FF79" s="421"/>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row>
    <row r="80" spans="3:188" ht="42" customHeight="1">
      <c r="C80" s="423"/>
      <c r="D80" s="428"/>
      <c r="E80" s="445">
        <v>1.35</v>
      </c>
      <c r="F80" s="464"/>
      <c r="G80" s="302">
        <f t="shared" si="126"/>
        <v>0.99992499738560081</v>
      </c>
      <c r="H80" s="302">
        <f t="shared" si="125"/>
        <v>0.99991996707201025</v>
      </c>
      <c r="I80" s="302">
        <f t="shared" si="125"/>
        <v>0.99991557106010343</v>
      </c>
      <c r="J80" s="302">
        <f t="shared" si="125"/>
        <v>0.99991186764425133</v>
      </c>
      <c r="K80" s="302">
        <f t="shared" si="125"/>
        <v>0.99990887496390946</v>
      </c>
      <c r="L80" s="302">
        <f t="shared" si="125"/>
        <v>0.99990657277814043</v>
      </c>
      <c r="M80" s="302">
        <f t="shared" si="125"/>
        <v>0.99990490710359969</v>
      </c>
      <c r="N80" s="302">
        <f t="shared" si="125"/>
        <v>0.99990379667132967</v>
      </c>
      <c r="O80" s="302">
        <f t="shared" si="125"/>
        <v>0.99990314008711922</v>
      </c>
      <c r="P80" s="302">
        <f t="shared" si="125"/>
        <v>0.9999028226958826</v>
      </c>
      <c r="Q80" s="302">
        <f t="shared" si="125"/>
        <v>0.99990272238013456</v>
      </c>
      <c r="R80" s="302">
        <f t="shared" si="125"/>
        <v>0.99990271464263281</v>
      </c>
      <c r="S80" s="302">
        <f t="shared" si="125"/>
        <v>0.99990275750933755</v>
      </c>
      <c r="T80" s="302">
        <f t="shared" si="125"/>
        <v>0.99990296071301665</v>
      </c>
      <c r="U80" s="302">
        <f t="shared" si="125"/>
        <v>0.9999034482548812</v>
      </c>
      <c r="V80" s="302">
        <f t="shared" si="125"/>
        <v>0.99990433881025176</v>
      </c>
      <c r="W80" s="302">
        <f t="shared" si="125"/>
        <v>0.99990574059662285</v>
      </c>
      <c r="X80" s="302">
        <f t="shared" si="125"/>
        <v>0.99990774491410372</v>
      </c>
      <c r="Y80" s="302">
        <f t="shared" si="125"/>
        <v>0.9999104190077801</v>
      </c>
      <c r="Z80" s="302">
        <f t="shared" si="125"/>
        <v>0.99991379915648537</v>
      </c>
      <c r="AA80" s="302">
        <f t="shared" si="125"/>
        <v>0.99991788506984047</v>
      </c>
      <c r="AB80" s="302">
        <f t="shared" si="125"/>
        <v>0.99992263669701675</v>
      </c>
      <c r="AC80" s="302">
        <f t="shared" si="125"/>
        <v>0.99992797435837966</v>
      </c>
      <c r="AD80" s="302">
        <f t="shared" si="125"/>
        <v>0.99993378269394317</v>
      </c>
      <c r="AE80" s="302">
        <f t="shared" si="125"/>
        <v>0.99993991833447815</v>
      </c>
      <c r="AF80" s="302">
        <f t="shared" si="125"/>
        <v>0.99994622055862692</v>
      </c>
      <c r="AG80" s="302">
        <f t="shared" si="125"/>
        <v>0.99995252365394349</v>
      </c>
      <c r="AH80" s="302">
        <f t="shared" si="125"/>
        <v>0.99995866939062927</v>
      </c>
      <c r="AI80" s="302">
        <f t="shared" si="125"/>
        <v>0.99996451802432418</v>
      </c>
      <c r="AJ80" s="302">
        <f t="shared" si="125"/>
        <v>0.99996995656110677</v>
      </c>
      <c r="AK80" s="302">
        <f t="shared" si="125"/>
        <v>0.9999749035530191</v>
      </c>
      <c r="AL80" s="302">
        <f t="shared" si="125"/>
        <v>0.99997931030459408</v>
      </c>
      <c r="AM80" s="302">
        <f t="shared" si="125"/>
        <v>0.99998315891653122</v>
      </c>
      <c r="AN80" s="302">
        <f t="shared" si="125"/>
        <v>0.99998645796799512</v>
      </c>
      <c r="AO80" s="302">
        <f t="shared" si="125"/>
        <v>0.99998923680168827</v>
      </c>
      <c r="AP80" s="302">
        <f t="shared" si="125"/>
        <v>0.99999153934272222</v>
      </c>
      <c r="AQ80" s="302">
        <f t="shared" si="125"/>
        <v>0.99999341820976706</v>
      </c>
      <c r="AR80" s="302">
        <f t="shared" si="125"/>
        <v>0.9999949296357783</v>
      </c>
      <c r="AS80" s="302">
        <f t="shared" si="125"/>
        <v>0.99999612946889371</v>
      </c>
      <c r="AT80" s="302">
        <f t="shared" si="125"/>
        <v>0.99999707031573537</v>
      </c>
      <c r="AU80" s="302">
        <f t="shared" si="125"/>
        <v>0.99999779974043024</v>
      </c>
      <c r="AV80" s="302">
        <f t="shared" si="125"/>
        <v>0.99999835934585524</v>
      </c>
      <c r="AW80" s="302">
        <f t="shared" si="125"/>
        <v>0.99999878452938751</v>
      </c>
      <c r="AX80" s="302">
        <f t="shared" si="125"/>
        <v>0.99999910470912357</v>
      </c>
      <c r="AY80" s="302">
        <f t="shared" si="125"/>
        <v>0.9999993438429734</v>
      </c>
      <c r="AZ80" s="302">
        <f t="shared" si="125"/>
        <v>0.99999952109972912</v>
      </c>
      <c r="BA80" s="302">
        <f t="shared" si="125"/>
        <v>0.99999965157927384</v>
      </c>
      <c r="BB80" s="302">
        <f t="shared" si="125"/>
        <v>0.9999997470131986</v>
      </c>
      <c r="BC80" s="302">
        <f t="shared" si="125"/>
        <v>0.99999981640475655</v>
      </c>
      <c r="BD80" s="302">
        <f t="shared" si="125"/>
        <v>0.99999986658774498</v>
      </c>
      <c r="BE80" s="302">
        <f t="shared" si="125"/>
        <v>0.99999990269822348</v>
      </c>
      <c r="BF80" s="302">
        <f t="shared" si="125"/>
        <v>0.99999992856201636</v>
      </c>
      <c r="BG80" s="302">
        <f t="shared" si="125"/>
        <v>0.99999994700803629</v>
      </c>
      <c r="BH80" s="302">
        <f t="shared" si="125"/>
        <v>0.99999996011547343</v>
      </c>
      <c r="BI80" s="302">
        <f t="shared" si="125"/>
        <v>0.99999996940108593</v>
      </c>
      <c r="BJ80" s="302">
        <f t="shared" si="125"/>
        <v>0.99999997596475987</v>
      </c>
      <c r="BK80" s="302">
        <f t="shared" si="125"/>
        <v>0.99999998059995054</v>
      </c>
      <c r="BL80" s="302">
        <f t="shared" si="125"/>
        <v>0.99999998387639277</v>
      </c>
      <c r="BM80" s="302">
        <f t="shared" si="125"/>
        <v>0.99999998620146213</v>
      </c>
      <c r="BN80" s="302">
        <f t="shared" si="125"/>
        <v>0.99999998786532673</v>
      </c>
      <c r="BO80" s="303">
        <f t="shared" si="125"/>
        <v>0.99999998907391996</v>
      </c>
      <c r="BP80" s="223"/>
      <c r="BQ80" s="139"/>
      <c r="BR80" s="139"/>
      <c r="BS80" s="139"/>
      <c r="BT80" s="139"/>
      <c r="BU80" s="139"/>
      <c r="BV80" s="139"/>
      <c r="BW80" s="139"/>
      <c r="BX80" s="139"/>
      <c r="BY80" s="139"/>
      <c r="BZ80" s="139"/>
      <c r="CA80" s="139"/>
      <c r="CB80" s="139"/>
      <c r="CC80" s="139"/>
      <c r="CD80" s="139"/>
      <c r="CE80" s="139"/>
      <c r="CF80" s="139"/>
      <c r="CG80" s="139"/>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427"/>
      <c r="EL80" s="421"/>
      <c r="EM80" s="421"/>
      <c r="EN80" s="421"/>
      <c r="EO80" s="421"/>
      <c r="EP80" s="421"/>
      <c r="EQ80" s="421"/>
      <c r="ER80" s="421"/>
      <c r="ES80" s="421"/>
      <c r="ET80" s="421"/>
      <c r="EU80" s="421"/>
      <c r="EV80" s="421"/>
      <c r="EW80" s="421"/>
      <c r="EX80" s="421"/>
      <c r="EY80" s="421"/>
      <c r="EZ80" s="421"/>
      <c r="FA80" s="421"/>
      <c r="FB80" s="421"/>
      <c r="FC80" s="421"/>
      <c r="FD80" s="421"/>
      <c r="FE80" s="421"/>
      <c r="FF80" s="421"/>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row>
    <row r="81" spans="3:188" ht="42" customHeight="1">
      <c r="C81" s="423"/>
      <c r="D81" s="428"/>
      <c r="E81" s="443">
        <v>1.3</v>
      </c>
      <c r="F81" s="464"/>
      <c r="G81" s="302">
        <f t="shared" si="126"/>
        <v>0.99989047580633095</v>
      </c>
      <c r="H81" s="302">
        <f t="shared" si="125"/>
        <v>0.9998825256440379</v>
      </c>
      <c r="I81" s="302">
        <f t="shared" si="125"/>
        <v>0.9998755349628069</v>
      </c>
      <c r="J81" s="302">
        <f t="shared" si="125"/>
        <v>0.99986961543602859</v>
      </c>
      <c r="K81" s="302">
        <f t="shared" si="125"/>
        <v>0.99986481221229773</v>
      </c>
      <c r="L81" s="302">
        <f t="shared" si="125"/>
        <v>0.9998611054374803</v>
      </c>
      <c r="M81" s="302">
        <f t="shared" si="125"/>
        <v>0.99985841721237134</v>
      </c>
      <c r="N81" s="302">
        <f t="shared" si="125"/>
        <v>0.99985662218091276</v>
      </c>
      <c r="O81" s="302">
        <f t="shared" si="125"/>
        <v>0.99985555971821438</v>
      </c>
      <c r="P81" s="302">
        <f t="shared" si="125"/>
        <v>0.99985504584509799</v>
      </c>
      <c r="Q81" s="302">
        <f t="shared" si="125"/>
        <v>0.99985488340108342</v>
      </c>
      <c r="R81" s="302">
        <f t="shared" si="125"/>
        <v>0.99985487088788394</v>
      </c>
      <c r="S81" s="302">
        <f t="shared" si="125"/>
        <v>0.99985494033379074</v>
      </c>
      <c r="T81" s="302">
        <f t="shared" si="125"/>
        <v>0.99985526941002489</v>
      </c>
      <c r="U81" s="302">
        <f t="shared" si="125"/>
        <v>0.99985605860967641</v>
      </c>
      <c r="V81" s="302">
        <f t="shared" si="125"/>
        <v>0.99985749901035958</v>
      </c>
      <c r="W81" s="302">
        <f t="shared" ref="W81:AL96" si="127">($F$74-$D$76)*2*(1/(1+EXP(-4/$F$76*(POWER(POWER((ABS(W$75-($E$74))),3)+POWER(ABS($E81-($E$75)),3),1/3))))-0.5+$D$76)*($F$74-$D$76)*2*(1/(1+EXP(-4/$F$76*(POWER(POWER((ABS(W$75-($D$74))),3)+POWER(ABS($E81-($D$75)),3),1/3))))-0.5+$D$76)</f>
        <v>0.99985976324320758</v>
      </c>
      <c r="X81" s="302">
        <f t="shared" si="127"/>
        <v>0.99986299421705394</v>
      </c>
      <c r="Y81" s="302">
        <f t="shared" si="127"/>
        <v>0.99986729284297604</v>
      </c>
      <c r="Z81" s="302">
        <f t="shared" si="127"/>
        <v>0.99987270646955007</v>
      </c>
      <c r="AA81" s="302">
        <f t="shared" si="127"/>
        <v>0.99987922002854845</v>
      </c>
      <c r="AB81" s="302">
        <f t="shared" si="127"/>
        <v>0.99988675185225429</v>
      </c>
      <c r="AC81" s="302">
        <f t="shared" si="127"/>
        <v>0.99989515565786335</v>
      </c>
      <c r="AD81" s="302">
        <f t="shared" si="127"/>
        <v>0.99990422931073231</v>
      </c>
      <c r="AE81" s="302">
        <f t="shared" si="127"/>
        <v>0.99991372982206428</v>
      </c>
      <c r="AF81" s="302">
        <f t="shared" si="127"/>
        <v>0.99992339286924481</v>
      </c>
      <c r="AG81" s="302">
        <f t="shared" si="127"/>
        <v>0.9999329542506441</v>
      </c>
      <c r="AH81" s="302">
        <f t="shared" si="127"/>
        <v>0.99994217034123989</v>
      </c>
      <c r="AI81" s="302">
        <f t="shared" si="127"/>
        <v>0.99995083489031666</v>
      </c>
      <c r="AJ81" s="302">
        <f t="shared" si="127"/>
        <v>0.99995879030483803</v>
      </c>
      <c r="AK81" s="302">
        <f t="shared" si="127"/>
        <v>0.9999659326552649</v>
      </c>
      <c r="AL81" s="302">
        <f t="shared" si="127"/>
        <v>0.99997221073406117</v>
      </c>
      <c r="AM81" s="302">
        <f t="shared" ref="AM81:BB110" si="128">($F$74-$D$76)*2*(1/(1+EXP(-4/$F$76*(POWER(POWER((ABS(AM$75-($E$74))),3)+POWER(ABS($E81-($E$75)),3),1/3))))-0.5+$D$76)*($F$74-$D$76)*2*(1/(1+EXP(-4/$F$76*(POWER(POWER((ABS(AM$75-($D$74))),3)+POWER(ABS($E81-($D$75)),3),1/3))))-0.5+$D$76)</f>
        <v>0.99997762034435611</v>
      </c>
      <c r="AN81" s="302">
        <f t="shared" si="128"/>
        <v>0.99998219546096057</v>
      </c>
      <c r="AO81" s="302">
        <f t="shared" si="128"/>
        <v>0.99998599797756016</v>
      </c>
      <c r="AP81" s="302">
        <f t="shared" si="128"/>
        <v>0.99998910751852421</v>
      </c>
      <c r="AQ81" s="302">
        <f t="shared" si="128"/>
        <v>0.99999161238359668</v>
      </c>
      <c r="AR81" s="302">
        <f t="shared" si="128"/>
        <v>0.99999360223868128</v>
      </c>
      <c r="AS81" s="302">
        <f t="shared" si="128"/>
        <v>0.99999516276239908</v>
      </c>
      <c r="AT81" s="302">
        <f t="shared" si="128"/>
        <v>0.99999637215813852</v>
      </c>
      <c r="AU81" s="302">
        <f t="shared" si="128"/>
        <v>0.99999729925760728</v>
      </c>
      <c r="AV81" s="302">
        <f t="shared" si="128"/>
        <v>0.99999800286064233</v>
      </c>
      <c r="AW81" s="302">
        <f t="shared" si="128"/>
        <v>0.99999853195032717</v>
      </c>
      <c r="AX81" s="302">
        <f t="shared" si="128"/>
        <v>0.99999892646360833</v>
      </c>
      <c r="AY81" s="302">
        <f t="shared" si="128"/>
        <v>0.99999921836087835</v>
      </c>
      <c r="AZ81" s="302">
        <f t="shared" si="128"/>
        <v>0.9999994328058589</v>
      </c>
      <c r="BA81" s="302">
        <f t="shared" si="128"/>
        <v>0.9999995893287611</v>
      </c>
      <c r="BB81" s="302">
        <f t="shared" si="128"/>
        <v>0.9999997028960339</v>
      </c>
      <c r="BC81" s="302">
        <f t="shared" ref="BC81:BO100" si="129">($F$74-$D$76)*2*(1/(1+EXP(-4/$F$76*(POWER(POWER((ABS(BC$75-($E$74))),3)+POWER(ABS($E81-($E$75)),3),1/3))))-0.5+$D$76)*($F$74-$D$76)*2*(1/(1+EXP(-4/$F$76*(POWER(POWER((ABS(BC$75-($D$74))),3)+POWER(ABS($E81-($D$75)),3),1/3))))-0.5+$D$76)</f>
        <v>0.99999978484773822</v>
      </c>
      <c r="BD81" s="302">
        <f t="shared" si="129"/>
        <v>0.99999984368969053</v>
      </c>
      <c r="BE81" s="302">
        <f t="shared" si="129"/>
        <v>0.99999988574409593</v>
      </c>
      <c r="BF81" s="302">
        <f t="shared" si="129"/>
        <v>0.99999991567179092</v>
      </c>
      <c r="BG81" s="302">
        <f t="shared" si="129"/>
        <v>0.99999993688652977</v>
      </c>
      <c r="BH81" s="302">
        <f t="shared" si="129"/>
        <v>0.99999995187611312</v>
      </c>
      <c r="BI81" s="302">
        <f t="shared" si="129"/>
        <v>0.99999996244060718</v>
      </c>
      <c r="BJ81" s="302">
        <f t="shared" si="129"/>
        <v>0.9999999698754225</v>
      </c>
      <c r="BK81" s="302">
        <f t="shared" si="129"/>
        <v>0.99999997510850813</v>
      </c>
      <c r="BL81" s="302">
        <f t="shared" si="129"/>
        <v>0.9999999788018662</v>
      </c>
      <c r="BM81" s="302">
        <f t="shared" si="129"/>
        <v>0.99999998142604174</v>
      </c>
      <c r="BN81" s="302">
        <f t="shared" si="129"/>
        <v>0.99999998331437379</v>
      </c>
      <c r="BO81" s="303">
        <f t="shared" si="129"/>
        <v>0.99999998470224138</v>
      </c>
      <c r="BP81" s="223"/>
      <c r="BQ81" s="139"/>
      <c r="BR81" s="139"/>
      <c r="BS81" s="139"/>
      <c r="BT81" s="139"/>
      <c r="BU81" s="139"/>
      <c r="BV81" s="139"/>
      <c r="BW81" s="139"/>
      <c r="BX81" s="139"/>
      <c r="BY81" s="139"/>
      <c r="BZ81" s="139"/>
      <c r="CA81" s="139"/>
      <c r="CB81" s="139"/>
      <c r="CC81" s="139"/>
      <c r="CD81" s="139"/>
      <c r="CE81" s="139"/>
      <c r="CF81" s="139"/>
      <c r="CG81" s="139"/>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row>
    <row r="82" spans="3:188" ht="42" customHeight="1">
      <c r="C82" s="423"/>
      <c r="D82" s="428"/>
      <c r="E82" s="445">
        <v>1.25</v>
      </c>
      <c r="F82" s="464"/>
      <c r="G82" s="302">
        <f t="shared" si="126"/>
        <v>0.99984049015944543</v>
      </c>
      <c r="H82" s="302">
        <f t="shared" si="126"/>
        <v>0.99982792308163249</v>
      </c>
      <c r="I82" s="302">
        <f t="shared" si="126"/>
        <v>0.99981679544439883</v>
      </c>
      <c r="J82" s="302">
        <f t="shared" si="126"/>
        <v>0.99980731801699141</v>
      </c>
      <c r="K82" s="302">
        <f t="shared" si="126"/>
        <v>0.99979959176820665</v>
      </c>
      <c r="L82" s="302">
        <f t="shared" si="126"/>
        <v>0.99979360753552438</v>
      </c>
      <c r="M82" s="302">
        <f t="shared" si="126"/>
        <v>0.99978925600414381</v>
      </c>
      <c r="N82" s="302">
        <f t="shared" si="126"/>
        <v>0.9997863449235227</v>
      </c>
      <c r="O82" s="302">
        <f t="shared" si="126"/>
        <v>0.99978461986545775</v>
      </c>
      <c r="P82" s="302">
        <f t="shared" si="126"/>
        <v>0.99978378499348164</v>
      </c>
      <c r="Q82" s="302">
        <f t="shared" si="126"/>
        <v>0.99978352102011514</v>
      </c>
      <c r="R82" s="302">
        <f t="shared" si="126"/>
        <v>0.99978350070931377</v>
      </c>
      <c r="S82" s="302">
        <f t="shared" si="126"/>
        <v>0.99978361360536827</v>
      </c>
      <c r="T82" s="302">
        <f t="shared" si="126"/>
        <v>0.99978414837758345</v>
      </c>
      <c r="U82" s="302">
        <f t="shared" si="126"/>
        <v>0.99978543025303301</v>
      </c>
      <c r="V82" s="302">
        <f t="shared" si="126"/>
        <v>0.99978776769117472</v>
      </c>
      <c r="W82" s="302">
        <f t="shared" si="127"/>
        <v>0.99979143638608758</v>
      </c>
      <c r="X82" s="302">
        <f t="shared" si="127"/>
        <v>0.99979665947909913</v>
      </c>
      <c r="Y82" s="302">
        <f t="shared" si="127"/>
        <v>0.99980358639162847</v>
      </c>
      <c r="Z82" s="302">
        <f t="shared" si="127"/>
        <v>0.99981227353559243</v>
      </c>
      <c r="AA82" s="302">
        <f t="shared" si="127"/>
        <v>0.99982267060804952</v>
      </c>
      <c r="AB82" s="302">
        <f t="shared" si="127"/>
        <v>0.99983461593295853</v>
      </c>
      <c r="AC82" s="302">
        <f t="shared" si="127"/>
        <v>0.99984784321855658</v>
      </c>
      <c r="AD82" s="302">
        <f t="shared" si="127"/>
        <v>0.99986200024346006</v>
      </c>
      <c r="AE82" s="302">
        <f t="shared" si="127"/>
        <v>0.99987667774025468</v>
      </c>
      <c r="AF82" s="302">
        <f t="shared" si="127"/>
        <v>0.99989144468380786</v>
      </c>
      <c r="AG82" s="302">
        <f t="shared" si="127"/>
        <v>0.9999058848956035</v>
      </c>
      <c r="AH82" s="302">
        <f t="shared" si="127"/>
        <v>0.99991962971899317</v>
      </c>
      <c r="AI82" s="302">
        <f t="shared" si="127"/>
        <v>0.99993238252259875</v>
      </c>
      <c r="AJ82" s="302">
        <f t="shared" si="127"/>
        <v>0.999943932614487</v>
      </c>
      <c r="AK82" s="302">
        <f t="shared" si="127"/>
        <v>0.99995415825032929</v>
      </c>
      <c r="AL82" s="302">
        <f t="shared" si="127"/>
        <v>0.99996302024480599</v>
      </c>
      <c r="AM82" s="302">
        <f t="shared" si="128"/>
        <v>0.99997054887311543</v>
      </c>
      <c r="AN82" s="302">
        <f t="shared" si="128"/>
        <v>0.99997682715965885</v>
      </c>
      <c r="AO82" s="302">
        <f t="shared" si="128"/>
        <v>0.99998197340105999</v>
      </c>
      <c r="AP82" s="302">
        <f t="shared" si="128"/>
        <v>0.99998612509926132</v>
      </c>
      <c r="AQ82" s="302">
        <f t="shared" si="128"/>
        <v>0.99998942565059079</v>
      </c>
      <c r="AR82" s="302">
        <f t="shared" si="128"/>
        <v>0.9999920143587121</v>
      </c>
      <c r="AS82" s="302">
        <f t="shared" si="128"/>
        <v>0.99999401973728896</v>
      </c>
      <c r="AT82" s="302">
        <f t="shared" si="128"/>
        <v>0.99999555568322973</v>
      </c>
      <c r="AU82" s="302">
        <f t="shared" si="128"/>
        <v>0.99999671991586836</v>
      </c>
      <c r="AV82" s="302">
        <f t="shared" si="128"/>
        <v>0.99999759404322464</v>
      </c>
      <c r="AW82" s="302">
        <f t="shared" si="128"/>
        <v>0.99999824467815435</v>
      </c>
      <c r="AX82" s="302">
        <f t="shared" si="128"/>
        <v>0.99999872513633392</v>
      </c>
      <c r="AY82" s="302">
        <f t="shared" si="128"/>
        <v>0.99999907736937532</v>
      </c>
      <c r="AZ82" s="302">
        <f t="shared" si="128"/>
        <v>0.99999933389829132</v>
      </c>
      <c r="BA82" s="302">
        <f t="shared" si="128"/>
        <v>0.99999951960438993</v>
      </c>
      <c r="BB82" s="302">
        <f t="shared" si="128"/>
        <v>0.99999965330374185</v>
      </c>
      <c r="BC82" s="302">
        <f t="shared" si="129"/>
        <v>0.99999974907910694</v>
      </c>
      <c r="BD82" s="302">
        <f t="shared" si="129"/>
        <v>0.99999981737353572</v>
      </c>
      <c r="BE82" s="302">
        <f t="shared" si="129"/>
        <v>0.99999986586698775</v>
      </c>
      <c r="BF82" s="302">
        <f t="shared" si="129"/>
        <v>0.99999990016529816</v>
      </c>
      <c r="BG82" s="302">
        <f t="shared" si="129"/>
        <v>0.99999992433750262</v>
      </c>
      <c r="BH82" s="302">
        <f t="shared" si="129"/>
        <v>0.99999994132564074</v>
      </c>
      <c r="BI82" s="302">
        <f t="shared" si="129"/>
        <v>0.99999995324219293</v>
      </c>
      <c r="BJ82" s="302">
        <f t="shared" si="129"/>
        <v>0.99999996159661009</v>
      </c>
      <c r="BK82" s="302">
        <f t="shared" si="129"/>
        <v>0.9999999674631419</v>
      </c>
      <c r="BL82" s="302">
        <f t="shared" si="129"/>
        <v>0.99999997160363785</v>
      </c>
      <c r="BM82" s="302">
        <f t="shared" si="129"/>
        <v>0.99999997455671819</v>
      </c>
      <c r="BN82" s="302">
        <f t="shared" si="129"/>
        <v>0.99999997670210339</v>
      </c>
      <c r="BO82" s="303">
        <f t="shared" si="129"/>
        <v>0.99999997830672149</v>
      </c>
      <c r="BP82" s="223"/>
      <c r="BQ82" s="139"/>
      <c r="BR82" s="139"/>
      <c r="BS82" s="139"/>
      <c r="BT82" s="139"/>
      <c r="BU82" s="139"/>
      <c r="BV82" s="139"/>
      <c r="BW82" s="139"/>
      <c r="BX82" s="139"/>
      <c r="BY82" s="139"/>
      <c r="BZ82" s="139"/>
      <c r="CA82" s="139"/>
      <c r="CB82" s="139"/>
      <c r="CC82" s="139"/>
      <c r="CD82" s="139"/>
      <c r="CE82" s="139"/>
      <c r="CF82" s="139"/>
      <c r="CG82" s="139"/>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row>
    <row r="83" spans="3:188" ht="42" customHeight="1">
      <c r="C83" s="424"/>
      <c r="D83" s="423"/>
      <c r="E83" s="443">
        <v>1.2</v>
      </c>
      <c r="F83" s="464"/>
      <c r="G83" s="302">
        <f t="shared" si="126"/>
        <v>0.99976841140954242</v>
      </c>
      <c r="H83" s="302">
        <f t="shared" si="126"/>
        <v>0.99974854859140039</v>
      </c>
      <c r="I83" s="302">
        <f t="shared" si="126"/>
        <v>0.99973082151438797</v>
      </c>
      <c r="J83" s="302">
        <f t="shared" si="126"/>
        <v>0.99971562330255859</v>
      </c>
      <c r="K83" s="302">
        <f t="shared" si="126"/>
        <v>0.99970316691546901</v>
      </c>
      <c r="L83" s="302">
        <f t="shared" si="126"/>
        <v>0.99969347883556048</v>
      </c>
      <c r="M83" s="302">
        <f t="shared" si="126"/>
        <v>0.99968641227500887</v>
      </c>
      <c r="N83" s="302">
        <f t="shared" si="126"/>
        <v>0.99968167479998848</v>
      </c>
      <c r="O83" s="302">
        <f t="shared" si="126"/>
        <v>0.99967886366534597</v>
      </c>
      <c r="P83" s="302">
        <f t="shared" si="126"/>
        <v>0.99967750217341278</v>
      </c>
      <c r="Q83" s="302">
        <f t="shared" si="126"/>
        <v>0.99967707157807162</v>
      </c>
      <c r="R83" s="302">
        <f t="shared" si="126"/>
        <v>0.9996770384798066</v>
      </c>
      <c r="S83" s="302">
        <f t="shared" si="126"/>
        <v>0.9996772227049826</v>
      </c>
      <c r="T83" s="302">
        <f t="shared" si="126"/>
        <v>0.99967809503076244</v>
      </c>
      <c r="U83" s="302">
        <f t="shared" si="126"/>
        <v>0.99968018487448951</v>
      </c>
      <c r="V83" s="302">
        <f t="shared" si="126"/>
        <v>0.999683991554431</v>
      </c>
      <c r="W83" s="302">
        <f t="shared" si="127"/>
        <v>0.99968995574964981</v>
      </c>
      <c r="X83" s="302">
        <f t="shared" si="127"/>
        <v>0.99969842458623448</v>
      </c>
      <c r="Y83" s="302">
        <f t="shared" si="127"/>
        <v>0.99970961506080536</v>
      </c>
      <c r="Z83" s="302">
        <f t="shared" si="127"/>
        <v>0.99972358204916412</v>
      </c>
      <c r="AA83" s="302">
        <f t="shared" si="127"/>
        <v>0.99974019778078727</v>
      </c>
      <c r="AB83" s="302">
        <f t="shared" si="127"/>
        <v>0.99975914882368744</v>
      </c>
      <c r="AC83" s="302">
        <f t="shared" si="127"/>
        <v>0.99977995410429576</v>
      </c>
      <c r="AD83" s="302">
        <f t="shared" si="127"/>
        <v>0.99980200362980676</v>
      </c>
      <c r="AE83" s="302">
        <f t="shared" si="127"/>
        <v>0.99982461330066486</v>
      </c>
      <c r="AF83" s="302">
        <f t="shared" si="127"/>
        <v>0.99984708771732311</v>
      </c>
      <c r="AG83" s="302">
        <f t="shared" si="127"/>
        <v>0.99986878126293033</v>
      </c>
      <c r="AH83" s="302">
        <f t="shared" si="127"/>
        <v>0.99988914845578947</v>
      </c>
      <c r="AI83" s="302">
        <f t="shared" si="127"/>
        <v>0.99990777730535318</v>
      </c>
      <c r="AJ83" s="302">
        <f t="shared" si="127"/>
        <v>0.99992440324059262</v>
      </c>
      <c r="AK83" s="302">
        <f t="shared" si="127"/>
        <v>0.99993890495680626</v>
      </c>
      <c r="AL83" s="302">
        <f t="shared" si="127"/>
        <v>0.99995128630950547</v>
      </c>
      <c r="AM83" s="302">
        <f t="shared" si="128"/>
        <v>0.99996164972036994</v>
      </c>
      <c r="AN83" s="302">
        <f t="shared" si="128"/>
        <v>0.99997016650922432</v>
      </c>
      <c r="AO83" s="302">
        <f t="shared" si="128"/>
        <v>0.99997704853323244</v>
      </c>
      <c r="AP83" s="302">
        <f t="shared" si="128"/>
        <v>0.99998252402424004</v>
      </c>
      <c r="AQ83" s="302">
        <f t="shared" si="128"/>
        <v>0.99998681902219244</v>
      </c>
      <c r="AR83" s="302">
        <f t="shared" si="128"/>
        <v>0.99999014459689195</v>
      </c>
      <c r="AS83" s="302">
        <f t="shared" si="128"/>
        <v>0.99999268924831108</v>
      </c>
      <c r="AT83" s="302">
        <f t="shared" si="128"/>
        <v>0.99999461546286539</v>
      </c>
      <c r="AU83" s="302">
        <f t="shared" si="128"/>
        <v>0.99999605929381674</v>
      </c>
      <c r="AV83" s="302">
        <f t="shared" si="128"/>
        <v>0.99999713192133022</v>
      </c>
      <c r="AW83" s="302">
        <f t="shared" si="128"/>
        <v>0.99999792233582729</v>
      </c>
      <c r="AX83" s="302">
        <f t="shared" si="128"/>
        <v>0.99999850050622796</v>
      </c>
      <c r="AY83" s="302">
        <f t="shared" si="128"/>
        <v>0.99999892059874307</v>
      </c>
      <c r="AZ83" s="302">
        <f t="shared" si="128"/>
        <v>0.9999992239803257</v>
      </c>
      <c r="BA83" s="302">
        <f t="shared" si="128"/>
        <v>0.99999944186754808</v>
      </c>
      <c r="BB83" s="302">
        <f t="shared" si="128"/>
        <v>0.99999959756923584</v>
      </c>
      <c r="BC83" s="302">
        <f t="shared" si="129"/>
        <v>0.99999970832660734</v>
      </c>
      <c r="BD83" s="302">
        <f t="shared" si="129"/>
        <v>0.99999978678597501</v>
      </c>
      <c r="BE83" s="302">
        <f t="shared" si="129"/>
        <v>0.99999984215356275</v>
      </c>
      <c r="BF83" s="302">
        <f t="shared" si="129"/>
        <v>0.99999988108585747</v>
      </c>
      <c r="BG83" s="302">
        <f t="shared" si="129"/>
        <v>0.99999990837365504</v>
      </c>
      <c r="BH83" s="302">
        <f t="shared" si="129"/>
        <v>0.99999992745608501</v>
      </c>
      <c r="BI83" s="302">
        <f t="shared" si="129"/>
        <v>0.99999994078510168</v>
      </c>
      <c r="BJ83" s="302">
        <f t="shared" si="129"/>
        <v>0.9999999501012774</v>
      </c>
      <c r="BK83" s="302">
        <f t="shared" si="129"/>
        <v>0.99999995663604491</v>
      </c>
      <c r="BL83" s="302">
        <f t="shared" si="129"/>
        <v>0.9999999612581324</v>
      </c>
      <c r="BM83" s="302">
        <f t="shared" si="129"/>
        <v>0.99999996457886708</v>
      </c>
      <c r="BN83" s="302">
        <f t="shared" si="129"/>
        <v>0.9999999670274452</v>
      </c>
      <c r="BO83" s="303">
        <f t="shared" si="129"/>
        <v>0.99999996890442733</v>
      </c>
      <c r="BP83" s="223"/>
      <c r="BQ83" s="139"/>
      <c r="BR83" s="139"/>
      <c r="BS83" s="139"/>
      <c r="BT83" s="139"/>
      <c r="BU83" s="139"/>
      <c r="BV83" s="139"/>
      <c r="BW83" s="139"/>
      <c r="BX83" s="139"/>
      <c r="BY83" s="139"/>
      <c r="BZ83" s="139"/>
      <c r="CA83" s="139"/>
      <c r="CB83" s="139"/>
      <c r="CC83" s="139"/>
      <c r="CD83" s="139"/>
      <c r="CE83" s="139"/>
      <c r="CF83" s="139"/>
      <c r="CG83" s="139"/>
    </row>
    <row r="84" spans="3:188" ht="42" customHeight="1">
      <c r="C84" s="424"/>
      <c r="D84" s="423"/>
      <c r="E84" s="445">
        <v>1.1499999999999999</v>
      </c>
      <c r="F84" s="464"/>
      <c r="G84" s="302">
        <f t="shared" si="126"/>
        <v>0.99966498138175708</v>
      </c>
      <c r="H84" s="302">
        <f t="shared" si="126"/>
        <v>0.99963360337564544</v>
      </c>
      <c r="I84" s="302">
        <f t="shared" si="126"/>
        <v>0.9996053468087055</v>
      </c>
      <c r="J84" s="302">
        <f t="shared" si="126"/>
        <v>0.99958093764638467</v>
      </c>
      <c r="K84" s="302">
        <f t="shared" si="126"/>
        <v>0.9995608088695308</v>
      </c>
      <c r="L84" s="302">
        <f t="shared" si="126"/>
        <v>0.99954507834268247</v>
      </c>
      <c r="M84" s="302">
        <f t="shared" si="126"/>
        <v>0.99953356350899902</v>
      </c>
      <c r="N84" s="302">
        <f t="shared" si="126"/>
        <v>0.99952582478780772</v>
      </c>
      <c r="O84" s="302">
        <f t="shared" si="126"/>
        <v>0.99952122558471523</v>
      </c>
      <c r="P84" s="302">
        <f t="shared" si="126"/>
        <v>0.99951899619768503</v>
      </c>
      <c r="Q84" s="302">
        <f t="shared" si="126"/>
        <v>0.99951829088938915</v>
      </c>
      <c r="R84" s="302">
        <f t="shared" si="126"/>
        <v>0.999518236720775</v>
      </c>
      <c r="S84" s="302">
        <f t="shared" si="126"/>
        <v>0.99951853858154538</v>
      </c>
      <c r="T84" s="302">
        <f t="shared" si="126"/>
        <v>0.99951996738548443</v>
      </c>
      <c r="U84" s="302">
        <f t="shared" si="126"/>
        <v>0.99952338821060716</v>
      </c>
      <c r="V84" s="302">
        <f t="shared" si="126"/>
        <v>0.9995296116351583</v>
      </c>
      <c r="W84" s="302">
        <f t="shared" si="127"/>
        <v>0.99953934243419562</v>
      </c>
      <c r="X84" s="302">
        <f t="shared" si="127"/>
        <v>0.99955311763236065</v>
      </c>
      <c r="Y84" s="302">
        <f t="shared" si="127"/>
        <v>0.99957124322010071</v>
      </c>
      <c r="Z84" s="302">
        <f t="shared" si="127"/>
        <v>0.99959374159966496</v>
      </c>
      <c r="AA84" s="302">
        <f t="shared" si="127"/>
        <v>0.99962032252633437</v>
      </c>
      <c r="AB84" s="302">
        <f t="shared" si="127"/>
        <v>0.99965038789066829</v>
      </c>
      <c r="AC84" s="302">
        <f t="shared" si="127"/>
        <v>0.99968307497478992</v>
      </c>
      <c r="AD84" s="302">
        <f t="shared" si="127"/>
        <v>0.99971733489497405</v>
      </c>
      <c r="AE84" s="302">
        <f t="shared" si="127"/>
        <v>0.99975203499397269</v>
      </c>
      <c r="AF84" s="302">
        <f t="shared" si="127"/>
        <v>0.99978606847659712</v>
      </c>
      <c r="AG84" s="302">
        <f t="shared" si="127"/>
        <v>0.99981845337023523</v>
      </c>
      <c r="AH84" s="302">
        <f t="shared" si="127"/>
        <v>0.99984840620640292</v>
      </c>
      <c r="AI84" s="302">
        <f t="shared" si="127"/>
        <v>0.99987538234350981</v>
      </c>
      <c r="AJ84" s="302">
        <f t="shared" si="127"/>
        <v>0.99989908233840286</v>
      </c>
      <c r="AK84" s="302">
        <f t="shared" si="127"/>
        <v>0.99991943003009498</v>
      </c>
      <c r="AL84" s="302">
        <f t="shared" si="127"/>
        <v>0.99993653166396157</v>
      </c>
      <c r="AM84" s="302">
        <f t="shared" si="128"/>
        <v>0.99995062620218977</v>
      </c>
      <c r="AN84" s="302">
        <f t="shared" si="128"/>
        <v>0.99996203555539487</v>
      </c>
      <c r="AO84" s="302">
        <f t="shared" si="128"/>
        <v>0.99997112085173023</v>
      </c>
      <c r="AP84" s="302">
        <f t="shared" si="128"/>
        <v>0.99997824800956514</v>
      </c>
      <c r="AQ84" s="302">
        <f t="shared" si="128"/>
        <v>0.99998376346851392</v>
      </c>
      <c r="AR84" s="302">
        <f t="shared" si="128"/>
        <v>0.99998797926774607</v>
      </c>
      <c r="AS84" s="302">
        <f t="shared" si="128"/>
        <v>0.99999116575641034</v>
      </c>
      <c r="AT84" s="302">
        <f t="shared" si="128"/>
        <v>0.99999354992835932</v>
      </c>
      <c r="AU84" s="302">
        <f t="shared" si="128"/>
        <v>0.99999531748488513</v>
      </c>
      <c r="AV84" s="302">
        <f t="shared" si="128"/>
        <v>0.99999661705330001</v>
      </c>
      <c r="AW84" s="302">
        <f t="shared" si="128"/>
        <v>0.99999756538281992</v>
      </c>
      <c r="AX84" s="302">
        <f t="shared" si="128"/>
        <v>0.99999825271324261</v>
      </c>
      <c r="AY84" s="302">
        <f t="shared" si="128"/>
        <v>0.99999874782214926</v>
      </c>
      <c r="AZ84" s="302">
        <f t="shared" si="128"/>
        <v>0.99999910248952861</v>
      </c>
      <c r="BA84" s="302">
        <f t="shared" si="128"/>
        <v>0.99999935527949857</v>
      </c>
      <c r="BB84" s="302">
        <f t="shared" si="128"/>
        <v>0.99999953464016733</v>
      </c>
      <c r="BC84" s="302">
        <f t="shared" si="129"/>
        <v>0.99999966137968421</v>
      </c>
      <c r="BD84" s="302">
        <f t="shared" si="129"/>
        <v>0.99999975060291246</v>
      </c>
      <c r="BE84" s="302">
        <f t="shared" si="129"/>
        <v>0.99999981320011611</v>
      </c>
      <c r="BF84" s="302">
        <f t="shared" si="129"/>
        <v>0.99999985697473803</v>
      </c>
      <c r="BG84" s="302">
        <f t="shared" si="129"/>
        <v>0.99999988749878954</v>
      </c>
      <c r="BH84" s="302">
        <f t="shared" si="129"/>
        <v>0.99999990874696831</v>
      </c>
      <c r="BI84" s="302">
        <f t="shared" si="129"/>
        <v>0.99999992353487788</v>
      </c>
      <c r="BJ84" s="302">
        <f t="shared" si="129"/>
        <v>0.99999993384946329</v>
      </c>
      <c r="BK84" s="302">
        <f t="shared" si="129"/>
        <v>0.99999994108916823</v>
      </c>
      <c r="BL84" s="302">
        <f t="shared" si="129"/>
        <v>0.99999994623610844</v>
      </c>
      <c r="BM84" s="302">
        <f t="shared" si="129"/>
        <v>0.99999994997876296</v>
      </c>
      <c r="BN84" s="302">
        <f t="shared" si="129"/>
        <v>0.99999995279891274</v>
      </c>
      <c r="BO84" s="303">
        <f t="shared" si="129"/>
        <v>0.99999995503292205</v>
      </c>
      <c r="BP84" s="223"/>
      <c r="BQ84" s="139"/>
      <c r="BR84" s="139"/>
      <c r="BS84" s="139"/>
      <c r="BT84" s="139"/>
      <c r="BU84" s="139"/>
      <c r="BV84" s="139"/>
      <c r="BW84" s="139"/>
      <c r="BX84" s="139"/>
      <c r="BY84" s="139"/>
      <c r="BZ84" s="139"/>
      <c r="CA84" s="139"/>
      <c r="CB84" s="139"/>
      <c r="CC84" s="139"/>
      <c r="CD84" s="139"/>
      <c r="CE84" s="139"/>
      <c r="CF84" s="139"/>
      <c r="CG84" s="139"/>
    </row>
    <row r="85" spans="3:188" ht="42" customHeight="1">
      <c r="C85" s="424"/>
      <c r="D85" s="423"/>
      <c r="E85" s="443">
        <v>1.1000000000000001</v>
      </c>
      <c r="F85" s="464"/>
      <c r="G85" s="302">
        <f t="shared" si="126"/>
        <v>0.99951742450531034</v>
      </c>
      <c r="H85" s="302">
        <f t="shared" si="126"/>
        <v>0.99946790640037697</v>
      </c>
      <c r="I85" s="302">
        <f t="shared" si="126"/>
        <v>0.99942285520290564</v>
      </c>
      <c r="J85" s="302">
        <f t="shared" si="126"/>
        <v>0.99938359941136534</v>
      </c>
      <c r="K85" s="302">
        <f t="shared" si="126"/>
        <v>0.99935099744975908</v>
      </c>
      <c r="L85" s="302">
        <f t="shared" si="126"/>
        <v>0.99932537737999372</v>
      </c>
      <c r="M85" s="302">
        <f t="shared" si="126"/>
        <v>0.99930654567060606</v>
      </c>
      <c r="N85" s="302">
        <f t="shared" si="126"/>
        <v>0.99929385304781015</v>
      </c>
      <c r="O85" s="302">
        <f t="shared" si="126"/>
        <v>0.99928629591095908</v>
      </c>
      <c r="P85" s="302">
        <f t="shared" si="126"/>
        <v>0.99928262906081722</v>
      </c>
      <c r="Q85" s="302">
        <f t="shared" si="126"/>
        <v>0.99928146853216349</v>
      </c>
      <c r="R85" s="302">
        <f t="shared" si="126"/>
        <v>0.99928137946480022</v>
      </c>
      <c r="S85" s="302">
        <f t="shared" si="126"/>
        <v>0.99928187630944521</v>
      </c>
      <c r="T85" s="302">
        <f t="shared" si="126"/>
        <v>0.99928422711033482</v>
      </c>
      <c r="U85" s="302">
        <f t="shared" si="126"/>
        <v>0.99928985122308955</v>
      </c>
      <c r="V85" s="302">
        <f t="shared" si="126"/>
        <v>0.99930006838460217</v>
      </c>
      <c r="W85" s="302">
        <f t="shared" si="127"/>
        <v>0.99931600573873725</v>
      </c>
      <c r="X85" s="302">
        <f t="shared" si="127"/>
        <v>0.99933848730961494</v>
      </c>
      <c r="Y85" s="302">
        <f t="shared" si="127"/>
        <v>0.99936792451514844</v>
      </c>
      <c r="Z85" s="302">
        <f t="shared" si="127"/>
        <v>0.99940423117103716</v>
      </c>
      <c r="AA85" s="302">
        <f t="shared" si="127"/>
        <v>0.99944678657902553</v>
      </c>
      <c r="AB85" s="302">
        <f t="shared" si="127"/>
        <v>0.99949446381984008</v>
      </c>
      <c r="AC85" s="302">
        <f t="shared" si="127"/>
        <v>0.99954572759411342</v>
      </c>
      <c r="AD85" s="302">
        <f t="shared" si="127"/>
        <v>0.99959878996275375</v>
      </c>
      <c r="AE85" s="302">
        <f t="shared" si="127"/>
        <v>0.99965179816462901</v>
      </c>
      <c r="AF85" s="302">
        <f t="shared" si="127"/>
        <v>0.99970302123002752</v>
      </c>
      <c r="AG85" s="302">
        <f t="shared" si="127"/>
        <v>0.99975100384782689</v>
      </c>
      <c r="AH85" s="302">
        <f t="shared" si="127"/>
        <v>0.99979466582602372</v>
      </c>
      <c r="AI85" s="302">
        <f t="shared" si="127"/>
        <v>0.99983333958133447</v>
      </c>
      <c r="AJ85" s="302">
        <f t="shared" si="127"/>
        <v>0.99986675157895089</v>
      </c>
      <c r="AK85" s="302">
        <f t="shared" si="127"/>
        <v>0.99989496285544244</v>
      </c>
      <c r="AL85" s="302">
        <f t="shared" si="127"/>
        <v>0.99991828729356291</v>
      </c>
      <c r="AM85" s="302">
        <f t="shared" si="128"/>
        <v>0.99993720489976601</v>
      </c>
      <c r="AN85" s="302">
        <f t="shared" si="128"/>
        <v>0.99995228288479354</v>
      </c>
      <c r="AO85" s="302">
        <f t="shared" si="128"/>
        <v>0.99996411194189661</v>
      </c>
      <c r="AP85" s="302">
        <f t="shared" si="128"/>
        <v>0.99997326029635614</v>
      </c>
      <c r="AQ85" s="302">
        <f t="shared" si="128"/>
        <v>0.99998024464265756</v>
      </c>
      <c r="AR85" s="302">
        <f t="shared" si="128"/>
        <v>0.99998551512452039</v>
      </c>
      <c r="AS85" s="302">
        <f t="shared" si="128"/>
        <v>0.99998945078986212</v>
      </c>
      <c r="AT85" s="302">
        <f t="shared" si="128"/>
        <v>0.99999236206383613</v>
      </c>
      <c r="AU85" s="302">
        <f t="shared" si="128"/>
        <v>0.99999449734190515</v>
      </c>
      <c r="AV85" s="302">
        <f t="shared" si="128"/>
        <v>0.99999605152032622</v>
      </c>
      <c r="AW85" s="302">
        <f t="shared" si="128"/>
        <v>0.99999717497137453</v>
      </c>
      <c r="AX85" s="302">
        <f t="shared" si="128"/>
        <v>0.99999798204494217</v>
      </c>
      <c r="AY85" s="302">
        <f t="shared" si="128"/>
        <v>0.99999855860894737</v>
      </c>
      <c r="AZ85" s="302">
        <f t="shared" si="128"/>
        <v>0.99999896843682545</v>
      </c>
      <c r="BA85" s="302">
        <f t="shared" si="128"/>
        <v>0.99999925843578041</v>
      </c>
      <c r="BB85" s="302">
        <f t="shared" si="128"/>
        <v>0.9999994628130483</v>
      </c>
      <c r="BC85" s="302">
        <f t="shared" si="129"/>
        <v>0.9999996063251041</v>
      </c>
      <c r="BD85" s="302">
        <f t="shared" si="129"/>
        <v>0.99999970676711314</v>
      </c>
      <c r="BE85" s="302">
        <f t="shared" si="129"/>
        <v>0.999999776852175</v>
      </c>
      <c r="BF85" s="302">
        <f t="shared" si="129"/>
        <v>0.99999982561237899</v>
      </c>
      <c r="BG85" s="302">
        <f t="shared" si="129"/>
        <v>0.99999985945027015</v>
      </c>
      <c r="BH85" s="302">
        <f t="shared" si="129"/>
        <v>0.99999988290888875</v>
      </c>
      <c r="BI85" s="302">
        <f t="shared" si="129"/>
        <v>0.99999989918819387</v>
      </c>
      <c r="BJ85" s="302">
        <f t="shared" si="129"/>
        <v>0.99999991053477943</v>
      </c>
      <c r="BK85" s="302">
        <f t="shared" si="129"/>
        <v>0.999999918522956</v>
      </c>
      <c r="BL85" s="302">
        <f t="shared" si="129"/>
        <v>0.99999992425442896</v>
      </c>
      <c r="BM85" s="302">
        <f t="shared" si="129"/>
        <v>0.99999992849935526</v>
      </c>
      <c r="BN85" s="302">
        <f t="shared" si="129"/>
        <v>0.99999993179547542</v>
      </c>
      <c r="BO85" s="303">
        <f t="shared" si="129"/>
        <v>0.99999993451742508</v>
      </c>
      <c r="BP85" s="223"/>
      <c r="BQ85" s="139"/>
      <c r="BR85" s="139"/>
      <c r="BS85" s="139"/>
      <c r="BT85" s="139"/>
      <c r="BU85" s="139"/>
      <c r="BV85" s="139"/>
      <c r="BW85" s="139"/>
      <c r="BX85" s="139"/>
      <c r="BY85" s="139"/>
      <c r="BZ85" s="139"/>
      <c r="CA85" s="139"/>
      <c r="CB85" s="139"/>
      <c r="CC85" s="139"/>
      <c r="CD85" s="139"/>
      <c r="CE85" s="139"/>
      <c r="CF85" s="139"/>
      <c r="CG85" s="139"/>
    </row>
    <row r="86" spans="3:188" ht="42" customHeight="1">
      <c r="C86" s="424"/>
      <c r="D86" s="423"/>
      <c r="E86" s="445">
        <v>1.05</v>
      </c>
      <c r="F86" s="464"/>
      <c r="G86" s="302">
        <f t="shared" si="126"/>
        <v>0.99930837534647554</v>
      </c>
      <c r="H86" s="302">
        <f t="shared" si="126"/>
        <v>0.99923036286916767</v>
      </c>
      <c r="I86" s="302">
        <f t="shared" si="126"/>
        <v>0.99915855037402779</v>
      </c>
      <c r="J86" s="302">
        <f t="shared" si="126"/>
        <v>0.99909534724313942</v>
      </c>
      <c r="K86" s="302">
        <f t="shared" si="126"/>
        <v>0.99904242388536357</v>
      </c>
      <c r="L86" s="302">
        <f t="shared" si="126"/>
        <v>0.99900056427168038</v>
      </c>
      <c r="M86" s="302">
        <f t="shared" si="126"/>
        <v>0.99896964665354515</v>
      </c>
      <c r="N86" s="302">
        <f t="shared" si="126"/>
        <v>0.99894873755351066</v>
      </c>
      <c r="O86" s="302">
        <f t="shared" si="126"/>
        <v>0.99893626159790139</v>
      </c>
      <c r="P86" s="302">
        <f t="shared" si="126"/>
        <v>0.99893020092521012</v>
      </c>
      <c r="Q86" s="302">
        <f t="shared" si="126"/>
        <v>0.99892828186442906</v>
      </c>
      <c r="R86" s="302">
        <f t="shared" si="126"/>
        <v>0.9989281346657054</v>
      </c>
      <c r="S86" s="302">
        <f t="shared" si="126"/>
        <v>0.99892895649547331</v>
      </c>
      <c r="T86" s="302">
        <f t="shared" si="126"/>
        <v>0.99893284332048804</v>
      </c>
      <c r="U86" s="302">
        <f t="shared" si="126"/>
        <v>0.99894213425400891</v>
      </c>
      <c r="V86" s="302">
        <f t="shared" si="126"/>
        <v>0.99895898442501974</v>
      </c>
      <c r="W86" s="302">
        <f t="shared" si="127"/>
        <v>0.99898519501842176</v>
      </c>
      <c r="X86" s="302">
        <f t="shared" si="127"/>
        <v>0.99902201500181675</v>
      </c>
      <c r="Y86" s="302">
        <f t="shared" si="127"/>
        <v>0.99906995210799043</v>
      </c>
      <c r="Z86" s="302">
        <f t="shared" si="127"/>
        <v>0.99912863888471859</v>
      </c>
      <c r="AA86" s="302">
        <f t="shared" si="127"/>
        <v>0.99919679702983788</v>
      </c>
      <c r="AB86" s="302">
        <f t="shared" si="127"/>
        <v>0.99927232666239929</v>
      </c>
      <c r="AC86" s="302">
        <f t="shared" si="127"/>
        <v>0.99935251900392374</v>
      </c>
      <c r="AD86" s="302">
        <f t="shared" si="127"/>
        <v>0.99943435945116443</v>
      </c>
      <c r="AE86" s="302">
        <f t="shared" si="127"/>
        <v>0.99951486440198278</v>
      </c>
      <c r="AF86" s="302">
        <f t="shared" si="127"/>
        <v>0.9995913882317965</v>
      </c>
      <c r="AG86" s="302">
        <f t="shared" si="127"/>
        <v>0.99966184846509232</v>
      </c>
      <c r="AH86" s="302">
        <f t="shared" si="127"/>
        <v>0.99972484186016697</v>
      </c>
      <c r="AI86" s="302">
        <f t="shared" si="127"/>
        <v>0.999779651988292</v>
      </c>
      <c r="AJ86" s="302">
        <f t="shared" si="127"/>
        <v>0.99982617078281355</v>
      </c>
      <c r="AK86" s="302">
        <f t="shared" si="127"/>
        <v>0.99986476755944531</v>
      </c>
      <c r="AL86" s="302">
        <f t="shared" si="127"/>
        <v>0.99989613923699749</v>
      </c>
      <c r="AM86" s="302">
        <f t="shared" si="128"/>
        <v>0.99992116833439226</v>
      </c>
      <c r="AN86" s="302">
        <f t="shared" si="128"/>
        <v>0.99994080515934747</v>
      </c>
      <c r="AO86" s="302">
        <f t="shared" si="128"/>
        <v>0.99995598096122285</v>
      </c>
      <c r="AP86" s="302">
        <f t="shared" si="128"/>
        <v>0.99996755163645268</v>
      </c>
      <c r="AQ86" s="302">
        <f t="shared" si="128"/>
        <v>0.99997626734110157</v>
      </c>
      <c r="AR86" s="302">
        <f t="shared" si="128"/>
        <v>0.99998276165588396</v>
      </c>
      <c r="AS86" s="302">
        <f t="shared" si="128"/>
        <v>0.99998755397035044</v>
      </c>
      <c r="AT86" s="302">
        <f t="shared" si="128"/>
        <v>0.99999105971821844</v>
      </c>
      <c r="AU86" s="302">
        <f t="shared" si="128"/>
        <v>0.99999360440627538</v>
      </c>
      <c r="AV86" s="302">
        <f t="shared" si="128"/>
        <v>0.99999543866150298</v>
      </c>
      <c r="AW86" s="302">
        <f t="shared" si="128"/>
        <v>0.99999675259016707</v>
      </c>
      <c r="AX86" s="302">
        <f t="shared" si="128"/>
        <v>0.99999768854197668</v>
      </c>
      <c r="AY86" s="302">
        <f t="shared" si="128"/>
        <v>0.99999835191783959</v>
      </c>
      <c r="AZ86" s="302">
        <f t="shared" si="128"/>
        <v>0.99999881999890605</v>
      </c>
      <c r="BA86" s="302">
        <f t="shared" si="128"/>
        <v>0.99999914896228392</v>
      </c>
      <c r="BB86" s="302">
        <f t="shared" si="128"/>
        <v>0.99999937933413008</v>
      </c>
      <c r="BC86" s="302">
        <f t="shared" si="129"/>
        <v>0.9999995401524493</v>
      </c>
      <c r="BD86" s="302">
        <f t="shared" si="129"/>
        <v>0.99999965209761621</v>
      </c>
      <c r="BE86" s="302">
        <f t="shared" si="129"/>
        <v>0.99999972981705065</v>
      </c>
      <c r="BF86" s="302">
        <f t="shared" si="129"/>
        <v>0.99999978363325881</v>
      </c>
      <c r="BG86" s="302">
        <f t="shared" si="129"/>
        <v>0.99999982081559535</v>
      </c>
      <c r="BH86" s="302">
        <f t="shared" si="129"/>
        <v>0.99999984650160567</v>
      </c>
      <c r="BI86" s="302">
        <f t="shared" si="129"/>
        <v>0.99999986429271925</v>
      </c>
      <c r="BJ86" s="302">
        <f t="shared" si="129"/>
        <v>0.99999987670670809</v>
      </c>
      <c r="BK86" s="302">
        <f t="shared" si="129"/>
        <v>0.99999988550207508</v>
      </c>
      <c r="BL86" s="302">
        <f t="shared" si="129"/>
        <v>0.99999989190651395</v>
      </c>
      <c r="BM86" s="302">
        <f t="shared" si="129"/>
        <v>0.99999989677697732</v>
      </c>
      <c r="BN86" s="302">
        <f t="shared" si="129"/>
        <v>0.99999990071125533</v>
      </c>
      <c r="BO86" s="303">
        <f t="shared" si="129"/>
        <v>0.99999990412537498</v>
      </c>
      <c r="BP86" s="223"/>
      <c r="BQ86" s="139"/>
      <c r="BR86" s="139"/>
      <c r="BS86" s="139"/>
      <c r="BT86" s="139"/>
      <c r="BU86" s="139"/>
      <c r="BV86" s="139"/>
      <c r="BW86" s="139"/>
      <c r="BX86" s="139"/>
      <c r="BY86" s="139"/>
      <c r="BZ86" s="139"/>
      <c r="CA86" s="139"/>
      <c r="CB86" s="139"/>
      <c r="CC86" s="139"/>
      <c r="CD86" s="139"/>
      <c r="CE86" s="139"/>
      <c r="CF86" s="139"/>
      <c r="CG86" s="139"/>
    </row>
    <row r="87" spans="3:188" ht="42" customHeight="1">
      <c r="C87" s="424"/>
      <c r="D87" s="423"/>
      <c r="E87" s="443">
        <v>1</v>
      </c>
      <c r="F87" s="464"/>
      <c r="G87" s="302">
        <f t="shared" si="126"/>
        <v>0.9990146785759606</v>
      </c>
      <c r="H87" s="302">
        <f t="shared" si="126"/>
        <v>0.99889209185115635</v>
      </c>
      <c r="I87" s="302">
        <f t="shared" si="126"/>
        <v>0.99877771724127973</v>
      </c>
      <c r="J87" s="302">
        <f t="shared" si="126"/>
        <v>0.99867588221140791</v>
      </c>
      <c r="K87" s="302">
        <f t="shared" si="126"/>
        <v>0.99858978867779158</v>
      </c>
      <c r="L87" s="302">
        <f t="shared" si="126"/>
        <v>0.99852117376242455</v>
      </c>
      <c r="M87" s="302">
        <f t="shared" si="126"/>
        <v>0.99847020457187685</v>
      </c>
      <c r="N87" s="302">
        <f t="shared" si="126"/>
        <v>0.99843559676342708</v>
      </c>
      <c r="O87" s="302">
        <f t="shared" si="126"/>
        <v>0.9984148944358634</v>
      </c>
      <c r="P87" s="302">
        <f t="shared" si="126"/>
        <v>0.99840482339147274</v>
      </c>
      <c r="Q87" s="302">
        <f t="shared" si="126"/>
        <v>0.99840163264984938</v>
      </c>
      <c r="R87" s="302">
        <f t="shared" si="126"/>
        <v>0.99840138801634515</v>
      </c>
      <c r="S87" s="302">
        <f t="shared" si="126"/>
        <v>0.99840275482327767</v>
      </c>
      <c r="T87" s="302">
        <f t="shared" si="126"/>
        <v>0.99840921614272649</v>
      </c>
      <c r="U87" s="302">
        <f t="shared" si="126"/>
        <v>0.99842464537369036</v>
      </c>
      <c r="V87" s="302">
        <f t="shared" si="126"/>
        <v>0.99845257223738171</v>
      </c>
      <c r="W87" s="302">
        <f t="shared" si="127"/>
        <v>0.99849586920612821</v>
      </c>
      <c r="X87" s="302">
        <f t="shared" si="127"/>
        <v>0.99855639404556673</v>
      </c>
      <c r="Y87" s="302">
        <f t="shared" si="127"/>
        <v>0.99863466527263589</v>
      </c>
      <c r="Z87" s="302">
        <f t="shared" si="127"/>
        <v>0.99872966032005961</v>
      </c>
      <c r="AA87" s="302">
        <f t="shared" si="127"/>
        <v>0.9988388141845681</v>
      </c>
      <c r="AB87" s="302">
        <f t="shared" si="127"/>
        <v>0.99895825514924663</v>
      </c>
      <c r="AC87" s="302">
        <f t="shared" si="127"/>
        <v>0.99908325310869162</v>
      </c>
      <c r="AD87" s="302">
        <f t="shared" si="127"/>
        <v>0.99920879636625659</v>
      </c>
      <c r="AE87" s="302">
        <f t="shared" si="127"/>
        <v>0.99933017811315672</v>
      </c>
      <c r="AF87" s="302">
        <f t="shared" si="127"/>
        <v>0.99944347749963114</v>
      </c>
      <c r="AG87" s="302">
        <f t="shared" si="127"/>
        <v>0.99954585837717136</v>
      </c>
      <c r="AH87" s="302">
        <f t="shared" si="127"/>
        <v>0.99963566350028199</v>
      </c>
      <c r="AI87" s="302">
        <f t="shared" si="127"/>
        <v>0.99971233179151531</v>
      </c>
      <c r="AJ87" s="302">
        <f t="shared" si="127"/>
        <v>0.99977619656761585</v>
      </c>
      <c r="AK87" s="302">
        <f t="shared" si="127"/>
        <v>0.99982822989318043</v>
      </c>
      <c r="AL87" s="302">
        <f t="shared" si="127"/>
        <v>0.99986978790374781</v>
      </c>
      <c r="AM87" s="302">
        <f t="shared" si="128"/>
        <v>0.99990239309735385</v>
      </c>
      <c r="AN87" s="302">
        <f t="shared" si="128"/>
        <v>0.99992757028686419</v>
      </c>
      <c r="AO87" s="302">
        <f t="shared" si="128"/>
        <v>0.99994673792886446</v>
      </c>
      <c r="AP87" s="302">
        <f t="shared" si="128"/>
        <v>0.99996114741445585</v>
      </c>
      <c r="AQ87" s="302">
        <f t="shared" si="128"/>
        <v>0.99997185896950946</v>
      </c>
      <c r="AR87" s="302">
        <f t="shared" si="128"/>
        <v>0.9999797424906236</v>
      </c>
      <c r="AS87" s="302">
        <f t="shared" si="128"/>
        <v>0.9999854933161092</v>
      </c>
      <c r="AT87" s="302">
        <f t="shared" si="128"/>
        <v>0.99998965535535767</v>
      </c>
      <c r="AU87" s="302">
        <f t="shared" si="128"/>
        <v>0.99999264640276997</v>
      </c>
      <c r="AV87" s="302">
        <f t="shared" si="128"/>
        <v>0.99999478246574292</v>
      </c>
      <c r="AW87" s="302">
        <f t="shared" si="128"/>
        <v>0.99999629942584733</v>
      </c>
      <c r="AX87" s="302">
        <f t="shared" si="128"/>
        <v>0.99999737136018996</v>
      </c>
      <c r="AY87" s="302">
        <f t="shared" si="128"/>
        <v>0.99999812547029721</v>
      </c>
      <c r="AZ87" s="302">
        <f t="shared" si="128"/>
        <v>0.99999865390477438</v>
      </c>
      <c r="BA87" s="302">
        <f t="shared" si="128"/>
        <v>0.99999902291343412</v>
      </c>
      <c r="BB87" s="302">
        <f t="shared" si="128"/>
        <v>0.99999927980692771</v>
      </c>
      <c r="BC87" s="302">
        <f t="shared" si="129"/>
        <v>0.99999945816881908</v>
      </c>
      <c r="BD87" s="302">
        <f t="shared" si="129"/>
        <v>0.99999958170990011</v>
      </c>
      <c r="BE87" s="302">
        <f t="shared" si="129"/>
        <v>0.99999966708807442</v>
      </c>
      <c r="BF87" s="302">
        <f t="shared" si="129"/>
        <v>0.99999972595304132</v>
      </c>
      <c r="BG87" s="302">
        <f t="shared" si="129"/>
        <v>0.99999976646159328</v>
      </c>
      <c r="BH87" s="302">
        <f t="shared" si="129"/>
        <v>0.99999979436517694</v>
      </c>
      <c r="BI87" s="302">
        <f t="shared" si="129"/>
        <v>0.99999981368074375</v>
      </c>
      <c r="BJ87" s="302">
        <f t="shared" si="129"/>
        <v>0.99999982720785385</v>
      </c>
      <c r="BK87" s="302">
        <f t="shared" si="129"/>
        <v>0.99999983689793182</v>
      </c>
      <c r="BL87" s="302">
        <f t="shared" si="129"/>
        <v>0.99999984411221565</v>
      </c>
      <c r="BM87" s="302">
        <f t="shared" si="129"/>
        <v>0.99999984980103573</v>
      </c>
      <c r="BN87" s="302">
        <f t="shared" si="129"/>
        <v>0.99999985462778485</v>
      </c>
      <c r="BO87" s="303">
        <f t="shared" si="129"/>
        <v>0.99999985905418998</v>
      </c>
      <c r="BP87" s="223"/>
      <c r="BQ87" s="139"/>
      <c r="BR87" s="139"/>
      <c r="BS87" s="139"/>
      <c r="BT87" s="139"/>
      <c r="BU87" s="139"/>
      <c r="BV87" s="139"/>
      <c r="BW87" s="139"/>
      <c r="BX87" s="139"/>
      <c r="BY87" s="139"/>
      <c r="BZ87" s="139"/>
      <c r="CA87" s="139"/>
      <c r="CB87" s="139"/>
      <c r="CC87" s="139"/>
      <c r="CD87" s="139"/>
      <c r="CE87" s="139"/>
      <c r="CF87" s="139"/>
      <c r="CG87" s="139"/>
    </row>
    <row r="88" spans="3:188" ht="42" customHeight="1">
      <c r="C88" s="424"/>
      <c r="D88" s="423"/>
      <c r="E88" s="445">
        <v>0.95</v>
      </c>
      <c r="F88" s="464"/>
      <c r="G88" s="302">
        <f t="shared" si="126"/>
        <v>0.99860621789762283</v>
      </c>
      <c r="H88" s="302">
        <f t="shared" si="126"/>
        <v>0.99841430450107405</v>
      </c>
      <c r="I88" s="302">
        <f t="shared" si="126"/>
        <v>0.99823244868526362</v>
      </c>
      <c r="J88" s="302">
        <f t="shared" si="126"/>
        <v>0.99806833506082715</v>
      </c>
      <c r="K88" s="302">
        <f t="shared" si="126"/>
        <v>0.9979280197191871</v>
      </c>
      <c r="L88" s="302">
        <f t="shared" si="126"/>
        <v>0.99781518202125608</v>
      </c>
      <c r="M88" s="302">
        <f t="shared" si="126"/>
        <v>0.99773079224119066</v>
      </c>
      <c r="N88" s="302">
        <f t="shared" si="126"/>
        <v>0.99767321774719175</v>
      </c>
      <c r="O88" s="302">
        <f t="shared" si="126"/>
        <v>0.99763867153107399</v>
      </c>
      <c r="P88" s="302">
        <f t="shared" si="126"/>
        <v>0.99762183756328315</v>
      </c>
      <c r="Q88" s="302">
        <f t="shared" si="126"/>
        <v>0.99761650043571348</v>
      </c>
      <c r="R88" s="302">
        <f t="shared" si="126"/>
        <v>0.99761609136753271</v>
      </c>
      <c r="S88" s="302">
        <f t="shared" si="126"/>
        <v>0.99761837824386901</v>
      </c>
      <c r="T88" s="302">
        <f t="shared" si="126"/>
        <v>0.99762918346070939</v>
      </c>
      <c r="U88" s="302">
        <f t="shared" si="126"/>
        <v>0.99765495436408858</v>
      </c>
      <c r="V88" s="302">
        <f t="shared" si="126"/>
        <v>0.99770148825146399</v>
      </c>
      <c r="W88" s="302">
        <f t="shared" si="127"/>
        <v>0.99777334817896635</v>
      </c>
      <c r="X88" s="302">
        <f t="shared" si="127"/>
        <v>0.99787321586683042</v>
      </c>
      <c r="Y88" s="302">
        <f t="shared" si="127"/>
        <v>0.99800134052796952</v>
      </c>
      <c r="Z88" s="302">
        <f t="shared" si="127"/>
        <v>0.99815525960950569</v>
      </c>
      <c r="AA88" s="302">
        <f t="shared" si="127"/>
        <v>0.99832992683345523</v>
      </c>
      <c r="AB88" s="302">
        <f t="shared" si="127"/>
        <v>0.99851828281217681</v>
      </c>
      <c r="AC88" s="302">
        <f t="shared" si="127"/>
        <v>0.99871217440743887</v>
      </c>
      <c r="AD88" s="302">
        <f t="shared" si="127"/>
        <v>0.99890342305872581</v>
      </c>
      <c r="AE88" s="302">
        <f t="shared" si="127"/>
        <v>0.99908480528275589</v>
      </c>
      <c r="AF88" s="302">
        <f t="shared" si="127"/>
        <v>0.99925075304714317</v>
      </c>
      <c r="AG88" s="302">
        <f t="shared" si="127"/>
        <v>0.99939768158513587</v>
      </c>
      <c r="AH88" s="302">
        <f t="shared" si="127"/>
        <v>0.99952396094661555</v>
      </c>
      <c r="AI88" s="302">
        <f t="shared" si="127"/>
        <v>0.99962962523864796</v>
      </c>
      <c r="AJ88" s="302">
        <f t="shared" si="127"/>
        <v>0.99971594346793835</v>
      </c>
      <c r="AK88" s="302">
        <f t="shared" si="127"/>
        <v>0.99978496458869681</v>
      </c>
      <c r="AL88" s="302">
        <f t="shared" si="127"/>
        <v>0.99983911515280643</v>
      </c>
      <c r="AM88" s="302">
        <f t="shared" si="128"/>
        <v>0.99988088925708263</v>
      </c>
      <c r="AN88" s="302">
        <f t="shared" si="128"/>
        <v>0.99991263909894101</v>
      </c>
      <c r="AO88" s="302">
        <f t="shared" si="128"/>
        <v>0.99993645471850723</v>
      </c>
      <c r="AP88" s="302">
        <f t="shared" si="128"/>
        <v>0.99995411256441602</v>
      </c>
      <c r="AQ88" s="302">
        <f t="shared" si="128"/>
        <v>0.99996707120662687</v>
      </c>
      <c r="AR88" s="302">
        <f t="shared" si="128"/>
        <v>0.99997649543824407</v>
      </c>
      <c r="AS88" s="302">
        <f t="shared" si="128"/>
        <v>0.99998329454552837</v>
      </c>
      <c r="AT88" s="302">
        <f t="shared" si="128"/>
        <v>0.99998816507194899</v>
      </c>
      <c r="AU88" s="302">
        <f t="shared" si="128"/>
        <v>0.99999163218301101</v>
      </c>
      <c r="AV88" s="302">
        <f t="shared" si="128"/>
        <v>0.99999408652761734</v>
      </c>
      <c r="AW88" s="302">
        <f t="shared" si="128"/>
        <v>0.99999581535836146</v>
      </c>
      <c r="AX88" s="302">
        <f t="shared" si="128"/>
        <v>0.99999702780694033</v>
      </c>
      <c r="AY88" s="302">
        <f t="shared" si="128"/>
        <v>0.99999787482054048</v>
      </c>
      <c r="AZ88" s="302">
        <f t="shared" si="128"/>
        <v>0.99999846453068009</v>
      </c>
      <c r="BA88" s="302">
        <f t="shared" si="128"/>
        <v>0.99999887388472652</v>
      </c>
      <c r="BB88" s="302">
        <f t="shared" si="128"/>
        <v>0.99999915731701428</v>
      </c>
      <c r="BC88" s="302">
        <f t="shared" si="129"/>
        <v>0.99999935313230948</v>
      </c>
      <c r="BD88" s="302">
        <f t="shared" si="129"/>
        <v>0.9999994881556632</v>
      </c>
      <c r="BE88" s="302">
        <f t="shared" si="129"/>
        <v>0.99999958108902443</v>
      </c>
      <c r="BF88" s="302">
        <f t="shared" si="129"/>
        <v>0.99999964491626425</v>
      </c>
      <c r="BG88" s="302">
        <f t="shared" si="129"/>
        <v>0.99999968868443956</v>
      </c>
      <c r="BH88" s="302">
        <f t="shared" si="129"/>
        <v>0.99999971877240712</v>
      </c>
      <c r="BI88" s="302">
        <f t="shared" si="129"/>
        <v>0.99999973962514688</v>
      </c>
      <c r="BJ88" s="302">
        <f t="shared" si="129"/>
        <v>0.99999975433537402</v>
      </c>
      <c r="BK88" s="302">
        <f t="shared" si="129"/>
        <v>0.99999976505827715</v>
      </c>
      <c r="BL88" s="302">
        <f t="shared" si="129"/>
        <v>0.99999977329895606</v>
      </c>
      <c r="BM88" s="302">
        <f t="shared" si="129"/>
        <v>0.99999978011060509</v>
      </c>
      <c r="BN88" s="302">
        <f t="shared" si="129"/>
        <v>0.99999978623039465</v>
      </c>
      <c r="BO88" s="303">
        <f t="shared" si="129"/>
        <v>0.99999979217208224</v>
      </c>
      <c r="BP88" s="223"/>
      <c r="BQ88" s="139"/>
      <c r="BR88" s="139"/>
      <c r="BS88" s="139"/>
      <c r="BT88" s="139"/>
      <c r="BU88" s="139"/>
      <c r="BV88" s="139"/>
      <c r="BW88" s="139"/>
      <c r="BX88" s="139"/>
      <c r="BY88" s="139"/>
      <c r="BZ88" s="139"/>
      <c r="CA88" s="139"/>
      <c r="CB88" s="139"/>
      <c r="CC88" s="139"/>
      <c r="CD88" s="139"/>
      <c r="CE88" s="139"/>
      <c r="CF88" s="139"/>
      <c r="CG88" s="139"/>
    </row>
    <row r="89" spans="3:188" ht="42" customHeight="1">
      <c r="C89" s="424"/>
      <c r="D89" s="423"/>
      <c r="E89" s="443">
        <v>0.9</v>
      </c>
      <c r="F89" s="464"/>
      <c r="G89" s="302">
        <f t="shared" si="126"/>
        <v>0.99804509726032986</v>
      </c>
      <c r="H89" s="302">
        <f t="shared" si="126"/>
        <v>0.99774621078650017</v>
      </c>
      <c r="I89" s="302">
        <f t="shared" si="126"/>
        <v>0.9974578769349346</v>
      </c>
      <c r="J89" s="302">
        <f t="shared" si="126"/>
        <v>0.9971935493252484</v>
      </c>
      <c r="K89" s="302">
        <f t="shared" si="126"/>
        <v>0.99696453115622874</v>
      </c>
      <c r="L89" s="302">
        <f t="shared" si="126"/>
        <v>0.99677838099494231</v>
      </c>
      <c r="M89" s="302">
        <f t="shared" si="126"/>
        <v>0.99663802474217622</v>
      </c>
      <c r="N89" s="302">
        <f t="shared" si="126"/>
        <v>0.99654171465529295</v>
      </c>
      <c r="O89" s="302">
        <f t="shared" si="126"/>
        <v>0.99648371231393373</v>
      </c>
      <c r="P89" s="302">
        <f t="shared" si="126"/>
        <v>0.99645539068326416</v>
      </c>
      <c r="Q89" s="302">
        <f t="shared" si="126"/>
        <v>0.99644640372943782</v>
      </c>
      <c r="R89" s="302">
        <f t="shared" si="126"/>
        <v>0.99644571504746871</v>
      </c>
      <c r="S89" s="302">
        <f t="shared" si="126"/>
        <v>0.99644956688671527</v>
      </c>
      <c r="T89" s="302">
        <f t="shared" si="126"/>
        <v>0.99646775560749923</v>
      </c>
      <c r="U89" s="302">
        <f t="shared" si="126"/>
        <v>0.99651107292069485</v>
      </c>
      <c r="V89" s="302">
        <f t="shared" si="126"/>
        <v>0.99658906396654356</v>
      </c>
      <c r="W89" s="302">
        <f t="shared" si="127"/>
        <v>0.99670892783372445</v>
      </c>
      <c r="X89" s="302">
        <f t="shared" si="127"/>
        <v>0.99687434323369506</v>
      </c>
      <c r="Y89" s="302">
        <f t="shared" si="127"/>
        <v>0.99708455134584717</v>
      </c>
      <c r="Z89" s="302">
        <f t="shared" si="127"/>
        <v>0.99733403882881744</v>
      </c>
      <c r="AA89" s="302">
        <f t="shared" si="127"/>
        <v>0.99761304189648914</v>
      </c>
      <c r="AB89" s="302">
        <f t="shared" si="127"/>
        <v>0.9979088542954756</v>
      </c>
      <c r="AC89" s="302">
        <f t="shared" si="127"/>
        <v>0.9982076592525313</v>
      </c>
      <c r="AD89" s="302">
        <f t="shared" si="127"/>
        <v>0.99849643875469885</v>
      </c>
      <c r="AE89" s="302">
        <f t="shared" si="127"/>
        <v>0.99876451850277381</v>
      </c>
      <c r="AF89" s="302">
        <f t="shared" si="127"/>
        <v>0.99900446739562732</v>
      </c>
      <c r="AG89" s="302">
        <f t="shared" si="127"/>
        <v>0.99921229641019238</v>
      </c>
      <c r="AH89" s="302">
        <f t="shared" si="127"/>
        <v>0.99938709160046624</v>
      </c>
      <c r="AI89" s="302">
        <f t="shared" si="127"/>
        <v>0.99953031130868875</v>
      </c>
      <c r="AJ89" s="302">
        <f t="shared" si="127"/>
        <v>0.99964497764961335</v>
      </c>
      <c r="AK89" s="302">
        <f t="shared" si="127"/>
        <v>0.99973493246832001</v>
      </c>
      <c r="AL89" s="302">
        <f t="shared" si="127"/>
        <v>0.99980425031852016</v>
      </c>
      <c r="AM89" s="302">
        <f t="shared" si="128"/>
        <v>0.99985683477022802</v>
      </c>
      <c r="AN89" s="302">
        <f t="shared" si="128"/>
        <v>0.99989618148234438</v>
      </c>
      <c r="AO89" s="302">
        <f t="shared" si="128"/>
        <v>0.99992527131924624</v>
      </c>
      <c r="AP89" s="302">
        <f t="shared" si="128"/>
        <v>0.99994655289962819</v>
      </c>
      <c r="AQ89" s="302">
        <f t="shared" si="128"/>
        <v>0.99996197911384732</v>
      </c>
      <c r="AR89" s="302">
        <f t="shared" si="128"/>
        <v>0.99997307076080522</v>
      </c>
      <c r="AS89" s="302">
        <f t="shared" si="128"/>
        <v>0.99998098915387201</v>
      </c>
      <c r="AT89" s="302">
        <f t="shared" si="128"/>
        <v>0.99998660673743023</v>
      </c>
      <c r="AU89" s="302">
        <f t="shared" si="128"/>
        <v>0.99999057000329505</v>
      </c>
      <c r="AV89" s="302">
        <f t="shared" si="128"/>
        <v>0.99999335246031851</v>
      </c>
      <c r="AW89" s="302">
        <f t="shared" si="128"/>
        <v>0.99999529748059091</v>
      </c>
      <c r="AX89" s="302">
        <f t="shared" si="128"/>
        <v>0.99999665193618714</v>
      </c>
      <c r="AY89" s="302">
        <f t="shared" si="128"/>
        <v>0.99999759200046368</v>
      </c>
      <c r="AZ89" s="302">
        <f t="shared" si="128"/>
        <v>0.99999824257656655</v>
      </c>
      <c r="BA89" s="302">
        <f t="shared" si="128"/>
        <v>0.9999986917088296</v>
      </c>
      <c r="BB89" s="302">
        <f t="shared" si="128"/>
        <v>0.99999900114062901</v>
      </c>
      <c r="BC89" s="302">
        <f t="shared" si="129"/>
        <v>0.99999921396905944</v>
      </c>
      <c r="BD89" s="302">
        <f t="shared" si="129"/>
        <v>0.99999936014604485</v>
      </c>
      <c r="BE89" s="302">
        <f t="shared" si="129"/>
        <v>0.99999946040205578</v>
      </c>
      <c r="BF89" s="302">
        <f t="shared" si="129"/>
        <v>0.99999952902766043</v>
      </c>
      <c r="BG89" s="302">
        <f t="shared" si="129"/>
        <v>0.99999957594347733</v>
      </c>
      <c r="BH89" s="302">
        <f t="shared" si="129"/>
        <v>0.99999960816575295</v>
      </c>
      <c r="BI89" s="302">
        <f t="shared" si="129"/>
        <v>0.9999996305813863</v>
      </c>
      <c r="BJ89" s="302">
        <f t="shared" si="129"/>
        <v>0.99999964659132956</v>
      </c>
      <c r="BK89" s="302">
        <f t="shared" si="129"/>
        <v>0.99999965857031869</v>
      </c>
      <c r="BL89" s="302">
        <f t="shared" si="129"/>
        <v>0.99999966818301</v>
      </c>
      <c r="BM89" s="302">
        <f t="shared" si="129"/>
        <v>0.99999967660011169</v>
      </c>
      <c r="BN89" s="302">
        <f t="shared" si="129"/>
        <v>0.99999968464517375</v>
      </c>
      <c r="BO89" s="303">
        <f t="shared" si="129"/>
        <v>0.9999996928935504</v>
      </c>
      <c r="BP89" s="223"/>
      <c r="BQ89" s="139"/>
      <c r="BR89" s="139"/>
      <c r="BS89" s="139"/>
      <c r="BT89" s="139"/>
      <c r="BU89" s="139"/>
      <c r="BV89" s="139"/>
      <c r="BW89" s="139"/>
      <c r="BX89" s="139"/>
      <c r="BY89" s="139"/>
      <c r="BZ89" s="139"/>
      <c r="CA89" s="139"/>
      <c r="CB89" s="139"/>
      <c r="CC89" s="139"/>
      <c r="CD89" s="139"/>
      <c r="CE89" s="139"/>
      <c r="CF89" s="139"/>
      <c r="CG89" s="139"/>
    </row>
    <row r="90" spans="3:188" ht="42" customHeight="1">
      <c r="C90" s="425"/>
      <c r="D90" s="424"/>
      <c r="E90" s="445">
        <v>0.85</v>
      </c>
      <c r="F90" s="464"/>
      <c r="G90" s="302">
        <f t="shared" si="126"/>
        <v>0.99728574533065573</v>
      </c>
      <c r="H90" s="302">
        <f t="shared" si="126"/>
        <v>0.99682355778869314</v>
      </c>
      <c r="I90" s="302">
        <f t="shared" si="126"/>
        <v>0.99636839429193957</v>
      </c>
      <c r="J90" s="302">
        <f t="shared" si="126"/>
        <v>0.99594337406006439</v>
      </c>
      <c r="K90" s="302">
        <f t="shared" si="126"/>
        <v>0.99556928329672578</v>
      </c>
      <c r="L90" s="302">
        <f t="shared" si="126"/>
        <v>0.99526129091162818</v>
      </c>
      <c r="M90" s="302">
        <f t="shared" si="126"/>
        <v>0.99502676971271031</v>
      </c>
      <c r="N90" s="302">
        <f t="shared" si="126"/>
        <v>0.99486471326897397</v>
      </c>
      <c r="O90" s="302">
        <f t="shared" si="126"/>
        <v>0.99476667360516435</v>
      </c>
      <c r="P90" s="302">
        <f t="shared" si="126"/>
        <v>0.99471868223083826</v>
      </c>
      <c r="Q90" s="302">
        <f t="shared" si="126"/>
        <v>0.99470343750373102</v>
      </c>
      <c r="R90" s="302">
        <f t="shared" si="126"/>
        <v>0.99470226935233808</v>
      </c>
      <c r="S90" s="302">
        <f t="shared" si="126"/>
        <v>0.99470880519481164</v>
      </c>
      <c r="T90" s="302">
        <f t="shared" si="126"/>
        <v>0.99473964648950486</v>
      </c>
      <c r="U90" s="302">
        <f t="shared" si="126"/>
        <v>0.99481296476078585</v>
      </c>
      <c r="V90" s="302">
        <f t="shared" si="126"/>
        <v>0.99494450445804739</v>
      </c>
      <c r="W90" s="302">
        <f t="shared" si="127"/>
        <v>0.99514549210898451</v>
      </c>
      <c r="X90" s="302">
        <f t="shared" si="127"/>
        <v>0.99542050606072385</v>
      </c>
      <c r="Y90" s="302">
        <f t="shared" si="127"/>
        <v>0.99576600724267217</v>
      </c>
      <c r="Z90" s="302">
        <f t="shared" si="127"/>
        <v>0.99617018902520993</v>
      </c>
      <c r="AA90" s="302">
        <f t="shared" si="127"/>
        <v>0.99661445881080268</v>
      </c>
      <c r="AB90" s="302">
        <f t="shared" si="127"/>
        <v>0.99707631290021337</v>
      </c>
      <c r="AC90" s="302">
        <f t="shared" si="127"/>
        <v>0.99753286453878143</v>
      </c>
      <c r="AD90" s="302">
        <f t="shared" si="127"/>
        <v>0.99796408914630086</v>
      </c>
      <c r="AE90" s="302">
        <f t="shared" si="127"/>
        <v>0.998355041012434</v>
      </c>
      <c r="AF90" s="302">
        <f t="shared" si="127"/>
        <v>0.99869673361889888</v>
      </c>
      <c r="AG90" s="302">
        <f t="shared" si="127"/>
        <v>0.99898582143911141</v>
      </c>
      <c r="AH90" s="302">
        <f t="shared" si="127"/>
        <v>0.99922349410999434</v>
      </c>
      <c r="AI90" s="302">
        <f t="shared" si="127"/>
        <v>0.99941405011144957</v>
      </c>
      <c r="AJ90" s="302">
        <f t="shared" si="127"/>
        <v>0.99956351942363031</v>
      </c>
      <c r="AK90" s="302">
        <f t="shared" si="127"/>
        <v>0.99967854886339513</v>
      </c>
      <c r="AL90" s="302">
        <f t="shared" si="127"/>
        <v>0.99976562270025693</v>
      </c>
      <c r="AM90" s="302">
        <f t="shared" si="128"/>
        <v>0.99983059723063572</v>
      </c>
      <c r="AN90" s="302">
        <f t="shared" si="128"/>
        <v>0.99987848261435386</v>
      </c>
      <c r="AO90" s="302">
        <f t="shared" si="128"/>
        <v>0.99991339506248778</v>
      </c>
      <c r="AP90" s="302">
        <f t="shared" si="128"/>
        <v>0.99993861171004794</v>
      </c>
      <c r="AQ90" s="302">
        <f t="shared" si="128"/>
        <v>0.99995667714472825</v>
      </c>
      <c r="AR90" s="302">
        <f t="shared" si="128"/>
        <v>0.99996952741174661</v>
      </c>
      <c r="AS90" s="302">
        <f t="shared" si="128"/>
        <v>0.99997861111238706</v>
      </c>
      <c r="AT90" s="302">
        <f t="shared" si="128"/>
        <v>0.99998499713736377</v>
      </c>
      <c r="AU90" s="302">
        <f t="shared" si="128"/>
        <v>0.9999894650153659</v>
      </c>
      <c r="AV90" s="302">
        <f t="shared" si="128"/>
        <v>0.99999257762909732</v>
      </c>
      <c r="AW90" s="302">
        <f t="shared" si="128"/>
        <v>0.99999473798844507</v>
      </c>
      <c r="AX90" s="302">
        <f t="shared" si="128"/>
        <v>0.99999623253332903</v>
      </c>
      <c r="AY90" s="302">
        <f t="shared" si="128"/>
        <v>0.99999726355851415</v>
      </c>
      <c r="AZ90" s="302">
        <f t="shared" si="128"/>
        <v>0.99999797313431116</v>
      </c>
      <c r="BA90" s="302">
        <f t="shared" si="128"/>
        <v>0.99999846053941044</v>
      </c>
      <c r="BB90" s="302">
        <f t="shared" si="128"/>
        <v>0.99999879483723098</v>
      </c>
      <c r="BC90" s="302">
        <f t="shared" si="129"/>
        <v>0.99999902387159911</v>
      </c>
      <c r="BD90" s="302">
        <f t="shared" si="129"/>
        <v>0.99999918065468751</v>
      </c>
      <c r="BE90" s="302">
        <f t="shared" si="129"/>
        <v>0.99999928787491077</v>
      </c>
      <c r="BF90" s="302">
        <f t="shared" si="129"/>
        <v>0.99999936106260923</v>
      </c>
      <c r="BG90" s="302">
        <f t="shared" si="129"/>
        <v>0.99999941097427514</v>
      </c>
      <c r="BH90" s="302">
        <f t="shared" si="129"/>
        <v>0.99999944527442752</v>
      </c>
      <c r="BI90" s="302">
        <f t="shared" si="129"/>
        <v>0.99999946931216632</v>
      </c>
      <c r="BJ90" s="302">
        <f t="shared" si="129"/>
        <v>0.99999948682031392</v>
      </c>
      <c r="BK90" s="302">
        <f t="shared" si="129"/>
        <v>0.99999950041844865</v>
      </c>
      <c r="BL90" s="302">
        <f t="shared" si="129"/>
        <v>0.99999951195597725</v>
      </c>
      <c r="BM90" s="302">
        <f t="shared" si="129"/>
        <v>0.99999952274446191</v>
      </c>
      <c r="BN90" s="302">
        <f t="shared" si="129"/>
        <v>0.99999953371359784</v>
      </c>
      <c r="BO90" s="303">
        <f t="shared" si="129"/>
        <v>0.99999954551490677</v>
      </c>
      <c r="BP90" s="223"/>
      <c r="BQ90" s="139"/>
      <c r="BR90" s="139"/>
      <c r="BS90" s="139"/>
      <c r="BT90" s="139"/>
      <c r="BU90" s="139"/>
      <c r="BV90" s="139"/>
      <c r="BW90" s="139"/>
      <c r="BX90" s="139"/>
      <c r="BY90" s="139"/>
      <c r="BZ90" s="139"/>
      <c r="CA90" s="139"/>
      <c r="CB90" s="139"/>
      <c r="CC90" s="139"/>
      <c r="CD90" s="139"/>
      <c r="CE90" s="139"/>
      <c r="CF90" s="139"/>
      <c r="CG90" s="139"/>
    </row>
    <row r="91" spans="3:188" ht="42" customHeight="1">
      <c r="C91" s="425"/>
      <c r="D91" s="424"/>
      <c r="E91" s="443">
        <v>0.8</v>
      </c>
      <c r="F91" s="464"/>
      <c r="G91" s="302">
        <f t="shared" si="126"/>
        <v>0.99627682677495344</v>
      </c>
      <c r="H91" s="302">
        <f t="shared" si="126"/>
        <v>0.9955689062267411</v>
      </c>
      <c r="I91" s="302">
        <f t="shared" si="126"/>
        <v>0.99485498118426408</v>
      </c>
      <c r="J91" s="302">
        <f t="shared" si="126"/>
        <v>0.99417379075838341</v>
      </c>
      <c r="K91" s="302">
        <f t="shared" si="126"/>
        <v>0.99356287071774396</v>
      </c>
      <c r="L91" s="302">
        <f t="shared" si="126"/>
        <v>0.99305204394350799</v>
      </c>
      <c r="M91" s="302">
        <f t="shared" si="126"/>
        <v>0.99265837182251337</v>
      </c>
      <c r="N91" s="302">
        <f t="shared" si="126"/>
        <v>0.99238398224582247</v>
      </c>
      <c r="O91" s="302">
        <f t="shared" si="126"/>
        <v>0.99221705267639304</v>
      </c>
      <c r="P91" s="302">
        <f t="shared" si="126"/>
        <v>0.99213508384806626</v>
      </c>
      <c r="Q91" s="302">
        <f t="shared" si="126"/>
        <v>0.99210901125803397</v>
      </c>
      <c r="R91" s="302">
        <f t="shared" si="126"/>
        <v>0.99210701325914408</v>
      </c>
      <c r="S91" s="302">
        <f t="shared" si="126"/>
        <v>0.9921181948656681</v>
      </c>
      <c r="T91" s="302">
        <f t="shared" si="126"/>
        <v>0.99217091406619695</v>
      </c>
      <c r="U91" s="302">
        <f t="shared" si="126"/>
        <v>0.99229596297977729</v>
      </c>
      <c r="V91" s="302">
        <f t="shared" si="126"/>
        <v>0.99251932830839074</v>
      </c>
      <c r="W91" s="302">
        <f t="shared" si="127"/>
        <v>0.9928581745403614</v>
      </c>
      <c r="X91" s="302">
        <f t="shared" si="127"/>
        <v>0.99331700099240372</v>
      </c>
      <c r="Y91" s="302">
        <f t="shared" si="127"/>
        <v>0.99388545887086888</v>
      </c>
      <c r="Z91" s="302">
        <f t="shared" si="127"/>
        <v>0.99453904791590886</v>
      </c>
      <c r="AA91" s="302">
        <f t="shared" si="127"/>
        <v>0.99524297393412242</v>
      </c>
      <c r="AB91" s="302">
        <f t="shared" si="127"/>
        <v>0.99595822226183939</v>
      </c>
      <c r="AC91" s="302">
        <f t="shared" si="127"/>
        <v>0.99664805330023243</v>
      </c>
      <c r="AD91" s="302">
        <f t="shared" si="127"/>
        <v>0.9972831169406271</v>
      </c>
      <c r="AE91" s="302">
        <f t="shared" si="127"/>
        <v>0.99784413113673964</v>
      </c>
      <c r="AF91" s="302">
        <f t="shared" si="127"/>
        <v>0.99832207005182072</v>
      </c>
      <c r="AG91" s="302">
        <f t="shared" si="127"/>
        <v>0.99871654427779344</v>
      </c>
      <c r="AH91" s="302">
        <f t="shared" si="127"/>
        <v>0.99903331253914163</v>
      </c>
      <c r="AI91" s="302">
        <f t="shared" si="127"/>
        <v>0.99928172867673459</v>
      </c>
      <c r="AJ91" s="302">
        <f t="shared" si="127"/>
        <v>0.99947261620292682</v>
      </c>
      <c r="AK91" s="302">
        <f t="shared" si="127"/>
        <v>0.99961675869761868</v>
      </c>
      <c r="AL91" s="302">
        <f t="shared" si="127"/>
        <v>0.99972398621064507</v>
      </c>
      <c r="AM91" s="302">
        <f t="shared" si="128"/>
        <v>0.99980273536631636</v>
      </c>
      <c r="AN91" s="302">
        <f t="shared" si="128"/>
        <v>0.99985993562292097</v>
      </c>
      <c r="AO91" s="302">
        <f t="shared" si="128"/>
        <v>0.99990109120526072</v>
      </c>
      <c r="AP91" s="302">
        <f t="shared" si="128"/>
        <v>0.99993046100703953</v>
      </c>
      <c r="AQ91" s="302">
        <f t="shared" si="128"/>
        <v>0.99995127184596411</v>
      </c>
      <c r="AR91" s="302">
        <f t="shared" si="128"/>
        <v>0.99996592716343458</v>
      </c>
      <c r="AS91" s="302">
        <f t="shared" si="128"/>
        <v>0.99997619211913813</v>
      </c>
      <c r="AT91" s="302">
        <f t="shared" si="128"/>
        <v>0.99998334801288646</v>
      </c>
      <c r="AU91" s="302">
        <f t="shared" si="128"/>
        <v>0.99998831581669956</v>
      </c>
      <c r="AV91" s="302">
        <f t="shared" si="128"/>
        <v>0.9999917520100714</v>
      </c>
      <c r="AW91" s="302">
        <f t="shared" si="128"/>
        <v>0.99999412121282361</v>
      </c>
      <c r="AX91" s="302">
        <f t="shared" si="128"/>
        <v>0.99999575023594434</v>
      </c>
      <c r="AY91" s="302">
        <f t="shared" si="128"/>
        <v>0.99999686772036922</v>
      </c>
      <c r="AZ91" s="302">
        <f t="shared" si="128"/>
        <v>0.99999763286268228</v>
      </c>
      <c r="BA91" s="302">
        <f t="shared" si="128"/>
        <v>0.99999815602895092</v>
      </c>
      <c r="BB91" s="302">
        <f t="shared" si="128"/>
        <v>0.99999851342672097</v>
      </c>
      <c r="BC91" s="302">
        <f t="shared" si="129"/>
        <v>0.99999875747591926</v>
      </c>
      <c r="BD91" s="302">
        <f t="shared" si="129"/>
        <v>0.99999892409635482</v>
      </c>
      <c r="BE91" s="302">
        <f t="shared" si="129"/>
        <v>0.99999903780240518</v>
      </c>
      <c r="BF91" s="302">
        <f t="shared" si="129"/>
        <v>0.99999911525145124</v>
      </c>
      <c r="BG91" s="302">
        <f t="shared" si="129"/>
        <v>0.99999916797566046</v>
      </c>
      <c r="BH91" s="302">
        <f t="shared" si="129"/>
        <v>0.99999920430700462</v>
      </c>
      <c r="BI91" s="302">
        <f t="shared" si="129"/>
        <v>0.99999923009155489</v>
      </c>
      <c r="BJ91" s="302">
        <f t="shared" si="129"/>
        <v>0.9999992494339216</v>
      </c>
      <c r="BK91" s="302">
        <f t="shared" si="129"/>
        <v>0.99999926524053429</v>
      </c>
      <c r="BL91" s="302">
        <f t="shared" si="129"/>
        <v>0.99999927958671531</v>
      </c>
      <c r="BM91" s="302">
        <f t="shared" si="129"/>
        <v>0.99999929396235965</v>
      </c>
      <c r="BN91" s="302">
        <f t="shared" si="129"/>
        <v>0.99999930943436599</v>
      </c>
      <c r="BO91" s="303">
        <f t="shared" si="129"/>
        <v>0.9999993267524957</v>
      </c>
      <c r="BP91" s="223"/>
      <c r="BQ91" s="139"/>
      <c r="BR91" s="139"/>
      <c r="BS91" s="139"/>
      <c r="BT91" s="139"/>
      <c r="BU91" s="139"/>
      <c r="BV91" s="139"/>
      <c r="BW91" s="139"/>
      <c r="BX91" s="139"/>
      <c r="BY91" s="139"/>
      <c r="BZ91" s="139"/>
      <c r="CA91" s="139"/>
      <c r="CB91" s="139"/>
      <c r="CC91" s="139"/>
      <c r="CD91" s="139"/>
      <c r="CE91" s="139"/>
      <c r="CF91" s="139"/>
      <c r="CG91" s="139"/>
    </row>
    <row r="92" spans="3:188" ht="42" customHeight="1">
      <c r="C92" s="425"/>
      <c r="D92" s="424"/>
      <c r="E92" s="445">
        <v>0.75</v>
      </c>
      <c r="F92" s="464"/>
      <c r="G92" s="302">
        <f t="shared" si="126"/>
        <v>0.99496613029433023</v>
      </c>
      <c r="H92" s="302">
        <f t="shared" si="126"/>
        <v>0.99389541536441339</v>
      </c>
      <c r="I92" s="302">
        <f t="shared" si="126"/>
        <v>0.992785790531164</v>
      </c>
      <c r="J92" s="302">
        <f t="shared" si="126"/>
        <v>0.99169992583301836</v>
      </c>
      <c r="K92" s="302">
        <f t="shared" si="126"/>
        <v>0.99070399550291399</v>
      </c>
      <c r="L92" s="302">
        <f t="shared" si="126"/>
        <v>0.98985541128305332</v>
      </c>
      <c r="M92" s="302">
        <f t="shared" si="126"/>
        <v>0.98919168322112461</v>
      </c>
      <c r="N92" s="302">
        <f t="shared" si="126"/>
        <v>0.98872406100932353</v>
      </c>
      <c r="O92" s="302">
        <f t="shared" si="126"/>
        <v>0.98843756884074352</v>
      </c>
      <c r="P92" s="302">
        <f t="shared" si="126"/>
        <v>0.98829633543973217</v>
      </c>
      <c r="Q92" s="302">
        <f t="shared" si="126"/>
        <v>0.9882513358954621</v>
      </c>
      <c r="R92" s="302">
        <f t="shared" si="126"/>
        <v>0.98824788671812325</v>
      </c>
      <c r="S92" s="302">
        <f t="shared" si="126"/>
        <v>0.98826719244744665</v>
      </c>
      <c r="T92" s="302">
        <f t="shared" si="126"/>
        <v>0.98835812025418401</v>
      </c>
      <c r="U92" s="302">
        <f t="shared" si="126"/>
        <v>0.98857319314173786</v>
      </c>
      <c r="V92" s="302">
        <f t="shared" si="126"/>
        <v>0.98895524212637975</v>
      </c>
      <c r="W92" s="302">
        <f t="shared" si="127"/>
        <v>0.98952961757839553</v>
      </c>
      <c r="X92" s="302">
        <f t="shared" si="127"/>
        <v>0.99029735956409515</v>
      </c>
      <c r="Y92" s="302">
        <f t="shared" si="127"/>
        <v>0.99123247811636228</v>
      </c>
      <c r="Z92" s="302">
        <f t="shared" si="127"/>
        <v>0.99228543989652318</v>
      </c>
      <c r="AA92" s="302">
        <f t="shared" si="127"/>
        <v>0.99339250137522017</v>
      </c>
      <c r="AB92" s="302">
        <f t="shared" si="127"/>
        <v>0.99448797479070961</v>
      </c>
      <c r="AC92" s="302">
        <f t="shared" si="127"/>
        <v>0.99551543775827567</v>
      </c>
      <c r="AD92" s="302">
        <f t="shared" si="127"/>
        <v>0.99643483722380577</v>
      </c>
      <c r="AE92" s="302">
        <f t="shared" si="127"/>
        <v>0.99722454287404438</v>
      </c>
      <c r="AF92" s="302">
        <f t="shared" si="127"/>
        <v>0.99787931360225457</v>
      </c>
      <c r="AG92" s="302">
        <f t="shared" si="127"/>
        <v>0.99840603404267392</v>
      </c>
      <c r="AH92" s="302">
        <f t="shared" si="127"/>
        <v>0.99881897629891558</v>
      </c>
      <c r="AI92" s="302">
        <f t="shared" si="127"/>
        <v>0.99913572473670009</v>
      </c>
      <c r="AJ92" s="302">
        <f t="shared" si="127"/>
        <v>0.99937423768943612</v>
      </c>
      <c r="AK92" s="302">
        <f t="shared" si="127"/>
        <v>0.99955105202143613</v>
      </c>
      <c r="AL92" s="302">
        <f t="shared" si="127"/>
        <v>0.99968040339394826</v>
      </c>
      <c r="AM92" s="302">
        <f t="shared" si="128"/>
        <v>0.99977397480467978</v>
      </c>
      <c r="AN92" s="302">
        <f t="shared" si="128"/>
        <v>0.99984101875650322</v>
      </c>
      <c r="AO92" s="302">
        <f t="shared" si="128"/>
        <v>0.99988866447444491</v>
      </c>
      <c r="AP92" s="302">
        <f t="shared" si="128"/>
        <v>0.99992228753301737</v>
      </c>
      <c r="AQ92" s="302">
        <f t="shared" si="128"/>
        <v>0.99994587144022062</v>
      </c>
      <c r="AR92" s="302">
        <f t="shared" si="128"/>
        <v>0.99996232672591168</v>
      </c>
      <c r="AS92" s="302">
        <f t="shared" si="128"/>
        <v>0.99997375537912003</v>
      </c>
      <c r="AT92" s="302">
        <f t="shared" si="128"/>
        <v>0.99998166085898388</v>
      </c>
      <c r="AU92" s="302">
        <f t="shared" si="128"/>
        <v>0.99998710983128791</v>
      </c>
      <c r="AV92" s="302">
        <f t="shared" si="128"/>
        <v>0.99999085387638731</v>
      </c>
      <c r="AW92" s="302">
        <f t="shared" si="128"/>
        <v>0.99999341944506615</v>
      </c>
      <c r="AX92" s="302">
        <f t="shared" si="128"/>
        <v>0.99999517340583166</v>
      </c>
      <c r="AY92" s="302">
        <f t="shared" si="128"/>
        <v>0.99999637026112154</v>
      </c>
      <c r="AZ92" s="302">
        <f t="shared" si="128"/>
        <v>0.9999971858409189</v>
      </c>
      <c r="BA92" s="302">
        <f t="shared" si="128"/>
        <v>0.99999774116041384</v>
      </c>
      <c r="BB92" s="302">
        <f t="shared" si="128"/>
        <v>0.99999811920352133</v>
      </c>
      <c r="BC92" s="302">
        <f t="shared" si="129"/>
        <v>0.99999837666497771</v>
      </c>
      <c r="BD92" s="302">
        <f t="shared" si="129"/>
        <v>0.99999855212656885</v>
      </c>
      <c r="BE92" s="302">
        <f t="shared" si="129"/>
        <v>0.99999867172677903</v>
      </c>
      <c r="BF92" s="302">
        <f t="shared" si="129"/>
        <v>0.99999875308202524</v>
      </c>
      <c r="BG92" s="302">
        <f t="shared" si="129"/>
        <v>0.99999880841519406</v>
      </c>
      <c r="BH92" s="302">
        <f t="shared" si="129"/>
        <v>0.99999884676496031</v>
      </c>
      <c r="BI92" s="302">
        <f t="shared" si="129"/>
        <v>0.99999887453643233</v>
      </c>
      <c r="BJ92" s="302">
        <f t="shared" si="129"/>
        <v>0.99999889627440974</v>
      </c>
      <c r="BK92" s="302">
        <f t="shared" si="129"/>
        <v>0.99999891524222573</v>
      </c>
      <c r="BL92" s="302">
        <f t="shared" si="129"/>
        <v>0.99999893380834681</v>
      </c>
      <c r="BM92" s="302">
        <f t="shared" si="129"/>
        <v>0.9999989537010171</v>
      </c>
      <c r="BN92" s="302">
        <f t="shared" si="129"/>
        <v>0.9999989761728757</v>
      </c>
      <c r="BO92" s="303">
        <f t="shared" si="129"/>
        <v>0.99999900210497783</v>
      </c>
      <c r="BP92" s="223"/>
      <c r="BQ92" s="139"/>
      <c r="BR92" s="139"/>
      <c r="BS92" s="139"/>
      <c r="BT92" s="139"/>
      <c r="BU92" s="139"/>
      <c r="BV92" s="139"/>
      <c r="BW92" s="139"/>
      <c r="BX92" s="139"/>
      <c r="BY92" s="139"/>
      <c r="BZ92" s="139"/>
      <c r="CA92" s="139"/>
      <c r="CB92" s="139"/>
      <c r="CC92" s="139"/>
      <c r="CD92" s="139"/>
      <c r="CE92" s="139"/>
      <c r="CF92" s="139"/>
      <c r="CG92" s="139"/>
    </row>
    <row r="93" spans="3:188" ht="42" customHeight="1">
      <c r="C93" s="425"/>
      <c r="D93" s="424"/>
      <c r="E93" s="443">
        <v>0.7</v>
      </c>
      <c r="F93" s="464"/>
      <c r="G93" s="302">
        <f t="shared" si="126"/>
        <v>0.9933096325696289</v>
      </c>
      <c r="H93" s="302">
        <f t="shared" si="126"/>
        <v>0.99171654330408554</v>
      </c>
      <c r="I93" s="302">
        <f t="shared" si="126"/>
        <v>0.9900135689720394</v>
      </c>
      <c r="J93" s="302">
        <f t="shared" si="126"/>
        <v>0.98829711573669488</v>
      </c>
      <c r="K93" s="302">
        <f t="shared" si="126"/>
        <v>0.98668003033895912</v>
      </c>
      <c r="L93" s="302">
        <f t="shared" si="126"/>
        <v>0.98527011494330496</v>
      </c>
      <c r="M93" s="302">
        <f t="shared" si="126"/>
        <v>0.98414681383979574</v>
      </c>
      <c r="N93" s="302">
        <f t="shared" si="126"/>
        <v>0.98334458453778595</v>
      </c>
      <c r="O93" s="302">
        <f t="shared" si="126"/>
        <v>0.9828486690162358</v>
      </c>
      <c r="P93" s="302">
        <f t="shared" si="126"/>
        <v>0.98260295712157664</v>
      </c>
      <c r="Q93" s="302">
        <f t="shared" si="126"/>
        <v>0.98252449753366855</v>
      </c>
      <c r="R93" s="302">
        <f t="shared" si="126"/>
        <v>0.98251848128170605</v>
      </c>
      <c r="S93" s="302">
        <f t="shared" si="126"/>
        <v>0.98255215673370133</v>
      </c>
      <c r="T93" s="302">
        <f t="shared" si="126"/>
        <v>0.98271055378053573</v>
      </c>
      <c r="U93" s="302">
        <f t="shared" si="126"/>
        <v>0.98308386082530508</v>
      </c>
      <c r="V93" s="302">
        <f t="shared" si="126"/>
        <v>0.9837423165964001</v>
      </c>
      <c r="W93" s="302">
        <f t="shared" si="127"/>
        <v>0.98472100182067679</v>
      </c>
      <c r="X93" s="302">
        <f t="shared" si="127"/>
        <v>0.98600809952481061</v>
      </c>
      <c r="Y93" s="302">
        <f t="shared" si="127"/>
        <v>0.98754321551253099</v>
      </c>
      <c r="Z93" s="302">
        <f t="shared" si="127"/>
        <v>0.9892287521531965</v>
      </c>
      <c r="AA93" s="302">
        <f t="shared" si="127"/>
        <v>0.99095118578244046</v>
      </c>
      <c r="AB93" s="302">
        <f t="shared" si="127"/>
        <v>0.99260440956965024</v>
      </c>
      <c r="AC93" s="302">
        <f t="shared" si="127"/>
        <v>0.99410720539500952</v>
      </c>
      <c r="AD93" s="302">
        <f t="shared" si="127"/>
        <v>0.99541084805626612</v>
      </c>
      <c r="AE93" s="302">
        <f t="shared" si="127"/>
        <v>0.99649759150836037</v>
      </c>
      <c r="AF93" s="302">
        <f t="shared" si="127"/>
        <v>0.99737358798460929</v>
      </c>
      <c r="AG93" s="302">
        <f t="shared" si="127"/>
        <v>0.99806008789484846</v>
      </c>
      <c r="AH93" s="302">
        <f t="shared" si="127"/>
        <v>0.99858557214709975</v>
      </c>
      <c r="AI93" s="302">
        <f t="shared" si="127"/>
        <v>0.99897999527964798</v>
      </c>
      <c r="AJ93" s="302">
        <f t="shared" si="127"/>
        <v>0.99927124651397925</v>
      </c>
      <c r="AK93" s="302">
        <f t="shared" si="127"/>
        <v>0.99948339964622301</v>
      </c>
      <c r="AL93" s="302">
        <f t="shared" si="127"/>
        <v>0.99963618171352653</v>
      </c>
      <c r="AM93" s="302">
        <f t="shared" si="128"/>
        <v>0.99974515678801823</v>
      </c>
      <c r="AN93" s="302">
        <f t="shared" si="128"/>
        <v>0.99982225778679124</v>
      </c>
      <c r="AO93" s="302">
        <f t="shared" si="128"/>
        <v>0.99987643268773274</v>
      </c>
      <c r="AP93" s="302">
        <f t="shared" si="128"/>
        <v>0.99991427443888803</v>
      </c>
      <c r="AQ93" s="302">
        <f t="shared" si="128"/>
        <v>0.99994057283548887</v>
      </c>
      <c r="AR93" s="302">
        <f t="shared" si="128"/>
        <v>0.99995876807007478</v>
      </c>
      <c r="AS93" s="302">
        <f t="shared" si="128"/>
        <v>0.99997130786770905</v>
      </c>
      <c r="AT93" s="302">
        <f t="shared" si="128"/>
        <v>0.99997992024643645</v>
      </c>
      <c r="AU93" s="302">
        <f t="shared" si="128"/>
        <v>0.99998581715118773</v>
      </c>
      <c r="AV93" s="302">
        <f t="shared" si="128"/>
        <v>0.99998984384662382</v>
      </c>
      <c r="AW93" s="302">
        <f t="shared" si="128"/>
        <v>0.99999258702275917</v>
      </c>
      <c r="AX93" s="302">
        <f t="shared" si="128"/>
        <v>0.99999445217043093</v>
      </c>
      <c r="AY93" s="302">
        <f t="shared" si="128"/>
        <v>0.99999571847209268</v>
      </c>
      <c r="AZ93" s="302">
        <f t="shared" si="128"/>
        <v>0.99999657745934267</v>
      </c>
      <c r="BA93" s="302">
        <f t="shared" si="128"/>
        <v>0.99999716007434825</v>
      </c>
      <c r="BB93" s="302">
        <f t="shared" si="128"/>
        <v>0.99999755551827141</v>
      </c>
      <c r="BC93" s="302">
        <f t="shared" si="129"/>
        <v>0.99999782432310291</v>
      </c>
      <c r="BD93" s="302">
        <f t="shared" si="129"/>
        <v>0.99999800738362521</v>
      </c>
      <c r="BE93" s="302">
        <f t="shared" si="129"/>
        <v>0.99999813217719835</v>
      </c>
      <c r="BF93" s="302">
        <f t="shared" si="129"/>
        <v>0.99999821704051239</v>
      </c>
      <c r="BG93" s="302">
        <f t="shared" si="129"/>
        <v>0.99999827477344516</v>
      </c>
      <c r="BH93" s="302">
        <f t="shared" si="129"/>
        <v>0.9999983151991273</v>
      </c>
      <c r="BI93" s="302">
        <f t="shared" si="129"/>
        <v>0.99999834539120946</v>
      </c>
      <c r="BJ93" s="302">
        <f t="shared" si="129"/>
        <v>0.99999837045075679</v>
      </c>
      <c r="BK93" s="302">
        <f t="shared" si="129"/>
        <v>0.99999839411391211</v>
      </c>
      <c r="BL93" s="302">
        <f t="shared" si="129"/>
        <v>0.99999841915134169</v>
      </c>
      <c r="BM93" s="302">
        <f t="shared" si="129"/>
        <v>0.99999844762510914</v>
      </c>
      <c r="BN93" s="302">
        <f t="shared" si="129"/>
        <v>0.99999848104881583</v>
      </c>
      <c r="BO93" s="303">
        <f t="shared" si="129"/>
        <v>0.9999985204835008</v>
      </c>
      <c r="BP93" s="223"/>
      <c r="BQ93" s="139"/>
      <c r="BR93" s="139"/>
      <c r="BS93" s="139"/>
      <c r="BT93" s="139"/>
      <c r="BU93" s="139"/>
      <c r="BV93" s="139"/>
      <c r="BW93" s="139"/>
      <c r="BX93" s="139"/>
      <c r="BY93" s="139"/>
      <c r="BZ93" s="139"/>
      <c r="CA93" s="139"/>
      <c r="CB93" s="139"/>
      <c r="CC93" s="139"/>
      <c r="CD93" s="139"/>
      <c r="CE93" s="139"/>
      <c r="CF93" s="139"/>
      <c r="CG93" s="139"/>
    </row>
    <row r="94" spans="3:188" ht="42" customHeight="1">
      <c r="C94" s="425"/>
      <c r="D94" s="424"/>
      <c r="E94" s="445">
        <v>0.65</v>
      </c>
      <c r="F94" s="464"/>
      <c r="G94" s="302">
        <f t="shared" si="126"/>
        <v>0.99128529406926735</v>
      </c>
      <c r="H94" s="302">
        <f t="shared" si="126"/>
        <v>0.98896414965692903</v>
      </c>
      <c r="I94" s="302">
        <f t="shared" si="126"/>
        <v>0.98639495740933547</v>
      </c>
      <c r="J94" s="302">
        <f t="shared" si="126"/>
        <v>0.98371531759301911</v>
      </c>
      <c r="K94" s="302">
        <f t="shared" si="126"/>
        <v>0.98110869684411439</v>
      </c>
      <c r="L94" s="302">
        <f t="shared" si="126"/>
        <v>0.97877096415064613</v>
      </c>
      <c r="M94" s="302">
        <f t="shared" si="126"/>
        <v>0.97686483528317258</v>
      </c>
      <c r="N94" s="302">
        <f t="shared" si="126"/>
        <v>0.97547967871083607</v>
      </c>
      <c r="O94" s="302">
        <f t="shared" si="126"/>
        <v>0.97461340631212445</v>
      </c>
      <c r="P94" s="302">
        <f t="shared" si="126"/>
        <v>0.9741813472783184</v>
      </c>
      <c r="Q94" s="302">
        <f t="shared" si="126"/>
        <v>0.9740429866858159</v>
      </c>
      <c r="R94" s="302">
        <f t="shared" si="126"/>
        <v>0.97403237069065807</v>
      </c>
      <c r="S94" s="302">
        <f t="shared" si="126"/>
        <v>0.97409178851557021</v>
      </c>
      <c r="T94" s="302">
        <f t="shared" si="126"/>
        <v>0.97437078483613015</v>
      </c>
      <c r="U94" s="302">
        <f t="shared" si="126"/>
        <v>0.97502520999062781</v>
      </c>
      <c r="V94" s="302">
        <f t="shared" si="126"/>
        <v>0.97616892535814215</v>
      </c>
      <c r="W94" s="302">
        <f t="shared" si="127"/>
        <v>0.97784404447206841</v>
      </c>
      <c r="X94" s="302">
        <f t="shared" si="127"/>
        <v>0.98000218826409302</v>
      </c>
      <c r="Y94" s="302">
        <f t="shared" si="127"/>
        <v>0.98251001245511627</v>
      </c>
      <c r="Z94" s="302">
        <f t="shared" si="127"/>
        <v>0.98518092383412326</v>
      </c>
      <c r="AA94" s="302">
        <f t="shared" si="127"/>
        <v>0.98782061968206569</v>
      </c>
      <c r="AB94" s="302">
        <f t="shared" si="127"/>
        <v>0.99026776219583756</v>
      </c>
      <c r="AC94" s="302">
        <f t="shared" si="127"/>
        <v>0.99241662116239315</v>
      </c>
      <c r="AD94" s="302">
        <f t="shared" si="127"/>
        <v>0.99421968908995118</v>
      </c>
      <c r="AE94" s="302">
        <f t="shared" si="127"/>
        <v>0.99567659603816772</v>
      </c>
      <c r="AF94" s="302">
        <f t="shared" si="127"/>
        <v>0.99681778092771123</v>
      </c>
      <c r="AG94" s="302">
        <f t="shared" si="127"/>
        <v>0.99768917553057446</v>
      </c>
      <c r="AH94" s="302">
        <f t="shared" si="127"/>
        <v>0.99834083097002813</v>
      </c>
      <c r="AI94" s="302">
        <f t="shared" si="127"/>
        <v>0.99881990982265745</v>
      </c>
      <c r="AJ94" s="302">
        <f t="shared" si="127"/>
        <v>0.99916721519778595</v>
      </c>
      <c r="AK94" s="302">
        <f t="shared" si="127"/>
        <v>0.99941610266983538</v>
      </c>
      <c r="AL94" s="302">
        <f t="shared" si="127"/>
        <v>0.99959276432101374</v>
      </c>
      <c r="AM94" s="302">
        <f t="shared" si="128"/>
        <v>0.99971716397466426</v>
      </c>
      <c r="AN94" s="302">
        <f t="shared" si="128"/>
        <v>0.99980417728685156</v>
      </c>
      <c r="AO94" s="302">
        <f t="shared" si="128"/>
        <v>0.99986469499699859</v>
      </c>
      <c r="AP94" s="302">
        <f t="shared" si="128"/>
        <v>0.99990658014816491</v>
      </c>
      <c r="AQ94" s="302">
        <f t="shared" si="128"/>
        <v>0.9999354467981092</v>
      </c>
      <c r="AR94" s="302">
        <f t="shared" si="128"/>
        <v>0.99995526714605532</v>
      </c>
      <c r="AS94" s="302">
        <f t="shared" si="128"/>
        <v>0.99996883089879784</v>
      </c>
      <c r="AT94" s="302">
        <f t="shared" si="128"/>
        <v>0.99997808523937859</v>
      </c>
      <c r="AU94" s="302">
        <f t="shared" si="128"/>
        <v>0.99998438223917441</v>
      </c>
      <c r="AV94" s="302">
        <f t="shared" si="128"/>
        <v>0.99998865657425484</v>
      </c>
      <c r="AW94" s="302">
        <f t="shared" si="128"/>
        <v>0.99999155186626565</v>
      </c>
      <c r="AX94" s="302">
        <f t="shared" si="128"/>
        <v>0.99999350975855339</v>
      </c>
      <c r="AY94" s="302">
        <f t="shared" si="128"/>
        <v>0.99999483229880259</v>
      </c>
      <c r="AZ94" s="302">
        <f t="shared" si="128"/>
        <v>0.99999572538842951</v>
      </c>
      <c r="BA94" s="302">
        <f t="shared" si="128"/>
        <v>0.99999632890838464</v>
      </c>
      <c r="BB94" s="302">
        <f t="shared" si="128"/>
        <v>0.99999673752815021</v>
      </c>
      <c r="BC94" s="302">
        <f t="shared" si="129"/>
        <v>0.99999701503296956</v>
      </c>
      <c r="BD94" s="302">
        <f t="shared" si="129"/>
        <v>0.99999720416015858</v>
      </c>
      <c r="BE94" s="302">
        <f t="shared" si="129"/>
        <v>0.99999733333408547</v>
      </c>
      <c r="BF94" s="302">
        <f t="shared" si="129"/>
        <v>0.99999742127609015</v>
      </c>
      <c r="BG94" s="302">
        <f t="shared" si="129"/>
        <v>0.99999748121312193</v>
      </c>
      <c r="BH94" s="302">
        <f t="shared" si="129"/>
        <v>0.99999752389779661</v>
      </c>
      <c r="BI94" s="302">
        <f t="shared" si="129"/>
        <v>0.99999755726098105</v>
      </c>
      <c r="BJ94" s="302">
        <f t="shared" si="129"/>
        <v>0.99999758715405407</v>
      </c>
      <c r="BK94" s="302">
        <f t="shared" si="129"/>
        <v>0.99999761797577325</v>
      </c>
      <c r="BL94" s="302">
        <f t="shared" si="129"/>
        <v>0.99999765307453392</v>
      </c>
      <c r="BM94" s="302">
        <f t="shared" si="129"/>
        <v>0.99999769499699587</v>
      </c>
      <c r="BN94" s="302">
        <f t="shared" si="129"/>
        <v>0.99999774563321508</v>
      </c>
      <c r="BO94" s="303">
        <f t="shared" si="129"/>
        <v>0.99999780629447177</v>
      </c>
      <c r="BP94" s="223"/>
      <c r="BQ94" s="139"/>
      <c r="BR94" s="139"/>
      <c r="BS94" s="139"/>
      <c r="BT94" s="139"/>
      <c r="BU94" s="139"/>
      <c r="BV94" s="139"/>
      <c r="BW94" s="139"/>
      <c r="BX94" s="139"/>
      <c r="BY94" s="139"/>
      <c r="BZ94" s="139"/>
      <c r="CA94" s="139"/>
      <c r="CB94" s="139"/>
      <c r="CC94" s="139"/>
      <c r="CD94" s="139"/>
      <c r="CE94" s="139"/>
      <c r="CF94" s="139"/>
      <c r="CG94" s="139"/>
    </row>
    <row r="95" spans="3:188" ht="42" customHeight="1">
      <c r="C95" s="425"/>
      <c r="D95" s="424"/>
      <c r="E95" s="443">
        <v>0.6</v>
      </c>
      <c r="F95" s="464"/>
      <c r="G95" s="302">
        <f t="shared" si="126"/>
        <v>0.98891032242883448</v>
      </c>
      <c r="H95" s="302">
        <f t="shared" si="126"/>
        <v>0.98561598932841876</v>
      </c>
      <c r="I95" s="302">
        <f t="shared" si="126"/>
        <v>0.98182697847277045</v>
      </c>
      <c r="J95" s="302">
        <f t="shared" si="126"/>
        <v>0.97771760604353697</v>
      </c>
      <c r="K95" s="302">
        <f t="shared" si="126"/>
        <v>0.97356573910267707</v>
      </c>
      <c r="L95" s="302">
        <f t="shared" si="126"/>
        <v>0.96971103980639761</v>
      </c>
      <c r="M95" s="302">
        <f t="shared" si="126"/>
        <v>0.96647464496085911</v>
      </c>
      <c r="N95" s="302">
        <f t="shared" si="126"/>
        <v>0.96406922488651303</v>
      </c>
      <c r="O95" s="302">
        <f t="shared" si="126"/>
        <v>0.96254161057093324</v>
      </c>
      <c r="P95" s="302">
        <f t="shared" si="126"/>
        <v>0.96177293857563484</v>
      </c>
      <c r="Q95" s="302">
        <f t="shared" si="126"/>
        <v>0.96152582632004491</v>
      </c>
      <c r="R95" s="302">
        <f t="shared" si="126"/>
        <v>0.96150684880917725</v>
      </c>
      <c r="S95" s="302">
        <f t="shared" si="126"/>
        <v>0.96161304478119269</v>
      </c>
      <c r="T95" s="302">
        <f t="shared" si="126"/>
        <v>0.96211053179131489</v>
      </c>
      <c r="U95" s="302">
        <f t="shared" si="126"/>
        <v>0.96327006319059738</v>
      </c>
      <c r="V95" s="302">
        <f t="shared" si="126"/>
        <v>0.96527185810023242</v>
      </c>
      <c r="W95" s="302">
        <f t="shared" si="127"/>
        <v>0.96814783706262786</v>
      </c>
      <c r="X95" s="302">
        <f t="shared" si="127"/>
        <v>0.97175682225916116</v>
      </c>
      <c r="Y95" s="302">
        <f t="shared" si="127"/>
        <v>0.97581682264302139</v>
      </c>
      <c r="Z95" s="302">
        <f t="shared" si="127"/>
        <v>0.97998510485929446</v>
      </c>
      <c r="AA95" s="302">
        <f t="shared" si="127"/>
        <v>0.98394787875627421</v>
      </c>
      <c r="AB95" s="302">
        <f t="shared" si="127"/>
        <v>0.98748145208119553</v>
      </c>
      <c r="AC95" s="302">
        <f t="shared" si="127"/>
        <v>0.99047048131471582</v>
      </c>
      <c r="AD95" s="302">
        <f t="shared" si="127"/>
        <v>0.99289274865150401</v>
      </c>
      <c r="AE95" s="302">
        <f t="shared" si="127"/>
        <v>0.99478900036389728</v>
      </c>
      <c r="AF95" s="302">
        <f t="shared" si="127"/>
        <v>0.99623284429430448</v>
      </c>
      <c r="AG95" s="302">
        <f t="shared" si="127"/>
        <v>0.99730805305863524</v>
      </c>
      <c r="AH95" s="302">
        <f t="shared" si="127"/>
        <v>0.99809460206050282</v>
      </c>
      <c r="AI95" s="302">
        <f t="shared" si="127"/>
        <v>0.99866179608364714</v>
      </c>
      <c r="AJ95" s="302">
        <f t="shared" si="127"/>
        <v>0.99906609366176002</v>
      </c>
      <c r="AK95" s="302">
        <f t="shared" si="127"/>
        <v>0.99935156962661742</v>
      </c>
      <c r="AL95" s="302">
        <f t="shared" si="127"/>
        <v>0.99955158824857959</v>
      </c>
      <c r="AM95" s="302">
        <f t="shared" si="128"/>
        <v>0.99969083274917558</v>
      </c>
      <c r="AN95" s="302">
        <f t="shared" si="128"/>
        <v>0.99978724680176356</v>
      </c>
      <c r="AO95" s="302">
        <f t="shared" si="128"/>
        <v>0.99985369822487347</v>
      </c>
      <c r="AP95" s="302">
        <f t="shared" si="128"/>
        <v>0.99989931617140659</v>
      </c>
      <c r="AQ95" s="302">
        <f t="shared" si="128"/>
        <v>0.99993052196448329</v>
      </c>
      <c r="AR95" s="302">
        <f t="shared" si="128"/>
        <v>0.99995180098670189</v>
      </c>
      <c r="AS95" s="302">
        <f t="shared" si="128"/>
        <v>0.99996626854903647</v>
      </c>
      <c r="AT95" s="302">
        <f t="shared" si="128"/>
        <v>0.99997607816757406</v>
      </c>
      <c r="AU95" s="302">
        <f t="shared" si="128"/>
        <v>0.99998271254588911</v>
      </c>
      <c r="AV95" s="302">
        <f t="shared" si="128"/>
        <v>0.99998718897923322</v>
      </c>
      <c r="AW95" s="302">
        <f t="shared" si="128"/>
        <v>0.999990203250259</v>
      </c>
      <c r="AX95" s="302">
        <f t="shared" si="128"/>
        <v>0.99999222982402203</v>
      </c>
      <c r="AY95" s="302">
        <f t="shared" si="128"/>
        <v>0.99999359127393184</v>
      </c>
      <c r="AZ95" s="302">
        <f t="shared" si="128"/>
        <v>0.99999450619804187</v>
      </c>
      <c r="BA95" s="302">
        <f t="shared" si="128"/>
        <v>0.99999512218373843</v>
      </c>
      <c r="BB95" s="302">
        <f t="shared" si="128"/>
        <v>0.99999553842597366</v>
      </c>
      <c r="BC95" s="302">
        <f t="shared" si="129"/>
        <v>0.99999582121091968</v>
      </c>
      <c r="BD95" s="302">
        <f t="shared" si="129"/>
        <v>0.9999960144930985</v>
      </c>
      <c r="BE95" s="302">
        <f t="shared" si="129"/>
        <v>0.99999614710495288</v>
      </c>
      <c r="BF95" s="302">
        <f t="shared" si="129"/>
        <v>0.99999623767590706</v>
      </c>
      <c r="BG95" s="302">
        <f t="shared" si="129"/>
        <v>0.99999629966048242</v>
      </c>
      <c r="BH95" s="302">
        <f t="shared" si="129"/>
        <v>0.99999634499828138</v>
      </c>
      <c r="BI95" s="302">
        <f t="shared" si="129"/>
        <v>0.99999638279542524</v>
      </c>
      <c r="BJ95" s="302">
        <f t="shared" si="129"/>
        <v>0.99999641997364253</v>
      </c>
      <c r="BK95" s="302">
        <f t="shared" si="129"/>
        <v>0.99999646190234959</v>
      </c>
      <c r="BL95" s="302">
        <f t="shared" si="129"/>
        <v>0.99999651278825741</v>
      </c>
      <c r="BM95" s="302">
        <f t="shared" si="129"/>
        <v>0.99999657589916668</v>
      </c>
      <c r="BN95" s="302">
        <f t="shared" si="129"/>
        <v>0.99999665367716939</v>
      </c>
      <c r="BO95" s="303">
        <f t="shared" si="129"/>
        <v>0.9999967477824997</v>
      </c>
      <c r="BP95" s="223"/>
      <c r="BQ95" s="139"/>
      <c r="BR95" s="139"/>
      <c r="BS95" s="139"/>
      <c r="BT95" s="139"/>
      <c r="BU95" s="139"/>
      <c r="BV95" s="139"/>
      <c r="BW95" s="139"/>
      <c r="BX95" s="139"/>
      <c r="BY95" s="139"/>
      <c r="BZ95" s="139"/>
      <c r="CA95" s="139"/>
      <c r="CB95" s="139"/>
      <c r="CC95" s="139"/>
      <c r="CD95" s="139"/>
      <c r="CE95" s="139"/>
      <c r="CF95" s="139"/>
      <c r="CG95" s="139"/>
    </row>
    <row r="96" spans="3:188" ht="42" customHeight="1">
      <c r="C96" s="425"/>
      <c r="D96" s="424"/>
      <c r="E96" s="445">
        <v>0.55000000000000004</v>
      </c>
      <c r="F96" s="464"/>
      <c r="G96" s="302">
        <f t="shared" si="126"/>
        <v>0.98625747566194555</v>
      </c>
      <c r="H96" s="302">
        <f t="shared" si="126"/>
        <v>0.98172921975967409</v>
      </c>
      <c r="I96" s="302">
        <f t="shared" si="126"/>
        <v>0.97630250436162902</v>
      </c>
      <c r="J96" s="302">
        <f t="shared" si="126"/>
        <v>0.97015442715808331</v>
      </c>
      <c r="K96" s="302">
        <f t="shared" si="126"/>
        <v>0.96366175712681201</v>
      </c>
      <c r="L96" s="302">
        <f t="shared" si="126"/>
        <v>0.95737405604782599</v>
      </c>
      <c r="M96" s="302">
        <f t="shared" si="126"/>
        <v>0.95189508062581629</v>
      </c>
      <c r="N96" s="302">
        <f t="shared" si="126"/>
        <v>0.94770059024327979</v>
      </c>
      <c r="O96" s="302">
        <f t="shared" si="126"/>
        <v>0.94498106693797845</v>
      </c>
      <c r="P96" s="302">
        <f t="shared" si="126"/>
        <v>0.94359594341053554</v>
      </c>
      <c r="Q96" s="302">
        <f t="shared" si="126"/>
        <v>0.94314825409572223</v>
      </c>
      <c r="R96" s="302">
        <f t="shared" si="126"/>
        <v>0.94311382685130385</v>
      </c>
      <c r="S96" s="302">
        <f t="shared" si="126"/>
        <v>0.9433064073502615</v>
      </c>
      <c r="T96" s="302">
        <f t="shared" si="126"/>
        <v>0.94420567840302827</v>
      </c>
      <c r="U96" s="302">
        <f t="shared" si="126"/>
        <v>0.94628338107764032</v>
      </c>
      <c r="V96" s="302">
        <f t="shared" si="126"/>
        <v>0.94981099018279813</v>
      </c>
      <c r="W96" s="302">
        <f t="shared" si="127"/>
        <v>0.95475090466146706</v>
      </c>
      <c r="X96" s="302">
        <f t="shared" si="127"/>
        <v>0.96074278930975676</v>
      </c>
      <c r="Y96" s="302">
        <f t="shared" si="127"/>
        <v>0.96721747155783089</v>
      </c>
      <c r="Z96" s="302">
        <f t="shared" si="127"/>
        <v>0.97358076722936415</v>
      </c>
      <c r="AA96" s="302">
        <f t="shared" si="127"/>
        <v>0.97936873653086631</v>
      </c>
      <c r="AB96" s="302">
        <f t="shared" si="127"/>
        <v>0.98431537252056789</v>
      </c>
      <c r="AC96" s="302">
        <f t="shared" si="127"/>
        <v>0.98833891155381914</v>
      </c>
      <c r="AD96" s="302">
        <f t="shared" si="127"/>
        <v>0.99148677670798713</v>
      </c>
      <c r="AE96" s="302">
        <f t="shared" si="127"/>
        <v>0.99387578644163244</v>
      </c>
      <c r="AF96" s="302">
        <f t="shared" si="127"/>
        <v>0.9956463345265929</v>
      </c>
      <c r="AG96" s="302">
        <f t="shared" si="127"/>
        <v>0.99693437294130993</v>
      </c>
      <c r="AH96" s="302">
        <f t="shared" si="127"/>
        <v>0.99785780901512733</v>
      </c>
      <c r="AI96" s="302">
        <f t="shared" si="127"/>
        <v>0.99851224112135295</v>
      </c>
      <c r="AJ96" s="302">
        <f t="shared" si="127"/>
        <v>0.99897177231257783</v>
      </c>
      <c r="AK96" s="302">
        <f t="shared" si="127"/>
        <v>0.99929205488547279</v>
      </c>
      <c r="AL96" s="302">
        <f t="shared" ref="AL96:BA111" si="130">($F$74-$D$76)*2*(1/(1+EXP(-4/$F$76*(POWER(POWER((ABS(AL$75-($E$74))),3)+POWER(ABS($E96-($E$75)),3),1/3))))-0.5+$D$76)*($F$74-$D$76)*2*(1/(1+EXP(-4/$F$76*(POWER(POWER((ABS(AL$75-($D$74))),3)+POWER(ABS($E96-($D$75)),3),1/3))))-0.5+$D$76)</f>
        <v>0.99951393174661618</v>
      </c>
      <c r="AM96" s="302">
        <f t="shared" si="130"/>
        <v>0.99966686489018042</v>
      </c>
      <c r="AN96" s="302">
        <f t="shared" si="130"/>
        <v>0.99977182898764649</v>
      </c>
      <c r="AO96" s="302">
        <f t="shared" si="130"/>
        <v>0.99984360486963386</v>
      </c>
      <c r="AP96" s="302">
        <f t="shared" si="130"/>
        <v>0.99989252539258111</v>
      </c>
      <c r="AQ96" s="302">
        <f t="shared" si="130"/>
        <v>0.9999257680111433</v>
      </c>
      <c r="AR96" s="302">
        <f t="shared" si="130"/>
        <v>0.99994829279043107</v>
      </c>
      <c r="AS96" s="302">
        <f t="shared" si="130"/>
        <v>0.99996351306604925</v>
      </c>
      <c r="AT96" s="302">
        <f t="shared" si="130"/>
        <v>0.99997376955514017</v>
      </c>
      <c r="AU96" s="302">
        <f t="shared" si="130"/>
        <v>0.99998066259620944</v>
      </c>
      <c r="AV96" s="302">
        <f t="shared" si="130"/>
        <v>0.9999852833787124</v>
      </c>
      <c r="AW96" s="302">
        <f t="shared" si="130"/>
        <v>0.99998837400527529</v>
      </c>
      <c r="AX96" s="302">
        <f t="shared" si="130"/>
        <v>0.99999043781997377</v>
      </c>
      <c r="AY96" s="302">
        <f t="shared" si="130"/>
        <v>0.99999181520263591</v>
      </c>
      <c r="AZ96" s="302">
        <f t="shared" si="130"/>
        <v>0.99999273550354406</v>
      </c>
      <c r="BA96" s="302">
        <f t="shared" si="130"/>
        <v>0.99999335255722821</v>
      </c>
      <c r="BB96" s="302">
        <f t="shared" si="128"/>
        <v>0.99999376892778169</v>
      </c>
      <c r="BC96" s="302">
        <f t="shared" si="129"/>
        <v>0.99999405243745221</v>
      </c>
      <c r="BD96" s="302">
        <f t="shared" si="129"/>
        <v>0.99999424741780651</v>
      </c>
      <c r="BE96" s="302">
        <f t="shared" si="129"/>
        <v>0.99999438235407245</v>
      </c>
      <c r="BF96" s="302">
        <f t="shared" si="129"/>
        <v>0.99999447509250738</v>
      </c>
      <c r="BG96" s="302">
        <f t="shared" si="129"/>
        <v>0.9999945390427285</v>
      </c>
      <c r="BH96" s="302">
        <f t="shared" si="129"/>
        <v>0.99999458777278261</v>
      </c>
      <c r="BI96" s="302">
        <f t="shared" si="129"/>
        <v>0.99999463209137152</v>
      </c>
      <c r="BJ96" s="302">
        <f t="shared" si="129"/>
        <v>0.9999946805130705</v>
      </c>
      <c r="BK96" s="302">
        <f t="shared" si="129"/>
        <v>0.99999473987451448</v>
      </c>
      <c r="BL96" s="302">
        <f t="shared" si="129"/>
        <v>0.9999948156869003</v>
      </c>
      <c r="BM96" s="302">
        <f t="shared" si="129"/>
        <v>0.99999491230806681</v>
      </c>
      <c r="BN96" s="302">
        <f t="shared" si="129"/>
        <v>0.99999503299625314</v>
      </c>
      <c r="BO96" s="303">
        <f t="shared" si="129"/>
        <v>0.99999517989435138</v>
      </c>
      <c r="BP96" s="223"/>
      <c r="BQ96" s="139"/>
      <c r="BR96" s="139"/>
      <c r="BS96" s="139"/>
      <c r="BT96" s="139"/>
      <c r="BU96" s="139"/>
      <c r="BV96" s="139"/>
      <c r="BW96" s="139"/>
      <c r="BX96" s="139"/>
      <c r="BY96" s="139"/>
      <c r="BZ96" s="139"/>
      <c r="CA96" s="139"/>
      <c r="CB96" s="139"/>
      <c r="CC96" s="139"/>
      <c r="CD96" s="139"/>
      <c r="CE96" s="139"/>
      <c r="CF96" s="139"/>
      <c r="CG96" s="139"/>
    </row>
    <row r="97" spans="3:85" ht="42" customHeight="1">
      <c r="C97" s="425"/>
      <c r="D97" s="424"/>
      <c r="E97" s="443">
        <v>0.5</v>
      </c>
      <c r="F97" s="464"/>
      <c r="G97" s="302">
        <f t="shared" si="126"/>
        <v>0.9834624664375059</v>
      </c>
      <c r="H97" s="302">
        <f t="shared" si="126"/>
        <v>0.97746897259458709</v>
      </c>
      <c r="I97" s="302">
        <f t="shared" si="126"/>
        <v>0.96997575709726525</v>
      </c>
      <c r="J97" s="302">
        <f t="shared" si="126"/>
        <v>0.96107699831610638</v>
      </c>
      <c r="K97" s="302">
        <f t="shared" si="126"/>
        <v>0.95119461713906384</v>
      </c>
      <c r="L97" s="302">
        <f t="shared" si="126"/>
        <v>0.9411270374073385</v>
      </c>
      <c r="M97" s="302">
        <f t="shared" si="126"/>
        <v>0.93193184047775957</v>
      </c>
      <c r="N97" s="302">
        <f t="shared" si="126"/>
        <v>0.92461035457210594</v>
      </c>
      <c r="O97" s="302">
        <f t="shared" si="126"/>
        <v>0.91972599885118922</v>
      </c>
      <c r="P97" s="302">
        <f t="shared" si="126"/>
        <v>0.91719519911327185</v>
      </c>
      <c r="Q97" s="302">
        <f t="shared" si="126"/>
        <v>0.91637087035684395</v>
      </c>
      <c r="R97" s="302">
        <f t="shared" ref="R97:AG112" si="131">($F$74-$D$76)*2*(1/(1+EXP(-4/$F$76*(POWER(POWER((ABS(R$75-($E$74))),3)+POWER(ABS($E97-($E$75)),3),1/3))))-0.5+$D$76)*($F$74-$D$76)*2*(1/(1+EXP(-4/$F$76*(POWER(POWER((ABS(R$75-($D$74))),3)+POWER(ABS($E97-($D$75)),3),1/3))))-0.5+$D$76)</f>
        <v>0.91630735355614479</v>
      </c>
      <c r="S97" s="302">
        <f t="shared" si="131"/>
        <v>0.91666244344226422</v>
      </c>
      <c r="T97" s="302">
        <f t="shared" si="131"/>
        <v>0.91831291947047067</v>
      </c>
      <c r="U97" s="302">
        <f t="shared" si="131"/>
        <v>0.92207884083488112</v>
      </c>
      <c r="V97" s="302">
        <f t="shared" si="131"/>
        <v>0.92832558655948283</v>
      </c>
      <c r="W97" s="302">
        <f t="shared" si="131"/>
        <v>0.93677537316726711</v>
      </c>
      <c r="X97" s="302">
        <f t="shared" si="131"/>
        <v>0.94658346422932993</v>
      </c>
      <c r="Y97" s="302">
        <f t="shared" si="131"/>
        <v>0.95666962777190157</v>
      </c>
      <c r="Z97" s="302">
        <f t="shared" si="131"/>
        <v>0.96609041941249352</v>
      </c>
      <c r="AA97" s="302">
        <f t="shared" si="131"/>
        <v>0.97425105116028832</v>
      </c>
      <c r="AB97" s="302">
        <f t="shared" si="131"/>
        <v>0.98092109693995699</v>
      </c>
      <c r="AC97" s="302">
        <f t="shared" si="131"/>
        <v>0.98613664931042111</v>
      </c>
      <c r="AD97" s="302">
        <f t="shared" si="131"/>
        <v>0.99008025221908413</v>
      </c>
      <c r="AE97" s="302">
        <f t="shared" si="131"/>
        <v>0.99298723160609914</v>
      </c>
      <c r="AF97" s="302">
        <f t="shared" si="131"/>
        <v>0.99508905148210081</v>
      </c>
      <c r="AG97" s="302">
        <f t="shared" si="131"/>
        <v>0.99658641210938392</v>
      </c>
      <c r="AH97" s="302">
        <f t="shared" ref="AH97:AW112" si="132">($F$74-$D$76)*2*(1/(1+EXP(-4/$F$76*(POWER(POWER((ABS(AH$75-($E$74))),3)+POWER(ABS($E97-($E$75)),3),1/3))))-0.5+$D$76)*($F$74-$D$76)*2*(1/(1+EXP(-4/$F$76*(POWER(POWER((ABS(AH$75-($D$74))),3)+POWER(ABS($E97-($D$75)),3),1/3))))-0.5+$D$76)</f>
        <v>0.99764104460400793</v>
      </c>
      <c r="AI97" s="302">
        <f t="shared" si="132"/>
        <v>0.99837726989659259</v>
      </c>
      <c r="AJ97" s="302">
        <f t="shared" si="132"/>
        <v>0.99888761955692895</v>
      </c>
      <c r="AK97" s="302">
        <f t="shared" si="132"/>
        <v>0.99923940448890136</v>
      </c>
      <c r="AL97" s="302">
        <f t="shared" si="132"/>
        <v>0.99948077610328656</v>
      </c>
      <c r="AM97" s="302">
        <f t="shared" si="132"/>
        <v>0.9996457517581151</v>
      </c>
      <c r="AN97" s="302">
        <f t="shared" si="132"/>
        <v>0.99975813613695708</v>
      </c>
      <c r="AO97" s="302">
        <f t="shared" si="132"/>
        <v>0.99983446555600086</v>
      </c>
      <c r="AP97" s="302">
        <f t="shared" si="132"/>
        <v>0.99988616163588762</v>
      </c>
      <c r="AQ97" s="302">
        <f t="shared" si="132"/>
        <v>0.99992107768276994</v>
      </c>
      <c r="AR97" s="302">
        <f t="shared" si="132"/>
        <v>0.99994459400124258</v>
      </c>
      <c r="AS97" s="302">
        <f t="shared" si="132"/>
        <v>0.99996038580429614</v>
      </c>
      <c r="AT97" s="302">
        <f t="shared" si="132"/>
        <v>0.99997095737819952</v>
      </c>
      <c r="AU97" s="302">
        <f t="shared" si="132"/>
        <v>0.99997801140310638</v>
      </c>
      <c r="AV97" s="302">
        <f t="shared" si="132"/>
        <v>0.99998270310091653</v>
      </c>
      <c r="AW97" s="302">
        <f t="shared" si="132"/>
        <v>0.999985814494744</v>
      </c>
      <c r="AX97" s="302">
        <f t="shared" si="130"/>
        <v>0.99998787356687979</v>
      </c>
      <c r="AY97" s="302">
        <f t="shared" si="130"/>
        <v>0.99998923557797603</v>
      </c>
      <c r="AZ97" s="302">
        <f t="shared" si="130"/>
        <v>0.99999013848814378</v>
      </c>
      <c r="BA97" s="302">
        <f t="shared" si="130"/>
        <v>0.99999074069447325</v>
      </c>
      <c r="BB97" s="302">
        <f t="shared" si="128"/>
        <v>0.99999114671181932</v>
      </c>
      <c r="BC97" s="302">
        <f t="shared" si="129"/>
        <v>0.99999142463856405</v>
      </c>
      <c r="BD97" s="302">
        <f t="shared" si="129"/>
        <v>0.99999161802413861</v>
      </c>
      <c r="BE97" s="302">
        <f t="shared" si="129"/>
        <v>0.9999917539181632</v>
      </c>
      <c r="BF97" s="302">
        <f t="shared" si="129"/>
        <v>0.99999184835555455</v>
      </c>
      <c r="BG97" s="302">
        <f t="shared" si="129"/>
        <v>0.99999191431574264</v>
      </c>
      <c r="BH97" s="302">
        <f t="shared" si="129"/>
        <v>0.99999196773465215</v>
      </c>
      <c r="BI97" s="302">
        <f t="shared" si="129"/>
        <v>0.99999202198812509</v>
      </c>
      <c r="BJ97" s="302">
        <f t="shared" si="129"/>
        <v>0.99999208803084061</v>
      </c>
      <c r="BK97" s="302">
        <f t="shared" si="129"/>
        <v>0.99999217496351012</v>
      </c>
      <c r="BL97" s="302">
        <f t="shared" si="129"/>
        <v>0.99999229030851133</v>
      </c>
      <c r="BM97" s="302">
        <f t="shared" si="129"/>
        <v>0.99999244008595312</v>
      </c>
      <c r="BN97" s="302">
        <f t="shared" si="129"/>
        <v>0.99999262876271733</v>
      </c>
      <c r="BO97" s="303">
        <f t="shared" si="129"/>
        <v>0.99999285913562452</v>
      </c>
      <c r="BP97" s="223"/>
      <c r="BQ97" s="139"/>
      <c r="BR97" s="139"/>
      <c r="BS97" s="139"/>
      <c r="BT97" s="139"/>
      <c r="BU97" s="139"/>
      <c r="BV97" s="139"/>
      <c r="BW97" s="139"/>
      <c r="BX97" s="139"/>
      <c r="BY97" s="139"/>
      <c r="BZ97" s="139"/>
      <c r="CA97" s="139"/>
      <c r="CB97" s="139"/>
      <c r="CC97" s="139"/>
      <c r="CD97" s="139"/>
      <c r="CE97" s="139"/>
      <c r="CF97" s="139"/>
      <c r="CG97" s="139"/>
    </row>
    <row r="98" spans="3:85" ht="42" customHeight="1">
      <c r="C98" s="425"/>
      <c r="D98" s="424"/>
      <c r="E98" s="445">
        <v>0.45</v>
      </c>
      <c r="F98" s="464"/>
      <c r="G98" s="302">
        <f t="shared" ref="G98:AL98" si="133">($F$74-$D$76)*2*(1/(1+EXP(-4/$F$76*(POWER(POWER((ABS(G$75-($E$74))),3)+POWER(ABS($E98-($E$75)),3),1/3))))-0.5+$D$76)*($F$74-$D$76)*2*(1/(1+EXP(-4/$F$76*(POWER(POWER((ABS(G$75-($D$74))),3)+POWER(ABS($E98-($D$75)),3),1/3))))-0.5+$D$76)</f>
        <v>0.98071345476348593</v>
      </c>
      <c r="H98" s="302">
        <f t="shared" si="133"/>
        <v>0.97311333500802577</v>
      </c>
      <c r="I98" s="302">
        <f t="shared" si="133"/>
        <v>0.96321022886334973</v>
      </c>
      <c r="J98" s="302">
        <f t="shared" si="133"/>
        <v>0.9508660875972369</v>
      </c>
      <c r="K98" s="302">
        <f t="shared" si="133"/>
        <v>0.93638441444802101</v>
      </c>
      <c r="L98" s="302">
        <f t="shared" si="133"/>
        <v>0.92073459535709934</v>
      </c>
      <c r="M98" s="302">
        <f t="shared" si="133"/>
        <v>0.90557626649790079</v>
      </c>
      <c r="N98" s="302">
        <f t="shared" si="133"/>
        <v>0.89285771732009445</v>
      </c>
      <c r="O98" s="302">
        <f t="shared" si="133"/>
        <v>0.88402449987476384</v>
      </c>
      <c r="P98" s="302">
        <f t="shared" si="133"/>
        <v>0.87933086312165076</v>
      </c>
      <c r="Q98" s="302">
        <f t="shared" si="133"/>
        <v>0.87778420863894713</v>
      </c>
      <c r="R98" s="302">
        <f t="shared" si="133"/>
        <v>0.87766466940574484</v>
      </c>
      <c r="S98" s="302">
        <f t="shared" si="133"/>
        <v>0.87833230437543508</v>
      </c>
      <c r="T98" s="302">
        <f t="shared" si="133"/>
        <v>0.88141392196006785</v>
      </c>
      <c r="U98" s="302">
        <f t="shared" si="133"/>
        <v>0.88831584530831464</v>
      </c>
      <c r="V98" s="302">
        <f t="shared" si="133"/>
        <v>0.89938720863455635</v>
      </c>
      <c r="W98" s="302">
        <f t="shared" si="133"/>
        <v>0.91366890945631907</v>
      </c>
      <c r="X98" s="302">
        <f t="shared" si="133"/>
        <v>0.92933352648441192</v>
      </c>
      <c r="Y98" s="302">
        <f t="shared" si="133"/>
        <v>0.94451088111603221</v>
      </c>
      <c r="Z98" s="302">
        <f t="shared" si="133"/>
        <v>0.95789950181190886</v>
      </c>
      <c r="AA98" s="302">
        <f t="shared" si="133"/>
        <v>0.96891497122251757</v>
      </c>
      <c r="AB98" s="302">
        <f t="shared" si="133"/>
        <v>0.97752596067386754</v>
      </c>
      <c r="AC98" s="302">
        <f t="shared" si="133"/>
        <v>0.98401055336258714</v>
      </c>
      <c r="AD98" s="302">
        <f t="shared" si="133"/>
        <v>0.98876235472308283</v>
      </c>
      <c r="AE98" s="302">
        <f t="shared" si="133"/>
        <v>0.99217524919218381</v>
      </c>
      <c r="AF98" s="302">
        <f t="shared" si="133"/>
        <v>0.99459032401749736</v>
      </c>
      <c r="AG98" s="302">
        <f t="shared" si="133"/>
        <v>0.99628037533486014</v>
      </c>
      <c r="AH98" s="302">
        <f t="shared" si="133"/>
        <v>0.99745310192301873</v>
      </c>
      <c r="AI98" s="302">
        <f t="shared" si="133"/>
        <v>0.99826157233568957</v>
      </c>
      <c r="AJ98" s="302">
        <f t="shared" si="133"/>
        <v>0.99881608498727614</v>
      </c>
      <c r="AK98" s="302">
        <f t="shared" si="133"/>
        <v>0.99919485551258758</v>
      </c>
      <c r="AL98" s="302">
        <f t="shared" si="133"/>
        <v>0.99945270415595233</v>
      </c>
      <c r="AM98" s="302">
        <f t="shared" si="132"/>
        <v>0.99962772114605725</v>
      </c>
      <c r="AN98" s="302">
        <f t="shared" si="132"/>
        <v>0.99974619928927921</v>
      </c>
      <c r="AO98" s="302">
        <f t="shared" si="132"/>
        <v>0.99982619720631527</v>
      </c>
      <c r="AP98" s="302">
        <f t="shared" si="132"/>
        <v>0.99988007028355919</v>
      </c>
      <c r="AQ98" s="302">
        <f t="shared" si="132"/>
        <v>0.9999162465791579</v>
      </c>
      <c r="AR98" s="302">
        <f t="shared" si="132"/>
        <v>0.99994046168270001</v>
      </c>
      <c r="AS98" s="302">
        <f t="shared" si="132"/>
        <v>0.99995661148450854</v>
      </c>
      <c r="AT98" s="302">
        <f t="shared" si="132"/>
        <v>0.99996733798748383</v>
      </c>
      <c r="AU98" s="302">
        <f t="shared" si="132"/>
        <v>0.99997443011002196</v>
      </c>
      <c r="AV98" s="302">
        <f t="shared" si="132"/>
        <v>0.99997909707653876</v>
      </c>
      <c r="AW98" s="302">
        <f t="shared" si="132"/>
        <v>0.99998215449348649</v>
      </c>
      <c r="AX98" s="302">
        <f t="shared" si="130"/>
        <v>0.99998415081995284</v>
      </c>
      <c r="AY98" s="302">
        <f t="shared" si="130"/>
        <v>0.99998545326658117</v>
      </c>
      <c r="AZ98" s="302">
        <f t="shared" si="130"/>
        <v>0.99998630613326733</v>
      </c>
      <c r="BA98" s="302">
        <f t="shared" si="130"/>
        <v>0.99998687044325985</v>
      </c>
      <c r="BB98" s="302">
        <f t="shared" si="128"/>
        <v>0.9999872508850689</v>
      </c>
      <c r="BC98" s="302">
        <f t="shared" si="129"/>
        <v>0.99998751413302556</v>
      </c>
      <c r="BD98" s="302">
        <f t="shared" si="129"/>
        <v>0.99998770129997305</v>
      </c>
      <c r="BE98" s="302">
        <f t="shared" si="129"/>
        <v>0.99998783638438959</v>
      </c>
      <c r="BF98" s="302">
        <f t="shared" si="129"/>
        <v>0.99998793204356362</v>
      </c>
      <c r="BG98" s="302">
        <f t="shared" si="129"/>
        <v>0.99998800026204282</v>
      </c>
      <c r="BH98" s="302">
        <f t="shared" si="129"/>
        <v>0.99998806056413936</v>
      </c>
      <c r="BI98" s="302">
        <f t="shared" si="129"/>
        <v>0.99998813030055433</v>
      </c>
      <c r="BJ98" s="302">
        <f t="shared" si="129"/>
        <v>0.99998822423447475</v>
      </c>
      <c r="BK98" s="302">
        <f t="shared" si="129"/>
        <v>0.99998835500604766</v>
      </c>
      <c r="BL98" s="302">
        <f t="shared" si="129"/>
        <v>0.99998853326503323</v>
      </c>
      <c r="BM98" s="302">
        <f t="shared" si="129"/>
        <v>0.99998876757680188</v>
      </c>
      <c r="BN98" s="302">
        <f t="shared" si="129"/>
        <v>0.99998906419156308</v>
      </c>
      <c r="BO98" s="303">
        <f t="shared" si="129"/>
        <v>0.99998942675916469</v>
      </c>
      <c r="BP98" s="223"/>
      <c r="BQ98" s="139"/>
      <c r="BR98" s="139"/>
      <c r="BS98" s="139"/>
      <c r="BT98" s="139"/>
      <c r="BU98" s="139"/>
      <c r="BV98" s="139"/>
      <c r="BW98" s="139"/>
      <c r="BX98" s="139"/>
      <c r="BY98" s="139"/>
      <c r="BZ98" s="139"/>
      <c r="CA98" s="139"/>
      <c r="CB98" s="139"/>
      <c r="CC98" s="139"/>
      <c r="CD98" s="139"/>
      <c r="CE98" s="139"/>
      <c r="CF98" s="139"/>
      <c r="CG98" s="139"/>
    </row>
    <row r="99" spans="3:85" ht="42" customHeight="1">
      <c r="C99" s="425"/>
      <c r="D99" s="424"/>
      <c r="E99" s="443">
        <v>0.4</v>
      </c>
      <c r="F99" s="464"/>
      <c r="G99" s="302">
        <f t="shared" ref="G99:V113" si="134">($F$74-$D$76)*2*(1/(1+EXP(-4/$F$76*(POWER(POWER((ABS(G$75-($E$74))),3)+POWER(ABS($E99-($E$75)),3),1/3))))-0.5+$D$76)*($F$74-$D$76)*2*(1/(1+EXP(-4/$F$76*(POWER(POWER((ABS(G$75-($D$74))),3)+POWER(ABS($E99-($D$75)),3),1/3))))-0.5+$D$76)</f>
        <v>0.9782184451367133</v>
      </c>
      <c r="H99" s="302">
        <f t="shared" si="134"/>
        <v>0.96901630704241737</v>
      </c>
      <c r="I99" s="302">
        <f t="shared" si="134"/>
        <v>0.95656458392747523</v>
      </c>
      <c r="J99" s="302">
        <f t="shared" si="134"/>
        <v>0.94030484551027815</v>
      </c>
      <c r="K99" s="302">
        <f t="shared" si="134"/>
        <v>0.92012740808751747</v>
      </c>
      <c r="L99" s="302">
        <f t="shared" si="134"/>
        <v>0.89685171922720208</v>
      </c>
      <c r="M99" s="302">
        <f t="shared" si="134"/>
        <v>0.87265024598104879</v>
      </c>
      <c r="N99" s="302">
        <f t="shared" si="134"/>
        <v>0.85088775826608876</v>
      </c>
      <c r="O99" s="302">
        <f t="shared" si="134"/>
        <v>0.83487390780859483</v>
      </c>
      <c r="P99" s="302">
        <f t="shared" si="134"/>
        <v>0.82602995929931344</v>
      </c>
      <c r="Q99" s="302">
        <f t="shared" si="134"/>
        <v>0.82306126186896977</v>
      </c>
      <c r="R99" s="302">
        <f t="shared" si="134"/>
        <v>0.82283066362003854</v>
      </c>
      <c r="S99" s="302">
        <f t="shared" si="134"/>
        <v>0.82411647872710569</v>
      </c>
      <c r="T99" s="302">
        <f t="shared" si="134"/>
        <v>0.82998513269267848</v>
      </c>
      <c r="U99" s="302">
        <f t="shared" si="134"/>
        <v>0.84275255508402314</v>
      </c>
      <c r="V99" s="302">
        <f t="shared" si="134"/>
        <v>0.86223963083078492</v>
      </c>
      <c r="W99" s="302">
        <f t="shared" si="131"/>
        <v>0.88578861758012806</v>
      </c>
      <c r="X99" s="302">
        <f t="shared" si="131"/>
        <v>0.90984064761035144</v>
      </c>
      <c r="Y99" s="302">
        <f t="shared" si="131"/>
        <v>0.93160195902057508</v>
      </c>
      <c r="Z99" s="302">
        <f t="shared" si="131"/>
        <v>0.94967136988596801</v>
      </c>
      <c r="AA99" s="302">
        <f t="shared" si="131"/>
        <v>0.96380101247676186</v>
      </c>
      <c r="AB99" s="302">
        <f t="shared" si="131"/>
        <v>0.97439678312377354</v>
      </c>
      <c r="AC99" s="302">
        <f t="shared" si="131"/>
        <v>0.98211278631355459</v>
      </c>
      <c r="AD99" s="302">
        <f t="shared" si="131"/>
        <v>0.98761636257311658</v>
      </c>
      <c r="AE99" s="302">
        <f t="shared" si="131"/>
        <v>0.99148408764168028</v>
      </c>
      <c r="AF99" s="302">
        <f t="shared" si="131"/>
        <v>0.99417312351155196</v>
      </c>
      <c r="AG99" s="302">
        <f t="shared" si="131"/>
        <v>0.99602794192281585</v>
      </c>
      <c r="AH99" s="302">
        <f t="shared" si="132"/>
        <v>0.99729978538224806</v>
      </c>
      <c r="AI99" s="302">
        <f t="shared" si="132"/>
        <v>0.99816794429233113</v>
      </c>
      <c r="AJ99" s="302">
        <f t="shared" si="132"/>
        <v>0.99875844373603484</v>
      </c>
      <c r="AK99" s="302">
        <f t="shared" si="132"/>
        <v>0.99915892166142051</v>
      </c>
      <c r="AL99" s="302">
        <f t="shared" si="132"/>
        <v>0.99942984876001761</v>
      </c>
      <c r="AM99" s="302">
        <f t="shared" si="132"/>
        <v>0.9996127115369754</v>
      </c>
      <c r="AN99" s="302">
        <f t="shared" si="132"/>
        <v>0.99973585101568752</v>
      </c>
      <c r="AO99" s="302">
        <f t="shared" si="132"/>
        <v>0.99981856640643851</v>
      </c>
      <c r="AP99" s="302">
        <f t="shared" si="132"/>
        <v>0.99987396858323685</v>
      </c>
      <c r="AQ99" s="302">
        <f t="shared" si="132"/>
        <v>0.99991094874441477</v>
      </c>
      <c r="AR99" s="302">
        <f t="shared" si="132"/>
        <v>0.9999355286647067</v>
      </c>
      <c r="AS99" s="302">
        <f t="shared" si="132"/>
        <v>0.99995178265726081</v>
      </c>
      <c r="AT99" s="302">
        <f t="shared" si="132"/>
        <v>0.9999624649421287</v>
      </c>
      <c r="AU99" s="302">
        <f t="shared" si="132"/>
        <v>0.9999694354602664</v>
      </c>
      <c r="AV99" s="302">
        <f t="shared" si="132"/>
        <v>0.99997394837522213</v>
      </c>
      <c r="AW99" s="302">
        <f t="shared" si="132"/>
        <v>0.99997684735002312</v>
      </c>
      <c r="AX99" s="302">
        <f t="shared" si="130"/>
        <v>0.99997869770197634</v>
      </c>
      <c r="AY99" s="302">
        <f t="shared" si="130"/>
        <v>0.99997987589851234</v>
      </c>
      <c r="AZ99" s="302">
        <f t="shared" si="130"/>
        <v>0.99998063024985206</v>
      </c>
      <c r="BA99" s="302">
        <f t="shared" si="130"/>
        <v>0.9999811221485968</v>
      </c>
      <c r="BB99" s="302">
        <f t="shared" si="128"/>
        <v>0.99998145414922379</v>
      </c>
      <c r="BC99" s="302">
        <f t="shared" si="129"/>
        <v>0.99998168911644914</v>
      </c>
      <c r="BD99" s="302">
        <f t="shared" si="129"/>
        <v>0.99998186328414118</v>
      </c>
      <c r="BE99" s="302">
        <f t="shared" si="129"/>
        <v>0.99998199513725261</v>
      </c>
      <c r="BF99" s="302">
        <f t="shared" si="129"/>
        <v>0.99998209152119155</v>
      </c>
      <c r="BG99" s="302">
        <f t="shared" si="129"/>
        <v>0.99998216257127859</v>
      </c>
      <c r="BH99" s="302">
        <f t="shared" si="129"/>
        <v>0.99998223339767556</v>
      </c>
      <c r="BI99" s="302">
        <f t="shared" si="129"/>
        <v>0.99998232760976735</v>
      </c>
      <c r="BJ99" s="302">
        <f t="shared" si="129"/>
        <v>0.99998246598529805</v>
      </c>
      <c r="BK99" s="302">
        <f t="shared" si="129"/>
        <v>0.99998266674241509</v>
      </c>
      <c r="BL99" s="302">
        <f t="shared" si="129"/>
        <v>0.99998294541751187</v>
      </c>
      <c r="BM99" s="302">
        <f t="shared" si="129"/>
        <v>0.99998331447609801</v>
      </c>
      <c r="BN99" s="302">
        <f t="shared" si="129"/>
        <v>0.99998378277694677</v>
      </c>
      <c r="BO99" s="303">
        <f t="shared" si="129"/>
        <v>0.99998435500947358</v>
      </c>
      <c r="BP99" s="223"/>
      <c r="BQ99" s="139"/>
      <c r="BR99" s="139"/>
      <c r="BS99" s="139"/>
      <c r="BT99" s="139"/>
      <c r="BU99" s="139"/>
      <c r="BV99" s="139"/>
      <c r="BW99" s="139"/>
      <c r="BX99" s="139"/>
      <c r="BY99" s="139"/>
      <c r="BZ99" s="139"/>
      <c r="CA99" s="139"/>
      <c r="CB99" s="139"/>
      <c r="CC99" s="139"/>
      <c r="CD99" s="139"/>
      <c r="CE99" s="139"/>
      <c r="CF99" s="139"/>
      <c r="CG99" s="139"/>
    </row>
    <row r="100" spans="3:85" ht="42" customHeight="1">
      <c r="C100" s="425"/>
      <c r="D100" s="424"/>
      <c r="E100" s="445">
        <v>0.35</v>
      </c>
      <c r="F100" s="464"/>
      <c r="G100" s="302">
        <f t="shared" si="134"/>
        <v>0.9761574683313371</v>
      </c>
      <c r="H100" s="302">
        <f t="shared" si="134"/>
        <v>0.96552685178387565</v>
      </c>
      <c r="I100" s="302">
        <f t="shared" si="134"/>
        <v>0.95068121027280839</v>
      </c>
      <c r="J100" s="302">
        <f t="shared" si="134"/>
        <v>0.93048861341575695</v>
      </c>
      <c r="K100" s="302">
        <f t="shared" si="134"/>
        <v>0.90407949659248088</v>
      </c>
      <c r="L100" s="302">
        <f t="shared" si="134"/>
        <v>0.8715242807459731</v>
      </c>
      <c r="M100" s="302">
        <f t="shared" si="134"/>
        <v>0.83484951762470949</v>
      </c>
      <c r="N100" s="302">
        <f t="shared" si="134"/>
        <v>0.79882170980729716</v>
      </c>
      <c r="O100" s="302">
        <f t="shared" si="134"/>
        <v>0.77000061530082353</v>
      </c>
      <c r="P100" s="302">
        <f t="shared" si="134"/>
        <v>0.75306581618947066</v>
      </c>
      <c r="Q100" s="302">
        <f t="shared" si="134"/>
        <v>0.74719699806417617</v>
      </c>
      <c r="R100" s="302">
        <f t="shared" si="134"/>
        <v>0.74673702827830435</v>
      </c>
      <c r="S100" s="302">
        <f t="shared" si="134"/>
        <v>0.74929424727337413</v>
      </c>
      <c r="T100" s="302">
        <f t="shared" si="134"/>
        <v>0.7607376252950272</v>
      </c>
      <c r="U100" s="302">
        <f t="shared" si="134"/>
        <v>0.78445554954560648</v>
      </c>
      <c r="V100" s="302">
        <f t="shared" si="134"/>
        <v>0.81801940141520935</v>
      </c>
      <c r="W100" s="302">
        <f t="shared" si="131"/>
        <v>0.85515285550604725</v>
      </c>
      <c r="X100" s="302">
        <f t="shared" si="131"/>
        <v>0.88998762136025544</v>
      </c>
      <c r="Y100" s="302">
        <f t="shared" si="131"/>
        <v>0.91928920098472844</v>
      </c>
      <c r="Z100" s="302">
        <f t="shared" si="131"/>
        <v>0.94223415970032265</v>
      </c>
      <c r="AA100" s="302">
        <f t="shared" si="131"/>
        <v>0.95937311749112464</v>
      </c>
      <c r="AB100" s="302">
        <f t="shared" si="131"/>
        <v>0.97177803423666886</v>
      </c>
      <c r="AC100" s="302">
        <f t="shared" si="131"/>
        <v>0.98056673885892476</v>
      </c>
      <c r="AD100" s="302">
        <f t="shared" si="131"/>
        <v>0.98670246932308492</v>
      </c>
      <c r="AE100" s="302">
        <f t="shared" si="131"/>
        <v>0.9909421810571265</v>
      </c>
      <c r="AF100" s="302">
        <f t="shared" si="131"/>
        <v>0.99385038389950098</v>
      </c>
      <c r="AG100" s="302">
        <f t="shared" si="131"/>
        <v>0.99583468081952065</v>
      </c>
      <c r="AH100" s="302">
        <f t="shared" si="132"/>
        <v>0.99718326582033412</v>
      </c>
      <c r="AI100" s="302">
        <f t="shared" si="132"/>
        <v>0.99809704630351892</v>
      </c>
      <c r="AJ100" s="302">
        <f t="shared" si="132"/>
        <v>0.99871471896825703</v>
      </c>
      <c r="AK100" s="302">
        <f t="shared" si="132"/>
        <v>0.99913137597049484</v>
      </c>
      <c r="AL100" s="302">
        <f t="shared" si="132"/>
        <v>0.99941189278084241</v>
      </c>
      <c r="AM100" s="302">
        <f t="shared" si="132"/>
        <v>0.9996003724635375</v>
      </c>
      <c r="AN100" s="302">
        <f t="shared" si="132"/>
        <v>0.99972671988584771</v>
      </c>
      <c r="AO100" s="302">
        <f t="shared" si="132"/>
        <v>0.99981117582561996</v>
      </c>
      <c r="AP100" s="302">
        <f t="shared" si="132"/>
        <v>0.9998674233083894</v>
      </c>
      <c r="AQ100" s="302">
        <f t="shared" si="132"/>
        <v>0.99990470531196196</v>
      </c>
      <c r="AR100" s="302">
        <f t="shared" si="132"/>
        <v>0.99992926307942021</v>
      </c>
      <c r="AS100" s="302">
        <f t="shared" si="132"/>
        <v>0.99994531016482158</v>
      </c>
      <c r="AT100" s="302">
        <f t="shared" si="132"/>
        <v>0.99995569060268308</v>
      </c>
      <c r="AU100" s="302">
        <f t="shared" si="132"/>
        <v>0.99996232293693332</v>
      </c>
      <c r="AV100" s="302">
        <f t="shared" si="132"/>
        <v>0.99996649953032946</v>
      </c>
      <c r="AW100" s="302">
        <f t="shared" si="132"/>
        <v>0.99996908833472131</v>
      </c>
      <c r="AX100" s="302">
        <f t="shared" si="130"/>
        <v>0.99997066906482623</v>
      </c>
      <c r="AY100" s="302">
        <f t="shared" si="130"/>
        <v>0.99997162531735939</v>
      </c>
      <c r="AZ100" s="302">
        <f t="shared" si="130"/>
        <v>0.999972207105157</v>
      </c>
      <c r="BA100" s="302">
        <f t="shared" si="130"/>
        <v>0.99997257348864699</v>
      </c>
      <c r="BB100" s="302">
        <f t="shared" si="128"/>
        <v>0.99997282176416624</v>
      </c>
      <c r="BC100" s="302">
        <f t="shared" si="129"/>
        <v>0.99997300751251961</v>
      </c>
      <c r="BD100" s="302">
        <f t="shared" si="129"/>
        <v>0.99997315837773437</v>
      </c>
      <c r="BE100" s="302">
        <f t="shared" si="129"/>
        <v>0.99997328349770365</v>
      </c>
      <c r="BF100" s="302">
        <f t="shared" si="129"/>
        <v>0.99997338006357905</v>
      </c>
      <c r="BG100" s="302">
        <f t="shared" si="129"/>
        <v>0.99997345503595925</v>
      </c>
      <c r="BH100" s="302">
        <f t="shared" si="129"/>
        <v>0.99997354236592451</v>
      </c>
      <c r="BI100" s="302">
        <f t="shared" si="129"/>
        <v>0.99997367562211736</v>
      </c>
      <c r="BJ100" s="302">
        <f t="shared" si="129"/>
        <v>0.99997388515231544</v>
      </c>
      <c r="BK100" s="302">
        <f t="shared" ref="BK100:BO100" si="135">($F$74-$D$76)*2*(1/(1+EXP(-4/$F$76*(POWER(POWER((ABS(BK$75-($E$74))),3)+POWER(ABS($E100-($E$75)),3),1/3))))-0.5+$D$76)*($F$74-$D$76)*2*(1/(1+EXP(-4/$F$76*(POWER(POWER((ABS(BK$75-($D$74))),3)+POWER(ABS($E100-($D$75)),3),1/3))))-0.5+$D$76)</f>
        <v>0.99997419801006227</v>
      </c>
      <c r="BL100" s="302">
        <f t="shared" si="135"/>
        <v>0.99997463738616066</v>
      </c>
      <c r="BM100" s="302">
        <f t="shared" si="135"/>
        <v>0.99997522171151088</v>
      </c>
      <c r="BN100" s="302">
        <f t="shared" si="135"/>
        <v>0.99997596360653696</v>
      </c>
      <c r="BO100" s="303">
        <f t="shared" si="135"/>
        <v>0.99997686886510839</v>
      </c>
      <c r="BP100" s="223"/>
      <c r="BQ100" s="139"/>
      <c r="BR100" s="139"/>
      <c r="BS100" s="139"/>
      <c r="BT100" s="139"/>
      <c r="BU100" s="139"/>
      <c r="BV100" s="139"/>
      <c r="BW100" s="139"/>
      <c r="BX100" s="139"/>
      <c r="BY100" s="139"/>
      <c r="BZ100" s="139"/>
      <c r="CA100" s="139"/>
      <c r="CB100" s="139"/>
      <c r="CC100" s="139"/>
      <c r="CD100" s="139"/>
      <c r="CE100" s="139"/>
      <c r="CF100" s="139"/>
      <c r="CG100" s="139"/>
    </row>
    <row r="101" spans="3:85" ht="42" customHeight="1">
      <c r="C101" s="425"/>
      <c r="D101" s="424"/>
      <c r="E101" s="443">
        <v>0.3</v>
      </c>
      <c r="F101" s="464"/>
      <c r="G101" s="302">
        <f t="shared" si="134"/>
        <v>0.97463742478116944</v>
      </c>
      <c r="H101" s="302">
        <f t="shared" si="134"/>
        <v>0.96289109886249546</v>
      </c>
      <c r="I101" s="302">
        <f t="shared" si="134"/>
        <v>0.94609598998989275</v>
      </c>
      <c r="J101" s="302">
        <f t="shared" si="134"/>
        <v>0.92251514467685736</v>
      </c>
      <c r="K101" s="302">
        <f t="shared" si="134"/>
        <v>0.89030974968912646</v>
      </c>
      <c r="L101" s="302">
        <f t="shared" si="134"/>
        <v>0.84817770438733819</v>
      </c>
      <c r="M101" s="302">
        <f t="shared" si="134"/>
        <v>0.79673183691366278</v>
      </c>
      <c r="N101" s="302">
        <f t="shared" si="134"/>
        <v>0.74067866894841561</v>
      </c>
      <c r="O101" s="302">
        <f t="shared" si="134"/>
        <v>0.69026637020028681</v>
      </c>
      <c r="P101" s="302">
        <f t="shared" si="134"/>
        <v>0.6574129227572032</v>
      </c>
      <c r="Q101" s="302">
        <f t="shared" si="134"/>
        <v>0.64531345129376561</v>
      </c>
      <c r="R101" s="302">
        <f t="shared" si="134"/>
        <v>0.64434758709519258</v>
      </c>
      <c r="S101" s="302">
        <f t="shared" si="134"/>
        <v>0.64968434264426733</v>
      </c>
      <c r="T101" s="302">
        <f t="shared" si="134"/>
        <v>0.6726487860586815</v>
      </c>
      <c r="U101" s="302">
        <f t="shared" si="134"/>
        <v>0.71629761579238949</v>
      </c>
      <c r="V101" s="302">
        <f t="shared" si="134"/>
        <v>0.77134678425164493</v>
      </c>
      <c r="W101" s="302">
        <f t="shared" si="131"/>
        <v>0.82580013003677466</v>
      </c>
      <c r="X101" s="302">
        <f t="shared" si="131"/>
        <v>0.8724288518789598</v>
      </c>
      <c r="Y101" s="302">
        <f t="shared" si="131"/>
        <v>0.90905496759342463</v>
      </c>
      <c r="Z101" s="302">
        <f t="shared" si="131"/>
        <v>0.93633642627901736</v>
      </c>
      <c r="AA101" s="302">
        <f t="shared" si="131"/>
        <v>0.95598418387316841</v>
      </c>
      <c r="AB101" s="302">
        <f t="shared" si="131"/>
        <v>0.96982698927642952</v>
      </c>
      <c r="AC101" s="302">
        <f t="shared" si="131"/>
        <v>0.97943839381648024</v>
      </c>
      <c r="AD101" s="302">
        <f t="shared" si="131"/>
        <v>0.98604601851644158</v>
      </c>
      <c r="AE101" s="302">
        <f t="shared" si="131"/>
        <v>0.99055768066402128</v>
      </c>
      <c r="AF101" s="302">
        <f t="shared" si="131"/>
        <v>0.99362349554232698</v>
      </c>
      <c r="AG101" s="302">
        <f t="shared" si="131"/>
        <v>0.99569966361893913</v>
      </c>
      <c r="AH101" s="302">
        <f t="shared" si="132"/>
        <v>0.9971020709875027</v>
      </c>
      <c r="AI101" s="302">
        <f t="shared" si="132"/>
        <v>0.99804749200495102</v>
      </c>
      <c r="AJ101" s="302">
        <f t="shared" si="132"/>
        <v>0.99868377313863588</v>
      </c>
      <c r="AK101" s="302">
        <f t="shared" si="132"/>
        <v>0.99911131896049532</v>
      </c>
      <c r="AL101" s="302">
        <f t="shared" si="132"/>
        <v>0.99939811153427283</v>
      </c>
      <c r="AM101" s="302">
        <f t="shared" si="132"/>
        <v>0.99959008477258027</v>
      </c>
      <c r="AN101" s="302">
        <f t="shared" si="132"/>
        <v>0.99971823242668167</v>
      </c>
      <c r="AO101" s="302">
        <f t="shared" si="132"/>
        <v>0.99980345053269781</v>
      </c>
      <c r="AP101" s="302">
        <f t="shared" si="132"/>
        <v>0.99985982283553843</v>
      </c>
      <c r="AQ101" s="302">
        <f t="shared" si="132"/>
        <v>0.99989684286172298</v>
      </c>
      <c r="AR101" s="302">
        <f t="shared" si="132"/>
        <v>0.99992091306065067</v>
      </c>
      <c r="AS101" s="302">
        <f t="shared" si="132"/>
        <v>0.99993635414790083</v>
      </c>
      <c r="AT101" s="302">
        <f t="shared" si="132"/>
        <v>0.99994608357248582</v>
      </c>
      <c r="AU101" s="302">
        <f t="shared" si="132"/>
        <v>0.9999520710849692</v>
      </c>
      <c r="AV101" s="302">
        <f t="shared" si="132"/>
        <v>0.99995564456967589</v>
      </c>
      <c r="AW101" s="302">
        <f t="shared" si="132"/>
        <v>0.99995769557373027</v>
      </c>
      <c r="AX101" s="302">
        <f t="shared" si="130"/>
        <v>0.99995881781368323</v>
      </c>
      <c r="AY101" s="302">
        <f t="shared" si="130"/>
        <v>0.99995940096377556</v>
      </c>
      <c r="AZ101" s="302">
        <f t="shared" si="130"/>
        <v>0.9999596945912449</v>
      </c>
      <c r="BA101" s="302">
        <f t="shared" si="130"/>
        <v>0.99995985208870541</v>
      </c>
      <c r="BB101" s="302">
        <f t="shared" si="128"/>
        <v>0.99995996109839713</v>
      </c>
      <c r="BC101" s="302">
        <f t="shared" ref="BC101:BO110" si="136">($F$74-$D$76)*2*(1/(1+EXP(-4/$F$76*(POWER(POWER((ABS(BC$75-($E$74))),3)+POWER(ABS($E101-($E$75)),3),1/3))))-0.5+$D$76)*($F$74-$D$76)*2*(1/(1+EXP(-4/$F$76*(POWER(POWER((ABS(BC$75-($D$74))),3)+POWER(ABS($E101-($D$75)),3),1/3))))-0.5+$D$76)</f>
        <v>0.99996006470113485</v>
      </c>
      <c r="BD101" s="302">
        <f t="shared" si="136"/>
        <v>0.99996017618759547</v>
      </c>
      <c r="BE101" s="302">
        <f t="shared" si="136"/>
        <v>0.99996028928534619</v>
      </c>
      <c r="BF101" s="302">
        <f t="shared" si="136"/>
        <v>0.99996038539545318</v>
      </c>
      <c r="BG101" s="302">
        <f t="shared" si="136"/>
        <v>0.99996046620872425</v>
      </c>
      <c r="BH101" s="302">
        <f t="shared" si="136"/>
        <v>0.99996057981443964</v>
      </c>
      <c r="BI101" s="302">
        <f t="shared" si="136"/>
        <v>0.99996077573936659</v>
      </c>
      <c r="BJ101" s="302">
        <f t="shared" si="136"/>
        <v>0.99996109963639901</v>
      </c>
      <c r="BK101" s="302">
        <f t="shared" si="136"/>
        <v>0.99996159260090989</v>
      </c>
      <c r="BL101" s="302">
        <f t="shared" si="136"/>
        <v>0.99996228982459423</v>
      </c>
      <c r="BM101" s="302">
        <f t="shared" si="136"/>
        <v>0.99996321882566008</v>
      </c>
      <c r="BN101" s="302">
        <f t="shared" si="136"/>
        <v>0.99996439753217581</v>
      </c>
      <c r="BO101" s="303">
        <f t="shared" si="136"/>
        <v>0.9999658325305546</v>
      </c>
      <c r="BP101" s="223"/>
      <c r="BQ101" s="139"/>
      <c r="BR101" s="139"/>
      <c r="BS101" s="139"/>
      <c r="BT101" s="139"/>
      <c r="BU101" s="139"/>
      <c r="BV101" s="139"/>
      <c r="BW101" s="139"/>
      <c r="BX101" s="139"/>
      <c r="BY101" s="139"/>
      <c r="BZ101" s="139"/>
      <c r="CA101" s="139"/>
      <c r="CB101" s="139"/>
      <c r="CC101" s="139"/>
      <c r="CD101" s="139"/>
      <c r="CE101" s="139"/>
      <c r="CF101" s="139"/>
      <c r="CG101" s="139"/>
    </row>
    <row r="102" spans="3:85" ht="42" customHeight="1">
      <c r="C102" s="425"/>
      <c r="D102" s="424"/>
      <c r="E102" s="445">
        <v>0.25</v>
      </c>
      <c r="F102" s="464"/>
      <c r="G102" s="302">
        <f t="shared" si="134"/>
        <v>0.97366870174373732</v>
      </c>
      <c r="H102" s="302">
        <f t="shared" si="134"/>
        <v>0.96118334022412955</v>
      </c>
      <c r="I102" s="302">
        <f t="shared" si="134"/>
        <v>0.94305818301823841</v>
      </c>
      <c r="J102" s="302">
        <f t="shared" si="134"/>
        <v>0.91706793597981839</v>
      </c>
      <c r="K102" s="302">
        <f t="shared" si="134"/>
        <v>0.88048810959778923</v>
      </c>
      <c r="L102" s="302">
        <f t="shared" si="134"/>
        <v>0.83046768715802732</v>
      </c>
      <c r="M102" s="302">
        <f t="shared" si="134"/>
        <v>0.76516338093769198</v>
      </c>
      <c r="N102" s="302">
        <f t="shared" si="134"/>
        <v>0.6863903749291872</v>
      </c>
      <c r="O102" s="302">
        <f t="shared" si="134"/>
        <v>0.60440414731963976</v>
      </c>
      <c r="P102" s="302">
        <f t="shared" si="134"/>
        <v>0.54098062309546335</v>
      </c>
      <c r="Q102" s="302">
        <f t="shared" si="134"/>
        <v>0.5143806980914698</v>
      </c>
      <c r="R102" s="302">
        <f t="shared" si="134"/>
        <v>0.512157075311793</v>
      </c>
      <c r="S102" s="302">
        <f t="shared" si="134"/>
        <v>0.52424783758719118</v>
      </c>
      <c r="T102" s="302">
        <f t="shared" si="134"/>
        <v>0.57173736592295155</v>
      </c>
      <c r="U102" s="302">
        <f t="shared" si="134"/>
        <v>0.6484734941189545</v>
      </c>
      <c r="V102" s="302">
        <f t="shared" si="134"/>
        <v>0.73069244950806855</v>
      </c>
      <c r="W102" s="302">
        <f t="shared" si="131"/>
        <v>0.80271440596352983</v>
      </c>
      <c r="X102" s="302">
        <f t="shared" si="131"/>
        <v>0.85958438050684149</v>
      </c>
      <c r="Y102" s="302">
        <f t="shared" si="131"/>
        <v>0.90193808775126794</v>
      </c>
      <c r="Z102" s="302">
        <f t="shared" si="131"/>
        <v>0.93237906899771295</v>
      </c>
      <c r="AA102" s="302">
        <f t="shared" si="131"/>
        <v>0.95376786727631491</v>
      </c>
      <c r="AB102" s="302">
        <f t="shared" si="131"/>
        <v>0.9685748193802205</v>
      </c>
      <c r="AC102" s="302">
        <f t="shared" si="131"/>
        <v>0.97872429798629768</v>
      </c>
      <c r="AD102" s="302">
        <f t="shared" si="131"/>
        <v>0.98563488795858334</v>
      </c>
      <c r="AE102" s="302">
        <f t="shared" si="131"/>
        <v>0.99031867913431615</v>
      </c>
      <c r="AF102" s="302">
        <f t="shared" si="131"/>
        <v>0.99348311751377016</v>
      </c>
      <c r="AG102" s="302">
        <f t="shared" si="131"/>
        <v>0.99561620011344854</v>
      </c>
      <c r="AH102" s="302">
        <f t="shared" si="132"/>
        <v>0.99705161388200725</v>
      </c>
      <c r="AI102" s="302">
        <f t="shared" si="132"/>
        <v>0.99801619297653132</v>
      </c>
      <c r="AJ102" s="302">
        <f t="shared" si="132"/>
        <v>0.99866352121708313</v>
      </c>
      <c r="AK102" s="302">
        <f t="shared" si="132"/>
        <v>0.9990973045455861</v>
      </c>
      <c r="AL102" s="302">
        <f t="shared" si="132"/>
        <v>0.99938744197257612</v>
      </c>
      <c r="AM102" s="302">
        <f t="shared" si="132"/>
        <v>0.99958099206333195</v>
      </c>
      <c r="AN102" s="302">
        <f t="shared" si="132"/>
        <v>0.99970961757636989</v>
      </c>
      <c r="AO102" s="302">
        <f t="shared" si="132"/>
        <v>0.99979462089239202</v>
      </c>
      <c r="AP102" s="302">
        <f t="shared" si="132"/>
        <v>0.99985034064968359</v>
      </c>
      <c r="AQ102" s="302">
        <f t="shared" si="132"/>
        <v>0.99988643787819176</v>
      </c>
      <c r="AR102" s="302">
        <f t="shared" si="132"/>
        <v>0.99990943166500645</v>
      </c>
      <c r="AS102" s="302">
        <f t="shared" si="132"/>
        <v>0.99992372879093039</v>
      </c>
      <c r="AT102" s="302">
        <f t="shared" si="132"/>
        <v>0.99993231293675156</v>
      </c>
      <c r="AU102" s="302">
        <f t="shared" si="132"/>
        <v>0.99993720549723497</v>
      </c>
      <c r="AV102" s="302">
        <f t="shared" si="132"/>
        <v>0.99993977370252474</v>
      </c>
      <c r="AW102" s="302">
        <f t="shared" si="132"/>
        <v>0.9999409370754776</v>
      </c>
      <c r="AX102" s="302">
        <f t="shared" si="130"/>
        <v>0.99994130647616852</v>
      </c>
      <c r="AY102" s="302">
        <f t="shared" si="130"/>
        <v>0.99994127856657922</v>
      </c>
      <c r="AZ102" s="302">
        <f t="shared" si="130"/>
        <v>0.99994110077431064</v>
      </c>
      <c r="BA102" s="302">
        <f t="shared" si="130"/>
        <v>0.9999409166055061</v>
      </c>
      <c r="BB102" s="302">
        <f t="shared" si="128"/>
        <v>0.99994079767718647</v>
      </c>
      <c r="BC102" s="302">
        <f t="shared" si="136"/>
        <v>0.99994076656584918</v>
      </c>
      <c r="BD102" s="302">
        <f t="shared" si="136"/>
        <v>0.99994081311638716</v>
      </c>
      <c r="BE102" s="302">
        <f t="shared" si="136"/>
        <v>0.99994090594592722</v>
      </c>
      <c r="BF102" s="302">
        <f t="shared" si="136"/>
        <v>0.99994100078176718</v>
      </c>
      <c r="BG102" s="302">
        <f t="shared" si="136"/>
        <v>0.99994109068900872</v>
      </c>
      <c r="BH102" s="302">
        <f t="shared" si="136"/>
        <v>0.99994124652141958</v>
      </c>
      <c r="BI102" s="302">
        <f t="shared" si="136"/>
        <v>0.99994154350428333</v>
      </c>
      <c r="BJ102" s="302">
        <f t="shared" si="136"/>
        <v>0.99994205186125384</v>
      </c>
      <c r="BK102" s="302">
        <f t="shared" si="136"/>
        <v>0.99994283505644199</v>
      </c>
      <c r="BL102" s="302">
        <f t="shared" si="136"/>
        <v>0.99994394709304812</v>
      </c>
      <c r="BM102" s="302">
        <f t="shared" si="136"/>
        <v>0.99994542924359053</v>
      </c>
      <c r="BN102" s="302">
        <f t="shared" si="136"/>
        <v>0.9999473066784581</v>
      </c>
      <c r="BO102" s="303">
        <f t="shared" si="136"/>
        <v>0.99994958553285462</v>
      </c>
      <c r="BP102" s="223"/>
      <c r="BQ102" s="139"/>
      <c r="BR102" s="139"/>
      <c r="BS102" s="139"/>
      <c r="BT102" s="139"/>
      <c r="BU102" s="139"/>
      <c r="BV102" s="139"/>
      <c r="BW102" s="139"/>
      <c r="BX102" s="139"/>
      <c r="BY102" s="139"/>
      <c r="BZ102" s="139"/>
      <c r="CA102" s="139"/>
      <c r="CB102" s="139"/>
      <c r="CC102" s="139"/>
      <c r="CD102" s="139"/>
      <c r="CE102" s="139"/>
      <c r="CF102" s="139"/>
      <c r="CG102" s="139"/>
    </row>
    <row r="103" spans="3:85" ht="42" customHeight="1">
      <c r="C103" s="425"/>
      <c r="D103" s="424"/>
      <c r="E103" s="443">
        <v>0.2</v>
      </c>
      <c r="F103" s="464"/>
      <c r="G103" s="302">
        <f t="shared" si="134"/>
        <v>0.97317113185696991</v>
      </c>
      <c r="H103" s="302">
        <f t="shared" si="134"/>
        <v>0.96029760302756129</v>
      </c>
      <c r="I103" s="302">
        <f t="shared" si="134"/>
        <v>0.94146140912046572</v>
      </c>
      <c r="J103" s="302">
        <f t="shared" si="134"/>
        <v>0.91414996611131483</v>
      </c>
      <c r="K103" s="302">
        <f t="shared" si="134"/>
        <v>0.87507849792158587</v>
      </c>
      <c r="L103" s="302">
        <f t="shared" si="134"/>
        <v>0.82028924381020463</v>
      </c>
      <c r="M103" s="302">
        <f t="shared" si="134"/>
        <v>0.74574340730416222</v>
      </c>
      <c r="N103" s="302">
        <f t="shared" si="134"/>
        <v>0.6490381008243199</v>
      </c>
      <c r="O103" s="302">
        <f t="shared" si="134"/>
        <v>0.53377574632598557</v>
      </c>
      <c r="P103" s="302">
        <f t="shared" si="134"/>
        <v>0.4204192314656966</v>
      </c>
      <c r="Q103" s="302">
        <f t="shared" si="134"/>
        <v>0.35661294931148052</v>
      </c>
      <c r="R103" s="302">
        <f t="shared" si="134"/>
        <v>0.35038732812183537</v>
      </c>
      <c r="S103" s="302">
        <f t="shared" si="134"/>
        <v>0.38227818299085875</v>
      </c>
      <c r="T103" s="302">
        <f t="shared" si="134"/>
        <v>0.47972415173648325</v>
      </c>
      <c r="U103" s="302">
        <f t="shared" si="134"/>
        <v>0.59832731312924425</v>
      </c>
      <c r="V103" s="302">
        <f t="shared" si="134"/>
        <v>0.70455878148729456</v>
      </c>
      <c r="W103" s="302">
        <f t="shared" si="131"/>
        <v>0.78908547659331618</v>
      </c>
      <c r="X103" s="302">
        <f t="shared" si="131"/>
        <v>0.85238846023843517</v>
      </c>
      <c r="Y103" s="302">
        <f t="shared" si="131"/>
        <v>0.89808248353821907</v>
      </c>
      <c r="Z103" s="302">
        <f t="shared" si="131"/>
        <v>0.93028266364920054</v>
      </c>
      <c r="AA103" s="302">
        <f t="shared" si="131"/>
        <v>0.95261186013415056</v>
      </c>
      <c r="AB103" s="302">
        <f t="shared" si="131"/>
        <v>0.96792885695464714</v>
      </c>
      <c r="AC103" s="302">
        <f t="shared" si="131"/>
        <v>0.97835878428399115</v>
      </c>
      <c r="AD103" s="302">
        <f t="shared" si="131"/>
        <v>0.98542553519783738</v>
      </c>
      <c r="AE103" s="302">
        <f t="shared" si="131"/>
        <v>0.9901972564880126</v>
      </c>
      <c r="AF103" s="302">
        <f t="shared" si="131"/>
        <v>0.99341165882146043</v>
      </c>
      <c r="AG103" s="302">
        <f t="shared" si="131"/>
        <v>0.99557329815431117</v>
      </c>
      <c r="AH103" s="302">
        <f t="shared" si="132"/>
        <v>0.99702503380406982</v>
      </c>
      <c r="AI103" s="302">
        <f t="shared" si="132"/>
        <v>0.99799883782163656</v>
      </c>
      <c r="AJ103" s="302">
        <f t="shared" si="132"/>
        <v>0.99865120110510042</v>
      </c>
      <c r="AK103" s="302">
        <f t="shared" si="132"/>
        <v>0.99908748996338903</v>
      </c>
      <c r="AL103" s="302">
        <f t="shared" si="132"/>
        <v>0.9993785613954147</v>
      </c>
      <c r="AM103" s="302">
        <f t="shared" si="132"/>
        <v>0.99957203470764322</v>
      </c>
      <c r="AN103" s="302">
        <f t="shared" si="132"/>
        <v>0.99969990933958774</v>
      </c>
      <c r="AO103" s="302">
        <f t="shared" si="132"/>
        <v>0.99978369953250901</v>
      </c>
      <c r="AP103" s="302">
        <f t="shared" si="132"/>
        <v>0.99983788793668715</v>
      </c>
      <c r="AQ103" s="302">
        <f t="shared" si="132"/>
        <v>0.99987224395126717</v>
      </c>
      <c r="AR103" s="302">
        <f t="shared" si="132"/>
        <v>0.99989337668088352</v>
      </c>
      <c r="AS103" s="302">
        <f t="shared" si="132"/>
        <v>0.99990577269954251</v>
      </c>
      <c r="AT103" s="302">
        <f t="shared" si="132"/>
        <v>0.99991248779564668</v>
      </c>
      <c r="AU103" s="302">
        <f t="shared" si="132"/>
        <v>0.99991560714627725</v>
      </c>
      <c r="AV103" s="302">
        <f t="shared" si="132"/>
        <v>0.99991655135277502</v>
      </c>
      <c r="AW103" s="302">
        <f t="shared" si="132"/>
        <v>0.99991628061971705</v>
      </c>
      <c r="AX103" s="302">
        <f t="shared" si="130"/>
        <v>0.99991543216627965</v>
      </c>
      <c r="AY103" s="302">
        <f t="shared" si="130"/>
        <v>0.9999144141505063</v>
      </c>
      <c r="AZ103" s="302">
        <f t="shared" si="130"/>
        <v>0.999913471285241</v>
      </c>
      <c r="BA103" s="302">
        <f t="shared" si="130"/>
        <v>0.99991273182564722</v>
      </c>
      <c r="BB103" s="302">
        <f t="shared" si="128"/>
        <v>0.99991224196052475</v>
      </c>
      <c r="BC103" s="302">
        <f t="shared" si="136"/>
        <v>0.99991199130427766</v>
      </c>
      <c r="BD103" s="302">
        <f t="shared" si="136"/>
        <v>0.99991193175839765</v>
      </c>
      <c r="BE103" s="302">
        <f t="shared" si="136"/>
        <v>0.99991199118144691</v>
      </c>
      <c r="BF103" s="302">
        <f t="shared" si="136"/>
        <v>0.99991208359795514</v>
      </c>
      <c r="BG103" s="302">
        <f t="shared" si="136"/>
        <v>0.99991218801956705</v>
      </c>
      <c r="BH103" s="302">
        <f t="shared" si="136"/>
        <v>0.99991241214006688</v>
      </c>
      <c r="BI103" s="302">
        <f t="shared" si="136"/>
        <v>0.99991287273801832</v>
      </c>
      <c r="BJ103" s="302">
        <f t="shared" si="136"/>
        <v>0.99991367960938626</v>
      </c>
      <c r="BK103" s="302">
        <f t="shared" si="136"/>
        <v>0.99991493191478831</v>
      </c>
      <c r="BL103" s="302">
        <f t="shared" si="136"/>
        <v>0.99991671310915298</v>
      </c>
      <c r="BM103" s="302">
        <f t="shared" si="136"/>
        <v>0.99991908508877392</v>
      </c>
      <c r="BN103" s="302">
        <f t="shared" si="136"/>
        <v>0.99992208238079194</v>
      </c>
      <c r="BO103" s="303">
        <f t="shared" si="136"/>
        <v>0.99992570733675001</v>
      </c>
      <c r="BP103" s="223"/>
      <c r="BQ103" s="139"/>
      <c r="BR103" s="139"/>
      <c r="BS103" s="139"/>
      <c r="BT103" s="139"/>
      <c r="BU103" s="139"/>
      <c r="BV103" s="139"/>
      <c r="BW103" s="139"/>
      <c r="BX103" s="139"/>
      <c r="BY103" s="139"/>
      <c r="BZ103" s="139"/>
      <c r="CA103" s="139"/>
      <c r="CB103" s="139"/>
      <c r="CC103" s="139"/>
      <c r="CD103" s="139"/>
      <c r="CE103" s="139"/>
      <c r="CF103" s="139"/>
      <c r="CG103" s="139"/>
    </row>
    <row r="104" spans="3:85" ht="42" customHeight="1">
      <c r="C104" s="425"/>
      <c r="D104" s="424"/>
      <c r="E104" s="445">
        <v>0.15</v>
      </c>
      <c r="F104" s="464"/>
      <c r="G104" s="302">
        <f t="shared" si="134"/>
        <v>0.97300112162965446</v>
      </c>
      <c r="H104" s="302">
        <f t="shared" si="134"/>
        <v>0.95999362066711003</v>
      </c>
      <c r="I104" s="302">
        <f t="shared" si="134"/>
        <v>0.94091002023159076</v>
      </c>
      <c r="J104" s="302">
        <f t="shared" si="134"/>
        <v>0.9131333833719395</v>
      </c>
      <c r="K104" s="302">
        <f t="shared" si="134"/>
        <v>0.87316851795144257</v>
      </c>
      <c r="L104" s="302">
        <f t="shared" si="134"/>
        <v>0.81661789645674154</v>
      </c>
      <c r="M104" s="302">
        <f t="shared" si="134"/>
        <v>0.7384749096722103</v>
      </c>
      <c r="N104" s="302">
        <f t="shared" si="134"/>
        <v>0.634036947356032</v>
      </c>
      <c r="O104" s="302">
        <f t="shared" si="134"/>
        <v>0.50086534131684857</v>
      </c>
      <c r="P104" s="302">
        <f t="shared" si="134"/>
        <v>0.34314348070918116</v>
      </c>
      <c r="Q104" s="302">
        <f t="shared" si="134"/>
        <v>0.19417506313728936</v>
      </c>
      <c r="R104" s="302">
        <f t="shared" si="134"/>
        <v>0.16588779440089529</v>
      </c>
      <c r="S104" s="302">
        <f t="shared" si="134"/>
        <v>0.26921742216059363</v>
      </c>
      <c r="T104" s="302">
        <f t="shared" si="134"/>
        <v>0.43152211126044293</v>
      </c>
      <c r="U104" s="302">
        <f t="shared" si="134"/>
        <v>0.57708194315165118</v>
      </c>
      <c r="V104" s="302">
        <f t="shared" si="134"/>
        <v>0.69451890057745369</v>
      </c>
      <c r="W104" s="302">
        <f t="shared" si="131"/>
        <v>0.78409950807185602</v>
      </c>
      <c r="X104" s="302">
        <f t="shared" si="131"/>
        <v>0.84982630371626056</v>
      </c>
      <c r="Y104" s="302">
        <f t="shared" si="131"/>
        <v>0.89673193973015441</v>
      </c>
      <c r="Z104" s="302">
        <f t="shared" si="131"/>
        <v>0.92955599681073997</v>
      </c>
      <c r="AA104" s="302">
        <f t="shared" si="131"/>
        <v>0.95221392131850058</v>
      </c>
      <c r="AB104" s="302">
        <f t="shared" si="131"/>
        <v>0.96770745706540162</v>
      </c>
      <c r="AC104" s="302">
        <f t="shared" si="131"/>
        <v>0.97823373432726179</v>
      </c>
      <c r="AD104" s="302">
        <f t="shared" si="131"/>
        <v>0.98535377958885217</v>
      </c>
      <c r="AE104" s="302">
        <f t="shared" si="131"/>
        <v>0.99015527366155542</v>
      </c>
      <c r="AF104" s="302">
        <f t="shared" si="131"/>
        <v>0.99338637918756811</v>
      </c>
      <c r="AG104" s="302">
        <f t="shared" si="131"/>
        <v>0.99555732654798179</v>
      </c>
      <c r="AH104" s="302">
        <f t="shared" si="132"/>
        <v>0.99701409282472053</v>
      </c>
      <c r="AI104" s="302">
        <f t="shared" si="132"/>
        <v>0.99799037861400941</v>
      </c>
      <c r="AJ104" s="302">
        <f t="shared" si="132"/>
        <v>0.99864363878373008</v>
      </c>
      <c r="AK104" s="302">
        <f t="shared" si="132"/>
        <v>0.99907977927470137</v>
      </c>
      <c r="AL104" s="302">
        <f t="shared" si="132"/>
        <v>0.99936996130773914</v>
      </c>
      <c r="AM104" s="302">
        <f t="shared" si="132"/>
        <v>0.99956198019338838</v>
      </c>
      <c r="AN104" s="302">
        <f t="shared" si="132"/>
        <v>0.99968794535399641</v>
      </c>
      <c r="AO104" s="302">
        <f t="shared" si="132"/>
        <v>0.99976945166073572</v>
      </c>
      <c r="AP104" s="302">
        <f t="shared" si="132"/>
        <v>0.99982105445385461</v>
      </c>
      <c r="AQ104" s="302">
        <f t="shared" si="132"/>
        <v>0.99985259944166482</v>
      </c>
      <c r="AR104" s="302">
        <f t="shared" si="132"/>
        <v>0.99987078029033638</v>
      </c>
      <c r="AS104" s="302">
        <f t="shared" si="132"/>
        <v>0.99988017591155509</v>
      </c>
      <c r="AT104" s="302">
        <f t="shared" si="132"/>
        <v>0.99988393807696996</v>
      </c>
      <c r="AU104" s="302">
        <f t="shared" si="132"/>
        <v>0.99988424524234909</v>
      </c>
      <c r="AV104" s="302">
        <f t="shared" si="132"/>
        <v>0.99988260148215524</v>
      </c>
      <c r="AW104" s="302">
        <f t="shared" si="132"/>
        <v>0.99988003419293248</v>
      </c>
      <c r="AX104" s="302">
        <f t="shared" si="130"/>
        <v>0.99987722674274049</v>
      </c>
      <c r="AY104" s="302">
        <f t="shared" si="130"/>
        <v>0.99987460998379729</v>
      </c>
      <c r="AZ104" s="302">
        <f t="shared" si="130"/>
        <v>0.99987242792943798</v>
      </c>
      <c r="BA104" s="302">
        <f t="shared" si="130"/>
        <v>0.99987078693941511</v>
      </c>
      <c r="BB104" s="302">
        <f t="shared" si="128"/>
        <v>0.99986969379898227</v>
      </c>
      <c r="BC104" s="302">
        <f t="shared" si="136"/>
        <v>0.99986908561491505</v>
      </c>
      <c r="BD104" s="302">
        <f t="shared" si="136"/>
        <v>0.99986885306249651</v>
      </c>
      <c r="BE104" s="302">
        <f t="shared" si="136"/>
        <v>0.99986885783737489</v>
      </c>
      <c r="BF104" s="302">
        <f t="shared" si="136"/>
        <v>0.99986894611852084</v>
      </c>
      <c r="BG104" s="302">
        <f t="shared" si="136"/>
        <v>0.99986907402034941</v>
      </c>
      <c r="BH104" s="302">
        <f t="shared" si="136"/>
        <v>0.99986940911208078</v>
      </c>
      <c r="BI104" s="302">
        <f t="shared" si="136"/>
        <v>0.99987013561319804</v>
      </c>
      <c r="BJ104" s="302">
        <f t="shared" si="136"/>
        <v>0.99987142724107114</v>
      </c>
      <c r="BK104" s="302">
        <f t="shared" si="136"/>
        <v>0.99987344019972724</v>
      </c>
      <c r="BL104" s="302">
        <f t="shared" si="136"/>
        <v>0.99987630395001748</v>
      </c>
      <c r="BM104" s="302">
        <f t="shared" si="136"/>
        <v>0.99988011089771889</v>
      </c>
      <c r="BN104" s="302">
        <f t="shared" si="136"/>
        <v>0.99988490650612338</v>
      </c>
      <c r="BO104" s="303">
        <f t="shared" si="136"/>
        <v>0.99989068157665939</v>
      </c>
      <c r="BP104" s="223"/>
      <c r="BQ104" s="139"/>
      <c r="BR104" s="139"/>
      <c r="BS104" s="139"/>
      <c r="BT104" s="139"/>
      <c r="BU104" s="139"/>
      <c r="BV104" s="139"/>
      <c r="BW104" s="139"/>
      <c r="BX104" s="139"/>
      <c r="BY104" s="139"/>
      <c r="BZ104" s="139"/>
      <c r="CA104" s="139"/>
      <c r="CB104" s="139"/>
      <c r="CC104" s="139"/>
      <c r="CD104" s="139"/>
      <c r="CE104" s="139"/>
      <c r="CF104" s="139"/>
      <c r="CG104" s="139"/>
    </row>
    <row r="105" spans="3:85" ht="42" customHeight="1">
      <c r="C105" s="425"/>
      <c r="D105" s="424"/>
      <c r="E105" s="443">
        <v>0.1</v>
      </c>
      <c r="F105" s="464"/>
      <c r="G105" s="302">
        <f t="shared" si="134"/>
        <v>0.9729837965881003</v>
      </c>
      <c r="H105" s="302">
        <f t="shared" si="134"/>
        <v>0.95996260460255922</v>
      </c>
      <c r="I105" s="302">
        <f t="shared" si="134"/>
        <v>0.94085366305978424</v>
      </c>
      <c r="J105" s="302">
        <f t="shared" si="134"/>
        <v>0.91302921718224506</v>
      </c>
      <c r="K105" s="302">
        <f t="shared" si="134"/>
        <v>0.87297205475338668</v>
      </c>
      <c r="L105" s="302">
        <f t="shared" si="134"/>
        <v>0.81623787767476241</v>
      </c>
      <c r="M105" s="302">
        <f t="shared" si="134"/>
        <v>0.73771399758110656</v>
      </c>
      <c r="N105" s="302">
        <f t="shared" si="134"/>
        <v>0.63242930462437708</v>
      </c>
      <c r="O105" s="302">
        <f t="shared" si="134"/>
        <v>0.49712178624799719</v>
      </c>
      <c r="P105" s="302">
        <f t="shared" si="134"/>
        <v>0.33241840481141621</v>
      </c>
      <c r="Q105" s="302">
        <f t="shared" si="134"/>
        <v>0.14504502513491355</v>
      </c>
      <c r="R105" s="302">
        <f t="shared" si="134"/>
        <v>5.8765164422960481E-2</v>
      </c>
      <c r="S105" s="302">
        <f t="shared" si="134"/>
        <v>0.2494081212968792</v>
      </c>
      <c r="T105" s="302">
        <f t="shared" si="134"/>
        <v>0.42570270966164042</v>
      </c>
      <c r="U105" s="302">
        <f t="shared" si="134"/>
        <v>0.57475983582477508</v>
      </c>
      <c r="V105" s="302">
        <f t="shared" si="134"/>
        <v>0.69345900075293487</v>
      </c>
      <c r="W105" s="302">
        <f t="shared" si="131"/>
        <v>0.78358116019793578</v>
      </c>
      <c r="X105" s="302">
        <f t="shared" si="131"/>
        <v>0.84956202632249489</v>
      </c>
      <c r="Y105" s="302">
        <f t="shared" si="131"/>
        <v>0.89659321093771416</v>
      </c>
      <c r="Z105" s="302">
        <f t="shared" si="131"/>
        <v>0.92948145339805621</v>
      </c>
      <c r="AA105" s="302">
        <f t="shared" si="131"/>
        <v>0.95217300246445469</v>
      </c>
      <c r="AB105" s="302">
        <f t="shared" si="131"/>
        <v>0.96768446710363643</v>
      </c>
      <c r="AC105" s="302">
        <f t="shared" si="131"/>
        <v>0.97822040161445922</v>
      </c>
      <c r="AD105" s="302">
        <f t="shared" si="131"/>
        <v>0.98534563275693754</v>
      </c>
      <c r="AE105" s="302">
        <f t="shared" si="131"/>
        <v>0.99014982094877346</v>
      </c>
      <c r="AF105" s="302">
        <f t="shared" si="131"/>
        <v>0.99338216978864202</v>
      </c>
      <c r="AG105" s="302">
        <f t="shared" si="131"/>
        <v>0.99555345527885297</v>
      </c>
      <c r="AH105" s="302">
        <f t="shared" si="132"/>
        <v>0.99700993295158058</v>
      </c>
      <c r="AI105" s="302">
        <f t="shared" si="132"/>
        <v>0.9979854350764038</v>
      </c>
      <c r="AJ105" s="302">
        <f t="shared" si="132"/>
        <v>0.99863746709999579</v>
      </c>
      <c r="AK105" s="302">
        <f t="shared" si="132"/>
        <v>0.9990719422438864</v>
      </c>
      <c r="AL105" s="302">
        <f t="shared" si="132"/>
        <v>0.99936000937877367</v>
      </c>
      <c r="AM105" s="302">
        <f t="shared" si="132"/>
        <v>0.99954944836375403</v>
      </c>
      <c r="AN105" s="302">
        <f t="shared" si="132"/>
        <v>0.99967236276421612</v>
      </c>
      <c r="AO105" s="302">
        <f t="shared" si="132"/>
        <v>0.99975036122956862</v>
      </c>
      <c r="AP105" s="302">
        <f t="shared" si="132"/>
        <v>0.99979803983542437</v>
      </c>
      <c r="AQ105" s="302">
        <f t="shared" si="132"/>
        <v>0.99982531589719015</v>
      </c>
      <c r="AR105" s="302">
        <f t="shared" si="132"/>
        <v>0.99983898528212511</v>
      </c>
      <c r="AS105" s="302">
        <f t="shared" si="132"/>
        <v>0.99984375481347443</v>
      </c>
      <c r="AT105" s="302">
        <f t="shared" si="132"/>
        <v>0.99984292069794256</v>
      </c>
      <c r="AU105" s="302">
        <f t="shared" si="132"/>
        <v>0.99983881000532138</v>
      </c>
      <c r="AV105" s="302">
        <f t="shared" si="132"/>
        <v>0.99983306594641952</v>
      </c>
      <c r="AW105" s="302">
        <f t="shared" si="132"/>
        <v>0.99982683276732776</v>
      </c>
      <c r="AX105" s="302">
        <f t="shared" si="130"/>
        <v>0.99982087840745792</v>
      </c>
      <c r="AY105" s="302">
        <f t="shared" si="130"/>
        <v>0.99981568016750311</v>
      </c>
      <c r="AZ105" s="302">
        <f t="shared" si="130"/>
        <v>0.99981148912260986</v>
      </c>
      <c r="BA105" s="302">
        <f t="shared" si="130"/>
        <v>0.99980838217114532</v>
      </c>
      <c r="BB105" s="302">
        <f t="shared" si="128"/>
        <v>0.99980630599250775</v>
      </c>
      <c r="BC105" s="302">
        <f t="shared" si="136"/>
        <v>0.99980511441138209</v>
      </c>
      <c r="BD105" s="302">
        <f t="shared" si="136"/>
        <v>0.99980459929979415</v>
      </c>
      <c r="BE105" s="302">
        <f t="shared" si="136"/>
        <v>0.99980451473078868</v>
      </c>
      <c r="BF105" s="302">
        <f t="shared" si="136"/>
        <v>0.99980459618061479</v>
      </c>
      <c r="BG105" s="302">
        <f t="shared" si="136"/>
        <v>0.99980476236804161</v>
      </c>
      <c r="BH105" s="302">
        <f t="shared" si="136"/>
        <v>0.99980527857611057</v>
      </c>
      <c r="BI105" s="302">
        <f t="shared" si="136"/>
        <v>0.99980643888733844</v>
      </c>
      <c r="BJ105" s="302">
        <f t="shared" si="136"/>
        <v>0.99980852057085834</v>
      </c>
      <c r="BK105" s="302">
        <f t="shared" si="136"/>
        <v>0.99981177108064845</v>
      </c>
      <c r="BL105" s="302">
        <f t="shared" si="136"/>
        <v>0.99981639148469481</v>
      </c>
      <c r="BM105" s="302">
        <f t="shared" si="136"/>
        <v>0.99982251843974468</v>
      </c>
      <c r="BN105" s="302">
        <f t="shared" si="136"/>
        <v>0.99983020752395935</v>
      </c>
      <c r="BO105" s="303">
        <f t="shared" si="136"/>
        <v>0.99983942112456103</v>
      </c>
      <c r="BP105" s="223"/>
      <c r="BQ105" s="139"/>
      <c r="BR105" s="139"/>
      <c r="BS105" s="139"/>
      <c r="BT105" s="139"/>
      <c r="BU105" s="139"/>
      <c r="BV105" s="139"/>
      <c r="BW105" s="139"/>
      <c r="BX105" s="139"/>
      <c r="BY105" s="139"/>
      <c r="BZ105" s="139"/>
      <c r="CA105" s="139"/>
      <c r="CB105" s="139"/>
      <c r="CC105" s="139"/>
      <c r="CD105" s="139"/>
      <c r="CE105" s="139"/>
      <c r="CF105" s="139"/>
      <c r="CG105" s="139"/>
    </row>
    <row r="106" spans="3:85" ht="42" customHeight="1">
      <c r="C106" s="426"/>
      <c r="D106" s="425"/>
      <c r="E106" s="445">
        <v>0.05</v>
      </c>
      <c r="F106" s="464"/>
      <c r="G106" s="302">
        <f t="shared" si="134"/>
        <v>0.97303336048953681</v>
      </c>
      <c r="H106" s="302">
        <f t="shared" si="134"/>
        <v>0.96005131729245463</v>
      </c>
      <c r="I106" s="302">
        <f t="shared" si="134"/>
        <v>0.94101480890452704</v>
      </c>
      <c r="J106" s="302">
        <f t="shared" si="134"/>
        <v>0.91332693758962102</v>
      </c>
      <c r="K106" s="302">
        <f t="shared" si="134"/>
        <v>0.87353319930067785</v>
      </c>
      <c r="L106" s="302">
        <f t="shared" si="134"/>
        <v>0.8173221157415218</v>
      </c>
      <c r="M106" s="302">
        <f t="shared" si="134"/>
        <v>0.73988066461115265</v>
      </c>
      <c r="N106" s="302">
        <f t="shared" si="134"/>
        <v>0.63698781677523886</v>
      </c>
      <c r="O106" s="302">
        <f t="shared" si="134"/>
        <v>0.50761769845080795</v>
      </c>
      <c r="P106" s="302">
        <f t="shared" si="134"/>
        <v>0.36118343320365032</v>
      </c>
      <c r="Q106" s="302">
        <f t="shared" si="134"/>
        <v>0.24665614563127444</v>
      </c>
      <c r="R106" s="302">
        <f t="shared" si="134"/>
        <v>0.23124137908878506</v>
      </c>
      <c r="S106" s="302">
        <f t="shared" si="134"/>
        <v>0.29918505962540087</v>
      </c>
      <c r="T106" s="302">
        <f t="shared" si="134"/>
        <v>0.44182126485460321</v>
      </c>
      <c r="U106" s="302">
        <f t="shared" si="134"/>
        <v>0.5813203129258</v>
      </c>
      <c r="V106" s="302">
        <f t="shared" si="134"/>
        <v>0.69647240540391941</v>
      </c>
      <c r="W106" s="302">
        <f t="shared" si="131"/>
        <v>0.785058736424877</v>
      </c>
      <c r="X106" s="302">
        <f t="shared" si="131"/>
        <v>0.85031617444796981</v>
      </c>
      <c r="Y106" s="302">
        <f t="shared" si="131"/>
        <v>0.89698904250744371</v>
      </c>
      <c r="Z106" s="302">
        <f t="shared" si="131"/>
        <v>0.92969370993739242</v>
      </c>
      <c r="AA106" s="302">
        <f t="shared" si="131"/>
        <v>0.95228876805628448</v>
      </c>
      <c r="AB106" s="302">
        <f t="shared" si="131"/>
        <v>0.967748406070016</v>
      </c>
      <c r="AC106" s="302">
        <f t="shared" si="131"/>
        <v>0.9782559286066066</v>
      </c>
      <c r="AD106" s="302">
        <f t="shared" si="131"/>
        <v>0.98536522823931416</v>
      </c>
      <c r="AE106" s="302">
        <f t="shared" si="131"/>
        <v>0.99016020664119886</v>
      </c>
      <c r="AF106" s="302">
        <f t="shared" si="131"/>
        <v>0.99338696476697219</v>
      </c>
      <c r="AG106" s="302">
        <f t="shared" si="131"/>
        <v>0.99555456408400256</v>
      </c>
      <c r="AH106" s="302">
        <f t="shared" si="132"/>
        <v>0.99700828163898736</v>
      </c>
      <c r="AI106" s="302">
        <f t="shared" si="132"/>
        <v>0.99798136622199951</v>
      </c>
      <c r="AJ106" s="302">
        <f t="shared" si="132"/>
        <v>0.9986309546884713</v>
      </c>
      <c r="AK106" s="302">
        <f t="shared" si="132"/>
        <v>0.99906271193918161</v>
      </c>
      <c r="AL106" s="302">
        <f t="shared" si="132"/>
        <v>0.99934761101973624</v>
      </c>
      <c r="AM106" s="302">
        <f t="shared" si="132"/>
        <v>0.99953330717471689</v>
      </c>
      <c r="AN106" s="302">
        <f t="shared" si="132"/>
        <v>0.99965182446983492</v>
      </c>
      <c r="AO106" s="302">
        <f t="shared" si="132"/>
        <v>0.9997247392917028</v>
      </c>
      <c r="AP106" s="302">
        <f t="shared" si="132"/>
        <v>0.99976666801886671</v>
      </c>
      <c r="AQ106" s="302">
        <f t="shared" si="132"/>
        <v>0.99978760529431754</v>
      </c>
      <c r="AR106" s="302">
        <f t="shared" si="132"/>
        <v>0.99979448158877293</v>
      </c>
      <c r="AS106" s="302">
        <f t="shared" si="132"/>
        <v>0.99979218934387259</v>
      </c>
      <c r="AT106" s="302">
        <f t="shared" si="132"/>
        <v>0.99978424781624831</v>
      </c>
      <c r="AU106" s="302">
        <f t="shared" si="132"/>
        <v>0.99977322463604557</v>
      </c>
      <c r="AV106" s="302">
        <f t="shared" si="132"/>
        <v>0.99976099749120817</v>
      </c>
      <c r="AW106" s="302">
        <f t="shared" si="132"/>
        <v>0.99974891548959477</v>
      </c>
      <c r="AX106" s="302">
        <f t="shared" si="130"/>
        <v>0.99973790218588809</v>
      </c>
      <c r="AY106" s="302">
        <f t="shared" si="130"/>
        <v>0.99972852846694893</v>
      </c>
      <c r="AZ106" s="302">
        <f t="shared" si="130"/>
        <v>0.99972107239706332</v>
      </c>
      <c r="BA106" s="302">
        <f t="shared" si="130"/>
        <v>0.99971557452480497</v>
      </c>
      <c r="BB106" s="302">
        <f t="shared" si="128"/>
        <v>0.99971189111416559</v>
      </c>
      <c r="BC106" s="302">
        <f t="shared" si="136"/>
        <v>0.99970974420938397</v>
      </c>
      <c r="BD106" s="302">
        <f t="shared" si="136"/>
        <v>0.99970876599299718</v>
      </c>
      <c r="BE106" s="302">
        <f t="shared" si="136"/>
        <v>0.99970853492078737</v>
      </c>
      <c r="BF106" s="302">
        <f t="shared" si="136"/>
        <v>0.99970860514764526</v>
      </c>
      <c r="BG106" s="302">
        <f t="shared" si="136"/>
        <v>0.99970883408853206</v>
      </c>
      <c r="BH106" s="302">
        <f t="shared" si="136"/>
        <v>0.99970964715769284</v>
      </c>
      <c r="BI106" s="302">
        <f t="shared" si="136"/>
        <v>0.99971151809672576</v>
      </c>
      <c r="BJ106" s="302">
        <f t="shared" si="136"/>
        <v>0.99971489241673128</v>
      </c>
      <c r="BK106" s="302">
        <f t="shared" si="136"/>
        <v>0.99972016363298877</v>
      </c>
      <c r="BL106" s="302">
        <f t="shared" si="136"/>
        <v>0.99972764366681122</v>
      </c>
      <c r="BM106" s="302">
        <f t="shared" si="136"/>
        <v>0.99973753145634892</v>
      </c>
      <c r="BN106" s="302">
        <f t="shared" si="136"/>
        <v>0.99974988510840068</v>
      </c>
      <c r="BO106" s="303">
        <f t="shared" si="136"/>
        <v>0.99976460349179019</v>
      </c>
      <c r="BP106" s="223"/>
      <c r="BQ106" s="139"/>
      <c r="BR106" s="139"/>
      <c r="BS106" s="139"/>
      <c r="BT106" s="139"/>
      <c r="BU106" s="139"/>
      <c r="BV106" s="139"/>
      <c r="BW106" s="139"/>
      <c r="BX106" s="139"/>
      <c r="BY106" s="139"/>
      <c r="BZ106" s="139"/>
      <c r="CA106" s="139"/>
      <c r="CB106" s="139"/>
      <c r="CC106" s="139"/>
      <c r="CD106" s="139"/>
      <c r="CE106" s="139"/>
      <c r="CF106" s="139"/>
      <c r="CG106" s="139"/>
    </row>
    <row r="107" spans="3:85" ht="42" customHeight="1">
      <c r="C107" s="426"/>
      <c r="D107" s="425"/>
      <c r="E107" s="443">
        <v>0</v>
      </c>
      <c r="F107" s="464"/>
      <c r="G107" s="302">
        <f t="shared" si="134"/>
        <v>0.97329763704573502</v>
      </c>
      <c r="H107" s="302">
        <f t="shared" si="134"/>
        <v>0.96052335303807712</v>
      </c>
      <c r="I107" s="302">
        <f t="shared" si="134"/>
        <v>0.94186977257610027</v>
      </c>
      <c r="J107" s="302">
        <f t="shared" si="134"/>
        <v>0.91489987387260696</v>
      </c>
      <c r="K107" s="302">
        <f t="shared" si="134"/>
        <v>0.8764789674540967</v>
      </c>
      <c r="L107" s="302">
        <f t="shared" si="134"/>
        <v>0.82295499673207861</v>
      </c>
      <c r="M107" s="302">
        <f t="shared" si="134"/>
        <v>0.75093024613625337</v>
      </c>
      <c r="N107" s="302">
        <f t="shared" si="134"/>
        <v>0.65937744957692557</v>
      </c>
      <c r="O107" s="302">
        <f t="shared" si="134"/>
        <v>0.55469531619990853</v>
      </c>
      <c r="P107" s="302">
        <f t="shared" si="134"/>
        <v>0.46027981481455466</v>
      </c>
      <c r="Q107" s="302">
        <f t="shared" si="134"/>
        <v>0.41354791165459515</v>
      </c>
      <c r="R107" s="302">
        <f t="shared" si="134"/>
        <v>0.40933030909734358</v>
      </c>
      <c r="S107" s="302">
        <f t="shared" si="134"/>
        <v>0.43162018360667032</v>
      </c>
      <c r="T107" s="302">
        <f t="shared" si="134"/>
        <v>0.50825647508827299</v>
      </c>
      <c r="U107" s="302">
        <f t="shared" si="134"/>
        <v>0.61256752806970538</v>
      </c>
      <c r="V107" s="302">
        <f t="shared" si="134"/>
        <v>0.71163341572281258</v>
      </c>
      <c r="W107" s="302">
        <f t="shared" si="131"/>
        <v>0.79268177145621777</v>
      </c>
      <c r="X107" s="302">
        <f t="shared" si="131"/>
        <v>0.85425950386842431</v>
      </c>
      <c r="Y107" s="302">
        <f t="shared" si="131"/>
        <v>0.89907564842869769</v>
      </c>
      <c r="Z107" s="302">
        <f t="shared" si="131"/>
        <v>0.93081892468560357</v>
      </c>
      <c r="AA107" s="302">
        <f t="shared" si="131"/>
        <v>0.95290550817563469</v>
      </c>
      <c r="AB107" s="302">
        <f t="shared" si="131"/>
        <v>0.96809122039908835</v>
      </c>
      <c r="AC107" s="302">
        <f t="shared" si="131"/>
        <v>0.97844868491439363</v>
      </c>
      <c r="AD107" s="302">
        <f t="shared" si="131"/>
        <v>0.9854744511296244</v>
      </c>
      <c r="AE107" s="302">
        <f t="shared" si="131"/>
        <v>0.99022213258562308</v>
      </c>
      <c r="AF107" s="302">
        <f t="shared" si="131"/>
        <v>0.99342154265149607</v>
      </c>
      <c r="AG107" s="302">
        <f t="shared" si="131"/>
        <v>0.9955728273586012</v>
      </c>
      <c r="AH107" s="302">
        <f t="shared" si="132"/>
        <v>0.99701628982355384</v>
      </c>
      <c r="AI107" s="302">
        <f t="shared" si="132"/>
        <v>0.99798234044734513</v>
      </c>
      <c r="AJ107" s="302">
        <f t="shared" si="132"/>
        <v>0.99862644878821516</v>
      </c>
      <c r="AK107" s="302">
        <f t="shared" si="132"/>
        <v>0.99905326343240641</v>
      </c>
      <c r="AL107" s="302">
        <f t="shared" si="132"/>
        <v>0.99933311150285442</v>
      </c>
      <c r="AM107" s="302">
        <f t="shared" si="132"/>
        <v>0.9995132241961362</v>
      </c>
      <c r="AN107" s="302">
        <f t="shared" si="132"/>
        <v>0.99962534927823798</v>
      </c>
      <c r="AO107" s="302">
        <f t="shared" si="132"/>
        <v>0.99969090255882675</v>
      </c>
      <c r="AP107" s="302">
        <f t="shared" si="132"/>
        <v>0.99972444611175004</v>
      </c>
      <c r="AQ107" s="302">
        <f t="shared" si="132"/>
        <v>0.99973602649714255</v>
      </c>
      <c r="AR107" s="302">
        <f t="shared" si="132"/>
        <v>0.99973273196074341</v>
      </c>
      <c r="AS107" s="302">
        <f t="shared" si="132"/>
        <v>0.99971971084824507</v>
      </c>
      <c r="AT107" s="302">
        <f t="shared" si="132"/>
        <v>0.99970081728706262</v>
      </c>
      <c r="AU107" s="302">
        <f t="shared" si="132"/>
        <v>0.99967900165229084</v>
      </c>
      <c r="AV107" s="302">
        <f t="shared" si="132"/>
        <v>0.99965653241666919</v>
      </c>
      <c r="AW107" s="302">
        <f t="shared" si="132"/>
        <v>0.99963511499786983</v>
      </c>
      <c r="AX107" s="302">
        <f t="shared" si="130"/>
        <v>0.99961595681637461</v>
      </c>
      <c r="AY107" s="302">
        <f t="shared" si="130"/>
        <v>0.99959981306183177</v>
      </c>
      <c r="AZ107" s="302">
        <f t="shared" si="130"/>
        <v>0.99958703393185855</v>
      </c>
      <c r="BA107" s="302">
        <f t="shared" si="130"/>
        <v>0.99957762210744427</v>
      </c>
      <c r="BB107" s="302">
        <f t="shared" si="128"/>
        <v>0.99957130014824791</v>
      </c>
      <c r="BC107" s="302">
        <f t="shared" si="136"/>
        <v>0.99956758206332463</v>
      </c>
      <c r="BD107" s="302">
        <f t="shared" si="136"/>
        <v>0.99956584140880322</v>
      </c>
      <c r="BE107" s="302">
        <f t="shared" si="136"/>
        <v>0.99956536899320114</v>
      </c>
      <c r="BF107" s="302">
        <f t="shared" si="136"/>
        <v>0.99956542068139786</v>
      </c>
      <c r="BG107" s="302">
        <f t="shared" si="136"/>
        <v>0.99956575293531824</v>
      </c>
      <c r="BH107" s="302">
        <f t="shared" si="136"/>
        <v>0.99956705475681462</v>
      </c>
      <c r="BI107" s="302">
        <f t="shared" si="136"/>
        <v>0.99957009488870885</v>
      </c>
      <c r="BJ107" s="302">
        <f t="shared" si="136"/>
        <v>0.99957559300022836</v>
      </c>
      <c r="BK107" s="302">
        <f t="shared" si="136"/>
        <v>0.99958417642803266</v>
      </c>
      <c r="BL107" s="302">
        <f t="shared" si="136"/>
        <v>0.99959632732939896</v>
      </c>
      <c r="BM107" s="302">
        <f t="shared" si="136"/>
        <v>0.99961232812766521</v>
      </c>
      <c r="BN107" s="302">
        <f t="shared" si="136"/>
        <v>0.99963221547646197</v>
      </c>
      <c r="BO107" s="303">
        <f t="shared" si="136"/>
        <v>0.99965575366128923</v>
      </c>
      <c r="BP107" s="223"/>
      <c r="BQ107" s="139"/>
      <c r="BR107" s="139"/>
      <c r="BS107" s="139"/>
      <c r="BT107" s="139"/>
      <c r="BU107" s="139"/>
      <c r="BV107" s="139"/>
      <c r="BW107" s="139"/>
      <c r="BX107" s="139"/>
      <c r="BY107" s="139"/>
      <c r="BZ107" s="139"/>
      <c r="CA107" s="139"/>
      <c r="CB107" s="139"/>
      <c r="CC107" s="139"/>
      <c r="CD107" s="139"/>
      <c r="CE107" s="139"/>
      <c r="CF107" s="139"/>
      <c r="CG107" s="139"/>
    </row>
    <row r="108" spans="3:85" ht="42" customHeight="1">
      <c r="C108" s="426"/>
      <c r="D108" s="425"/>
      <c r="E108" s="445">
        <v>-0.05</v>
      </c>
      <c r="F108" s="464"/>
      <c r="G108" s="302">
        <f t="shared" si="134"/>
        <v>0.97394413765674459</v>
      </c>
      <c r="H108" s="302">
        <f t="shared" si="134"/>
        <v>0.96167114218848826</v>
      </c>
      <c r="I108" s="302">
        <f t="shared" si="134"/>
        <v>0.94393135776585546</v>
      </c>
      <c r="J108" s="302">
        <f t="shared" si="134"/>
        <v>0.91864748612616953</v>
      </c>
      <c r="K108" s="302">
        <f t="shared" si="134"/>
        <v>0.88337252728739601</v>
      </c>
      <c r="L108" s="302">
        <f t="shared" si="134"/>
        <v>0.83576802698984298</v>
      </c>
      <c r="M108" s="302">
        <f t="shared" si="134"/>
        <v>0.77488718432208581</v>
      </c>
      <c r="N108" s="302">
        <f t="shared" si="134"/>
        <v>0.70385181405920771</v>
      </c>
      <c r="O108" s="302">
        <f t="shared" si="134"/>
        <v>0.6336761786953683</v>
      </c>
      <c r="P108" s="302">
        <f t="shared" si="134"/>
        <v>0.58297517952493794</v>
      </c>
      <c r="Q108" s="302">
        <f t="shared" si="134"/>
        <v>0.56289177040982719</v>
      </c>
      <c r="R108" s="302">
        <f t="shared" si="134"/>
        <v>0.56124869002467337</v>
      </c>
      <c r="S108" s="302">
        <f t="shared" si="134"/>
        <v>0.57025086136127545</v>
      </c>
      <c r="T108" s="302">
        <f t="shared" si="134"/>
        <v>0.60710570411620535</v>
      </c>
      <c r="U108" s="302">
        <f t="shared" si="134"/>
        <v>0.67084157450272197</v>
      </c>
      <c r="V108" s="302">
        <f t="shared" si="134"/>
        <v>0.74343725172340114</v>
      </c>
      <c r="W108" s="302">
        <f t="shared" si="131"/>
        <v>0.80970365873782379</v>
      </c>
      <c r="X108" s="302">
        <f t="shared" si="131"/>
        <v>0.86338484183083652</v>
      </c>
      <c r="Y108" s="302">
        <f t="shared" si="131"/>
        <v>0.9040115678924554</v>
      </c>
      <c r="Z108" s="302">
        <f t="shared" si="131"/>
        <v>0.9335192735582587</v>
      </c>
      <c r="AA108" s="302">
        <f t="shared" si="131"/>
        <v>0.95440051412489435</v>
      </c>
      <c r="AB108" s="302">
        <f t="shared" si="131"/>
        <v>0.96892852014345487</v>
      </c>
      <c r="AC108" s="302">
        <f t="shared" si="131"/>
        <v>0.97892259191613529</v>
      </c>
      <c r="AD108" s="302">
        <f t="shared" si="131"/>
        <v>0.98574501545594317</v>
      </c>
      <c r="AE108" s="302">
        <f t="shared" si="131"/>
        <v>0.99037739738238884</v>
      </c>
      <c r="AF108" s="302">
        <f t="shared" si="131"/>
        <v>0.99351043216051116</v>
      </c>
      <c r="AG108" s="302">
        <f t="shared" si="131"/>
        <v>0.99562272128612761</v>
      </c>
      <c r="AH108" s="302">
        <f t="shared" si="132"/>
        <v>0.99704252431595863</v>
      </c>
      <c r="AI108" s="302">
        <f t="shared" si="132"/>
        <v>0.99799340128029423</v>
      </c>
      <c r="AJ108" s="302">
        <f t="shared" si="132"/>
        <v>0.99862683863052704</v>
      </c>
      <c r="AK108" s="302">
        <f t="shared" si="132"/>
        <v>0.9990451006552139</v>
      </c>
      <c r="AL108" s="302">
        <f t="shared" si="132"/>
        <v>0.99931703385497994</v>
      </c>
      <c r="AM108" s="302">
        <f t="shared" si="132"/>
        <v>0.99948891416107843</v>
      </c>
      <c r="AN108" s="302">
        <f t="shared" si="132"/>
        <v>0.99959186000608202</v>
      </c>
      <c r="AO108" s="302">
        <f t="shared" si="132"/>
        <v>0.99964688712623773</v>
      </c>
      <c r="AP108" s="302">
        <f t="shared" si="132"/>
        <v>0.9996683484678951</v>
      </c>
      <c r="AQ108" s="302">
        <f t="shared" si="132"/>
        <v>0.99966626392160063</v>
      </c>
      <c r="AR108" s="302">
        <f t="shared" si="132"/>
        <v>0.99964787828412105</v>
      </c>
      <c r="AS108" s="302">
        <f t="shared" si="132"/>
        <v>0.99961867402064664</v>
      </c>
      <c r="AT108" s="302">
        <f t="shared" si="132"/>
        <v>0.99958299405331552</v>
      </c>
      <c r="AU108" s="302">
        <f t="shared" si="132"/>
        <v>0.99954438739810458</v>
      </c>
      <c r="AV108" s="302">
        <f t="shared" si="132"/>
        <v>0.99950576672753455</v>
      </c>
      <c r="AW108" s="302">
        <f t="shared" si="132"/>
        <v>0.99946945258498032</v>
      </c>
      <c r="AX108" s="302">
        <f t="shared" si="130"/>
        <v>0.99943716659647019</v>
      </c>
      <c r="AY108" s="302">
        <f t="shared" si="130"/>
        <v>0.99941002127924727</v>
      </c>
      <c r="AZ108" s="302">
        <f t="shared" si="130"/>
        <v>0.99938853628921631</v>
      </c>
      <c r="BA108" s="302">
        <f t="shared" si="130"/>
        <v>0.9993726925384433</v>
      </c>
      <c r="BB108" s="302">
        <f t="shared" si="128"/>
        <v>0.99936202009677932</v>
      </c>
      <c r="BC108" s="302">
        <f t="shared" si="136"/>
        <v>0.99935570591764722</v>
      </c>
      <c r="BD108" s="302">
        <f t="shared" si="136"/>
        <v>0.99935270396343101</v>
      </c>
      <c r="BE108" s="302">
        <f t="shared" si="136"/>
        <v>0.99935183204204503</v>
      </c>
      <c r="BF108" s="302">
        <f t="shared" si="136"/>
        <v>0.9993518529797718</v>
      </c>
      <c r="BG108" s="302">
        <f t="shared" si="136"/>
        <v>0.99935235617939866</v>
      </c>
      <c r="BH108" s="302">
        <f t="shared" si="136"/>
        <v>0.99935446664486505</v>
      </c>
      <c r="BI108" s="302">
        <f t="shared" si="136"/>
        <v>0.9993594396636134</v>
      </c>
      <c r="BJ108" s="302">
        <f t="shared" si="136"/>
        <v>0.99936844301544558</v>
      </c>
      <c r="BK108" s="302">
        <f t="shared" si="136"/>
        <v>0.99938247810896874</v>
      </c>
      <c r="BL108" s="302">
        <f t="shared" si="136"/>
        <v>0.99940228541467002</v>
      </c>
      <c r="BM108" s="302">
        <f t="shared" si="136"/>
        <v>0.99942824980575351</v>
      </c>
      <c r="BN108" s="302">
        <f t="shared" si="136"/>
        <v>0.99946032559677045</v>
      </c>
      <c r="BO108" s="303">
        <f t="shared" si="136"/>
        <v>0.99949800145535383</v>
      </c>
      <c r="BP108" s="223"/>
      <c r="BQ108" s="139"/>
      <c r="BR108" s="139"/>
      <c r="BS108" s="139"/>
      <c r="BT108" s="139"/>
      <c r="BU108" s="139"/>
      <c r="BV108" s="139"/>
      <c r="BW108" s="139"/>
      <c r="BX108" s="139"/>
      <c r="BY108" s="139"/>
      <c r="BZ108" s="139"/>
      <c r="CA108" s="139"/>
      <c r="CB108" s="139"/>
      <c r="CC108" s="139"/>
      <c r="CD108" s="139"/>
      <c r="CE108" s="139"/>
      <c r="CF108" s="139"/>
      <c r="CG108" s="139"/>
    </row>
    <row r="109" spans="3:85" ht="42" customHeight="1">
      <c r="C109" s="426"/>
      <c r="D109" s="425"/>
      <c r="E109" s="443">
        <v>-0.1</v>
      </c>
      <c r="F109" s="464"/>
      <c r="G109" s="302">
        <f t="shared" si="134"/>
        <v>0.97509827786158931</v>
      </c>
      <c r="H109" s="302">
        <f t="shared" si="134"/>
        <v>0.96369585415880388</v>
      </c>
      <c r="I109" s="302">
        <f t="shared" si="134"/>
        <v>0.94750912239909946</v>
      </c>
      <c r="J109" s="302">
        <f t="shared" si="134"/>
        <v>0.92500378203495182</v>
      </c>
      <c r="K109" s="302">
        <f t="shared" si="134"/>
        <v>0.89468238825896873</v>
      </c>
      <c r="L109" s="302">
        <f t="shared" si="134"/>
        <v>0.8557685045241975</v>
      </c>
      <c r="M109" s="302">
        <f t="shared" si="134"/>
        <v>0.80951996042050622</v>
      </c>
      <c r="N109" s="302">
        <f t="shared" si="134"/>
        <v>0.76094684399638635</v>
      </c>
      <c r="O109" s="302">
        <f t="shared" si="134"/>
        <v>0.71916044714798855</v>
      </c>
      <c r="P109" s="302">
        <f t="shared" si="134"/>
        <v>0.69304894367259229</v>
      </c>
      <c r="Q109" s="302">
        <f t="shared" si="134"/>
        <v>0.68367888617681527</v>
      </c>
      <c r="R109" s="302">
        <f t="shared" si="134"/>
        <v>0.68293688377045203</v>
      </c>
      <c r="S109" s="302">
        <f t="shared" si="134"/>
        <v>0.68704774780353739</v>
      </c>
      <c r="T109" s="302">
        <f t="shared" si="134"/>
        <v>0.70503998609462015</v>
      </c>
      <c r="U109" s="302">
        <f t="shared" si="134"/>
        <v>0.74049348340525789</v>
      </c>
      <c r="V109" s="302">
        <f t="shared" si="134"/>
        <v>0.78726933493963447</v>
      </c>
      <c r="W109" s="302">
        <f t="shared" si="131"/>
        <v>0.83547042836546381</v>
      </c>
      <c r="X109" s="302">
        <f t="shared" si="131"/>
        <v>0.87805897693935719</v>
      </c>
      <c r="Y109" s="302">
        <f t="shared" si="131"/>
        <v>0.91227099988255267</v>
      </c>
      <c r="Z109" s="302">
        <f t="shared" si="131"/>
        <v>0.9381618124175779</v>
      </c>
      <c r="AA109" s="302">
        <f t="shared" si="131"/>
        <v>0.95702022880573878</v>
      </c>
      <c r="AB109" s="302">
        <f t="shared" si="131"/>
        <v>0.97041628285200032</v>
      </c>
      <c r="AC109" s="302">
        <f t="shared" si="131"/>
        <v>0.97977368108876584</v>
      </c>
      <c r="AD109" s="302">
        <f t="shared" si="131"/>
        <v>0.98623527808845735</v>
      </c>
      <c r="AE109" s="302">
        <f t="shared" si="131"/>
        <v>0.99066126595558701</v>
      </c>
      <c r="AF109" s="302">
        <f t="shared" si="131"/>
        <v>0.9936749088163207</v>
      </c>
      <c r="AG109" s="302">
        <f t="shared" si="131"/>
        <v>0.99571708203483356</v>
      </c>
      <c r="AH109" s="302">
        <f t="shared" si="132"/>
        <v>0.99709472317293524</v>
      </c>
      <c r="AI109" s="302">
        <f t="shared" si="132"/>
        <v>0.99801918066159645</v>
      </c>
      <c r="AJ109" s="302">
        <f t="shared" si="132"/>
        <v>0.9986348197614574</v>
      </c>
      <c r="AK109" s="302">
        <f t="shared" si="132"/>
        <v>0.9990396447553459</v>
      </c>
      <c r="AL109" s="302">
        <f t="shared" si="132"/>
        <v>0.99929986244210178</v>
      </c>
      <c r="AM109" s="302">
        <f t="shared" si="132"/>
        <v>0.99946004186042503</v>
      </c>
      <c r="AN109" s="302">
        <f t="shared" si="132"/>
        <v>0.99955015610803966</v>
      </c>
      <c r="AO109" s="302">
        <f t="shared" si="132"/>
        <v>0.9995904508610588</v>
      </c>
      <c r="AP109" s="302">
        <f t="shared" si="132"/>
        <v>0.99959480722173299</v>
      </c>
      <c r="AQ109" s="302">
        <f t="shared" si="132"/>
        <v>0.99957305563795418</v>
      </c>
      <c r="AR109" s="302">
        <f t="shared" si="132"/>
        <v>0.99953254428336502</v>
      </c>
      <c r="AS109" s="302">
        <f t="shared" si="132"/>
        <v>0.99947915994406156</v>
      </c>
      <c r="AT109" s="302">
        <f t="shared" si="132"/>
        <v>0.99941793389381628</v>
      </c>
      <c r="AU109" s="302">
        <f t="shared" si="132"/>
        <v>0.99935333147610228</v>
      </c>
      <c r="AV109" s="302">
        <f t="shared" si="132"/>
        <v>0.99928931265771881</v>
      </c>
      <c r="AW109" s="302">
        <f t="shared" si="132"/>
        <v>0.99922925016018016</v>
      </c>
      <c r="AX109" s="302">
        <f t="shared" si="130"/>
        <v>0.99917579015684499</v>
      </c>
      <c r="AY109" s="302">
        <f t="shared" si="130"/>
        <v>0.999130729439204</v>
      </c>
      <c r="AZ109" s="302">
        <f t="shared" si="130"/>
        <v>0.99909496019945609</v>
      </c>
      <c r="BA109" s="302">
        <f t="shared" si="130"/>
        <v>0.99906850361444866</v>
      </c>
      <c r="BB109" s="302">
        <f t="shared" si="128"/>
        <v>0.99905062450444637</v>
      </c>
      <c r="BC109" s="302">
        <f t="shared" si="136"/>
        <v>0.9990399990699238</v>
      </c>
      <c r="BD109" s="302">
        <f t="shared" si="136"/>
        <v>0.99903489960632286</v>
      </c>
      <c r="BE109" s="302">
        <f t="shared" si="136"/>
        <v>0.99903336289453215</v>
      </c>
      <c r="BF109" s="302">
        <f t="shared" si="136"/>
        <v>0.9990333326208517</v>
      </c>
      <c r="BG109" s="302">
        <f t="shared" si="136"/>
        <v>0.99903412025828953</v>
      </c>
      <c r="BH109" s="302">
        <f t="shared" si="136"/>
        <v>0.99903757586417963</v>
      </c>
      <c r="BI109" s="302">
        <f t="shared" si="136"/>
        <v>0.99904576103606102</v>
      </c>
      <c r="BJ109" s="302">
        <f t="shared" si="136"/>
        <v>0.99906057821235383</v>
      </c>
      <c r="BK109" s="302">
        <f t="shared" si="136"/>
        <v>0.99908362618984448</v>
      </c>
      <c r="BL109" s="302">
        <f t="shared" si="136"/>
        <v>0.99911603029584395</v>
      </c>
      <c r="BM109" s="302">
        <f t="shared" si="136"/>
        <v>0.99915827857856077</v>
      </c>
      <c r="BN109" s="302">
        <f t="shared" si="136"/>
        <v>0.99921010257588561</v>
      </c>
      <c r="BO109" s="303">
        <f t="shared" si="136"/>
        <v>0.99927043969666218</v>
      </c>
      <c r="BP109" s="223"/>
      <c r="BQ109" s="139"/>
      <c r="BR109" s="139"/>
      <c r="BS109" s="139"/>
      <c r="BT109" s="139"/>
      <c r="BU109" s="139"/>
      <c r="BV109" s="139"/>
      <c r="BW109" s="139"/>
      <c r="BX109" s="139"/>
      <c r="BY109" s="139"/>
      <c r="BZ109" s="139"/>
      <c r="CA109" s="139"/>
      <c r="CB109" s="139"/>
      <c r="CC109" s="139"/>
      <c r="CD109" s="139"/>
      <c r="CE109" s="139"/>
      <c r="CF109" s="139"/>
      <c r="CG109" s="139"/>
    </row>
    <row r="110" spans="3:85" ht="42" customHeight="1">
      <c r="C110" s="426"/>
      <c r="D110" s="425"/>
      <c r="E110" s="445">
        <v>-0.15</v>
      </c>
      <c r="F110" s="464"/>
      <c r="G110" s="302">
        <f t="shared" si="134"/>
        <v>0.97681127345970853</v>
      </c>
      <c r="H110" s="302">
        <f t="shared" si="134"/>
        <v>0.96664424035006946</v>
      </c>
      <c r="I110" s="302">
        <f t="shared" si="134"/>
        <v>0.95258803069449705</v>
      </c>
      <c r="J110" s="302">
        <f t="shared" si="134"/>
        <v>0.93371986538292528</v>
      </c>
      <c r="K110" s="302">
        <f t="shared" si="134"/>
        <v>0.90946766292615977</v>
      </c>
      <c r="L110" s="302">
        <f t="shared" si="134"/>
        <v>0.88023892804350889</v>
      </c>
      <c r="M110" s="302">
        <f t="shared" si="134"/>
        <v>0.84823042558012318</v>
      </c>
      <c r="N110" s="302">
        <f t="shared" si="134"/>
        <v>0.81779663652477297</v>
      </c>
      <c r="O110" s="302">
        <f t="shared" si="134"/>
        <v>0.79422482512050008</v>
      </c>
      <c r="P110" s="302">
        <f t="shared" si="134"/>
        <v>0.7807158185276406</v>
      </c>
      <c r="Q110" s="302">
        <f t="shared" si="134"/>
        <v>0.77609557415898955</v>
      </c>
      <c r="R110" s="302">
        <f t="shared" si="134"/>
        <v>0.77573479245532806</v>
      </c>
      <c r="S110" s="302">
        <f t="shared" si="134"/>
        <v>0.77774287185019741</v>
      </c>
      <c r="T110" s="302">
        <f t="shared" si="134"/>
        <v>0.78680326413299695</v>
      </c>
      <c r="U110" s="302">
        <f t="shared" si="134"/>
        <v>0.80595745635796645</v>
      </c>
      <c r="V110" s="302">
        <f t="shared" si="134"/>
        <v>0.83388390416926716</v>
      </c>
      <c r="W110" s="302">
        <f t="shared" si="131"/>
        <v>0.86582630195056709</v>
      </c>
      <c r="X110" s="302">
        <f t="shared" si="131"/>
        <v>0.8967230504708692</v>
      </c>
      <c r="Y110" s="302">
        <f t="shared" si="131"/>
        <v>0.92337498199278323</v>
      </c>
      <c r="Z110" s="302">
        <f t="shared" si="131"/>
        <v>0.94465818143037039</v>
      </c>
      <c r="AA110" s="302">
        <f t="shared" si="131"/>
        <v>0.96079487361219806</v>
      </c>
      <c r="AB110" s="302">
        <f t="shared" si="131"/>
        <v>0.97260713702260337</v>
      </c>
      <c r="AC110" s="302">
        <f t="shared" si="131"/>
        <v>0.98104795987928806</v>
      </c>
      <c r="AD110" s="302">
        <f t="shared" si="131"/>
        <v>0.98697901924466769</v>
      </c>
      <c r="AE110" s="302">
        <f t="shared" si="131"/>
        <v>0.99109674323561525</v>
      </c>
      <c r="AF110" s="302">
        <f t="shared" si="131"/>
        <v>0.99393004536387008</v>
      </c>
      <c r="AG110" s="302">
        <f t="shared" si="131"/>
        <v>0.99586557299056699</v>
      </c>
      <c r="AH110" s="302">
        <f t="shared" si="132"/>
        <v>0.99717899564585522</v>
      </c>
      <c r="AI110" s="302">
        <f t="shared" si="132"/>
        <v>0.9980634855158711</v>
      </c>
      <c r="AJ110" s="302">
        <f t="shared" si="132"/>
        <v>0.99865269181596195</v>
      </c>
      <c r="AK110" s="302">
        <f t="shared" si="132"/>
        <v>0.99903815480858282</v>
      </c>
      <c r="AL110" s="302">
        <f t="shared" si="132"/>
        <v>0.99928204291077827</v>
      </c>
      <c r="AM110" s="302">
        <f t="shared" si="132"/>
        <v>0.99942627918000326</v>
      </c>
      <c r="AN110" s="302">
        <f t="shared" si="132"/>
        <v>0.99949901313992673</v>
      </c>
      <c r="AO110" s="302">
        <f t="shared" si="132"/>
        <v>0.99951919746740692</v>
      </c>
      <c r="AP110" s="302">
        <f t="shared" si="132"/>
        <v>0.99949983054714453</v>
      </c>
      <c r="AQ110" s="302">
        <f t="shared" si="132"/>
        <v>0.99945025445395064</v>
      </c>
      <c r="AR110" s="302">
        <f t="shared" si="132"/>
        <v>0.99937776134416545</v>
      </c>
      <c r="AS110" s="302">
        <f t="shared" si="132"/>
        <v>0.99928866131396965</v>
      </c>
      <c r="AT110" s="302">
        <f t="shared" si="132"/>
        <v>0.99918890252670989</v>
      </c>
      <c r="AU110" s="302">
        <f t="shared" si="132"/>
        <v>0.99908430932966807</v>
      </c>
      <c r="AV110" s="302">
        <f t="shared" si="132"/>
        <v>0.99898051061208049</v>
      </c>
      <c r="AW110" s="302">
        <f t="shared" si="132"/>
        <v>0.99888265545746746</v>
      </c>
      <c r="AX110" s="302">
        <f t="shared" si="130"/>
        <v>0.99879503671630443</v>
      </c>
      <c r="AY110" s="302">
        <f t="shared" si="130"/>
        <v>0.99872074673382782</v>
      </c>
      <c r="AZ110" s="302">
        <f t="shared" si="130"/>
        <v>0.99866146401584732</v>
      </c>
      <c r="BA110" s="302">
        <f t="shared" si="130"/>
        <v>0.99861742049329583</v>
      </c>
      <c r="BB110" s="302">
        <f t="shared" si="128"/>
        <v>0.9985875430011959</v>
      </c>
      <c r="BC110" s="302">
        <f t="shared" si="136"/>
        <v>0.99856971837785902</v>
      </c>
      <c r="BD110" s="302">
        <f t="shared" si="136"/>
        <v>0.99856111063672448</v>
      </c>
      <c r="BE110" s="302">
        <f t="shared" si="136"/>
        <v>0.99855846124441316</v>
      </c>
      <c r="BF110" s="302">
        <f t="shared" si="136"/>
        <v>0.99855834526941001</v>
      </c>
      <c r="BG110" s="302">
        <f t="shared" si="136"/>
        <v>0.99855960907983521</v>
      </c>
      <c r="BH110" s="302">
        <f t="shared" si="136"/>
        <v>0.99856531554553596</v>
      </c>
      <c r="BI110" s="302">
        <f t="shared" si="136"/>
        <v>0.99857886942091945</v>
      </c>
      <c r="BJ110" s="302">
        <f t="shared" si="136"/>
        <v>0.99860338111418401</v>
      </c>
      <c r="BK110" s="302">
        <f t="shared" si="136"/>
        <v>0.99864140011036484</v>
      </c>
      <c r="BL110" s="302">
        <f t="shared" si="136"/>
        <v>0.99869460875024185</v>
      </c>
      <c r="BM110" s="302">
        <f t="shared" si="136"/>
        <v>0.99876354019990765</v>
      </c>
      <c r="BN110" s="302">
        <f t="shared" si="136"/>
        <v>0.99884739608847495</v>
      </c>
      <c r="BO110" s="303">
        <f t="shared" si="136"/>
        <v>0.99894403081276029</v>
      </c>
      <c r="BP110" s="223"/>
      <c r="BQ110" s="139"/>
      <c r="BR110" s="139"/>
      <c r="BS110" s="139"/>
      <c r="BT110" s="139"/>
      <c r="BU110" s="139"/>
      <c r="BV110" s="139"/>
      <c r="BW110" s="139"/>
      <c r="BX110" s="139"/>
      <c r="BY110" s="139"/>
      <c r="BZ110" s="139"/>
      <c r="CA110" s="139"/>
      <c r="CB110" s="139"/>
      <c r="CC110" s="139"/>
      <c r="CD110" s="139"/>
      <c r="CE110" s="139"/>
      <c r="CF110" s="139"/>
      <c r="CG110" s="139"/>
    </row>
    <row r="111" spans="3:85" ht="42" customHeight="1">
      <c r="C111" s="426"/>
      <c r="D111" s="425"/>
      <c r="E111" s="443">
        <v>-0.2</v>
      </c>
      <c r="F111" s="464"/>
      <c r="G111" s="302">
        <f t="shared" si="134"/>
        <v>0.97903863650041767</v>
      </c>
      <c r="H111" s="302">
        <f t="shared" si="134"/>
        <v>0.97037838896197248</v>
      </c>
      <c r="I111" s="302">
        <f t="shared" si="134"/>
        <v>0.95880488356419802</v>
      </c>
      <c r="J111" s="302">
        <f t="shared" si="134"/>
        <v>0.94392587135733685</v>
      </c>
      <c r="K111" s="302">
        <f t="shared" si="134"/>
        <v>0.92581401931951735</v>
      </c>
      <c r="L111" s="302">
        <f t="shared" si="134"/>
        <v>0.90539590823161487</v>
      </c>
      <c r="M111" s="302">
        <f t="shared" si="134"/>
        <v>0.88470587650071453</v>
      </c>
      <c r="N111" s="302">
        <f t="shared" si="134"/>
        <v>0.86657896793956646</v>
      </c>
      <c r="O111" s="302">
        <f t="shared" si="134"/>
        <v>0.85353592227763542</v>
      </c>
      <c r="P111" s="302">
        <f t="shared" si="134"/>
        <v>0.84644220870853393</v>
      </c>
      <c r="Q111" s="302">
        <f t="shared" si="134"/>
        <v>0.84407870375337157</v>
      </c>
      <c r="R111" s="302">
        <f t="shared" si="134"/>
        <v>0.84389545386427134</v>
      </c>
      <c r="S111" s="302">
        <f t="shared" si="134"/>
        <v>0.84491768027978587</v>
      </c>
      <c r="T111" s="302">
        <f t="shared" si="134"/>
        <v>0.84960470942519761</v>
      </c>
      <c r="U111" s="302">
        <f t="shared" si="134"/>
        <v>0.85992091386398084</v>
      </c>
      <c r="V111" s="302">
        <f t="shared" si="134"/>
        <v>0.87597676847927841</v>
      </c>
      <c r="W111" s="302">
        <f t="shared" si="131"/>
        <v>0.89586840690636338</v>
      </c>
      <c r="X111" s="302">
        <f t="shared" si="131"/>
        <v>0.91672638656214489</v>
      </c>
      <c r="Y111" s="302">
        <f t="shared" si="131"/>
        <v>0.93606486246819165</v>
      </c>
      <c r="Z111" s="302">
        <f t="shared" si="131"/>
        <v>0.95246270549446899</v>
      </c>
      <c r="AA111" s="302">
        <f t="shared" si="131"/>
        <v>0.96550729776104349</v>
      </c>
      <c r="AB111" s="302">
        <f t="shared" si="131"/>
        <v>0.97542450258583702</v>
      </c>
      <c r="AC111" s="302">
        <f t="shared" si="131"/>
        <v>0.98272482285815033</v>
      </c>
      <c r="AD111" s="302">
        <f t="shared" si="131"/>
        <v>0.98797573937418859</v>
      </c>
      <c r="AE111" s="302">
        <f t="shared" si="131"/>
        <v>0.99168912337654991</v>
      </c>
      <c r="AF111" s="302">
        <f t="shared" si="131"/>
        <v>0.99428170532345606</v>
      </c>
      <c r="AG111" s="302">
        <f t="shared" si="131"/>
        <v>0.99607304022123022</v>
      </c>
      <c r="AH111" s="302">
        <f t="shared" si="132"/>
        <v>0.9972989281872281</v>
      </c>
      <c r="AI111" s="302">
        <f t="shared" si="132"/>
        <v>0.99812881929659292</v>
      </c>
      <c r="AJ111" s="302">
        <f t="shared" si="132"/>
        <v>0.99868211630233861</v>
      </c>
      <c r="AK111" s="302">
        <f t="shared" si="132"/>
        <v>0.99904162915278194</v>
      </c>
      <c r="AL111" s="302">
        <f t="shared" si="132"/>
        <v>0.99926398244407866</v>
      </c>
      <c r="AM111" s="302">
        <f t="shared" si="132"/>
        <v>0.999387385547163</v>
      </c>
      <c r="AN111" s="302">
        <f t="shared" si="132"/>
        <v>0.99943733595835826</v>
      </c>
      <c r="AO111" s="302">
        <f t="shared" si="132"/>
        <v>0.99943079388163925</v>
      </c>
      <c r="AP111" s="302">
        <f t="shared" si="132"/>
        <v>0.99937926142777966</v>
      </c>
      <c r="AQ111" s="302">
        <f t="shared" si="132"/>
        <v>0.99929107654536509</v>
      </c>
      <c r="AR111" s="302">
        <f t="shared" si="132"/>
        <v>0.9991731131832956</v>
      </c>
      <c r="AS111" s="302">
        <f t="shared" si="132"/>
        <v>0.99903197891016571</v>
      </c>
      <c r="AT111" s="302">
        <f t="shared" si="132"/>
        <v>0.99887473253341708</v>
      </c>
      <c r="AU111" s="302">
        <f t="shared" si="132"/>
        <v>0.99870912016331181</v>
      </c>
      <c r="AV111" s="302">
        <f t="shared" si="132"/>
        <v>0.99854335451299692</v>
      </c>
      <c r="AW111" s="302">
        <f t="shared" si="132"/>
        <v>0.99838552860624707</v>
      </c>
      <c r="AX111" s="302">
        <f t="shared" si="130"/>
        <v>0.99824283151130999</v>
      </c>
      <c r="AY111" s="302">
        <f t="shared" si="130"/>
        <v>0.99812078006524452</v>
      </c>
      <c r="AZ111" s="302">
        <f t="shared" si="130"/>
        <v>0.99802266662456229</v>
      </c>
      <c r="BA111" s="302">
        <f t="shared" si="130"/>
        <v>0.99794934701013349</v>
      </c>
      <c r="BB111" s="302">
        <f t="shared" ref="BB111:BO127" si="137">($F$74-$D$76)*2*(1/(1+EXP(-4/$F$76*(POWER(POWER((ABS(BB$75-($E$74))),3)+POWER(ABS($E111-($E$75)),3),1/3))))-0.5+$D$76)*($F$74-$D$76)*2*(1/(1+EXP(-4/$F$76*(POWER(POWER((ABS(BB$75-($D$74))),3)+POWER(ABS($E111-($D$75)),3),1/3))))-0.5+$D$76)</f>
        <v>0.99789938419318336</v>
      </c>
      <c r="BC111" s="302">
        <f t="shared" si="137"/>
        <v>0.99786946497171392</v>
      </c>
      <c r="BD111" s="302">
        <f t="shared" si="137"/>
        <v>0.99785495177697092</v>
      </c>
      <c r="BE111" s="302">
        <f t="shared" si="137"/>
        <v>0.99785042794712664</v>
      </c>
      <c r="BF111" s="302">
        <f t="shared" si="137"/>
        <v>0.99785016769729917</v>
      </c>
      <c r="BG111" s="302">
        <f t="shared" si="137"/>
        <v>0.9978522339882695</v>
      </c>
      <c r="BH111" s="302">
        <f t="shared" si="137"/>
        <v>0.9978617314788254</v>
      </c>
      <c r="BI111" s="302">
        <f t="shared" si="137"/>
        <v>0.99788431484903517</v>
      </c>
      <c r="BJ111" s="302">
        <f t="shared" si="137"/>
        <v>0.99792508600078822</v>
      </c>
      <c r="BK111" s="302">
        <f t="shared" si="137"/>
        <v>0.99798809801879251</v>
      </c>
      <c r="BL111" s="302">
        <f t="shared" si="137"/>
        <v>0.99807580092689008</v>
      </c>
      <c r="BM111" s="302">
        <f t="shared" si="137"/>
        <v>0.99818856077022666</v>
      </c>
      <c r="BN111" s="302">
        <f t="shared" si="137"/>
        <v>0.9983243999670901</v>
      </c>
      <c r="BO111" s="303">
        <f t="shared" si="137"/>
        <v>0.99847907678599046</v>
      </c>
      <c r="BP111" s="223"/>
      <c r="BQ111" s="139"/>
      <c r="BR111" s="139"/>
      <c r="BS111" s="139"/>
      <c r="BT111" s="139"/>
      <c r="BU111" s="139"/>
      <c r="BV111" s="139"/>
      <c r="BW111" s="139"/>
      <c r="BX111" s="139"/>
      <c r="BY111" s="139"/>
      <c r="BZ111" s="139"/>
      <c r="CA111" s="139"/>
      <c r="CB111" s="139"/>
      <c r="CC111" s="139"/>
      <c r="CD111" s="139"/>
      <c r="CE111" s="139"/>
      <c r="CF111" s="139"/>
      <c r="CG111" s="139"/>
    </row>
    <row r="112" spans="3:85" ht="42" customHeight="1">
      <c r="C112" s="426"/>
      <c r="D112" s="425"/>
      <c r="E112" s="445">
        <v>-0.25</v>
      </c>
      <c r="F112" s="464"/>
      <c r="G112" s="302">
        <f t="shared" si="134"/>
        <v>0.98164415823146878</v>
      </c>
      <c r="H112" s="302">
        <f t="shared" si="134"/>
        <v>0.9746064520414327</v>
      </c>
      <c r="I112" s="302">
        <f t="shared" si="134"/>
        <v>0.96556374175676973</v>
      </c>
      <c r="J112" s="302">
        <f t="shared" si="134"/>
        <v>0.95447853608513344</v>
      </c>
      <c r="K112" s="302">
        <f t="shared" si="134"/>
        <v>0.94172225636421925</v>
      </c>
      <c r="L112" s="302">
        <f t="shared" si="134"/>
        <v>0.92822670624019177</v>
      </c>
      <c r="M112" s="302">
        <f t="shared" si="134"/>
        <v>0.9154352334541348</v>
      </c>
      <c r="N112" s="302">
        <f t="shared" si="134"/>
        <v>0.90491301244284428</v>
      </c>
      <c r="O112" s="302">
        <f t="shared" si="134"/>
        <v>0.8977177635036897</v>
      </c>
      <c r="P112" s="302">
        <f t="shared" si="134"/>
        <v>0.89393201573732861</v>
      </c>
      <c r="Q112" s="302">
        <f t="shared" si="134"/>
        <v>0.89269021878215282</v>
      </c>
      <c r="R112" s="302">
        <f t="shared" si="134"/>
        <v>0.89259431756958374</v>
      </c>
      <c r="S112" s="302">
        <f t="shared" si="134"/>
        <v>0.89312983608356356</v>
      </c>
      <c r="T112" s="302">
        <f t="shared" si="134"/>
        <v>0.89560868551460482</v>
      </c>
      <c r="U112" s="302">
        <f t="shared" si="134"/>
        <v>0.90120142032499406</v>
      </c>
      <c r="V112" s="302">
        <f t="shared" si="134"/>
        <v>0.91029039274808599</v>
      </c>
      <c r="W112" s="302">
        <f t="shared" si="131"/>
        <v>0.92222924864448397</v>
      </c>
      <c r="X112" s="302">
        <f t="shared" si="131"/>
        <v>0.93560378077680062</v>
      </c>
      <c r="Y112" s="302">
        <f t="shared" si="131"/>
        <v>0.94884604754257318</v>
      </c>
      <c r="Z112" s="302">
        <f t="shared" si="131"/>
        <v>0.9607668581836063</v>
      </c>
      <c r="AA112" s="302">
        <f t="shared" si="131"/>
        <v>0.97075121648260887</v>
      </c>
      <c r="AB112" s="302">
        <f t="shared" si="131"/>
        <v>0.97867476362057126</v>
      </c>
      <c r="AC112" s="302">
        <f t="shared" si="131"/>
        <v>0.98471612172287271</v>
      </c>
      <c r="AD112" s="302">
        <f t="shared" si="131"/>
        <v>0.9891872893837913</v>
      </c>
      <c r="AE112" s="302">
        <f t="shared" si="131"/>
        <v>0.99242306730235796</v>
      </c>
      <c r="AF112" s="302">
        <f t="shared" si="131"/>
        <v>0.99472453015321372</v>
      </c>
      <c r="AG112" s="302">
        <f t="shared" si="131"/>
        <v>0.99633824799165882</v>
      </c>
      <c r="AH112" s="302">
        <f t="shared" si="132"/>
        <v>0.99745482793845441</v>
      </c>
      <c r="AI112" s="302">
        <f t="shared" si="132"/>
        <v>0.99821594707432437</v>
      </c>
      <c r="AJ112" s="302">
        <f t="shared" si="132"/>
        <v>0.99872388368161336</v>
      </c>
      <c r="AK112" s="302">
        <f t="shared" si="132"/>
        <v>0.99905070703860521</v>
      </c>
      <c r="AL112" s="302">
        <f t="shared" si="132"/>
        <v>0.99924605501323538</v>
      </c>
      <c r="AM112" s="302">
        <f t="shared" si="132"/>
        <v>0.99934331018179046</v>
      </c>
      <c r="AN112" s="302">
        <f t="shared" si="132"/>
        <v>0.99936436577826115</v>
      </c>
      <c r="AO112" s="302">
        <f t="shared" si="132"/>
        <v>0.99932329328322844</v>
      </c>
      <c r="AP112" s="302">
        <f t="shared" si="132"/>
        <v>0.99922921573093026</v>
      </c>
      <c r="AQ112" s="302">
        <f t="shared" si="132"/>
        <v>0.99908862023990552</v>
      </c>
      <c r="AR112" s="302">
        <f t="shared" si="132"/>
        <v>0.99890724162100331</v>
      </c>
      <c r="AS112" s="302">
        <f t="shared" si="132"/>
        <v>0.99869153742458572</v>
      </c>
      <c r="AT112" s="302">
        <f t="shared" si="132"/>
        <v>0.99844967866591527</v>
      </c>
      <c r="AU112" s="302">
        <f t="shared" si="132"/>
        <v>0.99819193290463337</v>
      </c>
      <c r="AV112" s="302">
        <f t="shared" si="132"/>
        <v>0.99793034888813792</v>
      </c>
      <c r="AW112" s="302">
        <f t="shared" ref="AW112:BL127" si="138">($F$74-$D$76)*2*(1/(1+EXP(-4/$F$76*(POWER(POWER((ABS(AW$75-($E$74))),3)+POWER(ABS($E112-($E$75)),3),1/3))))-0.5+$D$76)*($F$74-$D$76)*2*(1/(1+EXP(-4/$F$76*(POWER(POWER((ABS(AW$75-($D$74))),3)+POWER(ABS($E112-($D$75)),3),1/3))))-0.5+$D$76)</f>
        <v>0.99767777303289484</v>
      </c>
      <c r="AX112" s="302">
        <f t="shared" si="138"/>
        <v>0.99744640265890427</v>
      </c>
      <c r="AY112" s="302">
        <f t="shared" si="138"/>
        <v>0.99724623256323841</v>
      </c>
      <c r="AZ112" s="302">
        <f t="shared" si="138"/>
        <v>0.99708379734332075</v>
      </c>
      <c r="BA112" s="302">
        <f t="shared" si="138"/>
        <v>0.99696151460031746</v>
      </c>
      <c r="BB112" s="302">
        <f t="shared" si="138"/>
        <v>0.99687773127295176</v>
      </c>
      <c r="BC112" s="302">
        <f t="shared" si="138"/>
        <v>0.9968273581111311</v>
      </c>
      <c r="BD112" s="302">
        <f t="shared" si="138"/>
        <v>0.99680283398040603</v>
      </c>
      <c r="BE112" s="302">
        <f t="shared" si="138"/>
        <v>0.99679512956300953</v>
      </c>
      <c r="BF112" s="302">
        <f t="shared" si="138"/>
        <v>0.99679462471404012</v>
      </c>
      <c r="BG112" s="302">
        <f t="shared" si="138"/>
        <v>0.99679805332648719</v>
      </c>
      <c r="BH112" s="302">
        <f t="shared" si="138"/>
        <v>0.99681398186908554</v>
      </c>
      <c r="BI112" s="302">
        <f t="shared" si="138"/>
        <v>0.99685185642078533</v>
      </c>
      <c r="BJ112" s="302">
        <f t="shared" si="138"/>
        <v>0.99692006907293673</v>
      </c>
      <c r="BK112" s="302">
        <f t="shared" si="138"/>
        <v>0.99702502615900623</v>
      </c>
      <c r="BL112" s="302">
        <f t="shared" si="138"/>
        <v>0.9971701424390258</v>
      </c>
      <c r="BM112" s="302">
        <f t="shared" si="137"/>
        <v>0.99735503536792736</v>
      </c>
      <c r="BN112" s="302">
        <f t="shared" si="137"/>
        <v>0.99757520836405322</v>
      </c>
      <c r="BO112" s="303">
        <f t="shared" si="137"/>
        <v>0.99782241949897499</v>
      </c>
      <c r="BP112" s="223"/>
      <c r="BQ112" s="139"/>
      <c r="BR112" s="139"/>
      <c r="BS112" s="139"/>
      <c r="BT112" s="139"/>
      <c r="BU112" s="139"/>
      <c r="BV112" s="139"/>
      <c r="BW112" s="139"/>
      <c r="BX112" s="139"/>
      <c r="BY112" s="139"/>
      <c r="BZ112" s="139"/>
      <c r="CA112" s="139"/>
      <c r="CB112" s="139"/>
      <c r="CC112" s="139"/>
      <c r="CD112" s="139"/>
      <c r="CE112" s="139"/>
      <c r="CF112" s="139"/>
      <c r="CG112" s="139"/>
    </row>
    <row r="113" spans="3:85" ht="42" customHeight="1">
      <c r="C113" s="426"/>
      <c r="D113" s="425"/>
      <c r="E113" s="443">
        <v>-0.3</v>
      </c>
      <c r="F113" s="464"/>
      <c r="G113" s="302">
        <f t="shared" si="134"/>
        <v>0.98443246350093294</v>
      </c>
      <c r="H113" s="302">
        <f t="shared" si="134"/>
        <v>0.97896664105190701</v>
      </c>
      <c r="I113" s="302">
        <f t="shared" si="134"/>
        <v>0.97223235629973792</v>
      </c>
      <c r="J113" s="302">
        <f t="shared" si="134"/>
        <v>0.96436610119386645</v>
      </c>
      <c r="K113" s="302">
        <f t="shared" si="134"/>
        <v>0.95578609655153735</v>
      </c>
      <c r="L113" s="302">
        <f t="shared" si="134"/>
        <v>0.94720520110417639</v>
      </c>
      <c r="M113" s="302">
        <f t="shared" si="134"/>
        <v>0.93950366540039998</v>
      </c>
      <c r="N113" s="302">
        <f t="shared" si="134"/>
        <v>0.93346186859536329</v>
      </c>
      <c r="O113" s="302">
        <f t="shared" si="134"/>
        <v>0.92947508260822953</v>
      </c>
      <c r="P113" s="302">
        <f t="shared" si="134"/>
        <v>0.92742302077365701</v>
      </c>
      <c r="Q113" s="302">
        <f t="shared" si="134"/>
        <v>0.92675660665335235</v>
      </c>
      <c r="R113" s="302">
        <f t="shared" si="134"/>
        <v>0.92670525043203578</v>
      </c>
      <c r="S113" s="302">
        <f t="shared" si="134"/>
        <v>0.9269920733984679</v>
      </c>
      <c r="T113" s="302">
        <f t="shared" si="134"/>
        <v>0.92832787903647218</v>
      </c>
      <c r="U113" s="302">
        <f t="shared" si="134"/>
        <v>0.93139073485995139</v>
      </c>
      <c r="V113" s="302">
        <f t="shared" ref="V113:AK128" si="139">($F$74-$D$76)*2*(1/(1+EXP(-4/$F$76*(POWER(POWER((ABS(V$75-($E$74))),3)+POWER(ABS($E113-($E$75)),3),1/3))))-0.5+$D$76)*($F$74-$D$76)*2*(1/(1+EXP(-4/$F$76*(POWER(POWER((ABS(V$75-($D$74))),3)+POWER(ABS($E113-($D$75)),3),1/3))))-0.5+$D$76)</f>
        <v>0.93651709230354463</v>
      </c>
      <c r="W113" s="302">
        <f t="shared" si="139"/>
        <v>0.94354340185391372</v>
      </c>
      <c r="X113" s="302">
        <f t="shared" si="139"/>
        <v>0.95183462007792752</v>
      </c>
      <c r="Y113" s="302">
        <f t="shared" si="139"/>
        <v>0.96051743765706299</v>
      </c>
      <c r="Z113" s="302">
        <f t="shared" si="139"/>
        <v>0.96877730275701057</v>
      </c>
      <c r="AA113" s="302">
        <f t="shared" si="139"/>
        <v>0.97605638250057869</v>
      </c>
      <c r="AB113" s="302">
        <f t="shared" si="139"/>
        <v>0.98209794161300668</v>
      </c>
      <c r="AC113" s="302">
        <f t="shared" si="139"/>
        <v>0.98688475124220965</v>
      </c>
      <c r="AD113" s="302">
        <f t="shared" si="139"/>
        <v>0.99054381377078815</v>
      </c>
      <c r="AE113" s="302">
        <f t="shared" si="139"/>
        <v>0.9932639887205551</v>
      </c>
      <c r="AF113" s="302">
        <f t="shared" si="139"/>
        <v>0.99524188692034543</v>
      </c>
      <c r="AG113" s="302">
        <f t="shared" si="139"/>
        <v>0.99665349715342688</v>
      </c>
      <c r="AH113" s="302">
        <f t="shared" si="139"/>
        <v>0.99764335924325254</v>
      </c>
      <c r="AI113" s="302">
        <f t="shared" si="139"/>
        <v>0.99832363134403279</v>
      </c>
      <c r="AJ113" s="302">
        <f t="shared" si="139"/>
        <v>0.99877775003494496</v>
      </c>
      <c r="AK113" s="302">
        <f t="shared" si="139"/>
        <v>0.9990655946679019</v>
      </c>
      <c r="AL113" s="302">
        <f t="shared" ref="AL113:BA128" si="140">($F$74-$D$76)*2*(1/(1+EXP(-4/$F$76*(POWER(POWER((ABS(AL$75-($E$74))),3)+POWER(ABS($E113-($E$75)),3),1/3))))-0.5+$D$76)*($F$74-$D$76)*2*(1/(1+EXP(-4/$F$76*(POWER(POWER((ABS(AL$75-($D$74))),3)+POWER(ABS($E113-($D$75)),3),1/3))))-0.5+$D$76)</f>
        <v>0.99922861456609524</v>
      </c>
      <c r="AM113" s="302">
        <f t="shared" si="140"/>
        <v>0.99929430628361915</v>
      </c>
      <c r="AN113" s="302">
        <f t="shared" si="140"/>
        <v>0.99927992580462288</v>
      </c>
      <c r="AO113" s="302">
        <f t="shared" si="140"/>
        <v>0.99919555425612872</v>
      </c>
      <c r="AP113" s="302">
        <f t="shared" si="140"/>
        <v>0.99904671499928677</v>
      </c>
      <c r="AQ113" s="302">
        <f t="shared" si="140"/>
        <v>0.99883672397336609</v>
      </c>
      <c r="AR113" s="302">
        <f t="shared" si="140"/>
        <v>0.99856887137135597</v>
      </c>
      <c r="AS113" s="302">
        <f t="shared" si="140"/>
        <v>0.99824839848873315</v>
      </c>
      <c r="AT113" s="302">
        <f t="shared" si="140"/>
        <v>0.99788407755256625</v>
      </c>
      <c r="AU113" s="302">
        <f t="shared" si="140"/>
        <v>0.99748907937747955</v>
      </c>
      <c r="AV113" s="302">
        <f t="shared" si="140"/>
        <v>0.99708080064106142</v>
      </c>
      <c r="AW113" s="302">
        <f t="shared" si="140"/>
        <v>0.99667948314697596</v>
      </c>
      <c r="AX113" s="302">
        <f t="shared" si="140"/>
        <v>0.99630578461903252</v>
      </c>
      <c r="AY113" s="302">
        <f t="shared" si="140"/>
        <v>0.99597783798324857</v>
      </c>
      <c r="AZ113" s="302">
        <f t="shared" si="140"/>
        <v>0.9957085724195176</v>
      </c>
      <c r="BA113" s="302">
        <f t="shared" si="140"/>
        <v>0.99550401247190934</v>
      </c>
      <c r="BB113" s="302">
        <f t="shared" si="138"/>
        <v>0.99536292412451088</v>
      </c>
      <c r="BC113" s="302">
        <f t="shared" si="138"/>
        <v>0.99527770888132416</v>
      </c>
      <c r="BD113" s="302">
        <f t="shared" si="138"/>
        <v>0.9952360814767226</v>
      </c>
      <c r="BE113" s="302">
        <f t="shared" si="138"/>
        <v>0.99522293664610495</v>
      </c>
      <c r="BF113" s="302">
        <f t="shared" si="138"/>
        <v>0.99522201373549946</v>
      </c>
      <c r="BG113" s="302">
        <f t="shared" si="138"/>
        <v>0.99522777381565086</v>
      </c>
      <c r="BH113" s="302">
        <f t="shared" si="138"/>
        <v>0.99525469877096684</v>
      </c>
      <c r="BI113" s="302">
        <f t="shared" si="138"/>
        <v>0.99531866428652893</v>
      </c>
      <c r="BJ113" s="302">
        <f t="shared" si="138"/>
        <v>0.99543350446460965</v>
      </c>
      <c r="BK113" s="302">
        <f t="shared" si="138"/>
        <v>0.99560924397660644</v>
      </c>
      <c r="BL113" s="302">
        <f t="shared" si="138"/>
        <v>0.99585027218338562</v>
      </c>
      <c r="BM113" s="302">
        <f t="shared" si="137"/>
        <v>0.99615403621858911</v>
      </c>
      <c r="BN113" s="302">
        <f t="shared" si="137"/>
        <v>0.99651081030249988</v>
      </c>
      <c r="BO113" s="303">
        <f t="shared" si="137"/>
        <v>0.99690483348343206</v>
      </c>
      <c r="BP113" s="223"/>
      <c r="BQ113" s="139"/>
      <c r="BR113" s="139"/>
      <c r="BS113" s="139"/>
      <c r="BT113" s="139"/>
      <c r="BU113" s="139"/>
      <c r="BV113" s="139"/>
      <c r="BW113" s="139"/>
      <c r="BX113" s="139"/>
      <c r="BY113" s="139"/>
      <c r="BZ113" s="139"/>
      <c r="CA113" s="139"/>
      <c r="CB113" s="139"/>
      <c r="CC113" s="139"/>
      <c r="CD113" s="139"/>
      <c r="CE113" s="139"/>
      <c r="CF113" s="139"/>
      <c r="CG113" s="139"/>
    </row>
    <row r="114" spans="3:85" ht="42" customHeight="1">
      <c r="C114" s="426"/>
      <c r="D114" s="425"/>
      <c r="E114" s="445">
        <v>-0.35</v>
      </c>
      <c r="F114" s="464"/>
      <c r="G114" s="302">
        <f t="shared" ref="G114:V129" si="141">($F$74-$D$76)*2*(1/(1+EXP(-4/$F$76*(POWER(POWER((ABS(G$75-($E$74))),3)+POWER(ABS($E114-($E$75)),3),1/3))))-0.5+$D$76)*($F$74-$D$76)*2*(1/(1+EXP(-4/$F$76*(POWER(POWER((ABS(G$75-($D$74))),3)+POWER(ABS($E114-($D$75)),3),1/3))))-0.5+$D$76)</f>
        <v>0.98719747474264896</v>
      </c>
      <c r="H114" s="302">
        <f t="shared" si="141"/>
        <v>0.98312397166178234</v>
      </c>
      <c r="I114" s="302">
        <f t="shared" si="141"/>
        <v>0.97831210955665582</v>
      </c>
      <c r="J114" s="302">
        <f t="shared" si="141"/>
        <v>0.97294463581429502</v>
      </c>
      <c r="K114" s="302">
        <f t="shared" si="141"/>
        <v>0.9673662506431765</v>
      </c>
      <c r="L114" s="302">
        <f t="shared" si="141"/>
        <v>0.96204698659755961</v>
      </c>
      <c r="M114" s="302">
        <f t="shared" si="141"/>
        <v>0.95747558863451954</v>
      </c>
      <c r="N114" s="302">
        <f t="shared" si="141"/>
        <v>0.95401473594415087</v>
      </c>
      <c r="O114" s="302">
        <f t="shared" si="141"/>
        <v>0.95178848066973565</v>
      </c>
      <c r="P114" s="302">
        <f t="shared" si="141"/>
        <v>0.95065983431053491</v>
      </c>
      <c r="Q114" s="302">
        <f t="shared" si="141"/>
        <v>0.95029576605743249</v>
      </c>
      <c r="R114" s="302">
        <f t="shared" si="141"/>
        <v>0.95026773103208251</v>
      </c>
      <c r="S114" s="302">
        <f t="shared" si="141"/>
        <v>0.95042418349533087</v>
      </c>
      <c r="T114" s="302">
        <f t="shared" si="141"/>
        <v>0.95115591906649477</v>
      </c>
      <c r="U114" s="302">
        <f t="shared" si="141"/>
        <v>0.95285234683735032</v>
      </c>
      <c r="V114" s="302">
        <f t="shared" si="141"/>
        <v>0.95575105568699226</v>
      </c>
      <c r="W114" s="302">
        <f t="shared" si="139"/>
        <v>0.95984986844794762</v>
      </c>
      <c r="X114" s="302">
        <f t="shared" si="139"/>
        <v>0.96488513138050314</v>
      </c>
      <c r="Y114" s="302">
        <f t="shared" si="139"/>
        <v>0.97040745675842999</v>
      </c>
      <c r="Z114" s="302">
        <f t="shared" si="139"/>
        <v>0.97592133552880755</v>
      </c>
      <c r="AA114" s="302">
        <f t="shared" si="139"/>
        <v>0.98101607381508915</v>
      </c>
      <c r="AB114" s="302">
        <f t="shared" si="139"/>
        <v>0.98543485423311361</v>
      </c>
      <c r="AC114" s="302">
        <f t="shared" si="139"/>
        <v>0.98907668241124636</v>
      </c>
      <c r="AD114" s="302">
        <f t="shared" si="139"/>
        <v>0.99195798579407246</v>
      </c>
      <c r="AE114" s="302">
        <f t="shared" si="139"/>
        <v>0.99416400091216361</v>
      </c>
      <c r="AF114" s="302">
        <f t="shared" si="139"/>
        <v>0.99580818291330642</v>
      </c>
      <c r="AG114" s="302">
        <f t="shared" si="139"/>
        <v>0.99700543210874581</v>
      </c>
      <c r="AH114" s="302">
        <f t="shared" si="139"/>
        <v>0.99785776358713474</v>
      </c>
      <c r="AI114" s="302">
        <f t="shared" si="139"/>
        <v>0.99844864662514021</v>
      </c>
      <c r="AJ114" s="302">
        <f t="shared" si="139"/>
        <v>0.99884239924248908</v>
      </c>
      <c r="AK114" s="302">
        <f t="shared" si="139"/>
        <v>0.99908603838928922</v>
      </c>
      <c r="AL114" s="302">
        <f t="shared" si="140"/>
        <v>0.99921201553535921</v>
      </c>
      <c r="AM114" s="302">
        <f t="shared" si="140"/>
        <v>0.99924103747265403</v>
      </c>
      <c r="AN114" s="302">
        <f t="shared" si="140"/>
        <v>0.99918466989101351</v>
      </c>
      <c r="AO114" s="302">
        <f t="shared" si="140"/>
        <v>0.99904771228575606</v>
      </c>
      <c r="AP114" s="302">
        <f t="shared" si="140"/>
        <v>0.99883048099240734</v>
      </c>
      <c r="AQ114" s="302">
        <f t="shared" si="140"/>
        <v>0.99853117929844415</v>
      </c>
      <c r="AR114" s="302">
        <f t="shared" si="140"/>
        <v>0.99814847861627187</v>
      </c>
      <c r="AS114" s="302">
        <f t="shared" si="140"/>
        <v>0.99768427818695116</v>
      </c>
      <c r="AT114" s="302">
        <f t="shared" si="140"/>
        <v>0.99714636240892218</v>
      </c>
      <c r="AU114" s="302">
        <f t="shared" si="140"/>
        <v>0.99655039431925296</v>
      </c>
      <c r="AV114" s="302">
        <f t="shared" si="140"/>
        <v>0.99592050390545972</v>
      </c>
      <c r="AW114" s="302">
        <f t="shared" si="140"/>
        <v>0.99528782851442466</v>
      </c>
      <c r="AX114" s="302">
        <f t="shared" si="140"/>
        <v>0.99468685377140664</v>
      </c>
      <c r="AY114" s="302">
        <f t="shared" si="140"/>
        <v>0.99415019058904641</v>
      </c>
      <c r="AZ114" s="302">
        <f t="shared" si="140"/>
        <v>0.99370314967154116</v>
      </c>
      <c r="BA114" s="302">
        <f t="shared" si="140"/>
        <v>0.99335969506291555</v>
      </c>
      <c r="BB114" s="302">
        <f t="shared" si="138"/>
        <v>0.993120870660402</v>
      </c>
      <c r="BC114" s="302">
        <f t="shared" si="138"/>
        <v>0.99297583554267776</v>
      </c>
      <c r="BD114" s="302">
        <f t="shared" si="138"/>
        <v>0.99290473559625025</v>
      </c>
      <c r="BE114" s="302">
        <f t="shared" si="138"/>
        <v>0.9928822014769535</v>
      </c>
      <c r="BF114" s="302">
        <f t="shared" si="138"/>
        <v>0.99288055746238668</v>
      </c>
      <c r="BG114" s="302">
        <f t="shared" si="138"/>
        <v>0.99289034344726523</v>
      </c>
      <c r="BH114" s="302">
        <f t="shared" si="138"/>
        <v>0.99293623674039189</v>
      </c>
      <c r="BI114" s="302">
        <f t="shared" si="138"/>
        <v>0.99304508937100167</v>
      </c>
      <c r="BJ114" s="302">
        <f t="shared" si="138"/>
        <v>0.99323973156563405</v>
      </c>
      <c r="BK114" s="302">
        <f t="shared" si="138"/>
        <v>0.99353558356011595</v>
      </c>
      <c r="BL114" s="302">
        <f t="shared" si="138"/>
        <v>0.99393735434849229</v>
      </c>
      <c r="BM114" s="302">
        <f t="shared" si="137"/>
        <v>0.99443705029477703</v>
      </c>
      <c r="BN114" s="302">
        <f t="shared" si="137"/>
        <v>0.99501433838282782</v>
      </c>
      <c r="BO114" s="303">
        <f t="shared" si="137"/>
        <v>0.99563958195578806</v>
      </c>
      <c r="BP114" s="223"/>
    </row>
    <row r="115" spans="3:85" ht="42" customHeight="1">
      <c r="C115" s="426"/>
      <c r="D115" s="425"/>
      <c r="E115" s="443">
        <v>-0.4</v>
      </c>
      <c r="F115" s="464"/>
      <c r="G115" s="302">
        <f t="shared" si="141"/>
        <v>0.98976655588722595</v>
      </c>
      <c r="H115" s="302">
        <f t="shared" si="141"/>
        <v>0.98683757528637028</v>
      </c>
      <c r="I115" s="302">
        <f t="shared" si="141"/>
        <v>0.98351430910228299</v>
      </c>
      <c r="J115" s="302">
        <f t="shared" si="141"/>
        <v>0.97996028558902948</v>
      </c>
      <c r="K115" s="302">
        <f t="shared" si="141"/>
        <v>0.97641869446023677</v>
      </c>
      <c r="L115" s="302">
        <f t="shared" si="141"/>
        <v>0.97317222915201929</v>
      </c>
      <c r="M115" s="302">
        <f t="shared" si="141"/>
        <v>0.9704760513537708</v>
      </c>
      <c r="N115" s="302">
        <f t="shared" si="141"/>
        <v>0.9684890258181913</v>
      </c>
      <c r="O115" s="302">
        <f t="shared" si="141"/>
        <v>0.96723441897298212</v>
      </c>
      <c r="P115" s="302">
        <f t="shared" si="141"/>
        <v>0.96660521882061545</v>
      </c>
      <c r="Q115" s="302">
        <f t="shared" si="141"/>
        <v>0.96640321043294308</v>
      </c>
      <c r="R115" s="302">
        <f t="shared" si="141"/>
        <v>0.96638764455807413</v>
      </c>
      <c r="S115" s="302">
        <f t="shared" si="141"/>
        <v>0.96647432577719217</v>
      </c>
      <c r="T115" s="302">
        <f t="shared" si="141"/>
        <v>0.96688104249050211</v>
      </c>
      <c r="U115" s="302">
        <f t="shared" si="141"/>
        <v>0.96783141852596655</v>
      </c>
      <c r="V115" s="302">
        <f t="shared" si="141"/>
        <v>0.96947982093138385</v>
      </c>
      <c r="W115" s="302">
        <f t="shared" si="139"/>
        <v>0.97186532354728716</v>
      </c>
      <c r="X115" s="302">
        <f t="shared" si="139"/>
        <v>0.97488835326734635</v>
      </c>
      <c r="Y115" s="302">
        <f t="shared" si="139"/>
        <v>0.9783299985581605</v>
      </c>
      <c r="Z115" s="302">
        <f t="shared" si="139"/>
        <v>0.981910755728857</v>
      </c>
      <c r="AA115" s="302">
        <f t="shared" si="139"/>
        <v>0.98536230845482264</v>
      </c>
      <c r="AB115" s="302">
        <f t="shared" si="139"/>
        <v>0.98848185036589042</v>
      </c>
      <c r="AC115" s="302">
        <f t="shared" si="139"/>
        <v>0.99115379279640348</v>
      </c>
      <c r="AD115" s="302">
        <f t="shared" si="139"/>
        <v>0.99334268207912202</v>
      </c>
      <c r="AE115" s="302">
        <f t="shared" si="139"/>
        <v>0.99507078981513641</v>
      </c>
      <c r="AF115" s="302">
        <f t="shared" si="139"/>
        <v>0.99639309809939203</v>
      </c>
      <c r="AG115" s="302">
        <f t="shared" si="139"/>
        <v>0.99737697231521016</v>
      </c>
      <c r="AH115" s="302">
        <f t="shared" si="139"/>
        <v>0.99808869890340268</v>
      </c>
      <c r="AI115" s="302">
        <f t="shared" si="139"/>
        <v>0.99858611858234148</v>
      </c>
      <c r="AJ115" s="302">
        <f t="shared" si="139"/>
        <v>0.99891556269538639</v>
      </c>
      <c r="AK115" s="302">
        <f t="shared" si="139"/>
        <v>0.99911135909553361</v>
      </c>
      <c r="AL115" s="302">
        <f t="shared" si="140"/>
        <v>0.99919663535645142</v>
      </c>
      <c r="AM115" s="302">
        <f t="shared" si="140"/>
        <v>0.99918464854348465</v>
      </c>
      <c r="AN115" s="302">
        <f t="shared" si="140"/>
        <v>0.99908027869264104</v>
      </c>
      <c r="AO115" s="302">
        <f t="shared" si="140"/>
        <v>0.99888161803128284</v>
      </c>
      <c r="AP115" s="302">
        <f t="shared" si="140"/>
        <v>0.99858178582692592</v>
      </c>
      <c r="AQ115" s="302">
        <f t="shared" si="140"/>
        <v>0.99817120841492513</v>
      </c>
      <c r="AR115" s="302">
        <f t="shared" si="140"/>
        <v>0.9976406079880773</v>
      </c>
      <c r="AS115" s="302">
        <f t="shared" si="140"/>
        <v>0.99698479806505502</v>
      </c>
      <c r="AT115" s="302">
        <f t="shared" si="140"/>
        <v>0.99620704245915692</v>
      </c>
      <c r="AU115" s="302">
        <f t="shared" si="140"/>
        <v>0.99532321038822258</v>
      </c>
      <c r="AV115" s="302">
        <f t="shared" si="140"/>
        <v>0.99436440700081907</v>
      </c>
      <c r="AW115" s="302">
        <f t="shared" si="140"/>
        <v>0.99337651460521736</v>
      </c>
      <c r="AX115" s="302">
        <f t="shared" si="140"/>
        <v>0.99241555609841414</v>
      </c>
      <c r="AY115" s="302">
        <f t="shared" si="140"/>
        <v>0.99153914473618998</v>
      </c>
      <c r="AZ115" s="302">
        <f t="shared" si="140"/>
        <v>0.99079605854578534</v>
      </c>
      <c r="BA115" s="302">
        <f t="shared" si="140"/>
        <v>0.99021715373264463</v>
      </c>
      <c r="BB115" s="302">
        <f t="shared" si="138"/>
        <v>0.98981050696724215</v>
      </c>
      <c r="BC115" s="302">
        <f t="shared" si="138"/>
        <v>0.98956189268128814</v>
      </c>
      <c r="BD115" s="302">
        <f t="shared" si="138"/>
        <v>0.98943952191275542</v>
      </c>
      <c r="BE115" s="302">
        <f t="shared" si="138"/>
        <v>0.9894006218964938</v>
      </c>
      <c r="BF115" s="302">
        <f t="shared" si="138"/>
        <v>0.98939772129942738</v>
      </c>
      <c r="BG115" s="302">
        <f t="shared" si="138"/>
        <v>0.98941452854162248</v>
      </c>
      <c r="BH115" s="302">
        <f t="shared" si="138"/>
        <v>0.98949346057849652</v>
      </c>
      <c r="BI115" s="302">
        <f t="shared" si="138"/>
        <v>0.98968023595528742</v>
      </c>
      <c r="BJ115" s="302">
        <f t="shared" si="138"/>
        <v>0.99001250409353114</v>
      </c>
      <c r="BK115" s="302">
        <f t="shared" si="138"/>
        <v>0.99051328960660812</v>
      </c>
      <c r="BL115" s="302">
        <f t="shared" si="138"/>
        <v>0.99118509467444771</v>
      </c>
      <c r="BM115" s="302">
        <f t="shared" si="137"/>
        <v>0.99200725500627718</v>
      </c>
      <c r="BN115" s="302">
        <f t="shared" si="137"/>
        <v>0.99293839194549782</v>
      </c>
      <c r="BO115" s="303">
        <f t="shared" si="137"/>
        <v>0.99392388139545895</v>
      </c>
      <c r="BP115" s="223"/>
    </row>
    <row r="116" spans="3:85" ht="42" customHeight="1">
      <c r="C116" s="426"/>
      <c r="D116" s="425"/>
      <c r="E116" s="445">
        <v>-0.45</v>
      </c>
      <c r="F116" s="464"/>
      <c r="G116" s="302">
        <f t="shared" si="141"/>
        <v>0.99202561338473882</v>
      </c>
      <c r="H116" s="302">
        <f t="shared" si="141"/>
        <v>0.98998179820716559</v>
      </c>
      <c r="I116" s="302">
        <f t="shared" si="141"/>
        <v>0.98774755485806653</v>
      </c>
      <c r="J116" s="302">
        <f t="shared" si="141"/>
        <v>0.98544587891362279</v>
      </c>
      <c r="K116" s="302">
        <f t="shared" si="141"/>
        <v>0.98323292748076518</v>
      </c>
      <c r="L116" s="302">
        <f t="shared" si="141"/>
        <v>0.9812687904060462</v>
      </c>
      <c r="M116" s="302">
        <f t="shared" si="141"/>
        <v>0.97968099959990174</v>
      </c>
      <c r="N116" s="302">
        <f t="shared" si="141"/>
        <v>0.97853464378898269</v>
      </c>
      <c r="O116" s="302">
        <f t="shared" si="141"/>
        <v>0.97782083089995731</v>
      </c>
      <c r="P116" s="302">
        <f t="shared" si="141"/>
        <v>0.97746567891891389</v>
      </c>
      <c r="Q116" s="302">
        <f t="shared" si="141"/>
        <v>0.97735203586048214</v>
      </c>
      <c r="R116" s="302">
        <f t="shared" si="141"/>
        <v>0.97734325650020071</v>
      </c>
      <c r="S116" s="302">
        <f t="shared" si="141"/>
        <v>0.97739193356925325</v>
      </c>
      <c r="T116" s="302">
        <f t="shared" si="141"/>
        <v>0.97762095828823903</v>
      </c>
      <c r="U116" s="302">
        <f t="shared" si="141"/>
        <v>0.97815925466480558</v>
      </c>
      <c r="V116" s="302">
        <f t="shared" si="141"/>
        <v>0.97910334488140571</v>
      </c>
      <c r="W116" s="302">
        <f t="shared" si="139"/>
        <v>0.98049373485914315</v>
      </c>
      <c r="X116" s="302">
        <f t="shared" si="139"/>
        <v>0.98229875422042656</v>
      </c>
      <c r="Y116" s="302">
        <f t="shared" si="139"/>
        <v>0.98441633965102315</v>
      </c>
      <c r="Z116" s="302">
        <f t="shared" si="139"/>
        <v>0.98669656220009527</v>
      </c>
      <c r="AA116" s="302">
        <f t="shared" si="139"/>
        <v>0.98897690565257768</v>
      </c>
      <c r="AB116" s="302">
        <f t="shared" si="139"/>
        <v>0.99111624277876753</v>
      </c>
      <c r="AC116" s="302">
        <f t="shared" si="139"/>
        <v>0.99301612921450166</v>
      </c>
      <c r="AD116" s="302">
        <f t="shared" si="139"/>
        <v>0.99462608425474308</v>
      </c>
      <c r="AE116" s="302">
        <f t="shared" si="139"/>
        <v>0.99593662900689361</v>
      </c>
      <c r="AF116" s="302">
        <f t="shared" si="139"/>
        <v>0.99696656263368422</v>
      </c>
      <c r="AG116" s="302">
        <f t="shared" si="139"/>
        <v>0.99774991583847217</v>
      </c>
      <c r="AH116" s="302">
        <f t="shared" si="139"/>
        <v>0.9983255421115127</v>
      </c>
      <c r="AI116" s="302">
        <f t="shared" si="139"/>
        <v>0.99873014367196178</v>
      </c>
      <c r="AJ116" s="302">
        <f t="shared" si="139"/>
        <v>0.99899428937330137</v>
      </c>
      <c r="AK116" s="302">
        <f t="shared" si="139"/>
        <v>0.99914054700032107</v>
      </c>
      <c r="AL116" s="302">
        <f t="shared" si="140"/>
        <v>0.99918288965254909</v>
      </c>
      <c r="AM116" s="302">
        <f t="shared" si="140"/>
        <v>0.99912677031356445</v>
      </c>
      <c r="AN116" s="302">
        <f t="shared" si="140"/>
        <v>0.99896953682504686</v>
      </c>
      <c r="AO116" s="302">
        <f t="shared" si="140"/>
        <v>0.99870112118321197</v>
      </c>
      <c r="AP116" s="302">
        <f t="shared" si="140"/>
        <v>0.99830516821447779</v>
      </c>
      <c r="AQ116" s="302">
        <f t="shared" si="140"/>
        <v>0.99776095998328629</v>
      </c>
      <c r="AR116" s="302">
        <f t="shared" si="140"/>
        <v>0.99704660673360501</v>
      </c>
      <c r="AS116" s="302">
        <f t="shared" si="140"/>
        <v>0.99614392523713202</v>
      </c>
      <c r="AT116" s="302">
        <f t="shared" si="140"/>
        <v>0.99504507472732229</v>
      </c>
      <c r="AU116" s="302">
        <f t="shared" si="140"/>
        <v>0.99376024447184874</v>
      </c>
      <c r="AV116" s="302">
        <f t="shared" si="140"/>
        <v>0.99232452780093472</v>
      </c>
      <c r="AW116" s="302">
        <f t="shared" si="140"/>
        <v>0.99080100182086017</v>
      </c>
      <c r="AX116" s="302">
        <f t="shared" si="140"/>
        <v>0.98927684728946463</v>
      </c>
      <c r="AY116" s="302">
        <f t="shared" si="140"/>
        <v>0.98785102416607629</v>
      </c>
      <c r="AZ116" s="302">
        <f t="shared" si="140"/>
        <v>0.98661556376300996</v>
      </c>
      <c r="BA116" s="302">
        <f t="shared" si="140"/>
        <v>0.98563623177009918</v>
      </c>
      <c r="BB116" s="302">
        <f t="shared" si="138"/>
        <v>0.98493947671105897</v>
      </c>
      <c r="BC116" s="302">
        <f t="shared" si="138"/>
        <v>0.98450988037061626</v>
      </c>
      <c r="BD116" s="302">
        <f t="shared" si="138"/>
        <v>0.98429738448628412</v>
      </c>
      <c r="BE116" s="302">
        <f t="shared" si="138"/>
        <v>0.98422964203733376</v>
      </c>
      <c r="BF116" s="302">
        <f t="shared" si="138"/>
        <v>0.98422452672922822</v>
      </c>
      <c r="BG116" s="302">
        <f t="shared" si="138"/>
        <v>0.98425371550876717</v>
      </c>
      <c r="BH116" s="302">
        <f t="shared" si="138"/>
        <v>0.98439081540151929</v>
      </c>
      <c r="BI116" s="302">
        <f t="shared" si="138"/>
        <v>0.98471419147053696</v>
      </c>
      <c r="BJ116" s="302">
        <f t="shared" si="138"/>
        <v>0.98528569215035333</v>
      </c>
      <c r="BK116" s="302">
        <f t="shared" si="138"/>
        <v>0.98613786668029724</v>
      </c>
      <c r="BL116" s="302">
        <f t="shared" si="138"/>
        <v>0.98726371263539925</v>
      </c>
      <c r="BM116" s="302">
        <f t="shared" si="137"/>
        <v>0.98861441157360386</v>
      </c>
      <c r="BN116" s="302">
        <f t="shared" si="137"/>
        <v>0.99010786837972486</v>
      </c>
      <c r="BO116" s="303">
        <f t="shared" si="137"/>
        <v>0.99164599814742793</v>
      </c>
      <c r="BP116" s="223"/>
    </row>
    <row r="117" spans="3:85" ht="42" customHeight="1">
      <c r="C117" s="426"/>
      <c r="D117" s="425"/>
      <c r="E117" s="443">
        <v>-0.5</v>
      </c>
      <c r="F117" s="464"/>
      <c r="G117" s="302">
        <f t="shared" si="141"/>
        <v>0.99392255047354372</v>
      </c>
      <c r="H117" s="302">
        <f t="shared" si="141"/>
        <v>0.99253070039918689</v>
      </c>
      <c r="I117" s="302">
        <f t="shared" si="141"/>
        <v>0.99105932465494173</v>
      </c>
      <c r="J117" s="302">
        <f t="shared" si="141"/>
        <v>0.98959209053027375</v>
      </c>
      <c r="K117" s="302">
        <f t="shared" si="141"/>
        <v>0.98822328128878323</v>
      </c>
      <c r="L117" s="302">
        <f t="shared" si="141"/>
        <v>0.98703990600198388</v>
      </c>
      <c r="M117" s="302">
        <f t="shared" si="141"/>
        <v>0.98610351176303679</v>
      </c>
      <c r="N117" s="302">
        <f t="shared" si="141"/>
        <v>0.9854381339698437</v>
      </c>
      <c r="O117" s="302">
        <f t="shared" si="141"/>
        <v>0.9850281800261852</v>
      </c>
      <c r="P117" s="302">
        <f t="shared" si="141"/>
        <v>0.98482542309141829</v>
      </c>
      <c r="Q117" s="302">
        <f t="shared" si="141"/>
        <v>0.98476069632015895</v>
      </c>
      <c r="R117" s="302">
        <f t="shared" si="141"/>
        <v>0.98475566827855832</v>
      </c>
      <c r="S117" s="302">
        <f t="shared" si="141"/>
        <v>0.98478332212636499</v>
      </c>
      <c r="T117" s="302">
        <f t="shared" si="141"/>
        <v>0.98491379183668304</v>
      </c>
      <c r="U117" s="302">
        <f t="shared" si="141"/>
        <v>0.98522183118747864</v>
      </c>
      <c r="V117" s="302">
        <f t="shared" si="141"/>
        <v>0.98576667060934431</v>
      </c>
      <c r="W117" s="302">
        <f t="shared" si="139"/>
        <v>0.9865799469118739</v>
      </c>
      <c r="X117" s="302">
        <f t="shared" si="139"/>
        <v>0.98765590337012144</v>
      </c>
      <c r="Y117" s="302">
        <f t="shared" si="139"/>
        <v>0.98894898191508118</v>
      </c>
      <c r="Z117" s="302">
        <f t="shared" si="139"/>
        <v>0.990381547657049</v>
      </c>
      <c r="AA117" s="302">
        <f t="shared" si="139"/>
        <v>0.99185998008285192</v>
      </c>
      <c r="AB117" s="302">
        <f t="shared" si="139"/>
        <v>0.99329348279363183</v>
      </c>
      <c r="AC117" s="302">
        <f t="shared" si="139"/>
        <v>0.99460925024674451</v>
      </c>
      <c r="AD117" s="302">
        <f t="shared" si="139"/>
        <v>0.99576017848450193</v>
      </c>
      <c r="AE117" s="302">
        <f t="shared" si="139"/>
        <v>0.99672497839649776</v>
      </c>
      <c r="AF117" s="302">
        <f t="shared" si="139"/>
        <v>0.99750310271483678</v>
      </c>
      <c r="AG117" s="302">
        <f t="shared" si="139"/>
        <v>0.99810754449788874</v>
      </c>
      <c r="AH117" s="302">
        <f t="shared" si="139"/>
        <v>0.99855785188248014</v>
      </c>
      <c r="AI117" s="302">
        <f t="shared" si="139"/>
        <v>0.99887456193445556</v>
      </c>
      <c r="AJ117" s="302">
        <f t="shared" si="139"/>
        <v>0.99907531745370859</v>
      </c>
      <c r="AK117" s="302">
        <f t="shared" si="139"/>
        <v>0.99917239954650316</v>
      </c>
      <c r="AL117" s="302">
        <f t="shared" si="140"/>
        <v>0.99917122968822603</v>
      </c>
      <c r="AM117" s="302">
        <f t="shared" si="140"/>
        <v>0.99906943600396902</v>
      </c>
      <c r="AN117" s="302">
        <f t="shared" si="140"/>
        <v>0.99885623239815136</v>
      </c>
      <c r="AO117" s="302">
        <f t="shared" si="140"/>
        <v>0.99851206957856109</v>
      </c>
      <c r="AP117" s="302">
        <f t="shared" si="140"/>
        <v>0.99800876634297153</v>
      </c>
      <c r="AQ117" s="302">
        <f t="shared" si="140"/>
        <v>0.99731061155729372</v>
      </c>
      <c r="AR117" s="302">
        <f t="shared" si="140"/>
        <v>0.99637721030179827</v>
      </c>
      <c r="AS117" s="302">
        <f t="shared" si="140"/>
        <v>0.99516902677920949</v>
      </c>
      <c r="AT117" s="302">
        <f t="shared" si="140"/>
        <v>0.99365642608156035</v>
      </c>
      <c r="AU117" s="302">
        <f t="shared" si="140"/>
        <v>0.9918321914279794</v>
      </c>
      <c r="AV117" s="302">
        <f t="shared" si="140"/>
        <v>0.98972568526872051</v>
      </c>
      <c r="AW117" s="302">
        <f t="shared" si="140"/>
        <v>0.98741419143006237</v>
      </c>
      <c r="AX117" s="302">
        <f t="shared" si="140"/>
        <v>0.98502474610651758</v>
      </c>
      <c r="AY117" s="302">
        <f t="shared" si="140"/>
        <v>0.98272031564154927</v>
      </c>
      <c r="AZ117" s="302">
        <f t="shared" si="140"/>
        <v>0.98066953788930966</v>
      </c>
      <c r="BA117" s="302">
        <f t="shared" si="140"/>
        <v>0.97900813676002174</v>
      </c>
      <c r="BB117" s="302">
        <f t="shared" si="138"/>
        <v>0.9778067304046163</v>
      </c>
      <c r="BC117" s="302">
        <f t="shared" si="138"/>
        <v>0.97705788351534539</v>
      </c>
      <c r="BD117" s="302">
        <f t="shared" si="138"/>
        <v>0.97668514593227373</v>
      </c>
      <c r="BE117" s="302">
        <f t="shared" si="138"/>
        <v>0.97656594645184547</v>
      </c>
      <c r="BF117" s="302">
        <f t="shared" si="138"/>
        <v>0.97655687811916547</v>
      </c>
      <c r="BG117" s="302">
        <f t="shared" si="138"/>
        <v>0.97660817236766784</v>
      </c>
      <c r="BH117" s="302">
        <f t="shared" si="138"/>
        <v>0.97684890599267038</v>
      </c>
      <c r="BI117" s="302">
        <f t="shared" si="138"/>
        <v>0.97741427919145984</v>
      </c>
      <c r="BJ117" s="302">
        <f t="shared" si="138"/>
        <v>0.97840493743717305</v>
      </c>
      <c r="BK117" s="302">
        <f t="shared" si="138"/>
        <v>0.9798619548973817</v>
      </c>
      <c r="BL117" s="302">
        <f t="shared" si="138"/>
        <v>0.98175004405407684</v>
      </c>
      <c r="BM117" s="302">
        <f t="shared" si="137"/>
        <v>0.98396012360757268</v>
      </c>
      <c r="BN117" s="302">
        <f t="shared" si="137"/>
        <v>0.98633389782398739</v>
      </c>
      <c r="BO117" s="303">
        <f t="shared" si="137"/>
        <v>0.98870150984855265</v>
      </c>
      <c r="BP117" s="223"/>
    </row>
    <row r="118" spans="3:85" ht="42" customHeight="1">
      <c r="C118" s="426"/>
      <c r="D118" s="425"/>
      <c r="E118" s="445">
        <v>-0.55000000000000004</v>
      </c>
      <c r="F118" s="464"/>
      <c r="G118" s="302">
        <f t="shared" si="141"/>
        <v>0.99545573377806373</v>
      </c>
      <c r="H118" s="302">
        <f t="shared" si="141"/>
        <v>0.99452599557527388</v>
      </c>
      <c r="I118" s="302">
        <f t="shared" si="141"/>
        <v>0.99357188581425604</v>
      </c>
      <c r="J118" s="302">
        <f t="shared" si="141"/>
        <v>0.99264674006058229</v>
      </c>
      <c r="K118" s="302">
        <f t="shared" si="141"/>
        <v>0.99180514328182157</v>
      </c>
      <c r="L118" s="302">
        <f t="shared" si="141"/>
        <v>0.99109300548739199</v>
      </c>
      <c r="M118" s="302">
        <f t="shared" si="141"/>
        <v>0.99053903799813781</v>
      </c>
      <c r="N118" s="302">
        <f t="shared" si="141"/>
        <v>0.99015029371688057</v>
      </c>
      <c r="O118" s="302">
        <f t="shared" si="141"/>
        <v>0.98991273584160366</v>
      </c>
      <c r="P118" s="302">
        <f t="shared" si="141"/>
        <v>0.98979577570709643</v>
      </c>
      <c r="Q118" s="302">
        <f t="shared" si="141"/>
        <v>0.98975849544639438</v>
      </c>
      <c r="R118" s="302">
        <f t="shared" si="141"/>
        <v>0.98975556956176203</v>
      </c>
      <c r="S118" s="302">
        <f t="shared" si="141"/>
        <v>0.9897714327797783</v>
      </c>
      <c r="T118" s="302">
        <f t="shared" si="141"/>
        <v>0.98984652329679379</v>
      </c>
      <c r="U118" s="302">
        <f t="shared" si="141"/>
        <v>0.99002446372089659</v>
      </c>
      <c r="V118" s="302">
        <f t="shared" si="141"/>
        <v>0.99034127360534463</v>
      </c>
      <c r="W118" s="302">
        <f t="shared" si="139"/>
        <v>0.99081917225653826</v>
      </c>
      <c r="X118" s="302">
        <f t="shared" si="139"/>
        <v>0.99146095560864778</v>
      </c>
      <c r="Y118" s="302">
        <f t="shared" si="139"/>
        <v>0.99224737854507805</v>
      </c>
      <c r="Z118" s="302">
        <f t="shared" si="139"/>
        <v>0.99313930208671075</v>
      </c>
      <c r="AA118" s="302">
        <f t="shared" si="139"/>
        <v>0.99408459423158857</v>
      </c>
      <c r="AB118" s="302">
        <f t="shared" si="139"/>
        <v>0.99502776942274729</v>
      </c>
      <c r="AC118" s="302">
        <f t="shared" si="139"/>
        <v>0.99591930135065987</v>
      </c>
      <c r="AD118" s="302">
        <f t="shared" si="139"/>
        <v>0.99672200750319939</v>
      </c>
      <c r="AE118" s="302">
        <f t="shared" si="139"/>
        <v>0.99741341320173682</v>
      </c>
      <c r="AF118" s="302">
        <f t="shared" si="139"/>
        <v>0.99798456163203442</v>
      </c>
      <c r="AG118" s="302">
        <f t="shared" si="139"/>
        <v>0.99843661306406706</v>
      </c>
      <c r="AH118" s="302">
        <f t="shared" si="139"/>
        <v>0.99877665320008169</v>
      </c>
      <c r="AI118" s="302">
        <f t="shared" si="139"/>
        <v>0.99901371347046719</v>
      </c>
      <c r="AJ118" s="302">
        <f t="shared" si="139"/>
        <v>0.99915547056743437</v>
      </c>
      <c r="AK118" s="302">
        <f t="shared" si="139"/>
        <v>0.99920567339243105</v>
      </c>
      <c r="AL118" s="302">
        <f t="shared" si="140"/>
        <v>0.99916211517436826</v>
      </c>
      <c r="AM118" s="302">
        <f t="shared" si="140"/>
        <v>0.99901490510150703</v>
      </c>
      <c r="AN118" s="302">
        <f t="shared" si="140"/>
        <v>0.99874485254748779</v>
      </c>
      <c r="AO118" s="302">
        <f t="shared" si="140"/>
        <v>0.99832192992173296</v>
      </c>
      <c r="AP118" s="302">
        <f t="shared" si="140"/>
        <v>0.99770402755501741</v>
      </c>
      <c r="AQ118" s="302">
        <f t="shared" si="140"/>
        <v>0.99683657508375911</v>
      </c>
      <c r="AR118" s="302">
        <f t="shared" si="140"/>
        <v>0.99565408727054827</v>
      </c>
      <c r="AS118" s="302">
        <f t="shared" si="140"/>
        <v>0.99408523531321125</v>
      </c>
      <c r="AT118" s="302">
        <f t="shared" si="140"/>
        <v>0.99206340807055282</v>
      </c>
      <c r="AU118" s="302">
        <f t="shared" si="140"/>
        <v>0.98954436726310957</v>
      </c>
      <c r="AV118" s="302">
        <f t="shared" si="140"/>
        <v>0.98653064914985222</v>
      </c>
      <c r="AW118" s="302">
        <f t="shared" si="140"/>
        <v>0.98309805001150963</v>
      </c>
      <c r="AX118" s="302">
        <f t="shared" si="140"/>
        <v>0.97941342109592622</v>
      </c>
      <c r="AY118" s="302">
        <f t="shared" si="140"/>
        <v>0.97572871631533498</v>
      </c>
      <c r="AZ118" s="302">
        <f t="shared" si="140"/>
        <v>0.97234028565715103</v>
      </c>
      <c r="BA118" s="302">
        <f t="shared" si="140"/>
        <v>0.969518644910776</v>
      </c>
      <c r="BB118" s="302">
        <f t="shared" si="138"/>
        <v>0.96743487852820709</v>
      </c>
      <c r="BC118" s="302">
        <f t="shared" si="138"/>
        <v>0.96611737886125004</v>
      </c>
      <c r="BD118" s="302">
        <f t="shared" si="138"/>
        <v>0.96545616854039029</v>
      </c>
      <c r="BE118" s="302">
        <f t="shared" si="138"/>
        <v>0.96524390410870431</v>
      </c>
      <c r="BF118" s="302">
        <f t="shared" si="138"/>
        <v>0.96522767985501734</v>
      </c>
      <c r="BG118" s="302">
        <f t="shared" si="138"/>
        <v>0.96531898986092068</v>
      </c>
      <c r="BH118" s="302">
        <f t="shared" si="138"/>
        <v>0.96574679991515866</v>
      </c>
      <c r="BI118" s="302">
        <f t="shared" si="138"/>
        <v>0.96674569807968036</v>
      </c>
      <c r="BJ118" s="302">
        <f t="shared" si="138"/>
        <v>0.96847624576991531</v>
      </c>
      <c r="BK118" s="302">
        <f t="shared" si="138"/>
        <v>0.97097624615486422</v>
      </c>
      <c r="BL118" s="302">
        <f t="shared" si="138"/>
        <v>0.97413692910459593</v>
      </c>
      <c r="BM118" s="302">
        <f t="shared" si="137"/>
        <v>0.97772504423506823</v>
      </c>
      <c r="BN118" s="302">
        <f t="shared" si="137"/>
        <v>0.9814464116586985</v>
      </c>
      <c r="BO118" s="303">
        <f t="shared" si="137"/>
        <v>0.98502192304439085</v>
      </c>
      <c r="BP118" s="223"/>
    </row>
    <row r="119" spans="3:85" ht="42" customHeight="1">
      <c r="C119" s="426"/>
      <c r="D119" s="425"/>
      <c r="E119" s="443">
        <v>-0.6</v>
      </c>
      <c r="F119" s="464"/>
      <c r="G119" s="302">
        <f t="shared" si="141"/>
        <v>0.99665662349926187</v>
      </c>
      <c r="H119" s="302">
        <f t="shared" si="141"/>
        <v>0.99604482040558617</v>
      </c>
      <c r="I119" s="302">
        <f t="shared" si="141"/>
        <v>0.99543309805393609</v>
      </c>
      <c r="J119" s="302">
        <f t="shared" si="141"/>
        <v>0.99485398236912126</v>
      </c>
      <c r="K119" s="302">
        <f t="shared" si="141"/>
        <v>0.99433815373534129</v>
      </c>
      <c r="L119" s="302">
        <f t="shared" si="141"/>
        <v>0.99390928118164723</v>
      </c>
      <c r="M119" s="302">
        <f t="shared" si="141"/>
        <v>0.99358022341180996</v>
      </c>
      <c r="N119" s="302">
        <f t="shared" si="141"/>
        <v>0.99335159269125473</v>
      </c>
      <c r="O119" s="302">
        <f t="shared" si="141"/>
        <v>0.99321277594493806</v>
      </c>
      <c r="P119" s="302">
        <f t="shared" si="141"/>
        <v>0.99314466776698973</v>
      </c>
      <c r="Q119" s="302">
        <f t="shared" si="141"/>
        <v>0.99312297511892589</v>
      </c>
      <c r="R119" s="302">
        <f t="shared" si="141"/>
        <v>0.99312124166482807</v>
      </c>
      <c r="S119" s="302">
        <f t="shared" si="141"/>
        <v>0.99313041039593219</v>
      </c>
      <c r="T119" s="302">
        <f t="shared" si="141"/>
        <v>0.99317401355269908</v>
      </c>
      <c r="U119" s="302">
        <f t="shared" si="141"/>
        <v>0.993277672416226</v>
      </c>
      <c r="V119" s="302">
        <f t="shared" si="141"/>
        <v>0.99346320686620471</v>
      </c>
      <c r="W119" s="302">
        <f t="shared" si="139"/>
        <v>0.99374542646957842</v>
      </c>
      <c r="X119" s="302">
        <f t="shared" si="139"/>
        <v>0.99412898301745278</v>
      </c>
      <c r="Y119" s="302">
        <f t="shared" si="139"/>
        <v>0.99460642903310226</v>
      </c>
      <c r="Z119" s="302">
        <f t="shared" si="139"/>
        <v>0.99515847154222925</v>
      </c>
      <c r="AA119" s="302">
        <f t="shared" si="139"/>
        <v>0.99575674221157084</v>
      </c>
      <c r="AB119" s="302">
        <f t="shared" si="139"/>
        <v>0.99636846789346944</v>
      </c>
      <c r="AC119" s="302">
        <f t="shared" si="139"/>
        <v>0.99696170167060261</v>
      </c>
      <c r="AD119" s="302">
        <f t="shared" si="139"/>
        <v>0.99750965093022292</v>
      </c>
      <c r="AE119" s="302">
        <f t="shared" si="139"/>
        <v>0.99799312671749651</v>
      </c>
      <c r="AF119" s="302">
        <f t="shared" si="139"/>
        <v>0.99840089985491443</v>
      </c>
      <c r="AG119" s="302">
        <f t="shared" si="139"/>
        <v>0.998728377563875</v>
      </c>
      <c r="AH119" s="302">
        <f t="shared" si="139"/>
        <v>0.99897529051005107</v>
      </c>
      <c r="AI119" s="302">
        <f t="shared" si="139"/>
        <v>0.99914302484270634</v>
      </c>
      <c r="AJ119" s="302">
        <f t="shared" si="139"/>
        <v>0.99923199847236743</v>
      </c>
      <c r="AK119" s="302">
        <f t="shared" si="139"/>
        <v>0.99923921895254353</v>
      </c>
      <c r="AL119" s="302">
        <f t="shared" si="140"/>
        <v>0.99915596305615295</v>
      </c>
      <c r="AM119" s="302">
        <f t="shared" si="140"/>
        <v>0.99896541588370347</v>
      </c>
      <c r="AN119" s="302">
        <f t="shared" si="140"/>
        <v>0.99864010085812338</v>
      </c>
      <c r="AO119" s="302">
        <f t="shared" si="140"/>
        <v>0.99813902383788455</v>
      </c>
      <c r="AP119" s="302">
        <f t="shared" si="140"/>
        <v>0.99740467003016897</v>
      </c>
      <c r="AQ119" s="302">
        <f t="shared" si="140"/>
        <v>0.99636038742310928</v>
      </c>
      <c r="AR119" s="302">
        <f t="shared" si="140"/>
        <v>0.99490934206415216</v>
      </c>
      <c r="AS119" s="302">
        <f t="shared" si="140"/>
        <v>0.99293718856932112</v>
      </c>
      <c r="AT119" s="302">
        <f t="shared" si="140"/>
        <v>0.9903217575747294</v>
      </c>
      <c r="AU119" s="302">
        <f t="shared" si="140"/>
        <v>0.98695389598896688</v>
      </c>
      <c r="AV119" s="302">
        <f t="shared" si="140"/>
        <v>0.98277279160446551</v>
      </c>
      <c r="AW119" s="302">
        <f t="shared" si="140"/>
        <v>0.97781443356526176</v>
      </c>
      <c r="AX119" s="302">
        <f t="shared" si="140"/>
        <v>0.97226127566573584</v>
      </c>
      <c r="AY119" s="302">
        <f t="shared" si="140"/>
        <v>0.9664666302877496</v>
      </c>
      <c r="AZ119" s="302">
        <f t="shared" si="140"/>
        <v>0.96091994250639057</v>
      </c>
      <c r="BA119" s="302">
        <f t="shared" si="140"/>
        <v>0.95613695031549018</v>
      </c>
      <c r="BB119" s="302">
        <f t="shared" si="138"/>
        <v>0.95250612290966996</v>
      </c>
      <c r="BC119" s="302">
        <f t="shared" si="138"/>
        <v>0.95016613036543962</v>
      </c>
      <c r="BD119" s="302">
        <f t="shared" si="138"/>
        <v>0.94897856153512661</v>
      </c>
      <c r="BE119" s="302">
        <f t="shared" si="138"/>
        <v>0.94859538703314161</v>
      </c>
      <c r="BF119" s="302">
        <f t="shared" si="138"/>
        <v>0.94856600164359561</v>
      </c>
      <c r="BG119" s="302">
        <f t="shared" si="138"/>
        <v>0.94873088680104978</v>
      </c>
      <c r="BH119" s="302">
        <f t="shared" si="138"/>
        <v>0.94950133756965371</v>
      </c>
      <c r="BI119" s="302">
        <f t="shared" si="138"/>
        <v>0.95128591354651515</v>
      </c>
      <c r="BJ119" s="302">
        <f t="shared" si="138"/>
        <v>0.9543305238241796</v>
      </c>
      <c r="BK119" s="302">
        <f t="shared" si="138"/>
        <v>0.95862561261473822</v>
      </c>
      <c r="BL119" s="302">
        <f t="shared" si="138"/>
        <v>0.96388588694272304</v>
      </c>
      <c r="BM119" s="302">
        <f t="shared" si="137"/>
        <v>0.9696343862060719</v>
      </c>
      <c r="BN119" s="302">
        <f t="shared" si="137"/>
        <v>0.97535223361327972</v>
      </c>
      <c r="BO119" s="303">
        <f t="shared" si="137"/>
        <v>0.98061558202406862</v>
      </c>
      <c r="BP119" s="223"/>
    </row>
    <row r="120" spans="3:85" ht="42" customHeight="1">
      <c r="C120" s="426"/>
      <c r="D120" s="425"/>
      <c r="E120" s="445">
        <v>-0.65</v>
      </c>
      <c r="F120" s="464"/>
      <c r="G120" s="302">
        <f t="shared" si="141"/>
        <v>0.99757339126132882</v>
      </c>
      <c r="H120" s="302">
        <f t="shared" si="141"/>
        <v>0.99717539475423722</v>
      </c>
      <c r="I120" s="302">
        <f t="shared" si="141"/>
        <v>0.99678635751313793</v>
      </c>
      <c r="J120" s="302">
        <f t="shared" si="141"/>
        <v>0.99642550452400425</v>
      </c>
      <c r="K120" s="302">
        <f t="shared" si="141"/>
        <v>0.99610971030821904</v>
      </c>
      <c r="L120" s="302">
        <f t="shared" si="141"/>
        <v>0.99585092952322574</v>
      </c>
      <c r="M120" s="302">
        <f t="shared" si="141"/>
        <v>0.99565458676546781</v>
      </c>
      <c r="N120" s="302">
        <f t="shared" si="141"/>
        <v>0.99551925349194825</v>
      </c>
      <c r="O120" s="302">
        <f t="shared" si="141"/>
        <v>0.99543750313064683</v>
      </c>
      <c r="P120" s="302">
        <f t="shared" si="141"/>
        <v>0.99539749927358867</v>
      </c>
      <c r="Q120" s="302">
        <f t="shared" si="141"/>
        <v>0.99538475612375454</v>
      </c>
      <c r="R120" s="302">
        <f t="shared" si="141"/>
        <v>0.9953837064556158</v>
      </c>
      <c r="S120" s="302">
        <f t="shared" si="141"/>
        <v>0.99538903198717177</v>
      </c>
      <c r="T120" s="302">
        <f t="shared" si="141"/>
        <v>0.99541454011772923</v>
      </c>
      <c r="U120" s="302">
        <f t="shared" si="141"/>
        <v>0.99547537266546438</v>
      </c>
      <c r="V120" s="302">
        <f t="shared" si="141"/>
        <v>0.99558473310441897</v>
      </c>
      <c r="W120" s="302">
        <f t="shared" si="139"/>
        <v>0.99575220720353808</v>
      </c>
      <c r="X120" s="302">
        <f t="shared" si="139"/>
        <v>0.99598201846004486</v>
      </c>
      <c r="Y120" s="302">
        <f t="shared" si="139"/>
        <v>0.99627175768804421</v>
      </c>
      <c r="Z120" s="302">
        <f t="shared" si="139"/>
        <v>0.99661211151655404</v>
      </c>
      <c r="AA120" s="302">
        <f t="shared" si="139"/>
        <v>0.99698787103605135</v>
      </c>
      <c r="AB120" s="302">
        <f t="shared" si="139"/>
        <v>0.99738008639731424</v>
      </c>
      <c r="AC120" s="302">
        <f t="shared" si="139"/>
        <v>0.99776882582356985</v>
      </c>
      <c r="AD120" s="302">
        <f t="shared" si="139"/>
        <v>0.99813579822004539</v>
      </c>
      <c r="AE120" s="302">
        <f t="shared" si="139"/>
        <v>0.99846619366706946</v>
      </c>
      <c r="AF120" s="302">
        <f t="shared" si="139"/>
        <v>0.998749406482625</v>
      </c>
      <c r="AG120" s="302">
        <f t="shared" si="139"/>
        <v>0.99897865548541021</v>
      </c>
      <c r="AH120" s="302">
        <f t="shared" si="139"/>
        <v>0.99914975237657211</v>
      </c>
      <c r="AI120" s="302">
        <f t="shared" si="139"/>
        <v>0.99925933435645342</v>
      </c>
      <c r="AJ120" s="302">
        <f t="shared" si="139"/>
        <v>0.99930280342800937</v>
      </c>
      <c r="AK120" s="302">
        <f t="shared" si="139"/>
        <v>0.9992720735181273</v>
      </c>
      <c r="AL120" s="302">
        <f t="shared" si="140"/>
        <v>0.99915308174189732</v>
      </c>
      <c r="AM120" s="302">
        <f t="shared" si="140"/>
        <v>0.99892291101156838</v>
      </c>
      <c r="AN120" s="302">
        <f t="shared" si="140"/>
        <v>0.99854631857450038</v>
      </c>
      <c r="AO120" s="302">
        <f t="shared" si="140"/>
        <v>0.99797149008255948</v>
      </c>
      <c r="AP120" s="302">
        <f t="shared" si="140"/>
        <v>0.99712498464187771</v>
      </c>
      <c r="AQ120" s="302">
        <f t="shared" si="140"/>
        <v>0.99590618964892386</v>
      </c>
      <c r="AR120" s="302">
        <f t="shared" si="140"/>
        <v>0.9941823120167752</v>
      </c>
      <c r="AS120" s="302">
        <f t="shared" si="140"/>
        <v>0.99178619572057514</v>
      </c>
      <c r="AT120" s="302">
        <f t="shared" si="140"/>
        <v>0.98852124617472603</v>
      </c>
      <c r="AU120" s="302">
        <f t="shared" si="140"/>
        <v>0.98418031935658756</v>
      </c>
      <c r="AV120" s="302">
        <f t="shared" si="140"/>
        <v>0.9785874751648207</v>
      </c>
      <c r="AW120" s="302">
        <f t="shared" si="140"/>
        <v>0.97166978785563463</v>
      </c>
      <c r="AX120" s="302">
        <f t="shared" si="140"/>
        <v>0.9635549845493151</v>
      </c>
      <c r="AY120" s="302">
        <f t="shared" si="140"/>
        <v>0.95466390532802625</v>
      </c>
      <c r="AZ120" s="302">
        <f t="shared" si="140"/>
        <v>0.9457313117269277</v>
      </c>
      <c r="BA120" s="302">
        <f t="shared" si="140"/>
        <v>0.93767989233039339</v>
      </c>
      <c r="BB120" s="302">
        <f t="shared" si="138"/>
        <v>0.93134094691001523</v>
      </c>
      <c r="BC120" s="302">
        <f t="shared" si="138"/>
        <v>0.92714713689398176</v>
      </c>
      <c r="BD120" s="302">
        <f t="shared" si="138"/>
        <v>0.92498515126942404</v>
      </c>
      <c r="BE120" s="302">
        <f t="shared" si="138"/>
        <v>0.92428261963090019</v>
      </c>
      <c r="BF120" s="302">
        <f t="shared" si="138"/>
        <v>0.92422858462891755</v>
      </c>
      <c r="BG120" s="302">
        <f t="shared" si="138"/>
        <v>0.92453118196370143</v>
      </c>
      <c r="BH120" s="302">
        <f t="shared" si="138"/>
        <v>0.92593939580333195</v>
      </c>
      <c r="BI120" s="302">
        <f t="shared" si="138"/>
        <v>0.92916439807812656</v>
      </c>
      <c r="BJ120" s="302">
        <f t="shared" si="138"/>
        <v>0.93455054157096584</v>
      </c>
      <c r="BK120" s="302">
        <f t="shared" si="138"/>
        <v>0.94190961017266439</v>
      </c>
      <c r="BL120" s="302">
        <f t="shared" si="138"/>
        <v>0.95055907073094448</v>
      </c>
      <c r="BM120" s="302">
        <f t="shared" si="137"/>
        <v>0.95957715082836781</v>
      </c>
      <c r="BN120" s="302">
        <f t="shared" si="137"/>
        <v>0.96811774807934847</v>
      </c>
      <c r="BO120" s="303">
        <f t="shared" si="137"/>
        <v>0.97561276280396303</v>
      </c>
      <c r="BP120" s="223"/>
    </row>
    <row r="121" spans="3:85" ht="42" customHeight="1">
      <c r="C121" s="426"/>
      <c r="D121" s="425"/>
      <c r="E121" s="443">
        <v>-0.7</v>
      </c>
      <c r="F121" s="464"/>
      <c r="G121" s="302">
        <f t="shared" si="141"/>
        <v>0.99825873666336062</v>
      </c>
      <c r="H121" s="302">
        <f t="shared" si="141"/>
        <v>0.99800205492165706</v>
      </c>
      <c r="I121" s="302">
        <f t="shared" si="141"/>
        <v>0.99775603062653073</v>
      </c>
      <c r="J121" s="302">
        <f t="shared" si="141"/>
        <v>0.99753177257896564</v>
      </c>
      <c r="K121" s="302">
        <f t="shared" si="141"/>
        <v>0.99733840725770306</v>
      </c>
      <c r="L121" s="302">
        <f t="shared" si="141"/>
        <v>0.9971818463125619</v>
      </c>
      <c r="M121" s="302">
        <f t="shared" si="141"/>
        <v>0.99706414624014206</v>
      </c>
      <c r="N121" s="302">
        <f t="shared" si="141"/>
        <v>0.99698354433149361</v>
      </c>
      <c r="O121" s="302">
        <f t="shared" si="141"/>
        <v>0.99693505385807935</v>
      </c>
      <c r="P121" s="302">
        <f t="shared" si="141"/>
        <v>0.99691137068451174</v>
      </c>
      <c r="Q121" s="302">
        <f t="shared" si="141"/>
        <v>0.99690381637720216</v>
      </c>
      <c r="R121" s="302">
        <f t="shared" si="141"/>
        <v>0.99690316265493839</v>
      </c>
      <c r="S121" s="302">
        <f t="shared" si="141"/>
        <v>0.99690625986613168</v>
      </c>
      <c r="T121" s="302">
        <f t="shared" si="141"/>
        <v>0.99692126846790985</v>
      </c>
      <c r="U121" s="302">
        <f t="shared" si="141"/>
        <v>0.99695718792805799</v>
      </c>
      <c r="V121" s="302">
        <f t="shared" si="141"/>
        <v>0.99702200986370848</v>
      </c>
      <c r="W121" s="302">
        <f t="shared" si="139"/>
        <v>0.99712182847396502</v>
      </c>
      <c r="X121" s="302">
        <f t="shared" si="139"/>
        <v>0.99725987470412725</v>
      </c>
      <c r="Y121" s="302">
        <f t="shared" si="139"/>
        <v>0.99743572968269156</v>
      </c>
      <c r="Z121" s="302">
        <f t="shared" si="139"/>
        <v>0.9976449878570206</v>
      </c>
      <c r="AA121" s="302">
        <f t="shared" si="139"/>
        <v>0.99787955494409553</v>
      </c>
      <c r="AB121" s="302">
        <f t="shared" si="139"/>
        <v>0.99812858720780484</v>
      </c>
      <c r="AC121" s="302">
        <f t="shared" si="139"/>
        <v>0.99837986947929092</v>
      </c>
      <c r="AD121" s="302">
        <f t="shared" si="139"/>
        <v>0.9986212805144713</v>
      </c>
      <c r="AE121" s="302">
        <f t="shared" si="139"/>
        <v>0.99884197058309165</v>
      </c>
      <c r="AF121" s="302">
        <f t="shared" si="139"/>
        <v>0.99903297667226476</v>
      </c>
      <c r="AG121" s="302">
        <f t="shared" si="139"/>
        <v>0.99918716358879434</v>
      </c>
      <c r="AH121" s="302">
        <f t="shared" si="139"/>
        <v>0.99929852424855825</v>
      </c>
      <c r="AI121" s="302">
        <f t="shared" si="139"/>
        <v>0.99936094490716665</v>
      </c>
      <c r="AJ121" s="302">
        <f t="shared" si="139"/>
        <v>0.99936652952668581</v>
      </c>
      <c r="AK121" s="302">
        <f t="shared" si="139"/>
        <v>0.99930350288370362</v>
      </c>
      <c r="AL121" s="302">
        <f t="shared" si="140"/>
        <v>0.9991536064225166</v>
      </c>
      <c r="AM121" s="302">
        <f t="shared" si="140"/>
        <v>0.99888879204471981</v>
      </c>
      <c r="AN121" s="302">
        <f t="shared" si="140"/>
        <v>0.99846692831938577</v>
      </c>
      <c r="AO121" s="302">
        <f t="shared" si="140"/>
        <v>0.9978261853735636</v>
      </c>
      <c r="AP121" s="302">
        <f t="shared" si="140"/>
        <v>0.99687780530130154</v>
      </c>
      <c r="AQ121" s="302">
        <f t="shared" si="140"/>
        <v>0.99549719106987411</v>
      </c>
      <c r="AR121" s="302">
        <f t="shared" si="140"/>
        <v>0.9935138460398103</v>
      </c>
      <c r="AS121" s="302">
        <f t="shared" si="140"/>
        <v>0.99070199431697081</v>
      </c>
      <c r="AT121" s="302">
        <f t="shared" si="140"/>
        <v>0.98677619518376214</v>
      </c>
      <c r="AU121" s="302">
        <f t="shared" si="140"/>
        <v>0.98140045177444191</v>
      </c>
      <c r="AV121" s="302">
        <f t="shared" si="140"/>
        <v>0.97422515867796988</v>
      </c>
      <c r="AW121" s="302">
        <f t="shared" si="140"/>
        <v>0.96497142874586317</v>
      </c>
      <c r="AX121" s="302">
        <f t="shared" si="140"/>
        <v>0.95357899109716548</v>
      </c>
      <c r="AY121" s="302">
        <f t="shared" si="140"/>
        <v>0.94040551989734489</v>
      </c>
      <c r="AZ121" s="302">
        <f t="shared" si="140"/>
        <v>0.9263951821371551</v>
      </c>
      <c r="BA121" s="302">
        <f t="shared" si="140"/>
        <v>0.913045335378181</v>
      </c>
      <c r="BB121" s="302">
        <f t="shared" si="138"/>
        <v>0.90201124003401134</v>
      </c>
      <c r="BC121" s="302">
        <f t="shared" si="138"/>
        <v>0.8944379767274182</v>
      </c>
      <c r="BD121" s="302">
        <f t="shared" si="138"/>
        <v>0.89044406243658403</v>
      </c>
      <c r="BE121" s="302">
        <f t="shared" si="138"/>
        <v>0.88913263875474879</v>
      </c>
      <c r="BF121" s="302">
        <f t="shared" si="138"/>
        <v>0.88903143462785916</v>
      </c>
      <c r="BG121" s="302">
        <f t="shared" si="138"/>
        <v>0.88959726145215334</v>
      </c>
      <c r="BH121" s="302">
        <f t="shared" si="138"/>
        <v>0.89221429399602115</v>
      </c>
      <c r="BI121" s="302">
        <f t="shared" si="138"/>
        <v>0.89810847098838253</v>
      </c>
      <c r="BJ121" s="302">
        <f t="shared" si="138"/>
        <v>0.90765767809669418</v>
      </c>
      <c r="BK121" s="302">
        <f t="shared" si="138"/>
        <v>0.92014673487033782</v>
      </c>
      <c r="BL121" s="302">
        <f t="shared" si="138"/>
        <v>0.93406628069629238</v>
      </c>
      <c r="BM121" s="302">
        <f t="shared" si="137"/>
        <v>0.94777540648206682</v>
      </c>
      <c r="BN121" s="302">
        <f t="shared" si="137"/>
        <v>0.96005502856919889</v>
      </c>
      <c r="BO121" s="303">
        <f t="shared" si="137"/>
        <v>0.97029469609666996</v>
      </c>
      <c r="BP121" s="223"/>
    </row>
    <row r="122" spans="3:85" ht="42" customHeight="1">
      <c r="C122" s="426"/>
      <c r="D122" s="425"/>
      <c r="E122" s="445">
        <v>-0.75</v>
      </c>
      <c r="F122" s="464"/>
      <c r="G122" s="302">
        <f t="shared" si="141"/>
        <v>0.99876238015976859</v>
      </c>
      <c r="H122" s="302">
        <f t="shared" si="141"/>
        <v>0.99859789315008773</v>
      </c>
      <c r="I122" s="302">
        <f t="shared" si="141"/>
        <v>0.99844289670513553</v>
      </c>
      <c r="J122" s="302">
        <f t="shared" si="141"/>
        <v>0.99830370231524945</v>
      </c>
      <c r="K122" s="302">
        <f t="shared" si="141"/>
        <v>0.99818517674617768</v>
      </c>
      <c r="L122" s="302">
        <f t="shared" si="141"/>
        <v>0.99809017016459678</v>
      </c>
      <c r="M122" s="302">
        <f t="shared" si="141"/>
        <v>0.99801928657603045</v>
      </c>
      <c r="N122" s="302">
        <f t="shared" si="141"/>
        <v>0.99797100228839897</v>
      </c>
      <c r="O122" s="302">
        <f t="shared" si="141"/>
        <v>0.99794204840207623</v>
      </c>
      <c r="P122" s="302">
        <f t="shared" si="141"/>
        <v>0.99792792398653551</v>
      </c>
      <c r="Q122" s="302">
        <f t="shared" si="141"/>
        <v>0.99792340477935537</v>
      </c>
      <c r="R122" s="302">
        <f t="shared" si="141"/>
        <v>0.99792298235192745</v>
      </c>
      <c r="S122" s="302">
        <f t="shared" si="141"/>
        <v>0.99792477599362661</v>
      </c>
      <c r="T122" s="302">
        <f t="shared" si="141"/>
        <v>0.99793363902108256</v>
      </c>
      <c r="U122" s="302">
        <f t="shared" si="141"/>
        <v>0.99795494671283325</v>
      </c>
      <c r="V122" s="302">
        <f t="shared" si="141"/>
        <v>0.99799353931108936</v>
      </c>
      <c r="W122" s="302">
        <f t="shared" si="139"/>
        <v>0.99805324436805898</v>
      </c>
      <c r="X122" s="302">
        <f t="shared" si="139"/>
        <v>0.99813633945057634</v>
      </c>
      <c r="Y122" s="302">
        <f t="shared" si="139"/>
        <v>0.99824307700805326</v>
      </c>
      <c r="Z122" s="302">
        <f t="shared" si="139"/>
        <v>0.99837140853657558</v>
      </c>
      <c r="AA122" s="302">
        <f t="shared" si="139"/>
        <v>0.99851701685812555</v>
      </c>
      <c r="AB122" s="302">
        <f t="shared" si="139"/>
        <v>0.99867368976958304</v>
      </c>
      <c r="AC122" s="302">
        <f t="shared" si="139"/>
        <v>0.99883396575189076</v>
      </c>
      <c r="AD122" s="302">
        <f t="shared" si="139"/>
        <v>0.99898989098086288</v>
      </c>
      <c r="AE122" s="302">
        <f t="shared" si="139"/>
        <v>0.99913368288129245</v>
      </c>
      <c r="AF122" s="302">
        <f t="shared" si="139"/>
        <v>0.99925811247089358</v>
      </c>
      <c r="AG122" s="302">
        <f t="shared" si="139"/>
        <v>0.99935647923337256</v>
      </c>
      <c r="AH122" s="302">
        <f t="shared" si="139"/>
        <v>0.9994221226155332</v>
      </c>
      <c r="AI122" s="302">
        <f t="shared" si="139"/>
        <v>0.99944745853565276</v>
      </c>
      <c r="AJ122" s="302">
        <f t="shared" si="139"/>
        <v>0.99942252794494357</v>
      </c>
      <c r="AK122" s="302">
        <f t="shared" si="139"/>
        <v>0.9993329957601863</v>
      </c>
      <c r="AL122" s="302">
        <f t="shared" si="140"/>
        <v>0.99915745176850901</v>
      </c>
      <c r="AM122" s="302">
        <f t="shared" si="140"/>
        <v>0.99886375272342487</v>
      </c>
      <c r="AN122" s="302">
        <f t="shared" si="140"/>
        <v>0.99840401874375206</v>
      </c>
      <c r="AO122" s="302">
        <f t="shared" si="140"/>
        <v>0.9977077734431854</v>
      </c>
      <c r="AP122" s="302">
        <f t="shared" si="140"/>
        <v>0.99667263081833701</v>
      </c>
      <c r="AQ122" s="302">
        <f t="shared" si="140"/>
        <v>0.99515196499871716</v>
      </c>
      <c r="AR122" s="302">
        <f t="shared" si="140"/>
        <v>0.99293933270529522</v>
      </c>
      <c r="AS122" s="302">
        <f t="shared" si="140"/>
        <v>0.98975042053834128</v>
      </c>
      <c r="AT122" s="302">
        <f t="shared" si="140"/>
        <v>0.98520564413226941</v>
      </c>
      <c r="AU122" s="302">
        <f t="shared" si="140"/>
        <v>0.97882135927932423</v>
      </c>
      <c r="AV122" s="302">
        <f t="shared" si="140"/>
        <v>0.97002640384233163</v>
      </c>
      <c r="AW122" s="302">
        <f t="shared" si="140"/>
        <v>0.95823399057568148</v>
      </c>
      <c r="AX122" s="302">
        <f t="shared" si="140"/>
        <v>0.94301248607966082</v>
      </c>
      <c r="AY122" s="302">
        <f t="shared" si="140"/>
        <v>0.92439318136908255</v>
      </c>
      <c r="AZ122" s="302">
        <f t="shared" si="140"/>
        <v>0.90328229885834466</v>
      </c>
      <c r="BA122" s="302">
        <f t="shared" si="140"/>
        <v>0.8817543682469462</v>
      </c>
      <c r="BB122" s="302">
        <f t="shared" si="138"/>
        <v>0.86277426152961667</v>
      </c>
      <c r="BC122" s="302">
        <f t="shared" si="138"/>
        <v>0.84904422943073732</v>
      </c>
      <c r="BD122" s="302">
        <f t="shared" si="138"/>
        <v>0.84154994782448223</v>
      </c>
      <c r="BE122" s="302">
        <f t="shared" si="138"/>
        <v>0.83904869190682008</v>
      </c>
      <c r="BF122" s="302">
        <f t="shared" si="138"/>
        <v>0.83885476047345042</v>
      </c>
      <c r="BG122" s="302">
        <f t="shared" si="138"/>
        <v>0.83993706045732275</v>
      </c>
      <c r="BH122" s="302">
        <f t="shared" si="138"/>
        <v>0.84489392888760761</v>
      </c>
      <c r="BI122" s="302">
        <f t="shared" si="138"/>
        <v>0.85577423531417252</v>
      </c>
      <c r="BJ122" s="302">
        <f t="shared" si="138"/>
        <v>0.87263002988846228</v>
      </c>
      <c r="BK122" s="302">
        <f t="shared" si="138"/>
        <v>0.89338834894844099</v>
      </c>
      <c r="BL122" s="302">
        <f t="shared" si="138"/>
        <v>0.91501614511736107</v>
      </c>
      <c r="BM122" s="302">
        <f t="shared" si="137"/>
        <v>0.93494772377145496</v>
      </c>
      <c r="BN122" s="302">
        <f t="shared" si="137"/>
        <v>0.95176035886938282</v>
      </c>
      <c r="BO122" s="303">
        <f t="shared" si="137"/>
        <v>0.96507752253380485</v>
      </c>
      <c r="BP122" s="223"/>
    </row>
    <row r="123" spans="3:85" ht="42" customHeight="1">
      <c r="C123" s="426"/>
      <c r="D123" s="425"/>
      <c r="E123" s="443">
        <v>-0.8</v>
      </c>
      <c r="F123" s="464"/>
      <c r="G123" s="302">
        <f t="shared" si="141"/>
        <v>0.99912734585066376</v>
      </c>
      <c r="H123" s="302">
        <f t="shared" si="141"/>
        <v>0.99902242807396469</v>
      </c>
      <c r="I123" s="302">
        <f t="shared" si="141"/>
        <v>0.99892501297138525</v>
      </c>
      <c r="J123" s="302">
        <f t="shared" si="141"/>
        <v>0.99883863976894849</v>
      </c>
      <c r="K123" s="302">
        <f t="shared" si="141"/>
        <v>0.99876586969468439</v>
      </c>
      <c r="L123" s="302">
        <f t="shared" si="141"/>
        <v>0.998708030053294</v>
      </c>
      <c r="M123" s="302">
        <f t="shared" si="141"/>
        <v>0.99866514883172863</v>
      </c>
      <c r="N123" s="302">
        <f t="shared" si="141"/>
        <v>0.99863606627457346</v>
      </c>
      <c r="O123" s="302">
        <f t="shared" si="141"/>
        <v>0.99861867071726673</v>
      </c>
      <c r="P123" s="302">
        <f t="shared" si="141"/>
        <v>0.99861018811798818</v>
      </c>
      <c r="Q123" s="302">
        <f t="shared" si="141"/>
        <v>0.99860745841222476</v>
      </c>
      <c r="R123" s="302">
        <f t="shared" si="141"/>
        <v>0.99860717218535555</v>
      </c>
      <c r="S123" s="302">
        <f t="shared" si="141"/>
        <v>0.99860819711278226</v>
      </c>
      <c r="T123" s="302">
        <f t="shared" si="141"/>
        <v>0.99861343463094954</v>
      </c>
      <c r="U123" s="302">
        <f t="shared" si="141"/>
        <v>0.99862610809269781</v>
      </c>
      <c r="V123" s="302">
        <f t="shared" si="141"/>
        <v>0.998649149864552</v>
      </c>
      <c r="W123" s="302">
        <f t="shared" si="139"/>
        <v>0.99868494074780767</v>
      </c>
      <c r="X123" s="302">
        <f t="shared" si="139"/>
        <v>0.99873500799787074</v>
      </c>
      <c r="Y123" s="302">
        <f t="shared" si="139"/>
        <v>0.9987997401879376</v>
      </c>
      <c r="Z123" s="302">
        <f t="shared" si="139"/>
        <v>0.99887818758668601</v>
      </c>
      <c r="AA123" s="302">
        <f t="shared" si="139"/>
        <v>0.99896800802126473</v>
      </c>
      <c r="AB123" s="302">
        <f t="shared" si="139"/>
        <v>0.99906558624566588</v>
      </c>
      <c r="AC123" s="302">
        <f t="shared" si="139"/>
        <v>0.99916630531827633</v>
      </c>
      <c r="AD123" s="302">
        <f t="shared" si="139"/>
        <v>0.99926489644851868</v>
      </c>
      <c r="AE123" s="302">
        <f t="shared" si="139"/>
        <v>0.99935575697855505</v>
      </c>
      <c r="AF123" s="302">
        <f t="shared" si="139"/>
        <v>0.99943311564256565</v>
      </c>
      <c r="AG123" s="302">
        <f t="shared" si="139"/>
        <v>0.99949093794530819</v>
      </c>
      <c r="AH123" s="302">
        <f t="shared" si="139"/>
        <v>0.99952248828481305</v>
      </c>
      <c r="AI123" s="302">
        <f t="shared" si="139"/>
        <v>0.99951948013533676</v>
      </c>
      <c r="AJ123" s="302">
        <f t="shared" si="139"/>
        <v>0.99947073493648908</v>
      </c>
      <c r="AK123" s="302">
        <f t="shared" si="139"/>
        <v>0.99936022504029554</v>
      </c>
      <c r="AL123" s="302">
        <f t="shared" si="140"/>
        <v>0.99916429308008248</v>
      </c>
      <c r="AM123" s="302">
        <f t="shared" si="140"/>
        <v>0.99884771919827386</v>
      </c>
      <c r="AN123" s="302">
        <f t="shared" si="140"/>
        <v>0.99835814894554586</v>
      </c>
      <c r="AO123" s="302">
        <f t="shared" si="140"/>
        <v>0.99761820102035215</v>
      </c>
      <c r="AP123" s="302">
        <f t="shared" si="140"/>
        <v>0.99651436012069861</v>
      </c>
      <c r="AQ123" s="302">
        <f t="shared" si="140"/>
        <v>0.99488157612250028</v>
      </c>
      <c r="AR123" s="302">
        <f t="shared" si="140"/>
        <v>0.99248247098561337</v>
      </c>
      <c r="AS123" s="302">
        <f t="shared" si="140"/>
        <v>0.9889805159213797</v>
      </c>
      <c r="AT123" s="302">
        <f t="shared" si="140"/>
        <v>0.98390816756701438</v>
      </c>
      <c r="AU123" s="302">
        <f t="shared" si="140"/>
        <v>0.9766351103904457</v>
      </c>
      <c r="AV123" s="302">
        <f t="shared" si="140"/>
        <v>0.96635091631821601</v>
      </c>
      <c r="AW123" s="302">
        <f t="shared" si="140"/>
        <v>0.95209432788102988</v>
      </c>
      <c r="AX123" s="302">
        <f t="shared" si="140"/>
        <v>0.93289116891761814</v>
      </c>
      <c r="AY123" s="302">
        <f t="shared" si="140"/>
        <v>0.90809813242787485</v>
      </c>
      <c r="AZ123" s="302">
        <f t="shared" si="140"/>
        <v>0.87804633588340608</v>
      </c>
      <c r="BA123" s="302">
        <f t="shared" si="140"/>
        <v>0.84490382235914152</v>
      </c>
      <c r="BB123" s="302">
        <f t="shared" si="138"/>
        <v>0.81313975769824054</v>
      </c>
      <c r="BC123" s="302">
        <f t="shared" si="138"/>
        <v>0.7883471275308449</v>
      </c>
      <c r="BD123" s="302">
        <f t="shared" si="138"/>
        <v>0.77405533577469277</v>
      </c>
      <c r="BE123" s="302">
        <f t="shared" si="138"/>
        <v>0.76915253758458724</v>
      </c>
      <c r="BF123" s="302">
        <f t="shared" si="138"/>
        <v>0.76876943939605458</v>
      </c>
      <c r="BG123" s="302">
        <f t="shared" si="138"/>
        <v>0.77090167691706202</v>
      </c>
      <c r="BH123" s="302">
        <f t="shared" si="138"/>
        <v>0.78050382910426752</v>
      </c>
      <c r="BI123" s="302">
        <f t="shared" si="138"/>
        <v>0.80071025623363812</v>
      </c>
      <c r="BJ123" s="302">
        <f t="shared" si="138"/>
        <v>0.82996387223069013</v>
      </c>
      <c r="BK123" s="302">
        <f t="shared" si="138"/>
        <v>0.86315638323401866</v>
      </c>
      <c r="BL123" s="302">
        <f t="shared" si="138"/>
        <v>0.89502089526727147</v>
      </c>
      <c r="BM123" s="302">
        <f t="shared" si="137"/>
        <v>0.92233468470327862</v>
      </c>
      <c r="BN123" s="302">
        <f t="shared" si="137"/>
        <v>0.94403835371824196</v>
      </c>
      <c r="BO123" s="303">
        <f t="shared" si="137"/>
        <v>0.96043144840407557</v>
      </c>
      <c r="BP123" s="223"/>
    </row>
    <row r="124" spans="3:85" ht="42" customHeight="1">
      <c r="C124" s="426"/>
      <c r="D124" s="425"/>
      <c r="E124" s="445">
        <v>-0.85</v>
      </c>
      <c r="F124" s="464"/>
      <c r="G124" s="302">
        <f t="shared" si="141"/>
        <v>0.99938879397284575</v>
      </c>
      <c r="H124" s="302">
        <f t="shared" si="141"/>
        <v>0.99932209230858771</v>
      </c>
      <c r="I124" s="302">
        <f t="shared" si="141"/>
        <v>0.99926095013781635</v>
      </c>
      <c r="J124" s="302">
        <f t="shared" si="141"/>
        <v>0.99920733095353209</v>
      </c>
      <c r="K124" s="302">
        <f t="shared" si="141"/>
        <v>0.99916256410971183</v>
      </c>
      <c r="L124" s="302">
        <f t="shared" si="141"/>
        <v>0.99912723552486338</v>
      </c>
      <c r="M124" s="302">
        <f t="shared" si="141"/>
        <v>0.99910118203449994</v>
      </c>
      <c r="N124" s="302">
        <f t="shared" si="141"/>
        <v>0.99908357512109258</v>
      </c>
      <c r="O124" s="302">
        <f t="shared" si="141"/>
        <v>0.99907306296234455</v>
      </c>
      <c r="P124" s="302">
        <f t="shared" si="141"/>
        <v>0.99906793372530056</v>
      </c>
      <c r="Q124" s="302">
        <f t="shared" si="141"/>
        <v>0.99906626673631405</v>
      </c>
      <c r="R124" s="302">
        <f t="shared" si="141"/>
        <v>0.99906606131346376</v>
      </c>
      <c r="S124" s="302">
        <f t="shared" si="141"/>
        <v>0.999066629675183</v>
      </c>
      <c r="T124" s="302">
        <f t="shared" si="141"/>
        <v>0.99906971314613235</v>
      </c>
      <c r="U124" s="302">
        <f t="shared" si="141"/>
        <v>0.99907724974887036</v>
      </c>
      <c r="V124" s="302">
        <f t="shared" si="141"/>
        <v>0.99909101430290981</v>
      </c>
      <c r="W124" s="302">
        <f t="shared" si="139"/>
        <v>0.99911247342910958</v>
      </c>
      <c r="X124" s="302">
        <f t="shared" si="139"/>
        <v>0.99914261297354057</v>
      </c>
      <c r="Y124" s="302">
        <f t="shared" si="139"/>
        <v>0.9991817655706895</v>
      </c>
      <c r="Z124" s="302">
        <f t="shared" si="139"/>
        <v>0.99922947213710744</v>
      </c>
      <c r="AA124" s="302">
        <f t="shared" si="139"/>
        <v>0.99928440862435675</v>
      </c>
      <c r="AB124" s="302">
        <f t="shared" si="139"/>
        <v>0.99934439548789455</v>
      </c>
      <c r="AC124" s="302">
        <f t="shared" si="139"/>
        <v>0.99940648309911817</v>
      </c>
      <c r="AD124" s="302">
        <f t="shared" si="139"/>
        <v>0.99946707723821182</v>
      </c>
      <c r="AE124" s="302">
        <f t="shared" si="139"/>
        <v>0.99952204275073286</v>
      </c>
      <c r="AF124" s="302">
        <f t="shared" si="139"/>
        <v>0.99956670676240456</v>
      </c>
      <c r="AG124" s="302">
        <f t="shared" si="139"/>
        <v>0.99959567658453163</v>
      </c>
      <c r="AH124" s="302">
        <f t="shared" si="139"/>
        <v>0.99960238615467911</v>
      </c>
      <c r="AI124" s="302">
        <f t="shared" si="139"/>
        <v>0.99957827835140278</v>
      </c>
      <c r="AJ124" s="302">
        <f t="shared" si="139"/>
        <v>0.99951150717315873</v>
      </c>
      <c r="AK124" s="302">
        <f t="shared" si="139"/>
        <v>0.99938499311295992</v>
      </c>
      <c r="AL124" s="302">
        <f t="shared" si="140"/>
        <v>0.99917357829194742</v>
      </c>
      <c r="AM124" s="302">
        <f t="shared" si="140"/>
        <v>0.99883989659737693</v>
      </c>
      <c r="AN124" s="302">
        <f t="shared" si="140"/>
        <v>0.99832838851728234</v>
      </c>
      <c r="AO124" s="302">
        <f t="shared" si="140"/>
        <v>0.99755663991070331</v>
      </c>
      <c r="AP124" s="302">
        <f t="shared" si="140"/>
        <v>0.99640290211125526</v>
      </c>
      <c r="AQ124" s="302">
        <f t="shared" si="140"/>
        <v>0.99468827072381094</v>
      </c>
      <c r="AR124" s="302">
        <f t="shared" si="140"/>
        <v>0.99215163244124205</v>
      </c>
      <c r="AS124" s="302">
        <f t="shared" si="140"/>
        <v>0.9884153437350045</v>
      </c>
      <c r="AT124" s="302">
        <f t="shared" si="140"/>
        <v>0.98294021084696825</v>
      </c>
      <c r="AU124" s="302">
        <f t="shared" si="140"/>
        <v>0.97497090348714366</v>
      </c>
      <c r="AV124" s="302">
        <f t="shared" si="140"/>
        <v>0.96348001598067579</v>
      </c>
      <c r="AW124" s="302">
        <f t="shared" si="140"/>
        <v>0.94713560379435868</v>
      </c>
      <c r="AX124" s="302">
        <f t="shared" si="140"/>
        <v>0.92435178807323981</v>
      </c>
      <c r="AY124" s="302">
        <f t="shared" si="140"/>
        <v>0.89354564582437568</v>
      </c>
      <c r="AZ124" s="302">
        <f t="shared" si="140"/>
        <v>0.85381304999105323</v>
      </c>
      <c r="BA124" s="302">
        <f t="shared" si="140"/>
        <v>0.80626529568514282</v>
      </c>
      <c r="BB124" s="302">
        <f t="shared" si="138"/>
        <v>0.75586917503079465</v>
      </c>
      <c r="BC124" s="302">
        <f t="shared" si="138"/>
        <v>0.71204705195560303</v>
      </c>
      <c r="BD124" s="302">
        <f t="shared" si="138"/>
        <v>0.68439369945120021</v>
      </c>
      <c r="BE124" s="302">
        <f t="shared" si="138"/>
        <v>0.67441177497358007</v>
      </c>
      <c r="BF124" s="302">
        <f t="shared" si="138"/>
        <v>0.67361995866982982</v>
      </c>
      <c r="BG124" s="302">
        <f t="shared" si="138"/>
        <v>0.67800459033777916</v>
      </c>
      <c r="BH124" s="302">
        <f t="shared" si="138"/>
        <v>0.69712173219658313</v>
      </c>
      <c r="BI124" s="302">
        <f t="shared" si="138"/>
        <v>0.73448062508207124</v>
      </c>
      <c r="BJ124" s="302">
        <f t="shared" si="138"/>
        <v>0.78324501569025207</v>
      </c>
      <c r="BK124" s="302">
        <f t="shared" si="138"/>
        <v>0.83299316864728046</v>
      </c>
      <c r="BL124" s="302">
        <f t="shared" si="138"/>
        <v>0.87660297574546675</v>
      </c>
      <c r="BM124" s="302">
        <f t="shared" si="137"/>
        <v>0.91143435050041577</v>
      </c>
      <c r="BN124" s="302">
        <f t="shared" si="137"/>
        <v>0.93768580522835987</v>
      </c>
      <c r="BO124" s="303">
        <f t="shared" si="137"/>
        <v>0.95675081287073926</v>
      </c>
      <c r="BP124" s="223"/>
    </row>
    <row r="125" spans="3:85" ht="42" customHeight="1">
      <c r="C125" s="426"/>
      <c r="D125" s="425"/>
      <c r="E125" s="443">
        <v>-0.9</v>
      </c>
      <c r="F125" s="464"/>
      <c r="G125" s="302">
        <f t="shared" si="141"/>
        <v>0.99957431834220489</v>
      </c>
      <c r="H125" s="302">
        <f t="shared" si="141"/>
        <v>0.99953200774944051</v>
      </c>
      <c r="I125" s="302">
        <f t="shared" si="141"/>
        <v>0.99949365486886377</v>
      </c>
      <c r="J125" s="302">
        <f t="shared" si="141"/>
        <v>0.99946033878377183</v>
      </c>
      <c r="K125" s="302">
        <f t="shared" si="141"/>
        <v>0.9994327383517444</v>
      </c>
      <c r="L125" s="302">
        <f t="shared" si="141"/>
        <v>0.99941108876970142</v>
      </c>
      <c r="M125" s="302">
        <f t="shared" si="141"/>
        <v>0.99939519372991936</v>
      </c>
      <c r="N125" s="302">
        <f t="shared" si="141"/>
        <v>0.99938448254178636</v>
      </c>
      <c r="O125" s="302">
        <f t="shared" si="141"/>
        <v>0.99937809451809045</v>
      </c>
      <c r="P125" s="302">
        <f t="shared" si="141"/>
        <v>0.9993749711749621</v>
      </c>
      <c r="Q125" s="302">
        <f t="shared" si="141"/>
        <v>0.99937393942893926</v>
      </c>
      <c r="R125" s="302">
        <f t="shared" si="141"/>
        <v>0.99937378228699902</v>
      </c>
      <c r="S125" s="302">
        <f t="shared" si="141"/>
        <v>0.9993740777458493</v>
      </c>
      <c r="T125" s="302">
        <f t="shared" si="141"/>
        <v>0.9993758732114465</v>
      </c>
      <c r="U125" s="302">
        <f t="shared" si="141"/>
        <v>0.99938033474746812</v>
      </c>
      <c r="V125" s="302">
        <f t="shared" si="141"/>
        <v>0.99938853300278607</v>
      </c>
      <c r="W125" s="302">
        <f t="shared" si="139"/>
        <v>0.99940136037981886</v>
      </c>
      <c r="X125" s="302">
        <f t="shared" si="139"/>
        <v>0.99941942987845511</v>
      </c>
      <c r="Y125" s="302">
        <f t="shared" si="139"/>
        <v>0.99944296850720249</v>
      </c>
      <c r="Z125" s="302">
        <f t="shared" si="139"/>
        <v>0.99947172131196527</v>
      </c>
      <c r="AA125" s="302">
        <f t="shared" si="139"/>
        <v>0.99950488127533132</v>
      </c>
      <c r="AB125" s="302">
        <f t="shared" si="139"/>
        <v>0.99954105381720504</v>
      </c>
      <c r="AC125" s="302">
        <f t="shared" si="139"/>
        <v>0.99957825212965901</v>
      </c>
      <c r="AD125" s="302">
        <f t="shared" si="139"/>
        <v>0.99961390282524731</v>
      </c>
      <c r="AE125" s="302">
        <f t="shared" si="139"/>
        <v>0.99964482348730199</v>
      </c>
      <c r="AF125" s="302">
        <f t="shared" si="139"/>
        <v>0.99966711761026816</v>
      </c>
      <c r="AG125" s="302">
        <f t="shared" si="139"/>
        <v>0.99967591893285535</v>
      </c>
      <c r="AH125" s="302">
        <f t="shared" si="139"/>
        <v>0.99966490376404971</v>
      </c>
      <c r="AI125" s="302">
        <f t="shared" si="139"/>
        <v>0.99962547066620822</v>
      </c>
      <c r="AJ125" s="302">
        <f t="shared" si="139"/>
        <v>0.99954545343115797</v>
      </c>
      <c r="AK125" s="302">
        <f t="shared" si="139"/>
        <v>0.99940717588205852</v>
      </c>
      <c r="AL125" s="302">
        <f t="shared" si="140"/>
        <v>0.99918456468821704</v>
      </c>
      <c r="AM125" s="302">
        <f t="shared" si="140"/>
        <v>0.99883889611082355</v>
      </c>
      <c r="AN125" s="302">
        <f t="shared" si="140"/>
        <v>0.99831254797620805</v>
      </c>
      <c r="AO125" s="302">
        <f t="shared" si="140"/>
        <v>0.99751983844013647</v>
      </c>
      <c r="AP125" s="302">
        <f t="shared" si="140"/>
        <v>0.99633363492745208</v>
      </c>
      <c r="AQ125" s="302">
        <f t="shared" si="140"/>
        <v>0.99456589265337625</v>
      </c>
      <c r="AR125" s="302">
        <f t="shared" si="140"/>
        <v>0.9919396453807473</v>
      </c>
      <c r="AS125" s="302">
        <f t="shared" si="140"/>
        <v>0.98804932496756737</v>
      </c>
      <c r="AT125" s="302">
        <f t="shared" si="140"/>
        <v>0.98230596229247003</v>
      </c>
      <c r="AU125" s="302">
        <f t="shared" si="140"/>
        <v>0.97386468022337913</v>
      </c>
      <c r="AV125" s="302">
        <f t="shared" si="140"/>
        <v>0.96153594207703241</v>
      </c>
      <c r="AW125" s="302">
        <f t="shared" si="140"/>
        <v>0.94369365326953247</v>
      </c>
      <c r="AX125" s="302">
        <f t="shared" si="140"/>
        <v>0.91822137212753296</v>
      </c>
      <c r="AY125" s="302">
        <f t="shared" si="140"/>
        <v>0.88259933972476579</v>
      </c>
      <c r="AZ125" s="302">
        <f t="shared" si="140"/>
        <v>0.83435695589848646</v>
      </c>
      <c r="BA125" s="302">
        <f t="shared" si="140"/>
        <v>0.77232378425331283</v>
      </c>
      <c r="BB125" s="302">
        <f t="shared" si="138"/>
        <v>0.69931987835491449</v>
      </c>
      <c r="BC125" s="302">
        <f t="shared" si="138"/>
        <v>0.6262565376295911</v>
      </c>
      <c r="BD125" s="302">
        <f t="shared" si="138"/>
        <v>0.57260946309709959</v>
      </c>
      <c r="BE125" s="302">
        <f t="shared" si="138"/>
        <v>0.55108560921337679</v>
      </c>
      <c r="BF125" s="302">
        <f t="shared" si="138"/>
        <v>0.54931653797883429</v>
      </c>
      <c r="BG125" s="302">
        <f t="shared" si="138"/>
        <v>0.55899362141730946</v>
      </c>
      <c r="BH125" s="302">
        <f t="shared" si="138"/>
        <v>0.59825284880804075</v>
      </c>
      <c r="BI125" s="302">
        <f t="shared" si="138"/>
        <v>0.66509297804512013</v>
      </c>
      <c r="BJ125" s="302">
        <f t="shared" si="138"/>
        <v>0.74009889229527659</v>
      </c>
      <c r="BK125" s="302">
        <f t="shared" si="138"/>
        <v>0.80785143414517657</v>
      </c>
      <c r="BL125" s="302">
        <f t="shared" si="138"/>
        <v>0.86237083509840662</v>
      </c>
      <c r="BM125" s="302">
        <f t="shared" si="137"/>
        <v>0.90345652305893343</v>
      </c>
      <c r="BN125" s="302">
        <f t="shared" si="137"/>
        <v>0.93321419905621672</v>
      </c>
      <c r="BO125" s="303">
        <f t="shared" si="137"/>
        <v>0.95423241864823649</v>
      </c>
      <c r="BP125" s="223"/>
    </row>
    <row r="126" spans="3:85" ht="42" customHeight="1">
      <c r="C126" s="426"/>
      <c r="D126" s="425"/>
      <c r="E126" s="445">
        <v>-0.95</v>
      </c>
      <c r="F126" s="464"/>
      <c r="G126" s="302">
        <f t="shared" si="141"/>
        <v>0.9997049370028811</v>
      </c>
      <c r="H126" s="302">
        <f t="shared" si="141"/>
        <v>0.99967813691152352</v>
      </c>
      <c r="I126" s="302">
        <f t="shared" si="141"/>
        <v>0.99965407982457455</v>
      </c>
      <c r="J126" s="302">
        <f t="shared" si="141"/>
        <v>0.99963335343219117</v>
      </c>
      <c r="K126" s="302">
        <f t="shared" si="141"/>
        <v>0.99961629722139811</v>
      </c>
      <c r="L126" s="302">
        <f t="shared" si="141"/>
        <v>0.99960298740544173</v>
      </c>
      <c r="M126" s="302">
        <f t="shared" si="141"/>
        <v>0.99959325140502653</v>
      </c>
      <c r="N126" s="302">
        <f t="shared" si="141"/>
        <v>0.99958670489702917</v>
      </c>
      <c r="O126" s="302">
        <f t="shared" si="141"/>
        <v>0.99958280152327272</v>
      </c>
      <c r="P126" s="302">
        <f t="shared" si="141"/>
        <v>0.99958088502992914</v>
      </c>
      <c r="Q126" s="302">
        <f t="shared" si="141"/>
        <v>0.99958023526738904</v>
      </c>
      <c r="R126" s="302">
        <f t="shared" si="141"/>
        <v>0.99958010717312107</v>
      </c>
      <c r="S126" s="302">
        <f t="shared" si="141"/>
        <v>0.9995802385855177</v>
      </c>
      <c r="T126" s="302">
        <f t="shared" si="141"/>
        <v>0.99958125944103193</v>
      </c>
      <c r="U126" s="302">
        <f t="shared" si="141"/>
        <v>0.99958386980131242</v>
      </c>
      <c r="V126" s="302">
        <f t="shared" si="141"/>
        <v>0.99958871071130073</v>
      </c>
      <c r="W126" s="302">
        <f t="shared" si="139"/>
        <v>0.99959631512523506</v>
      </c>
      <c r="X126" s="302">
        <f t="shared" si="139"/>
        <v>0.99960704636106013</v>
      </c>
      <c r="Y126" s="302">
        <f t="shared" si="139"/>
        <v>0.99962102968937849</v>
      </c>
      <c r="Z126" s="302">
        <f t="shared" si="139"/>
        <v>0.9996380840649679</v>
      </c>
      <c r="AA126" s="302">
        <f t="shared" si="139"/>
        <v>0.99965766044089166</v>
      </c>
      <c r="AB126" s="302">
        <f t="shared" si="139"/>
        <v>0.99967878950551936</v>
      </c>
      <c r="AC126" s="302">
        <f t="shared" si="139"/>
        <v>0.99970003453200207</v>
      </c>
      <c r="AD126" s="302">
        <f t="shared" si="139"/>
        <v>0.99971943461193913</v>
      </c>
      <c r="AE126" s="302">
        <f t="shared" si="139"/>
        <v>0.99973441080028058</v>
      </c>
      <c r="AF126" s="302">
        <f t="shared" si="139"/>
        <v>0.99974159357827952</v>
      </c>
      <c r="AG126" s="302">
        <f t="shared" si="139"/>
        <v>0.99973651455335677</v>
      </c>
      <c r="AH126" s="302">
        <f t="shared" si="139"/>
        <v>0.99971308663845104</v>
      </c>
      <c r="AI126" s="302">
        <f t="shared" si="139"/>
        <v>0.99966277094943989</v>
      </c>
      <c r="AJ126" s="302">
        <f t="shared" si="139"/>
        <v>0.99957328880125784</v>
      </c>
      <c r="AK126" s="302">
        <f t="shared" si="139"/>
        <v>0.9994266746033672</v>
      </c>
      <c r="AL126" s="302">
        <f t="shared" si="140"/>
        <v>0.99919636865514516</v>
      </c>
      <c r="AM126" s="302">
        <f t="shared" si="140"/>
        <v>0.99884290276832599</v>
      </c>
      <c r="AN126" s="302">
        <f t="shared" si="140"/>
        <v>0.99830751617794644</v>
      </c>
      <c r="AO126" s="302">
        <f t="shared" si="140"/>
        <v>0.99750272761658498</v>
      </c>
      <c r="AP126" s="302">
        <f t="shared" si="140"/>
        <v>0.99629844816133206</v>
      </c>
      <c r="AQ126" s="302">
        <f t="shared" si="140"/>
        <v>0.99450161229151968</v>
      </c>
      <c r="AR126" s="302">
        <f t="shared" si="140"/>
        <v>0.99182650805125483</v>
      </c>
      <c r="AS126" s="302">
        <f t="shared" si="140"/>
        <v>0.98785203258598087</v>
      </c>
      <c r="AT126" s="302">
        <f t="shared" si="140"/>
        <v>0.98196117388991477</v>
      </c>
      <c r="AU126" s="302">
        <f t="shared" si="140"/>
        <v>0.97325769317186772</v>
      </c>
      <c r="AV126" s="302">
        <f t="shared" si="140"/>
        <v>0.96045668314174071</v>
      </c>
      <c r="AW126" s="302">
        <f t="shared" si="140"/>
        <v>0.94175262510811597</v>
      </c>
      <c r="AX126" s="302">
        <f t="shared" si="140"/>
        <v>0.91468744543958502</v>
      </c>
      <c r="AY126" s="302">
        <f t="shared" si="140"/>
        <v>0.8760847329868271</v>
      </c>
      <c r="AZ126" s="302">
        <f t="shared" si="140"/>
        <v>0.82220804063103392</v>
      </c>
      <c r="BA126" s="302">
        <f t="shared" si="140"/>
        <v>0.74948522851662236</v>
      </c>
      <c r="BB126" s="302">
        <f t="shared" si="138"/>
        <v>0.65652633947580186</v>
      </c>
      <c r="BC126" s="302">
        <f t="shared" si="138"/>
        <v>0.54905043327192304</v>
      </c>
      <c r="BD126" s="302">
        <f t="shared" si="138"/>
        <v>0.44999076765922252</v>
      </c>
      <c r="BE126" s="302">
        <f t="shared" si="138"/>
        <v>0.39951142050994243</v>
      </c>
      <c r="BF126" s="302">
        <f t="shared" si="138"/>
        <v>0.39488195592776404</v>
      </c>
      <c r="BG126" s="302">
        <f t="shared" si="138"/>
        <v>0.41919656906475594</v>
      </c>
      <c r="BH126" s="302">
        <f t="shared" si="138"/>
        <v>0.50068699389317239</v>
      </c>
      <c r="BI126" s="302">
        <f t="shared" si="138"/>
        <v>0.60867151847743162</v>
      </c>
      <c r="BJ126" s="302">
        <f t="shared" si="138"/>
        <v>0.70967059834331248</v>
      </c>
      <c r="BK126" s="302">
        <f t="shared" si="138"/>
        <v>0.79167742347716552</v>
      </c>
      <c r="BL126" s="302">
        <f t="shared" si="138"/>
        <v>0.85373548342235062</v>
      </c>
      <c r="BM126" s="302">
        <f t="shared" si="137"/>
        <v>0.89879756374800734</v>
      </c>
      <c r="BN126" s="302">
        <f t="shared" si="137"/>
        <v>0.93066954391380474</v>
      </c>
      <c r="BO126" s="303">
        <f t="shared" si="137"/>
        <v>0.95282501274596287</v>
      </c>
      <c r="BP126" s="223"/>
    </row>
    <row r="127" spans="3:85" ht="42" customHeight="1">
      <c r="C127" s="426"/>
      <c r="D127" s="425"/>
      <c r="E127" s="443">
        <v>-1</v>
      </c>
      <c r="F127" s="464"/>
      <c r="G127" s="302">
        <f t="shared" si="141"/>
        <v>0.99979629976261397</v>
      </c>
      <c r="H127" s="302">
        <f t="shared" si="141"/>
        <v>0.99977933815485243</v>
      </c>
      <c r="I127" s="302">
        <f t="shared" si="141"/>
        <v>0.99976424233704209</v>
      </c>
      <c r="J127" s="302">
        <f t="shared" si="141"/>
        <v>0.99975132933746957</v>
      </c>
      <c r="K127" s="302">
        <f t="shared" si="141"/>
        <v>0.99974076402297896</v>
      </c>
      <c r="L127" s="302">
        <f t="shared" si="141"/>
        <v>0.9997325554896086</v>
      </c>
      <c r="M127" s="302">
        <f t="shared" si="141"/>
        <v>0.999726569073625</v>
      </c>
      <c r="N127" s="302">
        <f t="shared" si="141"/>
        <v>0.9997225496632558</v>
      </c>
      <c r="O127" s="302">
        <f t="shared" si="141"/>
        <v>0.99972015081625776</v>
      </c>
      <c r="P127" s="302">
        <f t="shared" si="141"/>
        <v>0.99971896427511531</v>
      </c>
      <c r="Q127" s="302">
        <f t="shared" si="141"/>
        <v>0.9997185454549431</v>
      </c>
      <c r="R127" s="302">
        <f t="shared" si="141"/>
        <v>0.99971843495179602</v>
      </c>
      <c r="S127" s="302">
        <f t="shared" si="141"/>
        <v>0.99971846725347424</v>
      </c>
      <c r="T127" s="302">
        <f t="shared" si="141"/>
        <v>0.99971901981877009</v>
      </c>
      <c r="U127" s="302">
        <f t="shared" si="141"/>
        <v>0.99972051007274565</v>
      </c>
      <c r="V127" s="302">
        <f t="shared" si="141"/>
        <v>0.99972331618696919</v>
      </c>
      <c r="W127" s="302">
        <f t="shared" si="139"/>
        <v>0.99972774650681218</v>
      </c>
      <c r="X127" s="302">
        <f t="shared" si="139"/>
        <v>0.9997340000974142</v>
      </c>
      <c r="Y127" s="302">
        <f t="shared" si="139"/>
        <v>0.99974212039505306</v>
      </c>
      <c r="Z127" s="302">
        <f t="shared" si="139"/>
        <v>0.99975194434430115</v>
      </c>
      <c r="AA127" s="302">
        <f t="shared" si="139"/>
        <v>0.99976304869179766</v>
      </c>
      <c r="AB127" s="302">
        <f t="shared" si="139"/>
        <v>0.99977469263511876</v>
      </c>
      <c r="AC127" s="302">
        <f t="shared" si="139"/>
        <v>0.9997857512825461</v>
      </c>
      <c r="AD127" s="302">
        <f t="shared" si="139"/>
        <v>0.99979462713038481</v>
      </c>
      <c r="AE127" s="302">
        <f t="shared" si="139"/>
        <v>0.99979911699539126</v>
      </c>
      <c r="AF127" s="302">
        <f t="shared" si="139"/>
        <v>0.99979619947046428</v>
      </c>
      <c r="AG127" s="302">
        <f t="shared" si="139"/>
        <v>0.99978169235333669</v>
      </c>
      <c r="AH127" s="302">
        <f t="shared" si="139"/>
        <v>0.99974970882644465</v>
      </c>
      <c r="AI127" s="302">
        <f t="shared" si="139"/>
        <v>0.99969181195021428</v>
      </c>
      <c r="AJ127" s="302">
        <f t="shared" si="139"/>
        <v>0.99959572366413063</v>
      </c>
      <c r="AK127" s="302">
        <f t="shared" si="139"/>
        <v>0.99944337881037815</v>
      </c>
      <c r="AL127" s="302">
        <f t="shared" si="140"/>
        <v>0.99920801532946868</v>
      </c>
      <c r="AM127" s="302">
        <f t="shared" si="140"/>
        <v>0.99884984303755331</v>
      </c>
      <c r="AN127" s="302">
        <f t="shared" si="140"/>
        <v>0.99830961369179272</v>
      </c>
      <c r="AO127" s="302">
        <f t="shared" si="140"/>
        <v>0.99749909512259516</v>
      </c>
      <c r="AP127" s="302">
        <f t="shared" si="140"/>
        <v>0.9962869941692114</v>
      </c>
      <c r="AQ127" s="302">
        <f t="shared" si="140"/>
        <v>0.99447823284357695</v>
      </c>
      <c r="AR127" s="302">
        <f t="shared" si="140"/>
        <v>0.9917836207039481</v>
      </c>
      <c r="AS127" s="302">
        <f t="shared" si="140"/>
        <v>0.98777588410720774</v>
      </c>
      <c r="AT127" s="302">
        <f t="shared" si="140"/>
        <v>0.98182683299393703</v>
      </c>
      <c r="AU127" s="302">
        <f t="shared" si="140"/>
        <v>0.97301960245813779</v>
      </c>
      <c r="AV127" s="302">
        <f t="shared" si="140"/>
        <v>0.96003053368126845</v>
      </c>
      <c r="AW127" s="302">
        <f t="shared" si="140"/>
        <v>0.9409799140617533</v>
      </c>
      <c r="AX127" s="302">
        <f t="shared" si="140"/>
        <v>0.91326459501477686</v>
      </c>
      <c r="AY127" s="302">
        <f t="shared" si="140"/>
        <v>0.87341731519460741</v>
      </c>
      <c r="AZ127" s="302">
        <f t="shared" si="140"/>
        <v>0.81709960189580244</v>
      </c>
      <c r="BA127" s="302">
        <f t="shared" si="140"/>
        <v>0.73943786683584045</v>
      </c>
      <c r="BB127" s="302">
        <f t="shared" si="138"/>
        <v>0.63606152923041026</v>
      </c>
      <c r="BC127" s="302">
        <f t="shared" si="138"/>
        <v>0.50551461680989074</v>
      </c>
      <c r="BD127" s="302">
        <f t="shared" si="138"/>
        <v>0.35572613488680199</v>
      </c>
      <c r="BE127" s="302">
        <f t="shared" si="138"/>
        <v>0.23276577681661204</v>
      </c>
      <c r="BF127" s="302">
        <f t="shared" si="138"/>
        <v>0.21499394747594888</v>
      </c>
      <c r="BG127" s="302">
        <f t="shared" si="138"/>
        <v>0.29047176620223231</v>
      </c>
      <c r="BH127" s="302">
        <f t="shared" si="138"/>
        <v>0.43863975716087139</v>
      </c>
      <c r="BI127" s="302">
        <f t="shared" si="138"/>
        <v>0.57999360604422245</v>
      </c>
      <c r="BJ127" s="302">
        <f t="shared" si="138"/>
        <v>0.69585846454603129</v>
      </c>
      <c r="BK127" s="302">
        <f t="shared" si="138"/>
        <v>0.78475701385814556</v>
      </c>
      <c r="BL127" s="302">
        <f t="shared" si="138"/>
        <v>0.8501623834523806</v>
      </c>
      <c r="BM127" s="302">
        <f t="shared" si="137"/>
        <v>0.89690891935414618</v>
      </c>
      <c r="BN127" s="302">
        <f t="shared" si="137"/>
        <v>0.92965167477031529</v>
      </c>
      <c r="BO127" s="303">
        <f t="shared" si="137"/>
        <v>0.95226716202722583</v>
      </c>
      <c r="BP127" s="223"/>
    </row>
    <row r="128" spans="3:85" ht="42" customHeight="1">
      <c r="C128" s="426"/>
      <c r="D128" s="425"/>
      <c r="E128" s="445">
        <v>-1.05</v>
      </c>
      <c r="F128" s="464"/>
      <c r="G128" s="302">
        <f t="shared" si="141"/>
        <v>0.99985985561737634</v>
      </c>
      <c r="H128" s="302">
        <f t="shared" si="141"/>
        <v>0.99984912442243634</v>
      </c>
      <c r="I128" s="302">
        <f t="shared" si="141"/>
        <v>0.99983964521394553</v>
      </c>
      <c r="J128" s="302">
        <f t="shared" si="141"/>
        <v>0.99983158714459652</v>
      </c>
      <c r="K128" s="302">
        <f t="shared" si="141"/>
        <v>0.99982502677748331</v>
      </c>
      <c r="L128" s="302">
        <f t="shared" si="141"/>
        <v>0.99981994860055756</v>
      </c>
      <c r="M128" s="302">
        <f t="shared" si="141"/>
        <v>0.99981625376451388</v>
      </c>
      <c r="N128" s="302">
        <f t="shared" si="141"/>
        <v>0.99981377445994313</v>
      </c>
      <c r="O128" s="302">
        <f t="shared" si="141"/>
        <v>0.99981229089550161</v>
      </c>
      <c r="P128" s="302">
        <f t="shared" si="141"/>
        <v>0.99981154799437644</v>
      </c>
      <c r="Q128" s="302">
        <f t="shared" si="141"/>
        <v>0.99981126948723742</v>
      </c>
      <c r="R128" s="302">
        <f t="shared" si="141"/>
        <v>0.99981116969526562</v>
      </c>
      <c r="S128" s="302">
        <f t="shared" si="141"/>
        <v>0.99981114183258701</v>
      </c>
      <c r="T128" s="302">
        <f t="shared" si="141"/>
        <v>0.99981140992777162</v>
      </c>
      <c r="U128" s="302">
        <f t="shared" si="141"/>
        <v>0.99981221923046271</v>
      </c>
      <c r="V128" s="302">
        <f t="shared" si="141"/>
        <v>0.99981378657741249</v>
      </c>
      <c r="W128" s="302">
        <f t="shared" si="139"/>
        <v>0.99981628004714862</v>
      </c>
      <c r="X128" s="302">
        <f t="shared" si="139"/>
        <v>0.99981979189808534</v>
      </c>
      <c r="Y128" s="302">
        <f t="shared" si="139"/>
        <v>0.99982430495928964</v>
      </c>
      <c r="Z128" s="302">
        <f t="shared" si="139"/>
        <v>0.99982965247309552</v>
      </c>
      <c r="AA128" s="302">
        <f t="shared" si="139"/>
        <v>0.99983547049596233</v>
      </c>
      <c r="AB128" s="302">
        <f t="shared" si="139"/>
        <v>0.99984113990599399</v>
      </c>
      <c r="AC128" s="302">
        <f t="shared" si="139"/>
        <v>0.99984571139690925</v>
      </c>
      <c r="AD128" s="302">
        <f t="shared" si="139"/>
        <v>0.99984780114778127</v>
      </c>
      <c r="AE128" s="302">
        <f t="shared" si="139"/>
        <v>0.99984543672835324</v>
      </c>
      <c r="AF128" s="302">
        <f t="shared" si="139"/>
        <v>0.99983582164502038</v>
      </c>
      <c r="AG128" s="302">
        <f t="shared" si="139"/>
        <v>0.99981497169648081</v>
      </c>
      <c r="AH128" s="302">
        <f t="shared" si="139"/>
        <v>0.9997771550541541</v>
      </c>
      <c r="AI128" s="302">
        <f t="shared" si="139"/>
        <v>0.99971403741714038</v>
      </c>
      <c r="AJ128" s="302">
        <f t="shared" si="139"/>
        <v>0.99961338853470827</v>
      </c>
      <c r="AK128" s="302">
        <f t="shared" si="139"/>
        <v>0.99945713914007794</v>
      </c>
      <c r="AL128" s="302">
        <f t="shared" si="140"/>
        <v>0.99921847681671527</v>
      </c>
      <c r="AM128" s="302">
        <f t="shared" si="140"/>
        <v>0.99885751984853333</v>
      </c>
      <c r="AN128" s="302">
        <f t="shared" si="140"/>
        <v>0.99831488781633237</v>
      </c>
      <c r="AO128" s="302">
        <f t="shared" si="140"/>
        <v>0.99750216677024528</v>
      </c>
      <c r="AP128" s="302">
        <f t="shared" si="140"/>
        <v>0.9962878064482984</v>
      </c>
      <c r="AQ128" s="302">
        <f t="shared" si="140"/>
        <v>0.9944763416020278</v>
      </c>
      <c r="AR128" s="302">
        <f t="shared" si="140"/>
        <v>0.99177795749090636</v>
      </c>
      <c r="AS128" s="302">
        <f t="shared" si="140"/>
        <v>0.98776431597769065</v>
      </c>
      <c r="AT128" s="302">
        <f t="shared" si="140"/>
        <v>0.98180533555399208</v>
      </c>
      <c r="AU128" s="302">
        <f t="shared" si="140"/>
        <v>0.97298068674431315</v>
      </c>
      <c r="AV128" s="302">
        <f t="shared" si="140"/>
        <v>0.95996020536089266</v>
      </c>
      <c r="AW128" s="302">
        <f t="shared" si="140"/>
        <v>0.9408516753396623</v>
      </c>
      <c r="AX128" s="302">
        <f t="shared" si="140"/>
        <v>0.91302730318740177</v>
      </c>
      <c r="AY128" s="302">
        <f t="shared" si="140"/>
        <v>0.87296973765669716</v>
      </c>
      <c r="AZ128" s="302">
        <f t="shared" si="140"/>
        <v>0.81623433347035801</v>
      </c>
      <c r="BA128" s="302">
        <f t="shared" ref="BA128:BO137" si="142">($F$74-$D$76)*2*(1/(1+EXP(-4/$F$76*(POWER(POWER((ABS(BA$75-($E$74))),3)+POWER(ABS($E128-($E$75)),3),1/3))))-0.5+$D$76)*($F$74-$D$76)*2*(1/(1+EXP(-4/$F$76*(POWER(POWER((ABS(BA$75-($D$74))),3)+POWER(ABS($E128-($D$75)),3),1/3))))-0.5+$D$76)</f>
        <v>0.73770756797419956</v>
      </c>
      <c r="BB128" s="302">
        <f t="shared" si="142"/>
        <v>0.6324161663707798</v>
      </c>
      <c r="BC128" s="302">
        <f t="shared" si="142"/>
        <v>0.49709133239358894</v>
      </c>
      <c r="BD128" s="302">
        <f t="shared" si="142"/>
        <v>0.33232896165012793</v>
      </c>
      <c r="BE128" s="302">
        <f t="shared" si="142"/>
        <v>0.14449240732860891</v>
      </c>
      <c r="BF128" s="302">
        <f t="shared" si="142"/>
        <v>5.5083973926143788E-2</v>
      </c>
      <c r="BG128" s="302">
        <f t="shared" si="142"/>
        <v>0.24923468117714753</v>
      </c>
      <c r="BH128" s="302">
        <f t="shared" si="142"/>
        <v>0.4256552418454706</v>
      </c>
      <c r="BI128" s="302">
        <f t="shared" si="142"/>
        <v>0.57474122548315054</v>
      </c>
      <c r="BJ128" s="302">
        <f t="shared" si="142"/>
        <v>0.69345072379969308</v>
      </c>
      <c r="BK128" s="302">
        <f t="shared" si="142"/>
        <v>0.78357740452545854</v>
      </c>
      <c r="BL128" s="302">
        <f t="shared" si="142"/>
        <v>0.84956053180960389</v>
      </c>
      <c r="BM128" s="302">
        <f t="shared" si="142"/>
        <v>0.89659302371153715</v>
      </c>
      <c r="BN128" s="302">
        <f t="shared" si="142"/>
        <v>0.92948218749697031</v>
      </c>
      <c r="BO128" s="303">
        <f t="shared" si="142"/>
        <v>0.95217455444402477</v>
      </c>
      <c r="BP128" s="223"/>
    </row>
    <row r="129" spans="3:68" ht="42" customHeight="1">
      <c r="C129" s="426"/>
      <c r="D129" s="425"/>
      <c r="E129" s="443">
        <v>-1.1000000000000001</v>
      </c>
      <c r="F129" s="464"/>
      <c r="G129" s="302">
        <f t="shared" si="141"/>
        <v>0.99990386454498514</v>
      </c>
      <c r="H129" s="302">
        <f t="shared" si="141"/>
        <v>0.99989707502353276</v>
      </c>
      <c r="I129" s="302">
        <f t="shared" si="141"/>
        <v>0.99989111718434232</v>
      </c>
      <c r="J129" s="302">
        <f t="shared" si="141"/>
        <v>0.99988608005595614</v>
      </c>
      <c r="K129" s="302">
        <f t="shared" si="141"/>
        <v>0.99988199658236976</v>
      </c>
      <c r="L129" s="302">
        <f t="shared" si="141"/>
        <v>0.99987884525019999</v>
      </c>
      <c r="M129" s="302">
        <f t="shared" si="141"/>
        <v>0.9998765560291899</v>
      </c>
      <c r="N129" s="302">
        <f t="shared" si="141"/>
        <v>0.99987501910809395</v>
      </c>
      <c r="O129" s="302">
        <f t="shared" si="141"/>
        <v>0.99987409474277034</v>
      </c>
      <c r="P129" s="302">
        <f t="shared" si="141"/>
        <v>0.99987362266162394</v>
      </c>
      <c r="Q129" s="302">
        <f t="shared" si="141"/>
        <v>0.99987342978341009</v>
      </c>
      <c r="R129" s="302">
        <f t="shared" si="141"/>
        <v>0.99987333653838628</v>
      </c>
      <c r="S129" s="302">
        <f t="shared" si="141"/>
        <v>0.99987327198253828</v>
      </c>
      <c r="T129" s="302">
        <f t="shared" si="141"/>
        <v>0.99987336649094594</v>
      </c>
      <c r="U129" s="302">
        <f t="shared" si="141"/>
        <v>0.99987375999808226</v>
      </c>
      <c r="V129" s="302">
        <f t="shared" ref="V129:AK137" si="143">($F$74-$D$76)*2*(1/(1+EXP(-4/$F$76*(POWER(POWER((ABS(V$75-($E$74))),3)+POWER(ABS($E129-($E$75)),3),1/3))))-0.5+$D$76)*($F$74-$D$76)*2*(1/(1+EXP(-4/$F$76*(POWER(POWER((ABS(V$75-($D$74))),3)+POWER(ABS($E129-($D$75)),3),1/3))))-0.5+$D$76)</f>
        <v>0.99987457002561975</v>
      </c>
      <c r="W129" s="302">
        <f t="shared" si="143"/>
        <v>0.99987587703520397</v>
      </c>
      <c r="X129" s="302">
        <f t="shared" si="143"/>
        <v>0.99987770435645118</v>
      </c>
      <c r="Y129" s="302">
        <f t="shared" si="143"/>
        <v>0.99987999193690236</v>
      </c>
      <c r="Z129" s="302">
        <f t="shared" si="143"/>
        <v>0.99988256267965125</v>
      </c>
      <c r="AA129" s="302">
        <f t="shared" si="143"/>
        <v>0.99988507909847679</v>
      </c>
      <c r="AB129" s="302">
        <f t="shared" si="143"/>
        <v>0.99988698610102211</v>
      </c>
      <c r="AC129" s="302">
        <f t="shared" si="143"/>
        <v>0.99988743251562573</v>
      </c>
      <c r="AD129" s="302">
        <f t="shared" si="143"/>
        <v>0.99988515904393716</v>
      </c>
      <c r="AE129" s="302">
        <f t="shared" si="143"/>
        <v>0.99987833306666007</v>
      </c>
      <c r="AF129" s="302">
        <f t="shared" si="143"/>
        <v>0.99986430032909968</v>
      </c>
      <c r="AG129" s="302">
        <f t="shared" si="143"/>
        <v>0.99983920870413512</v>
      </c>
      <c r="AH129" s="302">
        <f t="shared" si="143"/>
        <v>0.99979743791411702</v>
      </c>
      <c r="AI129" s="302">
        <f t="shared" si="143"/>
        <v>0.99973073803211943</v>
      </c>
      <c r="AJ129" s="302">
        <f t="shared" si="143"/>
        <v>0.99962693377902956</v>
      </c>
      <c r="AK129" s="302">
        <f t="shared" si="143"/>
        <v>0.9994679836436412</v>
      </c>
      <c r="AL129" s="302">
        <f t="shared" ref="AL129:BA137" si="144">($F$74-$D$76)*2*(1/(1+EXP(-4/$F$76*(POWER(POWER((ABS(AL$75-($E$74))),3)+POWER(ABS($E129-($E$75)),3),1/3))))-0.5+$D$76)*($F$74-$D$76)*2*(1/(1+EXP(-4/$F$76*(POWER(POWER((ABS(AL$75-($D$74))),3)+POWER(ABS($E129-($D$75)),3),1/3))))-0.5+$D$76)</f>
        <v>0.99922708184528841</v>
      </c>
      <c r="AM129" s="302">
        <f t="shared" si="144"/>
        <v>0.99886434163810245</v>
      </c>
      <c r="AN129" s="302">
        <f t="shared" si="144"/>
        <v>0.99832037866562606</v>
      </c>
      <c r="AO129" s="302">
        <f t="shared" si="144"/>
        <v>0.99750679331299785</v>
      </c>
      <c r="AP129" s="302">
        <f t="shared" si="144"/>
        <v>0.99629209276182296</v>
      </c>
      <c r="AQ129" s="302">
        <f t="shared" si="144"/>
        <v>0.99448095176954743</v>
      </c>
      <c r="AR129" s="302">
        <f t="shared" si="144"/>
        <v>0.99178384600127745</v>
      </c>
      <c r="AS129" s="302">
        <f t="shared" si="144"/>
        <v>0.98777300112064947</v>
      </c>
      <c r="AT129" s="302">
        <f t="shared" si="144"/>
        <v>0.98181940354509378</v>
      </c>
      <c r="AU129" s="302">
        <f t="shared" si="144"/>
        <v>0.9730047396364796</v>
      </c>
      <c r="AV129" s="302">
        <f t="shared" si="144"/>
        <v>0.96000268220693896</v>
      </c>
      <c r="AW129" s="302">
        <f t="shared" si="144"/>
        <v>0.94092843490346145</v>
      </c>
      <c r="AX129" s="302">
        <f t="shared" si="144"/>
        <v>0.91316887079224052</v>
      </c>
      <c r="AY129" s="302">
        <f t="shared" si="144"/>
        <v>0.87323649981565488</v>
      </c>
      <c r="AZ129" s="302">
        <f t="shared" si="144"/>
        <v>0.81675008195023457</v>
      </c>
      <c r="BA129" s="302">
        <f t="shared" si="144"/>
        <v>0.73873977371911981</v>
      </c>
      <c r="BB129" s="302">
        <f t="shared" si="142"/>
        <v>0.63459523064251588</v>
      </c>
      <c r="BC129" s="302">
        <f t="shared" si="142"/>
        <v>0.50215474212519029</v>
      </c>
      <c r="BD129" s="302">
        <f t="shared" si="142"/>
        <v>0.34670963822103751</v>
      </c>
      <c r="BE129" s="302">
        <f t="shared" si="142"/>
        <v>0.20636575495148105</v>
      </c>
      <c r="BF129" s="302">
        <f t="shared" si="142"/>
        <v>0.1822876839355746</v>
      </c>
      <c r="BG129" s="302">
        <f t="shared" si="142"/>
        <v>0.27542873683055852</v>
      </c>
      <c r="BH129" s="302">
        <f t="shared" si="142"/>
        <v>0.43350806486613425</v>
      </c>
      <c r="BI129" s="302">
        <f t="shared" si="142"/>
        <v>0.57788651770168908</v>
      </c>
      <c r="BJ129" s="302">
        <f t="shared" si="142"/>
        <v>0.69488801495882613</v>
      </c>
      <c r="BK129" s="302">
        <f t="shared" si="142"/>
        <v>0.78428061451809072</v>
      </c>
      <c r="BL129" s="302">
        <f t="shared" si="142"/>
        <v>0.8499190673367254</v>
      </c>
      <c r="BM129" s="302">
        <f t="shared" si="142"/>
        <v>0.89678113245860569</v>
      </c>
      <c r="BN129" s="302">
        <f t="shared" si="142"/>
        <v>0.92958308725294847</v>
      </c>
      <c r="BO129" s="303">
        <f t="shared" si="142"/>
        <v>0.95222967634343081</v>
      </c>
      <c r="BP129" s="223"/>
    </row>
    <row r="130" spans="3:68" ht="42" customHeight="1">
      <c r="C130" s="426"/>
      <c r="D130" s="425"/>
      <c r="E130" s="445">
        <v>-1.1499999999999999</v>
      </c>
      <c r="F130" s="464"/>
      <c r="G130" s="302">
        <f t="shared" ref="G130:V137" si="145">($F$74-$D$76)*2*(1/(1+EXP(-4/$F$76*(POWER(POWER((ABS(G$75-($E$74))),3)+POWER(ABS($E130-($E$75)),3),1/3))))-0.5+$D$76)*($F$74-$D$76)*2*(1/(1+EXP(-4/$F$76*(POWER(POWER((ABS(G$75-($D$74))),3)+POWER(ABS($E130-($D$75)),3),1/3))))-0.5+$D$76)</f>
        <v>0.99993421971770469</v>
      </c>
      <c r="H130" s="302">
        <f t="shared" si="145"/>
        <v>0.99992992272162617</v>
      </c>
      <c r="I130" s="302">
        <f t="shared" si="145"/>
        <v>0.99992617399849093</v>
      </c>
      <c r="J130" s="302">
        <f t="shared" si="145"/>
        <v>0.99992301956066909</v>
      </c>
      <c r="K130" s="302">
        <f t="shared" si="145"/>
        <v>0.99992047152682217</v>
      </c>
      <c r="L130" s="302">
        <f t="shared" si="145"/>
        <v>0.99991850974223417</v>
      </c>
      <c r="M130" s="302">
        <f t="shared" si="145"/>
        <v>0.99991708565048965</v>
      </c>
      <c r="N130" s="302">
        <f t="shared" si="145"/>
        <v>0.99991612753220149</v>
      </c>
      <c r="O130" s="302">
        <f t="shared" si="145"/>
        <v>0.99991554617178624</v>
      </c>
      <c r="P130" s="302">
        <f t="shared" si="145"/>
        <v>0.9999152400988639</v>
      </c>
      <c r="Q130" s="302">
        <f t="shared" si="145"/>
        <v>0.99991509971577097</v>
      </c>
      <c r="R130" s="302">
        <f t="shared" si="145"/>
        <v>0.99991501052597698</v>
      </c>
      <c r="S130" s="302">
        <f t="shared" si="145"/>
        <v>0.99991492355784106</v>
      </c>
      <c r="T130" s="302">
        <f t="shared" si="145"/>
        <v>0.99991491180058178</v>
      </c>
      <c r="U130" s="302">
        <f t="shared" si="145"/>
        <v>0.99991505054640961</v>
      </c>
      <c r="V130" s="302">
        <f t="shared" si="145"/>
        <v>0.99991539603542401</v>
      </c>
      <c r="W130" s="302">
        <f t="shared" si="143"/>
        <v>0.99991597401367427</v>
      </c>
      <c r="X130" s="302">
        <f t="shared" si="143"/>
        <v>0.99991676363724091</v>
      </c>
      <c r="Y130" s="302">
        <f t="shared" si="143"/>
        <v>0.99991767549880028</v>
      </c>
      <c r="Z130" s="302">
        <f t="shared" si="143"/>
        <v>0.99991852190344999</v>
      </c>
      <c r="AA130" s="302">
        <f t="shared" si="143"/>
        <v>0.99991897639145033</v>
      </c>
      <c r="AB130" s="302">
        <f t="shared" si="143"/>
        <v>0.99991851762833317</v>
      </c>
      <c r="AC130" s="302">
        <f t="shared" si="143"/>
        <v>0.99991634980181332</v>
      </c>
      <c r="AD130" s="302">
        <f t="shared" si="143"/>
        <v>0.99991128710904109</v>
      </c>
      <c r="AE130" s="302">
        <f t="shared" si="143"/>
        <v>0.99990158314224153</v>
      </c>
      <c r="AF130" s="302">
        <f t="shared" si="143"/>
        <v>0.99988467605850317</v>
      </c>
      <c r="AG130" s="302">
        <f t="shared" si="143"/>
        <v>0.99985680596114546</v>
      </c>
      <c r="AH130" s="302">
        <f t="shared" si="143"/>
        <v>0.9998124398042374</v>
      </c>
      <c r="AI130" s="302">
        <f t="shared" si="143"/>
        <v>0.99974340812423801</v>
      </c>
      <c r="AJ130" s="302">
        <f t="shared" si="143"/>
        <v>0.99963761213784252</v>
      </c>
      <c r="AK130" s="302">
        <f t="shared" si="143"/>
        <v>0.99947709202670332</v>
      </c>
      <c r="AL130" s="302">
        <f t="shared" si="144"/>
        <v>0.99923514709440941</v>
      </c>
      <c r="AM130" s="302">
        <f t="shared" si="144"/>
        <v>0.99887205098623999</v>
      </c>
      <c r="AN130" s="302">
        <f t="shared" si="144"/>
        <v>0.99832868945204367</v>
      </c>
      <c r="AO130" s="302">
        <f t="shared" si="144"/>
        <v>0.99751713613362325</v>
      </c>
      <c r="AP130" s="302">
        <f t="shared" si="144"/>
        <v>0.99630673818129378</v>
      </c>
      <c r="AQ130" s="302">
        <f t="shared" si="144"/>
        <v>0.99450366934390033</v>
      </c>
      <c r="AR130" s="302">
        <f t="shared" si="144"/>
        <v>0.99182109580225264</v>
      </c>
      <c r="AS130" s="302">
        <f t="shared" si="144"/>
        <v>0.98783611263233173</v>
      </c>
      <c r="AT130" s="302">
        <f t="shared" si="144"/>
        <v>0.98192861723316904</v>
      </c>
      <c r="AU130" s="302">
        <f t="shared" si="144"/>
        <v>0.97319682568831722</v>
      </c>
      <c r="AV130" s="302">
        <f t="shared" si="144"/>
        <v>0.9603455632473954</v>
      </c>
      <c r="AW130" s="302">
        <f t="shared" si="144"/>
        <v>0.94154982734815529</v>
      </c>
      <c r="AX130" s="302">
        <f t="shared" si="144"/>
        <v>0.91431374154393241</v>
      </c>
      <c r="AY130" s="302">
        <f t="shared" si="144"/>
        <v>0.87538584992803692</v>
      </c>
      <c r="AZ130" s="302">
        <f t="shared" si="144"/>
        <v>0.82087680949644326</v>
      </c>
      <c r="BA130" s="302">
        <f t="shared" si="144"/>
        <v>0.74689354388168072</v>
      </c>
      <c r="BB130" s="302">
        <f t="shared" si="142"/>
        <v>0.65135614508453854</v>
      </c>
      <c r="BC130" s="302">
        <f t="shared" si="142"/>
        <v>0.5385770542906626</v>
      </c>
      <c r="BD130" s="302">
        <f t="shared" si="142"/>
        <v>0.43001850014928261</v>
      </c>
      <c r="BE130" s="302">
        <f t="shared" si="142"/>
        <v>0.37102805908302006</v>
      </c>
      <c r="BF130" s="302">
        <f t="shared" si="142"/>
        <v>0.36540482444025585</v>
      </c>
      <c r="BG130" s="302">
        <f t="shared" si="142"/>
        <v>0.39448672596366813</v>
      </c>
      <c r="BH130" s="302">
        <f t="shared" si="142"/>
        <v>0.48639408037650395</v>
      </c>
      <c r="BI130" s="302">
        <f t="shared" si="142"/>
        <v>0.60154707348248293</v>
      </c>
      <c r="BJ130" s="302">
        <f t="shared" si="142"/>
        <v>0.70613434022330013</v>
      </c>
      <c r="BK130" s="302">
        <f t="shared" si="142"/>
        <v>0.7898806753119989</v>
      </c>
      <c r="BL130" s="302">
        <f t="shared" si="142"/>
        <v>0.8528008453484035</v>
      </c>
      <c r="BM130" s="302">
        <f t="shared" si="142"/>
        <v>0.89830134772509818</v>
      </c>
      <c r="BN130" s="302">
        <f t="shared" si="142"/>
        <v>0.93040135462088591</v>
      </c>
      <c r="BO130" s="303">
        <f t="shared" si="142"/>
        <v>0.952677748232865</v>
      </c>
      <c r="BP130" s="223"/>
    </row>
    <row r="131" spans="3:68" ht="42" customHeight="1">
      <c r="C131" s="426"/>
      <c r="D131" s="425"/>
      <c r="E131" s="443">
        <v>-1.2</v>
      </c>
      <c r="F131" s="464"/>
      <c r="G131" s="302">
        <f t="shared" si="145"/>
        <v>0.99995508788327692</v>
      </c>
      <c r="H131" s="302">
        <f t="shared" si="145"/>
        <v>0.99995236690395628</v>
      </c>
      <c r="I131" s="302">
        <f t="shared" si="145"/>
        <v>0.99995000523395383</v>
      </c>
      <c r="J131" s="302">
        <f t="shared" si="145"/>
        <v>0.99994802604349808</v>
      </c>
      <c r="K131" s="302">
        <f t="shared" si="145"/>
        <v>0.99994643202810995</v>
      </c>
      <c r="L131" s="302">
        <f t="shared" si="145"/>
        <v>0.9999452066893818</v>
      </c>
      <c r="M131" s="302">
        <f t="shared" si="145"/>
        <v>0.99994431678095996</v>
      </c>
      <c r="N131" s="302">
        <f t="shared" si="145"/>
        <v>0.99994371540458382</v>
      </c>
      <c r="O131" s="302">
        <f t="shared" si="145"/>
        <v>0.99994334522530082</v>
      </c>
      <c r="P131" s="302">
        <f t="shared" si="145"/>
        <v>0.99994314132502859</v>
      </c>
      <c r="Q131" s="302">
        <f t="shared" si="145"/>
        <v>0.99994303329618139</v>
      </c>
      <c r="R131" s="302">
        <f t="shared" si="145"/>
        <v>0.99994294670660067</v>
      </c>
      <c r="S131" s="302">
        <f t="shared" si="145"/>
        <v>0.99994284612183415</v>
      </c>
      <c r="T131" s="302">
        <f t="shared" si="145"/>
        <v>0.99994276926289993</v>
      </c>
      <c r="U131" s="302">
        <f t="shared" si="145"/>
        <v>0.99994275164740665</v>
      </c>
      <c r="V131" s="302">
        <f t="shared" si="145"/>
        <v>0.99994281166372212</v>
      </c>
      <c r="W131" s="302">
        <f t="shared" si="143"/>
        <v>0.99994294096003</v>
      </c>
      <c r="X131" s="302">
        <f t="shared" si="143"/>
        <v>0.99994309064722076</v>
      </c>
      <c r="Y131" s="302">
        <f t="shared" si="143"/>
        <v>0.99994315185612859</v>
      </c>
      <c r="Z131" s="302">
        <f t="shared" si="143"/>
        <v>0.99994292845248078</v>
      </c>
      <c r="AA131" s="302">
        <f t="shared" si="143"/>
        <v>0.99994209853306304</v>
      </c>
      <c r="AB131" s="302">
        <f t="shared" si="143"/>
        <v>0.99994015946811243</v>
      </c>
      <c r="AC131" s="302">
        <f t="shared" si="143"/>
        <v>0.99993634838768286</v>
      </c>
      <c r="AD131" s="302">
        <f t="shared" si="143"/>
        <v>0.9999295256711016</v>
      </c>
      <c r="AE131" s="302">
        <f t="shared" si="143"/>
        <v>0.99991800253110796</v>
      </c>
      <c r="AF131" s="302">
        <f t="shared" si="143"/>
        <v>0.99989928423295626</v>
      </c>
      <c r="AG131" s="302">
        <f t="shared" si="143"/>
        <v>0.99986968644151164</v>
      </c>
      <c r="AH131" s="302">
        <f t="shared" si="143"/>
        <v>0.99982376153927932</v>
      </c>
      <c r="AI131" s="302">
        <f t="shared" si="143"/>
        <v>0.99975344136470301</v>
      </c>
      <c r="AJ131" s="302">
        <f t="shared" si="143"/>
        <v>0.9996467580406645</v>
      </c>
      <c r="AK131" s="302">
        <f t="shared" si="143"/>
        <v>0.99948593862601809</v>
      </c>
      <c r="AL131" s="302">
        <f t="shared" si="144"/>
        <v>0.99924457251668097</v>
      </c>
      <c r="AM131" s="302">
        <f t="shared" si="144"/>
        <v>0.99888340923226226</v>
      </c>
      <c r="AN131" s="302">
        <f t="shared" si="144"/>
        <v>0.99834414000026939</v>
      </c>
      <c r="AO131" s="302">
        <f t="shared" si="144"/>
        <v>0.99754022580404955</v>
      </c>
      <c r="AP131" s="302">
        <f t="shared" si="144"/>
        <v>0.99634343045433127</v>
      </c>
      <c r="AQ131" s="302">
        <f t="shared" si="144"/>
        <v>0.99456417754729076</v>
      </c>
      <c r="AR131" s="302">
        <f t="shared" si="144"/>
        <v>0.99192317973561728</v>
      </c>
      <c r="AS131" s="302">
        <f t="shared" si="144"/>
        <v>0.98801107561666535</v>
      </c>
      <c r="AT131" s="302">
        <f t="shared" si="144"/>
        <v>0.98223235517002161</v>
      </c>
      <c r="AU131" s="302">
        <f t="shared" si="144"/>
        <v>0.97373046020824916</v>
      </c>
      <c r="AV131" s="302">
        <f t="shared" si="144"/>
        <v>0.96129451182758119</v>
      </c>
      <c r="AW131" s="302">
        <f t="shared" si="144"/>
        <v>0.9432588245820559</v>
      </c>
      <c r="AX131" s="302">
        <f t="shared" si="144"/>
        <v>0.91743283887815619</v>
      </c>
      <c r="AY131" s="302">
        <f t="shared" si="144"/>
        <v>0.88115786264391682</v>
      </c>
      <c r="AZ131" s="302">
        <f t="shared" si="144"/>
        <v>0.83170657302653528</v>
      </c>
      <c r="BA131" s="302">
        <f t="shared" si="144"/>
        <v>0.76745918149624248</v>
      </c>
      <c r="BB131" s="302">
        <f t="shared" si="142"/>
        <v>0.69058041732537256</v>
      </c>
      <c r="BC131" s="302">
        <f t="shared" si="142"/>
        <v>0.61160332215790658</v>
      </c>
      <c r="BD131" s="302">
        <f t="shared" si="142"/>
        <v>0.55159801685301435</v>
      </c>
      <c r="BE131" s="302">
        <f t="shared" si="142"/>
        <v>0.5268275346426583</v>
      </c>
      <c r="BF131" s="302">
        <f t="shared" si="142"/>
        <v>0.52476966582884799</v>
      </c>
      <c r="BG131" s="302">
        <f t="shared" si="142"/>
        <v>0.53598397969287481</v>
      </c>
      <c r="BH131" s="302">
        <f t="shared" si="142"/>
        <v>0.5805503380627649</v>
      </c>
      <c r="BI131" s="302">
        <f t="shared" si="142"/>
        <v>0.65389594325053435</v>
      </c>
      <c r="BJ131" s="302">
        <f t="shared" si="142"/>
        <v>0.73372125864043947</v>
      </c>
      <c r="BK131" s="302">
        <f t="shared" si="142"/>
        <v>0.80435519924098708</v>
      </c>
      <c r="BL131" s="302">
        <f t="shared" si="142"/>
        <v>0.8604701221217641</v>
      </c>
      <c r="BM131" s="302">
        <f t="shared" si="142"/>
        <v>0.90241945748754981</v>
      </c>
      <c r="BN131" s="302">
        <f t="shared" si="142"/>
        <v>0.93264357683651899</v>
      </c>
      <c r="BO131" s="303">
        <f t="shared" si="142"/>
        <v>0.95391521569012117</v>
      </c>
      <c r="BP131" s="223"/>
    </row>
    <row r="132" spans="3:68" ht="42" customHeight="1">
      <c r="C132" s="426"/>
      <c r="D132" s="425"/>
      <c r="E132" s="445">
        <v>-1.25</v>
      </c>
      <c r="F132" s="464"/>
      <c r="G132" s="302">
        <f t="shared" si="145"/>
        <v>0.99996939342792046</v>
      </c>
      <c r="H132" s="302">
        <f t="shared" si="145"/>
        <v>0.99996766916390323</v>
      </c>
      <c r="I132" s="302">
        <f t="shared" si="145"/>
        <v>0.99996617926883014</v>
      </c>
      <c r="J132" s="302">
        <f t="shared" si="145"/>
        <v>0.99996493495026106</v>
      </c>
      <c r="K132" s="302">
        <f t="shared" si="145"/>
        <v>0.99996393502920744</v>
      </c>
      <c r="L132" s="302">
        <f t="shared" si="145"/>
        <v>0.99996316684940512</v>
      </c>
      <c r="M132" s="302">
        <f t="shared" si="145"/>
        <v>0.99996260777988977</v>
      </c>
      <c r="N132" s="302">
        <f t="shared" si="145"/>
        <v>0.99996222700828197</v>
      </c>
      <c r="O132" s="302">
        <f t="shared" si="145"/>
        <v>0.999961987317877</v>
      </c>
      <c r="P132" s="302">
        <f t="shared" si="145"/>
        <v>0.9999618465668908</v>
      </c>
      <c r="Q132" s="302">
        <f t="shared" si="145"/>
        <v>0.99996175862441583</v>
      </c>
      <c r="R132" s="302">
        <f t="shared" si="145"/>
        <v>0.99996167382478351</v>
      </c>
      <c r="S132" s="302">
        <f t="shared" si="145"/>
        <v>0.99996156512779943</v>
      </c>
      <c r="T132" s="302">
        <f t="shared" si="145"/>
        <v>0.99996144854424007</v>
      </c>
      <c r="U132" s="302">
        <f t="shared" si="145"/>
        <v>0.99996133510151253</v>
      </c>
      <c r="V132" s="302">
        <f t="shared" si="145"/>
        <v>0.99996121984588027</v>
      </c>
      <c r="W132" s="302">
        <f t="shared" si="143"/>
        <v>0.99996107330812511</v>
      </c>
      <c r="X132" s="302">
        <f t="shared" si="143"/>
        <v>0.99996082908053285</v>
      </c>
      <c r="Y132" s="302">
        <f t="shared" si="143"/>
        <v>0.99996036593606763</v>
      </c>
      <c r="Z132" s="302">
        <f t="shared" si="143"/>
        <v>0.9999594821441683</v>
      </c>
      <c r="AA132" s="302">
        <f t="shared" si="143"/>
        <v>0.99995785844052709</v>
      </c>
      <c r="AB132" s="302">
        <f t="shared" si="143"/>
        <v>0.99995500427536399</v>
      </c>
      <c r="AC132" s="302">
        <f t="shared" si="143"/>
        <v>0.99995017918633611</v>
      </c>
      <c r="AD132" s="302">
        <f t="shared" si="143"/>
        <v>0.99994227697389204</v>
      </c>
      <c r="AE132" s="302">
        <f t="shared" si="143"/>
        <v>0.99992965415653501</v>
      </c>
      <c r="AF132" s="302">
        <f t="shared" si="143"/>
        <v>0.99990987501693407</v>
      </c>
      <c r="AG132" s="302">
        <f t="shared" si="143"/>
        <v>0.9998793320487962</v>
      </c>
      <c r="AH132" s="302">
        <f t="shared" si="143"/>
        <v>0.9998326807713338</v>
      </c>
      <c r="AI132" s="302">
        <f t="shared" si="143"/>
        <v>0.99976199875991167</v>
      </c>
      <c r="AJ132" s="302">
        <f t="shared" si="143"/>
        <v>0.99965553610580216</v>
      </c>
      <c r="AK132" s="302">
        <f t="shared" si="143"/>
        <v>0.99949586232808429</v>
      </c>
      <c r="AL132" s="302">
        <f t="shared" si="144"/>
        <v>0.9992571246324049</v>
      </c>
      <c r="AM132" s="302">
        <f t="shared" si="144"/>
        <v>0.99890100313032004</v>
      </c>
      <c r="AN132" s="302">
        <f t="shared" si="144"/>
        <v>0.99837076613941145</v>
      </c>
      <c r="AO132" s="302">
        <f t="shared" si="144"/>
        <v>0.99758257751968893</v>
      </c>
      <c r="AP132" s="302">
        <f t="shared" si="144"/>
        <v>0.99641287655230559</v>
      </c>
      <c r="AQ132" s="302">
        <f t="shared" si="144"/>
        <v>0.99468024564843993</v>
      </c>
      <c r="AR132" s="302">
        <f t="shared" si="144"/>
        <v>0.99211976154704928</v>
      </c>
      <c r="AS132" s="302">
        <f t="shared" si="144"/>
        <v>0.98834758287981705</v>
      </c>
      <c r="AT132" s="302">
        <f t="shared" si="144"/>
        <v>0.98281395575010089</v>
      </c>
      <c r="AU132" s="302">
        <f t="shared" si="144"/>
        <v>0.97474507179000136</v>
      </c>
      <c r="AV132" s="302">
        <f t="shared" si="144"/>
        <v>0.96308078514174855</v>
      </c>
      <c r="AW132" s="302">
        <f t="shared" si="144"/>
        <v>0.9464310992224394</v>
      </c>
      <c r="AX132" s="302">
        <f t="shared" si="144"/>
        <v>0.9231085951937783</v>
      </c>
      <c r="AY132" s="302">
        <f t="shared" si="144"/>
        <v>0.89135936299440699</v>
      </c>
      <c r="AZ132" s="302">
        <f t="shared" si="144"/>
        <v>0.85001597255766415</v>
      </c>
      <c r="BA132" s="302">
        <f t="shared" si="144"/>
        <v>0.79986674829454074</v>
      </c>
      <c r="BB132" s="302">
        <f t="shared" si="142"/>
        <v>0.74572744137732516</v>
      </c>
      <c r="BC132" s="302">
        <f t="shared" si="142"/>
        <v>0.69759253463960935</v>
      </c>
      <c r="BD132" s="302">
        <f t="shared" si="142"/>
        <v>0.6665733921753223</v>
      </c>
      <c r="BE132" s="302">
        <f t="shared" si="142"/>
        <v>0.65523057337245993</v>
      </c>
      <c r="BF132" s="302">
        <f t="shared" si="142"/>
        <v>0.65432715986159096</v>
      </c>
      <c r="BG132" s="302">
        <f t="shared" si="142"/>
        <v>0.65932279193372523</v>
      </c>
      <c r="BH132" s="302">
        <f t="shared" si="142"/>
        <v>0.68092048073767542</v>
      </c>
      <c r="BI132" s="302">
        <f t="shared" si="142"/>
        <v>0.722374129585723</v>
      </c>
      <c r="BJ132" s="302">
        <f t="shared" si="142"/>
        <v>0.77527722977786673</v>
      </c>
      <c r="BK132" s="302">
        <f t="shared" si="142"/>
        <v>0.82815444509868774</v>
      </c>
      <c r="BL132" s="302">
        <f t="shared" si="142"/>
        <v>0.87378609538162277</v>
      </c>
      <c r="BM132" s="302">
        <f t="shared" si="142"/>
        <v>0.90982520177595549</v>
      </c>
      <c r="BN132" s="302">
        <f t="shared" si="142"/>
        <v>0.936772041716602</v>
      </c>
      <c r="BO132" s="303">
        <f t="shared" si="142"/>
        <v>0.95623141967530556</v>
      </c>
      <c r="BP132" s="223"/>
    </row>
    <row r="133" spans="3:68" ht="42" customHeight="1">
      <c r="C133" s="426"/>
      <c r="D133" s="425"/>
      <c r="E133" s="443">
        <v>-1.3</v>
      </c>
      <c r="F133" s="464"/>
      <c r="G133" s="302">
        <f t="shared" si="145"/>
        <v>0.9999791763037309</v>
      </c>
      <c r="H133" s="302">
        <f t="shared" si="145"/>
        <v>0.99997808265767341</v>
      </c>
      <c r="I133" s="302">
        <f t="shared" si="145"/>
        <v>0.99997714129246273</v>
      </c>
      <c r="J133" s="302">
        <f t="shared" si="145"/>
        <v>0.99997635726490885</v>
      </c>
      <c r="K133" s="302">
        <f t="shared" si="145"/>
        <v>0.99997572811144353</v>
      </c>
      <c r="L133" s="302">
        <f t="shared" si="145"/>
        <v>0.99997524445000552</v>
      </c>
      <c r="M133" s="302">
        <f t="shared" si="145"/>
        <v>0.99997489087419045</v>
      </c>
      <c r="N133" s="302">
        <f t="shared" si="145"/>
        <v>0.9999746469586267</v>
      </c>
      <c r="O133" s="302">
        <f t="shared" si="145"/>
        <v>0.99997448819191892</v>
      </c>
      <c r="P133" s="302">
        <f t="shared" si="145"/>
        <v>0.99997438666277771</v>
      </c>
      <c r="Q133" s="302">
        <f t="shared" si="145"/>
        <v>0.99997431133536974</v>
      </c>
      <c r="R133" s="302">
        <f t="shared" si="145"/>
        <v>0.99997422792382995</v>
      </c>
      <c r="S133" s="302">
        <f t="shared" si="145"/>
        <v>0.99997411464424679</v>
      </c>
      <c r="T133" s="302">
        <f t="shared" si="145"/>
        <v>0.99997397415511291</v>
      </c>
      <c r="U133" s="302">
        <f t="shared" si="145"/>
        <v>0.99997380244554401</v>
      </c>
      <c r="V133" s="302">
        <f t="shared" si="145"/>
        <v>0.99997358026815752</v>
      </c>
      <c r="W133" s="302">
        <f t="shared" si="143"/>
        <v>0.99997326527437813</v>
      </c>
      <c r="X133" s="302">
        <f t="shared" si="143"/>
        <v>0.99997278046877758</v>
      </c>
      <c r="Y133" s="302">
        <f t="shared" si="143"/>
        <v>0.99997199737638709</v>
      </c>
      <c r="Z133" s="302">
        <f t="shared" si="143"/>
        <v>0.99997071153181161</v>
      </c>
      <c r="AA133" s="302">
        <f t="shared" si="143"/>
        <v>0.99996860671215781</v>
      </c>
      <c r="AB133" s="302">
        <f t="shared" si="143"/>
        <v>0.99996520254821442</v>
      </c>
      <c r="AC133" s="302">
        <f t="shared" si="143"/>
        <v>0.99995977747093967</v>
      </c>
      <c r="AD133" s="302">
        <f t="shared" si="143"/>
        <v>0.99995125496498627</v>
      </c>
      <c r="AE133" s="302">
        <f t="shared" si="143"/>
        <v>0.99993803520264624</v>
      </c>
      <c r="AF133" s="302">
        <f t="shared" si="143"/>
        <v>0.99991774544470957</v>
      </c>
      <c r="AG133" s="302">
        <f t="shared" si="143"/>
        <v>0.99988686985367814</v>
      </c>
      <c r="AH133" s="302">
        <f t="shared" si="143"/>
        <v>0.99984020074950419</v>
      </c>
      <c r="AI133" s="302">
        <f t="shared" si="143"/>
        <v>0.99977002625748812</v>
      </c>
      <c r="AJ133" s="302">
        <f t="shared" si="143"/>
        <v>0.99966493012796021</v>
      </c>
      <c r="AK133" s="302">
        <f t="shared" si="143"/>
        <v>0.99950802331725597</v>
      </c>
      <c r="AL133" s="302">
        <f t="shared" si="144"/>
        <v>0.99927434729999343</v>
      </c>
      <c r="AM133" s="302">
        <f t="shared" si="144"/>
        <v>0.99892707835375638</v>
      </c>
      <c r="AN133" s="302">
        <f t="shared" si="144"/>
        <v>0.99841201251302547</v>
      </c>
      <c r="AO133" s="302">
        <f t="shared" si="144"/>
        <v>0.99764961853585143</v>
      </c>
      <c r="AP133" s="302">
        <f t="shared" si="144"/>
        <v>0.99652372014126211</v>
      </c>
      <c r="AQ133" s="302">
        <f t="shared" si="144"/>
        <v>0.99486565257432258</v>
      </c>
      <c r="AR133" s="302">
        <f t="shared" si="144"/>
        <v>0.99243265694979621</v>
      </c>
      <c r="AS133" s="302">
        <f t="shared" si="144"/>
        <v>0.98887963075749385</v>
      </c>
      <c r="AT133" s="302">
        <f t="shared" si="144"/>
        <v>0.98372481097222653</v>
      </c>
      <c r="AU133" s="302">
        <f t="shared" si="144"/>
        <v>0.97631389241986444</v>
      </c>
      <c r="AV133" s="302">
        <f t="shared" si="144"/>
        <v>0.96579603442414286</v>
      </c>
      <c r="AW133" s="302">
        <f t="shared" si="144"/>
        <v>0.95114329444194246</v>
      </c>
      <c r="AX133" s="302">
        <f t="shared" si="144"/>
        <v>0.93127667043729145</v>
      </c>
      <c r="AY133" s="302">
        <f t="shared" si="144"/>
        <v>0.90540386417724927</v>
      </c>
      <c r="AZ133" s="302">
        <f t="shared" si="144"/>
        <v>0.87368730445478515</v>
      </c>
      <c r="BA133" s="302">
        <f t="shared" si="144"/>
        <v>0.83821025005226124</v>
      </c>
      <c r="BB133" s="302">
        <f t="shared" si="142"/>
        <v>0.80364904751359212</v>
      </c>
      <c r="BC133" s="302">
        <f t="shared" si="142"/>
        <v>0.77623389412063259</v>
      </c>
      <c r="BD133" s="302">
        <f t="shared" si="142"/>
        <v>0.76023209799219271</v>
      </c>
      <c r="BE133" s="302">
        <f t="shared" si="142"/>
        <v>0.75470638587760808</v>
      </c>
      <c r="BF133" s="302">
        <f t="shared" si="142"/>
        <v>0.75427376916843469</v>
      </c>
      <c r="BG133" s="302">
        <f t="shared" si="142"/>
        <v>0.75667987278670801</v>
      </c>
      <c r="BH133" s="302">
        <f t="shared" si="142"/>
        <v>0.76747103693289465</v>
      </c>
      <c r="BI133" s="302">
        <f t="shared" si="142"/>
        <v>0.78995636511901468</v>
      </c>
      <c r="BJ133" s="302">
        <f t="shared" si="142"/>
        <v>0.82202756488469242</v>
      </c>
      <c r="BK133" s="302">
        <f t="shared" si="142"/>
        <v>0.85781626823105805</v>
      </c>
      <c r="BL133" s="302">
        <f t="shared" si="142"/>
        <v>0.89165082895146441</v>
      </c>
      <c r="BM133" s="302">
        <f t="shared" si="142"/>
        <v>0.92029008285190395</v>
      </c>
      <c r="BN133" s="302">
        <f t="shared" si="142"/>
        <v>0.94282476582586783</v>
      </c>
      <c r="BO133" s="303">
        <f t="shared" si="142"/>
        <v>0.95971870557748029</v>
      </c>
      <c r="BP133" s="223"/>
    </row>
    <row r="134" spans="3:68" ht="42" customHeight="1">
      <c r="C134" s="426"/>
      <c r="D134" s="425"/>
      <c r="E134" s="445">
        <v>-1.35</v>
      </c>
      <c r="F134" s="464"/>
      <c r="G134" s="302">
        <f t="shared" si="145"/>
        <v>0.99998585229104187</v>
      </c>
      <c r="H134" s="302">
        <f t="shared" si="145"/>
        <v>0.99998515787103948</v>
      </c>
      <c r="I134" s="302">
        <f t="shared" si="145"/>
        <v>0.99998456205796926</v>
      </c>
      <c r="J134" s="302">
        <f t="shared" si="145"/>
        <v>0.99998406682660823</v>
      </c>
      <c r="K134" s="302">
        <f t="shared" si="145"/>
        <v>0.99998366955691831</v>
      </c>
      <c r="L134" s="302">
        <f t="shared" si="145"/>
        <v>0.9999833634087042</v>
      </c>
      <c r="M134" s="302">
        <f t="shared" si="145"/>
        <v>0.99998313783019921</v>
      </c>
      <c r="N134" s="302">
        <f t="shared" si="145"/>
        <v>0.99998297908887768</v>
      </c>
      <c r="O134" s="302">
        <f t="shared" si="145"/>
        <v>0.99998287070895431</v>
      </c>
      <c r="P134" s="302">
        <f t="shared" si="145"/>
        <v>0.99998279369957477</v>
      </c>
      <c r="Q134" s="302">
        <f t="shared" si="145"/>
        <v>0.99998272645386166</v>
      </c>
      <c r="R134" s="302">
        <f t="shared" si="145"/>
        <v>0.99998264429283756</v>
      </c>
      <c r="S134" s="302">
        <f t="shared" si="145"/>
        <v>0.99998252877800753</v>
      </c>
      <c r="T134" s="302">
        <f t="shared" si="145"/>
        <v>0.99998237440258464</v>
      </c>
      <c r="U134" s="302">
        <f t="shared" si="145"/>
        <v>0.99998216800772299</v>
      </c>
      <c r="V134" s="302">
        <f t="shared" si="145"/>
        <v>0.99998188175053793</v>
      </c>
      <c r="W134" s="302">
        <f t="shared" si="143"/>
        <v>0.99998146569905633</v>
      </c>
      <c r="X134" s="302">
        <f t="shared" si="143"/>
        <v>0.99998083691309581</v>
      </c>
      <c r="Y134" s="302">
        <f t="shared" si="143"/>
        <v>0.99997986341420741</v>
      </c>
      <c r="Z134" s="302">
        <f t="shared" si="143"/>
        <v>0.99997834067561231</v>
      </c>
      <c r="AA134" s="302">
        <f t="shared" si="143"/>
        <v>0.99997595711012355</v>
      </c>
      <c r="AB134" s="302">
        <f t="shared" si="143"/>
        <v>0.99997224331713952</v>
      </c>
      <c r="AC134" s="302">
        <f t="shared" si="143"/>
        <v>0.99996649730359566</v>
      </c>
      <c r="AD134" s="302">
        <f t="shared" si="143"/>
        <v>0.99995767413541048</v>
      </c>
      <c r="AE134" s="302">
        <f t="shared" si="143"/>
        <v>0.999944222956197</v>
      </c>
      <c r="AF134" s="302">
        <f t="shared" si="143"/>
        <v>0.99992384624492525</v>
      </c>
      <c r="AG134" s="302">
        <f t="shared" si="143"/>
        <v>0.99989314446458954</v>
      </c>
      <c r="AH134" s="302">
        <f t="shared" si="143"/>
        <v>0.99984709233118907</v>
      </c>
      <c r="AI134" s="302">
        <f t="shared" si="143"/>
        <v>0.99977826869018427</v>
      </c>
      <c r="AJ134" s="302">
        <f t="shared" si="143"/>
        <v>0.99967572763136903</v>
      </c>
      <c r="AK134" s="302">
        <f t="shared" si="143"/>
        <v>0.99952335052054653</v>
      </c>
      <c r="AL134" s="302">
        <f t="shared" si="144"/>
        <v>0.99929745319305585</v>
      </c>
      <c r="AM134" s="302">
        <f t="shared" si="144"/>
        <v>0.99896333635438939</v>
      </c>
      <c r="AN134" s="302">
        <f t="shared" si="144"/>
        <v>0.99847036017805924</v>
      </c>
      <c r="AO134" s="302">
        <f t="shared" si="144"/>
        <v>0.99774500526516219</v>
      </c>
      <c r="AP134" s="302">
        <f t="shared" si="144"/>
        <v>0.9966812826253606</v>
      </c>
      <c r="AQ134" s="302">
        <f t="shared" si="144"/>
        <v>0.99512785439723717</v>
      </c>
      <c r="AR134" s="302">
        <f t="shared" si="144"/>
        <v>0.99287150252599088</v>
      </c>
      <c r="AS134" s="302">
        <f t="shared" si="144"/>
        <v>0.98961750176511976</v>
      </c>
      <c r="AT134" s="302">
        <f t="shared" si="144"/>
        <v>0.98496971624049312</v>
      </c>
      <c r="AU134" s="302">
        <f t="shared" si="144"/>
        <v>0.97841804480989936</v>
      </c>
      <c r="AV134" s="302">
        <f t="shared" si="144"/>
        <v>0.96934987068016532</v>
      </c>
      <c r="AW134" s="302">
        <f t="shared" si="144"/>
        <v>0.9571166350233723</v>
      </c>
      <c r="AX134" s="302">
        <f t="shared" si="144"/>
        <v>0.94120338130134729</v>
      </c>
      <c r="AY134" s="302">
        <f t="shared" si="144"/>
        <v>0.92155009609595229</v>
      </c>
      <c r="AZ134" s="302">
        <f t="shared" si="144"/>
        <v>0.89900951800354711</v>
      </c>
      <c r="BA134" s="302">
        <f t="shared" si="144"/>
        <v>0.87572562608510662</v>
      </c>
      <c r="BB134" s="302">
        <f t="shared" si="142"/>
        <v>0.85492856553501639</v>
      </c>
      <c r="BC134" s="302">
        <f t="shared" si="142"/>
        <v>0.83971475591690659</v>
      </c>
      <c r="BD134" s="302">
        <f t="shared" si="142"/>
        <v>0.83134674247388651</v>
      </c>
      <c r="BE134" s="302">
        <f t="shared" si="142"/>
        <v>0.82854341319942104</v>
      </c>
      <c r="BF134" s="302">
        <f t="shared" si="142"/>
        <v>0.82832579646642557</v>
      </c>
      <c r="BG134" s="302">
        <f t="shared" si="142"/>
        <v>0.82953956909226612</v>
      </c>
      <c r="BH134" s="302">
        <f t="shared" si="142"/>
        <v>0.83508609551436708</v>
      </c>
      <c r="BI134" s="302">
        <f t="shared" si="142"/>
        <v>0.8471901640306807</v>
      </c>
      <c r="BJ134" s="302">
        <f t="shared" si="142"/>
        <v>0.86575999485423372</v>
      </c>
      <c r="BK134" s="302">
        <f t="shared" si="142"/>
        <v>0.8883463487909653</v>
      </c>
      <c r="BL134" s="302">
        <f t="shared" si="142"/>
        <v>0.91157121971846522</v>
      </c>
      <c r="BM134" s="302">
        <f t="shared" si="142"/>
        <v>0.93271439566957715</v>
      </c>
      <c r="BN134" s="302">
        <f t="shared" si="142"/>
        <v>0.95036277668998415</v>
      </c>
      <c r="BO134" s="303">
        <f t="shared" si="142"/>
        <v>0.96422208259287878</v>
      </c>
      <c r="BP134" s="223"/>
    </row>
    <row r="135" spans="3:68" ht="42" customHeight="1">
      <c r="C135" s="426"/>
      <c r="D135" s="425"/>
      <c r="E135" s="443">
        <v>-1.4</v>
      </c>
      <c r="F135" s="464"/>
      <c r="G135" s="302">
        <f t="shared" si="145"/>
        <v>0.99999039979219972</v>
      </c>
      <c r="H135" s="302">
        <f t="shared" si="145"/>
        <v>0.99998995829254622</v>
      </c>
      <c r="I135" s="302">
        <f t="shared" si="145"/>
        <v>0.99998958043461361</v>
      </c>
      <c r="J135" s="302">
        <f t="shared" si="145"/>
        <v>0.99998926670713006</v>
      </c>
      <c r="K135" s="302">
        <f t="shared" si="145"/>
        <v>0.99998901476319202</v>
      </c>
      <c r="L135" s="302">
        <f t="shared" si="145"/>
        <v>0.99998881963686548</v>
      </c>
      <c r="M135" s="302">
        <f t="shared" si="145"/>
        <v>0.99998867401064628</v>
      </c>
      <c r="N135" s="302">
        <f t="shared" si="145"/>
        <v>0.99998856846166095</v>
      </c>
      <c r="O135" s="302">
        <f t="shared" si="145"/>
        <v>0.99998849160902847</v>
      </c>
      <c r="P135" s="302">
        <f t="shared" si="145"/>
        <v>0.99998843007867189</v>
      </c>
      <c r="Q135" s="302">
        <f t="shared" si="145"/>
        <v>0.99998836819030545</v>
      </c>
      <c r="R135" s="302">
        <f t="shared" si="145"/>
        <v>0.99998828731703093</v>
      </c>
      <c r="S135" s="302">
        <f t="shared" si="145"/>
        <v>0.99998817120950145</v>
      </c>
      <c r="T135" s="302">
        <f t="shared" si="145"/>
        <v>0.9999880094423339</v>
      </c>
      <c r="U135" s="302">
        <f t="shared" si="145"/>
        <v>0.99998778341749994</v>
      </c>
      <c r="V135" s="302">
        <f t="shared" si="145"/>
        <v>0.99998746033519526</v>
      </c>
      <c r="W135" s="302">
        <f t="shared" si="143"/>
        <v>0.99998698615122716</v>
      </c>
      <c r="X135" s="302">
        <f t="shared" si="143"/>
        <v>0.99998627517606364</v>
      </c>
      <c r="Y135" s="302">
        <f t="shared" si="143"/>
        <v>0.9999851947607441</v>
      </c>
      <c r="Z135" s="302">
        <f t="shared" si="143"/>
        <v>0.99998354277233903</v>
      </c>
      <c r="AA135" s="302">
        <f t="shared" si="143"/>
        <v>0.99998101446375465</v>
      </c>
      <c r="AB135" s="302">
        <f t="shared" si="143"/>
        <v>0.99997715372400298</v>
      </c>
      <c r="AC135" s="302">
        <f t="shared" si="143"/>
        <v>0.99997128131813473</v>
      </c>
      <c r="AD135" s="302">
        <f t="shared" si="143"/>
        <v>0.99996238925277869</v>
      </c>
      <c r="AE135" s="302">
        <f t="shared" si="143"/>
        <v>0.99994898535674637</v>
      </c>
      <c r="AF135" s="302">
        <f t="shared" si="143"/>
        <v>0.99992886488261024</v>
      </c>
      <c r="AG135" s="302">
        <f t="shared" si="143"/>
        <v>0.99989877550681416</v>
      </c>
      <c r="AH135" s="302">
        <f t="shared" si="143"/>
        <v>0.99985392732551415</v>
      </c>
      <c r="AI135" s="302">
        <f t="shared" si="143"/>
        <v>0.99978727877435269</v>
      </c>
      <c r="AJ135" s="302">
        <f t="shared" si="143"/>
        <v>0.99968850103224394</v>
      </c>
      <c r="AK135" s="302">
        <f t="shared" si="143"/>
        <v>0.99954248558374947</v>
      </c>
      <c r="AL135" s="302">
        <f t="shared" si="144"/>
        <v>0.9993272111222038</v>
      </c>
      <c r="AM135" s="302">
        <f t="shared" si="144"/>
        <v>0.99901072822908654</v>
      </c>
      <c r="AN135" s="302">
        <f t="shared" si="144"/>
        <v>0.99854696071671767</v>
      </c>
      <c r="AO135" s="302">
        <f t="shared" si="144"/>
        <v>0.99786998207233246</v>
      </c>
      <c r="AP135" s="302">
        <f t="shared" si="144"/>
        <v>0.99688645244547525</v>
      </c>
      <c r="AQ135" s="302">
        <f t="shared" si="144"/>
        <v>0.99546609695192123</v>
      </c>
      <c r="AR135" s="302">
        <f t="shared" si="144"/>
        <v>0.99343066399179247</v>
      </c>
      <c r="AS135" s="302">
        <f t="shared" si="144"/>
        <v>0.99054306597079578</v>
      </c>
      <c r="AT135" s="302">
        <f t="shared" si="144"/>
        <v>0.98650090816807556</v>
      </c>
      <c r="AU135" s="302">
        <f t="shared" si="144"/>
        <v>0.98094299340398838</v>
      </c>
      <c r="AV135" s="302">
        <f t="shared" si="144"/>
        <v>0.97348385609761734</v>
      </c>
      <c r="AW135" s="302">
        <f t="shared" si="144"/>
        <v>0.96379801269866905</v>
      </c>
      <c r="AX135" s="302">
        <f t="shared" si="144"/>
        <v>0.95177470109662921</v>
      </c>
      <c r="AY135" s="302">
        <f t="shared" si="144"/>
        <v>0.93773755975568551</v>
      </c>
      <c r="AZ135" s="302">
        <f t="shared" si="144"/>
        <v>0.9226496183908639</v>
      </c>
      <c r="BA135" s="302">
        <f t="shared" si="144"/>
        <v>0.90811650659154519</v>
      </c>
      <c r="BB135" s="302">
        <f t="shared" si="142"/>
        <v>0.89598498135492011</v>
      </c>
      <c r="BC135" s="302">
        <f t="shared" si="142"/>
        <v>0.88759364159766851</v>
      </c>
      <c r="BD135" s="302">
        <f t="shared" si="142"/>
        <v>0.88314639750060164</v>
      </c>
      <c r="BE135" s="302">
        <f t="shared" si="142"/>
        <v>0.88168272556357319</v>
      </c>
      <c r="BF135" s="302">
        <f t="shared" si="142"/>
        <v>0.8815696518345576</v>
      </c>
      <c r="BG135" s="302">
        <f t="shared" si="142"/>
        <v>0.8822013521390798</v>
      </c>
      <c r="BH135" s="302">
        <f t="shared" si="142"/>
        <v>0.88511918361316932</v>
      </c>
      <c r="BI135" s="302">
        <f t="shared" si="142"/>
        <v>0.89166690165290829</v>
      </c>
      <c r="BJ135" s="302">
        <f t="shared" si="142"/>
        <v>0.9022060948269327</v>
      </c>
      <c r="BK135" s="302">
        <f t="shared" si="142"/>
        <v>0.91586563868289661</v>
      </c>
      <c r="BL135" s="302">
        <f t="shared" si="142"/>
        <v>0.93092970681183207</v>
      </c>
      <c r="BM135" s="302">
        <f t="shared" si="142"/>
        <v>0.94560608779666333</v>
      </c>
      <c r="BN135" s="302">
        <f t="shared" si="142"/>
        <v>0.95861928793205853</v>
      </c>
      <c r="BO135" s="303">
        <f t="shared" si="142"/>
        <v>0.96937394142992461</v>
      </c>
      <c r="BP135" s="223"/>
    </row>
    <row r="136" spans="3:68" ht="42" customHeight="1">
      <c r="C136" s="426"/>
      <c r="D136" s="425"/>
      <c r="E136" s="445">
        <v>-1.45</v>
      </c>
      <c r="F136" s="464"/>
      <c r="G136" s="302">
        <f t="shared" si="145"/>
        <v>0.99999349251564684</v>
      </c>
      <c r="H136" s="302">
        <f t="shared" si="145"/>
        <v>0.99999321137885522</v>
      </c>
      <c r="I136" s="302">
        <f t="shared" si="145"/>
        <v>0.99999297117166042</v>
      </c>
      <c r="J136" s="302">
        <f t="shared" si="145"/>
        <v>0.9999927717100161</v>
      </c>
      <c r="K136" s="302">
        <f t="shared" si="145"/>
        <v>0.99999261103319204</v>
      </c>
      <c r="L136" s="302">
        <f t="shared" si="145"/>
        <v>0.99999248551461928</v>
      </c>
      <c r="M136" s="302">
        <f t="shared" si="145"/>
        <v>0.99999238998029927</v>
      </c>
      <c r="N136" s="302">
        <f t="shared" si="145"/>
        <v>0.99999231778538067</v>
      </c>
      <c r="O136" s="302">
        <f t="shared" si="145"/>
        <v>0.99999226079279446</v>
      </c>
      <c r="P136" s="302">
        <f t="shared" si="145"/>
        <v>0.99999220918852327</v>
      </c>
      <c r="Q136" s="302">
        <f t="shared" si="145"/>
        <v>0.99999215105263184</v>
      </c>
      <c r="R136" s="302">
        <f t="shared" si="145"/>
        <v>0.99999207162198445</v>
      </c>
      <c r="S136" s="302">
        <f t="shared" si="145"/>
        <v>0.99999195614604097</v>
      </c>
      <c r="T136" s="302">
        <f t="shared" si="145"/>
        <v>0.99999179133620253</v>
      </c>
      <c r="U136" s="302">
        <f t="shared" si="145"/>
        <v>0.99999155552345609</v>
      </c>
      <c r="V136" s="302">
        <f t="shared" si="145"/>
        <v>0.99999121332009111</v>
      </c>
      <c r="W136" s="302">
        <f t="shared" si="143"/>
        <v>0.99999070890711739</v>
      </c>
      <c r="X136" s="302">
        <f t="shared" si="143"/>
        <v>0.99998995612550057</v>
      </c>
      <c r="Y136" s="302">
        <f t="shared" si="143"/>
        <v>0.99998882388444221</v>
      </c>
      <c r="Z136" s="302">
        <f t="shared" si="143"/>
        <v>0.99998711470094537</v>
      </c>
      <c r="AA136" s="302">
        <f t="shared" si="143"/>
        <v>0.99998453316129399</v>
      </c>
      <c r="AB136" s="302">
        <f t="shared" si="143"/>
        <v>0.99998063960154526</v>
      </c>
      <c r="AC136" s="302">
        <f t="shared" si="143"/>
        <v>0.99997478213599678</v>
      </c>
      <c r="AD136" s="302">
        <f t="shared" si="143"/>
        <v>0.99996599703436084</v>
      </c>
      <c r="AE136" s="302">
        <f t="shared" si="143"/>
        <v>0.99995286296928443</v>
      </c>
      <c r="AF136" s="302">
        <f t="shared" si="143"/>
        <v>0.99993328830320516</v>
      </c>
      <c r="AG136" s="302">
        <f t="shared" si="143"/>
        <v>0.99990420168230032</v>
      </c>
      <c r="AH136" s="302">
        <f t="shared" si="143"/>
        <v>0.99986110393269534</v>
      </c>
      <c r="AI136" s="302">
        <f t="shared" si="143"/>
        <v>0.99979742270649186</v>
      </c>
      <c r="AJ136" s="302">
        <f t="shared" si="143"/>
        <v>0.99970358972737727</v>
      </c>
      <c r="AK136" s="302">
        <f t="shared" si="143"/>
        <v>0.99956573369241497</v>
      </c>
      <c r="AL136" s="302">
        <f t="shared" si="144"/>
        <v>0.99936385145747952</v>
      </c>
      <c r="AM136" s="302">
        <f t="shared" si="144"/>
        <v>0.99906929147726642</v>
      </c>
      <c r="AN136" s="302">
        <f t="shared" si="144"/>
        <v>0.99864136988908947</v>
      </c>
      <c r="AO136" s="302">
        <f t="shared" si="144"/>
        <v>0.99802296951991343</v>
      </c>
      <c r="AP136" s="302">
        <f t="shared" si="144"/>
        <v>0.99713510084080248</v>
      </c>
      <c r="AQ136" s="302">
        <f t="shared" si="144"/>
        <v>0.99587073121735659</v>
      </c>
      <c r="AR136" s="302">
        <f t="shared" si="144"/>
        <v>0.99408887798786683</v>
      </c>
      <c r="AS136" s="302">
        <f t="shared" si="144"/>
        <v>0.99161124190716221</v>
      </c>
      <c r="AT136" s="302">
        <f t="shared" si="144"/>
        <v>0.98822575934836776</v>
      </c>
      <c r="AU136" s="302">
        <f t="shared" si="144"/>
        <v>0.98370433515327049</v>
      </c>
      <c r="AV136" s="302">
        <f t="shared" si="144"/>
        <v>0.97784468581138351</v>
      </c>
      <c r="AW136" s="302">
        <f t="shared" si="144"/>
        <v>0.97054545419050697</v>
      </c>
      <c r="AX136" s="302">
        <f t="shared" si="144"/>
        <v>0.96191298326430874</v>
      </c>
      <c r="AY136" s="302">
        <f t="shared" si="144"/>
        <v>0.95236985486322756</v>
      </c>
      <c r="AZ136" s="302">
        <f t="shared" si="144"/>
        <v>0.94269357653878139</v>
      </c>
      <c r="BA136" s="302">
        <f t="shared" si="144"/>
        <v>0.9338954405262202</v>
      </c>
      <c r="BB136" s="302">
        <f t="shared" si="142"/>
        <v>0.92691704284969278</v>
      </c>
      <c r="BC136" s="302">
        <f t="shared" si="142"/>
        <v>0.92227485572258028</v>
      </c>
      <c r="BD136" s="302">
        <f t="shared" si="142"/>
        <v>0.91987372976282145</v>
      </c>
      <c r="BE136" s="302">
        <f t="shared" si="142"/>
        <v>0.91909226591992355</v>
      </c>
      <c r="BF136" s="302">
        <f t="shared" si="142"/>
        <v>0.91903207735865378</v>
      </c>
      <c r="BG136" s="302">
        <f t="shared" si="142"/>
        <v>0.91936867578124959</v>
      </c>
      <c r="BH136" s="302">
        <f t="shared" si="142"/>
        <v>0.92093389294405481</v>
      </c>
      <c r="BI136" s="302">
        <f t="shared" si="142"/>
        <v>0.92450981786624475</v>
      </c>
      <c r="BJ136" s="302">
        <f t="shared" si="142"/>
        <v>0.93045534445133016</v>
      </c>
      <c r="BK136" s="302">
        <f t="shared" si="142"/>
        <v>0.93852533110155512</v>
      </c>
      <c r="BL136" s="302">
        <f t="shared" si="142"/>
        <v>0.94793254267299321</v>
      </c>
      <c r="BM136" s="302">
        <f t="shared" si="142"/>
        <v>0.9576517313913866</v>
      </c>
      <c r="BN136" s="302">
        <f t="shared" si="142"/>
        <v>0.96677220858708734</v>
      </c>
      <c r="BO136" s="303">
        <f t="shared" si="142"/>
        <v>0.97470721743639865</v>
      </c>
      <c r="BP136" s="223"/>
    </row>
    <row r="137" spans="3:68" ht="42" customHeight="1" thickBot="1">
      <c r="C137" s="426"/>
      <c r="D137" s="425"/>
      <c r="E137" s="443">
        <v>-1.5</v>
      </c>
      <c r="F137" s="465"/>
      <c r="G137" s="305">
        <f t="shared" si="145"/>
        <v>0.99999559294209805</v>
      </c>
      <c r="H137" s="305">
        <f t="shared" si="145"/>
        <v>0.9999954135740462</v>
      </c>
      <c r="I137" s="305">
        <f t="shared" si="145"/>
        <v>0.99999526041626774</v>
      </c>
      <c r="J137" s="305">
        <f t="shared" si="145"/>
        <v>0.99999513301458753</v>
      </c>
      <c r="K137" s="305">
        <f t="shared" si="145"/>
        <v>0.99999502977692345</v>
      </c>
      <c r="L137" s="305">
        <f t="shared" si="145"/>
        <v>0.9999949480153929</v>
      </c>
      <c r="M137" s="305">
        <f t="shared" si="145"/>
        <v>0.99999488397377867</v>
      </c>
      <c r="N137" s="305">
        <f t="shared" si="145"/>
        <v>0.99999483280414458</v>
      </c>
      <c r="O137" s="305">
        <f t="shared" si="145"/>
        <v>0.99999478844896572</v>
      </c>
      <c r="P137" s="305">
        <f t="shared" si="145"/>
        <v>0.99999474337419481</v>
      </c>
      <c r="Q137" s="305">
        <f t="shared" si="145"/>
        <v>0.99999468808151726</v>
      </c>
      <c r="R137" s="305">
        <f t="shared" si="145"/>
        <v>0.9999946103277696</v>
      </c>
      <c r="S137" s="305">
        <f t="shared" si="145"/>
        <v>0.99999449645935046</v>
      </c>
      <c r="T137" s="305">
        <f t="shared" si="145"/>
        <v>0.99999433164550833</v>
      </c>
      <c r="U137" s="305">
        <f t="shared" si="145"/>
        <v>0.99999409268711759</v>
      </c>
      <c r="V137" s="305">
        <f t="shared" si="145"/>
        <v>0.99999374319106149</v>
      </c>
      <c r="W137" s="305">
        <f t="shared" si="143"/>
        <v>0.99999322719190131</v>
      </c>
      <c r="X137" s="305">
        <f t="shared" si="143"/>
        <v>0.99999245975575091</v>
      </c>
      <c r="Y137" s="305">
        <f t="shared" si="143"/>
        <v>0.99999131316918188</v>
      </c>
      <c r="Z137" s="305">
        <f t="shared" si="143"/>
        <v>0.99998959667233012</v>
      </c>
      <c r="AA137" s="305">
        <f t="shared" si="143"/>
        <v>0.99998702676268914</v>
      </c>
      <c r="AB137" s="305">
        <f t="shared" si="143"/>
        <v>0.99998318375192841</v>
      </c>
      <c r="AC137" s="305">
        <f t="shared" si="143"/>
        <v>0.99997744833391289</v>
      </c>
      <c r="AD137" s="305">
        <f t="shared" si="143"/>
        <v>0.99996890919118597</v>
      </c>
      <c r="AE137" s="305">
        <f t="shared" si="143"/>
        <v>0.9999562288329521</v>
      </c>
      <c r="AF137" s="305">
        <f t="shared" si="143"/>
        <v>0.99993744954951236</v>
      </c>
      <c r="AG137" s="305">
        <f t="shared" si="143"/>
        <v>0.99990971415557695</v>
      </c>
      <c r="AH137" s="305">
        <f t="shared" si="143"/>
        <v>0.99986886664570573</v>
      </c>
      <c r="AI137" s="305">
        <f t="shared" si="143"/>
        <v>0.99980888571256976</v>
      </c>
      <c r="AJ137" s="305">
        <f t="shared" si="143"/>
        <v>0.99972108946469129</v>
      </c>
      <c r="AK137" s="305">
        <f t="shared" si="143"/>
        <v>0.99959303391974286</v>
      </c>
      <c r="AL137" s="305">
        <f t="shared" si="144"/>
        <v>0.9994070145640126</v>
      </c>
      <c r="AM137" s="305">
        <f t="shared" si="144"/>
        <v>0.99913807755947648</v>
      </c>
      <c r="AN137" s="305">
        <f t="shared" si="144"/>
        <v>0.99875147121166108</v>
      </c>
      <c r="AO137" s="305">
        <f t="shared" si="144"/>
        <v>0.99819954874844652</v>
      </c>
      <c r="AP137" s="305">
        <f t="shared" si="144"/>
        <v>0.99741832045198953</v>
      </c>
      <c r="AQ137" s="305">
        <f t="shared" si="144"/>
        <v>0.99632422303627288</v>
      </c>
      <c r="AR137" s="305">
        <f t="shared" si="144"/>
        <v>0.99481232403142039</v>
      </c>
      <c r="AS137" s="305">
        <f t="shared" si="144"/>
        <v>0.9927581862604572</v>
      </c>
      <c r="AT137" s="305">
        <f t="shared" si="144"/>
        <v>0.99002691556909006</v>
      </c>
      <c r="AU137" s="305">
        <f t="shared" si="144"/>
        <v>0.98649401733323849</v>
      </c>
      <c r="AV137" s="305">
        <f t="shared" si="144"/>
        <v>0.98208225201351518</v>
      </c>
      <c r="AW137" s="305">
        <f t="shared" si="144"/>
        <v>0.97681422407900986</v>
      </c>
      <c r="AX137" s="305">
        <f t="shared" si="144"/>
        <v>0.97086928930197058</v>
      </c>
      <c r="AY137" s="305">
        <f t="shared" si="144"/>
        <v>0.96461662285473293</v>
      </c>
      <c r="AZ137" s="305">
        <f t="shared" si="144"/>
        <v>0.95858530853676183</v>
      </c>
      <c r="BA137" s="305">
        <f t="shared" si="144"/>
        <v>0.95334845397512546</v>
      </c>
      <c r="BB137" s="305">
        <f t="shared" si="142"/>
        <v>0.94935090275192668</v>
      </c>
      <c r="BC137" s="305">
        <f t="shared" si="142"/>
        <v>0.94676438363885651</v>
      </c>
      <c r="BD137" s="305">
        <f t="shared" si="142"/>
        <v>0.94544860663438479</v>
      </c>
      <c r="BE137" s="305">
        <f t="shared" si="142"/>
        <v>0.94502356891575479</v>
      </c>
      <c r="BF137" s="305">
        <f t="shared" si="142"/>
        <v>0.94499089885209775</v>
      </c>
      <c r="BG137" s="305">
        <f t="shared" si="142"/>
        <v>0.94517373496189083</v>
      </c>
      <c r="BH137" s="305">
        <f t="shared" si="142"/>
        <v>0.94602773698616982</v>
      </c>
      <c r="BI137" s="305">
        <f t="shared" si="142"/>
        <v>0.94800257079023686</v>
      </c>
      <c r="BJ137" s="305">
        <f t="shared" si="142"/>
        <v>0.95136109061069984</v>
      </c>
      <c r="BK137" s="305">
        <f t="shared" si="142"/>
        <v>0.95607609333406318</v>
      </c>
      <c r="BL137" s="305">
        <f t="shared" si="142"/>
        <v>0.96181401881335793</v>
      </c>
      <c r="BM137" s="305">
        <f t="shared" si="142"/>
        <v>0.96803802817448525</v>
      </c>
      <c r="BN137" s="305">
        <f t="shared" si="142"/>
        <v>0.97417983586513035</v>
      </c>
      <c r="BO137" s="306">
        <f t="shared" si="142"/>
        <v>0.97978883455004917</v>
      </c>
      <c r="BP137" s="223"/>
    </row>
    <row r="138" spans="3:68" ht="42" customHeight="1">
      <c r="C138" s="425"/>
      <c r="D138" s="426"/>
      <c r="E138" s="425"/>
      <c r="F138" s="425"/>
      <c r="G138" s="425"/>
      <c r="H138" s="425"/>
      <c r="I138" s="425"/>
      <c r="J138" s="425"/>
      <c r="K138" s="425"/>
      <c r="L138" s="425"/>
      <c r="M138" s="425"/>
      <c r="N138" s="425"/>
      <c r="O138" s="425"/>
      <c r="P138" s="425"/>
      <c r="Q138" s="425"/>
      <c r="R138" s="425"/>
      <c r="S138" s="425"/>
      <c r="T138" s="425"/>
      <c r="U138" s="425"/>
      <c r="V138" s="425"/>
      <c r="W138" s="425"/>
      <c r="X138" s="425"/>
      <c r="Y138" s="425"/>
      <c r="Z138" s="425"/>
      <c r="AA138" s="425"/>
      <c r="AB138" s="425"/>
      <c r="AC138" s="425"/>
      <c r="AD138" s="425"/>
      <c r="AE138" s="425"/>
      <c r="AF138" s="425"/>
      <c r="AG138" s="425"/>
      <c r="AH138" s="425"/>
      <c r="AI138" s="425"/>
      <c r="AJ138" s="425"/>
      <c r="AK138" s="425"/>
      <c r="AL138" s="425"/>
      <c r="AM138" s="425"/>
      <c r="AN138" s="425"/>
      <c r="AO138" s="425"/>
      <c r="AP138" s="425"/>
      <c r="AQ138" s="425"/>
      <c r="AR138" s="425"/>
      <c r="AS138" s="425"/>
      <c r="AT138" s="425"/>
      <c r="AU138" s="425"/>
      <c r="AV138" s="425"/>
      <c r="AW138" s="425"/>
      <c r="AX138" s="425"/>
      <c r="AY138" s="425"/>
      <c r="AZ138" s="425"/>
      <c r="BA138" s="425"/>
      <c r="BB138" s="425"/>
      <c r="BC138" s="425"/>
      <c r="BD138" s="425"/>
      <c r="BE138" s="425"/>
      <c r="BF138" s="425"/>
      <c r="BG138" s="425"/>
      <c r="BH138" s="425"/>
      <c r="BI138" s="425"/>
      <c r="BJ138" s="425"/>
      <c r="BK138" s="425"/>
      <c r="BL138" s="425"/>
      <c r="BM138" s="425"/>
      <c r="BN138" s="425"/>
      <c r="BO138" s="425"/>
      <c r="BP138" s="426"/>
    </row>
    <row r="139" spans="3:68" ht="42" customHeight="1">
      <c r="BP139" s="146"/>
    </row>
    <row r="140" spans="3:68" ht="42" customHeight="1" thickBot="1">
      <c r="C140" s="422" t="s">
        <v>161</v>
      </c>
      <c r="D140" s="422"/>
      <c r="E140" s="422" t="s">
        <v>209</v>
      </c>
      <c r="F140" s="422" t="s">
        <v>162</v>
      </c>
      <c r="G140" s="422"/>
      <c r="H140" s="423"/>
      <c r="I140" s="423"/>
      <c r="J140" s="423"/>
      <c r="K140" s="423"/>
      <c r="L140" s="424"/>
      <c r="M140" s="424"/>
      <c r="N140" s="424"/>
      <c r="O140" s="424"/>
      <c r="P140" s="424"/>
      <c r="Q140" s="424"/>
      <c r="R140" s="424"/>
      <c r="S140" s="425"/>
      <c r="T140" s="425"/>
      <c r="U140" s="425"/>
      <c r="V140" s="425"/>
      <c r="W140" s="425"/>
      <c r="X140" s="425"/>
      <c r="Y140" s="425"/>
      <c r="Z140" s="425"/>
      <c r="AA140" s="425"/>
      <c r="AB140" s="425"/>
      <c r="AC140" s="425"/>
      <c r="AD140" s="425"/>
      <c r="AE140" s="425"/>
      <c r="AF140" s="425"/>
      <c r="AG140" s="425"/>
      <c r="AH140" s="426"/>
      <c r="AI140" s="426"/>
      <c r="AJ140" s="426"/>
      <c r="AK140" s="426"/>
      <c r="AL140" s="426"/>
      <c r="AM140" s="426"/>
      <c r="AN140" s="426"/>
      <c r="AO140" s="426"/>
      <c r="AP140" s="426"/>
      <c r="AQ140" s="426"/>
      <c r="AR140" s="426"/>
      <c r="AS140" s="426"/>
      <c r="AT140" s="426"/>
      <c r="AU140" s="426"/>
      <c r="AV140" s="426"/>
      <c r="AW140" s="426"/>
      <c r="AX140" s="426"/>
      <c r="AY140" s="426"/>
      <c r="AZ140" s="426"/>
      <c r="BA140" s="426"/>
      <c r="BB140" s="426"/>
      <c r="BC140" s="426"/>
      <c r="BD140" s="426"/>
      <c r="BE140" s="426"/>
      <c r="BF140" s="426"/>
      <c r="BG140" s="426"/>
      <c r="BH140" s="426"/>
      <c r="BI140" s="426"/>
      <c r="BJ140" s="426"/>
      <c r="BK140" s="426"/>
      <c r="BL140" s="426"/>
      <c r="BM140" s="426"/>
      <c r="BN140" s="426"/>
      <c r="BO140" s="426"/>
      <c r="BP140" s="425"/>
    </row>
    <row r="141" spans="3:68" ht="42" customHeight="1">
      <c r="C141" s="428"/>
      <c r="D141" s="429">
        <f>$D$7</f>
        <v>0</v>
      </c>
      <c r="E141" s="430">
        <f>$E$7</f>
        <v>-7.2714895967875268E-2</v>
      </c>
      <c r="F141" s="123">
        <f>$F$7</f>
        <v>2.5</v>
      </c>
      <c r="G141" s="422"/>
      <c r="H141" s="422"/>
      <c r="I141" s="422"/>
      <c r="J141" s="422"/>
      <c r="K141" s="422"/>
      <c r="L141" s="423"/>
      <c r="M141" s="423"/>
      <c r="N141" s="423"/>
      <c r="O141" s="423"/>
      <c r="P141" s="423"/>
      <c r="Q141" s="423"/>
      <c r="R141" s="423"/>
      <c r="S141" s="424"/>
      <c r="T141" s="424"/>
      <c r="U141" s="424"/>
      <c r="V141" s="424"/>
      <c r="W141" s="424"/>
      <c r="X141" s="424"/>
      <c r="Y141" s="424"/>
      <c r="Z141" s="424"/>
      <c r="AA141" s="424"/>
      <c r="AB141" s="424"/>
      <c r="AC141" s="424"/>
      <c r="AD141" s="424"/>
      <c r="AE141" s="424"/>
      <c r="AF141" s="424"/>
      <c r="AG141" s="424"/>
      <c r="AH141" s="425"/>
      <c r="AI141" s="425"/>
      <c r="AJ141" s="425"/>
      <c r="AK141" s="425"/>
      <c r="AL141" s="425"/>
      <c r="AM141" s="425"/>
      <c r="AN141" s="425"/>
      <c r="AO141" s="425"/>
      <c r="AP141" s="425"/>
      <c r="AQ141" s="425"/>
      <c r="AR141" s="425"/>
      <c r="AS141" s="425"/>
      <c r="AT141" s="425"/>
      <c r="AU141" s="425"/>
      <c r="AV141" s="425"/>
      <c r="AW141" s="425"/>
      <c r="AX141" s="425"/>
      <c r="AY141" s="425"/>
      <c r="AZ141" s="425"/>
      <c r="BA141" s="425"/>
      <c r="BB141" s="425"/>
      <c r="BC141" s="425"/>
      <c r="BD141" s="425"/>
      <c r="BE141" s="425"/>
      <c r="BF141" s="425"/>
      <c r="BG141" s="425"/>
      <c r="BH141" s="425"/>
      <c r="BI141" s="425"/>
      <c r="BJ141" s="425"/>
      <c r="BK141" s="425"/>
      <c r="BL141" s="425"/>
      <c r="BM141" s="425"/>
      <c r="BN141" s="425"/>
      <c r="BO141" s="425"/>
      <c r="BP141" s="426"/>
    </row>
    <row r="142" spans="3:68" ht="42" customHeight="1" thickBot="1">
      <c r="C142" s="431" t="s">
        <v>210</v>
      </c>
      <c r="D142" s="432">
        <f>$D$8</f>
        <v>0.10862995623009114</v>
      </c>
      <c r="E142" s="433" t="s">
        <v>164</v>
      </c>
      <c r="F142" s="434"/>
      <c r="G142" s="435">
        <v>-1.5</v>
      </c>
      <c r="H142" s="436">
        <v>-1.45</v>
      </c>
      <c r="I142" s="435">
        <v>-1.4</v>
      </c>
      <c r="J142" s="436">
        <v>-1.35</v>
      </c>
      <c r="K142" s="435">
        <v>-1.3</v>
      </c>
      <c r="L142" s="436">
        <v>-1.25</v>
      </c>
      <c r="M142" s="435">
        <v>-1.2</v>
      </c>
      <c r="N142" s="436">
        <v>-1.1499999999999999</v>
      </c>
      <c r="O142" s="435">
        <v>-1.1000000000000001</v>
      </c>
      <c r="P142" s="436">
        <v>-1.05</v>
      </c>
      <c r="Q142" s="435">
        <v>-1</v>
      </c>
      <c r="R142" s="436">
        <v>-0.95</v>
      </c>
      <c r="S142" s="436">
        <v>-0.9</v>
      </c>
      <c r="T142" s="435">
        <v>-0.85</v>
      </c>
      <c r="U142" s="436">
        <v>-0.8</v>
      </c>
      <c r="V142" s="436">
        <v>-0.75</v>
      </c>
      <c r="W142" s="435">
        <v>-0.7</v>
      </c>
      <c r="X142" s="436">
        <v>-0.65</v>
      </c>
      <c r="Y142" s="436">
        <v>-0.6</v>
      </c>
      <c r="Z142" s="435">
        <v>-0.55000000000000004</v>
      </c>
      <c r="AA142" s="436">
        <v>-0.5</v>
      </c>
      <c r="AB142" s="435">
        <v>-0.45</v>
      </c>
      <c r="AC142" s="436">
        <v>-0.4</v>
      </c>
      <c r="AD142" s="435">
        <v>-0.35</v>
      </c>
      <c r="AE142" s="436">
        <v>-0.3</v>
      </c>
      <c r="AF142" s="435">
        <v>-0.25</v>
      </c>
      <c r="AG142" s="436">
        <v>-0.2</v>
      </c>
      <c r="AH142" s="435">
        <v>-0.15</v>
      </c>
      <c r="AI142" s="436">
        <v>-0.1</v>
      </c>
      <c r="AJ142" s="435">
        <v>-0.05</v>
      </c>
      <c r="AK142" s="436">
        <v>0</v>
      </c>
      <c r="AL142" s="435">
        <v>0.05</v>
      </c>
      <c r="AM142" s="436">
        <v>0.1</v>
      </c>
      <c r="AN142" s="435">
        <v>0.15</v>
      </c>
      <c r="AO142" s="436">
        <v>0.2</v>
      </c>
      <c r="AP142" s="435">
        <v>0.25</v>
      </c>
      <c r="AQ142" s="436">
        <v>0.3</v>
      </c>
      <c r="AR142" s="435">
        <v>0.35</v>
      </c>
      <c r="AS142" s="436">
        <v>0.4</v>
      </c>
      <c r="AT142" s="435">
        <v>0.45</v>
      </c>
      <c r="AU142" s="436">
        <v>0.5</v>
      </c>
      <c r="AV142" s="435">
        <v>0.55000000000000004</v>
      </c>
      <c r="AW142" s="436">
        <v>0.6</v>
      </c>
      <c r="AX142" s="435">
        <v>0.65</v>
      </c>
      <c r="AY142" s="436">
        <v>0.7</v>
      </c>
      <c r="AZ142" s="435">
        <v>0.75</v>
      </c>
      <c r="BA142" s="436">
        <v>0.8</v>
      </c>
      <c r="BB142" s="435">
        <v>0.85</v>
      </c>
      <c r="BC142" s="436">
        <v>0.9</v>
      </c>
      <c r="BD142" s="435">
        <v>0.95</v>
      </c>
      <c r="BE142" s="436">
        <v>1</v>
      </c>
      <c r="BF142" s="435">
        <v>1.05</v>
      </c>
      <c r="BG142" s="436">
        <v>1.1000000000000001</v>
      </c>
      <c r="BH142" s="435">
        <v>1.1499999999999999</v>
      </c>
      <c r="BI142" s="436">
        <v>1.2</v>
      </c>
      <c r="BJ142" s="435">
        <v>1.25</v>
      </c>
      <c r="BK142" s="436">
        <v>1.3</v>
      </c>
      <c r="BL142" s="435">
        <v>1.35</v>
      </c>
      <c r="BM142" s="436">
        <v>1.4</v>
      </c>
      <c r="BN142" s="435">
        <v>1.45</v>
      </c>
      <c r="BO142" s="436">
        <v>1.5</v>
      </c>
      <c r="BP142" s="425"/>
    </row>
    <row r="143" spans="3:68" ht="42" customHeight="1" thickBot="1">
      <c r="C143" s="437" t="s">
        <v>163</v>
      </c>
      <c r="D143" s="438">
        <f>$D$9</f>
        <v>-1.25</v>
      </c>
      <c r="E143" s="439"/>
      <c r="F143" s="440">
        <f>$F$9</f>
        <v>4</v>
      </c>
      <c r="G143" s="448">
        <f>D143</f>
        <v>-1.25</v>
      </c>
      <c r="H143" s="447">
        <f>$G$143+($BO$143-$G$143)*1/(1+EXP(-($F$143*(H142-$E$141))))</f>
        <v>-1.2348752981171769</v>
      </c>
      <c r="I143" s="447">
        <f t="shared" ref="I143:BN143" si="146">$G$143+($BO$143-$G$143)*1/(1+EXP(-($F$143*(I142-$E$141))))</f>
        <v>-1.2315431289011878</v>
      </c>
      <c r="J143" s="447">
        <f t="shared" si="146"/>
        <v>-1.2274812655609677</v>
      </c>
      <c r="K143" s="447">
        <f t="shared" si="146"/>
        <v>-1.2225320748743285</v>
      </c>
      <c r="L143" s="447">
        <f t="shared" si="146"/>
        <v>-1.2165049203489355</v>
      </c>
      <c r="M143" s="447">
        <f t="shared" si="146"/>
        <v>-1.2091697621518345</v>
      </c>
      <c r="N143" s="447">
        <f t="shared" si="146"/>
        <v>-1.2002497651439306</v>
      </c>
      <c r="O143" s="447">
        <f t="shared" si="146"/>
        <v>-1.189412887873986</v>
      </c>
      <c r="P143" s="447">
        <f t="shared" si="146"/>
        <v>-1.1762625011125967</v>
      </c>
      <c r="Q143" s="447">
        <f t="shared" si="146"/>
        <v>-1.1603272074314537</v>
      </c>
      <c r="R143" s="447">
        <f t="shared" si="146"/>
        <v>-1.1410502218245535</v>
      </c>
      <c r="S143" s="447">
        <f t="shared" si="146"/>
        <v>-1.1177789490452117</v>
      </c>
      <c r="T143" s="447">
        <f t="shared" si="146"/>
        <v>-1.0897557786689571</v>
      </c>
      <c r="U143" s="447">
        <f t="shared" si="146"/>
        <v>-1.0561116316644967</v>
      </c>
      <c r="V143" s="447">
        <f t="shared" si="146"/>
        <v>-1.0158644349733195</v>
      </c>
      <c r="W143" s="447">
        <f t="shared" si="146"/>
        <v>-0.96792544287906368</v>
      </c>
      <c r="X143" s="447">
        <f t="shared" si="146"/>
        <v>-0.9111170766243224</v>
      </c>
      <c r="Y143" s="447">
        <f t="shared" si="146"/>
        <v>-0.84420653653518662</v>
      </c>
      <c r="Z143" s="447">
        <f t="shared" si="146"/>
        <v>-0.76595955230176416</v>
      </c>
      <c r="AA143" s="447">
        <f t="shared" si="146"/>
        <v>-0.67521784631350323</v>
      </c>
      <c r="AB143" s="447">
        <f t="shared" si="146"/>
        <v>-0.57100168109185789</v>
      </c>
      <c r="AC143" s="447">
        <f t="shared" si="146"/>
        <v>-0.45263480316083393</v>
      </c>
      <c r="AD143" s="447">
        <f t="shared" si="146"/>
        <v>-0.31988308889943162</v>
      </c>
      <c r="AE143" s="447">
        <f t="shared" si="146"/>
        <v>-0.17309087414104374</v>
      </c>
      <c r="AF143" s="447">
        <f t="shared" si="146"/>
        <v>-1.329198268404852E-2</v>
      </c>
      <c r="AG143" s="447">
        <f t="shared" si="146"/>
        <v>0.15773145124365739</v>
      </c>
      <c r="AH143" s="447">
        <f t="shared" si="146"/>
        <v>0.33746712773090537</v>
      </c>
      <c r="AI143" s="447">
        <f t="shared" si="146"/>
        <v>0.52278230469254194</v>
      </c>
      <c r="AJ143" s="447">
        <f t="shared" si="146"/>
        <v>0.71012230758996964</v>
      </c>
      <c r="AK143" s="447">
        <f t="shared" si="146"/>
        <v>0.89577460097366668</v>
      </c>
      <c r="AL143" s="447">
        <f t="shared" si="146"/>
        <v>1.076158402825615</v>
      </c>
      <c r="AM143" s="447">
        <f t="shared" si="146"/>
        <v>1.2480929431617964</v>
      </c>
      <c r="AN143" s="447">
        <f t="shared" si="146"/>
        <v>1.4090032324204911</v>
      </c>
      <c r="AO143" s="447">
        <f t="shared" si="146"/>
        <v>1.5570383210997312</v>
      </c>
      <c r="AP143" s="447">
        <f t="shared" si="146"/>
        <v>1.6910974267337462</v>
      </c>
      <c r="AQ143" s="447">
        <f t="shared" si="146"/>
        <v>1.8107772113560472</v>
      </c>
      <c r="AR143" s="447">
        <f t="shared" si="146"/>
        <v>1.916264387768821</v>
      </c>
      <c r="AS143" s="447">
        <f t="shared" si="146"/>
        <v>2.0082006576267091</v>
      </c>
      <c r="AT143" s="447">
        <f t="shared" si="146"/>
        <v>2.0875434975069482</v>
      </c>
      <c r="AU143" s="447">
        <f t="shared" si="146"/>
        <v>2.1554394970582096</v>
      </c>
      <c r="AV143" s="447">
        <f t="shared" si="146"/>
        <v>2.2131195755475495</v>
      </c>
      <c r="AW143" s="447">
        <f t="shared" si="146"/>
        <v>2.261819235737057</v>
      </c>
      <c r="AX143" s="447">
        <f t="shared" si="146"/>
        <v>2.3027227730417072</v>
      </c>
      <c r="AY143" s="447">
        <f t="shared" si="146"/>
        <v>2.3369280000146984</v>
      </c>
      <c r="AZ143" s="447">
        <f t="shared" si="146"/>
        <v>2.3654271479129965</v>
      </c>
      <c r="BA143" s="447">
        <f t="shared" si="146"/>
        <v>2.3890996557130779</v>
      </c>
      <c r="BB143" s="447">
        <f t="shared" si="146"/>
        <v>2.4087131111875211</v>
      </c>
      <c r="BC143" s="447">
        <f t="shared" si="146"/>
        <v>2.4249293549313911</v>
      </c>
      <c r="BD143" s="447">
        <f t="shared" si="146"/>
        <v>2.4383135062921153</v>
      </c>
      <c r="BE143" s="447">
        <f t="shared" si="146"/>
        <v>2.4493443239134081</v>
      </c>
      <c r="BF143" s="447">
        <f t="shared" si="146"/>
        <v>2.4584248384949223</v>
      </c>
      <c r="BG143" s="447">
        <f t="shared" si="146"/>
        <v>2.4658925917516195</v>
      </c>
      <c r="BH143" s="447">
        <f t="shared" si="146"/>
        <v>2.4720291003429113</v>
      </c>
      <c r="BI143" s="447">
        <f t="shared" si="146"/>
        <v>2.4770683590670646</v>
      </c>
      <c r="BJ143" s="447">
        <f t="shared" si="146"/>
        <v>2.4812043257142027</v>
      </c>
      <c r="BK143" s="447">
        <f t="shared" si="146"/>
        <v>2.4845974093511196</v>
      </c>
      <c r="BL143" s="447">
        <f t="shared" si="146"/>
        <v>2.4873800293159798</v>
      </c>
      <c r="BM143" s="447">
        <f t="shared" si="146"/>
        <v>2.4896613350020154</v>
      </c>
      <c r="BN143" s="447">
        <f t="shared" si="146"/>
        <v>2.4915311846858459</v>
      </c>
      <c r="BO143" s="300">
        <f>F141</f>
        <v>2.5</v>
      </c>
      <c r="BP143" s="223"/>
    </row>
    <row r="144" spans="3:68" ht="42" customHeight="1" thickBot="1">
      <c r="C144" s="428"/>
      <c r="D144" s="428"/>
      <c r="E144" s="443">
        <v>1.5</v>
      </c>
      <c r="F144" s="444">
        <f>F141</f>
        <v>2.5</v>
      </c>
      <c r="G144" s="450">
        <f>(G$143+$F144)/2</f>
        <v>0.625</v>
      </c>
      <c r="H144" s="451">
        <f>MAX((H$143+$F144)/2,G143)</f>
        <v>0.63256235094141156</v>
      </c>
      <c r="I144" s="452">
        <f>MAX((I$143+$F144)/2,H143)</f>
        <v>0.63422843554940611</v>
      </c>
      <c r="J144" s="454">
        <f t="shared" ref="J144:BO144" si="147">MAX((J$143+$F144)/2,I143)</f>
        <v>0.63625936721951615</v>
      </c>
      <c r="K144" s="454">
        <f t="shared" si="147"/>
        <v>0.63873396256283577</v>
      </c>
      <c r="L144" s="454">
        <f t="shared" si="147"/>
        <v>0.64174753982553223</v>
      </c>
      <c r="M144" s="454">
        <f t="shared" si="147"/>
        <v>0.64541511892408276</v>
      </c>
      <c r="N144" s="454">
        <f t="shared" si="147"/>
        <v>0.64987511742803472</v>
      </c>
      <c r="O144" s="454">
        <f t="shared" si="147"/>
        <v>0.65529355606300699</v>
      </c>
      <c r="P144" s="454">
        <f t="shared" si="147"/>
        <v>0.66186874944370166</v>
      </c>
      <c r="Q144" s="454">
        <f t="shared" si="147"/>
        <v>0.66983639628427316</v>
      </c>
      <c r="R144" s="454">
        <f t="shared" si="147"/>
        <v>0.67947488908772324</v>
      </c>
      <c r="S144" s="454">
        <f t="shared" si="147"/>
        <v>0.69111052547739416</v>
      </c>
      <c r="T144" s="454">
        <f t="shared" si="147"/>
        <v>0.70512211066552144</v>
      </c>
      <c r="U144" s="454">
        <f t="shared" si="147"/>
        <v>0.72194418416775163</v>
      </c>
      <c r="V144" s="454">
        <f t="shared" si="147"/>
        <v>0.74206778251334027</v>
      </c>
      <c r="W144" s="454">
        <f t="shared" si="147"/>
        <v>0.7660372785604681</v>
      </c>
      <c r="X144" s="454">
        <f t="shared" si="147"/>
        <v>0.7944414616878388</v>
      </c>
      <c r="Y144" s="454">
        <f t="shared" si="147"/>
        <v>0.82789673173240663</v>
      </c>
      <c r="Z144" s="454">
        <f t="shared" si="147"/>
        <v>0.86702022384911792</v>
      </c>
      <c r="AA144" s="454">
        <f t="shared" si="147"/>
        <v>0.91239107684324838</v>
      </c>
      <c r="AB144" s="454">
        <f t="shared" si="147"/>
        <v>0.96449915945407105</v>
      </c>
      <c r="AC144" s="454">
        <f t="shared" si="147"/>
        <v>1.023682598419583</v>
      </c>
      <c r="AD144" s="454">
        <f t="shared" si="147"/>
        <v>1.0900584555502841</v>
      </c>
      <c r="AE144" s="454">
        <f t="shared" si="147"/>
        <v>1.1634545629294781</v>
      </c>
      <c r="AF144" s="454">
        <f t="shared" si="147"/>
        <v>1.2433540086579757</v>
      </c>
      <c r="AG144" s="454">
        <f t="shared" si="147"/>
        <v>1.3288657256218288</v>
      </c>
      <c r="AH144" s="454">
        <f t="shared" si="147"/>
        <v>1.4187335638654526</v>
      </c>
      <c r="AI144" s="454">
        <f t="shared" si="147"/>
        <v>1.5113911523462709</v>
      </c>
      <c r="AJ144" s="454">
        <f t="shared" si="147"/>
        <v>1.6050611537949848</v>
      </c>
      <c r="AK144" s="454">
        <f t="shared" si="147"/>
        <v>1.6978873004868333</v>
      </c>
      <c r="AL144" s="454">
        <f t="shared" si="147"/>
        <v>1.7880792014128075</v>
      </c>
      <c r="AM144" s="454">
        <f t="shared" si="147"/>
        <v>1.8740464715808982</v>
      </c>
      <c r="AN144" s="454">
        <f t="shared" si="147"/>
        <v>1.9545016162102455</v>
      </c>
      <c r="AO144" s="454">
        <f t="shared" si="147"/>
        <v>2.0285191605498656</v>
      </c>
      <c r="AP144" s="454">
        <f t="shared" si="147"/>
        <v>2.0955487133668731</v>
      </c>
      <c r="AQ144" s="454">
        <f t="shared" si="147"/>
        <v>2.1553886056780236</v>
      </c>
      <c r="AR144" s="454">
        <f t="shared" si="147"/>
        <v>2.2081321938844107</v>
      </c>
      <c r="AS144" s="454">
        <f t="shared" si="147"/>
        <v>2.2541003288133545</v>
      </c>
      <c r="AT144" s="454">
        <f t="shared" si="147"/>
        <v>2.2937717487534739</v>
      </c>
      <c r="AU144" s="454">
        <f t="shared" si="147"/>
        <v>2.3277197485291046</v>
      </c>
      <c r="AV144" s="454">
        <f t="shared" si="147"/>
        <v>2.3565597877737749</v>
      </c>
      <c r="AW144" s="454">
        <f t="shared" si="147"/>
        <v>2.3809096178685287</v>
      </c>
      <c r="AX144" s="454">
        <f t="shared" si="147"/>
        <v>2.4013613865208536</v>
      </c>
      <c r="AY144" s="454">
        <f t="shared" si="147"/>
        <v>2.418464000007349</v>
      </c>
      <c r="AZ144" s="454">
        <f t="shared" si="147"/>
        <v>2.432713573956498</v>
      </c>
      <c r="BA144" s="454">
        <f t="shared" si="147"/>
        <v>2.4445498278565392</v>
      </c>
      <c r="BB144" s="454">
        <f t="shared" si="147"/>
        <v>2.4543565555937605</v>
      </c>
      <c r="BC144" s="454">
        <f t="shared" si="147"/>
        <v>2.4624646774656958</v>
      </c>
      <c r="BD144" s="454">
        <f t="shared" si="147"/>
        <v>2.4691567531460574</v>
      </c>
      <c r="BE144" s="454">
        <f t="shared" si="147"/>
        <v>2.474672161956704</v>
      </c>
      <c r="BF144" s="454">
        <f t="shared" si="147"/>
        <v>2.4792124192474612</v>
      </c>
      <c r="BG144" s="454">
        <f t="shared" si="147"/>
        <v>2.4829462958758097</v>
      </c>
      <c r="BH144" s="454">
        <f t="shared" si="147"/>
        <v>2.4860145501714559</v>
      </c>
      <c r="BI144" s="454">
        <f t="shared" si="147"/>
        <v>2.4885341795335325</v>
      </c>
      <c r="BJ144" s="454">
        <f t="shared" si="147"/>
        <v>2.4906021628571011</v>
      </c>
      <c r="BK144" s="454">
        <f t="shared" si="147"/>
        <v>2.4922987046755596</v>
      </c>
      <c r="BL144" s="454">
        <f t="shared" si="147"/>
        <v>2.4936900146579899</v>
      </c>
      <c r="BM144" s="454">
        <f t="shared" si="147"/>
        <v>2.4948306675010077</v>
      </c>
      <c r="BN144" s="454">
        <f t="shared" si="147"/>
        <v>2.4957655923429227</v>
      </c>
      <c r="BO144" s="452">
        <f t="shared" si="147"/>
        <v>2.5</v>
      </c>
      <c r="BP144" s="223"/>
    </row>
    <row r="145" spans="3:68" ht="42" customHeight="1" thickBot="1">
      <c r="C145" s="423"/>
      <c r="D145" s="428"/>
      <c r="E145" s="445">
        <v>1.45</v>
      </c>
      <c r="F145" s="444">
        <f t="shared" ref="F145:F173" si="148">$F$144-($F$144-$F$204)*1/(1+EXP(-($F$143*(-E145+$D$142))))</f>
        <v>2.4825495292741584</v>
      </c>
      <c r="G145" s="449">
        <f>MIN((G$143+$F145)/2,F144)</f>
        <v>0.6162747646370792</v>
      </c>
      <c r="H145" s="302">
        <f t="shared" ref="H145:AM145" si="149">_xlfn.IFS(($E145-$D$142)&lt;-(H$142-$E$141),MIN((H$143+$F145)/2,G144),($E145-$D$8)&gt;-(H$142-$E$141),MAX((H$143+$F145)/2,G144),TRUE,(H$143+$F145)/2)</f>
        <v>0.62383711557849075</v>
      </c>
      <c r="I145" s="452">
        <f t="shared" si="149"/>
        <v>0.63256235094141156</v>
      </c>
      <c r="J145" s="454">
        <f t="shared" si="149"/>
        <v>0.63422843554940611</v>
      </c>
      <c r="K145" s="454">
        <f t="shared" si="149"/>
        <v>0.63625936721951615</v>
      </c>
      <c r="L145" s="454">
        <f t="shared" si="149"/>
        <v>0.63873396256283577</v>
      </c>
      <c r="M145" s="454">
        <f t="shared" si="149"/>
        <v>0.64174753982553223</v>
      </c>
      <c r="N145" s="454">
        <f t="shared" si="149"/>
        <v>0.64541511892408276</v>
      </c>
      <c r="O145" s="454">
        <f t="shared" si="149"/>
        <v>0.64987511742803472</v>
      </c>
      <c r="P145" s="454">
        <f t="shared" si="149"/>
        <v>0.65529355606300699</v>
      </c>
      <c r="Q145" s="454">
        <f t="shared" si="149"/>
        <v>0.66186874944370166</v>
      </c>
      <c r="R145" s="454">
        <f t="shared" si="149"/>
        <v>0.67074965372480244</v>
      </c>
      <c r="S145" s="454">
        <f t="shared" si="149"/>
        <v>0.68238529011447335</v>
      </c>
      <c r="T145" s="454">
        <f t="shared" si="149"/>
        <v>0.69639687530260064</v>
      </c>
      <c r="U145" s="454">
        <f t="shared" si="149"/>
        <v>0.71321894880483083</v>
      </c>
      <c r="V145" s="454">
        <f t="shared" si="149"/>
        <v>0.73334254715041947</v>
      </c>
      <c r="W145" s="454">
        <f t="shared" si="149"/>
        <v>0.7573120431975473</v>
      </c>
      <c r="X145" s="454">
        <f t="shared" si="149"/>
        <v>0.785716226324918</v>
      </c>
      <c r="Y145" s="454">
        <f t="shared" si="149"/>
        <v>0.81917149636948583</v>
      </c>
      <c r="Z145" s="454">
        <f t="shared" si="149"/>
        <v>0.85829498848619712</v>
      </c>
      <c r="AA145" s="454">
        <f t="shared" si="149"/>
        <v>0.90366584148032758</v>
      </c>
      <c r="AB145" s="454">
        <f t="shared" si="149"/>
        <v>0.95577392409115025</v>
      </c>
      <c r="AC145" s="454">
        <f t="shared" si="149"/>
        <v>1.0149573630566622</v>
      </c>
      <c r="AD145" s="454">
        <f t="shared" si="149"/>
        <v>1.0813332201873633</v>
      </c>
      <c r="AE145" s="454">
        <f t="shared" si="149"/>
        <v>1.1547293275665573</v>
      </c>
      <c r="AF145" s="454">
        <f t="shared" si="149"/>
        <v>1.2346287732950549</v>
      </c>
      <c r="AG145" s="454">
        <f t="shared" si="149"/>
        <v>1.320140490258908</v>
      </c>
      <c r="AH145" s="454">
        <f t="shared" si="149"/>
        <v>1.4100083285025318</v>
      </c>
      <c r="AI145" s="454">
        <f t="shared" si="149"/>
        <v>1.5026659169833501</v>
      </c>
      <c r="AJ145" s="454">
        <f t="shared" si="149"/>
        <v>1.596335918432064</v>
      </c>
      <c r="AK145" s="454">
        <f t="shared" si="149"/>
        <v>1.6891620651239125</v>
      </c>
      <c r="AL145" s="454">
        <f t="shared" si="149"/>
        <v>1.7793539660498867</v>
      </c>
      <c r="AM145" s="454">
        <f t="shared" si="149"/>
        <v>1.8653212362179774</v>
      </c>
      <c r="AN145" s="454">
        <f t="shared" ref="AN145:BO145" si="150">_xlfn.IFS(($E145-$D$142)&lt;-(AN$142-$E$141),MIN((AN$143+$F145)/2,AM144),($E145-$D$8)&gt;-(AN$142-$E$141),MAX((AN$143+$F145)/2,AM144),TRUE,(AN$143+$F145)/2)</f>
        <v>1.9457763808473247</v>
      </c>
      <c r="AO145" s="454">
        <f t="shared" si="150"/>
        <v>2.0197939251869448</v>
      </c>
      <c r="AP145" s="454">
        <f t="shared" si="150"/>
        <v>2.0868234780039523</v>
      </c>
      <c r="AQ145" s="454">
        <f t="shared" si="150"/>
        <v>2.1466633703151028</v>
      </c>
      <c r="AR145" s="454">
        <f t="shared" si="150"/>
        <v>2.1994069585214895</v>
      </c>
      <c r="AS145" s="454">
        <f t="shared" si="150"/>
        <v>2.2453750934504337</v>
      </c>
      <c r="AT145" s="454">
        <f t="shared" si="150"/>
        <v>2.2850465133905535</v>
      </c>
      <c r="AU145" s="454">
        <f t="shared" si="150"/>
        <v>2.3189945131661842</v>
      </c>
      <c r="AV145" s="454">
        <f t="shared" si="150"/>
        <v>2.3478345524108537</v>
      </c>
      <c r="AW145" s="454">
        <f t="shared" si="150"/>
        <v>2.3721843825056075</v>
      </c>
      <c r="AX145" s="454">
        <f t="shared" si="150"/>
        <v>2.3926361511579328</v>
      </c>
      <c r="AY145" s="454">
        <f t="shared" si="150"/>
        <v>2.4097387646444286</v>
      </c>
      <c r="AZ145" s="454">
        <f t="shared" si="150"/>
        <v>2.4239883385935777</v>
      </c>
      <c r="BA145" s="454">
        <f t="shared" si="150"/>
        <v>2.4358245924936179</v>
      </c>
      <c r="BB145" s="454">
        <f t="shared" si="150"/>
        <v>2.4456313202308397</v>
      </c>
      <c r="BC145" s="454">
        <f t="shared" si="150"/>
        <v>2.4543565555937605</v>
      </c>
      <c r="BD145" s="454">
        <f t="shared" si="150"/>
        <v>2.4624646774656958</v>
      </c>
      <c r="BE145" s="454">
        <f t="shared" si="150"/>
        <v>2.4691567531460574</v>
      </c>
      <c r="BF145" s="454">
        <f t="shared" si="150"/>
        <v>2.474672161956704</v>
      </c>
      <c r="BG145" s="454">
        <f t="shared" si="150"/>
        <v>2.4792124192474612</v>
      </c>
      <c r="BH145" s="454">
        <f t="shared" si="150"/>
        <v>2.4829462958758097</v>
      </c>
      <c r="BI145" s="454">
        <f t="shared" si="150"/>
        <v>2.4860145501714559</v>
      </c>
      <c r="BJ145" s="454">
        <f t="shared" si="150"/>
        <v>2.4885341795335325</v>
      </c>
      <c r="BK145" s="454">
        <f t="shared" si="150"/>
        <v>2.4906021628571011</v>
      </c>
      <c r="BL145" s="454">
        <f t="shared" si="150"/>
        <v>2.4922987046755596</v>
      </c>
      <c r="BM145" s="454">
        <f t="shared" si="150"/>
        <v>2.4936900146579899</v>
      </c>
      <c r="BN145" s="454">
        <f t="shared" si="150"/>
        <v>2.4948306675010077</v>
      </c>
      <c r="BO145" s="452">
        <f t="shared" si="150"/>
        <v>2.4957655923429227</v>
      </c>
      <c r="BP145" s="223"/>
    </row>
    <row r="146" spans="3:68" ht="42" customHeight="1" thickBot="1">
      <c r="C146" s="423"/>
      <c r="D146" s="428"/>
      <c r="E146" s="443">
        <v>1.4</v>
      </c>
      <c r="F146" s="444">
        <f t="shared" si="148"/>
        <v>2.478707883949268</v>
      </c>
      <c r="G146" s="453">
        <f t="shared" ref="G146:G204" si="151">MIN((G$143+$F146)/2,F145)</f>
        <v>0.614353941974634</v>
      </c>
      <c r="H146" s="453">
        <f t="shared" ref="H146:H177" si="152">_xlfn.IFS(($E1146-$D$142)&lt;-(H$142-$E$141),MIN((H$143+$F146)/2,G145),($E146-$D$8)&gt;-(H$142-$E$141),MAX((H$143+$F146)/2,G145),TRUE,(H$143+$F146)/2)</f>
        <v>0.6162747646370792</v>
      </c>
      <c r="I146" s="306">
        <f>_xlfn.IFS(($E146-$D$142)&lt;-(I$142-$E$141),MIN((I$143+$F146)/2,G145),($E146-$D$142)&gt;-(I$142-$E$141),MAX((I$143+$F146)/2,H144),TRUE,(I$143+$F146)/2)</f>
        <v>0.6162747646370792</v>
      </c>
      <c r="J146" s="302">
        <f t="shared" ref="J146:BO146" si="153">_xlfn.IFS(($E146-$D$142)&lt;-(J$142-$E$141),MIN((J$143+$F146)/2,H145),($E146-$D$142)&gt;-(J$142-$E$141),MAX((J$143+$F146)/2,I144),TRUE,(J$143+$F146)/2)</f>
        <v>0.63422843554940611</v>
      </c>
      <c r="K146" s="302">
        <f t="shared" si="153"/>
        <v>0.63625936721951615</v>
      </c>
      <c r="L146" s="302">
        <f t="shared" si="153"/>
        <v>0.63873396256283577</v>
      </c>
      <c r="M146" s="302">
        <f t="shared" si="153"/>
        <v>0.64174753982553223</v>
      </c>
      <c r="N146" s="302">
        <f t="shared" si="153"/>
        <v>0.64541511892408276</v>
      </c>
      <c r="O146" s="302">
        <f t="shared" si="153"/>
        <v>0.64987511742803472</v>
      </c>
      <c r="P146" s="302">
        <f t="shared" si="153"/>
        <v>0.65529355606300699</v>
      </c>
      <c r="Q146" s="302">
        <f t="shared" si="153"/>
        <v>0.66186874944370166</v>
      </c>
      <c r="R146" s="302">
        <f t="shared" si="153"/>
        <v>0.66983639628427316</v>
      </c>
      <c r="S146" s="302">
        <f t="shared" si="153"/>
        <v>0.68046446745202815</v>
      </c>
      <c r="T146" s="302">
        <f t="shared" si="153"/>
        <v>0.69447605264015544</v>
      </c>
      <c r="U146" s="302">
        <f t="shared" si="153"/>
        <v>0.71129812614238563</v>
      </c>
      <c r="V146" s="302">
        <f t="shared" si="153"/>
        <v>0.73142172448797427</v>
      </c>
      <c r="W146" s="302">
        <f t="shared" si="153"/>
        <v>0.7553912205351021</v>
      </c>
      <c r="X146" s="302">
        <f t="shared" si="153"/>
        <v>0.7837954036624728</v>
      </c>
      <c r="Y146" s="302">
        <f t="shared" si="153"/>
        <v>0.81725067370704063</v>
      </c>
      <c r="Z146" s="302">
        <f t="shared" si="153"/>
        <v>0.85637416582375192</v>
      </c>
      <c r="AA146" s="302">
        <f t="shared" si="153"/>
        <v>0.90174501881788238</v>
      </c>
      <c r="AB146" s="302">
        <f t="shared" si="153"/>
        <v>0.95385310142870505</v>
      </c>
      <c r="AC146" s="302">
        <f t="shared" si="153"/>
        <v>1.013036540394217</v>
      </c>
      <c r="AD146" s="302">
        <f t="shared" si="153"/>
        <v>1.0794123975249181</v>
      </c>
      <c r="AE146" s="302">
        <f t="shared" si="153"/>
        <v>1.1528085049041121</v>
      </c>
      <c r="AF146" s="302">
        <f t="shared" si="153"/>
        <v>1.2327079506326097</v>
      </c>
      <c r="AG146" s="302">
        <f t="shared" si="153"/>
        <v>1.3182196675964626</v>
      </c>
      <c r="AH146" s="302">
        <f t="shared" si="153"/>
        <v>1.4080875058400868</v>
      </c>
      <c r="AI146" s="302">
        <f t="shared" si="153"/>
        <v>1.5007450943209051</v>
      </c>
      <c r="AJ146" s="302">
        <f t="shared" si="153"/>
        <v>1.5944150957696188</v>
      </c>
      <c r="AK146" s="302">
        <f t="shared" si="153"/>
        <v>1.6872412424614673</v>
      </c>
      <c r="AL146" s="302">
        <f t="shared" si="153"/>
        <v>1.7774331433874415</v>
      </c>
      <c r="AM146" s="302">
        <f t="shared" si="153"/>
        <v>1.8634004135555322</v>
      </c>
      <c r="AN146" s="302">
        <f t="shared" si="153"/>
        <v>1.9438555581848795</v>
      </c>
      <c r="AO146" s="302">
        <f t="shared" si="153"/>
        <v>2.0178731025244998</v>
      </c>
      <c r="AP146" s="302">
        <f t="shared" si="153"/>
        <v>2.0849026553415069</v>
      </c>
      <c r="AQ146" s="302">
        <f t="shared" si="153"/>
        <v>2.1447425476526574</v>
      </c>
      <c r="AR146" s="302">
        <f t="shared" si="153"/>
        <v>2.1974861358590445</v>
      </c>
      <c r="AS146" s="302">
        <f t="shared" si="153"/>
        <v>2.2434542707879883</v>
      </c>
      <c r="AT146" s="302">
        <f t="shared" si="153"/>
        <v>2.2831256907281081</v>
      </c>
      <c r="AU146" s="302">
        <f t="shared" si="153"/>
        <v>2.3170736905037388</v>
      </c>
      <c r="AV146" s="302">
        <f t="shared" si="153"/>
        <v>2.3459137297484087</v>
      </c>
      <c r="AW146" s="302">
        <f t="shared" si="153"/>
        <v>2.3702635598431625</v>
      </c>
      <c r="AX146" s="302">
        <f t="shared" si="153"/>
        <v>2.3907153284954878</v>
      </c>
      <c r="AY146" s="302">
        <f t="shared" si="153"/>
        <v>2.4078179419819832</v>
      </c>
      <c r="AZ146" s="302">
        <f t="shared" si="153"/>
        <v>2.4220675159311322</v>
      </c>
      <c r="BA146" s="302">
        <f t="shared" si="153"/>
        <v>2.433903769831173</v>
      </c>
      <c r="BB146" s="302">
        <f t="shared" si="153"/>
        <v>2.4445498278565392</v>
      </c>
      <c r="BC146" s="302">
        <f t="shared" si="153"/>
        <v>2.4543565555937605</v>
      </c>
      <c r="BD146" s="302">
        <f t="shared" si="153"/>
        <v>2.4624646774656958</v>
      </c>
      <c r="BE146" s="302">
        <f t="shared" si="153"/>
        <v>2.4691567531460574</v>
      </c>
      <c r="BF146" s="302">
        <f t="shared" si="153"/>
        <v>2.474672161956704</v>
      </c>
      <c r="BG146" s="302">
        <f t="shared" si="153"/>
        <v>2.4792124192474612</v>
      </c>
      <c r="BH146" s="302">
        <f t="shared" si="153"/>
        <v>2.4829462958758097</v>
      </c>
      <c r="BI146" s="302">
        <f t="shared" si="153"/>
        <v>2.4860145501714559</v>
      </c>
      <c r="BJ146" s="302">
        <f t="shared" si="153"/>
        <v>2.4885341795335325</v>
      </c>
      <c r="BK146" s="302">
        <f t="shared" si="153"/>
        <v>2.4906021628571011</v>
      </c>
      <c r="BL146" s="302">
        <f t="shared" si="153"/>
        <v>2.4922987046755596</v>
      </c>
      <c r="BM146" s="302">
        <f t="shared" si="153"/>
        <v>2.4936900146579899</v>
      </c>
      <c r="BN146" s="302">
        <f t="shared" si="153"/>
        <v>2.4948306675010077</v>
      </c>
      <c r="BO146" s="303">
        <f t="shared" si="153"/>
        <v>2.4957655923429227</v>
      </c>
      <c r="BP146" s="223"/>
    </row>
    <row r="147" spans="3:68" ht="42" customHeight="1">
      <c r="C147" s="423"/>
      <c r="D147" s="428"/>
      <c r="E147" s="445">
        <v>1.35</v>
      </c>
      <c r="F147" s="444">
        <f t="shared" si="148"/>
        <v>2.4740264021953089</v>
      </c>
      <c r="G147" s="449">
        <f t="shared" si="151"/>
        <v>0.61201320109765445</v>
      </c>
      <c r="H147" s="449">
        <f t="shared" si="152"/>
        <v>0.614353941974634</v>
      </c>
      <c r="I147" s="302">
        <f t="shared" ref="I147:I204" si="154">_xlfn.IFS(($E147-$D$142)&lt;-(I$142-$E$141),MIN((I$143+$F147)/2,G146),($E147-$D$142)&gt;-(I$142-$E$141),MAX((I$143+$F147)/2,H145),TRUE,(I$143+$F147)/2)</f>
        <v>0.614353941974634</v>
      </c>
      <c r="J147" s="302">
        <f t="shared" ref="J147:J204" si="155">_xlfn.IFS(($E147-$D$142)&lt;-(J$142-$E$141),MIN((J$143+$F147)/2,H146),($E147-$D$142)&gt;-(J$142-$E$141),MAX((J$143+$F147)/2,I145),TRUE,(J$143+$F147)/2)</f>
        <v>0.6162747646370792</v>
      </c>
      <c r="K147" s="302">
        <f t="shared" ref="K147:K204" si="156">_xlfn.IFS(($E147-$D$142)&lt;-(K$142-$E$141),MIN((K$143+$F147)/2,I146),($E147-$D$142)&gt;-(K$142-$E$141),MAX((K$143+$F147)/2,J145),TRUE,(K$143+$F147)/2)</f>
        <v>0.63422843554940611</v>
      </c>
      <c r="L147" s="302">
        <f t="shared" ref="L147:L204" si="157">_xlfn.IFS(($E147-$D$142)&lt;-(L$142-$E$141),MIN((L$143+$F147)/2,J146),($E147-$D$142)&gt;-(L$142-$E$141),MAX((L$143+$F147)/2,K145),TRUE,(L$143+$F147)/2)</f>
        <v>0.63625936721951615</v>
      </c>
      <c r="M147" s="302">
        <f t="shared" ref="M147:M204" si="158">_xlfn.IFS(($E147-$D$142)&lt;-(M$142-$E$141),MIN((M$143+$F147)/2,K146),($E147-$D$142)&gt;-(M$142-$E$141),MAX((M$143+$F147)/2,L145),TRUE,(M$143+$F147)/2)</f>
        <v>0.63873396256283577</v>
      </c>
      <c r="N147" s="302">
        <f t="shared" ref="N147:N204" si="159">_xlfn.IFS(($E147-$D$142)&lt;-(N$142-$E$141),MIN((N$143+$F147)/2,L146),($E147-$D$142)&gt;-(N$142-$E$141),MAX((N$143+$F147)/2,M145),TRUE,(N$143+$F147)/2)</f>
        <v>0.64174753982553223</v>
      </c>
      <c r="O147" s="302">
        <f t="shared" ref="O147:O204" si="160">_xlfn.IFS(($E147-$D$142)&lt;-(O$142-$E$141),MIN((O$143+$F147)/2,M146),($E147-$D$142)&gt;-(O$142-$E$141),MAX((O$143+$F147)/2,N145),TRUE,(O$143+$F147)/2)</f>
        <v>0.64541511892408276</v>
      </c>
      <c r="P147" s="302">
        <f t="shared" ref="P147:P204" si="161">_xlfn.IFS(($E147-$D$142)&lt;-(P$142-$E$141),MIN((P$143+$F147)/2,N146),($E147-$D$142)&gt;-(P$142-$E$141),MAX((P$143+$F147)/2,O145),TRUE,(P$143+$F147)/2)</f>
        <v>0.64987511742803472</v>
      </c>
      <c r="Q147" s="302">
        <f t="shared" ref="Q147:Q204" si="162">_xlfn.IFS(($E147-$D$142)&lt;-(Q$142-$E$141),MIN((Q$143+$F147)/2,O146),($E147-$D$142)&gt;-(Q$142-$E$141),MAX((Q$143+$F147)/2,P145),TRUE,(Q$143+$F147)/2)</f>
        <v>0.65684959738192761</v>
      </c>
      <c r="R147" s="302">
        <f t="shared" ref="R147:R204" si="163">_xlfn.IFS(($E147-$D$142)&lt;-(R$142-$E$141),MIN((R$143+$F147)/2,P146),($E147-$D$142)&gt;-(R$142-$E$141),MAX((R$143+$F147)/2,Q145),TRUE,(R$143+$F147)/2)</f>
        <v>0.66648809018537769</v>
      </c>
      <c r="S147" s="302">
        <f t="shared" ref="S147:S204" si="164">_xlfn.IFS(($E147-$D$142)&lt;-(S$142-$E$141),MIN((S$143+$F147)/2,Q146),($E147-$D$142)&gt;-(S$142-$E$141),MAX((S$143+$F147)/2,R145),TRUE,(S$143+$F147)/2)</f>
        <v>0.6781237265750486</v>
      </c>
      <c r="T147" s="302">
        <f t="shared" ref="T147:T204" si="165">_xlfn.IFS(($E147-$D$142)&lt;-(T$142-$E$141),MIN((T$143+$F147)/2,R146),($E147-$D$142)&gt;-(T$142-$E$141),MAX((T$143+$F147)/2,S145),TRUE,(T$143+$F147)/2)</f>
        <v>0.69213531176317589</v>
      </c>
      <c r="U147" s="302">
        <f t="shared" ref="U147:U204" si="166">_xlfn.IFS(($E147-$D$142)&lt;-(U$142-$E$141),MIN((U$143+$F147)/2,S146),($E147-$D$142)&gt;-(U$142-$E$141),MAX((U$143+$F147)/2,T145),TRUE,(U$143+$F147)/2)</f>
        <v>0.70895738526540608</v>
      </c>
      <c r="V147" s="302">
        <f t="shared" ref="V147:V204" si="167">_xlfn.IFS(($E147-$D$142)&lt;-(V$142-$E$141),MIN((V$143+$F147)/2,T146),($E147-$D$142)&gt;-(V$142-$E$141),MAX((V$143+$F147)/2,U145),TRUE,(V$143+$F147)/2)</f>
        <v>0.72908098361099472</v>
      </c>
      <c r="W147" s="302">
        <f t="shared" ref="W147:W204" si="168">_xlfn.IFS(($E147-$D$142)&lt;-(W$142-$E$141),MIN((W$143+$F147)/2,U146),($E147-$D$142)&gt;-(W$142-$E$141),MAX((W$143+$F147)/2,V145),TRUE,(W$143+$F147)/2)</f>
        <v>0.75305047965812255</v>
      </c>
      <c r="X147" s="302">
        <f t="shared" ref="X147:X204" si="169">_xlfn.IFS(($E147-$D$142)&lt;-(X$142-$E$141),MIN((X$143+$F147)/2,V146),($E147-$D$142)&gt;-(X$142-$E$141),MAX((X$143+$F147)/2,W145),TRUE,(X$143+$F147)/2)</f>
        <v>0.78145466278549325</v>
      </c>
      <c r="Y147" s="302">
        <f t="shared" ref="Y147:Y204" si="170">_xlfn.IFS(($E147-$D$142)&lt;-(Y$142-$E$141),MIN((Y$143+$F147)/2,W146),($E147-$D$142)&gt;-(Y$142-$E$141),MAX((Y$143+$F147)/2,X145),TRUE,(Y$143+$F147)/2)</f>
        <v>0.81490993283006108</v>
      </c>
      <c r="Z147" s="302">
        <f t="shared" ref="Z147:Z204" si="171">_xlfn.IFS(($E147-$D$142)&lt;-(Z$142-$E$141),MIN((Z$143+$F147)/2,X146),($E147-$D$142)&gt;-(Z$142-$E$141),MAX((Z$143+$F147)/2,Y145),TRUE,(Z$143+$F147)/2)</f>
        <v>0.85403342494677237</v>
      </c>
      <c r="AA147" s="302">
        <f t="shared" ref="AA147:AA204" si="172">_xlfn.IFS(($E147-$D$142)&lt;-(AA$142-$E$141),MIN((AA$143+$F147)/2,Y146),($E147-$D$142)&gt;-(AA$142-$E$141),MAX((AA$143+$F147)/2,Z145),TRUE,(AA$143+$F147)/2)</f>
        <v>0.89940427794090283</v>
      </c>
      <c r="AB147" s="302">
        <f t="shared" ref="AB147:AB204" si="173">_xlfn.IFS(($E147-$D$142)&lt;-(AB$142-$E$141),MIN((AB$143+$F147)/2,Z146),($E147-$D$142)&gt;-(AB$142-$E$141),MAX((AB$143+$F147)/2,AA145),TRUE,(AB$143+$F147)/2)</f>
        <v>0.9515123605517255</v>
      </c>
      <c r="AC147" s="302">
        <f t="shared" ref="AC147:AC204" si="174">_xlfn.IFS(($E147-$D$142)&lt;-(AC$142-$E$141),MIN((AC$143+$F147)/2,AA146),($E147-$D$142)&gt;-(AC$142-$E$141),MAX((AC$143+$F147)/2,AB145),TRUE,(AC$143+$F147)/2)</f>
        <v>1.0106957995172374</v>
      </c>
      <c r="AD147" s="302">
        <f t="shared" ref="AD147:AD204" si="175">_xlfn.IFS(($E147-$D$142)&lt;-(AD$142-$E$141),MIN((AD$143+$F147)/2,AB146),($E147-$D$142)&gt;-(AD$142-$E$141),MAX((AD$143+$F147)/2,AC145),TRUE,(AD$143+$F147)/2)</f>
        <v>1.0770716566479386</v>
      </c>
      <c r="AE147" s="302">
        <f t="shared" ref="AE147:AE204" si="176">_xlfn.IFS(($E147-$D$142)&lt;-(AE$142-$E$141),MIN((AE$143+$F147)/2,AC146),($E147-$D$142)&gt;-(AE$142-$E$141),MAX((AE$143+$F147)/2,AD145),TRUE,(AE$143+$F147)/2)</f>
        <v>1.1504677640271326</v>
      </c>
      <c r="AF147" s="302">
        <f t="shared" ref="AF147:AF204" si="177">_xlfn.IFS(($E147-$D$142)&lt;-(AF$142-$E$141),MIN((AF$143+$F147)/2,AD146),($E147-$D$142)&gt;-(AF$142-$E$141),MAX((AF$143+$F147)/2,AE145),TRUE,(AF$143+$F147)/2)</f>
        <v>1.2303672097556302</v>
      </c>
      <c r="AG147" s="302">
        <f t="shared" ref="AG147:AG204" si="178">_xlfn.IFS(($E147-$D$142)&lt;-(AG$142-$E$141),MIN((AG$143+$F147)/2,AE146),($E147-$D$142)&gt;-(AG$142-$E$141),MAX((AG$143+$F147)/2,AF145),TRUE,(AG$143+$F147)/2)</f>
        <v>1.315878926719483</v>
      </c>
      <c r="AH147" s="302">
        <f t="shared" ref="AH147:AH204" si="179">_xlfn.IFS(($E147-$D$142)&lt;-(AH$142-$E$141),MIN((AH$143+$F147)/2,AF146),($E147-$D$142)&gt;-(AH$142-$E$141),MAX((AH$143+$F147)/2,AG145),TRUE,(AH$143+$F147)/2)</f>
        <v>1.4057467649631072</v>
      </c>
      <c r="AI147" s="302">
        <f t="shared" ref="AI147:AI204" si="180">_xlfn.IFS(($E147-$D$142)&lt;-(AI$142-$E$141),MIN((AI$143+$F147)/2,AG146),($E147-$D$142)&gt;-(AI$142-$E$141),MAX((AI$143+$F147)/2,AH145),TRUE,(AI$143+$F147)/2)</f>
        <v>1.4984043534439255</v>
      </c>
      <c r="AJ147" s="302">
        <f t="shared" ref="AJ147:AJ204" si="181">_xlfn.IFS(($E147-$D$142)&lt;-(AJ$142-$E$141),MIN((AJ$143+$F147)/2,AH146),($E147-$D$142)&gt;-(AJ$142-$E$141),MAX((AJ$143+$F147)/2,AI145),TRUE,(AJ$143+$F147)/2)</f>
        <v>1.5920743548926393</v>
      </c>
      <c r="AK147" s="302">
        <f t="shared" ref="AK147:AK204" si="182">_xlfn.IFS(($E147-$D$142)&lt;-(AK$142-$E$141),MIN((AK$143+$F147)/2,AI146),($E147-$D$142)&gt;-(AK$142-$E$141),MAX((AK$143+$F147)/2,AJ145),TRUE,(AK$143+$F147)/2)</f>
        <v>1.6849005015844878</v>
      </c>
      <c r="AL147" s="302">
        <f t="shared" ref="AL147:AL204" si="183">_xlfn.IFS(($E147-$D$142)&lt;-(AL$142-$E$141),MIN((AL$143+$F147)/2,AJ146),($E147-$D$142)&gt;-(AL$142-$E$141),MAX((AL$143+$F147)/2,AK145),TRUE,(AL$143+$F147)/2)</f>
        <v>1.775092402510462</v>
      </c>
      <c r="AM147" s="302">
        <f t="shared" ref="AM147:AM204" si="184">_xlfn.IFS(($E147-$D$142)&lt;-(AM$142-$E$141),MIN((AM$143+$F147)/2,AK146),($E147-$D$142)&gt;-(AM$142-$E$141),MAX((AM$143+$F147)/2,AL145),TRUE,(AM$143+$F147)/2)</f>
        <v>1.8610596726785527</v>
      </c>
      <c r="AN147" s="302">
        <f t="shared" ref="AN147:AN204" si="185">_xlfn.IFS(($E147-$D$142)&lt;-(AN$142-$E$141),MIN((AN$143+$F147)/2,AL146),($E147-$D$142)&gt;-(AN$142-$E$141),MAX((AN$143+$F147)/2,AM145),TRUE,(AN$143+$F147)/2)</f>
        <v>1.9415148173079</v>
      </c>
      <c r="AO147" s="302">
        <f t="shared" ref="AO147:AO204" si="186">_xlfn.IFS(($E147-$D$142)&lt;-(AO$142-$E$141),MIN((AO$143+$F147)/2,AM146),($E147-$D$142)&gt;-(AO$142-$E$141),MAX((AO$143+$F147)/2,AN145),TRUE,(AO$143+$F147)/2)</f>
        <v>2.0155323616475203</v>
      </c>
      <c r="AP147" s="302">
        <f t="shared" ref="AP147:AP204" si="187">_xlfn.IFS(($E147-$D$142)&lt;-(AP$142-$E$141),MIN((AP$143+$F147)/2,AN146),($E147-$D$142)&gt;-(AP$142-$E$141),MAX((AP$143+$F147)/2,AO145),TRUE,(AP$143+$F147)/2)</f>
        <v>2.0825619144645273</v>
      </c>
      <c r="AQ147" s="302">
        <f t="shared" ref="AQ147:AQ204" si="188">_xlfn.IFS(($E147-$D$142)&lt;-(AQ$142-$E$141),MIN((AQ$143+$F147)/2,AO146),($E147-$D$142)&gt;-(AQ$142-$E$141),MAX((AQ$143+$F147)/2,AP145),TRUE,(AQ$143+$F147)/2)</f>
        <v>2.1424018067756778</v>
      </c>
      <c r="AR147" s="302">
        <f t="shared" ref="AR147:AR204" si="189">_xlfn.IFS(($E147-$D$142)&lt;-(AR$142-$E$141),MIN((AR$143+$F147)/2,AP146),($E147-$D$142)&gt;-(AR$142-$E$141),MAX((AR$143+$F147)/2,AQ145),TRUE,(AR$143+$F147)/2)</f>
        <v>2.195145394982065</v>
      </c>
      <c r="AS147" s="302">
        <f t="shared" ref="AS147:AS204" si="190">_xlfn.IFS(($E147-$D$142)&lt;-(AS$142-$E$141),MIN((AS$143+$F147)/2,AQ146),($E147-$D$142)&gt;-(AS$142-$E$141),MAX((AS$143+$F147)/2,AR145),TRUE,(AS$143+$F147)/2)</f>
        <v>2.2411135299110088</v>
      </c>
      <c r="AT147" s="302">
        <f t="shared" ref="AT147:AT204" si="191">_xlfn.IFS(($E147-$D$142)&lt;-(AT$142-$E$141),MIN((AT$143+$F147)/2,AR146),($E147-$D$142)&gt;-(AT$142-$E$141),MAX((AT$143+$F147)/2,AS145),TRUE,(AT$143+$F147)/2)</f>
        <v>2.2807849498511286</v>
      </c>
      <c r="AU147" s="302">
        <f t="shared" ref="AU147:AU204" si="192">_xlfn.IFS(($E147-$D$142)&lt;-(AU$142-$E$141),MIN((AU$143+$F147)/2,AS146),($E147-$D$142)&gt;-(AU$142-$E$141),MAX((AU$143+$F147)/2,AT145),TRUE,(AU$143+$F147)/2)</f>
        <v>2.3147329496267592</v>
      </c>
      <c r="AV147" s="302">
        <f t="shared" ref="AV147:AV204" si="193">_xlfn.IFS(($E147-$D$142)&lt;-(AV$142-$E$141),MIN((AV$143+$F147)/2,AT146),($E147-$D$142)&gt;-(AV$142-$E$141),MAX((AV$143+$F147)/2,AU145),TRUE,(AV$143+$F147)/2)</f>
        <v>2.3435729888714292</v>
      </c>
      <c r="AW147" s="302">
        <f t="shared" ref="AW147:AW204" si="194">_xlfn.IFS(($E147-$D$142)&lt;-(AW$142-$E$141),MIN((AW$143+$F147)/2,AU146),($E147-$D$142)&gt;-(AW$142-$E$141),MAX((AW$143+$F147)/2,AV145),TRUE,(AW$143+$F147)/2)</f>
        <v>2.367922818966183</v>
      </c>
      <c r="AX147" s="302">
        <f t="shared" ref="AX147:AX204" si="195">_xlfn.IFS(($E147-$D$142)&lt;-(AX$142-$E$141),MIN((AX$143+$F147)/2,AV146),($E147-$D$142)&gt;-(AX$142-$E$141),MAX((AX$143+$F147)/2,AW145),TRUE,(AX$143+$F147)/2)</f>
        <v>2.3883745876185083</v>
      </c>
      <c r="AY147" s="302">
        <f t="shared" ref="AY147:AY204" si="196">_xlfn.IFS(($E147-$D$142)&lt;-(AY$142-$E$141),MIN((AY$143+$F147)/2,AW146),($E147-$D$142)&gt;-(AY$142-$E$141),MAX((AY$143+$F147)/2,AX145),TRUE,(AY$143+$F147)/2)</f>
        <v>2.4054772011050036</v>
      </c>
      <c r="AZ147" s="302">
        <f t="shared" ref="AZ147:AZ204" si="197">_xlfn.IFS(($E147-$D$142)&lt;-(AZ$142-$E$141),MIN((AZ$143+$F147)/2,AX146),($E147-$D$142)&gt;-(AZ$142-$E$141),MAX((AZ$143+$F147)/2,AY145),TRUE,(AZ$143+$F147)/2)</f>
        <v>2.4197267750541527</v>
      </c>
      <c r="BA147" s="302">
        <f t="shared" ref="BA147:BA204" si="198">_xlfn.IFS(($E147-$D$142)&lt;-(BA$142-$E$141),MIN((BA$143+$F147)/2,AY146),($E147-$D$142)&gt;-(BA$142-$E$141),MAX((BA$143+$F147)/2,AZ145),TRUE,(BA$143+$F147)/2)</f>
        <v>2.4315630289541934</v>
      </c>
      <c r="BB147" s="302">
        <f t="shared" ref="BB147:BB204" si="199">_xlfn.IFS(($E147-$D$142)&lt;-(BB$142-$E$141),MIN((BB$143+$F147)/2,AZ146),($E147-$D$142)&gt;-(BB$142-$E$141),MAX((BB$143+$F147)/2,BA145),TRUE,(BB$143+$F147)/2)</f>
        <v>2.4413697566914152</v>
      </c>
      <c r="BC147" s="302">
        <f t="shared" ref="BC147:BC204" si="200">_xlfn.IFS(($E147-$D$142)&lt;-(BC$142-$E$141),MIN((BC$143+$F147)/2,BA146),($E147-$D$142)&gt;-(BC$142-$E$141),MAX((BC$143+$F147)/2,BB145),TRUE,(BC$143+$F147)/2)</f>
        <v>2.44947787856335</v>
      </c>
      <c r="BD147" s="302">
        <f t="shared" ref="BD147:BD204" si="201">_xlfn.IFS(($E147-$D$142)&lt;-(BD$142-$E$141),MIN((BD$143+$F147)/2,BB146),($E147-$D$142)&gt;-(BD$142-$E$141),MAX((BD$143+$F147)/2,BC145),TRUE,(BD$143+$F147)/2)</f>
        <v>2.4561699542437121</v>
      </c>
      <c r="BE147" s="302">
        <f t="shared" ref="BE147:BE204" si="202">_xlfn.IFS(($E147-$D$142)&lt;-(BE$142-$E$141),MIN((BE$143+$F147)/2,BC146),($E147-$D$142)&gt;-(BE$142-$E$141),MAX((BE$143+$F147)/2,BD145),TRUE,(BE$143+$F147)/2)</f>
        <v>2.4624646774656958</v>
      </c>
      <c r="BF147" s="302">
        <f t="shared" ref="BF147:BF204" si="203">_xlfn.IFS(($E147-$D$142)&lt;-(BF$142-$E$141),MIN((BF$143+$F147)/2,BD146),($E147-$D$142)&gt;-(BF$142-$E$141),MAX((BF$143+$F147)/2,BE145),TRUE,(BF$143+$F147)/2)</f>
        <v>2.4691567531460574</v>
      </c>
      <c r="BG147" s="302">
        <f t="shared" ref="BG147:BG204" si="204">_xlfn.IFS(($E147-$D$142)&lt;-(BG$142-$E$141),MIN((BG$143+$F147)/2,BE146),($E147-$D$142)&gt;-(BG$142-$E$141),MAX((BG$143+$F147)/2,BF145),TRUE,(BG$143+$F147)/2)</f>
        <v>2.474672161956704</v>
      </c>
      <c r="BH147" s="302">
        <f t="shared" ref="BH147:BH204" si="205">_xlfn.IFS(($E147-$D$142)&lt;-(BH$142-$E$141),MIN((BH$143+$F147)/2,BF146),($E147-$D$142)&gt;-(BH$142-$E$141),MAX((BH$143+$F147)/2,BG145),TRUE,(BH$143+$F147)/2)</f>
        <v>2.4792124192474612</v>
      </c>
      <c r="BI147" s="302">
        <f t="shared" ref="BI147:BI204" si="206">_xlfn.IFS(($E147-$D$142)&lt;-(BI$142-$E$141),MIN((BI$143+$F147)/2,BG146),($E147-$D$142)&gt;-(BI$142-$E$141),MAX((BI$143+$F147)/2,BH145),TRUE,(BI$143+$F147)/2)</f>
        <v>2.4829462958758097</v>
      </c>
      <c r="BJ147" s="302">
        <f t="shared" ref="BJ147:BJ204" si="207">_xlfn.IFS(($E147-$D$142)&lt;-(BJ$142-$E$141),MIN((BJ$143+$F147)/2,BH146),($E147-$D$142)&gt;-(BJ$142-$E$141),MAX((BJ$143+$F147)/2,BI145),TRUE,(BJ$143+$F147)/2)</f>
        <v>2.4860145501714559</v>
      </c>
      <c r="BK147" s="302">
        <f t="shared" ref="BK147:BK204" si="208">_xlfn.IFS(($E147-$D$142)&lt;-(BK$142-$E$141),MIN((BK$143+$F147)/2,BI146),($E147-$D$142)&gt;-(BK$142-$E$141),MAX((BK$143+$F147)/2,BJ145),TRUE,(BK$143+$F147)/2)</f>
        <v>2.4885341795335325</v>
      </c>
      <c r="BL147" s="302">
        <f t="shared" ref="BL147:BL204" si="209">_xlfn.IFS(($E147-$D$142)&lt;-(BL$142-$E$141),MIN((BL$143+$F147)/2,BJ146),($E147-$D$142)&gt;-(BL$142-$E$141),MAX((BL$143+$F147)/2,BK145),TRUE,(BL$143+$F147)/2)</f>
        <v>2.4906021628571011</v>
      </c>
      <c r="BM147" s="302">
        <f t="shared" ref="BM147:BM204" si="210">_xlfn.IFS(($E147-$D$142)&lt;-(BM$142-$E$141),MIN((BM$143+$F147)/2,BK146),($E147-$D$142)&gt;-(BM$142-$E$141),MAX((BM$143+$F147)/2,BL145),TRUE,(BM$143+$F147)/2)</f>
        <v>2.4922987046755596</v>
      </c>
      <c r="BN147" s="302">
        <f t="shared" ref="BN147:BN204" si="211">_xlfn.IFS(($E147-$D$142)&lt;-(BN$142-$E$141),MIN((BN$143+$F147)/2,BL146),($E147-$D$142)&gt;-(BN$142-$E$141),MAX((BN$143+$F147)/2,BM145),TRUE,(BN$143+$F147)/2)</f>
        <v>2.4936900146579899</v>
      </c>
      <c r="BO147" s="303">
        <f t="shared" ref="BO147:BO204" si="212">_xlfn.IFS(($E147-$D$142)&lt;-(BO$142-$E$141),MIN((BO$143+$F147)/2,BM146),($E147-$D$142)&gt;-(BO$142-$E$141),MAX((BO$143+$F147)/2,BN145),TRUE,(BO$143+$F147)/2)</f>
        <v>2.4948306675010077</v>
      </c>
      <c r="BP147" s="223"/>
    </row>
    <row r="148" spans="3:68" ht="42" customHeight="1">
      <c r="C148" s="423"/>
      <c r="D148" s="428"/>
      <c r="E148" s="443">
        <v>1.3</v>
      </c>
      <c r="F148" s="444">
        <f t="shared" si="148"/>
        <v>2.4683243506204104</v>
      </c>
      <c r="G148" s="449">
        <f t="shared" si="151"/>
        <v>0.60916217531020522</v>
      </c>
      <c r="H148" s="449">
        <f t="shared" si="152"/>
        <v>0.61201320109765445</v>
      </c>
      <c r="I148" s="302">
        <f t="shared" si="154"/>
        <v>0.61201320109765445</v>
      </c>
      <c r="J148" s="302">
        <f t="shared" si="155"/>
        <v>0.614353941974634</v>
      </c>
      <c r="K148" s="302">
        <f t="shared" si="156"/>
        <v>0.614353941974634</v>
      </c>
      <c r="L148" s="302">
        <f t="shared" si="157"/>
        <v>0.63625936721951615</v>
      </c>
      <c r="M148" s="302">
        <f t="shared" si="158"/>
        <v>0.63873396256283577</v>
      </c>
      <c r="N148" s="302">
        <f t="shared" si="159"/>
        <v>0.64174753982553223</v>
      </c>
      <c r="O148" s="302">
        <f t="shared" si="160"/>
        <v>0.64541511892408276</v>
      </c>
      <c r="P148" s="302">
        <f t="shared" si="161"/>
        <v>0.64987511742803472</v>
      </c>
      <c r="Q148" s="302">
        <f t="shared" si="162"/>
        <v>0.65529355606300699</v>
      </c>
      <c r="R148" s="302">
        <f t="shared" si="163"/>
        <v>0.66363706439792847</v>
      </c>
      <c r="S148" s="302">
        <f t="shared" si="164"/>
        <v>0.67527270078759938</v>
      </c>
      <c r="T148" s="302">
        <f t="shared" si="165"/>
        <v>0.68928428597572666</v>
      </c>
      <c r="U148" s="302">
        <f t="shared" si="166"/>
        <v>0.70610635947795686</v>
      </c>
      <c r="V148" s="302">
        <f t="shared" si="167"/>
        <v>0.72622995782354549</v>
      </c>
      <c r="W148" s="302">
        <f t="shared" si="168"/>
        <v>0.75019945387067333</v>
      </c>
      <c r="X148" s="302">
        <f t="shared" si="169"/>
        <v>0.77860363699804402</v>
      </c>
      <c r="Y148" s="302">
        <f t="shared" si="170"/>
        <v>0.81205890704261185</v>
      </c>
      <c r="Z148" s="302">
        <f t="shared" si="171"/>
        <v>0.85118239915932314</v>
      </c>
      <c r="AA148" s="302">
        <f t="shared" si="172"/>
        <v>0.89655325215345361</v>
      </c>
      <c r="AB148" s="302">
        <f t="shared" si="173"/>
        <v>0.94866133476427628</v>
      </c>
      <c r="AC148" s="302">
        <f t="shared" si="174"/>
        <v>1.0078447737297882</v>
      </c>
      <c r="AD148" s="302">
        <f t="shared" si="175"/>
        <v>1.0742206308604894</v>
      </c>
      <c r="AE148" s="302">
        <f t="shared" si="176"/>
        <v>1.1476167382396834</v>
      </c>
      <c r="AF148" s="302">
        <f t="shared" si="177"/>
        <v>1.227516183968181</v>
      </c>
      <c r="AG148" s="302">
        <f t="shared" si="178"/>
        <v>1.3130279009320338</v>
      </c>
      <c r="AH148" s="302">
        <f t="shared" si="179"/>
        <v>1.402895739175658</v>
      </c>
      <c r="AI148" s="302">
        <f t="shared" si="180"/>
        <v>1.4955533276564763</v>
      </c>
      <c r="AJ148" s="302">
        <f t="shared" si="181"/>
        <v>1.58922332910519</v>
      </c>
      <c r="AK148" s="302">
        <f t="shared" si="182"/>
        <v>1.6820494757970386</v>
      </c>
      <c r="AL148" s="302">
        <f t="shared" si="183"/>
        <v>1.7722413767230127</v>
      </c>
      <c r="AM148" s="302">
        <f t="shared" si="184"/>
        <v>1.8582086468911034</v>
      </c>
      <c r="AN148" s="302">
        <f t="shared" si="185"/>
        <v>1.9386637915204508</v>
      </c>
      <c r="AO148" s="302">
        <f t="shared" si="186"/>
        <v>2.012681335860071</v>
      </c>
      <c r="AP148" s="302">
        <f t="shared" si="187"/>
        <v>2.0797108886770781</v>
      </c>
      <c r="AQ148" s="302">
        <f t="shared" si="188"/>
        <v>2.1395507809882286</v>
      </c>
      <c r="AR148" s="302">
        <f t="shared" si="189"/>
        <v>2.1922943691946157</v>
      </c>
      <c r="AS148" s="302">
        <f t="shared" si="190"/>
        <v>2.2382625041235595</v>
      </c>
      <c r="AT148" s="302">
        <f t="shared" si="191"/>
        <v>2.2779339240636793</v>
      </c>
      <c r="AU148" s="302">
        <f t="shared" si="192"/>
        <v>2.31188192383931</v>
      </c>
      <c r="AV148" s="302">
        <f t="shared" si="193"/>
        <v>2.34072196308398</v>
      </c>
      <c r="AW148" s="302">
        <f t="shared" si="194"/>
        <v>2.3650717931787337</v>
      </c>
      <c r="AX148" s="302">
        <f t="shared" si="195"/>
        <v>2.3855235618310591</v>
      </c>
      <c r="AY148" s="302">
        <f t="shared" si="196"/>
        <v>2.4026261753175544</v>
      </c>
      <c r="AZ148" s="302">
        <f t="shared" si="197"/>
        <v>2.4168757492667035</v>
      </c>
      <c r="BA148" s="302">
        <f t="shared" si="198"/>
        <v>2.4287120031667442</v>
      </c>
      <c r="BB148" s="302">
        <f t="shared" si="199"/>
        <v>2.438518730903966</v>
      </c>
      <c r="BC148" s="302">
        <f t="shared" si="200"/>
        <v>2.4466268527759008</v>
      </c>
      <c r="BD148" s="302">
        <f t="shared" si="201"/>
        <v>2.4543565555937605</v>
      </c>
      <c r="BE148" s="302">
        <f t="shared" si="202"/>
        <v>2.4624646774656958</v>
      </c>
      <c r="BF148" s="302">
        <f t="shared" si="203"/>
        <v>2.4691567531460574</v>
      </c>
      <c r="BG148" s="302">
        <f t="shared" si="204"/>
        <v>2.474672161956704</v>
      </c>
      <c r="BH148" s="302">
        <f t="shared" si="205"/>
        <v>2.4792124192474612</v>
      </c>
      <c r="BI148" s="302">
        <f t="shared" si="206"/>
        <v>2.4829462958758097</v>
      </c>
      <c r="BJ148" s="302">
        <f t="shared" si="207"/>
        <v>2.4860145501714559</v>
      </c>
      <c r="BK148" s="302">
        <f t="shared" si="208"/>
        <v>2.4885341795335325</v>
      </c>
      <c r="BL148" s="302">
        <f t="shared" si="209"/>
        <v>2.4906021628571011</v>
      </c>
      <c r="BM148" s="302">
        <f t="shared" si="210"/>
        <v>2.4922987046755596</v>
      </c>
      <c r="BN148" s="302">
        <f t="shared" si="211"/>
        <v>2.4936900146579899</v>
      </c>
      <c r="BO148" s="303">
        <f t="shared" si="212"/>
        <v>2.4948306675010077</v>
      </c>
      <c r="BP148" s="223"/>
    </row>
    <row r="149" spans="3:68" ht="42" customHeight="1">
      <c r="C149" s="423"/>
      <c r="D149" s="428"/>
      <c r="E149" s="445">
        <v>1.25</v>
      </c>
      <c r="F149" s="444">
        <f t="shared" si="148"/>
        <v>2.4613834932817462</v>
      </c>
      <c r="G149" s="449">
        <f t="shared" si="151"/>
        <v>0.60569174664087311</v>
      </c>
      <c r="H149" s="449">
        <f t="shared" si="152"/>
        <v>0.60916217531020522</v>
      </c>
      <c r="I149" s="302">
        <f t="shared" si="154"/>
        <v>0.60916217531020522</v>
      </c>
      <c r="J149" s="302">
        <f t="shared" si="155"/>
        <v>0.61201320109765445</v>
      </c>
      <c r="K149" s="302">
        <f t="shared" si="156"/>
        <v>0.61201320109765445</v>
      </c>
      <c r="L149" s="302">
        <f t="shared" si="157"/>
        <v>0.614353941974634</v>
      </c>
      <c r="M149" s="302">
        <f t="shared" si="158"/>
        <v>0.63625936721951615</v>
      </c>
      <c r="N149" s="302">
        <f t="shared" si="159"/>
        <v>0.63873396256283577</v>
      </c>
      <c r="O149" s="302">
        <f t="shared" si="160"/>
        <v>0.64174753982553223</v>
      </c>
      <c r="P149" s="302">
        <f t="shared" si="161"/>
        <v>0.64541511892408276</v>
      </c>
      <c r="Q149" s="302">
        <f t="shared" si="162"/>
        <v>0.65052814292514627</v>
      </c>
      <c r="R149" s="302">
        <f t="shared" si="163"/>
        <v>0.66016663572859635</v>
      </c>
      <c r="S149" s="302">
        <f t="shared" si="164"/>
        <v>0.67180227211826726</v>
      </c>
      <c r="T149" s="302">
        <f t="shared" si="165"/>
        <v>0.68581385730639455</v>
      </c>
      <c r="U149" s="302">
        <f t="shared" si="166"/>
        <v>0.70263593080862474</v>
      </c>
      <c r="V149" s="302">
        <f t="shared" si="167"/>
        <v>0.72275952915421338</v>
      </c>
      <c r="W149" s="302">
        <f t="shared" si="168"/>
        <v>0.74672902520134121</v>
      </c>
      <c r="X149" s="302">
        <f t="shared" si="169"/>
        <v>0.77513320832871191</v>
      </c>
      <c r="Y149" s="302">
        <f t="shared" si="170"/>
        <v>0.80858847837327974</v>
      </c>
      <c r="Z149" s="302">
        <f t="shared" si="171"/>
        <v>0.84771197048999103</v>
      </c>
      <c r="AA149" s="302">
        <f t="shared" si="172"/>
        <v>0.89308282348412149</v>
      </c>
      <c r="AB149" s="302">
        <f t="shared" si="173"/>
        <v>0.94519090609494416</v>
      </c>
      <c r="AC149" s="302">
        <f t="shared" si="174"/>
        <v>1.0043743450604561</v>
      </c>
      <c r="AD149" s="302">
        <f t="shared" si="175"/>
        <v>1.0707502021911572</v>
      </c>
      <c r="AE149" s="302">
        <f t="shared" si="176"/>
        <v>1.1441463095703512</v>
      </c>
      <c r="AF149" s="302">
        <f t="shared" si="177"/>
        <v>1.2240457552988488</v>
      </c>
      <c r="AG149" s="302">
        <f t="shared" si="178"/>
        <v>1.3095574722627017</v>
      </c>
      <c r="AH149" s="302">
        <f t="shared" si="179"/>
        <v>1.3994253105063259</v>
      </c>
      <c r="AI149" s="302">
        <f t="shared" si="180"/>
        <v>1.4920828989871442</v>
      </c>
      <c r="AJ149" s="302">
        <f t="shared" si="181"/>
        <v>1.5857529004358579</v>
      </c>
      <c r="AK149" s="302">
        <f t="shared" si="182"/>
        <v>1.6785790471277064</v>
      </c>
      <c r="AL149" s="302">
        <f t="shared" si="183"/>
        <v>1.7687709480536806</v>
      </c>
      <c r="AM149" s="302">
        <f t="shared" si="184"/>
        <v>1.8547382182217713</v>
      </c>
      <c r="AN149" s="302">
        <f t="shared" si="185"/>
        <v>1.9351933628511186</v>
      </c>
      <c r="AO149" s="302">
        <f t="shared" si="186"/>
        <v>2.0092109071907389</v>
      </c>
      <c r="AP149" s="302">
        <f t="shared" si="187"/>
        <v>2.076240460007746</v>
      </c>
      <c r="AQ149" s="302">
        <f t="shared" si="188"/>
        <v>2.1360803523188965</v>
      </c>
      <c r="AR149" s="302">
        <f t="shared" si="189"/>
        <v>2.1888239405252836</v>
      </c>
      <c r="AS149" s="302">
        <f t="shared" si="190"/>
        <v>2.2347920754542274</v>
      </c>
      <c r="AT149" s="302">
        <f t="shared" si="191"/>
        <v>2.2744634953943472</v>
      </c>
      <c r="AU149" s="302">
        <f t="shared" si="192"/>
        <v>2.3084114951699779</v>
      </c>
      <c r="AV149" s="302">
        <f t="shared" si="193"/>
        <v>2.3372515344146478</v>
      </c>
      <c r="AW149" s="302">
        <f t="shared" si="194"/>
        <v>2.3616013645094016</v>
      </c>
      <c r="AX149" s="302">
        <f t="shared" si="195"/>
        <v>2.382053133161727</v>
      </c>
      <c r="AY149" s="302">
        <f t="shared" si="196"/>
        <v>2.3991557466482223</v>
      </c>
      <c r="AZ149" s="302">
        <f t="shared" si="197"/>
        <v>2.4134053205973713</v>
      </c>
      <c r="BA149" s="302">
        <f t="shared" si="198"/>
        <v>2.4252415744974121</v>
      </c>
      <c r="BB149" s="302">
        <f t="shared" si="199"/>
        <v>2.4350483022346339</v>
      </c>
      <c r="BC149" s="302">
        <f t="shared" si="200"/>
        <v>2.4431564241065686</v>
      </c>
      <c r="BD149" s="302">
        <f t="shared" si="201"/>
        <v>2.4498484997869308</v>
      </c>
      <c r="BE149" s="302">
        <f t="shared" si="202"/>
        <v>2.4561699542437121</v>
      </c>
      <c r="BF149" s="302">
        <f t="shared" si="203"/>
        <v>2.4624646774656958</v>
      </c>
      <c r="BG149" s="302">
        <f t="shared" si="204"/>
        <v>2.4691567531460574</v>
      </c>
      <c r="BH149" s="302">
        <f t="shared" si="205"/>
        <v>2.474672161956704</v>
      </c>
      <c r="BI149" s="302">
        <f t="shared" si="206"/>
        <v>2.4792124192474612</v>
      </c>
      <c r="BJ149" s="302">
        <f t="shared" si="207"/>
        <v>2.4829462958758097</v>
      </c>
      <c r="BK149" s="302">
        <f t="shared" si="208"/>
        <v>2.4860145501714559</v>
      </c>
      <c r="BL149" s="302">
        <f t="shared" si="209"/>
        <v>2.4885341795335325</v>
      </c>
      <c r="BM149" s="302">
        <f t="shared" si="210"/>
        <v>2.4906021628571011</v>
      </c>
      <c r="BN149" s="302">
        <f t="shared" si="211"/>
        <v>2.4922987046755596</v>
      </c>
      <c r="BO149" s="303">
        <f t="shared" si="212"/>
        <v>2.4936900146579899</v>
      </c>
      <c r="BP149" s="223"/>
    </row>
    <row r="150" spans="3:68" ht="42" customHeight="1">
      <c r="C150" s="424"/>
      <c r="D150" s="423"/>
      <c r="E150" s="443">
        <v>1.2</v>
      </c>
      <c r="F150" s="444">
        <f t="shared" si="148"/>
        <v>2.4529409842437024</v>
      </c>
      <c r="G150" s="449">
        <f t="shared" si="151"/>
        <v>0.60147049212185122</v>
      </c>
      <c r="H150" s="449">
        <f t="shared" si="152"/>
        <v>0.60569174664087311</v>
      </c>
      <c r="I150" s="302">
        <f t="shared" si="154"/>
        <v>0.60569174664087311</v>
      </c>
      <c r="J150" s="302">
        <f t="shared" si="155"/>
        <v>0.60916217531020522</v>
      </c>
      <c r="K150" s="302">
        <f t="shared" si="156"/>
        <v>0.60916217531020522</v>
      </c>
      <c r="L150" s="302">
        <f t="shared" si="157"/>
        <v>0.61201320109765445</v>
      </c>
      <c r="M150" s="302">
        <f t="shared" si="158"/>
        <v>0.61201320109765445</v>
      </c>
      <c r="N150" s="302">
        <f t="shared" si="159"/>
        <v>0.63873396256283577</v>
      </c>
      <c r="O150" s="302">
        <f t="shared" si="160"/>
        <v>0.64174753982553223</v>
      </c>
      <c r="P150" s="302">
        <f t="shared" si="161"/>
        <v>0.64541511892408276</v>
      </c>
      <c r="Q150" s="302">
        <f t="shared" si="162"/>
        <v>0.64987511742803472</v>
      </c>
      <c r="R150" s="302">
        <f t="shared" si="163"/>
        <v>0.65594538120957446</v>
      </c>
      <c r="S150" s="302">
        <f t="shared" si="164"/>
        <v>0.66758101759924537</v>
      </c>
      <c r="T150" s="302">
        <f t="shared" si="165"/>
        <v>0.68159260278737266</v>
      </c>
      <c r="U150" s="302">
        <f t="shared" si="166"/>
        <v>0.69841467628960285</v>
      </c>
      <c r="V150" s="302">
        <f t="shared" si="167"/>
        <v>0.71853827463519149</v>
      </c>
      <c r="W150" s="302">
        <f t="shared" si="168"/>
        <v>0.74250777068231932</v>
      </c>
      <c r="X150" s="302">
        <f t="shared" si="169"/>
        <v>0.77091195380969002</v>
      </c>
      <c r="Y150" s="302">
        <f t="shared" si="170"/>
        <v>0.80436722385425785</v>
      </c>
      <c r="Z150" s="302">
        <f t="shared" si="171"/>
        <v>0.84349071597096914</v>
      </c>
      <c r="AA150" s="302">
        <f t="shared" si="172"/>
        <v>0.8888615689650996</v>
      </c>
      <c r="AB150" s="302">
        <f t="shared" si="173"/>
        <v>0.94096965157592227</v>
      </c>
      <c r="AC150" s="302">
        <f t="shared" si="174"/>
        <v>1.0001530905414342</v>
      </c>
      <c r="AD150" s="302">
        <f t="shared" si="175"/>
        <v>1.0665289476721354</v>
      </c>
      <c r="AE150" s="302">
        <f t="shared" si="176"/>
        <v>1.1399250550513294</v>
      </c>
      <c r="AF150" s="302">
        <f t="shared" si="177"/>
        <v>1.219824500779827</v>
      </c>
      <c r="AG150" s="302">
        <f t="shared" si="178"/>
        <v>1.30533621774368</v>
      </c>
      <c r="AH150" s="302">
        <f t="shared" si="179"/>
        <v>1.3952040559873038</v>
      </c>
      <c r="AI150" s="302">
        <f t="shared" si="180"/>
        <v>1.4878616444681221</v>
      </c>
      <c r="AJ150" s="302">
        <f t="shared" si="181"/>
        <v>1.581531645916836</v>
      </c>
      <c r="AK150" s="302">
        <f t="shared" si="182"/>
        <v>1.6743577926086846</v>
      </c>
      <c r="AL150" s="302">
        <f t="shared" si="183"/>
        <v>1.7645496935346587</v>
      </c>
      <c r="AM150" s="302">
        <f t="shared" si="184"/>
        <v>1.8505169637027494</v>
      </c>
      <c r="AN150" s="302">
        <f t="shared" si="185"/>
        <v>1.9309721083320968</v>
      </c>
      <c r="AO150" s="302">
        <f t="shared" si="186"/>
        <v>2.0049896526717168</v>
      </c>
      <c r="AP150" s="302">
        <f t="shared" si="187"/>
        <v>2.0720192054887243</v>
      </c>
      <c r="AQ150" s="302">
        <f t="shared" si="188"/>
        <v>2.1318590977998748</v>
      </c>
      <c r="AR150" s="302">
        <f t="shared" si="189"/>
        <v>2.1846026860062615</v>
      </c>
      <c r="AS150" s="302">
        <f t="shared" si="190"/>
        <v>2.2305708209352058</v>
      </c>
      <c r="AT150" s="302">
        <f t="shared" si="191"/>
        <v>2.2702422408753256</v>
      </c>
      <c r="AU150" s="302">
        <f t="shared" si="192"/>
        <v>2.3041902406509562</v>
      </c>
      <c r="AV150" s="302">
        <f t="shared" si="193"/>
        <v>2.3330302798956257</v>
      </c>
      <c r="AW150" s="302">
        <f t="shared" si="194"/>
        <v>2.3573801099903795</v>
      </c>
      <c r="AX150" s="302">
        <f t="shared" si="195"/>
        <v>2.3778318786427048</v>
      </c>
      <c r="AY150" s="302">
        <f t="shared" si="196"/>
        <v>2.3949344921292006</v>
      </c>
      <c r="AZ150" s="302">
        <f t="shared" si="197"/>
        <v>2.4091840660783497</v>
      </c>
      <c r="BA150" s="302">
        <f t="shared" si="198"/>
        <v>2.42102031997839</v>
      </c>
      <c r="BB150" s="302">
        <f t="shared" si="199"/>
        <v>2.4308270477156118</v>
      </c>
      <c r="BC150" s="302">
        <f t="shared" si="200"/>
        <v>2.4389351695875465</v>
      </c>
      <c r="BD150" s="302">
        <f t="shared" si="201"/>
        <v>2.4466268527759008</v>
      </c>
      <c r="BE150" s="302">
        <f t="shared" si="202"/>
        <v>2.4543565555937605</v>
      </c>
      <c r="BF150" s="302">
        <f t="shared" si="203"/>
        <v>2.4624646774656958</v>
      </c>
      <c r="BG150" s="302">
        <f t="shared" si="204"/>
        <v>2.4691567531460574</v>
      </c>
      <c r="BH150" s="302">
        <f t="shared" si="205"/>
        <v>2.474672161956704</v>
      </c>
      <c r="BI150" s="302">
        <f t="shared" si="206"/>
        <v>2.4792124192474612</v>
      </c>
      <c r="BJ150" s="302">
        <f t="shared" si="207"/>
        <v>2.4829462958758097</v>
      </c>
      <c r="BK150" s="302">
        <f t="shared" si="208"/>
        <v>2.4860145501714559</v>
      </c>
      <c r="BL150" s="302">
        <f t="shared" si="209"/>
        <v>2.4885341795335325</v>
      </c>
      <c r="BM150" s="302">
        <f t="shared" si="210"/>
        <v>2.4906021628571011</v>
      </c>
      <c r="BN150" s="302">
        <f t="shared" si="211"/>
        <v>2.4922987046755596</v>
      </c>
      <c r="BO150" s="303">
        <f t="shared" si="212"/>
        <v>2.4936900146579899</v>
      </c>
      <c r="BP150" s="223"/>
    </row>
    <row r="151" spans="3:68" ht="42" customHeight="1">
      <c r="C151" s="424"/>
      <c r="D151" s="423"/>
      <c r="E151" s="445">
        <v>1.1499999999999999</v>
      </c>
      <c r="F151" s="444">
        <f t="shared" si="148"/>
        <v>2.4426812427312488</v>
      </c>
      <c r="G151" s="449">
        <f t="shared" si="151"/>
        <v>0.59634062136562438</v>
      </c>
      <c r="H151" s="449">
        <f t="shared" si="152"/>
        <v>0.60147049212185122</v>
      </c>
      <c r="I151" s="302">
        <f t="shared" si="154"/>
        <v>0.60147049212185122</v>
      </c>
      <c r="J151" s="302">
        <f t="shared" si="155"/>
        <v>0.60569174664087311</v>
      </c>
      <c r="K151" s="302">
        <f t="shared" si="156"/>
        <v>0.60569174664087311</v>
      </c>
      <c r="L151" s="302">
        <f t="shared" si="157"/>
        <v>0.60916217531020522</v>
      </c>
      <c r="M151" s="302">
        <f t="shared" si="158"/>
        <v>0.60916217531020522</v>
      </c>
      <c r="N151" s="302">
        <f t="shared" si="159"/>
        <v>0.61201320109765445</v>
      </c>
      <c r="O151" s="302">
        <f t="shared" si="160"/>
        <v>0.63873396256283577</v>
      </c>
      <c r="P151" s="302">
        <f t="shared" si="161"/>
        <v>0.64174753982553223</v>
      </c>
      <c r="Q151" s="302">
        <f t="shared" si="162"/>
        <v>0.64541511892408276</v>
      </c>
      <c r="R151" s="302">
        <f t="shared" si="163"/>
        <v>0.65081551045334762</v>
      </c>
      <c r="S151" s="302">
        <f t="shared" si="164"/>
        <v>0.66245114684301853</v>
      </c>
      <c r="T151" s="302">
        <f t="shared" si="165"/>
        <v>0.67646273203114582</v>
      </c>
      <c r="U151" s="302">
        <f t="shared" si="166"/>
        <v>0.69328480553337601</v>
      </c>
      <c r="V151" s="302">
        <f t="shared" si="167"/>
        <v>0.71340840387896465</v>
      </c>
      <c r="W151" s="302">
        <f t="shared" si="168"/>
        <v>0.73737789992609248</v>
      </c>
      <c r="X151" s="302">
        <f t="shared" si="169"/>
        <v>0.76578208305346318</v>
      </c>
      <c r="Y151" s="302">
        <f t="shared" si="170"/>
        <v>0.79923735309803101</v>
      </c>
      <c r="Z151" s="302">
        <f t="shared" si="171"/>
        <v>0.8383608452147423</v>
      </c>
      <c r="AA151" s="302">
        <f t="shared" si="172"/>
        <v>0.88373169820887276</v>
      </c>
      <c r="AB151" s="302">
        <f t="shared" si="173"/>
        <v>0.93583978081969543</v>
      </c>
      <c r="AC151" s="302">
        <f t="shared" si="174"/>
        <v>0.99502321978520736</v>
      </c>
      <c r="AD151" s="302">
        <f t="shared" si="175"/>
        <v>1.0613990769159085</v>
      </c>
      <c r="AE151" s="302">
        <f t="shared" si="176"/>
        <v>1.1347951842951025</v>
      </c>
      <c r="AF151" s="302">
        <f t="shared" si="177"/>
        <v>1.2146946300236001</v>
      </c>
      <c r="AG151" s="302">
        <f t="shared" si="178"/>
        <v>1.3002063469874532</v>
      </c>
      <c r="AH151" s="302">
        <f t="shared" si="179"/>
        <v>1.390074185231077</v>
      </c>
      <c r="AI151" s="302">
        <f t="shared" si="180"/>
        <v>1.4827317737118952</v>
      </c>
      <c r="AJ151" s="302">
        <f t="shared" si="181"/>
        <v>1.5764017751606092</v>
      </c>
      <c r="AK151" s="302">
        <f t="shared" si="182"/>
        <v>1.6692279218524577</v>
      </c>
      <c r="AL151" s="302">
        <f t="shared" si="183"/>
        <v>1.7594198227784319</v>
      </c>
      <c r="AM151" s="302">
        <f t="shared" si="184"/>
        <v>1.8453870929465226</v>
      </c>
      <c r="AN151" s="302">
        <f t="shared" si="185"/>
        <v>1.9258422375758699</v>
      </c>
      <c r="AO151" s="302">
        <f t="shared" si="186"/>
        <v>1.99985978191549</v>
      </c>
      <c r="AP151" s="302">
        <f t="shared" si="187"/>
        <v>2.0668893347324975</v>
      </c>
      <c r="AQ151" s="302">
        <f t="shared" si="188"/>
        <v>2.126729227043648</v>
      </c>
      <c r="AR151" s="302">
        <f t="shared" si="189"/>
        <v>2.1794728152500351</v>
      </c>
      <c r="AS151" s="302">
        <f t="shared" si="190"/>
        <v>2.2254409501789789</v>
      </c>
      <c r="AT151" s="302">
        <f t="shared" si="191"/>
        <v>2.2651123701190983</v>
      </c>
      <c r="AU151" s="302">
        <f t="shared" si="192"/>
        <v>2.299060369894729</v>
      </c>
      <c r="AV151" s="302">
        <f t="shared" si="193"/>
        <v>2.3279004091393993</v>
      </c>
      <c r="AW151" s="302">
        <f t="shared" si="194"/>
        <v>2.3522502392341531</v>
      </c>
      <c r="AX151" s="302">
        <f t="shared" si="195"/>
        <v>2.372702007886478</v>
      </c>
      <c r="AY151" s="302">
        <f t="shared" si="196"/>
        <v>2.3898046213729733</v>
      </c>
      <c r="AZ151" s="302">
        <f t="shared" si="197"/>
        <v>2.4040541953221224</v>
      </c>
      <c r="BA151" s="302">
        <f t="shared" si="198"/>
        <v>2.4158904492221636</v>
      </c>
      <c r="BB151" s="302">
        <f t="shared" si="199"/>
        <v>2.4256971769593849</v>
      </c>
      <c r="BC151" s="302">
        <f t="shared" si="200"/>
        <v>2.4350483022346339</v>
      </c>
      <c r="BD151" s="302">
        <f t="shared" si="201"/>
        <v>2.4431564241065686</v>
      </c>
      <c r="BE151" s="302">
        <f t="shared" si="202"/>
        <v>2.4498484997869308</v>
      </c>
      <c r="BF151" s="302">
        <f t="shared" si="203"/>
        <v>2.4561699542437121</v>
      </c>
      <c r="BG151" s="302">
        <f t="shared" si="204"/>
        <v>2.4624646774656958</v>
      </c>
      <c r="BH151" s="302">
        <f t="shared" si="205"/>
        <v>2.4691567531460574</v>
      </c>
      <c r="BI151" s="302">
        <f t="shared" si="206"/>
        <v>2.474672161956704</v>
      </c>
      <c r="BJ151" s="302">
        <f t="shared" si="207"/>
        <v>2.4792124192474612</v>
      </c>
      <c r="BK151" s="302">
        <f t="shared" si="208"/>
        <v>2.4829462958758097</v>
      </c>
      <c r="BL151" s="302">
        <f t="shared" si="209"/>
        <v>2.4860145501714559</v>
      </c>
      <c r="BM151" s="302">
        <f t="shared" si="210"/>
        <v>2.4885341795335325</v>
      </c>
      <c r="BN151" s="302">
        <f t="shared" si="211"/>
        <v>2.4906021628571011</v>
      </c>
      <c r="BO151" s="303">
        <f t="shared" si="212"/>
        <v>2.4922987046755596</v>
      </c>
      <c r="BP151" s="223"/>
    </row>
    <row r="152" spans="3:68" ht="42" customHeight="1">
      <c r="C152" s="424"/>
      <c r="D152" s="423"/>
      <c r="E152" s="443">
        <v>1.1000000000000001</v>
      </c>
      <c r="F152" s="444">
        <f t="shared" si="148"/>
        <v>2.4302268340502255</v>
      </c>
      <c r="G152" s="449">
        <f t="shared" si="151"/>
        <v>0.59011341702511277</v>
      </c>
      <c r="H152" s="449">
        <f t="shared" si="152"/>
        <v>0.59634062136562438</v>
      </c>
      <c r="I152" s="302">
        <f t="shared" si="154"/>
        <v>0.59634062136562438</v>
      </c>
      <c r="J152" s="302">
        <f t="shared" si="155"/>
        <v>0.60137278424462892</v>
      </c>
      <c r="K152" s="302">
        <f t="shared" si="156"/>
        <v>0.60147049212185122</v>
      </c>
      <c r="L152" s="302">
        <f t="shared" si="157"/>
        <v>0.60569174664087311</v>
      </c>
      <c r="M152" s="302">
        <f t="shared" si="158"/>
        <v>0.60569174664087311</v>
      </c>
      <c r="N152" s="302">
        <f t="shared" si="159"/>
        <v>0.60916217531020522</v>
      </c>
      <c r="O152" s="302">
        <f t="shared" si="160"/>
        <v>0.60916217531020522</v>
      </c>
      <c r="P152" s="302">
        <f t="shared" si="161"/>
        <v>0.64174753982553223</v>
      </c>
      <c r="Q152" s="302">
        <f t="shared" si="162"/>
        <v>0.64541511892408276</v>
      </c>
      <c r="R152" s="302">
        <f t="shared" si="163"/>
        <v>0.64987511742803472</v>
      </c>
      <c r="S152" s="302">
        <f t="shared" si="164"/>
        <v>0.65622394250250693</v>
      </c>
      <c r="T152" s="302">
        <f t="shared" si="165"/>
        <v>0.67023552769063421</v>
      </c>
      <c r="U152" s="302">
        <f t="shared" si="166"/>
        <v>0.68705760119286441</v>
      </c>
      <c r="V152" s="302">
        <f t="shared" si="167"/>
        <v>0.70718119953845304</v>
      </c>
      <c r="W152" s="302">
        <f t="shared" si="168"/>
        <v>0.73115069558558088</v>
      </c>
      <c r="X152" s="302">
        <f t="shared" si="169"/>
        <v>0.75955487871295158</v>
      </c>
      <c r="Y152" s="302">
        <f t="shared" si="170"/>
        <v>0.79301014875751941</v>
      </c>
      <c r="Z152" s="302">
        <f t="shared" si="171"/>
        <v>0.8321336408742307</v>
      </c>
      <c r="AA152" s="302">
        <f t="shared" si="172"/>
        <v>0.87750449386836116</v>
      </c>
      <c r="AB152" s="302">
        <f t="shared" si="173"/>
        <v>0.92961257647918383</v>
      </c>
      <c r="AC152" s="302">
        <f t="shared" si="174"/>
        <v>0.98879601544469575</v>
      </c>
      <c r="AD152" s="302">
        <f t="shared" si="175"/>
        <v>1.0551718725753969</v>
      </c>
      <c r="AE152" s="302">
        <f t="shared" si="176"/>
        <v>1.1285679799545909</v>
      </c>
      <c r="AF152" s="302">
        <f t="shared" si="177"/>
        <v>1.2084674256830885</v>
      </c>
      <c r="AG152" s="302">
        <f t="shared" si="178"/>
        <v>1.2939791426469416</v>
      </c>
      <c r="AH152" s="302">
        <f t="shared" si="179"/>
        <v>1.3838469808905653</v>
      </c>
      <c r="AI152" s="302">
        <f t="shared" si="180"/>
        <v>1.4765045693713836</v>
      </c>
      <c r="AJ152" s="302">
        <f t="shared" si="181"/>
        <v>1.5701745708200976</v>
      </c>
      <c r="AK152" s="302">
        <f t="shared" si="182"/>
        <v>1.6630007175119461</v>
      </c>
      <c r="AL152" s="302">
        <f t="shared" si="183"/>
        <v>1.7531926184379203</v>
      </c>
      <c r="AM152" s="302">
        <f t="shared" si="184"/>
        <v>1.839159888606011</v>
      </c>
      <c r="AN152" s="302">
        <f t="shared" si="185"/>
        <v>1.9196150332353583</v>
      </c>
      <c r="AO152" s="302">
        <f t="shared" si="186"/>
        <v>1.9936325775749784</v>
      </c>
      <c r="AP152" s="302">
        <f t="shared" si="187"/>
        <v>2.0606621303919859</v>
      </c>
      <c r="AQ152" s="302">
        <f t="shared" si="188"/>
        <v>2.1205020227031364</v>
      </c>
      <c r="AR152" s="302">
        <f t="shared" si="189"/>
        <v>2.1732456109095235</v>
      </c>
      <c r="AS152" s="302">
        <f t="shared" si="190"/>
        <v>2.2192137458384673</v>
      </c>
      <c r="AT152" s="302">
        <f t="shared" si="191"/>
        <v>2.2588851657785867</v>
      </c>
      <c r="AU152" s="302">
        <f t="shared" si="192"/>
        <v>2.2928331655542173</v>
      </c>
      <c r="AV152" s="302">
        <f t="shared" si="193"/>
        <v>2.3216732047988877</v>
      </c>
      <c r="AW152" s="302">
        <f t="shared" si="194"/>
        <v>2.3460230348936415</v>
      </c>
      <c r="AX152" s="302">
        <f t="shared" si="195"/>
        <v>2.3664748035459664</v>
      </c>
      <c r="AY152" s="302">
        <f t="shared" si="196"/>
        <v>2.3835774170324617</v>
      </c>
      <c r="AZ152" s="302">
        <f t="shared" si="197"/>
        <v>2.3978269909816108</v>
      </c>
      <c r="BA152" s="302">
        <f t="shared" si="198"/>
        <v>2.409663244881652</v>
      </c>
      <c r="BB152" s="302">
        <f t="shared" si="199"/>
        <v>2.42102031997839</v>
      </c>
      <c r="BC152" s="302">
        <f t="shared" si="200"/>
        <v>2.4308270477156118</v>
      </c>
      <c r="BD152" s="302">
        <f t="shared" si="201"/>
        <v>2.4389351695875465</v>
      </c>
      <c r="BE152" s="302">
        <f t="shared" si="202"/>
        <v>2.4466268527759008</v>
      </c>
      <c r="BF152" s="302">
        <f t="shared" si="203"/>
        <v>2.4543565555937605</v>
      </c>
      <c r="BG152" s="302">
        <f t="shared" si="204"/>
        <v>2.4624646774656958</v>
      </c>
      <c r="BH152" s="302">
        <f t="shared" si="205"/>
        <v>2.4691567531460574</v>
      </c>
      <c r="BI152" s="302">
        <f t="shared" si="206"/>
        <v>2.474672161956704</v>
      </c>
      <c r="BJ152" s="302">
        <f t="shared" si="207"/>
        <v>2.4792124192474612</v>
      </c>
      <c r="BK152" s="302">
        <f t="shared" si="208"/>
        <v>2.4829462958758097</v>
      </c>
      <c r="BL152" s="302">
        <f t="shared" si="209"/>
        <v>2.4860145501714559</v>
      </c>
      <c r="BM152" s="302">
        <f t="shared" si="210"/>
        <v>2.4885341795335325</v>
      </c>
      <c r="BN152" s="302">
        <f t="shared" si="211"/>
        <v>2.4906021628571011</v>
      </c>
      <c r="BO152" s="303">
        <f t="shared" si="212"/>
        <v>2.4922987046755596</v>
      </c>
      <c r="BP152" s="223"/>
    </row>
    <row r="153" spans="3:68" ht="42" customHeight="1">
      <c r="C153" s="424"/>
      <c r="D153" s="423"/>
      <c r="E153" s="445">
        <v>1.05</v>
      </c>
      <c r="F153" s="444">
        <f t="shared" si="148"/>
        <v>2.4151284873829693</v>
      </c>
      <c r="G153" s="449">
        <f t="shared" si="151"/>
        <v>0.58256424369148463</v>
      </c>
      <c r="H153" s="449">
        <f t="shared" si="152"/>
        <v>0.59011341702511277</v>
      </c>
      <c r="I153" s="302">
        <f t="shared" si="154"/>
        <v>0.59011341702511277</v>
      </c>
      <c r="J153" s="302">
        <f t="shared" si="155"/>
        <v>0.59382361091100078</v>
      </c>
      <c r="K153" s="302">
        <f t="shared" si="156"/>
        <v>0.5962982062543204</v>
      </c>
      <c r="L153" s="302">
        <f t="shared" si="157"/>
        <v>0.59931178351701686</v>
      </c>
      <c r="M153" s="302">
        <f t="shared" si="158"/>
        <v>0.60147049212185122</v>
      </c>
      <c r="N153" s="302">
        <f t="shared" si="159"/>
        <v>0.60569174664087311</v>
      </c>
      <c r="O153" s="302">
        <f t="shared" si="160"/>
        <v>0.60569174664087311</v>
      </c>
      <c r="P153" s="302">
        <f t="shared" si="161"/>
        <v>0.60916217531020522</v>
      </c>
      <c r="Q153" s="302">
        <f t="shared" si="162"/>
        <v>0.64174753982553223</v>
      </c>
      <c r="R153" s="302">
        <f t="shared" si="163"/>
        <v>0.64541511892408276</v>
      </c>
      <c r="S153" s="302">
        <f t="shared" si="164"/>
        <v>0.65081551045334762</v>
      </c>
      <c r="T153" s="302">
        <f t="shared" si="165"/>
        <v>0.66268635435700607</v>
      </c>
      <c r="U153" s="302">
        <f t="shared" si="166"/>
        <v>0.67950842785923626</v>
      </c>
      <c r="V153" s="302">
        <f t="shared" si="167"/>
        <v>0.6996320262048249</v>
      </c>
      <c r="W153" s="302">
        <f t="shared" si="168"/>
        <v>0.72360152225195273</v>
      </c>
      <c r="X153" s="302">
        <f t="shared" si="169"/>
        <v>0.75200570537932343</v>
      </c>
      <c r="Y153" s="302">
        <f t="shared" si="170"/>
        <v>0.78546097542389126</v>
      </c>
      <c r="Z153" s="302">
        <f t="shared" si="171"/>
        <v>0.82458446754060255</v>
      </c>
      <c r="AA153" s="302">
        <f t="shared" si="172"/>
        <v>0.86995532053473301</v>
      </c>
      <c r="AB153" s="302">
        <f t="shared" si="173"/>
        <v>0.92206340314555568</v>
      </c>
      <c r="AC153" s="302">
        <f t="shared" si="174"/>
        <v>0.98124684211106761</v>
      </c>
      <c r="AD153" s="302">
        <f t="shared" si="175"/>
        <v>1.0476226992417688</v>
      </c>
      <c r="AE153" s="302">
        <f t="shared" si="176"/>
        <v>1.1210188066209628</v>
      </c>
      <c r="AF153" s="302">
        <f t="shared" si="177"/>
        <v>1.2009182523494604</v>
      </c>
      <c r="AG153" s="302">
        <f t="shared" si="178"/>
        <v>1.2864299693133132</v>
      </c>
      <c r="AH153" s="302">
        <f t="shared" si="179"/>
        <v>1.3762978075569374</v>
      </c>
      <c r="AI153" s="302">
        <f t="shared" si="180"/>
        <v>1.4689553960377557</v>
      </c>
      <c r="AJ153" s="302">
        <f t="shared" si="181"/>
        <v>1.5626253974864694</v>
      </c>
      <c r="AK153" s="302">
        <f t="shared" si="182"/>
        <v>1.655451544178318</v>
      </c>
      <c r="AL153" s="302">
        <f t="shared" si="183"/>
        <v>1.7456434451042921</v>
      </c>
      <c r="AM153" s="302">
        <f t="shared" si="184"/>
        <v>1.8316107152723828</v>
      </c>
      <c r="AN153" s="302">
        <f t="shared" si="185"/>
        <v>1.9120658599017302</v>
      </c>
      <c r="AO153" s="302">
        <f t="shared" si="186"/>
        <v>1.9860834042413502</v>
      </c>
      <c r="AP153" s="302">
        <f t="shared" si="187"/>
        <v>2.0531129570583575</v>
      </c>
      <c r="AQ153" s="302">
        <f t="shared" si="188"/>
        <v>2.112952849369508</v>
      </c>
      <c r="AR153" s="302">
        <f t="shared" si="189"/>
        <v>2.1656964375758951</v>
      </c>
      <c r="AS153" s="302">
        <f t="shared" si="190"/>
        <v>2.2116645725048389</v>
      </c>
      <c r="AT153" s="302">
        <f t="shared" si="191"/>
        <v>2.2513359924449587</v>
      </c>
      <c r="AU153" s="302">
        <f t="shared" si="192"/>
        <v>2.2852839922205894</v>
      </c>
      <c r="AV153" s="302">
        <f t="shared" si="193"/>
        <v>2.3141240314652594</v>
      </c>
      <c r="AW153" s="302">
        <f t="shared" si="194"/>
        <v>2.3384738615600131</v>
      </c>
      <c r="AX153" s="302">
        <f t="shared" si="195"/>
        <v>2.3589256302123385</v>
      </c>
      <c r="AY153" s="302">
        <f t="shared" si="196"/>
        <v>2.3760282436988338</v>
      </c>
      <c r="AZ153" s="302">
        <f t="shared" si="197"/>
        <v>2.3902778176479829</v>
      </c>
      <c r="BA153" s="302">
        <f t="shared" si="198"/>
        <v>2.4040541953221224</v>
      </c>
      <c r="BB153" s="302">
        <f t="shared" si="199"/>
        <v>2.4158904492221636</v>
      </c>
      <c r="BC153" s="302">
        <f t="shared" si="200"/>
        <v>2.4256971769593849</v>
      </c>
      <c r="BD153" s="302">
        <f t="shared" si="201"/>
        <v>2.4350483022346339</v>
      </c>
      <c r="BE153" s="302">
        <f t="shared" si="202"/>
        <v>2.4431564241065686</v>
      </c>
      <c r="BF153" s="302">
        <f t="shared" si="203"/>
        <v>2.4498484997869308</v>
      </c>
      <c r="BG153" s="302">
        <f t="shared" si="204"/>
        <v>2.4561699542437121</v>
      </c>
      <c r="BH153" s="302">
        <f t="shared" si="205"/>
        <v>2.4624646774656958</v>
      </c>
      <c r="BI153" s="302">
        <f t="shared" si="206"/>
        <v>2.4691567531460574</v>
      </c>
      <c r="BJ153" s="302">
        <f t="shared" si="207"/>
        <v>2.474672161956704</v>
      </c>
      <c r="BK153" s="302">
        <f t="shared" si="208"/>
        <v>2.4792124192474612</v>
      </c>
      <c r="BL153" s="302">
        <f t="shared" si="209"/>
        <v>2.4829462958758097</v>
      </c>
      <c r="BM153" s="302">
        <f t="shared" si="210"/>
        <v>2.4860145501714559</v>
      </c>
      <c r="BN153" s="302">
        <f t="shared" si="211"/>
        <v>2.4885341795335325</v>
      </c>
      <c r="BO153" s="303">
        <f t="shared" si="212"/>
        <v>2.4906021628571011</v>
      </c>
      <c r="BP153" s="223"/>
    </row>
    <row r="154" spans="3:68" ht="42" customHeight="1">
      <c r="C154" s="424"/>
      <c r="D154" s="423"/>
      <c r="E154" s="443">
        <v>1</v>
      </c>
      <c r="F154" s="444">
        <f t="shared" si="148"/>
        <v>2.3968545495171996</v>
      </c>
      <c r="G154" s="449">
        <f t="shared" si="151"/>
        <v>0.57342727475859978</v>
      </c>
      <c r="H154" s="449">
        <f t="shared" si="152"/>
        <v>0.58098962570001134</v>
      </c>
      <c r="I154" s="302">
        <f t="shared" si="154"/>
        <v>0.58256424369148463</v>
      </c>
      <c r="J154" s="302">
        <f t="shared" si="155"/>
        <v>0.58468664197811593</v>
      </c>
      <c r="K154" s="302">
        <f t="shared" si="156"/>
        <v>0.58716123732143555</v>
      </c>
      <c r="L154" s="302">
        <f t="shared" si="157"/>
        <v>0.59017481458413201</v>
      </c>
      <c r="M154" s="302">
        <f t="shared" si="158"/>
        <v>0.59384239368268255</v>
      </c>
      <c r="N154" s="302">
        <f t="shared" si="159"/>
        <v>0.5983023921866345</v>
      </c>
      <c r="O154" s="302">
        <f t="shared" si="160"/>
        <v>0.60147049212185122</v>
      </c>
      <c r="P154" s="302">
        <f t="shared" si="161"/>
        <v>0.60569174664087311</v>
      </c>
      <c r="Q154" s="302">
        <f t="shared" si="162"/>
        <v>0.60569174664087311</v>
      </c>
      <c r="R154" s="302">
        <f t="shared" si="163"/>
        <v>0.64541511892408276</v>
      </c>
      <c r="S154" s="302">
        <f t="shared" si="164"/>
        <v>0.64987511742803472</v>
      </c>
      <c r="T154" s="302">
        <f t="shared" si="165"/>
        <v>0.65622394250250693</v>
      </c>
      <c r="U154" s="302">
        <f t="shared" si="166"/>
        <v>0.67037145892635142</v>
      </c>
      <c r="V154" s="302">
        <f t="shared" si="167"/>
        <v>0.69049505727194005</v>
      </c>
      <c r="W154" s="302">
        <f t="shared" si="168"/>
        <v>0.71446455331906789</v>
      </c>
      <c r="X154" s="302">
        <f t="shared" si="169"/>
        <v>0.74286873644643858</v>
      </c>
      <c r="Y154" s="302">
        <f t="shared" si="170"/>
        <v>0.77632400649100641</v>
      </c>
      <c r="Z154" s="302">
        <f t="shared" si="171"/>
        <v>0.8154474986077177</v>
      </c>
      <c r="AA154" s="302">
        <f t="shared" si="172"/>
        <v>0.86081835160184816</v>
      </c>
      <c r="AB154" s="302">
        <f t="shared" si="173"/>
        <v>0.91292643421267083</v>
      </c>
      <c r="AC154" s="302">
        <f t="shared" si="174"/>
        <v>0.97210987317818276</v>
      </c>
      <c r="AD154" s="302">
        <f t="shared" si="175"/>
        <v>1.0384857303088839</v>
      </c>
      <c r="AE154" s="302">
        <f t="shared" si="176"/>
        <v>1.1118818376880779</v>
      </c>
      <c r="AF154" s="302">
        <f t="shared" si="177"/>
        <v>1.1917812834165755</v>
      </c>
      <c r="AG154" s="302">
        <f t="shared" si="178"/>
        <v>1.2772930003804284</v>
      </c>
      <c r="AH154" s="302">
        <f t="shared" si="179"/>
        <v>1.3671608386240526</v>
      </c>
      <c r="AI154" s="302">
        <f t="shared" si="180"/>
        <v>1.4598184271048709</v>
      </c>
      <c r="AJ154" s="302">
        <f t="shared" si="181"/>
        <v>1.5534884285535846</v>
      </c>
      <c r="AK154" s="302">
        <f t="shared" si="182"/>
        <v>1.6463145752454331</v>
      </c>
      <c r="AL154" s="302">
        <f t="shared" si="183"/>
        <v>1.7365064761714073</v>
      </c>
      <c r="AM154" s="302">
        <f t="shared" si="184"/>
        <v>1.822473746339498</v>
      </c>
      <c r="AN154" s="302">
        <f t="shared" si="185"/>
        <v>1.9029288909688453</v>
      </c>
      <c r="AO154" s="302">
        <f t="shared" si="186"/>
        <v>1.9769464353084654</v>
      </c>
      <c r="AP154" s="302">
        <f t="shared" si="187"/>
        <v>2.0439759881254727</v>
      </c>
      <c r="AQ154" s="302">
        <f t="shared" si="188"/>
        <v>2.1038158804366232</v>
      </c>
      <c r="AR154" s="302">
        <f t="shared" si="189"/>
        <v>2.1565594686430103</v>
      </c>
      <c r="AS154" s="302">
        <f t="shared" si="190"/>
        <v>2.2025276035719541</v>
      </c>
      <c r="AT154" s="302">
        <f t="shared" si="191"/>
        <v>2.2421990235120739</v>
      </c>
      <c r="AU154" s="302">
        <f t="shared" si="192"/>
        <v>2.2761470232877046</v>
      </c>
      <c r="AV154" s="302">
        <f t="shared" si="193"/>
        <v>2.3049870625323745</v>
      </c>
      <c r="AW154" s="302">
        <f t="shared" si="194"/>
        <v>2.3293368926271283</v>
      </c>
      <c r="AX154" s="302">
        <f t="shared" si="195"/>
        <v>2.3497886612794536</v>
      </c>
      <c r="AY154" s="302">
        <f t="shared" si="196"/>
        <v>2.366891274765949</v>
      </c>
      <c r="AZ154" s="302">
        <f t="shared" si="197"/>
        <v>2.3835774170324617</v>
      </c>
      <c r="BA154" s="302">
        <f t="shared" si="198"/>
        <v>2.3978269909816108</v>
      </c>
      <c r="BB154" s="302">
        <f t="shared" si="199"/>
        <v>2.409663244881652</v>
      </c>
      <c r="BC154" s="302">
        <f t="shared" si="200"/>
        <v>2.42102031997839</v>
      </c>
      <c r="BD154" s="302">
        <f t="shared" si="201"/>
        <v>2.4308270477156118</v>
      </c>
      <c r="BE154" s="302">
        <f t="shared" si="202"/>
        <v>2.4389351695875465</v>
      </c>
      <c r="BF154" s="302">
        <f t="shared" si="203"/>
        <v>2.4466268527759008</v>
      </c>
      <c r="BG154" s="302">
        <f t="shared" si="204"/>
        <v>2.4543565555937605</v>
      </c>
      <c r="BH154" s="302">
        <f t="shared" si="205"/>
        <v>2.4624646774656958</v>
      </c>
      <c r="BI154" s="302">
        <f t="shared" si="206"/>
        <v>2.4691567531460574</v>
      </c>
      <c r="BJ154" s="302">
        <f t="shared" si="207"/>
        <v>2.474672161956704</v>
      </c>
      <c r="BK154" s="302">
        <f t="shared" si="208"/>
        <v>2.4792124192474612</v>
      </c>
      <c r="BL154" s="302">
        <f t="shared" si="209"/>
        <v>2.4829462958758097</v>
      </c>
      <c r="BM154" s="302">
        <f t="shared" si="210"/>
        <v>2.4860145501714559</v>
      </c>
      <c r="BN154" s="302">
        <f t="shared" si="211"/>
        <v>2.4885341795335325</v>
      </c>
      <c r="BO154" s="303">
        <f t="shared" si="212"/>
        <v>2.4906021628571011</v>
      </c>
      <c r="BP154" s="223"/>
    </row>
    <row r="155" spans="3:68" ht="42" customHeight="1">
      <c r="C155" s="424"/>
      <c r="D155" s="423"/>
      <c r="E155" s="445">
        <v>0.95</v>
      </c>
      <c r="F155" s="444">
        <f t="shared" si="148"/>
        <v>2.3747804223763902</v>
      </c>
      <c r="G155" s="449">
        <f t="shared" si="151"/>
        <v>0.5623902111881951</v>
      </c>
      <c r="H155" s="449">
        <f t="shared" si="152"/>
        <v>0.56995256212960665</v>
      </c>
      <c r="I155" s="302">
        <f t="shared" si="154"/>
        <v>0.57161864673760121</v>
      </c>
      <c r="J155" s="302">
        <f t="shared" si="155"/>
        <v>0.57364957840771125</v>
      </c>
      <c r="K155" s="302">
        <f t="shared" si="156"/>
        <v>0.57612417375103087</v>
      </c>
      <c r="L155" s="302">
        <f t="shared" si="157"/>
        <v>0.57913775101372733</v>
      </c>
      <c r="M155" s="302">
        <f t="shared" si="158"/>
        <v>0.58280533011227786</v>
      </c>
      <c r="N155" s="302">
        <f t="shared" si="159"/>
        <v>0.58726532861622982</v>
      </c>
      <c r="O155" s="302">
        <f t="shared" si="160"/>
        <v>0.59268376725120209</v>
      </c>
      <c r="P155" s="302">
        <f t="shared" si="161"/>
        <v>0.5983023921866345</v>
      </c>
      <c r="Q155" s="302">
        <f t="shared" si="162"/>
        <v>0.60147049212185122</v>
      </c>
      <c r="R155" s="302">
        <f t="shared" si="163"/>
        <v>0.60569174664087311</v>
      </c>
      <c r="S155" s="302">
        <f t="shared" si="164"/>
        <v>0.64541511892408276</v>
      </c>
      <c r="T155" s="302">
        <f t="shared" si="165"/>
        <v>0.65081551045334762</v>
      </c>
      <c r="U155" s="302">
        <f t="shared" si="166"/>
        <v>0.66268635435700607</v>
      </c>
      <c r="V155" s="302">
        <f t="shared" si="167"/>
        <v>0.67950842785923626</v>
      </c>
      <c r="W155" s="302">
        <f t="shared" si="168"/>
        <v>0.7034274897486632</v>
      </c>
      <c r="X155" s="302">
        <f t="shared" si="169"/>
        <v>0.7318316728760339</v>
      </c>
      <c r="Y155" s="302">
        <f t="shared" si="170"/>
        <v>0.76528694292060173</v>
      </c>
      <c r="Z155" s="302">
        <f t="shared" si="171"/>
        <v>0.80441043503731302</v>
      </c>
      <c r="AA155" s="302">
        <f t="shared" si="172"/>
        <v>0.84978128803144348</v>
      </c>
      <c r="AB155" s="302">
        <f t="shared" si="173"/>
        <v>0.90188937064226615</v>
      </c>
      <c r="AC155" s="302">
        <f t="shared" si="174"/>
        <v>0.96107280960777808</v>
      </c>
      <c r="AD155" s="302">
        <f t="shared" si="175"/>
        <v>1.0274486667384792</v>
      </c>
      <c r="AE155" s="302">
        <f t="shared" si="176"/>
        <v>1.1008447741176732</v>
      </c>
      <c r="AF155" s="302">
        <f t="shared" si="177"/>
        <v>1.1807442198461708</v>
      </c>
      <c r="AG155" s="302">
        <f t="shared" si="178"/>
        <v>1.2662559368100239</v>
      </c>
      <c r="AH155" s="302">
        <f t="shared" si="179"/>
        <v>1.3561237750536477</v>
      </c>
      <c r="AI155" s="302">
        <f t="shared" si="180"/>
        <v>1.448781363534466</v>
      </c>
      <c r="AJ155" s="302">
        <f t="shared" si="181"/>
        <v>1.5424513649831799</v>
      </c>
      <c r="AK155" s="302">
        <f t="shared" si="182"/>
        <v>1.6352775116750284</v>
      </c>
      <c r="AL155" s="302">
        <f t="shared" si="183"/>
        <v>1.7254694126010026</v>
      </c>
      <c r="AM155" s="302">
        <f t="shared" si="184"/>
        <v>1.8114366827690933</v>
      </c>
      <c r="AN155" s="302">
        <f t="shared" si="185"/>
        <v>1.8918918273984406</v>
      </c>
      <c r="AO155" s="302">
        <f t="shared" si="186"/>
        <v>1.9659093717380607</v>
      </c>
      <c r="AP155" s="302">
        <f t="shared" si="187"/>
        <v>2.0329389245550682</v>
      </c>
      <c r="AQ155" s="302">
        <f t="shared" si="188"/>
        <v>2.0927788168662187</v>
      </c>
      <c r="AR155" s="302">
        <f t="shared" si="189"/>
        <v>2.1455224050726054</v>
      </c>
      <c r="AS155" s="302">
        <f t="shared" si="190"/>
        <v>2.1914905400015496</v>
      </c>
      <c r="AT155" s="302">
        <f t="shared" si="191"/>
        <v>2.2311619599416694</v>
      </c>
      <c r="AU155" s="302">
        <f t="shared" si="192"/>
        <v>2.2651099597173001</v>
      </c>
      <c r="AV155" s="302">
        <f t="shared" si="193"/>
        <v>2.2939499989619696</v>
      </c>
      <c r="AW155" s="302">
        <f t="shared" si="194"/>
        <v>2.3182998290567234</v>
      </c>
      <c r="AX155" s="302">
        <f t="shared" si="195"/>
        <v>2.3387515977090487</v>
      </c>
      <c r="AY155" s="302">
        <f t="shared" si="196"/>
        <v>2.3589256302123385</v>
      </c>
      <c r="AZ155" s="302">
        <f t="shared" si="197"/>
        <v>2.3760282436988338</v>
      </c>
      <c r="BA155" s="302">
        <f t="shared" si="198"/>
        <v>2.3902778176479829</v>
      </c>
      <c r="BB155" s="302">
        <f t="shared" si="199"/>
        <v>2.4040541953221224</v>
      </c>
      <c r="BC155" s="302">
        <f t="shared" si="200"/>
        <v>2.4158904492221636</v>
      </c>
      <c r="BD155" s="302">
        <f t="shared" si="201"/>
        <v>2.4256971769593849</v>
      </c>
      <c r="BE155" s="302">
        <f t="shared" si="202"/>
        <v>2.4350483022346339</v>
      </c>
      <c r="BF155" s="302">
        <f t="shared" si="203"/>
        <v>2.4431564241065686</v>
      </c>
      <c r="BG155" s="302">
        <f t="shared" si="204"/>
        <v>2.4498484997869308</v>
      </c>
      <c r="BH155" s="302">
        <f t="shared" si="205"/>
        <v>2.4561699542437121</v>
      </c>
      <c r="BI155" s="302">
        <f t="shared" si="206"/>
        <v>2.4624646774656958</v>
      </c>
      <c r="BJ155" s="302">
        <f t="shared" si="207"/>
        <v>2.4691567531460574</v>
      </c>
      <c r="BK155" s="302">
        <f t="shared" si="208"/>
        <v>2.474672161956704</v>
      </c>
      <c r="BL155" s="302">
        <f t="shared" si="209"/>
        <v>2.4792124192474612</v>
      </c>
      <c r="BM155" s="302">
        <f t="shared" si="210"/>
        <v>2.4829462958758097</v>
      </c>
      <c r="BN155" s="302">
        <f t="shared" si="211"/>
        <v>2.4860145501714559</v>
      </c>
      <c r="BO155" s="303">
        <f t="shared" si="212"/>
        <v>2.4885341795335325</v>
      </c>
      <c r="BP155" s="223"/>
    </row>
    <row r="156" spans="3:68" ht="42" customHeight="1">
      <c r="C156" s="424"/>
      <c r="D156" s="423"/>
      <c r="E156" s="443">
        <v>0.9</v>
      </c>
      <c r="F156" s="444">
        <f t="shared" si="148"/>
        <v>2.3481788845180058</v>
      </c>
      <c r="G156" s="449">
        <f t="shared" si="151"/>
        <v>0.54908944225900291</v>
      </c>
      <c r="H156" s="449">
        <f t="shared" si="152"/>
        <v>0.55665179320041447</v>
      </c>
      <c r="I156" s="302">
        <f t="shared" si="154"/>
        <v>0.55831787780840902</v>
      </c>
      <c r="J156" s="302">
        <f t="shared" si="155"/>
        <v>0.56034880947851906</v>
      </c>
      <c r="K156" s="302">
        <f t="shared" si="156"/>
        <v>0.56282340482183868</v>
      </c>
      <c r="L156" s="302">
        <f t="shared" si="157"/>
        <v>0.56583698208453514</v>
      </c>
      <c r="M156" s="302">
        <f t="shared" si="158"/>
        <v>0.56950456118308568</v>
      </c>
      <c r="N156" s="302">
        <f t="shared" si="159"/>
        <v>0.57396455968703763</v>
      </c>
      <c r="O156" s="302">
        <f t="shared" si="160"/>
        <v>0.5793829983220099</v>
      </c>
      <c r="P156" s="302">
        <f t="shared" si="161"/>
        <v>0.58595819170270458</v>
      </c>
      <c r="Q156" s="302">
        <f t="shared" si="162"/>
        <v>0.59268376725120209</v>
      </c>
      <c r="R156" s="302">
        <f t="shared" si="163"/>
        <v>0.5983023921866345</v>
      </c>
      <c r="S156" s="302">
        <f t="shared" si="164"/>
        <v>0.60147049212185122</v>
      </c>
      <c r="T156" s="302">
        <f t="shared" si="165"/>
        <v>0.64987511742803472</v>
      </c>
      <c r="U156" s="302">
        <f t="shared" si="166"/>
        <v>0.65622394250250693</v>
      </c>
      <c r="V156" s="302">
        <f t="shared" si="167"/>
        <v>0.67037145892635142</v>
      </c>
      <c r="W156" s="302">
        <f t="shared" si="168"/>
        <v>0.69049505727194005</v>
      </c>
      <c r="X156" s="302">
        <f t="shared" si="169"/>
        <v>0.71853090394684171</v>
      </c>
      <c r="Y156" s="302">
        <f t="shared" si="170"/>
        <v>0.75198617399140955</v>
      </c>
      <c r="Z156" s="302">
        <f t="shared" si="171"/>
        <v>0.79110966610812083</v>
      </c>
      <c r="AA156" s="302">
        <f t="shared" si="172"/>
        <v>0.8364805191022513</v>
      </c>
      <c r="AB156" s="302">
        <f t="shared" si="173"/>
        <v>0.88858860171307397</v>
      </c>
      <c r="AC156" s="302">
        <f t="shared" si="174"/>
        <v>0.94777204067858589</v>
      </c>
      <c r="AD156" s="302">
        <f t="shared" si="175"/>
        <v>1.014147897809287</v>
      </c>
      <c r="AE156" s="302">
        <f t="shared" si="176"/>
        <v>1.087544005188481</v>
      </c>
      <c r="AF156" s="302">
        <f t="shared" si="177"/>
        <v>1.1674434509169787</v>
      </c>
      <c r="AG156" s="302">
        <f t="shared" si="178"/>
        <v>1.2529551678808315</v>
      </c>
      <c r="AH156" s="302">
        <f t="shared" si="179"/>
        <v>1.3428230061244557</v>
      </c>
      <c r="AI156" s="302">
        <f t="shared" si="180"/>
        <v>1.435480594605274</v>
      </c>
      <c r="AJ156" s="302">
        <f t="shared" si="181"/>
        <v>1.5291505960539877</v>
      </c>
      <c r="AK156" s="302">
        <f t="shared" si="182"/>
        <v>1.6219767427458363</v>
      </c>
      <c r="AL156" s="302">
        <f t="shared" si="183"/>
        <v>1.7121686436718104</v>
      </c>
      <c r="AM156" s="302">
        <f t="shared" si="184"/>
        <v>1.7981359138399011</v>
      </c>
      <c r="AN156" s="302">
        <f t="shared" si="185"/>
        <v>1.8785910584692485</v>
      </c>
      <c r="AO156" s="302">
        <f t="shared" si="186"/>
        <v>1.9526086028088685</v>
      </c>
      <c r="AP156" s="302">
        <f t="shared" si="187"/>
        <v>2.0196381556258762</v>
      </c>
      <c r="AQ156" s="302">
        <f t="shared" si="188"/>
        <v>2.0794780479370267</v>
      </c>
      <c r="AR156" s="302">
        <f t="shared" si="189"/>
        <v>2.1322216361434134</v>
      </c>
      <c r="AS156" s="302">
        <f t="shared" si="190"/>
        <v>2.1781897710723577</v>
      </c>
      <c r="AT156" s="302">
        <f t="shared" si="191"/>
        <v>2.217861191012477</v>
      </c>
      <c r="AU156" s="302">
        <f t="shared" si="192"/>
        <v>2.2518091907881077</v>
      </c>
      <c r="AV156" s="302">
        <f t="shared" si="193"/>
        <v>2.2806492300327776</v>
      </c>
      <c r="AW156" s="302">
        <f t="shared" si="194"/>
        <v>2.3049990601275314</v>
      </c>
      <c r="AX156" s="302">
        <f t="shared" si="195"/>
        <v>2.3293368926271283</v>
      </c>
      <c r="AY156" s="302">
        <f t="shared" si="196"/>
        <v>2.3497886612794536</v>
      </c>
      <c r="AZ156" s="302">
        <f t="shared" si="197"/>
        <v>2.366891274765949</v>
      </c>
      <c r="BA156" s="302">
        <f t="shared" si="198"/>
        <v>2.3835774170324617</v>
      </c>
      <c r="BB156" s="302">
        <f t="shared" si="199"/>
        <v>2.3978269909816108</v>
      </c>
      <c r="BC156" s="302">
        <f t="shared" si="200"/>
        <v>2.409663244881652</v>
      </c>
      <c r="BD156" s="302">
        <f t="shared" si="201"/>
        <v>2.42102031997839</v>
      </c>
      <c r="BE156" s="302">
        <f t="shared" si="202"/>
        <v>2.4308270477156118</v>
      </c>
      <c r="BF156" s="302">
        <f t="shared" si="203"/>
        <v>2.4389351695875465</v>
      </c>
      <c r="BG156" s="302">
        <f t="shared" si="204"/>
        <v>2.4466268527759008</v>
      </c>
      <c r="BH156" s="302">
        <f t="shared" si="205"/>
        <v>2.4543565555937605</v>
      </c>
      <c r="BI156" s="302">
        <f t="shared" si="206"/>
        <v>2.4624646774656958</v>
      </c>
      <c r="BJ156" s="302">
        <f t="shared" si="207"/>
        <v>2.4691567531460574</v>
      </c>
      <c r="BK156" s="302">
        <f t="shared" si="208"/>
        <v>2.474672161956704</v>
      </c>
      <c r="BL156" s="302">
        <f t="shared" si="209"/>
        <v>2.4792124192474612</v>
      </c>
      <c r="BM156" s="302">
        <f t="shared" si="210"/>
        <v>2.4829462958758097</v>
      </c>
      <c r="BN156" s="302">
        <f t="shared" si="211"/>
        <v>2.4860145501714559</v>
      </c>
      <c r="BO156" s="303">
        <f t="shared" si="212"/>
        <v>2.4885341795335325</v>
      </c>
      <c r="BP156" s="223"/>
    </row>
    <row r="157" spans="3:68" ht="42" customHeight="1">
      <c r="C157" s="425"/>
      <c r="D157" s="424"/>
      <c r="E157" s="445">
        <v>0.85</v>
      </c>
      <c r="F157" s="444">
        <f t="shared" si="148"/>
        <v>2.3162126724655767</v>
      </c>
      <c r="G157" s="449">
        <f t="shared" si="151"/>
        <v>0.53310633623278836</v>
      </c>
      <c r="H157" s="449">
        <f t="shared" si="152"/>
        <v>0.54066868717419991</v>
      </c>
      <c r="I157" s="302">
        <f t="shared" si="154"/>
        <v>0.54233477178219447</v>
      </c>
      <c r="J157" s="302">
        <f t="shared" si="155"/>
        <v>0.54436570345230451</v>
      </c>
      <c r="K157" s="302">
        <f t="shared" si="156"/>
        <v>0.54684029879562412</v>
      </c>
      <c r="L157" s="302">
        <f t="shared" si="157"/>
        <v>0.54985387605832059</v>
      </c>
      <c r="M157" s="302">
        <f t="shared" si="158"/>
        <v>0.55352145515687112</v>
      </c>
      <c r="N157" s="302">
        <f t="shared" si="159"/>
        <v>0.55798145366082308</v>
      </c>
      <c r="O157" s="302">
        <f t="shared" si="160"/>
        <v>0.56339989229579535</v>
      </c>
      <c r="P157" s="302">
        <f t="shared" si="161"/>
        <v>0.56997508567649002</v>
      </c>
      <c r="Q157" s="302">
        <f t="shared" si="162"/>
        <v>0.57794273251706152</v>
      </c>
      <c r="R157" s="302">
        <f t="shared" si="163"/>
        <v>0.58595819170270458</v>
      </c>
      <c r="S157" s="302">
        <f t="shared" si="164"/>
        <v>0.59268376725120209</v>
      </c>
      <c r="T157" s="302">
        <f t="shared" si="165"/>
        <v>0.5983023921866345</v>
      </c>
      <c r="U157" s="302">
        <f t="shared" si="166"/>
        <v>0.65081551045334762</v>
      </c>
      <c r="V157" s="302">
        <f t="shared" si="167"/>
        <v>0.66268635435700607</v>
      </c>
      <c r="W157" s="302">
        <f t="shared" si="168"/>
        <v>0.67950842785923626</v>
      </c>
      <c r="X157" s="302">
        <f t="shared" si="169"/>
        <v>0.7034274897486632</v>
      </c>
      <c r="Y157" s="302">
        <f t="shared" si="170"/>
        <v>0.73600306796519499</v>
      </c>
      <c r="Z157" s="302">
        <f t="shared" si="171"/>
        <v>0.77512656008190628</v>
      </c>
      <c r="AA157" s="302">
        <f t="shared" si="172"/>
        <v>0.82049741307603674</v>
      </c>
      <c r="AB157" s="302">
        <f t="shared" si="173"/>
        <v>0.87260549568685941</v>
      </c>
      <c r="AC157" s="302">
        <f t="shared" si="174"/>
        <v>0.93178893465237134</v>
      </c>
      <c r="AD157" s="302">
        <f t="shared" si="175"/>
        <v>0.99816479178307249</v>
      </c>
      <c r="AE157" s="302">
        <f t="shared" si="176"/>
        <v>1.0715608991622665</v>
      </c>
      <c r="AF157" s="302">
        <f t="shared" si="177"/>
        <v>1.1514603448907641</v>
      </c>
      <c r="AG157" s="302">
        <f t="shared" si="178"/>
        <v>1.2369720618546172</v>
      </c>
      <c r="AH157" s="302">
        <f t="shared" si="179"/>
        <v>1.3268399000982409</v>
      </c>
      <c r="AI157" s="302">
        <f t="shared" si="180"/>
        <v>1.4194974885790592</v>
      </c>
      <c r="AJ157" s="302">
        <f t="shared" si="181"/>
        <v>1.5131674900277732</v>
      </c>
      <c r="AK157" s="302">
        <f t="shared" si="182"/>
        <v>1.6059936367196217</v>
      </c>
      <c r="AL157" s="302">
        <f t="shared" si="183"/>
        <v>1.6961855376455959</v>
      </c>
      <c r="AM157" s="302">
        <f t="shared" si="184"/>
        <v>1.7821528078136866</v>
      </c>
      <c r="AN157" s="302">
        <f t="shared" si="185"/>
        <v>1.8626079524430339</v>
      </c>
      <c r="AO157" s="302">
        <f t="shared" si="186"/>
        <v>1.9366254967826539</v>
      </c>
      <c r="AP157" s="302">
        <f t="shared" si="187"/>
        <v>2.0036550495996615</v>
      </c>
      <c r="AQ157" s="302">
        <f t="shared" si="188"/>
        <v>2.063494941910812</v>
      </c>
      <c r="AR157" s="302">
        <f t="shared" si="189"/>
        <v>2.1162385301171991</v>
      </c>
      <c r="AS157" s="302">
        <f t="shared" si="190"/>
        <v>2.1622066650461429</v>
      </c>
      <c r="AT157" s="302">
        <f t="shared" si="191"/>
        <v>2.2018780849862623</v>
      </c>
      <c r="AU157" s="302">
        <f t="shared" si="192"/>
        <v>2.2358260847618929</v>
      </c>
      <c r="AV157" s="302">
        <f t="shared" si="193"/>
        <v>2.2651099597173001</v>
      </c>
      <c r="AW157" s="302">
        <f t="shared" si="194"/>
        <v>2.2939499989619696</v>
      </c>
      <c r="AX157" s="302">
        <f t="shared" si="195"/>
        <v>2.3182998290567234</v>
      </c>
      <c r="AY157" s="302">
        <f t="shared" si="196"/>
        <v>2.3387515977090487</v>
      </c>
      <c r="AZ157" s="302">
        <f t="shared" si="197"/>
        <v>2.3589256302123385</v>
      </c>
      <c r="BA157" s="302">
        <f t="shared" si="198"/>
        <v>2.3760282436988338</v>
      </c>
      <c r="BB157" s="302">
        <f t="shared" si="199"/>
        <v>2.3902778176479829</v>
      </c>
      <c r="BC157" s="302">
        <f t="shared" si="200"/>
        <v>2.4040541953221224</v>
      </c>
      <c r="BD157" s="302">
        <f t="shared" si="201"/>
        <v>2.4158904492221636</v>
      </c>
      <c r="BE157" s="302">
        <f t="shared" si="202"/>
        <v>2.4256971769593849</v>
      </c>
      <c r="BF157" s="302">
        <f t="shared" si="203"/>
        <v>2.4350483022346339</v>
      </c>
      <c r="BG157" s="302">
        <f t="shared" si="204"/>
        <v>2.4431564241065686</v>
      </c>
      <c r="BH157" s="302">
        <f t="shared" si="205"/>
        <v>2.4498484997869308</v>
      </c>
      <c r="BI157" s="302">
        <f t="shared" si="206"/>
        <v>2.4561699542437121</v>
      </c>
      <c r="BJ157" s="302">
        <f t="shared" si="207"/>
        <v>2.4624646774656958</v>
      </c>
      <c r="BK157" s="302">
        <f t="shared" si="208"/>
        <v>2.4691567531460574</v>
      </c>
      <c r="BL157" s="302">
        <f t="shared" si="209"/>
        <v>2.474672161956704</v>
      </c>
      <c r="BM157" s="302">
        <f t="shared" si="210"/>
        <v>2.4792124192474612</v>
      </c>
      <c r="BN157" s="302">
        <f t="shared" si="211"/>
        <v>2.4829462958758097</v>
      </c>
      <c r="BO157" s="303">
        <f t="shared" si="212"/>
        <v>2.4860145501714559</v>
      </c>
      <c r="BP157" s="223"/>
    </row>
    <row r="158" spans="3:68" ht="42" customHeight="1">
      <c r="C158" s="425"/>
      <c r="D158" s="424"/>
      <c r="E158" s="443">
        <v>0.8</v>
      </c>
      <c r="F158" s="444">
        <f t="shared" si="148"/>
        <v>2.2779313050956609</v>
      </c>
      <c r="G158" s="449">
        <f t="shared" si="151"/>
        <v>0.51396565254783044</v>
      </c>
      <c r="H158" s="449">
        <f t="shared" si="152"/>
        <v>0.521528003489242</v>
      </c>
      <c r="I158" s="302">
        <f t="shared" si="154"/>
        <v>0.52319408809723655</v>
      </c>
      <c r="J158" s="302">
        <f t="shared" si="155"/>
        <v>0.52522501976734659</v>
      </c>
      <c r="K158" s="302">
        <f t="shared" si="156"/>
        <v>0.52769961511066621</v>
      </c>
      <c r="L158" s="302">
        <f t="shared" si="157"/>
        <v>0.53071319237336267</v>
      </c>
      <c r="M158" s="302">
        <f t="shared" si="158"/>
        <v>0.53438077147191321</v>
      </c>
      <c r="N158" s="302">
        <f t="shared" si="159"/>
        <v>0.53884076997586516</v>
      </c>
      <c r="O158" s="302">
        <f t="shared" si="160"/>
        <v>0.54425920861083743</v>
      </c>
      <c r="P158" s="302">
        <f t="shared" si="161"/>
        <v>0.55083440199153211</v>
      </c>
      <c r="Q158" s="302">
        <f t="shared" si="162"/>
        <v>0.5588020488321036</v>
      </c>
      <c r="R158" s="302">
        <f t="shared" si="163"/>
        <v>0.56844054163555369</v>
      </c>
      <c r="S158" s="302">
        <f t="shared" si="164"/>
        <v>0.57794273251706152</v>
      </c>
      <c r="T158" s="302">
        <f t="shared" si="165"/>
        <v>0.58595819170270458</v>
      </c>
      <c r="U158" s="302">
        <f t="shared" si="166"/>
        <v>0.59268376725120209</v>
      </c>
      <c r="V158" s="302">
        <f t="shared" si="167"/>
        <v>0.65622394250250693</v>
      </c>
      <c r="W158" s="302">
        <f t="shared" si="168"/>
        <v>0.67037145892635142</v>
      </c>
      <c r="X158" s="302">
        <f t="shared" si="169"/>
        <v>0.69049505727194005</v>
      </c>
      <c r="Y158" s="302">
        <f t="shared" si="170"/>
        <v>0.71853090394684171</v>
      </c>
      <c r="Z158" s="302">
        <f t="shared" si="171"/>
        <v>0.75598587639694836</v>
      </c>
      <c r="AA158" s="302">
        <f t="shared" si="172"/>
        <v>0.80135672939107883</v>
      </c>
      <c r="AB158" s="302">
        <f t="shared" si="173"/>
        <v>0.8534648120019015</v>
      </c>
      <c r="AC158" s="302">
        <f t="shared" si="174"/>
        <v>0.91264825096741342</v>
      </c>
      <c r="AD158" s="302">
        <f t="shared" si="175"/>
        <v>0.97902410809811458</v>
      </c>
      <c r="AE158" s="302">
        <f t="shared" si="176"/>
        <v>1.0524202154773086</v>
      </c>
      <c r="AF158" s="302">
        <f t="shared" si="177"/>
        <v>1.1323196612058062</v>
      </c>
      <c r="AG158" s="302">
        <f t="shared" si="178"/>
        <v>1.217831378169659</v>
      </c>
      <c r="AH158" s="302">
        <f t="shared" si="179"/>
        <v>1.3076992164132832</v>
      </c>
      <c r="AI158" s="302">
        <f t="shared" si="180"/>
        <v>1.4003568048941015</v>
      </c>
      <c r="AJ158" s="302">
        <f t="shared" si="181"/>
        <v>1.4940268063428153</v>
      </c>
      <c r="AK158" s="302">
        <f t="shared" si="182"/>
        <v>1.5868529530346638</v>
      </c>
      <c r="AL158" s="302">
        <f t="shared" si="183"/>
        <v>1.677044853960638</v>
      </c>
      <c r="AM158" s="302">
        <f t="shared" si="184"/>
        <v>1.7630121241287287</v>
      </c>
      <c r="AN158" s="302">
        <f t="shared" si="185"/>
        <v>1.843467268758076</v>
      </c>
      <c r="AO158" s="302">
        <f t="shared" si="186"/>
        <v>1.917484813097696</v>
      </c>
      <c r="AP158" s="302">
        <f t="shared" si="187"/>
        <v>1.9845143659147035</v>
      </c>
      <c r="AQ158" s="302">
        <f t="shared" si="188"/>
        <v>2.0443542582258543</v>
      </c>
      <c r="AR158" s="302">
        <f t="shared" si="189"/>
        <v>2.097097846432241</v>
      </c>
      <c r="AS158" s="302">
        <f t="shared" si="190"/>
        <v>2.1430659813611852</v>
      </c>
      <c r="AT158" s="302">
        <f t="shared" si="191"/>
        <v>2.1827374013013046</v>
      </c>
      <c r="AU158" s="302">
        <f t="shared" si="192"/>
        <v>2.217861191012477</v>
      </c>
      <c r="AV158" s="302">
        <f t="shared" si="193"/>
        <v>2.2518091907881077</v>
      </c>
      <c r="AW158" s="302">
        <f t="shared" si="194"/>
        <v>2.2806492300327776</v>
      </c>
      <c r="AX158" s="302">
        <f t="shared" si="195"/>
        <v>2.3049990601275314</v>
      </c>
      <c r="AY158" s="302">
        <f t="shared" si="196"/>
        <v>2.3293368926271283</v>
      </c>
      <c r="AZ158" s="302">
        <f t="shared" si="197"/>
        <v>2.3497886612794536</v>
      </c>
      <c r="BA158" s="302">
        <f t="shared" si="198"/>
        <v>2.366891274765949</v>
      </c>
      <c r="BB158" s="302">
        <f t="shared" si="199"/>
        <v>2.3835774170324617</v>
      </c>
      <c r="BC158" s="302">
        <f t="shared" si="200"/>
        <v>2.3978269909816108</v>
      </c>
      <c r="BD158" s="302">
        <f t="shared" si="201"/>
        <v>2.409663244881652</v>
      </c>
      <c r="BE158" s="302">
        <f t="shared" si="202"/>
        <v>2.42102031997839</v>
      </c>
      <c r="BF158" s="302">
        <f t="shared" si="203"/>
        <v>2.4308270477156118</v>
      </c>
      <c r="BG158" s="302">
        <f t="shared" si="204"/>
        <v>2.4389351695875465</v>
      </c>
      <c r="BH158" s="302">
        <f t="shared" si="205"/>
        <v>2.4466268527759008</v>
      </c>
      <c r="BI158" s="302">
        <f t="shared" si="206"/>
        <v>2.4543565555937605</v>
      </c>
      <c r="BJ158" s="302">
        <f t="shared" si="207"/>
        <v>2.4624646774656958</v>
      </c>
      <c r="BK158" s="302">
        <f t="shared" si="208"/>
        <v>2.4691567531460574</v>
      </c>
      <c r="BL158" s="302">
        <f t="shared" si="209"/>
        <v>2.474672161956704</v>
      </c>
      <c r="BM158" s="302">
        <f t="shared" si="210"/>
        <v>2.4792124192474612</v>
      </c>
      <c r="BN158" s="302">
        <f t="shared" si="211"/>
        <v>2.4829462958758097</v>
      </c>
      <c r="BO158" s="303">
        <f t="shared" si="212"/>
        <v>2.4860145501714559</v>
      </c>
      <c r="BP158" s="223"/>
    </row>
    <row r="159" spans="3:68" ht="42" customHeight="1">
      <c r="C159" s="425"/>
      <c r="D159" s="424"/>
      <c r="E159" s="445">
        <v>0.75</v>
      </c>
      <c r="F159" s="444">
        <f t="shared" si="148"/>
        <v>2.2322748544524948</v>
      </c>
      <c r="G159" s="449">
        <f t="shared" si="151"/>
        <v>0.49113742722624742</v>
      </c>
      <c r="H159" s="449">
        <f t="shared" si="152"/>
        <v>0.49869977816765898</v>
      </c>
      <c r="I159" s="302">
        <f t="shared" si="154"/>
        <v>0.50036586277565354</v>
      </c>
      <c r="J159" s="302">
        <f t="shared" si="155"/>
        <v>0.50239679444576357</v>
      </c>
      <c r="K159" s="302">
        <f t="shared" si="156"/>
        <v>0.50487138978908319</v>
      </c>
      <c r="L159" s="302">
        <f t="shared" si="157"/>
        <v>0.50788496705177966</v>
      </c>
      <c r="M159" s="302">
        <f t="shared" si="158"/>
        <v>0.51155254615033019</v>
      </c>
      <c r="N159" s="302">
        <f t="shared" si="159"/>
        <v>0.51601254465428215</v>
      </c>
      <c r="O159" s="302">
        <f t="shared" si="160"/>
        <v>0.52143098328925441</v>
      </c>
      <c r="P159" s="302">
        <f t="shared" si="161"/>
        <v>0.52800617666994909</v>
      </c>
      <c r="Q159" s="302">
        <f t="shared" si="162"/>
        <v>0.53597382351052059</v>
      </c>
      <c r="R159" s="302">
        <f t="shared" si="163"/>
        <v>0.54561231631397067</v>
      </c>
      <c r="S159" s="302">
        <f t="shared" si="164"/>
        <v>0.55724795270364158</v>
      </c>
      <c r="T159" s="302">
        <f t="shared" si="165"/>
        <v>0.56844054163555369</v>
      </c>
      <c r="U159" s="302">
        <f t="shared" si="166"/>
        <v>0.57794273251706152</v>
      </c>
      <c r="V159" s="302">
        <f t="shared" si="167"/>
        <v>0.58595819170270458</v>
      </c>
      <c r="W159" s="302">
        <f t="shared" si="168"/>
        <v>0.66268635435700607</v>
      </c>
      <c r="X159" s="302">
        <f t="shared" si="169"/>
        <v>0.67950842785923626</v>
      </c>
      <c r="Y159" s="302">
        <f t="shared" si="170"/>
        <v>0.7034274897486632</v>
      </c>
      <c r="Z159" s="302">
        <f t="shared" si="171"/>
        <v>0.73600306796519499</v>
      </c>
      <c r="AA159" s="302">
        <f t="shared" si="172"/>
        <v>0.77852850406949581</v>
      </c>
      <c r="AB159" s="302">
        <f t="shared" si="173"/>
        <v>0.83063658668031848</v>
      </c>
      <c r="AC159" s="302">
        <f t="shared" si="174"/>
        <v>0.8898200256458304</v>
      </c>
      <c r="AD159" s="302">
        <f t="shared" si="175"/>
        <v>0.95619588277653156</v>
      </c>
      <c r="AE159" s="302">
        <f t="shared" si="176"/>
        <v>1.0295919901557256</v>
      </c>
      <c r="AF159" s="302">
        <f t="shared" si="177"/>
        <v>1.1094914358842232</v>
      </c>
      <c r="AG159" s="302">
        <f t="shared" si="178"/>
        <v>1.1950031528480762</v>
      </c>
      <c r="AH159" s="302">
        <f t="shared" si="179"/>
        <v>1.2848709910917</v>
      </c>
      <c r="AI159" s="302">
        <f t="shared" si="180"/>
        <v>1.3775285795725183</v>
      </c>
      <c r="AJ159" s="302">
        <f t="shared" si="181"/>
        <v>1.4711985810212322</v>
      </c>
      <c r="AK159" s="302">
        <f t="shared" si="182"/>
        <v>1.5640247277130808</v>
      </c>
      <c r="AL159" s="302">
        <f t="shared" si="183"/>
        <v>1.6542166286390549</v>
      </c>
      <c r="AM159" s="302">
        <f t="shared" si="184"/>
        <v>1.7401838988071456</v>
      </c>
      <c r="AN159" s="302">
        <f t="shared" si="185"/>
        <v>1.820639043436493</v>
      </c>
      <c r="AO159" s="302">
        <f t="shared" si="186"/>
        <v>1.894656587776113</v>
      </c>
      <c r="AP159" s="302">
        <f t="shared" si="187"/>
        <v>1.9616861405931205</v>
      </c>
      <c r="AQ159" s="302">
        <f t="shared" si="188"/>
        <v>2.021526032904271</v>
      </c>
      <c r="AR159" s="302">
        <f t="shared" si="189"/>
        <v>2.0742696211106582</v>
      </c>
      <c r="AS159" s="302">
        <f t="shared" si="190"/>
        <v>2.120237756039602</v>
      </c>
      <c r="AT159" s="302">
        <f t="shared" si="191"/>
        <v>2.1622066650461429</v>
      </c>
      <c r="AU159" s="302">
        <f t="shared" si="192"/>
        <v>2.2018780849862623</v>
      </c>
      <c r="AV159" s="302">
        <f t="shared" si="193"/>
        <v>2.2358260847618929</v>
      </c>
      <c r="AW159" s="302">
        <f t="shared" si="194"/>
        <v>2.2651099597173001</v>
      </c>
      <c r="AX159" s="302">
        <f t="shared" si="195"/>
        <v>2.2939499989619696</v>
      </c>
      <c r="AY159" s="302">
        <f t="shared" si="196"/>
        <v>2.3182998290567234</v>
      </c>
      <c r="AZ159" s="302">
        <f t="shared" si="197"/>
        <v>2.3387515977090487</v>
      </c>
      <c r="BA159" s="302">
        <f t="shared" si="198"/>
        <v>2.3589256302123385</v>
      </c>
      <c r="BB159" s="302">
        <f t="shared" si="199"/>
        <v>2.3760282436988338</v>
      </c>
      <c r="BC159" s="302">
        <f t="shared" si="200"/>
        <v>2.3902778176479829</v>
      </c>
      <c r="BD159" s="302">
        <f t="shared" si="201"/>
        <v>2.4040541953221224</v>
      </c>
      <c r="BE159" s="302">
        <f t="shared" si="202"/>
        <v>2.4158904492221636</v>
      </c>
      <c r="BF159" s="302">
        <f t="shared" si="203"/>
        <v>2.4256971769593849</v>
      </c>
      <c r="BG159" s="302">
        <f t="shared" si="204"/>
        <v>2.4350483022346339</v>
      </c>
      <c r="BH159" s="302">
        <f t="shared" si="205"/>
        <v>2.4431564241065686</v>
      </c>
      <c r="BI159" s="302">
        <f t="shared" si="206"/>
        <v>2.4498484997869308</v>
      </c>
      <c r="BJ159" s="302">
        <f t="shared" si="207"/>
        <v>2.4561699542437121</v>
      </c>
      <c r="BK159" s="302">
        <f t="shared" si="208"/>
        <v>2.4624646774656958</v>
      </c>
      <c r="BL159" s="302">
        <f t="shared" si="209"/>
        <v>2.4691567531460574</v>
      </c>
      <c r="BM159" s="302">
        <f t="shared" si="210"/>
        <v>2.474672161956704</v>
      </c>
      <c r="BN159" s="302">
        <f t="shared" si="211"/>
        <v>2.4792124192474612</v>
      </c>
      <c r="BO159" s="303">
        <f t="shared" si="212"/>
        <v>2.4829462958758097</v>
      </c>
      <c r="BP159" s="223"/>
    </row>
    <row r="160" spans="3:68" ht="42" customHeight="1">
      <c r="C160" s="425"/>
      <c r="D160" s="424"/>
      <c r="E160" s="443">
        <v>0.7</v>
      </c>
      <c r="F160" s="444">
        <f t="shared" si="148"/>
        <v>2.1780881297807722</v>
      </c>
      <c r="G160" s="449">
        <f t="shared" si="151"/>
        <v>0.46404406489038608</v>
      </c>
      <c r="H160" s="449">
        <f t="shared" si="152"/>
        <v>0.47160641583179763</v>
      </c>
      <c r="I160" s="302">
        <f t="shared" si="154"/>
        <v>0.47327250043979219</v>
      </c>
      <c r="J160" s="302">
        <f t="shared" si="155"/>
        <v>0.47530343210990222</v>
      </c>
      <c r="K160" s="302">
        <f t="shared" si="156"/>
        <v>0.47777802745322184</v>
      </c>
      <c r="L160" s="302">
        <f t="shared" si="157"/>
        <v>0.48079160471591831</v>
      </c>
      <c r="M160" s="302">
        <f t="shared" si="158"/>
        <v>0.48445918381446884</v>
      </c>
      <c r="N160" s="302">
        <f t="shared" si="159"/>
        <v>0.4889191823184208</v>
      </c>
      <c r="O160" s="302">
        <f t="shared" si="160"/>
        <v>0.49433762095339306</v>
      </c>
      <c r="P160" s="302">
        <f t="shared" si="161"/>
        <v>0.50091281433408774</v>
      </c>
      <c r="Q160" s="302">
        <f t="shared" si="162"/>
        <v>0.50888046117465924</v>
      </c>
      <c r="R160" s="302">
        <f t="shared" si="163"/>
        <v>0.51851895397810932</v>
      </c>
      <c r="S160" s="302">
        <f t="shared" si="164"/>
        <v>0.53015459036778023</v>
      </c>
      <c r="T160" s="302">
        <f t="shared" si="165"/>
        <v>0.54416617555590752</v>
      </c>
      <c r="U160" s="302">
        <f t="shared" si="166"/>
        <v>0.55724795270364158</v>
      </c>
      <c r="V160" s="302">
        <f t="shared" si="167"/>
        <v>0.56844054163555369</v>
      </c>
      <c r="W160" s="302">
        <f t="shared" si="168"/>
        <v>0.57794273251706152</v>
      </c>
      <c r="X160" s="302">
        <f t="shared" si="169"/>
        <v>0.67037145892635142</v>
      </c>
      <c r="Y160" s="302">
        <f t="shared" si="170"/>
        <v>0.69049505727194005</v>
      </c>
      <c r="Z160" s="302">
        <f t="shared" si="171"/>
        <v>0.71853090394684171</v>
      </c>
      <c r="AA160" s="302">
        <f t="shared" si="172"/>
        <v>0.75598587639694836</v>
      </c>
      <c r="AB160" s="302">
        <f t="shared" si="173"/>
        <v>0.80354322434445713</v>
      </c>
      <c r="AC160" s="302">
        <f t="shared" si="174"/>
        <v>0.86272666330996906</v>
      </c>
      <c r="AD160" s="302">
        <f t="shared" si="175"/>
        <v>0.92910252044067021</v>
      </c>
      <c r="AE160" s="302">
        <f t="shared" si="176"/>
        <v>1.0024986278198642</v>
      </c>
      <c r="AF160" s="302">
        <f t="shared" si="177"/>
        <v>1.0823980735483618</v>
      </c>
      <c r="AG160" s="302">
        <f t="shared" si="178"/>
        <v>1.1679097905122147</v>
      </c>
      <c r="AH160" s="302">
        <f t="shared" si="179"/>
        <v>1.2577776287558389</v>
      </c>
      <c r="AI160" s="302">
        <f t="shared" si="180"/>
        <v>1.3504352172366572</v>
      </c>
      <c r="AJ160" s="302">
        <f t="shared" si="181"/>
        <v>1.4441052186853709</v>
      </c>
      <c r="AK160" s="302">
        <f t="shared" si="182"/>
        <v>1.5369313653772194</v>
      </c>
      <c r="AL160" s="302">
        <f t="shared" si="183"/>
        <v>1.6271232663031936</v>
      </c>
      <c r="AM160" s="302">
        <f t="shared" si="184"/>
        <v>1.7130905364712843</v>
      </c>
      <c r="AN160" s="302">
        <f t="shared" si="185"/>
        <v>1.7935456811006316</v>
      </c>
      <c r="AO160" s="302">
        <f t="shared" si="186"/>
        <v>1.8675632254402517</v>
      </c>
      <c r="AP160" s="302">
        <f t="shared" si="187"/>
        <v>1.9345927782572592</v>
      </c>
      <c r="AQ160" s="302">
        <f t="shared" si="188"/>
        <v>1.9944326705684097</v>
      </c>
      <c r="AR160" s="302">
        <f t="shared" si="189"/>
        <v>2.0471762587747966</v>
      </c>
      <c r="AS160" s="302">
        <f t="shared" si="190"/>
        <v>2.097097846432241</v>
      </c>
      <c r="AT160" s="302">
        <f t="shared" si="191"/>
        <v>2.1430659813611852</v>
      </c>
      <c r="AU160" s="302">
        <f t="shared" si="192"/>
        <v>2.1827374013013046</v>
      </c>
      <c r="AV160" s="302">
        <f t="shared" si="193"/>
        <v>2.217861191012477</v>
      </c>
      <c r="AW160" s="302">
        <f t="shared" si="194"/>
        <v>2.2518091907881077</v>
      </c>
      <c r="AX160" s="302">
        <f t="shared" si="195"/>
        <v>2.2806492300327776</v>
      </c>
      <c r="AY160" s="302">
        <f t="shared" si="196"/>
        <v>2.3049990601275314</v>
      </c>
      <c r="AZ160" s="302">
        <f t="shared" si="197"/>
        <v>2.3293368926271283</v>
      </c>
      <c r="BA160" s="302">
        <f t="shared" si="198"/>
        <v>2.3497886612794536</v>
      </c>
      <c r="BB160" s="302">
        <f t="shared" si="199"/>
        <v>2.366891274765949</v>
      </c>
      <c r="BC160" s="302">
        <f t="shared" si="200"/>
        <v>2.3835774170324617</v>
      </c>
      <c r="BD160" s="302">
        <f t="shared" si="201"/>
        <v>2.3978269909816108</v>
      </c>
      <c r="BE160" s="302">
        <f t="shared" si="202"/>
        <v>2.409663244881652</v>
      </c>
      <c r="BF160" s="302">
        <f t="shared" si="203"/>
        <v>2.42102031997839</v>
      </c>
      <c r="BG160" s="302">
        <f t="shared" si="204"/>
        <v>2.4308270477156118</v>
      </c>
      <c r="BH160" s="302">
        <f t="shared" si="205"/>
        <v>2.4389351695875465</v>
      </c>
      <c r="BI160" s="302">
        <f t="shared" si="206"/>
        <v>2.4466268527759008</v>
      </c>
      <c r="BJ160" s="302">
        <f t="shared" si="207"/>
        <v>2.4543565555937605</v>
      </c>
      <c r="BK160" s="302">
        <f t="shared" si="208"/>
        <v>2.4624646774656958</v>
      </c>
      <c r="BL160" s="302">
        <f t="shared" si="209"/>
        <v>2.4691567531460574</v>
      </c>
      <c r="BM160" s="302">
        <f t="shared" si="210"/>
        <v>2.474672161956704</v>
      </c>
      <c r="BN160" s="302">
        <f t="shared" si="211"/>
        <v>2.4792124192474612</v>
      </c>
      <c r="BO160" s="303">
        <f t="shared" si="212"/>
        <v>2.4829462958758097</v>
      </c>
      <c r="BP160" s="223"/>
    </row>
    <row r="161" spans="3:68" ht="42" customHeight="1">
      <c r="C161" s="425"/>
      <c r="D161" s="424"/>
      <c r="E161" s="445">
        <v>0.65</v>
      </c>
      <c r="F161" s="444">
        <f t="shared" si="148"/>
        <v>2.1141493970469325</v>
      </c>
      <c r="G161" s="449">
        <f t="shared" si="151"/>
        <v>0.43207469852346625</v>
      </c>
      <c r="H161" s="449">
        <f t="shared" si="152"/>
        <v>0.4396370494648778</v>
      </c>
      <c r="I161" s="302">
        <f t="shared" si="154"/>
        <v>0.44130313407287236</v>
      </c>
      <c r="J161" s="302">
        <f t="shared" si="155"/>
        <v>0.4433340657429824</v>
      </c>
      <c r="K161" s="302">
        <f t="shared" si="156"/>
        <v>0.44580866108630202</v>
      </c>
      <c r="L161" s="302">
        <f t="shared" si="157"/>
        <v>0.44882223834899848</v>
      </c>
      <c r="M161" s="302">
        <f t="shared" si="158"/>
        <v>0.45248981744754901</v>
      </c>
      <c r="N161" s="302">
        <f t="shared" si="159"/>
        <v>0.45694981595150097</v>
      </c>
      <c r="O161" s="302">
        <f t="shared" si="160"/>
        <v>0.46236825458647324</v>
      </c>
      <c r="P161" s="302">
        <f t="shared" si="161"/>
        <v>0.46894344796716791</v>
      </c>
      <c r="Q161" s="302">
        <f t="shared" si="162"/>
        <v>0.47691109480773941</v>
      </c>
      <c r="R161" s="302">
        <f t="shared" si="163"/>
        <v>0.48654958761118949</v>
      </c>
      <c r="S161" s="302">
        <f t="shared" si="164"/>
        <v>0.4981852240008604</v>
      </c>
      <c r="T161" s="302">
        <f t="shared" si="165"/>
        <v>0.51219680918898769</v>
      </c>
      <c r="U161" s="302">
        <f t="shared" si="166"/>
        <v>0.52901888269121788</v>
      </c>
      <c r="V161" s="302">
        <f t="shared" si="167"/>
        <v>0.54416617555590752</v>
      </c>
      <c r="W161" s="302">
        <f t="shared" si="168"/>
        <v>0.55724795270364158</v>
      </c>
      <c r="X161" s="302">
        <f t="shared" si="169"/>
        <v>0.56844054163555369</v>
      </c>
      <c r="Y161" s="302">
        <f t="shared" si="170"/>
        <v>0.67950842785923626</v>
      </c>
      <c r="Z161" s="302">
        <f t="shared" si="171"/>
        <v>0.7034274897486632</v>
      </c>
      <c r="AA161" s="302">
        <f t="shared" si="172"/>
        <v>0.73600306796519499</v>
      </c>
      <c r="AB161" s="302">
        <f t="shared" si="173"/>
        <v>0.77852850406949581</v>
      </c>
      <c r="AC161" s="302">
        <f t="shared" si="174"/>
        <v>0.83075729694304923</v>
      </c>
      <c r="AD161" s="302">
        <f t="shared" si="175"/>
        <v>0.89713315407375038</v>
      </c>
      <c r="AE161" s="302">
        <f t="shared" si="176"/>
        <v>0.97052926145294438</v>
      </c>
      <c r="AF161" s="302">
        <f t="shared" si="177"/>
        <v>1.050428707181442</v>
      </c>
      <c r="AG161" s="302">
        <f t="shared" si="178"/>
        <v>1.1359404241452951</v>
      </c>
      <c r="AH161" s="302">
        <f t="shared" si="179"/>
        <v>1.2258082623889188</v>
      </c>
      <c r="AI161" s="302">
        <f t="shared" si="180"/>
        <v>1.3184658508697371</v>
      </c>
      <c r="AJ161" s="302">
        <f t="shared" si="181"/>
        <v>1.4121358523184511</v>
      </c>
      <c r="AK161" s="302">
        <f t="shared" si="182"/>
        <v>1.5049619990102996</v>
      </c>
      <c r="AL161" s="302">
        <f t="shared" si="183"/>
        <v>1.5951538999362738</v>
      </c>
      <c r="AM161" s="302">
        <f t="shared" si="184"/>
        <v>1.6811211701043645</v>
      </c>
      <c r="AN161" s="302">
        <f t="shared" si="185"/>
        <v>1.7615763147337118</v>
      </c>
      <c r="AO161" s="302">
        <f t="shared" si="186"/>
        <v>1.8355938590733318</v>
      </c>
      <c r="AP161" s="302">
        <f t="shared" si="187"/>
        <v>1.9026234118903393</v>
      </c>
      <c r="AQ161" s="302">
        <f t="shared" si="188"/>
        <v>1.9624633042014898</v>
      </c>
      <c r="AR161" s="302">
        <f t="shared" si="189"/>
        <v>2.021526032904271</v>
      </c>
      <c r="AS161" s="302">
        <f t="shared" si="190"/>
        <v>2.0742696211106582</v>
      </c>
      <c r="AT161" s="302">
        <f t="shared" si="191"/>
        <v>2.120237756039602</v>
      </c>
      <c r="AU161" s="302">
        <f t="shared" si="192"/>
        <v>2.1622066650461429</v>
      </c>
      <c r="AV161" s="302">
        <f t="shared" si="193"/>
        <v>2.2018780849862623</v>
      </c>
      <c r="AW161" s="302">
        <f t="shared" si="194"/>
        <v>2.2358260847618929</v>
      </c>
      <c r="AX161" s="302">
        <f t="shared" si="195"/>
        <v>2.2651099597173001</v>
      </c>
      <c r="AY161" s="302">
        <f t="shared" si="196"/>
        <v>2.2939499989619696</v>
      </c>
      <c r="AZ161" s="302">
        <f t="shared" si="197"/>
        <v>2.3182998290567234</v>
      </c>
      <c r="BA161" s="302">
        <f t="shared" si="198"/>
        <v>2.3387515977090487</v>
      </c>
      <c r="BB161" s="302">
        <f t="shared" si="199"/>
        <v>2.3589256302123385</v>
      </c>
      <c r="BC161" s="302">
        <f t="shared" si="200"/>
        <v>2.3760282436988338</v>
      </c>
      <c r="BD161" s="302">
        <f t="shared" si="201"/>
        <v>2.3902778176479829</v>
      </c>
      <c r="BE161" s="302">
        <f t="shared" si="202"/>
        <v>2.4040541953221224</v>
      </c>
      <c r="BF161" s="302">
        <f t="shared" si="203"/>
        <v>2.4158904492221636</v>
      </c>
      <c r="BG161" s="302">
        <f t="shared" si="204"/>
        <v>2.4256971769593849</v>
      </c>
      <c r="BH161" s="302">
        <f t="shared" si="205"/>
        <v>2.4350483022346339</v>
      </c>
      <c r="BI161" s="302">
        <f t="shared" si="206"/>
        <v>2.4431564241065686</v>
      </c>
      <c r="BJ161" s="302">
        <f t="shared" si="207"/>
        <v>2.4498484997869308</v>
      </c>
      <c r="BK161" s="302">
        <f t="shared" si="208"/>
        <v>2.4561699542437121</v>
      </c>
      <c r="BL161" s="302">
        <f t="shared" si="209"/>
        <v>2.4624646774656958</v>
      </c>
      <c r="BM161" s="302">
        <f t="shared" si="210"/>
        <v>2.4691567531460574</v>
      </c>
      <c r="BN161" s="302">
        <f t="shared" si="211"/>
        <v>2.474672161956704</v>
      </c>
      <c r="BO161" s="303">
        <f t="shared" si="212"/>
        <v>2.4792124192474612</v>
      </c>
      <c r="BP161" s="223"/>
    </row>
    <row r="162" spans="3:68" ht="42" customHeight="1">
      <c r="C162" s="425"/>
      <c r="D162" s="424"/>
      <c r="E162" s="443">
        <v>0.6</v>
      </c>
      <c r="F162" s="444">
        <f t="shared" si="148"/>
        <v>2.0392180386627801</v>
      </c>
      <c r="G162" s="449">
        <f t="shared" si="151"/>
        <v>0.39460901933139003</v>
      </c>
      <c r="H162" s="449">
        <f t="shared" si="152"/>
        <v>0.40217137027280159</v>
      </c>
      <c r="I162" s="302">
        <f t="shared" si="154"/>
        <v>0.40383745488079614</v>
      </c>
      <c r="J162" s="302">
        <f t="shared" si="155"/>
        <v>0.40586838655090618</v>
      </c>
      <c r="K162" s="302">
        <f t="shared" si="156"/>
        <v>0.4083429818942258</v>
      </c>
      <c r="L162" s="302">
        <f t="shared" si="157"/>
        <v>0.41135655915692226</v>
      </c>
      <c r="M162" s="302">
        <f t="shared" si="158"/>
        <v>0.4150241382554728</v>
      </c>
      <c r="N162" s="302">
        <f t="shared" si="159"/>
        <v>0.41948413675942475</v>
      </c>
      <c r="O162" s="302">
        <f t="shared" si="160"/>
        <v>0.42490257539439702</v>
      </c>
      <c r="P162" s="302">
        <f t="shared" si="161"/>
        <v>0.4314777687750917</v>
      </c>
      <c r="Q162" s="302">
        <f t="shared" si="162"/>
        <v>0.43944541561566319</v>
      </c>
      <c r="R162" s="302">
        <f t="shared" si="163"/>
        <v>0.44908390841911328</v>
      </c>
      <c r="S162" s="302">
        <f t="shared" si="164"/>
        <v>0.46071954480878419</v>
      </c>
      <c r="T162" s="302">
        <f t="shared" si="165"/>
        <v>0.47473112999691147</v>
      </c>
      <c r="U162" s="302">
        <f t="shared" si="166"/>
        <v>0.49155320349914167</v>
      </c>
      <c r="V162" s="302">
        <f t="shared" si="167"/>
        <v>0.5116768018447303</v>
      </c>
      <c r="W162" s="302">
        <f t="shared" si="168"/>
        <v>0.52901888269121788</v>
      </c>
      <c r="X162" s="302">
        <f t="shared" si="169"/>
        <v>0.54416617555590752</v>
      </c>
      <c r="Y162" s="302">
        <f t="shared" si="170"/>
        <v>0.55724795270364158</v>
      </c>
      <c r="Z162" s="302">
        <f t="shared" si="171"/>
        <v>0.69049505727194005</v>
      </c>
      <c r="AA162" s="302">
        <f t="shared" si="172"/>
        <v>0.71853090394684171</v>
      </c>
      <c r="AB162" s="302">
        <f t="shared" si="173"/>
        <v>0.75598587639694836</v>
      </c>
      <c r="AC162" s="302">
        <f t="shared" si="174"/>
        <v>0.80354322434445713</v>
      </c>
      <c r="AD162" s="302">
        <f t="shared" si="175"/>
        <v>0.86272666330996906</v>
      </c>
      <c r="AE162" s="302">
        <f t="shared" si="176"/>
        <v>0.93306358226086816</v>
      </c>
      <c r="AF162" s="302">
        <f t="shared" si="177"/>
        <v>1.0129630279893658</v>
      </c>
      <c r="AG162" s="302">
        <f t="shared" si="178"/>
        <v>1.0984747449532186</v>
      </c>
      <c r="AH162" s="302">
        <f t="shared" si="179"/>
        <v>1.1883425831968428</v>
      </c>
      <c r="AI162" s="302">
        <f t="shared" si="180"/>
        <v>1.2810001716776611</v>
      </c>
      <c r="AJ162" s="302">
        <f t="shared" si="181"/>
        <v>1.3746701731263749</v>
      </c>
      <c r="AK162" s="302">
        <f t="shared" si="182"/>
        <v>1.4674963198182234</v>
      </c>
      <c r="AL162" s="302">
        <f t="shared" si="183"/>
        <v>1.5576882207441975</v>
      </c>
      <c r="AM162" s="302">
        <f t="shared" si="184"/>
        <v>1.6436554909122882</v>
      </c>
      <c r="AN162" s="302">
        <f t="shared" si="185"/>
        <v>1.7241106355416356</v>
      </c>
      <c r="AO162" s="302">
        <f t="shared" si="186"/>
        <v>1.7981281798812556</v>
      </c>
      <c r="AP162" s="302">
        <f t="shared" si="187"/>
        <v>1.8675632254402517</v>
      </c>
      <c r="AQ162" s="302">
        <f t="shared" si="188"/>
        <v>1.9345927782572592</v>
      </c>
      <c r="AR162" s="302">
        <f t="shared" si="189"/>
        <v>1.9944326705684097</v>
      </c>
      <c r="AS162" s="302">
        <f t="shared" si="190"/>
        <v>2.0471762587747966</v>
      </c>
      <c r="AT162" s="302">
        <f t="shared" si="191"/>
        <v>2.097097846432241</v>
      </c>
      <c r="AU162" s="302">
        <f t="shared" si="192"/>
        <v>2.1430659813611852</v>
      </c>
      <c r="AV162" s="302">
        <f t="shared" si="193"/>
        <v>2.1827374013013046</v>
      </c>
      <c r="AW162" s="302">
        <f t="shared" si="194"/>
        <v>2.217861191012477</v>
      </c>
      <c r="AX162" s="302">
        <f t="shared" si="195"/>
        <v>2.2518091907881077</v>
      </c>
      <c r="AY162" s="302">
        <f t="shared" si="196"/>
        <v>2.2806492300327776</v>
      </c>
      <c r="AZ162" s="302">
        <f t="shared" si="197"/>
        <v>2.3049990601275314</v>
      </c>
      <c r="BA162" s="302">
        <f t="shared" si="198"/>
        <v>2.3293368926271283</v>
      </c>
      <c r="BB162" s="302">
        <f t="shared" si="199"/>
        <v>2.3497886612794536</v>
      </c>
      <c r="BC162" s="302">
        <f t="shared" si="200"/>
        <v>2.366891274765949</v>
      </c>
      <c r="BD162" s="302">
        <f t="shared" si="201"/>
        <v>2.3835774170324617</v>
      </c>
      <c r="BE162" s="302">
        <f t="shared" si="202"/>
        <v>2.3978269909816108</v>
      </c>
      <c r="BF162" s="302">
        <f t="shared" si="203"/>
        <v>2.409663244881652</v>
      </c>
      <c r="BG162" s="302">
        <f t="shared" si="204"/>
        <v>2.42102031997839</v>
      </c>
      <c r="BH162" s="302">
        <f t="shared" si="205"/>
        <v>2.4308270477156118</v>
      </c>
      <c r="BI162" s="302">
        <f t="shared" si="206"/>
        <v>2.4389351695875465</v>
      </c>
      <c r="BJ162" s="302">
        <f t="shared" si="207"/>
        <v>2.4466268527759008</v>
      </c>
      <c r="BK162" s="302">
        <f t="shared" si="208"/>
        <v>2.4543565555937605</v>
      </c>
      <c r="BL162" s="302">
        <f t="shared" si="209"/>
        <v>2.4624646774656958</v>
      </c>
      <c r="BM162" s="302">
        <f t="shared" si="210"/>
        <v>2.4691567531460574</v>
      </c>
      <c r="BN162" s="302">
        <f t="shared" si="211"/>
        <v>2.474672161956704</v>
      </c>
      <c r="BO162" s="303">
        <f t="shared" si="212"/>
        <v>2.4792124192474612</v>
      </c>
      <c r="BP162" s="223"/>
    </row>
    <row r="163" spans="3:68" ht="42" customHeight="1">
      <c r="C163" s="425"/>
      <c r="D163" s="424"/>
      <c r="E163" s="445">
        <v>0.55000000000000004</v>
      </c>
      <c r="F163" s="444">
        <f t="shared" si="148"/>
        <v>1.9521050714892176</v>
      </c>
      <c r="G163" s="449">
        <f t="shared" si="151"/>
        <v>0.35105253574460882</v>
      </c>
      <c r="H163" s="449">
        <f t="shared" si="152"/>
        <v>0.35861488668602037</v>
      </c>
      <c r="I163" s="302">
        <f t="shared" si="154"/>
        <v>0.36028097129401493</v>
      </c>
      <c r="J163" s="302">
        <f t="shared" si="155"/>
        <v>0.36231190296412497</v>
      </c>
      <c r="K163" s="302">
        <f t="shared" si="156"/>
        <v>0.36478649830744458</v>
      </c>
      <c r="L163" s="302">
        <f t="shared" si="157"/>
        <v>0.36780007557014105</v>
      </c>
      <c r="M163" s="302">
        <f t="shared" si="158"/>
        <v>0.37146765466869158</v>
      </c>
      <c r="N163" s="302">
        <f t="shared" si="159"/>
        <v>0.37592765317264354</v>
      </c>
      <c r="O163" s="302">
        <f t="shared" si="160"/>
        <v>0.38134609180761581</v>
      </c>
      <c r="P163" s="302">
        <f t="shared" si="161"/>
        <v>0.38792128518831048</v>
      </c>
      <c r="Q163" s="302">
        <f t="shared" si="162"/>
        <v>0.39588893202888198</v>
      </c>
      <c r="R163" s="302">
        <f t="shared" si="163"/>
        <v>0.40552742483233206</v>
      </c>
      <c r="S163" s="302">
        <f t="shared" si="164"/>
        <v>0.41716306122200297</v>
      </c>
      <c r="T163" s="302">
        <f t="shared" si="165"/>
        <v>0.43117464641013026</v>
      </c>
      <c r="U163" s="302">
        <f t="shared" si="166"/>
        <v>0.44799671991236045</v>
      </c>
      <c r="V163" s="302">
        <f t="shared" si="167"/>
        <v>0.46812031825794909</v>
      </c>
      <c r="W163" s="302">
        <f t="shared" si="168"/>
        <v>0.49155320349914167</v>
      </c>
      <c r="X163" s="302">
        <f t="shared" si="169"/>
        <v>0.5116768018447303</v>
      </c>
      <c r="Y163" s="302">
        <f t="shared" si="170"/>
        <v>0.52901888269121788</v>
      </c>
      <c r="Z163" s="302">
        <f t="shared" si="171"/>
        <v>0.54416617555590752</v>
      </c>
      <c r="AA163" s="302">
        <f t="shared" si="172"/>
        <v>0.7034274897486632</v>
      </c>
      <c r="AB163" s="302">
        <f t="shared" si="173"/>
        <v>0.73600306796519499</v>
      </c>
      <c r="AC163" s="302">
        <f t="shared" si="174"/>
        <v>0.77852850406949581</v>
      </c>
      <c r="AD163" s="302">
        <f t="shared" si="175"/>
        <v>0.83075729694304923</v>
      </c>
      <c r="AE163" s="302">
        <f t="shared" si="176"/>
        <v>0.89713315407375038</v>
      </c>
      <c r="AF163" s="302">
        <f t="shared" si="177"/>
        <v>0.97052926145294438</v>
      </c>
      <c r="AG163" s="302">
        <f t="shared" si="178"/>
        <v>1.0549182613664376</v>
      </c>
      <c r="AH163" s="302">
        <f t="shared" si="179"/>
        <v>1.1447860996100614</v>
      </c>
      <c r="AI163" s="302">
        <f t="shared" si="180"/>
        <v>1.2374436880908797</v>
      </c>
      <c r="AJ163" s="302">
        <f t="shared" si="181"/>
        <v>1.3311136895395936</v>
      </c>
      <c r="AK163" s="302">
        <f t="shared" si="182"/>
        <v>1.4239398362314422</v>
      </c>
      <c r="AL163" s="302">
        <f t="shared" si="183"/>
        <v>1.5141317371574163</v>
      </c>
      <c r="AM163" s="302">
        <f t="shared" si="184"/>
        <v>1.600099007325507</v>
      </c>
      <c r="AN163" s="302">
        <f t="shared" si="185"/>
        <v>1.6811211701043645</v>
      </c>
      <c r="AO163" s="302">
        <f t="shared" si="186"/>
        <v>1.7615763147337118</v>
      </c>
      <c r="AP163" s="302">
        <f t="shared" si="187"/>
        <v>1.8355938590733318</v>
      </c>
      <c r="AQ163" s="302">
        <f t="shared" si="188"/>
        <v>1.9026234118903393</v>
      </c>
      <c r="AR163" s="302">
        <f t="shared" si="189"/>
        <v>1.9624633042014898</v>
      </c>
      <c r="AS163" s="302">
        <f t="shared" si="190"/>
        <v>2.021526032904271</v>
      </c>
      <c r="AT163" s="302">
        <f t="shared" si="191"/>
        <v>2.0742696211106582</v>
      </c>
      <c r="AU163" s="302">
        <f t="shared" si="192"/>
        <v>2.120237756039602</v>
      </c>
      <c r="AV163" s="302">
        <f t="shared" si="193"/>
        <v>2.1622066650461429</v>
      </c>
      <c r="AW163" s="302">
        <f t="shared" si="194"/>
        <v>2.2018780849862623</v>
      </c>
      <c r="AX163" s="302">
        <f t="shared" si="195"/>
        <v>2.2358260847618929</v>
      </c>
      <c r="AY163" s="302">
        <f t="shared" si="196"/>
        <v>2.2651099597173001</v>
      </c>
      <c r="AZ163" s="302">
        <f t="shared" si="197"/>
        <v>2.2939499989619696</v>
      </c>
      <c r="BA163" s="302">
        <f t="shared" si="198"/>
        <v>2.3182998290567234</v>
      </c>
      <c r="BB163" s="302">
        <f t="shared" si="199"/>
        <v>2.3387515977090487</v>
      </c>
      <c r="BC163" s="302">
        <f t="shared" si="200"/>
        <v>2.3589256302123385</v>
      </c>
      <c r="BD163" s="302">
        <f t="shared" si="201"/>
        <v>2.3760282436988338</v>
      </c>
      <c r="BE163" s="302">
        <f t="shared" si="202"/>
        <v>2.3902778176479829</v>
      </c>
      <c r="BF163" s="302">
        <f t="shared" si="203"/>
        <v>2.4040541953221224</v>
      </c>
      <c r="BG163" s="302">
        <f t="shared" si="204"/>
        <v>2.4158904492221636</v>
      </c>
      <c r="BH163" s="302">
        <f t="shared" si="205"/>
        <v>2.4256971769593849</v>
      </c>
      <c r="BI163" s="302">
        <f t="shared" si="206"/>
        <v>2.4350483022346339</v>
      </c>
      <c r="BJ163" s="302">
        <f t="shared" si="207"/>
        <v>2.4431564241065686</v>
      </c>
      <c r="BK163" s="302">
        <f t="shared" si="208"/>
        <v>2.4498484997869308</v>
      </c>
      <c r="BL163" s="302">
        <f t="shared" si="209"/>
        <v>2.4561699542437121</v>
      </c>
      <c r="BM163" s="302">
        <f t="shared" si="210"/>
        <v>2.4624646774656958</v>
      </c>
      <c r="BN163" s="302">
        <f t="shared" si="211"/>
        <v>2.4691567531460574</v>
      </c>
      <c r="BO163" s="303">
        <f t="shared" si="212"/>
        <v>2.474672161956704</v>
      </c>
      <c r="BP163" s="223"/>
    </row>
    <row r="164" spans="3:68" ht="42" customHeight="1">
      <c r="C164" s="425"/>
      <c r="D164" s="424"/>
      <c r="E164" s="443">
        <v>0.5</v>
      </c>
      <c r="F164" s="444">
        <f t="shared" si="148"/>
        <v>1.8517686871464205</v>
      </c>
      <c r="G164" s="449">
        <f t="shared" si="151"/>
        <v>0.30088434357321026</v>
      </c>
      <c r="H164" s="449">
        <f t="shared" si="152"/>
        <v>0.30844669451462181</v>
      </c>
      <c r="I164" s="302">
        <f t="shared" si="154"/>
        <v>0.31011277912261637</v>
      </c>
      <c r="J164" s="302">
        <f t="shared" si="155"/>
        <v>0.3121437107927264</v>
      </c>
      <c r="K164" s="302">
        <f t="shared" si="156"/>
        <v>0.31461830613604602</v>
      </c>
      <c r="L164" s="302">
        <f t="shared" si="157"/>
        <v>0.31763188339874249</v>
      </c>
      <c r="M164" s="302">
        <f t="shared" si="158"/>
        <v>0.32129946249729302</v>
      </c>
      <c r="N164" s="302">
        <f t="shared" si="159"/>
        <v>0.32575946100124498</v>
      </c>
      <c r="O164" s="302">
        <f t="shared" si="160"/>
        <v>0.33117789963621724</v>
      </c>
      <c r="P164" s="302">
        <f t="shared" si="161"/>
        <v>0.33775309301691192</v>
      </c>
      <c r="Q164" s="302">
        <f t="shared" si="162"/>
        <v>0.34572073985748342</v>
      </c>
      <c r="R164" s="302">
        <f t="shared" si="163"/>
        <v>0.3553592326609335</v>
      </c>
      <c r="S164" s="302">
        <f t="shared" si="164"/>
        <v>0.36699486905060441</v>
      </c>
      <c r="T164" s="302">
        <f t="shared" si="165"/>
        <v>0.3810064542387317</v>
      </c>
      <c r="U164" s="302">
        <f t="shared" si="166"/>
        <v>0.39782852774096189</v>
      </c>
      <c r="V164" s="302">
        <f t="shared" si="167"/>
        <v>0.41795212608655052</v>
      </c>
      <c r="W164" s="302">
        <f t="shared" si="168"/>
        <v>0.44192162213367842</v>
      </c>
      <c r="X164" s="302">
        <f t="shared" si="169"/>
        <v>0.46812031825794909</v>
      </c>
      <c r="Y164" s="302">
        <f t="shared" si="170"/>
        <v>0.49155320349914167</v>
      </c>
      <c r="Z164" s="302">
        <f t="shared" si="171"/>
        <v>0.5116768018447303</v>
      </c>
      <c r="AA164" s="302">
        <f t="shared" si="172"/>
        <v>0.52901888269121788</v>
      </c>
      <c r="AB164" s="302">
        <f t="shared" si="173"/>
        <v>0.71853090394684171</v>
      </c>
      <c r="AC164" s="302">
        <f t="shared" si="174"/>
        <v>0.75598587639694836</v>
      </c>
      <c r="AD164" s="302">
        <f t="shared" si="175"/>
        <v>0.80354322434445713</v>
      </c>
      <c r="AE164" s="302">
        <f t="shared" si="176"/>
        <v>0.86272666330996906</v>
      </c>
      <c r="AF164" s="302">
        <f t="shared" si="177"/>
        <v>0.93306358226086816</v>
      </c>
      <c r="AG164" s="302">
        <f t="shared" si="178"/>
        <v>1.0129630279893658</v>
      </c>
      <c r="AH164" s="302">
        <f t="shared" si="179"/>
        <v>1.0984747449532186</v>
      </c>
      <c r="AI164" s="302">
        <f t="shared" si="180"/>
        <v>1.1883425831968428</v>
      </c>
      <c r="AJ164" s="302">
        <f t="shared" si="181"/>
        <v>1.2810001716776611</v>
      </c>
      <c r="AK164" s="302">
        <f t="shared" si="182"/>
        <v>1.3746701731263749</v>
      </c>
      <c r="AL164" s="302">
        <f t="shared" si="183"/>
        <v>1.4674963198182234</v>
      </c>
      <c r="AM164" s="302">
        <f t="shared" si="184"/>
        <v>1.5576882207441975</v>
      </c>
      <c r="AN164" s="302">
        <f t="shared" si="185"/>
        <v>1.6436554909122882</v>
      </c>
      <c r="AO164" s="302">
        <f t="shared" si="186"/>
        <v>1.7241106355416356</v>
      </c>
      <c r="AP164" s="302">
        <f t="shared" si="187"/>
        <v>1.7981281798812556</v>
      </c>
      <c r="AQ164" s="302">
        <f t="shared" si="188"/>
        <v>1.8675632254402517</v>
      </c>
      <c r="AR164" s="302">
        <f t="shared" si="189"/>
        <v>1.9345927782572592</v>
      </c>
      <c r="AS164" s="302">
        <f t="shared" si="190"/>
        <v>1.9944326705684097</v>
      </c>
      <c r="AT164" s="302">
        <f t="shared" si="191"/>
        <v>2.0471762587747966</v>
      </c>
      <c r="AU164" s="302">
        <f t="shared" si="192"/>
        <v>2.097097846432241</v>
      </c>
      <c r="AV164" s="302">
        <f t="shared" si="193"/>
        <v>2.1430659813611852</v>
      </c>
      <c r="AW164" s="302">
        <f t="shared" si="194"/>
        <v>2.1827374013013046</v>
      </c>
      <c r="AX164" s="302">
        <f t="shared" si="195"/>
        <v>2.217861191012477</v>
      </c>
      <c r="AY164" s="302">
        <f t="shared" si="196"/>
        <v>2.2518091907881077</v>
      </c>
      <c r="AZ164" s="302">
        <f t="shared" si="197"/>
        <v>2.2806492300327776</v>
      </c>
      <c r="BA164" s="302">
        <f t="shared" si="198"/>
        <v>2.3049990601275314</v>
      </c>
      <c r="BB164" s="302">
        <f t="shared" si="199"/>
        <v>2.3293368926271283</v>
      </c>
      <c r="BC164" s="302">
        <f t="shared" si="200"/>
        <v>2.3497886612794536</v>
      </c>
      <c r="BD164" s="302">
        <f t="shared" si="201"/>
        <v>2.366891274765949</v>
      </c>
      <c r="BE164" s="302">
        <f t="shared" si="202"/>
        <v>2.3835774170324617</v>
      </c>
      <c r="BF164" s="302">
        <f t="shared" si="203"/>
        <v>2.3978269909816108</v>
      </c>
      <c r="BG164" s="302">
        <f t="shared" si="204"/>
        <v>2.409663244881652</v>
      </c>
      <c r="BH164" s="302">
        <f t="shared" si="205"/>
        <v>2.42102031997839</v>
      </c>
      <c r="BI164" s="302">
        <f t="shared" si="206"/>
        <v>2.4308270477156118</v>
      </c>
      <c r="BJ164" s="302">
        <f t="shared" si="207"/>
        <v>2.4389351695875465</v>
      </c>
      <c r="BK164" s="302">
        <f t="shared" si="208"/>
        <v>2.4466268527759008</v>
      </c>
      <c r="BL164" s="302">
        <f t="shared" si="209"/>
        <v>2.4543565555937605</v>
      </c>
      <c r="BM164" s="302">
        <f t="shared" si="210"/>
        <v>2.4624646774656958</v>
      </c>
      <c r="BN164" s="302">
        <f t="shared" si="211"/>
        <v>2.4691567531460574</v>
      </c>
      <c r="BO164" s="303">
        <f t="shared" si="212"/>
        <v>2.474672161956704</v>
      </c>
      <c r="BP164" s="223"/>
    </row>
    <row r="165" spans="3:68" ht="42" customHeight="1">
      <c r="C165" s="425"/>
      <c r="D165" s="424"/>
      <c r="E165" s="445">
        <v>0.45</v>
      </c>
      <c r="F165" s="444">
        <f t="shared" si="148"/>
        <v>1.7374334734495021</v>
      </c>
      <c r="G165" s="449">
        <f t="shared" si="151"/>
        <v>0.24371673672475103</v>
      </c>
      <c r="H165" s="449">
        <f t="shared" si="152"/>
        <v>0.25127908766616258</v>
      </c>
      <c r="I165" s="302">
        <f t="shared" si="154"/>
        <v>0.25294517227415714</v>
      </c>
      <c r="J165" s="302">
        <f t="shared" si="155"/>
        <v>0.25497610394426717</v>
      </c>
      <c r="K165" s="302">
        <f t="shared" si="156"/>
        <v>0.25745069928758679</v>
      </c>
      <c r="L165" s="302">
        <f t="shared" si="157"/>
        <v>0.26046427655028326</v>
      </c>
      <c r="M165" s="302">
        <f t="shared" si="158"/>
        <v>0.26413185564883379</v>
      </c>
      <c r="N165" s="302">
        <f t="shared" si="159"/>
        <v>0.26859185415278575</v>
      </c>
      <c r="O165" s="302">
        <f t="shared" si="160"/>
        <v>0.27401029278775801</v>
      </c>
      <c r="P165" s="302">
        <f t="shared" si="161"/>
        <v>0.28058548616845269</v>
      </c>
      <c r="Q165" s="302">
        <f t="shared" si="162"/>
        <v>0.28855313300902419</v>
      </c>
      <c r="R165" s="302">
        <f t="shared" si="163"/>
        <v>0.29819162581247427</v>
      </c>
      <c r="S165" s="302">
        <f t="shared" si="164"/>
        <v>0.30982726220214518</v>
      </c>
      <c r="T165" s="302">
        <f t="shared" si="165"/>
        <v>0.32383884739027247</v>
      </c>
      <c r="U165" s="302">
        <f t="shared" si="166"/>
        <v>0.34066092089250266</v>
      </c>
      <c r="V165" s="302">
        <f t="shared" si="167"/>
        <v>0.36078451923809129</v>
      </c>
      <c r="W165" s="302">
        <f t="shared" si="168"/>
        <v>0.38475401528521919</v>
      </c>
      <c r="X165" s="302">
        <f t="shared" si="169"/>
        <v>0.41315819841258983</v>
      </c>
      <c r="Y165" s="302">
        <f t="shared" si="170"/>
        <v>0.44192162213367842</v>
      </c>
      <c r="Z165" s="302">
        <f t="shared" si="171"/>
        <v>0.46812031825794909</v>
      </c>
      <c r="AA165" s="302">
        <f t="shared" si="172"/>
        <v>0.49155320349914167</v>
      </c>
      <c r="AB165" s="302">
        <f t="shared" si="173"/>
        <v>0.5116768018447303</v>
      </c>
      <c r="AC165" s="302">
        <f t="shared" si="174"/>
        <v>0.73600306796519499</v>
      </c>
      <c r="AD165" s="302">
        <f t="shared" si="175"/>
        <v>0.77852850406949581</v>
      </c>
      <c r="AE165" s="302">
        <f t="shared" si="176"/>
        <v>0.83075729694304923</v>
      </c>
      <c r="AF165" s="302">
        <f t="shared" si="177"/>
        <v>0.89713315407375038</v>
      </c>
      <c r="AG165" s="302">
        <f t="shared" si="178"/>
        <v>0.97052926145294438</v>
      </c>
      <c r="AH165" s="302">
        <f t="shared" si="179"/>
        <v>1.0549182613664376</v>
      </c>
      <c r="AI165" s="302">
        <f t="shared" si="180"/>
        <v>1.1447860996100614</v>
      </c>
      <c r="AJ165" s="302">
        <f t="shared" si="181"/>
        <v>1.2374436880908797</v>
      </c>
      <c r="AK165" s="302">
        <f t="shared" si="182"/>
        <v>1.3311136895395936</v>
      </c>
      <c r="AL165" s="302">
        <f t="shared" si="183"/>
        <v>1.4239398362314422</v>
      </c>
      <c r="AM165" s="302">
        <f t="shared" si="184"/>
        <v>1.5141317371574163</v>
      </c>
      <c r="AN165" s="302">
        <f t="shared" si="185"/>
        <v>1.600099007325507</v>
      </c>
      <c r="AO165" s="302">
        <f t="shared" si="186"/>
        <v>1.6811211701043645</v>
      </c>
      <c r="AP165" s="302">
        <f t="shared" si="187"/>
        <v>1.7615763147337118</v>
      </c>
      <c r="AQ165" s="302">
        <f t="shared" si="188"/>
        <v>1.8355938590733318</v>
      </c>
      <c r="AR165" s="302">
        <f t="shared" si="189"/>
        <v>1.9026234118903393</v>
      </c>
      <c r="AS165" s="302">
        <f t="shared" si="190"/>
        <v>1.9624633042014898</v>
      </c>
      <c r="AT165" s="302">
        <f t="shared" si="191"/>
        <v>2.021526032904271</v>
      </c>
      <c r="AU165" s="302">
        <f t="shared" si="192"/>
        <v>2.0742696211106582</v>
      </c>
      <c r="AV165" s="302">
        <f t="shared" si="193"/>
        <v>2.120237756039602</v>
      </c>
      <c r="AW165" s="302">
        <f t="shared" si="194"/>
        <v>2.1622066650461429</v>
      </c>
      <c r="AX165" s="302">
        <f t="shared" si="195"/>
        <v>2.2018780849862623</v>
      </c>
      <c r="AY165" s="302">
        <f t="shared" si="196"/>
        <v>2.2358260847618929</v>
      </c>
      <c r="AZ165" s="302">
        <f t="shared" si="197"/>
        <v>2.2651099597173001</v>
      </c>
      <c r="BA165" s="302">
        <f t="shared" si="198"/>
        <v>2.2939499989619696</v>
      </c>
      <c r="BB165" s="302">
        <f t="shared" si="199"/>
        <v>2.3182998290567234</v>
      </c>
      <c r="BC165" s="302">
        <f t="shared" si="200"/>
        <v>2.3387515977090487</v>
      </c>
      <c r="BD165" s="302">
        <f t="shared" si="201"/>
        <v>2.3589256302123385</v>
      </c>
      <c r="BE165" s="302">
        <f t="shared" si="202"/>
        <v>2.3760282436988338</v>
      </c>
      <c r="BF165" s="302">
        <f t="shared" si="203"/>
        <v>2.3902778176479829</v>
      </c>
      <c r="BG165" s="302">
        <f t="shared" si="204"/>
        <v>2.4040541953221224</v>
      </c>
      <c r="BH165" s="302">
        <f t="shared" si="205"/>
        <v>2.4158904492221636</v>
      </c>
      <c r="BI165" s="302">
        <f t="shared" si="206"/>
        <v>2.4256971769593849</v>
      </c>
      <c r="BJ165" s="302">
        <f t="shared" si="207"/>
        <v>2.4350483022346339</v>
      </c>
      <c r="BK165" s="302">
        <f t="shared" si="208"/>
        <v>2.4431564241065686</v>
      </c>
      <c r="BL165" s="302">
        <f t="shared" si="209"/>
        <v>2.4498484997869308</v>
      </c>
      <c r="BM165" s="302">
        <f t="shared" si="210"/>
        <v>2.4561699542437121</v>
      </c>
      <c r="BN165" s="302">
        <f t="shared" si="211"/>
        <v>2.4624646774656958</v>
      </c>
      <c r="BO165" s="303">
        <f t="shared" si="212"/>
        <v>2.4691567531460574</v>
      </c>
      <c r="BP165" s="223"/>
    </row>
    <row r="166" spans="3:68" ht="42" customHeight="1">
      <c r="C166" s="425"/>
      <c r="D166" s="424"/>
      <c r="E166" s="443">
        <v>0.4</v>
      </c>
      <c r="F166" s="444">
        <f t="shared" si="148"/>
        <v>1.6087264925225999</v>
      </c>
      <c r="G166" s="449">
        <f t="shared" si="151"/>
        <v>0.17936324626129996</v>
      </c>
      <c r="H166" s="449">
        <f t="shared" si="152"/>
        <v>0.18692559720271151</v>
      </c>
      <c r="I166" s="302">
        <f t="shared" si="154"/>
        <v>0.18859168181070607</v>
      </c>
      <c r="J166" s="302">
        <f t="shared" si="155"/>
        <v>0.19062261348081611</v>
      </c>
      <c r="K166" s="302">
        <f t="shared" si="156"/>
        <v>0.19309720882413572</v>
      </c>
      <c r="L166" s="302">
        <f t="shared" si="157"/>
        <v>0.19611078608683219</v>
      </c>
      <c r="M166" s="302">
        <f t="shared" si="158"/>
        <v>0.19977836518538272</v>
      </c>
      <c r="N166" s="302">
        <f t="shared" si="159"/>
        <v>0.20423836368933468</v>
      </c>
      <c r="O166" s="302">
        <f t="shared" si="160"/>
        <v>0.20965680232430695</v>
      </c>
      <c r="P166" s="302">
        <f t="shared" si="161"/>
        <v>0.21623199570500162</v>
      </c>
      <c r="Q166" s="302">
        <f t="shared" si="162"/>
        <v>0.22419964254557312</v>
      </c>
      <c r="R166" s="302">
        <f t="shared" si="163"/>
        <v>0.2338381353490232</v>
      </c>
      <c r="S166" s="302">
        <f t="shared" si="164"/>
        <v>0.24547377173869411</v>
      </c>
      <c r="T166" s="302">
        <f t="shared" si="165"/>
        <v>0.2594853569268214</v>
      </c>
      <c r="U166" s="302">
        <f t="shared" si="166"/>
        <v>0.27630743042905159</v>
      </c>
      <c r="V166" s="302">
        <f t="shared" si="167"/>
        <v>0.29643102877464023</v>
      </c>
      <c r="W166" s="302">
        <f t="shared" si="168"/>
        <v>0.32040052482176812</v>
      </c>
      <c r="X166" s="302">
        <f t="shared" si="169"/>
        <v>0.34880470794913876</v>
      </c>
      <c r="Y166" s="302">
        <f t="shared" si="170"/>
        <v>0.38225997799370665</v>
      </c>
      <c r="Z166" s="302">
        <f t="shared" si="171"/>
        <v>0.41315819841258983</v>
      </c>
      <c r="AA166" s="302">
        <f t="shared" si="172"/>
        <v>0.44192162213367842</v>
      </c>
      <c r="AB166" s="302">
        <f t="shared" si="173"/>
        <v>0.46812031825794909</v>
      </c>
      <c r="AC166" s="302">
        <f t="shared" si="174"/>
        <v>0.49155320349914167</v>
      </c>
      <c r="AD166" s="302">
        <f t="shared" si="175"/>
        <v>0.75598587639694836</v>
      </c>
      <c r="AE166" s="302">
        <f t="shared" si="176"/>
        <v>0.80354322434445713</v>
      </c>
      <c r="AF166" s="302">
        <f t="shared" si="177"/>
        <v>0.86272666330996906</v>
      </c>
      <c r="AG166" s="302">
        <f t="shared" si="178"/>
        <v>0.93306358226086816</v>
      </c>
      <c r="AH166" s="302">
        <f t="shared" si="179"/>
        <v>1.0129630279893658</v>
      </c>
      <c r="AI166" s="302">
        <f t="shared" si="180"/>
        <v>1.0984747449532186</v>
      </c>
      <c r="AJ166" s="302">
        <f t="shared" si="181"/>
        <v>1.1883425831968428</v>
      </c>
      <c r="AK166" s="302">
        <f t="shared" si="182"/>
        <v>1.2810001716776611</v>
      </c>
      <c r="AL166" s="302">
        <f t="shared" si="183"/>
        <v>1.3746701731263749</v>
      </c>
      <c r="AM166" s="302">
        <f t="shared" si="184"/>
        <v>1.4674963198182234</v>
      </c>
      <c r="AN166" s="302">
        <f t="shared" si="185"/>
        <v>1.5576882207441975</v>
      </c>
      <c r="AO166" s="302">
        <f t="shared" si="186"/>
        <v>1.6436554909122882</v>
      </c>
      <c r="AP166" s="302">
        <f t="shared" si="187"/>
        <v>1.7241106355416356</v>
      </c>
      <c r="AQ166" s="302">
        <f t="shared" si="188"/>
        <v>1.7981281798812556</v>
      </c>
      <c r="AR166" s="302">
        <f t="shared" si="189"/>
        <v>1.8675632254402517</v>
      </c>
      <c r="AS166" s="302">
        <f t="shared" si="190"/>
        <v>1.9345927782572592</v>
      </c>
      <c r="AT166" s="302">
        <f t="shared" si="191"/>
        <v>1.9944326705684097</v>
      </c>
      <c r="AU166" s="302">
        <f t="shared" si="192"/>
        <v>2.0471762587747966</v>
      </c>
      <c r="AV166" s="302">
        <f t="shared" si="193"/>
        <v>2.097097846432241</v>
      </c>
      <c r="AW166" s="302">
        <f t="shared" si="194"/>
        <v>2.1430659813611852</v>
      </c>
      <c r="AX166" s="302">
        <f t="shared" si="195"/>
        <v>2.1827374013013046</v>
      </c>
      <c r="AY166" s="302">
        <f t="shared" si="196"/>
        <v>2.217861191012477</v>
      </c>
      <c r="AZ166" s="302">
        <f t="shared" si="197"/>
        <v>2.2518091907881077</v>
      </c>
      <c r="BA166" s="302">
        <f t="shared" si="198"/>
        <v>2.2806492300327776</v>
      </c>
      <c r="BB166" s="302">
        <f t="shared" si="199"/>
        <v>2.3049990601275314</v>
      </c>
      <c r="BC166" s="302">
        <f t="shared" si="200"/>
        <v>2.3293368926271283</v>
      </c>
      <c r="BD166" s="302">
        <f t="shared" si="201"/>
        <v>2.3497886612794536</v>
      </c>
      <c r="BE166" s="302">
        <f t="shared" si="202"/>
        <v>2.366891274765949</v>
      </c>
      <c r="BF166" s="302">
        <f t="shared" si="203"/>
        <v>2.3835774170324617</v>
      </c>
      <c r="BG166" s="302">
        <f t="shared" si="204"/>
        <v>2.3978269909816108</v>
      </c>
      <c r="BH166" s="302">
        <f t="shared" si="205"/>
        <v>2.409663244881652</v>
      </c>
      <c r="BI166" s="302">
        <f t="shared" si="206"/>
        <v>2.42102031997839</v>
      </c>
      <c r="BJ166" s="302">
        <f t="shared" si="207"/>
        <v>2.4308270477156118</v>
      </c>
      <c r="BK166" s="302">
        <f t="shared" si="208"/>
        <v>2.4389351695875465</v>
      </c>
      <c r="BL166" s="302">
        <f t="shared" si="209"/>
        <v>2.4466268527759008</v>
      </c>
      <c r="BM166" s="302">
        <f t="shared" si="210"/>
        <v>2.4543565555937605</v>
      </c>
      <c r="BN166" s="302">
        <f t="shared" si="211"/>
        <v>2.4624646774656958</v>
      </c>
      <c r="BO166" s="303">
        <f t="shared" si="212"/>
        <v>2.4691567531460574</v>
      </c>
      <c r="BP166" s="223"/>
    </row>
    <row r="167" spans="3:68" ht="42" customHeight="1">
      <c r="C167" s="425"/>
      <c r="D167" s="424"/>
      <c r="E167" s="445">
        <v>0.35</v>
      </c>
      <c r="F167" s="444">
        <f t="shared" si="148"/>
        <v>1.4658163178117132</v>
      </c>
      <c r="G167" s="449">
        <f t="shared" si="151"/>
        <v>0.10790815890585659</v>
      </c>
      <c r="H167" s="449">
        <f t="shared" si="152"/>
        <v>0.11547050984726814</v>
      </c>
      <c r="I167" s="302">
        <f t="shared" si="154"/>
        <v>0.1171365944552627</v>
      </c>
      <c r="J167" s="302">
        <f t="shared" si="155"/>
        <v>0.11916752612537274</v>
      </c>
      <c r="K167" s="302">
        <f t="shared" si="156"/>
        <v>0.12164212146869235</v>
      </c>
      <c r="L167" s="302">
        <f t="shared" si="157"/>
        <v>0.12465569873138882</v>
      </c>
      <c r="M167" s="302">
        <f t="shared" si="158"/>
        <v>0.12832327782993935</v>
      </c>
      <c r="N167" s="302">
        <f t="shared" si="159"/>
        <v>0.13278327633389131</v>
      </c>
      <c r="O167" s="302">
        <f t="shared" si="160"/>
        <v>0.13820171496886358</v>
      </c>
      <c r="P167" s="302">
        <f t="shared" si="161"/>
        <v>0.14477690834955825</v>
      </c>
      <c r="Q167" s="302">
        <f t="shared" si="162"/>
        <v>0.15274455519012975</v>
      </c>
      <c r="R167" s="302">
        <f t="shared" si="163"/>
        <v>0.16238304799357983</v>
      </c>
      <c r="S167" s="302">
        <f t="shared" si="164"/>
        <v>0.17401868438325074</v>
      </c>
      <c r="T167" s="302">
        <f t="shared" si="165"/>
        <v>0.18803026957137803</v>
      </c>
      <c r="U167" s="302">
        <f t="shared" si="166"/>
        <v>0.20485234307360822</v>
      </c>
      <c r="V167" s="302">
        <f t="shared" si="167"/>
        <v>0.22497594141919686</v>
      </c>
      <c r="W167" s="302">
        <f t="shared" si="168"/>
        <v>0.24894543746632475</v>
      </c>
      <c r="X167" s="302">
        <f t="shared" si="169"/>
        <v>0.27734962059369539</v>
      </c>
      <c r="Y167" s="302">
        <f t="shared" si="170"/>
        <v>0.31080489063826328</v>
      </c>
      <c r="Z167" s="302">
        <f t="shared" si="171"/>
        <v>0.34880470794913876</v>
      </c>
      <c r="AA167" s="302">
        <f t="shared" si="172"/>
        <v>0.38225997799370665</v>
      </c>
      <c r="AB167" s="302">
        <f t="shared" si="173"/>
        <v>0.41315819841258983</v>
      </c>
      <c r="AC167" s="302">
        <f t="shared" si="174"/>
        <v>0.44192162213367842</v>
      </c>
      <c r="AD167" s="302">
        <f t="shared" si="175"/>
        <v>0.46812031825794909</v>
      </c>
      <c r="AE167" s="302">
        <f t="shared" si="176"/>
        <v>0.77852850406949581</v>
      </c>
      <c r="AF167" s="302">
        <f t="shared" si="177"/>
        <v>0.83075729694304923</v>
      </c>
      <c r="AG167" s="302">
        <f t="shared" si="178"/>
        <v>0.89713315407375038</v>
      </c>
      <c r="AH167" s="302">
        <f t="shared" si="179"/>
        <v>0.97052926145294438</v>
      </c>
      <c r="AI167" s="302">
        <f t="shared" si="180"/>
        <v>1.0549182613664376</v>
      </c>
      <c r="AJ167" s="302">
        <f t="shared" si="181"/>
        <v>1.1447860996100614</v>
      </c>
      <c r="AK167" s="302">
        <f t="shared" si="182"/>
        <v>1.2374436880908797</v>
      </c>
      <c r="AL167" s="302">
        <f t="shared" si="183"/>
        <v>1.3311136895395936</v>
      </c>
      <c r="AM167" s="302">
        <f t="shared" si="184"/>
        <v>1.4239398362314422</v>
      </c>
      <c r="AN167" s="302">
        <f t="shared" si="185"/>
        <v>1.5141317371574163</v>
      </c>
      <c r="AO167" s="302">
        <f t="shared" si="186"/>
        <v>1.600099007325507</v>
      </c>
      <c r="AP167" s="302">
        <f t="shared" si="187"/>
        <v>1.6811211701043645</v>
      </c>
      <c r="AQ167" s="302">
        <f t="shared" si="188"/>
        <v>1.7615763147337118</v>
      </c>
      <c r="AR167" s="302">
        <f t="shared" si="189"/>
        <v>1.8355938590733318</v>
      </c>
      <c r="AS167" s="302">
        <f t="shared" si="190"/>
        <v>1.9026234118903393</v>
      </c>
      <c r="AT167" s="302">
        <f t="shared" si="191"/>
        <v>1.9624633042014898</v>
      </c>
      <c r="AU167" s="302">
        <f t="shared" si="192"/>
        <v>2.021526032904271</v>
      </c>
      <c r="AV167" s="302">
        <f t="shared" si="193"/>
        <v>2.0742696211106582</v>
      </c>
      <c r="AW167" s="302">
        <f t="shared" si="194"/>
        <v>2.120237756039602</v>
      </c>
      <c r="AX167" s="302">
        <f t="shared" si="195"/>
        <v>2.1622066650461429</v>
      </c>
      <c r="AY167" s="302">
        <f t="shared" si="196"/>
        <v>2.2018780849862623</v>
      </c>
      <c r="AZ167" s="302">
        <f t="shared" si="197"/>
        <v>2.2358260847618929</v>
      </c>
      <c r="BA167" s="302">
        <f t="shared" si="198"/>
        <v>2.2651099597173001</v>
      </c>
      <c r="BB167" s="302">
        <f t="shared" si="199"/>
        <v>2.2939499989619696</v>
      </c>
      <c r="BC167" s="302">
        <f t="shared" si="200"/>
        <v>2.3182998290567234</v>
      </c>
      <c r="BD167" s="302">
        <f t="shared" si="201"/>
        <v>2.3387515977090487</v>
      </c>
      <c r="BE167" s="302">
        <f t="shared" si="202"/>
        <v>2.3589256302123385</v>
      </c>
      <c r="BF167" s="302">
        <f t="shared" si="203"/>
        <v>2.3760282436988338</v>
      </c>
      <c r="BG167" s="302">
        <f t="shared" si="204"/>
        <v>2.3902778176479829</v>
      </c>
      <c r="BH167" s="302">
        <f t="shared" si="205"/>
        <v>2.4040541953221224</v>
      </c>
      <c r="BI167" s="302">
        <f t="shared" si="206"/>
        <v>2.4158904492221636</v>
      </c>
      <c r="BJ167" s="302">
        <f t="shared" si="207"/>
        <v>2.4256971769593849</v>
      </c>
      <c r="BK167" s="302">
        <f t="shared" si="208"/>
        <v>2.4350483022346339</v>
      </c>
      <c r="BL167" s="302">
        <f t="shared" si="209"/>
        <v>2.4431564241065686</v>
      </c>
      <c r="BM167" s="302">
        <f t="shared" si="210"/>
        <v>2.4498484997869308</v>
      </c>
      <c r="BN167" s="302">
        <f t="shared" si="211"/>
        <v>2.4561699542437121</v>
      </c>
      <c r="BO167" s="303">
        <f t="shared" si="212"/>
        <v>2.4624646774656958</v>
      </c>
      <c r="BP167" s="223"/>
    </row>
    <row r="168" spans="3:68" ht="42" customHeight="1">
      <c r="C168" s="425"/>
      <c r="D168" s="424"/>
      <c r="E168" s="443">
        <v>0.3</v>
      </c>
      <c r="F168" s="444">
        <f t="shared" si="148"/>
        <v>1.3095338305976731</v>
      </c>
      <c r="G168" s="449">
        <f t="shared" si="151"/>
        <v>2.9766915298836572E-2</v>
      </c>
      <c r="H168" s="449">
        <f t="shared" si="152"/>
        <v>3.7329266240248127E-2</v>
      </c>
      <c r="I168" s="302">
        <f t="shared" si="154"/>
        <v>3.8995350848242682E-2</v>
      </c>
      <c r="J168" s="302">
        <f t="shared" si="155"/>
        <v>4.1026282518352719E-2</v>
      </c>
      <c r="K168" s="302">
        <f t="shared" si="156"/>
        <v>4.3500877861672338E-2</v>
      </c>
      <c r="L168" s="302">
        <f t="shared" si="157"/>
        <v>4.6514455124368803E-2</v>
      </c>
      <c r="M168" s="302">
        <f t="shared" si="158"/>
        <v>5.0182034222919336E-2</v>
      </c>
      <c r="N168" s="302">
        <f t="shared" si="159"/>
        <v>5.4642032726871292E-2</v>
      </c>
      <c r="O168" s="302">
        <f t="shared" si="160"/>
        <v>6.0060471361843559E-2</v>
      </c>
      <c r="P168" s="302">
        <f t="shared" si="161"/>
        <v>6.6635664742538236E-2</v>
      </c>
      <c r="Q168" s="302">
        <f t="shared" si="162"/>
        <v>7.4603311583109733E-2</v>
      </c>
      <c r="R168" s="302">
        <f t="shared" si="163"/>
        <v>8.4241804386559815E-2</v>
      </c>
      <c r="S168" s="302">
        <f t="shared" si="164"/>
        <v>9.5877440776230727E-2</v>
      </c>
      <c r="T168" s="302">
        <f t="shared" si="165"/>
        <v>0.10988902596435801</v>
      </c>
      <c r="U168" s="302">
        <f t="shared" si="166"/>
        <v>0.12671109946658821</v>
      </c>
      <c r="V168" s="302">
        <f t="shared" si="167"/>
        <v>0.14683469781217684</v>
      </c>
      <c r="W168" s="302">
        <f t="shared" si="168"/>
        <v>0.17080419385930473</v>
      </c>
      <c r="X168" s="302">
        <f t="shared" si="169"/>
        <v>0.19920837698667537</v>
      </c>
      <c r="Y168" s="302">
        <f t="shared" si="170"/>
        <v>0.23266364703124326</v>
      </c>
      <c r="Z168" s="302">
        <f t="shared" si="171"/>
        <v>0.27178713914795449</v>
      </c>
      <c r="AA168" s="302">
        <f t="shared" si="172"/>
        <v>0.31080489063826328</v>
      </c>
      <c r="AB168" s="302">
        <f t="shared" si="173"/>
        <v>0.34880470794913876</v>
      </c>
      <c r="AC168" s="302">
        <f t="shared" si="174"/>
        <v>0.38225997799370665</v>
      </c>
      <c r="AD168" s="302">
        <f t="shared" si="175"/>
        <v>0.41315819841258983</v>
      </c>
      <c r="AE168" s="302">
        <f t="shared" si="176"/>
        <v>0.44192162213367842</v>
      </c>
      <c r="AF168" s="302">
        <f t="shared" si="177"/>
        <v>0.80354322434445713</v>
      </c>
      <c r="AG168" s="302">
        <f t="shared" si="178"/>
        <v>0.86272666330996906</v>
      </c>
      <c r="AH168" s="302">
        <f t="shared" si="179"/>
        <v>0.93306358226086816</v>
      </c>
      <c r="AI168" s="302">
        <f t="shared" si="180"/>
        <v>1.0129630279893658</v>
      </c>
      <c r="AJ168" s="302">
        <f t="shared" si="181"/>
        <v>1.0984747449532186</v>
      </c>
      <c r="AK168" s="302">
        <f t="shared" si="182"/>
        <v>1.1883425831968428</v>
      </c>
      <c r="AL168" s="302">
        <f t="shared" si="183"/>
        <v>1.2810001716776611</v>
      </c>
      <c r="AM168" s="302">
        <f t="shared" si="184"/>
        <v>1.3746701731263749</v>
      </c>
      <c r="AN168" s="302">
        <f t="shared" si="185"/>
        <v>1.4674963198182234</v>
      </c>
      <c r="AO168" s="302">
        <f t="shared" si="186"/>
        <v>1.5576882207441975</v>
      </c>
      <c r="AP168" s="302">
        <f t="shared" si="187"/>
        <v>1.6436554909122882</v>
      </c>
      <c r="AQ168" s="302">
        <f t="shared" si="188"/>
        <v>1.7241106355416356</v>
      </c>
      <c r="AR168" s="302">
        <f t="shared" si="189"/>
        <v>1.7981281798812556</v>
      </c>
      <c r="AS168" s="302">
        <f t="shared" si="190"/>
        <v>1.8675632254402517</v>
      </c>
      <c r="AT168" s="302">
        <f t="shared" si="191"/>
        <v>1.9345927782572592</v>
      </c>
      <c r="AU168" s="302">
        <f t="shared" si="192"/>
        <v>1.9944326705684097</v>
      </c>
      <c r="AV168" s="302">
        <f t="shared" si="193"/>
        <v>2.0471762587747966</v>
      </c>
      <c r="AW168" s="302">
        <f t="shared" si="194"/>
        <v>2.097097846432241</v>
      </c>
      <c r="AX168" s="302">
        <f t="shared" si="195"/>
        <v>2.1430659813611852</v>
      </c>
      <c r="AY168" s="302">
        <f t="shared" si="196"/>
        <v>2.1827374013013046</v>
      </c>
      <c r="AZ168" s="302">
        <f t="shared" si="197"/>
        <v>2.217861191012477</v>
      </c>
      <c r="BA168" s="302">
        <f t="shared" si="198"/>
        <v>2.2518091907881077</v>
      </c>
      <c r="BB168" s="302">
        <f t="shared" si="199"/>
        <v>2.2806492300327776</v>
      </c>
      <c r="BC168" s="302">
        <f t="shared" si="200"/>
        <v>2.3049990601275314</v>
      </c>
      <c r="BD168" s="302">
        <f t="shared" si="201"/>
        <v>2.3293368926271283</v>
      </c>
      <c r="BE168" s="302">
        <f t="shared" si="202"/>
        <v>2.3497886612794536</v>
      </c>
      <c r="BF168" s="302">
        <f t="shared" si="203"/>
        <v>2.366891274765949</v>
      </c>
      <c r="BG168" s="302">
        <f t="shared" si="204"/>
        <v>2.3835774170324617</v>
      </c>
      <c r="BH168" s="302">
        <f t="shared" si="205"/>
        <v>2.3978269909816108</v>
      </c>
      <c r="BI168" s="302">
        <f t="shared" si="206"/>
        <v>2.409663244881652</v>
      </c>
      <c r="BJ168" s="302">
        <f t="shared" si="207"/>
        <v>2.42102031997839</v>
      </c>
      <c r="BK168" s="302">
        <f t="shared" si="208"/>
        <v>2.4308270477156118</v>
      </c>
      <c r="BL168" s="302">
        <f t="shared" si="209"/>
        <v>2.4389351695875465</v>
      </c>
      <c r="BM168" s="302">
        <f t="shared" si="210"/>
        <v>2.4466268527759008</v>
      </c>
      <c r="BN168" s="302">
        <f t="shared" si="211"/>
        <v>2.4543565555937605</v>
      </c>
      <c r="BO168" s="303">
        <f t="shared" si="212"/>
        <v>2.4624646774656958</v>
      </c>
      <c r="BP168" s="223"/>
    </row>
    <row r="169" spans="3:68" ht="42" customHeight="1">
      <c r="C169" s="425"/>
      <c r="D169" s="424"/>
      <c r="E169" s="445">
        <v>0.25</v>
      </c>
      <c r="F169" s="444">
        <f t="shared" si="148"/>
        <v>1.1414484864842829</v>
      </c>
      <c r="G169" s="449">
        <f t="shared" si="151"/>
        <v>-5.4275756757858562E-2</v>
      </c>
      <c r="H169" s="449">
        <f t="shared" si="152"/>
        <v>-4.6713405816447007E-2</v>
      </c>
      <c r="I169" s="302">
        <f t="shared" si="154"/>
        <v>-4.5047321208452451E-2</v>
      </c>
      <c r="J169" s="302">
        <f t="shared" si="155"/>
        <v>-4.3016389538342414E-2</v>
      </c>
      <c r="K169" s="302">
        <f t="shared" si="156"/>
        <v>-4.0541794195022796E-2</v>
      </c>
      <c r="L169" s="302">
        <f t="shared" si="157"/>
        <v>-3.752821693232633E-2</v>
      </c>
      <c r="M169" s="302">
        <f t="shared" si="158"/>
        <v>-3.3860637833775797E-2</v>
      </c>
      <c r="N169" s="302">
        <f t="shared" si="159"/>
        <v>-2.9400639329823841E-2</v>
      </c>
      <c r="O169" s="302">
        <f t="shared" si="160"/>
        <v>-2.3982200694851574E-2</v>
      </c>
      <c r="P169" s="302">
        <f t="shared" si="161"/>
        <v>-1.7407007314156897E-2</v>
      </c>
      <c r="Q169" s="302">
        <f t="shared" si="162"/>
        <v>-9.4393604735854009E-3</v>
      </c>
      <c r="R169" s="302">
        <f t="shared" si="163"/>
        <v>1.9913232986468188E-4</v>
      </c>
      <c r="S169" s="302">
        <f t="shared" si="164"/>
        <v>1.1834768719535593E-2</v>
      </c>
      <c r="T169" s="302">
        <f t="shared" si="165"/>
        <v>2.5846353907662878E-2</v>
      </c>
      <c r="U169" s="302">
        <f t="shared" si="166"/>
        <v>4.2668427409893073E-2</v>
      </c>
      <c r="V169" s="302">
        <f t="shared" si="167"/>
        <v>6.2792025755481706E-2</v>
      </c>
      <c r="W169" s="302">
        <f t="shared" si="168"/>
        <v>8.6761521802609598E-2</v>
      </c>
      <c r="X169" s="302">
        <f t="shared" si="169"/>
        <v>0.11516570492998024</v>
      </c>
      <c r="Y169" s="302">
        <f t="shared" si="170"/>
        <v>0.14862097497454813</v>
      </c>
      <c r="Z169" s="302">
        <f t="shared" si="171"/>
        <v>0.18774446709125936</v>
      </c>
      <c r="AA169" s="302">
        <f t="shared" si="172"/>
        <v>0.23266364703124326</v>
      </c>
      <c r="AB169" s="302">
        <f t="shared" si="173"/>
        <v>0.27178713914795449</v>
      </c>
      <c r="AC169" s="302">
        <f t="shared" si="174"/>
        <v>0.31080489063826328</v>
      </c>
      <c r="AD169" s="302">
        <f t="shared" si="175"/>
        <v>0.34880470794913876</v>
      </c>
      <c r="AE169" s="302">
        <f t="shared" si="176"/>
        <v>0.38225997799370665</v>
      </c>
      <c r="AF169" s="302">
        <f t="shared" si="177"/>
        <v>0.41315819841258983</v>
      </c>
      <c r="AG169" s="302">
        <f t="shared" si="178"/>
        <v>0.83075729694304923</v>
      </c>
      <c r="AH169" s="302">
        <f t="shared" si="179"/>
        <v>0.89713315407375038</v>
      </c>
      <c r="AI169" s="302">
        <f t="shared" si="180"/>
        <v>0.97052926145294438</v>
      </c>
      <c r="AJ169" s="302">
        <f t="shared" si="181"/>
        <v>1.0549182613664376</v>
      </c>
      <c r="AK169" s="302">
        <f t="shared" si="182"/>
        <v>1.1447860996100614</v>
      </c>
      <c r="AL169" s="302">
        <f t="shared" si="183"/>
        <v>1.2374436880908797</v>
      </c>
      <c r="AM169" s="302">
        <f t="shared" si="184"/>
        <v>1.3311136895395936</v>
      </c>
      <c r="AN169" s="302">
        <f t="shared" si="185"/>
        <v>1.4239398362314422</v>
      </c>
      <c r="AO169" s="302">
        <f t="shared" si="186"/>
        <v>1.5141317371574163</v>
      </c>
      <c r="AP169" s="302">
        <f t="shared" si="187"/>
        <v>1.600099007325507</v>
      </c>
      <c r="AQ169" s="302">
        <f t="shared" si="188"/>
        <v>1.6811211701043645</v>
      </c>
      <c r="AR169" s="302">
        <f t="shared" si="189"/>
        <v>1.7615763147337118</v>
      </c>
      <c r="AS169" s="302">
        <f t="shared" si="190"/>
        <v>1.8355938590733318</v>
      </c>
      <c r="AT169" s="302">
        <f t="shared" si="191"/>
        <v>1.9026234118903393</v>
      </c>
      <c r="AU169" s="302">
        <f t="shared" si="192"/>
        <v>1.9624633042014898</v>
      </c>
      <c r="AV169" s="302">
        <f t="shared" si="193"/>
        <v>2.021526032904271</v>
      </c>
      <c r="AW169" s="302">
        <f t="shared" si="194"/>
        <v>2.0742696211106582</v>
      </c>
      <c r="AX169" s="302">
        <f t="shared" si="195"/>
        <v>2.120237756039602</v>
      </c>
      <c r="AY169" s="302">
        <f t="shared" si="196"/>
        <v>2.1622066650461429</v>
      </c>
      <c r="AZ169" s="302">
        <f t="shared" si="197"/>
        <v>2.2018780849862623</v>
      </c>
      <c r="BA169" s="302">
        <f t="shared" si="198"/>
        <v>2.2358260847618929</v>
      </c>
      <c r="BB169" s="302">
        <f t="shared" si="199"/>
        <v>2.2651099597173001</v>
      </c>
      <c r="BC169" s="302">
        <f t="shared" si="200"/>
        <v>2.2939499989619696</v>
      </c>
      <c r="BD169" s="302">
        <f t="shared" si="201"/>
        <v>2.3182998290567234</v>
      </c>
      <c r="BE169" s="302">
        <f t="shared" si="202"/>
        <v>2.3387515977090487</v>
      </c>
      <c r="BF169" s="302">
        <f t="shared" si="203"/>
        <v>2.3589256302123385</v>
      </c>
      <c r="BG169" s="302">
        <f t="shared" si="204"/>
        <v>2.3760282436988338</v>
      </c>
      <c r="BH169" s="302">
        <f t="shared" si="205"/>
        <v>2.3902778176479829</v>
      </c>
      <c r="BI169" s="302">
        <f t="shared" si="206"/>
        <v>2.4040541953221224</v>
      </c>
      <c r="BJ169" s="302">
        <f t="shared" si="207"/>
        <v>2.4158904492221636</v>
      </c>
      <c r="BK169" s="302">
        <f t="shared" si="208"/>
        <v>2.4256971769593849</v>
      </c>
      <c r="BL169" s="302">
        <f t="shared" si="209"/>
        <v>2.4350483022346339</v>
      </c>
      <c r="BM169" s="302">
        <f t="shared" si="210"/>
        <v>2.4431564241065686</v>
      </c>
      <c r="BN169" s="302">
        <f t="shared" si="211"/>
        <v>2.4498484997869308</v>
      </c>
      <c r="BO169" s="303">
        <f t="shared" si="212"/>
        <v>2.4561699542437121</v>
      </c>
      <c r="BP169" s="223"/>
    </row>
    <row r="170" spans="3:68" ht="42" customHeight="1">
      <c r="C170" s="425"/>
      <c r="D170" s="424"/>
      <c r="E170" s="443">
        <v>0.2</v>
      </c>
      <c r="F170" s="444">
        <f t="shared" si="148"/>
        <v>0.9638739234530953</v>
      </c>
      <c r="G170" s="449">
        <f t="shared" si="151"/>
        <v>-0.14306303827345235</v>
      </c>
      <c r="H170" s="449">
        <f t="shared" si="152"/>
        <v>-0.13550068733204079</v>
      </c>
      <c r="I170" s="302">
        <f t="shared" si="154"/>
        <v>-0.13383460272404624</v>
      </c>
      <c r="J170" s="302">
        <f t="shared" si="155"/>
        <v>-0.1318036710539362</v>
      </c>
      <c r="K170" s="302">
        <f t="shared" si="156"/>
        <v>-0.12932907571061658</v>
      </c>
      <c r="L170" s="302">
        <f t="shared" si="157"/>
        <v>-0.12631549844792012</v>
      </c>
      <c r="M170" s="302">
        <f t="shared" si="158"/>
        <v>-0.12264791934936958</v>
      </c>
      <c r="N170" s="302">
        <f t="shared" si="159"/>
        <v>-0.11818792084541763</v>
      </c>
      <c r="O170" s="302">
        <f t="shared" si="160"/>
        <v>-0.11276948221044536</v>
      </c>
      <c r="P170" s="302">
        <f t="shared" si="161"/>
        <v>-0.10619428882975068</v>
      </c>
      <c r="Q170" s="302">
        <f t="shared" si="162"/>
        <v>-9.8226641989179186E-2</v>
      </c>
      <c r="R170" s="302">
        <f t="shared" si="163"/>
        <v>-8.8588149185729104E-2</v>
      </c>
      <c r="S170" s="302">
        <f t="shared" si="164"/>
        <v>-7.6952512796058192E-2</v>
      </c>
      <c r="T170" s="302">
        <f t="shared" si="165"/>
        <v>-6.2940927607930908E-2</v>
      </c>
      <c r="U170" s="302">
        <f t="shared" si="166"/>
        <v>-4.6118854105700713E-2</v>
      </c>
      <c r="V170" s="302">
        <f t="shared" si="167"/>
        <v>-2.5995255760112079E-2</v>
      </c>
      <c r="W170" s="302">
        <f t="shared" si="168"/>
        <v>-2.0257597129841876E-3</v>
      </c>
      <c r="X170" s="302">
        <f t="shared" si="169"/>
        <v>2.6378423414386454E-2</v>
      </c>
      <c r="Y170" s="302">
        <f t="shared" si="170"/>
        <v>5.983369345895434E-2</v>
      </c>
      <c r="Z170" s="302">
        <f t="shared" si="171"/>
        <v>9.8957185575665574E-2</v>
      </c>
      <c r="AA170" s="302">
        <f t="shared" si="172"/>
        <v>0.14432803856979604</v>
      </c>
      <c r="AB170" s="302">
        <f t="shared" si="173"/>
        <v>0.18774446709125936</v>
      </c>
      <c r="AC170" s="302">
        <f t="shared" si="174"/>
        <v>0.23266364703124326</v>
      </c>
      <c r="AD170" s="302">
        <f t="shared" si="175"/>
        <v>0.27178713914795449</v>
      </c>
      <c r="AE170" s="302">
        <f t="shared" si="176"/>
        <v>0.31080489063826328</v>
      </c>
      <c r="AF170" s="302">
        <f t="shared" si="177"/>
        <v>0.34880470794913876</v>
      </c>
      <c r="AG170" s="302">
        <f t="shared" si="178"/>
        <v>0.38225997799370665</v>
      </c>
      <c r="AH170" s="302">
        <f t="shared" si="179"/>
        <v>0.86272666330996906</v>
      </c>
      <c r="AI170" s="302">
        <f t="shared" si="180"/>
        <v>0.93306358226086816</v>
      </c>
      <c r="AJ170" s="302">
        <f t="shared" si="181"/>
        <v>1.0129630279893658</v>
      </c>
      <c r="AK170" s="302">
        <f t="shared" si="182"/>
        <v>1.0984747449532186</v>
      </c>
      <c r="AL170" s="302">
        <f t="shared" si="183"/>
        <v>1.1883425831968428</v>
      </c>
      <c r="AM170" s="302">
        <f t="shared" si="184"/>
        <v>1.2810001716776611</v>
      </c>
      <c r="AN170" s="302">
        <f t="shared" si="185"/>
        <v>1.3746701731263749</v>
      </c>
      <c r="AO170" s="302">
        <f t="shared" si="186"/>
        <v>1.4674963198182234</v>
      </c>
      <c r="AP170" s="302">
        <f t="shared" si="187"/>
        <v>1.5576882207441975</v>
      </c>
      <c r="AQ170" s="302">
        <f t="shared" si="188"/>
        <v>1.6436554909122882</v>
      </c>
      <c r="AR170" s="302">
        <f t="shared" si="189"/>
        <v>1.7241106355416356</v>
      </c>
      <c r="AS170" s="302">
        <f t="shared" si="190"/>
        <v>1.7981281798812556</v>
      </c>
      <c r="AT170" s="302">
        <f t="shared" si="191"/>
        <v>1.8675632254402517</v>
      </c>
      <c r="AU170" s="302">
        <f t="shared" si="192"/>
        <v>1.9345927782572592</v>
      </c>
      <c r="AV170" s="302">
        <f t="shared" si="193"/>
        <v>1.9944326705684097</v>
      </c>
      <c r="AW170" s="302">
        <f t="shared" si="194"/>
        <v>2.0471762587747966</v>
      </c>
      <c r="AX170" s="302">
        <f t="shared" si="195"/>
        <v>2.097097846432241</v>
      </c>
      <c r="AY170" s="302">
        <f t="shared" si="196"/>
        <v>2.1430659813611852</v>
      </c>
      <c r="AZ170" s="302">
        <f t="shared" si="197"/>
        <v>2.1827374013013046</v>
      </c>
      <c r="BA170" s="302">
        <f t="shared" si="198"/>
        <v>2.217861191012477</v>
      </c>
      <c r="BB170" s="302">
        <f t="shared" si="199"/>
        <v>2.2518091907881077</v>
      </c>
      <c r="BC170" s="302">
        <f t="shared" si="200"/>
        <v>2.2806492300327776</v>
      </c>
      <c r="BD170" s="302">
        <f t="shared" si="201"/>
        <v>2.3049990601275314</v>
      </c>
      <c r="BE170" s="302">
        <f t="shared" si="202"/>
        <v>2.3293368926271283</v>
      </c>
      <c r="BF170" s="302">
        <f t="shared" si="203"/>
        <v>2.3497886612794536</v>
      </c>
      <c r="BG170" s="302">
        <f t="shared" si="204"/>
        <v>2.366891274765949</v>
      </c>
      <c r="BH170" s="302">
        <f t="shared" si="205"/>
        <v>2.3835774170324617</v>
      </c>
      <c r="BI170" s="302">
        <f t="shared" si="206"/>
        <v>2.3978269909816108</v>
      </c>
      <c r="BJ170" s="302">
        <f t="shared" si="207"/>
        <v>2.409663244881652</v>
      </c>
      <c r="BK170" s="302">
        <f t="shared" si="208"/>
        <v>2.42102031997839</v>
      </c>
      <c r="BL170" s="302">
        <f t="shared" si="209"/>
        <v>2.4308270477156118</v>
      </c>
      <c r="BM170" s="302">
        <f t="shared" si="210"/>
        <v>2.4389351695875465</v>
      </c>
      <c r="BN170" s="302">
        <f t="shared" si="211"/>
        <v>2.4466268527759008</v>
      </c>
      <c r="BO170" s="303">
        <f t="shared" si="212"/>
        <v>2.4543565555937605</v>
      </c>
      <c r="BP170" s="223"/>
    </row>
    <row r="171" spans="3:68" ht="42" customHeight="1">
      <c r="C171" s="425"/>
      <c r="D171" s="424"/>
      <c r="E171" s="445">
        <v>0.15</v>
      </c>
      <c r="F171" s="444">
        <f t="shared" si="148"/>
        <v>0.77978461077553929</v>
      </c>
      <c r="G171" s="449">
        <f t="shared" si="151"/>
        <v>-0.23510769461223036</v>
      </c>
      <c r="H171" s="449">
        <f t="shared" si="152"/>
        <v>-0.2275453436708188</v>
      </c>
      <c r="I171" s="302">
        <f t="shared" si="154"/>
        <v>-0.22587925906282424</v>
      </c>
      <c r="J171" s="302">
        <f t="shared" si="155"/>
        <v>-0.22384832739271421</v>
      </c>
      <c r="K171" s="302">
        <f t="shared" si="156"/>
        <v>-0.22137373204939459</v>
      </c>
      <c r="L171" s="302">
        <f t="shared" si="157"/>
        <v>-0.21836015478669812</v>
      </c>
      <c r="M171" s="302">
        <f t="shared" si="158"/>
        <v>-0.21469257568814759</v>
      </c>
      <c r="N171" s="302">
        <f t="shared" si="159"/>
        <v>-0.21023257718419563</v>
      </c>
      <c r="O171" s="302">
        <f t="shared" si="160"/>
        <v>-0.20481413854922337</v>
      </c>
      <c r="P171" s="302">
        <f t="shared" si="161"/>
        <v>-0.19823894516852869</v>
      </c>
      <c r="Q171" s="302">
        <f t="shared" si="162"/>
        <v>-0.19027129832795719</v>
      </c>
      <c r="R171" s="302">
        <f t="shared" si="163"/>
        <v>-0.18063280552450711</v>
      </c>
      <c r="S171" s="302">
        <f t="shared" si="164"/>
        <v>-0.1689971691348362</v>
      </c>
      <c r="T171" s="302">
        <f t="shared" si="165"/>
        <v>-0.15498558394670892</v>
      </c>
      <c r="U171" s="302">
        <f t="shared" si="166"/>
        <v>-0.13816351044447872</v>
      </c>
      <c r="V171" s="302">
        <f t="shared" si="167"/>
        <v>-0.11803991209889009</v>
      </c>
      <c r="W171" s="302">
        <f t="shared" si="168"/>
        <v>-9.4070416051762196E-2</v>
      </c>
      <c r="X171" s="302">
        <f t="shared" si="169"/>
        <v>-6.5666232924391554E-2</v>
      </c>
      <c r="Y171" s="302">
        <f t="shared" si="170"/>
        <v>-3.2210962879823668E-2</v>
      </c>
      <c r="Z171" s="302">
        <f t="shared" si="171"/>
        <v>6.9125292368875657E-3</v>
      </c>
      <c r="AA171" s="302">
        <f t="shared" si="172"/>
        <v>5.2283382231018027E-2</v>
      </c>
      <c r="AB171" s="302">
        <f t="shared" si="173"/>
        <v>9.8957185575665574E-2</v>
      </c>
      <c r="AC171" s="302">
        <f t="shared" si="174"/>
        <v>0.14432803856979604</v>
      </c>
      <c r="AD171" s="302">
        <f t="shared" si="175"/>
        <v>0.18774446709125936</v>
      </c>
      <c r="AE171" s="302">
        <f t="shared" si="176"/>
        <v>0.23266364703124326</v>
      </c>
      <c r="AF171" s="302">
        <f t="shared" si="177"/>
        <v>0.27178713914795449</v>
      </c>
      <c r="AG171" s="302">
        <f t="shared" si="178"/>
        <v>0.31080489063826328</v>
      </c>
      <c r="AH171" s="302">
        <f t="shared" si="179"/>
        <v>0.34880470794913876</v>
      </c>
      <c r="AI171" s="302">
        <f t="shared" si="180"/>
        <v>0.89713315407375038</v>
      </c>
      <c r="AJ171" s="302">
        <f t="shared" si="181"/>
        <v>0.97052926145294438</v>
      </c>
      <c r="AK171" s="302">
        <f t="shared" si="182"/>
        <v>1.0549182613664376</v>
      </c>
      <c r="AL171" s="302">
        <f t="shared" si="183"/>
        <v>1.1447860996100614</v>
      </c>
      <c r="AM171" s="302">
        <f t="shared" si="184"/>
        <v>1.2374436880908797</v>
      </c>
      <c r="AN171" s="302">
        <f t="shared" si="185"/>
        <v>1.3311136895395936</v>
      </c>
      <c r="AO171" s="302">
        <f t="shared" si="186"/>
        <v>1.4239398362314422</v>
      </c>
      <c r="AP171" s="302">
        <f t="shared" si="187"/>
        <v>1.5141317371574163</v>
      </c>
      <c r="AQ171" s="302">
        <f t="shared" si="188"/>
        <v>1.600099007325507</v>
      </c>
      <c r="AR171" s="302">
        <f t="shared" si="189"/>
        <v>1.6811211701043645</v>
      </c>
      <c r="AS171" s="302">
        <f t="shared" si="190"/>
        <v>1.7615763147337118</v>
      </c>
      <c r="AT171" s="302">
        <f t="shared" si="191"/>
        <v>1.8355938590733318</v>
      </c>
      <c r="AU171" s="302">
        <f t="shared" si="192"/>
        <v>1.9026234118903393</v>
      </c>
      <c r="AV171" s="302">
        <f t="shared" si="193"/>
        <v>1.9624633042014898</v>
      </c>
      <c r="AW171" s="302">
        <f t="shared" si="194"/>
        <v>2.021526032904271</v>
      </c>
      <c r="AX171" s="302">
        <f t="shared" si="195"/>
        <v>2.0742696211106582</v>
      </c>
      <c r="AY171" s="302">
        <f t="shared" si="196"/>
        <v>2.120237756039602</v>
      </c>
      <c r="AZ171" s="302">
        <f t="shared" si="197"/>
        <v>2.1622066650461429</v>
      </c>
      <c r="BA171" s="302">
        <f t="shared" si="198"/>
        <v>2.2018780849862623</v>
      </c>
      <c r="BB171" s="302">
        <f t="shared" si="199"/>
        <v>2.2358260847618929</v>
      </c>
      <c r="BC171" s="302">
        <f t="shared" si="200"/>
        <v>2.2651099597173001</v>
      </c>
      <c r="BD171" s="302">
        <f t="shared" si="201"/>
        <v>2.2939499989619696</v>
      </c>
      <c r="BE171" s="302">
        <f t="shared" si="202"/>
        <v>2.3182998290567234</v>
      </c>
      <c r="BF171" s="302">
        <f t="shared" si="203"/>
        <v>2.3387515977090487</v>
      </c>
      <c r="BG171" s="302">
        <f t="shared" si="204"/>
        <v>2.3589256302123385</v>
      </c>
      <c r="BH171" s="302">
        <f t="shared" si="205"/>
        <v>2.3760282436988338</v>
      </c>
      <c r="BI171" s="302">
        <f t="shared" si="206"/>
        <v>2.3902778176479829</v>
      </c>
      <c r="BJ171" s="302">
        <f t="shared" si="207"/>
        <v>2.4040541953221224</v>
      </c>
      <c r="BK171" s="302">
        <f t="shared" si="208"/>
        <v>2.4158904492221636</v>
      </c>
      <c r="BL171" s="302">
        <f t="shared" si="209"/>
        <v>2.4256971769593849</v>
      </c>
      <c r="BM171" s="302">
        <f t="shared" si="210"/>
        <v>2.4350483022346339</v>
      </c>
      <c r="BN171" s="302">
        <f t="shared" si="211"/>
        <v>2.4431564241065686</v>
      </c>
      <c r="BO171" s="303">
        <f t="shared" si="212"/>
        <v>2.4498484997869308</v>
      </c>
      <c r="BP171" s="223"/>
    </row>
    <row r="172" spans="3:68" ht="42" customHeight="1">
      <c r="C172" s="425"/>
      <c r="D172" s="424"/>
      <c r="E172" s="443">
        <v>0.1</v>
      </c>
      <c r="F172" s="444">
        <f t="shared" si="148"/>
        <v>0.59264087738360005</v>
      </c>
      <c r="G172" s="449">
        <f t="shared" si="151"/>
        <v>-0.32867956130819997</v>
      </c>
      <c r="H172" s="449">
        <f t="shared" si="152"/>
        <v>-0.32111721036678842</v>
      </c>
      <c r="I172" s="302">
        <f t="shared" si="154"/>
        <v>-0.31945112575879386</v>
      </c>
      <c r="J172" s="302">
        <f t="shared" si="155"/>
        <v>-0.31742019408868383</v>
      </c>
      <c r="K172" s="302">
        <f t="shared" si="156"/>
        <v>-0.31494559874536421</v>
      </c>
      <c r="L172" s="302">
        <f t="shared" si="157"/>
        <v>-0.31193202148266774</v>
      </c>
      <c r="M172" s="302">
        <f t="shared" si="158"/>
        <v>-0.30826444238411721</v>
      </c>
      <c r="N172" s="302">
        <f t="shared" si="159"/>
        <v>-0.30380444388016525</v>
      </c>
      <c r="O172" s="302">
        <f t="shared" si="160"/>
        <v>-0.29838600524519299</v>
      </c>
      <c r="P172" s="302">
        <f t="shared" si="161"/>
        <v>-0.29181081186449831</v>
      </c>
      <c r="Q172" s="302">
        <f t="shared" si="162"/>
        <v>-0.28384316502392681</v>
      </c>
      <c r="R172" s="302">
        <f t="shared" si="163"/>
        <v>-0.27420467222047673</v>
      </c>
      <c r="S172" s="302">
        <f t="shared" si="164"/>
        <v>-0.26256903583080582</v>
      </c>
      <c r="T172" s="302">
        <f t="shared" si="165"/>
        <v>-0.24855745064267853</v>
      </c>
      <c r="U172" s="302">
        <f t="shared" si="166"/>
        <v>-0.23173537714044834</v>
      </c>
      <c r="V172" s="302">
        <f t="shared" si="167"/>
        <v>-0.21161177879485971</v>
      </c>
      <c r="W172" s="302">
        <f t="shared" si="168"/>
        <v>-0.18764228274773181</v>
      </c>
      <c r="X172" s="302">
        <f t="shared" si="169"/>
        <v>-0.15923809962036117</v>
      </c>
      <c r="Y172" s="302">
        <f t="shared" si="170"/>
        <v>-0.12578282957579329</v>
      </c>
      <c r="Z172" s="302">
        <f t="shared" si="171"/>
        <v>-8.6659337459082053E-2</v>
      </c>
      <c r="AA172" s="302">
        <f t="shared" si="172"/>
        <v>-4.1288484464951591E-2</v>
      </c>
      <c r="AB172" s="302">
        <f t="shared" si="173"/>
        <v>6.9125292368875657E-3</v>
      </c>
      <c r="AC172" s="302">
        <f t="shared" si="174"/>
        <v>5.2283382231018027E-2</v>
      </c>
      <c r="AD172" s="302">
        <f t="shared" si="175"/>
        <v>9.8957185575665574E-2</v>
      </c>
      <c r="AE172" s="302">
        <f t="shared" si="176"/>
        <v>0.14432803856979604</v>
      </c>
      <c r="AF172" s="302">
        <f t="shared" si="177"/>
        <v>0.18774446709125936</v>
      </c>
      <c r="AG172" s="302">
        <f t="shared" si="178"/>
        <v>0.23266364703124326</v>
      </c>
      <c r="AH172" s="302">
        <f t="shared" si="179"/>
        <v>0.27178713914795449</v>
      </c>
      <c r="AI172" s="302">
        <f t="shared" si="180"/>
        <v>0.31080489063826328</v>
      </c>
      <c r="AJ172" s="302">
        <f t="shared" si="181"/>
        <v>0.93306358226086816</v>
      </c>
      <c r="AK172" s="302">
        <f t="shared" si="182"/>
        <v>1.0129630279893658</v>
      </c>
      <c r="AL172" s="302">
        <f t="shared" si="183"/>
        <v>1.0984747449532186</v>
      </c>
      <c r="AM172" s="302">
        <f t="shared" si="184"/>
        <v>1.1883425831968428</v>
      </c>
      <c r="AN172" s="302">
        <f t="shared" si="185"/>
        <v>1.2810001716776611</v>
      </c>
      <c r="AO172" s="302">
        <f t="shared" si="186"/>
        <v>1.3746701731263749</v>
      </c>
      <c r="AP172" s="302">
        <f t="shared" si="187"/>
        <v>1.4674963198182234</v>
      </c>
      <c r="AQ172" s="302">
        <f t="shared" si="188"/>
        <v>1.5576882207441975</v>
      </c>
      <c r="AR172" s="302">
        <f t="shared" si="189"/>
        <v>1.6436554909122882</v>
      </c>
      <c r="AS172" s="302">
        <f t="shared" si="190"/>
        <v>1.7241106355416356</v>
      </c>
      <c r="AT172" s="302">
        <f t="shared" si="191"/>
        <v>1.7981281798812556</v>
      </c>
      <c r="AU172" s="302">
        <f t="shared" si="192"/>
        <v>1.8675632254402517</v>
      </c>
      <c r="AV172" s="302">
        <f t="shared" si="193"/>
        <v>1.9345927782572592</v>
      </c>
      <c r="AW172" s="302">
        <f t="shared" si="194"/>
        <v>1.9944326705684097</v>
      </c>
      <c r="AX172" s="302">
        <f t="shared" si="195"/>
        <v>2.0471762587747966</v>
      </c>
      <c r="AY172" s="302">
        <f t="shared" si="196"/>
        <v>2.097097846432241</v>
      </c>
      <c r="AZ172" s="302">
        <f t="shared" si="197"/>
        <v>2.1430659813611852</v>
      </c>
      <c r="BA172" s="302">
        <f t="shared" si="198"/>
        <v>2.1827374013013046</v>
      </c>
      <c r="BB172" s="302">
        <f t="shared" si="199"/>
        <v>2.217861191012477</v>
      </c>
      <c r="BC172" s="302">
        <f t="shared" si="200"/>
        <v>2.2518091907881077</v>
      </c>
      <c r="BD172" s="302">
        <f t="shared" si="201"/>
        <v>2.2806492300327776</v>
      </c>
      <c r="BE172" s="302">
        <f t="shared" si="202"/>
        <v>2.3049990601275314</v>
      </c>
      <c r="BF172" s="302">
        <f t="shared" si="203"/>
        <v>2.3293368926271283</v>
      </c>
      <c r="BG172" s="302">
        <f t="shared" si="204"/>
        <v>2.3497886612794536</v>
      </c>
      <c r="BH172" s="302">
        <f t="shared" si="205"/>
        <v>2.366891274765949</v>
      </c>
      <c r="BI172" s="302">
        <f t="shared" si="206"/>
        <v>2.3835774170324617</v>
      </c>
      <c r="BJ172" s="302">
        <f t="shared" si="207"/>
        <v>2.3978269909816108</v>
      </c>
      <c r="BK172" s="302">
        <f t="shared" si="208"/>
        <v>2.409663244881652</v>
      </c>
      <c r="BL172" s="302">
        <f t="shared" si="209"/>
        <v>2.42102031997839</v>
      </c>
      <c r="BM172" s="302">
        <f t="shared" si="210"/>
        <v>2.4308270477156118</v>
      </c>
      <c r="BN172" s="302">
        <f t="shared" si="211"/>
        <v>2.4389351695875465</v>
      </c>
      <c r="BO172" s="303">
        <f t="shared" si="212"/>
        <v>2.4466268527759008</v>
      </c>
      <c r="BP172" s="223"/>
    </row>
    <row r="173" spans="3:68" ht="42" customHeight="1">
      <c r="C173" s="426"/>
      <c r="D173" s="425"/>
      <c r="E173" s="445">
        <v>0.05</v>
      </c>
      <c r="F173" s="444">
        <f t="shared" si="148"/>
        <v>0.40613984663573133</v>
      </c>
      <c r="G173" s="449">
        <f t="shared" si="151"/>
        <v>-0.42193007668213434</v>
      </c>
      <c r="H173" s="449">
        <f t="shared" si="152"/>
        <v>-0.41436772574072278</v>
      </c>
      <c r="I173" s="302">
        <f t="shared" si="154"/>
        <v>-0.41270164113272823</v>
      </c>
      <c r="J173" s="302">
        <f t="shared" si="155"/>
        <v>-0.41067070946261819</v>
      </c>
      <c r="K173" s="302">
        <f t="shared" si="156"/>
        <v>-0.40819611411929857</v>
      </c>
      <c r="L173" s="302">
        <f t="shared" si="157"/>
        <v>-0.4051825368566021</v>
      </c>
      <c r="M173" s="302">
        <f t="shared" si="158"/>
        <v>-0.40151495775805157</v>
      </c>
      <c r="N173" s="302">
        <f t="shared" si="159"/>
        <v>-0.39705495925409962</v>
      </c>
      <c r="O173" s="302">
        <f t="shared" si="160"/>
        <v>-0.39163652061912735</v>
      </c>
      <c r="P173" s="302">
        <f t="shared" si="161"/>
        <v>-0.38506132723843267</v>
      </c>
      <c r="Q173" s="302">
        <f t="shared" si="162"/>
        <v>-0.37709368039786118</v>
      </c>
      <c r="R173" s="302">
        <f t="shared" si="163"/>
        <v>-0.36745518759441109</v>
      </c>
      <c r="S173" s="302">
        <f t="shared" si="164"/>
        <v>-0.35581955120474018</v>
      </c>
      <c r="T173" s="302">
        <f t="shared" si="165"/>
        <v>-0.3418079660166129</v>
      </c>
      <c r="U173" s="302">
        <f t="shared" si="166"/>
        <v>-0.3249858925143827</v>
      </c>
      <c r="V173" s="302">
        <f t="shared" si="167"/>
        <v>-0.30486229416879407</v>
      </c>
      <c r="W173" s="302">
        <f t="shared" si="168"/>
        <v>-0.28089279812166618</v>
      </c>
      <c r="X173" s="302">
        <f t="shared" si="169"/>
        <v>-0.25248861499429553</v>
      </c>
      <c r="Y173" s="302">
        <f t="shared" si="170"/>
        <v>-0.21903334494972765</v>
      </c>
      <c r="Z173" s="302">
        <f t="shared" si="171"/>
        <v>-0.17990985283301641</v>
      </c>
      <c r="AA173" s="302">
        <f t="shared" si="172"/>
        <v>-0.13453899983888595</v>
      </c>
      <c r="AB173" s="302">
        <f t="shared" si="173"/>
        <v>-8.6659337459082053E-2</v>
      </c>
      <c r="AC173" s="302">
        <f t="shared" si="174"/>
        <v>-4.1288484464951591E-2</v>
      </c>
      <c r="AD173" s="302">
        <f t="shared" si="175"/>
        <v>6.9125292368875657E-3</v>
      </c>
      <c r="AE173" s="302">
        <f t="shared" si="176"/>
        <v>5.2283382231018027E-2</v>
      </c>
      <c r="AF173" s="302">
        <f t="shared" si="177"/>
        <v>9.8957185575665574E-2</v>
      </c>
      <c r="AG173" s="302">
        <f t="shared" si="178"/>
        <v>0.14432803856979604</v>
      </c>
      <c r="AH173" s="302">
        <f t="shared" si="179"/>
        <v>0.18774446709125936</v>
      </c>
      <c r="AI173" s="302">
        <f t="shared" si="180"/>
        <v>0.23266364703124326</v>
      </c>
      <c r="AJ173" s="302">
        <f t="shared" si="181"/>
        <v>0.27178713914795449</v>
      </c>
      <c r="AK173" s="302">
        <f t="shared" si="182"/>
        <v>0.97052926145294438</v>
      </c>
      <c r="AL173" s="302">
        <f t="shared" si="183"/>
        <v>1.0549182613664376</v>
      </c>
      <c r="AM173" s="302">
        <f t="shared" si="184"/>
        <v>1.1447860996100614</v>
      </c>
      <c r="AN173" s="302">
        <f t="shared" si="185"/>
        <v>1.2374436880908797</v>
      </c>
      <c r="AO173" s="302">
        <f t="shared" si="186"/>
        <v>1.3311136895395936</v>
      </c>
      <c r="AP173" s="302">
        <f t="shared" si="187"/>
        <v>1.4239398362314422</v>
      </c>
      <c r="AQ173" s="302">
        <f t="shared" si="188"/>
        <v>1.5141317371574163</v>
      </c>
      <c r="AR173" s="302">
        <f t="shared" si="189"/>
        <v>1.600099007325507</v>
      </c>
      <c r="AS173" s="302">
        <f t="shared" si="190"/>
        <v>1.6811211701043645</v>
      </c>
      <c r="AT173" s="302">
        <f t="shared" si="191"/>
        <v>1.7615763147337118</v>
      </c>
      <c r="AU173" s="302">
        <f t="shared" si="192"/>
        <v>1.8355938590733318</v>
      </c>
      <c r="AV173" s="302">
        <f t="shared" si="193"/>
        <v>1.9026234118903393</v>
      </c>
      <c r="AW173" s="302">
        <f t="shared" si="194"/>
        <v>1.9624633042014898</v>
      </c>
      <c r="AX173" s="302">
        <f t="shared" si="195"/>
        <v>2.021526032904271</v>
      </c>
      <c r="AY173" s="302">
        <f t="shared" si="196"/>
        <v>2.0742696211106582</v>
      </c>
      <c r="AZ173" s="302">
        <f t="shared" si="197"/>
        <v>2.120237756039602</v>
      </c>
      <c r="BA173" s="302">
        <f t="shared" si="198"/>
        <v>2.1622066650461429</v>
      </c>
      <c r="BB173" s="302">
        <f t="shared" si="199"/>
        <v>2.2018780849862623</v>
      </c>
      <c r="BC173" s="302">
        <f t="shared" si="200"/>
        <v>2.2358260847618929</v>
      </c>
      <c r="BD173" s="302">
        <f t="shared" si="201"/>
        <v>2.2651099597173001</v>
      </c>
      <c r="BE173" s="302">
        <f t="shared" si="202"/>
        <v>2.2939499989619696</v>
      </c>
      <c r="BF173" s="302">
        <f t="shared" si="203"/>
        <v>2.3182998290567234</v>
      </c>
      <c r="BG173" s="302">
        <f t="shared" si="204"/>
        <v>2.3387515977090487</v>
      </c>
      <c r="BH173" s="302">
        <f t="shared" si="205"/>
        <v>2.3589256302123385</v>
      </c>
      <c r="BI173" s="302">
        <f t="shared" si="206"/>
        <v>2.3760282436988338</v>
      </c>
      <c r="BJ173" s="302">
        <f t="shared" si="207"/>
        <v>2.3902778176479829</v>
      </c>
      <c r="BK173" s="302">
        <f t="shared" si="208"/>
        <v>2.4040541953221224</v>
      </c>
      <c r="BL173" s="302">
        <f t="shared" si="209"/>
        <v>2.4158904492221636</v>
      </c>
      <c r="BM173" s="302">
        <f t="shared" si="210"/>
        <v>2.4256971769593849</v>
      </c>
      <c r="BN173" s="302">
        <f t="shared" si="211"/>
        <v>2.4350483022346339</v>
      </c>
      <c r="BO173" s="303">
        <f t="shared" si="212"/>
        <v>2.4431564241065686</v>
      </c>
      <c r="BP173" s="223"/>
    </row>
    <row r="174" spans="3:68" ht="42" customHeight="1">
      <c r="C174" s="426"/>
      <c r="D174" s="425"/>
      <c r="E174" s="443">
        <v>0</v>
      </c>
      <c r="F174" s="444">
        <f t="shared" ref="F174:F203" si="213">$F$144-($F$144-$F$204)*1/(1+EXP(-($F$143*(-E174+$D$142))))</f>
        <v>0.22392833940517187</v>
      </c>
      <c r="G174" s="449">
        <f t="shared" si="151"/>
        <v>-0.51303583029741406</v>
      </c>
      <c r="H174" s="449">
        <f t="shared" si="152"/>
        <v>-0.50547347935600251</v>
      </c>
      <c r="I174" s="302">
        <f t="shared" si="154"/>
        <v>-0.50380739474800795</v>
      </c>
      <c r="J174" s="302">
        <f t="shared" si="155"/>
        <v>-0.50177646307789792</v>
      </c>
      <c r="K174" s="302">
        <f t="shared" si="156"/>
        <v>-0.4993018677345783</v>
      </c>
      <c r="L174" s="302">
        <f t="shared" si="157"/>
        <v>-0.49628829047188183</v>
      </c>
      <c r="M174" s="302">
        <f t="shared" si="158"/>
        <v>-0.4926207113733313</v>
      </c>
      <c r="N174" s="302">
        <f t="shared" si="159"/>
        <v>-0.48816071286937934</v>
      </c>
      <c r="O174" s="302">
        <f t="shared" si="160"/>
        <v>-0.48274227423440708</v>
      </c>
      <c r="P174" s="302">
        <f t="shared" si="161"/>
        <v>-0.4761670808537124</v>
      </c>
      <c r="Q174" s="302">
        <f t="shared" si="162"/>
        <v>-0.4681994340131409</v>
      </c>
      <c r="R174" s="302">
        <f t="shared" si="163"/>
        <v>-0.45856094120969082</v>
      </c>
      <c r="S174" s="302">
        <f t="shared" si="164"/>
        <v>-0.44692530482001991</v>
      </c>
      <c r="T174" s="302">
        <f t="shared" si="165"/>
        <v>-0.43291371963189262</v>
      </c>
      <c r="U174" s="302">
        <f t="shared" si="166"/>
        <v>-0.41609164612966243</v>
      </c>
      <c r="V174" s="302">
        <f t="shared" si="167"/>
        <v>-0.3959680477840738</v>
      </c>
      <c r="W174" s="302">
        <f t="shared" si="168"/>
        <v>-0.3719985517369459</v>
      </c>
      <c r="X174" s="302">
        <f t="shared" si="169"/>
        <v>-0.34359436860957526</v>
      </c>
      <c r="Y174" s="302">
        <f t="shared" si="170"/>
        <v>-0.31013909856500738</v>
      </c>
      <c r="Z174" s="302">
        <f t="shared" si="171"/>
        <v>-0.27101560644829614</v>
      </c>
      <c r="AA174" s="302">
        <f t="shared" si="172"/>
        <v>-0.22564475345416568</v>
      </c>
      <c r="AB174" s="302">
        <f t="shared" si="173"/>
        <v>-0.17990985283301641</v>
      </c>
      <c r="AC174" s="302">
        <f t="shared" si="174"/>
        <v>-0.13453899983888595</v>
      </c>
      <c r="AD174" s="302">
        <f t="shared" si="175"/>
        <v>-8.6659337459082053E-2</v>
      </c>
      <c r="AE174" s="302">
        <f t="shared" si="176"/>
        <v>-4.1288484464951591E-2</v>
      </c>
      <c r="AF174" s="302">
        <f t="shared" si="177"/>
        <v>6.9125292368875657E-3</v>
      </c>
      <c r="AG174" s="302">
        <f t="shared" si="178"/>
        <v>5.2283382231018027E-2</v>
      </c>
      <c r="AH174" s="302">
        <f t="shared" si="179"/>
        <v>9.8957185575665574E-2</v>
      </c>
      <c r="AI174" s="302">
        <f t="shared" si="180"/>
        <v>0.14432803856979604</v>
      </c>
      <c r="AJ174" s="302">
        <f t="shared" si="181"/>
        <v>0.18774446709125936</v>
      </c>
      <c r="AK174" s="302">
        <f t="shared" si="182"/>
        <v>0.23266364703124326</v>
      </c>
      <c r="AL174" s="302">
        <f t="shared" si="183"/>
        <v>1.0129630279893658</v>
      </c>
      <c r="AM174" s="302">
        <f t="shared" si="184"/>
        <v>1.0984747449532186</v>
      </c>
      <c r="AN174" s="302">
        <f t="shared" si="185"/>
        <v>1.1883425831968428</v>
      </c>
      <c r="AO174" s="302">
        <f t="shared" si="186"/>
        <v>1.2810001716776611</v>
      </c>
      <c r="AP174" s="302">
        <f t="shared" si="187"/>
        <v>1.3746701731263749</v>
      </c>
      <c r="AQ174" s="302">
        <f t="shared" si="188"/>
        <v>1.4674963198182234</v>
      </c>
      <c r="AR174" s="302">
        <f t="shared" si="189"/>
        <v>1.5576882207441975</v>
      </c>
      <c r="AS174" s="302">
        <f t="shared" si="190"/>
        <v>1.6436554909122882</v>
      </c>
      <c r="AT174" s="302">
        <f t="shared" si="191"/>
        <v>1.7241106355416356</v>
      </c>
      <c r="AU174" s="302">
        <f t="shared" si="192"/>
        <v>1.7981281798812556</v>
      </c>
      <c r="AV174" s="302">
        <f t="shared" si="193"/>
        <v>1.8675632254402517</v>
      </c>
      <c r="AW174" s="302">
        <f t="shared" si="194"/>
        <v>1.9345927782572592</v>
      </c>
      <c r="AX174" s="302">
        <f t="shared" si="195"/>
        <v>1.9944326705684097</v>
      </c>
      <c r="AY174" s="302">
        <f t="shared" si="196"/>
        <v>2.0471762587747966</v>
      </c>
      <c r="AZ174" s="302">
        <f t="shared" si="197"/>
        <v>2.097097846432241</v>
      </c>
      <c r="BA174" s="302">
        <f t="shared" si="198"/>
        <v>2.1430659813611852</v>
      </c>
      <c r="BB174" s="302">
        <f t="shared" si="199"/>
        <v>2.1827374013013046</v>
      </c>
      <c r="BC174" s="302">
        <f t="shared" si="200"/>
        <v>2.217861191012477</v>
      </c>
      <c r="BD174" s="302">
        <f t="shared" si="201"/>
        <v>2.2518091907881077</v>
      </c>
      <c r="BE174" s="302">
        <f t="shared" si="202"/>
        <v>2.2806492300327776</v>
      </c>
      <c r="BF174" s="302">
        <f t="shared" si="203"/>
        <v>2.3049990601275314</v>
      </c>
      <c r="BG174" s="302">
        <f t="shared" si="204"/>
        <v>2.3293368926271283</v>
      </c>
      <c r="BH174" s="302">
        <f t="shared" si="205"/>
        <v>2.3497886612794536</v>
      </c>
      <c r="BI174" s="302">
        <f t="shared" si="206"/>
        <v>2.366891274765949</v>
      </c>
      <c r="BJ174" s="302">
        <f t="shared" si="207"/>
        <v>2.3835774170324617</v>
      </c>
      <c r="BK174" s="302">
        <f t="shared" si="208"/>
        <v>2.3978269909816108</v>
      </c>
      <c r="BL174" s="302">
        <f t="shared" si="209"/>
        <v>2.409663244881652</v>
      </c>
      <c r="BM174" s="302">
        <f t="shared" si="210"/>
        <v>2.42102031997839</v>
      </c>
      <c r="BN174" s="302">
        <f t="shared" si="211"/>
        <v>2.4308270477156118</v>
      </c>
      <c r="BO174" s="303">
        <f t="shared" si="212"/>
        <v>2.4389351695875465</v>
      </c>
      <c r="BP174" s="223"/>
    </row>
    <row r="175" spans="3:68" ht="42" customHeight="1">
      <c r="C175" s="426"/>
      <c r="D175" s="425"/>
      <c r="E175" s="445">
        <v>-0.05</v>
      </c>
      <c r="F175" s="444">
        <f t="shared" si="213"/>
        <v>4.9323958158932868E-2</v>
      </c>
      <c r="G175" s="449">
        <f t="shared" si="151"/>
        <v>-0.60033802092053357</v>
      </c>
      <c r="H175" s="449">
        <f t="shared" si="152"/>
        <v>-0.59277566997912201</v>
      </c>
      <c r="I175" s="302">
        <f t="shared" si="154"/>
        <v>-0.59110958537112746</v>
      </c>
      <c r="J175" s="302">
        <f t="shared" si="155"/>
        <v>-0.58907865370101742</v>
      </c>
      <c r="K175" s="302">
        <f t="shared" si="156"/>
        <v>-0.5866040583576978</v>
      </c>
      <c r="L175" s="302">
        <f t="shared" si="157"/>
        <v>-0.58359048109500133</v>
      </c>
      <c r="M175" s="302">
        <f t="shared" si="158"/>
        <v>-0.5799229019964508</v>
      </c>
      <c r="N175" s="302">
        <f t="shared" si="159"/>
        <v>-0.57546290349249885</v>
      </c>
      <c r="O175" s="302">
        <f t="shared" si="160"/>
        <v>-0.57004446485752658</v>
      </c>
      <c r="P175" s="302">
        <f t="shared" si="161"/>
        <v>-0.5634692714768319</v>
      </c>
      <c r="Q175" s="302">
        <f t="shared" si="162"/>
        <v>-0.5555016246362604</v>
      </c>
      <c r="R175" s="302">
        <f t="shared" si="163"/>
        <v>-0.54586313183281032</v>
      </c>
      <c r="S175" s="302">
        <f t="shared" si="164"/>
        <v>-0.53422749544313941</v>
      </c>
      <c r="T175" s="302">
        <f t="shared" si="165"/>
        <v>-0.52021591025501213</v>
      </c>
      <c r="U175" s="302">
        <f t="shared" si="166"/>
        <v>-0.50339383675278193</v>
      </c>
      <c r="V175" s="302">
        <f t="shared" si="167"/>
        <v>-0.4832702384071933</v>
      </c>
      <c r="W175" s="302">
        <f t="shared" si="168"/>
        <v>-0.45930074236006541</v>
      </c>
      <c r="X175" s="302">
        <f t="shared" si="169"/>
        <v>-0.43089655923269476</v>
      </c>
      <c r="Y175" s="302">
        <f t="shared" si="170"/>
        <v>-0.39744128918812688</v>
      </c>
      <c r="Z175" s="302">
        <f t="shared" si="171"/>
        <v>-0.35831779707141564</v>
      </c>
      <c r="AA175" s="302">
        <f t="shared" si="172"/>
        <v>-0.31294694407728518</v>
      </c>
      <c r="AB175" s="302">
        <f t="shared" si="173"/>
        <v>-0.27101560644829614</v>
      </c>
      <c r="AC175" s="302">
        <f t="shared" si="174"/>
        <v>-0.22564475345416568</v>
      </c>
      <c r="AD175" s="302">
        <f t="shared" si="175"/>
        <v>-0.17990985283301641</v>
      </c>
      <c r="AE175" s="302">
        <f t="shared" si="176"/>
        <v>-0.13453899983888595</v>
      </c>
      <c r="AF175" s="302">
        <f t="shared" si="177"/>
        <v>-8.6659337459082053E-2</v>
      </c>
      <c r="AG175" s="302">
        <f t="shared" si="178"/>
        <v>-4.1288484464951591E-2</v>
      </c>
      <c r="AH175" s="302">
        <f t="shared" si="179"/>
        <v>6.9125292368875657E-3</v>
      </c>
      <c r="AI175" s="302">
        <f t="shared" si="180"/>
        <v>5.2283382231018027E-2</v>
      </c>
      <c r="AJ175" s="302">
        <f t="shared" si="181"/>
        <v>9.8957185575665574E-2</v>
      </c>
      <c r="AK175" s="302">
        <f t="shared" si="182"/>
        <v>0.14432803856979604</v>
      </c>
      <c r="AL175" s="302">
        <f t="shared" si="183"/>
        <v>0.18774446709125936</v>
      </c>
      <c r="AM175" s="302">
        <f t="shared" si="184"/>
        <v>1.0549182613664376</v>
      </c>
      <c r="AN175" s="302">
        <f t="shared" si="185"/>
        <v>1.1447860996100614</v>
      </c>
      <c r="AO175" s="302">
        <f t="shared" si="186"/>
        <v>1.2374436880908797</v>
      </c>
      <c r="AP175" s="302">
        <f t="shared" si="187"/>
        <v>1.3311136895395936</v>
      </c>
      <c r="AQ175" s="302">
        <f t="shared" si="188"/>
        <v>1.4239398362314422</v>
      </c>
      <c r="AR175" s="302">
        <f t="shared" si="189"/>
        <v>1.5141317371574163</v>
      </c>
      <c r="AS175" s="302">
        <f t="shared" si="190"/>
        <v>1.600099007325507</v>
      </c>
      <c r="AT175" s="302">
        <f t="shared" si="191"/>
        <v>1.6811211701043645</v>
      </c>
      <c r="AU175" s="302">
        <f t="shared" si="192"/>
        <v>1.7615763147337118</v>
      </c>
      <c r="AV175" s="302">
        <f t="shared" si="193"/>
        <v>1.8355938590733318</v>
      </c>
      <c r="AW175" s="302">
        <f t="shared" si="194"/>
        <v>1.9026234118903393</v>
      </c>
      <c r="AX175" s="302">
        <f t="shared" si="195"/>
        <v>1.9624633042014898</v>
      </c>
      <c r="AY175" s="302">
        <f t="shared" si="196"/>
        <v>2.021526032904271</v>
      </c>
      <c r="AZ175" s="302">
        <f t="shared" si="197"/>
        <v>2.0742696211106582</v>
      </c>
      <c r="BA175" s="302">
        <f t="shared" si="198"/>
        <v>2.120237756039602</v>
      </c>
      <c r="BB175" s="302">
        <f t="shared" si="199"/>
        <v>2.1622066650461429</v>
      </c>
      <c r="BC175" s="302">
        <f t="shared" si="200"/>
        <v>2.2018780849862623</v>
      </c>
      <c r="BD175" s="302">
        <f t="shared" si="201"/>
        <v>2.2358260847618929</v>
      </c>
      <c r="BE175" s="302">
        <f t="shared" si="202"/>
        <v>2.2651099597173001</v>
      </c>
      <c r="BF175" s="302">
        <f t="shared" si="203"/>
        <v>2.2939499989619696</v>
      </c>
      <c r="BG175" s="302">
        <f t="shared" si="204"/>
        <v>2.3182998290567234</v>
      </c>
      <c r="BH175" s="302">
        <f t="shared" si="205"/>
        <v>2.3387515977090487</v>
      </c>
      <c r="BI175" s="302">
        <f t="shared" si="206"/>
        <v>2.3589256302123385</v>
      </c>
      <c r="BJ175" s="302">
        <f t="shared" si="207"/>
        <v>2.3760282436988338</v>
      </c>
      <c r="BK175" s="302">
        <f t="shared" si="208"/>
        <v>2.3902778176479829</v>
      </c>
      <c r="BL175" s="302">
        <f t="shared" si="209"/>
        <v>2.4040541953221224</v>
      </c>
      <c r="BM175" s="302">
        <f t="shared" si="210"/>
        <v>2.4158904492221636</v>
      </c>
      <c r="BN175" s="302">
        <f t="shared" si="211"/>
        <v>2.4256971769593849</v>
      </c>
      <c r="BO175" s="303">
        <f t="shared" si="212"/>
        <v>2.4350483022346339</v>
      </c>
      <c r="BP175" s="223"/>
    </row>
    <row r="176" spans="3:68" ht="42" customHeight="1">
      <c r="C176" s="426"/>
      <c r="D176" s="425"/>
      <c r="E176" s="443">
        <v>-0.1</v>
      </c>
      <c r="F176" s="444">
        <f t="shared" si="213"/>
        <v>-0.1149116524842797</v>
      </c>
      <c r="G176" s="449">
        <f t="shared" si="151"/>
        <v>-0.68245582624213985</v>
      </c>
      <c r="H176" s="449">
        <f t="shared" si="152"/>
        <v>-0.6748934753007283</v>
      </c>
      <c r="I176" s="302">
        <f t="shared" si="154"/>
        <v>-0.67322739069273374</v>
      </c>
      <c r="J176" s="302">
        <f t="shared" si="155"/>
        <v>-0.6711964590226237</v>
      </c>
      <c r="K176" s="302">
        <f t="shared" si="156"/>
        <v>-0.66872186367930408</v>
      </c>
      <c r="L176" s="302">
        <f t="shared" si="157"/>
        <v>-0.66570828641660762</v>
      </c>
      <c r="M176" s="302">
        <f t="shared" si="158"/>
        <v>-0.66204070731805709</v>
      </c>
      <c r="N176" s="302">
        <f t="shared" si="159"/>
        <v>-0.65758070881410513</v>
      </c>
      <c r="O176" s="302">
        <f t="shared" si="160"/>
        <v>-0.65216227017913286</v>
      </c>
      <c r="P176" s="302">
        <f t="shared" si="161"/>
        <v>-0.64558707679843819</v>
      </c>
      <c r="Q176" s="302">
        <f t="shared" si="162"/>
        <v>-0.63761942995786669</v>
      </c>
      <c r="R176" s="302">
        <f t="shared" si="163"/>
        <v>-0.62798093715441661</v>
      </c>
      <c r="S176" s="302">
        <f t="shared" si="164"/>
        <v>-0.6163453007647457</v>
      </c>
      <c r="T176" s="302">
        <f t="shared" si="165"/>
        <v>-0.60233371557661841</v>
      </c>
      <c r="U176" s="302">
        <f t="shared" si="166"/>
        <v>-0.58551164207438822</v>
      </c>
      <c r="V176" s="302">
        <f t="shared" si="167"/>
        <v>-0.56538804372879958</v>
      </c>
      <c r="W176" s="302">
        <f t="shared" si="168"/>
        <v>-0.54141854768167175</v>
      </c>
      <c r="X176" s="302">
        <f t="shared" si="169"/>
        <v>-0.51301436455430105</v>
      </c>
      <c r="Y176" s="302">
        <f t="shared" si="170"/>
        <v>-0.47955909450973316</v>
      </c>
      <c r="Z176" s="302">
        <f t="shared" si="171"/>
        <v>-0.44043560239302193</v>
      </c>
      <c r="AA176" s="302">
        <f t="shared" si="172"/>
        <v>-0.39744128918812688</v>
      </c>
      <c r="AB176" s="302">
        <f t="shared" si="173"/>
        <v>-0.35831779707141564</v>
      </c>
      <c r="AC176" s="302">
        <f t="shared" si="174"/>
        <v>-0.31294694407728518</v>
      </c>
      <c r="AD176" s="302">
        <f t="shared" si="175"/>
        <v>-0.27101560644829614</v>
      </c>
      <c r="AE176" s="302">
        <f t="shared" si="176"/>
        <v>-0.22564475345416568</v>
      </c>
      <c r="AF176" s="302">
        <f t="shared" si="177"/>
        <v>-0.17990985283301641</v>
      </c>
      <c r="AG176" s="302">
        <f t="shared" si="178"/>
        <v>-0.13453899983888595</v>
      </c>
      <c r="AH176" s="302">
        <f t="shared" si="179"/>
        <v>-8.6659337459082053E-2</v>
      </c>
      <c r="AI176" s="302">
        <f t="shared" si="180"/>
        <v>-4.1288484464951591E-2</v>
      </c>
      <c r="AJ176" s="302">
        <f t="shared" si="181"/>
        <v>6.9125292368875657E-3</v>
      </c>
      <c r="AK176" s="302">
        <f t="shared" si="182"/>
        <v>5.2283382231018027E-2</v>
      </c>
      <c r="AL176" s="302">
        <f t="shared" si="183"/>
        <v>9.8957185575665574E-2</v>
      </c>
      <c r="AM176" s="302">
        <f t="shared" si="184"/>
        <v>0.14432803856979604</v>
      </c>
      <c r="AN176" s="302">
        <f t="shared" si="185"/>
        <v>1.0984747449532186</v>
      </c>
      <c r="AO176" s="302">
        <f t="shared" si="186"/>
        <v>1.1883425831968428</v>
      </c>
      <c r="AP176" s="302">
        <f t="shared" si="187"/>
        <v>1.2810001716776611</v>
      </c>
      <c r="AQ176" s="302">
        <f t="shared" si="188"/>
        <v>1.3746701731263749</v>
      </c>
      <c r="AR176" s="302">
        <f t="shared" si="189"/>
        <v>1.4674963198182234</v>
      </c>
      <c r="AS176" s="302">
        <f t="shared" si="190"/>
        <v>1.5576882207441975</v>
      </c>
      <c r="AT176" s="302">
        <f t="shared" si="191"/>
        <v>1.6436554909122882</v>
      </c>
      <c r="AU176" s="302">
        <f t="shared" si="192"/>
        <v>1.7241106355416356</v>
      </c>
      <c r="AV176" s="302">
        <f t="shared" si="193"/>
        <v>1.7981281798812556</v>
      </c>
      <c r="AW176" s="302">
        <f t="shared" si="194"/>
        <v>1.8675632254402517</v>
      </c>
      <c r="AX176" s="302">
        <f t="shared" si="195"/>
        <v>1.9345927782572592</v>
      </c>
      <c r="AY176" s="302">
        <f t="shared" si="196"/>
        <v>1.9944326705684097</v>
      </c>
      <c r="AZ176" s="302">
        <f t="shared" si="197"/>
        <v>2.0471762587747966</v>
      </c>
      <c r="BA176" s="302">
        <f t="shared" si="198"/>
        <v>2.097097846432241</v>
      </c>
      <c r="BB176" s="302">
        <f t="shared" si="199"/>
        <v>2.1430659813611852</v>
      </c>
      <c r="BC176" s="302">
        <f t="shared" si="200"/>
        <v>2.1827374013013046</v>
      </c>
      <c r="BD176" s="302">
        <f t="shared" si="201"/>
        <v>2.217861191012477</v>
      </c>
      <c r="BE176" s="302">
        <f t="shared" si="202"/>
        <v>2.2518091907881077</v>
      </c>
      <c r="BF176" s="302">
        <f t="shared" si="203"/>
        <v>2.2806492300327776</v>
      </c>
      <c r="BG176" s="302">
        <f t="shared" si="204"/>
        <v>2.3049990601275314</v>
      </c>
      <c r="BH176" s="302">
        <f t="shared" si="205"/>
        <v>2.3293368926271283</v>
      </c>
      <c r="BI176" s="302">
        <f t="shared" si="206"/>
        <v>2.3497886612794536</v>
      </c>
      <c r="BJ176" s="302">
        <f t="shared" si="207"/>
        <v>2.366891274765949</v>
      </c>
      <c r="BK176" s="302">
        <f t="shared" si="208"/>
        <v>2.3835774170324617</v>
      </c>
      <c r="BL176" s="302">
        <f t="shared" si="209"/>
        <v>2.3978269909816108</v>
      </c>
      <c r="BM176" s="302">
        <f t="shared" si="210"/>
        <v>2.409663244881652</v>
      </c>
      <c r="BN176" s="302">
        <f t="shared" si="211"/>
        <v>2.42102031997839</v>
      </c>
      <c r="BO176" s="303">
        <f t="shared" si="212"/>
        <v>2.4308270477156118</v>
      </c>
      <c r="BP176" s="223"/>
    </row>
    <row r="177" spans="3:68" ht="42" customHeight="1">
      <c r="C177" s="426"/>
      <c r="D177" s="425"/>
      <c r="E177" s="445">
        <v>-0.15</v>
      </c>
      <c r="F177" s="444">
        <f t="shared" si="213"/>
        <v>-0.26671707262787026</v>
      </c>
      <c r="G177" s="449">
        <f t="shared" si="151"/>
        <v>-0.75835853631393513</v>
      </c>
      <c r="H177" s="449">
        <f t="shared" si="152"/>
        <v>-0.75079618537252357</v>
      </c>
      <c r="I177" s="302">
        <f t="shared" si="154"/>
        <v>-0.74913010076452902</v>
      </c>
      <c r="J177" s="302">
        <f t="shared" si="155"/>
        <v>-0.74709916909441898</v>
      </c>
      <c r="K177" s="302">
        <f t="shared" si="156"/>
        <v>-0.74462457375109936</v>
      </c>
      <c r="L177" s="302">
        <f t="shared" si="157"/>
        <v>-0.7416109964884029</v>
      </c>
      <c r="M177" s="302">
        <f t="shared" si="158"/>
        <v>-0.73794341738985236</v>
      </c>
      <c r="N177" s="302">
        <f t="shared" si="159"/>
        <v>-0.73348341888590041</v>
      </c>
      <c r="O177" s="302">
        <f t="shared" si="160"/>
        <v>-0.72806498025092814</v>
      </c>
      <c r="P177" s="302">
        <f t="shared" si="161"/>
        <v>-0.72148978687023346</v>
      </c>
      <c r="Q177" s="302">
        <f t="shared" si="162"/>
        <v>-0.71352214002966197</v>
      </c>
      <c r="R177" s="302">
        <f t="shared" si="163"/>
        <v>-0.70388364722621188</v>
      </c>
      <c r="S177" s="302">
        <f t="shared" si="164"/>
        <v>-0.69224801083654097</v>
      </c>
      <c r="T177" s="302">
        <f t="shared" si="165"/>
        <v>-0.67823642564841369</v>
      </c>
      <c r="U177" s="302">
        <f t="shared" si="166"/>
        <v>-0.66141435214618349</v>
      </c>
      <c r="V177" s="302">
        <f t="shared" si="167"/>
        <v>-0.64129075380059486</v>
      </c>
      <c r="W177" s="302">
        <f t="shared" si="168"/>
        <v>-0.61732125775346702</v>
      </c>
      <c r="X177" s="302">
        <f t="shared" si="169"/>
        <v>-0.58891707462609633</v>
      </c>
      <c r="Y177" s="302">
        <f t="shared" si="170"/>
        <v>-0.5554618045815285</v>
      </c>
      <c r="Z177" s="302">
        <f t="shared" si="171"/>
        <v>-0.51633831246481721</v>
      </c>
      <c r="AA177" s="302">
        <f t="shared" si="172"/>
        <v>-0.47955909450973316</v>
      </c>
      <c r="AB177" s="302">
        <f t="shared" si="173"/>
        <v>-0.44043560239302193</v>
      </c>
      <c r="AC177" s="302">
        <f t="shared" si="174"/>
        <v>-0.39744128918812688</v>
      </c>
      <c r="AD177" s="302">
        <f t="shared" si="175"/>
        <v>-0.35831779707141564</v>
      </c>
      <c r="AE177" s="302">
        <f t="shared" si="176"/>
        <v>-0.31294694407728518</v>
      </c>
      <c r="AF177" s="302">
        <f t="shared" si="177"/>
        <v>-0.27101560644829614</v>
      </c>
      <c r="AG177" s="302">
        <f t="shared" si="178"/>
        <v>-0.22564475345416568</v>
      </c>
      <c r="AH177" s="302">
        <f t="shared" si="179"/>
        <v>-0.17990985283301641</v>
      </c>
      <c r="AI177" s="302">
        <f t="shared" si="180"/>
        <v>-0.13453899983888595</v>
      </c>
      <c r="AJ177" s="302">
        <f t="shared" si="181"/>
        <v>-8.6659337459082053E-2</v>
      </c>
      <c r="AK177" s="302">
        <f t="shared" si="182"/>
        <v>-4.1288484464951591E-2</v>
      </c>
      <c r="AL177" s="302">
        <f t="shared" si="183"/>
        <v>6.9125292368875657E-3</v>
      </c>
      <c r="AM177" s="302">
        <f t="shared" si="184"/>
        <v>5.2283382231018027E-2</v>
      </c>
      <c r="AN177" s="302">
        <f t="shared" si="185"/>
        <v>9.8957185575665574E-2</v>
      </c>
      <c r="AO177" s="302">
        <f t="shared" si="186"/>
        <v>1.1447860996100614</v>
      </c>
      <c r="AP177" s="302">
        <f t="shared" si="187"/>
        <v>1.2374436880908797</v>
      </c>
      <c r="AQ177" s="302">
        <f t="shared" si="188"/>
        <v>1.3311136895395936</v>
      </c>
      <c r="AR177" s="302">
        <f t="shared" si="189"/>
        <v>1.4239398362314422</v>
      </c>
      <c r="AS177" s="302">
        <f t="shared" si="190"/>
        <v>1.5141317371574163</v>
      </c>
      <c r="AT177" s="302">
        <f t="shared" si="191"/>
        <v>1.600099007325507</v>
      </c>
      <c r="AU177" s="302">
        <f t="shared" si="192"/>
        <v>1.6811211701043645</v>
      </c>
      <c r="AV177" s="302">
        <f t="shared" si="193"/>
        <v>1.7615763147337118</v>
      </c>
      <c r="AW177" s="302">
        <f t="shared" si="194"/>
        <v>1.8355938590733318</v>
      </c>
      <c r="AX177" s="302">
        <f t="shared" si="195"/>
        <v>1.9026234118903393</v>
      </c>
      <c r="AY177" s="302">
        <f t="shared" si="196"/>
        <v>1.9624633042014898</v>
      </c>
      <c r="AZ177" s="302">
        <f t="shared" si="197"/>
        <v>2.021526032904271</v>
      </c>
      <c r="BA177" s="302">
        <f t="shared" si="198"/>
        <v>2.0742696211106582</v>
      </c>
      <c r="BB177" s="302">
        <f t="shared" si="199"/>
        <v>2.120237756039602</v>
      </c>
      <c r="BC177" s="302">
        <f t="shared" si="200"/>
        <v>2.1622066650461429</v>
      </c>
      <c r="BD177" s="302">
        <f t="shared" si="201"/>
        <v>2.2018780849862623</v>
      </c>
      <c r="BE177" s="302">
        <f t="shared" si="202"/>
        <v>2.2358260847618929</v>
      </c>
      <c r="BF177" s="302">
        <f t="shared" si="203"/>
        <v>2.2651099597173001</v>
      </c>
      <c r="BG177" s="302">
        <f t="shared" si="204"/>
        <v>2.2939499989619696</v>
      </c>
      <c r="BH177" s="302">
        <f t="shared" si="205"/>
        <v>2.3182998290567234</v>
      </c>
      <c r="BI177" s="302">
        <f t="shared" si="206"/>
        <v>2.3387515977090487</v>
      </c>
      <c r="BJ177" s="302">
        <f t="shared" si="207"/>
        <v>2.3589256302123385</v>
      </c>
      <c r="BK177" s="302">
        <f t="shared" si="208"/>
        <v>2.3760282436988338</v>
      </c>
      <c r="BL177" s="302">
        <f t="shared" si="209"/>
        <v>2.3902778176479829</v>
      </c>
      <c r="BM177" s="302">
        <f t="shared" si="210"/>
        <v>2.4040541953221224</v>
      </c>
      <c r="BN177" s="302">
        <f t="shared" si="211"/>
        <v>2.4158904492221636</v>
      </c>
      <c r="BO177" s="303">
        <f t="shared" si="212"/>
        <v>2.4256971769593849</v>
      </c>
      <c r="BP177" s="223"/>
    </row>
    <row r="178" spans="3:68" ht="42" customHeight="1">
      <c r="C178" s="426"/>
      <c r="D178" s="425"/>
      <c r="E178" s="443">
        <v>-0.2</v>
      </c>
      <c r="F178" s="444">
        <f t="shared" si="213"/>
        <v>-0.40478251311758706</v>
      </c>
      <c r="G178" s="449">
        <f t="shared" si="151"/>
        <v>-0.82739125655879353</v>
      </c>
      <c r="H178" s="449">
        <f t="shared" ref="H178:H204" si="214">_xlfn.IFS(($E1178-$D$142)&lt;-(H$142-$E$141),MIN((H$143+$F178)/2,G177),($E178-$D$8)&gt;-(H$142-$E$141),MAX((H$143+$F178)/2,G177),TRUE,(H$143+$F178)/2)</f>
        <v>-0.81982890561738198</v>
      </c>
      <c r="I178" s="302">
        <f t="shared" si="154"/>
        <v>-0.81816282100938742</v>
      </c>
      <c r="J178" s="302">
        <f t="shared" si="155"/>
        <v>-0.81613188933927738</v>
      </c>
      <c r="K178" s="302">
        <f t="shared" si="156"/>
        <v>-0.81365729399595776</v>
      </c>
      <c r="L178" s="302">
        <f t="shared" si="157"/>
        <v>-0.8106437167332613</v>
      </c>
      <c r="M178" s="302">
        <f t="shared" si="158"/>
        <v>-0.80697613763471077</v>
      </c>
      <c r="N178" s="302">
        <f t="shared" si="159"/>
        <v>-0.80251613913075881</v>
      </c>
      <c r="O178" s="302">
        <f t="shared" si="160"/>
        <v>-0.79709770049578654</v>
      </c>
      <c r="P178" s="302">
        <f t="shared" si="161"/>
        <v>-0.79052250711509187</v>
      </c>
      <c r="Q178" s="302">
        <f t="shared" si="162"/>
        <v>-0.78255486027452037</v>
      </c>
      <c r="R178" s="302">
        <f t="shared" si="163"/>
        <v>-0.77291636747107029</v>
      </c>
      <c r="S178" s="302">
        <f t="shared" si="164"/>
        <v>-0.76128073108139938</v>
      </c>
      <c r="T178" s="302">
        <f t="shared" si="165"/>
        <v>-0.74726914589327209</v>
      </c>
      <c r="U178" s="302">
        <f t="shared" si="166"/>
        <v>-0.7304470723910419</v>
      </c>
      <c r="V178" s="302">
        <f t="shared" si="167"/>
        <v>-0.71032347404545326</v>
      </c>
      <c r="W178" s="302">
        <f t="shared" si="168"/>
        <v>-0.68635397799832543</v>
      </c>
      <c r="X178" s="302">
        <f t="shared" si="169"/>
        <v>-0.65794979487095473</v>
      </c>
      <c r="Y178" s="302">
        <f t="shared" si="170"/>
        <v>-0.6244945248263869</v>
      </c>
      <c r="Z178" s="302">
        <f t="shared" si="171"/>
        <v>-0.58891707462609633</v>
      </c>
      <c r="AA178" s="302">
        <f t="shared" si="172"/>
        <v>-0.5554618045815285</v>
      </c>
      <c r="AB178" s="302">
        <f t="shared" si="173"/>
        <v>-0.51633831246481721</v>
      </c>
      <c r="AC178" s="302">
        <f t="shared" si="174"/>
        <v>-0.47955909450973316</v>
      </c>
      <c r="AD178" s="302">
        <f t="shared" si="175"/>
        <v>-0.44043560239302193</v>
      </c>
      <c r="AE178" s="302">
        <f t="shared" si="176"/>
        <v>-0.39744128918812688</v>
      </c>
      <c r="AF178" s="302">
        <f t="shared" si="177"/>
        <v>-0.35831779707141564</v>
      </c>
      <c r="AG178" s="302">
        <f t="shared" si="178"/>
        <v>-0.31294694407728518</v>
      </c>
      <c r="AH178" s="302">
        <f t="shared" si="179"/>
        <v>-0.27101560644829614</v>
      </c>
      <c r="AI178" s="302">
        <f t="shared" si="180"/>
        <v>-0.22564475345416568</v>
      </c>
      <c r="AJ178" s="302">
        <f t="shared" si="181"/>
        <v>-0.17990985283301641</v>
      </c>
      <c r="AK178" s="302">
        <f t="shared" si="182"/>
        <v>-0.13453899983888595</v>
      </c>
      <c r="AL178" s="302">
        <f t="shared" si="183"/>
        <v>-8.6659337459082053E-2</v>
      </c>
      <c r="AM178" s="302">
        <f t="shared" si="184"/>
        <v>-4.1288484464951591E-2</v>
      </c>
      <c r="AN178" s="302">
        <f t="shared" si="185"/>
        <v>6.9125292368875657E-3</v>
      </c>
      <c r="AO178" s="302">
        <f t="shared" si="186"/>
        <v>5.2283382231018027E-2</v>
      </c>
      <c r="AP178" s="302">
        <f t="shared" si="187"/>
        <v>1.1883425831968428</v>
      </c>
      <c r="AQ178" s="302">
        <f t="shared" si="188"/>
        <v>1.2810001716776611</v>
      </c>
      <c r="AR178" s="302">
        <f t="shared" si="189"/>
        <v>1.3746701731263749</v>
      </c>
      <c r="AS178" s="302">
        <f t="shared" si="190"/>
        <v>1.4674963198182234</v>
      </c>
      <c r="AT178" s="302">
        <f t="shared" si="191"/>
        <v>1.5576882207441975</v>
      </c>
      <c r="AU178" s="302">
        <f t="shared" si="192"/>
        <v>1.6436554909122882</v>
      </c>
      <c r="AV178" s="302">
        <f t="shared" si="193"/>
        <v>1.7241106355416356</v>
      </c>
      <c r="AW178" s="302">
        <f t="shared" si="194"/>
        <v>1.7981281798812556</v>
      </c>
      <c r="AX178" s="302">
        <f t="shared" si="195"/>
        <v>1.8675632254402517</v>
      </c>
      <c r="AY178" s="302">
        <f t="shared" si="196"/>
        <v>1.9345927782572592</v>
      </c>
      <c r="AZ178" s="302">
        <f t="shared" si="197"/>
        <v>1.9944326705684097</v>
      </c>
      <c r="BA178" s="302">
        <f t="shared" si="198"/>
        <v>2.0471762587747966</v>
      </c>
      <c r="BB178" s="302">
        <f t="shared" si="199"/>
        <v>2.097097846432241</v>
      </c>
      <c r="BC178" s="302">
        <f t="shared" si="200"/>
        <v>2.1430659813611852</v>
      </c>
      <c r="BD178" s="302">
        <f t="shared" si="201"/>
        <v>2.1827374013013046</v>
      </c>
      <c r="BE178" s="302">
        <f t="shared" si="202"/>
        <v>2.217861191012477</v>
      </c>
      <c r="BF178" s="302">
        <f t="shared" si="203"/>
        <v>2.2518091907881077</v>
      </c>
      <c r="BG178" s="302">
        <f t="shared" si="204"/>
        <v>2.2806492300327776</v>
      </c>
      <c r="BH178" s="302">
        <f t="shared" si="205"/>
        <v>2.3049990601275314</v>
      </c>
      <c r="BI178" s="302">
        <f t="shared" si="206"/>
        <v>2.3293368926271283</v>
      </c>
      <c r="BJ178" s="302">
        <f t="shared" si="207"/>
        <v>2.3497886612794536</v>
      </c>
      <c r="BK178" s="302">
        <f t="shared" si="208"/>
        <v>2.366891274765949</v>
      </c>
      <c r="BL178" s="302">
        <f t="shared" si="209"/>
        <v>2.3835774170324617</v>
      </c>
      <c r="BM178" s="302">
        <f t="shared" si="210"/>
        <v>2.3978269909816108</v>
      </c>
      <c r="BN178" s="302">
        <f t="shared" si="211"/>
        <v>2.409663244881652</v>
      </c>
      <c r="BO178" s="303">
        <f t="shared" si="212"/>
        <v>2.42102031997839</v>
      </c>
      <c r="BP178" s="223"/>
    </row>
    <row r="179" spans="3:68" ht="42" customHeight="1">
      <c r="C179" s="426"/>
      <c r="D179" s="425"/>
      <c r="E179" s="445">
        <v>-0.25</v>
      </c>
      <c r="F179" s="444">
        <f t="shared" si="213"/>
        <v>-0.52851717543578802</v>
      </c>
      <c r="G179" s="449">
        <f t="shared" si="151"/>
        <v>-0.88925858771789401</v>
      </c>
      <c r="H179" s="449">
        <f t="shared" si="214"/>
        <v>-0.88169623677648246</v>
      </c>
      <c r="I179" s="302">
        <f t="shared" si="154"/>
        <v>-0.8800301521684879</v>
      </c>
      <c r="J179" s="302">
        <f t="shared" si="155"/>
        <v>-0.87799922049837786</v>
      </c>
      <c r="K179" s="302">
        <f t="shared" si="156"/>
        <v>-0.87552462515505824</v>
      </c>
      <c r="L179" s="302">
        <f t="shared" si="157"/>
        <v>-0.87251104789236178</v>
      </c>
      <c r="M179" s="302">
        <f t="shared" si="158"/>
        <v>-0.86884346879381125</v>
      </c>
      <c r="N179" s="302">
        <f t="shared" si="159"/>
        <v>-0.86438347028985929</v>
      </c>
      <c r="O179" s="302">
        <f t="shared" si="160"/>
        <v>-0.85896503165488702</v>
      </c>
      <c r="P179" s="302">
        <f t="shared" si="161"/>
        <v>-0.85238983827419235</v>
      </c>
      <c r="Q179" s="302">
        <f t="shared" si="162"/>
        <v>-0.84442219143362085</v>
      </c>
      <c r="R179" s="302">
        <f t="shared" si="163"/>
        <v>-0.83478369863017077</v>
      </c>
      <c r="S179" s="302">
        <f t="shared" si="164"/>
        <v>-0.82314806224049986</v>
      </c>
      <c r="T179" s="302">
        <f t="shared" si="165"/>
        <v>-0.80913647705237257</v>
      </c>
      <c r="U179" s="302">
        <f t="shared" si="166"/>
        <v>-0.79231440355014238</v>
      </c>
      <c r="V179" s="302">
        <f t="shared" si="167"/>
        <v>-0.77219080520455374</v>
      </c>
      <c r="W179" s="302">
        <f t="shared" si="168"/>
        <v>-0.74822130915742591</v>
      </c>
      <c r="X179" s="302">
        <f t="shared" si="169"/>
        <v>-0.71981712603005521</v>
      </c>
      <c r="Y179" s="302">
        <f t="shared" si="170"/>
        <v>-0.68636185598548738</v>
      </c>
      <c r="Z179" s="302">
        <f t="shared" si="171"/>
        <v>-0.65794979487095473</v>
      </c>
      <c r="AA179" s="302">
        <f t="shared" si="172"/>
        <v>-0.6244945248263869</v>
      </c>
      <c r="AB179" s="302">
        <f t="shared" si="173"/>
        <v>-0.58891707462609633</v>
      </c>
      <c r="AC179" s="302">
        <f t="shared" si="174"/>
        <v>-0.5554618045815285</v>
      </c>
      <c r="AD179" s="302">
        <f t="shared" si="175"/>
        <v>-0.51633831246481721</v>
      </c>
      <c r="AE179" s="302">
        <f t="shared" si="176"/>
        <v>-0.47955909450973316</v>
      </c>
      <c r="AF179" s="302">
        <f t="shared" si="177"/>
        <v>-0.44043560239302193</v>
      </c>
      <c r="AG179" s="302">
        <f t="shared" si="178"/>
        <v>-0.39744128918812688</v>
      </c>
      <c r="AH179" s="302">
        <f t="shared" si="179"/>
        <v>-0.35831779707141564</v>
      </c>
      <c r="AI179" s="302">
        <f t="shared" si="180"/>
        <v>-0.31294694407728518</v>
      </c>
      <c r="AJ179" s="302">
        <f t="shared" si="181"/>
        <v>-0.27101560644829614</v>
      </c>
      <c r="AK179" s="302">
        <f t="shared" si="182"/>
        <v>-0.22564475345416568</v>
      </c>
      <c r="AL179" s="302">
        <f t="shared" si="183"/>
        <v>-0.17990985283301641</v>
      </c>
      <c r="AM179" s="302">
        <f t="shared" si="184"/>
        <v>-0.13453899983888595</v>
      </c>
      <c r="AN179" s="302">
        <f t="shared" si="185"/>
        <v>-8.6659337459082053E-2</v>
      </c>
      <c r="AO179" s="302">
        <f t="shared" si="186"/>
        <v>-4.1288484464951591E-2</v>
      </c>
      <c r="AP179" s="302">
        <f t="shared" si="187"/>
        <v>6.9125292368875657E-3</v>
      </c>
      <c r="AQ179" s="302">
        <f t="shared" si="188"/>
        <v>1.2374436880908797</v>
      </c>
      <c r="AR179" s="302">
        <f t="shared" si="189"/>
        <v>1.3311136895395936</v>
      </c>
      <c r="AS179" s="302">
        <f t="shared" si="190"/>
        <v>1.4239398362314422</v>
      </c>
      <c r="AT179" s="302">
        <f t="shared" si="191"/>
        <v>1.5141317371574163</v>
      </c>
      <c r="AU179" s="302">
        <f t="shared" si="192"/>
        <v>1.600099007325507</v>
      </c>
      <c r="AV179" s="302">
        <f t="shared" si="193"/>
        <v>1.6811211701043645</v>
      </c>
      <c r="AW179" s="302">
        <f t="shared" si="194"/>
        <v>1.7615763147337118</v>
      </c>
      <c r="AX179" s="302">
        <f t="shared" si="195"/>
        <v>1.8355938590733318</v>
      </c>
      <c r="AY179" s="302">
        <f t="shared" si="196"/>
        <v>1.9026234118903393</v>
      </c>
      <c r="AZ179" s="302">
        <f t="shared" si="197"/>
        <v>1.9624633042014898</v>
      </c>
      <c r="BA179" s="302">
        <f t="shared" si="198"/>
        <v>2.021526032904271</v>
      </c>
      <c r="BB179" s="302">
        <f t="shared" si="199"/>
        <v>2.0742696211106582</v>
      </c>
      <c r="BC179" s="302">
        <f t="shared" si="200"/>
        <v>2.120237756039602</v>
      </c>
      <c r="BD179" s="302">
        <f t="shared" si="201"/>
        <v>2.1622066650461429</v>
      </c>
      <c r="BE179" s="302">
        <f t="shared" si="202"/>
        <v>2.2018780849862623</v>
      </c>
      <c r="BF179" s="302">
        <f t="shared" si="203"/>
        <v>2.2358260847618929</v>
      </c>
      <c r="BG179" s="302">
        <f t="shared" si="204"/>
        <v>2.2651099597173001</v>
      </c>
      <c r="BH179" s="302">
        <f t="shared" si="205"/>
        <v>2.2939499989619696</v>
      </c>
      <c r="BI179" s="302">
        <f t="shared" si="206"/>
        <v>2.3182998290567234</v>
      </c>
      <c r="BJ179" s="302">
        <f t="shared" si="207"/>
        <v>2.3387515977090487</v>
      </c>
      <c r="BK179" s="302">
        <f t="shared" si="208"/>
        <v>2.3589256302123385</v>
      </c>
      <c r="BL179" s="302">
        <f t="shared" si="209"/>
        <v>2.3760282436988338</v>
      </c>
      <c r="BM179" s="302">
        <f t="shared" si="210"/>
        <v>2.3902778176479829</v>
      </c>
      <c r="BN179" s="302">
        <f t="shared" si="211"/>
        <v>2.4040541953221224</v>
      </c>
      <c r="BO179" s="303">
        <f t="shared" si="212"/>
        <v>2.4158904492221636</v>
      </c>
      <c r="BP179" s="223"/>
    </row>
    <row r="180" spans="3:68" ht="42" customHeight="1">
      <c r="C180" s="426"/>
      <c r="D180" s="425"/>
      <c r="E180" s="443">
        <v>-0.3</v>
      </c>
      <c r="F180" s="444">
        <f t="shared" si="213"/>
        <v>-0.63795450899740436</v>
      </c>
      <c r="G180" s="449">
        <f t="shared" si="151"/>
        <v>-0.94397725449870218</v>
      </c>
      <c r="H180" s="449">
        <f t="shared" si="214"/>
        <v>-0.93641490355729062</v>
      </c>
      <c r="I180" s="302">
        <f t="shared" si="154"/>
        <v>-0.93474881894929607</v>
      </c>
      <c r="J180" s="302">
        <f t="shared" si="155"/>
        <v>-0.93271788727918603</v>
      </c>
      <c r="K180" s="302">
        <f t="shared" si="156"/>
        <v>-0.93024329193586641</v>
      </c>
      <c r="L180" s="302">
        <f t="shared" si="157"/>
        <v>-0.92722971467316995</v>
      </c>
      <c r="M180" s="302">
        <f t="shared" si="158"/>
        <v>-0.92356213557461941</v>
      </c>
      <c r="N180" s="302">
        <f t="shared" si="159"/>
        <v>-0.91910213707066746</v>
      </c>
      <c r="O180" s="302">
        <f t="shared" si="160"/>
        <v>-0.91368369843569519</v>
      </c>
      <c r="P180" s="302">
        <f t="shared" si="161"/>
        <v>-0.90710850505500051</v>
      </c>
      <c r="Q180" s="302">
        <f t="shared" si="162"/>
        <v>-0.89914085821442902</v>
      </c>
      <c r="R180" s="302">
        <f t="shared" si="163"/>
        <v>-0.88950236541097893</v>
      </c>
      <c r="S180" s="302">
        <f t="shared" si="164"/>
        <v>-0.87786672902130802</v>
      </c>
      <c r="T180" s="302">
        <f t="shared" si="165"/>
        <v>-0.86385514383318074</v>
      </c>
      <c r="U180" s="302">
        <f t="shared" si="166"/>
        <v>-0.84703307033095054</v>
      </c>
      <c r="V180" s="302">
        <f t="shared" si="167"/>
        <v>-0.82690947198536191</v>
      </c>
      <c r="W180" s="302">
        <f t="shared" si="168"/>
        <v>-0.80293997593823407</v>
      </c>
      <c r="X180" s="302">
        <f t="shared" si="169"/>
        <v>-0.77453579281086338</v>
      </c>
      <c r="Y180" s="302">
        <f t="shared" si="170"/>
        <v>-0.74822130915742591</v>
      </c>
      <c r="Z180" s="302">
        <f t="shared" si="171"/>
        <v>-0.71981712603005521</v>
      </c>
      <c r="AA180" s="302">
        <f t="shared" si="172"/>
        <v>-0.68636185598548738</v>
      </c>
      <c r="AB180" s="302">
        <f t="shared" si="173"/>
        <v>-0.65794979487095473</v>
      </c>
      <c r="AC180" s="302">
        <f t="shared" si="174"/>
        <v>-0.6244945248263869</v>
      </c>
      <c r="AD180" s="302">
        <f t="shared" si="175"/>
        <v>-0.58891707462609633</v>
      </c>
      <c r="AE180" s="302">
        <f t="shared" si="176"/>
        <v>-0.5554618045815285</v>
      </c>
      <c r="AF180" s="302">
        <f t="shared" si="177"/>
        <v>-0.51633831246481721</v>
      </c>
      <c r="AG180" s="302">
        <f t="shared" si="178"/>
        <v>-0.47955909450973316</v>
      </c>
      <c r="AH180" s="302">
        <f t="shared" si="179"/>
        <v>-0.44043560239302193</v>
      </c>
      <c r="AI180" s="302">
        <f t="shared" si="180"/>
        <v>-0.39744128918812688</v>
      </c>
      <c r="AJ180" s="302">
        <f t="shared" si="181"/>
        <v>-0.35831779707141564</v>
      </c>
      <c r="AK180" s="302">
        <f t="shared" si="182"/>
        <v>-0.31294694407728518</v>
      </c>
      <c r="AL180" s="302">
        <f t="shared" si="183"/>
        <v>-0.27101560644829614</v>
      </c>
      <c r="AM180" s="302">
        <f t="shared" si="184"/>
        <v>-0.22564475345416568</v>
      </c>
      <c r="AN180" s="302">
        <f t="shared" si="185"/>
        <v>-0.17990985283301641</v>
      </c>
      <c r="AO180" s="302">
        <f t="shared" si="186"/>
        <v>-0.13453899983888595</v>
      </c>
      <c r="AP180" s="302">
        <f t="shared" si="187"/>
        <v>-8.6659337459082053E-2</v>
      </c>
      <c r="AQ180" s="302">
        <f t="shared" si="188"/>
        <v>-4.1288484464951591E-2</v>
      </c>
      <c r="AR180" s="302">
        <f t="shared" si="189"/>
        <v>1.2810001716776611</v>
      </c>
      <c r="AS180" s="302">
        <f t="shared" si="190"/>
        <v>1.3746701731263749</v>
      </c>
      <c r="AT180" s="302">
        <f t="shared" si="191"/>
        <v>1.4674963198182234</v>
      </c>
      <c r="AU180" s="302">
        <f t="shared" si="192"/>
        <v>1.5576882207441975</v>
      </c>
      <c r="AV180" s="302">
        <f t="shared" si="193"/>
        <v>1.6436554909122882</v>
      </c>
      <c r="AW180" s="302">
        <f t="shared" si="194"/>
        <v>1.7241106355416356</v>
      </c>
      <c r="AX180" s="302">
        <f t="shared" si="195"/>
        <v>1.7981281798812556</v>
      </c>
      <c r="AY180" s="302">
        <f t="shared" si="196"/>
        <v>1.8675632254402517</v>
      </c>
      <c r="AZ180" s="302">
        <f t="shared" si="197"/>
        <v>1.9345927782572592</v>
      </c>
      <c r="BA180" s="302">
        <f t="shared" si="198"/>
        <v>1.9944326705684097</v>
      </c>
      <c r="BB180" s="302">
        <f t="shared" si="199"/>
        <v>2.0471762587747966</v>
      </c>
      <c r="BC180" s="302">
        <f t="shared" si="200"/>
        <v>2.097097846432241</v>
      </c>
      <c r="BD180" s="302">
        <f t="shared" si="201"/>
        <v>2.1430659813611852</v>
      </c>
      <c r="BE180" s="302">
        <f t="shared" si="202"/>
        <v>2.1827374013013046</v>
      </c>
      <c r="BF180" s="302">
        <f t="shared" si="203"/>
        <v>2.217861191012477</v>
      </c>
      <c r="BG180" s="302">
        <f t="shared" si="204"/>
        <v>2.2518091907881077</v>
      </c>
      <c r="BH180" s="302">
        <f t="shared" si="205"/>
        <v>2.2806492300327776</v>
      </c>
      <c r="BI180" s="302">
        <f t="shared" si="206"/>
        <v>2.3049990601275314</v>
      </c>
      <c r="BJ180" s="302">
        <f t="shared" si="207"/>
        <v>2.3293368926271283</v>
      </c>
      <c r="BK180" s="302">
        <f t="shared" si="208"/>
        <v>2.3497886612794536</v>
      </c>
      <c r="BL180" s="302">
        <f t="shared" si="209"/>
        <v>2.366891274765949</v>
      </c>
      <c r="BM180" s="302">
        <f t="shared" si="210"/>
        <v>2.3835774170324617</v>
      </c>
      <c r="BN180" s="302">
        <f t="shared" si="211"/>
        <v>2.3978269909816108</v>
      </c>
      <c r="BO180" s="303">
        <f t="shared" si="212"/>
        <v>2.409663244881652</v>
      </c>
      <c r="BP180" s="223"/>
    </row>
    <row r="181" spans="3:68" ht="42" customHeight="1">
      <c r="C181" s="426"/>
      <c r="D181" s="425"/>
      <c r="E181" s="445">
        <v>-0.35</v>
      </c>
      <c r="F181" s="444">
        <f t="shared" si="213"/>
        <v>-0.73362232512125924</v>
      </c>
      <c r="G181" s="449">
        <f t="shared" si="151"/>
        <v>-0.99181116256062962</v>
      </c>
      <c r="H181" s="449">
        <f t="shared" si="214"/>
        <v>-0.98424881161921807</v>
      </c>
      <c r="I181" s="302">
        <f t="shared" si="154"/>
        <v>-0.98258272701122351</v>
      </c>
      <c r="J181" s="302">
        <f t="shared" si="155"/>
        <v>-0.98055179534111347</v>
      </c>
      <c r="K181" s="302">
        <f t="shared" si="156"/>
        <v>-0.97807719999779386</v>
      </c>
      <c r="L181" s="302">
        <f t="shared" si="157"/>
        <v>-0.97506362273509739</v>
      </c>
      <c r="M181" s="302">
        <f t="shared" si="158"/>
        <v>-0.97139604363654686</v>
      </c>
      <c r="N181" s="302">
        <f t="shared" si="159"/>
        <v>-0.9669360451325949</v>
      </c>
      <c r="O181" s="302">
        <f t="shared" si="160"/>
        <v>-0.96151760649762263</v>
      </c>
      <c r="P181" s="302">
        <f t="shared" si="161"/>
        <v>-0.95494241311692796</v>
      </c>
      <c r="Q181" s="302">
        <f t="shared" si="162"/>
        <v>-0.94697476627635646</v>
      </c>
      <c r="R181" s="302">
        <f t="shared" si="163"/>
        <v>-0.93733627347290638</v>
      </c>
      <c r="S181" s="302">
        <f t="shared" si="164"/>
        <v>-0.92570063708323547</v>
      </c>
      <c r="T181" s="302">
        <f t="shared" si="165"/>
        <v>-0.91168905189510818</v>
      </c>
      <c r="U181" s="302">
        <f t="shared" si="166"/>
        <v>-0.89486697839287799</v>
      </c>
      <c r="V181" s="302">
        <f t="shared" si="167"/>
        <v>-0.87474338004728935</v>
      </c>
      <c r="W181" s="302">
        <f t="shared" si="168"/>
        <v>-0.85077388400016152</v>
      </c>
      <c r="X181" s="302">
        <f t="shared" si="169"/>
        <v>-0.82690947198536191</v>
      </c>
      <c r="Y181" s="302">
        <f t="shared" si="170"/>
        <v>-0.80293997593823407</v>
      </c>
      <c r="Z181" s="302">
        <f t="shared" si="171"/>
        <v>-0.77453579281086338</v>
      </c>
      <c r="AA181" s="302">
        <f t="shared" si="172"/>
        <v>-0.74822130915742591</v>
      </c>
      <c r="AB181" s="302">
        <f t="shared" si="173"/>
        <v>-0.71981712603005521</v>
      </c>
      <c r="AC181" s="302">
        <f t="shared" si="174"/>
        <v>-0.68636185598548738</v>
      </c>
      <c r="AD181" s="302">
        <f t="shared" si="175"/>
        <v>-0.65794979487095473</v>
      </c>
      <c r="AE181" s="302">
        <f t="shared" si="176"/>
        <v>-0.6244945248263869</v>
      </c>
      <c r="AF181" s="302">
        <f t="shared" si="177"/>
        <v>-0.58891707462609633</v>
      </c>
      <c r="AG181" s="302">
        <f t="shared" si="178"/>
        <v>-0.5554618045815285</v>
      </c>
      <c r="AH181" s="302">
        <f t="shared" si="179"/>
        <v>-0.51633831246481721</v>
      </c>
      <c r="AI181" s="302">
        <f t="shared" si="180"/>
        <v>-0.47955909450973316</v>
      </c>
      <c r="AJ181" s="302">
        <f t="shared" si="181"/>
        <v>-0.44043560239302193</v>
      </c>
      <c r="AK181" s="302">
        <f t="shared" si="182"/>
        <v>-0.39744128918812688</v>
      </c>
      <c r="AL181" s="302">
        <f t="shared" si="183"/>
        <v>-0.35831779707141564</v>
      </c>
      <c r="AM181" s="302">
        <f t="shared" si="184"/>
        <v>-0.31294694407728518</v>
      </c>
      <c r="AN181" s="302">
        <f t="shared" si="185"/>
        <v>-0.27101560644829614</v>
      </c>
      <c r="AO181" s="302">
        <f t="shared" si="186"/>
        <v>-0.22564475345416568</v>
      </c>
      <c r="AP181" s="302">
        <f t="shared" si="187"/>
        <v>-0.17990985283301641</v>
      </c>
      <c r="AQ181" s="302">
        <f t="shared" si="188"/>
        <v>-0.13453899983888595</v>
      </c>
      <c r="AR181" s="302">
        <f t="shared" si="189"/>
        <v>-8.6659337459082053E-2</v>
      </c>
      <c r="AS181" s="302">
        <f t="shared" si="190"/>
        <v>1.3311136895395936</v>
      </c>
      <c r="AT181" s="302">
        <f t="shared" si="191"/>
        <v>1.4239398362314422</v>
      </c>
      <c r="AU181" s="302">
        <f t="shared" si="192"/>
        <v>1.5141317371574163</v>
      </c>
      <c r="AV181" s="302">
        <f t="shared" si="193"/>
        <v>1.600099007325507</v>
      </c>
      <c r="AW181" s="302">
        <f t="shared" si="194"/>
        <v>1.6811211701043645</v>
      </c>
      <c r="AX181" s="302">
        <f t="shared" si="195"/>
        <v>1.7615763147337118</v>
      </c>
      <c r="AY181" s="302">
        <f t="shared" si="196"/>
        <v>1.8355938590733318</v>
      </c>
      <c r="AZ181" s="302">
        <f t="shared" si="197"/>
        <v>1.9026234118903393</v>
      </c>
      <c r="BA181" s="302">
        <f t="shared" si="198"/>
        <v>1.9624633042014898</v>
      </c>
      <c r="BB181" s="302">
        <f t="shared" si="199"/>
        <v>2.021526032904271</v>
      </c>
      <c r="BC181" s="302">
        <f t="shared" si="200"/>
        <v>2.0742696211106582</v>
      </c>
      <c r="BD181" s="302">
        <f t="shared" si="201"/>
        <v>2.120237756039602</v>
      </c>
      <c r="BE181" s="302">
        <f t="shared" si="202"/>
        <v>2.1622066650461429</v>
      </c>
      <c r="BF181" s="302">
        <f t="shared" si="203"/>
        <v>2.2018780849862623</v>
      </c>
      <c r="BG181" s="302">
        <f t="shared" si="204"/>
        <v>2.2358260847618929</v>
      </c>
      <c r="BH181" s="302">
        <f t="shared" si="205"/>
        <v>2.2651099597173001</v>
      </c>
      <c r="BI181" s="302">
        <f t="shared" si="206"/>
        <v>2.2939499989619696</v>
      </c>
      <c r="BJ181" s="302">
        <f t="shared" si="207"/>
        <v>2.3182998290567234</v>
      </c>
      <c r="BK181" s="302">
        <f t="shared" si="208"/>
        <v>2.3387515977090487</v>
      </c>
      <c r="BL181" s="302">
        <f t="shared" si="209"/>
        <v>2.3589256302123385</v>
      </c>
      <c r="BM181" s="302">
        <f t="shared" si="210"/>
        <v>2.3760282436988338</v>
      </c>
      <c r="BN181" s="302">
        <f t="shared" si="211"/>
        <v>2.3902778176479829</v>
      </c>
      <c r="BO181" s="303">
        <f t="shared" si="212"/>
        <v>2.4040541953221224</v>
      </c>
      <c r="BP181" s="223"/>
    </row>
    <row r="182" spans="3:68" ht="42" customHeight="1">
      <c r="C182" s="426"/>
      <c r="D182" s="425"/>
      <c r="E182" s="443">
        <v>-0.4</v>
      </c>
      <c r="F182" s="444">
        <f t="shared" si="213"/>
        <v>-0.81640273746870484</v>
      </c>
      <c r="G182" s="449">
        <f t="shared" si="151"/>
        <v>-1.0332013687343524</v>
      </c>
      <c r="H182" s="449">
        <f t="shared" si="214"/>
        <v>-1.0256390177929409</v>
      </c>
      <c r="I182" s="302">
        <f t="shared" si="154"/>
        <v>-1.0239729331849463</v>
      </c>
      <c r="J182" s="302">
        <f t="shared" si="155"/>
        <v>-1.0219420015148364</v>
      </c>
      <c r="K182" s="302">
        <f t="shared" si="156"/>
        <v>-1.0194674061715165</v>
      </c>
      <c r="L182" s="302">
        <f t="shared" si="157"/>
        <v>-1.0164538289088201</v>
      </c>
      <c r="M182" s="302">
        <f t="shared" si="158"/>
        <v>-1.0127862498102695</v>
      </c>
      <c r="N182" s="302">
        <f t="shared" si="159"/>
        <v>-1.0083262513063178</v>
      </c>
      <c r="O182" s="302">
        <f t="shared" si="160"/>
        <v>-1.0029078126713453</v>
      </c>
      <c r="P182" s="302">
        <f t="shared" si="161"/>
        <v>-0.99633261929065076</v>
      </c>
      <c r="Q182" s="302">
        <f t="shared" si="162"/>
        <v>-0.98836497245007926</v>
      </c>
      <c r="R182" s="302">
        <f t="shared" si="163"/>
        <v>-0.97872647964662918</v>
      </c>
      <c r="S182" s="302">
        <f t="shared" si="164"/>
        <v>-0.96709084325695827</v>
      </c>
      <c r="T182" s="302">
        <f t="shared" si="165"/>
        <v>-0.95307925806883098</v>
      </c>
      <c r="U182" s="302">
        <f t="shared" si="166"/>
        <v>-0.93625718456660079</v>
      </c>
      <c r="V182" s="302">
        <f t="shared" si="167"/>
        <v>-0.91613358622101215</v>
      </c>
      <c r="W182" s="302">
        <f t="shared" si="168"/>
        <v>-0.89486697839287799</v>
      </c>
      <c r="X182" s="302">
        <f t="shared" si="169"/>
        <v>-0.87474338004728935</v>
      </c>
      <c r="Y182" s="302">
        <f t="shared" si="170"/>
        <v>-0.85077388400016152</v>
      </c>
      <c r="Z182" s="302">
        <f t="shared" si="171"/>
        <v>-0.82690947198536191</v>
      </c>
      <c r="AA182" s="302">
        <f t="shared" si="172"/>
        <v>-0.80293997593823407</v>
      </c>
      <c r="AB182" s="302">
        <f t="shared" si="173"/>
        <v>-0.77453579281086338</v>
      </c>
      <c r="AC182" s="302">
        <f t="shared" si="174"/>
        <v>-0.74822130915742591</v>
      </c>
      <c r="AD182" s="302">
        <f t="shared" si="175"/>
        <v>-0.71981712603005521</v>
      </c>
      <c r="AE182" s="302">
        <f t="shared" si="176"/>
        <v>-0.68636185598548738</v>
      </c>
      <c r="AF182" s="302">
        <f t="shared" si="177"/>
        <v>-0.65794979487095473</v>
      </c>
      <c r="AG182" s="302">
        <f t="shared" si="178"/>
        <v>-0.6244945248263869</v>
      </c>
      <c r="AH182" s="302">
        <f t="shared" si="179"/>
        <v>-0.58891707462609633</v>
      </c>
      <c r="AI182" s="302">
        <f t="shared" si="180"/>
        <v>-0.5554618045815285</v>
      </c>
      <c r="AJ182" s="302">
        <f t="shared" si="181"/>
        <v>-0.51633831246481721</v>
      </c>
      <c r="AK182" s="302">
        <f t="shared" si="182"/>
        <v>-0.47955909450973316</v>
      </c>
      <c r="AL182" s="302">
        <f t="shared" si="183"/>
        <v>-0.44043560239302193</v>
      </c>
      <c r="AM182" s="302">
        <f t="shared" si="184"/>
        <v>-0.39744128918812688</v>
      </c>
      <c r="AN182" s="302">
        <f t="shared" si="185"/>
        <v>-0.35831779707141564</v>
      </c>
      <c r="AO182" s="302">
        <f t="shared" si="186"/>
        <v>-0.31294694407728518</v>
      </c>
      <c r="AP182" s="302">
        <f t="shared" si="187"/>
        <v>-0.27101560644829614</v>
      </c>
      <c r="AQ182" s="302">
        <f t="shared" si="188"/>
        <v>-0.22564475345416568</v>
      </c>
      <c r="AR182" s="302">
        <f t="shared" si="189"/>
        <v>-0.17990985283301641</v>
      </c>
      <c r="AS182" s="302">
        <f t="shared" si="190"/>
        <v>-0.13453899983888595</v>
      </c>
      <c r="AT182" s="302">
        <f t="shared" si="191"/>
        <v>1.3746701731263749</v>
      </c>
      <c r="AU182" s="302">
        <f t="shared" si="192"/>
        <v>1.4674963198182234</v>
      </c>
      <c r="AV182" s="302">
        <f t="shared" si="193"/>
        <v>1.5576882207441975</v>
      </c>
      <c r="AW182" s="302">
        <f t="shared" si="194"/>
        <v>1.6436554909122882</v>
      </c>
      <c r="AX182" s="302">
        <f t="shared" si="195"/>
        <v>1.7241106355416356</v>
      </c>
      <c r="AY182" s="302">
        <f t="shared" si="196"/>
        <v>1.7981281798812556</v>
      </c>
      <c r="AZ182" s="302">
        <f t="shared" si="197"/>
        <v>1.8675632254402517</v>
      </c>
      <c r="BA182" s="302">
        <f t="shared" si="198"/>
        <v>1.9345927782572592</v>
      </c>
      <c r="BB182" s="302">
        <f t="shared" si="199"/>
        <v>1.9944326705684097</v>
      </c>
      <c r="BC182" s="302">
        <f t="shared" si="200"/>
        <v>2.0471762587747966</v>
      </c>
      <c r="BD182" s="302">
        <f t="shared" si="201"/>
        <v>2.097097846432241</v>
      </c>
      <c r="BE182" s="302">
        <f t="shared" si="202"/>
        <v>2.1430659813611852</v>
      </c>
      <c r="BF182" s="302">
        <f t="shared" si="203"/>
        <v>2.1827374013013046</v>
      </c>
      <c r="BG182" s="302">
        <f t="shared" si="204"/>
        <v>2.217861191012477</v>
      </c>
      <c r="BH182" s="302">
        <f t="shared" si="205"/>
        <v>2.2518091907881077</v>
      </c>
      <c r="BI182" s="302">
        <f t="shared" si="206"/>
        <v>2.2806492300327776</v>
      </c>
      <c r="BJ182" s="302">
        <f t="shared" si="207"/>
        <v>2.3049990601275314</v>
      </c>
      <c r="BK182" s="302">
        <f t="shared" si="208"/>
        <v>2.3293368926271283</v>
      </c>
      <c r="BL182" s="302">
        <f t="shared" si="209"/>
        <v>2.3497886612794536</v>
      </c>
      <c r="BM182" s="302">
        <f t="shared" si="210"/>
        <v>2.366891274765949</v>
      </c>
      <c r="BN182" s="302">
        <f t="shared" si="211"/>
        <v>2.3835774170324617</v>
      </c>
      <c r="BO182" s="303">
        <f t="shared" si="212"/>
        <v>2.3978269909816108</v>
      </c>
      <c r="BP182" s="223"/>
    </row>
    <row r="183" spans="3:68" ht="42" customHeight="1">
      <c r="C183" s="426"/>
      <c r="D183" s="425"/>
      <c r="E183" s="445">
        <v>-0.45</v>
      </c>
      <c r="F183" s="444">
        <f t="shared" si="213"/>
        <v>-0.88740071363613016</v>
      </c>
      <c r="G183" s="449">
        <f t="shared" si="151"/>
        <v>-1.0687003568180651</v>
      </c>
      <c r="H183" s="449">
        <f t="shared" si="214"/>
        <v>-1.0611380058766535</v>
      </c>
      <c r="I183" s="302">
        <f t="shared" si="154"/>
        <v>-1.059471921268659</v>
      </c>
      <c r="J183" s="302">
        <f t="shared" si="155"/>
        <v>-1.057440989598549</v>
      </c>
      <c r="K183" s="302">
        <f t="shared" si="156"/>
        <v>-1.0549663942552292</v>
      </c>
      <c r="L183" s="302">
        <f t="shared" si="157"/>
        <v>-1.0519528169925327</v>
      </c>
      <c r="M183" s="302">
        <f t="shared" si="158"/>
        <v>-1.0482852378939822</v>
      </c>
      <c r="N183" s="302">
        <f t="shared" si="159"/>
        <v>-1.0438252393900305</v>
      </c>
      <c r="O183" s="302">
        <f t="shared" si="160"/>
        <v>-1.038406800755058</v>
      </c>
      <c r="P183" s="302">
        <f t="shared" si="161"/>
        <v>-1.0318316073743634</v>
      </c>
      <c r="Q183" s="302">
        <f t="shared" si="162"/>
        <v>-1.023863960533792</v>
      </c>
      <c r="R183" s="302">
        <f t="shared" si="163"/>
        <v>-1.0142254677303417</v>
      </c>
      <c r="S183" s="302">
        <f t="shared" si="164"/>
        <v>-1.0025898313406709</v>
      </c>
      <c r="T183" s="302">
        <f t="shared" si="165"/>
        <v>-0.98857824615254364</v>
      </c>
      <c r="U183" s="302">
        <f t="shared" si="166"/>
        <v>-0.97175617265031344</v>
      </c>
      <c r="V183" s="302">
        <f t="shared" si="167"/>
        <v>-0.95307925806883098</v>
      </c>
      <c r="W183" s="302">
        <f t="shared" si="168"/>
        <v>-0.93625718456660079</v>
      </c>
      <c r="X183" s="302">
        <f t="shared" si="169"/>
        <v>-0.91613358622101215</v>
      </c>
      <c r="Y183" s="302">
        <f t="shared" si="170"/>
        <v>-0.89486697839287799</v>
      </c>
      <c r="Z183" s="302">
        <f t="shared" si="171"/>
        <v>-0.87474338004728935</v>
      </c>
      <c r="AA183" s="302">
        <f t="shared" si="172"/>
        <v>-0.85077388400016152</v>
      </c>
      <c r="AB183" s="302">
        <f t="shared" si="173"/>
        <v>-0.82690947198536191</v>
      </c>
      <c r="AC183" s="302">
        <f t="shared" si="174"/>
        <v>-0.80293997593823407</v>
      </c>
      <c r="AD183" s="302">
        <f t="shared" si="175"/>
        <v>-0.77453579281086338</v>
      </c>
      <c r="AE183" s="302">
        <f t="shared" si="176"/>
        <v>-0.74822130915742591</v>
      </c>
      <c r="AF183" s="302">
        <f t="shared" si="177"/>
        <v>-0.71981712603005521</v>
      </c>
      <c r="AG183" s="302">
        <f t="shared" si="178"/>
        <v>-0.68636185598548738</v>
      </c>
      <c r="AH183" s="302">
        <f t="shared" si="179"/>
        <v>-0.65794979487095473</v>
      </c>
      <c r="AI183" s="302">
        <f t="shared" si="180"/>
        <v>-0.6244945248263869</v>
      </c>
      <c r="AJ183" s="302">
        <f t="shared" si="181"/>
        <v>-0.58891707462609633</v>
      </c>
      <c r="AK183" s="302">
        <f t="shared" si="182"/>
        <v>-0.5554618045815285</v>
      </c>
      <c r="AL183" s="302">
        <f t="shared" si="183"/>
        <v>-0.51633831246481721</v>
      </c>
      <c r="AM183" s="302">
        <f t="shared" si="184"/>
        <v>-0.47955909450973316</v>
      </c>
      <c r="AN183" s="302">
        <f t="shared" si="185"/>
        <v>-0.44043560239302193</v>
      </c>
      <c r="AO183" s="302">
        <f t="shared" si="186"/>
        <v>-0.39744128918812688</v>
      </c>
      <c r="AP183" s="302">
        <f t="shared" si="187"/>
        <v>-0.35831779707141564</v>
      </c>
      <c r="AQ183" s="302">
        <f t="shared" si="188"/>
        <v>-0.31294694407728518</v>
      </c>
      <c r="AR183" s="302">
        <f t="shared" si="189"/>
        <v>-0.27101560644829614</v>
      </c>
      <c r="AS183" s="302">
        <f t="shared" si="190"/>
        <v>-0.22564475345416568</v>
      </c>
      <c r="AT183" s="302">
        <f t="shared" si="191"/>
        <v>-0.17990985283301641</v>
      </c>
      <c r="AU183" s="302">
        <f t="shared" si="192"/>
        <v>1.4239398362314422</v>
      </c>
      <c r="AV183" s="302">
        <f t="shared" si="193"/>
        <v>1.5141317371574163</v>
      </c>
      <c r="AW183" s="302">
        <f t="shared" si="194"/>
        <v>1.600099007325507</v>
      </c>
      <c r="AX183" s="302">
        <f t="shared" si="195"/>
        <v>1.6811211701043645</v>
      </c>
      <c r="AY183" s="302">
        <f t="shared" si="196"/>
        <v>1.7615763147337118</v>
      </c>
      <c r="AZ183" s="302">
        <f t="shared" si="197"/>
        <v>1.8355938590733318</v>
      </c>
      <c r="BA183" s="302">
        <f t="shared" si="198"/>
        <v>1.9026234118903393</v>
      </c>
      <c r="BB183" s="302">
        <f t="shared" si="199"/>
        <v>1.9624633042014898</v>
      </c>
      <c r="BC183" s="302">
        <f t="shared" si="200"/>
        <v>2.021526032904271</v>
      </c>
      <c r="BD183" s="302">
        <f t="shared" si="201"/>
        <v>2.0742696211106582</v>
      </c>
      <c r="BE183" s="302">
        <f t="shared" si="202"/>
        <v>2.120237756039602</v>
      </c>
      <c r="BF183" s="302">
        <f t="shared" si="203"/>
        <v>2.1622066650461429</v>
      </c>
      <c r="BG183" s="302">
        <f t="shared" si="204"/>
        <v>2.2018780849862623</v>
      </c>
      <c r="BH183" s="302">
        <f t="shared" si="205"/>
        <v>2.2358260847618929</v>
      </c>
      <c r="BI183" s="302">
        <f t="shared" si="206"/>
        <v>2.2651099597173001</v>
      </c>
      <c r="BJ183" s="302">
        <f t="shared" si="207"/>
        <v>2.2939499989619696</v>
      </c>
      <c r="BK183" s="302">
        <f t="shared" si="208"/>
        <v>2.3182998290567234</v>
      </c>
      <c r="BL183" s="302">
        <f t="shared" si="209"/>
        <v>2.3387515977090487</v>
      </c>
      <c r="BM183" s="302">
        <f t="shared" si="210"/>
        <v>2.3589256302123385</v>
      </c>
      <c r="BN183" s="302">
        <f t="shared" si="211"/>
        <v>2.3760282436988338</v>
      </c>
      <c r="BO183" s="303">
        <f t="shared" si="212"/>
        <v>2.3902778176479829</v>
      </c>
      <c r="BP183" s="223"/>
    </row>
    <row r="184" spans="3:68" ht="42" customHeight="1">
      <c r="C184" s="426"/>
      <c r="D184" s="425"/>
      <c r="E184" s="443">
        <v>-0.5</v>
      </c>
      <c r="F184" s="444">
        <f t="shared" si="213"/>
        <v>-0.94783257572967727</v>
      </c>
      <c r="G184" s="449">
        <f t="shared" si="151"/>
        <v>-1.0989162878648386</v>
      </c>
      <c r="H184" s="449">
        <f t="shared" si="214"/>
        <v>-1.0913539369234271</v>
      </c>
      <c r="I184" s="302">
        <f t="shared" si="154"/>
        <v>-1.0896878523154325</v>
      </c>
      <c r="J184" s="302">
        <f t="shared" si="155"/>
        <v>-1.0876569206453226</v>
      </c>
      <c r="K184" s="302">
        <f t="shared" si="156"/>
        <v>-1.0851823253020028</v>
      </c>
      <c r="L184" s="302">
        <f t="shared" si="157"/>
        <v>-1.0821687480393063</v>
      </c>
      <c r="M184" s="302">
        <f t="shared" si="158"/>
        <v>-1.0785011689407558</v>
      </c>
      <c r="N184" s="302">
        <f t="shared" si="159"/>
        <v>-1.074041170436804</v>
      </c>
      <c r="O184" s="302">
        <f t="shared" si="160"/>
        <v>-1.0686227318018315</v>
      </c>
      <c r="P184" s="302">
        <f t="shared" si="161"/>
        <v>-1.062047538421137</v>
      </c>
      <c r="Q184" s="302">
        <f t="shared" si="162"/>
        <v>-1.0540798915805656</v>
      </c>
      <c r="R184" s="302">
        <f t="shared" si="163"/>
        <v>-1.0444413987771153</v>
      </c>
      <c r="S184" s="302">
        <f t="shared" si="164"/>
        <v>-1.0328057623874445</v>
      </c>
      <c r="T184" s="302">
        <f t="shared" si="165"/>
        <v>-1.0187941771993172</v>
      </c>
      <c r="U184" s="302">
        <f t="shared" si="166"/>
        <v>-1.0025898313406709</v>
      </c>
      <c r="V184" s="302">
        <f t="shared" si="167"/>
        <v>-0.98857824615254364</v>
      </c>
      <c r="W184" s="302">
        <f t="shared" si="168"/>
        <v>-0.97175617265031344</v>
      </c>
      <c r="X184" s="302">
        <f t="shared" si="169"/>
        <v>-0.95307925806883098</v>
      </c>
      <c r="Y184" s="302">
        <f t="shared" si="170"/>
        <v>-0.93625718456660079</v>
      </c>
      <c r="Z184" s="302">
        <f t="shared" si="171"/>
        <v>-0.91613358622101215</v>
      </c>
      <c r="AA184" s="302">
        <f t="shared" si="172"/>
        <v>-0.89486697839287799</v>
      </c>
      <c r="AB184" s="302">
        <f t="shared" si="173"/>
        <v>-0.87474338004728935</v>
      </c>
      <c r="AC184" s="302">
        <f t="shared" si="174"/>
        <v>-0.85077388400016152</v>
      </c>
      <c r="AD184" s="302">
        <f t="shared" si="175"/>
        <v>-0.82690947198536191</v>
      </c>
      <c r="AE184" s="302">
        <f t="shared" si="176"/>
        <v>-0.80293997593823407</v>
      </c>
      <c r="AF184" s="302">
        <f t="shared" si="177"/>
        <v>-0.77453579281086338</v>
      </c>
      <c r="AG184" s="302">
        <f t="shared" si="178"/>
        <v>-0.74822130915742591</v>
      </c>
      <c r="AH184" s="302">
        <f t="shared" si="179"/>
        <v>-0.71981712603005521</v>
      </c>
      <c r="AI184" s="302">
        <f t="shared" si="180"/>
        <v>-0.68636185598548738</v>
      </c>
      <c r="AJ184" s="302">
        <f t="shared" si="181"/>
        <v>-0.65794979487095473</v>
      </c>
      <c r="AK184" s="302">
        <f t="shared" si="182"/>
        <v>-0.6244945248263869</v>
      </c>
      <c r="AL184" s="302">
        <f t="shared" si="183"/>
        <v>-0.58891707462609633</v>
      </c>
      <c r="AM184" s="302">
        <f t="shared" si="184"/>
        <v>-0.5554618045815285</v>
      </c>
      <c r="AN184" s="302">
        <f t="shared" si="185"/>
        <v>-0.51633831246481721</v>
      </c>
      <c r="AO184" s="302">
        <f t="shared" si="186"/>
        <v>-0.47955909450973316</v>
      </c>
      <c r="AP184" s="302">
        <f t="shared" si="187"/>
        <v>-0.44043560239302193</v>
      </c>
      <c r="AQ184" s="302">
        <f t="shared" si="188"/>
        <v>-0.39744128918812688</v>
      </c>
      <c r="AR184" s="302">
        <f t="shared" si="189"/>
        <v>-0.35831779707141564</v>
      </c>
      <c r="AS184" s="302">
        <f t="shared" si="190"/>
        <v>-0.31294694407728518</v>
      </c>
      <c r="AT184" s="302">
        <f t="shared" si="191"/>
        <v>-0.27101560644829614</v>
      </c>
      <c r="AU184" s="302">
        <f t="shared" si="192"/>
        <v>-0.22564475345416568</v>
      </c>
      <c r="AV184" s="302">
        <f t="shared" si="193"/>
        <v>1.4674963198182234</v>
      </c>
      <c r="AW184" s="302">
        <f t="shared" si="194"/>
        <v>1.5576882207441975</v>
      </c>
      <c r="AX184" s="302">
        <f t="shared" si="195"/>
        <v>1.6436554909122882</v>
      </c>
      <c r="AY184" s="302">
        <f t="shared" si="196"/>
        <v>1.7241106355416356</v>
      </c>
      <c r="AZ184" s="302">
        <f t="shared" si="197"/>
        <v>1.7981281798812556</v>
      </c>
      <c r="BA184" s="302">
        <f t="shared" si="198"/>
        <v>1.8675632254402517</v>
      </c>
      <c r="BB184" s="302">
        <f t="shared" si="199"/>
        <v>1.9345927782572592</v>
      </c>
      <c r="BC184" s="302">
        <f t="shared" si="200"/>
        <v>1.9944326705684097</v>
      </c>
      <c r="BD184" s="302">
        <f t="shared" si="201"/>
        <v>2.0471762587747966</v>
      </c>
      <c r="BE184" s="302">
        <f t="shared" si="202"/>
        <v>2.097097846432241</v>
      </c>
      <c r="BF184" s="302">
        <f t="shared" si="203"/>
        <v>2.1430659813611852</v>
      </c>
      <c r="BG184" s="302">
        <f t="shared" si="204"/>
        <v>2.1827374013013046</v>
      </c>
      <c r="BH184" s="302">
        <f t="shared" si="205"/>
        <v>2.217861191012477</v>
      </c>
      <c r="BI184" s="302">
        <f t="shared" si="206"/>
        <v>2.2518091907881077</v>
      </c>
      <c r="BJ184" s="302">
        <f t="shared" si="207"/>
        <v>2.2806492300327776</v>
      </c>
      <c r="BK184" s="302">
        <f t="shared" si="208"/>
        <v>2.3049990601275314</v>
      </c>
      <c r="BL184" s="302">
        <f t="shared" si="209"/>
        <v>2.3293368926271283</v>
      </c>
      <c r="BM184" s="302">
        <f t="shared" si="210"/>
        <v>2.3497886612794536</v>
      </c>
      <c r="BN184" s="302">
        <f t="shared" si="211"/>
        <v>2.366891274765949</v>
      </c>
      <c r="BO184" s="303">
        <f t="shared" si="212"/>
        <v>2.3835774170324617</v>
      </c>
      <c r="BP184" s="223"/>
    </row>
    <row r="185" spans="3:68" ht="42" customHeight="1">
      <c r="C185" s="426"/>
      <c r="D185" s="425"/>
      <c r="E185" s="445">
        <v>-0.55000000000000004</v>
      </c>
      <c r="F185" s="444">
        <f t="shared" si="213"/>
        <v>-0.99893916485538625</v>
      </c>
      <c r="G185" s="449">
        <f t="shared" si="151"/>
        <v>-1.1244695824276931</v>
      </c>
      <c r="H185" s="449">
        <f t="shared" si="214"/>
        <v>-1.1169072314862816</v>
      </c>
      <c r="I185" s="302">
        <f t="shared" si="154"/>
        <v>-1.115241146878287</v>
      </c>
      <c r="J185" s="302">
        <f t="shared" si="155"/>
        <v>-1.1132102152081771</v>
      </c>
      <c r="K185" s="302">
        <f t="shared" si="156"/>
        <v>-1.1107356198648572</v>
      </c>
      <c r="L185" s="302">
        <f t="shared" si="157"/>
        <v>-1.1077220426021608</v>
      </c>
      <c r="M185" s="302">
        <f t="shared" si="158"/>
        <v>-1.1040544635036103</v>
      </c>
      <c r="N185" s="302">
        <f t="shared" si="159"/>
        <v>-1.0995944649996585</v>
      </c>
      <c r="O185" s="302">
        <f t="shared" si="160"/>
        <v>-1.094176026364686</v>
      </c>
      <c r="P185" s="302">
        <f t="shared" si="161"/>
        <v>-1.0876008329839915</v>
      </c>
      <c r="Q185" s="302">
        <f t="shared" si="162"/>
        <v>-1.0796331861434201</v>
      </c>
      <c r="R185" s="302">
        <f t="shared" si="163"/>
        <v>-1.0699946933399698</v>
      </c>
      <c r="S185" s="302">
        <f t="shared" si="164"/>
        <v>-1.058359056950299</v>
      </c>
      <c r="T185" s="302">
        <f t="shared" si="165"/>
        <v>-1.0444413987771153</v>
      </c>
      <c r="U185" s="302">
        <f t="shared" si="166"/>
        <v>-1.0328057623874445</v>
      </c>
      <c r="V185" s="302">
        <f t="shared" si="167"/>
        <v>-1.0187941771993172</v>
      </c>
      <c r="W185" s="302">
        <f t="shared" si="168"/>
        <v>-1.0025898313406709</v>
      </c>
      <c r="X185" s="302">
        <f t="shared" si="169"/>
        <v>-0.98857824615254364</v>
      </c>
      <c r="Y185" s="302">
        <f t="shared" si="170"/>
        <v>-0.97175617265031344</v>
      </c>
      <c r="Z185" s="302">
        <f t="shared" si="171"/>
        <v>-0.95307925806883098</v>
      </c>
      <c r="AA185" s="302">
        <f t="shared" si="172"/>
        <v>-0.93625718456660079</v>
      </c>
      <c r="AB185" s="302">
        <f t="shared" si="173"/>
        <v>-0.91613358622101215</v>
      </c>
      <c r="AC185" s="302">
        <f t="shared" si="174"/>
        <v>-0.89486697839287799</v>
      </c>
      <c r="AD185" s="302">
        <f t="shared" si="175"/>
        <v>-0.87474338004728935</v>
      </c>
      <c r="AE185" s="302">
        <f t="shared" si="176"/>
        <v>-0.85077388400016152</v>
      </c>
      <c r="AF185" s="302">
        <f t="shared" si="177"/>
        <v>-0.82690947198536191</v>
      </c>
      <c r="AG185" s="302">
        <f t="shared" si="178"/>
        <v>-0.80293997593823407</v>
      </c>
      <c r="AH185" s="302">
        <f t="shared" si="179"/>
        <v>-0.77453579281086338</v>
      </c>
      <c r="AI185" s="302">
        <f t="shared" si="180"/>
        <v>-0.74822130915742591</v>
      </c>
      <c r="AJ185" s="302">
        <f t="shared" si="181"/>
        <v>-0.71981712603005521</v>
      </c>
      <c r="AK185" s="302">
        <f t="shared" si="182"/>
        <v>-0.68636185598548738</v>
      </c>
      <c r="AL185" s="302">
        <f t="shared" si="183"/>
        <v>-0.65794979487095473</v>
      </c>
      <c r="AM185" s="302">
        <f t="shared" si="184"/>
        <v>-0.6244945248263869</v>
      </c>
      <c r="AN185" s="302">
        <f t="shared" si="185"/>
        <v>-0.58891707462609633</v>
      </c>
      <c r="AO185" s="302">
        <f t="shared" si="186"/>
        <v>-0.5554618045815285</v>
      </c>
      <c r="AP185" s="302">
        <f t="shared" si="187"/>
        <v>-0.51633831246481721</v>
      </c>
      <c r="AQ185" s="302">
        <f t="shared" si="188"/>
        <v>-0.47955909450973316</v>
      </c>
      <c r="AR185" s="302">
        <f t="shared" si="189"/>
        <v>-0.44043560239302193</v>
      </c>
      <c r="AS185" s="302">
        <f t="shared" si="190"/>
        <v>-0.39744128918812688</v>
      </c>
      <c r="AT185" s="302">
        <f t="shared" si="191"/>
        <v>-0.35831779707141564</v>
      </c>
      <c r="AU185" s="302">
        <f t="shared" si="192"/>
        <v>-0.31294694407728518</v>
      </c>
      <c r="AV185" s="302">
        <f t="shared" si="193"/>
        <v>-0.27101560644829614</v>
      </c>
      <c r="AW185" s="302">
        <f t="shared" si="194"/>
        <v>1.5141317371574163</v>
      </c>
      <c r="AX185" s="302">
        <f t="shared" si="195"/>
        <v>1.600099007325507</v>
      </c>
      <c r="AY185" s="302">
        <f t="shared" si="196"/>
        <v>1.6811211701043645</v>
      </c>
      <c r="AZ185" s="302">
        <f t="shared" si="197"/>
        <v>1.7615763147337118</v>
      </c>
      <c r="BA185" s="302">
        <f t="shared" si="198"/>
        <v>1.8355938590733318</v>
      </c>
      <c r="BB185" s="302">
        <f t="shared" si="199"/>
        <v>1.9026234118903393</v>
      </c>
      <c r="BC185" s="302">
        <f t="shared" si="200"/>
        <v>1.9624633042014898</v>
      </c>
      <c r="BD185" s="302">
        <f t="shared" si="201"/>
        <v>2.021526032904271</v>
      </c>
      <c r="BE185" s="302">
        <f t="shared" si="202"/>
        <v>2.0742696211106582</v>
      </c>
      <c r="BF185" s="302">
        <f t="shared" si="203"/>
        <v>2.120237756039602</v>
      </c>
      <c r="BG185" s="302">
        <f t="shared" si="204"/>
        <v>2.1622066650461429</v>
      </c>
      <c r="BH185" s="302">
        <f t="shared" si="205"/>
        <v>2.2018780849862623</v>
      </c>
      <c r="BI185" s="302">
        <f t="shared" si="206"/>
        <v>2.2358260847618929</v>
      </c>
      <c r="BJ185" s="302">
        <f t="shared" si="207"/>
        <v>2.2651099597173001</v>
      </c>
      <c r="BK185" s="302">
        <f t="shared" si="208"/>
        <v>2.2939499989619696</v>
      </c>
      <c r="BL185" s="302">
        <f t="shared" si="209"/>
        <v>2.3182998290567234</v>
      </c>
      <c r="BM185" s="302">
        <f t="shared" si="210"/>
        <v>2.3387515977090487</v>
      </c>
      <c r="BN185" s="302">
        <f t="shared" si="211"/>
        <v>2.3589256302123385</v>
      </c>
      <c r="BO185" s="303">
        <f t="shared" si="212"/>
        <v>2.3760282436988338</v>
      </c>
      <c r="BP185" s="223"/>
    </row>
    <row r="186" spans="3:68" ht="42" customHeight="1">
      <c r="C186" s="426"/>
      <c r="D186" s="425"/>
      <c r="E186" s="443">
        <v>-0.6</v>
      </c>
      <c r="F186" s="444">
        <f t="shared" si="213"/>
        <v>-1.041923579658564</v>
      </c>
      <c r="G186" s="449">
        <f t="shared" si="151"/>
        <v>-1.145961789829282</v>
      </c>
      <c r="H186" s="449">
        <f t="shared" si="214"/>
        <v>-1.1383994388878704</v>
      </c>
      <c r="I186" s="302">
        <f t="shared" si="154"/>
        <v>-1.1367333542798759</v>
      </c>
      <c r="J186" s="302">
        <f t="shared" si="155"/>
        <v>-1.1347024226097657</v>
      </c>
      <c r="K186" s="302">
        <f t="shared" si="156"/>
        <v>-1.1322278272664463</v>
      </c>
      <c r="L186" s="302">
        <f t="shared" si="157"/>
        <v>-1.1292142500037499</v>
      </c>
      <c r="M186" s="302">
        <f t="shared" si="158"/>
        <v>-1.1255466709051993</v>
      </c>
      <c r="N186" s="302">
        <f t="shared" si="159"/>
        <v>-1.1210866724012472</v>
      </c>
      <c r="O186" s="302">
        <f t="shared" si="160"/>
        <v>-1.1156682337662751</v>
      </c>
      <c r="P186" s="302">
        <f t="shared" si="161"/>
        <v>-1.1090930403855803</v>
      </c>
      <c r="Q186" s="302">
        <f t="shared" si="162"/>
        <v>-1.1011253935450087</v>
      </c>
      <c r="R186" s="302">
        <f t="shared" si="163"/>
        <v>-1.0914869007415589</v>
      </c>
      <c r="S186" s="302">
        <f t="shared" si="164"/>
        <v>-1.0798512643518878</v>
      </c>
      <c r="T186" s="302">
        <f t="shared" si="165"/>
        <v>-1.0699946933399698</v>
      </c>
      <c r="U186" s="302">
        <f t="shared" si="166"/>
        <v>-1.058359056950299</v>
      </c>
      <c r="V186" s="302">
        <f t="shared" si="167"/>
        <v>-1.0444413987771153</v>
      </c>
      <c r="W186" s="302">
        <f t="shared" si="168"/>
        <v>-1.0328057623874445</v>
      </c>
      <c r="X186" s="302">
        <f t="shared" si="169"/>
        <v>-1.0187941771993172</v>
      </c>
      <c r="Y186" s="302">
        <f t="shared" si="170"/>
        <v>-1.0025898313406709</v>
      </c>
      <c r="Z186" s="302">
        <f t="shared" si="171"/>
        <v>-0.98857824615254364</v>
      </c>
      <c r="AA186" s="302">
        <f t="shared" si="172"/>
        <v>-0.97175617265031344</v>
      </c>
      <c r="AB186" s="302">
        <f t="shared" si="173"/>
        <v>-0.95307925806883098</v>
      </c>
      <c r="AC186" s="302">
        <f t="shared" si="174"/>
        <v>-0.93625718456660079</v>
      </c>
      <c r="AD186" s="302">
        <f t="shared" si="175"/>
        <v>-0.91613358622101215</v>
      </c>
      <c r="AE186" s="302">
        <f t="shared" si="176"/>
        <v>-0.89486697839287799</v>
      </c>
      <c r="AF186" s="302">
        <f t="shared" si="177"/>
        <v>-0.87474338004728935</v>
      </c>
      <c r="AG186" s="302">
        <f t="shared" si="178"/>
        <v>-0.85077388400016152</v>
      </c>
      <c r="AH186" s="302">
        <f t="shared" si="179"/>
        <v>-0.82690947198536191</v>
      </c>
      <c r="AI186" s="302">
        <f t="shared" si="180"/>
        <v>-0.80293997593823407</v>
      </c>
      <c r="AJ186" s="302">
        <f t="shared" si="181"/>
        <v>-0.77453579281086338</v>
      </c>
      <c r="AK186" s="302">
        <f t="shared" si="182"/>
        <v>-0.74822130915742591</v>
      </c>
      <c r="AL186" s="302">
        <f t="shared" si="183"/>
        <v>-0.71981712603005521</v>
      </c>
      <c r="AM186" s="302">
        <f t="shared" si="184"/>
        <v>-0.68636185598548738</v>
      </c>
      <c r="AN186" s="302">
        <f t="shared" si="185"/>
        <v>-0.65794979487095473</v>
      </c>
      <c r="AO186" s="302">
        <f t="shared" si="186"/>
        <v>-0.6244945248263869</v>
      </c>
      <c r="AP186" s="302">
        <f t="shared" si="187"/>
        <v>-0.58891707462609633</v>
      </c>
      <c r="AQ186" s="302">
        <f t="shared" si="188"/>
        <v>-0.5554618045815285</v>
      </c>
      <c r="AR186" s="302">
        <f t="shared" si="189"/>
        <v>-0.51633831246481721</v>
      </c>
      <c r="AS186" s="302">
        <f t="shared" si="190"/>
        <v>-0.47955909450973316</v>
      </c>
      <c r="AT186" s="302">
        <f t="shared" si="191"/>
        <v>-0.44043560239302193</v>
      </c>
      <c r="AU186" s="302">
        <f t="shared" si="192"/>
        <v>-0.39744128918812688</v>
      </c>
      <c r="AV186" s="302">
        <f t="shared" si="193"/>
        <v>-0.35831779707141564</v>
      </c>
      <c r="AW186" s="302">
        <f t="shared" si="194"/>
        <v>-0.31294694407728518</v>
      </c>
      <c r="AX186" s="302">
        <f t="shared" si="195"/>
        <v>1.5576882207441975</v>
      </c>
      <c r="AY186" s="302">
        <f t="shared" si="196"/>
        <v>1.6436554909122882</v>
      </c>
      <c r="AZ186" s="302">
        <f t="shared" si="197"/>
        <v>1.7241106355416356</v>
      </c>
      <c r="BA186" s="302">
        <f t="shared" si="198"/>
        <v>1.7981281798812556</v>
      </c>
      <c r="BB186" s="302">
        <f t="shared" si="199"/>
        <v>1.8675632254402517</v>
      </c>
      <c r="BC186" s="302">
        <f t="shared" si="200"/>
        <v>1.9345927782572592</v>
      </c>
      <c r="BD186" s="302">
        <f t="shared" si="201"/>
        <v>1.9944326705684097</v>
      </c>
      <c r="BE186" s="302">
        <f t="shared" si="202"/>
        <v>2.0471762587747966</v>
      </c>
      <c r="BF186" s="302">
        <f t="shared" si="203"/>
        <v>2.097097846432241</v>
      </c>
      <c r="BG186" s="302">
        <f t="shared" si="204"/>
        <v>2.1430659813611852</v>
      </c>
      <c r="BH186" s="302">
        <f t="shared" si="205"/>
        <v>2.1827374013013046</v>
      </c>
      <c r="BI186" s="302">
        <f t="shared" si="206"/>
        <v>2.217861191012477</v>
      </c>
      <c r="BJ186" s="302">
        <f t="shared" si="207"/>
        <v>2.2518091907881077</v>
      </c>
      <c r="BK186" s="302">
        <f t="shared" si="208"/>
        <v>2.2806492300327776</v>
      </c>
      <c r="BL186" s="302">
        <f t="shared" si="209"/>
        <v>2.3049990601275314</v>
      </c>
      <c r="BM186" s="302">
        <f t="shared" si="210"/>
        <v>2.3293368926271283</v>
      </c>
      <c r="BN186" s="302">
        <f t="shared" si="211"/>
        <v>2.3497886612794536</v>
      </c>
      <c r="BO186" s="303">
        <f t="shared" si="212"/>
        <v>2.366891274765949</v>
      </c>
      <c r="BP186" s="223"/>
    </row>
    <row r="187" spans="3:68" ht="42" customHeight="1">
      <c r="C187" s="426"/>
      <c r="D187" s="425"/>
      <c r="E187" s="445">
        <v>-0.65</v>
      </c>
      <c r="F187" s="444">
        <f t="shared" si="213"/>
        <v>-1.0779105435856398</v>
      </c>
      <c r="G187" s="449">
        <f t="shared" si="151"/>
        <v>-1.1639552717928199</v>
      </c>
      <c r="H187" s="449">
        <f t="shared" si="214"/>
        <v>-1.1563929208514083</v>
      </c>
      <c r="I187" s="302">
        <f t="shared" si="154"/>
        <v>-1.1547268362434138</v>
      </c>
      <c r="J187" s="302">
        <f t="shared" si="155"/>
        <v>-1.1526959045733038</v>
      </c>
      <c r="K187" s="302">
        <f t="shared" si="156"/>
        <v>-1.150221309229984</v>
      </c>
      <c r="L187" s="302">
        <f t="shared" si="157"/>
        <v>-1.1472077319672875</v>
      </c>
      <c r="M187" s="302">
        <f t="shared" si="158"/>
        <v>-1.143540152868737</v>
      </c>
      <c r="N187" s="302">
        <f t="shared" si="159"/>
        <v>-1.1390801543647853</v>
      </c>
      <c r="O187" s="302">
        <f t="shared" si="160"/>
        <v>-1.1336617157298128</v>
      </c>
      <c r="P187" s="302">
        <f t="shared" si="161"/>
        <v>-1.1270865223491182</v>
      </c>
      <c r="Q187" s="302">
        <f t="shared" si="162"/>
        <v>-1.1191188755085468</v>
      </c>
      <c r="R187" s="302">
        <f t="shared" si="163"/>
        <v>-1.1094803827050965</v>
      </c>
      <c r="S187" s="302">
        <f t="shared" si="164"/>
        <v>-1.1011253935450087</v>
      </c>
      <c r="T187" s="302">
        <f t="shared" si="165"/>
        <v>-1.0914869007415589</v>
      </c>
      <c r="U187" s="302">
        <f t="shared" si="166"/>
        <v>-1.0798512643518878</v>
      </c>
      <c r="V187" s="302">
        <f t="shared" si="167"/>
        <v>-1.0699946933399698</v>
      </c>
      <c r="W187" s="302">
        <f t="shared" si="168"/>
        <v>-1.058359056950299</v>
      </c>
      <c r="X187" s="302">
        <f t="shared" si="169"/>
        <v>-1.0444413987771153</v>
      </c>
      <c r="Y187" s="302">
        <f t="shared" si="170"/>
        <v>-1.0328057623874445</v>
      </c>
      <c r="Z187" s="302">
        <f t="shared" si="171"/>
        <v>-1.0187941771993172</v>
      </c>
      <c r="AA187" s="302">
        <f t="shared" si="172"/>
        <v>-1.0025898313406709</v>
      </c>
      <c r="AB187" s="302">
        <f t="shared" si="173"/>
        <v>-0.98857824615254364</v>
      </c>
      <c r="AC187" s="302">
        <f t="shared" si="174"/>
        <v>-0.97175617265031344</v>
      </c>
      <c r="AD187" s="302">
        <f t="shared" si="175"/>
        <v>-0.95307925806883098</v>
      </c>
      <c r="AE187" s="302">
        <f t="shared" si="176"/>
        <v>-0.93625718456660079</v>
      </c>
      <c r="AF187" s="302">
        <f t="shared" si="177"/>
        <v>-0.91613358622101215</v>
      </c>
      <c r="AG187" s="302">
        <f t="shared" si="178"/>
        <v>-0.89486697839287799</v>
      </c>
      <c r="AH187" s="302">
        <f t="shared" si="179"/>
        <v>-0.87474338004728935</v>
      </c>
      <c r="AI187" s="302">
        <f t="shared" si="180"/>
        <v>-0.85077388400016152</v>
      </c>
      <c r="AJ187" s="302">
        <f t="shared" si="181"/>
        <v>-0.82690947198536191</v>
      </c>
      <c r="AK187" s="302">
        <f t="shared" si="182"/>
        <v>-0.80293997593823407</v>
      </c>
      <c r="AL187" s="302">
        <f t="shared" si="183"/>
        <v>-0.77453579281086338</v>
      </c>
      <c r="AM187" s="302">
        <f t="shared" si="184"/>
        <v>-0.74822130915742591</v>
      </c>
      <c r="AN187" s="302">
        <f t="shared" si="185"/>
        <v>-0.71981712603005521</v>
      </c>
      <c r="AO187" s="302">
        <f t="shared" si="186"/>
        <v>-0.68636185598548738</v>
      </c>
      <c r="AP187" s="302">
        <f t="shared" si="187"/>
        <v>-0.65794979487095473</v>
      </c>
      <c r="AQ187" s="302">
        <f t="shared" si="188"/>
        <v>-0.6244945248263869</v>
      </c>
      <c r="AR187" s="302">
        <f t="shared" si="189"/>
        <v>-0.58891707462609633</v>
      </c>
      <c r="AS187" s="302">
        <f t="shared" si="190"/>
        <v>-0.5554618045815285</v>
      </c>
      <c r="AT187" s="302">
        <f t="shared" si="191"/>
        <v>-0.51633831246481721</v>
      </c>
      <c r="AU187" s="302">
        <f t="shared" si="192"/>
        <v>-0.47955909450973316</v>
      </c>
      <c r="AV187" s="302">
        <f t="shared" si="193"/>
        <v>-0.44043560239302193</v>
      </c>
      <c r="AW187" s="302">
        <f t="shared" si="194"/>
        <v>-0.39744128918812688</v>
      </c>
      <c r="AX187" s="302">
        <f t="shared" si="195"/>
        <v>-0.35831779707141564</v>
      </c>
      <c r="AY187" s="302">
        <f t="shared" si="196"/>
        <v>1.600099007325507</v>
      </c>
      <c r="AZ187" s="302">
        <f t="shared" si="197"/>
        <v>1.6811211701043645</v>
      </c>
      <c r="BA187" s="302">
        <f t="shared" si="198"/>
        <v>1.7615763147337118</v>
      </c>
      <c r="BB187" s="302">
        <f t="shared" si="199"/>
        <v>1.8355938590733318</v>
      </c>
      <c r="BC187" s="302">
        <f t="shared" si="200"/>
        <v>1.9026234118903393</v>
      </c>
      <c r="BD187" s="302">
        <f t="shared" si="201"/>
        <v>1.9624633042014898</v>
      </c>
      <c r="BE187" s="302">
        <f t="shared" si="202"/>
        <v>2.021526032904271</v>
      </c>
      <c r="BF187" s="302">
        <f t="shared" si="203"/>
        <v>2.0742696211106582</v>
      </c>
      <c r="BG187" s="302">
        <f t="shared" si="204"/>
        <v>2.120237756039602</v>
      </c>
      <c r="BH187" s="302">
        <f t="shared" si="205"/>
        <v>2.1622066650461429</v>
      </c>
      <c r="BI187" s="302">
        <f t="shared" si="206"/>
        <v>2.2018780849862623</v>
      </c>
      <c r="BJ187" s="302">
        <f t="shared" si="207"/>
        <v>2.2358260847618929</v>
      </c>
      <c r="BK187" s="302">
        <f t="shared" si="208"/>
        <v>2.2651099597173001</v>
      </c>
      <c r="BL187" s="302">
        <f t="shared" si="209"/>
        <v>2.2939499989619696</v>
      </c>
      <c r="BM187" s="302">
        <f t="shared" si="210"/>
        <v>2.3182998290567234</v>
      </c>
      <c r="BN187" s="302">
        <f t="shared" si="211"/>
        <v>2.3387515977090487</v>
      </c>
      <c r="BO187" s="303">
        <f t="shared" si="212"/>
        <v>2.3589256302123385</v>
      </c>
      <c r="BP187" s="223"/>
    </row>
    <row r="188" spans="3:68" ht="42" customHeight="1">
      <c r="C188" s="426"/>
      <c r="D188" s="425"/>
      <c r="E188" s="443">
        <v>-0.7</v>
      </c>
      <c r="F188" s="444">
        <f t="shared" si="213"/>
        <v>-1.1079231981495945</v>
      </c>
      <c r="G188" s="449">
        <f t="shared" si="151"/>
        <v>-1.1789615990747973</v>
      </c>
      <c r="H188" s="449">
        <f t="shared" si="214"/>
        <v>-1.1713992481333857</v>
      </c>
      <c r="I188" s="302">
        <f t="shared" si="154"/>
        <v>-1.1697331635253911</v>
      </c>
      <c r="J188" s="302">
        <f t="shared" si="155"/>
        <v>-1.167702231855281</v>
      </c>
      <c r="K188" s="302">
        <f t="shared" si="156"/>
        <v>-1.1652276365119616</v>
      </c>
      <c r="L188" s="302">
        <f t="shared" si="157"/>
        <v>-1.1622140592492651</v>
      </c>
      <c r="M188" s="302">
        <f t="shared" si="158"/>
        <v>-1.1585464801507146</v>
      </c>
      <c r="N188" s="302">
        <f t="shared" si="159"/>
        <v>-1.1540864816467624</v>
      </c>
      <c r="O188" s="302">
        <f t="shared" si="160"/>
        <v>-1.1486680430117904</v>
      </c>
      <c r="P188" s="302">
        <f t="shared" si="161"/>
        <v>-1.1420928496310956</v>
      </c>
      <c r="Q188" s="302">
        <f t="shared" si="162"/>
        <v>-1.134125202790524</v>
      </c>
      <c r="R188" s="302">
        <f t="shared" si="163"/>
        <v>-1.1270865223491182</v>
      </c>
      <c r="S188" s="302">
        <f t="shared" si="164"/>
        <v>-1.1191188755085468</v>
      </c>
      <c r="T188" s="302">
        <f t="shared" si="165"/>
        <v>-1.1094803827050965</v>
      </c>
      <c r="U188" s="302">
        <f t="shared" si="166"/>
        <v>-1.1011253935450087</v>
      </c>
      <c r="V188" s="302">
        <f t="shared" si="167"/>
        <v>-1.0914869007415589</v>
      </c>
      <c r="W188" s="302">
        <f t="shared" si="168"/>
        <v>-1.0798512643518878</v>
      </c>
      <c r="X188" s="302">
        <f t="shared" si="169"/>
        <v>-1.0699946933399698</v>
      </c>
      <c r="Y188" s="302">
        <f t="shared" si="170"/>
        <v>-1.058359056950299</v>
      </c>
      <c r="Z188" s="302">
        <f t="shared" si="171"/>
        <v>-1.0444413987771153</v>
      </c>
      <c r="AA188" s="302">
        <f t="shared" si="172"/>
        <v>-1.0328057623874445</v>
      </c>
      <c r="AB188" s="302">
        <f t="shared" si="173"/>
        <v>-1.0187941771993172</v>
      </c>
      <c r="AC188" s="302">
        <f t="shared" si="174"/>
        <v>-1.0025898313406709</v>
      </c>
      <c r="AD188" s="302">
        <f t="shared" si="175"/>
        <v>-0.98857824615254364</v>
      </c>
      <c r="AE188" s="302">
        <f t="shared" si="176"/>
        <v>-0.97175617265031344</v>
      </c>
      <c r="AF188" s="302">
        <f t="shared" si="177"/>
        <v>-0.95307925806883098</v>
      </c>
      <c r="AG188" s="302">
        <f t="shared" si="178"/>
        <v>-0.93625718456660079</v>
      </c>
      <c r="AH188" s="302">
        <f t="shared" si="179"/>
        <v>-0.91613358622101215</v>
      </c>
      <c r="AI188" s="302">
        <f t="shared" si="180"/>
        <v>-0.89486697839287799</v>
      </c>
      <c r="AJ188" s="302">
        <f t="shared" si="181"/>
        <v>-0.87474338004728935</v>
      </c>
      <c r="AK188" s="302">
        <f t="shared" si="182"/>
        <v>-0.85077388400016152</v>
      </c>
      <c r="AL188" s="302">
        <f t="shared" si="183"/>
        <v>-0.82690947198536191</v>
      </c>
      <c r="AM188" s="302">
        <f t="shared" si="184"/>
        <v>-0.80293997593823407</v>
      </c>
      <c r="AN188" s="302">
        <f t="shared" si="185"/>
        <v>-0.77453579281086338</v>
      </c>
      <c r="AO188" s="302">
        <f t="shared" si="186"/>
        <v>-0.74822130915742591</v>
      </c>
      <c r="AP188" s="302">
        <f t="shared" si="187"/>
        <v>-0.71981712603005521</v>
      </c>
      <c r="AQ188" s="302">
        <f t="shared" si="188"/>
        <v>-0.68636185598548738</v>
      </c>
      <c r="AR188" s="302">
        <f t="shared" si="189"/>
        <v>-0.65794979487095473</v>
      </c>
      <c r="AS188" s="302">
        <f t="shared" si="190"/>
        <v>-0.6244945248263869</v>
      </c>
      <c r="AT188" s="302">
        <f t="shared" si="191"/>
        <v>-0.58891707462609633</v>
      </c>
      <c r="AU188" s="302">
        <f t="shared" si="192"/>
        <v>-0.5554618045815285</v>
      </c>
      <c r="AV188" s="302">
        <f t="shared" si="193"/>
        <v>-0.51633831246481721</v>
      </c>
      <c r="AW188" s="302">
        <f t="shared" si="194"/>
        <v>-0.47955909450973316</v>
      </c>
      <c r="AX188" s="302">
        <f t="shared" si="195"/>
        <v>-0.44043560239302193</v>
      </c>
      <c r="AY188" s="302">
        <f t="shared" si="196"/>
        <v>-0.39744128918812688</v>
      </c>
      <c r="AZ188" s="302">
        <f t="shared" si="197"/>
        <v>1.6436554909122882</v>
      </c>
      <c r="BA188" s="302">
        <f t="shared" si="198"/>
        <v>1.7241106355416356</v>
      </c>
      <c r="BB188" s="302">
        <f t="shared" si="199"/>
        <v>1.7981281798812556</v>
      </c>
      <c r="BC188" s="302">
        <f t="shared" si="200"/>
        <v>1.8675632254402517</v>
      </c>
      <c r="BD188" s="302">
        <f t="shared" si="201"/>
        <v>1.9345927782572592</v>
      </c>
      <c r="BE188" s="302">
        <f t="shared" si="202"/>
        <v>1.9944326705684097</v>
      </c>
      <c r="BF188" s="302">
        <f t="shared" si="203"/>
        <v>2.0471762587747966</v>
      </c>
      <c r="BG188" s="302">
        <f t="shared" si="204"/>
        <v>2.097097846432241</v>
      </c>
      <c r="BH188" s="302">
        <f t="shared" si="205"/>
        <v>2.1430659813611852</v>
      </c>
      <c r="BI188" s="302">
        <f t="shared" si="206"/>
        <v>2.1827374013013046</v>
      </c>
      <c r="BJ188" s="302">
        <f t="shared" si="207"/>
        <v>2.217861191012477</v>
      </c>
      <c r="BK188" s="302">
        <f t="shared" si="208"/>
        <v>2.2518091907881077</v>
      </c>
      <c r="BL188" s="302">
        <f t="shared" si="209"/>
        <v>2.2806492300327776</v>
      </c>
      <c r="BM188" s="302">
        <f t="shared" si="210"/>
        <v>2.3049990601275314</v>
      </c>
      <c r="BN188" s="302">
        <f t="shared" si="211"/>
        <v>2.3293368926271283</v>
      </c>
      <c r="BO188" s="303">
        <f t="shared" si="212"/>
        <v>2.3497886612794536</v>
      </c>
      <c r="BP188" s="223"/>
    </row>
    <row r="189" spans="3:68" ht="42" customHeight="1">
      <c r="C189" s="426"/>
      <c r="D189" s="425"/>
      <c r="E189" s="445">
        <v>-0.75</v>
      </c>
      <c r="F189" s="444">
        <f t="shared" si="213"/>
        <v>-1.1328729508490221</v>
      </c>
      <c r="G189" s="449">
        <f t="shared" si="151"/>
        <v>-1.191436475424511</v>
      </c>
      <c r="H189" s="449">
        <f t="shared" si="214"/>
        <v>-1.1838741244830995</v>
      </c>
      <c r="I189" s="302">
        <f t="shared" si="154"/>
        <v>-1.1822080398751049</v>
      </c>
      <c r="J189" s="302">
        <f t="shared" si="155"/>
        <v>-1.1801771082049948</v>
      </c>
      <c r="K189" s="302">
        <f t="shared" si="156"/>
        <v>-1.1777025128616754</v>
      </c>
      <c r="L189" s="302">
        <f t="shared" si="157"/>
        <v>-1.1746889355989789</v>
      </c>
      <c r="M189" s="302">
        <f t="shared" si="158"/>
        <v>-1.1710213565004284</v>
      </c>
      <c r="N189" s="302">
        <f t="shared" si="159"/>
        <v>-1.1665613579964762</v>
      </c>
      <c r="O189" s="302">
        <f t="shared" si="160"/>
        <v>-1.1611429193615042</v>
      </c>
      <c r="P189" s="302">
        <f t="shared" si="161"/>
        <v>-1.1545677259808094</v>
      </c>
      <c r="Q189" s="302">
        <f t="shared" si="162"/>
        <v>-1.1486680430117904</v>
      </c>
      <c r="R189" s="302">
        <f t="shared" si="163"/>
        <v>-1.1420928496310956</v>
      </c>
      <c r="S189" s="302">
        <f t="shared" si="164"/>
        <v>-1.134125202790524</v>
      </c>
      <c r="T189" s="302">
        <f t="shared" si="165"/>
        <v>-1.1270865223491182</v>
      </c>
      <c r="U189" s="302">
        <f t="shared" si="166"/>
        <v>-1.1191188755085468</v>
      </c>
      <c r="V189" s="302">
        <f t="shared" si="167"/>
        <v>-1.1094803827050965</v>
      </c>
      <c r="W189" s="302">
        <f t="shared" si="168"/>
        <v>-1.1011253935450087</v>
      </c>
      <c r="X189" s="302">
        <f t="shared" si="169"/>
        <v>-1.0914869007415589</v>
      </c>
      <c r="Y189" s="302">
        <f t="shared" si="170"/>
        <v>-1.0798512643518878</v>
      </c>
      <c r="Z189" s="302">
        <f t="shared" si="171"/>
        <v>-1.0699946933399698</v>
      </c>
      <c r="AA189" s="302">
        <f t="shared" si="172"/>
        <v>-1.058359056950299</v>
      </c>
      <c r="AB189" s="302">
        <f t="shared" si="173"/>
        <v>-1.0444413987771153</v>
      </c>
      <c r="AC189" s="302">
        <f t="shared" si="174"/>
        <v>-1.0328057623874445</v>
      </c>
      <c r="AD189" s="302">
        <f t="shared" si="175"/>
        <v>-1.0187941771993172</v>
      </c>
      <c r="AE189" s="302">
        <f t="shared" si="176"/>
        <v>-1.0025898313406709</v>
      </c>
      <c r="AF189" s="302">
        <f t="shared" si="177"/>
        <v>-0.98857824615254364</v>
      </c>
      <c r="AG189" s="302">
        <f t="shared" si="178"/>
        <v>-0.97175617265031344</v>
      </c>
      <c r="AH189" s="302">
        <f t="shared" si="179"/>
        <v>-0.95307925806883098</v>
      </c>
      <c r="AI189" s="302">
        <f t="shared" si="180"/>
        <v>-0.93625718456660079</v>
      </c>
      <c r="AJ189" s="302">
        <f t="shared" si="181"/>
        <v>-0.91613358622101215</v>
      </c>
      <c r="AK189" s="302">
        <f t="shared" si="182"/>
        <v>-0.89486697839287799</v>
      </c>
      <c r="AL189" s="302">
        <f t="shared" si="183"/>
        <v>-0.87474338004728935</v>
      </c>
      <c r="AM189" s="302">
        <f t="shared" si="184"/>
        <v>-0.85077388400016152</v>
      </c>
      <c r="AN189" s="302">
        <f t="shared" si="185"/>
        <v>-0.82690947198536191</v>
      </c>
      <c r="AO189" s="302">
        <f t="shared" si="186"/>
        <v>-0.80293997593823407</v>
      </c>
      <c r="AP189" s="302">
        <f t="shared" si="187"/>
        <v>-0.77453579281086338</v>
      </c>
      <c r="AQ189" s="302">
        <f t="shared" si="188"/>
        <v>-0.74822130915742591</v>
      </c>
      <c r="AR189" s="302">
        <f t="shared" si="189"/>
        <v>-0.71981712603005521</v>
      </c>
      <c r="AS189" s="302">
        <f t="shared" si="190"/>
        <v>-0.68636185598548738</v>
      </c>
      <c r="AT189" s="302">
        <f t="shared" si="191"/>
        <v>-0.65794979487095473</v>
      </c>
      <c r="AU189" s="302">
        <f t="shared" si="192"/>
        <v>-0.6244945248263869</v>
      </c>
      <c r="AV189" s="302">
        <f t="shared" si="193"/>
        <v>-0.58891707462609633</v>
      </c>
      <c r="AW189" s="302">
        <f t="shared" si="194"/>
        <v>-0.5554618045815285</v>
      </c>
      <c r="AX189" s="302">
        <f t="shared" si="195"/>
        <v>-0.51633831246481721</v>
      </c>
      <c r="AY189" s="302">
        <f t="shared" si="196"/>
        <v>-0.47955909450973316</v>
      </c>
      <c r="AZ189" s="302">
        <f t="shared" si="197"/>
        <v>-0.44043560239302193</v>
      </c>
      <c r="BA189" s="302">
        <f t="shared" si="198"/>
        <v>1.6811211701043645</v>
      </c>
      <c r="BB189" s="302">
        <f t="shared" si="199"/>
        <v>1.7615763147337118</v>
      </c>
      <c r="BC189" s="302">
        <f t="shared" si="200"/>
        <v>1.8355938590733318</v>
      </c>
      <c r="BD189" s="302">
        <f t="shared" si="201"/>
        <v>1.9026234118903393</v>
      </c>
      <c r="BE189" s="302">
        <f t="shared" si="202"/>
        <v>1.9624633042014898</v>
      </c>
      <c r="BF189" s="302">
        <f t="shared" si="203"/>
        <v>2.021526032904271</v>
      </c>
      <c r="BG189" s="302">
        <f t="shared" si="204"/>
        <v>2.0742696211106582</v>
      </c>
      <c r="BH189" s="302">
        <f t="shared" si="205"/>
        <v>2.120237756039602</v>
      </c>
      <c r="BI189" s="302">
        <f t="shared" si="206"/>
        <v>2.1622066650461429</v>
      </c>
      <c r="BJ189" s="302">
        <f t="shared" si="207"/>
        <v>2.2018780849862623</v>
      </c>
      <c r="BK189" s="302">
        <f t="shared" si="208"/>
        <v>2.2358260847618929</v>
      </c>
      <c r="BL189" s="302">
        <f t="shared" si="209"/>
        <v>2.2651099597173001</v>
      </c>
      <c r="BM189" s="302">
        <f t="shared" si="210"/>
        <v>2.2939499989619696</v>
      </c>
      <c r="BN189" s="302">
        <f t="shared" si="211"/>
        <v>2.3182998290567234</v>
      </c>
      <c r="BO189" s="303">
        <f t="shared" si="212"/>
        <v>2.3387515977090487</v>
      </c>
      <c r="BP189" s="223"/>
    </row>
    <row r="190" spans="3:68" ht="42" customHeight="1">
      <c r="C190" s="426"/>
      <c r="D190" s="425"/>
      <c r="E190" s="443">
        <v>-0.8</v>
      </c>
      <c r="F190" s="444">
        <f t="shared" si="213"/>
        <v>-1.1535584557140082</v>
      </c>
      <c r="G190" s="449">
        <f t="shared" si="151"/>
        <v>-1.2017792278570041</v>
      </c>
      <c r="H190" s="449">
        <f t="shared" si="214"/>
        <v>-1.1942168769155925</v>
      </c>
      <c r="I190" s="302">
        <f t="shared" si="154"/>
        <v>-1.192550792307598</v>
      </c>
      <c r="J190" s="302">
        <f t="shared" si="155"/>
        <v>-1.190519860637488</v>
      </c>
      <c r="K190" s="302">
        <f t="shared" si="156"/>
        <v>-1.1880452652941682</v>
      </c>
      <c r="L190" s="302">
        <f t="shared" si="157"/>
        <v>-1.1850316880314717</v>
      </c>
      <c r="M190" s="302">
        <f t="shared" si="158"/>
        <v>-1.1813641089329212</v>
      </c>
      <c r="N190" s="302">
        <f t="shared" si="159"/>
        <v>-1.1769041104289695</v>
      </c>
      <c r="O190" s="302">
        <f t="shared" si="160"/>
        <v>-1.171485671793997</v>
      </c>
      <c r="P190" s="302">
        <f t="shared" si="161"/>
        <v>-1.1665613579964762</v>
      </c>
      <c r="Q190" s="302">
        <f t="shared" si="162"/>
        <v>-1.1611429193615042</v>
      </c>
      <c r="R190" s="302">
        <f t="shared" si="163"/>
        <v>-1.1545677259808094</v>
      </c>
      <c r="S190" s="302">
        <f t="shared" si="164"/>
        <v>-1.1486680430117904</v>
      </c>
      <c r="T190" s="302">
        <f t="shared" si="165"/>
        <v>-1.1420928496310956</v>
      </c>
      <c r="U190" s="302">
        <f t="shared" si="166"/>
        <v>-1.134125202790524</v>
      </c>
      <c r="V190" s="302">
        <f t="shared" si="167"/>
        <v>-1.1270865223491182</v>
      </c>
      <c r="W190" s="302">
        <f t="shared" si="168"/>
        <v>-1.1191188755085468</v>
      </c>
      <c r="X190" s="302">
        <f t="shared" si="169"/>
        <v>-1.1094803827050965</v>
      </c>
      <c r="Y190" s="302">
        <f t="shared" si="170"/>
        <v>-1.1011253935450087</v>
      </c>
      <c r="Z190" s="302">
        <f t="shared" si="171"/>
        <v>-1.0914869007415589</v>
      </c>
      <c r="AA190" s="302">
        <f t="shared" si="172"/>
        <v>-1.0798512643518878</v>
      </c>
      <c r="AB190" s="302">
        <f t="shared" si="173"/>
        <v>-1.0699946933399698</v>
      </c>
      <c r="AC190" s="302">
        <f t="shared" si="174"/>
        <v>-1.058359056950299</v>
      </c>
      <c r="AD190" s="302">
        <f t="shared" si="175"/>
        <v>-1.0444413987771153</v>
      </c>
      <c r="AE190" s="302">
        <f t="shared" si="176"/>
        <v>-1.0328057623874445</v>
      </c>
      <c r="AF190" s="302">
        <f t="shared" si="177"/>
        <v>-1.0187941771993172</v>
      </c>
      <c r="AG190" s="302">
        <f t="shared" si="178"/>
        <v>-1.0025898313406709</v>
      </c>
      <c r="AH190" s="302">
        <f t="shared" si="179"/>
        <v>-0.98857824615254364</v>
      </c>
      <c r="AI190" s="302">
        <f t="shared" si="180"/>
        <v>-0.97175617265031344</v>
      </c>
      <c r="AJ190" s="302">
        <f t="shared" si="181"/>
        <v>-0.95307925806883098</v>
      </c>
      <c r="AK190" s="302">
        <f t="shared" si="182"/>
        <v>-0.93625718456660079</v>
      </c>
      <c r="AL190" s="302">
        <f t="shared" si="183"/>
        <v>-0.91613358622101215</v>
      </c>
      <c r="AM190" s="302">
        <f t="shared" si="184"/>
        <v>-0.89486697839287799</v>
      </c>
      <c r="AN190" s="302">
        <f t="shared" si="185"/>
        <v>-0.87474338004728935</v>
      </c>
      <c r="AO190" s="302">
        <f t="shared" si="186"/>
        <v>-0.85077388400016152</v>
      </c>
      <c r="AP190" s="302">
        <f t="shared" si="187"/>
        <v>-0.82690947198536191</v>
      </c>
      <c r="AQ190" s="302">
        <f t="shared" si="188"/>
        <v>-0.80293997593823407</v>
      </c>
      <c r="AR190" s="302">
        <f t="shared" si="189"/>
        <v>-0.77453579281086338</v>
      </c>
      <c r="AS190" s="302">
        <f t="shared" si="190"/>
        <v>-0.74822130915742591</v>
      </c>
      <c r="AT190" s="302">
        <f t="shared" si="191"/>
        <v>-0.71981712603005521</v>
      </c>
      <c r="AU190" s="302">
        <f t="shared" si="192"/>
        <v>-0.68636185598548738</v>
      </c>
      <c r="AV190" s="302">
        <f t="shared" si="193"/>
        <v>-0.65794979487095473</v>
      </c>
      <c r="AW190" s="302">
        <f t="shared" si="194"/>
        <v>-0.6244945248263869</v>
      </c>
      <c r="AX190" s="302">
        <f t="shared" si="195"/>
        <v>-0.58891707462609633</v>
      </c>
      <c r="AY190" s="302">
        <f t="shared" si="196"/>
        <v>-0.5554618045815285</v>
      </c>
      <c r="AZ190" s="302">
        <f t="shared" si="197"/>
        <v>-0.51633831246481721</v>
      </c>
      <c r="BA190" s="302">
        <f t="shared" si="198"/>
        <v>-0.47955909450973316</v>
      </c>
      <c r="BB190" s="302">
        <f t="shared" si="199"/>
        <v>1.7241106355416356</v>
      </c>
      <c r="BC190" s="302">
        <f t="shared" si="200"/>
        <v>1.7981281798812556</v>
      </c>
      <c r="BD190" s="302">
        <f t="shared" si="201"/>
        <v>1.8675632254402517</v>
      </c>
      <c r="BE190" s="302">
        <f t="shared" si="202"/>
        <v>1.9345927782572592</v>
      </c>
      <c r="BF190" s="302">
        <f t="shared" si="203"/>
        <v>1.9944326705684097</v>
      </c>
      <c r="BG190" s="302">
        <f t="shared" si="204"/>
        <v>2.0471762587747966</v>
      </c>
      <c r="BH190" s="302">
        <f t="shared" si="205"/>
        <v>2.097097846432241</v>
      </c>
      <c r="BI190" s="302">
        <f t="shared" si="206"/>
        <v>2.1430659813611852</v>
      </c>
      <c r="BJ190" s="302">
        <f t="shared" si="207"/>
        <v>2.1827374013013046</v>
      </c>
      <c r="BK190" s="302">
        <f t="shared" si="208"/>
        <v>2.217861191012477</v>
      </c>
      <c r="BL190" s="302">
        <f t="shared" si="209"/>
        <v>2.2518091907881077</v>
      </c>
      <c r="BM190" s="302">
        <f t="shared" si="210"/>
        <v>2.2806492300327776</v>
      </c>
      <c r="BN190" s="302">
        <f t="shared" si="211"/>
        <v>2.3049990601275314</v>
      </c>
      <c r="BO190" s="303">
        <f t="shared" si="212"/>
        <v>2.3293368926271283</v>
      </c>
      <c r="BP190" s="223"/>
    </row>
    <row r="191" spans="3:68" ht="42" customHeight="1">
      <c r="C191" s="426"/>
      <c r="D191" s="425"/>
      <c r="E191" s="445">
        <v>-0.85</v>
      </c>
      <c r="F191" s="444">
        <f t="shared" si="213"/>
        <v>-1.170670520773236</v>
      </c>
      <c r="G191" s="449">
        <f t="shared" si="151"/>
        <v>-1.210335260386618</v>
      </c>
      <c r="H191" s="449">
        <f t="shared" si="214"/>
        <v>-1.2027729094452064</v>
      </c>
      <c r="I191" s="302">
        <f t="shared" si="154"/>
        <v>-1.2017792278570041</v>
      </c>
      <c r="J191" s="302">
        <f t="shared" si="155"/>
        <v>-1.1990758931671017</v>
      </c>
      <c r="K191" s="302">
        <f t="shared" si="156"/>
        <v>-1.1966012978237823</v>
      </c>
      <c r="L191" s="302">
        <f t="shared" si="157"/>
        <v>-1.1935877205610859</v>
      </c>
      <c r="M191" s="302">
        <f t="shared" si="158"/>
        <v>-1.1899201414625353</v>
      </c>
      <c r="N191" s="302">
        <f t="shared" si="159"/>
        <v>-1.1854601429585832</v>
      </c>
      <c r="O191" s="302">
        <f t="shared" si="160"/>
        <v>-1.1813641089329212</v>
      </c>
      <c r="P191" s="302">
        <f t="shared" si="161"/>
        <v>-1.1769041104289695</v>
      </c>
      <c r="Q191" s="302">
        <f t="shared" si="162"/>
        <v>-1.171485671793997</v>
      </c>
      <c r="R191" s="302">
        <f t="shared" si="163"/>
        <v>-1.1665613579964762</v>
      </c>
      <c r="S191" s="302">
        <f t="shared" si="164"/>
        <v>-1.1611429193615042</v>
      </c>
      <c r="T191" s="302">
        <f t="shared" si="165"/>
        <v>-1.1545677259808094</v>
      </c>
      <c r="U191" s="302">
        <f t="shared" si="166"/>
        <v>-1.1486680430117904</v>
      </c>
      <c r="V191" s="302">
        <f t="shared" si="167"/>
        <v>-1.1420928496310956</v>
      </c>
      <c r="W191" s="302">
        <f t="shared" si="168"/>
        <v>-1.134125202790524</v>
      </c>
      <c r="X191" s="302">
        <f t="shared" si="169"/>
        <v>-1.1270865223491182</v>
      </c>
      <c r="Y191" s="302">
        <f t="shared" si="170"/>
        <v>-1.1191188755085468</v>
      </c>
      <c r="Z191" s="302">
        <f t="shared" si="171"/>
        <v>-1.1094803827050965</v>
      </c>
      <c r="AA191" s="302">
        <f t="shared" si="172"/>
        <v>-1.1011253935450087</v>
      </c>
      <c r="AB191" s="302">
        <f t="shared" si="173"/>
        <v>-1.0914869007415589</v>
      </c>
      <c r="AC191" s="302">
        <f t="shared" si="174"/>
        <v>-1.0798512643518878</v>
      </c>
      <c r="AD191" s="302">
        <f t="shared" si="175"/>
        <v>-1.0699946933399698</v>
      </c>
      <c r="AE191" s="302">
        <f t="shared" si="176"/>
        <v>-1.058359056950299</v>
      </c>
      <c r="AF191" s="302">
        <f t="shared" si="177"/>
        <v>-1.0444413987771153</v>
      </c>
      <c r="AG191" s="302">
        <f t="shared" si="178"/>
        <v>-1.0328057623874445</v>
      </c>
      <c r="AH191" s="302">
        <f t="shared" si="179"/>
        <v>-1.0187941771993172</v>
      </c>
      <c r="AI191" s="302">
        <f t="shared" si="180"/>
        <v>-1.0025898313406709</v>
      </c>
      <c r="AJ191" s="302">
        <f t="shared" si="181"/>
        <v>-0.98857824615254364</v>
      </c>
      <c r="AK191" s="302">
        <f t="shared" si="182"/>
        <v>-0.97175617265031344</v>
      </c>
      <c r="AL191" s="302">
        <f t="shared" si="183"/>
        <v>-0.95307925806883098</v>
      </c>
      <c r="AM191" s="302">
        <f t="shared" si="184"/>
        <v>-0.93625718456660079</v>
      </c>
      <c r="AN191" s="302">
        <f t="shared" si="185"/>
        <v>-0.91613358622101215</v>
      </c>
      <c r="AO191" s="302">
        <f t="shared" si="186"/>
        <v>-0.89486697839287799</v>
      </c>
      <c r="AP191" s="302">
        <f t="shared" si="187"/>
        <v>-0.87474338004728935</v>
      </c>
      <c r="AQ191" s="302">
        <f t="shared" si="188"/>
        <v>-0.85077388400016152</v>
      </c>
      <c r="AR191" s="302">
        <f t="shared" si="189"/>
        <v>-0.82690947198536191</v>
      </c>
      <c r="AS191" s="302">
        <f t="shared" si="190"/>
        <v>-0.80293997593823407</v>
      </c>
      <c r="AT191" s="302">
        <f t="shared" si="191"/>
        <v>-0.77453579281086338</v>
      </c>
      <c r="AU191" s="302">
        <f t="shared" si="192"/>
        <v>-0.74822130915742591</v>
      </c>
      <c r="AV191" s="302">
        <f t="shared" si="193"/>
        <v>-0.71981712603005521</v>
      </c>
      <c r="AW191" s="302">
        <f t="shared" si="194"/>
        <v>-0.68636185598548738</v>
      </c>
      <c r="AX191" s="302">
        <f t="shared" si="195"/>
        <v>-0.65794979487095473</v>
      </c>
      <c r="AY191" s="302">
        <f t="shared" si="196"/>
        <v>-0.6244945248263869</v>
      </c>
      <c r="AZ191" s="302">
        <f t="shared" si="197"/>
        <v>-0.58891707462609633</v>
      </c>
      <c r="BA191" s="302">
        <f t="shared" si="198"/>
        <v>-0.5554618045815285</v>
      </c>
      <c r="BB191" s="302">
        <f t="shared" si="199"/>
        <v>-0.51633831246481721</v>
      </c>
      <c r="BC191" s="302">
        <f t="shared" si="200"/>
        <v>1.7615763147337118</v>
      </c>
      <c r="BD191" s="302">
        <f t="shared" si="201"/>
        <v>1.8355938590733318</v>
      </c>
      <c r="BE191" s="302">
        <f t="shared" si="202"/>
        <v>1.9026234118903393</v>
      </c>
      <c r="BF191" s="302">
        <f t="shared" si="203"/>
        <v>1.9624633042014898</v>
      </c>
      <c r="BG191" s="302">
        <f t="shared" si="204"/>
        <v>2.021526032904271</v>
      </c>
      <c r="BH191" s="302">
        <f t="shared" si="205"/>
        <v>2.0742696211106582</v>
      </c>
      <c r="BI191" s="302">
        <f t="shared" si="206"/>
        <v>2.120237756039602</v>
      </c>
      <c r="BJ191" s="302">
        <f t="shared" si="207"/>
        <v>2.1622066650461429</v>
      </c>
      <c r="BK191" s="302">
        <f t="shared" si="208"/>
        <v>2.2018780849862623</v>
      </c>
      <c r="BL191" s="302">
        <f t="shared" si="209"/>
        <v>2.2358260847618929</v>
      </c>
      <c r="BM191" s="302">
        <f t="shared" si="210"/>
        <v>2.2651099597173001</v>
      </c>
      <c r="BN191" s="302">
        <f t="shared" si="211"/>
        <v>2.2939499989619696</v>
      </c>
      <c r="BO191" s="303">
        <f t="shared" si="212"/>
        <v>2.3182998290567234</v>
      </c>
      <c r="BP191" s="223"/>
    </row>
    <row r="192" spans="3:68" ht="42" customHeight="1">
      <c r="C192" s="426"/>
      <c r="D192" s="425"/>
      <c r="E192" s="443">
        <v>-0.9</v>
      </c>
      <c r="F192" s="444">
        <f t="shared" si="213"/>
        <v>-1.1848004974599742</v>
      </c>
      <c r="G192" s="449">
        <f t="shared" si="151"/>
        <v>-1.2174002487299871</v>
      </c>
      <c r="H192" s="449">
        <f t="shared" si="214"/>
        <v>-1.210335260386618</v>
      </c>
      <c r="I192" s="302">
        <f t="shared" si="154"/>
        <v>-1.210335260386618</v>
      </c>
      <c r="J192" s="302">
        <f t="shared" si="155"/>
        <v>-1.2061408815104708</v>
      </c>
      <c r="K192" s="302">
        <f t="shared" si="156"/>
        <v>-1.2036662861671514</v>
      </c>
      <c r="L192" s="302">
        <f t="shared" si="157"/>
        <v>-1.200652708904455</v>
      </c>
      <c r="M192" s="302">
        <f t="shared" si="158"/>
        <v>-1.1969851298059044</v>
      </c>
      <c r="N192" s="302">
        <f t="shared" si="159"/>
        <v>-1.1935877205610859</v>
      </c>
      <c r="O192" s="302">
        <f t="shared" si="160"/>
        <v>-1.1899201414625353</v>
      </c>
      <c r="P192" s="302">
        <f t="shared" si="161"/>
        <v>-1.1854601429585832</v>
      </c>
      <c r="Q192" s="302">
        <f t="shared" si="162"/>
        <v>-1.1813641089329212</v>
      </c>
      <c r="R192" s="302">
        <f t="shared" si="163"/>
        <v>-1.1769041104289695</v>
      </c>
      <c r="S192" s="302">
        <f t="shared" si="164"/>
        <v>-1.171485671793997</v>
      </c>
      <c r="T192" s="302">
        <f t="shared" si="165"/>
        <v>-1.1665613579964762</v>
      </c>
      <c r="U192" s="302">
        <f t="shared" si="166"/>
        <v>-1.1611429193615042</v>
      </c>
      <c r="V192" s="302">
        <f t="shared" si="167"/>
        <v>-1.1545677259808094</v>
      </c>
      <c r="W192" s="302">
        <f t="shared" si="168"/>
        <v>-1.1486680430117904</v>
      </c>
      <c r="X192" s="302">
        <f t="shared" si="169"/>
        <v>-1.1420928496310956</v>
      </c>
      <c r="Y192" s="302">
        <f t="shared" si="170"/>
        <v>-1.134125202790524</v>
      </c>
      <c r="Z192" s="302">
        <f t="shared" si="171"/>
        <v>-1.1270865223491182</v>
      </c>
      <c r="AA192" s="302">
        <f t="shared" si="172"/>
        <v>-1.1191188755085468</v>
      </c>
      <c r="AB192" s="302">
        <f t="shared" si="173"/>
        <v>-1.1094803827050965</v>
      </c>
      <c r="AC192" s="302">
        <f t="shared" si="174"/>
        <v>-1.1011253935450087</v>
      </c>
      <c r="AD192" s="302">
        <f t="shared" si="175"/>
        <v>-1.0914869007415589</v>
      </c>
      <c r="AE192" s="302">
        <f t="shared" si="176"/>
        <v>-1.0798512643518878</v>
      </c>
      <c r="AF192" s="302">
        <f t="shared" si="177"/>
        <v>-1.0699946933399698</v>
      </c>
      <c r="AG192" s="302">
        <f t="shared" si="178"/>
        <v>-1.058359056950299</v>
      </c>
      <c r="AH192" s="302">
        <f t="shared" si="179"/>
        <v>-1.0444413987771153</v>
      </c>
      <c r="AI192" s="302">
        <f t="shared" si="180"/>
        <v>-1.0328057623874445</v>
      </c>
      <c r="AJ192" s="302">
        <f t="shared" si="181"/>
        <v>-1.0187941771993172</v>
      </c>
      <c r="AK192" s="302">
        <f t="shared" si="182"/>
        <v>-1.0025898313406709</v>
      </c>
      <c r="AL192" s="302">
        <f t="shared" si="183"/>
        <v>-0.98857824615254364</v>
      </c>
      <c r="AM192" s="302">
        <f t="shared" si="184"/>
        <v>-0.97175617265031344</v>
      </c>
      <c r="AN192" s="302">
        <f t="shared" si="185"/>
        <v>-0.95307925806883098</v>
      </c>
      <c r="AO192" s="302">
        <f t="shared" si="186"/>
        <v>-0.93625718456660079</v>
      </c>
      <c r="AP192" s="302">
        <f t="shared" si="187"/>
        <v>-0.91613358622101215</v>
      </c>
      <c r="AQ192" s="302">
        <f t="shared" si="188"/>
        <v>-0.89486697839287799</v>
      </c>
      <c r="AR192" s="302">
        <f t="shared" si="189"/>
        <v>-0.87474338004728935</v>
      </c>
      <c r="AS192" s="302">
        <f t="shared" si="190"/>
        <v>-0.85077388400016152</v>
      </c>
      <c r="AT192" s="302">
        <f t="shared" si="191"/>
        <v>-0.82690947198536191</v>
      </c>
      <c r="AU192" s="302">
        <f t="shared" si="192"/>
        <v>-0.80293997593823407</v>
      </c>
      <c r="AV192" s="302">
        <f t="shared" si="193"/>
        <v>-0.77453579281086338</v>
      </c>
      <c r="AW192" s="302">
        <f t="shared" si="194"/>
        <v>-0.74822130915742591</v>
      </c>
      <c r="AX192" s="302">
        <f t="shared" si="195"/>
        <v>-0.71981712603005521</v>
      </c>
      <c r="AY192" s="302">
        <f t="shared" si="196"/>
        <v>-0.68636185598548738</v>
      </c>
      <c r="AZ192" s="302">
        <f t="shared" si="197"/>
        <v>-0.65794979487095473</v>
      </c>
      <c r="BA192" s="302">
        <f t="shared" si="198"/>
        <v>-0.6244945248263869</v>
      </c>
      <c r="BB192" s="302">
        <f t="shared" si="199"/>
        <v>-0.58891707462609633</v>
      </c>
      <c r="BC192" s="302">
        <f t="shared" si="200"/>
        <v>-0.5554618045815285</v>
      </c>
      <c r="BD192" s="302">
        <f t="shared" si="201"/>
        <v>1.7981281798812556</v>
      </c>
      <c r="BE192" s="302">
        <f t="shared" si="202"/>
        <v>1.8675632254402517</v>
      </c>
      <c r="BF192" s="302">
        <f t="shared" si="203"/>
        <v>1.9345927782572592</v>
      </c>
      <c r="BG192" s="302">
        <f t="shared" si="204"/>
        <v>1.9944326705684097</v>
      </c>
      <c r="BH192" s="302">
        <f t="shared" si="205"/>
        <v>2.0471762587747966</v>
      </c>
      <c r="BI192" s="302">
        <f t="shared" si="206"/>
        <v>2.097097846432241</v>
      </c>
      <c r="BJ192" s="302">
        <f t="shared" si="207"/>
        <v>2.1430659813611852</v>
      </c>
      <c r="BK192" s="302">
        <f t="shared" si="208"/>
        <v>2.1827374013013046</v>
      </c>
      <c r="BL192" s="302">
        <f t="shared" si="209"/>
        <v>2.217861191012477</v>
      </c>
      <c r="BM192" s="302">
        <f t="shared" si="210"/>
        <v>2.2518091907881077</v>
      </c>
      <c r="BN192" s="302">
        <f t="shared" si="211"/>
        <v>2.2806492300327776</v>
      </c>
      <c r="BO192" s="303">
        <f t="shared" si="212"/>
        <v>2.3049990601275314</v>
      </c>
      <c r="BP192" s="223"/>
    </row>
    <row r="193" spans="2:190" ht="42" customHeight="1">
      <c r="C193" s="426"/>
      <c r="D193" s="425"/>
      <c r="E193" s="445">
        <v>-0.95</v>
      </c>
      <c r="F193" s="444">
        <f t="shared" si="213"/>
        <v>-1.196450392891073</v>
      </c>
      <c r="G193" s="449">
        <f t="shared" si="151"/>
        <v>-1.2232251964455365</v>
      </c>
      <c r="H193" s="449">
        <f t="shared" si="214"/>
        <v>-1.2174002487299871</v>
      </c>
      <c r="I193" s="302">
        <f t="shared" si="154"/>
        <v>-1.2174002487299871</v>
      </c>
      <c r="J193" s="302">
        <f t="shared" si="155"/>
        <v>-1.2119658292260205</v>
      </c>
      <c r="K193" s="302">
        <f t="shared" si="156"/>
        <v>-1.210335260386618</v>
      </c>
      <c r="L193" s="302">
        <f t="shared" si="157"/>
        <v>-1.2064776566200042</v>
      </c>
      <c r="M193" s="302">
        <f t="shared" si="158"/>
        <v>-1.2036662861671514</v>
      </c>
      <c r="N193" s="302">
        <f t="shared" si="159"/>
        <v>-1.200652708904455</v>
      </c>
      <c r="O193" s="302">
        <f t="shared" si="160"/>
        <v>-1.1969851298059044</v>
      </c>
      <c r="P193" s="302">
        <f t="shared" si="161"/>
        <v>-1.1935877205610859</v>
      </c>
      <c r="Q193" s="302">
        <f t="shared" si="162"/>
        <v>-1.1899201414625353</v>
      </c>
      <c r="R193" s="302">
        <f t="shared" si="163"/>
        <v>-1.1854601429585832</v>
      </c>
      <c r="S193" s="302">
        <f t="shared" si="164"/>
        <v>-1.1813641089329212</v>
      </c>
      <c r="T193" s="302">
        <f t="shared" si="165"/>
        <v>-1.1769041104289695</v>
      </c>
      <c r="U193" s="302">
        <f t="shared" si="166"/>
        <v>-1.171485671793997</v>
      </c>
      <c r="V193" s="302">
        <f t="shared" si="167"/>
        <v>-1.1665613579964762</v>
      </c>
      <c r="W193" s="302">
        <f t="shared" si="168"/>
        <v>-1.1611429193615042</v>
      </c>
      <c r="X193" s="302">
        <f t="shared" si="169"/>
        <v>-1.1545677259808094</v>
      </c>
      <c r="Y193" s="302">
        <f t="shared" si="170"/>
        <v>-1.1486680430117904</v>
      </c>
      <c r="Z193" s="302">
        <f t="shared" si="171"/>
        <v>-1.1420928496310956</v>
      </c>
      <c r="AA193" s="302">
        <f t="shared" si="172"/>
        <v>-1.134125202790524</v>
      </c>
      <c r="AB193" s="302">
        <f t="shared" si="173"/>
        <v>-1.1270865223491182</v>
      </c>
      <c r="AC193" s="302">
        <f t="shared" si="174"/>
        <v>-1.1191188755085468</v>
      </c>
      <c r="AD193" s="302">
        <f t="shared" si="175"/>
        <v>-1.1094803827050965</v>
      </c>
      <c r="AE193" s="302">
        <f t="shared" si="176"/>
        <v>-1.1011253935450087</v>
      </c>
      <c r="AF193" s="302">
        <f t="shared" si="177"/>
        <v>-1.0914869007415589</v>
      </c>
      <c r="AG193" s="302">
        <f t="shared" si="178"/>
        <v>-1.0798512643518878</v>
      </c>
      <c r="AH193" s="302">
        <f t="shared" si="179"/>
        <v>-1.0699946933399698</v>
      </c>
      <c r="AI193" s="302">
        <f t="shared" si="180"/>
        <v>-1.058359056950299</v>
      </c>
      <c r="AJ193" s="302">
        <f t="shared" si="181"/>
        <v>-1.0444413987771153</v>
      </c>
      <c r="AK193" s="302">
        <f t="shared" si="182"/>
        <v>-1.0328057623874445</v>
      </c>
      <c r="AL193" s="302">
        <f t="shared" si="183"/>
        <v>-1.0187941771993172</v>
      </c>
      <c r="AM193" s="302">
        <f t="shared" si="184"/>
        <v>-1.0025898313406709</v>
      </c>
      <c r="AN193" s="302">
        <f t="shared" si="185"/>
        <v>-0.98857824615254364</v>
      </c>
      <c r="AO193" s="302">
        <f t="shared" si="186"/>
        <v>-0.97175617265031344</v>
      </c>
      <c r="AP193" s="302">
        <f t="shared" si="187"/>
        <v>-0.95307925806883098</v>
      </c>
      <c r="AQ193" s="302">
        <f t="shared" si="188"/>
        <v>-0.93625718456660079</v>
      </c>
      <c r="AR193" s="302">
        <f t="shared" si="189"/>
        <v>-0.91613358622101215</v>
      </c>
      <c r="AS193" s="302">
        <f t="shared" si="190"/>
        <v>-0.89486697839287799</v>
      </c>
      <c r="AT193" s="302">
        <f t="shared" si="191"/>
        <v>-0.87474338004728935</v>
      </c>
      <c r="AU193" s="302">
        <f t="shared" si="192"/>
        <v>-0.85077388400016152</v>
      </c>
      <c r="AV193" s="302">
        <f t="shared" si="193"/>
        <v>-0.82690947198536191</v>
      </c>
      <c r="AW193" s="302">
        <f t="shared" si="194"/>
        <v>-0.80293997593823407</v>
      </c>
      <c r="AX193" s="302">
        <f t="shared" si="195"/>
        <v>-0.77453579281086338</v>
      </c>
      <c r="AY193" s="302">
        <f t="shared" si="196"/>
        <v>-0.74822130915742591</v>
      </c>
      <c r="AZ193" s="302">
        <f t="shared" si="197"/>
        <v>-0.71981712603005521</v>
      </c>
      <c r="BA193" s="302">
        <f t="shared" si="198"/>
        <v>-0.68636185598548738</v>
      </c>
      <c r="BB193" s="302">
        <f t="shared" si="199"/>
        <v>-0.65794979487095473</v>
      </c>
      <c r="BC193" s="302">
        <f t="shared" si="200"/>
        <v>-0.6244945248263869</v>
      </c>
      <c r="BD193" s="302">
        <f t="shared" si="201"/>
        <v>-0.58891707462609633</v>
      </c>
      <c r="BE193" s="302">
        <f t="shared" si="202"/>
        <v>1.8355938590733318</v>
      </c>
      <c r="BF193" s="302">
        <f t="shared" si="203"/>
        <v>1.9026234118903393</v>
      </c>
      <c r="BG193" s="302">
        <f t="shared" si="204"/>
        <v>1.9624633042014898</v>
      </c>
      <c r="BH193" s="302">
        <f t="shared" si="205"/>
        <v>2.021526032904271</v>
      </c>
      <c r="BI193" s="302">
        <f t="shared" si="206"/>
        <v>2.0742696211106582</v>
      </c>
      <c r="BJ193" s="302">
        <f t="shared" si="207"/>
        <v>2.120237756039602</v>
      </c>
      <c r="BK193" s="302">
        <f t="shared" si="208"/>
        <v>2.1622066650461429</v>
      </c>
      <c r="BL193" s="302">
        <f t="shared" si="209"/>
        <v>2.2018780849862623</v>
      </c>
      <c r="BM193" s="302">
        <f t="shared" si="210"/>
        <v>2.2358260847618929</v>
      </c>
      <c r="BN193" s="302">
        <f t="shared" si="211"/>
        <v>2.2651099597173001</v>
      </c>
      <c r="BO193" s="303">
        <f t="shared" si="212"/>
        <v>2.2939499989619696</v>
      </c>
      <c r="BP193" s="223"/>
    </row>
    <row r="194" spans="2:190" ht="42" customHeight="1">
      <c r="C194" s="426"/>
      <c r="D194" s="425"/>
      <c r="E194" s="443">
        <v>-1</v>
      </c>
      <c r="F194" s="444">
        <f t="shared" si="213"/>
        <v>-1.2060435082083414</v>
      </c>
      <c r="G194" s="449">
        <f t="shared" si="151"/>
        <v>-1.2280217541041707</v>
      </c>
      <c r="H194" s="449">
        <f t="shared" si="214"/>
        <v>-1.2232251964455365</v>
      </c>
      <c r="I194" s="302">
        <f t="shared" si="154"/>
        <v>-1.2232251964455365</v>
      </c>
      <c r="J194" s="302">
        <f t="shared" si="155"/>
        <v>-1.2174002487299871</v>
      </c>
      <c r="K194" s="302">
        <f t="shared" si="156"/>
        <v>-1.2174002487299871</v>
      </c>
      <c r="L194" s="302">
        <f t="shared" si="157"/>
        <v>-1.2119658292260205</v>
      </c>
      <c r="M194" s="302">
        <f t="shared" si="158"/>
        <v>-1.210335260386618</v>
      </c>
      <c r="N194" s="302">
        <f t="shared" si="159"/>
        <v>-1.2064776566200042</v>
      </c>
      <c r="O194" s="302">
        <f t="shared" si="160"/>
        <v>-1.2036662861671514</v>
      </c>
      <c r="P194" s="302">
        <f t="shared" si="161"/>
        <v>-1.200652708904455</v>
      </c>
      <c r="Q194" s="302">
        <f t="shared" si="162"/>
        <v>-1.1969851298059044</v>
      </c>
      <c r="R194" s="302">
        <f t="shared" si="163"/>
        <v>-1.1935877205610859</v>
      </c>
      <c r="S194" s="302">
        <f t="shared" si="164"/>
        <v>-1.1899201414625353</v>
      </c>
      <c r="T194" s="302">
        <f t="shared" si="165"/>
        <v>-1.1854601429585832</v>
      </c>
      <c r="U194" s="302">
        <f t="shared" si="166"/>
        <v>-1.1813641089329212</v>
      </c>
      <c r="V194" s="302">
        <f t="shared" si="167"/>
        <v>-1.1769041104289695</v>
      </c>
      <c r="W194" s="302">
        <f t="shared" si="168"/>
        <v>-1.171485671793997</v>
      </c>
      <c r="X194" s="302">
        <f t="shared" si="169"/>
        <v>-1.1665613579964762</v>
      </c>
      <c r="Y194" s="302">
        <f t="shared" si="170"/>
        <v>-1.1611429193615042</v>
      </c>
      <c r="Z194" s="302">
        <f t="shared" si="171"/>
        <v>-1.1545677259808094</v>
      </c>
      <c r="AA194" s="302">
        <f t="shared" si="172"/>
        <v>-1.1486680430117904</v>
      </c>
      <c r="AB194" s="302">
        <f t="shared" si="173"/>
        <v>-1.1420928496310956</v>
      </c>
      <c r="AC194" s="302">
        <f t="shared" si="174"/>
        <v>-1.134125202790524</v>
      </c>
      <c r="AD194" s="302">
        <f t="shared" si="175"/>
        <v>-1.1270865223491182</v>
      </c>
      <c r="AE194" s="302">
        <f t="shared" si="176"/>
        <v>-1.1191188755085468</v>
      </c>
      <c r="AF194" s="302">
        <f t="shared" si="177"/>
        <v>-1.1094803827050965</v>
      </c>
      <c r="AG194" s="302">
        <f t="shared" si="178"/>
        <v>-1.1011253935450087</v>
      </c>
      <c r="AH194" s="302">
        <f t="shared" si="179"/>
        <v>-1.0914869007415589</v>
      </c>
      <c r="AI194" s="302">
        <f t="shared" si="180"/>
        <v>-1.0798512643518878</v>
      </c>
      <c r="AJ194" s="302">
        <f t="shared" si="181"/>
        <v>-1.0699946933399698</v>
      </c>
      <c r="AK194" s="302">
        <f t="shared" si="182"/>
        <v>-1.058359056950299</v>
      </c>
      <c r="AL194" s="302">
        <f t="shared" si="183"/>
        <v>-1.0444413987771153</v>
      </c>
      <c r="AM194" s="302">
        <f t="shared" si="184"/>
        <v>-1.0328057623874445</v>
      </c>
      <c r="AN194" s="302">
        <f t="shared" si="185"/>
        <v>-1.0187941771993172</v>
      </c>
      <c r="AO194" s="302">
        <f t="shared" si="186"/>
        <v>-1.0025898313406709</v>
      </c>
      <c r="AP194" s="302">
        <f t="shared" si="187"/>
        <v>-0.98857824615254364</v>
      </c>
      <c r="AQ194" s="302">
        <f t="shared" si="188"/>
        <v>-0.97175617265031344</v>
      </c>
      <c r="AR194" s="302">
        <f t="shared" si="189"/>
        <v>-0.95307925806883098</v>
      </c>
      <c r="AS194" s="302">
        <f t="shared" si="190"/>
        <v>-0.93625718456660079</v>
      </c>
      <c r="AT194" s="302">
        <f t="shared" si="191"/>
        <v>-0.91613358622101215</v>
      </c>
      <c r="AU194" s="302">
        <f t="shared" si="192"/>
        <v>-0.89486697839287799</v>
      </c>
      <c r="AV194" s="302">
        <f t="shared" si="193"/>
        <v>-0.87474338004728935</v>
      </c>
      <c r="AW194" s="302">
        <f t="shared" si="194"/>
        <v>-0.85077388400016152</v>
      </c>
      <c r="AX194" s="302">
        <f t="shared" si="195"/>
        <v>-0.82690947198536191</v>
      </c>
      <c r="AY194" s="302">
        <f t="shared" si="196"/>
        <v>-0.80293997593823407</v>
      </c>
      <c r="AZ194" s="302">
        <f t="shared" si="197"/>
        <v>-0.77453579281086338</v>
      </c>
      <c r="BA194" s="302">
        <f t="shared" si="198"/>
        <v>-0.74822130915742591</v>
      </c>
      <c r="BB194" s="302">
        <f t="shared" si="199"/>
        <v>-0.71981712603005521</v>
      </c>
      <c r="BC194" s="302">
        <f t="shared" si="200"/>
        <v>-0.68636185598548738</v>
      </c>
      <c r="BD194" s="302">
        <f t="shared" si="201"/>
        <v>-0.65794979487095473</v>
      </c>
      <c r="BE194" s="302">
        <f t="shared" si="202"/>
        <v>-0.6244945248263869</v>
      </c>
      <c r="BF194" s="302">
        <f t="shared" si="203"/>
        <v>1.8675632254402517</v>
      </c>
      <c r="BG194" s="302">
        <f t="shared" si="204"/>
        <v>1.9345927782572592</v>
      </c>
      <c r="BH194" s="302">
        <f t="shared" si="205"/>
        <v>1.9944326705684097</v>
      </c>
      <c r="BI194" s="302">
        <f t="shared" si="206"/>
        <v>2.0471762587747966</v>
      </c>
      <c r="BJ194" s="302">
        <f t="shared" si="207"/>
        <v>2.097097846432241</v>
      </c>
      <c r="BK194" s="302">
        <f t="shared" si="208"/>
        <v>2.1430659813611852</v>
      </c>
      <c r="BL194" s="302">
        <f t="shared" si="209"/>
        <v>2.1827374013013046</v>
      </c>
      <c r="BM194" s="302">
        <f t="shared" si="210"/>
        <v>2.217861191012477</v>
      </c>
      <c r="BN194" s="302">
        <f t="shared" si="211"/>
        <v>2.2518091907881077</v>
      </c>
      <c r="BO194" s="303">
        <f t="shared" si="212"/>
        <v>2.2806492300327776</v>
      </c>
      <c r="BP194" s="223"/>
    </row>
    <row r="195" spans="2:190" ht="42" customHeight="1">
      <c r="C195" s="426"/>
      <c r="D195" s="425"/>
      <c r="E195" s="445">
        <v>-1.05</v>
      </c>
      <c r="F195" s="444">
        <f t="shared" si="213"/>
        <v>-1.2139348374985799</v>
      </c>
      <c r="G195" s="449">
        <f t="shared" si="151"/>
        <v>-1.2319674187492899</v>
      </c>
      <c r="H195" s="449">
        <f t="shared" si="214"/>
        <v>-1.2280217541041707</v>
      </c>
      <c r="I195" s="302">
        <f t="shared" si="154"/>
        <v>-1.2280217541041707</v>
      </c>
      <c r="J195" s="302">
        <f t="shared" si="155"/>
        <v>-1.2232251964455365</v>
      </c>
      <c r="K195" s="302">
        <f t="shared" si="156"/>
        <v>-1.2232251964455365</v>
      </c>
      <c r="L195" s="302">
        <f t="shared" si="157"/>
        <v>-1.2174002487299871</v>
      </c>
      <c r="M195" s="302">
        <f t="shared" si="158"/>
        <v>-1.2174002487299871</v>
      </c>
      <c r="N195" s="302">
        <f t="shared" si="159"/>
        <v>-1.2119658292260205</v>
      </c>
      <c r="O195" s="302">
        <f t="shared" si="160"/>
        <v>-1.210335260386618</v>
      </c>
      <c r="P195" s="302">
        <f t="shared" si="161"/>
        <v>-1.2064776566200042</v>
      </c>
      <c r="Q195" s="302">
        <f t="shared" si="162"/>
        <v>-1.2036662861671514</v>
      </c>
      <c r="R195" s="302">
        <f t="shared" si="163"/>
        <v>-1.200652708904455</v>
      </c>
      <c r="S195" s="302">
        <f t="shared" si="164"/>
        <v>-1.1969851298059044</v>
      </c>
      <c r="T195" s="302">
        <f t="shared" si="165"/>
        <v>-1.1935877205610859</v>
      </c>
      <c r="U195" s="302">
        <f t="shared" si="166"/>
        <v>-1.1899201414625353</v>
      </c>
      <c r="V195" s="302">
        <f t="shared" si="167"/>
        <v>-1.1854601429585832</v>
      </c>
      <c r="W195" s="302">
        <f t="shared" si="168"/>
        <v>-1.1813641089329212</v>
      </c>
      <c r="X195" s="302">
        <f t="shared" si="169"/>
        <v>-1.1769041104289695</v>
      </c>
      <c r="Y195" s="302">
        <f t="shared" si="170"/>
        <v>-1.171485671793997</v>
      </c>
      <c r="Z195" s="302">
        <f t="shared" si="171"/>
        <v>-1.1665613579964762</v>
      </c>
      <c r="AA195" s="302">
        <f t="shared" si="172"/>
        <v>-1.1611429193615042</v>
      </c>
      <c r="AB195" s="302">
        <f t="shared" si="173"/>
        <v>-1.1545677259808094</v>
      </c>
      <c r="AC195" s="302">
        <f t="shared" si="174"/>
        <v>-1.1486680430117904</v>
      </c>
      <c r="AD195" s="302">
        <f t="shared" si="175"/>
        <v>-1.1420928496310956</v>
      </c>
      <c r="AE195" s="302">
        <f t="shared" si="176"/>
        <v>-1.134125202790524</v>
      </c>
      <c r="AF195" s="302">
        <f t="shared" si="177"/>
        <v>-1.1270865223491182</v>
      </c>
      <c r="AG195" s="302">
        <f t="shared" si="178"/>
        <v>-1.1191188755085468</v>
      </c>
      <c r="AH195" s="302">
        <f t="shared" si="179"/>
        <v>-1.1094803827050965</v>
      </c>
      <c r="AI195" s="302">
        <f t="shared" si="180"/>
        <v>-1.1011253935450087</v>
      </c>
      <c r="AJ195" s="302">
        <f t="shared" si="181"/>
        <v>-1.0914869007415589</v>
      </c>
      <c r="AK195" s="302">
        <f t="shared" si="182"/>
        <v>-1.0798512643518878</v>
      </c>
      <c r="AL195" s="302">
        <f t="shared" si="183"/>
        <v>-1.0699946933399698</v>
      </c>
      <c r="AM195" s="302">
        <f t="shared" si="184"/>
        <v>-1.058359056950299</v>
      </c>
      <c r="AN195" s="302">
        <f t="shared" si="185"/>
        <v>-1.0444413987771153</v>
      </c>
      <c r="AO195" s="302">
        <f t="shared" si="186"/>
        <v>-1.0328057623874445</v>
      </c>
      <c r="AP195" s="302">
        <f t="shared" si="187"/>
        <v>-1.0187941771993172</v>
      </c>
      <c r="AQ195" s="302">
        <f t="shared" si="188"/>
        <v>-1.0025898313406709</v>
      </c>
      <c r="AR195" s="302">
        <f t="shared" si="189"/>
        <v>-0.98857824615254364</v>
      </c>
      <c r="AS195" s="302">
        <f t="shared" si="190"/>
        <v>-0.97175617265031344</v>
      </c>
      <c r="AT195" s="302">
        <f t="shared" si="191"/>
        <v>-0.95307925806883098</v>
      </c>
      <c r="AU195" s="302">
        <f t="shared" si="192"/>
        <v>-0.93625718456660079</v>
      </c>
      <c r="AV195" s="302">
        <f t="shared" si="193"/>
        <v>-0.91613358622101215</v>
      </c>
      <c r="AW195" s="302">
        <f t="shared" si="194"/>
        <v>-0.89486697839287799</v>
      </c>
      <c r="AX195" s="302">
        <f t="shared" si="195"/>
        <v>-0.87474338004728935</v>
      </c>
      <c r="AY195" s="302">
        <f t="shared" si="196"/>
        <v>-0.85077388400016152</v>
      </c>
      <c r="AZ195" s="302">
        <f t="shared" si="197"/>
        <v>-0.82690947198536191</v>
      </c>
      <c r="BA195" s="302">
        <f t="shared" si="198"/>
        <v>-0.80293997593823407</v>
      </c>
      <c r="BB195" s="302">
        <f t="shared" si="199"/>
        <v>-0.77453579281086338</v>
      </c>
      <c r="BC195" s="302">
        <f t="shared" si="200"/>
        <v>-0.74822130915742591</v>
      </c>
      <c r="BD195" s="302">
        <f t="shared" si="201"/>
        <v>-0.71981712603005521</v>
      </c>
      <c r="BE195" s="302">
        <f t="shared" si="202"/>
        <v>-0.68636185598548738</v>
      </c>
      <c r="BF195" s="302">
        <f t="shared" si="203"/>
        <v>-0.65794979487095473</v>
      </c>
      <c r="BG195" s="302">
        <f t="shared" si="204"/>
        <v>1.9026234118903393</v>
      </c>
      <c r="BH195" s="302">
        <f t="shared" si="205"/>
        <v>1.9624633042014898</v>
      </c>
      <c r="BI195" s="302">
        <f t="shared" si="206"/>
        <v>2.021526032904271</v>
      </c>
      <c r="BJ195" s="302">
        <f t="shared" si="207"/>
        <v>2.0742696211106582</v>
      </c>
      <c r="BK195" s="302">
        <f t="shared" si="208"/>
        <v>2.120237756039602</v>
      </c>
      <c r="BL195" s="302">
        <f t="shared" si="209"/>
        <v>2.1622066650461429</v>
      </c>
      <c r="BM195" s="302">
        <f t="shared" si="210"/>
        <v>2.2018780849862623</v>
      </c>
      <c r="BN195" s="302">
        <f t="shared" si="211"/>
        <v>2.2358260847618929</v>
      </c>
      <c r="BO195" s="303">
        <f t="shared" si="212"/>
        <v>2.2651099597173001</v>
      </c>
      <c r="BP195" s="223"/>
    </row>
    <row r="196" spans="2:190" ht="42" customHeight="1">
      <c r="C196" s="426"/>
      <c r="D196" s="425"/>
      <c r="E196" s="443">
        <v>-1.1000000000000001</v>
      </c>
      <c r="F196" s="444">
        <f t="shared" si="213"/>
        <v>-1.2204207758596843</v>
      </c>
      <c r="G196" s="449">
        <f t="shared" si="151"/>
        <v>-1.2352103879298422</v>
      </c>
      <c r="H196" s="449">
        <f t="shared" si="214"/>
        <v>-1.2319674187492899</v>
      </c>
      <c r="I196" s="302">
        <f t="shared" si="154"/>
        <v>-1.2319674187492899</v>
      </c>
      <c r="J196" s="302">
        <f t="shared" si="155"/>
        <v>-1.2280217541041707</v>
      </c>
      <c r="K196" s="302">
        <f t="shared" si="156"/>
        <v>-1.2280217541041707</v>
      </c>
      <c r="L196" s="302">
        <f t="shared" si="157"/>
        <v>-1.2232251964455365</v>
      </c>
      <c r="M196" s="302">
        <f t="shared" si="158"/>
        <v>-1.2232251964455365</v>
      </c>
      <c r="N196" s="302">
        <f t="shared" si="159"/>
        <v>-1.2174002487299871</v>
      </c>
      <c r="O196" s="302">
        <f t="shared" si="160"/>
        <v>-1.2174002487299871</v>
      </c>
      <c r="P196" s="302">
        <f t="shared" si="161"/>
        <v>-1.2119658292260205</v>
      </c>
      <c r="Q196" s="302">
        <f t="shared" si="162"/>
        <v>-1.210335260386618</v>
      </c>
      <c r="R196" s="302">
        <f t="shared" si="163"/>
        <v>-1.2064776566200042</v>
      </c>
      <c r="S196" s="302">
        <f t="shared" si="164"/>
        <v>-1.2036662861671514</v>
      </c>
      <c r="T196" s="302">
        <f t="shared" si="165"/>
        <v>-1.200652708904455</v>
      </c>
      <c r="U196" s="302">
        <f t="shared" si="166"/>
        <v>-1.1969851298059044</v>
      </c>
      <c r="V196" s="302">
        <f t="shared" si="167"/>
        <v>-1.1935877205610859</v>
      </c>
      <c r="W196" s="302">
        <f t="shared" si="168"/>
        <v>-1.1899201414625353</v>
      </c>
      <c r="X196" s="302">
        <f t="shared" si="169"/>
        <v>-1.1854601429585832</v>
      </c>
      <c r="Y196" s="302">
        <f t="shared" si="170"/>
        <v>-1.1813641089329212</v>
      </c>
      <c r="Z196" s="302">
        <f t="shared" si="171"/>
        <v>-1.1769041104289695</v>
      </c>
      <c r="AA196" s="302">
        <f t="shared" si="172"/>
        <v>-1.171485671793997</v>
      </c>
      <c r="AB196" s="302">
        <f t="shared" si="173"/>
        <v>-1.1665613579964762</v>
      </c>
      <c r="AC196" s="302">
        <f t="shared" si="174"/>
        <v>-1.1611429193615042</v>
      </c>
      <c r="AD196" s="302">
        <f t="shared" si="175"/>
        <v>-1.1545677259808094</v>
      </c>
      <c r="AE196" s="302">
        <f t="shared" si="176"/>
        <v>-1.1486680430117904</v>
      </c>
      <c r="AF196" s="302">
        <f t="shared" si="177"/>
        <v>-1.1420928496310956</v>
      </c>
      <c r="AG196" s="302">
        <f t="shared" si="178"/>
        <v>-1.134125202790524</v>
      </c>
      <c r="AH196" s="302">
        <f t="shared" si="179"/>
        <v>-1.1270865223491182</v>
      </c>
      <c r="AI196" s="302">
        <f t="shared" si="180"/>
        <v>-1.1191188755085468</v>
      </c>
      <c r="AJ196" s="302">
        <f t="shared" si="181"/>
        <v>-1.1094803827050965</v>
      </c>
      <c r="AK196" s="302">
        <f t="shared" si="182"/>
        <v>-1.1011253935450087</v>
      </c>
      <c r="AL196" s="302">
        <f t="shared" si="183"/>
        <v>-1.0914869007415589</v>
      </c>
      <c r="AM196" s="302">
        <f t="shared" si="184"/>
        <v>-1.0798512643518878</v>
      </c>
      <c r="AN196" s="302">
        <f t="shared" si="185"/>
        <v>-1.0699946933399698</v>
      </c>
      <c r="AO196" s="302">
        <f t="shared" si="186"/>
        <v>-1.058359056950299</v>
      </c>
      <c r="AP196" s="302">
        <f t="shared" si="187"/>
        <v>-1.0444413987771153</v>
      </c>
      <c r="AQ196" s="302">
        <f t="shared" si="188"/>
        <v>-1.0328057623874445</v>
      </c>
      <c r="AR196" s="302">
        <f t="shared" si="189"/>
        <v>-1.0187941771993172</v>
      </c>
      <c r="AS196" s="302">
        <f t="shared" si="190"/>
        <v>-1.0025898313406709</v>
      </c>
      <c r="AT196" s="302">
        <f t="shared" si="191"/>
        <v>-0.98857824615254364</v>
      </c>
      <c r="AU196" s="302">
        <f t="shared" si="192"/>
        <v>-0.97175617265031344</v>
      </c>
      <c r="AV196" s="302">
        <f t="shared" si="193"/>
        <v>-0.95307925806883098</v>
      </c>
      <c r="AW196" s="302">
        <f t="shared" si="194"/>
        <v>-0.93625718456660079</v>
      </c>
      <c r="AX196" s="302">
        <f t="shared" si="195"/>
        <v>-0.91613358622101215</v>
      </c>
      <c r="AY196" s="302">
        <f t="shared" si="196"/>
        <v>-0.89486697839287799</v>
      </c>
      <c r="AZ196" s="302">
        <f t="shared" si="197"/>
        <v>-0.87474338004728935</v>
      </c>
      <c r="BA196" s="302">
        <f t="shared" si="198"/>
        <v>-0.85077388400016152</v>
      </c>
      <c r="BB196" s="302">
        <f t="shared" si="199"/>
        <v>-0.82690947198536191</v>
      </c>
      <c r="BC196" s="302">
        <f t="shared" si="200"/>
        <v>-0.80293997593823407</v>
      </c>
      <c r="BD196" s="302">
        <f t="shared" si="201"/>
        <v>-0.77453579281086338</v>
      </c>
      <c r="BE196" s="302">
        <f t="shared" si="202"/>
        <v>-0.74822130915742591</v>
      </c>
      <c r="BF196" s="302">
        <f t="shared" si="203"/>
        <v>-0.71981712603005521</v>
      </c>
      <c r="BG196" s="302">
        <f t="shared" si="204"/>
        <v>-0.68636185598548738</v>
      </c>
      <c r="BH196" s="302">
        <f t="shared" si="205"/>
        <v>1.9345927782572592</v>
      </c>
      <c r="BI196" s="302">
        <f t="shared" si="206"/>
        <v>1.9944326705684097</v>
      </c>
      <c r="BJ196" s="302">
        <f t="shared" si="207"/>
        <v>2.0471762587747966</v>
      </c>
      <c r="BK196" s="302">
        <f t="shared" si="208"/>
        <v>2.097097846432241</v>
      </c>
      <c r="BL196" s="302">
        <f t="shared" si="209"/>
        <v>2.1430659813611852</v>
      </c>
      <c r="BM196" s="302">
        <f t="shared" si="210"/>
        <v>2.1827374013013046</v>
      </c>
      <c r="BN196" s="302">
        <f t="shared" si="211"/>
        <v>2.217861191012477</v>
      </c>
      <c r="BO196" s="303">
        <f t="shared" si="212"/>
        <v>2.2518091907881077</v>
      </c>
      <c r="BP196" s="223"/>
    </row>
    <row r="197" spans="2:190" ht="42" customHeight="1">
      <c r="C197" s="426"/>
      <c r="D197" s="425"/>
      <c r="E197" s="445">
        <v>-1.1499999999999999</v>
      </c>
      <c r="F197" s="444">
        <f t="shared" si="213"/>
        <v>-1.2257479035494421</v>
      </c>
      <c r="G197" s="449">
        <f t="shared" si="151"/>
        <v>-1.237873951774721</v>
      </c>
      <c r="H197" s="449">
        <f t="shared" si="214"/>
        <v>-1.2352103879298422</v>
      </c>
      <c r="I197" s="302">
        <f t="shared" si="154"/>
        <v>-1.2352103879298422</v>
      </c>
      <c r="J197" s="302">
        <f t="shared" si="155"/>
        <v>-1.2319674187492899</v>
      </c>
      <c r="K197" s="302">
        <f t="shared" si="156"/>
        <v>-1.2319674187492899</v>
      </c>
      <c r="L197" s="302">
        <f t="shared" si="157"/>
        <v>-1.2280217541041707</v>
      </c>
      <c r="M197" s="302">
        <f t="shared" si="158"/>
        <v>-1.2280217541041707</v>
      </c>
      <c r="N197" s="302">
        <f t="shared" si="159"/>
        <v>-1.2232251964455365</v>
      </c>
      <c r="O197" s="302">
        <f t="shared" si="160"/>
        <v>-1.2232251964455365</v>
      </c>
      <c r="P197" s="302">
        <f t="shared" si="161"/>
        <v>-1.2174002487299871</v>
      </c>
      <c r="Q197" s="302">
        <f t="shared" si="162"/>
        <v>-1.2174002487299871</v>
      </c>
      <c r="R197" s="302">
        <f t="shared" si="163"/>
        <v>-1.2119658292260205</v>
      </c>
      <c r="S197" s="302">
        <f t="shared" si="164"/>
        <v>-1.210335260386618</v>
      </c>
      <c r="T197" s="302">
        <f t="shared" si="165"/>
        <v>-1.2064776566200042</v>
      </c>
      <c r="U197" s="302">
        <f t="shared" si="166"/>
        <v>-1.2036662861671514</v>
      </c>
      <c r="V197" s="302">
        <f t="shared" si="167"/>
        <v>-1.200652708904455</v>
      </c>
      <c r="W197" s="302">
        <f t="shared" si="168"/>
        <v>-1.1969851298059044</v>
      </c>
      <c r="X197" s="302">
        <f t="shared" si="169"/>
        <v>-1.1935877205610859</v>
      </c>
      <c r="Y197" s="302">
        <f t="shared" si="170"/>
        <v>-1.1899201414625353</v>
      </c>
      <c r="Z197" s="302">
        <f t="shared" si="171"/>
        <v>-1.1854601429585832</v>
      </c>
      <c r="AA197" s="302">
        <f t="shared" si="172"/>
        <v>-1.1813641089329212</v>
      </c>
      <c r="AB197" s="302">
        <f t="shared" si="173"/>
        <v>-1.1769041104289695</v>
      </c>
      <c r="AC197" s="302">
        <f t="shared" si="174"/>
        <v>-1.171485671793997</v>
      </c>
      <c r="AD197" s="302">
        <f t="shared" si="175"/>
        <v>-1.1665613579964762</v>
      </c>
      <c r="AE197" s="302">
        <f t="shared" si="176"/>
        <v>-1.1611429193615042</v>
      </c>
      <c r="AF197" s="302">
        <f t="shared" si="177"/>
        <v>-1.1545677259808094</v>
      </c>
      <c r="AG197" s="302">
        <f t="shared" si="178"/>
        <v>-1.1486680430117904</v>
      </c>
      <c r="AH197" s="302">
        <f t="shared" si="179"/>
        <v>-1.1420928496310956</v>
      </c>
      <c r="AI197" s="302">
        <f t="shared" si="180"/>
        <v>-1.134125202790524</v>
      </c>
      <c r="AJ197" s="302">
        <f t="shared" si="181"/>
        <v>-1.1270865223491182</v>
      </c>
      <c r="AK197" s="302">
        <f t="shared" si="182"/>
        <v>-1.1191188755085468</v>
      </c>
      <c r="AL197" s="302">
        <f t="shared" si="183"/>
        <v>-1.1094803827050965</v>
      </c>
      <c r="AM197" s="302">
        <f t="shared" si="184"/>
        <v>-1.1011253935450087</v>
      </c>
      <c r="AN197" s="302">
        <f t="shared" si="185"/>
        <v>-1.0914869007415589</v>
      </c>
      <c r="AO197" s="302">
        <f t="shared" si="186"/>
        <v>-1.0798512643518878</v>
      </c>
      <c r="AP197" s="302">
        <f t="shared" si="187"/>
        <v>-1.0699946933399698</v>
      </c>
      <c r="AQ197" s="302">
        <f t="shared" si="188"/>
        <v>-1.058359056950299</v>
      </c>
      <c r="AR197" s="302">
        <f t="shared" si="189"/>
        <v>-1.0444413987771153</v>
      </c>
      <c r="AS197" s="302">
        <f t="shared" si="190"/>
        <v>-1.0328057623874445</v>
      </c>
      <c r="AT197" s="302">
        <f t="shared" si="191"/>
        <v>-1.0187941771993172</v>
      </c>
      <c r="AU197" s="302">
        <f t="shared" si="192"/>
        <v>-1.0025898313406709</v>
      </c>
      <c r="AV197" s="302">
        <f t="shared" si="193"/>
        <v>-0.98857824615254364</v>
      </c>
      <c r="AW197" s="302">
        <f t="shared" si="194"/>
        <v>-0.97175617265031344</v>
      </c>
      <c r="AX197" s="302">
        <f t="shared" si="195"/>
        <v>-0.95307925806883098</v>
      </c>
      <c r="AY197" s="302">
        <f t="shared" si="196"/>
        <v>-0.93625718456660079</v>
      </c>
      <c r="AZ197" s="302">
        <f t="shared" si="197"/>
        <v>-0.91613358622101215</v>
      </c>
      <c r="BA197" s="302">
        <f t="shared" si="198"/>
        <v>-0.89486697839287799</v>
      </c>
      <c r="BB197" s="302">
        <f t="shared" si="199"/>
        <v>-0.87474338004728935</v>
      </c>
      <c r="BC197" s="302">
        <f t="shared" si="200"/>
        <v>-0.85077388400016152</v>
      </c>
      <c r="BD197" s="302">
        <f t="shared" si="201"/>
        <v>-0.82690947198536191</v>
      </c>
      <c r="BE197" s="302">
        <f t="shared" si="202"/>
        <v>-0.80293997593823407</v>
      </c>
      <c r="BF197" s="302">
        <f t="shared" si="203"/>
        <v>-0.77453579281086338</v>
      </c>
      <c r="BG197" s="302">
        <f t="shared" si="204"/>
        <v>-0.74822130915742591</v>
      </c>
      <c r="BH197" s="302">
        <f t="shared" si="205"/>
        <v>-0.71981712603005521</v>
      </c>
      <c r="BI197" s="302">
        <f t="shared" si="206"/>
        <v>1.9624633042014898</v>
      </c>
      <c r="BJ197" s="302">
        <f t="shared" si="207"/>
        <v>2.021526032904271</v>
      </c>
      <c r="BK197" s="302">
        <f t="shared" si="208"/>
        <v>2.0742696211106582</v>
      </c>
      <c r="BL197" s="302">
        <f t="shared" si="209"/>
        <v>2.120237756039602</v>
      </c>
      <c r="BM197" s="302">
        <f t="shared" si="210"/>
        <v>2.1622066650461429</v>
      </c>
      <c r="BN197" s="302">
        <f t="shared" si="211"/>
        <v>2.2018780849862623</v>
      </c>
      <c r="BO197" s="303">
        <f t="shared" si="212"/>
        <v>2.2358260847618929</v>
      </c>
      <c r="BP197" s="223"/>
    </row>
    <row r="198" spans="2:190" ht="42" customHeight="1">
      <c r="C198" s="426"/>
      <c r="D198" s="425"/>
      <c r="E198" s="443">
        <v>-1.2</v>
      </c>
      <c r="F198" s="444">
        <f t="shared" si="213"/>
        <v>-1.2301207581925278</v>
      </c>
      <c r="G198" s="449">
        <f t="shared" si="151"/>
        <v>-1.2400603790962639</v>
      </c>
      <c r="H198" s="449">
        <f t="shared" si="214"/>
        <v>-1.237873951774721</v>
      </c>
      <c r="I198" s="302">
        <f t="shared" si="154"/>
        <v>-1.237873951774721</v>
      </c>
      <c r="J198" s="302">
        <f t="shared" si="155"/>
        <v>-1.2352103879298422</v>
      </c>
      <c r="K198" s="302">
        <f t="shared" si="156"/>
        <v>-1.2352103879298422</v>
      </c>
      <c r="L198" s="302">
        <f t="shared" si="157"/>
        <v>-1.2319674187492899</v>
      </c>
      <c r="M198" s="302">
        <f t="shared" si="158"/>
        <v>-1.2319674187492899</v>
      </c>
      <c r="N198" s="302">
        <f t="shared" si="159"/>
        <v>-1.2280217541041707</v>
      </c>
      <c r="O198" s="302">
        <f t="shared" si="160"/>
        <v>-1.2280217541041707</v>
      </c>
      <c r="P198" s="302">
        <f t="shared" si="161"/>
        <v>-1.2232251964455365</v>
      </c>
      <c r="Q198" s="302">
        <f t="shared" si="162"/>
        <v>-1.2232251964455365</v>
      </c>
      <c r="R198" s="302">
        <f t="shared" si="163"/>
        <v>-1.2174002487299871</v>
      </c>
      <c r="S198" s="302">
        <f t="shared" si="164"/>
        <v>-1.2174002487299871</v>
      </c>
      <c r="T198" s="302">
        <f t="shared" si="165"/>
        <v>-1.2119658292260205</v>
      </c>
      <c r="U198" s="302">
        <f t="shared" si="166"/>
        <v>-1.210335260386618</v>
      </c>
      <c r="V198" s="302">
        <f t="shared" si="167"/>
        <v>-1.2064776566200042</v>
      </c>
      <c r="W198" s="302">
        <f t="shared" si="168"/>
        <v>-1.2036662861671514</v>
      </c>
      <c r="X198" s="302">
        <f t="shared" si="169"/>
        <v>-1.200652708904455</v>
      </c>
      <c r="Y198" s="302">
        <f t="shared" si="170"/>
        <v>-1.1969851298059044</v>
      </c>
      <c r="Z198" s="302">
        <f t="shared" si="171"/>
        <v>-1.1935877205610859</v>
      </c>
      <c r="AA198" s="302">
        <f t="shared" si="172"/>
        <v>-1.1899201414625353</v>
      </c>
      <c r="AB198" s="302">
        <f t="shared" si="173"/>
        <v>-1.1854601429585832</v>
      </c>
      <c r="AC198" s="302">
        <f t="shared" si="174"/>
        <v>-1.1813641089329212</v>
      </c>
      <c r="AD198" s="302">
        <f t="shared" si="175"/>
        <v>-1.1769041104289695</v>
      </c>
      <c r="AE198" s="302">
        <f t="shared" si="176"/>
        <v>-1.171485671793997</v>
      </c>
      <c r="AF198" s="302">
        <f t="shared" si="177"/>
        <v>-1.1665613579964762</v>
      </c>
      <c r="AG198" s="302">
        <f t="shared" si="178"/>
        <v>-1.1611429193615042</v>
      </c>
      <c r="AH198" s="302">
        <f t="shared" si="179"/>
        <v>-1.1545677259808094</v>
      </c>
      <c r="AI198" s="302">
        <f t="shared" si="180"/>
        <v>-1.1486680430117904</v>
      </c>
      <c r="AJ198" s="302">
        <f t="shared" si="181"/>
        <v>-1.1420928496310956</v>
      </c>
      <c r="AK198" s="302">
        <f t="shared" si="182"/>
        <v>-1.134125202790524</v>
      </c>
      <c r="AL198" s="302">
        <f t="shared" si="183"/>
        <v>-1.1270865223491182</v>
      </c>
      <c r="AM198" s="302">
        <f t="shared" si="184"/>
        <v>-1.1191188755085468</v>
      </c>
      <c r="AN198" s="302">
        <f t="shared" si="185"/>
        <v>-1.1094803827050965</v>
      </c>
      <c r="AO198" s="302">
        <f t="shared" si="186"/>
        <v>-1.1011253935450087</v>
      </c>
      <c r="AP198" s="302">
        <f t="shared" si="187"/>
        <v>-1.0914869007415589</v>
      </c>
      <c r="AQ198" s="302">
        <f t="shared" si="188"/>
        <v>-1.0798512643518878</v>
      </c>
      <c r="AR198" s="302">
        <f t="shared" si="189"/>
        <v>-1.0699946933399698</v>
      </c>
      <c r="AS198" s="302">
        <f t="shared" si="190"/>
        <v>-1.058359056950299</v>
      </c>
      <c r="AT198" s="302">
        <f t="shared" si="191"/>
        <v>-1.0444413987771153</v>
      </c>
      <c r="AU198" s="302">
        <f t="shared" si="192"/>
        <v>-1.0328057623874445</v>
      </c>
      <c r="AV198" s="302">
        <f t="shared" si="193"/>
        <v>-1.0187941771993172</v>
      </c>
      <c r="AW198" s="302">
        <f t="shared" si="194"/>
        <v>-1.0025898313406709</v>
      </c>
      <c r="AX198" s="302">
        <f t="shared" si="195"/>
        <v>-0.98857824615254364</v>
      </c>
      <c r="AY198" s="302">
        <f t="shared" si="196"/>
        <v>-0.97175617265031344</v>
      </c>
      <c r="AZ198" s="302">
        <f t="shared" si="197"/>
        <v>-0.95307925806883098</v>
      </c>
      <c r="BA198" s="302">
        <f t="shared" si="198"/>
        <v>-0.93625718456660079</v>
      </c>
      <c r="BB198" s="302">
        <f t="shared" si="199"/>
        <v>-0.91613358622101215</v>
      </c>
      <c r="BC198" s="302">
        <f t="shared" si="200"/>
        <v>-0.89486697839287799</v>
      </c>
      <c r="BD198" s="302">
        <f t="shared" si="201"/>
        <v>-0.87474338004728935</v>
      </c>
      <c r="BE198" s="302">
        <f t="shared" si="202"/>
        <v>-0.85077388400016152</v>
      </c>
      <c r="BF198" s="302">
        <f t="shared" si="203"/>
        <v>-0.82690947198536191</v>
      </c>
      <c r="BG198" s="302">
        <f t="shared" si="204"/>
        <v>-0.80293997593823407</v>
      </c>
      <c r="BH198" s="302">
        <f t="shared" si="205"/>
        <v>-0.77453579281086338</v>
      </c>
      <c r="BI198" s="302">
        <f t="shared" si="206"/>
        <v>-0.74822130915742591</v>
      </c>
      <c r="BJ198" s="302">
        <f t="shared" si="207"/>
        <v>1.9944326705684097</v>
      </c>
      <c r="BK198" s="302">
        <f t="shared" si="208"/>
        <v>2.0471762587747966</v>
      </c>
      <c r="BL198" s="302">
        <f t="shared" si="209"/>
        <v>2.097097846432241</v>
      </c>
      <c r="BM198" s="302">
        <f t="shared" si="210"/>
        <v>2.1430659813611852</v>
      </c>
      <c r="BN198" s="302">
        <f t="shared" si="211"/>
        <v>2.1827374013013046</v>
      </c>
      <c r="BO198" s="303">
        <f t="shared" si="212"/>
        <v>2.217861191012477</v>
      </c>
      <c r="BP198" s="223"/>
    </row>
    <row r="199" spans="2:190" ht="42" customHeight="1">
      <c r="C199" s="426"/>
      <c r="D199" s="425"/>
      <c r="E199" s="445">
        <v>-1.25</v>
      </c>
      <c r="F199" s="444">
        <f t="shared" si="213"/>
        <v>-1.2337085984544465</v>
      </c>
      <c r="G199" s="449">
        <f t="shared" si="151"/>
        <v>-1.2418542992272232</v>
      </c>
      <c r="H199" s="449">
        <f t="shared" si="214"/>
        <v>-1.2400603790962639</v>
      </c>
      <c r="I199" s="302">
        <f t="shared" si="154"/>
        <v>-1.2400603790962639</v>
      </c>
      <c r="J199" s="302">
        <f t="shared" si="155"/>
        <v>-1.237873951774721</v>
      </c>
      <c r="K199" s="302">
        <f t="shared" si="156"/>
        <v>-1.237873951774721</v>
      </c>
      <c r="L199" s="302">
        <f t="shared" si="157"/>
        <v>-1.2352103879298422</v>
      </c>
      <c r="M199" s="302">
        <f t="shared" si="158"/>
        <v>-1.2352103879298422</v>
      </c>
      <c r="N199" s="302">
        <f t="shared" si="159"/>
        <v>-1.2319674187492899</v>
      </c>
      <c r="O199" s="302">
        <f t="shared" si="160"/>
        <v>-1.2319674187492899</v>
      </c>
      <c r="P199" s="302">
        <f t="shared" si="161"/>
        <v>-1.2280217541041707</v>
      </c>
      <c r="Q199" s="302">
        <f t="shared" si="162"/>
        <v>-1.2280217541041707</v>
      </c>
      <c r="R199" s="302">
        <f t="shared" si="163"/>
        <v>-1.2232251964455365</v>
      </c>
      <c r="S199" s="302">
        <f t="shared" si="164"/>
        <v>-1.2232251964455365</v>
      </c>
      <c r="T199" s="302">
        <f t="shared" si="165"/>
        <v>-1.2174002487299871</v>
      </c>
      <c r="U199" s="302">
        <f t="shared" si="166"/>
        <v>-1.2174002487299871</v>
      </c>
      <c r="V199" s="302">
        <f t="shared" si="167"/>
        <v>-1.2119658292260205</v>
      </c>
      <c r="W199" s="302">
        <f t="shared" si="168"/>
        <v>-1.210335260386618</v>
      </c>
      <c r="X199" s="302">
        <f t="shared" si="169"/>
        <v>-1.2064776566200042</v>
      </c>
      <c r="Y199" s="302">
        <f t="shared" si="170"/>
        <v>-1.2036662861671514</v>
      </c>
      <c r="Z199" s="302">
        <f t="shared" si="171"/>
        <v>-1.200652708904455</v>
      </c>
      <c r="AA199" s="302">
        <f t="shared" si="172"/>
        <v>-1.1969851298059044</v>
      </c>
      <c r="AB199" s="302">
        <f t="shared" si="173"/>
        <v>-1.1935877205610859</v>
      </c>
      <c r="AC199" s="302">
        <f t="shared" si="174"/>
        <v>-1.1899201414625353</v>
      </c>
      <c r="AD199" s="302">
        <f t="shared" si="175"/>
        <v>-1.1854601429585832</v>
      </c>
      <c r="AE199" s="302">
        <f t="shared" si="176"/>
        <v>-1.1813641089329212</v>
      </c>
      <c r="AF199" s="302">
        <f t="shared" si="177"/>
        <v>-1.1769041104289695</v>
      </c>
      <c r="AG199" s="302">
        <f t="shared" si="178"/>
        <v>-1.171485671793997</v>
      </c>
      <c r="AH199" s="302">
        <f t="shared" si="179"/>
        <v>-1.1665613579964762</v>
      </c>
      <c r="AI199" s="302">
        <f t="shared" si="180"/>
        <v>-1.1611429193615042</v>
      </c>
      <c r="AJ199" s="302">
        <f t="shared" si="181"/>
        <v>-1.1545677259808094</v>
      </c>
      <c r="AK199" s="302">
        <f t="shared" si="182"/>
        <v>-1.1486680430117904</v>
      </c>
      <c r="AL199" s="302">
        <f t="shared" si="183"/>
        <v>-1.1420928496310956</v>
      </c>
      <c r="AM199" s="302">
        <f t="shared" si="184"/>
        <v>-1.134125202790524</v>
      </c>
      <c r="AN199" s="302">
        <f t="shared" si="185"/>
        <v>-1.1270865223491182</v>
      </c>
      <c r="AO199" s="302">
        <f t="shared" si="186"/>
        <v>-1.1191188755085468</v>
      </c>
      <c r="AP199" s="302">
        <f t="shared" si="187"/>
        <v>-1.1094803827050965</v>
      </c>
      <c r="AQ199" s="302">
        <f t="shared" si="188"/>
        <v>-1.1011253935450087</v>
      </c>
      <c r="AR199" s="302">
        <f t="shared" si="189"/>
        <v>-1.0914869007415589</v>
      </c>
      <c r="AS199" s="302">
        <f t="shared" si="190"/>
        <v>-1.0798512643518878</v>
      </c>
      <c r="AT199" s="302">
        <f t="shared" si="191"/>
        <v>-1.0699946933399698</v>
      </c>
      <c r="AU199" s="302">
        <f t="shared" si="192"/>
        <v>-1.058359056950299</v>
      </c>
      <c r="AV199" s="302">
        <f t="shared" si="193"/>
        <v>-1.0444413987771153</v>
      </c>
      <c r="AW199" s="302">
        <f t="shared" si="194"/>
        <v>-1.0328057623874445</v>
      </c>
      <c r="AX199" s="302">
        <f t="shared" si="195"/>
        <v>-1.0187941771993172</v>
      </c>
      <c r="AY199" s="302">
        <f t="shared" si="196"/>
        <v>-1.0025898313406709</v>
      </c>
      <c r="AZ199" s="302">
        <f t="shared" si="197"/>
        <v>-0.98857824615254364</v>
      </c>
      <c r="BA199" s="302">
        <f t="shared" si="198"/>
        <v>-0.97175617265031344</v>
      </c>
      <c r="BB199" s="302">
        <f t="shared" si="199"/>
        <v>-0.95307925806883098</v>
      </c>
      <c r="BC199" s="302">
        <f t="shared" si="200"/>
        <v>-0.93625718456660079</v>
      </c>
      <c r="BD199" s="302">
        <f t="shared" si="201"/>
        <v>-0.91613358622101215</v>
      </c>
      <c r="BE199" s="302">
        <f t="shared" si="202"/>
        <v>-0.89486697839287799</v>
      </c>
      <c r="BF199" s="302">
        <f t="shared" si="203"/>
        <v>-0.87474338004728935</v>
      </c>
      <c r="BG199" s="302">
        <f t="shared" si="204"/>
        <v>-0.85077388400016152</v>
      </c>
      <c r="BH199" s="302">
        <f t="shared" si="205"/>
        <v>-0.82690947198536191</v>
      </c>
      <c r="BI199" s="302">
        <f t="shared" si="206"/>
        <v>-0.80293997593823407</v>
      </c>
      <c r="BJ199" s="302">
        <f t="shared" si="207"/>
        <v>-0.77453579281086338</v>
      </c>
      <c r="BK199" s="302">
        <f t="shared" si="208"/>
        <v>2.021526032904271</v>
      </c>
      <c r="BL199" s="302">
        <f t="shared" si="209"/>
        <v>2.0742696211106582</v>
      </c>
      <c r="BM199" s="302">
        <f t="shared" si="210"/>
        <v>2.120237756039602</v>
      </c>
      <c r="BN199" s="302">
        <f t="shared" si="211"/>
        <v>2.1622066650461429</v>
      </c>
      <c r="BO199" s="303">
        <f t="shared" si="212"/>
        <v>2.2018780849862623</v>
      </c>
      <c r="BP199" s="223"/>
    </row>
    <row r="200" spans="2:190" ht="42" customHeight="1">
      <c r="C200" s="426"/>
      <c r="D200" s="425"/>
      <c r="E200" s="443">
        <v>-1.3</v>
      </c>
      <c r="F200" s="444">
        <f t="shared" si="213"/>
        <v>-1.2366512163586783</v>
      </c>
      <c r="G200" s="449">
        <f t="shared" si="151"/>
        <v>-1.2433256081793391</v>
      </c>
      <c r="H200" s="449">
        <f t="shared" si="214"/>
        <v>-1.2418542992272232</v>
      </c>
      <c r="I200" s="302">
        <f t="shared" si="154"/>
        <v>-1.2418542992272232</v>
      </c>
      <c r="J200" s="302">
        <f t="shared" si="155"/>
        <v>-1.2400603790962639</v>
      </c>
      <c r="K200" s="302">
        <f t="shared" si="156"/>
        <v>-1.2400603790962639</v>
      </c>
      <c r="L200" s="302">
        <f t="shared" si="157"/>
        <v>-1.237873951774721</v>
      </c>
      <c r="M200" s="302">
        <f t="shared" si="158"/>
        <v>-1.237873951774721</v>
      </c>
      <c r="N200" s="302">
        <f t="shared" si="159"/>
        <v>-1.2352103879298422</v>
      </c>
      <c r="O200" s="302">
        <f t="shared" si="160"/>
        <v>-1.2352103879298422</v>
      </c>
      <c r="P200" s="302">
        <f t="shared" si="161"/>
        <v>-1.2319674187492899</v>
      </c>
      <c r="Q200" s="302">
        <f t="shared" si="162"/>
        <v>-1.2319674187492899</v>
      </c>
      <c r="R200" s="302">
        <f t="shared" si="163"/>
        <v>-1.2280217541041707</v>
      </c>
      <c r="S200" s="302">
        <f t="shared" si="164"/>
        <v>-1.2280217541041707</v>
      </c>
      <c r="T200" s="302">
        <f t="shared" si="165"/>
        <v>-1.2232251964455365</v>
      </c>
      <c r="U200" s="302">
        <f t="shared" si="166"/>
        <v>-1.2232251964455365</v>
      </c>
      <c r="V200" s="302">
        <f t="shared" si="167"/>
        <v>-1.2174002487299871</v>
      </c>
      <c r="W200" s="302">
        <f t="shared" si="168"/>
        <v>-1.2174002487299871</v>
      </c>
      <c r="X200" s="302">
        <f t="shared" si="169"/>
        <v>-1.2119658292260205</v>
      </c>
      <c r="Y200" s="302">
        <f t="shared" si="170"/>
        <v>-1.210335260386618</v>
      </c>
      <c r="Z200" s="302">
        <f t="shared" si="171"/>
        <v>-1.2064776566200042</v>
      </c>
      <c r="AA200" s="302">
        <f t="shared" si="172"/>
        <v>-1.2036662861671514</v>
      </c>
      <c r="AB200" s="302">
        <f t="shared" si="173"/>
        <v>-1.200652708904455</v>
      </c>
      <c r="AC200" s="302">
        <f t="shared" si="174"/>
        <v>-1.1969851298059044</v>
      </c>
      <c r="AD200" s="302">
        <f t="shared" si="175"/>
        <v>-1.1935877205610859</v>
      </c>
      <c r="AE200" s="302">
        <f t="shared" si="176"/>
        <v>-1.1899201414625353</v>
      </c>
      <c r="AF200" s="302">
        <f t="shared" si="177"/>
        <v>-1.1854601429585832</v>
      </c>
      <c r="AG200" s="302">
        <f t="shared" si="178"/>
        <v>-1.1813641089329212</v>
      </c>
      <c r="AH200" s="302">
        <f t="shared" si="179"/>
        <v>-1.1769041104289695</v>
      </c>
      <c r="AI200" s="302">
        <f t="shared" si="180"/>
        <v>-1.171485671793997</v>
      </c>
      <c r="AJ200" s="302">
        <f t="shared" si="181"/>
        <v>-1.1665613579964762</v>
      </c>
      <c r="AK200" s="302">
        <f t="shared" si="182"/>
        <v>-1.1611429193615042</v>
      </c>
      <c r="AL200" s="302">
        <f t="shared" si="183"/>
        <v>-1.1545677259808094</v>
      </c>
      <c r="AM200" s="302">
        <f t="shared" si="184"/>
        <v>-1.1486680430117904</v>
      </c>
      <c r="AN200" s="302">
        <f t="shared" si="185"/>
        <v>-1.1420928496310956</v>
      </c>
      <c r="AO200" s="302">
        <f t="shared" si="186"/>
        <v>-1.134125202790524</v>
      </c>
      <c r="AP200" s="302">
        <f t="shared" si="187"/>
        <v>-1.1270865223491182</v>
      </c>
      <c r="AQ200" s="302">
        <f t="shared" si="188"/>
        <v>-1.1191188755085468</v>
      </c>
      <c r="AR200" s="302">
        <f t="shared" si="189"/>
        <v>-1.1094803827050965</v>
      </c>
      <c r="AS200" s="302">
        <f t="shared" si="190"/>
        <v>-1.1011253935450087</v>
      </c>
      <c r="AT200" s="302">
        <f t="shared" si="191"/>
        <v>-1.0914869007415589</v>
      </c>
      <c r="AU200" s="302">
        <f t="shared" si="192"/>
        <v>-1.0798512643518878</v>
      </c>
      <c r="AV200" s="302">
        <f t="shared" si="193"/>
        <v>-1.0699946933399698</v>
      </c>
      <c r="AW200" s="302">
        <f t="shared" si="194"/>
        <v>-1.058359056950299</v>
      </c>
      <c r="AX200" s="302">
        <f t="shared" si="195"/>
        <v>-1.0444413987771153</v>
      </c>
      <c r="AY200" s="302">
        <f t="shared" si="196"/>
        <v>-1.0328057623874445</v>
      </c>
      <c r="AZ200" s="302">
        <f t="shared" si="197"/>
        <v>-1.0187941771993172</v>
      </c>
      <c r="BA200" s="302">
        <f t="shared" si="198"/>
        <v>-1.0025898313406709</v>
      </c>
      <c r="BB200" s="302">
        <f t="shared" si="199"/>
        <v>-0.98857824615254364</v>
      </c>
      <c r="BC200" s="302">
        <f t="shared" si="200"/>
        <v>-0.97175617265031344</v>
      </c>
      <c r="BD200" s="302">
        <f t="shared" si="201"/>
        <v>-0.95307925806883098</v>
      </c>
      <c r="BE200" s="302">
        <f t="shared" si="202"/>
        <v>-0.93625718456660079</v>
      </c>
      <c r="BF200" s="302">
        <f t="shared" si="203"/>
        <v>-0.91613358622101215</v>
      </c>
      <c r="BG200" s="302">
        <f t="shared" si="204"/>
        <v>-0.89486697839287799</v>
      </c>
      <c r="BH200" s="302">
        <f t="shared" si="205"/>
        <v>-0.87474338004728935</v>
      </c>
      <c r="BI200" s="302">
        <f t="shared" si="206"/>
        <v>-0.85077388400016152</v>
      </c>
      <c r="BJ200" s="302">
        <f t="shared" si="207"/>
        <v>-0.82690947198536191</v>
      </c>
      <c r="BK200" s="302">
        <f t="shared" si="208"/>
        <v>-0.80293997593823407</v>
      </c>
      <c r="BL200" s="302">
        <f t="shared" si="209"/>
        <v>2.0471762587747966</v>
      </c>
      <c r="BM200" s="302">
        <f t="shared" si="210"/>
        <v>2.097097846432241</v>
      </c>
      <c r="BN200" s="302">
        <f t="shared" si="211"/>
        <v>2.1430659813611852</v>
      </c>
      <c r="BO200" s="303">
        <f t="shared" si="212"/>
        <v>2.1827374013013046</v>
      </c>
      <c r="BP200" s="223"/>
    </row>
    <row r="201" spans="2:190" ht="42" customHeight="1">
      <c r="C201" s="426"/>
      <c r="D201" s="425"/>
      <c r="E201" s="445">
        <v>-1.35</v>
      </c>
      <c r="F201" s="444">
        <f t="shared" si="213"/>
        <v>-1.2390638836812888</v>
      </c>
      <c r="G201" s="449">
        <f t="shared" si="151"/>
        <v>-1.2445319418406444</v>
      </c>
      <c r="H201" s="449">
        <f t="shared" si="214"/>
        <v>-1.2433256081793391</v>
      </c>
      <c r="I201" s="302">
        <f t="shared" si="154"/>
        <v>-1.2433256081793391</v>
      </c>
      <c r="J201" s="302">
        <f t="shared" si="155"/>
        <v>-1.2418542992272232</v>
      </c>
      <c r="K201" s="302">
        <f t="shared" si="156"/>
        <v>-1.2418542992272232</v>
      </c>
      <c r="L201" s="302">
        <f t="shared" si="157"/>
        <v>-1.2400603790962639</v>
      </c>
      <c r="M201" s="302">
        <f t="shared" si="158"/>
        <v>-1.2400603790962639</v>
      </c>
      <c r="N201" s="302">
        <f t="shared" si="159"/>
        <v>-1.237873951774721</v>
      </c>
      <c r="O201" s="302">
        <f t="shared" si="160"/>
        <v>-1.237873951774721</v>
      </c>
      <c r="P201" s="302">
        <f t="shared" si="161"/>
        <v>-1.2352103879298422</v>
      </c>
      <c r="Q201" s="302">
        <f t="shared" si="162"/>
        <v>-1.2352103879298422</v>
      </c>
      <c r="R201" s="302">
        <f t="shared" si="163"/>
        <v>-1.2319674187492899</v>
      </c>
      <c r="S201" s="302">
        <f t="shared" si="164"/>
        <v>-1.2319674187492899</v>
      </c>
      <c r="T201" s="302">
        <f t="shared" si="165"/>
        <v>-1.2280217541041707</v>
      </c>
      <c r="U201" s="302">
        <f t="shared" si="166"/>
        <v>-1.2280217541041707</v>
      </c>
      <c r="V201" s="302">
        <f t="shared" si="167"/>
        <v>-1.2232251964455365</v>
      </c>
      <c r="W201" s="302">
        <f t="shared" si="168"/>
        <v>-1.2232251964455365</v>
      </c>
      <c r="X201" s="302">
        <f t="shared" si="169"/>
        <v>-1.2174002487299871</v>
      </c>
      <c r="Y201" s="302">
        <f t="shared" si="170"/>
        <v>-1.2174002487299871</v>
      </c>
      <c r="Z201" s="302">
        <f t="shared" si="171"/>
        <v>-1.2119658292260205</v>
      </c>
      <c r="AA201" s="302">
        <f t="shared" si="172"/>
        <v>-1.210335260386618</v>
      </c>
      <c r="AB201" s="302">
        <f t="shared" si="173"/>
        <v>-1.2064776566200042</v>
      </c>
      <c r="AC201" s="302">
        <f t="shared" si="174"/>
        <v>-1.2036662861671514</v>
      </c>
      <c r="AD201" s="302">
        <f t="shared" si="175"/>
        <v>-1.200652708904455</v>
      </c>
      <c r="AE201" s="302">
        <f t="shared" si="176"/>
        <v>-1.1969851298059044</v>
      </c>
      <c r="AF201" s="302">
        <f t="shared" si="177"/>
        <v>-1.1935877205610859</v>
      </c>
      <c r="AG201" s="302">
        <f t="shared" si="178"/>
        <v>-1.1899201414625353</v>
      </c>
      <c r="AH201" s="302">
        <f t="shared" si="179"/>
        <v>-1.1854601429585832</v>
      </c>
      <c r="AI201" s="302">
        <f t="shared" si="180"/>
        <v>-1.1813641089329212</v>
      </c>
      <c r="AJ201" s="302">
        <f t="shared" si="181"/>
        <v>-1.1769041104289695</v>
      </c>
      <c r="AK201" s="302">
        <f t="shared" si="182"/>
        <v>-1.171485671793997</v>
      </c>
      <c r="AL201" s="302">
        <f t="shared" si="183"/>
        <v>-1.1665613579964762</v>
      </c>
      <c r="AM201" s="302">
        <f t="shared" si="184"/>
        <v>-1.1611429193615042</v>
      </c>
      <c r="AN201" s="302">
        <f t="shared" si="185"/>
        <v>-1.1545677259808094</v>
      </c>
      <c r="AO201" s="302">
        <f t="shared" si="186"/>
        <v>-1.1486680430117904</v>
      </c>
      <c r="AP201" s="302">
        <f t="shared" si="187"/>
        <v>-1.1420928496310956</v>
      </c>
      <c r="AQ201" s="302">
        <f t="shared" si="188"/>
        <v>-1.134125202790524</v>
      </c>
      <c r="AR201" s="302">
        <f t="shared" si="189"/>
        <v>-1.1270865223491182</v>
      </c>
      <c r="AS201" s="302">
        <f t="shared" si="190"/>
        <v>-1.1191188755085468</v>
      </c>
      <c r="AT201" s="302">
        <f t="shared" si="191"/>
        <v>-1.1094803827050965</v>
      </c>
      <c r="AU201" s="302">
        <f t="shared" si="192"/>
        <v>-1.1011253935450087</v>
      </c>
      <c r="AV201" s="302">
        <f t="shared" si="193"/>
        <v>-1.0914869007415589</v>
      </c>
      <c r="AW201" s="302">
        <f t="shared" si="194"/>
        <v>-1.0798512643518878</v>
      </c>
      <c r="AX201" s="302">
        <f t="shared" si="195"/>
        <v>-1.0699946933399698</v>
      </c>
      <c r="AY201" s="302">
        <f t="shared" si="196"/>
        <v>-1.058359056950299</v>
      </c>
      <c r="AZ201" s="302">
        <f t="shared" si="197"/>
        <v>-1.0444413987771153</v>
      </c>
      <c r="BA201" s="302">
        <f t="shared" si="198"/>
        <v>-1.0328057623874445</v>
      </c>
      <c r="BB201" s="302">
        <f t="shared" si="199"/>
        <v>-1.0187941771993172</v>
      </c>
      <c r="BC201" s="302">
        <f t="shared" si="200"/>
        <v>-1.0025898313406709</v>
      </c>
      <c r="BD201" s="302">
        <f t="shared" si="201"/>
        <v>-0.98857824615254364</v>
      </c>
      <c r="BE201" s="302">
        <f t="shared" si="202"/>
        <v>-0.97175617265031344</v>
      </c>
      <c r="BF201" s="302">
        <f t="shared" si="203"/>
        <v>-0.95307925806883098</v>
      </c>
      <c r="BG201" s="302">
        <f t="shared" si="204"/>
        <v>-0.93625718456660079</v>
      </c>
      <c r="BH201" s="302">
        <f t="shared" si="205"/>
        <v>-0.91613358622101215</v>
      </c>
      <c r="BI201" s="302">
        <f t="shared" si="206"/>
        <v>-0.89486697839287799</v>
      </c>
      <c r="BJ201" s="302">
        <f t="shared" si="207"/>
        <v>-0.87474338004728935</v>
      </c>
      <c r="BK201" s="302">
        <f t="shared" si="208"/>
        <v>-0.85077388400016152</v>
      </c>
      <c r="BL201" s="302">
        <f t="shared" si="209"/>
        <v>-0.82690947198536191</v>
      </c>
      <c r="BM201" s="302">
        <f t="shared" si="210"/>
        <v>2.0742696211106582</v>
      </c>
      <c r="BN201" s="302">
        <f t="shared" si="211"/>
        <v>2.120237756039602</v>
      </c>
      <c r="BO201" s="303">
        <f t="shared" si="212"/>
        <v>2.1622066650461429</v>
      </c>
      <c r="BP201" s="223"/>
    </row>
    <row r="202" spans="2:190" ht="42" customHeight="1">
      <c r="C202" s="426"/>
      <c r="D202" s="425"/>
      <c r="E202" s="443">
        <v>-1.4</v>
      </c>
      <c r="F202" s="444">
        <f t="shared" si="213"/>
        <v>-1.241041529488812</v>
      </c>
      <c r="G202" s="449">
        <f t="shared" si="151"/>
        <v>-1.245520764744406</v>
      </c>
      <c r="H202" s="449">
        <f t="shared" si="214"/>
        <v>-1.2445319418406444</v>
      </c>
      <c r="I202" s="302">
        <f t="shared" si="154"/>
        <v>-1.2445319418406444</v>
      </c>
      <c r="J202" s="302">
        <f t="shared" si="155"/>
        <v>-1.2433256081793391</v>
      </c>
      <c r="K202" s="302">
        <f t="shared" si="156"/>
        <v>-1.2433256081793391</v>
      </c>
      <c r="L202" s="302">
        <f t="shared" si="157"/>
        <v>-1.2418542992272232</v>
      </c>
      <c r="M202" s="302">
        <f t="shared" si="158"/>
        <v>-1.2418542992272232</v>
      </c>
      <c r="N202" s="302">
        <f t="shared" si="159"/>
        <v>-1.2400603790962639</v>
      </c>
      <c r="O202" s="302">
        <f t="shared" si="160"/>
        <v>-1.2400603790962639</v>
      </c>
      <c r="P202" s="302">
        <f t="shared" si="161"/>
        <v>-1.237873951774721</v>
      </c>
      <c r="Q202" s="302">
        <f t="shared" si="162"/>
        <v>-1.237873951774721</v>
      </c>
      <c r="R202" s="302">
        <f t="shared" si="163"/>
        <v>-1.2352103879298422</v>
      </c>
      <c r="S202" s="302">
        <f t="shared" si="164"/>
        <v>-1.2352103879298422</v>
      </c>
      <c r="T202" s="302">
        <f t="shared" si="165"/>
        <v>-1.2319674187492899</v>
      </c>
      <c r="U202" s="302">
        <f t="shared" si="166"/>
        <v>-1.2319674187492899</v>
      </c>
      <c r="V202" s="302">
        <f t="shared" si="167"/>
        <v>-1.2280217541041707</v>
      </c>
      <c r="W202" s="302">
        <f t="shared" si="168"/>
        <v>-1.2280217541041707</v>
      </c>
      <c r="X202" s="302">
        <f t="shared" si="169"/>
        <v>-1.2232251964455365</v>
      </c>
      <c r="Y202" s="302">
        <f t="shared" si="170"/>
        <v>-1.2232251964455365</v>
      </c>
      <c r="Z202" s="302">
        <f t="shared" si="171"/>
        <v>-1.2174002487299871</v>
      </c>
      <c r="AA202" s="302">
        <f t="shared" si="172"/>
        <v>-1.2174002487299871</v>
      </c>
      <c r="AB202" s="302">
        <f t="shared" si="173"/>
        <v>-1.2119658292260205</v>
      </c>
      <c r="AC202" s="302">
        <f t="shared" si="174"/>
        <v>-1.210335260386618</v>
      </c>
      <c r="AD202" s="302">
        <f t="shared" si="175"/>
        <v>-1.2064776566200042</v>
      </c>
      <c r="AE202" s="302">
        <f t="shared" si="176"/>
        <v>-1.2036662861671514</v>
      </c>
      <c r="AF202" s="302">
        <f t="shared" si="177"/>
        <v>-1.200652708904455</v>
      </c>
      <c r="AG202" s="302">
        <f t="shared" si="178"/>
        <v>-1.1969851298059044</v>
      </c>
      <c r="AH202" s="302">
        <f t="shared" si="179"/>
        <v>-1.1935877205610859</v>
      </c>
      <c r="AI202" s="302">
        <f t="shared" si="180"/>
        <v>-1.1899201414625353</v>
      </c>
      <c r="AJ202" s="302">
        <f t="shared" si="181"/>
        <v>-1.1854601429585832</v>
      </c>
      <c r="AK202" s="302">
        <f t="shared" si="182"/>
        <v>-1.1813641089329212</v>
      </c>
      <c r="AL202" s="302">
        <f t="shared" si="183"/>
        <v>-1.1769041104289695</v>
      </c>
      <c r="AM202" s="302">
        <f t="shared" si="184"/>
        <v>-1.171485671793997</v>
      </c>
      <c r="AN202" s="302">
        <f t="shared" si="185"/>
        <v>-1.1665613579964762</v>
      </c>
      <c r="AO202" s="302">
        <f t="shared" si="186"/>
        <v>-1.1611429193615042</v>
      </c>
      <c r="AP202" s="302">
        <f t="shared" si="187"/>
        <v>-1.1545677259808094</v>
      </c>
      <c r="AQ202" s="302">
        <f t="shared" si="188"/>
        <v>-1.1486680430117904</v>
      </c>
      <c r="AR202" s="302">
        <f t="shared" si="189"/>
        <v>-1.1420928496310956</v>
      </c>
      <c r="AS202" s="302">
        <f t="shared" si="190"/>
        <v>-1.134125202790524</v>
      </c>
      <c r="AT202" s="302">
        <f t="shared" si="191"/>
        <v>-1.1270865223491182</v>
      </c>
      <c r="AU202" s="302">
        <f t="shared" si="192"/>
        <v>-1.1191188755085468</v>
      </c>
      <c r="AV202" s="302">
        <f t="shared" si="193"/>
        <v>-1.1094803827050965</v>
      </c>
      <c r="AW202" s="302">
        <f t="shared" si="194"/>
        <v>-1.1011253935450087</v>
      </c>
      <c r="AX202" s="302">
        <f t="shared" si="195"/>
        <v>-1.0914869007415589</v>
      </c>
      <c r="AY202" s="302">
        <f t="shared" si="196"/>
        <v>-1.0798512643518878</v>
      </c>
      <c r="AZ202" s="302">
        <f t="shared" si="197"/>
        <v>-1.0699946933399698</v>
      </c>
      <c r="BA202" s="302">
        <f t="shared" si="198"/>
        <v>-1.058359056950299</v>
      </c>
      <c r="BB202" s="302">
        <f t="shared" si="199"/>
        <v>-1.0444413987771153</v>
      </c>
      <c r="BC202" s="302">
        <f t="shared" si="200"/>
        <v>-1.0328057623874445</v>
      </c>
      <c r="BD202" s="302">
        <f t="shared" si="201"/>
        <v>-1.0187941771993172</v>
      </c>
      <c r="BE202" s="302">
        <f t="shared" si="202"/>
        <v>-1.0025898313406709</v>
      </c>
      <c r="BF202" s="302">
        <f t="shared" si="203"/>
        <v>-0.98857824615254364</v>
      </c>
      <c r="BG202" s="302">
        <f t="shared" si="204"/>
        <v>-0.97175617265031344</v>
      </c>
      <c r="BH202" s="302">
        <f t="shared" si="205"/>
        <v>-0.95307925806883098</v>
      </c>
      <c r="BI202" s="302">
        <f t="shared" si="206"/>
        <v>-0.93625718456660079</v>
      </c>
      <c r="BJ202" s="302">
        <f t="shared" si="207"/>
        <v>-0.91613358622101215</v>
      </c>
      <c r="BK202" s="302">
        <f t="shared" si="208"/>
        <v>-0.89486697839287799</v>
      </c>
      <c r="BL202" s="302">
        <f t="shared" si="209"/>
        <v>-0.87474338004728935</v>
      </c>
      <c r="BM202" s="302">
        <f t="shared" si="210"/>
        <v>-0.85077388400016152</v>
      </c>
      <c r="BN202" s="302">
        <f t="shared" si="211"/>
        <v>2.097097846432241</v>
      </c>
      <c r="BO202" s="303">
        <f t="shared" si="212"/>
        <v>2.1430659813611852</v>
      </c>
      <c r="BP202" s="223"/>
    </row>
    <row r="203" spans="2:190" ht="42" customHeight="1">
      <c r="C203" s="426"/>
      <c r="D203" s="425"/>
      <c r="E203" s="445">
        <v>-1.45</v>
      </c>
      <c r="F203" s="444">
        <f t="shared" si="213"/>
        <v>-1.2426622471608444</v>
      </c>
      <c r="G203" s="449">
        <f t="shared" si="151"/>
        <v>-1.2463311235804222</v>
      </c>
      <c r="H203" s="449">
        <f t="shared" si="214"/>
        <v>-1.245520764744406</v>
      </c>
      <c r="I203" s="302">
        <f t="shared" si="154"/>
        <v>-1.245520764744406</v>
      </c>
      <c r="J203" s="302">
        <f t="shared" si="155"/>
        <v>-1.2445319418406444</v>
      </c>
      <c r="K203" s="302">
        <f t="shared" si="156"/>
        <v>-1.2445319418406444</v>
      </c>
      <c r="L203" s="302">
        <f t="shared" si="157"/>
        <v>-1.2433256081793391</v>
      </c>
      <c r="M203" s="302">
        <f t="shared" si="158"/>
        <v>-1.2433256081793391</v>
      </c>
      <c r="N203" s="302">
        <f t="shared" si="159"/>
        <v>-1.2418542992272232</v>
      </c>
      <c r="O203" s="302">
        <f t="shared" si="160"/>
        <v>-1.2418542992272232</v>
      </c>
      <c r="P203" s="302">
        <f t="shared" si="161"/>
        <v>-1.2400603790962639</v>
      </c>
      <c r="Q203" s="302">
        <f t="shared" si="162"/>
        <v>-1.2400603790962639</v>
      </c>
      <c r="R203" s="302">
        <f t="shared" si="163"/>
        <v>-1.237873951774721</v>
      </c>
      <c r="S203" s="302">
        <f t="shared" si="164"/>
        <v>-1.237873951774721</v>
      </c>
      <c r="T203" s="302">
        <f t="shared" si="165"/>
        <v>-1.2352103879298422</v>
      </c>
      <c r="U203" s="302">
        <f t="shared" si="166"/>
        <v>-1.2352103879298422</v>
      </c>
      <c r="V203" s="302">
        <f t="shared" si="167"/>
        <v>-1.2319674187492899</v>
      </c>
      <c r="W203" s="302">
        <f t="shared" si="168"/>
        <v>-1.2319674187492899</v>
      </c>
      <c r="X203" s="302">
        <f t="shared" si="169"/>
        <v>-1.2280217541041707</v>
      </c>
      <c r="Y203" s="302">
        <f t="shared" si="170"/>
        <v>-1.2280217541041707</v>
      </c>
      <c r="Z203" s="302">
        <f t="shared" si="171"/>
        <v>-1.2232251964455365</v>
      </c>
      <c r="AA203" s="302">
        <f t="shared" si="172"/>
        <v>-1.2232251964455365</v>
      </c>
      <c r="AB203" s="302">
        <f t="shared" si="173"/>
        <v>-1.2174002487299871</v>
      </c>
      <c r="AC203" s="302">
        <f t="shared" si="174"/>
        <v>-1.2174002487299871</v>
      </c>
      <c r="AD203" s="302">
        <f t="shared" si="175"/>
        <v>-1.2119658292260205</v>
      </c>
      <c r="AE203" s="302">
        <f t="shared" si="176"/>
        <v>-1.210335260386618</v>
      </c>
      <c r="AF203" s="302">
        <f t="shared" si="177"/>
        <v>-1.2064776566200042</v>
      </c>
      <c r="AG203" s="302">
        <f t="shared" si="178"/>
        <v>-1.2036662861671514</v>
      </c>
      <c r="AH203" s="302">
        <f t="shared" si="179"/>
        <v>-1.200652708904455</v>
      </c>
      <c r="AI203" s="302">
        <f t="shared" si="180"/>
        <v>-1.1969851298059044</v>
      </c>
      <c r="AJ203" s="302">
        <f t="shared" si="181"/>
        <v>-1.1935877205610859</v>
      </c>
      <c r="AK203" s="302">
        <f t="shared" si="182"/>
        <v>-1.1899201414625353</v>
      </c>
      <c r="AL203" s="302">
        <f t="shared" si="183"/>
        <v>-1.1854601429585832</v>
      </c>
      <c r="AM203" s="302">
        <f t="shared" si="184"/>
        <v>-1.1813641089329212</v>
      </c>
      <c r="AN203" s="302">
        <f t="shared" si="185"/>
        <v>-1.1769041104289695</v>
      </c>
      <c r="AO203" s="302">
        <f t="shared" si="186"/>
        <v>-1.171485671793997</v>
      </c>
      <c r="AP203" s="302">
        <f t="shared" si="187"/>
        <v>-1.1665613579964762</v>
      </c>
      <c r="AQ203" s="302">
        <f t="shared" si="188"/>
        <v>-1.1611429193615042</v>
      </c>
      <c r="AR203" s="302">
        <f t="shared" si="189"/>
        <v>-1.1545677259808094</v>
      </c>
      <c r="AS203" s="302">
        <f t="shared" si="190"/>
        <v>-1.1486680430117904</v>
      </c>
      <c r="AT203" s="302">
        <f t="shared" si="191"/>
        <v>-1.1420928496310956</v>
      </c>
      <c r="AU203" s="302">
        <f t="shared" si="192"/>
        <v>-1.134125202790524</v>
      </c>
      <c r="AV203" s="302">
        <f t="shared" si="193"/>
        <v>-1.1270865223491182</v>
      </c>
      <c r="AW203" s="302">
        <f t="shared" si="194"/>
        <v>-1.1191188755085468</v>
      </c>
      <c r="AX203" s="302">
        <f t="shared" si="195"/>
        <v>-1.1094803827050965</v>
      </c>
      <c r="AY203" s="302">
        <f t="shared" si="196"/>
        <v>-1.1011253935450087</v>
      </c>
      <c r="AZ203" s="302">
        <f t="shared" si="197"/>
        <v>-1.0914869007415589</v>
      </c>
      <c r="BA203" s="302">
        <f t="shared" si="198"/>
        <v>-1.0798512643518878</v>
      </c>
      <c r="BB203" s="302">
        <f t="shared" si="199"/>
        <v>-1.0699946933399698</v>
      </c>
      <c r="BC203" s="302">
        <f t="shared" si="200"/>
        <v>-1.058359056950299</v>
      </c>
      <c r="BD203" s="302">
        <f t="shared" si="201"/>
        <v>-1.0444413987771153</v>
      </c>
      <c r="BE203" s="302">
        <f t="shared" si="202"/>
        <v>-1.0328057623874445</v>
      </c>
      <c r="BF203" s="302">
        <f t="shared" si="203"/>
        <v>-1.0187941771993172</v>
      </c>
      <c r="BG203" s="302">
        <f t="shared" si="204"/>
        <v>-1.0025898313406709</v>
      </c>
      <c r="BH203" s="302">
        <f t="shared" si="205"/>
        <v>-0.98857824615254364</v>
      </c>
      <c r="BI203" s="302">
        <f t="shared" si="206"/>
        <v>-0.97175617265031344</v>
      </c>
      <c r="BJ203" s="302">
        <f t="shared" si="207"/>
        <v>-0.95307925806883098</v>
      </c>
      <c r="BK203" s="302">
        <f t="shared" si="208"/>
        <v>-0.93625718456660079</v>
      </c>
      <c r="BL203" s="302">
        <f t="shared" si="209"/>
        <v>-0.91613358622101215</v>
      </c>
      <c r="BM203" s="302">
        <f t="shared" si="210"/>
        <v>-0.89486697839287799</v>
      </c>
      <c r="BN203" s="302">
        <f t="shared" si="211"/>
        <v>-0.87474338004728935</v>
      </c>
      <c r="BO203" s="303">
        <f t="shared" si="212"/>
        <v>2.120237756039602</v>
      </c>
      <c r="BP203" s="223"/>
    </row>
    <row r="204" spans="2:190" ht="42" customHeight="1" thickBot="1">
      <c r="C204" s="426"/>
      <c r="D204" s="425"/>
      <c r="E204" s="443">
        <v>-1.5</v>
      </c>
      <c r="F204" s="446">
        <f>D143</f>
        <v>-1.25</v>
      </c>
      <c r="G204" s="453">
        <f t="shared" si="151"/>
        <v>-1.25</v>
      </c>
      <c r="H204" s="453">
        <f t="shared" si="214"/>
        <v>-1.2463311235804222</v>
      </c>
      <c r="I204" s="305">
        <f t="shared" si="154"/>
        <v>-1.2463311235804222</v>
      </c>
      <c r="J204" s="305">
        <f t="shared" si="155"/>
        <v>-1.245520764744406</v>
      </c>
      <c r="K204" s="305">
        <f t="shared" si="156"/>
        <v>-1.245520764744406</v>
      </c>
      <c r="L204" s="305">
        <f t="shared" si="157"/>
        <v>-1.2445319418406444</v>
      </c>
      <c r="M204" s="305">
        <f t="shared" si="158"/>
        <v>-1.2445319418406444</v>
      </c>
      <c r="N204" s="305">
        <f t="shared" si="159"/>
        <v>-1.2433256081793391</v>
      </c>
      <c r="O204" s="305">
        <f t="shared" si="160"/>
        <v>-1.2433256081793391</v>
      </c>
      <c r="P204" s="305">
        <f t="shared" si="161"/>
        <v>-1.2418542992272232</v>
      </c>
      <c r="Q204" s="305">
        <f t="shared" si="162"/>
        <v>-1.2418542992272232</v>
      </c>
      <c r="R204" s="305">
        <f t="shared" si="163"/>
        <v>-1.2400603790962639</v>
      </c>
      <c r="S204" s="305">
        <f t="shared" si="164"/>
        <v>-1.2400603790962639</v>
      </c>
      <c r="T204" s="305">
        <f t="shared" si="165"/>
        <v>-1.237873951774721</v>
      </c>
      <c r="U204" s="305">
        <f t="shared" si="166"/>
        <v>-1.237873951774721</v>
      </c>
      <c r="V204" s="305">
        <f t="shared" si="167"/>
        <v>-1.2352103879298422</v>
      </c>
      <c r="W204" s="305">
        <f t="shared" si="168"/>
        <v>-1.2352103879298422</v>
      </c>
      <c r="X204" s="305">
        <f t="shared" si="169"/>
        <v>-1.2319674187492899</v>
      </c>
      <c r="Y204" s="305">
        <f t="shared" si="170"/>
        <v>-1.2319674187492899</v>
      </c>
      <c r="Z204" s="305">
        <f t="shared" si="171"/>
        <v>-1.2280217541041707</v>
      </c>
      <c r="AA204" s="305">
        <f t="shared" si="172"/>
        <v>-1.2280217541041707</v>
      </c>
      <c r="AB204" s="305">
        <f t="shared" si="173"/>
        <v>-1.2232251964455365</v>
      </c>
      <c r="AC204" s="305">
        <f t="shared" si="174"/>
        <v>-1.2232251964455365</v>
      </c>
      <c r="AD204" s="305">
        <f t="shared" si="175"/>
        <v>-1.2174002487299871</v>
      </c>
      <c r="AE204" s="305">
        <f t="shared" si="176"/>
        <v>-1.2174002487299871</v>
      </c>
      <c r="AF204" s="305">
        <f t="shared" si="177"/>
        <v>-1.2119658292260205</v>
      </c>
      <c r="AG204" s="305">
        <f t="shared" si="178"/>
        <v>-1.210335260386618</v>
      </c>
      <c r="AH204" s="305">
        <f t="shared" si="179"/>
        <v>-1.2064776566200042</v>
      </c>
      <c r="AI204" s="305">
        <f t="shared" si="180"/>
        <v>-1.2036662861671514</v>
      </c>
      <c r="AJ204" s="305">
        <f t="shared" si="181"/>
        <v>-1.200652708904455</v>
      </c>
      <c r="AK204" s="305">
        <f t="shared" si="182"/>
        <v>-1.1969851298059044</v>
      </c>
      <c r="AL204" s="305">
        <f t="shared" si="183"/>
        <v>-1.1935877205610859</v>
      </c>
      <c r="AM204" s="305">
        <f t="shared" si="184"/>
        <v>-1.1899201414625353</v>
      </c>
      <c r="AN204" s="305">
        <f t="shared" si="185"/>
        <v>-1.1854601429585832</v>
      </c>
      <c r="AO204" s="305">
        <f t="shared" si="186"/>
        <v>-1.1813641089329212</v>
      </c>
      <c r="AP204" s="305">
        <f t="shared" si="187"/>
        <v>-1.1769041104289695</v>
      </c>
      <c r="AQ204" s="305">
        <f t="shared" si="188"/>
        <v>-1.171485671793997</v>
      </c>
      <c r="AR204" s="305">
        <f t="shared" si="189"/>
        <v>-1.1665613579964762</v>
      </c>
      <c r="AS204" s="305">
        <f t="shared" si="190"/>
        <v>-1.1611429193615042</v>
      </c>
      <c r="AT204" s="305">
        <f t="shared" si="191"/>
        <v>-1.1545677259808094</v>
      </c>
      <c r="AU204" s="305">
        <f t="shared" si="192"/>
        <v>-1.1486680430117904</v>
      </c>
      <c r="AV204" s="305">
        <f t="shared" si="193"/>
        <v>-1.1420928496310956</v>
      </c>
      <c r="AW204" s="305">
        <f t="shared" si="194"/>
        <v>-1.134125202790524</v>
      </c>
      <c r="AX204" s="305">
        <f t="shared" si="195"/>
        <v>-1.1270865223491182</v>
      </c>
      <c r="AY204" s="305">
        <f t="shared" si="196"/>
        <v>-1.1191188755085468</v>
      </c>
      <c r="AZ204" s="305">
        <f t="shared" si="197"/>
        <v>-1.1094803827050965</v>
      </c>
      <c r="BA204" s="305">
        <f t="shared" si="198"/>
        <v>-1.1011253935450087</v>
      </c>
      <c r="BB204" s="305">
        <f t="shared" si="199"/>
        <v>-1.0914869007415589</v>
      </c>
      <c r="BC204" s="305">
        <f t="shared" si="200"/>
        <v>-1.0798512643518878</v>
      </c>
      <c r="BD204" s="305">
        <f t="shared" si="201"/>
        <v>-1.0699946933399698</v>
      </c>
      <c r="BE204" s="305">
        <f t="shared" si="202"/>
        <v>-1.058359056950299</v>
      </c>
      <c r="BF204" s="305">
        <f t="shared" si="203"/>
        <v>-1.0444413987771153</v>
      </c>
      <c r="BG204" s="305">
        <f t="shared" si="204"/>
        <v>-1.0328057623874445</v>
      </c>
      <c r="BH204" s="305">
        <f t="shared" si="205"/>
        <v>-1.0187941771993172</v>
      </c>
      <c r="BI204" s="305">
        <f t="shared" si="206"/>
        <v>-1.0025898313406709</v>
      </c>
      <c r="BJ204" s="305">
        <f t="shared" si="207"/>
        <v>-0.98857824615254364</v>
      </c>
      <c r="BK204" s="305">
        <f t="shared" si="208"/>
        <v>-0.97175617265031344</v>
      </c>
      <c r="BL204" s="305">
        <f t="shared" si="209"/>
        <v>-0.95307925806883098</v>
      </c>
      <c r="BM204" s="305">
        <f t="shared" si="210"/>
        <v>-0.93625718456660079</v>
      </c>
      <c r="BN204" s="305">
        <f t="shared" si="211"/>
        <v>-0.91613358622101215</v>
      </c>
      <c r="BO204" s="306">
        <f t="shared" si="212"/>
        <v>-0.89486697839287799</v>
      </c>
      <c r="BP204" s="223"/>
    </row>
    <row r="205" spans="2:190" ht="42" customHeight="1">
      <c r="C205" s="425"/>
      <c r="D205" s="426"/>
      <c r="E205" s="425"/>
      <c r="F205" s="425"/>
      <c r="G205" s="425"/>
      <c r="H205" s="425"/>
      <c r="I205" s="425"/>
      <c r="J205" s="425"/>
      <c r="K205" s="425"/>
      <c r="L205" s="425"/>
      <c r="M205" s="425"/>
      <c r="N205" s="425"/>
      <c r="O205" s="425"/>
      <c r="P205" s="425"/>
      <c r="Q205" s="425"/>
      <c r="R205" s="425"/>
      <c r="S205" s="425"/>
      <c r="T205" s="425"/>
      <c r="U205" s="425"/>
      <c r="V205" s="425"/>
      <c r="W205" s="425"/>
      <c r="X205" s="425"/>
      <c r="Y205" s="425"/>
      <c r="Z205" s="425"/>
      <c r="AA205" s="425"/>
      <c r="AB205" s="425"/>
      <c r="AC205" s="425"/>
      <c r="AD205" s="425"/>
      <c r="AE205" s="425"/>
      <c r="AF205" s="425"/>
      <c r="AG205" s="425"/>
      <c r="AH205" s="425"/>
      <c r="AI205" s="425"/>
      <c r="AJ205" s="425"/>
      <c r="AK205" s="425"/>
      <c r="AL205" s="425"/>
      <c r="AM205" s="425"/>
      <c r="AN205" s="425"/>
      <c r="AO205" s="425"/>
      <c r="AP205" s="425"/>
      <c r="AQ205" s="425"/>
      <c r="AR205" s="425"/>
      <c r="AS205" s="425"/>
      <c r="AT205" s="425"/>
      <c r="AU205" s="425"/>
      <c r="AV205" s="425"/>
      <c r="AW205" s="425"/>
      <c r="AX205" s="425"/>
      <c r="AY205" s="425"/>
      <c r="AZ205" s="425"/>
      <c r="BA205" s="425"/>
      <c r="BB205" s="425"/>
      <c r="BC205" s="425"/>
      <c r="BD205" s="425"/>
      <c r="BE205" s="425"/>
      <c r="BF205" s="425"/>
      <c r="BG205" s="425"/>
      <c r="BH205" s="425"/>
      <c r="BI205" s="425"/>
      <c r="BJ205" s="425"/>
      <c r="BK205" s="425"/>
      <c r="BL205" s="425"/>
      <c r="BM205" s="425"/>
      <c r="BN205" s="425"/>
      <c r="BO205" s="425"/>
      <c r="BP205" s="426"/>
    </row>
    <row r="208" spans="2:190" ht="42" customHeight="1">
      <c r="B208" t="s">
        <v>233</v>
      </c>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row>
    <row r="209" spans="2:190" ht="42" customHeight="1" thickBot="1">
      <c r="B209"/>
      <c r="C209" s="217"/>
      <c r="D209" s="217"/>
      <c r="E209" s="217"/>
      <c r="F209" s="217"/>
      <c r="G209" s="217"/>
      <c r="H209" s="221"/>
      <c r="I209" s="221"/>
      <c r="J209" s="221"/>
      <c r="K209" s="221"/>
      <c r="L209" s="222"/>
      <c r="M209" s="222"/>
      <c r="N209" s="222"/>
      <c r="O209" s="222"/>
      <c r="P209" s="222"/>
      <c r="Q209" s="222"/>
      <c r="R209" s="222"/>
      <c r="S209" s="223"/>
      <c r="T209" s="223"/>
      <c r="U209" s="223"/>
      <c r="V209" s="223"/>
      <c r="W209" s="223"/>
      <c r="X209" s="223"/>
      <c r="Y209" s="223"/>
      <c r="Z209" s="223"/>
      <c r="AA209" s="223"/>
      <c r="AB209" s="225"/>
      <c r="AC209" s="225"/>
      <c r="AD209" s="225"/>
      <c r="AE209" s="225"/>
      <c r="AF209" s="225"/>
      <c r="AG209" s="225"/>
      <c r="AH209" s="225"/>
      <c r="AI209" s="225"/>
      <c r="AJ209" s="225"/>
      <c r="AK209" s="225"/>
      <c r="AL209" s="223"/>
      <c r="AM209" s="137"/>
      <c r="AN209" s="217"/>
      <c r="AO209" s="217"/>
      <c r="AP209" s="217"/>
      <c r="AQ209" s="217"/>
      <c r="AR209" s="217"/>
      <c r="AS209" s="221"/>
      <c r="AT209" s="221"/>
      <c r="AU209" s="221"/>
      <c r="AV209" s="221"/>
      <c r="AW209" s="222"/>
      <c r="AX209" s="222"/>
      <c r="AY209" s="222"/>
      <c r="AZ209" s="222"/>
      <c r="BA209" s="222"/>
      <c r="BB209" s="222"/>
      <c r="BC209" s="222"/>
      <c r="BD209" s="223"/>
      <c r="BE209" s="223"/>
      <c r="BF209" s="223"/>
      <c r="BG209" s="223"/>
      <c r="BH209" s="223"/>
      <c r="BI209" s="223"/>
      <c r="BJ209" s="223"/>
      <c r="BK209" s="223"/>
      <c r="BL209" s="223"/>
      <c r="BM209" s="225"/>
      <c r="BN209" s="225"/>
      <c r="BO209" s="225"/>
      <c r="BP209" s="225"/>
      <c r="BQ209" s="225"/>
      <c r="BR209" s="225"/>
      <c r="BS209" s="225"/>
      <c r="BT209" s="225"/>
      <c r="BU209" s="225"/>
      <c r="BV209" s="225"/>
      <c r="BW209" s="223"/>
      <c r="BX209" s="137"/>
      <c r="BY209" s="217"/>
      <c r="BZ209" s="217"/>
      <c r="CA209" s="217"/>
      <c r="CB209" s="217"/>
      <c r="CC209" s="217"/>
      <c r="CD209" s="221"/>
      <c r="CE209" s="221"/>
      <c r="CF209" s="221"/>
      <c r="CG209" s="221"/>
      <c r="CH209" s="222"/>
      <c r="CI209" s="222"/>
      <c r="CJ209" s="222"/>
      <c r="CK209" s="222"/>
      <c r="CL209" s="222"/>
      <c r="CM209" s="222"/>
      <c r="CN209" s="222"/>
      <c r="CO209" s="223"/>
      <c r="CP209" s="223"/>
      <c r="CQ209" s="223"/>
      <c r="CR209" s="223"/>
      <c r="CS209" s="223"/>
      <c r="CT209" s="223"/>
      <c r="CU209" s="223"/>
      <c r="CV209" s="223"/>
      <c r="CW209" s="223"/>
      <c r="CX209" s="225"/>
      <c r="CY209" s="225"/>
      <c r="CZ209" s="225"/>
      <c r="DA209" s="225"/>
      <c r="DB209" s="225"/>
      <c r="DC209" s="225"/>
      <c r="DD209" s="225"/>
      <c r="DE209" s="225"/>
      <c r="DF209" s="225"/>
      <c r="DG209" s="225"/>
      <c r="DH209" s="223"/>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row>
    <row r="210" spans="2:190" ht="360" customHeight="1" thickBot="1">
      <c r="B210"/>
      <c r="C210" s="217"/>
      <c r="D210" s="1378" t="s">
        <v>232</v>
      </c>
      <c r="E210" s="1379"/>
      <c r="F210" s="1379"/>
      <c r="G210" s="1379"/>
      <c r="H210" s="1379"/>
      <c r="I210" s="1379"/>
      <c r="J210" s="1379"/>
      <c r="K210" s="1379"/>
      <c r="L210" s="1379"/>
      <c r="M210" s="1379"/>
      <c r="N210" s="1379"/>
      <c r="O210" s="1379"/>
      <c r="P210" s="1379"/>
      <c r="Q210" s="1379"/>
      <c r="R210" s="1379"/>
      <c r="S210" s="1379"/>
      <c r="T210" s="1379"/>
      <c r="U210" s="1379"/>
      <c r="V210" s="1379"/>
      <c r="W210" s="1379"/>
      <c r="X210" s="1379"/>
      <c r="Y210" s="1379"/>
      <c r="Z210" s="1379"/>
      <c r="AA210" s="1379"/>
      <c r="AB210" s="1379"/>
      <c r="AC210" s="1379"/>
      <c r="AD210" s="1379"/>
      <c r="AE210" s="1379"/>
      <c r="AF210" s="1379"/>
      <c r="AG210" s="1379"/>
      <c r="AH210" s="1379"/>
      <c r="AI210" s="1379"/>
      <c r="AJ210" s="1379"/>
      <c r="AK210" s="1380"/>
      <c r="AL210" s="225"/>
      <c r="AM210"/>
      <c r="AN210" s="217"/>
      <c r="AO210" s="1378" t="s">
        <v>232</v>
      </c>
      <c r="AP210" s="1379"/>
      <c r="AQ210" s="1379"/>
      <c r="AR210" s="1379"/>
      <c r="AS210" s="1379"/>
      <c r="AT210" s="1379"/>
      <c r="AU210" s="1379"/>
      <c r="AV210" s="1379"/>
      <c r="AW210" s="1379"/>
      <c r="AX210" s="1379"/>
      <c r="AY210" s="1379"/>
      <c r="AZ210" s="1379"/>
      <c r="BA210" s="1379"/>
      <c r="BB210" s="1379"/>
      <c r="BC210" s="1379"/>
      <c r="BD210" s="1379"/>
      <c r="BE210" s="1379"/>
      <c r="BF210" s="1379"/>
      <c r="BG210" s="1379"/>
      <c r="BH210" s="1379"/>
      <c r="BI210" s="1379"/>
      <c r="BJ210" s="1379"/>
      <c r="BK210" s="1379"/>
      <c r="BL210" s="1379"/>
      <c r="BM210" s="1379"/>
      <c r="BN210" s="1379"/>
      <c r="BO210" s="1379"/>
      <c r="BP210" s="1379"/>
      <c r="BQ210" s="1379"/>
      <c r="BR210" s="1379"/>
      <c r="BS210" s="1379"/>
      <c r="BT210" s="1379"/>
      <c r="BU210" s="1379"/>
      <c r="BV210" s="1380"/>
      <c r="BW210" s="225"/>
      <c r="BX210"/>
      <c r="BY210" s="217"/>
      <c r="BZ210" s="1378" t="s">
        <v>232</v>
      </c>
      <c r="CA210" s="1379"/>
      <c r="CB210" s="1379"/>
      <c r="CC210" s="1379"/>
      <c r="CD210" s="1379"/>
      <c r="CE210" s="1379"/>
      <c r="CF210" s="1379"/>
      <c r="CG210" s="1379"/>
      <c r="CH210" s="1379"/>
      <c r="CI210" s="1379"/>
      <c r="CJ210" s="1379"/>
      <c r="CK210" s="1379"/>
      <c r="CL210" s="1379"/>
      <c r="CM210" s="1379"/>
      <c r="CN210" s="1379"/>
      <c r="CO210" s="1379"/>
      <c r="CP210" s="1379"/>
      <c r="CQ210" s="1379"/>
      <c r="CR210" s="1379"/>
      <c r="CS210" s="1379"/>
      <c r="CT210" s="1379"/>
      <c r="CU210" s="1379"/>
      <c r="CV210" s="1379"/>
      <c r="CW210" s="1379"/>
      <c r="CX210" s="1379"/>
      <c r="CY210" s="1379"/>
      <c r="CZ210" s="1379"/>
      <c r="DA210" s="1379"/>
      <c r="DB210" s="1379"/>
      <c r="DC210" s="1379"/>
      <c r="DD210" s="1379"/>
      <c r="DE210" s="1379"/>
      <c r="DF210" s="1379"/>
      <c r="DG210" s="1380"/>
      <c r="DH210" s="225"/>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row>
    <row r="211" spans="2:190" ht="42" customHeight="1" thickBot="1">
      <c r="B211"/>
      <c r="C211" s="217"/>
      <c r="D211" s="217"/>
      <c r="E211" s="217"/>
      <c r="F211" s="217"/>
      <c r="G211" s="217"/>
      <c r="H211" s="221"/>
      <c r="I211" s="221"/>
      <c r="J211" s="221"/>
      <c r="K211" s="221"/>
      <c r="L211" s="222"/>
      <c r="M211" s="222"/>
      <c r="N211" s="222"/>
      <c r="O211" s="222"/>
      <c r="P211" s="222"/>
      <c r="Q211" s="222"/>
      <c r="R211" s="222"/>
      <c r="S211" s="223"/>
      <c r="T211" s="223"/>
      <c r="U211" s="223"/>
      <c r="V211" s="223"/>
      <c r="W211" s="223"/>
      <c r="X211" s="223"/>
      <c r="Y211" s="223"/>
      <c r="Z211" s="223"/>
      <c r="AA211" s="223"/>
      <c r="AB211" s="225"/>
      <c r="AC211" s="225"/>
      <c r="AD211" s="225"/>
      <c r="AE211" s="225"/>
      <c r="AF211" s="225"/>
      <c r="AG211" s="225"/>
      <c r="AH211" s="225"/>
      <c r="AI211" s="225"/>
      <c r="AJ211" s="225"/>
      <c r="AK211" s="225"/>
      <c r="AL211" s="223"/>
      <c r="AM211" s="137"/>
      <c r="AN211" s="217"/>
      <c r="AO211" s="217"/>
      <c r="AP211" s="217"/>
      <c r="AQ211" s="217"/>
      <c r="AR211" s="217"/>
      <c r="AS211" s="221"/>
      <c r="AT211" s="221"/>
      <c r="AU211" s="221"/>
      <c r="AV211" s="221"/>
      <c r="AW211" s="222"/>
      <c r="AX211" s="222"/>
      <c r="AY211" s="222"/>
      <c r="AZ211" s="222"/>
      <c r="BA211" s="222"/>
      <c r="BB211" s="222"/>
      <c r="BC211" s="222"/>
      <c r="BD211" s="223"/>
      <c r="BE211" s="223"/>
      <c r="BF211" s="223"/>
      <c r="BG211" s="223"/>
      <c r="BH211" s="223"/>
      <c r="BI211" s="223"/>
      <c r="BJ211" s="223"/>
      <c r="BK211" s="223"/>
      <c r="BL211" s="223"/>
      <c r="BM211" s="225"/>
      <c r="BN211" s="225"/>
      <c r="BO211" s="225"/>
      <c r="BP211" s="225"/>
      <c r="BQ211" s="225"/>
      <c r="BR211" s="225"/>
      <c r="BS211" s="225"/>
      <c r="BT211" s="225"/>
      <c r="BU211" s="225"/>
      <c r="BV211" s="225"/>
      <c r="BW211" s="223"/>
      <c r="BX211" s="137"/>
      <c r="BY211" s="217"/>
      <c r="BZ211" s="217"/>
      <c r="CA211" s="217"/>
      <c r="CB211" s="217"/>
      <c r="CC211" s="217"/>
      <c r="CD211" s="221"/>
      <c r="CE211" s="221"/>
      <c r="CF211" s="221"/>
      <c r="CG211" s="221"/>
      <c r="CH211" s="222"/>
      <c r="CI211" s="222"/>
      <c r="CJ211" s="222"/>
      <c r="CK211" s="222"/>
      <c r="CL211" s="222"/>
      <c r="CM211" s="222"/>
      <c r="CN211" s="222"/>
      <c r="CO211" s="223"/>
      <c r="CP211" s="223"/>
      <c r="CQ211" s="223"/>
      <c r="CR211" s="223"/>
      <c r="CS211" s="223"/>
      <c r="CT211" s="223"/>
      <c r="CU211" s="223"/>
      <c r="CV211" s="223"/>
      <c r="CW211" s="223"/>
      <c r="CX211" s="225"/>
      <c r="CY211" s="225"/>
      <c r="CZ211" s="225"/>
      <c r="DA211" s="225"/>
      <c r="DB211" s="225"/>
      <c r="DC211" s="225"/>
      <c r="DD211" s="225"/>
      <c r="DE211" s="225"/>
      <c r="DF211" s="225"/>
      <c r="DG211" s="225"/>
      <c r="DH211" s="223"/>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row>
    <row r="212" spans="2:190" ht="133" customHeight="1" thickBot="1">
      <c r="B212"/>
      <c r="C212" s="221"/>
      <c r="D212" s="1375" t="s">
        <v>198</v>
      </c>
      <c r="E212" s="1376"/>
      <c r="F212" s="1376"/>
      <c r="G212" s="1376"/>
      <c r="H212" s="1376"/>
      <c r="I212" s="1376"/>
      <c r="J212" s="1376"/>
      <c r="K212" s="1376"/>
      <c r="L212" s="1376"/>
      <c r="M212" s="1376"/>
      <c r="N212" s="1376"/>
      <c r="O212" s="1376"/>
      <c r="P212" s="1376"/>
      <c r="Q212" s="1376"/>
      <c r="R212" s="1376"/>
      <c r="S212" s="1376"/>
      <c r="T212" s="1376"/>
      <c r="U212" s="1376"/>
      <c r="V212" s="1376"/>
      <c r="W212" s="1376"/>
      <c r="X212" s="1376"/>
      <c r="Y212" s="1376"/>
      <c r="Z212" s="1376"/>
      <c r="AA212" s="1376"/>
      <c r="AB212" s="1376"/>
      <c r="AC212" s="1376"/>
      <c r="AD212" s="1376"/>
      <c r="AE212" s="1376"/>
      <c r="AF212" s="1376"/>
      <c r="AG212" s="1376"/>
      <c r="AH212" s="1376"/>
      <c r="AI212" s="1376"/>
      <c r="AJ212" s="1376"/>
      <c r="AK212" s="1377"/>
      <c r="AL212" s="225"/>
      <c r="AM212"/>
      <c r="AN212" s="221"/>
      <c r="AO212" s="1375" t="s">
        <v>198</v>
      </c>
      <c r="AP212" s="1376"/>
      <c r="AQ212" s="1376"/>
      <c r="AR212" s="1376"/>
      <c r="AS212" s="1376"/>
      <c r="AT212" s="1376"/>
      <c r="AU212" s="1376"/>
      <c r="AV212" s="1376"/>
      <c r="AW212" s="1376"/>
      <c r="AX212" s="1376"/>
      <c r="AY212" s="1376"/>
      <c r="AZ212" s="1376"/>
      <c r="BA212" s="1376"/>
      <c r="BB212" s="1376"/>
      <c r="BC212" s="1376"/>
      <c r="BD212" s="1376"/>
      <c r="BE212" s="1376"/>
      <c r="BF212" s="1376"/>
      <c r="BG212" s="1376"/>
      <c r="BH212" s="1376"/>
      <c r="BI212" s="1376"/>
      <c r="BJ212" s="1376"/>
      <c r="BK212" s="1376"/>
      <c r="BL212" s="1376"/>
      <c r="BM212" s="1376"/>
      <c r="BN212" s="1376"/>
      <c r="BO212" s="1376"/>
      <c r="BP212" s="1376"/>
      <c r="BQ212" s="1376"/>
      <c r="BR212" s="1376"/>
      <c r="BS212" s="1376"/>
      <c r="BT212" s="1376"/>
      <c r="BU212" s="1376"/>
      <c r="BV212" s="1377"/>
      <c r="BW212" s="225"/>
      <c r="BX212"/>
      <c r="BY212" s="221"/>
      <c r="BZ212" s="1375" t="s">
        <v>198</v>
      </c>
      <c r="CA212" s="1376"/>
      <c r="CB212" s="1376"/>
      <c r="CC212" s="1376"/>
      <c r="CD212" s="1376"/>
      <c r="CE212" s="1376"/>
      <c r="CF212" s="1376"/>
      <c r="CG212" s="1376"/>
      <c r="CH212" s="1376"/>
      <c r="CI212" s="1376"/>
      <c r="CJ212" s="1376"/>
      <c r="CK212" s="1376"/>
      <c r="CL212" s="1376"/>
      <c r="CM212" s="1376"/>
      <c r="CN212" s="1376"/>
      <c r="CO212" s="1376"/>
      <c r="CP212" s="1376"/>
      <c r="CQ212" s="1376"/>
      <c r="CR212" s="1376"/>
      <c r="CS212" s="1376"/>
      <c r="CT212" s="1376"/>
      <c r="CU212" s="1376"/>
      <c r="CV212" s="1376"/>
      <c r="CW212" s="1376"/>
      <c r="CX212" s="1376"/>
      <c r="CY212" s="1376"/>
      <c r="CZ212" s="1376"/>
      <c r="DA212" s="1376"/>
      <c r="DB212" s="1376"/>
      <c r="DC212" s="1376"/>
      <c r="DD212" s="1376"/>
      <c r="DE212" s="1376"/>
      <c r="DF212" s="1376"/>
      <c r="DG212" s="1377"/>
      <c r="DH212" s="225"/>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row>
    <row r="213" spans="2:190" ht="42" customHeight="1" thickBot="1">
      <c r="B213"/>
      <c r="C213" s="217" t="s">
        <v>161</v>
      </c>
      <c r="D213" s="217"/>
      <c r="E213" s="217" t="s">
        <v>209</v>
      </c>
      <c r="F213" s="217" t="s">
        <v>162</v>
      </c>
      <c r="G213" s="217"/>
      <c r="H213" s="221"/>
      <c r="I213" s="221"/>
      <c r="J213" s="221"/>
      <c r="K213" s="221"/>
      <c r="L213" s="222"/>
      <c r="M213" s="222"/>
      <c r="N213" s="222"/>
      <c r="O213" s="222"/>
      <c r="P213" s="222"/>
      <c r="Q213" s="222"/>
      <c r="R213" s="222"/>
      <c r="S213" s="223"/>
      <c r="T213" s="223"/>
      <c r="U213" s="223"/>
      <c r="V213" s="223"/>
      <c r="W213" s="223"/>
      <c r="X213" s="223"/>
      <c r="Y213" s="223"/>
      <c r="Z213" s="223"/>
      <c r="AA213" s="223"/>
      <c r="AB213" s="225"/>
      <c r="AC213" s="225"/>
      <c r="AD213" s="225"/>
      <c r="AE213" s="225"/>
      <c r="AF213" s="225"/>
      <c r="AG213" s="225"/>
      <c r="AH213" s="225"/>
      <c r="AI213" s="225"/>
      <c r="AJ213" s="225"/>
      <c r="AK213" s="225"/>
      <c r="AL213" s="223"/>
      <c r="AM213" s="137"/>
      <c r="AN213" s="217" t="s">
        <v>161</v>
      </c>
      <c r="AO213" s="217"/>
      <c r="AP213" s="217" t="s">
        <v>209</v>
      </c>
      <c r="AQ213" s="217" t="s">
        <v>162</v>
      </c>
      <c r="AR213" s="217"/>
      <c r="AS213" s="221"/>
      <c r="AT213" s="221"/>
      <c r="AU213" s="221"/>
      <c r="AV213" s="221"/>
      <c r="AW213" s="222"/>
      <c r="AX213" s="222"/>
      <c r="AY213" s="222"/>
      <c r="AZ213" s="222"/>
      <c r="BA213" s="222"/>
      <c r="BB213" s="222"/>
      <c r="BC213" s="222"/>
      <c r="BD213" s="223"/>
      <c r="BE213" s="223"/>
      <c r="BF213" s="223"/>
      <c r="BG213" s="223"/>
      <c r="BH213" s="223"/>
      <c r="BI213" s="223"/>
      <c r="BJ213" s="223"/>
      <c r="BK213" s="223"/>
      <c r="BL213" s="223"/>
      <c r="BM213" s="225"/>
      <c r="BN213" s="225"/>
      <c r="BO213" s="225"/>
      <c r="BP213" s="225"/>
      <c r="BQ213" s="225"/>
      <c r="BR213" s="225"/>
      <c r="BS213" s="225"/>
      <c r="BT213" s="225"/>
      <c r="BU213" s="225"/>
      <c r="BV213" s="225"/>
      <c r="BW213" s="223"/>
      <c r="BX213" s="137"/>
      <c r="BY213" s="217" t="s">
        <v>161</v>
      </c>
      <c r="BZ213" s="217"/>
      <c r="CA213" s="217" t="s">
        <v>209</v>
      </c>
      <c r="CB213" s="217" t="s">
        <v>162</v>
      </c>
      <c r="CC213" s="217"/>
      <c r="CD213" s="221"/>
      <c r="CE213" s="221"/>
      <c r="CF213" s="221"/>
      <c r="CG213" s="221"/>
      <c r="CH213" s="222"/>
      <c r="CI213" s="222"/>
      <c r="CJ213" s="222"/>
      <c r="CK213" s="222"/>
      <c r="CL213" s="222"/>
      <c r="CM213" s="222"/>
      <c r="CN213" s="222"/>
      <c r="CO213" s="223"/>
      <c r="CP213" s="223"/>
      <c r="CQ213" s="223"/>
      <c r="CR213" s="223"/>
      <c r="CS213" s="223"/>
      <c r="CT213" s="223"/>
      <c r="CU213" s="223"/>
      <c r="CV213" s="223"/>
      <c r="CW213" s="223"/>
      <c r="CX213" s="225"/>
      <c r="CY213" s="225"/>
      <c r="CZ213" s="225"/>
      <c r="DA213" s="225"/>
      <c r="DB213" s="225"/>
      <c r="DC213" s="225"/>
      <c r="DD213" s="225"/>
      <c r="DE213" s="225"/>
      <c r="DF213" s="225"/>
      <c r="DG213" s="225"/>
      <c r="DH213" s="223"/>
      <c r="DI213"/>
      <c r="DJ213" s="420"/>
      <c r="DK213" s="420">
        <v>0</v>
      </c>
      <c r="DL213" s="420"/>
      <c r="DM213"/>
      <c r="DN213"/>
      <c r="DO213"/>
      <c r="DP213"/>
      <c r="DQ213"/>
      <c r="DR213"/>
      <c r="DS213"/>
      <c r="DT213"/>
      <c r="DU213"/>
      <c r="DV213"/>
      <c r="DW213"/>
      <c r="DX213"/>
      <c r="DY213"/>
      <c r="DZ213"/>
      <c r="EA213"/>
      <c r="EB213"/>
      <c r="EC213"/>
      <c r="ED213"/>
      <c r="EE213"/>
      <c r="EF213"/>
      <c r="EG213"/>
      <c r="EH213"/>
      <c r="EI213" s="420"/>
      <c r="EJ213" s="420">
        <v>0</v>
      </c>
      <c r="EK213" s="420"/>
      <c r="EL213"/>
      <c r="EM213"/>
      <c r="EN213"/>
      <c r="EO213"/>
      <c r="EP213"/>
      <c r="EQ213"/>
      <c r="ER213"/>
      <c r="ES213"/>
      <c r="ET213"/>
      <c r="EU213"/>
      <c r="EV213"/>
      <c r="EW213"/>
      <c r="EX213"/>
      <c r="EY213"/>
      <c r="EZ213"/>
      <c r="FA213"/>
      <c r="FB213"/>
      <c r="FC213"/>
      <c r="FD213"/>
      <c r="FE213"/>
      <c r="FF213"/>
      <c r="FG213"/>
      <c r="FH213" s="420"/>
      <c r="FI213" s="420">
        <v>0</v>
      </c>
      <c r="FJ213" s="420"/>
      <c r="FK213"/>
      <c r="FL213"/>
      <c r="FM213"/>
      <c r="FN213"/>
      <c r="FO213"/>
      <c r="FP213"/>
      <c r="FQ213"/>
      <c r="FR213"/>
      <c r="FS213"/>
      <c r="FT213"/>
      <c r="FU213"/>
      <c r="FV213"/>
      <c r="FW213"/>
      <c r="FX213"/>
      <c r="FY213"/>
      <c r="FZ213"/>
      <c r="GA213"/>
      <c r="GB213"/>
      <c r="GC213"/>
      <c r="GD213"/>
      <c r="GE213"/>
      <c r="GF213"/>
      <c r="GG213"/>
      <c r="GH213"/>
    </row>
    <row r="214" spans="2:190" ht="42" customHeight="1">
      <c r="B214"/>
      <c r="C214" s="218"/>
      <c r="D214" s="160">
        <v>0</v>
      </c>
      <c r="E214" s="161">
        <f>参数实验室!E56</f>
        <v>-7.2714895967875268E-2</v>
      </c>
      <c r="F214" s="162">
        <v>2</v>
      </c>
      <c r="G214" s="217"/>
      <c r="H214" s="217"/>
      <c r="I214" s="217"/>
      <c r="J214" s="217"/>
      <c r="K214" s="217"/>
      <c r="L214" s="221"/>
      <c r="M214" s="221"/>
      <c r="N214" s="221"/>
      <c r="O214" s="221"/>
      <c r="P214" s="221"/>
      <c r="Q214" s="221"/>
      <c r="R214" s="221"/>
      <c r="S214" s="222"/>
      <c r="T214" s="222"/>
      <c r="U214" s="222"/>
      <c r="V214" s="222"/>
      <c r="W214" s="222"/>
      <c r="X214" s="222"/>
      <c r="Y214" s="222"/>
      <c r="Z214" s="222"/>
      <c r="AA214" s="222"/>
      <c r="AB214" s="223"/>
      <c r="AC214" s="223"/>
      <c r="AD214" s="223"/>
      <c r="AE214" s="223"/>
      <c r="AF214" s="223"/>
      <c r="AG214" s="223"/>
      <c r="AH214" s="223"/>
      <c r="AI214" s="223"/>
      <c r="AJ214" s="223"/>
      <c r="AK214" s="223"/>
      <c r="AL214" s="225"/>
      <c r="AM214" s="137"/>
      <c r="AN214" s="218"/>
      <c r="AO214" s="160">
        <v>0</v>
      </c>
      <c r="AP214" s="161">
        <f>参数实验室!AQ56</f>
        <v>0</v>
      </c>
      <c r="AQ214" s="162">
        <v>2</v>
      </c>
      <c r="AR214" s="217"/>
      <c r="AS214" s="217"/>
      <c r="AT214" s="217"/>
      <c r="AU214" s="217"/>
      <c r="AV214" s="217"/>
      <c r="AW214" s="221"/>
      <c r="AX214" s="221"/>
      <c r="AY214" s="221"/>
      <c r="AZ214" s="221"/>
      <c r="BA214" s="221"/>
      <c r="BB214" s="221"/>
      <c r="BC214" s="221"/>
      <c r="BD214" s="222"/>
      <c r="BE214" s="222"/>
      <c r="BF214" s="222"/>
      <c r="BG214" s="222"/>
      <c r="BH214" s="222"/>
      <c r="BI214" s="222"/>
      <c r="BJ214" s="222"/>
      <c r="BK214" s="222"/>
      <c r="BL214" s="222"/>
      <c r="BM214" s="223"/>
      <c r="BN214" s="223"/>
      <c r="BO214" s="223"/>
      <c r="BP214" s="223"/>
      <c r="BQ214" s="223"/>
      <c r="BR214" s="223"/>
      <c r="BS214" s="223"/>
      <c r="BT214" s="223"/>
      <c r="BU214" s="223"/>
      <c r="BV214" s="223"/>
      <c r="BW214" s="225"/>
      <c r="BX214" s="137"/>
      <c r="BY214" s="218"/>
      <c r="BZ214" s="160">
        <v>0</v>
      </c>
      <c r="CA214" s="161">
        <f>参数实验室!CB56</f>
        <v>0</v>
      </c>
      <c r="CB214" s="162">
        <v>2</v>
      </c>
      <c r="CC214" s="217"/>
      <c r="CD214" s="217"/>
      <c r="CE214" s="217"/>
      <c r="CF214" s="217"/>
      <c r="CG214" s="217"/>
      <c r="CH214" s="221"/>
      <c r="CI214" s="221"/>
      <c r="CJ214" s="221"/>
      <c r="CK214" s="221"/>
      <c r="CL214" s="221"/>
      <c r="CM214" s="221"/>
      <c r="CN214" s="221"/>
      <c r="CO214" s="222"/>
      <c r="CP214" s="222"/>
      <c r="CQ214" s="222"/>
      <c r="CR214" s="222"/>
      <c r="CS214" s="222"/>
      <c r="CT214" s="222"/>
      <c r="CU214" s="222"/>
      <c r="CV214" s="222"/>
      <c r="CW214" s="222"/>
      <c r="CX214" s="223"/>
      <c r="CY214" s="223"/>
      <c r="CZ214" s="223"/>
      <c r="DA214" s="223"/>
      <c r="DB214" s="223"/>
      <c r="DC214" s="223"/>
      <c r="DD214" s="223"/>
      <c r="DE214" s="223"/>
      <c r="DF214" s="223"/>
      <c r="DG214" s="223"/>
      <c r="DH214" s="225"/>
      <c r="DI214"/>
      <c r="DJ214" s="420">
        <v>0</v>
      </c>
      <c r="DK214" s="420"/>
      <c r="DL214" s="420"/>
      <c r="DM214"/>
      <c r="DN214"/>
      <c r="DO214"/>
      <c r="DP214"/>
      <c r="DQ214"/>
      <c r="DR214"/>
      <c r="DS214"/>
      <c r="DT214"/>
      <c r="DU214"/>
      <c r="DV214"/>
      <c r="DW214"/>
      <c r="DX214"/>
      <c r="DY214"/>
      <c r="DZ214"/>
      <c r="EA214"/>
      <c r="EB214"/>
      <c r="EC214"/>
      <c r="ED214"/>
      <c r="EE214"/>
      <c r="EF214"/>
      <c r="EG214"/>
      <c r="EH214"/>
      <c r="EI214" s="420">
        <v>0</v>
      </c>
      <c r="EJ214" s="420"/>
      <c r="EK214" s="420"/>
      <c r="EL214"/>
      <c r="EM214"/>
      <c r="EN214"/>
      <c r="EO214"/>
      <c r="EP214"/>
      <c r="EQ214"/>
      <c r="ER214"/>
      <c r="ES214"/>
      <c r="ET214"/>
      <c r="EU214"/>
      <c r="EV214"/>
      <c r="EW214"/>
      <c r="EX214"/>
      <c r="EY214"/>
      <c r="EZ214"/>
      <c r="FA214"/>
      <c r="FB214"/>
      <c r="FC214"/>
      <c r="FD214"/>
      <c r="FE214"/>
      <c r="FF214"/>
      <c r="FG214"/>
      <c r="FH214" s="420">
        <v>0</v>
      </c>
      <c r="FI214" s="420"/>
      <c r="FJ214" s="420"/>
      <c r="FK214"/>
      <c r="FL214"/>
      <c r="FM214"/>
      <c r="FN214"/>
      <c r="FO214"/>
      <c r="FP214"/>
      <c r="FQ214"/>
      <c r="FR214"/>
      <c r="FS214"/>
      <c r="FT214"/>
      <c r="FU214"/>
      <c r="FV214"/>
      <c r="FW214"/>
      <c r="FX214"/>
      <c r="FY214"/>
      <c r="FZ214"/>
      <c r="GA214"/>
      <c r="GB214"/>
      <c r="GC214"/>
      <c r="GD214"/>
      <c r="GE214"/>
      <c r="GF214"/>
      <c r="GG214"/>
      <c r="GH214"/>
    </row>
    <row r="215" spans="2:190" ht="42" customHeight="1" thickBot="1">
      <c r="B215"/>
      <c r="C215" s="219" t="s">
        <v>210</v>
      </c>
      <c r="D215" s="163">
        <f>参数实验室!E60</f>
        <v>0.10862995623009114</v>
      </c>
      <c r="E215" s="165" t="s">
        <v>164</v>
      </c>
      <c r="F215" s="166"/>
      <c r="G215" s="170">
        <v>-1.5</v>
      </c>
      <c r="H215" s="171">
        <v>-1.4</v>
      </c>
      <c r="I215" s="171">
        <v>-1.3</v>
      </c>
      <c r="J215" s="171">
        <v>-1.2</v>
      </c>
      <c r="K215" s="171">
        <v>-1.1000000000000001</v>
      </c>
      <c r="L215" s="171">
        <v>-1</v>
      </c>
      <c r="M215" s="171">
        <v>-0.9</v>
      </c>
      <c r="N215" s="171">
        <v>-0.8</v>
      </c>
      <c r="O215" s="171">
        <v>-0.7</v>
      </c>
      <c r="P215" s="171">
        <v>-0.6</v>
      </c>
      <c r="Q215" s="171">
        <v>-0.5</v>
      </c>
      <c r="R215" s="171">
        <v>-0.4</v>
      </c>
      <c r="S215" s="171">
        <v>-0.3</v>
      </c>
      <c r="T215" s="171">
        <v>-0.2</v>
      </c>
      <c r="U215" s="171">
        <v>-0.1</v>
      </c>
      <c r="V215" s="171">
        <v>0</v>
      </c>
      <c r="W215" s="171">
        <v>0.1</v>
      </c>
      <c r="X215" s="171">
        <v>0.2</v>
      </c>
      <c r="Y215" s="171">
        <v>0.3</v>
      </c>
      <c r="Z215" s="171">
        <v>0.4</v>
      </c>
      <c r="AA215" s="171">
        <v>0.5</v>
      </c>
      <c r="AB215" s="171">
        <v>0.6</v>
      </c>
      <c r="AC215" s="171">
        <v>0.7</v>
      </c>
      <c r="AD215" s="171">
        <v>0.8</v>
      </c>
      <c r="AE215" s="171">
        <v>0.9</v>
      </c>
      <c r="AF215" s="171">
        <v>1</v>
      </c>
      <c r="AG215" s="171">
        <v>1.1000000000000001</v>
      </c>
      <c r="AH215" s="171">
        <v>1.2</v>
      </c>
      <c r="AI215" s="171">
        <v>1.3</v>
      </c>
      <c r="AJ215" s="171">
        <v>1.4</v>
      </c>
      <c r="AK215" s="171">
        <v>1.5</v>
      </c>
      <c r="AL215" s="223"/>
      <c r="AM215" s="137"/>
      <c r="AN215" s="219" t="s">
        <v>210</v>
      </c>
      <c r="AO215" s="163">
        <f>参数实验室!AQ60</f>
        <v>0</v>
      </c>
      <c r="AP215" s="165" t="s">
        <v>164</v>
      </c>
      <c r="AQ215" s="166"/>
      <c r="AR215" s="170">
        <v>-1.5</v>
      </c>
      <c r="AS215" s="171">
        <v>-1.4</v>
      </c>
      <c r="AT215" s="171">
        <v>-1.3</v>
      </c>
      <c r="AU215" s="171">
        <v>-1.2</v>
      </c>
      <c r="AV215" s="171">
        <v>-1.1000000000000001</v>
      </c>
      <c r="AW215" s="171">
        <v>-1</v>
      </c>
      <c r="AX215" s="171">
        <v>-0.9</v>
      </c>
      <c r="AY215" s="171">
        <v>-0.8</v>
      </c>
      <c r="AZ215" s="171">
        <v>-0.7</v>
      </c>
      <c r="BA215" s="171">
        <v>-0.6</v>
      </c>
      <c r="BB215" s="171">
        <v>-0.5</v>
      </c>
      <c r="BC215" s="171">
        <v>-0.4</v>
      </c>
      <c r="BD215" s="171">
        <v>-0.3</v>
      </c>
      <c r="BE215" s="171">
        <v>-0.2</v>
      </c>
      <c r="BF215" s="171">
        <v>-0.1</v>
      </c>
      <c r="BG215" s="171">
        <v>0</v>
      </c>
      <c r="BH215" s="171">
        <v>0.1</v>
      </c>
      <c r="BI215" s="171">
        <v>0.2</v>
      </c>
      <c r="BJ215" s="171">
        <v>0.3</v>
      </c>
      <c r="BK215" s="171">
        <v>0.4</v>
      </c>
      <c r="BL215" s="171">
        <v>0.5</v>
      </c>
      <c r="BM215" s="171">
        <v>0.6</v>
      </c>
      <c r="BN215" s="171">
        <v>0.7</v>
      </c>
      <c r="BO215" s="171">
        <v>0.8</v>
      </c>
      <c r="BP215" s="171">
        <v>0.9</v>
      </c>
      <c r="BQ215" s="171">
        <v>1</v>
      </c>
      <c r="BR215" s="171">
        <v>1.1000000000000001</v>
      </c>
      <c r="BS215" s="171">
        <v>1.2</v>
      </c>
      <c r="BT215" s="171">
        <v>1.3</v>
      </c>
      <c r="BU215" s="171">
        <v>1.4</v>
      </c>
      <c r="BV215" s="171">
        <v>1.5</v>
      </c>
      <c r="BW215" s="223"/>
      <c r="BX215" s="137"/>
      <c r="BY215" s="219" t="s">
        <v>210</v>
      </c>
      <c r="BZ215" s="163">
        <f>参数实验室!CB60</f>
        <v>0</v>
      </c>
      <c r="CA215" s="165" t="s">
        <v>164</v>
      </c>
      <c r="CB215" s="166"/>
      <c r="CC215" s="170">
        <v>-1.5</v>
      </c>
      <c r="CD215" s="171">
        <v>-1.4</v>
      </c>
      <c r="CE215" s="171">
        <v>-1.3</v>
      </c>
      <c r="CF215" s="171">
        <v>-1.2</v>
      </c>
      <c r="CG215" s="171">
        <v>-1.1000000000000001</v>
      </c>
      <c r="CH215" s="171">
        <v>-1</v>
      </c>
      <c r="CI215" s="171">
        <v>-0.9</v>
      </c>
      <c r="CJ215" s="171">
        <v>-0.8</v>
      </c>
      <c r="CK215" s="171">
        <v>-0.7</v>
      </c>
      <c r="CL215" s="171">
        <v>-0.6</v>
      </c>
      <c r="CM215" s="171">
        <v>-0.5</v>
      </c>
      <c r="CN215" s="171">
        <v>-0.4</v>
      </c>
      <c r="CO215" s="171">
        <v>-0.3</v>
      </c>
      <c r="CP215" s="171">
        <v>-0.2</v>
      </c>
      <c r="CQ215" s="171">
        <v>-0.1</v>
      </c>
      <c r="CR215" s="171">
        <v>0</v>
      </c>
      <c r="CS215" s="171">
        <v>0.1</v>
      </c>
      <c r="CT215" s="171">
        <v>0.2</v>
      </c>
      <c r="CU215" s="171">
        <v>0.3</v>
      </c>
      <c r="CV215" s="171">
        <v>0.4</v>
      </c>
      <c r="CW215" s="171">
        <v>0.5</v>
      </c>
      <c r="CX215" s="171">
        <v>0.6</v>
      </c>
      <c r="CY215" s="171">
        <v>0.7</v>
      </c>
      <c r="CZ215" s="171">
        <v>0.8</v>
      </c>
      <c r="DA215" s="171">
        <v>0.9</v>
      </c>
      <c r="DB215" s="171">
        <v>1</v>
      </c>
      <c r="DC215" s="171">
        <v>1.1000000000000001</v>
      </c>
      <c r="DD215" s="171">
        <v>1.2</v>
      </c>
      <c r="DE215" s="171">
        <v>1.3</v>
      </c>
      <c r="DF215" s="171">
        <v>1.4</v>
      </c>
      <c r="DG215" s="171">
        <v>1.5</v>
      </c>
      <c r="DH215" s="223"/>
      <c r="DI215"/>
      <c r="DJ215" s="420"/>
      <c r="DK215" s="420"/>
      <c r="DL215" s="420"/>
      <c r="DM215" s="419">
        <v>-1</v>
      </c>
      <c r="DN215" s="420">
        <v>-0.9</v>
      </c>
      <c r="DO215" s="420">
        <v>-0.8</v>
      </c>
      <c r="DP215" s="420">
        <v>-0.7</v>
      </c>
      <c r="DQ215" s="420">
        <v>-0.6</v>
      </c>
      <c r="DR215" s="420">
        <v>-0.5</v>
      </c>
      <c r="DS215" s="420">
        <v>-0.4</v>
      </c>
      <c r="DT215" s="420">
        <v>-0.3</v>
      </c>
      <c r="DU215" s="420">
        <v>-0.2</v>
      </c>
      <c r="DV215" s="420">
        <v>-0.1</v>
      </c>
      <c r="DW215" s="420">
        <v>0</v>
      </c>
      <c r="DX215" s="420">
        <v>0.1</v>
      </c>
      <c r="DY215" s="420">
        <v>0.2</v>
      </c>
      <c r="DZ215" s="420">
        <v>0.3</v>
      </c>
      <c r="EA215" s="420">
        <v>0.4</v>
      </c>
      <c r="EB215" s="420">
        <v>0.5</v>
      </c>
      <c r="EC215" s="420">
        <v>0.6</v>
      </c>
      <c r="ED215" s="420">
        <v>0.7</v>
      </c>
      <c r="EE215" s="420">
        <v>0.8</v>
      </c>
      <c r="EF215" s="420">
        <v>0.9</v>
      </c>
      <c r="EG215" s="420">
        <v>1</v>
      </c>
      <c r="EH215"/>
      <c r="EI215" s="420"/>
      <c r="EJ215" s="420"/>
      <c r="EK215" s="420"/>
      <c r="EL215" s="419">
        <v>-1</v>
      </c>
      <c r="EM215" s="420">
        <v>-0.9</v>
      </c>
      <c r="EN215" s="420">
        <v>-0.8</v>
      </c>
      <c r="EO215" s="420">
        <v>-0.7</v>
      </c>
      <c r="EP215" s="420">
        <v>-0.6</v>
      </c>
      <c r="EQ215" s="420">
        <v>-0.5</v>
      </c>
      <c r="ER215" s="420">
        <v>-0.4</v>
      </c>
      <c r="ES215" s="420">
        <v>-0.3</v>
      </c>
      <c r="ET215" s="420">
        <v>-0.2</v>
      </c>
      <c r="EU215" s="420">
        <v>-0.1</v>
      </c>
      <c r="EV215" s="420">
        <v>0</v>
      </c>
      <c r="EW215" s="420">
        <v>0.1</v>
      </c>
      <c r="EX215" s="420">
        <v>0.2</v>
      </c>
      <c r="EY215" s="420">
        <v>0.3</v>
      </c>
      <c r="EZ215" s="420">
        <v>0.4</v>
      </c>
      <c r="FA215" s="420">
        <v>0.5</v>
      </c>
      <c r="FB215" s="420">
        <v>0.6</v>
      </c>
      <c r="FC215" s="420">
        <v>0.7</v>
      </c>
      <c r="FD215" s="420">
        <v>0.8</v>
      </c>
      <c r="FE215" s="420">
        <v>0.9</v>
      </c>
      <c r="FF215" s="420">
        <v>1</v>
      </c>
      <c r="FG215"/>
      <c r="FH215" s="420"/>
      <c r="FI215" s="420"/>
      <c r="FJ215" s="420"/>
      <c r="FK215" s="419">
        <v>-1</v>
      </c>
      <c r="FL215" s="420">
        <v>-0.9</v>
      </c>
      <c r="FM215" s="420">
        <v>-0.8</v>
      </c>
      <c r="FN215" s="420">
        <v>-0.7</v>
      </c>
      <c r="FO215" s="420">
        <v>-0.6</v>
      </c>
      <c r="FP215" s="420">
        <v>-0.5</v>
      </c>
      <c r="FQ215" s="420">
        <v>-0.4</v>
      </c>
      <c r="FR215" s="420">
        <v>-0.3</v>
      </c>
      <c r="FS215" s="420">
        <v>-0.2</v>
      </c>
      <c r="FT215" s="420">
        <v>-0.1</v>
      </c>
      <c r="FU215" s="420">
        <v>0</v>
      </c>
      <c r="FV215" s="420">
        <v>0.1</v>
      </c>
      <c r="FW215" s="420">
        <v>0.2</v>
      </c>
      <c r="FX215" s="420">
        <v>0.3</v>
      </c>
      <c r="FY215" s="420">
        <v>0.4</v>
      </c>
      <c r="FZ215" s="420">
        <v>0.5</v>
      </c>
      <c r="GA215" s="420">
        <v>0.6</v>
      </c>
      <c r="GB215" s="420">
        <v>0.7</v>
      </c>
      <c r="GC215" s="420">
        <v>0.8</v>
      </c>
      <c r="GD215" s="420">
        <v>0.9</v>
      </c>
      <c r="GE215" s="420">
        <v>1</v>
      </c>
      <c r="GF215"/>
      <c r="GG215"/>
      <c r="GH215"/>
    </row>
    <row r="216" spans="2:190" ht="42" customHeight="1" thickBot="1">
      <c r="B216"/>
      <c r="C216" s="220" t="s">
        <v>163</v>
      </c>
      <c r="D216" s="164">
        <v>-1</v>
      </c>
      <c r="E216" s="167"/>
      <c r="F216" s="145">
        <v>7</v>
      </c>
      <c r="G216" s="172">
        <f>D216</f>
        <v>-1</v>
      </c>
      <c r="H216" s="172">
        <f t="shared" ref="H216:AJ216" si="215">$G$216+($AK$216-$G$216)*1/(1+EXP(-($F$216*(H215-$E$214))))</f>
        <v>-0.99972327205611922</v>
      </c>
      <c r="I216" s="172">
        <f t="shared" si="215"/>
        <v>-0.9994427904591292</v>
      </c>
      <c r="J216" s="172">
        <f t="shared" si="215"/>
        <v>-0.99887812901653306</v>
      </c>
      <c r="K216" s="172">
        <f t="shared" si="215"/>
        <v>-0.99774168539648644</v>
      </c>
      <c r="L216" s="172">
        <f t="shared" si="215"/>
        <v>-0.99545578065652029</v>
      </c>
      <c r="M216" s="172">
        <f t="shared" si="215"/>
        <v>-0.99086309636304704</v>
      </c>
      <c r="N216" s="172">
        <f t="shared" si="215"/>
        <v>-0.98165716942433856</v>
      </c>
      <c r="O216" s="172">
        <f t="shared" si="215"/>
        <v>-0.96328961959235071</v>
      </c>
      <c r="P216" s="172">
        <f t="shared" si="215"/>
        <v>-0.92698018884409161</v>
      </c>
      <c r="Q216" s="172">
        <f t="shared" si="215"/>
        <v>-0.85649704662132631</v>
      </c>
      <c r="R216" s="172">
        <f t="shared" si="215"/>
        <v>-0.72438567555123301</v>
      </c>
      <c r="S216" s="172">
        <f t="shared" si="215"/>
        <v>-0.49226844680304493</v>
      </c>
      <c r="T216" s="172">
        <f t="shared" si="215"/>
        <v>-0.12728683950796094</v>
      </c>
      <c r="U216" s="172">
        <f t="shared" si="215"/>
        <v>0.35718708385156273</v>
      </c>
      <c r="V216" s="172">
        <f t="shared" si="215"/>
        <v>0.87371907060761611</v>
      </c>
      <c r="W216" s="172">
        <f t="shared" si="215"/>
        <v>1.3103681569792851</v>
      </c>
      <c r="X216" s="172">
        <f t="shared" si="215"/>
        <v>1.6127217249223573</v>
      </c>
      <c r="Y216" s="172">
        <f t="shared" si="215"/>
        <v>1.7943165075593823</v>
      </c>
      <c r="Z216" s="172">
        <f t="shared" si="215"/>
        <v>1.8942092651987608</v>
      </c>
      <c r="AA216" s="172">
        <f t="shared" si="215"/>
        <v>1.9465164245020947</v>
      </c>
      <c r="AB216" s="172">
        <f t="shared" si="215"/>
        <v>1.9732003204898478</v>
      </c>
      <c r="AC216" s="172">
        <f t="shared" si="215"/>
        <v>1.9866315535343047</v>
      </c>
      <c r="AD216" s="172">
        <f t="shared" si="215"/>
        <v>1.9933465002157238</v>
      </c>
      <c r="AE216" s="172">
        <f t="shared" si="215"/>
        <v>1.9966922767488873</v>
      </c>
      <c r="AF216" s="172">
        <f t="shared" si="215"/>
        <v>1.9983565210279268</v>
      </c>
      <c r="AG216" s="172">
        <f t="shared" si="215"/>
        <v>1.9991836473585263</v>
      </c>
      <c r="AH216" s="172">
        <f t="shared" si="215"/>
        <v>1.9995945557345447</v>
      </c>
      <c r="AI216" s="172">
        <f t="shared" si="215"/>
        <v>1.9997986486372206</v>
      </c>
      <c r="AJ216" s="172">
        <f t="shared" si="215"/>
        <v>1.9999000084938579</v>
      </c>
      <c r="AK216" s="173">
        <f>F214</f>
        <v>2</v>
      </c>
      <c r="AL216" s="223"/>
      <c r="AM216" s="137"/>
      <c r="AN216" s="220" t="s">
        <v>163</v>
      </c>
      <c r="AO216" s="164">
        <v>-1</v>
      </c>
      <c r="AP216" s="167"/>
      <c r="AQ216" s="145">
        <v>7</v>
      </c>
      <c r="AR216" s="172">
        <f>AO216</f>
        <v>-1</v>
      </c>
      <c r="AS216" s="172">
        <f t="shared" ref="AS216:BU216" si="216">$G$216+($AK$216-$G$216)*1/(1+EXP(-($F$216*(AS215-$E$214))))</f>
        <v>-0.99972327205611922</v>
      </c>
      <c r="AT216" s="172">
        <f t="shared" si="216"/>
        <v>-0.9994427904591292</v>
      </c>
      <c r="AU216" s="172">
        <f t="shared" si="216"/>
        <v>-0.99887812901653306</v>
      </c>
      <c r="AV216" s="172">
        <f t="shared" si="216"/>
        <v>-0.99774168539648644</v>
      </c>
      <c r="AW216" s="172">
        <f t="shared" si="216"/>
        <v>-0.99545578065652029</v>
      </c>
      <c r="AX216" s="172">
        <f t="shared" si="216"/>
        <v>-0.99086309636304704</v>
      </c>
      <c r="AY216" s="172">
        <f t="shared" si="216"/>
        <v>-0.98165716942433856</v>
      </c>
      <c r="AZ216" s="172">
        <f t="shared" si="216"/>
        <v>-0.96328961959235071</v>
      </c>
      <c r="BA216" s="172">
        <f t="shared" si="216"/>
        <v>-0.92698018884409161</v>
      </c>
      <c r="BB216" s="172">
        <f t="shared" si="216"/>
        <v>-0.85649704662132631</v>
      </c>
      <c r="BC216" s="172">
        <f t="shared" si="216"/>
        <v>-0.72438567555123301</v>
      </c>
      <c r="BD216" s="172">
        <f t="shared" si="216"/>
        <v>-0.49226844680304493</v>
      </c>
      <c r="BE216" s="172">
        <f t="shared" si="216"/>
        <v>-0.12728683950796094</v>
      </c>
      <c r="BF216" s="172">
        <f t="shared" si="216"/>
        <v>0.35718708385156273</v>
      </c>
      <c r="BG216" s="172">
        <f t="shared" si="216"/>
        <v>0.87371907060761611</v>
      </c>
      <c r="BH216" s="172">
        <f t="shared" si="216"/>
        <v>1.3103681569792851</v>
      </c>
      <c r="BI216" s="172">
        <f t="shared" si="216"/>
        <v>1.6127217249223573</v>
      </c>
      <c r="BJ216" s="172">
        <f t="shared" si="216"/>
        <v>1.7943165075593823</v>
      </c>
      <c r="BK216" s="172">
        <f t="shared" si="216"/>
        <v>1.8942092651987608</v>
      </c>
      <c r="BL216" s="172">
        <f t="shared" si="216"/>
        <v>1.9465164245020947</v>
      </c>
      <c r="BM216" s="172">
        <f t="shared" si="216"/>
        <v>1.9732003204898478</v>
      </c>
      <c r="BN216" s="172">
        <f t="shared" si="216"/>
        <v>1.9866315535343047</v>
      </c>
      <c r="BO216" s="172">
        <f t="shared" si="216"/>
        <v>1.9933465002157238</v>
      </c>
      <c r="BP216" s="172">
        <f t="shared" si="216"/>
        <v>1.9966922767488873</v>
      </c>
      <c r="BQ216" s="172">
        <f t="shared" si="216"/>
        <v>1.9983565210279268</v>
      </c>
      <c r="BR216" s="172">
        <f t="shared" si="216"/>
        <v>1.9991836473585263</v>
      </c>
      <c r="BS216" s="172">
        <f t="shared" si="216"/>
        <v>1.9995945557345447</v>
      </c>
      <c r="BT216" s="172">
        <f t="shared" si="216"/>
        <v>1.9997986486372206</v>
      </c>
      <c r="BU216" s="172">
        <f t="shared" si="216"/>
        <v>1.9999000084938579</v>
      </c>
      <c r="BV216" s="173">
        <f>AQ214</f>
        <v>2</v>
      </c>
      <c r="BW216" s="223"/>
      <c r="BX216" s="137"/>
      <c r="BY216" s="220" t="s">
        <v>163</v>
      </c>
      <c r="BZ216" s="164">
        <v>-1</v>
      </c>
      <c r="CA216" s="167"/>
      <c r="CB216" s="145">
        <v>7</v>
      </c>
      <c r="CC216" s="172">
        <f>BZ216</f>
        <v>-1</v>
      </c>
      <c r="CD216" s="172">
        <f t="shared" ref="CD216:DF216" si="217">$G$216+($AK$216-$G$216)*1/(1+EXP(-($F$216*(CD215-$E$214))))</f>
        <v>-0.99972327205611922</v>
      </c>
      <c r="CE216" s="172">
        <f t="shared" si="217"/>
        <v>-0.9994427904591292</v>
      </c>
      <c r="CF216" s="172">
        <f t="shared" si="217"/>
        <v>-0.99887812901653306</v>
      </c>
      <c r="CG216" s="172">
        <f t="shared" si="217"/>
        <v>-0.99774168539648644</v>
      </c>
      <c r="CH216" s="172">
        <f t="shared" si="217"/>
        <v>-0.99545578065652029</v>
      </c>
      <c r="CI216" s="172">
        <f t="shared" si="217"/>
        <v>-0.99086309636304704</v>
      </c>
      <c r="CJ216" s="172">
        <f t="shared" si="217"/>
        <v>-0.98165716942433856</v>
      </c>
      <c r="CK216" s="172">
        <f t="shared" si="217"/>
        <v>-0.96328961959235071</v>
      </c>
      <c r="CL216" s="172">
        <f t="shared" si="217"/>
        <v>-0.92698018884409161</v>
      </c>
      <c r="CM216" s="172">
        <f t="shared" si="217"/>
        <v>-0.85649704662132631</v>
      </c>
      <c r="CN216" s="172">
        <f t="shared" si="217"/>
        <v>-0.72438567555123301</v>
      </c>
      <c r="CO216" s="172">
        <f t="shared" si="217"/>
        <v>-0.49226844680304493</v>
      </c>
      <c r="CP216" s="172">
        <f t="shared" si="217"/>
        <v>-0.12728683950796094</v>
      </c>
      <c r="CQ216" s="172">
        <f t="shared" si="217"/>
        <v>0.35718708385156273</v>
      </c>
      <c r="CR216" s="172">
        <f t="shared" si="217"/>
        <v>0.87371907060761611</v>
      </c>
      <c r="CS216" s="172">
        <f t="shared" si="217"/>
        <v>1.3103681569792851</v>
      </c>
      <c r="CT216" s="172">
        <f t="shared" si="217"/>
        <v>1.6127217249223573</v>
      </c>
      <c r="CU216" s="172">
        <f t="shared" si="217"/>
        <v>1.7943165075593823</v>
      </c>
      <c r="CV216" s="172">
        <f t="shared" si="217"/>
        <v>1.8942092651987608</v>
      </c>
      <c r="CW216" s="172">
        <f t="shared" si="217"/>
        <v>1.9465164245020947</v>
      </c>
      <c r="CX216" s="172">
        <f t="shared" si="217"/>
        <v>1.9732003204898478</v>
      </c>
      <c r="CY216" s="172">
        <f t="shared" si="217"/>
        <v>1.9866315535343047</v>
      </c>
      <c r="CZ216" s="172">
        <f t="shared" si="217"/>
        <v>1.9933465002157238</v>
      </c>
      <c r="DA216" s="172">
        <f t="shared" si="217"/>
        <v>1.9966922767488873</v>
      </c>
      <c r="DB216" s="172">
        <f t="shared" si="217"/>
        <v>1.9983565210279268</v>
      </c>
      <c r="DC216" s="172">
        <f t="shared" si="217"/>
        <v>1.9991836473585263</v>
      </c>
      <c r="DD216" s="172">
        <f t="shared" si="217"/>
        <v>1.9995945557345447</v>
      </c>
      <c r="DE216" s="172">
        <f t="shared" si="217"/>
        <v>1.9997986486372206</v>
      </c>
      <c r="DF216" s="172">
        <f t="shared" si="217"/>
        <v>1.9999000084938579</v>
      </c>
      <c r="DG216" s="173">
        <f>CB214</f>
        <v>2</v>
      </c>
      <c r="DH216" s="223"/>
      <c r="DI216"/>
      <c r="DJ216"/>
      <c r="DK216"/>
      <c r="DL216" s="419">
        <v>1</v>
      </c>
      <c r="DM216" s="302">
        <f t="shared" ref="DM216:DV225" si="218">2*(1/(1+EXP(-4*(ABS(DM$215-$DK$213)+ABS($DL216-$DJ$214))))-0.5)</f>
        <v>0.99932929973906726</v>
      </c>
      <c r="DN216" s="302">
        <f t="shared" si="218"/>
        <v>0.99899959778584102</v>
      </c>
      <c r="DO216" s="302">
        <f t="shared" si="218"/>
        <v>0.99850794233232665</v>
      </c>
      <c r="DP216" s="302">
        <f t="shared" si="218"/>
        <v>0.99777492793427958</v>
      </c>
      <c r="DQ216" s="302">
        <f t="shared" si="218"/>
        <v>0.99668239783965107</v>
      </c>
      <c r="DR216" s="302">
        <f t="shared" si="218"/>
        <v>0.99505475368673069</v>
      </c>
      <c r="DS216" s="302">
        <f t="shared" si="218"/>
        <v>0.99263152020112821</v>
      </c>
      <c r="DT216" s="302">
        <f t="shared" si="218"/>
        <v>0.98902740220109897</v>
      </c>
      <c r="DU216" s="302">
        <f t="shared" si="218"/>
        <v>0.98367485769368024</v>
      </c>
      <c r="DV216" s="302">
        <f t="shared" si="218"/>
        <v>0.97574313003145141</v>
      </c>
      <c r="DW216" s="302">
        <f t="shared" ref="DW216:EG225" si="219">2*(1/(1+EXP(-4*(ABS(DW$215-$DK$213)+ABS($DL216-$DJ$214))))-0.5)</f>
        <v>0.9640275800758169</v>
      </c>
      <c r="DX216" s="302">
        <f t="shared" si="219"/>
        <v>0.97574313003145141</v>
      </c>
      <c r="DY216" s="302">
        <f t="shared" si="219"/>
        <v>0.98367485769368024</v>
      </c>
      <c r="DZ216" s="302">
        <f t="shared" si="219"/>
        <v>0.98902740220109897</v>
      </c>
      <c r="EA216" s="302">
        <f t="shared" si="219"/>
        <v>0.99263152020112821</v>
      </c>
      <c r="EB216" s="302">
        <f t="shared" si="219"/>
        <v>0.99505475368673069</v>
      </c>
      <c r="EC216" s="302">
        <f t="shared" si="219"/>
        <v>0.99668239783965107</v>
      </c>
      <c r="ED216" s="302">
        <f t="shared" si="219"/>
        <v>0.99777492793427958</v>
      </c>
      <c r="EE216" s="302">
        <f t="shared" si="219"/>
        <v>0.99850794233232665</v>
      </c>
      <c r="EF216" s="302">
        <f t="shared" si="219"/>
        <v>0.99899959778584102</v>
      </c>
      <c r="EG216" s="302">
        <f t="shared" si="219"/>
        <v>0.99932929973906726</v>
      </c>
      <c r="EH216"/>
      <c r="EI216"/>
      <c r="EJ216"/>
      <c r="EK216" s="780">
        <v>1</v>
      </c>
      <c r="EL216" s="302">
        <f t="shared" ref="EL216:EU225" si="220">2*(1/(1+EXP(-4*(SQRT(POWER((EL$215-$DK$213),2)+POWER(($DL216-$DJ$214),2)))))-0.5)</f>
        <v>0.99303734540586897</v>
      </c>
      <c r="EM216" s="302">
        <f t="shared" si="220"/>
        <v>0.99083985281811171</v>
      </c>
      <c r="EN216" s="302">
        <f t="shared" si="220"/>
        <v>0.9881484381384964</v>
      </c>
      <c r="EO216" s="302">
        <f t="shared" si="220"/>
        <v>0.98495972419362809</v>
      </c>
      <c r="EP216" s="302">
        <f t="shared" si="220"/>
        <v>0.98133288248609807</v>
      </c>
      <c r="EQ216" s="302">
        <f t="shared" si="220"/>
        <v>0.97741223558377843</v>
      </c>
      <c r="ER216" s="302">
        <f t="shared" si="220"/>
        <v>0.97344012261082846</v>
      </c>
      <c r="ES216" s="302">
        <f t="shared" si="220"/>
        <v>0.96974871525977591</v>
      </c>
      <c r="ET216" s="302">
        <f t="shared" si="220"/>
        <v>0.96672162865729372</v>
      </c>
      <c r="EU216" s="302">
        <f t="shared" si="220"/>
        <v>0.96472559535808333</v>
      </c>
      <c r="EV216" s="302">
        <f t="shared" ref="EV216:FF225" si="221">2*(1/(1+EXP(-4*(SQRT(POWER((EV$215-$DK$213),2)+POWER(($DL216-$DJ$214),2)))))-0.5)</f>
        <v>0.9640275800758169</v>
      </c>
      <c r="EW216" s="302">
        <f t="shared" si="221"/>
        <v>0.96472559535808333</v>
      </c>
      <c r="EX216" s="302">
        <f t="shared" si="221"/>
        <v>0.96672162865729372</v>
      </c>
      <c r="EY216" s="302">
        <f t="shared" si="221"/>
        <v>0.96974871525977591</v>
      </c>
      <c r="EZ216" s="302">
        <f t="shared" si="221"/>
        <v>0.97344012261082846</v>
      </c>
      <c r="FA216" s="302">
        <f t="shared" si="221"/>
        <v>0.97741223558377843</v>
      </c>
      <c r="FB216" s="302">
        <f t="shared" si="221"/>
        <v>0.98133288248609807</v>
      </c>
      <c r="FC216" s="302">
        <f t="shared" si="221"/>
        <v>0.98495972419362809</v>
      </c>
      <c r="FD216" s="302">
        <f t="shared" si="221"/>
        <v>0.9881484381384964</v>
      </c>
      <c r="FE216" s="302">
        <f t="shared" si="221"/>
        <v>0.99083985281811171</v>
      </c>
      <c r="FF216" s="302">
        <f t="shared" si="221"/>
        <v>0.99303734540586897</v>
      </c>
      <c r="FG216"/>
      <c r="FH216"/>
      <c r="FI216" s="779"/>
      <c r="FJ216" s="420">
        <v>1</v>
      </c>
      <c r="FK216" s="302">
        <f t="shared" ref="FK216:FT225" si="222">2*(1/(1+EXP(-4*(MAX(ABS(FK$215-$DK$213),ABS($DL216-$DJ$214)))))-0.5)</f>
        <v>0.9640275800758169</v>
      </c>
      <c r="FL216" s="302">
        <f t="shared" si="222"/>
        <v>0.9640275800758169</v>
      </c>
      <c r="FM216" s="302">
        <f t="shared" si="222"/>
        <v>0.9640275800758169</v>
      </c>
      <c r="FN216" s="302">
        <f t="shared" si="222"/>
        <v>0.9640275800758169</v>
      </c>
      <c r="FO216" s="302">
        <f t="shared" si="222"/>
        <v>0.9640275800758169</v>
      </c>
      <c r="FP216" s="302">
        <f t="shared" si="222"/>
        <v>0.9640275800758169</v>
      </c>
      <c r="FQ216" s="302">
        <f t="shared" si="222"/>
        <v>0.9640275800758169</v>
      </c>
      <c r="FR216" s="302">
        <f t="shared" si="222"/>
        <v>0.9640275800758169</v>
      </c>
      <c r="FS216" s="302">
        <f t="shared" si="222"/>
        <v>0.9640275800758169</v>
      </c>
      <c r="FT216" s="302">
        <f t="shared" si="222"/>
        <v>0.9640275800758169</v>
      </c>
      <c r="FU216" s="302">
        <f t="shared" ref="FU216:GE225" si="223">2*(1/(1+EXP(-4*(MAX(ABS(FU$215-$DK$213),ABS($DL216-$DJ$214)))))-0.5)</f>
        <v>0.9640275800758169</v>
      </c>
      <c r="FV216" s="302">
        <f t="shared" si="223"/>
        <v>0.9640275800758169</v>
      </c>
      <c r="FW216" s="302">
        <f t="shared" si="223"/>
        <v>0.9640275800758169</v>
      </c>
      <c r="FX216" s="302">
        <f t="shared" si="223"/>
        <v>0.9640275800758169</v>
      </c>
      <c r="FY216" s="302">
        <f t="shared" si="223"/>
        <v>0.9640275800758169</v>
      </c>
      <c r="FZ216" s="302">
        <f t="shared" si="223"/>
        <v>0.9640275800758169</v>
      </c>
      <c r="GA216" s="302">
        <f t="shared" si="223"/>
        <v>0.9640275800758169</v>
      </c>
      <c r="GB216" s="302">
        <f t="shared" si="223"/>
        <v>0.9640275800758169</v>
      </c>
      <c r="GC216" s="302">
        <f t="shared" si="223"/>
        <v>0.9640275800758169</v>
      </c>
      <c r="GD216" s="302">
        <f t="shared" si="223"/>
        <v>0.9640275800758169</v>
      </c>
      <c r="GE216" s="302">
        <f t="shared" si="223"/>
        <v>0.9640275800758169</v>
      </c>
      <c r="GF216"/>
      <c r="GG216"/>
      <c r="GH216"/>
    </row>
    <row r="217" spans="2:190" ht="42" customHeight="1">
      <c r="B217"/>
      <c r="C217" s="218"/>
      <c r="D217" s="192"/>
      <c r="E217" s="168">
        <v>1.5</v>
      </c>
      <c r="F217" s="174">
        <f>F214</f>
        <v>2</v>
      </c>
      <c r="G217" s="298">
        <f t="shared" ref="G217:G247" si="224">AR217*CC217</f>
        <v>0.49999469233762084</v>
      </c>
      <c r="H217" s="299">
        <f t="shared" ref="H217:H247" si="225">AS217*CD217</f>
        <v>0.50013266430670411</v>
      </c>
      <c r="I217" s="299">
        <f t="shared" ref="I217:I247" si="226">AT217*CE217</f>
        <v>0.50027265024418244</v>
      </c>
      <c r="J217" s="299">
        <f t="shared" ref="J217:J247" si="227">AU217*CF217</f>
        <v>0.50055484237687053</v>
      </c>
      <c r="K217" s="299">
        <f t="shared" ref="K217:K247" si="228">AV217*CG217</f>
        <v>0.50112300647301244</v>
      </c>
      <c r="L217" s="299">
        <f t="shared" ref="L217:L247" si="229">AW217*CH217</f>
        <v>0.50226593746885073</v>
      </c>
      <c r="M217" s="299">
        <f t="shared" ref="M217:M247" si="230">AX217*CI217</f>
        <v>0.50456225869085569</v>
      </c>
      <c r="N217" s="299">
        <f t="shared" ref="N217:N247" si="231">AY217*CJ217</f>
        <v>0.50916521718342977</v>
      </c>
      <c r="O217" s="299">
        <f t="shared" ref="O217:O247" si="232">AZ217*CK217</f>
        <v>0.51834902023652918</v>
      </c>
      <c r="P217" s="299">
        <f t="shared" ref="P217:P247" si="233">BA217*CL217</f>
        <v>0.53650379099585732</v>
      </c>
      <c r="Q217" s="299">
        <f t="shared" ref="Q217:Q247" si="234">BB217*CM217</f>
        <v>0.57174540676204211</v>
      </c>
      <c r="R217" s="299">
        <f t="shared" ref="R217:R247" si="235">BC217*CN217</f>
        <v>0.63780106184460494</v>
      </c>
      <c r="S217" s="299">
        <f t="shared" ref="S217:S247" si="236">BD217*CO217</f>
        <v>0.75385952498315334</v>
      </c>
      <c r="T217" s="299">
        <f t="shared" ref="T217:T247" si="237">BE217*CP217</f>
        <v>0.93635012618941293</v>
      </c>
      <c r="U217" s="299">
        <f t="shared" ref="U217:U247" si="238">BF217*CQ217</f>
        <v>1.1785870854600347</v>
      </c>
      <c r="V217" s="299">
        <f t="shared" ref="V217:V247" si="239">BG217*CR217</f>
        <v>1.4368535607867303</v>
      </c>
      <c r="W217" s="299">
        <f t="shared" ref="W217:W247" si="240">BH217*CS217</f>
        <v>1.6551790890367815</v>
      </c>
      <c r="X217" s="299">
        <f t="shared" ref="X217:X247" si="241">BI217*CT217</f>
        <v>1.8063570872482848</v>
      </c>
      <c r="Y217" s="299">
        <f t="shared" ref="Y217:Y247" si="242">BJ217*CU217</f>
        <v>1.8971556189008583</v>
      </c>
      <c r="Z217" s="299">
        <f t="shared" ref="Z217:Z247" si="243">BK217*CV217</f>
        <v>1.9471029048726818</v>
      </c>
      <c r="AA217" s="299">
        <f t="shared" ref="AA217:AA247" si="244">BL217*CW217</f>
        <v>1.9732571327900505</v>
      </c>
      <c r="AB217" s="299">
        <f t="shared" ref="AB217:AB247" si="245">BM217*CX217</f>
        <v>1.9865995109251702</v>
      </c>
      <c r="AC217" s="299">
        <f t="shared" ref="AC217:AC247" si="246">BN217*CY217</f>
        <v>1.9933153975442224</v>
      </c>
      <c r="AD217" s="299">
        <f t="shared" ref="AD217:AD247" si="247">BO217*CZ217</f>
        <v>1.9966730332646205</v>
      </c>
      <c r="AE217" s="299">
        <f t="shared" ref="AE217:AE247" si="248">BP217*DA217</f>
        <v>1.998346015722684</v>
      </c>
      <c r="AF217" s="299">
        <f t="shared" ref="AF217:AF247" si="249">BQ217*DB217</f>
        <v>1.9991781908743562</v>
      </c>
      <c r="AG217" s="299">
        <f t="shared" ref="AG217:AG247" si="250">BR217*DC217</f>
        <v>1.9995917831126315</v>
      </c>
      <c r="AH217" s="299">
        <f t="shared" ref="AH217:AH247" si="251">BS217*DD217</f>
        <v>1.9997972529121368</v>
      </c>
      <c r="AI217" s="299">
        <f t="shared" ref="AI217:AI247" si="252">BT217*DE217</f>
        <v>1.9998993076268627</v>
      </c>
      <c r="AJ217" s="299">
        <f t="shared" ref="AJ217:AJ247" si="253">BU217*DF217</f>
        <v>1.9999499919212311</v>
      </c>
      <c r="AK217" s="300">
        <f t="shared" ref="AK217:AK247" si="254">BV217*DG217</f>
        <v>1.9999999900391705</v>
      </c>
      <c r="AL217" s="223"/>
      <c r="AM217" s="137"/>
      <c r="AN217" s="218"/>
      <c r="AO217" s="192"/>
      <c r="AP217" s="168">
        <v>1.5</v>
      </c>
      <c r="AQ217" s="174">
        <f>AQ214</f>
        <v>2</v>
      </c>
      <c r="AR217" s="302">
        <f t="shared" ref="AR217:BA226" si="255">2*(1/(1+EXP(-4/0.5*(POWER(POWER((ABS(AR$215-(-1))),3)+POWER(ABS($AP217-(0)),3),1/3))))-0.5)*2*(1/(1+EXP(-4/0.5*(POWER(POWER((ABS(AR$215-(1))),3)+POWER(ABS($AP217-(-1)),3),1/3))))-0.5)</f>
        <v>0.99998938467524168</v>
      </c>
      <c r="AS217" s="302">
        <f t="shared" si="255"/>
        <v>0.99998860382316823</v>
      </c>
      <c r="AT217" s="302">
        <f t="shared" si="255"/>
        <v>0.99998809757963625</v>
      </c>
      <c r="AU217" s="302">
        <f t="shared" si="255"/>
        <v>0.99998782742633119</v>
      </c>
      <c r="AV217" s="302">
        <f t="shared" si="255"/>
        <v>0.99998772606092712</v>
      </c>
      <c r="AW217" s="302">
        <f t="shared" si="255"/>
        <v>0.99998771143615128</v>
      </c>
      <c r="AX217" s="302">
        <f t="shared" si="255"/>
        <v>0.99998772589209939</v>
      </c>
      <c r="AY217" s="302">
        <f t="shared" si="255"/>
        <v>0.99998782707706113</v>
      </c>
      <c r="AZ217" s="302">
        <f t="shared" si="255"/>
        <v>0.99998809702803793</v>
      </c>
      <c r="BA217" s="302">
        <f t="shared" si="255"/>
        <v>0.99998860303969539</v>
      </c>
      <c r="BB217" s="302">
        <f t="shared" ref="BB217:BK226" si="256">2*(1/(1+EXP(-4/0.5*(POWER(POWER((ABS(BB$215-(-1))),3)+POWER(ABS($AP217-(0)),3),1/3))))-0.5)*2*(1/(1+EXP(-4/0.5*(POWER(POWER((ABS(BB$215-(1))),3)+POWER(ABS($AP217-(-1)),3),1/3))))-0.5)</f>
        <v>0.99998938362637935</v>
      </c>
      <c r="BC217" s="302">
        <f t="shared" si="256"/>
        <v>0.99999043538527033</v>
      </c>
      <c r="BD217" s="302">
        <f t="shared" si="256"/>
        <v>0.99999170725675812</v>
      </c>
      <c r="BE217" s="302">
        <f t="shared" si="256"/>
        <v>0.9999931072662458</v>
      </c>
      <c r="BF217" s="302">
        <f t="shared" si="256"/>
        <v>0.99999452188942406</v>
      </c>
      <c r="BG217" s="302">
        <f t="shared" si="256"/>
        <v>0.99999584196163172</v>
      </c>
      <c r="BH217" s="302">
        <f t="shared" si="256"/>
        <v>0.99999698556014049</v>
      </c>
      <c r="BI217" s="302">
        <f t="shared" si="256"/>
        <v>0.99999791004501248</v>
      </c>
      <c r="BJ217" s="302">
        <f t="shared" si="256"/>
        <v>0.99999861114441679</v>
      </c>
      <c r="BK217" s="302">
        <f t="shared" si="256"/>
        <v>0.99999911266879571</v>
      </c>
      <c r="BL217" s="302">
        <f t="shared" ref="BL217:BV226" si="257">2*(1/(1+EXP(-4/0.5*(POWER(POWER((ABS(BL$215-(-1))),3)+POWER(ABS($AP217-(0)),3),1/3))))-0.5)*2*(1/(1+EXP(-4/0.5*(POWER(POWER((ABS(BL$215-(1))),3)+POWER(ABS($AP217-(-1)),3),1/3))))-0.5)</f>
        <v>0.99999945295502124</v>
      </c>
      <c r="BM217" s="302">
        <f t="shared" si="257"/>
        <v>0.99999967315025606</v>
      </c>
      <c r="BN217" s="302">
        <f t="shared" si="257"/>
        <v>0.9999998097527073</v>
      </c>
      <c r="BO217" s="302">
        <f t="shared" si="257"/>
        <v>0.99999989139773304</v>
      </c>
      <c r="BP217" s="302">
        <f t="shared" si="257"/>
        <v>0.999999938623366</v>
      </c>
      <c r="BQ217" s="302">
        <f t="shared" si="257"/>
        <v>0.99999996516588407</v>
      </c>
      <c r="BR217" s="302">
        <f t="shared" si="257"/>
        <v>0.99999997971254373</v>
      </c>
      <c r="BS217" s="302">
        <f t="shared" si="257"/>
        <v>0.99999998752116737</v>
      </c>
      <c r="BT217" s="302">
        <f t="shared" si="257"/>
        <v>0.99999999165370612</v>
      </c>
      <c r="BU217" s="302">
        <f t="shared" si="257"/>
        <v>0.999999993836997</v>
      </c>
      <c r="BV217" s="302">
        <f t="shared" si="257"/>
        <v>0.99999999501958525</v>
      </c>
      <c r="BW217" s="223"/>
      <c r="BX217" s="137"/>
      <c r="BY217" s="218"/>
      <c r="BZ217" s="192"/>
      <c r="CA217" s="168">
        <v>1.5</v>
      </c>
      <c r="CB217" s="174">
        <f>CB214</f>
        <v>2</v>
      </c>
      <c r="CC217" s="298">
        <f>(CC$216+$F217)/2</f>
        <v>0.5</v>
      </c>
      <c r="CD217" s="299">
        <f t="shared" ref="CD217:DG217" si="258">MAX((CD$216+$F217)/2,CC216)</f>
        <v>0.50013836397194034</v>
      </c>
      <c r="CE217" s="299">
        <f t="shared" si="258"/>
        <v>0.5002786047704354</v>
      </c>
      <c r="CF217" s="299">
        <f t="shared" si="258"/>
        <v>0.50056093549173353</v>
      </c>
      <c r="CG217" s="299">
        <f t="shared" si="258"/>
        <v>0.50112915730175678</v>
      </c>
      <c r="CH217" s="299">
        <f t="shared" si="258"/>
        <v>0.50227210967173985</v>
      </c>
      <c r="CI217" s="299">
        <f t="shared" si="258"/>
        <v>0.50456845181847654</v>
      </c>
      <c r="CJ217" s="299">
        <f t="shared" si="258"/>
        <v>0.50917141528783072</v>
      </c>
      <c r="CK217" s="299">
        <f t="shared" si="258"/>
        <v>0.51835519020382459</v>
      </c>
      <c r="CL217" s="299">
        <f t="shared" si="258"/>
        <v>0.53650990557795419</v>
      </c>
      <c r="CM217" s="299">
        <f t="shared" si="258"/>
        <v>0.57175147668933679</v>
      </c>
      <c r="CN217" s="299">
        <f t="shared" si="258"/>
        <v>0.63780716222438349</v>
      </c>
      <c r="CO217" s="299">
        <f t="shared" si="258"/>
        <v>0.75386577659847753</v>
      </c>
      <c r="CP217" s="299">
        <f t="shared" si="258"/>
        <v>0.93635658024601953</v>
      </c>
      <c r="CQ217" s="299">
        <f t="shared" si="258"/>
        <v>1.1785935419257814</v>
      </c>
      <c r="CR217" s="299">
        <f t="shared" si="258"/>
        <v>1.4368595353038081</v>
      </c>
      <c r="CS217" s="299">
        <f t="shared" si="258"/>
        <v>1.6551840784896426</v>
      </c>
      <c r="CT217" s="299">
        <f t="shared" si="258"/>
        <v>1.8063608624611787</v>
      </c>
      <c r="CU217" s="299">
        <f t="shared" si="258"/>
        <v>1.8971582537796912</v>
      </c>
      <c r="CV217" s="299">
        <f t="shared" si="258"/>
        <v>1.9471046325993804</v>
      </c>
      <c r="CW217" s="299">
        <f t="shared" si="258"/>
        <v>1.9732582122510474</v>
      </c>
      <c r="CX217" s="299">
        <f t="shared" si="258"/>
        <v>1.9866001602449239</v>
      </c>
      <c r="CY217" s="299">
        <f t="shared" si="258"/>
        <v>1.9933157767671523</v>
      </c>
      <c r="CZ217" s="299">
        <f t="shared" si="258"/>
        <v>1.9966732501078619</v>
      </c>
      <c r="DA217" s="299">
        <f t="shared" si="258"/>
        <v>1.9983461383744436</v>
      </c>
      <c r="DB217" s="299">
        <f t="shared" si="258"/>
        <v>1.9991782605139634</v>
      </c>
      <c r="DC217" s="299">
        <f t="shared" si="258"/>
        <v>1.9995918236792631</v>
      </c>
      <c r="DD217" s="299">
        <f t="shared" si="258"/>
        <v>1.9997972778672723</v>
      </c>
      <c r="DE217" s="299">
        <f t="shared" si="258"/>
        <v>1.9998993243186103</v>
      </c>
      <c r="DF217" s="299">
        <f t="shared" si="258"/>
        <v>1.9999500042469289</v>
      </c>
      <c r="DG217" s="300">
        <f t="shared" si="258"/>
        <v>2</v>
      </c>
      <c r="DH217" s="223"/>
      <c r="DI217"/>
      <c r="DJ217"/>
      <c r="DK217" s="779"/>
      <c r="DL217" s="420">
        <v>0.9</v>
      </c>
      <c r="DM217" s="302">
        <f t="shared" si="218"/>
        <v>0.99899959778584102</v>
      </c>
      <c r="DN217" s="302">
        <f t="shared" si="218"/>
        <v>0.99850794233232665</v>
      </c>
      <c r="DO217" s="302">
        <f t="shared" si="218"/>
        <v>0.99777492793427958</v>
      </c>
      <c r="DP217" s="302">
        <f t="shared" si="218"/>
        <v>0.99668239783965107</v>
      </c>
      <c r="DQ217" s="302">
        <f t="shared" si="218"/>
        <v>0.99505475368673069</v>
      </c>
      <c r="DR217" s="302">
        <f t="shared" si="218"/>
        <v>0.99263152020112821</v>
      </c>
      <c r="DS217" s="302">
        <f t="shared" si="218"/>
        <v>0.98902740220109897</v>
      </c>
      <c r="DT217" s="302">
        <f t="shared" si="218"/>
        <v>0.98367485769368024</v>
      </c>
      <c r="DU217" s="302">
        <f t="shared" si="218"/>
        <v>0.97574313003145141</v>
      </c>
      <c r="DV217" s="302">
        <f t="shared" si="218"/>
        <v>0.9640275800758169</v>
      </c>
      <c r="DW217" s="302">
        <f t="shared" si="219"/>
        <v>0.94680601284626809</v>
      </c>
      <c r="DX217" s="302">
        <f t="shared" si="219"/>
        <v>0.9640275800758169</v>
      </c>
      <c r="DY217" s="302">
        <f t="shared" si="219"/>
        <v>0.97574313003145141</v>
      </c>
      <c r="DZ217" s="302">
        <f t="shared" si="219"/>
        <v>0.98367485769368024</v>
      </c>
      <c r="EA217" s="302">
        <f t="shared" si="219"/>
        <v>0.98902740220109897</v>
      </c>
      <c r="EB217" s="302">
        <f t="shared" si="219"/>
        <v>0.99263152020112821</v>
      </c>
      <c r="EC217" s="302">
        <f t="shared" si="219"/>
        <v>0.99505475368673069</v>
      </c>
      <c r="ED217" s="302">
        <f t="shared" si="219"/>
        <v>0.99668239783965107</v>
      </c>
      <c r="EE217" s="302">
        <f t="shared" si="219"/>
        <v>0.99777492793427958</v>
      </c>
      <c r="EF217" s="302">
        <f t="shared" si="219"/>
        <v>0.99850794233232665</v>
      </c>
      <c r="EG217" s="302">
        <f t="shared" si="219"/>
        <v>0.99899959778584102</v>
      </c>
      <c r="EH217"/>
      <c r="EI217"/>
      <c r="EJ217"/>
      <c r="EK217" s="781">
        <v>0.9</v>
      </c>
      <c r="EL217" s="302">
        <f t="shared" si="220"/>
        <v>0.99083985281811171</v>
      </c>
      <c r="EM217" s="302">
        <f t="shared" si="220"/>
        <v>0.98777354987847965</v>
      </c>
      <c r="EN217" s="302">
        <f t="shared" si="220"/>
        <v>0.98394206285173436</v>
      </c>
      <c r="EO217" s="302">
        <f t="shared" si="220"/>
        <v>0.97930689999723741</v>
      </c>
      <c r="EP217" s="302">
        <f t="shared" si="220"/>
        <v>0.97392137898758402</v>
      </c>
      <c r="EQ217" s="302">
        <f t="shared" si="220"/>
        <v>0.96797526879474338</v>
      </c>
      <c r="ER217" s="302">
        <f t="shared" si="220"/>
        <v>0.96182850221220129</v>
      </c>
      <c r="ES217" s="302">
        <f t="shared" si="220"/>
        <v>0.95601144400379967</v>
      </c>
      <c r="ET217" s="302">
        <f t="shared" si="220"/>
        <v>0.95116896097802295</v>
      </c>
      <c r="EU217" s="302">
        <f t="shared" si="220"/>
        <v>0.94794117998658045</v>
      </c>
      <c r="EV217" s="302">
        <f t="shared" si="221"/>
        <v>0.94680601284626809</v>
      </c>
      <c r="EW217" s="302">
        <f t="shared" si="221"/>
        <v>0.94794117998658045</v>
      </c>
      <c r="EX217" s="302">
        <f t="shared" si="221"/>
        <v>0.95116896097802295</v>
      </c>
      <c r="EY217" s="302">
        <f t="shared" si="221"/>
        <v>0.95601144400379967</v>
      </c>
      <c r="EZ217" s="302">
        <f t="shared" si="221"/>
        <v>0.96182850221220129</v>
      </c>
      <c r="FA217" s="302">
        <f t="shared" si="221"/>
        <v>0.96797526879474338</v>
      </c>
      <c r="FB217" s="302">
        <f t="shared" si="221"/>
        <v>0.97392137898758402</v>
      </c>
      <c r="FC217" s="302">
        <f t="shared" si="221"/>
        <v>0.97930689999723741</v>
      </c>
      <c r="FD217" s="302">
        <f t="shared" si="221"/>
        <v>0.98394206285173436</v>
      </c>
      <c r="FE217" s="302">
        <f t="shared" si="221"/>
        <v>0.98777354987847965</v>
      </c>
      <c r="FF217" s="302">
        <f t="shared" si="221"/>
        <v>0.99083985281811171</v>
      </c>
      <c r="FG217"/>
      <c r="FH217"/>
      <c r="FI217" s="779"/>
      <c r="FJ217" s="420">
        <v>0.9</v>
      </c>
      <c r="FK217" s="302">
        <f t="shared" si="222"/>
        <v>0.9640275800758169</v>
      </c>
      <c r="FL217" s="302">
        <f t="shared" si="222"/>
        <v>0.94680601284626809</v>
      </c>
      <c r="FM217" s="302">
        <f t="shared" si="222"/>
        <v>0.94680601284626809</v>
      </c>
      <c r="FN217" s="302">
        <f t="shared" si="222"/>
        <v>0.94680601284626809</v>
      </c>
      <c r="FO217" s="302">
        <f t="shared" si="222"/>
        <v>0.94680601284626809</v>
      </c>
      <c r="FP217" s="302">
        <f t="shared" si="222"/>
        <v>0.94680601284626809</v>
      </c>
      <c r="FQ217" s="302">
        <f t="shared" si="222"/>
        <v>0.94680601284626809</v>
      </c>
      <c r="FR217" s="302">
        <f t="shared" si="222"/>
        <v>0.94680601284626809</v>
      </c>
      <c r="FS217" s="302">
        <f t="shared" si="222"/>
        <v>0.94680601284626809</v>
      </c>
      <c r="FT217" s="302">
        <f t="shared" si="222"/>
        <v>0.94680601284626809</v>
      </c>
      <c r="FU217" s="302">
        <f t="shared" si="223"/>
        <v>0.94680601284626809</v>
      </c>
      <c r="FV217" s="302">
        <f t="shared" si="223"/>
        <v>0.94680601284626809</v>
      </c>
      <c r="FW217" s="302">
        <f t="shared" si="223"/>
        <v>0.94680601284626809</v>
      </c>
      <c r="FX217" s="302">
        <f t="shared" si="223"/>
        <v>0.94680601284626809</v>
      </c>
      <c r="FY217" s="302">
        <f t="shared" si="223"/>
        <v>0.94680601284626809</v>
      </c>
      <c r="FZ217" s="302">
        <f t="shared" si="223"/>
        <v>0.94680601284626809</v>
      </c>
      <c r="GA217" s="302">
        <f t="shared" si="223"/>
        <v>0.94680601284626809</v>
      </c>
      <c r="GB217" s="302">
        <f t="shared" si="223"/>
        <v>0.94680601284626809</v>
      </c>
      <c r="GC217" s="302">
        <f t="shared" si="223"/>
        <v>0.94680601284626809</v>
      </c>
      <c r="GD217" s="302">
        <f t="shared" si="223"/>
        <v>0.94680601284626809</v>
      </c>
      <c r="GE217" s="302">
        <f t="shared" si="223"/>
        <v>0.9640275800758169</v>
      </c>
      <c r="GF217"/>
      <c r="GG217"/>
      <c r="GH217"/>
    </row>
    <row r="218" spans="2:190" ht="42" customHeight="1">
      <c r="B218"/>
      <c r="C218" s="221"/>
      <c r="D218" s="192"/>
      <c r="E218" s="169">
        <v>1.4</v>
      </c>
      <c r="F218" s="174">
        <f t="shared" ref="F218:F246" si="259">$F$217-($F$217-$F$247)*1/(1+EXP(-($F$216*(-E218+$D$215))))</f>
        <v>1.9996441839343344</v>
      </c>
      <c r="G218" s="301">
        <f t="shared" si="224"/>
        <v>0.49981053144897936</v>
      </c>
      <c r="H218" s="302">
        <f t="shared" si="225"/>
        <v>0.49994791479319867</v>
      </c>
      <c r="I218" s="302">
        <f t="shared" si="226"/>
        <v>0.50012517787412569</v>
      </c>
      <c r="J218" s="302">
        <f t="shared" si="227"/>
        <v>0.50036949088702776</v>
      </c>
      <c r="K218" s="302">
        <f t="shared" si="228"/>
        <v>0.50093756774110798</v>
      </c>
      <c r="L218" s="302">
        <f t="shared" si="229"/>
        <v>0.50208047016142443</v>
      </c>
      <c r="M218" s="302">
        <f t="shared" si="230"/>
        <v>0.5043767681631135</v>
      </c>
      <c r="N218" s="302">
        <f t="shared" si="231"/>
        <v>0.50897973740429525</v>
      </c>
      <c r="O218" s="302">
        <f t="shared" si="232"/>
        <v>0.51816361991881488</v>
      </c>
      <c r="P218" s="302">
        <f t="shared" si="233"/>
        <v>0.53631854321079719</v>
      </c>
      <c r="Q218" s="302">
        <f t="shared" si="234"/>
        <v>0.57156034737088091</v>
      </c>
      <c r="R218" s="302">
        <f t="shared" si="235"/>
        <v>0.6376161583135459</v>
      </c>
      <c r="S218" s="302">
        <f t="shared" si="236"/>
        <v>0.75367470303323159</v>
      </c>
      <c r="T218" s="302">
        <f t="shared" si="237"/>
        <v>0.93616539924309961</v>
      </c>
      <c r="U218" s="302">
        <f t="shared" si="238"/>
        <v>1.1784027207949768</v>
      </c>
      <c r="V218" s="302">
        <f t="shared" si="239"/>
        <v>1.4366700456861317</v>
      </c>
      <c r="W218" s="302">
        <f t="shared" si="240"/>
        <v>1.6549968189444704</v>
      </c>
      <c r="X218" s="302">
        <f t="shared" si="241"/>
        <v>1.806176122995367</v>
      </c>
      <c r="Y218" s="302">
        <f t="shared" si="242"/>
        <v>1.8969757443089579</v>
      </c>
      <c r="Z218" s="302">
        <f t="shared" si="243"/>
        <v>1.9469238110554579</v>
      </c>
      <c r="AA218" s="302">
        <f t="shared" si="244"/>
        <v>1.9730785437762779</v>
      </c>
      <c r="AB218" s="302">
        <f t="shared" si="245"/>
        <v>1.9864212254374873</v>
      </c>
      <c r="AC218" s="302">
        <f t="shared" si="246"/>
        <v>1.9931372849336797</v>
      </c>
      <c r="AD218" s="302">
        <f t="shared" si="247"/>
        <v>1.9964950150333827</v>
      </c>
      <c r="AE218" s="302">
        <f t="shared" si="248"/>
        <v>1.998168047283553</v>
      </c>
      <c r="AF218" s="302">
        <f t="shared" si="249"/>
        <v>1.999000247971253</v>
      </c>
      <c r="AG218" s="302">
        <f t="shared" si="250"/>
        <v>1.9994138529977876</v>
      </c>
      <c r="AH218" s="302">
        <f t="shared" si="251"/>
        <v>1.9996193291025317</v>
      </c>
      <c r="AI218" s="302">
        <f t="shared" si="252"/>
        <v>1.9997972485151125</v>
      </c>
      <c r="AJ218" s="302">
        <f t="shared" si="253"/>
        <v>1.9998993009490023</v>
      </c>
      <c r="AK218" s="303">
        <f t="shared" si="254"/>
        <v>1.9999499842055053</v>
      </c>
      <c r="AL218" s="223"/>
      <c r="AM218" s="137"/>
      <c r="AN218" s="221"/>
      <c r="AO218" s="192"/>
      <c r="AP218" s="169">
        <v>1.4</v>
      </c>
      <c r="AQ218" s="174">
        <f t="shared" ref="AQ218:AQ246" si="260">$F$217-($F$217-$F$247)*1/(1+EXP(-($F$216*(-AP218+$D$215))))</f>
        <v>1.9996441839343344</v>
      </c>
      <c r="AR218" s="302">
        <f t="shared" si="255"/>
        <v>0.99997687073385988</v>
      </c>
      <c r="AS218" s="302">
        <f t="shared" si="255"/>
        <v>0.99997491572431385</v>
      </c>
      <c r="AT218" s="302">
        <f t="shared" si="255"/>
        <v>0.99997363510027526</v>
      </c>
      <c r="AU218" s="302">
        <f t="shared" si="255"/>
        <v>0.99997294757989352</v>
      </c>
      <c r="AV218" s="302">
        <f t="shared" si="255"/>
        <v>0.99997268890368873</v>
      </c>
      <c r="AW218" s="302">
        <f t="shared" si="255"/>
        <v>0.99997265159119975</v>
      </c>
      <c r="AX218" s="302">
        <f t="shared" si="255"/>
        <v>0.99997268857891963</v>
      </c>
      <c r="AY218" s="302">
        <f t="shared" si="255"/>
        <v>0.99997294690304217</v>
      </c>
      <c r="AZ218" s="302">
        <f t="shared" si="255"/>
        <v>0.99997363401938488</v>
      </c>
      <c r="BA218" s="302">
        <f t="shared" si="255"/>
        <v>0.99997491416811646</v>
      </c>
      <c r="BB218" s="302">
        <f t="shared" si="256"/>
        <v>0.99997686861963508</v>
      </c>
      <c r="BC218" s="302">
        <f t="shared" si="256"/>
        <v>0.99997946161045981</v>
      </c>
      <c r="BD218" s="302">
        <f t="shared" si="256"/>
        <v>0.9999825318504354</v>
      </c>
      <c r="BE218" s="302">
        <f t="shared" si="256"/>
        <v>0.99998582218279364</v>
      </c>
      <c r="BF218" s="302">
        <f t="shared" si="256"/>
        <v>0.99998904198349003</v>
      </c>
      <c r="BG218" s="302">
        <f t="shared" si="256"/>
        <v>0.99999193865598079</v>
      </c>
      <c r="BH218" s="302">
        <f t="shared" si="256"/>
        <v>0.99999434956043898</v>
      </c>
      <c r="BI218" s="302">
        <f t="shared" si="256"/>
        <v>0.99999621775138448</v>
      </c>
      <c r="BJ218" s="302">
        <f t="shared" si="256"/>
        <v>0.99999757433549019</v>
      </c>
      <c r="BK218" s="302">
        <f t="shared" si="256"/>
        <v>0.99999850353325936</v>
      </c>
      <c r="BL218" s="302">
        <f t="shared" si="257"/>
        <v>0.99999910776974821</v>
      </c>
      <c r="BM218" s="302">
        <f t="shared" si="257"/>
        <v>0.99999948310355335</v>
      </c>
      <c r="BN218" s="302">
        <f t="shared" si="257"/>
        <v>0.99999970709470276</v>
      </c>
      <c r="BO218" s="302">
        <f t="shared" si="257"/>
        <v>0.99999983619213151</v>
      </c>
      <c r="BP218" s="302">
        <f t="shared" si="257"/>
        <v>0.99999990838706421</v>
      </c>
      <c r="BQ218" s="302">
        <f t="shared" si="257"/>
        <v>0.99999994771892986</v>
      </c>
      <c r="BR218" s="302">
        <f t="shared" si="257"/>
        <v>0.99999996866649665</v>
      </c>
      <c r="BS218" s="302">
        <f t="shared" si="257"/>
        <v>0.9999999796301694</v>
      </c>
      <c r="BT218" s="302">
        <f t="shared" si="257"/>
        <v>0.99999998532243239</v>
      </c>
      <c r="BU218" s="302">
        <f t="shared" si="257"/>
        <v>0.99999998831460779</v>
      </c>
      <c r="BV218" s="302">
        <f t="shared" si="257"/>
        <v>0.99999998997903772</v>
      </c>
      <c r="BW218" s="223"/>
      <c r="BX218" s="137"/>
      <c r="BY218" s="221"/>
      <c r="BZ218" s="192"/>
      <c r="CA218" s="169">
        <v>1.4</v>
      </c>
      <c r="CB218" s="174">
        <f t="shared" ref="CB218:CB246" si="261">$F$217-($F$217-$F$247)*1/(1+EXP(-($F$216*(-CA218+$D$215))))</f>
        <v>1.9996441839343344</v>
      </c>
      <c r="CC218" s="301">
        <f t="shared" ref="CC218:CC247" si="262">MIN((CC$216+$F218)/2,CB217)</f>
        <v>0.4998220919671672</v>
      </c>
      <c r="CD218" s="302">
        <f t="shared" ref="CD218:DG218" si="263">_xlfn.IFS(($E218-$D$215)&lt;-(CD$215-$E$214),MIN((CD$216+$F218)/2,CC217),($E218-$D$215)&gt;-(CD$215-$E$214),MAX((CD$216+$F218)/2,CC217),TRUE,(CD$216+$F218)/2)</f>
        <v>0.4999604559391076</v>
      </c>
      <c r="CE218" s="302">
        <f t="shared" si="263"/>
        <v>0.50013836397194034</v>
      </c>
      <c r="CF218" s="302">
        <f t="shared" si="263"/>
        <v>0.50038302745890073</v>
      </c>
      <c r="CG218" s="302">
        <f t="shared" si="263"/>
        <v>0.50095124926892398</v>
      </c>
      <c r="CH218" s="302">
        <f t="shared" si="263"/>
        <v>0.50209420163890706</v>
      </c>
      <c r="CI218" s="302">
        <f t="shared" si="263"/>
        <v>0.50439054378564374</v>
      </c>
      <c r="CJ218" s="302">
        <f t="shared" si="263"/>
        <v>0.50899350725499792</v>
      </c>
      <c r="CK218" s="302">
        <f t="shared" si="263"/>
        <v>0.51817728217099179</v>
      </c>
      <c r="CL218" s="302">
        <f t="shared" si="263"/>
        <v>0.5363319975451214</v>
      </c>
      <c r="CM218" s="302">
        <f t="shared" si="263"/>
        <v>0.57157356865650399</v>
      </c>
      <c r="CN218" s="302">
        <f t="shared" si="263"/>
        <v>0.6376292541915507</v>
      </c>
      <c r="CO218" s="302">
        <f t="shared" si="263"/>
        <v>0.75368786856564474</v>
      </c>
      <c r="CP218" s="302">
        <f t="shared" si="263"/>
        <v>0.93617867221318674</v>
      </c>
      <c r="CQ218" s="302">
        <f t="shared" si="263"/>
        <v>1.1784156338929486</v>
      </c>
      <c r="CR218" s="302">
        <f t="shared" si="263"/>
        <v>1.4366816272709753</v>
      </c>
      <c r="CS218" s="302">
        <f t="shared" si="263"/>
        <v>1.6550061704568098</v>
      </c>
      <c r="CT218" s="302">
        <f t="shared" si="263"/>
        <v>1.8061829544283459</v>
      </c>
      <c r="CU218" s="302">
        <f t="shared" si="263"/>
        <v>1.8969803457468584</v>
      </c>
      <c r="CV218" s="302">
        <f t="shared" si="263"/>
        <v>1.9469267245665476</v>
      </c>
      <c r="CW218" s="302">
        <f t="shared" si="263"/>
        <v>1.9730803042182146</v>
      </c>
      <c r="CX218" s="302">
        <f t="shared" si="263"/>
        <v>1.9864222522120911</v>
      </c>
      <c r="CY218" s="302">
        <f t="shared" si="263"/>
        <v>1.9931378687343195</v>
      </c>
      <c r="CZ218" s="302">
        <f t="shared" si="263"/>
        <v>1.9964953420750291</v>
      </c>
      <c r="DA218" s="302">
        <f t="shared" si="263"/>
        <v>1.9981682303416108</v>
      </c>
      <c r="DB218" s="302">
        <f t="shared" si="263"/>
        <v>1.9990003524811306</v>
      </c>
      <c r="DC218" s="302">
        <f t="shared" si="263"/>
        <v>1.9994139156464303</v>
      </c>
      <c r="DD218" s="302">
        <f t="shared" si="263"/>
        <v>1.9996193698344396</v>
      </c>
      <c r="DE218" s="302">
        <f t="shared" si="263"/>
        <v>1.9997972778672723</v>
      </c>
      <c r="DF218" s="302">
        <f t="shared" si="263"/>
        <v>1.9998993243186103</v>
      </c>
      <c r="DG218" s="303">
        <f t="shared" si="263"/>
        <v>1.9999500042469289</v>
      </c>
      <c r="DH218" s="223"/>
      <c r="DI218"/>
      <c r="DJ218"/>
      <c r="DK218"/>
      <c r="DL218" s="419">
        <v>0.8</v>
      </c>
      <c r="DM218" s="302">
        <f t="shared" si="218"/>
        <v>0.99850794233232665</v>
      </c>
      <c r="DN218" s="302">
        <f t="shared" si="218"/>
        <v>0.99777492793427958</v>
      </c>
      <c r="DO218" s="302">
        <f t="shared" si="218"/>
        <v>0.99668239783965107</v>
      </c>
      <c r="DP218" s="302">
        <f t="shared" si="218"/>
        <v>0.99505475368673069</v>
      </c>
      <c r="DQ218" s="302">
        <f t="shared" si="218"/>
        <v>0.99263152020112821</v>
      </c>
      <c r="DR218" s="302">
        <f t="shared" si="218"/>
        <v>0.98902740220109897</v>
      </c>
      <c r="DS218" s="302">
        <f t="shared" si="218"/>
        <v>0.98367485769368024</v>
      </c>
      <c r="DT218" s="302">
        <f t="shared" si="218"/>
        <v>0.97574313003145141</v>
      </c>
      <c r="DU218" s="302">
        <f t="shared" si="218"/>
        <v>0.9640275800758169</v>
      </c>
      <c r="DV218" s="302">
        <f t="shared" si="218"/>
        <v>0.94680601284626809</v>
      </c>
      <c r="DW218" s="302">
        <f t="shared" si="219"/>
        <v>0.92166855440647133</v>
      </c>
      <c r="DX218" s="302">
        <f t="shared" si="219"/>
        <v>0.94680601284626809</v>
      </c>
      <c r="DY218" s="302">
        <f t="shared" si="219"/>
        <v>0.9640275800758169</v>
      </c>
      <c r="DZ218" s="302">
        <f t="shared" si="219"/>
        <v>0.97574313003145141</v>
      </c>
      <c r="EA218" s="302">
        <f t="shared" si="219"/>
        <v>0.98367485769368024</v>
      </c>
      <c r="EB218" s="302">
        <f t="shared" si="219"/>
        <v>0.98902740220109897</v>
      </c>
      <c r="EC218" s="302">
        <f t="shared" si="219"/>
        <v>0.99263152020112821</v>
      </c>
      <c r="ED218" s="302">
        <f t="shared" si="219"/>
        <v>0.99505475368673069</v>
      </c>
      <c r="EE218" s="302">
        <f t="shared" si="219"/>
        <v>0.99668239783965107</v>
      </c>
      <c r="EF218" s="302">
        <f t="shared" si="219"/>
        <v>0.99777492793427958</v>
      </c>
      <c r="EG218" s="302">
        <f t="shared" si="219"/>
        <v>0.99850794233232665</v>
      </c>
      <c r="EH218"/>
      <c r="EI218"/>
      <c r="EJ218"/>
      <c r="EK218" s="781">
        <v>0.8</v>
      </c>
      <c r="EL218" s="302">
        <f t="shared" si="220"/>
        <v>0.9881484381384964</v>
      </c>
      <c r="EM218" s="302">
        <f t="shared" si="220"/>
        <v>0.98394206285173436</v>
      </c>
      <c r="EN218" s="302">
        <f t="shared" si="220"/>
        <v>0.97857308588823533</v>
      </c>
      <c r="EO218" s="302">
        <f t="shared" si="220"/>
        <v>0.97192976967610911</v>
      </c>
      <c r="EP218" s="302">
        <f t="shared" si="220"/>
        <v>0.9640275800758169</v>
      </c>
      <c r="EQ218" s="302">
        <f t="shared" si="220"/>
        <v>0.95509269691387622</v>
      </c>
      <c r="ER218" s="302">
        <f t="shared" si="220"/>
        <v>0.94563952947663132</v>
      </c>
      <c r="ES218" s="302">
        <f t="shared" si="220"/>
        <v>0.93650024009844923</v>
      </c>
      <c r="ET218" s="302">
        <f t="shared" si="220"/>
        <v>0.92875356714922219</v>
      </c>
      <c r="EU218" s="302">
        <f t="shared" si="220"/>
        <v>0.92352148935148781</v>
      </c>
      <c r="EV218" s="302">
        <f t="shared" si="221"/>
        <v>0.92166855440647133</v>
      </c>
      <c r="EW218" s="302">
        <f t="shared" si="221"/>
        <v>0.92352148935148781</v>
      </c>
      <c r="EX218" s="302">
        <f t="shared" si="221"/>
        <v>0.92875356714922219</v>
      </c>
      <c r="EY218" s="302">
        <f t="shared" si="221"/>
        <v>0.93650024009844923</v>
      </c>
      <c r="EZ218" s="302">
        <f t="shared" si="221"/>
        <v>0.94563952947663132</v>
      </c>
      <c r="FA218" s="302">
        <f t="shared" si="221"/>
        <v>0.95509269691387622</v>
      </c>
      <c r="FB218" s="302">
        <f t="shared" si="221"/>
        <v>0.9640275800758169</v>
      </c>
      <c r="FC218" s="302">
        <f t="shared" si="221"/>
        <v>0.97192976967610911</v>
      </c>
      <c r="FD218" s="302">
        <f t="shared" si="221"/>
        <v>0.97857308588823533</v>
      </c>
      <c r="FE218" s="302">
        <f t="shared" si="221"/>
        <v>0.98394206285173436</v>
      </c>
      <c r="FF218" s="302">
        <f t="shared" si="221"/>
        <v>0.9881484381384964</v>
      </c>
      <c r="FG218"/>
      <c r="FH218"/>
      <c r="FI218" s="779"/>
      <c r="FJ218" s="420">
        <v>0.8</v>
      </c>
      <c r="FK218" s="302">
        <f t="shared" si="222"/>
        <v>0.9640275800758169</v>
      </c>
      <c r="FL218" s="302">
        <f t="shared" si="222"/>
        <v>0.94680601284626809</v>
      </c>
      <c r="FM218" s="302">
        <f t="shared" si="222"/>
        <v>0.92166855440647133</v>
      </c>
      <c r="FN218" s="302">
        <f t="shared" si="222"/>
        <v>0.92166855440647133</v>
      </c>
      <c r="FO218" s="302">
        <f t="shared" si="222"/>
        <v>0.92166855440647133</v>
      </c>
      <c r="FP218" s="302">
        <f t="shared" si="222"/>
        <v>0.92166855440647133</v>
      </c>
      <c r="FQ218" s="302">
        <f t="shared" si="222"/>
        <v>0.92166855440647133</v>
      </c>
      <c r="FR218" s="302">
        <f t="shared" si="222"/>
        <v>0.92166855440647133</v>
      </c>
      <c r="FS218" s="302">
        <f t="shared" si="222"/>
        <v>0.92166855440647133</v>
      </c>
      <c r="FT218" s="302">
        <f t="shared" si="222"/>
        <v>0.92166855440647133</v>
      </c>
      <c r="FU218" s="302">
        <f t="shared" si="223"/>
        <v>0.92166855440647133</v>
      </c>
      <c r="FV218" s="302">
        <f t="shared" si="223"/>
        <v>0.92166855440647133</v>
      </c>
      <c r="FW218" s="302">
        <f t="shared" si="223"/>
        <v>0.92166855440647133</v>
      </c>
      <c r="FX218" s="302">
        <f t="shared" si="223"/>
        <v>0.92166855440647133</v>
      </c>
      <c r="FY218" s="302">
        <f t="shared" si="223"/>
        <v>0.92166855440647133</v>
      </c>
      <c r="FZ218" s="302">
        <f t="shared" si="223"/>
        <v>0.92166855440647133</v>
      </c>
      <c r="GA218" s="302">
        <f t="shared" si="223"/>
        <v>0.92166855440647133</v>
      </c>
      <c r="GB218" s="302">
        <f t="shared" si="223"/>
        <v>0.92166855440647133</v>
      </c>
      <c r="GC218" s="302">
        <f t="shared" si="223"/>
        <v>0.92166855440647133</v>
      </c>
      <c r="GD218" s="302">
        <f t="shared" si="223"/>
        <v>0.94680601284626809</v>
      </c>
      <c r="GE218" s="302">
        <f t="shared" si="223"/>
        <v>0.9640275800758169</v>
      </c>
      <c r="GF218"/>
      <c r="GG218"/>
      <c r="GH218"/>
    </row>
    <row r="219" spans="2:190" ht="42" customHeight="1">
      <c r="B219"/>
      <c r="C219" s="221"/>
      <c r="D219" s="192"/>
      <c r="E219" s="169">
        <v>1.3</v>
      </c>
      <c r="F219" s="174">
        <f t="shared" si="259"/>
        <v>1.9992835605765731</v>
      </c>
      <c r="G219" s="301">
        <f t="shared" si="224"/>
        <v>0.49961672316700573</v>
      </c>
      <c r="H219" s="302">
        <f t="shared" si="225"/>
        <v>0.49975262120828318</v>
      </c>
      <c r="I219" s="302">
        <f t="shared" si="226"/>
        <v>0.49979293487346566</v>
      </c>
      <c r="J219" s="302">
        <f t="shared" si="227"/>
        <v>0.50024853758972487</v>
      </c>
      <c r="K219" s="302">
        <f t="shared" si="228"/>
        <v>0.50074050693297123</v>
      </c>
      <c r="L219" s="302">
        <f t="shared" si="229"/>
        <v>0.50188334156739156</v>
      </c>
      <c r="M219" s="302">
        <f t="shared" si="230"/>
        <v>0.50417959214254093</v>
      </c>
      <c r="N219" s="302">
        <f t="shared" si="231"/>
        <v>0.50878261480283027</v>
      </c>
      <c r="O219" s="302">
        <f t="shared" si="232"/>
        <v>0.51796675208751619</v>
      </c>
      <c r="P219" s="302">
        <f t="shared" si="233"/>
        <v>0.53612215818719744</v>
      </c>
      <c r="Q219" s="302">
        <f t="shared" si="234"/>
        <v>0.57136459910123094</v>
      </c>
      <c r="R219" s="302">
        <f t="shared" si="235"/>
        <v>0.63742105297580287</v>
      </c>
      <c r="S219" s="302">
        <f t="shared" si="236"/>
        <v>0.75348015673539093</v>
      </c>
      <c r="T219" s="302">
        <f t="shared" si="237"/>
        <v>0.93597150064100854</v>
      </c>
      <c r="U219" s="302">
        <f t="shared" si="238"/>
        <v>1.1782100217003624</v>
      </c>
      <c r="V219" s="302">
        <f t="shared" si="239"/>
        <v>1.4364794160632144</v>
      </c>
      <c r="W219" s="302">
        <f t="shared" si="240"/>
        <v>1.6548088271394625</v>
      </c>
      <c r="X219" s="302">
        <f t="shared" si="241"/>
        <v>1.8059906677226727</v>
      </c>
      <c r="Y219" s="302">
        <f t="shared" si="242"/>
        <v>1.8967922672907953</v>
      </c>
      <c r="Z219" s="302">
        <f t="shared" si="243"/>
        <v>1.9467416703209759</v>
      </c>
      <c r="AA219" s="302">
        <f t="shared" si="244"/>
        <v>1.9728972216686469</v>
      </c>
      <c r="AB219" s="302">
        <f t="shared" si="245"/>
        <v>1.9862403715843124</v>
      </c>
      <c r="AC219" s="302">
        <f t="shared" si="246"/>
        <v>1.9929566857396999</v>
      </c>
      <c r="AD219" s="302">
        <f t="shared" si="247"/>
        <v>1.9963145490812704</v>
      </c>
      <c r="AE219" s="302">
        <f t="shared" si="248"/>
        <v>1.9979876489530204</v>
      </c>
      <c r="AF219" s="302">
        <f t="shared" si="249"/>
        <v>1.9988198831221571</v>
      </c>
      <c r="AG219" s="302">
        <f t="shared" si="250"/>
        <v>1.9992335043905567</v>
      </c>
      <c r="AH219" s="302">
        <f t="shared" si="251"/>
        <v>1.9995917538286072</v>
      </c>
      <c r="AI219" s="302">
        <f t="shared" si="252"/>
        <v>1.9997972232529877</v>
      </c>
      <c r="AJ219" s="302">
        <f t="shared" si="253"/>
        <v>1.9998992778065681</v>
      </c>
      <c r="AK219" s="303">
        <f t="shared" si="254"/>
        <v>1.9999499625342028</v>
      </c>
      <c r="AL219" s="223"/>
      <c r="AM219" s="137"/>
      <c r="AN219" s="221"/>
      <c r="AO219" s="192"/>
      <c r="AP219" s="169">
        <v>1.3</v>
      </c>
      <c r="AQ219" s="174">
        <f t="shared" si="260"/>
        <v>1.9992835605765731</v>
      </c>
      <c r="AR219" s="302">
        <f t="shared" si="255"/>
        <v>0.99994984982787793</v>
      </c>
      <c r="AS219" s="302">
        <f t="shared" si="255"/>
        <v>0.99994492968106108</v>
      </c>
      <c r="AT219" s="302">
        <f t="shared" si="255"/>
        <v>0.99994166505608661</v>
      </c>
      <c r="AU219" s="302">
        <f t="shared" si="255"/>
        <v>0.9999398991273587</v>
      </c>
      <c r="AV219" s="302">
        <f t="shared" si="255"/>
        <v>0.99993923238193794</v>
      </c>
      <c r="AW219" s="302">
        <f t="shared" si="255"/>
        <v>0.99993913618800778</v>
      </c>
      <c r="AX219" s="302">
        <f t="shared" si="255"/>
        <v>0.99993923176827637</v>
      </c>
      <c r="AY219" s="302">
        <f t="shared" si="255"/>
        <v>0.99993989783764881</v>
      </c>
      <c r="AZ219" s="302">
        <f t="shared" si="255"/>
        <v>0.99994166297041009</v>
      </c>
      <c r="BA219" s="302">
        <f t="shared" si="255"/>
        <v>0.99994492663210488</v>
      </c>
      <c r="BB219" s="302">
        <f t="shared" si="256"/>
        <v>0.99994984561675782</v>
      </c>
      <c r="BC219" s="302">
        <f t="shared" si="256"/>
        <v>0.99995624820278584</v>
      </c>
      <c r="BD219" s="302">
        <f t="shared" si="256"/>
        <v>0.99996363652743392</v>
      </c>
      <c r="BE219" s="302">
        <f t="shared" si="256"/>
        <v>0.99997130348253793</v>
      </c>
      <c r="BF219" s="302">
        <f t="shared" si="256"/>
        <v>0.99997852677370258</v>
      </c>
      <c r="BG219" s="302">
        <f t="shared" si="256"/>
        <v>0.99998475495382955</v>
      </c>
      <c r="BH219" s="302">
        <f t="shared" si="256"/>
        <v>0.99998970789683028</v>
      </c>
      <c r="BI219" s="302">
        <f t="shared" si="256"/>
        <v>0.99999336931934157</v>
      </c>
      <c r="BJ219" s="302">
        <f t="shared" si="256"/>
        <v>0.99999590532631655</v>
      </c>
      <c r="BK219" s="302">
        <f t="shared" si="256"/>
        <v>0.99999756384978566</v>
      </c>
      <c r="BL219" s="302">
        <f t="shared" si="257"/>
        <v>0.99999859553413895</v>
      </c>
      <c r="BM219" s="302">
        <f t="shared" si="257"/>
        <v>0.99999921009174864</v>
      </c>
      <c r="BN219" s="302">
        <f t="shared" si="257"/>
        <v>0.99999956280266189</v>
      </c>
      <c r="BO219" s="302">
        <f t="shared" si="257"/>
        <v>0.99999975889833492</v>
      </c>
      <c r="BP219" s="302">
        <f t="shared" si="257"/>
        <v>0.99999986500933902</v>
      </c>
      <c r="BQ219" s="302">
        <f t="shared" si="257"/>
        <v>0.99999992111341218</v>
      </c>
      <c r="BR219" s="302">
        <f t="shared" si="257"/>
        <v>0.99999995019241739</v>
      </c>
      <c r="BS219" s="302">
        <f t="shared" si="257"/>
        <v>0.99999996506754274</v>
      </c>
      <c r="BT219" s="302">
        <f t="shared" si="257"/>
        <v>0.99999997269008956</v>
      </c>
      <c r="BU219" s="302">
        <f t="shared" si="257"/>
        <v>0.99999997674280816</v>
      </c>
      <c r="BV219" s="302">
        <f t="shared" si="257"/>
        <v>0.99999997914311556</v>
      </c>
      <c r="BW219" s="223"/>
      <c r="BX219" s="137"/>
      <c r="BY219" s="221"/>
      <c r="BZ219" s="192"/>
      <c r="CA219" s="169">
        <v>1.3</v>
      </c>
      <c r="CB219" s="174">
        <f t="shared" si="261"/>
        <v>1.9992835605765731</v>
      </c>
      <c r="CC219" s="301">
        <f t="shared" si="262"/>
        <v>0.49964178028828654</v>
      </c>
      <c r="CD219" s="302">
        <f t="shared" ref="CD219:CD247" si="264">_xlfn.IFS(($E219-$D$215)&lt;-(CD$215-$E$214),MIN((CD$216+$F219)/2,CC218),($E219-$D$215)&gt;-(CD$215-$E$214),MAX((CD$216+$F219)/2,CC218),TRUE,(CD$216+$F219)/2)</f>
        <v>0.49978014426022693</v>
      </c>
      <c r="CE219" s="302">
        <f t="shared" ref="CE219:CE247" si="265">_xlfn.IFS(($E219-$D$215)&lt;-(CE$215-$E$214),MIN((CE$216+$F219)/2,CC218),($E219-$D$215)&gt;-(CE$215-$E$214),MAX((CE$216+$F219)/2,CD217),TRUE,(CE$216+$F219)/2)</f>
        <v>0.4998220919671672</v>
      </c>
      <c r="CF219" s="302">
        <f t="shared" ref="CF219:CF247" si="266">_xlfn.IFS(($E219-$D$215)&lt;-(CF$215-$E$214),MIN((CF$216+$F219)/2,CD218),($E219-$D$215)&gt;-(CF$215-$E$214),MAX((CF$216+$F219)/2,CE217),TRUE,(CF$216+$F219)/2)</f>
        <v>0.5002786047704354</v>
      </c>
      <c r="CG219" s="302">
        <f t="shared" ref="CG219:CG247" si="267">_xlfn.IFS(($E219-$D$215)&lt;-(CG$215-$E$214),MIN((CG$216+$F219)/2,CE218),($E219-$D$215)&gt;-(CG$215-$E$214),MAX((CG$216+$F219)/2,CF217),TRUE,(CG$216+$F219)/2)</f>
        <v>0.50077093759004332</v>
      </c>
      <c r="CH219" s="302">
        <f t="shared" ref="CH219:CH247" si="268">_xlfn.IFS(($E219-$D$215)&lt;-(CH$215-$E$214),MIN((CH$216+$F219)/2,CF218),($E219-$D$215)&gt;-(CH$215-$E$214),MAX((CH$216+$F219)/2,CG217),TRUE,(CH$216+$F219)/2)</f>
        <v>0.50191388996002639</v>
      </c>
      <c r="CI219" s="302">
        <f t="shared" ref="CI219:CI247" si="269">_xlfn.IFS(($E219-$D$215)&lt;-(CI$215-$E$214),MIN((CI$216+$F219)/2,CG218),($E219-$D$215)&gt;-(CI$215-$E$214),MAX((CI$216+$F219)/2,CH217),TRUE,(CI$216+$F219)/2)</f>
        <v>0.50421023210676297</v>
      </c>
      <c r="CJ219" s="302">
        <f t="shared" ref="CJ219:CJ247" si="270">_xlfn.IFS(($E219-$D$215)&lt;-(CJ$215-$E$214),MIN((CJ$216+$F219)/2,CH218),($E219-$D$215)&gt;-(CJ$215-$E$214),MAX((CJ$216+$F219)/2,CI217),TRUE,(CJ$216+$F219)/2)</f>
        <v>0.50881319557611726</v>
      </c>
      <c r="CK219" s="302">
        <f t="shared" ref="CK219:CK247" si="271">_xlfn.IFS(($E219-$D$215)&lt;-(CK$215-$E$214),MIN((CK$216+$F219)/2,CI218),($E219-$D$215)&gt;-(CK$215-$E$214),MAX((CK$216+$F219)/2,CJ217),TRUE,(CK$216+$F219)/2)</f>
        <v>0.51799697049211124</v>
      </c>
      <c r="CL219" s="302">
        <f t="shared" ref="CL219:CL247" si="272">_xlfn.IFS(($E219-$D$215)&lt;-(CL$215-$E$214),MIN((CL$216+$F219)/2,CJ218),($E219-$D$215)&gt;-(CL$215-$E$214),MAX((CL$216+$F219)/2,CK217),TRUE,(CL$216+$F219)/2)</f>
        <v>0.53615168586624073</v>
      </c>
      <c r="CM219" s="302">
        <f t="shared" ref="CM219:CM247" si="273">_xlfn.IFS(($E219-$D$215)&lt;-(CM$215-$E$214),MIN((CM$216+$F219)/2,CK218),($E219-$D$215)&gt;-(CM$215-$E$214),MAX((CM$216+$F219)/2,CL217),TRUE,(CM$216+$F219)/2)</f>
        <v>0.57139325697762344</v>
      </c>
      <c r="CN219" s="302">
        <f t="shared" ref="CN219:CN247" si="274">_xlfn.IFS(($E219-$D$215)&lt;-(CN$215-$E$214),MIN((CN$216+$F219)/2,CL218),($E219-$D$215)&gt;-(CN$215-$E$214),MAX((CN$216+$F219)/2,CM217),TRUE,(CN$216+$F219)/2)</f>
        <v>0.63744894251267004</v>
      </c>
      <c r="CO219" s="302">
        <f t="shared" ref="CO219:CO247" si="275">_xlfn.IFS(($E219-$D$215)&lt;-(CO$215-$E$214),MIN((CO$216+$F219)/2,CM218),($E219-$D$215)&gt;-(CO$215-$E$214),MAX((CO$216+$F219)/2,CN217),TRUE,(CO$216+$F219)/2)</f>
        <v>0.75350755688676407</v>
      </c>
      <c r="CP219" s="302">
        <f t="shared" ref="CP219:CP247" si="276">_xlfn.IFS(($E219-$D$215)&lt;-(CP$215-$E$214),MIN((CP$216+$F219)/2,CN218),($E219-$D$215)&gt;-(CP$215-$E$214),MAX((CP$216+$F219)/2,CO217),TRUE,(CP$216+$F219)/2)</f>
        <v>0.93599836053430607</v>
      </c>
      <c r="CQ219" s="302">
        <f t="shared" ref="CQ219:CQ247" si="277">_xlfn.IFS(($E219-$D$215)&lt;-(CQ$215-$E$214),MIN((CQ$216+$F219)/2,CO218),($E219-$D$215)&gt;-(CQ$215-$E$214),MAX((CQ$216+$F219)/2,CP217),TRUE,(CQ$216+$F219)/2)</f>
        <v>1.1782353222140678</v>
      </c>
      <c r="CR219" s="302">
        <f t="shared" ref="CR219:CR247" si="278">_xlfn.IFS(($E219-$D$215)&lt;-(CR$215-$E$214),MIN((CR$216+$F219)/2,CP218),($E219-$D$215)&gt;-(CR$215-$E$214),MAX((CR$216+$F219)/2,CQ217),TRUE,(CR$216+$F219)/2)</f>
        <v>1.4365013155920945</v>
      </c>
      <c r="CS219" s="302">
        <f t="shared" ref="CS219:CS247" si="279">_xlfn.IFS(($E219-$D$215)&lt;-(CS$215-$E$214),MIN((CS$216+$F219)/2,CQ218),($E219-$D$215)&gt;-(CS$215-$E$214),MAX((CS$216+$F219)/2,CR217),TRUE,(CS$216+$F219)/2)</f>
        <v>1.654825858777929</v>
      </c>
      <c r="CT219" s="302">
        <f t="shared" ref="CT219:CT247" si="280">_xlfn.IFS(($E219-$D$215)&lt;-(CT$215-$E$214),MIN((CT$216+$F219)/2,CR218),($E219-$D$215)&gt;-(CT$215-$E$214),MAX((CT$216+$F219)/2,CS217),TRUE,(CT$216+$F219)/2)</f>
        <v>1.8060026427494651</v>
      </c>
      <c r="CU219" s="302">
        <f t="shared" ref="CU219:CU247" si="281">_xlfn.IFS(($E219-$D$215)&lt;-(CU$215-$E$214),MIN((CU$216+$F219)/2,CS218),($E219-$D$215)&gt;-(CU$215-$E$214),MAX((CU$216+$F219)/2,CT217),TRUE,(CU$216+$F219)/2)</f>
        <v>1.8968000340679776</v>
      </c>
      <c r="CV219" s="302">
        <f t="shared" ref="CV219:CV247" si="282">_xlfn.IFS(($E219-$D$215)&lt;-(CV$215-$E$214),MIN((CV$216+$F219)/2,CT218),($E219-$D$215)&gt;-(CV$215-$E$214),MAX((CV$216+$F219)/2,CU217),TRUE,(CV$216+$F219)/2)</f>
        <v>1.9467464128876668</v>
      </c>
      <c r="CW219" s="302">
        <f t="shared" ref="CW219:CW247" si="283">_xlfn.IFS(($E219-$D$215)&lt;-(CW$215-$E$214),MIN((CW$216+$F219)/2,CU218),($E219-$D$215)&gt;-(CW$215-$E$214),MAX((CW$216+$F219)/2,CV217),TRUE,(CW$216+$F219)/2)</f>
        <v>1.9728999925393338</v>
      </c>
      <c r="CX219" s="302">
        <f t="shared" ref="CX219:CX247" si="284">_xlfn.IFS(($E219-$D$215)&lt;-(CX$215-$E$214),MIN((CX$216+$F219)/2,CV218),($E219-$D$215)&gt;-(CX$215-$E$214),MAX((CX$216+$F219)/2,CW217),TRUE,(CX$216+$F219)/2)</f>
        <v>1.9862419405332106</v>
      </c>
      <c r="CY219" s="302">
        <f t="shared" ref="CY219:CY247" si="285">_xlfn.IFS(($E219-$D$215)&lt;-(CY$215-$E$214),MIN((CY$216+$F219)/2,CW218),($E219-$D$215)&gt;-(CY$215-$E$214),MAX((CY$216+$F219)/2,CX217),TRUE,(CY$216+$F219)/2)</f>
        <v>1.9929575570554388</v>
      </c>
      <c r="CZ219" s="302">
        <f t="shared" ref="CZ219:CZ247" si="286">_xlfn.IFS(($E219-$D$215)&lt;-(CZ$215-$E$214),MIN((CZ$216+$F219)/2,CX218),($E219-$D$215)&gt;-(CZ$215-$E$214),MAX((CZ$216+$F219)/2,CY217),TRUE,(CZ$216+$F219)/2)</f>
        <v>1.9963150303961483</v>
      </c>
      <c r="DA219" s="302">
        <f t="shared" ref="DA219:DA247" si="287">_xlfn.IFS(($E219-$D$215)&lt;-(DA$215-$E$214),MIN((DA$216+$F219)/2,CY218),($E219-$D$215)&gt;-(DA$215-$E$214),MAX((DA$216+$F219)/2,CZ217),TRUE,(DA$216+$F219)/2)</f>
        <v>1.9979879186627301</v>
      </c>
      <c r="DB219" s="302">
        <f t="shared" ref="DB219:DB247" si="288">_xlfn.IFS(($E219-$D$215)&lt;-(DB$215-$E$214),MIN((DB$216+$F219)/2,CZ218),($E219-$D$215)&gt;-(DB$215-$E$214),MAX((DB$216+$F219)/2,DA217),TRUE,(DB$216+$F219)/2)</f>
        <v>1.9988200408022498</v>
      </c>
      <c r="DC219" s="302">
        <f t="shared" ref="DC219:DC247" si="289">_xlfn.IFS(($E219-$D$215)&lt;-(DC$215-$E$214),MIN((DC$216+$F219)/2,DA218),($E219-$D$215)&gt;-(DC$215-$E$214),MAX((DC$216+$F219)/2,DB217),TRUE,(DC$216+$F219)/2)</f>
        <v>1.9992336039675496</v>
      </c>
      <c r="DD219" s="302">
        <f t="shared" ref="DD219:DD247" si="290">_xlfn.IFS(($E219-$D$215)&lt;-(DD$215-$E$214),MIN((DD$216+$F219)/2,DB218),($E219-$D$215)&gt;-(DD$215-$E$214),MAX((DD$216+$F219)/2,DC217),TRUE,(DD$216+$F219)/2)</f>
        <v>1.9995918236792631</v>
      </c>
      <c r="DE219" s="302">
        <f t="shared" ref="DE219:DE247" si="291">_xlfn.IFS(($E219-$D$215)&lt;-(DE$215-$E$214),MIN((DE$216+$F219)/2,DC218),($E219-$D$215)&gt;-(DE$215-$E$214),MAX((DE$216+$F219)/2,DD217),TRUE,(DE$216+$F219)/2)</f>
        <v>1.9997972778672723</v>
      </c>
      <c r="DF219" s="302">
        <f t="shared" ref="DF219:DF247" si="292">_xlfn.IFS(($E219-$D$215)&lt;-(DF$215-$E$214),MIN((DF$216+$F219)/2,DD218),($E219-$D$215)&gt;-(DF$215-$E$214),MAX((DF$216+$F219)/2,DE217),TRUE,(DF$216+$F219)/2)</f>
        <v>1.9998993243186103</v>
      </c>
      <c r="DG219" s="303">
        <f t="shared" ref="DG219:DG247" si="293">_xlfn.IFS(($E219-$D$215)&lt;-(DG$215-$E$214),MIN((DG$216+$F219)/2,DE218),($E219-$D$215)&gt;-(DG$215-$E$214),MAX((DG$216+$F219)/2,DF217),TRUE,(DG$216+$F219)/2)</f>
        <v>1.9999500042469289</v>
      </c>
      <c r="DH219" s="223"/>
      <c r="DI219"/>
      <c r="DJ219"/>
      <c r="DK219"/>
      <c r="DL219" s="780">
        <v>0.7</v>
      </c>
      <c r="DM219" s="302">
        <f t="shared" si="218"/>
        <v>0.99777492793427958</v>
      </c>
      <c r="DN219" s="302">
        <f t="shared" si="218"/>
        <v>0.99668239783965107</v>
      </c>
      <c r="DO219" s="302">
        <f t="shared" si="218"/>
        <v>0.99505475368673069</v>
      </c>
      <c r="DP219" s="302">
        <f t="shared" si="218"/>
        <v>0.99263152020112821</v>
      </c>
      <c r="DQ219" s="302">
        <f t="shared" si="218"/>
        <v>0.98902740220109897</v>
      </c>
      <c r="DR219" s="302">
        <f t="shared" si="218"/>
        <v>0.98367485769368024</v>
      </c>
      <c r="DS219" s="302">
        <f t="shared" si="218"/>
        <v>0.97574313003145141</v>
      </c>
      <c r="DT219" s="302">
        <f t="shared" si="218"/>
        <v>0.9640275800758169</v>
      </c>
      <c r="DU219" s="302">
        <f t="shared" si="218"/>
        <v>0.94680601284626809</v>
      </c>
      <c r="DV219" s="302">
        <f t="shared" si="218"/>
        <v>0.92166855440647133</v>
      </c>
      <c r="DW219" s="302">
        <f t="shared" si="219"/>
        <v>0.88535164820226253</v>
      </c>
      <c r="DX219" s="302">
        <f t="shared" si="219"/>
        <v>0.92166855440647133</v>
      </c>
      <c r="DY219" s="302">
        <f t="shared" si="219"/>
        <v>0.94680601284626809</v>
      </c>
      <c r="DZ219" s="302">
        <f t="shared" si="219"/>
        <v>0.9640275800758169</v>
      </c>
      <c r="EA219" s="302">
        <f t="shared" si="219"/>
        <v>0.97574313003145141</v>
      </c>
      <c r="EB219" s="302">
        <f t="shared" si="219"/>
        <v>0.98367485769368024</v>
      </c>
      <c r="EC219" s="302">
        <f t="shared" si="219"/>
        <v>0.98902740220109897</v>
      </c>
      <c r="ED219" s="302">
        <f t="shared" si="219"/>
        <v>0.99263152020112821</v>
      </c>
      <c r="EE219" s="302">
        <f t="shared" si="219"/>
        <v>0.99505475368673069</v>
      </c>
      <c r="EF219" s="302">
        <f t="shared" si="219"/>
        <v>0.99668239783965107</v>
      </c>
      <c r="EG219" s="302">
        <f t="shared" si="219"/>
        <v>0.99777492793427958</v>
      </c>
      <c r="EH219"/>
      <c r="EI219"/>
      <c r="EJ219"/>
      <c r="EK219" s="781">
        <v>0.7</v>
      </c>
      <c r="EL219" s="302">
        <f t="shared" si="220"/>
        <v>0.98495972419362809</v>
      </c>
      <c r="EM219" s="302">
        <f t="shared" si="220"/>
        <v>0.97930689999723741</v>
      </c>
      <c r="EN219" s="302">
        <f t="shared" si="220"/>
        <v>0.97192976967610911</v>
      </c>
      <c r="EO219" s="302">
        <f t="shared" si="220"/>
        <v>0.96257956238231035</v>
      </c>
      <c r="EP219" s="302">
        <f t="shared" si="220"/>
        <v>0.95116896097802295</v>
      </c>
      <c r="EQ219" s="302">
        <f t="shared" si="220"/>
        <v>0.93791900570849696</v>
      </c>
      <c r="ER219" s="302">
        <f t="shared" si="220"/>
        <v>0.92352148935148781</v>
      </c>
      <c r="ES219" s="302">
        <f t="shared" si="220"/>
        <v>0.90924583651378499</v>
      </c>
      <c r="ET219" s="302">
        <f t="shared" si="220"/>
        <v>0.89687722276491311</v>
      </c>
      <c r="EU219" s="302">
        <f t="shared" si="220"/>
        <v>0.88838556158566062</v>
      </c>
      <c r="EV219" s="302">
        <f t="shared" si="221"/>
        <v>0.88535164820226253</v>
      </c>
      <c r="EW219" s="302">
        <f t="shared" si="221"/>
        <v>0.88838556158566062</v>
      </c>
      <c r="EX219" s="302">
        <f t="shared" si="221"/>
        <v>0.89687722276491311</v>
      </c>
      <c r="EY219" s="302">
        <f t="shared" si="221"/>
        <v>0.90924583651378499</v>
      </c>
      <c r="EZ219" s="302">
        <f t="shared" si="221"/>
        <v>0.92352148935148781</v>
      </c>
      <c r="FA219" s="302">
        <f t="shared" si="221"/>
        <v>0.93791900570849696</v>
      </c>
      <c r="FB219" s="302">
        <f t="shared" si="221"/>
        <v>0.95116896097802295</v>
      </c>
      <c r="FC219" s="302">
        <f t="shared" si="221"/>
        <v>0.96257956238231035</v>
      </c>
      <c r="FD219" s="302">
        <f t="shared" si="221"/>
        <v>0.97192976967610911</v>
      </c>
      <c r="FE219" s="302">
        <f t="shared" si="221"/>
        <v>0.97930689999723741</v>
      </c>
      <c r="FF219" s="302">
        <f t="shared" si="221"/>
        <v>0.98495972419362809</v>
      </c>
      <c r="FG219"/>
      <c r="FH219"/>
      <c r="FI219" s="779"/>
      <c r="FJ219" s="420">
        <v>0.7</v>
      </c>
      <c r="FK219" s="302">
        <f t="shared" si="222"/>
        <v>0.9640275800758169</v>
      </c>
      <c r="FL219" s="302">
        <f t="shared" si="222"/>
        <v>0.94680601284626809</v>
      </c>
      <c r="FM219" s="302">
        <f t="shared" si="222"/>
        <v>0.92166855440647133</v>
      </c>
      <c r="FN219" s="302">
        <f t="shared" si="222"/>
        <v>0.88535164820226253</v>
      </c>
      <c r="FO219" s="302">
        <f t="shared" si="222"/>
        <v>0.88535164820226253</v>
      </c>
      <c r="FP219" s="302">
        <f t="shared" si="222"/>
        <v>0.88535164820226253</v>
      </c>
      <c r="FQ219" s="302">
        <f t="shared" si="222"/>
        <v>0.88535164820226253</v>
      </c>
      <c r="FR219" s="302">
        <f t="shared" si="222"/>
        <v>0.88535164820226253</v>
      </c>
      <c r="FS219" s="302">
        <f t="shared" si="222"/>
        <v>0.88535164820226253</v>
      </c>
      <c r="FT219" s="302">
        <f t="shared" si="222"/>
        <v>0.88535164820226253</v>
      </c>
      <c r="FU219" s="302">
        <f t="shared" si="223"/>
        <v>0.88535164820226253</v>
      </c>
      <c r="FV219" s="302">
        <f t="shared" si="223"/>
        <v>0.88535164820226253</v>
      </c>
      <c r="FW219" s="302">
        <f t="shared" si="223"/>
        <v>0.88535164820226253</v>
      </c>
      <c r="FX219" s="302">
        <f t="shared" si="223"/>
        <v>0.88535164820226253</v>
      </c>
      <c r="FY219" s="302">
        <f t="shared" si="223"/>
        <v>0.88535164820226253</v>
      </c>
      <c r="FZ219" s="302">
        <f t="shared" si="223"/>
        <v>0.88535164820226253</v>
      </c>
      <c r="GA219" s="302">
        <f t="shared" si="223"/>
        <v>0.88535164820226253</v>
      </c>
      <c r="GB219" s="302">
        <f t="shared" si="223"/>
        <v>0.88535164820226253</v>
      </c>
      <c r="GC219" s="302">
        <f t="shared" si="223"/>
        <v>0.92166855440647133</v>
      </c>
      <c r="GD219" s="302">
        <f t="shared" si="223"/>
        <v>0.94680601284626809</v>
      </c>
      <c r="GE219" s="302">
        <f t="shared" si="223"/>
        <v>0.9640275800758169</v>
      </c>
      <c r="GF219"/>
      <c r="GG219"/>
      <c r="GH219"/>
    </row>
    <row r="220" spans="2:190" ht="42" customHeight="1">
      <c r="B220"/>
      <c r="C220" s="221"/>
      <c r="D220" s="192"/>
      <c r="E220" s="169">
        <v>1.2</v>
      </c>
      <c r="F220" s="174">
        <f t="shared" si="259"/>
        <v>1.9985576173685191</v>
      </c>
      <c r="G220" s="301">
        <f t="shared" si="224"/>
        <v>0.49922486718598053</v>
      </c>
      <c r="H220" s="302">
        <f t="shared" si="225"/>
        <v>0.4993570010472993</v>
      </c>
      <c r="I220" s="302">
        <f t="shared" si="226"/>
        <v>0.49949303230371456</v>
      </c>
      <c r="J220" s="302">
        <f t="shared" si="227"/>
        <v>0.49971344355561897</v>
      </c>
      <c r="K220" s="302">
        <f t="shared" si="228"/>
        <v>0.50034031156323389</v>
      </c>
      <c r="L220" s="302">
        <f t="shared" si="229"/>
        <v>0.50148298352347875</v>
      </c>
      <c r="M220" s="302">
        <f t="shared" si="230"/>
        <v>0.50377914051960115</v>
      </c>
      <c r="N220" s="302">
        <f t="shared" si="231"/>
        <v>0.50838236493146527</v>
      </c>
      <c r="O220" s="302">
        <f t="shared" si="232"/>
        <v>0.51756728604435798</v>
      </c>
      <c r="P220" s="302">
        <f t="shared" si="233"/>
        <v>0.53572415732488987</v>
      </c>
      <c r="Q220" s="302">
        <f t="shared" si="234"/>
        <v>0.57096858720397747</v>
      </c>
      <c r="R220" s="302">
        <f t="shared" si="235"/>
        <v>0.63702720979228766</v>
      </c>
      <c r="S220" s="302">
        <f t="shared" si="236"/>
        <v>0.75308843332950359</v>
      </c>
      <c r="T220" s="302">
        <f t="shared" si="237"/>
        <v>0.93558213823924807</v>
      </c>
      <c r="U220" s="302">
        <f t="shared" si="238"/>
        <v>1.1778240311159338</v>
      </c>
      <c r="V220" s="302">
        <f t="shared" si="239"/>
        <v>1.4360981641712196</v>
      </c>
      <c r="W220" s="302">
        <f t="shared" si="240"/>
        <v>1.6544329028325355</v>
      </c>
      <c r="X220" s="302">
        <f t="shared" si="241"/>
        <v>1.80561943639586</v>
      </c>
      <c r="Y220" s="302">
        <f t="shared" si="242"/>
        <v>1.896424446335748</v>
      </c>
      <c r="Z220" s="302">
        <f t="shared" si="243"/>
        <v>1.9463760151222034</v>
      </c>
      <c r="AA220" s="302">
        <f t="shared" si="244"/>
        <v>1.9725328212819795</v>
      </c>
      <c r="AB220" s="302">
        <f t="shared" si="245"/>
        <v>1.9858766533597849</v>
      </c>
      <c r="AC220" s="302">
        <f t="shared" si="246"/>
        <v>1.992593321714383</v>
      </c>
      <c r="AD220" s="302">
        <f t="shared" si="247"/>
        <v>1.9959513627743144</v>
      </c>
      <c r="AE220" s="302">
        <f t="shared" si="248"/>
        <v>1.9976245495219791</v>
      </c>
      <c r="AF220" s="302">
        <f t="shared" si="249"/>
        <v>1.9984568252977502</v>
      </c>
      <c r="AG220" s="302">
        <f t="shared" si="250"/>
        <v>1.9990001862687496</v>
      </c>
      <c r="AH220" s="302">
        <f t="shared" si="251"/>
        <v>1.9994137884270933</v>
      </c>
      <c r="AI220" s="302">
        <f t="shared" si="252"/>
        <v>1.9996192625574547</v>
      </c>
      <c r="AJ220" s="302">
        <f t="shared" si="253"/>
        <v>1.9997971816319577</v>
      </c>
      <c r="AK220" s="303">
        <f t="shared" si="254"/>
        <v>1.9998992354202352</v>
      </c>
      <c r="AL220" s="223"/>
      <c r="AM220" s="137"/>
      <c r="AN220" s="221"/>
      <c r="AO220" s="192"/>
      <c r="AP220" s="169">
        <v>1.2</v>
      </c>
      <c r="AQ220" s="174">
        <f t="shared" si="260"/>
        <v>1.9985576173685191</v>
      </c>
      <c r="AR220" s="302">
        <f t="shared" si="255"/>
        <v>0.99989196117011014</v>
      </c>
      <c r="AS220" s="302">
        <f t="shared" si="255"/>
        <v>0.9998795163398555</v>
      </c>
      <c r="AT220" s="302">
        <f t="shared" si="255"/>
        <v>0.99987112362013575</v>
      </c>
      <c r="AU220" s="302">
        <f t="shared" si="255"/>
        <v>0.99986653990684904</v>
      </c>
      <c r="AV220" s="302">
        <f t="shared" si="255"/>
        <v>0.99986480146724055</v>
      </c>
      <c r="AW220" s="302">
        <f t="shared" si="255"/>
        <v>0.99986455047726086</v>
      </c>
      <c r="AX220" s="302">
        <f t="shared" si="255"/>
        <v>0.99986480033042779</v>
      </c>
      <c r="AY220" s="302">
        <f t="shared" si="255"/>
        <v>0.99986653749487042</v>
      </c>
      <c r="AZ220" s="302">
        <f t="shared" si="255"/>
        <v>0.99987111966395248</v>
      </c>
      <c r="BA220" s="302">
        <f t="shared" si="255"/>
        <v>0.99987951045700407</v>
      </c>
      <c r="BB220" s="302">
        <f t="shared" si="256"/>
        <v>0.99989195289426958</v>
      </c>
      <c r="BC220" s="302">
        <f t="shared" si="256"/>
        <v>0.99990776579764962</v>
      </c>
      <c r="BD220" s="302">
        <f t="shared" si="256"/>
        <v>0.99992544332877009</v>
      </c>
      <c r="BE220" s="302">
        <f t="shared" si="256"/>
        <v>0.99994308606572491</v>
      </c>
      <c r="BF220" s="302">
        <f t="shared" si="256"/>
        <v>0.99995897730846472</v>
      </c>
      <c r="BG220" s="302">
        <f t="shared" si="256"/>
        <v>0.99997202232151505</v>
      </c>
      <c r="BH220" s="302">
        <f t="shared" si="256"/>
        <v>0.99998187669146343</v>
      </c>
      <c r="BI220" s="302">
        <f t="shared" si="256"/>
        <v>0.99998879358384651</v>
      </c>
      <c r="BJ220" s="302">
        <f t="shared" si="256"/>
        <v>0.99999334745747581</v>
      </c>
      <c r="BK220" s="302">
        <f t="shared" si="256"/>
        <v>0.99999618463593609</v>
      </c>
      <c r="BL220" s="302">
        <f t="shared" si="257"/>
        <v>0.99999787093814574</v>
      </c>
      <c r="BM220" s="302">
        <f t="shared" si="257"/>
        <v>0.9999988339826168</v>
      </c>
      <c r="BN220" s="302">
        <f t="shared" si="257"/>
        <v>0.99999936578316628</v>
      </c>
      <c r="BO220" s="302">
        <f t="shared" si="257"/>
        <v>0.99999965128530821</v>
      </c>
      <c r="BP220" s="302">
        <f t="shared" si="257"/>
        <v>0.99999980099531471</v>
      </c>
      <c r="BQ220" s="302">
        <f t="shared" si="257"/>
        <v>0.99999987795561063</v>
      </c>
      <c r="BR220" s="302">
        <f t="shared" si="257"/>
        <v>0.99999991685225031</v>
      </c>
      <c r="BS220" s="302">
        <f t="shared" si="257"/>
        <v>0.99999993637168572</v>
      </c>
      <c r="BT220" s="302">
        <f t="shared" si="257"/>
        <v>0.99999994635129741</v>
      </c>
      <c r="BU220" s="302">
        <f t="shared" si="257"/>
        <v>0.99999995187746493</v>
      </c>
      <c r="BV220" s="302">
        <f t="shared" si="257"/>
        <v>0.9999999555485749</v>
      </c>
      <c r="BW220" s="223"/>
      <c r="BX220" s="137"/>
      <c r="BY220" s="221"/>
      <c r="BZ220" s="192"/>
      <c r="CA220" s="169">
        <v>1.2</v>
      </c>
      <c r="CB220" s="174">
        <f t="shared" si="261"/>
        <v>1.9985576173685191</v>
      </c>
      <c r="CC220" s="301">
        <f t="shared" si="262"/>
        <v>0.49927880868425956</v>
      </c>
      <c r="CD220" s="302">
        <f t="shared" si="264"/>
        <v>0.49941717265619995</v>
      </c>
      <c r="CE220" s="302">
        <f t="shared" si="265"/>
        <v>0.49955741345469495</v>
      </c>
      <c r="CF220" s="302">
        <f t="shared" si="266"/>
        <v>0.49978014426022693</v>
      </c>
      <c r="CG220" s="302">
        <f t="shared" si="267"/>
        <v>0.50040796598601633</v>
      </c>
      <c r="CH220" s="302">
        <f t="shared" si="268"/>
        <v>0.50155091835599941</v>
      </c>
      <c r="CI220" s="302">
        <f t="shared" si="269"/>
        <v>0.50384726050273598</v>
      </c>
      <c r="CJ220" s="302">
        <f t="shared" si="270"/>
        <v>0.50845022397209028</v>
      </c>
      <c r="CK220" s="302">
        <f t="shared" si="271"/>
        <v>0.51763399888808426</v>
      </c>
      <c r="CL220" s="302">
        <f t="shared" si="272"/>
        <v>0.53578871426221375</v>
      </c>
      <c r="CM220" s="302">
        <f t="shared" si="273"/>
        <v>0.57103028537359646</v>
      </c>
      <c r="CN220" s="302">
        <f t="shared" si="274"/>
        <v>0.63708597090864305</v>
      </c>
      <c r="CO220" s="302">
        <f t="shared" si="275"/>
        <v>0.75314458528273709</v>
      </c>
      <c r="CP220" s="302">
        <f t="shared" si="276"/>
        <v>0.93563538893027909</v>
      </c>
      <c r="CQ220" s="302">
        <f t="shared" si="277"/>
        <v>1.1778723506100408</v>
      </c>
      <c r="CR220" s="302">
        <f t="shared" si="278"/>
        <v>1.4361383439880675</v>
      </c>
      <c r="CS220" s="302">
        <f t="shared" si="279"/>
        <v>1.654462887173902</v>
      </c>
      <c r="CT220" s="302">
        <f t="shared" si="280"/>
        <v>1.8056396711454381</v>
      </c>
      <c r="CU220" s="302">
        <f t="shared" si="281"/>
        <v>1.8964370624639506</v>
      </c>
      <c r="CV220" s="302">
        <f t="shared" si="282"/>
        <v>1.9463834412836398</v>
      </c>
      <c r="CW220" s="302">
        <f t="shared" si="283"/>
        <v>1.9725370209353068</v>
      </c>
      <c r="CX220" s="302">
        <f t="shared" si="284"/>
        <v>1.9858789689291836</v>
      </c>
      <c r="CY220" s="302">
        <f t="shared" si="285"/>
        <v>1.9925945854514118</v>
      </c>
      <c r="CZ220" s="302">
        <f t="shared" si="286"/>
        <v>1.9959520587921213</v>
      </c>
      <c r="DA220" s="302">
        <f t="shared" si="287"/>
        <v>1.9976249470587031</v>
      </c>
      <c r="DB220" s="302">
        <f t="shared" si="288"/>
        <v>1.9984570691982229</v>
      </c>
      <c r="DC220" s="302">
        <f t="shared" si="289"/>
        <v>1.9990003524811306</v>
      </c>
      <c r="DD220" s="302">
        <f t="shared" si="290"/>
        <v>1.9994139156464303</v>
      </c>
      <c r="DE220" s="302">
        <f t="shared" si="291"/>
        <v>1.9996193698344396</v>
      </c>
      <c r="DF220" s="302">
        <f t="shared" si="292"/>
        <v>1.9997972778672723</v>
      </c>
      <c r="DG220" s="303">
        <f t="shared" si="293"/>
        <v>1.9998993243186103</v>
      </c>
      <c r="DH220" s="223"/>
      <c r="DI220"/>
      <c r="DJ220"/>
      <c r="DK220"/>
      <c r="DL220" s="781">
        <v>0.6</v>
      </c>
      <c r="DM220" s="302">
        <f t="shared" si="218"/>
        <v>0.99668239783965107</v>
      </c>
      <c r="DN220" s="302">
        <f t="shared" si="218"/>
        <v>0.99505475368673069</v>
      </c>
      <c r="DO220" s="302">
        <f t="shared" si="218"/>
        <v>0.99263152020112821</v>
      </c>
      <c r="DP220" s="302">
        <f t="shared" si="218"/>
        <v>0.98902740220109897</v>
      </c>
      <c r="DQ220" s="302">
        <f t="shared" si="218"/>
        <v>0.98367485769368024</v>
      </c>
      <c r="DR220" s="302">
        <f t="shared" si="218"/>
        <v>0.97574313003145141</v>
      </c>
      <c r="DS220" s="302">
        <f t="shared" si="218"/>
        <v>0.9640275800758169</v>
      </c>
      <c r="DT220" s="302">
        <f t="shared" si="218"/>
        <v>0.94680601284626809</v>
      </c>
      <c r="DU220" s="302">
        <f t="shared" si="218"/>
        <v>0.92166855440647133</v>
      </c>
      <c r="DV220" s="302">
        <f t="shared" si="218"/>
        <v>0.88535164820226253</v>
      </c>
      <c r="DW220" s="302">
        <f t="shared" si="219"/>
        <v>0.83365460701215532</v>
      </c>
      <c r="DX220" s="302">
        <f t="shared" si="219"/>
        <v>0.88535164820226253</v>
      </c>
      <c r="DY220" s="302">
        <f t="shared" si="219"/>
        <v>0.92166855440647133</v>
      </c>
      <c r="DZ220" s="302">
        <f t="shared" si="219"/>
        <v>0.94680601284626809</v>
      </c>
      <c r="EA220" s="302">
        <f t="shared" si="219"/>
        <v>0.9640275800758169</v>
      </c>
      <c r="EB220" s="302">
        <f t="shared" si="219"/>
        <v>0.97574313003145141</v>
      </c>
      <c r="EC220" s="302">
        <f t="shared" si="219"/>
        <v>0.98367485769368024</v>
      </c>
      <c r="ED220" s="302">
        <f t="shared" si="219"/>
        <v>0.98902740220109897</v>
      </c>
      <c r="EE220" s="302">
        <f t="shared" si="219"/>
        <v>0.99263152020112821</v>
      </c>
      <c r="EF220" s="302">
        <f t="shared" si="219"/>
        <v>0.99505475368673069</v>
      </c>
      <c r="EG220" s="302">
        <f t="shared" si="219"/>
        <v>0.99668239783965107</v>
      </c>
      <c r="EH220"/>
      <c r="EI220"/>
      <c r="EJ220"/>
      <c r="EK220" s="781">
        <v>0.6</v>
      </c>
      <c r="EL220" s="302">
        <f t="shared" si="220"/>
        <v>0.98133288248609807</v>
      </c>
      <c r="EM220" s="302">
        <f t="shared" si="220"/>
        <v>0.97392137898758402</v>
      </c>
      <c r="EN220" s="302">
        <f t="shared" si="220"/>
        <v>0.9640275800758169</v>
      </c>
      <c r="EO220" s="302">
        <f t="shared" si="220"/>
        <v>0.95116896097802295</v>
      </c>
      <c r="EP220" s="302">
        <f t="shared" si="220"/>
        <v>0.93504006086803115</v>
      </c>
      <c r="EQ220" s="302">
        <f t="shared" si="220"/>
        <v>0.91575193436038127</v>
      </c>
      <c r="ER220" s="302">
        <f t="shared" si="220"/>
        <v>0.8941438395855954</v>
      </c>
      <c r="ES220" s="302">
        <f t="shared" si="220"/>
        <v>0.87206578039101212</v>
      </c>
      <c r="ET220" s="302">
        <f t="shared" si="220"/>
        <v>0.85241239416703474</v>
      </c>
      <c r="EU220" s="302">
        <f t="shared" si="220"/>
        <v>0.8386342826622768</v>
      </c>
      <c r="EV220" s="302">
        <f t="shared" si="221"/>
        <v>0.83365460701215532</v>
      </c>
      <c r="EW220" s="302">
        <f t="shared" si="221"/>
        <v>0.8386342826622768</v>
      </c>
      <c r="EX220" s="302">
        <f t="shared" si="221"/>
        <v>0.85241239416703474</v>
      </c>
      <c r="EY220" s="302">
        <f t="shared" si="221"/>
        <v>0.87206578039101212</v>
      </c>
      <c r="EZ220" s="302">
        <f t="shared" si="221"/>
        <v>0.8941438395855954</v>
      </c>
      <c r="FA220" s="302">
        <f t="shared" si="221"/>
        <v>0.91575193436038127</v>
      </c>
      <c r="FB220" s="302">
        <f t="shared" si="221"/>
        <v>0.93504006086803115</v>
      </c>
      <c r="FC220" s="302">
        <f t="shared" si="221"/>
        <v>0.95116896097802295</v>
      </c>
      <c r="FD220" s="302">
        <f t="shared" si="221"/>
        <v>0.9640275800758169</v>
      </c>
      <c r="FE220" s="302">
        <f t="shared" si="221"/>
        <v>0.97392137898758402</v>
      </c>
      <c r="FF220" s="302">
        <f t="shared" si="221"/>
        <v>0.98133288248609807</v>
      </c>
      <c r="FG220"/>
      <c r="FH220"/>
      <c r="FI220" s="779"/>
      <c r="FJ220" s="420">
        <v>0.6</v>
      </c>
      <c r="FK220" s="302">
        <f t="shared" si="222"/>
        <v>0.9640275800758169</v>
      </c>
      <c r="FL220" s="302">
        <f t="shared" si="222"/>
        <v>0.94680601284626809</v>
      </c>
      <c r="FM220" s="302">
        <f t="shared" si="222"/>
        <v>0.92166855440647133</v>
      </c>
      <c r="FN220" s="302">
        <f t="shared" si="222"/>
        <v>0.88535164820226253</v>
      </c>
      <c r="FO220" s="302">
        <f t="shared" si="222"/>
        <v>0.83365460701215532</v>
      </c>
      <c r="FP220" s="302">
        <f t="shared" si="222"/>
        <v>0.83365460701215532</v>
      </c>
      <c r="FQ220" s="302">
        <f t="shared" si="222"/>
        <v>0.83365460701215532</v>
      </c>
      <c r="FR220" s="302">
        <f t="shared" si="222"/>
        <v>0.83365460701215532</v>
      </c>
      <c r="FS220" s="302">
        <f t="shared" si="222"/>
        <v>0.83365460701215532</v>
      </c>
      <c r="FT220" s="302">
        <f t="shared" si="222"/>
        <v>0.83365460701215532</v>
      </c>
      <c r="FU220" s="302">
        <f t="shared" si="223"/>
        <v>0.83365460701215532</v>
      </c>
      <c r="FV220" s="302">
        <f t="shared" si="223"/>
        <v>0.83365460701215532</v>
      </c>
      <c r="FW220" s="302">
        <f t="shared" si="223"/>
        <v>0.83365460701215532</v>
      </c>
      <c r="FX220" s="302">
        <f t="shared" si="223"/>
        <v>0.83365460701215532</v>
      </c>
      <c r="FY220" s="302">
        <f t="shared" si="223"/>
        <v>0.83365460701215532</v>
      </c>
      <c r="FZ220" s="302">
        <f t="shared" si="223"/>
        <v>0.83365460701215532</v>
      </c>
      <c r="GA220" s="302">
        <f t="shared" si="223"/>
        <v>0.83365460701215532</v>
      </c>
      <c r="GB220" s="302">
        <f t="shared" si="223"/>
        <v>0.88535164820226253</v>
      </c>
      <c r="GC220" s="302">
        <f t="shared" si="223"/>
        <v>0.92166855440647133</v>
      </c>
      <c r="GD220" s="302">
        <f t="shared" si="223"/>
        <v>0.94680601284626809</v>
      </c>
      <c r="GE220" s="302">
        <f t="shared" si="223"/>
        <v>0.9640275800758169</v>
      </c>
      <c r="GF220"/>
      <c r="GG220"/>
      <c r="GH220"/>
    </row>
    <row r="221" spans="2:190" ht="42" customHeight="1">
      <c r="B221"/>
      <c r="C221" s="221"/>
      <c r="D221" s="192"/>
      <c r="E221" s="169">
        <v>1.1000000000000001</v>
      </c>
      <c r="F221" s="174">
        <f t="shared" si="259"/>
        <v>1.9970968131026161</v>
      </c>
      <c r="G221" s="301">
        <f t="shared" si="224"/>
        <v>0.49843337497983869</v>
      </c>
      <c r="H221" s="302">
        <f t="shared" si="225"/>
        <v>0.49855593960514649</v>
      </c>
      <c r="I221" s="302">
        <f t="shared" si="226"/>
        <v>0.49868528256343547</v>
      </c>
      <c r="J221" s="302">
        <f t="shared" si="227"/>
        <v>0.49896152334643623</v>
      </c>
      <c r="K221" s="302">
        <f t="shared" si="228"/>
        <v>0.49940716721220646</v>
      </c>
      <c r="L221" s="302">
        <f t="shared" si="229"/>
        <v>0.50066955749353503</v>
      </c>
      <c r="M221" s="302">
        <f t="shared" si="230"/>
        <v>0.50296554055657694</v>
      </c>
      <c r="N221" s="302">
        <f t="shared" si="231"/>
        <v>0.50756945077678084</v>
      </c>
      <c r="O221" s="302">
        <f t="shared" si="232"/>
        <v>0.51675672819801133</v>
      </c>
      <c r="P221" s="302">
        <f t="shared" si="233"/>
        <v>0.53491793313467018</v>
      </c>
      <c r="Q221" s="302">
        <f t="shared" si="234"/>
        <v>0.57016828709948708</v>
      </c>
      <c r="R221" s="302">
        <f t="shared" si="235"/>
        <v>0.63623353469102473</v>
      </c>
      <c r="S221" s="302">
        <f t="shared" si="236"/>
        <v>0.75230141084755386</v>
      </c>
      <c r="T221" s="302">
        <f t="shared" si="237"/>
        <v>0.93480214113421833</v>
      </c>
      <c r="U221" s="302">
        <f t="shared" si="238"/>
        <v>1.1770525453353839</v>
      </c>
      <c r="V221" s="302">
        <f t="shared" si="239"/>
        <v>1.4353368523184153</v>
      </c>
      <c r="W221" s="302">
        <f t="shared" si="240"/>
        <v>1.6536817549419498</v>
      </c>
      <c r="X221" s="302">
        <f t="shared" si="241"/>
        <v>1.8048764787855263</v>
      </c>
      <c r="Y221" s="302">
        <f t="shared" si="242"/>
        <v>1.8956870203228509</v>
      </c>
      <c r="Z221" s="302">
        <f t="shared" si="243"/>
        <v>1.9456418853213415</v>
      </c>
      <c r="AA221" s="302">
        <f t="shared" si="244"/>
        <v>1.9718004959386897</v>
      </c>
      <c r="AB221" s="302">
        <f t="shared" si="245"/>
        <v>1.9851452602505919</v>
      </c>
      <c r="AC221" s="302">
        <f t="shared" si="246"/>
        <v>1.9918623910230433</v>
      </c>
      <c r="AD221" s="302">
        <f t="shared" si="247"/>
        <v>1.9952206548676146</v>
      </c>
      <c r="AE221" s="302">
        <f t="shared" si="248"/>
        <v>1.9968939467381568</v>
      </c>
      <c r="AF221" s="302">
        <f t="shared" si="249"/>
        <v>1.9979875229008839</v>
      </c>
      <c r="AG221" s="302">
        <f t="shared" si="250"/>
        <v>1.9988197451031413</v>
      </c>
      <c r="AH221" s="302">
        <f t="shared" si="251"/>
        <v>1.9992333578591699</v>
      </c>
      <c r="AI221" s="302">
        <f t="shared" si="252"/>
        <v>1.9995916033716588</v>
      </c>
      <c r="AJ221" s="302">
        <f t="shared" si="253"/>
        <v>1.9997970731914725</v>
      </c>
      <c r="AK221" s="303">
        <f t="shared" si="254"/>
        <v>1.9998991319834205</v>
      </c>
      <c r="AL221" s="223"/>
      <c r="AM221" s="137"/>
      <c r="AN221" s="221"/>
      <c r="AO221" s="192"/>
      <c r="AP221" s="169">
        <v>1.1000000000000001</v>
      </c>
      <c r="AQ221" s="174">
        <f t="shared" si="260"/>
        <v>1.9970968131026161</v>
      </c>
      <c r="AR221" s="302">
        <f t="shared" si="255"/>
        <v>0.99976926699602731</v>
      </c>
      <c r="AS221" s="302">
        <f t="shared" si="255"/>
        <v>0.999737649109952</v>
      </c>
      <c r="AT221" s="302">
        <f t="shared" si="255"/>
        <v>0.99971587593476052</v>
      </c>
      <c r="AU221" s="302">
        <f t="shared" si="255"/>
        <v>0.99970383504343918</v>
      </c>
      <c r="AV221" s="302">
        <f t="shared" si="255"/>
        <v>0.99969924129150745</v>
      </c>
      <c r="AW221" s="302">
        <f t="shared" si="255"/>
        <v>0.99969857718559263</v>
      </c>
      <c r="AX221" s="302">
        <f t="shared" si="255"/>
        <v>0.99969923923102499</v>
      </c>
      <c r="AY221" s="302">
        <f t="shared" si="255"/>
        <v>0.99970383062490409</v>
      </c>
      <c r="AZ221" s="302">
        <f t="shared" si="255"/>
        <v>0.9997158685719284</v>
      </c>
      <c r="BA221" s="302">
        <f t="shared" si="255"/>
        <v>0.99973763795195814</v>
      </c>
      <c r="BB221" s="302">
        <f t="shared" si="256"/>
        <v>0.9997692509765036</v>
      </c>
      <c r="BC221" s="302">
        <f t="shared" si="256"/>
        <v>0.99980822972147221</v>
      </c>
      <c r="BD221" s="302">
        <f t="shared" si="256"/>
        <v>0.9998501193827054</v>
      </c>
      <c r="BE221" s="302">
        <f t="shared" si="256"/>
        <v>0.99988999345969742</v>
      </c>
      <c r="BF221" s="302">
        <f t="shared" si="256"/>
        <v>0.99992405067050649</v>
      </c>
      <c r="BG221" s="302">
        <f t="shared" si="256"/>
        <v>0.99995047433232886</v>
      </c>
      <c r="BH221" s="302">
        <f t="shared" si="256"/>
        <v>0.99996932387828152</v>
      </c>
      <c r="BI221" s="302">
        <f t="shared" si="256"/>
        <v>0.99998183275607055</v>
      </c>
      <c r="BJ221" s="302">
        <f t="shared" si="256"/>
        <v>0.9999896397430259</v>
      </c>
      <c r="BK221" s="302">
        <f t="shared" si="256"/>
        <v>0.99999426730813634</v>
      </c>
      <c r="BL221" s="302">
        <f t="shared" si="257"/>
        <v>0.99999689479505371</v>
      </c>
      <c r="BM221" s="302">
        <f t="shared" si="257"/>
        <v>0.99999833435859897</v>
      </c>
      <c r="BN221" s="302">
        <f t="shared" si="257"/>
        <v>0.9999991001919547</v>
      </c>
      <c r="BO221" s="302">
        <f t="shared" si="257"/>
        <v>0.99999949790463027</v>
      </c>
      <c r="BP221" s="302">
        <f t="shared" si="257"/>
        <v>0.99999970044106912</v>
      </c>
      <c r="BQ221" s="302">
        <f t="shared" si="257"/>
        <v>0.9999998019198002</v>
      </c>
      <c r="BR221" s="302">
        <f t="shared" si="257"/>
        <v>0.99999985206316599</v>
      </c>
      <c r="BS221" s="302">
        <f t="shared" si="257"/>
        <v>0.99999987689863801</v>
      </c>
      <c r="BT221" s="302">
        <f t="shared" si="257"/>
        <v>0.99999988982371213</v>
      </c>
      <c r="BU221" s="302">
        <f t="shared" si="257"/>
        <v>0.99999989765172592</v>
      </c>
      <c r="BV221" s="302">
        <f t="shared" si="257"/>
        <v>0.99999990382756399</v>
      </c>
      <c r="BW221" s="223"/>
      <c r="BX221" s="137"/>
      <c r="BY221" s="221"/>
      <c r="BZ221" s="192"/>
      <c r="CA221" s="169">
        <v>1.1000000000000001</v>
      </c>
      <c r="CB221" s="174">
        <f t="shared" si="261"/>
        <v>1.9970968131026161</v>
      </c>
      <c r="CC221" s="301">
        <f t="shared" si="262"/>
        <v>0.49854840655130805</v>
      </c>
      <c r="CD221" s="302">
        <f t="shared" si="264"/>
        <v>0.49868677052324845</v>
      </c>
      <c r="CE221" s="302">
        <f t="shared" si="265"/>
        <v>0.49882701132174345</v>
      </c>
      <c r="CF221" s="302">
        <f t="shared" si="266"/>
        <v>0.49910934204304153</v>
      </c>
      <c r="CG221" s="302">
        <f t="shared" si="267"/>
        <v>0.49955741345469495</v>
      </c>
      <c r="CH221" s="302">
        <f t="shared" si="268"/>
        <v>0.50082051622304791</v>
      </c>
      <c r="CI221" s="302">
        <f t="shared" si="269"/>
        <v>0.50311685836978448</v>
      </c>
      <c r="CJ221" s="302">
        <f t="shared" si="270"/>
        <v>0.50771982183913877</v>
      </c>
      <c r="CK221" s="302">
        <f t="shared" si="271"/>
        <v>0.51690359675513275</v>
      </c>
      <c r="CL221" s="302">
        <f t="shared" si="272"/>
        <v>0.53505831212926225</v>
      </c>
      <c r="CM221" s="302">
        <f t="shared" si="273"/>
        <v>0.57029988324064496</v>
      </c>
      <c r="CN221" s="302">
        <f t="shared" si="274"/>
        <v>0.63635556877569155</v>
      </c>
      <c r="CO221" s="302">
        <f t="shared" si="275"/>
        <v>0.75241418314978559</v>
      </c>
      <c r="CP221" s="302">
        <f t="shared" si="276"/>
        <v>0.93490498679732759</v>
      </c>
      <c r="CQ221" s="302">
        <f t="shared" si="277"/>
        <v>1.1771419484770895</v>
      </c>
      <c r="CR221" s="302">
        <f t="shared" si="278"/>
        <v>1.4354079418551162</v>
      </c>
      <c r="CS221" s="302">
        <f t="shared" si="279"/>
        <v>1.6537324850409507</v>
      </c>
      <c r="CT221" s="302">
        <f t="shared" si="280"/>
        <v>1.8049092690124868</v>
      </c>
      <c r="CU221" s="302">
        <f t="shared" si="281"/>
        <v>1.8957066603309993</v>
      </c>
      <c r="CV221" s="302">
        <f t="shared" si="282"/>
        <v>1.9456530391506885</v>
      </c>
      <c r="CW221" s="302">
        <f t="shared" si="283"/>
        <v>1.9718066188023555</v>
      </c>
      <c r="CX221" s="302">
        <f t="shared" si="284"/>
        <v>1.9851485667962319</v>
      </c>
      <c r="CY221" s="302">
        <f t="shared" si="285"/>
        <v>1.9918641833184605</v>
      </c>
      <c r="CZ221" s="302">
        <f t="shared" si="286"/>
        <v>1.9952216566591701</v>
      </c>
      <c r="DA221" s="302">
        <f t="shared" si="287"/>
        <v>1.9968945449257518</v>
      </c>
      <c r="DB221" s="302">
        <f t="shared" si="288"/>
        <v>1.9979879186627301</v>
      </c>
      <c r="DC221" s="302">
        <f t="shared" si="289"/>
        <v>1.9988200408022498</v>
      </c>
      <c r="DD221" s="302">
        <f t="shared" si="290"/>
        <v>1.9992336039675496</v>
      </c>
      <c r="DE221" s="302">
        <f t="shared" si="291"/>
        <v>1.9995918236792631</v>
      </c>
      <c r="DF221" s="302">
        <f t="shared" si="292"/>
        <v>1.9997972778672723</v>
      </c>
      <c r="DG221" s="303">
        <f t="shared" si="293"/>
        <v>1.9998993243186103</v>
      </c>
      <c r="DH221" s="223"/>
      <c r="DI221"/>
      <c r="DJ221"/>
      <c r="DK221"/>
      <c r="DL221" s="781">
        <v>0.5</v>
      </c>
      <c r="DM221" s="302">
        <f t="shared" si="218"/>
        <v>0.99505475368673069</v>
      </c>
      <c r="DN221" s="302">
        <f t="shared" si="218"/>
        <v>0.99263152020112821</v>
      </c>
      <c r="DO221" s="302">
        <f t="shared" si="218"/>
        <v>0.98902740220109897</v>
      </c>
      <c r="DP221" s="302">
        <f t="shared" si="218"/>
        <v>0.98367485769368024</v>
      </c>
      <c r="DQ221" s="302">
        <f t="shared" si="218"/>
        <v>0.97574313003145141</v>
      </c>
      <c r="DR221" s="302">
        <f t="shared" si="218"/>
        <v>0.9640275800758169</v>
      </c>
      <c r="DS221" s="302">
        <f t="shared" si="218"/>
        <v>0.94680601284626809</v>
      </c>
      <c r="DT221" s="302">
        <f t="shared" si="218"/>
        <v>0.92166855440647133</v>
      </c>
      <c r="DU221" s="302">
        <f t="shared" si="218"/>
        <v>0.88535164820226253</v>
      </c>
      <c r="DV221" s="302">
        <f t="shared" si="218"/>
        <v>0.83365460701215532</v>
      </c>
      <c r="DW221" s="302">
        <f t="shared" si="219"/>
        <v>0.76159415595576463</v>
      </c>
      <c r="DX221" s="302">
        <f t="shared" si="219"/>
        <v>0.83365460701215532</v>
      </c>
      <c r="DY221" s="302">
        <f t="shared" si="219"/>
        <v>0.88535164820226253</v>
      </c>
      <c r="DZ221" s="302">
        <f t="shared" si="219"/>
        <v>0.92166855440647133</v>
      </c>
      <c r="EA221" s="302">
        <f t="shared" si="219"/>
        <v>0.94680601284626809</v>
      </c>
      <c r="EB221" s="302">
        <f t="shared" si="219"/>
        <v>0.9640275800758169</v>
      </c>
      <c r="EC221" s="302">
        <f t="shared" si="219"/>
        <v>0.97574313003145141</v>
      </c>
      <c r="ED221" s="302">
        <f t="shared" si="219"/>
        <v>0.98367485769368024</v>
      </c>
      <c r="EE221" s="302">
        <f t="shared" si="219"/>
        <v>0.98902740220109897</v>
      </c>
      <c r="EF221" s="302">
        <f t="shared" si="219"/>
        <v>0.99263152020112821</v>
      </c>
      <c r="EG221" s="302">
        <f t="shared" si="219"/>
        <v>0.99505475368673069</v>
      </c>
      <c r="EH221"/>
      <c r="EI221"/>
      <c r="EJ221"/>
      <c r="EK221" s="781">
        <v>0.5</v>
      </c>
      <c r="EL221" s="302">
        <f t="shared" si="220"/>
        <v>0.97741223558377843</v>
      </c>
      <c r="EM221" s="302">
        <f t="shared" si="220"/>
        <v>0.96797526879474338</v>
      </c>
      <c r="EN221" s="302">
        <f t="shared" si="220"/>
        <v>0.95509269691387622</v>
      </c>
      <c r="EO221" s="302">
        <f t="shared" si="220"/>
        <v>0.93791900570849696</v>
      </c>
      <c r="EP221" s="302">
        <f t="shared" si="220"/>
        <v>0.91575193436038127</v>
      </c>
      <c r="EQ221" s="302">
        <f t="shared" si="220"/>
        <v>0.88838556158566062</v>
      </c>
      <c r="ER221" s="302">
        <f t="shared" si="220"/>
        <v>0.85665130676158863</v>
      </c>
      <c r="ES221" s="302">
        <f t="shared" si="220"/>
        <v>0.82304705847053827</v>
      </c>
      <c r="ET221" s="302">
        <f t="shared" si="220"/>
        <v>0.79209622243685329</v>
      </c>
      <c r="EU221" s="302">
        <f t="shared" si="220"/>
        <v>0.76978665234542532</v>
      </c>
      <c r="EV221" s="302">
        <f t="shared" si="221"/>
        <v>0.76159415595576463</v>
      </c>
      <c r="EW221" s="302">
        <f t="shared" si="221"/>
        <v>0.76978665234542532</v>
      </c>
      <c r="EX221" s="302">
        <f t="shared" si="221"/>
        <v>0.79209622243685329</v>
      </c>
      <c r="EY221" s="302">
        <f t="shared" si="221"/>
        <v>0.82304705847053827</v>
      </c>
      <c r="EZ221" s="302">
        <f t="shared" si="221"/>
        <v>0.85665130676158863</v>
      </c>
      <c r="FA221" s="302">
        <f t="shared" si="221"/>
        <v>0.88838556158566062</v>
      </c>
      <c r="FB221" s="302">
        <f t="shared" si="221"/>
        <v>0.91575193436038127</v>
      </c>
      <c r="FC221" s="302">
        <f t="shared" si="221"/>
        <v>0.93791900570849696</v>
      </c>
      <c r="FD221" s="302">
        <f t="shared" si="221"/>
        <v>0.95509269691387622</v>
      </c>
      <c r="FE221" s="302">
        <f t="shared" si="221"/>
        <v>0.96797526879474338</v>
      </c>
      <c r="FF221" s="302">
        <f t="shared" si="221"/>
        <v>0.97741223558377843</v>
      </c>
      <c r="FG221"/>
      <c r="FH221"/>
      <c r="FI221" s="779"/>
      <c r="FJ221" s="420">
        <v>0.5</v>
      </c>
      <c r="FK221" s="302">
        <f t="shared" si="222"/>
        <v>0.9640275800758169</v>
      </c>
      <c r="FL221" s="302">
        <f t="shared" si="222"/>
        <v>0.94680601284626809</v>
      </c>
      <c r="FM221" s="302">
        <f t="shared" si="222"/>
        <v>0.92166855440647133</v>
      </c>
      <c r="FN221" s="302">
        <f t="shared" si="222"/>
        <v>0.88535164820226253</v>
      </c>
      <c r="FO221" s="302">
        <f t="shared" si="222"/>
        <v>0.83365460701215532</v>
      </c>
      <c r="FP221" s="302">
        <f t="shared" si="222"/>
        <v>0.76159415595576463</v>
      </c>
      <c r="FQ221" s="302">
        <f t="shared" si="222"/>
        <v>0.76159415595576463</v>
      </c>
      <c r="FR221" s="302">
        <f t="shared" si="222"/>
        <v>0.76159415595576463</v>
      </c>
      <c r="FS221" s="302">
        <f t="shared" si="222"/>
        <v>0.76159415595576463</v>
      </c>
      <c r="FT221" s="302">
        <f t="shared" si="222"/>
        <v>0.76159415595576463</v>
      </c>
      <c r="FU221" s="302">
        <f t="shared" si="223"/>
        <v>0.76159415595576463</v>
      </c>
      <c r="FV221" s="302">
        <f t="shared" si="223"/>
        <v>0.76159415595576463</v>
      </c>
      <c r="FW221" s="302">
        <f t="shared" si="223"/>
        <v>0.76159415595576463</v>
      </c>
      <c r="FX221" s="302">
        <f t="shared" si="223"/>
        <v>0.76159415595576463</v>
      </c>
      <c r="FY221" s="302">
        <f t="shared" si="223"/>
        <v>0.76159415595576463</v>
      </c>
      <c r="FZ221" s="302">
        <f t="shared" si="223"/>
        <v>0.76159415595576463</v>
      </c>
      <c r="GA221" s="302">
        <f t="shared" si="223"/>
        <v>0.83365460701215532</v>
      </c>
      <c r="GB221" s="302">
        <f t="shared" si="223"/>
        <v>0.88535164820226253</v>
      </c>
      <c r="GC221" s="302">
        <f t="shared" si="223"/>
        <v>0.92166855440647133</v>
      </c>
      <c r="GD221" s="302">
        <f t="shared" si="223"/>
        <v>0.94680601284626809</v>
      </c>
      <c r="GE221" s="302">
        <f t="shared" si="223"/>
        <v>0.9640275800758169</v>
      </c>
      <c r="GF221"/>
      <c r="GG221"/>
      <c r="GH221"/>
    </row>
    <row r="222" spans="2:190" ht="42" customHeight="1">
      <c r="B222"/>
      <c r="C222" s="221"/>
      <c r="D222" s="192"/>
      <c r="E222" s="169">
        <v>1</v>
      </c>
      <c r="F222" s="174">
        <f t="shared" si="259"/>
        <v>1.994159429346031</v>
      </c>
      <c r="G222" s="301">
        <f t="shared" si="224"/>
        <v>0.49683768156462532</v>
      </c>
      <c r="H222" s="302">
        <f t="shared" si="225"/>
        <v>0.49693591191796554</v>
      </c>
      <c r="I222" s="302">
        <f t="shared" si="226"/>
        <v>0.49704770871520354</v>
      </c>
      <c r="J222" s="302">
        <f t="shared" si="227"/>
        <v>0.49731390599472874</v>
      </c>
      <c r="K222" s="302">
        <f t="shared" si="228"/>
        <v>0.49787561139223735</v>
      </c>
      <c r="L222" s="302">
        <f t="shared" si="229"/>
        <v>0.49877458752279008</v>
      </c>
      <c r="M222" s="302">
        <f t="shared" si="230"/>
        <v>0.5013126034760359</v>
      </c>
      <c r="N222" s="302">
        <f t="shared" si="231"/>
        <v>0.50591872826013706</v>
      </c>
      <c r="O222" s="302">
        <f t="shared" si="232"/>
        <v>0.51511299802572252</v>
      </c>
      <c r="P222" s="302">
        <f t="shared" si="233"/>
        <v>0.53328680192783851</v>
      </c>
      <c r="Q222" s="302">
        <f t="shared" si="234"/>
        <v>0.56855420439961812</v>
      </c>
      <c r="R222" s="302">
        <f t="shared" si="235"/>
        <v>0.63463839290333335</v>
      </c>
      <c r="S222" s="302">
        <f t="shared" si="236"/>
        <v>0.75072498621885875</v>
      </c>
      <c r="T222" s="302">
        <f t="shared" si="237"/>
        <v>0.93324420283320442</v>
      </c>
      <c r="U222" s="302">
        <f t="shared" si="238"/>
        <v>1.1755141942348843</v>
      </c>
      <c r="V222" s="302">
        <f t="shared" si="239"/>
        <v>1.4338188179180105</v>
      </c>
      <c r="W222" s="302">
        <f t="shared" si="240"/>
        <v>1.6521818248993572</v>
      </c>
      <c r="X222" s="302">
        <f t="shared" si="241"/>
        <v>1.8033898785171205</v>
      </c>
      <c r="Y222" s="302">
        <f t="shared" si="242"/>
        <v>1.8942087741101254</v>
      </c>
      <c r="Z222" s="302">
        <f t="shared" si="243"/>
        <v>1.9441683065066164</v>
      </c>
      <c r="AA222" s="302">
        <f t="shared" si="244"/>
        <v>1.9703293313504171</v>
      </c>
      <c r="AB222" s="302">
        <f t="shared" si="245"/>
        <v>1.983675281676075</v>
      </c>
      <c r="AC222" s="302">
        <f t="shared" si="246"/>
        <v>1.9903929750555398</v>
      </c>
      <c r="AD222" s="302">
        <f t="shared" si="247"/>
        <v>1.9937514996105405</v>
      </c>
      <c r="AE222" s="302">
        <f t="shared" si="248"/>
        <v>1.9959511160811905</v>
      </c>
      <c r="AF222" s="302">
        <f t="shared" si="249"/>
        <v>1.9976242605376866</v>
      </c>
      <c r="AG222" s="302">
        <f t="shared" si="250"/>
        <v>1.9984565070137714</v>
      </c>
      <c r="AH222" s="302">
        <f t="shared" si="251"/>
        <v>1.9989998517345307</v>
      </c>
      <c r="AI222" s="302">
        <f t="shared" si="252"/>
        <v>1.9994134486687527</v>
      </c>
      <c r="AJ222" s="302">
        <f t="shared" si="253"/>
        <v>1.9996189268576594</v>
      </c>
      <c r="AK222" s="303">
        <f t="shared" si="254"/>
        <v>1.999796858153559</v>
      </c>
      <c r="AL222" s="223"/>
      <c r="AM222" s="137"/>
      <c r="AN222" s="221"/>
      <c r="AO222" s="192"/>
      <c r="AP222" s="169">
        <v>1</v>
      </c>
      <c r="AQ222" s="174">
        <f t="shared" si="260"/>
        <v>1.994159429346031</v>
      </c>
      <c r="AR222" s="302">
        <f t="shared" si="255"/>
        <v>0.99951308995067445</v>
      </c>
      <c r="AS222" s="302">
        <f t="shared" si="255"/>
        <v>0.99943250911600134</v>
      </c>
      <c r="AT222" s="302">
        <f t="shared" si="255"/>
        <v>0.99937547897339907</v>
      </c>
      <c r="AU222" s="302">
        <f t="shared" si="255"/>
        <v>0.99934341342510502</v>
      </c>
      <c r="AV222" s="302">
        <f t="shared" si="255"/>
        <v>0.99933108260153225</v>
      </c>
      <c r="AW222" s="302">
        <f t="shared" si="255"/>
        <v>0.99932929622418776</v>
      </c>
      <c r="AX222" s="302">
        <f t="shared" si="255"/>
        <v>0.99933107895558937</v>
      </c>
      <c r="AY222" s="302">
        <f t="shared" si="255"/>
        <v>0.99934340551351497</v>
      </c>
      <c r="AZ222" s="302">
        <f t="shared" si="255"/>
        <v>0.99937546555719881</v>
      </c>
      <c r="BA222" s="302">
        <f t="shared" si="255"/>
        <v>0.9994324883550233</v>
      </c>
      <c r="BB222" s="302">
        <f t="shared" si="256"/>
        <v>0.99951305946836222</v>
      </c>
      <c r="BC222" s="302">
        <f t="shared" si="256"/>
        <v>0.99960861689994296</v>
      </c>
      <c r="BD222" s="302">
        <f t="shared" si="256"/>
        <v>0.99970636343756336</v>
      </c>
      <c r="BE222" s="302">
        <f t="shared" si="256"/>
        <v>0.99979420975284949</v>
      </c>
      <c r="BF222" s="302">
        <f t="shared" si="256"/>
        <v>0.99986470529713956</v>
      </c>
      <c r="BG222" s="302">
        <f t="shared" si="256"/>
        <v>0.99991601313736622</v>
      </c>
      <c r="BH222" s="302">
        <f t="shared" si="256"/>
        <v>0.99995039032892929</v>
      </c>
      <c r="BI222" s="302">
        <f t="shared" si="256"/>
        <v>0.99997188783610813</v>
      </c>
      <c r="BJ222" s="302">
        <f t="shared" si="256"/>
        <v>0.99998458781680688</v>
      </c>
      <c r="BK222" s="302">
        <f t="shared" si="256"/>
        <v>0.99999174935967261</v>
      </c>
      <c r="BL222" s="302">
        <f t="shared" si="257"/>
        <v>0.9999956375129726</v>
      </c>
      <c r="BM222" s="302">
        <f t="shared" si="257"/>
        <v>0.99999768448431503</v>
      </c>
      <c r="BN222" s="302">
        <f t="shared" si="257"/>
        <v>0.99999873573637055</v>
      </c>
      <c r="BO222" s="302">
        <f t="shared" si="257"/>
        <v>0.99999926511941917</v>
      </c>
      <c r="BP222" s="302">
        <f t="shared" si="257"/>
        <v>0.99999952768859013</v>
      </c>
      <c r="BQ222" s="302">
        <f t="shared" si="257"/>
        <v>0.99999965633137622</v>
      </c>
      <c r="BR222" s="302">
        <f t="shared" si="257"/>
        <v>0.99999971869075388</v>
      </c>
      <c r="BS222" s="302">
        <f t="shared" si="257"/>
        <v>0.99999974950149495</v>
      </c>
      <c r="BT222" s="302">
        <f t="shared" si="257"/>
        <v>0.99999976644271904</v>
      </c>
      <c r="BU222" s="302">
        <f t="shared" si="257"/>
        <v>0.99999977846944932</v>
      </c>
      <c r="BV222" s="302">
        <f t="shared" si="257"/>
        <v>0.9999997901218699</v>
      </c>
      <c r="BW222" s="223"/>
      <c r="BX222" s="137"/>
      <c r="BY222" s="221"/>
      <c r="BZ222" s="192"/>
      <c r="CA222" s="169">
        <v>1</v>
      </c>
      <c r="CB222" s="174">
        <f t="shared" si="261"/>
        <v>1.994159429346031</v>
      </c>
      <c r="CC222" s="301">
        <f t="shared" si="262"/>
        <v>0.49707971467301548</v>
      </c>
      <c r="CD222" s="302">
        <f t="shared" si="264"/>
        <v>0.49721807864495587</v>
      </c>
      <c r="CE222" s="302">
        <f t="shared" si="265"/>
        <v>0.49735831944345088</v>
      </c>
      <c r="CF222" s="302">
        <f t="shared" si="266"/>
        <v>0.49764065016474895</v>
      </c>
      <c r="CG222" s="302">
        <f t="shared" si="267"/>
        <v>0.49820887197477226</v>
      </c>
      <c r="CH222" s="302">
        <f t="shared" si="268"/>
        <v>0.49910934204304153</v>
      </c>
      <c r="CI222" s="302">
        <f t="shared" si="269"/>
        <v>0.50164816649149202</v>
      </c>
      <c r="CJ222" s="302">
        <f t="shared" si="270"/>
        <v>0.5062511299608462</v>
      </c>
      <c r="CK222" s="302">
        <f t="shared" si="271"/>
        <v>0.51543490487684007</v>
      </c>
      <c r="CL222" s="302">
        <f t="shared" si="272"/>
        <v>0.53358962025096968</v>
      </c>
      <c r="CM222" s="302">
        <f t="shared" si="273"/>
        <v>0.56883119136235227</v>
      </c>
      <c r="CN222" s="302">
        <f t="shared" si="274"/>
        <v>0.63488687689739898</v>
      </c>
      <c r="CO222" s="302">
        <f t="shared" si="275"/>
        <v>0.75094549127149302</v>
      </c>
      <c r="CP222" s="302">
        <f t="shared" si="276"/>
        <v>0.93343629491903501</v>
      </c>
      <c r="CQ222" s="302">
        <f t="shared" si="277"/>
        <v>1.1756732565987968</v>
      </c>
      <c r="CR222" s="302">
        <f t="shared" si="278"/>
        <v>1.4339392499768235</v>
      </c>
      <c r="CS222" s="302">
        <f t="shared" si="279"/>
        <v>1.652263793162658</v>
      </c>
      <c r="CT222" s="302">
        <f t="shared" si="280"/>
        <v>1.8034405771341941</v>
      </c>
      <c r="CU222" s="302">
        <f t="shared" si="281"/>
        <v>1.8942379684527066</v>
      </c>
      <c r="CV222" s="302">
        <f t="shared" si="282"/>
        <v>1.9441843472723959</v>
      </c>
      <c r="CW222" s="302">
        <f t="shared" si="283"/>
        <v>1.9703379269240628</v>
      </c>
      <c r="CX222" s="302">
        <f t="shared" si="284"/>
        <v>1.9836798749179394</v>
      </c>
      <c r="CY222" s="302">
        <f t="shared" si="285"/>
        <v>1.9903954914401678</v>
      </c>
      <c r="CZ222" s="302">
        <f t="shared" si="286"/>
        <v>1.9937529647808774</v>
      </c>
      <c r="DA222" s="302">
        <f t="shared" si="287"/>
        <v>1.9959520587921213</v>
      </c>
      <c r="DB222" s="302">
        <f t="shared" si="288"/>
        <v>1.9976249470587031</v>
      </c>
      <c r="DC222" s="302">
        <f t="shared" si="289"/>
        <v>1.9984570691982229</v>
      </c>
      <c r="DD222" s="302">
        <f t="shared" si="290"/>
        <v>1.9990003524811306</v>
      </c>
      <c r="DE222" s="302">
        <f t="shared" si="291"/>
        <v>1.9994139156464303</v>
      </c>
      <c r="DF222" s="302">
        <f t="shared" si="292"/>
        <v>1.9996193698344396</v>
      </c>
      <c r="DG222" s="303">
        <f t="shared" si="293"/>
        <v>1.9997972778672723</v>
      </c>
      <c r="DH222" s="223"/>
      <c r="DI222"/>
      <c r="DJ222"/>
      <c r="DK222"/>
      <c r="DL222" s="781">
        <v>0.4</v>
      </c>
      <c r="DM222" s="302">
        <f t="shared" si="218"/>
        <v>0.99263152020112821</v>
      </c>
      <c r="DN222" s="302">
        <f t="shared" si="218"/>
        <v>0.98902740220109897</v>
      </c>
      <c r="DO222" s="302">
        <f t="shared" si="218"/>
        <v>0.98367485769368024</v>
      </c>
      <c r="DP222" s="302">
        <f t="shared" si="218"/>
        <v>0.97574313003145141</v>
      </c>
      <c r="DQ222" s="302">
        <f t="shared" si="218"/>
        <v>0.9640275800758169</v>
      </c>
      <c r="DR222" s="302">
        <f t="shared" si="218"/>
        <v>0.94680601284626809</v>
      </c>
      <c r="DS222" s="302">
        <f t="shared" si="218"/>
        <v>0.92166855440647133</v>
      </c>
      <c r="DT222" s="302">
        <f t="shared" si="218"/>
        <v>0.88535164820226253</v>
      </c>
      <c r="DU222" s="302">
        <f t="shared" si="218"/>
        <v>0.83365460701215532</v>
      </c>
      <c r="DV222" s="302">
        <f t="shared" si="218"/>
        <v>0.76159415595576463</v>
      </c>
      <c r="DW222" s="302">
        <f t="shared" si="219"/>
        <v>0.66403677026784891</v>
      </c>
      <c r="DX222" s="302">
        <f t="shared" si="219"/>
        <v>0.76159415595576463</v>
      </c>
      <c r="DY222" s="302">
        <f t="shared" si="219"/>
        <v>0.83365460701215532</v>
      </c>
      <c r="DZ222" s="302">
        <f t="shared" si="219"/>
        <v>0.88535164820226253</v>
      </c>
      <c r="EA222" s="302">
        <f t="shared" si="219"/>
        <v>0.92166855440647133</v>
      </c>
      <c r="EB222" s="302">
        <f t="shared" si="219"/>
        <v>0.94680601284626809</v>
      </c>
      <c r="EC222" s="302">
        <f t="shared" si="219"/>
        <v>0.9640275800758169</v>
      </c>
      <c r="ED222" s="302">
        <f t="shared" si="219"/>
        <v>0.97574313003145141</v>
      </c>
      <c r="EE222" s="302">
        <f t="shared" si="219"/>
        <v>0.98367485769368024</v>
      </c>
      <c r="EF222" s="302">
        <f t="shared" si="219"/>
        <v>0.98902740220109897</v>
      </c>
      <c r="EG222" s="302">
        <f t="shared" si="219"/>
        <v>0.99263152020112821</v>
      </c>
      <c r="EH222"/>
      <c r="EI222"/>
      <c r="EJ222"/>
      <c r="EK222" s="781">
        <v>0.4</v>
      </c>
      <c r="EL222" s="302">
        <f t="shared" si="220"/>
        <v>0.97344012261082846</v>
      </c>
      <c r="EM222" s="302">
        <f t="shared" si="220"/>
        <v>0.96182850221220129</v>
      </c>
      <c r="EN222" s="302">
        <f t="shared" si="220"/>
        <v>0.94563952947663132</v>
      </c>
      <c r="EO222" s="302">
        <f t="shared" si="220"/>
        <v>0.92352148935148781</v>
      </c>
      <c r="EP222" s="302">
        <f t="shared" si="220"/>
        <v>0.8941438395855954</v>
      </c>
      <c r="EQ222" s="302">
        <f t="shared" si="220"/>
        <v>0.85665130676158863</v>
      </c>
      <c r="ER222" s="302">
        <f t="shared" si="220"/>
        <v>0.81148791107115925</v>
      </c>
      <c r="ES222" s="302">
        <f t="shared" si="220"/>
        <v>0.76159415595576463</v>
      </c>
      <c r="ET222" s="302">
        <f t="shared" si="220"/>
        <v>0.71357352593554979</v>
      </c>
      <c r="EU222" s="302">
        <f t="shared" si="220"/>
        <v>0.67757722415900501</v>
      </c>
      <c r="EV222" s="302">
        <f t="shared" si="221"/>
        <v>0.66403677026784891</v>
      </c>
      <c r="EW222" s="302">
        <f t="shared" si="221"/>
        <v>0.67757722415900501</v>
      </c>
      <c r="EX222" s="302">
        <f t="shared" si="221"/>
        <v>0.71357352593554979</v>
      </c>
      <c r="EY222" s="302">
        <f t="shared" si="221"/>
        <v>0.76159415595576463</v>
      </c>
      <c r="EZ222" s="302">
        <f t="shared" si="221"/>
        <v>0.81148791107115925</v>
      </c>
      <c r="FA222" s="302">
        <f t="shared" si="221"/>
        <v>0.85665130676158863</v>
      </c>
      <c r="FB222" s="302">
        <f t="shared" si="221"/>
        <v>0.8941438395855954</v>
      </c>
      <c r="FC222" s="302">
        <f t="shared" si="221"/>
        <v>0.92352148935148781</v>
      </c>
      <c r="FD222" s="302">
        <f t="shared" si="221"/>
        <v>0.94563952947663132</v>
      </c>
      <c r="FE222" s="302">
        <f t="shared" si="221"/>
        <v>0.96182850221220129</v>
      </c>
      <c r="FF222" s="302">
        <f t="shared" si="221"/>
        <v>0.97344012261082846</v>
      </c>
      <c r="FG222"/>
      <c r="FH222"/>
      <c r="FI222" s="779"/>
      <c r="FJ222" s="420">
        <v>0.4</v>
      </c>
      <c r="FK222" s="302">
        <f t="shared" si="222"/>
        <v>0.9640275800758169</v>
      </c>
      <c r="FL222" s="302">
        <f t="shared" si="222"/>
        <v>0.94680601284626809</v>
      </c>
      <c r="FM222" s="302">
        <f t="shared" si="222"/>
        <v>0.92166855440647133</v>
      </c>
      <c r="FN222" s="302">
        <f t="shared" si="222"/>
        <v>0.88535164820226253</v>
      </c>
      <c r="FO222" s="302">
        <f t="shared" si="222"/>
        <v>0.83365460701215532</v>
      </c>
      <c r="FP222" s="302">
        <f t="shared" si="222"/>
        <v>0.76159415595576463</v>
      </c>
      <c r="FQ222" s="302">
        <f t="shared" si="222"/>
        <v>0.66403677026784891</v>
      </c>
      <c r="FR222" s="302">
        <f t="shared" si="222"/>
        <v>0.66403677026784891</v>
      </c>
      <c r="FS222" s="302">
        <f t="shared" si="222"/>
        <v>0.66403677026784891</v>
      </c>
      <c r="FT222" s="302">
        <f t="shared" si="222"/>
        <v>0.66403677026784891</v>
      </c>
      <c r="FU222" s="302">
        <f t="shared" si="223"/>
        <v>0.66403677026784891</v>
      </c>
      <c r="FV222" s="302">
        <f t="shared" si="223"/>
        <v>0.66403677026784891</v>
      </c>
      <c r="FW222" s="302">
        <f t="shared" si="223"/>
        <v>0.66403677026784891</v>
      </c>
      <c r="FX222" s="302">
        <f t="shared" si="223"/>
        <v>0.66403677026784891</v>
      </c>
      <c r="FY222" s="302">
        <f t="shared" si="223"/>
        <v>0.66403677026784891</v>
      </c>
      <c r="FZ222" s="302">
        <f t="shared" si="223"/>
        <v>0.76159415595576463</v>
      </c>
      <c r="GA222" s="302">
        <f t="shared" si="223"/>
        <v>0.83365460701215532</v>
      </c>
      <c r="GB222" s="302">
        <f t="shared" si="223"/>
        <v>0.88535164820226253</v>
      </c>
      <c r="GC222" s="302">
        <f t="shared" si="223"/>
        <v>0.92166855440647133</v>
      </c>
      <c r="GD222" s="302">
        <f t="shared" si="223"/>
        <v>0.94680601284626809</v>
      </c>
      <c r="GE222" s="302">
        <f t="shared" si="223"/>
        <v>0.9640275800758169</v>
      </c>
      <c r="GF222"/>
      <c r="GG222"/>
      <c r="GH222"/>
    </row>
    <row r="223" spans="2:190" ht="42" customHeight="1">
      <c r="B223"/>
      <c r="C223" s="222"/>
      <c r="D223" s="221"/>
      <c r="E223" s="169">
        <v>0.9</v>
      </c>
      <c r="F223" s="174">
        <f t="shared" si="259"/>
        <v>1.9882617021061479</v>
      </c>
      <c r="G223" s="301">
        <f t="shared" si="224"/>
        <v>0.49363156299579436</v>
      </c>
      <c r="H223" s="302">
        <f t="shared" si="225"/>
        <v>0.49366823767580131</v>
      </c>
      <c r="I223" s="302">
        <f t="shared" si="226"/>
        <v>0.49373374166347284</v>
      </c>
      <c r="J223" s="302">
        <f t="shared" si="227"/>
        <v>0.49397278032524389</v>
      </c>
      <c r="K223" s="302">
        <f t="shared" si="228"/>
        <v>0.49452347607314018</v>
      </c>
      <c r="L223" s="302">
        <f t="shared" si="229"/>
        <v>0.49566229603228673</v>
      </c>
      <c r="M223" s="302">
        <f t="shared" si="230"/>
        <v>0.4974679511224927</v>
      </c>
      <c r="N223" s="302">
        <f t="shared" si="231"/>
        <v>0.50257073832941412</v>
      </c>
      <c r="O223" s="302">
        <f t="shared" si="232"/>
        <v>0.51178560941684759</v>
      </c>
      <c r="P223" s="302">
        <f t="shared" si="233"/>
        <v>0.52999553540159539</v>
      </c>
      <c r="Q223" s="302">
        <f t="shared" si="234"/>
        <v>0.56531050715292042</v>
      </c>
      <c r="R223" s="302">
        <f t="shared" si="235"/>
        <v>0.63144583010869559</v>
      </c>
      <c r="S223" s="302">
        <f t="shared" si="236"/>
        <v>0.74758063778402384</v>
      </c>
      <c r="T223" s="302">
        <f t="shared" si="237"/>
        <v>0.93014370841992322</v>
      </c>
      <c r="U223" s="302">
        <f t="shared" si="238"/>
        <v>1.1724546946242829</v>
      </c>
      <c r="V223" s="302">
        <f t="shared" si="239"/>
        <v>1.4307965656864654</v>
      </c>
      <c r="W223" s="302">
        <f t="shared" si="240"/>
        <v>1.6491892515836315</v>
      </c>
      <c r="X223" s="302">
        <f t="shared" si="241"/>
        <v>1.8004172694872551</v>
      </c>
      <c r="Y223" s="302">
        <f t="shared" si="242"/>
        <v>1.8912477746266676</v>
      </c>
      <c r="Z223" s="302">
        <f t="shared" si="243"/>
        <v>1.9412133910373097</v>
      </c>
      <c r="AA223" s="302">
        <f t="shared" si="244"/>
        <v>1.9673773913511219</v>
      </c>
      <c r="AB223" s="302">
        <f t="shared" si="245"/>
        <v>1.9807247323671244</v>
      </c>
      <c r="AC223" s="302">
        <f t="shared" si="246"/>
        <v>1.9874430568596613</v>
      </c>
      <c r="AD223" s="302">
        <f t="shared" si="247"/>
        <v>1.9918619439852756</v>
      </c>
      <c r="AE223" s="302">
        <f t="shared" si="248"/>
        <v>1.9952200640973363</v>
      </c>
      <c r="AF223" s="302">
        <f t="shared" si="249"/>
        <v>1.9968932643181601</v>
      </c>
      <c r="AG223" s="302">
        <f t="shared" si="250"/>
        <v>1.9979867871274772</v>
      </c>
      <c r="AH223" s="302">
        <f t="shared" si="251"/>
        <v>1.9988189841612991</v>
      </c>
      <c r="AI223" s="302">
        <f t="shared" si="252"/>
        <v>1.9992325938261997</v>
      </c>
      <c r="AJ223" s="302">
        <f t="shared" si="253"/>
        <v>1.9995908550218193</v>
      </c>
      <c r="AK223" s="303">
        <f t="shared" si="254"/>
        <v>1.9997963579382507</v>
      </c>
      <c r="AL223" s="223"/>
      <c r="AM223" s="137"/>
      <c r="AN223" s="222"/>
      <c r="AO223" s="221"/>
      <c r="AP223" s="169">
        <v>0.9</v>
      </c>
      <c r="AQ223" s="174">
        <f t="shared" si="260"/>
        <v>1.9882617021061479</v>
      </c>
      <c r="AR223" s="302">
        <f t="shared" si="255"/>
        <v>0.99898956307582187</v>
      </c>
      <c r="AS223" s="302">
        <f t="shared" si="255"/>
        <v>0.99878410928509342</v>
      </c>
      <c r="AT223" s="302">
        <f t="shared" si="255"/>
        <v>0.99863329037890058</v>
      </c>
      <c r="AU223" s="302">
        <f t="shared" si="255"/>
        <v>0.99854655719152829</v>
      </c>
      <c r="AV223" s="302">
        <f t="shared" si="255"/>
        <v>0.9985128371577241</v>
      </c>
      <c r="AW223" s="302">
        <f t="shared" si="255"/>
        <v>0.99850793659359804</v>
      </c>
      <c r="AX223" s="302">
        <f t="shared" si="255"/>
        <v>0.99851283087484421</v>
      </c>
      <c r="AY223" s="302">
        <f t="shared" si="255"/>
        <v>0.99854654337877535</v>
      </c>
      <c r="AZ223" s="302">
        <f t="shared" si="255"/>
        <v>0.99863326650159467</v>
      </c>
      <c r="BA223" s="302">
        <f t="shared" si="255"/>
        <v>0.99878407148080894</v>
      </c>
      <c r="BB223" s="302">
        <f t="shared" si="256"/>
        <v>0.99898950618979099</v>
      </c>
      <c r="BC223" s="302">
        <f t="shared" si="256"/>
        <v>0.99922115277381529</v>
      </c>
      <c r="BD223" s="302">
        <f t="shared" si="256"/>
        <v>0.99944386130612151</v>
      </c>
      <c r="BE223" s="302">
        <f t="shared" si="256"/>
        <v>0.99963059911654006</v>
      </c>
      <c r="BF223" s="302">
        <f t="shared" si="256"/>
        <v>0.99977002409416293</v>
      </c>
      <c r="BG223" s="302">
        <f t="shared" si="256"/>
        <v>0.99986455487593451</v>
      </c>
      <c r="BH223" s="302">
        <f t="shared" si="256"/>
        <v>0.99992379990210856</v>
      </c>
      <c r="BI223" s="302">
        <f t="shared" si="256"/>
        <v>0.99995865350201907</v>
      </c>
      <c r="BJ223" s="302">
        <f t="shared" si="256"/>
        <v>0.99997814707122679</v>
      </c>
      <c r="BK223" s="302">
        <f t="shared" si="256"/>
        <v>0.99998861930181548</v>
      </c>
      <c r="BL223" s="302">
        <f t="shared" si="257"/>
        <v>0.99999406728785012</v>
      </c>
      <c r="BM223" s="302">
        <f t="shared" si="257"/>
        <v>0.9999968299931502</v>
      </c>
      <c r="BN223" s="302">
        <f t="shared" si="257"/>
        <v>0.9999982032420317</v>
      </c>
      <c r="BO223" s="302">
        <f t="shared" si="257"/>
        <v>0.99999887576010271</v>
      </c>
      <c r="BP223" s="302">
        <f t="shared" si="257"/>
        <v>0.99999920181207513</v>
      </c>
      <c r="BQ223" s="302">
        <f t="shared" si="257"/>
        <v>0.99999935870044065</v>
      </c>
      <c r="BR223" s="302">
        <f t="shared" si="257"/>
        <v>0.99999943366261512</v>
      </c>
      <c r="BS223" s="302">
        <f t="shared" si="257"/>
        <v>0.99999947136764233</v>
      </c>
      <c r="BT223" s="302">
        <f t="shared" si="257"/>
        <v>0.99999949473570882</v>
      </c>
      <c r="BU223" s="302">
        <f t="shared" si="257"/>
        <v>0.99999951557241218</v>
      </c>
      <c r="BV223" s="302">
        <f t="shared" si="257"/>
        <v>0.99999953998886193</v>
      </c>
      <c r="BW223" s="223"/>
      <c r="BX223" s="137"/>
      <c r="BY223" s="222"/>
      <c r="BZ223" s="221"/>
      <c r="CA223" s="169">
        <v>0.9</v>
      </c>
      <c r="CB223" s="174">
        <f t="shared" si="261"/>
        <v>1.9882617021061479</v>
      </c>
      <c r="CC223" s="301">
        <f t="shared" si="262"/>
        <v>0.49413085105307397</v>
      </c>
      <c r="CD223" s="302">
        <f t="shared" si="264"/>
        <v>0.49426921502501436</v>
      </c>
      <c r="CE223" s="302">
        <f t="shared" si="265"/>
        <v>0.49440945582350937</v>
      </c>
      <c r="CF223" s="302">
        <f t="shared" si="266"/>
        <v>0.49469178654480744</v>
      </c>
      <c r="CG223" s="302">
        <f t="shared" si="267"/>
        <v>0.49526000835483075</v>
      </c>
      <c r="CH223" s="302">
        <f t="shared" si="268"/>
        <v>0.49640296072481382</v>
      </c>
      <c r="CI223" s="302">
        <f t="shared" si="269"/>
        <v>0.49820887197477226</v>
      </c>
      <c r="CJ223" s="302">
        <f t="shared" si="270"/>
        <v>0.50330226634090469</v>
      </c>
      <c r="CK223" s="302">
        <f t="shared" si="271"/>
        <v>0.51248604125689856</v>
      </c>
      <c r="CL223" s="302">
        <f t="shared" si="272"/>
        <v>0.53064075663102817</v>
      </c>
      <c r="CM223" s="302">
        <f t="shared" si="273"/>
        <v>0.56588232774241076</v>
      </c>
      <c r="CN223" s="302">
        <f t="shared" si="274"/>
        <v>0.63193801327745747</v>
      </c>
      <c r="CO223" s="302">
        <f t="shared" si="275"/>
        <v>0.7479966276515515</v>
      </c>
      <c r="CP223" s="302">
        <f t="shared" si="276"/>
        <v>0.9304874312990935</v>
      </c>
      <c r="CQ223" s="302">
        <f t="shared" si="277"/>
        <v>1.1727243929788553</v>
      </c>
      <c r="CR223" s="302">
        <f t="shared" si="278"/>
        <v>1.430990386356882</v>
      </c>
      <c r="CS223" s="302">
        <f t="shared" si="279"/>
        <v>1.6493149295427165</v>
      </c>
      <c r="CT223" s="302">
        <f t="shared" si="280"/>
        <v>1.8004917135142526</v>
      </c>
      <c r="CU223" s="302">
        <f t="shared" si="281"/>
        <v>1.8912891048327651</v>
      </c>
      <c r="CV223" s="302">
        <f t="shared" si="282"/>
        <v>1.9412354836524544</v>
      </c>
      <c r="CW223" s="302">
        <f t="shared" si="283"/>
        <v>1.9673890633041213</v>
      </c>
      <c r="CX223" s="302">
        <f t="shared" si="284"/>
        <v>1.9807310112979979</v>
      </c>
      <c r="CY223" s="302">
        <f t="shared" si="285"/>
        <v>1.9874466278202263</v>
      </c>
      <c r="CZ223" s="302">
        <f t="shared" si="286"/>
        <v>1.9918641833184605</v>
      </c>
      <c r="DA223" s="302">
        <f t="shared" si="287"/>
        <v>1.9952216566591701</v>
      </c>
      <c r="DB223" s="302">
        <f t="shared" si="288"/>
        <v>1.9968945449257518</v>
      </c>
      <c r="DC223" s="302">
        <f t="shared" si="289"/>
        <v>1.9979879186627301</v>
      </c>
      <c r="DD223" s="302">
        <f t="shared" si="290"/>
        <v>1.9988200408022498</v>
      </c>
      <c r="DE223" s="302">
        <f t="shared" si="291"/>
        <v>1.9992336039675496</v>
      </c>
      <c r="DF223" s="302">
        <f t="shared" si="292"/>
        <v>1.9995918236792631</v>
      </c>
      <c r="DG223" s="303">
        <f t="shared" si="293"/>
        <v>1.9997972778672723</v>
      </c>
      <c r="DH223" s="223"/>
      <c r="DI223"/>
      <c r="DJ223"/>
      <c r="DK223"/>
      <c r="DL223" s="781">
        <v>0.3</v>
      </c>
      <c r="DM223" s="302">
        <f t="shared" si="218"/>
        <v>0.98902740220109897</v>
      </c>
      <c r="DN223" s="302">
        <f t="shared" si="218"/>
        <v>0.98367485769368024</v>
      </c>
      <c r="DO223" s="302">
        <f t="shared" si="218"/>
        <v>0.97574313003145141</v>
      </c>
      <c r="DP223" s="302">
        <f t="shared" si="218"/>
        <v>0.9640275800758169</v>
      </c>
      <c r="DQ223" s="302">
        <f t="shared" si="218"/>
        <v>0.94680601284626809</v>
      </c>
      <c r="DR223" s="302">
        <f t="shared" si="218"/>
        <v>0.92166855440647133</v>
      </c>
      <c r="DS223" s="302">
        <f t="shared" si="218"/>
        <v>0.88535164820226253</v>
      </c>
      <c r="DT223" s="302">
        <f t="shared" si="218"/>
        <v>0.83365460701215532</v>
      </c>
      <c r="DU223" s="302">
        <f t="shared" si="218"/>
        <v>0.76159415595576463</v>
      </c>
      <c r="DV223" s="302">
        <f t="shared" si="218"/>
        <v>0.66403677026784891</v>
      </c>
      <c r="DW223" s="302">
        <f t="shared" si="219"/>
        <v>0.53704956699803508</v>
      </c>
      <c r="DX223" s="302">
        <f t="shared" si="219"/>
        <v>0.66403677026784891</v>
      </c>
      <c r="DY223" s="302">
        <f t="shared" si="219"/>
        <v>0.76159415595576463</v>
      </c>
      <c r="DZ223" s="302">
        <f t="shared" si="219"/>
        <v>0.83365460701215532</v>
      </c>
      <c r="EA223" s="302">
        <f t="shared" si="219"/>
        <v>0.88535164820226253</v>
      </c>
      <c r="EB223" s="302">
        <f t="shared" si="219"/>
        <v>0.92166855440647133</v>
      </c>
      <c r="EC223" s="302">
        <f t="shared" si="219"/>
        <v>0.94680601284626809</v>
      </c>
      <c r="ED223" s="302">
        <f t="shared" si="219"/>
        <v>0.9640275800758169</v>
      </c>
      <c r="EE223" s="302">
        <f t="shared" si="219"/>
        <v>0.97574313003145141</v>
      </c>
      <c r="EF223" s="302">
        <f t="shared" si="219"/>
        <v>0.98367485769368024</v>
      </c>
      <c r="EG223" s="302">
        <f t="shared" si="219"/>
        <v>0.98902740220109897</v>
      </c>
      <c r="EH223"/>
      <c r="EI223"/>
      <c r="EJ223"/>
      <c r="EK223" s="781">
        <v>0.3</v>
      </c>
      <c r="EL223" s="302">
        <f t="shared" si="220"/>
        <v>0.96974871525977591</v>
      </c>
      <c r="EM223" s="302">
        <f t="shared" si="220"/>
        <v>0.95601144400379967</v>
      </c>
      <c r="EN223" s="302">
        <f t="shared" si="220"/>
        <v>0.93650024009844923</v>
      </c>
      <c r="EO223" s="302">
        <f t="shared" si="220"/>
        <v>0.90924583651378499</v>
      </c>
      <c r="EP223" s="302">
        <f t="shared" si="220"/>
        <v>0.87206578039101212</v>
      </c>
      <c r="EQ223" s="302">
        <f t="shared" si="220"/>
        <v>0.82304705847053827</v>
      </c>
      <c r="ER223" s="302">
        <f t="shared" si="220"/>
        <v>0.76159415595576463</v>
      </c>
      <c r="ES223" s="302">
        <f t="shared" si="220"/>
        <v>0.69029975261899379</v>
      </c>
      <c r="ET223" s="302">
        <f t="shared" si="220"/>
        <v>0.6175965493239155</v>
      </c>
      <c r="EU223" s="302">
        <f t="shared" si="220"/>
        <v>0.5597407230393463</v>
      </c>
      <c r="EV223" s="302">
        <f t="shared" si="221"/>
        <v>0.53704956699803508</v>
      </c>
      <c r="EW223" s="302">
        <f t="shared" si="221"/>
        <v>0.5597407230393463</v>
      </c>
      <c r="EX223" s="302">
        <f t="shared" si="221"/>
        <v>0.6175965493239155</v>
      </c>
      <c r="EY223" s="302">
        <f t="shared" si="221"/>
        <v>0.69029975261899379</v>
      </c>
      <c r="EZ223" s="302">
        <f t="shared" si="221"/>
        <v>0.76159415595576463</v>
      </c>
      <c r="FA223" s="302">
        <f t="shared" si="221"/>
        <v>0.82304705847053827</v>
      </c>
      <c r="FB223" s="302">
        <f t="shared" si="221"/>
        <v>0.87206578039101212</v>
      </c>
      <c r="FC223" s="302">
        <f t="shared" si="221"/>
        <v>0.90924583651378499</v>
      </c>
      <c r="FD223" s="302">
        <f t="shared" si="221"/>
        <v>0.93650024009844923</v>
      </c>
      <c r="FE223" s="302">
        <f t="shared" si="221"/>
        <v>0.95601144400379967</v>
      </c>
      <c r="FF223" s="302">
        <f t="shared" si="221"/>
        <v>0.96974871525977591</v>
      </c>
      <c r="FG223"/>
      <c r="FH223"/>
      <c r="FI223" s="779"/>
      <c r="FJ223" s="420">
        <v>0.3</v>
      </c>
      <c r="FK223" s="302">
        <f t="shared" si="222"/>
        <v>0.9640275800758169</v>
      </c>
      <c r="FL223" s="302">
        <f t="shared" si="222"/>
        <v>0.94680601284626809</v>
      </c>
      <c r="FM223" s="302">
        <f t="shared" si="222"/>
        <v>0.92166855440647133</v>
      </c>
      <c r="FN223" s="302">
        <f t="shared" si="222"/>
        <v>0.88535164820226253</v>
      </c>
      <c r="FO223" s="302">
        <f t="shared" si="222"/>
        <v>0.83365460701215532</v>
      </c>
      <c r="FP223" s="302">
        <f t="shared" si="222"/>
        <v>0.76159415595576463</v>
      </c>
      <c r="FQ223" s="302">
        <f t="shared" si="222"/>
        <v>0.66403677026784891</v>
      </c>
      <c r="FR223" s="302">
        <f t="shared" si="222"/>
        <v>0.53704956699803508</v>
      </c>
      <c r="FS223" s="302">
        <f t="shared" si="222"/>
        <v>0.53704956699803508</v>
      </c>
      <c r="FT223" s="302">
        <f t="shared" si="222"/>
        <v>0.53704956699803508</v>
      </c>
      <c r="FU223" s="302">
        <f t="shared" si="223"/>
        <v>0.53704956699803508</v>
      </c>
      <c r="FV223" s="302">
        <f t="shared" si="223"/>
        <v>0.53704956699803508</v>
      </c>
      <c r="FW223" s="302">
        <f t="shared" si="223"/>
        <v>0.53704956699803508</v>
      </c>
      <c r="FX223" s="302">
        <f t="shared" si="223"/>
        <v>0.53704956699803508</v>
      </c>
      <c r="FY223" s="302">
        <f t="shared" si="223"/>
        <v>0.66403677026784891</v>
      </c>
      <c r="FZ223" s="302">
        <f t="shared" si="223"/>
        <v>0.76159415595576463</v>
      </c>
      <c r="GA223" s="302">
        <f t="shared" si="223"/>
        <v>0.83365460701215532</v>
      </c>
      <c r="GB223" s="302">
        <f t="shared" si="223"/>
        <v>0.88535164820226253</v>
      </c>
      <c r="GC223" s="302">
        <f t="shared" si="223"/>
        <v>0.92166855440647133</v>
      </c>
      <c r="GD223" s="302">
        <f t="shared" si="223"/>
        <v>0.94680601284626809</v>
      </c>
      <c r="GE223" s="302">
        <f t="shared" si="223"/>
        <v>0.9640275800758169</v>
      </c>
      <c r="GF223"/>
      <c r="GG223"/>
      <c r="GH223"/>
    </row>
    <row r="224" spans="2:190" ht="42" customHeight="1">
      <c r="B224"/>
      <c r="C224" s="222"/>
      <c r="D224" s="221"/>
      <c r="E224" s="169">
        <v>0.8</v>
      </c>
      <c r="F224" s="174">
        <f t="shared" si="259"/>
        <v>1.9764553624550463</v>
      </c>
      <c r="G224" s="301">
        <f t="shared" si="224"/>
        <v>0.48722817793746631</v>
      </c>
      <c r="H224" s="302">
        <f t="shared" si="225"/>
        <v>0.48711164267843754</v>
      </c>
      <c r="I224" s="302">
        <f t="shared" si="226"/>
        <v>0.48705502171237419</v>
      </c>
      <c r="J224" s="302">
        <f t="shared" si="227"/>
        <v>0.4872198168544597</v>
      </c>
      <c r="K224" s="302">
        <f t="shared" si="228"/>
        <v>0.48774007964391664</v>
      </c>
      <c r="L224" s="302">
        <f t="shared" si="229"/>
        <v>0.48887250326480836</v>
      </c>
      <c r="M224" s="302">
        <f t="shared" si="230"/>
        <v>0.49116800608464978</v>
      </c>
      <c r="N224" s="302">
        <f t="shared" si="231"/>
        <v>0.49480971047202987</v>
      </c>
      <c r="O224" s="302">
        <f t="shared" si="232"/>
        <v>0.50507788389519304</v>
      </c>
      <c r="P224" s="302">
        <f t="shared" si="233"/>
        <v>0.52338972616911394</v>
      </c>
      <c r="Q224" s="302">
        <f t="shared" si="234"/>
        <v>0.55883270633039328</v>
      </c>
      <c r="R224" s="302">
        <f t="shared" si="235"/>
        <v>0.62509758734767062</v>
      </c>
      <c r="S224" s="302">
        <f t="shared" si="236"/>
        <v>0.74134567191718959</v>
      </c>
      <c r="T224" s="302">
        <f t="shared" si="237"/>
        <v>0.92400200043957692</v>
      </c>
      <c r="U224" s="302">
        <f t="shared" si="238"/>
        <v>1.1663899092565839</v>
      </c>
      <c r="V224" s="302">
        <f t="shared" si="239"/>
        <v>1.42479332854505</v>
      </c>
      <c r="W224" s="302">
        <f t="shared" si="240"/>
        <v>1.6432300065426577</v>
      </c>
      <c r="X224" s="302">
        <f t="shared" si="241"/>
        <v>1.794485111501676</v>
      </c>
      <c r="Y224" s="302">
        <f t="shared" si="242"/>
        <v>1.8853302544196999</v>
      </c>
      <c r="Z224" s="302">
        <f t="shared" si="243"/>
        <v>1.935303073327332</v>
      </c>
      <c r="AA224" s="302">
        <f t="shared" si="244"/>
        <v>1.9614704031779426</v>
      </c>
      <c r="AB224" s="302">
        <f t="shared" si="245"/>
        <v>1.9748192212766282</v>
      </c>
      <c r="AC224" s="302">
        <f t="shared" si="246"/>
        <v>1.9836745956147712</v>
      </c>
      <c r="AD224" s="302">
        <f t="shared" si="247"/>
        <v>1.9903918140643471</v>
      </c>
      <c r="AE224" s="302">
        <f t="shared" si="248"/>
        <v>1.9937500536204122</v>
      </c>
      <c r="AF224" s="302">
        <f t="shared" si="249"/>
        <v>1.9959495121687207</v>
      </c>
      <c r="AG224" s="302">
        <f t="shared" si="250"/>
        <v>1.9976225729242416</v>
      </c>
      <c r="AH224" s="302">
        <f t="shared" si="251"/>
        <v>1.9984547871793448</v>
      </c>
      <c r="AI224" s="302">
        <f t="shared" si="252"/>
        <v>1.998998141293078</v>
      </c>
      <c r="AJ224" s="302">
        <f t="shared" si="253"/>
        <v>1.9994117861895431</v>
      </c>
      <c r="AK224" s="303">
        <f t="shared" si="254"/>
        <v>1.9996173505282406</v>
      </c>
      <c r="AL224" s="223"/>
      <c r="AM224" s="137"/>
      <c r="AN224" s="222"/>
      <c r="AO224" s="221"/>
      <c r="AP224" s="169">
        <v>0.8</v>
      </c>
      <c r="AQ224" s="174">
        <f t="shared" si="260"/>
        <v>1.9764553624550463</v>
      </c>
      <c r="AR224" s="302">
        <f t="shared" si="255"/>
        <v>0.99795279266520931</v>
      </c>
      <c r="AS224" s="302">
        <f t="shared" si="255"/>
        <v>0.99743142969631793</v>
      </c>
      <c r="AT224" s="302">
        <f t="shared" si="255"/>
        <v>0.99702917991603812</v>
      </c>
      <c r="AU224" s="302">
        <f t="shared" si="255"/>
        <v>0.9967904328964805</v>
      </c>
      <c r="AV224" s="302">
        <f t="shared" si="255"/>
        <v>0.99669615552891355</v>
      </c>
      <c r="AW224" s="302">
        <f t="shared" si="255"/>
        <v>0.99668238872952175</v>
      </c>
      <c r="AX224" s="302">
        <f t="shared" si="255"/>
        <v>0.99669614501378834</v>
      </c>
      <c r="AY224" s="302">
        <f t="shared" si="255"/>
        <v>0.99679040944788566</v>
      </c>
      <c r="AZ224" s="302">
        <f t="shared" si="255"/>
        <v>0.99702913852593866</v>
      </c>
      <c r="BA224" s="302">
        <f t="shared" si="255"/>
        <v>0.99743136251289155</v>
      </c>
      <c r="BB224" s="302">
        <f t="shared" si="256"/>
        <v>0.99795268882732779</v>
      </c>
      <c r="BC224" s="302">
        <f t="shared" si="256"/>
        <v>0.99850286910698438</v>
      </c>
      <c r="BD224" s="302">
        <f t="shared" si="256"/>
        <v>0.99899232919934133</v>
      </c>
      <c r="BE224" s="302">
        <f t="shared" si="256"/>
        <v>0.9993702455706549</v>
      </c>
      <c r="BF224" s="302">
        <f t="shared" si="256"/>
        <v>0.99963035134418032</v>
      </c>
      <c r="BG224" s="302">
        <f t="shared" si="256"/>
        <v>0.99979377543853321</v>
      </c>
      <c r="BH224" s="302">
        <f t="shared" si="256"/>
        <v>0.99988940496900236</v>
      </c>
      <c r="BI224" s="302">
        <f t="shared" si="256"/>
        <v>0.99994236440024686</v>
      </c>
      <c r="BJ224" s="302">
        <f t="shared" si="256"/>
        <v>0.99997046727331507</v>
      </c>
      <c r="BK224" s="302">
        <f t="shared" si="256"/>
        <v>0.99998489122546941</v>
      </c>
      <c r="BL224" s="302">
        <f t="shared" si="257"/>
        <v>0.99999210277235273</v>
      </c>
      <c r="BM224" s="302">
        <f t="shared" si="257"/>
        <v>0.99999563496339383</v>
      </c>
      <c r="BN224" s="302">
        <f t="shared" si="257"/>
        <v>0.99999733863148232</v>
      </c>
      <c r="BO224" s="302">
        <f t="shared" si="257"/>
        <v>0.99999815243963497</v>
      </c>
      <c r="BP224" s="302">
        <f t="shared" si="257"/>
        <v>0.99999853985899123</v>
      </c>
      <c r="BQ224" s="302">
        <f t="shared" si="257"/>
        <v>0.99999872410592761</v>
      </c>
      <c r="BR224" s="302">
        <f t="shared" si="257"/>
        <v>0.99999881152141945</v>
      </c>
      <c r="BS224" s="302">
        <f t="shared" si="257"/>
        <v>0.99999885810963207</v>
      </c>
      <c r="BT224" s="302">
        <f t="shared" si="257"/>
        <v>0.99999889385309515</v>
      </c>
      <c r="BU224" s="302">
        <f t="shared" si="257"/>
        <v>0.99999893495945458</v>
      </c>
      <c r="BV224" s="302">
        <f t="shared" si="257"/>
        <v>0.99999899015471172</v>
      </c>
      <c r="BW224" s="223"/>
      <c r="BX224" s="137"/>
      <c r="BY224" s="222"/>
      <c r="BZ224" s="221"/>
      <c r="CA224" s="169">
        <v>0.8</v>
      </c>
      <c r="CB224" s="174">
        <f t="shared" si="261"/>
        <v>1.9764553624550463</v>
      </c>
      <c r="CC224" s="301">
        <f t="shared" si="262"/>
        <v>0.48822768122752314</v>
      </c>
      <c r="CD224" s="302">
        <f t="shared" si="264"/>
        <v>0.48836604519946353</v>
      </c>
      <c r="CE224" s="302">
        <f t="shared" si="265"/>
        <v>0.48850628599795853</v>
      </c>
      <c r="CF224" s="302">
        <f t="shared" si="266"/>
        <v>0.48878861671925661</v>
      </c>
      <c r="CG224" s="302">
        <f t="shared" si="267"/>
        <v>0.48935683852927991</v>
      </c>
      <c r="CH224" s="302">
        <f t="shared" si="268"/>
        <v>0.49049979089926299</v>
      </c>
      <c r="CI224" s="302">
        <f t="shared" si="269"/>
        <v>0.49279613304599962</v>
      </c>
      <c r="CJ224" s="302">
        <f t="shared" si="270"/>
        <v>0.49640296072481382</v>
      </c>
      <c r="CK224" s="302">
        <f t="shared" si="271"/>
        <v>0.50658287143134784</v>
      </c>
      <c r="CL224" s="302">
        <f t="shared" si="272"/>
        <v>0.52473758680547733</v>
      </c>
      <c r="CM224" s="302">
        <f t="shared" si="273"/>
        <v>0.55997915791686004</v>
      </c>
      <c r="CN224" s="302">
        <f t="shared" si="274"/>
        <v>0.62603484345190663</v>
      </c>
      <c r="CO224" s="302">
        <f t="shared" si="275"/>
        <v>0.74209345782600067</v>
      </c>
      <c r="CP224" s="302">
        <f t="shared" si="276"/>
        <v>0.92458426147354267</v>
      </c>
      <c r="CQ224" s="302">
        <f t="shared" si="277"/>
        <v>1.1668212231533044</v>
      </c>
      <c r="CR224" s="302">
        <f t="shared" si="278"/>
        <v>1.4250872165313311</v>
      </c>
      <c r="CS224" s="302">
        <f t="shared" si="279"/>
        <v>1.6434117597171656</v>
      </c>
      <c r="CT224" s="302">
        <f t="shared" si="280"/>
        <v>1.7945885436887017</v>
      </c>
      <c r="CU224" s="302">
        <f t="shared" si="281"/>
        <v>1.8853859350072142</v>
      </c>
      <c r="CV224" s="302">
        <f t="shared" si="282"/>
        <v>1.9353323138269034</v>
      </c>
      <c r="CW224" s="302">
        <f t="shared" si="283"/>
        <v>1.9614858934785704</v>
      </c>
      <c r="CX224" s="302">
        <f t="shared" si="284"/>
        <v>1.9748278414724472</v>
      </c>
      <c r="CY224" s="302">
        <f t="shared" si="285"/>
        <v>1.9836798749179394</v>
      </c>
      <c r="CZ224" s="302">
        <f t="shared" si="286"/>
        <v>1.9903954914401678</v>
      </c>
      <c r="DA224" s="302">
        <f t="shared" si="287"/>
        <v>1.9937529647808774</v>
      </c>
      <c r="DB224" s="302">
        <f t="shared" si="288"/>
        <v>1.9959520587921213</v>
      </c>
      <c r="DC224" s="302">
        <f t="shared" si="289"/>
        <v>1.9976249470587031</v>
      </c>
      <c r="DD224" s="302">
        <f t="shared" si="290"/>
        <v>1.9984570691982229</v>
      </c>
      <c r="DE224" s="302">
        <f t="shared" si="291"/>
        <v>1.9990003524811306</v>
      </c>
      <c r="DF224" s="302">
        <f t="shared" si="292"/>
        <v>1.9994139156464303</v>
      </c>
      <c r="DG224" s="303">
        <f t="shared" si="293"/>
        <v>1.9996193698344396</v>
      </c>
      <c r="DH224" s="223"/>
      <c r="DI224"/>
      <c r="DJ224"/>
      <c r="DK224"/>
      <c r="DL224" s="781">
        <v>0.2</v>
      </c>
      <c r="DM224" s="302">
        <f t="shared" si="218"/>
        <v>0.98367485769368024</v>
      </c>
      <c r="DN224" s="302">
        <f t="shared" si="218"/>
        <v>0.97574313003145141</v>
      </c>
      <c r="DO224" s="302">
        <f t="shared" si="218"/>
        <v>0.9640275800758169</v>
      </c>
      <c r="DP224" s="302">
        <f t="shared" si="218"/>
        <v>0.94680601284626809</v>
      </c>
      <c r="DQ224" s="302">
        <f t="shared" si="218"/>
        <v>0.92166855440647133</v>
      </c>
      <c r="DR224" s="302">
        <f t="shared" si="218"/>
        <v>0.88535164820226253</v>
      </c>
      <c r="DS224" s="302">
        <f t="shared" si="218"/>
        <v>0.83365460701215532</v>
      </c>
      <c r="DT224" s="302">
        <f t="shared" si="218"/>
        <v>0.76159415595576463</v>
      </c>
      <c r="DU224" s="302">
        <f t="shared" si="218"/>
        <v>0.66403677026784891</v>
      </c>
      <c r="DV224" s="302">
        <f t="shared" si="218"/>
        <v>0.53704956699803552</v>
      </c>
      <c r="DW224" s="302">
        <f t="shared" si="219"/>
        <v>0.37994896225522501</v>
      </c>
      <c r="DX224" s="302">
        <f t="shared" si="219"/>
        <v>0.53704956699803552</v>
      </c>
      <c r="DY224" s="302">
        <f t="shared" si="219"/>
        <v>0.66403677026784891</v>
      </c>
      <c r="DZ224" s="302">
        <f t="shared" si="219"/>
        <v>0.76159415595576463</v>
      </c>
      <c r="EA224" s="302">
        <f t="shared" si="219"/>
        <v>0.83365460701215532</v>
      </c>
      <c r="EB224" s="302">
        <f t="shared" si="219"/>
        <v>0.88535164820226253</v>
      </c>
      <c r="EC224" s="302">
        <f t="shared" si="219"/>
        <v>0.92166855440647133</v>
      </c>
      <c r="ED224" s="302">
        <f t="shared" si="219"/>
        <v>0.94680601284626809</v>
      </c>
      <c r="EE224" s="302">
        <f t="shared" si="219"/>
        <v>0.9640275800758169</v>
      </c>
      <c r="EF224" s="302">
        <f t="shared" si="219"/>
        <v>0.97574313003145141</v>
      </c>
      <c r="EG224" s="302">
        <f t="shared" si="219"/>
        <v>0.98367485769368024</v>
      </c>
      <c r="EH224"/>
      <c r="EI224"/>
      <c r="EJ224"/>
      <c r="EK224" s="781">
        <v>0.2</v>
      </c>
      <c r="EL224" s="302">
        <f t="shared" si="220"/>
        <v>0.96672162865729372</v>
      </c>
      <c r="EM224" s="302">
        <f t="shared" si="220"/>
        <v>0.95116896097802295</v>
      </c>
      <c r="EN224" s="302">
        <f t="shared" si="220"/>
        <v>0.92875356714922219</v>
      </c>
      <c r="EO224" s="302">
        <f t="shared" si="220"/>
        <v>0.89687722276491311</v>
      </c>
      <c r="EP224" s="302">
        <f t="shared" si="220"/>
        <v>0.85241239416703474</v>
      </c>
      <c r="EQ224" s="302">
        <f t="shared" si="220"/>
        <v>0.79209622243685329</v>
      </c>
      <c r="ER224" s="302">
        <f t="shared" si="220"/>
        <v>0.71357352593554979</v>
      </c>
      <c r="ES224" s="302">
        <f t="shared" si="220"/>
        <v>0.6175965493239155</v>
      </c>
      <c r="ET224" s="302">
        <f t="shared" si="220"/>
        <v>0.51218359170576977</v>
      </c>
      <c r="EU224" s="302">
        <f t="shared" si="220"/>
        <v>0.4196058875137787</v>
      </c>
      <c r="EV224" s="302">
        <f t="shared" si="221"/>
        <v>0.37994896225522501</v>
      </c>
      <c r="EW224" s="302">
        <f t="shared" si="221"/>
        <v>0.4196058875137787</v>
      </c>
      <c r="EX224" s="302">
        <f t="shared" si="221"/>
        <v>0.51218359170576977</v>
      </c>
      <c r="EY224" s="302">
        <f t="shared" si="221"/>
        <v>0.6175965493239155</v>
      </c>
      <c r="EZ224" s="302">
        <f t="shared" si="221"/>
        <v>0.71357352593554979</v>
      </c>
      <c r="FA224" s="302">
        <f t="shared" si="221"/>
        <v>0.79209622243685329</v>
      </c>
      <c r="FB224" s="302">
        <f t="shared" si="221"/>
        <v>0.85241239416703474</v>
      </c>
      <c r="FC224" s="302">
        <f t="shared" si="221"/>
        <v>0.89687722276491311</v>
      </c>
      <c r="FD224" s="302">
        <f t="shared" si="221"/>
        <v>0.92875356714922219</v>
      </c>
      <c r="FE224" s="302">
        <f t="shared" si="221"/>
        <v>0.95116896097802295</v>
      </c>
      <c r="FF224" s="302">
        <f t="shared" si="221"/>
        <v>0.96672162865729372</v>
      </c>
      <c r="FG224"/>
      <c r="FH224"/>
      <c r="FI224" s="779"/>
      <c r="FJ224" s="420">
        <v>0.2</v>
      </c>
      <c r="FK224" s="302">
        <f t="shared" si="222"/>
        <v>0.9640275800758169</v>
      </c>
      <c r="FL224" s="302">
        <f t="shared" si="222"/>
        <v>0.94680601284626809</v>
      </c>
      <c r="FM224" s="302">
        <f t="shared" si="222"/>
        <v>0.92166855440647133</v>
      </c>
      <c r="FN224" s="302">
        <f t="shared" si="222"/>
        <v>0.88535164820226253</v>
      </c>
      <c r="FO224" s="302">
        <f t="shared" si="222"/>
        <v>0.83365460701215532</v>
      </c>
      <c r="FP224" s="302">
        <f t="shared" si="222"/>
        <v>0.76159415595576463</v>
      </c>
      <c r="FQ224" s="302">
        <f t="shared" si="222"/>
        <v>0.66403677026784891</v>
      </c>
      <c r="FR224" s="302">
        <f t="shared" si="222"/>
        <v>0.53704956699803508</v>
      </c>
      <c r="FS224" s="302">
        <f t="shared" si="222"/>
        <v>0.37994896225522501</v>
      </c>
      <c r="FT224" s="302">
        <f t="shared" si="222"/>
        <v>0.37994896225522501</v>
      </c>
      <c r="FU224" s="302">
        <f t="shared" si="223"/>
        <v>0.37994896225522501</v>
      </c>
      <c r="FV224" s="302">
        <f t="shared" si="223"/>
        <v>0.37994896225522501</v>
      </c>
      <c r="FW224" s="302">
        <f t="shared" si="223"/>
        <v>0.37994896225522501</v>
      </c>
      <c r="FX224" s="302">
        <f t="shared" si="223"/>
        <v>0.53704956699803508</v>
      </c>
      <c r="FY224" s="302">
        <f t="shared" si="223"/>
        <v>0.66403677026784891</v>
      </c>
      <c r="FZ224" s="302">
        <f t="shared" si="223"/>
        <v>0.76159415595576463</v>
      </c>
      <c r="GA224" s="302">
        <f t="shared" si="223"/>
        <v>0.83365460701215532</v>
      </c>
      <c r="GB224" s="302">
        <f t="shared" si="223"/>
        <v>0.88535164820226253</v>
      </c>
      <c r="GC224" s="302">
        <f t="shared" si="223"/>
        <v>0.92166855440647133</v>
      </c>
      <c r="GD224" s="302">
        <f t="shared" si="223"/>
        <v>0.94680601284626809</v>
      </c>
      <c r="GE224" s="302">
        <f t="shared" si="223"/>
        <v>0.9640275800758169</v>
      </c>
      <c r="GF224"/>
      <c r="GG224"/>
      <c r="GH224"/>
    </row>
    <row r="225" spans="2:190" ht="42" customHeight="1">
      <c r="B225"/>
      <c r="C225" s="222"/>
      <c r="D225" s="221"/>
      <c r="E225" s="169">
        <v>0.7</v>
      </c>
      <c r="F225" s="174">
        <f t="shared" si="259"/>
        <v>1.9529611702270435</v>
      </c>
      <c r="G225" s="301">
        <f t="shared" si="224"/>
        <v>0.47457188864950578</v>
      </c>
      <c r="H225" s="302">
        <f t="shared" si="225"/>
        <v>0.47408806139439891</v>
      </c>
      <c r="I225" s="302">
        <f t="shared" si="226"/>
        <v>0.47371353381660802</v>
      </c>
      <c r="J225" s="302">
        <f t="shared" si="227"/>
        <v>0.47367455202346748</v>
      </c>
      <c r="K225" s="302">
        <f t="shared" si="228"/>
        <v>0.47410949297027044</v>
      </c>
      <c r="L225" s="302">
        <f t="shared" si="229"/>
        <v>0.47522500851356475</v>
      </c>
      <c r="M225" s="302">
        <f t="shared" si="230"/>
        <v>0.47752357380089777</v>
      </c>
      <c r="N225" s="302">
        <f t="shared" si="231"/>
        <v>0.4822242401484258</v>
      </c>
      <c r="O225" s="302">
        <f t="shared" si="232"/>
        <v>0.48964799468434467</v>
      </c>
      <c r="P225" s="302">
        <f t="shared" si="233"/>
        <v>0.51026640740185647</v>
      </c>
      <c r="Q225" s="302">
        <f t="shared" si="234"/>
        <v>0.54603584036409158</v>
      </c>
      <c r="R225" s="302">
        <f t="shared" si="235"/>
        <v>0.61260199531236759</v>
      </c>
      <c r="S225" s="302">
        <f t="shared" si="236"/>
        <v>0.72908714802733765</v>
      </c>
      <c r="T225" s="302">
        <f t="shared" si="237"/>
        <v>0.91191698979608671</v>
      </c>
      <c r="U225" s="302">
        <f t="shared" si="238"/>
        <v>1.1544309539936923</v>
      </c>
      <c r="V225" s="302">
        <f t="shared" si="239"/>
        <v>1.4129237207253289</v>
      </c>
      <c r="W225" s="302">
        <f t="shared" si="240"/>
        <v>1.6314180264591043</v>
      </c>
      <c r="X225" s="302">
        <f t="shared" si="241"/>
        <v>1.7827057501440149</v>
      </c>
      <c r="Y225" s="302">
        <f t="shared" si="242"/>
        <v>1.8735673089804572</v>
      </c>
      <c r="Z225" s="302">
        <f t="shared" si="243"/>
        <v>1.9235477018395097</v>
      </c>
      <c r="AA225" s="302">
        <f t="shared" si="244"/>
        <v>1.9497183175178285</v>
      </c>
      <c r="AB225" s="302">
        <f t="shared" si="245"/>
        <v>1.9673767887718989</v>
      </c>
      <c r="AC225" s="302">
        <f t="shared" si="246"/>
        <v>1.9807226113959657</v>
      </c>
      <c r="AD225" s="302">
        <f t="shared" si="247"/>
        <v>1.9874400536257557</v>
      </c>
      <c r="AE225" s="302">
        <f t="shared" si="248"/>
        <v>1.9918584684798746</v>
      </c>
      <c r="AF225" s="302">
        <f t="shared" si="249"/>
        <v>1.9952163481251068</v>
      </c>
      <c r="AG225" s="302">
        <f t="shared" si="250"/>
        <v>1.9968894306931015</v>
      </c>
      <c r="AH225" s="302">
        <f t="shared" si="251"/>
        <v>1.9979829228110595</v>
      </c>
      <c r="AI225" s="302">
        <f t="shared" si="252"/>
        <v>1.9988151691697544</v>
      </c>
      <c r="AJ225" s="302">
        <f t="shared" si="253"/>
        <v>1.9992289114671946</v>
      </c>
      <c r="AK225" s="303">
        <f t="shared" si="254"/>
        <v>1.9995873917556046</v>
      </c>
      <c r="AL225" s="223"/>
      <c r="AM225" s="137"/>
      <c r="AN225" s="222"/>
      <c r="AO225" s="221"/>
      <c r="AP225" s="169">
        <v>0.7</v>
      </c>
      <c r="AQ225" s="174">
        <f t="shared" si="260"/>
        <v>1.9529611702270435</v>
      </c>
      <c r="AR225" s="302">
        <f t="shared" si="255"/>
        <v>0.99599417788751832</v>
      </c>
      <c r="AS225" s="302">
        <f t="shared" si="255"/>
        <v>0.99468991382755656</v>
      </c>
      <c r="AT225" s="302">
        <f t="shared" si="255"/>
        <v>0.99361175173552407</v>
      </c>
      <c r="AU225" s="302">
        <f t="shared" si="255"/>
        <v>0.99294198002405354</v>
      </c>
      <c r="AV225" s="302">
        <f t="shared" si="255"/>
        <v>0.99267131899925809</v>
      </c>
      <c r="AW225" s="302">
        <f t="shared" si="255"/>
        <v>0.99263150618237428</v>
      </c>
      <c r="AX225" s="302">
        <f t="shared" si="255"/>
        <v>0.99267130196625086</v>
      </c>
      <c r="AY225" s="302">
        <f t="shared" si="255"/>
        <v>0.99294194145171044</v>
      </c>
      <c r="AZ225" s="302">
        <f t="shared" si="255"/>
        <v>0.99361168209215411</v>
      </c>
      <c r="BA225" s="302">
        <f t="shared" si="255"/>
        <v>0.99468979768816457</v>
      </c>
      <c r="BB225" s="302">
        <f t="shared" si="256"/>
        <v>0.9959939930701156</v>
      </c>
      <c r="BC225" s="302">
        <f t="shared" si="256"/>
        <v>0.99725576159895246</v>
      </c>
      <c r="BD225" s="302">
        <f t="shared" si="256"/>
        <v>0.998275867792769</v>
      </c>
      <c r="BE225" s="302">
        <f t="shared" si="256"/>
        <v>0.99899196089031705</v>
      </c>
      <c r="BF225" s="302">
        <f t="shared" si="256"/>
        <v>0.99944317595680265</v>
      </c>
      <c r="BG225" s="302">
        <f t="shared" si="256"/>
        <v>0.99970537899123824</v>
      </c>
      <c r="BH225" s="302">
        <f t="shared" si="256"/>
        <v>0.99984884323993672</v>
      </c>
      <c r="BI225" s="302">
        <f t="shared" si="256"/>
        <v>0.99992388698901402</v>
      </c>
      <c r="BJ225" s="302">
        <f t="shared" si="256"/>
        <v>0.99996182299850389</v>
      </c>
      <c r="BK225" s="302">
        <f t="shared" si="256"/>
        <v>0.99998049690076274</v>
      </c>
      <c r="BL225" s="302">
        <f t="shared" si="257"/>
        <v>0.99998949610749488</v>
      </c>
      <c r="BM225" s="302">
        <f t="shared" si="257"/>
        <v>0.99999376100413928</v>
      </c>
      <c r="BN225" s="302">
        <f t="shared" si="257"/>
        <v>0.99999575919093286</v>
      </c>
      <c r="BO225" s="302">
        <f t="shared" si="257"/>
        <v>0.99999669214036813</v>
      </c>
      <c r="BP225" s="302">
        <f t="shared" si="257"/>
        <v>0.99999713090950992</v>
      </c>
      <c r="BQ225" s="302">
        <f t="shared" si="257"/>
        <v>0.99999733937628155</v>
      </c>
      <c r="BR225" s="302">
        <f t="shared" si="257"/>
        <v>0.99999743890699522</v>
      </c>
      <c r="BS225" s="302">
        <f t="shared" si="257"/>
        <v>0.99999749955861894</v>
      </c>
      <c r="BT225" s="302">
        <f t="shared" si="257"/>
        <v>0.99999756274582208</v>
      </c>
      <c r="BU225" s="302">
        <f t="shared" si="257"/>
        <v>0.99999765285039943</v>
      </c>
      <c r="BV225" s="302">
        <f t="shared" si="257"/>
        <v>0.9999977835858268</v>
      </c>
      <c r="BW225" s="223"/>
      <c r="BX225" s="137"/>
      <c r="BY225" s="222"/>
      <c r="BZ225" s="221"/>
      <c r="CA225" s="169">
        <v>0.7</v>
      </c>
      <c r="CB225" s="174">
        <f t="shared" si="261"/>
        <v>1.9529611702270435</v>
      </c>
      <c r="CC225" s="301">
        <f t="shared" si="262"/>
        <v>0.47648058511352176</v>
      </c>
      <c r="CD225" s="302">
        <f t="shared" si="264"/>
        <v>0.47661894908546215</v>
      </c>
      <c r="CE225" s="302">
        <f t="shared" si="265"/>
        <v>0.47675918988395716</v>
      </c>
      <c r="CF225" s="302">
        <f t="shared" si="266"/>
        <v>0.47704152060525523</v>
      </c>
      <c r="CG225" s="302">
        <f t="shared" si="267"/>
        <v>0.47760974241527854</v>
      </c>
      <c r="CH225" s="302">
        <f t="shared" si="268"/>
        <v>0.47875269478526161</v>
      </c>
      <c r="CI225" s="302">
        <f t="shared" si="269"/>
        <v>0.48104903693199824</v>
      </c>
      <c r="CJ225" s="302">
        <f t="shared" si="270"/>
        <v>0.48565200040135248</v>
      </c>
      <c r="CK225" s="302">
        <f t="shared" si="271"/>
        <v>0.49279613304599962</v>
      </c>
      <c r="CL225" s="302">
        <f t="shared" si="272"/>
        <v>0.51299049069147595</v>
      </c>
      <c r="CM225" s="302">
        <f t="shared" si="273"/>
        <v>0.54823206180285866</v>
      </c>
      <c r="CN225" s="302">
        <f t="shared" si="274"/>
        <v>0.61428774733790525</v>
      </c>
      <c r="CO225" s="302">
        <f t="shared" si="275"/>
        <v>0.73034636171199929</v>
      </c>
      <c r="CP225" s="302">
        <f t="shared" si="276"/>
        <v>0.91283716535954129</v>
      </c>
      <c r="CQ225" s="302">
        <f t="shared" si="277"/>
        <v>1.155074127039303</v>
      </c>
      <c r="CR225" s="302">
        <f t="shared" si="278"/>
        <v>1.4133401204173297</v>
      </c>
      <c r="CS225" s="302">
        <f t="shared" si="279"/>
        <v>1.6316646636031642</v>
      </c>
      <c r="CT225" s="302">
        <f t="shared" si="280"/>
        <v>1.7828414475747003</v>
      </c>
      <c r="CU225" s="302">
        <f t="shared" si="281"/>
        <v>1.8736388388932128</v>
      </c>
      <c r="CV225" s="302">
        <f t="shared" si="282"/>
        <v>1.923585217712902</v>
      </c>
      <c r="CW225" s="302">
        <f t="shared" si="283"/>
        <v>1.949738797364569</v>
      </c>
      <c r="CX225" s="302">
        <f t="shared" si="284"/>
        <v>1.9673890633041213</v>
      </c>
      <c r="CY225" s="302">
        <f t="shared" si="285"/>
        <v>1.9807310112979979</v>
      </c>
      <c r="CZ225" s="302">
        <f t="shared" si="286"/>
        <v>1.9874466278202263</v>
      </c>
      <c r="DA225" s="302">
        <f t="shared" si="287"/>
        <v>1.9918641833184605</v>
      </c>
      <c r="DB225" s="302">
        <f t="shared" si="288"/>
        <v>1.9952216566591701</v>
      </c>
      <c r="DC225" s="302">
        <f t="shared" si="289"/>
        <v>1.9968945449257518</v>
      </c>
      <c r="DD225" s="302">
        <f t="shared" si="290"/>
        <v>1.9979879186627301</v>
      </c>
      <c r="DE225" s="302">
        <f t="shared" si="291"/>
        <v>1.9988200408022498</v>
      </c>
      <c r="DF225" s="302">
        <f t="shared" si="292"/>
        <v>1.9992336039675496</v>
      </c>
      <c r="DG225" s="303">
        <f t="shared" si="293"/>
        <v>1.9995918236792631</v>
      </c>
      <c r="DH225" s="223"/>
      <c r="DI225"/>
      <c r="DJ225"/>
      <c r="DK225"/>
      <c r="DL225" s="781">
        <v>0.1</v>
      </c>
      <c r="DM225" s="302">
        <f t="shared" si="218"/>
        <v>0.97574313003145141</v>
      </c>
      <c r="DN225" s="302">
        <f t="shared" si="218"/>
        <v>0.9640275800758169</v>
      </c>
      <c r="DO225" s="302">
        <f t="shared" si="218"/>
        <v>0.94680601284626809</v>
      </c>
      <c r="DP225" s="302">
        <f t="shared" si="218"/>
        <v>0.92166855440647133</v>
      </c>
      <c r="DQ225" s="302">
        <f t="shared" si="218"/>
        <v>0.88535164820226253</v>
      </c>
      <c r="DR225" s="302">
        <f t="shared" si="218"/>
        <v>0.83365460701215532</v>
      </c>
      <c r="DS225" s="302">
        <f t="shared" si="218"/>
        <v>0.76159415595576463</v>
      </c>
      <c r="DT225" s="302">
        <f t="shared" si="218"/>
        <v>0.66403677026784891</v>
      </c>
      <c r="DU225" s="302">
        <f t="shared" si="218"/>
        <v>0.53704956699803552</v>
      </c>
      <c r="DV225" s="302">
        <f t="shared" si="218"/>
        <v>0.37994896225522501</v>
      </c>
      <c r="DW225" s="302">
        <f t="shared" si="219"/>
        <v>0.19737532022490401</v>
      </c>
      <c r="DX225" s="302">
        <f t="shared" si="219"/>
        <v>0.37994896225522501</v>
      </c>
      <c r="DY225" s="302">
        <f t="shared" si="219"/>
        <v>0.53704956699803552</v>
      </c>
      <c r="DZ225" s="302">
        <f t="shared" si="219"/>
        <v>0.66403677026784891</v>
      </c>
      <c r="EA225" s="302">
        <f t="shared" si="219"/>
        <v>0.76159415595576463</v>
      </c>
      <c r="EB225" s="302">
        <f t="shared" si="219"/>
        <v>0.83365460701215532</v>
      </c>
      <c r="EC225" s="302">
        <f t="shared" si="219"/>
        <v>0.88535164820226253</v>
      </c>
      <c r="ED225" s="302">
        <f t="shared" si="219"/>
        <v>0.92166855440647133</v>
      </c>
      <c r="EE225" s="302">
        <f t="shared" si="219"/>
        <v>0.94680601284626809</v>
      </c>
      <c r="EF225" s="302">
        <f t="shared" si="219"/>
        <v>0.9640275800758169</v>
      </c>
      <c r="EG225" s="302">
        <f t="shared" si="219"/>
        <v>0.97574313003145141</v>
      </c>
      <c r="EH225"/>
      <c r="EI225"/>
      <c r="EJ225"/>
      <c r="EK225" s="781">
        <v>0.1</v>
      </c>
      <c r="EL225" s="302">
        <f t="shared" si="220"/>
        <v>0.96472559535808333</v>
      </c>
      <c r="EM225" s="302">
        <f t="shared" si="220"/>
        <v>0.94794117998658045</v>
      </c>
      <c r="EN225" s="302">
        <f t="shared" si="220"/>
        <v>0.92352148935148781</v>
      </c>
      <c r="EO225" s="302">
        <f t="shared" si="220"/>
        <v>0.88838556158566062</v>
      </c>
      <c r="EP225" s="302">
        <f t="shared" si="220"/>
        <v>0.8386342826622768</v>
      </c>
      <c r="EQ225" s="302">
        <f t="shared" si="220"/>
        <v>0.76978665234542532</v>
      </c>
      <c r="ER225" s="302">
        <f t="shared" si="220"/>
        <v>0.67757722415900501</v>
      </c>
      <c r="ES225" s="302">
        <f t="shared" si="220"/>
        <v>0.5597407230393463</v>
      </c>
      <c r="ET225" s="302">
        <f t="shared" si="220"/>
        <v>0.4196058875137787</v>
      </c>
      <c r="EU225" s="302">
        <f t="shared" si="220"/>
        <v>0.2755340292251891</v>
      </c>
      <c r="EV225" s="302">
        <f t="shared" si="221"/>
        <v>0.19737532022490401</v>
      </c>
      <c r="EW225" s="302">
        <f t="shared" si="221"/>
        <v>0.2755340292251891</v>
      </c>
      <c r="EX225" s="302">
        <f t="shared" si="221"/>
        <v>0.4196058875137787</v>
      </c>
      <c r="EY225" s="302">
        <f t="shared" si="221"/>
        <v>0.5597407230393463</v>
      </c>
      <c r="EZ225" s="302">
        <f t="shared" si="221"/>
        <v>0.67757722415900501</v>
      </c>
      <c r="FA225" s="302">
        <f t="shared" si="221"/>
        <v>0.76978665234542532</v>
      </c>
      <c r="FB225" s="302">
        <f t="shared" si="221"/>
        <v>0.8386342826622768</v>
      </c>
      <c r="FC225" s="302">
        <f t="shared" si="221"/>
        <v>0.88838556158566062</v>
      </c>
      <c r="FD225" s="302">
        <f t="shared" si="221"/>
        <v>0.92352148935148781</v>
      </c>
      <c r="FE225" s="302">
        <f t="shared" si="221"/>
        <v>0.94794117998658045</v>
      </c>
      <c r="FF225" s="302">
        <f t="shared" si="221"/>
        <v>0.96472559535808333</v>
      </c>
      <c r="FG225"/>
      <c r="FH225"/>
      <c r="FI225" s="779"/>
      <c r="FJ225" s="420">
        <v>0.1</v>
      </c>
      <c r="FK225" s="302">
        <f t="shared" si="222"/>
        <v>0.9640275800758169</v>
      </c>
      <c r="FL225" s="302">
        <f t="shared" si="222"/>
        <v>0.94680601284626809</v>
      </c>
      <c r="FM225" s="302">
        <f t="shared" si="222"/>
        <v>0.92166855440647133</v>
      </c>
      <c r="FN225" s="302">
        <f t="shared" si="222"/>
        <v>0.88535164820226253</v>
      </c>
      <c r="FO225" s="302">
        <f t="shared" si="222"/>
        <v>0.83365460701215532</v>
      </c>
      <c r="FP225" s="302">
        <f t="shared" si="222"/>
        <v>0.76159415595576463</v>
      </c>
      <c r="FQ225" s="302">
        <f t="shared" si="222"/>
        <v>0.66403677026784891</v>
      </c>
      <c r="FR225" s="302">
        <f t="shared" si="222"/>
        <v>0.53704956699803508</v>
      </c>
      <c r="FS225" s="302">
        <f t="shared" si="222"/>
        <v>0.37994896225522501</v>
      </c>
      <c r="FT225" s="302">
        <f t="shared" si="222"/>
        <v>0.19737532022490401</v>
      </c>
      <c r="FU225" s="302">
        <f t="shared" si="223"/>
        <v>0.19737532022490401</v>
      </c>
      <c r="FV225" s="302">
        <f t="shared" si="223"/>
        <v>0.19737532022490401</v>
      </c>
      <c r="FW225" s="302">
        <f t="shared" si="223"/>
        <v>0.37994896225522501</v>
      </c>
      <c r="FX225" s="302">
        <f t="shared" si="223"/>
        <v>0.53704956699803508</v>
      </c>
      <c r="FY225" s="302">
        <f t="shared" si="223"/>
        <v>0.66403677026784891</v>
      </c>
      <c r="FZ225" s="302">
        <f t="shared" si="223"/>
        <v>0.76159415595576463</v>
      </c>
      <c r="GA225" s="302">
        <f t="shared" si="223"/>
        <v>0.83365460701215532</v>
      </c>
      <c r="GB225" s="302">
        <f t="shared" si="223"/>
        <v>0.88535164820226253</v>
      </c>
      <c r="GC225" s="302">
        <f t="shared" si="223"/>
        <v>0.92166855440647133</v>
      </c>
      <c r="GD225" s="302">
        <f t="shared" si="223"/>
        <v>0.94680601284626809</v>
      </c>
      <c r="GE225" s="302">
        <f t="shared" si="223"/>
        <v>0.9640275800758169</v>
      </c>
      <c r="GF225"/>
      <c r="GG225"/>
      <c r="GH225"/>
    </row>
    <row r="226" spans="2:190" ht="42" customHeight="1">
      <c r="B226"/>
      <c r="C226" s="222"/>
      <c r="D226" s="221"/>
      <c r="E226" s="169">
        <v>0.6</v>
      </c>
      <c r="F226" s="174">
        <f t="shared" si="259"/>
        <v>1.9067575411046935</v>
      </c>
      <c r="G226" s="301">
        <f t="shared" si="224"/>
        <v>0.45000156252541079</v>
      </c>
      <c r="H226" s="302">
        <f t="shared" si="225"/>
        <v>0.44870493269832556</v>
      </c>
      <c r="I226" s="302">
        <f t="shared" si="226"/>
        <v>0.44753762853354356</v>
      </c>
      <c r="J226" s="302">
        <f t="shared" si="227"/>
        <v>0.44694720865031629</v>
      </c>
      <c r="K226" s="302">
        <f t="shared" si="228"/>
        <v>0.44714224835090777</v>
      </c>
      <c r="L226" s="302">
        <f t="shared" si="229"/>
        <v>0.4482123052767284</v>
      </c>
      <c r="M226" s="302">
        <f t="shared" si="230"/>
        <v>0.45052579406502513</v>
      </c>
      <c r="N226" s="302">
        <f t="shared" si="231"/>
        <v>0.45542502411832964</v>
      </c>
      <c r="O226" s="302">
        <f t="shared" si="232"/>
        <v>0.46537031104315879</v>
      </c>
      <c r="P226" s="302">
        <f t="shared" si="233"/>
        <v>0.48049872589536063</v>
      </c>
      <c r="Q226" s="302">
        <f t="shared" si="234"/>
        <v>0.52121839627479472</v>
      </c>
      <c r="R226" s="302">
        <f t="shared" si="235"/>
        <v>0.58839771323923373</v>
      </c>
      <c r="S226" s="302">
        <f t="shared" si="236"/>
        <v>0.70530335652152387</v>
      </c>
      <c r="T226" s="302">
        <f t="shared" si="237"/>
        <v>0.88840244100515398</v>
      </c>
      <c r="U226" s="302">
        <f t="shared" si="238"/>
        <v>1.1310889982964052</v>
      </c>
      <c r="V226" s="302">
        <f t="shared" si="239"/>
        <v>1.3896913318722171</v>
      </c>
      <c r="W226" s="302">
        <f t="shared" si="240"/>
        <v>1.6082500804548865</v>
      </c>
      <c r="X226" s="302">
        <f t="shared" si="241"/>
        <v>1.759571525213848</v>
      </c>
      <c r="Y226" s="302">
        <f t="shared" si="242"/>
        <v>1.850448854195379</v>
      </c>
      <c r="Z226" s="302">
        <f t="shared" si="243"/>
        <v>1.9004359641765001</v>
      </c>
      <c r="AA226" s="302">
        <f t="shared" si="244"/>
        <v>1.9353044122430212</v>
      </c>
      <c r="AB226" s="302">
        <f t="shared" si="245"/>
        <v>1.961467076558052</v>
      </c>
      <c r="AC226" s="302">
        <f t="shared" si="246"/>
        <v>1.9748132135435468</v>
      </c>
      <c r="AD226" s="302">
        <f t="shared" si="247"/>
        <v>1.9836671576326115</v>
      </c>
      <c r="AE226" s="302">
        <f t="shared" si="248"/>
        <v>1.9903836614972461</v>
      </c>
      <c r="AF226" s="302">
        <f t="shared" si="249"/>
        <v>1.9937415671661332</v>
      </c>
      <c r="AG226" s="302">
        <f t="shared" si="250"/>
        <v>1.9959408722426997</v>
      </c>
      <c r="AH226" s="302">
        <f t="shared" si="251"/>
        <v>1.9976139279347542</v>
      </c>
      <c r="AI226" s="302">
        <f t="shared" si="252"/>
        <v>1.9984463034012965</v>
      </c>
      <c r="AJ226" s="302">
        <f t="shared" si="253"/>
        <v>1.9989900066254072</v>
      </c>
      <c r="AK226" s="303">
        <f t="shared" si="254"/>
        <v>1.9994042034916986</v>
      </c>
      <c r="AL226" s="223"/>
      <c r="AM226" s="137"/>
      <c r="AN226" s="222"/>
      <c r="AO226" s="221"/>
      <c r="AP226" s="169">
        <v>0.6</v>
      </c>
      <c r="AQ226" s="174">
        <f t="shared" si="260"/>
        <v>1.9067575411046935</v>
      </c>
      <c r="AR226" s="302">
        <f t="shared" si="255"/>
        <v>0.9925510230158735</v>
      </c>
      <c r="AS226" s="302">
        <f t="shared" si="255"/>
        <v>0.9893891510162911</v>
      </c>
      <c r="AT226" s="302">
        <f t="shared" si="255"/>
        <v>0.98651020104129394</v>
      </c>
      <c r="AU226" s="302">
        <f t="shared" si="255"/>
        <v>0.98459597761407336</v>
      </c>
      <c r="AV226" s="302">
        <f t="shared" si="255"/>
        <v>0.98379416716013779</v>
      </c>
      <c r="AW226" s="302">
        <f t="shared" si="255"/>
        <v>0.98367483687576773</v>
      </c>
      <c r="AX226" s="302">
        <f t="shared" si="255"/>
        <v>0.98379414058376224</v>
      </c>
      <c r="AY226" s="302">
        <f t="shared" si="255"/>
        <v>0.98459591642168365</v>
      </c>
      <c r="AZ226" s="302">
        <f t="shared" si="255"/>
        <v>0.98651008779861438</v>
      </c>
      <c r="BA226" s="302">
        <f t="shared" si="255"/>
        <v>0.98938895649202907</v>
      </c>
      <c r="BB226" s="302">
        <f t="shared" si="256"/>
        <v>0.99255070339704021</v>
      </c>
      <c r="BC226" s="302">
        <f t="shared" si="256"/>
        <v>0.99528368423044067</v>
      </c>
      <c r="BD226" s="302">
        <f t="shared" si="256"/>
        <v>0.99725527664070279</v>
      </c>
      <c r="BE226" s="302">
        <f t="shared" si="256"/>
        <v>0.99850190307486797</v>
      </c>
      <c r="BF226" s="302">
        <f t="shared" si="256"/>
        <v>0.99921966803252538</v>
      </c>
      <c r="BG226" s="302">
        <f t="shared" si="256"/>
        <v>0.99960656098912415</v>
      </c>
      <c r="BH226" s="302">
        <f t="shared" si="256"/>
        <v>0.99980556023204881</v>
      </c>
      <c r="BI226" s="302">
        <f t="shared" si="256"/>
        <v>0.99990447007243366</v>
      </c>
      <c r="BJ226" s="302">
        <f t="shared" si="256"/>
        <v>0.99995235429742846</v>
      </c>
      <c r="BK226" s="302">
        <f t="shared" si="256"/>
        <v>0.99997503846908198</v>
      </c>
      <c r="BL226" s="302">
        <f t="shared" si="257"/>
        <v>0.99998558305274865</v>
      </c>
      <c r="BM226" s="302">
        <f t="shared" si="257"/>
        <v>0.99999040680303586</v>
      </c>
      <c r="BN226" s="302">
        <f t="shared" si="257"/>
        <v>0.99999259280804476</v>
      </c>
      <c r="BO226" s="302">
        <f t="shared" si="257"/>
        <v>0.99999358904353031</v>
      </c>
      <c r="BP226" s="302">
        <f t="shared" si="257"/>
        <v>0.99999405648627493</v>
      </c>
      <c r="BQ226" s="302">
        <f t="shared" si="257"/>
        <v>0.99999428333652884</v>
      </c>
      <c r="BR226" s="302">
        <f t="shared" si="257"/>
        <v>0.99999439538170654</v>
      </c>
      <c r="BS226" s="302">
        <f t="shared" si="257"/>
        <v>0.99999448388749601</v>
      </c>
      <c r="BT226" s="302">
        <f t="shared" si="257"/>
        <v>0.99999461294561076</v>
      </c>
      <c r="BU226" s="302">
        <f t="shared" si="257"/>
        <v>0.99999482448529309</v>
      </c>
      <c r="BV226" s="302">
        <f t="shared" si="257"/>
        <v>0.99999514249918153</v>
      </c>
      <c r="BW226" s="223"/>
      <c r="BX226" s="137"/>
      <c r="BY226" s="222"/>
      <c r="BZ226" s="221"/>
      <c r="CA226" s="169">
        <v>0.6</v>
      </c>
      <c r="CB226" s="174">
        <f t="shared" si="261"/>
        <v>1.9067575411046935</v>
      </c>
      <c r="CC226" s="301">
        <f t="shared" si="262"/>
        <v>0.45337877055234677</v>
      </c>
      <c r="CD226" s="302">
        <f t="shared" si="264"/>
        <v>0.45351713452428716</v>
      </c>
      <c r="CE226" s="302">
        <f t="shared" si="265"/>
        <v>0.45365737532278216</v>
      </c>
      <c r="CF226" s="302">
        <f t="shared" si="266"/>
        <v>0.45393970604408024</v>
      </c>
      <c r="CG226" s="302">
        <f t="shared" si="267"/>
        <v>0.45450792785410354</v>
      </c>
      <c r="CH226" s="302">
        <f t="shared" si="268"/>
        <v>0.45565088022408662</v>
      </c>
      <c r="CI226" s="302">
        <f t="shared" si="269"/>
        <v>0.45794722237082325</v>
      </c>
      <c r="CJ226" s="302">
        <f t="shared" si="270"/>
        <v>0.46255018584017749</v>
      </c>
      <c r="CK226" s="302">
        <f t="shared" si="271"/>
        <v>0.47173396075617141</v>
      </c>
      <c r="CL226" s="302">
        <f t="shared" si="272"/>
        <v>0.48565200040135248</v>
      </c>
      <c r="CM226" s="302">
        <f t="shared" si="273"/>
        <v>0.52513024724168367</v>
      </c>
      <c r="CN226" s="302">
        <f t="shared" si="274"/>
        <v>0.59118593277673026</v>
      </c>
      <c r="CO226" s="302">
        <f t="shared" si="275"/>
        <v>0.7072445471508243</v>
      </c>
      <c r="CP226" s="302">
        <f t="shared" si="276"/>
        <v>0.8897353507983663</v>
      </c>
      <c r="CQ226" s="302">
        <f t="shared" si="277"/>
        <v>1.131972312478128</v>
      </c>
      <c r="CR226" s="302">
        <f t="shared" si="278"/>
        <v>1.3902383058561547</v>
      </c>
      <c r="CS226" s="302">
        <f t="shared" si="279"/>
        <v>1.6085628490419892</v>
      </c>
      <c r="CT226" s="302">
        <f t="shared" si="280"/>
        <v>1.7597396330135253</v>
      </c>
      <c r="CU226" s="302">
        <f t="shared" si="281"/>
        <v>1.8505370243320378</v>
      </c>
      <c r="CV226" s="302">
        <f t="shared" si="282"/>
        <v>1.900483403151727</v>
      </c>
      <c r="CW226" s="302">
        <f t="shared" si="283"/>
        <v>1.9353323138269034</v>
      </c>
      <c r="CX226" s="302">
        <f t="shared" si="284"/>
        <v>1.9614858934785704</v>
      </c>
      <c r="CY226" s="302">
        <f t="shared" si="285"/>
        <v>1.9748278414724472</v>
      </c>
      <c r="CZ226" s="302">
        <f t="shared" si="286"/>
        <v>1.9836798749179394</v>
      </c>
      <c r="DA226" s="302">
        <f t="shared" si="287"/>
        <v>1.9903954914401678</v>
      </c>
      <c r="DB226" s="302">
        <f t="shared" si="288"/>
        <v>1.9937529647808774</v>
      </c>
      <c r="DC226" s="302">
        <f t="shared" si="289"/>
        <v>1.9959520587921213</v>
      </c>
      <c r="DD226" s="302">
        <f t="shared" si="290"/>
        <v>1.9976249470587031</v>
      </c>
      <c r="DE226" s="302">
        <f t="shared" si="291"/>
        <v>1.9984570691982229</v>
      </c>
      <c r="DF226" s="302">
        <f t="shared" si="292"/>
        <v>1.9990003524811306</v>
      </c>
      <c r="DG226" s="303">
        <f t="shared" si="293"/>
        <v>1.9994139156464303</v>
      </c>
      <c r="DH226" s="223"/>
      <c r="DI226"/>
      <c r="DJ226"/>
      <c r="DK226"/>
      <c r="DL226" s="781">
        <v>0</v>
      </c>
      <c r="DM226" s="302">
        <f t="shared" ref="DM226:DV236" si="294">2*(1/(1+EXP(-4*(ABS(DM$215-$DK$213)+ABS($DL226-$DJ$214))))-0.5)</f>
        <v>0.9640275800758169</v>
      </c>
      <c r="DN226" s="302">
        <f t="shared" si="294"/>
        <v>0.94680601284626809</v>
      </c>
      <c r="DO226" s="302">
        <f t="shared" si="294"/>
        <v>0.92166855440647133</v>
      </c>
      <c r="DP226" s="302">
        <f t="shared" si="294"/>
        <v>0.88535164820226253</v>
      </c>
      <c r="DQ226" s="302">
        <f t="shared" si="294"/>
        <v>0.83365460701215532</v>
      </c>
      <c r="DR226" s="302">
        <f t="shared" si="294"/>
        <v>0.76159415595576463</v>
      </c>
      <c r="DS226" s="302">
        <f t="shared" si="294"/>
        <v>0.66403677026784891</v>
      </c>
      <c r="DT226" s="302">
        <f t="shared" si="294"/>
        <v>0.53704956699803508</v>
      </c>
      <c r="DU226" s="302">
        <f t="shared" si="294"/>
        <v>0.37994896225522501</v>
      </c>
      <c r="DV226" s="302">
        <f t="shared" si="294"/>
        <v>0.19737532022490401</v>
      </c>
      <c r="DW226" s="302">
        <f t="shared" ref="DW226:EG236" si="295">2*(1/(1+EXP(-4*(ABS(DW$215-$DK$213)+ABS($DL226-$DJ$214))))-0.5)</f>
        <v>0</v>
      </c>
      <c r="DX226" s="302">
        <f t="shared" si="295"/>
        <v>0.19737532022490401</v>
      </c>
      <c r="DY226" s="302">
        <f t="shared" si="295"/>
        <v>0.37994896225522501</v>
      </c>
      <c r="DZ226" s="302">
        <f t="shared" si="295"/>
        <v>0.53704956699803508</v>
      </c>
      <c r="EA226" s="302">
        <f t="shared" si="295"/>
        <v>0.66403677026784891</v>
      </c>
      <c r="EB226" s="302">
        <f t="shared" si="295"/>
        <v>0.76159415595576463</v>
      </c>
      <c r="EC226" s="302">
        <f t="shared" si="295"/>
        <v>0.83365460701215532</v>
      </c>
      <c r="ED226" s="302">
        <f t="shared" si="295"/>
        <v>0.88535164820226253</v>
      </c>
      <c r="EE226" s="302">
        <f t="shared" si="295"/>
        <v>0.92166855440647133</v>
      </c>
      <c r="EF226" s="302">
        <f t="shared" si="295"/>
        <v>0.94680601284626809</v>
      </c>
      <c r="EG226" s="302">
        <f t="shared" si="295"/>
        <v>0.9640275800758169</v>
      </c>
      <c r="EH226"/>
      <c r="EI226"/>
      <c r="EJ226"/>
      <c r="EK226" s="781">
        <v>0</v>
      </c>
      <c r="EL226" s="302">
        <f t="shared" ref="EL226:EU236" si="296">2*(1/(1+EXP(-4*(SQRT(POWER((EL$215-$DK$213),2)+POWER(($DL226-$DJ$214),2)))))-0.5)</f>
        <v>0.9640275800758169</v>
      </c>
      <c r="EM226" s="302">
        <f t="shared" si="296"/>
        <v>0.94680601284626809</v>
      </c>
      <c r="EN226" s="302">
        <f t="shared" si="296"/>
        <v>0.92166855440647133</v>
      </c>
      <c r="EO226" s="302">
        <f t="shared" si="296"/>
        <v>0.88535164820226253</v>
      </c>
      <c r="EP226" s="302">
        <f t="shared" si="296"/>
        <v>0.83365460701215532</v>
      </c>
      <c r="EQ226" s="302">
        <f t="shared" si="296"/>
        <v>0.76159415595576463</v>
      </c>
      <c r="ER226" s="302">
        <f t="shared" si="296"/>
        <v>0.66403677026784891</v>
      </c>
      <c r="ES226" s="302">
        <f t="shared" si="296"/>
        <v>0.53704956699803508</v>
      </c>
      <c r="ET226" s="302">
        <f t="shared" si="296"/>
        <v>0.37994896225522501</v>
      </c>
      <c r="EU226" s="302">
        <f t="shared" si="296"/>
        <v>0.19737532022490401</v>
      </c>
      <c r="EV226" s="302">
        <f t="shared" ref="EV226:FF236" si="297">2*(1/(1+EXP(-4*(SQRT(POWER((EV$215-$DK$213),2)+POWER(($DL226-$DJ$214),2)))))-0.5)</f>
        <v>0</v>
      </c>
      <c r="EW226" s="302">
        <f t="shared" si="297"/>
        <v>0.19737532022490401</v>
      </c>
      <c r="EX226" s="302">
        <f t="shared" si="297"/>
        <v>0.37994896225522501</v>
      </c>
      <c r="EY226" s="302">
        <f t="shared" si="297"/>
        <v>0.53704956699803508</v>
      </c>
      <c r="EZ226" s="302">
        <f t="shared" si="297"/>
        <v>0.66403677026784891</v>
      </c>
      <c r="FA226" s="302">
        <f t="shared" si="297"/>
        <v>0.76159415595576463</v>
      </c>
      <c r="FB226" s="302">
        <f t="shared" si="297"/>
        <v>0.83365460701215532</v>
      </c>
      <c r="FC226" s="302">
        <f t="shared" si="297"/>
        <v>0.88535164820226253</v>
      </c>
      <c r="FD226" s="302">
        <f t="shared" si="297"/>
        <v>0.92166855440647133</v>
      </c>
      <c r="FE226" s="302">
        <f t="shared" si="297"/>
        <v>0.94680601284626809</v>
      </c>
      <c r="FF226" s="302">
        <f t="shared" si="297"/>
        <v>0.9640275800758169</v>
      </c>
      <c r="FG226"/>
      <c r="FH226"/>
      <c r="FI226" s="779"/>
      <c r="FJ226" s="420">
        <v>0</v>
      </c>
      <c r="FK226" s="302">
        <f t="shared" ref="FK226:FT236" si="298">2*(1/(1+EXP(-4*(MAX(ABS(FK$215-$DK$213),ABS($DL226-$DJ$214)))))-0.5)</f>
        <v>0.9640275800758169</v>
      </c>
      <c r="FL226" s="302">
        <f t="shared" si="298"/>
        <v>0.94680601284626809</v>
      </c>
      <c r="FM226" s="302">
        <f t="shared" si="298"/>
        <v>0.92166855440647133</v>
      </c>
      <c r="FN226" s="302">
        <f t="shared" si="298"/>
        <v>0.88535164820226253</v>
      </c>
      <c r="FO226" s="302">
        <f t="shared" si="298"/>
        <v>0.83365460701215532</v>
      </c>
      <c r="FP226" s="302">
        <f t="shared" si="298"/>
        <v>0.76159415595576463</v>
      </c>
      <c r="FQ226" s="302">
        <f t="shared" si="298"/>
        <v>0.66403677026784891</v>
      </c>
      <c r="FR226" s="302">
        <f t="shared" si="298"/>
        <v>0.53704956699803508</v>
      </c>
      <c r="FS226" s="302">
        <f t="shared" si="298"/>
        <v>0.37994896225522501</v>
      </c>
      <c r="FT226" s="302">
        <f t="shared" si="298"/>
        <v>0.19737532022490401</v>
      </c>
      <c r="FU226" s="302">
        <f t="shared" ref="FU226:GE236" si="299">2*(1/(1+EXP(-4*(MAX(ABS(FU$215-$DK$213),ABS($DL226-$DJ$214)))))-0.5)</f>
        <v>0</v>
      </c>
      <c r="FV226" s="302">
        <f t="shared" si="299"/>
        <v>0.19737532022490401</v>
      </c>
      <c r="FW226" s="302">
        <f t="shared" si="299"/>
        <v>0.37994896225522501</v>
      </c>
      <c r="FX226" s="302">
        <f t="shared" si="299"/>
        <v>0.53704956699803508</v>
      </c>
      <c r="FY226" s="302">
        <f t="shared" si="299"/>
        <v>0.66403677026784891</v>
      </c>
      <c r="FZ226" s="302">
        <f t="shared" si="299"/>
        <v>0.76159415595576463</v>
      </c>
      <c r="GA226" s="302">
        <f t="shared" si="299"/>
        <v>0.83365460701215532</v>
      </c>
      <c r="GB226" s="302">
        <f t="shared" si="299"/>
        <v>0.88535164820226253</v>
      </c>
      <c r="GC226" s="302">
        <f t="shared" si="299"/>
        <v>0.92166855440647133</v>
      </c>
      <c r="GD226" s="302">
        <f t="shared" si="299"/>
        <v>0.94680601284626809</v>
      </c>
      <c r="GE226" s="302">
        <f t="shared" si="299"/>
        <v>0.9640275800758169</v>
      </c>
      <c r="GF226"/>
      <c r="GG226"/>
      <c r="GH226"/>
    </row>
    <row r="227" spans="2:190" ht="42" customHeight="1">
      <c r="B227"/>
      <c r="C227" s="222"/>
      <c r="D227" s="221"/>
      <c r="E227" s="169">
        <v>0.5</v>
      </c>
      <c r="F227" s="174">
        <f t="shared" si="259"/>
        <v>1.8179682505576986</v>
      </c>
      <c r="G227" s="301">
        <f t="shared" si="224"/>
        <v>0.40372121325750043</v>
      </c>
      <c r="H227" s="302">
        <f t="shared" si="225"/>
        <v>0.40090688113215711</v>
      </c>
      <c r="I227" s="302">
        <f t="shared" si="226"/>
        <v>0.39796988450591753</v>
      </c>
      <c r="J227" s="302">
        <f t="shared" si="227"/>
        <v>0.39597436707849698</v>
      </c>
      <c r="K227" s="302">
        <f t="shared" si="228"/>
        <v>0.39551384347363178</v>
      </c>
      <c r="L227" s="302">
        <f t="shared" si="229"/>
        <v>0.39646234079443216</v>
      </c>
      <c r="M227" s="302">
        <f t="shared" si="230"/>
        <v>0.39883068769726437</v>
      </c>
      <c r="N227" s="302">
        <f t="shared" si="231"/>
        <v>0.40429949097347506</v>
      </c>
      <c r="O227" s="302">
        <f t="shared" si="232"/>
        <v>0.41554760452149098</v>
      </c>
      <c r="P227" s="302">
        <f t="shared" si="233"/>
        <v>0.43654790409025823</v>
      </c>
      <c r="Q227" s="302">
        <f t="shared" si="234"/>
        <v>0.46566331543000422</v>
      </c>
      <c r="R227" s="302">
        <f t="shared" si="235"/>
        <v>0.54414781344592222</v>
      </c>
      <c r="S227" s="302">
        <f t="shared" si="236"/>
        <v>0.66019372892528705</v>
      </c>
      <c r="T227" s="302">
        <f t="shared" si="237"/>
        <v>0.84360835790048672</v>
      </c>
      <c r="U227" s="302">
        <f t="shared" si="238"/>
        <v>1.0864754670835499</v>
      </c>
      <c r="V227" s="302">
        <f t="shared" si="239"/>
        <v>1.3451827663746865</v>
      </c>
      <c r="W227" s="302">
        <f t="shared" si="240"/>
        <v>1.5637987357655461</v>
      </c>
      <c r="X227" s="302">
        <f t="shared" si="241"/>
        <v>1.7151478453670768</v>
      </c>
      <c r="Y227" s="302">
        <f t="shared" si="242"/>
        <v>1.8060368267288307</v>
      </c>
      <c r="Z227" s="302">
        <f t="shared" si="243"/>
        <v>1.8735775854024719</v>
      </c>
      <c r="AA227" s="302">
        <f t="shared" si="244"/>
        <v>1.9235443790537137</v>
      </c>
      <c r="AB227" s="302">
        <f t="shared" si="245"/>
        <v>1.9497071144521143</v>
      </c>
      <c r="AC227" s="302">
        <f t="shared" si="246"/>
        <v>1.9673612932464697</v>
      </c>
      <c r="AD227" s="302">
        <f t="shared" si="247"/>
        <v>1.9807049072603398</v>
      </c>
      <c r="AE227" s="302">
        <f t="shared" si="248"/>
        <v>1.9874213261016922</v>
      </c>
      <c r="AF227" s="302">
        <f t="shared" si="249"/>
        <v>1.9918392939586864</v>
      </c>
      <c r="AG227" s="302">
        <f t="shared" si="250"/>
        <v>1.9951969805673331</v>
      </c>
      <c r="AH227" s="302">
        <f t="shared" si="251"/>
        <v>1.9968701530438171</v>
      </c>
      <c r="AI227" s="302">
        <f t="shared" si="252"/>
        <v>1.9979640995789305</v>
      </c>
      <c r="AJ227" s="302">
        <f t="shared" si="253"/>
        <v>1.9987972446605882</v>
      </c>
      <c r="AK227" s="303">
        <f t="shared" si="254"/>
        <v>1.9992123736846614</v>
      </c>
      <c r="AL227" s="223"/>
      <c r="AM227" s="137"/>
      <c r="AN227" s="222"/>
      <c r="AO227" s="221"/>
      <c r="AP227" s="169">
        <v>0.5</v>
      </c>
      <c r="AQ227" s="174">
        <f t="shared" si="260"/>
        <v>1.8179682505576986</v>
      </c>
      <c r="AR227" s="302">
        <f t="shared" ref="AR227:BA236" si="300">2*(1/(1+EXP(-4/0.5*(POWER(POWER((ABS(AR$215-(-1))),3)+POWER(ABS($AP227-(0)),3),1/3))))-0.5)*2*(1/(1+EXP(-4/0.5*(POWER(POWER((ABS(AR$215-(1))),3)+POWER(ABS($AP227-(-1)),3),1/3))))-0.5)</f>
        <v>0.98713174498457468</v>
      </c>
      <c r="AS227" s="302">
        <f t="shared" si="300"/>
        <v>0.97991895255213779</v>
      </c>
      <c r="AT227" s="302">
        <f t="shared" si="300"/>
        <v>0.97240685575740737</v>
      </c>
      <c r="AU227" s="302">
        <f t="shared" si="300"/>
        <v>0.96686397910268596</v>
      </c>
      <c r="AV227" s="302">
        <f t="shared" si="300"/>
        <v>0.96440144777777381</v>
      </c>
      <c r="AW227" s="302">
        <f t="shared" si="300"/>
        <v>0.9640275504687863</v>
      </c>
      <c r="AX227" s="302">
        <f t="shared" si="300"/>
        <v>0.96440140815131048</v>
      </c>
      <c r="AY227" s="302">
        <f t="shared" si="300"/>
        <v>0.96686388616439856</v>
      </c>
      <c r="AZ227" s="302">
        <f t="shared" si="300"/>
        <v>0.97240667887562748</v>
      </c>
      <c r="BA227" s="302">
        <f t="shared" si="300"/>
        <v>0.97991863830512049</v>
      </c>
      <c r="BB227" s="302">
        <f t="shared" ref="BB227:BK236" si="301">2*(1/(1+EXP(-4/0.5*(POWER(POWER((ABS(BB$215-(-1))),3)+POWER(ABS($AP227-(0)),3),1/3))))-0.5)*2*(1/(1+EXP(-4/0.5*(POWER(POWER((ABS(BB$215-(1))),3)+POWER(ABS($AP227-(-1)),3),1/3))))-0.5)</f>
        <v>0.98713120989543301</v>
      </c>
      <c r="BC227" s="302">
        <f t="shared" si="301"/>
        <v>0.99255014684200449</v>
      </c>
      <c r="BD227" s="302">
        <f t="shared" si="301"/>
        <v>0.99599279875501689</v>
      </c>
      <c r="BE227" s="302">
        <f t="shared" si="301"/>
        <v>0.99795071074531239</v>
      </c>
      <c r="BF227" s="302">
        <f t="shared" si="301"/>
        <v>0.99898655502561595</v>
      </c>
      <c r="BG227" s="302">
        <f t="shared" si="301"/>
        <v>0.99950893686441644</v>
      </c>
      <c r="BH227" s="302">
        <f t="shared" si="301"/>
        <v>0.99976379266497317</v>
      </c>
      <c r="BI227" s="302">
        <f t="shared" si="301"/>
        <v>0.99988507129798365</v>
      </c>
      <c r="BJ227" s="302">
        <f t="shared" si="301"/>
        <v>0.99994155924198802</v>
      </c>
      <c r="BK227" s="302">
        <f t="shared" si="301"/>
        <v>0.99996730773857301</v>
      </c>
      <c r="BL227" s="302">
        <f t="shared" ref="BL227:BV236" si="302">2*(1/(1+EXP(-4/0.5*(POWER(POWER((ABS(BL$215-(-1))),3)+POWER(ABS($AP227-(0)),3),1/3))))-0.5)*2*(1/(1+EXP(-4/0.5*(POWER(POWER((ABS(BL$215-(1))),3)+POWER(ABS($AP227-(-1)),3),1/3))))-0.5)</f>
        <v>0.99997876950872133</v>
      </c>
      <c r="BM227" s="302">
        <f t="shared" si="302"/>
        <v>0.99998375017592223</v>
      </c>
      <c r="BN227" s="302">
        <f t="shared" si="302"/>
        <v>0.99998588481649631</v>
      </c>
      <c r="BO227" s="302">
        <f t="shared" si="302"/>
        <v>0.99998682100824932</v>
      </c>
      <c r="BP227" s="302">
        <f t="shared" si="302"/>
        <v>0.99998726923370929</v>
      </c>
      <c r="BQ227" s="302">
        <f t="shared" si="302"/>
        <v>0.99998750448952167</v>
      </c>
      <c r="BR227" s="302">
        <f t="shared" si="302"/>
        <v>0.99998763240577571</v>
      </c>
      <c r="BS227" s="302">
        <f t="shared" si="302"/>
        <v>0.99998778509260955</v>
      </c>
      <c r="BT227" s="302">
        <f t="shared" si="302"/>
        <v>0.99998807846455073</v>
      </c>
      <c r="BU227" s="302">
        <f t="shared" si="302"/>
        <v>0.99998859520057015</v>
      </c>
      <c r="BV227" s="302">
        <f t="shared" si="302"/>
        <v>0.99998938078929545</v>
      </c>
      <c r="BW227" s="223"/>
      <c r="BX227" s="137"/>
      <c r="BY227" s="222"/>
      <c r="BZ227" s="221"/>
      <c r="CA227" s="169">
        <v>0.5</v>
      </c>
      <c r="CB227" s="174">
        <f t="shared" si="261"/>
        <v>1.8179682505576986</v>
      </c>
      <c r="CC227" s="301">
        <f t="shared" si="262"/>
        <v>0.40898412527884931</v>
      </c>
      <c r="CD227" s="302">
        <f t="shared" si="264"/>
        <v>0.4091224892507897</v>
      </c>
      <c r="CE227" s="302">
        <f t="shared" si="265"/>
        <v>0.40926273004928471</v>
      </c>
      <c r="CF227" s="302">
        <f t="shared" si="266"/>
        <v>0.40954506077058278</v>
      </c>
      <c r="CG227" s="302">
        <f t="shared" si="267"/>
        <v>0.41011328258060609</v>
      </c>
      <c r="CH227" s="302">
        <f t="shared" si="268"/>
        <v>0.41125623495058916</v>
      </c>
      <c r="CI227" s="302">
        <f t="shared" si="269"/>
        <v>0.41355257709732579</v>
      </c>
      <c r="CJ227" s="302">
        <f t="shared" si="270"/>
        <v>0.41815554056668003</v>
      </c>
      <c r="CK227" s="302">
        <f t="shared" si="271"/>
        <v>0.42733931548267395</v>
      </c>
      <c r="CL227" s="302">
        <f t="shared" si="272"/>
        <v>0.4454940308568035</v>
      </c>
      <c r="CM227" s="302">
        <f t="shared" si="273"/>
        <v>0.47173396075617141</v>
      </c>
      <c r="CN227" s="302">
        <f t="shared" si="274"/>
        <v>0.54823206180285866</v>
      </c>
      <c r="CO227" s="302">
        <f t="shared" si="275"/>
        <v>0.66284990187732684</v>
      </c>
      <c r="CP227" s="302">
        <f t="shared" si="276"/>
        <v>0.84534070552486884</v>
      </c>
      <c r="CQ227" s="302">
        <f t="shared" si="277"/>
        <v>1.0875776672046307</v>
      </c>
      <c r="CR227" s="302">
        <f t="shared" si="278"/>
        <v>1.3458436605826574</v>
      </c>
      <c r="CS227" s="302">
        <f t="shared" si="279"/>
        <v>1.5641682037684919</v>
      </c>
      <c r="CT227" s="302">
        <f t="shared" si="280"/>
        <v>1.715344987740028</v>
      </c>
      <c r="CU227" s="302">
        <f t="shared" si="281"/>
        <v>1.8061423790585405</v>
      </c>
      <c r="CV227" s="302">
        <f t="shared" si="282"/>
        <v>1.8736388388932128</v>
      </c>
      <c r="CW227" s="302">
        <f t="shared" si="283"/>
        <v>1.923585217712902</v>
      </c>
      <c r="CX227" s="302">
        <f t="shared" si="284"/>
        <v>1.949738797364569</v>
      </c>
      <c r="CY227" s="302">
        <f t="shared" si="285"/>
        <v>1.9673890633041213</v>
      </c>
      <c r="CZ227" s="302">
        <f t="shared" si="286"/>
        <v>1.9807310112979979</v>
      </c>
      <c r="DA227" s="302">
        <f t="shared" si="287"/>
        <v>1.9874466278202263</v>
      </c>
      <c r="DB227" s="302">
        <f t="shared" si="288"/>
        <v>1.9918641833184605</v>
      </c>
      <c r="DC227" s="302">
        <f t="shared" si="289"/>
        <v>1.9952216566591701</v>
      </c>
      <c r="DD227" s="302">
        <f t="shared" si="290"/>
        <v>1.9968945449257518</v>
      </c>
      <c r="DE227" s="302">
        <f t="shared" si="291"/>
        <v>1.9979879186627301</v>
      </c>
      <c r="DF227" s="302">
        <f t="shared" si="292"/>
        <v>1.9988200408022498</v>
      </c>
      <c r="DG227" s="303">
        <f t="shared" si="293"/>
        <v>1.9992336039675496</v>
      </c>
      <c r="DH227" s="223"/>
      <c r="DI227"/>
      <c r="DJ227"/>
      <c r="DK227"/>
      <c r="DL227" s="781">
        <v>-0.1</v>
      </c>
      <c r="DM227" s="302">
        <f t="shared" si="294"/>
        <v>0.97574313003145141</v>
      </c>
      <c r="DN227" s="302">
        <f t="shared" si="294"/>
        <v>0.9640275800758169</v>
      </c>
      <c r="DO227" s="302">
        <f t="shared" si="294"/>
        <v>0.94680601284626809</v>
      </c>
      <c r="DP227" s="302">
        <f t="shared" si="294"/>
        <v>0.92166855440647133</v>
      </c>
      <c r="DQ227" s="302">
        <f t="shared" si="294"/>
        <v>0.88535164820226253</v>
      </c>
      <c r="DR227" s="302">
        <f t="shared" si="294"/>
        <v>0.83365460701215532</v>
      </c>
      <c r="DS227" s="302">
        <f t="shared" si="294"/>
        <v>0.76159415595576463</v>
      </c>
      <c r="DT227" s="302">
        <f t="shared" si="294"/>
        <v>0.66403677026784891</v>
      </c>
      <c r="DU227" s="302">
        <f t="shared" si="294"/>
        <v>0.53704956699803552</v>
      </c>
      <c r="DV227" s="302">
        <f t="shared" si="294"/>
        <v>0.37994896225522501</v>
      </c>
      <c r="DW227" s="302">
        <f t="shared" si="295"/>
        <v>0.19737532022490401</v>
      </c>
      <c r="DX227" s="302">
        <f t="shared" si="295"/>
        <v>0.37994896225522501</v>
      </c>
      <c r="DY227" s="302">
        <f t="shared" si="295"/>
        <v>0.53704956699803552</v>
      </c>
      <c r="DZ227" s="302">
        <f t="shared" si="295"/>
        <v>0.66403677026784891</v>
      </c>
      <c r="EA227" s="302">
        <f t="shared" si="295"/>
        <v>0.76159415595576463</v>
      </c>
      <c r="EB227" s="302">
        <f t="shared" si="295"/>
        <v>0.83365460701215532</v>
      </c>
      <c r="EC227" s="302">
        <f t="shared" si="295"/>
        <v>0.88535164820226253</v>
      </c>
      <c r="ED227" s="302">
        <f t="shared" si="295"/>
        <v>0.92166855440647133</v>
      </c>
      <c r="EE227" s="302">
        <f t="shared" si="295"/>
        <v>0.94680601284626809</v>
      </c>
      <c r="EF227" s="302">
        <f t="shared" si="295"/>
        <v>0.9640275800758169</v>
      </c>
      <c r="EG227" s="302">
        <f t="shared" si="295"/>
        <v>0.97574313003145141</v>
      </c>
      <c r="EH227"/>
      <c r="EI227"/>
      <c r="EJ227"/>
      <c r="EK227" s="781">
        <v>-0.1</v>
      </c>
      <c r="EL227" s="302">
        <f t="shared" si="296"/>
        <v>0.96472559535808333</v>
      </c>
      <c r="EM227" s="302">
        <f t="shared" si="296"/>
        <v>0.94794117998658045</v>
      </c>
      <c r="EN227" s="302">
        <f t="shared" si="296"/>
        <v>0.92352148935148781</v>
      </c>
      <c r="EO227" s="302">
        <f t="shared" si="296"/>
        <v>0.88838556158566062</v>
      </c>
      <c r="EP227" s="302">
        <f t="shared" si="296"/>
        <v>0.8386342826622768</v>
      </c>
      <c r="EQ227" s="302">
        <f t="shared" si="296"/>
        <v>0.76978665234542532</v>
      </c>
      <c r="ER227" s="302">
        <f t="shared" si="296"/>
        <v>0.67757722415900501</v>
      </c>
      <c r="ES227" s="302">
        <f t="shared" si="296"/>
        <v>0.5597407230393463</v>
      </c>
      <c r="ET227" s="302">
        <f t="shared" si="296"/>
        <v>0.4196058875137787</v>
      </c>
      <c r="EU227" s="302">
        <f t="shared" si="296"/>
        <v>0.2755340292251891</v>
      </c>
      <c r="EV227" s="302">
        <f t="shared" si="297"/>
        <v>0.19737532022490401</v>
      </c>
      <c r="EW227" s="302">
        <f t="shared" si="297"/>
        <v>0.2755340292251891</v>
      </c>
      <c r="EX227" s="302">
        <f t="shared" si="297"/>
        <v>0.4196058875137787</v>
      </c>
      <c r="EY227" s="302">
        <f t="shared" si="297"/>
        <v>0.5597407230393463</v>
      </c>
      <c r="EZ227" s="302">
        <f t="shared" si="297"/>
        <v>0.67757722415900501</v>
      </c>
      <c r="FA227" s="302">
        <f t="shared" si="297"/>
        <v>0.76978665234542532</v>
      </c>
      <c r="FB227" s="302">
        <f t="shared" si="297"/>
        <v>0.8386342826622768</v>
      </c>
      <c r="FC227" s="302">
        <f t="shared" si="297"/>
        <v>0.88838556158566062</v>
      </c>
      <c r="FD227" s="302">
        <f t="shared" si="297"/>
        <v>0.92352148935148781</v>
      </c>
      <c r="FE227" s="302">
        <f t="shared" si="297"/>
        <v>0.94794117998658045</v>
      </c>
      <c r="FF227" s="302">
        <f t="shared" si="297"/>
        <v>0.96472559535808333</v>
      </c>
      <c r="FG227"/>
      <c r="FH227"/>
      <c r="FI227" s="779"/>
      <c r="FJ227" s="420">
        <v>-0.1</v>
      </c>
      <c r="FK227" s="302">
        <f t="shared" si="298"/>
        <v>0.9640275800758169</v>
      </c>
      <c r="FL227" s="302">
        <f t="shared" si="298"/>
        <v>0.94680601284626809</v>
      </c>
      <c r="FM227" s="302">
        <f t="shared" si="298"/>
        <v>0.92166855440647133</v>
      </c>
      <c r="FN227" s="302">
        <f t="shared" si="298"/>
        <v>0.88535164820226253</v>
      </c>
      <c r="FO227" s="302">
        <f t="shared" si="298"/>
        <v>0.83365460701215532</v>
      </c>
      <c r="FP227" s="302">
        <f t="shared" si="298"/>
        <v>0.76159415595576463</v>
      </c>
      <c r="FQ227" s="302">
        <f t="shared" si="298"/>
        <v>0.66403677026784891</v>
      </c>
      <c r="FR227" s="302">
        <f t="shared" si="298"/>
        <v>0.53704956699803508</v>
      </c>
      <c r="FS227" s="302">
        <f t="shared" si="298"/>
        <v>0.37994896225522501</v>
      </c>
      <c r="FT227" s="302">
        <f t="shared" si="298"/>
        <v>0.19737532022490401</v>
      </c>
      <c r="FU227" s="302">
        <f t="shared" si="299"/>
        <v>0.19737532022490401</v>
      </c>
      <c r="FV227" s="302">
        <f t="shared" si="299"/>
        <v>0.19737532022490401</v>
      </c>
      <c r="FW227" s="302">
        <f t="shared" si="299"/>
        <v>0.37994896225522501</v>
      </c>
      <c r="FX227" s="302">
        <f t="shared" si="299"/>
        <v>0.53704956699803508</v>
      </c>
      <c r="FY227" s="302">
        <f t="shared" si="299"/>
        <v>0.66403677026784891</v>
      </c>
      <c r="FZ227" s="302">
        <f t="shared" si="299"/>
        <v>0.76159415595576463</v>
      </c>
      <c r="GA227" s="302">
        <f t="shared" si="299"/>
        <v>0.83365460701215532</v>
      </c>
      <c r="GB227" s="302">
        <f t="shared" si="299"/>
        <v>0.88535164820226253</v>
      </c>
      <c r="GC227" s="302">
        <f t="shared" si="299"/>
        <v>0.92166855440647133</v>
      </c>
      <c r="GD227" s="302">
        <f t="shared" si="299"/>
        <v>0.94680601284626809</v>
      </c>
      <c r="GE227" s="302">
        <f t="shared" si="299"/>
        <v>0.9640275800758169</v>
      </c>
      <c r="GF227"/>
      <c r="GG227"/>
      <c r="GH227"/>
    </row>
    <row r="228" spans="2:190" ht="42" customHeight="1">
      <c r="B228"/>
      <c r="C228" s="222"/>
      <c r="D228" s="221"/>
      <c r="E228" s="169">
        <v>0.4</v>
      </c>
      <c r="F228" s="174">
        <f t="shared" si="259"/>
        <v>1.6546746312739109</v>
      </c>
      <c r="G228" s="301">
        <f t="shared" si="224"/>
        <v>0.32076403972380291</v>
      </c>
      <c r="H228" s="302">
        <f t="shared" si="225"/>
        <v>0.31605728102618008</v>
      </c>
      <c r="I228" s="302">
        <f t="shared" si="226"/>
        <v>0.31016076327231046</v>
      </c>
      <c r="J228" s="302">
        <f t="shared" si="227"/>
        <v>0.30519553409214789</v>
      </c>
      <c r="K228" s="302">
        <f t="shared" si="228"/>
        <v>0.30314399335286896</v>
      </c>
      <c r="L228" s="302">
        <f t="shared" si="229"/>
        <v>0.30379062944759871</v>
      </c>
      <c r="M228" s="302">
        <f t="shared" si="230"/>
        <v>0.30631812372836037</v>
      </c>
      <c r="N228" s="302">
        <f t="shared" si="231"/>
        <v>0.31320980449428992</v>
      </c>
      <c r="O228" s="302">
        <f t="shared" si="232"/>
        <v>0.32727414926636633</v>
      </c>
      <c r="P228" s="302">
        <f t="shared" si="233"/>
        <v>0.35116044490974097</v>
      </c>
      <c r="Q228" s="302">
        <f t="shared" si="234"/>
        <v>0.3910743266511657</v>
      </c>
      <c r="R228" s="302">
        <f t="shared" si="235"/>
        <v>0.4407663057534108</v>
      </c>
      <c r="S228" s="302">
        <f t="shared" si="236"/>
        <v>0.58804526343027386</v>
      </c>
      <c r="T228" s="302">
        <f t="shared" si="237"/>
        <v>0.76172941952966022</v>
      </c>
      <c r="U228" s="302">
        <f t="shared" si="238"/>
        <v>1.0047020857314557</v>
      </c>
      <c r="V228" s="302">
        <f t="shared" si="239"/>
        <v>1.2634692532781224</v>
      </c>
      <c r="W228" s="302">
        <f t="shared" si="240"/>
        <v>1.4821162199486022</v>
      </c>
      <c r="X228" s="302">
        <f t="shared" si="241"/>
        <v>1.6334781918930299</v>
      </c>
      <c r="Y228" s="302">
        <f t="shared" si="242"/>
        <v>1.7596119922028988</v>
      </c>
      <c r="Z228" s="302">
        <f t="shared" si="243"/>
        <v>1.8504526041111717</v>
      </c>
      <c r="AA228" s="302">
        <f t="shared" si="244"/>
        <v>1.900417788763145</v>
      </c>
      <c r="AB228" s="302">
        <f t="shared" si="245"/>
        <v>1.9352737675223741</v>
      </c>
      <c r="AC228" s="302">
        <f t="shared" si="246"/>
        <v>1.9614295908932731</v>
      </c>
      <c r="AD228" s="302">
        <f t="shared" si="247"/>
        <v>1.9747723290433328</v>
      </c>
      <c r="AE228" s="302">
        <f t="shared" si="248"/>
        <v>1.9836247510912988</v>
      </c>
      <c r="AF228" s="302">
        <f t="shared" si="249"/>
        <v>1.9903406287640037</v>
      </c>
      <c r="AG228" s="302">
        <f t="shared" si="250"/>
        <v>1.9936983197246332</v>
      </c>
      <c r="AH228" s="302">
        <f t="shared" si="251"/>
        <v>1.9958979762259332</v>
      </c>
      <c r="AI228" s="302">
        <f t="shared" si="252"/>
        <v>1.9975722405877903</v>
      </c>
      <c r="AJ228" s="302">
        <f t="shared" si="253"/>
        <v>1.9984069216752076</v>
      </c>
      <c r="AK228" s="303">
        <f t="shared" si="254"/>
        <v>1.9989541091259271</v>
      </c>
      <c r="AL228" s="223"/>
      <c r="AM228" s="137"/>
      <c r="AN228" s="222"/>
      <c r="AO228" s="221"/>
      <c r="AP228" s="169">
        <v>0.4</v>
      </c>
      <c r="AQ228" s="174">
        <f t="shared" si="260"/>
        <v>1.6546746312739109</v>
      </c>
      <c r="AR228" s="302">
        <f t="shared" si="300"/>
        <v>0.97991895332690127</v>
      </c>
      <c r="AS228" s="302">
        <f t="shared" si="300"/>
        <v>0.96513207149809488</v>
      </c>
      <c r="AT228" s="302">
        <f t="shared" si="300"/>
        <v>0.94672066878381589</v>
      </c>
      <c r="AU228" s="302">
        <f t="shared" si="300"/>
        <v>0.93076292124647231</v>
      </c>
      <c r="AV228" s="302">
        <f t="shared" si="300"/>
        <v>0.92290695802439437</v>
      </c>
      <c r="AW228" s="302">
        <f t="shared" si="300"/>
        <v>0.92166851467637489</v>
      </c>
      <c r="AX228" s="302">
        <f t="shared" si="300"/>
        <v>0.92290690239208495</v>
      </c>
      <c r="AY228" s="302">
        <f t="shared" si="300"/>
        <v>0.93076278773966237</v>
      </c>
      <c r="AZ228" s="302">
        <f t="shared" si="300"/>
        <v>0.94672040537986979</v>
      </c>
      <c r="BA228" s="302">
        <f t="shared" si="300"/>
        <v>0.9651315839026976</v>
      </c>
      <c r="BB228" s="302">
        <f t="shared" si="301"/>
        <v>0.97991808883328901</v>
      </c>
      <c r="BC228" s="302">
        <f t="shared" si="301"/>
        <v>0.98938768024725265</v>
      </c>
      <c r="BD228" s="302">
        <f t="shared" si="301"/>
        <v>0.99468751001617206</v>
      </c>
      <c r="BE228" s="302">
        <f t="shared" si="301"/>
        <v>0.99742766524139426</v>
      </c>
      <c r="BF228" s="302">
        <f t="shared" si="301"/>
        <v>0.9987784728721234</v>
      </c>
      <c r="BG228" s="302">
        <f t="shared" si="301"/>
        <v>0.99942445857059392</v>
      </c>
      <c r="BH228" s="302">
        <f t="shared" si="301"/>
        <v>0.99972669927084967</v>
      </c>
      <c r="BI228" s="302">
        <f t="shared" si="301"/>
        <v>0.99986534464685495</v>
      </c>
      <c r="BJ228" s="302">
        <f t="shared" si="301"/>
        <v>0.99992746608178174</v>
      </c>
      <c r="BK228" s="302">
        <f t="shared" si="301"/>
        <v>0.99995438069070974</v>
      </c>
      <c r="BL228" s="302">
        <f t="shared" si="302"/>
        <v>0.99996547489524346</v>
      </c>
      <c r="BM228" s="302">
        <f t="shared" si="302"/>
        <v>0.99996974870718014</v>
      </c>
      <c r="BN228" s="302">
        <f t="shared" si="302"/>
        <v>0.99997129595196965</v>
      </c>
      <c r="BO228" s="302">
        <f t="shared" si="302"/>
        <v>0.99997188999063691</v>
      </c>
      <c r="BP228" s="302">
        <f t="shared" si="302"/>
        <v>0.99997221132938952</v>
      </c>
      <c r="BQ228" s="302">
        <f t="shared" si="302"/>
        <v>0.99997243629399279</v>
      </c>
      <c r="BR228" s="302">
        <f t="shared" si="302"/>
        <v>0.99997259186207643</v>
      </c>
      <c r="BS228" s="302">
        <f t="shared" si="302"/>
        <v>0.99997290387514581</v>
      </c>
      <c r="BT228" s="302">
        <f t="shared" si="302"/>
        <v>0.99997361543217089</v>
      </c>
      <c r="BU228" s="302">
        <f t="shared" si="302"/>
        <v>0.99997490688001855</v>
      </c>
      <c r="BV228" s="302">
        <f t="shared" si="302"/>
        <v>0.9999768667598552</v>
      </c>
      <c r="BW228" s="223"/>
      <c r="BX228" s="137"/>
      <c r="BY228" s="222"/>
      <c r="BZ228" s="221"/>
      <c r="CA228" s="169">
        <v>0.4</v>
      </c>
      <c r="CB228" s="174">
        <f t="shared" si="261"/>
        <v>1.6546746312739109</v>
      </c>
      <c r="CC228" s="301">
        <f t="shared" si="262"/>
        <v>0.32733731563695545</v>
      </c>
      <c r="CD228" s="302">
        <f t="shared" si="264"/>
        <v>0.32747567960889584</v>
      </c>
      <c r="CE228" s="302">
        <f t="shared" si="265"/>
        <v>0.32761592040739085</v>
      </c>
      <c r="CF228" s="302">
        <f t="shared" si="266"/>
        <v>0.32789825112868892</v>
      </c>
      <c r="CG228" s="302">
        <f t="shared" si="267"/>
        <v>0.32846647293871223</v>
      </c>
      <c r="CH228" s="302">
        <f t="shared" si="268"/>
        <v>0.3296094253086953</v>
      </c>
      <c r="CI228" s="302">
        <f t="shared" si="269"/>
        <v>0.33190576745543193</v>
      </c>
      <c r="CJ228" s="302">
        <f t="shared" si="270"/>
        <v>0.33650873092478617</v>
      </c>
      <c r="CK228" s="302">
        <f t="shared" si="271"/>
        <v>0.3456925058407801</v>
      </c>
      <c r="CL228" s="302">
        <f t="shared" si="272"/>
        <v>0.36384722121490964</v>
      </c>
      <c r="CM228" s="302">
        <f t="shared" si="273"/>
        <v>0.3990887923262923</v>
      </c>
      <c r="CN228" s="302">
        <f t="shared" si="274"/>
        <v>0.4454940308568035</v>
      </c>
      <c r="CO228" s="302">
        <f t="shared" si="275"/>
        <v>0.59118593277673026</v>
      </c>
      <c r="CP228" s="302">
        <f t="shared" si="276"/>
        <v>0.76369389588297498</v>
      </c>
      <c r="CQ228" s="302">
        <f t="shared" si="277"/>
        <v>1.0059308575627368</v>
      </c>
      <c r="CR228" s="302">
        <f t="shared" si="278"/>
        <v>1.2641968509407635</v>
      </c>
      <c r="CS228" s="302">
        <f t="shared" si="279"/>
        <v>1.482521394126598</v>
      </c>
      <c r="CT228" s="302">
        <f t="shared" si="280"/>
        <v>1.6336981780981341</v>
      </c>
      <c r="CU228" s="302">
        <f t="shared" si="281"/>
        <v>1.7597396330135253</v>
      </c>
      <c r="CV228" s="302">
        <f t="shared" si="282"/>
        <v>1.8505370243320378</v>
      </c>
      <c r="CW228" s="302">
        <f t="shared" si="283"/>
        <v>1.900483403151727</v>
      </c>
      <c r="CX228" s="302">
        <f t="shared" si="284"/>
        <v>1.9353323138269034</v>
      </c>
      <c r="CY228" s="302">
        <f t="shared" si="285"/>
        <v>1.9614858934785704</v>
      </c>
      <c r="CZ228" s="302">
        <f t="shared" si="286"/>
        <v>1.9748278414724472</v>
      </c>
      <c r="DA228" s="302">
        <f t="shared" si="287"/>
        <v>1.9836798749179394</v>
      </c>
      <c r="DB228" s="302">
        <f t="shared" si="288"/>
        <v>1.9903954914401678</v>
      </c>
      <c r="DC228" s="302">
        <f t="shared" si="289"/>
        <v>1.9937529647808774</v>
      </c>
      <c r="DD228" s="302">
        <f t="shared" si="290"/>
        <v>1.9959520587921213</v>
      </c>
      <c r="DE228" s="302">
        <f t="shared" si="291"/>
        <v>1.9976249470587031</v>
      </c>
      <c r="DF228" s="302">
        <f t="shared" si="292"/>
        <v>1.9984570691982229</v>
      </c>
      <c r="DG228" s="303">
        <f t="shared" si="293"/>
        <v>1.9990003524811306</v>
      </c>
      <c r="DH228" s="223"/>
      <c r="DI228"/>
      <c r="DJ228"/>
      <c r="DK228"/>
      <c r="DL228" s="781">
        <v>-0.2</v>
      </c>
      <c r="DM228" s="302">
        <f t="shared" si="294"/>
        <v>0.98367485769368024</v>
      </c>
      <c r="DN228" s="302">
        <f t="shared" si="294"/>
        <v>0.97574313003145141</v>
      </c>
      <c r="DO228" s="302">
        <f t="shared" si="294"/>
        <v>0.9640275800758169</v>
      </c>
      <c r="DP228" s="302">
        <f t="shared" si="294"/>
        <v>0.94680601284626809</v>
      </c>
      <c r="DQ228" s="302">
        <f t="shared" si="294"/>
        <v>0.92166855440647133</v>
      </c>
      <c r="DR228" s="302">
        <f t="shared" si="294"/>
        <v>0.88535164820226253</v>
      </c>
      <c r="DS228" s="302">
        <f t="shared" si="294"/>
        <v>0.83365460701215532</v>
      </c>
      <c r="DT228" s="302">
        <f t="shared" si="294"/>
        <v>0.76159415595576463</v>
      </c>
      <c r="DU228" s="302">
        <f t="shared" si="294"/>
        <v>0.66403677026784891</v>
      </c>
      <c r="DV228" s="302">
        <f t="shared" si="294"/>
        <v>0.53704956699803552</v>
      </c>
      <c r="DW228" s="302">
        <f t="shared" si="295"/>
        <v>0.37994896225522501</v>
      </c>
      <c r="DX228" s="302">
        <f t="shared" si="295"/>
        <v>0.53704956699803552</v>
      </c>
      <c r="DY228" s="302">
        <f t="shared" si="295"/>
        <v>0.66403677026784891</v>
      </c>
      <c r="DZ228" s="302">
        <f t="shared" si="295"/>
        <v>0.76159415595576463</v>
      </c>
      <c r="EA228" s="302">
        <f t="shared" si="295"/>
        <v>0.83365460701215532</v>
      </c>
      <c r="EB228" s="302">
        <f t="shared" si="295"/>
        <v>0.88535164820226253</v>
      </c>
      <c r="EC228" s="302">
        <f t="shared" si="295"/>
        <v>0.92166855440647133</v>
      </c>
      <c r="ED228" s="302">
        <f t="shared" si="295"/>
        <v>0.94680601284626809</v>
      </c>
      <c r="EE228" s="302">
        <f t="shared" si="295"/>
        <v>0.9640275800758169</v>
      </c>
      <c r="EF228" s="302">
        <f t="shared" si="295"/>
        <v>0.97574313003145141</v>
      </c>
      <c r="EG228" s="302">
        <f t="shared" si="295"/>
        <v>0.98367485769368024</v>
      </c>
      <c r="EH228"/>
      <c r="EI228"/>
      <c r="EJ228"/>
      <c r="EK228" s="781">
        <v>-0.2</v>
      </c>
      <c r="EL228" s="302">
        <f t="shared" si="296"/>
        <v>0.96672162865729372</v>
      </c>
      <c r="EM228" s="302">
        <f t="shared" si="296"/>
        <v>0.95116896097802295</v>
      </c>
      <c r="EN228" s="302">
        <f t="shared" si="296"/>
        <v>0.92875356714922219</v>
      </c>
      <c r="EO228" s="302">
        <f t="shared" si="296"/>
        <v>0.89687722276491311</v>
      </c>
      <c r="EP228" s="302">
        <f t="shared" si="296"/>
        <v>0.85241239416703474</v>
      </c>
      <c r="EQ228" s="302">
        <f t="shared" si="296"/>
        <v>0.79209622243685329</v>
      </c>
      <c r="ER228" s="302">
        <f t="shared" si="296"/>
        <v>0.71357352593554979</v>
      </c>
      <c r="ES228" s="302">
        <f t="shared" si="296"/>
        <v>0.6175965493239155</v>
      </c>
      <c r="ET228" s="302">
        <f t="shared" si="296"/>
        <v>0.51218359170576977</v>
      </c>
      <c r="EU228" s="302">
        <f t="shared" si="296"/>
        <v>0.4196058875137787</v>
      </c>
      <c r="EV228" s="302">
        <f t="shared" si="297"/>
        <v>0.37994896225522501</v>
      </c>
      <c r="EW228" s="302">
        <f t="shared" si="297"/>
        <v>0.4196058875137787</v>
      </c>
      <c r="EX228" s="302">
        <f t="shared" si="297"/>
        <v>0.51218359170576977</v>
      </c>
      <c r="EY228" s="302">
        <f t="shared" si="297"/>
        <v>0.6175965493239155</v>
      </c>
      <c r="EZ228" s="302">
        <f t="shared" si="297"/>
        <v>0.71357352593554979</v>
      </c>
      <c r="FA228" s="302">
        <f t="shared" si="297"/>
        <v>0.79209622243685329</v>
      </c>
      <c r="FB228" s="302">
        <f t="shared" si="297"/>
        <v>0.85241239416703474</v>
      </c>
      <c r="FC228" s="302">
        <f t="shared" si="297"/>
        <v>0.89687722276491311</v>
      </c>
      <c r="FD228" s="302">
        <f t="shared" si="297"/>
        <v>0.92875356714922219</v>
      </c>
      <c r="FE228" s="302">
        <f t="shared" si="297"/>
        <v>0.95116896097802295</v>
      </c>
      <c r="FF228" s="302">
        <f t="shared" si="297"/>
        <v>0.96672162865729372</v>
      </c>
      <c r="FG228"/>
      <c r="FH228"/>
      <c r="FI228" s="779"/>
      <c r="FJ228" s="420">
        <v>-0.2</v>
      </c>
      <c r="FK228" s="302">
        <f t="shared" si="298"/>
        <v>0.9640275800758169</v>
      </c>
      <c r="FL228" s="302">
        <f t="shared" si="298"/>
        <v>0.94680601284626809</v>
      </c>
      <c r="FM228" s="302">
        <f t="shared" si="298"/>
        <v>0.92166855440647133</v>
      </c>
      <c r="FN228" s="302">
        <f t="shared" si="298"/>
        <v>0.88535164820226253</v>
      </c>
      <c r="FO228" s="302">
        <f t="shared" si="298"/>
        <v>0.83365460701215532</v>
      </c>
      <c r="FP228" s="302">
        <f t="shared" si="298"/>
        <v>0.76159415595576463</v>
      </c>
      <c r="FQ228" s="302">
        <f t="shared" si="298"/>
        <v>0.66403677026784891</v>
      </c>
      <c r="FR228" s="302">
        <f t="shared" si="298"/>
        <v>0.53704956699803508</v>
      </c>
      <c r="FS228" s="302">
        <f t="shared" si="298"/>
        <v>0.37994896225522501</v>
      </c>
      <c r="FT228" s="302">
        <f t="shared" si="298"/>
        <v>0.37994896225522501</v>
      </c>
      <c r="FU228" s="302">
        <f t="shared" si="299"/>
        <v>0.37994896225522501</v>
      </c>
      <c r="FV228" s="302">
        <f t="shared" si="299"/>
        <v>0.37994896225522501</v>
      </c>
      <c r="FW228" s="302">
        <f t="shared" si="299"/>
        <v>0.37994896225522501</v>
      </c>
      <c r="FX228" s="302">
        <f t="shared" si="299"/>
        <v>0.53704956699803508</v>
      </c>
      <c r="FY228" s="302">
        <f t="shared" si="299"/>
        <v>0.66403677026784891</v>
      </c>
      <c r="FZ228" s="302">
        <f t="shared" si="299"/>
        <v>0.76159415595576463</v>
      </c>
      <c r="GA228" s="302">
        <f t="shared" si="299"/>
        <v>0.83365460701215532</v>
      </c>
      <c r="GB228" s="302">
        <f t="shared" si="299"/>
        <v>0.88535164820226253</v>
      </c>
      <c r="GC228" s="302">
        <f t="shared" si="299"/>
        <v>0.92166855440647133</v>
      </c>
      <c r="GD228" s="302">
        <f t="shared" si="299"/>
        <v>0.94680601284626809</v>
      </c>
      <c r="GE228" s="302">
        <f t="shared" si="299"/>
        <v>0.9640275800758169</v>
      </c>
      <c r="GF228"/>
      <c r="GG228"/>
      <c r="GH228"/>
    </row>
    <row r="229" spans="2:190" ht="42" customHeight="1">
      <c r="B229"/>
      <c r="C229" s="222"/>
      <c r="D229" s="221"/>
      <c r="E229" s="169">
        <v>0.3</v>
      </c>
      <c r="F229" s="174">
        <f t="shared" si="259"/>
        <v>1.3772676782073403</v>
      </c>
      <c r="G229" s="301">
        <f t="shared" si="224"/>
        <v>0.18342883884722838</v>
      </c>
      <c r="H229" s="302">
        <f t="shared" si="225"/>
        <v>0.17871454672432827</v>
      </c>
      <c r="I229" s="302">
        <f t="shared" si="226"/>
        <v>0.17139583433762987</v>
      </c>
      <c r="J229" s="302">
        <f t="shared" si="227"/>
        <v>0.16344096224888019</v>
      </c>
      <c r="K229" s="302">
        <f t="shared" si="228"/>
        <v>0.15903365117459362</v>
      </c>
      <c r="L229" s="302">
        <f t="shared" si="229"/>
        <v>0.15914961439738062</v>
      </c>
      <c r="M229" s="302">
        <f t="shared" si="230"/>
        <v>0.16191598839266322</v>
      </c>
      <c r="N229" s="302">
        <f t="shared" si="231"/>
        <v>0.17087932010503382</v>
      </c>
      <c r="O229" s="302">
        <f t="shared" si="232"/>
        <v>0.187796219813537</v>
      </c>
      <c r="P229" s="302">
        <f t="shared" si="233"/>
        <v>0.21314807358131541</v>
      </c>
      <c r="Q229" s="302">
        <f t="shared" si="234"/>
        <v>0.25320011654088131</v>
      </c>
      <c r="R229" s="302">
        <f t="shared" si="235"/>
        <v>0.32203660023240555</v>
      </c>
      <c r="S229" s="302">
        <f t="shared" si="236"/>
        <v>0.39653769805895389</v>
      </c>
      <c r="T229" s="302">
        <f t="shared" si="237"/>
        <v>0.66087632348582281</v>
      </c>
      <c r="U229" s="302">
        <f t="shared" si="238"/>
        <v>0.86603323288025802</v>
      </c>
      <c r="V229" s="302">
        <f t="shared" si="239"/>
        <v>1.1247733474892831</v>
      </c>
      <c r="W229" s="302">
        <f t="shared" si="240"/>
        <v>1.3454323975900389</v>
      </c>
      <c r="X229" s="302">
        <f t="shared" si="241"/>
        <v>1.563921753360022</v>
      </c>
      <c r="Y229" s="302">
        <f t="shared" si="242"/>
        <v>1.7151825635120439</v>
      </c>
      <c r="Z229" s="302">
        <f t="shared" si="243"/>
        <v>1.8060157507332657</v>
      </c>
      <c r="AA229" s="302">
        <f t="shared" si="244"/>
        <v>1.8735225760885104</v>
      </c>
      <c r="AB229" s="302">
        <f t="shared" si="245"/>
        <v>1.9234689588145579</v>
      </c>
      <c r="AC229" s="302">
        <f t="shared" si="246"/>
        <v>1.9496203416028572</v>
      </c>
      <c r="AD229" s="302">
        <f t="shared" si="247"/>
        <v>1.9672686771048951</v>
      </c>
      <c r="AE229" s="302">
        <f t="shared" si="248"/>
        <v>1.9806096753502769</v>
      </c>
      <c r="AF229" s="302">
        <f t="shared" si="249"/>
        <v>1.9873252263121877</v>
      </c>
      <c r="AG229" s="302">
        <f t="shared" si="250"/>
        <v>1.9917429452005142</v>
      </c>
      <c r="AH229" s="302">
        <f t="shared" si="251"/>
        <v>1.9951016533331911</v>
      </c>
      <c r="AI229" s="302">
        <f t="shared" si="252"/>
        <v>1.9967780163165905</v>
      </c>
      <c r="AJ229" s="302">
        <f t="shared" si="253"/>
        <v>1.9978778709332814</v>
      </c>
      <c r="AK229" s="303">
        <f t="shared" si="254"/>
        <v>1.9987197916077579</v>
      </c>
      <c r="AL229" s="223"/>
      <c r="AM229" s="137"/>
      <c r="AN229" s="222"/>
      <c r="AO229" s="221"/>
      <c r="AP229" s="169">
        <v>0.3</v>
      </c>
      <c r="AQ229" s="174">
        <f t="shared" si="260"/>
        <v>1.3772676782073403</v>
      </c>
      <c r="AR229" s="302">
        <f t="shared" si="300"/>
        <v>0.97240685827540629</v>
      </c>
      <c r="AS229" s="302">
        <f t="shared" si="300"/>
        <v>0.9467206708010194</v>
      </c>
      <c r="AT229" s="302">
        <f t="shared" si="300"/>
        <v>0.90727657121333383</v>
      </c>
      <c r="AU229" s="302">
        <f t="shared" si="300"/>
        <v>0.86387672491696232</v>
      </c>
      <c r="AV229" s="302">
        <f t="shared" si="300"/>
        <v>0.83806460789025305</v>
      </c>
      <c r="AW229" s="302">
        <f t="shared" si="300"/>
        <v>0.83365455826948109</v>
      </c>
      <c r="AX229" s="302">
        <f t="shared" si="300"/>
        <v>0.83806453650132628</v>
      </c>
      <c r="AY229" s="302">
        <f t="shared" si="300"/>
        <v>0.86387654681217618</v>
      </c>
      <c r="AZ229" s="302">
        <f t="shared" si="300"/>
        <v>0.9072761993320636</v>
      </c>
      <c r="BA229" s="302">
        <f t="shared" si="300"/>
        <v>0.94671994499659762</v>
      </c>
      <c r="BB229" s="302">
        <f t="shared" si="301"/>
        <v>0.97240551284452026</v>
      </c>
      <c r="BC229" s="302">
        <f t="shared" si="301"/>
        <v>0.98650781893901274</v>
      </c>
      <c r="BD229" s="302">
        <f t="shared" si="301"/>
        <v>0.99360770255544373</v>
      </c>
      <c r="BE229" s="302">
        <f t="shared" si="301"/>
        <v>0.99702258628097484</v>
      </c>
      <c r="BF229" s="302">
        <f t="shared" si="301"/>
        <v>0.99862302762191846</v>
      </c>
      <c r="BG229" s="302">
        <f t="shared" si="301"/>
        <v>0.9993602566353853</v>
      </c>
      <c r="BH229" s="302">
        <f t="shared" si="301"/>
        <v>0.99969441993549202</v>
      </c>
      <c r="BI229" s="302">
        <f t="shared" si="301"/>
        <v>0.99984243995762345</v>
      </c>
      <c r="BJ229" s="302">
        <f t="shared" si="301"/>
        <v>0.99990531104288349</v>
      </c>
      <c r="BK229" s="302">
        <f t="shared" si="301"/>
        <v>0.99992989017546852</v>
      </c>
      <c r="BL229" s="302">
        <f t="shared" si="302"/>
        <v>0.9999379481241053</v>
      </c>
      <c r="BM229" s="302">
        <f t="shared" si="302"/>
        <v>0.99993956134759532</v>
      </c>
      <c r="BN229" s="302">
        <f t="shared" si="302"/>
        <v>0.9999392453174385</v>
      </c>
      <c r="BO229" s="302">
        <f t="shared" si="302"/>
        <v>0.99993880915500055</v>
      </c>
      <c r="BP229" s="302">
        <f t="shared" si="302"/>
        <v>0.99993874183469189</v>
      </c>
      <c r="BQ229" s="302">
        <f t="shared" si="302"/>
        <v>0.99993891583988259</v>
      </c>
      <c r="BR229" s="302">
        <f t="shared" si="302"/>
        <v>0.99993913334103723</v>
      </c>
      <c r="BS229" s="302">
        <f t="shared" si="302"/>
        <v>0.99993985463941892</v>
      </c>
      <c r="BT229" s="302">
        <f t="shared" si="302"/>
        <v>0.9999416450861377</v>
      </c>
      <c r="BU229" s="302">
        <f t="shared" si="302"/>
        <v>0.99994492072328334</v>
      </c>
      <c r="BV229" s="302">
        <f t="shared" si="302"/>
        <v>0.99994984581280677</v>
      </c>
      <c r="BW229" s="223"/>
      <c r="BX229" s="137"/>
      <c r="BY229" s="222"/>
      <c r="BZ229" s="221"/>
      <c r="CA229" s="169">
        <v>0.3</v>
      </c>
      <c r="CB229" s="174">
        <f t="shared" si="261"/>
        <v>1.3772676782073403</v>
      </c>
      <c r="CC229" s="301">
        <f t="shared" si="262"/>
        <v>0.18863383910367015</v>
      </c>
      <c r="CD229" s="302">
        <f t="shared" si="264"/>
        <v>0.18877220307561055</v>
      </c>
      <c r="CE229" s="302">
        <f t="shared" si="265"/>
        <v>0.18891244387410555</v>
      </c>
      <c r="CF229" s="302">
        <f t="shared" si="266"/>
        <v>0.18919477459540363</v>
      </c>
      <c r="CG229" s="302">
        <f t="shared" si="267"/>
        <v>0.18976299640542693</v>
      </c>
      <c r="CH229" s="302">
        <f t="shared" si="268"/>
        <v>0.19090594877541001</v>
      </c>
      <c r="CI229" s="302">
        <f t="shared" si="269"/>
        <v>0.19320229092214664</v>
      </c>
      <c r="CJ229" s="302">
        <f t="shared" si="270"/>
        <v>0.19780525439150087</v>
      </c>
      <c r="CK229" s="302">
        <f t="shared" si="271"/>
        <v>0.2069890293074948</v>
      </c>
      <c r="CL229" s="302">
        <f t="shared" si="272"/>
        <v>0.22514374468162435</v>
      </c>
      <c r="CM229" s="302">
        <f t="shared" si="273"/>
        <v>0.260385315793007</v>
      </c>
      <c r="CN229" s="302">
        <f t="shared" si="274"/>
        <v>0.32644100132805365</v>
      </c>
      <c r="CO229" s="302">
        <f t="shared" si="275"/>
        <v>0.3990887923262923</v>
      </c>
      <c r="CP229" s="302">
        <f t="shared" si="276"/>
        <v>0.66284990187732684</v>
      </c>
      <c r="CQ229" s="302">
        <f t="shared" si="277"/>
        <v>0.86722738102945152</v>
      </c>
      <c r="CR229" s="302">
        <f t="shared" si="278"/>
        <v>1.1254933744074782</v>
      </c>
      <c r="CS229" s="302">
        <f t="shared" si="279"/>
        <v>1.3458436605826574</v>
      </c>
      <c r="CT229" s="302">
        <f t="shared" si="280"/>
        <v>1.5641682037684919</v>
      </c>
      <c r="CU229" s="302">
        <f t="shared" si="281"/>
        <v>1.715344987740028</v>
      </c>
      <c r="CV229" s="302">
        <f t="shared" si="282"/>
        <v>1.8061423790585405</v>
      </c>
      <c r="CW229" s="302">
        <f t="shared" si="283"/>
        <v>1.8736388388932128</v>
      </c>
      <c r="CX229" s="302">
        <f t="shared" si="284"/>
        <v>1.923585217712902</v>
      </c>
      <c r="CY229" s="302">
        <f t="shared" si="285"/>
        <v>1.949738797364569</v>
      </c>
      <c r="CZ229" s="302">
        <f t="shared" si="286"/>
        <v>1.9673890633041213</v>
      </c>
      <c r="DA229" s="302">
        <f t="shared" si="287"/>
        <v>1.9807310112979979</v>
      </c>
      <c r="DB229" s="302">
        <f t="shared" si="288"/>
        <v>1.9874466278202263</v>
      </c>
      <c r="DC229" s="302">
        <f t="shared" si="289"/>
        <v>1.9918641833184605</v>
      </c>
      <c r="DD229" s="302">
        <f t="shared" si="290"/>
        <v>1.9952216566591701</v>
      </c>
      <c r="DE229" s="302">
        <f t="shared" si="291"/>
        <v>1.9968945449257518</v>
      </c>
      <c r="DF229" s="302">
        <f t="shared" si="292"/>
        <v>1.9979879186627301</v>
      </c>
      <c r="DG229" s="303">
        <f t="shared" si="293"/>
        <v>1.9988200408022498</v>
      </c>
      <c r="DH229" s="223"/>
      <c r="DI229"/>
      <c r="DJ229"/>
      <c r="DK229"/>
      <c r="DL229" s="781">
        <v>-0.3</v>
      </c>
      <c r="DM229" s="302">
        <f t="shared" si="294"/>
        <v>0.98902740220109897</v>
      </c>
      <c r="DN229" s="302">
        <f t="shared" si="294"/>
        <v>0.98367485769368024</v>
      </c>
      <c r="DO229" s="302">
        <f t="shared" si="294"/>
        <v>0.97574313003145141</v>
      </c>
      <c r="DP229" s="302">
        <f t="shared" si="294"/>
        <v>0.9640275800758169</v>
      </c>
      <c r="DQ229" s="302">
        <f t="shared" si="294"/>
        <v>0.94680601284626809</v>
      </c>
      <c r="DR229" s="302">
        <f t="shared" si="294"/>
        <v>0.92166855440647133</v>
      </c>
      <c r="DS229" s="302">
        <f t="shared" si="294"/>
        <v>0.88535164820226253</v>
      </c>
      <c r="DT229" s="302">
        <f t="shared" si="294"/>
        <v>0.83365460701215532</v>
      </c>
      <c r="DU229" s="302">
        <f t="shared" si="294"/>
        <v>0.76159415595576463</v>
      </c>
      <c r="DV229" s="302">
        <f t="shared" si="294"/>
        <v>0.66403677026784891</v>
      </c>
      <c r="DW229" s="302">
        <f t="shared" si="295"/>
        <v>0.53704956699803508</v>
      </c>
      <c r="DX229" s="302">
        <f t="shared" si="295"/>
        <v>0.66403677026784891</v>
      </c>
      <c r="DY229" s="302">
        <f t="shared" si="295"/>
        <v>0.76159415595576463</v>
      </c>
      <c r="DZ229" s="302">
        <f t="shared" si="295"/>
        <v>0.83365460701215532</v>
      </c>
      <c r="EA229" s="302">
        <f t="shared" si="295"/>
        <v>0.88535164820226253</v>
      </c>
      <c r="EB229" s="302">
        <f t="shared" si="295"/>
        <v>0.92166855440647133</v>
      </c>
      <c r="EC229" s="302">
        <f t="shared" si="295"/>
        <v>0.94680601284626809</v>
      </c>
      <c r="ED229" s="302">
        <f t="shared" si="295"/>
        <v>0.9640275800758169</v>
      </c>
      <c r="EE229" s="302">
        <f t="shared" si="295"/>
        <v>0.97574313003145141</v>
      </c>
      <c r="EF229" s="302">
        <f t="shared" si="295"/>
        <v>0.98367485769368024</v>
      </c>
      <c r="EG229" s="302">
        <f t="shared" si="295"/>
        <v>0.98902740220109897</v>
      </c>
      <c r="EH229"/>
      <c r="EI229"/>
      <c r="EJ229"/>
      <c r="EK229" s="781">
        <v>-0.3</v>
      </c>
      <c r="EL229" s="302">
        <f t="shared" si="296"/>
        <v>0.96974871525977591</v>
      </c>
      <c r="EM229" s="302">
        <f t="shared" si="296"/>
        <v>0.95601144400379967</v>
      </c>
      <c r="EN229" s="302">
        <f t="shared" si="296"/>
        <v>0.93650024009844923</v>
      </c>
      <c r="EO229" s="302">
        <f t="shared" si="296"/>
        <v>0.90924583651378499</v>
      </c>
      <c r="EP229" s="302">
        <f t="shared" si="296"/>
        <v>0.87206578039101212</v>
      </c>
      <c r="EQ229" s="302">
        <f t="shared" si="296"/>
        <v>0.82304705847053827</v>
      </c>
      <c r="ER229" s="302">
        <f t="shared" si="296"/>
        <v>0.76159415595576463</v>
      </c>
      <c r="ES229" s="302">
        <f t="shared" si="296"/>
        <v>0.69029975261899379</v>
      </c>
      <c r="ET229" s="302">
        <f t="shared" si="296"/>
        <v>0.6175965493239155</v>
      </c>
      <c r="EU229" s="302">
        <f t="shared" si="296"/>
        <v>0.5597407230393463</v>
      </c>
      <c r="EV229" s="302">
        <f t="shared" si="297"/>
        <v>0.53704956699803508</v>
      </c>
      <c r="EW229" s="302">
        <f t="shared" si="297"/>
        <v>0.5597407230393463</v>
      </c>
      <c r="EX229" s="302">
        <f t="shared" si="297"/>
        <v>0.6175965493239155</v>
      </c>
      <c r="EY229" s="302">
        <f t="shared" si="297"/>
        <v>0.69029975261899379</v>
      </c>
      <c r="EZ229" s="302">
        <f t="shared" si="297"/>
        <v>0.76159415595576463</v>
      </c>
      <c r="FA229" s="302">
        <f t="shared" si="297"/>
        <v>0.82304705847053827</v>
      </c>
      <c r="FB229" s="302">
        <f t="shared" si="297"/>
        <v>0.87206578039101212</v>
      </c>
      <c r="FC229" s="302">
        <f t="shared" si="297"/>
        <v>0.90924583651378499</v>
      </c>
      <c r="FD229" s="302">
        <f t="shared" si="297"/>
        <v>0.93650024009844923</v>
      </c>
      <c r="FE229" s="302">
        <f t="shared" si="297"/>
        <v>0.95601144400379967</v>
      </c>
      <c r="FF229" s="302">
        <f t="shared" si="297"/>
        <v>0.96974871525977591</v>
      </c>
      <c r="FG229"/>
      <c r="FH229"/>
      <c r="FI229" s="779"/>
      <c r="FJ229" s="420">
        <v>-0.3</v>
      </c>
      <c r="FK229" s="302">
        <f t="shared" si="298"/>
        <v>0.9640275800758169</v>
      </c>
      <c r="FL229" s="302">
        <f t="shared" si="298"/>
        <v>0.94680601284626809</v>
      </c>
      <c r="FM229" s="302">
        <f t="shared" si="298"/>
        <v>0.92166855440647133</v>
      </c>
      <c r="FN229" s="302">
        <f t="shared" si="298"/>
        <v>0.88535164820226253</v>
      </c>
      <c r="FO229" s="302">
        <f t="shared" si="298"/>
        <v>0.83365460701215532</v>
      </c>
      <c r="FP229" s="302">
        <f t="shared" si="298"/>
        <v>0.76159415595576463</v>
      </c>
      <c r="FQ229" s="302">
        <f t="shared" si="298"/>
        <v>0.66403677026784891</v>
      </c>
      <c r="FR229" s="302">
        <f t="shared" si="298"/>
        <v>0.53704956699803508</v>
      </c>
      <c r="FS229" s="302">
        <f t="shared" si="298"/>
        <v>0.53704956699803508</v>
      </c>
      <c r="FT229" s="302">
        <f t="shared" si="298"/>
        <v>0.53704956699803508</v>
      </c>
      <c r="FU229" s="302">
        <f t="shared" si="299"/>
        <v>0.53704956699803508</v>
      </c>
      <c r="FV229" s="302">
        <f t="shared" si="299"/>
        <v>0.53704956699803508</v>
      </c>
      <c r="FW229" s="302">
        <f t="shared" si="299"/>
        <v>0.53704956699803508</v>
      </c>
      <c r="FX229" s="302">
        <f t="shared" si="299"/>
        <v>0.53704956699803508</v>
      </c>
      <c r="FY229" s="302">
        <f t="shared" si="299"/>
        <v>0.66403677026784891</v>
      </c>
      <c r="FZ229" s="302">
        <f t="shared" si="299"/>
        <v>0.76159415595576463</v>
      </c>
      <c r="GA229" s="302">
        <f t="shared" si="299"/>
        <v>0.83365460701215532</v>
      </c>
      <c r="GB229" s="302">
        <f t="shared" si="299"/>
        <v>0.88535164820226253</v>
      </c>
      <c r="GC229" s="302">
        <f t="shared" si="299"/>
        <v>0.92166855440647133</v>
      </c>
      <c r="GD229" s="302">
        <f t="shared" si="299"/>
        <v>0.94680601284626809</v>
      </c>
      <c r="GE229" s="302">
        <f t="shared" si="299"/>
        <v>0.9640275800758169</v>
      </c>
      <c r="GF229"/>
      <c r="GG229"/>
      <c r="GH229"/>
    </row>
    <row r="230" spans="2:190" ht="42" customHeight="1">
      <c r="B230"/>
      <c r="C230" s="223"/>
      <c r="D230" s="222"/>
      <c r="E230" s="169">
        <v>0.2</v>
      </c>
      <c r="F230" s="174">
        <f t="shared" si="259"/>
        <v>0.96398252880503787</v>
      </c>
      <c r="G230" s="301">
        <f t="shared" si="224"/>
        <v>-1.7411997868906456E-2</v>
      </c>
      <c r="H230" s="302">
        <f t="shared" si="225"/>
        <v>-1.6633079413988085E-2</v>
      </c>
      <c r="I230" s="302">
        <f t="shared" si="226"/>
        <v>-1.5316647438805642E-2</v>
      </c>
      <c r="J230" s="302">
        <f t="shared" si="227"/>
        <v>-1.334594992227538E-2</v>
      </c>
      <c r="K230" s="302">
        <f t="shared" si="228"/>
        <v>-1.1504553048629164E-2</v>
      </c>
      <c r="L230" s="302">
        <f t="shared" si="229"/>
        <v>-1.0449697454159305E-2</v>
      </c>
      <c r="M230" s="302">
        <f t="shared" si="230"/>
        <v>-9.1604444791750696E-3</v>
      </c>
      <c r="N230" s="302">
        <f t="shared" si="231"/>
        <v>-6.7597290180476674E-3</v>
      </c>
      <c r="O230" s="302">
        <f t="shared" si="232"/>
        <v>2.9929389861139136E-4</v>
      </c>
      <c r="P230" s="302">
        <f t="shared" si="233"/>
        <v>1.7220183887261233E-2</v>
      </c>
      <c r="Q230" s="302">
        <f t="shared" si="234"/>
        <v>5.1961812509403807E-2</v>
      </c>
      <c r="R230" s="302">
        <f t="shared" si="235"/>
        <v>0.11795260442309298</v>
      </c>
      <c r="S230" s="302">
        <f t="shared" si="236"/>
        <v>0.23419080913862306</v>
      </c>
      <c r="T230" s="302">
        <f t="shared" si="237"/>
        <v>0.32538963267484655</v>
      </c>
      <c r="U230" s="302">
        <f t="shared" si="238"/>
        <v>0.76257011478537529</v>
      </c>
      <c r="V230" s="302">
        <f t="shared" si="239"/>
        <v>1.005242279729619</v>
      </c>
      <c r="W230" s="302">
        <f t="shared" si="240"/>
        <v>1.2637706240884303</v>
      </c>
      <c r="X230" s="302">
        <f t="shared" si="241"/>
        <v>1.482239199767565</v>
      </c>
      <c r="Y230" s="302">
        <f t="shared" si="242"/>
        <v>1.6334782199350915</v>
      </c>
      <c r="Z230" s="302">
        <f t="shared" si="243"/>
        <v>1.7595297440535416</v>
      </c>
      <c r="AA230" s="302">
        <f t="shared" si="244"/>
        <v>1.8503145714599158</v>
      </c>
      <c r="AB230" s="302">
        <f t="shared" si="245"/>
        <v>1.9002440209706559</v>
      </c>
      <c r="AC230" s="302">
        <f t="shared" si="246"/>
        <v>1.9350781301200888</v>
      </c>
      <c r="AD230" s="302">
        <f t="shared" si="247"/>
        <v>1.9612219423154993</v>
      </c>
      <c r="AE230" s="302">
        <f t="shared" si="248"/>
        <v>1.9745598659209345</v>
      </c>
      <c r="AF230" s="302">
        <f t="shared" si="249"/>
        <v>1.9834107448193583</v>
      </c>
      <c r="AG230" s="302">
        <f t="shared" si="250"/>
        <v>1.9901261941237685</v>
      </c>
      <c r="AH230" s="302">
        <f t="shared" si="251"/>
        <v>1.9934867890708692</v>
      </c>
      <c r="AI230" s="302">
        <f t="shared" si="252"/>
        <v>1.9956947876909965</v>
      </c>
      <c r="AJ230" s="302">
        <f t="shared" si="253"/>
        <v>1.9973842479634076</v>
      </c>
      <c r="AK230" s="303">
        <f t="shared" si="254"/>
        <v>1.9982411502130875</v>
      </c>
      <c r="AL230" s="223"/>
      <c r="AM230" s="137"/>
      <c r="AN230" s="223"/>
      <c r="AO230" s="222"/>
      <c r="AP230" s="169">
        <v>0.2</v>
      </c>
      <c r="AQ230" s="174">
        <f t="shared" si="260"/>
        <v>0.96398252880503787</v>
      </c>
      <c r="AR230" s="302">
        <f t="shared" si="300"/>
        <v>0.96686398523958139</v>
      </c>
      <c r="AS230" s="302">
        <f t="shared" si="300"/>
        <v>0.93076292773988967</v>
      </c>
      <c r="AT230" s="302">
        <f t="shared" si="300"/>
        <v>0.86387672985703645</v>
      </c>
      <c r="AU230" s="302">
        <f t="shared" si="300"/>
        <v>0.76490731446877402</v>
      </c>
      <c r="AV230" s="302">
        <f t="shared" si="300"/>
        <v>0.6815663784410626</v>
      </c>
      <c r="AW230" s="302">
        <f t="shared" si="300"/>
        <v>0.6640367194003256</v>
      </c>
      <c r="AX230" s="302">
        <f t="shared" si="300"/>
        <v>0.68156629947686376</v>
      </c>
      <c r="AY230" s="302">
        <f t="shared" si="300"/>
        <v>0.7649070964041047</v>
      </c>
      <c r="AZ230" s="302">
        <f t="shared" si="300"/>
        <v>0.86387622831771094</v>
      </c>
      <c r="BA230" s="302">
        <f t="shared" si="300"/>
        <v>0.93076188724475795</v>
      </c>
      <c r="BB230" s="302">
        <f t="shared" si="301"/>
        <v>0.96686196970474469</v>
      </c>
      <c r="BC230" s="302">
        <f t="shared" si="301"/>
        <v>0.98459226672852695</v>
      </c>
      <c r="BD230" s="302">
        <f t="shared" si="301"/>
        <v>0.99293541606686075</v>
      </c>
      <c r="BE230" s="302">
        <f t="shared" si="301"/>
        <v>0.99677929963169509</v>
      </c>
      <c r="BF230" s="302">
        <f t="shared" si="301"/>
        <v>0.99852849275913047</v>
      </c>
      <c r="BG230" s="302">
        <f t="shared" si="301"/>
        <v>0.99931548194595976</v>
      </c>
      <c r="BH230" s="302">
        <f t="shared" si="301"/>
        <v>0.99966284771867919</v>
      </c>
      <c r="BI230" s="302">
        <f t="shared" si="301"/>
        <v>0.99980965242042985</v>
      </c>
      <c r="BJ230" s="302">
        <f t="shared" si="301"/>
        <v>0.99986536181162988</v>
      </c>
      <c r="BK230" s="302">
        <f t="shared" si="301"/>
        <v>0.99988072726439403</v>
      </c>
      <c r="BL230" s="302">
        <f t="shared" si="302"/>
        <v>0.99987979009919981</v>
      </c>
      <c r="BM230" s="302">
        <f t="shared" si="302"/>
        <v>0.99987404142510572</v>
      </c>
      <c r="BN230" s="302">
        <f t="shared" si="302"/>
        <v>0.99986866146707798</v>
      </c>
      <c r="BO230" s="302">
        <f t="shared" si="302"/>
        <v>0.99986543305565001</v>
      </c>
      <c r="BP230" s="302">
        <f t="shared" si="302"/>
        <v>0.99986430434801199</v>
      </c>
      <c r="BQ230" s="302">
        <f t="shared" si="302"/>
        <v>0.99986432785754187</v>
      </c>
      <c r="BR230" s="302">
        <f t="shared" si="302"/>
        <v>0.99986470160450147</v>
      </c>
      <c r="BS230" s="302">
        <f t="shared" si="302"/>
        <v>0.99986649514021542</v>
      </c>
      <c r="BT230" s="302">
        <f t="shared" si="302"/>
        <v>0.99987110356684594</v>
      </c>
      <c r="BU230" s="302">
        <f t="shared" si="302"/>
        <v>0.99987950736415765</v>
      </c>
      <c r="BV230" s="302">
        <f t="shared" si="302"/>
        <v>0.99989195715611645</v>
      </c>
      <c r="BW230" s="223"/>
      <c r="BX230" s="137"/>
      <c r="BY230" s="223"/>
      <c r="BZ230" s="222"/>
      <c r="CA230" s="169">
        <v>0.2</v>
      </c>
      <c r="CB230" s="174">
        <f t="shared" si="261"/>
        <v>0.96398252880503787</v>
      </c>
      <c r="CC230" s="301">
        <f t="shared" si="262"/>
        <v>-1.8008735597481063E-2</v>
      </c>
      <c r="CD230" s="302">
        <f t="shared" si="264"/>
        <v>-1.7870371625540671E-2</v>
      </c>
      <c r="CE230" s="302">
        <f t="shared" si="265"/>
        <v>-1.7730130827045665E-2</v>
      </c>
      <c r="CF230" s="302">
        <f t="shared" si="266"/>
        <v>-1.7447800105747591E-2</v>
      </c>
      <c r="CG230" s="302">
        <f t="shared" si="267"/>
        <v>-1.6879578295724285E-2</v>
      </c>
      <c r="CH230" s="302">
        <f t="shared" si="268"/>
        <v>-1.573662592574121E-2</v>
      </c>
      <c r="CI230" s="302">
        <f t="shared" si="269"/>
        <v>-1.344028377900458E-2</v>
      </c>
      <c r="CJ230" s="302">
        <f t="shared" si="270"/>
        <v>-8.8373203096503428E-3</v>
      </c>
      <c r="CK230" s="302">
        <f t="shared" si="271"/>
        <v>3.4645460634358249E-4</v>
      </c>
      <c r="CL230" s="302">
        <f t="shared" si="272"/>
        <v>1.8501169980473131E-2</v>
      </c>
      <c r="CM230" s="302">
        <f t="shared" si="273"/>
        <v>5.3742741091855784E-2</v>
      </c>
      <c r="CN230" s="302">
        <f t="shared" si="274"/>
        <v>0.11979842662690243</v>
      </c>
      <c r="CO230" s="302">
        <f t="shared" si="275"/>
        <v>0.23585704100099647</v>
      </c>
      <c r="CP230" s="302">
        <f t="shared" si="276"/>
        <v>0.32644100132805365</v>
      </c>
      <c r="CQ230" s="302">
        <f t="shared" si="277"/>
        <v>0.76369389588297498</v>
      </c>
      <c r="CR230" s="302">
        <f t="shared" si="278"/>
        <v>1.0059308575627368</v>
      </c>
      <c r="CS230" s="302">
        <f t="shared" si="279"/>
        <v>1.2641968509407635</v>
      </c>
      <c r="CT230" s="302">
        <f t="shared" si="280"/>
        <v>1.482521394126598</v>
      </c>
      <c r="CU230" s="302">
        <f t="shared" si="281"/>
        <v>1.6336981780981341</v>
      </c>
      <c r="CV230" s="302">
        <f t="shared" si="282"/>
        <v>1.7597396330135253</v>
      </c>
      <c r="CW230" s="302">
        <f t="shared" si="283"/>
        <v>1.8505370243320378</v>
      </c>
      <c r="CX230" s="302">
        <f t="shared" si="284"/>
        <v>1.900483403151727</v>
      </c>
      <c r="CY230" s="302">
        <f t="shared" si="285"/>
        <v>1.9353323138269034</v>
      </c>
      <c r="CZ230" s="302">
        <f t="shared" si="286"/>
        <v>1.9614858934785704</v>
      </c>
      <c r="DA230" s="302">
        <f t="shared" si="287"/>
        <v>1.9748278414724472</v>
      </c>
      <c r="DB230" s="302">
        <f t="shared" si="288"/>
        <v>1.9836798749179394</v>
      </c>
      <c r="DC230" s="302">
        <f t="shared" si="289"/>
        <v>1.9903954914401678</v>
      </c>
      <c r="DD230" s="302">
        <f t="shared" si="290"/>
        <v>1.9937529647808774</v>
      </c>
      <c r="DE230" s="302">
        <f t="shared" si="291"/>
        <v>1.9959520587921213</v>
      </c>
      <c r="DF230" s="302">
        <f t="shared" si="292"/>
        <v>1.9976249470587031</v>
      </c>
      <c r="DG230" s="303">
        <f t="shared" si="293"/>
        <v>1.9984570691982229</v>
      </c>
      <c r="DH230" s="223"/>
      <c r="DI230"/>
      <c r="DJ230"/>
      <c r="DK230"/>
      <c r="DL230" s="781">
        <v>-0.4</v>
      </c>
      <c r="DM230" s="302">
        <f t="shared" si="294"/>
        <v>0.99263152020112821</v>
      </c>
      <c r="DN230" s="302">
        <f t="shared" si="294"/>
        <v>0.98902740220109897</v>
      </c>
      <c r="DO230" s="302">
        <f t="shared" si="294"/>
        <v>0.98367485769368024</v>
      </c>
      <c r="DP230" s="302">
        <f t="shared" si="294"/>
        <v>0.97574313003145141</v>
      </c>
      <c r="DQ230" s="302">
        <f t="shared" si="294"/>
        <v>0.9640275800758169</v>
      </c>
      <c r="DR230" s="302">
        <f t="shared" si="294"/>
        <v>0.94680601284626809</v>
      </c>
      <c r="DS230" s="302">
        <f t="shared" si="294"/>
        <v>0.92166855440647133</v>
      </c>
      <c r="DT230" s="302">
        <f t="shared" si="294"/>
        <v>0.88535164820226253</v>
      </c>
      <c r="DU230" s="302">
        <f t="shared" si="294"/>
        <v>0.83365460701215532</v>
      </c>
      <c r="DV230" s="302">
        <f t="shared" si="294"/>
        <v>0.76159415595576463</v>
      </c>
      <c r="DW230" s="302">
        <f t="shared" si="295"/>
        <v>0.66403677026784891</v>
      </c>
      <c r="DX230" s="302">
        <f t="shared" si="295"/>
        <v>0.76159415595576463</v>
      </c>
      <c r="DY230" s="302">
        <f t="shared" si="295"/>
        <v>0.83365460701215532</v>
      </c>
      <c r="DZ230" s="302">
        <f t="shared" si="295"/>
        <v>0.88535164820226253</v>
      </c>
      <c r="EA230" s="302">
        <f t="shared" si="295"/>
        <v>0.92166855440647133</v>
      </c>
      <c r="EB230" s="302">
        <f t="shared" si="295"/>
        <v>0.94680601284626809</v>
      </c>
      <c r="EC230" s="302">
        <f t="shared" si="295"/>
        <v>0.9640275800758169</v>
      </c>
      <c r="ED230" s="302">
        <f t="shared" si="295"/>
        <v>0.97574313003145141</v>
      </c>
      <c r="EE230" s="302">
        <f t="shared" si="295"/>
        <v>0.98367485769368024</v>
      </c>
      <c r="EF230" s="302">
        <f t="shared" si="295"/>
        <v>0.98902740220109897</v>
      </c>
      <c r="EG230" s="302">
        <f t="shared" si="295"/>
        <v>0.99263152020112821</v>
      </c>
      <c r="EH230"/>
      <c r="EI230"/>
      <c r="EJ230"/>
      <c r="EK230" s="781">
        <v>-0.4</v>
      </c>
      <c r="EL230" s="302">
        <f t="shared" si="296"/>
        <v>0.97344012261082846</v>
      </c>
      <c r="EM230" s="302">
        <f t="shared" si="296"/>
        <v>0.96182850221220129</v>
      </c>
      <c r="EN230" s="302">
        <f t="shared" si="296"/>
        <v>0.94563952947663132</v>
      </c>
      <c r="EO230" s="302">
        <f t="shared" si="296"/>
        <v>0.92352148935148781</v>
      </c>
      <c r="EP230" s="302">
        <f t="shared" si="296"/>
        <v>0.8941438395855954</v>
      </c>
      <c r="EQ230" s="302">
        <f t="shared" si="296"/>
        <v>0.85665130676158863</v>
      </c>
      <c r="ER230" s="302">
        <f t="shared" si="296"/>
        <v>0.81148791107115925</v>
      </c>
      <c r="ES230" s="302">
        <f t="shared" si="296"/>
        <v>0.76159415595576463</v>
      </c>
      <c r="ET230" s="302">
        <f t="shared" si="296"/>
        <v>0.71357352593554979</v>
      </c>
      <c r="EU230" s="302">
        <f t="shared" si="296"/>
        <v>0.67757722415900501</v>
      </c>
      <c r="EV230" s="302">
        <f t="shared" si="297"/>
        <v>0.66403677026784891</v>
      </c>
      <c r="EW230" s="302">
        <f t="shared" si="297"/>
        <v>0.67757722415900501</v>
      </c>
      <c r="EX230" s="302">
        <f t="shared" si="297"/>
        <v>0.71357352593554979</v>
      </c>
      <c r="EY230" s="302">
        <f t="shared" si="297"/>
        <v>0.76159415595576463</v>
      </c>
      <c r="EZ230" s="302">
        <f t="shared" si="297"/>
        <v>0.81148791107115925</v>
      </c>
      <c r="FA230" s="302">
        <f t="shared" si="297"/>
        <v>0.85665130676158863</v>
      </c>
      <c r="FB230" s="302">
        <f t="shared" si="297"/>
        <v>0.8941438395855954</v>
      </c>
      <c r="FC230" s="302">
        <f t="shared" si="297"/>
        <v>0.92352148935148781</v>
      </c>
      <c r="FD230" s="302">
        <f t="shared" si="297"/>
        <v>0.94563952947663132</v>
      </c>
      <c r="FE230" s="302">
        <f t="shared" si="297"/>
        <v>0.96182850221220129</v>
      </c>
      <c r="FF230" s="302">
        <f t="shared" si="297"/>
        <v>0.97344012261082846</v>
      </c>
      <c r="FG230"/>
      <c r="FH230"/>
      <c r="FI230" s="779"/>
      <c r="FJ230" s="420">
        <v>-0.4</v>
      </c>
      <c r="FK230" s="302">
        <f t="shared" si="298"/>
        <v>0.9640275800758169</v>
      </c>
      <c r="FL230" s="302">
        <f t="shared" si="298"/>
        <v>0.94680601284626809</v>
      </c>
      <c r="FM230" s="302">
        <f t="shared" si="298"/>
        <v>0.92166855440647133</v>
      </c>
      <c r="FN230" s="302">
        <f t="shared" si="298"/>
        <v>0.88535164820226253</v>
      </c>
      <c r="FO230" s="302">
        <f t="shared" si="298"/>
        <v>0.83365460701215532</v>
      </c>
      <c r="FP230" s="302">
        <f t="shared" si="298"/>
        <v>0.76159415595576463</v>
      </c>
      <c r="FQ230" s="302">
        <f t="shared" si="298"/>
        <v>0.66403677026784891</v>
      </c>
      <c r="FR230" s="302">
        <f t="shared" si="298"/>
        <v>0.66403677026784891</v>
      </c>
      <c r="FS230" s="302">
        <f t="shared" si="298"/>
        <v>0.66403677026784891</v>
      </c>
      <c r="FT230" s="302">
        <f t="shared" si="298"/>
        <v>0.66403677026784891</v>
      </c>
      <c r="FU230" s="302">
        <f t="shared" si="299"/>
        <v>0.66403677026784891</v>
      </c>
      <c r="FV230" s="302">
        <f t="shared" si="299"/>
        <v>0.66403677026784891</v>
      </c>
      <c r="FW230" s="302">
        <f t="shared" si="299"/>
        <v>0.66403677026784891</v>
      </c>
      <c r="FX230" s="302">
        <f t="shared" si="299"/>
        <v>0.66403677026784891</v>
      </c>
      <c r="FY230" s="302">
        <f t="shared" si="299"/>
        <v>0.66403677026784891</v>
      </c>
      <c r="FZ230" s="302">
        <f t="shared" si="299"/>
        <v>0.76159415595576463</v>
      </c>
      <c r="GA230" s="302">
        <f t="shared" si="299"/>
        <v>0.83365460701215532</v>
      </c>
      <c r="GB230" s="302">
        <f t="shared" si="299"/>
        <v>0.88535164820226253</v>
      </c>
      <c r="GC230" s="302">
        <f t="shared" si="299"/>
        <v>0.92166855440647133</v>
      </c>
      <c r="GD230" s="302">
        <f t="shared" si="299"/>
        <v>0.94680601284626809</v>
      </c>
      <c r="GE230" s="302">
        <f t="shared" si="299"/>
        <v>0.9640275800758169</v>
      </c>
      <c r="GF230"/>
      <c r="GG230"/>
      <c r="GH230"/>
    </row>
    <row r="231" spans="2:190" ht="42" customHeight="1">
      <c r="B231"/>
      <c r="C231" s="223"/>
      <c r="D231" s="222"/>
      <c r="E231" s="169">
        <v>0.1</v>
      </c>
      <c r="F231" s="174">
        <f t="shared" si="259"/>
        <v>0.454706503201455</v>
      </c>
      <c r="G231" s="301">
        <f t="shared" si="224"/>
        <v>-0.26294092251528861</v>
      </c>
      <c r="H231" s="302">
        <f t="shared" si="225"/>
        <v>-0.25149988841249005</v>
      </c>
      <c r="I231" s="302">
        <f t="shared" si="226"/>
        <v>-0.22826210576474279</v>
      </c>
      <c r="J231" s="302">
        <f t="shared" si="227"/>
        <v>-0.18544454496091967</v>
      </c>
      <c r="K231" s="302">
        <f t="shared" si="228"/>
        <v>-0.12631876997230854</v>
      </c>
      <c r="L231" s="302">
        <f t="shared" si="229"/>
        <v>-0.10272855344516553</v>
      </c>
      <c r="M231" s="302">
        <f t="shared" si="230"/>
        <v>-0.12471867995384278</v>
      </c>
      <c r="N231" s="302">
        <f t="shared" si="231"/>
        <v>-0.1795758632818108</v>
      </c>
      <c r="O231" s="302">
        <f t="shared" si="232"/>
        <v>-0.21311259071732605</v>
      </c>
      <c r="P231" s="302">
        <f t="shared" si="233"/>
        <v>-0.21793199832354199</v>
      </c>
      <c r="Q231" s="302">
        <f t="shared" si="234"/>
        <v>-0.193743110580232</v>
      </c>
      <c r="R231" s="302">
        <f t="shared" si="235"/>
        <v>-0.13265365121340295</v>
      </c>
      <c r="S231" s="302">
        <f t="shared" si="236"/>
        <v>-1.8643140581607754E-2</v>
      </c>
      <c r="T231" s="302">
        <f t="shared" si="237"/>
        <v>0.11940047156910975</v>
      </c>
      <c r="U231" s="302">
        <f t="shared" si="238"/>
        <v>0.23549907503862899</v>
      </c>
      <c r="V231" s="302">
        <f t="shared" si="239"/>
        <v>0.86660440694662233</v>
      </c>
      <c r="W231" s="302">
        <f t="shared" si="240"/>
        <v>1.1250694718888983</v>
      </c>
      <c r="X231" s="302">
        <f t="shared" si="241"/>
        <v>1.3455137247059445</v>
      </c>
      <c r="Y231" s="302">
        <f t="shared" si="242"/>
        <v>1.5638387754195506</v>
      </c>
      <c r="Z231" s="302">
        <f t="shared" si="243"/>
        <v>1.714969235034421</v>
      </c>
      <c r="AA231" s="302">
        <f t="shared" si="244"/>
        <v>1.8057034795542122</v>
      </c>
      <c r="AB231" s="302">
        <f t="shared" si="245"/>
        <v>1.8731369566840628</v>
      </c>
      <c r="AC231" s="302">
        <f t="shared" si="246"/>
        <v>1.9230339150875848</v>
      </c>
      <c r="AD231" s="302">
        <f t="shared" si="247"/>
        <v>1.9491591834535633</v>
      </c>
      <c r="AE231" s="302">
        <f t="shared" si="248"/>
        <v>1.9667963719875439</v>
      </c>
      <c r="AF231" s="302">
        <f t="shared" si="249"/>
        <v>1.9801335325657379</v>
      </c>
      <c r="AG231" s="302">
        <f t="shared" si="250"/>
        <v>1.9868486876799405</v>
      </c>
      <c r="AH231" s="302">
        <f t="shared" si="251"/>
        <v>1.9912741740399176</v>
      </c>
      <c r="AI231" s="302">
        <f t="shared" si="252"/>
        <v>1.9946547263575982</v>
      </c>
      <c r="AJ231" s="302">
        <f t="shared" si="253"/>
        <v>1.9963706400687087</v>
      </c>
      <c r="AK231" s="303">
        <f t="shared" si="254"/>
        <v>1.9975269089644672</v>
      </c>
      <c r="AL231" s="223"/>
      <c r="AM231" s="137"/>
      <c r="AN231" s="223"/>
      <c r="AO231" s="222"/>
      <c r="AP231" s="169">
        <v>0.1</v>
      </c>
      <c r="AQ231" s="174">
        <f t="shared" si="260"/>
        <v>0.454706503201455</v>
      </c>
      <c r="AR231" s="302">
        <f t="shared" si="300"/>
        <v>0.96440146108117031</v>
      </c>
      <c r="AS231" s="302">
        <f t="shared" si="300"/>
        <v>0.9229069738203074</v>
      </c>
      <c r="AT231" s="302">
        <f t="shared" si="300"/>
        <v>0.83806462357727596</v>
      </c>
      <c r="AU231" s="302">
        <f t="shared" si="300"/>
        <v>0.68156638885077758</v>
      </c>
      <c r="AV231" s="302">
        <f t="shared" si="300"/>
        <v>0.46523236104780064</v>
      </c>
      <c r="AW231" s="302">
        <f t="shared" si="300"/>
        <v>0.37994892541932979</v>
      </c>
      <c r="AX231" s="302">
        <f t="shared" si="300"/>
        <v>0.46523229050828391</v>
      </c>
      <c r="AY231" s="302">
        <f t="shared" si="300"/>
        <v>0.68156613054116855</v>
      </c>
      <c r="AZ231" s="302">
        <f t="shared" si="300"/>
        <v>0.83806396181476162</v>
      </c>
      <c r="BA231" s="302">
        <f t="shared" si="300"/>
        <v>0.92290553104603124</v>
      </c>
      <c r="BB231" s="302">
        <f t="shared" si="301"/>
        <v>0.96439855916554196</v>
      </c>
      <c r="BC231" s="302">
        <f t="shared" si="301"/>
        <v>0.98378862600000228</v>
      </c>
      <c r="BD231" s="302">
        <f t="shared" si="301"/>
        <v>0.99266112421395702</v>
      </c>
      <c r="BE231" s="302">
        <f t="shared" si="301"/>
        <v>0.99667812784359799</v>
      </c>
      <c r="BF231" s="302">
        <f t="shared" si="301"/>
        <v>0.99848227570036385</v>
      </c>
      <c r="BG231" s="302">
        <f t="shared" si="301"/>
        <v>0.99928164850827284</v>
      </c>
      <c r="BH231" s="302">
        <f t="shared" si="301"/>
        <v>0.99962336293734011</v>
      </c>
      <c r="BI231" s="302">
        <f t="shared" si="301"/>
        <v>0.9997548482885672</v>
      </c>
      <c r="BJ231" s="302">
        <f t="shared" si="301"/>
        <v>0.99978939071376882</v>
      </c>
      <c r="BK231" s="302">
        <f t="shared" si="301"/>
        <v>0.9997809462771089</v>
      </c>
      <c r="BL231" s="302">
        <f t="shared" si="302"/>
        <v>0.99975699617626101</v>
      </c>
      <c r="BM231" s="302">
        <f t="shared" si="302"/>
        <v>0.9997321350311853</v>
      </c>
      <c r="BN231" s="302">
        <f t="shared" si="302"/>
        <v>0.99971339838742745</v>
      </c>
      <c r="BO231" s="302">
        <f t="shared" si="302"/>
        <v>0.99970272227654844</v>
      </c>
      <c r="BP231" s="302">
        <f t="shared" si="302"/>
        <v>0.99969874219205934</v>
      </c>
      <c r="BQ231" s="302">
        <f t="shared" si="302"/>
        <v>0.99969835443134281</v>
      </c>
      <c r="BR231" s="302">
        <f t="shared" si="302"/>
        <v>0.99969914153571937</v>
      </c>
      <c r="BS231" s="302">
        <f t="shared" si="302"/>
        <v>0.99970379040725565</v>
      </c>
      <c r="BT231" s="302">
        <f t="shared" si="302"/>
        <v>0.99971585598037205</v>
      </c>
      <c r="BU231" s="302">
        <f t="shared" si="302"/>
        <v>0.99973764019818956</v>
      </c>
      <c r="BV231" s="302">
        <f t="shared" si="302"/>
        <v>0.99976926302008295</v>
      </c>
      <c r="BW231" s="223"/>
      <c r="BX231" s="137"/>
      <c r="BY231" s="223"/>
      <c r="BZ231" s="222"/>
      <c r="CA231" s="169">
        <v>0.1</v>
      </c>
      <c r="CB231" s="174">
        <f t="shared" si="261"/>
        <v>0.454706503201455</v>
      </c>
      <c r="CC231" s="301">
        <f t="shared" si="262"/>
        <v>-0.2726467483992725</v>
      </c>
      <c r="CD231" s="302">
        <f t="shared" si="264"/>
        <v>-0.27250838442733211</v>
      </c>
      <c r="CE231" s="302">
        <f t="shared" si="265"/>
        <v>-0.2723681436288371</v>
      </c>
      <c r="CF231" s="302">
        <f t="shared" si="266"/>
        <v>-0.27208581290753903</v>
      </c>
      <c r="CG231" s="302">
        <f t="shared" si="267"/>
        <v>-0.27151759109751572</v>
      </c>
      <c r="CH231" s="302">
        <f t="shared" si="268"/>
        <v>-0.27037463872753265</v>
      </c>
      <c r="CI231" s="302">
        <f t="shared" si="269"/>
        <v>-0.26807829658079602</v>
      </c>
      <c r="CJ231" s="302">
        <f t="shared" si="270"/>
        <v>-0.26347533311144178</v>
      </c>
      <c r="CK231" s="302">
        <f t="shared" si="271"/>
        <v>-0.25429155819544785</v>
      </c>
      <c r="CL231" s="302">
        <f t="shared" si="272"/>
        <v>-0.2361368428213183</v>
      </c>
      <c r="CM231" s="302">
        <f t="shared" si="273"/>
        <v>-0.20089527170993565</v>
      </c>
      <c r="CN231" s="302">
        <f t="shared" si="274"/>
        <v>-0.134839586174889</v>
      </c>
      <c r="CO231" s="302">
        <f t="shared" si="275"/>
        <v>-1.8780971800794966E-2</v>
      </c>
      <c r="CP231" s="302">
        <f t="shared" si="276"/>
        <v>0.11979842662690243</v>
      </c>
      <c r="CQ231" s="302">
        <f t="shared" si="277"/>
        <v>0.23585704100099647</v>
      </c>
      <c r="CR231" s="302">
        <f t="shared" si="278"/>
        <v>0.86722738102945152</v>
      </c>
      <c r="CS231" s="302">
        <f t="shared" si="279"/>
        <v>1.1254933744074782</v>
      </c>
      <c r="CT231" s="302">
        <f t="shared" si="280"/>
        <v>1.3458436605826574</v>
      </c>
      <c r="CU231" s="302">
        <f t="shared" si="281"/>
        <v>1.5641682037684919</v>
      </c>
      <c r="CV231" s="302">
        <f t="shared" si="282"/>
        <v>1.715344987740028</v>
      </c>
      <c r="CW231" s="302">
        <f t="shared" si="283"/>
        <v>1.8061423790585405</v>
      </c>
      <c r="CX231" s="302">
        <f t="shared" si="284"/>
        <v>1.8736388388932128</v>
      </c>
      <c r="CY231" s="302">
        <f t="shared" si="285"/>
        <v>1.923585217712902</v>
      </c>
      <c r="CZ231" s="302">
        <f t="shared" si="286"/>
        <v>1.949738797364569</v>
      </c>
      <c r="DA231" s="302">
        <f t="shared" si="287"/>
        <v>1.9673890633041213</v>
      </c>
      <c r="DB231" s="302">
        <f t="shared" si="288"/>
        <v>1.9807310112979979</v>
      </c>
      <c r="DC231" s="302">
        <f t="shared" si="289"/>
        <v>1.9874466278202263</v>
      </c>
      <c r="DD231" s="302">
        <f t="shared" si="290"/>
        <v>1.9918641833184605</v>
      </c>
      <c r="DE231" s="302">
        <f t="shared" si="291"/>
        <v>1.9952216566591701</v>
      </c>
      <c r="DF231" s="302">
        <f t="shared" si="292"/>
        <v>1.9968945449257518</v>
      </c>
      <c r="DG231" s="303">
        <f t="shared" si="293"/>
        <v>1.9979879186627301</v>
      </c>
      <c r="DH231" s="223"/>
      <c r="DI231"/>
      <c r="DJ231"/>
      <c r="DK231"/>
      <c r="DL231" s="781">
        <v>-0.5</v>
      </c>
      <c r="DM231" s="302">
        <f t="shared" si="294"/>
        <v>0.99505475368673069</v>
      </c>
      <c r="DN231" s="302">
        <f t="shared" si="294"/>
        <v>0.99263152020112821</v>
      </c>
      <c r="DO231" s="302">
        <f t="shared" si="294"/>
        <v>0.98902740220109897</v>
      </c>
      <c r="DP231" s="302">
        <f t="shared" si="294"/>
        <v>0.98367485769368024</v>
      </c>
      <c r="DQ231" s="302">
        <f t="shared" si="294"/>
        <v>0.97574313003145141</v>
      </c>
      <c r="DR231" s="302">
        <f t="shared" si="294"/>
        <v>0.9640275800758169</v>
      </c>
      <c r="DS231" s="302">
        <f t="shared" si="294"/>
        <v>0.94680601284626809</v>
      </c>
      <c r="DT231" s="302">
        <f t="shared" si="294"/>
        <v>0.92166855440647133</v>
      </c>
      <c r="DU231" s="302">
        <f t="shared" si="294"/>
        <v>0.88535164820226253</v>
      </c>
      <c r="DV231" s="302">
        <f t="shared" si="294"/>
        <v>0.83365460701215532</v>
      </c>
      <c r="DW231" s="302">
        <f t="shared" si="295"/>
        <v>0.76159415595576463</v>
      </c>
      <c r="DX231" s="302">
        <f t="shared" si="295"/>
        <v>0.83365460701215532</v>
      </c>
      <c r="DY231" s="302">
        <f t="shared" si="295"/>
        <v>0.88535164820226253</v>
      </c>
      <c r="DZ231" s="302">
        <f t="shared" si="295"/>
        <v>0.92166855440647133</v>
      </c>
      <c r="EA231" s="302">
        <f t="shared" si="295"/>
        <v>0.94680601284626809</v>
      </c>
      <c r="EB231" s="302">
        <f t="shared" si="295"/>
        <v>0.9640275800758169</v>
      </c>
      <c r="EC231" s="302">
        <f t="shared" si="295"/>
        <v>0.97574313003145141</v>
      </c>
      <c r="ED231" s="302">
        <f t="shared" si="295"/>
        <v>0.98367485769368024</v>
      </c>
      <c r="EE231" s="302">
        <f t="shared" si="295"/>
        <v>0.98902740220109897</v>
      </c>
      <c r="EF231" s="302">
        <f t="shared" si="295"/>
        <v>0.99263152020112821</v>
      </c>
      <c r="EG231" s="302">
        <f t="shared" si="295"/>
        <v>0.99505475368673069</v>
      </c>
      <c r="EH231"/>
      <c r="EI231"/>
      <c r="EJ231"/>
      <c r="EK231" s="781">
        <v>-0.5</v>
      </c>
      <c r="EL231" s="302">
        <f t="shared" si="296"/>
        <v>0.97741223558377843</v>
      </c>
      <c r="EM231" s="302">
        <f t="shared" si="296"/>
        <v>0.96797526879474338</v>
      </c>
      <c r="EN231" s="302">
        <f t="shared" si="296"/>
        <v>0.95509269691387622</v>
      </c>
      <c r="EO231" s="302">
        <f t="shared" si="296"/>
        <v>0.93791900570849696</v>
      </c>
      <c r="EP231" s="302">
        <f t="shared" si="296"/>
        <v>0.91575193436038127</v>
      </c>
      <c r="EQ231" s="302">
        <f t="shared" si="296"/>
        <v>0.88838556158566062</v>
      </c>
      <c r="ER231" s="302">
        <f t="shared" si="296"/>
        <v>0.85665130676158863</v>
      </c>
      <c r="ES231" s="302">
        <f t="shared" si="296"/>
        <v>0.82304705847053827</v>
      </c>
      <c r="ET231" s="302">
        <f t="shared" si="296"/>
        <v>0.79209622243685329</v>
      </c>
      <c r="EU231" s="302">
        <f t="shared" si="296"/>
        <v>0.76978665234542532</v>
      </c>
      <c r="EV231" s="302">
        <f t="shared" si="297"/>
        <v>0.76159415595576463</v>
      </c>
      <c r="EW231" s="302">
        <f t="shared" si="297"/>
        <v>0.76978665234542532</v>
      </c>
      <c r="EX231" s="302">
        <f t="shared" si="297"/>
        <v>0.79209622243685329</v>
      </c>
      <c r="EY231" s="302">
        <f t="shared" si="297"/>
        <v>0.82304705847053827</v>
      </c>
      <c r="EZ231" s="302">
        <f t="shared" si="297"/>
        <v>0.85665130676158863</v>
      </c>
      <c r="FA231" s="302">
        <f t="shared" si="297"/>
        <v>0.88838556158566062</v>
      </c>
      <c r="FB231" s="302">
        <f t="shared" si="297"/>
        <v>0.91575193436038127</v>
      </c>
      <c r="FC231" s="302">
        <f t="shared" si="297"/>
        <v>0.93791900570849696</v>
      </c>
      <c r="FD231" s="302">
        <f t="shared" si="297"/>
        <v>0.95509269691387622</v>
      </c>
      <c r="FE231" s="302">
        <f t="shared" si="297"/>
        <v>0.96797526879474338</v>
      </c>
      <c r="FF231" s="302">
        <f t="shared" si="297"/>
        <v>0.97741223558377843</v>
      </c>
      <c r="FG231"/>
      <c r="FH231"/>
      <c r="FI231" s="779"/>
      <c r="FJ231" s="420">
        <v>-0.5</v>
      </c>
      <c r="FK231" s="302">
        <f t="shared" si="298"/>
        <v>0.9640275800758169</v>
      </c>
      <c r="FL231" s="302">
        <f t="shared" si="298"/>
        <v>0.94680601284626809</v>
      </c>
      <c r="FM231" s="302">
        <f t="shared" si="298"/>
        <v>0.92166855440647133</v>
      </c>
      <c r="FN231" s="302">
        <f t="shared" si="298"/>
        <v>0.88535164820226253</v>
      </c>
      <c r="FO231" s="302">
        <f t="shared" si="298"/>
        <v>0.83365460701215532</v>
      </c>
      <c r="FP231" s="302">
        <f t="shared" si="298"/>
        <v>0.76159415595576463</v>
      </c>
      <c r="FQ231" s="302">
        <f t="shared" si="298"/>
        <v>0.76159415595576463</v>
      </c>
      <c r="FR231" s="302">
        <f t="shared" si="298"/>
        <v>0.76159415595576463</v>
      </c>
      <c r="FS231" s="302">
        <f t="shared" si="298"/>
        <v>0.76159415595576463</v>
      </c>
      <c r="FT231" s="302">
        <f t="shared" si="298"/>
        <v>0.76159415595576463</v>
      </c>
      <c r="FU231" s="302">
        <f t="shared" si="299"/>
        <v>0.76159415595576463</v>
      </c>
      <c r="FV231" s="302">
        <f t="shared" si="299"/>
        <v>0.76159415595576463</v>
      </c>
      <c r="FW231" s="302">
        <f t="shared" si="299"/>
        <v>0.76159415595576463</v>
      </c>
      <c r="FX231" s="302">
        <f t="shared" si="299"/>
        <v>0.76159415595576463</v>
      </c>
      <c r="FY231" s="302">
        <f t="shared" si="299"/>
        <v>0.76159415595576463</v>
      </c>
      <c r="FZ231" s="302">
        <f t="shared" si="299"/>
        <v>0.76159415595576463</v>
      </c>
      <c r="GA231" s="302">
        <f t="shared" si="299"/>
        <v>0.83365460701215532</v>
      </c>
      <c r="GB231" s="302">
        <f t="shared" si="299"/>
        <v>0.88535164820226253</v>
      </c>
      <c r="GC231" s="302">
        <f t="shared" si="299"/>
        <v>0.92166855440647133</v>
      </c>
      <c r="GD231" s="302">
        <f t="shared" si="299"/>
        <v>0.94680601284626809</v>
      </c>
      <c r="GE231" s="302">
        <f t="shared" si="299"/>
        <v>0.9640275800758169</v>
      </c>
      <c r="GF231"/>
      <c r="GG231"/>
      <c r="GH231"/>
    </row>
    <row r="232" spans="2:190" ht="42" customHeight="1">
      <c r="B232"/>
      <c r="C232" s="223"/>
      <c r="D232" s="222"/>
      <c r="E232" s="169">
        <v>0</v>
      </c>
      <c r="F232" s="174">
        <f t="shared" si="259"/>
        <v>-4.4328028289493115E-2</v>
      </c>
      <c r="G232" s="301">
        <f t="shared" si="224"/>
        <v>-0.5033805095923034</v>
      </c>
      <c r="H232" s="302">
        <f t="shared" si="225"/>
        <v>-0.48113462354957481</v>
      </c>
      <c r="I232" s="302">
        <f t="shared" si="226"/>
        <v>-0.43507217041999885</v>
      </c>
      <c r="J232" s="302">
        <f t="shared" si="227"/>
        <v>-0.34636361448859282</v>
      </c>
      <c r="K232" s="302">
        <f t="shared" si="228"/>
        <v>-0.19796664199316696</v>
      </c>
      <c r="L232" s="302">
        <f t="shared" si="229"/>
        <v>0</v>
      </c>
      <c r="M232" s="302">
        <f t="shared" si="230"/>
        <v>-0.19665984812186146</v>
      </c>
      <c r="N232" s="302">
        <f t="shared" si="231"/>
        <v>-0.34064577444374022</v>
      </c>
      <c r="O232" s="302">
        <f t="shared" si="232"/>
        <v>-0.42000210898335066</v>
      </c>
      <c r="P232" s="302">
        <f t="shared" si="233"/>
        <v>-0.44761118027836205</v>
      </c>
      <c r="Q232" s="302">
        <f t="shared" si="234"/>
        <v>-0.4342083042352321</v>
      </c>
      <c r="R232" s="302">
        <f t="shared" si="235"/>
        <v>-0.37807912597267906</v>
      </c>
      <c r="S232" s="302">
        <f t="shared" si="236"/>
        <v>-0.26631723065081692</v>
      </c>
      <c r="T232" s="302">
        <f t="shared" si="237"/>
        <v>-0.1343884856676443</v>
      </c>
      <c r="U232" s="302">
        <f t="shared" si="238"/>
        <v>-1.8752021812874411E-2</v>
      </c>
      <c r="V232" s="302">
        <f t="shared" si="239"/>
        <v>0.1197080372423231</v>
      </c>
      <c r="W232" s="302">
        <f t="shared" si="240"/>
        <v>1.0054916905513067</v>
      </c>
      <c r="X232" s="302">
        <f t="shared" si="241"/>
        <v>1.2637655902919784</v>
      </c>
      <c r="Y232" s="302">
        <f t="shared" si="242"/>
        <v>1.4819959539177754</v>
      </c>
      <c r="Z232" s="302">
        <f t="shared" si="243"/>
        <v>1.6330141857134128</v>
      </c>
      <c r="AA232" s="302">
        <f t="shared" si="244"/>
        <v>1.758861184713516</v>
      </c>
      <c r="AB232" s="302">
        <f t="shared" si="245"/>
        <v>1.8494766501657038</v>
      </c>
      <c r="AC232" s="302">
        <f t="shared" si="246"/>
        <v>1.899291800501792</v>
      </c>
      <c r="AD232" s="302">
        <f t="shared" si="247"/>
        <v>1.9340594469249086</v>
      </c>
      <c r="AE232" s="302">
        <f t="shared" si="248"/>
        <v>1.9601728436945809</v>
      </c>
      <c r="AF232" s="302">
        <f t="shared" si="249"/>
        <v>1.9735028797468415</v>
      </c>
      <c r="AG232" s="302">
        <f t="shared" si="250"/>
        <v>1.9823527606208302</v>
      </c>
      <c r="AH232" s="302">
        <f t="shared" si="251"/>
        <v>1.9890885365297211</v>
      </c>
      <c r="AI232" s="302">
        <f t="shared" si="252"/>
        <v>1.9925077848408912</v>
      </c>
      <c r="AJ232" s="302">
        <f t="shared" si="253"/>
        <v>1.9948193566719201</v>
      </c>
      <c r="AK232" s="303">
        <f t="shared" si="254"/>
        <v>1.9966522755949576</v>
      </c>
      <c r="AL232" s="223"/>
      <c r="AM232" s="137"/>
      <c r="AN232" s="223"/>
      <c r="AO232" s="222"/>
      <c r="AP232" s="169">
        <v>0</v>
      </c>
      <c r="AQ232" s="174">
        <f t="shared" si="260"/>
        <v>-4.4328028289493115E-2</v>
      </c>
      <c r="AR232" s="302">
        <f t="shared" si="300"/>
        <v>0.96402757745914625</v>
      </c>
      <c r="AS232" s="302">
        <f t="shared" si="300"/>
        <v>0.92166854902686246</v>
      </c>
      <c r="AT232" s="302">
        <f t="shared" si="300"/>
        <v>0.83365459659354579</v>
      </c>
      <c r="AU232" s="302">
        <f t="shared" si="300"/>
        <v>0.66403675258789052</v>
      </c>
      <c r="AV232" s="302">
        <f t="shared" si="300"/>
        <v>0.37994894083031155</v>
      </c>
      <c r="AW232" s="302">
        <f t="shared" si="300"/>
        <v>0</v>
      </c>
      <c r="AX232" s="302">
        <f t="shared" si="300"/>
        <v>0.37994886825922114</v>
      </c>
      <c r="AY232" s="302">
        <f t="shared" si="300"/>
        <v>0.6640364309403094</v>
      </c>
      <c r="AZ232" s="302">
        <f t="shared" si="300"/>
        <v>0.83365373734026005</v>
      </c>
      <c r="BA232" s="302">
        <f t="shared" si="300"/>
        <v>0.9216666190661944</v>
      </c>
      <c r="BB232" s="302">
        <f t="shared" si="301"/>
        <v>0.96402357422881058</v>
      </c>
      <c r="BC232" s="302">
        <f t="shared" si="301"/>
        <v>0.98366693369373126</v>
      </c>
      <c r="BD232" s="302">
        <f t="shared" si="301"/>
        <v>0.99261639989300909</v>
      </c>
      <c r="BE232" s="302">
        <f t="shared" si="301"/>
        <v>0.9966545395158688</v>
      </c>
      <c r="BF232" s="302">
        <f t="shared" si="301"/>
        <v>0.99845854686181212</v>
      </c>
      <c r="BG232" s="302">
        <f t="shared" si="301"/>
        <v>0.99924548771528654</v>
      </c>
      <c r="BH232" s="302">
        <f t="shared" si="301"/>
        <v>0.99956342226890804</v>
      </c>
      <c r="BI232" s="302">
        <f t="shared" si="301"/>
        <v>0.99965886590489117</v>
      </c>
      <c r="BJ232" s="302">
        <f t="shared" si="301"/>
        <v>0.99964557664334264</v>
      </c>
      <c r="BK232" s="302">
        <f t="shared" si="301"/>
        <v>0.99958132267398525</v>
      </c>
      <c r="BL232" s="302">
        <f t="shared" si="302"/>
        <v>0.99950080779933059</v>
      </c>
      <c r="BM232" s="302">
        <f t="shared" si="302"/>
        <v>0.99942699110993649</v>
      </c>
      <c r="BN232" s="302">
        <f t="shared" si="302"/>
        <v>0.99937300023354114</v>
      </c>
      <c r="BO232" s="302">
        <f t="shared" si="302"/>
        <v>0.99934230059979834</v>
      </c>
      <c r="BP232" s="302">
        <f t="shared" si="302"/>
        <v>0.99933058413096165</v>
      </c>
      <c r="BQ232" s="302">
        <f t="shared" si="302"/>
        <v>0.99932907481969779</v>
      </c>
      <c r="BR232" s="302">
        <f t="shared" si="302"/>
        <v>0.99933098363607475</v>
      </c>
      <c r="BS232" s="302">
        <f t="shared" si="302"/>
        <v>0.99934336923688416</v>
      </c>
      <c r="BT232" s="302">
        <f t="shared" si="302"/>
        <v>0.99937545926602644</v>
      </c>
      <c r="BU232" s="302">
        <f t="shared" si="302"/>
        <v>0.99943250033726427</v>
      </c>
      <c r="BV232" s="302">
        <f t="shared" si="302"/>
        <v>0.99951308604491673</v>
      </c>
      <c r="BW232" s="223"/>
      <c r="BX232" s="137"/>
      <c r="BY232" s="223"/>
      <c r="BZ232" s="222"/>
      <c r="CA232" s="169">
        <v>0</v>
      </c>
      <c r="CB232" s="174">
        <f t="shared" si="261"/>
        <v>-4.4328028289493115E-2</v>
      </c>
      <c r="CC232" s="301">
        <f t="shared" si="262"/>
        <v>-0.52216401414474656</v>
      </c>
      <c r="CD232" s="302">
        <f t="shared" si="264"/>
        <v>-0.52202565017280622</v>
      </c>
      <c r="CE232" s="302">
        <f t="shared" si="265"/>
        <v>-0.52188540937431116</v>
      </c>
      <c r="CF232" s="302">
        <f t="shared" si="266"/>
        <v>-0.52160307865301303</v>
      </c>
      <c r="CG232" s="302">
        <f t="shared" si="267"/>
        <v>-0.52103485684298978</v>
      </c>
      <c r="CH232" s="302">
        <f t="shared" si="268"/>
        <v>-0.51989190447300671</v>
      </c>
      <c r="CI232" s="302">
        <f t="shared" si="269"/>
        <v>-0.51759556232627002</v>
      </c>
      <c r="CJ232" s="302">
        <f t="shared" si="270"/>
        <v>-0.51299259885691584</v>
      </c>
      <c r="CK232" s="302">
        <f t="shared" si="271"/>
        <v>-0.50380882394092197</v>
      </c>
      <c r="CL232" s="302">
        <f t="shared" si="272"/>
        <v>-0.48565410856679236</v>
      </c>
      <c r="CM232" s="302">
        <f t="shared" si="273"/>
        <v>-0.45041253745540971</v>
      </c>
      <c r="CN232" s="302">
        <f t="shared" si="274"/>
        <v>-0.38435685192036306</v>
      </c>
      <c r="CO232" s="302">
        <f t="shared" si="275"/>
        <v>-0.26829823754626902</v>
      </c>
      <c r="CP232" s="302">
        <f t="shared" si="276"/>
        <v>-0.134839586174889</v>
      </c>
      <c r="CQ232" s="302">
        <f t="shared" si="277"/>
        <v>-1.8780971800794966E-2</v>
      </c>
      <c r="CR232" s="302">
        <f t="shared" si="278"/>
        <v>0.11979842662690243</v>
      </c>
      <c r="CS232" s="302">
        <f t="shared" si="279"/>
        <v>1.0059308575627368</v>
      </c>
      <c r="CT232" s="302">
        <f t="shared" si="280"/>
        <v>1.2641968509407635</v>
      </c>
      <c r="CU232" s="302">
        <f t="shared" si="281"/>
        <v>1.482521394126598</v>
      </c>
      <c r="CV232" s="302">
        <f t="shared" si="282"/>
        <v>1.6336981780981341</v>
      </c>
      <c r="CW232" s="302">
        <f t="shared" si="283"/>
        <v>1.7597396330135253</v>
      </c>
      <c r="CX232" s="302">
        <f t="shared" si="284"/>
        <v>1.8505370243320378</v>
      </c>
      <c r="CY232" s="302">
        <f t="shared" si="285"/>
        <v>1.900483403151727</v>
      </c>
      <c r="CZ232" s="302">
        <f t="shared" si="286"/>
        <v>1.9353323138269034</v>
      </c>
      <c r="DA232" s="302">
        <f t="shared" si="287"/>
        <v>1.9614858934785704</v>
      </c>
      <c r="DB232" s="302">
        <f t="shared" si="288"/>
        <v>1.9748278414724472</v>
      </c>
      <c r="DC232" s="302">
        <f t="shared" si="289"/>
        <v>1.9836798749179394</v>
      </c>
      <c r="DD232" s="302">
        <f t="shared" si="290"/>
        <v>1.9903954914401678</v>
      </c>
      <c r="DE232" s="302">
        <f t="shared" si="291"/>
        <v>1.9937529647808774</v>
      </c>
      <c r="DF232" s="302">
        <f t="shared" si="292"/>
        <v>1.9959520587921213</v>
      </c>
      <c r="DG232" s="303">
        <f t="shared" si="293"/>
        <v>1.9976249470587031</v>
      </c>
      <c r="DH232" s="223"/>
      <c r="DI232"/>
      <c r="DJ232"/>
      <c r="DK232"/>
      <c r="DL232" s="781">
        <v>-0.6</v>
      </c>
      <c r="DM232" s="302">
        <f t="shared" si="294"/>
        <v>0.99668239783965107</v>
      </c>
      <c r="DN232" s="302">
        <f t="shared" si="294"/>
        <v>0.99505475368673069</v>
      </c>
      <c r="DO232" s="302">
        <f t="shared" si="294"/>
        <v>0.99263152020112821</v>
      </c>
      <c r="DP232" s="302">
        <f t="shared" si="294"/>
        <v>0.98902740220109897</v>
      </c>
      <c r="DQ232" s="302">
        <f t="shared" si="294"/>
        <v>0.98367485769368024</v>
      </c>
      <c r="DR232" s="302">
        <f t="shared" si="294"/>
        <v>0.97574313003145141</v>
      </c>
      <c r="DS232" s="302">
        <f t="shared" si="294"/>
        <v>0.9640275800758169</v>
      </c>
      <c r="DT232" s="302">
        <f t="shared" si="294"/>
        <v>0.94680601284626809</v>
      </c>
      <c r="DU232" s="302">
        <f t="shared" si="294"/>
        <v>0.92166855440647133</v>
      </c>
      <c r="DV232" s="302">
        <f t="shared" si="294"/>
        <v>0.88535164820226253</v>
      </c>
      <c r="DW232" s="302">
        <f t="shared" si="295"/>
        <v>0.83365460701215532</v>
      </c>
      <c r="DX232" s="302">
        <f t="shared" si="295"/>
        <v>0.88535164820226253</v>
      </c>
      <c r="DY232" s="302">
        <f t="shared" si="295"/>
        <v>0.92166855440647133</v>
      </c>
      <c r="DZ232" s="302">
        <f t="shared" si="295"/>
        <v>0.94680601284626809</v>
      </c>
      <c r="EA232" s="302">
        <f t="shared" si="295"/>
        <v>0.9640275800758169</v>
      </c>
      <c r="EB232" s="302">
        <f t="shared" si="295"/>
        <v>0.97574313003145141</v>
      </c>
      <c r="EC232" s="302">
        <f t="shared" si="295"/>
        <v>0.98367485769368024</v>
      </c>
      <c r="ED232" s="302">
        <f t="shared" si="295"/>
        <v>0.98902740220109897</v>
      </c>
      <c r="EE232" s="302">
        <f t="shared" si="295"/>
        <v>0.99263152020112821</v>
      </c>
      <c r="EF232" s="302">
        <f t="shared" si="295"/>
        <v>0.99505475368673069</v>
      </c>
      <c r="EG232" s="302">
        <f t="shared" si="295"/>
        <v>0.99668239783965107</v>
      </c>
      <c r="EH232"/>
      <c r="EI232"/>
      <c r="EJ232"/>
      <c r="EK232" s="781">
        <v>-0.6</v>
      </c>
      <c r="EL232" s="302">
        <f t="shared" si="296"/>
        <v>0.98133288248609807</v>
      </c>
      <c r="EM232" s="302">
        <f t="shared" si="296"/>
        <v>0.97392137898758402</v>
      </c>
      <c r="EN232" s="302">
        <f t="shared" si="296"/>
        <v>0.9640275800758169</v>
      </c>
      <c r="EO232" s="302">
        <f t="shared" si="296"/>
        <v>0.95116896097802295</v>
      </c>
      <c r="EP232" s="302">
        <f t="shared" si="296"/>
        <v>0.93504006086803115</v>
      </c>
      <c r="EQ232" s="302">
        <f t="shared" si="296"/>
        <v>0.91575193436038127</v>
      </c>
      <c r="ER232" s="302">
        <f t="shared" si="296"/>
        <v>0.8941438395855954</v>
      </c>
      <c r="ES232" s="302">
        <f t="shared" si="296"/>
        <v>0.87206578039101212</v>
      </c>
      <c r="ET232" s="302">
        <f t="shared" si="296"/>
        <v>0.85241239416703474</v>
      </c>
      <c r="EU232" s="302">
        <f t="shared" si="296"/>
        <v>0.8386342826622768</v>
      </c>
      <c r="EV232" s="302">
        <f t="shared" si="297"/>
        <v>0.83365460701215532</v>
      </c>
      <c r="EW232" s="302">
        <f t="shared" si="297"/>
        <v>0.8386342826622768</v>
      </c>
      <c r="EX232" s="302">
        <f t="shared" si="297"/>
        <v>0.85241239416703474</v>
      </c>
      <c r="EY232" s="302">
        <f t="shared" si="297"/>
        <v>0.87206578039101212</v>
      </c>
      <c r="EZ232" s="302">
        <f t="shared" si="297"/>
        <v>0.8941438395855954</v>
      </c>
      <c r="FA232" s="302">
        <f t="shared" si="297"/>
        <v>0.91575193436038127</v>
      </c>
      <c r="FB232" s="302">
        <f t="shared" si="297"/>
        <v>0.93504006086803115</v>
      </c>
      <c r="FC232" s="302">
        <f t="shared" si="297"/>
        <v>0.95116896097802295</v>
      </c>
      <c r="FD232" s="302">
        <f t="shared" si="297"/>
        <v>0.9640275800758169</v>
      </c>
      <c r="FE232" s="302">
        <f t="shared" si="297"/>
        <v>0.97392137898758402</v>
      </c>
      <c r="FF232" s="302">
        <f t="shared" si="297"/>
        <v>0.98133288248609807</v>
      </c>
      <c r="FG232"/>
      <c r="FH232"/>
      <c r="FI232" s="779"/>
      <c r="FJ232" s="420">
        <v>-0.6</v>
      </c>
      <c r="FK232" s="302">
        <f t="shared" si="298"/>
        <v>0.9640275800758169</v>
      </c>
      <c r="FL232" s="302">
        <f t="shared" si="298"/>
        <v>0.94680601284626809</v>
      </c>
      <c r="FM232" s="302">
        <f t="shared" si="298"/>
        <v>0.92166855440647133</v>
      </c>
      <c r="FN232" s="302">
        <f t="shared" si="298"/>
        <v>0.88535164820226253</v>
      </c>
      <c r="FO232" s="302">
        <f t="shared" si="298"/>
        <v>0.83365460701215532</v>
      </c>
      <c r="FP232" s="302">
        <f t="shared" si="298"/>
        <v>0.83365460701215532</v>
      </c>
      <c r="FQ232" s="302">
        <f t="shared" si="298"/>
        <v>0.83365460701215532</v>
      </c>
      <c r="FR232" s="302">
        <f t="shared" si="298"/>
        <v>0.83365460701215532</v>
      </c>
      <c r="FS232" s="302">
        <f t="shared" si="298"/>
        <v>0.83365460701215532</v>
      </c>
      <c r="FT232" s="302">
        <f t="shared" si="298"/>
        <v>0.83365460701215532</v>
      </c>
      <c r="FU232" s="302">
        <f t="shared" si="299"/>
        <v>0.83365460701215532</v>
      </c>
      <c r="FV232" s="302">
        <f t="shared" si="299"/>
        <v>0.83365460701215532</v>
      </c>
      <c r="FW232" s="302">
        <f t="shared" si="299"/>
        <v>0.83365460701215532</v>
      </c>
      <c r="FX232" s="302">
        <f t="shared" si="299"/>
        <v>0.83365460701215532</v>
      </c>
      <c r="FY232" s="302">
        <f t="shared" si="299"/>
        <v>0.83365460701215532</v>
      </c>
      <c r="FZ232" s="302">
        <f t="shared" si="299"/>
        <v>0.83365460701215532</v>
      </c>
      <c r="GA232" s="302">
        <f t="shared" si="299"/>
        <v>0.83365460701215532</v>
      </c>
      <c r="GB232" s="302">
        <f t="shared" si="299"/>
        <v>0.88535164820226253</v>
      </c>
      <c r="GC232" s="302">
        <f t="shared" si="299"/>
        <v>0.92166855440647133</v>
      </c>
      <c r="GD232" s="302">
        <f t="shared" si="299"/>
        <v>0.94680601284626809</v>
      </c>
      <c r="GE232" s="302">
        <f t="shared" si="299"/>
        <v>0.9640275800758169</v>
      </c>
      <c r="GF232"/>
      <c r="GG232"/>
      <c r="GH232"/>
    </row>
    <row r="233" spans="2:190" ht="42" customHeight="1">
      <c r="B233"/>
      <c r="C233" s="223"/>
      <c r="D233" s="222"/>
      <c r="E233" s="169">
        <v>-0.1</v>
      </c>
      <c r="F233" s="174">
        <f t="shared" si="259"/>
        <v>-0.43478598507439559</v>
      </c>
      <c r="G233" s="301">
        <f t="shared" si="224"/>
        <v>-0.6918548497141348</v>
      </c>
      <c r="H233" s="302">
        <f t="shared" si="225"/>
        <v>-0.66195929769084438</v>
      </c>
      <c r="I233" s="302">
        <f t="shared" si="226"/>
        <v>-0.60098819730736153</v>
      </c>
      <c r="J233" s="302">
        <f t="shared" si="227"/>
        <v>-0.48856863251652466</v>
      </c>
      <c r="K233" s="302">
        <f t="shared" si="228"/>
        <v>-0.33322910888945123</v>
      </c>
      <c r="L233" s="302">
        <f t="shared" si="229"/>
        <v>-0.27170939918472231</v>
      </c>
      <c r="M233" s="302">
        <f t="shared" si="230"/>
        <v>-0.331628960922984</v>
      </c>
      <c r="N233" s="302">
        <f t="shared" si="231"/>
        <v>-0.48269973144394823</v>
      </c>
      <c r="O233" s="302">
        <f t="shared" si="232"/>
        <v>-0.58583809398691156</v>
      </c>
      <c r="P233" s="302">
        <f t="shared" si="233"/>
        <v>-0.62839006074896142</v>
      </c>
      <c r="Q233" s="302">
        <f t="shared" si="234"/>
        <v>-0.62265421318546876</v>
      </c>
      <c r="R233" s="302">
        <f t="shared" si="235"/>
        <v>-0.57018692043244923</v>
      </c>
      <c r="S233" s="302">
        <f t="shared" si="236"/>
        <v>-0.46012030086821587</v>
      </c>
      <c r="T233" s="302">
        <f t="shared" si="237"/>
        <v>-0.38307129199051948</v>
      </c>
      <c r="U233" s="302">
        <f t="shared" si="238"/>
        <v>-0.26787890106029266</v>
      </c>
      <c r="V233" s="302">
        <f t="shared" si="239"/>
        <v>-0.13473117209598542</v>
      </c>
      <c r="W233" s="302">
        <f t="shared" si="240"/>
        <v>-1.8771009137941476E-2</v>
      </c>
      <c r="X233" s="302">
        <f t="shared" si="241"/>
        <v>1.1249256809559225</v>
      </c>
      <c r="Y233" s="302">
        <f t="shared" si="242"/>
        <v>1.345013601334373</v>
      </c>
      <c r="Z233" s="302">
        <f t="shared" si="243"/>
        <v>1.5629073990755524</v>
      </c>
      <c r="AA233" s="302">
        <f t="shared" si="244"/>
        <v>1.7135907078423684</v>
      </c>
      <c r="AB233" s="302">
        <f t="shared" si="245"/>
        <v>1.8039363581835774</v>
      </c>
      <c r="AC233" s="302">
        <f t="shared" si="246"/>
        <v>1.8710734828118207</v>
      </c>
      <c r="AD233" s="302">
        <f t="shared" si="247"/>
        <v>1.920787260771553</v>
      </c>
      <c r="AE233" s="302">
        <f t="shared" si="248"/>
        <v>1.9468382503269133</v>
      </c>
      <c r="AF233" s="302">
        <f t="shared" si="249"/>
        <v>1.9644531635213618</v>
      </c>
      <c r="AG233" s="302">
        <f t="shared" si="250"/>
        <v>1.9777851484589779</v>
      </c>
      <c r="AH233" s="302">
        <f t="shared" si="251"/>
        <v>1.9845579014588379</v>
      </c>
      <c r="AI233" s="302">
        <f t="shared" si="252"/>
        <v>1.9891418448925393</v>
      </c>
      <c r="AJ233" s="302">
        <f t="shared" si="253"/>
        <v>1.9927956680558918</v>
      </c>
      <c r="AK233" s="303">
        <f t="shared" si="254"/>
        <v>1.9948768013473142</v>
      </c>
      <c r="AL233" s="223"/>
      <c r="AM233" s="137"/>
      <c r="AN233" s="223"/>
      <c r="AO233" s="222"/>
      <c r="AP233" s="169">
        <v>-0.1</v>
      </c>
      <c r="AQ233" s="174">
        <f t="shared" si="260"/>
        <v>-0.43478598507439559</v>
      </c>
      <c r="AR233" s="302">
        <f t="shared" si="300"/>
        <v>0.9644014604425637</v>
      </c>
      <c r="AS233" s="302">
        <f t="shared" si="300"/>
        <v>0.92290697240250408</v>
      </c>
      <c r="AT233" s="302">
        <f t="shared" si="300"/>
        <v>0.83806462059554954</v>
      </c>
      <c r="AU233" s="302">
        <f t="shared" si="300"/>
        <v>0.68156638324775387</v>
      </c>
      <c r="AV233" s="302">
        <f t="shared" si="300"/>
        <v>0.46523235223779863</v>
      </c>
      <c r="AW233" s="302">
        <f t="shared" si="300"/>
        <v>0.37994890891172789</v>
      </c>
      <c r="AX233" s="302">
        <f t="shared" si="300"/>
        <v>0.46523224437336524</v>
      </c>
      <c r="AY233" s="302">
        <f t="shared" si="300"/>
        <v>0.68156597730146273</v>
      </c>
      <c r="AZ233" s="302">
        <f t="shared" si="300"/>
        <v>0.83806353823984414</v>
      </c>
      <c r="BA233" s="302">
        <f t="shared" si="300"/>
        <v>0.92290449386147799</v>
      </c>
      <c r="BB233" s="302">
        <f t="shared" si="301"/>
        <v>0.96439618255928738</v>
      </c>
      <c r="BC233" s="302">
        <f t="shared" si="301"/>
        <v>0.98378340292534017</v>
      </c>
      <c r="BD233" s="302">
        <f t="shared" si="301"/>
        <v>0.99265002150174764</v>
      </c>
      <c r="BE233" s="302">
        <f t="shared" si="301"/>
        <v>0.99665529592247271</v>
      </c>
      <c r="BF233" s="302">
        <f t="shared" si="301"/>
        <v>0.99843705091091384</v>
      </c>
      <c r="BG233" s="302">
        <f t="shared" si="301"/>
        <v>0.99919597736852328</v>
      </c>
      <c r="BH233" s="302">
        <f t="shared" si="301"/>
        <v>0.99946953422010532</v>
      </c>
      <c r="BI233" s="302">
        <f t="shared" si="301"/>
        <v>0.99949560480366706</v>
      </c>
      <c r="BJ233" s="302">
        <f t="shared" si="301"/>
        <v>0.99938324244294086</v>
      </c>
      <c r="BK233" s="302">
        <f t="shared" si="301"/>
        <v>0.99919394558085139</v>
      </c>
      <c r="BL233" s="302">
        <f t="shared" si="302"/>
        <v>0.99897730199452717</v>
      </c>
      <c r="BM233" s="302">
        <f t="shared" si="302"/>
        <v>0.99877860078998149</v>
      </c>
      <c r="BN233" s="302">
        <f t="shared" si="302"/>
        <v>0.99863081612734528</v>
      </c>
      <c r="BO233" s="302">
        <f t="shared" si="302"/>
        <v>0.99854544684811231</v>
      </c>
      <c r="BP233" s="302">
        <f t="shared" si="302"/>
        <v>0.99851234070862394</v>
      </c>
      <c r="BQ233" s="302">
        <f t="shared" si="302"/>
        <v>0.99850771774758729</v>
      </c>
      <c r="BR233" s="302">
        <f t="shared" si="302"/>
        <v>0.99851273957835929</v>
      </c>
      <c r="BS233" s="302">
        <f t="shared" si="302"/>
        <v>0.9985465137423305</v>
      </c>
      <c r="BT233" s="302">
        <f t="shared" si="302"/>
        <v>0.9986332710589807</v>
      </c>
      <c r="BU233" s="302">
        <f t="shared" si="302"/>
        <v>0.99878410070621404</v>
      </c>
      <c r="BV233" s="302">
        <f t="shared" si="302"/>
        <v>0.99898955927163757</v>
      </c>
      <c r="BW233" s="223"/>
      <c r="BX233" s="137"/>
      <c r="BY233" s="223"/>
      <c r="BZ233" s="222"/>
      <c r="CA233" s="169">
        <v>-0.1</v>
      </c>
      <c r="CB233" s="174">
        <f t="shared" si="261"/>
        <v>-0.43478598507439559</v>
      </c>
      <c r="CC233" s="301">
        <f t="shared" si="262"/>
        <v>-0.71739299253719779</v>
      </c>
      <c r="CD233" s="302">
        <f t="shared" si="264"/>
        <v>-0.71725462856525746</v>
      </c>
      <c r="CE233" s="302">
        <f t="shared" si="265"/>
        <v>-0.7171143877667624</v>
      </c>
      <c r="CF233" s="302">
        <f t="shared" si="266"/>
        <v>-0.71683205704546427</v>
      </c>
      <c r="CG233" s="302">
        <f t="shared" si="267"/>
        <v>-0.71626383523544102</v>
      </c>
      <c r="CH233" s="302">
        <f t="shared" si="268"/>
        <v>-0.71512088286545794</v>
      </c>
      <c r="CI233" s="302">
        <f t="shared" si="269"/>
        <v>-0.71282454071872126</v>
      </c>
      <c r="CJ233" s="302">
        <f t="shared" si="270"/>
        <v>-0.70822157724936707</v>
      </c>
      <c r="CK233" s="302">
        <f t="shared" si="271"/>
        <v>-0.6990378023333732</v>
      </c>
      <c r="CL233" s="302">
        <f t="shared" si="272"/>
        <v>-0.6808830869592436</v>
      </c>
      <c r="CM233" s="302">
        <f t="shared" si="273"/>
        <v>-0.645641515847861</v>
      </c>
      <c r="CN233" s="302">
        <f t="shared" si="274"/>
        <v>-0.5795858303128143</v>
      </c>
      <c r="CO233" s="302">
        <f t="shared" si="275"/>
        <v>-0.46352721593872026</v>
      </c>
      <c r="CP233" s="302">
        <f t="shared" si="276"/>
        <v>-0.38435685192036306</v>
      </c>
      <c r="CQ233" s="302">
        <f t="shared" si="277"/>
        <v>-0.26829823754626902</v>
      </c>
      <c r="CR233" s="302">
        <f t="shared" si="278"/>
        <v>-0.134839586174889</v>
      </c>
      <c r="CS233" s="302">
        <f t="shared" si="279"/>
        <v>-1.8780971800794966E-2</v>
      </c>
      <c r="CT233" s="302">
        <f t="shared" si="280"/>
        <v>1.1254933744074782</v>
      </c>
      <c r="CU233" s="302">
        <f t="shared" si="281"/>
        <v>1.3458436605826574</v>
      </c>
      <c r="CV233" s="302">
        <f t="shared" si="282"/>
        <v>1.5641682037684919</v>
      </c>
      <c r="CW233" s="302">
        <f t="shared" si="283"/>
        <v>1.715344987740028</v>
      </c>
      <c r="CX233" s="302">
        <f t="shared" si="284"/>
        <v>1.8061423790585405</v>
      </c>
      <c r="CY233" s="302">
        <f t="shared" si="285"/>
        <v>1.8736388388932128</v>
      </c>
      <c r="CZ233" s="302">
        <f t="shared" si="286"/>
        <v>1.923585217712902</v>
      </c>
      <c r="DA233" s="302">
        <f t="shared" si="287"/>
        <v>1.949738797364569</v>
      </c>
      <c r="DB233" s="302">
        <f t="shared" si="288"/>
        <v>1.9673890633041213</v>
      </c>
      <c r="DC233" s="302">
        <f t="shared" si="289"/>
        <v>1.9807310112979979</v>
      </c>
      <c r="DD233" s="302">
        <f t="shared" si="290"/>
        <v>1.9874466278202263</v>
      </c>
      <c r="DE233" s="302">
        <f t="shared" si="291"/>
        <v>1.9918641833184605</v>
      </c>
      <c r="DF233" s="302">
        <f t="shared" si="292"/>
        <v>1.9952216566591701</v>
      </c>
      <c r="DG233" s="303">
        <f t="shared" si="293"/>
        <v>1.9968945449257518</v>
      </c>
      <c r="DH233" s="223"/>
      <c r="DI233"/>
      <c r="DJ233"/>
      <c r="DK233"/>
      <c r="DL233" s="781">
        <v>-0.7</v>
      </c>
      <c r="DM233" s="302">
        <f t="shared" si="294"/>
        <v>0.99777492793427958</v>
      </c>
      <c r="DN233" s="302">
        <f t="shared" si="294"/>
        <v>0.99668239783965107</v>
      </c>
      <c r="DO233" s="302">
        <f t="shared" si="294"/>
        <v>0.99505475368673069</v>
      </c>
      <c r="DP233" s="302">
        <f t="shared" si="294"/>
        <v>0.99263152020112821</v>
      </c>
      <c r="DQ233" s="302">
        <f t="shared" si="294"/>
        <v>0.98902740220109897</v>
      </c>
      <c r="DR233" s="302">
        <f t="shared" si="294"/>
        <v>0.98367485769368024</v>
      </c>
      <c r="DS233" s="302">
        <f t="shared" si="294"/>
        <v>0.97574313003145141</v>
      </c>
      <c r="DT233" s="302">
        <f t="shared" si="294"/>
        <v>0.9640275800758169</v>
      </c>
      <c r="DU233" s="302">
        <f t="shared" si="294"/>
        <v>0.94680601284626809</v>
      </c>
      <c r="DV233" s="302">
        <f t="shared" si="294"/>
        <v>0.92166855440647133</v>
      </c>
      <c r="DW233" s="302">
        <f t="shared" si="295"/>
        <v>0.88535164820226253</v>
      </c>
      <c r="DX233" s="302">
        <f t="shared" si="295"/>
        <v>0.92166855440647133</v>
      </c>
      <c r="DY233" s="302">
        <f t="shared" si="295"/>
        <v>0.94680601284626809</v>
      </c>
      <c r="DZ233" s="302">
        <f t="shared" si="295"/>
        <v>0.9640275800758169</v>
      </c>
      <c r="EA233" s="302">
        <f t="shared" si="295"/>
        <v>0.97574313003145141</v>
      </c>
      <c r="EB233" s="302">
        <f t="shared" si="295"/>
        <v>0.98367485769368024</v>
      </c>
      <c r="EC233" s="302">
        <f t="shared" si="295"/>
        <v>0.98902740220109897</v>
      </c>
      <c r="ED233" s="302">
        <f t="shared" si="295"/>
        <v>0.99263152020112821</v>
      </c>
      <c r="EE233" s="302">
        <f t="shared" si="295"/>
        <v>0.99505475368673069</v>
      </c>
      <c r="EF233" s="302">
        <f t="shared" si="295"/>
        <v>0.99668239783965107</v>
      </c>
      <c r="EG233" s="302">
        <f t="shared" si="295"/>
        <v>0.99777492793427958</v>
      </c>
      <c r="EH233"/>
      <c r="EI233"/>
      <c r="EJ233"/>
      <c r="EK233" s="781">
        <v>-0.7</v>
      </c>
      <c r="EL233" s="302">
        <f t="shared" si="296"/>
        <v>0.98495972419362809</v>
      </c>
      <c r="EM233" s="302">
        <f t="shared" si="296"/>
        <v>0.97930689999723741</v>
      </c>
      <c r="EN233" s="302">
        <f t="shared" si="296"/>
        <v>0.97192976967610911</v>
      </c>
      <c r="EO233" s="302">
        <f t="shared" si="296"/>
        <v>0.96257956238231035</v>
      </c>
      <c r="EP233" s="302">
        <f t="shared" si="296"/>
        <v>0.95116896097802295</v>
      </c>
      <c r="EQ233" s="302">
        <f t="shared" si="296"/>
        <v>0.93791900570849696</v>
      </c>
      <c r="ER233" s="302">
        <f t="shared" si="296"/>
        <v>0.92352148935148781</v>
      </c>
      <c r="ES233" s="302">
        <f t="shared" si="296"/>
        <v>0.90924583651378499</v>
      </c>
      <c r="ET233" s="302">
        <f t="shared" si="296"/>
        <v>0.89687722276491311</v>
      </c>
      <c r="EU233" s="302">
        <f t="shared" si="296"/>
        <v>0.88838556158566062</v>
      </c>
      <c r="EV233" s="302">
        <f t="shared" si="297"/>
        <v>0.88535164820226253</v>
      </c>
      <c r="EW233" s="302">
        <f t="shared" si="297"/>
        <v>0.88838556158566062</v>
      </c>
      <c r="EX233" s="302">
        <f t="shared" si="297"/>
        <v>0.89687722276491311</v>
      </c>
      <c r="EY233" s="302">
        <f t="shared" si="297"/>
        <v>0.90924583651378499</v>
      </c>
      <c r="EZ233" s="302">
        <f t="shared" si="297"/>
        <v>0.92352148935148781</v>
      </c>
      <c r="FA233" s="302">
        <f t="shared" si="297"/>
        <v>0.93791900570849696</v>
      </c>
      <c r="FB233" s="302">
        <f t="shared" si="297"/>
        <v>0.95116896097802295</v>
      </c>
      <c r="FC233" s="302">
        <f t="shared" si="297"/>
        <v>0.96257956238231035</v>
      </c>
      <c r="FD233" s="302">
        <f t="shared" si="297"/>
        <v>0.97192976967610911</v>
      </c>
      <c r="FE233" s="302">
        <f t="shared" si="297"/>
        <v>0.97930689999723741</v>
      </c>
      <c r="FF233" s="302">
        <f t="shared" si="297"/>
        <v>0.98495972419362809</v>
      </c>
      <c r="FG233"/>
      <c r="FH233"/>
      <c r="FI233" s="779"/>
      <c r="FJ233" s="420">
        <v>-0.7</v>
      </c>
      <c r="FK233" s="302">
        <f t="shared" si="298"/>
        <v>0.9640275800758169</v>
      </c>
      <c r="FL233" s="302">
        <f t="shared" si="298"/>
        <v>0.94680601284626809</v>
      </c>
      <c r="FM233" s="302">
        <f t="shared" si="298"/>
        <v>0.92166855440647133</v>
      </c>
      <c r="FN233" s="302">
        <f t="shared" si="298"/>
        <v>0.88535164820226253</v>
      </c>
      <c r="FO233" s="302">
        <f t="shared" si="298"/>
        <v>0.88535164820226253</v>
      </c>
      <c r="FP233" s="302">
        <f t="shared" si="298"/>
        <v>0.88535164820226253</v>
      </c>
      <c r="FQ233" s="302">
        <f t="shared" si="298"/>
        <v>0.88535164820226253</v>
      </c>
      <c r="FR233" s="302">
        <f t="shared" si="298"/>
        <v>0.88535164820226253</v>
      </c>
      <c r="FS233" s="302">
        <f t="shared" si="298"/>
        <v>0.88535164820226253</v>
      </c>
      <c r="FT233" s="302">
        <f t="shared" si="298"/>
        <v>0.88535164820226253</v>
      </c>
      <c r="FU233" s="302">
        <f t="shared" si="299"/>
        <v>0.88535164820226253</v>
      </c>
      <c r="FV233" s="302">
        <f t="shared" si="299"/>
        <v>0.88535164820226253</v>
      </c>
      <c r="FW233" s="302">
        <f t="shared" si="299"/>
        <v>0.88535164820226253</v>
      </c>
      <c r="FX233" s="302">
        <f t="shared" si="299"/>
        <v>0.88535164820226253</v>
      </c>
      <c r="FY233" s="302">
        <f t="shared" si="299"/>
        <v>0.88535164820226253</v>
      </c>
      <c r="FZ233" s="302">
        <f t="shared" si="299"/>
        <v>0.88535164820226253</v>
      </c>
      <c r="GA233" s="302">
        <f t="shared" si="299"/>
        <v>0.88535164820226253</v>
      </c>
      <c r="GB233" s="302">
        <f t="shared" si="299"/>
        <v>0.88535164820226253</v>
      </c>
      <c r="GC233" s="302">
        <f t="shared" si="299"/>
        <v>0.92166855440647133</v>
      </c>
      <c r="GD233" s="302">
        <f t="shared" si="299"/>
        <v>0.94680601284626809</v>
      </c>
      <c r="GE233" s="302">
        <f t="shared" si="299"/>
        <v>0.9640275800758169</v>
      </c>
      <c r="GF233"/>
      <c r="GG233"/>
      <c r="GH233"/>
    </row>
    <row r="234" spans="2:190" ht="42" customHeight="1">
      <c r="B234"/>
      <c r="C234" s="223"/>
      <c r="D234" s="222"/>
      <c r="E234" s="169">
        <v>-0.2</v>
      </c>
      <c r="F234" s="174">
        <f t="shared" si="259"/>
        <v>-0.68991257371882098</v>
      </c>
      <c r="G234" s="301">
        <f t="shared" si="224"/>
        <v>-0.8169578018059046</v>
      </c>
      <c r="H234" s="302">
        <f t="shared" si="225"/>
        <v>-0.78632520095011738</v>
      </c>
      <c r="I234" s="302">
        <f t="shared" si="226"/>
        <v>-0.7296973887141458</v>
      </c>
      <c r="J234" s="302">
        <f t="shared" si="227"/>
        <v>-0.64588417020732203</v>
      </c>
      <c r="K234" s="302">
        <f t="shared" si="228"/>
        <v>-0.57512417951017825</v>
      </c>
      <c r="L234" s="302">
        <f t="shared" si="229"/>
        <v>-0.55957318922035582</v>
      </c>
      <c r="M234" s="302">
        <f t="shared" si="230"/>
        <v>-0.57277991648547455</v>
      </c>
      <c r="N234" s="302">
        <f t="shared" si="231"/>
        <v>-0.639297500201918</v>
      </c>
      <c r="O234" s="302">
        <f t="shared" si="232"/>
        <v>-0.7140803367553854</v>
      </c>
      <c r="P234" s="302">
        <f t="shared" si="233"/>
        <v>-0.75246943534324484</v>
      </c>
      <c r="Q234" s="302">
        <f t="shared" si="234"/>
        <v>-0.74757873429601041</v>
      </c>
      <c r="R234" s="302">
        <f t="shared" si="235"/>
        <v>-0.69624631946751181</v>
      </c>
      <c r="S234" s="302">
        <f t="shared" si="236"/>
        <v>-0.64106617664473198</v>
      </c>
      <c r="T234" s="302">
        <f t="shared" si="237"/>
        <v>-0.57769274234711299</v>
      </c>
      <c r="U234" s="302">
        <f t="shared" si="238"/>
        <v>-0.46280260707068593</v>
      </c>
      <c r="V234" s="302">
        <f t="shared" si="239"/>
        <v>-0.38402547330143377</v>
      </c>
      <c r="W234" s="302">
        <f t="shared" si="240"/>
        <v>-0.26811973814291123</v>
      </c>
      <c r="X234" s="302">
        <f t="shared" si="241"/>
        <v>-0.13473672692955035</v>
      </c>
      <c r="Y234" s="302">
        <f t="shared" si="242"/>
        <v>1.2628473330631027</v>
      </c>
      <c r="Z234" s="302">
        <f t="shared" si="243"/>
        <v>1.4802620489905307</v>
      </c>
      <c r="AA234" s="302">
        <f t="shared" si="244"/>
        <v>1.6303338144804738</v>
      </c>
      <c r="AB234" s="302">
        <f t="shared" si="245"/>
        <v>1.7552100084022781</v>
      </c>
      <c r="AC234" s="302">
        <f t="shared" si="246"/>
        <v>1.8450348707987791</v>
      </c>
      <c r="AD234" s="302">
        <f t="shared" si="247"/>
        <v>1.8943815816292864</v>
      </c>
      <c r="AE234" s="302">
        <f t="shared" si="248"/>
        <v>1.9289373263457843</v>
      </c>
      <c r="AF234" s="302">
        <f t="shared" si="249"/>
        <v>1.9549780259729184</v>
      </c>
      <c r="AG234" s="302">
        <f t="shared" si="250"/>
        <v>1.9683031295399047</v>
      </c>
      <c r="AH234" s="302">
        <f t="shared" si="251"/>
        <v>1.9773130374878953</v>
      </c>
      <c r="AI234" s="302">
        <f t="shared" si="252"/>
        <v>1.9844823472982007</v>
      </c>
      <c r="AJ234" s="302">
        <f t="shared" si="253"/>
        <v>1.9886318536171981</v>
      </c>
      <c r="AK234" s="303">
        <f t="shared" si="254"/>
        <v>1.991865923796978</v>
      </c>
      <c r="AL234" s="223"/>
      <c r="AM234" s="137"/>
      <c r="AN234" s="223"/>
      <c r="AO234" s="222"/>
      <c r="AP234" s="169">
        <v>-0.2</v>
      </c>
      <c r="AQ234" s="174">
        <f t="shared" si="260"/>
        <v>-0.68991257371882098</v>
      </c>
      <c r="AR234" s="302">
        <f t="shared" si="300"/>
        <v>0.96686398398481355</v>
      </c>
      <c r="AS234" s="302">
        <f t="shared" si="300"/>
        <v>0.93076292494194157</v>
      </c>
      <c r="AT234" s="302">
        <f t="shared" si="300"/>
        <v>0.86387672385226144</v>
      </c>
      <c r="AU234" s="302">
        <f t="shared" si="300"/>
        <v>0.76490730220290282</v>
      </c>
      <c r="AV234" s="302">
        <f t="shared" si="300"/>
        <v>0.68156635330232462</v>
      </c>
      <c r="AW234" s="302">
        <f t="shared" si="300"/>
        <v>0.66403666328213928</v>
      </c>
      <c r="AX234" s="302">
        <f t="shared" si="300"/>
        <v>0.6815661681461338</v>
      </c>
      <c r="AY234" s="302">
        <f t="shared" si="300"/>
        <v>0.76490676243015265</v>
      </c>
      <c r="AZ234" s="302">
        <f t="shared" si="300"/>
        <v>0.86387538033102351</v>
      </c>
      <c r="BA234" s="302">
        <f t="shared" si="300"/>
        <v>0.93075985342468448</v>
      </c>
      <c r="BB234" s="302">
        <f t="shared" si="301"/>
        <v>0.96685732481614206</v>
      </c>
      <c r="BC234" s="302">
        <f t="shared" si="301"/>
        <v>0.9845820283336385</v>
      </c>
      <c r="BD234" s="302">
        <f t="shared" si="301"/>
        <v>0.99291349906902959</v>
      </c>
      <c r="BE234" s="302">
        <f t="shared" si="301"/>
        <v>0.99673372282983597</v>
      </c>
      <c r="BF234" s="302">
        <f t="shared" si="301"/>
        <v>0.99843675011279143</v>
      </c>
      <c r="BG234" s="302">
        <f t="shared" si="301"/>
        <v>0.99913783605710782</v>
      </c>
      <c r="BH234" s="302">
        <f t="shared" si="301"/>
        <v>0.99933469781616802</v>
      </c>
      <c r="BI234" s="302">
        <f t="shared" si="301"/>
        <v>0.99923717323483008</v>
      </c>
      <c r="BJ234" s="302">
        <f t="shared" si="301"/>
        <v>0.99893250969842518</v>
      </c>
      <c r="BK234" s="302">
        <f t="shared" si="301"/>
        <v>0.99847601178302159</v>
      </c>
      <c r="BL234" s="302">
        <f t="shared" si="302"/>
        <v>0.99794064554716155</v>
      </c>
      <c r="BM234" s="302">
        <f t="shared" si="302"/>
        <v>0.99742596886137624</v>
      </c>
      <c r="BN234" s="302">
        <f t="shared" si="302"/>
        <v>0.99702672604713505</v>
      </c>
      <c r="BO234" s="302">
        <f t="shared" si="302"/>
        <v>0.99678933185508412</v>
      </c>
      <c r="BP234" s="302">
        <f t="shared" si="302"/>
        <v>0.99669566439033219</v>
      </c>
      <c r="BQ234" s="302">
        <f t="shared" si="302"/>
        <v>0.99668217470883225</v>
      </c>
      <c r="BR234" s="302">
        <f t="shared" si="302"/>
        <v>0.99669606038788805</v>
      </c>
      <c r="BS234" s="302">
        <f t="shared" si="302"/>
        <v>0.99679039067213027</v>
      </c>
      <c r="BT234" s="302">
        <f t="shared" si="302"/>
        <v>0.99702916120570162</v>
      </c>
      <c r="BU234" s="302">
        <f t="shared" si="302"/>
        <v>0.99743142141772712</v>
      </c>
      <c r="BV234" s="302">
        <f t="shared" si="302"/>
        <v>0.99795278900755957</v>
      </c>
      <c r="BW234" s="223"/>
      <c r="BX234" s="137"/>
      <c r="BY234" s="223"/>
      <c r="BZ234" s="222"/>
      <c r="CA234" s="169">
        <v>-0.2</v>
      </c>
      <c r="CB234" s="174">
        <f t="shared" si="261"/>
        <v>-0.68991257371882098</v>
      </c>
      <c r="CC234" s="301">
        <f t="shared" si="262"/>
        <v>-0.84495628685941049</v>
      </c>
      <c r="CD234" s="302">
        <f t="shared" si="264"/>
        <v>-0.84481792288747015</v>
      </c>
      <c r="CE234" s="302">
        <f t="shared" si="265"/>
        <v>-0.84467768208897509</v>
      </c>
      <c r="CF234" s="302">
        <f t="shared" si="266"/>
        <v>-0.84439535136767696</v>
      </c>
      <c r="CG234" s="302">
        <f t="shared" si="267"/>
        <v>-0.84382712955765371</v>
      </c>
      <c r="CH234" s="302">
        <f t="shared" si="268"/>
        <v>-0.84268417718767064</v>
      </c>
      <c r="CI234" s="302">
        <f t="shared" si="269"/>
        <v>-0.84038783504093395</v>
      </c>
      <c r="CJ234" s="302">
        <f t="shared" si="270"/>
        <v>-0.83578487157157977</v>
      </c>
      <c r="CK234" s="302">
        <f t="shared" si="271"/>
        <v>-0.8266010966555859</v>
      </c>
      <c r="CL234" s="302">
        <f t="shared" si="272"/>
        <v>-0.80844638128145629</v>
      </c>
      <c r="CM234" s="302">
        <f t="shared" si="273"/>
        <v>-0.7732048101700737</v>
      </c>
      <c r="CN234" s="302">
        <f t="shared" si="274"/>
        <v>-0.70714912463502699</v>
      </c>
      <c r="CO234" s="302">
        <f t="shared" si="275"/>
        <v>-0.645641515847861</v>
      </c>
      <c r="CP234" s="302">
        <f t="shared" si="276"/>
        <v>-0.5795858303128143</v>
      </c>
      <c r="CQ234" s="302">
        <f t="shared" si="277"/>
        <v>-0.46352721593872026</v>
      </c>
      <c r="CR234" s="302">
        <f t="shared" si="278"/>
        <v>-0.38435685192036306</v>
      </c>
      <c r="CS234" s="302">
        <f t="shared" si="279"/>
        <v>-0.26829823754626902</v>
      </c>
      <c r="CT234" s="302">
        <f t="shared" si="280"/>
        <v>-0.134839586174889</v>
      </c>
      <c r="CU234" s="302">
        <f t="shared" si="281"/>
        <v>1.2641968509407635</v>
      </c>
      <c r="CV234" s="302">
        <f t="shared" si="282"/>
        <v>1.482521394126598</v>
      </c>
      <c r="CW234" s="302">
        <f t="shared" si="283"/>
        <v>1.6336981780981341</v>
      </c>
      <c r="CX234" s="302">
        <f t="shared" si="284"/>
        <v>1.7597396330135253</v>
      </c>
      <c r="CY234" s="302">
        <f t="shared" si="285"/>
        <v>1.8505370243320378</v>
      </c>
      <c r="CZ234" s="302">
        <f t="shared" si="286"/>
        <v>1.900483403151727</v>
      </c>
      <c r="DA234" s="302">
        <f t="shared" si="287"/>
        <v>1.9353323138269034</v>
      </c>
      <c r="DB234" s="302">
        <f t="shared" si="288"/>
        <v>1.9614858934785704</v>
      </c>
      <c r="DC234" s="302">
        <f t="shared" si="289"/>
        <v>1.9748278414724472</v>
      </c>
      <c r="DD234" s="302">
        <f t="shared" si="290"/>
        <v>1.9836798749179394</v>
      </c>
      <c r="DE234" s="302">
        <f t="shared" si="291"/>
        <v>1.9903954914401678</v>
      </c>
      <c r="DF234" s="302">
        <f t="shared" si="292"/>
        <v>1.9937529647808774</v>
      </c>
      <c r="DG234" s="303">
        <f t="shared" si="293"/>
        <v>1.9959520587921213</v>
      </c>
      <c r="DH234" s="223"/>
      <c r="DI234"/>
      <c r="DJ234"/>
      <c r="DK234"/>
      <c r="DL234" s="781">
        <v>-0.8</v>
      </c>
      <c r="DM234" s="302">
        <f t="shared" si="294"/>
        <v>0.99850794233232665</v>
      </c>
      <c r="DN234" s="302">
        <f t="shared" si="294"/>
        <v>0.99777492793427958</v>
      </c>
      <c r="DO234" s="302">
        <f t="shared" si="294"/>
        <v>0.99668239783965107</v>
      </c>
      <c r="DP234" s="302">
        <f t="shared" si="294"/>
        <v>0.99505475368673069</v>
      </c>
      <c r="DQ234" s="302">
        <f t="shared" si="294"/>
        <v>0.99263152020112821</v>
      </c>
      <c r="DR234" s="302">
        <f t="shared" si="294"/>
        <v>0.98902740220109897</v>
      </c>
      <c r="DS234" s="302">
        <f t="shared" si="294"/>
        <v>0.98367485769368024</v>
      </c>
      <c r="DT234" s="302">
        <f t="shared" si="294"/>
        <v>0.97574313003145141</v>
      </c>
      <c r="DU234" s="302">
        <f t="shared" si="294"/>
        <v>0.9640275800758169</v>
      </c>
      <c r="DV234" s="302">
        <f t="shared" si="294"/>
        <v>0.94680601284626809</v>
      </c>
      <c r="DW234" s="302">
        <f t="shared" si="295"/>
        <v>0.92166855440647133</v>
      </c>
      <c r="DX234" s="302">
        <f t="shared" si="295"/>
        <v>0.94680601284626809</v>
      </c>
      <c r="DY234" s="302">
        <f t="shared" si="295"/>
        <v>0.9640275800758169</v>
      </c>
      <c r="DZ234" s="302">
        <f t="shared" si="295"/>
        <v>0.97574313003145141</v>
      </c>
      <c r="EA234" s="302">
        <f t="shared" si="295"/>
        <v>0.98367485769368024</v>
      </c>
      <c r="EB234" s="302">
        <f t="shared" si="295"/>
        <v>0.98902740220109897</v>
      </c>
      <c r="EC234" s="302">
        <f t="shared" si="295"/>
        <v>0.99263152020112821</v>
      </c>
      <c r="ED234" s="302">
        <f t="shared" si="295"/>
        <v>0.99505475368673069</v>
      </c>
      <c r="EE234" s="302">
        <f t="shared" si="295"/>
        <v>0.99668239783965107</v>
      </c>
      <c r="EF234" s="302">
        <f t="shared" si="295"/>
        <v>0.99777492793427958</v>
      </c>
      <c r="EG234" s="302">
        <f t="shared" si="295"/>
        <v>0.99850794233232665</v>
      </c>
      <c r="EH234"/>
      <c r="EI234"/>
      <c r="EJ234"/>
      <c r="EK234" s="781">
        <v>-0.8</v>
      </c>
      <c r="EL234" s="302">
        <f t="shared" si="296"/>
        <v>0.9881484381384964</v>
      </c>
      <c r="EM234" s="302">
        <f t="shared" si="296"/>
        <v>0.98394206285173436</v>
      </c>
      <c r="EN234" s="302">
        <f t="shared" si="296"/>
        <v>0.97857308588823533</v>
      </c>
      <c r="EO234" s="302">
        <f t="shared" si="296"/>
        <v>0.97192976967610911</v>
      </c>
      <c r="EP234" s="302">
        <f t="shared" si="296"/>
        <v>0.9640275800758169</v>
      </c>
      <c r="EQ234" s="302">
        <f t="shared" si="296"/>
        <v>0.95509269691387622</v>
      </c>
      <c r="ER234" s="302">
        <f t="shared" si="296"/>
        <v>0.94563952947663132</v>
      </c>
      <c r="ES234" s="302">
        <f t="shared" si="296"/>
        <v>0.93650024009844923</v>
      </c>
      <c r="ET234" s="302">
        <f t="shared" si="296"/>
        <v>0.92875356714922219</v>
      </c>
      <c r="EU234" s="302">
        <f t="shared" si="296"/>
        <v>0.92352148935148781</v>
      </c>
      <c r="EV234" s="302">
        <f t="shared" si="297"/>
        <v>0.92166855440647133</v>
      </c>
      <c r="EW234" s="302">
        <f t="shared" si="297"/>
        <v>0.92352148935148781</v>
      </c>
      <c r="EX234" s="302">
        <f t="shared" si="297"/>
        <v>0.92875356714922219</v>
      </c>
      <c r="EY234" s="302">
        <f t="shared" si="297"/>
        <v>0.93650024009844923</v>
      </c>
      <c r="EZ234" s="302">
        <f t="shared" si="297"/>
        <v>0.94563952947663132</v>
      </c>
      <c r="FA234" s="302">
        <f t="shared" si="297"/>
        <v>0.95509269691387622</v>
      </c>
      <c r="FB234" s="302">
        <f t="shared" si="297"/>
        <v>0.9640275800758169</v>
      </c>
      <c r="FC234" s="302">
        <f t="shared" si="297"/>
        <v>0.97192976967610911</v>
      </c>
      <c r="FD234" s="302">
        <f t="shared" si="297"/>
        <v>0.97857308588823533</v>
      </c>
      <c r="FE234" s="302">
        <f t="shared" si="297"/>
        <v>0.98394206285173436</v>
      </c>
      <c r="FF234" s="302">
        <f t="shared" si="297"/>
        <v>0.9881484381384964</v>
      </c>
      <c r="FG234"/>
      <c r="FH234"/>
      <c r="FI234" s="779"/>
      <c r="FJ234" s="420">
        <v>-0.8</v>
      </c>
      <c r="FK234" s="302">
        <f t="shared" si="298"/>
        <v>0.9640275800758169</v>
      </c>
      <c r="FL234" s="302">
        <f t="shared" si="298"/>
        <v>0.94680601284626809</v>
      </c>
      <c r="FM234" s="302">
        <f t="shared" si="298"/>
        <v>0.92166855440647133</v>
      </c>
      <c r="FN234" s="302">
        <f t="shared" si="298"/>
        <v>0.92166855440647133</v>
      </c>
      <c r="FO234" s="302">
        <f t="shared" si="298"/>
        <v>0.92166855440647133</v>
      </c>
      <c r="FP234" s="302">
        <f t="shared" si="298"/>
        <v>0.92166855440647133</v>
      </c>
      <c r="FQ234" s="302">
        <f t="shared" si="298"/>
        <v>0.92166855440647133</v>
      </c>
      <c r="FR234" s="302">
        <f t="shared" si="298"/>
        <v>0.92166855440647133</v>
      </c>
      <c r="FS234" s="302">
        <f t="shared" si="298"/>
        <v>0.92166855440647133</v>
      </c>
      <c r="FT234" s="302">
        <f t="shared" si="298"/>
        <v>0.92166855440647133</v>
      </c>
      <c r="FU234" s="302">
        <f t="shared" si="299"/>
        <v>0.92166855440647133</v>
      </c>
      <c r="FV234" s="302">
        <f t="shared" si="299"/>
        <v>0.92166855440647133</v>
      </c>
      <c r="FW234" s="302">
        <f t="shared" si="299"/>
        <v>0.92166855440647133</v>
      </c>
      <c r="FX234" s="302">
        <f t="shared" si="299"/>
        <v>0.92166855440647133</v>
      </c>
      <c r="FY234" s="302">
        <f t="shared" si="299"/>
        <v>0.92166855440647133</v>
      </c>
      <c r="FZ234" s="302">
        <f t="shared" si="299"/>
        <v>0.92166855440647133</v>
      </c>
      <c r="GA234" s="302">
        <f t="shared" si="299"/>
        <v>0.92166855440647133</v>
      </c>
      <c r="GB234" s="302">
        <f t="shared" si="299"/>
        <v>0.92166855440647133</v>
      </c>
      <c r="GC234" s="302">
        <f t="shared" si="299"/>
        <v>0.92166855440647133</v>
      </c>
      <c r="GD234" s="302">
        <f t="shared" si="299"/>
        <v>0.94680601284626809</v>
      </c>
      <c r="GE234" s="302">
        <f t="shared" si="299"/>
        <v>0.9640275800758169</v>
      </c>
      <c r="GF234"/>
      <c r="GG234"/>
      <c r="GH234"/>
    </row>
    <row r="235" spans="2:190" ht="42" customHeight="1">
      <c r="B235"/>
      <c r="C235" s="223"/>
      <c r="D235" s="222"/>
      <c r="E235" s="169">
        <v>-0.3</v>
      </c>
      <c r="F235" s="174">
        <f t="shared" si="259"/>
        <v>-0.83756285614737402</v>
      </c>
      <c r="G235" s="301">
        <f t="shared" si="224"/>
        <v>-0.89342936023247943</v>
      </c>
      <c r="H235" s="302">
        <f t="shared" si="225"/>
        <v>-0.86969837408898965</v>
      </c>
      <c r="I235" s="302">
        <f t="shared" si="226"/>
        <v>-0.83333608381330326</v>
      </c>
      <c r="J235" s="302">
        <f t="shared" si="227"/>
        <v>-0.79322929356411953</v>
      </c>
      <c r="K235" s="302">
        <f t="shared" si="228"/>
        <v>-0.76905184972876972</v>
      </c>
      <c r="L235" s="302">
        <f t="shared" si="229"/>
        <v>-0.76405207840324318</v>
      </c>
      <c r="M235" s="302">
        <f t="shared" si="230"/>
        <v>-0.76616926289206055</v>
      </c>
      <c r="N235" s="302">
        <f t="shared" si="231"/>
        <v>-0.7857902661861883</v>
      </c>
      <c r="O235" s="302">
        <f t="shared" si="232"/>
        <v>-0.81693414813481624</v>
      </c>
      <c r="P235" s="302">
        <f t="shared" si="233"/>
        <v>-0.83526143324213431</v>
      </c>
      <c r="Q235" s="302">
        <f t="shared" si="234"/>
        <v>-0.82365090627903059</v>
      </c>
      <c r="R235" s="302">
        <f t="shared" si="235"/>
        <v>-0.79752667586429149</v>
      </c>
      <c r="S235" s="302">
        <f t="shared" si="236"/>
        <v>-0.76823745632646401</v>
      </c>
      <c r="T235" s="302">
        <f t="shared" si="237"/>
        <v>-0.70499575715524265</v>
      </c>
      <c r="U235" s="302">
        <f t="shared" si="238"/>
        <v>-0.6446624941199588</v>
      </c>
      <c r="V235" s="302">
        <f t="shared" si="239"/>
        <v>-0.57905381973076298</v>
      </c>
      <c r="W235" s="302">
        <f t="shared" si="240"/>
        <v>-0.46313785779939831</v>
      </c>
      <c r="X235" s="302">
        <f t="shared" si="241"/>
        <v>-0.3839201470024215</v>
      </c>
      <c r="Y235" s="302">
        <f t="shared" si="242"/>
        <v>-0.26782014347739591</v>
      </c>
      <c r="Z235" s="302">
        <f t="shared" si="243"/>
        <v>1.3421153401578889</v>
      </c>
      <c r="AA235" s="302">
        <f t="shared" si="244"/>
        <v>1.5578838824264567</v>
      </c>
      <c r="AB235" s="302">
        <f t="shared" si="245"/>
        <v>1.7062271997337592</v>
      </c>
      <c r="AC235" s="302">
        <f t="shared" si="246"/>
        <v>1.794599954156598</v>
      </c>
      <c r="AD235" s="302">
        <f t="shared" si="247"/>
        <v>1.8604126379792452</v>
      </c>
      <c r="AE235" s="302">
        <f t="shared" si="248"/>
        <v>1.9094869525868263</v>
      </c>
      <c r="AF235" s="302">
        <f t="shared" si="249"/>
        <v>1.9353717585901804</v>
      </c>
      <c r="AG235" s="302">
        <f t="shared" si="250"/>
        <v>1.9529705174025662</v>
      </c>
      <c r="AH235" s="302">
        <f t="shared" si="251"/>
        <v>1.9667508925331523</v>
      </c>
      <c r="AI235" s="302">
        <f t="shared" si="252"/>
        <v>1.9747502900302822</v>
      </c>
      <c r="AJ235" s="302">
        <f t="shared" si="253"/>
        <v>1.9812871972539388</v>
      </c>
      <c r="AK235" s="303">
        <f t="shared" si="254"/>
        <v>1.9872291467445211</v>
      </c>
      <c r="AL235" s="223"/>
      <c r="AM235" s="137"/>
      <c r="AN235" s="223"/>
      <c r="AO235" s="222"/>
      <c r="AP235" s="169">
        <v>-0.3</v>
      </c>
      <c r="AQ235" s="174">
        <f t="shared" si="260"/>
        <v>-0.83756285614737402</v>
      </c>
      <c r="AR235" s="302">
        <f t="shared" si="300"/>
        <v>0.97240685644423552</v>
      </c>
      <c r="AS235" s="302">
        <f t="shared" si="300"/>
        <v>0.94672066668177002</v>
      </c>
      <c r="AT235" s="302">
        <f t="shared" si="300"/>
        <v>0.90727656210825836</v>
      </c>
      <c r="AU235" s="302">
        <f t="shared" si="300"/>
        <v>0.86387670496617874</v>
      </c>
      <c r="AV235" s="302">
        <f t="shared" si="300"/>
        <v>0.83806456347766933</v>
      </c>
      <c r="AW235" s="302">
        <f t="shared" si="300"/>
        <v>0.83365445725687448</v>
      </c>
      <c r="AX235" s="302">
        <f t="shared" si="300"/>
        <v>0.83806430535523024</v>
      </c>
      <c r="AY235" s="302">
        <f t="shared" si="300"/>
        <v>0.86387600745461657</v>
      </c>
      <c r="AZ235" s="302">
        <f t="shared" si="300"/>
        <v>0.90727492578119073</v>
      </c>
      <c r="BA235" s="302">
        <f t="shared" si="300"/>
        <v>0.94671698218183631</v>
      </c>
      <c r="BB235" s="302">
        <f t="shared" si="301"/>
        <v>0.9723987976256212</v>
      </c>
      <c r="BC235" s="302">
        <f t="shared" si="301"/>
        <v>0.98649297508159273</v>
      </c>
      <c r="BD235" s="302">
        <f t="shared" si="301"/>
        <v>0.99357562992589632</v>
      </c>
      <c r="BE235" s="302">
        <f t="shared" si="301"/>
        <v>0.99695486085640606</v>
      </c>
      <c r="BF235" s="302">
        <f t="shared" si="301"/>
        <v>0.99848364501992015</v>
      </c>
      <c r="BG235" s="302">
        <f t="shared" si="301"/>
        <v>0.99908208490576067</v>
      </c>
      <c r="BH235" s="302">
        <f t="shared" si="301"/>
        <v>0.99916001018724776</v>
      </c>
      <c r="BI235" s="302">
        <f t="shared" si="301"/>
        <v>0.99886380347908543</v>
      </c>
      <c r="BJ235" s="302">
        <f t="shared" si="301"/>
        <v>0.9982180499087675</v>
      </c>
      <c r="BK235" s="302">
        <f t="shared" si="301"/>
        <v>0.99722975221122312</v>
      </c>
      <c r="BL235" s="302">
        <f t="shared" si="302"/>
        <v>0.99598232381473129</v>
      </c>
      <c r="BM235" s="302">
        <f t="shared" si="302"/>
        <v>0.99468457478149541</v>
      </c>
      <c r="BN235" s="302">
        <f t="shared" si="302"/>
        <v>0.99360934938697409</v>
      </c>
      <c r="BO235" s="302">
        <f t="shared" si="302"/>
        <v>0.99294090160845483</v>
      </c>
      <c r="BP235" s="302">
        <f t="shared" si="302"/>
        <v>0.99267083932842959</v>
      </c>
      <c r="BQ235" s="302">
        <f t="shared" si="302"/>
        <v>0.99263130077023221</v>
      </c>
      <c r="BR235" s="302">
        <f t="shared" si="302"/>
        <v>0.99267122798917062</v>
      </c>
      <c r="BS235" s="302">
        <f t="shared" si="302"/>
        <v>0.99294193977622214</v>
      </c>
      <c r="BT235" s="302">
        <f t="shared" si="302"/>
        <v>0.99361173396446423</v>
      </c>
      <c r="BU235" s="302">
        <f t="shared" si="302"/>
        <v>0.99468990599203388</v>
      </c>
      <c r="BV235" s="302">
        <f t="shared" si="302"/>
        <v>0.99599417443772553</v>
      </c>
      <c r="BW235" s="223"/>
      <c r="BX235" s="137"/>
      <c r="BY235" s="223"/>
      <c r="BZ235" s="222"/>
      <c r="CA235" s="169">
        <v>-0.3</v>
      </c>
      <c r="CB235" s="174">
        <f t="shared" si="261"/>
        <v>-0.83756285614737402</v>
      </c>
      <c r="CC235" s="301">
        <f t="shared" si="262"/>
        <v>-0.91878142807368701</v>
      </c>
      <c r="CD235" s="302">
        <f t="shared" si="264"/>
        <v>-0.91864306410174668</v>
      </c>
      <c r="CE235" s="302">
        <f t="shared" si="265"/>
        <v>-0.91850282330325161</v>
      </c>
      <c r="CF235" s="302">
        <f t="shared" si="266"/>
        <v>-0.91822049258195348</v>
      </c>
      <c r="CG235" s="302">
        <f t="shared" si="267"/>
        <v>-0.91765227077193023</v>
      </c>
      <c r="CH235" s="302">
        <f t="shared" si="268"/>
        <v>-0.91650931840194716</v>
      </c>
      <c r="CI235" s="302">
        <f t="shared" si="269"/>
        <v>-0.91421297625521047</v>
      </c>
      <c r="CJ235" s="302">
        <f t="shared" si="270"/>
        <v>-0.90961001278585629</v>
      </c>
      <c r="CK235" s="302">
        <f t="shared" si="271"/>
        <v>-0.90042623786986242</v>
      </c>
      <c r="CL235" s="302">
        <f t="shared" si="272"/>
        <v>-0.88227152249573282</v>
      </c>
      <c r="CM235" s="302">
        <f t="shared" si="273"/>
        <v>-0.84702995138435022</v>
      </c>
      <c r="CN235" s="302">
        <f t="shared" si="274"/>
        <v>-0.80844638128145629</v>
      </c>
      <c r="CO235" s="302">
        <f t="shared" si="275"/>
        <v>-0.7732048101700737</v>
      </c>
      <c r="CP235" s="302">
        <f t="shared" si="276"/>
        <v>-0.70714912463502699</v>
      </c>
      <c r="CQ235" s="302">
        <f t="shared" si="277"/>
        <v>-0.645641515847861</v>
      </c>
      <c r="CR235" s="302">
        <f t="shared" si="278"/>
        <v>-0.5795858303128143</v>
      </c>
      <c r="CS235" s="302">
        <f t="shared" si="279"/>
        <v>-0.46352721593872026</v>
      </c>
      <c r="CT235" s="302">
        <f t="shared" si="280"/>
        <v>-0.38435685192036306</v>
      </c>
      <c r="CU235" s="302">
        <f t="shared" si="281"/>
        <v>-0.26829823754626902</v>
      </c>
      <c r="CV235" s="302">
        <f t="shared" si="282"/>
        <v>1.3458436605826574</v>
      </c>
      <c r="CW235" s="302">
        <f t="shared" si="283"/>
        <v>1.5641682037684919</v>
      </c>
      <c r="CX235" s="302">
        <f t="shared" si="284"/>
        <v>1.715344987740028</v>
      </c>
      <c r="CY235" s="302">
        <f t="shared" si="285"/>
        <v>1.8061423790585405</v>
      </c>
      <c r="CZ235" s="302">
        <f t="shared" si="286"/>
        <v>1.8736388388932128</v>
      </c>
      <c r="DA235" s="302">
        <f t="shared" si="287"/>
        <v>1.923585217712902</v>
      </c>
      <c r="DB235" s="302">
        <f t="shared" si="288"/>
        <v>1.949738797364569</v>
      </c>
      <c r="DC235" s="302">
        <f t="shared" si="289"/>
        <v>1.9673890633041213</v>
      </c>
      <c r="DD235" s="302">
        <f t="shared" si="290"/>
        <v>1.9807310112979979</v>
      </c>
      <c r="DE235" s="302">
        <f t="shared" si="291"/>
        <v>1.9874466278202263</v>
      </c>
      <c r="DF235" s="302">
        <f t="shared" si="292"/>
        <v>1.9918641833184605</v>
      </c>
      <c r="DG235" s="303">
        <f t="shared" si="293"/>
        <v>1.9952216566591701</v>
      </c>
      <c r="DH235" s="223"/>
      <c r="DI235"/>
      <c r="DJ235"/>
      <c r="DK235"/>
      <c r="DL235" s="781">
        <v>-0.9</v>
      </c>
      <c r="DM235" s="302">
        <f t="shared" si="294"/>
        <v>0.99899959778584102</v>
      </c>
      <c r="DN235" s="302">
        <f t="shared" si="294"/>
        <v>0.99850794233232665</v>
      </c>
      <c r="DO235" s="302">
        <f t="shared" si="294"/>
        <v>0.99777492793427958</v>
      </c>
      <c r="DP235" s="302">
        <f t="shared" si="294"/>
        <v>0.99668239783965107</v>
      </c>
      <c r="DQ235" s="302">
        <f t="shared" si="294"/>
        <v>0.99505475368673069</v>
      </c>
      <c r="DR235" s="302">
        <f t="shared" si="294"/>
        <v>0.99263152020112821</v>
      </c>
      <c r="DS235" s="302">
        <f t="shared" si="294"/>
        <v>0.98902740220109897</v>
      </c>
      <c r="DT235" s="302">
        <f t="shared" si="294"/>
        <v>0.98367485769368024</v>
      </c>
      <c r="DU235" s="302">
        <f t="shared" si="294"/>
        <v>0.97574313003145141</v>
      </c>
      <c r="DV235" s="302">
        <f t="shared" si="294"/>
        <v>0.9640275800758169</v>
      </c>
      <c r="DW235" s="302">
        <f t="shared" si="295"/>
        <v>0.94680601284626809</v>
      </c>
      <c r="DX235" s="302">
        <f t="shared" si="295"/>
        <v>0.9640275800758169</v>
      </c>
      <c r="DY235" s="302">
        <f t="shared" si="295"/>
        <v>0.97574313003145141</v>
      </c>
      <c r="DZ235" s="302">
        <f t="shared" si="295"/>
        <v>0.98367485769368024</v>
      </c>
      <c r="EA235" s="302">
        <f t="shared" si="295"/>
        <v>0.98902740220109897</v>
      </c>
      <c r="EB235" s="302">
        <f t="shared" si="295"/>
        <v>0.99263152020112821</v>
      </c>
      <c r="EC235" s="302">
        <f t="shared" si="295"/>
        <v>0.99505475368673069</v>
      </c>
      <c r="ED235" s="302">
        <f t="shared" si="295"/>
        <v>0.99668239783965107</v>
      </c>
      <c r="EE235" s="302">
        <f t="shared" si="295"/>
        <v>0.99777492793427958</v>
      </c>
      <c r="EF235" s="302">
        <f t="shared" si="295"/>
        <v>0.99850794233232665</v>
      </c>
      <c r="EG235" s="302">
        <f t="shared" si="295"/>
        <v>0.99899959778584102</v>
      </c>
      <c r="EH235"/>
      <c r="EI235"/>
      <c r="EJ235"/>
      <c r="EK235" s="781">
        <v>-0.9</v>
      </c>
      <c r="EL235" s="302">
        <f t="shared" si="296"/>
        <v>0.99083985281811171</v>
      </c>
      <c r="EM235" s="302">
        <f t="shared" si="296"/>
        <v>0.98777354987847965</v>
      </c>
      <c r="EN235" s="302">
        <f t="shared" si="296"/>
        <v>0.98394206285173436</v>
      </c>
      <c r="EO235" s="302">
        <f t="shared" si="296"/>
        <v>0.97930689999723741</v>
      </c>
      <c r="EP235" s="302">
        <f t="shared" si="296"/>
        <v>0.97392137898758402</v>
      </c>
      <c r="EQ235" s="302">
        <f t="shared" si="296"/>
        <v>0.96797526879474338</v>
      </c>
      <c r="ER235" s="302">
        <f t="shared" si="296"/>
        <v>0.96182850221220129</v>
      </c>
      <c r="ES235" s="302">
        <f t="shared" si="296"/>
        <v>0.95601144400379967</v>
      </c>
      <c r="ET235" s="302">
        <f t="shared" si="296"/>
        <v>0.95116896097802295</v>
      </c>
      <c r="EU235" s="302">
        <f t="shared" si="296"/>
        <v>0.94794117998658045</v>
      </c>
      <c r="EV235" s="302">
        <f t="shared" si="297"/>
        <v>0.94680601284626809</v>
      </c>
      <c r="EW235" s="302">
        <f t="shared" si="297"/>
        <v>0.94794117998658045</v>
      </c>
      <c r="EX235" s="302">
        <f t="shared" si="297"/>
        <v>0.95116896097802295</v>
      </c>
      <c r="EY235" s="302">
        <f t="shared" si="297"/>
        <v>0.95601144400379967</v>
      </c>
      <c r="EZ235" s="302">
        <f t="shared" si="297"/>
        <v>0.96182850221220129</v>
      </c>
      <c r="FA235" s="302">
        <f t="shared" si="297"/>
        <v>0.96797526879474338</v>
      </c>
      <c r="FB235" s="302">
        <f t="shared" si="297"/>
        <v>0.97392137898758402</v>
      </c>
      <c r="FC235" s="302">
        <f t="shared" si="297"/>
        <v>0.97930689999723741</v>
      </c>
      <c r="FD235" s="302">
        <f t="shared" si="297"/>
        <v>0.98394206285173436</v>
      </c>
      <c r="FE235" s="302">
        <f t="shared" si="297"/>
        <v>0.98777354987847965</v>
      </c>
      <c r="FF235" s="302">
        <f t="shared" si="297"/>
        <v>0.99083985281811171</v>
      </c>
      <c r="FG235"/>
      <c r="FH235"/>
      <c r="FI235" s="779"/>
      <c r="FJ235" s="420">
        <v>-0.9</v>
      </c>
      <c r="FK235" s="302">
        <f t="shared" si="298"/>
        <v>0.9640275800758169</v>
      </c>
      <c r="FL235" s="302">
        <f t="shared" si="298"/>
        <v>0.94680601284626809</v>
      </c>
      <c r="FM235" s="302">
        <f t="shared" si="298"/>
        <v>0.94680601284626809</v>
      </c>
      <c r="FN235" s="302">
        <f t="shared" si="298"/>
        <v>0.94680601284626809</v>
      </c>
      <c r="FO235" s="302">
        <f t="shared" si="298"/>
        <v>0.94680601284626809</v>
      </c>
      <c r="FP235" s="302">
        <f t="shared" si="298"/>
        <v>0.94680601284626809</v>
      </c>
      <c r="FQ235" s="302">
        <f t="shared" si="298"/>
        <v>0.94680601284626809</v>
      </c>
      <c r="FR235" s="302">
        <f t="shared" si="298"/>
        <v>0.94680601284626809</v>
      </c>
      <c r="FS235" s="302">
        <f t="shared" si="298"/>
        <v>0.94680601284626809</v>
      </c>
      <c r="FT235" s="302">
        <f t="shared" si="298"/>
        <v>0.94680601284626809</v>
      </c>
      <c r="FU235" s="302">
        <f t="shared" si="299"/>
        <v>0.94680601284626809</v>
      </c>
      <c r="FV235" s="302">
        <f t="shared" si="299"/>
        <v>0.94680601284626809</v>
      </c>
      <c r="FW235" s="302">
        <f t="shared" si="299"/>
        <v>0.94680601284626809</v>
      </c>
      <c r="FX235" s="302">
        <f t="shared" si="299"/>
        <v>0.94680601284626809</v>
      </c>
      <c r="FY235" s="302">
        <f t="shared" si="299"/>
        <v>0.94680601284626809</v>
      </c>
      <c r="FZ235" s="302">
        <f t="shared" si="299"/>
        <v>0.94680601284626809</v>
      </c>
      <c r="GA235" s="302">
        <f t="shared" si="299"/>
        <v>0.94680601284626809</v>
      </c>
      <c r="GB235" s="302">
        <f t="shared" si="299"/>
        <v>0.94680601284626809</v>
      </c>
      <c r="GC235" s="302">
        <f t="shared" si="299"/>
        <v>0.94680601284626809</v>
      </c>
      <c r="GD235" s="302">
        <f t="shared" si="299"/>
        <v>0.94680601284626809</v>
      </c>
      <c r="GE235" s="302">
        <f t="shared" si="299"/>
        <v>0.9640275800758169</v>
      </c>
      <c r="GF235"/>
      <c r="GG235"/>
      <c r="GH235"/>
    </row>
    <row r="236" spans="2:190" ht="42" customHeight="1">
      <c r="B236"/>
      <c r="C236" s="223"/>
      <c r="D236" s="222"/>
      <c r="E236" s="169">
        <v>-0.4</v>
      </c>
      <c r="F236" s="174">
        <f t="shared" si="259"/>
        <v>-0.9170757738747124</v>
      </c>
      <c r="G236" s="301">
        <f t="shared" si="224"/>
        <v>-0.93928944063752851</v>
      </c>
      <c r="H236" s="302">
        <f t="shared" si="225"/>
        <v>-0.92498211180990397</v>
      </c>
      <c r="I236" s="302">
        <f t="shared" si="226"/>
        <v>-0.90720385695436723</v>
      </c>
      <c r="J236" s="302">
        <f t="shared" si="227"/>
        <v>-0.89164939982700986</v>
      </c>
      <c r="K236" s="302">
        <f t="shared" si="228"/>
        <v>-0.88359911934124025</v>
      </c>
      <c r="L236" s="302">
        <f t="shared" si="229"/>
        <v>-0.88135992457688905</v>
      </c>
      <c r="M236" s="302">
        <f t="shared" si="230"/>
        <v>-0.88042467233902366</v>
      </c>
      <c r="N236" s="302">
        <f t="shared" si="231"/>
        <v>-0.88363429401235438</v>
      </c>
      <c r="O236" s="302">
        <f t="shared" si="232"/>
        <v>-0.89008858200628582</v>
      </c>
      <c r="P236" s="302">
        <f t="shared" si="233"/>
        <v>-0.88987483948813073</v>
      </c>
      <c r="Q236" s="302">
        <f t="shared" si="234"/>
        <v>-0.8823362996756815</v>
      </c>
      <c r="R236" s="302">
        <f t="shared" si="235"/>
        <v>-0.8728919482831099</v>
      </c>
      <c r="S236" s="302">
        <f t="shared" si="236"/>
        <v>-0.84249529278526347</v>
      </c>
      <c r="T236" s="302">
        <f t="shared" si="237"/>
        <v>-0.80629546476823855</v>
      </c>
      <c r="U236" s="302">
        <f t="shared" si="238"/>
        <v>-0.77211659776950148</v>
      </c>
      <c r="V236" s="302">
        <f t="shared" si="239"/>
        <v>-0.70647124552849783</v>
      </c>
      <c r="W236" s="302">
        <f t="shared" si="240"/>
        <v>-0.6449694603807683</v>
      </c>
      <c r="X236" s="302">
        <f t="shared" si="241"/>
        <v>-0.57864847797725161</v>
      </c>
      <c r="Y236" s="302">
        <f t="shared" si="242"/>
        <v>-0.46222986146104067</v>
      </c>
      <c r="Z236" s="302">
        <f t="shared" si="243"/>
        <v>-0.38253470214425034</v>
      </c>
      <c r="AA236" s="302">
        <f t="shared" si="244"/>
        <v>1.4714613584210239</v>
      </c>
      <c r="AB236" s="302">
        <f t="shared" si="245"/>
        <v>1.6163549039746765</v>
      </c>
      <c r="AC236" s="302">
        <f t="shared" si="246"/>
        <v>1.7359970435666818</v>
      </c>
      <c r="AD236" s="302">
        <f t="shared" si="247"/>
        <v>1.8220293942903913</v>
      </c>
      <c r="AE236" s="302">
        <f t="shared" si="248"/>
        <v>1.8696836147350648</v>
      </c>
      <c r="AF236" s="302">
        <f t="shared" si="249"/>
        <v>1.9037373277693534</v>
      </c>
      <c r="AG236" s="302">
        <f t="shared" si="250"/>
        <v>1.9296982152421636</v>
      </c>
      <c r="AH236" s="302">
        <f t="shared" si="251"/>
        <v>1.9444074756519527</v>
      </c>
      <c r="AI236" s="302">
        <f t="shared" si="252"/>
        <v>1.956920399683828</v>
      </c>
      <c r="AJ236" s="302">
        <f t="shared" si="253"/>
        <v>1.9692756911100073</v>
      </c>
      <c r="AK236" s="303">
        <f t="shared" si="254"/>
        <v>1.9789015385202777</v>
      </c>
      <c r="AL236" s="223"/>
      <c r="AM236" s="137"/>
      <c r="AN236" s="223"/>
      <c r="AO236" s="222"/>
      <c r="AP236" s="169">
        <v>-0.4</v>
      </c>
      <c r="AQ236" s="174">
        <f t="shared" si="260"/>
        <v>-0.9170757738747124</v>
      </c>
      <c r="AR236" s="302">
        <f t="shared" si="300"/>
        <v>0.97991895097508475</v>
      </c>
      <c r="AS236" s="302">
        <f t="shared" si="300"/>
        <v>0.96513206616368719</v>
      </c>
      <c r="AT236" s="302">
        <f t="shared" si="300"/>
        <v>0.94672065675471317</v>
      </c>
      <c r="AU236" s="302">
        <f t="shared" si="300"/>
        <v>0.93076289411919344</v>
      </c>
      <c r="AV236" s="302">
        <f t="shared" si="300"/>
        <v>0.922906896490852</v>
      </c>
      <c r="AW236" s="302">
        <f t="shared" si="300"/>
        <v>0.92166837455700235</v>
      </c>
      <c r="AX236" s="302">
        <f t="shared" si="300"/>
        <v>0.92290658372016798</v>
      </c>
      <c r="AY236" s="302">
        <f t="shared" si="300"/>
        <v>0.93076206122703975</v>
      </c>
      <c r="AZ236" s="302">
        <f t="shared" si="300"/>
        <v>0.94671874423844715</v>
      </c>
      <c r="BA236" s="302">
        <f t="shared" si="300"/>
        <v>0.96512780249481589</v>
      </c>
      <c r="BB236" s="302">
        <f t="shared" si="301"/>
        <v>0.97990958344686152</v>
      </c>
      <c r="BC236" s="302">
        <f t="shared" si="301"/>
        <v>0.98936883490686589</v>
      </c>
      <c r="BD236" s="302">
        <f t="shared" si="301"/>
        <v>0.99464640111996572</v>
      </c>
      <c r="BE236" s="302">
        <f t="shared" si="301"/>
        <v>0.997339444441809</v>
      </c>
      <c r="BF236" s="302">
        <f t="shared" si="301"/>
        <v>0.99859259489043684</v>
      </c>
      <c r="BG236" s="302">
        <f t="shared" si="301"/>
        <v>0.99904139157793759</v>
      </c>
      <c r="BH236" s="302">
        <f t="shared" si="301"/>
        <v>0.99895908882778373</v>
      </c>
      <c r="BI236" s="302">
        <f t="shared" si="301"/>
        <v>0.998382720407335</v>
      </c>
      <c r="BJ236" s="302">
        <f t="shared" si="301"/>
        <v>0.99720112555839413</v>
      </c>
      <c r="BK236" s="302">
        <f t="shared" si="301"/>
        <v>0.99525922390349308</v>
      </c>
      <c r="BL236" s="302">
        <f t="shared" si="302"/>
        <v>0.99253971258061335</v>
      </c>
      <c r="BM236" s="302">
        <f t="shared" si="302"/>
        <v>0.9893840402370726</v>
      </c>
      <c r="BN236" s="302">
        <f t="shared" si="302"/>
        <v>0.98650789639477254</v>
      </c>
      <c r="BO236" s="302">
        <f t="shared" si="302"/>
        <v>0.98459494208069875</v>
      </c>
      <c r="BP236" s="302">
        <f t="shared" si="302"/>
        <v>0.98379370829254054</v>
      </c>
      <c r="BQ236" s="302">
        <f t="shared" si="302"/>
        <v>0.98367464552117434</v>
      </c>
      <c r="BR236" s="302">
        <f t="shared" si="302"/>
        <v>0.98379408266860724</v>
      </c>
      <c r="BS236" s="302">
        <f t="shared" si="302"/>
        <v>0.98459594037432008</v>
      </c>
      <c r="BT236" s="302">
        <f t="shared" si="302"/>
        <v>0.98651018464598861</v>
      </c>
      <c r="BU236" s="302">
        <f t="shared" si="302"/>
        <v>0.98938914380534537</v>
      </c>
      <c r="BV236" s="302">
        <f t="shared" si="302"/>
        <v>0.99255101984902538</v>
      </c>
      <c r="BW236" s="223"/>
      <c r="BX236" s="137"/>
      <c r="BY236" s="223"/>
      <c r="BZ236" s="222"/>
      <c r="CA236" s="169">
        <v>-0.4</v>
      </c>
      <c r="CB236" s="174">
        <f t="shared" si="261"/>
        <v>-0.9170757738747124</v>
      </c>
      <c r="CC236" s="301">
        <f t="shared" si="262"/>
        <v>-0.9585378869373562</v>
      </c>
      <c r="CD236" s="302">
        <f t="shared" si="264"/>
        <v>-0.95839952296541586</v>
      </c>
      <c r="CE236" s="302">
        <f t="shared" si="265"/>
        <v>-0.9582592821669208</v>
      </c>
      <c r="CF236" s="302">
        <f t="shared" si="266"/>
        <v>-0.95797695144562267</v>
      </c>
      <c r="CG236" s="302">
        <f t="shared" si="267"/>
        <v>-0.95740872963559942</v>
      </c>
      <c r="CH236" s="302">
        <f t="shared" si="268"/>
        <v>-0.95626577726561635</v>
      </c>
      <c r="CI236" s="302">
        <f t="shared" si="269"/>
        <v>-0.95396943511887966</v>
      </c>
      <c r="CJ236" s="302">
        <f t="shared" si="270"/>
        <v>-0.94936647164952548</v>
      </c>
      <c r="CK236" s="302">
        <f t="shared" si="271"/>
        <v>-0.94018269673353161</v>
      </c>
      <c r="CL236" s="302">
        <f t="shared" si="272"/>
        <v>-0.922027981359402</v>
      </c>
      <c r="CM236" s="302">
        <f t="shared" si="273"/>
        <v>-0.90042623786986242</v>
      </c>
      <c r="CN236" s="302">
        <f t="shared" si="274"/>
        <v>-0.88227152249573282</v>
      </c>
      <c r="CO236" s="302">
        <f t="shared" si="275"/>
        <v>-0.84702995138435022</v>
      </c>
      <c r="CP236" s="302">
        <f t="shared" si="276"/>
        <v>-0.80844638128145629</v>
      </c>
      <c r="CQ236" s="302">
        <f t="shared" si="277"/>
        <v>-0.7732048101700737</v>
      </c>
      <c r="CR236" s="302">
        <f t="shared" si="278"/>
        <v>-0.70714912463502699</v>
      </c>
      <c r="CS236" s="302">
        <f t="shared" si="279"/>
        <v>-0.645641515847861</v>
      </c>
      <c r="CT236" s="302">
        <f t="shared" si="280"/>
        <v>-0.5795858303128143</v>
      </c>
      <c r="CU236" s="302">
        <f t="shared" si="281"/>
        <v>-0.46352721593872026</v>
      </c>
      <c r="CV236" s="302">
        <f t="shared" si="282"/>
        <v>-0.38435685192036306</v>
      </c>
      <c r="CW236" s="302">
        <f t="shared" si="283"/>
        <v>1.482521394126598</v>
      </c>
      <c r="CX236" s="302">
        <f t="shared" si="284"/>
        <v>1.6336981780981341</v>
      </c>
      <c r="CY236" s="302">
        <f t="shared" si="285"/>
        <v>1.7597396330135253</v>
      </c>
      <c r="CZ236" s="302">
        <f t="shared" si="286"/>
        <v>1.8505370243320378</v>
      </c>
      <c r="DA236" s="302">
        <f t="shared" si="287"/>
        <v>1.900483403151727</v>
      </c>
      <c r="DB236" s="302">
        <f t="shared" si="288"/>
        <v>1.9353323138269034</v>
      </c>
      <c r="DC236" s="302">
        <f t="shared" si="289"/>
        <v>1.9614858934785704</v>
      </c>
      <c r="DD236" s="302">
        <f t="shared" si="290"/>
        <v>1.9748278414724472</v>
      </c>
      <c r="DE236" s="302">
        <f t="shared" si="291"/>
        <v>1.9836798749179394</v>
      </c>
      <c r="DF236" s="302">
        <f t="shared" si="292"/>
        <v>1.9903954914401678</v>
      </c>
      <c r="DG236" s="303">
        <f t="shared" si="293"/>
        <v>1.9937529647808774</v>
      </c>
      <c r="DH236" s="223"/>
      <c r="DI236"/>
      <c r="DJ236"/>
      <c r="DK236"/>
      <c r="DL236" s="782">
        <v>-1</v>
      </c>
      <c r="DM236" s="302">
        <f t="shared" si="294"/>
        <v>0.99932929973906726</v>
      </c>
      <c r="DN236" s="302">
        <f t="shared" si="294"/>
        <v>0.99899959778584102</v>
      </c>
      <c r="DO236" s="302">
        <f t="shared" si="294"/>
        <v>0.99850794233232665</v>
      </c>
      <c r="DP236" s="302">
        <f t="shared" si="294"/>
        <v>0.99777492793427958</v>
      </c>
      <c r="DQ236" s="302">
        <f t="shared" si="294"/>
        <v>0.99668239783965107</v>
      </c>
      <c r="DR236" s="302">
        <f t="shared" si="294"/>
        <v>0.99505475368673069</v>
      </c>
      <c r="DS236" s="302">
        <f t="shared" si="294"/>
        <v>0.99263152020112821</v>
      </c>
      <c r="DT236" s="302">
        <f t="shared" si="294"/>
        <v>0.98902740220109897</v>
      </c>
      <c r="DU236" s="302">
        <f t="shared" si="294"/>
        <v>0.98367485769368024</v>
      </c>
      <c r="DV236" s="302">
        <f t="shared" si="294"/>
        <v>0.97574313003145141</v>
      </c>
      <c r="DW236" s="302">
        <f t="shared" si="295"/>
        <v>0.9640275800758169</v>
      </c>
      <c r="DX236" s="302">
        <f t="shared" si="295"/>
        <v>0.97574313003145141</v>
      </c>
      <c r="DY236" s="302">
        <f t="shared" si="295"/>
        <v>0.98367485769368024</v>
      </c>
      <c r="DZ236" s="302">
        <f t="shared" si="295"/>
        <v>0.98902740220109897</v>
      </c>
      <c r="EA236" s="302">
        <f t="shared" si="295"/>
        <v>0.99263152020112821</v>
      </c>
      <c r="EB236" s="302">
        <f t="shared" si="295"/>
        <v>0.99505475368673069</v>
      </c>
      <c r="EC236" s="302">
        <f t="shared" si="295"/>
        <v>0.99668239783965107</v>
      </c>
      <c r="ED236" s="302">
        <f t="shared" si="295"/>
        <v>0.99777492793427958</v>
      </c>
      <c r="EE236" s="302">
        <f t="shared" si="295"/>
        <v>0.99850794233232665</v>
      </c>
      <c r="EF236" s="302">
        <f t="shared" si="295"/>
        <v>0.99899959778584102</v>
      </c>
      <c r="EG236" s="302">
        <f t="shared" si="295"/>
        <v>0.99932929973906726</v>
      </c>
      <c r="EH236"/>
      <c r="EI236"/>
      <c r="EJ236"/>
      <c r="EK236" s="781">
        <v>-1</v>
      </c>
      <c r="EL236" s="302">
        <f t="shared" si="296"/>
        <v>0.99303734540586897</v>
      </c>
      <c r="EM236" s="302">
        <f t="shared" si="296"/>
        <v>0.99083985281811171</v>
      </c>
      <c r="EN236" s="302">
        <f t="shared" si="296"/>
        <v>0.9881484381384964</v>
      </c>
      <c r="EO236" s="302">
        <f t="shared" si="296"/>
        <v>0.98495972419362809</v>
      </c>
      <c r="EP236" s="302">
        <f t="shared" si="296"/>
        <v>0.98133288248609807</v>
      </c>
      <c r="EQ236" s="302">
        <f t="shared" si="296"/>
        <v>0.97741223558377843</v>
      </c>
      <c r="ER236" s="302">
        <f t="shared" si="296"/>
        <v>0.97344012261082846</v>
      </c>
      <c r="ES236" s="302">
        <f t="shared" si="296"/>
        <v>0.96974871525977591</v>
      </c>
      <c r="ET236" s="302">
        <f t="shared" si="296"/>
        <v>0.96672162865729372</v>
      </c>
      <c r="EU236" s="302">
        <f t="shared" si="296"/>
        <v>0.96472559535808333</v>
      </c>
      <c r="EV236" s="302">
        <f t="shared" si="297"/>
        <v>0.9640275800758169</v>
      </c>
      <c r="EW236" s="302">
        <f t="shared" si="297"/>
        <v>0.96472559535808333</v>
      </c>
      <c r="EX236" s="302">
        <f t="shared" si="297"/>
        <v>0.96672162865729372</v>
      </c>
      <c r="EY236" s="302">
        <f t="shared" si="297"/>
        <v>0.96974871525977591</v>
      </c>
      <c r="EZ236" s="302">
        <f t="shared" si="297"/>
        <v>0.97344012261082846</v>
      </c>
      <c r="FA236" s="302">
        <f t="shared" si="297"/>
        <v>0.97741223558377843</v>
      </c>
      <c r="FB236" s="302">
        <f t="shared" si="297"/>
        <v>0.98133288248609807</v>
      </c>
      <c r="FC236" s="302">
        <f t="shared" si="297"/>
        <v>0.98495972419362809</v>
      </c>
      <c r="FD236" s="302">
        <f t="shared" si="297"/>
        <v>0.9881484381384964</v>
      </c>
      <c r="FE236" s="302">
        <f t="shared" si="297"/>
        <v>0.99083985281811171</v>
      </c>
      <c r="FF236" s="302">
        <f t="shared" si="297"/>
        <v>0.99303734540586897</v>
      </c>
      <c r="FG236"/>
      <c r="FH236"/>
      <c r="FI236" s="779"/>
      <c r="FJ236" s="420">
        <v>-1</v>
      </c>
      <c r="FK236" s="302">
        <f t="shared" si="298"/>
        <v>0.9640275800758169</v>
      </c>
      <c r="FL236" s="302">
        <f t="shared" si="298"/>
        <v>0.9640275800758169</v>
      </c>
      <c r="FM236" s="302">
        <f t="shared" si="298"/>
        <v>0.9640275800758169</v>
      </c>
      <c r="FN236" s="302">
        <f t="shared" si="298"/>
        <v>0.9640275800758169</v>
      </c>
      <c r="FO236" s="302">
        <f t="shared" si="298"/>
        <v>0.9640275800758169</v>
      </c>
      <c r="FP236" s="302">
        <f t="shared" si="298"/>
        <v>0.9640275800758169</v>
      </c>
      <c r="FQ236" s="302">
        <f t="shared" si="298"/>
        <v>0.9640275800758169</v>
      </c>
      <c r="FR236" s="302">
        <f t="shared" si="298"/>
        <v>0.9640275800758169</v>
      </c>
      <c r="FS236" s="302">
        <f t="shared" si="298"/>
        <v>0.9640275800758169</v>
      </c>
      <c r="FT236" s="302">
        <f t="shared" si="298"/>
        <v>0.9640275800758169</v>
      </c>
      <c r="FU236" s="302">
        <f t="shared" si="299"/>
        <v>0.9640275800758169</v>
      </c>
      <c r="FV236" s="302">
        <f t="shared" si="299"/>
        <v>0.9640275800758169</v>
      </c>
      <c r="FW236" s="302">
        <f t="shared" si="299"/>
        <v>0.9640275800758169</v>
      </c>
      <c r="FX236" s="302">
        <f t="shared" si="299"/>
        <v>0.9640275800758169</v>
      </c>
      <c r="FY236" s="302">
        <f t="shared" si="299"/>
        <v>0.9640275800758169</v>
      </c>
      <c r="FZ236" s="302">
        <f t="shared" si="299"/>
        <v>0.9640275800758169</v>
      </c>
      <c r="GA236" s="302">
        <f t="shared" si="299"/>
        <v>0.9640275800758169</v>
      </c>
      <c r="GB236" s="302">
        <f t="shared" si="299"/>
        <v>0.9640275800758169</v>
      </c>
      <c r="GC236" s="302">
        <f t="shared" si="299"/>
        <v>0.9640275800758169</v>
      </c>
      <c r="GD236" s="302">
        <f t="shared" si="299"/>
        <v>0.9640275800758169</v>
      </c>
      <c r="GE236" s="302">
        <f t="shared" si="299"/>
        <v>0.9640275800758169</v>
      </c>
      <c r="GF236"/>
      <c r="GG236"/>
      <c r="GH236"/>
    </row>
    <row r="237" spans="2:190" ht="42" customHeight="1">
      <c r="B237"/>
      <c r="C237" s="223"/>
      <c r="D237" s="222"/>
      <c r="E237" s="169">
        <v>-0.5</v>
      </c>
      <c r="F237" s="174">
        <f t="shared" si="259"/>
        <v>-0.95823995310991039</v>
      </c>
      <c r="G237" s="301">
        <f t="shared" si="224"/>
        <v>-0.96652040826382002</v>
      </c>
      <c r="H237" s="302">
        <f t="shared" si="225"/>
        <v>-0.95932263012647345</v>
      </c>
      <c r="I237" s="302">
        <f t="shared" si="226"/>
        <v>-0.95183204643616459</v>
      </c>
      <c r="J237" s="302">
        <f t="shared" si="227"/>
        <v>-0.94613345600635157</v>
      </c>
      <c r="K237" s="302">
        <f t="shared" si="228"/>
        <v>-0.94317568877951485</v>
      </c>
      <c r="L237" s="302">
        <f t="shared" si="229"/>
        <v>-0.9417080901257644</v>
      </c>
      <c r="M237" s="302">
        <f t="shared" si="230"/>
        <v>-0.9398584870910599</v>
      </c>
      <c r="N237" s="302">
        <f t="shared" si="231"/>
        <v>-0.93780738939489539</v>
      </c>
      <c r="O237" s="302">
        <f t="shared" si="232"/>
        <v>-0.93425220164457867</v>
      </c>
      <c r="P237" s="302">
        <f t="shared" si="233"/>
        <v>-0.93029768504366372</v>
      </c>
      <c r="Q237" s="302">
        <f t="shared" si="234"/>
        <v>-0.92807433513154625</v>
      </c>
      <c r="R237" s="302">
        <f t="shared" si="235"/>
        <v>-0.91513864995788052</v>
      </c>
      <c r="S237" s="302">
        <f t="shared" si="236"/>
        <v>-0.89677431549576203</v>
      </c>
      <c r="T237" s="302">
        <f t="shared" si="237"/>
        <v>-0.8803702057923265</v>
      </c>
      <c r="U237" s="302">
        <f t="shared" si="238"/>
        <v>-0.84597884114392174</v>
      </c>
      <c r="V237" s="302">
        <f t="shared" si="239"/>
        <v>-0.80765929196100272</v>
      </c>
      <c r="W237" s="302">
        <f t="shared" si="240"/>
        <v>-0.77224531222954629</v>
      </c>
      <c r="X237" s="302">
        <f t="shared" si="241"/>
        <v>-0.70562520098092962</v>
      </c>
      <c r="Y237" s="302">
        <f t="shared" si="242"/>
        <v>-0.64302294189009757</v>
      </c>
      <c r="Z237" s="302">
        <f t="shared" si="243"/>
        <v>-0.57525520375768102</v>
      </c>
      <c r="AA237" s="302">
        <f t="shared" si="244"/>
        <v>-0.45755757284440762</v>
      </c>
      <c r="AB237" s="302">
        <f t="shared" si="245"/>
        <v>1.5327506315410764</v>
      </c>
      <c r="AC237" s="302">
        <f t="shared" si="246"/>
        <v>1.6680095421299348</v>
      </c>
      <c r="AD237" s="302">
        <f t="shared" si="247"/>
        <v>1.7462922643728711</v>
      </c>
      <c r="AE237" s="302">
        <f t="shared" si="248"/>
        <v>1.8069392123247585</v>
      </c>
      <c r="AF237" s="302">
        <f t="shared" si="249"/>
        <v>1.854388818339032</v>
      </c>
      <c r="AG237" s="302">
        <f t="shared" si="250"/>
        <v>1.8803307729910024</v>
      </c>
      <c r="AH237" s="302">
        <f t="shared" si="251"/>
        <v>1.9021975534052289</v>
      </c>
      <c r="AI237" s="302">
        <f t="shared" si="252"/>
        <v>1.926076386091268</v>
      </c>
      <c r="AJ237" s="302">
        <f t="shared" si="253"/>
        <v>1.9475366051114831</v>
      </c>
      <c r="AK237" s="303">
        <f t="shared" si="254"/>
        <v>1.9662323614730011</v>
      </c>
      <c r="AL237" s="223"/>
      <c r="AM237" s="137"/>
      <c r="AN237" s="223"/>
      <c r="AO237" s="222"/>
      <c r="AP237" s="169">
        <v>-0.5</v>
      </c>
      <c r="AQ237" s="174">
        <f t="shared" si="260"/>
        <v>-0.95823995310991039</v>
      </c>
      <c r="AR237" s="302">
        <f t="shared" ref="AR237:BA247" si="303">2*(1/(1+EXP(-4/0.5*(POWER(POWER((ABS(AR$215-(-1))),3)+POWER(ABS($AP237-(0)),3),1/3))))-0.5)*2*(1/(1+EXP(-4/0.5*(POWER(POWER((ABS(AR$215-(1))),3)+POWER(ABS($AP237-(-1)),3),1/3))))-0.5)</f>
        <v>0.98713174218396926</v>
      </c>
      <c r="AS237" s="302">
        <f t="shared" si="303"/>
        <v>0.979918946174411</v>
      </c>
      <c r="AT237" s="302">
        <f t="shared" si="303"/>
        <v>0.97240684126467325</v>
      </c>
      <c r="AU237" s="302">
        <f t="shared" si="303"/>
        <v>0.96686394617371363</v>
      </c>
      <c r="AV237" s="302">
        <f t="shared" si="303"/>
        <v>0.96440137290831762</v>
      </c>
      <c r="AW237" s="302">
        <f t="shared" si="303"/>
        <v>0.96402738036418112</v>
      </c>
      <c r="AX237" s="302">
        <f t="shared" si="303"/>
        <v>0.96440102266034644</v>
      </c>
      <c r="AY237" s="302">
        <f t="shared" si="303"/>
        <v>0.9668630140239185</v>
      </c>
      <c r="AZ237" s="302">
        <f t="shared" si="303"/>
        <v>0.97240470812086743</v>
      </c>
      <c r="BA237" s="302">
        <f t="shared" si="303"/>
        <v>0.97991419838881633</v>
      </c>
      <c r="BB237" s="302">
        <f t="shared" ref="BB237:BK247" si="304">2*(1/(1+EXP(-4/0.5*(POWER(POWER((ABS(BB$215-(-1))),3)+POWER(ABS($AP237-(0)),3),1/3))))-0.5)*2*(1/(1+EXP(-4/0.5*(POWER(POWER((ABS(BB$215-(1))),3)+POWER(ABS($AP237-(-1)),3),1/3))))-0.5)</f>
        <v>0.98712126734085481</v>
      </c>
      <c r="BC237" s="302">
        <f t="shared" si="304"/>
        <v>0.99252806689080719</v>
      </c>
      <c r="BD237" s="302">
        <f t="shared" si="304"/>
        <v>0.99594422927663706</v>
      </c>
      <c r="BE237" s="302">
        <f t="shared" si="304"/>
        <v>0.99784497554899199</v>
      </c>
      <c r="BF237" s="302">
        <f t="shared" si="304"/>
        <v>0.99875906366863343</v>
      </c>
      <c r="BG237" s="302">
        <f t="shared" si="304"/>
        <v>0.99902641741162113</v>
      </c>
      <c r="BH237" s="302">
        <f t="shared" si="304"/>
        <v>0.99875906366863343</v>
      </c>
      <c r="BI237" s="302">
        <f t="shared" si="304"/>
        <v>0.99784497554899199</v>
      </c>
      <c r="BJ237" s="302">
        <f t="shared" si="304"/>
        <v>0.99594422927663706</v>
      </c>
      <c r="BK237" s="302">
        <f t="shared" si="304"/>
        <v>0.99252806689080719</v>
      </c>
      <c r="BL237" s="302">
        <f t="shared" ref="BL237:BV247" si="305">2*(1/(1+EXP(-4/0.5*(POWER(POWER((ABS(BL$215-(-1))),3)+POWER(ABS($AP237-(0)),3),1/3))))-0.5)*2*(1/(1+EXP(-4/0.5*(POWER(POWER((ABS(BL$215-(1))),3)+POWER(ABS($AP237-(-1)),3),1/3))))-0.5)</f>
        <v>0.98712126734085481</v>
      </c>
      <c r="BM237" s="302">
        <f t="shared" si="305"/>
        <v>0.97991419838881633</v>
      </c>
      <c r="BN237" s="302">
        <f t="shared" si="305"/>
        <v>0.97240470812086743</v>
      </c>
      <c r="BO237" s="302">
        <f t="shared" si="305"/>
        <v>0.9668630140239185</v>
      </c>
      <c r="BP237" s="302">
        <f t="shared" si="305"/>
        <v>0.96440102266034644</v>
      </c>
      <c r="BQ237" s="302">
        <f t="shared" si="305"/>
        <v>0.96402738036418112</v>
      </c>
      <c r="BR237" s="302">
        <f t="shared" si="305"/>
        <v>0.96440137290831762</v>
      </c>
      <c r="BS237" s="302">
        <f t="shared" si="305"/>
        <v>0.96686394617371363</v>
      </c>
      <c r="BT237" s="302">
        <f t="shared" si="305"/>
        <v>0.97240684126467325</v>
      </c>
      <c r="BU237" s="302">
        <f t="shared" si="305"/>
        <v>0.979918946174411</v>
      </c>
      <c r="BV237" s="302">
        <f t="shared" si="305"/>
        <v>0.98713174218396926</v>
      </c>
      <c r="BW237" s="223"/>
      <c r="BX237" s="146"/>
      <c r="BY237" s="223"/>
      <c r="BZ237" s="222"/>
      <c r="CA237" s="169">
        <v>-0.5</v>
      </c>
      <c r="CB237" s="174">
        <f t="shared" si="261"/>
        <v>-0.95823995310991039</v>
      </c>
      <c r="CC237" s="301">
        <f t="shared" si="262"/>
        <v>-0.9791199765549552</v>
      </c>
      <c r="CD237" s="302">
        <f t="shared" si="264"/>
        <v>-0.97898161258301486</v>
      </c>
      <c r="CE237" s="302">
        <f t="shared" si="265"/>
        <v>-0.9788413717845198</v>
      </c>
      <c r="CF237" s="302">
        <f t="shared" si="266"/>
        <v>-0.97855904106322167</v>
      </c>
      <c r="CG237" s="302">
        <f t="shared" si="267"/>
        <v>-0.97799081925319842</v>
      </c>
      <c r="CH237" s="302">
        <f t="shared" si="268"/>
        <v>-0.97684786688321534</v>
      </c>
      <c r="CI237" s="302">
        <f t="shared" si="269"/>
        <v>-0.97455152473647866</v>
      </c>
      <c r="CJ237" s="302">
        <f t="shared" si="270"/>
        <v>-0.96994856126712448</v>
      </c>
      <c r="CK237" s="302">
        <f t="shared" si="271"/>
        <v>-0.96076478635113061</v>
      </c>
      <c r="CL237" s="302">
        <f t="shared" si="272"/>
        <v>-0.94936647164952548</v>
      </c>
      <c r="CM237" s="302">
        <f t="shared" si="273"/>
        <v>-0.94018269673353161</v>
      </c>
      <c r="CN237" s="302">
        <f t="shared" si="274"/>
        <v>-0.922027981359402</v>
      </c>
      <c r="CO237" s="302">
        <f t="shared" si="275"/>
        <v>-0.90042623786986242</v>
      </c>
      <c r="CP237" s="302">
        <f t="shared" si="276"/>
        <v>-0.88227152249573282</v>
      </c>
      <c r="CQ237" s="302">
        <f t="shared" si="277"/>
        <v>-0.84702995138435022</v>
      </c>
      <c r="CR237" s="302">
        <f t="shared" si="278"/>
        <v>-0.80844638128145629</v>
      </c>
      <c r="CS237" s="302">
        <f t="shared" si="279"/>
        <v>-0.7732048101700737</v>
      </c>
      <c r="CT237" s="302">
        <f t="shared" si="280"/>
        <v>-0.70714912463502699</v>
      </c>
      <c r="CU237" s="302">
        <f t="shared" si="281"/>
        <v>-0.645641515847861</v>
      </c>
      <c r="CV237" s="302">
        <f t="shared" si="282"/>
        <v>-0.5795858303128143</v>
      </c>
      <c r="CW237" s="302">
        <f t="shared" si="283"/>
        <v>-0.46352721593872026</v>
      </c>
      <c r="CX237" s="302">
        <f t="shared" si="284"/>
        <v>1.5641682037684919</v>
      </c>
      <c r="CY237" s="302">
        <f t="shared" si="285"/>
        <v>1.715344987740028</v>
      </c>
      <c r="CZ237" s="302">
        <f t="shared" si="286"/>
        <v>1.8061423790585405</v>
      </c>
      <c r="DA237" s="302">
        <f t="shared" si="287"/>
        <v>1.8736388388932128</v>
      </c>
      <c r="DB237" s="302">
        <f t="shared" si="288"/>
        <v>1.923585217712902</v>
      </c>
      <c r="DC237" s="302">
        <f t="shared" si="289"/>
        <v>1.949738797364569</v>
      </c>
      <c r="DD237" s="302">
        <f t="shared" si="290"/>
        <v>1.9673890633041213</v>
      </c>
      <c r="DE237" s="302">
        <f t="shared" si="291"/>
        <v>1.9807310112979979</v>
      </c>
      <c r="DF237" s="302">
        <f t="shared" si="292"/>
        <v>1.9874466278202263</v>
      </c>
      <c r="DG237" s="303">
        <f t="shared" si="293"/>
        <v>1.9918641833184605</v>
      </c>
      <c r="DH237" s="223"/>
      <c r="DI237"/>
      <c r="DJ237"/>
      <c r="DK237"/>
      <c r="DL237"/>
      <c r="DM237"/>
      <c r="DN237"/>
      <c r="DO237"/>
      <c r="DP237"/>
      <c r="DQ237"/>
      <c r="DR237"/>
      <c r="DS237"/>
      <c r="DT237"/>
      <c r="DU237"/>
      <c r="DV237"/>
      <c r="DW237"/>
      <c r="DX237"/>
      <c r="DY237"/>
      <c r="DZ237"/>
      <c r="EA237"/>
      <c r="EB237"/>
      <c r="EC237"/>
      <c r="ED237"/>
      <c r="EE237"/>
      <c r="EF237"/>
      <c r="EG237"/>
      <c r="EH237"/>
      <c r="EI237"/>
      <c r="EJ237"/>
      <c r="EK237" s="783"/>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row>
    <row r="238" spans="2:190" ht="42" customHeight="1">
      <c r="B238"/>
      <c r="C238" s="223"/>
      <c r="D238" s="222"/>
      <c r="E238" s="169">
        <v>-0.6</v>
      </c>
      <c r="F238" s="174">
        <f t="shared" si="259"/>
        <v>-0.97911623056992836</v>
      </c>
      <c r="G238" s="301">
        <f t="shared" si="224"/>
        <v>-0.98218691652597068</v>
      </c>
      <c r="H238" s="302">
        <f t="shared" si="225"/>
        <v>-0.97892116061569046</v>
      </c>
      <c r="I238" s="302">
        <f t="shared" si="226"/>
        <v>-0.97593431258418106</v>
      </c>
      <c r="J238" s="302">
        <f t="shared" si="227"/>
        <v>-0.97376260826606642</v>
      </c>
      <c r="K238" s="302">
        <f t="shared" si="228"/>
        <v>-0.97241056000217685</v>
      </c>
      <c r="L238" s="302">
        <f t="shared" si="229"/>
        <v>-0.97116821159960454</v>
      </c>
      <c r="M238" s="302">
        <f t="shared" si="230"/>
        <v>-0.96902663365151742</v>
      </c>
      <c r="N238" s="302">
        <f t="shared" si="231"/>
        <v>-0.96528378610036503</v>
      </c>
      <c r="O238" s="302">
        <f t="shared" si="232"/>
        <v>-0.96140277459610168</v>
      </c>
      <c r="P238" s="302">
        <f t="shared" si="233"/>
        <v>-0.95965162636860335</v>
      </c>
      <c r="Q238" s="302">
        <f t="shared" si="234"/>
        <v>-0.95359720490252553</v>
      </c>
      <c r="R238" s="302">
        <f t="shared" si="235"/>
        <v>-0.94486573777390426</v>
      </c>
      <c r="S238" s="302">
        <f t="shared" si="236"/>
        <v>-0.93755124341320406</v>
      </c>
      <c r="T238" s="302">
        <f t="shared" si="237"/>
        <v>-0.92053680432128338</v>
      </c>
      <c r="U238" s="302">
        <f t="shared" si="238"/>
        <v>-0.899488974139107</v>
      </c>
      <c r="V238" s="302">
        <f t="shared" si="239"/>
        <v>-0.88142576958372254</v>
      </c>
      <c r="W238" s="302">
        <f t="shared" si="240"/>
        <v>-0.8458378371028189</v>
      </c>
      <c r="X238" s="302">
        <f t="shared" si="241"/>
        <v>-0.80629546476823855</v>
      </c>
      <c r="Y238" s="302">
        <f t="shared" si="242"/>
        <v>-0.76906538176431005</v>
      </c>
      <c r="Z238" s="302">
        <f t="shared" si="243"/>
        <v>-0.69963130554556674</v>
      </c>
      <c r="AA238" s="302">
        <f t="shared" si="244"/>
        <v>-0.6326703088504777</v>
      </c>
      <c r="AB238" s="302">
        <f t="shared" si="245"/>
        <v>-0.55937439876693973</v>
      </c>
      <c r="AC238" s="302">
        <f t="shared" si="246"/>
        <v>1.5466526876337046</v>
      </c>
      <c r="AD238" s="302">
        <f t="shared" si="247"/>
        <v>1.6378988880465832</v>
      </c>
      <c r="AE238" s="302">
        <f t="shared" si="248"/>
        <v>1.7078728031739665</v>
      </c>
      <c r="AF238" s="302">
        <f t="shared" si="249"/>
        <v>1.7516154490554126</v>
      </c>
      <c r="AG238" s="302">
        <f t="shared" si="250"/>
        <v>1.7861315394324471</v>
      </c>
      <c r="AH238" s="302">
        <f t="shared" si="251"/>
        <v>1.8256782869880861</v>
      </c>
      <c r="AI238" s="302">
        <f t="shared" si="252"/>
        <v>1.8696103110562878</v>
      </c>
      <c r="AJ238" s="302">
        <f t="shared" si="253"/>
        <v>1.9145130562868755</v>
      </c>
      <c r="AK238" s="303">
        <f t="shared" si="254"/>
        <v>1.9504262619975876</v>
      </c>
      <c r="AL238" s="223"/>
      <c r="AM238" s="137"/>
      <c r="AN238" s="223"/>
      <c r="AO238" s="222"/>
      <c r="AP238" s="169">
        <v>-0.6</v>
      </c>
      <c r="AQ238" s="174">
        <f t="shared" si="260"/>
        <v>-0.97911623056992836</v>
      </c>
      <c r="AR238" s="302">
        <f t="shared" si="303"/>
        <v>0.99255101984902538</v>
      </c>
      <c r="AS238" s="302">
        <f t="shared" si="303"/>
        <v>0.98938914380534537</v>
      </c>
      <c r="AT238" s="302">
        <f t="shared" si="303"/>
        <v>0.98651018464598861</v>
      </c>
      <c r="AU238" s="302">
        <f t="shared" si="303"/>
        <v>0.98459594037432008</v>
      </c>
      <c r="AV238" s="302">
        <f t="shared" si="303"/>
        <v>0.98379408266860724</v>
      </c>
      <c r="AW238" s="302">
        <f t="shared" si="303"/>
        <v>0.98367464552117434</v>
      </c>
      <c r="AX238" s="302">
        <f t="shared" si="303"/>
        <v>0.98379370829254054</v>
      </c>
      <c r="AY238" s="302">
        <f t="shared" si="303"/>
        <v>0.98459494208069875</v>
      </c>
      <c r="AZ238" s="302">
        <f t="shared" si="303"/>
        <v>0.98650789639477254</v>
      </c>
      <c r="BA238" s="302">
        <f t="shared" si="303"/>
        <v>0.9893840402370726</v>
      </c>
      <c r="BB238" s="302">
        <f t="shared" si="304"/>
        <v>0.99253971258061335</v>
      </c>
      <c r="BC238" s="302">
        <f t="shared" si="304"/>
        <v>0.99525922390349308</v>
      </c>
      <c r="BD238" s="302">
        <f t="shared" si="304"/>
        <v>0.99720112555839413</v>
      </c>
      <c r="BE238" s="302">
        <f t="shared" si="304"/>
        <v>0.998382720407335</v>
      </c>
      <c r="BF238" s="302">
        <f t="shared" si="304"/>
        <v>0.99895908882778373</v>
      </c>
      <c r="BG238" s="302">
        <f t="shared" si="304"/>
        <v>0.99904139157793759</v>
      </c>
      <c r="BH238" s="302">
        <f t="shared" si="304"/>
        <v>0.99859259489043684</v>
      </c>
      <c r="BI238" s="302">
        <f t="shared" si="304"/>
        <v>0.997339444441809</v>
      </c>
      <c r="BJ238" s="302">
        <f t="shared" si="304"/>
        <v>0.99464640111996572</v>
      </c>
      <c r="BK238" s="302">
        <f t="shared" si="304"/>
        <v>0.98936883490686589</v>
      </c>
      <c r="BL238" s="302">
        <f t="shared" si="305"/>
        <v>0.97990958344686152</v>
      </c>
      <c r="BM238" s="302">
        <f t="shared" si="305"/>
        <v>0.96512780249481589</v>
      </c>
      <c r="BN238" s="302">
        <f t="shared" si="305"/>
        <v>0.94671874423844715</v>
      </c>
      <c r="BO238" s="302">
        <f t="shared" si="305"/>
        <v>0.93076206122703975</v>
      </c>
      <c r="BP238" s="302">
        <f t="shared" si="305"/>
        <v>0.92290658372016798</v>
      </c>
      <c r="BQ238" s="302">
        <f t="shared" si="305"/>
        <v>0.92166837455700235</v>
      </c>
      <c r="BR238" s="302">
        <f t="shared" si="305"/>
        <v>0.922906896490852</v>
      </c>
      <c r="BS238" s="302">
        <f t="shared" si="305"/>
        <v>0.93076289411919344</v>
      </c>
      <c r="BT238" s="302">
        <f t="shared" si="305"/>
        <v>0.94672065675471317</v>
      </c>
      <c r="BU238" s="302">
        <f t="shared" si="305"/>
        <v>0.96513206616368719</v>
      </c>
      <c r="BV238" s="302">
        <f t="shared" si="305"/>
        <v>0.97991895097508475</v>
      </c>
      <c r="BW238" s="223"/>
      <c r="BX238" s="146"/>
      <c r="BY238" s="223"/>
      <c r="BZ238" s="222"/>
      <c r="CA238" s="169">
        <v>-0.6</v>
      </c>
      <c r="CB238" s="174">
        <f t="shared" si="261"/>
        <v>-0.97911623056992836</v>
      </c>
      <c r="CC238" s="301">
        <f t="shared" si="262"/>
        <v>-0.98955811528496418</v>
      </c>
      <c r="CD238" s="302">
        <f t="shared" si="264"/>
        <v>-0.98941975131302384</v>
      </c>
      <c r="CE238" s="302">
        <f t="shared" si="265"/>
        <v>-0.98927951051452878</v>
      </c>
      <c r="CF238" s="302">
        <f t="shared" si="266"/>
        <v>-0.98899717979323065</v>
      </c>
      <c r="CG238" s="302">
        <f t="shared" si="267"/>
        <v>-0.9884289579832074</v>
      </c>
      <c r="CH238" s="302">
        <f t="shared" si="268"/>
        <v>-0.98728600561322433</v>
      </c>
      <c r="CI238" s="302">
        <f t="shared" si="269"/>
        <v>-0.98498966346648764</v>
      </c>
      <c r="CJ238" s="302">
        <f t="shared" si="270"/>
        <v>-0.98038669999713346</v>
      </c>
      <c r="CK238" s="302">
        <f t="shared" si="271"/>
        <v>-0.97455152473647866</v>
      </c>
      <c r="CL238" s="302">
        <f t="shared" si="272"/>
        <v>-0.96994856126712448</v>
      </c>
      <c r="CM238" s="302">
        <f t="shared" si="273"/>
        <v>-0.96076478635113061</v>
      </c>
      <c r="CN238" s="302">
        <f t="shared" si="274"/>
        <v>-0.94936647164952548</v>
      </c>
      <c r="CO238" s="302">
        <f t="shared" si="275"/>
        <v>-0.94018269673353161</v>
      </c>
      <c r="CP238" s="302">
        <f t="shared" si="276"/>
        <v>-0.922027981359402</v>
      </c>
      <c r="CQ238" s="302">
        <f t="shared" si="277"/>
        <v>-0.90042623786986242</v>
      </c>
      <c r="CR238" s="302">
        <f t="shared" si="278"/>
        <v>-0.88227152249573282</v>
      </c>
      <c r="CS238" s="302">
        <f t="shared" si="279"/>
        <v>-0.84702995138435022</v>
      </c>
      <c r="CT238" s="302">
        <f t="shared" si="280"/>
        <v>-0.80844638128145629</v>
      </c>
      <c r="CU238" s="302">
        <f t="shared" si="281"/>
        <v>-0.7732048101700737</v>
      </c>
      <c r="CV238" s="302">
        <f t="shared" si="282"/>
        <v>-0.70714912463502699</v>
      </c>
      <c r="CW238" s="302">
        <f t="shared" si="283"/>
        <v>-0.645641515847861</v>
      </c>
      <c r="CX238" s="302">
        <f t="shared" si="284"/>
        <v>-0.5795858303128143</v>
      </c>
      <c r="CY238" s="302">
        <f t="shared" si="285"/>
        <v>1.6336981780981341</v>
      </c>
      <c r="CZ238" s="302">
        <f t="shared" si="286"/>
        <v>1.7597396330135253</v>
      </c>
      <c r="DA238" s="302">
        <f t="shared" si="287"/>
        <v>1.8505370243320378</v>
      </c>
      <c r="DB238" s="302">
        <f t="shared" si="288"/>
        <v>1.900483403151727</v>
      </c>
      <c r="DC238" s="302">
        <f t="shared" si="289"/>
        <v>1.9353323138269034</v>
      </c>
      <c r="DD238" s="302">
        <f t="shared" si="290"/>
        <v>1.9614858934785704</v>
      </c>
      <c r="DE238" s="302">
        <f t="shared" si="291"/>
        <v>1.9748278414724472</v>
      </c>
      <c r="DF238" s="302">
        <f t="shared" si="292"/>
        <v>1.9836798749179394</v>
      </c>
      <c r="DG238" s="303">
        <f t="shared" si="293"/>
        <v>1.9903954914401678</v>
      </c>
      <c r="DH238" s="223"/>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row>
    <row r="239" spans="2:190" ht="42" customHeight="1">
      <c r="B239"/>
      <c r="C239" s="225"/>
      <c r="D239" s="223"/>
      <c r="E239" s="169">
        <v>-0.7</v>
      </c>
      <c r="F239" s="174">
        <f t="shared" si="259"/>
        <v>-0.98959295658264468</v>
      </c>
      <c r="G239" s="301">
        <f t="shared" si="224"/>
        <v>-0.99081149712932237</v>
      </c>
      <c r="H239" s="302">
        <f t="shared" si="225"/>
        <v>-0.98937638622655977</v>
      </c>
      <c r="I239" s="302">
        <f t="shared" si="226"/>
        <v>-0.98816462876774025</v>
      </c>
      <c r="J239" s="302">
        <f t="shared" si="227"/>
        <v>-0.98721816846188881</v>
      </c>
      <c r="K239" s="302">
        <f t="shared" si="228"/>
        <v>-0.98638495973942142</v>
      </c>
      <c r="L239" s="302">
        <f t="shared" si="229"/>
        <v>-0.98521075506900957</v>
      </c>
      <c r="M239" s="302">
        <f t="shared" si="230"/>
        <v>-0.98297048616533422</v>
      </c>
      <c r="N239" s="302">
        <f t="shared" si="231"/>
        <v>-0.98031665655900491</v>
      </c>
      <c r="O239" s="302">
        <f t="shared" si="232"/>
        <v>-0.97869493866983137</v>
      </c>
      <c r="P239" s="302">
        <f t="shared" si="233"/>
        <v>-0.97517552780808225</v>
      </c>
      <c r="Q239" s="302">
        <f t="shared" si="234"/>
        <v>-0.97063609228422765</v>
      </c>
      <c r="R239" s="302">
        <f t="shared" si="235"/>
        <v>-0.96726156341004688</v>
      </c>
      <c r="S239" s="302">
        <f t="shared" si="236"/>
        <v>-0.95905275145243929</v>
      </c>
      <c r="T239" s="302">
        <f t="shared" si="237"/>
        <v>-0.9482878047673643</v>
      </c>
      <c r="U239" s="302">
        <f t="shared" si="238"/>
        <v>-0.93939295284614954</v>
      </c>
      <c r="V239" s="302">
        <f t="shared" si="239"/>
        <v>-0.92118163795800123</v>
      </c>
      <c r="W239" s="302">
        <f t="shared" si="240"/>
        <v>-0.89906087205987395</v>
      </c>
      <c r="X239" s="302">
        <f t="shared" si="241"/>
        <v>-0.87958488294730286</v>
      </c>
      <c r="Y239" s="302">
        <f t="shared" si="242"/>
        <v>-0.84158831751280716</v>
      </c>
      <c r="Z239" s="302">
        <f t="shared" si="243"/>
        <v>-0.79752667586429149</v>
      </c>
      <c r="AA239" s="302">
        <f t="shared" si="244"/>
        <v>-0.75186342772772641</v>
      </c>
      <c r="AB239" s="302">
        <f t="shared" si="245"/>
        <v>-0.66947008522700002</v>
      </c>
      <c r="AC239" s="302">
        <f t="shared" si="246"/>
        <v>-0.58577435837212388</v>
      </c>
      <c r="AD239" s="302">
        <f t="shared" si="247"/>
        <v>1.4818453794161435</v>
      </c>
      <c r="AE239" s="302">
        <f t="shared" si="248"/>
        <v>1.5136634582783386</v>
      </c>
      <c r="AF239" s="302">
        <f t="shared" si="249"/>
        <v>1.5619673693329219</v>
      </c>
      <c r="AG239" s="302">
        <f t="shared" si="250"/>
        <v>1.6120886057946608</v>
      </c>
      <c r="AH239" s="302">
        <f t="shared" si="251"/>
        <v>1.684333927812024</v>
      </c>
      <c r="AI239" s="302">
        <f t="shared" si="252"/>
        <v>1.7849659856839508</v>
      </c>
      <c r="AJ239" s="302">
        <f t="shared" si="253"/>
        <v>1.8751989835332972</v>
      </c>
      <c r="AK239" s="303">
        <f t="shared" si="254"/>
        <v>1.9326067277093628</v>
      </c>
      <c r="AL239" s="223"/>
      <c r="AM239" s="137"/>
      <c r="AN239" s="225"/>
      <c r="AO239" s="223"/>
      <c r="AP239" s="169">
        <v>-0.7</v>
      </c>
      <c r="AQ239" s="174">
        <f t="shared" si="260"/>
        <v>-0.98959295658264468</v>
      </c>
      <c r="AR239" s="302">
        <f t="shared" si="303"/>
        <v>0.99599417443772553</v>
      </c>
      <c r="AS239" s="302">
        <f t="shared" si="303"/>
        <v>0.99468990599203388</v>
      </c>
      <c r="AT239" s="302">
        <f t="shared" si="303"/>
        <v>0.99361173396446423</v>
      </c>
      <c r="AU239" s="302">
        <f t="shared" si="303"/>
        <v>0.99294193977622214</v>
      </c>
      <c r="AV239" s="302">
        <f t="shared" si="303"/>
        <v>0.99267122798917062</v>
      </c>
      <c r="AW239" s="302">
        <f t="shared" si="303"/>
        <v>0.99263130077023221</v>
      </c>
      <c r="AX239" s="302">
        <f t="shared" si="303"/>
        <v>0.99267083932842959</v>
      </c>
      <c r="AY239" s="302">
        <f t="shared" si="303"/>
        <v>0.99294090160845483</v>
      </c>
      <c r="AZ239" s="302">
        <f t="shared" si="303"/>
        <v>0.99360934938697409</v>
      </c>
      <c r="BA239" s="302">
        <f t="shared" si="303"/>
        <v>0.99468457478149541</v>
      </c>
      <c r="BB239" s="302">
        <f t="shared" si="304"/>
        <v>0.99598232381473129</v>
      </c>
      <c r="BC239" s="302">
        <f t="shared" si="304"/>
        <v>0.99722975221122312</v>
      </c>
      <c r="BD239" s="302">
        <f t="shared" si="304"/>
        <v>0.9982180499087675</v>
      </c>
      <c r="BE239" s="302">
        <f t="shared" si="304"/>
        <v>0.99886380347908543</v>
      </c>
      <c r="BF239" s="302">
        <f t="shared" si="304"/>
        <v>0.99916001018724776</v>
      </c>
      <c r="BG239" s="302">
        <f t="shared" si="304"/>
        <v>0.99908208490576067</v>
      </c>
      <c r="BH239" s="302">
        <f t="shared" si="304"/>
        <v>0.99848364501992015</v>
      </c>
      <c r="BI239" s="302">
        <f t="shared" si="304"/>
        <v>0.99695486085640606</v>
      </c>
      <c r="BJ239" s="302">
        <f t="shared" si="304"/>
        <v>0.99357562992589632</v>
      </c>
      <c r="BK239" s="302">
        <f t="shared" si="304"/>
        <v>0.98649297508159273</v>
      </c>
      <c r="BL239" s="302">
        <f t="shared" si="305"/>
        <v>0.9723987976256212</v>
      </c>
      <c r="BM239" s="302">
        <f t="shared" si="305"/>
        <v>0.94671698218183631</v>
      </c>
      <c r="BN239" s="302">
        <f t="shared" si="305"/>
        <v>0.90727492578119118</v>
      </c>
      <c r="BO239" s="302">
        <f t="shared" si="305"/>
        <v>0.86387600745461657</v>
      </c>
      <c r="BP239" s="302">
        <f t="shared" si="305"/>
        <v>0.83806430535523024</v>
      </c>
      <c r="BQ239" s="302">
        <f t="shared" si="305"/>
        <v>0.83365445725687448</v>
      </c>
      <c r="BR239" s="302">
        <f t="shared" si="305"/>
        <v>0.83806456347766933</v>
      </c>
      <c r="BS239" s="302">
        <f t="shared" si="305"/>
        <v>0.86387670496617874</v>
      </c>
      <c r="BT239" s="302">
        <f t="shared" si="305"/>
        <v>0.9072765621082588</v>
      </c>
      <c r="BU239" s="302">
        <f t="shared" si="305"/>
        <v>0.94672066668177002</v>
      </c>
      <c r="BV239" s="302">
        <f t="shared" si="305"/>
        <v>0.97240685644423552</v>
      </c>
      <c r="BW239" s="223"/>
      <c r="BX239" s="146"/>
      <c r="BY239" s="225"/>
      <c r="BZ239" s="223"/>
      <c r="CA239" s="169">
        <v>-0.7</v>
      </c>
      <c r="CB239" s="174">
        <f t="shared" si="261"/>
        <v>-0.98959295658264468</v>
      </c>
      <c r="CC239" s="301">
        <f t="shared" si="262"/>
        <v>-0.99479647829132234</v>
      </c>
      <c r="CD239" s="302">
        <f t="shared" si="264"/>
        <v>-0.994658114319382</v>
      </c>
      <c r="CE239" s="302">
        <f t="shared" si="265"/>
        <v>-0.99451787352088694</v>
      </c>
      <c r="CF239" s="302">
        <f t="shared" si="266"/>
        <v>-0.99423554279958881</v>
      </c>
      <c r="CG239" s="302">
        <f t="shared" si="267"/>
        <v>-0.99366732098956556</v>
      </c>
      <c r="CH239" s="302">
        <f t="shared" si="268"/>
        <v>-0.99252436861958249</v>
      </c>
      <c r="CI239" s="302">
        <f t="shared" si="269"/>
        <v>-0.9902280264728458</v>
      </c>
      <c r="CJ239" s="302">
        <f t="shared" si="270"/>
        <v>-0.98728600561322433</v>
      </c>
      <c r="CK239" s="302">
        <f t="shared" si="271"/>
        <v>-0.98498966346648764</v>
      </c>
      <c r="CL239" s="302">
        <f t="shared" si="272"/>
        <v>-0.98038669999713346</v>
      </c>
      <c r="CM239" s="302">
        <f t="shared" si="273"/>
        <v>-0.97455152473647866</v>
      </c>
      <c r="CN239" s="302">
        <f t="shared" si="274"/>
        <v>-0.96994856126712448</v>
      </c>
      <c r="CO239" s="302">
        <f t="shared" si="275"/>
        <v>-0.96076478635113061</v>
      </c>
      <c r="CP239" s="302">
        <f t="shared" si="276"/>
        <v>-0.94936647164952548</v>
      </c>
      <c r="CQ239" s="302">
        <f t="shared" si="277"/>
        <v>-0.94018269673353161</v>
      </c>
      <c r="CR239" s="302">
        <f t="shared" si="278"/>
        <v>-0.922027981359402</v>
      </c>
      <c r="CS239" s="302">
        <f t="shared" si="279"/>
        <v>-0.90042623786986242</v>
      </c>
      <c r="CT239" s="302">
        <f t="shared" si="280"/>
        <v>-0.88227152249573282</v>
      </c>
      <c r="CU239" s="302">
        <f t="shared" si="281"/>
        <v>-0.84702995138435022</v>
      </c>
      <c r="CV239" s="302">
        <f t="shared" si="282"/>
        <v>-0.80844638128145629</v>
      </c>
      <c r="CW239" s="302">
        <f t="shared" si="283"/>
        <v>-0.7732048101700737</v>
      </c>
      <c r="CX239" s="302">
        <f t="shared" si="284"/>
        <v>-0.70714912463502699</v>
      </c>
      <c r="CY239" s="302">
        <f t="shared" si="285"/>
        <v>-0.645641515847861</v>
      </c>
      <c r="CZ239" s="302">
        <f t="shared" si="286"/>
        <v>1.715344987740028</v>
      </c>
      <c r="DA239" s="302">
        <f t="shared" si="287"/>
        <v>1.8061423790585405</v>
      </c>
      <c r="DB239" s="302">
        <f t="shared" si="288"/>
        <v>1.8736388388932128</v>
      </c>
      <c r="DC239" s="302">
        <f t="shared" si="289"/>
        <v>1.923585217712902</v>
      </c>
      <c r="DD239" s="302">
        <f t="shared" si="290"/>
        <v>1.949738797364569</v>
      </c>
      <c r="DE239" s="302">
        <f t="shared" si="291"/>
        <v>1.9673890633041213</v>
      </c>
      <c r="DF239" s="302">
        <f t="shared" si="292"/>
        <v>1.9807310112979979</v>
      </c>
      <c r="DG239" s="303">
        <f t="shared" si="293"/>
        <v>1.9874466278202263</v>
      </c>
      <c r="DH239" s="223"/>
      <c r="DI239"/>
      <c r="DJ239"/>
      <c r="DK239"/>
      <c r="DL239"/>
      <c r="DM239"/>
      <c r="DN239"/>
      <c r="DO239"/>
      <c r="DP239"/>
      <c r="DQ239"/>
      <c r="DR239"/>
      <c r="DS239"/>
      <c r="DT239"/>
      <c r="DU239"/>
      <c r="DV239"/>
      <c r="DW239"/>
      <c r="DX239"/>
      <c r="DY239"/>
      <c r="DZ239"/>
      <c r="EA239"/>
      <c r="EB239"/>
      <c r="EC239"/>
      <c r="ED239"/>
      <c r="EE239"/>
      <c r="EF239"/>
      <c r="EG239"/>
      <c r="EH239"/>
      <c r="EI239" s="420"/>
      <c r="EJ239" s="420">
        <v>0</v>
      </c>
      <c r="EK239" s="420"/>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row>
    <row r="240" spans="2:190" ht="42" customHeight="1">
      <c r="B240"/>
      <c r="C240" s="225"/>
      <c r="D240" s="223"/>
      <c r="E240" s="169">
        <v>-0.8</v>
      </c>
      <c r="F240" s="174">
        <f t="shared" si="259"/>
        <v>-0.994822974269296</v>
      </c>
      <c r="G240" s="301">
        <f t="shared" si="224"/>
        <v>-0.99536957537419957</v>
      </c>
      <c r="H240" s="302">
        <f t="shared" si="225"/>
        <v>-0.9947115487778756</v>
      </c>
      <c r="I240" s="302">
        <f t="shared" si="226"/>
        <v>-0.99417056131421444</v>
      </c>
      <c r="J240" s="302">
        <f t="shared" si="227"/>
        <v>-0.99365105081386929</v>
      </c>
      <c r="K240" s="302">
        <f t="shared" si="228"/>
        <v>-0.9929906731785092</v>
      </c>
      <c r="L240" s="302">
        <f t="shared" si="229"/>
        <v>-0.99183767886812479</v>
      </c>
      <c r="M240" s="302">
        <f t="shared" si="230"/>
        <v>-0.99038391067665654</v>
      </c>
      <c r="N240" s="302">
        <f t="shared" si="231"/>
        <v>-0.98933770224620288</v>
      </c>
      <c r="O240" s="302">
        <f t="shared" si="232"/>
        <v>-0.98728380727433718</v>
      </c>
      <c r="P240" s="302">
        <f t="shared" si="233"/>
        <v>-0.98474470069204845</v>
      </c>
      <c r="Q240" s="302">
        <f t="shared" si="234"/>
        <v>-0.98296122061702806</v>
      </c>
      <c r="R240" s="302">
        <f t="shared" si="235"/>
        <v>-0.97889260221825547</v>
      </c>
      <c r="S240" s="302">
        <f t="shared" si="236"/>
        <v>-0.97351120043543748</v>
      </c>
      <c r="T240" s="302">
        <f t="shared" si="237"/>
        <v>-0.96920865854375182</v>
      </c>
      <c r="U240" s="302">
        <f t="shared" si="238"/>
        <v>-0.96012558744062237</v>
      </c>
      <c r="V240" s="302">
        <f t="shared" si="239"/>
        <v>-0.94854796210907844</v>
      </c>
      <c r="W240" s="302">
        <f t="shared" si="240"/>
        <v>-0.93871295623890749</v>
      </c>
      <c r="X240" s="302">
        <f t="shared" si="241"/>
        <v>-0.91901638241363537</v>
      </c>
      <c r="Y240" s="302">
        <f t="shared" si="242"/>
        <v>-0.89404536649692745</v>
      </c>
      <c r="Z240" s="302">
        <f t="shared" si="243"/>
        <v>-0.86866868515985596</v>
      </c>
      <c r="AA240" s="302">
        <f t="shared" si="244"/>
        <v>-0.81895711283461969</v>
      </c>
      <c r="AB240" s="302">
        <f t="shared" si="245"/>
        <v>-0.75246943534324484</v>
      </c>
      <c r="AC240" s="302">
        <f t="shared" si="246"/>
        <v>-0.66795259945944896</v>
      </c>
      <c r="AD240" s="302">
        <f t="shared" si="247"/>
        <v>-0.54090314747989499</v>
      </c>
      <c r="AE240" s="302">
        <f t="shared" si="248"/>
        <v>1.1993789986079122</v>
      </c>
      <c r="AF240" s="302">
        <f t="shared" si="249"/>
        <v>1.2288244309175049</v>
      </c>
      <c r="AG240" s="302">
        <f t="shared" si="250"/>
        <v>1.2953055425977138</v>
      </c>
      <c r="AH240" s="302">
        <f t="shared" si="251"/>
        <v>1.4803498190354383</v>
      </c>
      <c r="AI240" s="302">
        <f t="shared" si="252"/>
        <v>1.6944820075406923</v>
      </c>
      <c r="AJ240" s="302">
        <f t="shared" si="253"/>
        <v>1.8380965379856757</v>
      </c>
      <c r="AK240" s="303">
        <f t="shared" si="254"/>
        <v>1.9179486268136554</v>
      </c>
      <c r="AL240" s="223"/>
      <c r="AM240" s="137"/>
      <c r="AN240" s="225"/>
      <c r="AO240" s="223"/>
      <c r="AP240" s="169">
        <v>-0.8</v>
      </c>
      <c r="AQ240" s="174">
        <f t="shared" si="260"/>
        <v>-0.994822974269296</v>
      </c>
      <c r="AR240" s="302">
        <f t="shared" si="303"/>
        <v>0.99795278900755957</v>
      </c>
      <c r="AS240" s="302">
        <f t="shared" si="303"/>
        <v>0.99743142141772712</v>
      </c>
      <c r="AT240" s="302">
        <f t="shared" si="303"/>
        <v>0.99702916120570162</v>
      </c>
      <c r="AU240" s="302">
        <f t="shared" si="303"/>
        <v>0.99679039067213027</v>
      </c>
      <c r="AV240" s="302">
        <f t="shared" si="303"/>
        <v>0.99669606038788805</v>
      </c>
      <c r="AW240" s="302">
        <f t="shared" si="303"/>
        <v>0.99668217470883225</v>
      </c>
      <c r="AX240" s="302">
        <f t="shared" si="303"/>
        <v>0.99669566439033219</v>
      </c>
      <c r="AY240" s="302">
        <f t="shared" si="303"/>
        <v>0.99678933185508412</v>
      </c>
      <c r="AZ240" s="302">
        <f t="shared" si="303"/>
        <v>0.99702672604713505</v>
      </c>
      <c r="BA240" s="302">
        <f t="shared" si="303"/>
        <v>0.99742596886137624</v>
      </c>
      <c r="BB240" s="302">
        <f t="shared" si="304"/>
        <v>0.99794064554716155</v>
      </c>
      <c r="BC240" s="302">
        <f t="shared" si="304"/>
        <v>0.99847601178302159</v>
      </c>
      <c r="BD240" s="302">
        <f t="shared" si="304"/>
        <v>0.99893250969842518</v>
      </c>
      <c r="BE240" s="302">
        <f t="shared" si="304"/>
        <v>0.99923717323483008</v>
      </c>
      <c r="BF240" s="302">
        <f t="shared" si="304"/>
        <v>0.99933469781616802</v>
      </c>
      <c r="BG240" s="302">
        <f t="shared" si="304"/>
        <v>0.99913783605710782</v>
      </c>
      <c r="BH240" s="302">
        <f t="shared" si="304"/>
        <v>0.99843675011279143</v>
      </c>
      <c r="BI240" s="302">
        <f t="shared" si="304"/>
        <v>0.99673372282983597</v>
      </c>
      <c r="BJ240" s="302">
        <f t="shared" si="304"/>
        <v>0.99291349906902959</v>
      </c>
      <c r="BK240" s="302">
        <f t="shared" si="304"/>
        <v>0.9845820283336385</v>
      </c>
      <c r="BL240" s="302">
        <f t="shared" si="305"/>
        <v>0.96685732481614206</v>
      </c>
      <c r="BM240" s="302">
        <f t="shared" si="305"/>
        <v>0.93075985342468448</v>
      </c>
      <c r="BN240" s="302">
        <f t="shared" si="305"/>
        <v>0.86387538033102307</v>
      </c>
      <c r="BO240" s="302">
        <f t="shared" si="305"/>
        <v>0.76490676243015265</v>
      </c>
      <c r="BP240" s="302">
        <f t="shared" si="305"/>
        <v>0.6815661681461338</v>
      </c>
      <c r="BQ240" s="302">
        <f t="shared" si="305"/>
        <v>0.66403666328213906</v>
      </c>
      <c r="BR240" s="302">
        <f t="shared" si="305"/>
        <v>0.6815663533023244</v>
      </c>
      <c r="BS240" s="302">
        <f t="shared" si="305"/>
        <v>0.76490730220290282</v>
      </c>
      <c r="BT240" s="302">
        <f t="shared" si="305"/>
        <v>0.863876723852261</v>
      </c>
      <c r="BU240" s="302">
        <f t="shared" si="305"/>
        <v>0.93076292494194157</v>
      </c>
      <c r="BV240" s="302">
        <f t="shared" si="305"/>
        <v>0.96686398398481355</v>
      </c>
      <c r="BW240" s="223"/>
      <c r="BX240" s="146"/>
      <c r="BY240" s="225"/>
      <c r="BZ240" s="223"/>
      <c r="CA240" s="169">
        <v>-0.8</v>
      </c>
      <c r="CB240" s="174">
        <f t="shared" si="261"/>
        <v>-0.994822974269296</v>
      </c>
      <c r="CC240" s="301">
        <f t="shared" si="262"/>
        <v>-0.997411487134648</v>
      </c>
      <c r="CD240" s="302">
        <f t="shared" si="264"/>
        <v>-0.99727312316270766</v>
      </c>
      <c r="CE240" s="302">
        <f t="shared" si="265"/>
        <v>-0.9971328823642126</v>
      </c>
      <c r="CF240" s="302">
        <f t="shared" si="266"/>
        <v>-0.99685055164291447</v>
      </c>
      <c r="CG240" s="302">
        <f t="shared" si="267"/>
        <v>-0.99628232983289122</v>
      </c>
      <c r="CH240" s="302">
        <f t="shared" si="268"/>
        <v>-0.99513937746290815</v>
      </c>
      <c r="CI240" s="302">
        <f t="shared" si="269"/>
        <v>-0.99366732098956556</v>
      </c>
      <c r="CJ240" s="302">
        <f t="shared" si="270"/>
        <v>-0.99252436861958249</v>
      </c>
      <c r="CK240" s="302">
        <f t="shared" si="271"/>
        <v>-0.9902280264728458</v>
      </c>
      <c r="CL240" s="302">
        <f t="shared" si="272"/>
        <v>-0.98728600561322433</v>
      </c>
      <c r="CM240" s="302">
        <f t="shared" si="273"/>
        <v>-0.98498966346648764</v>
      </c>
      <c r="CN240" s="302">
        <f t="shared" si="274"/>
        <v>-0.98038669999713346</v>
      </c>
      <c r="CO240" s="302">
        <f t="shared" si="275"/>
        <v>-0.97455152473647866</v>
      </c>
      <c r="CP240" s="302">
        <f t="shared" si="276"/>
        <v>-0.96994856126712448</v>
      </c>
      <c r="CQ240" s="302">
        <f t="shared" si="277"/>
        <v>-0.96076478635113061</v>
      </c>
      <c r="CR240" s="302">
        <f t="shared" si="278"/>
        <v>-0.94936647164952548</v>
      </c>
      <c r="CS240" s="302">
        <f t="shared" si="279"/>
        <v>-0.94018269673353161</v>
      </c>
      <c r="CT240" s="302">
        <f t="shared" si="280"/>
        <v>-0.922027981359402</v>
      </c>
      <c r="CU240" s="302">
        <f t="shared" si="281"/>
        <v>-0.90042623786986242</v>
      </c>
      <c r="CV240" s="302">
        <f t="shared" si="282"/>
        <v>-0.88227152249573282</v>
      </c>
      <c r="CW240" s="302">
        <f t="shared" si="283"/>
        <v>-0.84702995138435022</v>
      </c>
      <c r="CX240" s="302">
        <f t="shared" si="284"/>
        <v>-0.80844638128145629</v>
      </c>
      <c r="CY240" s="302">
        <f t="shared" si="285"/>
        <v>-0.7732048101700737</v>
      </c>
      <c r="CZ240" s="302">
        <f t="shared" si="286"/>
        <v>-0.70714912463502699</v>
      </c>
      <c r="DA240" s="302">
        <f t="shared" si="287"/>
        <v>1.7597396330135253</v>
      </c>
      <c r="DB240" s="302">
        <f t="shared" si="288"/>
        <v>1.8505370243320378</v>
      </c>
      <c r="DC240" s="302">
        <f t="shared" si="289"/>
        <v>1.900483403151727</v>
      </c>
      <c r="DD240" s="302">
        <f t="shared" si="290"/>
        <v>1.9353323138269034</v>
      </c>
      <c r="DE240" s="302">
        <f t="shared" si="291"/>
        <v>1.9614858934785704</v>
      </c>
      <c r="DF240" s="302">
        <f t="shared" si="292"/>
        <v>1.9748278414724472</v>
      </c>
      <c r="DG240" s="303">
        <f t="shared" si="293"/>
        <v>1.9836798749179394</v>
      </c>
      <c r="DH240" s="223"/>
      <c r="DI240"/>
      <c r="DJ240"/>
      <c r="DK240"/>
      <c r="DL240"/>
      <c r="DM240"/>
      <c r="DN240"/>
      <c r="DO240"/>
      <c r="DP240"/>
      <c r="DQ240"/>
      <c r="DR240"/>
      <c r="DS240"/>
      <c r="DT240"/>
      <c r="DU240"/>
      <c r="DV240"/>
      <c r="DW240"/>
      <c r="DX240"/>
      <c r="DY240"/>
      <c r="DZ240"/>
      <c r="EA240"/>
      <c r="EB240"/>
      <c r="EC240"/>
      <c r="ED240"/>
      <c r="EE240"/>
      <c r="EF240"/>
      <c r="EG240"/>
      <c r="EH240"/>
      <c r="EI240" s="420">
        <v>0</v>
      </c>
      <c r="EJ240" s="420"/>
      <c r="EK240" s="42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row>
    <row r="241" spans="2:190" ht="42" customHeight="1">
      <c r="B241"/>
      <c r="C241" s="225"/>
      <c r="D241" s="223"/>
      <c r="E241" s="169">
        <v>-0.9</v>
      </c>
      <c r="F241" s="174">
        <f t="shared" si="259"/>
        <v>-0.9974269298007914</v>
      </c>
      <c r="G241" s="301">
        <f t="shared" si="224"/>
        <v>-0.99770432413949639</v>
      </c>
      <c r="H241" s="302">
        <f t="shared" si="225"/>
        <v>-0.99736093416844418</v>
      </c>
      <c r="I241" s="302">
        <f t="shared" si="226"/>
        <v>-0.99707027031089812</v>
      </c>
      <c r="J241" s="302">
        <f t="shared" si="227"/>
        <v>-0.99670172842410865</v>
      </c>
      <c r="K241" s="302">
        <f t="shared" si="228"/>
        <v>-0.99610063994069764</v>
      </c>
      <c r="L241" s="302">
        <f t="shared" si="229"/>
        <v>-0.9953629692563899</v>
      </c>
      <c r="M241" s="302">
        <f t="shared" si="230"/>
        <v>-0.99480020116808154</v>
      </c>
      <c r="N241" s="302">
        <f t="shared" si="231"/>
        <v>-0.99369189434485194</v>
      </c>
      <c r="O241" s="302">
        <f t="shared" si="232"/>
        <v>-0.99230680771888258</v>
      </c>
      <c r="P241" s="302">
        <f t="shared" si="233"/>
        <v>-0.9913121001398264</v>
      </c>
      <c r="Q241" s="302">
        <f t="shared" si="234"/>
        <v>-0.98921532224520869</v>
      </c>
      <c r="R241" s="302">
        <f t="shared" si="235"/>
        <v>-0.98649019936543625</v>
      </c>
      <c r="S241" s="302">
        <f t="shared" si="236"/>
        <v>-0.98438216364791953</v>
      </c>
      <c r="T241" s="302">
        <f t="shared" si="237"/>
        <v>-0.97989219765510616</v>
      </c>
      <c r="U241" s="302">
        <f t="shared" si="238"/>
        <v>-0.97403455850186171</v>
      </c>
      <c r="V241" s="302">
        <f t="shared" si="239"/>
        <v>-0.96916870067249739</v>
      </c>
      <c r="W241" s="302">
        <f t="shared" si="240"/>
        <v>-0.95926315990347699</v>
      </c>
      <c r="X241" s="302">
        <f t="shared" si="241"/>
        <v>-0.94619112174073161</v>
      </c>
      <c r="Y241" s="302">
        <f t="shared" si="242"/>
        <v>-0.93327237412811126</v>
      </c>
      <c r="Z241" s="302">
        <f t="shared" si="243"/>
        <v>-0.90707582509413465</v>
      </c>
      <c r="AA241" s="302">
        <f t="shared" si="244"/>
        <v>-0.86836762647791621</v>
      </c>
      <c r="AB241" s="302">
        <f t="shared" si="245"/>
        <v>-0.8142523529173199</v>
      </c>
      <c r="AC241" s="302">
        <f t="shared" si="246"/>
        <v>-0.70986491805229168</v>
      </c>
      <c r="AD241" s="302">
        <f t="shared" si="247"/>
        <v>-0.55100954795392676</v>
      </c>
      <c r="AE241" s="302">
        <f t="shared" si="248"/>
        <v>-0.35971980919570523</v>
      </c>
      <c r="AF241" s="302">
        <f t="shared" si="249"/>
        <v>0.68624182626252495</v>
      </c>
      <c r="AG241" s="302">
        <f t="shared" si="250"/>
        <v>0.87167740426238727</v>
      </c>
      <c r="AH241" s="302">
        <f t="shared" si="251"/>
        <v>1.3110510197054259</v>
      </c>
      <c r="AI241" s="302">
        <f t="shared" si="252"/>
        <v>1.6340071054737606</v>
      </c>
      <c r="AJ241" s="302">
        <f t="shared" si="253"/>
        <v>1.8157170839518051</v>
      </c>
      <c r="AK241" s="303">
        <f t="shared" si="254"/>
        <v>1.9102198800396653</v>
      </c>
      <c r="AL241" s="223"/>
      <c r="AM241" s="137"/>
      <c r="AN241" s="225"/>
      <c r="AO241" s="223"/>
      <c r="AP241" s="169">
        <v>-0.9</v>
      </c>
      <c r="AQ241" s="174">
        <f t="shared" si="260"/>
        <v>-0.9974269298007914</v>
      </c>
      <c r="AR241" s="302">
        <f t="shared" si="303"/>
        <v>0.99898955927163757</v>
      </c>
      <c r="AS241" s="302">
        <f t="shared" si="303"/>
        <v>0.99878410070621404</v>
      </c>
      <c r="AT241" s="302">
        <f t="shared" si="303"/>
        <v>0.9986332710589807</v>
      </c>
      <c r="AU241" s="302">
        <f t="shared" si="303"/>
        <v>0.9985465137423305</v>
      </c>
      <c r="AV241" s="302">
        <f t="shared" si="303"/>
        <v>0.99851273957835929</v>
      </c>
      <c r="AW241" s="302">
        <f t="shared" si="303"/>
        <v>0.99850771774758729</v>
      </c>
      <c r="AX241" s="302">
        <f t="shared" si="303"/>
        <v>0.99851234070862394</v>
      </c>
      <c r="AY241" s="302">
        <f t="shared" si="303"/>
        <v>0.99854544684811231</v>
      </c>
      <c r="AZ241" s="302">
        <f t="shared" si="303"/>
        <v>0.99863081612734528</v>
      </c>
      <c r="BA241" s="302">
        <f t="shared" si="303"/>
        <v>0.99877860078998149</v>
      </c>
      <c r="BB241" s="302">
        <f t="shared" si="304"/>
        <v>0.99897730199452717</v>
      </c>
      <c r="BC241" s="302">
        <f t="shared" si="304"/>
        <v>0.99919394558085139</v>
      </c>
      <c r="BD241" s="302">
        <f t="shared" si="304"/>
        <v>0.99938324244294086</v>
      </c>
      <c r="BE241" s="302">
        <f t="shared" si="304"/>
        <v>0.99949560480366706</v>
      </c>
      <c r="BF241" s="302">
        <f t="shared" si="304"/>
        <v>0.99946953422010532</v>
      </c>
      <c r="BG241" s="302">
        <f t="shared" si="304"/>
        <v>0.99919597736852328</v>
      </c>
      <c r="BH241" s="302">
        <f t="shared" si="304"/>
        <v>0.99843705091091384</v>
      </c>
      <c r="BI241" s="302">
        <f t="shared" si="304"/>
        <v>0.99665529592247271</v>
      </c>
      <c r="BJ241" s="302">
        <f t="shared" si="304"/>
        <v>0.99265002150174764</v>
      </c>
      <c r="BK241" s="302">
        <f t="shared" si="304"/>
        <v>0.98378340292534017</v>
      </c>
      <c r="BL241" s="302">
        <f t="shared" si="305"/>
        <v>0.96439618255928738</v>
      </c>
      <c r="BM241" s="302">
        <f t="shared" si="305"/>
        <v>0.92290449386147799</v>
      </c>
      <c r="BN241" s="302">
        <f t="shared" si="305"/>
        <v>0.83806353823984414</v>
      </c>
      <c r="BO241" s="302">
        <f t="shared" si="305"/>
        <v>0.68156597730146273</v>
      </c>
      <c r="BP241" s="302">
        <f t="shared" si="305"/>
        <v>0.46523224437336524</v>
      </c>
      <c r="BQ241" s="302">
        <f t="shared" si="305"/>
        <v>0.37994890891172789</v>
      </c>
      <c r="BR241" s="302">
        <f t="shared" si="305"/>
        <v>0.46523235223779863</v>
      </c>
      <c r="BS241" s="302">
        <f t="shared" si="305"/>
        <v>0.68156638324775387</v>
      </c>
      <c r="BT241" s="302">
        <f t="shared" si="305"/>
        <v>0.83806462059554954</v>
      </c>
      <c r="BU241" s="302">
        <f t="shared" si="305"/>
        <v>0.92290697240250408</v>
      </c>
      <c r="BV241" s="302">
        <f t="shared" si="305"/>
        <v>0.9644014604425637</v>
      </c>
      <c r="BW241" s="223"/>
      <c r="BX241" s="146"/>
      <c r="BY241" s="225"/>
      <c r="BZ241" s="223"/>
      <c r="CA241" s="169">
        <v>-0.9</v>
      </c>
      <c r="CB241" s="174">
        <f t="shared" si="261"/>
        <v>-0.9974269298007914</v>
      </c>
      <c r="CC241" s="301">
        <f t="shared" si="262"/>
        <v>-0.9987134649003957</v>
      </c>
      <c r="CD241" s="302">
        <f t="shared" si="264"/>
        <v>-0.99857510092845536</v>
      </c>
      <c r="CE241" s="302">
        <f t="shared" si="265"/>
        <v>-0.9984348601299603</v>
      </c>
      <c r="CF241" s="302">
        <f t="shared" si="266"/>
        <v>-0.99815252940866217</v>
      </c>
      <c r="CG241" s="302">
        <f t="shared" si="267"/>
        <v>-0.99758430759863892</v>
      </c>
      <c r="CH241" s="302">
        <f t="shared" si="268"/>
        <v>-0.99685055164291447</v>
      </c>
      <c r="CI241" s="302">
        <f t="shared" si="269"/>
        <v>-0.99628232983289122</v>
      </c>
      <c r="CJ241" s="302">
        <f t="shared" si="270"/>
        <v>-0.99513937746290815</v>
      </c>
      <c r="CK241" s="302">
        <f t="shared" si="271"/>
        <v>-0.99366732098956556</v>
      </c>
      <c r="CL241" s="302">
        <f t="shared" si="272"/>
        <v>-0.99252436861958249</v>
      </c>
      <c r="CM241" s="302">
        <f t="shared" si="273"/>
        <v>-0.9902280264728458</v>
      </c>
      <c r="CN241" s="302">
        <f t="shared" si="274"/>
        <v>-0.98728600561322433</v>
      </c>
      <c r="CO241" s="302">
        <f t="shared" si="275"/>
        <v>-0.98498966346648764</v>
      </c>
      <c r="CP241" s="302">
        <f t="shared" si="276"/>
        <v>-0.98038669999713346</v>
      </c>
      <c r="CQ241" s="302">
        <f t="shared" si="277"/>
        <v>-0.97455152473647866</v>
      </c>
      <c r="CR241" s="302">
        <f t="shared" si="278"/>
        <v>-0.96994856126712448</v>
      </c>
      <c r="CS241" s="302">
        <f t="shared" si="279"/>
        <v>-0.96076478635113061</v>
      </c>
      <c r="CT241" s="302">
        <f t="shared" si="280"/>
        <v>-0.94936647164952548</v>
      </c>
      <c r="CU241" s="302">
        <f t="shared" si="281"/>
        <v>-0.94018269673353161</v>
      </c>
      <c r="CV241" s="302">
        <f t="shared" si="282"/>
        <v>-0.922027981359402</v>
      </c>
      <c r="CW241" s="302">
        <f t="shared" si="283"/>
        <v>-0.90042623786986242</v>
      </c>
      <c r="CX241" s="302">
        <f t="shared" si="284"/>
        <v>-0.88227152249573282</v>
      </c>
      <c r="CY241" s="302">
        <f t="shared" si="285"/>
        <v>-0.84702995138435022</v>
      </c>
      <c r="CZ241" s="302">
        <f t="shared" si="286"/>
        <v>-0.80844638128145629</v>
      </c>
      <c r="DA241" s="302">
        <f t="shared" si="287"/>
        <v>-0.7732048101700737</v>
      </c>
      <c r="DB241" s="302">
        <f t="shared" si="288"/>
        <v>1.8061423790585405</v>
      </c>
      <c r="DC241" s="302">
        <f t="shared" si="289"/>
        <v>1.8736388388932128</v>
      </c>
      <c r="DD241" s="302">
        <f t="shared" si="290"/>
        <v>1.923585217712902</v>
      </c>
      <c r="DE241" s="302">
        <f t="shared" si="291"/>
        <v>1.949738797364569</v>
      </c>
      <c r="DF241" s="302">
        <f t="shared" si="292"/>
        <v>1.9673890633041213</v>
      </c>
      <c r="DG241" s="303">
        <f t="shared" si="293"/>
        <v>1.9807310112979979</v>
      </c>
      <c r="DH241" s="223"/>
      <c r="DI241"/>
      <c r="DJ241"/>
      <c r="DK241"/>
      <c r="DL241"/>
      <c r="DM241"/>
      <c r="DN241"/>
      <c r="DO241"/>
      <c r="DP241"/>
      <c r="DQ241"/>
      <c r="DR241"/>
      <c r="DS241"/>
      <c r="DT241"/>
      <c r="DU241"/>
      <c r="DV241"/>
      <c r="DW241"/>
      <c r="DX241"/>
      <c r="DY241"/>
      <c r="DZ241"/>
      <c r="EA241"/>
      <c r="EB241"/>
      <c r="EC241"/>
      <c r="ED241"/>
      <c r="EE241"/>
      <c r="EF241"/>
      <c r="EG241"/>
      <c r="EH241"/>
      <c r="EI241" s="420"/>
      <c r="EJ241" s="420"/>
      <c r="EK241" s="420"/>
      <c r="EL241" s="419">
        <v>-1</v>
      </c>
      <c r="EM241" s="420">
        <v>-0.9</v>
      </c>
      <c r="EN241" s="420">
        <v>-0.8</v>
      </c>
      <c r="EO241" s="420">
        <v>-0.7</v>
      </c>
      <c r="EP241" s="420">
        <v>-0.6</v>
      </c>
      <c r="EQ241" s="420">
        <v>-0.5</v>
      </c>
      <c r="ER241" s="420">
        <v>-0.4</v>
      </c>
      <c r="ES241" s="420">
        <v>-0.3</v>
      </c>
      <c r="ET241" s="420">
        <v>-0.2</v>
      </c>
      <c r="EU241" s="420">
        <v>-0.1</v>
      </c>
      <c r="EV241" s="420">
        <v>0</v>
      </c>
      <c r="EW241" s="420">
        <v>0.1</v>
      </c>
      <c r="EX241" s="420">
        <v>0.2</v>
      </c>
      <c r="EY241" s="420">
        <v>0.3</v>
      </c>
      <c r="EZ241" s="420">
        <v>0.4</v>
      </c>
      <c r="FA241" s="420">
        <v>0.5</v>
      </c>
      <c r="FB241" s="420">
        <v>0.6</v>
      </c>
      <c r="FC241" s="420">
        <v>0.7</v>
      </c>
      <c r="FD241" s="420">
        <v>0.8</v>
      </c>
      <c r="FE241" s="420">
        <v>0.9</v>
      </c>
      <c r="FF241" s="420">
        <v>1</v>
      </c>
      <c r="FG241"/>
      <c r="FH241"/>
      <c r="FI241"/>
      <c r="FJ241"/>
      <c r="FK241"/>
      <c r="FL241"/>
      <c r="FM241"/>
      <c r="FN241"/>
      <c r="FO241"/>
      <c r="FP241"/>
      <c r="FQ241"/>
      <c r="FR241"/>
      <c r="FS241"/>
      <c r="FT241"/>
      <c r="FU241"/>
      <c r="FV241"/>
      <c r="FW241"/>
      <c r="FX241"/>
      <c r="FY241"/>
      <c r="FZ241"/>
      <c r="GA241"/>
      <c r="GB241"/>
      <c r="GC241"/>
      <c r="GD241"/>
      <c r="GE241"/>
      <c r="GF241"/>
      <c r="GG241"/>
      <c r="GH241"/>
    </row>
    <row r="242" spans="2:190" ht="42" customHeight="1">
      <c r="B242"/>
      <c r="C242" s="225"/>
      <c r="D242" s="223"/>
      <c r="E242" s="169">
        <v>-1</v>
      </c>
      <c r="F242" s="174">
        <f t="shared" si="259"/>
        <v>-0.99872169921668297</v>
      </c>
      <c r="G242" s="301">
        <f t="shared" si="224"/>
        <v>-0.99887424686450332</v>
      </c>
      <c r="H242" s="302">
        <f t="shared" si="225"/>
        <v>-0.99865542721280454</v>
      </c>
      <c r="I242" s="302">
        <f t="shared" si="226"/>
        <v>-0.99845827727941505</v>
      </c>
      <c r="J242" s="302">
        <f t="shared" si="227"/>
        <v>-0.9981440713668015</v>
      </c>
      <c r="K242" s="302">
        <f t="shared" si="228"/>
        <v>-0.99776689087021997</v>
      </c>
      <c r="L242" s="302">
        <f t="shared" si="229"/>
        <v>-0.99748284374289953</v>
      </c>
      <c r="M242" s="302">
        <f t="shared" si="230"/>
        <v>-0.99691650883242877</v>
      </c>
      <c r="N242" s="302">
        <f t="shared" si="231"/>
        <v>-0.99619492363300821</v>
      </c>
      <c r="O242" s="302">
        <f t="shared" si="232"/>
        <v>-0.99565766104475895</v>
      </c>
      <c r="P242" s="302">
        <f t="shared" si="233"/>
        <v>-0.99456915375276966</v>
      </c>
      <c r="Q242" s="302">
        <f t="shared" si="234"/>
        <v>-0.99317129001286752</v>
      </c>
      <c r="R242" s="302">
        <f t="shared" si="235"/>
        <v>-0.99210882117092436</v>
      </c>
      <c r="S242" s="302">
        <f t="shared" si="236"/>
        <v>-0.98987706653184715</v>
      </c>
      <c r="T242" s="302">
        <f t="shared" si="237"/>
        <v>-0.98694920869508584</v>
      </c>
      <c r="U242" s="302">
        <f t="shared" si="238"/>
        <v>-0.9845596389140624</v>
      </c>
      <c r="V242" s="302">
        <f t="shared" si="239"/>
        <v>-0.97964698618821588</v>
      </c>
      <c r="W242" s="302">
        <f t="shared" si="240"/>
        <v>-0.97304929923034789</v>
      </c>
      <c r="X242" s="302">
        <f t="shared" si="241"/>
        <v>-0.96670363668376535</v>
      </c>
      <c r="Y242" s="302">
        <f t="shared" si="242"/>
        <v>-0.95367088337183525</v>
      </c>
      <c r="Z242" s="302">
        <f t="shared" si="243"/>
        <v>-0.93386040611912535</v>
      </c>
      <c r="AA242" s="302">
        <f t="shared" si="244"/>
        <v>-0.90635828373314098</v>
      </c>
      <c r="AB242" s="302">
        <f t="shared" si="245"/>
        <v>-0.84980241226394815</v>
      </c>
      <c r="AC242" s="302">
        <f t="shared" si="246"/>
        <v>-0.75064369839944078</v>
      </c>
      <c r="AD242" s="302">
        <f t="shared" si="247"/>
        <v>-0.58586043291833934</v>
      </c>
      <c r="AE242" s="302">
        <f t="shared" si="248"/>
        <v>-0.32182807141014697</v>
      </c>
      <c r="AF242" s="302">
        <f t="shared" si="249"/>
        <v>0</v>
      </c>
      <c r="AG242" s="302">
        <f t="shared" si="250"/>
        <v>0.7031095823622342</v>
      </c>
      <c r="AH242" s="302">
        <f t="shared" si="251"/>
        <v>1.2619908273760556</v>
      </c>
      <c r="AI242" s="302">
        <f t="shared" si="252"/>
        <v>1.6133986793578208</v>
      </c>
      <c r="AJ242" s="302">
        <f t="shared" si="253"/>
        <v>1.8078398573790528</v>
      </c>
      <c r="AK242" s="303">
        <f t="shared" si="254"/>
        <v>1.9037884999135581</v>
      </c>
      <c r="AL242" s="223"/>
      <c r="AM242" s="137"/>
      <c r="AN242" s="225"/>
      <c r="AO242" s="223"/>
      <c r="AP242" s="169">
        <v>-1</v>
      </c>
      <c r="AQ242" s="174">
        <f t="shared" si="260"/>
        <v>-0.99872169921668297</v>
      </c>
      <c r="AR242" s="302">
        <f t="shared" si="303"/>
        <v>0.99951308604491673</v>
      </c>
      <c r="AS242" s="302">
        <f t="shared" si="303"/>
        <v>0.99943250033726427</v>
      </c>
      <c r="AT242" s="302">
        <f t="shared" si="303"/>
        <v>0.99937545926602644</v>
      </c>
      <c r="AU242" s="302">
        <f t="shared" si="303"/>
        <v>0.99934336923688416</v>
      </c>
      <c r="AV242" s="302">
        <f t="shared" si="303"/>
        <v>0.99933098363607475</v>
      </c>
      <c r="AW242" s="302">
        <f t="shared" si="303"/>
        <v>0.99932907481969779</v>
      </c>
      <c r="AX242" s="302">
        <f t="shared" si="303"/>
        <v>0.99933058413096165</v>
      </c>
      <c r="AY242" s="302">
        <f t="shared" si="303"/>
        <v>0.99934230059979834</v>
      </c>
      <c r="AZ242" s="302">
        <f t="shared" si="303"/>
        <v>0.99937300023354114</v>
      </c>
      <c r="BA242" s="302">
        <f t="shared" si="303"/>
        <v>0.99942699110993649</v>
      </c>
      <c r="BB242" s="302">
        <f t="shared" si="304"/>
        <v>0.99950080779933059</v>
      </c>
      <c r="BC242" s="302">
        <f t="shared" si="304"/>
        <v>0.99958132267398525</v>
      </c>
      <c r="BD242" s="302">
        <f t="shared" si="304"/>
        <v>0.99964557664334264</v>
      </c>
      <c r="BE242" s="302">
        <f t="shared" si="304"/>
        <v>0.99965886590489117</v>
      </c>
      <c r="BF242" s="302">
        <f t="shared" si="304"/>
        <v>0.99956342226890804</v>
      </c>
      <c r="BG242" s="302">
        <f t="shared" si="304"/>
        <v>0.99924548771528654</v>
      </c>
      <c r="BH242" s="302">
        <f t="shared" si="304"/>
        <v>0.99845854686181212</v>
      </c>
      <c r="BI242" s="302">
        <f t="shared" si="304"/>
        <v>0.9966545395158688</v>
      </c>
      <c r="BJ242" s="302">
        <f t="shared" si="304"/>
        <v>0.99261639989300909</v>
      </c>
      <c r="BK242" s="302">
        <f t="shared" si="304"/>
        <v>0.98366693369373126</v>
      </c>
      <c r="BL242" s="302">
        <f t="shared" si="305"/>
        <v>0.96402357422881058</v>
      </c>
      <c r="BM242" s="302">
        <f t="shared" si="305"/>
        <v>0.9216666190661944</v>
      </c>
      <c r="BN242" s="302">
        <f t="shared" si="305"/>
        <v>0.83365373734026005</v>
      </c>
      <c r="BO242" s="302">
        <f t="shared" si="305"/>
        <v>0.6640364309403094</v>
      </c>
      <c r="BP242" s="302">
        <f t="shared" si="305"/>
        <v>0.37994886825922114</v>
      </c>
      <c r="BQ242" s="302">
        <f t="shared" si="305"/>
        <v>0</v>
      </c>
      <c r="BR242" s="302">
        <f t="shared" si="305"/>
        <v>0.37994894083031155</v>
      </c>
      <c r="BS242" s="302">
        <f t="shared" si="305"/>
        <v>0.66403675258789052</v>
      </c>
      <c r="BT242" s="302">
        <f t="shared" si="305"/>
        <v>0.83365459659354579</v>
      </c>
      <c r="BU242" s="302">
        <f t="shared" si="305"/>
        <v>0.92166854902686246</v>
      </c>
      <c r="BV242" s="302">
        <f t="shared" si="305"/>
        <v>0.96402757745914625</v>
      </c>
      <c r="BW242" s="223"/>
      <c r="BX242" s="146"/>
      <c r="BY242" s="225"/>
      <c r="BZ242" s="223"/>
      <c r="CA242" s="169">
        <v>-1</v>
      </c>
      <c r="CB242" s="174">
        <f t="shared" si="261"/>
        <v>-0.99872169921668297</v>
      </c>
      <c r="CC242" s="301">
        <f t="shared" si="262"/>
        <v>-0.99936084960834148</v>
      </c>
      <c r="CD242" s="302">
        <f t="shared" si="264"/>
        <v>-0.99922248563640115</v>
      </c>
      <c r="CE242" s="302">
        <f t="shared" si="265"/>
        <v>-0.99908224483790609</v>
      </c>
      <c r="CF242" s="302">
        <f t="shared" si="266"/>
        <v>-0.99879991411660796</v>
      </c>
      <c r="CG242" s="302">
        <f t="shared" si="267"/>
        <v>-0.9984348601299603</v>
      </c>
      <c r="CH242" s="302">
        <f t="shared" si="268"/>
        <v>-0.99815252940866217</v>
      </c>
      <c r="CI242" s="302">
        <f t="shared" si="269"/>
        <v>-0.99758430759863892</v>
      </c>
      <c r="CJ242" s="302">
        <f t="shared" si="270"/>
        <v>-0.99685055164291447</v>
      </c>
      <c r="CK242" s="302">
        <f t="shared" si="271"/>
        <v>-0.99628232983289122</v>
      </c>
      <c r="CL242" s="302">
        <f t="shared" si="272"/>
        <v>-0.99513937746290815</v>
      </c>
      <c r="CM242" s="302">
        <f t="shared" si="273"/>
        <v>-0.99366732098956556</v>
      </c>
      <c r="CN242" s="302">
        <f t="shared" si="274"/>
        <v>-0.99252436861958249</v>
      </c>
      <c r="CO242" s="302">
        <f t="shared" si="275"/>
        <v>-0.9902280264728458</v>
      </c>
      <c r="CP242" s="302">
        <f t="shared" si="276"/>
        <v>-0.98728600561322433</v>
      </c>
      <c r="CQ242" s="302">
        <f t="shared" si="277"/>
        <v>-0.98498966346648764</v>
      </c>
      <c r="CR242" s="302">
        <f t="shared" si="278"/>
        <v>-0.98038669999713346</v>
      </c>
      <c r="CS242" s="302">
        <f t="shared" si="279"/>
        <v>-0.97455152473647866</v>
      </c>
      <c r="CT242" s="302">
        <f t="shared" si="280"/>
        <v>-0.96994856126712448</v>
      </c>
      <c r="CU242" s="302">
        <f t="shared" si="281"/>
        <v>-0.96076478635113061</v>
      </c>
      <c r="CV242" s="302">
        <f t="shared" si="282"/>
        <v>-0.94936647164952548</v>
      </c>
      <c r="CW242" s="302">
        <f t="shared" si="283"/>
        <v>-0.94018269673353161</v>
      </c>
      <c r="CX242" s="302">
        <f t="shared" si="284"/>
        <v>-0.922027981359402</v>
      </c>
      <c r="CY242" s="302">
        <f t="shared" si="285"/>
        <v>-0.90042623786986242</v>
      </c>
      <c r="CZ242" s="302">
        <f t="shared" si="286"/>
        <v>-0.88227152249573282</v>
      </c>
      <c r="DA242" s="302">
        <f t="shared" si="287"/>
        <v>-0.84702995138435022</v>
      </c>
      <c r="DB242" s="302">
        <f t="shared" si="288"/>
        <v>-0.80844638128145629</v>
      </c>
      <c r="DC242" s="302">
        <f t="shared" si="289"/>
        <v>1.8505370243320378</v>
      </c>
      <c r="DD242" s="302">
        <f t="shared" si="290"/>
        <v>1.900483403151727</v>
      </c>
      <c r="DE242" s="302">
        <f t="shared" si="291"/>
        <v>1.9353323138269034</v>
      </c>
      <c r="DF242" s="302">
        <f t="shared" si="292"/>
        <v>1.9614858934785704</v>
      </c>
      <c r="DG242" s="303">
        <f t="shared" si="293"/>
        <v>1.9748278414724472</v>
      </c>
      <c r="DH242" s="223"/>
      <c r="DI242"/>
      <c r="DJ242"/>
      <c r="DK242"/>
      <c r="DL242"/>
      <c r="DM242"/>
      <c r="DN242"/>
      <c r="DO242"/>
      <c r="DP242"/>
      <c r="DQ242"/>
      <c r="DR242"/>
      <c r="DS242"/>
      <c r="DT242"/>
      <c r="DU242"/>
      <c r="DV242"/>
      <c r="DW242"/>
      <c r="DX242"/>
      <c r="DY242"/>
      <c r="DZ242"/>
      <c r="EA242"/>
      <c r="EB242"/>
      <c r="EC242"/>
      <c r="ED242"/>
      <c r="EE242"/>
      <c r="EF242"/>
      <c r="EG242"/>
      <c r="EH242"/>
      <c r="EI242"/>
      <c r="EJ242" s="784"/>
      <c r="EK242" s="420">
        <v>1</v>
      </c>
      <c r="EL242" s="302">
        <f t="shared" ref="EL242:FF242" si="306">2*(1/(1+EXP(-4/0.5*(POWER(POWER((ABS(EL$241-$DK$213)),3)+POWER(ABS($DL216-$DJ$214),3),1/3))))-0.5)</f>
        <v>0.99991613172574589</v>
      </c>
      <c r="EM242" s="302">
        <f t="shared" si="306"/>
        <v>0.99986480223361984</v>
      </c>
      <c r="EN242" s="302">
        <f t="shared" si="306"/>
        <v>0.99979428634056511</v>
      </c>
      <c r="EO242" s="302">
        <f t="shared" si="306"/>
        <v>0.99970642188906589</v>
      </c>
      <c r="EP242" s="302">
        <f t="shared" si="306"/>
        <v>0.99960865998978066</v>
      </c>
      <c r="EQ242" s="302">
        <f t="shared" si="306"/>
        <v>0.99951309016521694</v>
      </c>
      <c r="ER242" s="302">
        <f t="shared" si="306"/>
        <v>0.99943250950642137</v>
      </c>
      <c r="ES242" s="302">
        <f t="shared" si="306"/>
        <v>0.99937547967119644</v>
      </c>
      <c r="ET242" s="302">
        <f t="shared" si="306"/>
        <v>0.99934341464796717</v>
      </c>
      <c r="EU242" s="302">
        <f t="shared" si="306"/>
        <v>0.99933108469904885</v>
      </c>
      <c r="EV242" s="302">
        <f t="shared" si="306"/>
        <v>0.99932929973906726</v>
      </c>
      <c r="EW242" s="302">
        <f t="shared" si="306"/>
        <v>0.99933108469904885</v>
      </c>
      <c r="EX242" s="302">
        <f t="shared" si="306"/>
        <v>0.99934341464796717</v>
      </c>
      <c r="EY242" s="302">
        <f t="shared" si="306"/>
        <v>0.99937547967119644</v>
      </c>
      <c r="EZ242" s="302">
        <f t="shared" si="306"/>
        <v>0.99943250950642137</v>
      </c>
      <c r="FA242" s="302">
        <f t="shared" si="306"/>
        <v>0.99951309016521694</v>
      </c>
      <c r="FB242" s="302">
        <f t="shared" si="306"/>
        <v>0.99960865998978066</v>
      </c>
      <c r="FC242" s="302">
        <f t="shared" si="306"/>
        <v>0.99970642188906589</v>
      </c>
      <c r="FD242" s="302">
        <f t="shared" si="306"/>
        <v>0.99979428634056511</v>
      </c>
      <c r="FE242" s="302">
        <f t="shared" si="306"/>
        <v>0.99986480223361984</v>
      </c>
      <c r="FF242" s="302">
        <f t="shared" si="306"/>
        <v>0.99991613172574589</v>
      </c>
      <c r="FG242"/>
      <c r="FH242"/>
      <c r="FI242"/>
      <c r="FJ242"/>
      <c r="FK242"/>
      <c r="FL242"/>
      <c r="FM242"/>
      <c r="FN242"/>
      <c r="FO242"/>
      <c r="FP242"/>
      <c r="FQ242"/>
      <c r="FR242"/>
      <c r="FS242"/>
      <c r="FT242"/>
      <c r="FU242"/>
      <c r="FV242"/>
      <c r="FW242"/>
      <c r="FX242"/>
      <c r="FY242"/>
      <c r="FZ242"/>
      <c r="GA242"/>
      <c r="GB242"/>
      <c r="GC242"/>
      <c r="GD242"/>
      <c r="GE242"/>
      <c r="GF242"/>
      <c r="GG242"/>
      <c r="GH242"/>
    </row>
    <row r="243" spans="2:190" ht="42" customHeight="1">
      <c r="B243"/>
      <c r="C243" s="225"/>
      <c r="D243" s="223"/>
      <c r="E243" s="169">
        <v>-1.1000000000000001</v>
      </c>
      <c r="F243" s="174">
        <f t="shared" si="259"/>
        <v>-0.99936507842324218</v>
      </c>
      <c r="G243" s="301">
        <f t="shared" si="224"/>
        <v>-0.9994518754816476</v>
      </c>
      <c r="H243" s="302">
        <f t="shared" si="225"/>
        <v>-0.99928193502796414</v>
      </c>
      <c r="I243" s="302">
        <f t="shared" si="226"/>
        <v>-0.99911995979002155</v>
      </c>
      <c r="J243" s="302">
        <f t="shared" si="227"/>
        <v>-0.99892650635086977</v>
      </c>
      <c r="K243" s="302">
        <f t="shared" si="228"/>
        <v>-0.99878166248803413</v>
      </c>
      <c r="L243" s="302">
        <f t="shared" si="229"/>
        <v>-0.99849863054853949</v>
      </c>
      <c r="M243" s="302">
        <f t="shared" si="230"/>
        <v>-0.99813407383262598</v>
      </c>
      <c r="N243" s="302">
        <f t="shared" si="231"/>
        <v>-0.99785580089706216</v>
      </c>
      <c r="O243" s="302">
        <f t="shared" si="232"/>
        <v>-0.99729839832740408</v>
      </c>
      <c r="P243" s="302">
        <f t="shared" si="233"/>
        <v>-0.99658353030098568</v>
      </c>
      <c r="Q243" s="302">
        <f t="shared" si="234"/>
        <v>-0.99604022941721826</v>
      </c>
      <c r="R243" s="302">
        <f t="shared" si="235"/>
        <v>-0.99492138847747935</v>
      </c>
      <c r="S243" s="302">
        <f t="shared" si="236"/>
        <v>-0.99345804542434069</v>
      </c>
      <c r="T243" s="302">
        <f t="shared" si="237"/>
        <v>-0.9922810495719766</v>
      </c>
      <c r="U243" s="302">
        <f t="shared" si="238"/>
        <v>-0.98985506989759153</v>
      </c>
      <c r="V243" s="302">
        <f t="shared" si="239"/>
        <v>-0.98657678723833075</v>
      </c>
      <c r="W243" s="302">
        <f t="shared" si="240"/>
        <v>-0.98349472071935418</v>
      </c>
      <c r="X243" s="302">
        <f t="shared" si="241"/>
        <v>-0.97712998071590618</v>
      </c>
      <c r="Y243" s="302">
        <f t="shared" si="242"/>
        <v>-0.96739941214933889</v>
      </c>
      <c r="Z243" s="302">
        <f t="shared" si="243"/>
        <v>-0.95422436237966346</v>
      </c>
      <c r="AA243" s="302">
        <f t="shared" si="244"/>
        <v>-0.92656017565402016</v>
      </c>
      <c r="AB243" s="302">
        <f t="shared" si="245"/>
        <v>-0.87617556767500226</v>
      </c>
      <c r="AC243" s="302">
        <f t="shared" si="246"/>
        <v>-0.78793323565419005</v>
      </c>
      <c r="AD243" s="302">
        <f t="shared" si="247"/>
        <v>-0.62842304350581235</v>
      </c>
      <c r="AE243" s="302">
        <f t="shared" si="248"/>
        <v>-0.41890736107795318</v>
      </c>
      <c r="AF243" s="302">
        <f t="shared" si="249"/>
        <v>-0.33521811690032993</v>
      </c>
      <c r="AG243" s="302">
        <f t="shared" si="250"/>
        <v>-0.39406574416074525</v>
      </c>
      <c r="AH243" s="302">
        <f t="shared" si="251"/>
        <v>1.2770092574350109</v>
      </c>
      <c r="AI243" s="302">
        <f t="shared" si="252"/>
        <v>1.6120887214013757</v>
      </c>
      <c r="AJ243" s="302">
        <f t="shared" si="253"/>
        <v>1.7994275332157799</v>
      </c>
      <c r="AK243" s="303">
        <f t="shared" si="254"/>
        <v>1.8973528871656096</v>
      </c>
      <c r="AL243" s="223"/>
      <c r="AM243" s="137"/>
      <c r="AN243" s="225"/>
      <c r="AO243" s="223"/>
      <c r="AP243" s="169">
        <v>-1.1000000000000001</v>
      </c>
      <c r="AQ243" s="174">
        <f t="shared" si="260"/>
        <v>-0.99936507842324218</v>
      </c>
      <c r="AR243" s="302">
        <f t="shared" si="303"/>
        <v>0.99976926302008295</v>
      </c>
      <c r="AS243" s="302">
        <f t="shared" si="303"/>
        <v>0.99973764019818956</v>
      </c>
      <c r="AT243" s="302">
        <f t="shared" si="303"/>
        <v>0.99971585598037205</v>
      </c>
      <c r="AU243" s="302">
        <f t="shared" si="303"/>
        <v>0.99970379040725565</v>
      </c>
      <c r="AV243" s="302">
        <f t="shared" si="303"/>
        <v>0.99969914153571937</v>
      </c>
      <c r="AW243" s="302">
        <f t="shared" si="303"/>
        <v>0.99969835443134281</v>
      </c>
      <c r="AX243" s="302">
        <f t="shared" si="303"/>
        <v>0.99969874219205934</v>
      </c>
      <c r="AY243" s="302">
        <f t="shared" si="303"/>
        <v>0.99970272227654844</v>
      </c>
      <c r="AZ243" s="302">
        <f t="shared" si="303"/>
        <v>0.99971339838742745</v>
      </c>
      <c r="BA243" s="302">
        <f t="shared" si="303"/>
        <v>0.9997321350311853</v>
      </c>
      <c r="BB243" s="302">
        <f t="shared" si="304"/>
        <v>0.99975699617626101</v>
      </c>
      <c r="BC243" s="302">
        <f t="shared" si="304"/>
        <v>0.9997809462771089</v>
      </c>
      <c r="BD243" s="302">
        <f t="shared" si="304"/>
        <v>0.99978939071376882</v>
      </c>
      <c r="BE243" s="302">
        <f t="shared" si="304"/>
        <v>0.9997548482885672</v>
      </c>
      <c r="BF243" s="302">
        <f t="shared" si="304"/>
        <v>0.99962336293734011</v>
      </c>
      <c r="BG243" s="302">
        <f t="shared" si="304"/>
        <v>0.99928164850827284</v>
      </c>
      <c r="BH243" s="302">
        <f t="shared" si="304"/>
        <v>0.99848227570036385</v>
      </c>
      <c r="BI243" s="302">
        <f t="shared" si="304"/>
        <v>0.99667812784359799</v>
      </c>
      <c r="BJ243" s="302">
        <f t="shared" si="304"/>
        <v>0.99266112421395702</v>
      </c>
      <c r="BK243" s="302">
        <f t="shared" si="304"/>
        <v>0.98378862600000228</v>
      </c>
      <c r="BL243" s="302">
        <f t="shared" si="305"/>
        <v>0.96439855916554196</v>
      </c>
      <c r="BM243" s="302">
        <f t="shared" si="305"/>
        <v>0.92290553104603124</v>
      </c>
      <c r="BN243" s="302">
        <f t="shared" si="305"/>
        <v>0.83806396181476162</v>
      </c>
      <c r="BO243" s="302">
        <f t="shared" si="305"/>
        <v>0.68156613054116855</v>
      </c>
      <c r="BP243" s="302">
        <f t="shared" si="305"/>
        <v>0.46523229050828413</v>
      </c>
      <c r="BQ243" s="302">
        <f t="shared" si="305"/>
        <v>0.37994892541933001</v>
      </c>
      <c r="BR243" s="302">
        <f t="shared" si="305"/>
        <v>0.46523236104780086</v>
      </c>
      <c r="BS243" s="302">
        <f t="shared" si="305"/>
        <v>0.68156638885077758</v>
      </c>
      <c r="BT243" s="302">
        <f t="shared" si="305"/>
        <v>0.83806462357727596</v>
      </c>
      <c r="BU243" s="302">
        <f t="shared" si="305"/>
        <v>0.9229069738203074</v>
      </c>
      <c r="BV243" s="302">
        <f t="shared" si="305"/>
        <v>0.96440146108117031</v>
      </c>
      <c r="BW243" s="223"/>
      <c r="BX243" s="146"/>
      <c r="BY243" s="225"/>
      <c r="BZ243" s="223"/>
      <c r="CA243" s="169">
        <v>-1.1000000000000001</v>
      </c>
      <c r="CB243" s="174">
        <f t="shared" si="261"/>
        <v>-0.99936507842324218</v>
      </c>
      <c r="CC243" s="301">
        <f t="shared" si="262"/>
        <v>-0.99968253921162109</v>
      </c>
      <c r="CD243" s="302">
        <f t="shared" si="264"/>
        <v>-0.99954417523968075</v>
      </c>
      <c r="CE243" s="302">
        <f t="shared" si="265"/>
        <v>-0.99940393444118569</v>
      </c>
      <c r="CF243" s="302">
        <f t="shared" si="266"/>
        <v>-0.99922248563640115</v>
      </c>
      <c r="CG243" s="302">
        <f t="shared" si="267"/>
        <v>-0.99908224483790609</v>
      </c>
      <c r="CH243" s="302">
        <f t="shared" si="268"/>
        <v>-0.99879991411660796</v>
      </c>
      <c r="CI243" s="302">
        <f t="shared" si="269"/>
        <v>-0.9984348601299603</v>
      </c>
      <c r="CJ243" s="302">
        <f t="shared" si="270"/>
        <v>-0.99815252940866217</v>
      </c>
      <c r="CK243" s="302">
        <f t="shared" si="271"/>
        <v>-0.99758430759863892</v>
      </c>
      <c r="CL243" s="302">
        <f t="shared" si="272"/>
        <v>-0.99685055164291447</v>
      </c>
      <c r="CM243" s="302">
        <f t="shared" si="273"/>
        <v>-0.99628232983289122</v>
      </c>
      <c r="CN243" s="302">
        <f t="shared" si="274"/>
        <v>-0.99513937746290815</v>
      </c>
      <c r="CO243" s="302">
        <f t="shared" si="275"/>
        <v>-0.99366732098956556</v>
      </c>
      <c r="CP243" s="302">
        <f t="shared" si="276"/>
        <v>-0.99252436861958249</v>
      </c>
      <c r="CQ243" s="302">
        <f t="shared" si="277"/>
        <v>-0.9902280264728458</v>
      </c>
      <c r="CR243" s="302">
        <f t="shared" si="278"/>
        <v>-0.98728600561322433</v>
      </c>
      <c r="CS243" s="302">
        <f t="shared" si="279"/>
        <v>-0.98498966346648764</v>
      </c>
      <c r="CT243" s="302">
        <f t="shared" si="280"/>
        <v>-0.98038669999713346</v>
      </c>
      <c r="CU243" s="302">
        <f t="shared" si="281"/>
        <v>-0.97455152473647866</v>
      </c>
      <c r="CV243" s="302">
        <f t="shared" si="282"/>
        <v>-0.96994856126712448</v>
      </c>
      <c r="CW243" s="302">
        <f t="shared" si="283"/>
        <v>-0.96076478635113061</v>
      </c>
      <c r="CX243" s="302">
        <f t="shared" si="284"/>
        <v>-0.94936647164952548</v>
      </c>
      <c r="CY243" s="302">
        <f t="shared" si="285"/>
        <v>-0.94018269673353161</v>
      </c>
      <c r="CZ243" s="302">
        <f t="shared" si="286"/>
        <v>-0.922027981359402</v>
      </c>
      <c r="DA243" s="302">
        <f t="shared" si="287"/>
        <v>-0.90042623786986242</v>
      </c>
      <c r="DB243" s="302">
        <f t="shared" si="288"/>
        <v>-0.88227152249573282</v>
      </c>
      <c r="DC243" s="302">
        <f t="shared" si="289"/>
        <v>-0.84702995138435022</v>
      </c>
      <c r="DD243" s="302">
        <f t="shared" si="290"/>
        <v>1.8736388388932128</v>
      </c>
      <c r="DE243" s="302">
        <f t="shared" si="291"/>
        <v>1.923585217712902</v>
      </c>
      <c r="DF243" s="302">
        <f t="shared" si="292"/>
        <v>1.949738797364569</v>
      </c>
      <c r="DG243" s="303">
        <f t="shared" si="293"/>
        <v>1.9673890633041213</v>
      </c>
      <c r="DH243" s="223"/>
      <c r="DI243"/>
      <c r="DJ243"/>
      <c r="DK243"/>
      <c r="DL243"/>
      <c r="DM243"/>
      <c r="DN243"/>
      <c r="DO243"/>
      <c r="DP243"/>
      <c r="DQ243"/>
      <c r="DR243"/>
      <c r="DS243"/>
      <c r="DT243"/>
      <c r="DU243"/>
      <c r="DV243"/>
      <c r="DW243"/>
      <c r="DX243"/>
      <c r="DY243"/>
      <c r="DZ243"/>
      <c r="EA243"/>
      <c r="EB243"/>
      <c r="EC243"/>
      <c r="ED243"/>
      <c r="EE243"/>
      <c r="EF243"/>
      <c r="EG243"/>
      <c r="EH243"/>
      <c r="EI243"/>
      <c r="EJ243" s="785"/>
      <c r="EK243" s="420">
        <v>0.9</v>
      </c>
      <c r="EL243" s="302">
        <f t="shared" ref="EL243:FF243" si="307">2*(1/(1+EXP(-4/0.5*(POWER(POWER((ABS(EL$241-$DK$213)),3)+POWER(ABS($DL217-$DJ$214),3),1/3))))-0.5)</f>
        <v>0.99986480223361984</v>
      </c>
      <c r="EM243" s="302">
        <f t="shared" si="307"/>
        <v>0.99977022253801517</v>
      </c>
      <c r="EN243" s="302">
        <f t="shared" si="307"/>
        <v>0.99963075264863011</v>
      </c>
      <c r="EO243" s="302">
        <f t="shared" si="307"/>
        <v>0.99944397582544253</v>
      </c>
      <c r="EP243" s="302">
        <f t="shared" si="307"/>
        <v>0.99922123515243122</v>
      </c>
      <c r="EQ243" s="302">
        <f t="shared" si="307"/>
        <v>0.99898956338802281</v>
      </c>
      <c r="ER243" s="302">
        <f t="shared" si="307"/>
        <v>0.99878410986518129</v>
      </c>
      <c r="ES243" s="302">
        <f t="shared" si="307"/>
        <v>0.99863329143872082</v>
      </c>
      <c r="ET243" s="302">
        <f t="shared" si="307"/>
        <v>0.99854655909221113</v>
      </c>
      <c r="EU243" s="302">
        <f t="shared" si="307"/>
        <v>0.99851284049754319</v>
      </c>
      <c r="EV243" s="302">
        <f t="shared" si="307"/>
        <v>0.99850794233232665</v>
      </c>
      <c r="EW243" s="302">
        <f t="shared" si="307"/>
        <v>0.99851284049754319</v>
      </c>
      <c r="EX243" s="302">
        <f t="shared" si="307"/>
        <v>0.99854655909221113</v>
      </c>
      <c r="EY243" s="302">
        <f t="shared" si="307"/>
        <v>0.99863329143872082</v>
      </c>
      <c r="EZ243" s="302">
        <f t="shared" si="307"/>
        <v>0.99878410986518129</v>
      </c>
      <c r="FA243" s="302">
        <f t="shared" si="307"/>
        <v>0.99898956338802281</v>
      </c>
      <c r="FB243" s="302">
        <f t="shared" si="307"/>
        <v>0.99922123515243122</v>
      </c>
      <c r="FC243" s="302">
        <f t="shared" si="307"/>
        <v>0.99944397582544253</v>
      </c>
      <c r="FD243" s="302">
        <f t="shared" si="307"/>
        <v>0.99963075264863011</v>
      </c>
      <c r="FE243" s="302">
        <f t="shared" si="307"/>
        <v>0.99977022253801517</v>
      </c>
      <c r="FF243" s="302">
        <f t="shared" si="307"/>
        <v>0.99986480223361984</v>
      </c>
      <c r="FG243"/>
      <c r="FH243"/>
      <c r="FI243"/>
      <c r="FJ243"/>
      <c r="FK243"/>
      <c r="FL243"/>
      <c r="FM243"/>
      <c r="FN243"/>
      <c r="FO243"/>
      <c r="FP243"/>
      <c r="FQ243"/>
      <c r="FR243"/>
      <c r="FS243"/>
      <c r="FT243"/>
      <c r="FU243"/>
      <c r="FV243"/>
      <c r="FW243"/>
      <c r="FX243"/>
      <c r="FY243"/>
      <c r="FZ243"/>
      <c r="GA243"/>
      <c r="GB243"/>
      <c r="GC243"/>
      <c r="GD243"/>
      <c r="GE243"/>
      <c r="GF243"/>
      <c r="GG243"/>
      <c r="GH243"/>
    </row>
    <row r="244" spans="2:190" ht="42" customHeight="1">
      <c r="B244"/>
      <c r="C244" s="225"/>
      <c r="D244" s="223"/>
      <c r="E244" s="169">
        <v>-1.2</v>
      </c>
      <c r="F244" s="174">
        <f t="shared" si="259"/>
        <v>-0.99968467368012526</v>
      </c>
      <c r="G244" s="301">
        <f t="shared" si="224"/>
        <v>-0.99973431103055521</v>
      </c>
      <c r="H244" s="302">
        <f t="shared" si="225"/>
        <v>-0.99958351590136929</v>
      </c>
      <c r="I244" s="302">
        <f t="shared" si="226"/>
        <v>-0.99955368369803033</v>
      </c>
      <c r="J244" s="302">
        <f t="shared" si="227"/>
        <v>-0.99941073123471691</v>
      </c>
      <c r="K244" s="302">
        <f t="shared" si="228"/>
        <v>-0.99926871669240092</v>
      </c>
      <c r="L244" s="302">
        <f t="shared" si="229"/>
        <v>-0.99908691898098256</v>
      </c>
      <c r="M244" s="302">
        <f t="shared" si="230"/>
        <v>-0.99894667372130319</v>
      </c>
      <c r="N244" s="302">
        <f t="shared" si="231"/>
        <v>-0.99866550866414827</v>
      </c>
      <c r="O244" s="302">
        <f t="shared" si="232"/>
        <v>-0.99830372716021265</v>
      </c>
      <c r="P244" s="302">
        <f t="shared" si="233"/>
        <v>-0.99802680353853068</v>
      </c>
      <c r="Q244" s="302">
        <f t="shared" si="234"/>
        <v>-0.99746438808798266</v>
      </c>
      <c r="R244" s="302">
        <f t="shared" si="235"/>
        <v>-0.99673165455062973</v>
      </c>
      <c r="S244" s="302">
        <f t="shared" si="236"/>
        <v>-0.99614819218489736</v>
      </c>
      <c r="T244" s="302">
        <f t="shared" si="237"/>
        <v>-0.99494995509107309</v>
      </c>
      <c r="U244" s="302">
        <f t="shared" si="238"/>
        <v>-0.99333230378542003</v>
      </c>
      <c r="V244" s="302">
        <f t="shared" si="239"/>
        <v>-0.99184496777018749</v>
      </c>
      <c r="W244" s="302">
        <f t="shared" si="240"/>
        <v>-0.98877089876177904</v>
      </c>
      <c r="X244" s="302">
        <f t="shared" si="241"/>
        <v>-0.9841062532113235</v>
      </c>
      <c r="Y244" s="302">
        <f t="shared" si="242"/>
        <v>-0.97803112131565406</v>
      </c>
      <c r="Z244" s="302">
        <f t="shared" si="243"/>
        <v>-0.96528116322067792</v>
      </c>
      <c r="AA244" s="302">
        <f t="shared" si="244"/>
        <v>-0.94225680678547397</v>
      </c>
      <c r="AB244" s="302">
        <f t="shared" si="245"/>
        <v>-0.90279115341532645</v>
      </c>
      <c r="AC244" s="302">
        <f t="shared" si="246"/>
        <v>-0.82998185993348561</v>
      </c>
      <c r="AD244" s="302">
        <f t="shared" si="247"/>
        <v>-0.72617715125284832</v>
      </c>
      <c r="AE244" s="302">
        <f t="shared" si="248"/>
        <v>-0.64079684144485161</v>
      </c>
      <c r="AF244" s="302">
        <f t="shared" si="249"/>
        <v>-0.6122604359372017</v>
      </c>
      <c r="AG244" s="302">
        <f t="shared" si="250"/>
        <v>-0.61370024999827266</v>
      </c>
      <c r="AH244" s="302">
        <f t="shared" si="251"/>
        <v>-0.67485594090448753</v>
      </c>
      <c r="AI244" s="302">
        <f t="shared" si="252"/>
        <v>1.6417833874622849</v>
      </c>
      <c r="AJ244" s="302">
        <f t="shared" si="253"/>
        <v>1.8013355705671437</v>
      </c>
      <c r="AK244" s="303">
        <f t="shared" si="254"/>
        <v>1.8964900679599115</v>
      </c>
      <c r="AL244" s="223"/>
      <c r="AM244" s="137"/>
      <c r="AN244" s="225"/>
      <c r="AO244" s="223"/>
      <c r="AP244" s="169">
        <v>-1.2</v>
      </c>
      <c r="AQ244" s="174">
        <f t="shared" si="260"/>
        <v>-0.99968467368012526</v>
      </c>
      <c r="AR244" s="302">
        <f t="shared" si="303"/>
        <v>0.99989195715611645</v>
      </c>
      <c r="AS244" s="302">
        <f t="shared" si="303"/>
        <v>0.99987950736415765</v>
      </c>
      <c r="AT244" s="302">
        <f t="shared" si="303"/>
        <v>0.99987110356684594</v>
      </c>
      <c r="AU244" s="302">
        <f t="shared" si="303"/>
        <v>0.99986649514021542</v>
      </c>
      <c r="AV244" s="302">
        <f t="shared" si="303"/>
        <v>0.99986470160450147</v>
      </c>
      <c r="AW244" s="302">
        <f t="shared" si="303"/>
        <v>0.99986432785754187</v>
      </c>
      <c r="AX244" s="302">
        <f t="shared" si="303"/>
        <v>0.99986430434801199</v>
      </c>
      <c r="AY244" s="302">
        <f t="shared" si="303"/>
        <v>0.99986543305565001</v>
      </c>
      <c r="AZ244" s="302">
        <f t="shared" si="303"/>
        <v>0.99986866146707798</v>
      </c>
      <c r="BA244" s="302">
        <f t="shared" si="303"/>
        <v>0.99987404142510572</v>
      </c>
      <c r="BB244" s="302">
        <f t="shared" si="304"/>
        <v>0.99987979009919981</v>
      </c>
      <c r="BC244" s="302">
        <f t="shared" si="304"/>
        <v>0.99988072726439403</v>
      </c>
      <c r="BD244" s="302">
        <f t="shared" si="304"/>
        <v>0.99986536181162988</v>
      </c>
      <c r="BE244" s="302">
        <f t="shared" si="304"/>
        <v>0.99980965242042985</v>
      </c>
      <c r="BF244" s="302">
        <f t="shared" si="304"/>
        <v>0.99966284771867919</v>
      </c>
      <c r="BG244" s="302">
        <f t="shared" si="304"/>
        <v>0.99931548194595976</v>
      </c>
      <c r="BH244" s="302">
        <f t="shared" si="304"/>
        <v>0.99852849275913047</v>
      </c>
      <c r="BI244" s="302">
        <f t="shared" si="304"/>
        <v>0.99677929963169509</v>
      </c>
      <c r="BJ244" s="302">
        <f t="shared" si="304"/>
        <v>0.99293541606686075</v>
      </c>
      <c r="BK244" s="302">
        <f t="shared" si="304"/>
        <v>0.98459226672852695</v>
      </c>
      <c r="BL244" s="302">
        <f t="shared" si="305"/>
        <v>0.96686196970474469</v>
      </c>
      <c r="BM244" s="302">
        <f t="shared" si="305"/>
        <v>0.93076188724475795</v>
      </c>
      <c r="BN244" s="302">
        <f t="shared" si="305"/>
        <v>0.86387622831771049</v>
      </c>
      <c r="BO244" s="302">
        <f t="shared" si="305"/>
        <v>0.7649070964041047</v>
      </c>
      <c r="BP244" s="302">
        <f t="shared" si="305"/>
        <v>0.68156629947686376</v>
      </c>
      <c r="BQ244" s="302">
        <f t="shared" si="305"/>
        <v>0.66403671940032538</v>
      </c>
      <c r="BR244" s="302">
        <f t="shared" si="305"/>
        <v>0.68156637844106238</v>
      </c>
      <c r="BS244" s="302">
        <f t="shared" si="305"/>
        <v>0.76490731446877402</v>
      </c>
      <c r="BT244" s="302">
        <f t="shared" si="305"/>
        <v>0.86387672985703601</v>
      </c>
      <c r="BU244" s="302">
        <f t="shared" si="305"/>
        <v>0.93076292773988967</v>
      </c>
      <c r="BV244" s="302">
        <f t="shared" si="305"/>
        <v>0.96686398523958139</v>
      </c>
      <c r="BW244" s="223"/>
      <c r="BX244" s="146"/>
      <c r="BY244" s="225"/>
      <c r="BZ244" s="223"/>
      <c r="CA244" s="169">
        <v>-1.2</v>
      </c>
      <c r="CB244" s="174">
        <f t="shared" si="261"/>
        <v>-0.99968467368012526</v>
      </c>
      <c r="CC244" s="301">
        <f t="shared" si="262"/>
        <v>-0.99984233684006263</v>
      </c>
      <c r="CD244" s="302">
        <f t="shared" si="264"/>
        <v>-0.99970397286812229</v>
      </c>
      <c r="CE244" s="302">
        <f t="shared" si="265"/>
        <v>-0.99968253921162109</v>
      </c>
      <c r="CF244" s="302">
        <f t="shared" si="266"/>
        <v>-0.99954417523968075</v>
      </c>
      <c r="CG244" s="302">
        <f t="shared" si="267"/>
        <v>-0.99940393444118569</v>
      </c>
      <c r="CH244" s="302">
        <f t="shared" si="268"/>
        <v>-0.99922248563640115</v>
      </c>
      <c r="CI244" s="302">
        <f t="shared" si="269"/>
        <v>-0.99908224483790609</v>
      </c>
      <c r="CJ244" s="302">
        <f t="shared" si="270"/>
        <v>-0.99879991411660796</v>
      </c>
      <c r="CK244" s="302">
        <f t="shared" si="271"/>
        <v>-0.9984348601299603</v>
      </c>
      <c r="CL244" s="302">
        <f t="shared" si="272"/>
        <v>-0.99815252940866217</v>
      </c>
      <c r="CM244" s="302">
        <f t="shared" si="273"/>
        <v>-0.99758430759863892</v>
      </c>
      <c r="CN244" s="302">
        <f t="shared" si="274"/>
        <v>-0.99685055164291447</v>
      </c>
      <c r="CO244" s="302">
        <f t="shared" si="275"/>
        <v>-0.99628232983289122</v>
      </c>
      <c r="CP244" s="302">
        <f t="shared" si="276"/>
        <v>-0.99513937746290815</v>
      </c>
      <c r="CQ244" s="302">
        <f t="shared" si="277"/>
        <v>-0.99366732098956556</v>
      </c>
      <c r="CR244" s="302">
        <f t="shared" si="278"/>
        <v>-0.99252436861958249</v>
      </c>
      <c r="CS244" s="302">
        <f t="shared" si="279"/>
        <v>-0.9902280264728458</v>
      </c>
      <c r="CT244" s="302">
        <f t="shared" si="280"/>
        <v>-0.98728600561322433</v>
      </c>
      <c r="CU244" s="302">
        <f t="shared" si="281"/>
        <v>-0.98498966346648764</v>
      </c>
      <c r="CV244" s="302">
        <f t="shared" si="282"/>
        <v>-0.98038669999713346</v>
      </c>
      <c r="CW244" s="302">
        <f t="shared" si="283"/>
        <v>-0.97455152473647866</v>
      </c>
      <c r="CX244" s="302">
        <f t="shared" si="284"/>
        <v>-0.96994856126712448</v>
      </c>
      <c r="CY244" s="302">
        <f t="shared" si="285"/>
        <v>-0.96076478635113061</v>
      </c>
      <c r="CZ244" s="302">
        <f t="shared" si="286"/>
        <v>-0.94936647164952548</v>
      </c>
      <c r="DA244" s="302">
        <f t="shared" si="287"/>
        <v>-0.94018269673353161</v>
      </c>
      <c r="DB244" s="302">
        <f t="shared" si="288"/>
        <v>-0.922027981359402</v>
      </c>
      <c r="DC244" s="302">
        <f t="shared" si="289"/>
        <v>-0.90042623786986242</v>
      </c>
      <c r="DD244" s="302">
        <f t="shared" si="290"/>
        <v>-0.88227152249573282</v>
      </c>
      <c r="DE244" s="302">
        <f t="shared" si="291"/>
        <v>1.900483403151727</v>
      </c>
      <c r="DF244" s="302">
        <f t="shared" si="292"/>
        <v>1.9353323138269034</v>
      </c>
      <c r="DG244" s="303">
        <f t="shared" si="293"/>
        <v>1.9614858934785704</v>
      </c>
      <c r="DH244" s="223"/>
      <c r="DI244"/>
      <c r="DJ244"/>
      <c r="DK244"/>
      <c r="DL244"/>
      <c r="DM244"/>
      <c r="DN244"/>
      <c r="DO244"/>
      <c r="DP244"/>
      <c r="DQ244"/>
      <c r="DR244"/>
      <c r="DS244"/>
      <c r="DT244"/>
      <c r="DU244"/>
      <c r="DV244"/>
      <c r="DW244"/>
      <c r="DX244"/>
      <c r="DY244"/>
      <c r="DZ244"/>
      <c r="EA244"/>
      <c r="EB244"/>
      <c r="EC244"/>
      <c r="ED244"/>
      <c r="EE244"/>
      <c r="EF244"/>
      <c r="EG244"/>
      <c r="EH244"/>
      <c r="EI244"/>
      <c r="EJ244" s="785"/>
      <c r="EK244" s="420">
        <v>0.8</v>
      </c>
      <c r="EL244" s="302">
        <f t="shared" ref="EL244:FF244" si="308">2*(1/(1+EXP(-4/0.5*(POWER(POWER((ABS(EL$241-$DK$213)),3)+POWER(ABS($DL218-$DJ$214),3),1/3))))-0.5)</f>
        <v>0.99979428634056511</v>
      </c>
      <c r="EM244" s="302">
        <f t="shared" si="308"/>
        <v>0.99963075264863011</v>
      </c>
      <c r="EN244" s="302">
        <f t="shared" si="308"/>
        <v>0.99937054885321963</v>
      </c>
      <c r="EO244" s="302">
        <f t="shared" si="308"/>
        <v>0.9989925497428358</v>
      </c>
      <c r="EP244" s="302">
        <f t="shared" si="308"/>
        <v>0.99850302354286713</v>
      </c>
      <c r="EQ244" s="302">
        <f t="shared" si="308"/>
        <v>0.9979527931074117</v>
      </c>
      <c r="ER244" s="302">
        <f t="shared" si="308"/>
        <v>0.99743143053470296</v>
      </c>
      <c r="ES244" s="302">
        <f t="shared" si="308"/>
        <v>0.99702918148105213</v>
      </c>
      <c r="ET244" s="302">
        <f t="shared" si="308"/>
        <v>0.99679043576804505</v>
      </c>
      <c r="EU244" s="302">
        <f t="shared" si="308"/>
        <v>0.99669616069810574</v>
      </c>
      <c r="EV244" s="302">
        <f t="shared" si="308"/>
        <v>0.99668239783965107</v>
      </c>
      <c r="EW244" s="302">
        <f t="shared" si="308"/>
        <v>0.99669616069810574</v>
      </c>
      <c r="EX244" s="302">
        <f t="shared" si="308"/>
        <v>0.99679043576804505</v>
      </c>
      <c r="EY244" s="302">
        <f t="shared" si="308"/>
        <v>0.99702918148105213</v>
      </c>
      <c r="EZ244" s="302">
        <f t="shared" si="308"/>
        <v>0.99743143053470296</v>
      </c>
      <c r="FA244" s="302">
        <f t="shared" si="308"/>
        <v>0.9979527931074117</v>
      </c>
      <c r="FB244" s="302">
        <f t="shared" si="308"/>
        <v>0.99850302354286713</v>
      </c>
      <c r="FC244" s="302">
        <f t="shared" si="308"/>
        <v>0.9989925497428358</v>
      </c>
      <c r="FD244" s="302">
        <f t="shared" si="308"/>
        <v>0.99937054885321963</v>
      </c>
      <c r="FE244" s="302">
        <f t="shared" si="308"/>
        <v>0.99963075264863011</v>
      </c>
      <c r="FF244" s="302">
        <f t="shared" si="308"/>
        <v>0.99979428634056511</v>
      </c>
      <c r="FG244"/>
      <c r="FH244"/>
      <c r="FI244"/>
      <c r="FJ244"/>
      <c r="FK244"/>
      <c r="FL244"/>
      <c r="FM244"/>
      <c r="FN244"/>
      <c r="FO244"/>
      <c r="FP244"/>
      <c r="FQ244"/>
      <c r="FR244"/>
      <c r="FS244"/>
      <c r="FT244"/>
      <c r="FU244"/>
      <c r="FV244"/>
      <c r="FW244"/>
      <c r="FX244"/>
      <c r="FY244"/>
      <c r="FZ244"/>
      <c r="GA244"/>
      <c r="GB244"/>
      <c r="GC244"/>
      <c r="GD244"/>
      <c r="GE244"/>
      <c r="GF244"/>
      <c r="GG244"/>
      <c r="GH244"/>
    </row>
    <row r="245" spans="2:190" ht="42" customHeight="1">
      <c r="B245"/>
      <c r="C245" s="225"/>
      <c r="D245" s="223"/>
      <c r="E245" s="169">
        <v>-1.3</v>
      </c>
      <c r="F245" s="174">
        <f t="shared" si="259"/>
        <v>-0.99984340529770943</v>
      </c>
      <c r="G245" s="301">
        <f t="shared" si="224"/>
        <v>-0.99987155238860148</v>
      </c>
      <c r="H245" s="302">
        <f t="shared" si="225"/>
        <v>-0.99978726624731873</v>
      </c>
      <c r="I245" s="302">
        <f t="shared" si="226"/>
        <v>-0.99978399112662042</v>
      </c>
      <c r="J245" s="302">
        <f t="shared" si="227"/>
        <v>-0.99964384531219985</v>
      </c>
      <c r="K245" s="302">
        <f t="shared" si="228"/>
        <v>-0.99962169187543581</v>
      </c>
      <c r="L245" s="302">
        <f t="shared" si="229"/>
        <v>-0.99948311892323594</v>
      </c>
      <c r="M245" s="302">
        <f t="shared" si="230"/>
        <v>-0.99934271278976017</v>
      </c>
      <c r="N245" s="302">
        <f t="shared" si="231"/>
        <v>-0.99916134236816256</v>
      </c>
      <c r="O245" s="302">
        <f t="shared" si="232"/>
        <v>-0.99902154591326808</v>
      </c>
      <c r="P245" s="302">
        <f t="shared" si="233"/>
        <v>-0.9987395479957768</v>
      </c>
      <c r="Q245" s="302">
        <f t="shared" si="234"/>
        <v>-0.99837290537393053</v>
      </c>
      <c r="R245" s="302">
        <f t="shared" si="235"/>
        <v>-0.99808254910996963</v>
      </c>
      <c r="S245" s="302">
        <f t="shared" si="236"/>
        <v>-0.99748984738091662</v>
      </c>
      <c r="T245" s="302">
        <f t="shared" si="237"/>
        <v>-0.99669348782775458</v>
      </c>
      <c r="U245" s="302">
        <f t="shared" si="238"/>
        <v>-0.99597788581427271</v>
      </c>
      <c r="V245" s="302">
        <f t="shared" si="239"/>
        <v>-0.99450274364930946</v>
      </c>
      <c r="W245" s="302">
        <f t="shared" si="240"/>
        <v>-0.9922990685355606</v>
      </c>
      <c r="X245" s="302">
        <f t="shared" si="241"/>
        <v>-0.98956921294798772</v>
      </c>
      <c r="Y245" s="302">
        <f t="shared" si="242"/>
        <v>-0.98389819438969539</v>
      </c>
      <c r="Z245" s="302">
        <f t="shared" si="243"/>
        <v>-0.9739653640665118</v>
      </c>
      <c r="AA245" s="302">
        <f t="shared" si="244"/>
        <v>-0.95780937884968131</v>
      </c>
      <c r="AB245" s="302">
        <f t="shared" si="245"/>
        <v>-0.92815164269668204</v>
      </c>
      <c r="AC245" s="302">
        <f t="shared" si="246"/>
        <v>-0.88418740341618041</v>
      </c>
      <c r="AD245" s="302">
        <f t="shared" si="247"/>
        <v>-0.83791581369288204</v>
      </c>
      <c r="AE245" s="302">
        <f t="shared" si="248"/>
        <v>-0.80518289536015608</v>
      </c>
      <c r="AF245" s="302">
        <f t="shared" si="249"/>
        <v>-0.79144368655884101</v>
      </c>
      <c r="AG245" s="302">
        <f t="shared" si="250"/>
        <v>-0.78793384308318792</v>
      </c>
      <c r="AH245" s="302">
        <f t="shared" si="251"/>
        <v>-0.79651851281855823</v>
      </c>
      <c r="AI245" s="302">
        <f t="shared" si="252"/>
        <v>-0.81693562972509093</v>
      </c>
      <c r="AJ245" s="302">
        <f t="shared" si="253"/>
        <v>1.8210978876560835</v>
      </c>
      <c r="AK245" s="303">
        <f t="shared" si="254"/>
        <v>1.8959393784029495</v>
      </c>
      <c r="AL245" s="223"/>
      <c r="AM245" s="137"/>
      <c r="AN245" s="225"/>
      <c r="AO245" s="223"/>
      <c r="AP245" s="169">
        <v>-1.3</v>
      </c>
      <c r="AQ245" s="174">
        <f t="shared" si="260"/>
        <v>-0.99984340529770943</v>
      </c>
      <c r="AR245" s="302">
        <f t="shared" si="303"/>
        <v>0.99994984581280677</v>
      </c>
      <c r="AS245" s="302">
        <f t="shared" si="303"/>
        <v>0.99994492072328334</v>
      </c>
      <c r="AT245" s="302">
        <f t="shared" si="303"/>
        <v>0.9999416450861377</v>
      </c>
      <c r="AU245" s="302">
        <f t="shared" si="303"/>
        <v>0.99993985463941892</v>
      </c>
      <c r="AV245" s="302">
        <f t="shared" si="303"/>
        <v>0.99993913334103723</v>
      </c>
      <c r="AW245" s="302">
        <f t="shared" si="303"/>
        <v>0.99993891583988259</v>
      </c>
      <c r="AX245" s="302">
        <f t="shared" si="303"/>
        <v>0.99993874183469189</v>
      </c>
      <c r="AY245" s="302">
        <f t="shared" si="303"/>
        <v>0.99993880915500055</v>
      </c>
      <c r="AZ245" s="302">
        <f t="shared" si="303"/>
        <v>0.9999392453174385</v>
      </c>
      <c r="BA245" s="302">
        <f t="shared" si="303"/>
        <v>0.99993956134759532</v>
      </c>
      <c r="BB245" s="302">
        <f t="shared" si="304"/>
        <v>0.9999379481241053</v>
      </c>
      <c r="BC245" s="302">
        <f t="shared" si="304"/>
        <v>0.99992989017546852</v>
      </c>
      <c r="BD245" s="302">
        <f t="shared" si="304"/>
        <v>0.99990531104288349</v>
      </c>
      <c r="BE245" s="302">
        <f t="shared" si="304"/>
        <v>0.99984243995762345</v>
      </c>
      <c r="BF245" s="302">
        <f t="shared" si="304"/>
        <v>0.99969441993549202</v>
      </c>
      <c r="BG245" s="302">
        <f t="shared" si="304"/>
        <v>0.9993602566353853</v>
      </c>
      <c r="BH245" s="302">
        <f t="shared" si="304"/>
        <v>0.99862302762191846</v>
      </c>
      <c r="BI245" s="302">
        <f t="shared" si="304"/>
        <v>0.99702258628097484</v>
      </c>
      <c r="BJ245" s="302">
        <f t="shared" si="304"/>
        <v>0.99360770255544373</v>
      </c>
      <c r="BK245" s="302">
        <f t="shared" si="304"/>
        <v>0.98650781893901274</v>
      </c>
      <c r="BL245" s="302">
        <f t="shared" si="305"/>
        <v>0.97240551284452026</v>
      </c>
      <c r="BM245" s="302">
        <f t="shared" si="305"/>
        <v>0.94671994499659762</v>
      </c>
      <c r="BN245" s="302">
        <f t="shared" si="305"/>
        <v>0.90727619933206405</v>
      </c>
      <c r="BO245" s="302">
        <f t="shared" si="305"/>
        <v>0.86387654681217618</v>
      </c>
      <c r="BP245" s="302">
        <f t="shared" si="305"/>
        <v>0.83806453650132628</v>
      </c>
      <c r="BQ245" s="302">
        <f t="shared" si="305"/>
        <v>0.83365455826948109</v>
      </c>
      <c r="BR245" s="302">
        <f t="shared" si="305"/>
        <v>0.83806460789025305</v>
      </c>
      <c r="BS245" s="302">
        <f t="shared" si="305"/>
        <v>0.86387672491696232</v>
      </c>
      <c r="BT245" s="302">
        <f t="shared" si="305"/>
        <v>0.90727657121333427</v>
      </c>
      <c r="BU245" s="302">
        <f t="shared" si="305"/>
        <v>0.9467206708010194</v>
      </c>
      <c r="BV245" s="302">
        <f t="shared" si="305"/>
        <v>0.97240685827540629</v>
      </c>
      <c r="BW245" s="223"/>
      <c r="BX245" s="146"/>
      <c r="BY245" s="225"/>
      <c r="BZ245" s="223"/>
      <c r="CA245" s="169">
        <v>-1.3</v>
      </c>
      <c r="CB245" s="174">
        <f t="shared" si="261"/>
        <v>-0.99984340529770943</v>
      </c>
      <c r="CC245" s="301">
        <f t="shared" si="262"/>
        <v>-0.99992170264885472</v>
      </c>
      <c r="CD245" s="302">
        <f t="shared" si="264"/>
        <v>-0.99984233684006263</v>
      </c>
      <c r="CE245" s="302">
        <f t="shared" si="265"/>
        <v>-0.99984233684006263</v>
      </c>
      <c r="CF245" s="302">
        <f t="shared" si="266"/>
        <v>-0.99970397286812229</v>
      </c>
      <c r="CG245" s="302">
        <f t="shared" si="267"/>
        <v>-0.99968253921162109</v>
      </c>
      <c r="CH245" s="302">
        <f t="shared" si="268"/>
        <v>-0.99954417523968075</v>
      </c>
      <c r="CI245" s="302">
        <f t="shared" si="269"/>
        <v>-0.99940393444118569</v>
      </c>
      <c r="CJ245" s="302">
        <f t="shared" si="270"/>
        <v>-0.99922248563640115</v>
      </c>
      <c r="CK245" s="302">
        <f t="shared" si="271"/>
        <v>-0.99908224483790609</v>
      </c>
      <c r="CL245" s="302">
        <f t="shared" si="272"/>
        <v>-0.99879991411660796</v>
      </c>
      <c r="CM245" s="302">
        <f t="shared" si="273"/>
        <v>-0.9984348601299603</v>
      </c>
      <c r="CN245" s="302">
        <f t="shared" si="274"/>
        <v>-0.99815252940866217</v>
      </c>
      <c r="CO245" s="302">
        <f t="shared" si="275"/>
        <v>-0.99758430759863892</v>
      </c>
      <c r="CP245" s="302">
        <f t="shared" si="276"/>
        <v>-0.99685055164291447</v>
      </c>
      <c r="CQ245" s="302">
        <f t="shared" si="277"/>
        <v>-0.99628232983289122</v>
      </c>
      <c r="CR245" s="302">
        <f t="shared" si="278"/>
        <v>-0.99513937746290815</v>
      </c>
      <c r="CS245" s="302">
        <f t="shared" si="279"/>
        <v>-0.99366732098956556</v>
      </c>
      <c r="CT245" s="302">
        <f t="shared" si="280"/>
        <v>-0.99252436861958249</v>
      </c>
      <c r="CU245" s="302">
        <f t="shared" si="281"/>
        <v>-0.9902280264728458</v>
      </c>
      <c r="CV245" s="302">
        <f t="shared" si="282"/>
        <v>-0.98728600561322433</v>
      </c>
      <c r="CW245" s="302">
        <f t="shared" si="283"/>
        <v>-0.98498966346648764</v>
      </c>
      <c r="CX245" s="302">
        <f t="shared" si="284"/>
        <v>-0.98038669999713346</v>
      </c>
      <c r="CY245" s="302">
        <f t="shared" si="285"/>
        <v>-0.97455152473647866</v>
      </c>
      <c r="CZ245" s="302">
        <f t="shared" si="286"/>
        <v>-0.96994856126712448</v>
      </c>
      <c r="DA245" s="302">
        <f t="shared" si="287"/>
        <v>-0.96076478635113061</v>
      </c>
      <c r="DB245" s="302">
        <f t="shared" si="288"/>
        <v>-0.94936647164952548</v>
      </c>
      <c r="DC245" s="302">
        <f t="shared" si="289"/>
        <v>-0.94018269673353161</v>
      </c>
      <c r="DD245" s="302">
        <f t="shared" si="290"/>
        <v>-0.922027981359402</v>
      </c>
      <c r="DE245" s="302">
        <f t="shared" si="291"/>
        <v>-0.90042623786986242</v>
      </c>
      <c r="DF245" s="302">
        <f t="shared" si="292"/>
        <v>1.923585217712902</v>
      </c>
      <c r="DG245" s="303">
        <f t="shared" si="293"/>
        <v>1.949738797364569</v>
      </c>
      <c r="DH245" s="223"/>
      <c r="DI245"/>
      <c r="DJ245"/>
      <c r="DK245"/>
      <c r="DL245"/>
      <c r="DM245"/>
      <c r="DN245"/>
      <c r="DO245"/>
      <c r="DP245"/>
      <c r="DQ245"/>
      <c r="DR245"/>
      <c r="DS245"/>
      <c r="DT245"/>
      <c r="DU245"/>
      <c r="DV245"/>
      <c r="DW245"/>
      <c r="DX245"/>
      <c r="DY245"/>
      <c r="DZ245"/>
      <c r="EA245"/>
      <c r="EB245"/>
      <c r="EC245"/>
      <c r="ED245"/>
      <c r="EE245"/>
      <c r="EF245"/>
      <c r="EG245"/>
      <c r="EH245"/>
      <c r="EI245"/>
      <c r="EJ245" s="785"/>
      <c r="EK245" s="420">
        <v>0.7</v>
      </c>
      <c r="EL245" s="302">
        <f t="shared" ref="EL245:FF245" si="309">2*(1/(1+EXP(-4/0.5*(POWER(POWER((ABS(EL$241-$DK$213)),3)+POWER(ABS($DL219-$DJ$214),3),1/3))))-0.5)</f>
        <v>0.99970642188906589</v>
      </c>
      <c r="EM245" s="302">
        <f t="shared" si="309"/>
        <v>0.99944397582544253</v>
      </c>
      <c r="EN245" s="302">
        <f t="shared" si="309"/>
        <v>0.9989925497428358</v>
      </c>
      <c r="EO245" s="302">
        <f t="shared" si="309"/>
        <v>0.99827628412912439</v>
      </c>
      <c r="EP245" s="302">
        <f t="shared" si="309"/>
        <v>0.99725604466492324</v>
      </c>
      <c r="EQ245" s="302">
        <f t="shared" si="309"/>
        <v>0.99599417849651894</v>
      </c>
      <c r="ER245" s="302">
        <f t="shared" si="309"/>
        <v>0.99468991500439352</v>
      </c>
      <c r="ES245" s="302">
        <f t="shared" si="309"/>
        <v>0.99361175397789792</v>
      </c>
      <c r="ET245" s="302">
        <f t="shared" si="309"/>
        <v>0.99294198423073476</v>
      </c>
      <c r="EU245" s="302">
        <f t="shared" si="309"/>
        <v>0.99267132675449932</v>
      </c>
      <c r="EV245" s="302">
        <f t="shared" si="309"/>
        <v>0.99263152020112821</v>
      </c>
      <c r="EW245" s="302">
        <f t="shared" si="309"/>
        <v>0.99267132675449932</v>
      </c>
      <c r="EX245" s="302">
        <f t="shared" si="309"/>
        <v>0.99294198423073476</v>
      </c>
      <c r="EY245" s="302">
        <f t="shared" si="309"/>
        <v>0.99361175397789792</v>
      </c>
      <c r="EZ245" s="302">
        <f t="shared" si="309"/>
        <v>0.99468991500439352</v>
      </c>
      <c r="FA245" s="302">
        <f t="shared" si="309"/>
        <v>0.99599417849651894</v>
      </c>
      <c r="FB245" s="302">
        <f t="shared" si="309"/>
        <v>0.99725604466492324</v>
      </c>
      <c r="FC245" s="302">
        <f t="shared" si="309"/>
        <v>0.99827628412912439</v>
      </c>
      <c r="FD245" s="302">
        <f t="shared" si="309"/>
        <v>0.9989925497428358</v>
      </c>
      <c r="FE245" s="302">
        <f t="shared" si="309"/>
        <v>0.99944397582544253</v>
      </c>
      <c r="FF245" s="302">
        <f t="shared" si="309"/>
        <v>0.99970642188906589</v>
      </c>
      <c r="FG245"/>
      <c r="FH245"/>
      <c r="FI245"/>
      <c r="FJ245"/>
      <c r="FK245"/>
      <c r="FL245"/>
      <c r="FM245"/>
      <c r="FN245"/>
      <c r="FO245"/>
      <c r="FP245"/>
      <c r="FQ245"/>
      <c r="FR245"/>
      <c r="FS245"/>
      <c r="FT245"/>
      <c r="FU245"/>
      <c r="FV245"/>
      <c r="FW245"/>
      <c r="FX245"/>
      <c r="FY245"/>
      <c r="FZ245"/>
      <c r="GA245"/>
      <c r="GB245"/>
      <c r="GC245"/>
      <c r="GD245"/>
      <c r="GE245"/>
      <c r="GF245"/>
      <c r="GG245"/>
      <c r="GH245"/>
    </row>
    <row r="246" spans="2:190" ht="42" customHeight="1">
      <c r="B246"/>
      <c r="C246" s="225"/>
      <c r="D246" s="223"/>
      <c r="E246" s="169">
        <v>-1.4</v>
      </c>
      <c r="F246" s="174">
        <f t="shared" si="259"/>
        <v>-0.99992223532874025</v>
      </c>
      <c r="G246" s="301">
        <f t="shared" si="224"/>
        <v>-0.99993798532369971</v>
      </c>
      <c r="H246" s="302">
        <f t="shared" si="225"/>
        <v>-0.9998966114935981</v>
      </c>
      <c r="I246" s="302">
        <f t="shared" si="226"/>
        <v>-0.99989532014686733</v>
      </c>
      <c r="J246" s="302">
        <f t="shared" si="227"/>
        <v>-0.99981524498726915</v>
      </c>
      <c r="K246" s="302">
        <f t="shared" si="228"/>
        <v>-0.99981493302339275</v>
      </c>
      <c r="L246" s="302">
        <f t="shared" si="229"/>
        <v>-0.99967641732171997</v>
      </c>
      <c r="M246" s="302">
        <f t="shared" si="230"/>
        <v>-0.99965475936282389</v>
      </c>
      <c r="N246" s="302">
        <f t="shared" si="231"/>
        <v>-0.99951607804355591</v>
      </c>
      <c r="O246" s="302">
        <f t="shared" si="232"/>
        <v>-0.99937524750264972</v>
      </c>
      <c r="P246" s="302">
        <f t="shared" si="233"/>
        <v>-0.99919225786439603</v>
      </c>
      <c r="Q246" s="302">
        <f t="shared" si="234"/>
        <v>-0.99904775141874269</v>
      </c>
      <c r="R246" s="302">
        <f t="shared" si="235"/>
        <v>-0.99875434955440678</v>
      </c>
      <c r="S246" s="302">
        <f t="shared" si="236"/>
        <v>-0.99836243973746941</v>
      </c>
      <c r="T246" s="302">
        <f t="shared" si="237"/>
        <v>-0.99801812282732205</v>
      </c>
      <c r="U246" s="302">
        <f t="shared" si="238"/>
        <v>-0.99731166707998331</v>
      </c>
      <c r="V246" s="302">
        <f t="shared" si="239"/>
        <v>-0.99627682285151764</v>
      </c>
      <c r="W246" s="302">
        <f t="shared" si="240"/>
        <v>-0.99506534393997625</v>
      </c>
      <c r="X246" s="302">
        <f t="shared" si="241"/>
        <v>-0.992579545852603</v>
      </c>
      <c r="Y246" s="302">
        <f t="shared" si="242"/>
        <v>-0.98838847329955137</v>
      </c>
      <c r="Z246" s="302">
        <f t="shared" si="243"/>
        <v>-0.98199138265739783</v>
      </c>
      <c r="AA246" s="302">
        <f t="shared" si="244"/>
        <v>-0.97034235521043055</v>
      </c>
      <c r="AB246" s="302">
        <f t="shared" si="245"/>
        <v>-0.95286090636245879</v>
      </c>
      <c r="AC246" s="302">
        <f t="shared" si="246"/>
        <v>-0.93250981349197426</v>
      </c>
      <c r="AD246" s="302">
        <f t="shared" si="247"/>
        <v>-0.91250745795221999</v>
      </c>
      <c r="AE246" s="302">
        <f t="shared" si="248"/>
        <v>-0.89942032891602641</v>
      </c>
      <c r="AF246" s="302">
        <f t="shared" si="249"/>
        <v>-0.89397104977555741</v>
      </c>
      <c r="AG246" s="302">
        <f t="shared" si="250"/>
        <v>-0.88669650634827868</v>
      </c>
      <c r="AH246" s="302">
        <f t="shared" si="251"/>
        <v>-0.88363511048596854</v>
      </c>
      <c r="AI246" s="302">
        <f t="shared" si="252"/>
        <v>-0.89009039143054014</v>
      </c>
      <c r="AJ246" s="302">
        <f t="shared" si="253"/>
        <v>-0.88987877562860651</v>
      </c>
      <c r="AK246" s="303">
        <f t="shared" si="254"/>
        <v>1.8964688153049891</v>
      </c>
      <c r="AL246" s="223"/>
      <c r="AM246" s="137"/>
      <c r="AN246" s="225"/>
      <c r="AO246" s="223"/>
      <c r="AP246" s="169">
        <v>-1.4</v>
      </c>
      <c r="AQ246" s="174">
        <f t="shared" si="260"/>
        <v>-0.99992223532874025</v>
      </c>
      <c r="AR246" s="302">
        <f t="shared" si="303"/>
        <v>0.9999768667598552</v>
      </c>
      <c r="AS246" s="302">
        <f t="shared" si="303"/>
        <v>0.99997490688001855</v>
      </c>
      <c r="AT246" s="302">
        <f t="shared" si="303"/>
        <v>0.99997361543217089</v>
      </c>
      <c r="AU246" s="302">
        <f t="shared" si="303"/>
        <v>0.99997290387514581</v>
      </c>
      <c r="AV246" s="302">
        <f t="shared" si="303"/>
        <v>0.99997259186207643</v>
      </c>
      <c r="AW246" s="302">
        <f t="shared" si="303"/>
        <v>0.99997243629399279</v>
      </c>
      <c r="AX246" s="302">
        <f t="shared" si="303"/>
        <v>0.99997221132938952</v>
      </c>
      <c r="AY246" s="302">
        <f t="shared" si="303"/>
        <v>0.99997188999063691</v>
      </c>
      <c r="AZ246" s="302">
        <f t="shared" si="303"/>
        <v>0.99997129595196965</v>
      </c>
      <c r="BA246" s="302">
        <f t="shared" si="303"/>
        <v>0.99996974870718014</v>
      </c>
      <c r="BB246" s="302">
        <f t="shared" si="304"/>
        <v>0.99996547489524346</v>
      </c>
      <c r="BC246" s="302">
        <f t="shared" si="304"/>
        <v>0.99995438069070974</v>
      </c>
      <c r="BD246" s="302">
        <f t="shared" si="304"/>
        <v>0.99992746608178174</v>
      </c>
      <c r="BE246" s="302">
        <f t="shared" si="304"/>
        <v>0.99986534464685495</v>
      </c>
      <c r="BF246" s="302">
        <f t="shared" si="304"/>
        <v>0.99972669927084967</v>
      </c>
      <c r="BG246" s="302">
        <f t="shared" si="304"/>
        <v>0.99942445857059392</v>
      </c>
      <c r="BH246" s="302">
        <f t="shared" si="304"/>
        <v>0.9987784728721234</v>
      </c>
      <c r="BI246" s="302">
        <f t="shared" si="304"/>
        <v>0.99742766524139426</v>
      </c>
      <c r="BJ246" s="302">
        <f t="shared" si="304"/>
        <v>0.99468751001617206</v>
      </c>
      <c r="BK246" s="302">
        <f t="shared" si="304"/>
        <v>0.98938768024725265</v>
      </c>
      <c r="BL246" s="302">
        <f t="shared" si="305"/>
        <v>0.97991808883328901</v>
      </c>
      <c r="BM246" s="302">
        <f t="shared" si="305"/>
        <v>0.9651315839026976</v>
      </c>
      <c r="BN246" s="302">
        <f t="shared" si="305"/>
        <v>0.94672040537986935</v>
      </c>
      <c r="BO246" s="302">
        <f t="shared" si="305"/>
        <v>0.93076278773966237</v>
      </c>
      <c r="BP246" s="302">
        <f t="shared" si="305"/>
        <v>0.9229069023920845</v>
      </c>
      <c r="BQ246" s="302">
        <f t="shared" si="305"/>
        <v>0.92166851467637489</v>
      </c>
      <c r="BR246" s="302">
        <f t="shared" si="305"/>
        <v>0.92290695802439393</v>
      </c>
      <c r="BS246" s="302">
        <f t="shared" si="305"/>
        <v>0.93076292124647231</v>
      </c>
      <c r="BT246" s="302">
        <f t="shared" si="305"/>
        <v>0.94672066878381544</v>
      </c>
      <c r="BU246" s="302">
        <f t="shared" si="305"/>
        <v>0.96513207149809488</v>
      </c>
      <c r="BV246" s="302">
        <f t="shared" si="305"/>
        <v>0.97991895332690127</v>
      </c>
      <c r="BW246" s="223"/>
      <c r="BX246" s="146"/>
      <c r="BY246" s="225"/>
      <c r="BZ246" s="223"/>
      <c r="CA246" s="169">
        <v>-1.4</v>
      </c>
      <c r="CB246" s="174">
        <f t="shared" si="261"/>
        <v>-0.99992223532874025</v>
      </c>
      <c r="CC246" s="301">
        <f t="shared" si="262"/>
        <v>-0.99996111766437012</v>
      </c>
      <c r="CD246" s="302">
        <f t="shared" si="264"/>
        <v>-0.99992170264885472</v>
      </c>
      <c r="CE246" s="302">
        <f t="shared" si="265"/>
        <v>-0.99992170264885472</v>
      </c>
      <c r="CF246" s="302">
        <f t="shared" si="266"/>
        <v>-0.99984233684006263</v>
      </c>
      <c r="CG246" s="302">
        <f t="shared" si="267"/>
        <v>-0.99984233684006263</v>
      </c>
      <c r="CH246" s="302">
        <f t="shared" si="268"/>
        <v>-0.99970397286812229</v>
      </c>
      <c r="CI246" s="302">
        <f t="shared" si="269"/>
        <v>-0.99968253921162109</v>
      </c>
      <c r="CJ246" s="302">
        <f t="shared" si="270"/>
        <v>-0.99954417523968075</v>
      </c>
      <c r="CK246" s="302">
        <f t="shared" si="271"/>
        <v>-0.99940393444118569</v>
      </c>
      <c r="CL246" s="302">
        <f t="shared" si="272"/>
        <v>-0.99922248563640115</v>
      </c>
      <c r="CM246" s="302">
        <f t="shared" si="273"/>
        <v>-0.99908224483790609</v>
      </c>
      <c r="CN246" s="302">
        <f t="shared" si="274"/>
        <v>-0.99879991411660796</v>
      </c>
      <c r="CO246" s="302">
        <f t="shared" si="275"/>
        <v>-0.9984348601299603</v>
      </c>
      <c r="CP246" s="302">
        <f t="shared" si="276"/>
        <v>-0.99815252940866217</v>
      </c>
      <c r="CQ246" s="302">
        <f t="shared" si="277"/>
        <v>-0.99758430759863892</v>
      </c>
      <c r="CR246" s="302">
        <f t="shared" si="278"/>
        <v>-0.99685055164291447</v>
      </c>
      <c r="CS246" s="302">
        <f t="shared" si="279"/>
        <v>-0.99628232983289122</v>
      </c>
      <c r="CT246" s="302">
        <f t="shared" si="280"/>
        <v>-0.99513937746290815</v>
      </c>
      <c r="CU246" s="302">
        <f t="shared" si="281"/>
        <v>-0.99366732098956556</v>
      </c>
      <c r="CV246" s="302">
        <f t="shared" si="282"/>
        <v>-0.99252436861958249</v>
      </c>
      <c r="CW246" s="302">
        <f t="shared" si="283"/>
        <v>-0.9902280264728458</v>
      </c>
      <c r="CX246" s="302">
        <f t="shared" si="284"/>
        <v>-0.98728600561322433</v>
      </c>
      <c r="CY246" s="302">
        <f t="shared" si="285"/>
        <v>-0.98498966346648764</v>
      </c>
      <c r="CZ246" s="302">
        <f t="shared" si="286"/>
        <v>-0.98038669999713346</v>
      </c>
      <c r="DA246" s="302">
        <f t="shared" si="287"/>
        <v>-0.97455152473647866</v>
      </c>
      <c r="DB246" s="302">
        <f t="shared" si="288"/>
        <v>-0.96994856126712448</v>
      </c>
      <c r="DC246" s="302">
        <f t="shared" si="289"/>
        <v>-0.96076478635113061</v>
      </c>
      <c r="DD246" s="302">
        <f t="shared" si="290"/>
        <v>-0.94936647164952548</v>
      </c>
      <c r="DE246" s="302">
        <f t="shared" si="291"/>
        <v>-0.94018269673353161</v>
      </c>
      <c r="DF246" s="302">
        <f t="shared" si="292"/>
        <v>-0.922027981359402</v>
      </c>
      <c r="DG246" s="303">
        <f t="shared" si="293"/>
        <v>1.9353323138269034</v>
      </c>
      <c r="DH246" s="223"/>
      <c r="DI246"/>
      <c r="DJ246"/>
      <c r="DK246"/>
      <c r="DL246"/>
      <c r="DM246"/>
      <c r="DN246"/>
      <c r="DO246"/>
      <c r="DP246"/>
      <c r="DQ246"/>
      <c r="DR246"/>
      <c r="DS246"/>
      <c r="DT246"/>
      <c r="DU246"/>
      <c r="DV246"/>
      <c r="DW246"/>
      <c r="DX246"/>
      <c r="DY246"/>
      <c r="DZ246"/>
      <c r="EA246"/>
      <c r="EB246"/>
      <c r="EC246"/>
      <c r="ED246"/>
      <c r="EE246"/>
      <c r="EF246"/>
      <c r="EG246"/>
      <c r="EH246"/>
      <c r="EI246"/>
      <c r="EJ246" s="785"/>
      <c r="EK246" s="420">
        <v>0.6</v>
      </c>
      <c r="EL246" s="302">
        <f t="shared" ref="EL246:FF246" si="310">2*(1/(1+EXP(-4/0.5*(POWER(POWER((ABS(EL$241-$DK$213)),3)+POWER(ABS($DL220-$DJ$214),3),1/3))))-0.5)</f>
        <v>0.99960865998978066</v>
      </c>
      <c r="EM246" s="302">
        <f t="shared" si="310"/>
        <v>0.99922123515243122</v>
      </c>
      <c r="EN246" s="302">
        <f t="shared" si="310"/>
        <v>0.99850302354286713</v>
      </c>
      <c r="EO246" s="302">
        <f t="shared" si="310"/>
        <v>0.99725604466492324</v>
      </c>
      <c r="EP246" s="302">
        <f t="shared" si="310"/>
        <v>0.99528418982438516</v>
      </c>
      <c r="EQ246" s="302">
        <f t="shared" si="310"/>
        <v>0.99255102383055749</v>
      </c>
      <c r="ER246" s="302">
        <f t="shared" si="310"/>
        <v>0.98938915261775984</v>
      </c>
      <c r="ES246" s="302">
        <f t="shared" si="310"/>
        <v>0.98651020415010771</v>
      </c>
      <c r="ET246" s="302">
        <f t="shared" si="310"/>
        <v>0.98459598356815636</v>
      </c>
      <c r="EU246" s="302">
        <f t="shared" si="310"/>
        <v>0.98379417839205496</v>
      </c>
      <c r="EV246" s="302">
        <f t="shared" si="310"/>
        <v>0.98367485769368024</v>
      </c>
      <c r="EW246" s="302">
        <f t="shared" si="310"/>
        <v>0.98379417839205496</v>
      </c>
      <c r="EX246" s="302">
        <f t="shared" si="310"/>
        <v>0.98459598356815636</v>
      </c>
      <c r="EY246" s="302">
        <f t="shared" si="310"/>
        <v>0.98651020415010771</v>
      </c>
      <c r="EZ246" s="302">
        <f t="shared" si="310"/>
        <v>0.98938915261775984</v>
      </c>
      <c r="FA246" s="302">
        <f t="shared" si="310"/>
        <v>0.99255102383055749</v>
      </c>
      <c r="FB246" s="302">
        <f t="shared" si="310"/>
        <v>0.99528418982438516</v>
      </c>
      <c r="FC246" s="302">
        <f t="shared" si="310"/>
        <v>0.99725604466492324</v>
      </c>
      <c r="FD246" s="302">
        <f t="shared" si="310"/>
        <v>0.99850302354286713</v>
      </c>
      <c r="FE246" s="302">
        <f t="shared" si="310"/>
        <v>0.99922123515243122</v>
      </c>
      <c r="FF246" s="302">
        <f t="shared" si="310"/>
        <v>0.99960865998978066</v>
      </c>
      <c r="FG246"/>
      <c r="FH246"/>
      <c r="FI246"/>
      <c r="FJ246"/>
      <c r="FK246"/>
      <c r="FL246"/>
      <c r="FM246"/>
      <c r="FN246"/>
      <c r="FO246"/>
      <c r="FP246"/>
      <c r="FQ246"/>
      <c r="FR246"/>
      <c r="FS246"/>
      <c r="FT246"/>
      <c r="FU246"/>
      <c r="FV246"/>
      <c r="FW246"/>
      <c r="FX246"/>
      <c r="FY246"/>
      <c r="FZ246"/>
      <c r="GA246"/>
      <c r="GB246"/>
      <c r="GC246"/>
      <c r="GD246"/>
      <c r="GE246"/>
      <c r="GF246"/>
      <c r="GG246"/>
      <c r="GH246"/>
    </row>
    <row r="247" spans="2:190" ht="42" customHeight="1" thickBot="1">
      <c r="B247"/>
      <c r="C247" s="225"/>
      <c r="D247" s="223"/>
      <c r="E247" s="169">
        <v>-1.5</v>
      </c>
      <c r="F247" s="175">
        <f>D216</f>
        <v>-1</v>
      </c>
      <c r="G247" s="304">
        <f t="shared" si="224"/>
        <v>-0.99998938078929545</v>
      </c>
      <c r="H247" s="305">
        <f t="shared" si="225"/>
        <v>-0.99994971330838556</v>
      </c>
      <c r="I247" s="305">
        <f t="shared" si="226"/>
        <v>-0.99994919659245796</v>
      </c>
      <c r="J247" s="305">
        <f t="shared" si="227"/>
        <v>-0.99990948869785912</v>
      </c>
      <c r="K247" s="305">
        <f t="shared" si="228"/>
        <v>-0.99990933602298027</v>
      </c>
      <c r="L247" s="305">
        <f t="shared" si="229"/>
        <v>-0.99982984329966595</v>
      </c>
      <c r="M247" s="305">
        <f t="shared" si="230"/>
        <v>-0.99982960808094479</v>
      </c>
      <c r="N247" s="305">
        <f t="shared" si="231"/>
        <v>-0.99969079777771075</v>
      </c>
      <c r="O247" s="305">
        <f t="shared" si="232"/>
        <v>-0.99966842850913473</v>
      </c>
      <c r="P247" s="305">
        <f t="shared" si="233"/>
        <v>-0.99952793282267516</v>
      </c>
      <c r="Q247" s="305">
        <f t="shared" si="234"/>
        <v>-0.99938271660467171</v>
      </c>
      <c r="R247" s="305">
        <f t="shared" si="235"/>
        <v>-0.99918981879367696</v>
      </c>
      <c r="S247" s="305">
        <f t="shared" si="236"/>
        <v>-0.99902385771420144</v>
      </c>
      <c r="T247" s="305">
        <f t="shared" si="237"/>
        <v>-0.99868512333890447</v>
      </c>
      <c r="U247" s="305">
        <f t="shared" si="238"/>
        <v>-0.99819902249245107</v>
      </c>
      <c r="V247" s="305">
        <f t="shared" si="239"/>
        <v>-0.99766237349778009</v>
      </c>
      <c r="W247" s="305">
        <f t="shared" si="240"/>
        <v>-0.99657331079557865</v>
      </c>
      <c r="X247" s="305">
        <f t="shared" si="241"/>
        <v>-0.99480771651890321</v>
      </c>
      <c r="Y247" s="305">
        <f t="shared" si="242"/>
        <v>-0.99229002604043015</v>
      </c>
      <c r="Z247" s="305">
        <f t="shared" si="243"/>
        <v>-0.98772573522907037</v>
      </c>
      <c r="AA247" s="305">
        <f t="shared" si="244"/>
        <v>-0.98088002480198344</v>
      </c>
      <c r="AB247" s="305">
        <f t="shared" si="245"/>
        <v>-0.97259312778235074</v>
      </c>
      <c r="AC247" s="305">
        <f t="shared" si="246"/>
        <v>-0.96290434655202695</v>
      </c>
      <c r="AD247" s="305">
        <f t="shared" si="247"/>
        <v>-0.9545711841429283</v>
      </c>
      <c r="AE247" s="305">
        <f t="shared" si="248"/>
        <v>-0.94992541846156608</v>
      </c>
      <c r="AF247" s="305">
        <f t="shared" si="249"/>
        <v>-0.94511978891041348</v>
      </c>
      <c r="AG247" s="305">
        <f t="shared" si="250"/>
        <v>-0.93985890138989692</v>
      </c>
      <c r="AH247" s="305">
        <f t="shared" si="251"/>
        <v>-0.93780832547165738</v>
      </c>
      <c r="AI247" s="305">
        <f t="shared" si="252"/>
        <v>-0.93425426501814013</v>
      </c>
      <c r="AJ247" s="305">
        <f t="shared" si="253"/>
        <v>-0.93030219848692186</v>
      </c>
      <c r="AK247" s="306">
        <f t="shared" si="254"/>
        <v>-0.92808418603087428</v>
      </c>
      <c r="AL247" s="223"/>
      <c r="AM247" s="137"/>
      <c r="AN247" s="225"/>
      <c r="AO247" s="223"/>
      <c r="AP247" s="169">
        <v>-1.5</v>
      </c>
      <c r="AQ247" s="175">
        <f>AO216</f>
        <v>-1</v>
      </c>
      <c r="AR247" s="302">
        <f t="shared" si="303"/>
        <v>0.99998938078929545</v>
      </c>
      <c r="AS247" s="302">
        <f t="shared" si="303"/>
        <v>0.99998859520057015</v>
      </c>
      <c r="AT247" s="302">
        <f t="shared" si="303"/>
        <v>0.99998807846455073</v>
      </c>
      <c r="AU247" s="302">
        <f t="shared" si="303"/>
        <v>0.99998778509260955</v>
      </c>
      <c r="AV247" s="302">
        <f t="shared" si="303"/>
        <v>0.99998763240577571</v>
      </c>
      <c r="AW247" s="302">
        <f t="shared" si="303"/>
        <v>0.99998750448952167</v>
      </c>
      <c r="AX247" s="302">
        <f t="shared" si="303"/>
        <v>0.99998726923370929</v>
      </c>
      <c r="AY247" s="302">
        <f t="shared" si="303"/>
        <v>0.99998682100824932</v>
      </c>
      <c r="AZ247" s="302">
        <f t="shared" si="303"/>
        <v>0.99998588481649631</v>
      </c>
      <c r="BA247" s="302">
        <f t="shared" si="303"/>
        <v>0.99998375017592223</v>
      </c>
      <c r="BB247" s="302">
        <f t="shared" si="304"/>
        <v>0.99997876950872133</v>
      </c>
      <c r="BC247" s="302">
        <f t="shared" si="304"/>
        <v>0.99996730773857301</v>
      </c>
      <c r="BD247" s="302">
        <f t="shared" si="304"/>
        <v>0.99994155924198802</v>
      </c>
      <c r="BE247" s="302">
        <f t="shared" si="304"/>
        <v>0.99988507129798365</v>
      </c>
      <c r="BF247" s="302">
        <f t="shared" si="304"/>
        <v>0.99976379266497317</v>
      </c>
      <c r="BG247" s="302">
        <f t="shared" si="304"/>
        <v>0.99950893686441644</v>
      </c>
      <c r="BH247" s="302">
        <f t="shared" si="304"/>
        <v>0.99898655502561595</v>
      </c>
      <c r="BI247" s="302">
        <f t="shared" si="304"/>
        <v>0.99795071074531239</v>
      </c>
      <c r="BJ247" s="302">
        <f t="shared" si="304"/>
        <v>0.99599279875501689</v>
      </c>
      <c r="BK247" s="302">
        <f t="shared" si="304"/>
        <v>0.99255014684200449</v>
      </c>
      <c r="BL247" s="302">
        <f t="shared" si="305"/>
        <v>0.98713120989543301</v>
      </c>
      <c r="BM247" s="302">
        <f t="shared" si="305"/>
        <v>0.97991863830512049</v>
      </c>
      <c r="BN247" s="302">
        <f t="shared" si="305"/>
        <v>0.97240667887562748</v>
      </c>
      <c r="BO247" s="302">
        <f t="shared" si="305"/>
        <v>0.96686388616439856</v>
      </c>
      <c r="BP247" s="302">
        <f t="shared" si="305"/>
        <v>0.96440140815131048</v>
      </c>
      <c r="BQ247" s="302">
        <f t="shared" si="305"/>
        <v>0.9640275504687863</v>
      </c>
      <c r="BR247" s="302">
        <f t="shared" si="305"/>
        <v>0.96440144777777381</v>
      </c>
      <c r="BS247" s="302">
        <f t="shared" si="305"/>
        <v>0.96686397910268596</v>
      </c>
      <c r="BT247" s="302">
        <f t="shared" si="305"/>
        <v>0.97240685575740737</v>
      </c>
      <c r="BU247" s="302">
        <f t="shared" si="305"/>
        <v>0.97991895255213779</v>
      </c>
      <c r="BV247" s="302">
        <f t="shared" si="305"/>
        <v>0.98713174498457468</v>
      </c>
      <c r="BW247" s="223"/>
      <c r="BX247" s="146"/>
      <c r="BY247" s="225"/>
      <c r="BZ247" s="223"/>
      <c r="CA247" s="169">
        <v>-1.5</v>
      </c>
      <c r="CB247" s="175">
        <f>BZ216</f>
        <v>-1</v>
      </c>
      <c r="CC247" s="304">
        <f t="shared" si="262"/>
        <v>-1</v>
      </c>
      <c r="CD247" s="305">
        <f t="shared" si="264"/>
        <v>-0.99996111766437012</v>
      </c>
      <c r="CE247" s="305">
        <f t="shared" si="265"/>
        <v>-0.99996111766437012</v>
      </c>
      <c r="CF247" s="305">
        <f t="shared" si="266"/>
        <v>-0.99992170264885472</v>
      </c>
      <c r="CG247" s="305">
        <f t="shared" si="267"/>
        <v>-0.99992170264885472</v>
      </c>
      <c r="CH247" s="305">
        <f t="shared" si="268"/>
        <v>-0.99984233684006263</v>
      </c>
      <c r="CI247" s="305">
        <f t="shared" si="269"/>
        <v>-0.99984233684006263</v>
      </c>
      <c r="CJ247" s="305">
        <f t="shared" si="270"/>
        <v>-0.99970397286812229</v>
      </c>
      <c r="CK247" s="305">
        <f t="shared" si="271"/>
        <v>-0.99968253921162109</v>
      </c>
      <c r="CL247" s="305">
        <f t="shared" si="272"/>
        <v>-0.99954417523968075</v>
      </c>
      <c r="CM247" s="305">
        <f t="shared" si="273"/>
        <v>-0.99940393444118569</v>
      </c>
      <c r="CN247" s="305">
        <f t="shared" si="274"/>
        <v>-0.99922248563640115</v>
      </c>
      <c r="CO247" s="305">
        <f t="shared" si="275"/>
        <v>-0.99908224483790609</v>
      </c>
      <c r="CP247" s="305">
        <f t="shared" si="276"/>
        <v>-0.99879991411660796</v>
      </c>
      <c r="CQ247" s="305">
        <f t="shared" si="277"/>
        <v>-0.9984348601299603</v>
      </c>
      <c r="CR247" s="305">
        <f t="shared" si="278"/>
        <v>-0.99815252940866217</v>
      </c>
      <c r="CS247" s="305">
        <f t="shared" si="279"/>
        <v>-0.99758430759863892</v>
      </c>
      <c r="CT247" s="305">
        <f t="shared" si="280"/>
        <v>-0.99685055164291447</v>
      </c>
      <c r="CU247" s="305">
        <f t="shared" si="281"/>
        <v>-0.99628232983289122</v>
      </c>
      <c r="CV247" s="305">
        <f t="shared" si="282"/>
        <v>-0.99513937746290815</v>
      </c>
      <c r="CW247" s="305">
        <f t="shared" si="283"/>
        <v>-0.99366732098956556</v>
      </c>
      <c r="CX247" s="305">
        <f t="shared" si="284"/>
        <v>-0.99252436861958249</v>
      </c>
      <c r="CY247" s="305">
        <f t="shared" si="285"/>
        <v>-0.9902280264728458</v>
      </c>
      <c r="CZ247" s="305">
        <f t="shared" si="286"/>
        <v>-0.98728600561322433</v>
      </c>
      <c r="DA247" s="305">
        <f t="shared" si="287"/>
        <v>-0.98498966346648764</v>
      </c>
      <c r="DB247" s="305">
        <f t="shared" si="288"/>
        <v>-0.98038669999713346</v>
      </c>
      <c r="DC247" s="305">
        <f t="shared" si="289"/>
        <v>-0.97455152473647866</v>
      </c>
      <c r="DD247" s="305">
        <f t="shared" si="290"/>
        <v>-0.96994856126712448</v>
      </c>
      <c r="DE247" s="305">
        <f t="shared" si="291"/>
        <v>-0.96076478635113061</v>
      </c>
      <c r="DF247" s="305">
        <f t="shared" si="292"/>
        <v>-0.94936647164952548</v>
      </c>
      <c r="DG247" s="306">
        <f t="shared" si="293"/>
        <v>-0.94018269673353161</v>
      </c>
      <c r="DH247" s="223"/>
      <c r="DI247"/>
      <c r="DJ247"/>
      <c r="DK247"/>
      <c r="DL247"/>
      <c r="DM247"/>
      <c r="DN247"/>
      <c r="DO247"/>
      <c r="DP247"/>
      <c r="DQ247"/>
      <c r="DR247"/>
      <c r="DS247"/>
      <c r="DT247"/>
      <c r="DU247"/>
      <c r="DV247"/>
      <c r="DW247"/>
      <c r="DX247"/>
      <c r="DY247"/>
      <c r="DZ247"/>
      <c r="EA247"/>
      <c r="EB247"/>
      <c r="EC247"/>
      <c r="ED247"/>
      <c r="EE247"/>
      <c r="EF247"/>
      <c r="EG247"/>
      <c r="EH247"/>
      <c r="EI247"/>
      <c r="EJ247" s="785"/>
      <c r="EK247" s="420">
        <v>0.5</v>
      </c>
      <c r="EL247" s="302">
        <f t="shared" ref="EL247:FF247" si="311">2*(1/(1+EXP(-4/0.5*(POWER(POWER((ABS(EL$241-$DK$213)),3)+POWER(ABS($DL221-$DJ$214),3),1/3))))-0.5)</f>
        <v>0.99951309016521694</v>
      </c>
      <c r="EM247" s="302">
        <f t="shared" si="311"/>
        <v>0.99898956338802281</v>
      </c>
      <c r="EN247" s="302">
        <f t="shared" si="311"/>
        <v>0.9979527931074117</v>
      </c>
      <c r="EO247" s="302">
        <f t="shared" si="311"/>
        <v>0.99599417849651894</v>
      </c>
      <c r="EP247" s="302">
        <f t="shared" si="311"/>
        <v>0.99255102383055749</v>
      </c>
      <c r="EQ247" s="302">
        <f t="shared" si="311"/>
        <v>0.9871317460424347</v>
      </c>
      <c r="ER247" s="302">
        <f t="shared" si="311"/>
        <v>0.97991895466052159</v>
      </c>
      <c r="ES247" s="302">
        <f t="shared" si="311"/>
        <v>0.9724068599107285</v>
      </c>
      <c r="ET247" s="302">
        <f t="shared" si="311"/>
        <v>0.96686398719588862</v>
      </c>
      <c r="EU247" s="302">
        <f t="shared" si="311"/>
        <v>0.9644014633691631</v>
      </c>
      <c r="EV247" s="302">
        <f t="shared" si="311"/>
        <v>0.9640275800758169</v>
      </c>
      <c r="EW247" s="302">
        <f t="shared" si="311"/>
        <v>0.9644014633691631</v>
      </c>
      <c r="EX247" s="302">
        <f t="shared" si="311"/>
        <v>0.96686398719588862</v>
      </c>
      <c r="EY247" s="302">
        <f t="shared" si="311"/>
        <v>0.9724068599107285</v>
      </c>
      <c r="EZ247" s="302">
        <f t="shared" si="311"/>
        <v>0.97991895466052159</v>
      </c>
      <c r="FA247" s="302">
        <f t="shared" si="311"/>
        <v>0.9871317460424347</v>
      </c>
      <c r="FB247" s="302">
        <f t="shared" si="311"/>
        <v>0.99255102383055749</v>
      </c>
      <c r="FC247" s="302">
        <f t="shared" si="311"/>
        <v>0.99599417849651894</v>
      </c>
      <c r="FD247" s="302">
        <f t="shared" si="311"/>
        <v>0.9979527931074117</v>
      </c>
      <c r="FE247" s="302">
        <f t="shared" si="311"/>
        <v>0.99898956338802281</v>
      </c>
      <c r="FF247" s="302">
        <f t="shared" si="311"/>
        <v>0.99951309016521694</v>
      </c>
      <c r="FG247"/>
      <c r="FH247"/>
      <c r="FI247"/>
      <c r="FJ247"/>
      <c r="FK247"/>
      <c r="FL247"/>
      <c r="FM247"/>
      <c r="FN247"/>
      <c r="FO247"/>
      <c r="FP247"/>
      <c r="FQ247"/>
      <c r="FR247"/>
      <c r="FS247"/>
      <c r="FT247"/>
      <c r="FU247"/>
      <c r="FV247"/>
      <c r="FW247"/>
      <c r="FX247"/>
      <c r="FY247"/>
      <c r="FZ247"/>
      <c r="GA247"/>
      <c r="GB247"/>
      <c r="GC247"/>
      <c r="GD247"/>
      <c r="GE247"/>
      <c r="GF247"/>
      <c r="GG247"/>
      <c r="GH247"/>
    </row>
    <row r="248" spans="2:190" ht="42" customHeight="1">
      <c r="B248"/>
      <c r="C248" s="223"/>
      <c r="D248" s="225"/>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5"/>
      <c r="AM248" s="137"/>
      <c r="AN248" s="223"/>
      <c r="AO248" s="225"/>
      <c r="AP248" s="223"/>
      <c r="AQ248" s="223"/>
      <c r="AR248" s="223"/>
      <c r="AS248" s="223"/>
      <c r="AT248" s="223"/>
      <c r="AU248" s="223"/>
      <c r="AV248" s="223"/>
      <c r="AW248" s="223"/>
      <c r="AX248" s="223"/>
      <c r="AY248" s="223"/>
      <c r="AZ248" s="223"/>
      <c r="BA248" s="223"/>
      <c r="BB248" s="223"/>
      <c r="BC248" s="223"/>
      <c r="BD248" s="223"/>
      <c r="BE248" s="223"/>
      <c r="BF248" s="223"/>
      <c r="BG248" s="223"/>
      <c r="BH248" s="223"/>
      <c r="BI248" s="223"/>
      <c r="BJ248" s="223"/>
      <c r="BK248" s="223"/>
      <c r="BL248" s="223"/>
      <c r="BM248" s="223"/>
      <c r="BN248" s="223"/>
      <c r="BO248" s="223"/>
      <c r="BP248" s="223"/>
      <c r="BQ248" s="223"/>
      <c r="BR248" s="223"/>
      <c r="BS248" s="223"/>
      <c r="BT248" s="223"/>
      <c r="BU248" s="223"/>
      <c r="BV248" s="223"/>
      <c r="BW248" s="225"/>
      <c r="BX248" s="146"/>
      <c r="BY248" s="223"/>
      <c r="BZ248" s="225"/>
      <c r="CA248" s="223"/>
      <c r="CB248" s="223"/>
      <c r="CC248" s="223"/>
      <c r="CD248" s="223"/>
      <c r="CE248" s="223"/>
      <c r="CF248" s="223"/>
      <c r="CG248" s="223"/>
      <c r="CH248" s="223"/>
      <c r="CI248" s="223"/>
      <c r="CJ248" s="223"/>
      <c r="CK248" s="223"/>
      <c r="CL248" s="223"/>
      <c r="CM248" s="223"/>
      <c r="CN248" s="223"/>
      <c r="CO248" s="223"/>
      <c r="CP248" s="223"/>
      <c r="CQ248" s="223"/>
      <c r="CR248" s="223"/>
      <c r="CS248" s="223"/>
      <c r="CT248" s="223"/>
      <c r="CU248" s="223"/>
      <c r="CV248" s="223"/>
      <c r="CW248" s="223"/>
      <c r="CX248" s="223"/>
      <c r="CY248" s="223"/>
      <c r="CZ248" s="223"/>
      <c r="DA248" s="223"/>
      <c r="DB248" s="223"/>
      <c r="DC248" s="223"/>
      <c r="DD248" s="223"/>
      <c r="DE248" s="223"/>
      <c r="DF248" s="223"/>
      <c r="DG248" s="223"/>
      <c r="DH248" s="225"/>
      <c r="DI248"/>
      <c r="DJ248"/>
      <c r="DK248"/>
      <c r="DL248"/>
      <c r="DM248"/>
      <c r="DN248"/>
      <c r="DO248"/>
      <c r="DP248"/>
      <c r="DQ248"/>
      <c r="DR248"/>
      <c r="DS248"/>
      <c r="DT248"/>
      <c r="DU248"/>
      <c r="DV248"/>
      <c r="DW248"/>
      <c r="DX248"/>
      <c r="DY248"/>
      <c r="DZ248"/>
      <c r="EA248"/>
      <c r="EB248"/>
      <c r="EC248"/>
      <c r="ED248"/>
      <c r="EE248"/>
      <c r="EF248"/>
      <c r="EG248"/>
      <c r="EH248"/>
      <c r="EI248"/>
      <c r="EJ248" s="785"/>
      <c r="EK248" s="420">
        <v>0.4</v>
      </c>
      <c r="EL248" s="302">
        <f t="shared" ref="EL248:FF248" si="312">2*(1/(1+EXP(-4/0.5*(POWER(POWER((ABS(EL$241-$DK$213)),3)+POWER(ABS($DL222-$DJ$214),3),1/3))))-0.5)</f>
        <v>0.99943250950642137</v>
      </c>
      <c r="EM248" s="302">
        <f t="shared" si="312"/>
        <v>0.99878410986518129</v>
      </c>
      <c r="EN248" s="302">
        <f t="shared" si="312"/>
        <v>0.99743143053470296</v>
      </c>
      <c r="EO248" s="302">
        <f t="shared" si="312"/>
        <v>0.99468991500439352</v>
      </c>
      <c r="EP248" s="302">
        <f t="shared" si="312"/>
        <v>0.98938915261775984</v>
      </c>
      <c r="EQ248" s="302">
        <f t="shared" si="312"/>
        <v>0.97991895466052159</v>
      </c>
      <c r="ER248" s="302">
        <f t="shared" si="312"/>
        <v>0.96513207417968316</v>
      </c>
      <c r="ES248" s="302">
        <f t="shared" si="312"/>
        <v>0.94672067410163696</v>
      </c>
      <c r="ET248" s="302">
        <f t="shared" si="312"/>
        <v>0.93076293169836011</v>
      </c>
      <c r="EU248" s="302">
        <f t="shared" si="312"/>
        <v>0.92290697847913838</v>
      </c>
      <c r="EV248" s="302">
        <f t="shared" si="312"/>
        <v>0.92166855440647133</v>
      </c>
      <c r="EW248" s="302">
        <f t="shared" si="312"/>
        <v>0.92290697847913838</v>
      </c>
      <c r="EX248" s="302">
        <f t="shared" si="312"/>
        <v>0.93076293169836011</v>
      </c>
      <c r="EY248" s="302">
        <f t="shared" si="312"/>
        <v>0.94672067410163696</v>
      </c>
      <c r="EZ248" s="302">
        <f t="shared" si="312"/>
        <v>0.96513207417968316</v>
      </c>
      <c r="FA248" s="302">
        <f t="shared" si="312"/>
        <v>0.97991895466052159</v>
      </c>
      <c r="FB248" s="302">
        <f t="shared" si="312"/>
        <v>0.98938915261775984</v>
      </c>
      <c r="FC248" s="302">
        <f t="shared" si="312"/>
        <v>0.99468991500439352</v>
      </c>
      <c r="FD248" s="302">
        <f t="shared" si="312"/>
        <v>0.99743143053470296</v>
      </c>
      <c r="FE248" s="302">
        <f t="shared" si="312"/>
        <v>0.99878410986518129</v>
      </c>
      <c r="FF248" s="302">
        <f t="shared" si="312"/>
        <v>0.99943250950642137</v>
      </c>
      <c r="FG248"/>
      <c r="FH248"/>
      <c r="FI248"/>
      <c r="FJ248"/>
      <c r="FK248"/>
      <c r="FL248"/>
      <c r="FM248"/>
      <c r="FN248"/>
      <c r="FO248"/>
      <c r="FP248"/>
      <c r="FQ248"/>
      <c r="FR248"/>
      <c r="FS248"/>
      <c r="FT248"/>
      <c r="FU248"/>
      <c r="FV248"/>
      <c r="FW248"/>
      <c r="FX248"/>
      <c r="FY248"/>
      <c r="FZ248"/>
      <c r="GA248"/>
      <c r="GB248"/>
      <c r="GC248"/>
      <c r="GD248"/>
      <c r="GE248"/>
      <c r="GF248"/>
      <c r="GG248"/>
      <c r="GH248"/>
    </row>
    <row r="249" spans="2:190" ht="42" customHeight="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s="137"/>
      <c r="AM249" s="137"/>
      <c r="AN249" s="146"/>
      <c r="AO249" s="146"/>
      <c r="AP249" s="146"/>
      <c r="AQ249" s="146"/>
      <c r="AR249" s="146"/>
      <c r="AS249" s="146"/>
      <c r="AT249" s="146"/>
      <c r="AU249" s="146"/>
      <c r="AV249" s="146"/>
      <c r="AW249" s="146"/>
      <c r="AX249" s="146"/>
      <c r="AY249" s="146"/>
      <c r="AZ249" s="146"/>
      <c r="BA249" s="146"/>
      <c r="BB249" s="146"/>
      <c r="BC249" s="146"/>
      <c r="BD249" s="146"/>
      <c r="BE249" s="146"/>
      <c r="BF249" s="146"/>
      <c r="BG249" s="146"/>
      <c r="BH249" s="146"/>
      <c r="BI249" s="137"/>
      <c r="BJ249" s="137"/>
      <c r="BK249" s="146"/>
      <c r="BL249" s="146"/>
      <c r="BM249" s="146"/>
      <c r="BN249" s="146"/>
      <c r="BO249" s="146"/>
      <c r="BP249" s="146"/>
      <c r="BQ249" s="146"/>
      <c r="BR249" s="146"/>
      <c r="BS249" s="146"/>
      <c r="BT249" s="146"/>
      <c r="BU249" s="146"/>
      <c r="BV249" s="146"/>
      <c r="BW249" s="146"/>
      <c r="BX249" s="146"/>
      <c r="BY249" s="146"/>
      <c r="BZ249" s="146"/>
      <c r="CA249" s="146"/>
      <c r="CB249" s="146"/>
      <c r="CC249" s="146"/>
      <c r="CD249" s="146"/>
      <c r="CE249" s="146"/>
      <c r="CF249" s="137"/>
      <c r="CG249" s="137"/>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s="785"/>
      <c r="EK249" s="420">
        <v>0.3</v>
      </c>
      <c r="EL249" s="302">
        <f t="shared" ref="EL249:FF249" si="313">2*(1/(1+EXP(-4/0.5*(POWER(POWER((ABS(EL$241-$DK$213)),3)+POWER(ABS($DL223-$DJ$214),3),1/3))))-0.5)</f>
        <v>0.99937547967119644</v>
      </c>
      <c r="EM249" s="302">
        <f t="shared" si="313"/>
        <v>0.99863329143872082</v>
      </c>
      <c r="EN249" s="302">
        <f t="shared" si="313"/>
        <v>0.99702918148105213</v>
      </c>
      <c r="EO249" s="302">
        <f t="shared" si="313"/>
        <v>0.99361175397789792</v>
      </c>
      <c r="EP249" s="302">
        <f t="shared" si="313"/>
        <v>0.98651020415010771</v>
      </c>
      <c r="EQ249" s="302">
        <f t="shared" si="313"/>
        <v>0.9724068599107285</v>
      </c>
      <c r="ER249" s="302">
        <f t="shared" si="313"/>
        <v>0.94672067410163696</v>
      </c>
      <c r="ES249" s="302">
        <f t="shared" si="313"/>
        <v>0.9072765777165146</v>
      </c>
      <c r="ET249" s="302">
        <f t="shared" si="313"/>
        <v>0.86387673752670602</v>
      </c>
      <c r="EU249" s="302">
        <f t="shared" si="313"/>
        <v>0.83806463252931285</v>
      </c>
      <c r="EV249" s="302">
        <f t="shared" si="313"/>
        <v>0.83365460701215532</v>
      </c>
      <c r="EW249" s="302">
        <f t="shared" si="313"/>
        <v>0.83806463252931285</v>
      </c>
      <c r="EX249" s="302">
        <f t="shared" si="313"/>
        <v>0.86387673752670602</v>
      </c>
      <c r="EY249" s="302">
        <f t="shared" si="313"/>
        <v>0.9072765777165146</v>
      </c>
      <c r="EZ249" s="302">
        <f t="shared" si="313"/>
        <v>0.94672067410163696</v>
      </c>
      <c r="FA249" s="302">
        <f t="shared" si="313"/>
        <v>0.9724068599107285</v>
      </c>
      <c r="FB249" s="302">
        <f t="shared" si="313"/>
        <v>0.98651020415010771</v>
      </c>
      <c r="FC249" s="302">
        <f t="shared" si="313"/>
        <v>0.99361175397789792</v>
      </c>
      <c r="FD249" s="302">
        <f t="shared" si="313"/>
        <v>0.99702918148105213</v>
      </c>
      <c r="FE249" s="302">
        <f t="shared" si="313"/>
        <v>0.99863329143872082</v>
      </c>
      <c r="FF249" s="302">
        <f t="shared" si="313"/>
        <v>0.99937547967119644</v>
      </c>
      <c r="FG249"/>
      <c r="FH249"/>
      <c r="FI249"/>
      <c r="FJ249"/>
      <c r="FK249"/>
      <c r="FL249"/>
      <c r="FM249"/>
      <c r="FN249"/>
      <c r="FO249"/>
      <c r="FP249"/>
      <c r="FQ249"/>
      <c r="FR249"/>
      <c r="FS249"/>
      <c r="FT249"/>
      <c r="FU249"/>
      <c r="FV249"/>
      <c r="FW249"/>
      <c r="FX249"/>
      <c r="FY249"/>
      <c r="FZ249"/>
      <c r="GA249"/>
      <c r="GB249"/>
      <c r="GC249"/>
      <c r="GD249"/>
      <c r="GE249"/>
      <c r="GF249"/>
      <c r="GG249"/>
      <c r="GH249"/>
    </row>
    <row r="250" spans="2:190" ht="42" customHeight="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s="137"/>
      <c r="AM250" s="137"/>
      <c r="AN250" s="146"/>
      <c r="AO250" s="146"/>
      <c r="AP250" s="146"/>
      <c r="AQ250" s="146"/>
      <c r="AR250" s="146"/>
      <c r="AS250" s="146"/>
      <c r="AT250" s="146"/>
      <c r="AU250" s="146"/>
      <c r="AV250" s="146"/>
      <c r="AW250" s="146"/>
      <c r="AX250" s="146"/>
      <c r="AY250" s="146"/>
      <c r="AZ250" s="146"/>
      <c r="BA250" s="146"/>
      <c r="BB250" s="146"/>
      <c r="BC250" s="146"/>
      <c r="BD250" s="146"/>
      <c r="BE250" s="146"/>
      <c r="BF250" s="146"/>
      <c r="BG250" s="146"/>
      <c r="BH250" s="146"/>
      <c r="BI250" s="137"/>
      <c r="BJ250" s="137"/>
      <c r="BK250" s="146"/>
      <c r="BL250" s="146"/>
      <c r="BM250" s="146"/>
      <c r="BN250" s="146"/>
      <c r="BO250" s="146"/>
      <c r="BP250" s="146"/>
      <c r="BQ250" s="146"/>
      <c r="BR250" s="146"/>
      <c r="BS250" s="146"/>
      <c r="BT250" s="146"/>
      <c r="BU250" s="146"/>
      <c r="BV250" s="146"/>
      <c r="BW250" s="146"/>
      <c r="BX250" s="146"/>
      <c r="BY250" s="146"/>
      <c r="BZ250" s="146"/>
      <c r="CA250" s="146"/>
      <c r="CB250" s="146"/>
      <c r="CC250" s="146"/>
      <c r="CD250" s="146"/>
      <c r="CE250" s="146"/>
      <c r="CF250" s="137"/>
      <c r="CG250" s="137"/>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s="785"/>
      <c r="EK250" s="420">
        <v>0.2</v>
      </c>
      <c r="EL250" s="302">
        <f t="shared" ref="EL250:EQ262" si="314">2*(1/(1+EXP(-4/0.5*(POWER(POWER((ABS(EL$241-$DK$213)),3)+POWER(ABS($DL224-$DJ$214),3),1/3))))-0.5)</f>
        <v>0.99934341464796717</v>
      </c>
      <c r="EM250" s="302">
        <f t="shared" si="314"/>
        <v>0.99854655909221113</v>
      </c>
      <c r="EN250" s="302">
        <f t="shared" si="314"/>
        <v>0.99679043576804505</v>
      </c>
      <c r="EO250" s="302">
        <f t="shared" si="314"/>
        <v>0.99294198423073476</v>
      </c>
      <c r="EP250" s="302">
        <f t="shared" si="314"/>
        <v>0.98459598356815636</v>
      </c>
      <c r="EQ250" s="302">
        <f t="shared" si="314"/>
        <v>0.96686398719588862</v>
      </c>
      <c r="ER250" s="302">
        <f t="shared" ref="ER250:FF250" si="315">2*(1/(1+EXP(-4/0.5*(POWER(POWER((ABS(ER$241-$DK$213)),3)+POWER(ABS($DL224-$DJ$214),3),1/3))))-0.5)</f>
        <v>0.93076293169836011</v>
      </c>
      <c r="ES250" s="302">
        <f t="shared" si="315"/>
        <v>0.86387673752670602</v>
      </c>
      <c r="ET250" s="302">
        <f t="shared" si="315"/>
        <v>0.76490732853327503</v>
      </c>
      <c r="EU250" s="302">
        <f t="shared" si="315"/>
        <v>0.68156640415783154</v>
      </c>
      <c r="EV250" s="302">
        <f t="shared" si="315"/>
        <v>0.66403677026784913</v>
      </c>
      <c r="EW250" s="302">
        <f t="shared" si="315"/>
        <v>0.68156640415783154</v>
      </c>
      <c r="EX250" s="302">
        <f t="shared" si="315"/>
        <v>0.76490732853327503</v>
      </c>
      <c r="EY250" s="302">
        <f t="shared" si="315"/>
        <v>0.86387673752670602</v>
      </c>
      <c r="EZ250" s="302">
        <f t="shared" si="315"/>
        <v>0.93076293169836011</v>
      </c>
      <c r="FA250" s="302">
        <f t="shared" si="315"/>
        <v>0.96686398719588862</v>
      </c>
      <c r="FB250" s="302">
        <f t="shared" si="315"/>
        <v>0.98459598356815636</v>
      </c>
      <c r="FC250" s="302">
        <f t="shared" si="315"/>
        <v>0.99294198423073476</v>
      </c>
      <c r="FD250" s="302">
        <f t="shared" si="315"/>
        <v>0.99679043576804505</v>
      </c>
      <c r="FE250" s="302">
        <f t="shared" si="315"/>
        <v>0.99854655909221113</v>
      </c>
      <c r="FF250" s="302">
        <f t="shared" si="315"/>
        <v>0.99934341464796717</v>
      </c>
      <c r="FG250"/>
      <c r="FH250"/>
      <c r="FI250"/>
      <c r="FJ250"/>
      <c r="FK250"/>
      <c r="FL250"/>
      <c r="FM250"/>
      <c r="FN250"/>
      <c r="FO250"/>
      <c r="FP250"/>
      <c r="FQ250"/>
      <c r="FR250"/>
      <c r="FS250"/>
      <c r="FT250"/>
      <c r="FU250"/>
      <c r="FV250"/>
      <c r="FW250"/>
      <c r="FX250"/>
      <c r="FY250"/>
      <c r="FZ250"/>
      <c r="GA250"/>
      <c r="GB250"/>
      <c r="GC250"/>
      <c r="GD250"/>
      <c r="GE250"/>
      <c r="GF250"/>
      <c r="GG250"/>
      <c r="GH250"/>
    </row>
    <row r="251" spans="2:190" ht="42" customHeight="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s="137"/>
      <c r="AM251" s="137"/>
      <c r="AN251" s="146"/>
      <c r="AO251" s="146"/>
      <c r="AP251" s="146"/>
      <c r="AQ251" s="146"/>
      <c r="AR251" s="146"/>
      <c r="AS251" s="146"/>
      <c r="AT251" s="146"/>
      <c r="AU251" s="146"/>
      <c r="AV251" s="146"/>
      <c r="AW251" s="146"/>
      <c r="AX251" s="146"/>
      <c r="AY251" s="146"/>
      <c r="AZ251" s="146"/>
      <c r="BA251" s="146"/>
      <c r="BB251" s="146"/>
      <c r="BC251" s="146"/>
      <c r="BD251" s="146"/>
      <c r="BE251" s="146"/>
      <c r="BF251" s="146"/>
      <c r="BG251" s="146"/>
      <c r="BH251" s="146"/>
      <c r="BI251" s="137"/>
      <c r="BJ251" s="137"/>
      <c r="BK251" s="146"/>
      <c r="BL251" s="146"/>
      <c r="BM251" s="146"/>
      <c r="BN251" s="146"/>
      <c r="BO251" s="146"/>
      <c r="BP251" s="146"/>
      <c r="BQ251" s="146"/>
      <c r="BR251" s="146"/>
      <c r="BS251" s="146"/>
      <c r="BT251" s="146"/>
      <c r="BU251" s="146"/>
      <c r="BV251" s="146"/>
      <c r="BW251" s="146"/>
      <c r="BX251" s="146"/>
      <c r="BY251" s="146"/>
      <c r="BZ251" s="146"/>
      <c r="CA251" s="146"/>
      <c r="CB251" s="146"/>
      <c r="CC251" s="146"/>
      <c r="CD251" s="146"/>
      <c r="CE251" s="146"/>
      <c r="CF251" s="137"/>
      <c r="CG251" s="137"/>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s="785"/>
      <c r="EK251" s="420">
        <v>0.1</v>
      </c>
      <c r="EL251" s="302">
        <f t="shared" si="314"/>
        <v>0.99933108469904885</v>
      </c>
      <c r="EM251" s="302">
        <f t="shared" si="314"/>
        <v>0.99851284049754319</v>
      </c>
      <c r="EN251" s="302">
        <f t="shared" si="314"/>
        <v>0.99669616069810574</v>
      </c>
      <c r="EO251" s="302">
        <f t="shared" si="314"/>
        <v>0.99267132675449932</v>
      </c>
      <c r="EP251" s="302">
        <f t="shared" si="314"/>
        <v>0.98379417839205496</v>
      </c>
      <c r="EQ251" s="302">
        <f t="shared" si="314"/>
        <v>0.9644014633691631</v>
      </c>
      <c r="ER251" s="302">
        <f t="shared" ref="ER251:ER262" si="316">2*(1/(1+EXP(-4/0.5*(POWER(POWER((ABS(ER$241-$DK$213)),3)+POWER(ABS($DL225-$DJ$214),3),1/3))))-0.5)</f>
        <v>0.92290697847913838</v>
      </c>
      <c r="ES251" s="302">
        <f t="shared" ref="ES251:FF251" si="317">2*(1/(1+EXP(-4/0.5*(POWER(POWER((ABS(ES$241-$DK$213)),3)+POWER(ABS($DL225-$DJ$214),3),1/3))))-0.5)</f>
        <v>0.83806463252931285</v>
      </c>
      <c r="ET251" s="302">
        <f t="shared" si="317"/>
        <v>0.68156640415783154</v>
      </c>
      <c r="EU251" s="302">
        <f t="shared" si="317"/>
        <v>0.46523238285200885</v>
      </c>
      <c r="EV251" s="302">
        <f t="shared" si="317"/>
        <v>0.37994896225522501</v>
      </c>
      <c r="EW251" s="302">
        <f t="shared" si="317"/>
        <v>0.46523238285200885</v>
      </c>
      <c r="EX251" s="302">
        <f t="shared" si="317"/>
        <v>0.68156640415783154</v>
      </c>
      <c r="EY251" s="302">
        <f t="shared" si="317"/>
        <v>0.83806463252931285</v>
      </c>
      <c r="EZ251" s="302">
        <f t="shared" si="317"/>
        <v>0.92290697847913838</v>
      </c>
      <c r="FA251" s="302">
        <f t="shared" si="317"/>
        <v>0.9644014633691631</v>
      </c>
      <c r="FB251" s="302">
        <f t="shared" si="317"/>
        <v>0.98379417839205496</v>
      </c>
      <c r="FC251" s="302">
        <f t="shared" si="317"/>
        <v>0.99267132675449932</v>
      </c>
      <c r="FD251" s="302">
        <f t="shared" si="317"/>
        <v>0.99669616069810574</v>
      </c>
      <c r="FE251" s="302">
        <f t="shared" si="317"/>
        <v>0.99851284049754319</v>
      </c>
      <c r="FF251" s="302">
        <f t="shared" si="317"/>
        <v>0.99933108469904885</v>
      </c>
      <c r="FG251"/>
      <c r="FH251"/>
      <c r="FI251"/>
      <c r="FJ251"/>
      <c r="FK251"/>
      <c r="FL251"/>
      <c r="FM251"/>
      <c r="FN251"/>
      <c r="FO251"/>
      <c r="FP251"/>
      <c r="FQ251"/>
      <c r="FR251"/>
      <c r="FS251"/>
      <c r="FT251"/>
      <c r="FU251"/>
      <c r="FV251"/>
      <c r="FW251"/>
      <c r="FX251"/>
      <c r="FY251"/>
      <c r="FZ251"/>
      <c r="GA251"/>
      <c r="GB251"/>
      <c r="GC251"/>
      <c r="GD251"/>
      <c r="GE251"/>
      <c r="GF251"/>
      <c r="GG251"/>
      <c r="GH251"/>
    </row>
    <row r="252" spans="2:190" ht="42" customHeight="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s="137"/>
      <c r="AM252" s="137"/>
      <c r="AN252" s="146"/>
      <c r="AO252" s="146"/>
      <c r="AP252" s="146"/>
      <c r="AQ252" s="146"/>
      <c r="AR252" s="146"/>
      <c r="AS252" s="146"/>
      <c r="AT252" s="146"/>
      <c r="AU252" s="146"/>
      <c r="AV252" s="146"/>
      <c r="AW252" s="146"/>
      <c r="AX252" s="146"/>
      <c r="AY252" s="146"/>
      <c r="AZ252" s="146"/>
      <c r="BA252" s="146"/>
      <c r="BB252" s="146"/>
      <c r="BC252" s="146"/>
      <c r="BD252" s="146"/>
      <c r="BE252" s="146"/>
      <c r="BF252" s="146"/>
      <c r="BG252" s="146"/>
      <c r="BH252" s="146"/>
      <c r="BI252" s="137"/>
      <c r="BJ252" s="137"/>
      <c r="BK252" s="146"/>
      <c r="BL252" s="146"/>
      <c r="BM252" s="146"/>
      <c r="BN252" s="146"/>
      <c r="BO252" s="146"/>
      <c r="BP252" s="146"/>
      <c r="BQ252" s="146"/>
      <c r="BR252" s="146"/>
      <c r="BS252" s="146"/>
      <c r="BT252" s="146"/>
      <c r="BU252" s="146"/>
      <c r="BV252" s="146"/>
      <c r="BW252" s="146"/>
      <c r="BX252" s="146"/>
      <c r="BY252" s="146"/>
      <c r="BZ252" s="146"/>
      <c r="CA252" s="146"/>
      <c r="CB252" s="146"/>
      <c r="CC252" s="146"/>
      <c r="CD252" s="146"/>
      <c r="CE252" s="146"/>
      <c r="CF252" s="137"/>
      <c r="CG252" s="137"/>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s="785"/>
      <c r="EK252" s="420">
        <v>0</v>
      </c>
      <c r="EL252" s="302">
        <f t="shared" si="314"/>
        <v>0.99932929973906726</v>
      </c>
      <c r="EM252" s="302">
        <f t="shared" si="314"/>
        <v>0.99850794233232665</v>
      </c>
      <c r="EN252" s="302">
        <f t="shared" si="314"/>
        <v>0.99668239783965107</v>
      </c>
      <c r="EO252" s="302">
        <f t="shared" si="314"/>
        <v>0.99263152020112821</v>
      </c>
      <c r="EP252" s="302">
        <f t="shared" si="314"/>
        <v>0.98367485769368024</v>
      </c>
      <c r="EQ252" s="302">
        <f t="shared" si="314"/>
        <v>0.9640275800758169</v>
      </c>
      <c r="ER252" s="302">
        <f t="shared" si="316"/>
        <v>0.92166855440647133</v>
      </c>
      <c r="ES252" s="302">
        <f t="shared" ref="ES252:FF252" si="318">2*(1/(1+EXP(-4/0.5*(POWER(POWER((ABS(ES$241-$DK$213)),3)+POWER(ABS($DL226-$DJ$214),3),1/3))))-0.5)</f>
        <v>0.83365460701215532</v>
      </c>
      <c r="ET252" s="302">
        <f t="shared" si="318"/>
        <v>0.66403677026784913</v>
      </c>
      <c r="EU252" s="302">
        <f t="shared" si="318"/>
        <v>0.37994896225522501</v>
      </c>
      <c r="EV252" s="302">
        <f t="shared" si="318"/>
        <v>0</v>
      </c>
      <c r="EW252" s="302">
        <f t="shared" si="318"/>
        <v>0.37994896225522501</v>
      </c>
      <c r="EX252" s="302">
        <f t="shared" si="318"/>
        <v>0.66403677026784913</v>
      </c>
      <c r="EY252" s="302">
        <f t="shared" si="318"/>
        <v>0.83365460701215532</v>
      </c>
      <c r="EZ252" s="302">
        <f t="shared" si="318"/>
        <v>0.92166855440647133</v>
      </c>
      <c r="FA252" s="302">
        <f t="shared" si="318"/>
        <v>0.9640275800758169</v>
      </c>
      <c r="FB252" s="302">
        <f t="shared" si="318"/>
        <v>0.98367485769368024</v>
      </c>
      <c r="FC252" s="302">
        <f t="shared" si="318"/>
        <v>0.99263152020112821</v>
      </c>
      <c r="FD252" s="302">
        <f t="shared" si="318"/>
        <v>0.99668239783965107</v>
      </c>
      <c r="FE252" s="302">
        <f t="shared" si="318"/>
        <v>0.99850794233232665</v>
      </c>
      <c r="FF252" s="302">
        <f t="shared" si="318"/>
        <v>0.99932929973906726</v>
      </c>
      <c r="FG252"/>
      <c r="FH252"/>
      <c r="FI252"/>
      <c r="FJ252"/>
      <c r="FK252"/>
      <c r="FL252"/>
      <c r="FM252"/>
      <c r="FN252"/>
      <c r="FO252"/>
      <c r="FP252"/>
      <c r="FQ252"/>
      <c r="FR252"/>
      <c r="FS252"/>
      <c r="FT252"/>
      <c r="FU252"/>
      <c r="FV252"/>
      <c r="FW252"/>
      <c r="FX252"/>
      <c r="FY252"/>
      <c r="FZ252"/>
      <c r="GA252"/>
      <c r="GB252"/>
      <c r="GC252"/>
      <c r="GD252"/>
      <c r="GE252"/>
      <c r="GF252"/>
      <c r="GG252"/>
      <c r="GH252"/>
    </row>
    <row r="253" spans="2:190" ht="42" customHeight="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s="137"/>
      <c r="AM253" s="137"/>
      <c r="AN253" s="146"/>
      <c r="AO253" s="146"/>
      <c r="AP253" s="146"/>
      <c r="AQ253" s="146"/>
      <c r="AR253" s="146"/>
      <c r="AS253" s="146"/>
      <c r="AT253" s="146"/>
      <c r="AU253" s="146"/>
      <c r="AV253" s="146"/>
      <c r="AW253" s="146"/>
      <c r="AX253" s="146"/>
      <c r="AY253" s="146"/>
      <c r="AZ253" s="146"/>
      <c r="BA253" s="146"/>
      <c r="BB253" s="146"/>
      <c r="BC253" s="146"/>
      <c r="BD253" s="146"/>
      <c r="BE253" s="146"/>
      <c r="BF253" s="146"/>
      <c r="BG253" s="146"/>
      <c r="BH253" s="146"/>
      <c r="BI253" s="137"/>
      <c r="BJ253" s="137"/>
      <c r="BK253" s="146"/>
      <c r="BL253" s="146"/>
      <c r="BM253" s="146"/>
      <c r="BN253" s="146"/>
      <c r="BO253" s="146"/>
      <c r="BP253" s="146"/>
      <c r="BQ253" s="146"/>
      <c r="BR253" s="146"/>
      <c r="BS253" s="146"/>
      <c r="BT253" s="146"/>
      <c r="BU253" s="146"/>
      <c r="BV253" s="146"/>
      <c r="BW253" s="146"/>
      <c r="BX253" s="146"/>
      <c r="BY253" s="146"/>
      <c r="BZ253" s="146"/>
      <c r="CA253" s="146"/>
      <c r="CB253" s="146"/>
      <c r="CC253" s="146"/>
      <c r="CD253" s="146"/>
      <c r="CE253" s="146"/>
      <c r="CF253" s="137"/>
      <c r="CG253" s="137"/>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s="785"/>
      <c r="EK253" s="420">
        <v>-0.1</v>
      </c>
      <c r="EL253" s="302">
        <f t="shared" si="314"/>
        <v>0.99933108469904885</v>
      </c>
      <c r="EM253" s="302">
        <f t="shared" si="314"/>
        <v>0.99851284049754319</v>
      </c>
      <c r="EN253" s="302">
        <f t="shared" si="314"/>
        <v>0.99669616069810574</v>
      </c>
      <c r="EO253" s="302">
        <f t="shared" si="314"/>
        <v>0.99267132675449932</v>
      </c>
      <c r="EP253" s="302">
        <f t="shared" si="314"/>
        <v>0.98379417839205496</v>
      </c>
      <c r="EQ253" s="302">
        <f t="shared" si="314"/>
        <v>0.9644014633691631</v>
      </c>
      <c r="ER253" s="302">
        <f t="shared" si="316"/>
        <v>0.92290697847913838</v>
      </c>
      <c r="ES253" s="302">
        <f t="shared" ref="ES253:FF253" si="319">2*(1/(1+EXP(-4/0.5*(POWER(POWER((ABS(ES$241-$DK$213)),3)+POWER(ABS($DL227-$DJ$214),3),1/3))))-0.5)</f>
        <v>0.83806463252931285</v>
      </c>
      <c r="ET253" s="302">
        <f t="shared" si="319"/>
        <v>0.68156640415783154</v>
      </c>
      <c r="EU253" s="302">
        <f t="shared" si="319"/>
        <v>0.46523238285200885</v>
      </c>
      <c r="EV253" s="302">
        <f t="shared" si="319"/>
        <v>0.37994896225522501</v>
      </c>
      <c r="EW253" s="302">
        <f t="shared" si="319"/>
        <v>0.46523238285200885</v>
      </c>
      <c r="EX253" s="302">
        <f t="shared" si="319"/>
        <v>0.68156640415783154</v>
      </c>
      <c r="EY253" s="302">
        <f t="shared" si="319"/>
        <v>0.83806463252931285</v>
      </c>
      <c r="EZ253" s="302">
        <f t="shared" si="319"/>
        <v>0.92290697847913838</v>
      </c>
      <c r="FA253" s="302">
        <f t="shared" si="319"/>
        <v>0.9644014633691631</v>
      </c>
      <c r="FB253" s="302">
        <f t="shared" si="319"/>
        <v>0.98379417839205496</v>
      </c>
      <c r="FC253" s="302">
        <f t="shared" si="319"/>
        <v>0.99267132675449932</v>
      </c>
      <c r="FD253" s="302">
        <f t="shared" si="319"/>
        <v>0.99669616069810574</v>
      </c>
      <c r="FE253" s="302">
        <f t="shared" si="319"/>
        <v>0.99851284049754319</v>
      </c>
      <c r="FF253" s="302">
        <f t="shared" si="319"/>
        <v>0.99933108469904885</v>
      </c>
      <c r="FG253"/>
      <c r="FH253"/>
      <c r="FI253"/>
      <c r="FJ253"/>
      <c r="FK253"/>
      <c r="FL253"/>
      <c r="FM253"/>
      <c r="FN253"/>
      <c r="FO253"/>
      <c r="FP253"/>
      <c r="FQ253"/>
      <c r="FR253"/>
      <c r="FS253"/>
      <c r="FT253"/>
      <c r="FU253"/>
      <c r="FV253"/>
      <c r="FW253"/>
      <c r="FX253"/>
      <c r="FY253"/>
      <c r="FZ253"/>
      <c r="GA253"/>
      <c r="GB253"/>
      <c r="GC253"/>
      <c r="GD253"/>
      <c r="GE253"/>
      <c r="GF253"/>
      <c r="GG253"/>
      <c r="GH253"/>
    </row>
    <row r="254" spans="2:190" ht="42" customHeight="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s="137"/>
      <c r="AM254" s="137"/>
      <c r="AN254" s="146"/>
      <c r="AO254" s="146"/>
      <c r="AP254" s="146"/>
      <c r="AQ254" s="146"/>
      <c r="AR254" s="146"/>
      <c r="AS254" s="146"/>
      <c r="AT254" s="146"/>
      <c r="AU254" s="146"/>
      <c r="AV254" s="146"/>
      <c r="AW254" s="146"/>
      <c r="AX254" s="146"/>
      <c r="AY254" s="146"/>
      <c r="AZ254" s="146"/>
      <c r="BA254" s="146"/>
      <c r="BB254" s="146"/>
      <c r="BC254" s="146"/>
      <c r="BD254" s="146"/>
      <c r="BE254" s="146"/>
      <c r="BF254" s="146"/>
      <c r="BG254" s="146"/>
      <c r="BH254" s="146"/>
      <c r="BI254" s="137"/>
      <c r="BJ254" s="137"/>
      <c r="BK254" s="146"/>
      <c r="BL254" s="146"/>
      <c r="BM254" s="146"/>
      <c r="BN254" s="146"/>
      <c r="BO254" s="146"/>
      <c r="BP254" s="146"/>
      <c r="BQ254" s="146"/>
      <c r="BR254" s="146"/>
      <c r="BS254" s="146"/>
      <c r="BT254" s="146"/>
      <c r="BU254" s="146"/>
      <c r="BV254" s="146"/>
      <c r="BW254" s="146"/>
      <c r="BX254" s="146"/>
      <c r="BY254" s="146"/>
      <c r="BZ254" s="146"/>
      <c r="CA254" s="146"/>
      <c r="CB254" s="146"/>
      <c r="CC254" s="146"/>
      <c r="CD254" s="146"/>
      <c r="CE254" s="146"/>
      <c r="CF254" s="137"/>
      <c r="CG254" s="137"/>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s="785"/>
      <c r="EK254" s="420">
        <v>-0.2</v>
      </c>
      <c r="EL254" s="302">
        <f t="shared" si="314"/>
        <v>0.99934341464796717</v>
      </c>
      <c r="EM254" s="302">
        <f t="shared" si="314"/>
        <v>0.99854655909221113</v>
      </c>
      <c r="EN254" s="302">
        <f t="shared" si="314"/>
        <v>0.99679043576804505</v>
      </c>
      <c r="EO254" s="302">
        <f t="shared" si="314"/>
        <v>0.99294198423073476</v>
      </c>
      <c r="EP254" s="302">
        <f t="shared" si="314"/>
        <v>0.98459598356815636</v>
      </c>
      <c r="EQ254" s="302">
        <f t="shared" si="314"/>
        <v>0.96686398719588862</v>
      </c>
      <c r="ER254" s="302">
        <f t="shared" si="316"/>
        <v>0.93076293169836011</v>
      </c>
      <c r="ES254" s="302">
        <f t="shared" ref="ES254:FF254" si="320">2*(1/(1+EXP(-4/0.5*(POWER(POWER((ABS(ES$241-$DK$213)),3)+POWER(ABS($DL228-$DJ$214),3),1/3))))-0.5)</f>
        <v>0.86387673752670602</v>
      </c>
      <c r="ET254" s="302">
        <f t="shared" si="320"/>
        <v>0.76490732853327503</v>
      </c>
      <c r="EU254" s="302">
        <f t="shared" si="320"/>
        <v>0.68156640415783154</v>
      </c>
      <c r="EV254" s="302">
        <f t="shared" si="320"/>
        <v>0.66403677026784913</v>
      </c>
      <c r="EW254" s="302">
        <f t="shared" si="320"/>
        <v>0.68156640415783154</v>
      </c>
      <c r="EX254" s="302">
        <f t="shared" si="320"/>
        <v>0.76490732853327503</v>
      </c>
      <c r="EY254" s="302">
        <f t="shared" si="320"/>
        <v>0.86387673752670602</v>
      </c>
      <c r="EZ254" s="302">
        <f t="shared" si="320"/>
        <v>0.93076293169836011</v>
      </c>
      <c r="FA254" s="302">
        <f t="shared" si="320"/>
        <v>0.96686398719588862</v>
      </c>
      <c r="FB254" s="302">
        <f t="shared" si="320"/>
        <v>0.98459598356815636</v>
      </c>
      <c r="FC254" s="302">
        <f t="shared" si="320"/>
        <v>0.99294198423073476</v>
      </c>
      <c r="FD254" s="302">
        <f t="shared" si="320"/>
        <v>0.99679043576804505</v>
      </c>
      <c r="FE254" s="302">
        <f t="shared" si="320"/>
        <v>0.99854655909221113</v>
      </c>
      <c r="FF254" s="302">
        <f t="shared" si="320"/>
        <v>0.99934341464796717</v>
      </c>
      <c r="FG254"/>
      <c r="FH254"/>
      <c r="FI254"/>
      <c r="FJ254"/>
      <c r="FK254"/>
      <c r="FL254"/>
      <c r="FM254"/>
      <c r="FN254"/>
      <c r="FO254"/>
      <c r="FP254"/>
      <c r="FQ254"/>
      <c r="FR254"/>
      <c r="FS254"/>
      <c r="FT254"/>
      <c r="FU254"/>
      <c r="FV254"/>
      <c r="FW254"/>
      <c r="FX254"/>
      <c r="FY254"/>
      <c r="FZ254"/>
      <c r="GA254"/>
      <c r="GB254"/>
      <c r="GC254"/>
      <c r="GD254"/>
      <c r="GE254"/>
      <c r="GF254"/>
      <c r="GG254"/>
      <c r="GH254"/>
    </row>
    <row r="255" spans="2:190" ht="42" customHeight="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s="137"/>
      <c r="AM255" s="137"/>
      <c r="AN255" s="146"/>
      <c r="AO255" s="146"/>
      <c r="AP255" s="146"/>
      <c r="AQ255" s="146"/>
      <c r="AR255" s="146"/>
      <c r="AS255" s="146"/>
      <c r="AT255" s="146"/>
      <c r="AU255" s="146"/>
      <c r="AV255" s="146"/>
      <c r="AW255" s="146"/>
      <c r="AX255" s="146"/>
      <c r="AY255" s="146"/>
      <c r="AZ255" s="146"/>
      <c r="BA255" s="146"/>
      <c r="BB255" s="146"/>
      <c r="BC255" s="146"/>
      <c r="BD255" s="146"/>
      <c r="BE255" s="146"/>
      <c r="BF255" s="146"/>
      <c r="BG255" s="146"/>
      <c r="BH255" s="146"/>
      <c r="BI255" s="137"/>
      <c r="BJ255" s="137"/>
      <c r="BK255" s="146"/>
      <c r="BL255" s="146"/>
      <c r="BM255" s="146"/>
      <c r="BN255" s="146"/>
      <c r="BO255" s="146"/>
      <c r="BP255" s="146"/>
      <c r="BQ255" s="146"/>
      <c r="BR255" s="146"/>
      <c r="BS255" s="146"/>
      <c r="BT255" s="146"/>
      <c r="BU255" s="146"/>
      <c r="BV255" s="146"/>
      <c r="BW255" s="146"/>
      <c r="BX255" s="146"/>
      <c r="BY255" s="146"/>
      <c r="BZ255" s="146"/>
      <c r="CA255" s="146"/>
      <c r="CB255" s="146"/>
      <c r="CC255" s="146"/>
      <c r="CD255" s="146"/>
      <c r="CE255" s="146"/>
      <c r="CF255" s="137"/>
      <c r="CG255" s="137"/>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s="785"/>
      <c r="EK255" s="420">
        <v>-0.3</v>
      </c>
      <c r="EL255" s="302">
        <f t="shared" si="314"/>
        <v>0.99937547967119644</v>
      </c>
      <c r="EM255" s="302">
        <f t="shared" si="314"/>
        <v>0.99863329143872082</v>
      </c>
      <c r="EN255" s="302">
        <f t="shared" si="314"/>
        <v>0.99702918148105213</v>
      </c>
      <c r="EO255" s="302">
        <f t="shared" si="314"/>
        <v>0.99361175397789792</v>
      </c>
      <c r="EP255" s="302">
        <f t="shared" si="314"/>
        <v>0.98651020415010771</v>
      </c>
      <c r="EQ255" s="302">
        <f t="shared" si="314"/>
        <v>0.9724068599107285</v>
      </c>
      <c r="ER255" s="302">
        <f t="shared" si="316"/>
        <v>0.94672067410163696</v>
      </c>
      <c r="ES255" s="302">
        <f t="shared" ref="ES255:FF255" si="321">2*(1/(1+EXP(-4/0.5*(POWER(POWER((ABS(ES$241-$DK$213)),3)+POWER(ABS($DL229-$DJ$214),3),1/3))))-0.5)</f>
        <v>0.9072765777165146</v>
      </c>
      <c r="ET255" s="302">
        <f t="shared" si="321"/>
        <v>0.86387673752670602</v>
      </c>
      <c r="EU255" s="302">
        <f t="shared" si="321"/>
        <v>0.83806463252931285</v>
      </c>
      <c r="EV255" s="302">
        <f t="shared" si="321"/>
        <v>0.83365460701215532</v>
      </c>
      <c r="EW255" s="302">
        <f t="shared" si="321"/>
        <v>0.83806463252931285</v>
      </c>
      <c r="EX255" s="302">
        <f t="shared" si="321"/>
        <v>0.86387673752670602</v>
      </c>
      <c r="EY255" s="302">
        <f t="shared" si="321"/>
        <v>0.9072765777165146</v>
      </c>
      <c r="EZ255" s="302">
        <f t="shared" si="321"/>
        <v>0.94672067410163696</v>
      </c>
      <c r="FA255" s="302">
        <f t="shared" si="321"/>
        <v>0.9724068599107285</v>
      </c>
      <c r="FB255" s="302">
        <f t="shared" si="321"/>
        <v>0.98651020415010771</v>
      </c>
      <c r="FC255" s="302">
        <f t="shared" si="321"/>
        <v>0.99361175397789792</v>
      </c>
      <c r="FD255" s="302">
        <f t="shared" si="321"/>
        <v>0.99702918148105213</v>
      </c>
      <c r="FE255" s="302">
        <f t="shared" si="321"/>
        <v>0.99863329143872082</v>
      </c>
      <c r="FF255" s="302">
        <f t="shared" si="321"/>
        <v>0.99937547967119644</v>
      </c>
      <c r="FG255"/>
      <c r="FH255"/>
      <c r="FI255"/>
      <c r="FJ255"/>
      <c r="FK255"/>
      <c r="FL255"/>
      <c r="FM255"/>
      <c r="FN255"/>
      <c r="FO255"/>
      <c r="FP255"/>
      <c r="FQ255"/>
      <c r="FR255"/>
      <c r="FS255"/>
      <c r="FT255"/>
      <c r="FU255"/>
      <c r="FV255"/>
      <c r="FW255"/>
      <c r="FX255"/>
      <c r="FY255"/>
      <c r="FZ255"/>
      <c r="GA255"/>
      <c r="GB255"/>
      <c r="GC255"/>
      <c r="GD255"/>
      <c r="GE255"/>
      <c r="GF255"/>
      <c r="GG255"/>
      <c r="GH255"/>
    </row>
    <row r="256" spans="2:190" ht="42" customHeight="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s="137"/>
      <c r="AM256" s="137"/>
      <c r="AN256" s="146"/>
      <c r="AO256" s="146"/>
      <c r="AP256" s="146"/>
      <c r="AQ256" s="146"/>
      <c r="AR256" s="146"/>
      <c r="AS256" s="146"/>
      <c r="AT256" s="146"/>
      <c r="AU256" s="146"/>
      <c r="AV256" s="146"/>
      <c r="AW256" s="146"/>
      <c r="AX256" s="146"/>
      <c r="AY256" s="146"/>
      <c r="AZ256" s="146"/>
      <c r="BA256" s="146"/>
      <c r="BB256" s="146"/>
      <c r="BC256" s="146"/>
      <c r="BD256" s="146"/>
      <c r="BE256" s="146"/>
      <c r="BF256" s="146"/>
      <c r="BG256" s="146"/>
      <c r="BH256" s="146"/>
      <c r="BI256" s="137"/>
      <c r="BJ256" s="137"/>
      <c r="BK256" s="146"/>
      <c r="BL256" s="146"/>
      <c r="BM256" s="146"/>
      <c r="BN256" s="146"/>
      <c r="BO256" s="146"/>
      <c r="BP256" s="146"/>
      <c r="BQ256" s="146"/>
      <c r="BR256" s="146"/>
      <c r="BS256" s="146"/>
      <c r="BT256" s="146"/>
      <c r="BU256" s="146"/>
      <c r="BV256" s="146"/>
      <c r="BW256" s="146"/>
      <c r="BX256" s="146"/>
      <c r="BY256" s="146"/>
      <c r="BZ256" s="146"/>
      <c r="CA256" s="146"/>
      <c r="CB256" s="146"/>
      <c r="CC256" s="146"/>
      <c r="CD256" s="146"/>
      <c r="CE256" s="146"/>
      <c r="CF256" s="137"/>
      <c r="CG256" s="137"/>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s="785"/>
      <c r="EK256" s="420">
        <v>-0.4</v>
      </c>
      <c r="EL256" s="302">
        <f t="shared" si="314"/>
        <v>0.99943250950642137</v>
      </c>
      <c r="EM256" s="302">
        <f t="shared" si="314"/>
        <v>0.99878410986518129</v>
      </c>
      <c r="EN256" s="302">
        <f t="shared" si="314"/>
        <v>0.99743143053470296</v>
      </c>
      <c r="EO256" s="302">
        <f t="shared" si="314"/>
        <v>0.99468991500439352</v>
      </c>
      <c r="EP256" s="302">
        <f t="shared" si="314"/>
        <v>0.98938915261775984</v>
      </c>
      <c r="EQ256" s="302">
        <f t="shared" si="314"/>
        <v>0.97991895466052159</v>
      </c>
      <c r="ER256" s="302">
        <f t="shared" si="316"/>
        <v>0.96513207417968316</v>
      </c>
      <c r="ES256" s="302">
        <f t="shared" ref="ES256:FF256" si="322">2*(1/(1+EXP(-4/0.5*(POWER(POWER((ABS(ES$241-$DK$213)),3)+POWER(ABS($DL230-$DJ$214),3),1/3))))-0.5)</f>
        <v>0.94672067410163696</v>
      </c>
      <c r="ET256" s="302">
        <f t="shared" si="322"/>
        <v>0.93076293169836011</v>
      </c>
      <c r="EU256" s="302">
        <f t="shared" si="322"/>
        <v>0.92290697847913838</v>
      </c>
      <c r="EV256" s="302">
        <f t="shared" si="322"/>
        <v>0.92166855440647133</v>
      </c>
      <c r="EW256" s="302">
        <f t="shared" si="322"/>
        <v>0.92290697847913838</v>
      </c>
      <c r="EX256" s="302">
        <f t="shared" si="322"/>
        <v>0.93076293169836011</v>
      </c>
      <c r="EY256" s="302">
        <f t="shared" si="322"/>
        <v>0.94672067410163696</v>
      </c>
      <c r="EZ256" s="302">
        <f t="shared" si="322"/>
        <v>0.96513207417968316</v>
      </c>
      <c r="FA256" s="302">
        <f t="shared" si="322"/>
        <v>0.97991895466052159</v>
      </c>
      <c r="FB256" s="302">
        <f t="shared" si="322"/>
        <v>0.98938915261775984</v>
      </c>
      <c r="FC256" s="302">
        <f t="shared" si="322"/>
        <v>0.99468991500439352</v>
      </c>
      <c r="FD256" s="302">
        <f t="shared" si="322"/>
        <v>0.99743143053470296</v>
      </c>
      <c r="FE256" s="302">
        <f t="shared" si="322"/>
        <v>0.99878410986518129</v>
      </c>
      <c r="FF256" s="302">
        <f t="shared" si="322"/>
        <v>0.99943250950642137</v>
      </c>
      <c r="FG256"/>
      <c r="FH256"/>
      <c r="FI256"/>
      <c r="FJ256"/>
      <c r="FK256"/>
      <c r="FL256"/>
      <c r="FM256"/>
      <c r="FN256"/>
      <c r="FO256"/>
      <c r="FP256"/>
      <c r="FQ256"/>
      <c r="FR256"/>
      <c r="FS256"/>
      <c r="FT256"/>
      <c r="FU256"/>
      <c r="FV256"/>
      <c r="FW256"/>
      <c r="FX256"/>
      <c r="FY256"/>
      <c r="FZ256"/>
      <c r="GA256"/>
      <c r="GB256"/>
      <c r="GC256"/>
      <c r="GD256"/>
      <c r="GE256"/>
      <c r="GF256"/>
      <c r="GG256"/>
      <c r="GH256"/>
    </row>
    <row r="257" spans="2:190" ht="42" customHeight="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s="137"/>
      <c r="AM257" s="137"/>
      <c r="AN257" s="146"/>
      <c r="AO257" s="146"/>
      <c r="AP257" s="146"/>
      <c r="AQ257" s="146"/>
      <c r="AR257" s="146"/>
      <c r="AS257" s="146"/>
      <c r="AT257" s="146"/>
      <c r="AU257" s="146"/>
      <c r="AV257" s="146"/>
      <c r="AW257" s="146"/>
      <c r="AX257" s="146"/>
      <c r="AY257" s="146"/>
      <c r="AZ257" s="146"/>
      <c r="BA257" s="146"/>
      <c r="BB257" s="146"/>
      <c r="BC257" s="146"/>
      <c r="BD257" s="146"/>
      <c r="BE257" s="146"/>
      <c r="BF257" s="146"/>
      <c r="BG257" s="146"/>
      <c r="BH257" s="146"/>
      <c r="BI257" s="137"/>
      <c r="BJ257" s="137"/>
      <c r="BK257" s="146"/>
      <c r="BL257" s="146"/>
      <c r="BM257" s="146"/>
      <c r="BN257" s="146"/>
      <c r="BO257" s="146"/>
      <c r="BP257" s="146"/>
      <c r="BQ257" s="146"/>
      <c r="BR257" s="146"/>
      <c r="BS257" s="146"/>
      <c r="BT257" s="146"/>
      <c r="BU257" s="146"/>
      <c r="BV257" s="146"/>
      <c r="BW257" s="146"/>
      <c r="BX257" s="146"/>
      <c r="BY257" s="146"/>
      <c r="BZ257" s="146"/>
      <c r="CA257" s="146"/>
      <c r="CB257" s="146"/>
      <c r="CC257" s="146"/>
      <c r="CD257" s="146"/>
      <c r="CE257" s="146"/>
      <c r="CF257" s="137"/>
      <c r="CG257" s="13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s="785"/>
      <c r="EK257" s="420">
        <v>-0.5</v>
      </c>
      <c r="EL257" s="302">
        <f t="shared" si="314"/>
        <v>0.99951309016521694</v>
      </c>
      <c r="EM257" s="302">
        <f t="shared" si="314"/>
        <v>0.99898956338802281</v>
      </c>
      <c r="EN257" s="302">
        <f t="shared" si="314"/>
        <v>0.9979527931074117</v>
      </c>
      <c r="EO257" s="302">
        <f t="shared" si="314"/>
        <v>0.99599417849651894</v>
      </c>
      <c r="EP257" s="302">
        <f t="shared" si="314"/>
        <v>0.99255102383055749</v>
      </c>
      <c r="EQ257" s="302">
        <f t="shared" si="314"/>
        <v>0.9871317460424347</v>
      </c>
      <c r="ER257" s="302">
        <f t="shared" si="316"/>
        <v>0.97991895466052159</v>
      </c>
      <c r="ES257" s="302">
        <f t="shared" ref="ES257:FF257" si="323">2*(1/(1+EXP(-4/0.5*(POWER(POWER((ABS(ES$241-$DK$213)),3)+POWER(ABS($DL231-$DJ$214),3),1/3))))-0.5)</f>
        <v>0.9724068599107285</v>
      </c>
      <c r="ET257" s="302">
        <f t="shared" si="323"/>
        <v>0.96686398719588862</v>
      </c>
      <c r="EU257" s="302">
        <f t="shared" si="323"/>
        <v>0.9644014633691631</v>
      </c>
      <c r="EV257" s="302">
        <f t="shared" si="323"/>
        <v>0.9640275800758169</v>
      </c>
      <c r="EW257" s="302">
        <f t="shared" si="323"/>
        <v>0.9644014633691631</v>
      </c>
      <c r="EX257" s="302">
        <f t="shared" si="323"/>
        <v>0.96686398719588862</v>
      </c>
      <c r="EY257" s="302">
        <f t="shared" si="323"/>
        <v>0.9724068599107285</v>
      </c>
      <c r="EZ257" s="302">
        <f t="shared" si="323"/>
        <v>0.97991895466052159</v>
      </c>
      <c r="FA257" s="302">
        <f t="shared" si="323"/>
        <v>0.9871317460424347</v>
      </c>
      <c r="FB257" s="302">
        <f t="shared" si="323"/>
        <v>0.99255102383055749</v>
      </c>
      <c r="FC257" s="302">
        <f t="shared" si="323"/>
        <v>0.99599417849651894</v>
      </c>
      <c r="FD257" s="302">
        <f t="shared" si="323"/>
        <v>0.9979527931074117</v>
      </c>
      <c r="FE257" s="302">
        <f t="shared" si="323"/>
        <v>0.99898956338802281</v>
      </c>
      <c r="FF257" s="302">
        <f t="shared" si="323"/>
        <v>0.99951309016521694</v>
      </c>
      <c r="FG257"/>
      <c r="FH257"/>
      <c r="FI257"/>
      <c r="FJ257"/>
      <c r="FK257"/>
      <c r="FL257"/>
      <c r="FM257"/>
      <c r="FN257"/>
      <c r="FO257"/>
      <c r="FP257"/>
      <c r="FQ257"/>
      <c r="FR257"/>
      <c r="FS257"/>
      <c r="FT257"/>
      <c r="FU257"/>
      <c r="FV257"/>
      <c r="FW257"/>
      <c r="FX257"/>
      <c r="FY257"/>
      <c r="FZ257"/>
      <c r="GA257"/>
      <c r="GB257"/>
      <c r="GC257"/>
      <c r="GD257"/>
      <c r="GE257"/>
      <c r="GF257"/>
      <c r="GG257"/>
      <c r="GH257"/>
    </row>
    <row r="258" spans="2:190" ht="42" customHeight="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s="137"/>
      <c r="AM258" s="137"/>
      <c r="AN258" s="146"/>
      <c r="AO258" s="146"/>
      <c r="AP258" s="146"/>
      <c r="AQ258" s="146"/>
      <c r="AR258" s="146"/>
      <c r="AS258" s="146"/>
      <c r="AT258" s="146"/>
      <c r="AU258" s="146"/>
      <c r="AV258" s="146"/>
      <c r="AW258" s="146"/>
      <c r="AX258" s="146"/>
      <c r="AY258" s="146"/>
      <c r="AZ258" s="146"/>
      <c r="BA258" s="146"/>
      <c r="BB258" s="146"/>
      <c r="BC258" s="146"/>
      <c r="BD258" s="146"/>
      <c r="BE258" s="146"/>
      <c r="BF258" s="146"/>
      <c r="BG258" s="146"/>
      <c r="BH258" s="146"/>
      <c r="BI258" s="137"/>
      <c r="BJ258" s="137"/>
      <c r="BK258" s="146"/>
      <c r="BL258" s="146"/>
      <c r="BM258" s="146"/>
      <c r="BN258" s="146"/>
      <c r="BO258" s="146"/>
      <c r="BP258" s="146"/>
      <c r="BQ258" s="146"/>
      <c r="BR258" s="146"/>
      <c r="BS258" s="146"/>
      <c r="BT258" s="146"/>
      <c r="BU258" s="146"/>
      <c r="BV258" s="146"/>
      <c r="BW258" s="146"/>
      <c r="BX258" s="146"/>
      <c r="BY258" s="146"/>
      <c r="BZ258" s="146"/>
      <c r="CA258" s="146"/>
      <c r="CB258" s="146"/>
      <c r="CC258" s="146"/>
      <c r="CD258" s="146"/>
      <c r="CE258" s="146"/>
      <c r="CF258" s="137"/>
      <c r="CG258" s="137"/>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s="785"/>
      <c r="EK258" s="420">
        <v>-0.6</v>
      </c>
      <c r="EL258" s="302">
        <f t="shared" si="314"/>
        <v>0.99960865998978066</v>
      </c>
      <c r="EM258" s="302">
        <f t="shared" si="314"/>
        <v>0.99922123515243122</v>
      </c>
      <c r="EN258" s="302">
        <f t="shared" si="314"/>
        <v>0.99850302354286713</v>
      </c>
      <c r="EO258" s="302">
        <f t="shared" si="314"/>
        <v>0.99725604466492324</v>
      </c>
      <c r="EP258" s="302">
        <f t="shared" si="314"/>
        <v>0.99528418982438516</v>
      </c>
      <c r="EQ258" s="302">
        <f t="shared" si="314"/>
        <v>0.99255102383055749</v>
      </c>
      <c r="ER258" s="302">
        <f t="shared" si="316"/>
        <v>0.98938915261775984</v>
      </c>
      <c r="ES258" s="302">
        <f t="shared" ref="ES258:FF258" si="324">2*(1/(1+EXP(-4/0.5*(POWER(POWER((ABS(ES$241-$DK$213)),3)+POWER(ABS($DL232-$DJ$214),3),1/3))))-0.5)</f>
        <v>0.98651020415010771</v>
      </c>
      <c r="ET258" s="302">
        <f t="shared" si="324"/>
        <v>0.98459598356815636</v>
      </c>
      <c r="EU258" s="302">
        <f t="shared" si="324"/>
        <v>0.98379417839205496</v>
      </c>
      <c r="EV258" s="302">
        <f t="shared" si="324"/>
        <v>0.98367485769368024</v>
      </c>
      <c r="EW258" s="302">
        <f t="shared" si="324"/>
        <v>0.98379417839205496</v>
      </c>
      <c r="EX258" s="302">
        <f t="shared" si="324"/>
        <v>0.98459598356815636</v>
      </c>
      <c r="EY258" s="302">
        <f t="shared" si="324"/>
        <v>0.98651020415010771</v>
      </c>
      <c r="EZ258" s="302">
        <f t="shared" si="324"/>
        <v>0.98938915261775984</v>
      </c>
      <c r="FA258" s="302">
        <f t="shared" si="324"/>
        <v>0.99255102383055749</v>
      </c>
      <c r="FB258" s="302">
        <f t="shared" si="324"/>
        <v>0.99528418982438516</v>
      </c>
      <c r="FC258" s="302">
        <f t="shared" si="324"/>
        <v>0.99725604466492324</v>
      </c>
      <c r="FD258" s="302">
        <f t="shared" si="324"/>
        <v>0.99850302354286713</v>
      </c>
      <c r="FE258" s="302">
        <f t="shared" si="324"/>
        <v>0.99922123515243122</v>
      </c>
      <c r="FF258" s="302">
        <f t="shared" si="324"/>
        <v>0.99960865998978066</v>
      </c>
      <c r="FG258"/>
      <c r="FH258"/>
      <c r="FI258"/>
      <c r="FJ258"/>
      <c r="FK258"/>
      <c r="FL258"/>
      <c r="FM258"/>
      <c r="FN258"/>
      <c r="FO258"/>
      <c r="FP258"/>
      <c r="FQ258"/>
      <c r="FR258"/>
      <c r="FS258"/>
      <c r="FT258"/>
      <c r="FU258"/>
      <c r="FV258"/>
      <c r="FW258"/>
      <c r="FX258"/>
      <c r="FY258"/>
      <c r="FZ258"/>
      <c r="GA258"/>
      <c r="GB258"/>
      <c r="GC258"/>
      <c r="GD258"/>
      <c r="GE258"/>
      <c r="GF258"/>
      <c r="GG258"/>
      <c r="GH258"/>
    </row>
    <row r="259" spans="2:190" ht="42" customHeight="1">
      <c r="B259"/>
      <c r="C259"/>
      <c r="D259"/>
      <c r="E259"/>
      <c r="F259"/>
      <c r="G259" s="41"/>
      <c r="H259" s="41"/>
      <c r="I259" s="41"/>
      <c r="J259" s="41"/>
      <c r="K259" s="41"/>
      <c r="L259" s="41"/>
      <c r="M259" s="41"/>
      <c r="N259" s="41"/>
      <c r="O259" s="41"/>
      <c r="P259" s="41"/>
      <c r="Q259" s="41"/>
      <c r="R259" s="41"/>
      <c r="S259" s="41"/>
      <c r="T259" s="41"/>
      <c r="U259" s="41"/>
      <c r="V259" s="41"/>
      <c r="W259" s="41"/>
      <c r="X259" s="41"/>
      <c r="Y259" s="41"/>
      <c r="Z259" s="41"/>
      <c r="AA259" s="41"/>
      <c r="AB259"/>
      <c r="AC259"/>
      <c r="AD259" s="41"/>
      <c r="AE259" s="41"/>
      <c r="AF259" s="41"/>
      <c r="AG259" s="41"/>
      <c r="AH259" s="41"/>
      <c r="AI259" s="41"/>
      <c r="AJ259" s="41"/>
      <c r="AK259" s="41"/>
      <c r="AL259" s="146"/>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c r="BZ259" s="137"/>
      <c r="CA259" s="137"/>
      <c r="CB259" s="137"/>
      <c r="CC259" s="137"/>
      <c r="CD259" s="137"/>
      <c r="CE259" s="137"/>
      <c r="CF259" s="137"/>
      <c r="CG259" s="137"/>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s="785"/>
      <c r="EK259" s="420">
        <v>-0.7</v>
      </c>
      <c r="EL259" s="302">
        <f t="shared" si="314"/>
        <v>0.99970642188906589</v>
      </c>
      <c r="EM259" s="302">
        <f t="shared" si="314"/>
        <v>0.99944397582544253</v>
      </c>
      <c r="EN259" s="302">
        <f t="shared" si="314"/>
        <v>0.9989925497428358</v>
      </c>
      <c r="EO259" s="302">
        <f t="shared" si="314"/>
        <v>0.99827628412912439</v>
      </c>
      <c r="EP259" s="302">
        <f t="shared" si="314"/>
        <v>0.99725604466492324</v>
      </c>
      <c r="EQ259" s="302">
        <f t="shared" si="314"/>
        <v>0.99599417849651894</v>
      </c>
      <c r="ER259" s="302">
        <f t="shared" si="316"/>
        <v>0.99468991500439352</v>
      </c>
      <c r="ES259" s="302">
        <f t="shared" ref="ES259:FF259" si="325">2*(1/(1+EXP(-4/0.5*(POWER(POWER((ABS(ES$241-$DK$213)),3)+POWER(ABS($DL233-$DJ$214),3),1/3))))-0.5)</f>
        <v>0.99361175397789792</v>
      </c>
      <c r="ET259" s="302">
        <f t="shared" si="325"/>
        <v>0.99294198423073476</v>
      </c>
      <c r="EU259" s="302">
        <f t="shared" si="325"/>
        <v>0.99267132675449932</v>
      </c>
      <c r="EV259" s="302">
        <f t="shared" si="325"/>
        <v>0.99263152020112821</v>
      </c>
      <c r="EW259" s="302">
        <f t="shared" si="325"/>
        <v>0.99267132675449932</v>
      </c>
      <c r="EX259" s="302">
        <f t="shared" si="325"/>
        <v>0.99294198423073476</v>
      </c>
      <c r="EY259" s="302">
        <f t="shared" si="325"/>
        <v>0.99361175397789792</v>
      </c>
      <c r="EZ259" s="302">
        <f t="shared" si="325"/>
        <v>0.99468991500439352</v>
      </c>
      <c r="FA259" s="302">
        <f t="shared" si="325"/>
        <v>0.99599417849651894</v>
      </c>
      <c r="FB259" s="302">
        <f t="shared" si="325"/>
        <v>0.99725604466492324</v>
      </c>
      <c r="FC259" s="302">
        <f t="shared" si="325"/>
        <v>0.99827628412912439</v>
      </c>
      <c r="FD259" s="302">
        <f t="shared" si="325"/>
        <v>0.9989925497428358</v>
      </c>
      <c r="FE259" s="302">
        <f t="shared" si="325"/>
        <v>0.99944397582544253</v>
      </c>
      <c r="FF259" s="302">
        <f t="shared" si="325"/>
        <v>0.99970642188906589</v>
      </c>
      <c r="FG259"/>
      <c r="FH259"/>
      <c r="FI259"/>
      <c r="FJ259"/>
      <c r="FK259"/>
      <c r="FL259"/>
      <c r="FM259"/>
      <c r="FN259"/>
      <c r="FO259"/>
      <c r="FP259"/>
      <c r="FQ259"/>
      <c r="FR259"/>
      <c r="FS259"/>
      <c r="FT259"/>
      <c r="FU259"/>
      <c r="FV259"/>
      <c r="FW259"/>
      <c r="FX259"/>
      <c r="FY259"/>
      <c r="FZ259"/>
      <c r="GA259"/>
      <c r="GB259"/>
      <c r="GC259"/>
      <c r="GD259"/>
      <c r="GE259"/>
      <c r="GF259"/>
      <c r="GG259"/>
      <c r="GH259"/>
    </row>
    <row r="260" spans="2:190" ht="42" customHeight="1">
      <c r="B260"/>
      <c r="C260"/>
      <c r="D260"/>
      <c r="E260"/>
      <c r="F260"/>
      <c r="G260" s="41"/>
      <c r="H260" s="41"/>
      <c r="I260" s="41"/>
      <c r="J260" s="41"/>
      <c r="K260" s="41"/>
      <c r="L260" s="41"/>
      <c r="M260" s="41"/>
      <c r="N260" s="41"/>
      <c r="O260" s="41"/>
      <c r="P260" s="41"/>
      <c r="Q260" s="41"/>
      <c r="R260" s="41"/>
      <c r="S260" s="41"/>
      <c r="T260" s="41"/>
      <c r="U260" s="41"/>
      <c r="V260" s="41"/>
      <c r="W260" s="41"/>
      <c r="X260" s="41"/>
      <c r="Y260" s="41"/>
      <c r="Z260" s="41"/>
      <c r="AA260" s="41"/>
      <c r="AB260"/>
      <c r="AC260"/>
      <c r="AD260" s="41"/>
      <c r="AE260" s="41"/>
      <c r="AF260" s="41"/>
      <c r="AG260" s="41"/>
      <c r="AH260" s="41"/>
      <c r="AI260" s="41"/>
      <c r="AJ260" s="41"/>
      <c r="AK260" s="41"/>
      <c r="AL260" s="146"/>
      <c r="AM260" s="137"/>
      <c r="AN260" s="137"/>
      <c r="AO260" s="146"/>
      <c r="AP260" s="146"/>
      <c r="AQ260" s="146"/>
      <c r="AR260" s="146"/>
      <c r="AS260" s="146"/>
      <c r="AT260" s="146"/>
      <c r="AU260" s="146"/>
      <c r="AV260" s="146"/>
      <c r="AW260" s="146"/>
      <c r="AX260" s="146"/>
      <c r="AY260" s="146"/>
      <c r="AZ260" s="146"/>
      <c r="BA260" s="146"/>
      <c r="BB260" s="146"/>
      <c r="BC260" s="146"/>
      <c r="BD260" s="146"/>
      <c r="BE260" s="146"/>
      <c r="BF260" s="146"/>
      <c r="BG260" s="146"/>
      <c r="BH260" s="146"/>
      <c r="BI260" s="146"/>
      <c r="BJ260" s="146"/>
      <c r="BK260" s="146"/>
      <c r="BL260" s="146"/>
      <c r="BM260" s="146"/>
      <c r="BN260" s="146"/>
      <c r="BO260" s="146"/>
      <c r="BP260" s="146"/>
      <c r="BQ260" s="146"/>
      <c r="BR260" s="146"/>
      <c r="BS260" s="146"/>
      <c r="BT260" s="137"/>
      <c r="BU260" s="137"/>
      <c r="BV260" s="137"/>
      <c r="BW260" s="137"/>
      <c r="BX260" s="137"/>
      <c r="BY260" s="137"/>
      <c r="BZ260" s="137"/>
      <c r="CA260" s="137"/>
      <c r="CB260" s="137"/>
      <c r="CC260" s="137"/>
      <c r="CD260" s="137"/>
      <c r="CE260" s="137"/>
      <c r="CF260" s="137"/>
      <c r="CG260" s="137"/>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s="785"/>
      <c r="EK260" s="420">
        <v>-0.8</v>
      </c>
      <c r="EL260" s="302">
        <f t="shared" si="314"/>
        <v>0.99979428634056511</v>
      </c>
      <c r="EM260" s="302">
        <f t="shared" si="314"/>
        <v>0.99963075264863011</v>
      </c>
      <c r="EN260" s="302">
        <f t="shared" si="314"/>
        <v>0.99937054885321963</v>
      </c>
      <c r="EO260" s="302">
        <f t="shared" si="314"/>
        <v>0.9989925497428358</v>
      </c>
      <c r="EP260" s="302">
        <f t="shared" si="314"/>
        <v>0.99850302354286713</v>
      </c>
      <c r="EQ260" s="302">
        <f t="shared" si="314"/>
        <v>0.9979527931074117</v>
      </c>
      <c r="ER260" s="302">
        <f t="shared" si="316"/>
        <v>0.99743143053470296</v>
      </c>
      <c r="ES260" s="302">
        <f t="shared" ref="ES260:FF260" si="326">2*(1/(1+EXP(-4/0.5*(POWER(POWER((ABS(ES$241-$DK$213)),3)+POWER(ABS($DL234-$DJ$214),3),1/3))))-0.5)</f>
        <v>0.99702918148105213</v>
      </c>
      <c r="ET260" s="302">
        <f t="shared" si="326"/>
        <v>0.99679043576804505</v>
      </c>
      <c r="EU260" s="302">
        <f t="shared" si="326"/>
        <v>0.99669616069810574</v>
      </c>
      <c r="EV260" s="302">
        <f t="shared" si="326"/>
        <v>0.99668239783965107</v>
      </c>
      <c r="EW260" s="302">
        <f t="shared" si="326"/>
        <v>0.99669616069810574</v>
      </c>
      <c r="EX260" s="302">
        <f t="shared" si="326"/>
        <v>0.99679043576804505</v>
      </c>
      <c r="EY260" s="302">
        <f t="shared" si="326"/>
        <v>0.99702918148105213</v>
      </c>
      <c r="EZ260" s="302">
        <f t="shared" si="326"/>
        <v>0.99743143053470296</v>
      </c>
      <c r="FA260" s="302">
        <f t="shared" si="326"/>
        <v>0.9979527931074117</v>
      </c>
      <c r="FB260" s="302">
        <f t="shared" si="326"/>
        <v>0.99850302354286713</v>
      </c>
      <c r="FC260" s="302">
        <f t="shared" si="326"/>
        <v>0.9989925497428358</v>
      </c>
      <c r="FD260" s="302">
        <f t="shared" si="326"/>
        <v>0.99937054885321963</v>
      </c>
      <c r="FE260" s="302">
        <f t="shared" si="326"/>
        <v>0.99963075264863011</v>
      </c>
      <c r="FF260" s="302">
        <f t="shared" si="326"/>
        <v>0.99979428634056511</v>
      </c>
      <c r="FG260"/>
      <c r="FH260"/>
      <c r="FI260"/>
      <c r="FJ260"/>
      <c r="FK260"/>
      <c r="FL260"/>
      <c r="FM260"/>
      <c r="FN260"/>
      <c r="FO260"/>
      <c r="FP260"/>
      <c r="FQ260"/>
      <c r="FR260"/>
      <c r="FS260"/>
      <c r="FT260"/>
      <c r="FU260"/>
      <c r="FV260"/>
      <c r="FW260"/>
      <c r="FX260"/>
      <c r="FY260"/>
      <c r="FZ260"/>
      <c r="GA260"/>
      <c r="GB260"/>
      <c r="GC260"/>
      <c r="GD260"/>
      <c r="GE260"/>
      <c r="GF260"/>
      <c r="GG260"/>
      <c r="GH260"/>
    </row>
    <row r="261" spans="2:190" ht="42" customHeight="1">
      <c r="B261"/>
      <c r="C261"/>
      <c r="D261"/>
      <c r="E261"/>
      <c r="F261"/>
      <c r="G261" s="41"/>
      <c r="H261" s="41"/>
      <c r="I261" s="41"/>
      <c r="J261" s="41"/>
      <c r="K261" s="41"/>
      <c r="L261" s="41"/>
      <c r="M261" s="41"/>
      <c r="N261" s="41"/>
      <c r="O261" s="41"/>
      <c r="P261" s="41"/>
      <c r="Q261" s="41"/>
      <c r="R261" s="41"/>
      <c r="S261" s="41"/>
      <c r="T261" s="41"/>
      <c r="U261" s="41"/>
      <c r="V261" s="41"/>
      <c r="W261" s="41"/>
      <c r="X261" s="41"/>
      <c r="Y261" s="41"/>
      <c r="Z261" s="41"/>
      <c r="AA261" s="41"/>
      <c r="AB261"/>
      <c r="AC261"/>
      <c r="AD261" s="41"/>
      <c r="AE261" s="41"/>
      <c r="AF261" s="41"/>
      <c r="AG261" s="41"/>
      <c r="AH261" s="41"/>
      <c r="AI261" s="41"/>
      <c r="AJ261" s="41"/>
      <c r="AK261" s="41"/>
      <c r="AL261" s="146"/>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s="785"/>
      <c r="EK261" s="420">
        <v>-0.9</v>
      </c>
      <c r="EL261" s="302">
        <f t="shared" si="314"/>
        <v>0.99986480223361984</v>
      </c>
      <c r="EM261" s="302">
        <f t="shared" si="314"/>
        <v>0.99977022253801517</v>
      </c>
      <c r="EN261" s="302">
        <f t="shared" si="314"/>
        <v>0.99963075264863011</v>
      </c>
      <c r="EO261" s="302">
        <f t="shared" si="314"/>
        <v>0.99944397582544253</v>
      </c>
      <c r="EP261" s="302">
        <f t="shared" si="314"/>
        <v>0.99922123515243122</v>
      </c>
      <c r="EQ261" s="302">
        <f t="shared" si="314"/>
        <v>0.99898956338802281</v>
      </c>
      <c r="ER261" s="302">
        <f t="shared" si="316"/>
        <v>0.99878410986518129</v>
      </c>
      <c r="ES261" s="302">
        <f t="shared" ref="ES261:FF261" si="327">2*(1/(1+EXP(-4/0.5*(POWER(POWER((ABS(ES$241-$DK$213)),3)+POWER(ABS($DL235-$DJ$214),3),1/3))))-0.5)</f>
        <v>0.99863329143872082</v>
      </c>
      <c r="ET261" s="302">
        <f t="shared" si="327"/>
        <v>0.99854655909221113</v>
      </c>
      <c r="EU261" s="302">
        <f t="shared" si="327"/>
        <v>0.99851284049754319</v>
      </c>
      <c r="EV261" s="302">
        <f t="shared" si="327"/>
        <v>0.99850794233232665</v>
      </c>
      <c r="EW261" s="302">
        <f t="shared" si="327"/>
        <v>0.99851284049754319</v>
      </c>
      <c r="EX261" s="302">
        <f t="shared" si="327"/>
        <v>0.99854655909221113</v>
      </c>
      <c r="EY261" s="302">
        <f t="shared" si="327"/>
        <v>0.99863329143872082</v>
      </c>
      <c r="EZ261" s="302">
        <f t="shared" si="327"/>
        <v>0.99878410986518129</v>
      </c>
      <c r="FA261" s="302">
        <f t="shared" si="327"/>
        <v>0.99898956338802281</v>
      </c>
      <c r="FB261" s="302">
        <f t="shared" si="327"/>
        <v>0.99922123515243122</v>
      </c>
      <c r="FC261" s="302">
        <f t="shared" si="327"/>
        <v>0.99944397582544253</v>
      </c>
      <c r="FD261" s="302">
        <f t="shared" si="327"/>
        <v>0.99963075264863011</v>
      </c>
      <c r="FE261" s="302">
        <f t="shared" si="327"/>
        <v>0.99977022253801517</v>
      </c>
      <c r="FF261" s="302">
        <f t="shared" si="327"/>
        <v>0.99986480223361984</v>
      </c>
      <c r="FG261"/>
      <c r="FH261"/>
      <c r="FI261"/>
      <c r="FJ261"/>
      <c r="FK261"/>
      <c r="FL261"/>
      <c r="FM261"/>
      <c r="FN261"/>
      <c r="FO261"/>
      <c r="FP261"/>
      <c r="FQ261"/>
      <c r="FR261"/>
      <c r="FS261"/>
      <c r="FT261"/>
      <c r="FU261"/>
      <c r="FV261"/>
      <c r="FW261"/>
      <c r="FX261"/>
      <c r="FY261"/>
      <c r="FZ261"/>
      <c r="GA261"/>
      <c r="GB261"/>
      <c r="GC261"/>
      <c r="GD261"/>
      <c r="GE261"/>
      <c r="GF261"/>
      <c r="GG261"/>
      <c r="GH261"/>
    </row>
    <row r="262" spans="2:190" ht="42" customHeight="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s="137"/>
      <c r="AM262" s="137"/>
      <c r="AN262" s="137"/>
      <c r="AO262" s="146"/>
      <c r="AP262" s="146"/>
      <c r="AQ262" s="146"/>
      <c r="AR262" s="146"/>
      <c r="AS262" s="146"/>
      <c r="AT262" s="146"/>
      <c r="AU262" s="146"/>
      <c r="AV262" s="146"/>
      <c r="AW262" s="146"/>
      <c r="AX262" s="146"/>
      <c r="AY262" s="146"/>
      <c r="AZ262" s="146"/>
      <c r="BA262" s="146"/>
      <c r="BB262" s="146"/>
      <c r="BC262" s="146"/>
      <c r="BD262" s="146"/>
      <c r="BE262" s="146"/>
      <c r="BF262" s="146"/>
      <c r="BG262" s="146"/>
      <c r="BH262" s="146"/>
      <c r="BI262" s="146"/>
      <c r="BJ262" s="146"/>
      <c r="BK262" s="146"/>
      <c r="BL262" s="146"/>
      <c r="BM262" s="146"/>
      <c r="BN262" s="146"/>
      <c r="BO262" s="146"/>
      <c r="BP262" s="146"/>
      <c r="BQ262" s="146"/>
      <c r="BR262" s="146"/>
      <c r="BS262" s="146"/>
      <c r="BT262" s="137"/>
      <c r="BU262" s="137"/>
      <c r="BV262" s="137"/>
      <c r="BW262" s="137"/>
      <c r="BX262" s="137"/>
      <c r="BY262" s="137"/>
      <c r="BZ262" s="137"/>
      <c r="CA262" s="137"/>
      <c r="CB262" s="137"/>
      <c r="CC262" s="137"/>
      <c r="CD262" s="137"/>
      <c r="CE262" s="137"/>
      <c r="CF262" s="137"/>
      <c r="CG262" s="137"/>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s="783"/>
      <c r="EK262" s="420">
        <v>-1</v>
      </c>
      <c r="EL262" s="302">
        <f t="shared" si="314"/>
        <v>0.99991613172574589</v>
      </c>
      <c r="EM262" s="302">
        <f t="shared" si="314"/>
        <v>0.99986480223361984</v>
      </c>
      <c r="EN262" s="302">
        <f t="shared" si="314"/>
        <v>0.99979428634056511</v>
      </c>
      <c r="EO262" s="302">
        <f t="shared" si="314"/>
        <v>0.99970642188906589</v>
      </c>
      <c r="EP262" s="302">
        <f t="shared" si="314"/>
        <v>0.99960865998978066</v>
      </c>
      <c r="EQ262" s="302">
        <f t="shared" si="314"/>
        <v>0.99951309016521694</v>
      </c>
      <c r="ER262" s="302">
        <f t="shared" si="316"/>
        <v>0.99943250950642137</v>
      </c>
      <c r="ES262" s="302">
        <f t="shared" ref="ES262:FF262" si="328">2*(1/(1+EXP(-4/0.5*(POWER(POWER((ABS(ES$241-$DK$213)),3)+POWER(ABS($DL236-$DJ$214),3),1/3))))-0.5)</f>
        <v>0.99937547967119644</v>
      </c>
      <c r="ET262" s="302">
        <f t="shared" si="328"/>
        <v>0.99934341464796717</v>
      </c>
      <c r="EU262" s="302">
        <f t="shared" si="328"/>
        <v>0.99933108469904885</v>
      </c>
      <c r="EV262" s="302">
        <f t="shared" si="328"/>
        <v>0.99932929973906726</v>
      </c>
      <c r="EW262" s="302">
        <f t="shared" si="328"/>
        <v>0.99933108469904885</v>
      </c>
      <c r="EX262" s="302">
        <f t="shared" si="328"/>
        <v>0.99934341464796717</v>
      </c>
      <c r="EY262" s="302">
        <f t="shared" si="328"/>
        <v>0.99937547967119644</v>
      </c>
      <c r="EZ262" s="302">
        <f t="shared" si="328"/>
        <v>0.99943250950642137</v>
      </c>
      <c r="FA262" s="302">
        <f t="shared" si="328"/>
        <v>0.99951309016521694</v>
      </c>
      <c r="FB262" s="302">
        <f t="shared" si="328"/>
        <v>0.99960865998978066</v>
      </c>
      <c r="FC262" s="302">
        <f t="shared" si="328"/>
        <v>0.99970642188906589</v>
      </c>
      <c r="FD262" s="302">
        <f t="shared" si="328"/>
        <v>0.99979428634056511</v>
      </c>
      <c r="FE262" s="302">
        <f t="shared" si="328"/>
        <v>0.99986480223361984</v>
      </c>
      <c r="FF262" s="302">
        <f t="shared" si="328"/>
        <v>0.99991613172574589</v>
      </c>
      <c r="FG262"/>
      <c r="FH262"/>
      <c r="FI262"/>
      <c r="FJ262"/>
      <c r="FK262"/>
      <c r="FL262"/>
      <c r="FM262"/>
      <c r="FN262"/>
      <c r="FO262"/>
      <c r="FP262"/>
      <c r="FQ262"/>
      <c r="FR262"/>
      <c r="FS262"/>
      <c r="FT262"/>
      <c r="FU262"/>
      <c r="FV262"/>
      <c r="FW262"/>
      <c r="FX262"/>
      <c r="FY262"/>
      <c r="FZ262"/>
      <c r="GA262"/>
      <c r="GB262"/>
      <c r="GC262"/>
      <c r="GD262"/>
      <c r="GE262"/>
      <c r="GF262"/>
      <c r="GG262"/>
      <c r="GH262"/>
    </row>
    <row r="263" spans="2:190" ht="42" customHeight="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s="137"/>
      <c r="AM263" s="137"/>
      <c r="AN263" s="137"/>
      <c r="AO263" s="146"/>
      <c r="AP263" s="146"/>
      <c r="AQ263" s="146"/>
      <c r="AR263" s="146"/>
      <c r="AS263" s="146"/>
      <c r="AT263" s="146"/>
      <c r="AU263" s="146"/>
      <c r="AV263" s="146"/>
      <c r="AW263" s="146"/>
      <c r="AX263" s="146"/>
      <c r="AY263" s="146"/>
      <c r="AZ263" s="146"/>
      <c r="BA263" s="146"/>
      <c r="BB263" s="146"/>
      <c r="BC263" s="146"/>
      <c r="BD263" s="146"/>
      <c r="BE263" s="146"/>
      <c r="BF263" s="146"/>
      <c r="BG263" s="146"/>
      <c r="BH263" s="146"/>
      <c r="BI263" s="146"/>
      <c r="BJ263" s="146"/>
      <c r="BK263" s="146"/>
      <c r="BL263" s="146"/>
      <c r="BM263" s="146"/>
      <c r="BN263" s="146"/>
      <c r="BO263" s="146"/>
      <c r="BP263" s="146"/>
      <c r="BQ263" s="146"/>
      <c r="BR263" s="146"/>
      <c r="BS263" s="146"/>
      <c r="BT263" s="137"/>
      <c r="BU263" s="137"/>
      <c r="BV263" s="137"/>
      <c r="BW263" s="137"/>
      <c r="BX263" s="137"/>
      <c r="BY263" s="137"/>
      <c r="BZ263" s="137"/>
      <c r="CA263" s="137"/>
      <c r="CB263" s="137"/>
      <c r="CC263" s="137"/>
      <c r="CD263" s="137"/>
      <c r="CE263" s="137"/>
      <c r="CF263" s="137"/>
      <c r="CG263" s="137"/>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row>
    <row r="264" spans="2:190" ht="42" customHeight="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s="137"/>
      <c r="AM264" s="137"/>
      <c r="AN264" s="137"/>
      <c r="AO264" s="146"/>
      <c r="AP264" s="146"/>
      <c r="AQ264" s="146"/>
      <c r="AR264" s="146"/>
      <c r="AS264" s="146"/>
      <c r="AT264" s="146"/>
      <c r="AU264" s="146"/>
      <c r="AV264" s="146"/>
      <c r="AW264" s="146"/>
      <c r="AX264" s="146"/>
      <c r="AY264" s="146"/>
      <c r="AZ264" s="146"/>
      <c r="BA264" s="146"/>
      <c r="BB264" s="146"/>
      <c r="BC264" s="146"/>
      <c r="BD264" s="146"/>
      <c r="BE264" s="146"/>
      <c r="BF264" s="146"/>
      <c r="BG264" s="146"/>
      <c r="BH264" s="146"/>
      <c r="BI264" s="146"/>
      <c r="BJ264" s="146"/>
      <c r="BK264" s="146"/>
      <c r="BL264" s="146"/>
      <c r="BM264" s="146"/>
      <c r="BN264" s="146"/>
      <c r="BO264" s="146"/>
      <c r="BP264" s="146"/>
      <c r="BQ264" s="146"/>
      <c r="BR264" s="146"/>
      <c r="BS264" s="146"/>
      <c r="BT264" s="137"/>
      <c r="BU264" s="137"/>
      <c r="BV264" s="137"/>
      <c r="BW264" s="137"/>
      <c r="BX264" s="137"/>
      <c r="BY264" s="137"/>
      <c r="BZ264" s="137"/>
      <c r="CA264" s="137"/>
      <c r="CB264" s="137"/>
      <c r="CC264" s="137"/>
      <c r="CD264" s="137"/>
      <c r="CE264" s="137"/>
      <c r="CF264" s="137"/>
      <c r="CG264" s="137"/>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row>
  </sheetData>
  <mergeCells count="8">
    <mergeCell ref="D5:BO5"/>
    <mergeCell ref="D3:BO3"/>
    <mergeCell ref="D212:AK212"/>
    <mergeCell ref="AO212:BV212"/>
    <mergeCell ref="BZ212:DG212"/>
    <mergeCell ref="D210:AK210"/>
    <mergeCell ref="AO210:BV210"/>
    <mergeCell ref="BZ210:DG210"/>
  </mergeCells>
  <phoneticPr fontId="2" type="noConversion"/>
  <conditionalFormatting sqref="BQ105:BS110 BQ100 BQ101:BR104 BS102:BS104 BQ80:BS98 BR99:BS99 BS100">
    <cfRule type="colorScale" priority="48">
      <colorScale>
        <cfvo type="min"/>
        <cfvo type="percentile" val="50"/>
        <cfvo type="max"/>
        <color rgb="FF63BE7B"/>
        <color rgb="FFFFEB84"/>
        <color rgb="FFF8696B"/>
      </colorScale>
    </cfRule>
  </conditionalFormatting>
  <conditionalFormatting sqref="BQ99">
    <cfRule type="colorScale" priority="46">
      <colorScale>
        <cfvo type="min"/>
        <cfvo type="percentile" val="50"/>
        <cfvo type="max"/>
        <color rgb="FF63BE7B"/>
        <color rgb="FFFFEB84"/>
        <color rgb="FFF8696B"/>
      </colorScale>
    </cfRule>
  </conditionalFormatting>
  <conditionalFormatting sqref="BS101">
    <cfRule type="colorScale" priority="45">
      <colorScale>
        <cfvo type="min"/>
        <cfvo type="percentile" val="50"/>
        <cfvo type="max"/>
        <color rgb="FF63BE7B"/>
        <color rgb="FFFFEB84"/>
        <color rgb="FFF8696B"/>
      </colorScale>
    </cfRule>
  </conditionalFormatting>
  <conditionalFormatting sqref="BR100">
    <cfRule type="colorScale" priority="44">
      <colorScale>
        <cfvo type="min"/>
        <cfvo type="percentile" val="50"/>
        <cfvo type="max"/>
        <color rgb="FF63BE7B"/>
        <color rgb="FFFFEB84"/>
        <color rgb="FFF8696B"/>
      </colorScale>
    </cfRule>
  </conditionalFormatting>
  <conditionalFormatting sqref="BQ80:BS110">
    <cfRule type="colorScale" priority="41">
      <colorScale>
        <cfvo type="min"/>
        <cfvo type="percentile" val="50"/>
        <cfvo type="max"/>
        <color rgb="FF63BE7B"/>
        <color rgb="FFFFEB84"/>
        <color rgb="FFF8696B"/>
      </colorScale>
    </cfRule>
  </conditionalFormatting>
  <conditionalFormatting sqref="G10:BO70">
    <cfRule type="colorScale" priority="39">
      <colorScale>
        <cfvo type="min"/>
        <cfvo type="percentile" val="50"/>
        <cfvo type="max"/>
        <color rgb="FF63BE7B"/>
        <color rgb="FFFFEB84"/>
        <color rgb="FFF8696B"/>
      </colorScale>
    </cfRule>
  </conditionalFormatting>
  <conditionalFormatting sqref="G77:BO137">
    <cfRule type="colorScale" priority="35">
      <colorScale>
        <cfvo type="min"/>
        <cfvo type="percentile" val="50"/>
        <cfvo type="max"/>
        <color rgb="FF63BE7B"/>
        <color rgb="FFFFEB84"/>
        <color rgb="FFF8696B"/>
      </colorScale>
    </cfRule>
  </conditionalFormatting>
  <conditionalFormatting sqref="G144:BO204">
    <cfRule type="colorScale" priority="32">
      <colorScale>
        <cfvo type="min"/>
        <cfvo type="percentile" val="50"/>
        <cfvo type="max"/>
        <color rgb="FF63BE7B"/>
        <color rgb="FFFFEB84"/>
        <color rgb="FFF8696B"/>
      </colorScale>
    </cfRule>
  </conditionalFormatting>
  <conditionalFormatting sqref="G143:BN143">
    <cfRule type="colorScale" priority="31">
      <colorScale>
        <cfvo type="min"/>
        <cfvo type="percentile" val="50"/>
        <cfvo type="max"/>
        <color rgb="FF63BE7B"/>
        <color rgb="FFFFEB84"/>
        <color rgb="FFF8696B"/>
      </colorScale>
    </cfRule>
  </conditionalFormatting>
  <conditionalFormatting sqref="DM9:EG9 DM10:DM29">
    <cfRule type="colorScale" priority="29">
      <colorScale>
        <cfvo type="min"/>
        <cfvo type="percentile" val="50"/>
        <cfvo type="max"/>
        <color rgb="FF63BE7B"/>
        <color rgb="FFFFEB84"/>
        <color rgb="FFF8696B"/>
      </colorScale>
    </cfRule>
  </conditionalFormatting>
  <conditionalFormatting sqref="EL9:FF29">
    <cfRule type="colorScale" priority="25">
      <colorScale>
        <cfvo type="min"/>
        <cfvo type="percentile" val="50"/>
        <cfvo type="max"/>
        <color rgb="FF63BE7B"/>
        <color rgb="FFFFEB84"/>
        <color rgb="FFF8696B"/>
      </colorScale>
    </cfRule>
  </conditionalFormatting>
  <conditionalFormatting sqref="DM9:EG29">
    <cfRule type="colorScale" priority="26">
      <colorScale>
        <cfvo type="min"/>
        <cfvo type="percentile" val="50"/>
        <cfvo type="max"/>
        <color rgb="FF63BE7B"/>
        <color rgb="FFFFEB84"/>
        <color rgb="FFF8696B"/>
      </colorScale>
    </cfRule>
  </conditionalFormatting>
  <conditionalFormatting sqref="FK9:GE29">
    <cfRule type="colorScale" priority="24">
      <colorScale>
        <cfvo type="min"/>
        <cfvo type="percentile" val="50"/>
        <cfvo type="max"/>
        <color rgb="FF63BE7B"/>
        <color rgb="FFFFEB84"/>
        <color rgb="FFF8696B"/>
      </colorScale>
    </cfRule>
  </conditionalFormatting>
  <conditionalFormatting sqref="BK72:CE72 BQ73:CE76 BX31:BX41">
    <cfRule type="colorScale" priority="91">
      <colorScale>
        <cfvo type="min"/>
        <cfvo type="percentile" val="50"/>
        <cfvo type="max"/>
        <color rgb="FF63BE7B"/>
        <color rgb="FFFFEB84"/>
        <color rgb="FFF8696B"/>
      </colorScale>
    </cfRule>
  </conditionalFormatting>
  <conditionalFormatting sqref="F10:F70">
    <cfRule type="colorScale" priority="111">
      <colorScale>
        <cfvo type="min"/>
        <cfvo type="percentile" val="50"/>
        <cfvo type="max"/>
        <color rgb="FF63BE7B"/>
        <color rgb="FFFFEB84"/>
        <color rgb="FFF8696B"/>
      </colorScale>
    </cfRule>
  </conditionalFormatting>
  <conditionalFormatting sqref="G9:BO9">
    <cfRule type="colorScale" priority="112">
      <colorScale>
        <cfvo type="min"/>
        <cfvo type="percentile" val="50"/>
        <cfvo type="max"/>
        <color rgb="FF63BE7B"/>
        <color rgb="FFFFEB84"/>
        <color rgb="FFF8696B"/>
      </colorScale>
    </cfRule>
  </conditionalFormatting>
  <conditionalFormatting sqref="G76:BO76">
    <cfRule type="colorScale" priority="113">
      <colorScale>
        <cfvo type="min"/>
        <cfvo type="percentile" val="50"/>
        <cfvo type="max"/>
        <color rgb="FF63BE7B"/>
        <color rgb="FFFFEB84"/>
        <color rgb="FFF8696B"/>
      </colorScale>
    </cfRule>
  </conditionalFormatting>
  <conditionalFormatting sqref="F77:F137">
    <cfRule type="colorScale" priority="114">
      <colorScale>
        <cfvo type="min"/>
        <cfvo type="percentile" val="50"/>
        <cfvo type="max"/>
        <color rgb="FF63BE7B"/>
        <color rgb="FFFFEB84"/>
        <color rgb="FFF8696B"/>
      </colorScale>
    </cfRule>
  </conditionalFormatting>
  <conditionalFormatting sqref="F144:F204">
    <cfRule type="colorScale" priority="115">
      <colorScale>
        <cfvo type="min"/>
        <cfvo type="percentile" val="50"/>
        <cfvo type="max"/>
        <color rgb="FF63BE7B"/>
        <color rgb="FFFFEB84"/>
        <color rgb="FFF8696B"/>
      </colorScale>
    </cfRule>
  </conditionalFormatting>
  <conditionalFormatting sqref="BO143">
    <cfRule type="colorScale" priority="22">
      <colorScale>
        <cfvo type="min"/>
        <cfvo type="percentile" val="50"/>
        <cfvo type="max"/>
        <color rgb="FF63BE7B"/>
        <color rgb="FFFFEB84"/>
        <color rgb="FFF8696B"/>
      </colorScale>
    </cfRule>
  </conditionalFormatting>
  <conditionalFormatting sqref="AN72:BH72">
    <cfRule type="colorScale" priority="140">
      <colorScale>
        <cfvo type="min"/>
        <cfvo type="percentile" val="50"/>
        <cfvo type="max"/>
        <color rgb="FF63BE7B"/>
        <color rgb="FFFFEB84"/>
        <color rgb="FFF8696B"/>
      </colorScale>
    </cfRule>
  </conditionalFormatting>
  <conditionalFormatting sqref="EL72:FF80 EL35:FF41">
    <cfRule type="colorScale" priority="141">
      <colorScale>
        <cfvo type="min"/>
        <cfvo type="percentile" val="50"/>
        <cfvo type="max"/>
        <color rgb="FF63BE7B"/>
        <color rgb="FFFFEB84"/>
        <color rgb="FFF8696B"/>
      </colorScale>
    </cfRule>
  </conditionalFormatting>
  <conditionalFormatting sqref="BK249:CE258 AD259:AL261 BX238:BX248">
    <cfRule type="colorScale" priority="20">
      <colorScale>
        <cfvo type="min"/>
        <cfvo type="percentile" val="50"/>
        <cfvo type="max"/>
        <color rgb="FF63BE7B"/>
        <color rgb="FFFFEB84"/>
        <color rgb="FFF8696B"/>
      </colorScale>
    </cfRule>
  </conditionalFormatting>
  <conditionalFormatting sqref="G259:AA261 AN249:BH258">
    <cfRule type="colorScale" priority="21">
      <colorScale>
        <cfvo type="min"/>
        <cfvo type="percentile" val="50"/>
        <cfvo type="max"/>
        <color rgb="FF63BE7B"/>
        <color rgb="FFFFEB84"/>
        <color rgb="FFF8696B"/>
      </colorScale>
    </cfRule>
  </conditionalFormatting>
  <conditionalFormatting sqref="AO262:BS264">
    <cfRule type="colorScale" priority="19">
      <colorScale>
        <cfvo type="min"/>
        <cfvo type="percentile" val="50"/>
        <cfvo type="max"/>
        <color rgb="FF63BE7B"/>
        <color rgb="FFFFEB84"/>
        <color rgb="FFF8696B"/>
      </colorScale>
    </cfRule>
  </conditionalFormatting>
  <conditionalFormatting sqref="AO262:BS264">
    <cfRule type="colorScale" priority="18">
      <colorScale>
        <cfvo type="min"/>
        <cfvo type="percentile" val="50"/>
        <cfvo type="max"/>
        <color rgb="FF63BE7B"/>
        <color rgb="FFFFEB84"/>
        <color rgb="FFF8696B"/>
      </colorScale>
    </cfRule>
  </conditionalFormatting>
  <conditionalFormatting sqref="G217:AK247">
    <cfRule type="colorScale" priority="17">
      <colorScale>
        <cfvo type="min"/>
        <cfvo type="percentile" val="50"/>
        <cfvo type="max"/>
        <color rgb="FF63BE7B"/>
        <color rgb="FFFFEB84"/>
        <color rgb="FFF8696B"/>
      </colorScale>
    </cfRule>
  </conditionalFormatting>
  <conditionalFormatting sqref="G216:AK216">
    <cfRule type="colorScale" priority="16">
      <colorScale>
        <cfvo type="min"/>
        <cfvo type="percentile" val="50"/>
        <cfvo type="max"/>
        <color rgb="FF63BE7B"/>
        <color rgb="FFFFEB84"/>
        <color rgb="FFF8696B"/>
      </colorScale>
    </cfRule>
  </conditionalFormatting>
  <conditionalFormatting sqref="F217:F247">
    <cfRule type="colorScale" priority="15">
      <colorScale>
        <cfvo type="min"/>
        <cfvo type="percentile" val="50"/>
        <cfvo type="max"/>
        <color rgb="FF63BE7B"/>
        <color rgb="FFFFEB84"/>
        <color rgb="FFF8696B"/>
      </colorScale>
    </cfRule>
  </conditionalFormatting>
  <conditionalFormatting sqref="AR217:BV247">
    <cfRule type="colorScale" priority="14">
      <colorScale>
        <cfvo type="min"/>
        <cfvo type="percentile" val="50"/>
        <cfvo type="max"/>
        <color rgb="FF63BE7B"/>
        <color rgb="FFFFEB84"/>
        <color rgb="FFF8696B"/>
      </colorScale>
    </cfRule>
  </conditionalFormatting>
  <conditionalFormatting sqref="AR216:BV216">
    <cfRule type="colorScale" priority="13">
      <colorScale>
        <cfvo type="min"/>
        <cfvo type="percentile" val="50"/>
        <cfvo type="max"/>
        <color rgb="FF63BE7B"/>
        <color rgb="FFFFEB84"/>
        <color rgb="FFF8696B"/>
      </colorScale>
    </cfRule>
  </conditionalFormatting>
  <conditionalFormatting sqref="AQ217:AQ247">
    <cfRule type="colorScale" priority="12">
      <colorScale>
        <cfvo type="min"/>
        <cfvo type="percentile" val="50"/>
        <cfvo type="max"/>
        <color rgb="FF63BE7B"/>
        <color rgb="FFFFEB84"/>
        <color rgb="FFF8696B"/>
      </colorScale>
    </cfRule>
  </conditionalFormatting>
  <conditionalFormatting sqref="CC217:DG247">
    <cfRule type="colorScale" priority="11">
      <colorScale>
        <cfvo type="min"/>
        <cfvo type="percentile" val="50"/>
        <cfvo type="max"/>
        <color rgb="FF63BE7B"/>
        <color rgb="FFFFEB84"/>
        <color rgb="FFF8696B"/>
      </colorScale>
    </cfRule>
  </conditionalFormatting>
  <conditionalFormatting sqref="CC216:DG216">
    <cfRule type="colorScale" priority="10">
      <colorScale>
        <cfvo type="min"/>
        <cfvo type="percentile" val="50"/>
        <cfvo type="max"/>
        <color rgb="FF63BE7B"/>
        <color rgb="FFFFEB84"/>
        <color rgb="FFF8696B"/>
      </colorScale>
    </cfRule>
  </conditionalFormatting>
  <conditionalFormatting sqref="CB217:CB247">
    <cfRule type="colorScale" priority="9">
      <colorScale>
        <cfvo type="min"/>
        <cfvo type="percentile" val="50"/>
        <cfvo type="max"/>
        <color rgb="FF63BE7B"/>
        <color rgb="FFFFEB84"/>
        <color rgb="FFF8696B"/>
      </colorScale>
    </cfRule>
  </conditionalFormatting>
  <conditionalFormatting sqref="DM216:EG216 DM217:DM236">
    <cfRule type="colorScale" priority="8">
      <colorScale>
        <cfvo type="min"/>
        <cfvo type="percentile" val="50"/>
        <cfvo type="max"/>
        <color rgb="FF63BE7B"/>
        <color rgb="FFFFEB84"/>
        <color rgb="FFF8696B"/>
      </colorScale>
    </cfRule>
  </conditionalFormatting>
  <conditionalFormatting sqref="EL216:FF236">
    <cfRule type="colorScale" priority="6">
      <colorScale>
        <cfvo type="min"/>
        <cfvo type="percentile" val="50"/>
        <cfvo type="max"/>
        <color rgb="FF63BE7B"/>
        <color rgb="FFFFEB84"/>
        <color rgb="FFF8696B"/>
      </colorScale>
    </cfRule>
  </conditionalFormatting>
  <conditionalFormatting sqref="DM216:EG236">
    <cfRule type="colorScale" priority="7">
      <colorScale>
        <cfvo type="min"/>
        <cfvo type="percentile" val="50"/>
        <cfvo type="max"/>
        <color rgb="FF63BE7B"/>
        <color rgb="FFFFEB84"/>
        <color rgb="FFF8696B"/>
      </colorScale>
    </cfRule>
  </conditionalFormatting>
  <conditionalFormatting sqref="FK216:GE236">
    <cfRule type="colorScale" priority="5">
      <colorScale>
        <cfvo type="min"/>
        <cfvo type="percentile" val="50"/>
        <cfvo type="max"/>
        <color rgb="FF63BE7B"/>
        <color rgb="FFFFEB84"/>
        <color rgb="FFF8696B"/>
      </colorScale>
    </cfRule>
  </conditionalFormatting>
  <conditionalFormatting sqref="EL242:FF262">
    <cfRule type="colorScale" priority="4">
      <colorScale>
        <cfvo type="min"/>
        <cfvo type="percentile" val="50"/>
        <cfvo type="max"/>
        <color rgb="FF63BE7B"/>
        <color rgb="FFFFEB84"/>
        <color rgb="FFF8696B"/>
      </colorScale>
    </cfRule>
  </conditionalFormatting>
  <conditionalFormatting sqref="B8:B10">
    <cfRule type="colorScale" priority="3">
      <colorScale>
        <cfvo type="min"/>
        <cfvo type="percentile" val="50"/>
        <cfvo type="max"/>
        <color rgb="FF63BE7B"/>
        <color rgb="FFFFEB84"/>
        <color rgb="FFF8696B"/>
      </colorScale>
    </cfRule>
  </conditionalFormatting>
  <conditionalFormatting sqref="B8:B11">
    <cfRule type="colorScale" priority="1">
      <colorScale>
        <cfvo type="min"/>
        <cfvo type="percentile" val="50"/>
        <cfvo type="max"/>
        <color rgb="FF63BE7B"/>
        <color rgb="FFFFEB84"/>
        <color rgb="FFF8696B"/>
      </colorScale>
    </cfRule>
  </conditionalFormatting>
  <hyperlinks>
    <hyperlink ref="D3:AK3" r:id="rId1" display="                                                                                                " xr:uid="{66A93196-1DDA-154A-8A04-38BD72B6F854}"/>
    <hyperlink ref="D5" location="说明!A1" display="说明!A1" xr:uid="{78A4CD5E-3779-4A40-AE1D-E7885EB5EC85}"/>
    <hyperlink ref="D210:AK210" r:id="rId2" display="                                                                                                " xr:uid="{DD2B0DAA-5DF1-F54F-BCBA-BA34F6786BAC}"/>
    <hyperlink ref="D212" location="说明!A1" display="说明!A1" xr:uid="{922C9EF6-52E5-404A-9D97-5618FB03BC9D}"/>
    <hyperlink ref="AO210:BV210" r:id="rId3" display="                                                                                                " xr:uid="{65FF9173-D736-D241-9ED4-E27355BECA45}"/>
    <hyperlink ref="AO212" location="说明!A1" display="说明!A1" xr:uid="{E3680E65-CCD1-A14E-9DFF-310939211E8F}"/>
    <hyperlink ref="BZ210:DG210" r:id="rId4" display="                                                                                                " xr:uid="{F4842FA0-B3ED-7942-AA74-FCAD63902509}"/>
    <hyperlink ref="BZ212" location="说明!A1" display="说明!A1" xr:uid="{8165BF0F-2723-7D47-9CB2-AA239C99D25A}"/>
    <hyperlink ref="D3:BO3" r:id="rId5" display="                                                                                                                                                                                                                                                               " xr:uid="{72EB8A50-BFB5-AC4F-A92B-5355D9C495FF}"/>
    <hyperlink ref="D5:BO5" location="目录!A1" display="目录" xr:uid="{377C03D6-1C91-8D46-B66F-A3D7D3271F66}"/>
  </hyperlinks>
  <pageMargins left="0.7" right="0.7" top="0.75" bottom="0.75" header="0.3" footer="0.3"/>
  <drawing r:id="rId6"/>
  <picture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3671-983B-7B46-B58B-794E306CEF54}">
  <dimension ref="A2:AB85"/>
  <sheetViews>
    <sheetView showGridLines="0" zoomScale="63" zoomScaleNormal="50" workbookViewId="0">
      <selection activeCell="N4" sqref="N4:P7"/>
    </sheetView>
  </sheetViews>
  <sheetFormatPr baseColWidth="10" defaultRowHeight="16"/>
  <cols>
    <col min="1" max="1" width="14.1640625" customWidth="1"/>
    <col min="2" max="2" width="3.1640625" customWidth="1"/>
    <col min="3" max="3" width="19.33203125" bestFit="1" customWidth="1"/>
    <col min="4" max="12" width="14.83203125" customWidth="1"/>
    <col min="13" max="13" width="3.1640625" customWidth="1"/>
    <col min="14" max="14" width="13.6640625" bestFit="1" customWidth="1"/>
    <col min="15" max="15" width="11.1640625" bestFit="1" customWidth="1"/>
    <col min="16" max="16" width="10.83203125" customWidth="1"/>
    <col min="17" max="17" width="3.1640625" customWidth="1"/>
    <col min="19" max="19" width="3.1640625" customWidth="1"/>
    <col min="27" max="27" width="3.1640625" customWidth="1"/>
  </cols>
  <sheetData>
    <row r="2" spans="2:27" ht="17" thickBot="1">
      <c r="B2" s="116"/>
      <c r="C2" s="227"/>
      <c r="D2" s="227"/>
      <c r="E2" s="227"/>
      <c r="F2" s="227"/>
      <c r="G2" s="227"/>
      <c r="H2" s="227"/>
      <c r="I2" s="227"/>
      <c r="J2" s="227"/>
      <c r="K2" s="227"/>
      <c r="L2" s="227"/>
      <c r="M2" s="116"/>
      <c r="N2" s="227"/>
      <c r="O2" s="227"/>
      <c r="P2" s="227"/>
      <c r="Q2" s="116"/>
      <c r="S2" s="116"/>
      <c r="T2" s="227"/>
      <c r="U2" s="227"/>
      <c r="V2" s="227"/>
      <c r="W2" s="227"/>
      <c r="X2" s="227"/>
      <c r="Y2" s="227"/>
      <c r="Z2" s="227"/>
      <c r="AA2" s="116"/>
    </row>
    <row r="3" spans="2:27" ht="17" customHeight="1" thickBot="1">
      <c r="B3" s="227"/>
      <c r="C3" s="116"/>
      <c r="D3" s="116"/>
      <c r="E3" s="386" t="s">
        <v>200</v>
      </c>
      <c r="F3" s="5">
        <v>41275</v>
      </c>
      <c r="G3" s="5">
        <v>42583</v>
      </c>
      <c r="H3" s="5">
        <v>43983</v>
      </c>
      <c r="I3" s="5"/>
      <c r="J3" s="5"/>
      <c r="K3" s="5"/>
      <c r="L3" s="5"/>
      <c r="M3" s="260"/>
      <c r="N3" s="116"/>
      <c r="O3" s="116"/>
      <c r="P3" s="116"/>
      <c r="Q3" s="260"/>
      <c r="S3" s="227"/>
      <c r="T3" s="1382" t="s">
        <v>439</v>
      </c>
      <c r="U3" s="1382"/>
      <c r="V3" s="1382"/>
      <c r="W3" s="1382"/>
      <c r="X3" s="1382"/>
      <c r="Y3" s="1382"/>
      <c r="Z3" s="1382"/>
      <c r="AA3" s="227"/>
    </row>
    <row r="4" spans="2:27" ht="16" customHeight="1">
      <c r="B4" s="227"/>
      <c r="C4" s="6" t="s">
        <v>4</v>
      </c>
      <c r="D4" s="7">
        <f>LOOKUP(9E+307,F4:K4)</f>
        <v>58300</v>
      </c>
      <c r="E4" s="8"/>
      <c r="F4" s="8">
        <v>183.09</v>
      </c>
      <c r="G4" s="8">
        <v>4756.09</v>
      </c>
      <c r="H4" s="8">
        <v>58300</v>
      </c>
      <c r="I4" s="8"/>
      <c r="J4" s="8"/>
      <c r="K4" s="8"/>
      <c r="L4" s="8"/>
      <c r="M4" s="227"/>
      <c r="N4" s="1448" t="s">
        <v>198</v>
      </c>
      <c r="O4" s="1449"/>
      <c r="P4" s="1450"/>
      <c r="Q4" s="227"/>
      <c r="S4" s="227"/>
      <c r="T4" s="1382"/>
      <c r="U4" s="1382"/>
      <c r="V4" s="1382"/>
      <c r="W4" s="1382"/>
      <c r="X4" s="1382"/>
      <c r="Y4" s="1382"/>
      <c r="Z4" s="1382"/>
      <c r="AA4" s="227"/>
    </row>
    <row r="5" spans="2:27" ht="16" customHeight="1">
      <c r="B5" s="227"/>
      <c r="C5" s="9" t="s">
        <v>5</v>
      </c>
      <c r="D5" s="10">
        <f>LOOKUP(9E+307,F5:K5)</f>
        <v>1.6</v>
      </c>
      <c r="E5" s="18">
        <f>GEOMEAN(F5:L5)</f>
        <v>1.69172448647152</v>
      </c>
      <c r="F5" s="11">
        <v>1.78</v>
      </c>
      <c r="G5" s="11">
        <v>1.7</v>
      </c>
      <c r="H5" s="11">
        <v>1.6</v>
      </c>
      <c r="I5" s="11"/>
      <c r="J5" s="11"/>
      <c r="K5" s="11"/>
      <c r="L5" s="11"/>
      <c r="M5" s="227"/>
      <c r="N5" s="1451"/>
      <c r="O5" s="1452"/>
      <c r="P5" s="1453"/>
      <c r="Q5" s="227"/>
      <c r="S5" s="227"/>
      <c r="T5" s="1382"/>
      <c r="U5" s="1382"/>
      <c r="V5" s="1382"/>
      <c r="W5" s="1382"/>
      <c r="X5" s="1382"/>
      <c r="Y5" s="1382"/>
      <c r="Z5" s="1382"/>
      <c r="AA5" s="227"/>
    </row>
    <row r="6" spans="2:27" ht="16" customHeight="1">
      <c r="B6" s="227"/>
      <c r="C6" s="12" t="s">
        <v>6</v>
      </c>
      <c r="D6" s="10">
        <f>LOOKUP(9E+307,F6:K6)</f>
        <v>143868.98686600823</v>
      </c>
      <c r="E6" s="11"/>
      <c r="F6" s="11">
        <v>14.24</v>
      </c>
      <c r="G6" s="11">
        <v>574.95000000000005</v>
      </c>
      <c r="H6" s="11">
        <v>9374.19</v>
      </c>
      <c r="I6" s="11">
        <v>143868.98686600823</v>
      </c>
      <c r="J6" s="11"/>
      <c r="K6" s="11"/>
      <c r="L6" s="11"/>
      <c r="M6" s="227"/>
      <c r="N6" s="1451"/>
      <c r="O6" s="1452"/>
      <c r="P6" s="1453"/>
      <c r="Q6" s="227"/>
      <c r="S6" s="227"/>
      <c r="T6" s="1382"/>
      <c r="U6" s="1382"/>
      <c r="V6" s="1382"/>
      <c r="W6" s="1382"/>
      <c r="X6" s="1382"/>
      <c r="Y6" s="1382"/>
      <c r="Z6" s="1382"/>
      <c r="AA6" s="227"/>
    </row>
    <row r="7" spans="2:27" ht="17" customHeight="1" thickBot="1">
      <c r="B7" s="227"/>
      <c r="C7" s="13" t="s">
        <v>201</v>
      </c>
      <c r="D7" s="14"/>
      <c r="E7" s="15">
        <f>AVERAGE(F7:L7)</f>
        <v>-6.1635682155909616E-2</v>
      </c>
      <c r="F7" s="15">
        <f>LN(F5/$E$53)</f>
        <v>-1.0770732722549034E-2</v>
      </c>
      <c r="G7" s="15">
        <f>LN(G5/$E$53)</f>
        <v>-5.6755845964372512E-2</v>
      </c>
      <c r="H7" s="15">
        <f>LN(H5/$E$53)</f>
        <v>-0.1173804677808073</v>
      </c>
      <c r="I7" s="15"/>
      <c r="J7" s="15"/>
      <c r="K7" s="15"/>
      <c r="L7" s="15"/>
      <c r="M7" s="240"/>
      <c r="N7" s="1454"/>
      <c r="O7" s="1455"/>
      <c r="P7" s="1456"/>
      <c r="Q7" s="227"/>
      <c r="S7" s="227"/>
      <c r="T7" s="1382"/>
      <c r="U7" s="1382"/>
      <c r="V7" s="1382"/>
      <c r="W7" s="1382"/>
      <c r="X7" s="1382"/>
      <c r="Y7" s="1382"/>
      <c r="Z7" s="1382"/>
      <c r="AA7" s="227"/>
    </row>
    <row r="8" spans="2:27" ht="17" customHeight="1" thickBot="1">
      <c r="B8" s="227"/>
      <c r="C8" s="16" t="s">
        <v>202</v>
      </c>
      <c r="D8" s="17"/>
      <c r="E8" s="15">
        <f>AVERAGE(F8:L8)</f>
        <v>-7.2714895967875268E-2</v>
      </c>
      <c r="F8" s="18">
        <f>F7/$E$55</f>
        <v>-1.2706806869385004E-2</v>
      </c>
      <c r="G8" s="18">
        <f>G7/$E$55</f>
        <v>-6.695789339085631E-2</v>
      </c>
      <c r="H8" s="18">
        <f>H7/$E$55</f>
        <v>-0.13847998764338448</v>
      </c>
      <c r="I8" s="18"/>
      <c r="J8" s="18"/>
      <c r="K8" s="18"/>
      <c r="L8" s="18"/>
      <c r="M8" s="240"/>
      <c r="N8" s="116"/>
      <c r="O8" s="240"/>
      <c r="P8" s="240"/>
      <c r="Q8" s="227"/>
      <c r="S8" s="116"/>
      <c r="T8" s="227"/>
      <c r="U8" s="227"/>
      <c r="V8" s="227"/>
      <c r="W8" s="227"/>
      <c r="X8" s="227"/>
      <c r="Y8" s="227"/>
      <c r="Z8" s="227"/>
      <c r="AA8" s="116"/>
    </row>
    <row r="9" spans="2:27" ht="17" thickBot="1">
      <c r="B9" s="227"/>
      <c r="C9" s="19" t="s">
        <v>2</v>
      </c>
      <c r="D9" s="1"/>
      <c r="E9" s="1"/>
      <c r="F9" s="1">
        <v>0</v>
      </c>
      <c r="G9" s="1">
        <v>0</v>
      </c>
      <c r="H9" s="1">
        <v>0</v>
      </c>
      <c r="I9" s="1"/>
      <c r="J9" s="1"/>
      <c r="K9" s="1"/>
      <c r="L9" s="1"/>
      <c r="M9" s="240"/>
      <c r="N9" s="116"/>
      <c r="O9" s="116"/>
      <c r="P9" s="116"/>
      <c r="Q9" s="227"/>
      <c r="S9" s="227"/>
      <c r="T9" s="1381" t="s">
        <v>440</v>
      </c>
      <c r="U9" s="1381"/>
      <c r="V9" s="1381"/>
      <c r="W9" s="1381"/>
      <c r="X9" s="1381"/>
      <c r="Y9" s="1381"/>
      <c r="Z9" s="1381"/>
      <c r="AA9" s="227"/>
    </row>
    <row r="10" spans="2:27">
      <c r="B10" s="227"/>
      <c r="C10" s="20" t="s">
        <v>10</v>
      </c>
      <c r="D10" s="21">
        <f t="shared" ref="D10:F10" si="0">D4/D6</f>
        <v>0.40522979462069514</v>
      </c>
      <c r="E10" s="22">
        <f>GEOMEAN(F10:L10)</f>
        <v>8.7130420122354302</v>
      </c>
      <c r="F10" s="22">
        <f t="shared" si="0"/>
        <v>12.857443820224718</v>
      </c>
      <c r="G10" s="22">
        <f>G4/G6</f>
        <v>8.272180189581702</v>
      </c>
      <c r="H10" s="22">
        <f>H4/H6</f>
        <v>6.2192040058927756</v>
      </c>
      <c r="I10" s="22"/>
      <c r="J10" s="22"/>
      <c r="K10" s="22"/>
      <c r="L10" s="22"/>
      <c r="M10" s="240"/>
      <c r="N10" s="1392" t="s">
        <v>211</v>
      </c>
      <c r="O10" s="1393"/>
      <c r="P10" s="1394"/>
      <c r="Q10" s="227"/>
      <c r="S10" s="227"/>
      <c r="T10" s="1381"/>
      <c r="U10" s="1381"/>
      <c r="V10" s="1381"/>
      <c r="W10" s="1381"/>
      <c r="X10" s="1381"/>
      <c r="Y10" s="1381"/>
      <c r="Z10" s="1381"/>
      <c r="AA10" s="227"/>
    </row>
    <row r="11" spans="2:27">
      <c r="B11" s="227"/>
      <c r="C11" s="13" t="s">
        <v>203</v>
      </c>
      <c r="D11" s="14"/>
      <c r="E11" s="15">
        <f>AVERAGE(F11:L11)</f>
        <v>1.8018057293271335</v>
      </c>
      <c r="F11" s="15">
        <f>LN(F10/$E$58)</f>
        <v>2.190907673542684</v>
      </c>
      <c r="G11" s="15">
        <f>LN(G10/$E$58)</f>
        <v>1.7498828449040489</v>
      </c>
      <c r="H11" s="15">
        <f>LN(H10/$E$58)</f>
        <v>1.4646266695346672</v>
      </c>
      <c r="I11" s="15"/>
      <c r="J11" s="15"/>
      <c r="K11" s="15"/>
      <c r="L11" s="15"/>
      <c r="M11" s="240"/>
      <c r="N11" s="1395"/>
      <c r="O11" s="1396"/>
      <c r="P11" s="1397"/>
      <c r="Q11" s="227"/>
      <c r="S11" s="227"/>
      <c r="T11" s="1381"/>
      <c r="U11" s="1381"/>
      <c r="V11" s="1381"/>
      <c r="W11" s="1381"/>
      <c r="X11" s="1381"/>
      <c r="Y11" s="1381"/>
      <c r="Z11" s="1381"/>
      <c r="AA11" s="227"/>
    </row>
    <row r="12" spans="2:27" ht="17" thickBot="1">
      <c r="B12" s="227"/>
      <c r="C12" s="13" t="s">
        <v>204</v>
      </c>
      <c r="D12" s="17"/>
      <c r="E12" s="15">
        <f>AVERAGE(F12:L12)</f>
        <v>0.94568502188495451</v>
      </c>
      <c r="F12" s="22">
        <f>F11/$E$59</f>
        <v>1.1499067504774012</v>
      </c>
      <c r="G12" s="22">
        <f>G11/$E$59</f>
        <v>0.91843308606703933</v>
      </c>
      <c r="H12" s="22">
        <f>H11/$E$59</f>
        <v>0.76871522911042278</v>
      </c>
      <c r="I12" s="22"/>
      <c r="J12" s="22"/>
      <c r="K12" s="22"/>
      <c r="L12" s="22"/>
      <c r="M12" s="240"/>
      <c r="N12" s="1395"/>
      <c r="O12" s="1396"/>
      <c r="P12" s="1397"/>
      <c r="Q12" s="227"/>
      <c r="S12" s="227"/>
      <c r="T12" s="1381"/>
      <c r="U12" s="1381"/>
      <c r="V12" s="1381"/>
      <c r="W12" s="1381"/>
      <c r="X12" s="1381"/>
      <c r="Y12" s="1381"/>
      <c r="Z12" s="1381"/>
      <c r="AA12" s="227"/>
    </row>
    <row r="13" spans="2:27" ht="17" thickBot="1">
      <c r="B13" s="227"/>
      <c r="C13" s="2" t="s">
        <v>3</v>
      </c>
      <c r="D13" s="3"/>
      <c r="E13" s="3"/>
      <c r="F13" s="3">
        <v>1</v>
      </c>
      <c r="G13" s="3">
        <v>1</v>
      </c>
      <c r="H13" s="3">
        <v>1</v>
      </c>
      <c r="I13" s="3"/>
      <c r="J13" s="3"/>
      <c r="K13" s="3"/>
      <c r="L13" s="3"/>
      <c r="M13" s="240"/>
      <c r="N13" s="1395"/>
      <c r="O13" s="1396"/>
      <c r="P13" s="1397"/>
      <c r="Q13" s="227"/>
      <c r="S13" s="227"/>
      <c r="T13" s="1381"/>
      <c r="U13" s="1381"/>
      <c r="V13" s="1381"/>
      <c r="W13" s="1381"/>
      <c r="X13" s="1381"/>
      <c r="Y13" s="1381"/>
      <c r="Z13" s="1381"/>
      <c r="AA13" s="227"/>
    </row>
    <row r="14" spans="2:27" ht="17" thickBot="1">
      <c r="B14" s="105"/>
      <c r="C14" s="23" t="s">
        <v>447</v>
      </c>
      <c r="D14" s="24"/>
      <c r="E14" s="25">
        <f>GEOMEAN(F14:L14)</f>
        <v>25.657354882188496</v>
      </c>
      <c r="F14" s="25"/>
      <c r="G14" s="25">
        <f>G6/F6</f>
        <v>40.375702247191015</v>
      </c>
      <c r="H14" s="25">
        <f>H6/G6</f>
        <v>16.304356900600052</v>
      </c>
      <c r="I14" s="25"/>
      <c r="J14" s="25"/>
      <c r="K14" s="25"/>
      <c r="L14" s="25"/>
      <c r="M14" s="801"/>
      <c r="N14" s="1395"/>
      <c r="O14" s="1396"/>
      <c r="P14" s="1397"/>
      <c r="Q14" s="105"/>
      <c r="S14" s="105"/>
      <c r="T14" s="1381"/>
      <c r="U14" s="1381"/>
      <c r="V14" s="1381"/>
      <c r="W14" s="1381"/>
      <c r="X14" s="1381"/>
      <c r="Y14" s="1381"/>
      <c r="Z14" s="1381"/>
      <c r="AA14" s="105"/>
    </row>
    <row r="15" spans="2:27" ht="17" thickBot="1">
      <c r="B15" s="105"/>
      <c r="C15" s="23" t="s">
        <v>448</v>
      </c>
      <c r="D15" s="24"/>
      <c r="E15" s="25"/>
      <c r="F15" s="25"/>
      <c r="G15" s="25">
        <f>F6*$E$30</f>
        <v>218.546282182456</v>
      </c>
      <c r="H15" s="25">
        <f>G6*$E$30</f>
        <v>8823.9596166294305</v>
      </c>
      <c r="I15" s="25">
        <f>H6*$E$30</f>
        <v>143868.98686600823</v>
      </c>
      <c r="J15" s="25">
        <f>I6*$E$30</f>
        <v>2208007.8792782789</v>
      </c>
      <c r="K15" s="25"/>
      <c r="L15" s="25"/>
      <c r="M15" s="801"/>
      <c r="N15" s="1398"/>
      <c r="O15" s="1399"/>
      <c r="P15" s="1400"/>
      <c r="Q15" s="105"/>
      <c r="S15" s="105"/>
      <c r="T15" s="1381"/>
      <c r="U15" s="1381"/>
      <c r="V15" s="1381"/>
      <c r="W15" s="1381"/>
      <c r="X15" s="1381"/>
      <c r="Y15" s="1381"/>
      <c r="Z15" s="1381"/>
      <c r="AA15" s="105"/>
    </row>
    <row r="16" spans="2:27" ht="17" thickBot="1">
      <c r="B16" s="105"/>
      <c r="C16" s="23" t="s">
        <v>449</v>
      </c>
      <c r="D16" s="24"/>
      <c r="E16" s="25">
        <f>GEOMEAN(F16:L16)</f>
        <v>2.5106704716493375</v>
      </c>
      <c r="F16" s="25"/>
      <c r="G16" s="25">
        <f>G6/F38</f>
        <v>2.4570512820512822</v>
      </c>
      <c r="H16" s="25">
        <f>H6/G38</f>
        <v>2.5654597701149426</v>
      </c>
      <c r="I16" s="25"/>
      <c r="J16" s="25"/>
      <c r="K16" s="25"/>
      <c r="L16" s="25"/>
      <c r="M16" s="801"/>
      <c r="N16" s="116"/>
      <c r="O16" s="240"/>
      <c r="P16" s="240"/>
      <c r="Q16" s="105"/>
      <c r="S16" s="105"/>
      <c r="T16" s="1381"/>
      <c r="U16" s="1381"/>
      <c r="V16" s="1381"/>
      <c r="W16" s="1381"/>
      <c r="X16" s="1381"/>
      <c r="Y16" s="1381"/>
      <c r="Z16" s="1381"/>
      <c r="AA16" s="105"/>
    </row>
    <row r="17" spans="2:28" ht="17" thickBot="1">
      <c r="B17" s="105"/>
      <c r="C17" s="23" t="s">
        <v>450</v>
      </c>
      <c r="D17" s="24"/>
      <c r="E17" s="25"/>
      <c r="F17" s="25"/>
      <c r="G17" s="25">
        <f>F38*$E$16</f>
        <v>587.49689036594498</v>
      </c>
      <c r="H17" s="25">
        <f>G38*$E$16</f>
        <v>9173.9899034066802</v>
      </c>
      <c r="I17" s="25"/>
      <c r="J17" s="25"/>
      <c r="K17" s="25"/>
      <c r="L17" s="25"/>
      <c r="M17" s="801"/>
      <c r="N17" s="116"/>
      <c r="O17" s="240"/>
      <c r="P17" s="240"/>
      <c r="Q17" s="105"/>
      <c r="S17" s="105"/>
      <c r="T17" s="1381"/>
      <c r="U17" s="1381"/>
      <c r="V17" s="1381"/>
      <c r="W17" s="1381"/>
      <c r="X17" s="1381"/>
      <c r="Y17" s="1381"/>
      <c r="Z17" s="1381"/>
      <c r="AA17" s="105"/>
    </row>
    <row r="18" spans="2:28" ht="17" thickBot="1">
      <c r="B18" s="116"/>
      <c r="C18" s="240"/>
      <c r="D18" s="240"/>
      <c r="E18" s="240"/>
      <c r="F18" s="240"/>
      <c r="G18" s="240"/>
      <c r="H18" s="240"/>
      <c r="I18" s="240"/>
      <c r="J18" s="240"/>
      <c r="K18" s="240"/>
      <c r="L18" s="240"/>
      <c r="M18" s="240"/>
      <c r="N18" s="116"/>
      <c r="O18" s="240"/>
      <c r="P18" s="240"/>
      <c r="Q18" s="227"/>
      <c r="S18" s="227"/>
      <c r="T18" s="1381"/>
      <c r="U18" s="1381"/>
      <c r="V18" s="1381"/>
      <c r="W18" s="1381"/>
      <c r="X18" s="1381"/>
      <c r="Y18" s="1381"/>
      <c r="Z18" s="1381"/>
      <c r="AA18" s="227"/>
    </row>
    <row r="19" spans="2:28" ht="17" thickBot="1">
      <c r="B19" s="227"/>
      <c r="C19" s="116"/>
      <c r="D19" s="116"/>
      <c r="E19" s="348" t="s">
        <v>236</v>
      </c>
      <c r="F19" s="348">
        <v>41609</v>
      </c>
      <c r="G19" s="348">
        <v>43070</v>
      </c>
      <c r="H19" s="348"/>
      <c r="I19" s="348"/>
      <c r="J19" s="348"/>
      <c r="K19" s="348"/>
      <c r="L19" s="348"/>
      <c r="M19" s="240"/>
      <c r="N19" s="116"/>
      <c r="O19" s="240"/>
      <c r="P19" s="240"/>
      <c r="Q19" s="227"/>
      <c r="S19" s="227"/>
      <c r="T19" s="1381"/>
      <c r="U19" s="1381"/>
      <c r="V19" s="1381"/>
      <c r="W19" s="1381"/>
      <c r="X19" s="1381"/>
      <c r="Y19" s="1381"/>
      <c r="Z19" s="1381"/>
      <c r="AA19" s="227"/>
    </row>
    <row r="20" spans="2:28" ht="17" thickBot="1">
      <c r="B20" s="227"/>
      <c r="C20" s="6" t="s">
        <v>4</v>
      </c>
      <c r="D20" s="341">
        <f>LOOKUP(9E+307,F20:L20)</f>
        <v>296147.14630275924</v>
      </c>
      <c r="E20" s="349"/>
      <c r="F20" s="349">
        <v>136.46</v>
      </c>
      <c r="G20" s="349">
        <v>3838</v>
      </c>
      <c r="H20" s="802">
        <f>GEOMEAN(H31,H33)</f>
        <v>296147.14630275924</v>
      </c>
      <c r="I20" s="349"/>
      <c r="J20" s="349"/>
      <c r="K20" s="349"/>
      <c r="L20" s="349"/>
      <c r="M20" s="240"/>
      <c r="N20" s="116"/>
      <c r="O20" s="116"/>
      <c r="P20" s="116"/>
      <c r="Q20" s="227"/>
      <c r="S20" s="227"/>
      <c r="T20" s="1381"/>
      <c r="U20" s="1381"/>
      <c r="V20" s="1381"/>
      <c r="W20" s="1381"/>
      <c r="X20" s="1381"/>
      <c r="Y20" s="1381"/>
      <c r="Z20" s="1381"/>
      <c r="AA20" s="227"/>
    </row>
    <row r="21" spans="2:28" ht="16" customHeight="1">
      <c r="B21" s="227"/>
      <c r="C21" s="9" t="s">
        <v>5</v>
      </c>
      <c r="D21" s="334">
        <f>LOOKUP(9E+307,F21:L21)</f>
        <v>3.9</v>
      </c>
      <c r="E21" s="350">
        <f>GEOMEAN(F21:L21)</f>
        <v>4.3311661247289965</v>
      </c>
      <c r="F21" s="350">
        <v>4.8099999999999996</v>
      </c>
      <c r="G21" s="350">
        <v>3.9</v>
      </c>
      <c r="H21" s="350"/>
      <c r="I21" s="350"/>
      <c r="J21" s="350"/>
      <c r="K21" s="350"/>
      <c r="L21" s="350"/>
      <c r="M21" s="240"/>
      <c r="N21" s="1383" t="s">
        <v>248</v>
      </c>
      <c r="O21" s="1384"/>
      <c r="P21" s="1385"/>
      <c r="Q21" s="227"/>
      <c r="R21" s="137"/>
      <c r="S21" s="227"/>
      <c r="T21" s="1381"/>
      <c r="U21" s="1381"/>
      <c r="V21" s="1381"/>
      <c r="W21" s="1381"/>
      <c r="X21" s="1381"/>
      <c r="Y21" s="1381"/>
      <c r="Z21" s="1381"/>
      <c r="AA21" s="227"/>
    </row>
    <row r="22" spans="2:28" ht="16" customHeight="1">
      <c r="B22" s="227"/>
      <c r="C22" s="12" t="s">
        <v>6</v>
      </c>
      <c r="D22" s="334">
        <f>LOOKUP(9E+307,F22:L22)</f>
        <v>14700</v>
      </c>
      <c r="E22" s="350"/>
      <c r="F22" s="350">
        <v>957.82</v>
      </c>
      <c r="G22" s="350">
        <v>14700</v>
      </c>
      <c r="H22" s="350"/>
      <c r="I22" s="350"/>
      <c r="J22" s="350"/>
      <c r="K22" s="350"/>
      <c r="L22" s="350"/>
      <c r="M22" s="240"/>
      <c r="N22" s="1386"/>
      <c r="O22" s="1387"/>
      <c r="P22" s="1388"/>
      <c r="Q22" s="227"/>
      <c r="R22" s="137"/>
      <c r="S22" s="227"/>
      <c r="T22" s="1381"/>
      <c r="U22" s="1381"/>
      <c r="V22" s="1381"/>
      <c r="W22" s="1381"/>
      <c r="X22" s="1381"/>
      <c r="Y22" s="1381"/>
      <c r="Z22" s="1381"/>
      <c r="AA22" s="227"/>
    </row>
    <row r="23" spans="2:28" ht="16" customHeight="1">
      <c r="B23" s="227"/>
      <c r="C23" s="13" t="s">
        <v>201</v>
      </c>
      <c r="D23" s="335"/>
      <c r="E23" s="350">
        <f>AVERAGE(F23:L23)</f>
        <v>0.87845272160009236</v>
      </c>
      <c r="F23" s="350">
        <f>LN(F21/$E$53)</f>
        <v>0.9833129870911268</v>
      </c>
      <c r="G23" s="350">
        <f>LN(G21/$E$53)</f>
        <v>0.7735924561090578</v>
      </c>
      <c r="H23" s="350"/>
      <c r="I23" s="350"/>
      <c r="J23" s="350"/>
      <c r="K23" s="350"/>
      <c r="L23" s="350"/>
      <c r="M23" s="240"/>
      <c r="N23" s="1386"/>
      <c r="O23" s="1387"/>
      <c r="P23" s="1388"/>
      <c r="Q23" s="227"/>
      <c r="R23" s="137"/>
      <c r="S23" s="227"/>
      <c r="T23" s="1381"/>
      <c r="U23" s="1381"/>
      <c r="V23" s="1381"/>
      <c r="W23" s="1381"/>
      <c r="X23" s="1381"/>
      <c r="Y23" s="1381"/>
      <c r="Z23" s="1381"/>
      <c r="AA23" s="227"/>
    </row>
    <row r="24" spans="2:28" ht="17" customHeight="1" thickBot="1">
      <c r="B24" s="227"/>
      <c r="C24" s="16" t="s">
        <v>202</v>
      </c>
      <c r="D24" s="336"/>
      <c r="E24" s="350">
        <f>AVERAGE(F24:L24)</f>
        <v>1.0363574479839377</v>
      </c>
      <c r="F24" s="351">
        <f>F23/$E$55</f>
        <v>1.1600666863607743</v>
      </c>
      <c r="G24" s="351">
        <f>G23/$E$55</f>
        <v>0.91264820960710102</v>
      </c>
      <c r="H24" s="351"/>
      <c r="I24" s="351"/>
      <c r="J24" s="351"/>
      <c r="K24" s="351"/>
      <c r="L24" s="351"/>
      <c r="M24" s="240"/>
      <c r="N24" s="1386"/>
      <c r="O24" s="1387"/>
      <c r="P24" s="1388"/>
      <c r="Q24" s="227"/>
      <c r="R24" s="137"/>
      <c r="S24" s="227"/>
      <c r="T24" s="1381"/>
      <c r="U24" s="1381"/>
      <c r="V24" s="1381"/>
      <c r="W24" s="1381"/>
      <c r="X24" s="1381"/>
      <c r="Y24" s="1381"/>
      <c r="Z24" s="1381"/>
      <c r="AA24" s="227"/>
    </row>
    <row r="25" spans="2:28" ht="17" customHeight="1" thickBot="1">
      <c r="B25" s="227"/>
      <c r="C25" s="19" t="s">
        <v>2</v>
      </c>
      <c r="D25" s="337"/>
      <c r="E25" s="40"/>
      <c r="F25" s="40">
        <v>1</v>
      </c>
      <c r="G25" s="40">
        <v>1</v>
      </c>
      <c r="H25" s="40"/>
      <c r="I25" s="40"/>
      <c r="J25" s="40"/>
      <c r="K25" s="40"/>
      <c r="L25" s="40"/>
      <c r="M25" s="240"/>
      <c r="N25" s="1386"/>
      <c r="O25" s="1387"/>
      <c r="P25" s="1388"/>
      <c r="Q25" s="227"/>
      <c r="R25" s="137"/>
      <c r="S25" s="227"/>
      <c r="T25" s="1381"/>
      <c r="U25" s="1381"/>
      <c r="V25" s="1381"/>
      <c r="W25" s="1381"/>
      <c r="X25" s="1381"/>
      <c r="Y25" s="1381"/>
      <c r="Z25" s="1381"/>
      <c r="AA25" s="227"/>
    </row>
    <row r="26" spans="2:28">
      <c r="B26" s="227"/>
      <c r="C26" s="20" t="s">
        <v>10</v>
      </c>
      <c r="D26" s="338">
        <f t="shared" ref="D26" si="1">D20/D22</f>
        <v>20.146064374337364</v>
      </c>
      <c r="E26" s="352">
        <f>GEOMEAN(F26:L26)</f>
        <v>0.19286550142070041</v>
      </c>
      <c r="F26" s="352">
        <f>F20/F22</f>
        <v>0.14246935749932138</v>
      </c>
      <c r="G26" s="352">
        <f>G20/G22</f>
        <v>0.26108843537414966</v>
      </c>
      <c r="H26" s="352"/>
      <c r="I26" s="352"/>
      <c r="J26" s="352"/>
      <c r="K26" s="352"/>
      <c r="L26" s="352"/>
      <c r="M26" s="240"/>
      <c r="N26" s="1386"/>
      <c r="O26" s="1387"/>
      <c r="P26" s="1388"/>
      <c r="Q26" s="227"/>
      <c r="R26" s="137"/>
      <c r="S26" s="227"/>
      <c r="T26" s="1381"/>
      <c r="U26" s="1381"/>
      <c r="V26" s="1381"/>
      <c r="W26" s="1381"/>
      <c r="X26" s="1381"/>
      <c r="Y26" s="1381"/>
      <c r="Z26" s="1381"/>
      <c r="AA26" s="227"/>
    </row>
    <row r="27" spans="2:28" ht="16" customHeight="1">
      <c r="B27" s="227"/>
      <c r="C27" s="13" t="s">
        <v>203</v>
      </c>
      <c r="D27" s="335"/>
      <c r="E27" s="350">
        <f>AVERAGE(F27:L27)</f>
        <v>-2.0087774725422278</v>
      </c>
      <c r="F27" s="350">
        <f>LN(F26/$E$58)</f>
        <v>-2.3116435931872736</v>
      </c>
      <c r="G27" s="350">
        <f>LN(G26/$E$58)</f>
        <v>-1.7059113518971822</v>
      </c>
      <c r="H27" s="350"/>
      <c r="I27" s="350"/>
      <c r="J27" s="350"/>
      <c r="K27" s="350"/>
      <c r="L27" s="350"/>
      <c r="M27" s="240"/>
      <c r="N27" s="1386"/>
      <c r="O27" s="1387"/>
      <c r="P27" s="1388"/>
      <c r="Q27" s="227"/>
      <c r="R27" s="137"/>
      <c r="S27" s="227"/>
      <c r="T27" s="1381"/>
      <c r="U27" s="1381"/>
      <c r="V27" s="1381"/>
      <c r="W27" s="1381"/>
      <c r="X27" s="1381"/>
      <c r="Y27" s="1381"/>
      <c r="Z27" s="1381"/>
      <c r="AA27" s="227"/>
    </row>
    <row r="28" spans="2:28" ht="17" thickBot="1">
      <c r="B28" s="227"/>
      <c r="C28" s="13" t="s">
        <v>204</v>
      </c>
      <c r="D28" s="336" t="e">
        <f>LN(D26/$O$12)/$P$12</f>
        <v>#DIV/0!</v>
      </c>
      <c r="E28" s="350">
        <f>AVERAGE(F28:L28)</f>
        <v>-1.0543149781150456</v>
      </c>
      <c r="F28" s="352">
        <f>F27/$E$59</f>
        <v>-1.2132754860480404</v>
      </c>
      <c r="G28" s="352">
        <f>G27/$E$59</f>
        <v>-0.89535447018205072</v>
      </c>
      <c r="H28" s="352"/>
      <c r="I28" s="352"/>
      <c r="J28" s="352"/>
      <c r="K28" s="352"/>
      <c r="L28" s="352"/>
      <c r="M28" s="240"/>
      <c r="N28" s="1386"/>
      <c r="O28" s="1387"/>
      <c r="P28" s="1388"/>
      <c r="Q28" s="227"/>
      <c r="R28" s="137"/>
      <c r="S28" s="227"/>
      <c r="T28" s="1381"/>
      <c r="U28" s="1381"/>
      <c r="V28" s="1381"/>
      <c r="W28" s="1381"/>
      <c r="X28" s="1381"/>
      <c r="Y28" s="1381"/>
      <c r="Z28" s="1381"/>
      <c r="AA28" s="227"/>
    </row>
    <row r="29" spans="2:28" ht="17" customHeight="1" thickBot="1">
      <c r="B29" s="227"/>
      <c r="C29" s="2" t="s">
        <v>3</v>
      </c>
      <c r="D29" s="339"/>
      <c r="E29" s="345"/>
      <c r="F29" s="345">
        <v>-1</v>
      </c>
      <c r="G29" s="345">
        <v>-1</v>
      </c>
      <c r="H29" s="345"/>
      <c r="I29" s="345"/>
      <c r="J29" s="345"/>
      <c r="K29" s="345"/>
      <c r="L29" s="345"/>
      <c r="M29" s="240"/>
      <c r="N29" s="1386"/>
      <c r="O29" s="1387"/>
      <c r="P29" s="1388"/>
      <c r="Q29" s="227"/>
      <c r="R29" s="137"/>
      <c r="S29" s="227"/>
      <c r="T29" s="1381"/>
      <c r="U29" s="1381"/>
      <c r="V29" s="1381"/>
      <c r="W29" s="1381"/>
      <c r="X29" s="1381"/>
      <c r="Y29" s="1381"/>
      <c r="Z29" s="1381"/>
      <c r="AA29" s="227"/>
      <c r="AB29" s="137"/>
    </row>
    <row r="30" spans="2:28" ht="17" thickBot="1">
      <c r="B30" s="105"/>
      <c r="C30" s="23" t="s">
        <v>447</v>
      </c>
      <c r="D30" s="340"/>
      <c r="E30" s="353">
        <f>GEOMEAN(F30:L30)</f>
        <v>15.347351276857864</v>
      </c>
      <c r="F30" s="353"/>
      <c r="G30" s="353">
        <f>G22/F22</f>
        <v>15.347351276857864</v>
      </c>
      <c r="H30" s="353"/>
      <c r="I30" s="353"/>
      <c r="J30" s="353"/>
      <c r="K30" s="353"/>
      <c r="L30" s="353"/>
      <c r="M30" s="801"/>
      <c r="N30" s="1386"/>
      <c r="O30" s="1387"/>
      <c r="P30" s="1388"/>
      <c r="Q30" s="105"/>
      <c r="S30" s="105"/>
      <c r="T30" s="1381"/>
      <c r="U30" s="1381"/>
      <c r="V30" s="1381"/>
      <c r="W30" s="1381"/>
      <c r="X30" s="1381"/>
      <c r="Y30" s="1381"/>
      <c r="Z30" s="1381"/>
      <c r="AA30" s="105"/>
    </row>
    <row r="31" spans="2:28" ht="17" thickBot="1">
      <c r="B31" s="105"/>
      <c r="C31" s="23" t="s">
        <v>448</v>
      </c>
      <c r="D31" s="340"/>
      <c r="E31" s="353"/>
      <c r="F31" s="353"/>
      <c r="G31" s="353">
        <f>F22*$E$30</f>
        <v>14700</v>
      </c>
      <c r="H31" s="353">
        <f>G22*$E$30</f>
        <v>225606.0637698106</v>
      </c>
      <c r="I31" s="353"/>
      <c r="J31" s="353"/>
      <c r="K31" s="353"/>
      <c r="L31" s="353"/>
      <c r="M31" s="801"/>
      <c r="N31" s="1386"/>
      <c r="O31" s="1387"/>
      <c r="P31" s="1388"/>
      <c r="Q31" s="105"/>
      <c r="S31" s="105"/>
      <c r="T31" s="1381"/>
      <c r="U31" s="1381"/>
      <c r="V31" s="1381"/>
      <c r="W31" s="1381"/>
      <c r="X31" s="1381"/>
      <c r="Y31" s="1381"/>
      <c r="Z31" s="1381"/>
      <c r="AA31" s="105"/>
    </row>
    <row r="32" spans="2:28" ht="17" thickBot="1">
      <c r="B32" s="105"/>
      <c r="C32" s="23" t="s">
        <v>449</v>
      </c>
      <c r="D32" s="340"/>
      <c r="E32" s="353">
        <f>GEOMEAN(F32:L32)</f>
        <v>41.469670452661816</v>
      </c>
      <c r="F32" s="353">
        <f>F22/F6</f>
        <v>67.262640449438209</v>
      </c>
      <c r="G32" s="353">
        <f>G22/G6</f>
        <v>25.567440647012781</v>
      </c>
      <c r="H32" s="353"/>
      <c r="I32" s="353"/>
      <c r="J32" s="353"/>
      <c r="K32" s="353"/>
      <c r="L32" s="353"/>
      <c r="M32" s="801"/>
      <c r="N32" s="1386"/>
      <c r="O32" s="1387"/>
      <c r="P32" s="1388"/>
      <c r="Q32" s="105"/>
      <c r="S32" s="105"/>
      <c r="T32" s="1381"/>
      <c r="U32" s="1381"/>
      <c r="V32" s="1381"/>
      <c r="W32" s="1381"/>
      <c r="X32" s="1381"/>
      <c r="Y32" s="1381"/>
      <c r="Z32" s="1381"/>
      <c r="AA32" s="105"/>
    </row>
    <row r="33" spans="2:27" ht="17" thickBot="1">
      <c r="B33" s="105"/>
      <c r="C33" s="23" t="s">
        <v>450</v>
      </c>
      <c r="D33" s="340"/>
      <c r="E33" s="353"/>
      <c r="F33" s="353">
        <f>F6*$E$32</f>
        <v>590.52810724590427</v>
      </c>
      <c r="G33" s="353">
        <f>G6*$E$32</f>
        <v>23842.987026757914</v>
      </c>
      <c r="H33" s="353">
        <f>H6*$E$32</f>
        <v>388744.5700606379</v>
      </c>
      <c r="I33" s="353"/>
      <c r="J33" s="353"/>
      <c r="K33" s="353"/>
      <c r="L33" s="353"/>
      <c r="M33" s="801"/>
      <c r="N33" s="1386"/>
      <c r="O33" s="1387"/>
      <c r="P33" s="1388"/>
      <c r="Q33" s="105"/>
      <c r="S33" s="105"/>
      <c r="T33" s="1381"/>
      <c r="U33" s="1381"/>
      <c r="V33" s="1381"/>
      <c r="W33" s="1381"/>
      <c r="X33" s="1381"/>
      <c r="Y33" s="1381"/>
      <c r="Z33" s="1381"/>
      <c r="AA33" s="105"/>
    </row>
    <row r="34" spans="2:27" ht="17" thickBot="1">
      <c r="B34" s="116"/>
      <c r="C34" s="240"/>
      <c r="D34" s="240"/>
      <c r="E34" s="240"/>
      <c r="F34" s="240"/>
      <c r="G34" s="240"/>
      <c r="H34" s="240"/>
      <c r="I34" s="240"/>
      <c r="J34" s="240"/>
      <c r="K34" s="240"/>
      <c r="L34" s="240"/>
      <c r="M34" s="240"/>
      <c r="N34" s="1386"/>
      <c r="O34" s="1387"/>
      <c r="P34" s="1388"/>
      <c r="Q34" s="227"/>
      <c r="S34" s="227"/>
      <c r="T34" s="1381"/>
      <c r="U34" s="1381"/>
      <c r="V34" s="1381"/>
      <c r="W34" s="1381"/>
      <c r="X34" s="1381"/>
      <c r="Y34" s="1381"/>
      <c r="Z34" s="1381"/>
      <c r="AA34" s="227"/>
    </row>
    <row r="35" spans="2:27" ht="17" thickBot="1">
      <c r="B35" s="227"/>
      <c r="C35" s="116"/>
      <c r="D35" s="116"/>
      <c r="E35" s="342" t="s">
        <v>236</v>
      </c>
      <c r="F35" s="342">
        <v>42125</v>
      </c>
      <c r="G35" s="342">
        <v>43497</v>
      </c>
      <c r="H35" s="342"/>
      <c r="I35" s="342"/>
      <c r="J35" s="342"/>
      <c r="K35" s="342"/>
      <c r="L35" s="342"/>
      <c r="M35" s="240"/>
      <c r="N35" s="1386"/>
      <c r="O35" s="1387"/>
      <c r="P35" s="1388"/>
      <c r="Q35" s="227"/>
      <c r="S35" s="227"/>
      <c r="T35" s="1381"/>
      <c r="U35" s="1381"/>
      <c r="V35" s="1381"/>
      <c r="W35" s="1381"/>
      <c r="X35" s="1381"/>
      <c r="Y35" s="1381"/>
      <c r="Z35" s="1381"/>
      <c r="AA35" s="227"/>
    </row>
    <row r="36" spans="2:27" ht="16" customHeight="1">
      <c r="B36" s="227"/>
      <c r="C36" s="6" t="s">
        <v>4</v>
      </c>
      <c r="D36" s="341">
        <f>LOOKUP(9E+307,F36:L36)</f>
        <v>6442</v>
      </c>
      <c r="E36" s="343"/>
      <c r="F36" s="343">
        <v>415</v>
      </c>
      <c r="G36" s="343">
        <v>6442</v>
      </c>
      <c r="H36" s="343"/>
      <c r="I36" s="343"/>
      <c r="J36" s="343"/>
      <c r="K36" s="343"/>
      <c r="L36" s="343"/>
      <c r="M36" s="240"/>
      <c r="N36" s="1386"/>
      <c r="O36" s="1387"/>
      <c r="P36" s="1388"/>
      <c r="Q36" s="227"/>
      <c r="S36" s="227"/>
      <c r="T36" s="1381"/>
      <c r="U36" s="1381"/>
      <c r="V36" s="1381"/>
      <c r="W36" s="1381"/>
      <c r="X36" s="1381"/>
      <c r="Y36" s="1381"/>
      <c r="Z36" s="1381"/>
      <c r="AA36" s="227"/>
    </row>
    <row r="37" spans="2:27" ht="16" customHeight="1">
      <c r="B37" s="227"/>
      <c r="C37" s="9" t="s">
        <v>5</v>
      </c>
      <c r="D37" s="334">
        <f>LOOKUP(9E+307,F37:L37)</f>
        <v>0.79</v>
      </c>
      <c r="E37" s="344">
        <f>GEOMEAN(F37:L37)</f>
        <v>0.79498427657407167</v>
      </c>
      <c r="F37" s="347">
        <v>0.8</v>
      </c>
      <c r="G37" s="347">
        <v>0.79</v>
      </c>
      <c r="H37" s="347"/>
      <c r="I37" s="347"/>
      <c r="J37" s="347"/>
      <c r="K37" s="347"/>
      <c r="L37" s="347"/>
      <c r="M37" s="240"/>
      <c r="N37" s="1386"/>
      <c r="O37" s="1387"/>
      <c r="P37" s="1388"/>
      <c r="Q37" s="227"/>
      <c r="S37" s="227"/>
      <c r="T37" s="1381"/>
      <c r="U37" s="1381"/>
      <c r="V37" s="1381"/>
      <c r="W37" s="1381"/>
      <c r="X37" s="1381"/>
      <c r="Y37" s="1381"/>
      <c r="Z37" s="1381"/>
      <c r="AA37" s="227"/>
    </row>
    <row r="38" spans="2:27" ht="16" customHeight="1">
      <c r="B38" s="227"/>
      <c r="C38" s="12" t="s">
        <v>6</v>
      </c>
      <c r="D38" s="334">
        <f>LOOKUP(9E+307,F38:L38)</f>
        <v>3654</v>
      </c>
      <c r="E38" s="344"/>
      <c r="F38" s="344">
        <v>234</v>
      </c>
      <c r="G38" s="344">
        <v>3654</v>
      </c>
      <c r="H38" s="344"/>
      <c r="I38" s="344"/>
      <c r="J38" s="344"/>
      <c r="K38" s="344"/>
      <c r="L38" s="344"/>
      <c r="M38" s="240"/>
      <c r="N38" s="1386"/>
      <c r="O38" s="1387"/>
      <c r="P38" s="1388"/>
      <c r="Q38" s="227"/>
      <c r="S38" s="116"/>
      <c r="T38" s="227"/>
      <c r="U38" s="227"/>
      <c r="V38" s="227"/>
      <c r="W38" s="227"/>
      <c r="X38" s="227"/>
      <c r="Y38" s="227"/>
      <c r="Z38" s="227"/>
      <c r="AA38" s="116"/>
    </row>
    <row r="39" spans="2:27" ht="16" customHeight="1">
      <c r="B39" s="227"/>
      <c r="C39" s="13" t="s">
        <v>201</v>
      </c>
      <c r="D39" s="335"/>
      <c r="E39" s="344">
        <f>AVERAGE(F39:L39)</f>
        <v>-0.81681703944418271</v>
      </c>
      <c r="F39" s="344">
        <f>LN(F37/$E$53)</f>
        <v>-0.81052764834075264</v>
      </c>
      <c r="G39" s="344">
        <f>LN(G37/$E$53)</f>
        <v>-0.82310643054761268</v>
      </c>
      <c r="H39" s="344"/>
      <c r="I39" s="344"/>
      <c r="J39" s="344"/>
      <c r="K39" s="344"/>
      <c r="L39" s="344"/>
      <c r="M39" s="240"/>
      <c r="N39" s="1386"/>
      <c r="O39" s="1387"/>
      <c r="P39" s="1388"/>
      <c r="Q39" s="227"/>
    </row>
    <row r="40" spans="2:27" ht="17" customHeight="1" thickBot="1">
      <c r="B40" s="227"/>
      <c r="C40" s="16" t="s">
        <v>202</v>
      </c>
      <c r="D40" s="336"/>
      <c r="E40" s="344">
        <f>AVERAGE(F40:L40)</f>
        <v>-0.9636425520160623</v>
      </c>
      <c r="F40" s="344">
        <f>F39/$E$55</f>
        <v>-0.95622262245918066</v>
      </c>
      <c r="G40" s="344">
        <f>G39/$E$55</f>
        <v>-0.97106248157294395</v>
      </c>
      <c r="H40" s="344"/>
      <c r="I40" s="344"/>
      <c r="J40" s="344"/>
      <c r="K40" s="344"/>
      <c r="L40" s="344"/>
      <c r="M40" s="240"/>
      <c r="N40" s="1386"/>
      <c r="O40" s="1387"/>
      <c r="P40" s="1388"/>
      <c r="Q40" s="227"/>
    </row>
    <row r="41" spans="2:27" ht="17" customHeight="1" thickBot="1">
      <c r="B41" s="227"/>
      <c r="C41" s="19" t="s">
        <v>2</v>
      </c>
      <c r="D41" s="337"/>
      <c r="E41" s="40"/>
      <c r="F41" s="40">
        <v>-1</v>
      </c>
      <c r="G41" s="40">
        <v>-1</v>
      </c>
      <c r="H41" s="40"/>
      <c r="I41" s="40"/>
      <c r="J41" s="40"/>
      <c r="K41" s="40"/>
      <c r="L41" s="40"/>
      <c r="M41" s="240"/>
      <c r="N41" s="1386"/>
      <c r="O41" s="1387"/>
      <c r="P41" s="1388"/>
      <c r="Q41" s="227"/>
    </row>
    <row r="42" spans="2:27" ht="16" customHeight="1">
      <c r="B42" s="227"/>
      <c r="C42" s="20" t="s">
        <v>10</v>
      </c>
      <c r="D42" s="338">
        <f t="shared" ref="D42" si="2">D36/D38</f>
        <v>1.7629994526546251</v>
      </c>
      <c r="E42" s="344">
        <f>GEOMEAN(F42:L42)</f>
        <v>1.7682440621895701</v>
      </c>
      <c r="F42" s="344">
        <f>F36/F38</f>
        <v>1.7735042735042734</v>
      </c>
      <c r="G42" s="344">
        <f>G36/G38</f>
        <v>1.7629994526546251</v>
      </c>
      <c r="H42" s="344"/>
      <c r="I42" s="344"/>
      <c r="J42" s="344"/>
      <c r="K42" s="344"/>
      <c r="L42" s="344"/>
      <c r="M42" s="240"/>
      <c r="N42" s="1386"/>
      <c r="O42" s="1387"/>
      <c r="P42" s="1388"/>
      <c r="Q42" s="227"/>
    </row>
    <row r="43" spans="2:27" ht="16" customHeight="1">
      <c r="B43" s="227"/>
      <c r="C43" s="13" t="s">
        <v>203</v>
      </c>
      <c r="D43" s="335"/>
      <c r="E43" s="344">
        <f>AVERAGE(F43:L43)</f>
        <v>0.20697174321509465</v>
      </c>
      <c r="F43" s="344">
        <f>LN(F42/$E$58)</f>
        <v>0.20994214917499698</v>
      </c>
      <c r="G43" s="344">
        <f>LN(G42/$E$58)</f>
        <v>0.20400133725519234</v>
      </c>
      <c r="H43" s="344"/>
      <c r="I43" s="344"/>
      <c r="J43" s="344"/>
      <c r="K43" s="344"/>
      <c r="L43" s="344"/>
      <c r="M43" s="240"/>
      <c r="N43" s="1386"/>
      <c r="O43" s="1387"/>
      <c r="P43" s="1388"/>
      <c r="Q43" s="227"/>
    </row>
    <row r="44" spans="2:27" ht="17" customHeight="1" thickBot="1">
      <c r="B44" s="227"/>
      <c r="C44" s="13" t="s">
        <v>204</v>
      </c>
      <c r="D44" s="336" t="e">
        <f>LN(D42/$O$12)/$P$12</f>
        <v>#DIV/0!</v>
      </c>
      <c r="E44" s="344">
        <f>AVERAGE(F44:L44)</f>
        <v>0.10862995623009114</v>
      </c>
      <c r="F44" s="344">
        <f>F43/$E$59</f>
        <v>0.11018898580773959</v>
      </c>
      <c r="G44" s="344">
        <f>G43/$E$59</f>
        <v>0.10707092665244271</v>
      </c>
      <c r="H44" s="344"/>
      <c r="I44" s="344"/>
      <c r="J44" s="344"/>
      <c r="K44" s="344"/>
      <c r="L44" s="344"/>
      <c r="M44" s="240"/>
      <c r="N44" s="1389"/>
      <c r="O44" s="1390"/>
      <c r="P44" s="1391"/>
      <c r="Q44" s="227"/>
    </row>
    <row r="45" spans="2:27" ht="17" customHeight="1" thickBot="1">
      <c r="B45" s="227"/>
      <c r="C45" s="2" t="s">
        <v>3</v>
      </c>
      <c r="D45" s="339"/>
      <c r="E45" s="345"/>
      <c r="F45" s="345">
        <v>0</v>
      </c>
      <c r="G45" s="345">
        <v>0</v>
      </c>
      <c r="H45" s="345"/>
      <c r="I45" s="345"/>
      <c r="J45" s="345"/>
      <c r="K45" s="345"/>
      <c r="L45" s="345"/>
      <c r="M45" s="240"/>
      <c r="N45" s="116"/>
      <c r="O45" s="240"/>
      <c r="P45" s="240"/>
      <c r="Q45" s="227"/>
    </row>
    <row r="46" spans="2:27" ht="17" thickBot="1">
      <c r="B46" s="105"/>
      <c r="C46" s="23" t="s">
        <v>447</v>
      </c>
      <c r="D46" s="340"/>
      <c r="E46" s="346">
        <f>GEOMEAN(F46:L46)</f>
        <v>15.615384615384615</v>
      </c>
      <c r="F46" s="346"/>
      <c r="G46" s="346">
        <f>G38/F38</f>
        <v>15.615384615384615</v>
      </c>
      <c r="H46" s="346"/>
      <c r="I46" s="346"/>
      <c r="J46" s="346"/>
      <c r="K46" s="346"/>
      <c r="L46" s="346"/>
      <c r="M46" s="801"/>
      <c r="N46" s="116"/>
      <c r="O46" s="116"/>
      <c r="P46" s="116"/>
      <c r="Q46" s="105"/>
    </row>
    <row r="47" spans="2:27" ht="17" thickBot="1">
      <c r="B47" s="105"/>
      <c r="C47" s="23" t="s">
        <v>448</v>
      </c>
      <c r="D47" s="340"/>
      <c r="E47" s="346"/>
      <c r="F47" s="346"/>
      <c r="G47" s="346">
        <f>F38*$E$30</f>
        <v>3591.2801987847402</v>
      </c>
      <c r="H47" s="346">
        <f>G38*$E$30</f>
        <v>56079.22156563864</v>
      </c>
      <c r="I47" s="346"/>
      <c r="J47" s="346"/>
      <c r="K47" s="346"/>
      <c r="L47" s="346"/>
      <c r="M47" s="801"/>
      <c r="N47" s="116"/>
      <c r="O47" s="116"/>
      <c r="P47" s="116"/>
      <c r="Q47" s="105"/>
    </row>
    <row r="48" spans="2:27" ht="17" thickBot="1">
      <c r="B48" s="105"/>
      <c r="C48" s="23" t="s">
        <v>449</v>
      </c>
      <c r="D48" s="340"/>
      <c r="E48" s="346">
        <f>GEOMEAN(F48:L48)</f>
        <v>0.2464288681036457</v>
      </c>
      <c r="F48" s="346">
        <f>F38/F22</f>
        <v>0.24430477542753334</v>
      </c>
      <c r="G48" s="346">
        <f>G38/G22</f>
        <v>0.24857142857142858</v>
      </c>
      <c r="H48" s="346"/>
      <c r="I48" s="346"/>
      <c r="J48" s="346"/>
      <c r="K48" s="346"/>
      <c r="L48" s="346"/>
      <c r="M48" s="801"/>
      <c r="N48" s="116"/>
      <c r="O48" s="116"/>
      <c r="P48" s="116"/>
      <c r="Q48" s="105"/>
    </row>
    <row r="49" spans="2:17" ht="17" thickBot="1">
      <c r="B49" s="105"/>
      <c r="C49" s="23" t="s">
        <v>450</v>
      </c>
      <c r="D49" s="340"/>
      <c r="E49" s="346"/>
      <c r="F49" s="346">
        <f>F22*$E$48</f>
        <v>236.03449844703394</v>
      </c>
      <c r="G49" s="346">
        <f t="shared" ref="G49:H49" si="3">G22*$E$48</f>
        <v>3622.5043611235919</v>
      </c>
      <c r="H49" s="346">
        <f t="shared" si="3"/>
        <v>0</v>
      </c>
      <c r="I49" s="346"/>
      <c r="J49" s="346"/>
      <c r="K49" s="346"/>
      <c r="L49" s="346"/>
      <c r="M49" s="801"/>
      <c r="N49" s="116"/>
      <c r="O49" s="116"/>
      <c r="P49" s="116"/>
      <c r="Q49" s="105"/>
    </row>
    <row r="50" spans="2:17" ht="17" customHeight="1" thickBot="1">
      <c r="B50" s="116"/>
      <c r="C50" s="240"/>
      <c r="D50" s="240"/>
      <c r="E50" s="240"/>
      <c r="F50" s="116"/>
      <c r="G50" s="116"/>
      <c r="H50" s="116"/>
      <c r="I50" s="116"/>
      <c r="J50" s="116"/>
      <c r="K50" s="116"/>
      <c r="L50" s="116"/>
      <c r="M50" s="113"/>
      <c r="N50" s="116"/>
      <c r="O50" s="116"/>
      <c r="P50" s="116"/>
      <c r="Q50" s="113"/>
    </row>
    <row r="51" spans="2:17" ht="17" customHeight="1" thickBot="1">
      <c r="B51" s="227"/>
      <c r="C51" s="116"/>
      <c r="D51" s="116"/>
      <c r="E51" s="381" t="s">
        <v>200</v>
      </c>
      <c r="F51" s="113"/>
      <c r="G51" s="113"/>
      <c r="H51" s="113"/>
      <c r="I51" s="113"/>
      <c r="J51" s="113"/>
      <c r="K51" s="113"/>
      <c r="L51" s="113"/>
      <c r="M51" s="116"/>
      <c r="N51" s="42"/>
      <c r="O51" s="42"/>
      <c r="P51" s="113"/>
      <c r="Q51" s="116"/>
    </row>
    <row r="52" spans="2:17" ht="17" customHeight="1" thickBot="1">
      <c r="B52" s="227"/>
      <c r="C52" s="6" t="s">
        <v>4</v>
      </c>
      <c r="D52" s="113"/>
      <c r="E52" s="113"/>
      <c r="F52" s="113"/>
      <c r="G52" s="113"/>
      <c r="H52" s="113"/>
      <c r="I52" s="113"/>
      <c r="J52" s="113"/>
      <c r="K52" s="113"/>
      <c r="L52" s="113"/>
      <c r="M52" s="116"/>
      <c r="N52" s="42"/>
      <c r="O52" s="113"/>
      <c r="P52" s="113"/>
      <c r="Q52" s="116"/>
    </row>
    <row r="53" spans="2:17" ht="17" customHeight="1" thickBot="1">
      <c r="B53" s="227"/>
      <c r="C53" s="9" t="s">
        <v>205</v>
      </c>
      <c r="D53" s="354" t="s">
        <v>7</v>
      </c>
      <c r="E53" s="385">
        <f>GEOMEAN(E5,E21,E37)</f>
        <v>1.7992755236591977</v>
      </c>
      <c r="F53" s="113"/>
      <c r="G53" s="113"/>
      <c r="H53" s="113"/>
      <c r="I53" s="113"/>
      <c r="J53" s="113"/>
      <c r="K53" s="113"/>
      <c r="L53" s="113"/>
      <c r="M53" s="116"/>
      <c r="N53" s="42"/>
      <c r="O53" s="113"/>
      <c r="P53" s="113"/>
      <c r="Q53" s="116"/>
    </row>
    <row r="54" spans="2:17" ht="17" customHeight="1" thickBot="1">
      <c r="B54" s="227"/>
      <c r="C54" s="12" t="s">
        <v>6</v>
      </c>
      <c r="D54" s="113"/>
      <c r="E54" s="113"/>
      <c r="F54" s="113"/>
      <c r="G54" s="113"/>
      <c r="H54" s="113"/>
      <c r="I54" s="113"/>
      <c r="J54" s="113"/>
      <c r="K54" s="113"/>
      <c r="L54" s="113"/>
      <c r="M54" s="116"/>
      <c r="N54" s="42"/>
      <c r="O54" s="113"/>
      <c r="P54" s="113"/>
      <c r="Q54" s="116"/>
    </row>
    <row r="55" spans="2:17" ht="16" customHeight="1">
      <c r="B55" s="227"/>
      <c r="C55" s="13" t="s">
        <v>208</v>
      </c>
      <c r="D55" s="354" t="s">
        <v>8</v>
      </c>
      <c r="E55" s="382">
        <f>(E23-E39)/2</f>
        <v>0.84763488052213753</v>
      </c>
      <c r="F55" s="113"/>
      <c r="G55" s="113"/>
      <c r="H55" s="113"/>
      <c r="I55" s="113"/>
      <c r="J55" s="113"/>
      <c r="K55" s="113"/>
      <c r="L55" s="113"/>
      <c r="M55" s="116"/>
      <c r="N55" s="42"/>
      <c r="O55" s="113"/>
      <c r="P55" s="113"/>
      <c r="Q55" s="116"/>
    </row>
    <row r="56" spans="2:17" ht="17" customHeight="1" thickBot="1">
      <c r="B56" s="227"/>
      <c r="C56" s="16" t="s">
        <v>202</v>
      </c>
      <c r="D56" s="354" t="s">
        <v>209</v>
      </c>
      <c r="E56" s="384">
        <f>E8</f>
        <v>-7.2714895967875268E-2</v>
      </c>
      <c r="F56" s="113"/>
      <c r="G56" s="113"/>
      <c r="H56" s="113"/>
      <c r="I56" s="113"/>
      <c r="J56" s="113"/>
      <c r="K56" s="113"/>
      <c r="L56" s="113"/>
      <c r="M56" s="116"/>
      <c r="N56" s="42"/>
      <c r="O56" s="113"/>
      <c r="P56" s="113"/>
      <c r="Q56" s="116"/>
    </row>
    <row r="57" spans="2:17" ht="17" customHeight="1" thickBot="1">
      <c r="B57" s="227"/>
      <c r="C57" s="19" t="s">
        <v>2</v>
      </c>
      <c r="D57" s="42"/>
      <c r="E57" s="42"/>
      <c r="F57" s="42"/>
      <c r="G57" s="42"/>
      <c r="H57" s="42"/>
      <c r="I57" s="42"/>
      <c r="J57" s="42"/>
      <c r="K57" s="42"/>
      <c r="L57" s="42"/>
      <c r="M57" s="116"/>
      <c r="N57" s="113"/>
      <c r="O57" s="113"/>
      <c r="P57" s="42"/>
      <c r="Q57" s="116"/>
    </row>
    <row r="58" spans="2:17" ht="16" customHeight="1">
      <c r="B58" s="227"/>
      <c r="C58" s="20" t="s">
        <v>206</v>
      </c>
      <c r="D58" s="354" t="s">
        <v>11</v>
      </c>
      <c r="E58" s="382">
        <f>GEOMEAN(E10,E26,E42)</f>
        <v>1.4376577915470077</v>
      </c>
      <c r="F58" s="42"/>
      <c r="G58" s="42"/>
      <c r="H58" s="42"/>
      <c r="I58" s="42"/>
      <c r="J58" s="42"/>
      <c r="K58" s="42"/>
      <c r="L58" s="42"/>
      <c r="M58" s="116"/>
      <c r="N58" s="113"/>
      <c r="O58" s="42"/>
      <c r="P58" s="42"/>
      <c r="Q58" s="116"/>
    </row>
    <row r="59" spans="2:17" ht="16" customHeight="1">
      <c r="B59" s="227"/>
      <c r="C59" s="13" t="s">
        <v>207</v>
      </c>
      <c r="D59" s="354" t="s">
        <v>197</v>
      </c>
      <c r="E59" s="383">
        <f>(E11-E27)/2</f>
        <v>1.9052916009346808</v>
      </c>
      <c r="F59" s="42"/>
      <c r="G59" s="42"/>
      <c r="H59" s="42"/>
      <c r="I59" s="42"/>
      <c r="J59" s="42"/>
      <c r="K59" s="42"/>
      <c r="L59" s="42"/>
      <c r="M59" s="116"/>
      <c r="N59" s="113"/>
      <c r="O59" s="42"/>
      <c r="P59" s="42"/>
      <c r="Q59" s="116"/>
    </row>
    <row r="60" spans="2:17" ht="17" thickBot="1">
      <c r="B60" s="227"/>
      <c r="C60" s="13" t="s">
        <v>204</v>
      </c>
      <c r="D60" s="354" t="s">
        <v>210</v>
      </c>
      <c r="E60" s="384">
        <f>E44</f>
        <v>0.10862995623009114</v>
      </c>
      <c r="F60" s="42"/>
      <c r="G60" s="42"/>
      <c r="H60" s="42"/>
      <c r="I60" s="42"/>
      <c r="J60" s="42"/>
      <c r="K60" s="42"/>
      <c r="L60" s="42"/>
      <c r="M60" s="116"/>
      <c r="N60" s="113"/>
      <c r="O60" s="42"/>
      <c r="P60" s="42"/>
      <c r="Q60" s="116"/>
    </row>
    <row r="61" spans="2:17" ht="17" thickBot="1">
      <c r="B61" s="227"/>
      <c r="C61" s="2" t="s">
        <v>3</v>
      </c>
      <c r="D61" s="42"/>
      <c r="E61" s="42"/>
      <c r="F61" s="42"/>
      <c r="G61" s="42"/>
      <c r="H61" s="42"/>
      <c r="I61" s="42"/>
      <c r="J61" s="42"/>
      <c r="K61" s="42"/>
      <c r="L61" s="42"/>
      <c r="M61" s="116"/>
      <c r="N61" s="113"/>
      <c r="O61" s="42"/>
      <c r="P61" s="42"/>
      <c r="Q61" s="116"/>
    </row>
    <row r="62" spans="2:17" ht="17" thickBot="1">
      <c r="B62" s="227"/>
      <c r="C62" s="23" t="s">
        <v>12</v>
      </c>
      <c r="D62" s="42"/>
      <c r="E62" s="42"/>
      <c r="F62" s="42"/>
      <c r="G62" s="42"/>
      <c r="H62" s="42"/>
      <c r="I62" s="42"/>
      <c r="J62" s="42"/>
      <c r="K62" s="42"/>
      <c r="L62" s="42"/>
      <c r="M62" s="116"/>
      <c r="N62" s="113"/>
      <c r="O62" s="42"/>
      <c r="P62" s="42"/>
      <c r="Q62" s="116"/>
    </row>
    <row r="63" spans="2:17">
      <c r="B63" s="116"/>
      <c r="C63" s="240"/>
      <c r="D63" s="240"/>
      <c r="E63" s="240"/>
      <c r="F63" s="116"/>
      <c r="G63" s="116"/>
      <c r="H63" s="116"/>
      <c r="I63" s="116"/>
      <c r="J63" s="116"/>
      <c r="K63" s="116"/>
      <c r="L63" s="116"/>
      <c r="M63" s="113"/>
      <c r="N63" s="116"/>
      <c r="O63" s="116"/>
      <c r="P63" s="116"/>
      <c r="Q63" s="113"/>
    </row>
    <row r="65" spans="1:13">
      <c r="A65" s="137"/>
      <c r="B65" s="137"/>
      <c r="C65" s="137"/>
      <c r="D65" s="137"/>
      <c r="E65" s="137"/>
      <c r="F65" s="137"/>
      <c r="G65" s="137"/>
      <c r="H65" s="137"/>
      <c r="I65" s="137"/>
      <c r="J65" s="137"/>
      <c r="K65" s="137"/>
      <c r="L65" s="137"/>
      <c r="M65" s="137"/>
    </row>
    <row r="66" spans="1:13">
      <c r="A66" s="137"/>
      <c r="B66" s="137"/>
      <c r="C66" s="137"/>
      <c r="D66" s="137"/>
      <c r="E66" s="137"/>
      <c r="F66" s="137"/>
    </row>
    <row r="67" spans="1:13">
      <c r="A67" s="137"/>
      <c r="B67" s="137"/>
      <c r="C67" s="137"/>
      <c r="D67" s="137"/>
      <c r="E67" s="137"/>
      <c r="F67" s="137"/>
    </row>
    <row r="68" spans="1:13">
      <c r="A68" s="137"/>
      <c r="B68" s="137"/>
      <c r="C68" s="137"/>
      <c r="D68" s="137"/>
      <c r="E68" s="137"/>
      <c r="F68" s="137"/>
    </row>
    <row r="69" spans="1:13">
      <c r="A69" s="137"/>
      <c r="B69" s="137"/>
      <c r="C69" s="137"/>
      <c r="D69" s="137"/>
      <c r="E69" s="137"/>
      <c r="F69" s="137"/>
    </row>
    <row r="70" spans="1:13">
      <c r="A70" s="137"/>
      <c r="B70" s="137"/>
      <c r="C70" s="137"/>
      <c r="D70" s="137"/>
      <c r="E70" s="137"/>
      <c r="F70" s="137"/>
    </row>
    <row r="71" spans="1:13">
      <c r="A71" s="137"/>
      <c r="B71" s="137"/>
      <c r="C71" s="137"/>
      <c r="D71" s="137"/>
      <c r="E71" s="137"/>
      <c r="F71" s="137"/>
    </row>
    <row r="72" spans="1:13">
      <c r="A72" s="137"/>
      <c r="B72" s="137"/>
      <c r="C72" s="137"/>
      <c r="D72" s="137"/>
      <c r="E72" s="137"/>
      <c r="F72" s="137"/>
    </row>
    <row r="73" spans="1:13">
      <c r="A73" s="137"/>
      <c r="B73" s="137"/>
      <c r="C73" s="137"/>
      <c r="D73" s="137"/>
      <c r="E73" s="137"/>
      <c r="F73" s="137"/>
    </row>
    <row r="74" spans="1:13">
      <c r="A74" s="137"/>
      <c r="B74" s="137"/>
      <c r="C74" s="137"/>
      <c r="D74" s="137"/>
      <c r="E74" s="137"/>
      <c r="F74" s="137"/>
    </row>
    <row r="75" spans="1:13">
      <c r="A75" s="137"/>
      <c r="B75" s="137"/>
      <c r="C75" s="137"/>
      <c r="D75" s="137"/>
      <c r="E75" s="137"/>
      <c r="F75" s="137"/>
    </row>
    <row r="76" spans="1:13">
      <c r="A76" s="137"/>
      <c r="B76" s="137"/>
      <c r="C76" s="137"/>
      <c r="D76" s="137"/>
      <c r="E76" s="137"/>
      <c r="F76" s="137"/>
    </row>
    <row r="77" spans="1:13">
      <c r="A77" s="137"/>
      <c r="B77" s="137"/>
      <c r="C77" s="137"/>
      <c r="D77" s="137"/>
      <c r="E77" s="137"/>
      <c r="F77" s="137"/>
    </row>
    <row r="78" spans="1:13">
      <c r="A78" s="137"/>
      <c r="B78" s="137"/>
      <c r="C78" s="137"/>
      <c r="D78" s="137"/>
      <c r="E78" s="137"/>
      <c r="F78" s="137"/>
    </row>
    <row r="79" spans="1:13">
      <c r="A79" s="137"/>
      <c r="B79" s="137"/>
      <c r="C79" s="137"/>
      <c r="D79" s="137"/>
      <c r="E79" s="137"/>
      <c r="F79" s="137"/>
    </row>
    <row r="80" spans="1:13">
      <c r="A80" s="137"/>
      <c r="B80" s="137"/>
      <c r="C80" s="137"/>
      <c r="D80" s="137"/>
      <c r="E80" s="137"/>
      <c r="F80" s="137"/>
    </row>
    <row r="81" spans="1:6">
      <c r="A81" s="137"/>
      <c r="B81" s="137"/>
      <c r="C81" s="137"/>
      <c r="D81" s="137"/>
      <c r="E81" s="137"/>
      <c r="F81" s="137"/>
    </row>
    <row r="82" spans="1:6">
      <c r="A82" s="137"/>
      <c r="B82" s="137"/>
      <c r="C82" s="137"/>
      <c r="D82" s="137"/>
      <c r="E82" s="137"/>
      <c r="F82" s="137"/>
    </row>
    <row r="83" spans="1:6">
      <c r="A83" s="137"/>
      <c r="B83" s="137"/>
      <c r="C83" s="137"/>
      <c r="D83" s="137"/>
      <c r="E83" s="137"/>
      <c r="F83" s="137"/>
    </row>
    <row r="84" spans="1:6">
      <c r="A84" s="137"/>
      <c r="B84" s="137"/>
      <c r="C84" s="137"/>
      <c r="D84" s="137"/>
      <c r="E84" s="137"/>
      <c r="F84" s="137"/>
    </row>
    <row r="85" spans="1:6">
      <c r="A85" s="137"/>
      <c r="B85" s="137"/>
      <c r="C85" s="137"/>
      <c r="D85" s="137"/>
      <c r="E85" s="137"/>
      <c r="F85" s="137"/>
    </row>
  </sheetData>
  <mergeCells count="5">
    <mergeCell ref="T9:Z37"/>
    <mergeCell ref="T3:Z7"/>
    <mergeCell ref="N4:P7"/>
    <mergeCell ref="N21:P44"/>
    <mergeCell ref="N10:P15"/>
  </mergeCells>
  <phoneticPr fontId="2" type="noConversion"/>
  <hyperlinks>
    <hyperlink ref="T3:Z7" r:id="rId1" display="归一化算法" xr:uid="{333B5472-2228-6A42-958B-E6B84114816D}"/>
    <hyperlink ref="N10" location="说明!A1" display="说明!A1" xr:uid="{5453713A-31C9-7B4D-9146-98F93E121D0A}"/>
    <hyperlink ref="C52" r:id="rId2" display="S2F" xr:uid="{FDFFDBBF-D8E4-B440-AC9E-E3F9C449C4A2}"/>
    <hyperlink ref="C53" r:id="rId3" display="MVRV" xr:uid="{BBB24C74-E96E-5342-B766-781309D8167B}"/>
    <hyperlink ref="C5" r:id="rId4" xr:uid="{2849D89F-EAD0-C14C-99C7-B5A35E6CC5C8}"/>
    <hyperlink ref="C4" r:id="rId5" display="S2F" xr:uid="{B109E273-E70D-1841-A6AC-4E6A183047CC}"/>
    <hyperlink ref="C21" r:id="rId6" xr:uid="{AEBCB3BD-1752-BE46-901D-5AD275EF5A63}"/>
    <hyperlink ref="C20" r:id="rId7" display="S2F" xr:uid="{1AF9571C-3F69-6945-87B4-8096335FF55E}"/>
    <hyperlink ref="C37" r:id="rId8" xr:uid="{241B33C2-A1FF-D742-BE97-B010A46F5108}"/>
    <hyperlink ref="C36" r:id="rId9" display="S2F" xr:uid="{9E52D893-BB9B-BD4C-A570-2A46B31F6779}"/>
    <hyperlink ref="N4" location="说明!A1" display="说明!A1" xr:uid="{73222322-A0E6-C24B-8035-F34EC5F42817}"/>
    <hyperlink ref="N4:P7" location="目录!A1" display="目录" xr:uid="{5E427563-B812-CE40-B2BE-C11949A822BE}"/>
  </hyperlinks>
  <pageMargins left="0.7" right="0.7" top="0.75" bottom="0.75" header="0.3" footer="0.3"/>
  <drawing r:id="rId10"/>
  <picture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78EE8-0FEC-C549-8DB4-8A198013EFBD}">
  <dimension ref="B1:AZ127"/>
  <sheetViews>
    <sheetView showGridLines="0" topLeftCell="J2" zoomScale="90" workbookViewId="0">
      <selection activeCell="R3" sqref="R3"/>
    </sheetView>
  </sheetViews>
  <sheetFormatPr baseColWidth="10" defaultRowHeight="16"/>
  <cols>
    <col min="7" max="7" width="3" customWidth="1"/>
    <col min="8" max="11" width="27" customWidth="1"/>
    <col min="12" max="12" width="3" customWidth="1"/>
    <col min="13" max="13" width="27" customWidth="1"/>
    <col min="14" max="14" width="3" customWidth="1"/>
    <col min="15" max="18" width="27" customWidth="1"/>
    <col min="19" max="19" width="3" customWidth="1"/>
    <col min="24" max="24" width="3" customWidth="1"/>
    <col min="25" max="28" width="27" customWidth="1"/>
    <col min="29" max="29" width="3" customWidth="1"/>
    <col min="30" max="30" width="27" customWidth="1"/>
    <col min="31" max="31" width="3" customWidth="1"/>
    <col min="32" max="35" width="27" customWidth="1"/>
    <col min="36" max="36" width="3" customWidth="1"/>
    <col min="40" max="40" width="3" customWidth="1"/>
    <col min="41" max="44" width="27" customWidth="1"/>
    <col min="45" max="45" width="3" customWidth="1"/>
    <col min="46" max="46" width="27" customWidth="1"/>
    <col min="47" max="47" width="3" customWidth="1"/>
    <col min="48" max="51" width="27" customWidth="1"/>
    <col min="52" max="52" width="3" customWidth="1"/>
  </cols>
  <sheetData>
    <row r="1" spans="2:50" ht="72" customHeight="1"/>
    <row r="2" spans="2:50" ht="72" customHeight="1" thickBot="1">
      <c r="B2" s="113"/>
      <c r="C2" s="224"/>
      <c r="D2" s="224"/>
      <c r="E2" s="224"/>
      <c r="F2" s="205"/>
      <c r="G2" s="224"/>
      <c r="H2" s="224"/>
      <c r="I2" s="224"/>
      <c r="J2" s="224"/>
      <c r="K2" s="224"/>
      <c r="L2" s="224"/>
      <c r="M2" s="224"/>
      <c r="N2" s="224"/>
      <c r="O2" s="224"/>
      <c r="P2" s="224"/>
      <c r="Q2" s="224"/>
      <c r="R2" s="224"/>
      <c r="S2" s="224"/>
      <c r="T2" s="113"/>
    </row>
    <row r="3" spans="2:50" ht="305" customHeight="1" thickBot="1">
      <c r="B3" s="224"/>
      <c r="C3" s="1401" t="s">
        <v>438</v>
      </c>
      <c r="D3" s="1401"/>
      <c r="E3" s="1401"/>
      <c r="F3" s="1401"/>
      <c r="G3" s="1401"/>
      <c r="H3" s="1401"/>
      <c r="I3" s="1401"/>
      <c r="J3" s="1401"/>
      <c r="K3" s="1401"/>
      <c r="L3" s="1401"/>
      <c r="M3" s="1401"/>
      <c r="N3" s="1401"/>
      <c r="O3" s="1401"/>
      <c r="P3" s="1401"/>
      <c r="Q3" s="224"/>
      <c r="R3" s="1142" t="s">
        <v>199</v>
      </c>
      <c r="S3" s="224"/>
      <c r="T3" s="224"/>
    </row>
    <row r="4" spans="2:50" ht="72" customHeight="1">
      <c r="B4" s="113"/>
      <c r="C4" s="224"/>
      <c r="D4" s="224"/>
      <c r="E4" s="224"/>
      <c r="F4" s="205"/>
      <c r="G4" s="224"/>
      <c r="H4" s="224"/>
      <c r="I4" s="224"/>
      <c r="J4" s="224"/>
      <c r="K4" s="224"/>
      <c r="L4" s="224"/>
      <c r="M4" s="224"/>
      <c r="N4" s="224"/>
      <c r="O4" s="224"/>
      <c r="P4" s="224"/>
      <c r="Q4" s="224"/>
      <c r="R4" s="224"/>
      <c r="S4" s="224"/>
      <c r="T4" s="113"/>
    </row>
    <row r="5" spans="2:50" ht="17" customHeight="1" thickBot="1">
      <c r="B5" s="224"/>
      <c r="C5" s="1402" t="s">
        <v>189</v>
      </c>
      <c r="D5" s="609"/>
      <c r="E5" s="1403" t="s">
        <v>338</v>
      </c>
      <c r="F5" s="34"/>
      <c r="G5" s="610"/>
      <c r="H5" s="610"/>
      <c r="I5" s="610"/>
      <c r="J5" s="610"/>
      <c r="K5" s="610"/>
      <c r="L5" s="610"/>
      <c r="M5" s="610"/>
      <c r="N5" s="610"/>
      <c r="O5" s="610"/>
      <c r="P5" s="610"/>
      <c r="Q5" s="610"/>
      <c r="R5" s="610"/>
      <c r="S5" s="610"/>
      <c r="T5" s="224"/>
      <c r="W5" t="s">
        <v>339</v>
      </c>
    </row>
    <row r="6" spans="2:50" ht="16" customHeight="1">
      <c r="B6" s="224"/>
      <c r="C6" s="1402"/>
      <c r="D6" s="609"/>
      <c r="E6" s="1403"/>
      <c r="F6" s="34"/>
      <c r="G6" s="610"/>
      <c r="H6" s="611" t="s">
        <v>340</v>
      </c>
      <c r="I6" s="495" t="s">
        <v>341</v>
      </c>
      <c r="J6" s="612" t="s">
        <v>342</v>
      </c>
      <c r="K6" s="612" t="s">
        <v>343</v>
      </c>
      <c r="L6" s="612"/>
      <c r="M6" s="612" t="s">
        <v>344</v>
      </c>
      <c r="N6" s="612"/>
      <c r="O6" s="612" t="s">
        <v>345</v>
      </c>
      <c r="P6" s="612" t="s">
        <v>346</v>
      </c>
      <c r="Q6" s="496" t="s">
        <v>347</v>
      </c>
      <c r="R6" s="613" t="s">
        <v>348</v>
      </c>
      <c r="S6" s="610"/>
      <c r="T6" s="224"/>
      <c r="V6" s="1404" t="s">
        <v>349</v>
      </c>
      <c r="W6" s="1404"/>
      <c r="X6" s="1404"/>
      <c r="Y6" s="1404"/>
      <c r="Z6" s="1404"/>
      <c r="AA6" s="1404"/>
      <c r="AB6" s="1404"/>
      <c r="AC6" s="1404"/>
      <c r="AD6" s="614"/>
      <c r="AE6" s="614"/>
      <c r="AF6" s="614"/>
      <c r="AG6" s="614"/>
      <c r="AH6" s="614"/>
      <c r="AI6" s="614"/>
      <c r="AJ6" s="614"/>
    </row>
    <row r="7" spans="2:50" ht="17" customHeight="1" thickBot="1">
      <c r="B7" s="224"/>
      <c r="C7" s="1402"/>
      <c r="D7" s="609"/>
      <c r="E7" s="1403"/>
      <c r="F7" s="34"/>
      <c r="G7" s="610"/>
      <c r="H7" s="615">
        <v>0</v>
      </c>
      <c r="I7" s="616">
        <v>0</v>
      </c>
      <c r="J7" s="617">
        <f>430000/6.4</f>
        <v>67187.5</v>
      </c>
      <c r="K7" s="617">
        <v>0</v>
      </c>
      <c r="L7" s="105"/>
      <c r="M7" s="617">
        <v>0</v>
      </c>
      <c r="N7" s="105"/>
      <c r="O7" s="617">
        <v>0</v>
      </c>
      <c r="P7" s="617">
        <v>0</v>
      </c>
      <c r="Q7" s="618">
        <v>0</v>
      </c>
      <c r="R7" s="619">
        <f>I7+J7+K7+J9+M7/2</f>
        <v>67187.5</v>
      </c>
      <c r="S7" s="610"/>
      <c r="T7" s="224"/>
      <c r="V7" s="1404"/>
      <c r="W7" s="1404"/>
      <c r="X7" s="1404"/>
      <c r="Y7" s="1404"/>
      <c r="Z7" s="1404"/>
      <c r="AA7" s="1404"/>
      <c r="AB7" s="1404"/>
      <c r="AC7" s="1404"/>
      <c r="AD7" s="614"/>
      <c r="AE7" s="614"/>
      <c r="AF7" s="614"/>
      <c r="AG7" s="614"/>
      <c r="AH7" s="614"/>
      <c r="AI7" s="614"/>
      <c r="AJ7" s="614"/>
    </row>
    <row r="8" spans="2:50" ht="16" customHeight="1">
      <c r="B8" s="224"/>
      <c r="C8" s="1402"/>
      <c r="D8" s="609"/>
      <c r="E8" s="1403"/>
      <c r="F8" s="34"/>
      <c r="G8" s="610"/>
      <c r="H8" s="611" t="s">
        <v>350</v>
      </c>
      <c r="I8" s="620"/>
      <c r="J8" s="610" t="s">
        <v>351</v>
      </c>
      <c r="K8" s="610"/>
      <c r="L8" s="610"/>
      <c r="M8" s="610"/>
      <c r="N8" s="610"/>
      <c r="O8" s="610"/>
      <c r="P8" s="610" t="s">
        <v>352</v>
      </c>
      <c r="Q8" s="307"/>
      <c r="R8" s="613" t="s">
        <v>353</v>
      </c>
      <c r="S8" s="610"/>
      <c r="T8" s="224"/>
      <c r="V8" s="1404"/>
      <c r="W8" s="1404"/>
      <c r="X8" s="1404"/>
      <c r="Y8" s="1404"/>
      <c r="Z8" s="1404"/>
      <c r="AA8" s="1404"/>
      <c r="AB8" s="1404"/>
      <c r="AC8" s="1404"/>
      <c r="AD8" s="614"/>
      <c r="AE8" s="614"/>
      <c r="AF8" s="614"/>
      <c r="AG8" s="614"/>
      <c r="AH8" s="614"/>
      <c r="AI8" s="614"/>
      <c r="AJ8" s="614"/>
    </row>
    <row r="9" spans="2:50" ht="17" customHeight="1" thickBot="1">
      <c r="B9" s="224"/>
      <c r="C9" s="1402"/>
      <c r="D9" s="609"/>
      <c r="E9" s="1403"/>
      <c r="F9" s="34"/>
      <c r="G9" s="610"/>
      <c r="H9" s="615">
        <v>0</v>
      </c>
      <c r="I9" s="621"/>
      <c r="J9" s="622">
        <v>0</v>
      </c>
      <c r="K9" s="233"/>
      <c r="L9" s="233"/>
      <c r="M9" s="233"/>
      <c r="N9" s="233"/>
      <c r="O9" s="233"/>
      <c r="P9" s="622">
        <v>0.1</v>
      </c>
      <c r="Q9" s="623"/>
      <c r="R9" s="624">
        <f>M7/2+O7+P7+Q7+P9</f>
        <v>0.1</v>
      </c>
      <c r="S9" s="610"/>
      <c r="T9" s="224"/>
      <c r="V9" s="1404"/>
      <c r="W9" s="1404"/>
      <c r="X9" s="1404"/>
      <c r="Y9" s="1404"/>
      <c r="Z9" s="1404"/>
      <c r="AA9" s="1404"/>
      <c r="AB9" s="1404"/>
      <c r="AC9" s="1404"/>
      <c r="AD9" s="614"/>
      <c r="AE9" s="614"/>
      <c r="AF9" s="614"/>
      <c r="AG9" s="614"/>
      <c r="AH9" s="614"/>
      <c r="AI9" s="614"/>
      <c r="AJ9" s="614"/>
    </row>
    <row r="10" spans="2:50" ht="16" customHeight="1">
      <c r="B10" s="224"/>
      <c r="C10" s="1402"/>
      <c r="D10" s="609"/>
      <c r="E10" s="1403"/>
      <c r="F10" s="34"/>
      <c r="G10" s="610"/>
      <c r="H10" s="610"/>
      <c r="I10" s="610"/>
      <c r="J10" s="610"/>
      <c r="K10" s="610"/>
      <c r="L10" s="610"/>
      <c r="M10" s="610"/>
      <c r="N10" s="610"/>
      <c r="O10" s="610"/>
      <c r="P10" s="610"/>
      <c r="Q10" s="610"/>
      <c r="R10" s="610"/>
      <c r="S10" s="610"/>
      <c r="T10" s="224"/>
    </row>
    <row r="11" spans="2:50" ht="15" customHeight="1">
      <c r="B11" s="224"/>
      <c r="C11" s="1402"/>
      <c r="D11" s="609"/>
      <c r="E11" s="1403"/>
      <c r="F11" s="205"/>
      <c r="G11" s="192"/>
      <c r="H11" s="192"/>
      <c r="I11" s="192"/>
      <c r="J11" s="192"/>
      <c r="K11" s="192"/>
      <c r="L11" s="192"/>
      <c r="M11" s="192"/>
      <c r="N11" s="192"/>
      <c r="O11" s="192"/>
      <c r="P11" s="192"/>
      <c r="Q11" s="192"/>
      <c r="R11" s="192"/>
      <c r="S11" s="192"/>
      <c r="T11" s="205"/>
    </row>
    <row r="12" spans="2:50" ht="15" customHeight="1">
      <c r="B12" s="224"/>
      <c r="C12" s="1402"/>
      <c r="D12" s="609"/>
      <c r="E12" s="1403"/>
      <c r="F12" s="34"/>
      <c r="G12" s="105"/>
      <c r="H12" s="105"/>
      <c r="I12" s="105"/>
      <c r="J12" s="105"/>
      <c r="K12" s="105"/>
      <c r="L12" s="105"/>
      <c r="M12" s="105"/>
      <c r="N12" s="105"/>
      <c r="O12" s="105"/>
      <c r="P12" s="105"/>
      <c r="Q12" s="105"/>
      <c r="R12" s="105"/>
      <c r="S12" s="105"/>
      <c r="T12" s="224"/>
    </row>
    <row r="13" spans="2:50" ht="15" customHeight="1">
      <c r="B13" s="224"/>
      <c r="C13" s="1402"/>
      <c r="D13" s="609"/>
      <c r="E13" s="1403"/>
      <c r="F13" s="34"/>
      <c r="G13" s="105"/>
      <c r="H13" s="105"/>
      <c r="I13" s="625" t="s">
        <v>354</v>
      </c>
      <c r="J13" s="625" t="s">
        <v>355</v>
      </c>
      <c r="K13" s="625" t="s">
        <v>356</v>
      </c>
      <c r="L13" s="105"/>
      <c r="M13" s="105"/>
      <c r="N13" s="105"/>
      <c r="O13" s="105"/>
      <c r="P13" s="105"/>
      <c r="Q13" s="105"/>
      <c r="R13" s="105"/>
      <c r="S13" s="105"/>
      <c r="T13" s="224"/>
    </row>
    <row r="14" spans="2:50" ht="15" customHeight="1">
      <c r="B14" s="224"/>
      <c r="C14" s="1402"/>
      <c r="D14" s="609"/>
      <c r="E14" s="1403"/>
      <c r="F14" s="34"/>
      <c r="G14" s="105"/>
      <c r="H14" s="105"/>
      <c r="I14" s="626">
        <v>312.83999999999997</v>
      </c>
      <c r="J14" s="626">
        <v>2383.94</v>
      </c>
      <c r="K14" s="626">
        <v>40013.83</v>
      </c>
      <c r="L14" s="105"/>
      <c r="M14" s="105"/>
      <c r="N14" s="105"/>
      <c r="O14" s="105"/>
      <c r="P14" s="105"/>
      <c r="Q14" s="105"/>
      <c r="R14" s="105"/>
      <c r="S14" s="105"/>
      <c r="T14" s="224"/>
    </row>
    <row r="15" spans="2:50" ht="15" customHeight="1" thickBot="1">
      <c r="B15" s="224"/>
      <c r="C15" s="1402"/>
      <c r="D15" s="609"/>
      <c r="E15" s="1403"/>
      <c r="F15" s="34"/>
      <c r="G15" s="105"/>
      <c r="H15" s="105"/>
      <c r="I15" s="105"/>
      <c r="J15" s="105"/>
      <c r="K15" s="105"/>
      <c r="L15" s="105"/>
      <c r="M15" s="105"/>
      <c r="N15" s="105"/>
      <c r="O15" s="105"/>
      <c r="P15" s="105"/>
      <c r="Q15" s="105"/>
      <c r="R15" s="105"/>
      <c r="S15" s="105"/>
      <c r="T15" s="224"/>
    </row>
    <row r="16" spans="2:50" ht="16" customHeight="1">
      <c r="B16" s="224"/>
      <c r="C16" s="1402"/>
      <c r="D16" s="609"/>
      <c r="E16" s="1403"/>
      <c r="F16" s="34"/>
      <c r="G16" s="610"/>
      <c r="H16" s="495"/>
      <c r="I16" s="627" t="s">
        <v>357</v>
      </c>
      <c r="J16" s="627" t="s">
        <v>358</v>
      </c>
      <c r="K16" s="627" t="s">
        <v>359</v>
      </c>
      <c r="L16" s="612"/>
      <c r="M16" s="612"/>
      <c r="N16" s="612"/>
      <c r="O16" s="627" t="s">
        <v>360</v>
      </c>
      <c r="P16" s="627" t="s">
        <v>361</v>
      </c>
      <c r="Q16" s="627" t="s">
        <v>362</v>
      </c>
      <c r="R16" s="496"/>
      <c r="S16" s="610"/>
      <c r="T16" s="224"/>
      <c r="V16" s="1404" t="s">
        <v>363</v>
      </c>
      <c r="W16" s="1404"/>
      <c r="X16" s="1404"/>
      <c r="Y16" s="1404"/>
      <c r="Z16" s="1404"/>
      <c r="AA16" s="1404"/>
      <c r="AB16" s="1404"/>
      <c r="AC16" s="1404"/>
      <c r="AD16" s="614"/>
      <c r="AE16" s="614"/>
      <c r="AF16" s="614"/>
      <c r="AG16" s="614"/>
      <c r="AH16" s="614"/>
      <c r="AI16" s="614"/>
      <c r="AJ16" s="614"/>
      <c r="AL16" s="628"/>
      <c r="AN16" s="144"/>
      <c r="AO16" s="144"/>
      <c r="AP16" s="144"/>
      <c r="AQ16" s="144"/>
      <c r="AR16" s="144"/>
      <c r="AS16" s="144"/>
      <c r="AT16" s="144"/>
      <c r="AU16" s="144"/>
      <c r="AV16" s="144"/>
      <c r="AW16" s="144"/>
      <c r="AX16" s="144"/>
    </row>
    <row r="17" spans="2:50" ht="16" customHeight="1" thickBot="1">
      <c r="B17" s="224"/>
      <c r="C17" s="1402"/>
      <c r="D17" s="609"/>
      <c r="E17" s="1403"/>
      <c r="F17" s="34"/>
      <c r="G17" s="610"/>
      <c r="H17" s="629" t="s">
        <v>364</v>
      </c>
      <c r="I17" s="630">
        <v>100000</v>
      </c>
      <c r="J17" s="630">
        <v>200000</v>
      </c>
      <c r="K17" s="630">
        <v>3000000</v>
      </c>
      <c r="L17" s="631"/>
      <c r="M17" s="631"/>
      <c r="N17" s="631"/>
      <c r="O17" s="630">
        <v>100000</v>
      </c>
      <c r="P17" s="630">
        <v>2000000</v>
      </c>
      <c r="Q17" s="630">
        <v>300000</v>
      </c>
      <c r="R17" s="632" t="s">
        <v>364</v>
      </c>
      <c r="S17" s="610"/>
      <c r="T17" s="224"/>
      <c r="V17" s="1404"/>
      <c r="W17" s="1404"/>
      <c r="X17" s="1404"/>
      <c r="Y17" s="1404"/>
      <c r="Z17" s="1404"/>
      <c r="AA17" s="1404"/>
      <c r="AB17" s="1404"/>
      <c r="AC17" s="1404"/>
      <c r="AD17" s="614"/>
      <c r="AE17" s="614"/>
      <c r="AF17" s="614"/>
      <c r="AG17" s="614"/>
      <c r="AH17" s="614"/>
      <c r="AI17" s="614"/>
      <c r="AJ17" s="614"/>
      <c r="AL17" s="628"/>
      <c r="AN17" s="144"/>
      <c r="AO17" s="144"/>
    </row>
    <row r="18" spans="2:50" ht="15" customHeight="1">
      <c r="B18" s="224"/>
      <c r="C18" s="1402"/>
      <c r="D18" s="609"/>
      <c r="E18" s="1403"/>
      <c r="F18" s="34"/>
      <c r="G18" s="105"/>
      <c r="H18" s="105"/>
      <c r="I18" s="105"/>
      <c r="J18" s="105"/>
      <c r="K18" s="105"/>
      <c r="L18" s="105"/>
      <c r="M18" s="105"/>
      <c r="N18" s="105"/>
      <c r="O18" s="105"/>
      <c r="P18" s="105"/>
      <c r="Q18" s="105"/>
      <c r="R18" s="105"/>
      <c r="S18" s="105"/>
      <c r="T18" s="224"/>
      <c r="V18" s="1404"/>
      <c r="W18" s="1404"/>
      <c r="X18" s="1404"/>
      <c r="Y18" s="1404"/>
      <c r="Z18" s="1404"/>
      <c r="AA18" s="1404"/>
      <c r="AB18" s="1404"/>
      <c r="AC18" s="1404"/>
      <c r="AD18" s="614"/>
      <c r="AE18" s="614"/>
      <c r="AF18" s="614"/>
      <c r="AG18" s="614"/>
      <c r="AH18" s="614"/>
      <c r="AI18" s="614"/>
      <c r="AJ18" s="614"/>
    </row>
    <row r="19" spans="2:50" ht="67" customHeight="1">
      <c r="B19" s="205"/>
      <c r="C19" s="1402"/>
      <c r="D19" s="34"/>
      <c r="E19" s="34"/>
      <c r="F19" s="192"/>
      <c r="G19" s="34"/>
      <c r="H19" s="34"/>
      <c r="I19" s="34"/>
      <c r="J19" s="34"/>
      <c r="K19" s="34"/>
      <c r="L19" s="34"/>
      <c r="M19" s="34"/>
      <c r="N19" s="34"/>
      <c r="O19" s="34"/>
      <c r="P19" s="34"/>
      <c r="Q19" s="34"/>
      <c r="R19" s="34"/>
      <c r="S19" s="34"/>
      <c r="T19" s="205"/>
      <c r="V19" s="614"/>
      <c r="W19" s="614"/>
      <c r="X19" s="614"/>
      <c r="Y19" s="614"/>
      <c r="Z19" s="614"/>
      <c r="AA19" s="614"/>
      <c r="AB19" s="614"/>
      <c r="AC19" s="614"/>
      <c r="AD19" s="614"/>
      <c r="AE19" s="614"/>
      <c r="AF19" s="614"/>
      <c r="AG19" s="614"/>
      <c r="AH19" s="614"/>
      <c r="AI19" s="614"/>
      <c r="AJ19" s="614"/>
    </row>
    <row r="20" spans="2:50" ht="15" customHeight="1" thickBot="1">
      <c r="B20" s="224"/>
      <c r="C20" s="1402"/>
      <c r="D20" s="609"/>
      <c r="E20" s="1405" t="s">
        <v>365</v>
      </c>
      <c r="F20" s="34"/>
      <c r="G20" s="105"/>
      <c r="H20" s="105"/>
      <c r="I20" s="105"/>
      <c r="J20" s="105"/>
      <c r="K20" s="105"/>
      <c r="L20" s="105"/>
      <c r="M20" s="105"/>
      <c r="N20" s="105"/>
      <c r="O20" s="105"/>
      <c r="P20" s="105"/>
      <c r="Q20" s="105"/>
      <c r="R20" s="105"/>
      <c r="S20" s="105"/>
      <c r="T20" s="224"/>
    </row>
    <row r="21" spans="2:50" ht="15" customHeight="1">
      <c r="B21" s="224"/>
      <c r="C21" s="1402"/>
      <c r="D21" s="609"/>
      <c r="E21" s="1405"/>
      <c r="F21" s="34"/>
      <c r="G21" s="105"/>
      <c r="H21" s="633"/>
      <c r="I21" s="634" t="s">
        <v>357</v>
      </c>
      <c r="J21" s="634" t="s">
        <v>358</v>
      </c>
      <c r="K21" s="634" t="s">
        <v>366</v>
      </c>
      <c r="L21" s="229"/>
      <c r="M21" s="229"/>
      <c r="N21" s="229"/>
      <c r="O21" s="627" t="s">
        <v>360</v>
      </c>
      <c r="P21" s="627" t="s">
        <v>361</v>
      </c>
      <c r="Q21" s="627" t="s">
        <v>362</v>
      </c>
      <c r="R21" s="635"/>
      <c r="S21" s="105"/>
      <c r="T21" s="224"/>
      <c r="V21" s="1404" t="s">
        <v>367</v>
      </c>
      <c r="W21" s="1404"/>
      <c r="X21" s="1404"/>
      <c r="Y21" s="1404"/>
      <c r="Z21" s="1404"/>
      <c r="AA21" s="1404"/>
      <c r="AB21" s="1404"/>
      <c r="AC21" s="1404"/>
      <c r="AD21" s="614"/>
      <c r="AE21" s="614"/>
      <c r="AF21" s="614"/>
      <c r="AG21" s="614"/>
      <c r="AH21" s="614"/>
      <c r="AI21" s="614"/>
    </row>
    <row r="22" spans="2:50" ht="15" customHeight="1">
      <c r="B22" s="224"/>
      <c r="C22" s="1402"/>
      <c r="D22" s="609"/>
      <c r="E22" s="1405"/>
      <c r="F22" s="34"/>
      <c r="G22" s="105"/>
      <c r="H22" s="636" t="s">
        <v>368</v>
      </c>
      <c r="I22" s="637" t="e">
        <f>I47</f>
        <v>#N/A</v>
      </c>
      <c r="J22" s="637" t="e">
        <f t="shared" ref="J22:K22" si="0">J47</f>
        <v>#N/A</v>
      </c>
      <c r="K22" s="637" t="e">
        <f t="shared" si="0"/>
        <v>#N/A</v>
      </c>
      <c r="L22" s="105"/>
      <c r="M22" s="105"/>
      <c r="N22" s="105"/>
      <c r="O22" s="637" t="e">
        <f t="shared" ref="O22:Q22" si="1">O47</f>
        <v>#N/A</v>
      </c>
      <c r="P22" s="637" t="e">
        <f t="shared" si="1"/>
        <v>#N/A</v>
      </c>
      <c r="Q22" s="637" t="e">
        <f t="shared" si="1"/>
        <v>#N/A</v>
      </c>
      <c r="R22" s="638" t="s">
        <v>369</v>
      </c>
      <c r="S22" s="105"/>
      <c r="T22" s="224"/>
      <c r="V22" s="1404"/>
      <c r="W22" s="1404"/>
      <c r="X22" s="1404"/>
      <c r="Y22" s="1404"/>
      <c r="Z22" s="1404"/>
      <c r="AA22" s="1404"/>
      <c r="AB22" s="1404"/>
      <c r="AC22" s="1404"/>
      <c r="AD22" s="614"/>
      <c r="AE22" s="614"/>
      <c r="AF22" s="614"/>
      <c r="AG22" s="614"/>
      <c r="AH22" s="614"/>
      <c r="AI22" s="614"/>
    </row>
    <row r="23" spans="2:50" ht="16" customHeight="1">
      <c r="B23" s="224"/>
      <c r="C23" s="1402"/>
      <c r="D23" s="609"/>
      <c r="E23" s="1405"/>
      <c r="F23" s="34"/>
      <c r="G23" s="610"/>
      <c r="H23" s="639" t="s">
        <v>370</v>
      </c>
      <c r="I23" s="640" t="e">
        <f>I57</f>
        <v>#N/A</v>
      </c>
      <c r="J23" s="640" t="e">
        <f t="shared" ref="J23:K23" si="2">J57</f>
        <v>#N/A</v>
      </c>
      <c r="K23" s="640" t="e">
        <f t="shared" si="2"/>
        <v>#N/A</v>
      </c>
      <c r="L23" s="610"/>
      <c r="M23" s="610"/>
      <c r="N23" s="610"/>
      <c r="O23" s="640" t="e">
        <f>O57</f>
        <v>#N/A</v>
      </c>
      <c r="P23" s="640" t="e">
        <f t="shared" ref="P23:Q23" si="3">P57</f>
        <v>#N/A</v>
      </c>
      <c r="Q23" s="640" t="e">
        <f t="shared" si="3"/>
        <v>#N/A</v>
      </c>
      <c r="R23" s="641" t="s">
        <v>371</v>
      </c>
      <c r="S23" s="610"/>
      <c r="T23" s="224"/>
      <c r="V23" s="1404"/>
      <c r="W23" s="1404"/>
      <c r="X23" s="1404"/>
      <c r="Y23" s="1404"/>
      <c r="Z23" s="1404"/>
      <c r="AA23" s="1404"/>
      <c r="AB23" s="1404"/>
      <c r="AC23" s="1404"/>
      <c r="AD23" s="614"/>
      <c r="AE23" s="614"/>
      <c r="AF23" s="614"/>
      <c r="AG23" s="614"/>
      <c r="AH23" s="614"/>
      <c r="AI23" s="614"/>
      <c r="AL23" s="628"/>
      <c r="AN23" s="144"/>
      <c r="AO23" s="144"/>
    </row>
    <row r="24" spans="2:50" ht="17" customHeight="1" thickBot="1">
      <c r="B24" s="224"/>
      <c r="C24" s="1402"/>
      <c r="D24" s="609"/>
      <c r="E24" s="1405"/>
      <c r="F24" s="34"/>
      <c r="G24" s="610"/>
      <c r="H24" s="642" t="s">
        <v>372</v>
      </c>
      <c r="I24" s="235" t="e">
        <f>I58</f>
        <v>#N/A</v>
      </c>
      <c r="J24" s="235" t="e">
        <f>J58</f>
        <v>#N/A</v>
      </c>
      <c r="K24" s="235" t="e">
        <f>K58</f>
        <v>#N/A</v>
      </c>
      <c r="L24" s="233"/>
      <c r="M24" s="233"/>
      <c r="N24" s="233"/>
      <c r="O24" s="235" t="e">
        <f>O58</f>
        <v>#N/A</v>
      </c>
      <c r="P24" s="235" t="e">
        <f>P58</f>
        <v>#N/A</v>
      </c>
      <c r="Q24" s="235" t="e">
        <f>Q58</f>
        <v>#N/A</v>
      </c>
      <c r="R24" s="643" t="s">
        <v>373</v>
      </c>
      <c r="S24" s="610"/>
      <c r="T24" s="224"/>
      <c r="V24" s="628"/>
      <c r="X24" s="144"/>
      <c r="Y24" s="144"/>
      <c r="Z24" s="144"/>
      <c r="AA24" s="144"/>
      <c r="AB24" s="144"/>
      <c r="AC24" s="144"/>
      <c r="AD24" s="144"/>
      <c r="AE24" s="144"/>
      <c r="AF24" s="144"/>
      <c r="AG24" s="144"/>
      <c r="AH24" s="144"/>
      <c r="AL24" s="628"/>
      <c r="AN24" s="144"/>
      <c r="AO24" s="144"/>
      <c r="AP24" s="144"/>
      <c r="AQ24" s="144"/>
      <c r="AR24" s="144"/>
      <c r="AS24" s="144"/>
      <c r="AT24" s="144"/>
      <c r="AU24" s="144"/>
      <c r="AV24" s="144"/>
      <c r="AW24" s="144"/>
      <c r="AX24" s="144"/>
    </row>
    <row r="25" spans="2:50" ht="17" customHeight="1" thickBot="1">
      <c r="B25" s="224"/>
      <c r="C25" s="1402"/>
      <c r="D25" s="609"/>
      <c r="E25" s="1405"/>
      <c r="F25" s="34"/>
      <c r="G25" s="610"/>
      <c r="H25" s="610"/>
      <c r="I25" s="610"/>
      <c r="J25" s="610"/>
      <c r="K25" s="610"/>
      <c r="L25" s="610"/>
      <c r="M25" s="610"/>
      <c r="N25" s="610"/>
      <c r="O25" s="610"/>
      <c r="P25" s="610"/>
      <c r="Q25" s="610"/>
      <c r="R25" s="105"/>
      <c r="S25" s="105"/>
      <c r="T25" s="224"/>
    </row>
    <row r="26" spans="2:50" ht="16" customHeight="1">
      <c r="B26" s="224"/>
      <c r="C26" s="1402"/>
      <c r="D26" s="609"/>
      <c r="E26" s="1405"/>
      <c r="F26" s="34"/>
      <c r="G26" s="610"/>
      <c r="H26" s="495"/>
      <c r="I26" s="612" t="s">
        <v>374</v>
      </c>
      <c r="J26" s="612" t="s">
        <v>375</v>
      </c>
      <c r="K26" s="612" t="s">
        <v>376</v>
      </c>
      <c r="L26" s="612"/>
      <c r="M26" s="612" t="s">
        <v>377</v>
      </c>
      <c r="N26" s="612"/>
      <c r="O26" s="612" t="s">
        <v>378</v>
      </c>
      <c r="P26" s="612" t="s">
        <v>379</v>
      </c>
      <c r="Q26" s="612" t="s">
        <v>380</v>
      </c>
      <c r="R26" s="644"/>
      <c r="S26" s="105"/>
      <c r="T26" s="224"/>
      <c r="V26" s="1406" t="s">
        <v>381</v>
      </c>
      <c r="W26" s="1406"/>
      <c r="X26" s="1406"/>
      <c r="Y26" s="1406"/>
      <c r="Z26" s="1406"/>
      <c r="AA26" s="1406"/>
      <c r="AB26" s="1406"/>
      <c r="AC26" s="1406"/>
      <c r="AD26" s="614"/>
      <c r="AE26" s="614"/>
      <c r="AF26" s="614"/>
      <c r="AG26" s="614"/>
      <c r="AH26" s="614"/>
      <c r="AI26" s="614"/>
    </row>
    <row r="27" spans="2:50" ht="16" customHeight="1">
      <c r="B27" s="224"/>
      <c r="C27" s="1402"/>
      <c r="D27" s="609"/>
      <c r="E27" s="1405"/>
      <c r="F27" s="34"/>
      <c r="G27" s="610"/>
      <c r="H27" s="645"/>
      <c r="I27" s="646">
        <f>I64</f>
        <v>0</v>
      </c>
      <c r="J27" s="647">
        <f>J64</f>
        <v>0.10176405750136142</v>
      </c>
      <c r="K27" s="648">
        <f>K64</f>
        <v>0.68690738813418883</v>
      </c>
      <c r="L27" s="105"/>
      <c r="M27" s="649">
        <f>M64</f>
        <v>0</v>
      </c>
      <c r="N27" s="105"/>
      <c r="O27" s="311">
        <f>O64</f>
        <v>0</v>
      </c>
      <c r="P27" s="650">
        <f>P64</f>
        <v>4.1666666666666631E-3</v>
      </c>
      <c r="Q27" s="651">
        <f>Q64</f>
        <v>1.2499999999999995E-2</v>
      </c>
      <c r="R27" s="307"/>
      <c r="S27" s="105"/>
      <c r="T27" s="224"/>
      <c r="V27" s="1406"/>
      <c r="W27" s="1406"/>
      <c r="X27" s="1406"/>
      <c r="Y27" s="1406"/>
      <c r="Z27" s="1406"/>
      <c r="AA27" s="1406"/>
      <c r="AB27" s="1406"/>
      <c r="AC27" s="1406"/>
      <c r="AD27" s="614"/>
      <c r="AE27" s="614"/>
      <c r="AF27" s="614"/>
      <c r="AG27" s="614"/>
      <c r="AH27" s="614"/>
      <c r="AI27" s="614"/>
    </row>
    <row r="28" spans="2:50" ht="16" customHeight="1">
      <c r="B28" s="224"/>
      <c r="C28" s="1402"/>
      <c r="D28" s="609"/>
      <c r="E28" s="1405"/>
      <c r="F28" s="34"/>
      <c r="G28" s="610"/>
      <c r="H28" s="645"/>
      <c r="I28" s="105"/>
      <c r="J28" s="610" t="s">
        <v>382</v>
      </c>
      <c r="K28" s="105"/>
      <c r="L28" s="105"/>
      <c r="M28" s="105"/>
      <c r="N28" s="105"/>
      <c r="O28" s="105"/>
      <c r="P28" s="610" t="s">
        <v>383</v>
      </c>
      <c r="Q28" s="105"/>
      <c r="R28" s="307"/>
      <c r="S28" s="105"/>
      <c r="T28" s="224"/>
      <c r="V28" s="1406"/>
      <c r="W28" s="1406"/>
      <c r="X28" s="1406"/>
      <c r="Y28" s="1406"/>
      <c r="Z28" s="1406"/>
      <c r="AA28" s="1406"/>
      <c r="AB28" s="1406"/>
      <c r="AC28" s="1406"/>
      <c r="AD28" s="614"/>
      <c r="AE28" s="614"/>
      <c r="AF28" s="614"/>
      <c r="AG28" s="614"/>
      <c r="AH28" s="614"/>
      <c r="AI28" s="614"/>
    </row>
    <row r="29" spans="2:50" ht="17" customHeight="1" thickBot="1">
      <c r="B29" s="224"/>
      <c r="C29" s="1402"/>
      <c r="D29" s="609"/>
      <c r="E29" s="1405"/>
      <c r="F29" s="34"/>
      <c r="G29" s="610"/>
      <c r="H29" s="497"/>
      <c r="I29" s="233"/>
      <c r="J29" s="652">
        <f>J66</f>
        <v>5.0882028750680708E-2</v>
      </c>
      <c r="K29" s="233"/>
      <c r="L29" s="233"/>
      <c r="M29" s="233"/>
      <c r="N29" s="233"/>
      <c r="O29" s="233"/>
      <c r="P29" s="653">
        <f>P66</f>
        <v>0</v>
      </c>
      <c r="Q29" s="233"/>
      <c r="R29" s="623"/>
      <c r="S29" s="105"/>
      <c r="T29" s="224"/>
    </row>
    <row r="30" spans="2:50" ht="16" customHeight="1">
      <c r="B30" s="224"/>
      <c r="C30" s="1402"/>
      <c r="D30" s="609"/>
      <c r="E30" s="1405"/>
      <c r="F30" s="34"/>
      <c r="G30" s="610"/>
      <c r="H30" s="610"/>
      <c r="I30" s="610"/>
      <c r="J30" s="610"/>
      <c r="K30" s="610"/>
      <c r="L30" s="610"/>
      <c r="M30" s="610"/>
      <c r="N30" s="610"/>
      <c r="O30" s="610"/>
      <c r="P30" s="610"/>
      <c r="Q30" s="610"/>
      <c r="R30" s="105"/>
      <c r="S30" s="105"/>
      <c r="T30" s="224"/>
    </row>
    <row r="31" spans="2:50" ht="67" customHeight="1">
      <c r="B31" s="113"/>
      <c r="C31" s="654"/>
      <c r="D31" s="224"/>
      <c r="E31" s="224"/>
      <c r="F31" s="205"/>
      <c r="G31" s="224"/>
      <c r="H31" s="224"/>
      <c r="I31" s="224"/>
      <c r="J31" s="224"/>
      <c r="K31" s="224"/>
      <c r="L31" s="224"/>
      <c r="M31" s="224"/>
      <c r="N31" s="224"/>
      <c r="O31" s="224"/>
      <c r="P31" s="224"/>
      <c r="Q31" s="224"/>
      <c r="R31" s="224"/>
      <c r="S31" s="224"/>
      <c r="T31" s="113"/>
    </row>
    <row r="32" spans="2:50" ht="70" customHeight="1"/>
    <row r="33" spans="2:19" ht="70" hidden="1" customHeight="1">
      <c r="B33" s="192"/>
      <c r="C33" s="192"/>
      <c r="D33" s="192"/>
      <c r="E33" s="192"/>
      <c r="F33" s="192"/>
    </row>
    <row r="34" spans="2:19" ht="17" hidden="1" customHeight="1" thickBot="1">
      <c r="B34" s="192"/>
      <c r="C34" s="1407" t="s">
        <v>338</v>
      </c>
      <c r="D34" s="1407"/>
      <c r="E34" s="1407"/>
      <c r="F34" s="34"/>
      <c r="G34" s="610"/>
      <c r="H34" s="610"/>
      <c r="I34" s="610"/>
      <c r="J34" s="610"/>
      <c r="K34" s="610"/>
      <c r="L34" s="610"/>
      <c r="M34" s="610"/>
      <c r="N34" s="610"/>
      <c r="O34" s="610"/>
      <c r="P34" s="610"/>
      <c r="Q34" s="610"/>
      <c r="R34" s="610"/>
      <c r="S34" s="610"/>
    </row>
    <row r="35" spans="2:19" ht="16" hidden="1" customHeight="1">
      <c r="B35" s="192"/>
      <c r="C35" s="1407"/>
      <c r="D35" s="1407"/>
      <c r="E35" s="1407"/>
      <c r="F35" s="34"/>
      <c r="G35" s="610"/>
      <c r="H35" s="611" t="s">
        <v>340</v>
      </c>
      <c r="I35" s="495" t="s">
        <v>384</v>
      </c>
      <c r="J35" s="612" t="s">
        <v>56</v>
      </c>
      <c r="K35" s="612" t="s">
        <v>359</v>
      </c>
      <c r="L35" s="612"/>
      <c r="M35" s="612" t="s">
        <v>385</v>
      </c>
      <c r="N35" s="612"/>
      <c r="O35" s="612" t="s">
        <v>360</v>
      </c>
      <c r="P35" s="612" t="s">
        <v>386</v>
      </c>
      <c r="Q35" s="496" t="s">
        <v>387</v>
      </c>
      <c r="R35" s="613" t="s">
        <v>348</v>
      </c>
      <c r="S35" s="610"/>
    </row>
    <row r="36" spans="2:19" ht="17" hidden="1" customHeight="1" thickBot="1">
      <c r="B36" s="192"/>
      <c r="C36" s="1407"/>
      <c r="D36" s="1407"/>
      <c r="E36" s="1407"/>
      <c r="F36" s="34"/>
      <c r="G36" s="610"/>
      <c r="H36" s="615">
        <f>H7</f>
        <v>0</v>
      </c>
      <c r="I36" s="655">
        <f>I7</f>
        <v>0</v>
      </c>
      <c r="J36" s="606">
        <f>J7</f>
        <v>67187.5</v>
      </c>
      <c r="K36" s="606">
        <f>K7</f>
        <v>0</v>
      </c>
      <c r="L36" s="105"/>
      <c r="M36" s="606">
        <f>M7</f>
        <v>0</v>
      </c>
      <c r="N36" s="105"/>
      <c r="O36" s="606">
        <f>O7</f>
        <v>0</v>
      </c>
      <c r="P36" s="606">
        <f>P7</f>
        <v>0</v>
      </c>
      <c r="Q36" s="656">
        <f>Q7</f>
        <v>0</v>
      </c>
      <c r="R36" s="657">
        <f>I36+J36+K36+J38+M36/2</f>
        <v>67187.5</v>
      </c>
      <c r="S36" s="610"/>
    </row>
    <row r="37" spans="2:19" ht="16" hidden="1" customHeight="1">
      <c r="B37" s="192"/>
      <c r="C37" s="1407"/>
      <c r="D37" s="1407"/>
      <c r="E37" s="1407"/>
      <c r="F37" s="34"/>
      <c r="G37" s="610"/>
      <c r="H37" s="611" t="s">
        <v>350</v>
      </c>
      <c r="I37" s="620"/>
      <c r="J37" s="610" t="s">
        <v>388</v>
      </c>
      <c r="K37" s="610"/>
      <c r="L37" s="610"/>
      <c r="M37" s="610"/>
      <c r="N37" s="610"/>
      <c r="O37" s="610"/>
      <c r="P37" s="610" t="s">
        <v>55</v>
      </c>
      <c r="Q37" s="307"/>
      <c r="R37" s="658" t="s">
        <v>353</v>
      </c>
      <c r="S37" s="610"/>
    </row>
    <row r="38" spans="2:19" ht="17" hidden="1" customHeight="1" thickBot="1">
      <c r="B38" s="192"/>
      <c r="C38" s="1407"/>
      <c r="D38" s="1407"/>
      <c r="E38" s="1407"/>
      <c r="F38" s="34"/>
      <c r="G38" s="610"/>
      <c r="H38" s="615">
        <f>H9</f>
        <v>0</v>
      </c>
      <c r="I38" s="621"/>
      <c r="J38" s="659">
        <f>J9</f>
        <v>0</v>
      </c>
      <c r="K38" s="233"/>
      <c r="L38" s="233"/>
      <c r="M38" s="233"/>
      <c r="N38" s="233"/>
      <c r="O38" s="233"/>
      <c r="P38" s="659">
        <f>P9</f>
        <v>0.1</v>
      </c>
      <c r="Q38" s="623"/>
      <c r="R38" s="660">
        <f>M36/2+O36+P36+Q36+P38</f>
        <v>0.1</v>
      </c>
      <c r="S38" s="610"/>
    </row>
    <row r="39" spans="2:19" ht="16" hidden="1" customHeight="1">
      <c r="B39" s="192"/>
      <c r="C39" s="1407"/>
      <c r="D39" s="1407"/>
      <c r="E39" s="1407"/>
      <c r="F39" s="34"/>
      <c r="G39" s="610"/>
      <c r="H39" s="610"/>
      <c r="I39" s="610"/>
      <c r="J39" s="610"/>
      <c r="K39" s="610"/>
      <c r="L39" s="610"/>
      <c r="M39" s="610"/>
      <c r="N39" s="610"/>
      <c r="O39" s="610"/>
      <c r="P39" s="610"/>
      <c r="Q39" s="610"/>
      <c r="R39" s="610"/>
      <c r="S39" s="610"/>
    </row>
    <row r="40" spans="2:19" ht="67" hidden="1" customHeight="1">
      <c r="B40" s="192"/>
      <c r="C40" s="192"/>
      <c r="D40" s="192"/>
      <c r="E40" s="192"/>
      <c r="F40" s="192"/>
    </row>
    <row r="41" spans="2:19" ht="15" hidden="1" customHeight="1" thickBot="1">
      <c r="B41" s="192"/>
      <c r="C41" s="192"/>
      <c r="D41" s="192"/>
      <c r="E41" s="192" t="s">
        <v>339</v>
      </c>
      <c r="F41" s="192" t="s">
        <v>339</v>
      </c>
      <c r="P41" s="105"/>
      <c r="Q41" s="105"/>
      <c r="R41" s="105"/>
      <c r="S41" s="105"/>
    </row>
    <row r="42" spans="2:19" ht="15" hidden="1" customHeight="1">
      <c r="B42" s="192"/>
      <c r="C42" s="1407" t="s">
        <v>389</v>
      </c>
      <c r="D42" s="1408"/>
      <c r="E42" s="1407" t="s">
        <v>390</v>
      </c>
      <c r="F42" s="34"/>
      <c r="G42" s="610"/>
      <c r="H42" s="610"/>
      <c r="I42" s="144"/>
      <c r="J42" s="144"/>
      <c r="K42" s="144"/>
      <c r="L42" s="144"/>
      <c r="M42" s="144"/>
      <c r="N42" s="610"/>
      <c r="O42" s="144"/>
      <c r="P42" s="610"/>
      <c r="Q42" s="613" t="s">
        <v>391</v>
      </c>
      <c r="R42" s="613" t="s">
        <v>392</v>
      </c>
      <c r="S42" s="610"/>
    </row>
    <row r="43" spans="2:19" ht="15" hidden="1" customHeight="1" thickBot="1">
      <c r="B43" s="192"/>
      <c r="C43" s="1407"/>
      <c r="D43" s="1408"/>
      <c r="E43" s="1407"/>
      <c r="F43" s="34"/>
      <c r="G43" s="610"/>
      <c r="H43" s="610"/>
      <c r="I43" s="610"/>
      <c r="J43" s="610"/>
      <c r="K43" s="610"/>
      <c r="L43" s="610"/>
      <c r="M43" s="610"/>
      <c r="N43" s="610"/>
      <c r="O43" s="610"/>
      <c r="P43" s="610"/>
      <c r="Q43" s="660" t="e">
        <f>'旧驾驶舱（待拆除）'!K26</f>
        <v>#N/A</v>
      </c>
      <c r="R43" s="660" t="e">
        <f>'旧驾驶舱（待拆除）'!K29</f>
        <v>#N/A</v>
      </c>
      <c r="S43" s="610"/>
    </row>
    <row r="44" spans="2:19" ht="15" hidden="1" customHeight="1">
      <c r="B44" s="192"/>
      <c r="C44" s="1407"/>
      <c r="D44" s="1408"/>
      <c r="E44" s="1407"/>
      <c r="F44" s="34"/>
      <c r="G44" s="610"/>
      <c r="H44" s="610"/>
      <c r="I44" s="610"/>
      <c r="J44" s="610"/>
      <c r="K44" s="610"/>
      <c r="L44" s="610"/>
      <c r="M44" s="610"/>
      <c r="N44" s="610"/>
      <c r="O44" s="610"/>
      <c r="P44" s="610"/>
      <c r="Q44" s="610"/>
      <c r="R44" s="610"/>
      <c r="S44" s="610"/>
    </row>
    <row r="45" spans="2:19" ht="15" hidden="1" customHeight="1" thickBot="1">
      <c r="B45" s="192"/>
      <c r="C45" s="1407"/>
      <c r="D45" s="1408"/>
      <c r="E45" s="1407"/>
      <c r="F45" s="34"/>
      <c r="G45" s="610"/>
      <c r="H45" s="105"/>
      <c r="I45" s="661" t="s">
        <v>357</v>
      </c>
      <c r="J45" s="661" t="s">
        <v>358</v>
      </c>
      <c r="K45" s="661" t="s">
        <v>366</v>
      </c>
      <c r="L45" s="105"/>
      <c r="M45" s="105"/>
      <c r="N45" s="105"/>
      <c r="O45" s="662" t="s">
        <v>360</v>
      </c>
      <c r="P45" s="662" t="s">
        <v>361</v>
      </c>
      <c r="Q45" s="662" t="s">
        <v>362</v>
      </c>
      <c r="R45" s="105"/>
      <c r="S45" s="610"/>
    </row>
    <row r="46" spans="2:19" ht="15" hidden="1" customHeight="1">
      <c r="B46" s="192"/>
      <c r="C46" s="1407"/>
      <c r="D46" s="1408"/>
      <c r="E46" s="1407"/>
      <c r="F46" s="34"/>
      <c r="G46" s="610"/>
      <c r="H46" s="663" t="s">
        <v>393</v>
      </c>
      <c r="I46" s="664">
        <f>(I36/2+J38/2)/R36</f>
        <v>0</v>
      </c>
      <c r="J46" s="664">
        <f>(J36/2+I36/2)/R36</f>
        <v>0.5</v>
      </c>
      <c r="K46" s="665">
        <f>(K36+J36/2+J38/2+M36/2)/R36</f>
        <v>0.5</v>
      </c>
      <c r="L46" s="666"/>
      <c r="M46" s="229"/>
      <c r="N46" s="644"/>
      <c r="O46" s="667">
        <f>(O36+P36/2+P38/2+M36/2)/R38</f>
        <v>0.5</v>
      </c>
      <c r="P46" s="664">
        <f>(P36/2+Q36/2)/R38</f>
        <v>0</v>
      </c>
      <c r="Q46" s="664">
        <f>(P38/2+Q36/2)/R38</f>
        <v>0.5</v>
      </c>
      <c r="R46" s="663" t="s">
        <v>393</v>
      </c>
      <c r="S46" s="610"/>
    </row>
    <row r="47" spans="2:19" ht="15" hidden="1" customHeight="1">
      <c r="B47" s="192"/>
      <c r="C47" s="1407"/>
      <c r="D47" s="1408"/>
      <c r="E47" s="1407"/>
      <c r="F47" s="34"/>
      <c r="G47" s="610"/>
      <c r="H47" s="636" t="s">
        <v>368</v>
      </c>
      <c r="I47" s="668" t="e">
        <f>-MAX($R$36-$Q$43,0)*I46</f>
        <v>#N/A</v>
      </c>
      <c r="J47" s="668" t="e">
        <f>-MAX($R$36-$Q$43,0)*J46</f>
        <v>#N/A</v>
      </c>
      <c r="K47" s="668" t="e">
        <f>-MAX($R$36-$Q$43,0)*K46+MAX(R38-R43,0)</f>
        <v>#N/A</v>
      </c>
      <c r="L47" s="620"/>
      <c r="M47" s="105"/>
      <c r="N47" s="307"/>
      <c r="O47" s="669" t="e">
        <f>-MAX($R$38-$R$43,0)*O46+MAX(R36-Q43,0)</f>
        <v>#N/A</v>
      </c>
      <c r="P47" s="669" t="e">
        <f>-MAX($R$38-$R$43,0)*P46</f>
        <v>#N/A</v>
      </c>
      <c r="Q47" s="669" t="e">
        <f>-MAX($R$38-$R$43,0)*Q46</f>
        <v>#N/A</v>
      </c>
      <c r="R47" s="636" t="s">
        <v>369</v>
      </c>
      <c r="S47" s="610"/>
    </row>
    <row r="48" spans="2:19" ht="15" hidden="1" customHeight="1" thickBot="1">
      <c r="B48" s="192"/>
      <c r="C48" s="1407"/>
      <c r="D48" s="1408"/>
      <c r="E48" s="1407"/>
      <c r="F48" s="34"/>
      <c r="G48" s="610"/>
      <c r="H48" s="629" t="s">
        <v>394</v>
      </c>
      <c r="I48" s="670" t="e">
        <f>I46+I47</f>
        <v>#N/A</v>
      </c>
      <c r="J48" s="670" t="e">
        <f t="shared" ref="J48:K48" si="4">J46+J47</f>
        <v>#N/A</v>
      </c>
      <c r="K48" s="670" t="e">
        <f t="shared" si="4"/>
        <v>#N/A</v>
      </c>
      <c r="L48" s="621"/>
      <c r="M48" s="233"/>
      <c r="N48" s="623"/>
      <c r="O48" s="670" t="e">
        <f>O46+O47</f>
        <v>#N/A</v>
      </c>
      <c r="P48" s="670" t="e">
        <f t="shared" ref="P48:Q48" si="5">P46+P47</f>
        <v>#N/A</v>
      </c>
      <c r="Q48" s="670" t="e">
        <f t="shared" si="5"/>
        <v>#N/A</v>
      </c>
      <c r="R48" s="629" t="s">
        <v>394</v>
      </c>
      <c r="S48" s="610"/>
    </row>
    <row r="49" spans="2:52" ht="15" hidden="1" customHeight="1">
      <c r="B49" s="192"/>
      <c r="C49" s="1407"/>
      <c r="D49" s="1408"/>
      <c r="E49" s="192"/>
      <c r="F49" s="34"/>
      <c r="G49" s="610"/>
      <c r="H49" s="610"/>
      <c r="I49" s="610"/>
      <c r="J49" s="610"/>
      <c r="K49" s="610"/>
      <c r="L49" s="610"/>
      <c r="M49" s="610"/>
      <c r="N49" s="610"/>
      <c r="O49" s="610"/>
      <c r="P49" s="610"/>
      <c r="Q49" s="610"/>
      <c r="R49" s="610"/>
      <c r="S49" s="610"/>
    </row>
    <row r="50" spans="2:52" ht="15" hidden="1" customHeight="1">
      <c r="B50" s="192"/>
      <c r="C50" s="1407"/>
      <c r="D50" s="1408"/>
      <c r="E50" s="1407" t="s">
        <v>395</v>
      </c>
      <c r="F50" s="34"/>
      <c r="G50" s="610"/>
      <c r="H50" s="105"/>
      <c r="I50" s="671" t="s">
        <v>354</v>
      </c>
      <c r="J50" s="671" t="s">
        <v>355</v>
      </c>
      <c r="K50" s="671" t="s">
        <v>356</v>
      </c>
      <c r="L50" s="610"/>
      <c r="M50" s="610"/>
      <c r="N50" s="610"/>
      <c r="O50" s="610"/>
      <c r="P50" s="610"/>
      <c r="Q50" s="610"/>
      <c r="R50" s="610"/>
      <c r="S50" s="610"/>
    </row>
    <row r="51" spans="2:52" ht="15" hidden="1" customHeight="1">
      <c r="B51" s="192"/>
      <c r="C51" s="1407"/>
      <c r="D51" s="1408"/>
      <c r="E51" s="1407"/>
      <c r="F51" s="34"/>
      <c r="G51" s="610"/>
      <c r="H51" s="105"/>
      <c r="I51" s="672">
        <f>I14</f>
        <v>312.83999999999997</v>
      </c>
      <c r="J51" s="672">
        <f>J14</f>
        <v>2383.94</v>
      </c>
      <c r="K51" s="672">
        <f>K14</f>
        <v>40013.83</v>
      </c>
      <c r="L51" s="610"/>
      <c r="M51" s="610"/>
      <c r="N51" s="610"/>
      <c r="O51" s="610"/>
      <c r="P51" s="610"/>
      <c r="Q51" s="610"/>
      <c r="R51" s="610"/>
      <c r="S51" s="610"/>
    </row>
    <row r="52" spans="2:52" ht="15" hidden="1" customHeight="1">
      <c r="B52" s="192"/>
      <c r="C52" s="1407"/>
      <c r="D52" s="1408"/>
      <c r="E52" s="1407"/>
      <c r="F52" s="34"/>
      <c r="G52" s="610"/>
      <c r="H52" s="610"/>
      <c r="I52" s="610"/>
      <c r="J52" s="610"/>
      <c r="K52" s="610"/>
      <c r="L52" s="610"/>
      <c r="M52" s="610"/>
      <c r="N52" s="610"/>
      <c r="O52" s="610"/>
      <c r="P52" s="610"/>
      <c r="Q52" s="610"/>
      <c r="R52" s="610"/>
      <c r="S52" s="610"/>
    </row>
    <row r="53" spans="2:52" ht="15" hidden="1" customHeight="1" thickBot="1">
      <c r="B53" s="192"/>
      <c r="C53" s="1407"/>
      <c r="D53" s="1408"/>
      <c r="E53" s="1407"/>
      <c r="F53" s="34"/>
      <c r="G53" s="610"/>
      <c r="H53" s="610"/>
      <c r="I53" s="610"/>
      <c r="J53" s="610"/>
      <c r="K53" s="610"/>
      <c r="L53" s="610"/>
      <c r="M53" s="610"/>
      <c r="N53" s="610"/>
      <c r="O53" s="610"/>
      <c r="P53" s="610"/>
      <c r="Q53" s="610"/>
      <c r="R53" s="610"/>
      <c r="S53" s="610"/>
      <c r="V53" s="1407" t="s">
        <v>396</v>
      </c>
      <c r="X53" s="610"/>
      <c r="Y53" s="610"/>
      <c r="Z53" s="610"/>
      <c r="AA53" s="610"/>
      <c r="AB53" s="610"/>
      <c r="AC53" s="610"/>
      <c r="AD53" s="610"/>
      <c r="AE53" s="610"/>
      <c r="AF53" s="610"/>
      <c r="AG53" s="610"/>
      <c r="AH53" s="610"/>
      <c r="AI53" s="105"/>
      <c r="AJ53" s="105"/>
      <c r="AL53" s="1407" t="s">
        <v>397</v>
      </c>
      <c r="AN53" s="610"/>
      <c r="AO53" s="610"/>
      <c r="AP53" s="610"/>
      <c r="AQ53" s="610"/>
      <c r="AR53" s="610"/>
      <c r="AS53" s="610"/>
      <c r="AT53" s="610"/>
      <c r="AU53" s="610"/>
      <c r="AV53" s="610"/>
      <c r="AW53" s="610"/>
      <c r="AX53" s="610"/>
      <c r="AY53" s="105"/>
      <c r="AZ53" s="105"/>
    </row>
    <row r="54" spans="2:52" ht="16" hidden="1" customHeight="1">
      <c r="B54" s="192"/>
      <c r="C54" s="1407"/>
      <c r="D54" s="1408"/>
      <c r="E54" s="1407"/>
      <c r="F54" s="34"/>
      <c r="G54" s="610"/>
      <c r="H54" s="495"/>
      <c r="I54" s="627" t="s">
        <v>357</v>
      </c>
      <c r="J54" s="627" t="s">
        <v>358</v>
      </c>
      <c r="K54" s="627" t="s">
        <v>359</v>
      </c>
      <c r="L54" s="612"/>
      <c r="M54" s="612"/>
      <c r="N54" s="612"/>
      <c r="O54" s="627" t="s">
        <v>360</v>
      </c>
      <c r="P54" s="627" t="s">
        <v>361</v>
      </c>
      <c r="Q54" s="627" t="s">
        <v>362</v>
      </c>
      <c r="R54" s="496"/>
      <c r="S54" s="610"/>
      <c r="V54" s="1407"/>
      <c r="X54" s="610"/>
      <c r="Y54" s="611" t="s">
        <v>398</v>
      </c>
      <c r="Z54" s="495" t="s">
        <v>384</v>
      </c>
      <c r="AA54" s="612" t="s">
        <v>56</v>
      </c>
      <c r="AB54" s="496" t="s">
        <v>359</v>
      </c>
      <c r="AC54" s="612"/>
      <c r="AD54" s="612" t="s">
        <v>385</v>
      </c>
      <c r="AE54" s="612"/>
      <c r="AF54" s="495" t="s">
        <v>360</v>
      </c>
      <c r="AG54" s="612" t="s">
        <v>386</v>
      </c>
      <c r="AH54" s="496" t="s">
        <v>387</v>
      </c>
      <c r="AI54" s="644" t="s">
        <v>399</v>
      </c>
      <c r="AJ54" s="105"/>
      <c r="AL54" s="1407"/>
      <c r="AN54" s="610"/>
      <c r="AO54" s="495"/>
      <c r="AP54" s="612" t="s">
        <v>384</v>
      </c>
      <c r="AQ54" s="612" t="s">
        <v>56</v>
      </c>
      <c r="AR54" s="612" t="s">
        <v>359</v>
      </c>
      <c r="AS54" s="612"/>
      <c r="AT54" s="612" t="s">
        <v>385</v>
      </c>
      <c r="AU54" s="612"/>
      <c r="AV54" s="612" t="s">
        <v>360</v>
      </c>
      <c r="AW54" s="612" t="s">
        <v>386</v>
      </c>
      <c r="AX54" s="612" t="s">
        <v>387</v>
      </c>
      <c r="AY54" s="644"/>
      <c r="AZ54" s="105"/>
    </row>
    <row r="55" spans="2:52" ht="16" hidden="1" customHeight="1" thickBot="1">
      <c r="B55" s="192"/>
      <c r="C55" s="1407"/>
      <c r="D55" s="1408"/>
      <c r="E55" s="1407"/>
      <c r="F55" s="34"/>
      <c r="G55" s="610"/>
      <c r="H55" s="636" t="s">
        <v>364</v>
      </c>
      <c r="I55" s="673">
        <f>I17</f>
        <v>100000</v>
      </c>
      <c r="J55" s="673">
        <f>J17</f>
        <v>200000</v>
      </c>
      <c r="K55" s="673">
        <f>K17</f>
        <v>3000000</v>
      </c>
      <c r="L55" s="610"/>
      <c r="M55" s="610"/>
      <c r="N55" s="610"/>
      <c r="O55" s="673">
        <f>O17</f>
        <v>100000</v>
      </c>
      <c r="P55" s="673">
        <f>P17</f>
        <v>2000000</v>
      </c>
      <c r="Q55" s="673">
        <f>Q17</f>
        <v>300000</v>
      </c>
      <c r="R55" s="674" t="s">
        <v>364</v>
      </c>
      <c r="S55" s="645"/>
      <c r="V55" s="1407"/>
      <c r="X55" s="610"/>
      <c r="Y55" s="675">
        <f>H36</f>
        <v>0</v>
      </c>
      <c r="Z55" s="676">
        <f>_xlfn.IFS($H$36=0,$Q$96,$H$36=1,$J$96,TRUE,0)</f>
        <v>0</v>
      </c>
      <c r="AA55" s="187">
        <f>_xlfn.IFS($H$36=0,$P$95,$H$36=1,$I$95,TRUE,0)</f>
        <v>0.12121212121212133</v>
      </c>
      <c r="AB55" s="677">
        <f>_xlfn.IFS($H$36=0,$P$94,$H$36=1,$I$94,TRUE,0)</f>
        <v>0.81818181818181812</v>
      </c>
      <c r="AC55" s="105"/>
      <c r="AD55" s="678"/>
      <c r="AE55" s="105"/>
      <c r="AF55" s="679">
        <f>_xlfn.IFS($H$36=0,$P$123,$H$36=1,$I$123,TRUE,0)</f>
        <v>0</v>
      </c>
      <c r="AG55" s="187">
        <f>_xlfn.IFS($H$36=0,$P$124,$H$36=1,$I$124,TRUE,0)</f>
        <v>8.3333333333333259E-2</v>
      </c>
      <c r="AH55" s="680">
        <f>_xlfn.IFS($H$36=0,$Q$125,$H$36=1,$J$125,TRUE,0)</f>
        <v>0.24999999999999989</v>
      </c>
      <c r="AI55" s="680">
        <f>$R$36/($R$36+$R$38)</f>
        <v>0.9999985116301221</v>
      </c>
      <c r="AJ55" s="105"/>
      <c r="AL55" s="1407"/>
      <c r="AN55" s="610"/>
      <c r="AO55" s="645"/>
      <c r="AP55" s="308">
        <f>$Z$55*$AI$55</f>
        <v>0</v>
      </c>
      <c r="AQ55" s="309">
        <f>$AA$55*$AI$55</f>
        <v>0.12121194080365127</v>
      </c>
      <c r="AR55" s="118">
        <f>$AB$55*$AI$55-$AT$55/2</f>
        <v>0.81818060042464524</v>
      </c>
      <c r="AS55" s="105"/>
      <c r="AT55" s="310">
        <f>2*MIN($AB$55*$AI$55,$AF$55*$AI$57)</f>
        <v>0</v>
      </c>
      <c r="AU55" s="105"/>
      <c r="AV55" s="118">
        <f>$AF$55*$AI$57-$AT$55/2</f>
        <v>0</v>
      </c>
      <c r="AW55" s="309">
        <f>$AG$55*$AI$57</f>
        <v>1.2403082314792202E-7</v>
      </c>
      <c r="AX55" s="308">
        <f>$AH$55*$AI$57</f>
        <v>3.7209246944376623E-7</v>
      </c>
      <c r="AY55" s="307"/>
      <c r="AZ55" s="105"/>
    </row>
    <row r="56" spans="2:52" ht="17" hidden="1" customHeight="1" thickBot="1">
      <c r="B56" s="192"/>
      <c r="C56" s="1407"/>
      <c r="D56" s="1408"/>
      <c r="E56" s="1407"/>
      <c r="F56" s="34"/>
      <c r="G56" s="610"/>
      <c r="H56" s="105"/>
      <c r="I56" s="105"/>
      <c r="J56" s="105"/>
      <c r="K56" s="105"/>
      <c r="L56" s="105"/>
      <c r="M56" s="105"/>
      <c r="N56" s="105"/>
      <c r="O56" s="105"/>
      <c r="P56" s="105"/>
      <c r="Q56" s="105"/>
      <c r="R56" s="105"/>
      <c r="S56" s="610"/>
      <c r="V56" s="1407"/>
      <c r="X56" s="610"/>
      <c r="Y56" s="611" t="s">
        <v>400</v>
      </c>
      <c r="Z56" s="620"/>
      <c r="AA56" s="610" t="s">
        <v>388</v>
      </c>
      <c r="AB56" s="307"/>
      <c r="AC56" s="105"/>
      <c r="AD56" s="105"/>
      <c r="AE56" s="105"/>
      <c r="AF56" s="620"/>
      <c r="AG56" s="610" t="s">
        <v>55</v>
      </c>
      <c r="AH56" s="307"/>
      <c r="AI56" s="307" t="s">
        <v>401</v>
      </c>
      <c r="AJ56" s="105"/>
      <c r="AL56" s="1407"/>
      <c r="AN56" s="610"/>
      <c r="AO56" s="645"/>
      <c r="AP56" s="105"/>
      <c r="AQ56" s="610" t="s">
        <v>388</v>
      </c>
      <c r="AR56" s="105"/>
      <c r="AS56" s="105"/>
      <c r="AT56" s="105"/>
      <c r="AU56" s="105"/>
      <c r="AV56" s="105"/>
      <c r="AW56" s="610" t="s">
        <v>55</v>
      </c>
      <c r="AX56" s="105"/>
      <c r="AY56" s="307"/>
      <c r="AZ56" s="105"/>
    </row>
    <row r="57" spans="2:52" ht="16" hidden="1" customHeight="1" thickBot="1">
      <c r="B57" s="192"/>
      <c r="C57" s="1407"/>
      <c r="D57" s="1408"/>
      <c r="E57" s="1407"/>
      <c r="F57" s="34"/>
      <c r="G57" s="610"/>
      <c r="H57" s="681" t="s">
        <v>370</v>
      </c>
      <c r="I57" s="682" t="e">
        <f>_xlfn.IFS($H$36=0,R89,$H$36=1,K89,TRUE,0)*$Q$43/$I$51</f>
        <v>#N/A</v>
      </c>
      <c r="J57" s="683" t="e">
        <f>_xlfn.IFS($H$36=0,Q89,$H$36=1,J89,TRUE,0)*$Q$43/$J$51</f>
        <v>#N/A</v>
      </c>
      <c r="K57" s="684" t="e">
        <f>_xlfn.IFS($H$36=0,P89,$H$36=1,I89,TRUE,0)*$Q$43/$K$51</f>
        <v>#N/A</v>
      </c>
      <c r="L57" s="610"/>
      <c r="M57" s="610"/>
      <c r="N57" s="610"/>
      <c r="O57" s="685" t="e">
        <f t="shared" ref="O57:Q58" si="6">_xlfn.IFS($H$38=0,P118,$H$38=1,I118,TRUE,0)*$R$43</f>
        <v>#N/A</v>
      </c>
      <c r="P57" s="683" t="e">
        <f t="shared" si="6"/>
        <v>#N/A</v>
      </c>
      <c r="Q57" s="684" t="e">
        <f t="shared" si="6"/>
        <v>#N/A</v>
      </c>
      <c r="R57" s="686" t="s">
        <v>371</v>
      </c>
      <c r="S57" s="610"/>
      <c r="V57" s="1407"/>
      <c r="X57" s="610"/>
      <c r="Y57" s="687">
        <f>H38</f>
        <v>0</v>
      </c>
      <c r="Z57" s="621"/>
      <c r="AA57" s="688">
        <f>_xlfn.IFS($H$36=0,$P$96,$H$36=1,$I$96,TRUE,0)</f>
        <v>6.0606060606060663E-2</v>
      </c>
      <c r="AB57" s="623"/>
      <c r="AC57" s="233"/>
      <c r="AD57" s="233"/>
      <c r="AE57" s="233"/>
      <c r="AF57" s="621"/>
      <c r="AG57" s="688">
        <f>_xlfn.IFS($H$36=0,$P$125,$H$36=1,$I$125,TRUE,0)</f>
        <v>0</v>
      </c>
      <c r="AH57" s="623"/>
      <c r="AI57" s="689">
        <f>$R$38/($R$36+$R$38)</f>
        <v>1.4883698777750655E-6</v>
      </c>
      <c r="AJ57" s="105"/>
      <c r="AL57" s="1407"/>
      <c r="AN57" s="610"/>
      <c r="AO57" s="497"/>
      <c r="AP57" s="233"/>
      <c r="AQ57" s="690">
        <f>$AA$57*$AI$55</f>
        <v>6.0605970401825637E-2</v>
      </c>
      <c r="AR57" s="233"/>
      <c r="AS57" s="233"/>
      <c r="AT57" s="233"/>
      <c r="AU57" s="233"/>
      <c r="AV57" s="233"/>
      <c r="AW57" s="690">
        <f>$AG$57*$AI$57</f>
        <v>0</v>
      </c>
      <c r="AX57" s="233"/>
      <c r="AY57" s="623"/>
      <c r="AZ57" s="105"/>
    </row>
    <row r="58" spans="2:52" ht="17" hidden="1" customHeight="1">
      <c r="B58" s="192"/>
      <c r="C58" s="1407"/>
      <c r="D58" s="1408"/>
      <c r="E58" s="1407"/>
      <c r="F58" s="34"/>
      <c r="G58" s="610"/>
      <c r="H58" s="691" t="s">
        <v>372</v>
      </c>
      <c r="I58" s="692" t="e">
        <f>_xlfn.IFS($H$36=0,R90,$H$36=1,K90,TRUE,0)*$Q$43/$I$51</f>
        <v>#N/A</v>
      </c>
      <c r="J58" s="693" t="e">
        <f>_xlfn.IFS($H$36=0,Q90,$H$36=1,J90,TRUE,0)*$Q$43/$J$51</f>
        <v>#N/A</v>
      </c>
      <c r="K58" s="694" t="e">
        <f>_xlfn.IFS($H$36=0,P90,$H$36=1,I90,TRUE,0)*$Q$43/$K$51</f>
        <v>#N/A</v>
      </c>
      <c r="L58" s="105"/>
      <c r="M58" s="105"/>
      <c r="N58" s="105"/>
      <c r="O58" s="695" t="e">
        <f t="shared" si="6"/>
        <v>#N/A</v>
      </c>
      <c r="P58" s="693" t="e">
        <f t="shared" si="6"/>
        <v>#N/A</v>
      </c>
      <c r="Q58" s="694" t="e">
        <f t="shared" si="6"/>
        <v>#N/A</v>
      </c>
      <c r="R58" s="696" t="s">
        <v>373</v>
      </c>
      <c r="S58" s="610"/>
      <c r="V58" s="1407"/>
      <c r="X58" s="610"/>
      <c r="Y58" s="610"/>
      <c r="Z58" s="610"/>
      <c r="AA58" s="610"/>
      <c r="AB58" s="610"/>
      <c r="AC58" s="610"/>
      <c r="AD58" s="610"/>
      <c r="AE58" s="610"/>
      <c r="AF58" s="610"/>
      <c r="AG58" s="610"/>
      <c r="AH58" s="610"/>
      <c r="AI58" s="105"/>
      <c r="AJ58" s="105"/>
      <c r="AL58" s="1407"/>
      <c r="AN58" s="610"/>
      <c r="AO58" s="610"/>
      <c r="AP58" s="610"/>
      <c r="AQ58" s="610"/>
      <c r="AR58" s="610"/>
      <c r="AS58" s="610"/>
      <c r="AT58" s="610"/>
      <c r="AU58" s="610"/>
      <c r="AV58" s="610"/>
      <c r="AW58" s="610"/>
      <c r="AX58" s="610"/>
      <c r="AY58" s="105"/>
      <c r="AZ58" s="105"/>
    </row>
    <row r="59" spans="2:52" ht="17" hidden="1" customHeight="1" thickBot="1">
      <c r="B59" s="192"/>
      <c r="C59" s="1407"/>
      <c r="D59" s="1408"/>
      <c r="E59" s="1407"/>
      <c r="F59" s="34"/>
      <c r="G59" s="610"/>
      <c r="H59" s="697" t="s">
        <v>394</v>
      </c>
      <c r="I59" s="698" t="e">
        <f>_xlfn.IFS($H$36=0,R80,$H$36=1,K80,TRUE,0)*$Q$43/$I$51</f>
        <v>#N/A</v>
      </c>
      <c r="J59" s="699" t="e">
        <f>_xlfn.IFS($H$36=0,Q80,$H$36=1,J80,TRUE,0)*$Q$43/$J$51</f>
        <v>#N/A</v>
      </c>
      <c r="K59" s="700" t="e">
        <f>_xlfn.IFS($H$36=0,P80,$H$36=1,I80,TRUE,0)*$Q$43/$K$51</f>
        <v>#N/A</v>
      </c>
      <c r="L59" s="233"/>
      <c r="M59" s="233"/>
      <c r="N59" s="233"/>
      <c r="O59" s="701" t="e">
        <f>_xlfn.IFS($H$38=0,P109,$H$38=1,I109,TRUE,0)*$R$43</f>
        <v>#N/A</v>
      </c>
      <c r="P59" s="699" t="e">
        <f>_xlfn.IFS($H$38=0,Q109,$H$38=1,J109,TRUE,0)*$R$43</f>
        <v>#N/A</v>
      </c>
      <c r="Q59" s="700" t="e">
        <f>_xlfn.IFS($H$38=0,R109,$H$38=1,K109,TRUE,0)*$R$43</f>
        <v>#N/A</v>
      </c>
      <c r="R59" s="702" t="s">
        <v>394</v>
      </c>
      <c r="S59" s="610"/>
      <c r="V59" s="628"/>
      <c r="AL59" s="628"/>
    </row>
    <row r="60" spans="2:52" ht="16" hidden="1" customHeight="1">
      <c r="B60" s="192"/>
      <c r="C60" s="1407"/>
      <c r="D60" s="1408"/>
      <c r="E60" s="1407"/>
      <c r="F60" s="34"/>
      <c r="G60" s="610"/>
      <c r="H60" s="610"/>
      <c r="I60" s="610"/>
      <c r="J60" s="610"/>
      <c r="K60" s="610"/>
      <c r="L60" s="610"/>
      <c r="M60" s="610"/>
      <c r="N60" s="610"/>
      <c r="O60" s="610"/>
      <c r="P60" s="610"/>
      <c r="Q60" s="610"/>
      <c r="R60" s="610"/>
      <c r="S60" s="610"/>
    </row>
    <row r="61" spans="2:52" ht="67" hidden="1" customHeight="1">
      <c r="B61" s="192"/>
      <c r="C61" s="1407"/>
      <c r="D61" s="192"/>
      <c r="E61" s="192"/>
      <c r="F61" s="34"/>
    </row>
    <row r="62" spans="2:52" ht="17" hidden="1" customHeight="1" thickBot="1">
      <c r="B62" s="192"/>
      <c r="C62" s="1407"/>
      <c r="D62" s="1408"/>
      <c r="E62" s="1407" t="s">
        <v>402</v>
      </c>
      <c r="F62" s="34"/>
      <c r="G62" s="610"/>
      <c r="H62" s="610"/>
      <c r="I62" s="610"/>
      <c r="J62" s="610"/>
      <c r="K62" s="610"/>
      <c r="L62" s="610"/>
      <c r="M62" s="610"/>
      <c r="N62" s="610"/>
      <c r="O62" s="610"/>
      <c r="P62" s="610"/>
      <c r="Q62" s="610"/>
      <c r="R62" s="105"/>
      <c r="S62" s="105"/>
    </row>
    <row r="63" spans="2:52" ht="16" hidden="1" customHeight="1">
      <c r="B63" s="192"/>
      <c r="C63" s="1407"/>
      <c r="D63" s="1408"/>
      <c r="E63" s="1407"/>
      <c r="F63" s="34"/>
      <c r="G63" s="610"/>
      <c r="H63" s="495"/>
      <c r="I63" s="612" t="s">
        <v>374</v>
      </c>
      <c r="J63" s="612" t="s">
        <v>375</v>
      </c>
      <c r="K63" s="612" t="s">
        <v>376</v>
      </c>
      <c r="L63" s="612"/>
      <c r="M63" s="612" t="s">
        <v>377</v>
      </c>
      <c r="N63" s="612"/>
      <c r="O63" s="612" t="s">
        <v>378</v>
      </c>
      <c r="P63" s="612" t="s">
        <v>379</v>
      </c>
      <c r="Q63" s="612" t="s">
        <v>380</v>
      </c>
      <c r="R63" s="644"/>
      <c r="S63" s="105"/>
    </row>
    <row r="64" spans="2:52" ht="16" hidden="1" customHeight="1">
      <c r="B64" s="192"/>
      <c r="C64" s="1407"/>
      <c r="D64" s="1408"/>
      <c r="E64" s="1407"/>
      <c r="F64" s="34"/>
      <c r="G64" s="610"/>
      <c r="H64" s="645"/>
      <c r="I64" s="308">
        <f>($R$36+$R$38)*AP55/2/$J$51</f>
        <v>0</v>
      </c>
      <c r="J64" s="309">
        <f>($R$36+$R$38)*AQ55/2/$K$51</f>
        <v>0.10176405750136142</v>
      </c>
      <c r="K64" s="118">
        <f>($R$36+$R$38)*AR55/2/$K$51</f>
        <v>0.68690738813418883</v>
      </c>
      <c r="L64" s="105"/>
      <c r="M64" s="310">
        <f>($R$36+$R$38)*AT55/2</f>
        <v>0</v>
      </c>
      <c r="N64" s="105"/>
      <c r="O64" s="118">
        <f>($R$36+$R$38)*AV55/2</f>
        <v>0</v>
      </c>
      <c r="P64" s="309">
        <f>($R$36+$R$38)*AW55/2</f>
        <v>4.1666666666666631E-3</v>
      </c>
      <c r="Q64" s="308">
        <f>($R$36+$R$38)*AX55/2</f>
        <v>1.2499999999999995E-2</v>
      </c>
      <c r="R64" s="307"/>
      <c r="S64" s="105"/>
    </row>
    <row r="65" spans="2:44" ht="16" hidden="1" customHeight="1">
      <c r="B65" s="192"/>
      <c r="C65" s="1407"/>
      <c r="D65" s="1408"/>
      <c r="E65" s="1407"/>
      <c r="F65" s="34"/>
      <c r="G65" s="610"/>
      <c r="H65" s="645"/>
      <c r="I65" s="105"/>
      <c r="J65" s="610" t="s">
        <v>382</v>
      </c>
      <c r="K65" s="105"/>
      <c r="L65" s="105"/>
      <c r="M65" s="105"/>
      <c r="N65" s="105"/>
      <c r="O65" s="105"/>
      <c r="P65" s="610" t="s">
        <v>383</v>
      </c>
      <c r="Q65" s="105"/>
      <c r="R65" s="307"/>
      <c r="S65" s="105"/>
    </row>
    <row r="66" spans="2:44" ht="17" hidden="1" customHeight="1" thickBot="1">
      <c r="B66" s="192"/>
      <c r="C66" s="1407"/>
      <c r="D66" s="1408"/>
      <c r="E66" s="1407"/>
      <c r="F66" s="34"/>
      <c r="G66" s="610"/>
      <c r="H66" s="497"/>
      <c r="I66" s="233"/>
      <c r="J66" s="690">
        <f>($R$36+$R$38)*AQ57/2/$K$51</f>
        <v>5.0882028750680708E-2</v>
      </c>
      <c r="K66" s="233"/>
      <c r="L66" s="233"/>
      <c r="M66" s="233"/>
      <c r="N66" s="233"/>
      <c r="O66" s="233"/>
      <c r="P66" s="690">
        <f>($R$36+$R$38)*AW57/2</f>
        <v>0</v>
      </c>
      <c r="Q66" s="233"/>
      <c r="R66" s="623"/>
      <c r="S66" s="105"/>
    </row>
    <row r="67" spans="2:44" ht="16" hidden="1" customHeight="1">
      <c r="B67" s="192"/>
      <c r="C67" s="1407"/>
      <c r="D67" s="1408"/>
      <c r="E67" s="1407"/>
      <c r="F67" s="34"/>
      <c r="G67" s="610"/>
      <c r="H67" s="610"/>
      <c r="I67" s="610"/>
      <c r="J67" s="610"/>
      <c r="K67" s="610"/>
      <c r="L67" s="610"/>
      <c r="M67" s="610"/>
      <c r="N67" s="610"/>
      <c r="O67" s="610"/>
      <c r="P67" s="610"/>
      <c r="Q67" s="610"/>
      <c r="R67" s="105"/>
      <c r="S67" s="105"/>
    </row>
    <row r="68" spans="2:44" ht="67" hidden="1" customHeight="1">
      <c r="B68" s="192"/>
      <c r="C68" s="34"/>
      <c r="D68" s="34"/>
      <c r="E68" s="34"/>
      <c r="F68" s="205"/>
      <c r="N68" s="144"/>
    </row>
    <row r="69" spans="2:44" ht="67" hidden="1" customHeight="1">
      <c r="G69" s="144"/>
      <c r="H69" s="144"/>
      <c r="I69" s="144"/>
      <c r="J69" s="144"/>
      <c r="K69" s="144"/>
      <c r="L69" s="144"/>
      <c r="M69" s="144"/>
      <c r="N69" s="144"/>
      <c r="O69" s="144"/>
      <c r="P69" s="144"/>
      <c r="Q69" s="144"/>
    </row>
    <row r="70" spans="2:44" ht="16" hidden="1" customHeight="1">
      <c r="C70" s="1409" t="s">
        <v>403</v>
      </c>
      <c r="D70" s="1408"/>
      <c r="E70" s="1409" t="s">
        <v>404</v>
      </c>
      <c r="G70" s="187"/>
      <c r="H70" s="187"/>
      <c r="I70" s="187"/>
      <c r="J70" s="187"/>
      <c r="K70" s="187"/>
      <c r="L70" s="187"/>
      <c r="M70" s="1408"/>
      <c r="N70" s="187"/>
      <c r="O70" s="187"/>
      <c r="P70" s="187"/>
      <c r="Q70" s="187"/>
      <c r="R70" s="187"/>
      <c r="S70" s="187"/>
    </row>
    <row r="71" spans="2:44" ht="45" hidden="1" customHeight="1">
      <c r="C71" s="1409"/>
      <c r="D71" s="1408"/>
      <c r="E71" s="1409"/>
      <c r="G71" s="187"/>
      <c r="H71" s="1410" t="s">
        <v>405</v>
      </c>
      <c r="I71" s="1410"/>
      <c r="J71" s="1410"/>
      <c r="K71" s="1410"/>
      <c r="L71" s="187"/>
      <c r="M71" s="1408"/>
      <c r="N71" s="187"/>
      <c r="O71" s="1410" t="s">
        <v>406</v>
      </c>
      <c r="P71" s="1410"/>
      <c r="Q71" s="1410"/>
      <c r="R71" s="1410"/>
      <c r="S71" s="187"/>
    </row>
    <row r="72" spans="2:44" ht="16" hidden="1" customHeight="1">
      <c r="C72" s="1409"/>
      <c r="D72" s="1408"/>
      <c r="E72" s="1409"/>
      <c r="G72" s="187"/>
      <c r="H72" s="187"/>
      <c r="I72" s="187"/>
      <c r="J72" s="187"/>
      <c r="K72" s="187"/>
      <c r="L72" s="187"/>
      <c r="M72" s="1408"/>
      <c r="N72" s="187"/>
      <c r="O72" s="187"/>
      <c r="P72" s="187"/>
      <c r="Q72" s="187"/>
      <c r="R72" s="187"/>
      <c r="S72" s="187"/>
    </row>
    <row r="73" spans="2:44" ht="46" hidden="1" customHeight="1" thickBot="1">
      <c r="C73" s="1409"/>
      <c r="D73" s="1408"/>
      <c r="E73" s="1409"/>
      <c r="G73" s="187"/>
      <c r="H73" s="1411" t="s">
        <v>407</v>
      </c>
      <c r="I73" s="1411"/>
      <c r="J73" s="1411"/>
      <c r="K73" s="1411"/>
      <c r="L73" s="187"/>
      <c r="M73" s="1408"/>
      <c r="N73" s="187"/>
      <c r="O73" s="1410" t="s">
        <v>407</v>
      </c>
      <c r="P73" s="1410"/>
      <c r="Q73" s="1410"/>
      <c r="R73" s="1410"/>
      <c r="S73" s="187"/>
      <c r="Y73" s="154"/>
      <c r="Z73" s="703"/>
      <c r="AA73" s="703"/>
      <c r="AB73" s="703"/>
      <c r="AO73" s="154"/>
      <c r="AP73" s="703"/>
      <c r="AQ73" s="703"/>
      <c r="AR73" s="703"/>
    </row>
    <row r="74" spans="2:44" ht="17" hidden="1" customHeight="1" thickBot="1">
      <c r="C74" s="1409"/>
      <c r="D74" s="1408"/>
      <c r="E74" s="1409"/>
      <c r="G74" s="187"/>
      <c r="H74" s="704"/>
      <c r="I74" s="705" t="s">
        <v>366</v>
      </c>
      <c r="J74" s="705" t="s">
        <v>358</v>
      </c>
      <c r="K74" s="706" t="s">
        <v>357</v>
      </c>
      <c r="L74" s="187"/>
      <c r="M74" s="1408"/>
      <c r="N74" s="187"/>
      <c r="O74" s="707"/>
      <c r="P74" s="708" t="s">
        <v>366</v>
      </c>
      <c r="Q74" s="708" t="s">
        <v>358</v>
      </c>
      <c r="R74" s="709" t="s">
        <v>357</v>
      </c>
      <c r="S74" s="187"/>
      <c r="V74" s="1407" t="s">
        <v>408</v>
      </c>
      <c r="X74" s="187"/>
      <c r="Y74" s="187"/>
      <c r="Z74" s="187"/>
      <c r="AA74" s="187"/>
      <c r="AB74" s="187"/>
      <c r="AC74" s="187"/>
      <c r="AL74" s="1413"/>
    </row>
    <row r="75" spans="2:44" ht="16" hidden="1" customHeight="1">
      <c r="C75" s="1409"/>
      <c r="D75" s="1408"/>
      <c r="E75" s="1409"/>
      <c r="G75" s="187"/>
      <c r="H75" s="1415" t="s">
        <v>409</v>
      </c>
      <c r="I75" s="705" t="s">
        <v>410</v>
      </c>
      <c r="J75" s="705" t="s">
        <v>411</v>
      </c>
      <c r="K75" s="706" t="s">
        <v>412</v>
      </c>
      <c r="L75" s="187"/>
      <c r="M75" s="1408"/>
      <c r="N75" s="187"/>
      <c r="O75" s="1415" t="s">
        <v>409</v>
      </c>
      <c r="P75" s="710" t="s">
        <v>410</v>
      </c>
      <c r="Q75" s="710" t="s">
        <v>411</v>
      </c>
      <c r="R75" s="711" t="s">
        <v>412</v>
      </c>
      <c r="S75" s="187"/>
      <c r="V75" s="1412"/>
      <c r="X75" s="187"/>
      <c r="Y75" s="712"/>
      <c r="Z75" s="208" t="s">
        <v>95</v>
      </c>
      <c r="AA75" s="208" t="s">
        <v>96</v>
      </c>
      <c r="AB75" s="209" t="s">
        <v>98</v>
      </c>
      <c r="AC75" s="187"/>
      <c r="AL75" s="1414"/>
      <c r="AO75" s="154"/>
      <c r="AP75" s="703"/>
      <c r="AQ75" s="703"/>
      <c r="AR75" s="703"/>
    </row>
    <row r="76" spans="2:44" ht="17" hidden="1" customHeight="1" thickBot="1">
      <c r="C76" s="1409"/>
      <c r="D76" s="1408"/>
      <c r="E76" s="1409"/>
      <c r="G76" s="187"/>
      <c r="H76" s="1416"/>
      <c r="I76" s="713" t="e">
        <f>$K$48/SUM($I$48:$K$48)</f>
        <v>#N/A</v>
      </c>
      <c r="J76" s="713" t="e">
        <f>$J$48/SUM($I$48:$K$48)</f>
        <v>#N/A</v>
      </c>
      <c r="K76" s="714" t="e">
        <f>$I$48/SUM($I$48:$K$48)</f>
        <v>#N/A</v>
      </c>
      <c r="L76" s="187"/>
      <c r="M76" s="1408"/>
      <c r="N76" s="187"/>
      <c r="O76" s="1416"/>
      <c r="P76" s="713" t="e">
        <f>$K$48/SUM($I$48:$K$48)</f>
        <v>#N/A</v>
      </c>
      <c r="Q76" s="713" t="e">
        <f>$J$48/SUM($I$48:$K$48)</f>
        <v>#N/A</v>
      </c>
      <c r="R76" s="714" t="e">
        <f>$I$48/SUM($I$48:$K$48)</f>
        <v>#N/A</v>
      </c>
      <c r="S76" s="187"/>
      <c r="V76" s="1412"/>
      <c r="X76" s="187"/>
      <c r="Y76" s="499" t="s">
        <v>95</v>
      </c>
      <c r="Z76" s="155" t="s">
        <v>132</v>
      </c>
      <c r="AA76" s="155">
        <v>0</v>
      </c>
      <c r="AB76" s="210">
        <v>0</v>
      </c>
      <c r="AC76" s="187"/>
      <c r="AL76" s="1414"/>
      <c r="AO76" s="703"/>
      <c r="AP76" s="715"/>
      <c r="AQ76" s="715"/>
      <c r="AR76" s="715"/>
    </row>
    <row r="77" spans="2:44" ht="24" hidden="1" customHeight="1">
      <c r="C77" s="1409"/>
      <c r="D77" s="1408"/>
      <c r="E77" s="1409"/>
      <c r="G77" s="187"/>
      <c r="H77" s="716" t="s">
        <v>364</v>
      </c>
      <c r="I77" s="717">
        <f>$K$55</f>
        <v>3000000</v>
      </c>
      <c r="J77" s="717">
        <f>$J$55</f>
        <v>200000</v>
      </c>
      <c r="K77" s="718">
        <f>$I$55</f>
        <v>100000</v>
      </c>
      <c r="L77" s="187"/>
      <c r="M77" s="1408"/>
      <c r="N77" s="187"/>
      <c r="O77" s="1415" t="s">
        <v>364</v>
      </c>
      <c r="P77" s="1417">
        <f t="shared" ref="P77" si="7">$K$55</f>
        <v>3000000</v>
      </c>
      <c r="Q77" s="1417">
        <f t="shared" ref="Q77" si="8">$J$55</f>
        <v>200000</v>
      </c>
      <c r="R77" s="1419">
        <f t="shared" ref="R77" si="9">$I$55</f>
        <v>100000</v>
      </c>
      <c r="S77" s="187"/>
      <c r="V77" s="1412"/>
      <c r="X77" s="187"/>
      <c r="Y77" s="499" t="s">
        <v>96</v>
      </c>
      <c r="Z77" s="155" t="s">
        <v>145</v>
      </c>
      <c r="AA77" s="155" t="s">
        <v>133</v>
      </c>
      <c r="AB77" s="210">
        <v>0</v>
      </c>
      <c r="AC77" s="187"/>
      <c r="AL77" s="1414"/>
      <c r="AO77" s="703"/>
      <c r="AP77" s="715"/>
      <c r="AQ77" s="715"/>
      <c r="AR77" s="715"/>
    </row>
    <row r="78" spans="2:44" ht="25" hidden="1" customHeight="1" thickBot="1">
      <c r="C78" s="1409"/>
      <c r="D78" s="1408"/>
      <c r="E78" s="1409"/>
      <c r="G78" s="187"/>
      <c r="H78" s="719" t="s">
        <v>413</v>
      </c>
      <c r="I78" s="720">
        <f>SQRT(I77)</f>
        <v>1732.0508075688772</v>
      </c>
      <c r="J78" s="720">
        <f>SQRT(J77)</f>
        <v>447.21359549995793</v>
      </c>
      <c r="K78" s="721">
        <f>SQRT(K77)</f>
        <v>316.22776601683796</v>
      </c>
      <c r="L78" s="187"/>
      <c r="M78" s="1408"/>
      <c r="N78" s="187"/>
      <c r="O78" s="1416"/>
      <c r="P78" s="1418"/>
      <c r="Q78" s="1418"/>
      <c r="R78" s="1420"/>
      <c r="S78" s="187"/>
      <c r="V78" s="1412"/>
      <c r="X78" s="187"/>
      <c r="Y78" s="500" t="s">
        <v>98</v>
      </c>
      <c r="Z78" s="211" t="s">
        <v>144</v>
      </c>
      <c r="AA78" s="211" t="s">
        <v>146</v>
      </c>
      <c r="AB78" s="212" t="s">
        <v>134</v>
      </c>
      <c r="AC78" s="187"/>
      <c r="AL78" s="1414"/>
      <c r="AO78" s="703"/>
      <c r="AP78" s="715"/>
      <c r="AQ78" s="715"/>
      <c r="AR78" s="715"/>
    </row>
    <row r="79" spans="2:44" ht="16" hidden="1" customHeight="1">
      <c r="C79" s="1409"/>
      <c r="D79" s="1408"/>
      <c r="E79" s="1409"/>
      <c r="G79" s="187"/>
      <c r="H79" s="1415" t="s">
        <v>414</v>
      </c>
      <c r="I79" s="705" t="s">
        <v>415</v>
      </c>
      <c r="J79" s="705" t="s">
        <v>416</v>
      </c>
      <c r="K79" s="706" t="s">
        <v>417</v>
      </c>
      <c r="L79" s="187"/>
      <c r="M79" s="1408"/>
      <c r="N79" s="187"/>
      <c r="O79" s="1415" t="s">
        <v>418</v>
      </c>
      <c r="P79" s="705" t="s">
        <v>415</v>
      </c>
      <c r="Q79" s="705" t="s">
        <v>416</v>
      </c>
      <c r="R79" s="706" t="s">
        <v>417</v>
      </c>
      <c r="S79" s="187"/>
      <c r="V79" s="1412"/>
      <c r="X79" s="187"/>
      <c r="Y79" s="187"/>
      <c r="Z79" s="187"/>
      <c r="AA79" s="187"/>
      <c r="AB79" s="187"/>
      <c r="AC79" s="187"/>
      <c r="AL79" s="1414"/>
    </row>
    <row r="80" spans="2:44" ht="17" hidden="1" customHeight="1" thickBot="1">
      <c r="C80" s="1409"/>
      <c r="D80" s="1408"/>
      <c r="E80" s="1409"/>
      <c r="G80" s="187"/>
      <c r="H80" s="1416"/>
      <c r="I80" s="722">
        <f>I78/SUM($I78:$K78)</f>
        <v>0.69407182640187792</v>
      </c>
      <c r="J80" s="722">
        <f>J78/SUM($I78:$K78)</f>
        <v>0.17920857498174925</v>
      </c>
      <c r="K80" s="723">
        <f>K78/SUM($I78:$K78)</f>
        <v>0.12671959861637278</v>
      </c>
      <c r="L80" s="187"/>
      <c r="M80" s="1408"/>
      <c r="N80" s="187"/>
      <c r="O80" s="1416"/>
      <c r="P80" s="722">
        <f>P77/SUM($I77:$K77)</f>
        <v>0.90909090909090906</v>
      </c>
      <c r="Q80" s="722">
        <f>Q77/SUM($I77:$K77)</f>
        <v>6.0606060606060608E-2</v>
      </c>
      <c r="R80" s="723">
        <f>R77/SUM($I77:$K77)</f>
        <v>3.0303030303030304E-2</v>
      </c>
      <c r="S80" s="187"/>
    </row>
    <row r="81" spans="3:19" ht="16" hidden="1" customHeight="1">
      <c r="C81" s="1409"/>
      <c r="D81" s="1408"/>
      <c r="E81" s="1409"/>
      <c r="G81" s="187"/>
      <c r="H81" s="724" t="s">
        <v>419</v>
      </c>
      <c r="I81" s="725" t="s">
        <v>420</v>
      </c>
      <c r="J81" s="725" t="s">
        <v>421</v>
      </c>
      <c r="K81" s="726" t="s">
        <v>422</v>
      </c>
      <c r="L81" s="187"/>
      <c r="M81" s="1408"/>
      <c r="N81" s="187"/>
      <c r="O81" s="727" t="s">
        <v>419</v>
      </c>
      <c r="P81" s="725" t="s">
        <v>420</v>
      </c>
      <c r="Q81" s="725" t="s">
        <v>421</v>
      </c>
      <c r="R81" s="725" t="s">
        <v>422</v>
      </c>
      <c r="S81" s="187"/>
    </row>
    <row r="82" spans="3:19" ht="16" hidden="1" customHeight="1">
      <c r="C82" s="1409"/>
      <c r="D82" s="1408"/>
      <c r="E82" s="1409"/>
      <c r="G82" s="187"/>
      <c r="H82" s="728" t="e">
        <f>(I80-I76)*(K80-K76)&gt;0</f>
        <v>#N/A</v>
      </c>
      <c r="I82" s="729" t="e">
        <f>I76</f>
        <v>#N/A</v>
      </c>
      <c r="J82" s="729" t="e">
        <f>1-K80-I76</f>
        <v>#N/A</v>
      </c>
      <c r="K82" s="730">
        <f>K80</f>
        <v>0.12671959861637278</v>
      </c>
      <c r="L82" s="187"/>
      <c r="M82" s="1408"/>
      <c r="N82" s="187"/>
      <c r="O82" s="205" t="e">
        <f>(P80-P76)*(R80-R76)&gt;0</f>
        <v>#N/A</v>
      </c>
      <c r="P82" s="729" t="e">
        <f>P76</f>
        <v>#N/A</v>
      </c>
      <c r="Q82" s="729" t="e">
        <f>1-R80-P76</f>
        <v>#N/A</v>
      </c>
      <c r="R82" s="729">
        <f>R80</f>
        <v>3.0303030303030304E-2</v>
      </c>
      <c r="S82" s="187"/>
    </row>
    <row r="83" spans="3:19" ht="16" hidden="1" customHeight="1">
      <c r="C83" s="1409"/>
      <c r="D83" s="1408"/>
      <c r="E83" s="1409"/>
      <c r="G83" s="187"/>
      <c r="H83" s="724" t="s">
        <v>423</v>
      </c>
      <c r="I83" s="725" t="s">
        <v>420</v>
      </c>
      <c r="J83" s="725" t="s">
        <v>421</v>
      </c>
      <c r="K83" s="726" t="s">
        <v>422</v>
      </c>
      <c r="L83" s="187"/>
      <c r="M83" s="1408"/>
      <c r="N83" s="187"/>
      <c r="O83" s="727" t="s">
        <v>423</v>
      </c>
      <c r="P83" s="725" t="s">
        <v>420</v>
      </c>
      <c r="Q83" s="725" t="s">
        <v>421</v>
      </c>
      <c r="R83" s="725" t="s">
        <v>422</v>
      </c>
      <c r="S83" s="187"/>
    </row>
    <row r="84" spans="3:19" ht="16" hidden="1" customHeight="1">
      <c r="C84" s="1409"/>
      <c r="D84" s="1408"/>
      <c r="E84" s="1409"/>
      <c r="G84" s="187"/>
      <c r="H84" s="728" t="e">
        <f>(J80-J76)*(K80-K76)&gt;0</f>
        <v>#N/A</v>
      </c>
      <c r="I84" s="729" t="e">
        <f>1-J80-K76</f>
        <v>#N/A</v>
      </c>
      <c r="J84" s="729">
        <f>J80</f>
        <v>0.17920857498174925</v>
      </c>
      <c r="K84" s="730" t="e">
        <f>K76</f>
        <v>#N/A</v>
      </c>
      <c r="L84" s="187"/>
      <c r="M84" s="1408"/>
      <c r="N84" s="187"/>
      <c r="O84" s="205" t="e">
        <f>(Q80-Q76)*(R80-R76)&gt;0</f>
        <v>#N/A</v>
      </c>
      <c r="P84" s="729" t="e">
        <f>1-Q80-R76</f>
        <v>#N/A</v>
      </c>
      <c r="Q84" s="729">
        <f>Q80</f>
        <v>6.0606060606060608E-2</v>
      </c>
      <c r="R84" s="729" t="e">
        <f>R76</f>
        <v>#N/A</v>
      </c>
      <c r="S84" s="187"/>
    </row>
    <row r="85" spans="3:19" ht="16" hidden="1" customHeight="1">
      <c r="C85" s="1409"/>
      <c r="D85" s="1408"/>
      <c r="E85" s="1409"/>
      <c r="G85" s="187"/>
      <c r="H85" s="724" t="s">
        <v>424</v>
      </c>
      <c r="I85" s="725" t="s">
        <v>420</v>
      </c>
      <c r="J85" s="725" t="s">
        <v>421</v>
      </c>
      <c r="K85" s="726" t="s">
        <v>422</v>
      </c>
      <c r="L85" s="187"/>
      <c r="M85" s="1408"/>
      <c r="N85" s="187"/>
      <c r="O85" s="727" t="s">
        <v>424</v>
      </c>
      <c r="P85" s="725" t="s">
        <v>420</v>
      </c>
      <c r="Q85" s="725" t="s">
        <v>421</v>
      </c>
      <c r="R85" s="725" t="s">
        <v>422</v>
      </c>
      <c r="S85" s="187"/>
    </row>
    <row r="86" spans="3:19" ht="17" hidden="1" customHeight="1" thickBot="1">
      <c r="C86" s="1409"/>
      <c r="D86" s="1408"/>
      <c r="E86" s="1409"/>
      <c r="G86" s="187"/>
      <c r="H86" s="728" t="e">
        <f>(I80-I76)*(J80-J76)&gt;0</f>
        <v>#N/A</v>
      </c>
      <c r="I86" s="729">
        <f>I80</f>
        <v>0.69407182640187792</v>
      </c>
      <c r="J86" s="729" t="e">
        <f>J76</f>
        <v>#N/A</v>
      </c>
      <c r="K86" s="730" t="e">
        <f>1-I80-J76</f>
        <v>#N/A</v>
      </c>
      <c r="L86" s="187"/>
      <c r="M86" s="1408"/>
      <c r="N86" s="187"/>
      <c r="O86" s="205" t="e">
        <f>(P80-P76)*(Q80-Q76)&gt;0</f>
        <v>#N/A</v>
      </c>
      <c r="P86" s="729">
        <f>P80</f>
        <v>0.90909090909090906</v>
      </c>
      <c r="Q86" s="729" t="e">
        <f>Q76</f>
        <v>#N/A</v>
      </c>
      <c r="R86" s="729" t="e">
        <f>1-P80-Q76</f>
        <v>#N/A</v>
      </c>
      <c r="S86" s="187"/>
    </row>
    <row r="87" spans="3:19" ht="16" hidden="1" customHeight="1">
      <c r="C87" s="1409"/>
      <c r="D87" s="1408"/>
      <c r="E87" s="1409"/>
      <c r="G87" s="187"/>
      <c r="H87" s="1415" t="s">
        <v>425</v>
      </c>
      <c r="I87" s="705" t="s">
        <v>420</v>
      </c>
      <c r="J87" s="705" t="s">
        <v>421</v>
      </c>
      <c r="K87" s="706" t="s">
        <v>422</v>
      </c>
      <c r="L87" s="187"/>
      <c r="M87" s="1408"/>
      <c r="N87" s="187"/>
      <c r="O87" s="1415" t="s">
        <v>425</v>
      </c>
      <c r="P87" s="705" t="s">
        <v>420</v>
      </c>
      <c r="Q87" s="705" t="s">
        <v>421</v>
      </c>
      <c r="R87" s="706" t="s">
        <v>422</v>
      </c>
      <c r="S87" s="187"/>
    </row>
    <row r="88" spans="3:19" ht="17" hidden="1" customHeight="1" thickBot="1">
      <c r="C88" s="1409"/>
      <c r="D88" s="1408"/>
      <c r="E88" s="1409"/>
      <c r="G88" s="187"/>
      <c r="H88" s="1416"/>
      <c r="I88" s="731" t="e">
        <f>_xlfn.IFS($H82,I82,$H84,I84,$H86,I86)</f>
        <v>#N/A</v>
      </c>
      <c r="J88" s="731" t="e">
        <f>_xlfn.IFS($H82,J82,$H84,J84,$H86,J86)</f>
        <v>#N/A</v>
      </c>
      <c r="K88" s="732" t="e">
        <f>_xlfn.IFS($H82,K82,$H84,K84,$H86,K86)</f>
        <v>#N/A</v>
      </c>
      <c r="L88" s="187"/>
      <c r="M88" s="1408"/>
      <c r="N88" s="187"/>
      <c r="O88" s="1416"/>
      <c r="P88" s="731" t="e">
        <f>_xlfn.IFS($H82,P82,$H84,P84,$H86,P86)</f>
        <v>#N/A</v>
      </c>
      <c r="Q88" s="731" t="e">
        <f>_xlfn.IFS($H82,Q82,$H84,Q84,$H86,Q86)</f>
        <v>#N/A</v>
      </c>
      <c r="R88" s="732" t="e">
        <f>_xlfn.IFS($H82,R82,$H84,R84,$H86,R86)</f>
        <v>#N/A</v>
      </c>
      <c r="S88" s="187"/>
    </row>
    <row r="89" spans="3:19" ht="17" hidden="1" customHeight="1" thickBot="1">
      <c r="C89" s="1409"/>
      <c r="D89" s="1408"/>
      <c r="E89" s="1409"/>
      <c r="G89" s="187"/>
      <c r="H89" s="498" t="s">
        <v>371</v>
      </c>
      <c r="I89" s="733" t="e">
        <f>I88-I76</f>
        <v>#N/A</v>
      </c>
      <c r="J89" s="733" t="e">
        <f t="shared" ref="J89:K89" si="10">J88-J76</f>
        <v>#N/A</v>
      </c>
      <c r="K89" s="734" t="e">
        <f t="shared" si="10"/>
        <v>#N/A</v>
      </c>
      <c r="L89" s="187"/>
      <c r="M89" s="1408"/>
      <c r="N89" s="187"/>
      <c r="O89" s="498" t="s">
        <v>371</v>
      </c>
      <c r="P89" s="733" t="e">
        <f>P88-P76</f>
        <v>#N/A</v>
      </c>
      <c r="Q89" s="733" t="e">
        <f t="shared" ref="Q89:R89" si="11">Q88-Q76</f>
        <v>#N/A</v>
      </c>
      <c r="R89" s="734" t="e">
        <f t="shared" si="11"/>
        <v>#N/A</v>
      </c>
      <c r="S89" s="187"/>
    </row>
    <row r="90" spans="3:19" ht="17" hidden="1" customHeight="1" thickBot="1">
      <c r="C90" s="1409"/>
      <c r="D90" s="1408"/>
      <c r="E90" s="1409"/>
      <c r="G90" s="187"/>
      <c r="H90" s="498" t="s">
        <v>373</v>
      </c>
      <c r="I90" s="733" t="e">
        <f>I80-I88</f>
        <v>#N/A</v>
      </c>
      <c r="J90" s="733" t="e">
        <f t="shared" ref="J90:K90" si="12">J80-J88</f>
        <v>#N/A</v>
      </c>
      <c r="K90" s="734" t="e">
        <f t="shared" si="12"/>
        <v>#N/A</v>
      </c>
      <c r="L90" s="187"/>
      <c r="M90" s="1408"/>
      <c r="N90" s="187"/>
      <c r="O90" s="498" t="s">
        <v>373</v>
      </c>
      <c r="P90" s="733" t="e">
        <f>P80-P88</f>
        <v>#N/A</v>
      </c>
      <c r="Q90" s="733" t="e">
        <f t="shared" ref="Q90:R90" si="13">Q80-Q88</f>
        <v>#N/A</v>
      </c>
      <c r="R90" s="734" t="e">
        <f t="shared" si="13"/>
        <v>#N/A</v>
      </c>
      <c r="S90" s="187"/>
    </row>
    <row r="91" spans="3:19" ht="16" hidden="1" customHeight="1">
      <c r="C91" s="1409"/>
      <c r="D91" s="1408"/>
      <c r="E91" s="1409"/>
      <c r="G91" s="187"/>
      <c r="H91" s="187"/>
      <c r="I91" s="187"/>
      <c r="J91" s="187"/>
      <c r="K91" s="187"/>
      <c r="L91" s="187"/>
      <c r="M91" s="1408"/>
      <c r="N91" s="187"/>
      <c r="O91" s="187"/>
      <c r="P91" s="187"/>
      <c r="Q91" s="187"/>
      <c r="R91" s="187"/>
      <c r="S91" s="187"/>
    </row>
    <row r="92" spans="3:19" ht="46" hidden="1" customHeight="1" thickBot="1">
      <c r="C92" s="1409"/>
      <c r="D92" s="1408"/>
      <c r="E92" s="1409"/>
      <c r="G92" s="187"/>
      <c r="H92" s="1421" t="s">
        <v>426</v>
      </c>
      <c r="I92" s="1421"/>
      <c r="J92" s="1421"/>
      <c r="K92" s="1421"/>
      <c r="L92" s="187"/>
      <c r="M92" s="1408"/>
      <c r="N92" s="187"/>
      <c r="O92" s="1410" t="s">
        <v>426</v>
      </c>
      <c r="P92" s="1410"/>
      <c r="Q92" s="1410"/>
      <c r="R92" s="1410"/>
      <c r="S92" s="187"/>
    </row>
    <row r="93" spans="3:19" ht="17" hidden="1" customHeight="1">
      <c r="C93" s="1409"/>
      <c r="D93" s="1408"/>
      <c r="E93" s="1409"/>
      <c r="G93" s="187"/>
      <c r="H93" s="735"/>
      <c r="I93" s="736" t="s">
        <v>366</v>
      </c>
      <c r="J93" s="736" t="s">
        <v>358</v>
      </c>
      <c r="K93" s="737" t="s">
        <v>357</v>
      </c>
      <c r="L93" s="187"/>
      <c r="M93" s="1408"/>
      <c r="N93" s="187"/>
      <c r="O93" s="735"/>
      <c r="P93" s="736" t="s">
        <v>366</v>
      </c>
      <c r="Q93" s="736" t="s">
        <v>358</v>
      </c>
      <c r="R93" s="737" t="s">
        <v>357</v>
      </c>
      <c r="S93" s="187"/>
    </row>
    <row r="94" spans="3:19" ht="17" hidden="1" customHeight="1">
      <c r="C94" s="1409"/>
      <c r="D94" s="1408"/>
      <c r="E94" s="1409"/>
      <c r="G94" s="187"/>
      <c r="H94" s="738" t="s">
        <v>427</v>
      </c>
      <c r="I94" s="739">
        <f>MAX(2*I80-1,0)</f>
        <v>0.38814365280375585</v>
      </c>
      <c r="J94" s="740">
        <v>0</v>
      </c>
      <c r="K94" s="741">
        <v>0</v>
      </c>
      <c r="L94" s="187"/>
      <c r="M94" s="1408"/>
      <c r="N94" s="187"/>
      <c r="O94" s="738" t="s">
        <v>427</v>
      </c>
      <c r="P94" s="739">
        <f>MAX(2*P80-1,0)</f>
        <v>0.81818181818181812</v>
      </c>
      <c r="Q94" s="740">
        <v>0</v>
      </c>
      <c r="R94" s="741">
        <v>0</v>
      </c>
      <c r="S94" s="187"/>
    </row>
    <row r="95" spans="3:19" ht="17" hidden="1" customHeight="1">
      <c r="C95" s="1409"/>
      <c r="D95" s="1408"/>
      <c r="E95" s="1409"/>
      <c r="G95" s="187"/>
      <c r="H95" s="738" t="s">
        <v>358</v>
      </c>
      <c r="I95" s="739">
        <f>MAX(1-2*K80,0)-MAX(2*I80-1,0)-MAX(2*J80-1,0)</f>
        <v>0.3584171499634986</v>
      </c>
      <c r="J95" s="742">
        <f>MAX(2*J80-1,0)</f>
        <v>0</v>
      </c>
      <c r="K95" s="741">
        <v>0</v>
      </c>
      <c r="L95" s="187"/>
      <c r="M95" s="1408"/>
      <c r="N95" s="187"/>
      <c r="O95" s="738" t="s">
        <v>358</v>
      </c>
      <c r="P95" s="739">
        <f>MAX(1-2*R80,0)-MAX(2*P80-1,0)-MAX(2*Q80-1,0)</f>
        <v>0.12121212121212133</v>
      </c>
      <c r="Q95" s="742">
        <f>MAX(2*Q80-1,0)</f>
        <v>0</v>
      </c>
      <c r="R95" s="741">
        <v>0</v>
      </c>
      <c r="S95" s="187"/>
    </row>
    <row r="96" spans="3:19" ht="17" hidden="1" customHeight="1" thickBot="1">
      <c r="C96" s="1409"/>
      <c r="D96" s="1408"/>
      <c r="E96" s="1409"/>
      <c r="G96" s="187"/>
      <c r="H96" s="743" t="s">
        <v>357</v>
      </c>
      <c r="I96" s="744">
        <f>MAX(1-2*J80,0)-MAX(2*K80-1,0)-MAX(2*I80-1,0)</f>
        <v>0.25343919723274566</v>
      </c>
      <c r="J96" s="744">
        <f>MAX(1-2*I80,0)-MAX(2*K80-1,0)-MAX(2*J80-1,0)</f>
        <v>0</v>
      </c>
      <c r="K96" s="745">
        <f>MAX(2*K80-1,0)</f>
        <v>0</v>
      </c>
      <c r="L96" s="187"/>
      <c r="M96" s="1408"/>
      <c r="N96" s="187"/>
      <c r="O96" s="743" t="s">
        <v>357</v>
      </c>
      <c r="P96" s="744">
        <f>MAX(1-2*Q80,0)-MAX(2*R80-1,0)-MAX(2*P80-1,0)</f>
        <v>6.0606060606060663E-2</v>
      </c>
      <c r="Q96" s="744">
        <f>MAX(1-2*P80,0)-MAX(2*R80-1,0)-MAX(2*Q80-1,0)</f>
        <v>0</v>
      </c>
      <c r="R96" s="745">
        <f>MAX(2*R80-1,0)</f>
        <v>0</v>
      </c>
      <c r="S96" s="187"/>
    </row>
    <row r="97" spans="3:19" ht="16" hidden="1" customHeight="1">
      <c r="C97" s="1409"/>
      <c r="D97" s="1408"/>
      <c r="E97" s="1409"/>
      <c r="G97" s="187"/>
      <c r="H97" s="187"/>
      <c r="I97" s="187"/>
      <c r="J97" s="187"/>
      <c r="K97" s="187"/>
      <c r="L97" s="187"/>
      <c r="M97" s="1408"/>
      <c r="N97" s="187"/>
      <c r="O97" s="187"/>
      <c r="P97" s="187"/>
      <c r="Q97" s="187"/>
      <c r="R97" s="187"/>
      <c r="S97" s="187"/>
    </row>
    <row r="98" spans="3:19" ht="67" hidden="1" customHeight="1">
      <c r="C98" s="1409"/>
    </row>
    <row r="99" spans="3:19" ht="16" hidden="1" customHeight="1">
      <c r="C99" s="1409"/>
      <c r="D99" s="1408"/>
      <c r="E99" s="1409" t="s">
        <v>428</v>
      </c>
      <c r="G99" s="187"/>
      <c r="H99" s="187"/>
      <c r="I99" s="187"/>
      <c r="J99" s="187"/>
      <c r="K99" s="187"/>
      <c r="L99" s="187"/>
      <c r="M99" s="1408"/>
      <c r="N99" s="187"/>
      <c r="O99" s="187"/>
      <c r="P99" s="187"/>
      <c r="Q99" s="187"/>
      <c r="R99" s="187"/>
      <c r="S99" s="187"/>
    </row>
    <row r="100" spans="3:19" ht="45" hidden="1" customHeight="1">
      <c r="C100" s="1409"/>
      <c r="D100" s="1408"/>
      <c r="E100" s="1409"/>
      <c r="G100" s="187"/>
      <c r="H100" s="1410" t="s">
        <v>405</v>
      </c>
      <c r="I100" s="1410"/>
      <c r="J100" s="1410"/>
      <c r="K100" s="1410"/>
      <c r="L100" s="187"/>
      <c r="M100" s="1408"/>
      <c r="N100" s="187"/>
      <c r="O100" s="1410" t="s">
        <v>406</v>
      </c>
      <c r="P100" s="1410"/>
      <c r="Q100" s="1410"/>
      <c r="R100" s="1410"/>
      <c r="S100" s="187"/>
    </row>
    <row r="101" spans="3:19" ht="16" hidden="1" customHeight="1">
      <c r="C101" s="1409"/>
      <c r="D101" s="1408"/>
      <c r="E101" s="1409"/>
      <c r="G101" s="187"/>
      <c r="H101" s="187"/>
      <c r="I101" s="187"/>
      <c r="J101" s="187"/>
      <c r="K101" s="187"/>
      <c r="L101" s="187"/>
      <c r="M101" s="1408"/>
      <c r="N101" s="187"/>
      <c r="O101" s="187"/>
      <c r="P101" s="187"/>
      <c r="Q101" s="187"/>
      <c r="R101" s="187"/>
      <c r="S101" s="187"/>
    </row>
    <row r="102" spans="3:19" ht="46" hidden="1" customHeight="1" thickBot="1">
      <c r="C102" s="1409"/>
      <c r="D102" s="1408"/>
      <c r="E102" s="1409"/>
      <c r="G102" s="187"/>
      <c r="H102" s="1411" t="s">
        <v>407</v>
      </c>
      <c r="I102" s="1411"/>
      <c r="J102" s="1411"/>
      <c r="K102" s="1411"/>
      <c r="L102" s="187"/>
      <c r="M102" s="1408"/>
      <c r="N102" s="187"/>
      <c r="O102" s="1410" t="s">
        <v>407</v>
      </c>
      <c r="P102" s="1410"/>
      <c r="Q102" s="1410"/>
      <c r="R102" s="1410"/>
      <c r="S102" s="187"/>
    </row>
    <row r="103" spans="3:19" ht="17" hidden="1" customHeight="1" thickBot="1">
      <c r="C103" s="1409"/>
      <c r="D103" s="1408"/>
      <c r="E103" s="1409"/>
      <c r="G103" s="187"/>
      <c r="H103" s="704"/>
      <c r="I103" s="705" t="s">
        <v>188</v>
      </c>
      <c r="J103" s="705" t="s">
        <v>361</v>
      </c>
      <c r="K103" s="706" t="s">
        <v>362</v>
      </c>
      <c r="L103" s="187"/>
      <c r="M103" s="1408"/>
      <c r="N103" s="187"/>
      <c r="O103" s="704"/>
      <c r="P103" s="746" t="s">
        <v>429</v>
      </c>
      <c r="Q103" s="746" t="s">
        <v>430</v>
      </c>
      <c r="R103" s="747" t="s">
        <v>431</v>
      </c>
      <c r="S103" s="187"/>
    </row>
    <row r="104" spans="3:19" ht="16" hidden="1" customHeight="1">
      <c r="C104" s="1409"/>
      <c r="D104" s="1408"/>
      <c r="E104" s="1409"/>
      <c r="G104" s="187"/>
      <c r="H104" s="1415" t="s">
        <v>409</v>
      </c>
      <c r="I104" s="705" t="s">
        <v>410</v>
      </c>
      <c r="J104" s="705" t="s">
        <v>411</v>
      </c>
      <c r="K104" s="706" t="s">
        <v>412</v>
      </c>
      <c r="L104" s="187"/>
      <c r="M104" s="1408"/>
      <c r="N104" s="187"/>
      <c r="O104" s="1415" t="s">
        <v>409</v>
      </c>
      <c r="P104" s="710" t="s">
        <v>410</v>
      </c>
      <c r="Q104" s="710" t="s">
        <v>411</v>
      </c>
      <c r="R104" s="711" t="s">
        <v>412</v>
      </c>
      <c r="S104" s="187"/>
    </row>
    <row r="105" spans="3:19" ht="17" hidden="1" customHeight="1" thickBot="1">
      <c r="C105" s="1409"/>
      <c r="D105" s="1408"/>
      <c r="E105" s="1409"/>
      <c r="G105" s="187"/>
      <c r="H105" s="1416"/>
      <c r="I105" s="748" t="e">
        <f>$O$48/SUM($O$48:$Q$48)</f>
        <v>#N/A</v>
      </c>
      <c r="J105" s="748" t="e">
        <f>$P$48/SUM($O$48:$Q$48)</f>
        <v>#N/A</v>
      </c>
      <c r="K105" s="749" t="e">
        <f>$Q$48/SUM($O$48:$Q$48)</f>
        <v>#N/A</v>
      </c>
      <c r="L105" s="187"/>
      <c r="M105" s="1408"/>
      <c r="N105" s="187"/>
      <c r="O105" s="1416"/>
      <c r="P105" s="748" t="e">
        <f>$O$48/SUM($O$48:$Q$48)</f>
        <v>#N/A</v>
      </c>
      <c r="Q105" s="748" t="e">
        <f>$P$48/SUM($O$48:$Q$48)</f>
        <v>#N/A</v>
      </c>
      <c r="R105" s="749" t="e">
        <f>$Q$48/SUM($O$48:$Q$48)</f>
        <v>#N/A</v>
      </c>
      <c r="S105" s="187"/>
    </row>
    <row r="106" spans="3:19" ht="16" hidden="1" customHeight="1">
      <c r="C106" s="1409"/>
      <c r="D106" s="1408"/>
      <c r="E106" s="1409"/>
      <c r="G106" s="187"/>
      <c r="H106" s="716" t="s">
        <v>364</v>
      </c>
      <c r="I106" s="750">
        <f>$O$55</f>
        <v>100000</v>
      </c>
      <c r="J106" s="750">
        <f>$P$55</f>
        <v>2000000</v>
      </c>
      <c r="K106" s="751">
        <f>$Q$55</f>
        <v>300000</v>
      </c>
      <c r="L106" s="187"/>
      <c r="M106" s="1408"/>
      <c r="N106" s="187"/>
      <c r="O106" s="1415" t="s">
        <v>364</v>
      </c>
      <c r="P106" s="1417">
        <f>$O$55</f>
        <v>100000</v>
      </c>
      <c r="Q106" s="1417">
        <f t="shared" ref="Q106" si="14">$P$55</f>
        <v>2000000</v>
      </c>
      <c r="R106" s="1419">
        <f t="shared" ref="R106" si="15">$Q$55</f>
        <v>300000</v>
      </c>
      <c r="S106" s="187"/>
    </row>
    <row r="107" spans="3:19" ht="17" hidden="1" customHeight="1" thickBot="1">
      <c r="C107" s="1409"/>
      <c r="D107" s="1408"/>
      <c r="E107" s="1409"/>
      <c r="G107" s="187"/>
      <c r="H107" s="719" t="s">
        <v>413</v>
      </c>
      <c r="I107" s="722">
        <f>SQRT(I106)</f>
        <v>316.22776601683796</v>
      </c>
      <c r="J107" s="722">
        <f>SQRT(J106)</f>
        <v>1414.2135623730951</v>
      </c>
      <c r="K107" s="723">
        <f>SQRT(K106)</f>
        <v>547.72255750516615</v>
      </c>
      <c r="L107" s="187"/>
      <c r="M107" s="1408"/>
      <c r="N107" s="187"/>
      <c r="O107" s="1416"/>
      <c r="P107" s="1418"/>
      <c r="Q107" s="1418"/>
      <c r="R107" s="1420"/>
      <c r="S107" s="187"/>
    </row>
    <row r="108" spans="3:19" ht="16" hidden="1" customHeight="1">
      <c r="C108" s="1409"/>
      <c r="D108" s="1408"/>
      <c r="E108" s="1409"/>
      <c r="G108" s="187"/>
      <c r="H108" s="1415" t="s">
        <v>414</v>
      </c>
      <c r="I108" s="705" t="s">
        <v>415</v>
      </c>
      <c r="J108" s="705" t="s">
        <v>416</v>
      </c>
      <c r="K108" s="706" t="s">
        <v>417</v>
      </c>
      <c r="L108" s="187"/>
      <c r="M108" s="1408"/>
      <c r="N108" s="187"/>
      <c r="O108" s="1415" t="s">
        <v>418</v>
      </c>
      <c r="P108" s="705" t="s">
        <v>415</v>
      </c>
      <c r="Q108" s="705" t="s">
        <v>416</v>
      </c>
      <c r="R108" s="706" t="s">
        <v>417</v>
      </c>
      <c r="S108" s="187"/>
    </row>
    <row r="109" spans="3:19" ht="17" hidden="1" customHeight="1" thickBot="1">
      <c r="C109" s="1409"/>
      <c r="D109" s="1408"/>
      <c r="E109" s="1409"/>
      <c r="G109" s="187"/>
      <c r="H109" s="1416"/>
      <c r="I109" s="722">
        <f>I107/SUM($I107:$K107)</f>
        <v>0.13880817265812767</v>
      </c>
      <c r="J109" s="722">
        <f>J107/SUM($I107:$K107)</f>
        <v>0.62076901979220223</v>
      </c>
      <c r="K109" s="723">
        <f>K107/SUM($I107:$K107)</f>
        <v>0.24042280754967016</v>
      </c>
      <c r="L109" s="187"/>
      <c r="M109" s="1408"/>
      <c r="N109" s="187"/>
      <c r="O109" s="1416"/>
      <c r="P109" s="722">
        <f>P106/SUM($I106:$K106)</f>
        <v>4.1666666666666664E-2</v>
      </c>
      <c r="Q109" s="722">
        <f>Q106/SUM($I106:$K106)</f>
        <v>0.83333333333333337</v>
      </c>
      <c r="R109" s="723">
        <f>R106/SUM($I106:$K106)</f>
        <v>0.125</v>
      </c>
      <c r="S109" s="187"/>
    </row>
    <row r="110" spans="3:19" ht="16" hidden="1" customHeight="1">
      <c r="C110" s="1409"/>
      <c r="D110" s="1408"/>
      <c r="E110" s="1409"/>
      <c r="G110" s="187"/>
      <c r="H110" s="724" t="s">
        <v>419</v>
      </c>
      <c r="I110" s="725" t="s">
        <v>420</v>
      </c>
      <c r="J110" s="725" t="s">
        <v>421</v>
      </c>
      <c r="K110" s="726" t="s">
        <v>422</v>
      </c>
      <c r="L110" s="187"/>
      <c r="M110" s="1408"/>
      <c r="N110" s="187"/>
      <c r="O110" s="727" t="s">
        <v>419</v>
      </c>
      <c r="P110" s="725" t="s">
        <v>420</v>
      </c>
      <c r="Q110" s="725" t="s">
        <v>421</v>
      </c>
      <c r="R110" s="725" t="s">
        <v>422</v>
      </c>
      <c r="S110" s="187"/>
    </row>
    <row r="111" spans="3:19" ht="16" hidden="1" customHeight="1">
      <c r="C111" s="1409"/>
      <c r="D111" s="1408"/>
      <c r="E111" s="1409"/>
      <c r="G111" s="187"/>
      <c r="H111" s="728" t="e">
        <f>(I109-I105)*(K109-K105)&gt;0</f>
        <v>#N/A</v>
      </c>
      <c r="I111" s="729" t="e">
        <f>I105</f>
        <v>#N/A</v>
      </c>
      <c r="J111" s="729" t="e">
        <f>1-K109-I105</f>
        <v>#N/A</v>
      </c>
      <c r="K111" s="730">
        <f>K109</f>
        <v>0.24042280754967016</v>
      </c>
      <c r="L111" s="187"/>
      <c r="M111" s="1408"/>
      <c r="N111" s="187"/>
      <c r="O111" s="205" t="e">
        <f>(P109-P105)*(R109-R105)&gt;0</f>
        <v>#N/A</v>
      </c>
      <c r="P111" s="729" t="e">
        <f>P105</f>
        <v>#N/A</v>
      </c>
      <c r="Q111" s="729" t="e">
        <f>1-R109-P105</f>
        <v>#N/A</v>
      </c>
      <c r="R111" s="729">
        <f>R109</f>
        <v>0.125</v>
      </c>
      <c r="S111" s="187"/>
    </row>
    <row r="112" spans="3:19" ht="16" hidden="1" customHeight="1">
      <c r="C112" s="1409"/>
      <c r="D112" s="1408"/>
      <c r="E112" s="1409"/>
      <c r="G112" s="187"/>
      <c r="H112" s="724" t="s">
        <v>423</v>
      </c>
      <c r="I112" s="725" t="s">
        <v>420</v>
      </c>
      <c r="J112" s="725" t="s">
        <v>421</v>
      </c>
      <c r="K112" s="726" t="s">
        <v>422</v>
      </c>
      <c r="L112" s="187"/>
      <c r="M112" s="1408"/>
      <c r="N112" s="187"/>
      <c r="O112" s="727" t="s">
        <v>423</v>
      </c>
      <c r="P112" s="725" t="s">
        <v>420</v>
      </c>
      <c r="Q112" s="725" t="s">
        <v>421</v>
      </c>
      <c r="R112" s="725" t="s">
        <v>422</v>
      </c>
      <c r="S112" s="187"/>
    </row>
    <row r="113" spans="3:19" ht="16" hidden="1" customHeight="1">
      <c r="C113" s="1409"/>
      <c r="D113" s="1408"/>
      <c r="E113" s="1409"/>
      <c r="G113" s="187"/>
      <c r="H113" s="728" t="e">
        <f>(J109-J105)*(K109-K105)&gt;0</f>
        <v>#N/A</v>
      </c>
      <c r="I113" s="729" t="e">
        <f>1-J109-K105</f>
        <v>#N/A</v>
      </c>
      <c r="J113" s="729">
        <f>J109</f>
        <v>0.62076901979220223</v>
      </c>
      <c r="K113" s="730" t="e">
        <f>K105</f>
        <v>#N/A</v>
      </c>
      <c r="L113" s="187"/>
      <c r="M113" s="1408"/>
      <c r="N113" s="187"/>
      <c r="O113" s="205" t="e">
        <f>(Q109-Q105)*(R109-R105)&gt;0</f>
        <v>#N/A</v>
      </c>
      <c r="P113" s="729" t="e">
        <f>1-Q109-R105</f>
        <v>#N/A</v>
      </c>
      <c r="Q113" s="729">
        <f>Q109</f>
        <v>0.83333333333333337</v>
      </c>
      <c r="R113" s="729" t="e">
        <f>R105</f>
        <v>#N/A</v>
      </c>
      <c r="S113" s="187"/>
    </row>
    <row r="114" spans="3:19" ht="16" hidden="1" customHeight="1">
      <c r="C114" s="1409"/>
      <c r="D114" s="1408"/>
      <c r="E114" s="1409"/>
      <c r="G114" s="187"/>
      <c r="H114" s="724" t="s">
        <v>424</v>
      </c>
      <c r="I114" s="725" t="s">
        <v>420</v>
      </c>
      <c r="J114" s="725" t="s">
        <v>421</v>
      </c>
      <c r="K114" s="726" t="s">
        <v>422</v>
      </c>
      <c r="L114" s="187"/>
      <c r="M114" s="1408"/>
      <c r="N114" s="187"/>
      <c r="O114" s="727" t="s">
        <v>424</v>
      </c>
      <c r="P114" s="725" t="s">
        <v>420</v>
      </c>
      <c r="Q114" s="725" t="s">
        <v>421</v>
      </c>
      <c r="R114" s="725" t="s">
        <v>422</v>
      </c>
      <c r="S114" s="187"/>
    </row>
    <row r="115" spans="3:19" ht="17" hidden="1" customHeight="1" thickBot="1">
      <c r="C115" s="1409"/>
      <c r="D115" s="1408"/>
      <c r="E115" s="1409"/>
      <c r="G115" s="187"/>
      <c r="H115" s="728" t="e">
        <f>(I109-I105)*(J109-J105)&gt;0</f>
        <v>#N/A</v>
      </c>
      <c r="I115" s="729">
        <f>I109</f>
        <v>0.13880817265812767</v>
      </c>
      <c r="J115" s="729" t="e">
        <f>J105</f>
        <v>#N/A</v>
      </c>
      <c r="K115" s="730" t="e">
        <f>1-I109-J105</f>
        <v>#N/A</v>
      </c>
      <c r="L115" s="187"/>
      <c r="M115" s="1408"/>
      <c r="N115" s="187"/>
      <c r="O115" s="205" t="e">
        <f>(P109-P105)*(Q109-Q105)&gt;0</f>
        <v>#N/A</v>
      </c>
      <c r="P115" s="729">
        <f>P109</f>
        <v>4.1666666666666664E-2</v>
      </c>
      <c r="Q115" s="729" t="e">
        <f>Q105</f>
        <v>#N/A</v>
      </c>
      <c r="R115" s="729" t="e">
        <f>1-P109-Q105</f>
        <v>#N/A</v>
      </c>
      <c r="S115" s="187"/>
    </row>
    <row r="116" spans="3:19" ht="16" hidden="1" customHeight="1">
      <c r="C116" s="1409"/>
      <c r="D116" s="1408"/>
      <c r="E116" s="1409"/>
      <c r="G116" s="187"/>
      <c r="H116" s="1415" t="s">
        <v>425</v>
      </c>
      <c r="I116" s="705" t="s">
        <v>420</v>
      </c>
      <c r="J116" s="705" t="s">
        <v>421</v>
      </c>
      <c r="K116" s="706" t="s">
        <v>422</v>
      </c>
      <c r="L116" s="187"/>
      <c r="M116" s="1408"/>
      <c r="N116" s="187"/>
      <c r="O116" s="1415" t="s">
        <v>425</v>
      </c>
      <c r="P116" s="705" t="s">
        <v>420</v>
      </c>
      <c r="Q116" s="705" t="s">
        <v>421</v>
      </c>
      <c r="R116" s="706" t="s">
        <v>422</v>
      </c>
      <c r="S116" s="187"/>
    </row>
    <row r="117" spans="3:19" ht="17" hidden="1" customHeight="1" thickBot="1">
      <c r="C117" s="1409"/>
      <c r="D117" s="1408"/>
      <c r="E117" s="1409"/>
      <c r="G117" s="187"/>
      <c r="H117" s="1416"/>
      <c r="I117" s="731" t="e">
        <f>_xlfn.IFS($H111,I111,$H113,I113,$H115,I115)</f>
        <v>#N/A</v>
      </c>
      <c r="J117" s="731" t="e">
        <f>_xlfn.IFS($H111,J111,$H113,J113,$H115,J115)</f>
        <v>#N/A</v>
      </c>
      <c r="K117" s="732" t="e">
        <f>_xlfn.IFS($H111,K111,$H113,K113,$H115,K115)</f>
        <v>#N/A</v>
      </c>
      <c r="L117" s="187"/>
      <c r="M117" s="1408"/>
      <c r="N117" s="187"/>
      <c r="O117" s="1416"/>
      <c r="P117" s="731" t="e">
        <f>_xlfn.IFS($H111,P111,$H113,P113,$H115,P115)</f>
        <v>#N/A</v>
      </c>
      <c r="Q117" s="731" t="e">
        <f>_xlfn.IFS($H111,Q111,$H113,Q113,$H115,Q115)</f>
        <v>#N/A</v>
      </c>
      <c r="R117" s="732" t="e">
        <f>_xlfn.IFS($H111,R111,$H113,R113,$H115,R115)</f>
        <v>#N/A</v>
      </c>
      <c r="S117" s="187"/>
    </row>
    <row r="118" spans="3:19" ht="17" hidden="1" customHeight="1" thickBot="1">
      <c r="C118" s="1409"/>
      <c r="D118" s="1408"/>
      <c r="E118" s="1409"/>
      <c r="G118" s="187"/>
      <c r="H118" s="498" t="s">
        <v>371</v>
      </c>
      <c r="I118" s="733" t="e">
        <f>I117-I105</f>
        <v>#N/A</v>
      </c>
      <c r="J118" s="733" t="e">
        <f t="shared" ref="J118:K118" si="16">J117-J105</f>
        <v>#N/A</v>
      </c>
      <c r="K118" s="734" t="e">
        <f t="shared" si="16"/>
        <v>#N/A</v>
      </c>
      <c r="L118" s="187"/>
      <c r="M118" s="1408"/>
      <c r="N118" s="187"/>
      <c r="O118" s="498" t="s">
        <v>371</v>
      </c>
      <c r="P118" s="733" t="e">
        <f>P117-P105</f>
        <v>#N/A</v>
      </c>
      <c r="Q118" s="733" t="e">
        <f t="shared" ref="Q118:R118" si="17">Q117-Q105</f>
        <v>#N/A</v>
      </c>
      <c r="R118" s="734" t="e">
        <f t="shared" si="17"/>
        <v>#N/A</v>
      </c>
      <c r="S118" s="187"/>
    </row>
    <row r="119" spans="3:19" ht="17" hidden="1" customHeight="1" thickBot="1">
      <c r="C119" s="1409"/>
      <c r="D119" s="1408"/>
      <c r="E119" s="1409"/>
      <c r="G119" s="187"/>
      <c r="H119" s="498" t="s">
        <v>373</v>
      </c>
      <c r="I119" s="733" t="e">
        <f>I109-I117</f>
        <v>#N/A</v>
      </c>
      <c r="J119" s="733" t="e">
        <f t="shared" ref="J119:K119" si="18">J109-J117</f>
        <v>#N/A</v>
      </c>
      <c r="K119" s="734" t="e">
        <f t="shared" si="18"/>
        <v>#N/A</v>
      </c>
      <c r="L119" s="187"/>
      <c r="M119" s="1408"/>
      <c r="N119" s="187"/>
      <c r="O119" s="498" t="s">
        <v>373</v>
      </c>
      <c r="P119" s="733" t="e">
        <f>P109-P117</f>
        <v>#N/A</v>
      </c>
      <c r="Q119" s="733" t="e">
        <f t="shared" ref="Q119:R119" si="19">Q109-Q117</f>
        <v>#N/A</v>
      </c>
      <c r="R119" s="734" t="e">
        <f t="shared" si="19"/>
        <v>#N/A</v>
      </c>
      <c r="S119" s="187"/>
    </row>
    <row r="120" spans="3:19" ht="16" hidden="1" customHeight="1">
      <c r="C120" s="1409"/>
      <c r="D120" s="1408"/>
      <c r="E120" s="1409"/>
      <c r="G120" s="187"/>
      <c r="H120" s="187"/>
      <c r="I120" s="187"/>
      <c r="J120" s="187"/>
      <c r="K120" s="187"/>
      <c r="L120" s="187"/>
      <c r="M120" s="1408"/>
      <c r="N120" s="187"/>
      <c r="O120" s="187"/>
      <c r="P120" s="187"/>
      <c r="Q120" s="187"/>
      <c r="R120" s="187"/>
      <c r="S120" s="187"/>
    </row>
    <row r="121" spans="3:19" ht="46" hidden="1" customHeight="1" thickBot="1">
      <c r="C121" s="1409"/>
      <c r="D121" s="1408"/>
      <c r="E121" s="1409"/>
      <c r="G121" s="187"/>
      <c r="H121" s="1410" t="s">
        <v>426</v>
      </c>
      <c r="I121" s="1410"/>
      <c r="J121" s="1410"/>
      <c r="K121" s="1410"/>
      <c r="L121" s="187"/>
      <c r="M121" s="1408"/>
      <c r="N121" s="187"/>
      <c r="O121" s="1410" t="s">
        <v>426</v>
      </c>
      <c r="P121" s="1410"/>
      <c r="Q121" s="1410"/>
      <c r="R121" s="1410"/>
      <c r="S121" s="187"/>
    </row>
    <row r="122" spans="3:19" ht="17" hidden="1" customHeight="1">
      <c r="C122" s="1409"/>
      <c r="D122" s="1408"/>
      <c r="E122" s="1409"/>
      <c r="G122" s="187"/>
      <c r="H122" s="735"/>
      <c r="I122" s="736" t="s">
        <v>188</v>
      </c>
      <c r="J122" s="736" t="s">
        <v>361</v>
      </c>
      <c r="K122" s="737" t="s">
        <v>362</v>
      </c>
      <c r="L122" s="187"/>
      <c r="M122" s="1408"/>
      <c r="N122" s="187"/>
      <c r="O122" s="735"/>
      <c r="P122" s="752" t="s">
        <v>429</v>
      </c>
      <c r="Q122" s="752" t="s">
        <v>430</v>
      </c>
      <c r="R122" s="753" t="s">
        <v>431</v>
      </c>
      <c r="S122" s="187"/>
    </row>
    <row r="123" spans="3:19" ht="17" hidden="1" customHeight="1">
      <c r="C123" s="1409"/>
      <c r="D123" s="1408"/>
      <c r="E123" s="1409"/>
      <c r="G123" s="187"/>
      <c r="H123" s="738" t="s">
        <v>432</v>
      </c>
      <c r="I123" s="739">
        <f>MAX(2*I109-1,0)</f>
        <v>0</v>
      </c>
      <c r="J123" s="740">
        <v>0</v>
      </c>
      <c r="K123" s="741">
        <v>0</v>
      </c>
      <c r="L123" s="187"/>
      <c r="M123" s="1408"/>
      <c r="N123" s="187"/>
      <c r="O123" s="738" t="s">
        <v>432</v>
      </c>
      <c r="P123" s="739">
        <f>MAX(2*P109-1,0)</f>
        <v>0</v>
      </c>
      <c r="Q123" s="740">
        <v>0</v>
      </c>
      <c r="R123" s="741">
        <v>0</v>
      </c>
      <c r="S123" s="187"/>
    </row>
    <row r="124" spans="3:19" ht="17" hidden="1" customHeight="1">
      <c r="C124" s="1409"/>
      <c r="D124" s="1408"/>
      <c r="E124" s="1409"/>
      <c r="G124" s="187"/>
      <c r="H124" s="738" t="s">
        <v>361</v>
      </c>
      <c r="I124" s="739">
        <f>MAX(1-2*K109,0)-MAX(2*I109-1,0)-MAX(2*J109-1,0)</f>
        <v>0.27761634531625523</v>
      </c>
      <c r="J124" s="742">
        <f>MAX(2*J109-1,0)</f>
        <v>0.24153803958440445</v>
      </c>
      <c r="K124" s="741">
        <v>0</v>
      </c>
      <c r="L124" s="187"/>
      <c r="M124" s="1408"/>
      <c r="N124" s="187"/>
      <c r="O124" s="738" t="s">
        <v>361</v>
      </c>
      <c r="P124" s="739">
        <f>MAX(1-2*R109,0)-MAX(2*P109-1,0)-MAX(2*Q109-1,0)</f>
        <v>8.3333333333333259E-2</v>
      </c>
      <c r="Q124" s="742">
        <f>MAX(2*Q109-1,0)</f>
        <v>0.66666666666666674</v>
      </c>
      <c r="R124" s="741">
        <v>0</v>
      </c>
      <c r="S124" s="187"/>
    </row>
    <row r="125" spans="3:19" ht="17" hidden="1" customHeight="1" thickBot="1">
      <c r="C125" s="1409"/>
      <c r="D125" s="1408"/>
      <c r="E125" s="1409"/>
      <c r="G125" s="187"/>
      <c r="H125" s="743" t="s">
        <v>362</v>
      </c>
      <c r="I125" s="744">
        <f>MAX(1-2*J109,0)-MAX(2*K109-1,0)-MAX(2*I109-1,0)</f>
        <v>0</v>
      </c>
      <c r="J125" s="744">
        <f>MAX(1-2*I109,0)-MAX(2*K109-1,0)-MAX(2*J109-1,0)</f>
        <v>0.48084561509934021</v>
      </c>
      <c r="K125" s="745">
        <f>MAX(2*K109-1,0)</f>
        <v>0</v>
      </c>
      <c r="L125" s="187"/>
      <c r="M125" s="1408"/>
      <c r="N125" s="187"/>
      <c r="O125" s="743" t="s">
        <v>362</v>
      </c>
      <c r="P125" s="744">
        <f>MAX(1-2*Q109,0)-MAX(2*R109-1,0)-MAX(2*P109-1,0)</f>
        <v>0</v>
      </c>
      <c r="Q125" s="744">
        <f>MAX(1-2*P109,0)-MAX(2*R109-1,0)-MAX(2*Q109-1,0)</f>
        <v>0.24999999999999989</v>
      </c>
      <c r="R125" s="745">
        <f>MAX(2*R109-1,0)</f>
        <v>0</v>
      </c>
      <c r="S125" s="187"/>
    </row>
    <row r="126" spans="3:19" ht="16" hidden="1" customHeight="1">
      <c r="C126" s="1409"/>
      <c r="D126" s="1408"/>
      <c r="E126" s="1409"/>
      <c r="G126" s="187"/>
      <c r="H126" s="187"/>
      <c r="I126" s="187"/>
      <c r="J126" s="187"/>
      <c r="K126" s="187"/>
      <c r="L126" s="187"/>
      <c r="M126" s="1408"/>
      <c r="N126" s="187"/>
      <c r="O126" s="187"/>
      <c r="P126" s="187"/>
      <c r="Q126" s="187"/>
      <c r="R126" s="187"/>
      <c r="S126" s="187"/>
    </row>
    <row r="127" spans="3:19" hidden="1"/>
  </sheetData>
  <mergeCells count="58">
    <mergeCell ref="O121:R121"/>
    <mergeCell ref="H87:H88"/>
    <mergeCell ref="O87:O88"/>
    <mergeCell ref="H92:K92"/>
    <mergeCell ref="O92:R92"/>
    <mergeCell ref="H102:K102"/>
    <mergeCell ref="O102:R102"/>
    <mergeCell ref="D99:D126"/>
    <mergeCell ref="E99:E126"/>
    <mergeCell ref="M99:M126"/>
    <mergeCell ref="H100:K100"/>
    <mergeCell ref="O100:R100"/>
    <mergeCell ref="H104:H105"/>
    <mergeCell ref="O104:O105"/>
    <mergeCell ref="O106:O107"/>
    <mergeCell ref="P106:P107"/>
    <mergeCell ref="Q106:Q107"/>
    <mergeCell ref="R106:R107"/>
    <mergeCell ref="H108:H109"/>
    <mergeCell ref="O108:O109"/>
    <mergeCell ref="H116:H117"/>
    <mergeCell ref="O116:O117"/>
    <mergeCell ref="H121:K121"/>
    <mergeCell ref="O77:O78"/>
    <mergeCell ref="P77:P78"/>
    <mergeCell ref="Q77:Q78"/>
    <mergeCell ref="R77:R78"/>
    <mergeCell ref="H79:H80"/>
    <mergeCell ref="O79:O80"/>
    <mergeCell ref="AL53:AL58"/>
    <mergeCell ref="D62:D67"/>
    <mergeCell ref="E62:E67"/>
    <mergeCell ref="C70:C126"/>
    <mergeCell ref="D70:D97"/>
    <mergeCell ref="E70:E97"/>
    <mergeCell ref="M70:M97"/>
    <mergeCell ref="H71:K71"/>
    <mergeCell ref="O71:R71"/>
    <mergeCell ref="H73:K73"/>
    <mergeCell ref="V53:V58"/>
    <mergeCell ref="O73:R73"/>
    <mergeCell ref="V74:V79"/>
    <mergeCell ref="AL74:AL79"/>
    <mergeCell ref="H75:H76"/>
    <mergeCell ref="O75:O76"/>
    <mergeCell ref="C34:E39"/>
    <mergeCell ref="C42:C67"/>
    <mergeCell ref="D42:D60"/>
    <mergeCell ref="E42:E48"/>
    <mergeCell ref="E50:E60"/>
    <mergeCell ref="C3:P3"/>
    <mergeCell ref="C5:C30"/>
    <mergeCell ref="E5:E18"/>
    <mergeCell ref="V6:AC9"/>
    <mergeCell ref="V16:AC18"/>
    <mergeCell ref="E20:E30"/>
    <mergeCell ref="V21:AC23"/>
    <mergeCell ref="V26:AC28"/>
  </mergeCells>
  <phoneticPr fontId="2" type="noConversion"/>
  <hyperlinks>
    <hyperlink ref="R3" location="目录!A1" display="目录" xr:uid="{69632C21-FD4C-C44C-BF9C-A0E93F0DB39E}"/>
    <hyperlink ref="I13" r:id="rId1" xr:uid="{8864927D-9373-6C4F-B8C3-49A6386B1850}"/>
    <hyperlink ref="J13" r:id="rId2" xr:uid="{A93F1441-0B83-4C4B-BBF3-C5313667ECEF}"/>
    <hyperlink ref="K13" r:id="rId3" xr:uid="{9FF0DB58-026F-0046-9AED-631710529725}"/>
    <hyperlink ref="C3:P3" r:id="rId4" display="                                                                                              " xr:uid="{0036DC0D-F5D0-B44B-9DCA-864213C30455}"/>
  </hyperlinks>
  <pageMargins left="0.7" right="0.7" top="0.75" bottom="0.75" header="0.3" footer="0.3"/>
  <drawing r:id="rId5"/>
  <picture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612E-C309-6040-BD2C-B71E22483403}">
  <dimension ref="B1:J13"/>
  <sheetViews>
    <sheetView showGridLines="0" zoomScale="180" zoomScaleNormal="127" workbookViewId="0">
      <selection activeCell="C2" sqref="C2"/>
    </sheetView>
  </sheetViews>
  <sheetFormatPr baseColWidth="10" defaultColWidth="13" defaultRowHeight="8" customHeight="1"/>
  <cols>
    <col min="1" max="1" width="9.1640625" customWidth="1"/>
    <col min="2" max="2" width="1.83203125" customWidth="1"/>
    <col min="10" max="10" width="1.83203125" customWidth="1"/>
  </cols>
  <sheetData>
    <row r="1" spans="2:10" ht="56" customHeight="1" thickBot="1"/>
    <row r="2" spans="2:10" ht="33" customHeight="1" thickBot="1">
      <c r="C2" s="1457" t="s">
        <v>199</v>
      </c>
    </row>
    <row r="3" spans="2:10" ht="33" customHeight="1"/>
    <row r="4" spans="2:10" ht="8" customHeight="1">
      <c r="B4" s="42"/>
      <c r="C4" s="187"/>
      <c r="D4" s="187"/>
      <c r="E4" s="187"/>
      <c r="F4" s="187"/>
      <c r="G4" s="187"/>
      <c r="H4" s="187"/>
      <c r="I4" s="187"/>
      <c r="J4" s="42"/>
    </row>
    <row r="5" spans="2:10" ht="8" customHeight="1">
      <c r="B5" s="187"/>
      <c r="C5" s="156" t="s">
        <v>135</v>
      </c>
      <c r="D5" s="157" t="s">
        <v>99</v>
      </c>
      <c r="E5" s="157" t="s">
        <v>100</v>
      </c>
      <c r="F5" s="157" t="s">
        <v>101</v>
      </c>
      <c r="G5" s="157" t="s">
        <v>95</v>
      </c>
      <c r="H5" s="157" t="s">
        <v>96</v>
      </c>
      <c r="I5" s="157" t="s">
        <v>98</v>
      </c>
      <c r="J5" s="187"/>
    </row>
    <row r="6" spans="2:10" ht="8" customHeight="1">
      <c r="B6" s="187"/>
      <c r="C6" s="158" t="s">
        <v>115</v>
      </c>
      <c r="D6" s="159">
        <v>0</v>
      </c>
      <c r="E6" s="159" t="s">
        <v>102</v>
      </c>
      <c r="F6" s="159" t="s">
        <v>103</v>
      </c>
      <c r="G6" s="159" t="s">
        <v>107</v>
      </c>
      <c r="H6" s="159">
        <v>0</v>
      </c>
      <c r="I6" s="159">
        <v>0</v>
      </c>
      <c r="J6" s="187"/>
    </row>
    <row r="7" spans="2:10" ht="8" customHeight="1">
      <c r="B7" s="187"/>
      <c r="C7" s="158" t="s">
        <v>114</v>
      </c>
      <c r="D7" s="159" t="s">
        <v>102</v>
      </c>
      <c r="E7" s="159">
        <v>0</v>
      </c>
      <c r="F7" s="159" t="s">
        <v>104</v>
      </c>
      <c r="G7" s="159">
        <v>0</v>
      </c>
      <c r="H7" s="159" t="s">
        <v>108</v>
      </c>
      <c r="I7" s="159">
        <v>0</v>
      </c>
      <c r="J7" s="187"/>
    </row>
    <row r="8" spans="2:10" ht="8" customHeight="1">
      <c r="B8" s="187"/>
      <c r="C8" s="158" t="s">
        <v>116</v>
      </c>
      <c r="D8" s="159" t="s">
        <v>103</v>
      </c>
      <c r="E8" s="159" t="s">
        <v>104</v>
      </c>
      <c r="F8" s="159">
        <v>0</v>
      </c>
      <c r="G8" s="159">
        <v>0</v>
      </c>
      <c r="H8" s="159">
        <v>0</v>
      </c>
      <c r="I8" s="159" t="s">
        <v>109</v>
      </c>
      <c r="J8" s="187"/>
    </row>
    <row r="9" spans="2:10" ht="8" customHeight="1">
      <c r="B9" s="187"/>
      <c r="C9" s="158" t="s">
        <v>97</v>
      </c>
      <c r="D9" s="159" t="s">
        <v>113</v>
      </c>
      <c r="E9" s="159" t="s">
        <v>112</v>
      </c>
      <c r="F9" s="159" t="s">
        <v>105</v>
      </c>
      <c r="G9" s="159">
        <v>0</v>
      </c>
      <c r="H9" s="159">
        <v>0</v>
      </c>
      <c r="I9" s="159">
        <v>0</v>
      </c>
      <c r="J9" s="187"/>
    </row>
    <row r="10" spans="2:10" ht="8" customHeight="1">
      <c r="B10" s="187"/>
      <c r="C10" s="158" t="s">
        <v>128</v>
      </c>
      <c r="D10" s="159" t="s">
        <v>117</v>
      </c>
      <c r="E10" s="159" t="s">
        <v>118</v>
      </c>
      <c r="F10" s="159" t="s">
        <v>119</v>
      </c>
      <c r="G10" s="159" t="s">
        <v>106</v>
      </c>
      <c r="H10" s="159" t="s">
        <v>110</v>
      </c>
      <c r="I10" s="159" t="s">
        <v>111</v>
      </c>
      <c r="J10" s="187"/>
    </row>
    <row r="11" spans="2:10" ht="8" customHeight="1">
      <c r="B11" s="187"/>
      <c r="C11" s="158" t="s">
        <v>127</v>
      </c>
      <c r="D11" s="159" t="s">
        <v>120</v>
      </c>
      <c r="E11" s="159" t="s">
        <v>121</v>
      </c>
      <c r="F11" s="159" t="s">
        <v>122</v>
      </c>
      <c r="G11" s="159" t="s">
        <v>123</v>
      </c>
      <c r="H11" s="159" t="s">
        <v>124</v>
      </c>
      <c r="I11" s="159" t="s">
        <v>125</v>
      </c>
      <c r="J11" s="187"/>
    </row>
    <row r="12" spans="2:10" ht="8" customHeight="1">
      <c r="B12" s="187"/>
      <c r="C12" s="158" t="s">
        <v>126</v>
      </c>
      <c r="D12" s="159" t="s">
        <v>129</v>
      </c>
      <c r="E12" s="159" t="s">
        <v>130</v>
      </c>
      <c r="F12" s="159" t="s">
        <v>131</v>
      </c>
      <c r="G12" s="159" t="s">
        <v>132</v>
      </c>
      <c r="H12" s="159" t="s">
        <v>133</v>
      </c>
      <c r="I12" s="159" t="s">
        <v>134</v>
      </c>
      <c r="J12" s="187"/>
    </row>
    <row r="13" spans="2:10" ht="8" customHeight="1">
      <c r="B13" s="42"/>
      <c r="C13" s="187"/>
      <c r="D13" s="187"/>
      <c r="E13" s="187"/>
      <c r="F13" s="187"/>
      <c r="G13" s="187"/>
      <c r="H13" s="187"/>
      <c r="I13" s="187"/>
      <c r="J13" s="42"/>
    </row>
  </sheetData>
  <phoneticPr fontId="2" type="noConversion"/>
  <hyperlinks>
    <hyperlink ref="C2" location="目录!A1" display="目录" xr:uid="{2365477C-462D-094D-9E52-3B991E75C0AB}"/>
  </hyperlinks>
  <pageMargins left="0.7" right="0.7" top="0.75" bottom="0.75" header="0.3" footer="0.3"/>
  <pictur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6529-8F84-F54C-A315-5DBD99B537DD}">
  <dimension ref="B1:J21"/>
  <sheetViews>
    <sheetView showGridLines="0" topLeftCell="A6" zoomScale="141" workbookViewId="0">
      <selection activeCell="I14" sqref="I14"/>
    </sheetView>
  </sheetViews>
  <sheetFormatPr baseColWidth="10" defaultColWidth="2.6640625" defaultRowHeight="18" customHeight="1"/>
  <cols>
    <col min="1" max="1" width="8.33203125" style="154" customWidth="1"/>
    <col min="2" max="11" width="5" style="154" customWidth="1"/>
    <col min="12" max="16384" width="2.6640625" style="154"/>
  </cols>
  <sheetData>
    <row r="1" spans="2:10" ht="46" customHeight="1"/>
    <row r="2" spans="2:10" ht="18" customHeight="1" thickBot="1">
      <c r="B2" s="113"/>
      <c r="C2" s="187"/>
      <c r="D2" s="187"/>
      <c r="E2" s="187"/>
      <c r="F2" s="187"/>
      <c r="G2" s="187"/>
      <c r="H2" s="187"/>
      <c r="I2" s="187"/>
      <c r="J2" s="113"/>
    </row>
    <row r="3" spans="2:10" ht="18" customHeight="1">
      <c r="B3" s="187"/>
      <c r="C3" s="216" t="s">
        <v>135</v>
      </c>
      <c r="D3" s="208" t="s">
        <v>99</v>
      </c>
      <c r="E3" s="208" t="s">
        <v>100</v>
      </c>
      <c r="F3" s="208" t="s">
        <v>101</v>
      </c>
      <c r="G3" s="208" t="s">
        <v>95</v>
      </c>
      <c r="H3" s="208" t="s">
        <v>96</v>
      </c>
      <c r="I3" s="209" t="s">
        <v>98</v>
      </c>
      <c r="J3" s="187"/>
    </row>
    <row r="4" spans="2:10" ht="18" customHeight="1">
      <c r="B4" s="187"/>
      <c r="C4" s="213" t="s">
        <v>153</v>
      </c>
      <c r="D4" s="155">
        <v>0</v>
      </c>
      <c r="E4" s="155" t="s">
        <v>102</v>
      </c>
      <c r="F4" s="155" t="s">
        <v>103</v>
      </c>
      <c r="G4" s="155" t="s">
        <v>107</v>
      </c>
      <c r="H4" s="155">
        <v>0</v>
      </c>
      <c r="I4" s="210">
        <v>0</v>
      </c>
      <c r="J4" s="187"/>
    </row>
    <row r="5" spans="2:10" ht="18" customHeight="1">
      <c r="B5" s="187"/>
      <c r="C5" s="213" t="s">
        <v>155</v>
      </c>
      <c r="D5" s="155" t="s">
        <v>102</v>
      </c>
      <c r="E5" s="155">
        <v>0</v>
      </c>
      <c r="F5" s="155" t="s">
        <v>104</v>
      </c>
      <c r="G5" s="155">
        <v>0</v>
      </c>
      <c r="H5" s="155" t="s">
        <v>108</v>
      </c>
      <c r="I5" s="210">
        <v>0</v>
      </c>
      <c r="J5" s="187"/>
    </row>
    <row r="6" spans="2:10" ht="18" customHeight="1">
      <c r="B6" s="187"/>
      <c r="C6" s="213" t="s">
        <v>154</v>
      </c>
      <c r="D6" s="155" t="s">
        <v>103</v>
      </c>
      <c r="E6" s="155" t="s">
        <v>104</v>
      </c>
      <c r="F6" s="155">
        <v>0</v>
      </c>
      <c r="G6" s="155">
        <v>0</v>
      </c>
      <c r="H6" s="155">
        <v>0</v>
      </c>
      <c r="I6" s="210" t="s">
        <v>109</v>
      </c>
      <c r="J6" s="187"/>
    </row>
    <row r="7" spans="2:10" ht="18" customHeight="1">
      <c r="B7" s="187"/>
      <c r="C7" s="213" t="s">
        <v>128</v>
      </c>
      <c r="D7" s="155" t="s">
        <v>147</v>
      </c>
      <c r="E7" s="155" t="s">
        <v>148</v>
      </c>
      <c r="F7" s="155" t="s">
        <v>149</v>
      </c>
      <c r="G7" s="155" t="s">
        <v>106</v>
      </c>
      <c r="H7" s="155" t="s">
        <v>110</v>
      </c>
      <c r="I7" s="210" t="s">
        <v>111</v>
      </c>
      <c r="J7" s="187"/>
    </row>
    <row r="8" spans="2:10" ht="18" customHeight="1">
      <c r="B8" s="187"/>
      <c r="C8" s="213" t="s">
        <v>127</v>
      </c>
      <c r="D8" s="155" t="s">
        <v>152</v>
      </c>
      <c r="E8" s="155" t="s">
        <v>150</v>
      </c>
      <c r="F8" s="155" t="s">
        <v>151</v>
      </c>
      <c r="G8" s="155" t="s">
        <v>123</v>
      </c>
      <c r="H8" s="155" t="s">
        <v>124</v>
      </c>
      <c r="I8" s="210" t="s">
        <v>125</v>
      </c>
      <c r="J8" s="187"/>
    </row>
    <row r="9" spans="2:10" ht="18" customHeight="1" thickBot="1">
      <c r="B9" s="187"/>
      <c r="C9" s="214" t="s">
        <v>156</v>
      </c>
      <c r="D9" s="211" t="s">
        <v>146</v>
      </c>
      <c r="E9" s="211" t="s">
        <v>144</v>
      </c>
      <c r="F9" s="211" t="s">
        <v>145</v>
      </c>
      <c r="G9" s="211" t="s">
        <v>132</v>
      </c>
      <c r="H9" s="211" t="s">
        <v>133</v>
      </c>
      <c r="I9" s="212" t="s">
        <v>134</v>
      </c>
      <c r="J9" s="187"/>
    </row>
    <row r="10" spans="2:10" ht="18" customHeight="1" thickBot="1">
      <c r="B10" s="113"/>
      <c r="C10" s="42"/>
      <c r="D10" s="42"/>
      <c r="E10" s="42"/>
      <c r="F10" s="42"/>
      <c r="G10" s="42"/>
      <c r="H10" s="42"/>
      <c r="I10" s="42"/>
      <c r="J10" s="113"/>
    </row>
    <row r="11" spans="2:10" ht="18" customHeight="1">
      <c r="B11" s="42"/>
      <c r="C11" s="113"/>
      <c r="D11" s="1426"/>
      <c r="E11" s="1427"/>
      <c r="F11" s="208" t="s">
        <v>95</v>
      </c>
      <c r="G11" s="208" t="s">
        <v>96</v>
      </c>
      <c r="H11" s="209" t="s">
        <v>98</v>
      </c>
      <c r="I11" s="113"/>
      <c r="J11" s="42"/>
    </row>
    <row r="12" spans="2:10" ht="18" customHeight="1">
      <c r="B12" s="42"/>
      <c r="C12" s="113"/>
      <c r="D12" s="1422" t="s">
        <v>95</v>
      </c>
      <c r="E12" s="1423"/>
      <c r="F12" s="155" t="s">
        <v>132</v>
      </c>
      <c r="G12" s="155">
        <v>0</v>
      </c>
      <c r="H12" s="210">
        <v>0</v>
      </c>
      <c r="I12" s="113"/>
      <c r="J12" s="42"/>
    </row>
    <row r="13" spans="2:10" ht="18" customHeight="1" thickBot="1">
      <c r="B13" s="42"/>
      <c r="C13" s="113"/>
      <c r="D13" s="1422" t="s">
        <v>96</v>
      </c>
      <c r="E13" s="1423"/>
      <c r="F13" s="155" t="s">
        <v>145</v>
      </c>
      <c r="G13" s="155" t="s">
        <v>133</v>
      </c>
      <c r="H13" s="210">
        <v>0</v>
      </c>
      <c r="I13" s="113"/>
      <c r="J13" s="42"/>
    </row>
    <row r="14" spans="2:10" ht="18" customHeight="1" thickBot="1">
      <c r="B14" s="42"/>
      <c r="C14" s="113"/>
      <c r="D14" s="1424" t="s">
        <v>98</v>
      </c>
      <c r="E14" s="1425"/>
      <c r="F14" s="211" t="s">
        <v>144</v>
      </c>
      <c r="G14" s="211" t="s">
        <v>146</v>
      </c>
      <c r="H14" s="212" t="s">
        <v>134</v>
      </c>
      <c r="I14" s="332" t="s">
        <v>199</v>
      </c>
      <c r="J14" s="42"/>
    </row>
    <row r="15" spans="2:10" ht="18" customHeight="1" thickBot="1">
      <c r="B15" s="42"/>
      <c r="C15" s="113"/>
      <c r="D15" s="42"/>
      <c r="E15" s="42"/>
      <c r="F15" s="42"/>
      <c r="G15" s="42"/>
      <c r="H15" s="42"/>
      <c r="I15" s="113"/>
      <c r="J15" s="42"/>
    </row>
    <row r="16" spans="2:10" ht="18" customHeight="1">
      <c r="B16" s="42"/>
      <c r="C16" s="113"/>
      <c r="D16" s="215"/>
      <c r="E16" s="208" t="s">
        <v>95</v>
      </c>
      <c r="F16" s="208" t="s">
        <v>96</v>
      </c>
      <c r="G16" s="208" t="s">
        <v>98</v>
      </c>
      <c r="H16" s="209" t="s">
        <v>136</v>
      </c>
      <c r="I16" s="113"/>
      <c r="J16" s="42"/>
    </row>
    <row r="17" spans="2:10" ht="18" customHeight="1">
      <c r="B17" s="42"/>
      <c r="C17" s="113"/>
      <c r="D17" s="213" t="s">
        <v>95</v>
      </c>
      <c r="E17" s="155" t="s">
        <v>132</v>
      </c>
      <c r="F17" s="155">
        <v>0</v>
      </c>
      <c r="G17" s="155">
        <v>0</v>
      </c>
      <c r="H17" s="210">
        <v>0</v>
      </c>
      <c r="I17" s="113"/>
      <c r="J17" s="42"/>
    </row>
    <row r="18" spans="2:10" ht="18" customHeight="1">
      <c r="B18" s="42"/>
      <c r="C18" s="113"/>
      <c r="D18" s="213" t="s">
        <v>96</v>
      </c>
      <c r="E18" s="155" t="s">
        <v>137</v>
      </c>
      <c r="F18" s="155" t="s">
        <v>133</v>
      </c>
      <c r="G18" s="155">
        <v>0</v>
      </c>
      <c r="H18" s="210">
        <v>0</v>
      </c>
      <c r="I18" s="113"/>
      <c r="J18" s="42"/>
    </row>
    <row r="19" spans="2:10" ht="18" customHeight="1">
      <c r="B19" s="42"/>
      <c r="C19" s="113"/>
      <c r="D19" s="213" t="s">
        <v>98</v>
      </c>
      <c r="E19" s="155" t="s">
        <v>139</v>
      </c>
      <c r="F19" s="155" t="s">
        <v>142</v>
      </c>
      <c r="G19" s="155" t="s">
        <v>134</v>
      </c>
      <c r="H19" s="210">
        <v>0</v>
      </c>
      <c r="I19" s="113"/>
      <c r="J19" s="42"/>
    </row>
    <row r="20" spans="2:10" ht="18" customHeight="1" thickBot="1">
      <c r="B20" s="42"/>
      <c r="C20" s="113"/>
      <c r="D20" s="214" t="s">
        <v>136</v>
      </c>
      <c r="E20" s="211" t="s">
        <v>140</v>
      </c>
      <c r="F20" s="211" t="s">
        <v>141</v>
      </c>
      <c r="G20" s="211" t="s">
        <v>143</v>
      </c>
      <c r="H20" s="212" t="s">
        <v>138</v>
      </c>
      <c r="I20" s="113"/>
      <c r="J20" s="42"/>
    </row>
    <row r="21" spans="2:10" ht="18" customHeight="1">
      <c r="B21" s="187"/>
      <c r="C21" s="42"/>
      <c r="D21" s="42"/>
      <c r="E21" s="42"/>
      <c r="F21" s="42"/>
      <c r="G21" s="42"/>
      <c r="H21" s="42"/>
      <c r="I21" s="42"/>
      <c r="J21" s="187"/>
    </row>
  </sheetData>
  <mergeCells count="4">
    <mergeCell ref="D12:E12"/>
    <mergeCell ref="D13:E13"/>
    <mergeCell ref="D14:E14"/>
    <mergeCell ref="D11:E11"/>
  </mergeCells>
  <phoneticPr fontId="2" type="noConversion"/>
  <hyperlinks>
    <hyperlink ref="I14" location="目录!A1" display="目录" xr:uid="{7E80CAB6-622D-9641-A524-61FD7316B85E}"/>
  </hyperlinks>
  <pageMargins left="0.7" right="0.7" top="0.75" bottom="0.75" header="0.3" footer="0.3"/>
  <pageSetup paperSize="9" orientation="portrait" horizontalDpi="0" verticalDpi="0"/>
  <pictur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49941-97C0-DA41-84E6-87C6336E902D}">
  <dimension ref="B1:I29"/>
  <sheetViews>
    <sheetView showGridLines="0" zoomScale="82" workbookViewId="0">
      <selection activeCell="B2" sqref="B2"/>
    </sheetView>
  </sheetViews>
  <sheetFormatPr baseColWidth="10" defaultRowHeight="16"/>
  <cols>
    <col min="2" max="2" width="20.33203125" bestFit="1" customWidth="1"/>
    <col min="4" max="4" width="56.6640625" bestFit="1" customWidth="1"/>
    <col min="5" max="5" width="43" bestFit="1" customWidth="1"/>
    <col min="6" max="6" width="12.5" customWidth="1"/>
    <col min="7" max="7" width="12.1640625" bestFit="1" customWidth="1"/>
    <col min="8" max="8" width="12.5" customWidth="1"/>
  </cols>
  <sheetData>
    <row r="1" spans="2:8" ht="17" thickBot="1"/>
    <row r="2" spans="2:8" ht="57" customHeight="1" thickBot="1">
      <c r="B2" s="1441" t="s">
        <v>199</v>
      </c>
    </row>
    <row r="4" spans="2:8">
      <c r="D4" s="482" t="s">
        <v>262</v>
      </c>
      <c r="E4" s="482" t="s">
        <v>261</v>
      </c>
      <c r="F4" s="483" t="s">
        <v>297</v>
      </c>
      <c r="G4" s="559" t="s">
        <v>298</v>
      </c>
      <c r="H4" s="559" t="s">
        <v>299</v>
      </c>
    </row>
    <row r="5" spans="2:8">
      <c r="D5" s="482" t="s">
        <v>302</v>
      </c>
      <c r="E5" s="482" t="s">
        <v>296</v>
      </c>
      <c r="F5" s="483">
        <f>2%</f>
        <v>0.02</v>
      </c>
      <c r="G5" s="559">
        <f>2%/365*7*4</f>
        <v>1.5342465753424659E-3</v>
      </c>
      <c r="H5" s="560">
        <f t="shared" ref="H5" si="0">2%/365*7</f>
        <v>3.8356164383561648E-4</v>
      </c>
    </row>
    <row r="6" spans="2:8">
      <c r="D6" s="482" t="s">
        <v>301</v>
      </c>
      <c r="E6" s="482" t="s">
        <v>300</v>
      </c>
      <c r="F6" s="483"/>
      <c r="G6" s="559"/>
      <c r="H6" s="559">
        <f>20%</f>
        <v>0.2</v>
      </c>
    </row>
    <row r="7" spans="2:8">
      <c r="F7" s="485"/>
    </row>
    <row r="8" spans="2:8">
      <c r="D8" s="482" t="s">
        <v>251</v>
      </c>
      <c r="E8" s="482"/>
      <c r="F8" s="483"/>
      <c r="G8" s="559"/>
      <c r="H8" s="559"/>
    </row>
    <row r="9" spans="2:8">
      <c r="D9" s="482" t="s">
        <v>252</v>
      </c>
      <c r="E9" s="482" t="s">
        <v>253</v>
      </c>
      <c r="F9" s="483"/>
      <c r="G9" s="559"/>
      <c r="H9" s="559" t="s">
        <v>188</v>
      </c>
    </row>
    <row r="10" spans="2:8">
      <c r="D10" s="482" t="s">
        <v>254</v>
      </c>
      <c r="E10" s="482" t="s">
        <v>255</v>
      </c>
      <c r="F10" s="483"/>
      <c r="G10" s="559"/>
      <c r="H10" s="559">
        <v>1.0999999999999999E-2</v>
      </c>
    </row>
    <row r="11" spans="2:8">
      <c r="D11" s="482" t="s">
        <v>256</v>
      </c>
      <c r="E11" s="482" t="s">
        <v>255</v>
      </c>
      <c r="F11" s="483"/>
      <c r="G11" s="559"/>
      <c r="H11" s="559">
        <v>6.0000000000000001E-3</v>
      </c>
    </row>
    <row r="12" spans="2:8">
      <c r="D12" s="482" t="s">
        <v>257</v>
      </c>
      <c r="E12" s="482" t="s">
        <v>255</v>
      </c>
      <c r="F12" s="483"/>
      <c r="G12" s="559"/>
      <c r="H12" s="559">
        <v>2E-3</v>
      </c>
    </row>
    <row r="13" spans="2:8">
      <c r="D13" s="482" t="s">
        <v>258</v>
      </c>
      <c r="E13" s="482" t="s">
        <v>255</v>
      </c>
      <c r="F13" s="483" t="s">
        <v>303</v>
      </c>
      <c r="G13" s="561"/>
      <c r="H13" s="562">
        <v>160</v>
      </c>
    </row>
    <row r="14" spans="2:8">
      <c r="F14" s="485"/>
    </row>
    <row r="15" spans="2:8">
      <c r="D15" s="482" t="s">
        <v>259</v>
      </c>
      <c r="E15" s="482"/>
      <c r="F15" s="483"/>
      <c r="G15" s="559"/>
      <c r="H15" s="559"/>
    </row>
    <row r="16" spans="2:8">
      <c r="D16" s="482" t="s">
        <v>252</v>
      </c>
      <c r="E16" s="482" t="s">
        <v>253</v>
      </c>
      <c r="F16" s="483"/>
      <c r="G16" s="559"/>
      <c r="H16" s="559" t="s">
        <v>188</v>
      </c>
    </row>
    <row r="17" spans="4:9">
      <c r="D17" s="482" t="s">
        <v>320</v>
      </c>
      <c r="E17" s="482" t="s">
        <v>255</v>
      </c>
      <c r="F17" s="483"/>
      <c r="G17" s="559"/>
      <c r="H17" s="559">
        <v>1.2999999999999999E-2</v>
      </c>
    </row>
    <row r="18" spans="4:9">
      <c r="D18" s="482" t="s">
        <v>321</v>
      </c>
      <c r="E18" s="482" t="s">
        <v>255</v>
      </c>
      <c r="F18" s="483"/>
      <c r="G18" s="559"/>
      <c r="H18" s="559">
        <v>7.0000000000000001E-3</v>
      </c>
    </row>
    <row r="19" spans="4:9">
      <c r="D19" s="482" t="s">
        <v>322</v>
      </c>
      <c r="E19" s="482" t="s">
        <v>255</v>
      </c>
      <c r="F19" s="483"/>
      <c r="G19" s="559"/>
      <c r="H19" s="559">
        <v>2E-3</v>
      </c>
    </row>
    <row r="20" spans="4:9">
      <c r="D20" s="482" t="s">
        <v>323</v>
      </c>
      <c r="E20" s="482" t="s">
        <v>255</v>
      </c>
      <c r="F20" s="483" t="s">
        <v>303</v>
      </c>
      <c r="G20" s="561"/>
      <c r="H20" s="562">
        <v>160</v>
      </c>
    </row>
    <row r="21" spans="4:9">
      <c r="F21" s="485"/>
    </row>
    <row r="22" spans="4:9">
      <c r="D22" s="482" t="s">
        <v>309</v>
      </c>
      <c r="E22" s="482"/>
      <c r="F22" s="483"/>
      <c r="G22" s="559"/>
      <c r="H22" s="559"/>
    </row>
    <row r="23" spans="4:9">
      <c r="D23" s="482" t="s">
        <v>252</v>
      </c>
      <c r="E23" s="482" t="s">
        <v>253</v>
      </c>
      <c r="F23" s="483"/>
      <c r="G23" s="559"/>
      <c r="H23" s="559" t="s">
        <v>188</v>
      </c>
    </row>
    <row r="24" spans="4:9">
      <c r="D24" s="482" t="s">
        <v>255</v>
      </c>
      <c r="E24" s="482" t="s">
        <v>260</v>
      </c>
      <c r="F24" s="483"/>
      <c r="G24" s="559"/>
      <c r="H24" s="563" t="s">
        <v>308</v>
      </c>
      <c r="I24" s="564"/>
    </row>
    <row r="25" spans="4:9">
      <c r="D25" s="482" t="s">
        <v>255</v>
      </c>
      <c r="E25" s="482" t="s">
        <v>318</v>
      </c>
      <c r="F25" s="483"/>
      <c r="G25" s="559"/>
      <c r="H25" s="559">
        <v>5.0000000000000001E-3</v>
      </c>
      <c r="I25" s="564"/>
    </row>
    <row r="26" spans="4:9">
      <c r="D26" s="482" t="s">
        <v>255</v>
      </c>
      <c r="E26" s="482" t="s">
        <v>317</v>
      </c>
      <c r="F26" s="483"/>
      <c r="G26" s="559"/>
      <c r="H26" s="559">
        <v>3.0000000000000001E-3</v>
      </c>
      <c r="I26" s="564"/>
    </row>
    <row r="27" spans="4:9">
      <c r="D27" s="482" t="s">
        <v>255</v>
      </c>
      <c r="E27" s="482" t="s">
        <v>316</v>
      </c>
      <c r="F27" s="483"/>
      <c r="G27" s="559"/>
      <c r="H27" s="559">
        <v>0</v>
      </c>
      <c r="I27" s="564"/>
    </row>
    <row r="28" spans="4:9">
      <c r="F28" s="486"/>
    </row>
    <row r="29" spans="4:9">
      <c r="D29" s="482" t="s">
        <v>277</v>
      </c>
      <c r="E29" s="482" t="s">
        <v>278</v>
      </c>
      <c r="F29" s="484"/>
      <c r="G29" s="559">
        <f>25%</f>
        <v>0.25</v>
      </c>
      <c r="H29" s="482"/>
    </row>
  </sheetData>
  <phoneticPr fontId="2" type="noConversion"/>
  <hyperlinks>
    <hyperlink ref="B2" location="目录!A1" display="目录" xr:uid="{D8DA244E-CB23-8442-9C79-5189C9893FE4}"/>
  </hyperlinks>
  <pageMargins left="0.7" right="0.7" top="0.75" bottom="0.75" header="0.3" footer="0.3"/>
  <pictur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42F68-ACA7-1D4C-AB2E-4F8594370AEA}">
  <dimension ref="B1:AH105"/>
  <sheetViews>
    <sheetView showGridLines="0" zoomScale="81" zoomScaleNormal="100" workbookViewId="0">
      <pane xSplit="4" ySplit="14" topLeftCell="E15" activePane="bottomRight" state="frozen"/>
      <selection pane="topRight" activeCell="D1" sqref="D1"/>
      <selection pane="bottomLeft" activeCell="A15" sqref="A15"/>
      <selection pane="bottomRight" activeCell="D2" sqref="D2"/>
    </sheetView>
  </sheetViews>
  <sheetFormatPr baseColWidth="10" defaultRowHeight="16"/>
  <cols>
    <col min="1" max="1" width="20.83203125" style="513" bestFit="1" customWidth="1"/>
    <col min="2" max="2" width="21" style="513" customWidth="1"/>
    <col min="3" max="3" width="38.83203125" style="513" bestFit="1" customWidth="1"/>
    <col min="4" max="4" width="41.6640625" style="525" bestFit="1" customWidth="1"/>
    <col min="5" max="5" width="8.6640625" style="513" customWidth="1"/>
    <col min="6" max="6" width="20.6640625" style="513" bestFit="1" customWidth="1"/>
    <col min="7" max="7" width="8.33203125" style="513" customWidth="1"/>
    <col min="8" max="8" width="13.6640625" style="539" bestFit="1" customWidth="1"/>
    <col min="9" max="16" width="13.6640625" style="513" bestFit="1" customWidth="1"/>
    <col min="17" max="20" width="20.6640625" style="513" bestFit="1" customWidth="1"/>
    <col min="21" max="21" width="20.6640625" style="539" bestFit="1" customWidth="1"/>
    <col min="22" max="33" width="20.6640625" style="513" bestFit="1" customWidth="1"/>
    <col min="34" max="34" width="10.83203125" style="539"/>
    <col min="35" max="16384" width="10.83203125" style="513"/>
  </cols>
  <sheetData>
    <row r="1" spans="2:34" s="518" customFormat="1" ht="17" thickBot="1">
      <c r="D1" s="525"/>
      <c r="H1" s="538"/>
      <c r="U1" s="538"/>
      <c r="AH1" s="538"/>
    </row>
    <row r="2" spans="2:34" ht="61" thickBot="1">
      <c r="D2" s="1458" t="s">
        <v>199</v>
      </c>
      <c r="H2" s="1428" t="s">
        <v>324</v>
      </c>
      <c r="I2" s="1428"/>
      <c r="J2" s="1428"/>
      <c r="K2" s="1428"/>
      <c r="L2" s="1428"/>
      <c r="M2" s="1428"/>
      <c r="N2" s="1428"/>
      <c r="O2" s="1428"/>
      <c r="P2" s="1428"/>
      <c r="Q2" s="1428"/>
      <c r="R2" s="1428"/>
      <c r="S2" s="1428"/>
      <c r="T2" s="1428"/>
      <c r="U2" s="1429" t="s">
        <v>304</v>
      </c>
      <c r="V2" s="1430"/>
      <c r="W2" s="1430"/>
      <c r="X2" s="1430"/>
      <c r="Y2" s="1430"/>
      <c r="Z2" s="1430"/>
      <c r="AA2" s="1430"/>
      <c r="AB2" s="1430"/>
      <c r="AC2" s="1430"/>
      <c r="AD2" s="1430"/>
      <c r="AE2" s="1430"/>
      <c r="AF2" s="1430"/>
      <c r="AG2" s="1430"/>
      <c r="AH2" s="538"/>
    </row>
    <row r="3" spans="2:34">
      <c r="Q3" s="565"/>
    </row>
    <row r="4" spans="2:34" customFormat="1" ht="17" thickBot="1">
      <c r="B4" s="481"/>
      <c r="C4" s="481"/>
      <c r="D4" s="501"/>
      <c r="E4" s="481"/>
      <c r="F4" s="481"/>
      <c r="G4" s="481"/>
      <c r="H4" s="494"/>
      <c r="I4" s="481"/>
      <c r="J4" s="481"/>
      <c r="K4" s="481"/>
      <c r="L4" s="481"/>
      <c r="M4" s="481"/>
      <c r="N4" s="481"/>
      <c r="O4" s="481"/>
      <c r="P4" s="481"/>
      <c r="Q4" s="566"/>
      <c r="R4" s="481"/>
      <c r="S4" s="481"/>
      <c r="T4" s="481"/>
      <c r="U4" s="494"/>
      <c r="V4" s="481"/>
      <c r="W4" s="481"/>
      <c r="X4" s="481"/>
      <c r="Y4" s="481"/>
      <c r="Z4" s="481"/>
      <c r="AA4" s="481"/>
      <c r="AB4" s="481"/>
      <c r="AC4" s="481"/>
      <c r="AD4" s="481"/>
      <c r="AE4" s="481"/>
      <c r="AF4" s="481"/>
      <c r="AG4" s="481"/>
      <c r="AH4" s="486"/>
    </row>
    <row r="5" spans="2:34" customFormat="1" ht="16" customHeight="1">
      <c r="B5" s="481"/>
      <c r="C5" s="787" t="s">
        <v>311</v>
      </c>
      <c r="D5" s="502" t="s">
        <v>78</v>
      </c>
      <c r="E5" s="333"/>
      <c r="F5" s="330" t="s">
        <v>93</v>
      </c>
      <c r="G5" s="481"/>
      <c r="H5" s="540">
        <v>44374</v>
      </c>
      <c r="I5" s="540">
        <v>44381</v>
      </c>
      <c r="J5" s="503">
        <v>44388</v>
      </c>
      <c r="K5" s="540">
        <v>44395</v>
      </c>
      <c r="L5" s="503">
        <v>44402</v>
      </c>
      <c r="M5" s="540">
        <v>44409</v>
      </c>
      <c r="N5" s="503">
        <v>44416</v>
      </c>
      <c r="O5" s="540">
        <v>44423</v>
      </c>
      <c r="P5" s="503">
        <v>44430</v>
      </c>
      <c r="Q5" s="540">
        <v>44437</v>
      </c>
      <c r="R5" s="503">
        <v>44444</v>
      </c>
      <c r="S5" s="540">
        <v>44451</v>
      </c>
      <c r="T5" s="791">
        <v>44458</v>
      </c>
      <c r="U5" s="540">
        <v>44465</v>
      </c>
      <c r="V5" s="503">
        <v>44472</v>
      </c>
      <c r="W5" s="540">
        <v>44479</v>
      </c>
      <c r="X5" s="503">
        <v>44486</v>
      </c>
      <c r="Y5" s="540">
        <v>44493</v>
      </c>
      <c r="Z5" s="503">
        <v>44500</v>
      </c>
      <c r="AA5" s="540">
        <v>44507</v>
      </c>
      <c r="AB5" s="503">
        <v>44514</v>
      </c>
      <c r="AC5" s="540">
        <v>44521</v>
      </c>
      <c r="AD5" s="503">
        <v>44528</v>
      </c>
      <c r="AE5" s="540">
        <v>44535</v>
      </c>
      <c r="AF5" s="503">
        <v>44542</v>
      </c>
      <c r="AG5" s="795">
        <v>44549</v>
      </c>
      <c r="AH5" s="486"/>
    </row>
    <row r="6" spans="2:34" s="518" customFormat="1" ht="16" customHeight="1">
      <c r="B6" s="529"/>
      <c r="C6" s="567"/>
      <c r="D6" s="510" t="s">
        <v>94</v>
      </c>
      <c r="E6" s="511"/>
      <c r="F6" s="512" t="s">
        <v>213</v>
      </c>
      <c r="G6" s="528"/>
      <c r="H6" s="541" t="str">
        <f>$F6</f>
        <v>总计</v>
      </c>
      <c r="I6" s="517" t="str">
        <f t="shared" ref="I6:AG6" si="0">$F6</f>
        <v>总计</v>
      </c>
      <c r="J6" s="517" t="str">
        <f t="shared" si="0"/>
        <v>总计</v>
      </c>
      <c r="K6" s="517" t="str">
        <f t="shared" si="0"/>
        <v>总计</v>
      </c>
      <c r="L6" s="517" t="str">
        <f t="shared" si="0"/>
        <v>总计</v>
      </c>
      <c r="M6" s="517" t="str">
        <f t="shared" si="0"/>
        <v>总计</v>
      </c>
      <c r="N6" s="517" t="str">
        <f t="shared" si="0"/>
        <v>总计</v>
      </c>
      <c r="O6" s="517" t="str">
        <f t="shared" si="0"/>
        <v>总计</v>
      </c>
      <c r="P6" s="517" t="str">
        <f t="shared" si="0"/>
        <v>总计</v>
      </c>
      <c r="Q6" s="517" t="str">
        <f t="shared" si="0"/>
        <v>总计</v>
      </c>
      <c r="R6" s="517" t="str">
        <f t="shared" si="0"/>
        <v>总计</v>
      </c>
      <c r="S6" s="517" t="str">
        <f t="shared" si="0"/>
        <v>总计</v>
      </c>
      <c r="T6" s="548" t="str">
        <f t="shared" si="0"/>
        <v>总计</v>
      </c>
      <c r="U6" s="541" t="str">
        <f t="shared" si="0"/>
        <v>总计</v>
      </c>
      <c r="V6" s="517" t="str">
        <f t="shared" si="0"/>
        <v>总计</v>
      </c>
      <c r="W6" s="517" t="str">
        <f t="shared" si="0"/>
        <v>总计</v>
      </c>
      <c r="X6" s="517" t="str">
        <f t="shared" si="0"/>
        <v>总计</v>
      </c>
      <c r="Y6" s="517" t="str">
        <f t="shared" si="0"/>
        <v>总计</v>
      </c>
      <c r="Z6" s="517" t="str">
        <f t="shared" si="0"/>
        <v>总计</v>
      </c>
      <c r="AA6" s="517" t="str">
        <f t="shared" si="0"/>
        <v>总计</v>
      </c>
      <c r="AB6" s="517" t="str">
        <f t="shared" si="0"/>
        <v>总计</v>
      </c>
      <c r="AC6" s="517" t="str">
        <f t="shared" si="0"/>
        <v>总计</v>
      </c>
      <c r="AD6" s="517" t="str">
        <f t="shared" si="0"/>
        <v>总计</v>
      </c>
      <c r="AE6" s="517" t="str">
        <f t="shared" si="0"/>
        <v>总计</v>
      </c>
      <c r="AF6" s="517" t="str">
        <f t="shared" si="0"/>
        <v>总计</v>
      </c>
      <c r="AG6" s="548" t="str">
        <f t="shared" si="0"/>
        <v>总计</v>
      </c>
      <c r="AH6" s="538"/>
    </row>
    <row r="7" spans="2:34" s="534" customFormat="1" ht="16" customHeight="1">
      <c r="B7" s="535"/>
      <c r="C7" s="567"/>
      <c r="D7" s="532" t="s">
        <v>291</v>
      </c>
      <c r="E7" s="533"/>
      <c r="F7" s="536">
        <f t="shared" ref="F7:F10" si="1">LOOKUP(9E+307,H7:T7)</f>
        <v>0</v>
      </c>
      <c r="G7" s="568"/>
      <c r="H7" s="542">
        <f t="shared" ref="H7:Q11" si="2">SUMIF($D$29:$D$4016,$D7,H$29:H$4016)</f>
        <v>0</v>
      </c>
      <c r="I7" s="537">
        <f t="shared" si="2"/>
        <v>0</v>
      </c>
      <c r="J7" s="537">
        <f t="shared" si="2"/>
        <v>0</v>
      </c>
      <c r="K7" s="537">
        <f t="shared" si="2"/>
        <v>0</v>
      </c>
      <c r="L7" s="537">
        <f t="shared" si="2"/>
        <v>0</v>
      </c>
      <c r="M7" s="537">
        <f t="shared" si="2"/>
        <v>0</v>
      </c>
      <c r="N7" s="537">
        <f t="shared" si="2"/>
        <v>0</v>
      </c>
      <c r="O7" s="537">
        <f t="shared" si="2"/>
        <v>0</v>
      </c>
      <c r="P7" s="537">
        <f t="shared" si="2"/>
        <v>0</v>
      </c>
      <c r="Q7" s="537">
        <f t="shared" si="2"/>
        <v>86806.24</v>
      </c>
      <c r="R7" s="537">
        <f t="shared" ref="R7:AA11" si="3">SUMIF($D$29:$D$4016,$D7,R$29:R$4016)</f>
        <v>0</v>
      </c>
      <c r="S7" s="537">
        <f t="shared" si="3"/>
        <v>0</v>
      </c>
      <c r="T7" s="549">
        <f t="shared" si="3"/>
        <v>0</v>
      </c>
      <c r="U7" s="542">
        <f t="shared" si="3"/>
        <v>0</v>
      </c>
      <c r="V7" s="537">
        <f t="shared" si="3"/>
        <v>0</v>
      </c>
      <c r="W7" s="537">
        <f t="shared" si="3"/>
        <v>0</v>
      </c>
      <c r="X7" s="537">
        <f t="shared" si="3"/>
        <v>0</v>
      </c>
      <c r="Y7" s="537">
        <f t="shared" si="3"/>
        <v>0</v>
      </c>
      <c r="Z7" s="537">
        <f t="shared" si="3"/>
        <v>0</v>
      </c>
      <c r="AA7" s="537">
        <f t="shared" si="3"/>
        <v>0</v>
      </c>
      <c r="AB7" s="537">
        <f t="shared" ref="AB7:AG11" si="4">SUMIF($D$29:$D$4016,$D7,AB$29:AB$4016)</f>
        <v>0</v>
      </c>
      <c r="AC7" s="537">
        <f t="shared" si="4"/>
        <v>0</v>
      </c>
      <c r="AD7" s="537">
        <f t="shared" si="4"/>
        <v>0</v>
      </c>
      <c r="AE7" s="537">
        <f t="shared" si="4"/>
        <v>0</v>
      </c>
      <c r="AF7" s="537">
        <f t="shared" si="4"/>
        <v>0</v>
      </c>
      <c r="AG7" s="549">
        <f t="shared" si="4"/>
        <v>0</v>
      </c>
      <c r="AH7" s="551"/>
    </row>
    <row r="8" spans="2:34" s="518" customFormat="1" ht="17" customHeight="1">
      <c r="B8" s="529"/>
      <c r="C8" s="567"/>
      <c r="D8" s="520" t="s">
        <v>290</v>
      </c>
      <c r="E8" s="516"/>
      <c r="F8" s="521">
        <f>LOOKUP(9E+307,H8:T8)</f>
        <v>0</v>
      </c>
      <c r="G8" s="528"/>
      <c r="H8" s="543">
        <f t="shared" si="2"/>
        <v>0</v>
      </c>
      <c r="I8" s="522">
        <f t="shared" si="2"/>
        <v>0</v>
      </c>
      <c r="J8" s="522">
        <f t="shared" si="2"/>
        <v>0</v>
      </c>
      <c r="K8" s="522">
        <f t="shared" si="2"/>
        <v>0</v>
      </c>
      <c r="L8" s="522">
        <f t="shared" si="2"/>
        <v>0</v>
      </c>
      <c r="M8" s="522">
        <f t="shared" si="2"/>
        <v>0</v>
      </c>
      <c r="N8" s="522">
        <f t="shared" si="2"/>
        <v>0</v>
      </c>
      <c r="O8" s="522">
        <f t="shared" si="2"/>
        <v>0</v>
      </c>
      <c r="P8" s="522">
        <f t="shared" si="2"/>
        <v>0</v>
      </c>
      <c r="Q8" s="522">
        <f t="shared" si="2"/>
        <v>0</v>
      </c>
      <c r="R8" s="522">
        <f t="shared" si="3"/>
        <v>0</v>
      </c>
      <c r="S8" s="522">
        <f t="shared" si="3"/>
        <v>0</v>
      </c>
      <c r="T8" s="550">
        <f t="shared" si="3"/>
        <v>0</v>
      </c>
      <c r="U8" s="543">
        <f t="shared" si="3"/>
        <v>0</v>
      </c>
      <c r="V8" s="522">
        <f t="shared" si="3"/>
        <v>0</v>
      </c>
      <c r="W8" s="522">
        <f t="shared" si="3"/>
        <v>0</v>
      </c>
      <c r="X8" s="522">
        <f t="shared" si="3"/>
        <v>0</v>
      </c>
      <c r="Y8" s="522">
        <f t="shared" si="3"/>
        <v>0</v>
      </c>
      <c r="Z8" s="522">
        <f t="shared" si="3"/>
        <v>0</v>
      </c>
      <c r="AA8" s="522">
        <f t="shared" si="3"/>
        <v>0</v>
      </c>
      <c r="AB8" s="522">
        <f t="shared" si="4"/>
        <v>0</v>
      </c>
      <c r="AC8" s="522">
        <f t="shared" si="4"/>
        <v>0</v>
      </c>
      <c r="AD8" s="522">
        <f t="shared" si="4"/>
        <v>0</v>
      </c>
      <c r="AE8" s="522">
        <f t="shared" si="4"/>
        <v>0</v>
      </c>
      <c r="AF8" s="522">
        <f t="shared" si="4"/>
        <v>0</v>
      </c>
      <c r="AG8" s="550">
        <f t="shared" si="4"/>
        <v>0</v>
      </c>
      <c r="AH8" s="538"/>
    </row>
    <row r="9" spans="2:34" s="518" customFormat="1" ht="16" customHeight="1">
      <c r="B9" s="529"/>
      <c r="C9" s="567"/>
      <c r="D9" s="519" t="s">
        <v>289</v>
      </c>
      <c r="E9" s="516"/>
      <c r="F9" s="521">
        <f t="shared" si="1"/>
        <v>8.6806239999999999</v>
      </c>
      <c r="G9" s="528"/>
      <c r="H9" s="543">
        <f t="shared" si="2"/>
        <v>0</v>
      </c>
      <c r="I9" s="522">
        <f t="shared" si="2"/>
        <v>0</v>
      </c>
      <c r="J9" s="522">
        <f t="shared" si="2"/>
        <v>0</v>
      </c>
      <c r="K9" s="522">
        <f t="shared" si="2"/>
        <v>0</v>
      </c>
      <c r="L9" s="522">
        <f t="shared" si="2"/>
        <v>0</v>
      </c>
      <c r="M9" s="522">
        <f t="shared" si="2"/>
        <v>0</v>
      </c>
      <c r="N9" s="522">
        <f t="shared" si="2"/>
        <v>0</v>
      </c>
      <c r="O9" s="522">
        <f t="shared" si="2"/>
        <v>0</v>
      </c>
      <c r="P9" s="522">
        <f t="shared" si="2"/>
        <v>0</v>
      </c>
      <c r="Q9" s="522">
        <f t="shared" si="2"/>
        <v>8.6806239999999999</v>
      </c>
      <c r="R9" s="522" t="e">
        <f t="shared" si="3"/>
        <v>#DIV/0!</v>
      </c>
      <c r="S9" s="522" t="e">
        <f t="shared" si="3"/>
        <v>#DIV/0!</v>
      </c>
      <c r="T9" s="550" t="e">
        <f t="shared" si="3"/>
        <v>#DIV/0!</v>
      </c>
      <c r="U9" s="543" t="e">
        <f t="shared" si="3"/>
        <v>#DIV/0!</v>
      </c>
      <c r="V9" s="522" t="e">
        <f t="shared" si="3"/>
        <v>#DIV/0!</v>
      </c>
      <c r="W9" s="522" t="e">
        <f t="shared" si="3"/>
        <v>#DIV/0!</v>
      </c>
      <c r="X9" s="522" t="e">
        <f t="shared" si="3"/>
        <v>#DIV/0!</v>
      </c>
      <c r="Y9" s="522" t="e">
        <f t="shared" si="3"/>
        <v>#DIV/0!</v>
      </c>
      <c r="Z9" s="522" t="e">
        <f t="shared" si="3"/>
        <v>#DIV/0!</v>
      </c>
      <c r="AA9" s="522" t="e">
        <f t="shared" si="3"/>
        <v>#DIV/0!</v>
      </c>
      <c r="AB9" s="522" t="e">
        <f t="shared" si="4"/>
        <v>#DIV/0!</v>
      </c>
      <c r="AC9" s="522" t="e">
        <f t="shared" si="4"/>
        <v>#DIV/0!</v>
      </c>
      <c r="AD9" s="522" t="e">
        <f t="shared" si="4"/>
        <v>#DIV/0!</v>
      </c>
      <c r="AE9" s="522" t="e">
        <f t="shared" si="4"/>
        <v>#DIV/0!</v>
      </c>
      <c r="AF9" s="522" t="e">
        <f t="shared" si="4"/>
        <v>#DIV/0!</v>
      </c>
      <c r="AG9" s="550" t="e">
        <f t="shared" si="4"/>
        <v>#DIV/0!</v>
      </c>
      <c r="AH9" s="538"/>
    </row>
    <row r="10" spans="2:34" s="518" customFormat="1" ht="16" customHeight="1">
      <c r="B10" s="529"/>
      <c r="C10" s="567"/>
      <c r="D10" s="519" t="s">
        <v>288</v>
      </c>
      <c r="E10" s="516"/>
      <c r="F10" s="521">
        <f t="shared" si="1"/>
        <v>0</v>
      </c>
      <c r="G10" s="528"/>
      <c r="H10" s="543">
        <f t="shared" si="2"/>
        <v>0</v>
      </c>
      <c r="I10" s="522">
        <f t="shared" si="2"/>
        <v>0</v>
      </c>
      <c r="J10" s="522">
        <f t="shared" si="2"/>
        <v>0</v>
      </c>
      <c r="K10" s="522">
        <f t="shared" si="2"/>
        <v>0</v>
      </c>
      <c r="L10" s="522">
        <f t="shared" si="2"/>
        <v>0</v>
      </c>
      <c r="M10" s="522">
        <f t="shared" si="2"/>
        <v>0</v>
      </c>
      <c r="N10" s="522">
        <f t="shared" si="2"/>
        <v>0</v>
      </c>
      <c r="O10" s="522">
        <f t="shared" si="2"/>
        <v>0</v>
      </c>
      <c r="P10" s="522">
        <f t="shared" si="2"/>
        <v>0</v>
      </c>
      <c r="Q10" s="522">
        <f t="shared" si="2"/>
        <v>0</v>
      </c>
      <c r="R10" s="522" t="e">
        <f t="shared" si="3"/>
        <v>#DIV/0!</v>
      </c>
      <c r="S10" s="522" t="e">
        <f t="shared" si="3"/>
        <v>#DIV/0!</v>
      </c>
      <c r="T10" s="550" t="e">
        <f t="shared" si="3"/>
        <v>#DIV/0!</v>
      </c>
      <c r="U10" s="543" t="e">
        <f t="shared" si="3"/>
        <v>#DIV/0!</v>
      </c>
      <c r="V10" s="522" t="e">
        <f t="shared" si="3"/>
        <v>#DIV/0!</v>
      </c>
      <c r="W10" s="522" t="e">
        <f t="shared" si="3"/>
        <v>#DIV/0!</v>
      </c>
      <c r="X10" s="522" t="e">
        <f t="shared" si="3"/>
        <v>#DIV/0!</v>
      </c>
      <c r="Y10" s="522" t="e">
        <f t="shared" si="3"/>
        <v>#DIV/0!</v>
      </c>
      <c r="Z10" s="522" t="e">
        <f t="shared" si="3"/>
        <v>#DIV/0!</v>
      </c>
      <c r="AA10" s="522" t="e">
        <f t="shared" si="3"/>
        <v>#DIV/0!</v>
      </c>
      <c r="AB10" s="522" t="e">
        <f t="shared" si="4"/>
        <v>#DIV/0!</v>
      </c>
      <c r="AC10" s="522" t="e">
        <f t="shared" si="4"/>
        <v>#DIV/0!</v>
      </c>
      <c r="AD10" s="522" t="e">
        <f t="shared" si="4"/>
        <v>#DIV/0!</v>
      </c>
      <c r="AE10" s="522" t="e">
        <f t="shared" si="4"/>
        <v>#DIV/0!</v>
      </c>
      <c r="AF10" s="522" t="e">
        <f t="shared" si="4"/>
        <v>#DIV/0!</v>
      </c>
      <c r="AG10" s="550" t="e">
        <f t="shared" si="4"/>
        <v>#DIV/0!</v>
      </c>
      <c r="AH10" s="538"/>
    </row>
    <row r="11" spans="2:34" ht="16" customHeight="1">
      <c r="B11" s="529"/>
      <c r="C11" s="567"/>
      <c r="D11" s="569" t="s">
        <v>286</v>
      </c>
      <c r="E11" s="511"/>
      <c r="F11" s="521">
        <f>LOOKUP(9E+307,H11:T11)</f>
        <v>8.6806239999999999</v>
      </c>
      <c r="G11" s="528"/>
      <c r="H11" s="543">
        <f t="shared" si="2"/>
        <v>0</v>
      </c>
      <c r="I11" s="522">
        <f t="shared" si="2"/>
        <v>0</v>
      </c>
      <c r="J11" s="522">
        <f t="shared" si="2"/>
        <v>0</v>
      </c>
      <c r="K11" s="522">
        <f t="shared" si="2"/>
        <v>0</v>
      </c>
      <c r="L11" s="522">
        <f t="shared" si="2"/>
        <v>0</v>
      </c>
      <c r="M11" s="522">
        <f t="shared" si="2"/>
        <v>0</v>
      </c>
      <c r="N11" s="522">
        <f t="shared" si="2"/>
        <v>0</v>
      </c>
      <c r="O11" s="522">
        <f t="shared" si="2"/>
        <v>0</v>
      </c>
      <c r="P11" s="522">
        <f t="shared" si="2"/>
        <v>0</v>
      </c>
      <c r="Q11" s="522">
        <f t="shared" si="2"/>
        <v>8.6806239999999999</v>
      </c>
      <c r="R11" s="522" t="e">
        <f t="shared" si="3"/>
        <v>#DIV/0!</v>
      </c>
      <c r="S11" s="522" t="e">
        <f t="shared" si="3"/>
        <v>#DIV/0!</v>
      </c>
      <c r="T11" s="550" t="e">
        <f t="shared" si="3"/>
        <v>#DIV/0!</v>
      </c>
      <c r="U11" s="543" t="e">
        <f t="shared" si="3"/>
        <v>#DIV/0!</v>
      </c>
      <c r="V11" s="522" t="e">
        <f t="shared" si="3"/>
        <v>#DIV/0!</v>
      </c>
      <c r="W11" s="522" t="e">
        <f t="shared" si="3"/>
        <v>#DIV/0!</v>
      </c>
      <c r="X11" s="522" t="e">
        <f t="shared" si="3"/>
        <v>#DIV/0!</v>
      </c>
      <c r="Y11" s="522" t="e">
        <f t="shared" si="3"/>
        <v>#DIV/0!</v>
      </c>
      <c r="Z11" s="522" t="e">
        <f t="shared" si="3"/>
        <v>#DIV/0!</v>
      </c>
      <c r="AA11" s="522" t="e">
        <f t="shared" si="3"/>
        <v>#DIV/0!</v>
      </c>
      <c r="AB11" s="522" t="e">
        <f t="shared" si="4"/>
        <v>#DIV/0!</v>
      </c>
      <c r="AC11" s="522" t="e">
        <f t="shared" si="4"/>
        <v>#DIV/0!</v>
      </c>
      <c r="AD11" s="522" t="e">
        <f t="shared" si="4"/>
        <v>#DIV/0!</v>
      </c>
      <c r="AE11" s="522" t="e">
        <f t="shared" si="4"/>
        <v>#DIV/0!</v>
      </c>
      <c r="AF11" s="522" t="e">
        <f t="shared" si="4"/>
        <v>#DIV/0!</v>
      </c>
      <c r="AG11" s="550" t="e">
        <f t="shared" si="4"/>
        <v>#DIV/0!</v>
      </c>
    </row>
    <row r="12" spans="2:34" ht="16" customHeight="1">
      <c r="B12" s="529"/>
      <c r="C12" s="570"/>
      <c r="D12" s="571" t="s">
        <v>325</v>
      </c>
      <c r="E12" s="516"/>
      <c r="F12" s="542">
        <f>LOOKUP(9E+307,H12:T12)</f>
        <v>86772.94435592879</v>
      </c>
      <c r="G12" s="528"/>
      <c r="H12" s="542">
        <f>H11*基金结算中枢!J$19</f>
        <v>0</v>
      </c>
      <c r="I12" s="542">
        <f>I11*基金结算中枢!K$19</f>
        <v>0</v>
      </c>
      <c r="J12" s="542">
        <f>J11*基金结算中枢!L$19</f>
        <v>0</v>
      </c>
      <c r="K12" s="542">
        <f>K11*基金结算中枢!M$19</f>
        <v>0</v>
      </c>
      <c r="L12" s="542">
        <f>L11*基金结算中枢!N$19</f>
        <v>0</v>
      </c>
      <c r="M12" s="542">
        <f>M11*基金结算中枢!O$19</f>
        <v>0</v>
      </c>
      <c r="N12" s="542">
        <f>N11*基金结算中枢!P$19</f>
        <v>0</v>
      </c>
      <c r="O12" s="542">
        <f>O11*基金结算中枢!Q$19</f>
        <v>0</v>
      </c>
      <c r="P12" s="542">
        <f>P11*基金结算中枢!R$19</f>
        <v>0</v>
      </c>
      <c r="Q12" s="542">
        <f>Q11*基金结算中枢!S$19</f>
        <v>86772.94435592879</v>
      </c>
      <c r="R12" s="542" t="e">
        <f>R11*基金结算中枢!T$19</f>
        <v>#DIV/0!</v>
      </c>
      <c r="S12" s="542" t="e">
        <f>S11*基金结算中枢!U$19</f>
        <v>#DIV/0!</v>
      </c>
      <c r="T12" s="792" t="e">
        <f>T11*基金结算中枢!V$19</f>
        <v>#DIV/0!</v>
      </c>
      <c r="U12" s="542" t="e">
        <f>U11*基金结算中枢!W$19</f>
        <v>#DIV/0!</v>
      </c>
      <c r="V12" s="542" t="e">
        <f>V11*基金结算中枢!X$19</f>
        <v>#DIV/0!</v>
      </c>
      <c r="W12" s="542" t="e">
        <f>W11*基金结算中枢!Y$19</f>
        <v>#DIV/0!</v>
      </c>
      <c r="X12" s="542" t="e">
        <f>X11*基金结算中枢!Z$19</f>
        <v>#DIV/0!</v>
      </c>
      <c r="Y12" s="542" t="e">
        <f>Y11*基金结算中枢!AA$19</f>
        <v>#DIV/0!</v>
      </c>
      <c r="Z12" s="542" t="e">
        <f>Z11*基金结算中枢!AB$19</f>
        <v>#DIV/0!</v>
      </c>
      <c r="AA12" s="542" t="e">
        <f>AA11*基金结算中枢!AC$19</f>
        <v>#DIV/0!</v>
      </c>
      <c r="AB12" s="542" t="e">
        <f>AB11*基金结算中枢!AD$19</f>
        <v>#DIV/0!</v>
      </c>
      <c r="AC12" s="542" t="e">
        <f>AC11*基金结算中枢!AE$19</f>
        <v>#DIV/0!</v>
      </c>
      <c r="AD12" s="542" t="e">
        <f>AD11*基金结算中枢!AF$19</f>
        <v>#DIV/0!</v>
      </c>
      <c r="AE12" s="542" t="e">
        <f>AE11*基金结算中枢!AG$19</f>
        <v>#DIV/0!</v>
      </c>
      <c r="AF12" s="542" t="e">
        <f>AF11*基金结算中枢!AH$19</f>
        <v>#DIV/0!</v>
      </c>
      <c r="AG12" s="792" t="e">
        <f>AG11*基金结算中枢!AI$19</f>
        <v>#DIV/0!</v>
      </c>
    </row>
    <row r="13" spans="2:34" ht="17" customHeight="1" thickBot="1">
      <c r="B13" s="528"/>
      <c r="C13" s="572"/>
      <c r="D13" s="523" t="s">
        <v>310</v>
      </c>
      <c r="E13" s="511"/>
      <c r="F13" s="521">
        <f>LOOKUP(9E+307,H13:T13)</f>
        <v>8.6806239999999999</v>
      </c>
      <c r="G13" s="528"/>
      <c r="H13" s="543">
        <f t="shared" ref="H13:AG13" si="5">SUMIF($D$29:$D$4016,$D13,H$29:H$4016)</f>
        <v>0</v>
      </c>
      <c r="I13" s="522">
        <f t="shared" si="5"/>
        <v>0</v>
      </c>
      <c r="J13" s="522">
        <f t="shared" si="5"/>
        <v>0</v>
      </c>
      <c r="K13" s="522">
        <f t="shared" si="5"/>
        <v>0</v>
      </c>
      <c r="L13" s="522">
        <f t="shared" si="5"/>
        <v>0</v>
      </c>
      <c r="M13" s="522">
        <f t="shared" si="5"/>
        <v>0</v>
      </c>
      <c r="N13" s="522">
        <f t="shared" si="5"/>
        <v>0</v>
      </c>
      <c r="O13" s="522">
        <f t="shared" si="5"/>
        <v>0</v>
      </c>
      <c r="P13" s="522">
        <f t="shared" si="5"/>
        <v>0</v>
      </c>
      <c r="Q13" s="522">
        <f t="shared" si="5"/>
        <v>8.6806239999999999</v>
      </c>
      <c r="R13" s="522" t="e">
        <f t="shared" si="5"/>
        <v>#DIV/0!</v>
      </c>
      <c r="S13" s="522" t="e">
        <f t="shared" si="5"/>
        <v>#DIV/0!</v>
      </c>
      <c r="T13" s="550" t="e">
        <f t="shared" si="5"/>
        <v>#DIV/0!</v>
      </c>
      <c r="U13" s="543" t="e">
        <f t="shared" si="5"/>
        <v>#DIV/0!</v>
      </c>
      <c r="V13" s="522" t="e">
        <f t="shared" si="5"/>
        <v>#DIV/0!</v>
      </c>
      <c r="W13" s="522" t="e">
        <f t="shared" si="5"/>
        <v>#DIV/0!</v>
      </c>
      <c r="X13" s="522" t="e">
        <f t="shared" si="5"/>
        <v>#DIV/0!</v>
      </c>
      <c r="Y13" s="522" t="e">
        <f t="shared" si="5"/>
        <v>#DIV/0!</v>
      </c>
      <c r="Z13" s="522" t="e">
        <f t="shared" si="5"/>
        <v>#DIV/0!</v>
      </c>
      <c r="AA13" s="522" t="e">
        <f t="shared" si="5"/>
        <v>#DIV/0!</v>
      </c>
      <c r="AB13" s="522" t="e">
        <f t="shared" si="5"/>
        <v>#DIV/0!</v>
      </c>
      <c r="AC13" s="522" t="e">
        <f t="shared" si="5"/>
        <v>#DIV/0!</v>
      </c>
      <c r="AD13" s="522" t="e">
        <f t="shared" si="5"/>
        <v>#DIV/0!</v>
      </c>
      <c r="AE13" s="522" t="e">
        <f t="shared" si="5"/>
        <v>#DIV/0!</v>
      </c>
      <c r="AF13" s="522" t="e">
        <f t="shared" si="5"/>
        <v>#DIV/0!</v>
      </c>
      <c r="AG13" s="550" t="e">
        <f t="shared" si="5"/>
        <v>#DIV/0!</v>
      </c>
    </row>
    <row r="14" spans="2:34">
      <c r="B14" s="528"/>
      <c r="C14" s="528"/>
      <c r="D14" s="528"/>
      <c r="E14" s="528"/>
      <c r="F14" s="528"/>
      <c r="G14" s="528"/>
      <c r="H14" s="544"/>
      <c r="I14" s="530"/>
      <c r="J14" s="530"/>
      <c r="K14" s="530"/>
      <c r="L14" s="530"/>
      <c r="M14" s="530"/>
      <c r="N14" s="530"/>
      <c r="O14" s="530"/>
      <c r="P14" s="530"/>
      <c r="Q14" s="530"/>
      <c r="R14" s="530"/>
      <c r="S14" s="530"/>
      <c r="T14" s="530"/>
      <c r="U14" s="544"/>
      <c r="V14" s="530"/>
      <c r="W14" s="530"/>
      <c r="X14" s="530"/>
      <c r="Y14" s="530"/>
      <c r="Z14" s="530"/>
      <c r="AA14" s="530"/>
      <c r="AB14" s="530"/>
      <c r="AC14" s="530"/>
      <c r="AD14" s="530"/>
      <c r="AE14" s="530"/>
      <c r="AF14" s="530"/>
      <c r="AG14" s="530"/>
    </row>
    <row r="16" spans="2:34" ht="17" thickBot="1">
      <c r="B16" s="509"/>
      <c r="C16" s="509"/>
      <c r="D16" s="527"/>
      <c r="E16" s="509"/>
      <c r="F16" s="509"/>
      <c r="G16" s="509"/>
      <c r="H16" s="545"/>
      <c r="I16" s="509"/>
      <c r="J16" s="509"/>
      <c r="K16" s="509"/>
      <c r="L16" s="509"/>
      <c r="M16" s="509"/>
      <c r="N16" s="509"/>
      <c r="O16" s="509"/>
      <c r="P16" s="509"/>
      <c r="Q16" s="509"/>
      <c r="R16" s="509"/>
      <c r="S16" s="509"/>
      <c r="T16" s="509"/>
      <c r="U16" s="545"/>
      <c r="V16" s="509"/>
      <c r="W16" s="509"/>
      <c r="X16" s="509"/>
      <c r="Y16" s="509"/>
      <c r="Z16" s="509"/>
      <c r="AA16" s="509"/>
      <c r="AB16" s="509"/>
      <c r="AC16" s="509"/>
      <c r="AD16" s="509"/>
      <c r="AE16" s="509"/>
      <c r="AF16" s="509"/>
      <c r="AG16" s="509"/>
    </row>
    <row r="17" spans="2:34" customFormat="1" ht="16" customHeight="1">
      <c r="B17" s="187"/>
      <c r="C17" s="786" t="s">
        <v>314</v>
      </c>
      <c r="D17" s="502" t="s">
        <v>78</v>
      </c>
      <c r="E17" s="333"/>
      <c r="F17" s="330" t="s">
        <v>93</v>
      </c>
      <c r="G17" s="187"/>
      <c r="H17" s="540">
        <v>44374</v>
      </c>
      <c r="I17" s="540">
        <v>44381</v>
      </c>
      <c r="J17" s="503">
        <v>44388</v>
      </c>
      <c r="K17" s="540">
        <v>44395</v>
      </c>
      <c r="L17" s="503">
        <v>44402</v>
      </c>
      <c r="M17" s="540">
        <v>44409</v>
      </c>
      <c r="N17" s="503">
        <v>44416</v>
      </c>
      <c r="O17" s="540">
        <v>44423</v>
      </c>
      <c r="P17" s="503">
        <v>44430</v>
      </c>
      <c r="Q17" s="540">
        <v>44437</v>
      </c>
      <c r="R17" s="503">
        <v>44444</v>
      </c>
      <c r="S17" s="540">
        <v>44451</v>
      </c>
      <c r="T17" s="791">
        <v>44458</v>
      </c>
      <c r="U17" s="540">
        <v>44465</v>
      </c>
      <c r="V17" s="503">
        <v>44472</v>
      </c>
      <c r="W17" s="540">
        <v>44479</v>
      </c>
      <c r="X17" s="503">
        <v>44486</v>
      </c>
      <c r="Y17" s="540">
        <v>44493</v>
      </c>
      <c r="Z17" s="503">
        <v>44500</v>
      </c>
      <c r="AA17" s="540">
        <v>44507</v>
      </c>
      <c r="AB17" s="503">
        <v>44514</v>
      </c>
      <c r="AC17" s="540">
        <v>44521</v>
      </c>
      <c r="AD17" s="503">
        <v>44528</v>
      </c>
      <c r="AE17" s="540">
        <v>44535</v>
      </c>
      <c r="AF17" s="503">
        <v>44542</v>
      </c>
      <c r="AG17" s="795">
        <v>44549</v>
      </c>
      <c r="AH17" s="486"/>
    </row>
    <row r="18" spans="2:34" s="518" customFormat="1" ht="16" customHeight="1">
      <c r="B18" s="514"/>
      <c r="C18" s="573"/>
      <c r="D18" s="515" t="s">
        <v>94</v>
      </c>
      <c r="E18" s="516"/>
      <c r="F18" s="512" t="s">
        <v>315</v>
      </c>
      <c r="G18" s="509"/>
      <c r="H18" s="541" t="str">
        <f>$F18</f>
        <v>默认</v>
      </c>
      <c r="I18" s="517" t="str">
        <f t="shared" ref="I18:AG19" si="6">$F18</f>
        <v>默认</v>
      </c>
      <c r="J18" s="517" t="str">
        <f t="shared" si="6"/>
        <v>默认</v>
      </c>
      <c r="K18" s="517" t="str">
        <f t="shared" si="6"/>
        <v>默认</v>
      </c>
      <c r="L18" s="517" t="str">
        <f t="shared" si="6"/>
        <v>默认</v>
      </c>
      <c r="M18" s="517" t="str">
        <f t="shared" si="6"/>
        <v>默认</v>
      </c>
      <c r="N18" s="517" t="str">
        <f t="shared" si="6"/>
        <v>默认</v>
      </c>
      <c r="O18" s="517" t="str">
        <f t="shared" si="6"/>
        <v>默认</v>
      </c>
      <c r="P18" s="517" t="str">
        <f t="shared" si="6"/>
        <v>默认</v>
      </c>
      <c r="Q18" s="517" t="str">
        <f t="shared" si="6"/>
        <v>默认</v>
      </c>
      <c r="R18" s="517" t="str">
        <f t="shared" si="6"/>
        <v>默认</v>
      </c>
      <c r="S18" s="517" t="str">
        <f t="shared" si="6"/>
        <v>默认</v>
      </c>
      <c r="T18" s="548" t="str">
        <f t="shared" si="6"/>
        <v>默认</v>
      </c>
      <c r="U18" s="541" t="str">
        <f t="shared" si="6"/>
        <v>默认</v>
      </c>
      <c r="V18" s="517" t="str">
        <f t="shared" si="6"/>
        <v>默认</v>
      </c>
      <c r="W18" s="517" t="str">
        <f t="shared" si="6"/>
        <v>默认</v>
      </c>
      <c r="X18" s="517" t="str">
        <f t="shared" si="6"/>
        <v>默认</v>
      </c>
      <c r="Y18" s="517" t="str">
        <f t="shared" si="6"/>
        <v>默认</v>
      </c>
      <c r="Z18" s="517" t="str">
        <f t="shared" si="6"/>
        <v>默认</v>
      </c>
      <c r="AA18" s="517" t="str">
        <f t="shared" si="6"/>
        <v>默认</v>
      </c>
      <c r="AB18" s="517" t="str">
        <f t="shared" si="6"/>
        <v>默认</v>
      </c>
      <c r="AC18" s="517" t="str">
        <f t="shared" si="6"/>
        <v>默认</v>
      </c>
      <c r="AD18" s="517" t="str">
        <f t="shared" si="6"/>
        <v>默认</v>
      </c>
      <c r="AE18" s="517" t="str">
        <f t="shared" si="6"/>
        <v>默认</v>
      </c>
      <c r="AF18" s="517" t="str">
        <f t="shared" si="6"/>
        <v>默认</v>
      </c>
      <c r="AG18" s="548" t="str">
        <f t="shared" si="6"/>
        <v>默认</v>
      </c>
      <c r="AH18" s="538"/>
    </row>
    <row r="19" spans="2:34" s="518" customFormat="1" ht="16" customHeight="1">
      <c r="B19" s="514"/>
      <c r="C19" s="573"/>
      <c r="D19" s="574" t="s">
        <v>326</v>
      </c>
      <c r="E19" s="516"/>
      <c r="F19" s="575" t="s">
        <v>327</v>
      </c>
      <c r="G19" s="509"/>
      <c r="H19" s="790" t="str">
        <f>$F19</f>
        <v>111111111</v>
      </c>
      <c r="I19" s="575" t="str">
        <f t="shared" si="6"/>
        <v>111111111</v>
      </c>
      <c r="J19" s="575" t="str">
        <f t="shared" si="6"/>
        <v>111111111</v>
      </c>
      <c r="K19" s="575" t="str">
        <f t="shared" si="6"/>
        <v>111111111</v>
      </c>
      <c r="L19" s="575" t="str">
        <f t="shared" si="6"/>
        <v>111111111</v>
      </c>
      <c r="M19" s="575" t="str">
        <f t="shared" si="6"/>
        <v>111111111</v>
      </c>
      <c r="N19" s="575" t="str">
        <f t="shared" si="6"/>
        <v>111111111</v>
      </c>
      <c r="O19" s="575" t="str">
        <f t="shared" si="6"/>
        <v>111111111</v>
      </c>
      <c r="P19" s="575" t="str">
        <f t="shared" si="6"/>
        <v>111111111</v>
      </c>
      <c r="Q19" s="575" t="str">
        <f t="shared" si="6"/>
        <v>111111111</v>
      </c>
      <c r="R19" s="575" t="str">
        <f t="shared" si="6"/>
        <v>111111111</v>
      </c>
      <c r="S19" s="575" t="str">
        <f t="shared" si="6"/>
        <v>111111111</v>
      </c>
      <c r="T19" s="575" t="str">
        <f t="shared" si="6"/>
        <v>111111111</v>
      </c>
      <c r="U19" s="790" t="str">
        <f t="shared" si="6"/>
        <v>111111111</v>
      </c>
      <c r="V19" s="575" t="str">
        <f t="shared" si="6"/>
        <v>111111111</v>
      </c>
      <c r="W19" s="575" t="str">
        <f t="shared" si="6"/>
        <v>111111111</v>
      </c>
      <c r="X19" s="575" t="str">
        <f t="shared" si="6"/>
        <v>111111111</v>
      </c>
      <c r="Y19" s="575" t="str">
        <f t="shared" si="6"/>
        <v>111111111</v>
      </c>
      <c r="Z19" s="575" t="str">
        <f t="shared" si="6"/>
        <v>111111111</v>
      </c>
      <c r="AA19" s="575" t="str">
        <f t="shared" si="6"/>
        <v>111111111</v>
      </c>
      <c r="AB19" s="575" t="str">
        <f t="shared" si="6"/>
        <v>111111111</v>
      </c>
      <c r="AC19" s="575" t="str">
        <f t="shared" si="6"/>
        <v>111111111</v>
      </c>
      <c r="AD19" s="575" t="str">
        <f t="shared" si="6"/>
        <v>111111111</v>
      </c>
      <c r="AE19" s="575" t="str">
        <f t="shared" si="6"/>
        <v>111111111</v>
      </c>
      <c r="AF19" s="575" t="str">
        <f t="shared" si="6"/>
        <v>111111111</v>
      </c>
      <c r="AG19" s="575" t="str">
        <f t="shared" si="6"/>
        <v>111111111</v>
      </c>
      <c r="AH19" s="538"/>
    </row>
    <row r="20" spans="2:34" s="534" customFormat="1" ht="16" customHeight="1">
      <c r="B20" s="531"/>
      <c r="C20" s="573"/>
      <c r="D20" s="532" t="s">
        <v>291</v>
      </c>
      <c r="E20" s="533"/>
      <c r="F20" s="556">
        <f t="shared" ref="F20:F26" si="7">LOOKUP(9E+307,H20:T20)</f>
        <v>0</v>
      </c>
      <c r="G20" s="576"/>
      <c r="H20" s="556">
        <v>0</v>
      </c>
      <c r="I20" s="557"/>
      <c r="J20" s="557"/>
      <c r="K20" s="557"/>
      <c r="L20" s="557"/>
      <c r="M20" s="557"/>
      <c r="N20" s="557"/>
      <c r="O20" s="557"/>
      <c r="P20" s="557"/>
      <c r="Q20" s="557"/>
      <c r="R20" s="557"/>
      <c r="S20" s="557"/>
      <c r="T20" s="558"/>
      <c r="U20" s="556"/>
      <c r="V20" s="557"/>
      <c r="W20" s="557"/>
      <c r="X20" s="557"/>
      <c r="Y20" s="557"/>
      <c r="Z20" s="557"/>
      <c r="AA20" s="557"/>
      <c r="AB20" s="557"/>
      <c r="AC20" s="557"/>
      <c r="AD20" s="557"/>
      <c r="AE20" s="557"/>
      <c r="AF20" s="557"/>
      <c r="AG20" s="558"/>
      <c r="AH20" s="551"/>
    </row>
    <row r="21" spans="2:34" s="518" customFormat="1" ht="17" customHeight="1">
      <c r="B21" s="514"/>
      <c r="C21" s="573"/>
      <c r="D21" s="520" t="s">
        <v>290</v>
      </c>
      <c r="E21" s="516"/>
      <c r="F21" s="553">
        <f t="shared" si="7"/>
        <v>0</v>
      </c>
      <c r="G21" s="509"/>
      <c r="H21" s="553">
        <v>0</v>
      </c>
      <c r="I21" s="553"/>
      <c r="J21" s="553"/>
      <c r="K21" s="554"/>
      <c r="L21" s="554"/>
      <c r="M21" s="554"/>
      <c r="N21" s="554"/>
      <c r="O21" s="554"/>
      <c r="P21" s="554"/>
      <c r="Q21" s="554"/>
      <c r="R21" s="554"/>
      <c r="S21" s="554"/>
      <c r="T21" s="555"/>
      <c r="U21" s="553"/>
      <c r="V21" s="554"/>
      <c r="W21" s="554"/>
      <c r="X21" s="554"/>
      <c r="Y21" s="554"/>
      <c r="Z21" s="554"/>
      <c r="AA21" s="554"/>
      <c r="AB21" s="554"/>
      <c r="AC21" s="554"/>
      <c r="AD21" s="554"/>
      <c r="AE21" s="554"/>
      <c r="AF21" s="554"/>
      <c r="AG21" s="555"/>
      <c r="AH21" s="538"/>
    </row>
    <row r="22" spans="2:34" s="518" customFormat="1" ht="15" customHeight="1">
      <c r="B22" s="514"/>
      <c r="C22" s="573"/>
      <c r="D22" s="519" t="s">
        <v>289</v>
      </c>
      <c r="E22" s="516"/>
      <c r="F22" s="543">
        <f t="shared" si="7"/>
        <v>0</v>
      </c>
      <c r="G22" s="509"/>
      <c r="H22" s="543">
        <f>(H20-_xlfn.IFS(H20&lt;160000,H20*基金费率!$H$17,
AND(H20&lt;800000,H20&gt;=160000),H20*基金费率!$H$18,
AND(H20&lt;1600000,H20&gt;=800000),H20*基金费率!$H$19,
H20&gt;=1600000,基金费率!$H$20))/基金结算中枢!S$11</f>
        <v>0</v>
      </c>
      <c r="I22" s="543">
        <f>(I20-_xlfn.IFS(I20&lt;160000,I20*基金费率!$H$17,
AND(I20&lt;800000,I20&gt;=160000),I20*基金费率!$H$18,
AND(I20&lt;1600000,I20&gt;=800000),I20*基金费率!$H$19,
I20&gt;=1600000,基金费率!$H$20))/基金结算中枢!K$11</f>
        <v>0</v>
      </c>
      <c r="J22" s="543">
        <f>(J20-_xlfn.IFS(J20&lt;160000,J20*基金费率!$H$17,
AND(J20&lt;800000,J20&gt;=160000),J20*基金费率!$H$18,
AND(J20&lt;1600000,J20&gt;=800000),J20*基金费率!$H$19,
J20&gt;=1600000,基金费率!$H$20))/基金结算中枢!L$11</f>
        <v>0</v>
      </c>
      <c r="K22" s="543">
        <f>(K20-_xlfn.IFS(K20&lt;160000,K20*基金费率!$H$17,
AND(K20&lt;800000,K20&gt;=160000),K20*基金费率!$H$18,
AND(K20&lt;1600000,K20&gt;=800000),K20*基金费率!$H$19,
K20&gt;=1600000,基金费率!$H$20))/基金结算中枢!M$11</f>
        <v>0</v>
      </c>
      <c r="L22" s="543">
        <f>(L20-_xlfn.IFS(L20&lt;160000,L20*基金费率!$H$17,
AND(L20&lt;800000,L20&gt;=160000),L20*基金费率!$H$18,
AND(L20&lt;1600000,L20&gt;=800000),L20*基金费率!$H$19,
L20&gt;=1600000,基金费率!$H$20))/基金结算中枢!N$11</f>
        <v>0</v>
      </c>
      <c r="M22" s="543">
        <f>(M20-_xlfn.IFS(M20&lt;160000,M20*基金费率!$H$17,
AND(M20&lt;800000,M20&gt;=160000),M20*基金费率!$H$18,
AND(M20&lt;1600000,M20&gt;=800000),M20*基金费率!$H$19,
M20&gt;=1600000,基金费率!$H$20))/基金结算中枢!O$11</f>
        <v>0</v>
      </c>
      <c r="N22" s="543">
        <f>(N20-_xlfn.IFS(N20&lt;160000,N20*基金费率!$H$17,
AND(N20&lt;800000,N20&gt;=160000),N20*基金费率!$H$18,
AND(N20&lt;1600000,N20&gt;=800000),N20*基金费率!$H$19,
N20&gt;=1600000,基金费率!$H$20))/基金结算中枢!P$11</f>
        <v>0</v>
      </c>
      <c r="O22" s="543">
        <f>(O20-_xlfn.IFS(O20&lt;160000,O20*基金费率!$H$17,
AND(O20&lt;800000,O20&gt;=160000),O20*基金费率!$H$18,
AND(O20&lt;1600000,O20&gt;=800000),O20*基金费率!$H$19,
O20&gt;=1600000,基金费率!$H$20))/基金结算中枢!Q$11</f>
        <v>0</v>
      </c>
      <c r="P22" s="543">
        <f>(P20-_xlfn.IFS(P20&lt;160000,P20*基金费率!$H$17,
AND(P20&lt;800000,P20&gt;=160000),P20*基金费率!$H$18,
AND(P20&lt;1600000,P20&gt;=800000),P20*基金费率!$H$19,
P20&gt;=1600000,基金费率!$H$20))/基金结算中枢!R$11</f>
        <v>0</v>
      </c>
      <c r="Q22" s="543">
        <f>(Q20-_xlfn.IFS(Q20&lt;160000,Q20*基金费率!$H$17,
AND(Q20&lt;800000,Q20&gt;=160000),Q20*基金费率!$H$18,
AND(Q20&lt;1600000,Q20&gt;=800000),Q20*基金费率!$H$19,
Q20&gt;=1600000,基金费率!$H$20))/基金结算中枢!S$11</f>
        <v>0</v>
      </c>
      <c r="R22" s="543" t="e">
        <f>(R20-_xlfn.IFS(R20&lt;160000,R20*基金费率!$H$17,
AND(R20&lt;800000,R20&gt;=160000),R20*基金费率!$H$18,
AND(R20&lt;1600000,R20&gt;=800000),R20*基金费率!$H$19,
R20&gt;=1600000,基金费率!$H$20))/基金结算中枢!T$11</f>
        <v>#DIV/0!</v>
      </c>
      <c r="S22" s="543" t="e">
        <f>(S20-_xlfn.IFS(S20&lt;160000,S20*基金费率!$H$17,
AND(S20&lt;800000,S20&gt;=160000),S20*基金费率!$H$18,
AND(S20&lt;1600000,S20&gt;=800000),S20*基金费率!$H$19,
S20&gt;=1600000,基金费率!$H$20))/基金结算中枢!U$11</f>
        <v>#DIV/0!</v>
      </c>
      <c r="T22" s="793" t="e">
        <f>(T20-_xlfn.IFS(T20&lt;160000,T20*基金费率!$H$17,
AND(T20&lt;800000,T20&gt;=160000),T20*基金费率!$H$18,
AND(T20&lt;1600000,T20&gt;=800000),T20*基金费率!$H$19,
T20&gt;=1600000,基金费率!$H$20))/基金结算中枢!V$11</f>
        <v>#DIV/0!</v>
      </c>
      <c r="U22" s="543" t="e">
        <f>(U20-_xlfn.IFS(U20&lt;160000,U20*基金费率!$H$17,
AND(U20&lt;800000,U20&gt;=160000),U20*基金费率!$H$18,
AND(U20&lt;1600000,U20&gt;=800000),U20*基金费率!$H$19,
U20&gt;=1600000,基金费率!$H$20))/基金结算中枢!W$11</f>
        <v>#DIV/0!</v>
      </c>
      <c r="V22" s="543" t="e">
        <f>(V20-_xlfn.IFS(V20&lt;160000,V20*基金费率!$H$17,
AND(V20&lt;800000,V20&gt;=160000),V20*基金费率!$H$18,
AND(V20&lt;1600000,V20&gt;=800000),V20*基金费率!$H$19,
V20&gt;=1600000,基金费率!$H$20))/基金结算中枢!X$11</f>
        <v>#DIV/0!</v>
      </c>
      <c r="W22" s="543" t="e">
        <f>(W20-_xlfn.IFS(W20&lt;160000,W20*基金费率!$H$17,
AND(W20&lt;800000,W20&gt;=160000),W20*基金费率!$H$18,
AND(W20&lt;1600000,W20&gt;=800000),W20*基金费率!$H$19,
W20&gt;=1600000,基金费率!$H$20))/基金结算中枢!Y$11</f>
        <v>#DIV/0!</v>
      </c>
      <c r="X22" s="543" t="e">
        <f>(X20-_xlfn.IFS(X20&lt;160000,X20*基金费率!$H$17,
AND(X20&lt;800000,X20&gt;=160000),X20*基金费率!$H$18,
AND(X20&lt;1600000,X20&gt;=800000),X20*基金费率!$H$19,
X20&gt;=1600000,基金费率!$H$20))/基金结算中枢!Z$11</f>
        <v>#DIV/0!</v>
      </c>
      <c r="Y22" s="543" t="e">
        <f>(Y20-_xlfn.IFS(Y20&lt;160000,Y20*基金费率!$H$17,
AND(Y20&lt;800000,Y20&gt;=160000),Y20*基金费率!$H$18,
AND(Y20&lt;1600000,Y20&gt;=800000),Y20*基金费率!$H$19,
Y20&gt;=1600000,基金费率!$H$20))/基金结算中枢!AA$11</f>
        <v>#DIV/0!</v>
      </c>
      <c r="Z22" s="543" t="e">
        <f>(Z20-_xlfn.IFS(Z20&lt;160000,Z20*基金费率!$H$17,
AND(Z20&lt;800000,Z20&gt;=160000),Z20*基金费率!$H$18,
AND(Z20&lt;1600000,Z20&gt;=800000),Z20*基金费率!$H$19,
Z20&gt;=1600000,基金费率!$H$20))/基金结算中枢!AB$11</f>
        <v>#DIV/0!</v>
      </c>
      <c r="AA22" s="543" t="e">
        <f>(AA20-_xlfn.IFS(AA20&lt;160000,AA20*基金费率!$H$17,
AND(AA20&lt;800000,AA20&gt;=160000),AA20*基金费率!$H$18,
AND(AA20&lt;1600000,AA20&gt;=800000),AA20*基金费率!$H$19,
AA20&gt;=1600000,基金费率!$H$20))/基金结算中枢!AC$11</f>
        <v>#DIV/0!</v>
      </c>
      <c r="AB22" s="543" t="e">
        <f>(AB20-_xlfn.IFS(AB20&lt;160000,AB20*基金费率!$H$17,
AND(AB20&lt;800000,AB20&gt;=160000),AB20*基金费率!$H$18,
AND(AB20&lt;1600000,AB20&gt;=800000),AB20*基金费率!$H$19,
AB20&gt;=1600000,基金费率!$H$20))/基金结算中枢!AD$11</f>
        <v>#DIV/0!</v>
      </c>
      <c r="AC22" s="543" t="e">
        <f>(AC20-_xlfn.IFS(AC20&lt;160000,AC20*基金费率!$H$17,
AND(AC20&lt;800000,AC20&gt;=160000),AC20*基金费率!$H$18,
AND(AC20&lt;1600000,AC20&gt;=800000),AC20*基金费率!$H$19,
AC20&gt;=1600000,基金费率!$H$20))/基金结算中枢!AE$11</f>
        <v>#DIV/0!</v>
      </c>
      <c r="AD22" s="543" t="e">
        <f>(AD20-_xlfn.IFS(AD20&lt;160000,AD20*基金费率!$H$17,
AND(AD20&lt;800000,AD20&gt;=160000),AD20*基金费率!$H$18,
AND(AD20&lt;1600000,AD20&gt;=800000),AD20*基金费率!$H$19,
AD20&gt;=1600000,基金费率!$H$20))/基金结算中枢!AF$11</f>
        <v>#DIV/0!</v>
      </c>
      <c r="AE22" s="543" t="e">
        <f>(AE20-_xlfn.IFS(AE20&lt;160000,AE20*基金费率!$H$17,
AND(AE20&lt;800000,AE20&gt;=160000),AE20*基金费率!$H$18,
AND(AE20&lt;1600000,AE20&gt;=800000),AE20*基金费率!$H$19,
AE20&gt;=1600000,基金费率!$H$20))/基金结算中枢!AG$11</f>
        <v>#DIV/0!</v>
      </c>
      <c r="AF22" s="543" t="e">
        <f>(AF20-_xlfn.IFS(AF20&lt;160000,AF20*基金费率!$H$17,
AND(AF20&lt;800000,AF20&gt;=160000),AF20*基金费率!$H$18,
AND(AF20&lt;1600000,AF20&gt;=800000),AF20*基金费率!$H$19,
AF20&gt;=1600000,基金费率!$H$20))/基金结算中枢!AH$11</f>
        <v>#DIV/0!</v>
      </c>
      <c r="AG22" s="793" t="e">
        <f>(AG20-_xlfn.IFS(AG20&lt;160000,AG20*基金费率!$H$17,
AND(AG20&lt;800000,AG20&gt;=160000),AG20*基金费率!$H$18,
AND(AG20&lt;1600000,AG20&gt;=800000),AG20*基金费率!$H$19,
AG20&gt;=1600000,基金费率!$H$20))/基金结算中枢!AI$11</f>
        <v>#DIV/0!</v>
      </c>
      <c r="AH22" s="538"/>
    </row>
    <row r="23" spans="2:34" s="518" customFormat="1" ht="16" customHeight="1">
      <c r="B23" s="514"/>
      <c r="C23" s="573"/>
      <c r="D23" s="519" t="s">
        <v>288</v>
      </c>
      <c r="E23" s="516"/>
      <c r="F23" s="543">
        <f t="shared" si="7"/>
        <v>0</v>
      </c>
      <c r="G23" s="509"/>
      <c r="H23" s="543">
        <v>0</v>
      </c>
      <c r="I23" s="522">
        <f t="array" ref="I23">I21-I21*_xlfn.IFS(
MAX(MIN(COLUMN(I21)-(MAX(IF($H24:I24&lt;I21,COLUMN($H24:I24)))+1),COLUMN(I21)-(COLUMN($H24))),0)&lt;=52,基金费率!$H$25,
AND(MAX(MIN(COLUMN(I21)-(MAX(IF($H24:I24&lt;I21,COLUMN($H24:I24)))+1),COLUMN(I21)-(COLUMN($H24))),0)&gt;52,
MAX(MIN(COLUMN(I21)-(MAX(IF($H24:I24&lt;I21,COLUMN($H24:I24)))+1),COLUMN(I21)-(COLUMN($H24))),0)&lt;=104),基金费率!$H$26,
MAX(MIN(COLUMN(I21)-(MAX(IF($H24:I24&lt;I21,COLUMN($H24:I24)))+1),COLUMN(I21)-(COLUMN($H24))),0)&gt;104,基金费率!$H$27)</f>
        <v>0</v>
      </c>
      <c r="J23" s="522">
        <f t="array" ref="J23">J21-J21*_xlfn.IFS(
MAX(MIN(COLUMN(J21)-(MAX(IF($H24:J24&lt;J21,COLUMN($H24:J24)))+1),COLUMN(J21)-(COLUMN($H24))),0)&lt;=52,基金费率!$H$25,
AND(MAX(MIN(COLUMN(J21)-(MAX(IF($H24:J24&lt;J21,COLUMN($H24:J24)))+1),COLUMN(J21)-(COLUMN($H24))),0)&gt;52,
MAX(MIN(COLUMN(J21)-(MAX(IF($H24:J24&lt;J21,COLUMN($H24:J24)))+1),COLUMN(J21)-(COLUMN($H24))),0)&lt;=104),基金费率!$H$26,
MAX(MIN(COLUMN(J21)-(MAX(IF($H24:J24&lt;J21,COLUMN($H24:J24)))+1),COLUMN(J21)-(COLUMN($H24))),0)&gt;104,基金费率!$H$27)</f>
        <v>0</v>
      </c>
      <c r="K23" s="522">
        <f t="array" ref="K23">K21-K21*_xlfn.IFS(
MAX(MIN(COLUMN(K21)-(MAX(IF($H24:K24&lt;K21,COLUMN($H24:K24)))+1),COLUMN(K21)-(COLUMN($H24))),0)&lt;=52,基金费率!$H$25,
AND(MAX(MIN(COLUMN(K21)-(MAX(IF($H24:K24&lt;K21,COLUMN($H24:K24)))+1),COLUMN(K21)-(COLUMN($H24))),0)&gt;52,
MAX(MIN(COLUMN(K21)-(MAX(IF($H24:K24&lt;K21,COLUMN($H24:K24)))+1),COLUMN(K21)-(COLUMN($H24))),0)&lt;=104),基金费率!$H$26,
MAX(MIN(COLUMN(K21)-(MAX(IF($H24:K24&lt;K21,COLUMN($H24:K24)))+1),COLUMN(K21)-(COLUMN($H24))),0)&gt;104,基金费率!$H$27)</f>
        <v>0</v>
      </c>
      <c r="L23" s="522">
        <f t="array" ref="L23">L21-L21*_xlfn.IFS(
MAX(MIN(COLUMN(L21)-(MAX(IF($H24:L24&lt;L21,COLUMN($H24:L24)))+1),COLUMN(L21)-(COLUMN($H24))),0)&lt;=52,基金费率!$H$25,
AND(MAX(MIN(COLUMN(L21)-(MAX(IF($H24:L24&lt;L21,COLUMN($H24:L24)))+1),COLUMN(L21)-(COLUMN($H24))),0)&gt;52,
MAX(MIN(COLUMN(L21)-(MAX(IF($H24:L24&lt;L21,COLUMN($H24:L24)))+1),COLUMN(L21)-(COLUMN($H24))),0)&lt;=104),基金费率!$H$26,
MAX(MIN(COLUMN(L21)-(MAX(IF($H24:L24&lt;L21,COLUMN($H24:L24)))+1),COLUMN(L21)-(COLUMN($H24))),0)&gt;104,基金费率!$H$27)</f>
        <v>0</v>
      </c>
      <c r="M23" s="522">
        <f t="array" ref="M23">M21-M21*_xlfn.IFS(
MAX(MIN(COLUMN(M21)-(MAX(IF($H24:M24&lt;M21,COLUMN($H24:M24)))+1),COLUMN(M21)-(COLUMN($H24))),0)&lt;=52,基金费率!$H$25,
AND(MAX(MIN(COLUMN(M21)-(MAX(IF($H24:M24&lt;M21,COLUMN($H24:M24)))+1),COLUMN(M21)-(COLUMN($H24))),0)&gt;52,
MAX(MIN(COLUMN(M21)-(MAX(IF($H24:M24&lt;M21,COLUMN($H24:M24)))+1),COLUMN(M21)-(COLUMN($H24))),0)&lt;=104),基金费率!$H$26,
MAX(MIN(COLUMN(M21)-(MAX(IF($H24:M24&lt;M21,COLUMN($H24:M24)))+1),COLUMN(M21)-(COLUMN($H24))),0)&gt;104,基金费率!$H$27)</f>
        <v>0</v>
      </c>
      <c r="N23" s="522">
        <f t="array" ref="N23">N21-N21*_xlfn.IFS(
MAX(MIN(COLUMN(N21)-(MAX(IF($H24:N24&lt;N21,COLUMN($H24:N24)))+1),COLUMN(N21)-(COLUMN($H24))),0)&lt;=52,基金费率!$H$25,
AND(MAX(MIN(COLUMN(N21)-(MAX(IF($H24:N24&lt;N21,COLUMN($H24:N24)))+1),COLUMN(N21)-(COLUMN($H24))),0)&gt;52,
MAX(MIN(COLUMN(N21)-(MAX(IF($H24:N24&lt;N21,COLUMN($H24:N24)))+1),COLUMN(N21)-(COLUMN($H24))),0)&lt;=104),基金费率!$H$26,
MAX(MIN(COLUMN(N21)-(MAX(IF($H24:N24&lt;N21,COLUMN($H24:N24)))+1),COLUMN(N21)-(COLUMN($H24))),0)&gt;104,基金费率!$H$27)</f>
        <v>0</v>
      </c>
      <c r="O23" s="522">
        <f t="array" ref="O23">O21-O21*_xlfn.IFS(
MAX(MIN(COLUMN(O21)-(MAX(IF($H24:O24&lt;O21,COLUMN($H24:O24)))+1),COLUMN(O21)-(COLUMN($H24))),0)&lt;=52,基金费率!$H$25,
AND(MAX(MIN(COLUMN(O21)-(MAX(IF($H24:O24&lt;O21,COLUMN($H24:O24)))+1),COLUMN(O21)-(COLUMN($H24))),0)&gt;52,
MAX(MIN(COLUMN(O21)-(MAX(IF($H24:O24&lt;O21,COLUMN($H24:O24)))+1),COLUMN(O21)-(COLUMN($H24))),0)&lt;=104),基金费率!$H$26,
MAX(MIN(COLUMN(O21)-(MAX(IF($H24:O24&lt;O21,COLUMN($H24:O24)))+1),COLUMN(O21)-(COLUMN($H24))),0)&gt;104,基金费率!$H$27)</f>
        <v>0</v>
      </c>
      <c r="P23" s="522">
        <f t="array" ref="P23">P21-P21*_xlfn.IFS(
MAX(MIN(COLUMN(P21)-(MAX(IF($H24:P24&lt;P21,COLUMN($H24:P24)))+1),COLUMN(P21)-(COLUMN($H24))),0)&lt;=52,基金费率!$H$25,
AND(MAX(MIN(COLUMN(P21)-(MAX(IF($H24:P24&lt;P21,COLUMN($H24:P24)))+1),COLUMN(P21)-(COLUMN($H24))),0)&gt;52,
MAX(MIN(COLUMN(P21)-(MAX(IF($H24:P24&lt;P21,COLUMN($H24:P24)))+1),COLUMN(P21)-(COLUMN($H24))),0)&lt;=104),基金费率!$H$26,
MAX(MIN(COLUMN(P21)-(MAX(IF($H24:P24&lt;P21,COLUMN($H24:P24)))+1),COLUMN(P21)-(COLUMN($H24))),0)&gt;104,基金费率!$H$27)</f>
        <v>0</v>
      </c>
      <c r="Q23" s="522">
        <f t="array" ref="Q23">Q21-Q21*_xlfn.IFS(
MAX(MIN(COLUMN(Q21)-(MAX(IF($H24:Q24&lt;Q21,COLUMN($H24:Q24)))+1),COLUMN(Q21)-(COLUMN($H24))),0)&lt;=52,基金费率!$H$25,
AND(MAX(MIN(COLUMN(Q21)-(MAX(IF($H24:Q24&lt;Q21,COLUMN($H24:Q24)))+1),COLUMN(Q21)-(COLUMN($H24))),0)&gt;52,
MAX(MIN(COLUMN(Q21)-(MAX(IF($H24:Q24&lt;Q21,COLUMN($H24:Q24)))+1),COLUMN(Q21)-(COLUMN($H24))),0)&lt;=104),基金费率!$H$26,
MAX(MIN(COLUMN(Q21)-(MAX(IF($H24:Q24&lt;Q21,COLUMN($H24:Q24)))+1),COLUMN(Q21)-(COLUMN($H24))),0)&gt;104,基金费率!$H$27)</f>
        <v>0</v>
      </c>
      <c r="R23" s="522" t="e">
        <f t="array" ref="R23">R21-R21*_xlfn.IFS(
MAX(MIN(COLUMN(R21)-(MAX(IF($H24:R24&lt;R21,COLUMN($H24:R24)))+1),COLUMN(R21)-(COLUMN($H24))),0)&lt;=52,基金费率!$H$25,
AND(MAX(MIN(COLUMN(R21)-(MAX(IF($H24:R24&lt;R21,COLUMN($H24:R24)))+1),COLUMN(R21)-(COLUMN($H24))),0)&gt;52,
MAX(MIN(COLUMN(R21)-(MAX(IF($H24:R24&lt;R21,COLUMN($H24:R24)))+1),COLUMN(R21)-(COLUMN($H24))),0)&lt;=104),基金费率!$H$26,
MAX(MIN(COLUMN(R21)-(MAX(IF($H24:R24&lt;R21,COLUMN($H24:R24)))+1),COLUMN(R21)-(COLUMN($H24))),0)&gt;104,基金费率!$H$27)</f>
        <v>#DIV/0!</v>
      </c>
      <c r="S23" s="522" t="e">
        <f t="array" ref="S23">S21-S21*_xlfn.IFS(
MAX(MIN(COLUMN(S21)-(MAX(IF($H24:S24&lt;S21,COLUMN($H24:S24)))+1),COLUMN(S21)-(COLUMN($H24))),0)&lt;=52,基金费率!$H$25,
AND(MAX(MIN(COLUMN(S21)-(MAX(IF($H24:S24&lt;S21,COLUMN($H24:S24)))+1),COLUMN(S21)-(COLUMN($H24))),0)&gt;52,
MAX(MIN(COLUMN(S21)-(MAX(IF($H24:S24&lt;S21,COLUMN($H24:S24)))+1),COLUMN(S21)-(COLUMN($H24))),0)&lt;=104),基金费率!$H$26,
MAX(MIN(COLUMN(S21)-(MAX(IF($H24:S24&lt;S21,COLUMN($H24:S24)))+1),COLUMN(S21)-(COLUMN($H24))),0)&gt;104,基金费率!$H$27)</f>
        <v>#DIV/0!</v>
      </c>
      <c r="T23" s="550" t="e">
        <f t="array" ref="T23">T21-T21*_xlfn.IFS(
MAX(MIN(COLUMN(T21)-(MAX(IF($H24:T24&lt;T21,COLUMN($H24:T24)))+1),COLUMN(T21)-(COLUMN($H24))),0)&lt;=52,基金费率!$H$25,
AND(MAX(MIN(COLUMN(T21)-(MAX(IF($H24:T24&lt;T21,COLUMN($H24:T24)))+1),COLUMN(T21)-(COLUMN($H24))),0)&gt;52,
MAX(MIN(COLUMN(T21)-(MAX(IF($H24:T24&lt;T21,COLUMN($H24:T24)))+1),COLUMN(T21)-(COLUMN($H24))),0)&lt;=104),基金费率!$H$26,
MAX(MIN(COLUMN(T21)-(MAX(IF($H24:T24&lt;T21,COLUMN($H24:T24)))+1),COLUMN(T21)-(COLUMN($H24))),0)&gt;104,基金费率!$H$27)</f>
        <v>#DIV/0!</v>
      </c>
      <c r="U23" s="543" t="e">
        <f t="array" ref="U23">U21-U21*_xlfn.IFS(
MAX(MIN(COLUMN(U21)-(MAX(IF($H24:U24&lt;U21,COLUMN($H24:U24)))+1),COLUMN(U21)-(COLUMN($H24))),0)&lt;=52,基金费率!$H$25,
AND(MAX(MIN(COLUMN(U21)-(MAX(IF($H24:U24&lt;U21,COLUMN($H24:U24)))+1),COLUMN(U21)-(COLUMN($H24))),0)&gt;52,
MAX(MIN(COLUMN(U21)-(MAX(IF($H24:U24&lt;U21,COLUMN($H24:U24)))+1),COLUMN(U21)-(COLUMN($H24))),0)&lt;=104),基金费率!$H$26,
MAX(MIN(COLUMN(U21)-(MAX(IF($H24:U24&lt;U21,COLUMN($H24:U24)))+1),COLUMN(U21)-(COLUMN($H24))),0)&gt;104,基金费率!$H$27)</f>
        <v>#DIV/0!</v>
      </c>
      <c r="V23" s="522" t="e">
        <f t="array" ref="V23">V21-V21*_xlfn.IFS(
MAX(MIN(COLUMN(V21)-(MAX(IF($H24:V24&lt;V21,COLUMN($H24:V24)))+1),COLUMN(V21)-(COLUMN($H24))),0)&lt;=52,基金费率!$H$25,
AND(MAX(MIN(COLUMN(V21)-(MAX(IF($H24:V24&lt;V21,COLUMN($H24:V24)))+1),COLUMN(V21)-(COLUMN($H24))),0)&gt;52,
MAX(MIN(COLUMN(V21)-(MAX(IF($H24:V24&lt;V21,COLUMN($H24:V24)))+1),COLUMN(V21)-(COLUMN($H24))),0)&lt;=104),基金费率!$H$26,
MAX(MIN(COLUMN(V21)-(MAX(IF($H24:V24&lt;V21,COLUMN($H24:V24)))+1),COLUMN(V21)-(COLUMN($H24))),0)&gt;104,基金费率!$H$27)</f>
        <v>#DIV/0!</v>
      </c>
      <c r="W23" s="522" t="e">
        <f t="array" ref="W23">W21-W21*_xlfn.IFS(
MAX(MIN(COLUMN(W21)-(MAX(IF($H24:W24&lt;W21,COLUMN($H24:W24)))+1),COLUMN(W21)-(COLUMN($H24))),0)&lt;=52,基金费率!$H$25,
AND(MAX(MIN(COLUMN(W21)-(MAX(IF($H24:W24&lt;W21,COLUMN($H24:W24)))+1),COLUMN(W21)-(COLUMN($H24))),0)&gt;52,
MAX(MIN(COLUMN(W21)-(MAX(IF($H24:W24&lt;W21,COLUMN($H24:W24)))+1),COLUMN(W21)-(COLUMN($H24))),0)&lt;=104),基金费率!$H$26,
MAX(MIN(COLUMN(W21)-(MAX(IF($H24:W24&lt;W21,COLUMN($H24:W24)))+1),COLUMN(W21)-(COLUMN($H24))),0)&gt;104,基金费率!$H$27)</f>
        <v>#DIV/0!</v>
      </c>
      <c r="X23" s="522" t="e">
        <f t="array" ref="X23">X21-X21*_xlfn.IFS(
MAX(MIN(COLUMN(X21)-(MAX(IF($H24:X24&lt;X21,COLUMN($H24:X24)))+1),COLUMN(X21)-(COLUMN($H24))),0)&lt;=52,基金费率!$H$25,
AND(MAX(MIN(COLUMN(X21)-(MAX(IF($H24:X24&lt;X21,COLUMN($H24:X24)))+1),COLUMN(X21)-(COLUMN($H24))),0)&gt;52,
MAX(MIN(COLUMN(X21)-(MAX(IF($H24:X24&lt;X21,COLUMN($H24:X24)))+1),COLUMN(X21)-(COLUMN($H24))),0)&lt;=104),基金费率!$H$26,
MAX(MIN(COLUMN(X21)-(MAX(IF($H24:X24&lt;X21,COLUMN($H24:X24)))+1),COLUMN(X21)-(COLUMN($H24))),0)&gt;104,基金费率!$H$27)</f>
        <v>#DIV/0!</v>
      </c>
      <c r="Y23" s="522" t="e">
        <f t="array" ref="Y23">Y21-Y21*_xlfn.IFS(
MAX(MIN(COLUMN(Y21)-(MAX(IF($H24:Y24&lt;Y21,COLUMN($H24:Y24)))+1),COLUMN(Y21)-(COLUMN($H24))),0)&lt;=52,基金费率!$H$25,
AND(MAX(MIN(COLUMN(Y21)-(MAX(IF($H24:Y24&lt;Y21,COLUMN($H24:Y24)))+1),COLUMN(Y21)-(COLUMN($H24))),0)&gt;52,
MAX(MIN(COLUMN(Y21)-(MAX(IF($H24:Y24&lt;Y21,COLUMN($H24:Y24)))+1),COLUMN(Y21)-(COLUMN($H24))),0)&lt;=104),基金费率!$H$26,
MAX(MIN(COLUMN(Y21)-(MAX(IF($H24:Y24&lt;Y21,COLUMN($H24:Y24)))+1),COLUMN(Y21)-(COLUMN($H24))),0)&gt;104,基金费率!$H$27)</f>
        <v>#DIV/0!</v>
      </c>
      <c r="Z23" s="522" t="e">
        <f t="array" ref="Z23">Z21-Z21*_xlfn.IFS(
MAX(MIN(COLUMN(Z21)-(MAX(IF($H24:Z24&lt;Z21,COLUMN($H24:Z24)))+1),COLUMN(Z21)-(COLUMN($H24))),0)&lt;=52,基金费率!$H$25,
AND(MAX(MIN(COLUMN(Z21)-(MAX(IF($H24:Z24&lt;Z21,COLUMN($H24:Z24)))+1),COLUMN(Z21)-(COLUMN($H24))),0)&gt;52,
MAX(MIN(COLUMN(Z21)-(MAX(IF($H24:Z24&lt;Z21,COLUMN($H24:Z24)))+1),COLUMN(Z21)-(COLUMN($H24))),0)&lt;=104),基金费率!$H$26,
MAX(MIN(COLUMN(Z21)-(MAX(IF($H24:Z24&lt;Z21,COLUMN($H24:Z24)))+1),COLUMN(Z21)-(COLUMN($H24))),0)&gt;104,基金费率!$H$27)</f>
        <v>#DIV/0!</v>
      </c>
      <c r="AA23" s="522" t="e">
        <f t="array" ref="AA23">AA21-AA21*_xlfn.IFS(
MAX(MIN(COLUMN(AA21)-(MAX(IF($H24:AA24&lt;AA21,COLUMN($H24:AA24)))+1),COLUMN(AA21)-(COLUMN($H24))),0)&lt;=52,基金费率!$H$25,
AND(MAX(MIN(COLUMN(AA21)-(MAX(IF($H24:AA24&lt;AA21,COLUMN($H24:AA24)))+1),COLUMN(AA21)-(COLUMN($H24))),0)&gt;52,
MAX(MIN(COLUMN(AA21)-(MAX(IF($H24:AA24&lt;AA21,COLUMN($H24:AA24)))+1),COLUMN(AA21)-(COLUMN($H24))),0)&lt;=104),基金费率!$H$26,
MAX(MIN(COLUMN(AA21)-(MAX(IF($H24:AA24&lt;AA21,COLUMN($H24:AA24)))+1),COLUMN(AA21)-(COLUMN($H24))),0)&gt;104,基金费率!$H$27)</f>
        <v>#DIV/0!</v>
      </c>
      <c r="AB23" s="522" t="e">
        <f t="array" ref="AB23">AB21-AB21*_xlfn.IFS(
MAX(MIN(COLUMN(AB21)-(MAX(IF($H24:AB24&lt;AB21,COLUMN($H24:AB24)))+1),COLUMN(AB21)-(COLUMN($H24))),0)&lt;=52,基金费率!$H$25,
AND(MAX(MIN(COLUMN(AB21)-(MAX(IF($H24:AB24&lt;AB21,COLUMN($H24:AB24)))+1),COLUMN(AB21)-(COLUMN($H24))),0)&gt;52,
MAX(MIN(COLUMN(AB21)-(MAX(IF($H24:AB24&lt;AB21,COLUMN($H24:AB24)))+1),COLUMN(AB21)-(COLUMN($H24))),0)&lt;=104),基金费率!$H$26,
MAX(MIN(COLUMN(AB21)-(MAX(IF($H24:AB24&lt;AB21,COLUMN($H24:AB24)))+1),COLUMN(AB21)-(COLUMN($H24))),0)&gt;104,基金费率!$H$27)</f>
        <v>#DIV/0!</v>
      </c>
      <c r="AC23" s="522" t="e">
        <f t="array" ref="AC23">AC21-AC21*_xlfn.IFS(
MAX(MIN(COLUMN(AC21)-(MAX(IF($H24:AC24&lt;AC21,COLUMN($H24:AC24)))+1),COLUMN(AC21)-(COLUMN($H24))),0)&lt;=52,基金费率!$H$25,
AND(MAX(MIN(COLUMN(AC21)-(MAX(IF($H24:AC24&lt;AC21,COLUMN($H24:AC24)))+1),COLUMN(AC21)-(COLUMN($H24))),0)&gt;52,
MAX(MIN(COLUMN(AC21)-(MAX(IF($H24:AC24&lt;AC21,COLUMN($H24:AC24)))+1),COLUMN(AC21)-(COLUMN($H24))),0)&lt;=104),基金费率!$H$26,
MAX(MIN(COLUMN(AC21)-(MAX(IF($H24:AC24&lt;AC21,COLUMN($H24:AC24)))+1),COLUMN(AC21)-(COLUMN($H24))),0)&gt;104,基金费率!$H$27)</f>
        <v>#DIV/0!</v>
      </c>
      <c r="AD23" s="522" t="e">
        <f t="array" ref="AD23">AD21-AD21*_xlfn.IFS(
MAX(MIN(COLUMN(AD21)-(MAX(IF($H24:AD24&lt;AD21,COLUMN($H24:AD24)))+1),COLUMN(AD21)-(COLUMN($H24))),0)&lt;=52,基金费率!$H$25,
AND(MAX(MIN(COLUMN(AD21)-(MAX(IF($H24:AD24&lt;AD21,COLUMN($H24:AD24)))+1),COLUMN(AD21)-(COLUMN($H24))),0)&gt;52,
MAX(MIN(COLUMN(AD21)-(MAX(IF($H24:AD24&lt;AD21,COLUMN($H24:AD24)))+1),COLUMN(AD21)-(COLUMN($H24))),0)&lt;=104),基金费率!$H$26,
MAX(MIN(COLUMN(AD21)-(MAX(IF($H24:AD24&lt;AD21,COLUMN($H24:AD24)))+1),COLUMN(AD21)-(COLUMN($H24))),0)&gt;104,基金费率!$H$27)</f>
        <v>#DIV/0!</v>
      </c>
      <c r="AE23" s="522" t="e">
        <f t="array" ref="AE23">AE21-AE21*_xlfn.IFS(
MAX(MIN(COLUMN(AE21)-(MAX(IF($H24:AE24&lt;AE21,COLUMN($H24:AE24)))+1),COLUMN(AE21)-(COLUMN($H24))),0)&lt;=52,基金费率!$H$25,
AND(MAX(MIN(COLUMN(AE21)-(MAX(IF($H24:AE24&lt;AE21,COLUMN($H24:AE24)))+1),COLUMN(AE21)-(COLUMN($H24))),0)&gt;52,
MAX(MIN(COLUMN(AE21)-(MAX(IF($H24:AE24&lt;AE21,COLUMN($H24:AE24)))+1),COLUMN(AE21)-(COLUMN($H24))),0)&lt;=104),基金费率!$H$26,
MAX(MIN(COLUMN(AE21)-(MAX(IF($H24:AE24&lt;AE21,COLUMN($H24:AE24)))+1),COLUMN(AE21)-(COLUMN($H24))),0)&gt;104,基金费率!$H$27)</f>
        <v>#DIV/0!</v>
      </c>
      <c r="AF23" s="522" t="e">
        <f t="array" ref="AF23">AF21-AF21*_xlfn.IFS(
MAX(MIN(COLUMN(AF21)-(MAX(IF($H24:AF24&lt;AF21,COLUMN($H24:AF24)))+1),COLUMN(AF21)-(COLUMN($H24))),0)&lt;=52,基金费率!$H$25,
AND(MAX(MIN(COLUMN(AF21)-(MAX(IF($H24:AF24&lt;AF21,COLUMN($H24:AF24)))+1),COLUMN(AF21)-(COLUMN($H24))),0)&gt;52,
MAX(MIN(COLUMN(AF21)-(MAX(IF($H24:AF24&lt;AF21,COLUMN($H24:AF24)))+1),COLUMN(AF21)-(COLUMN($H24))),0)&lt;=104),基金费率!$H$26,
MAX(MIN(COLUMN(AF21)-(MAX(IF($H24:AF24&lt;AF21,COLUMN($H24:AF24)))+1),COLUMN(AF21)-(COLUMN($H24))),0)&gt;104,基金费率!$H$27)</f>
        <v>#DIV/0!</v>
      </c>
      <c r="AG23" s="550" t="e">
        <f t="array" ref="AG23">AG21-AG21*_xlfn.IFS(
MAX(MIN(COLUMN(AG21)-(MAX(IF($H24:AG24&lt;AG21,COLUMN($H24:AG24)))+1),COLUMN(AG21)-(COLUMN($H24))),0)&lt;=52,基金费率!$H$25,
AND(MAX(MIN(COLUMN(AG21)-(MAX(IF($H24:AG24&lt;AG21,COLUMN($H24:AG24)))+1),COLUMN(AG21)-(COLUMN($H24))),0)&gt;52,
MAX(MIN(COLUMN(AG21)-(MAX(IF($H24:AG24&lt;AG21,COLUMN($H24:AG24)))+1),COLUMN(AG21)-(COLUMN($H24))),0)&lt;=104),基金费率!$H$26,
MAX(MIN(COLUMN(AG21)-(MAX(IF($H24:AG24&lt;AG21,COLUMN($H24:AG24)))+1),COLUMN(AG21)-(COLUMN($H24))),0)&gt;104,基金费率!$H$27)</f>
        <v>#DIV/0!</v>
      </c>
      <c r="AH23" s="538"/>
    </row>
    <row r="24" spans="2:34" ht="16" customHeight="1">
      <c r="B24" s="509"/>
      <c r="C24" s="573"/>
      <c r="D24" s="515" t="s">
        <v>286</v>
      </c>
      <c r="E24" s="516"/>
      <c r="F24" s="543">
        <f t="shared" si="7"/>
        <v>0</v>
      </c>
      <c r="G24" s="509"/>
      <c r="H24" s="543">
        <f>G24+H26</f>
        <v>0</v>
      </c>
      <c r="I24" s="522">
        <f t="shared" ref="I24:AG24" si="8">H24+I26</f>
        <v>0</v>
      </c>
      <c r="J24" s="522">
        <f t="shared" si="8"/>
        <v>0</v>
      </c>
      <c r="K24" s="522">
        <f t="shared" si="8"/>
        <v>0</v>
      </c>
      <c r="L24" s="522">
        <f t="shared" si="8"/>
        <v>0</v>
      </c>
      <c r="M24" s="522">
        <f t="shared" si="8"/>
        <v>0</v>
      </c>
      <c r="N24" s="522">
        <f t="shared" si="8"/>
        <v>0</v>
      </c>
      <c r="O24" s="522">
        <f t="shared" si="8"/>
        <v>0</v>
      </c>
      <c r="P24" s="522">
        <f t="shared" si="8"/>
        <v>0</v>
      </c>
      <c r="Q24" s="522">
        <f t="shared" si="8"/>
        <v>0</v>
      </c>
      <c r="R24" s="522" t="e">
        <f t="shared" si="8"/>
        <v>#DIV/0!</v>
      </c>
      <c r="S24" s="522" t="e">
        <f t="shared" si="8"/>
        <v>#DIV/0!</v>
      </c>
      <c r="T24" s="550" t="e">
        <f t="shared" si="8"/>
        <v>#DIV/0!</v>
      </c>
      <c r="U24" s="543" t="e">
        <f t="shared" si="8"/>
        <v>#DIV/0!</v>
      </c>
      <c r="V24" s="522" t="e">
        <f t="shared" si="8"/>
        <v>#DIV/0!</v>
      </c>
      <c r="W24" s="522" t="e">
        <f t="shared" si="8"/>
        <v>#DIV/0!</v>
      </c>
      <c r="X24" s="522" t="e">
        <f t="shared" si="8"/>
        <v>#DIV/0!</v>
      </c>
      <c r="Y24" s="522" t="e">
        <f t="shared" si="8"/>
        <v>#DIV/0!</v>
      </c>
      <c r="Z24" s="522" t="e">
        <f t="shared" si="8"/>
        <v>#DIV/0!</v>
      </c>
      <c r="AA24" s="522" t="e">
        <f t="shared" si="8"/>
        <v>#DIV/0!</v>
      </c>
      <c r="AB24" s="522" t="e">
        <f t="shared" si="8"/>
        <v>#DIV/0!</v>
      </c>
      <c r="AC24" s="522" t="e">
        <f t="shared" si="8"/>
        <v>#DIV/0!</v>
      </c>
      <c r="AD24" s="522" t="e">
        <f t="shared" si="8"/>
        <v>#DIV/0!</v>
      </c>
      <c r="AE24" s="522" t="e">
        <f t="shared" si="8"/>
        <v>#DIV/0!</v>
      </c>
      <c r="AF24" s="522" t="e">
        <f t="shared" si="8"/>
        <v>#DIV/0!</v>
      </c>
      <c r="AG24" s="550" t="e">
        <f t="shared" si="8"/>
        <v>#DIV/0!</v>
      </c>
    </row>
    <row r="25" spans="2:34" ht="16" customHeight="1">
      <c r="B25" s="509"/>
      <c r="C25" s="570"/>
      <c r="D25" s="571" t="s">
        <v>325</v>
      </c>
      <c r="E25" s="516"/>
      <c r="F25" s="542">
        <f t="shared" si="7"/>
        <v>0</v>
      </c>
      <c r="G25" s="509"/>
      <c r="H25" s="542">
        <f>H24*基金结算中枢!J$19</f>
        <v>0</v>
      </c>
      <c r="I25" s="542">
        <f>I24*基金结算中枢!K$19</f>
        <v>0</v>
      </c>
      <c r="J25" s="542">
        <f>J24*基金结算中枢!L$19</f>
        <v>0</v>
      </c>
      <c r="K25" s="542">
        <f>K24*基金结算中枢!M$19</f>
        <v>0</v>
      </c>
      <c r="L25" s="542">
        <f>L24*基金结算中枢!N$19</f>
        <v>0</v>
      </c>
      <c r="M25" s="542">
        <f>M24*基金结算中枢!O$19</f>
        <v>0</v>
      </c>
      <c r="N25" s="542">
        <f>N24*基金结算中枢!P$19</f>
        <v>0</v>
      </c>
      <c r="O25" s="542">
        <f>O24*基金结算中枢!Q$19</f>
        <v>0</v>
      </c>
      <c r="P25" s="542">
        <f>P24*基金结算中枢!R$19</f>
        <v>0</v>
      </c>
      <c r="Q25" s="542">
        <f>Q24*基金结算中枢!S$19</f>
        <v>0</v>
      </c>
      <c r="R25" s="542" t="e">
        <f>R24*基金结算中枢!T$19</f>
        <v>#DIV/0!</v>
      </c>
      <c r="S25" s="542" t="e">
        <f>S24*基金结算中枢!U$19</f>
        <v>#DIV/0!</v>
      </c>
      <c r="T25" s="792" t="e">
        <f>T24*基金结算中枢!V$19</f>
        <v>#DIV/0!</v>
      </c>
      <c r="U25" s="542" t="e">
        <f>U24*基金结算中枢!W$19</f>
        <v>#DIV/0!</v>
      </c>
      <c r="V25" s="542" t="e">
        <f>V24*基金结算中枢!X$19</f>
        <v>#DIV/0!</v>
      </c>
      <c r="W25" s="542" t="e">
        <f>W24*基金结算中枢!Y$19</f>
        <v>#DIV/0!</v>
      </c>
      <c r="X25" s="542" t="e">
        <f>X24*基金结算中枢!Z$19</f>
        <v>#DIV/0!</v>
      </c>
      <c r="Y25" s="542" t="e">
        <f>Y24*基金结算中枢!AA$19</f>
        <v>#DIV/0!</v>
      </c>
      <c r="Z25" s="542" t="e">
        <f>Z24*基金结算中枢!AB$19</f>
        <v>#DIV/0!</v>
      </c>
      <c r="AA25" s="542" t="e">
        <f>AA24*基金结算中枢!AC$19</f>
        <v>#DIV/0!</v>
      </c>
      <c r="AB25" s="542" t="e">
        <f>AB24*基金结算中枢!AD$19</f>
        <v>#DIV/0!</v>
      </c>
      <c r="AC25" s="542" t="e">
        <f>AC24*基金结算中枢!AE$19</f>
        <v>#DIV/0!</v>
      </c>
      <c r="AD25" s="542" t="e">
        <f>AD24*基金结算中枢!AF$19</f>
        <v>#DIV/0!</v>
      </c>
      <c r="AE25" s="542" t="e">
        <f>AE24*基金结算中枢!AG$19</f>
        <v>#DIV/0!</v>
      </c>
      <c r="AF25" s="542" t="e">
        <f>AF24*基金结算中枢!AH$19</f>
        <v>#DIV/0!</v>
      </c>
      <c r="AG25" s="792" t="e">
        <f>AG24*基金结算中枢!AI$19</f>
        <v>#DIV/0!</v>
      </c>
    </row>
    <row r="26" spans="2:34" ht="17" customHeight="1" thickBot="1">
      <c r="B26" s="509"/>
      <c r="C26" s="577"/>
      <c r="D26" s="523" t="s">
        <v>310</v>
      </c>
      <c r="E26" s="511"/>
      <c r="F26" s="543">
        <f t="shared" si="7"/>
        <v>0</v>
      </c>
      <c r="G26" s="509"/>
      <c r="H26" s="543">
        <f t="shared" ref="H26:AG26" si="9">H22-H21</f>
        <v>0</v>
      </c>
      <c r="I26" s="522">
        <f t="shared" si="9"/>
        <v>0</v>
      </c>
      <c r="J26" s="522">
        <f t="shared" si="9"/>
        <v>0</v>
      </c>
      <c r="K26" s="522">
        <f t="shared" si="9"/>
        <v>0</v>
      </c>
      <c r="L26" s="522">
        <f t="shared" si="9"/>
        <v>0</v>
      </c>
      <c r="M26" s="522">
        <f t="shared" si="9"/>
        <v>0</v>
      </c>
      <c r="N26" s="522">
        <f t="shared" si="9"/>
        <v>0</v>
      </c>
      <c r="O26" s="522">
        <f t="shared" si="9"/>
        <v>0</v>
      </c>
      <c r="P26" s="522">
        <f t="shared" si="9"/>
        <v>0</v>
      </c>
      <c r="Q26" s="522">
        <f t="shared" si="9"/>
        <v>0</v>
      </c>
      <c r="R26" s="522" t="e">
        <f t="shared" si="9"/>
        <v>#DIV/0!</v>
      </c>
      <c r="S26" s="522" t="e">
        <f t="shared" si="9"/>
        <v>#DIV/0!</v>
      </c>
      <c r="T26" s="550" t="e">
        <f t="shared" si="9"/>
        <v>#DIV/0!</v>
      </c>
      <c r="U26" s="543" t="e">
        <f t="shared" si="9"/>
        <v>#DIV/0!</v>
      </c>
      <c r="V26" s="522" t="e">
        <f t="shared" si="9"/>
        <v>#DIV/0!</v>
      </c>
      <c r="W26" s="522" t="e">
        <f t="shared" si="9"/>
        <v>#DIV/0!</v>
      </c>
      <c r="X26" s="522" t="e">
        <f t="shared" si="9"/>
        <v>#DIV/0!</v>
      </c>
      <c r="Y26" s="522" t="e">
        <f t="shared" si="9"/>
        <v>#DIV/0!</v>
      </c>
      <c r="Z26" s="522" t="e">
        <f t="shared" si="9"/>
        <v>#DIV/0!</v>
      </c>
      <c r="AA26" s="522" t="e">
        <f t="shared" si="9"/>
        <v>#DIV/0!</v>
      </c>
      <c r="AB26" s="522" t="e">
        <f t="shared" si="9"/>
        <v>#DIV/0!</v>
      </c>
      <c r="AC26" s="522" t="e">
        <f t="shared" si="9"/>
        <v>#DIV/0!</v>
      </c>
      <c r="AD26" s="522" t="e">
        <f t="shared" si="9"/>
        <v>#DIV/0!</v>
      </c>
      <c r="AE26" s="522" t="e">
        <f t="shared" si="9"/>
        <v>#DIV/0!</v>
      </c>
      <c r="AF26" s="522" t="e">
        <f t="shared" si="9"/>
        <v>#DIV/0!</v>
      </c>
      <c r="AG26" s="550" t="e">
        <f t="shared" si="9"/>
        <v>#DIV/0!</v>
      </c>
    </row>
    <row r="27" spans="2:34">
      <c r="B27" s="509"/>
      <c r="C27" s="509"/>
      <c r="D27" s="509"/>
      <c r="E27" s="509"/>
      <c r="F27" s="509"/>
      <c r="G27" s="509"/>
      <c r="H27" s="546"/>
      <c r="I27" s="524"/>
      <c r="J27" s="524"/>
      <c r="K27" s="524"/>
      <c r="L27" s="524"/>
      <c r="M27" s="524"/>
      <c r="N27" s="524"/>
      <c r="O27" s="524"/>
      <c r="P27" s="524"/>
      <c r="Q27" s="524"/>
      <c r="R27" s="524"/>
      <c r="S27" s="524"/>
      <c r="T27" s="524"/>
      <c r="U27" s="546"/>
      <c r="V27" s="524"/>
      <c r="W27" s="524"/>
      <c r="X27" s="524"/>
      <c r="Y27" s="524"/>
      <c r="Z27" s="524"/>
      <c r="AA27" s="524"/>
      <c r="AB27" s="524"/>
      <c r="AC27" s="524"/>
      <c r="AD27" s="524"/>
      <c r="AE27" s="524"/>
      <c r="AF27" s="524"/>
      <c r="AG27" s="524"/>
    </row>
    <row r="28" spans="2:34">
      <c r="Q28" s="565"/>
    </row>
    <row r="29" spans="2:34" ht="17" thickBot="1">
      <c r="B29" s="509"/>
      <c r="C29" s="509"/>
      <c r="D29" s="527"/>
      <c r="E29" s="509"/>
      <c r="F29" s="509"/>
      <c r="G29" s="509"/>
      <c r="H29" s="545"/>
      <c r="I29" s="509"/>
      <c r="J29" s="509"/>
      <c r="K29" s="509"/>
      <c r="L29" s="509"/>
      <c r="M29" s="509"/>
      <c r="N29" s="509"/>
      <c r="O29" s="509"/>
      <c r="P29" s="509"/>
      <c r="Q29" s="565"/>
      <c r="R29" s="509"/>
      <c r="S29" s="509"/>
      <c r="T29" s="509"/>
      <c r="U29" s="545"/>
      <c r="V29" s="509"/>
      <c r="W29" s="509"/>
      <c r="X29" s="509"/>
      <c r="Y29" s="509"/>
      <c r="Z29" s="509"/>
      <c r="AA29" s="509"/>
      <c r="AB29" s="509"/>
      <c r="AC29" s="509"/>
      <c r="AD29" s="509"/>
      <c r="AE29" s="509"/>
      <c r="AF29" s="509"/>
      <c r="AG29" s="509"/>
    </row>
    <row r="30" spans="2:34" customFormat="1" ht="16" customHeight="1">
      <c r="B30" s="187"/>
      <c r="C30" s="788" t="s">
        <v>328</v>
      </c>
      <c r="D30" s="502" t="s">
        <v>78</v>
      </c>
      <c r="E30" s="333"/>
      <c r="F30" s="330" t="s">
        <v>93</v>
      </c>
      <c r="G30" s="187"/>
      <c r="H30" s="540">
        <v>44374</v>
      </c>
      <c r="I30" s="540">
        <v>44381</v>
      </c>
      <c r="J30" s="503">
        <v>44388</v>
      </c>
      <c r="K30" s="540">
        <v>44395</v>
      </c>
      <c r="L30" s="503">
        <v>44402</v>
      </c>
      <c r="M30" s="540">
        <v>44409</v>
      </c>
      <c r="N30" s="503">
        <v>44416</v>
      </c>
      <c r="O30" s="540">
        <v>44423</v>
      </c>
      <c r="P30" s="503">
        <v>44430</v>
      </c>
      <c r="Q30" s="540">
        <v>44437</v>
      </c>
      <c r="R30" s="503">
        <v>44444</v>
      </c>
      <c r="S30" s="540">
        <v>44451</v>
      </c>
      <c r="T30" s="791">
        <v>44458</v>
      </c>
      <c r="U30" s="540">
        <v>44465</v>
      </c>
      <c r="V30" s="503">
        <v>44472</v>
      </c>
      <c r="W30" s="540">
        <v>44479</v>
      </c>
      <c r="X30" s="503">
        <v>44486</v>
      </c>
      <c r="Y30" s="540">
        <v>44493</v>
      </c>
      <c r="Z30" s="503">
        <v>44500</v>
      </c>
      <c r="AA30" s="540">
        <v>44507</v>
      </c>
      <c r="AB30" s="503">
        <v>44514</v>
      </c>
      <c r="AC30" s="540">
        <v>44521</v>
      </c>
      <c r="AD30" s="503">
        <v>44528</v>
      </c>
      <c r="AE30" s="540">
        <v>44535</v>
      </c>
      <c r="AF30" s="503">
        <v>44542</v>
      </c>
      <c r="AG30" s="795">
        <v>44549</v>
      </c>
      <c r="AH30" s="486"/>
    </row>
    <row r="31" spans="2:34" s="518" customFormat="1" ht="16" customHeight="1">
      <c r="B31" s="514"/>
      <c r="C31" s="573"/>
      <c r="D31" s="515" t="s">
        <v>94</v>
      </c>
      <c r="E31" s="516"/>
      <c r="F31" s="512" t="s">
        <v>329</v>
      </c>
      <c r="G31" s="509"/>
      <c r="H31" s="541" t="str">
        <f>$F31</f>
        <v>王天佑</v>
      </c>
      <c r="I31" s="517" t="str">
        <f t="shared" ref="I31:AG32" si="10">$F31</f>
        <v>王天佑</v>
      </c>
      <c r="J31" s="517" t="str">
        <f t="shared" si="10"/>
        <v>王天佑</v>
      </c>
      <c r="K31" s="517" t="str">
        <f t="shared" si="10"/>
        <v>王天佑</v>
      </c>
      <c r="L31" s="517" t="str">
        <f t="shared" si="10"/>
        <v>王天佑</v>
      </c>
      <c r="M31" s="517" t="str">
        <f t="shared" si="10"/>
        <v>王天佑</v>
      </c>
      <c r="N31" s="517" t="str">
        <f t="shared" si="10"/>
        <v>王天佑</v>
      </c>
      <c r="O31" s="517" t="str">
        <f t="shared" si="10"/>
        <v>王天佑</v>
      </c>
      <c r="P31" s="517" t="str">
        <f t="shared" si="10"/>
        <v>王天佑</v>
      </c>
      <c r="Q31" s="517" t="str">
        <f t="shared" si="10"/>
        <v>王天佑</v>
      </c>
      <c r="R31" s="517" t="str">
        <f t="shared" si="10"/>
        <v>王天佑</v>
      </c>
      <c r="S31" s="517" t="str">
        <f t="shared" si="10"/>
        <v>王天佑</v>
      </c>
      <c r="T31" s="548" t="str">
        <f t="shared" si="10"/>
        <v>王天佑</v>
      </c>
      <c r="U31" s="541" t="str">
        <f t="shared" si="10"/>
        <v>王天佑</v>
      </c>
      <c r="V31" s="517" t="str">
        <f t="shared" si="10"/>
        <v>王天佑</v>
      </c>
      <c r="W31" s="517" t="str">
        <f t="shared" si="10"/>
        <v>王天佑</v>
      </c>
      <c r="X31" s="517" t="str">
        <f t="shared" si="10"/>
        <v>王天佑</v>
      </c>
      <c r="Y31" s="517" t="str">
        <f t="shared" si="10"/>
        <v>王天佑</v>
      </c>
      <c r="Z31" s="517" t="str">
        <f t="shared" si="10"/>
        <v>王天佑</v>
      </c>
      <c r="AA31" s="517" t="str">
        <f t="shared" si="10"/>
        <v>王天佑</v>
      </c>
      <c r="AB31" s="517" t="str">
        <f t="shared" si="10"/>
        <v>王天佑</v>
      </c>
      <c r="AC31" s="517" t="str">
        <f t="shared" si="10"/>
        <v>王天佑</v>
      </c>
      <c r="AD31" s="517" t="str">
        <f t="shared" si="10"/>
        <v>王天佑</v>
      </c>
      <c r="AE31" s="517" t="str">
        <f t="shared" si="10"/>
        <v>王天佑</v>
      </c>
      <c r="AF31" s="517" t="str">
        <f t="shared" si="10"/>
        <v>王天佑</v>
      </c>
      <c r="AG31" s="548" t="str">
        <f t="shared" si="10"/>
        <v>王天佑</v>
      </c>
      <c r="AH31" s="538"/>
    </row>
    <row r="32" spans="2:34" s="518" customFormat="1" ht="16" customHeight="1">
      <c r="B32" s="514"/>
      <c r="C32" s="573"/>
      <c r="D32" s="574" t="s">
        <v>326</v>
      </c>
      <c r="E32" s="516"/>
      <c r="F32" s="575" t="s">
        <v>330</v>
      </c>
      <c r="G32" s="509"/>
      <c r="H32" s="790" t="str">
        <f>$F32</f>
        <v>132322045</v>
      </c>
      <c r="I32" s="575" t="str">
        <f t="shared" si="10"/>
        <v>132322045</v>
      </c>
      <c r="J32" s="575" t="str">
        <f t="shared" si="10"/>
        <v>132322045</v>
      </c>
      <c r="K32" s="575" t="str">
        <f t="shared" si="10"/>
        <v>132322045</v>
      </c>
      <c r="L32" s="575" t="str">
        <f t="shared" si="10"/>
        <v>132322045</v>
      </c>
      <c r="M32" s="575" t="str">
        <f t="shared" si="10"/>
        <v>132322045</v>
      </c>
      <c r="N32" s="575" t="str">
        <f t="shared" si="10"/>
        <v>132322045</v>
      </c>
      <c r="O32" s="575" t="str">
        <f t="shared" si="10"/>
        <v>132322045</v>
      </c>
      <c r="P32" s="575" t="str">
        <f t="shared" si="10"/>
        <v>132322045</v>
      </c>
      <c r="Q32" s="575" t="str">
        <f t="shared" si="10"/>
        <v>132322045</v>
      </c>
      <c r="R32" s="575" t="str">
        <f t="shared" si="10"/>
        <v>132322045</v>
      </c>
      <c r="S32" s="575" t="str">
        <f t="shared" si="10"/>
        <v>132322045</v>
      </c>
      <c r="T32" s="575" t="str">
        <f t="shared" si="10"/>
        <v>132322045</v>
      </c>
      <c r="U32" s="790" t="str">
        <f t="shared" si="10"/>
        <v>132322045</v>
      </c>
      <c r="V32" s="575" t="str">
        <f t="shared" si="10"/>
        <v>132322045</v>
      </c>
      <c r="W32" s="575" t="str">
        <f t="shared" si="10"/>
        <v>132322045</v>
      </c>
      <c r="X32" s="575" t="str">
        <f t="shared" si="10"/>
        <v>132322045</v>
      </c>
      <c r="Y32" s="575" t="str">
        <f t="shared" si="10"/>
        <v>132322045</v>
      </c>
      <c r="Z32" s="575" t="str">
        <f t="shared" si="10"/>
        <v>132322045</v>
      </c>
      <c r="AA32" s="575" t="str">
        <f t="shared" si="10"/>
        <v>132322045</v>
      </c>
      <c r="AB32" s="575" t="str">
        <f t="shared" si="10"/>
        <v>132322045</v>
      </c>
      <c r="AC32" s="575" t="str">
        <f t="shared" si="10"/>
        <v>132322045</v>
      </c>
      <c r="AD32" s="575" t="str">
        <f t="shared" si="10"/>
        <v>132322045</v>
      </c>
      <c r="AE32" s="575" t="str">
        <f t="shared" si="10"/>
        <v>132322045</v>
      </c>
      <c r="AF32" s="575" t="str">
        <f t="shared" si="10"/>
        <v>132322045</v>
      </c>
      <c r="AG32" s="575" t="str">
        <f t="shared" si="10"/>
        <v>132322045</v>
      </c>
      <c r="AH32" s="538"/>
    </row>
    <row r="33" spans="2:34" s="534" customFormat="1" ht="16" customHeight="1">
      <c r="B33" s="531"/>
      <c r="C33" s="573"/>
      <c r="D33" s="532" t="s">
        <v>291</v>
      </c>
      <c r="E33" s="533"/>
      <c r="F33" s="556">
        <f>LOOKUP(9E+307,H33:T33)</f>
        <v>86806.24</v>
      </c>
      <c r="G33" s="576"/>
      <c r="H33" s="556">
        <v>0</v>
      </c>
      <c r="I33" s="557"/>
      <c r="J33" s="557"/>
      <c r="K33" s="557"/>
      <c r="L33" s="557"/>
      <c r="M33" s="557"/>
      <c r="N33" s="557"/>
      <c r="O33" s="557"/>
      <c r="P33" s="557"/>
      <c r="Q33" s="578">
        <f>57130.48+6421.86+23253.9</f>
        <v>86806.24</v>
      </c>
      <c r="R33" s="557"/>
      <c r="S33" s="557"/>
      <c r="T33" s="558"/>
      <c r="U33" s="556"/>
      <c r="V33" s="557"/>
      <c r="W33" s="557"/>
      <c r="X33" s="557"/>
      <c r="Y33" s="557"/>
      <c r="Z33" s="557"/>
      <c r="AA33" s="557"/>
      <c r="AB33" s="557"/>
      <c r="AC33" s="557"/>
      <c r="AD33" s="557"/>
      <c r="AE33" s="557"/>
      <c r="AF33" s="557"/>
      <c r="AG33" s="558"/>
      <c r="AH33" s="551"/>
    </row>
    <row r="34" spans="2:34" s="518" customFormat="1" ht="17" customHeight="1">
      <c r="B34" s="514"/>
      <c r="C34" s="573"/>
      <c r="D34" s="520" t="s">
        <v>290</v>
      </c>
      <c r="E34" s="516"/>
      <c r="F34" s="553">
        <f>LOOKUP(9E+307,H34:T34)</f>
        <v>0</v>
      </c>
      <c r="G34" s="509"/>
      <c r="H34" s="553">
        <v>0</v>
      </c>
      <c r="I34" s="553"/>
      <c r="J34" s="553"/>
      <c r="K34" s="554"/>
      <c r="L34" s="554"/>
      <c r="M34" s="554"/>
      <c r="N34" s="554"/>
      <c r="O34" s="554"/>
      <c r="P34" s="554"/>
      <c r="Q34" s="554">
        <v>0</v>
      </c>
      <c r="R34" s="554"/>
      <c r="S34" s="554"/>
      <c r="T34" s="555"/>
      <c r="U34" s="553"/>
      <c r="V34" s="554"/>
      <c r="W34" s="554"/>
      <c r="X34" s="554"/>
      <c r="Y34" s="554"/>
      <c r="Z34" s="554"/>
      <c r="AA34" s="554"/>
      <c r="AB34" s="554"/>
      <c r="AC34" s="554"/>
      <c r="AD34" s="554"/>
      <c r="AE34" s="554"/>
      <c r="AF34" s="554"/>
      <c r="AG34" s="555"/>
      <c r="AH34" s="538"/>
    </row>
    <row r="35" spans="2:34" s="518" customFormat="1" ht="17" customHeight="1">
      <c r="B35" s="514"/>
      <c r="C35" s="573"/>
      <c r="D35" s="520" t="s">
        <v>331</v>
      </c>
      <c r="E35" s="516"/>
      <c r="F35" s="553"/>
      <c r="G35" s="509"/>
      <c r="H35" s="553"/>
      <c r="I35" s="553">
        <f>基金结算中枢!J21</f>
        <v>0</v>
      </c>
      <c r="J35" s="553">
        <f>基金结算中枢!K21</f>
        <v>0</v>
      </c>
      <c r="K35" s="553">
        <f>基金结算中枢!L21</f>
        <v>0</v>
      </c>
      <c r="L35" s="553">
        <f>基金结算中枢!M21</f>
        <v>0</v>
      </c>
      <c r="M35" s="553">
        <f>基金结算中枢!N21</f>
        <v>0</v>
      </c>
      <c r="N35" s="553">
        <f>基金结算中枢!O21</f>
        <v>0</v>
      </c>
      <c r="O35" s="553">
        <f>基金结算中枢!P21</f>
        <v>0</v>
      </c>
      <c r="P35" s="553">
        <f>基金结算中枢!Q21</f>
        <v>0</v>
      </c>
      <c r="Q35" s="553">
        <f>基金结算中枢!R21</f>
        <v>0</v>
      </c>
      <c r="R35" s="553">
        <f>基金结算中枢!S21</f>
        <v>0</v>
      </c>
      <c r="S35" s="553">
        <f>基金结算中枢!T21</f>
        <v>0</v>
      </c>
      <c r="T35" s="794">
        <f>基金结算中枢!U21</f>
        <v>0</v>
      </c>
      <c r="U35" s="553">
        <f>基金结算中枢!V21</f>
        <v>0</v>
      </c>
      <c r="V35" s="553">
        <f>基金结算中枢!W21</f>
        <v>0</v>
      </c>
      <c r="W35" s="553">
        <f>基金结算中枢!X21</f>
        <v>0</v>
      </c>
      <c r="X35" s="553">
        <f>基金结算中枢!Y21</f>
        <v>0</v>
      </c>
      <c r="Y35" s="553">
        <f>基金结算中枢!Z21</f>
        <v>0</v>
      </c>
      <c r="Z35" s="553">
        <f>基金结算中枢!AA21</f>
        <v>0</v>
      </c>
      <c r="AA35" s="553">
        <f>基金结算中枢!AB21</f>
        <v>0</v>
      </c>
      <c r="AB35" s="553">
        <f>基金结算中枢!AC21</f>
        <v>0</v>
      </c>
      <c r="AC35" s="553">
        <f>基金结算中枢!AD21</f>
        <v>0</v>
      </c>
      <c r="AD35" s="553">
        <f>基金结算中枢!AE21</f>
        <v>0</v>
      </c>
      <c r="AE35" s="553">
        <f>基金结算中枢!AF21</f>
        <v>0</v>
      </c>
      <c r="AF35" s="553">
        <f>基金结算中枢!AG21</f>
        <v>0</v>
      </c>
      <c r="AG35" s="794">
        <f>基金结算中枢!AH21</f>
        <v>0</v>
      </c>
      <c r="AH35" s="538"/>
    </row>
    <row r="36" spans="2:34" s="518" customFormat="1" ht="16" customHeight="1">
      <c r="B36" s="514"/>
      <c r="C36" s="573"/>
      <c r="D36" s="519" t="s">
        <v>289</v>
      </c>
      <c r="E36" s="516"/>
      <c r="F36" s="543">
        <f>LOOKUP(9E+307,H36:T36)</f>
        <v>8.6806239999999999</v>
      </c>
      <c r="G36" s="509"/>
      <c r="H36" s="543">
        <f>H33/基金结算中枢!J$11</f>
        <v>0</v>
      </c>
      <c r="I36" s="543">
        <f>I33/基金结算中枢!K$11</f>
        <v>0</v>
      </c>
      <c r="J36" s="543">
        <f>J33/基金结算中枢!L$11</f>
        <v>0</v>
      </c>
      <c r="K36" s="543">
        <f>K33/基金结算中枢!M$11</f>
        <v>0</v>
      </c>
      <c r="L36" s="543">
        <f>L33/基金结算中枢!N$11</f>
        <v>0</v>
      </c>
      <c r="M36" s="543">
        <f>M33/基金结算中枢!O$11</f>
        <v>0</v>
      </c>
      <c r="N36" s="543">
        <f>N33/基金结算中枢!P$11</f>
        <v>0</v>
      </c>
      <c r="O36" s="543">
        <f>O33/基金结算中枢!Q$11</f>
        <v>0</v>
      </c>
      <c r="P36" s="543">
        <f>P33/基金结算中枢!R$11</f>
        <v>0</v>
      </c>
      <c r="Q36" s="543">
        <f>Q33/基金结算中枢!S$11</f>
        <v>8.6806239999999999</v>
      </c>
      <c r="R36" s="543" t="e">
        <f>R33/基金结算中枢!T$11</f>
        <v>#DIV/0!</v>
      </c>
      <c r="S36" s="543" t="e">
        <f>S33/基金结算中枢!U$11</f>
        <v>#DIV/0!</v>
      </c>
      <c r="T36" s="793" t="e">
        <f>T33/基金结算中枢!V$11</f>
        <v>#DIV/0!</v>
      </c>
      <c r="U36" s="543" t="e">
        <f>U33/基金结算中枢!W$11</f>
        <v>#DIV/0!</v>
      </c>
      <c r="V36" s="543" t="e">
        <f>V33/基金结算中枢!X$11</f>
        <v>#DIV/0!</v>
      </c>
      <c r="W36" s="543" t="e">
        <f>W33/基金结算中枢!Y$11</f>
        <v>#DIV/0!</v>
      </c>
      <c r="X36" s="543" t="e">
        <f>X33/基金结算中枢!Z$11</f>
        <v>#DIV/0!</v>
      </c>
      <c r="Y36" s="543" t="e">
        <f>Y33/基金结算中枢!AA$11</f>
        <v>#DIV/0!</v>
      </c>
      <c r="Z36" s="543" t="e">
        <f>Z33/基金结算中枢!AB$11</f>
        <v>#DIV/0!</v>
      </c>
      <c r="AA36" s="543" t="e">
        <f>AA33/基金结算中枢!AC$11</f>
        <v>#DIV/0!</v>
      </c>
      <c r="AB36" s="543" t="e">
        <f>AB33/基金结算中枢!AD$11</f>
        <v>#DIV/0!</v>
      </c>
      <c r="AC36" s="543" t="e">
        <f>AC33/基金结算中枢!AE$11</f>
        <v>#DIV/0!</v>
      </c>
      <c r="AD36" s="543" t="e">
        <f>AD33/基金结算中枢!AF$11</f>
        <v>#DIV/0!</v>
      </c>
      <c r="AE36" s="543" t="e">
        <f>AE33/基金结算中枢!AG$11</f>
        <v>#DIV/0!</v>
      </c>
      <c r="AF36" s="543" t="e">
        <f>AF33/基金结算中枢!AH$11</f>
        <v>#DIV/0!</v>
      </c>
      <c r="AG36" s="793" t="e">
        <f>AG33/基金结算中枢!AI$11</f>
        <v>#DIV/0!</v>
      </c>
      <c r="AH36" s="538"/>
    </row>
    <row r="37" spans="2:34" s="518" customFormat="1" ht="16" customHeight="1">
      <c r="B37" s="514"/>
      <c r="C37" s="573"/>
      <c r="D37" s="519" t="s">
        <v>288</v>
      </c>
      <c r="E37" s="516"/>
      <c r="F37" s="543">
        <f>LOOKUP(9E+307,H37:T37)</f>
        <v>0</v>
      </c>
      <c r="G37" s="509"/>
      <c r="H37" s="543">
        <v>0</v>
      </c>
      <c r="I37" s="522">
        <f t="array" ref="I37">I34-I34*_xlfn.IFS(
MAX(MIN(COLUMN(I34)-(MAX(IF($H38:I38&lt;I34,COLUMN($H38:I38)))+1),COLUMN(I34)-(COLUMN($H38))),0)&lt;=52,基金费率!$H$25,
AND(MAX(MIN(COLUMN(I34)-(MAX(IF($H38:I38&lt;I34,COLUMN($H38:I38)))+1),COLUMN(I34)-(COLUMN($H38))),0)&gt;52,
MAX(MIN(COLUMN(I34)-(MAX(IF($H38:I38&lt;I34,COLUMN($H38:I38)))+1),COLUMN(I34)-(COLUMN($H38))),0)&lt;=104),基金费率!$H$26,
MAX(MIN(COLUMN(I34)-(MAX(IF($H38:I38&lt;I34,COLUMN($H38:I38)))+1),COLUMN(I34)-(COLUMN($H38))),0)&gt;104,基金费率!$H$27)</f>
        <v>0</v>
      </c>
      <c r="J37" s="522">
        <f t="array" ref="J37">J34-J34*_xlfn.IFS(
MAX(MIN(COLUMN(J34)-(MAX(IF($H38:J38&lt;J34,COLUMN($H38:J38)))+1),COLUMN(J34)-(COLUMN($H38))),0)&lt;=52,基金费率!$H$25,
AND(MAX(MIN(COLUMN(J34)-(MAX(IF($H38:J38&lt;J34,COLUMN($H38:J38)))+1),COLUMN(J34)-(COLUMN($H38))),0)&gt;52,
MAX(MIN(COLUMN(J34)-(MAX(IF($H38:J38&lt;J34,COLUMN($H38:J38)))+1),COLUMN(J34)-(COLUMN($H38))),0)&lt;=104),基金费率!$H$26,
MAX(MIN(COLUMN(J34)-(MAX(IF($H38:J38&lt;J34,COLUMN($H38:J38)))+1),COLUMN(J34)-(COLUMN($H38))),0)&gt;104,基金费率!$H$27)</f>
        <v>0</v>
      </c>
      <c r="K37" s="522">
        <f t="array" ref="K37">K34-K34*_xlfn.IFS(
MAX(MIN(COLUMN(K34)-(MAX(IF($H38:K38&lt;K34,COLUMN($H38:K38)))+1),COLUMN(K34)-(COLUMN($H38))),0)&lt;=52,基金费率!$H$25,
AND(MAX(MIN(COLUMN(K34)-(MAX(IF($H38:K38&lt;K34,COLUMN($H38:K38)))+1),COLUMN(K34)-(COLUMN($H38))),0)&gt;52,
MAX(MIN(COLUMN(K34)-(MAX(IF($H38:K38&lt;K34,COLUMN($H38:K38)))+1),COLUMN(K34)-(COLUMN($H38))),0)&lt;=104),基金费率!$H$26,
MAX(MIN(COLUMN(K34)-(MAX(IF($H38:K38&lt;K34,COLUMN($H38:K38)))+1),COLUMN(K34)-(COLUMN($H38))),0)&gt;104,基金费率!$H$27)</f>
        <v>0</v>
      </c>
      <c r="L37" s="522">
        <f t="array" ref="L37">L34-L34*_xlfn.IFS(
MAX(MIN(COLUMN(L34)-(MAX(IF($H38:L38&lt;L34,COLUMN($H38:L38)))+1),COLUMN(L34)-(COLUMN($H38))),0)&lt;=52,基金费率!$H$25,
AND(MAX(MIN(COLUMN(L34)-(MAX(IF($H38:L38&lt;L34,COLUMN($H38:L38)))+1),COLUMN(L34)-(COLUMN($H38))),0)&gt;52,
MAX(MIN(COLUMN(L34)-(MAX(IF($H38:L38&lt;L34,COLUMN($H38:L38)))+1),COLUMN(L34)-(COLUMN($H38))),0)&lt;=104),基金费率!$H$26,
MAX(MIN(COLUMN(L34)-(MAX(IF($H38:L38&lt;L34,COLUMN($H38:L38)))+1),COLUMN(L34)-(COLUMN($H38))),0)&gt;104,基金费率!$H$27)</f>
        <v>0</v>
      </c>
      <c r="M37" s="522">
        <f t="array" ref="M37">M34-M34*_xlfn.IFS(
MAX(MIN(COLUMN(M34)-(MAX(IF($H38:M38&lt;M34,COLUMN($H38:M38)))+1),COLUMN(M34)-(COLUMN($H38))),0)&lt;=52,基金费率!$H$25,
AND(MAX(MIN(COLUMN(M34)-(MAX(IF($H38:M38&lt;M34,COLUMN($H38:M38)))+1),COLUMN(M34)-(COLUMN($H38))),0)&gt;52,
MAX(MIN(COLUMN(M34)-(MAX(IF($H38:M38&lt;M34,COLUMN($H38:M38)))+1),COLUMN(M34)-(COLUMN($H38))),0)&lt;=104),基金费率!$H$26,
MAX(MIN(COLUMN(M34)-(MAX(IF($H38:M38&lt;M34,COLUMN($H38:M38)))+1),COLUMN(M34)-(COLUMN($H38))),0)&gt;104,基金费率!$H$27)</f>
        <v>0</v>
      </c>
      <c r="N37" s="522">
        <f t="array" ref="N37">N34-N34*_xlfn.IFS(
MAX(MIN(COLUMN(N34)-(MAX(IF($H38:N38&lt;N34,COLUMN($H38:N38)))+1),COLUMN(N34)-(COLUMN($H38))),0)&lt;=52,基金费率!$H$25,
AND(MAX(MIN(COLUMN(N34)-(MAX(IF($H38:N38&lt;N34,COLUMN($H38:N38)))+1),COLUMN(N34)-(COLUMN($H38))),0)&gt;52,
MAX(MIN(COLUMN(N34)-(MAX(IF($H38:N38&lt;N34,COLUMN($H38:N38)))+1),COLUMN(N34)-(COLUMN($H38))),0)&lt;=104),基金费率!$H$26,
MAX(MIN(COLUMN(N34)-(MAX(IF($H38:N38&lt;N34,COLUMN($H38:N38)))+1),COLUMN(N34)-(COLUMN($H38))),0)&gt;104,基金费率!$H$27)</f>
        <v>0</v>
      </c>
      <c r="O37" s="522">
        <f t="array" ref="O37">O34-O34*_xlfn.IFS(
MAX(MIN(COLUMN(O34)-(MAX(IF($H38:O38&lt;O34,COLUMN($H38:O38)))+1),COLUMN(O34)-(COLUMN($H38))),0)&lt;=52,基金费率!$H$25,
AND(MAX(MIN(COLUMN(O34)-(MAX(IF($H38:O38&lt;O34,COLUMN($H38:O38)))+1),COLUMN(O34)-(COLUMN($H38))),0)&gt;52,
MAX(MIN(COLUMN(O34)-(MAX(IF($H38:O38&lt;O34,COLUMN($H38:O38)))+1),COLUMN(O34)-(COLUMN($H38))),0)&lt;=104),基金费率!$H$26,
MAX(MIN(COLUMN(O34)-(MAX(IF($H38:O38&lt;O34,COLUMN($H38:O38)))+1),COLUMN(O34)-(COLUMN($H38))),0)&gt;104,基金费率!$H$27)</f>
        <v>0</v>
      </c>
      <c r="P37" s="522">
        <f t="array" ref="P37">P34-P34*_xlfn.IFS(
MAX(MIN(COLUMN(P34)-(MAX(IF($H38:P38&lt;P34,COLUMN($H38:P38)))+1),COLUMN(P34)-(COLUMN($H38))),0)&lt;=52,基金费率!$H$25,
AND(MAX(MIN(COLUMN(P34)-(MAX(IF($H38:P38&lt;P34,COLUMN($H38:P38)))+1),COLUMN(P34)-(COLUMN($H38))),0)&gt;52,
MAX(MIN(COLUMN(P34)-(MAX(IF($H38:P38&lt;P34,COLUMN($H38:P38)))+1),COLUMN(P34)-(COLUMN($H38))),0)&lt;=104),基金费率!$H$26,
MAX(MIN(COLUMN(P34)-(MAX(IF($H38:P38&lt;P34,COLUMN($H38:P38)))+1),COLUMN(P34)-(COLUMN($H38))),0)&gt;104,基金费率!$H$27)</f>
        <v>0</v>
      </c>
      <c r="Q37" s="522">
        <f t="array" ref="Q37">Q34-Q34*_xlfn.IFS(
MAX(MIN(COLUMN(Q34)-(MAX(IF($H38:Q38&lt;Q34,COLUMN($H38:Q38)))+1),COLUMN(Q34)-(COLUMN($H38))),0)&lt;=52,基金费率!$H$25,
AND(MAX(MIN(COLUMN(Q34)-(MAX(IF($H38:Q38&lt;Q34,COLUMN($H38:Q38)))+1),COLUMN(Q34)-(COLUMN($H38))),0)&gt;52,
MAX(MIN(COLUMN(Q34)-(MAX(IF($H38:Q38&lt;Q34,COLUMN($H38:Q38)))+1),COLUMN(Q34)-(COLUMN($H38))),0)&lt;=104),基金费率!$H$26,
MAX(MIN(COLUMN(Q34)-(MAX(IF($H38:Q38&lt;Q34,COLUMN($H38:Q38)))+1),COLUMN(Q34)-(COLUMN($H38))),0)&gt;104,基金费率!$H$27)</f>
        <v>0</v>
      </c>
      <c r="R37" s="522" t="e">
        <f t="array" ref="R37">R34-R34*_xlfn.IFS(
MAX(MIN(COLUMN(R34)-(MAX(IF($H38:R38&lt;R34,COLUMN($H38:R38)))+1),COLUMN(R34)-(COLUMN($H38))),0)&lt;=52,基金费率!$H$25,
AND(MAX(MIN(COLUMN(R34)-(MAX(IF($H38:R38&lt;R34,COLUMN($H38:R38)))+1),COLUMN(R34)-(COLUMN($H38))),0)&gt;52,
MAX(MIN(COLUMN(R34)-(MAX(IF($H38:R38&lt;R34,COLUMN($H38:R38)))+1),COLUMN(R34)-(COLUMN($H38))),0)&lt;=104),基金费率!$H$26,
MAX(MIN(COLUMN(R34)-(MAX(IF($H38:R38&lt;R34,COLUMN($H38:R38)))+1),COLUMN(R34)-(COLUMN($H38))),0)&gt;104,基金费率!$H$27)</f>
        <v>#DIV/0!</v>
      </c>
      <c r="S37" s="522" t="e">
        <f t="array" ref="S37">S34-S34*_xlfn.IFS(
MAX(MIN(COLUMN(S34)-(MAX(IF($H38:S38&lt;S34,COLUMN($H38:S38)))+1),COLUMN(S34)-(COLUMN($H38))),0)&lt;=52,基金费率!$H$25,
AND(MAX(MIN(COLUMN(S34)-(MAX(IF($H38:S38&lt;S34,COLUMN($H38:S38)))+1),COLUMN(S34)-(COLUMN($H38))),0)&gt;52,
MAX(MIN(COLUMN(S34)-(MAX(IF($H38:S38&lt;S34,COLUMN($H38:S38)))+1),COLUMN(S34)-(COLUMN($H38))),0)&lt;=104),基金费率!$H$26,
MAX(MIN(COLUMN(S34)-(MAX(IF($H38:S38&lt;S34,COLUMN($H38:S38)))+1),COLUMN(S34)-(COLUMN($H38))),0)&gt;104,基金费率!$H$27)</f>
        <v>#DIV/0!</v>
      </c>
      <c r="T37" s="550" t="e">
        <f t="array" ref="T37">T34-T34*_xlfn.IFS(
MAX(MIN(COLUMN(T34)-(MAX(IF($H38:T38&lt;T34,COLUMN($H38:T38)))+1),COLUMN(T34)-(COLUMN($H38))),0)&lt;=52,基金费率!$H$25,
AND(MAX(MIN(COLUMN(T34)-(MAX(IF($H38:T38&lt;T34,COLUMN($H38:T38)))+1),COLUMN(T34)-(COLUMN($H38))),0)&gt;52,
MAX(MIN(COLUMN(T34)-(MAX(IF($H38:T38&lt;T34,COLUMN($H38:T38)))+1),COLUMN(T34)-(COLUMN($H38))),0)&lt;=104),基金费率!$H$26,
MAX(MIN(COLUMN(T34)-(MAX(IF($H38:T38&lt;T34,COLUMN($H38:T38)))+1),COLUMN(T34)-(COLUMN($H38))),0)&gt;104,基金费率!$H$27)</f>
        <v>#DIV/0!</v>
      </c>
      <c r="U37" s="543" t="e">
        <f t="array" ref="U37">U34-U34*_xlfn.IFS(
MAX(MIN(COLUMN(U34)-(MAX(IF($H38:U38&lt;U34,COLUMN($H38:U38)))+1),COLUMN(U34)-(COLUMN($H38))),0)&lt;=52,基金费率!$H$25,
AND(MAX(MIN(COLUMN(U34)-(MAX(IF($H38:U38&lt;U34,COLUMN($H38:U38)))+1),COLUMN(U34)-(COLUMN($H38))),0)&gt;52,
MAX(MIN(COLUMN(U34)-(MAX(IF($H38:U38&lt;U34,COLUMN($H38:U38)))+1),COLUMN(U34)-(COLUMN($H38))),0)&lt;=104),基金费率!$H$26,
MAX(MIN(COLUMN(U34)-(MAX(IF($H38:U38&lt;U34,COLUMN($H38:U38)))+1),COLUMN(U34)-(COLUMN($H38))),0)&gt;104,基金费率!$H$27)</f>
        <v>#DIV/0!</v>
      </c>
      <c r="V37" s="522" t="e">
        <f t="array" ref="V37">V34-V34*_xlfn.IFS(
MAX(MIN(COLUMN(V34)-(MAX(IF($H38:V38&lt;V34,COLUMN($H38:V38)))+1),COLUMN(V34)-(COLUMN($H38))),0)&lt;=52,基金费率!$H$25,
AND(MAX(MIN(COLUMN(V34)-(MAX(IF($H38:V38&lt;V34,COLUMN($H38:V38)))+1),COLUMN(V34)-(COLUMN($H38))),0)&gt;52,
MAX(MIN(COLUMN(V34)-(MAX(IF($H38:V38&lt;V34,COLUMN($H38:V38)))+1),COLUMN(V34)-(COLUMN($H38))),0)&lt;=104),基金费率!$H$26,
MAX(MIN(COLUMN(V34)-(MAX(IF($H38:V38&lt;V34,COLUMN($H38:V38)))+1),COLUMN(V34)-(COLUMN($H38))),0)&gt;104,基金费率!$H$27)</f>
        <v>#DIV/0!</v>
      </c>
      <c r="W37" s="522" t="e">
        <f t="array" ref="W37">W34-W34*_xlfn.IFS(
MAX(MIN(COLUMN(W34)-(MAX(IF($H38:W38&lt;W34,COLUMN($H38:W38)))+1),COLUMN(W34)-(COLUMN($H38))),0)&lt;=52,基金费率!$H$25,
AND(MAX(MIN(COLUMN(W34)-(MAX(IF($H38:W38&lt;W34,COLUMN($H38:W38)))+1),COLUMN(W34)-(COLUMN($H38))),0)&gt;52,
MAX(MIN(COLUMN(W34)-(MAX(IF($H38:W38&lt;W34,COLUMN($H38:W38)))+1),COLUMN(W34)-(COLUMN($H38))),0)&lt;=104),基金费率!$H$26,
MAX(MIN(COLUMN(W34)-(MAX(IF($H38:W38&lt;W34,COLUMN($H38:W38)))+1),COLUMN(W34)-(COLUMN($H38))),0)&gt;104,基金费率!$H$27)</f>
        <v>#DIV/0!</v>
      </c>
      <c r="X37" s="522" t="e">
        <f t="array" ref="X37">X34-X34*_xlfn.IFS(
MAX(MIN(COLUMN(X34)-(MAX(IF($H38:X38&lt;X34,COLUMN($H38:X38)))+1),COLUMN(X34)-(COLUMN($H38))),0)&lt;=52,基金费率!$H$25,
AND(MAX(MIN(COLUMN(X34)-(MAX(IF($H38:X38&lt;X34,COLUMN($H38:X38)))+1),COLUMN(X34)-(COLUMN($H38))),0)&gt;52,
MAX(MIN(COLUMN(X34)-(MAX(IF($H38:X38&lt;X34,COLUMN($H38:X38)))+1),COLUMN(X34)-(COLUMN($H38))),0)&lt;=104),基金费率!$H$26,
MAX(MIN(COLUMN(X34)-(MAX(IF($H38:X38&lt;X34,COLUMN($H38:X38)))+1),COLUMN(X34)-(COLUMN($H38))),0)&gt;104,基金费率!$H$27)</f>
        <v>#DIV/0!</v>
      </c>
      <c r="Y37" s="522" t="e">
        <f t="array" ref="Y37">Y34-Y34*_xlfn.IFS(
MAX(MIN(COLUMN(Y34)-(MAX(IF($H38:Y38&lt;Y34,COLUMN($H38:Y38)))+1),COLUMN(Y34)-(COLUMN($H38))),0)&lt;=52,基金费率!$H$25,
AND(MAX(MIN(COLUMN(Y34)-(MAX(IF($H38:Y38&lt;Y34,COLUMN($H38:Y38)))+1),COLUMN(Y34)-(COLUMN($H38))),0)&gt;52,
MAX(MIN(COLUMN(Y34)-(MAX(IF($H38:Y38&lt;Y34,COLUMN($H38:Y38)))+1),COLUMN(Y34)-(COLUMN($H38))),0)&lt;=104),基金费率!$H$26,
MAX(MIN(COLUMN(Y34)-(MAX(IF($H38:Y38&lt;Y34,COLUMN($H38:Y38)))+1),COLUMN(Y34)-(COLUMN($H38))),0)&gt;104,基金费率!$H$27)</f>
        <v>#DIV/0!</v>
      </c>
      <c r="Z37" s="522" t="e">
        <f t="array" ref="Z37">Z34-Z34*_xlfn.IFS(
MAX(MIN(COLUMN(Z34)-(MAX(IF($H38:Z38&lt;Z34,COLUMN($H38:Z38)))+1),COLUMN(Z34)-(COLUMN($H38))),0)&lt;=52,基金费率!$H$25,
AND(MAX(MIN(COLUMN(Z34)-(MAX(IF($H38:Z38&lt;Z34,COLUMN($H38:Z38)))+1),COLUMN(Z34)-(COLUMN($H38))),0)&gt;52,
MAX(MIN(COLUMN(Z34)-(MAX(IF($H38:Z38&lt;Z34,COLUMN($H38:Z38)))+1),COLUMN(Z34)-(COLUMN($H38))),0)&lt;=104),基金费率!$H$26,
MAX(MIN(COLUMN(Z34)-(MAX(IF($H38:Z38&lt;Z34,COLUMN($H38:Z38)))+1),COLUMN(Z34)-(COLUMN($H38))),0)&gt;104,基金费率!$H$27)</f>
        <v>#DIV/0!</v>
      </c>
      <c r="AA37" s="522" t="e">
        <f t="array" ref="AA37">AA34-AA34*_xlfn.IFS(
MAX(MIN(COLUMN(AA34)-(MAX(IF($H38:AA38&lt;AA34,COLUMN($H38:AA38)))+1),COLUMN(AA34)-(COLUMN($H38))),0)&lt;=52,基金费率!$H$25,
AND(MAX(MIN(COLUMN(AA34)-(MAX(IF($H38:AA38&lt;AA34,COLUMN($H38:AA38)))+1),COLUMN(AA34)-(COLUMN($H38))),0)&gt;52,
MAX(MIN(COLUMN(AA34)-(MAX(IF($H38:AA38&lt;AA34,COLUMN($H38:AA38)))+1),COLUMN(AA34)-(COLUMN($H38))),0)&lt;=104),基金费率!$H$26,
MAX(MIN(COLUMN(AA34)-(MAX(IF($H38:AA38&lt;AA34,COLUMN($H38:AA38)))+1),COLUMN(AA34)-(COLUMN($H38))),0)&gt;104,基金费率!$H$27)</f>
        <v>#DIV/0!</v>
      </c>
      <c r="AB37" s="522" t="e">
        <f t="array" ref="AB37">AB34-AB34*_xlfn.IFS(
MAX(MIN(COLUMN(AB34)-(MAX(IF($H38:AB38&lt;AB34,COLUMN($H38:AB38)))+1),COLUMN(AB34)-(COLUMN($H38))),0)&lt;=52,基金费率!$H$25,
AND(MAX(MIN(COLUMN(AB34)-(MAX(IF($H38:AB38&lt;AB34,COLUMN($H38:AB38)))+1),COLUMN(AB34)-(COLUMN($H38))),0)&gt;52,
MAX(MIN(COLUMN(AB34)-(MAX(IF($H38:AB38&lt;AB34,COLUMN($H38:AB38)))+1),COLUMN(AB34)-(COLUMN($H38))),0)&lt;=104),基金费率!$H$26,
MAX(MIN(COLUMN(AB34)-(MAX(IF($H38:AB38&lt;AB34,COLUMN($H38:AB38)))+1),COLUMN(AB34)-(COLUMN($H38))),0)&gt;104,基金费率!$H$27)</f>
        <v>#DIV/0!</v>
      </c>
      <c r="AC37" s="522" t="e">
        <f t="array" ref="AC37">AC34-AC34*_xlfn.IFS(
MAX(MIN(COLUMN(AC34)-(MAX(IF($H38:AC38&lt;AC34,COLUMN($H38:AC38)))+1),COLUMN(AC34)-(COLUMN($H38))),0)&lt;=52,基金费率!$H$25,
AND(MAX(MIN(COLUMN(AC34)-(MAX(IF($H38:AC38&lt;AC34,COLUMN($H38:AC38)))+1),COLUMN(AC34)-(COLUMN($H38))),0)&gt;52,
MAX(MIN(COLUMN(AC34)-(MAX(IF($H38:AC38&lt;AC34,COLUMN($H38:AC38)))+1),COLUMN(AC34)-(COLUMN($H38))),0)&lt;=104),基金费率!$H$26,
MAX(MIN(COLUMN(AC34)-(MAX(IF($H38:AC38&lt;AC34,COLUMN($H38:AC38)))+1),COLUMN(AC34)-(COLUMN($H38))),0)&gt;104,基金费率!$H$27)</f>
        <v>#DIV/0!</v>
      </c>
      <c r="AD37" s="522" t="e">
        <f t="array" ref="AD37">AD34-AD34*_xlfn.IFS(
MAX(MIN(COLUMN(AD34)-(MAX(IF($H38:AD38&lt;AD34,COLUMN($H38:AD38)))+1),COLUMN(AD34)-(COLUMN($H38))),0)&lt;=52,基金费率!$H$25,
AND(MAX(MIN(COLUMN(AD34)-(MAX(IF($H38:AD38&lt;AD34,COLUMN($H38:AD38)))+1),COLUMN(AD34)-(COLUMN($H38))),0)&gt;52,
MAX(MIN(COLUMN(AD34)-(MAX(IF($H38:AD38&lt;AD34,COLUMN($H38:AD38)))+1),COLUMN(AD34)-(COLUMN($H38))),0)&lt;=104),基金费率!$H$26,
MAX(MIN(COLUMN(AD34)-(MAX(IF($H38:AD38&lt;AD34,COLUMN($H38:AD38)))+1),COLUMN(AD34)-(COLUMN($H38))),0)&gt;104,基金费率!$H$27)</f>
        <v>#DIV/0!</v>
      </c>
      <c r="AE37" s="522" t="e">
        <f t="array" ref="AE37">AE34-AE34*_xlfn.IFS(
MAX(MIN(COLUMN(AE34)-(MAX(IF($H38:AE38&lt;AE34,COLUMN($H38:AE38)))+1),COLUMN(AE34)-(COLUMN($H38))),0)&lt;=52,基金费率!$H$25,
AND(MAX(MIN(COLUMN(AE34)-(MAX(IF($H38:AE38&lt;AE34,COLUMN($H38:AE38)))+1),COLUMN(AE34)-(COLUMN($H38))),0)&gt;52,
MAX(MIN(COLUMN(AE34)-(MAX(IF($H38:AE38&lt;AE34,COLUMN($H38:AE38)))+1),COLUMN(AE34)-(COLUMN($H38))),0)&lt;=104),基金费率!$H$26,
MAX(MIN(COLUMN(AE34)-(MAX(IF($H38:AE38&lt;AE34,COLUMN($H38:AE38)))+1),COLUMN(AE34)-(COLUMN($H38))),0)&gt;104,基金费率!$H$27)</f>
        <v>#DIV/0!</v>
      </c>
      <c r="AF37" s="522" t="e">
        <f t="array" ref="AF37">AF34-AF34*_xlfn.IFS(
MAX(MIN(COLUMN(AF34)-(MAX(IF($H38:AF38&lt;AF34,COLUMN($H38:AF38)))+1),COLUMN(AF34)-(COLUMN($H38))),0)&lt;=52,基金费率!$H$25,
AND(MAX(MIN(COLUMN(AF34)-(MAX(IF($H38:AF38&lt;AF34,COLUMN($H38:AF38)))+1),COLUMN(AF34)-(COLUMN($H38))),0)&gt;52,
MAX(MIN(COLUMN(AF34)-(MAX(IF($H38:AF38&lt;AF34,COLUMN($H38:AF38)))+1),COLUMN(AF34)-(COLUMN($H38))),0)&lt;=104),基金费率!$H$26,
MAX(MIN(COLUMN(AF34)-(MAX(IF($H38:AF38&lt;AF34,COLUMN($H38:AF38)))+1),COLUMN(AF34)-(COLUMN($H38))),0)&gt;104,基金费率!$H$27)</f>
        <v>#DIV/0!</v>
      </c>
      <c r="AG37" s="550" t="e">
        <f t="array" ref="AG37">AG34-AG34*_xlfn.IFS(
MAX(MIN(COLUMN(AG34)-(MAX(IF($H38:AG38&lt;AG34,COLUMN($H38:AG38)))+1),COLUMN(AG34)-(COLUMN($H38))),0)&lt;=52,基金费率!$H$25,
AND(MAX(MIN(COLUMN(AG34)-(MAX(IF($H38:AG38&lt;AG34,COLUMN($H38:AG38)))+1),COLUMN(AG34)-(COLUMN($H38))),0)&gt;52,
MAX(MIN(COLUMN(AG34)-(MAX(IF($H38:AG38&lt;AG34,COLUMN($H38:AG38)))+1),COLUMN(AG34)-(COLUMN($H38))),0)&lt;=104),基金费率!$H$26,
MAX(MIN(COLUMN(AG34)-(MAX(IF($H38:AG38&lt;AG34,COLUMN($H38:AG38)))+1),COLUMN(AG34)-(COLUMN($H38))),0)&gt;104,基金费率!$H$27)</f>
        <v>#DIV/0!</v>
      </c>
      <c r="AH37" s="538"/>
    </row>
    <row r="38" spans="2:34" ht="16" customHeight="1">
      <c r="B38" s="509"/>
      <c r="C38" s="573"/>
      <c r="D38" s="515" t="s">
        <v>286</v>
      </c>
      <c r="E38" s="516"/>
      <c r="F38" s="543">
        <f>LOOKUP(9E+307,H38:T38)</f>
        <v>8.6806239999999999</v>
      </c>
      <c r="G38" s="509"/>
      <c r="H38" s="543">
        <f>G38+H40</f>
        <v>0</v>
      </c>
      <c r="I38" s="522">
        <f t="shared" ref="I38:AG38" si="11">H38+I40</f>
        <v>0</v>
      </c>
      <c r="J38" s="522">
        <f t="shared" si="11"/>
        <v>0</v>
      </c>
      <c r="K38" s="522">
        <f t="shared" si="11"/>
        <v>0</v>
      </c>
      <c r="L38" s="522">
        <f t="shared" si="11"/>
        <v>0</v>
      </c>
      <c r="M38" s="522">
        <f t="shared" si="11"/>
        <v>0</v>
      </c>
      <c r="N38" s="522">
        <f t="shared" si="11"/>
        <v>0</v>
      </c>
      <c r="O38" s="522">
        <f t="shared" si="11"/>
        <v>0</v>
      </c>
      <c r="P38" s="522">
        <f t="shared" si="11"/>
        <v>0</v>
      </c>
      <c r="Q38" s="522">
        <f t="shared" si="11"/>
        <v>8.6806239999999999</v>
      </c>
      <c r="R38" s="522" t="e">
        <f t="shared" si="11"/>
        <v>#DIV/0!</v>
      </c>
      <c r="S38" s="522" t="e">
        <f t="shared" si="11"/>
        <v>#DIV/0!</v>
      </c>
      <c r="T38" s="550" t="e">
        <f t="shared" si="11"/>
        <v>#DIV/0!</v>
      </c>
      <c r="U38" s="543" t="e">
        <f t="shared" si="11"/>
        <v>#DIV/0!</v>
      </c>
      <c r="V38" s="522" t="e">
        <f t="shared" si="11"/>
        <v>#DIV/0!</v>
      </c>
      <c r="W38" s="522" t="e">
        <f t="shared" si="11"/>
        <v>#DIV/0!</v>
      </c>
      <c r="X38" s="522" t="e">
        <f t="shared" si="11"/>
        <v>#DIV/0!</v>
      </c>
      <c r="Y38" s="522" t="e">
        <f t="shared" si="11"/>
        <v>#DIV/0!</v>
      </c>
      <c r="Z38" s="522" t="e">
        <f t="shared" si="11"/>
        <v>#DIV/0!</v>
      </c>
      <c r="AA38" s="522" t="e">
        <f t="shared" si="11"/>
        <v>#DIV/0!</v>
      </c>
      <c r="AB38" s="522" t="e">
        <f t="shared" si="11"/>
        <v>#DIV/0!</v>
      </c>
      <c r="AC38" s="522" t="e">
        <f t="shared" si="11"/>
        <v>#DIV/0!</v>
      </c>
      <c r="AD38" s="522" t="e">
        <f t="shared" si="11"/>
        <v>#DIV/0!</v>
      </c>
      <c r="AE38" s="522" t="e">
        <f t="shared" si="11"/>
        <v>#DIV/0!</v>
      </c>
      <c r="AF38" s="522" t="e">
        <f t="shared" si="11"/>
        <v>#DIV/0!</v>
      </c>
      <c r="AG38" s="550" t="e">
        <f t="shared" si="11"/>
        <v>#DIV/0!</v>
      </c>
    </row>
    <row r="39" spans="2:34" ht="16" customHeight="1">
      <c r="B39" s="509"/>
      <c r="C39" s="573"/>
      <c r="D39" s="574" t="s">
        <v>325</v>
      </c>
      <c r="E39" s="516"/>
      <c r="F39" s="542">
        <f>LOOKUP(9E+307,H39:T39)</f>
        <v>86772.94435592879</v>
      </c>
      <c r="G39" s="509"/>
      <c r="H39" s="542">
        <f>H38*基金结算中枢!J$19</f>
        <v>0</v>
      </c>
      <c r="I39" s="542">
        <f>I38*基金结算中枢!K$19</f>
        <v>0</v>
      </c>
      <c r="J39" s="542">
        <f>J38*基金结算中枢!L$19</f>
        <v>0</v>
      </c>
      <c r="K39" s="542">
        <f>K38*基金结算中枢!M$19</f>
        <v>0</v>
      </c>
      <c r="L39" s="542">
        <f>L38*基金结算中枢!N$19</f>
        <v>0</v>
      </c>
      <c r="M39" s="542">
        <f>M38*基金结算中枢!O$19</f>
        <v>0</v>
      </c>
      <c r="N39" s="542">
        <f>N38*基金结算中枢!P$19</f>
        <v>0</v>
      </c>
      <c r="O39" s="542">
        <f>O38*基金结算中枢!Q$19</f>
        <v>0</v>
      </c>
      <c r="P39" s="542">
        <f>P38*基金结算中枢!R$19</f>
        <v>0</v>
      </c>
      <c r="Q39" s="542">
        <f>Q38*基金结算中枢!S$19</f>
        <v>86772.94435592879</v>
      </c>
      <c r="R39" s="542" t="e">
        <f>R38*基金结算中枢!T$19</f>
        <v>#DIV/0!</v>
      </c>
      <c r="S39" s="542" t="e">
        <f>S38*基金结算中枢!U$19</f>
        <v>#DIV/0!</v>
      </c>
      <c r="T39" s="792" t="e">
        <f>T38*基金结算中枢!V$19</f>
        <v>#DIV/0!</v>
      </c>
      <c r="U39" s="542" t="e">
        <f>U38*基金结算中枢!W$19</f>
        <v>#DIV/0!</v>
      </c>
      <c r="V39" s="542" t="e">
        <f>V38*基金结算中枢!X$19</f>
        <v>#DIV/0!</v>
      </c>
      <c r="W39" s="542" t="e">
        <f>W38*基金结算中枢!Y$19</f>
        <v>#DIV/0!</v>
      </c>
      <c r="X39" s="542" t="e">
        <f>X38*基金结算中枢!Z$19</f>
        <v>#DIV/0!</v>
      </c>
      <c r="Y39" s="542" t="e">
        <f>Y38*基金结算中枢!AA$19</f>
        <v>#DIV/0!</v>
      </c>
      <c r="Z39" s="542" t="e">
        <f>Z38*基金结算中枢!AB$19</f>
        <v>#DIV/0!</v>
      </c>
      <c r="AA39" s="542" t="e">
        <f>AA38*基金结算中枢!AC$19</f>
        <v>#DIV/0!</v>
      </c>
      <c r="AB39" s="542" t="e">
        <f>AB38*基金结算中枢!AD$19</f>
        <v>#DIV/0!</v>
      </c>
      <c r="AC39" s="542" t="e">
        <f>AC38*基金结算中枢!AE$19</f>
        <v>#DIV/0!</v>
      </c>
      <c r="AD39" s="542" t="e">
        <f>AD38*基金结算中枢!AF$19</f>
        <v>#DIV/0!</v>
      </c>
      <c r="AE39" s="542" t="e">
        <f>AE38*基金结算中枢!AG$19</f>
        <v>#DIV/0!</v>
      </c>
      <c r="AF39" s="542" t="e">
        <f>AF38*基金结算中枢!AH$19</f>
        <v>#DIV/0!</v>
      </c>
      <c r="AG39" s="792" t="e">
        <f>AG38*基金结算中枢!AI$19</f>
        <v>#DIV/0!</v>
      </c>
    </row>
    <row r="40" spans="2:34" ht="17" customHeight="1" thickBot="1">
      <c r="B40" s="509"/>
      <c r="C40" s="577"/>
      <c r="D40" s="579" t="s">
        <v>310</v>
      </c>
      <c r="E40" s="511"/>
      <c r="F40" s="543">
        <f>LOOKUP(9E+307,H40:T40)</f>
        <v>8.6806239999999999</v>
      </c>
      <c r="G40" s="509"/>
      <c r="H40" s="543">
        <f t="shared" ref="H40" si="12">H36-H34</f>
        <v>0</v>
      </c>
      <c r="I40" s="522">
        <f>I36+I35-I34</f>
        <v>0</v>
      </c>
      <c r="J40" s="522">
        <f t="shared" ref="J40:AG40" si="13">J36+J35-J34</f>
        <v>0</v>
      </c>
      <c r="K40" s="522">
        <f t="shared" si="13"/>
        <v>0</v>
      </c>
      <c r="L40" s="522">
        <f t="shared" si="13"/>
        <v>0</v>
      </c>
      <c r="M40" s="522">
        <f t="shared" si="13"/>
        <v>0</v>
      </c>
      <c r="N40" s="522">
        <f t="shared" si="13"/>
        <v>0</v>
      </c>
      <c r="O40" s="522">
        <f t="shared" si="13"/>
        <v>0</v>
      </c>
      <c r="P40" s="522">
        <f t="shared" si="13"/>
        <v>0</v>
      </c>
      <c r="Q40" s="522">
        <f t="shared" si="13"/>
        <v>8.6806239999999999</v>
      </c>
      <c r="R40" s="522" t="e">
        <f t="shared" si="13"/>
        <v>#DIV/0!</v>
      </c>
      <c r="S40" s="522" t="e">
        <f t="shared" si="13"/>
        <v>#DIV/0!</v>
      </c>
      <c r="T40" s="550" t="e">
        <f t="shared" si="13"/>
        <v>#DIV/0!</v>
      </c>
      <c r="U40" s="543" t="e">
        <f t="shared" si="13"/>
        <v>#DIV/0!</v>
      </c>
      <c r="V40" s="522" t="e">
        <f t="shared" si="13"/>
        <v>#DIV/0!</v>
      </c>
      <c r="W40" s="522" t="e">
        <f t="shared" si="13"/>
        <v>#DIV/0!</v>
      </c>
      <c r="X40" s="522" t="e">
        <f t="shared" si="13"/>
        <v>#DIV/0!</v>
      </c>
      <c r="Y40" s="522" t="e">
        <f t="shared" si="13"/>
        <v>#DIV/0!</v>
      </c>
      <c r="Z40" s="522" t="e">
        <f t="shared" si="13"/>
        <v>#DIV/0!</v>
      </c>
      <c r="AA40" s="522" t="e">
        <f t="shared" si="13"/>
        <v>#DIV/0!</v>
      </c>
      <c r="AB40" s="522" t="e">
        <f t="shared" si="13"/>
        <v>#DIV/0!</v>
      </c>
      <c r="AC40" s="522" t="e">
        <f t="shared" si="13"/>
        <v>#DIV/0!</v>
      </c>
      <c r="AD40" s="522" t="e">
        <f t="shared" si="13"/>
        <v>#DIV/0!</v>
      </c>
      <c r="AE40" s="522" t="e">
        <f t="shared" si="13"/>
        <v>#DIV/0!</v>
      </c>
      <c r="AF40" s="522" t="e">
        <f t="shared" si="13"/>
        <v>#DIV/0!</v>
      </c>
      <c r="AG40" s="550" t="e">
        <f t="shared" si="13"/>
        <v>#DIV/0!</v>
      </c>
    </row>
    <row r="41" spans="2:34">
      <c r="B41" s="509"/>
      <c r="C41" s="509"/>
      <c r="D41" s="509"/>
      <c r="E41" s="509"/>
      <c r="F41" s="509"/>
      <c r="G41" s="509"/>
      <c r="H41" s="546"/>
      <c r="I41" s="524"/>
      <c r="J41" s="524"/>
      <c r="K41" s="524"/>
      <c r="L41" s="524"/>
      <c r="M41" s="524"/>
      <c r="N41" s="524"/>
      <c r="O41" s="524"/>
      <c r="P41" s="524"/>
      <c r="Q41" s="565"/>
      <c r="R41" s="524"/>
      <c r="S41" s="524"/>
      <c r="T41" s="524"/>
      <c r="U41" s="546"/>
      <c r="V41" s="524"/>
      <c r="W41" s="524"/>
      <c r="X41" s="524"/>
      <c r="Y41" s="524"/>
      <c r="Z41" s="524"/>
      <c r="AA41" s="524"/>
      <c r="AB41" s="524"/>
      <c r="AC41" s="524"/>
      <c r="AD41" s="524"/>
      <c r="AE41" s="524"/>
      <c r="AF41" s="524"/>
      <c r="AG41" s="524"/>
    </row>
    <row r="42" spans="2:34">
      <c r="Q42" s="565"/>
    </row>
    <row r="43" spans="2:34" ht="17" thickBot="1">
      <c r="B43" s="509"/>
      <c r="C43" s="509"/>
      <c r="D43" s="527"/>
      <c r="E43" s="509"/>
      <c r="F43" s="509"/>
      <c r="G43" s="509"/>
      <c r="H43" s="545"/>
      <c r="I43" s="509"/>
      <c r="J43" s="509"/>
      <c r="K43" s="509"/>
      <c r="L43" s="509"/>
      <c r="M43" s="509"/>
      <c r="N43" s="509"/>
      <c r="O43" s="509"/>
      <c r="P43" s="509"/>
      <c r="Q43" s="509"/>
      <c r="R43" s="509"/>
      <c r="S43" s="509"/>
      <c r="T43" s="509"/>
      <c r="U43" s="545"/>
      <c r="V43" s="509"/>
      <c r="W43" s="509"/>
      <c r="X43" s="509"/>
      <c r="Y43" s="509"/>
      <c r="Z43" s="509"/>
      <c r="AA43" s="509"/>
      <c r="AB43" s="509"/>
      <c r="AC43" s="509"/>
      <c r="AD43" s="509"/>
      <c r="AE43" s="509"/>
      <c r="AF43" s="509"/>
      <c r="AG43" s="509"/>
    </row>
    <row r="44" spans="2:34" customFormat="1" ht="16" customHeight="1">
      <c r="B44" s="187"/>
      <c r="C44" s="786" t="s">
        <v>312</v>
      </c>
      <c r="D44" s="502" t="s">
        <v>78</v>
      </c>
      <c r="E44" s="333"/>
      <c r="F44" s="330" t="s">
        <v>93</v>
      </c>
      <c r="G44" s="187"/>
      <c r="H44" s="540">
        <v>44374</v>
      </c>
      <c r="I44" s="540">
        <v>44381</v>
      </c>
      <c r="J44" s="503">
        <v>44388</v>
      </c>
      <c r="K44" s="540">
        <v>44395</v>
      </c>
      <c r="L44" s="503">
        <v>44402</v>
      </c>
      <c r="M44" s="540">
        <v>44409</v>
      </c>
      <c r="N44" s="503">
        <v>44416</v>
      </c>
      <c r="O44" s="540">
        <v>44423</v>
      </c>
      <c r="P44" s="503">
        <v>44430</v>
      </c>
      <c r="Q44" s="540">
        <v>44437</v>
      </c>
      <c r="R44" s="503">
        <v>44444</v>
      </c>
      <c r="S44" s="540">
        <v>44451</v>
      </c>
      <c r="T44" s="791">
        <v>44458</v>
      </c>
      <c r="U44" s="540">
        <v>44465</v>
      </c>
      <c r="V44" s="503">
        <v>44472</v>
      </c>
      <c r="W44" s="540">
        <v>44479</v>
      </c>
      <c r="X44" s="503">
        <v>44486</v>
      </c>
      <c r="Y44" s="540">
        <v>44493</v>
      </c>
      <c r="Z44" s="503">
        <v>44500</v>
      </c>
      <c r="AA44" s="540">
        <v>44507</v>
      </c>
      <c r="AB44" s="503">
        <v>44514</v>
      </c>
      <c r="AC44" s="540">
        <v>44521</v>
      </c>
      <c r="AD44" s="503">
        <v>44528</v>
      </c>
      <c r="AE44" s="540">
        <v>44535</v>
      </c>
      <c r="AF44" s="503">
        <v>44542</v>
      </c>
      <c r="AG44" s="795">
        <v>44549</v>
      </c>
      <c r="AH44" s="486"/>
    </row>
    <row r="45" spans="2:34" s="518" customFormat="1" ht="16" customHeight="1">
      <c r="B45" s="514"/>
      <c r="C45" s="573"/>
      <c r="D45" s="510" t="s">
        <v>94</v>
      </c>
      <c r="E45" s="511"/>
      <c r="F45" s="512" t="s">
        <v>284</v>
      </c>
      <c r="G45" s="509"/>
      <c r="H45" s="541" t="str">
        <f>$F45</f>
        <v>李四</v>
      </c>
      <c r="I45" s="517" t="str">
        <f t="shared" ref="I45:AG46" si="14">$F45</f>
        <v>李四</v>
      </c>
      <c r="J45" s="517" t="str">
        <f t="shared" si="14"/>
        <v>李四</v>
      </c>
      <c r="K45" s="517" t="str">
        <f t="shared" si="14"/>
        <v>李四</v>
      </c>
      <c r="L45" s="517" t="str">
        <f t="shared" si="14"/>
        <v>李四</v>
      </c>
      <c r="M45" s="517" t="str">
        <f t="shared" si="14"/>
        <v>李四</v>
      </c>
      <c r="N45" s="517" t="str">
        <f t="shared" si="14"/>
        <v>李四</v>
      </c>
      <c r="O45" s="517" t="str">
        <f t="shared" si="14"/>
        <v>李四</v>
      </c>
      <c r="P45" s="517" t="str">
        <f t="shared" si="14"/>
        <v>李四</v>
      </c>
      <c r="Q45" s="517" t="str">
        <f t="shared" si="14"/>
        <v>李四</v>
      </c>
      <c r="R45" s="517" t="str">
        <f t="shared" si="14"/>
        <v>李四</v>
      </c>
      <c r="S45" s="517" t="str">
        <f t="shared" si="14"/>
        <v>李四</v>
      </c>
      <c r="T45" s="548" t="str">
        <f t="shared" si="14"/>
        <v>李四</v>
      </c>
      <c r="U45" s="541" t="str">
        <f t="shared" si="14"/>
        <v>李四</v>
      </c>
      <c r="V45" s="517" t="str">
        <f t="shared" si="14"/>
        <v>李四</v>
      </c>
      <c r="W45" s="517" t="str">
        <f t="shared" si="14"/>
        <v>李四</v>
      </c>
      <c r="X45" s="517" t="str">
        <f t="shared" si="14"/>
        <v>李四</v>
      </c>
      <c r="Y45" s="517" t="str">
        <f t="shared" si="14"/>
        <v>李四</v>
      </c>
      <c r="Z45" s="517" t="str">
        <f t="shared" si="14"/>
        <v>李四</v>
      </c>
      <c r="AA45" s="517" t="str">
        <f t="shared" si="14"/>
        <v>李四</v>
      </c>
      <c r="AB45" s="517" t="str">
        <f t="shared" si="14"/>
        <v>李四</v>
      </c>
      <c r="AC45" s="517" t="str">
        <f t="shared" si="14"/>
        <v>李四</v>
      </c>
      <c r="AD45" s="517" t="str">
        <f t="shared" si="14"/>
        <v>李四</v>
      </c>
      <c r="AE45" s="517" t="str">
        <f t="shared" si="14"/>
        <v>李四</v>
      </c>
      <c r="AF45" s="517" t="str">
        <f t="shared" si="14"/>
        <v>李四</v>
      </c>
      <c r="AG45" s="548" t="str">
        <f t="shared" si="14"/>
        <v>李四</v>
      </c>
      <c r="AH45" s="538"/>
    </row>
    <row r="46" spans="2:34" s="518" customFormat="1" ht="16" customHeight="1">
      <c r="B46" s="514"/>
      <c r="C46" s="573"/>
      <c r="D46" s="574" t="s">
        <v>326</v>
      </c>
      <c r="E46" s="516"/>
      <c r="F46" s="575" t="s">
        <v>327</v>
      </c>
      <c r="G46" s="509"/>
      <c r="H46" s="790" t="str">
        <f>$F46</f>
        <v>111111111</v>
      </c>
      <c r="I46" s="575" t="str">
        <f t="shared" si="14"/>
        <v>111111111</v>
      </c>
      <c r="J46" s="575" t="str">
        <f t="shared" si="14"/>
        <v>111111111</v>
      </c>
      <c r="K46" s="575" t="str">
        <f t="shared" si="14"/>
        <v>111111111</v>
      </c>
      <c r="L46" s="575" t="str">
        <f t="shared" si="14"/>
        <v>111111111</v>
      </c>
      <c r="M46" s="575" t="str">
        <f t="shared" si="14"/>
        <v>111111111</v>
      </c>
      <c r="N46" s="575" t="str">
        <f t="shared" si="14"/>
        <v>111111111</v>
      </c>
      <c r="O46" s="575" t="str">
        <f t="shared" si="14"/>
        <v>111111111</v>
      </c>
      <c r="P46" s="575" t="str">
        <f t="shared" si="14"/>
        <v>111111111</v>
      </c>
      <c r="Q46" s="575" t="str">
        <f t="shared" si="14"/>
        <v>111111111</v>
      </c>
      <c r="R46" s="575" t="str">
        <f t="shared" si="14"/>
        <v>111111111</v>
      </c>
      <c r="S46" s="575" t="str">
        <f t="shared" si="14"/>
        <v>111111111</v>
      </c>
      <c r="T46" s="575" t="str">
        <f t="shared" si="14"/>
        <v>111111111</v>
      </c>
      <c r="U46" s="790" t="str">
        <f t="shared" si="14"/>
        <v>111111111</v>
      </c>
      <c r="V46" s="575" t="str">
        <f t="shared" si="14"/>
        <v>111111111</v>
      </c>
      <c r="W46" s="575" t="str">
        <f t="shared" si="14"/>
        <v>111111111</v>
      </c>
      <c r="X46" s="575" t="str">
        <f t="shared" si="14"/>
        <v>111111111</v>
      </c>
      <c r="Y46" s="575" t="str">
        <f t="shared" si="14"/>
        <v>111111111</v>
      </c>
      <c r="Z46" s="575" t="str">
        <f t="shared" si="14"/>
        <v>111111111</v>
      </c>
      <c r="AA46" s="575" t="str">
        <f t="shared" si="14"/>
        <v>111111111</v>
      </c>
      <c r="AB46" s="575" t="str">
        <f t="shared" si="14"/>
        <v>111111111</v>
      </c>
      <c r="AC46" s="575" t="str">
        <f t="shared" si="14"/>
        <v>111111111</v>
      </c>
      <c r="AD46" s="575" t="str">
        <f t="shared" si="14"/>
        <v>111111111</v>
      </c>
      <c r="AE46" s="575" t="str">
        <f t="shared" si="14"/>
        <v>111111111</v>
      </c>
      <c r="AF46" s="575" t="str">
        <f t="shared" si="14"/>
        <v>111111111</v>
      </c>
      <c r="AG46" s="575" t="str">
        <f t="shared" si="14"/>
        <v>111111111</v>
      </c>
      <c r="AH46" s="538"/>
    </row>
    <row r="47" spans="2:34" s="534" customFormat="1" ht="16" customHeight="1">
      <c r="B47" s="531"/>
      <c r="C47" s="573"/>
      <c r="D47" s="532" t="s">
        <v>291</v>
      </c>
      <c r="E47" s="533"/>
      <c r="F47" s="556">
        <f t="shared" ref="F47:F53" si="15">LOOKUP(9E+307,H47:T47)</f>
        <v>0</v>
      </c>
      <c r="G47" s="576"/>
      <c r="H47" s="556">
        <v>0</v>
      </c>
      <c r="I47" s="556">
        <v>0</v>
      </c>
      <c r="J47" s="556">
        <v>0</v>
      </c>
      <c r="K47" s="556">
        <v>0</v>
      </c>
      <c r="L47" s="556">
        <v>0</v>
      </c>
      <c r="M47" s="556">
        <v>0</v>
      </c>
      <c r="N47" s="556">
        <v>0</v>
      </c>
      <c r="O47" s="556">
        <v>0</v>
      </c>
      <c r="P47" s="556">
        <v>0</v>
      </c>
      <c r="Q47" s="556">
        <v>0</v>
      </c>
      <c r="R47" s="557"/>
      <c r="S47" s="557"/>
      <c r="T47" s="558"/>
      <c r="U47" s="556"/>
      <c r="V47" s="557"/>
      <c r="W47" s="557"/>
      <c r="X47" s="557"/>
      <c r="Y47" s="557"/>
      <c r="Z47" s="557"/>
      <c r="AA47" s="557"/>
      <c r="AB47" s="557"/>
      <c r="AC47" s="557"/>
      <c r="AD47" s="557"/>
      <c r="AE47" s="557"/>
      <c r="AF47" s="557"/>
      <c r="AG47" s="558"/>
      <c r="AH47" s="551"/>
    </row>
    <row r="48" spans="2:34" s="518" customFormat="1" ht="17" customHeight="1">
      <c r="B48" s="514"/>
      <c r="C48" s="573"/>
      <c r="D48" s="520" t="s">
        <v>290</v>
      </c>
      <c r="E48" s="516"/>
      <c r="F48" s="553">
        <f t="shared" si="15"/>
        <v>0</v>
      </c>
      <c r="G48" s="509"/>
      <c r="H48" s="553">
        <v>0</v>
      </c>
      <c r="I48" s="553">
        <v>0</v>
      </c>
      <c r="J48" s="553">
        <v>0</v>
      </c>
      <c r="K48" s="553">
        <v>0</v>
      </c>
      <c r="L48" s="553">
        <v>0</v>
      </c>
      <c r="M48" s="553">
        <v>0</v>
      </c>
      <c r="N48" s="553">
        <v>0</v>
      </c>
      <c r="O48" s="553">
        <v>0</v>
      </c>
      <c r="P48" s="553">
        <v>0</v>
      </c>
      <c r="Q48" s="553">
        <v>0</v>
      </c>
      <c r="R48" s="554"/>
      <c r="S48" s="554"/>
      <c r="T48" s="555"/>
      <c r="U48" s="553"/>
      <c r="V48" s="554"/>
      <c r="W48" s="554"/>
      <c r="X48" s="554"/>
      <c r="Y48" s="554"/>
      <c r="Z48" s="554"/>
      <c r="AA48" s="554"/>
      <c r="AB48" s="554"/>
      <c r="AC48" s="554"/>
      <c r="AD48" s="554"/>
      <c r="AE48" s="554"/>
      <c r="AF48" s="554"/>
      <c r="AG48" s="555"/>
      <c r="AH48" s="538"/>
    </row>
    <row r="49" spans="2:34" s="518" customFormat="1" ht="16" customHeight="1">
      <c r="B49" s="514"/>
      <c r="C49" s="573"/>
      <c r="D49" s="519" t="s">
        <v>289</v>
      </c>
      <c r="E49" s="516"/>
      <c r="F49" s="543">
        <f t="shared" si="15"/>
        <v>0</v>
      </c>
      <c r="G49" s="509"/>
      <c r="H49" s="543">
        <f>(H47-_xlfn.IFS(H47&lt;160000,H47*基金费率!$H$17,
AND(H47&lt;800000,H47&gt;=160000),H47*基金费率!$H$18,
AND(H47&lt;1600000,H47&gt;=800000),H47*基金费率!$H$19,
H47&gt;=1600000,基金费率!$H$20))/基金结算中枢!S$11</f>
        <v>0</v>
      </c>
      <c r="I49" s="543">
        <f>(I47-_xlfn.IFS(I47&lt;160000,I47*基金费率!$H$17,
AND(I47&lt;800000,I47&gt;=160000),I47*基金费率!$H$18,
AND(I47&lt;1600000,I47&gt;=800000),I47*基金费率!$H$19,
I47&gt;=1600000,基金费率!$H$20))/基金结算中枢!K$11</f>
        <v>0</v>
      </c>
      <c r="J49" s="543">
        <f>(J47-_xlfn.IFS(J47&lt;160000,J47*基金费率!$H$17,
AND(J47&lt;800000,J47&gt;=160000),J47*基金费率!$H$18,
AND(J47&lt;1600000,J47&gt;=800000),J47*基金费率!$H$19,
J47&gt;=1600000,基金费率!$H$20))/基金结算中枢!L$11</f>
        <v>0</v>
      </c>
      <c r="K49" s="543">
        <f>(K47-_xlfn.IFS(K47&lt;160000,K47*基金费率!$H$17,
AND(K47&lt;800000,K47&gt;=160000),K47*基金费率!$H$18,
AND(K47&lt;1600000,K47&gt;=800000),K47*基金费率!$H$19,
K47&gt;=1600000,基金费率!$H$20))/基金结算中枢!M$11</f>
        <v>0</v>
      </c>
      <c r="L49" s="543">
        <f>(L47-_xlfn.IFS(L47&lt;160000,L47*基金费率!$H$17,
AND(L47&lt;800000,L47&gt;=160000),L47*基金费率!$H$18,
AND(L47&lt;1600000,L47&gt;=800000),L47*基金费率!$H$19,
L47&gt;=1600000,基金费率!$H$20))/基金结算中枢!N$11</f>
        <v>0</v>
      </c>
      <c r="M49" s="543">
        <f>(M47-_xlfn.IFS(M47&lt;160000,M47*基金费率!$H$17,
AND(M47&lt;800000,M47&gt;=160000),M47*基金费率!$H$18,
AND(M47&lt;1600000,M47&gt;=800000),M47*基金费率!$H$19,
M47&gt;=1600000,基金费率!$H$20))/基金结算中枢!O$11</f>
        <v>0</v>
      </c>
      <c r="N49" s="543">
        <f>(N47-_xlfn.IFS(N47&lt;160000,N47*基金费率!$H$17,
AND(N47&lt;800000,N47&gt;=160000),N47*基金费率!$H$18,
AND(N47&lt;1600000,N47&gt;=800000),N47*基金费率!$H$19,
N47&gt;=1600000,基金费率!$H$20))/基金结算中枢!P$11</f>
        <v>0</v>
      </c>
      <c r="O49" s="543">
        <f>(O47-_xlfn.IFS(O47&lt;160000,O47*基金费率!$H$17,
AND(O47&lt;800000,O47&gt;=160000),O47*基金费率!$H$18,
AND(O47&lt;1600000,O47&gt;=800000),O47*基金费率!$H$19,
O47&gt;=1600000,基金费率!$H$20))/基金结算中枢!Q$11</f>
        <v>0</v>
      </c>
      <c r="P49" s="543">
        <f>(P47-_xlfn.IFS(P47&lt;160000,P47*基金费率!$H$17,
AND(P47&lt;800000,P47&gt;=160000),P47*基金费率!$H$18,
AND(P47&lt;1600000,P47&gt;=800000),P47*基金费率!$H$19,
P47&gt;=1600000,基金费率!$H$20))/基金结算中枢!R$11</f>
        <v>0</v>
      </c>
      <c r="Q49" s="543">
        <f>(Q47-_xlfn.IFS(Q47&lt;160000,Q47*基金费率!$H$17,
AND(Q47&lt;800000,Q47&gt;=160000),Q47*基金费率!$H$18,
AND(Q47&lt;1600000,Q47&gt;=800000),Q47*基金费率!$H$19,
Q47&gt;=1600000,基金费率!$H$20))/基金结算中枢!S$11</f>
        <v>0</v>
      </c>
      <c r="R49" s="543" t="e">
        <f>(R47-_xlfn.IFS(R47&lt;160000,R47*基金费率!$H$17,
AND(R47&lt;800000,R47&gt;=160000),R47*基金费率!$H$18,
AND(R47&lt;1600000,R47&gt;=800000),R47*基金费率!$H$19,
R47&gt;=1600000,基金费率!$H$20))/基金结算中枢!T$11</f>
        <v>#DIV/0!</v>
      </c>
      <c r="S49" s="543" t="e">
        <f>(S47-_xlfn.IFS(S47&lt;160000,S47*基金费率!$H$17,
AND(S47&lt;800000,S47&gt;=160000),S47*基金费率!$H$18,
AND(S47&lt;1600000,S47&gt;=800000),S47*基金费率!$H$19,
S47&gt;=1600000,基金费率!$H$20))/基金结算中枢!U$11</f>
        <v>#DIV/0!</v>
      </c>
      <c r="T49" s="793" t="e">
        <f>(T47-_xlfn.IFS(T47&lt;160000,T47*基金费率!$H$17,
AND(T47&lt;800000,T47&gt;=160000),T47*基金费率!$H$18,
AND(T47&lt;1600000,T47&gt;=800000),T47*基金费率!$H$19,
T47&gt;=1600000,基金费率!$H$20))/基金结算中枢!V$11</f>
        <v>#DIV/0!</v>
      </c>
      <c r="U49" s="543" t="e">
        <f>(U47-_xlfn.IFS(U47&lt;160000,U47*基金费率!$H$17,
AND(U47&lt;800000,U47&gt;=160000),U47*基金费率!$H$18,
AND(U47&lt;1600000,U47&gt;=800000),U47*基金费率!$H$19,
U47&gt;=1600000,基金费率!$H$20))/基金结算中枢!W$11</f>
        <v>#DIV/0!</v>
      </c>
      <c r="V49" s="543" t="e">
        <f>(V47-_xlfn.IFS(V47&lt;160000,V47*基金费率!$H$17,
AND(V47&lt;800000,V47&gt;=160000),V47*基金费率!$H$18,
AND(V47&lt;1600000,V47&gt;=800000),V47*基金费率!$H$19,
V47&gt;=1600000,基金费率!$H$20))/基金结算中枢!X$11</f>
        <v>#DIV/0!</v>
      </c>
      <c r="W49" s="543" t="e">
        <f>(W47-_xlfn.IFS(W47&lt;160000,W47*基金费率!$H$17,
AND(W47&lt;800000,W47&gt;=160000),W47*基金费率!$H$18,
AND(W47&lt;1600000,W47&gt;=800000),W47*基金费率!$H$19,
W47&gt;=1600000,基金费率!$H$20))/基金结算中枢!Y$11</f>
        <v>#DIV/0!</v>
      </c>
      <c r="X49" s="543" t="e">
        <f>(X47-_xlfn.IFS(X47&lt;160000,X47*基金费率!$H$17,
AND(X47&lt;800000,X47&gt;=160000),X47*基金费率!$H$18,
AND(X47&lt;1600000,X47&gt;=800000),X47*基金费率!$H$19,
X47&gt;=1600000,基金费率!$H$20))/基金结算中枢!Z$11</f>
        <v>#DIV/0!</v>
      </c>
      <c r="Y49" s="543" t="e">
        <f>(Y47-_xlfn.IFS(Y47&lt;160000,Y47*基金费率!$H$17,
AND(Y47&lt;800000,Y47&gt;=160000),Y47*基金费率!$H$18,
AND(Y47&lt;1600000,Y47&gt;=800000),Y47*基金费率!$H$19,
Y47&gt;=1600000,基金费率!$H$20))/基金结算中枢!AA$11</f>
        <v>#DIV/0!</v>
      </c>
      <c r="Z49" s="543" t="e">
        <f>(Z47-_xlfn.IFS(Z47&lt;160000,Z47*基金费率!$H$17,
AND(Z47&lt;800000,Z47&gt;=160000),Z47*基金费率!$H$18,
AND(Z47&lt;1600000,Z47&gt;=800000),Z47*基金费率!$H$19,
Z47&gt;=1600000,基金费率!$H$20))/基金结算中枢!AB$11</f>
        <v>#DIV/0!</v>
      </c>
      <c r="AA49" s="543" t="e">
        <f>(AA47-_xlfn.IFS(AA47&lt;160000,AA47*基金费率!$H$17,
AND(AA47&lt;800000,AA47&gt;=160000),AA47*基金费率!$H$18,
AND(AA47&lt;1600000,AA47&gt;=800000),AA47*基金费率!$H$19,
AA47&gt;=1600000,基金费率!$H$20))/基金结算中枢!AC$11</f>
        <v>#DIV/0!</v>
      </c>
      <c r="AB49" s="543" t="e">
        <f>(AB47-_xlfn.IFS(AB47&lt;160000,AB47*基金费率!$H$17,
AND(AB47&lt;800000,AB47&gt;=160000),AB47*基金费率!$H$18,
AND(AB47&lt;1600000,AB47&gt;=800000),AB47*基金费率!$H$19,
AB47&gt;=1600000,基金费率!$H$20))/基金结算中枢!AD$11</f>
        <v>#DIV/0!</v>
      </c>
      <c r="AC49" s="543" t="e">
        <f>(AC47-_xlfn.IFS(AC47&lt;160000,AC47*基金费率!$H$17,
AND(AC47&lt;800000,AC47&gt;=160000),AC47*基金费率!$H$18,
AND(AC47&lt;1600000,AC47&gt;=800000),AC47*基金费率!$H$19,
AC47&gt;=1600000,基金费率!$H$20))/基金结算中枢!AE$11</f>
        <v>#DIV/0!</v>
      </c>
      <c r="AD49" s="543" t="e">
        <f>(AD47-_xlfn.IFS(AD47&lt;160000,AD47*基金费率!$H$17,
AND(AD47&lt;800000,AD47&gt;=160000),AD47*基金费率!$H$18,
AND(AD47&lt;1600000,AD47&gt;=800000),AD47*基金费率!$H$19,
AD47&gt;=1600000,基金费率!$H$20))/基金结算中枢!AF$11</f>
        <v>#DIV/0!</v>
      </c>
      <c r="AE49" s="543" t="e">
        <f>(AE47-_xlfn.IFS(AE47&lt;160000,AE47*基金费率!$H$17,
AND(AE47&lt;800000,AE47&gt;=160000),AE47*基金费率!$H$18,
AND(AE47&lt;1600000,AE47&gt;=800000),AE47*基金费率!$H$19,
AE47&gt;=1600000,基金费率!$H$20))/基金结算中枢!AG$11</f>
        <v>#DIV/0!</v>
      </c>
      <c r="AF49" s="543" t="e">
        <f>(AF47-_xlfn.IFS(AF47&lt;160000,AF47*基金费率!$H$17,
AND(AF47&lt;800000,AF47&gt;=160000),AF47*基金费率!$H$18,
AND(AF47&lt;1600000,AF47&gt;=800000),AF47*基金费率!$H$19,
AF47&gt;=1600000,基金费率!$H$20))/基金结算中枢!AH$11</f>
        <v>#DIV/0!</v>
      </c>
      <c r="AG49" s="793" t="e">
        <f>(AG47-_xlfn.IFS(AG47&lt;160000,AG47*基金费率!$H$17,
AND(AG47&lt;800000,AG47&gt;=160000),AG47*基金费率!$H$18,
AND(AG47&lt;1600000,AG47&gt;=800000),AG47*基金费率!$H$19,
AG47&gt;=1600000,基金费率!$H$20))/基金结算中枢!AI$11</f>
        <v>#DIV/0!</v>
      </c>
      <c r="AH49" s="538"/>
    </row>
    <row r="50" spans="2:34" s="518" customFormat="1" ht="16" customHeight="1">
      <c r="B50" s="514"/>
      <c r="C50" s="573"/>
      <c r="D50" s="519" t="s">
        <v>288</v>
      </c>
      <c r="E50" s="516"/>
      <c r="F50" s="543">
        <f t="shared" si="15"/>
        <v>0</v>
      </c>
      <c r="G50" s="509"/>
      <c r="H50" s="543">
        <v>0</v>
      </c>
      <c r="I50" s="522">
        <f t="array" ref="I50">I48-I48*_xlfn.IFS(
MAX(MIN(COLUMN(I48)-(MAX(IF($H51:I51&lt;I48,COLUMN($H51:I51)))+1),COLUMN(I48)-(COLUMN($H51))),0)&lt;=52,基金费率!$H$25,
AND(MAX(MIN(COLUMN(I48)-(MAX(IF($H51:I51&lt;I48,COLUMN($H51:I51)))+1),COLUMN(I48)-(COLUMN($H51))),0)&gt;52,
MAX(MIN(COLUMN(I48)-(MAX(IF($H51:I51&lt;I48,COLUMN($H51:I51)))+1),COLUMN(I48)-(COLUMN($H51))),0)&lt;=104),基金费率!$H$26,
MAX(MIN(COLUMN(I48)-(MAX(IF($H51:I51&lt;I48,COLUMN($H51:I51)))+1),COLUMN(I48)-(COLUMN($H51))),0)&gt;104,基金费率!$H$27)</f>
        <v>0</v>
      </c>
      <c r="J50" s="522">
        <f t="array" ref="J50">J48-J48*_xlfn.IFS(
MAX(MIN(COLUMN(J48)-(MAX(IF($H51:J51&lt;J48,COLUMN($H51:J51)))+1),COLUMN(J48)-(COLUMN($H51))),0)&lt;=52,基金费率!$H$25,
AND(MAX(MIN(COLUMN(J48)-(MAX(IF($H51:J51&lt;J48,COLUMN($H51:J51)))+1),COLUMN(J48)-(COLUMN($H51))),0)&gt;52,
MAX(MIN(COLUMN(J48)-(MAX(IF($H51:J51&lt;J48,COLUMN($H51:J51)))+1),COLUMN(J48)-(COLUMN($H51))),0)&lt;=104),基金费率!$H$26,
MAX(MIN(COLUMN(J48)-(MAX(IF($H51:J51&lt;J48,COLUMN($H51:J51)))+1),COLUMN(J48)-(COLUMN($H51))),0)&gt;104,基金费率!$H$27)</f>
        <v>0</v>
      </c>
      <c r="K50" s="522">
        <f t="array" ref="K50">K48-K48*_xlfn.IFS(
MAX(MIN(COLUMN(K48)-(MAX(IF($H51:K51&lt;K48,COLUMN($H51:K51)))+1),COLUMN(K48)-(COLUMN($H51))),0)&lt;=52,基金费率!$H$25,
AND(MAX(MIN(COLUMN(K48)-(MAX(IF($H51:K51&lt;K48,COLUMN($H51:K51)))+1),COLUMN(K48)-(COLUMN($H51))),0)&gt;52,
MAX(MIN(COLUMN(K48)-(MAX(IF($H51:K51&lt;K48,COLUMN($H51:K51)))+1),COLUMN(K48)-(COLUMN($H51))),0)&lt;=104),基金费率!$H$26,
MAX(MIN(COLUMN(K48)-(MAX(IF($H51:K51&lt;K48,COLUMN($H51:K51)))+1),COLUMN(K48)-(COLUMN($H51))),0)&gt;104,基金费率!$H$27)</f>
        <v>0</v>
      </c>
      <c r="L50" s="522">
        <f t="array" ref="L50">L48-L48*_xlfn.IFS(
MAX(MIN(COLUMN(L48)-(MAX(IF($H51:L51&lt;L48,COLUMN($H51:L51)))+1),COLUMN(L48)-(COLUMN($H51))),0)&lt;=52,基金费率!$H$25,
AND(MAX(MIN(COLUMN(L48)-(MAX(IF($H51:L51&lt;L48,COLUMN($H51:L51)))+1),COLUMN(L48)-(COLUMN($H51))),0)&gt;52,
MAX(MIN(COLUMN(L48)-(MAX(IF($H51:L51&lt;L48,COLUMN($H51:L51)))+1),COLUMN(L48)-(COLUMN($H51))),0)&lt;=104),基金费率!$H$26,
MAX(MIN(COLUMN(L48)-(MAX(IF($H51:L51&lt;L48,COLUMN($H51:L51)))+1),COLUMN(L48)-(COLUMN($H51))),0)&gt;104,基金费率!$H$27)</f>
        <v>0</v>
      </c>
      <c r="M50" s="522">
        <f t="array" ref="M50">M48-M48*_xlfn.IFS(
MAX(MIN(COLUMN(M48)-(MAX(IF($H51:M51&lt;M48,COLUMN($H51:M51)))+1),COLUMN(M48)-(COLUMN($H51))),0)&lt;=52,基金费率!$H$25,
AND(MAX(MIN(COLUMN(M48)-(MAX(IF($H51:M51&lt;M48,COLUMN($H51:M51)))+1),COLUMN(M48)-(COLUMN($H51))),0)&gt;52,
MAX(MIN(COLUMN(M48)-(MAX(IF($H51:M51&lt;M48,COLUMN($H51:M51)))+1),COLUMN(M48)-(COLUMN($H51))),0)&lt;=104),基金费率!$H$26,
MAX(MIN(COLUMN(M48)-(MAX(IF($H51:M51&lt;M48,COLUMN($H51:M51)))+1),COLUMN(M48)-(COLUMN($H51))),0)&gt;104,基金费率!$H$27)</f>
        <v>0</v>
      </c>
      <c r="N50" s="522">
        <f t="array" ref="N50">N48-N48*_xlfn.IFS(
MAX(MIN(COLUMN(N48)-(MAX(IF($H51:N51&lt;N48,COLUMN($H51:N51)))+1),COLUMN(N48)-(COLUMN($H51))),0)&lt;=52,基金费率!$H$25,
AND(MAX(MIN(COLUMN(N48)-(MAX(IF($H51:N51&lt;N48,COLUMN($H51:N51)))+1),COLUMN(N48)-(COLUMN($H51))),0)&gt;52,
MAX(MIN(COLUMN(N48)-(MAX(IF($H51:N51&lt;N48,COLUMN($H51:N51)))+1),COLUMN(N48)-(COLUMN($H51))),0)&lt;=104),基金费率!$H$26,
MAX(MIN(COLUMN(N48)-(MAX(IF($H51:N51&lt;N48,COLUMN($H51:N51)))+1),COLUMN(N48)-(COLUMN($H51))),0)&gt;104,基金费率!$H$27)</f>
        <v>0</v>
      </c>
      <c r="O50" s="522">
        <f t="array" ref="O50">O48-O48*_xlfn.IFS(
MAX(MIN(COLUMN(O48)-(MAX(IF($H51:O51&lt;O48,COLUMN($H51:O51)))+1),COLUMN(O48)-(COLUMN($H51))),0)&lt;=52,基金费率!$H$25,
AND(MAX(MIN(COLUMN(O48)-(MAX(IF($H51:O51&lt;O48,COLUMN($H51:O51)))+1),COLUMN(O48)-(COLUMN($H51))),0)&gt;52,
MAX(MIN(COLUMN(O48)-(MAX(IF($H51:O51&lt;O48,COLUMN($H51:O51)))+1),COLUMN(O48)-(COLUMN($H51))),0)&lt;=104),基金费率!$H$26,
MAX(MIN(COLUMN(O48)-(MAX(IF($H51:O51&lt;O48,COLUMN($H51:O51)))+1),COLUMN(O48)-(COLUMN($H51))),0)&gt;104,基金费率!$H$27)</f>
        <v>0</v>
      </c>
      <c r="P50" s="522">
        <f t="array" ref="P50">P48-P48*_xlfn.IFS(
MAX(MIN(COLUMN(P48)-(MAX(IF($H51:P51&lt;P48,COLUMN($H51:P51)))+1),COLUMN(P48)-(COLUMN($H51))),0)&lt;=52,基金费率!$H$25,
AND(MAX(MIN(COLUMN(P48)-(MAX(IF($H51:P51&lt;P48,COLUMN($H51:P51)))+1),COLUMN(P48)-(COLUMN($H51))),0)&gt;52,
MAX(MIN(COLUMN(P48)-(MAX(IF($H51:P51&lt;P48,COLUMN($H51:P51)))+1),COLUMN(P48)-(COLUMN($H51))),0)&lt;=104),基金费率!$H$26,
MAX(MIN(COLUMN(P48)-(MAX(IF($H51:P51&lt;P48,COLUMN($H51:P51)))+1),COLUMN(P48)-(COLUMN($H51))),0)&gt;104,基金费率!$H$27)</f>
        <v>0</v>
      </c>
      <c r="Q50" s="522">
        <f t="array" ref="Q50">Q48-Q48*_xlfn.IFS(
MAX(MIN(COLUMN(Q48)-(MAX(IF($H51:Q51&lt;Q48,COLUMN($H51:Q51)))+1),COLUMN(Q48)-(COLUMN($H51))),0)&lt;=52,基金费率!$H$25,
AND(MAX(MIN(COLUMN(Q48)-(MAX(IF($H51:Q51&lt;Q48,COLUMN($H51:Q51)))+1),COLUMN(Q48)-(COLUMN($H51))),0)&gt;52,
MAX(MIN(COLUMN(Q48)-(MAX(IF($H51:Q51&lt;Q48,COLUMN($H51:Q51)))+1),COLUMN(Q48)-(COLUMN($H51))),0)&lt;=104),基金费率!$H$26,
MAX(MIN(COLUMN(Q48)-(MAX(IF($H51:Q51&lt;Q48,COLUMN($H51:Q51)))+1),COLUMN(Q48)-(COLUMN($H51))),0)&gt;104,基金费率!$H$27)</f>
        <v>0</v>
      </c>
      <c r="R50" s="522" t="e">
        <f t="array" ref="R50">R48-R48*_xlfn.IFS(
MAX(MIN(COLUMN(R48)-(MAX(IF($H51:R51&lt;R48,COLUMN($H51:R51)))+1),COLUMN(R48)-(COLUMN($H51))),0)&lt;=52,基金费率!$H$25,
AND(MAX(MIN(COLUMN(R48)-(MAX(IF($H51:R51&lt;R48,COLUMN($H51:R51)))+1),COLUMN(R48)-(COLUMN($H51))),0)&gt;52,
MAX(MIN(COLUMN(R48)-(MAX(IF($H51:R51&lt;R48,COLUMN($H51:R51)))+1),COLUMN(R48)-(COLUMN($H51))),0)&lt;=104),基金费率!$H$26,
MAX(MIN(COLUMN(R48)-(MAX(IF($H51:R51&lt;R48,COLUMN($H51:R51)))+1),COLUMN(R48)-(COLUMN($H51))),0)&gt;104,基金费率!$H$27)</f>
        <v>#DIV/0!</v>
      </c>
      <c r="S50" s="522" t="e">
        <f t="array" ref="S50">S48-S48*_xlfn.IFS(
MAX(MIN(COLUMN(S48)-(MAX(IF($H51:S51&lt;S48,COLUMN($H51:S51)))+1),COLUMN(S48)-(COLUMN($H51))),0)&lt;=52,基金费率!$H$25,
AND(MAX(MIN(COLUMN(S48)-(MAX(IF($H51:S51&lt;S48,COLUMN($H51:S51)))+1),COLUMN(S48)-(COLUMN($H51))),0)&gt;52,
MAX(MIN(COLUMN(S48)-(MAX(IF($H51:S51&lt;S48,COLUMN($H51:S51)))+1),COLUMN(S48)-(COLUMN($H51))),0)&lt;=104),基金费率!$H$26,
MAX(MIN(COLUMN(S48)-(MAX(IF($H51:S51&lt;S48,COLUMN($H51:S51)))+1),COLUMN(S48)-(COLUMN($H51))),0)&gt;104,基金费率!$H$27)</f>
        <v>#DIV/0!</v>
      </c>
      <c r="T50" s="550" t="e">
        <f t="array" ref="T50">T48-T48*_xlfn.IFS(
MAX(MIN(COLUMN(T48)-(MAX(IF($H51:T51&lt;T48,COLUMN($H51:T51)))+1),COLUMN(T48)-(COLUMN($H51))),0)&lt;=52,基金费率!$H$25,
AND(MAX(MIN(COLUMN(T48)-(MAX(IF($H51:T51&lt;T48,COLUMN($H51:T51)))+1),COLUMN(T48)-(COLUMN($H51))),0)&gt;52,
MAX(MIN(COLUMN(T48)-(MAX(IF($H51:T51&lt;T48,COLUMN($H51:T51)))+1),COLUMN(T48)-(COLUMN($H51))),0)&lt;=104),基金费率!$H$26,
MAX(MIN(COLUMN(T48)-(MAX(IF($H51:T51&lt;T48,COLUMN($H51:T51)))+1),COLUMN(T48)-(COLUMN($H51))),0)&gt;104,基金费率!$H$27)</f>
        <v>#DIV/0!</v>
      </c>
      <c r="U50" s="543" t="e">
        <f t="array" ref="U50">U48-U48*_xlfn.IFS(
MAX(MIN(COLUMN(U48)-(MAX(IF($H51:U51&lt;U48,COLUMN($H51:U51)))+1),COLUMN(U48)-(COLUMN($H51))),0)&lt;=52,基金费率!$H$25,
AND(MAX(MIN(COLUMN(U48)-(MAX(IF($H51:U51&lt;U48,COLUMN($H51:U51)))+1),COLUMN(U48)-(COLUMN($H51))),0)&gt;52,
MAX(MIN(COLUMN(U48)-(MAX(IF($H51:U51&lt;U48,COLUMN($H51:U51)))+1),COLUMN(U48)-(COLUMN($H51))),0)&lt;=104),基金费率!$H$26,
MAX(MIN(COLUMN(U48)-(MAX(IF($H51:U51&lt;U48,COLUMN($H51:U51)))+1),COLUMN(U48)-(COLUMN($H51))),0)&gt;104,基金费率!$H$27)</f>
        <v>#DIV/0!</v>
      </c>
      <c r="V50" s="522" t="e">
        <f t="array" ref="V50">V48-V48*_xlfn.IFS(
MAX(MIN(COLUMN(V48)-(MAX(IF($H51:V51&lt;V48,COLUMN($H51:V51)))+1),COLUMN(V48)-(COLUMN($H51))),0)&lt;=52,基金费率!$H$25,
AND(MAX(MIN(COLUMN(V48)-(MAX(IF($H51:V51&lt;V48,COLUMN($H51:V51)))+1),COLUMN(V48)-(COLUMN($H51))),0)&gt;52,
MAX(MIN(COLUMN(V48)-(MAX(IF($H51:V51&lt;V48,COLUMN($H51:V51)))+1),COLUMN(V48)-(COLUMN($H51))),0)&lt;=104),基金费率!$H$26,
MAX(MIN(COLUMN(V48)-(MAX(IF($H51:V51&lt;V48,COLUMN($H51:V51)))+1),COLUMN(V48)-(COLUMN($H51))),0)&gt;104,基金费率!$H$27)</f>
        <v>#DIV/0!</v>
      </c>
      <c r="W50" s="522" t="e">
        <f t="array" ref="W50">W48-W48*_xlfn.IFS(
MAX(MIN(COLUMN(W48)-(MAX(IF($H51:W51&lt;W48,COLUMN($H51:W51)))+1),COLUMN(W48)-(COLUMN($H51))),0)&lt;=52,基金费率!$H$25,
AND(MAX(MIN(COLUMN(W48)-(MAX(IF($H51:W51&lt;W48,COLUMN($H51:W51)))+1),COLUMN(W48)-(COLUMN($H51))),0)&gt;52,
MAX(MIN(COLUMN(W48)-(MAX(IF($H51:W51&lt;W48,COLUMN($H51:W51)))+1),COLUMN(W48)-(COLUMN($H51))),0)&lt;=104),基金费率!$H$26,
MAX(MIN(COLUMN(W48)-(MAX(IF($H51:W51&lt;W48,COLUMN($H51:W51)))+1),COLUMN(W48)-(COLUMN($H51))),0)&gt;104,基金费率!$H$27)</f>
        <v>#DIV/0!</v>
      </c>
      <c r="X50" s="522" t="e">
        <f t="array" ref="X50">X48-X48*_xlfn.IFS(
MAX(MIN(COLUMN(X48)-(MAX(IF($H51:X51&lt;X48,COLUMN($H51:X51)))+1),COLUMN(X48)-(COLUMN($H51))),0)&lt;=52,基金费率!$H$25,
AND(MAX(MIN(COLUMN(X48)-(MAX(IF($H51:X51&lt;X48,COLUMN($H51:X51)))+1),COLUMN(X48)-(COLUMN($H51))),0)&gt;52,
MAX(MIN(COLUMN(X48)-(MAX(IF($H51:X51&lt;X48,COLUMN($H51:X51)))+1),COLUMN(X48)-(COLUMN($H51))),0)&lt;=104),基金费率!$H$26,
MAX(MIN(COLUMN(X48)-(MAX(IF($H51:X51&lt;X48,COLUMN($H51:X51)))+1),COLUMN(X48)-(COLUMN($H51))),0)&gt;104,基金费率!$H$27)</f>
        <v>#DIV/0!</v>
      </c>
      <c r="Y50" s="522" t="e">
        <f t="array" ref="Y50">Y48-Y48*_xlfn.IFS(
MAX(MIN(COLUMN(Y48)-(MAX(IF($H51:Y51&lt;Y48,COLUMN($H51:Y51)))+1),COLUMN(Y48)-(COLUMN($H51))),0)&lt;=52,基金费率!$H$25,
AND(MAX(MIN(COLUMN(Y48)-(MAX(IF($H51:Y51&lt;Y48,COLUMN($H51:Y51)))+1),COLUMN(Y48)-(COLUMN($H51))),0)&gt;52,
MAX(MIN(COLUMN(Y48)-(MAX(IF($H51:Y51&lt;Y48,COLUMN($H51:Y51)))+1),COLUMN(Y48)-(COLUMN($H51))),0)&lt;=104),基金费率!$H$26,
MAX(MIN(COLUMN(Y48)-(MAX(IF($H51:Y51&lt;Y48,COLUMN($H51:Y51)))+1),COLUMN(Y48)-(COLUMN($H51))),0)&gt;104,基金费率!$H$27)</f>
        <v>#DIV/0!</v>
      </c>
      <c r="Z50" s="522" t="e">
        <f t="array" ref="Z50">Z48-Z48*_xlfn.IFS(
MAX(MIN(COLUMN(Z48)-(MAX(IF($H51:Z51&lt;Z48,COLUMN($H51:Z51)))+1),COLUMN(Z48)-(COLUMN($H51))),0)&lt;=52,基金费率!$H$25,
AND(MAX(MIN(COLUMN(Z48)-(MAX(IF($H51:Z51&lt;Z48,COLUMN($H51:Z51)))+1),COLUMN(Z48)-(COLUMN($H51))),0)&gt;52,
MAX(MIN(COLUMN(Z48)-(MAX(IF($H51:Z51&lt;Z48,COLUMN($H51:Z51)))+1),COLUMN(Z48)-(COLUMN($H51))),0)&lt;=104),基金费率!$H$26,
MAX(MIN(COLUMN(Z48)-(MAX(IF($H51:Z51&lt;Z48,COLUMN($H51:Z51)))+1),COLUMN(Z48)-(COLUMN($H51))),0)&gt;104,基金费率!$H$27)</f>
        <v>#DIV/0!</v>
      </c>
      <c r="AA50" s="522" t="e">
        <f t="array" ref="AA50">AA48-AA48*_xlfn.IFS(
MAX(MIN(COLUMN(AA48)-(MAX(IF($H51:AA51&lt;AA48,COLUMN($H51:AA51)))+1),COLUMN(AA48)-(COLUMN($H51))),0)&lt;=52,基金费率!$H$25,
AND(MAX(MIN(COLUMN(AA48)-(MAX(IF($H51:AA51&lt;AA48,COLUMN($H51:AA51)))+1),COLUMN(AA48)-(COLUMN($H51))),0)&gt;52,
MAX(MIN(COLUMN(AA48)-(MAX(IF($H51:AA51&lt;AA48,COLUMN($H51:AA51)))+1),COLUMN(AA48)-(COLUMN($H51))),0)&lt;=104),基金费率!$H$26,
MAX(MIN(COLUMN(AA48)-(MAX(IF($H51:AA51&lt;AA48,COLUMN($H51:AA51)))+1),COLUMN(AA48)-(COLUMN($H51))),0)&gt;104,基金费率!$H$27)</f>
        <v>#DIV/0!</v>
      </c>
      <c r="AB50" s="522" t="e">
        <f t="array" ref="AB50">AB48-AB48*_xlfn.IFS(
MAX(MIN(COLUMN(AB48)-(MAX(IF($H51:AB51&lt;AB48,COLUMN($H51:AB51)))+1),COLUMN(AB48)-(COLUMN($H51))),0)&lt;=52,基金费率!$H$25,
AND(MAX(MIN(COLUMN(AB48)-(MAX(IF($H51:AB51&lt;AB48,COLUMN($H51:AB51)))+1),COLUMN(AB48)-(COLUMN($H51))),0)&gt;52,
MAX(MIN(COLUMN(AB48)-(MAX(IF($H51:AB51&lt;AB48,COLUMN($H51:AB51)))+1),COLUMN(AB48)-(COLUMN($H51))),0)&lt;=104),基金费率!$H$26,
MAX(MIN(COLUMN(AB48)-(MAX(IF($H51:AB51&lt;AB48,COLUMN($H51:AB51)))+1),COLUMN(AB48)-(COLUMN($H51))),0)&gt;104,基金费率!$H$27)</f>
        <v>#DIV/0!</v>
      </c>
      <c r="AC50" s="522" t="e">
        <f t="array" ref="AC50">AC48-AC48*_xlfn.IFS(
MAX(MIN(COLUMN(AC48)-(MAX(IF($H51:AC51&lt;AC48,COLUMN($H51:AC51)))+1),COLUMN(AC48)-(COLUMN($H51))),0)&lt;=52,基金费率!$H$25,
AND(MAX(MIN(COLUMN(AC48)-(MAX(IF($H51:AC51&lt;AC48,COLUMN($H51:AC51)))+1),COLUMN(AC48)-(COLUMN($H51))),0)&gt;52,
MAX(MIN(COLUMN(AC48)-(MAX(IF($H51:AC51&lt;AC48,COLUMN($H51:AC51)))+1),COLUMN(AC48)-(COLUMN($H51))),0)&lt;=104),基金费率!$H$26,
MAX(MIN(COLUMN(AC48)-(MAX(IF($H51:AC51&lt;AC48,COLUMN($H51:AC51)))+1),COLUMN(AC48)-(COLUMN($H51))),0)&gt;104,基金费率!$H$27)</f>
        <v>#DIV/0!</v>
      </c>
      <c r="AD50" s="522" t="e">
        <f t="array" ref="AD50">AD48-AD48*_xlfn.IFS(
MAX(MIN(COLUMN(AD48)-(MAX(IF($H51:AD51&lt;AD48,COLUMN($H51:AD51)))+1),COLUMN(AD48)-(COLUMN($H51))),0)&lt;=52,基金费率!$H$25,
AND(MAX(MIN(COLUMN(AD48)-(MAX(IF($H51:AD51&lt;AD48,COLUMN($H51:AD51)))+1),COLUMN(AD48)-(COLUMN($H51))),0)&gt;52,
MAX(MIN(COLUMN(AD48)-(MAX(IF($H51:AD51&lt;AD48,COLUMN($H51:AD51)))+1),COLUMN(AD48)-(COLUMN($H51))),0)&lt;=104),基金费率!$H$26,
MAX(MIN(COLUMN(AD48)-(MAX(IF($H51:AD51&lt;AD48,COLUMN($H51:AD51)))+1),COLUMN(AD48)-(COLUMN($H51))),0)&gt;104,基金费率!$H$27)</f>
        <v>#DIV/0!</v>
      </c>
      <c r="AE50" s="522" t="e">
        <f t="array" ref="AE50">AE48-AE48*_xlfn.IFS(
MAX(MIN(COLUMN(AE48)-(MAX(IF($H51:AE51&lt;AE48,COLUMN($H51:AE51)))+1),COLUMN(AE48)-(COLUMN($H51))),0)&lt;=52,基金费率!$H$25,
AND(MAX(MIN(COLUMN(AE48)-(MAX(IF($H51:AE51&lt;AE48,COLUMN($H51:AE51)))+1),COLUMN(AE48)-(COLUMN($H51))),0)&gt;52,
MAX(MIN(COLUMN(AE48)-(MAX(IF($H51:AE51&lt;AE48,COLUMN($H51:AE51)))+1),COLUMN(AE48)-(COLUMN($H51))),0)&lt;=104),基金费率!$H$26,
MAX(MIN(COLUMN(AE48)-(MAX(IF($H51:AE51&lt;AE48,COLUMN($H51:AE51)))+1),COLUMN(AE48)-(COLUMN($H51))),0)&gt;104,基金费率!$H$27)</f>
        <v>#DIV/0!</v>
      </c>
      <c r="AF50" s="522" t="e">
        <f t="array" ref="AF50">AF48-AF48*_xlfn.IFS(
MAX(MIN(COLUMN(AF48)-(MAX(IF($H51:AF51&lt;AF48,COLUMN($H51:AF51)))+1),COLUMN(AF48)-(COLUMN($H51))),0)&lt;=52,基金费率!$H$25,
AND(MAX(MIN(COLUMN(AF48)-(MAX(IF($H51:AF51&lt;AF48,COLUMN($H51:AF51)))+1),COLUMN(AF48)-(COLUMN($H51))),0)&gt;52,
MAX(MIN(COLUMN(AF48)-(MAX(IF($H51:AF51&lt;AF48,COLUMN($H51:AF51)))+1),COLUMN(AF48)-(COLUMN($H51))),0)&lt;=104),基金费率!$H$26,
MAX(MIN(COLUMN(AF48)-(MAX(IF($H51:AF51&lt;AF48,COLUMN($H51:AF51)))+1),COLUMN(AF48)-(COLUMN($H51))),0)&gt;104,基金费率!$H$27)</f>
        <v>#DIV/0!</v>
      </c>
      <c r="AG50" s="550" t="e">
        <f t="array" ref="AG50">AG48-AG48*_xlfn.IFS(
MAX(MIN(COLUMN(AG48)-(MAX(IF($H51:AG51&lt;AG48,COLUMN($H51:AG51)))+1),COLUMN(AG48)-(COLUMN($H51))),0)&lt;=52,基金费率!$H$25,
AND(MAX(MIN(COLUMN(AG48)-(MAX(IF($H51:AG51&lt;AG48,COLUMN($H51:AG51)))+1),COLUMN(AG48)-(COLUMN($H51))),0)&gt;52,
MAX(MIN(COLUMN(AG48)-(MAX(IF($H51:AG51&lt;AG48,COLUMN($H51:AG51)))+1),COLUMN(AG48)-(COLUMN($H51))),0)&lt;=104),基金费率!$H$26,
MAX(MIN(COLUMN(AG48)-(MAX(IF($H51:AG51&lt;AG48,COLUMN($H51:AG51)))+1),COLUMN(AG48)-(COLUMN($H51))),0)&gt;104,基金费率!$H$27)</f>
        <v>#DIV/0!</v>
      </c>
      <c r="AH50" s="538"/>
    </row>
    <row r="51" spans="2:34" ht="16" customHeight="1">
      <c r="B51" s="509"/>
      <c r="C51" s="573"/>
      <c r="D51" s="569" t="s">
        <v>286</v>
      </c>
      <c r="E51" s="511"/>
      <c r="F51" s="543">
        <f t="shared" si="15"/>
        <v>0</v>
      </c>
      <c r="G51" s="509"/>
      <c r="H51" s="543">
        <f>G51+H53</f>
        <v>0</v>
      </c>
      <c r="I51" s="522">
        <f t="shared" ref="I51:AG51" si="16">H51+I53</f>
        <v>0</v>
      </c>
      <c r="J51" s="522">
        <f t="shared" si="16"/>
        <v>0</v>
      </c>
      <c r="K51" s="522">
        <f t="shared" si="16"/>
        <v>0</v>
      </c>
      <c r="L51" s="522">
        <f t="shared" si="16"/>
        <v>0</v>
      </c>
      <c r="M51" s="522">
        <f t="shared" si="16"/>
        <v>0</v>
      </c>
      <c r="N51" s="522">
        <f t="shared" si="16"/>
        <v>0</v>
      </c>
      <c r="O51" s="522">
        <f t="shared" si="16"/>
        <v>0</v>
      </c>
      <c r="P51" s="522">
        <f t="shared" si="16"/>
        <v>0</v>
      </c>
      <c r="Q51" s="522">
        <f t="shared" si="16"/>
        <v>0</v>
      </c>
      <c r="R51" s="522" t="e">
        <f t="shared" si="16"/>
        <v>#DIV/0!</v>
      </c>
      <c r="S51" s="522" t="e">
        <f t="shared" si="16"/>
        <v>#DIV/0!</v>
      </c>
      <c r="T51" s="550" t="e">
        <f t="shared" si="16"/>
        <v>#DIV/0!</v>
      </c>
      <c r="U51" s="543" t="e">
        <f t="shared" si="16"/>
        <v>#DIV/0!</v>
      </c>
      <c r="V51" s="522" t="e">
        <f t="shared" si="16"/>
        <v>#DIV/0!</v>
      </c>
      <c r="W51" s="522" t="e">
        <f t="shared" si="16"/>
        <v>#DIV/0!</v>
      </c>
      <c r="X51" s="522" t="e">
        <f t="shared" si="16"/>
        <v>#DIV/0!</v>
      </c>
      <c r="Y51" s="522" t="e">
        <f t="shared" si="16"/>
        <v>#DIV/0!</v>
      </c>
      <c r="Z51" s="522" t="e">
        <f t="shared" si="16"/>
        <v>#DIV/0!</v>
      </c>
      <c r="AA51" s="522" t="e">
        <f t="shared" si="16"/>
        <v>#DIV/0!</v>
      </c>
      <c r="AB51" s="522" t="e">
        <f t="shared" si="16"/>
        <v>#DIV/0!</v>
      </c>
      <c r="AC51" s="522" t="e">
        <f t="shared" si="16"/>
        <v>#DIV/0!</v>
      </c>
      <c r="AD51" s="522" t="e">
        <f t="shared" si="16"/>
        <v>#DIV/0!</v>
      </c>
      <c r="AE51" s="522" t="e">
        <f t="shared" si="16"/>
        <v>#DIV/0!</v>
      </c>
      <c r="AF51" s="522" t="e">
        <f t="shared" si="16"/>
        <v>#DIV/0!</v>
      </c>
      <c r="AG51" s="550" t="e">
        <f t="shared" si="16"/>
        <v>#DIV/0!</v>
      </c>
    </row>
    <row r="52" spans="2:34" ht="16" customHeight="1">
      <c r="B52" s="509"/>
      <c r="C52" s="570"/>
      <c r="D52" s="571" t="s">
        <v>325</v>
      </c>
      <c r="E52" s="516"/>
      <c r="F52" s="542">
        <f t="shared" si="15"/>
        <v>0</v>
      </c>
      <c r="G52" s="509"/>
      <c r="H52" s="542">
        <f>H51*基金结算中枢!J$19</f>
        <v>0</v>
      </c>
      <c r="I52" s="542">
        <f>I51*基金结算中枢!K$19</f>
        <v>0</v>
      </c>
      <c r="J52" s="542">
        <f>J51*基金结算中枢!L$19</f>
        <v>0</v>
      </c>
      <c r="K52" s="542">
        <f>K51*基金结算中枢!M$19</f>
        <v>0</v>
      </c>
      <c r="L52" s="542">
        <f>L51*基金结算中枢!N$19</f>
        <v>0</v>
      </c>
      <c r="M52" s="542">
        <f>M51*基金结算中枢!O$19</f>
        <v>0</v>
      </c>
      <c r="N52" s="542">
        <f>N51*基金结算中枢!P$19</f>
        <v>0</v>
      </c>
      <c r="O52" s="542">
        <f>O51*基金结算中枢!Q$19</f>
        <v>0</v>
      </c>
      <c r="P52" s="542">
        <f>P51*基金结算中枢!R$19</f>
        <v>0</v>
      </c>
      <c r="Q52" s="542">
        <f>Q51*基金结算中枢!S$19</f>
        <v>0</v>
      </c>
      <c r="R52" s="542" t="e">
        <f>R51*基金结算中枢!T$19</f>
        <v>#DIV/0!</v>
      </c>
      <c r="S52" s="542" t="e">
        <f>S51*基金结算中枢!U$19</f>
        <v>#DIV/0!</v>
      </c>
      <c r="T52" s="792" t="e">
        <f>T51*基金结算中枢!V$19</f>
        <v>#DIV/0!</v>
      </c>
      <c r="U52" s="542" t="e">
        <f>U51*基金结算中枢!W$19</f>
        <v>#DIV/0!</v>
      </c>
      <c r="V52" s="542" t="e">
        <f>V51*基金结算中枢!X$19</f>
        <v>#DIV/0!</v>
      </c>
      <c r="W52" s="542" t="e">
        <f>W51*基金结算中枢!Y$19</f>
        <v>#DIV/0!</v>
      </c>
      <c r="X52" s="542" t="e">
        <f>X51*基金结算中枢!Z$19</f>
        <v>#DIV/0!</v>
      </c>
      <c r="Y52" s="542" t="e">
        <f>Y51*基金结算中枢!AA$19</f>
        <v>#DIV/0!</v>
      </c>
      <c r="Z52" s="542" t="e">
        <f>Z51*基金结算中枢!AB$19</f>
        <v>#DIV/0!</v>
      </c>
      <c r="AA52" s="542" t="e">
        <f>AA51*基金结算中枢!AC$19</f>
        <v>#DIV/0!</v>
      </c>
      <c r="AB52" s="542" t="e">
        <f>AB51*基金结算中枢!AD$19</f>
        <v>#DIV/0!</v>
      </c>
      <c r="AC52" s="542" t="e">
        <f>AC51*基金结算中枢!AE$19</f>
        <v>#DIV/0!</v>
      </c>
      <c r="AD52" s="542" t="e">
        <f>AD51*基金结算中枢!AF$19</f>
        <v>#DIV/0!</v>
      </c>
      <c r="AE52" s="542" t="e">
        <f>AE51*基金结算中枢!AG$19</f>
        <v>#DIV/0!</v>
      </c>
      <c r="AF52" s="542" t="e">
        <f>AF51*基金结算中枢!AH$19</f>
        <v>#DIV/0!</v>
      </c>
      <c r="AG52" s="792" t="e">
        <f>AG51*基金结算中枢!AI$19</f>
        <v>#DIV/0!</v>
      </c>
    </row>
    <row r="53" spans="2:34" ht="17" customHeight="1" thickBot="1">
      <c r="B53" s="509"/>
      <c r="C53" s="577"/>
      <c r="D53" s="523" t="s">
        <v>310</v>
      </c>
      <c r="E53" s="511"/>
      <c r="F53" s="543">
        <f t="shared" si="15"/>
        <v>0</v>
      </c>
      <c r="G53" s="509"/>
      <c r="H53" s="543">
        <f t="shared" ref="H53:AG53" si="17">H49-H48</f>
        <v>0</v>
      </c>
      <c r="I53" s="522">
        <f t="shared" si="17"/>
        <v>0</v>
      </c>
      <c r="J53" s="522">
        <f t="shared" si="17"/>
        <v>0</v>
      </c>
      <c r="K53" s="522">
        <f t="shared" si="17"/>
        <v>0</v>
      </c>
      <c r="L53" s="522">
        <f t="shared" si="17"/>
        <v>0</v>
      </c>
      <c r="M53" s="522">
        <f t="shared" si="17"/>
        <v>0</v>
      </c>
      <c r="N53" s="522">
        <f t="shared" si="17"/>
        <v>0</v>
      </c>
      <c r="O53" s="522">
        <f t="shared" si="17"/>
        <v>0</v>
      </c>
      <c r="P53" s="522">
        <f t="shared" si="17"/>
        <v>0</v>
      </c>
      <c r="Q53" s="522">
        <f t="shared" si="17"/>
        <v>0</v>
      </c>
      <c r="R53" s="522" t="e">
        <f t="shared" si="17"/>
        <v>#DIV/0!</v>
      </c>
      <c r="S53" s="522" t="e">
        <f t="shared" si="17"/>
        <v>#DIV/0!</v>
      </c>
      <c r="T53" s="550" t="e">
        <f t="shared" si="17"/>
        <v>#DIV/0!</v>
      </c>
      <c r="U53" s="543" t="e">
        <f t="shared" si="17"/>
        <v>#DIV/0!</v>
      </c>
      <c r="V53" s="522" t="e">
        <f t="shared" si="17"/>
        <v>#DIV/0!</v>
      </c>
      <c r="W53" s="522" t="e">
        <f t="shared" si="17"/>
        <v>#DIV/0!</v>
      </c>
      <c r="X53" s="522" t="e">
        <f t="shared" si="17"/>
        <v>#DIV/0!</v>
      </c>
      <c r="Y53" s="522" t="e">
        <f t="shared" si="17"/>
        <v>#DIV/0!</v>
      </c>
      <c r="Z53" s="522" t="e">
        <f t="shared" si="17"/>
        <v>#DIV/0!</v>
      </c>
      <c r="AA53" s="522" t="e">
        <f t="shared" si="17"/>
        <v>#DIV/0!</v>
      </c>
      <c r="AB53" s="522" t="e">
        <f t="shared" si="17"/>
        <v>#DIV/0!</v>
      </c>
      <c r="AC53" s="522" t="e">
        <f t="shared" si="17"/>
        <v>#DIV/0!</v>
      </c>
      <c r="AD53" s="522" t="e">
        <f t="shared" si="17"/>
        <v>#DIV/0!</v>
      </c>
      <c r="AE53" s="522" t="e">
        <f t="shared" si="17"/>
        <v>#DIV/0!</v>
      </c>
      <c r="AF53" s="522" t="e">
        <f t="shared" si="17"/>
        <v>#DIV/0!</v>
      </c>
      <c r="AG53" s="550" t="e">
        <f t="shared" si="17"/>
        <v>#DIV/0!</v>
      </c>
    </row>
    <row r="54" spans="2:34">
      <c r="B54" s="509"/>
      <c r="C54" s="509"/>
      <c r="D54" s="509"/>
      <c r="E54" s="509"/>
      <c r="F54" s="509"/>
      <c r="G54" s="509"/>
      <c r="H54" s="546"/>
      <c r="I54" s="524"/>
      <c r="J54" s="524"/>
      <c r="K54" s="524"/>
      <c r="L54" s="524"/>
      <c r="M54" s="524"/>
      <c r="N54" s="524"/>
      <c r="O54" s="524"/>
      <c r="P54" s="524"/>
      <c r="Q54" s="524"/>
      <c r="R54" s="524"/>
      <c r="S54" s="524"/>
      <c r="T54" s="524"/>
      <c r="U54" s="546"/>
      <c r="V54" s="524"/>
      <c r="W54" s="524"/>
      <c r="X54" s="524"/>
      <c r="Y54" s="524"/>
      <c r="Z54" s="524"/>
      <c r="AA54" s="524"/>
      <c r="AB54" s="524"/>
      <c r="AC54" s="524"/>
      <c r="AD54" s="524"/>
      <c r="AE54" s="524"/>
      <c r="AF54" s="524"/>
      <c r="AG54" s="524"/>
    </row>
    <row r="56" spans="2:34" ht="17" thickBot="1">
      <c r="B56" s="509"/>
      <c r="C56" s="509"/>
      <c r="D56" s="527"/>
      <c r="E56" s="509"/>
      <c r="F56" s="509"/>
      <c r="G56" s="509"/>
      <c r="H56" s="545"/>
      <c r="I56" s="509"/>
      <c r="J56" s="509"/>
      <c r="K56" s="509"/>
      <c r="L56" s="509"/>
      <c r="M56" s="509"/>
      <c r="N56" s="509"/>
      <c r="O56" s="509"/>
      <c r="P56" s="509"/>
      <c r="Q56" s="509"/>
      <c r="R56" s="509"/>
      <c r="S56" s="509"/>
      <c r="T56" s="580"/>
      <c r="U56" s="545"/>
      <c r="V56" s="509"/>
      <c r="W56" s="509"/>
      <c r="X56" s="509"/>
      <c r="Y56" s="509"/>
      <c r="Z56" s="509"/>
      <c r="AA56" s="509"/>
      <c r="AB56" s="509"/>
      <c r="AC56" s="509"/>
      <c r="AD56" s="509"/>
      <c r="AE56" s="509"/>
      <c r="AF56" s="509"/>
      <c r="AG56" s="580"/>
    </row>
    <row r="57" spans="2:34" s="508" customFormat="1" ht="16" customHeight="1">
      <c r="B57" s="504"/>
      <c r="C57" s="789" t="s">
        <v>313</v>
      </c>
      <c r="D57" s="505" t="s">
        <v>78</v>
      </c>
      <c r="E57" s="506"/>
      <c r="F57" s="507" t="s">
        <v>93</v>
      </c>
      <c r="G57" s="504"/>
      <c r="H57" s="540">
        <v>44374</v>
      </c>
      <c r="I57" s="540">
        <v>44381</v>
      </c>
      <c r="J57" s="503">
        <v>44388</v>
      </c>
      <c r="K57" s="540">
        <v>44395</v>
      </c>
      <c r="L57" s="503">
        <v>44402</v>
      </c>
      <c r="M57" s="540">
        <v>44409</v>
      </c>
      <c r="N57" s="503">
        <v>44416</v>
      </c>
      <c r="O57" s="540">
        <v>44423</v>
      </c>
      <c r="P57" s="503">
        <v>44430</v>
      </c>
      <c r="Q57" s="540">
        <v>44437</v>
      </c>
      <c r="R57" s="503">
        <v>44444</v>
      </c>
      <c r="S57" s="540">
        <v>44451</v>
      </c>
      <c r="T57" s="791">
        <v>44458</v>
      </c>
      <c r="U57" s="540">
        <v>44465</v>
      </c>
      <c r="V57" s="503">
        <v>44472</v>
      </c>
      <c r="W57" s="540">
        <v>44479</v>
      </c>
      <c r="X57" s="503">
        <v>44486</v>
      </c>
      <c r="Y57" s="540">
        <v>44493</v>
      </c>
      <c r="Z57" s="503">
        <v>44500</v>
      </c>
      <c r="AA57" s="540">
        <v>44507</v>
      </c>
      <c r="AB57" s="503">
        <v>44514</v>
      </c>
      <c r="AC57" s="540">
        <v>44521</v>
      </c>
      <c r="AD57" s="503">
        <v>44528</v>
      </c>
      <c r="AE57" s="540">
        <v>44535</v>
      </c>
      <c r="AF57" s="503">
        <v>44542</v>
      </c>
      <c r="AG57" s="795">
        <v>44549</v>
      </c>
      <c r="AH57" s="552"/>
    </row>
    <row r="58" spans="2:34" s="518" customFormat="1" ht="16" customHeight="1">
      <c r="B58" s="514"/>
      <c r="C58" s="581"/>
      <c r="D58" s="515" t="s">
        <v>94</v>
      </c>
      <c r="E58" s="516"/>
      <c r="F58" s="512" t="s">
        <v>285</v>
      </c>
      <c r="G58" s="509"/>
      <c r="H58" s="541" t="str">
        <f>$F58</f>
        <v>王五</v>
      </c>
      <c r="I58" s="517" t="str">
        <f t="shared" ref="I58:AG59" si="18">$F58</f>
        <v>王五</v>
      </c>
      <c r="J58" s="517" t="str">
        <f t="shared" si="18"/>
        <v>王五</v>
      </c>
      <c r="K58" s="517" t="str">
        <f t="shared" si="18"/>
        <v>王五</v>
      </c>
      <c r="L58" s="517" t="str">
        <f t="shared" si="18"/>
        <v>王五</v>
      </c>
      <c r="M58" s="517" t="str">
        <f t="shared" si="18"/>
        <v>王五</v>
      </c>
      <c r="N58" s="517" t="str">
        <f t="shared" si="18"/>
        <v>王五</v>
      </c>
      <c r="O58" s="517" t="str">
        <f t="shared" si="18"/>
        <v>王五</v>
      </c>
      <c r="P58" s="517" t="str">
        <f t="shared" si="18"/>
        <v>王五</v>
      </c>
      <c r="Q58" s="517" t="str">
        <f t="shared" si="18"/>
        <v>王五</v>
      </c>
      <c r="R58" s="517" t="str">
        <f t="shared" si="18"/>
        <v>王五</v>
      </c>
      <c r="S58" s="517" t="str">
        <f t="shared" si="18"/>
        <v>王五</v>
      </c>
      <c r="T58" s="548" t="str">
        <f t="shared" si="18"/>
        <v>王五</v>
      </c>
      <c r="U58" s="541" t="str">
        <f t="shared" si="18"/>
        <v>王五</v>
      </c>
      <c r="V58" s="517" t="str">
        <f t="shared" si="18"/>
        <v>王五</v>
      </c>
      <c r="W58" s="517" t="str">
        <f t="shared" si="18"/>
        <v>王五</v>
      </c>
      <c r="X58" s="517" t="str">
        <f t="shared" si="18"/>
        <v>王五</v>
      </c>
      <c r="Y58" s="517" t="str">
        <f t="shared" si="18"/>
        <v>王五</v>
      </c>
      <c r="Z58" s="517" t="str">
        <f t="shared" si="18"/>
        <v>王五</v>
      </c>
      <c r="AA58" s="517" t="str">
        <f t="shared" si="18"/>
        <v>王五</v>
      </c>
      <c r="AB58" s="517" t="str">
        <f t="shared" si="18"/>
        <v>王五</v>
      </c>
      <c r="AC58" s="517" t="str">
        <f t="shared" si="18"/>
        <v>王五</v>
      </c>
      <c r="AD58" s="517" t="str">
        <f t="shared" si="18"/>
        <v>王五</v>
      </c>
      <c r="AE58" s="517" t="str">
        <f t="shared" si="18"/>
        <v>王五</v>
      </c>
      <c r="AF58" s="517" t="str">
        <f t="shared" si="18"/>
        <v>王五</v>
      </c>
      <c r="AG58" s="548" t="str">
        <f t="shared" si="18"/>
        <v>王五</v>
      </c>
      <c r="AH58" s="538"/>
    </row>
    <row r="59" spans="2:34" s="518" customFormat="1" ht="16" customHeight="1">
      <c r="B59" s="514"/>
      <c r="C59" s="573"/>
      <c r="D59" s="574" t="s">
        <v>326</v>
      </c>
      <c r="E59" s="516"/>
      <c r="F59" s="575" t="s">
        <v>327</v>
      </c>
      <c r="G59" s="509"/>
      <c r="H59" s="790" t="str">
        <f>$F59</f>
        <v>111111111</v>
      </c>
      <c r="I59" s="575" t="str">
        <f t="shared" si="18"/>
        <v>111111111</v>
      </c>
      <c r="J59" s="575" t="str">
        <f t="shared" si="18"/>
        <v>111111111</v>
      </c>
      <c r="K59" s="575" t="str">
        <f t="shared" si="18"/>
        <v>111111111</v>
      </c>
      <c r="L59" s="575" t="str">
        <f t="shared" si="18"/>
        <v>111111111</v>
      </c>
      <c r="M59" s="575" t="str">
        <f t="shared" si="18"/>
        <v>111111111</v>
      </c>
      <c r="N59" s="575" t="str">
        <f t="shared" si="18"/>
        <v>111111111</v>
      </c>
      <c r="O59" s="575" t="str">
        <f t="shared" si="18"/>
        <v>111111111</v>
      </c>
      <c r="P59" s="575" t="str">
        <f t="shared" si="18"/>
        <v>111111111</v>
      </c>
      <c r="Q59" s="575" t="str">
        <f t="shared" si="18"/>
        <v>111111111</v>
      </c>
      <c r="R59" s="575" t="str">
        <f t="shared" si="18"/>
        <v>111111111</v>
      </c>
      <c r="S59" s="575" t="str">
        <f t="shared" si="18"/>
        <v>111111111</v>
      </c>
      <c r="T59" s="575" t="str">
        <f t="shared" si="18"/>
        <v>111111111</v>
      </c>
      <c r="U59" s="790" t="str">
        <f t="shared" si="18"/>
        <v>111111111</v>
      </c>
      <c r="V59" s="575" t="str">
        <f t="shared" si="18"/>
        <v>111111111</v>
      </c>
      <c r="W59" s="575" t="str">
        <f t="shared" si="18"/>
        <v>111111111</v>
      </c>
      <c r="X59" s="575" t="str">
        <f t="shared" si="18"/>
        <v>111111111</v>
      </c>
      <c r="Y59" s="575" t="str">
        <f t="shared" si="18"/>
        <v>111111111</v>
      </c>
      <c r="Z59" s="575" t="str">
        <f t="shared" si="18"/>
        <v>111111111</v>
      </c>
      <c r="AA59" s="575" t="str">
        <f t="shared" si="18"/>
        <v>111111111</v>
      </c>
      <c r="AB59" s="575" t="str">
        <f t="shared" si="18"/>
        <v>111111111</v>
      </c>
      <c r="AC59" s="575" t="str">
        <f t="shared" si="18"/>
        <v>111111111</v>
      </c>
      <c r="AD59" s="575" t="str">
        <f t="shared" si="18"/>
        <v>111111111</v>
      </c>
      <c r="AE59" s="575" t="str">
        <f t="shared" si="18"/>
        <v>111111111</v>
      </c>
      <c r="AF59" s="575" t="str">
        <f t="shared" si="18"/>
        <v>111111111</v>
      </c>
      <c r="AG59" s="575" t="str">
        <f t="shared" si="18"/>
        <v>111111111</v>
      </c>
      <c r="AH59" s="538"/>
    </row>
    <row r="60" spans="2:34" s="534" customFormat="1" ht="16" customHeight="1">
      <c r="B60" s="531"/>
      <c r="C60" s="581"/>
      <c r="D60" s="532" t="s">
        <v>291</v>
      </c>
      <c r="E60" s="533"/>
      <c r="F60" s="556">
        <f t="shared" ref="F60:F66" si="19">LOOKUP(9E+307,H60:T60)</f>
        <v>0</v>
      </c>
      <c r="G60" s="576"/>
      <c r="H60" s="556">
        <v>0</v>
      </c>
      <c r="I60" s="557"/>
      <c r="J60" s="557"/>
      <c r="K60" s="557"/>
      <c r="L60" s="557"/>
      <c r="M60" s="557"/>
      <c r="N60" s="557"/>
      <c r="O60" s="557"/>
      <c r="P60" s="557"/>
      <c r="Q60" s="557">
        <v>0</v>
      </c>
      <c r="R60" s="557"/>
      <c r="S60" s="557"/>
      <c r="T60" s="558"/>
      <c r="U60" s="556"/>
      <c r="V60" s="557"/>
      <c r="W60" s="557"/>
      <c r="X60" s="557"/>
      <c r="Y60" s="557"/>
      <c r="Z60" s="557"/>
      <c r="AA60" s="557"/>
      <c r="AB60" s="557"/>
      <c r="AC60" s="557"/>
      <c r="AD60" s="557"/>
      <c r="AE60" s="557"/>
      <c r="AF60" s="557"/>
      <c r="AG60" s="558"/>
      <c r="AH60" s="551"/>
    </row>
    <row r="61" spans="2:34" s="518" customFormat="1" ht="17" customHeight="1">
      <c r="B61" s="514"/>
      <c r="C61" s="581"/>
      <c r="D61" s="520" t="s">
        <v>290</v>
      </c>
      <c r="E61" s="516"/>
      <c r="F61" s="553">
        <f t="shared" si="19"/>
        <v>0</v>
      </c>
      <c r="G61" s="509"/>
      <c r="H61" s="553">
        <v>0</v>
      </c>
      <c r="I61" s="553"/>
      <c r="J61" s="553"/>
      <c r="K61" s="554"/>
      <c r="L61" s="554"/>
      <c r="M61" s="554"/>
      <c r="N61" s="554"/>
      <c r="O61" s="554"/>
      <c r="P61" s="554"/>
      <c r="Q61" s="554">
        <v>0</v>
      </c>
      <c r="R61" s="554"/>
      <c r="S61" s="554"/>
      <c r="T61" s="555"/>
      <c r="U61" s="553"/>
      <c r="V61" s="554"/>
      <c r="W61" s="554"/>
      <c r="X61" s="554"/>
      <c r="Y61" s="554"/>
      <c r="Z61" s="554"/>
      <c r="AA61" s="554"/>
      <c r="AB61" s="554"/>
      <c r="AC61" s="554"/>
      <c r="AD61" s="554"/>
      <c r="AE61" s="554"/>
      <c r="AF61" s="554"/>
      <c r="AG61" s="555"/>
      <c r="AH61" s="538"/>
    </row>
    <row r="62" spans="2:34" s="518" customFormat="1" ht="16" customHeight="1">
      <c r="B62" s="514"/>
      <c r="C62" s="581"/>
      <c r="D62" s="519" t="s">
        <v>289</v>
      </c>
      <c r="E62" s="516"/>
      <c r="F62" s="543">
        <f t="shared" si="19"/>
        <v>0</v>
      </c>
      <c r="G62" s="509"/>
      <c r="H62" s="543">
        <f>(H60-_xlfn.IFS(H60&lt;160000,H60*基金费率!$H$17,
AND(H60&lt;800000,H60&gt;=160000),H60*基金费率!$H$18,
AND(H60&lt;1600000,H60&gt;=800000),H60*基金费率!$H$19,
H60&gt;=1600000,基金费率!$H$20))/基金结算中枢!S$11</f>
        <v>0</v>
      </c>
      <c r="I62" s="543">
        <f>(I60-_xlfn.IFS(I60&lt;160000,I60*基金费率!$H$17,
AND(I60&lt;800000,I60&gt;=160000),I60*基金费率!$H$18,
AND(I60&lt;1600000,I60&gt;=800000),I60*基金费率!$H$19,
I60&gt;=1600000,基金费率!$H$20))/基金结算中枢!K$11</f>
        <v>0</v>
      </c>
      <c r="J62" s="543">
        <f>(J60-_xlfn.IFS(J60&lt;160000,J60*基金费率!$H$17,
AND(J60&lt;800000,J60&gt;=160000),J60*基金费率!$H$18,
AND(J60&lt;1600000,J60&gt;=800000),J60*基金费率!$H$19,
J60&gt;=1600000,基金费率!$H$20))/基金结算中枢!L$11</f>
        <v>0</v>
      </c>
      <c r="K62" s="543">
        <f>(K60-_xlfn.IFS(K60&lt;160000,K60*基金费率!$H$17,
AND(K60&lt;800000,K60&gt;=160000),K60*基金费率!$H$18,
AND(K60&lt;1600000,K60&gt;=800000),K60*基金费率!$H$19,
K60&gt;=1600000,基金费率!$H$20))/基金结算中枢!M$11</f>
        <v>0</v>
      </c>
      <c r="L62" s="543">
        <f>(L60-_xlfn.IFS(L60&lt;160000,L60*基金费率!$H$17,
AND(L60&lt;800000,L60&gt;=160000),L60*基金费率!$H$18,
AND(L60&lt;1600000,L60&gt;=800000),L60*基金费率!$H$19,
L60&gt;=1600000,基金费率!$H$20))/基金结算中枢!N$11</f>
        <v>0</v>
      </c>
      <c r="M62" s="543">
        <f>(M60-_xlfn.IFS(M60&lt;160000,M60*基金费率!$H$17,
AND(M60&lt;800000,M60&gt;=160000),M60*基金费率!$H$18,
AND(M60&lt;1600000,M60&gt;=800000),M60*基金费率!$H$19,
M60&gt;=1600000,基金费率!$H$20))/基金结算中枢!O$11</f>
        <v>0</v>
      </c>
      <c r="N62" s="543">
        <f>(N60-_xlfn.IFS(N60&lt;160000,N60*基金费率!$H$17,
AND(N60&lt;800000,N60&gt;=160000),N60*基金费率!$H$18,
AND(N60&lt;1600000,N60&gt;=800000),N60*基金费率!$H$19,
N60&gt;=1600000,基金费率!$H$20))/基金结算中枢!P$11</f>
        <v>0</v>
      </c>
      <c r="O62" s="543">
        <f>(O60-_xlfn.IFS(O60&lt;160000,O60*基金费率!$H$17,
AND(O60&lt;800000,O60&gt;=160000),O60*基金费率!$H$18,
AND(O60&lt;1600000,O60&gt;=800000),O60*基金费率!$H$19,
O60&gt;=1600000,基金费率!$H$20))/基金结算中枢!Q$11</f>
        <v>0</v>
      </c>
      <c r="P62" s="543">
        <f>(P60-_xlfn.IFS(P60&lt;160000,P60*基金费率!$H$17,
AND(P60&lt;800000,P60&gt;=160000),P60*基金费率!$H$18,
AND(P60&lt;1600000,P60&gt;=800000),P60*基金费率!$H$19,
P60&gt;=1600000,基金费率!$H$20))/基金结算中枢!R$11</f>
        <v>0</v>
      </c>
      <c r="Q62" s="543">
        <f>(Q60-_xlfn.IFS(Q60&lt;160000,Q60*基金费率!$H$17,
AND(Q60&lt;800000,Q60&gt;=160000),Q60*基金费率!$H$18,
AND(Q60&lt;1600000,Q60&gt;=800000),Q60*基金费率!$H$19,
Q60&gt;=1600000,基金费率!$H$20))/基金结算中枢!S$11</f>
        <v>0</v>
      </c>
      <c r="R62" s="543" t="e">
        <f>(R60-_xlfn.IFS(R60&lt;160000,R60*基金费率!$H$17,
AND(R60&lt;800000,R60&gt;=160000),R60*基金费率!$H$18,
AND(R60&lt;1600000,R60&gt;=800000),R60*基金费率!$H$19,
R60&gt;=1600000,基金费率!$H$20))/基金结算中枢!T$11</f>
        <v>#DIV/0!</v>
      </c>
      <c r="S62" s="543" t="e">
        <f>(S60-_xlfn.IFS(S60&lt;160000,S60*基金费率!$H$17,
AND(S60&lt;800000,S60&gt;=160000),S60*基金费率!$H$18,
AND(S60&lt;1600000,S60&gt;=800000),S60*基金费率!$H$19,
S60&gt;=1600000,基金费率!$H$20))/基金结算中枢!U$11</f>
        <v>#DIV/0!</v>
      </c>
      <c r="T62" s="793" t="e">
        <f>(T60-_xlfn.IFS(T60&lt;160000,T60*基金费率!$H$17,
AND(T60&lt;800000,T60&gt;=160000),T60*基金费率!$H$18,
AND(T60&lt;1600000,T60&gt;=800000),T60*基金费率!$H$19,
T60&gt;=1600000,基金费率!$H$20))/基金结算中枢!V$11</f>
        <v>#DIV/0!</v>
      </c>
      <c r="U62" s="543" t="e">
        <f>(U60-_xlfn.IFS(U60&lt;160000,U60*基金费率!$H$17,
AND(U60&lt;800000,U60&gt;=160000),U60*基金费率!$H$18,
AND(U60&lt;1600000,U60&gt;=800000),U60*基金费率!$H$19,
U60&gt;=1600000,基金费率!$H$20))/基金结算中枢!W$11</f>
        <v>#DIV/0!</v>
      </c>
      <c r="V62" s="543" t="e">
        <f>(V60-_xlfn.IFS(V60&lt;160000,V60*基金费率!$H$17,
AND(V60&lt;800000,V60&gt;=160000),V60*基金费率!$H$18,
AND(V60&lt;1600000,V60&gt;=800000),V60*基金费率!$H$19,
V60&gt;=1600000,基金费率!$H$20))/基金结算中枢!X$11</f>
        <v>#DIV/0!</v>
      </c>
      <c r="W62" s="543" t="e">
        <f>(W60-_xlfn.IFS(W60&lt;160000,W60*基金费率!$H$17,
AND(W60&lt;800000,W60&gt;=160000),W60*基金费率!$H$18,
AND(W60&lt;1600000,W60&gt;=800000),W60*基金费率!$H$19,
W60&gt;=1600000,基金费率!$H$20))/基金结算中枢!Y$11</f>
        <v>#DIV/0!</v>
      </c>
      <c r="X62" s="543" t="e">
        <f>(X60-_xlfn.IFS(X60&lt;160000,X60*基金费率!$H$17,
AND(X60&lt;800000,X60&gt;=160000),X60*基金费率!$H$18,
AND(X60&lt;1600000,X60&gt;=800000),X60*基金费率!$H$19,
X60&gt;=1600000,基金费率!$H$20))/基金结算中枢!Z$11</f>
        <v>#DIV/0!</v>
      </c>
      <c r="Y62" s="543" t="e">
        <f>(Y60-_xlfn.IFS(Y60&lt;160000,Y60*基金费率!$H$17,
AND(Y60&lt;800000,Y60&gt;=160000),Y60*基金费率!$H$18,
AND(Y60&lt;1600000,Y60&gt;=800000),Y60*基金费率!$H$19,
Y60&gt;=1600000,基金费率!$H$20))/基金结算中枢!AA$11</f>
        <v>#DIV/0!</v>
      </c>
      <c r="Z62" s="543" t="e">
        <f>(Z60-_xlfn.IFS(Z60&lt;160000,Z60*基金费率!$H$17,
AND(Z60&lt;800000,Z60&gt;=160000),Z60*基金费率!$H$18,
AND(Z60&lt;1600000,Z60&gt;=800000),Z60*基金费率!$H$19,
Z60&gt;=1600000,基金费率!$H$20))/基金结算中枢!AB$11</f>
        <v>#DIV/0!</v>
      </c>
      <c r="AA62" s="543" t="e">
        <f>(AA60-_xlfn.IFS(AA60&lt;160000,AA60*基金费率!$H$17,
AND(AA60&lt;800000,AA60&gt;=160000),AA60*基金费率!$H$18,
AND(AA60&lt;1600000,AA60&gt;=800000),AA60*基金费率!$H$19,
AA60&gt;=1600000,基金费率!$H$20))/基金结算中枢!AC$11</f>
        <v>#DIV/0!</v>
      </c>
      <c r="AB62" s="543" t="e">
        <f>(AB60-_xlfn.IFS(AB60&lt;160000,AB60*基金费率!$H$17,
AND(AB60&lt;800000,AB60&gt;=160000),AB60*基金费率!$H$18,
AND(AB60&lt;1600000,AB60&gt;=800000),AB60*基金费率!$H$19,
AB60&gt;=1600000,基金费率!$H$20))/基金结算中枢!AD$11</f>
        <v>#DIV/0!</v>
      </c>
      <c r="AC62" s="543" t="e">
        <f>(AC60-_xlfn.IFS(AC60&lt;160000,AC60*基金费率!$H$17,
AND(AC60&lt;800000,AC60&gt;=160000),AC60*基金费率!$H$18,
AND(AC60&lt;1600000,AC60&gt;=800000),AC60*基金费率!$H$19,
AC60&gt;=1600000,基金费率!$H$20))/基金结算中枢!AE$11</f>
        <v>#DIV/0!</v>
      </c>
      <c r="AD62" s="543" t="e">
        <f>(AD60-_xlfn.IFS(AD60&lt;160000,AD60*基金费率!$H$17,
AND(AD60&lt;800000,AD60&gt;=160000),AD60*基金费率!$H$18,
AND(AD60&lt;1600000,AD60&gt;=800000),AD60*基金费率!$H$19,
AD60&gt;=1600000,基金费率!$H$20))/基金结算中枢!AF$11</f>
        <v>#DIV/0!</v>
      </c>
      <c r="AE62" s="543" t="e">
        <f>(AE60-_xlfn.IFS(AE60&lt;160000,AE60*基金费率!$H$17,
AND(AE60&lt;800000,AE60&gt;=160000),AE60*基金费率!$H$18,
AND(AE60&lt;1600000,AE60&gt;=800000),AE60*基金费率!$H$19,
AE60&gt;=1600000,基金费率!$H$20))/基金结算中枢!AG$11</f>
        <v>#DIV/0!</v>
      </c>
      <c r="AF62" s="543" t="e">
        <f>(AF60-_xlfn.IFS(AF60&lt;160000,AF60*基金费率!$H$17,
AND(AF60&lt;800000,AF60&gt;=160000),AF60*基金费率!$H$18,
AND(AF60&lt;1600000,AF60&gt;=800000),AF60*基金费率!$H$19,
AF60&gt;=1600000,基金费率!$H$20))/基金结算中枢!AH$11</f>
        <v>#DIV/0!</v>
      </c>
      <c r="AG62" s="793" t="e">
        <f>(AG60-_xlfn.IFS(AG60&lt;160000,AG60*基金费率!$H$17,
AND(AG60&lt;800000,AG60&gt;=160000),AG60*基金费率!$H$18,
AND(AG60&lt;1600000,AG60&gt;=800000),AG60*基金费率!$H$19,
AG60&gt;=1600000,基金费率!$H$20))/基金结算中枢!AI$11</f>
        <v>#DIV/0!</v>
      </c>
      <c r="AH62" s="538"/>
    </row>
    <row r="63" spans="2:34" s="518" customFormat="1" ht="16" customHeight="1">
      <c r="B63" s="514"/>
      <c r="C63" s="573"/>
      <c r="D63" s="519" t="s">
        <v>288</v>
      </c>
      <c r="E63" s="516"/>
      <c r="F63" s="543">
        <f t="shared" si="19"/>
        <v>0</v>
      </c>
      <c r="G63" s="509"/>
      <c r="H63" s="543">
        <v>0</v>
      </c>
      <c r="I63" s="522">
        <f t="array" ref="I63">I61-I61*_xlfn.IFS(
MAX(MIN(COLUMN(I61)-(MAX(IF($H64:I64&lt;I61,COLUMN($H64:I64)))+1),COLUMN(I61)-(COLUMN($H64))),0)&lt;=52,基金费率!$H$25,
AND(MAX(MIN(COLUMN(I61)-(MAX(IF($H64:I64&lt;I61,COLUMN($H64:I64)))+1),COLUMN(I61)-(COLUMN($H64))),0)&gt;52,
MAX(MIN(COLUMN(I61)-(MAX(IF($H64:I64&lt;I61,COLUMN($H64:I64)))+1),COLUMN(I61)-(COLUMN($H64))),0)&lt;=104),基金费率!$H$26,
MAX(MIN(COLUMN(I61)-(MAX(IF($H64:I64&lt;I61,COLUMN($H64:I64)))+1),COLUMN(I61)-(COLUMN($H64))),0)&gt;104,基金费率!$H$27)</f>
        <v>0</v>
      </c>
      <c r="J63" s="522">
        <f t="array" ref="J63">J61-J61*_xlfn.IFS(
MAX(MIN(COLUMN(J61)-(MAX(IF($H64:J64&lt;J61,COLUMN($H64:J64)))+1),COLUMN(J61)-(COLUMN($H64))),0)&lt;=52,基金费率!$H$25,
AND(MAX(MIN(COLUMN(J61)-(MAX(IF($H64:J64&lt;J61,COLUMN($H64:J64)))+1),COLUMN(J61)-(COLUMN($H64))),0)&gt;52,
MAX(MIN(COLUMN(J61)-(MAX(IF($H64:J64&lt;J61,COLUMN($H64:J64)))+1),COLUMN(J61)-(COLUMN($H64))),0)&lt;=104),基金费率!$H$26,
MAX(MIN(COLUMN(J61)-(MAX(IF($H64:J64&lt;J61,COLUMN($H64:J64)))+1),COLUMN(J61)-(COLUMN($H64))),0)&gt;104,基金费率!$H$27)</f>
        <v>0</v>
      </c>
      <c r="K63" s="522">
        <f t="array" ref="K63">K61-K61*_xlfn.IFS(
MAX(MIN(COLUMN(K61)-(MAX(IF($H64:K64&lt;K61,COLUMN($H64:K64)))+1),COLUMN(K61)-(COLUMN($H64))),0)&lt;=52,基金费率!$H$25,
AND(MAX(MIN(COLUMN(K61)-(MAX(IF($H64:K64&lt;K61,COLUMN($H64:K64)))+1),COLUMN(K61)-(COLUMN($H64))),0)&gt;52,
MAX(MIN(COLUMN(K61)-(MAX(IF($H64:K64&lt;K61,COLUMN($H64:K64)))+1),COLUMN(K61)-(COLUMN($H64))),0)&lt;=104),基金费率!$H$26,
MAX(MIN(COLUMN(K61)-(MAX(IF($H64:K64&lt;K61,COLUMN($H64:K64)))+1),COLUMN(K61)-(COLUMN($H64))),0)&gt;104,基金费率!$H$27)</f>
        <v>0</v>
      </c>
      <c r="L63" s="522">
        <f t="array" ref="L63">L61-L61*_xlfn.IFS(
MAX(MIN(COLUMN(L61)-(MAX(IF($H64:L64&lt;L61,COLUMN($H64:L64)))+1),COLUMN(L61)-(COLUMN($H64))),0)&lt;=52,基金费率!$H$25,
AND(MAX(MIN(COLUMN(L61)-(MAX(IF($H64:L64&lt;L61,COLUMN($H64:L64)))+1),COLUMN(L61)-(COLUMN($H64))),0)&gt;52,
MAX(MIN(COLUMN(L61)-(MAX(IF($H64:L64&lt;L61,COLUMN($H64:L64)))+1),COLUMN(L61)-(COLUMN($H64))),0)&lt;=104),基金费率!$H$26,
MAX(MIN(COLUMN(L61)-(MAX(IF($H64:L64&lt;L61,COLUMN($H64:L64)))+1),COLUMN(L61)-(COLUMN($H64))),0)&gt;104,基金费率!$H$27)</f>
        <v>0</v>
      </c>
      <c r="M63" s="522">
        <f t="array" ref="M63">M61-M61*_xlfn.IFS(
MAX(MIN(COLUMN(M61)-(MAX(IF($H64:M64&lt;M61,COLUMN($H64:M64)))+1),COLUMN(M61)-(COLUMN($H64))),0)&lt;=52,基金费率!$H$25,
AND(MAX(MIN(COLUMN(M61)-(MAX(IF($H64:M64&lt;M61,COLUMN($H64:M64)))+1),COLUMN(M61)-(COLUMN($H64))),0)&gt;52,
MAX(MIN(COLUMN(M61)-(MAX(IF($H64:M64&lt;M61,COLUMN($H64:M64)))+1),COLUMN(M61)-(COLUMN($H64))),0)&lt;=104),基金费率!$H$26,
MAX(MIN(COLUMN(M61)-(MAX(IF($H64:M64&lt;M61,COLUMN($H64:M64)))+1),COLUMN(M61)-(COLUMN($H64))),0)&gt;104,基金费率!$H$27)</f>
        <v>0</v>
      </c>
      <c r="N63" s="522">
        <f t="array" ref="N63">N61-N61*_xlfn.IFS(
MAX(MIN(COLUMN(N61)-(MAX(IF($H64:N64&lt;N61,COLUMN($H64:N64)))+1),COLUMN(N61)-(COLUMN($H64))),0)&lt;=52,基金费率!$H$25,
AND(MAX(MIN(COLUMN(N61)-(MAX(IF($H64:N64&lt;N61,COLUMN($H64:N64)))+1),COLUMN(N61)-(COLUMN($H64))),0)&gt;52,
MAX(MIN(COLUMN(N61)-(MAX(IF($H64:N64&lt;N61,COLUMN($H64:N64)))+1),COLUMN(N61)-(COLUMN($H64))),0)&lt;=104),基金费率!$H$26,
MAX(MIN(COLUMN(N61)-(MAX(IF($H64:N64&lt;N61,COLUMN($H64:N64)))+1),COLUMN(N61)-(COLUMN($H64))),0)&gt;104,基金费率!$H$27)</f>
        <v>0</v>
      </c>
      <c r="O63" s="522">
        <f t="array" ref="O63">O61-O61*_xlfn.IFS(
MAX(MIN(COLUMN(O61)-(MAX(IF($H64:O64&lt;O61,COLUMN($H64:O64)))+1),COLUMN(O61)-(COLUMN($H64))),0)&lt;=52,基金费率!$H$25,
AND(MAX(MIN(COLUMN(O61)-(MAX(IF($H64:O64&lt;O61,COLUMN($H64:O64)))+1),COLUMN(O61)-(COLUMN($H64))),0)&gt;52,
MAX(MIN(COLUMN(O61)-(MAX(IF($H64:O64&lt;O61,COLUMN($H64:O64)))+1),COLUMN(O61)-(COLUMN($H64))),0)&lt;=104),基金费率!$H$26,
MAX(MIN(COLUMN(O61)-(MAX(IF($H64:O64&lt;O61,COLUMN($H64:O64)))+1),COLUMN(O61)-(COLUMN($H64))),0)&gt;104,基金费率!$H$27)</f>
        <v>0</v>
      </c>
      <c r="P63" s="522">
        <f t="array" ref="P63">P61-P61*_xlfn.IFS(
MAX(MIN(COLUMN(P61)-(MAX(IF($H64:P64&lt;P61,COLUMN($H64:P64)))+1),COLUMN(P61)-(COLUMN($H64))),0)&lt;=52,基金费率!$H$25,
AND(MAX(MIN(COLUMN(P61)-(MAX(IF($H64:P64&lt;P61,COLUMN($H64:P64)))+1),COLUMN(P61)-(COLUMN($H64))),0)&gt;52,
MAX(MIN(COLUMN(P61)-(MAX(IF($H64:P64&lt;P61,COLUMN($H64:P64)))+1),COLUMN(P61)-(COLUMN($H64))),0)&lt;=104),基金费率!$H$26,
MAX(MIN(COLUMN(P61)-(MAX(IF($H64:P64&lt;P61,COLUMN($H64:P64)))+1),COLUMN(P61)-(COLUMN($H64))),0)&gt;104,基金费率!$H$27)</f>
        <v>0</v>
      </c>
      <c r="Q63" s="522">
        <f t="array" ref="Q63">Q61-Q61*_xlfn.IFS(
MAX(MIN(COLUMN(Q61)-(MAX(IF($H64:Q64&lt;Q61,COLUMN($H64:Q64)))+1),COLUMN(Q61)-(COLUMN($H64))),0)&lt;=52,基金费率!$H$25,
AND(MAX(MIN(COLUMN(Q61)-(MAX(IF($H64:Q64&lt;Q61,COLUMN($H64:Q64)))+1),COLUMN(Q61)-(COLUMN($H64))),0)&gt;52,
MAX(MIN(COLUMN(Q61)-(MAX(IF($H64:Q64&lt;Q61,COLUMN($H64:Q64)))+1),COLUMN(Q61)-(COLUMN($H64))),0)&lt;=104),基金费率!$H$26,
MAX(MIN(COLUMN(Q61)-(MAX(IF($H64:Q64&lt;Q61,COLUMN($H64:Q64)))+1),COLUMN(Q61)-(COLUMN($H64))),0)&gt;104,基金费率!$H$27)</f>
        <v>0</v>
      </c>
      <c r="R63" s="522" t="e">
        <f t="array" ref="R63">R61-R61*_xlfn.IFS(
MAX(MIN(COLUMN(R61)-(MAX(IF($H64:R64&lt;R61,COLUMN($H64:R64)))+1),COLUMN(R61)-(COLUMN($H64))),0)&lt;=52,基金费率!$H$25,
AND(MAX(MIN(COLUMN(R61)-(MAX(IF($H64:R64&lt;R61,COLUMN($H64:R64)))+1),COLUMN(R61)-(COLUMN($H64))),0)&gt;52,
MAX(MIN(COLUMN(R61)-(MAX(IF($H64:R64&lt;R61,COLUMN($H64:R64)))+1),COLUMN(R61)-(COLUMN($H64))),0)&lt;=104),基金费率!$H$26,
MAX(MIN(COLUMN(R61)-(MAX(IF($H64:R64&lt;R61,COLUMN($H64:R64)))+1),COLUMN(R61)-(COLUMN($H64))),0)&gt;104,基金费率!$H$27)</f>
        <v>#DIV/0!</v>
      </c>
      <c r="S63" s="522" t="e">
        <f t="array" ref="S63">S61-S61*_xlfn.IFS(
MAX(MIN(COLUMN(S61)-(MAX(IF($H64:S64&lt;S61,COLUMN($H64:S64)))+1),COLUMN(S61)-(COLUMN($H64))),0)&lt;=52,基金费率!$H$25,
AND(MAX(MIN(COLUMN(S61)-(MAX(IF($H64:S64&lt;S61,COLUMN($H64:S64)))+1),COLUMN(S61)-(COLUMN($H64))),0)&gt;52,
MAX(MIN(COLUMN(S61)-(MAX(IF($H64:S64&lt;S61,COLUMN($H64:S64)))+1),COLUMN(S61)-(COLUMN($H64))),0)&lt;=104),基金费率!$H$26,
MAX(MIN(COLUMN(S61)-(MAX(IF($H64:S64&lt;S61,COLUMN($H64:S64)))+1),COLUMN(S61)-(COLUMN($H64))),0)&gt;104,基金费率!$H$27)</f>
        <v>#DIV/0!</v>
      </c>
      <c r="T63" s="550" t="e">
        <f t="array" ref="T63">T61-T61*_xlfn.IFS(
MAX(MIN(COLUMN(T61)-(MAX(IF($H64:T64&lt;T61,COLUMN($H64:T64)))+1),COLUMN(T61)-(COLUMN($H64))),0)&lt;=52,基金费率!$H$25,
AND(MAX(MIN(COLUMN(T61)-(MAX(IF($H64:T64&lt;T61,COLUMN($H64:T64)))+1),COLUMN(T61)-(COLUMN($H64))),0)&gt;52,
MAX(MIN(COLUMN(T61)-(MAX(IF($H64:T64&lt;T61,COLUMN($H64:T64)))+1),COLUMN(T61)-(COLUMN($H64))),0)&lt;=104),基金费率!$H$26,
MAX(MIN(COLUMN(T61)-(MAX(IF($H64:T64&lt;T61,COLUMN($H64:T64)))+1),COLUMN(T61)-(COLUMN($H64))),0)&gt;104,基金费率!$H$27)</f>
        <v>#DIV/0!</v>
      </c>
      <c r="U63" s="543" t="e">
        <f t="array" ref="U63">U61-U61*_xlfn.IFS(
MAX(MIN(COLUMN(U61)-(MAX(IF($H64:U64&lt;U61,COLUMN($H64:U64)))+1),COLUMN(U61)-(COLUMN($H64))),0)&lt;=52,基金费率!$H$25,
AND(MAX(MIN(COLUMN(U61)-(MAX(IF($H64:U64&lt;U61,COLUMN($H64:U64)))+1),COLUMN(U61)-(COLUMN($H64))),0)&gt;52,
MAX(MIN(COLUMN(U61)-(MAX(IF($H64:U64&lt;U61,COLUMN($H64:U64)))+1),COLUMN(U61)-(COLUMN($H64))),0)&lt;=104),基金费率!$H$26,
MAX(MIN(COLUMN(U61)-(MAX(IF($H64:U64&lt;U61,COLUMN($H64:U64)))+1),COLUMN(U61)-(COLUMN($H64))),0)&gt;104,基金费率!$H$27)</f>
        <v>#DIV/0!</v>
      </c>
      <c r="V63" s="522" t="e">
        <f t="array" ref="V63">V61-V61*_xlfn.IFS(
MAX(MIN(COLUMN(V61)-(MAX(IF($H64:V64&lt;V61,COLUMN($H64:V64)))+1),COLUMN(V61)-(COLUMN($H64))),0)&lt;=52,基金费率!$H$25,
AND(MAX(MIN(COLUMN(V61)-(MAX(IF($H64:V64&lt;V61,COLUMN($H64:V64)))+1),COLUMN(V61)-(COLUMN($H64))),0)&gt;52,
MAX(MIN(COLUMN(V61)-(MAX(IF($H64:V64&lt;V61,COLUMN($H64:V64)))+1),COLUMN(V61)-(COLUMN($H64))),0)&lt;=104),基金费率!$H$26,
MAX(MIN(COLUMN(V61)-(MAX(IF($H64:V64&lt;V61,COLUMN($H64:V64)))+1),COLUMN(V61)-(COLUMN($H64))),0)&gt;104,基金费率!$H$27)</f>
        <v>#DIV/0!</v>
      </c>
      <c r="W63" s="522" t="e">
        <f t="array" ref="W63">W61-W61*_xlfn.IFS(
MAX(MIN(COLUMN(W61)-(MAX(IF($H64:W64&lt;W61,COLUMN($H64:W64)))+1),COLUMN(W61)-(COLUMN($H64))),0)&lt;=52,基金费率!$H$25,
AND(MAX(MIN(COLUMN(W61)-(MAX(IF($H64:W64&lt;W61,COLUMN($H64:W64)))+1),COLUMN(W61)-(COLUMN($H64))),0)&gt;52,
MAX(MIN(COLUMN(W61)-(MAX(IF($H64:W64&lt;W61,COLUMN($H64:W64)))+1),COLUMN(W61)-(COLUMN($H64))),0)&lt;=104),基金费率!$H$26,
MAX(MIN(COLUMN(W61)-(MAX(IF($H64:W64&lt;W61,COLUMN($H64:W64)))+1),COLUMN(W61)-(COLUMN($H64))),0)&gt;104,基金费率!$H$27)</f>
        <v>#DIV/0!</v>
      </c>
      <c r="X63" s="522" t="e">
        <f t="array" ref="X63">X61-X61*_xlfn.IFS(
MAX(MIN(COLUMN(X61)-(MAX(IF($H64:X64&lt;X61,COLUMN($H64:X64)))+1),COLUMN(X61)-(COLUMN($H64))),0)&lt;=52,基金费率!$H$25,
AND(MAX(MIN(COLUMN(X61)-(MAX(IF($H64:X64&lt;X61,COLUMN($H64:X64)))+1),COLUMN(X61)-(COLUMN($H64))),0)&gt;52,
MAX(MIN(COLUMN(X61)-(MAX(IF($H64:X64&lt;X61,COLUMN($H64:X64)))+1),COLUMN(X61)-(COLUMN($H64))),0)&lt;=104),基金费率!$H$26,
MAX(MIN(COLUMN(X61)-(MAX(IF($H64:X64&lt;X61,COLUMN($H64:X64)))+1),COLUMN(X61)-(COLUMN($H64))),0)&gt;104,基金费率!$H$27)</f>
        <v>#DIV/0!</v>
      </c>
      <c r="Y63" s="522" t="e">
        <f t="array" ref="Y63">Y61-Y61*_xlfn.IFS(
MAX(MIN(COLUMN(Y61)-(MAX(IF($H64:Y64&lt;Y61,COLUMN($H64:Y64)))+1),COLUMN(Y61)-(COLUMN($H64))),0)&lt;=52,基金费率!$H$25,
AND(MAX(MIN(COLUMN(Y61)-(MAX(IF($H64:Y64&lt;Y61,COLUMN($H64:Y64)))+1),COLUMN(Y61)-(COLUMN($H64))),0)&gt;52,
MAX(MIN(COLUMN(Y61)-(MAX(IF($H64:Y64&lt;Y61,COLUMN($H64:Y64)))+1),COLUMN(Y61)-(COLUMN($H64))),0)&lt;=104),基金费率!$H$26,
MAX(MIN(COLUMN(Y61)-(MAX(IF($H64:Y64&lt;Y61,COLUMN($H64:Y64)))+1),COLUMN(Y61)-(COLUMN($H64))),0)&gt;104,基金费率!$H$27)</f>
        <v>#DIV/0!</v>
      </c>
      <c r="Z63" s="522" t="e">
        <f t="array" ref="Z63">Z61-Z61*_xlfn.IFS(
MAX(MIN(COLUMN(Z61)-(MAX(IF($H64:Z64&lt;Z61,COLUMN($H64:Z64)))+1),COLUMN(Z61)-(COLUMN($H64))),0)&lt;=52,基金费率!$H$25,
AND(MAX(MIN(COLUMN(Z61)-(MAX(IF($H64:Z64&lt;Z61,COLUMN($H64:Z64)))+1),COLUMN(Z61)-(COLUMN($H64))),0)&gt;52,
MAX(MIN(COLUMN(Z61)-(MAX(IF($H64:Z64&lt;Z61,COLUMN($H64:Z64)))+1),COLUMN(Z61)-(COLUMN($H64))),0)&lt;=104),基金费率!$H$26,
MAX(MIN(COLUMN(Z61)-(MAX(IF($H64:Z64&lt;Z61,COLUMN($H64:Z64)))+1),COLUMN(Z61)-(COLUMN($H64))),0)&gt;104,基金费率!$H$27)</f>
        <v>#DIV/0!</v>
      </c>
      <c r="AA63" s="522" t="e">
        <f t="array" ref="AA63">AA61-AA61*_xlfn.IFS(
MAX(MIN(COLUMN(AA61)-(MAX(IF($H64:AA64&lt;AA61,COLUMN($H64:AA64)))+1),COLUMN(AA61)-(COLUMN($H64))),0)&lt;=52,基金费率!$H$25,
AND(MAX(MIN(COLUMN(AA61)-(MAX(IF($H64:AA64&lt;AA61,COLUMN($H64:AA64)))+1),COLUMN(AA61)-(COLUMN($H64))),0)&gt;52,
MAX(MIN(COLUMN(AA61)-(MAX(IF($H64:AA64&lt;AA61,COLUMN($H64:AA64)))+1),COLUMN(AA61)-(COLUMN($H64))),0)&lt;=104),基金费率!$H$26,
MAX(MIN(COLUMN(AA61)-(MAX(IF($H64:AA64&lt;AA61,COLUMN($H64:AA64)))+1),COLUMN(AA61)-(COLUMN($H64))),0)&gt;104,基金费率!$H$27)</f>
        <v>#DIV/0!</v>
      </c>
      <c r="AB63" s="522" t="e">
        <f t="array" ref="AB63">AB61-AB61*_xlfn.IFS(
MAX(MIN(COLUMN(AB61)-(MAX(IF($H64:AB64&lt;AB61,COLUMN($H64:AB64)))+1),COLUMN(AB61)-(COLUMN($H64))),0)&lt;=52,基金费率!$H$25,
AND(MAX(MIN(COLUMN(AB61)-(MAX(IF($H64:AB64&lt;AB61,COLUMN($H64:AB64)))+1),COLUMN(AB61)-(COLUMN($H64))),0)&gt;52,
MAX(MIN(COLUMN(AB61)-(MAX(IF($H64:AB64&lt;AB61,COLUMN($H64:AB64)))+1),COLUMN(AB61)-(COLUMN($H64))),0)&lt;=104),基金费率!$H$26,
MAX(MIN(COLUMN(AB61)-(MAX(IF($H64:AB64&lt;AB61,COLUMN($H64:AB64)))+1),COLUMN(AB61)-(COLUMN($H64))),0)&gt;104,基金费率!$H$27)</f>
        <v>#DIV/0!</v>
      </c>
      <c r="AC63" s="522" t="e">
        <f t="array" ref="AC63">AC61-AC61*_xlfn.IFS(
MAX(MIN(COLUMN(AC61)-(MAX(IF($H64:AC64&lt;AC61,COLUMN($H64:AC64)))+1),COLUMN(AC61)-(COLUMN($H64))),0)&lt;=52,基金费率!$H$25,
AND(MAX(MIN(COLUMN(AC61)-(MAX(IF($H64:AC64&lt;AC61,COLUMN($H64:AC64)))+1),COLUMN(AC61)-(COLUMN($H64))),0)&gt;52,
MAX(MIN(COLUMN(AC61)-(MAX(IF($H64:AC64&lt;AC61,COLUMN($H64:AC64)))+1),COLUMN(AC61)-(COLUMN($H64))),0)&lt;=104),基金费率!$H$26,
MAX(MIN(COLUMN(AC61)-(MAX(IF($H64:AC64&lt;AC61,COLUMN($H64:AC64)))+1),COLUMN(AC61)-(COLUMN($H64))),0)&gt;104,基金费率!$H$27)</f>
        <v>#DIV/0!</v>
      </c>
      <c r="AD63" s="522" t="e">
        <f t="array" ref="AD63">AD61-AD61*_xlfn.IFS(
MAX(MIN(COLUMN(AD61)-(MAX(IF($H64:AD64&lt;AD61,COLUMN($H64:AD64)))+1),COLUMN(AD61)-(COLUMN($H64))),0)&lt;=52,基金费率!$H$25,
AND(MAX(MIN(COLUMN(AD61)-(MAX(IF($H64:AD64&lt;AD61,COLUMN($H64:AD64)))+1),COLUMN(AD61)-(COLUMN($H64))),0)&gt;52,
MAX(MIN(COLUMN(AD61)-(MAX(IF($H64:AD64&lt;AD61,COLUMN($H64:AD64)))+1),COLUMN(AD61)-(COLUMN($H64))),0)&lt;=104),基金费率!$H$26,
MAX(MIN(COLUMN(AD61)-(MAX(IF($H64:AD64&lt;AD61,COLUMN($H64:AD64)))+1),COLUMN(AD61)-(COLUMN($H64))),0)&gt;104,基金费率!$H$27)</f>
        <v>#DIV/0!</v>
      </c>
      <c r="AE63" s="522" t="e">
        <f t="array" ref="AE63">AE61-AE61*_xlfn.IFS(
MAX(MIN(COLUMN(AE61)-(MAX(IF($H64:AE64&lt;AE61,COLUMN($H64:AE64)))+1),COLUMN(AE61)-(COLUMN($H64))),0)&lt;=52,基金费率!$H$25,
AND(MAX(MIN(COLUMN(AE61)-(MAX(IF($H64:AE64&lt;AE61,COLUMN($H64:AE64)))+1),COLUMN(AE61)-(COLUMN($H64))),0)&gt;52,
MAX(MIN(COLUMN(AE61)-(MAX(IF($H64:AE64&lt;AE61,COLUMN($H64:AE64)))+1),COLUMN(AE61)-(COLUMN($H64))),0)&lt;=104),基金费率!$H$26,
MAX(MIN(COLUMN(AE61)-(MAX(IF($H64:AE64&lt;AE61,COLUMN($H64:AE64)))+1),COLUMN(AE61)-(COLUMN($H64))),0)&gt;104,基金费率!$H$27)</f>
        <v>#DIV/0!</v>
      </c>
      <c r="AF63" s="522" t="e">
        <f t="array" ref="AF63">AF61-AF61*_xlfn.IFS(
MAX(MIN(COLUMN(AF61)-(MAX(IF($H64:AF64&lt;AF61,COLUMN($H64:AF64)))+1),COLUMN(AF61)-(COLUMN($H64))),0)&lt;=52,基金费率!$H$25,
AND(MAX(MIN(COLUMN(AF61)-(MAX(IF($H64:AF64&lt;AF61,COLUMN($H64:AF64)))+1),COLUMN(AF61)-(COLUMN($H64))),0)&gt;52,
MAX(MIN(COLUMN(AF61)-(MAX(IF($H64:AF64&lt;AF61,COLUMN($H64:AF64)))+1),COLUMN(AF61)-(COLUMN($H64))),0)&lt;=104),基金费率!$H$26,
MAX(MIN(COLUMN(AF61)-(MAX(IF($H64:AF64&lt;AF61,COLUMN($H64:AF64)))+1),COLUMN(AF61)-(COLUMN($H64))),0)&gt;104,基金费率!$H$27)</f>
        <v>#DIV/0!</v>
      </c>
      <c r="AG63" s="550" t="e">
        <f t="array" ref="AG63">AG61-AG61*_xlfn.IFS(
MAX(MIN(COLUMN(AG61)-(MAX(IF($H64:AG64&lt;AG61,COLUMN($H64:AG64)))+1),COLUMN(AG61)-(COLUMN($H64))),0)&lt;=52,基金费率!$H$25,
AND(MAX(MIN(COLUMN(AG61)-(MAX(IF($H64:AG64&lt;AG61,COLUMN($H64:AG64)))+1),COLUMN(AG61)-(COLUMN($H64))),0)&gt;52,
MAX(MIN(COLUMN(AG61)-(MAX(IF($H64:AG64&lt;AG61,COLUMN($H64:AG64)))+1),COLUMN(AG61)-(COLUMN($H64))),0)&lt;=104),基金费率!$H$26,
MAX(MIN(COLUMN(AG61)-(MAX(IF($H64:AG64&lt;AG61,COLUMN($H64:AG64)))+1),COLUMN(AG61)-(COLUMN($H64))),0)&gt;104,基金费率!$H$27)</f>
        <v>#DIV/0!</v>
      </c>
      <c r="AH63" s="538"/>
    </row>
    <row r="64" spans="2:34" ht="16" customHeight="1">
      <c r="B64" s="509"/>
      <c r="C64" s="581"/>
      <c r="D64" s="515" t="s">
        <v>286</v>
      </c>
      <c r="E64" s="516"/>
      <c r="F64" s="543">
        <f t="shared" si="19"/>
        <v>0</v>
      </c>
      <c r="G64" s="509"/>
      <c r="H64" s="543">
        <f>G64+H66</f>
        <v>0</v>
      </c>
      <c r="I64" s="522">
        <f t="shared" ref="I64:AG64" si="20">H64+I66</f>
        <v>0</v>
      </c>
      <c r="J64" s="522">
        <f t="shared" si="20"/>
        <v>0</v>
      </c>
      <c r="K64" s="522">
        <f t="shared" si="20"/>
        <v>0</v>
      </c>
      <c r="L64" s="522">
        <f t="shared" si="20"/>
        <v>0</v>
      </c>
      <c r="M64" s="522">
        <f t="shared" si="20"/>
        <v>0</v>
      </c>
      <c r="N64" s="522">
        <f t="shared" si="20"/>
        <v>0</v>
      </c>
      <c r="O64" s="522">
        <f t="shared" si="20"/>
        <v>0</v>
      </c>
      <c r="P64" s="522">
        <f t="shared" si="20"/>
        <v>0</v>
      </c>
      <c r="Q64" s="522">
        <f t="shared" si="20"/>
        <v>0</v>
      </c>
      <c r="R64" s="522" t="e">
        <f t="shared" si="20"/>
        <v>#DIV/0!</v>
      </c>
      <c r="S64" s="522" t="e">
        <f t="shared" si="20"/>
        <v>#DIV/0!</v>
      </c>
      <c r="T64" s="550" t="e">
        <f t="shared" si="20"/>
        <v>#DIV/0!</v>
      </c>
      <c r="U64" s="543" t="e">
        <f t="shared" si="20"/>
        <v>#DIV/0!</v>
      </c>
      <c r="V64" s="522" t="e">
        <f t="shared" si="20"/>
        <v>#DIV/0!</v>
      </c>
      <c r="W64" s="522" t="e">
        <f t="shared" si="20"/>
        <v>#DIV/0!</v>
      </c>
      <c r="X64" s="522" t="e">
        <f t="shared" si="20"/>
        <v>#DIV/0!</v>
      </c>
      <c r="Y64" s="522" t="e">
        <f t="shared" si="20"/>
        <v>#DIV/0!</v>
      </c>
      <c r="Z64" s="522" t="e">
        <f t="shared" si="20"/>
        <v>#DIV/0!</v>
      </c>
      <c r="AA64" s="522" t="e">
        <f t="shared" si="20"/>
        <v>#DIV/0!</v>
      </c>
      <c r="AB64" s="522" t="e">
        <f t="shared" si="20"/>
        <v>#DIV/0!</v>
      </c>
      <c r="AC64" s="522" t="e">
        <f t="shared" si="20"/>
        <v>#DIV/0!</v>
      </c>
      <c r="AD64" s="522" t="e">
        <f t="shared" si="20"/>
        <v>#DIV/0!</v>
      </c>
      <c r="AE64" s="522" t="e">
        <f t="shared" si="20"/>
        <v>#DIV/0!</v>
      </c>
      <c r="AF64" s="522" t="e">
        <f t="shared" si="20"/>
        <v>#DIV/0!</v>
      </c>
      <c r="AG64" s="550" t="e">
        <f t="shared" si="20"/>
        <v>#DIV/0!</v>
      </c>
    </row>
    <row r="65" spans="2:33" ht="16" customHeight="1">
      <c r="B65" s="509"/>
      <c r="C65" s="570"/>
      <c r="D65" s="571" t="s">
        <v>325</v>
      </c>
      <c r="E65" s="516"/>
      <c r="F65" s="542">
        <f t="shared" si="19"/>
        <v>0</v>
      </c>
      <c r="G65" s="509"/>
      <c r="H65" s="542">
        <f>H64*基金结算中枢!J$19</f>
        <v>0</v>
      </c>
      <c r="I65" s="542">
        <f>I64*基金结算中枢!K$19</f>
        <v>0</v>
      </c>
      <c r="J65" s="542">
        <f>J64*基金结算中枢!L$19</f>
        <v>0</v>
      </c>
      <c r="K65" s="542">
        <f>K64*基金结算中枢!M$19</f>
        <v>0</v>
      </c>
      <c r="L65" s="542">
        <f>L64*基金结算中枢!N$19</f>
        <v>0</v>
      </c>
      <c r="M65" s="542">
        <f>M64*基金结算中枢!O$19</f>
        <v>0</v>
      </c>
      <c r="N65" s="542">
        <f>N64*基金结算中枢!P$19</f>
        <v>0</v>
      </c>
      <c r="O65" s="542">
        <f>O64*基金结算中枢!Q$19</f>
        <v>0</v>
      </c>
      <c r="P65" s="542">
        <f>P64*基金结算中枢!R$19</f>
        <v>0</v>
      </c>
      <c r="Q65" s="542">
        <f>Q64*基金结算中枢!S$19</f>
        <v>0</v>
      </c>
      <c r="R65" s="542" t="e">
        <f>R64*基金结算中枢!T$19</f>
        <v>#DIV/0!</v>
      </c>
      <c r="S65" s="542" t="e">
        <f>S64*基金结算中枢!U$19</f>
        <v>#DIV/0!</v>
      </c>
      <c r="T65" s="792" t="e">
        <f>T64*基金结算中枢!V$19</f>
        <v>#DIV/0!</v>
      </c>
      <c r="U65" s="542" t="e">
        <f>U64*基金结算中枢!W$19</f>
        <v>#DIV/0!</v>
      </c>
      <c r="V65" s="542" t="e">
        <f>V64*基金结算中枢!X$19</f>
        <v>#DIV/0!</v>
      </c>
      <c r="W65" s="542" t="e">
        <f>W64*基金结算中枢!Y$19</f>
        <v>#DIV/0!</v>
      </c>
      <c r="X65" s="542" t="e">
        <f>X64*基金结算中枢!Z$19</f>
        <v>#DIV/0!</v>
      </c>
      <c r="Y65" s="542" t="e">
        <f>Y64*基金结算中枢!AA$19</f>
        <v>#DIV/0!</v>
      </c>
      <c r="Z65" s="542" t="e">
        <f>Z64*基金结算中枢!AB$19</f>
        <v>#DIV/0!</v>
      </c>
      <c r="AA65" s="542" t="e">
        <f>AA64*基金结算中枢!AC$19</f>
        <v>#DIV/0!</v>
      </c>
      <c r="AB65" s="542" t="e">
        <f>AB64*基金结算中枢!AD$19</f>
        <v>#DIV/0!</v>
      </c>
      <c r="AC65" s="542" t="e">
        <f>AC64*基金结算中枢!AE$19</f>
        <v>#DIV/0!</v>
      </c>
      <c r="AD65" s="542" t="e">
        <f>AD64*基金结算中枢!AF$19</f>
        <v>#DIV/0!</v>
      </c>
      <c r="AE65" s="542" t="e">
        <f>AE64*基金结算中枢!AG$19</f>
        <v>#DIV/0!</v>
      </c>
      <c r="AF65" s="542" t="e">
        <f>AF64*基金结算中枢!AH$19</f>
        <v>#DIV/0!</v>
      </c>
      <c r="AG65" s="792" t="e">
        <f>AG64*基金结算中枢!AI$19</f>
        <v>#DIV/0!</v>
      </c>
    </row>
    <row r="66" spans="2:33" ht="17" customHeight="1" thickBot="1">
      <c r="B66" s="509"/>
      <c r="C66" s="582"/>
      <c r="D66" s="523" t="s">
        <v>310</v>
      </c>
      <c r="E66" s="516"/>
      <c r="F66" s="543">
        <f t="shared" si="19"/>
        <v>0</v>
      </c>
      <c r="G66" s="509"/>
      <c r="H66" s="543">
        <f t="shared" ref="H66:AG66" si="21">H62-H61</f>
        <v>0</v>
      </c>
      <c r="I66" s="522">
        <f t="shared" si="21"/>
        <v>0</v>
      </c>
      <c r="J66" s="522">
        <f t="shared" si="21"/>
        <v>0</v>
      </c>
      <c r="K66" s="522">
        <f t="shared" si="21"/>
        <v>0</v>
      </c>
      <c r="L66" s="522">
        <f t="shared" si="21"/>
        <v>0</v>
      </c>
      <c r="M66" s="522">
        <f t="shared" si="21"/>
        <v>0</v>
      </c>
      <c r="N66" s="522">
        <f t="shared" si="21"/>
        <v>0</v>
      </c>
      <c r="O66" s="522">
        <f t="shared" si="21"/>
        <v>0</v>
      </c>
      <c r="P66" s="522">
        <f t="shared" si="21"/>
        <v>0</v>
      </c>
      <c r="Q66" s="522">
        <f t="shared" si="21"/>
        <v>0</v>
      </c>
      <c r="R66" s="522" t="e">
        <f t="shared" si="21"/>
        <v>#DIV/0!</v>
      </c>
      <c r="S66" s="522" t="e">
        <f t="shared" si="21"/>
        <v>#DIV/0!</v>
      </c>
      <c r="T66" s="550" t="e">
        <f t="shared" si="21"/>
        <v>#DIV/0!</v>
      </c>
      <c r="U66" s="543" t="e">
        <f t="shared" si="21"/>
        <v>#DIV/0!</v>
      </c>
      <c r="V66" s="522" t="e">
        <f t="shared" si="21"/>
        <v>#DIV/0!</v>
      </c>
      <c r="W66" s="522" t="e">
        <f t="shared" si="21"/>
        <v>#DIV/0!</v>
      </c>
      <c r="X66" s="522" t="e">
        <f t="shared" si="21"/>
        <v>#DIV/0!</v>
      </c>
      <c r="Y66" s="522" t="e">
        <f t="shared" si="21"/>
        <v>#DIV/0!</v>
      </c>
      <c r="Z66" s="522" t="e">
        <f t="shared" si="21"/>
        <v>#DIV/0!</v>
      </c>
      <c r="AA66" s="522" t="e">
        <f t="shared" si="21"/>
        <v>#DIV/0!</v>
      </c>
      <c r="AB66" s="522" t="e">
        <f t="shared" si="21"/>
        <v>#DIV/0!</v>
      </c>
      <c r="AC66" s="522" t="e">
        <f t="shared" si="21"/>
        <v>#DIV/0!</v>
      </c>
      <c r="AD66" s="522" t="e">
        <f t="shared" si="21"/>
        <v>#DIV/0!</v>
      </c>
      <c r="AE66" s="522" t="e">
        <f t="shared" si="21"/>
        <v>#DIV/0!</v>
      </c>
      <c r="AF66" s="522" t="e">
        <f t="shared" si="21"/>
        <v>#DIV/0!</v>
      </c>
      <c r="AG66" s="550" t="e">
        <f t="shared" si="21"/>
        <v>#DIV/0!</v>
      </c>
    </row>
    <row r="67" spans="2:33">
      <c r="B67" s="509"/>
      <c r="C67" s="509"/>
      <c r="D67" s="509"/>
      <c r="E67" s="509"/>
      <c r="F67" s="509"/>
      <c r="G67" s="509"/>
      <c r="H67" s="546"/>
      <c r="I67" s="524"/>
      <c r="J67" s="524"/>
      <c r="K67" s="524"/>
      <c r="L67" s="524"/>
      <c r="M67" s="524"/>
      <c r="N67" s="524"/>
      <c r="O67" s="524"/>
      <c r="P67" s="524"/>
      <c r="Q67" s="524"/>
      <c r="R67" s="524"/>
      <c r="S67" s="524"/>
      <c r="T67" s="583"/>
      <c r="U67" s="546"/>
      <c r="V67" s="524"/>
      <c r="W67" s="524"/>
      <c r="X67" s="524"/>
      <c r="Y67" s="524"/>
      <c r="Z67" s="524"/>
      <c r="AA67" s="524"/>
      <c r="AB67" s="524"/>
      <c r="AC67" s="524"/>
      <c r="AD67" s="524"/>
      <c r="AE67" s="524"/>
      <c r="AF67" s="524"/>
      <c r="AG67" s="583"/>
    </row>
    <row r="102" spans="8:17" ht="34">
      <c r="H102" s="547"/>
      <c r="I102" s="526"/>
      <c r="J102" s="526"/>
      <c r="K102" s="526"/>
      <c r="L102" s="526"/>
      <c r="M102" s="526">
        <v>1</v>
      </c>
      <c r="N102" s="526">
        <v>3</v>
      </c>
      <c r="O102" s="526">
        <v>0</v>
      </c>
      <c r="P102" s="526">
        <v>3</v>
      </c>
      <c r="Q102" s="520" t="s">
        <v>290</v>
      </c>
    </row>
    <row r="103" spans="8:17">
      <c r="H103" s="547">
        <v>1</v>
      </c>
      <c r="I103" s="526">
        <v>2</v>
      </c>
      <c r="J103" s="526">
        <v>3</v>
      </c>
      <c r="K103" s="526">
        <v>4</v>
      </c>
      <c r="L103" s="526">
        <v>3</v>
      </c>
      <c r="M103" s="526">
        <v>2</v>
      </c>
      <c r="N103" s="526">
        <v>3</v>
      </c>
      <c r="O103" s="526">
        <v>4</v>
      </c>
      <c r="P103" s="526">
        <v>4</v>
      </c>
      <c r="Q103" s="513" t="s">
        <v>286</v>
      </c>
    </row>
    <row r="104" spans="8:17">
      <c r="H104" s="547"/>
      <c r="I104" s="526"/>
      <c r="J104" s="526"/>
      <c r="K104" s="526"/>
      <c r="L104" s="526"/>
      <c r="M104" s="526"/>
      <c r="N104" s="526"/>
      <c r="O104" s="526"/>
      <c r="P104" s="526"/>
    </row>
    <row r="105" spans="8:17">
      <c r="H105" s="547"/>
      <c r="I105" s="526"/>
      <c r="J105" s="526"/>
      <c r="K105" s="526"/>
      <c r="L105" s="526"/>
      <c r="M105" s="526">
        <f t="array" ref="M105">MAX(MIN(COLUMN(M102)-(MAX(IF($H103:M103&lt;M102,COLUMN($H103:M103)))+1),COLUMN(M102)-(COLUMN($H103))),0)</f>
        <v>5</v>
      </c>
      <c r="N105" s="526">
        <f t="array" ref="N105">MAX(MIN(COLUMN(N102)-(MAX(IF($H103:N103&lt;N102,COLUMN($H103:N103)))+1),COLUMN(N102)-(COLUMN($H103))),0)</f>
        <v>0</v>
      </c>
      <c r="O105" s="526">
        <f t="array" ref="O105">MAX(MIN(COLUMN(O102)-(MAX(IF($H103:O103&lt;O102,COLUMN($H103:O103)))+1),COLUMN(O102)-(COLUMN($H103))),0)</f>
        <v>7</v>
      </c>
      <c r="P105" s="526">
        <f t="array" ref="P105">MAX(MIN(COLUMN(P102)-(MAX(IF($H103:P103&lt;P102,COLUMN($H103:P103)))+1),COLUMN(P102)-(COLUMN($H103))),0)</f>
        <v>2</v>
      </c>
      <c r="Q105" s="513" t="s">
        <v>319</v>
      </c>
    </row>
  </sheetData>
  <mergeCells count="2">
    <mergeCell ref="H2:T2"/>
    <mergeCell ref="U2:AG2"/>
  </mergeCells>
  <phoneticPr fontId="2" type="noConversion"/>
  <hyperlinks>
    <hyperlink ref="D2" location="目录!A1" display="目录" xr:uid="{997AFB63-12EE-B942-BD86-8F98D293F735}"/>
  </hyperlinks>
  <pageMargins left="0.7" right="0.7" top="0.75" bottom="0.75" header="0.3" footer="0.3"/>
  <pictur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A9EC-40A4-CD4E-B938-194C24E5AECB}">
  <dimension ref="A1:BD30"/>
  <sheetViews>
    <sheetView showGridLines="0" zoomScale="40" workbookViewId="0">
      <pane xSplit="9" topLeftCell="J1" activePane="topRight" state="frozen"/>
      <selection pane="topRight" activeCell="M43" sqref="M43"/>
    </sheetView>
  </sheetViews>
  <sheetFormatPr baseColWidth="10" defaultRowHeight="16"/>
  <cols>
    <col min="2" max="2" width="20.83203125" bestFit="1" customWidth="1"/>
    <col min="5" max="5" width="8.6640625" bestFit="1" customWidth="1"/>
    <col min="6" max="6" width="21.6640625" bestFit="1" customWidth="1"/>
    <col min="7" max="7" width="22" bestFit="1" customWidth="1"/>
    <col min="8" max="8" width="42" bestFit="1" customWidth="1"/>
    <col min="9" max="9" width="18.5" style="584" bestFit="1" customWidth="1"/>
    <col min="10" max="18" width="18.5" bestFit="1" customWidth="1"/>
    <col min="19" max="19" width="15.1640625" bestFit="1" customWidth="1"/>
    <col min="20" max="21" width="14" bestFit="1" customWidth="1"/>
    <col min="22" max="22" width="14" style="584" bestFit="1" customWidth="1"/>
    <col min="23" max="34" width="14" bestFit="1" customWidth="1"/>
    <col min="35" max="35" width="14" style="584" bestFit="1" customWidth="1"/>
    <col min="36" max="48" width="14" bestFit="1" customWidth="1"/>
  </cols>
  <sheetData>
    <row r="1" spans="1:56" ht="17" thickBot="1"/>
    <row r="2" spans="1:56" ht="75" customHeight="1" thickBot="1">
      <c r="B2" s="1458" t="s">
        <v>199</v>
      </c>
    </row>
    <row r="3" spans="1:56" ht="63" customHeight="1">
      <c r="S3" s="566"/>
    </row>
    <row r="4" spans="1:56">
      <c r="D4" s="481"/>
      <c r="E4" s="481"/>
      <c r="F4" s="481"/>
      <c r="G4" s="481"/>
      <c r="H4" s="481"/>
      <c r="I4" s="585"/>
      <c r="J4" s="481"/>
      <c r="K4" s="481"/>
      <c r="L4" s="481"/>
      <c r="M4" s="481"/>
      <c r="N4" s="481"/>
      <c r="O4" s="481"/>
      <c r="P4" s="481"/>
      <c r="Q4" s="481"/>
      <c r="R4" s="481"/>
      <c r="S4" s="566"/>
      <c r="T4" s="481"/>
      <c r="U4" s="481"/>
      <c r="V4" s="585"/>
      <c r="W4" s="481"/>
      <c r="X4" s="481"/>
      <c r="Y4" s="481"/>
      <c r="Z4" s="481"/>
      <c r="AA4" s="481"/>
      <c r="AB4" s="481"/>
      <c r="AC4" s="481"/>
      <c r="AD4" s="481"/>
      <c r="AE4" s="481"/>
      <c r="AF4" s="481"/>
      <c r="AG4" s="481"/>
      <c r="AH4" s="481"/>
      <c r="AI4" s="585"/>
      <c r="AJ4" s="481"/>
      <c r="AK4" s="481"/>
      <c r="AL4" s="481"/>
      <c r="AM4" s="481"/>
      <c r="AN4" s="481"/>
      <c r="AO4" s="481"/>
      <c r="AP4" s="481"/>
      <c r="AQ4" s="481"/>
      <c r="AR4" s="481"/>
      <c r="AS4" s="481"/>
      <c r="AT4" s="481"/>
      <c r="AU4" s="481"/>
      <c r="AV4" s="481"/>
      <c r="AW4" s="481"/>
      <c r="AX4" s="481"/>
      <c r="AY4" s="481"/>
      <c r="AZ4" s="481"/>
      <c r="BA4" s="481"/>
      <c r="BB4" s="481"/>
      <c r="BC4" s="481"/>
      <c r="BD4" s="481"/>
    </row>
    <row r="5" spans="1:56" ht="79" customHeight="1">
      <c r="D5" s="481"/>
      <c r="E5" s="493"/>
      <c r="F5" s="493"/>
      <c r="G5" s="493"/>
      <c r="H5" s="493"/>
      <c r="I5" s="586"/>
      <c r="J5" s="1431" t="s">
        <v>324</v>
      </c>
      <c r="K5" s="1431"/>
      <c r="L5" s="1431"/>
      <c r="M5" s="1431"/>
      <c r="N5" s="1431"/>
      <c r="O5" s="1431"/>
      <c r="P5" s="1431"/>
      <c r="Q5" s="1431"/>
      <c r="R5" s="1431"/>
      <c r="S5" s="1431"/>
      <c r="T5" s="1431"/>
      <c r="U5" s="1431"/>
      <c r="V5" s="1431"/>
      <c r="W5" s="1432" t="s">
        <v>304</v>
      </c>
      <c r="X5" s="1432"/>
      <c r="Y5" s="1432"/>
      <c r="Z5" s="1432"/>
      <c r="AA5" s="1432"/>
      <c r="AB5" s="1432"/>
      <c r="AC5" s="1432"/>
      <c r="AD5" s="1432"/>
      <c r="AE5" s="1432"/>
      <c r="AF5" s="1432"/>
      <c r="AG5" s="1432"/>
      <c r="AH5" s="1432"/>
      <c r="AI5" s="1432"/>
      <c r="AJ5" s="1431" t="s">
        <v>305</v>
      </c>
      <c r="AK5" s="1431"/>
      <c r="AL5" s="1431"/>
      <c r="AM5" s="1431"/>
      <c r="AN5" s="1431"/>
      <c r="AO5" s="1431"/>
      <c r="AP5" s="1431"/>
      <c r="AQ5" s="1431"/>
      <c r="AR5" s="1431"/>
      <c r="AS5" s="1431"/>
      <c r="AT5" s="1431"/>
      <c r="AU5" s="1431"/>
      <c r="AV5" s="1431"/>
    </row>
    <row r="6" spans="1:56" s="144" customFormat="1">
      <c r="A6"/>
      <c r="B6"/>
      <c r="C6"/>
      <c r="D6" s="487"/>
      <c r="E6" s="754"/>
      <c r="F6" s="754"/>
      <c r="G6" s="754"/>
      <c r="H6" s="754"/>
      <c r="I6" s="587">
        <v>44367</v>
      </c>
      <c r="J6" s="588">
        <v>44374</v>
      </c>
      <c r="K6" s="588">
        <v>44381</v>
      </c>
      <c r="L6" s="588">
        <v>44388</v>
      </c>
      <c r="M6" s="588">
        <v>44395</v>
      </c>
      <c r="N6" s="588">
        <v>44402</v>
      </c>
      <c r="O6" s="588">
        <v>44409</v>
      </c>
      <c r="P6" s="588">
        <v>44416</v>
      </c>
      <c r="Q6" s="588">
        <v>44423</v>
      </c>
      <c r="R6" s="588">
        <v>44430</v>
      </c>
      <c r="S6" s="588">
        <v>44437</v>
      </c>
      <c r="T6" s="588">
        <v>44444</v>
      </c>
      <c r="U6" s="588">
        <v>44451</v>
      </c>
      <c r="V6" s="587">
        <v>44458</v>
      </c>
      <c r="W6" s="588">
        <v>44465</v>
      </c>
      <c r="X6" s="588">
        <v>44472</v>
      </c>
      <c r="Y6" s="588">
        <v>44479</v>
      </c>
      <c r="Z6" s="588">
        <v>44486</v>
      </c>
      <c r="AA6" s="588">
        <v>44493</v>
      </c>
      <c r="AB6" s="588">
        <v>44500</v>
      </c>
      <c r="AC6" s="588">
        <v>44507</v>
      </c>
      <c r="AD6" s="588">
        <v>44514</v>
      </c>
      <c r="AE6" s="588">
        <v>44521</v>
      </c>
      <c r="AF6" s="588">
        <v>44528</v>
      </c>
      <c r="AG6" s="588">
        <v>44535</v>
      </c>
      <c r="AH6" s="588">
        <v>44542</v>
      </c>
      <c r="AI6" s="587">
        <v>44549</v>
      </c>
      <c r="AJ6" s="588">
        <v>44647</v>
      </c>
      <c r="AK6" s="588">
        <v>44654</v>
      </c>
      <c r="AL6" s="588">
        <v>44661</v>
      </c>
      <c r="AM6" s="588">
        <v>44668</v>
      </c>
      <c r="AN6" s="588">
        <v>44675</v>
      </c>
      <c r="AO6" s="588">
        <v>44682</v>
      </c>
      <c r="AP6" s="588">
        <v>44689</v>
      </c>
      <c r="AQ6" s="588">
        <v>44696</v>
      </c>
      <c r="AR6" s="588">
        <v>44703</v>
      </c>
      <c r="AS6" s="588">
        <v>44710</v>
      </c>
      <c r="AT6" s="588">
        <v>44717</v>
      </c>
      <c r="AU6" s="588">
        <v>44724</v>
      </c>
      <c r="AV6" s="588">
        <v>44731</v>
      </c>
      <c r="AW6" s="754"/>
      <c r="AX6" s="754"/>
      <c r="AY6" s="754"/>
      <c r="AZ6" s="754"/>
      <c r="BA6" s="754"/>
      <c r="BB6" s="754"/>
      <c r="BC6" s="754"/>
    </row>
    <row r="7" spans="1:56" s="578" customFormat="1">
      <c r="A7" s="589"/>
      <c r="B7" s="589"/>
      <c r="C7" s="589"/>
      <c r="E7" s="578" t="s">
        <v>292</v>
      </c>
      <c r="F7" s="578" t="s">
        <v>264</v>
      </c>
      <c r="G7" s="578" t="s">
        <v>436</v>
      </c>
      <c r="H7" s="759" t="s">
        <v>268</v>
      </c>
      <c r="I7" s="590">
        <v>0.01</v>
      </c>
      <c r="J7" s="578">
        <v>0.01</v>
      </c>
      <c r="K7" s="578">
        <v>0.01</v>
      </c>
      <c r="L7" s="578">
        <v>0.01</v>
      </c>
      <c r="M7" s="578">
        <v>0.01</v>
      </c>
      <c r="N7" s="578">
        <v>0.01</v>
      </c>
      <c r="O7" s="578">
        <v>0.01</v>
      </c>
      <c r="P7" s="578">
        <v>0.01</v>
      </c>
      <c r="Q7" s="578">
        <v>0.01</v>
      </c>
      <c r="R7" s="578">
        <v>0.01</v>
      </c>
      <c r="S7" s="578">
        <f>57130.48+6421.86+23253.9</f>
        <v>86806.24</v>
      </c>
      <c r="T7" s="578">
        <v>0</v>
      </c>
      <c r="U7" s="578">
        <v>0</v>
      </c>
      <c r="V7" s="590">
        <v>0</v>
      </c>
      <c r="W7" s="578">
        <v>0</v>
      </c>
      <c r="X7" s="578">
        <v>0</v>
      </c>
      <c r="Y7" s="578">
        <v>0</v>
      </c>
      <c r="Z7" s="578">
        <v>0</v>
      </c>
      <c r="AA7" s="578">
        <v>0</v>
      </c>
      <c r="AB7" s="578">
        <v>0</v>
      </c>
      <c r="AC7" s="578">
        <v>0</v>
      </c>
      <c r="AD7" s="578">
        <v>0</v>
      </c>
      <c r="AE7" s="578">
        <v>0</v>
      </c>
      <c r="AF7" s="578">
        <v>0</v>
      </c>
      <c r="AG7" s="578">
        <v>0</v>
      </c>
      <c r="AH7" s="578">
        <v>0</v>
      </c>
      <c r="AI7" s="590">
        <v>0</v>
      </c>
      <c r="AJ7" s="578">
        <v>0</v>
      </c>
      <c r="AK7" s="578">
        <v>0</v>
      </c>
      <c r="AL7" s="578">
        <v>0</v>
      </c>
      <c r="AM7" s="578">
        <v>0</v>
      </c>
    </row>
    <row r="8" spans="1:56" s="390" customFormat="1">
      <c r="A8"/>
      <c r="B8"/>
      <c r="C8"/>
      <c r="D8" s="481"/>
      <c r="E8" s="390" t="s">
        <v>292</v>
      </c>
      <c r="F8" s="390" t="s">
        <v>279</v>
      </c>
      <c r="G8" s="390" t="s">
        <v>270</v>
      </c>
      <c r="H8" s="760" t="s">
        <v>269</v>
      </c>
      <c r="I8" s="591">
        <v>1E-8</v>
      </c>
      <c r="J8" s="488">
        <f>I23+I18</f>
        <v>1.0003837088198213E-8</v>
      </c>
      <c r="K8" s="488">
        <f t="shared" ref="K8:AM8" si="0">J23+J18</f>
        <v>1.0007674176396426E-8</v>
      </c>
      <c r="L8" s="488">
        <f t="shared" si="0"/>
        <v>1.0011511264594639E-8</v>
      </c>
      <c r="M8" s="488">
        <f t="shared" si="0"/>
        <v>1.0015348352792851E-8</v>
      </c>
      <c r="N8" s="488">
        <f t="shared" si="0"/>
        <v>1.0019185440991064E-8</v>
      </c>
      <c r="O8" s="488">
        <f t="shared" si="0"/>
        <v>1.0023022529189277E-8</v>
      </c>
      <c r="P8" s="488">
        <f t="shared" si="0"/>
        <v>1.002685961738749E-8</v>
      </c>
      <c r="Q8" s="488">
        <f t="shared" si="0"/>
        <v>1.0030696705585702E-8</v>
      </c>
      <c r="R8" s="488">
        <f t="shared" si="0"/>
        <v>1.0034533793783915E-8</v>
      </c>
      <c r="S8" s="488">
        <f t="shared" si="0"/>
        <v>1.0038370881982128E-8</v>
      </c>
      <c r="T8" s="488">
        <f t="shared" si="0"/>
        <v>8.6839548420325592</v>
      </c>
      <c r="U8" s="488" t="e">
        <f t="shared" si="0"/>
        <v>#DIV/0!</v>
      </c>
      <c r="V8" s="591" t="e">
        <f t="shared" si="0"/>
        <v>#DIV/0!</v>
      </c>
      <c r="W8" s="488" t="e">
        <f t="shared" si="0"/>
        <v>#DIV/0!</v>
      </c>
      <c r="X8" s="488" t="e">
        <f t="shared" si="0"/>
        <v>#DIV/0!</v>
      </c>
      <c r="Y8" s="488" t="e">
        <f t="shared" si="0"/>
        <v>#DIV/0!</v>
      </c>
      <c r="Z8" s="488" t="e">
        <f t="shared" si="0"/>
        <v>#DIV/0!</v>
      </c>
      <c r="AA8" s="488" t="e">
        <f t="shared" si="0"/>
        <v>#DIV/0!</v>
      </c>
      <c r="AB8" s="488" t="e">
        <f t="shared" si="0"/>
        <v>#DIV/0!</v>
      </c>
      <c r="AC8" s="488" t="e">
        <f t="shared" si="0"/>
        <v>#DIV/0!</v>
      </c>
      <c r="AD8" s="488" t="e">
        <f t="shared" si="0"/>
        <v>#DIV/0!</v>
      </c>
      <c r="AE8" s="488" t="e">
        <f t="shared" si="0"/>
        <v>#DIV/0!</v>
      </c>
      <c r="AF8" s="488" t="e">
        <f t="shared" si="0"/>
        <v>#DIV/0!</v>
      </c>
      <c r="AG8" s="488" t="e">
        <f t="shared" si="0"/>
        <v>#DIV/0!</v>
      </c>
      <c r="AH8" s="488" t="e">
        <f t="shared" si="0"/>
        <v>#DIV/0!</v>
      </c>
      <c r="AI8" s="591" t="e">
        <f t="shared" si="0"/>
        <v>#DIV/0!</v>
      </c>
      <c r="AJ8" s="488" t="e">
        <f t="shared" si="0"/>
        <v>#DIV/0!</v>
      </c>
      <c r="AK8" s="488" t="e">
        <f t="shared" si="0"/>
        <v>#DIV/0!</v>
      </c>
      <c r="AL8" s="488" t="e">
        <f t="shared" si="0"/>
        <v>#DIV/0!</v>
      </c>
      <c r="AM8" s="488" t="e">
        <f t="shared" si="0"/>
        <v>#DIV/0!</v>
      </c>
    </row>
    <row r="9" spans="1:56" s="390" customFormat="1">
      <c r="A9"/>
      <c r="B9"/>
      <c r="C9"/>
      <c r="D9" s="481"/>
      <c r="E9" s="390" t="s">
        <v>292</v>
      </c>
      <c r="F9" s="390" t="s">
        <v>280</v>
      </c>
      <c r="G9" s="390" t="s">
        <v>270</v>
      </c>
      <c r="H9" s="760" t="s">
        <v>266</v>
      </c>
      <c r="I9" s="591">
        <v>0</v>
      </c>
      <c r="J9" s="488">
        <f>I23</f>
        <v>3.8370881982127147E-12</v>
      </c>
      <c r="K9" s="488">
        <f t="shared" ref="K9:AM9" si="1">J23</f>
        <v>7.6741763964254293E-12</v>
      </c>
      <c r="L9" s="488">
        <f t="shared" si="1"/>
        <v>1.1511264594638145E-11</v>
      </c>
      <c r="M9" s="488">
        <f t="shared" si="1"/>
        <v>1.5348352792850859E-11</v>
      </c>
      <c r="N9" s="488">
        <f t="shared" si="1"/>
        <v>1.9185440991063572E-11</v>
      </c>
      <c r="O9" s="488">
        <f t="shared" si="1"/>
        <v>2.3022529189276286E-11</v>
      </c>
      <c r="P9" s="488">
        <f t="shared" si="1"/>
        <v>2.6859617387489E-11</v>
      </c>
      <c r="Q9" s="488">
        <f t="shared" si="1"/>
        <v>3.0696705585701717E-11</v>
      </c>
      <c r="R9" s="488">
        <f t="shared" si="1"/>
        <v>3.4533793783914434E-11</v>
      </c>
      <c r="S9" s="488">
        <f t="shared" si="1"/>
        <v>3.8370881982127151E-11</v>
      </c>
      <c r="T9" s="488">
        <f t="shared" si="1"/>
        <v>3.3308320325599007E-3</v>
      </c>
      <c r="U9" s="488" t="e">
        <f t="shared" si="1"/>
        <v>#DIV/0!</v>
      </c>
      <c r="V9" s="591" t="e">
        <f t="shared" si="1"/>
        <v>#DIV/0!</v>
      </c>
      <c r="W9" s="488" t="e">
        <f t="shared" si="1"/>
        <v>#DIV/0!</v>
      </c>
      <c r="X9" s="488" t="e">
        <f t="shared" si="1"/>
        <v>#DIV/0!</v>
      </c>
      <c r="Y9" s="488" t="e">
        <f t="shared" si="1"/>
        <v>#DIV/0!</v>
      </c>
      <c r="Z9" s="488" t="e">
        <f t="shared" si="1"/>
        <v>#DIV/0!</v>
      </c>
      <c r="AA9" s="488" t="e">
        <f t="shared" si="1"/>
        <v>#DIV/0!</v>
      </c>
      <c r="AB9" s="488" t="e">
        <f t="shared" si="1"/>
        <v>#DIV/0!</v>
      </c>
      <c r="AC9" s="488" t="e">
        <f t="shared" si="1"/>
        <v>#DIV/0!</v>
      </c>
      <c r="AD9" s="488" t="e">
        <f t="shared" si="1"/>
        <v>#DIV/0!</v>
      </c>
      <c r="AE9" s="488" t="e">
        <f t="shared" si="1"/>
        <v>#DIV/0!</v>
      </c>
      <c r="AF9" s="488" t="e">
        <f t="shared" si="1"/>
        <v>#DIV/0!</v>
      </c>
      <c r="AG9" s="488" t="e">
        <f t="shared" si="1"/>
        <v>#DIV/0!</v>
      </c>
      <c r="AH9" s="488" t="e">
        <f t="shared" si="1"/>
        <v>#DIV/0!</v>
      </c>
      <c r="AI9" s="591" t="e">
        <f t="shared" si="1"/>
        <v>#DIV/0!</v>
      </c>
      <c r="AJ9" s="488" t="e">
        <f t="shared" si="1"/>
        <v>#DIV/0!</v>
      </c>
      <c r="AK9" s="488" t="e">
        <f t="shared" si="1"/>
        <v>#DIV/0!</v>
      </c>
      <c r="AL9" s="488" t="e">
        <f t="shared" si="1"/>
        <v>#DIV/0!</v>
      </c>
      <c r="AM9" s="488" t="e">
        <f t="shared" si="1"/>
        <v>#DIV/0!</v>
      </c>
    </row>
    <row r="10" spans="1:56" s="390" customFormat="1">
      <c r="A10" s="589"/>
      <c r="B10" s="589"/>
      <c r="C10" s="589"/>
      <c r="D10" s="481"/>
      <c r="E10" s="390" t="s">
        <v>292</v>
      </c>
      <c r="F10" s="390" t="s">
        <v>283</v>
      </c>
      <c r="G10" s="390" t="s">
        <v>287</v>
      </c>
      <c r="H10" s="760" t="s">
        <v>276</v>
      </c>
      <c r="I10" s="591">
        <f>I8-I9</f>
        <v>1E-8</v>
      </c>
      <c r="J10" s="488">
        <f>J8-J9</f>
        <v>1E-8</v>
      </c>
      <c r="K10" s="488">
        <f>K8-K9</f>
        <v>1E-8</v>
      </c>
      <c r="L10" s="488">
        <f t="shared" ref="L10:AM10" si="2">L8-L9</f>
        <v>1E-8</v>
      </c>
      <c r="M10" s="488">
        <f t="shared" si="2"/>
        <v>1E-8</v>
      </c>
      <c r="N10" s="488">
        <f t="shared" si="2"/>
        <v>1E-8</v>
      </c>
      <c r="O10" s="488">
        <f t="shared" si="2"/>
        <v>1E-8</v>
      </c>
      <c r="P10" s="488">
        <f t="shared" si="2"/>
        <v>1E-8</v>
      </c>
      <c r="Q10" s="488">
        <f t="shared" si="2"/>
        <v>1E-8</v>
      </c>
      <c r="R10" s="488">
        <f t="shared" si="2"/>
        <v>1E-8</v>
      </c>
      <c r="S10" s="488">
        <f>S7/S11</f>
        <v>8.6806239999999999</v>
      </c>
      <c r="T10" s="488">
        <f t="shared" si="2"/>
        <v>8.6806240099999989</v>
      </c>
      <c r="U10" s="488" t="e">
        <f t="shared" si="2"/>
        <v>#DIV/0!</v>
      </c>
      <c r="V10" s="591" t="e">
        <f t="shared" si="2"/>
        <v>#DIV/0!</v>
      </c>
      <c r="W10" s="488" t="e">
        <f t="shared" si="2"/>
        <v>#DIV/0!</v>
      </c>
      <c r="X10" s="488" t="e">
        <f t="shared" si="2"/>
        <v>#DIV/0!</v>
      </c>
      <c r="Y10" s="488" t="e">
        <f t="shared" si="2"/>
        <v>#DIV/0!</v>
      </c>
      <c r="Z10" s="488" t="e">
        <f t="shared" si="2"/>
        <v>#DIV/0!</v>
      </c>
      <c r="AA10" s="488" t="e">
        <f t="shared" si="2"/>
        <v>#DIV/0!</v>
      </c>
      <c r="AB10" s="488" t="e">
        <f t="shared" si="2"/>
        <v>#DIV/0!</v>
      </c>
      <c r="AC10" s="488" t="e">
        <f t="shared" si="2"/>
        <v>#DIV/0!</v>
      </c>
      <c r="AD10" s="488" t="e">
        <f t="shared" si="2"/>
        <v>#DIV/0!</v>
      </c>
      <c r="AE10" s="488" t="e">
        <f t="shared" si="2"/>
        <v>#DIV/0!</v>
      </c>
      <c r="AF10" s="488" t="e">
        <f t="shared" si="2"/>
        <v>#DIV/0!</v>
      </c>
      <c r="AG10" s="488" t="e">
        <f t="shared" si="2"/>
        <v>#DIV/0!</v>
      </c>
      <c r="AH10" s="488" t="e">
        <f t="shared" si="2"/>
        <v>#DIV/0!</v>
      </c>
      <c r="AI10" s="591" t="e">
        <f t="shared" si="2"/>
        <v>#DIV/0!</v>
      </c>
      <c r="AJ10" s="488" t="e">
        <f t="shared" si="2"/>
        <v>#DIV/0!</v>
      </c>
      <c r="AK10" s="488" t="e">
        <f t="shared" si="2"/>
        <v>#DIV/0!</v>
      </c>
      <c r="AL10" s="488" t="e">
        <f t="shared" si="2"/>
        <v>#DIV/0!</v>
      </c>
      <c r="AM10" s="488" t="e">
        <f t="shared" si="2"/>
        <v>#DIV/0!</v>
      </c>
    </row>
    <row r="11" spans="1:56" s="757" customFormat="1">
      <c r="A11" s="589"/>
      <c r="B11" s="589"/>
      <c r="C11" s="589"/>
      <c r="D11" s="568"/>
      <c r="E11" s="757" t="s">
        <v>292</v>
      </c>
      <c r="F11" s="757" t="s">
        <v>283</v>
      </c>
      <c r="G11" s="757" t="s">
        <v>436</v>
      </c>
      <c r="H11" s="761" t="s">
        <v>273</v>
      </c>
      <c r="I11" s="758">
        <f>I7/I10</f>
        <v>1000000</v>
      </c>
      <c r="J11" s="757">
        <f>J7/J10</f>
        <v>1000000</v>
      </c>
      <c r="K11" s="757">
        <f>K7/K10</f>
        <v>1000000</v>
      </c>
      <c r="L11" s="757">
        <f t="shared" ref="L11:AM11" si="3">L7/L10</f>
        <v>1000000</v>
      </c>
      <c r="M11" s="757">
        <f t="shared" si="3"/>
        <v>1000000</v>
      </c>
      <c r="N11" s="757">
        <f t="shared" si="3"/>
        <v>1000000</v>
      </c>
      <c r="O11" s="757">
        <f t="shared" si="3"/>
        <v>1000000</v>
      </c>
      <c r="P11" s="757">
        <f t="shared" si="3"/>
        <v>1000000</v>
      </c>
      <c r="Q11" s="757">
        <f t="shared" si="3"/>
        <v>1000000</v>
      </c>
      <c r="R11" s="757">
        <f t="shared" si="3"/>
        <v>1000000</v>
      </c>
      <c r="S11" s="757">
        <f>10000</f>
        <v>10000</v>
      </c>
      <c r="T11" s="757">
        <f t="shared" si="3"/>
        <v>0</v>
      </c>
      <c r="U11" s="757" t="e">
        <f t="shared" si="3"/>
        <v>#DIV/0!</v>
      </c>
      <c r="V11" s="758" t="e">
        <f t="shared" si="3"/>
        <v>#DIV/0!</v>
      </c>
      <c r="W11" s="757" t="e">
        <f t="shared" si="3"/>
        <v>#DIV/0!</v>
      </c>
      <c r="X11" s="757" t="e">
        <f t="shared" si="3"/>
        <v>#DIV/0!</v>
      </c>
      <c r="Y11" s="757" t="e">
        <f t="shared" si="3"/>
        <v>#DIV/0!</v>
      </c>
      <c r="Z11" s="757" t="e">
        <f t="shared" si="3"/>
        <v>#DIV/0!</v>
      </c>
      <c r="AA11" s="757" t="e">
        <f t="shared" si="3"/>
        <v>#DIV/0!</v>
      </c>
      <c r="AB11" s="757" t="e">
        <f t="shared" si="3"/>
        <v>#DIV/0!</v>
      </c>
      <c r="AC11" s="757" t="e">
        <f t="shared" si="3"/>
        <v>#DIV/0!</v>
      </c>
      <c r="AD11" s="757" t="e">
        <f t="shared" si="3"/>
        <v>#DIV/0!</v>
      </c>
      <c r="AE11" s="757" t="e">
        <f t="shared" si="3"/>
        <v>#DIV/0!</v>
      </c>
      <c r="AF11" s="757" t="e">
        <f t="shared" si="3"/>
        <v>#DIV/0!</v>
      </c>
      <c r="AG11" s="757" t="e">
        <f t="shared" si="3"/>
        <v>#DIV/0!</v>
      </c>
      <c r="AH11" s="757" t="e">
        <f t="shared" si="3"/>
        <v>#DIV/0!</v>
      </c>
      <c r="AI11" s="758" t="e">
        <f t="shared" si="3"/>
        <v>#DIV/0!</v>
      </c>
      <c r="AJ11" s="757" t="e">
        <f t="shared" si="3"/>
        <v>#DIV/0!</v>
      </c>
      <c r="AK11" s="757" t="e">
        <f t="shared" si="3"/>
        <v>#DIV/0!</v>
      </c>
      <c r="AL11" s="757" t="e">
        <f t="shared" si="3"/>
        <v>#DIV/0!</v>
      </c>
      <c r="AM11" s="757" t="e">
        <f t="shared" si="3"/>
        <v>#DIV/0!</v>
      </c>
    </row>
    <row r="12" spans="1:56" s="593" customFormat="1">
      <c r="A12" s="589"/>
      <c r="B12" s="589"/>
      <c r="C12" s="589"/>
      <c r="D12" s="592"/>
      <c r="E12" s="593" t="s">
        <v>293</v>
      </c>
      <c r="F12" s="593" t="s">
        <v>281</v>
      </c>
      <c r="G12" s="593" t="s">
        <v>436</v>
      </c>
      <c r="H12" s="762" t="s">
        <v>291</v>
      </c>
      <c r="I12" s="594">
        <v>0</v>
      </c>
      <c r="J12" s="593">
        <f>基金申赎记录!H7</f>
        <v>0</v>
      </c>
      <c r="K12" s="593">
        <f>基金申赎记录!I7</f>
        <v>0</v>
      </c>
      <c r="L12" s="593">
        <f>基金申赎记录!J7</f>
        <v>0</v>
      </c>
      <c r="M12" s="593">
        <f>基金申赎记录!K7</f>
        <v>0</v>
      </c>
      <c r="N12" s="593">
        <f>基金申赎记录!L7</f>
        <v>0</v>
      </c>
      <c r="O12" s="593">
        <f>基金申赎记录!M7</f>
        <v>0</v>
      </c>
      <c r="P12" s="593">
        <f>基金申赎记录!N7</f>
        <v>0</v>
      </c>
      <c r="Q12" s="593">
        <f>基金申赎记录!O7</f>
        <v>0</v>
      </c>
      <c r="R12" s="593">
        <f>基金申赎记录!P7</f>
        <v>0</v>
      </c>
      <c r="S12" s="593">
        <f>基金申赎记录!Q7</f>
        <v>86806.24</v>
      </c>
      <c r="T12" s="593">
        <f>基金申赎记录!R7</f>
        <v>0</v>
      </c>
      <c r="U12" s="593">
        <f>基金申赎记录!S7</f>
        <v>0</v>
      </c>
      <c r="V12" s="594">
        <f>基金申赎记录!T7</f>
        <v>0</v>
      </c>
      <c r="W12" s="593">
        <f>基金申赎记录!U7</f>
        <v>0</v>
      </c>
      <c r="X12" s="593">
        <f>基金申赎记录!V7</f>
        <v>0</v>
      </c>
      <c r="Y12" s="593">
        <f>基金申赎记录!W7</f>
        <v>0</v>
      </c>
      <c r="Z12" s="593">
        <f>基金申赎记录!X7</f>
        <v>0</v>
      </c>
      <c r="AA12" s="593">
        <f>基金申赎记录!Y7</f>
        <v>0</v>
      </c>
      <c r="AB12" s="593">
        <f>基金申赎记录!Z7</f>
        <v>0</v>
      </c>
      <c r="AC12" s="593">
        <f>基金申赎记录!AA7</f>
        <v>0</v>
      </c>
      <c r="AD12" s="593">
        <f>基金申赎记录!AB7</f>
        <v>0</v>
      </c>
      <c r="AE12" s="593">
        <f>基金申赎记录!AC7</f>
        <v>0</v>
      </c>
      <c r="AF12" s="593">
        <f>基金申赎记录!AD7</f>
        <v>0</v>
      </c>
      <c r="AG12" s="593">
        <f>基金申赎记录!AE7</f>
        <v>0</v>
      </c>
      <c r="AH12" s="593">
        <f>基金申赎记录!AF7</f>
        <v>0</v>
      </c>
      <c r="AI12" s="594">
        <f>基金申赎记录!AG7</f>
        <v>0</v>
      </c>
      <c r="AJ12" s="593">
        <f>基金申赎记录!AH7</f>
        <v>0</v>
      </c>
      <c r="AK12" s="593">
        <f>基金申赎记录!AI7</f>
        <v>0</v>
      </c>
      <c r="AL12" s="593">
        <f>基金申赎记录!AJ7</f>
        <v>0</v>
      </c>
      <c r="AM12" s="593">
        <f>基金申赎记录!AK7</f>
        <v>0</v>
      </c>
    </row>
    <row r="13" spans="1:56" s="310" customFormat="1">
      <c r="A13" s="589"/>
      <c r="B13" s="589"/>
      <c r="C13" s="589"/>
      <c r="D13" s="481"/>
      <c r="E13" s="310" t="s">
        <v>293</v>
      </c>
      <c r="F13" s="310" t="s">
        <v>281</v>
      </c>
      <c r="G13" s="310" t="s">
        <v>270</v>
      </c>
      <c r="H13" s="763" t="s">
        <v>290</v>
      </c>
      <c r="I13" s="595">
        <v>0</v>
      </c>
      <c r="J13" s="596">
        <f>基金申赎记录!H8</f>
        <v>0</v>
      </c>
      <c r="K13" s="596">
        <f>基金申赎记录!I8</f>
        <v>0</v>
      </c>
      <c r="L13" s="596">
        <f>基金申赎记录!J8</f>
        <v>0</v>
      </c>
      <c r="M13" s="596">
        <f>基金申赎记录!K8</f>
        <v>0</v>
      </c>
      <c r="N13" s="596">
        <f>基金申赎记录!L8</f>
        <v>0</v>
      </c>
      <c r="O13" s="596">
        <f>基金申赎记录!M8</f>
        <v>0</v>
      </c>
      <c r="P13" s="596">
        <f>基金申赎记录!N8</f>
        <v>0</v>
      </c>
      <c r="Q13" s="596">
        <f>基金申赎记录!O8</f>
        <v>0</v>
      </c>
      <c r="R13" s="596">
        <f>基金申赎记录!P8</f>
        <v>0</v>
      </c>
      <c r="S13" s="596">
        <f>基金申赎记录!Q8</f>
        <v>0</v>
      </c>
      <c r="T13" s="596">
        <f>基金申赎记录!R8</f>
        <v>0</v>
      </c>
      <c r="U13" s="596">
        <f>基金申赎记录!S8</f>
        <v>0</v>
      </c>
      <c r="V13" s="595">
        <f>基金申赎记录!T8</f>
        <v>0</v>
      </c>
      <c r="W13" s="596">
        <f>基金申赎记录!U8</f>
        <v>0</v>
      </c>
      <c r="X13" s="596">
        <f>基金申赎记录!V8</f>
        <v>0</v>
      </c>
      <c r="Y13" s="596">
        <f>基金申赎记录!W8</f>
        <v>0</v>
      </c>
      <c r="Z13" s="596">
        <f>基金申赎记录!X8</f>
        <v>0</v>
      </c>
      <c r="AA13" s="596">
        <f>基金申赎记录!Y8</f>
        <v>0</v>
      </c>
      <c r="AB13" s="596">
        <f>基金申赎记录!Z8</f>
        <v>0</v>
      </c>
      <c r="AC13" s="596">
        <f>基金申赎记录!AA8</f>
        <v>0</v>
      </c>
      <c r="AD13" s="596">
        <f>基金申赎记录!AB8</f>
        <v>0</v>
      </c>
      <c r="AE13" s="596">
        <f>基金申赎记录!AC8</f>
        <v>0</v>
      </c>
      <c r="AF13" s="596">
        <f>基金申赎记录!AD8</f>
        <v>0</v>
      </c>
      <c r="AG13" s="596">
        <f>基金申赎记录!AE8</f>
        <v>0</v>
      </c>
      <c r="AH13" s="596">
        <f>基金申赎记录!AF8</f>
        <v>0</v>
      </c>
      <c r="AI13" s="595">
        <f>基金申赎记录!AG8</f>
        <v>0</v>
      </c>
      <c r="AJ13" s="596">
        <f>基金申赎记录!AH8</f>
        <v>0</v>
      </c>
      <c r="AK13" s="596">
        <f>基金申赎记录!AI8</f>
        <v>0</v>
      </c>
      <c r="AL13" s="596">
        <f>基金申赎记录!AJ8</f>
        <v>0</v>
      </c>
      <c r="AM13" s="596">
        <f>基金申赎记录!AK8</f>
        <v>0</v>
      </c>
    </row>
    <row r="14" spans="1:56" s="310" customFormat="1">
      <c r="A14" s="589"/>
      <c r="B14" s="589"/>
      <c r="C14" s="589"/>
      <c r="D14" s="481"/>
      <c r="E14" s="310" t="s">
        <v>293</v>
      </c>
      <c r="F14" s="310" t="s">
        <v>283</v>
      </c>
      <c r="G14" s="310" t="s">
        <v>270</v>
      </c>
      <c r="H14" s="763" t="s">
        <v>289</v>
      </c>
      <c r="I14" s="595">
        <v>0</v>
      </c>
      <c r="J14" s="596">
        <f>基金申赎记录!H9</f>
        <v>0</v>
      </c>
      <c r="K14" s="596">
        <f>基金申赎记录!I9</f>
        <v>0</v>
      </c>
      <c r="L14" s="596">
        <f>基金申赎记录!J9</f>
        <v>0</v>
      </c>
      <c r="M14" s="596">
        <f>基金申赎记录!K9</f>
        <v>0</v>
      </c>
      <c r="N14" s="596">
        <f>基金申赎记录!L9</f>
        <v>0</v>
      </c>
      <c r="O14" s="596">
        <f>基金申赎记录!M9</f>
        <v>0</v>
      </c>
      <c r="P14" s="596">
        <f>基金申赎记录!N9</f>
        <v>0</v>
      </c>
      <c r="Q14" s="596">
        <f>基金申赎记录!O9</f>
        <v>0</v>
      </c>
      <c r="R14" s="596">
        <f>基金申赎记录!P9</f>
        <v>0</v>
      </c>
      <c r="S14" s="596">
        <f>基金申赎记录!Q9</f>
        <v>8.6806239999999999</v>
      </c>
      <c r="T14" s="596" t="e">
        <f>基金申赎记录!R9</f>
        <v>#DIV/0!</v>
      </c>
      <c r="U14" s="596" t="e">
        <f>基金申赎记录!S9</f>
        <v>#DIV/0!</v>
      </c>
      <c r="V14" s="595" t="e">
        <f>基金申赎记录!T9</f>
        <v>#DIV/0!</v>
      </c>
      <c r="W14" s="596" t="e">
        <f>基金申赎记录!U9</f>
        <v>#DIV/0!</v>
      </c>
      <c r="X14" s="596" t="e">
        <f>基金申赎记录!V9</f>
        <v>#DIV/0!</v>
      </c>
      <c r="Y14" s="596" t="e">
        <f>基金申赎记录!W9</f>
        <v>#DIV/0!</v>
      </c>
      <c r="Z14" s="596" t="e">
        <f>基金申赎记录!X9</f>
        <v>#DIV/0!</v>
      </c>
      <c r="AA14" s="596" t="e">
        <f>基金申赎记录!Y9</f>
        <v>#DIV/0!</v>
      </c>
      <c r="AB14" s="596" t="e">
        <f>基金申赎记录!Z9</f>
        <v>#DIV/0!</v>
      </c>
      <c r="AC14" s="596" t="e">
        <f>基金申赎记录!AA9</f>
        <v>#DIV/0!</v>
      </c>
      <c r="AD14" s="596" t="e">
        <f>基金申赎记录!AB9</f>
        <v>#DIV/0!</v>
      </c>
      <c r="AE14" s="596" t="e">
        <f>基金申赎记录!AC9</f>
        <v>#DIV/0!</v>
      </c>
      <c r="AF14" s="596" t="e">
        <f>基金申赎记录!AD9</f>
        <v>#DIV/0!</v>
      </c>
      <c r="AG14" s="596" t="e">
        <f>基金申赎记录!AE9</f>
        <v>#DIV/0!</v>
      </c>
      <c r="AH14" s="596" t="e">
        <f>基金申赎记录!AF9</f>
        <v>#DIV/0!</v>
      </c>
      <c r="AI14" s="595" t="e">
        <f>基金申赎记录!AG9</f>
        <v>#DIV/0!</v>
      </c>
      <c r="AJ14" s="596">
        <f>基金申赎记录!AH9</f>
        <v>0</v>
      </c>
      <c r="AK14" s="596">
        <f>基金申赎记录!AI9</f>
        <v>0</v>
      </c>
      <c r="AL14" s="596">
        <f>基金申赎记录!AJ9</f>
        <v>0</v>
      </c>
      <c r="AM14" s="596">
        <f>基金申赎记录!AK9</f>
        <v>0</v>
      </c>
    </row>
    <row r="15" spans="1:56" s="310" customFormat="1">
      <c r="A15" s="589"/>
      <c r="B15" s="589"/>
      <c r="C15" s="589"/>
      <c r="D15" s="481"/>
      <c r="E15" s="310" t="s">
        <v>293</v>
      </c>
      <c r="F15" s="310" t="s">
        <v>283</v>
      </c>
      <c r="G15" s="310" t="s">
        <v>287</v>
      </c>
      <c r="H15" s="763" t="s">
        <v>288</v>
      </c>
      <c r="I15" s="595">
        <v>0</v>
      </c>
      <c r="J15" s="596">
        <f>基金申赎记录!H10</f>
        <v>0</v>
      </c>
      <c r="K15" s="596">
        <f>基金申赎记录!I10</f>
        <v>0</v>
      </c>
      <c r="L15" s="596">
        <f>基金申赎记录!J10</f>
        <v>0</v>
      </c>
      <c r="M15" s="596">
        <f>基金申赎记录!K10</f>
        <v>0</v>
      </c>
      <c r="N15" s="596">
        <f>基金申赎记录!L10</f>
        <v>0</v>
      </c>
      <c r="O15" s="596">
        <f>基金申赎记录!M10</f>
        <v>0</v>
      </c>
      <c r="P15" s="596">
        <f>基金申赎记录!N10</f>
        <v>0</v>
      </c>
      <c r="Q15" s="596">
        <f>基金申赎记录!O10</f>
        <v>0</v>
      </c>
      <c r="R15" s="596">
        <f>基金申赎记录!P10</f>
        <v>0</v>
      </c>
      <c r="S15" s="596">
        <f>基金申赎记录!Q10</f>
        <v>0</v>
      </c>
      <c r="T15" s="596" t="e">
        <f>基金申赎记录!R10</f>
        <v>#DIV/0!</v>
      </c>
      <c r="U15" s="596" t="e">
        <f>基金申赎记录!S10</f>
        <v>#DIV/0!</v>
      </c>
      <c r="V15" s="595" t="e">
        <f>基金申赎记录!T10</f>
        <v>#DIV/0!</v>
      </c>
      <c r="W15" s="596" t="e">
        <f>基金申赎记录!U10</f>
        <v>#DIV/0!</v>
      </c>
      <c r="X15" s="596" t="e">
        <f>基金申赎记录!V10</f>
        <v>#DIV/0!</v>
      </c>
      <c r="Y15" s="596" t="e">
        <f>基金申赎记录!W10</f>
        <v>#DIV/0!</v>
      </c>
      <c r="Z15" s="596" t="e">
        <f>基金申赎记录!X10</f>
        <v>#DIV/0!</v>
      </c>
      <c r="AA15" s="596" t="e">
        <f>基金申赎记录!Y10</f>
        <v>#DIV/0!</v>
      </c>
      <c r="AB15" s="596" t="e">
        <f>基金申赎记录!Z10</f>
        <v>#DIV/0!</v>
      </c>
      <c r="AC15" s="596" t="e">
        <f>基金申赎记录!AA10</f>
        <v>#DIV/0!</v>
      </c>
      <c r="AD15" s="596" t="e">
        <f>基金申赎记录!AB10</f>
        <v>#DIV/0!</v>
      </c>
      <c r="AE15" s="596" t="e">
        <f>基金申赎记录!AC10</f>
        <v>#DIV/0!</v>
      </c>
      <c r="AF15" s="596" t="e">
        <f>基金申赎记录!AD10</f>
        <v>#DIV/0!</v>
      </c>
      <c r="AG15" s="596" t="e">
        <f>基金申赎记录!AE10</f>
        <v>#DIV/0!</v>
      </c>
      <c r="AH15" s="596" t="e">
        <f>基金申赎记录!AF10</f>
        <v>#DIV/0!</v>
      </c>
      <c r="AI15" s="595" t="e">
        <f>基金申赎记录!AG10</f>
        <v>#DIV/0!</v>
      </c>
      <c r="AJ15" s="596">
        <f>基金申赎记录!AH10</f>
        <v>0</v>
      </c>
      <c r="AK15" s="596">
        <f>基金申赎记录!AI10</f>
        <v>0</v>
      </c>
      <c r="AL15" s="596">
        <f>基金申赎记录!AJ10</f>
        <v>0</v>
      </c>
      <c r="AM15" s="596">
        <f>基金申赎记录!AK10</f>
        <v>0</v>
      </c>
    </row>
    <row r="16" spans="1:56" s="597" customFormat="1">
      <c r="A16" s="589"/>
      <c r="B16" s="589"/>
      <c r="C16" s="589"/>
      <c r="E16" s="597" t="s">
        <v>294</v>
      </c>
      <c r="F16" s="597" t="s">
        <v>263</v>
      </c>
      <c r="G16" s="597" t="s">
        <v>436</v>
      </c>
      <c r="H16" s="764" t="s">
        <v>271</v>
      </c>
      <c r="I16" s="598">
        <v>0.01</v>
      </c>
      <c r="J16" s="597">
        <v>0.01</v>
      </c>
      <c r="K16" s="597">
        <v>0.01</v>
      </c>
      <c r="L16" s="597">
        <v>0.01</v>
      </c>
      <c r="M16" s="597">
        <v>0.01</v>
      </c>
      <c r="N16" s="597">
        <v>0.01</v>
      </c>
      <c r="O16" s="597">
        <v>0.01</v>
      </c>
      <c r="P16" s="597">
        <v>0.01</v>
      </c>
      <c r="Q16" s="597">
        <v>0.01</v>
      </c>
      <c r="R16" s="597">
        <v>0.01</v>
      </c>
      <c r="S16" s="597">
        <f>57130.48+6421.86+23253.9</f>
        <v>86806.24</v>
      </c>
      <c r="T16" s="597">
        <v>0</v>
      </c>
      <c r="U16" s="597">
        <v>0</v>
      </c>
      <c r="V16" s="598">
        <v>0</v>
      </c>
      <c r="W16" s="597">
        <v>0</v>
      </c>
      <c r="X16" s="597">
        <v>0</v>
      </c>
      <c r="Y16" s="597">
        <v>0</v>
      </c>
      <c r="Z16" s="597">
        <v>0</v>
      </c>
      <c r="AA16" s="597">
        <v>0</v>
      </c>
      <c r="AB16" s="597">
        <v>0</v>
      </c>
      <c r="AC16" s="597">
        <v>0</v>
      </c>
      <c r="AD16" s="597">
        <v>0</v>
      </c>
      <c r="AE16" s="597">
        <v>0</v>
      </c>
      <c r="AF16" s="597">
        <v>0</v>
      </c>
      <c r="AG16" s="597">
        <v>0</v>
      </c>
      <c r="AH16" s="597">
        <v>0</v>
      </c>
      <c r="AI16" s="598">
        <v>0</v>
      </c>
      <c r="AJ16" s="597">
        <v>0</v>
      </c>
      <c r="AK16" s="597">
        <v>0</v>
      </c>
      <c r="AL16" s="597">
        <v>0</v>
      </c>
      <c r="AM16" s="597">
        <v>0</v>
      </c>
    </row>
    <row r="17" spans="1:56" s="309" customFormat="1">
      <c r="A17" s="589"/>
      <c r="B17" s="589"/>
      <c r="C17" s="589"/>
      <c r="D17" s="481"/>
      <c r="E17" s="309" t="s">
        <v>294</v>
      </c>
      <c r="F17" s="309" t="s">
        <v>283</v>
      </c>
      <c r="G17" s="309" t="s">
        <v>270</v>
      </c>
      <c r="H17" s="765" t="s">
        <v>272</v>
      </c>
      <c r="I17" s="599">
        <f t="shared" ref="I17:AM17" si="4">I8+I14-I15</f>
        <v>1E-8</v>
      </c>
      <c r="J17" s="489">
        <f t="shared" si="4"/>
        <v>1.0003837088198213E-8</v>
      </c>
      <c r="K17" s="489">
        <f t="shared" si="4"/>
        <v>1.0007674176396426E-8</v>
      </c>
      <c r="L17" s="489">
        <f t="shared" si="4"/>
        <v>1.0011511264594639E-8</v>
      </c>
      <c r="M17" s="489">
        <f t="shared" si="4"/>
        <v>1.0015348352792851E-8</v>
      </c>
      <c r="N17" s="489">
        <f t="shared" si="4"/>
        <v>1.0019185440991064E-8</v>
      </c>
      <c r="O17" s="489">
        <f t="shared" si="4"/>
        <v>1.0023022529189277E-8</v>
      </c>
      <c r="P17" s="489">
        <f t="shared" si="4"/>
        <v>1.002685961738749E-8</v>
      </c>
      <c r="Q17" s="489">
        <f t="shared" si="4"/>
        <v>1.0030696705585702E-8</v>
      </c>
      <c r="R17" s="489">
        <f t="shared" si="4"/>
        <v>1.0034533793783915E-8</v>
      </c>
      <c r="S17" s="489">
        <f t="shared" si="4"/>
        <v>8.68062401003837</v>
      </c>
      <c r="T17" s="489" t="e">
        <f t="shared" si="4"/>
        <v>#DIV/0!</v>
      </c>
      <c r="U17" s="489" t="e">
        <f t="shared" si="4"/>
        <v>#DIV/0!</v>
      </c>
      <c r="V17" s="599" t="e">
        <f t="shared" si="4"/>
        <v>#DIV/0!</v>
      </c>
      <c r="W17" s="489" t="e">
        <f t="shared" si="4"/>
        <v>#DIV/0!</v>
      </c>
      <c r="X17" s="489" t="e">
        <f t="shared" si="4"/>
        <v>#DIV/0!</v>
      </c>
      <c r="Y17" s="489" t="e">
        <f t="shared" si="4"/>
        <v>#DIV/0!</v>
      </c>
      <c r="Z17" s="489" t="e">
        <f t="shared" si="4"/>
        <v>#DIV/0!</v>
      </c>
      <c r="AA17" s="489" t="e">
        <f t="shared" si="4"/>
        <v>#DIV/0!</v>
      </c>
      <c r="AB17" s="489" t="e">
        <f t="shared" si="4"/>
        <v>#DIV/0!</v>
      </c>
      <c r="AC17" s="489" t="e">
        <f t="shared" si="4"/>
        <v>#DIV/0!</v>
      </c>
      <c r="AD17" s="489" t="e">
        <f t="shared" si="4"/>
        <v>#DIV/0!</v>
      </c>
      <c r="AE17" s="489" t="e">
        <f t="shared" si="4"/>
        <v>#DIV/0!</v>
      </c>
      <c r="AF17" s="489" t="e">
        <f t="shared" si="4"/>
        <v>#DIV/0!</v>
      </c>
      <c r="AG17" s="489" t="e">
        <f t="shared" si="4"/>
        <v>#DIV/0!</v>
      </c>
      <c r="AH17" s="489" t="e">
        <f t="shared" si="4"/>
        <v>#DIV/0!</v>
      </c>
      <c r="AI17" s="599" t="e">
        <f t="shared" si="4"/>
        <v>#DIV/0!</v>
      </c>
      <c r="AJ17" s="489" t="e">
        <f t="shared" si="4"/>
        <v>#DIV/0!</v>
      </c>
      <c r="AK17" s="489" t="e">
        <f t="shared" si="4"/>
        <v>#DIV/0!</v>
      </c>
      <c r="AL17" s="489" t="e">
        <f t="shared" si="4"/>
        <v>#DIV/0!</v>
      </c>
      <c r="AM17" s="489" t="e">
        <f t="shared" si="4"/>
        <v>#DIV/0!</v>
      </c>
    </row>
    <row r="18" spans="1:56" s="309" customFormat="1">
      <c r="A18" s="589"/>
      <c r="B18" s="589"/>
      <c r="C18" s="589"/>
      <c r="D18" s="481"/>
      <c r="E18" s="309" t="s">
        <v>294</v>
      </c>
      <c r="F18" s="309" t="s">
        <v>283</v>
      </c>
      <c r="G18" s="309" t="s">
        <v>270</v>
      </c>
      <c r="H18" s="765" t="s">
        <v>275</v>
      </c>
      <c r="I18" s="599">
        <f>I10+I14-I13</f>
        <v>1E-8</v>
      </c>
      <c r="J18" s="489">
        <f t="shared" ref="J18:AM18" si="5">J17-J9</f>
        <v>1E-8</v>
      </c>
      <c r="K18" s="489">
        <f t="shared" si="5"/>
        <v>1E-8</v>
      </c>
      <c r="L18" s="489">
        <f t="shared" si="5"/>
        <v>1E-8</v>
      </c>
      <c r="M18" s="489">
        <f t="shared" si="5"/>
        <v>1E-8</v>
      </c>
      <c r="N18" s="489">
        <f t="shared" si="5"/>
        <v>1E-8</v>
      </c>
      <c r="O18" s="489">
        <f t="shared" si="5"/>
        <v>1E-8</v>
      </c>
      <c r="P18" s="489">
        <f t="shared" si="5"/>
        <v>1E-8</v>
      </c>
      <c r="Q18" s="489">
        <f t="shared" si="5"/>
        <v>1E-8</v>
      </c>
      <c r="R18" s="489">
        <f t="shared" si="5"/>
        <v>1E-8</v>
      </c>
      <c r="S18" s="489">
        <f t="shared" si="5"/>
        <v>8.6806240099999989</v>
      </c>
      <c r="T18" s="489" t="e">
        <f t="shared" si="5"/>
        <v>#DIV/0!</v>
      </c>
      <c r="U18" s="489" t="e">
        <f t="shared" si="5"/>
        <v>#DIV/0!</v>
      </c>
      <c r="V18" s="599" t="e">
        <f t="shared" si="5"/>
        <v>#DIV/0!</v>
      </c>
      <c r="W18" s="489" t="e">
        <f t="shared" si="5"/>
        <v>#DIV/0!</v>
      </c>
      <c r="X18" s="489" t="e">
        <f t="shared" si="5"/>
        <v>#DIV/0!</v>
      </c>
      <c r="Y18" s="489" t="e">
        <f t="shared" si="5"/>
        <v>#DIV/0!</v>
      </c>
      <c r="Z18" s="489" t="e">
        <f t="shared" si="5"/>
        <v>#DIV/0!</v>
      </c>
      <c r="AA18" s="489" t="e">
        <f t="shared" si="5"/>
        <v>#DIV/0!</v>
      </c>
      <c r="AB18" s="489" t="e">
        <f t="shared" si="5"/>
        <v>#DIV/0!</v>
      </c>
      <c r="AC18" s="489" t="e">
        <f t="shared" si="5"/>
        <v>#DIV/0!</v>
      </c>
      <c r="AD18" s="489" t="e">
        <f t="shared" si="5"/>
        <v>#DIV/0!</v>
      </c>
      <c r="AE18" s="489" t="e">
        <f t="shared" si="5"/>
        <v>#DIV/0!</v>
      </c>
      <c r="AF18" s="489" t="e">
        <f t="shared" si="5"/>
        <v>#DIV/0!</v>
      </c>
      <c r="AG18" s="489" t="e">
        <f t="shared" si="5"/>
        <v>#DIV/0!</v>
      </c>
      <c r="AH18" s="489" t="e">
        <f t="shared" si="5"/>
        <v>#DIV/0!</v>
      </c>
      <c r="AI18" s="599" t="e">
        <f t="shared" si="5"/>
        <v>#DIV/0!</v>
      </c>
      <c r="AJ18" s="489" t="e">
        <f t="shared" si="5"/>
        <v>#DIV/0!</v>
      </c>
      <c r="AK18" s="489" t="e">
        <f t="shared" si="5"/>
        <v>#DIV/0!</v>
      </c>
      <c r="AL18" s="489" t="e">
        <f t="shared" si="5"/>
        <v>#DIV/0!</v>
      </c>
      <c r="AM18" s="489" t="e">
        <f t="shared" si="5"/>
        <v>#DIV/0!</v>
      </c>
    </row>
    <row r="19" spans="1:56" s="755" customFormat="1">
      <c r="A19" s="589"/>
      <c r="B19" s="589"/>
      <c r="C19" s="589"/>
      <c r="D19" s="568"/>
      <c r="E19" s="755" t="s">
        <v>294</v>
      </c>
      <c r="F19" s="755" t="s">
        <v>282</v>
      </c>
      <c r="G19" s="755" t="s">
        <v>436</v>
      </c>
      <c r="H19" s="766" t="s">
        <v>274</v>
      </c>
      <c r="I19" s="756">
        <f>I16/I18*(1-基金费率!$H$5)</f>
        <v>999616.43835616438</v>
      </c>
      <c r="J19" s="755">
        <f>J16/J18*(1-基金费率!$H$5)-基金费率!$F$6*MAX(J16/J18-I19,0)</f>
        <v>999616.43835616438</v>
      </c>
      <c r="K19" s="755">
        <f>K16/K18*(1-基金费率!$H$5)-基金费率!$F$6*MAX(K16/K18-J19,0)</f>
        <v>999616.43835616438</v>
      </c>
      <c r="L19" s="755">
        <f>L16/L18*(1-基金费率!$H$5)-基金费率!$F$6*MAX(L16/L18-K19,0)</f>
        <v>999616.43835616438</v>
      </c>
      <c r="M19" s="755">
        <f>M16/M18*(1-基金费率!$H$5)-基金费率!$F$6*MAX(M16/M18-L19,0)</f>
        <v>999616.43835616438</v>
      </c>
      <c r="N19" s="755">
        <f>N16/N18*(1-基金费率!$H$5)-基金费率!$F$6*MAX(N16/N18-M19,0)</f>
        <v>999616.43835616438</v>
      </c>
      <c r="O19" s="755">
        <f>O16/O18*(1-基金费率!$H$5)-基金费率!$F$6*MAX(O16/O18-N19,0)</f>
        <v>999616.43835616438</v>
      </c>
      <c r="P19" s="755">
        <f>P16/P18*(1-基金费率!$H$5)-基金费率!$F$6*MAX(P16/P18-O19,0)</f>
        <v>999616.43835616438</v>
      </c>
      <c r="Q19" s="755">
        <f>Q16/Q18*(1-基金费率!$H$5)-基金费率!$F$6*MAX(Q16/Q18-P19,0)</f>
        <v>999616.43835616438</v>
      </c>
      <c r="R19" s="755">
        <f>R16/R18*(1-基金费率!$H$5)-基金费率!$F$6*MAX(R16/R18-Q19,0)</f>
        <v>999616.43835616438</v>
      </c>
      <c r="S19" s="755">
        <f>S16/S18*(1-基金费率!$H$5)-基金费率!$F$6*MAX(S16/S18-R19,0)</f>
        <v>9996.1643720461561</v>
      </c>
      <c r="T19" s="755" t="e">
        <f>T16/T18*(1-基金费率!$H$5)-基金费率!$F$6*MAX(T16/T18-S19,0)</f>
        <v>#DIV/0!</v>
      </c>
      <c r="U19" s="755" t="e">
        <f>U16/U18*(1-基金费率!$H$5)-基金费率!$F$6*MAX(U16/U18-T19,0)</f>
        <v>#DIV/0!</v>
      </c>
      <c r="V19" s="756" t="e">
        <f>V16/V18*(1-基金费率!$H$5)-基金费率!$F$6*MAX(V16/V18-U19,0)</f>
        <v>#DIV/0!</v>
      </c>
      <c r="W19" s="755" t="e">
        <f>W16/W18*(1-基金费率!$H$5)-基金费率!$F$6*MAX(W16/W18-V19,0)</f>
        <v>#DIV/0!</v>
      </c>
      <c r="X19" s="755" t="e">
        <f>X16/X18*(1-基金费率!$H$5)-基金费率!$F$6*MAX(X16/X18-W19,0)</f>
        <v>#DIV/0!</v>
      </c>
      <c r="Y19" s="755" t="e">
        <f>Y16/Y18*(1-基金费率!$H$5)-基金费率!$F$6*MAX(Y16/Y18-X19,0)</f>
        <v>#DIV/0!</v>
      </c>
      <c r="Z19" s="755" t="e">
        <f>Z16/Z18*(1-基金费率!$H$5)-基金费率!$F$6*MAX(Z16/Z18-Y19,0)</f>
        <v>#DIV/0!</v>
      </c>
      <c r="AA19" s="755" t="e">
        <f>AA16/AA18*(1-基金费率!$H$5)-基金费率!$F$6*MAX(AA16/AA18-Z19,0)</f>
        <v>#DIV/0!</v>
      </c>
      <c r="AB19" s="755" t="e">
        <f>AB16/AB18*(1-基金费率!$H$5)-基金费率!$F$6*MAX(AB16/AB18-AA19,0)</f>
        <v>#DIV/0!</v>
      </c>
      <c r="AC19" s="755" t="e">
        <f>AC16/AC18*(1-基金费率!$H$5)-基金费率!$F$6*MAX(AC16/AC18-AB19,0)</f>
        <v>#DIV/0!</v>
      </c>
      <c r="AD19" s="755" t="e">
        <f>AD16/AD18*(1-基金费率!$H$5)-基金费率!$F$6*MAX(AD16/AD18-AC19,0)</f>
        <v>#DIV/0!</v>
      </c>
      <c r="AE19" s="755" t="e">
        <f>AE16/AE18*(1-基金费率!$H$5)-基金费率!$F$6*MAX(AE16/AE18-AD19,0)</f>
        <v>#DIV/0!</v>
      </c>
      <c r="AF19" s="755" t="e">
        <f>AF16/AF18*(1-基金费率!$H$5)-基金费率!$F$6*MAX(AF16/AF18-AE19,0)</f>
        <v>#DIV/0!</v>
      </c>
      <c r="AG19" s="755" t="e">
        <f>AG16/AG18*(1-基金费率!$H$5)-基金费率!$F$6*MAX(AG16/AG18-AF19,0)</f>
        <v>#DIV/0!</v>
      </c>
      <c r="AH19" s="755" t="e">
        <f>AH16/AH18*(1-基金费率!$H$5)-基金费率!$F$6*MAX(AH16/AH18-AG19,0)</f>
        <v>#DIV/0!</v>
      </c>
      <c r="AI19" s="756" t="e">
        <f>AI16/AI18*(1-基金费率!$H$5)-基金费率!$F$6*MAX(AI16/AI18-AH19,0)</f>
        <v>#DIV/0!</v>
      </c>
      <c r="AJ19" s="755" t="e">
        <f>AJ16/AJ18*(1-基金费率!$H$5)-基金费率!$F$6*MAX(AJ16/AJ18-AI19,0)</f>
        <v>#DIV/0!</v>
      </c>
      <c r="AK19" s="755" t="e">
        <f>AK16/AK18*(1-基金费率!$H$5)-基金费率!$F$6*MAX(AK16/AK18-AJ19,0)</f>
        <v>#DIV/0!</v>
      </c>
      <c r="AL19" s="755" t="e">
        <f>AL16/AL18*(1-基金费率!$H$5)-基金费率!$F$6*MAX(AL16/AL18-AK19,0)</f>
        <v>#DIV/0!</v>
      </c>
      <c r="AM19" s="755" t="e">
        <f>AM16/AM18*(1-基金费率!$H$5)-基金费率!$F$6*MAX(AM16/AM18-AL19,0)</f>
        <v>#DIV/0!</v>
      </c>
    </row>
    <row r="20" spans="1:56" s="490" customFormat="1">
      <c r="A20" s="589"/>
      <c r="B20" s="589"/>
      <c r="C20" s="589"/>
      <c r="D20" s="600"/>
      <c r="E20" s="490" t="s">
        <v>295</v>
      </c>
      <c r="F20" s="490" t="s">
        <v>283</v>
      </c>
      <c r="G20" s="490" t="s">
        <v>270</v>
      </c>
      <c r="H20" s="767" t="s">
        <v>265</v>
      </c>
      <c r="I20" s="601">
        <f>(I16-I18*I19)/I19</f>
        <v>3.8370881982127147E-12</v>
      </c>
      <c r="J20" s="491">
        <f>(J16-J18*J19)/J19</f>
        <v>3.8370881982127147E-12</v>
      </c>
      <c r="K20" s="491">
        <f>(K16-K18*K19)/K19</f>
        <v>3.8370881982127147E-12</v>
      </c>
      <c r="L20" s="491">
        <f t="shared" ref="L20:AM20" si="6">(L16-L18*L19)/L19</f>
        <v>3.8370881982127147E-12</v>
      </c>
      <c r="M20" s="491">
        <f t="shared" si="6"/>
        <v>3.8370881982127147E-12</v>
      </c>
      <c r="N20" s="491">
        <f t="shared" si="6"/>
        <v>3.8370881982127147E-12</v>
      </c>
      <c r="O20" s="491">
        <f t="shared" si="6"/>
        <v>3.8370881982127147E-12</v>
      </c>
      <c r="P20" s="491">
        <f t="shared" si="6"/>
        <v>3.8370881982127147E-12</v>
      </c>
      <c r="Q20" s="491">
        <f t="shared" si="6"/>
        <v>3.8370881982127147E-12</v>
      </c>
      <c r="R20" s="491">
        <f t="shared" si="6"/>
        <v>3.8370881982127147E-12</v>
      </c>
      <c r="S20" s="491">
        <f t="shared" si="6"/>
        <v>3.3308319941890187E-3</v>
      </c>
      <c r="T20" s="491" t="e">
        <f t="shared" si="6"/>
        <v>#DIV/0!</v>
      </c>
      <c r="U20" s="491" t="e">
        <f t="shared" si="6"/>
        <v>#DIV/0!</v>
      </c>
      <c r="V20" s="601" t="e">
        <f t="shared" si="6"/>
        <v>#DIV/0!</v>
      </c>
      <c r="W20" s="491" t="e">
        <f t="shared" si="6"/>
        <v>#DIV/0!</v>
      </c>
      <c r="X20" s="491" t="e">
        <f t="shared" si="6"/>
        <v>#DIV/0!</v>
      </c>
      <c r="Y20" s="491" t="e">
        <f t="shared" si="6"/>
        <v>#DIV/0!</v>
      </c>
      <c r="Z20" s="491" t="e">
        <f t="shared" si="6"/>
        <v>#DIV/0!</v>
      </c>
      <c r="AA20" s="491" t="e">
        <f t="shared" si="6"/>
        <v>#DIV/0!</v>
      </c>
      <c r="AB20" s="491" t="e">
        <f t="shared" si="6"/>
        <v>#DIV/0!</v>
      </c>
      <c r="AC20" s="491" t="e">
        <f t="shared" si="6"/>
        <v>#DIV/0!</v>
      </c>
      <c r="AD20" s="491" t="e">
        <f t="shared" si="6"/>
        <v>#DIV/0!</v>
      </c>
      <c r="AE20" s="491" t="e">
        <f t="shared" si="6"/>
        <v>#DIV/0!</v>
      </c>
      <c r="AF20" s="491" t="e">
        <f t="shared" si="6"/>
        <v>#DIV/0!</v>
      </c>
      <c r="AG20" s="491" t="e">
        <f t="shared" si="6"/>
        <v>#DIV/0!</v>
      </c>
      <c r="AH20" s="491" t="e">
        <f t="shared" si="6"/>
        <v>#DIV/0!</v>
      </c>
      <c r="AI20" s="601" t="e">
        <f t="shared" si="6"/>
        <v>#DIV/0!</v>
      </c>
      <c r="AJ20" s="491" t="e">
        <f t="shared" si="6"/>
        <v>#DIV/0!</v>
      </c>
      <c r="AK20" s="491" t="e">
        <f t="shared" si="6"/>
        <v>#DIV/0!</v>
      </c>
      <c r="AL20" s="491" t="e">
        <f t="shared" si="6"/>
        <v>#DIV/0!</v>
      </c>
      <c r="AM20" s="491" t="e">
        <f t="shared" si="6"/>
        <v>#DIV/0!</v>
      </c>
    </row>
    <row r="21" spans="1:56" s="308" customFormat="1">
      <c r="A21" s="589"/>
      <c r="B21" s="589"/>
      <c r="C21" s="589"/>
      <c r="D21" s="481"/>
      <c r="E21" s="308" t="s">
        <v>295</v>
      </c>
      <c r="F21" s="308" t="s">
        <v>283</v>
      </c>
      <c r="G21" s="308" t="s">
        <v>270</v>
      </c>
      <c r="H21" s="768" t="s">
        <v>306</v>
      </c>
      <c r="I21" s="602">
        <f>I9*基金费率!$G$29</f>
        <v>0</v>
      </c>
      <c r="J21" s="492">
        <v>0</v>
      </c>
      <c r="K21" s="492">
        <v>0</v>
      </c>
      <c r="L21" s="492">
        <v>0</v>
      </c>
      <c r="M21" s="492">
        <v>0</v>
      </c>
      <c r="N21" s="492">
        <v>0</v>
      </c>
      <c r="O21" s="492">
        <v>0</v>
      </c>
      <c r="P21" s="492">
        <v>0</v>
      </c>
      <c r="Q21" s="492">
        <v>0</v>
      </c>
      <c r="R21" s="492">
        <v>0</v>
      </c>
      <c r="S21" s="492">
        <v>0</v>
      </c>
      <c r="T21" s="492">
        <v>0</v>
      </c>
      <c r="U21" s="492">
        <v>0</v>
      </c>
      <c r="V21" s="602">
        <v>0</v>
      </c>
      <c r="W21" s="492">
        <v>0</v>
      </c>
      <c r="X21" s="492">
        <v>0</v>
      </c>
      <c r="Y21" s="492">
        <v>0</v>
      </c>
      <c r="Z21" s="492">
        <v>0</v>
      </c>
      <c r="AA21" s="492">
        <v>0</v>
      </c>
      <c r="AB21" s="492">
        <v>0</v>
      </c>
      <c r="AC21" s="492">
        <v>0</v>
      </c>
      <c r="AD21" s="492">
        <v>0</v>
      </c>
      <c r="AE21" s="492">
        <v>0</v>
      </c>
      <c r="AF21" s="492">
        <v>0</v>
      </c>
      <c r="AG21" s="492">
        <v>0</v>
      </c>
      <c r="AH21" s="492">
        <v>0</v>
      </c>
      <c r="AI21" s="602">
        <v>0</v>
      </c>
      <c r="AJ21" s="492">
        <v>0</v>
      </c>
      <c r="AK21" s="492">
        <v>0</v>
      </c>
      <c r="AL21" s="492">
        <v>0</v>
      </c>
      <c r="AM21" s="492">
        <v>0</v>
      </c>
    </row>
    <row r="22" spans="1:56" s="308" customFormat="1">
      <c r="A22" s="589"/>
      <c r="B22" s="589"/>
      <c r="C22" s="589"/>
      <c r="D22" s="481"/>
      <c r="E22" s="308" t="s">
        <v>295</v>
      </c>
      <c r="F22" s="308" t="s">
        <v>283</v>
      </c>
      <c r="G22" s="308" t="s">
        <v>270</v>
      </c>
      <c r="H22" s="768" t="s">
        <v>307</v>
      </c>
      <c r="I22" s="602">
        <v>0</v>
      </c>
      <c r="J22" s="492">
        <f>J21/(1-基金费率!$G$29)*基金费率!$G$29</f>
        <v>0</v>
      </c>
      <c r="K22" s="492">
        <f>K21/(1-基金费率!$G$29)*基金费率!$G$29</f>
        <v>0</v>
      </c>
      <c r="L22" s="492">
        <f>L21/(1-基金费率!$G$29)*基金费率!$G$29</f>
        <v>0</v>
      </c>
      <c r="M22" s="492">
        <f>M21/(1-基金费率!$G$29)*基金费率!$G$29</f>
        <v>0</v>
      </c>
      <c r="N22" s="492">
        <f>N21/(1-基金费率!$G$29)*基金费率!$G$29</f>
        <v>0</v>
      </c>
      <c r="O22" s="492">
        <f>O21/(1-基金费率!$G$29)*基金费率!$G$29</f>
        <v>0</v>
      </c>
      <c r="P22" s="492">
        <f>P21/(1-基金费率!$G$29)*基金费率!$G$29</f>
        <v>0</v>
      </c>
      <c r="Q22" s="492">
        <f>Q21/(1-基金费率!$G$29)*基金费率!$G$29</f>
        <v>0</v>
      </c>
      <c r="R22" s="492">
        <f>R21/(1-基金费率!$G$29)*基金费率!$G$29</f>
        <v>0</v>
      </c>
      <c r="S22" s="492">
        <f>S21/(1-基金费率!$G$29)*基金费率!$G$29</f>
        <v>0</v>
      </c>
      <c r="T22" s="492">
        <f>T21/(1-基金费率!$G$29)*基金费率!$G$29</f>
        <v>0</v>
      </c>
      <c r="U22" s="492">
        <f>U21/(1-基金费率!$G$29)*基金费率!$G$29</f>
        <v>0</v>
      </c>
      <c r="V22" s="602">
        <f>V21/(1-基金费率!$G$29)*基金费率!$G$29</f>
        <v>0</v>
      </c>
      <c r="W22" s="492">
        <f>W21/(1-基金费率!$G$29)*基金费率!$G$29</f>
        <v>0</v>
      </c>
      <c r="X22" s="492">
        <f>X21/(1-基金费率!$G$29)*基金费率!$G$29</f>
        <v>0</v>
      </c>
      <c r="Y22" s="492">
        <f>Y21/(1-基金费率!$G$29)*基金费率!$G$29</f>
        <v>0</v>
      </c>
      <c r="Z22" s="492">
        <f>Z21/(1-基金费率!$G$29)*基金费率!$G$29</f>
        <v>0</v>
      </c>
      <c r="AA22" s="492">
        <f>AA21/(1-基金费率!$G$29)*基金费率!$G$29</f>
        <v>0</v>
      </c>
      <c r="AB22" s="492">
        <f>AB21/(1-基金费率!$G$29)*基金费率!$G$29</f>
        <v>0</v>
      </c>
      <c r="AC22" s="492">
        <f>AC21/(1-基金费率!$G$29)*基金费率!$G$29</f>
        <v>0</v>
      </c>
      <c r="AD22" s="492">
        <f>AD21/(1-基金费率!$G$29)*基金费率!$G$29</f>
        <v>0</v>
      </c>
      <c r="AE22" s="492">
        <f>AE21/(1-基金费率!$G$29)*基金费率!$G$29</f>
        <v>0</v>
      </c>
      <c r="AF22" s="492">
        <f>AF21/(1-基金费率!$G$29)*基金费率!$G$29</f>
        <v>0</v>
      </c>
      <c r="AG22" s="492">
        <f>AG21/(1-基金费率!$G$29)*基金费率!$G$29</f>
        <v>0</v>
      </c>
      <c r="AH22" s="492">
        <f>AH21/(1-基金费率!$G$29)*基金费率!$G$29</f>
        <v>0</v>
      </c>
      <c r="AI22" s="602">
        <f>AI21/(1-基金费率!$G$29)*基金费率!$G$29</f>
        <v>0</v>
      </c>
      <c r="AJ22" s="492">
        <f>AJ21/(1-基金费率!$G$29)*基金费率!$G$29</f>
        <v>0</v>
      </c>
      <c r="AK22" s="492">
        <f>AK21/(1-基金费率!$G$29)*基金费率!$G$29</f>
        <v>0</v>
      </c>
      <c r="AL22" s="492">
        <f>AL21/(1-基金费率!$G$29)*基金费率!$G$29</f>
        <v>0</v>
      </c>
      <c r="AM22" s="492">
        <f>AM21/(1-基金费率!$G$29)*基金费率!$G$29</f>
        <v>0</v>
      </c>
    </row>
    <row r="23" spans="1:56" s="308" customFormat="1">
      <c r="A23" s="589"/>
      <c r="B23" s="589"/>
      <c r="C23" s="589"/>
      <c r="D23" s="481"/>
      <c r="E23" s="308" t="s">
        <v>295</v>
      </c>
      <c r="F23" s="308" t="s">
        <v>283</v>
      </c>
      <c r="G23" s="308" t="s">
        <v>270</v>
      </c>
      <c r="H23" s="768" t="s">
        <v>267</v>
      </c>
      <c r="I23" s="602">
        <f>I9+I20-I21-I22</f>
        <v>3.8370881982127147E-12</v>
      </c>
      <c r="J23" s="492">
        <f>J9+J20-J21-J22</f>
        <v>7.6741763964254293E-12</v>
      </c>
      <c r="K23" s="492">
        <f>K9+K20-K21-K22</f>
        <v>1.1511264594638145E-11</v>
      </c>
      <c r="L23" s="492">
        <f t="shared" ref="L23:AM23" si="7">L9+L20-L21-L22</f>
        <v>1.5348352792850859E-11</v>
      </c>
      <c r="M23" s="492">
        <f t="shared" si="7"/>
        <v>1.9185440991063572E-11</v>
      </c>
      <c r="N23" s="492">
        <f t="shared" si="7"/>
        <v>2.3022529189276286E-11</v>
      </c>
      <c r="O23" s="492">
        <f t="shared" si="7"/>
        <v>2.6859617387489E-11</v>
      </c>
      <c r="P23" s="492">
        <f t="shared" si="7"/>
        <v>3.0696705585701717E-11</v>
      </c>
      <c r="Q23" s="492">
        <f t="shared" si="7"/>
        <v>3.4533793783914434E-11</v>
      </c>
      <c r="R23" s="492">
        <f t="shared" si="7"/>
        <v>3.8370881982127151E-11</v>
      </c>
      <c r="S23" s="492">
        <f t="shared" si="7"/>
        <v>3.3308320325599007E-3</v>
      </c>
      <c r="T23" s="492" t="e">
        <f t="shared" si="7"/>
        <v>#DIV/0!</v>
      </c>
      <c r="U23" s="492" t="e">
        <f t="shared" si="7"/>
        <v>#DIV/0!</v>
      </c>
      <c r="V23" s="602" t="e">
        <f t="shared" si="7"/>
        <v>#DIV/0!</v>
      </c>
      <c r="W23" s="492" t="e">
        <f t="shared" si="7"/>
        <v>#DIV/0!</v>
      </c>
      <c r="X23" s="492" t="e">
        <f t="shared" si="7"/>
        <v>#DIV/0!</v>
      </c>
      <c r="Y23" s="492" t="e">
        <f t="shared" si="7"/>
        <v>#DIV/0!</v>
      </c>
      <c r="Z23" s="492" t="e">
        <f t="shared" si="7"/>
        <v>#DIV/0!</v>
      </c>
      <c r="AA23" s="492" t="e">
        <f t="shared" si="7"/>
        <v>#DIV/0!</v>
      </c>
      <c r="AB23" s="492" t="e">
        <f t="shared" si="7"/>
        <v>#DIV/0!</v>
      </c>
      <c r="AC23" s="492" t="e">
        <f t="shared" si="7"/>
        <v>#DIV/0!</v>
      </c>
      <c r="AD23" s="492" t="e">
        <f t="shared" si="7"/>
        <v>#DIV/0!</v>
      </c>
      <c r="AE23" s="492" t="e">
        <f t="shared" si="7"/>
        <v>#DIV/0!</v>
      </c>
      <c r="AF23" s="492" t="e">
        <f t="shared" si="7"/>
        <v>#DIV/0!</v>
      </c>
      <c r="AG23" s="492" t="e">
        <f t="shared" si="7"/>
        <v>#DIV/0!</v>
      </c>
      <c r="AH23" s="492" t="e">
        <f t="shared" si="7"/>
        <v>#DIV/0!</v>
      </c>
      <c r="AI23" s="602" t="e">
        <f t="shared" si="7"/>
        <v>#DIV/0!</v>
      </c>
      <c r="AJ23" s="492" t="e">
        <f t="shared" si="7"/>
        <v>#DIV/0!</v>
      </c>
      <c r="AK23" s="492" t="e">
        <f t="shared" si="7"/>
        <v>#DIV/0!</v>
      </c>
      <c r="AL23" s="492" t="e">
        <f t="shared" si="7"/>
        <v>#DIV/0!</v>
      </c>
      <c r="AM23" s="492" t="e">
        <f t="shared" si="7"/>
        <v>#DIV/0!</v>
      </c>
    </row>
    <row r="24" spans="1:56" s="597" customFormat="1">
      <c r="A24" s="589"/>
      <c r="B24" s="589"/>
      <c r="C24" s="589"/>
      <c r="H24" s="764" t="s">
        <v>14</v>
      </c>
      <c r="S24" s="597">
        <v>49114.66</v>
      </c>
      <c r="T24" s="597">
        <v>50000</v>
      </c>
    </row>
    <row r="25" spans="1:56" s="603" customFormat="1">
      <c r="A25" s="589"/>
      <c r="B25" s="589"/>
      <c r="C25" s="589"/>
      <c r="D25" s="568"/>
      <c r="H25" s="769" t="s">
        <v>332</v>
      </c>
      <c r="I25" s="604"/>
      <c r="S25" s="603">
        <v>10000</v>
      </c>
      <c r="T25" s="603">
        <f>T24/S24*S25</f>
        <v>10180.25982466335</v>
      </c>
      <c r="V25" s="604"/>
      <c r="AI25" s="604"/>
    </row>
    <row r="26" spans="1:56">
      <c r="D26" s="481"/>
      <c r="E26" s="481"/>
      <c r="F26" s="481"/>
      <c r="G26" s="481"/>
      <c r="H26" s="481"/>
      <c r="I26" s="585"/>
      <c r="J26" s="481"/>
      <c r="K26" s="481"/>
      <c r="L26" s="481"/>
      <c r="M26" s="481"/>
      <c r="N26" s="481"/>
      <c r="O26" s="481"/>
      <c r="P26" s="481"/>
      <c r="Q26" s="481"/>
      <c r="R26" s="481"/>
      <c r="S26" s="566"/>
      <c r="T26" s="481"/>
      <c r="U26" s="481"/>
      <c r="V26" s="585"/>
      <c r="W26" s="481"/>
      <c r="X26" s="481"/>
      <c r="Y26" s="481"/>
      <c r="Z26" s="481"/>
      <c r="AA26" s="481"/>
      <c r="AB26" s="481"/>
      <c r="AC26" s="481"/>
      <c r="AD26" s="481"/>
      <c r="AE26" s="481"/>
      <c r="AF26" s="481"/>
      <c r="AG26" s="481"/>
      <c r="AH26" s="481"/>
      <c r="AI26" s="585"/>
      <c r="AJ26" s="481"/>
      <c r="AK26" s="481"/>
      <c r="AL26" s="481"/>
      <c r="AM26" s="481"/>
      <c r="AN26" s="481"/>
      <c r="AO26" s="481"/>
      <c r="AP26" s="481"/>
      <c r="AQ26" s="481"/>
      <c r="AR26" s="481"/>
      <c r="AS26" s="481"/>
      <c r="AT26" s="481"/>
      <c r="AU26" s="481"/>
      <c r="AV26" s="481"/>
      <c r="AW26" s="481"/>
      <c r="AX26" s="481"/>
      <c r="AY26" s="481"/>
      <c r="AZ26" s="481"/>
      <c r="BA26" s="481"/>
      <c r="BB26" s="481"/>
      <c r="BC26" s="481"/>
      <c r="BD26" s="481"/>
    </row>
    <row r="27" spans="1:56">
      <c r="S27" s="566"/>
    </row>
    <row r="28" spans="1:56">
      <c r="S28" s="566"/>
    </row>
    <row r="29" spans="1:56">
      <c r="S29" s="566"/>
    </row>
    <row r="30" spans="1:56">
      <c r="S30" s="566"/>
    </row>
  </sheetData>
  <mergeCells count="3">
    <mergeCell ref="J5:V5"/>
    <mergeCell ref="W5:AI5"/>
    <mergeCell ref="AJ5:AV5"/>
  </mergeCells>
  <phoneticPr fontId="2" type="noConversion"/>
  <hyperlinks>
    <hyperlink ref="B2" location="目录!A1" display="目录" xr:uid="{8B455D48-F91E-8346-B815-0163412B5B90}"/>
  </hyperlinks>
  <pageMargins left="0.7" right="0.7" top="0.75" bottom="0.75" header="0.3" footer="0.3"/>
  <pictur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0C13-AE28-1F4F-9AA3-9A3720D7F7F7}">
  <dimension ref="A1:X4058"/>
  <sheetViews>
    <sheetView zoomScale="111" workbookViewId="0">
      <selection activeCell="A2" sqref="A2"/>
    </sheetView>
  </sheetViews>
  <sheetFormatPr baseColWidth="10" defaultColWidth="14.1640625" defaultRowHeight="16"/>
  <cols>
    <col min="1" max="1" width="16.83203125" bestFit="1" customWidth="1"/>
    <col min="2" max="8" width="14.33203125" bestFit="1" customWidth="1"/>
    <col min="10" max="14" width="14.33203125" bestFit="1" customWidth="1"/>
    <col min="16" max="16" width="15.33203125" bestFit="1" customWidth="1"/>
    <col min="17" max="18" width="14.33203125" bestFit="1" customWidth="1"/>
    <col min="19" max="19" width="15.33203125" bestFit="1" customWidth="1"/>
  </cols>
  <sheetData>
    <row r="1" spans="1:21" ht="17" thickBot="1"/>
    <row r="2" spans="1:21" ht="46" thickBot="1">
      <c r="A2" s="1441" t="s">
        <v>199</v>
      </c>
      <c r="J2" t="s">
        <v>556</v>
      </c>
      <c r="K2" s="144" t="s">
        <v>90</v>
      </c>
      <c r="L2" s="144" t="s">
        <v>446</v>
      </c>
      <c r="M2" s="144" t="s">
        <v>548</v>
      </c>
      <c r="N2" s="144" t="s">
        <v>640</v>
      </c>
      <c r="O2" s="144" t="s">
        <v>641</v>
      </c>
      <c r="P2" s="144" t="s">
        <v>557</v>
      </c>
      <c r="Q2" s="144" t="s">
        <v>558</v>
      </c>
      <c r="R2" s="144" t="s">
        <v>559</v>
      </c>
      <c r="S2" s="144" t="s">
        <v>643</v>
      </c>
      <c r="T2" s="144" t="s">
        <v>642</v>
      </c>
      <c r="U2" s="144" t="s">
        <v>560</v>
      </c>
    </row>
    <row r="3" spans="1:21" ht="17" thickBot="1">
      <c r="A3" t="s">
        <v>441</v>
      </c>
      <c r="B3" t="s">
        <v>442</v>
      </c>
      <c r="C3" t="s">
        <v>443</v>
      </c>
      <c r="D3" t="s">
        <v>444</v>
      </c>
      <c r="E3" s="796" t="s">
        <v>9</v>
      </c>
      <c r="F3" s="797" t="s">
        <v>10</v>
      </c>
      <c r="G3" s="797" t="s">
        <v>1</v>
      </c>
      <c r="H3" s="798" t="s">
        <v>445</v>
      </c>
      <c r="J3">
        <f>$A$4058-$A$470</f>
        <v>3588</v>
      </c>
      <c r="K3">
        <f>I4058</f>
        <v>6085247.8071298748</v>
      </c>
      <c r="L3" s="120">
        <f>J4058</f>
        <v>17186.270000325803</v>
      </c>
      <c r="M3" s="120">
        <f>K4058</f>
        <v>354.07612047375699</v>
      </c>
      <c r="N3" s="120">
        <f>N4058</f>
        <v>861790.50564280245</v>
      </c>
      <c r="O3" s="120"/>
      <c r="P3" s="885">
        <v>573008.06999999995</v>
      </c>
      <c r="Q3" s="885">
        <f>表1[[#This Row],[卓尔金历法2]]</f>
        <v>573008.06999999995</v>
      </c>
      <c r="R3" s="886">
        <f>表1[[#This Row],[卓尔金历法2]]/'CryptoSheets(🔥)'!K9</f>
        <v>2.1213893855879431</v>
      </c>
      <c r="S3" s="885">
        <f>表1[[#This Row],[卓尔金历法2]]</f>
        <v>573008.06999999995</v>
      </c>
      <c r="T3" s="886"/>
    </row>
    <row r="4" spans="1:21">
      <c r="A4" s="799">
        <v>40406</v>
      </c>
      <c r="B4">
        <v>6.5500000000000003E-2</v>
      </c>
      <c r="C4">
        <v>0.17552300000000001</v>
      </c>
      <c r="D4">
        <v>7.1383749999999999</v>
      </c>
      <c r="E4">
        <f>LN(D4/参数实验室!$E$53)/参数实验室!$E$55</f>
        <v>1.6258191988711745</v>
      </c>
      <c r="F4">
        <f>C4/B4</f>
        <v>2.6797404580152673</v>
      </c>
      <c r="G4">
        <f>LN(F4/参数实验室!$E$58)/参数实验室!$E$59</f>
        <v>0.32682907425060048</v>
      </c>
      <c r="H4" t="e">
        <f>INDEX(神经网络!$G$10:$BO$70,MATCH(ROUND(G4*2,1)/2,神经网络!$E$10:$E$70,0),MATCH(ROUND(E4*2,1)/2,神经网络!$G$8:$BO$8,0))</f>
        <v>#N/A</v>
      </c>
      <c r="J4" t="s">
        <v>545</v>
      </c>
      <c r="K4" s="564">
        <f>POWER(K$3,1/($J$3*12*60*60))-1</f>
        <v>1.0078204870644925E-7</v>
      </c>
      <c r="L4" s="564">
        <f t="shared" ref="L4:N4" si="0">POWER(L$3,1/($J$3*12*60*60))-1</f>
        <v>6.2914617515730242E-8</v>
      </c>
      <c r="M4" s="564">
        <f t="shared" si="0"/>
        <v>3.7867428748228349E-8</v>
      </c>
      <c r="N4" s="564">
        <f t="shared" si="0"/>
        <v>8.817178720477159E-8</v>
      </c>
      <c r="O4" s="564"/>
      <c r="P4" s="885">
        <f t="shared" ref="P4:Q10" si="1">P$3*K4</f>
        <v>5.7748927219928477E-2</v>
      </c>
      <c r="Q4" s="885">
        <f t="shared" si="1"/>
        <v>3.6050583557476777E-2</v>
      </c>
      <c r="R4" s="886">
        <f t="shared" ref="R4:S10" si="2">R$3*M4</f>
        <v>8.0331561405999346E-8</v>
      </c>
      <c r="S4" s="885">
        <f t="shared" si="2"/>
        <v>5.0523145614656859E-2</v>
      </c>
      <c r="T4" s="886"/>
      <c r="U4" t="s">
        <v>545</v>
      </c>
    </row>
    <row r="5" spans="1:21">
      <c r="A5" s="799">
        <v>40407</v>
      </c>
      <c r="B5">
        <v>7.0000000000000007E-2</v>
      </c>
      <c r="C5">
        <v>0.180617</v>
      </c>
      <c r="D5">
        <v>7.5098589999999996</v>
      </c>
      <c r="E5">
        <f>LN(D5/参数实验室!$E$53)/参数实验室!$E$55</f>
        <v>1.6856698874005587</v>
      </c>
      <c r="F5">
        <f t="shared" ref="F5:F68" si="3">C5/B5</f>
        <v>2.5802428571428568</v>
      </c>
      <c r="G5">
        <f>LN(F5/参数实验室!$E$58)/参数实验室!$E$59</f>
        <v>0.30697047590726734</v>
      </c>
      <c r="H5" t="e">
        <f>INDEX(神经网络!$G$10:$BO$70,MATCH(ROUND(G5*2,1)/2,神经网络!$E$10:$E$70,0),MATCH(ROUND(E5*2,1)/2,神经网络!$G$8:$BO$8,0))</f>
        <v>#N/A</v>
      </c>
      <c r="J5" t="s">
        <v>546</v>
      </c>
      <c r="K5" s="564">
        <f>POWER(K$3,1/($J$3*12*60))-1</f>
        <v>6.0469408980079464E-6</v>
      </c>
      <c r="L5" s="564">
        <f t="shared" ref="L5:N5" si="4">POWER(L$3,1/($J$3*12*60))-1</f>
        <v>3.7748840635565273E-6</v>
      </c>
      <c r="M5" s="564">
        <f t="shared" si="4"/>
        <v>2.2720482579785539E-6</v>
      </c>
      <c r="N5" s="564">
        <f t="shared" si="4"/>
        <v>5.2903209919463734E-6</v>
      </c>
      <c r="O5" s="564"/>
      <c r="P5" s="885">
        <f t="shared" si="1"/>
        <v>3.4649459333715997</v>
      </c>
      <c r="Q5" s="885">
        <f t="shared" si="1"/>
        <v>2.163039031732283</v>
      </c>
      <c r="R5" s="886">
        <f t="shared" si="2"/>
        <v>4.819899058019281E-6</v>
      </c>
      <c r="S5" s="885">
        <f t="shared" si="2"/>
        <v>3.0313966212756767</v>
      </c>
      <c r="T5" s="886"/>
      <c r="U5" t="s">
        <v>546</v>
      </c>
    </row>
    <row r="6" spans="1:21">
      <c r="A6" s="799">
        <v>40408</v>
      </c>
      <c r="B6">
        <v>6.8000000000000005E-2</v>
      </c>
      <c r="C6">
        <v>0.18573600000000001</v>
      </c>
      <c r="D6">
        <v>7.147964</v>
      </c>
      <c r="E6">
        <f>LN(D6/参数实验室!$E$53)/参数实验室!$E$55</f>
        <v>1.6274029013936013</v>
      </c>
      <c r="F6">
        <f t="shared" si="3"/>
        <v>2.7314117647058822</v>
      </c>
      <c r="G6">
        <f>LN(F6/参数实验室!$E$58)/参数实验室!$E$59</f>
        <v>0.3368530829859907</v>
      </c>
      <c r="H6" t="e">
        <f>INDEX(神经网络!$G$10:$BO$70,MATCH(ROUND(G6*2,1)/2,神经网络!$E$10:$E$70,0),MATCH(ROUND(E6*2,1)/2,神经网络!$G$8:$BO$8,0))</f>
        <v>#N/A</v>
      </c>
      <c r="J6" t="s">
        <v>547</v>
      </c>
      <c r="K6" s="564">
        <f>POWER(K$3,1/($J$3*12))-1</f>
        <v>3.6288118237881584E-4</v>
      </c>
      <c r="L6" s="564">
        <f t="shared" ref="L6:N6" si="5">POWER(L$3,1/($J$3*12))-1</f>
        <v>2.2651826770814232E-4</v>
      </c>
      <c r="M6" s="564">
        <f t="shared" si="5"/>
        <v>1.3633203297480634E-4</v>
      </c>
      <c r="N6" s="564">
        <f t="shared" si="5"/>
        <v>3.1746880245719922E-4</v>
      </c>
      <c r="O6" s="564"/>
      <c r="P6" s="885">
        <f t="shared" si="1"/>
        <v>207.93384595420326</v>
      </c>
      <c r="Q6" s="885">
        <f t="shared" si="1"/>
        <v>129.79679539918595</v>
      </c>
      <c r="R6" s="886">
        <f t="shared" si="2"/>
        <v>2.892133276683796E-4</v>
      </c>
      <c r="S6" s="885">
        <f t="shared" si="2"/>
        <v>181.91218578121095</v>
      </c>
      <c r="T6" s="886"/>
      <c r="U6" t="s">
        <v>547</v>
      </c>
    </row>
    <row r="7" spans="1:21">
      <c r="A7" s="799">
        <v>40409</v>
      </c>
      <c r="B7">
        <v>6.6699999999999995E-2</v>
      </c>
      <c r="C7">
        <v>0.19153300000000001</v>
      </c>
      <c r="D7">
        <v>6.9316839999999997</v>
      </c>
      <c r="E7">
        <f>LN(D7/参数实验室!$E$53)/参数实验室!$E$55</f>
        <v>1.5911552474898156</v>
      </c>
      <c r="F7">
        <f t="shared" si="3"/>
        <v>2.8715592203898055</v>
      </c>
      <c r="G7">
        <f>LN(F7/参数实验室!$E$58)/参数实验室!$E$59</f>
        <v>0.36311497335918763</v>
      </c>
      <c r="H7" t="e">
        <f>INDEX(神经网络!$G$10:$BO$70,MATCH(ROUND(G7*2,1)/2,神经网络!$E$10:$E$70,0),MATCH(ROUND(E7*2,1)/2,神经网络!$G$8:$BO$8,0))</f>
        <v>#N/A</v>
      </c>
      <c r="J7" t="s">
        <v>541</v>
      </c>
      <c r="K7" s="564">
        <f>POWER(K$3,1/$J$3)-1</f>
        <v>4.3632757715441617E-3</v>
      </c>
      <c r="L7" s="564">
        <f t="shared" ref="L7:N7" si="6">POWER(L$3,1/$J$3)-1</f>
        <v>2.7216082655017182E-3</v>
      </c>
      <c r="M7" s="564">
        <f t="shared" si="6"/>
        <v>1.6372116572638262E-3</v>
      </c>
      <c r="N7" s="564">
        <f t="shared" si="6"/>
        <v>3.8162845788336508E-3</v>
      </c>
      <c r="O7" s="564"/>
      <c r="P7" s="885">
        <f t="shared" si="1"/>
        <v>2500.1922287302809</v>
      </c>
      <c r="Q7" s="885">
        <f t="shared" si="1"/>
        <v>1559.5034995111869</v>
      </c>
      <c r="R7" s="886">
        <f t="shared" si="2"/>
        <v>3.4731634316803265E-3</v>
      </c>
      <c r="S7" s="885">
        <f t="shared" si="2"/>
        <v>2186.7618610882328</v>
      </c>
      <c r="T7" s="886"/>
      <c r="U7" t="s">
        <v>541</v>
      </c>
    </row>
    <row r="8" spans="1:21">
      <c r="A8" s="799">
        <v>40410</v>
      </c>
      <c r="B8">
        <v>6.5500000000000003E-2</v>
      </c>
      <c r="C8">
        <v>0.194939</v>
      </c>
      <c r="D8">
        <v>6.6941290000000002</v>
      </c>
      <c r="E8">
        <f>LN(D8/参数实验室!$E$53)/参数实验室!$E$55</f>
        <v>1.5500149967360159</v>
      </c>
      <c r="F8">
        <f t="shared" si="3"/>
        <v>2.9761679389312974</v>
      </c>
      <c r="G8">
        <f>LN(F8/参数实验室!$E$58)/参数实验室!$E$59</f>
        <v>0.38189497629456165</v>
      </c>
      <c r="H8" t="e">
        <f>INDEX(神经网络!$G$10:$BO$70,MATCH(ROUND(G8*2,1)/2,神经网络!$E$10:$E$70,0),MATCH(ROUND(E8*2,1)/2,神经网络!$G$8:$BO$8,0))</f>
        <v>#N/A</v>
      </c>
      <c r="J8" t="s">
        <v>544</v>
      </c>
      <c r="K8" s="564">
        <f>POWER(K$3,1/($J$3/7))-1</f>
        <v>3.0945652212863051E-2</v>
      </c>
      <c r="L8" s="564">
        <f t="shared" ref="L8:N8" si="7">POWER(L$3,1/($J$3/7))-1</f>
        <v>1.9207515542296161E-2</v>
      </c>
      <c r="M8" s="564">
        <f t="shared" si="7"/>
        <v>1.1516925151715984E-2</v>
      </c>
      <c r="N8" s="564">
        <f t="shared" si="7"/>
        <v>2.7021789397097651E-2</v>
      </c>
      <c r="O8" s="564"/>
      <c r="P8" s="885">
        <f t="shared" si="1"/>
        <v>17732.108449383883</v>
      </c>
      <c r="Q8" s="885">
        <f t="shared" si="1"/>
        <v>11006.061410386126</v>
      </c>
      <c r="R8" s="886">
        <f t="shared" si="2"/>
        <v>2.4431882771461102E-2</v>
      </c>
      <c r="S8" s="885">
        <f t="shared" si="2"/>
        <v>15483.703390377386</v>
      </c>
      <c r="T8" s="886"/>
      <c r="U8" t="s">
        <v>544</v>
      </c>
    </row>
    <row r="9" spans="1:21">
      <c r="A9" s="799">
        <v>40411</v>
      </c>
      <c r="B9">
        <v>6.6400000000000001E-2</v>
      </c>
      <c r="C9">
        <v>0.197074</v>
      </c>
      <c r="D9">
        <v>6.617756</v>
      </c>
      <c r="E9">
        <f>LN(D9/参数实验室!$E$53)/参数实验室!$E$55</f>
        <v>1.5364778781238739</v>
      </c>
      <c r="F9">
        <f t="shared" si="3"/>
        <v>2.9679819277108432</v>
      </c>
      <c r="G9">
        <f>LN(F9/参数实验室!$E$58)/参数实验室!$E$59</f>
        <v>0.38044936543402885</v>
      </c>
      <c r="H9" t="e">
        <f>INDEX(神经网络!$G$10:$BO$70,MATCH(ROUND(G9*2,1)/2,神经网络!$E$10:$E$70,0),MATCH(ROUND(E9*2,1)/2,神经网络!$G$8:$BO$8,0))</f>
        <v>#N/A</v>
      </c>
      <c r="J9" t="s">
        <v>543</v>
      </c>
      <c r="K9" s="564">
        <f>POWER(K$3,1/($J$3/30))-1</f>
        <v>0.13952730136826763</v>
      </c>
      <c r="L9" s="564">
        <f t="shared" ref="L9:N9" si="8">POWER(L$3,1/($J$3/30))-1</f>
        <v>8.4953731034000945E-2</v>
      </c>
      <c r="M9" s="564">
        <f t="shared" si="8"/>
        <v>5.0300366525543705E-2</v>
      </c>
      <c r="N9" s="564">
        <f t="shared" si="8"/>
        <v>0.12105547638257241</v>
      </c>
      <c r="O9" s="564"/>
      <c r="P9" s="885">
        <f t="shared" si="1"/>
        <v>79950.269669339381</v>
      </c>
      <c r="Q9" s="885">
        <f t="shared" si="1"/>
        <v>48679.17345909198</v>
      </c>
      <c r="R9" s="886">
        <f t="shared" si="2"/>
        <v>0.10670666363847151</v>
      </c>
      <c r="S9" s="885">
        <f t="shared" si="2"/>
        <v>69365.764884908393</v>
      </c>
      <c r="T9" s="886"/>
      <c r="U9" t="s">
        <v>543</v>
      </c>
    </row>
    <row r="10" spans="1:21">
      <c r="A10" s="799">
        <v>40412</v>
      </c>
      <c r="B10">
        <v>6.6000000000000003E-2</v>
      </c>
      <c r="C10">
        <v>0.197514</v>
      </c>
      <c r="D10">
        <v>6.4156870000000001</v>
      </c>
      <c r="E10">
        <f>LN(D10/参数实验室!$E$53)/参数实验室!$E$55</f>
        <v>1.4998934296748747</v>
      </c>
      <c r="F10">
        <f t="shared" si="3"/>
        <v>2.9926363636363633</v>
      </c>
      <c r="G10">
        <f>LN(F10/参数实验室!$E$58)/参数实验室!$E$59</f>
        <v>0.3847912150668929</v>
      </c>
      <c r="H10">
        <f>INDEX(神经网络!$G$10:$BO$70,MATCH(ROUND(G10*2,1)/2,神经网络!$E$10:$E$70,0),MATCH(ROUND(E10*2,1)/2,神经网络!$G$8:$BO$8,0))</f>
        <v>2.4691181232120463</v>
      </c>
      <c r="J10" t="s">
        <v>542</v>
      </c>
      <c r="K10" s="564">
        <f>POWER(K$3,1/($J$3/365))-1</f>
        <v>3.8994907117581299</v>
      </c>
      <c r="L10" s="564">
        <f t="shared" ref="L10:N10" si="9">POWER(L$3,1/($J$3/365))-1</f>
        <v>1.6967238826523299</v>
      </c>
      <c r="M10" s="564">
        <f t="shared" si="9"/>
        <v>0.81683068974021</v>
      </c>
      <c r="N10" s="564">
        <f t="shared" si="9"/>
        <v>3.0160252879171088</v>
      </c>
      <c r="O10" s="564"/>
      <c r="P10" s="885">
        <f t="shared" si="1"/>
        <v>2234439.6467274521</v>
      </c>
      <c r="Q10" s="885">
        <f t="shared" si="1"/>
        <v>972236.47732151789</v>
      </c>
      <c r="R10" s="886">
        <f t="shared" si="2"/>
        <v>1.7328159550373599</v>
      </c>
      <c r="S10" s="885">
        <f t="shared" si="2"/>
        <v>1728206.8293005766</v>
      </c>
      <c r="T10" s="886"/>
      <c r="U10" t="s">
        <v>542</v>
      </c>
    </row>
    <row r="11" spans="1:21">
      <c r="A11" s="799">
        <v>40413</v>
      </c>
      <c r="B11">
        <v>6.4899999999999999E-2</v>
      </c>
      <c r="C11">
        <v>0.19735900000000001</v>
      </c>
      <c r="D11">
        <v>6.2249559999999997</v>
      </c>
      <c r="E11">
        <f>LN(D11/参数实验室!$E$53)/参数实验室!$E$55</f>
        <v>1.4642888176824385</v>
      </c>
      <c r="F11">
        <f t="shared" si="3"/>
        <v>3.0409707241910633</v>
      </c>
      <c r="G11">
        <f>LN(F11/参数实验室!$E$58)/参数实验室!$E$59</f>
        <v>0.39320045579891816</v>
      </c>
      <c r="H11">
        <f>INDEX(神经网络!$G$10:$BO$70,MATCH(ROUND(G11*2,1)/2,神经网络!$E$10:$E$70,0),MATCH(ROUND(E11*2,1)/2,神经网络!$G$8:$BO$8,0))</f>
        <v>2.4624247431267605</v>
      </c>
      <c r="J11" t="s">
        <v>638</v>
      </c>
      <c r="K11" s="564">
        <f>T4058</f>
        <v>-0.91338805338419748</v>
      </c>
      <c r="L11" s="564">
        <f>U4058</f>
        <v>-0.83569785939843477</v>
      </c>
      <c r="M11" s="564">
        <f>V4058</f>
        <v>-0.84885940676762139</v>
      </c>
      <c r="N11" s="564">
        <f>W4058</f>
        <v>-0.62788758315546067</v>
      </c>
      <c r="O11" s="564"/>
      <c r="P11" s="885"/>
      <c r="Q11" s="885"/>
      <c r="R11" s="886"/>
      <c r="S11" s="886"/>
      <c r="T11" s="886"/>
    </row>
    <row r="12" spans="1:21">
      <c r="A12" s="799">
        <v>40414</v>
      </c>
      <c r="B12">
        <v>6.5000000000000002E-2</v>
      </c>
      <c r="C12">
        <v>0.20127400000000001</v>
      </c>
      <c r="D12">
        <v>6.1324699999999996</v>
      </c>
      <c r="E12">
        <f>LN(D12/参数实验室!$E$53)/参数实验室!$E$55</f>
        <v>1.4466293640342427</v>
      </c>
      <c r="F12">
        <f t="shared" si="3"/>
        <v>3.0965230769230772</v>
      </c>
      <c r="G12">
        <f>LN(F12/参数实验室!$E$58)/参数实验室!$E$59</f>
        <v>0.4027019475007142</v>
      </c>
      <c r="H12">
        <f>INDEX(神经网络!$G$10:$BO$70,MATCH(ROUND(G12*2,1)/2,神经网络!$E$10:$E$70,0),MATCH(ROUND(E12*2,1)/2,神经网络!$G$8:$BO$8,0))</f>
        <v>2.4624247431267605</v>
      </c>
      <c r="J12" t="s">
        <v>639</v>
      </c>
      <c r="K12" s="564"/>
      <c r="L12" s="564"/>
      <c r="M12" s="564"/>
      <c r="N12" s="564">
        <f t="shared" ref="N12" si="10">-W3986</f>
        <v>0.62788758315546067</v>
      </c>
      <c r="O12" s="564"/>
      <c r="P12" s="960">
        <f>LOG(100000000/P3,1+K7)/365</f>
        <v>3.2483318298950388</v>
      </c>
      <c r="Q12" s="960">
        <f>LOG(100000000/Q3,1+L7)/365</f>
        <v>5.2034573640132367</v>
      </c>
      <c r="R12" s="960"/>
      <c r="S12" s="960">
        <f t="shared" ref="S12" si="11">LOG(100000000/S3,1+N7)/365</f>
        <v>3.7129057370118916</v>
      </c>
      <c r="T12" s="886"/>
    </row>
    <row r="13" spans="1:21">
      <c r="A13" s="799">
        <v>40415</v>
      </c>
      <c r="B13">
        <v>6.4799999999999996E-2</v>
      </c>
      <c r="C13">
        <v>0.206432</v>
      </c>
      <c r="D13">
        <v>6.0238610000000001</v>
      </c>
      <c r="E13">
        <f>LN(D13/参数实验室!$E$53)/参数实验室!$E$55</f>
        <v>1.4255481299817561</v>
      </c>
      <c r="F13">
        <f t="shared" si="3"/>
        <v>3.1856790123456791</v>
      </c>
      <c r="G13">
        <f>LN(F13/参数实验室!$E$58)/参数实验室!$E$59</f>
        <v>0.41760022502764382</v>
      </c>
      <c r="H13">
        <f>INDEX(神经网络!$G$10:$BO$70,MATCH(ROUND(G13*2,1)/2,神经网络!$E$10:$E$70,0),MATCH(ROUND(E13*2,1)/2,神经网络!$G$8:$BO$8,0))</f>
        <v>2.4624247431267605</v>
      </c>
    </row>
    <row r="14" spans="1:21">
      <c r="A14" s="799">
        <v>40416</v>
      </c>
      <c r="B14">
        <v>6.4000000000000001E-2</v>
      </c>
      <c r="C14">
        <v>0.20411399999999999</v>
      </c>
      <c r="D14">
        <v>5.8746900000000002</v>
      </c>
      <c r="E14">
        <f>LN(D14/参数实验室!$E$53)/参数实验室!$E$55</f>
        <v>1.3959656720652822</v>
      </c>
      <c r="F14">
        <f t="shared" si="3"/>
        <v>3.1892812499999996</v>
      </c>
      <c r="G14">
        <f>LN(F14/参数实验室!$E$58)/参数实验室!$E$59</f>
        <v>0.41819337357145575</v>
      </c>
      <c r="H14">
        <f>INDEX(神经网络!$G$10:$BO$70,MATCH(ROUND(G14*2,1)/2,神经网络!$E$10:$E$70,0),MATCH(ROUND(E14*2,1)/2,神经网络!$G$8:$BO$8,0))</f>
        <v>2.4543156033687881</v>
      </c>
    </row>
    <row r="15" spans="1:21">
      <c r="A15" s="799">
        <v>40417</v>
      </c>
      <c r="B15">
        <v>6.5000000000000002E-2</v>
      </c>
      <c r="C15">
        <v>0.20471800000000001</v>
      </c>
      <c r="D15">
        <v>5.8720920000000003</v>
      </c>
      <c r="E15">
        <f>LN(D15/参数实验室!$E$53)/参数实验室!$E$55</f>
        <v>1.395443827192735</v>
      </c>
      <c r="F15">
        <f t="shared" si="3"/>
        <v>3.1495076923076923</v>
      </c>
      <c r="G15">
        <f>LN(F15/参数实验室!$E$58)/参数实验室!$E$59</f>
        <v>0.41160675687871939</v>
      </c>
      <c r="H15">
        <f>INDEX(神经网络!$G$10:$BO$70,MATCH(ROUND(G15*2,1)/2,神经网络!$E$10:$E$70,0),MATCH(ROUND(E15*2,1)/2,神经网络!$G$8:$BO$8,0))</f>
        <v>2.4543156033687881</v>
      </c>
    </row>
    <row r="16" spans="1:21">
      <c r="A16" s="799">
        <v>40418</v>
      </c>
      <c r="B16">
        <v>6.4100000000000004E-2</v>
      </c>
      <c r="C16">
        <v>0.20761299999999999</v>
      </c>
      <c r="D16">
        <v>5.7749759999999997</v>
      </c>
      <c r="E16">
        <f>LN(D16/参数实验室!$E$53)/参数实验室!$E$55</f>
        <v>1.3757692496209952</v>
      </c>
      <c r="F16">
        <f t="shared" si="3"/>
        <v>3.2388923556942273</v>
      </c>
      <c r="G16">
        <f>LN(F16/参数实验室!$E$58)/参数实验室!$E$59</f>
        <v>0.42629493025213294</v>
      </c>
      <c r="H16">
        <f>INDEX(神经网络!$G$10:$BO$70,MATCH(ROUND(G16*2,1)/2,神经网络!$E$10:$E$70,0),MATCH(ROUND(E16*2,1)/2,神经网络!$G$8:$BO$8,0))</f>
        <v>2.4561423655033394</v>
      </c>
    </row>
    <row r="17" spans="1:8">
      <c r="A17" s="799">
        <v>40419</v>
      </c>
      <c r="B17">
        <v>6.4000000000000001E-2</v>
      </c>
      <c r="C17">
        <v>0.211531</v>
      </c>
      <c r="D17">
        <v>5.6627289999999997</v>
      </c>
      <c r="E17">
        <f>LN(D17/参数实验室!$E$53)/参数实验室!$E$55</f>
        <v>1.3526128534962221</v>
      </c>
      <c r="F17">
        <f t="shared" si="3"/>
        <v>3.3051718750000001</v>
      </c>
      <c r="G17">
        <f>LN(F17/参数实验室!$E$58)/参数实验室!$E$59</f>
        <v>0.43692693568987101</v>
      </c>
      <c r="H17">
        <f>INDEX(神经网络!$G$10:$BO$70,MATCH(ROUND(G17*2,1)/2,神经网络!$E$10:$E$70,0),MATCH(ROUND(E17*2,1)/2,神经网络!$G$8:$BO$8,0))</f>
        <v>2.4498204080234749</v>
      </c>
    </row>
    <row r="18" spans="1:8">
      <c r="A18" s="799">
        <v>40420</v>
      </c>
      <c r="B18">
        <v>6.5000000000000002E-2</v>
      </c>
      <c r="C18">
        <v>0.219168</v>
      </c>
      <c r="D18">
        <v>5.6905020000000004</v>
      </c>
      <c r="E18">
        <f>LN(D18/参数实验室!$E$53)/参数实验室!$E$55</f>
        <v>1.3583848407310748</v>
      </c>
      <c r="F18">
        <f t="shared" si="3"/>
        <v>3.3718153846153847</v>
      </c>
      <c r="G18">
        <f>LN(F18/参数实验室!$E$58)/参数实验室!$E$59</f>
        <v>0.44740449860991222</v>
      </c>
      <c r="H18">
        <f>INDEX(神经网络!$G$10:$BO$70,MATCH(ROUND(G18*2,1)/2,神经网络!$E$10:$E$70,0),MATCH(ROUND(E18*2,1)/2,神经网络!$G$8:$BO$8,0))</f>
        <v>2.4498204080234749</v>
      </c>
    </row>
    <row r="19" spans="1:8">
      <c r="A19" s="799">
        <v>40421</v>
      </c>
      <c r="B19">
        <v>0.06</v>
      </c>
      <c r="C19">
        <v>0.22766800000000001</v>
      </c>
      <c r="D19">
        <v>5.1915979999999999</v>
      </c>
      <c r="E19">
        <f>LN(D19/参数实验室!$E$53)/参数实验室!$E$55</f>
        <v>1.2501343171654475</v>
      </c>
      <c r="F19">
        <f t="shared" si="3"/>
        <v>3.7944666666666671</v>
      </c>
      <c r="G19">
        <f>LN(F19/参数实验室!$E$58)/参数实验室!$E$59</f>
        <v>0.50938586461237267</v>
      </c>
      <c r="H19">
        <f>INDEX(神经网络!$G$10:$BO$70,MATCH(ROUND(G19*2,1)/2,神经网络!$E$10:$E$70,0),MATCH(ROUND(E19*2,1)/2,神经网络!$G$8:$BO$8,0))</f>
        <v>2.4389158728077032</v>
      </c>
    </row>
    <row r="20" spans="1:8">
      <c r="A20" s="799">
        <v>40422</v>
      </c>
      <c r="B20">
        <v>6.2899999999999998E-2</v>
      </c>
      <c r="C20">
        <v>0.239977</v>
      </c>
      <c r="D20">
        <v>5.3189130000000002</v>
      </c>
      <c r="E20">
        <f>LN(D20/参数实验室!$E$53)/参数实验室!$E$55</f>
        <v>1.2787166822042795</v>
      </c>
      <c r="F20">
        <f t="shared" si="3"/>
        <v>3.8152146263910969</v>
      </c>
      <c r="G20">
        <f>LN(F20/参数实验室!$E$58)/参数实验室!$E$59</f>
        <v>0.51224792337990033</v>
      </c>
      <c r="H20">
        <f>INDEX(神经网络!$G$10:$BO$70,MATCH(ROUND(G20*2,1)/2,神经网络!$E$10:$E$70,0),MATCH(ROUND(E20*2,1)/2,神经网络!$G$8:$BO$8,0))</f>
        <v>2.4466077078315007</v>
      </c>
    </row>
    <row r="21" spans="1:8">
      <c r="A21" s="799">
        <v>40423</v>
      </c>
      <c r="B21">
        <v>6.3399999999999998E-2</v>
      </c>
      <c r="C21">
        <v>0.25121599999999999</v>
      </c>
      <c r="D21">
        <v>5.3852250000000002</v>
      </c>
      <c r="E21">
        <f>LN(D21/参数实验室!$E$53)/参数实验室!$E$55</f>
        <v>1.2933339821544887</v>
      </c>
      <c r="F21">
        <f t="shared" si="3"/>
        <v>3.9623974763406942</v>
      </c>
      <c r="G21">
        <f>LN(F21/参数实验室!$E$58)/参数实验室!$E$59</f>
        <v>0.5321148790004786</v>
      </c>
      <c r="H21">
        <f>INDEX(神经网络!$G$10:$BO$70,MATCH(ROUND(G21*2,1)/2,神经网络!$E$10:$E$70,0),MATCH(ROUND(E21*2,1)/2,神经网络!$G$8:$BO$8,0))</f>
        <v>2.4498356132764014</v>
      </c>
    </row>
    <row r="22" spans="1:8">
      <c r="A22" s="799">
        <v>40424</v>
      </c>
      <c r="B22">
        <v>6.0900000000000003E-2</v>
      </c>
      <c r="C22">
        <v>0.26435199999999998</v>
      </c>
      <c r="D22">
        <v>5.1217959999999998</v>
      </c>
      <c r="E22">
        <f>LN(D22/参数实验室!$E$53)/参数实验室!$E$55</f>
        <v>1.2341647162055327</v>
      </c>
      <c r="F22">
        <f t="shared" si="3"/>
        <v>4.3407553366174048</v>
      </c>
      <c r="G22">
        <f>LN(F22/参数实验室!$E$58)/参数实验室!$E$59</f>
        <v>0.57998109970366019</v>
      </c>
      <c r="H22">
        <f>INDEX(神经网络!$G$10:$BO$70,MATCH(ROUND(G22*2,1)/2,神经网络!$E$10:$E$70,0),MATCH(ROUND(E22*2,1)/2,神经网络!$G$8:$BO$8,0))</f>
        <v>2.446618093787281</v>
      </c>
    </row>
    <row r="23" spans="1:8">
      <c r="A23" s="799">
        <v>40425</v>
      </c>
      <c r="B23">
        <v>6.2399999999999997E-2</v>
      </c>
      <c r="C23">
        <v>0.272254</v>
      </c>
      <c r="D23">
        <v>5.1823589999999999</v>
      </c>
      <c r="E23">
        <f>LN(D23/参数实验室!$E$53)/参数实验室!$E$55</f>
        <v>1.2480329506178884</v>
      </c>
      <c r="F23">
        <f t="shared" si="3"/>
        <v>4.3630448717948722</v>
      </c>
      <c r="G23">
        <f>LN(F23/参数实验室!$E$58)/参数实验室!$E$59</f>
        <v>0.58266929978879634</v>
      </c>
      <c r="H23">
        <f>INDEX(神经网络!$G$10:$BO$70,MATCH(ROUND(G23*2,1)/2,神经网络!$E$10:$E$70,0),MATCH(ROUND(E23*2,1)/2,神经网络!$G$8:$BO$8,0))</f>
        <v>2.446618093787281</v>
      </c>
    </row>
    <row r="24" spans="1:8">
      <c r="A24" s="799">
        <v>40426</v>
      </c>
      <c r="B24">
        <v>6.1600000000000002E-2</v>
      </c>
      <c r="C24">
        <v>0.27190399999999998</v>
      </c>
      <c r="D24">
        <v>5.0689729999999997</v>
      </c>
      <c r="E24">
        <f>LN(D24/参数实验室!$E$53)/参数实验室!$E$55</f>
        <v>1.2219343018506841</v>
      </c>
      <c r="F24">
        <f t="shared" si="3"/>
        <v>4.4140259740259733</v>
      </c>
      <c r="G24">
        <f>LN(F24/参数实验室!$E$58)/参数实验室!$E$59</f>
        <v>0.58876653633141929</v>
      </c>
      <c r="H24">
        <f>INDEX(神经网络!$G$10:$BO$70,MATCH(ROUND(G24*2,1)/2,神经网络!$E$10:$E$70,0),MATCH(ROUND(E24*2,1)/2,神经网络!$G$8:$BO$8,0))</f>
        <v>2.4389263474600935</v>
      </c>
    </row>
    <row r="25" spans="1:8">
      <c r="A25" s="799">
        <v>40427</v>
      </c>
      <c r="B25">
        <v>6.1600000000000002E-2</v>
      </c>
      <c r="C25">
        <v>0.273675</v>
      </c>
      <c r="D25">
        <v>5.0320729999999996</v>
      </c>
      <c r="E25">
        <f>LN(D25/参数实验室!$E$53)/参数实验室!$E$55</f>
        <v>1.2133147809904479</v>
      </c>
      <c r="F25">
        <f t="shared" si="3"/>
        <v>4.4427759740259738</v>
      </c>
      <c r="G25">
        <f>LN(F25/参数实验室!$E$58)/参数实验室!$E$59</f>
        <v>0.59217399803770376</v>
      </c>
      <c r="H25">
        <f>INDEX(神经网络!$G$10:$BO$70,MATCH(ROUND(G25*2,1)/2,神经网络!$E$10:$E$70,0),MATCH(ROUND(E25*2,1)/2,神经网络!$G$8:$BO$8,0))</f>
        <v>2.4389263474600935</v>
      </c>
    </row>
    <row r="26" spans="1:8">
      <c r="A26" s="799">
        <v>40428</v>
      </c>
      <c r="B26">
        <v>6.0999999999999999E-2</v>
      </c>
      <c r="C26">
        <v>0.28185500000000002</v>
      </c>
      <c r="D26">
        <v>4.9481630000000001</v>
      </c>
      <c r="E26">
        <f>LN(D26/参数实验室!$E$53)/参数实验室!$E$55</f>
        <v>1.193476487117916</v>
      </c>
      <c r="F26">
        <f t="shared" si="3"/>
        <v>4.620573770491804</v>
      </c>
      <c r="G26">
        <f>LN(F26/参数实验室!$E$58)/参数实验室!$E$59</f>
        <v>0.61276900284385194</v>
      </c>
      <c r="H26">
        <f>INDEX(神经网络!$G$10:$BO$70,MATCH(ROUND(G26*2,1)/2,神经网络!$E$10:$E$70,0),MATCH(ROUND(E26*2,1)/2,神经网络!$G$8:$BO$8,0))</f>
        <v>2.4389263474600935</v>
      </c>
    </row>
    <row r="27" spans="1:8">
      <c r="A27" s="799">
        <v>40429</v>
      </c>
      <c r="B27">
        <v>6.2E-2</v>
      </c>
      <c r="C27">
        <v>0.28816399999999998</v>
      </c>
      <c r="D27">
        <v>4.8883609999999997</v>
      </c>
      <c r="E27">
        <f>LN(D27/参数实验室!$E$53)/参数实验室!$E$55</f>
        <v>1.1791314862327722</v>
      </c>
      <c r="F27">
        <f t="shared" si="3"/>
        <v>4.6478064516129027</v>
      </c>
      <c r="G27">
        <f>LN(F27/参数实验室!$E$58)/参数实验室!$E$59</f>
        <v>0.61585330098012792</v>
      </c>
      <c r="H27">
        <f>INDEX(神经网络!$G$10:$BO$70,MATCH(ROUND(G27*2,1)/2,神经网络!$E$10:$E$70,0),MATCH(ROUND(E27*2,1)/2,神经网络!$G$8:$BO$8,0))</f>
        <v>2.4389263474600935</v>
      </c>
    </row>
    <row r="28" spans="1:8">
      <c r="A28" s="799">
        <v>40430</v>
      </c>
      <c r="B28">
        <v>6.1100000000000002E-2</v>
      </c>
      <c r="C28">
        <v>0.29926599999999998</v>
      </c>
      <c r="D28">
        <v>4.795458</v>
      </c>
      <c r="E28">
        <f>LN(D28/参数实验室!$E$53)/参数实验室!$E$55</f>
        <v>1.1564945537709594</v>
      </c>
      <c r="F28">
        <f t="shared" si="3"/>
        <v>4.897970540098199</v>
      </c>
      <c r="G28">
        <f>LN(F28/参数实验室!$E$58)/参数实验室!$E$59</f>
        <v>0.64336907144959565</v>
      </c>
      <c r="H28">
        <f>INDEX(神经网络!$G$10:$BO$70,MATCH(ROUND(G28*2,1)/2,神经网络!$E$10:$E$70,0),MATCH(ROUND(E28*2,1)/2,神经网络!$G$8:$BO$8,0))</f>
        <v>2.4350422728061671</v>
      </c>
    </row>
    <row r="29" spans="1:8">
      <c r="A29" s="799">
        <v>40431</v>
      </c>
      <c r="B29">
        <v>6.1800000000000001E-2</v>
      </c>
      <c r="C29">
        <v>0.311554</v>
      </c>
      <c r="D29">
        <v>4.7466949999999999</v>
      </c>
      <c r="E29">
        <f>LN(D29/参数实验室!$E$53)/参数实验室!$E$55</f>
        <v>1.1444367281994487</v>
      </c>
      <c r="F29">
        <f t="shared" si="3"/>
        <v>5.0413268608414237</v>
      </c>
      <c r="G29">
        <f>LN(F29/参数实验室!$E$58)/参数实验室!$E$59</f>
        <v>0.65851025489291137</v>
      </c>
      <c r="H29">
        <f>INDEX(神经网络!$G$10:$BO$70,MATCH(ROUND(G29*2,1)/2,神经网络!$E$10:$E$70,0),MATCH(ROUND(E29*2,1)/2,神经网络!$G$8:$BO$8,0))</f>
        <v>2.4350422728061671</v>
      </c>
    </row>
    <row r="30" spans="1:8">
      <c r="A30" s="799">
        <v>40432</v>
      </c>
      <c r="B30">
        <v>6.3700000000000007E-2</v>
      </c>
      <c r="C30">
        <v>0.32435000000000003</v>
      </c>
      <c r="D30">
        <v>4.9106110000000003</v>
      </c>
      <c r="E30">
        <f>LN(D30/参数实验室!$E$53)/参数实验室!$E$55</f>
        <v>1.1844891002337579</v>
      </c>
      <c r="F30">
        <f t="shared" si="3"/>
        <v>5.0918367346938771</v>
      </c>
      <c r="G30">
        <f>LN(F30/参数实验室!$E$58)/参数实验室!$E$59</f>
        <v>0.66374268419729521</v>
      </c>
      <c r="H30">
        <f>INDEX(神经网络!$G$10:$BO$70,MATCH(ROUND(G30*2,1)/2,神经网络!$E$10:$E$70,0),MATCH(ROUND(E30*2,1)/2,神经网络!$G$8:$BO$8,0))</f>
        <v>2.4431504561130422</v>
      </c>
    </row>
    <row r="31" spans="1:8">
      <c r="A31" s="799">
        <v>40433</v>
      </c>
      <c r="B31">
        <v>6.1499999999999999E-2</v>
      </c>
      <c r="C31">
        <v>0.33441799999999999</v>
      </c>
      <c r="D31">
        <v>4.6969989999999999</v>
      </c>
      <c r="E31">
        <f>LN(D31/参数实验室!$E$53)/参数实验室!$E$55</f>
        <v>1.1320200703932455</v>
      </c>
      <c r="F31">
        <f t="shared" si="3"/>
        <v>5.4376910569105688</v>
      </c>
      <c r="G31">
        <f>LN(F31/参数实验室!$E$58)/参数实验室!$E$59</f>
        <v>0.69823394820508489</v>
      </c>
      <c r="H31">
        <f>INDEX(神经网络!$G$10:$BO$70,MATCH(ROUND(G31*2,1)/2,神经网络!$E$10:$E$70,0),MATCH(ROUND(E31*2,1)/2,神经网络!$G$8:$BO$8,0))</f>
        <v>2.4389310604674441</v>
      </c>
    </row>
    <row r="32" spans="1:8">
      <c r="A32" s="799">
        <v>40434</v>
      </c>
      <c r="B32">
        <v>6.2199999999999998E-2</v>
      </c>
      <c r="C32">
        <v>0.35941499999999998</v>
      </c>
      <c r="D32">
        <v>4.7064149999999998</v>
      </c>
      <c r="E32">
        <f>LN(D32/参数实验室!$E$53)/参数实验室!$E$55</f>
        <v>1.134382735752447</v>
      </c>
      <c r="F32">
        <f t="shared" si="3"/>
        <v>5.7783762057877812</v>
      </c>
      <c r="G32">
        <f>LN(F32/参数实验室!$E$58)/参数实验室!$E$59</f>
        <v>0.73012837173060607</v>
      </c>
      <c r="H32">
        <f>INDEX(神经网络!$G$10:$BO$70,MATCH(ROUND(G32*2,1)/2,神经网络!$E$10:$E$70,0),MATCH(ROUND(E32*2,1)/2,神经网络!$G$8:$BO$8,0))</f>
        <v>2.4431536065729729</v>
      </c>
    </row>
    <row r="33" spans="1:24">
      <c r="A33" s="799">
        <v>40435</v>
      </c>
      <c r="B33">
        <v>6.2E-2</v>
      </c>
      <c r="C33">
        <v>0.36395</v>
      </c>
      <c r="D33">
        <v>4.6451289999999998</v>
      </c>
      <c r="E33">
        <f>LN(D33/参数实验室!$E$53)/参数实验室!$E$55</f>
        <v>1.1189193229837733</v>
      </c>
      <c r="F33">
        <f t="shared" si="3"/>
        <v>5.8701612903225806</v>
      </c>
      <c r="G33">
        <f>LN(F33/参数实验室!$E$58)/参数实验室!$E$59</f>
        <v>0.73839975683040204</v>
      </c>
      <c r="H33">
        <f>INDEX(神经网络!$G$10:$BO$70,MATCH(ROUND(G33*2,1)/2,神经网络!$E$10:$E$70,0),MATCH(ROUND(E33*2,1)/2,神经网络!$G$8:$BO$8,0))</f>
        <v>2.4350454006680753</v>
      </c>
      <c r="I33" t="s">
        <v>90</v>
      </c>
      <c r="J33" t="s">
        <v>446</v>
      </c>
      <c r="K33" t="s">
        <v>548</v>
      </c>
      <c r="L33" t="s">
        <v>631</v>
      </c>
      <c r="M33" t="s">
        <v>633</v>
      </c>
      <c r="N33" t="s">
        <v>632</v>
      </c>
      <c r="O33" t="s">
        <v>634</v>
      </c>
      <c r="P33" s="841" t="s">
        <v>615</v>
      </c>
      <c r="Q33" s="841" t="s">
        <v>614</v>
      </c>
      <c r="R33" t="s">
        <v>612</v>
      </c>
      <c r="S33" t="s">
        <v>613</v>
      </c>
      <c r="T33" t="s">
        <v>628</v>
      </c>
      <c r="U33" t="s">
        <v>629</v>
      </c>
      <c r="V33" t="s">
        <v>630</v>
      </c>
      <c r="W33" t="s">
        <v>635</v>
      </c>
      <c r="X33" t="s">
        <v>636</v>
      </c>
    </row>
    <row r="34" spans="1:24">
      <c r="A34" s="799">
        <v>40436</v>
      </c>
      <c r="B34">
        <v>6.0400000000000002E-2</v>
      </c>
      <c r="C34">
        <v>0.362373</v>
      </c>
      <c r="D34">
        <v>4.4542890000000002</v>
      </c>
      <c r="E34">
        <f>LN(D34/参数实验室!$E$53)/参数实验室!$E$55</f>
        <v>1.0694266789038409</v>
      </c>
      <c r="F34">
        <f t="shared" si="3"/>
        <v>5.9995529801324503</v>
      </c>
      <c r="G34">
        <f>LN(F34/参数实验室!$E$58)/参数实验室!$E$59</f>
        <v>0.74984307217982982</v>
      </c>
      <c r="H34">
        <f>INDEX(神经网络!$G$10:$BO$70,MATCH(ROUND(G34*2,1)/2,神经网络!$E$10:$E$70,0),MATCH(ROUND(E34*2,1)/2,神经网络!$G$8:$BO$8,0))</f>
        <v>2.4256941523139735</v>
      </c>
    </row>
    <row r="35" spans="1:24">
      <c r="A35" s="799">
        <v>40437</v>
      </c>
      <c r="B35">
        <v>6.1899999999999997E-2</v>
      </c>
      <c r="C35">
        <v>0.34784900000000002</v>
      </c>
      <c r="D35">
        <v>4.4763390000000003</v>
      </c>
      <c r="E35">
        <f>LN(D35/参数实验室!$E$53)/参数实验室!$E$55</f>
        <v>1.0752523860971839</v>
      </c>
      <c r="F35">
        <f t="shared" si="3"/>
        <v>5.6195315024232642</v>
      </c>
      <c r="G35">
        <f>LN(F35/参数实验室!$E$58)/参数实验室!$E$59</f>
        <v>0.71549837384778692</v>
      </c>
      <c r="H35">
        <f>INDEX(神经网络!$G$10:$BO$70,MATCH(ROUND(G35*2,1)/2,神经网络!$E$10:$E$70,0),MATCH(ROUND(E35*2,1)/2,神经网络!$G$8:$BO$8,0))</f>
        <v>2.4308228539882388</v>
      </c>
    </row>
    <row r="36" spans="1:24">
      <c r="A36" s="799">
        <v>40438</v>
      </c>
      <c r="B36">
        <v>5.8999999999999997E-2</v>
      </c>
      <c r="C36">
        <v>0.336835</v>
      </c>
      <c r="D36">
        <v>4.1927479999999999</v>
      </c>
      <c r="E36">
        <f>LN(D36/参数实验室!$E$53)/参数实验室!$E$55</f>
        <v>0.99803852888632549</v>
      </c>
      <c r="F36">
        <f t="shared" si="3"/>
        <v>5.7090677966101699</v>
      </c>
      <c r="G36">
        <f>LN(F36/参数实验室!$E$58)/参数实验室!$E$59</f>
        <v>0.72379498021647193</v>
      </c>
      <c r="H36">
        <f>INDEX(神经网络!$G$10:$BO$70,MATCH(ROUND(G36*2,1)/2,神经网络!$E$10:$E$70,0),MATCH(ROUND(E36*2,1)/2,神经网络!$G$8:$BO$8,0))</f>
        <v>2.4096587440576989</v>
      </c>
    </row>
    <row r="37" spans="1:24">
      <c r="A37" s="799">
        <v>40439</v>
      </c>
      <c r="B37">
        <v>6.0999999999999999E-2</v>
      </c>
      <c r="C37">
        <v>0.32196900000000001</v>
      </c>
      <c r="D37">
        <v>4.2204800000000002</v>
      </c>
      <c r="E37">
        <f>LN(D37/参数实验室!$E$53)/参数实验室!$E$55</f>
        <v>1.0058160514863026</v>
      </c>
      <c r="F37">
        <f t="shared" si="3"/>
        <v>5.2781803278688528</v>
      </c>
      <c r="G37">
        <f>LN(F37/参数实验室!$E$58)/参数实验室!$E$59</f>
        <v>0.68260740093987771</v>
      </c>
      <c r="H37">
        <f>INDEX(神经网络!$G$10:$BO$70,MATCH(ROUND(G37*2,1)/2,神经网络!$E$10:$E$70,0),MATCH(ROUND(E37*2,1)/2,神经网络!$G$8:$BO$8,0))</f>
        <v>2.4096587440576989</v>
      </c>
    </row>
    <row r="38" spans="1:24">
      <c r="A38" s="799">
        <v>40440</v>
      </c>
      <c r="B38">
        <v>6.2700000000000006E-2</v>
      </c>
      <c r="C38">
        <v>0.32245200000000002</v>
      </c>
      <c r="D38">
        <v>4.2953409999999996</v>
      </c>
      <c r="E38">
        <f>LN(D38/参数实验室!$E$53)/参数实验室!$E$55</f>
        <v>1.0265585689053038</v>
      </c>
      <c r="F38">
        <f t="shared" si="3"/>
        <v>5.1427751196172249</v>
      </c>
      <c r="G38">
        <f>LN(F38/参数实验室!$E$58)/参数实验室!$E$59</f>
        <v>0.66896719850495467</v>
      </c>
      <c r="H38">
        <f>INDEX(神经网络!$G$10:$BO$70,MATCH(ROUND(G38*2,1)/2,神经网络!$E$10:$E$70,0),MATCH(ROUND(E38*2,1)/2,神经网络!$G$8:$BO$8,0))</f>
        <v>2.4158842193076984</v>
      </c>
    </row>
    <row r="39" spans="1:24">
      <c r="A39" s="799">
        <v>40441</v>
      </c>
      <c r="B39">
        <v>6.2100000000000002E-2</v>
      </c>
      <c r="C39">
        <v>0.32036799999999999</v>
      </c>
      <c r="D39">
        <v>4.220434</v>
      </c>
      <c r="E39">
        <f>LN(D39/参数实验室!$E$53)/参数实验室!$E$55</f>
        <v>1.0058031930093121</v>
      </c>
      <c r="F39">
        <f t="shared" si="3"/>
        <v>5.1589049919484697</v>
      </c>
      <c r="G39">
        <f>LN(F39/参数实验室!$E$58)/参数实验室!$E$59</f>
        <v>0.67061078198531587</v>
      </c>
      <c r="H39">
        <f>INDEX(神经网络!$G$10:$BO$70,MATCH(ROUND(G39*2,1)/2,神经网络!$E$10:$E$70,0),MATCH(ROUND(E39*2,1)/2,神经网络!$G$8:$BO$8,0))</f>
        <v>2.404047784512743</v>
      </c>
    </row>
    <row r="40" spans="1:24">
      <c r="A40" s="799">
        <v>40442</v>
      </c>
      <c r="B40">
        <v>6.2700000000000006E-2</v>
      </c>
      <c r="C40">
        <v>0.33026899999999998</v>
      </c>
      <c r="D40">
        <v>4.2260220000000004</v>
      </c>
      <c r="E40">
        <f>LN(D40/参数实验室!$E$53)/参数实验室!$E$55</f>
        <v>1.0073641937625579</v>
      </c>
      <c r="F40">
        <f t="shared" si="3"/>
        <v>5.2674481658692178</v>
      </c>
      <c r="G40">
        <f>LN(F40/参数实验室!$E$58)/参数实验室!$E$59</f>
        <v>0.68153912500649394</v>
      </c>
      <c r="H40">
        <f>INDEX(神经网络!$G$10:$BO$70,MATCH(ROUND(G40*2,1)/2,神经网络!$E$10:$E$70,0),MATCH(ROUND(E40*2,1)/2,神经网络!$G$8:$BO$8,0))</f>
        <v>2.4096587440576989</v>
      </c>
    </row>
    <row r="41" spans="1:24">
      <c r="A41" s="799">
        <v>40443</v>
      </c>
      <c r="B41">
        <v>6.2199999999999998E-2</v>
      </c>
      <c r="C41">
        <v>0.340368</v>
      </c>
      <c r="D41">
        <v>4.1416240000000002</v>
      </c>
      <c r="E41">
        <f>LN(D41/参数实验室!$E$53)/参数实验室!$E$55</f>
        <v>0.98356486216158856</v>
      </c>
      <c r="F41">
        <f t="shared" si="3"/>
        <v>5.4721543408360134</v>
      </c>
      <c r="G41">
        <f>LN(F41/参数实验室!$E$58)/参数实验室!$E$59</f>
        <v>0.70154989878236595</v>
      </c>
      <c r="H41">
        <f>INDEX(神经网络!$G$10:$BO$70,MATCH(ROUND(G41*2,1)/2,神经网络!$E$10:$E$70,0),MATCH(ROUND(E41*2,1)/2,神经网络!$G$8:$BO$8,0))</f>
        <v>2.4096587440576989</v>
      </c>
    </row>
    <row r="42" spans="1:24">
      <c r="A42" s="799">
        <v>40444</v>
      </c>
      <c r="B42">
        <v>6.2300000000000001E-2</v>
      </c>
      <c r="C42">
        <v>0.34066600000000002</v>
      </c>
      <c r="D42">
        <v>4.1149740000000001</v>
      </c>
      <c r="E42">
        <f>LN(D42/参数实验室!$E$53)/参数实验室!$E$55</f>
        <v>0.97594900557353281</v>
      </c>
      <c r="F42">
        <f t="shared" si="3"/>
        <v>5.4681540930979136</v>
      </c>
      <c r="G42">
        <f>LN(F42/参数实验室!$E$58)/参数实验室!$E$59</f>
        <v>0.70116608029956629</v>
      </c>
      <c r="H42">
        <f>INDEX(神经网络!$G$10:$BO$70,MATCH(ROUND(G42*2,1)/2,神经网络!$E$10:$E$70,0),MATCH(ROUND(E42*2,1)/2,神经网络!$G$8:$BO$8,0))</f>
        <v>2.4096587440576989</v>
      </c>
    </row>
    <row r="43" spans="1:24">
      <c r="A43" s="799">
        <v>40445</v>
      </c>
      <c r="B43">
        <v>6.2199999999999998E-2</v>
      </c>
      <c r="C43">
        <v>0.34218199999999999</v>
      </c>
      <c r="D43">
        <v>4.0795469999999998</v>
      </c>
      <c r="E43">
        <f>LN(D43/参数实验室!$E$53)/参数实验室!$E$55</f>
        <v>0.9657481949177078</v>
      </c>
      <c r="F43">
        <f t="shared" si="3"/>
        <v>5.5013183279742766</v>
      </c>
      <c r="G43">
        <f>LN(F43/参数实验室!$E$58)/参数实验室!$E$59</f>
        <v>0.70433969433073673</v>
      </c>
      <c r="H43">
        <f>INDEX(神经网络!$G$10:$BO$70,MATCH(ROUND(G43*2,1)/2,神经网络!$E$10:$E$70,0),MATCH(ROUND(E43*2,1)/2,神经网络!$G$8:$BO$8,0))</f>
        <v>2.3978222130322848</v>
      </c>
    </row>
    <row r="44" spans="1:24">
      <c r="A44" s="799">
        <v>40446</v>
      </c>
      <c r="B44">
        <v>6.2E-2</v>
      </c>
      <c r="C44">
        <v>0.34620400000000001</v>
      </c>
      <c r="D44">
        <v>4.0327840000000004</v>
      </c>
      <c r="E44">
        <f>LN(D44/参数实验室!$E$53)/参数实验室!$E$55</f>
        <v>0.95214682386353289</v>
      </c>
      <c r="F44">
        <f t="shared" si="3"/>
        <v>5.5839354838709676</v>
      </c>
      <c r="G44">
        <f>LN(F44/参数实验室!$E$58)/参数实验室!$E$59</f>
        <v>0.7121631960596716</v>
      </c>
      <c r="H44">
        <f>INDEX(神经网络!$G$10:$BO$70,MATCH(ROUND(G44*2,1)/2,神经网络!$E$10:$E$70,0),MATCH(ROUND(E44*2,1)/2,神经网络!$G$8:$BO$8,0))</f>
        <v>2.3978222130322848</v>
      </c>
    </row>
    <row r="45" spans="1:24">
      <c r="A45" s="799">
        <v>40447</v>
      </c>
      <c r="B45">
        <v>6.2E-2</v>
      </c>
      <c r="C45">
        <v>0.34315499999999999</v>
      </c>
      <c r="D45">
        <v>4.0007060000000001</v>
      </c>
      <c r="E45">
        <f>LN(D45/参数实验室!$E$53)/参数实验室!$E$55</f>
        <v>0.94272518378057191</v>
      </c>
      <c r="F45">
        <f t="shared" si="3"/>
        <v>5.5347580645161285</v>
      </c>
      <c r="G45">
        <f>LN(F45/参数实验室!$E$58)/参数实验室!$E$59</f>
        <v>0.7075203599971045</v>
      </c>
      <c r="H45">
        <f>INDEX(神经网络!$G$10:$BO$70,MATCH(ROUND(G45*2,1)/2,神经网络!$E$10:$E$70,0),MATCH(ROUND(E45*2,1)/2,神经网络!$G$8:$BO$8,0))</f>
        <v>2.3978222130322848</v>
      </c>
    </row>
    <row r="46" spans="1:24">
      <c r="A46" s="799">
        <v>40448</v>
      </c>
      <c r="B46">
        <v>6.2199999999999998E-2</v>
      </c>
      <c r="C46">
        <v>0.33594600000000002</v>
      </c>
      <c r="D46">
        <v>3.9175119999999999</v>
      </c>
      <c r="E46">
        <f>LN(D46/参数实验室!$E$53)/参数实验室!$E$55</f>
        <v>0.9179337463266779</v>
      </c>
      <c r="F46">
        <f t="shared" si="3"/>
        <v>5.4010610932475887</v>
      </c>
      <c r="G46">
        <f>LN(F46/参数实验室!$E$58)/参数实验室!$E$59</f>
        <v>0.69468640740825283</v>
      </c>
      <c r="H46">
        <f>INDEX(神经网络!$G$10:$BO$70,MATCH(ROUND(G46*2,1)/2,神经网络!$E$10:$E$70,0),MATCH(ROUND(E46*2,1)/2,神经网络!$G$8:$BO$8,0))</f>
        <v>2.3835722311381429</v>
      </c>
    </row>
    <row r="47" spans="1:24">
      <c r="A47" s="799">
        <v>40449</v>
      </c>
      <c r="B47">
        <v>6.1899999999999997E-2</v>
      </c>
      <c r="C47">
        <v>0.330316</v>
      </c>
      <c r="D47">
        <v>3.7031879999999999</v>
      </c>
      <c r="E47">
        <f>LN(D47/参数实验室!$E$53)/参数实验室!$E$55</f>
        <v>0.85155765748785672</v>
      </c>
      <c r="F47">
        <f t="shared" si="3"/>
        <v>5.3362843295638127</v>
      </c>
      <c r="G47">
        <f>LN(F47/参数实验室!$E$58)/参数实验室!$E$59</f>
        <v>0.68835360214833685</v>
      </c>
      <c r="H47">
        <f>INDEX(神经网络!$G$10:$BO$70,MATCH(ROUND(G47*2,1)/2,神经网络!$E$10:$E$70,0),MATCH(ROUND(E47*2,1)/2,神经网络!$G$8:$BO$8,0))</f>
        <v>2.3668854889434741</v>
      </c>
    </row>
    <row r="48" spans="1:24">
      <c r="A48" s="799">
        <v>40450</v>
      </c>
      <c r="B48">
        <v>6.1899999999999997E-2</v>
      </c>
      <c r="C48">
        <v>0.33023999999999998</v>
      </c>
      <c r="D48">
        <v>3.6736979999999999</v>
      </c>
      <c r="E48">
        <f>LN(D48/参数实验室!$E$53)/参数实验室!$E$55</f>
        <v>0.84212519276018416</v>
      </c>
      <c r="F48">
        <f t="shared" si="3"/>
        <v>5.3350565428109853</v>
      </c>
      <c r="G48">
        <f>LN(F48/参数实验室!$E$58)/参数实验室!$E$59</f>
        <v>0.68823282841393674</v>
      </c>
      <c r="H48">
        <f>INDEX(神经网络!$G$10:$BO$70,MATCH(ROUND(G48*2,1)/2,神经网络!$E$10:$E$70,0),MATCH(ROUND(E48*2,1)/2,神经网络!$G$8:$BO$8,0))</f>
        <v>2.3668854889434741</v>
      </c>
    </row>
    <row r="49" spans="1:8">
      <c r="A49" s="799">
        <v>40451</v>
      </c>
      <c r="B49">
        <v>6.1899999999999997E-2</v>
      </c>
      <c r="C49">
        <v>0.33943000000000001</v>
      </c>
      <c r="D49">
        <v>3.5869749999999998</v>
      </c>
      <c r="E49">
        <f>LN(D49/参数实验室!$E$53)/参数实验室!$E$55</f>
        <v>0.81394141244144635</v>
      </c>
      <c r="F49">
        <f t="shared" si="3"/>
        <v>5.483521809369952</v>
      </c>
      <c r="G49">
        <f>LN(F49/参数实验室!$E$58)/参数实验室!$E$59</f>
        <v>0.70263906276985677</v>
      </c>
      <c r="H49">
        <f>INDEX(神经网络!$G$10:$BO$70,MATCH(ROUND(G49*2,1)/2,神经网络!$E$10:$E$70,0),MATCH(ROUND(E49*2,1)/2,神经网络!$G$8:$BO$8,0))</f>
        <v>2.3497819880543585</v>
      </c>
    </row>
    <row r="50" spans="1:8">
      <c r="A50" s="799">
        <v>40452</v>
      </c>
      <c r="B50">
        <v>6.2E-2</v>
      </c>
      <c r="C50">
        <v>0.34248099999999998</v>
      </c>
      <c r="D50">
        <v>3.572187</v>
      </c>
      <c r="E50">
        <f>LN(D50/参数实验室!$E$53)/参数实验室!$E$55</f>
        <v>0.80906759738191392</v>
      </c>
      <c r="F50">
        <f t="shared" si="3"/>
        <v>5.5238870967741933</v>
      </c>
      <c r="G50">
        <f>LN(F50/参数实验室!$E$58)/参数实验室!$E$59</f>
        <v>0.70648846628386341</v>
      </c>
      <c r="H50">
        <f>INDEX(神经网络!$G$10:$BO$70,MATCH(ROUND(G50*2,1)/2,神经网络!$E$10:$E$70,0),MATCH(ROUND(E50*2,1)/2,神经网络!$G$8:$BO$8,0))</f>
        <v>2.3497819880543585</v>
      </c>
    </row>
    <row r="51" spans="1:8">
      <c r="A51" s="799">
        <v>40453</v>
      </c>
      <c r="B51">
        <v>6.1400000000000003E-2</v>
      </c>
      <c r="C51">
        <v>0.35475699999999999</v>
      </c>
      <c r="D51">
        <v>3.2660719999999999</v>
      </c>
      <c r="E51">
        <f>LN(D51/参数实验室!$E$53)/参数实验室!$E$55</f>
        <v>0.7033735353444267</v>
      </c>
      <c r="F51">
        <f t="shared" si="3"/>
        <v>5.7778013029315956</v>
      </c>
      <c r="G51">
        <f>LN(F51/参数实验室!$E$58)/参数实验室!$E$59</f>
        <v>0.73007615029519279</v>
      </c>
      <c r="H51">
        <f>INDEX(神经网络!$G$10:$BO$70,MATCH(ROUND(G51*2,1)/2,神经网络!$E$10:$E$70,0),MATCH(ROUND(E51*2,1)/2,神经网络!$G$8:$BO$8,0))</f>
        <v>2.3182914142337019</v>
      </c>
    </row>
    <row r="52" spans="1:8">
      <c r="A52" s="799">
        <v>40454</v>
      </c>
      <c r="B52">
        <v>6.1100000000000002E-2</v>
      </c>
      <c r="C52">
        <v>0.36513600000000002</v>
      </c>
      <c r="D52">
        <v>3.2380789999999999</v>
      </c>
      <c r="E52">
        <f>LN(D52/参数实验室!$E$53)/参数实验室!$E$55</f>
        <v>0.69321847084174892</v>
      </c>
      <c r="F52">
        <f t="shared" si="3"/>
        <v>5.9760392798690676</v>
      </c>
      <c r="G52">
        <f>LN(F52/参数实验室!$E$58)/参数实验室!$E$59</f>
        <v>0.74778200058645528</v>
      </c>
      <c r="H52">
        <f>INDEX(神经网络!$G$10:$BO$70,MATCH(ROUND(G52*2,1)/2,神经网络!$E$10:$E$70,0),MATCH(ROUND(E52*2,1)/2,神经网络!$G$8:$BO$8,0))</f>
        <v>2.3182914142337019</v>
      </c>
    </row>
    <row r="53" spans="1:8">
      <c r="A53" s="799">
        <v>40455</v>
      </c>
      <c r="B53">
        <v>6.13E-2</v>
      </c>
      <c r="C53">
        <v>0.37352000000000002</v>
      </c>
      <c r="D53">
        <v>3.2341760000000002</v>
      </c>
      <c r="E53">
        <f>LN(D53/参数实验室!$E$53)/参数实验室!$E$55</f>
        <v>0.6917956043232395</v>
      </c>
      <c r="F53">
        <f t="shared" si="3"/>
        <v>6.0933115823817294</v>
      </c>
      <c r="G53">
        <f>LN(F53/参数实验室!$E$58)/参数实验室!$E$59</f>
        <v>0.75798184976727179</v>
      </c>
      <c r="H53">
        <f>INDEX(神经网络!$G$10:$BO$70,MATCH(ROUND(G53*2,1)/2,神经网络!$E$10:$E$70,0),MATCH(ROUND(E53*2,1)/2,神经网络!$G$8:$BO$8,0))</f>
        <v>2.3182914142337019</v>
      </c>
    </row>
    <row r="54" spans="1:8">
      <c r="A54" s="799">
        <v>40456</v>
      </c>
      <c r="B54">
        <v>6.1400000000000003E-2</v>
      </c>
      <c r="C54">
        <v>0.38398300000000002</v>
      </c>
      <c r="D54">
        <v>3.1700360000000001</v>
      </c>
      <c r="E54">
        <f>LN(D54/参数实验室!$E$53)/参数实验室!$E$55</f>
        <v>0.66816368731329923</v>
      </c>
      <c r="F54">
        <f t="shared" si="3"/>
        <v>6.2537947882736153</v>
      </c>
      <c r="G54">
        <f>LN(F54/参数实验室!$E$58)/参数实验室!$E$59</f>
        <v>0.77162634276143882</v>
      </c>
      <c r="H54">
        <f>INDEX(神经网络!$G$10:$BO$70,MATCH(ROUND(G54*2,1)/2,神经网络!$E$10:$E$70,0),MATCH(ROUND(E54*2,1)/2,神经网络!$G$8:$BO$8,0))</f>
        <v>2.2939389269962822</v>
      </c>
    </row>
    <row r="55" spans="1:8">
      <c r="A55" s="799">
        <v>40457</v>
      </c>
      <c r="B55">
        <v>6.2799999999999995E-2</v>
      </c>
      <c r="C55">
        <v>0.38429200000000002</v>
      </c>
      <c r="D55">
        <v>3.2242130000000002</v>
      </c>
      <c r="E55">
        <f>LN(D55/参数实验室!$E$53)/参数实验室!$E$55</f>
        <v>0.68815572109741141</v>
      </c>
      <c r="F55">
        <f t="shared" si="3"/>
        <v>6.1192993630573254</v>
      </c>
      <c r="G55">
        <f>LN(F55/参数实验室!$E$58)/参数实验室!$E$59</f>
        <v>0.76021557561131914</v>
      </c>
      <c r="H55">
        <f>INDEX(神经网络!$G$10:$BO$70,MATCH(ROUND(G55*2,1)/2,神经网络!$E$10:$E$70,0),MATCH(ROUND(E55*2,1)/2,神经网络!$G$8:$BO$8,0))</f>
        <v>2.3182914142337019</v>
      </c>
    </row>
    <row r="56" spans="1:8">
      <c r="A56" s="799">
        <v>40458</v>
      </c>
      <c r="B56">
        <v>6.7000000000000004E-2</v>
      </c>
      <c r="C56">
        <v>0.38718900000000001</v>
      </c>
      <c r="D56">
        <v>3.4031199999999999</v>
      </c>
      <c r="E56">
        <f>LN(D56/参数实验室!$E$53)/参数实验室!$E$55</f>
        <v>0.75186684210205601</v>
      </c>
      <c r="F56">
        <f t="shared" si="3"/>
        <v>5.7789402985074627</v>
      </c>
      <c r="G56">
        <f>LN(F56/参数实验室!$E$58)/参数实验室!$E$59</f>
        <v>0.73017960617498989</v>
      </c>
      <c r="H56">
        <f>INDEX(神经网络!$G$10:$BO$70,MATCH(ROUND(G56*2,1)/2,神经网络!$E$10:$E$70,0),MATCH(ROUND(E56*2,1)/2,神经网络!$G$8:$BO$8,0))</f>
        <v>2.3387450160900016</v>
      </c>
    </row>
    <row r="57" spans="1:8">
      <c r="A57" s="799">
        <v>40459</v>
      </c>
      <c r="B57">
        <v>8.6900000000000005E-2</v>
      </c>
      <c r="C57">
        <v>0.39238899999999999</v>
      </c>
      <c r="D57">
        <v>4.1483379999999999</v>
      </c>
      <c r="E57">
        <f>LN(D57/参数实验室!$E$53)/参数实验室!$E$55</f>
        <v>0.98547581543540896</v>
      </c>
      <c r="F57">
        <f t="shared" si="3"/>
        <v>4.5154085155350971</v>
      </c>
      <c r="G57">
        <f>LN(F57/参数实验室!$E$58)/参数实验室!$E$59</f>
        <v>0.60068516868899013</v>
      </c>
      <c r="H57">
        <f>INDEX(神经网络!$G$10:$BO$70,MATCH(ROUND(G57*2,1)/2,神经网络!$E$10:$E$70,0),MATCH(ROUND(E57*2,1)/2,神经网络!$G$8:$BO$8,0))</f>
        <v>2.3978177524058735</v>
      </c>
    </row>
    <row r="58" spans="1:8">
      <c r="A58" s="799">
        <v>40460</v>
      </c>
      <c r="B58">
        <v>9.3799999999999994E-2</v>
      </c>
      <c r="C58">
        <v>0.39026899999999998</v>
      </c>
      <c r="D58">
        <v>4.4076659999999999</v>
      </c>
      <c r="E58">
        <f>LN(D58/参数实验室!$E$53)/参数实验室!$E$55</f>
        <v>1.0570131329146206</v>
      </c>
      <c r="F58">
        <f t="shared" si="3"/>
        <v>4.1606503198294247</v>
      </c>
      <c r="G58">
        <f>LN(F58/参数实验室!$E$58)/参数实验室!$E$59</f>
        <v>0.55773936793620638</v>
      </c>
      <c r="H58">
        <f>INDEX(神经网络!$G$10:$BO$70,MATCH(ROUND(G58*2,1)/2,神经网络!$E$10:$E$70,0),MATCH(ROUND(E58*2,1)/2,神经网络!$G$8:$BO$8,0))</f>
        <v>2.4040409131450859</v>
      </c>
    </row>
    <row r="59" spans="1:8">
      <c r="A59" s="799">
        <v>40461</v>
      </c>
      <c r="B59">
        <v>9.6500000000000002E-2</v>
      </c>
      <c r="C59">
        <v>0.39330100000000001</v>
      </c>
      <c r="D59">
        <v>4.4588000000000001</v>
      </c>
      <c r="E59">
        <f>LN(D59/参数实验室!$E$53)/参数实验室!$E$55</f>
        <v>1.0706208479148205</v>
      </c>
      <c r="F59">
        <f t="shared" si="3"/>
        <v>4.075658031088083</v>
      </c>
      <c r="G59">
        <f>LN(F59/参数实验室!$E$58)/参数实验室!$E$59</f>
        <v>0.54690681335537472</v>
      </c>
      <c r="H59">
        <f>INDEX(神经网络!$G$10:$BO$70,MATCH(ROUND(G59*2,1)/2,神经网络!$E$10:$E$70,0),MATCH(ROUND(E59*2,1)/2,神经网络!$G$8:$BO$8,0))</f>
        <v>2.4040409131450859</v>
      </c>
    </row>
    <row r="60" spans="1:8">
      <c r="A60" s="799">
        <v>40462</v>
      </c>
      <c r="B60">
        <v>9.5000000000000001E-2</v>
      </c>
      <c r="C60">
        <v>0.39643800000000001</v>
      </c>
      <c r="D60">
        <v>4.2811750000000002</v>
      </c>
      <c r="E60">
        <f>LN(D60/参数实验室!$E$53)/参数实验室!$E$55</f>
        <v>1.0226613221323129</v>
      </c>
      <c r="F60">
        <f t="shared" si="3"/>
        <v>4.1730315789473682</v>
      </c>
      <c r="G60">
        <f>LN(F60/参数实验室!$E$58)/参数实验室!$E$59</f>
        <v>0.55929890878901112</v>
      </c>
      <c r="H60">
        <f>INDEX(神经网络!$G$10:$BO$70,MATCH(ROUND(G60*2,1)/2,神经网络!$E$10:$E$70,0),MATCH(ROUND(E60*2,1)/2,神经网络!$G$8:$BO$8,0))</f>
        <v>2.390264389913535</v>
      </c>
    </row>
    <row r="61" spans="1:8">
      <c r="A61" s="799">
        <v>40463</v>
      </c>
      <c r="B61">
        <v>9.4899999999999998E-2</v>
      </c>
      <c r="C61">
        <v>0.40421499999999999</v>
      </c>
      <c r="D61">
        <v>4.2360290000000003</v>
      </c>
      <c r="E61">
        <f>LN(D61/参数实验室!$E$53)/参数实验室!$E$55</f>
        <v>1.0101544856707079</v>
      </c>
      <c r="F61">
        <f t="shared" si="3"/>
        <v>4.2593782929399371</v>
      </c>
      <c r="G61">
        <f>LN(F61/参数实验室!$E$58)/参数实验室!$E$59</f>
        <v>0.57004815051704905</v>
      </c>
      <c r="H61">
        <f>INDEX(神经网络!$G$10:$BO$70,MATCH(ROUND(G61*2,1)/2,神经网络!$E$10:$E$70,0),MATCH(ROUND(E61*2,1)/2,神经网络!$G$8:$BO$8,0))</f>
        <v>2.390264389913535</v>
      </c>
    </row>
    <row r="62" spans="1:8">
      <c r="A62" s="799">
        <v>40464</v>
      </c>
      <c r="B62">
        <v>0.105</v>
      </c>
      <c r="C62">
        <v>0.406385</v>
      </c>
      <c r="D62">
        <v>4.550446</v>
      </c>
      <c r="E62">
        <f>LN(D62/参数实验室!$E$53)/参数实验室!$E$55</f>
        <v>1.0946236102730389</v>
      </c>
      <c r="F62">
        <f t="shared" si="3"/>
        <v>3.8703333333333334</v>
      </c>
      <c r="G62">
        <f>LN(F62/参数实验室!$E$58)/参数实验室!$E$59</f>
        <v>0.51977627980563956</v>
      </c>
      <c r="H62">
        <f>INDEX(神经网络!$G$10:$BO$70,MATCH(ROUND(G62*2,1)/2,神经网络!$E$10:$E$70,0),MATCH(ROUND(E62*2,1)/2,神经网络!$G$8:$BO$8,0))</f>
        <v>2.4096437611054871</v>
      </c>
    </row>
    <row r="63" spans="1:8">
      <c r="A63" s="799">
        <v>40465</v>
      </c>
      <c r="B63">
        <v>0.10199999999999999</v>
      </c>
      <c r="C63">
        <v>0.40978700000000001</v>
      </c>
      <c r="D63">
        <v>4.3584449999999997</v>
      </c>
      <c r="E63">
        <f>LN(D63/参数实验室!$E$53)/参数实验室!$E$55</f>
        <v>1.0437645567370191</v>
      </c>
      <c r="F63">
        <f t="shared" si="3"/>
        <v>4.0175196078431377</v>
      </c>
      <c r="G63">
        <f>LN(F63/参数实验室!$E$58)/参数实验室!$E$59</f>
        <v>0.53936596530610303</v>
      </c>
      <c r="H63">
        <f>INDEX(神经网络!$G$10:$BO$70,MATCH(ROUND(G63*2,1)/2,神经网络!$E$10:$E$70,0),MATCH(ROUND(E63*2,1)/2,神经网络!$G$8:$BO$8,0))</f>
        <v>2.4040409131450859</v>
      </c>
    </row>
    <row r="64" spans="1:8">
      <c r="A64" s="799">
        <v>40466</v>
      </c>
      <c r="B64">
        <v>0.105</v>
      </c>
      <c r="C64">
        <v>0.4113</v>
      </c>
      <c r="D64">
        <v>4.3435389999999998</v>
      </c>
      <c r="E64">
        <f>LN(D64/参数实验室!$E$53)/参数实验室!$E$55</f>
        <v>1.0397228533612797</v>
      </c>
      <c r="F64">
        <f t="shared" si="3"/>
        <v>3.9171428571428573</v>
      </c>
      <c r="G64">
        <f>LN(F64/参数实验室!$E$58)/参数实验室!$E$59</f>
        <v>0.52608601690635326</v>
      </c>
      <c r="H64">
        <f>INDEX(神经网络!$G$10:$BO$70,MATCH(ROUND(G64*2,1)/2,神经网络!$E$10:$E$70,0),MATCH(ROUND(E64*2,1)/2,神经网络!$G$8:$BO$8,0))</f>
        <v>2.4040409131450859</v>
      </c>
    </row>
    <row r="65" spans="1:8">
      <c r="A65" s="799">
        <v>40467</v>
      </c>
      <c r="B65">
        <v>0.10100000000000001</v>
      </c>
      <c r="C65">
        <v>0.40729500000000002</v>
      </c>
      <c r="D65">
        <v>4.0698540000000003</v>
      </c>
      <c r="E65">
        <f>LN(D65/参数实验室!$E$53)/参数实验室!$E$55</f>
        <v>0.96294176691487321</v>
      </c>
      <c r="F65">
        <f t="shared" si="3"/>
        <v>4.0326237623762378</v>
      </c>
      <c r="G65">
        <f>LN(F65/参数实验室!$E$58)/参数实验室!$E$59</f>
        <v>0.54133549193735941</v>
      </c>
      <c r="H65">
        <f>INDEX(神经网络!$G$10:$BO$70,MATCH(ROUND(G65*2,1)/2,神经网络!$E$10:$E$70,0),MATCH(ROUND(E65*2,1)/2,神经网络!$G$8:$BO$8,0))</f>
        <v>2.3760145754010678</v>
      </c>
    </row>
    <row r="66" spans="1:8">
      <c r="A66" s="799">
        <v>40468</v>
      </c>
      <c r="B66">
        <v>0.10199999999999999</v>
      </c>
      <c r="C66">
        <v>0.39854600000000001</v>
      </c>
      <c r="D66">
        <v>4.0627789999999999</v>
      </c>
      <c r="E66">
        <f>LN(D66/参数实验室!$E$53)/参数实验室!$E$55</f>
        <v>0.96088910910853698</v>
      </c>
      <c r="F66">
        <f t="shared" si="3"/>
        <v>3.9073137254901966</v>
      </c>
      <c r="G66">
        <f>LN(F66/参数实验室!$E$58)/参数实验室!$E$59</f>
        <v>0.52476736630178933</v>
      </c>
      <c r="H66">
        <f>INDEX(神经网络!$G$10:$BO$70,MATCH(ROUND(G66*2,1)/2,神经网络!$E$10:$E$70,0),MATCH(ROUND(E66*2,1)/2,神经网络!$G$8:$BO$8,0))</f>
        <v>2.3668714355404172</v>
      </c>
    </row>
    <row r="67" spans="1:8">
      <c r="A67" s="799">
        <v>40469</v>
      </c>
      <c r="B67">
        <v>0.1024</v>
      </c>
      <c r="C67">
        <v>0.40045399999999998</v>
      </c>
      <c r="D67">
        <v>4.0299490000000002</v>
      </c>
      <c r="E67">
        <f>LN(D67/参数实验室!$E$53)/参数实验室!$E$55</f>
        <v>0.95131717947756655</v>
      </c>
      <c r="F67">
        <f t="shared" si="3"/>
        <v>3.9106835937499995</v>
      </c>
      <c r="G67">
        <f>LN(F67/参数实验室!$E$58)/参数实验室!$E$59</f>
        <v>0.52521983232809388</v>
      </c>
      <c r="H67">
        <f>INDEX(神经网络!$G$10:$BO$70,MATCH(ROUND(G67*2,1)/2,神经网络!$E$10:$E$70,0),MATCH(ROUND(E67*2,1)/2,神经网络!$G$8:$BO$8,0))</f>
        <v>2.3760145754010678</v>
      </c>
    </row>
    <row r="68" spans="1:8">
      <c r="A68" s="799">
        <v>40470</v>
      </c>
      <c r="B68">
        <v>9.7000000000000003E-2</v>
      </c>
      <c r="C68">
        <v>0.39492699999999997</v>
      </c>
      <c r="D68">
        <v>3.807617</v>
      </c>
      <c r="E68">
        <f>LN(D68/参数实验室!$E$53)/参数实验室!$E$55</f>
        <v>0.8843659626789353</v>
      </c>
      <c r="F68">
        <f t="shared" si="3"/>
        <v>4.07141237113402</v>
      </c>
      <c r="G68">
        <f>LN(F68/参数实验室!$E$58)/参数实验室!$E$59</f>
        <v>0.54635978187432788</v>
      </c>
      <c r="H68">
        <f>INDEX(神经网络!$G$10:$BO$70,MATCH(ROUND(G68*2,1)/2,神经网络!$E$10:$E$70,0),MATCH(ROUND(E68*2,1)/2,神经网络!$G$8:$BO$8,0))</f>
        <v>2.3589116003546073</v>
      </c>
    </row>
    <row r="69" spans="1:8">
      <c r="A69" s="799">
        <v>40471</v>
      </c>
      <c r="B69">
        <v>9.9000000000000005E-2</v>
      </c>
      <c r="C69">
        <v>0.38677600000000001</v>
      </c>
      <c r="D69">
        <v>3.8186490000000002</v>
      </c>
      <c r="E69">
        <f>LN(D69/参数实验室!$E$53)/参数实验室!$E$55</f>
        <v>0.88777917875765644</v>
      </c>
      <c r="F69">
        <f t="shared" ref="F69:F132" si="12">C69/B69</f>
        <v>3.9068282828282825</v>
      </c>
      <c r="G69">
        <f>LN(F69/参数实验室!$E$58)/参数实验室!$E$59</f>
        <v>0.52470215465248826</v>
      </c>
      <c r="H69">
        <f>INDEX(神经网络!$G$10:$BO$70,MATCH(ROUND(G69*2,1)/2,神经网络!$E$10:$E$70,0),MATCH(ROUND(E69*2,1)/2,神经网络!$G$8:$BO$8,0))</f>
        <v>2.3497685109923849</v>
      </c>
    </row>
    <row r="70" spans="1:8">
      <c r="A70" s="799">
        <v>40472</v>
      </c>
      <c r="B70">
        <v>0.107</v>
      </c>
      <c r="C70">
        <v>0.38712099999999999</v>
      </c>
      <c r="D70">
        <v>4.0091989999999997</v>
      </c>
      <c r="E70">
        <f>LN(D70/参数实验室!$E$53)/参数实验室!$E$55</f>
        <v>0.94522699823554002</v>
      </c>
      <c r="F70">
        <f t="shared" si="12"/>
        <v>3.6179532710280373</v>
      </c>
      <c r="G70">
        <f>LN(F70/参数实验室!$E$58)/参数实验室!$E$59</f>
        <v>0.48438423548784804</v>
      </c>
      <c r="H70">
        <f>INDEX(神经网络!$G$10:$BO$70,MATCH(ROUND(G70*2,1)/2,神经网络!$E$10:$E$70,0),MATCH(ROUND(E70*2,1)/2,神经网络!$G$8:$BO$8,0))</f>
        <v>2.3668714355404172</v>
      </c>
    </row>
    <row r="71" spans="1:8">
      <c r="A71" s="799">
        <v>40473</v>
      </c>
      <c r="B71">
        <v>0.10249999999999999</v>
      </c>
      <c r="C71">
        <v>0.393988</v>
      </c>
      <c r="D71">
        <v>3.8209620000000002</v>
      </c>
      <c r="E71">
        <f>LN(D71/参数实验室!$E$53)/参数实验室!$E$55</f>
        <v>0.88849355265357499</v>
      </c>
      <c r="F71">
        <f t="shared" si="12"/>
        <v>3.8437853658536589</v>
      </c>
      <c r="G71">
        <f>LN(F71/参数实验室!$E$58)/参数实验室!$E$59</f>
        <v>0.51616371857326815</v>
      </c>
      <c r="H71">
        <f>INDEX(神经网络!$G$10:$BO$70,MATCH(ROUND(G71*2,1)/2,神经网络!$E$10:$E$70,0),MATCH(ROUND(E71*2,1)/2,神经网络!$G$8:$BO$8,0))</f>
        <v>2.3497685109923849</v>
      </c>
    </row>
    <row r="72" spans="1:8">
      <c r="A72" s="799">
        <v>40474</v>
      </c>
      <c r="B72">
        <v>0.1055</v>
      </c>
      <c r="C72">
        <v>0.40988000000000002</v>
      </c>
      <c r="D72">
        <v>3.8548520000000002</v>
      </c>
      <c r="E72">
        <f>LN(D72/参数实验室!$E$53)/参数实验室!$E$55</f>
        <v>0.89891123532259842</v>
      </c>
      <c r="F72">
        <f t="shared" si="12"/>
        <v>3.8851184834123225</v>
      </c>
      <c r="G72">
        <f>LN(F72/参数实验室!$E$58)/参数实验室!$E$59</f>
        <v>0.52177746693981164</v>
      </c>
      <c r="H72">
        <f>INDEX(神经网络!$G$10:$BO$70,MATCH(ROUND(G72*2,1)/2,神经网络!$E$10:$E$70,0),MATCH(ROUND(E72*2,1)/2,神经网络!$G$8:$BO$8,0))</f>
        <v>2.3497685109923849</v>
      </c>
    </row>
    <row r="73" spans="1:8">
      <c r="A73" s="799">
        <v>40475</v>
      </c>
      <c r="B73">
        <v>0.115</v>
      </c>
      <c r="C73">
        <v>0.41882999999999998</v>
      </c>
      <c r="D73">
        <v>4.1438420000000002</v>
      </c>
      <c r="E73">
        <f>LN(D73/参数实验室!$E$53)/参数实验室!$E$55</f>
        <v>0.9841964965820631</v>
      </c>
      <c r="F73">
        <f t="shared" si="12"/>
        <v>3.6419999999999995</v>
      </c>
      <c r="G73">
        <f>LN(F73/参数实验室!$E$58)/参数实验室!$E$59</f>
        <v>0.48786113640107476</v>
      </c>
      <c r="H73">
        <f>INDEX(神经网络!$G$10:$BO$70,MATCH(ROUND(G73*2,1)/2,神经网络!$E$10:$E$70,0),MATCH(ROUND(E73*2,1)/2,神经网络!$G$8:$BO$8,0))</f>
        <v>2.3835577618580164</v>
      </c>
    </row>
    <row r="74" spans="1:8">
      <c r="A74" s="799">
        <v>40476</v>
      </c>
      <c r="B74">
        <v>0.13200000000000001</v>
      </c>
      <c r="C74">
        <v>0.42354700000000001</v>
      </c>
      <c r="D74">
        <v>4.8888340000000001</v>
      </c>
      <c r="E74">
        <f>LN(D74/参数实验室!$E$53)/参数实验室!$E$55</f>
        <v>1.1792456341626916</v>
      </c>
      <c r="F74">
        <f t="shared" si="12"/>
        <v>3.2086893939393937</v>
      </c>
      <c r="G74">
        <f>LN(F74/参数实验室!$E$58)/参数实验室!$E$59</f>
        <v>0.42137765640977465</v>
      </c>
      <c r="H74">
        <f>INDEX(神经网络!$G$10:$BO$70,MATCH(ROUND(G74*2,1)/2,神经网络!$E$10:$E$70,0),MATCH(ROUND(E74*2,1)/2,神经网络!$G$8:$BO$8,0))</f>
        <v>2.420977534762534</v>
      </c>
    </row>
    <row r="75" spans="1:8">
      <c r="A75" s="799">
        <v>40477</v>
      </c>
      <c r="B75">
        <v>0.15029999999999999</v>
      </c>
      <c r="C75">
        <v>0.41983300000000001</v>
      </c>
      <c r="D75">
        <v>5.1452369999999998</v>
      </c>
      <c r="E75">
        <f>LN(D75/参数实验室!$E$53)/参数实验室!$E$55</f>
        <v>1.2395517922661172</v>
      </c>
      <c r="F75">
        <f t="shared" si="12"/>
        <v>2.7933000665335999</v>
      </c>
      <c r="G75">
        <f>LN(F75/参数实验室!$E$58)/参数实验室!$E$59</f>
        <v>0.34861249604816957</v>
      </c>
      <c r="H75">
        <f>INDEX(神经网络!$G$10:$BO$70,MATCH(ROUND(G75*2,1)/2,神经网络!$E$10:$E$70,0),MATCH(ROUND(E75*2,1)/2,神经网络!$G$8:$BO$8,0))</f>
        <v>2.4256338302470799</v>
      </c>
    </row>
    <row r="76" spans="1:8">
      <c r="A76" s="799">
        <v>40478</v>
      </c>
      <c r="B76">
        <v>0.18770000000000001</v>
      </c>
      <c r="C76">
        <v>0.42748199999999997</v>
      </c>
      <c r="D76">
        <v>6.0505839999999997</v>
      </c>
      <c r="E76">
        <f>LN(D76/参数实验室!$E$53)/参数实验室!$E$55</f>
        <v>1.4307701666738293</v>
      </c>
      <c r="F76">
        <f t="shared" si="12"/>
        <v>2.2774746936600958</v>
      </c>
      <c r="G76">
        <f>LN(F76/参数实验室!$E$58)/参数实验室!$E$59</f>
        <v>0.24146014327206106</v>
      </c>
      <c r="H76">
        <f>INDEX(神经网络!$G$10:$BO$70,MATCH(ROUND(G76*2,1)/2,神经网络!$E$10:$E$70,0),MATCH(ROUND(E76*2,1)/2,神经网络!$G$8:$BO$8,0))</f>
        <v>2.4497194091322028</v>
      </c>
    </row>
    <row r="77" spans="1:8">
      <c r="A77" s="799">
        <v>40479</v>
      </c>
      <c r="B77">
        <v>0.1731</v>
      </c>
      <c r="C77">
        <v>0.42999399999999999</v>
      </c>
      <c r="D77">
        <v>5.2615270000000001</v>
      </c>
      <c r="E77">
        <f>LN(D77/参数实验室!$E$53)/参数实验室!$E$55</f>
        <v>1.265919107899967</v>
      </c>
      <c r="F77">
        <f t="shared" si="12"/>
        <v>2.4840785673021375</v>
      </c>
      <c r="G77">
        <f>LN(F77/参数实验室!$E$58)/参数实验室!$E$59</f>
        <v>0.28703561016772189</v>
      </c>
      <c r="H77">
        <f>INDEX(神经网络!$G$10:$BO$70,MATCH(ROUND(G77*2,1)/2,神经网络!$E$10:$E$70,0),MATCH(ROUND(E77*2,1)/2,神经网络!$G$8:$BO$8,0))</f>
        <v>2.4209261414076573</v>
      </c>
    </row>
    <row r="78" spans="1:8">
      <c r="A78" s="799">
        <v>40480</v>
      </c>
      <c r="B78">
        <v>0.19</v>
      </c>
      <c r="C78">
        <v>0.42066700000000001</v>
      </c>
      <c r="D78">
        <v>5.6336690000000003</v>
      </c>
      <c r="E78">
        <f>LN(D78/参数实验室!$E$53)/参数实验室!$E$55</f>
        <v>1.3465430062941111</v>
      </c>
      <c r="F78">
        <f t="shared" si="12"/>
        <v>2.2140368421052634</v>
      </c>
      <c r="G78">
        <f>LN(F78/参数实验室!$E$58)/参数实验室!$E$59</f>
        <v>0.22663314043658528</v>
      </c>
      <c r="H78">
        <f>INDEX(神经网络!$G$10:$BO$70,MATCH(ROUND(G78*2,1)/2,神经网络!$E$10:$E$70,0),MATCH(ROUND(E78*2,1)/2,神经网络!$G$8:$BO$8,0))</f>
        <v>2.4349118106987255</v>
      </c>
    </row>
    <row r="79" spans="1:8">
      <c r="A79" s="799">
        <v>40481</v>
      </c>
      <c r="B79">
        <v>0.19889999999999999</v>
      </c>
      <c r="C79">
        <v>0.40210299999999999</v>
      </c>
      <c r="D79">
        <v>5.7212459999999998</v>
      </c>
      <c r="E79">
        <f>LN(D79/参数实验室!$E$53)/参数实验室!$E$55</f>
        <v>1.3647415218430268</v>
      </c>
      <c r="F79">
        <f t="shared" si="12"/>
        <v>2.0216339869281046</v>
      </c>
      <c r="G79">
        <f>LN(F79/参数实验室!$E$58)/参数实验室!$E$59</f>
        <v>0.1789179320272436</v>
      </c>
      <c r="H79">
        <f>INDEX(神经网络!$G$10:$BO$70,MATCH(ROUND(G79*2,1)/2,神经网络!$E$10:$E$70,0),MATCH(ROUND(E79*2,1)/2,神经网络!$G$8:$BO$8,0))</f>
        <v>2.4306245916886207</v>
      </c>
    </row>
    <row r="80" spans="1:8">
      <c r="A80" s="799">
        <v>40482</v>
      </c>
      <c r="B80">
        <v>0.1925</v>
      </c>
      <c r="C80">
        <v>0.39998299999999998</v>
      </c>
      <c r="D80">
        <v>5.4376110000000004</v>
      </c>
      <c r="E80">
        <f>LN(D80/参数实验室!$E$53)/参数实验室!$E$55</f>
        <v>1.3047548400695155</v>
      </c>
      <c r="F80">
        <f t="shared" si="12"/>
        <v>2.0778337662337663</v>
      </c>
      <c r="G80">
        <f>LN(F80/参数实验室!$E$58)/参数实验室!$E$59</f>
        <v>0.19330932682341656</v>
      </c>
      <c r="H80">
        <f>INDEX(神经网络!$G$10:$BO$70,MATCH(ROUND(G80*2,1)/2,神经网络!$E$10:$E$70,0),MATCH(ROUND(E80*2,1)/2,神经网络!$G$8:$BO$8,0))</f>
        <v>2.420814368415511</v>
      </c>
    </row>
    <row r="81" spans="1:8">
      <c r="A81" s="799">
        <v>40483</v>
      </c>
      <c r="B81">
        <v>0.19550000000000001</v>
      </c>
      <c r="C81">
        <v>0.38728099999999999</v>
      </c>
      <c r="D81">
        <v>5.4140639999999998</v>
      </c>
      <c r="E81">
        <f>LN(D81/参数实验室!$E$53)/参数实验室!$E$55</f>
        <v>1.299634949686584</v>
      </c>
      <c r="F81">
        <f t="shared" si="12"/>
        <v>1.9809769820971865</v>
      </c>
      <c r="G81">
        <f>LN(F81/参数实验室!$E$58)/参数实验室!$E$59</f>
        <v>0.16825502849986548</v>
      </c>
      <c r="H81">
        <f>INDEX(神经网络!$G$10:$BO$70,MATCH(ROUND(G81*2,1)/2,神经网络!$E$10:$E$70,0),MATCH(ROUND(E81*2,1)/2,神经网络!$G$8:$BO$8,0))</f>
        <v>2.415584694609429</v>
      </c>
    </row>
    <row r="82" spans="1:8">
      <c r="A82" s="799">
        <v>40484</v>
      </c>
      <c r="B82">
        <v>0.1938</v>
      </c>
      <c r="C82">
        <v>0.379581</v>
      </c>
      <c r="D82">
        <v>5.2831149999999996</v>
      </c>
      <c r="E82">
        <f>LN(D82/参数实验室!$E$53)/参数实验室!$E$55</f>
        <v>1.270749722085643</v>
      </c>
      <c r="F82">
        <f t="shared" si="12"/>
        <v>1.9586222910216717</v>
      </c>
      <c r="G82">
        <f>LN(F82/参数实验室!$E$58)/参数实验室!$E$59</f>
        <v>0.1622985465792707</v>
      </c>
      <c r="H82">
        <f>INDEX(神经网络!$G$10:$BO$70,MATCH(ROUND(G82*2,1)/2,神经网络!$E$10:$E$70,0),MATCH(ROUND(E82*2,1)/2,神经网络!$G$8:$BO$8,0))</f>
        <v>2.4037450994416152</v>
      </c>
    </row>
    <row r="83" spans="1:8">
      <c r="A83" s="799">
        <v>40485</v>
      </c>
      <c r="B83">
        <v>0.19309999999999999</v>
      </c>
      <c r="C83">
        <v>0.37557000000000001</v>
      </c>
      <c r="D83">
        <v>5.1837020000000003</v>
      </c>
      <c r="E83">
        <f>LN(D83/参数实验室!$E$53)/参数实验室!$E$55</f>
        <v>1.2483386421656266</v>
      </c>
      <c r="F83">
        <f t="shared" si="12"/>
        <v>1.9449508026929054</v>
      </c>
      <c r="G83">
        <f>LN(F83/参数实验室!$E$58)/参数实验室!$E$59</f>
        <v>0.15862213776565812</v>
      </c>
      <c r="H83">
        <f>INDEX(神经网络!$G$10:$BO$70,MATCH(ROUND(G83*2,1)/2,神经网络!$E$10:$E$70,0),MATCH(ROUND(E83*2,1)/2,神经网络!$G$8:$BO$8,0))</f>
        <v>2.4037450994416152</v>
      </c>
    </row>
    <row r="84" spans="1:8">
      <c r="A84" s="799">
        <v>40486</v>
      </c>
      <c r="B84">
        <v>0.23</v>
      </c>
      <c r="C84">
        <v>0.36477399999999999</v>
      </c>
      <c r="D84">
        <v>5.715382</v>
      </c>
      <c r="E84">
        <f>LN(D84/参数实验室!$E$53)/参数实验室!$E$55</f>
        <v>1.3635317118135479</v>
      </c>
      <c r="F84">
        <f t="shared" si="12"/>
        <v>1.5859739130434782</v>
      </c>
      <c r="G84">
        <f>LN(F84/参数实验室!$E$58)/参数实验室!$E$59</f>
        <v>5.1531964483035604E-2</v>
      </c>
      <c r="H84">
        <f>INDEX(神经网络!$G$10:$BO$70,MATCH(ROUND(G84*2,1)/2,神经网络!$E$10:$E$70,0),MATCH(ROUND(E84*2,1)/2,神经网络!$G$8:$BO$8,0))</f>
        <v>2.4152324661580278</v>
      </c>
    </row>
    <row r="85" spans="1:8">
      <c r="A85" s="799">
        <v>40487</v>
      </c>
      <c r="B85">
        <v>0.26</v>
      </c>
      <c r="C85">
        <v>0.35950599999999999</v>
      </c>
      <c r="D85">
        <v>6.2514890000000003</v>
      </c>
      <c r="E85">
        <f>LN(D85/参数实验室!$E$53)/参数实验室!$E$55</f>
        <v>1.4693066637134431</v>
      </c>
      <c r="F85">
        <f t="shared" si="12"/>
        <v>1.3827153846153846</v>
      </c>
      <c r="G85">
        <f>LN(F85/参数实验室!$E$58)/参数实验室!$E$59</f>
        <v>-2.0451473058283952E-2</v>
      </c>
      <c r="H85">
        <f>INDEX(神经网络!$G$10:$BO$70,MATCH(ROUND(G85*2,1)/2,神经网络!$E$10:$E$70,0),MATCH(ROUND(E85*2,1)/2,神经网络!$G$8:$BO$8,0))</f>
        <v>2.4299330271480644</v>
      </c>
    </row>
    <row r="86" spans="1:8">
      <c r="A86" s="799">
        <v>40488</v>
      </c>
      <c r="B86">
        <v>0.39</v>
      </c>
      <c r="C86">
        <v>0.35261300000000001</v>
      </c>
      <c r="D86">
        <v>8.1940519999999992</v>
      </c>
      <c r="E86">
        <f>LN(D86/参数实验室!$E$53)/参数实验室!$E$55</f>
        <v>1.7885347370922799</v>
      </c>
      <c r="F86">
        <f t="shared" si="12"/>
        <v>0.9041358974358974</v>
      </c>
      <c r="G86">
        <f>LN(F86/参数实验室!$E$58)/参数实验室!$E$59</f>
        <v>-0.24342250621201647</v>
      </c>
      <c r="H86" t="e">
        <f>INDEX(神经网络!$G$10:$BO$70,MATCH(ROUND(G86*2,1)/2,神经网络!$E$10:$E$70,0),MATCH(ROUND(E86*2,1)/2,神经网络!$G$8:$BO$8,0))</f>
        <v>#N/A</v>
      </c>
    </row>
    <row r="87" spans="1:8">
      <c r="A87" s="799">
        <v>40489</v>
      </c>
      <c r="B87">
        <v>0.34</v>
      </c>
      <c r="C87">
        <v>0.34142099999999997</v>
      </c>
      <c r="D87">
        <v>6.7331260000000004</v>
      </c>
      <c r="E87">
        <f>LN(D87/参数实验室!$E$53)/参数实验室!$E$55</f>
        <v>1.5568677699368787</v>
      </c>
      <c r="F87">
        <f t="shared" si="12"/>
        <v>1.0041794117647058</v>
      </c>
      <c r="G87">
        <f>LN(F87/参数实验室!$E$58)/参数实验室!$E$59</f>
        <v>-0.18834101469823719</v>
      </c>
      <c r="H87" t="e">
        <f>INDEX(神经网络!$G$10:$BO$70,MATCH(ROUND(G87*2,1)/2,神经网络!$E$10:$E$70,0),MATCH(ROUND(E87*2,1)/2,神经网络!$G$8:$BO$8,0))</f>
        <v>#N/A</v>
      </c>
    </row>
    <row r="88" spans="1:8">
      <c r="A88" s="799">
        <v>40490</v>
      </c>
      <c r="B88">
        <v>0.24299999999999999</v>
      </c>
      <c r="C88">
        <v>0.32653399999999999</v>
      </c>
      <c r="D88">
        <v>4.5952070000000003</v>
      </c>
      <c r="E88">
        <f>LN(D88/参数实验室!$E$53)/参数实验室!$E$55</f>
        <v>1.1061716881626289</v>
      </c>
      <c r="F88">
        <f t="shared" si="12"/>
        <v>1.3437613168724281</v>
      </c>
      <c r="G88">
        <f>LN(F88/参数实验室!$E$58)/参数实验室!$E$59</f>
        <v>-3.5450017702246754E-2</v>
      </c>
      <c r="H88">
        <f>INDEX(神经网络!$G$10:$BO$70,MATCH(ROUND(G88*2,1)/2,神经网络!$E$10:$E$70,0),MATCH(ROUND(E88*2,1)/2,神经网络!$G$8:$BO$8,0))</f>
        <v>2.3167983964981338</v>
      </c>
    </row>
    <row r="89" spans="1:8">
      <c r="A89" s="799">
        <v>40491</v>
      </c>
      <c r="B89">
        <v>0.21</v>
      </c>
      <c r="C89">
        <v>0.32350400000000001</v>
      </c>
      <c r="D89">
        <v>4.062576</v>
      </c>
      <c r="E89">
        <f>LN(D89/参数实验室!$E$53)/参数实验室!$E$55</f>
        <v>0.9608301603220345</v>
      </c>
      <c r="F89">
        <f t="shared" si="12"/>
        <v>1.5404952380952381</v>
      </c>
      <c r="G89">
        <f>LN(F89/参数实验室!$E$58)/参数实验室!$E$59</f>
        <v>3.626147943736472E-2</v>
      </c>
      <c r="H89">
        <f>INDEX(神经网络!$G$10:$BO$70,MATCH(ROUND(G89*2,1)/2,神经网络!$E$10:$E$70,0),MATCH(ROUND(E89*2,1)/2,神经网络!$G$8:$BO$8,0))</f>
        <v>2.2644502826674295</v>
      </c>
    </row>
    <row r="90" spans="1:8">
      <c r="A90" s="799">
        <v>40492</v>
      </c>
      <c r="B90">
        <v>0.24</v>
      </c>
      <c r="C90">
        <v>0.31958700000000001</v>
      </c>
      <c r="D90">
        <v>4.2582570000000004</v>
      </c>
      <c r="E90">
        <f>LN(D90/参数实验室!$E$53)/参数实验室!$E$55</f>
        <v>1.0163288986736578</v>
      </c>
      <c r="F90">
        <f t="shared" si="12"/>
        <v>1.3316125000000001</v>
      </c>
      <c r="G90">
        <f>LN(F90/参数实验室!$E$58)/参数实验室!$E$59</f>
        <v>-4.0216753058887271E-2</v>
      </c>
      <c r="H90">
        <f>INDEX(神经网络!$G$10:$BO$70,MATCH(ROUND(G90*2,1)/2,神经网络!$E$10:$E$70,0),MATCH(ROUND(E90*2,1)/2,神经网络!$G$8:$BO$8,0))</f>
        <v>2.2636417880201667</v>
      </c>
    </row>
    <row r="91" spans="1:8">
      <c r="A91" s="799">
        <v>40493</v>
      </c>
      <c r="B91">
        <v>0.22309999999999999</v>
      </c>
      <c r="C91">
        <v>0.31303300000000001</v>
      </c>
      <c r="D91">
        <v>4.1038129999999997</v>
      </c>
      <c r="E91">
        <f>LN(D91/参数实验室!$E$53)/参数实验室!$E$55</f>
        <v>0.97274482616117064</v>
      </c>
      <c r="F91">
        <f t="shared" si="12"/>
        <v>1.4031062303899597</v>
      </c>
      <c r="G91">
        <f>LN(F91/参数实验室!$E$58)/参数实验室!$E$59</f>
        <v>-1.2767988286929452E-2</v>
      </c>
      <c r="H91">
        <f>INDEX(神经网络!$G$10:$BO$70,MATCH(ROUND(G91*2,1)/2,神经网络!$E$10:$E$70,0),MATCH(ROUND(E91*2,1)/2,神经网络!$G$8:$BO$8,0))</f>
        <v>2.250831548482191</v>
      </c>
    </row>
    <row r="92" spans="1:8">
      <c r="A92" s="799">
        <v>40494</v>
      </c>
      <c r="B92">
        <v>0.26819999999999999</v>
      </c>
      <c r="C92">
        <v>0.31629699999999999</v>
      </c>
      <c r="D92">
        <v>4.8862050000000004</v>
      </c>
      <c r="E92">
        <f>LN(D92/参数实验室!$E$53)/参数实验室!$E$55</f>
        <v>1.1786110440903275</v>
      </c>
      <c r="F92">
        <f t="shared" si="12"/>
        <v>1.1793325876211782</v>
      </c>
      <c r="G92">
        <f>LN(F92/参数实验室!$E$58)/参数实验室!$E$59</f>
        <v>-0.10395604580854957</v>
      </c>
      <c r="H92">
        <f>INDEX(神经网络!$G$10:$BO$70,MATCH(ROUND(G92*2,1)/2,神经网络!$E$10:$E$70,0),MATCH(ROUND(E92*2,1)/2,神经网络!$G$8:$BO$8,0))</f>
        <v>2.3475464013818388</v>
      </c>
    </row>
    <row r="93" spans="1:8">
      <c r="A93" s="799">
        <v>40495</v>
      </c>
      <c r="B93">
        <v>0.27600000000000002</v>
      </c>
      <c r="C93">
        <v>0.31660500000000003</v>
      </c>
      <c r="D93">
        <v>4.9321250000000001</v>
      </c>
      <c r="E93">
        <f>LN(D93/参数实验室!$E$53)/参数实验室!$E$55</f>
        <v>1.1896464572351935</v>
      </c>
      <c r="F93">
        <f t="shared" si="12"/>
        <v>1.1471195652173913</v>
      </c>
      <c r="G93">
        <f>LN(F93/参数实验室!$E$58)/参数实验室!$E$59</f>
        <v>-0.11849166877327712</v>
      </c>
      <c r="H93">
        <f>INDEX(神经网络!$G$10:$BO$70,MATCH(ROUND(G93*2,1)/2,神经网络!$E$10:$E$70,0),MATCH(ROUND(E93*2,1)/2,神经网络!$G$8:$BO$8,0))</f>
        <v>2.3475464013818388</v>
      </c>
    </row>
    <row r="94" spans="1:8">
      <c r="A94" s="799">
        <v>40496</v>
      </c>
      <c r="B94">
        <v>0.27900000000000003</v>
      </c>
      <c r="C94">
        <v>0.30853999999999998</v>
      </c>
      <c r="D94">
        <v>4.8874370000000003</v>
      </c>
      <c r="E94">
        <f>LN(D94/参数实验室!$E$53)/参数实验室!$E$55</f>
        <v>1.1789084677128157</v>
      </c>
      <c r="F94">
        <f t="shared" si="12"/>
        <v>1.1058781362007166</v>
      </c>
      <c r="G94">
        <f>LN(F94/参数实验室!$E$58)/参数实验室!$E$59</f>
        <v>-0.13770886451546754</v>
      </c>
      <c r="H94">
        <f>INDEX(神经网络!$G$10:$BO$70,MATCH(ROUND(G94*2,1)/2,神经网络!$E$10:$E$70,0),MATCH(ROUND(E94*2,1)/2,神经网络!$G$8:$BO$8,0))</f>
        <v>2.3354279262966711</v>
      </c>
    </row>
    <row r="95" spans="1:8">
      <c r="A95" s="799">
        <v>40497</v>
      </c>
      <c r="B95">
        <v>0.26819999999999999</v>
      </c>
      <c r="C95">
        <v>0.31956099999999998</v>
      </c>
      <c r="D95">
        <v>4.5127620000000004</v>
      </c>
      <c r="E95">
        <f>LN(D95/参数实验室!$E$53)/参数实验室!$E$55</f>
        <v>1.084812938941814</v>
      </c>
      <c r="F95">
        <f t="shared" si="12"/>
        <v>1.1915026099925428</v>
      </c>
      <c r="G95">
        <f>LN(F95/参数实验室!$E$58)/参数实验室!$E$59</f>
        <v>-9.856761429154072E-2</v>
      </c>
      <c r="H95">
        <f>INDEX(神经网络!$G$10:$BO$70,MATCH(ROUND(G95*2,1)/2,神经网络!$E$10:$E$70,0),MATCH(ROUND(E95*2,1)/2,神经网络!$G$8:$BO$8,0))</f>
        <v>2.3027727082306924</v>
      </c>
    </row>
    <row r="96" spans="1:8">
      <c r="A96" s="799">
        <v>40498</v>
      </c>
      <c r="B96">
        <v>0.223</v>
      </c>
      <c r="C96">
        <v>0.333339</v>
      </c>
      <c r="D96">
        <v>3.760281</v>
      </c>
      <c r="E96">
        <f>LN(D96/参数实验室!$E$53)/参数实验室!$E$55</f>
        <v>0.86960743188306433</v>
      </c>
      <c r="F96">
        <f t="shared" si="12"/>
        <v>1.4947937219730942</v>
      </c>
      <c r="G96">
        <f>LN(F96/参数实验室!$E$58)/参数实验室!$E$59</f>
        <v>2.0455117207408783E-2</v>
      </c>
      <c r="H96">
        <f>INDEX(神经网络!$G$10:$BO$70,MATCH(ROUND(G96*2,1)/2,神经网络!$E$10:$E$70,0),MATCH(ROUND(E96*2,1)/2,神经网络!$G$8:$BO$8,0))</f>
        <v>2.1818016621009528</v>
      </c>
    </row>
    <row r="97" spans="1:8">
      <c r="A97" s="799">
        <v>40499</v>
      </c>
      <c r="B97">
        <v>0.22989999999999999</v>
      </c>
      <c r="C97">
        <v>0.33708500000000002</v>
      </c>
      <c r="D97">
        <v>4.0064149999999996</v>
      </c>
      <c r="E97">
        <f>LN(D97/参数实验室!$E$53)/参数实验室!$E$55</f>
        <v>0.94440748942104635</v>
      </c>
      <c r="F97">
        <f t="shared" si="12"/>
        <v>1.4662244454110485</v>
      </c>
      <c r="G97">
        <f>LN(F97/参数实验室!$E$58)/参数实验室!$E$59</f>
        <v>1.0326732449433577E-2</v>
      </c>
      <c r="H97">
        <f>INDEX(神经网络!$G$10:$BO$70,MATCH(ROUND(G97*2,1)/2,神经网络!$E$10:$E$70,0),MATCH(ROUND(E97*2,1)/2,神经网络!$G$8:$BO$8,0))</f>
        <v>2.250831548482191</v>
      </c>
    </row>
    <row r="98" spans="1:8">
      <c r="A98" s="799">
        <v>40500</v>
      </c>
      <c r="B98">
        <v>0.26779999999999998</v>
      </c>
      <c r="C98">
        <v>0.34052100000000002</v>
      </c>
      <c r="D98">
        <v>4.397208</v>
      </c>
      <c r="E98">
        <f>LN(D98/参数实验室!$E$53)/参数实验室!$E$55</f>
        <v>1.0542106248429872</v>
      </c>
      <c r="F98">
        <f t="shared" si="12"/>
        <v>1.2715496639283048</v>
      </c>
      <c r="G98">
        <f>LN(F98/参数实验室!$E$58)/参数实验室!$E$59</f>
        <v>-6.4440997482078821E-2</v>
      </c>
      <c r="H98">
        <f>INDEX(神经网络!$G$10:$BO$70,MATCH(ROUND(G98*2,1)/2,神经网络!$E$10:$E$70,0),MATCH(ROUND(E98*2,1)/2,神经网络!$G$8:$BO$8,0))</f>
        <v>2.2924631821055899</v>
      </c>
    </row>
    <row r="99" spans="1:8">
      <c r="A99" s="799">
        <v>40501</v>
      </c>
      <c r="B99">
        <v>0.28000000000000003</v>
      </c>
      <c r="C99">
        <v>0.36161599999999999</v>
      </c>
      <c r="D99">
        <v>4.4831240000000001</v>
      </c>
      <c r="E99">
        <f>LN(D99/参数实验室!$E$53)/参数实验室!$E$55</f>
        <v>1.0770392403518592</v>
      </c>
      <c r="F99">
        <f t="shared" si="12"/>
        <v>1.2914857142857141</v>
      </c>
      <c r="G99">
        <f>LN(F99/参数实验室!$E$58)/参数实验室!$E$59</f>
        <v>-5.6275891568472763E-2</v>
      </c>
      <c r="H99">
        <f>INDEX(神经网络!$G$10:$BO$70,MATCH(ROUND(G99*2,1)/2,神经网络!$E$10:$E$70,0),MATCH(ROUND(E99*2,1)/2,神经网络!$G$8:$BO$8,0))</f>
        <v>2.3167983964981338</v>
      </c>
    </row>
    <row r="100" spans="1:8">
      <c r="A100" s="799">
        <v>40502</v>
      </c>
      <c r="B100">
        <v>0.28299999999999997</v>
      </c>
      <c r="C100">
        <v>0.37575999999999998</v>
      </c>
      <c r="D100">
        <v>4.4984099999999998</v>
      </c>
      <c r="E100">
        <f>LN(D100/参数实验室!$E$53)/参数实验室!$E$55</f>
        <v>1.0810549743009732</v>
      </c>
      <c r="F100">
        <f t="shared" si="12"/>
        <v>1.3277738515901061</v>
      </c>
      <c r="G100">
        <f>LN(F100/参数实验室!$E$58)/参数实验室!$E$59</f>
        <v>-4.1731938346598323E-2</v>
      </c>
      <c r="H100">
        <f>INDEX(神经网络!$G$10:$BO$70,MATCH(ROUND(G100*2,1)/2,神经网络!$E$10:$E$70,0),MATCH(ROUND(E100*2,1)/2,神经网络!$G$8:$BO$8,0))</f>
        <v>2.3167983964981338</v>
      </c>
    </row>
    <row r="101" spans="1:8">
      <c r="A101" s="799">
        <v>40503</v>
      </c>
      <c r="B101">
        <v>0.27679999999999999</v>
      </c>
      <c r="C101">
        <v>0.38049100000000002</v>
      </c>
      <c r="D101">
        <v>4.3694470000000001</v>
      </c>
      <c r="E101">
        <f>LN(D101/参数实验室!$E$53)/参数实验室!$E$55</f>
        <v>1.0467388492844258</v>
      </c>
      <c r="F101">
        <f t="shared" si="12"/>
        <v>1.3746062138728325</v>
      </c>
      <c r="G101">
        <f>LN(F101/参数实验室!$E$58)/参数实验室!$E$59</f>
        <v>-2.3538630772084044E-2</v>
      </c>
      <c r="H101">
        <f>INDEX(神经网络!$G$10:$BO$70,MATCH(ROUND(G101*2,1)/2,神经网络!$E$10:$E$70,0),MATCH(ROUND(E101*2,1)/2,神经网络!$G$8:$BO$8,0))</f>
        <v>2.3039973552066026</v>
      </c>
    </row>
    <row r="102" spans="1:8">
      <c r="A102" s="799">
        <v>40504</v>
      </c>
      <c r="B102">
        <v>0.28789999999999999</v>
      </c>
      <c r="C102">
        <v>0.38527099999999997</v>
      </c>
      <c r="D102">
        <v>4.460216</v>
      </c>
      <c r="E102">
        <f>LN(D102/参数实验室!$E$53)/参数实验室!$E$55</f>
        <v>1.0709954476705559</v>
      </c>
      <c r="F102">
        <f t="shared" si="12"/>
        <v>1.3382111844390412</v>
      </c>
      <c r="G102">
        <f>LN(F102/参数实验室!$E$58)/参数实验室!$E$59</f>
        <v>-3.7622309628592157E-2</v>
      </c>
      <c r="H102">
        <f>INDEX(神经网络!$G$10:$BO$70,MATCH(ROUND(G102*2,1)/2,神经网络!$E$10:$E$70,0),MATCH(ROUND(E102*2,1)/2,神经网络!$G$8:$BO$8,0))</f>
        <v>2.2924631821055899</v>
      </c>
    </row>
    <row r="103" spans="1:8">
      <c r="A103" s="799">
        <v>40505</v>
      </c>
      <c r="B103">
        <v>0.28299999999999997</v>
      </c>
      <c r="C103">
        <v>0.399951</v>
      </c>
      <c r="D103">
        <v>4.3859979999999998</v>
      </c>
      <c r="E103">
        <f>LN(D103/参数实验室!$E$53)/参数实验室!$E$55</f>
        <v>1.0511991866401569</v>
      </c>
      <c r="F103">
        <f t="shared" si="12"/>
        <v>1.413254416961131</v>
      </c>
      <c r="G103">
        <f>LN(F103/参数实验室!$E$58)/参数实验室!$E$59</f>
        <v>-8.9855609128778446E-3</v>
      </c>
      <c r="H103">
        <f>INDEX(神经网络!$G$10:$BO$70,MATCH(ROUND(G103*2,1)/2,神经网络!$E$10:$E$70,0),MATCH(ROUND(E103*2,1)/2,神经网络!$G$8:$BO$8,0))</f>
        <v>2.3039973552066026</v>
      </c>
    </row>
    <row r="104" spans="1:8">
      <c r="A104" s="799">
        <v>40506</v>
      </c>
      <c r="B104">
        <v>0.28299999999999997</v>
      </c>
      <c r="C104">
        <v>0.40802300000000002</v>
      </c>
      <c r="D104">
        <v>4.3360050000000001</v>
      </c>
      <c r="E104">
        <f>LN(D104/参数实验室!$E$53)/参数实验室!$E$55</f>
        <v>1.037674758859451</v>
      </c>
      <c r="F104">
        <f t="shared" si="12"/>
        <v>1.4417773851590108</v>
      </c>
      <c r="G104">
        <f>LN(F104/参数实验室!$E$58)/参数实验室!$E$59</f>
        <v>1.5018131721505408E-3</v>
      </c>
      <c r="H104">
        <f>INDEX(神经网络!$G$10:$BO$70,MATCH(ROUND(G104*2,1)/2,神经网络!$E$10:$E$70,0),MATCH(ROUND(E104*2,1)/2,神经网络!$G$8:$BO$8,0))</f>
        <v>2.3039973552066026</v>
      </c>
    </row>
    <row r="105" spans="1:8">
      <c r="A105" s="799">
        <v>40507</v>
      </c>
      <c r="B105">
        <v>0.28000000000000003</v>
      </c>
      <c r="C105">
        <v>0.42341400000000001</v>
      </c>
      <c r="D105">
        <v>4.2318550000000004</v>
      </c>
      <c r="E105">
        <f>LN(D105/参数实验室!$E$53)/参数实验室!$E$55</f>
        <v>1.0089914346796547</v>
      </c>
      <c r="F105">
        <f t="shared" si="12"/>
        <v>1.5121928571428571</v>
      </c>
      <c r="G105">
        <f>LN(F105/参数实验室!$E$58)/参数实验室!$E$59</f>
        <v>2.6529044121652343E-2</v>
      </c>
      <c r="H105">
        <f>INDEX(神经网络!$G$10:$BO$70,MATCH(ROUND(G105*2,1)/2,神经网络!$E$10:$E$70,0),MATCH(ROUND(E105*2,1)/2,神经网络!$G$8:$BO$8,0))</f>
        <v>2.2932813926438125</v>
      </c>
    </row>
    <row r="106" spans="1:8">
      <c r="A106" s="799">
        <v>40508</v>
      </c>
      <c r="B106">
        <v>0.28439999999999999</v>
      </c>
      <c r="C106">
        <v>0.43081399999999997</v>
      </c>
      <c r="D106">
        <v>4.2314189999999998</v>
      </c>
      <c r="E106">
        <f>LN(D106/参数实验室!$E$53)/参数实验室!$E$55</f>
        <v>1.008869880677072</v>
      </c>
      <c r="F106">
        <f t="shared" si="12"/>
        <v>1.514817158931083</v>
      </c>
      <c r="G106">
        <f>LN(F106/参数实验室!$E$58)/参数实验室!$E$59</f>
        <v>2.7439101069988533E-2</v>
      </c>
      <c r="H106">
        <f>INDEX(神经网络!$G$10:$BO$70,MATCH(ROUND(G106*2,1)/2,神经网络!$E$10:$E$70,0),MATCH(ROUND(E106*2,1)/2,神经网络!$G$8:$BO$8,0))</f>
        <v>2.2932813926438125</v>
      </c>
    </row>
    <row r="107" spans="1:8">
      <c r="A107" s="799">
        <v>40509</v>
      </c>
      <c r="B107">
        <v>0.28299999999999997</v>
      </c>
      <c r="C107">
        <v>0.44251000000000001</v>
      </c>
      <c r="D107">
        <v>4.175878</v>
      </c>
      <c r="E107">
        <f>LN(D107/参数实验室!$E$53)/参数实验室!$E$55</f>
        <v>0.99328208160691112</v>
      </c>
      <c r="F107">
        <f t="shared" si="12"/>
        <v>1.5636395759717316</v>
      </c>
      <c r="G107">
        <f>LN(F107/参数实验室!$E$58)/参数实验室!$E$59</f>
        <v>4.4088217089837761E-2</v>
      </c>
      <c r="H107">
        <f>INDEX(神经网络!$G$10:$BO$70,MATCH(ROUND(G107*2,1)/2,神经网络!$E$10:$E$70,0),MATCH(ROUND(E107*2,1)/2,神经网络!$G$8:$BO$8,0))</f>
        <v>2.2932813926438125</v>
      </c>
    </row>
    <row r="108" spans="1:8">
      <c r="A108" s="799">
        <v>40510</v>
      </c>
      <c r="B108">
        <v>0.27</v>
      </c>
      <c r="C108">
        <v>0.45719100000000001</v>
      </c>
      <c r="D108">
        <v>3.9793159999999999</v>
      </c>
      <c r="E108">
        <f>LN(D108/参数实验室!$E$53)/参数实验室!$E$55</f>
        <v>0.93640064424306146</v>
      </c>
      <c r="F108">
        <f t="shared" si="12"/>
        <v>1.6933</v>
      </c>
      <c r="G108">
        <f>LN(F108/参数实验室!$E$58)/参数实验室!$E$59</f>
        <v>8.5899728897597241E-2</v>
      </c>
      <c r="H108">
        <f>INDEX(神经网络!$G$10:$BO$70,MATCH(ROUND(G108*2,1)/2,神经网络!$E$10:$E$70,0),MATCH(ROUND(E108*2,1)/2,神经网络!$G$8:$BO$8,0))</f>
        <v>2.2802035895763053</v>
      </c>
    </row>
    <row r="109" spans="1:8">
      <c r="A109" s="799">
        <v>40511</v>
      </c>
      <c r="B109">
        <v>0.22989999999999999</v>
      </c>
      <c r="C109">
        <v>0.47123399999999999</v>
      </c>
      <c r="D109">
        <v>3.372897</v>
      </c>
      <c r="E109">
        <f>LN(D109/参数实验室!$E$53)/参数实验室!$E$55</f>
        <v>0.7413426894199372</v>
      </c>
      <c r="F109">
        <f t="shared" si="12"/>
        <v>2.049734667246629</v>
      </c>
      <c r="G109">
        <f>LN(F109/参数实验室!$E$58)/参数实验室!$E$59</f>
        <v>0.18616315649008747</v>
      </c>
      <c r="H109">
        <f>INDEX(神经网络!$G$10:$BO$70,MATCH(ROUND(G109*2,1)/2,神经网络!$E$10:$E$70,0),MATCH(ROUND(E109*2,1)/2,神经网络!$G$8:$BO$8,0))</f>
        <v>2.1825485318393136</v>
      </c>
    </row>
    <row r="110" spans="1:8">
      <c r="A110" s="799">
        <v>40512</v>
      </c>
      <c r="B110">
        <v>0.2082</v>
      </c>
      <c r="C110">
        <v>0.46954699999999999</v>
      </c>
      <c r="D110">
        <v>3.037156</v>
      </c>
      <c r="E110">
        <f>LN(D110/参数实验室!$E$53)/参数实验室!$E$55</f>
        <v>0.61764500993097382</v>
      </c>
      <c r="F110">
        <f t="shared" si="12"/>
        <v>2.2552689721421708</v>
      </c>
      <c r="G110">
        <f>LN(F110/参数实验室!$E$58)/参数实验室!$E$59</f>
        <v>0.23631762614946678</v>
      </c>
      <c r="H110">
        <f>INDEX(神经网络!$G$10:$BO$70,MATCH(ROUND(G110*2,1)/2,神经网络!$E$10:$E$70,0),MATCH(ROUND(E110*2,1)/2,神经网络!$G$8:$BO$8,0))</f>
        <v>2.0741471086805876</v>
      </c>
    </row>
    <row r="111" spans="1:8">
      <c r="A111" s="799">
        <v>40513</v>
      </c>
      <c r="B111">
        <v>0.22750000000000001</v>
      </c>
      <c r="C111">
        <v>0.47046399999999999</v>
      </c>
      <c r="D111">
        <v>3.3111320000000002</v>
      </c>
      <c r="E111">
        <f>LN(D111/参数实验室!$E$53)/参数实验室!$E$55</f>
        <v>0.71953861487841408</v>
      </c>
      <c r="F111">
        <f t="shared" si="12"/>
        <v>2.0679736263736261</v>
      </c>
      <c r="G111">
        <f>LN(F111/参数实验室!$E$58)/参数实验室!$E$59</f>
        <v>0.19081275930900465</v>
      </c>
      <c r="H111">
        <f>INDEX(神经网络!$G$10:$BO$70,MATCH(ROUND(G111*2,1)/2,神经网络!$E$10:$E$70,0),MATCH(ROUND(E111*2,1)/2,神经网络!$G$8:$BO$8,0))</f>
        <v>2.1428825652386494</v>
      </c>
    </row>
    <row r="112" spans="1:8">
      <c r="A112" s="799">
        <v>40514</v>
      </c>
      <c r="B112">
        <v>0.255</v>
      </c>
      <c r="C112">
        <v>0.47114099999999998</v>
      </c>
      <c r="D112">
        <v>3.6445750000000001</v>
      </c>
      <c r="E112">
        <f>LN(D112/参数实验室!$E$53)/参数实验室!$E$55</f>
        <v>0.83273550885686853</v>
      </c>
      <c r="F112">
        <f t="shared" si="12"/>
        <v>1.8476117647058823</v>
      </c>
      <c r="G112">
        <f>LN(F112/参数实验室!$E$58)/参数实验室!$E$59</f>
        <v>0.13167465352498461</v>
      </c>
      <c r="H112">
        <f>INDEX(神经网络!$G$10:$BO$70,MATCH(ROUND(G112*2,1)/2,神经网络!$E$10:$E$70,0),MATCH(ROUND(E112*2,1)/2,神经网络!$G$8:$BO$8,0))</f>
        <v>2.2355347427586514</v>
      </c>
    </row>
    <row r="113" spans="1:8">
      <c r="A113" s="799">
        <v>40515</v>
      </c>
      <c r="B113">
        <v>0.25109999999999999</v>
      </c>
      <c r="C113">
        <v>0.474943</v>
      </c>
      <c r="D113">
        <v>3.5713469999999998</v>
      </c>
      <c r="E113">
        <f>LN(D113/参数实验室!$E$53)/参数实验室!$E$55</f>
        <v>0.80879014570897323</v>
      </c>
      <c r="F113">
        <f t="shared" si="12"/>
        <v>1.8914496216646755</v>
      </c>
      <c r="G113">
        <f>LN(F113/参数实验室!$E$58)/参数实验室!$E$59</f>
        <v>0.14398230425093381</v>
      </c>
      <c r="H113">
        <f>INDEX(神经网络!$G$10:$BO$70,MATCH(ROUND(G113*2,1)/2,神经网络!$E$10:$E$70,0),MATCH(ROUND(E113*2,1)/2,神经网络!$G$8:$BO$8,0))</f>
        <v>2.2015935735798662</v>
      </c>
    </row>
    <row r="114" spans="1:8">
      <c r="A114" s="799">
        <v>40516</v>
      </c>
      <c r="B114">
        <v>0.20499999999999999</v>
      </c>
      <c r="C114">
        <v>0.47256100000000001</v>
      </c>
      <c r="D114">
        <v>2.9073389999999999</v>
      </c>
      <c r="E114">
        <f>LN(D114/参数实验室!$E$53)/参数实验室!$E$55</f>
        <v>0.56610946982582877</v>
      </c>
      <c r="F114">
        <f t="shared" si="12"/>
        <v>2.3051756097560978</v>
      </c>
      <c r="G114">
        <f>LN(F114/参数实验室!$E$58)/参数实验室!$E$59</f>
        <v>0.24780542992060375</v>
      </c>
      <c r="H114">
        <f>INDEX(神经网络!$G$10:$BO$70,MATCH(ROUND(G114*2,1)/2,神经网络!$E$10:$E$70,0),MATCH(ROUND(E114*2,1)/2,神经网络!$G$8:$BO$8,0))</f>
        <v>2.0214042838760595</v>
      </c>
    </row>
    <row r="115" spans="1:8">
      <c r="A115" s="799">
        <v>40517</v>
      </c>
      <c r="B115">
        <v>0.19</v>
      </c>
      <c r="C115">
        <v>0.47228599999999998</v>
      </c>
      <c r="D115">
        <v>2.864017</v>
      </c>
      <c r="E115">
        <f>LN(D115/参数实验室!$E$53)/参数实验室!$E$55</f>
        <v>0.5483977812735723</v>
      </c>
      <c r="F115">
        <f t="shared" si="12"/>
        <v>2.4857157894736841</v>
      </c>
      <c r="G115">
        <f>LN(F115/参数实验室!$E$58)/参数实验室!$E$59</f>
        <v>0.28738142033432307</v>
      </c>
      <c r="H115">
        <f>INDEX(神经网络!$G$10:$BO$70,MATCH(ROUND(G115*2,1)/2,神经网络!$E$10:$E$70,0),MATCH(ROUND(E115*2,1)/2,神经网络!$G$8:$BO$8,0))</f>
        <v>2.0470854553908895</v>
      </c>
    </row>
    <row r="116" spans="1:8">
      <c r="A116" s="799">
        <v>40518</v>
      </c>
      <c r="B116">
        <v>0.20399999999999999</v>
      </c>
      <c r="C116">
        <v>0.47134300000000001</v>
      </c>
      <c r="D116">
        <v>2.8330700000000002</v>
      </c>
      <c r="E116">
        <f>LN(D116/参数实验室!$E$53)/参数实验室!$E$55</f>
        <v>0.53558064060105948</v>
      </c>
      <c r="F116">
        <f t="shared" si="12"/>
        <v>2.3105049019607846</v>
      </c>
      <c r="G116">
        <f>LN(F116/参数实验室!$E$58)/参数实验室!$E$59</f>
        <v>0.24901742966635998</v>
      </c>
      <c r="H116">
        <f>INDEX(神经网络!$G$10:$BO$70,MATCH(ROUND(G116*2,1)/2,神经网络!$E$10:$E$70,0),MATCH(ROUND(E116*2,1)/2,神经网络!$G$8:$BO$8,0))</f>
        <v>2.0214042838760595</v>
      </c>
    </row>
    <row r="117" spans="1:8">
      <c r="A117" s="799">
        <v>40519</v>
      </c>
      <c r="B117">
        <v>0.23300000000000001</v>
      </c>
      <c r="C117">
        <v>0.476275</v>
      </c>
      <c r="D117">
        <v>3.1967629999999998</v>
      </c>
      <c r="E117">
        <f>LN(D117/参数实验室!$E$53)/参数实验室!$E$55</f>
        <v>0.67806864902781627</v>
      </c>
      <c r="F117">
        <f t="shared" si="12"/>
        <v>2.0440987124463517</v>
      </c>
      <c r="G117">
        <f>LN(F117/参数实验室!$E$58)/参数实验室!$E$59</f>
        <v>0.18471802902251064</v>
      </c>
      <c r="H117">
        <f>INDEX(神经网络!$G$10:$BO$70,MATCH(ROUND(G117*2,1)/2,神经网络!$E$10:$E$70,0),MATCH(ROUND(E117*2,1)/2,神经网络!$G$8:$BO$8,0))</f>
        <v>2.1428825652386494</v>
      </c>
    </row>
    <row r="118" spans="1:8">
      <c r="A118" s="799">
        <v>40520</v>
      </c>
      <c r="B118">
        <v>0.23880000000000001</v>
      </c>
      <c r="C118">
        <v>0.48975000000000002</v>
      </c>
      <c r="D118">
        <v>3.249069</v>
      </c>
      <c r="E118">
        <f>LN(D118/参数实验室!$E$53)/参数实验室!$E$55</f>
        <v>0.69721575918944645</v>
      </c>
      <c r="F118">
        <f t="shared" si="12"/>
        <v>2.0508793969849246</v>
      </c>
      <c r="G118">
        <f>LN(F118/参数实验室!$E$58)/参数实验室!$E$59</f>
        <v>0.18645619359993312</v>
      </c>
      <c r="H118">
        <f>INDEX(神经网络!$G$10:$BO$70,MATCH(ROUND(G118*2,1)/2,神经网络!$E$10:$E$70,0),MATCH(ROUND(E118*2,1)/2,神经网络!$G$8:$BO$8,0))</f>
        <v>2.1428825652386494</v>
      </c>
    </row>
    <row r="119" spans="1:8">
      <c r="A119" s="799">
        <v>40521</v>
      </c>
      <c r="B119">
        <v>0.2</v>
      </c>
      <c r="C119">
        <v>0.49255399999999999</v>
      </c>
      <c r="D119">
        <v>2.7109169999999998</v>
      </c>
      <c r="E119">
        <f>LN(D119/参数实验室!$E$53)/参数实验室!$E$55</f>
        <v>0.4835842252739242</v>
      </c>
      <c r="F119">
        <f t="shared" si="12"/>
        <v>2.4627699999999999</v>
      </c>
      <c r="G119">
        <f>LN(F119/参数实验室!$E$58)/参数实验室!$E$59</f>
        <v>0.28251396099240667</v>
      </c>
      <c r="H119">
        <f>INDEX(神经网络!$G$10:$BO$70,MATCH(ROUND(G119*2,1)/2,神经网络!$E$10:$E$70,0),MATCH(ROUND(E119*2,1)/2,神经网络!$G$8:$BO$8,0))</f>
        <v>1.9943370795744073</v>
      </c>
    </row>
    <row r="120" spans="1:8">
      <c r="A120" s="799">
        <v>40522</v>
      </c>
      <c r="B120">
        <v>0.20399999999999999</v>
      </c>
      <c r="C120">
        <v>0.509598</v>
      </c>
      <c r="D120">
        <v>2.7619020000000001</v>
      </c>
      <c r="E120">
        <f>LN(D120/参数实验室!$E$53)/参数实验室!$E$55</f>
        <v>0.50556611772745641</v>
      </c>
      <c r="F120">
        <f t="shared" si="12"/>
        <v>2.4980294117647062</v>
      </c>
      <c r="G120">
        <f>LN(F120/参数实验室!$E$58)/参数实验室!$E$59</f>
        <v>0.28997499899239582</v>
      </c>
      <c r="H120">
        <f>INDEX(神经网络!$G$10:$BO$70,MATCH(ROUND(G120*2,1)/2,神经网络!$E$10:$E$70,0),MATCH(ROUND(E120*2,1)/2,神经网络!$G$8:$BO$8,0))</f>
        <v>1.9943370795744073</v>
      </c>
    </row>
    <row r="121" spans="1:8">
      <c r="A121" s="799">
        <v>40523</v>
      </c>
      <c r="B121">
        <v>0.22800000000000001</v>
      </c>
      <c r="C121">
        <v>0.52471000000000001</v>
      </c>
      <c r="D121">
        <v>3.0707010000000001</v>
      </c>
      <c r="E121">
        <f>LN(D121/参数实验室!$E$53)/参数实验室!$E$55</f>
        <v>0.63060380070743272</v>
      </c>
      <c r="F121">
        <f t="shared" si="12"/>
        <v>2.3013596491228068</v>
      </c>
      <c r="G121">
        <f>LN(F121/参数实验室!$E$58)/参数实验室!$E$59</f>
        <v>0.24693587277529208</v>
      </c>
      <c r="H121">
        <f>INDEX(神经网络!$G$10:$BO$70,MATCH(ROUND(G121*2,1)/2,神经网络!$E$10:$E$70,0),MATCH(ROUND(E121*2,1)/2,神经网络!$G$8:$BO$8,0))</f>
        <v>2.1201133118143396</v>
      </c>
    </row>
    <row r="122" spans="1:8">
      <c r="A122" s="799">
        <v>40524</v>
      </c>
      <c r="B122">
        <v>0.22</v>
      </c>
      <c r="C122">
        <v>0.52766999999999997</v>
      </c>
      <c r="D122">
        <v>2.949697</v>
      </c>
      <c r="E122">
        <f>LN(D122/参数实验室!$E$53)/参数实验室!$E$55</f>
        <v>0.58317368426492444</v>
      </c>
      <c r="F122">
        <f t="shared" si="12"/>
        <v>2.3984999999999999</v>
      </c>
      <c r="G122">
        <f>LN(F122/参数实验室!$E$58)/参数实验室!$E$59</f>
        <v>0.2686351454081326</v>
      </c>
      <c r="H122">
        <f>INDEX(神经网络!$G$10:$BO$70,MATCH(ROUND(G122*2,1)/2,神经网络!$E$10:$E$70,0),MATCH(ROUND(E122*2,1)/2,神经网络!$G$8:$BO$8,0))</f>
        <v>2.0741471086805876</v>
      </c>
    </row>
    <row r="123" spans="1:8">
      <c r="A123" s="799">
        <v>40525</v>
      </c>
      <c r="B123">
        <v>0.22989999999999999</v>
      </c>
      <c r="C123">
        <v>0.55343100000000001</v>
      </c>
      <c r="D123">
        <v>3.0315690000000002</v>
      </c>
      <c r="E123">
        <f>LN(D123/参数实验室!$E$53)/参数实验室!$E$55</f>
        <v>0.6154727964145571</v>
      </c>
      <c r="F123">
        <f t="shared" si="12"/>
        <v>2.4072683775554591</v>
      </c>
      <c r="G123">
        <f>LN(F123/参数实验室!$E$58)/参数实验室!$E$59</f>
        <v>0.2705503952314734</v>
      </c>
      <c r="H123">
        <f>INDEX(神经网络!$G$10:$BO$70,MATCH(ROUND(G123*2,1)/2,神经网络!$E$10:$E$70,0),MATCH(ROUND(E123*2,1)/2,神经网络!$G$8:$BO$8,0))</f>
        <v>2.0741471086805876</v>
      </c>
    </row>
    <row r="124" spans="1:8">
      <c r="A124" s="799">
        <v>40526</v>
      </c>
      <c r="B124">
        <v>0.2467</v>
      </c>
      <c r="C124">
        <v>0.58238500000000004</v>
      </c>
      <c r="D124">
        <v>3.269666</v>
      </c>
      <c r="E124">
        <f>LN(D124/参数实验室!$E$53)/参数实验室!$E$55</f>
        <v>0.70467102725313446</v>
      </c>
      <c r="F124">
        <f t="shared" si="12"/>
        <v>2.3607012565869478</v>
      </c>
      <c r="G124">
        <f>LN(F124/参数实验室!$E$58)/参数实验室!$E$59</f>
        <v>0.26029793107768184</v>
      </c>
      <c r="H124">
        <f>INDEX(神经网络!$G$10:$BO$70,MATCH(ROUND(G124*2,1)/2,神经网络!$E$10:$E$70,0),MATCH(ROUND(E124*2,1)/2,神经网络!$G$8:$BO$8,0))</f>
        <v>2.1620796971714196</v>
      </c>
    </row>
    <row r="125" spans="1:8">
      <c r="A125" s="799">
        <v>40527</v>
      </c>
      <c r="B125">
        <v>0.23799999999999999</v>
      </c>
      <c r="C125">
        <v>0.58804699999999999</v>
      </c>
      <c r="D125">
        <v>3.152298</v>
      </c>
      <c r="E125">
        <f>LN(D125/参数实验室!$E$53)/参数实验室!$E$55</f>
        <v>0.66154381625017533</v>
      </c>
      <c r="F125">
        <f t="shared" si="12"/>
        <v>2.4707857142857144</v>
      </c>
      <c r="G125">
        <f>LN(F125/参数实验室!$E$58)/参数实验室!$E$59</f>
        <v>0.28421945860775183</v>
      </c>
      <c r="H125">
        <f>INDEX(神经网络!$G$10:$BO$70,MATCH(ROUND(G125*2,1)/2,神经网络!$E$10:$E$70,0),MATCH(ROUND(E125*2,1)/2,神经网络!$G$8:$BO$8,0))</f>
        <v>2.1429777252186515</v>
      </c>
    </row>
    <row r="126" spans="1:8">
      <c r="A126" s="799">
        <v>40528</v>
      </c>
      <c r="B126">
        <v>0.25</v>
      </c>
      <c r="C126">
        <v>0.59952000000000005</v>
      </c>
      <c r="D126">
        <v>3.2645559999999998</v>
      </c>
      <c r="E126">
        <f>LN(D126/参数实验室!$E$53)/参数实验室!$E$55</f>
        <v>0.70282580671863815</v>
      </c>
      <c r="F126">
        <f t="shared" si="12"/>
        <v>2.3980800000000002</v>
      </c>
      <c r="G126">
        <f>LN(F126/参数实验室!$E$58)/参数实验室!$E$59</f>
        <v>0.26854323046095885</v>
      </c>
      <c r="H126">
        <f>INDEX(神经网络!$G$10:$BO$70,MATCH(ROUND(G126*2,1)/2,神经网络!$E$10:$E$70,0),MATCH(ROUND(E126*2,1)/2,神经网络!$G$8:$BO$8,0))</f>
        <v>2.1620796971714196</v>
      </c>
    </row>
    <row r="127" spans="1:8">
      <c r="A127" s="799">
        <v>40529</v>
      </c>
      <c r="B127">
        <v>0.24</v>
      </c>
      <c r="C127">
        <v>0.62994499999999998</v>
      </c>
      <c r="D127">
        <v>3.1571199999999999</v>
      </c>
      <c r="E127">
        <f>LN(D127/参数实验室!$E$53)/参数实验室!$E$55</f>
        <v>0.6633470796415083</v>
      </c>
      <c r="F127">
        <f t="shared" si="12"/>
        <v>2.6247708333333333</v>
      </c>
      <c r="G127">
        <f>LN(F127/参数实验室!$E$58)/参数实验室!$E$59</f>
        <v>0.31595076294461549</v>
      </c>
      <c r="H127">
        <f>INDEX(神经网络!$G$10:$BO$70,MATCH(ROUND(G127*2,1)/2,神经网络!$E$10:$E$70,0),MATCH(ROUND(E127*2,1)/2,神经网络!$G$8:$BO$8,0))</f>
        <v>2.1429777252186515</v>
      </c>
    </row>
    <row r="128" spans="1:8">
      <c r="A128" s="799">
        <v>40530</v>
      </c>
      <c r="B128">
        <v>0.24099999999999999</v>
      </c>
      <c r="C128">
        <v>0.667628</v>
      </c>
      <c r="D128">
        <v>3.1196009999999998</v>
      </c>
      <c r="E128">
        <f>LN(D128/参数实验室!$E$53)/参数实验室!$E$55</f>
        <v>0.64924299913488059</v>
      </c>
      <c r="F128">
        <f t="shared" si="12"/>
        <v>2.7702406639004149</v>
      </c>
      <c r="G128">
        <f>LN(F128/参数实验室!$E$58)/参数实验室!$E$59</f>
        <v>0.3442617091682682</v>
      </c>
      <c r="H128">
        <f>INDEX(神经网络!$G$10:$BO$70,MATCH(ROUND(G128*2,1)/2,神经网络!$E$10:$E$70,0),MATCH(ROUND(E128*2,1)/2,神经网络!$G$8:$BO$8,0))</f>
        <v>2.1621432455026182</v>
      </c>
    </row>
    <row r="129" spans="1:8">
      <c r="A129" s="799">
        <v>40531</v>
      </c>
      <c r="B129">
        <v>0.24010000000000001</v>
      </c>
      <c r="C129">
        <v>0.66002799999999995</v>
      </c>
      <c r="D129">
        <v>3.0970650000000002</v>
      </c>
      <c r="E129">
        <f>LN(D129/参数实验室!$E$53)/参数实验室!$E$55</f>
        <v>0.64068952832934767</v>
      </c>
      <c r="F129">
        <f t="shared" si="12"/>
        <v>2.7489712619741771</v>
      </c>
      <c r="G129">
        <f>LN(F129/参数实验室!$E$58)/参数实验室!$E$59</f>
        <v>0.34021642625192461</v>
      </c>
      <c r="H129">
        <f>INDEX(神经网络!$G$10:$BO$70,MATCH(ROUND(G129*2,1)/2,神经网络!$E$10:$E$70,0),MATCH(ROUND(E129*2,1)/2,神经网络!$G$8:$BO$8,0))</f>
        <v>2.1621432455026182</v>
      </c>
    </row>
    <row r="130" spans="1:8">
      <c r="A130" s="799">
        <v>40532</v>
      </c>
      <c r="B130">
        <v>0.26700000000000002</v>
      </c>
      <c r="C130">
        <v>0.64880499999999997</v>
      </c>
      <c r="D130">
        <v>3.3999619999999999</v>
      </c>
      <c r="E130">
        <f>LN(D130/参数实验室!$E$53)/参数实验室!$E$55</f>
        <v>0.75077155587382327</v>
      </c>
      <c r="F130">
        <f t="shared" si="12"/>
        <v>2.4299812734082393</v>
      </c>
      <c r="G130">
        <f>LN(F130/参数实验室!$E$58)/参数实验室!$E$59</f>
        <v>0.27547924682548075</v>
      </c>
      <c r="H130">
        <f>INDEX(神经网络!$G$10:$BO$70,MATCH(ROUND(G130*2,1)/2,神经网络!$E$10:$E$70,0),MATCH(ROUND(E130*2,1)/2,神经网络!$G$8:$BO$8,0))</f>
        <v>2.2177717992106114</v>
      </c>
    </row>
    <row r="131" spans="1:8">
      <c r="A131" s="799">
        <v>40533</v>
      </c>
      <c r="B131">
        <v>0.24</v>
      </c>
      <c r="C131">
        <v>0.63467799999999996</v>
      </c>
      <c r="D131">
        <v>3.0127250000000001</v>
      </c>
      <c r="E131">
        <f>LN(D131/参数实验室!$E$53)/参数实验室!$E$55</f>
        <v>0.60811665452030617</v>
      </c>
      <c r="F131">
        <f t="shared" si="12"/>
        <v>2.6444916666666667</v>
      </c>
      <c r="G131">
        <f>LN(F131/参数实验室!$E$58)/参数实验室!$E$59</f>
        <v>0.31987943699937849</v>
      </c>
      <c r="H131">
        <f>INDEX(神经网络!$G$10:$BO$70,MATCH(ROUND(G131*2,1)/2,神经网络!$E$10:$E$70,0),MATCH(ROUND(E131*2,1)/2,神经网络!$G$8:$BO$8,0))</f>
        <v>2.0970091299110161</v>
      </c>
    </row>
    <row r="132" spans="1:8">
      <c r="A132" s="799">
        <v>40534</v>
      </c>
      <c r="B132">
        <v>0.25</v>
      </c>
      <c r="C132">
        <v>0.64020600000000005</v>
      </c>
      <c r="D132">
        <v>3.1075719999999998</v>
      </c>
      <c r="E132">
        <f>LN(D132/参数实验室!$E$53)/参数实验室!$E$55</f>
        <v>0.64468514618199846</v>
      </c>
      <c r="F132">
        <f t="shared" si="12"/>
        <v>2.5608240000000002</v>
      </c>
      <c r="G132">
        <f>LN(F132/参数实验室!$E$58)/参数实验室!$E$59</f>
        <v>0.30300549570449647</v>
      </c>
      <c r="H132">
        <f>INDEX(神经网络!$G$10:$BO$70,MATCH(ROUND(G132*2,1)/2,神经网络!$E$10:$E$70,0),MATCH(ROUND(E132*2,1)/2,神经网络!$G$8:$BO$8,0))</f>
        <v>2.1429777252186515</v>
      </c>
    </row>
    <row r="133" spans="1:8">
      <c r="A133" s="799">
        <v>40535</v>
      </c>
      <c r="B133">
        <v>0.25</v>
      </c>
      <c r="C133">
        <v>0.64202599999999999</v>
      </c>
      <c r="D133">
        <v>3.0950389999999999</v>
      </c>
      <c r="E133">
        <f>LN(D133/参数实验室!$E$53)/参数实验室!$E$55</f>
        <v>0.63991751928118557</v>
      </c>
      <c r="F133">
        <f t="shared" ref="F133:F196" si="13">C133/B133</f>
        <v>2.5681039999999999</v>
      </c>
      <c r="G133">
        <f>LN(F133/参数实验室!$E$58)/参数实验室!$E$59</f>
        <v>0.30449545228007968</v>
      </c>
      <c r="H133">
        <f>INDEX(神经网络!$G$10:$BO$70,MATCH(ROUND(G133*2,1)/2,神经网络!$E$10:$E$70,0),MATCH(ROUND(E133*2,1)/2,神经网络!$G$8:$BO$8,0))</f>
        <v>2.1429777252186515</v>
      </c>
    </row>
    <row r="134" spans="1:8">
      <c r="A134" s="799">
        <v>40536</v>
      </c>
      <c r="B134">
        <v>0.248</v>
      </c>
      <c r="C134">
        <v>0.65571500000000005</v>
      </c>
      <c r="D134">
        <v>3.0589119999999999</v>
      </c>
      <c r="E134">
        <f>LN(D134/参数实验室!$E$53)/参数实验室!$E$55</f>
        <v>0.62606578888121611</v>
      </c>
      <c r="F134">
        <f t="shared" si="13"/>
        <v>2.6440120967741936</v>
      </c>
      <c r="G134">
        <f>LN(F134/参数实验室!$E$58)/参数实验室!$E$59</f>
        <v>0.31978424780827502</v>
      </c>
      <c r="H134">
        <f>INDEX(神经网络!$G$10:$BO$70,MATCH(ROUND(G134*2,1)/2,神经网络!$E$10:$E$70,0),MATCH(ROUND(E134*2,1)/2,神经网络!$G$8:$BO$8,0))</f>
        <v>2.1429777252186515</v>
      </c>
    </row>
    <row r="135" spans="1:8">
      <c r="A135" s="799">
        <v>40537</v>
      </c>
      <c r="B135">
        <v>0.24990000000000001</v>
      </c>
      <c r="C135">
        <v>0.66450799999999999</v>
      </c>
      <c r="D135">
        <v>3.0679050000000001</v>
      </c>
      <c r="E135">
        <f>LN(D135/参数实验室!$E$53)/参数实验室!$E$55</f>
        <v>0.62952909733071982</v>
      </c>
      <c r="F135">
        <f t="shared" si="13"/>
        <v>2.6590956382553022</v>
      </c>
      <c r="G135">
        <f>LN(F135/参数实验室!$E$58)/参数实验室!$E$59</f>
        <v>0.32276992317994807</v>
      </c>
      <c r="H135">
        <f>INDEX(神经网络!$G$10:$BO$70,MATCH(ROUND(G135*2,1)/2,神经网络!$E$10:$E$70,0),MATCH(ROUND(E135*2,1)/2,神经网络!$G$8:$BO$8,0))</f>
        <v>2.1429777252186515</v>
      </c>
    </row>
    <row r="136" spans="1:8">
      <c r="A136" s="799">
        <v>40538</v>
      </c>
      <c r="B136">
        <v>0.26500000000000001</v>
      </c>
      <c r="C136">
        <v>0.68603999999999998</v>
      </c>
      <c r="D136">
        <v>3.2367720000000002</v>
      </c>
      <c r="E136">
        <f>LN(D136/参数实验室!$E$53)/参数实验室!$E$55</f>
        <v>0.69274218574706059</v>
      </c>
      <c r="F136">
        <f t="shared" si="13"/>
        <v>2.5888301886792453</v>
      </c>
      <c r="G136">
        <f>LN(F136/参数实验室!$E$58)/参数实验室!$E$59</f>
        <v>0.30871434749993593</v>
      </c>
      <c r="H136">
        <f>INDEX(神经网络!$G$10:$BO$70,MATCH(ROUND(G136*2,1)/2,神经网络!$E$10:$E$70,0),MATCH(ROUND(E136*2,1)/2,神经网络!$G$8:$BO$8,0))</f>
        <v>2.1826487842664806</v>
      </c>
    </row>
    <row r="137" spans="1:8">
      <c r="A137" s="799">
        <v>40539</v>
      </c>
      <c r="B137">
        <v>0.26500000000000001</v>
      </c>
      <c r="C137">
        <v>0.69560299999999997</v>
      </c>
      <c r="D137">
        <v>3.2187239999999999</v>
      </c>
      <c r="E137">
        <f>LN(D137/参数实验室!$E$53)/参数实验室!$E$55</f>
        <v>0.68614556109651437</v>
      </c>
      <c r="F137">
        <f t="shared" si="13"/>
        <v>2.6249169811320754</v>
      </c>
      <c r="G137">
        <f>LN(F137/参数实验室!$E$58)/参数实验室!$E$59</f>
        <v>0.31597998611589273</v>
      </c>
      <c r="H137">
        <f>INDEX(神经网络!$G$10:$BO$70,MATCH(ROUND(G137*2,1)/2,神经网络!$E$10:$E$70,0),MATCH(ROUND(E137*2,1)/2,神经网络!$G$8:$BO$8,0))</f>
        <v>2.1826487842664806</v>
      </c>
    </row>
    <row r="138" spans="1:8">
      <c r="A138" s="799">
        <v>40540</v>
      </c>
      <c r="B138">
        <v>0.28100000000000003</v>
      </c>
      <c r="C138">
        <v>0.70117600000000002</v>
      </c>
      <c r="D138">
        <v>3.3936099999999998</v>
      </c>
      <c r="E138">
        <f>LN(D138/参数实验室!$E$53)/参数实验室!$E$55</f>
        <v>0.74856541312904212</v>
      </c>
      <c r="F138">
        <f t="shared" si="13"/>
        <v>2.4952882562277576</v>
      </c>
      <c r="G138">
        <f>LN(F138/参数实验室!$E$58)/参数实验室!$E$59</f>
        <v>0.28939874616553118</v>
      </c>
      <c r="H138">
        <f>INDEX(神经网络!$G$10:$BO$70,MATCH(ROUND(G138*2,1)/2,神经网络!$E$10:$E$70,0),MATCH(ROUND(E138*2,1)/2,神经网络!$G$8:$BO$8,0))</f>
        <v>2.2177717992106114</v>
      </c>
    </row>
    <row r="139" spans="1:8">
      <c r="A139" s="799">
        <v>40541</v>
      </c>
      <c r="B139">
        <v>0.3</v>
      </c>
      <c r="C139">
        <v>0.72266300000000006</v>
      </c>
      <c r="D139">
        <v>3.5551490000000001</v>
      </c>
      <c r="E139">
        <f>LN(D139/参数实验室!$E$53)/参数实验室!$E$55</f>
        <v>0.80342715218340233</v>
      </c>
      <c r="F139">
        <f t="shared" si="13"/>
        <v>2.408876666666667</v>
      </c>
      <c r="G139">
        <f>LN(F139/参数实验室!$E$58)/参数实验室!$E$59</f>
        <v>0.27090093163188811</v>
      </c>
      <c r="H139">
        <f>INDEX(神经网络!$G$10:$BO$70,MATCH(ROUND(G139*2,1)/2,神经网络!$E$10:$E$70,0),MATCH(ROUND(E139*2,1)/2,神经网络!$G$8:$BO$8,0))</f>
        <v>2.2356939845673072</v>
      </c>
    </row>
    <row r="140" spans="1:8">
      <c r="A140" s="799">
        <v>40542</v>
      </c>
      <c r="B140">
        <v>0.3</v>
      </c>
      <c r="C140">
        <v>0.74054900000000001</v>
      </c>
      <c r="D140">
        <v>3.5300009999999999</v>
      </c>
      <c r="E140">
        <f>LN(D140/参数实验室!$E$53)/参数实验室!$E$55</f>
        <v>0.79505229514577636</v>
      </c>
      <c r="F140">
        <f t="shared" si="13"/>
        <v>2.4684966666666668</v>
      </c>
      <c r="G140">
        <f>LN(F140/参数实验室!$E$58)/参数实验室!$E$59</f>
        <v>0.28373298470688413</v>
      </c>
      <c r="H140">
        <f>INDEX(神经网络!$G$10:$BO$70,MATCH(ROUND(G140*2,1)/2,神经网络!$E$10:$E$70,0),MATCH(ROUND(E140*2,1)/2,神经网络!$G$8:$BO$8,0))</f>
        <v>2.2517187853524634</v>
      </c>
    </row>
    <row r="141" spans="1:8">
      <c r="A141" s="799">
        <v>40543</v>
      </c>
      <c r="B141">
        <v>0.3</v>
      </c>
      <c r="C141">
        <v>0.75581600000000004</v>
      </c>
      <c r="D141">
        <v>3.512553</v>
      </c>
      <c r="E141">
        <f>LN(D141/参数实验室!$E$53)/参数实验室!$E$55</f>
        <v>0.78920658158307633</v>
      </c>
      <c r="F141">
        <f t="shared" si="13"/>
        <v>2.5193866666666671</v>
      </c>
      <c r="G141">
        <f>LN(F141/参数实验室!$E$58)/参数实验室!$E$59</f>
        <v>0.29444323886354051</v>
      </c>
      <c r="H141">
        <f>INDEX(神经网络!$G$10:$BO$70,MATCH(ROUND(G141*2,1)/2,神经网络!$E$10:$E$70,0),MATCH(ROUND(E141*2,1)/2,神经网络!$G$8:$BO$8,0))</f>
        <v>2.2517187853524634</v>
      </c>
    </row>
    <row r="142" spans="1:8">
      <c r="A142" s="799">
        <v>40544</v>
      </c>
      <c r="B142">
        <v>0.3</v>
      </c>
      <c r="C142">
        <v>0.76388800000000001</v>
      </c>
      <c r="D142">
        <v>3.494319</v>
      </c>
      <c r="E142">
        <f>LN(D142/参数实验室!$E$53)/参数实验室!$E$55</f>
        <v>0.783066418266399</v>
      </c>
      <c r="F142">
        <f t="shared" si="13"/>
        <v>2.5462933333333333</v>
      </c>
      <c r="G142">
        <f>LN(F142/参数实验室!$E$58)/参数实验室!$E$59</f>
        <v>0.30001887948642053</v>
      </c>
      <c r="H142">
        <f>INDEX(神经网络!$G$10:$BO$70,MATCH(ROUND(G142*2,1)/2,神经网络!$E$10:$E$70,0),MATCH(ROUND(E142*2,1)/2,神经网络!$G$8:$BO$8,0))</f>
        <v>2.2517187853524634</v>
      </c>
    </row>
    <row r="143" spans="1:8">
      <c r="A143" s="799">
        <v>40545</v>
      </c>
      <c r="B143">
        <v>0.3</v>
      </c>
      <c r="C143">
        <v>0.77487200000000001</v>
      </c>
      <c r="D143">
        <v>3.463746</v>
      </c>
      <c r="E143">
        <f>LN(D143/参数实验室!$E$53)/参数实验室!$E$55</f>
        <v>0.7726989301651096</v>
      </c>
      <c r="F143">
        <f t="shared" si="13"/>
        <v>2.5829066666666667</v>
      </c>
      <c r="G143">
        <f>LN(F143/参数实验室!$E$58)/参数实验室!$E$59</f>
        <v>0.30751204895920925</v>
      </c>
      <c r="H143">
        <f>INDEX(神经网络!$G$10:$BO$70,MATCH(ROUND(G143*2,1)/2,神经网络!$E$10:$E$70,0),MATCH(ROUND(E143*2,1)/2,神经网络!$G$8:$BO$8,0))</f>
        <v>2.2177717992106114</v>
      </c>
    </row>
    <row r="144" spans="1:8">
      <c r="A144" s="799">
        <v>40546</v>
      </c>
      <c r="B144">
        <v>0.29499999999999998</v>
      </c>
      <c r="C144">
        <v>0.811859</v>
      </c>
      <c r="D144">
        <v>3.3861919999999999</v>
      </c>
      <c r="E144">
        <f>LN(D144/参数实验室!$E$53)/参数实验室!$E$55</f>
        <v>0.7459837999621779</v>
      </c>
      <c r="F144">
        <f t="shared" si="13"/>
        <v>2.7520644067796614</v>
      </c>
      <c r="G144">
        <f>LN(F144/参数实验室!$E$58)/参数实验室!$E$59</f>
        <v>0.34080666046447794</v>
      </c>
      <c r="H144">
        <f>INDEX(神经网络!$G$10:$BO$70,MATCH(ROUND(G144*2,1)/2,神经网络!$E$10:$E$70,0),MATCH(ROUND(E144*2,1)/2,神经网络!$G$8:$BO$8,0))</f>
        <v>2.2357639446826321</v>
      </c>
    </row>
    <row r="145" spans="1:8">
      <c r="A145" s="799">
        <v>40547</v>
      </c>
      <c r="B145">
        <v>0.29899999999999999</v>
      </c>
      <c r="C145">
        <v>0.86287000000000003</v>
      </c>
      <c r="D145">
        <v>3.4174479999999998</v>
      </c>
      <c r="E145">
        <f>LN(D145/参数实验室!$E$53)/参数实验室!$E$55</f>
        <v>0.75682347602009137</v>
      </c>
      <c r="F145">
        <f t="shared" si="13"/>
        <v>2.8858528428093648</v>
      </c>
      <c r="G145">
        <f>LN(F145/参数实验室!$E$58)/参数实验室!$E$59</f>
        <v>0.36572103345979518</v>
      </c>
      <c r="H145">
        <f>INDEX(神经网络!$G$10:$BO$70,MATCH(ROUND(G145*2,1)/2,神经网络!$E$10:$E$70,0),MATCH(ROUND(E145*2,1)/2,神经网络!$G$8:$BO$8,0))</f>
        <v>2.2357639446826321</v>
      </c>
    </row>
    <row r="146" spans="1:8">
      <c r="A146" s="799">
        <v>40548</v>
      </c>
      <c r="B146">
        <v>0.29899999999999999</v>
      </c>
      <c r="C146">
        <v>0.91260399999999997</v>
      </c>
      <c r="D146">
        <v>3.3999440000000001</v>
      </c>
      <c r="E146">
        <f>LN(D146/参数实验室!$E$53)/参数实验室!$E$55</f>
        <v>0.75076531003501557</v>
      </c>
      <c r="F146">
        <f t="shared" si="13"/>
        <v>3.0521872909698997</v>
      </c>
      <c r="G146">
        <f>LN(F146/参数实验室!$E$58)/参数实验室!$E$59</f>
        <v>0.39513280912328247</v>
      </c>
      <c r="H146">
        <f>INDEX(神经网络!$G$10:$BO$70,MATCH(ROUND(G146*2,1)/2,神经网络!$E$10:$E$70,0),MATCH(ROUND(E146*2,1)/2,神经网络!$G$8:$BO$8,0))</f>
        <v>2.2517655738067015</v>
      </c>
    </row>
    <row r="147" spans="1:8">
      <c r="A147" s="799">
        <v>40549</v>
      </c>
      <c r="B147">
        <v>0.29799999999999999</v>
      </c>
      <c r="C147">
        <v>0.97189199999999998</v>
      </c>
      <c r="D147">
        <v>3.3740899999999998</v>
      </c>
      <c r="E147">
        <f>LN(D147/参数实验室!$E$53)/参数实验室!$E$55</f>
        <v>0.74175989657765851</v>
      </c>
      <c r="F147">
        <f t="shared" si="13"/>
        <v>3.2613825503355707</v>
      </c>
      <c r="G147">
        <f>LN(F147/参数实验室!$E$58)/参数实验室!$E$59</f>
        <v>0.42992681255235826</v>
      </c>
      <c r="H147">
        <f>INDEX(神经网络!$G$10:$BO$70,MATCH(ROUND(G147*2,1)/2,神经网络!$E$10:$E$70,0),MATCH(ROUND(E147*2,1)/2,神经网络!$G$8:$BO$8,0))</f>
        <v>2.265078941603377</v>
      </c>
    </row>
    <row r="148" spans="1:8">
      <c r="A148" s="799">
        <v>40550</v>
      </c>
      <c r="B148">
        <v>0.32</v>
      </c>
      <c r="C148">
        <v>1.0221199999999999</v>
      </c>
      <c r="D148">
        <v>3.596625</v>
      </c>
      <c r="E148">
        <f>LN(D148/参数实验室!$E$53)/参数实验室!$E$55</f>
        <v>0.81711102813619552</v>
      </c>
      <c r="F148">
        <f t="shared" si="13"/>
        <v>3.1941249999999997</v>
      </c>
      <c r="G148">
        <f>LN(F148/参数实验室!$E$58)/参数实验室!$E$59</f>
        <v>0.41898989572891887</v>
      </c>
      <c r="H148">
        <f>INDEX(神经网络!$G$10:$BO$70,MATCH(ROUND(G148*2,1)/2,神经网络!$E$10:$E$70,0),MATCH(ROUND(E148*2,1)/2,神经网络!$G$8:$BO$8,0))</f>
        <v>2.2806061762755103</v>
      </c>
    </row>
    <row r="149" spans="1:8">
      <c r="A149" s="799">
        <v>40551</v>
      </c>
      <c r="B149">
        <v>0.32290000000000002</v>
      </c>
      <c r="C149">
        <v>1.062154</v>
      </c>
      <c r="D149">
        <v>3.6031140000000001</v>
      </c>
      <c r="E149">
        <f>LN(D149/参数实验室!$E$53)/参数实验室!$E$55</f>
        <v>0.81923761102287951</v>
      </c>
      <c r="F149">
        <f t="shared" si="13"/>
        <v>3.289420873335398</v>
      </c>
      <c r="G149">
        <f>LN(F149/参数实验室!$E$58)/参数实验室!$E$59</f>
        <v>0.43441973230604591</v>
      </c>
      <c r="H149">
        <f>INDEX(神经网络!$G$10:$BO$70,MATCH(ROUND(G149*2,1)/2,神经网络!$E$10:$E$70,0),MATCH(ROUND(E149*2,1)/2,神经网络!$G$8:$BO$8,0))</f>
        <v>2.2939198804152992</v>
      </c>
    </row>
    <row r="150" spans="1:8">
      <c r="A150" s="799">
        <v>40552</v>
      </c>
      <c r="B150">
        <v>0.32300000000000001</v>
      </c>
      <c r="C150">
        <v>1.0581590000000001</v>
      </c>
      <c r="D150">
        <v>3.5830299999999999</v>
      </c>
      <c r="E150">
        <f>LN(D150/参数实验室!$E$53)/参数实验室!$E$55</f>
        <v>0.81264319102678395</v>
      </c>
      <c r="F150">
        <f t="shared" si="13"/>
        <v>3.2760340557275542</v>
      </c>
      <c r="G150">
        <f>LN(F150/参数实验室!$E$58)/参数实验室!$E$59</f>
        <v>0.43227939773417273</v>
      </c>
      <c r="H150">
        <f>INDEX(神经网络!$G$10:$BO$70,MATCH(ROUND(G150*2,1)/2,神经网络!$E$10:$E$70,0),MATCH(ROUND(E150*2,1)/2,神经网络!$G$8:$BO$8,0))</f>
        <v>2.2939198804152992</v>
      </c>
    </row>
    <row r="151" spans="1:8">
      <c r="A151" s="799">
        <v>40553</v>
      </c>
      <c r="B151">
        <v>0.3266</v>
      </c>
      <c r="C151">
        <v>1.072916</v>
      </c>
      <c r="D151">
        <v>3.5679059999999998</v>
      </c>
      <c r="E151">
        <f>LN(D151/参数实验室!$E$53)/参数实验室!$E$55</f>
        <v>0.80765290313559424</v>
      </c>
      <c r="F151">
        <f t="shared" si="13"/>
        <v>3.2851071647274952</v>
      </c>
      <c r="G151">
        <f>LN(F151/参数实验室!$E$58)/参数实验室!$E$59</f>
        <v>0.43373099306413548</v>
      </c>
      <c r="H151">
        <f>INDEX(神经网络!$G$10:$BO$70,MATCH(ROUND(G151*2,1)/2,神经网络!$E$10:$E$70,0),MATCH(ROUND(E151*2,1)/2,神经网络!$G$8:$BO$8,0))</f>
        <v>2.2939198804152992</v>
      </c>
    </row>
    <row r="152" spans="1:8">
      <c r="A152" s="799">
        <v>40554</v>
      </c>
      <c r="B152">
        <v>0.3266</v>
      </c>
      <c r="C152">
        <v>1.0790219999999999</v>
      </c>
      <c r="D152">
        <v>3.474345</v>
      </c>
      <c r="E152">
        <f>LN(D152/参数实验室!$E$53)/参数实验室!$E$55</f>
        <v>0.7763034416539335</v>
      </c>
      <c r="F152">
        <f t="shared" si="13"/>
        <v>3.3038028169014084</v>
      </c>
      <c r="G152">
        <f>LN(F152/参数实验室!$E$58)/参数实验室!$E$59</f>
        <v>0.43670948722863906</v>
      </c>
      <c r="H152">
        <f>INDEX(神经网络!$G$10:$BO$70,MATCH(ROUND(G152*2,1)/2,神经网络!$E$10:$E$70,0),MATCH(ROUND(E152*2,1)/2,神经网络!$G$8:$BO$8,0))</f>
        <v>2.2939198804152992</v>
      </c>
    </row>
    <row r="153" spans="1:8">
      <c r="A153" s="799">
        <v>40555</v>
      </c>
      <c r="B153">
        <v>0.31879999999999997</v>
      </c>
      <c r="C153">
        <v>1.0685819999999999</v>
      </c>
      <c r="D153">
        <v>3.376134</v>
      </c>
      <c r="E153">
        <f>LN(D153/参数实验室!$E$53)/参数实验室!$E$55</f>
        <v>0.74247436640988351</v>
      </c>
      <c r="F153">
        <f t="shared" si="13"/>
        <v>3.3518883312421583</v>
      </c>
      <c r="G153">
        <f>LN(F153/参数实验室!$E$58)/参数实验室!$E$59</f>
        <v>0.44429346766818778</v>
      </c>
      <c r="H153">
        <f>INDEX(神经网络!$G$10:$BO$70,MATCH(ROUND(G153*2,1)/2,神经网络!$E$10:$E$70,0),MATCH(ROUND(E153*2,1)/2,神经网络!$G$8:$BO$8,0))</f>
        <v>2.265078941603377</v>
      </c>
    </row>
    <row r="154" spans="1:8">
      <c r="A154" s="799">
        <v>40556</v>
      </c>
      <c r="B154">
        <v>0.31759999999999999</v>
      </c>
      <c r="C154">
        <v>1.064899</v>
      </c>
      <c r="D154">
        <v>3.3152010000000001</v>
      </c>
      <c r="E154">
        <f>LN(D154/参数实验室!$E$53)/参数实验室!$E$55</f>
        <v>0.72098750570629644</v>
      </c>
      <c r="F154">
        <f t="shared" si="13"/>
        <v>3.3529565491183879</v>
      </c>
      <c r="G154">
        <f>LN(F154/参数实验室!$E$58)/参数实验室!$E$59</f>
        <v>0.44446070747342692</v>
      </c>
      <c r="H154">
        <f>INDEX(神经网络!$G$10:$BO$70,MATCH(ROUND(G154*2,1)/2,神经网络!$E$10:$E$70,0),MATCH(ROUND(E154*2,1)/2,神经网络!$G$8:$BO$8,0))</f>
        <v>2.2357935607958672</v>
      </c>
    </row>
    <row r="155" spans="1:8">
      <c r="A155" s="799">
        <v>40557</v>
      </c>
      <c r="B155">
        <v>0.4</v>
      </c>
      <c r="C155">
        <v>1.081698</v>
      </c>
      <c r="D155">
        <v>4.1074149999999996</v>
      </c>
      <c r="E155">
        <f>LN(D155/参数实验室!$E$53)/参数实验室!$E$55</f>
        <v>0.97377986536781835</v>
      </c>
      <c r="F155">
        <f t="shared" si="13"/>
        <v>2.7042449999999998</v>
      </c>
      <c r="G155">
        <f>LN(F155/参数实验室!$E$58)/参数实验室!$E$59</f>
        <v>0.33160672338928349</v>
      </c>
      <c r="H155">
        <f>INDEX(神经网络!$G$10:$BO$70,MATCH(ROUND(G155*2,1)/2,神经网络!$E$10:$E$70,0),MATCH(ROUND(E155*2,1)/2,神经网络!$G$8:$BO$8,0))</f>
        <v>2.3386888218220898</v>
      </c>
    </row>
    <row r="156" spans="1:8">
      <c r="A156" s="799">
        <v>40558</v>
      </c>
      <c r="B156">
        <v>0.38600000000000001</v>
      </c>
      <c r="C156">
        <v>1.09849</v>
      </c>
      <c r="D156">
        <v>3.934796</v>
      </c>
      <c r="E156">
        <f>LN(D156/参数实验室!$E$53)/参数实验室!$E$55</f>
        <v>0.92312735004169988</v>
      </c>
      <c r="F156">
        <f t="shared" si="13"/>
        <v>2.8458290155440413</v>
      </c>
      <c r="G156">
        <f>LN(F156/参数实验室!$E$58)/参数实验室!$E$59</f>
        <v>0.35839089563125393</v>
      </c>
      <c r="H156">
        <f>INDEX(神经网络!$G$10:$BO$70,MATCH(ROUND(G156*2,1)/2,神经网络!$E$10:$E$70,0),MATCH(ROUND(E156*2,1)/2,神经网络!$G$8:$BO$8,0))</f>
        <v>2.3182372523776116</v>
      </c>
    </row>
    <row r="157" spans="1:8">
      <c r="A157" s="799">
        <v>40559</v>
      </c>
      <c r="B157">
        <v>0.38679999999999998</v>
      </c>
      <c r="C157">
        <v>1.1000620000000001</v>
      </c>
      <c r="D157">
        <v>3.890727</v>
      </c>
      <c r="E157">
        <f>LN(D157/参数实验室!$E$53)/参数实验室!$E$55</f>
        <v>0.90983977927765924</v>
      </c>
      <c r="F157">
        <f t="shared" si="13"/>
        <v>2.8440072388831443</v>
      </c>
      <c r="G157">
        <f>LN(F157/参数实验室!$E$58)/参数实验室!$E$59</f>
        <v>0.35805479918278638</v>
      </c>
      <c r="H157">
        <f>INDEX(神经网络!$G$10:$BO$70,MATCH(ROUND(G157*2,1)/2,神经网络!$E$10:$E$70,0),MATCH(ROUND(E157*2,1)/2,神经网络!$G$8:$BO$8,0))</f>
        <v>2.3182372523776116</v>
      </c>
    </row>
    <row r="158" spans="1:8">
      <c r="A158" s="799">
        <v>40560</v>
      </c>
      <c r="B158">
        <v>0.34949999999999998</v>
      </c>
      <c r="C158">
        <v>1.0939289999999999</v>
      </c>
      <c r="D158">
        <v>3.4844390000000001</v>
      </c>
      <c r="E158">
        <f>LN(D158/参数实验室!$E$53)/参数实验室!$E$55</f>
        <v>0.77972600444556983</v>
      </c>
      <c r="F158">
        <f t="shared" si="13"/>
        <v>3.1299828326180257</v>
      </c>
      <c r="G158">
        <f>LN(F158/参数实验室!$E$58)/参数实验室!$E$59</f>
        <v>0.40834288235500382</v>
      </c>
      <c r="H158">
        <f>INDEX(神经网络!$G$10:$BO$70,MATCH(ROUND(G158*2,1)/2,神经网络!$E$10:$E$70,0),MATCH(ROUND(E158*2,1)/2,神经网络!$G$8:$BO$8,0))</f>
        <v>2.2806061762755103</v>
      </c>
    </row>
    <row r="159" spans="1:8">
      <c r="A159" s="799">
        <v>40561</v>
      </c>
      <c r="B159">
        <v>0.313</v>
      </c>
      <c r="C159">
        <v>1.1285970000000001</v>
      </c>
      <c r="D159">
        <v>3.1100829999999999</v>
      </c>
      <c r="E159">
        <f>LN(D159/参数实验室!$E$53)/参数实验室!$E$55</f>
        <v>0.64563803293967903</v>
      </c>
      <c r="F159">
        <f t="shared" si="13"/>
        <v>3.6057412140575082</v>
      </c>
      <c r="G159">
        <f>LN(F159/参数实验室!$E$58)/参数实验室!$E$59</f>
        <v>0.4826096439420165</v>
      </c>
      <c r="H159">
        <f>INDEX(神经网络!$G$10:$BO$70,MATCH(ROUND(G159*2,1)/2,神经网络!$E$10:$E$70,0),MATCH(ROUND(E159*2,1)/2,神经网络!$G$8:$BO$8,0))</f>
        <v>2.2178342962670743</v>
      </c>
    </row>
    <row r="160" spans="1:8">
      <c r="A160" s="799">
        <v>40562</v>
      </c>
      <c r="B160">
        <v>0.313</v>
      </c>
      <c r="C160">
        <v>1.128574</v>
      </c>
      <c r="D160">
        <v>3.0726070000000001</v>
      </c>
      <c r="E160">
        <f>LN(D160/参数实验室!$E$53)/参数实验室!$E$55</f>
        <v>0.63133585247991764</v>
      </c>
      <c r="F160">
        <f t="shared" si="13"/>
        <v>3.605667731629393</v>
      </c>
      <c r="G160">
        <f>LN(F160/参数实验室!$E$58)/参数实验室!$E$59</f>
        <v>0.48259894768285738</v>
      </c>
      <c r="H160">
        <f>INDEX(神经网络!$G$10:$BO$70,MATCH(ROUND(G160*2,1)/2,神经网络!$E$10:$E$70,0),MATCH(ROUND(E160*2,1)/2,神经网络!$G$8:$BO$8,0))</f>
        <v>2.2178342962670743</v>
      </c>
    </row>
    <row r="161" spans="1:8">
      <c r="A161" s="799">
        <v>40563</v>
      </c>
      <c r="B161">
        <v>0.39</v>
      </c>
      <c r="C161">
        <v>1.142377</v>
      </c>
      <c r="D161">
        <v>3.787515</v>
      </c>
      <c r="E161">
        <f>LN(D161/参数实验室!$E$53)/参数实验室!$E$55</f>
        <v>0.87812105341705848</v>
      </c>
      <c r="F161">
        <f t="shared" si="13"/>
        <v>2.9291717948717948</v>
      </c>
      <c r="G161">
        <f>LN(F161/参数实验室!$E$58)/参数实验室!$E$59</f>
        <v>0.37354096515126223</v>
      </c>
      <c r="H161">
        <f>INDEX(神经网络!$G$10:$BO$70,MATCH(ROUND(G161*2,1)/2,神经网络!$E$10:$E$70,0),MATCH(ROUND(E161*2,1)/2,神经网络!$G$8:$BO$8,0))</f>
        <v>2.3182372523776116</v>
      </c>
    </row>
    <row r="162" spans="1:8">
      <c r="A162" s="799">
        <v>40564</v>
      </c>
      <c r="B162">
        <v>0.4199</v>
      </c>
      <c r="C162">
        <v>1.1383669999999999</v>
      </c>
      <c r="D162">
        <v>4.0332420000000004</v>
      </c>
      <c r="E162">
        <f>LN(D162/参数实验室!$E$53)/参数实验室!$E$55</f>
        <v>0.95228079987261582</v>
      </c>
      <c r="F162">
        <f t="shared" si="13"/>
        <v>2.7110431055013096</v>
      </c>
      <c r="G162">
        <f>LN(F162/参数实验室!$E$58)/参数实验室!$E$59</f>
        <v>0.33292447969788302</v>
      </c>
      <c r="H162">
        <f>INDEX(神经网络!$G$10:$BO$70,MATCH(ROUND(G162*2,1)/2,神经网络!$E$10:$E$70,0),MATCH(ROUND(E162*2,1)/2,神经网络!$G$8:$BO$8,0))</f>
        <v>2.3386888218220898</v>
      </c>
    </row>
    <row r="163" spans="1:8">
      <c r="A163" s="799">
        <v>40565</v>
      </c>
      <c r="B163">
        <v>0.44429999999999997</v>
      </c>
      <c r="C163">
        <v>1.131283</v>
      </c>
      <c r="D163">
        <v>4.1752729999999998</v>
      </c>
      <c r="E163">
        <f>LN(D163/参数实验室!$E$53)/参数实验室!$E$55</f>
        <v>0.99311114691447122</v>
      </c>
      <c r="F163">
        <f t="shared" si="13"/>
        <v>2.5462142696376326</v>
      </c>
      <c r="G163">
        <f>LN(F163/参数实验室!$E$58)/参数实验室!$E$59</f>
        <v>0.30000258224993581</v>
      </c>
      <c r="H163">
        <f>INDEX(神经网络!$G$10:$BO$70,MATCH(ROUND(G163*2,1)/2,神经网络!$E$10:$E$70,0),MATCH(ROUND(E163*2,1)/2,神经网络!$G$8:$BO$8,0))</f>
        <v>2.3496953494924289</v>
      </c>
    </row>
    <row r="164" spans="1:8">
      <c r="A164" s="799">
        <v>40566</v>
      </c>
      <c r="B164">
        <v>0.44240000000000002</v>
      </c>
      <c r="C164">
        <v>1.12313</v>
      </c>
      <c r="D164">
        <v>4.1146739999999999</v>
      </c>
      <c r="E164">
        <f>LN(D164/参数实验室!$E$53)/参数实验室!$E$55</f>
        <v>0.97586299315274661</v>
      </c>
      <c r="F164">
        <f t="shared" si="13"/>
        <v>2.5387206148282098</v>
      </c>
      <c r="G164">
        <f>LN(F164/参数实验室!$E$58)/参数实验室!$E$59</f>
        <v>0.29845562915778689</v>
      </c>
      <c r="H164">
        <f>INDEX(神经网络!$G$10:$BO$70,MATCH(ROUND(G164*2,1)/2,神经网络!$E$10:$E$70,0),MATCH(ROUND(E164*2,1)/2,神经网络!$G$8:$BO$8,0))</f>
        <v>2.3496953494924289</v>
      </c>
    </row>
    <row r="165" spans="1:8">
      <c r="A165" s="799">
        <v>40567</v>
      </c>
      <c r="B165">
        <v>0.4199</v>
      </c>
      <c r="C165">
        <v>1.1171420000000001</v>
      </c>
      <c r="D165">
        <v>3.8538570000000001</v>
      </c>
      <c r="E165">
        <f>LN(D165/参数实验室!$E$53)/参数实验室!$E$55</f>
        <v>0.89860668251504761</v>
      </c>
      <c r="F165">
        <f t="shared" si="13"/>
        <v>2.6604953560371518</v>
      </c>
      <c r="G165">
        <f>LN(F165/参数实验室!$E$58)/参数实验室!$E$59</f>
        <v>0.32304612770571689</v>
      </c>
      <c r="H165">
        <f>INDEX(神经网络!$G$10:$BO$70,MATCH(ROUND(G165*2,1)/2,神经网络!$E$10:$E$70,0),MATCH(ROUND(E165*2,1)/2,神经网络!$G$8:$BO$8,0))</f>
        <v>2.3049070093011812</v>
      </c>
    </row>
    <row r="166" spans="1:8">
      <c r="A166" s="799">
        <v>40568</v>
      </c>
      <c r="B166">
        <v>0.41</v>
      </c>
      <c r="C166">
        <v>1.1159589999999999</v>
      </c>
      <c r="D166">
        <v>3.7395890000000001</v>
      </c>
      <c r="E166">
        <f>LN(D166/参数实验室!$E$53)/参数实验室!$E$55</f>
        <v>0.86309758142849224</v>
      </c>
      <c r="F166">
        <f t="shared" si="13"/>
        <v>2.7218512195121951</v>
      </c>
      <c r="G166">
        <f>LN(F166/参数实验室!$E$58)/参数实验室!$E$59</f>
        <v>0.33501275511089679</v>
      </c>
      <c r="H166">
        <f>INDEX(神经网络!$G$10:$BO$70,MATCH(ROUND(G166*2,1)/2,神经网络!$E$10:$E$70,0),MATCH(ROUND(E166*2,1)/2,神经网络!$G$8:$BO$8,0))</f>
        <v>2.2938876534479071</v>
      </c>
    </row>
    <row r="167" spans="1:8">
      <c r="A167" s="799">
        <v>40569</v>
      </c>
      <c r="B167">
        <v>0.41699999999999998</v>
      </c>
      <c r="C167">
        <v>1.1137300000000001</v>
      </c>
      <c r="D167">
        <v>3.2826759999999999</v>
      </c>
      <c r="E167">
        <f>LN(D167/参数实验室!$E$53)/参数实验室!$E$55</f>
        <v>0.7093559505597189</v>
      </c>
      <c r="F167">
        <f t="shared" si="13"/>
        <v>2.6708153477218231</v>
      </c>
      <c r="G167">
        <f>LN(F167/参数实验室!$E$58)/参数实验室!$E$59</f>
        <v>0.32507808435824098</v>
      </c>
      <c r="H167">
        <f>INDEX(神经网络!$G$10:$BO$70,MATCH(ROUND(G167*2,1)/2,神经网络!$E$10:$E$70,0),MATCH(ROUND(E167*2,1)/2,神经网络!$G$8:$BO$8,0))</f>
        <v>2.2018156073943875</v>
      </c>
    </row>
    <row r="168" spans="1:8">
      <c r="A168" s="799">
        <v>40570</v>
      </c>
      <c r="B168">
        <v>0.42120000000000002</v>
      </c>
      <c r="C168">
        <v>1.126093</v>
      </c>
      <c r="D168">
        <v>3.2985220000000002</v>
      </c>
      <c r="E168">
        <f>LN(D168/参数实验室!$E$53)/参数实验室!$E$55</f>
        <v>0.71503710649212948</v>
      </c>
      <c r="F168">
        <f t="shared" si="13"/>
        <v>2.6735351377018044</v>
      </c>
      <c r="G168">
        <f>LN(F168/参数实验室!$E$58)/参数实验室!$E$59</f>
        <v>0.32561229067365927</v>
      </c>
      <c r="H168">
        <f>INDEX(神经网络!$G$10:$BO$70,MATCH(ROUND(G168*2,1)/2,神经网络!$E$10:$E$70,0),MATCH(ROUND(E168*2,1)/2,神经网络!$G$8:$BO$8,0))</f>
        <v>2.2018156073943875</v>
      </c>
    </row>
    <row r="169" spans="1:8">
      <c r="A169" s="799">
        <v>40571</v>
      </c>
      <c r="B169">
        <v>0.44600000000000001</v>
      </c>
      <c r="C169">
        <v>1.137148</v>
      </c>
      <c r="D169">
        <v>3.4496419999999999</v>
      </c>
      <c r="E169">
        <f>LN(D169/参数实验室!$E$53)/参数实验室!$E$55</f>
        <v>0.7678852952766152</v>
      </c>
      <c r="F169">
        <f t="shared" si="13"/>
        <v>2.549659192825112</v>
      </c>
      <c r="G169">
        <f>LN(F169/参数实验室!$E$58)/参数实验室!$E$59</f>
        <v>0.3007122082450896</v>
      </c>
      <c r="H169">
        <f>INDEX(神经网络!$G$10:$BO$70,MATCH(ROUND(G169*2,1)/2,神经网络!$E$10:$E$70,0),MATCH(ROUND(E169*2,1)/2,神经网络!$G$8:$BO$8,0))</f>
        <v>2.2177717992106114</v>
      </c>
    </row>
    <row r="170" spans="1:8">
      <c r="A170" s="799">
        <v>40572</v>
      </c>
      <c r="B170">
        <v>0.439</v>
      </c>
      <c r="C170">
        <v>1.1491169999999999</v>
      </c>
      <c r="D170">
        <v>3.3597070000000002</v>
      </c>
      <c r="E170">
        <f>LN(D170/参数实验室!$E$53)/参数实验室!$E$55</f>
        <v>0.73672011984759267</v>
      </c>
      <c r="F170">
        <f t="shared" si="13"/>
        <v>2.6175785876993163</v>
      </c>
      <c r="G170">
        <f>LN(F170/参数实验室!$E$58)/参数实验室!$E$59</f>
        <v>0.31451061416203779</v>
      </c>
      <c r="H170">
        <f>INDEX(神经网络!$G$10:$BO$70,MATCH(ROUND(G170*2,1)/2,神经网络!$E$10:$E$70,0),MATCH(ROUND(E170*2,1)/2,神经网络!$G$8:$BO$8,0))</f>
        <v>2.2177717992106114</v>
      </c>
    </row>
    <row r="171" spans="1:8">
      <c r="A171" s="799">
        <v>40573</v>
      </c>
      <c r="B171">
        <v>0.47989999999999999</v>
      </c>
      <c r="C171">
        <v>1.15961</v>
      </c>
      <c r="D171">
        <v>3.6240830000000002</v>
      </c>
      <c r="E171">
        <f>LN(D171/参数实验室!$E$53)/参数实验室!$E$55</f>
        <v>0.82608350582546974</v>
      </c>
      <c r="F171">
        <f t="shared" si="13"/>
        <v>2.4163575744946866</v>
      </c>
      <c r="G171">
        <f>LN(F171/参数实验室!$E$58)/参数实验室!$E$59</f>
        <v>0.27252837091011289</v>
      </c>
      <c r="H171">
        <f>INDEX(神经网络!$G$10:$BO$70,MATCH(ROUND(G171*2,1)/2,神经网络!$E$10:$E$70,0),MATCH(ROUND(E171*2,1)/2,神经网络!$G$8:$BO$8,0))</f>
        <v>2.2649758599462566</v>
      </c>
    </row>
    <row r="172" spans="1:8">
      <c r="A172" s="799">
        <v>40574</v>
      </c>
      <c r="B172">
        <v>0.52</v>
      </c>
      <c r="C172">
        <v>1.174296</v>
      </c>
      <c r="D172">
        <v>3.8896769999999998</v>
      </c>
      <c r="E172">
        <f>LN(D172/参数实验室!$E$53)/参数实验室!$E$55</f>
        <v>0.90952135341861873</v>
      </c>
      <c r="F172">
        <f t="shared" si="13"/>
        <v>2.2582615384615385</v>
      </c>
      <c r="G172">
        <f>LN(F172/参数实验室!$E$58)/参数实验室!$E$59</f>
        <v>0.23701360494405901</v>
      </c>
      <c r="H172">
        <f>INDEX(神经网络!$G$10:$BO$70,MATCH(ROUND(G172*2,1)/2,神经网络!$E$10:$E$70,0),MATCH(ROUND(E172*2,1)/2,神经网络!$G$8:$BO$8,0))</f>
        <v>2.2938141204257607</v>
      </c>
    </row>
    <row r="173" spans="1:8">
      <c r="A173" s="799">
        <v>40575</v>
      </c>
      <c r="B173">
        <v>0.7</v>
      </c>
      <c r="C173">
        <v>1.188922</v>
      </c>
      <c r="D173">
        <v>5.0234459999999999</v>
      </c>
      <c r="E173">
        <f>LN(D173/参数实验室!$E$53)/参数实验室!$E$55</f>
        <v>1.2112904729994083</v>
      </c>
      <c r="F173">
        <f t="shared" si="13"/>
        <v>1.6984600000000001</v>
      </c>
      <c r="G173">
        <f>LN(F173/参数实验室!$E$58)/参数实验室!$E$59</f>
        <v>8.7496686790654477E-2</v>
      </c>
      <c r="H173">
        <f>INDEX(神经网络!$G$10:$BO$70,MATCH(ROUND(G173*2,1)/2,神经网络!$E$10:$E$70,0),MATCH(ROUND(E173*2,1)/2,神经网络!$G$8:$BO$8,0))</f>
        <v>2.3831160491355061</v>
      </c>
    </row>
    <row r="174" spans="1:8">
      <c r="A174" s="799">
        <v>40576</v>
      </c>
      <c r="B174">
        <v>0.71599999999999997</v>
      </c>
      <c r="C174">
        <v>1.1940649999999999</v>
      </c>
      <c r="D174">
        <v>4.9551480000000003</v>
      </c>
      <c r="E174">
        <f>LN(D174/参数实验室!$E$53)/参数实验室!$E$55</f>
        <v>1.1951406937202618</v>
      </c>
      <c r="F174">
        <f t="shared" si="13"/>
        <v>1.6676885474860335</v>
      </c>
      <c r="G174">
        <f>LN(F174/参数实验室!$E$58)/参数实验室!$E$59</f>
        <v>7.790057364464327E-2</v>
      </c>
      <c r="H174">
        <f>INDEX(神经网络!$G$10:$BO$70,MATCH(ROUND(G174*2,1)/2,神经网络!$E$10:$E$70,0),MATCH(ROUND(E174*2,1)/2,神经网络!$G$8:$BO$8,0))</f>
        <v>2.3831160491355061</v>
      </c>
    </row>
    <row r="175" spans="1:8">
      <c r="A175" s="799">
        <v>40577</v>
      </c>
      <c r="B175">
        <v>0.69</v>
      </c>
      <c r="C175">
        <v>1.187087</v>
      </c>
      <c r="D175">
        <v>4.6866339999999997</v>
      </c>
      <c r="E175">
        <f>LN(D175/参数实验室!$E$53)/参数实验室!$E$55</f>
        <v>1.1294137989529676</v>
      </c>
      <c r="F175">
        <f t="shared" si="13"/>
        <v>1.7204159420289857</v>
      </c>
      <c r="G175">
        <f>LN(F175/参数实验室!$E$58)/参数实验室!$E$59</f>
        <v>9.4237980456608167E-2</v>
      </c>
      <c r="H175">
        <f>INDEX(神经网络!$G$10:$BO$70,MATCH(ROUND(G175*2,1)/2,神经网络!$E$10:$E$70,0),MATCH(ROUND(E175*2,1)/2,神经网络!$G$8:$BO$8,0))</f>
        <v>2.3664303903267352</v>
      </c>
    </row>
    <row r="176" spans="1:8">
      <c r="A176" s="799">
        <v>40578</v>
      </c>
      <c r="B176">
        <v>0.81100000000000005</v>
      </c>
      <c r="C176">
        <v>1.166847</v>
      </c>
      <c r="D176">
        <v>5.3602980000000002</v>
      </c>
      <c r="E176">
        <f>LN(D176/参数实验室!$E$53)/参数实验室!$E$55</f>
        <v>1.2878604911270239</v>
      </c>
      <c r="F176">
        <f t="shared" si="13"/>
        <v>1.4387755856966706</v>
      </c>
      <c r="G176">
        <f>LN(F176/参数实验室!$E$58)/参数实验室!$E$59</f>
        <v>4.0792101284668487E-4</v>
      </c>
      <c r="H176">
        <f>INDEX(神经网络!$G$10:$BO$70,MATCH(ROUND(G176*2,1)/2,神经网络!$E$10:$E$70,0),MATCH(ROUND(E176*2,1)/2,神经网络!$G$8:$BO$8,0))</f>
        <v>2.3968299179972612</v>
      </c>
    </row>
    <row r="177" spans="1:8">
      <c r="A177" s="799">
        <v>40579</v>
      </c>
      <c r="B177">
        <v>0.92</v>
      </c>
      <c r="C177">
        <v>1.1479140000000001</v>
      </c>
      <c r="D177">
        <v>5.790686</v>
      </c>
      <c r="E177">
        <f>LN(D177/参数实验室!$E$53)/参数实验室!$E$55</f>
        <v>1.3789742429644929</v>
      </c>
      <c r="F177">
        <f t="shared" si="13"/>
        <v>1.2477326086956522</v>
      </c>
      <c r="G177">
        <f>LN(F177/参数实验室!$E$58)/参数实验室!$E$59</f>
        <v>-7.4365133657316992E-2</v>
      </c>
      <c r="H177">
        <f>INDEX(神经网络!$G$10:$BO$70,MATCH(ROUND(G177*2,1)/2,神经网络!$E$10:$E$70,0),MATCH(ROUND(E177*2,1)/2,神经网络!$G$8:$BO$8,0))</f>
        <v>2.4145091633885425</v>
      </c>
    </row>
    <row r="178" spans="1:8">
      <c r="A178" s="799">
        <v>40580</v>
      </c>
      <c r="B178">
        <v>0.89970000000000006</v>
      </c>
      <c r="C178">
        <v>1.146139</v>
      </c>
      <c r="D178">
        <v>5.591558</v>
      </c>
      <c r="E178">
        <f>LN(D178/参数实验室!$E$53)/参数实验室!$E$55</f>
        <v>1.337691368475451</v>
      </c>
      <c r="F178">
        <f t="shared" si="13"/>
        <v>1.2739124152495276</v>
      </c>
      <c r="G178">
        <f>LN(F178/参数实验室!$E$58)/参数实验室!$E$59</f>
        <v>-6.3466636127385137E-2</v>
      </c>
      <c r="H178">
        <f>INDEX(神经网络!$G$10:$BO$70,MATCH(ROUND(G178*2,1)/2,神经网络!$E$10:$E$70,0),MATCH(ROUND(E178*2,1)/2,神经网络!$G$8:$BO$8,0))</f>
        <v>2.4026172570656548</v>
      </c>
    </row>
    <row r="179" spans="1:8">
      <c r="A179" s="799">
        <v>40581</v>
      </c>
      <c r="B179">
        <v>0.89</v>
      </c>
      <c r="C179">
        <v>1.132018</v>
      </c>
      <c r="D179">
        <v>5.252936</v>
      </c>
      <c r="E179">
        <f>LN(D179/参数实验室!$E$53)/参数实验室!$E$55</f>
        <v>1.2639912372375501</v>
      </c>
      <c r="F179">
        <f t="shared" si="13"/>
        <v>1.2719303370786517</v>
      </c>
      <c r="G179">
        <f>LN(F179/参数实验室!$E$58)/参数实验室!$E$59</f>
        <v>-6.4283891592931006E-2</v>
      </c>
      <c r="H179">
        <f>INDEX(神经网络!$G$10:$BO$70,MATCH(ROUND(G179*2,1)/2,神经网络!$E$10:$E$70,0),MATCH(ROUND(E179*2,1)/2,神经网络!$G$8:$BO$8,0))</f>
        <v>2.3745276464660274</v>
      </c>
    </row>
    <row r="180" spans="1:8">
      <c r="A180" s="799">
        <v>40582</v>
      </c>
      <c r="B180">
        <v>0.91800000000000004</v>
      </c>
      <c r="C180">
        <v>1.13527</v>
      </c>
      <c r="D180">
        <v>5.3549230000000003</v>
      </c>
      <c r="E180">
        <f>LN(D180/参数实验室!$E$53)/参数实验室!$E$55</f>
        <v>1.2866769085918215</v>
      </c>
      <c r="F180">
        <f t="shared" si="13"/>
        <v>1.2366775599128539</v>
      </c>
      <c r="G180">
        <f>LN(F180/参数实验室!$E$58)/参数实验室!$E$59</f>
        <v>-7.9036121902190115E-2</v>
      </c>
      <c r="H180">
        <f>INDEX(神经网络!$G$10:$BO$70,MATCH(ROUND(G180*2,1)/2,神经网络!$E$10:$E$70,0),MATCH(ROUND(E180*2,1)/2,神经网络!$G$8:$BO$8,0))</f>
        <v>2.3813931691130152</v>
      </c>
    </row>
    <row r="181" spans="1:8">
      <c r="A181" s="799">
        <v>40583</v>
      </c>
      <c r="B181">
        <v>1.0900000000000001</v>
      </c>
      <c r="C181">
        <v>1.122946</v>
      </c>
      <c r="D181">
        <v>5.6960259999999998</v>
      </c>
      <c r="E181">
        <f>LN(D181/参数实验室!$E$53)/参数实验室!$E$55</f>
        <v>1.3595295193251065</v>
      </c>
      <c r="F181">
        <f t="shared" si="13"/>
        <v>1.0302256880733944</v>
      </c>
      <c r="G181">
        <f>LN(F181/参数实验室!$E$58)/参数实验室!$E$59</f>
        <v>-0.17490097718413322</v>
      </c>
      <c r="H181">
        <f>INDEX(神经网络!$G$10:$BO$70,MATCH(ROUND(G181*2,1)/2,神经网络!$E$10:$E$70,0),MATCH(ROUND(E181*2,1)/2,神经网络!$G$8:$BO$8,0))</f>
        <v>2.3871575699003342</v>
      </c>
    </row>
    <row r="182" spans="1:8">
      <c r="A182" s="799">
        <v>40584</v>
      </c>
      <c r="B182">
        <v>0.98029999999999995</v>
      </c>
      <c r="C182">
        <v>1.1209819999999999</v>
      </c>
      <c r="D182">
        <v>5.3811629999999999</v>
      </c>
      <c r="E182">
        <f>LN(D182/参数实验室!$E$53)/参数实验室!$E$55</f>
        <v>1.2924437749829849</v>
      </c>
      <c r="F182">
        <f t="shared" si="13"/>
        <v>1.1435091298582067</v>
      </c>
      <c r="G182">
        <f>LN(F182/参数实验室!$E$58)/参数实验室!$E$59</f>
        <v>-0.12014619547056248</v>
      </c>
      <c r="H182">
        <f>INDEX(神经网络!$G$10:$BO$70,MATCH(ROUND(G182*2,1)/2,神经网络!$E$10:$E$70,0),MATCH(ROUND(E182*2,1)/2,神经网络!$G$8:$BO$8,0))</f>
        <v>2.3813931691130152</v>
      </c>
    </row>
    <row r="183" spans="1:8">
      <c r="A183" s="799">
        <v>40585</v>
      </c>
      <c r="B183">
        <v>1.07</v>
      </c>
      <c r="C183">
        <v>1.115794</v>
      </c>
      <c r="D183">
        <v>5.6203479999999999</v>
      </c>
      <c r="E183">
        <f>LN(D183/参数实验室!$E$53)/参数实验室!$E$55</f>
        <v>1.3437501368142726</v>
      </c>
      <c r="F183">
        <f t="shared" si="13"/>
        <v>1.0427981308411214</v>
      </c>
      <c r="G183">
        <f>LN(F183/参数实验室!$E$58)/参数实验室!$E$59</f>
        <v>-0.1685346457766447</v>
      </c>
      <c r="H183">
        <f>INDEX(神经网络!$G$10:$BO$70,MATCH(ROUND(G183*2,1)/2,神经网络!$E$10:$E$70,0),MATCH(ROUND(E183*2,1)/2,神经网络!$G$8:$BO$8,0))</f>
        <v>2.3871575699003342</v>
      </c>
    </row>
    <row r="184" spans="1:8">
      <c r="A184" s="799">
        <v>40586</v>
      </c>
      <c r="B184">
        <v>1.0799000000000001</v>
      </c>
      <c r="C184">
        <v>1.11812</v>
      </c>
      <c r="D184">
        <v>5.6631879999999999</v>
      </c>
      <c r="E184">
        <f>LN(D184/参数实验室!$E$53)/参数实验室!$E$55</f>
        <v>1.3527084760827695</v>
      </c>
      <c r="F184">
        <f t="shared" si="13"/>
        <v>1.0353921659412908</v>
      </c>
      <c r="G184">
        <f>LN(F184/参数实验室!$E$58)/参数实验室!$E$59</f>
        <v>-0.17227546497063531</v>
      </c>
      <c r="H184">
        <f>INDEX(神经网络!$G$10:$BO$70,MATCH(ROUND(G184*2,1)/2,神经网络!$E$10:$E$70,0),MATCH(ROUND(E184*2,1)/2,神经网络!$G$8:$BO$8,0))</f>
        <v>2.3871575699003342</v>
      </c>
    </row>
    <row r="185" spans="1:8">
      <c r="A185" s="799">
        <v>40587</v>
      </c>
      <c r="B185">
        <v>1.05</v>
      </c>
      <c r="C185">
        <v>1.114717</v>
      </c>
      <c r="D185">
        <v>5.4273899999999999</v>
      </c>
      <c r="E185">
        <f>LN(D185/参数实验室!$E$53)/参数实验室!$E$55</f>
        <v>1.3025351879104965</v>
      </c>
      <c r="F185">
        <f t="shared" si="13"/>
        <v>1.0616352380952381</v>
      </c>
      <c r="G185">
        <f>LN(F185/参数实验室!$E$58)/参数实验室!$E$59</f>
        <v>-0.15913829603900495</v>
      </c>
      <c r="H185">
        <f>INDEX(神经网络!$G$10:$BO$70,MATCH(ROUND(G185*2,1)/2,神经网络!$E$10:$E$70,0),MATCH(ROUND(E185*2,1)/2,神经网络!$G$8:$BO$8,0))</f>
        <v>2.3728001719891747</v>
      </c>
    </row>
    <row r="186" spans="1:8">
      <c r="A186" s="799">
        <v>40588</v>
      </c>
      <c r="B186">
        <v>1.07</v>
      </c>
      <c r="C186">
        <v>1.0973459999999999</v>
      </c>
      <c r="D186">
        <v>5.3181269999999996</v>
      </c>
      <c r="E186">
        <f>LN(D186/参数实验室!$E$53)/参数实验室!$E$55</f>
        <v>1.2785423318114164</v>
      </c>
      <c r="F186">
        <f t="shared" si="13"/>
        <v>1.0255570093457942</v>
      </c>
      <c r="G186">
        <f>LN(F186/参数实验室!$E$58)/参数实验室!$E$59</f>
        <v>-0.17728486641684946</v>
      </c>
      <c r="H186">
        <f>INDEX(神经网络!$G$10:$BO$70,MATCH(ROUND(G186*2,1)/2,神经网络!$E$10:$E$70,0),MATCH(ROUND(E186*2,1)/2,神经网络!$G$8:$BO$8,0))</f>
        <v>2.3621293215209445</v>
      </c>
    </row>
    <row r="187" spans="1:8">
      <c r="A187" s="799">
        <v>40589</v>
      </c>
      <c r="B187">
        <v>1.05</v>
      </c>
      <c r="C187">
        <v>1.0741400000000001</v>
      </c>
      <c r="D187">
        <v>5.1581720000000004</v>
      </c>
      <c r="E187">
        <f>LN(D187/参数实验室!$E$53)/参数实验室!$E$55</f>
        <v>1.2425139412456843</v>
      </c>
      <c r="F187">
        <f t="shared" si="13"/>
        <v>1.0229904761904762</v>
      </c>
      <c r="G187">
        <f>LN(F187/参数实验室!$E$58)/参数实验室!$E$59</f>
        <v>-0.17859999922932573</v>
      </c>
      <c r="H187">
        <f>INDEX(神经网络!$G$10:$BO$70,MATCH(ROUND(G187*2,1)/2,神经网络!$E$10:$E$70,0),MATCH(ROUND(E187*2,1)/2,神经网络!$G$8:$BO$8,0))</f>
        <v>2.344913051890976</v>
      </c>
    </row>
    <row r="188" spans="1:8">
      <c r="A188" s="799">
        <v>40590</v>
      </c>
      <c r="B188">
        <v>1.0449999999999999</v>
      </c>
      <c r="C188">
        <v>1.0519449999999999</v>
      </c>
      <c r="D188">
        <v>5.0136979999999998</v>
      </c>
      <c r="E188">
        <f>LN(D188/参数实验室!$E$53)/参数实验室!$E$55</f>
        <v>1.2089989370330072</v>
      </c>
      <c r="F188">
        <f t="shared" si="13"/>
        <v>1.006645933014354</v>
      </c>
      <c r="G188">
        <f>LN(F188/参数实验室!$E$58)/参数实验室!$E$59</f>
        <v>-0.18705341972848694</v>
      </c>
      <c r="H188">
        <f>INDEX(神经网络!$G$10:$BO$70,MATCH(ROUND(G188*2,1)/2,神经网络!$E$10:$E$70,0),MATCH(ROUND(E188*2,1)/2,神经网络!$G$8:$BO$8,0))</f>
        <v>2.3244087491518024</v>
      </c>
    </row>
    <row r="189" spans="1:8">
      <c r="A189" s="799">
        <v>40591</v>
      </c>
      <c r="B189">
        <v>1.04</v>
      </c>
      <c r="C189">
        <v>1.0084230000000001</v>
      </c>
      <c r="D189">
        <v>5.0009030000000001</v>
      </c>
      <c r="E189">
        <f>LN(D189/参数实验室!$E$53)/参数实验室!$E$55</f>
        <v>1.2059843484398034</v>
      </c>
      <c r="F189">
        <f t="shared" si="13"/>
        <v>0.96963750000000004</v>
      </c>
      <c r="G189">
        <f>LN(F189/参数实验室!$E$58)/参数实验室!$E$59</f>
        <v>-0.20671284341839818</v>
      </c>
      <c r="H189">
        <f>INDEX(神经网络!$G$10:$BO$70,MATCH(ROUND(G189*2,1)/2,神经网络!$E$10:$E$70,0),MATCH(ROUND(E189*2,1)/2,神经网络!$G$8:$BO$8,0))</f>
        <v>2.3244087491518024</v>
      </c>
    </row>
    <row r="190" spans="1:8">
      <c r="A190" s="799">
        <v>40592</v>
      </c>
      <c r="B190">
        <v>0.89890000000000003</v>
      </c>
      <c r="C190">
        <v>0.99194499999999997</v>
      </c>
      <c r="D190">
        <v>4.2771379999999999</v>
      </c>
      <c r="E190">
        <f>LN(D190/参数实验室!$E$53)/参数实验室!$E$55</f>
        <v>1.0215483307754516</v>
      </c>
      <c r="F190">
        <f t="shared" si="13"/>
        <v>1.1035098453665591</v>
      </c>
      <c r="G190">
        <f>LN(F190/参数实验室!$E$58)/参数实验室!$E$59</f>
        <v>-0.13883406978131466</v>
      </c>
      <c r="H190">
        <f>INDEX(神经网络!$G$10:$BO$70,MATCH(ROUND(G190*2,1)/2,神经网络!$E$10:$E$70,0),MATCH(ROUND(E190*2,1)/2,神经网络!$G$8:$BO$8,0))</f>
        <v>2.2326030548099567</v>
      </c>
    </row>
    <row r="191" spans="1:8">
      <c r="A191" s="799">
        <v>40593</v>
      </c>
      <c r="B191">
        <v>0.94899999999999995</v>
      </c>
      <c r="C191">
        <v>1.011109</v>
      </c>
      <c r="D191">
        <v>4.4617389999999997</v>
      </c>
      <c r="E191">
        <f>LN(D191/参数实验室!$E$53)/参数实验室!$E$55</f>
        <v>1.0713982213245412</v>
      </c>
      <c r="F191">
        <f t="shared" si="13"/>
        <v>1.0654467860906218</v>
      </c>
      <c r="G191">
        <f>LN(F191/参数实验室!$E$58)/参数实验室!$E$59</f>
        <v>-0.15725730744127972</v>
      </c>
      <c r="H191">
        <f>INDEX(神经网络!$G$10:$BO$70,MATCH(ROUND(G191*2,1)/2,神经网络!$E$10:$E$70,0),MATCH(ROUND(E191*2,1)/2,神经网络!$G$8:$BO$8,0))</f>
        <v>2.2618444532285671</v>
      </c>
    </row>
    <row r="192" spans="1:8">
      <c r="A192" s="799">
        <v>40594</v>
      </c>
      <c r="B192">
        <v>0.85</v>
      </c>
      <c r="C192">
        <v>1.004543</v>
      </c>
      <c r="D192">
        <v>4.0456500000000002</v>
      </c>
      <c r="E192">
        <f>LN(D192/参数实验室!$E$53)/参数实验室!$E$55</f>
        <v>0.95590466061023349</v>
      </c>
      <c r="F192">
        <f t="shared" si="13"/>
        <v>1.181815294117647</v>
      </c>
      <c r="G192">
        <f>LN(F192/参数实验室!$E$58)/参数实验室!$E$59</f>
        <v>-0.10285229535499911</v>
      </c>
      <c r="H192">
        <f>INDEX(神经网络!$G$10:$BO$70,MATCH(ROUND(G192*2,1)/2,神经网络!$E$10:$E$70,0),MATCH(ROUND(E192*2,1)/2,神经网络!$G$8:$BO$8,0))</f>
        <v>2.2157207323039096</v>
      </c>
    </row>
    <row r="193" spans="1:8">
      <c r="A193" s="799">
        <v>40595</v>
      </c>
      <c r="B193">
        <v>0.83450000000000002</v>
      </c>
      <c r="C193">
        <v>0.99521400000000004</v>
      </c>
      <c r="D193">
        <v>3.8865159999999999</v>
      </c>
      <c r="E193">
        <f>LN(D193/参数实验室!$E$53)/参数实验室!$E$55</f>
        <v>0.90856222079174065</v>
      </c>
      <c r="F193">
        <f t="shared" si="13"/>
        <v>1.1925871779508688</v>
      </c>
      <c r="G193">
        <f>LN(F193/参数实验室!$E$58)/参数实验室!$E$59</f>
        <v>-9.8090082010608037E-2</v>
      </c>
      <c r="H193">
        <f>INDEX(神经网络!$G$10:$BO$70,MATCH(ROUND(G193*2,1)/2,神经网络!$E$10:$E$70,0),MATCH(ROUND(E193*2,1)/2,神经网络!$G$8:$BO$8,0))</f>
        <v>2.1806419713659433</v>
      </c>
    </row>
    <row r="194" spans="1:8">
      <c r="A194" s="799">
        <v>40596</v>
      </c>
      <c r="B194">
        <v>0.87019999999999997</v>
      </c>
      <c r="C194">
        <v>0.98021499999999995</v>
      </c>
      <c r="D194">
        <v>4.03904</v>
      </c>
      <c r="E194">
        <f>LN(D194/参数实验室!$E$53)/参数实验室!$E$55</f>
        <v>0.95397554009225494</v>
      </c>
      <c r="F194">
        <f t="shared" si="13"/>
        <v>1.126424959779361</v>
      </c>
      <c r="G194">
        <f>LN(F194/参数实验室!$E$58)/参数实验室!$E$59</f>
        <v>-0.12804674649652126</v>
      </c>
      <c r="H194">
        <f>INDEX(神经网络!$G$10:$BO$70,MATCH(ROUND(G194*2,1)/2,神经网络!$E$10:$E$70,0),MATCH(ROUND(E194*2,1)/2,神经网络!$G$8:$BO$8,0))</f>
        <v>2.1987098260305462</v>
      </c>
    </row>
    <row r="195" spans="1:8">
      <c r="A195" s="799">
        <v>40597</v>
      </c>
      <c r="B195">
        <v>0.9</v>
      </c>
      <c r="C195">
        <v>0.95938900000000005</v>
      </c>
      <c r="D195">
        <v>4.1111610000000001</v>
      </c>
      <c r="E195">
        <f>LN(D195/参数实验室!$E$53)/参数实验室!$E$55</f>
        <v>0.97485532076494852</v>
      </c>
      <c r="F195">
        <f t="shared" si="13"/>
        <v>1.0659877777777778</v>
      </c>
      <c r="G195">
        <f>LN(F195/参数实验室!$E$58)/参数实验室!$E$59</f>
        <v>-0.15699087497819778</v>
      </c>
      <c r="H195">
        <f>INDEX(神经网络!$G$10:$BO$70,MATCH(ROUND(G195*2,1)/2,神经网络!$E$10:$E$70,0),MATCH(ROUND(E195*2,1)/2,神经网络!$G$8:$BO$8,0))</f>
        <v>2.1987098260305462</v>
      </c>
    </row>
    <row r="196" spans="1:8">
      <c r="A196" s="799">
        <v>40598</v>
      </c>
      <c r="B196">
        <v>0.99739999999999995</v>
      </c>
      <c r="C196">
        <v>0.94012399999999996</v>
      </c>
      <c r="D196">
        <v>4.4607510000000001</v>
      </c>
      <c r="E196">
        <f>LN(D196/参数实验室!$E$53)/参数实验室!$E$55</f>
        <v>1.0711369498162948</v>
      </c>
      <c r="F196">
        <f t="shared" si="13"/>
        <v>0.94257469420493278</v>
      </c>
      <c r="G196">
        <f>LN(F196/参数实验室!$E$58)/参数实验室!$E$59</f>
        <v>-0.22156995136348823</v>
      </c>
      <c r="H196">
        <f>INDEX(神经网络!$G$10:$BO$70,MATCH(ROUND(G196*2,1)/2,神经网络!$E$10:$E$70,0),MATCH(ROUND(E196*2,1)/2,神经网络!$G$8:$BO$8,0))</f>
        <v>2.2469681786502327</v>
      </c>
    </row>
    <row r="197" spans="1:8">
      <c r="A197" s="799">
        <v>40599</v>
      </c>
      <c r="B197">
        <v>0.91110000000000002</v>
      </c>
      <c r="C197">
        <v>0.92492200000000002</v>
      </c>
      <c r="D197">
        <v>4.0970839999999997</v>
      </c>
      <c r="E197">
        <f>LN(D197/参数实验室!$E$53)/参数实验室!$E$55</f>
        <v>0.97080880346505738</v>
      </c>
      <c r="F197">
        <f t="shared" ref="F197:F260" si="14">C197/B197</f>
        <v>1.0151706728130832</v>
      </c>
      <c r="G197">
        <f>LN(F197/参数实验室!$E$58)/参数实验室!$E$59</f>
        <v>-0.18262742911085575</v>
      </c>
      <c r="H197">
        <f>INDEX(神经网络!$G$10:$BO$70,MATCH(ROUND(G197*2,1)/2,神经网络!$E$10:$E$70,0),MATCH(ROUND(E197*2,1)/2,神经网络!$G$8:$BO$8,0))</f>
        <v>2.1780553243173042</v>
      </c>
    </row>
    <row r="198" spans="1:8">
      <c r="A198" s="799">
        <v>40600</v>
      </c>
      <c r="B198">
        <v>0.95799999999999996</v>
      </c>
      <c r="C198">
        <v>0.87867799999999996</v>
      </c>
      <c r="D198">
        <v>4.2013629999999997</v>
      </c>
      <c r="E198">
        <f>LN(D198/参数实验室!$E$53)/参数实验室!$E$55</f>
        <v>1.0004601260668555</v>
      </c>
      <c r="F198">
        <f t="shared" si="14"/>
        <v>0.91720041753653447</v>
      </c>
      <c r="G198">
        <f>LN(F198/参数实验室!$E$58)/参数实验室!$E$59</f>
        <v>-0.23589277790678664</v>
      </c>
      <c r="H198">
        <f>INDEX(神经网络!$G$10:$BO$70,MATCH(ROUND(G198*2,1)/2,神经网络!$E$10:$E$70,0),MATCH(ROUND(E198*2,1)/2,神经网络!$G$8:$BO$8,0))</f>
        <v>2.1948213510058325</v>
      </c>
    </row>
    <row r="199" spans="1:8">
      <c r="A199" s="799">
        <v>40601</v>
      </c>
      <c r="B199">
        <v>0.89</v>
      </c>
      <c r="C199">
        <v>0.84763200000000005</v>
      </c>
      <c r="D199">
        <v>3.8573759999999999</v>
      </c>
      <c r="E199">
        <f>LN(D199/参数实验室!$E$53)/参数实验室!$E$55</f>
        <v>0.89968343689498353</v>
      </c>
      <c r="F199">
        <f t="shared" si="14"/>
        <v>0.95239550561797759</v>
      </c>
      <c r="G199">
        <f>LN(F199/参数实验室!$E$58)/参数实验室!$E$59</f>
        <v>-0.21612971940006179</v>
      </c>
      <c r="H199">
        <f>INDEX(神经网络!$G$10:$BO$70,MATCH(ROUND(G199*2,1)/2,神经网络!$E$10:$E$70,0),MATCH(ROUND(E199*2,1)/2,神经网络!$G$8:$BO$8,0))</f>
        <v>2.1385001042199669</v>
      </c>
    </row>
    <row r="200" spans="1:8">
      <c r="A200" s="799">
        <v>40602</v>
      </c>
      <c r="B200">
        <v>0.86</v>
      </c>
      <c r="C200">
        <v>0.85661100000000001</v>
      </c>
      <c r="D200">
        <v>3.6626430000000001</v>
      </c>
      <c r="E200">
        <f>LN(D200/参数实验室!$E$53)/参数实验室!$E$55</f>
        <v>0.8385696922773912</v>
      </c>
      <c r="F200">
        <f t="shared" si="14"/>
        <v>0.99605930232558137</v>
      </c>
      <c r="G200">
        <f>LN(F200/参数实验室!$E$58)/参数实验室!$E$59</f>
        <v>-0.19260240175333254</v>
      </c>
      <c r="H200">
        <f>INDEX(神经网络!$G$10:$BO$70,MATCH(ROUND(G200*2,1)/2,神经网络!$E$10:$E$70,0),MATCH(ROUND(E200*2,1)/2,神经网络!$G$8:$BO$8,0))</f>
        <v>2.0926926495475842</v>
      </c>
    </row>
    <row r="201" spans="1:8">
      <c r="A201" s="799">
        <v>40603</v>
      </c>
      <c r="B201">
        <v>0.92020000000000002</v>
      </c>
      <c r="C201">
        <v>0.87177199999999999</v>
      </c>
      <c r="D201">
        <v>3.455565</v>
      </c>
      <c r="E201">
        <f>LN(D201/参数实验室!$E$53)/参数实验室!$E$55</f>
        <v>0.76990918251932228</v>
      </c>
      <c r="F201">
        <f t="shared" si="14"/>
        <v>0.9473723103673114</v>
      </c>
      <c r="G201">
        <f>LN(F201/参数实验室!$E$58)/参数实验室!$E$59</f>
        <v>-0.21890526961037279</v>
      </c>
      <c r="H201">
        <f>INDEX(神经网络!$G$10:$BO$70,MATCH(ROUND(G201*2,1)/2,神经网络!$E$10:$E$70,0),MATCH(ROUND(E201*2,1)/2,神经网络!$G$8:$BO$8,0))</f>
        <v>1.9904890122838315</v>
      </c>
    </row>
    <row r="202" spans="1:8">
      <c r="A202" s="799">
        <v>40604</v>
      </c>
      <c r="B202">
        <v>0.93989999999999996</v>
      </c>
      <c r="C202">
        <v>0.87749200000000005</v>
      </c>
      <c r="D202">
        <v>3.4962960000000001</v>
      </c>
      <c r="E202">
        <f>LN(D202/参数实验室!$E$53)/参数实验室!$E$55</f>
        <v>0.78373370497165007</v>
      </c>
      <c r="F202">
        <f t="shared" si="14"/>
        <v>0.93360144696244296</v>
      </c>
      <c r="G202">
        <f>LN(F202/参数实验室!$E$58)/参数实验室!$E$59</f>
        <v>-0.22659046186059909</v>
      </c>
      <c r="H202">
        <f>INDEX(神经网络!$G$10:$BO$70,MATCH(ROUND(G202*2,1)/2,神经网络!$E$10:$E$70,0),MATCH(ROUND(E202*2,1)/2,神经网络!$G$8:$BO$8,0))</f>
        <v>2.0153836555682134</v>
      </c>
    </row>
    <row r="203" spans="1:8">
      <c r="A203" s="799">
        <v>40605</v>
      </c>
      <c r="B203">
        <v>0.93910000000000005</v>
      </c>
      <c r="C203">
        <v>0.87299599999999999</v>
      </c>
      <c r="D203">
        <v>3.4729139999999998</v>
      </c>
      <c r="E203">
        <f>LN(D203/参数实验室!$E$53)/参数实验室!$E$55</f>
        <v>0.77581742928099606</v>
      </c>
      <c r="F203">
        <f t="shared" si="14"/>
        <v>0.92960920029815775</v>
      </c>
      <c r="G203">
        <f>LN(F203/参数实验室!$E$58)/参数实验室!$E$59</f>
        <v>-0.22883964395111994</v>
      </c>
      <c r="H203">
        <f>INDEX(神经网络!$G$10:$BO$70,MATCH(ROUND(G203*2,1)/2,神经网络!$E$10:$E$70,0),MATCH(ROUND(E203*2,1)/2,神经网络!$G$8:$BO$8,0))</f>
        <v>2.0153836555682134</v>
      </c>
    </row>
    <row r="204" spans="1:8">
      <c r="A204" s="799">
        <v>40606</v>
      </c>
      <c r="B204">
        <v>0.90100000000000002</v>
      </c>
      <c r="C204">
        <v>0.85168699999999997</v>
      </c>
      <c r="D204">
        <v>3.3123130000000001</v>
      </c>
      <c r="E204">
        <f>LN(D204/参数实验室!$E$53)/参数实验室!$E$55</f>
        <v>0.71995932905235127</v>
      </c>
      <c r="F204">
        <f t="shared" si="14"/>
        <v>0.94526859045504985</v>
      </c>
      <c r="G204">
        <f>LN(F204/参数实验室!$E$58)/参数实验室!$E$59</f>
        <v>-0.22007204811093561</v>
      </c>
      <c r="H204">
        <f>INDEX(神经网络!$G$10:$BO$70,MATCH(ROUND(G204*2,1)/2,神经网络!$E$10:$E$70,0),MATCH(ROUND(E204*2,1)/2,神经网络!$G$8:$BO$8,0))</f>
        <v>1.9309572529427241</v>
      </c>
    </row>
    <row r="205" spans="1:8">
      <c r="A205" s="799">
        <v>40607</v>
      </c>
      <c r="B205">
        <v>0.9103</v>
      </c>
      <c r="C205">
        <v>0.81064099999999994</v>
      </c>
      <c r="D205">
        <v>3.307118</v>
      </c>
      <c r="E205">
        <f>LN(D205/参数实验室!$E$53)/参数实验室!$E$55</f>
        <v>0.71810756283234256</v>
      </c>
      <c r="F205">
        <f t="shared" si="14"/>
        <v>0.89052070745907941</v>
      </c>
      <c r="G205">
        <f>LN(F205/参数实验室!$E$58)/参数实验室!$E$59</f>
        <v>-0.25138628556477416</v>
      </c>
      <c r="H205">
        <f>INDEX(神经网络!$G$10:$BO$70,MATCH(ROUND(G205*2,1)/2,神经网络!$E$10:$E$70,0),MATCH(ROUND(E205*2,1)/2,神经网络!$G$8:$BO$8,0))</f>
        <v>1.8973840294942554</v>
      </c>
    </row>
    <row r="206" spans="1:8">
      <c r="A206" s="799">
        <v>40608</v>
      </c>
      <c r="B206">
        <v>0.89990000000000003</v>
      </c>
      <c r="C206">
        <v>0.78637100000000004</v>
      </c>
      <c r="D206">
        <v>3.207446</v>
      </c>
      <c r="E206">
        <f>LN(D206/参数实验室!$E$53)/参数实验室!$E$55</f>
        <v>0.68200459665085145</v>
      </c>
      <c r="F206">
        <f t="shared" si="14"/>
        <v>0.87384264918324261</v>
      </c>
      <c r="G206">
        <f>LN(F206/参数实验室!$E$58)/参数实验室!$E$59</f>
        <v>-0.26130919290679766</v>
      </c>
      <c r="H206">
        <f>INDEX(神经网络!$G$10:$BO$70,MATCH(ROUND(G206*2,1)/2,神经网络!$E$10:$E$70,0),MATCH(ROUND(E206*2,1)/2,神经网络!$G$8:$BO$8,0))</f>
        <v>1.8973840294942554</v>
      </c>
    </row>
    <row r="207" spans="1:8">
      <c r="A207" s="799">
        <v>40609</v>
      </c>
      <c r="B207">
        <v>0.88500000000000001</v>
      </c>
      <c r="C207">
        <v>0.77953099999999997</v>
      </c>
      <c r="D207">
        <v>3.1730870000000002</v>
      </c>
      <c r="E207">
        <f>LN(D207/参数实验室!$E$53)/参数实验室!$E$55</f>
        <v>0.66929859433778571</v>
      </c>
      <c r="F207">
        <f t="shared" si="14"/>
        <v>0.88082598870056494</v>
      </c>
      <c r="G207">
        <f>LN(F207/参数实验室!$E$58)/参数实验室!$E$59</f>
        <v>-0.25713147723728275</v>
      </c>
      <c r="H207">
        <f>INDEX(神经网络!$G$10:$BO$70,MATCH(ROUND(G207*2,1)/2,神经网络!$E$10:$E$70,0),MATCH(ROUND(E207*2,1)/2,神经网络!$G$8:$BO$8,0))</f>
        <v>1.8309064914754705</v>
      </c>
    </row>
    <row r="208" spans="1:8">
      <c r="A208" s="799">
        <v>40610</v>
      </c>
      <c r="B208">
        <v>0.87</v>
      </c>
      <c r="C208">
        <v>0.78046700000000002</v>
      </c>
      <c r="D208">
        <v>3.1140089999999998</v>
      </c>
      <c r="E208">
        <f>LN(D208/参数实验室!$E$53)/参数实验室!$E$55</f>
        <v>0.64712635022358744</v>
      </c>
      <c r="F208">
        <f t="shared" si="14"/>
        <v>0.89708850574712651</v>
      </c>
      <c r="G208">
        <f>LN(F208/参数实验室!$E$58)/参数实验室!$E$59</f>
        <v>-0.24752956903971884</v>
      </c>
      <c r="H208">
        <f>INDEX(神经网络!$G$10:$BO$70,MATCH(ROUND(G208*2,1)/2,神经网络!$E$10:$E$70,0),MATCH(ROUND(E208*2,1)/2,神经网络!$G$8:$BO$8,0))</f>
        <v>1.8309064914754705</v>
      </c>
    </row>
    <row r="209" spans="1:8">
      <c r="A209" s="799">
        <v>40611</v>
      </c>
      <c r="B209">
        <v>0.86450000000000005</v>
      </c>
      <c r="C209">
        <v>0.80109600000000003</v>
      </c>
      <c r="D209">
        <v>3.0838939999999999</v>
      </c>
      <c r="E209">
        <f>LN(D209/参数实验室!$E$53)/参数实验室!$E$55</f>
        <v>0.63566165045629142</v>
      </c>
      <c r="F209">
        <f t="shared" si="14"/>
        <v>0.9266581839213418</v>
      </c>
      <c r="G209">
        <f>LN(F209/参数实验室!$E$58)/参数实验室!$E$59</f>
        <v>-0.23050842744057021</v>
      </c>
      <c r="H209">
        <f>INDEX(神经网络!$G$10:$BO$70,MATCH(ROUND(G209*2,1)/2,神经网络!$E$10:$E$70,0),MATCH(ROUND(E209*2,1)/2,神经网络!$G$8:$BO$8,0))</f>
        <v>1.8309064914754705</v>
      </c>
    </row>
    <row r="210" spans="1:8">
      <c r="A210" s="799">
        <v>40612</v>
      </c>
      <c r="B210">
        <v>0.93289999999999995</v>
      </c>
      <c r="C210">
        <v>0.82714500000000002</v>
      </c>
      <c r="D210">
        <v>3.2866870000000001</v>
      </c>
      <c r="E210">
        <f>LN(D210/参数实验室!$E$53)/参数实验室!$E$55</f>
        <v>0.71079657451354183</v>
      </c>
      <c r="F210">
        <f t="shared" si="14"/>
        <v>0.88663843927537789</v>
      </c>
      <c r="G210">
        <f>LN(F210/参数实验室!$E$58)/参数实验室!$E$59</f>
        <v>-0.25367941434574048</v>
      </c>
      <c r="H210">
        <f>INDEX(神经网络!$G$10:$BO$70,MATCH(ROUND(G210*2,1)/2,神经网络!$E$10:$E$70,0),MATCH(ROUND(E210*2,1)/2,神经网络!$G$8:$BO$8,0))</f>
        <v>1.8973840294942554</v>
      </c>
    </row>
    <row r="211" spans="1:8">
      <c r="A211" s="799">
        <v>40613</v>
      </c>
      <c r="B211">
        <v>0.88</v>
      </c>
      <c r="C211">
        <v>0.85652300000000003</v>
      </c>
      <c r="D211">
        <v>3.132771</v>
      </c>
      <c r="E211">
        <f>LN(D211/参数实验室!$E$53)/参数实验室!$E$55</f>
        <v>0.65421307231751258</v>
      </c>
      <c r="F211">
        <f t="shared" si="14"/>
        <v>0.97332159090909098</v>
      </c>
      <c r="G211">
        <f>LN(F211/参数实验室!$E$58)/参数实验室!$E$59</f>
        <v>-0.20472246458328833</v>
      </c>
      <c r="H211">
        <f>INDEX(神经网络!$G$10:$BO$70,MATCH(ROUND(G211*2,1)/2,神经网络!$E$10:$E$70,0),MATCH(ROUND(E211*2,1)/2,神经网络!$G$8:$BO$8,0))</f>
        <v>1.8642816021898718</v>
      </c>
    </row>
    <row r="212" spans="1:8">
      <c r="A212" s="799">
        <v>40614</v>
      </c>
      <c r="B212">
        <v>0.91800000000000004</v>
      </c>
      <c r="C212">
        <v>0.88040099999999999</v>
      </c>
      <c r="D212">
        <v>3.231808</v>
      </c>
      <c r="E212">
        <f>LN(D212/参数实验室!$E$53)/参数实验室!$E$55</f>
        <v>0.69093149584211055</v>
      </c>
      <c r="F212">
        <f t="shared" si="14"/>
        <v>0.95904248366013067</v>
      </c>
      <c r="G212">
        <f>LN(F212/参数实验室!$E$58)/参数实验室!$E$59</f>
        <v>-0.21247937093770122</v>
      </c>
      <c r="H212">
        <f>INDEX(神经网络!$G$10:$BO$70,MATCH(ROUND(G212*2,1)/2,神经网络!$E$10:$E$70,0),MATCH(ROUND(E212*2,1)/2,神经网络!$G$8:$BO$8,0))</f>
        <v>1.9309572529427241</v>
      </c>
    </row>
    <row r="213" spans="1:8">
      <c r="A213" s="799">
        <v>40615</v>
      </c>
      <c r="B213">
        <v>0.89249999999999996</v>
      </c>
      <c r="C213">
        <v>0.91503100000000004</v>
      </c>
      <c r="D213">
        <v>3.1254189999999999</v>
      </c>
      <c r="E213">
        <f>LN(D213/参数实验室!$E$53)/参数实验室!$E$55</f>
        <v>0.65144116867130364</v>
      </c>
      <c r="F213">
        <f t="shared" si="14"/>
        <v>1.0252448179271709</v>
      </c>
      <c r="G213">
        <f>LN(F213/参数实验室!$E$58)/参数实验室!$E$59</f>
        <v>-0.17744466238286283</v>
      </c>
      <c r="H213">
        <f>INDEX(神经网络!$G$10:$BO$70,MATCH(ROUND(G213*2,1)/2,神经网络!$E$10:$E$70,0),MATCH(ROUND(E213*2,1)/2,神经网络!$G$8:$BO$8,0))</f>
        <v>1.8642816021898718</v>
      </c>
    </row>
    <row r="214" spans="1:8">
      <c r="A214" s="799">
        <v>40616</v>
      </c>
      <c r="B214">
        <v>0.89490000000000003</v>
      </c>
      <c r="C214">
        <v>0.95862199999999997</v>
      </c>
      <c r="D214">
        <v>3.099761</v>
      </c>
      <c r="E214">
        <f>LN(D214/参数实验室!$E$53)/参数实验室!$E$55</f>
        <v>0.64171605866808001</v>
      </c>
      <c r="F214">
        <f t="shared" si="14"/>
        <v>1.0712057213096435</v>
      </c>
      <c r="G214">
        <f>LN(F214/参数实验室!$E$58)/参数实验室!$E$59</f>
        <v>-0.1544280146643571</v>
      </c>
      <c r="H214">
        <f>INDEX(神经网络!$G$10:$BO$70,MATCH(ROUND(G214*2,1)/2,神经网络!$E$10:$E$70,0),MATCH(ROUND(E214*2,1)/2,神经网络!$G$8:$BO$8,0))</f>
        <v>1.9003308205363119</v>
      </c>
    </row>
    <row r="215" spans="1:8">
      <c r="A215" s="799">
        <v>40617</v>
      </c>
      <c r="B215">
        <v>0.87</v>
      </c>
      <c r="C215">
        <v>1.0059629999999999</v>
      </c>
      <c r="D215">
        <v>3.009477</v>
      </c>
      <c r="E215">
        <f>LN(D215/参数实验室!$E$53)/参数实验室!$E$55</f>
        <v>0.60684408382009936</v>
      </c>
      <c r="F215">
        <f t="shared" si="14"/>
        <v>1.1562793103448274</v>
      </c>
      <c r="G215">
        <f>LN(F215/参数实验室!$E$58)/参数实验室!$E$59</f>
        <v>-0.114317355191471</v>
      </c>
      <c r="H215">
        <f>INDEX(神经网络!$G$10:$BO$70,MATCH(ROUND(G215*2,1)/2,神经网络!$E$10:$E$70,0),MATCH(ROUND(E215*2,1)/2,神经网络!$G$8:$BO$8,0))</f>
        <v>1.8661238013833901</v>
      </c>
    </row>
    <row r="216" spans="1:8">
      <c r="A216" s="799">
        <v>40618</v>
      </c>
      <c r="B216">
        <v>0.86</v>
      </c>
      <c r="C216">
        <v>1.0427090000000001</v>
      </c>
      <c r="D216">
        <v>2.9052449999999999</v>
      </c>
      <c r="E216">
        <f>LN(D216/参数实验室!$E$53)/参数实验室!$E$55</f>
        <v>0.56525945083264129</v>
      </c>
      <c r="F216">
        <f t="shared" si="14"/>
        <v>1.2124523255813955</v>
      </c>
      <c r="G216">
        <f>LN(F216/参数实验室!$E$58)/参数实验室!$E$59</f>
        <v>-8.9419504954550658E-2</v>
      </c>
      <c r="H216">
        <f>INDEX(神经网络!$G$10:$BO$70,MATCH(ROUND(G216*2,1)/2,神经网络!$E$10:$E$70,0),MATCH(ROUND(E216*2,1)/2,神经网络!$G$8:$BO$8,0))</f>
        <v>1.7968502729440148</v>
      </c>
    </row>
    <row r="217" spans="1:8">
      <c r="A217" s="799">
        <v>40619</v>
      </c>
      <c r="B217">
        <v>0.82540000000000002</v>
      </c>
      <c r="C217">
        <v>1.095297</v>
      </c>
      <c r="D217">
        <v>2.8033009999999998</v>
      </c>
      <c r="E217">
        <f>LN(D217/参数实验室!$E$53)/参数实验室!$E$55</f>
        <v>0.52311857914851279</v>
      </c>
      <c r="F217">
        <f t="shared" si="14"/>
        <v>1.3269893385025442</v>
      </c>
      <c r="G217">
        <f>LN(F217/参数实验室!$E$58)/参数实验室!$E$59</f>
        <v>-4.2042139180615987E-2</v>
      </c>
      <c r="H217">
        <f>INDEX(神经网络!$G$10:$BO$70,MATCH(ROUND(G217*2,1)/2,神经网络!$E$10:$E$70,0),MATCH(ROUND(E217*2,1)/2,神经网络!$G$8:$BO$8,0))</f>
        <v>1.7607737183655185</v>
      </c>
    </row>
    <row r="218" spans="1:8">
      <c r="A218" s="799">
        <v>40620</v>
      </c>
      <c r="B218">
        <v>0.8165</v>
      </c>
      <c r="C218">
        <v>1.16825</v>
      </c>
      <c r="D218">
        <v>2.721168</v>
      </c>
      <c r="E218">
        <f>LN(D218/参数实验室!$E$53)/参数实验室!$E$55</f>
        <v>0.48803690407407491</v>
      </c>
      <c r="F218">
        <f t="shared" si="14"/>
        <v>1.4308022045315369</v>
      </c>
      <c r="G218">
        <f>LN(F218/参数实验室!$E$58)/参数实验室!$E$59</f>
        <v>-2.5087952550880747E-3</v>
      </c>
      <c r="H218">
        <f>INDEX(神经网络!$G$10:$BO$70,MATCH(ROUND(G218*2,1)/2,神经网络!$E$10:$E$70,0),MATCH(ROUND(E218*2,1)/2,神经网络!$G$8:$BO$8,0))</f>
        <v>1.7975509837065444</v>
      </c>
    </row>
    <row r="219" spans="1:8">
      <c r="A219" s="799">
        <v>40621</v>
      </c>
      <c r="B219">
        <v>0.76500000000000001</v>
      </c>
      <c r="C219">
        <v>1.2502089999999999</v>
      </c>
      <c r="D219">
        <v>2.591564</v>
      </c>
      <c r="E219">
        <f>LN(D219/参数实验室!$E$53)/参数实验室!$E$55</f>
        <v>0.4304653640649051</v>
      </c>
      <c r="F219">
        <f t="shared" si="14"/>
        <v>1.6342601307189542</v>
      </c>
      <c r="G219">
        <f>LN(F219/参数实验室!$E$58)/参数实验室!$E$59</f>
        <v>6.7273128550280725E-2</v>
      </c>
      <c r="H219">
        <f>INDEX(神经网络!$G$10:$BO$70,MATCH(ROUND(G219*2,1)/2,神经网络!$E$10:$E$70,0),MATCH(ROUND(E219*2,1)/2,神经网络!$G$8:$BO$8,0))</f>
        <v>1.7611962507969627</v>
      </c>
    </row>
    <row r="220" spans="1:8">
      <c r="A220" s="799">
        <v>40622</v>
      </c>
      <c r="B220">
        <v>0.74109999999999998</v>
      </c>
      <c r="C220">
        <v>1.309809</v>
      </c>
      <c r="D220">
        <v>2.5087130000000002</v>
      </c>
      <c r="E220">
        <f>LN(D220/参数实验室!$E$53)/参数实验室!$E$55</f>
        <v>0.39213319702900207</v>
      </c>
      <c r="F220">
        <f t="shared" si="14"/>
        <v>1.7673849682903793</v>
      </c>
      <c r="G220">
        <f>LN(F220/参数实验室!$E$58)/参数实验室!$E$59</f>
        <v>0.10837489614807258</v>
      </c>
      <c r="H220">
        <f>INDEX(神经网络!$G$10:$BO$70,MATCH(ROUND(G220*2,1)/2,神经网络!$E$10:$E$70,0),MATCH(ROUND(E220*2,1)/2,神经网络!$G$8:$BO$8,0))</f>
        <v>1.7238412515537946</v>
      </c>
    </row>
    <row r="221" spans="1:8">
      <c r="A221" s="799">
        <v>40623</v>
      </c>
      <c r="B221">
        <v>0.75900000000000001</v>
      </c>
      <c r="C221">
        <v>1.3257289999999999</v>
      </c>
      <c r="D221">
        <v>2.5603189999999998</v>
      </c>
      <c r="E221">
        <f>LN(D221/参数实验室!$E$53)/参数实验室!$E$55</f>
        <v>0.41615531779382953</v>
      </c>
      <c r="F221">
        <f t="shared" si="14"/>
        <v>1.7466785243741765</v>
      </c>
      <c r="G221">
        <f>LN(F221/参数实验室!$E$58)/参数实验室!$E$59</f>
        <v>0.10218947200109674</v>
      </c>
      <c r="H221">
        <f>INDEX(神经网络!$G$10:$BO$70,MATCH(ROUND(G221*2,1)/2,神经网络!$E$10:$E$70,0),MATCH(ROUND(E221*2,1)/2,神经网络!$G$8:$BO$8,0))</f>
        <v>1.7238412515537946</v>
      </c>
    </row>
    <row r="222" spans="1:8">
      <c r="A222" s="799">
        <v>40624</v>
      </c>
      <c r="B222">
        <v>0.80900000000000005</v>
      </c>
      <c r="C222">
        <v>1.3923110000000001</v>
      </c>
      <c r="D222">
        <v>2.7174230000000001</v>
      </c>
      <c r="E222">
        <f>LN(D222/参数实验室!$E$53)/参数实验室!$E$55</f>
        <v>0.48641215362051327</v>
      </c>
      <c r="F222">
        <f t="shared" si="14"/>
        <v>1.721027194066749</v>
      </c>
      <c r="G222">
        <f>LN(F222/参数实验室!$E$58)/参数实验室!$E$59</f>
        <v>9.4424424395414291E-2</v>
      </c>
      <c r="H222">
        <f>INDEX(神经网络!$G$10:$BO$70,MATCH(ROUND(G222*2,1)/2,神经网络!$E$10:$E$70,0),MATCH(ROUND(E222*2,1)/2,神经网络!$G$8:$BO$8,0))</f>
        <v>1.8672621929338808</v>
      </c>
    </row>
    <row r="223" spans="1:8">
      <c r="A223" s="799">
        <v>40625</v>
      </c>
      <c r="B223">
        <v>0.84970000000000001</v>
      </c>
      <c r="C223">
        <v>1.429549</v>
      </c>
      <c r="D223">
        <v>2.8434560000000002</v>
      </c>
      <c r="E223">
        <f>LN(D223/参数实验室!$E$53)/参数实验室!$E$55</f>
        <v>0.5398976932718218</v>
      </c>
      <c r="F223">
        <f t="shared" si="14"/>
        <v>1.6824161468753678</v>
      </c>
      <c r="G223">
        <f>LN(F223/参数实验室!$E$58)/参数实验室!$E$59</f>
        <v>8.2515289055890659E-2</v>
      </c>
      <c r="H223">
        <f>INDEX(神经网络!$G$10:$BO$70,MATCH(ROUND(G223*2,1)/2,神经网络!$E$10:$E$70,0),MATCH(ROUND(E223*2,1)/2,神经网络!$G$8:$BO$8,0))</f>
        <v>1.9342698288427571</v>
      </c>
    </row>
    <row r="224" spans="1:8">
      <c r="A224" s="799">
        <v>40626</v>
      </c>
      <c r="B224">
        <v>0.8669</v>
      </c>
      <c r="C224">
        <v>1.4868220000000001</v>
      </c>
      <c r="D224">
        <v>2.8848180000000001</v>
      </c>
      <c r="E224">
        <f>LN(D224/参数实验室!$E$53)/参数实验室!$E$55</f>
        <v>0.55693521688344805</v>
      </c>
      <c r="F224">
        <f t="shared" si="14"/>
        <v>1.7151020878994119</v>
      </c>
      <c r="G224">
        <f>LN(F224/参数实验室!$E$58)/参数实验室!$E$59</f>
        <v>9.2614353379644729E-2</v>
      </c>
      <c r="H224">
        <f>INDEX(神经网络!$G$10:$BO$70,MATCH(ROUND(G224*2,1)/2,神经网络!$E$10:$E$70,0),MATCH(ROUND(E224*2,1)/2,神经网络!$G$8:$BO$8,0))</f>
        <v>1.9342698288427571</v>
      </c>
    </row>
    <row r="225" spans="1:8">
      <c r="A225" s="799">
        <v>40627</v>
      </c>
      <c r="B225">
        <v>0.88380000000000003</v>
      </c>
      <c r="C225">
        <v>1.558192</v>
      </c>
      <c r="D225">
        <v>2.9114589999999998</v>
      </c>
      <c r="E225">
        <f>LN(D225/参数实验室!$E$53)/参数实验室!$E$55</f>
        <v>0.56778011870466105</v>
      </c>
      <c r="F225">
        <f t="shared" si="14"/>
        <v>1.7630595157275402</v>
      </c>
      <c r="G225">
        <f>LN(F225/参数实验室!$E$58)/参数实验室!$E$59</f>
        <v>0.10708880743489427</v>
      </c>
      <c r="H225">
        <f>INDEX(神经网络!$G$10:$BO$70,MATCH(ROUND(G225*2,1)/2,神经网络!$E$10:$E$70,0),MATCH(ROUND(E225*2,1)/2,神经网络!$G$8:$BO$8,0))</f>
        <v>1.9342698288427571</v>
      </c>
    </row>
    <row r="226" spans="1:8">
      <c r="A226" s="799">
        <v>40628</v>
      </c>
      <c r="B226">
        <v>0.85519999999999996</v>
      </c>
      <c r="C226">
        <v>1.631132</v>
      </c>
      <c r="D226">
        <v>2.792548</v>
      </c>
      <c r="E226">
        <f>LN(D226/参数实验室!$E$53)/参数实验室!$E$55</f>
        <v>0.51858453891728973</v>
      </c>
      <c r="F226">
        <f t="shared" si="14"/>
        <v>1.9073105706267541</v>
      </c>
      <c r="G226">
        <f>LN(F226/参数实验室!$E$58)/参数实验室!$E$59</f>
        <v>0.14836517189404735</v>
      </c>
      <c r="H226">
        <f>INDEX(神经网络!$G$10:$BO$70,MATCH(ROUND(G226*2,1)/2,神经网络!$E$10:$E$70,0),MATCH(ROUND(E226*2,1)/2,神经网络!$G$8:$BO$8,0))</f>
        <v>1.9024031741783951</v>
      </c>
    </row>
    <row r="227" spans="1:8">
      <c r="A227" s="799">
        <v>40629</v>
      </c>
      <c r="B227">
        <v>0.82</v>
      </c>
      <c r="C227">
        <v>1.722415</v>
      </c>
      <c r="D227">
        <v>2.6767539999999999</v>
      </c>
      <c r="E227">
        <f>LN(D227/参数实验室!$E$53)/参数实验室!$E$55</f>
        <v>0.46862249124692518</v>
      </c>
      <c r="F227">
        <f t="shared" si="14"/>
        <v>2.1005060975609759</v>
      </c>
      <c r="G227">
        <f>LN(F227/参数实验室!$E$58)/参数实验室!$E$59</f>
        <v>0.19900526441641581</v>
      </c>
      <c r="H227">
        <f>INDEX(神经网络!$G$10:$BO$70,MATCH(ROUND(G227*2,1)/2,神经网络!$E$10:$E$70,0),MATCH(ROUND(E227*2,1)/2,神经网络!$G$8:$BO$8,0))</f>
        <v>1.8673997908656241</v>
      </c>
    </row>
    <row r="228" spans="1:8">
      <c r="A228" s="799">
        <v>40630</v>
      </c>
      <c r="B228">
        <v>0.79900000000000004</v>
      </c>
      <c r="C228">
        <v>1.851677</v>
      </c>
      <c r="D228">
        <v>2.5823700000000001</v>
      </c>
      <c r="E228">
        <f>LN(D228/参数实验室!$E$53)/参数实验室!$E$55</f>
        <v>0.42627255343306081</v>
      </c>
      <c r="F228">
        <f t="shared" si="14"/>
        <v>2.3174931163954944</v>
      </c>
      <c r="G228">
        <f>LN(F228/参数实验室!$E$58)/参数实验室!$E$59</f>
        <v>0.25060247588851886</v>
      </c>
      <c r="H228">
        <f>INDEX(神经网络!$G$10:$BO$70,MATCH(ROUND(G228*2,1)/2,神经网络!$E$10:$E$70,0),MATCH(ROUND(E228*2,1)/2,神经网络!$G$8:$BO$8,0))</f>
        <v>1.9024946288991207</v>
      </c>
    </row>
    <row r="229" spans="1:8">
      <c r="A229" s="799">
        <v>40631</v>
      </c>
      <c r="B229">
        <v>0.79249999999999998</v>
      </c>
      <c r="C229">
        <v>1.959174</v>
      </c>
      <c r="D229">
        <v>2.5699920000000001</v>
      </c>
      <c r="E229">
        <f>LN(D229/参数实验室!$E$53)/参数实验室!$E$55</f>
        <v>0.42060407992608878</v>
      </c>
      <c r="F229">
        <f t="shared" si="14"/>
        <v>2.4721438485804414</v>
      </c>
      <c r="G229">
        <f>LN(F229/参数实验室!$E$58)/参数实验室!$E$59</f>
        <v>0.28450787958745927</v>
      </c>
      <c r="H229">
        <f>INDEX(神经网络!$G$10:$BO$70,MATCH(ROUND(G229*2,1)/2,神经网络!$E$10:$E$70,0),MATCH(ROUND(E229*2,1)/2,神经网络!$G$8:$BO$8,0))</f>
        <v>1.8674443627874195</v>
      </c>
    </row>
    <row r="230" spans="1:8">
      <c r="A230" s="799">
        <v>40632</v>
      </c>
      <c r="B230">
        <v>0.78969999999999996</v>
      </c>
      <c r="C230">
        <v>1.961244</v>
      </c>
      <c r="D230">
        <v>2.5567380000000002</v>
      </c>
      <c r="E230">
        <f>LN(D230/参数实验室!$E$53)/参数实验室!$E$55</f>
        <v>0.41450409637638747</v>
      </c>
      <c r="F230">
        <f t="shared" si="14"/>
        <v>2.4835304546030139</v>
      </c>
      <c r="G230">
        <f>LN(F230/参数实验室!$E$58)/参数实验室!$E$59</f>
        <v>0.28691978818330316</v>
      </c>
      <c r="H230">
        <f>INDEX(神经网络!$G$10:$BO$70,MATCH(ROUND(G230*2,1)/2,神经网络!$E$10:$E$70,0),MATCH(ROUND(E230*2,1)/2,神经网络!$G$8:$BO$8,0))</f>
        <v>1.8674443627874195</v>
      </c>
    </row>
    <row r="231" spans="1:8">
      <c r="A231" s="799">
        <v>40633</v>
      </c>
      <c r="B231">
        <v>0.78459999999999996</v>
      </c>
      <c r="C231">
        <v>1.8868210000000001</v>
      </c>
      <c r="D231">
        <v>2.5340940000000001</v>
      </c>
      <c r="E231">
        <f>LN(D231/参数实验室!$E$53)/参数实验室!$E$55</f>
        <v>0.40400895191408254</v>
      </c>
      <c r="F231">
        <f t="shared" si="14"/>
        <v>2.4048190160591387</v>
      </c>
      <c r="G231">
        <f>LN(F231/参数实验室!$E$58)/参数实验室!$E$59</f>
        <v>0.27001609180338515</v>
      </c>
      <c r="H231">
        <f>INDEX(神经网络!$G$10:$BO$70,MATCH(ROUND(G231*2,1)/2,神经网络!$E$10:$E$70,0),MATCH(ROUND(E231*2,1)/2,神经网络!$G$8:$BO$8,0))</f>
        <v>1.8354538561103395</v>
      </c>
    </row>
    <row r="232" spans="1:8">
      <c r="A232" s="799">
        <v>40634</v>
      </c>
      <c r="B232">
        <v>0.77410000000000001</v>
      </c>
      <c r="C232">
        <v>1.887704</v>
      </c>
      <c r="D232">
        <v>2.4943409999999999</v>
      </c>
      <c r="E232">
        <f>LN(D232/参数实验室!$E$53)/参数实验室!$E$55</f>
        <v>0.3853551529535999</v>
      </c>
      <c r="F232">
        <f t="shared" si="14"/>
        <v>2.4385789949618912</v>
      </c>
      <c r="G232">
        <f>LN(F232/参数实验室!$E$58)/参数实验室!$E$59</f>
        <v>0.27733299962343189</v>
      </c>
      <c r="H232">
        <f>INDEX(神经网络!$G$10:$BO$70,MATCH(ROUND(G232*2,1)/2,神经网络!$E$10:$E$70,0),MATCH(ROUND(E232*2,1)/2,神经网络!$G$8:$BO$8,0))</f>
        <v>1.8674443627874195</v>
      </c>
    </row>
    <row r="233" spans="1:8">
      <c r="A233" s="799">
        <v>40635</v>
      </c>
      <c r="B233">
        <v>0.78200000000000003</v>
      </c>
      <c r="C233">
        <v>1.9054850000000001</v>
      </c>
      <c r="D233">
        <v>2.5163929999999999</v>
      </c>
      <c r="E233">
        <f>LN(D233/参数实验室!$E$53)/参数实验室!$E$55</f>
        <v>0.39573929487775023</v>
      </c>
      <c r="F233">
        <f t="shared" si="14"/>
        <v>2.4366815856777495</v>
      </c>
      <c r="G233">
        <f>LN(F233/参数实验室!$E$58)/参数实验室!$E$59</f>
        <v>0.27692446228764389</v>
      </c>
      <c r="H233">
        <f>INDEX(神经网络!$G$10:$BO$70,MATCH(ROUND(G233*2,1)/2,神经网络!$E$10:$E$70,0),MATCH(ROUND(E233*2,1)/2,神经网络!$G$8:$BO$8,0))</f>
        <v>1.8674443627874195</v>
      </c>
    </row>
    <row r="234" spans="1:8">
      <c r="A234" s="799">
        <v>40636</v>
      </c>
      <c r="B234">
        <v>0.77900000000000003</v>
      </c>
      <c r="C234">
        <v>1.972348</v>
      </c>
      <c r="D234">
        <v>2.5013049999999999</v>
      </c>
      <c r="E234">
        <f>LN(D234/参数实验室!$E$53)/参数实验室!$E$55</f>
        <v>0.38864433994278302</v>
      </c>
      <c r="F234">
        <f t="shared" si="14"/>
        <v>2.5318973042362001</v>
      </c>
      <c r="G234">
        <f>LN(F234/参数实验室!$E$58)/参数实验室!$E$59</f>
        <v>0.29704308166546517</v>
      </c>
      <c r="H234">
        <f>INDEX(神经网络!$G$10:$BO$70,MATCH(ROUND(G234*2,1)/2,神经网络!$E$10:$E$70,0),MATCH(ROUND(E234*2,1)/2,神经网络!$G$8:$BO$8,0))</f>
        <v>1.8674443627874195</v>
      </c>
    </row>
    <row r="235" spans="1:8">
      <c r="A235" s="799">
        <v>40637</v>
      </c>
      <c r="B235">
        <v>0.68</v>
      </c>
      <c r="C235">
        <v>2.113264</v>
      </c>
      <c r="D235">
        <v>2.1702089999999998</v>
      </c>
      <c r="E235">
        <f>LN(D235/参数实验室!$E$53)/参数实验室!$E$55</f>
        <v>0.22113221572074163</v>
      </c>
      <c r="F235">
        <f t="shared" si="14"/>
        <v>3.1077411764705882</v>
      </c>
      <c r="G235">
        <f>LN(F235/参数实验室!$E$58)/参数实验室!$E$59</f>
        <v>0.40459995541243138</v>
      </c>
      <c r="H235">
        <f>INDEX(神经网络!$G$10:$BO$70,MATCH(ROUND(G235*2,1)/2,神经网络!$E$10:$E$70,0),MATCH(ROUND(E235*2,1)/2,神经网络!$G$8:$BO$8,0))</f>
        <v>1.6433572765899949</v>
      </c>
    </row>
    <row r="236" spans="1:8">
      <c r="A236" s="799">
        <v>40638</v>
      </c>
      <c r="B236">
        <v>0.71</v>
      </c>
      <c r="C236">
        <v>2.2401520000000001</v>
      </c>
      <c r="D236">
        <v>2.2785139999999999</v>
      </c>
      <c r="E236">
        <f>LN(D236/参数实验室!$E$53)/参数实验室!$E$55</f>
        <v>0.27858619848697286</v>
      </c>
      <c r="F236">
        <f t="shared" si="14"/>
        <v>3.1551436619718314</v>
      </c>
      <c r="G236">
        <f>LN(F236/参数实验室!$E$58)/参数实验室!$E$59</f>
        <v>0.41254513144906124</v>
      </c>
      <c r="H236">
        <f>INDEX(神经网络!$G$10:$BO$70,MATCH(ROUND(G236*2,1)/2,神经网络!$E$10:$E$70,0),MATCH(ROUND(E236*2,1)/2,神经网络!$G$8:$BO$8,0))</f>
        <v>1.7979680543091341</v>
      </c>
    </row>
    <row r="237" spans="1:8">
      <c r="A237" s="799">
        <v>40639</v>
      </c>
      <c r="B237">
        <v>0.74</v>
      </c>
      <c r="C237">
        <v>2.3465790000000002</v>
      </c>
      <c r="D237">
        <v>2.352093</v>
      </c>
      <c r="E237">
        <f>LN(D237/参数实验室!$E$53)/参数实验室!$E$55</f>
        <v>0.31608122695400276</v>
      </c>
      <c r="F237">
        <f t="shared" si="14"/>
        <v>3.1710527027027031</v>
      </c>
      <c r="G237">
        <f>LN(F237/参数实验室!$E$58)/参数实验室!$E$59</f>
        <v>0.41518492998516693</v>
      </c>
      <c r="H237">
        <f>INDEX(神经网络!$G$10:$BO$70,MATCH(ROUND(G237*2,1)/2,神经网络!$E$10:$E$70,0),MATCH(ROUND(E237*2,1)/2,神经网络!$G$8:$BO$8,0))</f>
        <v>1.7979680543091341</v>
      </c>
    </row>
    <row r="238" spans="1:8">
      <c r="A238" s="799">
        <v>40640</v>
      </c>
      <c r="B238">
        <v>0.75380000000000003</v>
      </c>
      <c r="C238">
        <v>2.4214509999999998</v>
      </c>
      <c r="D238">
        <v>2.3912460000000002</v>
      </c>
      <c r="E238">
        <f>LN(D238/参数实验室!$E$53)/参数实验室!$E$55</f>
        <v>0.33555777200188636</v>
      </c>
      <c r="F238">
        <f t="shared" si="14"/>
        <v>3.2123255505439103</v>
      </c>
      <c r="G238">
        <f>LN(F238/参数实验室!$E$58)/参数实验室!$E$59</f>
        <v>0.4219720956738669</v>
      </c>
      <c r="H238">
        <f>INDEX(神经网络!$G$10:$BO$70,MATCH(ROUND(G238*2,1)/2,神经网络!$E$10:$E$70,0),MATCH(ROUND(E238*2,1)/2,神经网络!$G$8:$BO$8,0))</f>
        <v>1.8674428211453629</v>
      </c>
    </row>
    <row r="239" spans="1:8">
      <c r="A239" s="799">
        <v>40641</v>
      </c>
      <c r="B239">
        <v>0.75</v>
      </c>
      <c r="C239">
        <v>2.4240469999999998</v>
      </c>
      <c r="D239">
        <v>2.3738260000000002</v>
      </c>
      <c r="E239">
        <f>LN(D239/参数实验室!$E$53)/参数实验室!$E$55</f>
        <v>0.3269319241387969</v>
      </c>
      <c r="F239">
        <f t="shared" si="14"/>
        <v>3.2320626666666663</v>
      </c>
      <c r="G239">
        <f>LN(F239/参数实验室!$E$58)/参数实验室!$E$59</f>
        <v>0.42518702849180989</v>
      </c>
      <c r="H239">
        <f>INDEX(神经网络!$G$10:$BO$70,MATCH(ROUND(G239*2,1)/2,神经网络!$E$10:$E$70,0),MATCH(ROUND(E239*2,1)/2,神经网络!$G$8:$BO$8,0))</f>
        <v>1.9025101328939398</v>
      </c>
    </row>
    <row r="240" spans="1:8">
      <c r="A240" s="799">
        <v>40642</v>
      </c>
      <c r="B240">
        <v>0.73</v>
      </c>
      <c r="C240">
        <v>2.3617460000000001</v>
      </c>
      <c r="D240">
        <v>2.3198859999999999</v>
      </c>
      <c r="E240">
        <f>LN(D240/参数实验室!$E$53)/参数实验室!$E$55</f>
        <v>0.29981535134182852</v>
      </c>
      <c r="F240">
        <f t="shared" si="14"/>
        <v>3.2352684931506852</v>
      </c>
      <c r="G240">
        <f>LN(F240/参数实验室!$E$58)/参数实验室!$E$59</f>
        <v>0.42570736403294374</v>
      </c>
      <c r="H240">
        <f>INDEX(神经网络!$G$10:$BO$70,MATCH(ROUND(G240*2,1)/2,神经网络!$E$10:$E$70,0),MATCH(ROUND(E240*2,1)/2,神经网络!$G$8:$BO$8,0))</f>
        <v>1.8354401218083576</v>
      </c>
    </row>
    <row r="241" spans="1:8">
      <c r="A241" s="799">
        <v>40643</v>
      </c>
      <c r="B241">
        <v>0.7369</v>
      </c>
      <c r="C241">
        <v>2.3075199999999998</v>
      </c>
      <c r="D241">
        <v>2.3138320000000001</v>
      </c>
      <c r="E241">
        <f>LN(D241/参数实验室!$E$53)/参数实验室!$E$55</f>
        <v>0.29673263020823143</v>
      </c>
      <c r="F241">
        <f t="shared" si="14"/>
        <v>3.131388248066223</v>
      </c>
      <c r="G241">
        <f>LN(F241/参数实验室!$E$58)/参数实验室!$E$59</f>
        <v>0.40857849784019973</v>
      </c>
      <c r="H241">
        <f>INDEX(神经网络!$G$10:$BO$70,MATCH(ROUND(G241*2,1)/2,神经网络!$E$10:$E$70,0),MATCH(ROUND(E241*2,1)/2,神经网络!$G$8:$BO$8,0))</f>
        <v>1.7979680543091341</v>
      </c>
    </row>
    <row r="242" spans="1:8">
      <c r="A242" s="799">
        <v>40644</v>
      </c>
      <c r="B242">
        <v>0.77</v>
      </c>
      <c r="C242">
        <v>2.2842009999999999</v>
      </c>
      <c r="D242">
        <v>2.423991</v>
      </c>
      <c r="E242">
        <f>LN(D242/参数实验室!$E$53)/参数实验室!$E$55</f>
        <v>0.35160334378731573</v>
      </c>
      <c r="F242">
        <f t="shared" si="14"/>
        <v>2.966494805194805</v>
      </c>
      <c r="G242">
        <f>LN(F242/参数实验室!$E$58)/参数实验室!$E$59</f>
        <v>0.38018631872694153</v>
      </c>
      <c r="H242">
        <f>INDEX(神经网络!$G$10:$BO$70,MATCH(ROUND(G242*2,1)/2,神经网络!$E$10:$E$70,0),MATCH(ROUND(E242*2,1)/2,神经网络!$G$8:$BO$8,0))</f>
        <v>1.8674428211453629</v>
      </c>
    </row>
    <row r="243" spans="1:8">
      <c r="A243" s="799">
        <v>40645</v>
      </c>
      <c r="B243">
        <v>0.86</v>
      </c>
      <c r="C243">
        <v>2.2275939999999999</v>
      </c>
      <c r="D243">
        <v>2.6961140000000001</v>
      </c>
      <c r="E243">
        <f>LN(D243/参数实验室!$E$53)/参数实验室!$E$55</f>
        <v>0.47712451350147639</v>
      </c>
      <c r="F243">
        <f t="shared" si="14"/>
        <v>2.5902255813953485</v>
      </c>
      <c r="G243">
        <f>LN(F243/参数实验室!$E$58)/参数实验室!$E$59</f>
        <v>0.30899717029967755</v>
      </c>
      <c r="H243">
        <f>INDEX(神经网络!$G$10:$BO$70,MATCH(ROUND(G243*2,1)/2,神经网络!$E$10:$E$70,0),MATCH(ROUND(E243*2,1)/2,神经网络!$G$8:$BO$8,0))</f>
        <v>1.9943370795744073</v>
      </c>
    </row>
    <row r="244" spans="1:8">
      <c r="A244" s="799">
        <v>40646</v>
      </c>
      <c r="B244">
        <v>0.92249999999999999</v>
      </c>
      <c r="C244">
        <v>2.1253959999999998</v>
      </c>
      <c r="D244">
        <v>2.8913540000000002</v>
      </c>
      <c r="E244">
        <f>LN(D244/参数实验室!$E$53)/参数实验室!$E$55</f>
        <v>0.55960510638590388</v>
      </c>
      <c r="F244">
        <f t="shared" si="14"/>
        <v>2.3039523035230349</v>
      </c>
      <c r="G244">
        <f>LN(F244/参数实验室!$E$58)/参数实验室!$E$59</f>
        <v>0.24752682743896026</v>
      </c>
      <c r="H244">
        <f>INDEX(神经网络!$G$10:$BO$70,MATCH(ROUND(G244*2,1)/2,神经网络!$E$10:$E$70,0),MATCH(ROUND(E244*2,1)/2,神经网络!$G$8:$BO$8,0))</f>
        <v>2.0214042838760595</v>
      </c>
    </row>
    <row r="245" spans="1:8">
      <c r="A245" s="799">
        <v>40647</v>
      </c>
      <c r="B245">
        <v>1</v>
      </c>
      <c r="C245">
        <v>2.0715669999999999</v>
      </c>
      <c r="D245">
        <v>3.0731980000000001</v>
      </c>
      <c r="E245">
        <f>LN(D245/参数实验室!$E$53)/参数实验室!$E$55</f>
        <v>0.63156275006919582</v>
      </c>
      <c r="F245">
        <f t="shared" si="14"/>
        <v>2.0715669999999999</v>
      </c>
      <c r="G245">
        <f>LN(F245/参数实验室!$E$58)/参数实验室!$E$59</f>
        <v>0.19172397015100376</v>
      </c>
      <c r="H245">
        <f>INDEX(神经网络!$G$10:$BO$70,MATCH(ROUND(G245*2,1)/2,神经网络!$E$10:$E$70,0),MATCH(ROUND(E245*2,1)/2,神经网络!$G$8:$BO$8,0))</f>
        <v>2.0969204994102686</v>
      </c>
    </row>
    <row r="246" spans="1:8">
      <c r="A246" s="799">
        <v>40648</v>
      </c>
      <c r="B246">
        <v>0.9899</v>
      </c>
      <c r="C246">
        <v>2.0801669999999999</v>
      </c>
      <c r="D246">
        <v>2.9933320000000001</v>
      </c>
      <c r="E246">
        <f>LN(D246/参数实验室!$E$53)/参数实验室!$E$55</f>
        <v>0.60049800082733207</v>
      </c>
      <c r="F246">
        <f t="shared" si="14"/>
        <v>2.1013910496009696</v>
      </c>
      <c r="G246">
        <f>LN(F246/参数实验室!$E$58)/参数实验室!$E$59</f>
        <v>0.19922634106190437</v>
      </c>
      <c r="H246">
        <f>INDEX(神经网络!$G$10:$BO$70,MATCH(ROUND(G246*2,1)/2,神经网络!$E$10:$E$70,0),MATCH(ROUND(E246*2,1)/2,神经网络!$G$8:$BO$8,0))</f>
        <v>2.0470048704470818</v>
      </c>
    </row>
    <row r="247" spans="1:8">
      <c r="A247" s="799">
        <v>40649</v>
      </c>
      <c r="B247">
        <v>1.0499000000000001</v>
      </c>
      <c r="C247">
        <v>2.0493549999999998</v>
      </c>
      <c r="D247">
        <v>3.1561520000000001</v>
      </c>
      <c r="E247">
        <f>LN(D247/参数实验室!$E$53)/参数实验室!$E$55</f>
        <v>0.66298530173961712</v>
      </c>
      <c r="F247">
        <f t="shared" si="14"/>
        <v>1.9519525669111342</v>
      </c>
      <c r="G247">
        <f>LN(F247/参数实验室!$E$58)/参数实验室!$E$59</f>
        <v>0.16050820363113188</v>
      </c>
      <c r="H247">
        <f>INDEX(神经网络!$G$10:$BO$70,MATCH(ROUND(G247*2,1)/2,神经网络!$E$10:$E$70,0),MATCH(ROUND(E247*2,1)/2,神经网络!$G$8:$BO$8,0))</f>
        <v>2.07401495627284</v>
      </c>
    </row>
    <row r="248" spans="1:8">
      <c r="A248" s="799">
        <v>40650</v>
      </c>
      <c r="B248">
        <v>1.1123000000000001</v>
      </c>
      <c r="C248">
        <v>1.984775</v>
      </c>
      <c r="D248">
        <v>3.2738610000000001</v>
      </c>
      <c r="E248">
        <f>LN(D248/参数实验室!$E$53)/参数实验室!$E$55</f>
        <v>0.70618368717995461</v>
      </c>
      <c r="F248">
        <f t="shared" si="14"/>
        <v>1.7843882046210553</v>
      </c>
      <c r="G248">
        <f>LN(F248/参数实验室!$E$58)/参数实验室!$E$59</f>
        <v>0.11340015259016453</v>
      </c>
      <c r="H248">
        <f>INDEX(神经网络!$G$10:$BO$70,MATCH(ROUND(G248*2,1)/2,神经网络!$E$10:$E$70,0),MATCH(ROUND(E248*2,1)/2,神经网络!$G$8:$BO$8,0))</f>
        <v>2.0967113097084571</v>
      </c>
    </row>
    <row r="249" spans="1:8">
      <c r="A249" s="799">
        <v>40651</v>
      </c>
      <c r="B249">
        <v>1.1619999999999999</v>
      </c>
      <c r="C249">
        <v>1.9534020000000001</v>
      </c>
      <c r="D249">
        <v>3.3747379999999998</v>
      </c>
      <c r="E249">
        <f>LN(D249/参数实验室!$E$53)/参数实验室!$E$55</f>
        <v>0.74198644853732998</v>
      </c>
      <c r="F249">
        <f t="shared" si="14"/>
        <v>1.681068846815835</v>
      </c>
      <c r="G249">
        <f>LN(F249/参数实验室!$E$58)/参数实验室!$E$59</f>
        <v>8.209481093713164E-2</v>
      </c>
      <c r="H249">
        <f>INDEX(神经网络!$G$10:$BO$70,MATCH(ROUND(G249*2,1)/2,神经网络!$E$10:$E$70,0),MATCH(ROUND(E249*2,1)/2,神经网络!$G$8:$BO$8,0))</f>
        <v>2.1426619901127339</v>
      </c>
    </row>
    <row r="250" spans="1:8">
      <c r="A250" s="799">
        <v>40652</v>
      </c>
      <c r="B250">
        <v>1.1979</v>
      </c>
      <c r="C250">
        <v>1.9420980000000001</v>
      </c>
      <c r="D250">
        <v>3.4249830000000001</v>
      </c>
      <c r="E250">
        <f>LN(D250/参数实验室!$E$53)/参数实验室!$E$55</f>
        <v>0.75942180526496894</v>
      </c>
      <c r="F250">
        <f t="shared" si="14"/>
        <v>1.6212521913348361</v>
      </c>
      <c r="G250">
        <f>LN(F250/参数实验室!$E$58)/参数实验室!$E$59</f>
        <v>6.3078823484837135E-2</v>
      </c>
      <c r="H250">
        <f>INDEX(神经网络!$G$10:$BO$70,MATCH(ROUND(G250*2,1)/2,神经网络!$E$10:$E$70,0),MATCH(ROUND(E250*2,1)/2,神经网络!$G$8:$BO$8,0))</f>
        <v>2.1196463632046538</v>
      </c>
    </row>
    <row r="251" spans="1:8">
      <c r="A251" s="799">
        <v>40653</v>
      </c>
      <c r="B251">
        <v>1.1420999999999999</v>
      </c>
      <c r="C251">
        <v>1.9553700000000001</v>
      </c>
      <c r="D251">
        <v>3.2848600000000001</v>
      </c>
      <c r="E251">
        <f>LN(D251/参数实验室!$E$53)/参数实验室!$E$55</f>
        <v>0.71014059222131443</v>
      </c>
      <c r="F251">
        <f t="shared" si="14"/>
        <v>1.7120830049908067</v>
      </c>
      <c r="G251">
        <f>LN(F251/参数实验室!$E$58)/参数实验室!$E$59</f>
        <v>9.1689642144084496E-2</v>
      </c>
      <c r="H251">
        <f>INDEX(神经网络!$G$10:$BO$70,MATCH(ROUND(G251*2,1)/2,神经网络!$E$10:$E$70,0),MATCH(ROUND(E251*2,1)/2,神经网络!$G$8:$BO$8,0))</f>
        <v>2.0967113097084571</v>
      </c>
    </row>
    <row r="252" spans="1:8">
      <c r="A252" s="799">
        <v>40654</v>
      </c>
      <c r="B252">
        <v>1.21</v>
      </c>
      <c r="C252">
        <v>1.930626</v>
      </c>
      <c r="D252">
        <v>3.4390580000000002</v>
      </c>
      <c r="E252">
        <f>LN(D252/参数实验室!$E$53)/参数实验室!$E$55</f>
        <v>0.76426007770015103</v>
      </c>
      <c r="F252">
        <f t="shared" si="14"/>
        <v>1.5955586776859505</v>
      </c>
      <c r="G252">
        <f>LN(F252/参数实验室!$E$58)/参数实验室!$E$59</f>
        <v>5.4694350880349983E-2</v>
      </c>
      <c r="H252">
        <f>INDEX(神经网络!$G$10:$BO$70,MATCH(ROUND(G252*2,1)/2,神经网络!$E$10:$E$70,0),MATCH(ROUND(E252*2,1)/2,神经网络!$G$8:$BO$8,0))</f>
        <v>2.1196463632046538</v>
      </c>
    </row>
    <row r="253" spans="1:8">
      <c r="A253" s="799">
        <v>40655</v>
      </c>
      <c r="B253">
        <v>1.409</v>
      </c>
      <c r="C253">
        <v>1.9185129999999999</v>
      </c>
      <c r="D253">
        <v>3.9043160000000001</v>
      </c>
      <c r="E253">
        <f>LN(D253/参数实验室!$E$53)/参数实验室!$E$55</f>
        <v>0.91395308130119379</v>
      </c>
      <c r="F253">
        <f t="shared" si="14"/>
        <v>1.3616132008516677</v>
      </c>
      <c r="G253">
        <f>LN(F253/参数实验室!$E$58)/参数实验室!$E$59</f>
        <v>-2.8523235907190286E-2</v>
      </c>
      <c r="H253">
        <f>INDEX(神经网络!$G$10:$BO$70,MATCH(ROUND(G253*2,1)/2,神经网络!$E$10:$E$70,0),MATCH(ROUND(E253*2,1)/2,神经网络!$G$8:$BO$8,0))</f>
        <v>2.2004594279660434</v>
      </c>
    </row>
    <row r="254" spans="1:8">
      <c r="A254" s="799">
        <v>40656</v>
      </c>
      <c r="B254">
        <v>1.7000999999999999</v>
      </c>
      <c r="C254">
        <v>1.9051579999999999</v>
      </c>
      <c r="D254">
        <v>4.8609970000000002</v>
      </c>
      <c r="E254">
        <f>LN(D254/参数实验室!$E$53)/参数实验室!$E$55</f>
        <v>1.1725089265644788</v>
      </c>
      <c r="F254">
        <f t="shared" si="14"/>
        <v>1.1206152579260042</v>
      </c>
      <c r="G254">
        <f>LN(F254/参数实验室!$E$58)/参数实验室!$E$59</f>
        <v>-0.13076076316371593</v>
      </c>
      <c r="H254">
        <f>INDEX(神经网络!$G$10:$BO$70,MATCH(ROUND(G254*2,1)/2,神经网络!$E$10:$E$70,0),MATCH(ROUND(E254*2,1)/2,神经网络!$G$8:$BO$8,0))</f>
        <v>2.314973800331189</v>
      </c>
    </row>
    <row r="255" spans="1:8">
      <c r="A255" s="799">
        <v>40657</v>
      </c>
      <c r="B255">
        <v>1.6301000000000001</v>
      </c>
      <c r="C255">
        <v>1.9272800000000001</v>
      </c>
      <c r="D255">
        <v>4.275436</v>
      </c>
      <c r="E255">
        <f>LN(D255/参数实验室!$E$53)/参数实验室!$E$55</f>
        <v>1.0210787785569622</v>
      </c>
      <c r="F255">
        <f t="shared" si="14"/>
        <v>1.1823078338752224</v>
      </c>
      <c r="G255">
        <f>LN(F255/参数实验室!$E$58)/参数实验室!$E$59</f>
        <v>-0.10263359990397021</v>
      </c>
      <c r="H255">
        <f>INDEX(神经网络!$G$10:$BO$70,MATCH(ROUND(G255*2,1)/2,神经网络!$E$10:$E$70,0),MATCH(ROUND(E255*2,1)/2,神经网络!$G$8:$BO$8,0))</f>
        <v>2.2496325084698583</v>
      </c>
    </row>
    <row r="256" spans="1:8">
      <c r="A256" s="799">
        <v>40658</v>
      </c>
      <c r="B256">
        <v>1.5589999999999999</v>
      </c>
      <c r="C256">
        <v>1.876126</v>
      </c>
      <c r="D256">
        <v>4.0611319999999997</v>
      </c>
      <c r="E256">
        <f>LN(D256/参数实验室!$E$53)/参数实验室!$E$55</f>
        <v>0.96041075487264183</v>
      </c>
      <c r="F256">
        <f t="shared" si="14"/>
        <v>1.2034162924951892</v>
      </c>
      <c r="G256">
        <f>LN(F256/参数实验室!$E$58)/参数实验室!$E$59</f>
        <v>-9.3345728905048345E-2</v>
      </c>
      <c r="H256">
        <f>INDEX(神经网络!$G$10:$BO$70,MATCH(ROUND(G256*2,1)/2,神经网络!$E$10:$E$70,0),MATCH(ROUND(E256*2,1)/2,神经网络!$G$8:$BO$8,0))</f>
        <v>2.2157207323039096</v>
      </c>
    </row>
    <row r="257" spans="1:8">
      <c r="A257" s="799">
        <v>40659</v>
      </c>
      <c r="B257">
        <v>1.7948999999999999</v>
      </c>
      <c r="C257">
        <v>1.8292919999999999</v>
      </c>
      <c r="D257">
        <v>4.5145970000000002</v>
      </c>
      <c r="E257">
        <f>LN(D257/参数实验室!$E$53)/参数实验室!$E$55</f>
        <v>1.0852925581155959</v>
      </c>
      <c r="F257">
        <f t="shared" si="14"/>
        <v>1.0191609560421193</v>
      </c>
      <c r="G257">
        <f>LN(F257/参数实验室!$E$58)/参数实验室!$E$59</f>
        <v>-0.18056845412175343</v>
      </c>
      <c r="H257">
        <f>INDEX(神经网络!$G$10:$BO$70,MATCH(ROUND(G257*2,1)/2,神经网络!$E$10:$E$70,0),MATCH(ROUND(E257*2,1)/2,神经网络!$G$8:$BO$8,0))</f>
        <v>2.2757509291318341</v>
      </c>
    </row>
    <row r="258" spans="1:8">
      <c r="A258" s="799">
        <v>40660</v>
      </c>
      <c r="B258">
        <v>1.9</v>
      </c>
      <c r="C258">
        <v>1.822989</v>
      </c>
      <c r="D258">
        <v>4.767442</v>
      </c>
      <c r="E258">
        <f>LN(D258/参数实验室!$E$53)/参数实验室!$E$55</f>
        <v>1.1495819934714759</v>
      </c>
      <c r="F258">
        <f t="shared" si="14"/>
        <v>0.95946789473684213</v>
      </c>
      <c r="G258">
        <f>LN(F258/参数实验室!$E$58)/参数实验室!$E$59</f>
        <v>-0.21224660834255726</v>
      </c>
      <c r="H258">
        <f>INDEX(神经网络!$G$10:$BO$70,MATCH(ROUND(G258*2,1)/2,神经网络!$E$10:$E$70,0),MATCH(ROUND(E258*2,1)/2,神经网络!$G$8:$BO$8,0))</f>
        <v>2.3000703531959235</v>
      </c>
    </row>
    <row r="259" spans="1:8">
      <c r="A259" s="799">
        <v>40661</v>
      </c>
      <c r="B259">
        <v>2.2105999999999999</v>
      </c>
      <c r="C259">
        <v>1.830835</v>
      </c>
      <c r="D259">
        <v>5.5356249999999996</v>
      </c>
      <c r="E259">
        <f>LN(D259/参数实验室!$E$53)/参数实验室!$E$55</f>
        <v>1.3258307396020577</v>
      </c>
      <c r="F259">
        <f t="shared" si="14"/>
        <v>0.82820727404324623</v>
      </c>
      <c r="G259">
        <f>LN(F259/参数实验室!$E$58)/参数实验室!$E$59</f>
        <v>-0.28946072106851722</v>
      </c>
      <c r="H259">
        <f>INDEX(神经网络!$G$10:$BO$70,MATCH(ROUND(G259*2,1)/2,神经网络!$E$10:$E$70,0),MATCH(ROUND(E259*2,1)/2,神经网络!$G$8:$BO$8,0))</f>
        <v>2.3570693202041508</v>
      </c>
    </row>
    <row r="260" spans="1:8">
      <c r="A260" s="799">
        <v>40662</v>
      </c>
      <c r="B260">
        <v>2.88</v>
      </c>
      <c r="C260">
        <v>1.794502</v>
      </c>
      <c r="D260">
        <v>5.2795649999999998</v>
      </c>
      <c r="E260">
        <f>LN(D260/参数实验室!$E$53)/参数实验室!$E$55</f>
        <v>1.269956718004521</v>
      </c>
      <c r="F260">
        <f t="shared" si="14"/>
        <v>0.62309097222222221</v>
      </c>
      <c r="G260">
        <f>LN(F260/参数实验室!$E$58)/参数实验室!$E$59</f>
        <v>-0.43881892058633781</v>
      </c>
      <c r="H260">
        <f>INDEX(神经网络!$G$10:$BO$70,MATCH(ROUND(G260*2,1)/2,神经网络!$E$10:$E$70,0),MATCH(ROUND(E260*2,1)/2,神经网络!$G$8:$BO$8,0))</f>
        <v>2.2601961124855467</v>
      </c>
    </row>
    <row r="261" spans="1:8">
      <c r="A261" s="799">
        <v>40663</v>
      </c>
      <c r="B261">
        <v>3.5</v>
      </c>
      <c r="C261">
        <v>1.8173999999999999</v>
      </c>
      <c r="D261">
        <v>5.7434070000000004</v>
      </c>
      <c r="E261">
        <f>LN(D261/参数实验室!$E$53)/参数实验室!$E$55</f>
        <v>1.3693024177030451</v>
      </c>
      <c r="F261">
        <f t="shared" ref="F261:F324" si="15">C261/B261</f>
        <v>0.51925714285714286</v>
      </c>
      <c r="G261">
        <f>LN(F261/参数实验室!$E$58)/参数实验室!$E$59</f>
        <v>-0.5344963025159376</v>
      </c>
      <c r="H261">
        <f>INDEX(神经网络!$G$10:$BO$70,MATCH(ROUND(G261*2,1)/2,神经网络!$E$10:$E$70,0),MATCH(ROUND(E261*2,1)/2,神经网络!$G$8:$BO$8,0))</f>
        <v>2.2583414762210263</v>
      </c>
    </row>
    <row r="262" spans="1:8">
      <c r="A262" s="799">
        <v>40664</v>
      </c>
      <c r="B262">
        <v>3.0331000000000001</v>
      </c>
      <c r="C262">
        <v>1.8238399999999999</v>
      </c>
      <c r="D262">
        <v>4.9671940000000001</v>
      </c>
      <c r="E262">
        <f>LN(D262/参数实验室!$E$53)/参数实验室!$E$55</f>
        <v>1.198005201829081</v>
      </c>
      <c r="F262">
        <f t="shared" si="15"/>
        <v>0.60131218884969173</v>
      </c>
      <c r="G262">
        <f>LN(F262/参数实验室!$E$58)/参数实验室!$E$59</f>
        <v>-0.45749232589022026</v>
      </c>
      <c r="H262">
        <f>INDEX(神经网络!$G$10:$BO$70,MATCH(ROUND(G262*2,1)/2,神经网络!$E$10:$E$70,0),MATCH(ROUND(E262*2,1)/2,神经网络!$G$8:$BO$8,0))</f>
        <v>2.2304859225748817</v>
      </c>
    </row>
    <row r="263" spans="1:8">
      <c r="A263" s="799">
        <v>40665</v>
      </c>
      <c r="B263">
        <v>3.2</v>
      </c>
      <c r="C263">
        <v>1.8162450000000001</v>
      </c>
      <c r="D263">
        <v>5.054862</v>
      </c>
      <c r="E263">
        <f>LN(D263/参数实验室!$E$53)/参数实验室!$E$55</f>
        <v>1.2186455266372278</v>
      </c>
      <c r="F263">
        <f t="shared" si="15"/>
        <v>0.56757656249999999</v>
      </c>
      <c r="G263">
        <f>LN(F263/参数实验室!$E$58)/参数实验室!$E$59</f>
        <v>-0.48779666171527919</v>
      </c>
      <c r="H263">
        <f>INDEX(神经网络!$G$10:$BO$70,MATCH(ROUND(G263*2,1)/2,神经网络!$E$10:$E$70,0),MATCH(ROUND(E263*2,1)/2,神经网络!$G$8:$BO$8,0))</f>
        <v>2.2009504570908627</v>
      </c>
    </row>
    <row r="264" spans="1:8">
      <c r="A264" s="799">
        <v>40666</v>
      </c>
      <c r="B264">
        <v>3.41</v>
      </c>
      <c r="C264">
        <v>1.804441</v>
      </c>
      <c r="D264">
        <v>5.1334920000000004</v>
      </c>
      <c r="E264">
        <f>LN(D264/参数实验室!$E$53)/参数实验室!$E$55</f>
        <v>1.236855698638021</v>
      </c>
      <c r="F264">
        <f t="shared" si="15"/>
        <v>0.52916158357771259</v>
      </c>
      <c r="G264">
        <f>LN(F264/参数实验室!$E$58)/参数实验室!$E$59</f>
        <v>-0.52457938615517719</v>
      </c>
      <c r="H264">
        <f>INDEX(神经网络!$G$10:$BO$70,MATCH(ROUND(G264*2,1)/2,神经网络!$E$10:$E$70,0),MATCH(ROUND(E264*2,1)/2,神经网络!$G$8:$BO$8,0))</f>
        <v>2.2313984672263567</v>
      </c>
    </row>
    <row r="265" spans="1:8">
      <c r="A265" s="799">
        <v>40667</v>
      </c>
      <c r="B265">
        <v>3.4060999999999999</v>
      </c>
      <c r="C265">
        <v>1.794926</v>
      </c>
      <c r="D265">
        <v>4.8433780000000004</v>
      </c>
      <c r="E265">
        <f>LN(D265/参数实验室!$E$53)/参数实验室!$E$55</f>
        <v>1.1682250658841837</v>
      </c>
      <c r="F265">
        <f t="shared" si="15"/>
        <v>0.52697395848624529</v>
      </c>
      <c r="G265">
        <f>LN(F265/参数实验室!$E$58)/参数实验室!$E$59</f>
        <v>-0.52675370085318018</v>
      </c>
      <c r="H265">
        <f>INDEX(神经网络!$G$10:$BO$70,MATCH(ROUND(G265*2,1)/2,神经网络!$E$10:$E$70,0),MATCH(ROUND(E265*2,1)/2,神经网络!$G$8:$BO$8,0))</f>
        <v>2.1264567143788007</v>
      </c>
    </row>
    <row r="266" spans="1:8">
      <c r="A266" s="799">
        <v>40668</v>
      </c>
      <c r="B266">
        <v>3.3330000000000002</v>
      </c>
      <c r="C266">
        <v>1.780459</v>
      </c>
      <c r="D266">
        <v>4.6766459999999999</v>
      </c>
      <c r="E266">
        <f>LN(D266/参数实验室!$E$53)/参数实验室!$E$55</f>
        <v>1.1268968647439723</v>
      </c>
      <c r="F266">
        <f t="shared" si="15"/>
        <v>0.53419111911191119</v>
      </c>
      <c r="G266">
        <f>LN(F266/参数实验室!$E$58)/参数实验室!$E$59</f>
        <v>-0.51961435105623932</v>
      </c>
      <c r="H266">
        <f>INDEX(神经网络!$G$10:$BO$70,MATCH(ROUND(G266*2,1)/2,神经网络!$E$10:$E$70,0),MATCH(ROUND(E266*2,1)/2,神经网络!$G$8:$BO$8,0))</f>
        <v>2.1665152780841392</v>
      </c>
    </row>
    <row r="267" spans="1:8">
      <c r="A267" s="799">
        <v>40669</v>
      </c>
      <c r="B267">
        <v>3.45</v>
      </c>
      <c r="C267">
        <v>1.721069</v>
      </c>
      <c r="D267">
        <v>4.636031</v>
      </c>
      <c r="E267">
        <f>LN(D267/参数实验室!$E$53)/参数实验室!$E$55</f>
        <v>1.116606379676764</v>
      </c>
      <c r="F267">
        <f t="shared" si="15"/>
        <v>0.49886057971014491</v>
      </c>
      <c r="G267">
        <f>LN(F267/参数实验室!$E$58)/参数实验室!$E$59</f>
        <v>-0.55552854840021415</v>
      </c>
      <c r="H267">
        <f>INDEX(神经网络!$G$10:$BO$70,MATCH(ROUND(G267*2,1)/2,神经网络!$E$10:$E$70,0),MATCH(ROUND(E267*2,1)/2,神经网络!$G$8:$BO$8,0))</f>
        <v>2.0872191537728928</v>
      </c>
    </row>
    <row r="268" spans="1:8">
      <c r="A268" s="799">
        <v>40670</v>
      </c>
      <c r="B268">
        <v>3.641</v>
      </c>
      <c r="C268">
        <v>1.6671560000000001</v>
      </c>
      <c r="D268">
        <v>4.8079280000000004</v>
      </c>
      <c r="E268">
        <f>LN(D268/参数实验室!$E$53)/参数实验室!$E$55</f>
        <v>1.159558375473164</v>
      </c>
      <c r="F268">
        <f t="shared" si="15"/>
        <v>0.45788409777533645</v>
      </c>
      <c r="G268">
        <f>LN(F268/参数实验室!$E$58)/参数实验室!$E$59</f>
        <v>-0.60051408595726874</v>
      </c>
      <c r="H268">
        <f>INDEX(神经网络!$G$10:$BO$70,MATCH(ROUND(G268*2,1)/2,神经网络!$E$10:$E$70,0),MATCH(ROUND(E268*2,1)/2,神经网络!$G$8:$BO$8,0))</f>
        <v>2.0725120820988985</v>
      </c>
    </row>
    <row r="269" spans="1:8">
      <c r="A269" s="799">
        <v>40671</v>
      </c>
      <c r="B269">
        <v>3.8658999999999999</v>
      </c>
      <c r="C269">
        <v>1.6286050000000001</v>
      </c>
      <c r="D269">
        <v>4.9234859999999996</v>
      </c>
      <c r="E269">
        <f>LN(D269/参数实验室!$E$53)/参数实验室!$E$55</f>
        <v>1.1875782159287953</v>
      </c>
      <c r="F269">
        <f t="shared" si="15"/>
        <v>0.42127447683592439</v>
      </c>
      <c r="G269">
        <f>LN(F269/参数实验室!$E$58)/参数实验室!$E$59</f>
        <v>-0.6442509633963408</v>
      </c>
      <c r="H269">
        <f>INDEX(神经网络!$G$10:$BO$70,MATCH(ROUND(G269*2,1)/2,神经网络!$E$10:$E$70,0),MATCH(ROUND(E269*2,1)/2,神经网络!$G$8:$BO$8,0))</f>
        <v>2.0459067254776784</v>
      </c>
    </row>
    <row r="270" spans="1:8">
      <c r="A270" s="799">
        <v>40672</v>
      </c>
      <c r="B270">
        <v>3.8</v>
      </c>
      <c r="C270">
        <v>1.566149</v>
      </c>
      <c r="D270">
        <v>4.7759830000000001</v>
      </c>
      <c r="E270">
        <f>LN(D270/参数实验室!$E$53)/参数实验室!$E$55</f>
        <v>1.1516936620070355</v>
      </c>
      <c r="F270">
        <f t="shared" si="15"/>
        <v>0.41214447368421053</v>
      </c>
      <c r="G270">
        <f>LN(F270/参数实验室!$E$58)/参数实验室!$E$59</f>
        <v>-0.65575084774633885</v>
      </c>
      <c r="H270">
        <f>INDEX(神经网络!$G$10:$BO$70,MATCH(ROUND(G270*2,1)/2,神经网络!$E$10:$E$70,0),MATCH(ROUND(E270*2,1)/2,神经网络!$G$8:$BO$8,0))</f>
        <v>2.002072333034763</v>
      </c>
    </row>
    <row r="271" spans="1:8">
      <c r="A271" s="799">
        <v>40673</v>
      </c>
      <c r="B271">
        <v>5.81</v>
      </c>
      <c r="C271">
        <v>1.565869</v>
      </c>
      <c r="D271">
        <v>6.2849560000000002</v>
      </c>
      <c r="E271">
        <f>LN(D271/参数实验室!$E$53)/参数实验室!$E$55</f>
        <v>1.4756055619433077</v>
      </c>
      <c r="F271">
        <f t="shared" si="15"/>
        <v>0.26951273666092945</v>
      </c>
      <c r="G271">
        <f>LN(F271/参数实验室!$E$58)/参数实验室!$E$59</f>
        <v>-0.87868696019503112</v>
      </c>
      <c r="H271">
        <f>INDEX(神经网络!$G$10:$BO$70,MATCH(ROUND(G271*2,1)/2,神经网络!$E$10:$E$70,0),MATCH(ROUND(E271*2,1)/2,神经网络!$G$8:$BO$8,0))</f>
        <v>2.1995048281274063</v>
      </c>
    </row>
    <row r="272" spans="1:8">
      <c r="A272" s="799">
        <v>40674</v>
      </c>
      <c r="B272">
        <v>5.5</v>
      </c>
      <c r="C272">
        <v>1.5505850000000001</v>
      </c>
      <c r="D272">
        <v>5.7737559999999997</v>
      </c>
      <c r="E272">
        <f>LN(D272/参数实验室!$E$53)/参数实验室!$E$55</f>
        <v>1.375519992999056</v>
      </c>
      <c r="F272">
        <f t="shared" si="15"/>
        <v>0.28192454545454548</v>
      </c>
      <c r="G272">
        <f>LN(F272/参数实验室!$E$58)/参数实验室!$E$59</f>
        <v>-0.85505602819851612</v>
      </c>
      <c r="H272">
        <f>INDEX(神经网络!$G$10:$BO$70,MATCH(ROUND(G272*2,1)/2,神经网络!$E$10:$E$70,0),MATCH(ROUND(E272*2,1)/2,神经网络!$G$8:$BO$8,0))</f>
        <v>2.0644990249469601</v>
      </c>
    </row>
    <row r="273" spans="1:8">
      <c r="A273" s="799">
        <v>40675</v>
      </c>
      <c r="B273">
        <v>6.3002000000000002</v>
      </c>
      <c r="C273">
        <v>1.553099</v>
      </c>
      <c r="D273">
        <v>6.2361959999999996</v>
      </c>
      <c r="E273">
        <f>LN(D273/参数实验室!$E$53)/参数实验室!$E$55</f>
        <v>1.4664171008553777</v>
      </c>
      <c r="F273">
        <f t="shared" si="15"/>
        <v>0.24651582489444779</v>
      </c>
      <c r="G273">
        <f>LN(F273/参数实验室!$E$58)/参数实验室!$E$59</f>
        <v>-0.92549840876756861</v>
      </c>
      <c r="H273">
        <f>INDEX(神经网络!$G$10:$BO$70,MATCH(ROUND(G273*2,1)/2,神经网络!$E$10:$E$70,0),MATCH(ROUND(E273*2,1)/2,神经网络!$G$8:$BO$8,0))</f>
        <v>2.1080688531247165</v>
      </c>
    </row>
    <row r="274" spans="1:8">
      <c r="A274" s="799">
        <v>40676</v>
      </c>
      <c r="B274">
        <v>8.1980000000000004</v>
      </c>
      <c r="C274">
        <v>1.551385</v>
      </c>
      <c r="D274">
        <v>6.816103</v>
      </c>
      <c r="E274">
        <f>LN(D274/参数实验室!$E$53)/参数实验室!$E$55</f>
        <v>1.5713178332965692</v>
      </c>
      <c r="F274">
        <f t="shared" si="15"/>
        <v>0.18923944864601122</v>
      </c>
      <c r="G274">
        <f>LN(F274/参数实验室!$E$58)/参数实验室!$E$59</f>
        <v>-1.0642766684342924</v>
      </c>
      <c r="H274" t="e">
        <f>INDEX(神经网络!$G$10:$BO$70,MATCH(ROUND(G274*2,1)/2,神经网络!$E$10:$E$70,0),MATCH(ROUND(E274*2,1)/2,神经网络!$G$8:$BO$8,0))</f>
        <v>#N/A</v>
      </c>
    </row>
    <row r="275" spans="1:8">
      <c r="A275" s="799">
        <v>40677</v>
      </c>
      <c r="B275">
        <v>7.1977000000000002</v>
      </c>
      <c r="C275">
        <v>1.494459</v>
      </c>
      <c r="D275">
        <v>5.7111510000000001</v>
      </c>
      <c r="E275">
        <f>LN(D275/参数实验室!$E$53)/参数实验室!$E$55</f>
        <v>1.3626580371471606</v>
      </c>
      <c r="F275">
        <f t="shared" si="15"/>
        <v>0.20763007627436542</v>
      </c>
      <c r="G275">
        <f>LN(F275/参数实验室!$E$58)/参数实验室!$E$59</f>
        <v>-1.0155991433814697</v>
      </c>
      <c r="H275">
        <f>INDEX(神经网络!$G$10:$BO$70,MATCH(ROUND(G275*2,1)/2,神经网络!$E$10:$E$70,0),MATCH(ROUND(E275*2,1)/2,神经网络!$G$8:$BO$8,0))</f>
        <v>1.8556812315409725</v>
      </c>
    </row>
    <row r="276" spans="1:8">
      <c r="A276" s="799">
        <v>40678</v>
      </c>
      <c r="B276">
        <v>6.9870000000000001</v>
      </c>
      <c r="C276">
        <v>1.4380949999999999</v>
      </c>
      <c r="D276">
        <v>5.3887879999999999</v>
      </c>
      <c r="E276">
        <f>LN(D276/参数实验室!$E$53)/参数实验室!$E$55</f>
        <v>1.2941142784027868</v>
      </c>
      <c r="F276">
        <f t="shared" si="15"/>
        <v>0.20582438814942033</v>
      </c>
      <c r="G276">
        <f>LN(F276/参数实验室!$E$58)/参数实验室!$E$59</f>
        <v>-1.0201835840877556</v>
      </c>
      <c r="H276">
        <f>INDEX(神经网络!$G$10:$BO$70,MATCH(ROUND(G276*2,1)/2,神经网络!$E$10:$E$70,0),MATCH(ROUND(E276*2,1)/2,神经网络!$G$8:$BO$8,0))</f>
        <v>1.68178606003398</v>
      </c>
    </row>
    <row r="277" spans="1:8">
      <c r="A277" s="799">
        <v>40679</v>
      </c>
      <c r="B277">
        <v>8.0338999999999992</v>
      </c>
      <c r="C277">
        <v>1.393076</v>
      </c>
      <c r="D277">
        <v>5.6494809999999998</v>
      </c>
      <c r="E277">
        <f>LN(D277/参数实验室!$E$53)/参数实验室!$E$55</f>
        <v>1.3498495776868906</v>
      </c>
      <c r="F277">
        <f t="shared" si="15"/>
        <v>0.17339971869204249</v>
      </c>
      <c r="G277">
        <f>LN(F277/参数实验室!$E$58)/参数实验室!$E$59</f>
        <v>-1.1101560997822748</v>
      </c>
      <c r="H277">
        <f>INDEX(神经网络!$G$10:$BO$70,MATCH(ROUND(G277*2,1)/2,神经网络!$E$10:$E$70,0),MATCH(ROUND(E277*2,1)/2,神经网络!$G$8:$BO$8,0))</f>
        <v>1.8214326401195626</v>
      </c>
    </row>
    <row r="278" spans="1:8">
      <c r="A278" s="799">
        <v>40680</v>
      </c>
      <c r="B278">
        <v>7.19</v>
      </c>
      <c r="C278">
        <v>1.3484160000000001</v>
      </c>
      <c r="D278">
        <v>5.0590909999999996</v>
      </c>
      <c r="E278">
        <f>LN(D278/参数实验室!$E$53)/参数实验室!$E$55</f>
        <v>1.2196321194678499</v>
      </c>
      <c r="F278">
        <f t="shared" si="15"/>
        <v>0.18754047287899861</v>
      </c>
      <c r="G278">
        <f>LN(F278/参数实验室!$E$58)/参数实验室!$E$59</f>
        <v>-1.0690100435068541</v>
      </c>
      <c r="H278">
        <f>INDEX(神经网络!$G$10:$BO$70,MATCH(ROUND(G278*2,1)/2,神经网络!$E$10:$E$70,0),MATCH(ROUND(E278*2,1)/2,神经网络!$G$8:$BO$8,0))</f>
        <v>1.1618543494974924</v>
      </c>
    </row>
    <row r="279" spans="1:8">
      <c r="A279" s="799">
        <v>40681</v>
      </c>
      <c r="B279">
        <v>6.88</v>
      </c>
      <c r="C279">
        <v>1.2659959999999999</v>
      </c>
      <c r="D279">
        <v>4.6102670000000003</v>
      </c>
      <c r="E279">
        <f>LN(D279/参数实验室!$E$53)/参数实验室!$E$55</f>
        <v>1.1100318043728525</v>
      </c>
      <c r="F279">
        <f t="shared" si="15"/>
        <v>0.18401104651162789</v>
      </c>
      <c r="G279">
        <f>LN(F279/参数实验室!$E$58)/参数实验室!$E$59</f>
        <v>-1.0789816857825949</v>
      </c>
      <c r="H279">
        <f>INDEX(神经网络!$G$10:$BO$70,MATCH(ROUND(G279*2,1)/2,神经网络!$E$10:$E$70,0),MATCH(ROUND(E279*2,1)/2,神经网络!$G$8:$BO$8,0))</f>
        <v>-0.18904377900276051</v>
      </c>
    </row>
    <row r="280" spans="1:8">
      <c r="A280" s="799">
        <v>40682</v>
      </c>
      <c r="B280">
        <v>6.8049999999999997</v>
      </c>
      <c r="C280">
        <v>1.261366</v>
      </c>
      <c r="D280">
        <v>4.6264630000000002</v>
      </c>
      <c r="E280">
        <f>LN(D280/参数实验室!$E$53)/参数实验室!$E$55</f>
        <v>1.1141690484238089</v>
      </c>
      <c r="F280">
        <f t="shared" si="15"/>
        <v>0.18535870683321087</v>
      </c>
      <c r="G280">
        <f>LN(F280/参数实验室!$E$58)/参数实验室!$E$59</f>
        <v>-1.075151766842545</v>
      </c>
      <c r="H280">
        <f>INDEX(神经网络!$G$10:$BO$70,MATCH(ROUND(G280*2,1)/2,神经网络!$E$10:$E$70,0),MATCH(ROUND(E280*2,1)/2,神经网络!$G$8:$BO$8,0))</f>
        <v>-0.18904377900276051</v>
      </c>
    </row>
    <row r="281" spans="1:8">
      <c r="A281" s="799">
        <v>40683</v>
      </c>
      <c r="B281">
        <v>5.5903999999999998</v>
      </c>
      <c r="C281">
        <v>1.2220850000000001</v>
      </c>
      <c r="D281">
        <v>3.713282</v>
      </c>
      <c r="E281">
        <f>LN(D281/参数实验室!$E$53)/参数实验室!$E$55</f>
        <v>0.8547690064443485</v>
      </c>
      <c r="F281">
        <f t="shared" si="15"/>
        <v>0.21860421436748714</v>
      </c>
      <c r="G281">
        <f>LN(F281/参数实验室!$E$58)/参数实验室!$E$59</f>
        <v>-0.98856662114071248</v>
      </c>
      <c r="H281">
        <f>INDEX(神经网络!$G$10:$BO$70,MATCH(ROUND(G281*2,1)/2,神经网络!$E$10:$E$70,0),MATCH(ROUND(E281*2,1)/2,神经网络!$G$8:$BO$8,0))</f>
        <v>-0.45784798194891585</v>
      </c>
    </row>
    <row r="282" spans="1:8">
      <c r="A282" s="799">
        <v>40684</v>
      </c>
      <c r="B282">
        <v>6.1196999999999999</v>
      </c>
      <c r="C282">
        <v>1.186313</v>
      </c>
      <c r="D282">
        <v>4.0728580000000001</v>
      </c>
      <c r="E282">
        <f>LN(D282/参数实验室!$E$53)/参数实验室!$E$55</f>
        <v>0.96381223338984412</v>
      </c>
      <c r="F282">
        <f t="shared" si="15"/>
        <v>0.19385149598836543</v>
      </c>
      <c r="G282">
        <f>LN(F282/参数实验室!$E$58)/参数实验室!$E$59</f>
        <v>-1.0516385798178358</v>
      </c>
      <c r="H282">
        <f>INDEX(神经网络!$G$10:$BO$70,MATCH(ROUND(G282*2,1)/2,神经网络!$E$10:$E$70,0),MATCH(ROUND(E282*2,1)/2,神经网络!$G$8:$BO$8,0))</f>
        <v>-0.23921607807154752</v>
      </c>
    </row>
    <row r="283" spans="1:8">
      <c r="A283" s="799">
        <v>40685</v>
      </c>
      <c r="B283">
        <v>6.6901000000000002</v>
      </c>
      <c r="C283">
        <v>1.1514359999999999</v>
      </c>
      <c r="D283">
        <v>4.3503439999999998</v>
      </c>
      <c r="E283">
        <f>LN(D283/参数实验室!$E$53)/参数实验室!$E$55</f>
        <v>1.0415697202824905</v>
      </c>
      <c r="F283">
        <f t="shared" si="15"/>
        <v>0.17211043183211011</v>
      </c>
      <c r="G283">
        <f>LN(F283/参数实验室!$E$58)/参数实验室!$E$59</f>
        <v>-1.1140731514865823</v>
      </c>
      <c r="H283">
        <f>INDEX(神经网络!$G$10:$BO$70,MATCH(ROUND(G283*2,1)/2,神经网络!$E$10:$E$70,0),MATCH(ROUND(E283*2,1)/2,神经网络!$G$8:$BO$8,0))</f>
        <v>-0.13121379676118036</v>
      </c>
    </row>
    <row r="284" spans="1:8">
      <c r="A284" s="799">
        <v>40686</v>
      </c>
      <c r="B284">
        <v>7.1498999999999997</v>
      </c>
      <c r="C284">
        <v>1.099065</v>
      </c>
      <c r="D284">
        <v>4.4871610000000004</v>
      </c>
      <c r="E284">
        <f>LN(D284/参数实验室!$E$53)/参数实验室!$E$55</f>
        <v>1.0781011161266989</v>
      </c>
      <c r="F284">
        <f t="shared" si="15"/>
        <v>0.15371753451097217</v>
      </c>
      <c r="G284">
        <f>LN(F284/参数实验室!$E$58)/参数实验室!$E$59</f>
        <v>-1.1733919400294905</v>
      </c>
      <c r="H284">
        <f>INDEX(神经网络!$G$10:$BO$70,MATCH(ROUND(G284*2,1)/2,神经网络!$E$10:$E$70,0),MATCH(ROUND(E284*2,1)/2,神经网络!$G$8:$BO$8,0))</f>
        <v>-0.29516337454576247</v>
      </c>
    </row>
    <row r="285" spans="1:8">
      <c r="A285" s="799">
        <v>40687</v>
      </c>
      <c r="B285">
        <v>7.42</v>
      </c>
      <c r="C285">
        <v>1.0392729999999999</v>
      </c>
      <c r="D285">
        <v>4.599939</v>
      </c>
      <c r="E285">
        <f>LN(D285/参数实验室!$E$53)/参数实验室!$E$55</f>
        <v>1.1073859359501668</v>
      </c>
      <c r="F285">
        <f t="shared" si="15"/>
        <v>0.14006374663072774</v>
      </c>
      <c r="G285">
        <f>LN(F285/参数实验室!$E$58)/参数实验室!$E$59</f>
        <v>-1.2222133774612112</v>
      </c>
      <c r="H285">
        <f>INDEX(神经网络!$G$10:$BO$70,MATCH(ROUND(G285*2,1)/2,神经网络!$E$10:$E$70,0),MATCH(ROUND(E285*2,1)/2,神经网络!$G$8:$BO$8,0))</f>
        <v>-0.43036296375787586</v>
      </c>
    </row>
    <row r="286" spans="1:8">
      <c r="A286" s="799">
        <v>40688</v>
      </c>
      <c r="B286">
        <v>8.3996999999999993</v>
      </c>
      <c r="C286">
        <v>0.99418399999999996</v>
      </c>
      <c r="D286">
        <v>5.1913340000000003</v>
      </c>
      <c r="E286">
        <f>LN(D286/参数实验室!$E$53)/参数实验室!$E$55</f>
        <v>1.2500743235419747</v>
      </c>
      <c r="F286">
        <f t="shared" si="15"/>
        <v>0.11835946521899592</v>
      </c>
      <c r="G286">
        <f>LN(F286/参数实验室!$E$58)/参数实验室!$E$59</f>
        <v>-1.3105837574632933</v>
      </c>
      <c r="H286">
        <f>INDEX(神经网络!$G$10:$BO$70,MATCH(ROUND(G286*2,1)/2,神经网络!$E$10:$E$70,0),MATCH(ROUND(E286*2,1)/2,神经网络!$G$8:$BO$8,0))</f>
        <v>-0.67974237963621387</v>
      </c>
    </row>
    <row r="287" spans="1:8">
      <c r="A287" s="799">
        <v>40689</v>
      </c>
      <c r="B287">
        <v>8.798</v>
      </c>
      <c r="C287">
        <v>0.95761600000000002</v>
      </c>
      <c r="D287">
        <v>5.179138</v>
      </c>
      <c r="E287">
        <f>LN(D287/参数实验室!$E$53)/参数实验室!$E$55</f>
        <v>1.2472994687047558</v>
      </c>
      <c r="F287">
        <f t="shared" si="15"/>
        <v>0.10884473744032735</v>
      </c>
      <c r="G287">
        <f>LN(F287/参数实验室!$E$58)/参数实验室!$E$59</f>
        <v>-1.3545685572741912</v>
      </c>
      <c r="H287">
        <f>INDEX(神经网络!$G$10:$BO$70,MATCH(ROUND(G287*2,1)/2,神经网络!$E$10:$E$70,0),MATCH(ROUND(E287*2,1)/2,神经网络!$G$8:$BO$8,0))</f>
        <v>-0.75731782420851623</v>
      </c>
    </row>
    <row r="288" spans="1:8">
      <c r="A288" s="799">
        <v>40690</v>
      </c>
      <c r="B288">
        <v>8.5001999999999995</v>
      </c>
      <c r="C288">
        <v>0.96906300000000001</v>
      </c>
      <c r="D288">
        <v>4.7493840000000001</v>
      </c>
      <c r="E288">
        <f>LN(D288/参数实验室!$E$53)/参数实验室!$E$55</f>
        <v>1.1451048685040595</v>
      </c>
      <c r="F288">
        <f t="shared" si="15"/>
        <v>0.11400472930048705</v>
      </c>
      <c r="G288">
        <f>LN(F288/参数实验室!$E$58)/参数实验室!$E$59</f>
        <v>-1.3302586338021776</v>
      </c>
      <c r="H288">
        <f>INDEX(神经网络!$G$10:$BO$70,MATCH(ROUND(G288*2,1)/2,神经网络!$E$10:$E$70,0),MATCH(ROUND(E288*2,1)/2,神经网络!$G$8:$BO$8,0))</f>
        <v>-0.7650504194868798</v>
      </c>
    </row>
    <row r="289" spans="1:8">
      <c r="A289" s="799">
        <v>40691</v>
      </c>
      <c r="B289">
        <v>8.3001000000000005</v>
      </c>
      <c r="C289">
        <v>0.97723199999999999</v>
      </c>
      <c r="D289">
        <v>4.610951</v>
      </c>
      <c r="E289">
        <f>LN(D289/参数实验室!$E$53)/参数实验室!$E$55</f>
        <v>1.110206824900587</v>
      </c>
      <c r="F289">
        <f t="shared" si="15"/>
        <v>0.11773737665811254</v>
      </c>
      <c r="G289">
        <f>LN(F289/参数实验室!$E$58)/参数实验室!$E$59</f>
        <v>-1.3133496263274806</v>
      </c>
      <c r="H289">
        <f>INDEX(神经网络!$G$10:$BO$70,MATCH(ROUND(G289*2,1)/2,神经网络!$E$10:$E$70,0),MATCH(ROUND(E289*2,1)/2,神经网络!$G$8:$BO$8,0))</f>
        <v>-0.67712783137134869</v>
      </c>
    </row>
    <row r="290" spans="1:8">
      <c r="A290" s="799">
        <v>40692</v>
      </c>
      <c r="B290">
        <v>8.4298999999999999</v>
      </c>
      <c r="C290">
        <v>0.99107800000000001</v>
      </c>
      <c r="D290">
        <v>4.591774</v>
      </c>
      <c r="E290">
        <f>LN(D290/参数实验室!$E$53)/参数实验室!$E$55</f>
        <v>1.1052899854411207</v>
      </c>
      <c r="F290">
        <f t="shared" si="15"/>
        <v>0.11756699367726782</v>
      </c>
      <c r="G290">
        <f>LN(F290/参数实验室!$E$58)/参数实验室!$E$59</f>
        <v>-1.3141097160093711</v>
      </c>
      <c r="H290">
        <f>INDEX(神经网络!$G$10:$BO$70,MATCH(ROUND(G290*2,1)/2,神经网络!$E$10:$E$70,0),MATCH(ROUND(E290*2,1)/2,神经网络!$G$8:$BO$8,0))</f>
        <v>-0.67712783137134869</v>
      </c>
    </row>
    <row r="291" spans="1:8">
      <c r="A291" s="799">
        <v>40693</v>
      </c>
      <c r="B291">
        <v>8.8000000000000007</v>
      </c>
      <c r="C291">
        <v>1.011287</v>
      </c>
      <c r="D291">
        <v>4.7103130000000002</v>
      </c>
      <c r="E291">
        <f>LN(D291/参数实验室!$E$53)/参数实验室!$E$55</f>
        <v>1.1353594398491704</v>
      </c>
      <c r="F291">
        <f t="shared" si="15"/>
        <v>0.11491897727272726</v>
      </c>
      <c r="G291">
        <f>LN(F291/参数实验室!$E$58)/参数实验室!$E$59</f>
        <v>-1.3260664135824507</v>
      </c>
      <c r="H291">
        <f>INDEX(神经网络!$G$10:$BO$70,MATCH(ROUND(G291*2,1)/2,神经网络!$E$10:$E$70,0),MATCH(ROUND(E291*2,1)/2,神经网络!$G$8:$BO$8,0))</f>
        <v>-0.7650504194868798</v>
      </c>
    </row>
    <row r="292" spans="1:8">
      <c r="A292" s="799">
        <v>40694</v>
      </c>
      <c r="B292">
        <v>8.7409999999999997</v>
      </c>
      <c r="C292">
        <v>1.029045</v>
      </c>
      <c r="D292">
        <v>4.6020250000000003</v>
      </c>
      <c r="E292">
        <f>LN(D292/参数实验室!$E$53)/参数实验室!$E$55</f>
        <v>1.1079208142237793</v>
      </c>
      <c r="F292">
        <f t="shared" si="15"/>
        <v>0.11772623269648783</v>
      </c>
      <c r="G292">
        <f>LN(F292/参数实验室!$E$58)/参数实验室!$E$59</f>
        <v>-1.3133993066439855</v>
      </c>
      <c r="H292">
        <f>INDEX(神经网络!$G$10:$BO$70,MATCH(ROUND(G292*2,1)/2,神经网络!$E$10:$E$70,0),MATCH(ROUND(E292*2,1)/2,神经网络!$G$8:$BO$8,0))</f>
        <v>-0.67712783137134869</v>
      </c>
    </row>
    <row r="293" spans="1:8">
      <c r="A293" s="799">
        <v>40695</v>
      </c>
      <c r="B293">
        <v>9.57</v>
      </c>
      <c r="C293">
        <v>1.0387040000000001</v>
      </c>
      <c r="D293">
        <v>4.9774409999999998</v>
      </c>
      <c r="E293">
        <f>LN(D293/参数实验室!$E$53)/参数实验室!$E$55</f>
        <v>1.2004364495861672</v>
      </c>
      <c r="F293">
        <f t="shared" si="15"/>
        <v>0.10853751306165099</v>
      </c>
      <c r="G293">
        <f>LN(F293/参数实验室!$E$58)/参数实验室!$E$59</f>
        <v>-1.3560521012550613</v>
      </c>
      <c r="H293">
        <f>INDEX(神经网络!$G$10:$BO$70,MATCH(ROUND(G293*2,1)/2,神经网络!$E$10:$E$70,0),MATCH(ROUND(E293*2,1)/2,神经网络!$G$8:$BO$8,0))</f>
        <v>-0.75812250221030186</v>
      </c>
    </row>
    <row r="294" spans="1:8">
      <c r="A294" s="799">
        <v>40696</v>
      </c>
      <c r="B294">
        <v>10.6</v>
      </c>
      <c r="C294">
        <v>1.0470680000000001</v>
      </c>
      <c r="D294">
        <v>5.3275220000000001</v>
      </c>
      <c r="E294">
        <f>LN(D294/参数实验室!$E$53)/参数实验室!$E$55</f>
        <v>1.280624644426575</v>
      </c>
      <c r="F294">
        <f t="shared" si="15"/>
        <v>9.8780000000000021E-2</v>
      </c>
      <c r="G294">
        <f>LN(F294/参数实验室!$E$58)/参数实验室!$E$59</f>
        <v>-1.4054937198347854</v>
      </c>
      <c r="H294">
        <f>INDEX(神经网络!$G$10:$BO$70,MATCH(ROUND(G294*2,1)/2,神经网络!$E$10:$E$70,0),MATCH(ROUND(E294*2,1)/2,神经网络!$G$8:$BO$8,0))</f>
        <v>-0.81957791670202707</v>
      </c>
    </row>
    <row r="295" spans="1:8">
      <c r="A295" s="799">
        <v>40697</v>
      </c>
      <c r="B295">
        <v>14.29</v>
      </c>
      <c r="C295">
        <v>1.0505310000000001</v>
      </c>
      <c r="D295">
        <v>6.429049</v>
      </c>
      <c r="E295">
        <f>LN(D295/参数实验室!$E$53)/参数实验室!$E$55</f>
        <v>1.5023479555650627</v>
      </c>
      <c r="F295">
        <f t="shared" si="15"/>
        <v>7.3515115465360409E-2</v>
      </c>
      <c r="G295">
        <f>LN(F295/参数实验室!$E$58)/参数实验室!$E$59</f>
        <v>-1.5605377652199794</v>
      </c>
      <c r="H295" t="e">
        <f>INDEX(神经网络!$G$10:$BO$70,MATCH(ROUND(G295*2,1)/2,神经网络!$E$10:$E$70,0),MATCH(ROUND(E295*2,1)/2,神经网络!$G$8:$BO$8,0))</f>
        <v>#N/A</v>
      </c>
    </row>
    <row r="296" spans="1:8">
      <c r="A296" s="799">
        <v>40698</v>
      </c>
      <c r="B296">
        <v>18.89</v>
      </c>
      <c r="C296">
        <v>1.054638</v>
      </c>
      <c r="D296">
        <v>7.7431390000000002</v>
      </c>
      <c r="E296">
        <f>LN(D296/参数实验室!$E$53)/参数实验室!$E$55</f>
        <v>1.721759093981865</v>
      </c>
      <c r="F296">
        <f t="shared" si="15"/>
        <v>5.5830492323980942E-2</v>
      </c>
      <c r="G296">
        <f>LN(F296/参数实验室!$E$58)/参数实验室!$E$59</f>
        <v>-1.7049623036881845</v>
      </c>
      <c r="H296" t="e">
        <f>INDEX(神经网络!$G$10:$BO$70,MATCH(ROUND(G296*2,1)/2,神经网络!$E$10:$E$70,0),MATCH(ROUND(E296*2,1)/2,神经网络!$G$8:$BO$8,0))</f>
        <v>#N/A</v>
      </c>
    </row>
    <row r="297" spans="1:8">
      <c r="A297" s="799">
        <v>40699</v>
      </c>
      <c r="B297">
        <v>16.7</v>
      </c>
      <c r="C297">
        <v>1.065574</v>
      </c>
      <c r="D297">
        <v>6.5753490000000001</v>
      </c>
      <c r="E297">
        <f>LN(D297/参数实验室!$E$53)/参数实验室!$E$55</f>
        <v>1.5288936182973218</v>
      </c>
      <c r="F297">
        <f t="shared" si="15"/>
        <v>6.380682634730539E-2</v>
      </c>
      <c r="G297">
        <f>LN(F297/参数实验室!$E$58)/参数实验室!$E$59</f>
        <v>-1.6348732931409065</v>
      </c>
      <c r="H297" t="e">
        <f>INDEX(神经网络!$G$10:$BO$70,MATCH(ROUND(G297*2,1)/2,神经网络!$E$10:$E$70,0),MATCH(ROUND(E297*2,1)/2,神经网络!$G$8:$BO$8,0))</f>
        <v>#N/A</v>
      </c>
    </row>
    <row r="298" spans="1:8">
      <c r="A298" s="799">
        <v>40700</v>
      </c>
      <c r="B298">
        <v>18.549900000000001</v>
      </c>
      <c r="C298">
        <v>1.063145</v>
      </c>
      <c r="D298">
        <v>6.0241400000000001</v>
      </c>
      <c r="E298">
        <f>LN(D298/参数实验室!$E$53)/参数实验室!$E$55</f>
        <v>1.4256027699432114</v>
      </c>
      <c r="F298">
        <f t="shared" si="15"/>
        <v>5.7312707885217709E-2</v>
      </c>
      <c r="G298">
        <f>LN(F298/参数实验室!$E$58)/参数实验室!$E$59</f>
        <v>-1.6912099732483461</v>
      </c>
      <c r="H298" t="e">
        <f>INDEX(神经网络!$G$10:$BO$70,MATCH(ROUND(G298*2,1)/2,神经网络!$E$10:$E$70,0),MATCH(ROUND(E298*2,1)/2,神经网络!$G$8:$BO$8,0))</f>
        <v>#N/A</v>
      </c>
    </row>
    <row r="299" spans="1:8">
      <c r="A299" s="799">
        <v>40701</v>
      </c>
      <c r="B299">
        <v>23.923400000000001</v>
      </c>
      <c r="C299">
        <v>1.0924039999999999</v>
      </c>
      <c r="D299">
        <v>7.2212730000000001</v>
      </c>
      <c r="E299">
        <f>LN(D299/参数实验室!$E$53)/参数实验室!$E$55</f>
        <v>1.6394407404162628</v>
      </c>
      <c r="F299">
        <f t="shared" si="15"/>
        <v>4.5662573045637318E-2</v>
      </c>
      <c r="G299">
        <f>LN(F299/参数实验室!$E$58)/参数实验室!$E$59</f>
        <v>-1.8104795828535303</v>
      </c>
      <c r="H299" t="e">
        <f>INDEX(神经网络!$G$10:$BO$70,MATCH(ROUND(G299*2,1)/2,神经网络!$E$10:$E$70,0),MATCH(ROUND(E299*2,1)/2,神经网络!$G$8:$BO$8,0))</f>
        <v>#N/A</v>
      </c>
    </row>
    <row r="300" spans="1:8">
      <c r="A300" s="799">
        <v>40702</v>
      </c>
      <c r="B300">
        <v>29.6</v>
      </c>
      <c r="C300">
        <v>1.1257219999999999</v>
      </c>
      <c r="D300">
        <v>7.3878779999999997</v>
      </c>
      <c r="E300">
        <f>LN(D300/参数实验室!$E$53)/参数实验室!$E$55</f>
        <v>1.6663500811095544</v>
      </c>
      <c r="F300">
        <f t="shared" si="15"/>
        <v>3.8031148648648642E-2</v>
      </c>
      <c r="G300">
        <f>LN(F300/参数实验室!$E$58)/参数实验室!$E$59</f>
        <v>-1.9064614611554525</v>
      </c>
      <c r="H300" t="e">
        <f>INDEX(神经网络!$G$10:$BO$70,MATCH(ROUND(G300*2,1)/2,神经网络!$E$10:$E$70,0),MATCH(ROUND(E300*2,1)/2,神经网络!$G$8:$BO$8,0))</f>
        <v>#N/A</v>
      </c>
    </row>
    <row r="301" spans="1:8">
      <c r="A301" s="799">
        <v>40703</v>
      </c>
      <c r="B301">
        <v>28.919</v>
      </c>
      <c r="C301">
        <v>1.11232</v>
      </c>
      <c r="D301">
        <v>6.6143879999999999</v>
      </c>
      <c r="E301">
        <f>LN(D301/参数实验室!$E$53)/参数实验室!$E$55</f>
        <v>1.5358773089324405</v>
      </c>
      <c r="F301">
        <f t="shared" si="15"/>
        <v>3.8463294028147584E-2</v>
      </c>
      <c r="G301">
        <f>LN(F301/参数实验室!$E$58)/参数实验室!$E$59</f>
        <v>-1.9005312091088544</v>
      </c>
      <c r="H301" t="e">
        <f>INDEX(神经网络!$G$10:$BO$70,MATCH(ROUND(G301*2,1)/2,神经网络!$E$10:$E$70,0),MATCH(ROUND(E301*2,1)/2,神经网络!$G$8:$BO$8,0))</f>
        <v>#N/A</v>
      </c>
    </row>
    <row r="302" spans="1:8">
      <c r="A302" s="799">
        <v>40704</v>
      </c>
      <c r="B302">
        <v>23.9497</v>
      </c>
      <c r="C302">
        <v>1.102751</v>
      </c>
      <c r="D302">
        <v>5.1359820000000003</v>
      </c>
      <c r="E302">
        <f>LN(D302/参数实验室!$E$53)/参数实验室!$E$55</f>
        <v>1.2374277991438616</v>
      </c>
      <c r="F302">
        <f t="shared" si="15"/>
        <v>4.6044459847096209E-2</v>
      </c>
      <c r="G302">
        <f>LN(F302/参数实验室!$E$58)/参数实验室!$E$59</f>
        <v>-1.8061083588811042</v>
      </c>
      <c r="H302" t="e">
        <f>INDEX(神经网络!$G$10:$BO$70,MATCH(ROUND(G302*2,1)/2,神经网络!$E$10:$E$70,0),MATCH(ROUND(E302*2,1)/2,神经网络!$G$8:$BO$8,0))</f>
        <v>#N/A</v>
      </c>
    </row>
    <row r="303" spans="1:8">
      <c r="A303" s="799">
        <v>40705</v>
      </c>
      <c r="B303">
        <v>14.6511</v>
      </c>
      <c r="C303">
        <v>1.06908</v>
      </c>
      <c r="D303">
        <v>3.1774499999999999</v>
      </c>
      <c r="E303">
        <f>LN(D303/参数实验室!$E$53)/参数实验室!$E$55</f>
        <v>0.67091964282968519</v>
      </c>
      <c r="F303">
        <f t="shared" si="15"/>
        <v>7.2969265106374276E-2</v>
      </c>
      <c r="G303">
        <f>LN(F303/参数实验室!$E$58)/参数实验室!$E$59</f>
        <v>-1.5644493507796233</v>
      </c>
      <c r="H303" t="e">
        <f>INDEX(神经网络!$G$10:$BO$70,MATCH(ROUND(G303*2,1)/2,神经网络!$E$10:$E$70,0),MATCH(ROUND(E303*2,1)/2,神经网络!$G$8:$BO$8,0))</f>
        <v>#N/A</v>
      </c>
    </row>
    <row r="304" spans="1:8">
      <c r="A304" s="799">
        <v>40706</v>
      </c>
      <c r="B304">
        <v>18.546399999999998</v>
      </c>
      <c r="C304">
        <v>1.063291</v>
      </c>
      <c r="D304">
        <v>3.6071710000000001</v>
      </c>
      <c r="E304">
        <f>LN(D304/参数实验室!$E$53)/参数实验室!$E$55</f>
        <v>0.82056523105895263</v>
      </c>
      <c r="F304">
        <f t="shared" si="15"/>
        <v>5.7331395850407633E-2</v>
      </c>
      <c r="G304">
        <f>LN(F304/参数实验室!$E$58)/参数实验室!$E$59</f>
        <v>-1.6910388618897296</v>
      </c>
      <c r="H304" t="e">
        <f>INDEX(神经网络!$G$10:$BO$70,MATCH(ROUND(G304*2,1)/2,神经网络!$E$10:$E$70,0),MATCH(ROUND(E304*2,1)/2,神经网络!$G$8:$BO$8,0))</f>
        <v>#N/A</v>
      </c>
    </row>
    <row r="305" spans="1:8">
      <c r="A305" s="799">
        <v>40707</v>
      </c>
      <c r="B305">
        <v>19.84</v>
      </c>
      <c r="C305">
        <v>1.0771459999999999</v>
      </c>
      <c r="D305">
        <v>3.61267</v>
      </c>
      <c r="E305">
        <f>LN(D305/参数实验室!$E$53)/参数实验室!$E$55</f>
        <v>0.82236235217092446</v>
      </c>
      <c r="F305">
        <f t="shared" si="15"/>
        <v>5.4291633064516127E-2</v>
      </c>
      <c r="G305">
        <f>LN(F305/参数实验室!$E$58)/参数实验室!$E$59</f>
        <v>-1.7196320002750454</v>
      </c>
      <c r="H305" t="e">
        <f>INDEX(神经网络!$G$10:$BO$70,MATCH(ROUND(G305*2,1)/2,神经网络!$E$10:$E$70,0),MATCH(ROUND(E305*2,1)/2,神经网络!$G$8:$BO$8,0))</f>
        <v>#N/A</v>
      </c>
    </row>
    <row r="306" spans="1:8">
      <c r="A306" s="799">
        <v>40708</v>
      </c>
      <c r="B306">
        <v>19.28</v>
      </c>
      <c r="C306">
        <v>1.071229</v>
      </c>
      <c r="D306">
        <v>3.3085849999999999</v>
      </c>
      <c r="E306">
        <f>LN(D306/参数实验室!$E$53)/参数实验室!$E$55</f>
        <v>0.71863077194172176</v>
      </c>
      <c r="F306">
        <f t="shared" si="15"/>
        <v>5.5561670124481322E-2</v>
      </c>
      <c r="G306">
        <f>LN(F306/参数实验室!$E$58)/参数实验室!$E$59</f>
        <v>-1.7074955643608263</v>
      </c>
      <c r="H306" t="e">
        <f>INDEX(神经网络!$G$10:$BO$70,MATCH(ROUND(G306*2,1)/2,神经网络!$E$10:$E$70,0),MATCH(ROUND(E306*2,1)/2,神经网络!$G$8:$BO$8,0))</f>
        <v>#N/A</v>
      </c>
    </row>
    <row r="307" spans="1:8">
      <c r="A307" s="799">
        <v>40709</v>
      </c>
      <c r="B307">
        <v>19.489999999999998</v>
      </c>
      <c r="C307">
        <v>1.0639110000000001</v>
      </c>
      <c r="D307">
        <v>3.135189</v>
      </c>
      <c r="E307">
        <f>LN(D307/参数实验室!$E$53)/参数实验室!$E$55</f>
        <v>0.65512330259512608</v>
      </c>
      <c r="F307">
        <f t="shared" si="15"/>
        <v>5.4587532067727047E-2</v>
      </c>
      <c r="G307">
        <f>LN(F307/参数实验室!$E$58)/参数实验室!$E$59</f>
        <v>-1.7167792199411842</v>
      </c>
      <c r="H307" t="e">
        <f>INDEX(神经网络!$G$10:$BO$70,MATCH(ROUND(G307*2,1)/2,神经网络!$E$10:$E$70,0),MATCH(ROUND(E307*2,1)/2,神经网络!$G$8:$BO$8,0))</f>
        <v>#N/A</v>
      </c>
    </row>
    <row r="308" spans="1:8">
      <c r="A308" s="799">
        <v>40710</v>
      </c>
      <c r="B308">
        <v>17</v>
      </c>
      <c r="C308">
        <v>1.1068979999999999</v>
      </c>
      <c r="D308">
        <v>2.8381959999999999</v>
      </c>
      <c r="E308">
        <f>LN(D308/参数实验室!$E$53)/参数实验室!$E$55</f>
        <v>0.53771329203212292</v>
      </c>
      <c r="F308">
        <f t="shared" si="15"/>
        <v>6.5111647058823524E-2</v>
      </c>
      <c r="G308">
        <f>LN(F308/参数实验室!$E$58)/参数实验室!$E$59</f>
        <v>-1.6242485348049647</v>
      </c>
      <c r="H308" t="e">
        <f>INDEX(神经网络!$G$10:$BO$70,MATCH(ROUND(G308*2,1)/2,神经网络!$E$10:$E$70,0),MATCH(ROUND(E308*2,1)/2,神经网络!$G$8:$BO$8,0))</f>
        <v>#N/A</v>
      </c>
    </row>
    <row r="309" spans="1:8">
      <c r="A309" s="799">
        <v>40711</v>
      </c>
      <c r="B309">
        <v>15.680999999999999</v>
      </c>
      <c r="C309">
        <v>1.1656029999999999</v>
      </c>
      <c r="D309">
        <v>2.4262579999999998</v>
      </c>
      <c r="E309">
        <f>LN(D309/参数实验室!$E$53)/参数实验室!$E$55</f>
        <v>0.35270617409513833</v>
      </c>
      <c r="F309">
        <f t="shared" si="15"/>
        <v>7.4332185447356675E-2</v>
      </c>
      <c r="G309">
        <f>LN(F309/参数实验室!$E$58)/参数实验室!$E$59</f>
        <v>-1.5547365521195931</v>
      </c>
      <c r="H309" t="e">
        <f>INDEX(神经网络!$G$10:$BO$70,MATCH(ROUND(G309*2,1)/2,神经网络!$E$10:$E$70,0),MATCH(ROUND(E309*2,1)/2,神经网络!$G$8:$BO$8,0))</f>
        <v>#N/A</v>
      </c>
    </row>
    <row r="310" spans="1:8">
      <c r="A310" s="799">
        <v>40712</v>
      </c>
      <c r="B310">
        <v>16.89</v>
      </c>
      <c r="C310">
        <v>1.1578539999999999</v>
      </c>
      <c r="D310">
        <v>2.6295570000000001</v>
      </c>
      <c r="E310">
        <f>LN(D310/参数实验室!$E$53)/参数实验室!$E$55</f>
        <v>0.44763529985572925</v>
      </c>
      <c r="F310">
        <f t="shared" si="15"/>
        <v>6.8552634695085837E-2</v>
      </c>
      <c r="G310">
        <f>LN(F310/参数实验室!$E$58)/参数实验室!$E$59</f>
        <v>-1.5972193932256982</v>
      </c>
      <c r="H310" t="e">
        <f>INDEX(神经网络!$G$10:$BO$70,MATCH(ROUND(G310*2,1)/2,神经网络!$E$10:$E$70,0),MATCH(ROUND(E310*2,1)/2,神经网络!$G$8:$BO$8,0))</f>
        <v>#N/A</v>
      </c>
    </row>
    <row r="311" spans="1:8">
      <c r="A311" s="799">
        <v>40713</v>
      </c>
      <c r="B311">
        <v>17.510000000000002</v>
      </c>
      <c r="C311">
        <v>1.1631990000000001</v>
      </c>
      <c r="D311">
        <v>2.690661</v>
      </c>
      <c r="E311">
        <f>LN(D311/参数实验室!$E$53)/参数实验室!$E$55</f>
        <v>0.47473599843009096</v>
      </c>
      <c r="F311">
        <f t="shared" si="15"/>
        <v>6.6430553969160477E-2</v>
      </c>
      <c r="G311">
        <f>LN(F311/参数实验室!$E$58)/参数实验室!$E$59</f>
        <v>-1.6137232916935562</v>
      </c>
      <c r="H311" t="e">
        <f>INDEX(神经网络!$G$10:$BO$70,MATCH(ROUND(G311*2,1)/2,神经网络!$E$10:$E$70,0),MATCH(ROUND(E311*2,1)/2,神经网络!$G$8:$BO$8,0))</f>
        <v>#N/A</v>
      </c>
    </row>
    <row r="312" spans="1:8">
      <c r="A312" s="799">
        <v>40714</v>
      </c>
      <c r="B312">
        <v>17.510000000000002</v>
      </c>
      <c r="C312">
        <v>1.1630180000000001</v>
      </c>
      <c r="D312">
        <v>2.6708189999999998</v>
      </c>
      <c r="E312">
        <f>LN(D312/参数实验室!$E$53)/参数实验室!$E$55</f>
        <v>0.4660037936142421</v>
      </c>
      <c r="F312">
        <f t="shared" si="15"/>
        <v>6.6420217018846373E-2</v>
      </c>
      <c r="G312">
        <f>LN(F312/参数实验室!$E$58)/参数实验室!$E$59</f>
        <v>-1.6138049681510747</v>
      </c>
      <c r="H312" t="e">
        <f>INDEX(神经网络!$G$10:$BO$70,MATCH(ROUND(G312*2,1)/2,神经网络!$E$10:$E$70,0),MATCH(ROUND(E312*2,1)/2,神经网络!$G$8:$BO$8,0))</f>
        <v>#N/A</v>
      </c>
    </row>
    <row r="313" spans="1:8">
      <c r="A313" s="799">
        <v>40715</v>
      </c>
      <c r="B313">
        <v>17.510000000000002</v>
      </c>
      <c r="C313">
        <v>1.1703699999999999</v>
      </c>
      <c r="D313">
        <v>2.6387179999999999</v>
      </c>
      <c r="E313">
        <f>LN(D313/参数实验室!$E$53)/参数实验室!$E$55</f>
        <v>0.45173824830143683</v>
      </c>
      <c r="F313">
        <f t="shared" si="15"/>
        <v>6.6840091376356353E-2</v>
      </c>
      <c r="G313">
        <f>LN(F313/参数实验室!$E$58)/参数实验室!$E$59</f>
        <v>-1.6104975544728526</v>
      </c>
      <c r="H313" t="e">
        <f>INDEX(神经网络!$G$10:$BO$70,MATCH(ROUND(G313*2,1)/2,神经网络!$E$10:$E$70,0),MATCH(ROUND(E313*2,1)/2,神经网络!$G$8:$BO$8,0))</f>
        <v>#N/A</v>
      </c>
    </row>
    <row r="314" spans="1:8">
      <c r="A314" s="799">
        <v>40716</v>
      </c>
      <c r="B314">
        <v>17.510000000000002</v>
      </c>
      <c r="C314">
        <v>1.192655</v>
      </c>
      <c r="D314">
        <v>2.627799</v>
      </c>
      <c r="E314">
        <f>LN(D314/参数实验室!$E$53)/参数实验室!$E$55</f>
        <v>0.44684630771587575</v>
      </c>
      <c r="F314">
        <f t="shared" si="15"/>
        <v>6.8112792689891483E-2</v>
      </c>
      <c r="G314">
        <f>LN(F314/参数实验室!$E$58)/参数实验室!$E$59</f>
        <v>-1.60059776998453</v>
      </c>
      <c r="H314" t="e">
        <f>INDEX(神经网络!$G$10:$BO$70,MATCH(ROUND(G314*2,1)/2,神经网络!$E$10:$E$70,0),MATCH(ROUND(E314*2,1)/2,神经网络!$G$8:$BO$8,0))</f>
        <v>#N/A</v>
      </c>
    </row>
    <row r="315" spans="1:8">
      <c r="A315" s="799">
        <v>40717</v>
      </c>
      <c r="B315">
        <v>17.510000000000002</v>
      </c>
      <c r="C315">
        <v>1.233455</v>
      </c>
      <c r="D315">
        <v>2.615008</v>
      </c>
      <c r="E315">
        <f>LN(D315/参数实验室!$E$53)/参数实验室!$E$55</f>
        <v>0.44108975261704286</v>
      </c>
      <c r="F315">
        <f t="shared" si="15"/>
        <v>7.0442889777270118E-2</v>
      </c>
      <c r="G315">
        <f>LN(F315/参数实验室!$E$58)/参数实验室!$E$59</f>
        <v>-1.5829431178676032</v>
      </c>
      <c r="H315" t="e">
        <f>INDEX(神经网络!$G$10:$BO$70,MATCH(ROUND(G315*2,1)/2,神经网络!$E$10:$E$70,0),MATCH(ROUND(E315*2,1)/2,神经网络!$G$8:$BO$8,0))</f>
        <v>#N/A</v>
      </c>
    </row>
    <row r="316" spans="1:8">
      <c r="A316" s="799">
        <v>40718</v>
      </c>
      <c r="B316">
        <v>17.510000000000002</v>
      </c>
      <c r="C316">
        <v>1.2944420000000001</v>
      </c>
      <c r="D316">
        <v>2.597559</v>
      </c>
      <c r="E316">
        <f>LN(D316/参数实验室!$E$53)/参数实验室!$E$55</f>
        <v>0.43319130594150879</v>
      </c>
      <c r="F316">
        <f t="shared" si="15"/>
        <v>7.3925870930896628E-2</v>
      </c>
      <c r="G316">
        <f>LN(F316/参数实验室!$E$58)/参数实验室!$E$59</f>
        <v>-1.557613378591602</v>
      </c>
      <c r="H316" t="e">
        <f>INDEX(神经网络!$G$10:$BO$70,MATCH(ROUND(G316*2,1)/2,神经网络!$E$10:$E$70,0),MATCH(ROUND(E316*2,1)/2,神经网络!$G$8:$BO$8,0))</f>
        <v>#N/A</v>
      </c>
    </row>
    <row r="317" spans="1:8">
      <c r="A317" s="799">
        <v>40719</v>
      </c>
      <c r="B317">
        <v>17.510000000000002</v>
      </c>
      <c r="C317">
        <v>1.3976029999999999</v>
      </c>
      <c r="D317">
        <v>2.5892040000000001</v>
      </c>
      <c r="E317">
        <f>LN(D317/参数实验室!$E$53)/参数实验室!$E$55</f>
        <v>0.42939053583543896</v>
      </c>
      <c r="F317">
        <f t="shared" si="15"/>
        <v>7.9817418617932595E-2</v>
      </c>
      <c r="G317">
        <f>LN(F317/参数实验室!$E$58)/参数实验室!$E$59</f>
        <v>-1.517368141551235</v>
      </c>
      <c r="H317">
        <f>INDEX(神经网络!$G$10:$BO$70,MATCH(ROUND(G317*2,1)/2,神经网络!$E$10:$E$70,0),MATCH(ROUND(E317*2,1)/2,神经网络!$G$8:$BO$8,0))</f>
        <v>-1.143053124568399</v>
      </c>
    </row>
    <row r="318" spans="1:8">
      <c r="A318" s="799">
        <v>40720</v>
      </c>
      <c r="B318">
        <v>16.45</v>
      </c>
      <c r="C318">
        <v>1.415376</v>
      </c>
      <c r="D318">
        <v>2.404388</v>
      </c>
      <c r="E318">
        <f>LN(D318/参数实验室!$E$53)/参数实验室!$E$55</f>
        <v>0.34202380170478713</v>
      </c>
      <c r="F318">
        <f t="shared" si="15"/>
        <v>8.6041094224924008E-2</v>
      </c>
      <c r="G318">
        <f>LN(F318/参数实验室!$E$58)/参数实验室!$E$59</f>
        <v>-1.4779603874543947</v>
      </c>
      <c r="H318">
        <f>INDEX(神经网络!$G$10:$BO$70,MATCH(ROUND(G318*2,1)/2,神经网络!$E$10:$E$70,0),MATCH(ROUND(E318*2,1)/2,神经网络!$G$8:$BO$8,0))</f>
        <v>-1.1605096156737242</v>
      </c>
    </row>
    <row r="319" spans="1:8">
      <c r="A319" s="799">
        <v>40721</v>
      </c>
      <c r="B319">
        <v>16.75</v>
      </c>
      <c r="C319">
        <v>1.412129</v>
      </c>
      <c r="D319">
        <v>2.4186269999999999</v>
      </c>
      <c r="E319">
        <f>LN(D319/参数实验室!$E$53)/参数实验室!$E$55</f>
        <v>0.34898979921752388</v>
      </c>
      <c r="F319">
        <f t="shared" si="15"/>
        <v>8.430620895522388E-2</v>
      </c>
      <c r="G319">
        <f>LN(F319/参数实验室!$E$58)/参数实验室!$E$59</f>
        <v>-1.4886514053314936</v>
      </c>
      <c r="H319">
        <f>INDEX(神经网络!$G$10:$BO$70,MATCH(ROUND(G319*2,1)/2,神经网络!$E$10:$E$70,0),MATCH(ROUND(E319*2,1)/2,神经网络!$G$8:$BO$8,0))</f>
        <v>-1.1605096156737242</v>
      </c>
    </row>
    <row r="320" spans="1:8">
      <c r="A320" s="799">
        <v>40722</v>
      </c>
      <c r="B320">
        <v>16.9498</v>
      </c>
      <c r="C320">
        <v>1.431878</v>
      </c>
      <c r="D320">
        <v>2.422844</v>
      </c>
      <c r="E320">
        <f>LN(D320/参数实验室!$E$53)/参数实验室!$E$55</f>
        <v>0.35104496827170728</v>
      </c>
      <c r="F320">
        <f t="shared" si="15"/>
        <v>8.4477574956636658E-2</v>
      </c>
      <c r="G320">
        <f>LN(F320/参数实验室!$E$58)/参数实验室!$E$59</f>
        <v>-1.4875856374299956</v>
      </c>
      <c r="H320">
        <f>INDEX(神经网络!$G$10:$BO$70,MATCH(ROUND(G320*2,1)/2,神经网络!$E$10:$E$70,0),MATCH(ROUND(E320*2,1)/2,神经网络!$G$8:$BO$8,0))</f>
        <v>-1.1605096156737242</v>
      </c>
    </row>
    <row r="321" spans="1:8">
      <c r="A321" s="799">
        <v>40723</v>
      </c>
      <c r="B321">
        <v>16.844999999999999</v>
      </c>
      <c r="C321">
        <v>1.4259219999999999</v>
      </c>
      <c r="D321">
        <v>2.3915329999999999</v>
      </c>
      <c r="E321">
        <f>LN(D321/参数实验室!$E$53)/参数实验室!$E$55</f>
        <v>0.33569935879961466</v>
      </c>
      <c r="F321">
        <f t="shared" si="15"/>
        <v>8.4649569605224101E-2</v>
      </c>
      <c r="G321">
        <f>LN(F321/参数实验室!$E$58)/参数实验室!$E$59</f>
        <v>-1.4865181314651417</v>
      </c>
      <c r="H321">
        <f>INDEX(神经网络!$G$10:$BO$70,MATCH(ROUND(G321*2,1)/2,神经网络!$E$10:$E$70,0),MATCH(ROUND(E321*2,1)/2,神经网络!$G$8:$BO$8,0))</f>
        <v>-1.1605096156737242</v>
      </c>
    </row>
    <row r="322" spans="1:8">
      <c r="A322" s="799">
        <v>40724</v>
      </c>
      <c r="B322">
        <v>16.100999999999999</v>
      </c>
      <c r="C322">
        <v>1.4051130000000001</v>
      </c>
      <c r="D322">
        <v>2.279169</v>
      </c>
      <c r="E322">
        <f>LN(D322/参数实验室!$E$53)/参数实验室!$E$55</f>
        <v>0.27892529112686121</v>
      </c>
      <c r="F322">
        <f t="shared" si="15"/>
        <v>8.7268678964039503E-2</v>
      </c>
      <c r="G322">
        <f>LN(F322/参数实验室!$E$58)/参数实验室!$E$59</f>
        <v>-1.4705249892396726</v>
      </c>
      <c r="H322">
        <f>INDEX(神经网络!$G$10:$BO$70,MATCH(ROUND(G322*2,1)/2,神经网络!$E$10:$E$70,0),MATCH(ROUND(E322*2,1)/2,神经网络!$G$8:$BO$8,0))</f>
        <v>-1.1563482481523972</v>
      </c>
    </row>
    <row r="323" spans="1:8">
      <c r="A323" s="799">
        <v>40725</v>
      </c>
      <c r="B323">
        <v>15.397</v>
      </c>
      <c r="C323">
        <v>1.4217150000000001</v>
      </c>
      <c r="D323">
        <v>2.1751749999999999</v>
      </c>
      <c r="E323">
        <f>LN(D323/参数实验室!$E$53)/参数实验室!$E$55</f>
        <v>0.22382871258275314</v>
      </c>
      <c r="F323">
        <f t="shared" si="15"/>
        <v>9.2337143599402483E-2</v>
      </c>
      <c r="G323">
        <f>LN(F323/参数实验室!$E$58)/参数实验室!$E$59</f>
        <v>-1.4408944280476781</v>
      </c>
      <c r="H323">
        <f>INDEX(神经网络!$G$10:$BO$70,MATCH(ROUND(G323*2,1)/2,神经网络!$E$10:$E$70,0),MATCH(ROUND(E323*2,1)/2,神经网络!$G$8:$BO$8,0))</f>
        <v>-1.1691696089138757</v>
      </c>
    </row>
    <row r="324" spans="1:8">
      <c r="A324" s="799">
        <v>40726</v>
      </c>
      <c r="B324">
        <v>15.4</v>
      </c>
      <c r="C324">
        <v>1.442544</v>
      </c>
      <c r="D324">
        <v>2.1710820000000002</v>
      </c>
      <c r="E324">
        <f>LN(D324/参数实验室!$E$53)/参数实验室!$E$55</f>
        <v>0.22160669420922371</v>
      </c>
      <c r="F324">
        <f t="shared" si="15"/>
        <v>9.3671688311688317E-2</v>
      </c>
      <c r="G324">
        <f>LN(F324/参数实验室!$E$58)/参数实验室!$E$59</f>
        <v>-1.4333630307524949</v>
      </c>
      <c r="H324">
        <f>INDEX(神经网络!$G$10:$BO$70,MATCH(ROUND(G324*2,1)/2,神经网络!$E$10:$E$70,0),MATCH(ROUND(E324*2,1)/2,神经网络!$G$8:$BO$8,0))</f>
        <v>-1.1691696089138757</v>
      </c>
    </row>
    <row r="325" spans="1:8">
      <c r="A325" s="799">
        <v>40727</v>
      </c>
      <c r="B325">
        <v>15.4405</v>
      </c>
      <c r="C325">
        <v>1.4749570000000001</v>
      </c>
      <c r="D325">
        <v>2.1764049999999999</v>
      </c>
      <c r="E325">
        <f>LN(D325/参数实验室!$E$53)/参数实验室!$E$55</f>
        <v>0.22449564115983578</v>
      </c>
      <c r="F325">
        <f t="shared" ref="F325:F388" si="16">C325/B325</f>
        <v>9.5525209675852471E-2</v>
      </c>
      <c r="G325">
        <f>LN(F325/参数实验室!$E$58)/参数实验室!$E$59</f>
        <v>-1.4230789371219588</v>
      </c>
      <c r="H325">
        <f>INDEX(神经网络!$G$10:$BO$70,MATCH(ROUND(G325*2,1)/2,神经网络!$E$10:$E$70,0),MATCH(ROUND(E325*2,1)/2,神经网络!$G$8:$BO$8,0))</f>
        <v>-1.1586696641266798</v>
      </c>
    </row>
    <row r="326" spans="1:8">
      <c r="A326" s="799">
        <v>40728</v>
      </c>
      <c r="B326">
        <v>13.86</v>
      </c>
      <c r="C326">
        <v>1.521034</v>
      </c>
      <c r="D326">
        <v>1.957619</v>
      </c>
      <c r="E326">
        <f>LN(D326/参数实验室!$E$53)/参数实验室!$E$55</f>
        <v>9.9506100766975553E-2</v>
      </c>
      <c r="F326">
        <f t="shared" si="16"/>
        <v>0.10974271284271285</v>
      </c>
      <c r="G326">
        <f>LN(F326/参数实验室!$E$58)/参数实验室!$E$59</f>
        <v>-1.3502562450050803</v>
      </c>
      <c r="H326">
        <f>INDEX(神经网络!$G$10:$BO$70,MATCH(ROUND(G326*2,1)/2,神经网络!$E$10:$E$70,0),MATCH(ROUND(E326*2,1)/2,神经网络!$G$8:$BO$8,0))</f>
        <v>-1.159939204709644</v>
      </c>
    </row>
    <row r="327" spans="1:8">
      <c r="A327" s="799">
        <v>40729</v>
      </c>
      <c r="B327">
        <v>12.9069</v>
      </c>
      <c r="C327">
        <v>1.579307</v>
      </c>
      <c r="D327">
        <v>1.8272839999999999</v>
      </c>
      <c r="E327">
        <f>LN(D327/参数实验室!$E$53)/参数实验室!$E$55</f>
        <v>1.8223193417667292E-2</v>
      </c>
      <c r="F327">
        <f t="shared" si="16"/>
        <v>0.12236145007709055</v>
      </c>
      <c r="G327">
        <f>LN(F327/参数实验室!$E$58)/参数实验室!$E$59</f>
        <v>-1.2931307540279355</v>
      </c>
      <c r="H327">
        <f>INDEX(神经网络!$G$10:$BO$70,MATCH(ROUND(G327*2,1)/2,神经网络!$E$10:$E$70,0),MATCH(ROUND(E327*2,1)/2,神经网络!$G$8:$BO$8,0))</f>
        <v>-1.1605716641198449</v>
      </c>
    </row>
    <row r="328" spans="1:8">
      <c r="A328" s="799">
        <v>40730</v>
      </c>
      <c r="B328">
        <v>14.7835</v>
      </c>
      <c r="C328">
        <v>1.6469800000000001</v>
      </c>
      <c r="D328">
        <v>2.0687890000000002</v>
      </c>
      <c r="E328">
        <f>LN(D328/参数实验室!$E$53)/参数实验室!$E$55</f>
        <v>0.1646691495479321</v>
      </c>
      <c r="F328">
        <f t="shared" si="16"/>
        <v>0.11140663577637232</v>
      </c>
      <c r="G328">
        <f>LN(F328/参数实验室!$E$58)/参数实验室!$E$59</f>
        <v>-1.342358114943387</v>
      </c>
      <c r="H328">
        <f>INDEX(神经网络!$G$10:$BO$70,MATCH(ROUND(G328*2,1)/2,神经网络!$E$10:$E$70,0),MATCH(ROUND(E328*2,1)/2,神经网络!$G$8:$BO$8,0))</f>
        <v>-1.1528016532100216</v>
      </c>
    </row>
    <row r="329" spans="1:8">
      <c r="A329" s="799">
        <v>40731</v>
      </c>
      <c r="B329">
        <v>14.7761</v>
      </c>
      <c r="C329">
        <v>1.6853480000000001</v>
      </c>
      <c r="D329">
        <v>2.0759810000000001</v>
      </c>
      <c r="E329">
        <f>LN(D329/参数实验室!$E$53)/参数实验室!$E$55</f>
        <v>0.16876336652321372</v>
      </c>
      <c r="F329">
        <f t="shared" si="16"/>
        <v>0.11405905482502149</v>
      </c>
      <c r="G329">
        <f>LN(F329/参数实验室!$E$58)/参数实验室!$E$59</f>
        <v>-1.3300085899660372</v>
      </c>
      <c r="H329">
        <f>INDEX(神经网络!$G$10:$BO$70,MATCH(ROUND(G329*2,1)/2,神经网络!$E$10:$E$70,0),MATCH(ROUND(E329*2,1)/2,神经网络!$G$8:$BO$8,0))</f>
        <v>-1.1528016532100216</v>
      </c>
    </row>
    <row r="330" spans="1:8">
      <c r="A330" s="799">
        <v>40732</v>
      </c>
      <c r="B330">
        <v>14.314</v>
      </c>
      <c r="C330">
        <v>1.7097960000000001</v>
      </c>
      <c r="D330">
        <v>2.005617</v>
      </c>
      <c r="E330">
        <f>LN(D330/参数实验室!$E$53)/参数实验室!$E$55</f>
        <v>0.12808303381646743</v>
      </c>
      <c r="F330">
        <f t="shared" si="16"/>
        <v>0.11944921056308509</v>
      </c>
      <c r="G330">
        <f>LN(F330/参数实验室!$E$58)/参数实验室!$E$59</f>
        <v>-1.3057734934860215</v>
      </c>
      <c r="H330">
        <f>INDEX(神经网络!$G$10:$BO$70,MATCH(ROUND(G330*2,1)/2,神经网络!$E$10:$E$70,0),MATCH(ROUND(E330*2,1)/2,神经网络!$G$8:$BO$8,0))</f>
        <v>-1.1402792204769183</v>
      </c>
    </row>
    <row r="331" spans="1:8">
      <c r="A331" s="799">
        <v>40733</v>
      </c>
      <c r="B331">
        <v>14.38</v>
      </c>
      <c r="C331">
        <v>1.7814669999999999</v>
      </c>
      <c r="D331">
        <v>2.0160979999999999</v>
      </c>
      <c r="E331">
        <f>LN(D331/参数实验室!$E$53)/参数实验室!$E$55</f>
        <v>0.13423216260534365</v>
      </c>
      <c r="F331">
        <f t="shared" si="16"/>
        <v>0.12388504867872044</v>
      </c>
      <c r="G331">
        <f>LN(F331/参数实验室!$E$58)/参数实验室!$E$59</f>
        <v>-1.286635822365505</v>
      </c>
      <c r="H331">
        <f>INDEX(神经网络!$G$10:$BO$70,MATCH(ROUND(G331*2,1)/2,神经网络!$E$10:$E$70,0),MATCH(ROUND(E331*2,1)/2,神经网络!$G$8:$BO$8,0))</f>
        <v>-1.1402792204769183</v>
      </c>
    </row>
    <row r="332" spans="1:8">
      <c r="A332" s="799">
        <v>40734</v>
      </c>
      <c r="B332">
        <v>14.9</v>
      </c>
      <c r="C332">
        <v>1.8690070000000001</v>
      </c>
      <c r="D332">
        <v>2.0385049999999998</v>
      </c>
      <c r="E332">
        <f>LN(D332/参数实验室!$E$53)/参数实验室!$E$55</f>
        <v>0.14727166366093117</v>
      </c>
      <c r="F332">
        <f t="shared" si="16"/>
        <v>0.12543671140939597</v>
      </c>
      <c r="G332">
        <f>LN(F332/参数实验室!$E$58)/参数实验室!$E$59</f>
        <v>-1.2801028428762093</v>
      </c>
      <c r="H332">
        <f>INDEX(神经网络!$G$10:$BO$70,MATCH(ROUND(G332*2,1)/2,神经网络!$E$10:$E$70,0),MATCH(ROUND(E332*2,1)/2,神经网络!$G$8:$BO$8,0))</f>
        <v>-1.1402792204769183</v>
      </c>
    </row>
    <row r="333" spans="1:8">
      <c r="A333" s="799">
        <v>40735</v>
      </c>
      <c r="B333">
        <v>14.209099999999999</v>
      </c>
      <c r="C333">
        <v>1.9725269999999999</v>
      </c>
      <c r="D333">
        <v>1.9913339999999999</v>
      </c>
      <c r="E333">
        <f>LN(D333/参数实验室!$E$53)/参数实验室!$E$55</f>
        <v>0.11965136312087503</v>
      </c>
      <c r="F333">
        <f t="shared" si="16"/>
        <v>0.13882138910979583</v>
      </c>
      <c r="G333">
        <f>LN(F333/参数实验室!$E$58)/参数实验室!$E$59</f>
        <v>-1.2268895727657823</v>
      </c>
      <c r="H333">
        <f>INDEX(神经网络!$G$10:$BO$70,MATCH(ROUND(G333*2,1)/2,神经网络!$E$10:$E$70,0),MATCH(ROUND(E333*2,1)/2,神经网络!$G$8:$BO$8,0))</f>
        <v>-1.132878802742832</v>
      </c>
    </row>
    <row r="334" spans="1:8">
      <c r="A334" s="799">
        <v>40736</v>
      </c>
      <c r="B334">
        <v>14.009399999999999</v>
      </c>
      <c r="C334">
        <v>2.0793029999999999</v>
      </c>
      <c r="D334">
        <v>1.9487239999999999</v>
      </c>
      <c r="E334">
        <f>LN(D334/参数实验室!$E$53)/参数实验室!$E$55</f>
        <v>9.4133339981629441E-2</v>
      </c>
      <c r="F334">
        <f t="shared" si="16"/>
        <v>0.14842198809370852</v>
      </c>
      <c r="G334">
        <f>LN(F334/参数实验室!$E$58)/参数实验室!$E$59</f>
        <v>-1.1917918737800064</v>
      </c>
      <c r="H334">
        <f>INDEX(神经网络!$G$10:$BO$70,MATCH(ROUND(G334*2,1)/2,神经网络!$E$10:$E$70,0),MATCH(ROUND(E334*2,1)/2,神经网络!$G$8:$BO$8,0))</f>
        <v>-1.117869277704153</v>
      </c>
    </row>
    <row r="335" spans="1:8">
      <c r="A335" s="799">
        <v>40737</v>
      </c>
      <c r="B335">
        <v>13.951000000000001</v>
      </c>
      <c r="C335">
        <v>2.1305719999999999</v>
      </c>
      <c r="D335">
        <v>1.938412</v>
      </c>
      <c r="E335">
        <f>LN(D335/参数实验室!$E$53)/参数实验室!$E$55</f>
        <v>8.787390167487133E-2</v>
      </c>
      <c r="F335">
        <f t="shared" si="16"/>
        <v>0.15271822808400831</v>
      </c>
      <c r="G335">
        <f>LN(F335/参数实验室!$E$58)/参数实验室!$E$59</f>
        <v>-1.1768151167062295</v>
      </c>
      <c r="H335">
        <f>INDEX(神经网络!$G$10:$BO$70,MATCH(ROUND(G335*2,1)/2,神经网络!$E$10:$E$70,0),MATCH(ROUND(E335*2,1)/2,神经网络!$G$8:$BO$8,0))</f>
        <v>-1.117869277704153</v>
      </c>
    </row>
    <row r="336" spans="1:8">
      <c r="A336" s="799">
        <v>40738</v>
      </c>
      <c r="B336">
        <v>13.99</v>
      </c>
      <c r="C336">
        <v>2.2622900000000001</v>
      </c>
      <c r="D336">
        <v>1.9395579999999999</v>
      </c>
      <c r="E336">
        <f>LN(D336/参数实验室!$E$53)/参数实验室!$E$55</f>
        <v>8.8571172286530817E-2</v>
      </c>
      <c r="F336">
        <f t="shared" si="16"/>
        <v>0.16170764832022874</v>
      </c>
      <c r="G336">
        <f>LN(F336/参数实验室!$E$58)/参数实验室!$E$59</f>
        <v>-1.1467958336135753</v>
      </c>
      <c r="H336">
        <f>INDEX(神经网络!$G$10:$BO$70,MATCH(ROUND(G336*2,1)/2,神经网络!$E$10:$E$70,0),MATCH(ROUND(E336*2,1)/2,神经网络!$G$8:$BO$8,0))</f>
        <v>-1.0998833802433334</v>
      </c>
    </row>
    <row r="337" spans="1:8">
      <c r="A337" s="799">
        <v>40739</v>
      </c>
      <c r="B337">
        <v>13.81</v>
      </c>
      <c r="C337">
        <v>2.4248729999999998</v>
      </c>
      <c r="D337">
        <v>1.9108689999999999</v>
      </c>
      <c r="E337">
        <f>LN(D337/参数实验室!$E$53)/参数实验室!$E$55</f>
        <v>7.0990489853026889E-2</v>
      </c>
      <c r="F337">
        <f t="shared" si="16"/>
        <v>0.17558819695872555</v>
      </c>
      <c r="G337">
        <f>LN(F337/参数实验室!$E$58)/参数实验室!$E$59</f>
        <v>-1.1035733691387195</v>
      </c>
      <c r="H337">
        <f>INDEX(神经网络!$G$10:$BO$70,MATCH(ROUND(G337*2,1)/2,神经网络!$E$10:$E$70,0),MATCH(ROUND(E337*2,1)/2,神经网络!$G$8:$BO$8,0))</f>
        <v>-1.0906432707003457</v>
      </c>
    </row>
    <row r="338" spans="1:8">
      <c r="A338" s="799">
        <v>40740</v>
      </c>
      <c r="B338">
        <v>13.719099999999999</v>
      </c>
      <c r="C338">
        <v>2.4665270000000001</v>
      </c>
      <c r="D338">
        <v>1.896684</v>
      </c>
      <c r="E338">
        <f>LN(D338/参数实验室!$E$53)/参数实验室!$E$55</f>
        <v>6.2200131747081229E-2</v>
      </c>
      <c r="F338">
        <f t="shared" si="16"/>
        <v>0.17978781406943606</v>
      </c>
      <c r="G338">
        <f>LN(F338/参数实验室!$E$58)/参数实验室!$E$59</f>
        <v>-1.0911679812367081</v>
      </c>
      <c r="H338">
        <f>INDEX(神经网络!$G$10:$BO$70,MATCH(ROUND(G338*2,1)/2,神经网络!$E$10:$E$70,0),MATCH(ROUND(E338*2,1)/2,神经网络!$G$8:$BO$8,0))</f>
        <v>-1.0906432707003457</v>
      </c>
    </row>
    <row r="339" spans="1:8">
      <c r="A339" s="799">
        <v>40741</v>
      </c>
      <c r="B339">
        <v>13.16</v>
      </c>
      <c r="C339">
        <v>2.4999009999999999</v>
      </c>
      <c r="D339">
        <v>1.8320479999999999</v>
      </c>
      <c r="E339">
        <f>LN(D339/参数实验室!$E$53)/参数实验室!$E$55</f>
        <v>2.1294982273974115E-2</v>
      </c>
      <c r="F339">
        <f t="shared" si="16"/>
        <v>0.18996208206686929</v>
      </c>
      <c r="G339">
        <f>LN(F339/参数实验室!$E$58)/参数实验室!$E$59</f>
        <v>-1.0622762675866662</v>
      </c>
      <c r="H339">
        <f>INDEX(神经网络!$G$10:$BO$70,MATCH(ROUND(G339*2,1)/2,神经网络!$E$10:$E$70,0),MATCH(ROUND(E339*2,1)/2,神经网络!$G$8:$BO$8,0))</f>
        <v>-1.0792650553659338</v>
      </c>
    </row>
    <row r="340" spans="1:8">
      <c r="A340" s="799">
        <v>40742</v>
      </c>
      <c r="B340">
        <v>13.48</v>
      </c>
      <c r="C340">
        <v>2.5497190000000001</v>
      </c>
      <c r="D340">
        <v>1.9420740000000001</v>
      </c>
      <c r="E340">
        <f>LN(D340/参数实验室!$E$53)/参数实验室!$E$55</f>
        <v>9.0100559707866873E-2</v>
      </c>
      <c r="F340">
        <f t="shared" si="16"/>
        <v>0.189148293768546</v>
      </c>
      <c r="G340">
        <f>LN(F340/参数实验室!$E$58)/参数实验室!$E$59</f>
        <v>-1.0645295466412048</v>
      </c>
      <c r="H340">
        <f>INDEX(神经网络!$G$10:$BO$70,MATCH(ROUND(G340*2,1)/2,神经网络!$E$10:$E$70,0),MATCH(ROUND(E340*2,1)/2,神经网络!$G$8:$BO$8,0))</f>
        <v>-1.0571499027346083</v>
      </c>
    </row>
    <row r="341" spans="1:8">
      <c r="A341" s="799">
        <v>40743</v>
      </c>
      <c r="B341">
        <v>13.850199999999999</v>
      </c>
      <c r="C341">
        <v>2.6810459999999998</v>
      </c>
      <c r="D341">
        <v>1.9643900000000001</v>
      </c>
      <c r="E341">
        <f>LN(D341/参数实验室!$E$53)/参数实验室!$E$55</f>
        <v>0.10357958308235236</v>
      </c>
      <c r="F341">
        <f t="shared" si="16"/>
        <v>0.19357453321973689</v>
      </c>
      <c r="G341">
        <f>LN(F341/参数实验室!$E$58)/参数实验室!$E$59</f>
        <v>-1.052388994310935</v>
      </c>
      <c r="H341">
        <f>INDEX(神经网络!$G$10:$BO$70,MATCH(ROUND(G341*2,1)/2,神经网络!$E$10:$E$70,0),MATCH(ROUND(E341*2,1)/2,神经网络!$G$8:$BO$8,0))</f>
        <v>-1.0571499027346083</v>
      </c>
    </row>
    <row r="342" spans="1:8">
      <c r="A342" s="799">
        <v>40744</v>
      </c>
      <c r="B342">
        <v>13.689399999999999</v>
      </c>
      <c r="C342">
        <v>2.8283580000000001</v>
      </c>
      <c r="D342">
        <v>1.962968</v>
      </c>
      <c r="E342">
        <f>LN(D342/参数实验室!$E$53)/参数实验室!$E$55</f>
        <v>0.10272526362064853</v>
      </c>
      <c r="F342">
        <f t="shared" si="16"/>
        <v>0.2066093473782635</v>
      </c>
      <c r="G342">
        <f>LN(F342/参数实验室!$E$58)/参数实验室!$E$59</f>
        <v>-1.0181857381945847</v>
      </c>
      <c r="H342">
        <f>INDEX(神经网络!$G$10:$BO$70,MATCH(ROUND(G342*2,1)/2,神经网络!$E$10:$E$70,0),MATCH(ROUND(E342*2,1)/2,神经网络!$G$8:$BO$8,0))</f>
        <v>-1.0316178736489794</v>
      </c>
    </row>
    <row r="343" spans="1:8">
      <c r="A343" s="799">
        <v>40745</v>
      </c>
      <c r="B343">
        <v>13.61</v>
      </c>
      <c r="C343">
        <v>3.0152950000000001</v>
      </c>
      <c r="D343">
        <v>1.9520169999999999</v>
      </c>
      <c r="E343">
        <f>LN(D343/参数实验室!$E$53)/参数实验室!$E$55</f>
        <v>9.6125232473488351E-2</v>
      </c>
      <c r="F343">
        <f t="shared" si="16"/>
        <v>0.22154996326230714</v>
      </c>
      <c r="G343">
        <f>LN(F343/参数实验室!$E$58)/参数实验室!$E$59</f>
        <v>-0.98154130419640295</v>
      </c>
      <c r="H343">
        <f>INDEX(神经网络!$G$10:$BO$70,MATCH(ROUND(G343*2,1)/2,神经网络!$E$10:$E$70,0),MATCH(ROUND(E343*2,1)/2,神经网络!$G$8:$BO$8,0))</f>
        <v>-1.0316178736489794</v>
      </c>
    </row>
    <row r="344" spans="1:8">
      <c r="A344" s="799">
        <v>40746</v>
      </c>
      <c r="B344">
        <v>13.695399999999999</v>
      </c>
      <c r="C344">
        <v>3.2342949999999999</v>
      </c>
      <c r="D344">
        <v>1.9631130000000001</v>
      </c>
      <c r="E344">
        <f>LN(D344/参数实验室!$E$53)/参数实验室!$E$55</f>
        <v>0.10281240610214785</v>
      </c>
      <c r="F344">
        <f t="shared" si="16"/>
        <v>0.23615922134439302</v>
      </c>
      <c r="G344">
        <f>LN(F344/参数实验室!$E$58)/参数实验室!$E$59</f>
        <v>-0.9480251157041637</v>
      </c>
      <c r="H344">
        <f>INDEX(神经网络!$G$10:$BO$70,MATCH(ROUND(G344*2,1)/2,神经网络!$E$10:$E$70,0),MATCH(ROUND(E344*2,1)/2,神经网络!$G$8:$BO$8,0))</f>
        <v>-1.0014297374223222</v>
      </c>
    </row>
    <row r="345" spans="1:8">
      <c r="A345" s="799">
        <v>40747</v>
      </c>
      <c r="B345">
        <v>13.68</v>
      </c>
      <c r="C345">
        <v>3.4413819999999999</v>
      </c>
      <c r="D345">
        <v>1.958534</v>
      </c>
      <c r="E345">
        <f>LN(D345/参数实验室!$E$53)/参数实验室!$E$55</f>
        <v>0.10005739395591788</v>
      </c>
      <c r="F345">
        <f t="shared" si="16"/>
        <v>0.25156301169590645</v>
      </c>
      <c r="G345">
        <f>LN(F345/参数实验室!$E$58)/参数实验室!$E$59</f>
        <v>-0.91486102817203196</v>
      </c>
      <c r="H345">
        <f>INDEX(神经网络!$G$10:$BO$70,MATCH(ROUND(G345*2,1)/2,神经网络!$E$10:$E$70,0),MATCH(ROUND(E345*2,1)/2,神经网络!$G$8:$BO$8,0))</f>
        <v>-0.97062786277891799</v>
      </c>
    </row>
    <row r="346" spans="1:8">
      <c r="A346" s="799">
        <v>40748</v>
      </c>
      <c r="B346">
        <v>13.98</v>
      </c>
      <c r="C346">
        <v>3.5665559999999998</v>
      </c>
      <c r="D346">
        <v>1.999133</v>
      </c>
      <c r="E346">
        <f>LN(D346/参数实验室!$E$53)/参数实验室!$E$55</f>
        <v>0.12426280697678652</v>
      </c>
      <c r="F346">
        <f t="shared" si="16"/>
        <v>0.2551184549356223</v>
      </c>
      <c r="G346">
        <f>LN(F346/参数实验室!$E$58)/参数实验室!$E$59</f>
        <v>-0.90749498259188144</v>
      </c>
      <c r="H346">
        <f>INDEX(神经网络!$G$10:$BO$70,MATCH(ROUND(G346*2,1)/2,神经网络!$E$10:$E$70,0),MATCH(ROUND(E346*2,1)/2,神经网络!$G$8:$BO$8,0))</f>
        <v>-0.97062786277891799</v>
      </c>
    </row>
    <row r="347" spans="1:8">
      <c r="A347" s="799">
        <v>40749</v>
      </c>
      <c r="B347">
        <v>14.047800000000001</v>
      </c>
      <c r="C347">
        <v>3.532114</v>
      </c>
      <c r="D347">
        <v>2.0013209999999999</v>
      </c>
      <c r="E347">
        <f>LN(D347/参数实验室!$E$53)/参数实验室!$E$55</f>
        <v>0.1255533106822169</v>
      </c>
      <c r="F347">
        <f t="shared" si="16"/>
        <v>0.25143538490012668</v>
      </c>
      <c r="G347">
        <f>LN(F347/参数实验室!$E$58)/参数实验室!$E$59</f>
        <v>-0.91512737272367028</v>
      </c>
      <c r="H347">
        <f>INDEX(神经网络!$G$10:$BO$70,MATCH(ROUND(G347*2,1)/2,神经网络!$E$10:$E$70,0),MATCH(ROUND(E347*2,1)/2,神经网络!$G$8:$BO$8,0))</f>
        <v>-0.95147098254596862</v>
      </c>
    </row>
    <row r="348" spans="1:8">
      <c r="A348" s="799">
        <v>40750</v>
      </c>
      <c r="B348">
        <v>13.882099999999999</v>
      </c>
      <c r="C348">
        <v>3.4882279999999999</v>
      </c>
      <c r="D348">
        <v>1.9763280000000001</v>
      </c>
      <c r="E348">
        <f>LN(D348/参数实验室!$E$53)/参数实验室!$E$55</f>
        <v>0.11072748725137495</v>
      </c>
      <c r="F348">
        <f t="shared" si="16"/>
        <v>0.25127523933698792</v>
      </c>
      <c r="G348">
        <f>LN(F348/参数实验室!$E$58)/参数实验室!$E$59</f>
        <v>-0.91546177205834056</v>
      </c>
      <c r="H348">
        <f>INDEX(神经网络!$G$10:$BO$70,MATCH(ROUND(G348*2,1)/2,神经网络!$E$10:$E$70,0),MATCH(ROUND(E348*2,1)/2,神经网络!$G$8:$BO$8,0))</f>
        <v>-0.97062786277891799</v>
      </c>
    </row>
    <row r="349" spans="1:8">
      <c r="A349" s="799">
        <v>40751</v>
      </c>
      <c r="B349">
        <v>13.939399999999999</v>
      </c>
      <c r="C349">
        <v>3.492696</v>
      </c>
      <c r="D349">
        <v>1.9728250000000001</v>
      </c>
      <c r="E349">
        <f>LN(D349/参数实验室!$E$53)/参数实验室!$E$55</f>
        <v>0.10863454393035477</v>
      </c>
      <c r="F349">
        <f t="shared" si="16"/>
        <v>0.25056286497266744</v>
      </c>
      <c r="G349">
        <f>LN(F349/参数实验室!$E$58)/参数实验室!$E$59</f>
        <v>-0.91695186543000817</v>
      </c>
      <c r="H349">
        <f>INDEX(神经网络!$G$10:$BO$70,MATCH(ROUND(G349*2,1)/2,神经网络!$E$10:$E$70,0),MATCH(ROUND(E349*2,1)/2,神经网络!$G$8:$BO$8,0))</f>
        <v>-0.97062786277891799</v>
      </c>
    </row>
    <row r="350" spans="1:8">
      <c r="A350" s="799">
        <v>40752</v>
      </c>
      <c r="B350">
        <v>13.4901</v>
      </c>
      <c r="C350">
        <v>3.5174340000000002</v>
      </c>
      <c r="D350">
        <v>1.9192499999999999</v>
      </c>
      <c r="E350">
        <f>LN(D350/参数实验室!$E$53)/参数实验室!$E$55</f>
        <v>7.6153529287946747E-2</v>
      </c>
      <c r="F350">
        <f t="shared" si="16"/>
        <v>0.26074187737674298</v>
      </c>
      <c r="G350">
        <f>LN(F350/参数实验室!$E$58)/参数实验室!$E$59</f>
        <v>-0.89605160251951044</v>
      </c>
      <c r="H350">
        <f>INDEX(神经网络!$G$10:$BO$70,MATCH(ROUND(G350*2,1)/2,神经网络!$E$10:$E$70,0),MATCH(ROUND(E350*2,1)/2,神经网络!$G$8:$BO$8,0))</f>
        <v>-0.97062786277891799</v>
      </c>
    </row>
    <row r="351" spans="1:8">
      <c r="A351" s="799">
        <v>40753</v>
      </c>
      <c r="B351">
        <v>13.4983</v>
      </c>
      <c r="C351">
        <v>3.5498240000000001</v>
      </c>
      <c r="D351">
        <v>1.9194020000000001</v>
      </c>
      <c r="E351">
        <f>LN(D351/参数实验室!$E$53)/参数实验室!$E$55</f>
        <v>7.6246959217608379E-2</v>
      </c>
      <c r="F351">
        <f t="shared" si="16"/>
        <v>0.26298304230903152</v>
      </c>
      <c r="G351">
        <f>LN(F351/参数实验室!$E$58)/参数实验室!$E$59</f>
        <v>-0.89155958156760173</v>
      </c>
      <c r="H351">
        <f>INDEX(神经网络!$G$10:$BO$70,MATCH(ROUND(G351*2,1)/2,神经网络!$E$10:$E$70,0),MATCH(ROUND(E351*2,1)/2,神经网络!$G$8:$BO$8,0))</f>
        <v>-0.97062786277891799</v>
      </c>
    </row>
    <row r="352" spans="1:8">
      <c r="A352" s="799">
        <v>40754</v>
      </c>
      <c r="B352">
        <v>13.5303</v>
      </c>
      <c r="C352">
        <v>3.6521810000000001</v>
      </c>
      <c r="D352">
        <v>1.9194880000000001</v>
      </c>
      <c r="E352">
        <f>LN(D352/参数实验室!$E$53)/参数实验室!$E$55</f>
        <v>7.6299817611049689E-2</v>
      </c>
      <c r="F352">
        <f t="shared" si="16"/>
        <v>0.26992609180875515</v>
      </c>
      <c r="G352">
        <f>LN(F352/参数实验室!$E$58)/参数实验室!$E$59</f>
        <v>-0.8778826014741633</v>
      </c>
      <c r="H352">
        <f>INDEX(神经网络!$G$10:$BO$70,MATCH(ROUND(G352*2,1)/2,神经网络!$E$10:$E$70,0),MATCH(ROUND(E352*2,1)/2,神经网络!$G$8:$BO$8,0))</f>
        <v>-0.97062786277891799</v>
      </c>
    </row>
    <row r="353" spans="1:8">
      <c r="A353" s="799">
        <v>40755</v>
      </c>
      <c r="B353">
        <v>13.35</v>
      </c>
      <c r="C353">
        <v>3.6636959999999998</v>
      </c>
      <c r="D353">
        <v>1.8957310000000001</v>
      </c>
      <c r="E353">
        <f>LN(D353/参数实验室!$E$53)/参数实验室!$E$55</f>
        <v>6.1607208839028725E-2</v>
      </c>
      <c r="F353">
        <f t="shared" si="16"/>
        <v>0.27443415730337078</v>
      </c>
      <c r="G353">
        <f>LN(F353/参数实验室!$E$58)/参数实验室!$E$59</f>
        <v>-0.86918934917596247</v>
      </c>
      <c r="H353">
        <f>INDEX(神经网络!$G$10:$BO$70,MATCH(ROUND(G353*2,1)/2,神经网络!$E$10:$E$70,0),MATCH(ROUND(E353*2,1)/2,神经网络!$G$8:$BO$8,0))</f>
        <v>-0.95229161268046825</v>
      </c>
    </row>
    <row r="354" spans="1:8">
      <c r="A354" s="799">
        <v>40756</v>
      </c>
      <c r="B354">
        <v>13.0946</v>
      </c>
      <c r="C354">
        <v>3.6882799999999998</v>
      </c>
      <c r="D354">
        <v>1.8465039999999999</v>
      </c>
      <c r="E354">
        <f>LN(D354/参数实验室!$E$53)/参数实验室!$E$55</f>
        <v>3.0567435504924113E-2</v>
      </c>
      <c r="F354">
        <f t="shared" si="16"/>
        <v>0.28166419745543964</v>
      </c>
      <c r="G354">
        <f>LN(F354/参数实验室!$E$58)/参数实验室!$E$59</f>
        <v>-0.85554093749231475</v>
      </c>
      <c r="H354">
        <f>INDEX(神经网络!$G$10:$BO$70,MATCH(ROUND(G354*2,1)/2,神经网络!$E$10:$E$70,0),MATCH(ROUND(E354*2,1)/2,神经网络!$G$8:$BO$8,0))</f>
        <v>-0.95229161268046825</v>
      </c>
    </row>
    <row r="355" spans="1:8">
      <c r="A355" s="799">
        <v>40757</v>
      </c>
      <c r="B355">
        <v>12.05</v>
      </c>
      <c r="C355">
        <v>3.7285080000000002</v>
      </c>
      <c r="D355">
        <v>1.733384</v>
      </c>
      <c r="E355">
        <f>LN(D355/参数实验室!$E$53)/参数实验室!$E$55</f>
        <v>-4.4014859018388787E-2</v>
      </c>
      <c r="F355">
        <f t="shared" si="16"/>
        <v>0.30941975103734437</v>
      </c>
      <c r="G355">
        <f>LN(F355/参数实验室!$E$58)/参数实验室!$E$59</f>
        <v>-0.8062134747493388</v>
      </c>
      <c r="H355">
        <f>INDEX(神经网络!$G$10:$BO$70,MATCH(ROUND(G355*2,1)/2,神经网络!$E$10:$E$70,0),MATCH(ROUND(E355*2,1)/2,神经网络!$G$8:$BO$8,0))</f>
        <v>-0.95257482651477821</v>
      </c>
    </row>
    <row r="356" spans="1:8">
      <c r="A356" s="799">
        <v>40758</v>
      </c>
      <c r="B356">
        <v>9.26</v>
      </c>
      <c r="C356">
        <v>3.774302</v>
      </c>
      <c r="D356">
        <v>1.3336049999999999</v>
      </c>
      <c r="E356">
        <f>LN(D356/参数实验室!$E$53)/参数实验室!$E$55</f>
        <v>-0.35333408547850842</v>
      </c>
      <c r="F356">
        <f t="shared" si="16"/>
        <v>0.40759200863930889</v>
      </c>
      <c r="G356">
        <f>LN(F356/参数实验室!$E$58)/参数实验室!$E$59</f>
        <v>-0.6615805364361127</v>
      </c>
      <c r="H356">
        <f>INDEX(神经网络!$G$10:$BO$70,MATCH(ROUND(G356*2,1)/2,神经网络!$E$10:$E$70,0),MATCH(ROUND(E356*2,1)/2,神经网络!$G$8:$BO$8,0))</f>
        <v>-0.95130252601950127</v>
      </c>
    </row>
    <row r="357" spans="1:8">
      <c r="A357" s="799">
        <v>40759</v>
      </c>
      <c r="B357">
        <v>10.75</v>
      </c>
      <c r="C357">
        <v>3.810743</v>
      </c>
      <c r="D357">
        <v>1.5442279999999999</v>
      </c>
      <c r="E357">
        <f>LN(D357/参数实验室!$E$53)/参数实验室!$E$55</f>
        <v>-0.18033706663642649</v>
      </c>
      <c r="F357">
        <f t="shared" si="16"/>
        <v>0.35448772093023256</v>
      </c>
      <c r="G357">
        <f>LN(F357/参数实验室!$E$58)/参数实验室!$E$59</f>
        <v>-0.73484648036838185</v>
      </c>
      <c r="H357">
        <f>INDEX(神经网络!$G$10:$BO$70,MATCH(ROUND(G357*2,1)/2,神经网络!$E$10:$E$70,0),MATCH(ROUND(E357*2,1)/2,神经网络!$G$8:$BO$8,0))</f>
        <v>-0.97113082737311462</v>
      </c>
    </row>
    <row r="358" spans="1:8">
      <c r="A358" s="799">
        <v>40760</v>
      </c>
      <c r="B358">
        <v>9.7998999999999992</v>
      </c>
      <c r="C358">
        <v>3.865907</v>
      </c>
      <c r="D358">
        <v>1.400345</v>
      </c>
      <c r="E358">
        <f>LN(D358/参数实验室!$E$53)/参数实验室!$E$55</f>
        <v>-0.29572339217332128</v>
      </c>
      <c r="F358">
        <f t="shared" si="16"/>
        <v>0.39448433147277018</v>
      </c>
      <c r="G358">
        <f>LN(F358/参数实验室!$E$58)/参数实验室!$E$59</f>
        <v>-0.67873658393357705</v>
      </c>
      <c r="H358">
        <f>INDEX(神经网络!$G$10:$BO$70,MATCH(ROUND(G358*2,1)/2,神经网络!$E$10:$E$70,0),MATCH(ROUND(E358*2,1)/2,神经网络!$G$8:$BO$8,0))</f>
        <v>-0.97063085041632213</v>
      </c>
    </row>
    <row r="359" spans="1:8">
      <c r="A359" s="799">
        <v>40761</v>
      </c>
      <c r="B359">
        <v>6.55</v>
      </c>
      <c r="C359">
        <v>3.9001610000000002</v>
      </c>
      <c r="D359">
        <v>1.017863</v>
      </c>
      <c r="E359">
        <f>LN(D359/参数实验室!$E$53)/参数实验室!$E$55</f>
        <v>-0.67208037168882806</v>
      </c>
      <c r="F359">
        <f t="shared" si="16"/>
        <v>0.59544442748091608</v>
      </c>
      <c r="G359">
        <f>LN(F359/参数实验室!$E$58)/参数实验室!$E$59</f>
        <v>-0.4626391417344925</v>
      </c>
      <c r="H359">
        <f>INDEX(神经网络!$G$10:$BO$70,MATCH(ROUND(G359*2,1)/2,神经网络!$E$10:$E$70,0),MATCH(ROUND(E359*2,1)/2,神经网络!$G$8:$BO$8,0))</f>
        <v>-0.899916880444392</v>
      </c>
    </row>
    <row r="360" spans="1:8">
      <c r="A360" s="799">
        <v>40762</v>
      </c>
      <c r="B360">
        <v>7.9</v>
      </c>
      <c r="C360">
        <v>4.0119999999999996</v>
      </c>
      <c r="D360">
        <v>1.2432989999999999</v>
      </c>
      <c r="E360">
        <f>LN(D360/参数实验室!$E$53)/参数实验室!$E$55</f>
        <v>-0.43605539938792781</v>
      </c>
      <c r="F360">
        <f t="shared" si="16"/>
        <v>0.50784810126582269</v>
      </c>
      <c r="G360">
        <f>LN(F360/参数实验室!$E$58)/参数实验室!$E$59</f>
        <v>-0.54615689512345744</v>
      </c>
      <c r="H360">
        <f>INDEX(神经网络!$G$10:$BO$70,MATCH(ROUND(G360*2,1)/2,神经网络!$E$10:$E$70,0),MATCH(ROUND(E360*2,1)/2,神经网络!$G$8:$BO$8,0))</f>
        <v>-0.91157835879075588</v>
      </c>
    </row>
    <row r="361" spans="1:8">
      <c r="A361" s="799">
        <v>40763</v>
      </c>
      <c r="B361">
        <v>7.7999000000000001</v>
      </c>
      <c r="C361">
        <v>4.0596940000000004</v>
      </c>
      <c r="D361">
        <v>1.155875</v>
      </c>
      <c r="E361">
        <f>LN(D361/参数实验室!$E$53)/参数实验室!$E$55</f>
        <v>-0.52207203157836524</v>
      </c>
      <c r="F361">
        <f t="shared" si="16"/>
        <v>0.52048026256746882</v>
      </c>
      <c r="G361">
        <f>LN(F361/参数实验室!$E$58)/参数实验室!$E$59</f>
        <v>-0.53326145298967353</v>
      </c>
      <c r="H361">
        <f>INDEX(神经网络!$G$10:$BO$70,MATCH(ROUND(G361*2,1)/2,神经网络!$E$10:$E$70,0),MATCH(ROUND(E361*2,1)/2,神经网络!$G$8:$BO$8,0))</f>
        <v>-0.93071884341629885</v>
      </c>
    </row>
    <row r="362" spans="1:8">
      <c r="A362" s="799">
        <v>40764</v>
      </c>
      <c r="B362">
        <v>9.99</v>
      </c>
      <c r="C362">
        <v>4.0508160000000002</v>
      </c>
      <c r="D362">
        <v>1.4537</v>
      </c>
      <c r="E362">
        <f>LN(D362/参数实验室!$E$53)/参数实验室!$E$55</f>
        <v>-0.25160841239216875</v>
      </c>
      <c r="F362">
        <f t="shared" si="16"/>
        <v>0.40548708708708708</v>
      </c>
      <c r="G362">
        <f>LN(F362/参数实验室!$E$58)/参数实验室!$E$59</f>
        <v>-0.66429805570564315</v>
      </c>
      <c r="H362">
        <f>INDEX(神经网络!$G$10:$BO$70,MATCH(ROUND(G362*2,1)/2,神经网络!$E$10:$E$70,0),MATCH(ROUND(E362*2,1)/2,神经网络!$G$8:$BO$8,0))</f>
        <v>-0.91498787549703464</v>
      </c>
    </row>
    <row r="363" spans="1:8">
      <c r="A363" s="799">
        <v>40765</v>
      </c>
      <c r="B363">
        <v>9.98</v>
      </c>
      <c r="C363">
        <v>4.0793790000000003</v>
      </c>
      <c r="D363">
        <v>1.4895350000000001</v>
      </c>
      <c r="E363">
        <f>LN(D363/参数实验室!$E$53)/参数实验室!$E$55</f>
        <v>-0.22287910827475504</v>
      </c>
      <c r="F363">
        <f t="shared" si="16"/>
        <v>0.40875541082164329</v>
      </c>
      <c r="G363">
        <f>LN(F363/参数实验室!$E$58)/参数实验室!$E$59</f>
        <v>-0.66008456367265644</v>
      </c>
      <c r="H363">
        <f>INDEX(神经网络!$G$10:$BO$70,MATCH(ROUND(G363*2,1)/2,神经网络!$E$10:$E$70,0),MATCH(ROUND(E363*2,1)/2,神经网络!$G$8:$BO$8,0))</f>
        <v>-0.89395301091320889</v>
      </c>
    </row>
    <row r="364" spans="1:8">
      <c r="A364" s="799">
        <v>40766</v>
      </c>
      <c r="B364">
        <v>9.4625000000000004</v>
      </c>
      <c r="C364">
        <v>4.1039430000000001</v>
      </c>
      <c r="D364">
        <v>1.4011169999999999</v>
      </c>
      <c r="E364">
        <f>LN(D364/参数实验室!$E$53)/参数实验室!$E$55</f>
        <v>-0.2950731820134827</v>
      </c>
      <c r="F364">
        <f t="shared" si="16"/>
        <v>0.43370599735799209</v>
      </c>
      <c r="G364">
        <f>LN(F364/参数实验室!$E$58)/参数实验室!$E$59</f>
        <v>-0.62898700387412454</v>
      </c>
      <c r="H364">
        <f>INDEX(神经网络!$G$10:$BO$70,MATCH(ROUND(G364*2,1)/2,神经网络!$E$10:$E$70,0),MATCH(ROUND(E364*2,1)/2,神经网络!$G$8:$BO$8,0))</f>
        <v>-0.93482114736766087</v>
      </c>
    </row>
    <row r="365" spans="1:8">
      <c r="A365" s="799">
        <v>40767</v>
      </c>
      <c r="B365">
        <v>9.4604999999999997</v>
      </c>
      <c r="C365">
        <v>4.2818230000000002</v>
      </c>
      <c r="D365">
        <v>1.4032739999999999</v>
      </c>
      <c r="E365">
        <f>LN(D365/参数实验室!$E$53)/参数实验室!$E$55</f>
        <v>-0.29325836500040381</v>
      </c>
      <c r="F365">
        <f t="shared" si="16"/>
        <v>0.45260007399186092</v>
      </c>
      <c r="G365">
        <f>LN(F365/参数实验室!$E$58)/参数实验室!$E$59</f>
        <v>-0.60660616854235538</v>
      </c>
      <c r="H365">
        <f>INDEX(神经网络!$G$10:$BO$70,MATCH(ROUND(G365*2,1)/2,神经网络!$E$10:$E$70,0),MATCH(ROUND(E365*2,1)/2,神经网络!$G$8:$BO$8,0))</f>
        <v>-0.89307109376254667</v>
      </c>
    </row>
    <row r="366" spans="1:8">
      <c r="A366" s="799">
        <v>40768</v>
      </c>
      <c r="B366">
        <v>10.131</v>
      </c>
      <c r="C366">
        <v>4.3354359999999996</v>
      </c>
      <c r="D366">
        <v>1.483749</v>
      </c>
      <c r="E366">
        <f>LN(D366/参数实验室!$E$53)/参数实验室!$E$55</f>
        <v>-0.22747070523365523</v>
      </c>
      <c r="F366">
        <f t="shared" si="16"/>
        <v>0.42793761721449014</v>
      </c>
      <c r="G366">
        <f>LN(F366/参数实验室!$E$58)/参数实验室!$E$59</f>
        <v>-0.63601450995679254</v>
      </c>
      <c r="H366">
        <f>INDEX(神经网络!$G$10:$BO$70,MATCH(ROUND(G366*2,1)/2,神经网络!$E$10:$E$70,0),MATCH(ROUND(E366*2,1)/2,神经网络!$G$8:$BO$8,0))</f>
        <v>-0.91498787549703464</v>
      </c>
    </row>
    <row r="367" spans="1:8">
      <c r="A367" s="799">
        <v>40769</v>
      </c>
      <c r="B367">
        <v>10.7957</v>
      </c>
      <c r="C367">
        <v>4.4368210000000001</v>
      </c>
      <c r="D367">
        <v>1.600217</v>
      </c>
      <c r="E367">
        <f>LN(D367/参数实验室!$E$53)/参数实验室!$E$55</f>
        <v>-0.13831999445896331</v>
      </c>
      <c r="F367">
        <f t="shared" si="16"/>
        <v>0.41098039034059858</v>
      </c>
      <c r="G367">
        <f>LN(F367/参数实验室!$E$58)/参数实验室!$E$59</f>
        <v>-0.65723537162213064</v>
      </c>
      <c r="H367">
        <f>INDEX(神经网络!$G$10:$BO$70,MATCH(ROUND(G367*2,1)/2,神经网络!$E$10:$E$70,0),MATCH(ROUND(E367*2,1)/2,神经网络!$G$8:$BO$8,0))</f>
        <v>-0.87399963156729488</v>
      </c>
    </row>
    <row r="368" spans="1:8">
      <c r="A368" s="799">
        <v>40770</v>
      </c>
      <c r="B368">
        <v>11.149800000000001</v>
      </c>
      <c r="C368">
        <v>4.5347629999999999</v>
      </c>
      <c r="D368">
        <v>1.645529</v>
      </c>
      <c r="E368">
        <f>LN(D368/参数实验室!$E$53)/参数实验室!$E$55</f>
        <v>-0.10537813628317744</v>
      </c>
      <c r="F368">
        <f t="shared" si="16"/>
        <v>0.40671249708514945</v>
      </c>
      <c r="G368">
        <f>LN(F368/参数实验室!$E$58)/参数实验室!$E$59</f>
        <v>-0.66271430242019902</v>
      </c>
      <c r="H368">
        <f>INDEX(神经网络!$G$10:$BO$70,MATCH(ROUND(G368*2,1)/2,神经网络!$E$10:$E$70,0),MATCH(ROUND(E368*2,1)/2,神经网络!$G$8:$BO$8,0))</f>
        <v>-0.85014374501385592</v>
      </c>
    </row>
    <row r="369" spans="1:8">
      <c r="A369" s="799">
        <v>40771</v>
      </c>
      <c r="B369">
        <v>10.9641</v>
      </c>
      <c r="C369">
        <v>4.6219109999999999</v>
      </c>
      <c r="D369">
        <v>1.6221140000000001</v>
      </c>
      <c r="E369">
        <f>LN(D369/参数实验室!$E$53)/参数实验室!$E$55</f>
        <v>-0.12228597782426651</v>
      </c>
      <c r="F369">
        <f t="shared" si="16"/>
        <v>0.42154951158781839</v>
      </c>
      <c r="G369">
        <f>LN(F369/参数实验室!$E$58)/参数实验室!$E$59</f>
        <v>-0.64390841712659486</v>
      </c>
      <c r="H369">
        <f>INDEX(神经网络!$G$10:$BO$70,MATCH(ROUND(G369*2,1)/2,神经网络!$E$10:$E$70,0),MATCH(ROUND(E369*2,1)/2,神经网络!$G$8:$BO$8,0))</f>
        <v>-0.85014374501385592</v>
      </c>
    </row>
    <row r="370" spans="1:8">
      <c r="A370" s="799">
        <v>40772</v>
      </c>
      <c r="B370">
        <v>10.945600000000001</v>
      </c>
      <c r="C370">
        <v>4.7449310000000002</v>
      </c>
      <c r="D370">
        <v>1.615211</v>
      </c>
      <c r="E370">
        <f>LN(D370/参数实验室!$E$53)/参数实验室!$E$55</f>
        <v>-0.12731719896264213</v>
      </c>
      <c r="F370">
        <f t="shared" si="16"/>
        <v>0.43350122423622278</v>
      </c>
      <c r="G370">
        <f>LN(F370/参数实验室!$E$58)/参数实验室!$E$59</f>
        <v>-0.62923487082033136</v>
      </c>
      <c r="H370">
        <f>INDEX(神经网络!$G$10:$BO$70,MATCH(ROUND(G370*2,1)/2,神经网络!$E$10:$E$70,0),MATCH(ROUND(E370*2,1)/2,神经网络!$G$8:$BO$8,0))</f>
        <v>-0.87399963156729488</v>
      </c>
    </row>
    <row r="371" spans="1:8">
      <c r="A371" s="799">
        <v>40773</v>
      </c>
      <c r="B371">
        <v>10.83</v>
      </c>
      <c r="C371">
        <v>4.7553999999999998</v>
      </c>
      <c r="D371">
        <v>1.598069</v>
      </c>
      <c r="E371">
        <f>LN(D371/参数实验室!$E$53)/参数实验室!$E$55</f>
        <v>-0.13990466221479511</v>
      </c>
      <c r="F371">
        <f t="shared" si="16"/>
        <v>0.43909510618651892</v>
      </c>
      <c r="G371">
        <f>LN(F371/参数实验室!$E$58)/参数实验室!$E$59</f>
        <v>-0.62250550083404033</v>
      </c>
      <c r="H371">
        <f>INDEX(神经网络!$G$10:$BO$70,MATCH(ROUND(G371*2,1)/2,神经网络!$E$10:$E$70,0),MATCH(ROUND(E371*2,1)/2,神经网络!$G$8:$BO$8,0))</f>
        <v>-0.82606213000208983</v>
      </c>
    </row>
    <row r="372" spans="1:8">
      <c r="A372" s="799">
        <v>40774</v>
      </c>
      <c r="B372">
        <v>11.65</v>
      </c>
      <c r="C372">
        <v>4.8293160000000004</v>
      </c>
      <c r="D372">
        <v>1.714405</v>
      </c>
      <c r="E372">
        <f>LN(D372/参数实验室!$E$53)/参数实验室!$E$55</f>
        <v>-5.7003335388424281E-2</v>
      </c>
      <c r="F372">
        <f t="shared" si="16"/>
        <v>0.41453356223175969</v>
      </c>
      <c r="G372">
        <f>LN(F372/参数实验室!$E$58)/参数实验室!$E$59</f>
        <v>-0.65271719686913843</v>
      </c>
      <c r="H372">
        <f>INDEX(神经网络!$G$10:$BO$70,MATCH(ROUND(G372*2,1)/2,神经网络!$E$10:$E$70,0),MATCH(ROUND(E372*2,1)/2,神经网络!$G$8:$BO$8,0))</f>
        <v>-0.82633295353614711</v>
      </c>
    </row>
    <row r="373" spans="1:8">
      <c r="A373" s="799">
        <v>40775</v>
      </c>
      <c r="B373">
        <v>11.452999999999999</v>
      </c>
      <c r="C373">
        <v>4.8474370000000002</v>
      </c>
      <c r="D373">
        <v>1.681422</v>
      </c>
      <c r="E373">
        <f>LN(D373/参数实验室!$E$53)/参数实验室!$E$55</f>
        <v>-7.9921478711292973E-2</v>
      </c>
      <c r="F373">
        <f t="shared" si="16"/>
        <v>0.42324604907011265</v>
      </c>
      <c r="G373">
        <f>LN(F373/参数实验室!$E$58)/参数实验室!$E$59</f>
        <v>-0.64180036685900266</v>
      </c>
      <c r="H373">
        <f>INDEX(神经网络!$G$10:$BO$70,MATCH(ROUND(G373*2,1)/2,神经网络!$E$10:$E$70,0),MATCH(ROUND(E373*2,1)/2,神经网络!$G$8:$BO$8,0))</f>
        <v>-0.85014374501385592</v>
      </c>
    </row>
    <row r="374" spans="1:8">
      <c r="A374" s="799">
        <v>40776</v>
      </c>
      <c r="B374">
        <v>11.311299999999999</v>
      </c>
      <c r="C374">
        <v>4.8369530000000003</v>
      </c>
      <c r="D374">
        <v>1.6650830000000001</v>
      </c>
      <c r="E374">
        <f>LN(D374/参数实验室!$E$53)/参数实验室!$E$55</f>
        <v>-9.1441641640564827E-2</v>
      </c>
      <c r="F374">
        <f t="shared" si="16"/>
        <v>0.42762131673636106</v>
      </c>
      <c r="G374">
        <f>LN(F374/参数实验室!$E$58)/参数实验室!$E$59</f>
        <v>-0.63640258747138634</v>
      </c>
      <c r="H374">
        <f>INDEX(神经网络!$G$10:$BO$70,MATCH(ROUND(G374*2,1)/2,神经网络!$E$10:$E$70,0),MATCH(ROUND(E374*2,1)/2,神经网络!$G$8:$BO$8,0))</f>
        <v>-0.85014374501385592</v>
      </c>
    </row>
    <row r="375" spans="1:8">
      <c r="A375" s="799">
        <v>40777</v>
      </c>
      <c r="B375">
        <v>10.895</v>
      </c>
      <c r="C375">
        <v>4.7821939999999996</v>
      </c>
      <c r="D375">
        <v>1.6006260000000001</v>
      </c>
      <c r="E375">
        <f>LN(D375/参数实验室!$E$53)/参数实验室!$E$55</f>
        <v>-0.13801849945942057</v>
      </c>
      <c r="F375">
        <f t="shared" si="16"/>
        <v>0.43893474070674621</v>
      </c>
      <c r="G375">
        <f>LN(F375/参数实验室!$E$58)/参数实验室!$E$59</f>
        <v>-0.62269722204184019</v>
      </c>
      <c r="H375">
        <f>INDEX(神经网络!$G$10:$BO$70,MATCH(ROUND(G375*2,1)/2,神经网络!$E$10:$E$70,0),MATCH(ROUND(E375*2,1)/2,神经网络!$G$8:$BO$8,0))</f>
        <v>-0.82606213000208983</v>
      </c>
    </row>
    <row r="376" spans="1:8">
      <c r="A376" s="799">
        <v>40778</v>
      </c>
      <c r="B376">
        <v>10.94</v>
      </c>
      <c r="C376">
        <v>4.8361799999999997</v>
      </c>
      <c r="D376">
        <v>1.600201</v>
      </c>
      <c r="E376">
        <f>LN(D376/参数实验室!$E$53)/参数实验室!$E$55</f>
        <v>-0.1383317904505518</v>
      </c>
      <c r="F376">
        <f t="shared" si="16"/>
        <v>0.44206398537477148</v>
      </c>
      <c r="G376">
        <f>LN(F376/参数实验室!$E$58)/参数实验室!$E$59</f>
        <v>-0.61896871807431286</v>
      </c>
      <c r="H376">
        <f>INDEX(神经网络!$G$10:$BO$70,MATCH(ROUND(G376*2,1)/2,神经网络!$E$10:$E$70,0),MATCH(ROUND(E376*2,1)/2,神经网络!$G$8:$BO$8,0))</f>
        <v>-0.82606213000208983</v>
      </c>
    </row>
    <row r="377" spans="1:8">
      <c r="A377" s="799">
        <v>40779</v>
      </c>
      <c r="B377">
        <v>10.8506</v>
      </c>
      <c r="C377">
        <v>4.9551360000000004</v>
      </c>
      <c r="D377">
        <v>1.5924039999999999</v>
      </c>
      <c r="E377">
        <f>LN(D377/参数实验室!$E$53)/参数实验室!$E$55</f>
        <v>-0.14409420348388721</v>
      </c>
      <c r="F377">
        <f t="shared" si="16"/>
        <v>0.45666930860966215</v>
      </c>
      <c r="G377">
        <f>LN(F377/参数实验室!$E$58)/参数实验室!$E$59</f>
        <v>-0.60190840011239544</v>
      </c>
      <c r="H377">
        <f>INDEX(神经网络!$G$10:$BO$70,MATCH(ROUND(G377*2,1)/2,神经网络!$E$10:$E$70,0),MATCH(ROUND(E377*2,1)/2,神经网络!$G$8:$BO$8,0))</f>
        <v>-0.82606213000208983</v>
      </c>
    </row>
    <row r="378" spans="1:8">
      <c r="A378" s="799">
        <v>40780</v>
      </c>
      <c r="B378">
        <v>9.657</v>
      </c>
      <c r="C378">
        <v>5.1128239999999998</v>
      </c>
      <c r="D378">
        <v>1.3880809999999999</v>
      </c>
      <c r="E378">
        <f>LN(D378/参数实验室!$E$53)/参数实验室!$E$55</f>
        <v>-0.30610099378652755</v>
      </c>
      <c r="F378">
        <f t="shared" si="16"/>
        <v>0.52944226985606291</v>
      </c>
      <c r="G378">
        <f>LN(F378/参数实验室!$E$58)/参数实验室!$E$59</f>
        <v>-0.52430105856170739</v>
      </c>
      <c r="H378">
        <f>INDEX(神经网络!$G$10:$BO$70,MATCH(ROUND(G378*2,1)/2,神经网络!$E$10:$E$70,0),MATCH(ROUND(E378*2,1)/2,神经网络!$G$8:$BO$8,0))</f>
        <v>-0.80031033017072084</v>
      </c>
    </row>
    <row r="379" spans="1:8">
      <c r="A379" s="799">
        <v>40781</v>
      </c>
      <c r="B379">
        <v>8.1793999999999993</v>
      </c>
      <c r="C379">
        <v>5.2275600000000004</v>
      </c>
      <c r="D379">
        <v>1.1812609999999999</v>
      </c>
      <c r="E379">
        <f>LN(D379/参数实验室!$E$53)/参数实验室!$E$55</f>
        <v>-0.49644203506061746</v>
      </c>
      <c r="F379">
        <f t="shared" si="16"/>
        <v>0.63911289336626165</v>
      </c>
      <c r="G379">
        <f>LN(F379/参数实验室!$E$58)/参数实验室!$E$59</f>
        <v>-0.42549362185550388</v>
      </c>
      <c r="H379">
        <f>INDEX(神经网络!$G$10:$BO$70,MATCH(ROUND(G379*2,1)/2,神经网络!$E$10:$E$70,0),MATCH(ROUND(E379*2,1)/2,神经网络!$G$8:$BO$8,0))</f>
        <v>-0.84139572320850475</v>
      </c>
    </row>
    <row r="380" spans="1:8">
      <c r="A380" s="799">
        <v>40782</v>
      </c>
      <c r="B380">
        <v>8.5901999999999994</v>
      </c>
      <c r="C380">
        <v>5.3645519999999998</v>
      </c>
      <c r="D380">
        <v>1.322902</v>
      </c>
      <c r="E380">
        <f>LN(D380/参数实验室!$E$53)/参数实验室!$E$55</f>
        <v>-0.36284052931135313</v>
      </c>
      <c r="F380">
        <f t="shared" si="16"/>
        <v>0.62449675211287281</v>
      </c>
      <c r="G380">
        <f>LN(F380/参数实验室!$E$58)/参数实验室!$E$59</f>
        <v>-0.43763611066096447</v>
      </c>
      <c r="H380">
        <f>INDEX(神经网络!$G$10:$BO$70,MATCH(ROUND(G380*2,1)/2,神经网络!$E$10:$E$70,0),MATCH(ROUND(E380*2,1)/2,神经网络!$G$8:$BO$8,0))</f>
        <v>-0.77037350271861205</v>
      </c>
    </row>
    <row r="381" spans="1:8">
      <c r="A381" s="799">
        <v>40783</v>
      </c>
      <c r="B381">
        <v>9.0701000000000001</v>
      </c>
      <c r="C381">
        <v>5.5636270000000003</v>
      </c>
      <c r="D381">
        <v>1.388809</v>
      </c>
      <c r="E381">
        <f>LN(D381/参数实验室!$E$53)/参数实验室!$E$55</f>
        <v>-0.30548241661473585</v>
      </c>
      <c r="F381">
        <f t="shared" si="16"/>
        <v>0.61340304958048975</v>
      </c>
      <c r="G381">
        <f>LN(F381/参数实验室!$E$58)/参数实验室!$E$59</f>
        <v>-0.44704354493180448</v>
      </c>
      <c r="H381">
        <f>INDEX(神经网络!$G$10:$BO$70,MATCH(ROUND(G381*2,1)/2,神经网络!$E$10:$E$70,0),MATCH(ROUND(E381*2,1)/2,神经网络!$G$8:$BO$8,0))</f>
        <v>-0.74518100839337154</v>
      </c>
    </row>
    <row r="382" spans="1:8">
      <c r="A382" s="799">
        <v>40784</v>
      </c>
      <c r="B382">
        <v>8.9689999999999994</v>
      </c>
      <c r="C382">
        <v>5.6377670000000002</v>
      </c>
      <c r="D382">
        <v>1.376511</v>
      </c>
      <c r="E382">
        <f>LN(D382/参数实验室!$E$53)/参数实验室!$E$55</f>
        <v>-0.31597574183205829</v>
      </c>
      <c r="F382">
        <f t="shared" si="16"/>
        <v>0.62858367711004581</v>
      </c>
      <c r="G382">
        <f>LN(F382/参数实验室!$E$58)/参数实验室!$E$59</f>
        <v>-0.43421247293677606</v>
      </c>
      <c r="H382">
        <f>INDEX(神经网络!$G$10:$BO$70,MATCH(ROUND(G382*2,1)/2,神经网络!$E$10:$E$70,0),MATCH(ROUND(E382*2,1)/2,神经网络!$G$8:$BO$8,0))</f>
        <v>-0.74518100839337154</v>
      </c>
    </row>
    <row r="383" spans="1:8">
      <c r="A383" s="799">
        <v>40785</v>
      </c>
      <c r="B383">
        <v>8.7912999999999997</v>
      </c>
      <c r="C383">
        <v>5.7753519999999998</v>
      </c>
      <c r="D383">
        <v>1.353712</v>
      </c>
      <c r="E383">
        <f>LN(D383/参数实验室!$E$53)/参数实验室!$E$55</f>
        <v>-0.33567949455739948</v>
      </c>
      <c r="F383">
        <f t="shared" si="16"/>
        <v>0.65693947425295462</v>
      </c>
      <c r="G383">
        <f>LN(F383/参数实验室!$E$58)/参数实验室!$E$59</f>
        <v>-0.41105447821202995</v>
      </c>
      <c r="H383">
        <f>INDEX(神经网络!$G$10:$BO$70,MATCH(ROUND(G383*2,1)/2,神经网络!$E$10:$E$70,0),MATCH(ROUND(E383*2,1)/2,神经网络!$G$8:$BO$8,0))</f>
        <v>-0.71502507457718045</v>
      </c>
    </row>
    <row r="384" spans="1:8">
      <c r="A384" s="799">
        <v>40786</v>
      </c>
      <c r="B384">
        <v>8.1995000000000005</v>
      </c>
      <c r="C384">
        <v>5.8385959999999999</v>
      </c>
      <c r="D384">
        <v>1.26084</v>
      </c>
      <c r="E384">
        <f>LN(D384/参数实验室!$E$53)/参数实验室!$E$55</f>
        <v>-0.4195272512864795</v>
      </c>
      <c r="F384">
        <f t="shared" si="16"/>
        <v>0.71206732117812055</v>
      </c>
      <c r="G384">
        <f>LN(F384/参数实验室!$E$58)/参数实验室!$E$59</f>
        <v>-0.36876144059880622</v>
      </c>
      <c r="H384">
        <f>INDEX(神经网络!$G$10:$BO$70,MATCH(ROUND(G384*2,1)/2,神经网络!$E$10:$E$70,0),MATCH(ROUND(E384*2,1)/2,神经网络!$G$8:$BO$8,0))</f>
        <v>-0.67886450745175153</v>
      </c>
    </row>
    <row r="385" spans="1:8">
      <c r="A385" s="799">
        <v>40787</v>
      </c>
      <c r="B385">
        <v>8.2100000000000009</v>
      </c>
      <c r="C385">
        <v>5.962567</v>
      </c>
      <c r="D385">
        <v>1.2677480000000001</v>
      </c>
      <c r="E385">
        <f>LN(D385/参数实验室!$E$53)/参数实验室!$E$55</f>
        <v>-0.41308115909201071</v>
      </c>
      <c r="F385">
        <f t="shared" si="16"/>
        <v>0.72625663824604136</v>
      </c>
      <c r="G385">
        <f>LN(F385/参数实验室!$E$58)/参数实验室!$E$59</f>
        <v>-0.35840555103415195</v>
      </c>
      <c r="H385">
        <f>INDEX(神经网络!$G$10:$BO$70,MATCH(ROUND(G385*2,1)/2,神经网络!$E$10:$E$70,0),MATCH(ROUND(E385*2,1)/2,神经网络!$G$8:$BO$8,0))</f>
        <v>-0.67886450745175153</v>
      </c>
    </row>
    <row r="386" spans="1:8">
      <c r="A386" s="799">
        <v>40788</v>
      </c>
      <c r="B386">
        <v>8.64</v>
      </c>
      <c r="C386">
        <v>5.9894780000000001</v>
      </c>
      <c r="D386">
        <v>1.3264020000000001</v>
      </c>
      <c r="E386">
        <f>LN(D386/参数实验室!$E$53)/参数实验室!$E$55</f>
        <v>-0.35972337948172811</v>
      </c>
      <c r="F386">
        <f t="shared" si="16"/>
        <v>0.69322662037037031</v>
      </c>
      <c r="G386">
        <f>LN(F386/参数实验室!$E$58)/参数实验室!$E$59</f>
        <v>-0.38283566414097159</v>
      </c>
      <c r="H386">
        <f>INDEX(神经网络!$G$10:$BO$70,MATCH(ROUND(G386*2,1)/2,神经网络!$E$10:$E$70,0),MATCH(ROUND(E386*2,1)/2,神经网络!$G$8:$BO$8,0))</f>
        <v>-0.71502507457718045</v>
      </c>
    </row>
    <row r="387" spans="1:8">
      <c r="A387" s="799">
        <v>40789</v>
      </c>
      <c r="B387">
        <v>8.48</v>
      </c>
      <c r="C387">
        <v>5.9421039999999996</v>
      </c>
      <c r="D387">
        <v>1.2999289999999999</v>
      </c>
      <c r="E387">
        <f>LN(D387/参数实验室!$E$53)/参数实验室!$E$55</f>
        <v>-0.38350763625359308</v>
      </c>
      <c r="F387">
        <f t="shared" si="16"/>
        <v>0.70071981132075467</v>
      </c>
      <c r="G387">
        <f>LN(F387/参数实验室!$E$58)/参数实验室!$E$59</f>
        <v>-0.37719287994425921</v>
      </c>
      <c r="H387">
        <f>INDEX(神经网络!$G$10:$BO$70,MATCH(ROUND(G387*2,1)/2,神经网络!$E$10:$E$70,0),MATCH(ROUND(E387*2,1)/2,神经网络!$G$8:$BO$8,0))</f>
        <v>-0.74160238842247306</v>
      </c>
    </row>
    <row r="388" spans="1:8">
      <c r="A388" s="799">
        <v>40790</v>
      </c>
      <c r="B388">
        <v>8.1780000000000008</v>
      </c>
      <c r="C388">
        <v>5.9870479999999997</v>
      </c>
      <c r="D388">
        <v>1.262799</v>
      </c>
      <c r="E388">
        <f>LN(D388/参数实验室!$E$53)/参数实验室!$E$55</f>
        <v>-0.41769566042173489</v>
      </c>
      <c r="F388">
        <f t="shared" si="16"/>
        <v>0.73209195402298843</v>
      </c>
      <c r="G388">
        <f>LN(F388/参数实验室!$E$58)/参数实验室!$E$59</f>
        <v>-0.35420531325878674</v>
      </c>
      <c r="H388">
        <f>INDEX(神经网络!$G$10:$BO$70,MATCH(ROUND(G388*2,1)/2,神经网络!$E$10:$E$70,0),MATCH(ROUND(E388*2,1)/2,神经网络!$G$8:$BO$8,0))</f>
        <v>-0.67886450745175153</v>
      </c>
    </row>
    <row r="389" spans="1:8">
      <c r="A389" s="799">
        <v>40791</v>
      </c>
      <c r="B389">
        <v>7.6109999999999998</v>
      </c>
      <c r="C389">
        <v>5.8657909999999998</v>
      </c>
      <c r="D389">
        <v>1.1714260000000001</v>
      </c>
      <c r="E389">
        <f>LN(D389/参数实验室!$E$53)/参数实验室!$E$55</f>
        <v>-0.50630560020329507</v>
      </c>
      <c r="F389">
        <f t="shared" ref="F389:F452" si="17">C389/B389</f>
        <v>0.77069911969517801</v>
      </c>
      <c r="G389">
        <f>LN(F389/参数实验室!$E$58)/参数实验室!$E$59</f>
        <v>-0.32723205403604499</v>
      </c>
      <c r="H389">
        <f>INDEX(神经网络!$G$10:$BO$70,MATCH(ROUND(G389*2,1)/2,神经网络!$E$10:$E$70,0),MATCH(ROUND(E389*2,1)/2,神经网络!$G$8:$BO$8,0))</f>
        <v>-0.73401713105440403</v>
      </c>
    </row>
    <row r="390" spans="1:8">
      <c r="A390" s="799">
        <v>40792</v>
      </c>
      <c r="B390">
        <v>6.8628</v>
      </c>
      <c r="C390">
        <v>5.7839660000000004</v>
      </c>
      <c r="D390">
        <v>1.0587549999999999</v>
      </c>
      <c r="E390">
        <f>LN(D390/参数实验室!$E$53)/参数实验室!$E$55</f>
        <v>-0.62561182849947683</v>
      </c>
      <c r="F390">
        <f t="shared" si="17"/>
        <v>0.84279973188785928</v>
      </c>
      <c r="G390">
        <f>LN(F390/参数实验室!$E$58)/参数实验室!$E$59</f>
        <v>-0.28029366770361341</v>
      </c>
      <c r="H390">
        <f>INDEX(神经网络!$G$10:$BO$70,MATCH(ROUND(G390*2,1)/2,神经网络!$E$10:$E$70,0),MATCH(ROUND(E390*2,1)/2,神经网络!$G$8:$BO$8,0))</f>
        <v>-0.73722998208688451</v>
      </c>
    </row>
    <row r="391" spans="1:8">
      <c r="A391" s="799">
        <v>40793</v>
      </c>
      <c r="B391">
        <v>7.1863999999999999</v>
      </c>
      <c r="C391">
        <v>5.802975</v>
      </c>
      <c r="D391">
        <v>1.1089899999999999</v>
      </c>
      <c r="E391">
        <f>LN(D391/参数实验室!$E$53)/参数实验室!$E$55</f>
        <v>-0.57092318514950569</v>
      </c>
      <c r="F391">
        <f t="shared" si="17"/>
        <v>0.80749401647556496</v>
      </c>
      <c r="G391">
        <f>LN(F391/参数实验室!$E$58)/参数实验室!$E$59</f>
        <v>-0.30275412396988544</v>
      </c>
      <c r="H391">
        <f>INDEX(神经网络!$G$10:$BO$70,MATCH(ROUND(G391*2,1)/2,神经网络!$E$10:$E$70,0),MATCH(ROUND(E391*2,1)/2,神经网络!$G$8:$BO$8,0))</f>
        <v>-0.69734249383370006</v>
      </c>
    </row>
    <row r="392" spans="1:8">
      <c r="A392" s="799">
        <v>40794</v>
      </c>
      <c r="B392">
        <v>6.53</v>
      </c>
      <c r="C392">
        <v>5.8914429999999998</v>
      </c>
      <c r="D392">
        <v>1.037326</v>
      </c>
      <c r="E392">
        <f>LN(D392/参数实验室!$E$53)/参数实验室!$E$55</f>
        <v>-0.64973476371451977</v>
      </c>
      <c r="F392">
        <f t="shared" si="17"/>
        <v>0.90221179173047461</v>
      </c>
      <c r="G392">
        <f>LN(F392/参数实验室!$E$58)/参数实验室!$E$59</f>
        <v>-0.24454064647572099</v>
      </c>
      <c r="H392">
        <f>INDEX(神经网络!$G$10:$BO$70,MATCH(ROUND(G392*2,1)/2,神经网络!$E$10:$E$70,0),MATCH(ROUND(E392*2,1)/2,神经网络!$G$8:$BO$8,0))</f>
        <v>-0.67346362458161046</v>
      </c>
    </row>
    <row r="393" spans="1:8">
      <c r="A393" s="799">
        <v>40795</v>
      </c>
      <c r="B393">
        <v>5.03</v>
      </c>
      <c r="C393">
        <v>5.9049529999999999</v>
      </c>
      <c r="D393">
        <v>0.77780499999999997</v>
      </c>
      <c r="E393">
        <f>LN(D393/参数实验室!$E$53)/参数实验室!$E$55</f>
        <v>-0.98941601530522605</v>
      </c>
      <c r="F393">
        <f t="shared" si="17"/>
        <v>1.1739469184890656</v>
      </c>
      <c r="G393">
        <f>LN(F393/参数实验室!$E$58)/参数实验室!$E$59</f>
        <v>-0.10635839125573439</v>
      </c>
      <c r="H393">
        <f>INDEX(神经网络!$G$10:$BO$70,MATCH(ROUND(G393*2,1)/2,神经网络!$E$10:$E$70,0),MATCH(ROUND(E393*2,1)/2,神经网络!$G$8:$BO$8,0))</f>
        <v>-0.43592694167829016</v>
      </c>
    </row>
    <row r="394" spans="1:8">
      <c r="A394" s="799">
        <v>40796</v>
      </c>
      <c r="B394">
        <v>4.7739000000000003</v>
      </c>
      <c r="C394">
        <v>5.9406800000000004</v>
      </c>
      <c r="D394">
        <v>0.74125200000000002</v>
      </c>
      <c r="E394">
        <f>LN(D394/参数实验室!$E$53)/参数实验室!$E$55</f>
        <v>-1.0462036755838755</v>
      </c>
      <c r="F394">
        <f t="shared" si="17"/>
        <v>1.2444081359056536</v>
      </c>
      <c r="G394">
        <f>LN(F394/参数实验室!$E$58)/参数实验室!$E$59</f>
        <v>-7.5765426978412015E-2</v>
      </c>
      <c r="H394">
        <f>INDEX(神经网络!$G$10:$BO$70,MATCH(ROUND(G394*2,1)/2,神经网络!$E$10:$E$70,0),MATCH(ROUND(E394*2,1)/2,神经网络!$G$8:$BO$8,0))</f>
        <v>-0.44742344162383429</v>
      </c>
    </row>
    <row r="395" spans="1:8">
      <c r="A395" s="799">
        <v>40797</v>
      </c>
      <c r="B395">
        <v>5.8643999999999998</v>
      </c>
      <c r="C395">
        <v>5.9839599999999997</v>
      </c>
      <c r="D395">
        <v>0.95191700000000001</v>
      </c>
      <c r="E395">
        <f>LN(D395/参数实验室!$E$53)/参数实验室!$E$55</f>
        <v>-0.75110350520250746</v>
      </c>
      <c r="F395">
        <f t="shared" si="17"/>
        <v>1.020387422413205</v>
      </c>
      <c r="G395">
        <f>LN(F395/参数实验室!$E$58)/参数实验室!$E$59</f>
        <v>-0.1799372203467082</v>
      </c>
      <c r="H395">
        <f>INDEX(神经网络!$G$10:$BO$70,MATCH(ROUND(G395*2,1)/2,神经网络!$E$10:$E$70,0),MATCH(ROUND(E395*2,1)/2,神经网络!$G$8:$BO$8,0))</f>
        <v>-0.62222686136931071</v>
      </c>
    </row>
    <row r="396" spans="1:8">
      <c r="A396" s="799">
        <v>40798</v>
      </c>
      <c r="B396">
        <v>6.0780000000000003</v>
      </c>
      <c r="C396">
        <v>5.9903219999999999</v>
      </c>
      <c r="D396">
        <v>0.99274300000000004</v>
      </c>
      <c r="E396">
        <f>LN(D396/参数实验室!$E$53)/参数实验室!$E$55</f>
        <v>-0.70156097962425945</v>
      </c>
      <c r="F396">
        <f t="shared" si="17"/>
        <v>0.9855745310957551</v>
      </c>
      <c r="G396">
        <f>LN(F396/参数实验室!$E$58)/参数实验室!$E$59</f>
        <v>-0.19815643078697884</v>
      </c>
      <c r="H396">
        <f>INDEX(神经网络!$G$10:$BO$70,MATCH(ROUND(G396*2,1)/2,神经网络!$E$10:$E$70,0),MATCH(ROUND(E396*2,1)/2,神经网络!$G$8:$BO$8,0))</f>
        <v>-0.61488284484320499</v>
      </c>
    </row>
    <row r="397" spans="1:8">
      <c r="A397" s="799">
        <v>40799</v>
      </c>
      <c r="B397">
        <v>5.8</v>
      </c>
      <c r="C397">
        <v>5.9683070000000003</v>
      </c>
      <c r="D397">
        <v>0.94859300000000002</v>
      </c>
      <c r="E397">
        <f>LN(D397/参数实验室!$E$53)/参数实验室!$E$55</f>
        <v>-0.75523029620241189</v>
      </c>
      <c r="F397">
        <f t="shared" si="17"/>
        <v>1.0290184482758622</v>
      </c>
      <c r="G397">
        <f>LN(F397/参数实验室!$E$58)/参数实验室!$E$59</f>
        <v>-0.17551637265872524</v>
      </c>
      <c r="H397">
        <f>INDEX(神经网络!$G$10:$BO$70,MATCH(ROUND(G397*2,1)/2,神经网络!$E$10:$E$70,0),MATCH(ROUND(E397*2,1)/2,神经网络!$G$8:$BO$8,0))</f>
        <v>-0.62222686136931071</v>
      </c>
    </row>
    <row r="398" spans="1:8">
      <c r="A398" s="799">
        <v>40800</v>
      </c>
      <c r="B398">
        <v>5.6193</v>
      </c>
      <c r="C398">
        <v>5.9177229999999996</v>
      </c>
      <c r="D398">
        <v>0.91622700000000001</v>
      </c>
      <c r="E398">
        <f>LN(D398/参数实验室!$E$53)/参数实验室!$E$55</f>
        <v>-0.79618623649183051</v>
      </c>
      <c r="F398">
        <f t="shared" si="17"/>
        <v>1.0531067926610076</v>
      </c>
      <c r="G398">
        <f>LN(F398/参数实验室!$E$58)/参数实验室!$E$59</f>
        <v>-0.16337163823325004</v>
      </c>
      <c r="H398">
        <f>INDEX(神经网络!$G$10:$BO$70,MATCH(ROUND(G398*2,1)/2,神经网络!$E$10:$E$70,0),MATCH(ROUND(E398*2,1)/2,神经网络!$G$8:$BO$8,0))</f>
        <v>-0.53307182885439031</v>
      </c>
    </row>
    <row r="399" spans="1:8">
      <c r="A399" s="799">
        <v>40801</v>
      </c>
      <c r="B399">
        <v>4.84</v>
      </c>
      <c r="C399">
        <v>5.9023159999999999</v>
      </c>
      <c r="D399">
        <v>0.79879599999999995</v>
      </c>
      <c r="E399">
        <f>LN(D399/参数实验室!$E$53)/参数实验室!$E$55</f>
        <v>-0.95799948851870842</v>
      </c>
      <c r="F399">
        <f t="shared" si="17"/>
        <v>1.2194867768595041</v>
      </c>
      <c r="G399">
        <f>LN(F399/参数实验室!$E$58)/参数实验室!$E$59</f>
        <v>-8.6383186744666912E-2</v>
      </c>
      <c r="H399">
        <f>INDEX(神经网络!$G$10:$BO$70,MATCH(ROUND(G399*2,1)/2,神经网络!$E$10:$E$70,0),MATCH(ROUND(E399*2,1)/2,神经网络!$G$8:$BO$8,0))</f>
        <v>-0.42887134428748536</v>
      </c>
    </row>
    <row r="400" spans="1:8">
      <c r="A400" s="799">
        <v>40802</v>
      </c>
      <c r="B400">
        <v>4.82</v>
      </c>
      <c r="C400">
        <v>5.9904659999999996</v>
      </c>
      <c r="D400">
        <v>0.79459100000000005</v>
      </c>
      <c r="E400">
        <f>LN(D400/参数实验室!$E$53)/参数实验室!$E$55</f>
        <v>-0.96422631716433005</v>
      </c>
      <c r="F400">
        <f t="shared" si="17"/>
        <v>1.2428352697095435</v>
      </c>
      <c r="G400">
        <f>LN(F400/参数实验室!$E$58)/参数实验室!$E$59</f>
        <v>-7.6429234380962552E-2</v>
      </c>
      <c r="H400">
        <f>INDEX(神经网络!$G$10:$BO$70,MATCH(ROUND(G400*2,1)/2,神经网络!$E$10:$E$70,0),MATCH(ROUND(E400*2,1)/2,神经网络!$G$8:$BO$8,0))</f>
        <v>-0.42887134428748536</v>
      </c>
    </row>
    <row r="401" spans="1:8">
      <c r="A401" s="799">
        <v>40803</v>
      </c>
      <c r="B401">
        <v>4.7699999999999996</v>
      </c>
      <c r="C401">
        <v>6.0522929999999997</v>
      </c>
      <c r="D401">
        <v>0.78623799999999999</v>
      </c>
      <c r="E401">
        <f>LN(D401/参数实验室!$E$53)/参数实验室!$E$55</f>
        <v>-0.97669391557090735</v>
      </c>
      <c r="F401">
        <f t="shared" si="17"/>
        <v>1.2688245283018869</v>
      </c>
      <c r="G401">
        <f>LN(F401/参数实验室!$E$58)/参数实验室!$E$59</f>
        <v>-6.5567051277212338E-2</v>
      </c>
      <c r="H401">
        <f>INDEX(神经网络!$G$10:$BO$70,MATCH(ROUND(G401*2,1)/2,神经网络!$E$10:$E$70,0),MATCH(ROUND(E401*2,1)/2,神经网络!$G$8:$BO$8,0))</f>
        <v>-0.3126872929570399</v>
      </c>
    </row>
    <row r="402" spans="1:8">
      <c r="A402" s="799">
        <v>40804</v>
      </c>
      <c r="B402">
        <v>5.2</v>
      </c>
      <c r="C402">
        <v>5.9604799999999996</v>
      </c>
      <c r="D402">
        <v>0.86238300000000001</v>
      </c>
      <c r="E402">
        <f>LN(D402/参数实验室!$E$53)/参数实验室!$E$55</f>
        <v>-0.86763759417927711</v>
      </c>
      <c r="F402">
        <f t="shared" si="17"/>
        <v>1.1462461538461537</v>
      </c>
      <c r="G402">
        <f>LN(F402/参数实验室!$E$58)/参数实验室!$E$59</f>
        <v>-0.11889144235305978</v>
      </c>
      <c r="H402">
        <f>INDEX(神经网络!$G$10:$BO$70,MATCH(ROUND(G402*2,1)/2,神经网络!$E$10:$E$70,0),MATCH(ROUND(E402*2,1)/2,神经网络!$G$8:$BO$8,0))</f>
        <v>-0.42466935445445991</v>
      </c>
    </row>
    <row r="403" spans="1:8">
      <c r="A403" s="799">
        <v>40805</v>
      </c>
      <c r="B403">
        <v>5.46</v>
      </c>
      <c r="C403">
        <v>6.0849070000000003</v>
      </c>
      <c r="D403">
        <v>0.91006399999999998</v>
      </c>
      <c r="E403">
        <f>LN(D403/参数实验室!$E$53)/参数实验室!$E$55</f>
        <v>-0.80414865523300982</v>
      </c>
      <c r="F403">
        <f t="shared" si="17"/>
        <v>1.1144518315018315</v>
      </c>
      <c r="G403">
        <f>LN(F403/参数实验室!$E$58)/参数实验室!$E$59</f>
        <v>-0.13365544806431123</v>
      </c>
      <c r="H403">
        <f>INDEX(神经网络!$G$10:$BO$70,MATCH(ROUND(G403*2,1)/2,神经网络!$E$10:$E$70,0),MATCH(ROUND(E403*2,1)/2,神经网络!$G$8:$BO$8,0))</f>
        <v>-0.53307182885439031</v>
      </c>
    </row>
    <row r="404" spans="1:8">
      <c r="A404" s="799">
        <v>40806</v>
      </c>
      <c r="B404">
        <v>6.1119000000000003</v>
      </c>
      <c r="C404">
        <v>6.1924169999999998</v>
      </c>
      <c r="D404">
        <v>1.013509</v>
      </c>
      <c r="E404">
        <f>LN(D404/参数实验室!$E$53)/参数实验室!$E$55</f>
        <v>-0.67713769599015627</v>
      </c>
      <c r="F404">
        <f t="shared" si="17"/>
        <v>1.0131738084719972</v>
      </c>
      <c r="G404">
        <f>LN(F404/参数实验室!$E$58)/参数实验室!$E$59</f>
        <v>-0.1836608459403628</v>
      </c>
      <c r="H404">
        <f>INDEX(神经网络!$G$10:$BO$70,MATCH(ROUND(G404*2,1)/2,神经网络!$E$10:$E$70,0),MATCH(ROUND(E404*2,1)/2,神经网络!$G$8:$BO$8,0))</f>
        <v>-0.61488284484320499</v>
      </c>
    </row>
    <row r="405" spans="1:8">
      <c r="A405" s="799">
        <v>40807</v>
      </c>
      <c r="B405">
        <v>5.6113999999999997</v>
      </c>
      <c r="C405">
        <v>6.3166520000000004</v>
      </c>
      <c r="D405">
        <v>0.92389299999999996</v>
      </c>
      <c r="E405">
        <f>LN(D405/参数实验室!$E$53)/参数实验室!$E$55</f>
        <v>-0.78635639855647343</v>
      </c>
      <c r="F405">
        <f t="shared" si="17"/>
        <v>1.125682004490858</v>
      </c>
      <c r="G405">
        <f>LN(F405/参数实验室!$E$58)/参数实验室!$E$59</f>
        <v>-0.1283930383088836</v>
      </c>
      <c r="H405">
        <f>INDEX(神经网络!$G$10:$BO$70,MATCH(ROUND(G405*2,1)/2,神经网络!$E$10:$E$70,0),MATCH(ROUND(E405*2,1)/2,神经网络!$G$8:$BO$8,0))</f>
        <v>-0.53307182885439031</v>
      </c>
    </row>
    <row r="406" spans="1:8">
      <c r="A406" s="799">
        <v>40808</v>
      </c>
      <c r="B406">
        <v>5.4278000000000004</v>
      </c>
      <c r="C406">
        <v>6.3706969999999998</v>
      </c>
      <c r="D406">
        <v>0.90549299999999999</v>
      </c>
      <c r="E406">
        <f>LN(D406/参数实验室!$E$53)/参数实验室!$E$55</f>
        <v>-0.81008916106393636</v>
      </c>
      <c r="F406">
        <f t="shared" si="17"/>
        <v>1.1737162386233833</v>
      </c>
      <c r="G406">
        <f>LN(F406/参数实验室!$E$58)/参数实验室!$E$59</f>
        <v>-0.10646153489470474</v>
      </c>
      <c r="H406">
        <f>INDEX(神经网络!$G$10:$BO$70,MATCH(ROUND(G406*2,1)/2,神经网络!$E$10:$E$70,0),MATCH(ROUND(E406*2,1)/2,神经网络!$G$8:$BO$8,0))</f>
        <v>-0.43356755541399628</v>
      </c>
    </row>
    <row r="407" spans="1:8">
      <c r="A407" s="799">
        <v>40809</v>
      </c>
      <c r="B407">
        <v>5.5450999999999997</v>
      </c>
      <c r="C407">
        <v>6.3953899999999999</v>
      </c>
      <c r="D407">
        <v>0.92077600000000004</v>
      </c>
      <c r="E407">
        <f>LN(D407/参数实验室!$E$53)/参数实验室!$E$55</f>
        <v>-0.79034334077891966</v>
      </c>
      <c r="F407">
        <f t="shared" si="17"/>
        <v>1.1533407873618149</v>
      </c>
      <c r="G407">
        <f>LN(F407/参数实验室!$E$58)/参数实验室!$E$59</f>
        <v>-0.11565289647988157</v>
      </c>
      <c r="H407">
        <f>INDEX(神经网络!$G$10:$BO$70,MATCH(ROUND(G407*2,1)/2,神经网络!$E$10:$E$70,0),MATCH(ROUND(E407*2,1)/2,神经网络!$G$8:$BO$8,0))</f>
        <v>-0.43356755541399628</v>
      </c>
    </row>
    <row r="408" spans="1:8">
      <c r="A408" s="799">
        <v>40810</v>
      </c>
      <c r="B408">
        <v>5.4683000000000002</v>
      </c>
      <c r="C408">
        <v>6.4425980000000003</v>
      </c>
      <c r="D408">
        <v>0.90381900000000004</v>
      </c>
      <c r="E408">
        <f>LN(D408/参数实验室!$E$53)/参数实验室!$E$55</f>
        <v>-0.8122722090887432</v>
      </c>
      <c r="F408">
        <f t="shared" si="17"/>
        <v>1.1781720095825028</v>
      </c>
      <c r="G408">
        <f>LN(F408/参数实验室!$E$58)/参数实验室!$E$59</f>
        <v>-0.10447280757931426</v>
      </c>
      <c r="H408">
        <f>INDEX(神经网络!$G$10:$BO$70,MATCH(ROUND(G408*2,1)/2,神经网络!$E$10:$E$70,0),MATCH(ROUND(E408*2,1)/2,神经网络!$G$8:$BO$8,0))</f>
        <v>-0.43356755541399628</v>
      </c>
    </row>
    <row r="409" spans="1:8">
      <c r="A409" s="799">
        <v>40811</v>
      </c>
      <c r="B409">
        <v>5.33</v>
      </c>
      <c r="C409">
        <v>6.5100870000000004</v>
      </c>
      <c r="D409">
        <v>0.88997000000000004</v>
      </c>
      <c r="E409">
        <f>LN(D409/参数实验室!$E$53)/参数实验室!$E$55</f>
        <v>-0.83048920931870585</v>
      </c>
      <c r="F409">
        <f t="shared" si="17"/>
        <v>1.2214046904315197</v>
      </c>
      <c r="G409">
        <f>LN(F409/参数实验室!$E$58)/参数实验室!$E$59</f>
        <v>-8.5558385713401575E-2</v>
      </c>
      <c r="H409">
        <f>INDEX(神经网络!$G$10:$BO$70,MATCH(ROUND(G409*2,1)/2,神经网络!$E$10:$E$70,0),MATCH(ROUND(E409*2,1)/2,神经网络!$G$8:$BO$8,0))</f>
        <v>-0.42466935445445991</v>
      </c>
    </row>
    <row r="410" spans="1:8">
      <c r="A410" s="799">
        <v>40812</v>
      </c>
      <c r="B410">
        <v>4.8696999999999999</v>
      </c>
      <c r="C410">
        <v>6.4747130000000004</v>
      </c>
      <c r="D410">
        <v>0.81318199999999996</v>
      </c>
      <c r="E410">
        <f>LN(D410/参数实验室!$E$53)/参数实验室!$E$55</f>
        <v>-0.9369416567501877</v>
      </c>
      <c r="F410">
        <f t="shared" si="17"/>
        <v>1.3295917612994641</v>
      </c>
      <c r="G410">
        <f>LN(F410/参数实验室!$E$58)/参数实验室!$E$59</f>
        <v>-4.1013830604758071E-2</v>
      </c>
      <c r="H410">
        <f>INDEX(神经网络!$G$10:$BO$70,MATCH(ROUND(G410*2,1)/2,神经网络!$E$10:$E$70,0),MATCH(ROUND(E410*2,1)/2,神经网络!$G$8:$BO$8,0))</f>
        <v>-0.3063649676739304</v>
      </c>
    </row>
    <row r="411" spans="1:8">
      <c r="A411" s="799">
        <v>40813</v>
      </c>
      <c r="B411">
        <v>4.9156000000000004</v>
      </c>
      <c r="C411">
        <v>6.4165580000000002</v>
      </c>
      <c r="D411">
        <v>0.820133</v>
      </c>
      <c r="E411">
        <f>LN(D411/参数实验室!$E$53)/参数实验室!$E$55</f>
        <v>-0.9269000979486206</v>
      </c>
      <c r="F411">
        <f t="shared" si="17"/>
        <v>1.3053458377410692</v>
      </c>
      <c r="G411">
        <f>LN(F411/参数实验室!$E$58)/参数实验室!$E$59</f>
        <v>-5.0673209403533301E-2</v>
      </c>
      <c r="H411">
        <f>INDEX(神经网络!$G$10:$BO$70,MATCH(ROUND(G411*2,1)/2,神经网络!$E$10:$E$70,0),MATCH(ROUND(E411*2,1)/2,神经网络!$G$8:$BO$8,0))</f>
        <v>-0.3063649676739304</v>
      </c>
    </row>
    <row r="412" spans="1:8">
      <c r="A412" s="799">
        <v>40814</v>
      </c>
      <c r="B412">
        <v>4.7725</v>
      </c>
      <c r="C412">
        <v>6.3976389999999999</v>
      </c>
      <c r="D412">
        <v>0.79634400000000005</v>
      </c>
      <c r="E412">
        <f>LN(D412/参数实验室!$E$53)/参数实验室!$E$55</f>
        <v>-0.96162645196096752</v>
      </c>
      <c r="F412">
        <f t="shared" si="17"/>
        <v>1.3405215295966475</v>
      </c>
      <c r="G412">
        <f>LN(F412/参数实验室!$E$58)/参数实验室!$E$59</f>
        <v>-3.6716960400429481E-2</v>
      </c>
      <c r="H412">
        <f>INDEX(神经网络!$G$10:$BO$70,MATCH(ROUND(G412*2,1)/2,神经网络!$E$10:$E$70,0),MATCH(ROUND(E412*2,1)/2,神经网络!$G$8:$BO$8,0))</f>
        <v>-0.3063649676739304</v>
      </c>
    </row>
    <row r="413" spans="1:8">
      <c r="A413" s="799">
        <v>40815</v>
      </c>
      <c r="B413">
        <v>4.7793999999999999</v>
      </c>
      <c r="C413">
        <v>6.5134629999999998</v>
      </c>
      <c r="D413">
        <v>0.79926299999999995</v>
      </c>
      <c r="E413">
        <f>LN(D413/参数实验室!$E$53)/参数实验室!$E$55</f>
        <v>-0.95730997107208315</v>
      </c>
      <c r="F413">
        <f t="shared" si="17"/>
        <v>1.3628202284805624</v>
      </c>
      <c r="G413">
        <f>LN(F413/参数实验室!$E$58)/参数实验室!$E$59</f>
        <v>-2.8058175270534481E-2</v>
      </c>
      <c r="H413">
        <f>INDEX(神经网络!$G$10:$BO$70,MATCH(ROUND(G413*2,1)/2,神经网络!$E$10:$E$70,0),MATCH(ROUND(E413*2,1)/2,神经网络!$G$8:$BO$8,0))</f>
        <v>-0.3063649676739304</v>
      </c>
    </row>
    <row r="414" spans="1:8">
      <c r="A414" s="799">
        <v>40816</v>
      </c>
      <c r="B414">
        <v>5.1401000000000003</v>
      </c>
      <c r="C414">
        <v>6.6889900000000004</v>
      </c>
      <c r="D414">
        <v>0.86045899999999997</v>
      </c>
      <c r="E414">
        <f>LN(D414/参数实验室!$E$53)/参数实验室!$E$55</f>
        <v>-0.87027259632691101</v>
      </c>
      <c r="F414">
        <f t="shared" si="17"/>
        <v>1.3013346043851286</v>
      </c>
      <c r="G414">
        <f>LN(F414/参数实验室!$E$58)/参数实验室!$E$59</f>
        <v>-5.2288531076551181E-2</v>
      </c>
      <c r="H414">
        <f>INDEX(神经网络!$G$10:$BO$70,MATCH(ROUND(G414*2,1)/2,神经网络!$E$10:$E$70,0),MATCH(ROUND(E414*2,1)/2,神经网络!$G$8:$BO$8,0))</f>
        <v>-0.31582604648782181</v>
      </c>
    </row>
    <row r="415" spans="1:8">
      <c r="A415" s="799">
        <v>40817</v>
      </c>
      <c r="B415">
        <v>5.0324</v>
      </c>
      <c r="C415">
        <v>6.6441559999999997</v>
      </c>
      <c r="D415">
        <v>0.84362400000000004</v>
      </c>
      <c r="E415">
        <f>LN(D415/参数实验室!$E$53)/参数实验室!$E$55</f>
        <v>-0.89358342337213947</v>
      </c>
      <c r="F415">
        <f t="shared" si="17"/>
        <v>1.320275812733487</v>
      </c>
      <c r="G415">
        <f>LN(F415/参数实验室!$E$58)/参数实验室!$E$59</f>
        <v>-4.4704228919198528E-2</v>
      </c>
      <c r="H415">
        <f>INDEX(神经网络!$G$10:$BO$70,MATCH(ROUND(G415*2,1)/2,神经网络!$E$10:$E$70,0),MATCH(ROUND(E415*2,1)/2,神经网络!$G$8:$BO$8,0))</f>
        <v>-0.30464368943932713</v>
      </c>
    </row>
    <row r="416" spans="1:8">
      <c r="A416" s="799">
        <v>40818</v>
      </c>
      <c r="B416">
        <v>5.0270000000000001</v>
      </c>
      <c r="C416">
        <v>6.8336490000000003</v>
      </c>
      <c r="D416">
        <v>0.84035099999999996</v>
      </c>
      <c r="E416">
        <f>LN(D416/参数实验室!$E$53)/参数实验室!$E$55</f>
        <v>-0.89816940265303757</v>
      </c>
      <c r="F416">
        <f t="shared" si="17"/>
        <v>1.359389098866123</v>
      </c>
      <c r="G416">
        <f>LN(F416/参数实验室!$E$58)/参数实验室!$E$59</f>
        <v>-2.9381250014293672E-2</v>
      </c>
      <c r="H416">
        <f>INDEX(神经网络!$G$10:$BO$70,MATCH(ROUND(G416*2,1)/2,神经网络!$E$10:$E$70,0),MATCH(ROUND(E416*2,1)/2,神经网络!$G$8:$BO$8,0))</f>
        <v>-0.30464368943932713</v>
      </c>
    </row>
    <row r="417" spans="1:8">
      <c r="A417" s="799">
        <v>40819</v>
      </c>
      <c r="B417">
        <v>5.024</v>
      </c>
      <c r="C417">
        <v>6.8569300000000002</v>
      </c>
      <c r="D417">
        <v>0.84387199999999996</v>
      </c>
      <c r="E417">
        <f>LN(D417/参数实验室!$E$53)/参数实验室!$E$55</f>
        <v>-0.89323666248309275</v>
      </c>
      <c r="F417">
        <f t="shared" si="17"/>
        <v>1.3648347929936306</v>
      </c>
      <c r="G417">
        <f>LN(F417/参数实验室!$E$58)/参数实验室!$E$59</f>
        <v>-2.7282892096038229E-2</v>
      </c>
      <c r="H417">
        <f>INDEX(神经网络!$G$10:$BO$70,MATCH(ROUND(G417*2,1)/2,神经网络!$E$10:$E$70,0),MATCH(ROUND(E417*2,1)/2,神经网络!$G$8:$BO$8,0))</f>
        <v>-0.30464368943932713</v>
      </c>
    </row>
    <row r="418" spans="1:8">
      <c r="A418" s="799">
        <v>40820</v>
      </c>
      <c r="B418">
        <v>4.96</v>
      </c>
      <c r="C418">
        <v>6.9858330000000004</v>
      </c>
      <c r="D418">
        <v>0.83346600000000004</v>
      </c>
      <c r="E418">
        <f>LN(D418/参数实验室!$E$53)/参数实验室!$E$55</f>
        <v>-0.90787494023067694</v>
      </c>
      <c r="F418">
        <f t="shared" si="17"/>
        <v>1.4084340725806452</v>
      </c>
      <c r="G418">
        <f>LN(F418/参数实验室!$E$58)/参数实验室!$E$59</f>
        <v>-1.0778799045044569E-2</v>
      </c>
      <c r="H418">
        <f>INDEX(神经网络!$G$10:$BO$70,MATCH(ROUND(G418*2,1)/2,神经网络!$E$10:$E$70,0),MATCH(ROUND(E418*2,1)/2,神经网络!$G$8:$BO$8,0))</f>
        <v>-0.1929019821248841</v>
      </c>
    </row>
    <row r="419" spans="1:8">
      <c r="A419" s="799">
        <v>40821</v>
      </c>
      <c r="B419">
        <v>4.87</v>
      </c>
      <c r="C419">
        <v>7.0661139999999998</v>
      </c>
      <c r="D419">
        <v>0.82223199999999996</v>
      </c>
      <c r="E419">
        <f>LN(D419/参数实验室!$E$53)/参数实验室!$E$55</f>
        <v>-0.92388456436462307</v>
      </c>
      <c r="F419">
        <f t="shared" si="17"/>
        <v>1.4509474332648871</v>
      </c>
      <c r="G419">
        <f>LN(F419/参数实验室!$E$58)/参数实验室!$E$59</f>
        <v>4.8294390251368523E-3</v>
      </c>
      <c r="H419">
        <f>INDEX(神经网络!$G$10:$BO$70,MATCH(ROUND(G419*2,1)/2,神经网络!$E$10:$E$70,0),MATCH(ROUND(E419*2,1)/2,神经网络!$G$8:$BO$8,0))</f>
        <v>-0.1929019821248841</v>
      </c>
    </row>
    <row r="420" spans="1:8">
      <c r="A420" s="799">
        <v>40822</v>
      </c>
      <c r="B420">
        <v>4.7343999999999999</v>
      </c>
      <c r="C420">
        <v>7.2078309999999997</v>
      </c>
      <c r="D420">
        <v>0.79686100000000004</v>
      </c>
      <c r="E420">
        <f>LN(D420/参数实验室!$E$53)/参数实验室!$E$55</f>
        <v>-0.96086078470717073</v>
      </c>
      <c r="F420">
        <f t="shared" si="17"/>
        <v>1.5224381125380195</v>
      </c>
      <c r="G420">
        <f>LN(F420/参数实验室!$E$58)/参数实验室!$E$59</f>
        <v>3.0072990124101334E-2</v>
      </c>
      <c r="H420">
        <f>INDEX(神经网络!$G$10:$BO$70,MATCH(ROUND(G420*2,1)/2,神经网络!$E$10:$E$70,0),MATCH(ROUND(E420*2,1)/2,神经网络!$G$8:$BO$8,0))</f>
        <v>-8.4970844332659848E-2</v>
      </c>
    </row>
    <row r="421" spans="1:8">
      <c r="A421" s="799">
        <v>40823</v>
      </c>
      <c r="B421">
        <v>4.2728000000000002</v>
      </c>
      <c r="C421">
        <v>7.2204800000000002</v>
      </c>
      <c r="D421">
        <v>0.72247300000000003</v>
      </c>
      <c r="E421">
        <f>LN(D421/参数实验室!$E$53)/参数实验室!$E$55</f>
        <v>-1.0764768509768299</v>
      </c>
      <c r="F421">
        <f t="shared" si="17"/>
        <v>1.689870810709605</v>
      </c>
      <c r="G421">
        <f>LN(F421/参数实验室!$E$58)/参数实验室!$E$59</f>
        <v>8.4835742134509659E-2</v>
      </c>
      <c r="H421">
        <f>INDEX(神经网络!$G$10:$BO$70,MATCH(ROUND(G421*2,1)/2,神经网络!$E$10:$E$70,0),MATCH(ROUND(E421*2,1)/2,神经网络!$G$8:$BO$8,0))</f>
        <v>-0.14833418391889461</v>
      </c>
    </row>
    <row r="422" spans="1:8">
      <c r="A422" s="799">
        <v>40824</v>
      </c>
      <c r="B422">
        <v>4.0075000000000003</v>
      </c>
      <c r="C422">
        <v>7.2940339999999999</v>
      </c>
      <c r="D422">
        <v>0.67369000000000001</v>
      </c>
      <c r="E422">
        <f>LN(D422/参数实验室!$E$53)/参数实验室!$E$55</f>
        <v>-1.1589533820849902</v>
      </c>
      <c r="F422">
        <f t="shared" si="17"/>
        <v>1.8200958203368682</v>
      </c>
      <c r="G422">
        <f>LN(F422/参数实验室!$E$58)/参数实验室!$E$59</f>
        <v>0.12379936615783461</v>
      </c>
      <c r="H422">
        <f>INDEX(神经网络!$G$10:$BO$70,MATCH(ROUND(G422*2,1)/2,神经网络!$E$10:$E$70,0),MATCH(ROUND(E422*2,1)/2,神经网络!$G$8:$BO$8,0))</f>
        <v>-0.19213483318492849</v>
      </c>
    </row>
    <row r="423" spans="1:8">
      <c r="A423" s="799">
        <v>40825</v>
      </c>
      <c r="B423">
        <v>4.1029</v>
      </c>
      <c r="C423">
        <v>7.4631369999999997</v>
      </c>
      <c r="D423">
        <v>0.69697299999999995</v>
      </c>
      <c r="E423">
        <f>LN(D423/参数实验室!$E$53)/参数实验室!$E$55</f>
        <v>-1.1188693684484345</v>
      </c>
      <c r="F423">
        <f t="shared" si="17"/>
        <v>1.8189907138853005</v>
      </c>
      <c r="G423">
        <f>LN(F423/参数实验室!$E$58)/参数实验室!$E$59</f>
        <v>0.1234805940695558</v>
      </c>
      <c r="H423">
        <f>INDEX(神经网络!$G$10:$BO$70,MATCH(ROUND(G423*2,1)/2,神经网络!$E$10:$E$70,0),MATCH(ROUND(E423*2,1)/2,神经网络!$G$8:$BO$8,0))</f>
        <v>-0.14833418391889461</v>
      </c>
    </row>
    <row r="424" spans="1:8">
      <c r="A424" s="799">
        <v>40826</v>
      </c>
      <c r="B424">
        <v>4.0999999999999996</v>
      </c>
      <c r="C424">
        <v>7.5403339999999996</v>
      </c>
      <c r="D424">
        <v>0.69210199999999999</v>
      </c>
      <c r="E424">
        <f>LN(D424/参数实验室!$E$53)/参数实验室!$E$55</f>
        <v>-1.1271433660454111</v>
      </c>
      <c r="F424">
        <f t="shared" si="17"/>
        <v>1.8391058536585367</v>
      </c>
      <c r="G424">
        <f>LN(F424/参数实验室!$E$58)/参数实验室!$E$59</f>
        <v>0.12925278660333889</v>
      </c>
      <c r="H424">
        <f>INDEX(神经网络!$G$10:$BO$70,MATCH(ROUND(G424*2,1)/2,神经网络!$E$10:$E$70,0),MATCH(ROUND(E424*2,1)/2,神经网络!$G$8:$BO$8,0))</f>
        <v>-0.13329522147265879</v>
      </c>
    </row>
    <row r="425" spans="1:8">
      <c r="A425" s="799">
        <v>40827</v>
      </c>
      <c r="B425">
        <v>3.9308000000000001</v>
      </c>
      <c r="C425">
        <v>7.7393479999999997</v>
      </c>
      <c r="D425">
        <v>0.682315</v>
      </c>
      <c r="E425">
        <f>LN(D425/参数实验室!$E$53)/参数实验室!$E$55</f>
        <v>-1.1439453121222998</v>
      </c>
      <c r="F425">
        <f t="shared" si="17"/>
        <v>1.9688989518673043</v>
      </c>
      <c r="G425">
        <f>LN(F425/参数实验室!$E$58)/参数实验室!$E$59</f>
        <v>0.16504519464051698</v>
      </c>
      <c r="H425">
        <f>INDEX(神经网络!$G$10:$BO$70,MATCH(ROUND(G425*2,1)/2,神经网络!$E$10:$E$70,0),MATCH(ROUND(E425*2,1)/2,神经网络!$G$8:$BO$8,0))</f>
        <v>-0.13329522147265879</v>
      </c>
    </row>
    <row r="426" spans="1:8">
      <c r="A426" s="799">
        <v>40828</v>
      </c>
      <c r="B426">
        <v>4.1500000000000004</v>
      </c>
      <c r="C426">
        <v>7.8370790000000001</v>
      </c>
      <c r="D426">
        <v>0.71047099999999996</v>
      </c>
      <c r="E426">
        <f>LN(D426/参数实验室!$E$53)/参数实验室!$E$55</f>
        <v>-1.0962399813687187</v>
      </c>
      <c r="F426">
        <f t="shared" si="17"/>
        <v>1.8884527710843373</v>
      </c>
      <c r="G426">
        <f>LN(F426/参数实验室!$E$58)/参数实验室!$E$59</f>
        <v>0.14315005552610321</v>
      </c>
      <c r="H426">
        <f>INDEX(神经网络!$G$10:$BO$70,MATCH(ROUND(G426*2,1)/2,神经网络!$E$10:$E$70,0),MATCH(ROUND(E426*2,1)/2,神经网络!$G$8:$BO$8,0))</f>
        <v>-0.10258430341097308</v>
      </c>
    </row>
    <row r="427" spans="1:8">
      <c r="A427" s="799">
        <v>40829</v>
      </c>
      <c r="B427">
        <v>4.0461999999999998</v>
      </c>
      <c r="C427">
        <v>8.126633</v>
      </c>
      <c r="D427">
        <v>0.68913800000000003</v>
      </c>
      <c r="E427">
        <f>LN(D427/参数实验室!$E$53)/参数实验室!$E$55</f>
        <v>-1.1322066338085464</v>
      </c>
      <c r="F427">
        <f t="shared" si="17"/>
        <v>2.0084605308684691</v>
      </c>
      <c r="G427">
        <f>LN(F427/参数实验室!$E$58)/参数实验室!$E$59</f>
        <v>0.17548666446295341</v>
      </c>
      <c r="H427">
        <f>INDEX(神经网络!$G$10:$BO$70,MATCH(ROUND(G427*2,1)/2,神经网络!$E$10:$E$70,0),MATCH(ROUND(E427*2,1)/2,神经网络!$G$8:$BO$8,0))</f>
        <v>-7.6708463685884909E-2</v>
      </c>
    </row>
    <row r="428" spans="1:8">
      <c r="A428" s="799">
        <v>40830</v>
      </c>
      <c r="B428">
        <v>3.9878999999999998</v>
      </c>
      <c r="C428">
        <v>8.1964489999999994</v>
      </c>
      <c r="D428">
        <v>0.68173499999999998</v>
      </c>
      <c r="E428">
        <f>LN(D428/参数实验室!$E$53)/参数实验室!$E$55</f>
        <v>-1.1449485846163308</v>
      </c>
      <c r="F428">
        <f t="shared" si="17"/>
        <v>2.0553296221068731</v>
      </c>
      <c r="G428">
        <f>LN(F428/参数实验室!$E$58)/参数实验室!$E$59</f>
        <v>0.18759384614100605</v>
      </c>
      <c r="H428">
        <f>INDEX(神经网络!$G$10:$BO$70,MATCH(ROUND(G428*2,1)/2,神经网络!$E$10:$E$70,0),MATCH(ROUND(E428*2,1)/2,神经网络!$G$8:$BO$8,0))</f>
        <v>-7.6708463685884909E-2</v>
      </c>
    </row>
    <row r="429" spans="1:8">
      <c r="A429" s="799">
        <v>40831</v>
      </c>
      <c r="B429">
        <v>3.8420999999999998</v>
      </c>
      <c r="C429">
        <v>8.3613079999999993</v>
      </c>
      <c r="D429">
        <v>0.65700700000000001</v>
      </c>
      <c r="E429">
        <f>LN(D429/参数实验室!$E$53)/参数实验室!$E$55</f>
        <v>-1.1885361565939123</v>
      </c>
      <c r="F429">
        <f t="shared" si="17"/>
        <v>2.1762338304573019</v>
      </c>
      <c r="G429">
        <f>LN(F429/参数实验室!$E$58)/参数实验室!$E$59</f>
        <v>0.21759426544938826</v>
      </c>
      <c r="H429">
        <f>INDEX(神经网络!$G$10:$BO$70,MATCH(ROUND(G429*2,1)/2,神经网络!$E$10:$E$70,0),MATCH(ROUND(E429*2,1)/2,神经网络!$G$8:$BO$8,0))</f>
        <v>-9.146387727436496E-2</v>
      </c>
    </row>
    <row r="430" spans="1:8">
      <c r="A430" s="799">
        <v>40832</v>
      </c>
      <c r="B430">
        <v>3.5569999999999999</v>
      </c>
      <c r="C430">
        <v>8.3843890000000005</v>
      </c>
      <c r="D430">
        <v>0.61885000000000001</v>
      </c>
      <c r="E430">
        <f>LN(D430/参数实验室!$E$53)/参数实验室!$E$55</f>
        <v>-1.2591228647471577</v>
      </c>
      <c r="F430">
        <f t="shared" si="17"/>
        <v>2.3571518133258365</v>
      </c>
      <c r="G430">
        <f>LN(F430/参数实验室!$E$58)/参数实验室!$E$59</f>
        <v>0.25950819050282126</v>
      </c>
      <c r="H430">
        <f>INDEX(神经网络!$G$10:$BO$70,MATCH(ROUND(G430*2,1)/2,神经网络!$E$10:$E$70,0),MATCH(ROUND(E430*2,1)/2,神经网络!$G$8:$BO$8,0))</f>
        <v>-3.1165971518953766E-2</v>
      </c>
    </row>
    <row r="431" spans="1:8">
      <c r="A431" s="799">
        <v>40833</v>
      </c>
      <c r="B431">
        <v>2.56</v>
      </c>
      <c r="C431">
        <v>8.5112170000000003</v>
      </c>
      <c r="D431">
        <v>0.44588100000000003</v>
      </c>
      <c r="E431">
        <f>LN(D431/参数实验室!$E$53)/参数实验室!$E$55</f>
        <v>-1.6458587391714097</v>
      </c>
      <c r="F431">
        <f t="shared" si="17"/>
        <v>3.3246941406250001</v>
      </c>
      <c r="G431">
        <f>LN(F431/参数实验室!$E$58)/参数实验室!$E$59</f>
        <v>0.44001790906203075</v>
      </c>
      <c r="H431" t="e">
        <f>INDEX(神经网络!$G$10:$BO$70,MATCH(ROUND(G431*2,1)/2,神经网络!$E$10:$E$70,0),MATCH(ROUND(E431*2,1)/2,神经网络!$G$8:$BO$8,0))</f>
        <v>#N/A</v>
      </c>
    </row>
    <row r="432" spans="1:8">
      <c r="A432" s="799">
        <v>40834</v>
      </c>
      <c r="B432">
        <v>2.419</v>
      </c>
      <c r="C432">
        <v>8.7892880000000009</v>
      </c>
      <c r="D432">
        <v>0.41992400000000002</v>
      </c>
      <c r="E432">
        <f>LN(D432/参数实验室!$E$53)/参数实验室!$E$55</f>
        <v>-1.7166184012976964</v>
      </c>
      <c r="F432">
        <f t="shared" si="17"/>
        <v>3.6334386109962797</v>
      </c>
      <c r="G432">
        <f>LN(F432/参数实验室!$E$58)/参数实验室!$E$59</f>
        <v>0.48662588944281815</v>
      </c>
      <c r="H432" t="e">
        <f>INDEX(神经网络!$G$10:$BO$70,MATCH(ROUND(G432*2,1)/2,神经网络!$E$10:$E$70,0),MATCH(ROUND(E432*2,1)/2,神经网络!$G$8:$BO$8,0))</f>
        <v>#N/A</v>
      </c>
    </row>
    <row r="433" spans="1:8">
      <c r="A433" s="799">
        <v>40835</v>
      </c>
      <c r="B433">
        <v>2.27</v>
      </c>
      <c r="C433">
        <v>8.7753689999999995</v>
      </c>
      <c r="D433">
        <v>0.38682899999999998</v>
      </c>
      <c r="E433">
        <f>LN(D433/参数实验室!$E$53)/参数实验室!$E$55</f>
        <v>-1.8134655338230503</v>
      </c>
      <c r="F433">
        <f t="shared" si="17"/>
        <v>3.8658013215859031</v>
      </c>
      <c r="G433">
        <f>LN(F433/参数实验室!$E$58)/参数实验室!$E$59</f>
        <v>0.51916133576261458</v>
      </c>
      <c r="H433" t="e">
        <f>INDEX(神经网络!$G$10:$BO$70,MATCH(ROUND(G433*2,1)/2,神经网络!$E$10:$E$70,0),MATCH(ROUND(E433*2,1)/2,神经网络!$G$8:$BO$8,0))</f>
        <v>#N/A</v>
      </c>
    </row>
    <row r="434" spans="1:8">
      <c r="A434" s="799">
        <v>40836</v>
      </c>
      <c r="B434">
        <v>2.3479999999999999</v>
      </c>
      <c r="C434">
        <v>8.9715240000000005</v>
      </c>
      <c r="D434">
        <v>0.41178799999999999</v>
      </c>
      <c r="E434">
        <f>LN(D434/参数实验室!$E$53)/参数实验室!$E$55</f>
        <v>-1.7397003781753464</v>
      </c>
      <c r="F434">
        <f t="shared" si="17"/>
        <v>3.8209216354344129</v>
      </c>
      <c r="G434">
        <f>LN(F434/参数实验室!$E$58)/参数实验室!$E$59</f>
        <v>0.51303244246789925</v>
      </c>
      <c r="H434" t="e">
        <f>INDEX(神经网络!$G$10:$BO$70,MATCH(ROUND(G434*2,1)/2,神经网络!$E$10:$E$70,0),MATCH(ROUND(E434*2,1)/2,神经网络!$G$8:$BO$8,0))</f>
        <v>#N/A</v>
      </c>
    </row>
    <row r="435" spans="1:8">
      <c r="A435" s="799">
        <v>40837</v>
      </c>
      <c r="B435">
        <v>2.57</v>
      </c>
      <c r="C435">
        <v>9.1744749999999993</v>
      </c>
      <c r="D435">
        <v>0.44960299999999997</v>
      </c>
      <c r="E435">
        <f>LN(D435/参数实验室!$E$53)/参数实验室!$E$55</f>
        <v>-1.6360516027836791</v>
      </c>
      <c r="F435">
        <f t="shared" si="17"/>
        <v>3.5698346303501944</v>
      </c>
      <c r="G435">
        <f>LN(F435/参数实验室!$E$58)/参数实验室!$E$59</f>
        <v>0.47735686051610965</v>
      </c>
      <c r="H435" t="e">
        <f>INDEX(神经网络!$G$10:$BO$70,MATCH(ROUND(G435*2,1)/2,神经网络!$E$10:$E$70,0),MATCH(ROUND(E435*2,1)/2,神经网络!$G$8:$BO$8,0))</f>
        <v>#N/A</v>
      </c>
    </row>
    <row r="436" spans="1:8">
      <c r="A436" s="799">
        <v>40838</v>
      </c>
      <c r="B436">
        <v>3.1587999999999998</v>
      </c>
      <c r="C436">
        <v>9.5661419999999993</v>
      </c>
      <c r="D436">
        <v>0.55278899999999997</v>
      </c>
      <c r="E436">
        <f>LN(D436/参数实验室!$E$53)/参数实验室!$E$55</f>
        <v>-1.3923011305572617</v>
      </c>
      <c r="F436">
        <f t="shared" si="17"/>
        <v>3.02841015575535</v>
      </c>
      <c r="G436">
        <f>LN(F436/参数实验室!$E$58)/参数实验室!$E$59</f>
        <v>0.39102808445865822</v>
      </c>
      <c r="H436">
        <f>INDEX(神经网络!$G$10:$BO$70,MATCH(ROUND(G436*2,1)/2,神经网络!$E$10:$E$70,0),MATCH(ROUND(E436*2,1)/2,神经网络!$G$8:$BO$8,0))</f>
        <v>0.18040012364344085</v>
      </c>
    </row>
    <row r="437" spans="1:8">
      <c r="A437" s="799">
        <v>40839</v>
      </c>
      <c r="B437">
        <v>3.17</v>
      </c>
      <c r="C437">
        <v>9.783398</v>
      </c>
      <c r="D437">
        <v>0.55184599999999995</v>
      </c>
      <c r="E437">
        <f>LN(D437/参数实验室!$E$53)/参数实验室!$E$55</f>
        <v>-1.3943153842778424</v>
      </c>
      <c r="F437">
        <f t="shared" si="17"/>
        <v>3.0862454258675078</v>
      </c>
      <c r="G437">
        <f>LN(F437/参数实验室!$E$58)/参数实验室!$E$59</f>
        <v>0.40095701020407815</v>
      </c>
      <c r="H437">
        <f>INDEX(神经网络!$G$10:$BO$70,MATCH(ROUND(G437*2,1)/2,神经网络!$E$10:$E$70,0),MATCH(ROUND(E437*2,1)/2,神经网络!$G$8:$BO$8,0))</f>
        <v>0.18040012364344085</v>
      </c>
    </row>
    <row r="438" spans="1:8">
      <c r="A438" s="799">
        <v>40840</v>
      </c>
      <c r="B438">
        <v>2.5449999999999999</v>
      </c>
      <c r="C438">
        <v>9.8277599999999996</v>
      </c>
      <c r="D438">
        <v>0.44333</v>
      </c>
      <c r="E438">
        <f>LN(D438/参数实验室!$E$53)/参数实验室!$E$55</f>
        <v>-1.6526277934944702</v>
      </c>
      <c r="F438">
        <f t="shared" si="17"/>
        <v>3.8615952848722985</v>
      </c>
      <c r="G438">
        <f>LN(F438/参数实验室!$E$58)/参数实验室!$E$59</f>
        <v>0.51858997759247827</v>
      </c>
      <c r="H438" t="e">
        <f>INDEX(神经网络!$G$10:$BO$70,MATCH(ROUND(G438*2,1)/2,神经网络!$E$10:$E$70,0),MATCH(ROUND(E438*2,1)/2,神经网络!$G$8:$BO$8,0))</f>
        <v>#N/A</v>
      </c>
    </row>
    <row r="439" spans="1:8">
      <c r="A439" s="799">
        <v>40841</v>
      </c>
      <c r="B439">
        <v>2.77</v>
      </c>
      <c r="C439">
        <v>9.920439</v>
      </c>
      <c r="D439">
        <v>0.49277900000000002</v>
      </c>
      <c r="E439">
        <f>LN(D439/参数实验室!$E$53)/参数实验室!$E$55</f>
        <v>-1.5278731539881423</v>
      </c>
      <c r="F439">
        <f t="shared" si="17"/>
        <v>3.5813859205776173</v>
      </c>
      <c r="G439">
        <f>LN(F439/参数实验室!$E$58)/参数实验室!$E$59</f>
        <v>0.47905244425832283</v>
      </c>
      <c r="H439" t="e">
        <f>INDEX(神经网络!$G$10:$BO$70,MATCH(ROUND(G439*2,1)/2,神经网络!$E$10:$E$70,0),MATCH(ROUND(E439*2,1)/2,神经网络!$G$8:$BO$8,0))</f>
        <v>#N/A</v>
      </c>
    </row>
    <row r="440" spans="1:8">
      <c r="A440" s="799">
        <v>40842</v>
      </c>
      <c r="B440">
        <v>2.7730000000000001</v>
      </c>
      <c r="C440">
        <v>10.084262000000001</v>
      </c>
      <c r="D440">
        <v>0.49043100000000001</v>
      </c>
      <c r="E440">
        <f>LN(D440/参数实验室!$E$53)/参数实验室!$E$55</f>
        <v>-1.5335078930220272</v>
      </c>
      <c r="F440">
        <f t="shared" si="17"/>
        <v>3.6365892535160476</v>
      </c>
      <c r="G440">
        <f>LN(F440/参数实验室!$E$58)/参数实验室!$E$59</f>
        <v>0.48708080587481734</v>
      </c>
      <c r="H440" t="e">
        <f>INDEX(神经网络!$G$10:$BO$70,MATCH(ROUND(G440*2,1)/2,神经网络!$E$10:$E$70,0),MATCH(ROUND(E440*2,1)/2,神经网络!$G$8:$BO$8,0))</f>
        <v>#N/A</v>
      </c>
    </row>
    <row r="441" spans="1:8">
      <c r="A441" s="799">
        <v>40843</v>
      </c>
      <c r="B441">
        <v>3.04</v>
      </c>
      <c r="C441">
        <v>10.381549</v>
      </c>
      <c r="D441">
        <v>0.53782799999999997</v>
      </c>
      <c r="E441">
        <f>LN(D441/参数实验室!$E$53)/参数实验室!$E$55</f>
        <v>-1.424670689366893</v>
      </c>
      <c r="F441">
        <f t="shared" si="17"/>
        <v>3.4149832236842106</v>
      </c>
      <c r="G441">
        <f>LN(F441/参数实验室!$E$58)/参数实验室!$E$59</f>
        <v>0.45408131980989136</v>
      </c>
      <c r="H441">
        <f>INDEX(神经网络!$G$10:$BO$70,MATCH(ROUND(G441*2,1)/2,神经网络!$E$10:$E$70,0),MATCH(ROUND(E441*2,1)/2,神经网络!$G$8:$BO$8,0))</f>
        <v>0.24363937727607032</v>
      </c>
    </row>
    <row r="442" spans="1:8">
      <c r="A442" s="799">
        <v>40844</v>
      </c>
      <c r="B442">
        <v>3.19</v>
      </c>
      <c r="C442">
        <v>10.770858</v>
      </c>
      <c r="D442">
        <v>0.56150599999999995</v>
      </c>
      <c r="E442">
        <f>LN(D442/参数实验室!$E$53)/参数实验室!$E$55</f>
        <v>-1.3738426095756429</v>
      </c>
      <c r="F442">
        <f t="shared" si="17"/>
        <v>3.3764445141065833</v>
      </c>
      <c r="G442">
        <f>LN(F442/参数实验室!$E$58)/参数实验室!$E$59</f>
        <v>0.44812457096840508</v>
      </c>
      <c r="H442">
        <f>INDEX(神经网络!$G$10:$BO$70,MATCH(ROUND(G442*2,1)/2,神经网络!$E$10:$E$70,0),MATCH(ROUND(E442*2,1)/2,神经网络!$G$8:$BO$8,0))</f>
        <v>0.24244813038827173</v>
      </c>
    </row>
    <row r="443" spans="1:8">
      <c r="A443" s="799">
        <v>40845</v>
      </c>
      <c r="B443">
        <v>3.5811000000000002</v>
      </c>
      <c r="C443">
        <v>10.906243</v>
      </c>
      <c r="D443">
        <v>0.63046199999999997</v>
      </c>
      <c r="E443">
        <f>LN(D443/参数实验室!$E$53)/参数实验室!$E$55</f>
        <v>-1.2371912909026213</v>
      </c>
      <c r="F443">
        <f t="shared" si="17"/>
        <v>3.0455008237692329</v>
      </c>
      <c r="G443">
        <f>LN(F443/参数实验室!$E$58)/参数实验室!$E$59</f>
        <v>0.39398174311767892</v>
      </c>
      <c r="H443">
        <f>INDEX(神经网络!$G$10:$BO$70,MATCH(ROUND(G443*2,1)/2,神经网络!$E$10:$E$70,0),MATCH(ROUND(E443*2,1)/2,神经网络!$G$8:$BO$8,0))</f>
        <v>0.17588229566097352</v>
      </c>
    </row>
    <row r="444" spans="1:8">
      <c r="A444" s="799">
        <v>40846</v>
      </c>
      <c r="B444">
        <v>3.27</v>
      </c>
      <c r="C444">
        <v>11.034008</v>
      </c>
      <c r="D444">
        <v>0.57571399999999995</v>
      </c>
      <c r="E444">
        <f>LN(D444/参数实验室!$E$53)/参数实验室!$E$55</f>
        <v>-1.3443622868603065</v>
      </c>
      <c r="F444">
        <f t="shared" si="17"/>
        <v>3.3743143730886849</v>
      </c>
      <c r="G444">
        <f>LN(F444/参数实验室!$E$58)/参数实验室!$E$59</f>
        <v>0.44779334504807072</v>
      </c>
      <c r="H444">
        <f>INDEX(神经网络!$G$10:$BO$70,MATCH(ROUND(G444*2,1)/2,神经网络!$E$10:$E$70,0),MATCH(ROUND(E444*2,1)/2,神经网络!$G$8:$BO$8,0))</f>
        <v>0.24244813038827173</v>
      </c>
    </row>
    <row r="445" spans="1:8">
      <c r="A445" s="799">
        <v>40847</v>
      </c>
      <c r="B445">
        <v>3.2480000000000002</v>
      </c>
      <c r="C445">
        <v>11.177951999999999</v>
      </c>
      <c r="D445">
        <v>0.57758900000000002</v>
      </c>
      <c r="E445">
        <f>LN(D445/参数实验室!$E$53)/参数实验室!$E$55</f>
        <v>-1.3405262797028825</v>
      </c>
      <c r="F445">
        <f t="shared" si="17"/>
        <v>3.4414876847290636</v>
      </c>
      <c r="G445">
        <f>LN(F445/参数实验室!$E$58)/参数实验室!$E$59</f>
        <v>0.45813910493460397</v>
      </c>
      <c r="H445">
        <f>INDEX(神经网络!$G$10:$BO$70,MATCH(ROUND(G445*2,1)/2,神经网络!$E$10:$E$70,0),MATCH(ROUND(E445*2,1)/2,神经网络!$G$8:$BO$8,0))</f>
        <v>0.24244813038827173</v>
      </c>
    </row>
    <row r="446" spans="1:8">
      <c r="A446" s="799">
        <v>40848</v>
      </c>
      <c r="B446">
        <v>3.15</v>
      </c>
      <c r="C446">
        <v>10.949987</v>
      </c>
      <c r="D446">
        <v>0.56157800000000002</v>
      </c>
      <c r="E446">
        <f>LN(D446/参数实验室!$E$53)/参数实验室!$E$55</f>
        <v>-1.3736913435373368</v>
      </c>
      <c r="F446">
        <f t="shared" si="17"/>
        <v>3.4761863492063494</v>
      </c>
      <c r="G446">
        <f>LN(F446/参数实验室!$E$58)/参数实验室!$E$59</f>
        <v>0.46340442590442144</v>
      </c>
      <c r="H446">
        <f>INDEX(神经网络!$G$10:$BO$70,MATCH(ROUND(G446*2,1)/2,神经网络!$E$10:$E$70,0),MATCH(ROUND(E446*2,1)/2,神经网络!$G$8:$BO$8,0))</f>
        <v>0.24244813038827173</v>
      </c>
    </row>
    <row r="447" spans="1:8">
      <c r="A447" s="799">
        <v>40849</v>
      </c>
      <c r="B447">
        <v>3.2543000000000002</v>
      </c>
      <c r="C447">
        <v>10.907296000000001</v>
      </c>
      <c r="D447">
        <v>0.57806999999999997</v>
      </c>
      <c r="E447">
        <f>LN(D447/参数实验室!$E$53)/参数实验室!$E$55</f>
        <v>-1.3395442229835246</v>
      </c>
      <c r="F447">
        <f t="shared" si="17"/>
        <v>3.3516565774513718</v>
      </c>
      <c r="G447">
        <f>LN(F447/参数实验室!$E$58)/参数实验室!$E$59</f>
        <v>0.44425717734245745</v>
      </c>
      <c r="H447">
        <f>INDEX(神经网络!$G$10:$BO$70,MATCH(ROUND(G447*2,1)/2,神经网络!$E$10:$E$70,0),MATCH(ROUND(E447*2,1)/2,神经网络!$G$8:$BO$8,0))</f>
        <v>0.24244813038827173</v>
      </c>
    </row>
    <row r="448" spans="1:8">
      <c r="A448" s="799">
        <v>40850</v>
      </c>
      <c r="B448">
        <v>3.1520000000000001</v>
      </c>
      <c r="C448">
        <v>10.822164000000001</v>
      </c>
      <c r="D448">
        <v>0.56292699999999996</v>
      </c>
      <c r="E448">
        <f>LN(D448/参数实验室!$E$53)/参数实验室!$E$55</f>
        <v>-1.3708607862884616</v>
      </c>
      <c r="F448">
        <f t="shared" si="17"/>
        <v>3.4334276649746194</v>
      </c>
      <c r="G448">
        <f>LN(F448/参数实验室!$E$58)/参数实验室!$E$59</f>
        <v>0.45690844661274199</v>
      </c>
      <c r="H448">
        <f>INDEX(神经网络!$G$10:$BO$70,MATCH(ROUND(G448*2,1)/2,神经网络!$E$10:$E$70,0),MATCH(ROUND(E448*2,1)/2,神经网络!$G$8:$BO$8,0))</f>
        <v>0.24244813038827173</v>
      </c>
    </row>
    <row r="449" spans="1:8">
      <c r="A449" s="799">
        <v>40851</v>
      </c>
      <c r="B449">
        <v>3.109</v>
      </c>
      <c r="C449">
        <v>10.840636</v>
      </c>
      <c r="D449">
        <v>0.55506</v>
      </c>
      <c r="E449">
        <f>LN(D449/参数实验室!$E$53)/参数实验室!$E$55</f>
        <v>-1.3874643281231542</v>
      </c>
      <c r="F449">
        <f t="shared" si="17"/>
        <v>3.4868562238661949</v>
      </c>
      <c r="G449">
        <f>LN(F449/参数实验室!$E$58)/参数实验室!$E$59</f>
        <v>0.46501295584772984</v>
      </c>
      <c r="H449">
        <f>INDEX(神经网络!$G$10:$BO$70,MATCH(ROUND(G449*2,1)/2,神经网络!$E$10:$E$70,0),MATCH(ROUND(E449*2,1)/2,神经网络!$G$8:$BO$8,0))</f>
        <v>0.24363937727607032</v>
      </c>
    </row>
    <row r="450" spans="1:8">
      <c r="A450" s="799">
        <v>40852</v>
      </c>
      <c r="B450">
        <v>2.97</v>
      </c>
      <c r="C450">
        <v>10.717724</v>
      </c>
      <c r="D450">
        <v>0.53030500000000003</v>
      </c>
      <c r="E450">
        <f>LN(D450/参数实验室!$E$53)/参数实验室!$E$55</f>
        <v>-1.4412892760290694</v>
      </c>
      <c r="F450">
        <f t="shared" si="17"/>
        <v>3.6086612794612796</v>
      </c>
      <c r="G450">
        <f>LN(F450/参数实验室!$E$58)/参数实验室!$E$59</f>
        <v>0.48303451855035812</v>
      </c>
      <c r="H450">
        <f>INDEX(神经网络!$G$10:$BO$70,MATCH(ROUND(G450*2,1)/2,神经网络!$E$10:$E$70,0),MATCH(ROUND(E450*2,1)/2,神经网络!$G$8:$BO$8,0))</f>
        <v>0.30149707358740385</v>
      </c>
    </row>
    <row r="451" spans="1:8">
      <c r="A451" s="799">
        <v>40853</v>
      </c>
      <c r="B451">
        <v>2.9596</v>
      </c>
      <c r="C451">
        <v>10.700362</v>
      </c>
      <c r="D451">
        <v>0.52798999999999996</v>
      </c>
      <c r="E451">
        <f>LN(D451/参数实验室!$E$53)/参数实验室!$E$55</f>
        <v>-1.4464506594165454</v>
      </c>
      <c r="F451">
        <f t="shared" si="17"/>
        <v>3.61547573996486</v>
      </c>
      <c r="G451">
        <f>LN(F451/参数实验室!$E$58)/参数实验室!$E$59</f>
        <v>0.48402469860866054</v>
      </c>
      <c r="H451">
        <f>INDEX(神经网络!$G$10:$BO$70,MATCH(ROUND(G451*2,1)/2,神经网络!$E$10:$E$70,0),MATCH(ROUND(E451*2,1)/2,神经网络!$G$8:$BO$8,0))</f>
        <v>0.30149707358740385</v>
      </c>
    </row>
    <row r="452" spans="1:8">
      <c r="A452" s="799">
        <v>40854</v>
      </c>
      <c r="B452">
        <v>3.0068000000000001</v>
      </c>
      <c r="C452">
        <v>10.619600999999999</v>
      </c>
      <c r="D452">
        <v>0.53821699999999995</v>
      </c>
      <c r="E452">
        <f>LN(D452/参数实验室!$E$53)/参数实验室!$E$55</f>
        <v>-1.4238177063933237</v>
      </c>
      <c r="F452">
        <f t="shared" si="17"/>
        <v>3.5318614473859249</v>
      </c>
      <c r="G452">
        <f>LN(F452/参数实验室!$E$58)/参数实验室!$E$59</f>
        <v>0.47174395668695734</v>
      </c>
      <c r="H452">
        <f>INDEX(神经网络!$G$10:$BO$70,MATCH(ROUND(G452*2,1)/2,神经网络!$E$10:$E$70,0),MATCH(ROUND(E452*2,1)/2,神经网络!$G$8:$BO$8,0))</f>
        <v>0.24363937727607032</v>
      </c>
    </row>
    <row r="453" spans="1:8">
      <c r="A453" s="799">
        <v>40855</v>
      </c>
      <c r="B453">
        <v>3.0350000000000001</v>
      </c>
      <c r="C453">
        <v>10.467485</v>
      </c>
      <c r="D453">
        <v>0.54611500000000002</v>
      </c>
      <c r="E453">
        <f>LN(D453/参数实验室!$E$53)/参数实验室!$E$55</f>
        <v>-1.406631354052521</v>
      </c>
      <c r="F453">
        <f t="shared" ref="F453:F516" si="18">C453/B453</f>
        <v>3.4489242174629324</v>
      </c>
      <c r="G453">
        <f>LN(F453/参数实验室!$E$58)/参数实验室!$E$59</f>
        <v>0.45927201131022372</v>
      </c>
      <c r="H453">
        <f>INDEX(神经网络!$G$10:$BO$70,MATCH(ROUND(G453*2,1)/2,神经网络!$E$10:$E$70,0),MATCH(ROUND(E453*2,1)/2,神经网络!$G$8:$BO$8,0))</f>
        <v>0.24363937727607032</v>
      </c>
    </row>
    <row r="454" spans="1:8">
      <c r="A454" s="799">
        <v>40856</v>
      </c>
      <c r="B454">
        <v>2.95</v>
      </c>
      <c r="C454">
        <v>10.190052</v>
      </c>
      <c r="D454">
        <v>0.53811200000000003</v>
      </c>
      <c r="E454">
        <f>LN(D454/参数实验室!$E$53)/参数实验室!$E$55</f>
        <v>-1.4240478852531517</v>
      </c>
      <c r="F454">
        <f t="shared" si="18"/>
        <v>3.454254915254237</v>
      </c>
      <c r="G454">
        <f>LN(F454/参数实验室!$E$58)/参数实验室!$E$59</f>
        <v>0.46008260561483211</v>
      </c>
      <c r="H454">
        <f>INDEX(神经网络!$G$10:$BO$70,MATCH(ROUND(G454*2,1)/2,神经网络!$E$10:$E$70,0),MATCH(ROUND(E454*2,1)/2,神经网络!$G$8:$BO$8,0))</f>
        <v>0.24363937727607032</v>
      </c>
    </row>
    <row r="455" spans="1:8">
      <c r="A455" s="799">
        <v>40857</v>
      </c>
      <c r="B455">
        <v>2.8399000000000001</v>
      </c>
      <c r="C455">
        <v>9.8404760000000007</v>
      </c>
      <c r="D455">
        <v>0.52701200000000004</v>
      </c>
      <c r="E455">
        <f>LN(D455/参数实验室!$E$53)/参数实验室!$E$55</f>
        <v>-1.4486379519583821</v>
      </c>
      <c r="F455">
        <f t="shared" si="18"/>
        <v>3.4650783478291491</v>
      </c>
      <c r="G455">
        <f>LN(F455/参数实验室!$E$58)/参数实验室!$E$59</f>
        <v>0.46172459242604963</v>
      </c>
      <c r="H455">
        <f>INDEX(神经网络!$G$10:$BO$70,MATCH(ROUND(G455*2,1)/2,神经网络!$E$10:$E$70,0),MATCH(ROUND(E455*2,1)/2,神经网络!$G$8:$BO$8,0))</f>
        <v>0.24452303101659353</v>
      </c>
    </row>
    <row r="456" spans="1:8">
      <c r="A456" s="799">
        <v>40858</v>
      </c>
      <c r="B456">
        <v>3.08</v>
      </c>
      <c r="C456">
        <v>9.874746</v>
      </c>
      <c r="D456">
        <v>0.56660100000000002</v>
      </c>
      <c r="E456">
        <f>LN(D456/参数实验室!$E$53)/参数实验室!$E$55</f>
        <v>-1.3631860253185089</v>
      </c>
      <c r="F456">
        <f t="shared" si="18"/>
        <v>3.2060863636363637</v>
      </c>
      <c r="G456">
        <f>LN(F456/参数实验室!$E$58)/参数实验室!$E$59</f>
        <v>0.42095169886880096</v>
      </c>
      <c r="H456">
        <f>INDEX(神经网络!$G$10:$BO$70,MATCH(ROUND(G456*2,1)/2,神经网络!$E$10:$E$70,0),MATCH(ROUND(E456*2,1)/2,神经网络!$G$8:$BO$8,0))</f>
        <v>0.17924336711984426</v>
      </c>
    </row>
    <row r="457" spans="1:8">
      <c r="A457" s="799">
        <v>40859</v>
      </c>
      <c r="B457">
        <v>3.0310000000000001</v>
      </c>
      <c r="C457">
        <v>9.5556999999999999</v>
      </c>
      <c r="D457">
        <v>0.55903999999999998</v>
      </c>
      <c r="E457">
        <f>LN(D457/参数实验室!$E$53)/参数实验室!$E$55</f>
        <v>-1.3790352142457165</v>
      </c>
      <c r="F457">
        <f t="shared" si="18"/>
        <v>3.1526558891454965</v>
      </c>
      <c r="G457">
        <f>LN(F457/参数实验室!$E$58)/参数实验室!$E$59</f>
        <v>0.41213113043863281</v>
      </c>
      <c r="H457">
        <f>INDEX(神经网络!$G$10:$BO$70,MATCH(ROUND(G457*2,1)/2,神经网络!$E$10:$E$70,0),MATCH(ROUND(E457*2,1)/2,神经网络!$G$8:$BO$8,0))</f>
        <v>0.18040012364344085</v>
      </c>
    </row>
    <row r="458" spans="1:8">
      <c r="A458" s="799">
        <v>40860</v>
      </c>
      <c r="B458">
        <v>2.9969000000000001</v>
      </c>
      <c r="C458">
        <v>9.5495029999999996</v>
      </c>
      <c r="D458">
        <v>0.55219399999999996</v>
      </c>
      <c r="E458">
        <f>LN(D458/参数实验室!$E$53)/参数实验室!$E$55</f>
        <v>-1.3935716537200742</v>
      </c>
      <c r="F458">
        <f t="shared" si="18"/>
        <v>3.1864603423537652</v>
      </c>
      <c r="G458">
        <f>LN(F458/参数实验室!$E$58)/参数实验室!$E$59</f>
        <v>0.41772893665585942</v>
      </c>
      <c r="H458">
        <f>INDEX(神经网络!$G$10:$BO$70,MATCH(ROUND(G458*2,1)/2,神经网络!$E$10:$E$70,0),MATCH(ROUND(E458*2,1)/2,神经网络!$G$8:$BO$8,0))</f>
        <v>0.18040012364344085</v>
      </c>
    </row>
    <row r="459" spans="1:8">
      <c r="A459" s="799">
        <v>40861</v>
      </c>
      <c r="B459">
        <v>2.2200000000000002</v>
      </c>
      <c r="C459">
        <v>9.5134950000000007</v>
      </c>
      <c r="D459">
        <v>0.41258299999999998</v>
      </c>
      <c r="E459">
        <f>LN(D459/参数实验室!$E$53)/参数实验室!$E$55</f>
        <v>-1.7374249363664711</v>
      </c>
      <c r="F459">
        <f t="shared" si="18"/>
        <v>4.2853581081081078</v>
      </c>
      <c r="G459">
        <f>LN(F459/参数实验室!$E$58)/参数实验室!$E$59</f>
        <v>0.57323974178612225</v>
      </c>
      <c r="H459" t="e">
        <f>INDEX(神经网络!$G$10:$BO$70,MATCH(ROUND(G459*2,1)/2,神经网络!$E$10:$E$70,0),MATCH(ROUND(E459*2,1)/2,神经网络!$G$8:$BO$8,0))</f>
        <v>#N/A</v>
      </c>
    </row>
    <row r="460" spans="1:8">
      <c r="A460" s="799">
        <v>40862</v>
      </c>
      <c r="B460">
        <v>2.3290000000000002</v>
      </c>
      <c r="C460">
        <v>9.2157099999999996</v>
      </c>
      <c r="D460">
        <v>0.43137199999999998</v>
      </c>
      <c r="E460">
        <f>LN(D460/参数实验室!$E$53)/参数实验室!$E$55</f>
        <v>-1.6848864787641737</v>
      </c>
      <c r="F460">
        <f t="shared" si="18"/>
        <v>3.956938600257621</v>
      </c>
      <c r="G460">
        <f>LN(F460/参数实验室!$E$58)/参数实验室!$E$59</f>
        <v>0.53139130479957219</v>
      </c>
      <c r="H460" t="e">
        <f>INDEX(神经网络!$G$10:$BO$70,MATCH(ROUND(G460*2,1)/2,神经网络!$E$10:$E$70,0),MATCH(ROUND(E460*2,1)/2,神经网络!$G$8:$BO$8,0))</f>
        <v>#N/A</v>
      </c>
    </row>
    <row r="461" spans="1:8">
      <c r="A461" s="799">
        <v>40863</v>
      </c>
      <c r="B461">
        <v>2.5604</v>
      </c>
      <c r="C461">
        <v>9.1241409999999998</v>
      </c>
      <c r="D461">
        <v>0.50419199999999997</v>
      </c>
      <c r="E461">
        <f>LN(D461/参数实验室!$E$53)/参数实验室!$E$55</f>
        <v>-1.5008611105251333</v>
      </c>
      <c r="F461">
        <f t="shared" si="18"/>
        <v>3.5635607717544131</v>
      </c>
      <c r="G461">
        <f>LN(F461/参数实验室!$E$58)/参数实验室!$E$59</f>
        <v>0.47643363652160392</v>
      </c>
      <c r="H461">
        <f>INDEX(神经网络!$G$10:$BO$70,MATCH(ROUND(G461*2,1)/2,神经网络!$E$10:$E$70,0),MATCH(ROUND(E461*2,1)/2,神经网络!$G$8:$BO$8,0))</f>
        <v>0.2959084586429393</v>
      </c>
    </row>
    <row r="462" spans="1:8">
      <c r="A462" s="799">
        <v>40864</v>
      </c>
      <c r="B462">
        <v>2.25</v>
      </c>
      <c r="C462">
        <v>9.0210399999999993</v>
      </c>
      <c r="D462">
        <v>0.45379999999999998</v>
      </c>
      <c r="E462">
        <f>LN(D462/参数实验室!$E$53)/参数实验室!$E$55</f>
        <v>-1.6250898061373056</v>
      </c>
      <c r="F462">
        <f t="shared" si="18"/>
        <v>4.0093511111111111</v>
      </c>
      <c r="G462">
        <f>LN(F462/参数实验室!$E$58)/参数实验室!$E$59</f>
        <v>0.53829773581399376</v>
      </c>
      <c r="H462" t="e">
        <f>INDEX(神经网络!$G$10:$BO$70,MATCH(ROUND(G462*2,1)/2,神经网络!$E$10:$E$70,0),MATCH(ROUND(E462*2,1)/2,神经网络!$G$8:$BO$8,0))</f>
        <v>#N/A</v>
      </c>
    </row>
    <row r="463" spans="1:8">
      <c r="A463" s="799">
        <v>40865</v>
      </c>
      <c r="B463">
        <v>2.0499999999999998</v>
      </c>
      <c r="C463">
        <v>9.0479780000000005</v>
      </c>
      <c r="D463">
        <v>0.42341699999999999</v>
      </c>
      <c r="E463">
        <f>LN(D463/参数实验室!$E$53)/参数实验室!$E$55</f>
        <v>-1.7068456008623019</v>
      </c>
      <c r="F463">
        <f t="shared" si="18"/>
        <v>4.4136478048780496</v>
      </c>
      <c r="G463">
        <f>LN(F463/参数实验室!$E$58)/参数实验室!$E$59</f>
        <v>0.58872156783544882</v>
      </c>
      <c r="H463" t="e">
        <f>INDEX(神经网络!$G$10:$BO$70,MATCH(ROUND(G463*2,1)/2,神经网络!$E$10:$E$70,0),MATCH(ROUND(E463*2,1)/2,神经网络!$G$8:$BO$8,0))</f>
        <v>#N/A</v>
      </c>
    </row>
    <row r="464" spans="1:8">
      <c r="A464" s="799">
        <v>40866</v>
      </c>
      <c r="B464">
        <v>2.1959</v>
      </c>
      <c r="C464">
        <v>9.0179650000000002</v>
      </c>
      <c r="D464">
        <v>0.443185</v>
      </c>
      <c r="E464">
        <f>LN(D464/参数实验室!$E$53)/参数实验室!$E$55</f>
        <v>-1.6530137186551306</v>
      </c>
      <c r="F464">
        <f t="shared" si="18"/>
        <v>4.1067284484721531</v>
      </c>
      <c r="G464">
        <f>LN(F464/参数实验室!$E$58)/参数实验室!$E$59</f>
        <v>0.55089281734197959</v>
      </c>
      <c r="H464" t="e">
        <f>INDEX(神经网络!$G$10:$BO$70,MATCH(ROUND(G464*2,1)/2,神经网络!$E$10:$E$70,0),MATCH(ROUND(E464*2,1)/2,神经网络!$G$8:$BO$8,0))</f>
        <v>#N/A</v>
      </c>
    </row>
    <row r="465" spans="1:24">
      <c r="A465" s="799">
        <v>40867</v>
      </c>
      <c r="B465">
        <v>2.2000000000000002</v>
      </c>
      <c r="C465">
        <v>8.8974829999999994</v>
      </c>
      <c r="D465">
        <v>0.44369599999999998</v>
      </c>
      <c r="E465">
        <f>LN(D465/参数实验室!$E$53)/参数实验室!$E$55</f>
        <v>-1.6516542262894545</v>
      </c>
      <c r="F465">
        <f t="shared" si="18"/>
        <v>4.044310454545454</v>
      </c>
      <c r="G465">
        <f>LN(F465/参数实验室!$E$58)/参数实验室!$E$59</f>
        <v>0.54285433850737652</v>
      </c>
      <c r="H465" t="e">
        <f>INDEX(神经网络!$G$10:$BO$70,MATCH(ROUND(G465*2,1)/2,神经网络!$E$10:$E$70,0),MATCH(ROUND(E465*2,1)/2,神经网络!$G$8:$BO$8,0))</f>
        <v>#N/A</v>
      </c>
    </row>
    <row r="466" spans="1:24">
      <c r="A466" s="799">
        <v>40868</v>
      </c>
      <c r="B466">
        <v>2.294</v>
      </c>
      <c r="C466">
        <v>8.7876700000000003</v>
      </c>
      <c r="D466">
        <v>0.45948499999999998</v>
      </c>
      <c r="E466">
        <f>LN(D466/参数实验室!$E$53)/参数实验室!$E$55</f>
        <v>-1.6104022029902481</v>
      </c>
      <c r="F466">
        <f t="shared" si="18"/>
        <v>3.8307192676547515</v>
      </c>
      <c r="G466">
        <f>LN(F466/参数实验室!$E$58)/参数实验室!$E$59</f>
        <v>0.51437655407978122</v>
      </c>
      <c r="H466" t="e">
        <f>INDEX(神经网络!$G$10:$BO$70,MATCH(ROUND(G466*2,1)/2,神经网络!$E$10:$E$70,0),MATCH(ROUND(E466*2,1)/2,神经网络!$G$8:$BO$8,0))</f>
        <v>#N/A</v>
      </c>
    </row>
    <row r="467" spans="1:24">
      <c r="A467" s="799">
        <v>40869</v>
      </c>
      <c r="B467">
        <v>2.3289</v>
      </c>
      <c r="C467">
        <v>8.6067070000000001</v>
      </c>
      <c r="D467">
        <v>0.46857500000000002</v>
      </c>
      <c r="E467">
        <f>LN(D467/参数实验室!$E$53)/参数实验室!$E$55</f>
        <v>-1.587290981861019</v>
      </c>
      <c r="F467">
        <f t="shared" si="18"/>
        <v>3.6956103739963075</v>
      </c>
      <c r="G467">
        <f>LN(F467/参数实验室!$E$58)/参数实验室!$E$59</f>
        <v>0.49553069659800841</v>
      </c>
      <c r="H467" t="e">
        <f>INDEX(神经网络!$G$10:$BO$70,MATCH(ROUND(G467*2,1)/2,神经网络!$E$10:$E$70,0),MATCH(ROUND(E467*2,1)/2,神经网络!$G$8:$BO$8,0))</f>
        <v>#N/A</v>
      </c>
    </row>
    <row r="468" spans="1:24">
      <c r="A468" s="799">
        <v>40870</v>
      </c>
      <c r="B468">
        <v>2.3321000000000001</v>
      </c>
      <c r="C468">
        <v>8.5876140000000003</v>
      </c>
      <c r="D468">
        <v>0.47072399999999998</v>
      </c>
      <c r="E468">
        <f>LN(D468/参数实验室!$E$53)/参数实验室!$E$55</f>
        <v>-1.5818927132695153</v>
      </c>
      <c r="F468">
        <f t="shared" si="18"/>
        <v>3.6823523862613095</v>
      </c>
      <c r="G468">
        <f>LN(F468/参数实验室!$E$58)/参数实验室!$E$59</f>
        <v>0.49364439920619768</v>
      </c>
      <c r="H468" t="e">
        <f>INDEX(神经网络!$G$10:$BO$70,MATCH(ROUND(G468*2,1)/2,神经网络!$E$10:$E$70,0),MATCH(ROUND(E468*2,1)/2,神经网络!$G$8:$BO$8,0))</f>
        <v>#N/A</v>
      </c>
    </row>
    <row r="469" spans="1:24">
      <c r="A469" s="799">
        <v>40871</v>
      </c>
      <c r="B469">
        <v>2.4321000000000002</v>
      </c>
      <c r="C469">
        <v>8.712529</v>
      </c>
      <c r="D469">
        <v>0.492145</v>
      </c>
      <c r="E469">
        <f>LN(D469/参数实验室!$E$53)/参数实验室!$E$55</f>
        <v>-1.5293919791157378</v>
      </c>
      <c r="F469">
        <f t="shared" si="18"/>
        <v>3.5823070597426092</v>
      </c>
      <c r="G469">
        <f>LN(F469/参数实验室!$E$58)/参数实验室!$E$59</f>
        <v>0.47918742034369649</v>
      </c>
      <c r="H469" t="e">
        <f>INDEX(神经网络!$G$10:$BO$70,MATCH(ROUND(G469*2,1)/2,神经网络!$E$10:$E$70,0),MATCH(ROUND(E469*2,1)/2,神经网络!$G$8:$BO$8,0))</f>
        <v>#N/A</v>
      </c>
      <c r="I469" s="118" t="s">
        <v>90</v>
      </c>
      <c r="J469" s="118" t="s">
        <v>446</v>
      </c>
      <c r="K469" s="118" t="s">
        <v>548</v>
      </c>
      <c r="L469" t="s">
        <v>631</v>
      </c>
      <c r="M469" t="s">
        <v>633</v>
      </c>
      <c r="N469" s="118" t="s">
        <v>632</v>
      </c>
      <c r="O469" s="118" t="s">
        <v>634</v>
      </c>
      <c r="P469" s="841" t="s">
        <v>615</v>
      </c>
      <c r="Q469" s="841" t="s">
        <v>614</v>
      </c>
      <c r="R469" t="s">
        <v>612</v>
      </c>
      <c r="S469" s="118" t="s">
        <v>613</v>
      </c>
      <c r="T469" t="s">
        <v>628</v>
      </c>
      <c r="U469" t="s">
        <v>629</v>
      </c>
      <c r="V469" t="s">
        <v>630</v>
      </c>
      <c r="W469" t="s">
        <v>635</v>
      </c>
      <c r="X469" t="s">
        <v>636</v>
      </c>
    </row>
    <row r="470" spans="1:24" s="800" customFormat="1">
      <c r="A470" s="799">
        <v>40872</v>
      </c>
      <c r="B470">
        <v>2.5061</v>
      </c>
      <c r="C470">
        <v>8.6223600000000005</v>
      </c>
      <c r="D470">
        <v>0.50383500000000003</v>
      </c>
      <c r="E470" s="800">
        <f>LN(D470/参数实验室!$E$53)/参数实验室!$E$55</f>
        <v>-1.5016967467247724</v>
      </c>
      <c r="F470" s="800">
        <f t="shared" si="18"/>
        <v>3.4405490602928857</v>
      </c>
      <c r="G470" s="800">
        <f>LN(F470/参数实验室!$E$58)/参数实验室!$E$59</f>
        <v>0.4579959377730296</v>
      </c>
      <c r="H470" s="800">
        <f>INDEX(神经网络!$G$10:$BO$70,MATCH(ROUND(G470*2,1)/2,神经网络!$E$10:$E$70,0),MATCH(ROUND(E470*2,1)/2,神经网络!$G$8:$BO$8,0))</f>
        <v>0.23901628285701351</v>
      </c>
      <c r="I470" s="800">
        <v>1</v>
      </c>
      <c r="J470" s="800">
        <v>1</v>
      </c>
      <c r="K470" s="800">
        <v>1</v>
      </c>
      <c r="L470" s="800">
        <v>0</v>
      </c>
      <c r="M470" s="800">
        <v>0</v>
      </c>
      <c r="N470" s="800">
        <v>1</v>
      </c>
      <c r="O470" s="800">
        <v>1</v>
      </c>
      <c r="P470" s="800">
        <v>0</v>
      </c>
      <c r="Q470" s="800">
        <v>0</v>
      </c>
      <c r="R470" s="800">
        <v>0</v>
      </c>
      <c r="S470" s="800">
        <v>1</v>
      </c>
      <c r="T470" s="800">
        <v>0</v>
      </c>
      <c r="U470" s="800">
        <v>0</v>
      </c>
      <c r="V470" s="800">
        <v>0</v>
      </c>
      <c r="W470" s="800">
        <v>0</v>
      </c>
      <c r="X470" s="800">
        <v>0</v>
      </c>
    </row>
    <row r="471" spans="1:24">
      <c r="A471" s="799">
        <v>40873</v>
      </c>
      <c r="B471">
        <v>2.4700000000000002</v>
      </c>
      <c r="C471">
        <v>8.5181480000000001</v>
      </c>
      <c r="D471">
        <v>0.50116099999999997</v>
      </c>
      <c r="E471">
        <f>LN(D471/参数实验室!$E$53)/参数实验室!$E$55</f>
        <v>-1.5079747172216518</v>
      </c>
      <c r="F471">
        <f t="shared" si="18"/>
        <v>3.4486429149797568</v>
      </c>
      <c r="G471">
        <f>LN(F471/参数实验室!$E$58)/参数实验室!$E$59</f>
        <v>0.45922920121707911</v>
      </c>
      <c r="H471" s="856">
        <f>INDEX(神经网络!$G$10:$BO$70,MATCH(ROUND(G471*2,1)/2,神经网络!$E$10:$E$70,0),MATCH(ROUND(E471*2,1)/2,神经网络!$G$8:$BO$8,0))</f>
        <v>0.23901628285701351</v>
      </c>
      <c r="I471">
        <f>I470*(1+(B471-B470)/B470*H470)</f>
        <v>0.99655700578143802</v>
      </c>
      <c r="J471">
        <f>J470*B471/B470</f>
        <v>0.98559514783927227</v>
      </c>
      <c r="K471">
        <f>I471/J471</f>
        <v>1.0111220697120897</v>
      </c>
      <c r="L471" s="4">
        <f>MIN(MAX(L470*(1+MAX(MIN(((B471-B470)/B470)/($K$7*卓尔金历!$N$40),0),-卓尔金历!$M$43))+MIN(MAX(((B471-B470)/B470)/($K$7*卓尔金历!$N$40),0),卓尔金历!$M$43),0),1)</f>
        <v>0</v>
      </c>
      <c r="M471" s="4">
        <f>MIN(MAX(M470*(1+MAX(MIN(((B471-B470)/B470)/($K$7*30),0),-卓尔金历!$M$43))+MIN(MAX(((B471-B470)/B470)/($K$7*7),0),卓尔金历!$M$43),0),1)</f>
        <v>0</v>
      </c>
      <c r="N471">
        <f>N470*(1+(B471-B470)/B470*H470*L470)</f>
        <v>1</v>
      </c>
      <c r="O471">
        <f>O470*(1+(B471-B470)/B470*H470*M470)</f>
        <v>1</v>
      </c>
      <c r="P471">
        <f>(B471-B470)/B470</f>
        <v>-1.4404852160727745E-2</v>
      </c>
      <c r="Q471" s="800">
        <v>0</v>
      </c>
      <c r="R471" s="800">
        <v>0</v>
      </c>
      <c r="S471">
        <f t="shared" ref="S471:S534" si="19">S470*(1+(B471-B470)/B470*H470*R470)</f>
        <v>1</v>
      </c>
      <c r="T471" s="564">
        <f>IF((I471-MAX(I$470:I471))/MAX(I$470:I471)&gt;T470,T470,(I471-MAX(I$470:I471))/MAX(I$470:I471))</f>
        <v>-3.4429942185619788E-3</v>
      </c>
      <c r="U471" s="564">
        <f>IF((J471-MAX(J$470:J471))/MAX(J$470:J471)&gt;U470,U470,(J471-MAX(J$470:J471))/MAX(J$470:J471))</f>
        <v>-1.4404852160727732E-2</v>
      </c>
      <c r="V471" s="564">
        <f>IF((K471-MAX(K$470:K471))/MAX(K$470:K471)&gt;V470,V470,(K471-MAX(K$470:K471))/MAX(K$470:K471))</f>
        <v>0</v>
      </c>
      <c r="W471" s="564">
        <f>IF((N471-MAX(N$470:N471))/MAX(N$470:N471)&gt;W470,W470,(N471-MAX(N$470:N471))/MAX(N$470:N471))</f>
        <v>0</v>
      </c>
      <c r="X471" s="564">
        <f>IF((O471-MAX(O$470:O471))/MAX(O$470:O471)&gt;X470,X470,(O471-MAX(O$470:O471))/MAX(O$470:O471))</f>
        <v>0</v>
      </c>
    </row>
    <row r="472" spans="1:24">
      <c r="A472" s="799">
        <v>40874</v>
      </c>
      <c r="B472">
        <v>2.4799000000000002</v>
      </c>
      <c r="C472">
        <v>8.4831640000000004</v>
      </c>
      <c r="D472">
        <v>0.50265400000000005</v>
      </c>
      <c r="E472">
        <f>LN(D472/参数实验室!$E$53)/参数实验室!$E$55</f>
        <v>-1.5044653596367352</v>
      </c>
      <c r="F472">
        <f t="shared" si="18"/>
        <v>3.4207685793782008</v>
      </c>
      <c r="G472">
        <f>LN(F472/参数实验室!$E$58)/参数实验室!$E$59</f>
        <v>0.45496972773900629</v>
      </c>
      <c r="H472" s="856">
        <f>INDEX(神经网络!$G$10:$BO$70,MATCH(ROUND(G472*2,1)/2,神经网络!$E$10:$E$70,0),MATCH(ROUND(E472*2,1)/2,神经网络!$G$8:$BO$8,0))</f>
        <v>0.23901628285701351</v>
      </c>
      <c r="I472">
        <f t="shared" ref="I472:I535" si="20">I471*(1+(B472-B471)/B471*H471)</f>
        <v>0.99751170787724863</v>
      </c>
      <c r="J472">
        <f t="shared" ref="J472:J535" si="21">J471*B472/B471</f>
        <v>0.98954550895814219</v>
      </c>
      <c r="K472">
        <f t="shared" ref="K472:K535" si="22">I472/J472</f>
        <v>1.0080503613497207</v>
      </c>
      <c r="L472" s="4">
        <f>MIN(MAX(L471*(1+MAX(MIN(((B472-B471)/B471)/($K$7*卓尔金历!$N$40),0),-卓尔金历!$M$43))+MIN(MAX(((B472-B471)/B471)/($K$7*卓尔金历!$N$40),0),卓尔金历!$M$43),0),1)</f>
        <v>6.1239878413238538E-2</v>
      </c>
      <c r="M472" s="4">
        <f>MIN(MAX(M471*(1+MAX(MIN(((B472-B471)/B471)/($K$7*30),0),-卓尔金历!$M$43))+MIN(MAX(((B472-B471)/B471)/($K$7*7),0),卓尔金历!$M$43),0),1)</f>
        <v>0.13122831088551115</v>
      </c>
      <c r="N472">
        <f>N471*(1+(B472-B471)/B471*H471*L471)</f>
        <v>1</v>
      </c>
      <c r="O472">
        <f t="shared" ref="O472:O535" si="23">O471*(1+(B472-B471)/B471*H471*M471)</f>
        <v>1</v>
      </c>
      <c r="P472">
        <f t="shared" ref="P472:P535" si="24">(B472-B471)/B471</f>
        <v>4.0080971659919107E-3</v>
      </c>
      <c r="Q472" s="800">
        <v>0</v>
      </c>
      <c r="R472" s="800">
        <v>0</v>
      </c>
      <c r="S472">
        <f t="shared" si="19"/>
        <v>1</v>
      </c>
      <c r="T472" s="564">
        <f>IF((I472-MAX(I$470:I472))/MAX(I$470:I472)&gt;T471,T471,(I472-MAX(I$470:I472))/MAX(I$470:I472))</f>
        <v>-3.4429942185619788E-3</v>
      </c>
      <c r="U472" s="564">
        <f>IF((J472-MAX(J$470:J472))/MAX(J$470:J472)&gt;U471,U471,(J472-MAX(J$470:J472))/MAX(J$470:J472))</f>
        <v>-1.4404852160727732E-2</v>
      </c>
      <c r="V472" s="564">
        <f>IF((K472-MAX(K$470:K472))/MAX(K$470:K472)&gt;V471,V471,(K472-MAX(K$470:K472))/MAX(K$470:K472))</f>
        <v>-3.0379203999015454E-3</v>
      </c>
      <c r="W472" s="564">
        <f>IF((N472-MAX(N$470:N472))/MAX(N$470:N472)&gt;W471,W471,(N472-MAX(N$470:N472))/MAX(N$470:N472))</f>
        <v>0</v>
      </c>
      <c r="X472" s="564">
        <f>IF((O472-MAX(O$470:O472))/MAX(O$470:O472)&gt;X471,X471,(O472-MAX(O$470:O472))/MAX(O$470:O472))</f>
        <v>0</v>
      </c>
    </row>
    <row r="473" spans="1:24">
      <c r="A473" s="799">
        <v>40875</v>
      </c>
      <c r="B473">
        <v>2.5499999999999998</v>
      </c>
      <c r="C473">
        <v>8.419829</v>
      </c>
      <c r="D473">
        <v>0.52129800000000004</v>
      </c>
      <c r="E473">
        <f>LN(D473/参数实验室!$E$53)/参数实验室!$E$55</f>
        <v>-1.4614989888586412</v>
      </c>
      <c r="F473">
        <f t="shared" si="18"/>
        <v>3.3018937254901961</v>
      </c>
      <c r="G473">
        <f>LN(F473/参数实验室!$E$58)/参数实验室!$E$59</f>
        <v>0.43640611441480953</v>
      </c>
      <c r="H473" s="856">
        <f>INDEX(神经网络!$G$10:$BO$70,MATCH(ROUND(G473*2,1)/2,神经网络!$E$10:$E$70,0),MATCH(ROUND(E473*2,1)/2,神经网络!$G$8:$BO$8,0))</f>
        <v>0.24452303101659353</v>
      </c>
      <c r="I473">
        <f t="shared" si="20"/>
        <v>1.0042512336608183</v>
      </c>
      <c r="J473">
        <f t="shared" si="21"/>
        <v>1.0175172578907465</v>
      </c>
      <c r="K473">
        <f t="shared" si="22"/>
        <v>0.98696235948132416</v>
      </c>
      <c r="L473" s="4">
        <f>MIN(MAX(L472*(1+MAX(MIN(((B473-B472)/B472)/($K$7*卓尔金历!$N$40),0),-卓尔金历!$M$43))+MIN(MAX(((B473-B472)/B472)/($K$7*卓尔金历!$N$40),0),卓尔金历!$M$43),0),1)</f>
        <v>0.49313662024247212</v>
      </c>
      <c r="M473" s="4">
        <f>MIN(MAX(M472*(1+MAX(MIN(((B473-B472)/B472)/($K$7*30),0),-卓尔金历!$M$43))+MIN(MAX(((B473-B472)/B472)/($K$7*7),0),卓尔金历!$M$43),0),1)</f>
        <v>1</v>
      </c>
      <c r="N473">
        <f t="shared" ref="N473:N535" si="25">N472*(1+(B473-B472)/B472*H472*L472)</f>
        <v>1.0004137572885505</v>
      </c>
      <c r="O473">
        <f t="shared" si="23"/>
        <v>1.0008866227611797</v>
      </c>
      <c r="P473">
        <f t="shared" si="24"/>
        <v>2.8267268841485383E-2</v>
      </c>
      <c r="Q473" s="800">
        <v>0</v>
      </c>
      <c r="R473" s="800">
        <v>0</v>
      </c>
      <c r="S473">
        <f t="shared" si="19"/>
        <v>1</v>
      </c>
      <c r="T473" s="564">
        <f>IF((I473-MAX(I$470:I473))/MAX(I$470:I473)&gt;T472,T472,(I473-MAX(I$470:I473))/MAX(I$470:I473))</f>
        <v>-3.4429942185619788E-3</v>
      </c>
      <c r="U473" s="564">
        <f>IF((J473-MAX(J$470:J473))/MAX(J$470:J473)&gt;U472,U472,(J473-MAX(J$470:J473))/MAX(J$470:J473))</f>
        <v>-1.4404852160727732E-2</v>
      </c>
      <c r="V473" s="564">
        <f>IF((K473-MAX(K$470:K473))/MAX(K$470:K473)&gt;V472,V472,(K473-MAX(K$470:K473))/MAX(K$470:K473))</f>
        <v>-2.3893959942586251E-2</v>
      </c>
      <c r="W473" s="564">
        <f>IF((N473-MAX(N$470:N473))/MAX(N$470:N473)&gt;W472,W472,(N473-MAX(N$470:N473))/MAX(N$470:N473))</f>
        <v>0</v>
      </c>
      <c r="X473" s="564">
        <f>IF((O473-MAX(O$470:O473))/MAX(O$470:O473)&gt;X472,X472,(O473-MAX(O$470:O473))/MAX(O$470:O473))</f>
        <v>0</v>
      </c>
    </row>
    <row r="474" spans="1:24">
      <c r="A474" s="799">
        <v>40876</v>
      </c>
      <c r="B474">
        <v>2.7502</v>
      </c>
      <c r="C474">
        <v>8.280132</v>
      </c>
      <c r="D474">
        <v>0.56397200000000003</v>
      </c>
      <c r="E474">
        <f>LN(D474/参数实验室!$E$53)/参数实验室!$E$55</f>
        <v>-1.368672759689207</v>
      </c>
      <c r="F474">
        <f t="shared" si="18"/>
        <v>3.0107381281361354</v>
      </c>
      <c r="G474">
        <f>LN(F474/参数实验室!$E$58)/参数实验室!$E$59</f>
        <v>0.3879563726265095</v>
      </c>
      <c r="H474" s="856">
        <f>INDEX(神经网络!$G$10:$BO$70,MATCH(ROUND(G474*2,1)/2,神经网络!$E$10:$E$70,0),MATCH(ROUND(E474*2,1)/2,神经网络!$G$8:$BO$8,0))</f>
        <v>0.17924336711984426</v>
      </c>
      <c r="I474">
        <f t="shared" si="20"/>
        <v>1.0235303017480697</v>
      </c>
      <c r="J474">
        <f t="shared" si="21"/>
        <v>1.0974023382945615</v>
      </c>
      <c r="K474">
        <f t="shared" si="22"/>
        <v>0.932684637193963</v>
      </c>
      <c r="L474" s="4">
        <f>MIN(MAX(L473*(1+MAX(MIN(((B474-B473)/B473)/($K$7*卓尔金历!$N$40),0),-卓尔金历!$M$43))+MIN(MAX(((B474-B473)/B473)/($K$7*卓尔金历!$N$40),0),卓尔金历!$M$43),0),1)</f>
        <v>1</v>
      </c>
      <c r="M474" s="4">
        <f>MIN(MAX(M473*(1+MAX(MIN(((B474-B473)/B473)/($K$7*30),0),-卓尔金历!$M$43))+MIN(MAX(((B474-B473)/B473)/($K$7*7),0),卓尔金历!$M$43),0),1)</f>
        <v>1</v>
      </c>
      <c r="N474">
        <f t="shared" si="25"/>
        <v>1.0098846424997985</v>
      </c>
      <c r="O474">
        <f t="shared" si="23"/>
        <v>1.0201010988813544</v>
      </c>
      <c r="P474">
        <f t="shared" si="24"/>
        <v>7.8509803921568699E-2</v>
      </c>
      <c r="Q474" s="800">
        <v>0</v>
      </c>
      <c r="R474" s="800">
        <v>0</v>
      </c>
      <c r="S474">
        <f t="shared" si="19"/>
        <v>1</v>
      </c>
      <c r="T474" s="564">
        <f>IF((I474-MAX(I$470:I474))/MAX(I$470:I474)&gt;T473,T473,(I474-MAX(I$470:I474))/MAX(I$470:I474))</f>
        <v>-3.4429942185619788E-3</v>
      </c>
      <c r="U474" s="564">
        <f>IF((J474-MAX(J$470:J474))/MAX(J$470:J474)&gt;U473,U473,(J474-MAX(J$470:J474))/MAX(J$470:J474))</f>
        <v>-1.4404852160727732E-2</v>
      </c>
      <c r="V474" s="564">
        <f>IF((K474-MAX(K$470:K474))/MAX(K$470:K474)&gt;V473,V473,(K474-MAX(K$470:K474))/MAX(K$470:K474))</f>
        <v>-7.7574641942551287E-2</v>
      </c>
      <c r="W474" s="564">
        <f>IF((N474-MAX(N$470:N474))/MAX(N$470:N474)&gt;W473,W473,(N474-MAX(N$470:N474))/MAX(N$470:N474))</f>
        <v>0</v>
      </c>
      <c r="X474" s="564">
        <f>IF((O474-MAX(O$470:O474))/MAX(O$470:O474)&gt;X473,X473,(O474-MAX(O$470:O474))/MAX(O$470:O474))</f>
        <v>0</v>
      </c>
    </row>
    <row r="475" spans="1:24">
      <c r="A475" s="799">
        <v>40877</v>
      </c>
      <c r="B475">
        <v>2.9701</v>
      </c>
      <c r="C475">
        <v>8.1245010000000004</v>
      </c>
      <c r="D475">
        <v>0.60468500000000003</v>
      </c>
      <c r="E475">
        <f>LN(D475/参数实验室!$E$53)/参数实验室!$E$55</f>
        <v>-1.2864403527781341</v>
      </c>
      <c r="F475">
        <f t="shared" si="18"/>
        <v>2.7354301201979734</v>
      </c>
      <c r="G475">
        <f>LN(F475/参数实验室!$E$58)/参数实验室!$E$59</f>
        <v>0.33762466209904957</v>
      </c>
      <c r="H475" s="856">
        <f>INDEX(神经网络!$G$10:$BO$70,MATCH(ROUND(G475*2,1)/2,神经网络!$E$10:$E$70,0),MATCH(ROUND(E475*2,1)/2,神经网络!$G$8:$BO$8,0))</f>
        <v>0.1099741479418568</v>
      </c>
      <c r="I475">
        <f t="shared" si="20"/>
        <v>1.0381994450023164</v>
      </c>
      <c r="J475">
        <f t="shared" si="21"/>
        <v>1.1851482382985516</v>
      </c>
      <c r="K475">
        <f t="shared" si="22"/>
        <v>0.8760080903404952</v>
      </c>
      <c r="L475" s="4">
        <f>MIN(MAX(L474*(1+MAX(MIN(((B475-B474)/B474)/($K$7*卓尔金历!$N$40),0),-卓尔金历!$M$43))+MIN(MAX(((B475-B474)/B474)/($K$7*卓尔金历!$N$40),0),卓尔金历!$M$43),0),1)</f>
        <v>1</v>
      </c>
      <c r="M475" s="4">
        <f>MIN(MAX(M474*(1+MAX(MIN(((B475-B474)/B474)/($K$7*30),0),-卓尔金历!$M$43))+MIN(MAX(((B475-B474)/B474)/($K$7*7),0),卓尔金历!$M$43),0),1)</f>
        <v>1</v>
      </c>
      <c r="N475">
        <f t="shared" si="25"/>
        <v>1.0243582174059762</v>
      </c>
      <c r="O475">
        <f t="shared" si="23"/>
        <v>1.0347210951118015</v>
      </c>
      <c r="P475">
        <f t="shared" si="24"/>
        <v>7.9957821249363681E-2</v>
      </c>
      <c r="Q475" s="800">
        <v>0</v>
      </c>
      <c r="R475" s="800">
        <v>0</v>
      </c>
      <c r="S475">
        <f t="shared" si="19"/>
        <v>1</v>
      </c>
      <c r="T475" s="564">
        <f>IF((I475-MAX(I$470:I475))/MAX(I$470:I475)&gt;T474,T474,(I475-MAX(I$470:I475))/MAX(I$470:I475))</f>
        <v>-3.4429942185619788E-3</v>
      </c>
      <c r="U475" s="564">
        <f>IF((J475-MAX(J$470:J475))/MAX(J$470:J475)&gt;U474,U474,(J475-MAX(J$470:J475))/MAX(J$470:J475))</f>
        <v>-1.4404852160727732E-2</v>
      </c>
      <c r="V475" s="564">
        <f>IF((K475-MAX(K$470:K475))/MAX(K$470:K475)&gt;V474,V474,(K475-MAX(K$470:K475))/MAX(K$470:K475))</f>
        <v>-0.13362776208620125</v>
      </c>
      <c r="W475" s="564">
        <f>IF((N475-MAX(N$470:N475))/MAX(N$470:N475)&gt;W474,W474,(N475-MAX(N$470:N475))/MAX(N$470:N475))</f>
        <v>0</v>
      </c>
      <c r="X475" s="564">
        <f>IF((O475-MAX(O$470:O475))/MAX(O$470:O475)&gt;X474,X474,(O475-MAX(O$470:O475))/MAX(O$470:O475))</f>
        <v>0</v>
      </c>
    </row>
    <row r="476" spans="1:24">
      <c r="A476" s="799">
        <v>40878</v>
      </c>
      <c r="B476">
        <v>3.06</v>
      </c>
      <c r="C476">
        <v>7.9708949999999996</v>
      </c>
      <c r="D476">
        <v>0.62781100000000001</v>
      </c>
      <c r="E476">
        <f>LN(D476/参数实验室!$E$53)/参数实验室!$E$55</f>
        <v>-1.2421624386222558</v>
      </c>
      <c r="F476">
        <f t="shared" si="18"/>
        <v>2.6048676470588235</v>
      </c>
      <c r="G476">
        <f>LN(F476/参数实验室!$E$58)/参数实验室!$E$59</f>
        <v>0.31195571882746626</v>
      </c>
      <c r="H476" s="856">
        <f>INDEX(神经网络!$G$10:$BO$70,MATCH(ROUND(G476*2,1)/2,神经网络!$E$10:$E$70,0),MATCH(ROUND(E476*2,1)/2,神经网络!$G$8:$BO$8,0))</f>
        <v>3.9452523768214988E-2</v>
      </c>
      <c r="I476">
        <f t="shared" si="20"/>
        <v>1.0416553358586074</v>
      </c>
      <c r="J476">
        <f t="shared" si="21"/>
        <v>1.2210207094688961</v>
      </c>
      <c r="K476">
        <f t="shared" si="22"/>
        <v>0.85310210365858019</v>
      </c>
      <c r="L476" s="4">
        <f>MIN(MAX(L475*(1+MAX(MIN(((B476-B475)/B475)/($K$7*卓尔金历!$N$40),0),-卓尔金历!$M$43))+MIN(MAX(((B476-B475)/B475)/($K$7*卓尔金历!$N$40),0),卓尔金历!$M$43),0),1)</f>
        <v>1</v>
      </c>
      <c r="M476" s="4">
        <f>MIN(MAX(M475*(1+MAX(MIN(((B476-B475)/B475)/($K$7*30),0),-卓尔金历!$M$43))+MIN(MAX(((B476-B475)/B475)/($K$7*7),0),卓尔金历!$M$43),0),1)</f>
        <v>1</v>
      </c>
      <c r="N476">
        <f t="shared" si="25"/>
        <v>1.0277680344831679</v>
      </c>
      <c r="O476">
        <f t="shared" si="23"/>
        <v>1.03816540746298</v>
      </c>
      <c r="P476">
        <f t="shared" si="24"/>
        <v>3.0268341133295205E-2</v>
      </c>
      <c r="Q476" s="800">
        <v>0</v>
      </c>
      <c r="R476" s="800">
        <v>0</v>
      </c>
      <c r="S476">
        <f t="shared" si="19"/>
        <v>1</v>
      </c>
      <c r="T476" s="564">
        <f>IF((I476-MAX(I$470:I476))/MAX(I$470:I476)&gt;T475,T475,(I476-MAX(I$470:I476))/MAX(I$470:I476))</f>
        <v>-3.4429942185619788E-3</v>
      </c>
      <c r="U476" s="564">
        <f>IF((J476-MAX(J$470:J476))/MAX(J$470:J476)&gt;U475,U475,(J476-MAX(J$470:J476))/MAX(J$470:J476))</f>
        <v>-1.4404852160727732E-2</v>
      </c>
      <c r="V476" s="564">
        <f>IF((K476-MAX(K$470:K476))/MAX(K$470:K476)&gt;V475,V475,(K476-MAX(K$470:K476))/MAX(K$470:K476))</f>
        <v>-0.15628178910040474</v>
      </c>
      <c r="W476" s="564">
        <f>IF((N476-MAX(N$470:N476))/MAX(N$470:N476)&gt;W475,W475,(N476-MAX(N$470:N476))/MAX(N$470:N476))</f>
        <v>0</v>
      </c>
      <c r="X476" s="564">
        <f>IF((O476-MAX(O$470:O476))/MAX(O$470:O476)&gt;X475,X475,(O476-MAX(O$470:O476))/MAX(O$470:O476))</f>
        <v>0</v>
      </c>
    </row>
    <row r="477" spans="1:24">
      <c r="A477" s="799">
        <v>40879</v>
      </c>
      <c r="B477">
        <v>3.1151</v>
      </c>
      <c r="C477">
        <v>8.0428750000000004</v>
      </c>
      <c r="D477">
        <v>0.63153700000000002</v>
      </c>
      <c r="E477">
        <f>LN(D477/参数实验室!$E$53)/参数实验室!$E$55</f>
        <v>-1.2351814080992036</v>
      </c>
      <c r="F477">
        <f t="shared" si="18"/>
        <v>2.5818994574813008</v>
      </c>
      <c r="G477">
        <f>LN(F477/参数实验室!$E$58)/参数实验室!$E$59</f>
        <v>0.30730734124814996</v>
      </c>
      <c r="H477" s="856">
        <f>INDEX(神经网络!$G$10:$BO$70,MATCH(ROUND(G477*2,1)/2,神经网络!$E$10:$E$70,0),MATCH(ROUND(E477*2,1)/2,神经网络!$G$8:$BO$8,0))</f>
        <v>3.9452523768214988E-2</v>
      </c>
      <c r="I477">
        <f t="shared" si="20"/>
        <v>1.0423953312336018</v>
      </c>
      <c r="J477">
        <f t="shared" si="21"/>
        <v>1.243007062766849</v>
      </c>
      <c r="K477">
        <f t="shared" si="22"/>
        <v>0.83860772996196886</v>
      </c>
      <c r="L477" s="4">
        <f>MIN(MAX(L476*(1+MAX(MIN(((B477-B476)/B476)/($K$7*卓尔金历!$N$40),0),-卓尔金历!$M$43))+MIN(MAX(((B477-B476)/B476)/($K$7*卓尔金历!$N$40),0),卓尔金历!$M$43),0),1)</f>
        <v>1</v>
      </c>
      <c r="M477" s="4">
        <f>MIN(MAX(M476*(1+MAX(MIN(((B477-B476)/B476)/($K$7*30),0),-卓尔金历!$M$43))+MIN(MAX(((B477-B476)/B476)/($K$7*7),0),卓尔金历!$M$43),0),1)</f>
        <v>1</v>
      </c>
      <c r="N477">
        <f t="shared" si="25"/>
        <v>1.0284981642736113</v>
      </c>
      <c r="O477">
        <f t="shared" si="23"/>
        <v>1.0389029235813694</v>
      </c>
      <c r="P477">
        <f t="shared" si="24"/>
        <v>1.8006535947712395E-2</v>
      </c>
      <c r="Q477" s="800">
        <v>0</v>
      </c>
      <c r="R477" s="800">
        <v>0</v>
      </c>
      <c r="S477">
        <f t="shared" si="19"/>
        <v>1</v>
      </c>
      <c r="T477" s="564">
        <f>IF((I477-MAX(I$470:I477))/MAX(I$470:I477)&gt;T476,T476,(I477-MAX(I$470:I477))/MAX(I$470:I477))</f>
        <v>-3.4429942185619788E-3</v>
      </c>
      <c r="U477" s="564">
        <f>IF((J477-MAX(J$470:J477))/MAX(J$470:J477)&gt;U476,U476,(J477-MAX(J$470:J477))/MAX(J$470:J477))</f>
        <v>-1.4404852160727732E-2</v>
      </c>
      <c r="V477" s="564">
        <f>IF((K477-MAX(K$470:K477))/MAX(K$470:K477)&gt;V476,V476,(K477-MAX(K$470:K477))/MAX(K$470:K477))</f>
        <v>-0.17061672860057656</v>
      </c>
      <c r="W477" s="564">
        <f>IF((N477-MAX(N$470:N477))/MAX(N$470:N477)&gt;W476,W476,(N477-MAX(N$470:N477))/MAX(N$470:N477))</f>
        <v>0</v>
      </c>
      <c r="X477" s="564">
        <f>IF((O477-MAX(O$470:O477))/MAX(O$470:O477)&gt;X476,X476,(O477-MAX(O$470:O477))/MAX(O$470:O477))</f>
        <v>0</v>
      </c>
    </row>
    <row r="478" spans="1:24">
      <c r="A478" s="799">
        <v>40880</v>
      </c>
      <c r="B478">
        <v>2.794</v>
      </c>
      <c r="C478">
        <v>7.914841</v>
      </c>
      <c r="D478">
        <v>0.57397200000000004</v>
      </c>
      <c r="E478">
        <f>LN(D478/参数实验室!$E$53)/参数实验室!$E$55</f>
        <v>-1.3479374051512796</v>
      </c>
      <c r="F478">
        <f t="shared" si="18"/>
        <v>2.8327992125984252</v>
      </c>
      <c r="G478">
        <f>LN(F478/参数实验室!$E$58)/参数实验室!$E$59</f>
        <v>0.35598230099058265</v>
      </c>
      <c r="H478" s="856">
        <f>INDEX(神经网络!$G$10:$BO$70,MATCH(ROUND(G478*2,1)/2,神经网络!$E$10:$E$70,0),MATCH(ROUND(E478*2,1)/2,神经网络!$G$8:$BO$8,0))</f>
        <v>0.11088402614858407</v>
      </c>
      <c r="I478">
        <f t="shared" si="20"/>
        <v>1.0381562126995971</v>
      </c>
      <c r="J478">
        <f t="shared" si="21"/>
        <v>1.1148796935477436</v>
      </c>
      <c r="K478">
        <f t="shared" si="22"/>
        <v>0.93118227796938446</v>
      </c>
      <c r="L478" s="4">
        <f>MIN(MAX(L477*(1+MAX(MIN(((B478-B477)/B477)/($K$7*卓尔金历!$N$40),0),-卓尔金历!$M$43))+MIN(MAX(((B478-B477)/B477)/($K$7*卓尔金历!$N$40),0),卓尔金历!$M$43),0),1)</f>
        <v>0</v>
      </c>
      <c r="M478" s="4">
        <f>MIN(MAX(M477*(1+MAX(MIN(((B478-B477)/B477)/($K$7*30),0),-卓尔金历!$M$43))+MIN(MAX(((B478-B477)/B477)/($K$7*7),0),卓尔金历!$M$43),0),1)</f>
        <v>0.21252931472809033</v>
      </c>
      <c r="N478">
        <f t="shared" si="25"/>
        <v>1.0243155614743429</v>
      </c>
      <c r="O478">
        <f t="shared" si="23"/>
        <v>1.0346780076531932</v>
      </c>
      <c r="P478">
        <f t="shared" si="24"/>
        <v>-0.10307855285544604</v>
      </c>
      <c r="Q478" s="800">
        <v>0</v>
      </c>
      <c r="R478" s="800">
        <v>0</v>
      </c>
      <c r="S478">
        <f t="shared" si="19"/>
        <v>1</v>
      </c>
      <c r="T478" s="564">
        <f>IF((I478-MAX(I$470:I478))/MAX(I$470:I478)&gt;T477,T477,(I478-MAX(I$470:I478))/MAX(I$470:I478))</f>
        <v>-4.0667090565227456E-3</v>
      </c>
      <c r="U478" s="564">
        <f>IF((J478-MAX(J$470:J478))/MAX(J$470:J478)&gt;U477,U477,(J478-MAX(J$470:J478))/MAX(J$470:J478))</f>
        <v>-0.10307855285544605</v>
      </c>
      <c r="V478" s="564">
        <f>IF((K478-MAX(K$470:K478))/MAX(K$470:K478)&gt;V477,V477,(K478-MAX(K$470:K478))/MAX(K$470:K478))</f>
        <v>-0.17061672860057656</v>
      </c>
      <c r="W478" s="564">
        <f>IF((N478-MAX(N$470:N478))/MAX(N$470:N478)&gt;W477,W477,(N478-MAX(N$470:N478))/MAX(N$470:N478))</f>
        <v>-4.0667090565226442E-3</v>
      </c>
      <c r="X478" s="564">
        <f>IF((O478-MAX(O$470:O478))/MAX(O$470:O478)&gt;X477,X477,(O478-MAX(O$470:O478))/MAX(O$470:O478))</f>
        <v>-4.0667090565226355E-3</v>
      </c>
    </row>
    <row r="479" spans="1:24">
      <c r="A479" s="799">
        <v>40881</v>
      </c>
      <c r="B479">
        <v>2.8281000000000001</v>
      </c>
      <c r="C479">
        <v>8.0015049999999999</v>
      </c>
      <c r="D479">
        <v>0.57735300000000001</v>
      </c>
      <c r="E479">
        <f>LN(D479/参数实验室!$E$53)/参数实验室!$E$55</f>
        <v>-1.3410084195323331</v>
      </c>
      <c r="F479">
        <f t="shared" si="18"/>
        <v>2.8292864467310208</v>
      </c>
      <c r="G479">
        <f>LN(F479/参数实验室!$E$58)/参数实验室!$E$59</f>
        <v>0.35533106054125724</v>
      </c>
      <c r="H479" s="856">
        <f>INDEX(神经网络!$G$10:$BO$70,MATCH(ROUND(G479*2,1)/2,神经网络!$E$10:$E$70,0),MATCH(ROUND(E479*2,1)/2,神经网络!$G$8:$BO$8,0))</f>
        <v>0.11088402614858407</v>
      </c>
      <c r="I479">
        <f t="shared" si="20"/>
        <v>1.039561158825461</v>
      </c>
      <c r="J479">
        <f t="shared" si="21"/>
        <v>1.1284864929571845</v>
      </c>
      <c r="K479">
        <f t="shared" si="22"/>
        <v>0.92119946965541799</v>
      </c>
      <c r="L479" s="4">
        <f>MIN(MAX(L478*(1+MAX(MIN(((B479-B478)/B478)/($K$7*卓尔金历!$N$40),0),-卓尔金历!$M$43))+MIN(MAX(((B479-B478)/B478)/($K$7*卓尔金历!$N$40),0),卓尔金历!$M$43),0),1)</f>
        <v>0.18647647697851222</v>
      </c>
      <c r="M479" s="4">
        <f>MIN(MAX(M478*(1+MAX(MIN(((B479-B478)/B478)/($K$7*30),0),-卓尔金历!$M$43))+MIN(MAX(((B479-B478)/B478)/($K$7*7),0),卓尔金历!$M$43),0),1)</f>
        <v>0.6121217653963309</v>
      </c>
      <c r="N479">
        <f t="shared" si="25"/>
        <v>1.0243155614743429</v>
      </c>
      <c r="O479">
        <f t="shared" si="23"/>
        <v>1.0349755994967642</v>
      </c>
      <c r="P479">
        <f t="shared" si="24"/>
        <v>1.2204724409448826E-2</v>
      </c>
      <c r="Q479" s="800">
        <v>0</v>
      </c>
      <c r="R479" s="800">
        <v>0</v>
      </c>
      <c r="S479">
        <f t="shared" si="19"/>
        <v>1</v>
      </c>
      <c r="T479" s="564">
        <f>IF((I479-MAX(I$470:I479))/MAX(I$470:I479)&gt;T478,T478,(I479-MAX(I$470:I479))/MAX(I$470:I479))</f>
        <v>-4.0667090565227456E-3</v>
      </c>
      <c r="U479" s="564">
        <f>IF((J479-MAX(J$470:J479))/MAX(J$470:J479)&gt;U478,U478,(J479-MAX(J$470:J479))/MAX(J$470:J479))</f>
        <v>-0.10307855285544605</v>
      </c>
      <c r="V479" s="564">
        <f>IF((K479-MAX(K$470:K479))/MAX(K$470:K479)&gt;V478,V478,(K479-MAX(K$470:K479))/MAX(K$470:K479))</f>
        <v>-0.17061672860057656</v>
      </c>
      <c r="W479" s="564">
        <f>IF((N479-MAX(N$470:N479))/MAX(N$470:N479)&gt;W478,W478,(N479-MAX(N$470:N479))/MAX(N$470:N479))</f>
        <v>-4.0667090565226442E-3</v>
      </c>
      <c r="X479" s="564">
        <f>IF((O479-MAX(O$470:O479))/MAX(O$470:O479)&gt;X478,X478,(O479-MAX(O$470:O479))/MAX(O$470:O479))</f>
        <v>-4.0667090565226355E-3</v>
      </c>
    </row>
    <row r="480" spans="1:24">
      <c r="A480" s="799">
        <v>40882</v>
      </c>
      <c r="B480">
        <v>2.8797999999999999</v>
      </c>
      <c r="C480">
        <v>7.9606050000000002</v>
      </c>
      <c r="D480">
        <v>0.58900799999999998</v>
      </c>
      <c r="E480">
        <f>LN(D480/参数实验室!$E$53)/参数实验室!$E$55</f>
        <v>-1.3174299875655171</v>
      </c>
      <c r="F480">
        <f t="shared" si="18"/>
        <v>2.7642909229807628</v>
      </c>
      <c r="G480">
        <f>LN(F480/参数实验室!$E$58)/参数实验室!$E$59</f>
        <v>0.34313324988281524</v>
      </c>
      <c r="H480" s="856">
        <f>INDEX(神经网络!$G$10:$BO$70,MATCH(ROUND(G480*2,1)/2,神经网络!$E$10:$E$70,0),MATCH(ROUND(E480*2,1)/2,神经网络!$G$8:$BO$8,0))</f>
        <v>0.1099741479418568</v>
      </c>
      <c r="I480">
        <f t="shared" si="20"/>
        <v>1.0416684027600225</v>
      </c>
      <c r="J480">
        <f t="shared" si="21"/>
        <v>1.1491161565779497</v>
      </c>
      <c r="K480">
        <f t="shared" si="22"/>
        <v>0.90649530667299549</v>
      </c>
      <c r="L480" s="4">
        <f>MIN(MAX(L479*(1+MAX(MIN(((B480-B479)/B479)/($K$7*卓尔金历!$N$40),0),-卓尔金历!$M$43))+MIN(MAX(((B480-B479)/B479)/($K$7*卓尔金历!$N$40),0),卓尔金历!$M$43),0),1)</f>
        <v>0.46578993379454608</v>
      </c>
      <c r="M480" s="4">
        <f>MIN(MAX(M479*(1+MAX(MIN(((B480-B479)/B479)/($K$7*30),0),-卓尔金历!$M$43))+MIN(MAX(((B480-B479)/B479)/($K$7*7),0),卓尔金历!$M$43),0),1)</f>
        <v>1</v>
      </c>
      <c r="N480">
        <f t="shared" si="25"/>
        <v>1.0247027501030892</v>
      </c>
      <c r="O480">
        <f t="shared" si="23"/>
        <v>1.0362597996015448</v>
      </c>
      <c r="P480">
        <f t="shared" si="24"/>
        <v>1.8280824581874706E-2</v>
      </c>
      <c r="Q480" s="800">
        <v>0</v>
      </c>
      <c r="R480" s="800">
        <v>0</v>
      </c>
      <c r="S480">
        <f t="shared" si="19"/>
        <v>1</v>
      </c>
      <c r="T480" s="564">
        <f>IF((I480-MAX(I$470:I480))/MAX(I$470:I480)&gt;T479,T479,(I480-MAX(I$470:I480))/MAX(I$470:I480))</f>
        <v>-4.0667090565227456E-3</v>
      </c>
      <c r="U480" s="564">
        <f>IF((J480-MAX(J$470:J480))/MAX(J$470:J480)&gt;U479,U479,(J480-MAX(J$470:J480))/MAX(J$470:J480))</f>
        <v>-0.10307855285544605</v>
      </c>
      <c r="V480" s="564">
        <f>IF((K480-MAX(K$470:K480))/MAX(K$470:K480)&gt;V479,V479,(K480-MAX(K$470:K480))/MAX(K$470:K480))</f>
        <v>-0.17061672860057656</v>
      </c>
      <c r="W480" s="564">
        <f>IF((N480-MAX(N$470:N480))/MAX(N$470:N480)&gt;W479,W479,(N480-MAX(N$470:N480))/MAX(N$470:N480))</f>
        <v>-4.0667090565226442E-3</v>
      </c>
      <c r="X480" s="564">
        <f>IF((O480-MAX(O$470:O480))/MAX(O$470:O480)&gt;X479,X479,(O480-MAX(O$470:O480))/MAX(O$470:O480))</f>
        <v>-4.0667090565226355E-3</v>
      </c>
    </row>
    <row r="481" spans="1:24">
      <c r="A481" s="799">
        <v>40883</v>
      </c>
      <c r="B481">
        <v>3.03</v>
      </c>
      <c r="C481">
        <v>7.838082</v>
      </c>
      <c r="D481">
        <v>0.61911799999999995</v>
      </c>
      <c r="E481">
        <f>LN(D481/参数实验室!$E$53)/参数实验室!$E$55</f>
        <v>-1.258612069840789</v>
      </c>
      <c r="F481">
        <f t="shared" si="18"/>
        <v>2.5868257425742578</v>
      </c>
      <c r="G481">
        <f>LN(F481/参数实验室!$E$58)/参数实验室!$E$59</f>
        <v>0.30830781286590542</v>
      </c>
      <c r="H481" s="856">
        <f>INDEX(神经网络!$G$10:$BO$70,MATCH(ROUND(G481*2,1)/2,神经网络!$E$10:$E$70,0),MATCH(ROUND(E481*2,1)/2,神经网络!$G$8:$BO$8,0))</f>
        <v>3.9452523768214988E-2</v>
      </c>
      <c r="I481">
        <f t="shared" si="20"/>
        <v>1.0476432623244816</v>
      </c>
      <c r="J481">
        <f t="shared" si="21"/>
        <v>1.2090499181995928</v>
      </c>
      <c r="K481">
        <f t="shared" si="22"/>
        <v>0.86650124742949952</v>
      </c>
      <c r="L481" s="4">
        <f>MIN(MAX(L480*(1+MAX(MIN(((B481-B480)/B480)/($K$7*卓尔金历!$N$40),0),-卓尔金历!$M$43))+MIN(MAX(((B481-B480)/B480)/($K$7*卓尔金历!$N$40),0),卓尔金历!$M$43),0),1)</f>
        <v>1</v>
      </c>
      <c r="M481" s="4">
        <f>MIN(MAX(M480*(1+MAX(MIN(((B481-B480)/B480)/($K$7*30),0),-卓尔金历!$M$43))+MIN(MAX(((B481-B480)/B480)/($K$7*7),0),卓尔金历!$M$43),0),1)</f>
        <v>1</v>
      </c>
      <c r="N481">
        <f t="shared" si="25"/>
        <v>1.0274404523451988</v>
      </c>
      <c r="O481">
        <f t="shared" si="23"/>
        <v>1.0422036361991689</v>
      </c>
      <c r="P481">
        <f t="shared" si="24"/>
        <v>5.2156399749982603E-2</v>
      </c>
      <c r="Q481" s="800">
        <v>0</v>
      </c>
      <c r="R481" s="800">
        <v>0</v>
      </c>
      <c r="S481">
        <f t="shared" si="19"/>
        <v>1</v>
      </c>
      <c r="T481" s="564">
        <f>IF((I481-MAX(I$470:I481))/MAX(I$470:I481)&gt;T480,T480,(I481-MAX(I$470:I481))/MAX(I$470:I481))</f>
        <v>-4.0667090565227456E-3</v>
      </c>
      <c r="U481" s="564">
        <f>IF((J481-MAX(J$470:J481))/MAX(J$470:J481)&gt;U480,U480,(J481-MAX(J$470:J481))/MAX(J$470:J481))</f>
        <v>-0.10307855285544605</v>
      </c>
      <c r="V481" s="564">
        <f>IF((K481-MAX(K$470:K481))/MAX(K$470:K481)&gt;V480,V480,(K481-MAX(K$470:K481))/MAX(K$470:K481))</f>
        <v>-0.17061672860057656</v>
      </c>
      <c r="W481" s="564">
        <f>IF((N481-MAX(N$470:N481))/MAX(N$470:N481)&gt;W480,W480,(N481-MAX(N$470:N481))/MAX(N$470:N481))</f>
        <v>-4.0667090565226442E-3</v>
      </c>
      <c r="X481" s="564">
        <f>IF((O481-MAX(O$470:O481))/MAX(O$470:O481)&gt;X480,X480,(O481-MAX(O$470:O481))/MAX(O$470:O481))</f>
        <v>-4.0667090565226355E-3</v>
      </c>
    </row>
    <row r="482" spans="1:24">
      <c r="A482" s="799">
        <v>40884</v>
      </c>
      <c r="B482">
        <v>2.99</v>
      </c>
      <c r="C482">
        <v>7.8284260000000003</v>
      </c>
      <c r="D482">
        <v>0.61474399999999996</v>
      </c>
      <c r="E482">
        <f>LN(D482/参数实验室!$E$53)/参数实验室!$E$55</f>
        <v>-1.2669764773761305</v>
      </c>
      <c r="F482">
        <f t="shared" si="18"/>
        <v>2.6182026755852843</v>
      </c>
      <c r="G482">
        <f>LN(F482/参数实验室!$E$58)/参数实验室!$E$59</f>
        <v>0.31463573590997518</v>
      </c>
      <c r="H482" s="856">
        <f>INDEX(神经网络!$G$10:$BO$70,MATCH(ROUND(G482*2,1)/2,神经网络!$E$10:$E$70,0),MATCH(ROUND(E482*2,1)/2,神经网络!$G$8:$BO$8,0))</f>
        <v>3.9452523768214988E-2</v>
      </c>
      <c r="I482">
        <f t="shared" si="20"/>
        <v>1.0470976231072213</v>
      </c>
      <c r="J482">
        <f t="shared" si="21"/>
        <v>1.1930888631738559</v>
      </c>
      <c r="K482">
        <f t="shared" si="22"/>
        <v>0.87763590410334691</v>
      </c>
      <c r="L482" s="4">
        <f>MIN(MAX(L481*(1+MAX(MIN(((B482-B481)/B481)/($K$7*卓尔金历!$N$40),0),-卓尔金历!$M$43))+MIN(MAX(((B482-B481)/B481)/($K$7*卓尔金历!$N$40),0),卓尔金历!$M$43),0),1)</f>
        <v>0.7982964967420777</v>
      </c>
      <c r="M482" s="4">
        <f>MIN(MAX(M481*(1+MAX(MIN(((B482-B481)/B481)/($K$7*30),0),-卓尔金历!$M$43))+MIN(MAX(((B482-B481)/B481)/($K$7*7),0),卓尔金历!$M$43),0),1)</f>
        <v>0.89914824837103891</v>
      </c>
      <c r="N482">
        <f t="shared" si="25"/>
        <v>1.0269053352644519</v>
      </c>
      <c r="O482">
        <f t="shared" si="23"/>
        <v>1.0416608300773409</v>
      </c>
      <c r="P482">
        <f t="shared" si="24"/>
        <v>-1.3201320132013068E-2</v>
      </c>
      <c r="Q482" s="800">
        <v>0</v>
      </c>
      <c r="R482" s="800">
        <v>0</v>
      </c>
      <c r="S482">
        <f t="shared" si="19"/>
        <v>1</v>
      </c>
      <c r="T482" s="564">
        <f>IF((I482-MAX(I$470:I482))/MAX(I$470:I482)&gt;T481,T481,(I482-MAX(I$470:I482))/MAX(I$470:I482))</f>
        <v>-4.0667090565227456E-3</v>
      </c>
      <c r="U482" s="564">
        <f>IF((J482-MAX(J$470:J482))/MAX(J$470:J482)&gt;U481,U481,(J482-MAX(J$470:J482))/MAX(J$470:J482))</f>
        <v>-0.10307855285544605</v>
      </c>
      <c r="V482" s="564">
        <f>IF((K482-MAX(K$470:K482))/MAX(K$470:K482)&gt;V481,V481,(K482-MAX(K$470:K482))/MAX(K$470:K482))</f>
        <v>-0.17061672860057656</v>
      </c>
      <c r="W482" s="564">
        <f>IF((N482-MAX(N$470:N482))/MAX(N$470:N482)&gt;W481,W481,(N482-MAX(N$470:N482))/MAX(N$470:N482))</f>
        <v>-4.0667090565226442E-3</v>
      </c>
      <c r="X482" s="564">
        <f>IF((O482-MAX(O$470:O482))/MAX(O$470:O482)&gt;X481,X481,(O482-MAX(O$470:O482))/MAX(O$470:O482))</f>
        <v>-4.0667090565226355E-3</v>
      </c>
    </row>
    <row r="483" spans="1:24">
      <c r="A483" s="799">
        <v>40885</v>
      </c>
      <c r="B483">
        <v>2.98</v>
      </c>
      <c r="C483">
        <v>7.7735219999999998</v>
      </c>
      <c r="D483">
        <v>0.61605299999999996</v>
      </c>
      <c r="E483">
        <f>LN(D483/参数实验室!$E$53)/参数实验室!$E$55</f>
        <v>-1.2644670504298203</v>
      </c>
      <c r="F483">
        <f t="shared" si="18"/>
        <v>2.6085644295302015</v>
      </c>
      <c r="G483">
        <f>LN(F483/参数实验室!$E$58)/参数实验室!$E$59</f>
        <v>0.31270005442949783</v>
      </c>
      <c r="H483" s="856">
        <f>INDEX(神经网络!$G$10:$BO$70,MATCH(ROUND(G483*2,1)/2,神经网络!$E$10:$E$70,0),MATCH(ROUND(E483*2,1)/2,神经网络!$G$8:$BO$8,0))</f>
        <v>3.9452523768214988E-2</v>
      </c>
      <c r="I483">
        <f t="shared" si="20"/>
        <v>1.0469594604187153</v>
      </c>
      <c r="J483">
        <f t="shared" si="21"/>
        <v>1.1890985994174215</v>
      </c>
      <c r="K483">
        <f t="shared" si="22"/>
        <v>0.88046479991790016</v>
      </c>
      <c r="L483" s="4">
        <f>MIN(MAX(L482*(1+MAX(MIN(((B483-B482)/B482)/($K$7*卓尔金历!$N$40),0),-卓尔金历!$M$43))+MIN(MAX(((B483-B482)/B482)/($K$7*卓尔金历!$N$40),0),卓尔金历!$M$43),0),1)</f>
        <v>0.75750317098161213</v>
      </c>
      <c r="M483" s="4">
        <f>MIN(MAX(M482*(1+MAX(MIN(((B483-B482)/B482)/($K$7*30),0),-卓尔金历!$M$43))+MIN(MAX(((B483-B482)/B482)/($K$7*7),0),卓尔金历!$M$43),0),1)</f>
        <v>0.87617479956320665</v>
      </c>
      <c r="N483">
        <f t="shared" si="25"/>
        <v>1.0267971674050052</v>
      </c>
      <c r="O483">
        <f t="shared" si="23"/>
        <v>1.0415372463646995</v>
      </c>
      <c r="P483">
        <f t="shared" si="24"/>
        <v>-3.3444816053512477E-3</v>
      </c>
      <c r="Q483" s="800">
        <v>0</v>
      </c>
      <c r="R483" s="800">
        <v>0</v>
      </c>
      <c r="S483">
        <f t="shared" si="19"/>
        <v>1</v>
      </c>
      <c r="T483" s="564">
        <f>IF((I483-MAX(I$470:I483))/MAX(I$470:I483)&gt;T482,T482,(I483-MAX(I$470:I483))/MAX(I$470:I483))</f>
        <v>-4.0667090565227456E-3</v>
      </c>
      <c r="U483" s="564">
        <f>IF((J483-MAX(J$470:J483))/MAX(J$470:J483)&gt;U482,U482,(J483-MAX(J$470:J483))/MAX(J$470:J483))</f>
        <v>-0.10307855285544605</v>
      </c>
      <c r="V483" s="564">
        <f>IF((K483-MAX(K$470:K483))/MAX(K$470:K483)&gt;V482,V482,(K483-MAX(K$470:K483))/MAX(K$470:K483))</f>
        <v>-0.17061672860057656</v>
      </c>
      <c r="W483" s="564">
        <f>IF((N483-MAX(N$470:N483))/MAX(N$470:N483)&gt;W482,W482,(N483-MAX(N$470:N483))/MAX(N$470:N483))</f>
        <v>-4.0667090565226442E-3</v>
      </c>
      <c r="X483" s="564">
        <f>IF((O483-MAX(O$470:O483))/MAX(O$470:O483)&gt;X482,X482,(O483-MAX(O$470:O483))/MAX(O$470:O483))</f>
        <v>-4.0667090565226355E-3</v>
      </c>
    </row>
    <row r="484" spans="1:24">
      <c r="A484" s="799">
        <v>40886</v>
      </c>
      <c r="B484">
        <v>2.97</v>
      </c>
      <c r="C484">
        <v>7.8764459999999996</v>
      </c>
      <c r="D484">
        <v>0.60914900000000005</v>
      </c>
      <c r="E484">
        <f>LN(D484/参数实验室!$E$53)/参数实验室!$E$55</f>
        <v>-1.2777629846641336</v>
      </c>
      <c r="F484">
        <f t="shared" si="18"/>
        <v>2.65200202020202</v>
      </c>
      <c r="G484">
        <f>LN(F484/参数实验室!$E$58)/参数实验室!$E$59</f>
        <v>0.32136790929557307</v>
      </c>
      <c r="H484" s="856">
        <f>INDEX(神经网络!$G$10:$BO$70,MATCH(ROUND(G484*2,1)/2,神经网络!$E$10:$E$70,0),MATCH(ROUND(E484*2,1)/2,神经网络!$G$8:$BO$8,0))</f>
        <v>3.8729255680282765E-2</v>
      </c>
      <c r="I484">
        <f t="shared" si="20"/>
        <v>1.0468208523885256</v>
      </c>
      <c r="J484">
        <f t="shared" si="21"/>
        <v>1.1851083356609873</v>
      </c>
      <c r="K484">
        <f t="shared" si="22"/>
        <v>0.88331236975450633</v>
      </c>
      <c r="L484" s="4">
        <f>MIN(MAX(L483*(1+MAX(MIN(((B484-B483)/B483)/($K$7*卓尔金历!$N$40),0),-卓尔金历!$M$43))+MIN(MAX(((B484-B483)/B483)/($K$7*卓尔金历!$N$40),0),卓尔金历!$M$43),0),1)</f>
        <v>0.71866450812528648</v>
      </c>
      <c r="M484" s="4">
        <f>MIN(MAX(M483*(1+MAX(MIN(((B484-B483)/B483)/($K$7*30),0),-卓尔金历!$M$43))+MIN(MAX(((B484-B483)/B483)/($K$7*7),0),卓尔金历!$M$43),0),1)</f>
        <v>0.85371320537651374</v>
      </c>
      <c r="N484">
        <f t="shared" si="25"/>
        <v>1.0266941933907696</v>
      </c>
      <c r="O484">
        <f t="shared" si="23"/>
        <v>1.0414164304658529</v>
      </c>
      <c r="P484">
        <f t="shared" si="24"/>
        <v>-3.3557046979865056E-3</v>
      </c>
      <c r="Q484" s="800">
        <v>0</v>
      </c>
      <c r="R484" s="800">
        <v>0</v>
      </c>
      <c r="S484">
        <f t="shared" si="19"/>
        <v>1</v>
      </c>
      <c r="T484" s="564">
        <f>IF((I484-MAX(I$470:I484))/MAX(I$470:I484)&gt;T483,T483,(I484-MAX(I$470:I484))/MAX(I$470:I484))</f>
        <v>-4.0667090565227456E-3</v>
      </c>
      <c r="U484" s="564">
        <f>IF((J484-MAX(J$470:J484))/MAX(J$470:J484)&gt;U483,U483,(J484-MAX(J$470:J484))/MAX(J$470:J484))</f>
        <v>-0.10307855285544605</v>
      </c>
      <c r="V484" s="564">
        <f>IF((K484-MAX(K$470:K484))/MAX(K$470:K484)&gt;V483,V483,(K484-MAX(K$470:K484))/MAX(K$470:K484))</f>
        <v>-0.17061672860057656</v>
      </c>
      <c r="W484" s="564">
        <f>IF((N484-MAX(N$470:N484))/MAX(N$470:N484)&gt;W483,W483,(N484-MAX(N$470:N484))/MAX(N$470:N484))</f>
        <v>-4.0667090565226442E-3</v>
      </c>
      <c r="X484" s="564">
        <f>IF((O484-MAX(O$470:O484))/MAX(O$470:O484)&gt;X483,X483,(O484-MAX(O$470:O484))/MAX(O$470:O484))</f>
        <v>-4.0667090565226355E-3</v>
      </c>
    </row>
    <row r="485" spans="1:24">
      <c r="A485" s="799">
        <v>40887</v>
      </c>
      <c r="B485">
        <v>3.05</v>
      </c>
      <c r="C485">
        <v>7.8845219999999996</v>
      </c>
      <c r="D485">
        <v>0.63235399999999997</v>
      </c>
      <c r="E485">
        <f>LN(D485/参数实验室!$E$53)/参数实验室!$E$55</f>
        <v>-1.2336561839547544</v>
      </c>
      <c r="F485">
        <f t="shared" si="18"/>
        <v>2.5850891803278691</v>
      </c>
      <c r="G485">
        <f>LN(F485/参数实验室!$E$58)/参数实验室!$E$59</f>
        <v>0.30795535472847707</v>
      </c>
      <c r="H485" s="856">
        <f>INDEX(神经网络!$G$10:$BO$70,MATCH(ROUND(G485*2,1)/2,神经网络!$E$10:$E$70,0),MATCH(ROUND(E485*2,1)/2,神经网络!$G$8:$BO$8,0))</f>
        <v>3.9452523768214988E-2</v>
      </c>
      <c r="I485">
        <f t="shared" si="20"/>
        <v>1.0479129087506429</v>
      </c>
      <c r="J485">
        <f t="shared" si="21"/>
        <v>1.2170304457124614</v>
      </c>
      <c r="K485">
        <f t="shared" si="22"/>
        <v>0.86104083299015954</v>
      </c>
      <c r="L485" s="4">
        <f>MIN(MAX(L484*(1+MAX(MIN(((B485-B484)/B484)/($K$7*卓尔金历!$N$40),0),-卓尔金历!$M$43))+MIN(MAX(((B485-B484)/B484)/($K$7*卓尔金历!$N$40),0),卓尔金历!$M$43),0),1)</f>
        <v>1</v>
      </c>
      <c r="M485" s="4">
        <f>MIN(MAX(M484*(1+MAX(MIN(((B485-B484)/B484)/($K$7*30),0),-卓尔金历!$M$43))+MIN(MAX(((B485-B484)/B484)/($K$7*7),0),卓尔金历!$M$43),0),1)</f>
        <v>1</v>
      </c>
      <c r="N485">
        <f t="shared" si="25"/>
        <v>1.0274639261876397</v>
      </c>
      <c r="O485">
        <f t="shared" si="23"/>
        <v>1.042343920202915</v>
      </c>
      <c r="P485">
        <f t="shared" si="24"/>
        <v>2.693602693602681E-2</v>
      </c>
      <c r="Q485" s="800">
        <v>0</v>
      </c>
      <c r="R485" s="800">
        <v>0</v>
      </c>
      <c r="S485">
        <f t="shared" si="19"/>
        <v>1</v>
      </c>
      <c r="T485" s="564">
        <f>IF((I485-MAX(I$470:I485))/MAX(I$470:I485)&gt;T484,T484,(I485-MAX(I$470:I485))/MAX(I$470:I485))</f>
        <v>-4.0667090565227456E-3</v>
      </c>
      <c r="U485" s="564">
        <f>IF((J485-MAX(J$470:J485))/MAX(J$470:J485)&gt;U484,U484,(J485-MAX(J$470:J485))/MAX(J$470:J485))</f>
        <v>-0.10307855285544605</v>
      </c>
      <c r="V485" s="564">
        <f>IF((K485-MAX(K$470:K485))/MAX(K$470:K485)&gt;V484,V484,(K485-MAX(K$470:K485))/MAX(K$470:K485))</f>
        <v>-0.17061672860057656</v>
      </c>
      <c r="W485" s="564">
        <f>IF((N485-MAX(N$470:N485))/MAX(N$470:N485)&gt;W484,W484,(N485-MAX(N$470:N485))/MAX(N$470:N485))</f>
        <v>-4.0667090565226442E-3</v>
      </c>
      <c r="X485" s="564">
        <f>IF((O485-MAX(O$470:O485))/MAX(O$470:O485)&gt;X484,X484,(O485-MAX(O$470:O485))/MAX(O$470:O485))</f>
        <v>-4.0667090565226355E-3</v>
      </c>
    </row>
    <row r="486" spans="1:24">
      <c r="A486" s="799">
        <v>40888</v>
      </c>
      <c r="B486">
        <v>3.2511000000000001</v>
      </c>
      <c r="C486">
        <v>7.728332</v>
      </c>
      <c r="D486">
        <v>0.66826399999999997</v>
      </c>
      <c r="E486">
        <f>LN(D486/参数实验室!$E$53)/参数实验室!$E$55</f>
        <v>-1.1684937627340417</v>
      </c>
      <c r="F486">
        <f t="shared" si="18"/>
        <v>2.3771437359662881</v>
      </c>
      <c r="G486">
        <f>LN(F486/参数实验室!$E$58)/参数实验室!$E$59</f>
        <v>0.26394091071956516</v>
      </c>
      <c r="H486" s="856">
        <f>INDEX(神经网络!$G$10:$BO$70,MATCH(ROUND(G486*2,1)/2,神经网络!$E$10:$E$70,0),MATCH(ROUND(E486*2,1)/2,神经网络!$G$8:$BO$8,0))</f>
        <v>-2.0180315852755593E-2</v>
      </c>
      <c r="I486">
        <f t="shared" si="20"/>
        <v>1.0506388231367854</v>
      </c>
      <c r="J486">
        <f t="shared" si="21"/>
        <v>1.2972746498543553</v>
      </c>
      <c r="K486">
        <f t="shared" si="22"/>
        <v>0.80988156459755101</v>
      </c>
      <c r="L486" s="4">
        <f>MIN(MAX(L485*(1+MAX(MIN(((B486-B485)/B485)/($K$7*卓尔金历!$N$40),0),-卓尔金历!$M$43))+MIN(MAX(((B486-B485)/B485)/($K$7*卓尔金历!$N$40),0),卓尔金历!$M$43),0),1)</f>
        <v>1</v>
      </c>
      <c r="M486" s="4">
        <f>MIN(MAX(M485*(1+MAX(MIN(((B486-B485)/B485)/($K$7*30),0),-卓尔金历!$M$43))+MIN(MAX(((B486-B485)/B485)/($K$7*7),0),卓尔金历!$M$43),0),1)</f>
        <v>1</v>
      </c>
      <c r="N486">
        <f t="shared" si="25"/>
        <v>1.0301366470542779</v>
      </c>
      <c r="O486">
        <f t="shared" si="23"/>
        <v>1.0450553480932123</v>
      </c>
      <c r="P486">
        <f t="shared" si="24"/>
        <v>6.5934426229508292E-2</v>
      </c>
      <c r="Q486" s="800">
        <v>0</v>
      </c>
      <c r="R486" s="800">
        <v>0</v>
      </c>
      <c r="S486">
        <f t="shared" si="19"/>
        <v>1</v>
      </c>
      <c r="T486" s="564">
        <f>IF((I486-MAX(I$470:I486))/MAX(I$470:I486)&gt;T485,T485,(I486-MAX(I$470:I486))/MAX(I$470:I486))</f>
        <v>-4.0667090565227456E-3</v>
      </c>
      <c r="U486" s="564">
        <f>IF((J486-MAX(J$470:J486))/MAX(J$470:J486)&gt;U485,U485,(J486-MAX(J$470:J486))/MAX(J$470:J486))</f>
        <v>-0.10307855285544605</v>
      </c>
      <c r="V486" s="564">
        <f>IF((K486-MAX(K$470:K486))/MAX(K$470:K486)&gt;V485,V485,(K486-MAX(K$470:K486))/MAX(K$470:K486))</f>
        <v>-0.19902691390352167</v>
      </c>
      <c r="W486" s="564">
        <f>IF((N486-MAX(N$470:N486))/MAX(N$470:N486)&gt;W485,W485,(N486-MAX(N$470:N486))/MAX(N$470:N486))</f>
        <v>-4.0667090565226442E-3</v>
      </c>
      <c r="X486" s="564">
        <f>IF((O486-MAX(O$470:O486))/MAX(O$470:O486)&gt;X485,X485,(O486-MAX(O$470:O486))/MAX(O$470:O486))</f>
        <v>-4.0667090565226355E-3</v>
      </c>
    </row>
    <row r="487" spans="1:24">
      <c r="A487" s="799">
        <v>40889</v>
      </c>
      <c r="B487">
        <v>3.1349999999999998</v>
      </c>
      <c r="C487">
        <v>7.8378249999999996</v>
      </c>
      <c r="D487">
        <v>0.65547500000000003</v>
      </c>
      <c r="E487">
        <f>LN(D487/参数实验室!$E$53)/参数实验室!$E$55</f>
        <v>-1.1912903014745402</v>
      </c>
      <c r="F487">
        <f t="shared" si="18"/>
        <v>2.5001036682615632</v>
      </c>
      <c r="G487">
        <f>LN(F487/参数实验室!$E$58)/参数实验室!$E$59</f>
        <v>0.29041063444020554</v>
      </c>
      <c r="H487" s="856">
        <f>INDEX(神经网络!$G$10:$BO$70,MATCH(ROUND(G487*2,1)/2,神经网络!$E$10:$E$70,0),MATCH(ROUND(E487*2,1)/2,神经网络!$G$8:$BO$8,0))</f>
        <v>3.9981624306490812E-2</v>
      </c>
      <c r="I487">
        <f t="shared" si="20"/>
        <v>1.0513959755236408</v>
      </c>
      <c r="J487">
        <f t="shared" si="21"/>
        <v>1.2509476876421528</v>
      </c>
      <c r="K487">
        <f t="shared" si="22"/>
        <v>0.84047957073677737</v>
      </c>
      <c r="L487" s="4">
        <f>MIN(MAX(L486*(1+MAX(MIN(((B487-B486)/B486)/($K$7*卓尔金历!$N$40),0),-卓尔金历!$M$43))+MIN(MAX(((B487-B486)/B486)/($K$7*卓尔金历!$N$40),0),卓尔金历!$M$43),0),1)</f>
        <v>0.45437034014193212</v>
      </c>
      <c r="M487" s="4">
        <f>MIN(MAX(M486*(1+MAX(MIN(((B487-B486)/B486)/($K$7*30),0),-卓尔金历!$M$43))+MIN(MAX(((B487-B486)/B486)/($K$7*7),0),卓尔金历!$M$43),0),1)</f>
        <v>0.72718517007096606</v>
      </c>
      <c r="N487">
        <f t="shared" si="25"/>
        <v>1.0308790243621864</v>
      </c>
      <c r="O487">
        <f t="shared" si="23"/>
        <v>1.0458084766981905</v>
      </c>
      <c r="P487">
        <f t="shared" si="24"/>
        <v>-3.5710990126418846E-2</v>
      </c>
      <c r="Q487" s="800">
        <v>0</v>
      </c>
      <c r="R487" s="800">
        <v>0</v>
      </c>
      <c r="S487">
        <f t="shared" si="19"/>
        <v>1</v>
      </c>
      <c r="T487" s="564">
        <f>IF((I487-MAX(I$470:I487))/MAX(I$470:I487)&gt;T486,T486,(I487-MAX(I$470:I487))/MAX(I$470:I487))</f>
        <v>-4.0667090565227456E-3</v>
      </c>
      <c r="U487" s="564">
        <f>IF((J487-MAX(J$470:J487))/MAX(J$470:J487)&gt;U486,U486,(J487-MAX(J$470:J487))/MAX(J$470:J487))</f>
        <v>-0.10307855285544605</v>
      </c>
      <c r="V487" s="564">
        <f>IF((K487-MAX(K$470:K487))/MAX(K$470:K487)&gt;V486,V486,(K487-MAX(K$470:K487))/MAX(K$470:K487))</f>
        <v>-0.19902691390352167</v>
      </c>
      <c r="W487" s="564">
        <f>IF((N487-MAX(N$470:N487))/MAX(N$470:N487)&gt;W486,W486,(N487-MAX(N$470:N487))/MAX(N$470:N487))</f>
        <v>-4.0667090565226442E-3</v>
      </c>
      <c r="X487" s="564">
        <f>IF((O487-MAX(O$470:O487))/MAX(O$470:O487)&gt;X486,X486,(O487-MAX(O$470:O487))/MAX(O$470:O487))</f>
        <v>-4.0667090565226355E-3</v>
      </c>
    </row>
    <row r="488" spans="1:24">
      <c r="A488" s="799">
        <v>40890</v>
      </c>
      <c r="B488">
        <v>3.2498999999999998</v>
      </c>
      <c r="C488">
        <v>7.92753</v>
      </c>
      <c r="D488">
        <v>0.666605</v>
      </c>
      <c r="E488">
        <f>LN(D488/参数实验室!$E$53)/参数实验室!$E$55</f>
        <v>-1.1714262027554252</v>
      </c>
      <c r="F488">
        <f t="shared" si="18"/>
        <v>2.4393150558478722</v>
      </c>
      <c r="G488">
        <f>LN(F488/参数实验室!$E$58)/参数实验室!$E$59</f>
        <v>0.27749139770705961</v>
      </c>
      <c r="H488" s="856">
        <f>INDEX(神经网络!$G$10:$BO$70,MATCH(ROUND(G488*2,1)/2,神经网络!$E$10:$E$70,0),MATCH(ROUND(E488*2,1)/2,神经网络!$G$8:$BO$8,0))</f>
        <v>4.0472188068774791E-2</v>
      </c>
      <c r="I488">
        <f t="shared" si="20"/>
        <v>1.0529366441107371</v>
      </c>
      <c r="J488">
        <f t="shared" si="21"/>
        <v>1.296795818203583</v>
      </c>
      <c r="K488">
        <f t="shared" si="22"/>
        <v>0.8119525289411732</v>
      </c>
      <c r="L488" s="4">
        <f>MIN(MAX(L487*(1+MAX(MIN(((B488-B487)/B487)/($K$7*卓尔金历!$N$40),0),-卓尔金历!$M$43))+MIN(MAX(((B488-B487)/B487)/($K$7*卓尔金历!$N$40),0),卓尔金历!$M$43),0),1)</f>
        <v>1</v>
      </c>
      <c r="M488" s="4">
        <f>MIN(MAX(M487*(1+MAX(MIN(((B488-B487)/B487)/($K$7*30),0),-卓尔金历!$M$43))+MIN(MAX(((B488-B487)/B487)/($K$7*7),0),卓尔金历!$M$43),0),1)</f>
        <v>1</v>
      </c>
      <c r="N488">
        <f t="shared" si="25"/>
        <v>1.0315653979998081</v>
      </c>
      <c r="O488">
        <f t="shared" si="23"/>
        <v>1.0469228740940812</v>
      </c>
      <c r="P488">
        <f t="shared" si="24"/>
        <v>3.6650717703349288E-2</v>
      </c>
      <c r="Q488" s="800">
        <v>0</v>
      </c>
      <c r="R488" s="800">
        <v>0</v>
      </c>
      <c r="S488">
        <f t="shared" si="19"/>
        <v>1</v>
      </c>
      <c r="T488" s="564">
        <f>IF((I488-MAX(I$470:I488))/MAX(I$470:I488)&gt;T487,T487,(I488-MAX(I$470:I488))/MAX(I$470:I488))</f>
        <v>-4.0667090565227456E-3</v>
      </c>
      <c r="U488" s="564">
        <f>IF((J488-MAX(J$470:J488))/MAX(J$470:J488)&gt;U487,U487,(J488-MAX(J$470:J488))/MAX(J$470:J488))</f>
        <v>-0.10307855285544605</v>
      </c>
      <c r="V488" s="564">
        <f>IF((K488-MAX(K$470:K488))/MAX(K$470:K488)&gt;V487,V487,(K488-MAX(K$470:K488))/MAX(K$470:K488))</f>
        <v>-0.19902691390352167</v>
      </c>
      <c r="W488" s="564">
        <f>IF((N488-MAX(N$470:N488))/MAX(N$470:N488)&gt;W487,W487,(N488-MAX(N$470:N488))/MAX(N$470:N488))</f>
        <v>-4.0667090565226442E-3</v>
      </c>
      <c r="X488" s="564">
        <f>IF((O488-MAX(O$470:O488))/MAX(O$470:O488)&gt;X487,X487,(O488-MAX(O$470:O488))/MAX(O$470:O488))</f>
        <v>-4.0667090565226355E-3</v>
      </c>
    </row>
    <row r="489" spans="1:24">
      <c r="A489" s="799">
        <v>40891</v>
      </c>
      <c r="B489">
        <v>3.15</v>
      </c>
      <c r="C489">
        <v>7.8979100000000004</v>
      </c>
      <c r="D489">
        <v>0.650146</v>
      </c>
      <c r="E489">
        <f>LN(D489/参数实验室!$E$53)/参数实验室!$E$55</f>
        <v>-1.200920875660042</v>
      </c>
      <c r="F489">
        <f t="shared" si="18"/>
        <v>2.5072730158730159</v>
      </c>
      <c r="G489">
        <f>LN(F489/参数实验室!$E$58)/参数实验室!$E$59</f>
        <v>0.2919135625755116</v>
      </c>
      <c r="H489" s="856">
        <f>INDEX(神经网络!$G$10:$BO$70,MATCH(ROUND(G489*2,1)/2,神经网络!$E$10:$E$70,0),MATCH(ROUND(E489*2,1)/2,神经网络!$G$8:$BO$8,0))</f>
        <v>3.9981624306490812E-2</v>
      </c>
      <c r="I489">
        <f t="shared" si="20"/>
        <v>1.0516266950281479</v>
      </c>
      <c r="J489">
        <f t="shared" si="21"/>
        <v>1.2569330832768044</v>
      </c>
      <c r="K489">
        <f t="shared" si="22"/>
        <v>0.83666084457461642</v>
      </c>
      <c r="L489" s="4">
        <f>MIN(MAX(L488*(1+MAX(MIN(((B489-B488)/B488)/($K$7*卓尔金历!$N$40),0),-卓尔金历!$M$43))+MIN(MAX(((B489-B488)/B488)/($K$7*卓尔金历!$N$40),0),卓尔金历!$M$43),0),1)</f>
        <v>0.53033135384424246</v>
      </c>
      <c r="M489" s="4">
        <f>MIN(MAX(M488*(1+MAX(MIN(((B489-B488)/B488)/($K$7*30),0),-卓尔金历!$M$43))+MIN(MAX(((B489-B488)/B488)/($K$7*7),0),卓尔金历!$M$43),0),1)</f>
        <v>0.76516567692212123</v>
      </c>
      <c r="N489">
        <f t="shared" si="25"/>
        <v>1.0302820366937895</v>
      </c>
      <c r="O489">
        <f t="shared" si="23"/>
        <v>1.0456204066891031</v>
      </c>
      <c r="P489">
        <f t="shared" si="24"/>
        <v>-3.0739407366380467E-2</v>
      </c>
      <c r="Q489" s="800">
        <v>0</v>
      </c>
      <c r="R489" s="800">
        <v>0</v>
      </c>
      <c r="S489">
        <f t="shared" si="19"/>
        <v>1</v>
      </c>
      <c r="T489" s="564">
        <f>IF((I489-MAX(I$470:I489))/MAX(I$470:I489)&gt;T488,T488,(I489-MAX(I$470:I489))/MAX(I$470:I489))</f>
        <v>-4.0667090565227456E-3</v>
      </c>
      <c r="U489" s="564">
        <f>IF((J489-MAX(J$470:J489))/MAX(J$470:J489)&gt;U488,U488,(J489-MAX(J$470:J489))/MAX(J$470:J489))</f>
        <v>-0.10307855285544605</v>
      </c>
      <c r="V489" s="564">
        <f>IF((K489-MAX(K$470:K489))/MAX(K$470:K489)&gt;V488,V488,(K489-MAX(K$470:K489))/MAX(K$470:K489))</f>
        <v>-0.19902691390352167</v>
      </c>
      <c r="W489" s="564">
        <f>IF((N489-MAX(N$470:N489))/MAX(N$470:N489)&gt;W488,W488,(N489-MAX(N$470:N489))/MAX(N$470:N489))</f>
        <v>-4.0667090565226442E-3</v>
      </c>
      <c r="X489" s="564">
        <f>IF((O489-MAX(O$470:O489))/MAX(O$470:O489)&gt;X488,X488,(O489-MAX(O$470:O489))/MAX(O$470:O489))</f>
        <v>-4.0667090565226355E-3</v>
      </c>
    </row>
    <row r="490" spans="1:24">
      <c r="A490" s="799">
        <v>40892</v>
      </c>
      <c r="B490">
        <v>3.2</v>
      </c>
      <c r="C490">
        <v>8.2216199999999997</v>
      </c>
      <c r="D490">
        <v>0.66004399999999996</v>
      </c>
      <c r="E490">
        <f>LN(D490/参数实验室!$E$53)/参数实验室!$E$55</f>
        <v>-1.1830953392643857</v>
      </c>
      <c r="F490">
        <f t="shared" si="18"/>
        <v>2.5692562499999996</v>
      </c>
      <c r="G490">
        <f>LN(F490/参数实验室!$E$58)/参数实验室!$E$59</f>
        <v>0.30473088956765615</v>
      </c>
      <c r="H490" s="856">
        <f>INDEX(神经网络!$G$10:$BO$70,MATCH(ROUND(G490*2,1)/2,神经网络!$E$10:$E$70,0),MATCH(ROUND(E490*2,1)/2,神经网络!$G$8:$BO$8,0))</f>
        <v>3.9981624306490812E-2</v>
      </c>
      <c r="I490">
        <f t="shared" si="20"/>
        <v>1.0522940877810254</v>
      </c>
      <c r="J490">
        <f t="shared" si="21"/>
        <v>1.276884402058976</v>
      </c>
      <c r="K490">
        <f t="shared" si="22"/>
        <v>0.82411069168375872</v>
      </c>
      <c r="L490" s="4">
        <f>MIN(MAX(L489*(1+MAX(MIN(((B490-B489)/B489)/($K$7*卓尔金历!$N$40),0),-卓尔金历!$M$43))+MIN(MAX(((B490-B489)/B489)/($K$7*卓尔金历!$N$40),0),卓尔金历!$M$43),0),1)</f>
        <v>0.77285580419008137</v>
      </c>
      <c r="M490" s="4">
        <f>MIN(MAX(M489*(1+MAX(MIN(((B490-B489)/B489)/($K$7*30),0),-卓尔金历!$M$43))+MIN(MAX(((B490-B489)/B489)/($K$7*7),0),卓尔金历!$M$43),0),1)</f>
        <v>1</v>
      </c>
      <c r="N490">
        <f t="shared" si="25"/>
        <v>1.0306287921601918</v>
      </c>
      <c r="O490">
        <f t="shared" si="23"/>
        <v>1.0461281560852633</v>
      </c>
      <c r="P490">
        <f t="shared" si="24"/>
        <v>1.5873015873015959E-2</v>
      </c>
      <c r="Q490" s="800">
        <v>0</v>
      </c>
      <c r="R490" s="800">
        <v>0</v>
      </c>
      <c r="S490">
        <f t="shared" si="19"/>
        <v>1</v>
      </c>
      <c r="T490" s="564">
        <f>IF((I490-MAX(I$470:I490))/MAX(I$470:I490)&gt;T489,T489,(I490-MAX(I$470:I490))/MAX(I$470:I490))</f>
        <v>-4.0667090565227456E-3</v>
      </c>
      <c r="U490" s="564">
        <f>IF((J490-MAX(J$470:J490))/MAX(J$470:J490)&gt;U489,U489,(J490-MAX(J$470:J490))/MAX(J$470:J490))</f>
        <v>-0.10307855285544605</v>
      </c>
      <c r="V490" s="564">
        <f>IF((K490-MAX(K$470:K490))/MAX(K$470:K490)&gt;V489,V489,(K490-MAX(K$470:K490))/MAX(K$470:K490))</f>
        <v>-0.19902691390352167</v>
      </c>
      <c r="W490" s="564">
        <f>IF((N490-MAX(N$470:N490))/MAX(N$470:N490)&gt;W489,W489,(N490-MAX(N$470:N490))/MAX(N$470:N490))</f>
        <v>-4.0667090565226442E-3</v>
      </c>
      <c r="X490" s="564">
        <f>IF((O490-MAX(O$470:O490))/MAX(O$470:O490)&gt;X489,X489,(O490-MAX(O$470:O490))/MAX(O$470:O490))</f>
        <v>-4.0667090565226355E-3</v>
      </c>
    </row>
    <row r="491" spans="1:24">
      <c r="A491" s="799">
        <v>40893</v>
      </c>
      <c r="B491">
        <v>3.2</v>
      </c>
      <c r="C491">
        <v>8.3439779999999999</v>
      </c>
      <c r="D491">
        <v>0.66134300000000001</v>
      </c>
      <c r="E491">
        <f>LN(D491/参数实验室!$E$53)/参数实验室!$E$55</f>
        <v>-1.1807758068978786</v>
      </c>
      <c r="F491">
        <f t="shared" si="18"/>
        <v>2.607493125</v>
      </c>
      <c r="G491">
        <f>LN(F491/参数实验室!$E$58)/参数实验室!$E$59</f>
        <v>0.31248445921565066</v>
      </c>
      <c r="H491" s="856">
        <f>INDEX(神经网络!$G$10:$BO$70,MATCH(ROUND(G491*2,1)/2,神经网络!$E$10:$E$70,0),MATCH(ROUND(E491*2,1)/2,神经网络!$G$8:$BO$8,0))</f>
        <v>3.9981624306490812E-2</v>
      </c>
      <c r="I491">
        <f t="shared" si="20"/>
        <v>1.0522940877810254</v>
      </c>
      <c r="J491">
        <f t="shared" si="21"/>
        <v>1.276884402058976</v>
      </c>
      <c r="K491">
        <f t="shared" si="22"/>
        <v>0.82411069168375872</v>
      </c>
      <c r="L491" s="4">
        <f>MIN(MAX(L490*(1+MAX(MIN(((B491-B490)/B490)/($K$7*卓尔金历!$N$40),0),-卓尔金历!$M$43))+MIN(MAX(((B491-B490)/B490)/($K$7*卓尔金历!$N$40),0),卓尔金历!$M$43),0),1)</f>
        <v>0.77285580419008137</v>
      </c>
      <c r="M491" s="4">
        <f>MIN(MAX(M490*(1+MAX(MIN(((B491-B490)/B490)/($K$7*30),0),-卓尔金历!$M$43))+MIN(MAX(((B491-B490)/B490)/($K$7*7),0),卓尔金历!$M$43),0),1)</f>
        <v>1</v>
      </c>
      <c r="N491">
        <f t="shared" si="25"/>
        <v>1.0306287921601918</v>
      </c>
      <c r="O491">
        <f t="shared" si="23"/>
        <v>1.0461281560852633</v>
      </c>
      <c r="P491">
        <f t="shared" si="24"/>
        <v>0</v>
      </c>
      <c r="Q491">
        <f>STDEVP(P471:P491)</f>
        <v>4.0493659919713321E-2</v>
      </c>
      <c r="R491">
        <f>MIN(Q490*MAX(1-LN(MAX(ABS(P491),0.0001)/Q491),0)+MAX(-LN(MAX(ABS(P491),0.0001)/Q491),0),1)</f>
        <v>1</v>
      </c>
      <c r="S491">
        <f t="shared" si="19"/>
        <v>1</v>
      </c>
      <c r="T491" s="564">
        <f>IF((I491-MAX(I$470:I491))/MAX(I$470:I491)&gt;T490,T490,(I491-MAX(I$470:I491))/MAX(I$470:I491))</f>
        <v>-4.0667090565227456E-3</v>
      </c>
      <c r="U491" s="564">
        <f>IF((J491-MAX(J$470:J491))/MAX(J$470:J491)&gt;U490,U490,(J491-MAX(J$470:J491))/MAX(J$470:J491))</f>
        <v>-0.10307855285544605</v>
      </c>
      <c r="V491" s="564">
        <f>IF((K491-MAX(K$470:K491))/MAX(K$470:K491)&gt;V490,V490,(K491-MAX(K$470:K491))/MAX(K$470:K491))</f>
        <v>-0.19902691390352167</v>
      </c>
      <c r="W491" s="564">
        <f>IF((N491-MAX(N$470:N491))/MAX(N$470:N491)&gt;W490,W490,(N491-MAX(N$470:N491))/MAX(N$470:N491))</f>
        <v>-4.0667090565226442E-3</v>
      </c>
      <c r="X491" s="564">
        <f>IF((O491-MAX(O$470:O491))/MAX(O$470:O491)&gt;X490,X490,(O491-MAX(O$470:O491))/MAX(O$470:O491))</f>
        <v>-4.0667090565226355E-3</v>
      </c>
    </row>
    <row r="492" spans="1:24">
      <c r="A492" s="799">
        <v>40894</v>
      </c>
      <c r="B492">
        <v>3.2000999999999999</v>
      </c>
      <c r="C492">
        <v>8.3053749999999997</v>
      </c>
      <c r="D492">
        <v>0.65825199999999995</v>
      </c>
      <c r="E492">
        <f>LN(D492/参数实验室!$E$53)/参数实验室!$E$55</f>
        <v>-1.1863026904440008</v>
      </c>
      <c r="F492">
        <f t="shared" si="18"/>
        <v>2.5953485828567855</v>
      </c>
      <c r="G492">
        <f>LN(F492/参数实验室!$E$58)/参数实验室!$E$59</f>
        <v>0.31003421222381422</v>
      </c>
      <c r="H492" s="856">
        <f>INDEX(神经网络!$G$10:$BO$70,MATCH(ROUND(G492*2,1)/2,神经网络!$E$10:$E$70,0),MATCH(ROUND(E492*2,1)/2,神经网络!$G$8:$BO$8,0))</f>
        <v>3.9981624306490812E-2</v>
      </c>
      <c r="I492">
        <f t="shared" si="20"/>
        <v>1.0522954025443652</v>
      </c>
      <c r="J492">
        <f t="shared" si="21"/>
        <v>1.2769243046965402</v>
      </c>
      <c r="K492">
        <f t="shared" si="22"/>
        <v>0.82408596866236494</v>
      </c>
      <c r="L492" s="4">
        <f>MIN(MAX(L491*(1+MAX(MIN(((B492-B491)/B491)/($K$7*卓尔金历!$N$40),0),-卓尔金历!$M$43))+MIN(MAX(((B492-B491)/B491)/($K$7*卓尔金历!$N$40),0),卓尔金历!$M$43),0),1)</f>
        <v>0.77333327420169862</v>
      </c>
      <c r="M492" s="4">
        <f>MIN(MAX(M491*(1+MAX(MIN(((B492-B491)/B491)/($K$7*30),0),-卓尔金历!$M$43))+MIN(MAX(((B492-B491)/B491)/($K$7*7),0),卓尔金历!$M$43),0),1)</f>
        <v>1</v>
      </c>
      <c r="N492">
        <f t="shared" si="25"/>
        <v>1.0306297873620984</v>
      </c>
      <c r="O492">
        <f t="shared" si="23"/>
        <v>1.0461294631447293</v>
      </c>
      <c r="P492">
        <f t="shared" si="24"/>
        <v>3.1249999999927169E-5</v>
      </c>
      <c r="Q492">
        <f t="shared" ref="Q492:Q555" si="26">STDEVP(P472:P492)</f>
        <v>4.0151589576165436E-2</v>
      </c>
      <c r="R492">
        <f t="shared" ref="R492:R555" si="27">MIN(Q491*MAX(1-LN(MAX(ABS(P492),0.0001)/Q492),0)+MAX(-LN(MAX(ABS(P492),0.0001)/Q492),0),1)</f>
        <v>1</v>
      </c>
      <c r="S492">
        <f t="shared" si="19"/>
        <v>1.0000012494257595</v>
      </c>
      <c r="T492" s="564">
        <f>IF((I492-MAX(I$470:I492))/MAX(I$470:I492)&gt;T491,T491,(I492-MAX(I$470:I492))/MAX(I$470:I492))</f>
        <v>-4.0667090565227456E-3</v>
      </c>
      <c r="U492" s="564">
        <f>IF((J492-MAX(J$470:J492))/MAX(J$470:J492)&gt;U491,U491,(J492-MAX(J$470:J492))/MAX(J$470:J492))</f>
        <v>-0.10307855285544605</v>
      </c>
      <c r="V492" s="564">
        <f>IF((K492-MAX(K$470:K492))/MAX(K$470:K492)&gt;V491,V491,(K492-MAX(K$470:K492))/MAX(K$470:K492))</f>
        <v>-0.19902691390352167</v>
      </c>
      <c r="W492" s="564">
        <f>IF((N492-MAX(N$470:N492))/MAX(N$470:N492)&gt;W491,W491,(N492-MAX(N$470:N492))/MAX(N$470:N492))</f>
        <v>-4.0667090565226442E-3</v>
      </c>
      <c r="X492" s="564">
        <f>IF((O492-MAX(O$470:O492))/MAX(O$470:O492)&gt;X491,X491,(O492-MAX(O$470:O492))/MAX(O$470:O492))</f>
        <v>-4.0667090565226355E-3</v>
      </c>
    </row>
    <row r="493" spans="1:24">
      <c r="A493" s="799">
        <v>40895</v>
      </c>
      <c r="B493">
        <v>3.1930000000000001</v>
      </c>
      <c r="C493">
        <v>8.2660160000000005</v>
      </c>
      <c r="D493">
        <v>0.65885800000000005</v>
      </c>
      <c r="E493">
        <f>LN(D493/参数实验室!$E$53)/参数实验室!$E$55</f>
        <v>-1.1852170855722817</v>
      </c>
      <c r="F493">
        <f t="shared" si="18"/>
        <v>2.5887929846539306</v>
      </c>
      <c r="G493">
        <f>LN(F493/参数实验室!$E$58)/参数实验室!$E$59</f>
        <v>0.3087068047790959</v>
      </c>
      <c r="H493" s="856">
        <f>INDEX(神经网络!$G$10:$BO$70,MATCH(ROUND(G493*2,1)/2,神经网络!$E$10:$E$70,0),MATCH(ROUND(E493*2,1)/2,神经网络!$G$8:$BO$8,0))</f>
        <v>3.9981624306490812E-2</v>
      </c>
      <c r="I493">
        <f t="shared" si="20"/>
        <v>1.0522020571476425</v>
      </c>
      <c r="J493">
        <f t="shared" si="21"/>
        <v>1.2740912174294718</v>
      </c>
      <c r="K493">
        <f t="shared" si="22"/>
        <v>0.825845153591515</v>
      </c>
      <c r="L493" s="4">
        <f>MIN(MAX(L492*(1+MAX(MIN(((B493-B492)/B492)/($K$7*卓尔金历!$N$40),0),-卓尔金历!$M$43))+MIN(MAX(((B493-B492)/B492)/($K$7*卓尔金历!$N$40),0),卓尔金历!$M$43),0),1)</f>
        <v>0.74711780866832211</v>
      </c>
      <c r="M493" s="4">
        <f>MIN(MAX(M492*(1+MAX(MIN(((B493-B492)/B492)/($K$7*30),0),-卓尔金历!$M$43))+MIN(MAX(((B493-B492)/B492)/($K$7*7),0),卓尔金历!$M$43),0),1)</f>
        <v>0.98305034426428994</v>
      </c>
      <c r="N493">
        <f t="shared" si="25"/>
        <v>1.03055908651454</v>
      </c>
      <c r="O493">
        <f t="shared" si="23"/>
        <v>1.0460366647066439</v>
      </c>
      <c r="P493">
        <f t="shared" si="24"/>
        <v>-2.2186806662291441E-3</v>
      </c>
      <c r="Q493">
        <f t="shared" si="26"/>
        <v>4.024142681588893E-2</v>
      </c>
      <c r="R493">
        <f t="shared" si="27"/>
        <v>1</v>
      </c>
      <c r="S493">
        <f t="shared" si="19"/>
        <v>0.99991254285807418</v>
      </c>
      <c r="T493" s="564">
        <f>IF((I493-MAX(I$470:I493))/MAX(I$470:I493)&gt;T492,T492,(I493-MAX(I$470:I493))/MAX(I$470:I493))</f>
        <v>-4.0667090565227456E-3</v>
      </c>
      <c r="U493" s="564">
        <f>IF((J493-MAX(J$470:J493))/MAX(J$470:J493)&gt;U492,U492,(J493-MAX(J$470:J493))/MAX(J$470:J493))</f>
        <v>-0.10307855285544605</v>
      </c>
      <c r="V493" s="564">
        <f>IF((K493-MAX(K$470:K493))/MAX(K$470:K493)&gt;V492,V492,(K493-MAX(K$470:K493))/MAX(K$470:K493))</f>
        <v>-0.19902691390352167</v>
      </c>
      <c r="W493" s="564">
        <f>IF((N493-MAX(N$470:N493))/MAX(N$470:N493)&gt;W492,W492,(N493-MAX(N$470:N493))/MAX(N$470:N493))</f>
        <v>-4.0667090565226442E-3</v>
      </c>
      <c r="X493" s="564">
        <f>IF((O493-MAX(O$470:O493))/MAX(O$470:O493)&gt;X492,X492,(O493-MAX(O$470:O493))/MAX(O$470:O493))</f>
        <v>-4.0667090565226355E-3</v>
      </c>
    </row>
    <row r="494" spans="1:24">
      <c r="A494" s="799">
        <v>40896</v>
      </c>
      <c r="B494">
        <v>3.5202</v>
      </c>
      <c r="C494">
        <v>8.0845760000000002</v>
      </c>
      <c r="D494">
        <v>0.72601300000000002</v>
      </c>
      <c r="E494">
        <f>LN(D494/参数实验室!$E$53)/参数实验室!$E$55</f>
        <v>-1.0707103681824115</v>
      </c>
      <c r="F494">
        <f t="shared" si="18"/>
        <v>2.296624055451395</v>
      </c>
      <c r="G494">
        <f>LN(F494/参数实验室!$E$58)/参数实验室!$E$59</f>
        <v>0.24585474829840809</v>
      </c>
      <c r="H494" s="856">
        <f>INDEX(神经网络!$G$10:$BO$70,MATCH(ROUND(G494*2,1)/2,神经网络!$E$10:$E$70,0),MATCH(ROUND(E494*2,1)/2,神经网络!$G$8:$BO$8,0))</f>
        <v>-9.4168536630398862E-3</v>
      </c>
      <c r="I494">
        <f t="shared" si="20"/>
        <v>1.056513016787717</v>
      </c>
      <c r="J494">
        <f t="shared" si="21"/>
        <v>1.4046526475400023</v>
      </c>
      <c r="K494">
        <f t="shared" si="22"/>
        <v>0.75215251161061814</v>
      </c>
      <c r="L494" s="4">
        <f>MIN(MAX(L493*(1+MAX(MIN(((B494-B493)/B493)/($K$7*卓尔金历!$N$40),0),-卓尔金历!$M$43))+MIN(MAX(((B494-B493)/B493)/($K$7*卓尔金历!$N$40),0),卓尔金历!$M$43),0),1)</f>
        <v>1</v>
      </c>
      <c r="M494" s="4">
        <f>MIN(MAX(M493*(1+MAX(MIN(((B494-B493)/B493)/($K$7*30),0),-卓尔金历!$M$43))+MIN(MAX(((B494-B493)/B493)/($K$7*7),0),卓尔金历!$M$43),0),1)</f>
        <v>1</v>
      </c>
      <c r="N494">
        <f t="shared" si="25"/>
        <v>1.0337136320141262</v>
      </c>
      <c r="O494">
        <f t="shared" si="23"/>
        <v>1.0502497230880254</v>
      </c>
      <c r="P494">
        <f t="shared" si="24"/>
        <v>0.10247416222987783</v>
      </c>
      <c r="Q494">
        <f t="shared" si="26"/>
        <v>4.4469489236789152E-2</v>
      </c>
      <c r="R494">
        <f t="shared" si="27"/>
        <v>6.6475870458666923E-3</v>
      </c>
      <c r="S494">
        <f t="shared" si="19"/>
        <v>1.0040092679942623</v>
      </c>
      <c r="T494" s="564">
        <f>IF((I494-MAX(I$470:I494))/MAX(I$470:I494)&gt;T493,T493,(I494-MAX(I$470:I494))/MAX(I$470:I494))</f>
        <v>-4.0667090565227456E-3</v>
      </c>
      <c r="U494" s="564">
        <f>IF((J494-MAX(J$470:J494))/MAX(J$470:J494)&gt;U493,U493,(J494-MAX(J$470:J494))/MAX(J$470:J494))</f>
        <v>-0.10307855285544605</v>
      </c>
      <c r="V494" s="564">
        <f>IF((K494-MAX(K$470:K494))/MAX(K$470:K494)&gt;V493,V493,(K494-MAX(K$470:K494))/MAX(K$470:K494))</f>
        <v>-0.25612096289739916</v>
      </c>
      <c r="W494" s="564">
        <f>IF((N494-MAX(N$470:N494))/MAX(N$470:N494)&gt;W493,W493,(N494-MAX(N$470:N494))/MAX(N$470:N494))</f>
        <v>-4.0667090565226442E-3</v>
      </c>
      <c r="X494" s="564">
        <f>IF((O494-MAX(O$470:O494))/MAX(O$470:O494)&gt;X493,X493,(O494-MAX(O$470:O494))/MAX(O$470:O494))</f>
        <v>-4.0667090565226355E-3</v>
      </c>
    </row>
    <row r="495" spans="1:24">
      <c r="A495" s="799">
        <v>40897</v>
      </c>
      <c r="B495">
        <v>3.95</v>
      </c>
      <c r="C495">
        <v>8.1600970000000004</v>
      </c>
      <c r="D495">
        <v>0.81110800000000005</v>
      </c>
      <c r="E495">
        <f>LN(D495/参数实验室!$E$53)/参数实验室!$E$55</f>
        <v>-0.93995443101801746</v>
      </c>
      <c r="F495">
        <f t="shared" si="18"/>
        <v>2.0658473417721517</v>
      </c>
      <c r="G495">
        <f>LN(F495/参数实验室!$E$58)/参数实验室!$E$59</f>
        <v>0.19027282824917197</v>
      </c>
      <c r="H495" s="856">
        <f>INDEX(神经网络!$G$10:$BO$70,MATCH(ROUND(G495*2,1)/2,神经网络!$E$10:$E$70,0),MATCH(ROUND(E495*2,1)/2,神经网络!$G$8:$BO$8,0))</f>
        <v>-3.1040164896446166E-2</v>
      </c>
      <c r="I495">
        <f t="shared" si="20"/>
        <v>1.055298286818583</v>
      </c>
      <c r="J495">
        <f t="shared" si="21"/>
        <v>1.5761541837915487</v>
      </c>
      <c r="K495">
        <f t="shared" si="22"/>
        <v>0.66954000926482293</v>
      </c>
      <c r="L495" s="4">
        <f>MIN(MAX(L494*(1+MAX(MIN(((B495-B494)/B494)/($K$7*卓尔金历!$N$40),0),-卓尔金历!$M$43))+MIN(MAX(((B495-B494)/B494)/($K$7*卓尔金历!$N$40),0),卓尔金历!$M$43),0),1)</f>
        <v>1</v>
      </c>
      <c r="M495" s="4">
        <f>MIN(MAX(M494*(1+MAX(MIN(((B495-B494)/B494)/($K$7*30),0),-卓尔金历!$M$43))+MIN(MAX(((B495-B494)/B494)/($K$7*7),0),卓尔金历!$M$43),0),1)</f>
        <v>1</v>
      </c>
      <c r="N495">
        <f t="shared" si="25"/>
        <v>1.032525115726719</v>
      </c>
      <c r="O495">
        <f t="shared" si="23"/>
        <v>1.049042194365295</v>
      </c>
      <c r="P495">
        <f t="shared" si="24"/>
        <v>0.12209533549230163</v>
      </c>
      <c r="Q495">
        <f t="shared" si="26"/>
        <v>4.8179492363447637E-2</v>
      </c>
      <c r="R495">
        <f t="shared" si="27"/>
        <v>3.1187023278590577E-3</v>
      </c>
      <c r="S495">
        <f t="shared" si="19"/>
        <v>1.0040015942618896</v>
      </c>
      <c r="T495" s="564">
        <f>IF((I495-MAX(I$470:I495))/MAX(I$470:I495)&gt;T494,T494,(I495-MAX(I$470:I495))/MAX(I$470:I495))</f>
        <v>-4.0667090565227456E-3</v>
      </c>
      <c r="U495" s="564">
        <f>IF((J495-MAX(J$470:J495))/MAX(J$470:J495)&gt;U494,U494,(J495-MAX(J$470:J495))/MAX(J$470:J495))</f>
        <v>-0.10307855285544605</v>
      </c>
      <c r="V495" s="564">
        <f>IF((K495-MAX(K$470:K495))/MAX(K$470:K495)&gt;V494,V494,(K495-MAX(K$470:K495))/MAX(K$470:K495))</f>
        <v>-0.33782475002699724</v>
      </c>
      <c r="W495" s="564">
        <f>IF((N495-MAX(N$470:N495))/MAX(N$470:N495)&gt;W494,W494,(N495-MAX(N$470:N495))/MAX(N$470:N495))</f>
        <v>-4.0667090565226442E-3</v>
      </c>
      <c r="X495" s="564">
        <f>IF((O495-MAX(O$470:O495))/MAX(O$470:O495)&gt;X494,X494,(O495-MAX(O$470:O495))/MAX(O$470:O495))</f>
        <v>-4.0667090565226355E-3</v>
      </c>
    </row>
    <row r="496" spans="1:24">
      <c r="A496" s="799">
        <v>40898</v>
      </c>
      <c r="B496">
        <v>3.89</v>
      </c>
      <c r="C496">
        <v>8.0086919999999999</v>
      </c>
      <c r="D496">
        <v>0.79739599999999999</v>
      </c>
      <c r="E496">
        <f>LN(D496/参数实验室!$E$53)/参数实验室!$E$55</f>
        <v>-0.96006898262103557</v>
      </c>
      <c r="F496">
        <f t="shared" si="18"/>
        <v>2.0587897172236502</v>
      </c>
      <c r="G496">
        <f>LN(F496/参数实验室!$E$58)/参数实验室!$E$59</f>
        <v>0.18847668165931866</v>
      </c>
      <c r="H496" s="856">
        <f>INDEX(神经网络!$G$10:$BO$70,MATCH(ROUND(G496*2,1)/2,神经网络!$E$10:$E$70,0),MATCH(ROUND(E496*2,1)/2,神经网络!$G$8:$BO$8,0))</f>
        <v>-3.1040164896446166E-2</v>
      </c>
      <c r="I496">
        <f t="shared" si="20"/>
        <v>1.0557958559249798</v>
      </c>
      <c r="J496">
        <f t="shared" si="21"/>
        <v>1.5522126012529427</v>
      </c>
      <c r="K496">
        <f t="shared" si="22"/>
        <v>0.68018765926313418</v>
      </c>
      <c r="L496" s="4">
        <f>MIN(MAX(L495*(1+MAX(MIN(((B496-B495)/B495)/($K$7*卓尔金历!$N$40),0),-卓尔金历!$M$43))+MIN(MAX(((B496-B495)/B495)/($K$7*卓尔金历!$N$40),0),卓尔金历!$M$43),0),1)</f>
        <v>0.76791331080828684</v>
      </c>
      <c r="M496" s="4">
        <f>MIN(MAX(M495*(1+MAX(MIN(((B496-B495)/B495)/($K$7*30),0),-卓尔金历!$M$43))+MIN(MAX(((B496-B495)/B495)/($K$7*7),0),卓尔金历!$M$43),0),1)</f>
        <v>0.88395665540414348</v>
      </c>
      <c r="N496">
        <f t="shared" si="25"/>
        <v>1.0330119473700388</v>
      </c>
      <c r="O496">
        <f t="shared" si="23"/>
        <v>1.0495368137480257</v>
      </c>
      <c r="P496">
        <f t="shared" si="24"/>
        <v>-1.5189873417721532E-2</v>
      </c>
      <c r="Q496">
        <f t="shared" si="26"/>
        <v>4.6639399938706645E-2</v>
      </c>
      <c r="R496">
        <f t="shared" si="27"/>
        <v>1</v>
      </c>
      <c r="S496">
        <f t="shared" si="19"/>
        <v>1.0040030706022793</v>
      </c>
      <c r="T496" s="564">
        <f>IF((I496-MAX(I$470:I496))/MAX(I$470:I496)&gt;T495,T495,(I496-MAX(I$470:I496))/MAX(I$470:I496))</f>
        <v>-4.0667090565227456E-3</v>
      </c>
      <c r="U496" s="564">
        <f>IF((J496-MAX(J$470:J496))/MAX(J$470:J496)&gt;U495,U495,(J496-MAX(J$470:J496))/MAX(J$470:J496))</f>
        <v>-0.10307855285544605</v>
      </c>
      <c r="V496" s="564">
        <f>IF((K496-MAX(K$470:K496))/MAX(K$470:K496)&gt;V495,V495,(K496-MAX(K$470:K496))/MAX(K$470:K496))</f>
        <v>-0.33782475002699724</v>
      </c>
      <c r="W496" s="564">
        <f>IF((N496-MAX(N$470:N496))/MAX(N$470:N496)&gt;W495,W495,(N496-MAX(N$470:N496))/MAX(N$470:N496))</f>
        <v>-4.0667090565226442E-3</v>
      </c>
      <c r="X496" s="564">
        <f>IF((O496-MAX(O$470:O496))/MAX(O$470:O496)&gt;X495,X495,(O496-MAX(O$470:O496))/MAX(O$470:O496))</f>
        <v>-4.0667090565226355E-3</v>
      </c>
    </row>
    <row r="497" spans="1:24">
      <c r="A497" s="799">
        <v>40899</v>
      </c>
      <c r="B497">
        <v>3.8900999999999999</v>
      </c>
      <c r="C497">
        <v>7.9892000000000003</v>
      </c>
      <c r="D497">
        <v>0.79956499999999997</v>
      </c>
      <c r="E497">
        <f>LN(D497/参数实验室!$E$53)/参数实验室!$E$55</f>
        <v>-0.95686428775415677</v>
      </c>
      <c r="F497">
        <f t="shared" si="18"/>
        <v>2.0537261252924091</v>
      </c>
      <c r="G497">
        <f>LN(F497/参数实验室!$E$58)/参数实验室!$E$59</f>
        <v>0.18718421342702152</v>
      </c>
      <c r="H497" s="856">
        <f>INDEX(神经网络!$G$10:$BO$70,MATCH(ROUND(G497*2,1)/2,神经网络!$E$10:$E$70,0),MATCH(ROUND(E497*2,1)/2,神经网络!$G$8:$BO$8,0))</f>
        <v>-3.1040164896446166E-2</v>
      </c>
      <c r="I497">
        <f t="shared" si="20"/>
        <v>1.0557950134551222</v>
      </c>
      <c r="J497">
        <f t="shared" si="21"/>
        <v>1.5522525038905068</v>
      </c>
      <c r="K497">
        <f t="shared" si="22"/>
        <v>0.68016963142846776</v>
      </c>
      <c r="L497" s="4">
        <f>MIN(MAX(L496*(1+MAX(MIN(((B497-B496)/B496)/($K$7*卓尔金历!$N$40),0),-卓尔金历!$M$43))+MIN(MAX(((B497-B496)/B496)/($K$7*卓尔金历!$N$40),0),卓尔金历!$M$43),0),1)</f>
        <v>0.76830608819573554</v>
      </c>
      <c r="M497" s="4">
        <f>MIN(MAX(M496*(1+MAX(MIN(((B497-B496)/B496)/($K$7*30),0),-卓尔金历!$M$43))+MIN(MAX(((B497-B496)/B496)/($K$7*7),0),卓尔金历!$M$43),0),1)</f>
        <v>0.88479832123439062</v>
      </c>
      <c r="N497">
        <f t="shared" si="25"/>
        <v>1.0330113143871669</v>
      </c>
      <c r="O497">
        <f t="shared" si="23"/>
        <v>1.0495360734560106</v>
      </c>
      <c r="P497">
        <f t="shared" si="24"/>
        <v>2.5706940873976078E-5</v>
      </c>
      <c r="Q497">
        <f t="shared" si="26"/>
        <v>4.658181969729689E-2</v>
      </c>
      <c r="R497">
        <f t="shared" si="27"/>
        <v>1</v>
      </c>
      <c r="S497">
        <f t="shared" si="19"/>
        <v>1.0040022694603548</v>
      </c>
      <c r="T497" s="564">
        <f>IF((I497-MAX(I$470:I497))/MAX(I$470:I497)&gt;T496,T496,(I497-MAX(I$470:I497))/MAX(I$470:I497))</f>
        <v>-4.0667090565227456E-3</v>
      </c>
      <c r="U497" s="564">
        <f>IF((J497-MAX(J$470:J497))/MAX(J$470:J497)&gt;U496,U496,(J497-MAX(J$470:J497))/MAX(J$470:J497))</f>
        <v>-0.10307855285544605</v>
      </c>
      <c r="V497" s="564">
        <f>IF((K497-MAX(K$470:K497))/MAX(K$470:K497)&gt;V496,V496,(K497-MAX(K$470:K497))/MAX(K$470:K497))</f>
        <v>-0.33782475002699724</v>
      </c>
      <c r="W497" s="564">
        <f>IF((N497-MAX(N$470:N497))/MAX(N$470:N497)&gt;W496,W496,(N497-MAX(N$470:N497))/MAX(N$470:N497))</f>
        <v>-4.0667090565226442E-3</v>
      </c>
      <c r="X497" s="564">
        <f>IF((O497-MAX(O$470:O497))/MAX(O$470:O497)&gt;X496,X496,(O497-MAX(O$470:O497))/MAX(O$470:O497))</f>
        <v>-4.0667090565226355E-3</v>
      </c>
    </row>
    <row r="498" spans="1:24">
      <c r="A498" s="799">
        <v>40900</v>
      </c>
      <c r="B498">
        <v>3.9468000000000001</v>
      </c>
      <c r="C498">
        <v>7.9687799999999998</v>
      </c>
      <c r="D498">
        <v>0.80606999999999995</v>
      </c>
      <c r="E498">
        <f>LN(D498/参数实验室!$E$53)/参数实验室!$E$55</f>
        <v>-0.9473050332040569</v>
      </c>
      <c r="F498">
        <f t="shared" si="18"/>
        <v>2.0190483429613861</v>
      </c>
      <c r="G498">
        <f>LN(F498/参数实验室!$E$58)/参数实验室!$E$59</f>
        <v>0.17824622078427135</v>
      </c>
      <c r="H498" s="856">
        <f>INDEX(神经网络!$G$10:$BO$70,MATCH(ROUND(G498*2,1)/2,神经网络!$E$10:$E$70,0),MATCH(ROUND(E498*2,1)/2,神经网络!$G$8:$BO$8,0))</f>
        <v>-3.1040164896446166E-2</v>
      </c>
      <c r="I498">
        <f t="shared" si="20"/>
        <v>1.0553173457063416</v>
      </c>
      <c r="J498">
        <f t="shared" si="21"/>
        <v>1.5748772993894895</v>
      </c>
      <c r="K498">
        <f t="shared" si="22"/>
        <v>0.67009496302692384</v>
      </c>
      <c r="L498" s="4">
        <f>MIN(MAX(L497*(1+MAX(MIN(((B498-B497)/B497)/($K$7*卓尔金历!$N$40),0),-卓尔金历!$M$43))+MIN(MAX(((B498-B497)/B497)/($K$7*卓尔金历!$N$40),0),卓尔金历!$M$43),0),1)</f>
        <v>0.99100514196822709</v>
      </c>
      <c r="M498" s="4">
        <f>MIN(MAX(M497*(1+MAX(MIN(((B498-B497)/B497)/($K$7*30),0),-卓尔金历!$M$43))+MIN(MAX(((B498-B497)/B497)/($K$7*7),0),卓尔金历!$M$43),0),1)</f>
        <v>1</v>
      </c>
      <c r="N498">
        <f t="shared" si="25"/>
        <v>1.0326522389763912</v>
      </c>
      <c r="O498">
        <f t="shared" si="23"/>
        <v>1.0491159393163831</v>
      </c>
      <c r="P498">
        <f t="shared" si="24"/>
        <v>1.4575460785069843E-2</v>
      </c>
      <c r="Q498">
        <f t="shared" si="26"/>
        <v>4.6568456577267645E-2</v>
      </c>
      <c r="R498">
        <f t="shared" si="27"/>
        <v>1</v>
      </c>
      <c r="S498">
        <f t="shared" si="19"/>
        <v>1.0035480340285599</v>
      </c>
      <c r="T498" s="564">
        <f>IF((I498-MAX(I$470:I498))/MAX(I$470:I498)&gt;T497,T497,(I498-MAX(I$470:I498))/MAX(I$470:I498))</f>
        <v>-4.0667090565227456E-3</v>
      </c>
      <c r="U498" s="564">
        <f>IF((J498-MAX(J$470:J498))/MAX(J$470:J498)&gt;U497,U497,(J498-MAX(J$470:J498))/MAX(J$470:J498))</f>
        <v>-0.10307855285544605</v>
      </c>
      <c r="V498" s="564">
        <f>IF((K498-MAX(K$470:K498))/MAX(K$470:K498)&gt;V497,V497,(K498-MAX(K$470:K498))/MAX(K$470:K498))</f>
        <v>-0.33782475002699724</v>
      </c>
      <c r="W498" s="564">
        <f>IF((N498-MAX(N$470:N498))/MAX(N$470:N498)&gt;W497,W497,(N498-MAX(N$470:N498))/MAX(N$470:N498))</f>
        <v>-4.0667090565226442E-3</v>
      </c>
      <c r="X498" s="564">
        <f>IF((O498-MAX(O$470:O498))/MAX(O$470:O498)&gt;X497,X497,(O498-MAX(O$470:O498))/MAX(O$470:O498))</f>
        <v>-4.0667090565226355E-3</v>
      </c>
    </row>
    <row r="499" spans="1:24">
      <c r="A499" s="799">
        <v>40901</v>
      </c>
      <c r="B499">
        <v>3.94</v>
      </c>
      <c r="C499">
        <v>7.8165969999999998</v>
      </c>
      <c r="D499">
        <v>0.80659700000000001</v>
      </c>
      <c r="E499">
        <f>LN(D499/参数实验室!$E$53)/参数实验室!$E$55</f>
        <v>-0.94653397509757242</v>
      </c>
      <c r="F499">
        <f t="shared" si="18"/>
        <v>1.9839078680203046</v>
      </c>
      <c r="G499">
        <f>LN(F499/参数实验室!$E$58)/参数实验室!$E$59</f>
        <v>0.16903098425389157</v>
      </c>
      <c r="H499" s="856">
        <f>INDEX(神经网络!$G$10:$BO$70,MATCH(ROUND(G499*2,1)/2,神经网络!$E$10:$E$70,0),MATCH(ROUND(E499*2,1)/2,神经网络!$G$8:$BO$8,0))</f>
        <v>-2.996477770490634E-2</v>
      </c>
      <c r="I499">
        <f t="shared" si="20"/>
        <v>1.0553737836120158</v>
      </c>
      <c r="J499">
        <f t="shared" si="21"/>
        <v>1.5721639200351143</v>
      </c>
      <c r="K499">
        <f t="shared" si="22"/>
        <v>0.67128737033250585</v>
      </c>
      <c r="L499" s="4">
        <f>MIN(MAX(L498*(1+MAX(MIN(((B499-B498)/B498)/($K$7*卓尔金历!$N$40),0),-卓尔金历!$M$43))+MIN(MAX(((B499-B498)/B498)/($K$7*卓尔金历!$N$40),0),卓尔金历!$M$43),0),1)</f>
        <v>0.96491744269415225</v>
      </c>
      <c r="M499" s="4">
        <f>MIN(MAX(M498*(1+MAX(MIN(((B499-B498)/B498)/($K$7*30),0),-卓尔金历!$M$43))+MIN(MAX(((B499-B498)/B498)/($K$7*7),0),卓尔金历!$M$43),0),1)</f>
        <v>0.98683775786356553</v>
      </c>
      <c r="N499">
        <f t="shared" si="25"/>
        <v>1.0327069680140628</v>
      </c>
      <c r="O499">
        <f t="shared" si="23"/>
        <v>1.049172045573582</v>
      </c>
      <c r="P499">
        <f t="shared" si="24"/>
        <v>-1.7229147663930626E-3</v>
      </c>
      <c r="Q499">
        <f t="shared" si="26"/>
        <v>3.8984749825811543E-2</v>
      </c>
      <c r="R499">
        <f t="shared" si="27"/>
        <v>1</v>
      </c>
      <c r="S499">
        <f t="shared" si="19"/>
        <v>1.0036017033343043</v>
      </c>
      <c r="T499" s="564">
        <f>IF((I499-MAX(I$470:I499))/MAX(I$470:I499)&gt;T498,T498,(I499-MAX(I$470:I499))/MAX(I$470:I499))</f>
        <v>-4.0667090565227456E-3</v>
      </c>
      <c r="U499" s="564">
        <f>IF((J499-MAX(J$470:J499))/MAX(J$470:J499)&gt;U498,U498,(J499-MAX(J$470:J499))/MAX(J$470:J499))</f>
        <v>-0.10307855285544605</v>
      </c>
      <c r="V499" s="564">
        <f>IF((K499-MAX(K$470:K499))/MAX(K$470:K499)&gt;V498,V498,(K499-MAX(K$470:K499))/MAX(K$470:K499))</f>
        <v>-0.33782475002699724</v>
      </c>
      <c r="W499" s="564">
        <f>IF((N499-MAX(N$470:N499))/MAX(N$470:N499)&gt;W498,W498,(N499-MAX(N$470:N499))/MAX(N$470:N499))</f>
        <v>-4.0667090565226442E-3</v>
      </c>
      <c r="X499" s="564">
        <f>IF((O499-MAX(O$470:O499))/MAX(O$470:O499)&gt;X498,X498,(O499-MAX(O$470:O499))/MAX(O$470:O499))</f>
        <v>-4.0667090565226355E-3</v>
      </c>
    </row>
    <row r="500" spans="1:24">
      <c r="A500" s="799">
        <v>40902</v>
      </c>
      <c r="B500">
        <v>4.2249999999999996</v>
      </c>
      <c r="C500">
        <v>7.6362800000000002</v>
      </c>
      <c r="D500">
        <v>0.86693699999999996</v>
      </c>
      <c r="E500">
        <f>LN(D500/参数实验室!$E$53)/参数实验室!$E$55</f>
        <v>-0.86142404354384328</v>
      </c>
      <c r="F500">
        <f t="shared" si="18"/>
        <v>1.8074035502958581</v>
      </c>
      <c r="G500">
        <f>LN(F500/参数实验室!$E$58)/参数实验室!$E$59</f>
        <v>0.12012652393187273</v>
      </c>
      <c r="H500" s="856">
        <f>INDEX(神经网络!$G$10:$BO$70,MATCH(ROUND(G500*2,1)/2,神经网络!$E$10:$E$70,0),MATCH(ROUND(E500*2,1)/2,神经网络!$G$8:$BO$8,0))</f>
        <v>-0.1058115802451777</v>
      </c>
      <c r="I500">
        <f t="shared" si="20"/>
        <v>1.0530862578165505</v>
      </c>
      <c r="J500">
        <f t="shared" si="21"/>
        <v>1.6858864370934916</v>
      </c>
      <c r="K500">
        <f t="shared" si="22"/>
        <v>0.62464839543527995</v>
      </c>
      <c r="L500" s="4">
        <f>MIN(MAX(L499*(1+MAX(MIN(((B500-B499)/B499)/($K$7*卓尔金历!$N$40),0),-卓尔金历!$M$43))+MIN(MAX(((B500-B499)/B499)/($K$7*卓尔金历!$N$40),0),卓尔金历!$M$43),0),1)</f>
        <v>1</v>
      </c>
      <c r="M500" s="4">
        <f>MIN(MAX(M499*(1+MAX(MIN(((B500-B499)/B499)/($K$7*30),0),-卓尔金历!$M$43))+MIN(MAX(((B500-B499)/B499)/($K$7*7),0),卓尔金历!$M$43),0),1)</f>
        <v>1</v>
      </c>
      <c r="N500">
        <f t="shared" si="25"/>
        <v>1.030547101243497</v>
      </c>
      <c r="O500">
        <f t="shared" si="23"/>
        <v>1.0469278941014424</v>
      </c>
      <c r="P500">
        <f t="shared" si="24"/>
        <v>7.2335025380710585E-2</v>
      </c>
      <c r="Q500">
        <f t="shared" si="26"/>
        <v>4.0682038223521795E-2</v>
      </c>
      <c r="R500">
        <f t="shared" si="27"/>
        <v>1.6548177088043327E-2</v>
      </c>
      <c r="S500">
        <f t="shared" si="19"/>
        <v>1.0014263936758696</v>
      </c>
      <c r="T500" s="564">
        <f>IF((I500-MAX(I$470:I500))/MAX(I$470:I500)&gt;T499,T499,(I500-MAX(I$470:I500))/MAX(I$470:I500))</f>
        <v>-4.0667090565227456E-3</v>
      </c>
      <c r="U500" s="564">
        <f>IF((J500-MAX(J$470:J500))/MAX(J$470:J500)&gt;U499,U499,(J500-MAX(J$470:J500))/MAX(J$470:J500))</f>
        <v>-0.10307855285544605</v>
      </c>
      <c r="V500" s="564">
        <f>IF((K500-MAX(K$470:K500))/MAX(K$470:K500)&gt;V499,V499,(K500-MAX(K$470:K500))/MAX(K$470:K500))</f>
        <v>-0.3822225682274501</v>
      </c>
      <c r="W500" s="564">
        <f>IF((N500-MAX(N$470:N500))/MAX(N$470:N500)&gt;W499,W499,(N500-MAX(N$470:N500))/MAX(N$470:N500))</f>
        <v>-4.0667090565226442E-3</v>
      </c>
      <c r="X500" s="564">
        <f>IF((O500-MAX(O$470:O500))/MAX(O$470:O500)&gt;X499,X499,(O500-MAX(O$470:O500))/MAX(O$470:O500))</f>
        <v>-4.0667090565226355E-3</v>
      </c>
    </row>
    <row r="501" spans="1:24">
      <c r="A501" s="799">
        <v>40903</v>
      </c>
      <c r="B501">
        <v>4.0179999999999998</v>
      </c>
      <c r="C501">
        <v>7.371067</v>
      </c>
      <c r="D501">
        <v>0.81869400000000003</v>
      </c>
      <c r="E501">
        <f>LN(D501/参数实验室!$E$53)/参数实验室!$E$55</f>
        <v>-0.92897190339773394</v>
      </c>
      <c r="F501">
        <f t="shared" si="18"/>
        <v>1.8345114484818319</v>
      </c>
      <c r="G501">
        <f>LN(F501/参数实验室!$E$58)/参数实验室!$E$59</f>
        <v>0.12793996973023539</v>
      </c>
      <c r="H501" s="856">
        <f>INDEX(神经网络!$G$10:$BO$70,MATCH(ROUND(G501*2,1)/2,神经网络!$E$10:$E$70,0),MATCH(ROUND(E501*2,1)/2,神经网络!$G$8:$BO$8,0))</f>
        <v>-2.996477770490634E-2</v>
      </c>
      <c r="I501">
        <f t="shared" si="20"/>
        <v>1.0585456058076341</v>
      </c>
      <c r="J501">
        <f t="shared" si="21"/>
        <v>1.6032879773353017</v>
      </c>
      <c r="K501">
        <f t="shared" si="22"/>
        <v>0.66023423163626482</v>
      </c>
      <c r="L501" s="4">
        <f>MIN(MAX(L500*(1+MAX(MIN(((B501-B500)/B500)/($K$7*卓尔金历!$N$40),0),-卓尔金历!$M$43))+MIN(MAX(((B501-B500)/B500)/($K$7*卓尔金历!$N$40),0),卓尔金历!$M$43),0),1)</f>
        <v>0.25141743030530994</v>
      </c>
      <c r="M501" s="4">
        <f>MIN(MAX(M500*(1+MAX(MIN(((B501-B500)/B500)/($K$7*30),0),-卓尔金历!$M$43))+MIN(MAX(((B501-B500)/B500)/($K$7*7),0),卓尔金历!$M$43),0),1)</f>
        <v>0.62570871515265503</v>
      </c>
      <c r="N501">
        <f t="shared" si="25"/>
        <v>1.0358896030614921</v>
      </c>
      <c r="O501">
        <f t="shared" si="23"/>
        <v>1.0523553162646777</v>
      </c>
      <c r="P501">
        <f t="shared" si="24"/>
        <v>-4.8994082840236652E-2</v>
      </c>
      <c r="Q501">
        <f t="shared" si="26"/>
        <v>4.3265172651850058E-2</v>
      </c>
      <c r="R501">
        <f t="shared" si="27"/>
        <v>3.5623163801172857E-2</v>
      </c>
      <c r="S501">
        <f t="shared" si="19"/>
        <v>1.0015123041322018</v>
      </c>
      <c r="T501" s="564">
        <f>IF((I501-MAX(I$470:I501))/MAX(I$470:I501)&gt;T500,T500,(I501-MAX(I$470:I501))/MAX(I$470:I501))</f>
        <v>-4.0667090565227456E-3</v>
      </c>
      <c r="U501" s="564">
        <f>IF((J501-MAX(J$470:J501))/MAX(J$470:J501)&gt;U500,U500,(J501-MAX(J$470:J501))/MAX(J$470:J501))</f>
        <v>-0.10307855285544605</v>
      </c>
      <c r="V501" s="564">
        <f>IF((K501-MAX(K$470:K501))/MAX(K$470:K501)&gt;V500,V500,(K501-MAX(K$470:K501))/MAX(K$470:K501))</f>
        <v>-0.3822225682274501</v>
      </c>
      <c r="W501" s="564">
        <f>IF((N501-MAX(N$470:N501))/MAX(N$470:N501)&gt;W500,W500,(N501-MAX(N$470:N501))/MAX(N$470:N501))</f>
        <v>-4.0667090565226442E-3</v>
      </c>
      <c r="X501" s="564">
        <f>IF((O501-MAX(O$470:O501))/MAX(O$470:O501)&gt;X500,X500,(O501-MAX(O$470:O501))/MAX(O$470:O501))</f>
        <v>-4.0667090565226355E-3</v>
      </c>
    </row>
    <row r="502" spans="1:24">
      <c r="A502" s="799">
        <v>40904</v>
      </c>
      <c r="B502">
        <v>4.07</v>
      </c>
      <c r="C502">
        <v>7.2398280000000002</v>
      </c>
      <c r="D502">
        <v>0.83793399999999996</v>
      </c>
      <c r="E502">
        <f>LN(D502/参数实验室!$E$53)/参数实验室!$E$55</f>
        <v>-0.90156747337649001</v>
      </c>
      <c r="F502">
        <f t="shared" si="18"/>
        <v>1.7788275184275184</v>
      </c>
      <c r="G502">
        <f>LN(F502/参数实验室!$E$58)/参数实验室!$E$59</f>
        <v>0.11176199693127431</v>
      </c>
      <c r="H502" s="856">
        <f>INDEX(神经网络!$G$10:$BO$70,MATCH(ROUND(G502*2,1)/2,神经网络!$E$10:$E$70,0),MATCH(ROUND(E502*2,1)/2,神经网络!$G$8:$BO$8,0))</f>
        <v>-6.5486849937294242E-2</v>
      </c>
      <c r="I502">
        <f t="shared" si="20"/>
        <v>1.0581351049724017</v>
      </c>
      <c r="J502">
        <f t="shared" si="21"/>
        <v>1.6240373488687603</v>
      </c>
      <c r="K502">
        <f t="shared" si="22"/>
        <v>0.65154604092661816</v>
      </c>
      <c r="L502" s="4">
        <f>MIN(MAX(L501*(1+MAX(MIN(((B502-B501)/B501)/($K$7*卓尔金历!$N$40),0),-卓尔金历!$M$43))+MIN(MAX(((B502-B501)/B501)/($K$7*卓尔金历!$N$40),0),卓尔金历!$M$43),0),1)</f>
        <v>0.4491551354653327</v>
      </c>
      <c r="M502" s="4">
        <f>MIN(MAX(M501*(1+MAX(MIN(((B502-B501)/B501)/($K$7*30),0),-卓尔金历!$M$43))+MIN(MAX(((B502-B501)/B501)/($K$7*7),0),卓尔金历!$M$43),0),1)</f>
        <v>1</v>
      </c>
      <c r="N502">
        <f t="shared" si="25"/>
        <v>1.0357886049324114</v>
      </c>
      <c r="O502">
        <f t="shared" si="23"/>
        <v>1.0520999643757321</v>
      </c>
      <c r="P502">
        <f t="shared" si="24"/>
        <v>1.2941762070682055E-2</v>
      </c>
      <c r="Q502">
        <f t="shared" si="26"/>
        <v>4.2542819654144547E-2</v>
      </c>
      <c r="R502">
        <f t="shared" si="27"/>
        <v>1</v>
      </c>
      <c r="S502">
        <f t="shared" si="19"/>
        <v>1.0014984686834987</v>
      </c>
      <c r="T502" s="564">
        <f>IF((I502-MAX(I$470:I502))/MAX(I$470:I502)&gt;T501,T501,(I502-MAX(I$470:I502))/MAX(I$470:I502))</f>
        <v>-4.0667090565227456E-3</v>
      </c>
      <c r="U502" s="564">
        <f>IF((J502-MAX(J$470:J502))/MAX(J$470:J502)&gt;U501,U501,(J502-MAX(J$470:J502))/MAX(J$470:J502))</f>
        <v>-0.10307855285544605</v>
      </c>
      <c r="V502" s="564">
        <f>IF((K502-MAX(K$470:K502))/MAX(K$470:K502)&gt;V501,V501,(K502-MAX(K$470:K502))/MAX(K$470:K502))</f>
        <v>-0.3822225682274501</v>
      </c>
      <c r="W502" s="564">
        <f>IF((N502-MAX(N$470:N502))/MAX(N$470:N502)&gt;W501,W501,(N502-MAX(N$470:N502))/MAX(N$470:N502))</f>
        <v>-4.0667090565226442E-3</v>
      </c>
      <c r="X502" s="564">
        <f>IF((O502-MAX(O$470:O502))/MAX(O$470:O502)&gt;X501,X501,(O502-MAX(O$470:O502))/MAX(O$470:O502))</f>
        <v>-4.0667090565226355E-3</v>
      </c>
    </row>
    <row r="503" spans="1:24">
      <c r="A503" s="799">
        <v>40905</v>
      </c>
      <c r="B503">
        <v>4.1855000000000002</v>
      </c>
      <c r="C503">
        <v>7.1278610000000002</v>
      </c>
      <c r="D503">
        <v>0.86007199999999995</v>
      </c>
      <c r="E503">
        <f>LN(D503/参数实验室!$E$53)/参数实验室!$E$55</f>
        <v>-0.87080332144969819</v>
      </c>
      <c r="F503">
        <f t="shared" si="18"/>
        <v>1.702989129136304</v>
      </c>
      <c r="G503">
        <f>LN(F503/参数实验室!$E$58)/参数实验室!$E$59</f>
        <v>8.8894404677027347E-2</v>
      </c>
      <c r="H503" s="856">
        <f>INDEX(神经网络!$G$10:$BO$70,MATCH(ROUND(G503*2,1)/2,神经网络!$E$10:$E$70,0),MATCH(ROUND(E503*2,1)/2,神经网络!$G$8:$BO$8,0))</f>
        <v>-0.1058115802451777</v>
      </c>
      <c r="I503">
        <f t="shared" si="20"/>
        <v>1.0561686554703924</v>
      </c>
      <c r="J503">
        <f t="shared" si="21"/>
        <v>1.6701248952555763</v>
      </c>
      <c r="K503">
        <f t="shared" si="22"/>
        <v>0.63238902579724066</v>
      </c>
      <c r="L503" s="4">
        <f>MIN(MAX(L502*(1+MAX(MIN(((B503-B502)/B502)/($K$7*卓尔金历!$N$40),0),-卓尔金历!$M$43))+MIN(MAX(((B503-B502)/B502)/($K$7*卓尔金历!$N$40),0),卓尔金历!$M$43),0),1)</f>
        <v>0.88274952439444476</v>
      </c>
      <c r="M503" s="4">
        <f>MIN(MAX(M502*(1+MAX(MIN(((B503-B502)/B502)/($K$7*30),0),-卓尔金历!$M$43))+MIN(MAX(((B503-B502)/B502)/($K$7*7),0),卓尔金历!$M$43),0),1)</f>
        <v>1</v>
      </c>
      <c r="N503">
        <f t="shared" si="25"/>
        <v>1.0349240169913043</v>
      </c>
      <c r="O503">
        <f t="shared" si="23"/>
        <v>1.0501447306430183</v>
      </c>
      <c r="P503">
        <f t="shared" si="24"/>
        <v>2.8378378378378359E-2</v>
      </c>
      <c r="Q503">
        <f t="shared" si="26"/>
        <v>4.2149108912228048E-2</v>
      </c>
      <c r="R503">
        <f t="shared" si="27"/>
        <v>0.45495817690093837</v>
      </c>
      <c r="S503">
        <f t="shared" si="19"/>
        <v>0.99963727330707541</v>
      </c>
      <c r="T503" s="564">
        <f>IF((I503-MAX(I$470:I503))/MAX(I$470:I503)&gt;T502,T502,(I503-MAX(I$470:I503))/MAX(I$470:I503))</f>
        <v>-4.0667090565227456E-3</v>
      </c>
      <c r="U503" s="564">
        <f>IF((J503-MAX(J$470:J503))/MAX(J$470:J503)&gt;U502,U502,(J503-MAX(J$470:J503))/MAX(J$470:J503))</f>
        <v>-0.10307855285544605</v>
      </c>
      <c r="V503" s="564">
        <f>IF((K503-MAX(K$470:K503))/MAX(K$470:K503)&gt;V502,V502,(K503-MAX(K$470:K503))/MAX(K$470:K503))</f>
        <v>-0.3822225682274501</v>
      </c>
      <c r="W503" s="564">
        <f>IF((N503-MAX(N$470:N503))/MAX(N$470:N503)&gt;W502,W502,(N503-MAX(N$470:N503))/MAX(N$470:N503))</f>
        <v>-4.0667090565226442E-3</v>
      </c>
      <c r="X503" s="564">
        <f>IF((O503-MAX(O$470:O503))/MAX(O$470:O503)&gt;X502,X502,(O503-MAX(O$470:O503))/MAX(O$470:O503))</f>
        <v>-4.0667090565226355E-3</v>
      </c>
    </row>
    <row r="504" spans="1:24">
      <c r="A504" s="799">
        <v>40906</v>
      </c>
      <c r="B504">
        <v>4.1660000000000004</v>
      </c>
      <c r="C504">
        <v>7.149019</v>
      </c>
      <c r="D504">
        <v>0.85308799999999996</v>
      </c>
      <c r="E504">
        <f>LN(D504/参数实验室!$E$53)/参数实验室!$E$55</f>
        <v>-0.88042232060993975</v>
      </c>
      <c r="F504">
        <f t="shared" si="18"/>
        <v>1.7160391262602015</v>
      </c>
      <c r="G504">
        <f>LN(F504/参数实验室!$E$58)/参数实验室!$E$59</f>
        <v>9.2901026736241191E-2</v>
      </c>
      <c r="H504" s="856">
        <f>INDEX(神经网络!$G$10:$BO$70,MATCH(ROUND(G504*2,1)/2,神经网络!$E$10:$E$70,0),MATCH(ROUND(E504*2,1)/2,神经网络!$G$8:$BO$8,0))</f>
        <v>-6.5486849937294242E-2</v>
      </c>
      <c r="I504">
        <f t="shared" si="20"/>
        <v>1.0566893149021435</v>
      </c>
      <c r="J504">
        <f t="shared" si="21"/>
        <v>1.6623438809305295</v>
      </c>
      <c r="K504">
        <f t="shared" si="22"/>
        <v>0.63566228806439307</v>
      </c>
      <c r="L504" s="4">
        <f>MIN(MAX(L503*(1+MAX(MIN(((B504-B503)/B503)/($K$7*卓尔金历!$N$40),0),-卓尔金历!$M$43))+MIN(MAX(((B504-B503)/B503)/($K$7*卓尔金历!$N$40),0),卓尔金历!$M$43),0),1)</f>
        <v>0.81991174405343847</v>
      </c>
      <c r="M504" s="4">
        <f>MIN(MAX(M503*(1+MAX(MIN(((B504-B503)/B503)/($K$7*30),0),-卓尔金历!$M$43))+MIN(MAX(((B504-B503)/B503)/($K$7*7),0),卓尔金历!$M$43),0),1)</f>
        <v>0.96440792172382517</v>
      </c>
      <c r="N504">
        <f t="shared" si="25"/>
        <v>1.0353743838488085</v>
      </c>
      <c r="O504">
        <f t="shared" si="23"/>
        <v>1.0506624204607202</v>
      </c>
      <c r="P504">
        <f t="shared" si="24"/>
        <v>-4.6589415840401025E-3</v>
      </c>
      <c r="Q504">
        <f t="shared" si="26"/>
        <v>4.2180237673039987E-2</v>
      </c>
      <c r="R504">
        <f t="shared" si="27"/>
        <v>1</v>
      </c>
      <c r="S504">
        <f t="shared" si="19"/>
        <v>0.99986147267387104</v>
      </c>
      <c r="T504" s="564">
        <f>IF((I504-MAX(I$470:I504))/MAX(I$470:I504)&gt;T503,T503,(I504-MAX(I$470:I504))/MAX(I$470:I504))</f>
        <v>-4.0667090565227456E-3</v>
      </c>
      <c r="U504" s="564">
        <f>IF((J504-MAX(J$470:J504))/MAX(J$470:J504)&gt;U503,U503,(J504-MAX(J$470:J504))/MAX(J$470:J504))</f>
        <v>-0.10307855285544605</v>
      </c>
      <c r="V504" s="564">
        <f>IF((K504-MAX(K$470:K504))/MAX(K$470:K504)&gt;V503,V503,(K504-MAX(K$470:K504))/MAX(K$470:K504))</f>
        <v>-0.3822225682274501</v>
      </c>
      <c r="W504" s="564">
        <f>IF((N504-MAX(N$470:N504))/MAX(N$470:N504)&gt;W503,W503,(N504-MAX(N$470:N504))/MAX(N$470:N504))</f>
        <v>-4.0667090565226442E-3</v>
      </c>
      <c r="X504" s="564">
        <f>IF((O504-MAX(O$470:O504))/MAX(O$470:O504)&gt;X503,X503,(O504-MAX(O$470:O504))/MAX(O$470:O504))</f>
        <v>-4.0667090565226355E-3</v>
      </c>
    </row>
    <row r="505" spans="1:24">
      <c r="A505" s="799">
        <v>40907</v>
      </c>
      <c r="B505">
        <v>4.2480000000000002</v>
      </c>
      <c r="C505">
        <v>7.2683080000000002</v>
      </c>
      <c r="D505">
        <v>0.880409</v>
      </c>
      <c r="E505">
        <f>LN(D505/参数实验室!$E$53)/参数实验室!$E$55</f>
        <v>-0.84323193890069958</v>
      </c>
      <c r="F505">
        <f t="shared" si="18"/>
        <v>1.7109952919020714</v>
      </c>
      <c r="G505">
        <f>LN(F505/参数实验室!$E$58)/参数实验室!$E$59</f>
        <v>9.1356088201092242E-2</v>
      </c>
      <c r="H505" s="856">
        <f>INDEX(神经网络!$G$10:$BO$70,MATCH(ROUND(G505*2,1)/2,神经网络!$E$10:$E$70,0),MATCH(ROUND(E505*2,1)/2,神经网络!$G$8:$BO$8,0))</f>
        <v>-0.1058115802451777</v>
      </c>
      <c r="I505">
        <f t="shared" si="20"/>
        <v>1.0553272556422255</v>
      </c>
      <c r="J505">
        <f t="shared" si="21"/>
        <v>1.6950640437332909</v>
      </c>
      <c r="K505">
        <f t="shared" si="22"/>
        <v>0.62258842640418577</v>
      </c>
      <c r="L505" s="4">
        <f>MIN(MAX(L504*(1+MAX(MIN(((B505-B504)/B504)/($K$7*卓尔金历!$N$40),0),-卓尔金历!$M$43))+MIN(MAX(((B505-B504)/B504)/($K$7*卓尔金历!$N$40),0),卓尔金历!$M$43),0),1)</f>
        <v>1</v>
      </c>
      <c r="M505" s="4">
        <f>MIN(MAX(M504*(1+MAX(MIN(((B505-B504)/B504)/($K$7*30),0),-卓尔金历!$M$43))+MIN(MAX(((B505-B504)/B504)/($K$7*7),0),卓尔金历!$M$43),0),1)</f>
        <v>1</v>
      </c>
      <c r="N505">
        <f t="shared" si="25"/>
        <v>1.0342801422770824</v>
      </c>
      <c r="O505">
        <f t="shared" si="23"/>
        <v>1.0493563318115555</v>
      </c>
      <c r="P505">
        <f t="shared" si="24"/>
        <v>1.9683149303888585E-2</v>
      </c>
      <c r="Q505">
        <f t="shared" si="26"/>
        <v>4.1937100913568497E-2</v>
      </c>
      <c r="R505">
        <f t="shared" si="27"/>
        <v>0.83049370068174511</v>
      </c>
      <c r="S505">
        <f t="shared" si="19"/>
        <v>0.99857266378909804</v>
      </c>
      <c r="T505" s="564">
        <f>IF((I505-MAX(I$470:I505))/MAX(I$470:I505)&gt;T504,T504,(I505-MAX(I$470:I505))/MAX(I$470:I505))</f>
        <v>-4.0667090565227456E-3</v>
      </c>
      <c r="U505" s="564">
        <f>IF((J505-MAX(J$470:J505))/MAX(J$470:J505)&gt;U504,U504,(J505-MAX(J$470:J505))/MAX(J$470:J505))</f>
        <v>-0.10307855285544605</v>
      </c>
      <c r="V505" s="564">
        <f>IF((K505-MAX(K$470:K505))/MAX(K$470:K505)&gt;V504,V504,(K505-MAX(K$470:K505))/MAX(K$470:K505))</f>
        <v>-0.38425987815549939</v>
      </c>
      <c r="W505" s="564">
        <f>IF((N505-MAX(N$470:N505))/MAX(N$470:N505)&gt;W504,W504,(N505-MAX(N$470:N505))/MAX(N$470:N505))</f>
        <v>-4.0667090565226442E-3</v>
      </c>
      <c r="X505" s="564">
        <f>IF((O505-MAX(O$470:O505))/MAX(O$470:O505)&gt;X504,X504,(O505-MAX(O$470:O505))/MAX(O$470:O505))</f>
        <v>-4.0667090565226355E-3</v>
      </c>
    </row>
    <row r="506" spans="1:24">
      <c r="A506" s="799">
        <v>40908</v>
      </c>
      <c r="B506">
        <v>4.7220000000000004</v>
      </c>
      <c r="C506">
        <v>7.4469760000000003</v>
      </c>
      <c r="D506">
        <v>0.96110899999999999</v>
      </c>
      <c r="E506">
        <f>LN(D506/参数实验室!$E$53)/参数实验室!$E$55</f>
        <v>-0.73976610019507327</v>
      </c>
      <c r="F506">
        <f t="shared" si="18"/>
        <v>1.577080897924608</v>
      </c>
      <c r="G506">
        <f>LN(F506/参数实验室!$E$58)/参数实验室!$E$59</f>
        <v>4.8580673710163502E-2</v>
      </c>
      <c r="H506" s="856">
        <f>INDEX(神经网络!$G$10:$BO$70,MATCH(ROUND(G506*2,1)/2,神经网络!$E$10:$E$70,0),MATCH(ROUND(E506*2,1)/2,神经网络!$G$8:$BO$8,0))</f>
        <v>-0.21232817533669729</v>
      </c>
      <c r="I506">
        <f t="shared" si="20"/>
        <v>1.0428673662029182</v>
      </c>
      <c r="J506">
        <f t="shared" si="21"/>
        <v>1.8842025457882767</v>
      </c>
      <c r="K506">
        <f t="shared" si="22"/>
        <v>0.55347943804344202</v>
      </c>
      <c r="L506" s="4">
        <f>MIN(MAX(L505*(1+MAX(MIN(((B506-B505)/B505)/($K$7*卓尔金历!$N$40),0),-卓尔金历!$M$43))+MIN(MAX(((B506-B505)/B505)/($K$7*卓尔金历!$N$40),0),卓尔金历!$M$43),0),1)</f>
        <v>1</v>
      </c>
      <c r="M506" s="4">
        <f>MIN(MAX(M505*(1+MAX(MIN(((B506-B505)/B505)/($K$7*30),0),-卓尔金历!$M$43))+MIN(MAX(((B506-B505)/B505)/($K$7*7),0),卓尔金历!$M$43),0),1)</f>
        <v>1</v>
      </c>
      <c r="N506">
        <f t="shared" si="25"/>
        <v>1.02206874893616</v>
      </c>
      <c r="O506">
        <f t="shared" si="23"/>
        <v>1.0369669390360867</v>
      </c>
      <c r="P506">
        <f t="shared" si="24"/>
        <v>0.11158192090395484</v>
      </c>
      <c r="Q506">
        <f t="shared" si="26"/>
        <v>4.6426606788651049E-2</v>
      </c>
      <c r="R506">
        <f t="shared" si="27"/>
        <v>5.1630307927414505E-3</v>
      </c>
      <c r="S506">
        <f t="shared" si="19"/>
        <v>0.98878130308989409</v>
      </c>
      <c r="T506" s="564">
        <f>IF((I506-MAX(I$470:I506))/MAX(I$470:I506)&gt;T505,T505,(I506-MAX(I$470:I506))/MAX(I$470:I506))</f>
        <v>-1.4811113964951907E-2</v>
      </c>
      <c r="U506" s="564">
        <f>IF((J506-MAX(J$470:J506))/MAX(J$470:J506)&gt;U505,U505,(J506-MAX(J$470:J506))/MAX(J$470:J506))</f>
        <v>-0.10307855285544605</v>
      </c>
      <c r="V506" s="564">
        <f>IF((K506-MAX(K$470:K506))/MAX(K$470:K506)&gt;V505,V505,(K506-MAX(K$470:K506))/MAX(K$470:K506))</f>
        <v>-0.45260868630724121</v>
      </c>
      <c r="W506" s="564">
        <f>IF((N506-MAX(N$470:N506))/MAX(N$470:N506)&gt;W505,W505,(N506-MAX(N$470:N506))/MAX(N$470:N506))</f>
        <v>-1.3342014520162872E-2</v>
      </c>
      <c r="X506" s="564">
        <f>IF((O506-MAX(O$470:O506))/MAX(O$470:O506)&gt;X505,X505,(O506-MAX(O$470:O506))/MAX(O$470:O506))</f>
        <v>-1.4622796113400029E-2</v>
      </c>
    </row>
    <row r="507" spans="1:24">
      <c r="A507" s="799">
        <v>40909</v>
      </c>
      <c r="B507">
        <v>5.2676999999999996</v>
      </c>
      <c r="C507">
        <v>7.4358909999999998</v>
      </c>
      <c r="D507">
        <v>1.0762370000000001</v>
      </c>
      <c r="E507">
        <f>LN(D507/参数实验室!$E$53)/参数实验室!$E$55</f>
        <v>-0.60629099996575897</v>
      </c>
      <c r="F507">
        <f t="shared" si="18"/>
        <v>1.4116010782694535</v>
      </c>
      <c r="G507">
        <f>LN(F507/参数实验室!$E$58)/参数实验室!$E$59</f>
        <v>-9.5999368322555647E-3</v>
      </c>
      <c r="H507" s="856">
        <f>INDEX(神经网络!$G$10:$BO$70,MATCH(ROUND(G507*2,1)/2,神经网络!$E$10:$E$70,0),MATCH(ROUND(E507*2,1)/2,神经网络!$G$8:$BO$8,0))</f>
        <v>-0.27883851114542579</v>
      </c>
      <c r="I507">
        <f t="shared" si="20"/>
        <v>1.0172776967400217</v>
      </c>
      <c r="J507">
        <f t="shared" si="21"/>
        <v>2.1019512389768962</v>
      </c>
      <c r="K507">
        <f t="shared" si="22"/>
        <v>0.48396826618831151</v>
      </c>
      <c r="L507" s="4">
        <f>MIN(MAX(L506*(1+MAX(MIN(((B507-B506)/B506)/($K$7*卓尔金历!$N$40),0),-卓尔金历!$M$43))+MIN(MAX(((B507-B506)/B506)/($K$7*卓尔金历!$N$40),0),卓尔金历!$M$43),0),1)</f>
        <v>1</v>
      </c>
      <c r="M507" s="4">
        <f>MIN(MAX(M506*(1+MAX(MIN(((B507-B506)/B506)/($K$7*30),0),-卓尔金历!$M$43))+MIN(MAX(((B507-B506)/B506)/($K$7*7),0),卓尔金历!$M$43),0),1)</f>
        <v>1</v>
      </c>
      <c r="N507">
        <f t="shared" si="25"/>
        <v>0.99698943175619992</v>
      </c>
      <c r="O507">
        <f t="shared" si="23"/>
        <v>1.0115220530670288</v>
      </c>
      <c r="P507">
        <f t="shared" si="24"/>
        <v>0.11556543837357033</v>
      </c>
      <c r="Q507">
        <f t="shared" si="26"/>
        <v>4.9744407258986115E-2</v>
      </c>
      <c r="R507">
        <f t="shared" si="27"/>
        <v>7.2918141567401701E-3</v>
      </c>
      <c r="S507">
        <f t="shared" si="19"/>
        <v>0.98865603496991028</v>
      </c>
      <c r="T507" s="564">
        <f>IF((I507-MAX(I$470:I507))/MAX(I$470:I507)&gt;T506,T506,(I507-MAX(I$470:I507))/MAX(I$470:I507))</f>
        <v>-3.8985480494367987E-2</v>
      </c>
      <c r="U507" s="564">
        <f>IF((J507-MAX(J$470:J507))/MAX(J$470:J507)&gt;U506,U506,(J507-MAX(J$470:J507))/MAX(J$470:J507))</f>
        <v>-0.10307855285544605</v>
      </c>
      <c r="V507" s="564">
        <f>IF((K507-MAX(K$470:K507))/MAX(K$470:K507)&gt;V506,V506,(K507-MAX(K$470:K507))/MAX(K$470:K507))</f>
        <v>-0.52135525404354166</v>
      </c>
      <c r="W507" s="564">
        <f>IF((N507-MAX(N$470:N507))/MAX(N$470:N507)&gt;W506,W506,(N507-MAX(N$470:N507))/MAX(N$470:N507))</f>
        <v>-3.7552429515969418E-2</v>
      </c>
      <c r="X507" s="564">
        <f>IF((O507-MAX(O$470:O507))/MAX(O$470:O507)&gt;X506,X506,(O507-MAX(O$470:O507))/MAX(O$470:O507))</f>
        <v>-3.8801783548341899E-2</v>
      </c>
    </row>
    <row r="508" spans="1:24">
      <c r="A508" s="799">
        <v>40910</v>
      </c>
      <c r="B508">
        <v>5.2168000000000001</v>
      </c>
      <c r="C508">
        <v>7.4650220000000003</v>
      </c>
      <c r="D508">
        <v>1.0592999999999999</v>
      </c>
      <c r="E508">
        <f>LN(D508/参数实验室!$E$53)/参数实验室!$E$55</f>
        <v>-0.62500470023117871</v>
      </c>
      <c r="F508">
        <f t="shared" si="18"/>
        <v>1.4309580585799724</v>
      </c>
      <c r="G508">
        <f>LN(F508/参数实验室!$E$58)/参数实验室!$E$59</f>
        <v>-2.4516272046491636E-3</v>
      </c>
      <c r="H508" s="856">
        <f>INDEX(神经网络!$G$10:$BO$70,MATCH(ROUND(G508*2,1)/2,神经网络!$E$10:$E$70,0),MATCH(ROUND(E508*2,1)/2,神经网络!$G$8:$BO$8,0))</f>
        <v>-0.29351875486040024</v>
      </c>
      <c r="I508">
        <f t="shared" si="20"/>
        <v>1.020018570460538</v>
      </c>
      <c r="J508">
        <f t="shared" si="21"/>
        <v>2.0816407964566457</v>
      </c>
      <c r="K508">
        <f t="shared" si="22"/>
        <v>0.49000700418477888</v>
      </c>
      <c r="L508" s="4">
        <f>MIN(MAX(L507*(1+MAX(MIN(((B508-B507)/B507)/($K$7*卓尔金历!$N$40),0),-卓尔金历!$M$43))+MIN(MAX(((B508-B507)/B507)/($K$7*卓尔金历!$N$40),0),卓尔金历!$M$43),0),1)</f>
        <v>0.85236381059589772</v>
      </c>
      <c r="M508" s="4">
        <f>MIN(MAX(M507*(1+MAX(MIN(((B508-B507)/B507)/($K$7*30),0),-卓尔金历!$M$43))+MIN(MAX(((B508-B507)/B507)/($K$7*7),0),卓尔金历!$M$43),0),1)</f>
        <v>0.92618190529794886</v>
      </c>
      <c r="N508">
        <f t="shared" si="25"/>
        <v>0.99967564235718942</v>
      </c>
      <c r="O508">
        <f t="shared" si="23"/>
        <v>1.0142474192299349</v>
      </c>
      <c r="P508">
        <f t="shared" si="24"/>
        <v>-9.6626611234503675E-3</v>
      </c>
      <c r="Q508">
        <f t="shared" si="26"/>
        <v>4.8539537445478537E-2</v>
      </c>
      <c r="R508">
        <f t="shared" si="27"/>
        <v>1</v>
      </c>
      <c r="S508">
        <f t="shared" si="19"/>
        <v>0.98867545859635531</v>
      </c>
      <c r="T508" s="564">
        <f>IF((I508-MAX(I$470:I508))/MAX(I$470:I508)&gt;T507,T507,(I508-MAX(I$470:I508))/MAX(I$470:I508))</f>
        <v>-3.8985480494367987E-2</v>
      </c>
      <c r="U508" s="564">
        <f>IF((J508-MAX(J$470:J508))/MAX(J$470:J508)&gt;U507,U507,(J508-MAX(J$470:J508))/MAX(J$470:J508))</f>
        <v>-0.10307855285544605</v>
      </c>
      <c r="V508" s="564">
        <f>IF((K508-MAX(K$470:K508))/MAX(K$470:K508)&gt;V507,V507,(K508-MAX(K$470:K508))/MAX(K$470:K508))</f>
        <v>-0.52135525404354166</v>
      </c>
      <c r="W508" s="564">
        <f>IF((N508-MAX(N$470:N508))/MAX(N$470:N508)&gt;W507,W507,(N508-MAX(N$470:N508))/MAX(N$470:N508))</f>
        <v>-3.7552429515969418E-2</v>
      </c>
      <c r="X508" s="564">
        <f>IF((O508-MAX(O$470:O508))/MAX(O$470:O508)&gt;X507,X507,(O508-MAX(O$470:O508))/MAX(O$470:O508))</f>
        <v>-3.8801783548341899E-2</v>
      </c>
    </row>
    <row r="509" spans="1:24">
      <c r="A509" s="799">
        <v>40911</v>
      </c>
      <c r="B509">
        <v>4.8807999999999998</v>
      </c>
      <c r="C509">
        <v>7.3744120000000004</v>
      </c>
      <c r="D509">
        <v>0.99064700000000006</v>
      </c>
      <c r="E509">
        <f>LN(D509/参数实验室!$E$53)/参数实验室!$E$55</f>
        <v>-0.70405445162913405</v>
      </c>
      <c r="F509">
        <f t="shared" si="18"/>
        <v>1.5109023110965416</v>
      </c>
      <c r="G509">
        <f>LN(F509/参数实验室!$E$58)/参数实验室!$E$59</f>
        <v>2.6080928324005992E-2</v>
      </c>
      <c r="H509" s="856">
        <f>INDEX(神经网络!$G$10:$BO$70,MATCH(ROUND(G509*2,1)/2,神经网络!$E$10:$E$70,0),MATCH(ROUND(E509*2,1)/2,神经网络!$G$8:$BO$8,0))</f>
        <v>-0.22051734516424332</v>
      </c>
      <c r="I509">
        <f t="shared" si="20"/>
        <v>1.0393017668888691</v>
      </c>
      <c r="J509">
        <f t="shared" si="21"/>
        <v>1.947567934240453</v>
      </c>
      <c r="K509">
        <f t="shared" si="22"/>
        <v>0.5336408289625052</v>
      </c>
      <c r="L509" s="4">
        <f>MIN(MAX(L508*(1+MAX(MIN(((B509-B508)/B508)/($K$7*卓尔金历!$N$40),0),-卓尔金历!$M$43))+MIN(MAX(((B509-B508)/B508)/($K$7*卓尔金历!$N$40),0),卓尔金历!$M$43),0),1)</f>
        <v>1.356815795226171E-2</v>
      </c>
      <c r="M509" s="4">
        <f>MIN(MAX(M508*(1+MAX(MIN(((B509-B508)/B508)/($K$7*30),0),-卓尔金历!$M$43))+MIN(MAX(((B509-B508)/B508)/($K$7*7),0),卓尔金历!$M$43),0),1)</f>
        <v>0.47046255983559576</v>
      </c>
      <c r="N509">
        <f t="shared" si="25"/>
        <v>1.0157841407951849</v>
      </c>
      <c r="O509">
        <f t="shared" si="23"/>
        <v>1.032006118379464</v>
      </c>
      <c r="P509">
        <f t="shared" si="24"/>
        <v>-6.4407299493942707E-2</v>
      </c>
      <c r="Q509">
        <f t="shared" si="26"/>
        <v>5.2091681445336394E-2</v>
      </c>
      <c r="R509">
        <f t="shared" si="27"/>
        <v>3.8238394193945341E-2</v>
      </c>
      <c r="S509">
        <f t="shared" si="19"/>
        <v>1.0073661213196585</v>
      </c>
      <c r="T509" s="564">
        <f>IF((I509-MAX(I$470:I509))/MAX(I$470:I509)&gt;T508,T508,(I509-MAX(I$470:I509))/MAX(I$470:I509))</f>
        <v>-3.8985480494367987E-2</v>
      </c>
      <c r="U509" s="564">
        <f>IF((J509-MAX(J$470:J509))/MAX(J$470:J509)&gt;U508,U508,(J509-MAX(J$470:J509))/MAX(J$470:J509))</f>
        <v>-0.10307855285544605</v>
      </c>
      <c r="V509" s="564">
        <f>IF((K509-MAX(K$470:K509))/MAX(K$470:K509)&gt;V508,V508,(K509-MAX(K$470:K509))/MAX(K$470:K509))</f>
        <v>-0.52135525404354166</v>
      </c>
      <c r="W509" s="564">
        <f>IF((N509-MAX(N$470:N509))/MAX(N$470:N509)&gt;W508,W508,(N509-MAX(N$470:N509))/MAX(N$470:N509))</f>
        <v>-3.7552429515969418E-2</v>
      </c>
      <c r="X509" s="564">
        <f>IF((O509-MAX(O$470:O509))/MAX(O$470:O509)&gt;X508,X508,(O509-MAX(O$470:O509))/MAX(O$470:O509))</f>
        <v>-3.8801783548341899E-2</v>
      </c>
    </row>
    <row r="510" spans="1:24">
      <c r="A510" s="799">
        <v>40912</v>
      </c>
      <c r="B510">
        <v>5.5738000000000003</v>
      </c>
      <c r="C510">
        <v>7.4431510000000003</v>
      </c>
      <c r="D510">
        <v>1.131121</v>
      </c>
      <c r="E510">
        <f>LN(D510/参数实验室!$E$53)/参数实验室!$E$55</f>
        <v>-0.54761186840265519</v>
      </c>
      <c r="F510">
        <f t="shared" si="18"/>
        <v>1.3353817862140729</v>
      </c>
      <c r="G510">
        <f>LN(F510/参数实验室!$E$58)/参数实验室!$E$59</f>
        <v>-3.8733190505782576E-2</v>
      </c>
      <c r="H510" s="856">
        <f>INDEX(神经网络!$G$10:$BO$70,MATCH(ROUND(G510*2,1)/2,神经网络!$E$10:$E$70,0),MATCH(ROUND(E510*2,1)/2,神经网络!$G$8:$BO$8,0))</f>
        <v>-0.33449656962510349</v>
      </c>
      <c r="I510">
        <f t="shared" si="20"/>
        <v>1.0067610854317357</v>
      </c>
      <c r="J510">
        <f t="shared" si="21"/>
        <v>2.2240932125613502</v>
      </c>
      <c r="K510">
        <f t="shared" si="22"/>
        <v>0.45266137216987923</v>
      </c>
      <c r="L510" s="4">
        <f>MIN(MAX(L509*(1+MAX(MIN(((B510-B509)/B509)/($K$7*卓尔金历!$N$40),0),-卓尔金历!$M$43))+MIN(MAX(((B510-B509)/B509)/($K$7*卓尔金历!$N$40),0),卓尔金历!$M$43),0),1)</f>
        <v>1</v>
      </c>
      <c r="M510" s="4">
        <f>MIN(MAX(M509*(1+MAX(MIN(((B510-B509)/B509)/($K$7*30),0),-卓尔金历!$M$43))+MIN(MAX(((B510-B509)/B509)/($K$7*7),0),卓尔金历!$M$43),0),1)</f>
        <v>1</v>
      </c>
      <c r="N510">
        <f t="shared" si="25"/>
        <v>1.0153526144682452</v>
      </c>
      <c r="O510">
        <f t="shared" si="23"/>
        <v>1.0168044127908693</v>
      </c>
      <c r="P510">
        <f t="shared" si="24"/>
        <v>0.14198492050483538</v>
      </c>
      <c r="Q510">
        <f t="shared" si="26"/>
        <v>5.6725755592156618E-2</v>
      </c>
      <c r="R510">
        <f t="shared" si="27"/>
        <v>4.2979540166837625E-3</v>
      </c>
      <c r="S510">
        <f t="shared" si="19"/>
        <v>1.0061600528468908</v>
      </c>
      <c r="T510" s="564">
        <f>IF((I510-MAX(I$470:I510))/MAX(I$470:I510)&gt;T509,T509,(I510-MAX(I$470:I510))/MAX(I$470:I510))</f>
        <v>-4.8920443381736588E-2</v>
      </c>
      <c r="U510" s="564">
        <f>IF((J510-MAX(J$470:J510))/MAX(J$470:J510)&gt;U509,U509,(J510-MAX(J$470:J510))/MAX(J$470:J510))</f>
        <v>-0.10307855285544605</v>
      </c>
      <c r="V510" s="564">
        <f>IF((K510-MAX(K$470:K510))/MAX(K$470:K510)&gt;V509,V509,(K510-MAX(K$470:K510))/MAX(K$470:K510))</f>
        <v>-0.55231778068223603</v>
      </c>
      <c r="W510" s="564">
        <f>IF((N510-MAX(N$470:N510))/MAX(N$470:N510)&gt;W509,W509,(N510-MAX(N$470:N510))/MAX(N$470:N510))</f>
        <v>-3.7552429515969418E-2</v>
      </c>
      <c r="X510" s="564">
        <f>IF((O510-MAX(O$470:O510))/MAX(O$470:O510)&gt;X509,X509,(O510-MAX(O$470:O510))/MAX(O$470:O510))</f>
        <v>-3.8801783548341899E-2</v>
      </c>
    </row>
    <row r="511" spans="1:24">
      <c r="A511" s="799">
        <v>40913</v>
      </c>
      <c r="B511">
        <v>6.9476000000000004</v>
      </c>
      <c r="C511">
        <v>7.5893889999999997</v>
      </c>
      <c r="D511">
        <v>1.3752489999999999</v>
      </c>
      <c r="E511">
        <f>LN(D511/参数实验室!$E$53)/参数实验室!$E$55</f>
        <v>-0.3170578483371862</v>
      </c>
      <c r="F511">
        <f t="shared" si="18"/>
        <v>1.0923756405089526</v>
      </c>
      <c r="G511">
        <f>LN(F511/参数实验室!$E$58)/参数实验室!$E$59</f>
        <v>-0.14415664471126352</v>
      </c>
      <c r="H511" s="856">
        <f>INDEX(神经网络!$G$10:$BO$70,MATCH(ROUND(G511*2,1)/2,神经网络!$E$10:$E$70,0),MATCH(ROUND(E511*2,1)/2,神经网络!$G$8:$BO$8,0))</f>
        <v>-0.31016069708053556</v>
      </c>
      <c r="I511">
        <f t="shared" si="20"/>
        <v>0.92375876774552323</v>
      </c>
      <c r="J511">
        <f t="shared" si="21"/>
        <v>2.7722756474202943</v>
      </c>
      <c r="K511">
        <f t="shared" si="22"/>
        <v>0.33321317402369971</v>
      </c>
      <c r="L511" s="4">
        <f>MIN(MAX(L510*(1+MAX(MIN(((B511-B510)/B510)/($K$7*卓尔金历!$N$40),0),-卓尔金历!$M$43))+MIN(MAX(((B511-B510)/B510)/($K$7*卓尔金历!$N$40),0),卓尔金历!$M$43),0),1)</f>
        <v>1</v>
      </c>
      <c r="M511" s="4">
        <f>MIN(MAX(M510*(1+MAX(MIN(((B511-B510)/B510)/($K$7*30),0),-卓尔金历!$M$43))+MIN(MAX(((B511-B510)/B510)/($K$7*7),0),卓尔金历!$M$43),0),1)</f>
        <v>1</v>
      </c>
      <c r="N511">
        <f t="shared" si="25"/>
        <v>0.93164196902401963</v>
      </c>
      <c r="O511">
        <f t="shared" si="23"/>
        <v>0.93297407397814303</v>
      </c>
      <c r="P511">
        <f t="shared" si="24"/>
        <v>0.24647457748753096</v>
      </c>
      <c r="Q511">
        <f t="shared" si="26"/>
        <v>7.3071240874637511E-2</v>
      </c>
      <c r="R511">
        <f t="shared" si="27"/>
        <v>0</v>
      </c>
      <c r="S511">
        <f t="shared" si="19"/>
        <v>1.0058035256747231</v>
      </c>
      <c r="T511" s="564">
        <f>IF((I511-MAX(I$470:I511))/MAX(I$470:I511)&gt;T510,T510,(I511-MAX(I$470:I511))/MAX(I$470:I511))</f>
        <v>-0.12733210295580336</v>
      </c>
      <c r="U511" s="564">
        <f>IF((J511-MAX(J$470:J511))/MAX(J$470:J511)&gt;U510,U510,(J511-MAX(J$470:J511))/MAX(J$470:J511))</f>
        <v>-0.10307855285544605</v>
      </c>
      <c r="V511" s="564">
        <f>IF((K511-MAX(K$470:K511))/MAX(K$470:K511)&gt;V510,V510,(K511-MAX(K$470:K511))/MAX(K$470:K511))</f>
        <v>-0.67045208090593855</v>
      </c>
      <c r="W511" s="564">
        <f>IF((N511-MAX(N$470:N511))/MAX(N$470:N511)&gt;W510,W510,(N511-MAX(N$470:N511))/MAX(N$470:N511))</f>
        <v>-0.10063585321194134</v>
      </c>
      <c r="X511" s="564">
        <f>IF((O511-MAX(O$470:O511))/MAX(O$470:O511)&gt;X510,X510,(O511-MAX(O$470:O511))/MAX(O$470:O511))</f>
        <v>-0.11344195296155003</v>
      </c>
    </row>
    <row r="512" spans="1:24">
      <c r="A512" s="799">
        <v>40914</v>
      </c>
      <c r="B512">
        <v>6.6969000000000003</v>
      </c>
      <c r="C512">
        <v>7.4481919999999997</v>
      </c>
      <c r="D512">
        <v>1.3299179999999999</v>
      </c>
      <c r="E512">
        <f>LN(D512/参数实验室!$E$53)/参数实验室!$E$55</f>
        <v>-0.35660025062054873</v>
      </c>
      <c r="F512">
        <f t="shared" si="18"/>
        <v>1.1121850408397915</v>
      </c>
      <c r="G512">
        <f>LN(F512/参数实验室!$E$58)/参数实验室!$E$59</f>
        <v>-0.1347240863048616</v>
      </c>
      <c r="H512" s="856">
        <f>INDEX(神经网络!$G$10:$BO$70,MATCH(ROUND(G512*2,1)/2,神经网络!$E$10:$E$70,0),MATCH(ROUND(E512*2,1)/2,神经网络!$G$8:$BO$8,0))</f>
        <v>-0.35365214793145566</v>
      </c>
      <c r="I512">
        <f t="shared" si="20"/>
        <v>0.93409744230924141</v>
      </c>
      <c r="J512">
        <f t="shared" si="21"/>
        <v>2.6722397350464866</v>
      </c>
      <c r="K512">
        <f t="shared" si="22"/>
        <v>0.34955600354958111</v>
      </c>
      <c r="L512" s="4">
        <f>MIN(MAX(L511*(1+MAX(MIN(((B512-B511)/B511)/($K$7*卓尔金历!$N$40),0),-卓尔金历!$M$43))+MIN(MAX(((B512-B511)/B511)/($K$7*卓尔金历!$N$40),0),卓尔金历!$M$43),0),1)</f>
        <v>0.44866494599470386</v>
      </c>
      <c r="M512" s="4">
        <f>MIN(MAX(M511*(1+MAX(MIN(((B512-B511)/B511)/($K$7*30),0),-卓尔金历!$M$43))+MIN(MAX(((B512-B511)/B511)/($K$7*7),0),卓尔金历!$M$43),0),1)</f>
        <v>0.72433247299735193</v>
      </c>
      <c r="N512">
        <f t="shared" si="25"/>
        <v>0.94206887209000967</v>
      </c>
      <c r="O512">
        <f t="shared" si="23"/>
        <v>0.94341588591437742</v>
      </c>
      <c r="P512">
        <f t="shared" si="24"/>
        <v>-3.6084403247164505E-2</v>
      </c>
      <c r="Q512">
        <f t="shared" si="26"/>
        <v>7.4405198804118694E-2</v>
      </c>
      <c r="R512">
        <f t="shared" si="27"/>
        <v>0.84961543357773217</v>
      </c>
      <c r="S512">
        <f t="shared" si="19"/>
        <v>1.0058035256747231</v>
      </c>
      <c r="T512" s="564">
        <f>IF((I512-MAX(I$470:I512))/MAX(I$470:I512)&gt;T511,T511,(I512-MAX(I$470:I512))/MAX(I$470:I512))</f>
        <v>-0.12733210295580336</v>
      </c>
      <c r="U512" s="564">
        <f>IF((J512-MAX(J$470:J512))/MAX(J$470:J512)&gt;U511,U511,(J512-MAX(J$470:J512))/MAX(J$470:J512))</f>
        <v>-0.10307855285544605</v>
      </c>
      <c r="V512" s="564">
        <f>IF((K512-MAX(K$470:K512))/MAX(K$470:K512)&gt;V511,V511,(K512-MAX(K$470:K512))/MAX(K$470:K512))</f>
        <v>-0.67045208090593855</v>
      </c>
      <c r="W512" s="564">
        <f>IF((N512-MAX(N$470:N512))/MAX(N$470:N512)&gt;W511,W511,(N512-MAX(N$470:N512))/MAX(N$470:N512))</f>
        <v>-0.10063585321194134</v>
      </c>
      <c r="X512" s="564">
        <f>IF((O512-MAX(O$470:O512))/MAX(O$470:O512)&gt;X511,X511,(O512-MAX(O$470:O512))/MAX(O$470:O512))</f>
        <v>-0.11344195296155003</v>
      </c>
    </row>
    <row r="513" spans="1:24">
      <c r="A513" s="799">
        <v>40915</v>
      </c>
      <c r="B513">
        <v>6.81</v>
      </c>
      <c r="C513">
        <v>7.3770749999999996</v>
      </c>
      <c r="D513">
        <v>1.3482499999999999</v>
      </c>
      <c r="E513">
        <f>LN(D513/参数实验室!$E$53)/参数实验室!$E$55</f>
        <v>-0.34044922928794796</v>
      </c>
      <c r="F513">
        <f t="shared" si="18"/>
        <v>1.0832709251101322</v>
      </c>
      <c r="G513">
        <f>LN(F513/参数实验室!$E$58)/参数实验室!$E$59</f>
        <v>-0.14854952235954072</v>
      </c>
      <c r="H513" s="856">
        <f>INDEX(神经网络!$G$10:$BO$70,MATCH(ROUND(G513*2,1)/2,神经网络!$E$10:$E$70,0),MATCH(ROUND(E513*2,1)/2,神经网络!$G$8:$BO$8,0))</f>
        <v>-0.35365214793145566</v>
      </c>
      <c r="I513">
        <f t="shared" si="20"/>
        <v>0.92851843058579808</v>
      </c>
      <c r="J513">
        <f t="shared" si="21"/>
        <v>2.7173696181317579</v>
      </c>
      <c r="K513">
        <f t="shared" si="22"/>
        <v>0.34169750938194848</v>
      </c>
      <c r="L513" s="4">
        <f>MIN(MAX(L512*(1+MAX(MIN(((B513-B512)/B512)/($K$7*卓尔金历!$N$40),0),-卓尔金历!$M$43))+MIN(MAX(((B513-B512)/B512)/($K$7*卓尔金历!$N$40),0),卓尔金历!$M$43),0),1)</f>
        <v>0.7067036603325596</v>
      </c>
      <c r="M513" s="4">
        <f>MIN(MAX(M512*(1+MAX(MIN(((B513-B512)/B512)/($K$7*30),0),-卓尔金历!$M$43))+MIN(MAX(((B513-B512)/B512)/($K$7*7),0),卓尔金历!$M$43),0),1)</f>
        <v>1</v>
      </c>
      <c r="N513">
        <f t="shared" si="25"/>
        <v>0.93954440400415962</v>
      </c>
      <c r="O513">
        <f t="shared" si="23"/>
        <v>0.93933451343429786</v>
      </c>
      <c r="P513">
        <f t="shared" si="24"/>
        <v>1.6888411055861564E-2</v>
      </c>
      <c r="Q513">
        <f t="shared" si="26"/>
        <v>7.4077750331756051E-2</v>
      </c>
      <c r="R513">
        <f t="shared" si="27"/>
        <v>1</v>
      </c>
      <c r="S513">
        <f t="shared" si="19"/>
        <v>1.0006996435270481</v>
      </c>
      <c r="T513" s="564">
        <f>IF((I513-MAX(I$470:I513))/MAX(I$470:I513)&gt;T512,T512,(I513-MAX(I$470:I513))/MAX(I$470:I513))</f>
        <v>-0.12733210295580336</v>
      </c>
      <c r="U513" s="564">
        <f>IF((J513-MAX(J$470:J513))/MAX(J$470:J513)&gt;U512,U512,(J513-MAX(J$470:J513))/MAX(J$470:J513))</f>
        <v>-0.10307855285544605</v>
      </c>
      <c r="V513" s="564">
        <f>IF((K513-MAX(K$470:K513))/MAX(K$470:K513)&gt;V512,V512,(K513-MAX(K$470:K513))/MAX(K$470:K513))</f>
        <v>-0.67045208090593855</v>
      </c>
      <c r="W513" s="564">
        <f>IF((N513-MAX(N$470:N513))/MAX(N$470:N513)&gt;W512,W512,(N513-MAX(N$470:N513))/MAX(N$470:N513))</f>
        <v>-0.10063585321194134</v>
      </c>
      <c r="X513" s="564">
        <f>IF((O513-MAX(O$470:O513))/MAX(O$470:O513)&gt;X512,X512,(O513-MAX(O$470:O513))/MAX(O$470:O513))</f>
        <v>-0.11344195296155003</v>
      </c>
    </row>
    <row r="514" spans="1:24">
      <c r="A514" s="799">
        <v>40916</v>
      </c>
      <c r="B514">
        <v>7.1135999999999999</v>
      </c>
      <c r="C514">
        <v>7.3234190000000003</v>
      </c>
      <c r="D514">
        <v>1.401902</v>
      </c>
      <c r="E514">
        <f>LN(D514/参数实验室!$E$53)/参数实验室!$E$55</f>
        <v>-0.2944123899740923</v>
      </c>
      <c r="F514">
        <f t="shared" si="18"/>
        <v>1.0294954734592894</v>
      </c>
      <c r="G514">
        <f>LN(F514/参数实验室!$E$58)/参数实验室!$E$59</f>
        <v>-0.17527312086624375</v>
      </c>
      <c r="H514" s="856">
        <f>INDEX(神经网络!$G$10:$BO$70,MATCH(ROUND(G514*2,1)/2,神经网络!$E$10:$E$70,0),MATCH(ROUND(E514*2,1)/2,神经网络!$G$8:$BO$8,0))</f>
        <v>-0.3941382036686194</v>
      </c>
      <c r="I514">
        <f t="shared" si="20"/>
        <v>0.91387909103429765</v>
      </c>
      <c r="J514">
        <f t="shared" si="21"/>
        <v>2.8385140257771031</v>
      </c>
      <c r="K514">
        <f t="shared" si="22"/>
        <v>0.32195686994504247</v>
      </c>
      <c r="L514" s="4">
        <f>MIN(MAX(L513*(1+MAX(MIN(((B514-B513)/B513)/($K$7*卓尔金历!$N$40),0),-卓尔金历!$M$43))+MIN(MAX(((B514-B513)/B513)/($K$7*卓尔金历!$N$40),0),卓尔金历!$M$43),0),1)</f>
        <v>1</v>
      </c>
      <c r="M514" s="4">
        <f>MIN(MAX(M513*(1+MAX(MIN(((B514-B513)/B513)/($K$7*30),0),-卓尔金历!$M$43))+MIN(MAX(((B514-B513)/B513)/($K$7*7),0),卓尔金历!$M$43),0),1)</f>
        <v>1</v>
      </c>
      <c r="N514">
        <f t="shared" si="25"/>
        <v>0.92907587630786359</v>
      </c>
      <c r="O514">
        <f t="shared" si="23"/>
        <v>0.92452464381659671</v>
      </c>
      <c r="P514">
        <f t="shared" si="24"/>
        <v>4.458149779735688E-2</v>
      </c>
      <c r="Q514">
        <f t="shared" si="26"/>
        <v>7.3501534671658361E-2</v>
      </c>
      <c r="R514">
        <f t="shared" si="27"/>
        <v>0.61110304972119078</v>
      </c>
      <c r="S514">
        <f t="shared" si="19"/>
        <v>0.98492227025356816</v>
      </c>
      <c r="T514" s="564">
        <f>IF((I514-MAX(I$470:I514))/MAX(I$470:I514)&gt;T513,T513,(I514-MAX(I$470:I514))/MAX(I$470:I514))</f>
        <v>-0.13666535856332884</v>
      </c>
      <c r="U514" s="564">
        <f>IF((J514-MAX(J$470:J514))/MAX(J$470:J514)&gt;U513,U513,(J514-MAX(J$470:J514))/MAX(J$470:J514))</f>
        <v>-0.10307855285544605</v>
      </c>
      <c r="V514" s="564">
        <f>IF((K514-MAX(K$470:K514))/MAX(K$470:K514)&gt;V513,V513,(K514-MAX(K$470:K514))/MAX(K$470:K514))</f>
        <v>-0.68158456867950912</v>
      </c>
      <c r="W514" s="564">
        <f>IF((N514-MAX(N$470:N514))/MAX(N$470:N514)&gt;W513,W513,(N514-MAX(N$470:N514))/MAX(N$470:N514))</f>
        <v>-0.10311304065408976</v>
      </c>
      <c r="X514" s="564">
        <f>IF((O514-MAX(O$470:O514))/MAX(O$470:O514)&gt;X513,X513,(O514-MAX(O$470:O514))/MAX(O$470:O514))</f>
        <v>-0.12147101883973409</v>
      </c>
    </row>
    <row r="515" spans="1:24">
      <c r="A515" s="799">
        <v>40917</v>
      </c>
      <c r="B515">
        <v>6.3257000000000003</v>
      </c>
      <c r="C515">
        <v>7.2511359999999998</v>
      </c>
      <c r="D515">
        <v>1.238591</v>
      </c>
      <c r="E515">
        <f>LN(D515/参数实验室!$E$53)/参数实验室!$E$55</f>
        <v>-0.44053125040048891</v>
      </c>
      <c r="F515">
        <f t="shared" si="18"/>
        <v>1.1462978010338776</v>
      </c>
      <c r="G515">
        <f>LN(F515/参数实验室!$E$58)/参数实验室!$E$59</f>
        <v>-0.11886779418244341</v>
      </c>
      <c r="H515" s="856">
        <f>INDEX(神经网络!$G$10:$BO$70,MATCH(ROUND(G515*2,1)/2,神经网络!$E$10:$E$70,0),MATCH(ROUND(E515*2,1)/2,神经网络!$G$8:$BO$8,0))</f>
        <v>-0.34771742471376055</v>
      </c>
      <c r="I515">
        <f t="shared" si="20"/>
        <v>0.95377413366002817</v>
      </c>
      <c r="J515">
        <f t="shared" si="21"/>
        <v>2.5241211444076446</v>
      </c>
      <c r="K515">
        <f t="shared" si="22"/>
        <v>0.37786385006645862</v>
      </c>
      <c r="L515" s="4">
        <f>MIN(MAX(L514*(1+MAX(MIN(((B515-B514)/B514)/($K$7*卓尔金历!$N$40),0),-卓尔金历!$M$43))+MIN(MAX(((B515-B514)/B514)/($K$7*卓尔金历!$N$40),0),卓尔金历!$M$43),0),1)</f>
        <v>0</v>
      </c>
      <c r="M515" s="4">
        <f>MIN(MAX(M514*(1+MAX(MIN(((B515-B514)/B514)/($K$7*30),0),-卓尔金历!$M$43))+MIN(MAX(((B515-B514)/B514)/($K$7*7),0),卓尔金历!$M$43),0),1)</f>
        <v>0.1538492529147284</v>
      </c>
      <c r="N515">
        <f t="shared" si="25"/>
        <v>0.96963432878968003</v>
      </c>
      <c r="O515">
        <f t="shared" si="23"/>
        <v>0.96488441398253566</v>
      </c>
      <c r="P515">
        <f t="shared" si="24"/>
        <v>-0.11075967161493472</v>
      </c>
      <c r="Q515">
        <f t="shared" si="26"/>
        <v>7.8890663368679892E-2</v>
      </c>
      <c r="R515">
        <f t="shared" si="27"/>
        <v>4.85624751583216E-2</v>
      </c>
      <c r="S515">
        <f t="shared" si="19"/>
        <v>1.0111975047674342</v>
      </c>
      <c r="T515" s="564">
        <f>IF((I515-MAX(I$470:I515))/MAX(I$470:I515)&gt;T514,T514,(I515-MAX(I$470:I515))/MAX(I$470:I515))</f>
        <v>-0.13666535856332884</v>
      </c>
      <c r="U515" s="564">
        <f>IF((J515-MAX(J$470:J515))/MAX(J$470:J515)&gt;U514,U514,(J515-MAX(J$470:J515))/MAX(J$470:J515))</f>
        <v>-0.1107596716149348</v>
      </c>
      <c r="V515" s="564">
        <f>IF((K515-MAX(K$470:K515))/MAX(K$470:K515)&gt;V514,V514,(K515-MAX(K$470:K515))/MAX(K$470:K515))</f>
        <v>-0.68158456867950912</v>
      </c>
      <c r="W515" s="564">
        <f>IF((N515-MAX(N$470:N515))/MAX(N$470:N515)&gt;W514,W514,(N515-MAX(N$470:N515))/MAX(N$470:N515))</f>
        <v>-0.10311304065408976</v>
      </c>
      <c r="X515" s="564">
        <f>IF((O515-MAX(O$470:O515))/MAX(O$470:O515)&gt;X514,X514,(O515-MAX(O$470:O515))/MAX(O$470:O515))</f>
        <v>-0.12147101883973409</v>
      </c>
    </row>
    <row r="516" spans="1:24">
      <c r="A516" s="799">
        <v>40918</v>
      </c>
      <c r="B516">
        <v>6.36</v>
      </c>
      <c r="C516">
        <v>7.3265770000000003</v>
      </c>
      <c r="D516">
        <v>1.285288</v>
      </c>
      <c r="E516">
        <f>LN(D516/参数实验室!$E$53)/参数实验室!$E$55</f>
        <v>-0.39687050050449407</v>
      </c>
      <c r="F516">
        <f t="shared" si="18"/>
        <v>1.1519775157232703</v>
      </c>
      <c r="G516">
        <f>LN(F516/参数实验室!$E$58)/参数实验室!$E$59</f>
        <v>-0.11627365129170791</v>
      </c>
      <c r="H516" s="856">
        <f>INDEX(神经网络!$G$10:$BO$70,MATCH(ROUND(G516*2,1)/2,神经网络!$E$10:$E$70,0),MATCH(ROUND(E516*2,1)/2,神经网络!$G$8:$BO$8,0))</f>
        <v>-0.30661717938408184</v>
      </c>
      <c r="I516">
        <f t="shared" si="20"/>
        <v>0.95197585279416985</v>
      </c>
      <c r="J516">
        <f t="shared" si="21"/>
        <v>2.5378077490922144</v>
      </c>
      <c r="K516">
        <f t="shared" si="22"/>
        <v>0.37511740325274678</v>
      </c>
      <c r="L516" s="4">
        <f>MIN(MAX(L515*(1+MAX(MIN(((B516-B515)/B515)/($K$7*卓尔金历!$N$40),0),-卓尔金历!$M$43))+MIN(MAX(((B516-B515)/B515)/($K$7*卓尔金历!$N$40),0),卓尔金历!$M$43),0),1)</f>
        <v>8.2847919558676569E-2</v>
      </c>
      <c r="M516" s="4">
        <f>MIN(MAX(M515*(1+MAX(MIN(((B516-B515)/B515)/($K$7*30),0),-卓尔金历!$M$43))+MIN(MAX(((B516-B515)/B515)/($K$7*7),0),卓尔金历!$M$43),0),1)</f>
        <v>0.33138050911189243</v>
      </c>
      <c r="N516">
        <f t="shared" si="25"/>
        <v>0.96963432878968003</v>
      </c>
      <c r="O516">
        <f t="shared" si="23"/>
        <v>0.9646045270219421</v>
      </c>
      <c r="P516">
        <f t="shared" si="24"/>
        <v>5.4223248019981971E-3</v>
      </c>
      <c r="Q516">
        <f t="shared" si="26"/>
        <v>7.6363035597422427E-2</v>
      </c>
      <c r="R516">
        <f t="shared" si="27"/>
        <v>1</v>
      </c>
      <c r="S516">
        <f t="shared" si="19"/>
        <v>1.0111049180287965</v>
      </c>
      <c r="T516" s="564">
        <f>IF((I516-MAX(I$470:I516))/MAX(I$470:I516)&gt;T515,T515,(I516-MAX(I$470:I516))/MAX(I$470:I516))</f>
        <v>-0.13666535856332884</v>
      </c>
      <c r="U516" s="564">
        <f>IF((J516-MAX(J$470:J516))/MAX(J$470:J516)&gt;U515,U515,(J516-MAX(J$470:J516))/MAX(J$470:J516))</f>
        <v>-0.1107596716149348</v>
      </c>
      <c r="V516" s="564">
        <f>IF((K516-MAX(K$470:K516))/MAX(K$470:K516)&gt;V515,V515,(K516-MAX(K$470:K516))/MAX(K$470:K516))</f>
        <v>-0.68158456867950912</v>
      </c>
      <c r="W516" s="564">
        <f>IF((N516-MAX(N$470:N516))/MAX(N$470:N516)&gt;W515,W515,(N516-MAX(N$470:N516))/MAX(N$470:N516))</f>
        <v>-0.10311304065408976</v>
      </c>
      <c r="X516" s="564">
        <f>IF((O516-MAX(O$470:O516))/MAX(O$470:O516)&gt;X515,X515,(O516-MAX(O$470:O516))/MAX(O$470:O516))</f>
        <v>-0.12147101883973409</v>
      </c>
    </row>
    <row r="517" spans="1:24">
      <c r="A517" s="799">
        <v>40919</v>
      </c>
      <c r="B517">
        <v>6.9</v>
      </c>
      <c r="C517">
        <v>7.2237619999999998</v>
      </c>
      <c r="D517">
        <v>1.3519680000000001</v>
      </c>
      <c r="E517">
        <f>LN(D517/参数实验室!$E$53)/参数实验室!$E$55</f>
        <v>-0.33720036172752282</v>
      </c>
      <c r="F517">
        <f t="shared" ref="F517:F580" si="28">C517/B517</f>
        <v>1.0469220289855072</v>
      </c>
      <c r="G517">
        <f>LN(F517/参数实验室!$E$58)/参数实验室!$E$59</f>
        <v>-0.1664631268568528</v>
      </c>
      <c r="H517" s="856">
        <f>INDEX(神经网络!$G$10:$BO$70,MATCH(ROUND(G517*2,1)/2,神经网络!$E$10:$E$70,0),MATCH(ROUND(E517*2,1)/2,神经网络!$G$8:$BO$8,0))</f>
        <v>-0.35365214793145566</v>
      </c>
      <c r="I517">
        <f t="shared" si="20"/>
        <v>0.92719255696936287</v>
      </c>
      <c r="J517">
        <f t="shared" si="21"/>
        <v>2.7532819919396667</v>
      </c>
      <c r="K517">
        <f t="shared" si="22"/>
        <v>0.33675902420593051</v>
      </c>
      <c r="L517" s="4">
        <f>MIN(MAX(L516*(1+MAX(MIN(((B517-B516)/B516)/($K$7*卓尔金历!$N$40),0),-卓尔金历!$M$43))+MIN(MAX(((B517-B516)/B516)/($K$7*卓尔金历!$N$40),0),卓尔金历!$M$43),0),1)</f>
        <v>1</v>
      </c>
      <c r="M517" s="4">
        <f>MIN(MAX(M516*(1+MAX(MIN(((B517-B516)/B516)/($K$7*30),0),-卓尔金历!$M$43))+MIN(MAX(((B517-B516)/B516)/($K$7*7),0),卓尔金历!$M$43),0),1)</f>
        <v>1</v>
      </c>
      <c r="N517">
        <f t="shared" si="25"/>
        <v>0.96754299806350541</v>
      </c>
      <c r="O517">
        <f t="shared" si="23"/>
        <v>0.95628287818844482</v>
      </c>
      <c r="P517">
        <f t="shared" si="24"/>
        <v>8.4905660377358486E-2</v>
      </c>
      <c r="Q517">
        <f t="shared" si="26"/>
        <v>7.6786925826191163E-2</v>
      </c>
      <c r="R517">
        <f t="shared" si="27"/>
        <v>6.8688063844304093E-2</v>
      </c>
      <c r="S517">
        <f t="shared" si="19"/>
        <v>0.98478228366798271</v>
      </c>
      <c r="T517" s="564">
        <f>IF((I517-MAX(I$470:I517))/MAX(I$470:I517)&gt;T516,T516,(I517-MAX(I$470:I517))/MAX(I$470:I517))</f>
        <v>-0.13666535856332884</v>
      </c>
      <c r="U517" s="564">
        <f>IF((J517-MAX(J$470:J517))/MAX(J$470:J517)&gt;U516,U516,(J517-MAX(J$470:J517))/MAX(J$470:J517))</f>
        <v>-0.1107596716149348</v>
      </c>
      <c r="V517" s="564">
        <f>IF((K517-MAX(K$470:K517))/MAX(K$470:K517)&gt;V516,V516,(K517-MAX(K$470:K517))/MAX(K$470:K517))</f>
        <v>-0.68158456867950912</v>
      </c>
      <c r="W517" s="564">
        <f>IF((N517-MAX(N$470:N517))/MAX(N$470:N517)&gt;W516,W516,(N517-MAX(N$470:N517))/MAX(N$470:N517))</f>
        <v>-0.10311304065408976</v>
      </c>
      <c r="X517" s="564">
        <f>IF((O517-MAX(O$470:O517))/MAX(O$470:O517)&gt;X516,X516,(O517-MAX(O$470:O517))/MAX(O$470:O517))</f>
        <v>-0.12147101883973409</v>
      </c>
    </row>
    <row r="518" spans="1:24">
      <c r="A518" s="799">
        <v>40920</v>
      </c>
      <c r="B518">
        <v>6.8</v>
      </c>
      <c r="C518">
        <v>7.1375520000000003</v>
      </c>
      <c r="D518">
        <v>1.322306</v>
      </c>
      <c r="E518">
        <f>LN(D518/参数实验室!$E$53)/参数实验室!$E$55</f>
        <v>-0.36337215702857306</v>
      </c>
      <c r="F518">
        <f t="shared" si="28"/>
        <v>1.0496400000000001</v>
      </c>
      <c r="G518">
        <f>LN(F518/参数实验室!$E$58)/参数实验室!$E$59</f>
        <v>-0.16510229053970266</v>
      </c>
      <c r="H518" s="856">
        <f>INDEX(神经网络!$G$10:$BO$70,MATCH(ROUND(G518*2,1)/2,神经网络!$E$10:$E$70,0),MATCH(ROUND(E518*2,1)/2,神经网络!$G$8:$BO$8,0))</f>
        <v>-0.35365214793145566</v>
      </c>
      <c r="I518">
        <f t="shared" si="20"/>
        <v>0.93194478362614952</v>
      </c>
      <c r="J518">
        <f t="shared" si="21"/>
        <v>2.7133793543753235</v>
      </c>
      <c r="K518">
        <f t="shared" si="22"/>
        <v>0.34346276797727854</v>
      </c>
      <c r="L518" s="4">
        <f>MIN(MAX(L517*(1+MAX(MIN(((B518-B517)/B517)/($K$7*卓尔金历!$N$40),0),-卓尔金历!$M$43))+MIN(MAX(((B518-B517)/B517)/($K$7*卓尔金历!$N$40),0),卓尔金历!$M$43),0),1)</f>
        <v>0.77856463229292971</v>
      </c>
      <c r="M518" s="4">
        <f>MIN(MAX(M517*(1+MAX(MIN(((B518-B517)/B517)/($K$7*30),0),-卓尔金历!$M$43))+MIN(MAX(((B518-B517)/B517)/($K$7*7),0),卓尔金历!$M$43),0),1)</f>
        <v>0.88928231614646491</v>
      </c>
      <c r="N518">
        <f t="shared" si="25"/>
        <v>0.9725020366067112</v>
      </c>
      <c r="O518">
        <f t="shared" si="23"/>
        <v>0.96118420418701611</v>
      </c>
      <c r="P518">
        <f t="shared" si="24"/>
        <v>-1.4492753623188482E-2</v>
      </c>
      <c r="Q518">
        <f t="shared" si="26"/>
        <v>7.7122197539867737E-2</v>
      </c>
      <c r="R518">
        <f t="shared" si="27"/>
        <v>1</v>
      </c>
      <c r="S518">
        <f t="shared" si="19"/>
        <v>0.98512897957233492</v>
      </c>
      <c r="T518" s="564">
        <f>IF((I518-MAX(I$470:I518))/MAX(I$470:I518)&gt;T517,T517,(I518-MAX(I$470:I518))/MAX(I$470:I518))</f>
        <v>-0.13666535856332884</v>
      </c>
      <c r="U518" s="564">
        <f>IF((J518-MAX(J$470:J518))/MAX(J$470:J518)&gt;U517,U517,(J518-MAX(J$470:J518))/MAX(J$470:J518))</f>
        <v>-0.1107596716149348</v>
      </c>
      <c r="V518" s="564">
        <f>IF((K518-MAX(K$470:K518))/MAX(K$470:K518)&gt;V517,V517,(K518-MAX(K$470:K518))/MAX(K$470:K518))</f>
        <v>-0.68158456867950912</v>
      </c>
      <c r="W518" s="564">
        <f>IF((N518-MAX(N$470:N518))/MAX(N$470:N518)&gt;W517,W517,(N518-MAX(N$470:N518))/MAX(N$470:N518))</f>
        <v>-0.10311304065408976</v>
      </c>
      <c r="X518" s="564">
        <f>IF((O518-MAX(O$470:O518))/MAX(O$470:O518)&gt;X517,X517,(O518-MAX(O$470:O518))/MAX(O$470:O518))</f>
        <v>-0.12147101883973409</v>
      </c>
    </row>
    <row r="519" spans="1:24">
      <c r="A519" s="799">
        <v>40921</v>
      </c>
      <c r="B519">
        <v>6.41</v>
      </c>
      <c r="C519">
        <v>7.2207369999999997</v>
      </c>
      <c r="D519">
        <v>1.2583869999999999</v>
      </c>
      <c r="E519">
        <f>LN(D519/参数实验室!$E$53)/参数实验室!$E$55</f>
        <v>-0.42182473033228002</v>
      </c>
      <c r="F519">
        <f t="shared" si="28"/>
        <v>1.126480031201248</v>
      </c>
      <c r="G519">
        <f>LN(F519/参数实验室!$E$58)/参数实验室!$E$59</f>
        <v>-0.12802108677402335</v>
      </c>
      <c r="H519" s="856">
        <f>INDEX(神经网络!$G$10:$BO$70,MATCH(ROUND(G519*2,1)/2,神经网络!$E$10:$E$70,0),MATCH(ROUND(E519*2,1)/2,神经网络!$G$8:$BO$8,0))</f>
        <v>-0.38990896592980601</v>
      </c>
      <c r="I519">
        <f t="shared" si="20"/>
        <v>0.95084741113325721</v>
      </c>
      <c r="J519">
        <f t="shared" si="21"/>
        <v>2.5577590678743856</v>
      </c>
      <c r="K519">
        <f t="shared" si="22"/>
        <v>0.37175018674587468</v>
      </c>
      <c r="L519" s="4">
        <f>MIN(MAX(L518*(1+MAX(MIN(((B519-B518)/B518)/($K$7*卓尔金历!$N$40),0),-卓尔金历!$M$43))+MIN(MAX(((B519-B518)/B518)/($K$7*卓尔金历!$N$40),0),卓尔金历!$M$43),0),1)</f>
        <v>9.6310077138311037E-2</v>
      </c>
      <c r="M519" s="4">
        <f>MIN(MAX(M518*(1+MAX(MIN(((B519-B518)/B518)/($K$7*30),0),-卓尔金历!$M$43))+MIN(MAX(((B519-B518)/B518)/($K$7*7),0),卓尔金历!$M$43),0),1)</f>
        <v>0.49964420143879457</v>
      </c>
      <c r="N519">
        <f t="shared" si="25"/>
        <v>0.98785941854019732</v>
      </c>
      <c r="O519">
        <f t="shared" si="23"/>
        <v>0.97852137690652075</v>
      </c>
      <c r="P519">
        <f t="shared" si="24"/>
        <v>-5.7352941176470544E-2</v>
      </c>
      <c r="Q519">
        <f t="shared" si="26"/>
        <v>7.928649748926507E-2</v>
      </c>
      <c r="R519">
        <f t="shared" si="27"/>
        <v>0.42594145251660559</v>
      </c>
      <c r="S519">
        <f t="shared" si="19"/>
        <v>1.0051103416385054</v>
      </c>
      <c r="T519" s="564">
        <f>IF((I519-MAX(I$470:I519))/MAX(I$470:I519)&gt;T518,T518,(I519-MAX(I$470:I519))/MAX(I$470:I519))</f>
        <v>-0.13666535856332884</v>
      </c>
      <c r="U519" s="564">
        <f>IF((J519-MAX(J$470:J519))/MAX(J$470:J519)&gt;U518,U518,(J519-MAX(J$470:J519))/MAX(J$470:J519))</f>
        <v>-0.1107596716149348</v>
      </c>
      <c r="V519" s="564">
        <f>IF((K519-MAX(K$470:K519))/MAX(K$470:K519)&gt;V518,V518,(K519-MAX(K$470:K519))/MAX(K$470:K519))</f>
        <v>-0.68158456867950912</v>
      </c>
      <c r="W519" s="564">
        <f>IF((N519-MAX(N$470:N519))/MAX(N$470:N519)&gt;W518,W518,(N519-MAX(N$470:N519))/MAX(N$470:N519))</f>
        <v>-0.10311304065408976</v>
      </c>
      <c r="X519" s="564">
        <f>IF((O519-MAX(O$470:O519))/MAX(O$470:O519)&gt;X518,X518,(O519-MAX(O$470:O519))/MAX(O$470:O519))</f>
        <v>-0.12147101883973409</v>
      </c>
    </row>
    <row r="520" spans="1:24">
      <c r="A520" s="799">
        <v>40922</v>
      </c>
      <c r="B520">
        <v>6.75</v>
      </c>
      <c r="C520">
        <v>7.0636950000000001</v>
      </c>
      <c r="D520">
        <v>1.3151660000000001</v>
      </c>
      <c r="E520">
        <f>LN(D520/参数实验室!$E$53)/参数实验室!$E$55</f>
        <v>-0.36975968170324147</v>
      </c>
      <c r="F520">
        <f t="shared" si="28"/>
        <v>1.0464733333333334</v>
      </c>
      <c r="G520">
        <f>LN(F520/参数实验室!$E$58)/参数实验室!$E$59</f>
        <v>-0.166688119932697</v>
      </c>
      <c r="H520" s="856">
        <f>INDEX(神经网络!$G$10:$BO$70,MATCH(ROUND(G520*2,1)/2,神经网络!$E$10:$E$70,0),MATCH(ROUND(E520*2,1)/2,神经网络!$G$8:$BO$8,0))</f>
        <v>-0.35365214793145566</v>
      </c>
      <c r="I520">
        <f t="shared" si="20"/>
        <v>0.93118236644014007</v>
      </c>
      <c r="J520">
        <f t="shared" si="21"/>
        <v>2.6934280355931515</v>
      </c>
      <c r="K520">
        <f t="shared" si="22"/>
        <v>0.34572387089416834</v>
      </c>
      <c r="L520" s="4">
        <f>MIN(MAX(L519*(1+MAX(MIN(((B520-B519)/B519)/($K$7*卓尔金历!$N$40),0),-卓尔金历!$M$43))+MIN(MAX(((B520-B519)/B519)/($K$7*卓尔金历!$N$40),0),卓尔金历!$M$43),0),1)</f>
        <v>0.90674279576667904</v>
      </c>
      <c r="M520" s="4">
        <f>MIN(MAX(M519*(1+MAX(MIN(((B520-B519)/B519)/($K$7*30),0),-卓尔金历!$M$43))+MIN(MAX(((B520-B519)/B519)/($K$7*7),0),卓尔金历!$M$43),0),1)</f>
        <v>1</v>
      </c>
      <c r="N520">
        <f t="shared" si="25"/>
        <v>0.98589175433600118</v>
      </c>
      <c r="O520">
        <f t="shared" si="23"/>
        <v>0.96840988406408246</v>
      </c>
      <c r="P520">
        <f t="shared" si="24"/>
        <v>5.3042121684867369E-2</v>
      </c>
      <c r="Q520">
        <f t="shared" si="26"/>
        <v>7.9222037850305502E-2</v>
      </c>
      <c r="R520">
        <f t="shared" si="27"/>
        <v>0.51226188564566333</v>
      </c>
      <c r="S520">
        <f t="shared" si="19"/>
        <v>0.99625617363080876</v>
      </c>
      <c r="T520" s="564">
        <f>IF((I520-MAX(I$470:I520))/MAX(I$470:I520)&gt;T519,T519,(I520-MAX(I$470:I520))/MAX(I$470:I520))</f>
        <v>-0.13666535856332884</v>
      </c>
      <c r="U520" s="564">
        <f>IF((J520-MAX(J$470:J520))/MAX(J$470:J520)&gt;U519,U519,(J520-MAX(J$470:J520))/MAX(J$470:J520))</f>
        <v>-0.1107596716149348</v>
      </c>
      <c r="V520" s="564">
        <f>IF((K520-MAX(K$470:K520))/MAX(K$470:K520)&gt;V519,V519,(K520-MAX(K$470:K520))/MAX(K$470:K520))</f>
        <v>-0.68158456867950912</v>
      </c>
      <c r="W520" s="564">
        <f>IF((N520-MAX(N$470:N520))/MAX(N$470:N520)&gt;W519,W519,(N520-MAX(N$470:N520))/MAX(N$470:N520))</f>
        <v>-0.10311304065408976</v>
      </c>
      <c r="X520" s="564">
        <f>IF((O520-MAX(O$470:O520))/MAX(O$470:O520)&gt;X519,X519,(O520-MAX(O$470:O520))/MAX(O$470:O520))</f>
        <v>-0.12147101883973409</v>
      </c>
    </row>
    <row r="521" spans="1:24">
      <c r="A521" s="799">
        <v>40923</v>
      </c>
      <c r="B521">
        <v>7.0018000000000002</v>
      </c>
      <c r="C521">
        <v>6.9872550000000002</v>
      </c>
      <c r="D521">
        <v>1.3684909999999999</v>
      </c>
      <c r="E521">
        <f>LN(D521/参数实验室!$E$53)/参数实验室!$E$55</f>
        <v>-0.32286946936946526</v>
      </c>
      <c r="F521">
        <f t="shared" si="28"/>
        <v>0.99792267702590765</v>
      </c>
      <c r="G521">
        <f>LN(F521/参数实验室!$E$58)/参数实验室!$E$59</f>
        <v>-0.19162145002953362</v>
      </c>
      <c r="H521" s="856">
        <f>INDEX(神经网络!$G$10:$BO$70,MATCH(ROUND(G521*2,1)/2,神经网络!$E$10:$E$70,0),MATCH(ROUND(E521*2,1)/2,神经网络!$G$8:$BO$8,0))</f>
        <v>-0.3941382036686194</v>
      </c>
      <c r="I521">
        <f t="shared" si="20"/>
        <v>0.91889771053479541</v>
      </c>
      <c r="J521">
        <f t="shared" si="21"/>
        <v>2.7939028769801673</v>
      </c>
      <c r="K521">
        <f t="shared" si="22"/>
        <v>0.32889393475552742</v>
      </c>
      <c r="L521" s="4">
        <f>MIN(MAX(L520*(1+MAX(MIN(((B521-B520)/B520)/($K$7*卓尔金历!$N$40),0),-卓尔金历!$M$43))+MIN(MAX(((B521-B520)/B520)/($K$7*卓尔金历!$N$40),0),卓尔金历!$M$43),0),1)</f>
        <v>1</v>
      </c>
      <c r="M521" s="4">
        <f>MIN(MAX(M520*(1+MAX(MIN(((B521-B520)/B520)/($K$7*30),0),-卓尔金历!$M$43))+MIN(MAX(((B521-B520)/B520)/($K$7*7),0),卓尔金历!$M$43),0),1)</f>
        <v>1</v>
      </c>
      <c r="N521">
        <f t="shared" si="25"/>
        <v>0.97409828448509439</v>
      </c>
      <c r="O521">
        <f t="shared" si="23"/>
        <v>0.95563410283173167</v>
      </c>
      <c r="P521">
        <f t="shared" si="24"/>
        <v>3.7303703703703742E-2</v>
      </c>
      <c r="Q521">
        <f t="shared" si="26"/>
        <v>7.8657157247698395E-2</v>
      </c>
      <c r="R521">
        <f t="shared" si="27"/>
        <v>0.88432816408190607</v>
      </c>
      <c r="S521">
        <f t="shared" si="19"/>
        <v>0.98952344170717843</v>
      </c>
      <c r="T521" s="564">
        <f>IF((I521-MAX(I$470:I521))/MAX(I$470:I521)&gt;T520,T520,(I521-MAX(I$470:I521))/MAX(I$470:I521))</f>
        <v>-0.13666535856332884</v>
      </c>
      <c r="U521" s="564">
        <f>IF((J521-MAX(J$470:J521))/MAX(J$470:J521)&gt;U520,U520,(J521-MAX(J$470:J521))/MAX(J$470:J521))</f>
        <v>-0.1107596716149348</v>
      </c>
      <c r="V521" s="564">
        <f>IF((K521-MAX(K$470:K521))/MAX(K$470:K521)&gt;V520,V520,(K521-MAX(K$470:K521))/MAX(K$470:K521))</f>
        <v>-0.68158456867950912</v>
      </c>
      <c r="W521" s="564">
        <f>IF((N521-MAX(N$470:N521))/MAX(N$470:N521)&gt;W520,W520,(N521-MAX(N$470:N521))/MAX(N$470:N521))</f>
        <v>-0.10311304065408976</v>
      </c>
      <c r="X521" s="564">
        <f>IF((O521-MAX(O$470:O521))/MAX(O$470:O521)&gt;X520,X520,(O521-MAX(O$470:O521))/MAX(O$470:O521))</f>
        <v>-0.12147101883973409</v>
      </c>
    </row>
    <row r="522" spans="1:24">
      <c r="A522" s="799">
        <v>40924</v>
      </c>
      <c r="B522">
        <v>6.6825000000000001</v>
      </c>
      <c r="C522">
        <v>6.8992589999999998</v>
      </c>
      <c r="D522">
        <v>1.3021339999999999</v>
      </c>
      <c r="E522">
        <f>LN(D522/参数实验室!$E$53)/参数实验室!$E$55</f>
        <v>-0.38150817926455605</v>
      </c>
      <c r="F522">
        <f t="shared" si="28"/>
        <v>1.032436812570146</v>
      </c>
      <c r="G522">
        <f>LN(F522/参数实验室!$E$58)/参数实验室!$E$59</f>
        <v>-0.17377571497953651</v>
      </c>
      <c r="H522" s="856">
        <f>INDEX(神经网络!$G$10:$BO$70,MATCH(ROUND(G522*2,1)/2,神经网络!$E$10:$E$70,0),MATCH(ROUND(E522*2,1)/2,神经网络!$G$8:$BO$8,0))</f>
        <v>-0.38990896592980601</v>
      </c>
      <c r="I522">
        <f t="shared" si="20"/>
        <v>0.93541371225867143</v>
      </c>
      <c r="J522">
        <f t="shared" si="21"/>
        <v>2.6664937552372203</v>
      </c>
      <c r="K522">
        <f t="shared" si="22"/>
        <v>0.35080288878285931</v>
      </c>
      <c r="L522" s="4">
        <f>MIN(MAX(L521*(1+MAX(MIN(((B522-B521)/B521)/($K$7*卓尔金历!$N$40),0),-卓尔金历!$M$43))+MIN(MAX(((B522-B521)/B521)/($K$7*卓尔金历!$N$40),0),卓尔金历!$M$43),0),1)</f>
        <v>0.30323665475851402</v>
      </c>
      <c r="M522" s="4">
        <f>MIN(MAX(M521*(1+MAX(MIN(((B522-B521)/B521)/($K$7*30),0),-卓尔金历!$M$43))+MIN(MAX(((B522-B521)/B521)/($K$7*7),0),卓尔金历!$M$43),0),1)</f>
        <v>0.65161832737925707</v>
      </c>
      <c r="N522">
        <f t="shared" si="25"/>
        <v>0.99160644536234499</v>
      </c>
      <c r="O522">
        <f t="shared" si="23"/>
        <v>0.97281039384738544</v>
      </c>
      <c r="P522">
        <f t="shared" si="24"/>
        <v>-4.5602559341883536E-2</v>
      </c>
      <c r="Q522">
        <f t="shared" si="26"/>
        <v>7.8503768239083324E-2</v>
      </c>
      <c r="R522">
        <f t="shared" si="27"/>
        <v>0.6645651568640949</v>
      </c>
      <c r="S522">
        <f t="shared" si="19"/>
        <v>1.0052515790815344</v>
      </c>
      <c r="T522" s="564">
        <f>IF((I522-MAX(I$470:I522))/MAX(I$470:I522)&gt;T521,T521,(I522-MAX(I$470:I522))/MAX(I$470:I522))</f>
        <v>-0.13666535856332884</v>
      </c>
      <c r="U522" s="564">
        <f>IF((J522-MAX(J$470:J522))/MAX(J$470:J522)&gt;U521,U521,(J522-MAX(J$470:J522))/MAX(J$470:J522))</f>
        <v>-0.1107596716149348</v>
      </c>
      <c r="V522" s="564">
        <f>IF((K522-MAX(K$470:K522))/MAX(K$470:K522)&gt;V521,V521,(K522-MAX(K$470:K522))/MAX(K$470:K522))</f>
        <v>-0.68158456867950912</v>
      </c>
      <c r="W522" s="564">
        <f>IF((N522-MAX(N$470:N522))/MAX(N$470:N522)&gt;W521,W521,(N522-MAX(N$470:N522))/MAX(N$470:N522))</f>
        <v>-0.10311304065408976</v>
      </c>
      <c r="X522" s="564">
        <f>IF((O522-MAX(O$470:O522))/MAX(O$470:O522)&gt;X521,X521,(O522-MAX(O$470:O522))/MAX(O$470:O522))</f>
        <v>-0.12147101883973409</v>
      </c>
    </row>
    <row r="523" spans="1:24">
      <c r="A523" s="799">
        <v>40925</v>
      </c>
      <c r="B523">
        <v>5.6</v>
      </c>
      <c r="C523">
        <v>6.8636879999999998</v>
      </c>
      <c r="D523">
        <v>1.0884130000000001</v>
      </c>
      <c r="E523">
        <f>LN(D523/参数实验室!$E$53)/参数实验室!$E$55</f>
        <v>-0.59301880630855752</v>
      </c>
      <c r="F523">
        <f t="shared" si="28"/>
        <v>1.2256585714285715</v>
      </c>
      <c r="G523">
        <f>LN(F523/参数实验室!$E$58)/参数实验室!$E$59</f>
        <v>-8.3733611565663557E-2</v>
      </c>
      <c r="H523" s="856">
        <f>INDEX(神经网络!$G$10:$BO$70,MATCH(ROUND(G523*2,1)/2,神经网络!$E$10:$E$70,0),MATCH(ROUND(E523*2,1)/2,神经网络!$G$8:$BO$8,0))</f>
        <v>-0.43748785465116585</v>
      </c>
      <c r="I523">
        <f t="shared" si="20"/>
        <v>0.99449580791262804</v>
      </c>
      <c r="J523">
        <f t="shared" si="21"/>
        <v>2.2345477036032073</v>
      </c>
      <c r="K523">
        <f t="shared" si="22"/>
        <v>0.44505463289461394</v>
      </c>
      <c r="L523" s="4">
        <f>MIN(MAX(L522*(1+MAX(MIN(((B523-B522)/B522)/($K$7*卓尔金历!$N$40),0),-卓尔金历!$M$43))+MIN(MAX(((B523-B522)/B522)/($K$7*卓尔金历!$N$40),0),卓尔金历!$M$43),0),1)</f>
        <v>0</v>
      </c>
      <c r="M523" s="4">
        <f>MIN(MAX(M522*(1+MAX(MIN(((B523-B522)/B522)/($K$7*30),0),-卓尔金历!$M$43))+MIN(MAX(((B523-B522)/B522)/($K$7*7),0),卓尔金历!$M$43),0),1)</f>
        <v>0</v>
      </c>
      <c r="N523">
        <f t="shared" si="25"/>
        <v>1.0105985545055465</v>
      </c>
      <c r="O523">
        <f t="shared" si="23"/>
        <v>1.0128485115840564</v>
      </c>
      <c r="P523">
        <f t="shared" si="24"/>
        <v>-0.16199027310138428</v>
      </c>
      <c r="Q523">
        <f t="shared" si="26"/>
        <v>8.8271132649903966E-2</v>
      </c>
      <c r="R523">
        <f t="shared" si="27"/>
        <v>3.0842312374700923E-2</v>
      </c>
      <c r="S523">
        <f t="shared" si="19"/>
        <v>1.04744691910718</v>
      </c>
      <c r="T523" s="564">
        <f>IF((I523-MAX(I$470:I523))/MAX(I$470:I523)&gt;T522,T522,(I523-MAX(I$470:I523))/MAX(I$470:I523))</f>
        <v>-0.13666535856332884</v>
      </c>
      <c r="U523" s="564">
        <f>IF((J523-MAX(J$470:J523))/MAX(J$470:J523)&gt;U522,U522,(J523-MAX(J$470:J523))/MAX(J$470:J523))</f>
        <v>-0.21277552856500234</v>
      </c>
      <c r="V523" s="564">
        <f>IF((K523-MAX(K$470:K523))/MAX(K$470:K523)&gt;V522,V522,(K523-MAX(K$470:K523))/MAX(K$470:K523))</f>
        <v>-0.68158456867950912</v>
      </c>
      <c r="W523" s="564">
        <f>IF((N523-MAX(N$470:N523))/MAX(N$470:N523)&gt;W522,W522,(N523-MAX(N$470:N523))/MAX(N$470:N523))</f>
        <v>-0.10311304065408976</v>
      </c>
      <c r="X523" s="564">
        <f>IF((O523-MAX(O$470:O523))/MAX(O$470:O523)&gt;X522,X522,(O523-MAX(O$470:O523))/MAX(O$470:O523))</f>
        <v>-0.12147101883973409</v>
      </c>
    </row>
    <row r="524" spans="1:24">
      <c r="A524" s="799">
        <v>40926</v>
      </c>
      <c r="B524">
        <v>5.92</v>
      </c>
      <c r="C524">
        <v>7.0229049999999997</v>
      </c>
      <c r="D524">
        <v>1.1473040000000001</v>
      </c>
      <c r="E524">
        <f>LN(D524/参数实验室!$E$53)/参数实验室!$E$55</f>
        <v>-0.53085268799467367</v>
      </c>
      <c r="F524">
        <f t="shared" si="28"/>
        <v>1.1863015202702702</v>
      </c>
      <c r="G524">
        <f>LN(F524/参数实验室!$E$58)/参数实验室!$E$59</f>
        <v>-0.10086369687297037</v>
      </c>
      <c r="H524" s="856">
        <f>INDEX(神经网络!$G$10:$BO$70,MATCH(ROUND(G524*2,1)/2,神经网络!$E$10:$E$70,0),MATCH(ROUND(E524*2,1)/2,神经网络!$G$8:$BO$8,0))</f>
        <v>-0.41319986299426514</v>
      </c>
      <c r="I524">
        <f t="shared" si="20"/>
        <v>0.96963410291472674</v>
      </c>
      <c r="J524">
        <f t="shared" si="21"/>
        <v>2.3622361438091048</v>
      </c>
      <c r="K524">
        <f t="shared" si="22"/>
        <v>0.41047297724908743</v>
      </c>
      <c r="L524" s="4">
        <f>MIN(MAX(L523*(1+MAX(MIN(((B524-B523)/B523)/($K$7*卓尔金历!$N$40),0),-卓尔金历!$M$43))+MIN(MAX(((B524-B523)/B523)/($K$7*卓尔金历!$N$40),0),卓尔金历!$M$43),0),1)</f>
        <v>0.87308802124501617</v>
      </c>
      <c r="M524" s="4">
        <f>MIN(MAX(M523*(1+MAX(MIN(((B524-B523)/B523)/($K$7*30),0),-卓尔金历!$M$43))+MIN(MAX(((B524-B523)/B523)/($K$7*7),0),卓尔金历!$M$43),0),1)</f>
        <v>1</v>
      </c>
      <c r="N524">
        <f t="shared" si="25"/>
        <v>1.0105985545055465</v>
      </c>
      <c r="O524">
        <f t="shared" si="23"/>
        <v>1.0128485115840564</v>
      </c>
      <c r="P524">
        <f t="shared" si="24"/>
        <v>5.7142857142857197E-2</v>
      </c>
      <c r="Q524">
        <f t="shared" si="26"/>
        <v>8.862715942553194E-2</v>
      </c>
      <c r="R524">
        <f t="shared" si="27"/>
        <v>0.56589586860421759</v>
      </c>
      <c r="S524">
        <f t="shared" si="19"/>
        <v>1.0466392994010938</v>
      </c>
      <c r="T524" s="564">
        <f>IF((I524-MAX(I$470:I524))/MAX(I$470:I524)&gt;T523,T523,(I524-MAX(I$470:I524))/MAX(I$470:I524))</f>
        <v>-0.13666535856332884</v>
      </c>
      <c r="U524" s="564">
        <f>IF((J524-MAX(J$470:J524))/MAX(J$470:J524)&gt;U523,U523,(J524-MAX(J$470:J524))/MAX(J$470:J524))</f>
        <v>-0.21277552856500234</v>
      </c>
      <c r="V524" s="564">
        <f>IF((K524-MAX(K$470:K524))/MAX(K$470:K524)&gt;V523,V523,(K524-MAX(K$470:K524))/MAX(K$470:K524))</f>
        <v>-0.68158456867950912</v>
      </c>
      <c r="W524" s="564">
        <f>IF((N524-MAX(N$470:N524))/MAX(N$470:N524)&gt;W523,W523,(N524-MAX(N$470:N524))/MAX(N$470:N524))</f>
        <v>-0.10311304065408976</v>
      </c>
      <c r="X524" s="564">
        <f>IF((O524-MAX(O$470:O524))/MAX(O$470:O524)&gt;X523,X523,(O524-MAX(O$470:O524))/MAX(O$470:O524))</f>
        <v>-0.12147101883973409</v>
      </c>
    </row>
    <row r="525" spans="1:24">
      <c r="A525" s="799">
        <v>40927</v>
      </c>
      <c r="B525">
        <v>6.3597999999999999</v>
      </c>
      <c r="C525">
        <v>6.9717269999999996</v>
      </c>
      <c r="D525">
        <v>1.2239869999999999</v>
      </c>
      <c r="E525">
        <f>LN(D525/参数实验室!$E$53)/参数实验室!$E$55</f>
        <v>-0.45452416218468905</v>
      </c>
      <c r="F525">
        <f t="shared" si="28"/>
        <v>1.0962179628290196</v>
      </c>
      <c r="G525">
        <f>LN(F525/参数实验室!$E$58)/参数实验室!$E$59</f>
        <v>-0.14231376216483171</v>
      </c>
      <c r="H525" s="856">
        <f>INDEX(神经网络!$G$10:$BO$70,MATCH(ROUND(G525*2,1)/2,神经网络!$E$10:$E$70,0),MATCH(ROUND(E525*2,1)/2,神经网络!$G$8:$BO$8,0))</f>
        <v>-0.42837081028630275</v>
      </c>
      <c r="I525">
        <f t="shared" si="20"/>
        <v>0.93986939886151155</v>
      </c>
      <c r="J525">
        <f t="shared" si="21"/>
        <v>2.5377279438170852</v>
      </c>
      <c r="K525">
        <f t="shared" si="22"/>
        <v>0.37035861198258357</v>
      </c>
      <c r="L525" s="4">
        <f>MIN(MAX(L524*(1+MAX(MIN(((B525-B524)/B524)/($K$7*卓尔金历!$N$40),0),-卓尔金历!$M$43))+MIN(MAX(((B525-B524)/B524)/($K$7*卓尔金历!$N$40),0),卓尔金历!$M$43),0),1)</f>
        <v>1</v>
      </c>
      <c r="M525" s="4">
        <f>MIN(MAX(M524*(1+MAX(MIN(((B525-B524)/B524)/($K$7*30),0),-卓尔金历!$M$43))+MIN(MAX(((B525-B524)/B524)/($K$7*7),0),卓尔金历!$M$43),0),1)</f>
        <v>1</v>
      </c>
      <c r="N525">
        <f t="shared" si="25"/>
        <v>0.98351345785822031</v>
      </c>
      <c r="O525">
        <f t="shared" si="23"/>
        <v>0.98175726169152844</v>
      </c>
      <c r="P525">
        <f t="shared" si="24"/>
        <v>7.4290540540540531E-2</v>
      </c>
      <c r="Q525">
        <f t="shared" si="26"/>
        <v>8.9155004189989256E-2</v>
      </c>
      <c r="R525">
        <f t="shared" si="27"/>
        <v>0.28718496500254309</v>
      </c>
      <c r="S525">
        <f t="shared" si="19"/>
        <v>1.0284579024767386</v>
      </c>
      <c r="T525" s="564">
        <f>IF((I525-MAX(I$470:I525))/MAX(I$470:I525)&gt;T524,T524,(I525-MAX(I$470:I525))/MAX(I$470:I525))</f>
        <v>-0.13666535856332884</v>
      </c>
      <c r="U525" s="564">
        <f>IF((J525-MAX(J$470:J525))/MAX(J$470:J525)&gt;U524,U524,(J525-MAX(J$470:J525))/MAX(J$470:J525))</f>
        <v>-0.21277552856500234</v>
      </c>
      <c r="V525" s="564">
        <f>IF((K525-MAX(K$470:K525))/MAX(K$470:K525)&gt;V524,V524,(K525-MAX(K$470:K525))/MAX(K$470:K525))</f>
        <v>-0.68158456867950912</v>
      </c>
      <c r="W525" s="564">
        <f>IF((N525-MAX(N$470:N525))/MAX(N$470:N525)&gt;W524,W524,(N525-MAX(N$470:N525))/MAX(N$470:N525))</f>
        <v>-0.10311304065408976</v>
      </c>
      <c r="X525" s="564">
        <f>IF((O525-MAX(O$470:O525))/MAX(O$470:O525)&gt;X524,X524,(O525-MAX(O$470:O525))/MAX(O$470:O525))</f>
        <v>-0.12147101883973409</v>
      </c>
    </row>
    <row r="526" spans="1:24">
      <c r="A526" s="799">
        <v>40928</v>
      </c>
      <c r="B526">
        <v>6.4897999999999998</v>
      </c>
      <c r="C526">
        <v>7.0112909999999999</v>
      </c>
      <c r="D526">
        <v>1.2588330000000001</v>
      </c>
      <c r="E526">
        <f>LN(D526/参数实验室!$E$53)/参数实验室!$E$55</f>
        <v>-0.42140667394283632</v>
      </c>
      <c r="F526">
        <f t="shared" si="28"/>
        <v>1.0803554809085025</v>
      </c>
      <c r="G526">
        <f>LN(F526/参数实验室!$E$58)/参数实验室!$E$59</f>
        <v>-0.14996398430035265</v>
      </c>
      <c r="H526" s="856">
        <f>INDEX(神经网络!$G$10:$BO$70,MATCH(ROUND(G526*2,1)/2,神经网络!$E$10:$E$70,0),MATCH(ROUND(E526*2,1)/2,神经网络!$G$8:$BO$8,0))</f>
        <v>-0.38990896592980601</v>
      </c>
      <c r="I526">
        <f t="shared" si="20"/>
        <v>0.93163963690768148</v>
      </c>
      <c r="J526">
        <f t="shared" si="21"/>
        <v>2.5896013726507312</v>
      </c>
      <c r="K526">
        <f t="shared" si="22"/>
        <v>0.35976179451667872</v>
      </c>
      <c r="L526" s="4">
        <f>MIN(MAX(L525*(1+MAX(MIN(((B526-B525)/B525)/($K$7*卓尔金历!$N$40),0),-卓尔金历!$M$43))+MIN(MAX(((B526-B525)/B525)/($K$7*卓尔金历!$N$40),0),卓尔金历!$M$43),0),1)</f>
        <v>1</v>
      </c>
      <c r="M526" s="4">
        <f>MIN(MAX(M525*(1+MAX(MIN(((B526-B525)/B525)/($K$7*30),0),-卓尔金历!$M$43))+MIN(MAX(((B526-B525)/B525)/($K$7*7),0),卓尔金历!$M$43),0),1)</f>
        <v>1</v>
      </c>
      <c r="N526">
        <f t="shared" si="25"/>
        <v>0.97490153619509778</v>
      </c>
      <c r="O526">
        <f t="shared" si="23"/>
        <v>0.97316071777813751</v>
      </c>
      <c r="P526">
        <f t="shared" si="24"/>
        <v>2.0440894367747396E-2</v>
      </c>
      <c r="Q526">
        <f t="shared" si="26"/>
        <v>8.9153316074037828E-2</v>
      </c>
      <c r="R526">
        <f t="shared" si="27"/>
        <v>1</v>
      </c>
      <c r="S526">
        <f t="shared" si="19"/>
        <v>1.0258716674883768</v>
      </c>
      <c r="T526" s="564">
        <f>IF((I526-MAX(I$470:I526))/MAX(I$470:I526)&gt;T525,T525,(I526-MAX(I$470:I526))/MAX(I$470:I526))</f>
        <v>-0.13666535856332884</v>
      </c>
      <c r="U526" s="564">
        <f>IF((J526-MAX(J$470:J526))/MAX(J$470:J526)&gt;U525,U525,(J526-MAX(J$470:J526))/MAX(J$470:J526))</f>
        <v>-0.21277552856500234</v>
      </c>
      <c r="V526" s="564">
        <f>IF((K526-MAX(K$470:K526))/MAX(K$470:K526)&gt;V525,V525,(K526-MAX(K$470:K526))/MAX(K$470:K526))</f>
        <v>-0.68158456867950912</v>
      </c>
      <c r="W526" s="564">
        <f>IF((N526-MAX(N$470:N526))/MAX(N$470:N526)&gt;W525,W525,(N526-MAX(N$470:N526))/MAX(N$470:N526))</f>
        <v>-0.10311304065408976</v>
      </c>
      <c r="X526" s="564">
        <f>IF((O526-MAX(O$470:O526))/MAX(O$470:O526)&gt;X525,X525,(O526-MAX(O$470:O526))/MAX(O$470:O526))</f>
        <v>-0.12147101883973409</v>
      </c>
    </row>
    <row r="527" spans="1:24">
      <c r="A527" s="799">
        <v>40929</v>
      </c>
      <c r="B527">
        <v>6.18</v>
      </c>
      <c r="C527">
        <v>6.9624139999999999</v>
      </c>
      <c r="D527">
        <v>1.1964969999999999</v>
      </c>
      <c r="E527">
        <f>LN(D527/参数实验室!$E$53)/参数实验室!$E$55</f>
        <v>-0.48132277865332168</v>
      </c>
      <c r="F527">
        <f t="shared" si="28"/>
        <v>1.1266042071197411</v>
      </c>
      <c r="G527">
        <f>LN(F527/参数实验室!$E$58)/参数实验室!$E$59</f>
        <v>-0.12796323342630384</v>
      </c>
      <c r="H527" s="856">
        <f>INDEX(神经网络!$G$10:$BO$70,MATCH(ROUND(G527*2,1)/2,神经网络!$E$10:$E$70,0),MATCH(ROUND(E527*2,1)/2,神经网络!$G$8:$BO$8,0))</f>
        <v>-0.46075791959905921</v>
      </c>
      <c r="I527">
        <f t="shared" si="20"/>
        <v>0.94898012348334448</v>
      </c>
      <c r="J527">
        <f t="shared" si="21"/>
        <v>2.4659830014763968</v>
      </c>
      <c r="K527">
        <f t="shared" si="22"/>
        <v>0.3848283313044677</v>
      </c>
      <c r="L527" s="4">
        <f>MIN(MAX(L526*(1+MAX(MIN(((B527-B526)/B526)/($K$7*卓尔金历!$N$40),0),-卓尔金历!$M$43))+MIN(MAX(((B527-B526)/B526)/($K$7*卓尔金历!$N$40),0),卓尔金历!$M$43),0),1)</f>
        <v>0.2706328843446868</v>
      </c>
      <c r="M527" s="4">
        <f>MIN(MAX(M526*(1+MAX(MIN(((B527-B526)/B526)/($K$7*30),0),-卓尔金历!$M$43))+MIN(MAX(((B527-B526)/B526)/($K$7*7),0),卓尔金历!$M$43),0),1)</f>
        <v>0.6353164421723434</v>
      </c>
      <c r="N527">
        <f t="shared" si="25"/>
        <v>0.99304725083761414</v>
      </c>
      <c r="O527">
        <f t="shared" si="23"/>
        <v>0.99127403079539655</v>
      </c>
      <c r="P527">
        <f t="shared" si="24"/>
        <v>-4.7736447964498149E-2</v>
      </c>
      <c r="Q527">
        <f t="shared" si="26"/>
        <v>8.8172295848246443E-2</v>
      </c>
      <c r="R527">
        <f t="shared" si="27"/>
        <v>0.75745516950774061</v>
      </c>
      <c r="S527">
        <f t="shared" si="19"/>
        <v>1.0449660825107787</v>
      </c>
      <c r="T527" s="564">
        <f>IF((I527-MAX(I$470:I527))/MAX(I$470:I527)&gt;T526,T526,(I527-MAX(I$470:I527))/MAX(I$470:I527))</f>
        <v>-0.13666535856332884</v>
      </c>
      <c r="U527" s="564">
        <f>IF((J527-MAX(J$470:J527))/MAX(J$470:J527)&gt;U526,U526,(J527-MAX(J$470:J527))/MAX(J$470:J527))</f>
        <v>-0.21277552856500234</v>
      </c>
      <c r="V527" s="564">
        <f>IF((K527-MAX(K$470:K527))/MAX(K$470:K527)&gt;V526,V526,(K527-MAX(K$470:K527))/MAX(K$470:K527))</f>
        <v>-0.68158456867950912</v>
      </c>
      <c r="W527" s="564">
        <f>IF((N527-MAX(N$470:N527))/MAX(N$470:N527)&gt;W526,W526,(N527-MAX(N$470:N527))/MAX(N$470:N527))</f>
        <v>-0.10311304065408976</v>
      </c>
      <c r="X527" s="564">
        <f>IF((O527-MAX(O$470:O527))/MAX(O$470:O527)&gt;X526,X526,(O527-MAX(O$470:O527))/MAX(O$470:O527))</f>
        <v>-0.12147101883973409</v>
      </c>
    </row>
    <row r="528" spans="1:24">
      <c r="A528" s="799">
        <v>40930</v>
      </c>
      <c r="B528">
        <v>6.3097000000000003</v>
      </c>
      <c r="C528">
        <v>7.0096299999999996</v>
      </c>
      <c r="D528">
        <v>1.219589</v>
      </c>
      <c r="E528">
        <f>LN(D528/参数实验室!$E$53)/参数实验室!$E$55</f>
        <v>-0.45877085667630862</v>
      </c>
      <c r="F528">
        <f t="shared" si="28"/>
        <v>1.110929204241089</v>
      </c>
      <c r="G528">
        <f>LN(F528/参数实验室!$E$58)/参数实验室!$E$59</f>
        <v>-0.13531706616439834</v>
      </c>
      <c r="H528" s="856">
        <f>INDEX(神经网络!$G$10:$BO$70,MATCH(ROUND(G528*2,1)/2,神经网络!$E$10:$E$70,0),MATCH(ROUND(E528*2,1)/2,神经网络!$G$8:$BO$8,0))</f>
        <v>-0.42837081028630275</v>
      </c>
      <c r="I528">
        <f t="shared" si="20"/>
        <v>0.93980353142273199</v>
      </c>
      <c r="J528">
        <f t="shared" si="21"/>
        <v>2.5177367223973501</v>
      </c>
      <c r="K528">
        <f t="shared" si="22"/>
        <v>0.37327315563315355</v>
      </c>
      <c r="L528" s="4">
        <f>MIN(MAX(L527*(1+MAX(MIN(((B528-B527)/B527)/($K$7*卓尔金历!$N$40),0),-卓尔金历!$M$43))+MIN(MAX(((B528-B527)/B527)/($K$7*卓尔金历!$N$40),0),卓尔金历!$M$43),0),1)</f>
        <v>0.59129494522185233</v>
      </c>
      <c r="M528" s="4">
        <f>MIN(MAX(M527*(1+MAX(MIN(((B528-B527)/B527)/($K$7*30),0),-卓尔金历!$M$43))+MIN(MAX(((B528-B527)/B527)/($K$7*7),0),卓尔金历!$M$43),0),1)</f>
        <v>1</v>
      </c>
      <c r="N528">
        <f t="shared" si="25"/>
        <v>0.99044843928127813</v>
      </c>
      <c r="O528">
        <f t="shared" si="23"/>
        <v>0.985184159228774</v>
      </c>
      <c r="P528">
        <f t="shared" si="24"/>
        <v>2.0987055016181328E-2</v>
      </c>
      <c r="Q528">
        <f t="shared" si="26"/>
        <v>8.5376688274804033E-2</v>
      </c>
      <c r="R528">
        <f t="shared" si="27"/>
        <v>1</v>
      </c>
      <c r="S528">
        <f t="shared" si="19"/>
        <v>1.0373121709812541</v>
      </c>
      <c r="T528" s="564">
        <f>IF((I528-MAX(I$470:I528))/MAX(I$470:I528)&gt;T527,T527,(I528-MAX(I$470:I528))/MAX(I$470:I528))</f>
        <v>-0.13666535856332884</v>
      </c>
      <c r="U528" s="564">
        <f>IF((J528-MAX(J$470:J528))/MAX(J$470:J528)&gt;U527,U527,(J528-MAX(J$470:J528))/MAX(J$470:J528))</f>
        <v>-0.21277552856500234</v>
      </c>
      <c r="V528" s="564">
        <f>IF((K528-MAX(K$470:K528))/MAX(K$470:K528)&gt;V527,V527,(K528-MAX(K$470:K528))/MAX(K$470:K528))</f>
        <v>-0.68158456867950912</v>
      </c>
      <c r="W528" s="564">
        <f>IF((N528-MAX(N$470:N528))/MAX(N$470:N528)&gt;W527,W527,(N528-MAX(N$470:N528))/MAX(N$470:N528))</f>
        <v>-0.10311304065408976</v>
      </c>
      <c r="X528" s="564">
        <f>IF((O528-MAX(O$470:O528))/MAX(O$470:O528)&gt;X527,X527,(O528-MAX(O$470:O528))/MAX(O$470:O528))</f>
        <v>-0.12147101883973409</v>
      </c>
    </row>
    <row r="529" spans="1:24">
      <c r="A529" s="799">
        <v>40931</v>
      </c>
      <c r="B529">
        <v>6.3559999999999999</v>
      </c>
      <c r="C529">
        <v>6.9211669999999996</v>
      </c>
      <c r="D529">
        <v>1.2324390000000001</v>
      </c>
      <c r="E529">
        <f>LN(D529/参数实验室!$E$53)/参数实验室!$E$55</f>
        <v>-0.44640560801859885</v>
      </c>
      <c r="F529">
        <f t="shared" si="28"/>
        <v>1.0889186595342983</v>
      </c>
      <c r="G529">
        <f>LN(F529/参数实验室!$E$58)/参数实验室!$E$59</f>
        <v>-0.14582025512866262</v>
      </c>
      <c r="H529" s="856">
        <f>INDEX(神经网络!$G$10:$BO$70,MATCH(ROUND(G529*2,1)/2,神经网络!$E$10:$E$70,0),MATCH(ROUND(E529*2,1)/2,神经网络!$G$8:$BO$8,0))</f>
        <v>-0.42837081028630275</v>
      </c>
      <c r="I529">
        <f t="shared" si="20"/>
        <v>0.9368494040106059</v>
      </c>
      <c r="J529">
        <f t="shared" si="21"/>
        <v>2.5362116435896405</v>
      </c>
      <c r="K529">
        <f t="shared" si="22"/>
        <v>0.36938928435981438</v>
      </c>
      <c r="L529" s="4">
        <f>MIN(MAX(L528*(1+MAX(MIN(((B529-B528)/B528)/($K$7*卓尔金历!$N$40),0),-卓尔金历!$M$43))+MIN(MAX(((B529-B528)/B528)/($K$7*卓尔金历!$N$40),0),卓尔金历!$M$43),0),1)</f>
        <v>0.70341114238079283</v>
      </c>
      <c r="M529" s="4">
        <f>MIN(MAX(M528*(1+MAX(MIN(((B529-B528)/B528)/($K$7*30),0),-卓尔金历!$M$43))+MIN(MAX(((B529-B528)/B528)/($K$7*7),0),卓尔金历!$M$43),0),1)</f>
        <v>1</v>
      </c>
      <c r="N529">
        <f t="shared" si="25"/>
        <v>0.98860754779865101</v>
      </c>
      <c r="O529">
        <f t="shared" si="23"/>
        <v>0.98208738481427038</v>
      </c>
      <c r="P529">
        <f t="shared" si="24"/>
        <v>7.3379082999191023E-3</v>
      </c>
      <c r="Q529">
        <f t="shared" si="26"/>
        <v>8.5246419541125135E-2</v>
      </c>
      <c r="R529">
        <f t="shared" si="27"/>
        <v>1</v>
      </c>
      <c r="S529">
        <f t="shared" si="19"/>
        <v>1.034051540203895</v>
      </c>
      <c r="T529" s="564">
        <f>IF((I529-MAX(I$470:I529))/MAX(I$470:I529)&gt;T528,T528,(I529-MAX(I$470:I529))/MAX(I$470:I529))</f>
        <v>-0.13666535856332884</v>
      </c>
      <c r="U529" s="564">
        <f>IF((J529-MAX(J$470:J529))/MAX(J$470:J529)&gt;U528,U528,(J529-MAX(J$470:J529))/MAX(J$470:J529))</f>
        <v>-0.21277552856500234</v>
      </c>
      <c r="V529" s="564">
        <f>IF((K529-MAX(K$470:K529))/MAX(K$470:K529)&gt;V528,V528,(K529-MAX(K$470:K529))/MAX(K$470:K529))</f>
        <v>-0.68158456867950912</v>
      </c>
      <c r="W529" s="564">
        <f>IF((N529-MAX(N$470:N529))/MAX(N$470:N529)&gt;W528,W528,(N529-MAX(N$470:N529))/MAX(N$470:N529))</f>
        <v>-0.10311304065408976</v>
      </c>
      <c r="X529" s="564">
        <f>IF((O529-MAX(O$470:O529))/MAX(O$470:O529)&gt;X528,X528,(O529-MAX(O$470:O529))/MAX(O$470:O529))</f>
        <v>-0.12147101883973409</v>
      </c>
    </row>
    <row r="530" spans="1:24">
      <c r="A530" s="799">
        <v>40932</v>
      </c>
      <c r="B530">
        <v>6.2897999999999996</v>
      </c>
      <c r="C530">
        <v>7.1013549999999999</v>
      </c>
      <c r="D530">
        <v>1.2122949999999999</v>
      </c>
      <c r="E530">
        <f>LN(D530/参数实验室!$E$53)/参数实验室!$E$55</f>
        <v>-0.46584779452806757</v>
      </c>
      <c r="F530">
        <f t="shared" si="28"/>
        <v>1.129027155076473</v>
      </c>
      <c r="G530">
        <f>LN(F530/参数实验室!$E$58)/参数实验室!$E$59</f>
        <v>-0.12683566041796723</v>
      </c>
      <c r="H530" s="856">
        <f>INDEX(神经网络!$G$10:$BO$70,MATCH(ROUND(G530*2,1)/2,神经网络!$E$10:$E$70,0),MATCH(ROUND(E530*2,1)/2,神经网络!$G$8:$BO$8,0))</f>
        <v>-0.42837081028630275</v>
      </c>
      <c r="I530">
        <f t="shared" si="20"/>
        <v>0.94102928344991865</v>
      </c>
      <c r="J530">
        <f t="shared" si="21"/>
        <v>2.5097960975220452</v>
      </c>
      <c r="K530">
        <f t="shared" si="22"/>
        <v>0.37494252396798661</v>
      </c>
      <c r="L530" s="4">
        <f>MIN(MAX(L529*(1+MAX(MIN(((B530-B529)/B529)/($K$7*卓尔金历!$N$40),0),-卓尔金历!$M$43))+MIN(MAX(((B530-B529)/B529)/($K$7*卓尔金历!$N$40),0),卓尔金历!$M$43),0),1)</f>
        <v>0.59147265788630232</v>
      </c>
      <c r="M530" s="4">
        <f>MIN(MAX(M529*(1+MAX(MIN(((B530-B529)/B529)/($K$7*30),0),-卓尔金历!$M$43))+MIN(MAX(((B530-B529)/B529)/($K$7*7),0),卓尔金历!$M$43),0),1)</f>
        <v>0.92043168088323202</v>
      </c>
      <c r="N530">
        <f t="shared" si="25"/>
        <v>0.99171015742814228</v>
      </c>
      <c r="O530">
        <f t="shared" si="23"/>
        <v>0.98646909958061413</v>
      </c>
      <c r="P530">
        <f t="shared" si="24"/>
        <v>-1.0415355569540633E-2</v>
      </c>
      <c r="Q530">
        <f t="shared" si="26"/>
        <v>8.3673621636609144E-2</v>
      </c>
      <c r="R530">
        <f t="shared" si="27"/>
        <v>1</v>
      </c>
      <c r="S530">
        <f t="shared" si="19"/>
        <v>1.0386651000285423</v>
      </c>
      <c r="T530" s="564">
        <f>IF((I530-MAX(I$470:I530))/MAX(I$470:I530)&gt;T529,T529,(I530-MAX(I$470:I530))/MAX(I$470:I530))</f>
        <v>-0.13666535856332884</v>
      </c>
      <c r="U530" s="564">
        <f>IF((J530-MAX(J$470:J530))/MAX(J$470:J530)&gt;U529,U529,(J530-MAX(J$470:J530))/MAX(J$470:J530))</f>
        <v>-0.21277552856500234</v>
      </c>
      <c r="V530" s="564">
        <f>IF((K530-MAX(K$470:K530))/MAX(K$470:K530)&gt;V529,V529,(K530-MAX(K$470:K530))/MAX(K$470:K530))</f>
        <v>-0.68158456867950912</v>
      </c>
      <c r="W530" s="564">
        <f>IF((N530-MAX(N$470:N530))/MAX(N$470:N530)&gt;W529,W529,(N530-MAX(N$470:N530))/MAX(N$470:N530))</f>
        <v>-0.10311304065408976</v>
      </c>
      <c r="X530" s="564">
        <f>IF((O530-MAX(O$470:O530))/MAX(O$470:O530)&gt;X529,X529,(O530-MAX(O$470:O530))/MAX(O$470:O530))</f>
        <v>-0.12147101883973409</v>
      </c>
    </row>
    <row r="531" spans="1:24">
      <c r="A531" s="799">
        <v>40933</v>
      </c>
      <c r="B531">
        <v>5.75</v>
      </c>
      <c r="C531">
        <v>7.2600490000000004</v>
      </c>
      <c r="D531">
        <v>1.123694</v>
      </c>
      <c r="E531">
        <f>LN(D531/参数实验室!$E$53)/参数实验室!$E$55</f>
        <v>-0.55538373352748061</v>
      </c>
      <c r="F531">
        <f t="shared" si="28"/>
        <v>1.2626172173913044</v>
      </c>
      <c r="G531">
        <f>LN(F531/参数实验室!$E$58)/参数实验室!$E$59</f>
        <v>-6.8141030128063176E-2</v>
      </c>
      <c r="H531" s="856">
        <f>INDEX(神经网络!$G$10:$BO$70,MATCH(ROUND(G531*2,1)/2,神经网络!$E$10:$E$70,0),MATCH(ROUND(E531*2,1)/2,神经网络!$G$8:$BO$8,0))</f>
        <v>-0.33449656962510349</v>
      </c>
      <c r="I531">
        <f t="shared" si="20"/>
        <v>0.97562473886950951</v>
      </c>
      <c r="J531">
        <f t="shared" si="21"/>
        <v>2.2944016599497221</v>
      </c>
      <c r="K531">
        <f t="shared" si="22"/>
        <v>0.42521967966623969</v>
      </c>
      <c r="L531" s="4">
        <f>MIN(MAX(L530*(1+MAX(MIN(((B531-B530)/B530)/($K$7*卓尔金历!$N$40),0),-卓尔金历!$M$43))+MIN(MAX(((B531-B530)/B530)/($K$7*卓尔金历!$N$40),0),卓尔金历!$M$43),0),1)</f>
        <v>0</v>
      </c>
      <c r="M531" s="4">
        <f>MIN(MAX(M530*(1+MAX(MIN(((B531-B530)/B530)/($K$7*30),0),-卓尔金历!$M$43))+MIN(MAX(((B531-B530)/B530)/($K$7*7),0),卓尔金历!$M$43),0),1)</f>
        <v>0.31696445968789666</v>
      </c>
      <c r="N531">
        <f t="shared" si="25"/>
        <v>1.013274456606889</v>
      </c>
      <c r="O531">
        <f t="shared" si="23"/>
        <v>1.0198494551262143</v>
      </c>
      <c r="P531">
        <f t="shared" si="24"/>
        <v>-8.5821488759578943E-2</v>
      </c>
      <c r="Q531">
        <f t="shared" si="26"/>
        <v>8.1311274291345798E-2</v>
      </c>
      <c r="R531">
        <f t="shared" si="27"/>
        <v>7.9156522528583517E-2</v>
      </c>
      <c r="S531">
        <f t="shared" si="19"/>
        <v>1.0768499820464403</v>
      </c>
      <c r="T531" s="564">
        <f>IF((I531-MAX(I$470:I531))/MAX(I$470:I531)&gt;T530,T530,(I531-MAX(I$470:I531))/MAX(I$470:I531))</f>
        <v>-0.13666535856332884</v>
      </c>
      <c r="U531" s="564">
        <f>IF((J531-MAX(J$470:J531))/MAX(J$470:J531)&gt;U530,U530,(J531-MAX(J$470:J531))/MAX(J$470:J531))</f>
        <v>-0.21277552856500234</v>
      </c>
      <c r="V531" s="564">
        <f>IF((K531-MAX(K$470:K531))/MAX(K$470:K531)&gt;V530,V530,(K531-MAX(K$470:K531))/MAX(K$470:K531))</f>
        <v>-0.68158456867950912</v>
      </c>
      <c r="W531" s="564">
        <f>IF((N531-MAX(N$470:N531))/MAX(N$470:N531)&gt;W530,W530,(N531-MAX(N$470:N531))/MAX(N$470:N531))</f>
        <v>-0.10311304065408976</v>
      </c>
      <c r="X531" s="564">
        <f>IF((O531-MAX(O$470:O531))/MAX(O$470:O531)&gt;X530,X530,(O531-MAX(O$470:O531))/MAX(O$470:O531))</f>
        <v>-0.12147101883973409</v>
      </c>
    </row>
    <row r="532" spans="1:24">
      <c r="A532" s="799">
        <v>40934</v>
      </c>
      <c r="B532">
        <v>5.34</v>
      </c>
      <c r="C532">
        <v>7.3146449999999996</v>
      </c>
      <c r="D532">
        <v>1.040932</v>
      </c>
      <c r="E532">
        <f>LN(D532/参数实验室!$E$53)/参数实验室!$E$55</f>
        <v>-0.64564076338637189</v>
      </c>
      <c r="F532">
        <f t="shared" si="28"/>
        <v>1.3697837078651685</v>
      </c>
      <c r="G532">
        <f>LN(F532/参数实验室!$E$58)/参数实验室!$E$59</f>
        <v>-2.5383204213402663E-2</v>
      </c>
      <c r="H532" s="856">
        <f>INDEX(神经网络!$G$10:$BO$70,MATCH(ROUND(G532*2,1)/2,神经网络!$E$10:$E$70,0),MATCH(ROUND(E532*2,1)/2,神经网络!$G$8:$BO$8,0))</f>
        <v>-0.37202955763857187</v>
      </c>
      <c r="I532">
        <f t="shared" si="20"/>
        <v>0.99889442280711427</v>
      </c>
      <c r="J532">
        <f t="shared" si="21"/>
        <v>2.1308008459359158</v>
      </c>
      <c r="K532">
        <f t="shared" si="22"/>
        <v>0.46878826086084452</v>
      </c>
      <c r="L532" s="4">
        <f>MIN(MAX(L531*(1+MAX(MIN(((B532-B531)/B531)/($K$7*卓尔金历!$N$40),0),-卓尔金历!$M$43))+MIN(MAX(((B532-B531)/B531)/($K$7*卓尔金历!$N$40),0),卓尔金历!$M$43),0),1)</f>
        <v>0</v>
      </c>
      <c r="M532" s="4">
        <f>MIN(MAX(M531*(1+MAX(MIN(((B532-B531)/B531)/($K$7*30),0),-卓尔金历!$M$43))+MIN(MAX(((B532-B531)/B531)/($K$7*7),0),卓尔金历!$M$43),0),1)</f>
        <v>0.14430409115248438</v>
      </c>
      <c r="N532">
        <f t="shared" si="25"/>
        <v>1.013274456606889</v>
      </c>
      <c r="O532">
        <f t="shared" si="23"/>
        <v>1.0275594540473261</v>
      </c>
      <c r="P532">
        <f t="shared" si="24"/>
        <v>-7.1304347826086981E-2</v>
      </c>
      <c r="Q532">
        <f t="shared" si="26"/>
        <v>6.2240234293270524E-2</v>
      </c>
      <c r="R532">
        <f t="shared" si="27"/>
        <v>7.025654627482017E-2</v>
      </c>
      <c r="S532">
        <f t="shared" si="19"/>
        <v>1.0788830392207227</v>
      </c>
      <c r="T532" s="564">
        <f>IF((I532-MAX(I$470:I532))/MAX(I$470:I532)&gt;T531,T531,(I532-MAX(I$470:I532))/MAX(I$470:I532))</f>
        <v>-0.13666535856332884</v>
      </c>
      <c r="U532" s="564">
        <f>IF((J532-MAX(J$470:J532))/MAX(J$470:J532)&gt;U531,U531,(J532-MAX(J$470:J532))/MAX(J$470:J532))</f>
        <v>-0.24932523616734142</v>
      </c>
      <c r="V532" s="564">
        <f>IF((K532-MAX(K$470:K532))/MAX(K$470:K532)&gt;V531,V531,(K532-MAX(K$470:K532))/MAX(K$470:K532))</f>
        <v>-0.68158456867950912</v>
      </c>
      <c r="W532" s="564">
        <f>IF((N532-MAX(N$470:N532))/MAX(N$470:N532)&gt;W531,W531,(N532-MAX(N$470:N532))/MAX(N$470:N532))</f>
        <v>-0.10311304065408976</v>
      </c>
      <c r="X532" s="564">
        <f>IF((O532-MAX(O$470:O532))/MAX(O$470:O532)&gt;X531,X531,(O532-MAX(O$470:O532))/MAX(O$470:O532))</f>
        <v>-0.12147101883973409</v>
      </c>
    </row>
    <row r="533" spans="1:24">
      <c r="A533" s="799">
        <v>40935</v>
      </c>
      <c r="B533">
        <v>5.2919999999999998</v>
      </c>
      <c r="C533">
        <v>7.4043489999999998</v>
      </c>
      <c r="D533">
        <v>1.030273</v>
      </c>
      <c r="E533">
        <f>LN(D533/参数实验室!$E$53)/参数实验室!$E$55</f>
        <v>-0.6577835506450791</v>
      </c>
      <c r="F533">
        <f t="shared" si="28"/>
        <v>1.3991589191232048</v>
      </c>
      <c r="G533">
        <f>LN(F533/参数实验室!$E$58)/参数实验室!$E$59</f>
        <v>-1.424662327497081E-2</v>
      </c>
      <c r="H533" s="856">
        <f>INDEX(神经网络!$G$10:$BO$70,MATCH(ROUND(G533*2,1)/2,神经网络!$E$10:$E$70,0),MATCH(ROUND(E533*2,1)/2,神经网络!$G$8:$BO$8,0))</f>
        <v>-0.29351875486040024</v>
      </c>
      <c r="I533">
        <f t="shared" si="20"/>
        <v>1.0022348115733577</v>
      </c>
      <c r="J533">
        <f t="shared" si="21"/>
        <v>2.1116475799050312</v>
      </c>
      <c r="K533">
        <f t="shared" si="22"/>
        <v>0.47462219600982469</v>
      </c>
      <c r="L533" s="4">
        <f>MIN(MAX(L532*(1+MAX(MIN(((B533-B532)/B532)/($K$7*卓尔金历!$N$40),0),-卓尔金历!$M$43))+MIN(MAX(((B533-B532)/B532)/($K$7*卓尔金历!$N$40),0),卓尔金历!$M$43),0),1)</f>
        <v>0</v>
      </c>
      <c r="M533" s="4">
        <f>MIN(MAX(M532*(1+MAX(MIN(((B533-B532)/B532)/($K$7*30),0),-卓尔金历!$M$43))+MIN(MAX(((B533-B532)/B532)/($K$7*7),0),卓尔金历!$M$43),0),1)</f>
        <v>0.13439475167143741</v>
      </c>
      <c r="N533">
        <f t="shared" si="25"/>
        <v>1.013274456606889</v>
      </c>
      <c r="O533">
        <f t="shared" si="23"/>
        <v>1.0280553185611092</v>
      </c>
      <c r="P533">
        <f t="shared" si="24"/>
        <v>-8.988764044943828E-3</v>
      </c>
      <c r="Q533">
        <f t="shared" si="26"/>
        <v>6.1975507227229637E-2</v>
      </c>
      <c r="R533">
        <f t="shared" si="27"/>
        <v>1</v>
      </c>
      <c r="S533">
        <f t="shared" si="19"/>
        <v>1.079136516238276</v>
      </c>
      <c r="T533" s="564">
        <f>IF((I533-MAX(I$470:I533))/MAX(I$470:I533)&gt;T532,T532,(I533-MAX(I$470:I533))/MAX(I$470:I533))</f>
        <v>-0.13666535856332884</v>
      </c>
      <c r="U533" s="564">
        <f>IF((J533-MAX(J$470:J533))/MAX(J$470:J533)&gt;U532,U532,(J533-MAX(J$470:J533))/MAX(J$470:J533))</f>
        <v>-0.25607287449392713</v>
      </c>
      <c r="V533" s="564">
        <f>IF((K533-MAX(K$470:K533))/MAX(K$470:K533)&gt;V532,V532,(K533-MAX(K$470:K533))/MAX(K$470:K533))</f>
        <v>-0.68158456867950912</v>
      </c>
      <c r="W533" s="564">
        <f>IF((N533-MAX(N$470:N533))/MAX(N$470:N533)&gt;W532,W532,(N533-MAX(N$470:N533))/MAX(N$470:N533))</f>
        <v>-0.10311304065408976</v>
      </c>
      <c r="X533" s="564">
        <f>IF((O533-MAX(O$470:O533))/MAX(O$470:O533)&gt;X532,X532,(O533-MAX(O$470:O533))/MAX(O$470:O533))</f>
        <v>-0.12147101883973409</v>
      </c>
    </row>
    <row r="534" spans="1:24">
      <c r="A534" s="799">
        <v>40936</v>
      </c>
      <c r="B534">
        <v>5.6266999999999996</v>
      </c>
      <c r="C534">
        <v>7.3926930000000004</v>
      </c>
      <c r="D534">
        <v>1.0995839999999999</v>
      </c>
      <c r="E534">
        <f>LN(D534/参数实验室!$E$53)/参数实验室!$E$55</f>
        <v>-0.58097204573015082</v>
      </c>
      <c r="F534">
        <f t="shared" si="28"/>
        <v>1.3138594558089112</v>
      </c>
      <c r="G534">
        <f>LN(F534/参数实验室!$E$58)/参数实验室!$E$59</f>
        <v>-4.7261164832442859E-2</v>
      </c>
      <c r="H534" s="856">
        <f>INDEX(神经网络!$G$10:$BO$70,MATCH(ROUND(G534*2,1)/2,神经网络!$E$10:$E$70,0),MATCH(ROUND(E534*2,1)/2,神经网络!$G$8:$BO$8,0))</f>
        <v>-0.35929152298415734</v>
      </c>
      <c r="I534">
        <f t="shared" si="20"/>
        <v>0.98362931709754264</v>
      </c>
      <c r="J534">
        <f t="shared" si="21"/>
        <v>2.2452017078328872</v>
      </c>
      <c r="K534">
        <f t="shared" si="22"/>
        <v>0.43810287230137596</v>
      </c>
      <c r="L534" s="4">
        <f>MIN(MAX(L533*(1+MAX(MIN(((B534-B533)/B533)/($K$7*卓尔金历!$N$40),0),-卓尔金历!$M$43))+MIN(MAX(((B534-B533)/B533)/($K$7*卓尔金历!$N$40),0),卓尔金历!$M$43),0),1)</f>
        <v>0.96634444679466414</v>
      </c>
      <c r="M534" s="4">
        <f>MIN(MAX(M533*(1+MAX(MIN(((B534-B533)/B533)/($K$7*30),0),-卓尔金历!$M$43))+MIN(MAX(((B534-B533)/B533)/($K$7*7),0),卓尔金历!$M$43),0),1)</f>
        <v>1</v>
      </c>
      <c r="N534">
        <f t="shared" si="25"/>
        <v>1.013274456606889</v>
      </c>
      <c r="O534">
        <f t="shared" si="23"/>
        <v>1.0254904180350131</v>
      </c>
      <c r="P534">
        <f t="shared" si="24"/>
        <v>6.3246409674981061E-2</v>
      </c>
      <c r="Q534">
        <f t="shared" si="26"/>
        <v>6.3666172918432615E-2</v>
      </c>
      <c r="R534">
        <f t="shared" si="27"/>
        <v>6.9000498757920081E-2</v>
      </c>
      <c r="S534">
        <f t="shared" si="19"/>
        <v>1.0591034179466667</v>
      </c>
      <c r="T534" s="564">
        <f>IF((I534-MAX(I$470:I534))/MAX(I$470:I534)&gt;T533,T533,(I534-MAX(I$470:I534))/MAX(I$470:I534))</f>
        <v>-0.13666535856332884</v>
      </c>
      <c r="U534" s="564">
        <f>IF((J534-MAX(J$470:J534))/MAX(J$470:J534)&gt;U533,U533,(J534-MAX(J$470:J534))/MAX(J$470:J534))</f>
        <v>-0.25607287449392713</v>
      </c>
      <c r="V534" s="564">
        <f>IF((K534-MAX(K$470:K534))/MAX(K$470:K534)&gt;V533,V533,(K534-MAX(K$470:K534))/MAX(K$470:K534))</f>
        <v>-0.68158456867950912</v>
      </c>
      <c r="W534" s="564">
        <f>IF((N534-MAX(N$470:N534))/MAX(N$470:N534)&gt;W533,W533,(N534-MAX(N$470:N534))/MAX(N$470:N534))</f>
        <v>-0.10311304065408976</v>
      </c>
      <c r="X534" s="564">
        <f>IF((O534-MAX(O$470:O534))/MAX(O$470:O534)&gt;X533,X533,(O534-MAX(O$470:O534))/MAX(O$470:O534))</f>
        <v>-0.12147101883973409</v>
      </c>
    </row>
    <row r="535" spans="1:24">
      <c r="A535" s="799">
        <v>40937</v>
      </c>
      <c r="B535">
        <v>5.3808999999999996</v>
      </c>
      <c r="C535">
        <v>7.2974959999999998</v>
      </c>
      <c r="D535">
        <v>1.04861</v>
      </c>
      <c r="E535">
        <f>LN(D535/参数实验室!$E$53)/参数实验室!$E$55</f>
        <v>-0.63697074270733545</v>
      </c>
      <c r="F535">
        <f t="shared" si="28"/>
        <v>1.356185024809976</v>
      </c>
      <c r="G535">
        <f>LN(F535/参数实验室!$E$58)/参数实验室!$E$59</f>
        <v>-3.0619788847325118E-2</v>
      </c>
      <c r="H535" s="856">
        <f>INDEX(神经网络!$G$10:$BO$70,MATCH(ROUND(G535*2,1)/2,神经网络!$E$10:$E$70,0),MATCH(ROUND(E535*2,1)/2,神经网络!$G$8:$BO$8,0))</f>
        <v>-0.37202955763857187</v>
      </c>
      <c r="I535">
        <f t="shared" si="20"/>
        <v>0.99906786868396369</v>
      </c>
      <c r="J535">
        <f t="shared" si="21"/>
        <v>2.1471210246997323</v>
      </c>
      <c r="K535">
        <f t="shared" si="22"/>
        <v>0.46530580120591014</v>
      </c>
      <c r="L535" s="4">
        <f>MIN(MAX(L534*(1+MAX(MIN(((B535-B534)/B534)/($K$7*卓尔金历!$N$40),0),-卓尔金历!$M$43))+MIN(MAX(((B535-B534)/B534)/($K$7*卓尔金历!$N$40),0),卓尔金历!$M$43),0),1)</f>
        <v>0.32134973808769418</v>
      </c>
      <c r="M535" s="4">
        <f>MIN(MAX(M534*(1+MAX(MIN(((B535-B534)/B534)/($K$7*30),0),-卓尔金历!$M$43))+MIN(MAX(((B535-B534)/B534)/($K$7*7),0),卓尔金历!$M$43),0),1)</f>
        <v>0.66627080496690483</v>
      </c>
      <c r="N535">
        <f t="shared" si="25"/>
        <v>1.0286430506471198</v>
      </c>
      <c r="O535">
        <f t="shared" si="23"/>
        <v>1.0415860004307582</v>
      </c>
      <c r="P535">
        <f t="shared" si="24"/>
        <v>-4.3684575328345215E-2</v>
      </c>
      <c r="Q535">
        <f t="shared" si="26"/>
        <v>6.3036466496952021E-2</v>
      </c>
      <c r="R535">
        <f t="shared" si="27"/>
        <v>0.45373204461317829</v>
      </c>
      <c r="S535">
        <f t="shared" ref="S535:S598" si="29">S534*(1+(B535-B534)/B534*H534*R534)</f>
        <v>1.0602504239433066</v>
      </c>
      <c r="T535" s="564">
        <f>IF((I535-MAX(I$470:I535))/MAX(I$470:I535)&gt;T534,T534,(I535-MAX(I$470:I535))/MAX(I$470:I535))</f>
        <v>-0.13666535856332884</v>
      </c>
      <c r="U535" s="564">
        <f>IF((J535-MAX(J$470:J535))/MAX(J$470:J535)&gt;U534,U534,(J535-MAX(J$470:J535))/MAX(J$470:J535))</f>
        <v>-0.25607287449392713</v>
      </c>
      <c r="V535" s="564">
        <f>IF((K535-MAX(K$470:K535))/MAX(K$470:K535)&gt;V534,V534,(K535-MAX(K$470:K535))/MAX(K$470:K535))</f>
        <v>-0.68158456867950912</v>
      </c>
      <c r="W535" s="564">
        <f>IF((N535-MAX(N$470:N535))/MAX(N$470:N535)&gt;W534,W534,(N535-MAX(N$470:N535))/MAX(N$470:N535))</f>
        <v>-0.10311304065408976</v>
      </c>
      <c r="X535" s="564">
        <f>IF((O535-MAX(O$470:O535))/MAX(O$470:O535)&gt;X534,X534,(O535-MAX(O$470:O535))/MAX(O$470:O535))</f>
        <v>-0.12147101883973409</v>
      </c>
    </row>
    <row r="536" spans="1:24">
      <c r="A536" s="799">
        <v>40938</v>
      </c>
      <c r="B536">
        <v>5.4904999999999999</v>
      </c>
      <c r="C536">
        <v>7.2236469999999997</v>
      </c>
      <c r="D536">
        <v>1.070878</v>
      </c>
      <c r="E536">
        <f>LN(D536/参数实验室!$E$53)/参数实验室!$E$55</f>
        <v>-0.61218012165962199</v>
      </c>
      <c r="F536">
        <f t="shared" si="28"/>
        <v>1.3156628722338584</v>
      </c>
      <c r="G536">
        <f>LN(F536/参数实验室!$E$58)/参数实验室!$E$59</f>
        <v>-4.6541238981040116E-2</v>
      </c>
      <c r="H536" s="856">
        <f>INDEX(神经网络!$G$10:$BO$70,MATCH(ROUND(G536*2,1)/2,神经网络!$E$10:$E$70,0),MATCH(ROUND(E536*2,1)/2,神经网络!$G$8:$BO$8,0))</f>
        <v>-0.35929152298415734</v>
      </c>
      <c r="I536">
        <f t="shared" ref="I536:I599" si="30">I535*(1+(B536-B535)/B535*H535)</f>
        <v>0.99149730755381449</v>
      </c>
      <c r="J536">
        <f t="shared" ref="J536:J599" si="31">J535*B536/B535</f>
        <v>2.1908543154702524</v>
      </c>
      <c r="K536">
        <f t="shared" ref="K536:K599" si="32">I536/J536</f>
        <v>0.45256195291150436</v>
      </c>
      <c r="L536" s="4">
        <f>MIN(MAX(L535*(1+MAX(MIN(((B536-B535)/B535)/($K$7*卓尔金历!$N$40),0),-卓尔金历!$M$43))+MIN(MAX(((B536-B535)/B535)/($K$7*卓尔金历!$N$40),0),卓尔金历!$M$43),0),1)</f>
        <v>0.63255842524931127</v>
      </c>
      <c r="M536" s="4">
        <f>MIN(MAX(M535*(1+MAX(MIN(((B536-B535)/B535)/($K$7*30),0),-卓尔金历!$M$43))+MIN(MAX(((B536-B535)/B535)/($K$7*7),0),卓尔金历!$M$43),0),1)</f>
        <v>1</v>
      </c>
      <c r="N536">
        <f t="shared" ref="N536:N599" si="33">N535*(1+(B536-B535)/B535*H535*L535)</f>
        <v>1.026138235242249</v>
      </c>
      <c r="O536">
        <f t="shared" ref="O536:O599" si="34">O535*(1+(B536-B535)/B535*H535*M535)</f>
        <v>1.0363272931567291</v>
      </c>
      <c r="P536">
        <f t="shared" ref="P536:P599" si="35">(B536-B535)/B535</f>
        <v>2.0368339868795254E-2</v>
      </c>
      <c r="Q536">
        <f t="shared" si="26"/>
        <v>5.9239846096143405E-2</v>
      </c>
      <c r="R536">
        <f t="shared" si="27"/>
        <v>1</v>
      </c>
      <c r="S536">
        <f t="shared" si="29"/>
        <v>1.0566050592256231</v>
      </c>
      <c r="T536" s="564">
        <f>IF((I536-MAX(I$470:I536))/MAX(I$470:I536)&gt;T535,T535,(I536-MAX(I$470:I536))/MAX(I$470:I536))</f>
        <v>-0.13666535856332884</v>
      </c>
      <c r="U536" s="564">
        <f>IF((J536-MAX(J$470:J536))/MAX(J$470:J536)&gt;U535,U535,(J536-MAX(J$470:J536))/MAX(J$470:J536))</f>
        <v>-0.25607287449392713</v>
      </c>
      <c r="V536" s="564">
        <f>IF((K536-MAX(K$470:K536))/MAX(K$470:K536)&gt;V535,V535,(K536-MAX(K$470:K536))/MAX(K$470:K536))</f>
        <v>-0.68158456867950912</v>
      </c>
      <c r="W536" s="564">
        <f>IF((N536-MAX(N$470:N536))/MAX(N$470:N536)&gt;W535,W535,(N536-MAX(N$470:N536))/MAX(N$470:N536))</f>
        <v>-0.10311304065408976</v>
      </c>
      <c r="X536" s="564">
        <f>IF((O536-MAX(O$470:O536))/MAX(O$470:O536)&gt;X535,X535,(O536-MAX(O$470:O536))/MAX(O$470:O536))</f>
        <v>-0.12147101883973409</v>
      </c>
    </row>
    <row r="537" spans="1:24">
      <c r="A537" s="799">
        <v>40939</v>
      </c>
      <c r="B537">
        <v>5.4837999999999996</v>
      </c>
      <c r="C537">
        <v>7.2603679999999997</v>
      </c>
      <c r="D537">
        <v>1.078786</v>
      </c>
      <c r="E537">
        <f>LN(D537/参数实验室!$E$53)/参数实验室!$E$55</f>
        <v>-0.60350013191349372</v>
      </c>
      <c r="F537">
        <f t="shared" si="28"/>
        <v>1.3239665925088442</v>
      </c>
      <c r="G537">
        <f>LN(F537/参数实验室!$E$58)/参数实验室!$E$59</f>
        <v>-4.3239066768143188E-2</v>
      </c>
      <c r="H537" s="856">
        <f>INDEX(神经网络!$G$10:$BO$70,MATCH(ROUND(G537*2,1)/2,神经网络!$E$10:$E$70,0),MATCH(ROUND(E537*2,1)/2,神经网络!$G$8:$BO$8,0))</f>
        <v>-0.35929152298415734</v>
      </c>
      <c r="I537">
        <f t="shared" si="30"/>
        <v>0.9919320193415132</v>
      </c>
      <c r="J537">
        <f t="shared" si="31"/>
        <v>2.1881808387534414</v>
      </c>
      <c r="K537">
        <f t="shared" si="32"/>
        <v>0.45331354784488248</v>
      </c>
      <c r="L537" s="4">
        <f>MIN(MAX(L536*(1+MAX(MIN(((B537-B536)/B536)/($K$7*卓尔金历!$N$40),0),-卓尔金历!$M$43))+MIN(MAX(((B537-B536)/B536)/($K$7*卓尔金历!$N$40),0),卓尔金历!$M$43),0),1)</f>
        <v>0.62076446580969291</v>
      </c>
      <c r="M537" s="4">
        <f>MIN(MAX(M536*(1+MAX(MIN(((B537-B536)/B536)/($K$7*30),0),-卓尔金历!$M$43))+MIN(MAX(((B537-B536)/B536)/($K$7*7),0),卓尔金历!$M$43),0),1)</f>
        <v>0.99067757303606374</v>
      </c>
      <c r="N537">
        <f t="shared" si="33"/>
        <v>1.026422823116997</v>
      </c>
      <c r="O537">
        <f t="shared" si="34"/>
        <v>1.036781660190121</v>
      </c>
      <c r="P537">
        <f t="shared" si="35"/>
        <v>-1.2202895911119884E-3</v>
      </c>
      <c r="Q537">
        <f t="shared" si="26"/>
        <v>5.9201606447977582E-2</v>
      </c>
      <c r="R537">
        <f t="shared" si="27"/>
        <v>1</v>
      </c>
      <c r="S537">
        <f t="shared" si="29"/>
        <v>1.0570683168368018</v>
      </c>
      <c r="T537" s="564">
        <f>IF((I537-MAX(I$470:I537))/MAX(I$470:I537)&gt;T536,T536,(I537-MAX(I$470:I537))/MAX(I$470:I537))</f>
        <v>-0.13666535856332884</v>
      </c>
      <c r="U537" s="564">
        <f>IF((J537-MAX(J$470:J537))/MAX(J$470:J537)&gt;U536,U536,(J537-MAX(J$470:J537))/MAX(J$470:J537))</f>
        <v>-0.25607287449392713</v>
      </c>
      <c r="V537" s="564">
        <f>IF((K537-MAX(K$470:K537))/MAX(K$470:K537)&gt;V536,V536,(K537-MAX(K$470:K537))/MAX(K$470:K537))</f>
        <v>-0.68158456867950912</v>
      </c>
      <c r="W537" s="564">
        <f>IF((N537-MAX(N$470:N537))/MAX(N$470:N537)&gt;W536,W536,(N537-MAX(N$470:N537))/MAX(N$470:N537))</f>
        <v>-0.10311304065408976</v>
      </c>
      <c r="X537" s="564">
        <f>IF((O537-MAX(O$470:O537))/MAX(O$470:O537)&gt;X536,X536,(O537-MAX(O$470:O537))/MAX(O$470:O537))</f>
        <v>-0.12147101883973409</v>
      </c>
    </row>
    <row r="538" spans="1:24">
      <c r="A538" s="799">
        <v>40940</v>
      </c>
      <c r="B538">
        <v>6.0755999999999997</v>
      </c>
      <c r="C538">
        <v>7.329415</v>
      </c>
      <c r="D538">
        <v>1.1808609999999999</v>
      </c>
      <c r="E538">
        <f>LN(D538/参数实验室!$E$53)/参数实验室!$E$55</f>
        <v>-0.49684159215555113</v>
      </c>
      <c r="F538">
        <f t="shared" si="28"/>
        <v>1.2063689182961355</v>
      </c>
      <c r="G538">
        <f>LN(F538/参数实验室!$E$58)/参数实验室!$E$59</f>
        <v>-9.2059557541806628E-2</v>
      </c>
      <c r="H538" s="856">
        <f>INDEX(神经网络!$G$10:$BO$70,MATCH(ROUND(G538*2,1)/2,神经网络!$E$10:$E$70,0),MATCH(ROUND(E538*2,1)/2,神经网络!$G$8:$BO$8,0))</f>
        <v>-0.38035935351566896</v>
      </c>
      <c r="I538">
        <f t="shared" si="30"/>
        <v>0.95347087216711135</v>
      </c>
      <c r="J538">
        <f t="shared" si="31"/>
        <v>2.4243246478592235</v>
      </c>
      <c r="K538">
        <f t="shared" si="32"/>
        <v>0.39329339534169427</v>
      </c>
      <c r="L538" s="4">
        <f>MIN(MAX(L537*(1+MAX(MIN(((B538-B537)/B537)/($K$7*卓尔金历!$N$40),0),-卓尔金历!$M$43))+MIN(MAX(((B538-B537)/B537)/($K$7*卓尔金历!$N$40),0),卓尔金历!$M$43),0),1)</f>
        <v>1</v>
      </c>
      <c r="M538" s="4">
        <f>MIN(MAX(M537*(1+MAX(MIN(((B538-B537)/B537)/($K$7*30),0),-卓尔金历!$M$43))+MIN(MAX(((B538-B537)/B537)/($K$7*7),0),卓尔金历!$M$43),0),1)</f>
        <v>1</v>
      </c>
      <c r="N538">
        <f t="shared" si="33"/>
        <v>1.0017173330357689</v>
      </c>
      <c r="O538">
        <f t="shared" si="34"/>
        <v>0.99695627709448242</v>
      </c>
      <c r="P538">
        <f t="shared" si="35"/>
        <v>0.10791786717239873</v>
      </c>
      <c r="Q538">
        <f t="shared" si="26"/>
        <v>6.1043931697808251E-2</v>
      </c>
      <c r="R538">
        <f t="shared" si="27"/>
        <v>2.5469913336923628E-2</v>
      </c>
      <c r="S538">
        <f t="shared" si="29"/>
        <v>1.0160815765012627</v>
      </c>
      <c r="T538" s="564">
        <f>IF((I538-MAX(I$470:I538))/MAX(I$470:I538)&gt;T537,T537,(I538-MAX(I$470:I538))/MAX(I$470:I538))</f>
        <v>-0.13666535856332884</v>
      </c>
      <c r="U538" s="564">
        <f>IF((J538-MAX(J$470:J538))/MAX(J$470:J538)&gt;U537,U537,(J538-MAX(J$470:J538))/MAX(J$470:J538))</f>
        <v>-0.25607287449392713</v>
      </c>
      <c r="V538" s="564">
        <f>IF((K538-MAX(K$470:K538))/MAX(K$470:K538)&gt;V537,V537,(K538-MAX(K$470:K538))/MAX(K$470:K538))</f>
        <v>-0.68158456867950912</v>
      </c>
      <c r="W538" s="564">
        <f>IF((N538-MAX(N$470:N538))/MAX(N$470:N538)&gt;W537,W537,(N538-MAX(N$470:N538))/MAX(N$470:N538))</f>
        <v>-0.10311304065408976</v>
      </c>
      <c r="X538" s="564">
        <f>IF((O538-MAX(O$470:O538))/MAX(O$470:O538)&gt;X537,X537,(O538-MAX(O$470:O538))/MAX(O$470:O538))</f>
        <v>-0.12147101883973409</v>
      </c>
    </row>
    <row r="539" spans="1:24">
      <c r="A539" s="799">
        <v>40941</v>
      </c>
      <c r="B539">
        <v>6.1</v>
      </c>
      <c r="C539">
        <v>7.3535810000000001</v>
      </c>
      <c r="D539">
        <v>1.184571</v>
      </c>
      <c r="E539">
        <f>LN(D539/参数实验室!$E$53)/参数实验室!$E$55</f>
        <v>-0.49314088283554569</v>
      </c>
      <c r="F539">
        <f t="shared" si="28"/>
        <v>1.2055050819672133</v>
      </c>
      <c r="G539">
        <f>LN(F539/参数实验室!$E$58)/参数实验室!$E$59</f>
        <v>-9.2435520804508328E-2</v>
      </c>
      <c r="H539" s="856">
        <f>INDEX(神经网络!$G$10:$BO$70,MATCH(ROUND(G539*2,1)/2,神经网络!$E$10:$E$70,0),MATCH(ROUND(E539*2,1)/2,神经网络!$G$8:$BO$8,0))</f>
        <v>-0.38035935351566896</v>
      </c>
      <c r="I539">
        <f t="shared" si="30"/>
        <v>0.95201440002039051</v>
      </c>
      <c r="J539">
        <f t="shared" si="31"/>
        <v>2.4340608914249233</v>
      </c>
      <c r="K539">
        <f t="shared" si="32"/>
        <v>0.39112185047395093</v>
      </c>
      <c r="L539" s="4">
        <f>MIN(MAX(L538*(1+MAX(MIN(((B539-B538)/B538)/($K$7*卓尔金历!$N$40),0),-卓尔金历!$M$43))+MIN(MAX(((B539-B538)/B538)/($K$7*卓尔金历!$N$40),0),卓尔金历!$M$43),0),1)</f>
        <v>1</v>
      </c>
      <c r="M539" s="4">
        <f>MIN(MAX(M538*(1+MAX(MIN(((B539-B538)/B538)/($K$7*30),0),-卓尔金历!$M$43))+MIN(MAX(((B539-B538)/B538)/($K$7*7),0),卓尔金历!$M$43),0),1)</f>
        <v>1</v>
      </c>
      <c r="N539">
        <f t="shared" si="33"/>
        <v>1.0001871621233234</v>
      </c>
      <c r="O539">
        <f t="shared" si="34"/>
        <v>0.99543337892163486</v>
      </c>
      <c r="P539">
        <f t="shared" si="35"/>
        <v>4.0160642570281086E-3</v>
      </c>
      <c r="Q539">
        <f t="shared" si="26"/>
        <v>6.1021426069905155E-2</v>
      </c>
      <c r="R539">
        <f t="shared" si="27"/>
        <v>1</v>
      </c>
      <c r="S539">
        <f t="shared" si="29"/>
        <v>1.0160420443182203</v>
      </c>
      <c r="T539" s="564">
        <f>IF((I539-MAX(I$470:I539))/MAX(I$470:I539)&gt;T538,T538,(I539-MAX(I$470:I539))/MAX(I$470:I539))</f>
        <v>-0.13666535856332884</v>
      </c>
      <c r="U539" s="564">
        <f>IF((J539-MAX(J$470:J539))/MAX(J$470:J539)&gt;U538,U538,(J539-MAX(J$470:J539))/MAX(J$470:J539))</f>
        <v>-0.25607287449392713</v>
      </c>
      <c r="V539" s="564">
        <f>IF((K539-MAX(K$470:K539))/MAX(K$470:K539)&gt;V538,V538,(K539-MAX(K$470:K539))/MAX(K$470:K539))</f>
        <v>-0.68158456867950912</v>
      </c>
      <c r="W539" s="564">
        <f>IF((N539-MAX(N$470:N539))/MAX(N$470:N539)&gt;W538,W538,(N539-MAX(N$470:N539))/MAX(N$470:N539))</f>
        <v>-0.10311304065408976</v>
      </c>
      <c r="X539" s="564">
        <f>IF((O539-MAX(O$470:O539))/MAX(O$470:O539)&gt;X538,X538,(O539-MAX(O$470:O539))/MAX(O$470:O539))</f>
        <v>-0.12147101883973409</v>
      </c>
    </row>
    <row r="540" spans="1:24">
      <c r="A540" s="799">
        <v>40942</v>
      </c>
      <c r="B540">
        <v>5.9592999999999998</v>
      </c>
      <c r="C540">
        <v>7.334333</v>
      </c>
      <c r="D540">
        <v>1.1556070000000001</v>
      </c>
      <c r="E540">
        <f>LN(D540/参数实验室!$E$53)/参数实验室!$E$55</f>
        <v>-0.52234559967952388</v>
      </c>
      <c r="F540">
        <f t="shared" si="28"/>
        <v>1.2307373349218869</v>
      </c>
      <c r="G540">
        <f>LN(F540/参数实验室!$E$58)/参数实验室!$E$59</f>
        <v>-8.1563266512745772E-2</v>
      </c>
      <c r="H540" s="856">
        <f>INDEX(神经网络!$G$10:$BO$70,MATCH(ROUND(G540*2,1)/2,神经网络!$E$10:$E$70,0),MATCH(ROUND(E540*2,1)/2,神经网络!$G$8:$BO$8,0))</f>
        <v>-0.38035935351566896</v>
      </c>
      <c r="I540">
        <f t="shared" si="30"/>
        <v>0.9603666191596234</v>
      </c>
      <c r="J540">
        <f t="shared" si="31"/>
        <v>2.3779178803718928</v>
      </c>
      <c r="K540">
        <f t="shared" si="32"/>
        <v>0.40386870677360293</v>
      </c>
      <c r="L540" s="4">
        <f>MIN(MAX(L539*(1+MAX(MIN(((B540-B539)/B539)/($K$7*卓尔金历!$N$40),0),-卓尔金历!$M$43))+MIN(MAX(((B540-B539)/B539)/($K$7*卓尔金历!$N$40),0),卓尔金历!$M$43),0),1)</f>
        <v>0.64758016716220712</v>
      </c>
      <c r="M540" s="4">
        <f>MIN(MAX(M539*(1+MAX(MIN(((B540-B539)/B539)/($K$7*30),0),-卓尔金历!$M$43))+MIN(MAX(((B540-B539)/B539)/($K$7*7),0),卓尔金历!$M$43),0),1)</f>
        <v>0.82379008358110362</v>
      </c>
      <c r="N540">
        <f t="shared" si="33"/>
        <v>1.008962010863135</v>
      </c>
      <c r="O540">
        <f t="shared" si="34"/>
        <v>1.0041665217386788</v>
      </c>
      <c r="P540">
        <f t="shared" si="35"/>
        <v>-2.3065573770491777E-2</v>
      </c>
      <c r="Q540">
        <f t="shared" si="26"/>
        <v>6.0001868833767631E-2</v>
      </c>
      <c r="R540">
        <f t="shared" si="27"/>
        <v>1</v>
      </c>
      <c r="S540">
        <f t="shared" si="29"/>
        <v>1.0249559912171728</v>
      </c>
      <c r="T540" s="564">
        <f>IF((I540-MAX(I$470:I540))/MAX(I$470:I540)&gt;T539,T539,(I540-MAX(I$470:I540))/MAX(I$470:I540))</f>
        <v>-0.13666535856332884</v>
      </c>
      <c r="U540" s="564">
        <f>IF((J540-MAX(J$470:J540))/MAX(J$470:J540)&gt;U539,U539,(J540-MAX(J$470:J540))/MAX(J$470:J540))</f>
        <v>-0.25607287449392713</v>
      </c>
      <c r="V540" s="564">
        <f>IF((K540-MAX(K$470:K540))/MAX(K$470:K540)&gt;V539,V539,(K540-MAX(K$470:K540))/MAX(K$470:K540))</f>
        <v>-0.68158456867950912</v>
      </c>
      <c r="W540" s="564">
        <f>IF((N540-MAX(N$470:N540))/MAX(N$470:N540)&gt;W539,W539,(N540-MAX(N$470:N540))/MAX(N$470:N540))</f>
        <v>-0.10311304065408976</v>
      </c>
      <c r="X540" s="564">
        <f>IF((O540-MAX(O$470:O540))/MAX(O$470:O540)&gt;X539,X539,(O540-MAX(O$470:O540))/MAX(O$470:O540))</f>
        <v>-0.12147101883973409</v>
      </c>
    </row>
    <row r="541" spans="1:24">
      <c r="A541" s="799">
        <v>40943</v>
      </c>
      <c r="B541">
        <v>5.8734000000000002</v>
      </c>
      <c r="C541">
        <v>7.3102600000000004</v>
      </c>
      <c r="D541">
        <v>1.1446620000000001</v>
      </c>
      <c r="E541">
        <f>LN(D541/参数实验室!$E$53)/参数实验室!$E$55</f>
        <v>-0.53357254461656534</v>
      </c>
      <c r="F541">
        <f t="shared" si="28"/>
        <v>1.2446385398576634</v>
      </c>
      <c r="G541">
        <f>LN(F541/参数实验室!$E$58)/参数实验室!$E$59</f>
        <v>-7.5668258494367743E-2</v>
      </c>
      <c r="H541" s="856">
        <f>INDEX(神经网络!$G$10:$BO$70,MATCH(ROUND(G541*2,1)/2,神经网络!$E$10:$E$70,0),MATCH(ROUND(E541*2,1)/2,神经网络!$G$8:$BO$8,0))</f>
        <v>-0.41319986299426514</v>
      </c>
      <c r="I541">
        <f t="shared" si="30"/>
        <v>0.96563199130532773</v>
      </c>
      <c r="J541">
        <f t="shared" si="31"/>
        <v>2.3436415147041223</v>
      </c>
      <c r="K541">
        <f t="shared" si="32"/>
        <v>0.41202205424631072</v>
      </c>
      <c r="L541" s="4">
        <f>MIN(MAX(L540*(1+MAX(MIN(((B541-B540)/B540)/($K$7*卓尔金历!$N$40),0),-卓尔金历!$M$43))+MIN(MAX(((B541-B540)/B540)/($K$7*卓尔金历!$N$40),0),卓尔金历!$M$43),0),1)</f>
        <v>0.50495783531120619</v>
      </c>
      <c r="M541" s="4">
        <f>MIN(MAX(M540*(1+MAX(MIN(((B541-B540)/B540)/($K$7*30),0),-卓尔金历!$M$43))+MIN(MAX(((B541-B540)/B540)/($K$7*7),0),卓尔金历!$M$43),0),1)</f>
        <v>0.73307478018405048</v>
      </c>
      <c r="N541">
        <f t="shared" si="33"/>
        <v>1.0125442978016215</v>
      </c>
      <c r="O541">
        <f t="shared" si="34"/>
        <v>1.0087019083470827</v>
      </c>
      <c r="P541">
        <f t="shared" si="35"/>
        <v>-1.4414444649539317E-2</v>
      </c>
      <c r="Q541">
        <f t="shared" si="26"/>
        <v>5.8783541483784181E-2</v>
      </c>
      <c r="R541">
        <f t="shared" si="27"/>
        <v>1</v>
      </c>
      <c r="S541">
        <f t="shared" si="29"/>
        <v>1.030575485500981</v>
      </c>
      <c r="T541" s="564">
        <f>IF((I541-MAX(I$470:I541))/MAX(I$470:I541)&gt;T540,T540,(I541-MAX(I$470:I541))/MAX(I$470:I541))</f>
        <v>-0.13666535856332884</v>
      </c>
      <c r="U541" s="564">
        <f>IF((J541-MAX(J$470:J541))/MAX(J$470:J541)&gt;U540,U540,(J541-MAX(J$470:J541))/MAX(J$470:J541))</f>
        <v>-0.25607287449392713</v>
      </c>
      <c r="V541" s="564">
        <f>IF((K541-MAX(K$470:K541))/MAX(K$470:K541)&gt;V540,V540,(K541-MAX(K$470:K541))/MAX(K$470:K541))</f>
        <v>-0.68158456867950912</v>
      </c>
      <c r="W541" s="564">
        <f>IF((N541-MAX(N$470:N541))/MAX(N$470:N541)&gt;W540,W540,(N541-MAX(N$470:N541))/MAX(N$470:N541))</f>
        <v>-0.10311304065408976</v>
      </c>
      <c r="X541" s="564">
        <f>IF((O541-MAX(O$470:O541))/MAX(O$470:O541)&gt;X540,X540,(O541-MAX(O$470:O541))/MAX(O$470:O541))</f>
        <v>-0.12147101883973409</v>
      </c>
    </row>
    <row r="542" spans="1:24">
      <c r="A542" s="799">
        <v>40944</v>
      </c>
      <c r="B542">
        <v>5.6887999999999996</v>
      </c>
      <c r="C542">
        <v>7.4721380000000002</v>
      </c>
      <c r="D542">
        <v>1.1028800000000001</v>
      </c>
      <c r="E542">
        <f>LN(D542/参数实验室!$E$53)/参数实验室!$E$55</f>
        <v>-0.57744102811087072</v>
      </c>
      <c r="F542">
        <f t="shared" si="28"/>
        <v>1.3134822809731403</v>
      </c>
      <c r="G542">
        <f>LN(F542/参数实验室!$E$58)/参数实验室!$E$59</f>
        <v>-4.741185839170961E-2</v>
      </c>
      <c r="H542" s="856">
        <f>INDEX(神经网络!$G$10:$BO$70,MATCH(ROUND(G542*2,1)/2,神经网络!$E$10:$E$70,0),MATCH(ROUND(E542*2,1)/2,神经网络!$G$8:$BO$8,0))</f>
        <v>-0.35929152298415734</v>
      </c>
      <c r="I542">
        <f t="shared" si="30"/>
        <v>0.97817246472818165</v>
      </c>
      <c r="J542">
        <f t="shared" si="31"/>
        <v>2.269981245760345</v>
      </c>
      <c r="K542">
        <f t="shared" si="32"/>
        <v>0.43091654019394177</v>
      </c>
      <c r="L542" s="4">
        <f>MIN(MAX(L541*(1+MAX(MIN(((B542-B541)/B541)/($K$7*卓尔金历!$N$40),0),-卓尔金历!$M$43))+MIN(MAX(((B542-B541)/B541)/($K$7*卓尔金历!$N$40),0),卓尔金历!$M$43),0),1)</f>
        <v>0.26246812668982256</v>
      </c>
      <c r="M542" s="4">
        <f>MIN(MAX(M541*(1+MAX(MIN(((B542-B541)/B541)/($K$7*30),0),-卓尔金历!$M$43))+MIN(MAX(((B542-B541)/B541)/($K$7*7),0),卓尔金历!$M$43),0),1)</f>
        <v>0.55705702442929561</v>
      </c>
      <c r="N542">
        <f t="shared" si="33"/>
        <v>1.019184349096409</v>
      </c>
      <c r="O542">
        <f t="shared" si="34"/>
        <v>1.0183050516115302</v>
      </c>
      <c r="P542">
        <f t="shared" si="35"/>
        <v>-3.1429836210712797E-2</v>
      </c>
      <c r="Q542">
        <f t="shared" si="26"/>
        <v>5.8258246998870541E-2</v>
      </c>
      <c r="R542">
        <f t="shared" si="27"/>
        <v>0.71218853442914121</v>
      </c>
      <c r="S542">
        <f t="shared" si="29"/>
        <v>1.0439593673550811</v>
      </c>
      <c r="T542" s="564">
        <f>IF((I542-MAX(I$470:I542))/MAX(I$470:I542)&gt;T541,T541,(I542-MAX(I$470:I542))/MAX(I$470:I542))</f>
        <v>-0.13666535856332884</v>
      </c>
      <c r="U542" s="564">
        <f>IF((J542-MAX(J$470:J542))/MAX(J$470:J542)&gt;U541,U541,(J542-MAX(J$470:J542))/MAX(J$470:J542))</f>
        <v>-0.25607287449392713</v>
      </c>
      <c r="V542" s="564">
        <f>IF((K542-MAX(K$470:K542))/MAX(K$470:K542)&gt;V541,V541,(K542-MAX(K$470:K542))/MAX(K$470:K542))</f>
        <v>-0.68158456867950912</v>
      </c>
      <c r="W542" s="564">
        <f>IF((N542-MAX(N$470:N542))/MAX(N$470:N542)&gt;W541,W541,(N542-MAX(N$470:N542))/MAX(N$470:N542))</f>
        <v>-0.10311304065408976</v>
      </c>
      <c r="X542" s="564">
        <f>IF((O542-MAX(O$470:O542))/MAX(O$470:O542)&gt;X541,X541,(O542-MAX(O$470:O542))/MAX(O$470:O542))</f>
        <v>-0.12147101883973409</v>
      </c>
    </row>
    <row r="543" spans="1:24">
      <c r="A543" s="799">
        <v>40945</v>
      </c>
      <c r="B543">
        <v>5.4535</v>
      </c>
      <c r="C543">
        <v>7.684723</v>
      </c>
      <c r="D543">
        <v>1.0668789999999999</v>
      </c>
      <c r="E543">
        <f>LN(D543/参数实验室!$E$53)/参数实验室!$E$55</f>
        <v>-0.61659394299268988</v>
      </c>
      <c r="F543">
        <f t="shared" si="28"/>
        <v>1.4091359677271478</v>
      </c>
      <c r="G543">
        <f>LN(F543/参数实验室!$E$58)/参数实验室!$E$59</f>
        <v>-1.051730243071982E-2</v>
      </c>
      <c r="H543" s="856">
        <f>INDEX(神经网络!$G$10:$BO$70,MATCH(ROUND(G543*2,1)/2,神经网络!$E$10:$E$70,0),MATCH(ROUND(E543*2,1)/2,神经网络!$G$8:$BO$8,0))</f>
        <v>-0.27883851114542579</v>
      </c>
      <c r="I543">
        <f t="shared" si="30"/>
        <v>0.99270909235647165</v>
      </c>
      <c r="J543">
        <f t="shared" si="31"/>
        <v>2.1760903395714459</v>
      </c>
      <c r="K543">
        <f t="shared" si="32"/>
        <v>0.45618928327762964</v>
      </c>
      <c r="L543" s="4">
        <f>MIN(MAX(L542*(1+MAX(MIN(((B543-B542)/B542)/($K$7*卓尔金历!$N$40),0),-卓尔金历!$M$43))+MIN(MAX(((B543-B542)/B542)/($K$7*卓尔金历!$N$40),0),卓尔金历!$M$43),0),1)</f>
        <v>9.6595809545344691E-2</v>
      </c>
      <c r="M543" s="4">
        <f>MIN(MAX(M542*(1+MAX(MIN(((B543-B542)/B542)/($K$7*30),0),-卓尔金历!$M$43))+MIN(MAX(((B543-B542)/B542)/($K$7*7),0),卓尔金历!$M$43),0),1)</f>
        <v>0.3810350049387321</v>
      </c>
      <c r="N543">
        <f t="shared" si="33"/>
        <v>1.0231597190388535</v>
      </c>
      <c r="O543">
        <f t="shared" si="34"/>
        <v>1.0267350168830074</v>
      </c>
      <c r="P543">
        <f t="shared" si="35"/>
        <v>-4.136197440585003E-2</v>
      </c>
      <c r="Q543">
        <f t="shared" si="26"/>
        <v>5.8135097430462739E-2</v>
      </c>
      <c r="R543">
        <f t="shared" si="27"/>
        <v>0.41849739905880778</v>
      </c>
      <c r="S543">
        <f t="shared" si="29"/>
        <v>1.055008464843066</v>
      </c>
      <c r="T543" s="564">
        <f>IF((I543-MAX(I$470:I543))/MAX(I$470:I543)&gt;T542,T542,(I543-MAX(I$470:I543))/MAX(I$470:I543))</f>
        <v>-0.13666535856332884</v>
      </c>
      <c r="U543" s="564">
        <f>IF((J543-MAX(J$470:J543))/MAX(J$470:J543)&gt;U542,U542,(J543-MAX(J$470:J543))/MAX(J$470:J543))</f>
        <v>-0.25607287449392713</v>
      </c>
      <c r="V543" s="564">
        <f>IF((K543-MAX(K$470:K543))/MAX(K$470:K543)&gt;V542,V542,(K543-MAX(K$470:K543))/MAX(K$470:K543))</f>
        <v>-0.68158456867950912</v>
      </c>
      <c r="W543" s="564">
        <f>IF((N543-MAX(N$470:N543))/MAX(N$470:N543)&gt;W542,W542,(N543-MAX(N$470:N543))/MAX(N$470:N543))</f>
        <v>-0.10311304065408976</v>
      </c>
      <c r="X543" s="564">
        <f>IF((O543-MAX(O$470:O543))/MAX(O$470:O543)&gt;X542,X542,(O543-MAX(O$470:O543))/MAX(O$470:O543))</f>
        <v>-0.12147101883973409</v>
      </c>
    </row>
    <row r="544" spans="1:24">
      <c r="A544" s="799">
        <v>40946</v>
      </c>
      <c r="B544">
        <v>5.69</v>
      </c>
      <c r="C544">
        <v>7.8405699999999996</v>
      </c>
      <c r="D544">
        <v>1.1017490000000001</v>
      </c>
      <c r="E544">
        <f>LN(D544/参数实验室!$E$53)/参数实验室!$E$55</f>
        <v>-0.57865148214734274</v>
      </c>
      <c r="F544">
        <f t="shared" si="28"/>
        <v>1.3779560632688925</v>
      </c>
      <c r="G544">
        <f>LN(F544/参数实验室!$E$58)/参数实验室!$E$59</f>
        <v>-2.2261142606358503E-2</v>
      </c>
      <c r="H544" s="856">
        <f>INDEX(神经网络!$G$10:$BO$70,MATCH(ROUND(G544*2,1)/2,神经网络!$E$10:$E$70,0),MATCH(ROUND(E544*2,1)/2,神经网络!$G$8:$BO$8,0))</f>
        <v>-0.27883851114542579</v>
      </c>
      <c r="I544">
        <f t="shared" si="30"/>
        <v>0.98070496533041984</v>
      </c>
      <c r="J544">
        <f t="shared" si="31"/>
        <v>2.2704600774111174</v>
      </c>
      <c r="K544">
        <f t="shared" si="32"/>
        <v>0.43194107444895685</v>
      </c>
      <c r="L544" s="4">
        <f>MIN(MAX(L543*(1+MAX(MIN(((B544-B543)/B543)/($K$7*卓尔金历!$N$40),0),-卓尔金历!$M$43))+MIN(MAX(((B544-B543)/B543)/($K$7*卓尔金历!$N$40),0),卓尔金历!$M$43),0),1)</f>
        <v>0.7591965334708628</v>
      </c>
      <c r="M544" s="4">
        <f>MIN(MAX(M543*(1+MAX(MIN(((B544-B543)/B543)/($K$7*30),0),-卓尔金历!$M$43))+MIN(MAX(((B544-B543)/B543)/($K$7*7),0),卓尔金历!$M$43),0),1)</f>
        <v>1</v>
      </c>
      <c r="N544">
        <f t="shared" si="33"/>
        <v>1.0219646023712259</v>
      </c>
      <c r="O544">
        <f t="shared" si="34"/>
        <v>1.022004246905964</v>
      </c>
      <c r="P544">
        <f t="shared" si="35"/>
        <v>4.336664527367752E-2</v>
      </c>
      <c r="Q544">
        <f t="shared" si="26"/>
        <v>4.7732177377211853E-2</v>
      </c>
      <c r="R544">
        <f t="shared" si="27"/>
        <v>0.15962627879571967</v>
      </c>
      <c r="S544">
        <f t="shared" si="29"/>
        <v>1.0496694971831633</v>
      </c>
      <c r="T544" s="564">
        <f>IF((I544-MAX(I$470:I544))/MAX(I$470:I544)&gt;T543,T543,(I544-MAX(I$470:I544))/MAX(I$470:I544))</f>
        <v>-0.13666535856332884</v>
      </c>
      <c r="U544" s="564">
        <f>IF((J544-MAX(J$470:J544))/MAX(J$470:J544)&gt;U543,U543,(J544-MAX(J$470:J544))/MAX(J$470:J544))</f>
        <v>-0.25607287449392713</v>
      </c>
      <c r="V544" s="564">
        <f>IF((K544-MAX(K$470:K544))/MAX(K$470:K544)&gt;V543,V543,(K544-MAX(K$470:K544))/MAX(K$470:K544))</f>
        <v>-0.68158456867950912</v>
      </c>
      <c r="W544" s="564">
        <f>IF((N544-MAX(N$470:N544))/MAX(N$470:N544)&gt;W543,W543,(N544-MAX(N$470:N544))/MAX(N$470:N544))</f>
        <v>-0.10311304065408976</v>
      </c>
      <c r="X544" s="564">
        <f>IF((O544-MAX(O$470:O544))/MAX(O$470:O544)&gt;X543,X543,(O544-MAX(O$470:O544))/MAX(O$470:O544))</f>
        <v>-0.12147101883973409</v>
      </c>
    </row>
    <row r="545" spans="1:24">
      <c r="A545" s="799">
        <v>40947</v>
      </c>
      <c r="B545">
        <v>5.6</v>
      </c>
      <c r="C545">
        <v>7.9642879999999998</v>
      </c>
      <c r="D545">
        <v>1.0935299999999999</v>
      </c>
      <c r="E545">
        <f>LN(D545/参数实验室!$E$53)/参数实验室!$E$55</f>
        <v>-0.58748538181815746</v>
      </c>
      <c r="F545">
        <f t="shared" si="28"/>
        <v>1.4221942857142857</v>
      </c>
      <c r="G545">
        <f>LN(F545/参数实验室!$E$58)/参数实验室!$E$59</f>
        <v>-5.6759317856693407E-3</v>
      </c>
      <c r="H545" s="856">
        <f>INDEX(神经网络!$G$10:$BO$70,MATCH(ROUND(G545*2,1)/2,神经网络!$E$10:$E$70,0),MATCH(ROUND(E545*2,1)/2,神经网络!$G$8:$BO$8,0))</f>
        <v>-0.27883851114542579</v>
      </c>
      <c r="I545">
        <f t="shared" si="30"/>
        <v>0.98503031649325112</v>
      </c>
      <c r="J545">
        <f t="shared" si="31"/>
        <v>2.2345477036032086</v>
      </c>
      <c r="K545">
        <f t="shared" si="32"/>
        <v>0.44081865645781004</v>
      </c>
      <c r="L545" s="4">
        <f>MIN(MAX(L544*(1+MAX(MIN(((B545-B544)/B544)/($K$7*卓尔金历!$N$40),0),-卓尔金历!$M$43))+MIN(MAX(((B545-B544)/B544)/($K$7*卓尔金历!$N$40),0),卓尔金历!$M$43),0),1)</f>
        <v>0.57571999504343829</v>
      </c>
      <c r="M545" s="4">
        <f>MIN(MAX(M544*(1+MAX(MIN(((B545-B544)/B544)/($K$7*30),0),-卓尔金历!$M$43))+MIN(MAX(((B545-B544)/B544)/($K$7*7),0),卓尔金历!$M$43),0),1)</f>
        <v>0.87916400408955098</v>
      </c>
      <c r="N545">
        <f t="shared" si="33"/>
        <v>1.0253865477110191</v>
      </c>
      <c r="O545">
        <f t="shared" si="34"/>
        <v>1.0265117465251627</v>
      </c>
      <c r="P545">
        <f t="shared" si="35"/>
        <v>-1.5817223198594153E-2</v>
      </c>
      <c r="Q545">
        <f t="shared" si="26"/>
        <v>4.6215144046562337E-2</v>
      </c>
      <c r="R545">
        <f t="shared" si="27"/>
        <v>1</v>
      </c>
      <c r="S545">
        <f t="shared" si="29"/>
        <v>1.0504084895707713</v>
      </c>
      <c r="T545" s="564">
        <f>IF((I545-MAX(I$470:I545))/MAX(I$470:I545)&gt;T544,T544,(I545-MAX(I$470:I545))/MAX(I$470:I545))</f>
        <v>-0.13666535856332884</v>
      </c>
      <c r="U545" s="564">
        <f>IF((J545-MAX(J$470:J545))/MAX(J$470:J545)&gt;U544,U544,(J545-MAX(J$470:J545))/MAX(J$470:J545))</f>
        <v>-0.25607287449392713</v>
      </c>
      <c r="V545" s="564">
        <f>IF((K545-MAX(K$470:K545))/MAX(K$470:K545)&gt;V544,V544,(K545-MAX(K$470:K545))/MAX(K$470:K545))</f>
        <v>-0.68158456867950912</v>
      </c>
      <c r="W545" s="564">
        <f>IF((N545-MAX(N$470:N545))/MAX(N$470:N545)&gt;W544,W544,(N545-MAX(N$470:N545))/MAX(N$470:N545))</f>
        <v>-0.10311304065408976</v>
      </c>
      <c r="X545" s="564">
        <f>IF((O545-MAX(O$470:O545))/MAX(O$470:O545)&gt;X544,X544,(O545-MAX(O$470:O545))/MAX(O$470:O545))</f>
        <v>-0.12147101883973409</v>
      </c>
    </row>
    <row r="546" spans="1:24">
      <c r="A546" s="799">
        <v>40948</v>
      </c>
      <c r="B546">
        <v>5.83</v>
      </c>
      <c r="C546">
        <v>7.9667250000000003</v>
      </c>
      <c r="D546">
        <v>1.135392</v>
      </c>
      <c r="E546">
        <f>LN(D546/参数实验室!$E$53)/参数实验室!$E$55</f>
        <v>-0.54316562691268289</v>
      </c>
      <c r="F546">
        <f t="shared" si="28"/>
        <v>1.3665051457975987</v>
      </c>
      <c r="G546">
        <f>LN(F546/参数实验室!$E$58)/参数实验室!$E$59</f>
        <v>-2.6640942319390577E-2</v>
      </c>
      <c r="H546" s="856">
        <f>INDEX(神经网络!$G$10:$BO$70,MATCH(ROUND(G546*2,1)/2,神经网络!$E$10:$E$70,0),MATCH(ROUND(E546*2,1)/2,神经网络!$G$8:$BO$8,0))</f>
        <v>-0.33449656962510349</v>
      </c>
      <c r="I546">
        <f t="shared" si="30"/>
        <v>0.97374945774622612</v>
      </c>
      <c r="J546">
        <f t="shared" si="31"/>
        <v>2.3263237700011978</v>
      </c>
      <c r="K546">
        <f t="shared" si="32"/>
        <v>0.41857864769430814</v>
      </c>
      <c r="L546" s="4">
        <f>MIN(MAX(L545*(1+MAX(MIN(((B546-B545)/B545)/($K$7*卓尔金历!$N$40),0),-卓尔金历!$M$43))+MIN(MAX(((B546-B545)/B545)/($K$7*卓尔金历!$N$40),0),卓尔金历!$M$43),0),1)</f>
        <v>1</v>
      </c>
      <c r="M546" s="4">
        <f>MIN(MAX(M545*(1+MAX(MIN(((B546-B545)/B545)/($K$7*30),0),-卓尔金历!$M$43))+MIN(MAX(((B546-B545)/B545)/($K$7*7),0),卓尔金历!$M$43),0),1)</f>
        <v>1</v>
      </c>
      <c r="N546">
        <f t="shared" si="33"/>
        <v>1.0186258503924783</v>
      </c>
      <c r="O546">
        <f t="shared" si="34"/>
        <v>1.0161763680246201</v>
      </c>
      <c r="P546">
        <f t="shared" si="35"/>
        <v>4.1071428571428648E-2</v>
      </c>
      <c r="Q546">
        <f t="shared" si="26"/>
        <v>4.4111624709193609E-2</v>
      </c>
      <c r="R546">
        <f t="shared" si="27"/>
        <v>0.12092603222978601</v>
      </c>
      <c r="S546">
        <f t="shared" si="29"/>
        <v>1.0383789006341499</v>
      </c>
      <c r="T546" s="564">
        <f>IF((I546-MAX(I$470:I546))/MAX(I$470:I546)&gt;T545,T545,(I546-MAX(I$470:I546))/MAX(I$470:I546))</f>
        <v>-0.13666535856332884</v>
      </c>
      <c r="U546" s="564">
        <f>IF((J546-MAX(J$470:J546))/MAX(J$470:J546)&gt;U545,U545,(J546-MAX(J$470:J546))/MAX(J$470:J546))</f>
        <v>-0.25607287449392713</v>
      </c>
      <c r="V546" s="564">
        <f>IF((K546-MAX(K$470:K546))/MAX(K$470:K546)&gt;V545,V545,(K546-MAX(K$470:K546))/MAX(K$470:K546))</f>
        <v>-0.68158456867950912</v>
      </c>
      <c r="W546" s="564">
        <f>IF((N546-MAX(N$470:N546))/MAX(N$470:N546)&gt;W545,W545,(N546-MAX(N$470:N546))/MAX(N$470:N546))</f>
        <v>-0.10311304065408976</v>
      </c>
      <c r="X546" s="564">
        <f>IF((O546-MAX(O$470:O546))/MAX(O$470:O546)&gt;X545,X545,(O546-MAX(O$470:O546))/MAX(O$470:O546))</f>
        <v>-0.12147101883973409</v>
      </c>
    </row>
    <row r="547" spans="1:24">
      <c r="A547" s="799">
        <v>40949</v>
      </c>
      <c r="B547">
        <v>5.9126000000000003</v>
      </c>
      <c r="C547">
        <v>8.0698969999999992</v>
      </c>
      <c r="D547">
        <v>1.155518</v>
      </c>
      <c r="E547">
        <f>LN(D547/参数实验室!$E$53)/参数实验室!$E$55</f>
        <v>-0.52243646282086464</v>
      </c>
      <c r="F547">
        <f t="shared" si="28"/>
        <v>1.3648643574738692</v>
      </c>
      <c r="G547">
        <f>LN(F547/参数实验室!$E$58)/参数实验室!$E$59</f>
        <v>-2.7271523050491343E-2</v>
      </c>
      <c r="H547" s="856">
        <f>INDEX(神经网络!$G$10:$BO$70,MATCH(ROUND(G547*2,1)/2,神经网络!$E$10:$E$70,0),MATCH(ROUND(E547*2,1)/2,神经网络!$G$8:$BO$8,0))</f>
        <v>-0.29867672432117554</v>
      </c>
      <c r="I547">
        <f t="shared" si="30"/>
        <v>0.96913468425020755</v>
      </c>
      <c r="J547">
        <f t="shared" si="31"/>
        <v>2.3592833486293454</v>
      </c>
      <c r="K547">
        <f t="shared" si="32"/>
        <v>0.41077502827849743</v>
      </c>
      <c r="L547" s="4">
        <f>MIN(MAX(L546*(1+MAX(MIN(((B547-B546)/B546)/($K$7*卓尔金历!$N$40),0),-卓尔金历!$M$43))+MIN(MAX(((B547-B546)/B546)/($K$7*卓尔金历!$N$40),0),卓尔金历!$M$43),0),1)</f>
        <v>1</v>
      </c>
      <c r="M547" s="4">
        <f>MIN(MAX(M546*(1+MAX(MIN(((B547-B546)/B546)/($K$7*30),0),-卓尔金历!$M$43))+MIN(MAX(((B547-B546)/B546)/($K$7*7),0),卓尔金历!$M$43),0),1)</f>
        <v>1</v>
      </c>
      <c r="N547">
        <f t="shared" si="33"/>
        <v>1.0137983996151188</v>
      </c>
      <c r="O547">
        <f t="shared" si="34"/>
        <v>1.0113605257839535</v>
      </c>
      <c r="P547">
        <f t="shared" si="35"/>
        <v>1.4168096054888547E-2</v>
      </c>
      <c r="Q547">
        <f t="shared" si="26"/>
        <v>4.3971767384504513E-2</v>
      </c>
      <c r="R547">
        <f t="shared" si="27"/>
        <v>1</v>
      </c>
      <c r="S547">
        <f t="shared" si="29"/>
        <v>1.0377838158868118</v>
      </c>
      <c r="T547" s="564">
        <f>IF((I547-MAX(I$470:I547))/MAX(I$470:I547)&gt;T546,T546,(I547-MAX(I$470:I547))/MAX(I$470:I547))</f>
        <v>-0.13666535856332884</v>
      </c>
      <c r="U547" s="564">
        <f>IF((J547-MAX(J$470:J547))/MAX(J$470:J547)&gt;U546,U546,(J547-MAX(J$470:J547))/MAX(J$470:J547))</f>
        <v>-0.25607287449392713</v>
      </c>
      <c r="V547" s="564">
        <f>IF((K547-MAX(K$470:K547))/MAX(K$470:K547)&gt;V546,V546,(K547-MAX(K$470:K547))/MAX(K$470:K547))</f>
        <v>-0.68158456867950912</v>
      </c>
      <c r="W547" s="564">
        <f>IF((N547-MAX(N$470:N547))/MAX(N$470:N547)&gt;W546,W546,(N547-MAX(N$470:N547))/MAX(N$470:N547))</f>
        <v>-0.10311304065408976</v>
      </c>
      <c r="X547" s="564">
        <f>IF((O547-MAX(O$470:O547))/MAX(O$470:O547)&gt;X546,X546,(O547-MAX(O$470:O547))/MAX(O$470:O547))</f>
        <v>-0.12147101883973409</v>
      </c>
    </row>
    <row r="548" spans="1:24">
      <c r="A548" s="799">
        <v>40950</v>
      </c>
      <c r="B548">
        <v>5.6005000000000003</v>
      </c>
      <c r="C548">
        <v>8.12195</v>
      </c>
      <c r="D548">
        <v>1.090131</v>
      </c>
      <c r="E548">
        <f>LN(D548/参数实验室!$E$53)/参数实验室!$E$55</f>
        <v>-0.5911580988881</v>
      </c>
      <c r="F548">
        <f t="shared" si="28"/>
        <v>1.4502187304704937</v>
      </c>
      <c r="G548">
        <f>LN(F548/参数实验室!$E$58)/参数实验室!$E$59</f>
        <v>4.5657777287477566E-3</v>
      </c>
      <c r="H548" s="856">
        <f>INDEX(神经网络!$G$10:$BO$70,MATCH(ROUND(G548*2,1)/2,神经网络!$E$10:$E$70,0),MATCH(ROUND(E548*2,1)/2,神经网络!$G$8:$BO$8,0))</f>
        <v>-0.27883851114542579</v>
      </c>
      <c r="I548">
        <f t="shared" si="30"/>
        <v>0.98441389024210157</v>
      </c>
      <c r="J548">
        <f t="shared" si="31"/>
        <v>2.2347472167910309</v>
      </c>
      <c r="K548">
        <f t="shared" si="32"/>
        <v>0.44050346403637702</v>
      </c>
      <c r="L548" s="4">
        <f>MIN(MAX(L547*(1+MAX(MIN(((B548-B547)/B547)/($K$7*卓尔金历!$N$40),0),-卓尔金历!$M$43))+MIN(MAX(((B548-B547)/B547)/($K$7*卓尔金历!$N$40),0),卓尔金历!$M$43),0),1)</f>
        <v>0.19348704461066835</v>
      </c>
      <c r="M548" s="4">
        <f>MIN(MAX(M547*(1+MAX(MIN(((B548-B547)/B547)/($K$7*30),0),-卓尔金历!$M$43))+MIN(MAX(((B548-B547)/B547)/($K$7*7),0),卓尔金历!$M$43),0),1)</f>
        <v>0.59674352230533412</v>
      </c>
      <c r="N548">
        <f t="shared" si="33"/>
        <v>1.0297817658424415</v>
      </c>
      <c r="O548">
        <f t="shared" si="34"/>
        <v>1.0273054569237141</v>
      </c>
      <c r="P548">
        <f t="shared" si="35"/>
        <v>-5.2785576565301223E-2</v>
      </c>
      <c r="Q548">
        <f t="shared" si="26"/>
        <v>4.422624710374741E-2</v>
      </c>
      <c r="R548">
        <f t="shared" si="27"/>
        <v>3.6192302369003754E-2</v>
      </c>
      <c r="S548">
        <f t="shared" si="29"/>
        <v>1.0541453319440521</v>
      </c>
      <c r="T548" s="564">
        <f>IF((I548-MAX(I$470:I548))/MAX(I$470:I548)&gt;T547,T547,(I548-MAX(I$470:I548))/MAX(I$470:I548))</f>
        <v>-0.13666535856332884</v>
      </c>
      <c r="U548" s="564">
        <f>IF((J548-MAX(J$470:J548))/MAX(J$470:J548)&gt;U547,U547,(J548-MAX(J$470:J548))/MAX(J$470:J548))</f>
        <v>-0.25607287449392713</v>
      </c>
      <c r="V548" s="564">
        <f>IF((K548-MAX(K$470:K548))/MAX(K$470:K548)&gt;V547,V547,(K548-MAX(K$470:K548))/MAX(K$470:K548))</f>
        <v>-0.68158456867950912</v>
      </c>
      <c r="W548" s="564">
        <f>IF((N548-MAX(N$470:N548))/MAX(N$470:N548)&gt;W547,W547,(N548-MAX(N$470:N548))/MAX(N$470:N548))</f>
        <v>-0.10311304065408976</v>
      </c>
      <c r="X548" s="564">
        <f>IF((O548-MAX(O$470:O548))/MAX(O$470:O548)&gt;X547,X547,(O548-MAX(O$470:O548))/MAX(O$470:O548))</f>
        <v>-0.12147101883973409</v>
      </c>
    </row>
    <row r="549" spans="1:24">
      <c r="A549" s="799">
        <v>40951</v>
      </c>
      <c r="B549">
        <v>5.5147000000000004</v>
      </c>
      <c r="C549">
        <v>8.0506700000000002</v>
      </c>
      <c r="D549">
        <v>1.0723069999999999</v>
      </c>
      <c r="E549">
        <f>LN(D549/参数实验室!$E$53)/参数实验室!$E$55</f>
        <v>-0.61060688590492274</v>
      </c>
      <c r="F549">
        <f t="shared" si="28"/>
        <v>1.4598563838468093</v>
      </c>
      <c r="G549">
        <f>LN(F549/参数实验室!$E$58)/参数实验室!$E$59</f>
        <v>8.0422377068908937E-3</v>
      </c>
      <c r="H549" s="856">
        <f>INDEX(神经网络!$G$10:$BO$70,MATCH(ROUND(G549*2,1)/2,神经网络!$E$10:$E$70,0),MATCH(ROUND(E549*2,1)/2,神经网络!$G$8:$BO$8,0))</f>
        <v>-0.27883851114542579</v>
      </c>
      <c r="I549">
        <f t="shared" si="30"/>
        <v>0.98861913205994167</v>
      </c>
      <c r="J549">
        <f t="shared" si="31"/>
        <v>2.2005107537608248</v>
      </c>
      <c r="K549">
        <f t="shared" si="32"/>
        <v>0.44926803032901491</v>
      </c>
      <c r="L549" s="4">
        <f>MIN(MAX(L548*(1+MAX(MIN(((B549-B548)/B548)/($K$7*卓尔金历!$N$40),0),-卓尔金历!$M$43))+MIN(MAX(((B549-B548)/B548)/($K$7*卓尔金历!$N$40),0),卓尔金历!$M$43),0),1)</f>
        <v>0.14819640480977828</v>
      </c>
      <c r="M549" s="4">
        <f>MIN(MAX(M548*(1+MAX(MIN(((B549-B548)/B548)/($K$7*30),0),-卓尔金历!$M$43))+MIN(MAX(((B549-B548)/B548)/($K$7*7),0),卓尔金历!$M$43),0),1)</f>
        <v>0.52690190583786367</v>
      </c>
      <c r="N549">
        <f t="shared" si="33"/>
        <v>1.030632924126051</v>
      </c>
      <c r="O549">
        <f t="shared" si="34"/>
        <v>1.029924246176076</v>
      </c>
      <c r="P549">
        <f t="shared" si="35"/>
        <v>-1.5320060708865256E-2</v>
      </c>
      <c r="Q549">
        <f t="shared" si="26"/>
        <v>4.3935848641910566E-2</v>
      </c>
      <c r="R549">
        <f t="shared" si="27"/>
        <v>1</v>
      </c>
      <c r="S549">
        <f t="shared" si="29"/>
        <v>1.0543083103039086</v>
      </c>
      <c r="T549" s="564">
        <f>IF((I549-MAX(I$470:I549))/MAX(I$470:I549)&gt;T548,T548,(I549-MAX(I$470:I549))/MAX(I$470:I549))</f>
        <v>-0.13666535856332884</v>
      </c>
      <c r="U549" s="564">
        <f>IF((J549-MAX(J$470:J549))/MAX(J$470:J549)&gt;U548,U548,(J549-MAX(J$470:J549))/MAX(J$470:J549))</f>
        <v>-0.25607287449392713</v>
      </c>
      <c r="V549" s="564">
        <f>IF((K549-MAX(K$470:K549))/MAX(K$470:K549)&gt;V548,V548,(K549-MAX(K$470:K549))/MAX(K$470:K549))</f>
        <v>-0.68158456867950912</v>
      </c>
      <c r="W549" s="564">
        <f>IF((N549-MAX(N$470:N549))/MAX(N$470:N549)&gt;W548,W548,(N549-MAX(N$470:N549))/MAX(N$470:N549))</f>
        <v>-0.10311304065408976</v>
      </c>
      <c r="X549" s="564">
        <f>IF((O549-MAX(O$470:O549))/MAX(O$470:O549)&gt;X548,X548,(O549-MAX(O$470:O549))/MAX(O$470:O549))</f>
        <v>-0.12147101883973409</v>
      </c>
    </row>
    <row r="550" spans="1:24">
      <c r="A550" s="799">
        <v>40952</v>
      </c>
      <c r="B550">
        <v>5.26</v>
      </c>
      <c r="C550">
        <v>8.1438039999999994</v>
      </c>
      <c r="D550">
        <v>1.048225</v>
      </c>
      <c r="E550">
        <f>LN(D550/参数实验室!$E$53)/参数实验室!$E$55</f>
        <v>-0.63740397183984576</v>
      </c>
      <c r="F550">
        <f t="shared" si="28"/>
        <v>1.5482517110266159</v>
      </c>
      <c r="G550">
        <f>LN(F550/参数实验室!$E$58)/参数实验室!$E$59</f>
        <v>3.8897515864206526E-2</v>
      </c>
      <c r="H550" s="856">
        <f>INDEX(神经网络!$G$10:$BO$70,MATCH(ROUND(G550*2,1)/2,神经网络!$E$10:$E$70,0),MATCH(ROUND(E550*2,1)/2,神经网络!$G$8:$BO$8,0))</f>
        <v>-0.21469515319361568</v>
      </c>
      <c r="I550">
        <f t="shared" si="30"/>
        <v>1.0013509030768011</v>
      </c>
      <c r="J550">
        <f t="shared" si="31"/>
        <v>2.0988787358844427</v>
      </c>
      <c r="K550">
        <f t="shared" si="32"/>
        <v>0.47708849775680046</v>
      </c>
      <c r="L550" s="4">
        <f>MIN(MAX(L549*(1+MAX(MIN(((B550-B549)/B549)/($K$7*卓尔金历!$N$40),0),-卓尔金历!$M$43))+MIN(MAX(((B550-B549)/B549)/($K$7*卓尔金历!$N$40),0),卓尔金历!$M$43),0),1)</f>
        <v>4.3618292198901544E-2</v>
      </c>
      <c r="M550" s="4">
        <f>MIN(MAX(M549*(1+MAX(MIN(((B550-B549)/B549)/($K$7*30),0),-卓尔金历!$M$43))+MIN(MAX(((B550-B549)/B549)/($K$7*7),0),卓尔金历!$M$43),0),1)</f>
        <v>0.34099183968502428</v>
      </c>
      <c r="N550">
        <f t="shared" si="33"/>
        <v>1.0325999111205262</v>
      </c>
      <c r="O550">
        <f t="shared" si="34"/>
        <v>1.0369129214255155</v>
      </c>
      <c r="P550">
        <f t="shared" si="35"/>
        <v>-4.6185649264692652E-2</v>
      </c>
      <c r="Q550">
        <f t="shared" si="26"/>
        <v>4.4667329244063657E-2</v>
      </c>
      <c r="R550">
        <f t="shared" si="27"/>
        <v>4.2467214569445126E-2</v>
      </c>
      <c r="S550">
        <f t="shared" si="29"/>
        <v>1.0678860487399349</v>
      </c>
      <c r="T550" s="564">
        <f>IF((I550-MAX(I$470:I550))/MAX(I$470:I550)&gt;T549,T549,(I550-MAX(I$470:I550))/MAX(I$470:I550))</f>
        <v>-0.13666535856332884</v>
      </c>
      <c r="U550" s="564">
        <f>IF((J550-MAX(J$470:J550))/MAX(J$470:J550)&gt;U549,U549,(J550-MAX(J$470:J550))/MAX(J$470:J550))</f>
        <v>-0.2605713000449838</v>
      </c>
      <c r="V550" s="564">
        <f>IF((K550-MAX(K$470:K550))/MAX(K$470:K550)&gt;V549,V549,(K550-MAX(K$470:K550))/MAX(K$470:K550))</f>
        <v>-0.68158456867950912</v>
      </c>
      <c r="W550" s="564">
        <f>IF((N550-MAX(N$470:N550))/MAX(N$470:N550)&gt;W549,W549,(N550-MAX(N$470:N550))/MAX(N$470:N550))</f>
        <v>-0.10311304065408976</v>
      </c>
      <c r="X550" s="564">
        <f>IF((O550-MAX(O$470:O550))/MAX(O$470:O550)&gt;X549,X549,(O550-MAX(O$470:O550))/MAX(O$470:O550))</f>
        <v>-0.12147101883973409</v>
      </c>
    </row>
    <row r="551" spans="1:24">
      <c r="A551" s="799">
        <v>40953</v>
      </c>
      <c r="B551">
        <v>4.4629000000000003</v>
      </c>
      <c r="C551">
        <v>8.1722859999999997</v>
      </c>
      <c r="D551">
        <v>0.88628300000000004</v>
      </c>
      <c r="E551">
        <f>LN(D551/参数实验室!$E$53)/参数实验室!$E$55</f>
        <v>-0.83538688600964961</v>
      </c>
      <c r="F551">
        <f t="shared" si="28"/>
        <v>1.8311604562056061</v>
      </c>
      <c r="G551">
        <f>LN(F551/参数实验室!$E$58)/参数实验室!$E$59</f>
        <v>0.12698037357424041</v>
      </c>
      <c r="H551" s="856">
        <f>INDEX(神经网络!$G$10:$BO$70,MATCH(ROUND(G551*2,1)/2,神经网络!$E$10:$E$70,0),MATCH(ROUND(E551*2,1)/2,神经网络!$G$8:$BO$8,0))</f>
        <v>-6.6879706399616448E-2</v>
      </c>
      <c r="I551">
        <f t="shared" si="30"/>
        <v>1.03392974174434</v>
      </c>
      <c r="J551">
        <f t="shared" si="31"/>
        <v>1.7808148118590648</v>
      </c>
      <c r="K551">
        <f t="shared" si="32"/>
        <v>0.58059363323970725</v>
      </c>
      <c r="L551" s="4">
        <f>MIN(MAX(L550*(1+MAX(MIN(((B551-B550)/B550)/($K$7*卓尔金历!$N$40),0),-卓尔金历!$M$43))+MIN(MAX(((B551-B550)/B550)/($K$7*卓尔金历!$N$40),0),卓尔金历!$M$43),0),1)</f>
        <v>0</v>
      </c>
      <c r="M551" s="4">
        <f>MIN(MAX(M550*(1+MAX(MIN(((B551-B550)/B550)/($K$7*30),0),-卓尔金历!$M$43))+MIN(MAX(((B551-B550)/B550)/($K$7*7),0),卓尔金历!$M$43),0),1)</f>
        <v>0</v>
      </c>
      <c r="N551">
        <f t="shared" si="33"/>
        <v>1.0340652903990779</v>
      </c>
      <c r="O551">
        <f t="shared" si="34"/>
        <v>1.048416569249037</v>
      </c>
      <c r="P551">
        <f t="shared" si="35"/>
        <v>-0.15153992395437252</v>
      </c>
      <c r="Q551">
        <f t="shared" si="26"/>
        <v>5.4139427565061043E-2</v>
      </c>
      <c r="R551">
        <f t="shared" si="27"/>
        <v>0</v>
      </c>
      <c r="S551">
        <f t="shared" si="29"/>
        <v>1.0693615106229639</v>
      </c>
      <c r="T551" s="564">
        <f>IF((I551-MAX(I$470:I551))/MAX(I$470:I551)&gt;T550,T550,(I551-MAX(I$470:I551))/MAX(I$470:I551))</f>
        <v>-0.13666535856332884</v>
      </c>
      <c r="U551" s="564">
        <f>IF((J551-MAX(J$470:J551))/MAX(J$470:J551)&gt;U550,U550,(J551-MAX(J$470:J551))/MAX(J$470:J551))</f>
        <v>-0.3726242690058475</v>
      </c>
      <c r="V551" s="564">
        <f>IF((K551-MAX(K$470:K551))/MAX(K$470:K551)&gt;V550,V550,(K551-MAX(K$470:K551))/MAX(K$470:K551))</f>
        <v>-0.68158456867950912</v>
      </c>
      <c r="W551" s="564">
        <f>IF((N551-MAX(N$470:N551))/MAX(N$470:N551)&gt;W550,W550,(N551-MAX(N$470:N551))/MAX(N$470:N551))</f>
        <v>-0.10311304065408976</v>
      </c>
      <c r="X551" s="564">
        <f>IF((O551-MAX(O$470:O551))/MAX(O$470:O551)&gt;X550,X550,(O551-MAX(O$470:O551))/MAX(O$470:O551))</f>
        <v>-0.12147101883973409</v>
      </c>
    </row>
    <row r="552" spans="1:24">
      <c r="A552" s="799">
        <v>40954</v>
      </c>
      <c r="B552">
        <v>4.3250999999999999</v>
      </c>
      <c r="C552">
        <v>8.4240700000000004</v>
      </c>
      <c r="D552">
        <v>0.858819</v>
      </c>
      <c r="E552">
        <f>LN(D552/参数实验室!$E$53)/参数实验室!$E$55</f>
        <v>-0.87252330378311149</v>
      </c>
      <c r="F552">
        <f t="shared" si="28"/>
        <v>1.9477168157961666</v>
      </c>
      <c r="G552">
        <f>LN(F552/参数实验室!$E$58)/参数实验室!$E$59</f>
        <v>0.1593680290397565</v>
      </c>
      <c r="H552" s="856">
        <f>INDEX(神经网络!$G$10:$BO$70,MATCH(ROUND(G552*2,1)/2,神经网络!$E$10:$E$70,0),MATCH(ROUND(E552*2,1)/2,神经网络!$G$8:$BO$8,0))</f>
        <v>-6.6879706399616448E-2</v>
      </c>
      <c r="I552">
        <f t="shared" si="30"/>
        <v>1.036064837946485</v>
      </c>
      <c r="J552">
        <f t="shared" si="31"/>
        <v>1.7258289772953999</v>
      </c>
      <c r="K552">
        <f t="shared" si="32"/>
        <v>0.60032879942144346</v>
      </c>
      <c r="L552" s="4">
        <f>MIN(MAX(L551*(1+MAX(MIN(((B552-B551)/B551)/($K$7*卓尔金历!$N$40),0),-卓尔金历!$M$43))+MIN(MAX(((B552-B551)/B551)/($K$7*卓尔金历!$N$40),0),卓尔金历!$M$43),0),1)</f>
        <v>0</v>
      </c>
      <c r="M552" s="4">
        <f>MIN(MAX(M551*(1+MAX(MIN(((B552-B551)/B551)/($K$7*30),0),-卓尔金历!$M$43))+MIN(MAX(((B552-B551)/B551)/($K$7*7),0),卓尔金历!$M$43),0),1)</f>
        <v>0</v>
      </c>
      <c r="N552">
        <f t="shared" si="33"/>
        <v>1.0340652903990779</v>
      </c>
      <c r="O552">
        <f t="shared" si="34"/>
        <v>1.048416569249037</v>
      </c>
      <c r="P552">
        <f t="shared" si="35"/>
        <v>-3.087678415380142E-2</v>
      </c>
      <c r="Q552">
        <f t="shared" si="26"/>
        <v>5.1921524194162599E-2</v>
      </c>
      <c r="R552">
        <f t="shared" si="27"/>
        <v>0.60200609885317502</v>
      </c>
      <c r="S552">
        <f t="shared" si="29"/>
        <v>1.0693615106229639</v>
      </c>
      <c r="T552" s="564">
        <f>IF((I552-MAX(I$470:I552))/MAX(I$470:I552)&gt;T551,T551,(I552-MAX(I$470:I552))/MAX(I$470:I552))</f>
        <v>-0.13666535856332884</v>
      </c>
      <c r="U552" s="564">
        <f>IF((J552-MAX(J$470:J552))/MAX(J$470:J552)&gt;U551,U551,(J552-MAX(J$470:J552))/MAX(J$470:J552))</f>
        <v>-0.39199561403508731</v>
      </c>
      <c r="V552" s="564">
        <f>IF((K552-MAX(K$470:K552))/MAX(K$470:K552)&gt;V551,V551,(K552-MAX(K$470:K552))/MAX(K$470:K552))</f>
        <v>-0.68158456867950912</v>
      </c>
      <c r="W552" s="564">
        <f>IF((N552-MAX(N$470:N552))/MAX(N$470:N552)&gt;W551,W551,(N552-MAX(N$470:N552))/MAX(N$470:N552))</f>
        <v>-0.10311304065408976</v>
      </c>
      <c r="X552" s="564">
        <f>IF((O552-MAX(O$470:O552))/MAX(O$470:O552)&gt;X551,X551,(O552-MAX(O$470:O552))/MAX(O$470:O552))</f>
        <v>-0.12147101883973409</v>
      </c>
    </row>
    <row r="553" spans="1:24">
      <c r="A553" s="799">
        <v>40955</v>
      </c>
      <c r="B553">
        <v>4.2739000000000003</v>
      </c>
      <c r="C553">
        <v>8.5573540000000001</v>
      </c>
      <c r="D553">
        <v>0.84731199999999995</v>
      </c>
      <c r="E553">
        <f>LN(D553/参数实验室!$E$53)/参数实验室!$E$55</f>
        <v>-0.8884372358608158</v>
      </c>
      <c r="F553">
        <f t="shared" si="28"/>
        <v>2.0022354289992745</v>
      </c>
      <c r="G553">
        <f>LN(F553/参数实验室!$E$58)/参数实验室!$E$59</f>
        <v>0.17385738488601363</v>
      </c>
      <c r="H553" s="856">
        <f>INDEX(神经网络!$G$10:$BO$70,MATCH(ROUND(G553*2,1)/2,神经网络!$E$10:$E$70,0),MATCH(ROUND(E553*2,1)/2,神经网络!$G$8:$BO$8,0))</f>
        <v>-4.5496982226918441E-2</v>
      </c>
      <c r="I553">
        <f t="shared" si="30"/>
        <v>1.0368851046832654</v>
      </c>
      <c r="J553">
        <f t="shared" si="31"/>
        <v>1.7053988268624565</v>
      </c>
      <c r="K553">
        <f t="shared" si="32"/>
        <v>0.60800153509598498</v>
      </c>
      <c r="L553" s="4">
        <f>MIN(MAX(L552*(1+MAX(MIN(((B553-B552)/B552)/($K$7*卓尔金历!$N$40),0),-卓尔金历!$M$43))+MIN(MAX(((B553-B552)/B552)/($K$7*卓尔金历!$N$40),0),卓尔金历!$M$43),0),1)</f>
        <v>0</v>
      </c>
      <c r="M553" s="4">
        <f>MIN(MAX(M552*(1+MAX(MIN(((B553-B552)/B552)/($K$7*30),0),-卓尔金历!$M$43))+MIN(MAX(((B553-B552)/B552)/($K$7*7),0),卓尔金历!$M$43),0),1)</f>
        <v>0</v>
      </c>
      <c r="N553">
        <f t="shared" si="33"/>
        <v>1.0340652903990779</v>
      </c>
      <c r="O553">
        <f t="shared" si="34"/>
        <v>1.048416569249037</v>
      </c>
      <c r="P553">
        <f t="shared" si="35"/>
        <v>-1.1837876580888232E-2</v>
      </c>
      <c r="Q553">
        <f t="shared" si="26"/>
        <v>5.0208037280935203E-2</v>
      </c>
      <c r="R553">
        <f t="shared" si="27"/>
        <v>1</v>
      </c>
      <c r="S553">
        <f t="shared" si="29"/>
        <v>1.0698711859441867</v>
      </c>
      <c r="T553" s="564">
        <f>IF((I553-MAX(I$470:I553))/MAX(I$470:I553)&gt;T552,T552,(I553-MAX(I$470:I553))/MAX(I$470:I553))</f>
        <v>-0.13666535856332884</v>
      </c>
      <c r="U553" s="564">
        <f>IF((J553-MAX(J$470:J553))/MAX(J$470:J553)&gt;U552,U552,(J553-MAX(J$470:J553))/MAX(J$470:J553))</f>
        <v>-0.39919309491677868</v>
      </c>
      <c r="V553" s="564">
        <f>IF((K553-MAX(K$470:K553))/MAX(K$470:K553)&gt;V552,V552,(K553-MAX(K$470:K553))/MAX(K$470:K553))</f>
        <v>-0.68158456867950912</v>
      </c>
      <c r="W553" s="564">
        <f>IF((N553-MAX(N$470:N553))/MAX(N$470:N553)&gt;W552,W552,(N553-MAX(N$470:N553))/MAX(N$470:N553))</f>
        <v>-0.10311304065408976</v>
      </c>
      <c r="X553" s="564">
        <f>IF((O553-MAX(O$470:O553))/MAX(O$470:O553)&gt;X552,X552,(O553-MAX(O$470:O553))/MAX(O$470:O553))</f>
        <v>-0.12147101883973409</v>
      </c>
    </row>
    <row r="554" spans="1:24">
      <c r="A554" s="799">
        <v>40956</v>
      </c>
      <c r="B554">
        <v>4.41</v>
      </c>
      <c r="C554">
        <v>8.4454550000000008</v>
      </c>
      <c r="D554">
        <v>0.87548700000000002</v>
      </c>
      <c r="E554">
        <f>LN(D554/参数实验室!$E$53)/参数实验室!$E$55</f>
        <v>-0.84984595325665346</v>
      </c>
      <c r="F554">
        <f t="shared" si="28"/>
        <v>1.9150691609977326</v>
      </c>
      <c r="G554">
        <f>LN(F554/参数实验室!$E$58)/参数实验室!$E$59</f>
        <v>0.15049585141996855</v>
      </c>
      <c r="H554" s="856">
        <f>INDEX(神经网络!$G$10:$BO$70,MATCH(ROUND(G554*2,1)/2,神经网络!$E$10:$E$70,0),MATCH(ROUND(E554*2,1)/2,神经网络!$G$8:$BO$8,0))</f>
        <v>-6.6879706399616448E-2</v>
      </c>
      <c r="I554">
        <f t="shared" si="30"/>
        <v>1.0353828381382644</v>
      </c>
      <c r="J554">
        <f t="shared" si="31"/>
        <v>1.7597063165875273</v>
      </c>
      <c r="K554">
        <f t="shared" si="32"/>
        <v>0.5883838845030166</v>
      </c>
      <c r="L554" s="4">
        <f>MIN(MAX(L553*(1+MAX(MIN(((B554-B553)/B553)/($K$7*卓尔金历!$N$40),0),-卓尔金历!$M$43))+MIN(MAX(((B554-B553)/B553)/($K$7*卓尔金历!$N$40),0),卓尔金历!$M$43),0),1)</f>
        <v>0.48655265556056843</v>
      </c>
      <c r="M554" s="4">
        <f>MIN(MAX(M553*(1+MAX(MIN(((B554-B553)/B553)/($K$7*30),0),-卓尔金历!$M$43))+MIN(MAX(((B554-B553)/B553)/($K$7*7),0),卓尔金历!$M$43),0),1)</f>
        <v>1</v>
      </c>
      <c r="N554">
        <f t="shared" si="33"/>
        <v>1.0340652903990779</v>
      </c>
      <c r="O554">
        <f t="shared" si="34"/>
        <v>1.048416569249037</v>
      </c>
      <c r="P554">
        <f t="shared" si="35"/>
        <v>3.18444512038185E-2</v>
      </c>
      <c r="Q554">
        <f t="shared" si="26"/>
        <v>5.0965700981138874E-2</v>
      </c>
      <c r="R554">
        <f t="shared" si="27"/>
        <v>0.54411008776855019</v>
      </c>
      <c r="S554">
        <f t="shared" si="29"/>
        <v>1.068321128292818</v>
      </c>
      <c r="T554" s="564">
        <f>IF((I554-MAX(I$470:I554))/MAX(I$470:I554)&gt;T553,T553,(I554-MAX(I$470:I554))/MAX(I$470:I554))</f>
        <v>-0.13666535856332884</v>
      </c>
      <c r="U554" s="564">
        <f>IF((J554-MAX(J$470:J554))/MAX(J$470:J554)&gt;U553,U553,(J554-MAX(J$470:J554))/MAX(J$470:J554))</f>
        <v>-0.39919309491677868</v>
      </c>
      <c r="V554" s="564">
        <f>IF((K554-MAX(K$470:K554))/MAX(K$470:K554)&gt;V553,V553,(K554-MAX(K$470:K554))/MAX(K$470:K554))</f>
        <v>-0.68158456867950912</v>
      </c>
      <c r="W554" s="564">
        <f>IF((N554-MAX(N$470:N554))/MAX(N$470:N554)&gt;W553,W553,(N554-MAX(N$470:N554))/MAX(N$470:N554))</f>
        <v>-0.10311304065408976</v>
      </c>
      <c r="X554" s="564">
        <f>IF((O554-MAX(O$470:O554))/MAX(O$470:O554)&gt;X553,X553,(O554-MAX(O$470:O554))/MAX(O$470:O554))</f>
        <v>-0.12147101883973409</v>
      </c>
    </row>
    <row r="555" spans="1:24">
      <c r="A555" s="799">
        <v>40957</v>
      </c>
      <c r="B555">
        <v>4.2220000000000004</v>
      </c>
      <c r="C555">
        <v>8.355772</v>
      </c>
      <c r="D555">
        <v>0.85418099999999997</v>
      </c>
      <c r="E555">
        <f>LN(D555/参数实验室!$E$53)/参数实验室!$E$55</f>
        <v>-0.87891175552402845</v>
      </c>
      <c r="F555">
        <f t="shared" si="28"/>
        <v>1.979102794883941</v>
      </c>
      <c r="G555">
        <f>LN(F555/参数实验室!$E$58)/参数实验室!$E$59</f>
        <v>0.16775823304866055</v>
      </c>
      <c r="H555" s="856">
        <f>INDEX(神经网络!$G$10:$BO$70,MATCH(ROUND(G555*2,1)/2,神经网络!$E$10:$E$70,0),MATCH(ROUND(E555*2,1)/2,神经网络!$G$8:$BO$8,0))</f>
        <v>-4.5496982226918441E-2</v>
      </c>
      <c r="I555">
        <f t="shared" si="30"/>
        <v>1.0383348260844021</v>
      </c>
      <c r="J555">
        <f t="shared" si="31"/>
        <v>1.6846893579665625</v>
      </c>
      <c r="K555">
        <f t="shared" si="32"/>
        <v>0.61633607476317354</v>
      </c>
      <c r="L555" s="4">
        <f>MIN(MAX(L554*(1+MAX(MIN(((B555-B554)/B554)/($K$7*卓尔金历!$N$40),0),-卓尔金历!$M$43))+MIN(MAX(((B555-B554)/B554)/($K$7*卓尔金历!$N$40),0),卓尔金历!$M$43),0),1)</f>
        <v>0.1696359114666077</v>
      </c>
      <c r="M555" s="4">
        <f>MIN(MAX(M554*(1+MAX(MIN(((B555-B554)/B554)/($K$7*30),0),-卓尔金历!$M$43))+MIN(MAX(((B555-B554)/B554)/($K$7*7),0),卓尔金历!$M$43),0),1)</f>
        <v>0.67432430953558997</v>
      </c>
      <c r="N555">
        <f t="shared" si="33"/>
        <v>1.0354997602527769</v>
      </c>
      <c r="O555">
        <f t="shared" si="34"/>
        <v>1.0514057177658496</v>
      </c>
      <c r="P555">
        <f t="shared" si="35"/>
        <v>-4.2630385487528281E-2</v>
      </c>
      <c r="Q555">
        <f t="shared" si="26"/>
        <v>4.8932785251928318E-2</v>
      </c>
      <c r="R555">
        <f t="shared" si="27"/>
        <v>0.19587322335374735</v>
      </c>
      <c r="S555">
        <f t="shared" si="29"/>
        <v>1.0699784324243675</v>
      </c>
      <c r="T555" s="564">
        <f>IF((I555-MAX(I$470:I555))/MAX(I$470:I555)&gt;T554,T554,(I555-MAX(I$470:I555))/MAX(I$470:I555))</f>
        <v>-0.13666535856332884</v>
      </c>
      <c r="U555" s="564">
        <f>IF((J555-MAX(J$470:J555))/MAX(J$470:J555)&gt;U554,U554,(J555-MAX(J$470:J555))/MAX(J$470:J555))</f>
        <v>-0.40648897885739943</v>
      </c>
      <c r="V555" s="564">
        <f>IF((K555-MAX(K$470:K555))/MAX(K$470:K555)&gt;V554,V554,(K555-MAX(K$470:K555))/MAX(K$470:K555))</f>
        <v>-0.68158456867950912</v>
      </c>
      <c r="W555" s="564">
        <f>IF((N555-MAX(N$470:N555))/MAX(N$470:N555)&gt;W554,W554,(N555-MAX(N$470:N555))/MAX(N$470:N555))</f>
        <v>-0.10311304065408976</v>
      </c>
      <c r="X555" s="564">
        <f>IF((O555-MAX(O$470:O555))/MAX(O$470:O555)&gt;X554,X554,(O555-MAX(O$470:O555))/MAX(O$470:O555))</f>
        <v>-0.12147101883973409</v>
      </c>
    </row>
    <row r="556" spans="1:24">
      <c r="A556" s="799">
        <v>40958</v>
      </c>
      <c r="B556">
        <v>4.3867000000000003</v>
      </c>
      <c r="C556">
        <v>8.3097589999999997</v>
      </c>
      <c r="D556">
        <v>0.87896600000000003</v>
      </c>
      <c r="E556">
        <f>LN(D556/参数实验室!$E$53)/参数实验室!$E$55</f>
        <v>-0.84516715375003915</v>
      </c>
      <c r="F556">
        <f t="shared" si="28"/>
        <v>1.8943075660519295</v>
      </c>
      <c r="G556">
        <f>LN(F556/参数实验室!$E$58)/参数实验室!$E$59</f>
        <v>0.14477475018823413</v>
      </c>
      <c r="H556" s="856">
        <f>INDEX(神经网络!$G$10:$BO$70,MATCH(ROUND(G556*2,1)/2,神经网络!$E$10:$E$70,0),MATCH(ROUND(E556*2,1)/2,神经网络!$G$8:$BO$8,0))</f>
        <v>-6.6879706399616448E-2</v>
      </c>
      <c r="I556">
        <f t="shared" si="30"/>
        <v>1.0364919531910401</v>
      </c>
      <c r="J556">
        <f t="shared" si="31"/>
        <v>1.7504090020350356</v>
      </c>
      <c r="K556">
        <f t="shared" si="32"/>
        <v>0.59214272320698114</v>
      </c>
      <c r="L556" s="4">
        <f>MIN(MAX(L555*(1+MAX(MIN(((B556-B555)/B555)/($K$7*卓尔金历!$N$40),0),-卓尔金历!$M$43))+MIN(MAX(((B556-B555)/B555)/($K$7*卓尔金历!$N$40),0),卓尔金历!$M$43),0),1)</f>
        <v>0.76567048020972539</v>
      </c>
      <c r="M556" s="4">
        <f>MIN(MAX(M555*(1+MAX(MIN(((B556-B555)/B555)/($K$7*30),0),-卓尔金历!$M$43))+MIN(MAX(((B556-B555)/B555)/($K$7*7),0),卓尔金历!$M$43),0),1)</f>
        <v>1</v>
      </c>
      <c r="N556">
        <f t="shared" si="33"/>
        <v>1.0351879963993289</v>
      </c>
      <c r="O556">
        <f t="shared" si="34"/>
        <v>1.0501473803440997</v>
      </c>
      <c r="P556">
        <f t="shared" si="35"/>
        <v>3.9009947891994273E-2</v>
      </c>
      <c r="Q556">
        <f t="shared" ref="Q556:Q619" si="36">STDEVP(P536:P556)</f>
        <v>4.9576131019590505E-2</v>
      </c>
      <c r="R556">
        <f t="shared" ref="R556:R619" si="37">MIN(Q555*MAX(1-LN(MAX(ABS(P556),0.0001)/Q556),0)+MAX(-LN(MAX(ABS(P556),0.0001)/Q556),0),1)</f>
        <v>0.30035442229672143</v>
      </c>
      <c r="S556">
        <f t="shared" si="29"/>
        <v>1.0696064623038579</v>
      </c>
      <c r="T556" s="564">
        <f>IF((I556-MAX(I$470:I556))/MAX(I$470:I556)&gt;T555,T555,(I556-MAX(I$470:I556))/MAX(I$470:I556))</f>
        <v>-0.13666535856332884</v>
      </c>
      <c r="U556" s="564">
        <f>IF((J556-MAX(J$470:J556))/MAX(J$470:J556)&gt;U555,U555,(J556-MAX(J$470:J556))/MAX(J$470:J556))</f>
        <v>-0.40648897885739943</v>
      </c>
      <c r="V556" s="564">
        <f>IF((K556-MAX(K$470:K556))/MAX(K$470:K556)&gt;V555,V555,(K556-MAX(K$470:K556))/MAX(K$470:K556))</f>
        <v>-0.68158456867950912</v>
      </c>
      <c r="W556" s="564">
        <f>IF((N556-MAX(N$470:N556))/MAX(N$470:N556)&gt;W555,W555,(N556-MAX(N$470:N556))/MAX(N$470:N556))</f>
        <v>-0.10311304065408976</v>
      </c>
      <c r="X556" s="564">
        <f>IF((O556-MAX(O$470:O556))/MAX(O$470:O556)&gt;X555,X555,(O556-MAX(O$470:O556))/MAX(O$470:O556))</f>
        <v>-0.12147101883973409</v>
      </c>
    </row>
    <row r="557" spans="1:24">
      <c r="A557" s="799">
        <v>40959</v>
      </c>
      <c r="B557">
        <v>4.3615000000000004</v>
      </c>
      <c r="C557">
        <v>8.468947</v>
      </c>
      <c r="D557">
        <v>0.87488699999999997</v>
      </c>
      <c r="E557">
        <f>LN(D557/参数实验室!$E$53)/参数实验室!$E$55</f>
        <v>-0.85065475408905589</v>
      </c>
      <c r="F557">
        <f t="shared" si="28"/>
        <v>1.9417510030952652</v>
      </c>
      <c r="G557">
        <f>LN(F557/参数实验室!$E$58)/参数实验室!$E$59</f>
        <v>0.15775794585219863</v>
      </c>
      <c r="H557" s="856">
        <f>INDEX(神经网络!$G$10:$BO$70,MATCH(ROUND(G557*2,1)/2,神经网络!$E$10:$E$70,0),MATCH(ROUND(E557*2,1)/2,神经网络!$G$8:$BO$8,0))</f>
        <v>-6.6879706399616448E-2</v>
      </c>
      <c r="I557">
        <f t="shared" si="30"/>
        <v>1.0368901730358842</v>
      </c>
      <c r="J557">
        <f t="shared" si="31"/>
        <v>1.7403535373688213</v>
      </c>
      <c r="K557">
        <f t="shared" si="32"/>
        <v>0.59579283793310267</v>
      </c>
      <c r="L557" s="4">
        <f>MIN(MAX(L556*(1+MAX(MIN(((B557-B556)/B556)/($K$7*卓尔金历!$N$40),0),-卓尔金历!$M$43))+MIN(MAX(((B557-B556)/B556)/($K$7*卓尔金历!$N$40),0),卓尔金历!$M$43),0),1)</f>
        <v>0.69846563453963539</v>
      </c>
      <c r="M557" s="4">
        <f>MIN(MAX(M556*(1+MAX(MIN(((B557-B556)/B556)/($K$7*30),0),-卓尔金历!$M$43))+MIN(MAX(((B557-B556)/B556)/($K$7*7),0),卓尔金历!$M$43),0),1)</f>
        <v>0.95611372815908879</v>
      </c>
      <c r="N557">
        <f t="shared" si="33"/>
        <v>1.03549251799376</v>
      </c>
      <c r="O557">
        <f t="shared" si="34"/>
        <v>1.0505508465992661</v>
      </c>
      <c r="P557">
        <f t="shared" si="35"/>
        <v>-5.7446371988054542E-3</v>
      </c>
      <c r="Q557">
        <f t="shared" si="36"/>
        <v>4.9164354178072113E-2</v>
      </c>
      <c r="R557">
        <f t="shared" si="37"/>
        <v>1</v>
      </c>
      <c r="S557">
        <f t="shared" si="29"/>
        <v>1.0697298906793058</v>
      </c>
      <c r="T557" s="564">
        <f>IF((I557-MAX(I$470:I557))/MAX(I$470:I557)&gt;T556,T556,(I557-MAX(I$470:I557))/MAX(I$470:I557))</f>
        <v>-0.13666535856332884</v>
      </c>
      <c r="U557" s="564">
        <f>IF((J557-MAX(J$470:J557))/MAX(J$470:J557)&gt;U556,U556,(J557-MAX(J$470:J557))/MAX(J$470:J557))</f>
        <v>-0.40648897885739943</v>
      </c>
      <c r="V557" s="564">
        <f>IF((K557-MAX(K$470:K557))/MAX(K$470:K557)&gt;V556,V556,(K557-MAX(K$470:K557))/MAX(K$470:K557))</f>
        <v>-0.68158456867950912</v>
      </c>
      <c r="W557" s="564">
        <f>IF((N557-MAX(N$470:N557))/MAX(N$470:N557)&gt;W556,W556,(N557-MAX(N$470:N557))/MAX(N$470:N557))</f>
        <v>-0.10311304065408976</v>
      </c>
      <c r="X557" s="564">
        <f>IF((O557-MAX(O$470:O557))/MAX(O$470:O557)&gt;X556,X556,(O557-MAX(O$470:O557))/MAX(O$470:O557))</f>
        <v>-0.12147101883973409</v>
      </c>
    </row>
    <row r="558" spans="1:24">
      <c r="A558" s="799">
        <v>40960</v>
      </c>
      <c r="B558">
        <v>4.2720000000000002</v>
      </c>
      <c r="C558">
        <v>8.5313280000000002</v>
      </c>
      <c r="D558">
        <v>0.86595800000000001</v>
      </c>
      <c r="E558">
        <f>LN(D558/参数实验室!$E$53)/参数实验室!$E$55</f>
        <v>-0.86275704819643517</v>
      </c>
      <c r="F558">
        <f t="shared" si="28"/>
        <v>1.9970337078651685</v>
      </c>
      <c r="G558">
        <f>LN(F558/参数实验室!$E$58)/参数实验室!$E$59</f>
        <v>0.17249206246616627</v>
      </c>
      <c r="H558" s="856">
        <f>INDEX(神经网络!$G$10:$BO$70,MATCH(ROUND(G558*2,1)/2,神经网络!$E$10:$E$70,0),MATCH(ROUND(E558*2,1)/2,神经网络!$G$8:$BO$8,0))</f>
        <v>-6.6879706399616448E-2</v>
      </c>
      <c r="I558">
        <f t="shared" si="30"/>
        <v>1.0383132037536522</v>
      </c>
      <c r="J558">
        <f t="shared" si="31"/>
        <v>1.7046406767487343</v>
      </c>
      <c r="K558">
        <f t="shared" si="32"/>
        <v>0.60910971908404166</v>
      </c>
      <c r="L558" s="4">
        <f>MIN(MAX(L557*(1+MAX(MIN(((B558-B557)/B557)/($K$7*卓尔金历!$N$40),0),-卓尔金历!$M$43))+MIN(MAX(((B558-B557)/B557)/($K$7*卓尔金历!$N$40),0),卓尔金历!$M$43),0),1)</f>
        <v>0.47947361935101834</v>
      </c>
      <c r="M558" s="4">
        <f>MIN(MAX(M557*(1+MAX(MIN(((B558-B557)/B557)/($K$7*30),0),-卓尔金历!$M$43))+MIN(MAX(((B558-B557)/B557)/($K$7*7),0),卓尔金历!$M$43),0),1)</f>
        <v>0.80622713265244983</v>
      </c>
      <c r="N558">
        <f t="shared" si="33"/>
        <v>1.0364851162884101</v>
      </c>
      <c r="O558">
        <f t="shared" si="34"/>
        <v>1.0519293509700189</v>
      </c>
      <c r="P558">
        <f t="shared" si="35"/>
        <v>-2.0520463143413992E-2</v>
      </c>
      <c r="Q558">
        <f t="shared" si="36"/>
        <v>4.9178409784577576E-2</v>
      </c>
      <c r="R558">
        <f t="shared" si="37"/>
        <v>0.9661676897398167</v>
      </c>
      <c r="S558">
        <f t="shared" si="29"/>
        <v>1.0711979907093161</v>
      </c>
      <c r="T558" s="564">
        <f>IF((I558-MAX(I$470:I558))/MAX(I$470:I558)&gt;T557,T557,(I558-MAX(I$470:I558))/MAX(I$470:I558))</f>
        <v>-0.13666535856332884</v>
      </c>
      <c r="U558" s="564">
        <f>IF((J558-MAX(J$470:J558))/MAX(J$470:J558)&gt;U557,U557,(J558-MAX(J$470:J558))/MAX(J$470:J558))</f>
        <v>-0.40648897885739943</v>
      </c>
      <c r="V558" s="564">
        <f>IF((K558-MAX(K$470:K558))/MAX(K$470:K558)&gt;V557,V557,(K558-MAX(K$470:K558))/MAX(K$470:K558))</f>
        <v>-0.68158456867950912</v>
      </c>
      <c r="W558" s="564">
        <f>IF((N558-MAX(N$470:N558))/MAX(N$470:N558)&gt;W557,W557,(N558-MAX(N$470:N558))/MAX(N$470:N558))</f>
        <v>-0.10311304065408976</v>
      </c>
      <c r="X558" s="564">
        <f>IF((O558-MAX(O$470:O558))/MAX(O$470:O558)&gt;X557,X557,(O558-MAX(O$470:O558))/MAX(O$470:O558))</f>
        <v>-0.12147101883973409</v>
      </c>
    </row>
    <row r="559" spans="1:24">
      <c r="A559" s="799">
        <v>40961</v>
      </c>
      <c r="B559">
        <v>4.4246999999999996</v>
      </c>
      <c r="C559">
        <v>8.6227509999999992</v>
      </c>
      <c r="D559">
        <v>0.887714</v>
      </c>
      <c r="E559">
        <f>LN(D559/参数实验室!$E$53)/参数实验室!$E$55</f>
        <v>-0.83348358261252486</v>
      </c>
      <c r="F559">
        <f t="shared" si="28"/>
        <v>1.9487764142201731</v>
      </c>
      <c r="G559">
        <f>LN(F559/参数实验室!$E$58)/参数实验室!$E$59</f>
        <v>0.15965348290699646</v>
      </c>
      <c r="H559" s="856">
        <f>INDEX(神经网络!$G$10:$BO$70,MATCH(ROUND(G559*2,1)/2,神经网络!$E$10:$E$70,0),MATCH(ROUND(E559*2,1)/2,神经网络!$G$8:$BO$8,0))</f>
        <v>-6.6879706399616448E-2</v>
      </c>
      <c r="I559">
        <f t="shared" si="30"/>
        <v>1.03583103943842</v>
      </c>
      <c r="J559">
        <f t="shared" si="31"/>
        <v>1.765572004309486</v>
      </c>
      <c r="K559">
        <f t="shared" si="32"/>
        <v>0.58668297691066573</v>
      </c>
      <c r="L559" s="4">
        <f>MIN(MAX(L558*(1+MAX(MIN(((B559-B558)/B558)/($K$7*卓尔金历!$N$40),0),-卓尔金历!$M$43))+MIN(MAX(((B559-B558)/B558)/($K$7*卓尔金历!$N$40),0),卓尔金历!$M$43),0),1)</f>
        <v>1</v>
      </c>
      <c r="M559" s="4">
        <f>MIN(MAX(M558*(1+MAX(MIN(((B559-B558)/B558)/($K$7*30),0),-卓尔金历!$M$43))+MIN(MAX(((B559-B558)/B558)/($K$7*7),0),卓尔金历!$M$43),0),1)</f>
        <v>1</v>
      </c>
      <c r="N559">
        <f t="shared" si="33"/>
        <v>1.0352970793654022</v>
      </c>
      <c r="O559">
        <f t="shared" si="34"/>
        <v>1.049901919732128</v>
      </c>
      <c r="P559">
        <f t="shared" si="35"/>
        <v>3.5744382022471766E-2</v>
      </c>
      <c r="Q559">
        <f t="shared" si="36"/>
        <v>4.2898159851903442E-2</v>
      </c>
      <c r="R559">
        <f t="shared" si="37"/>
        <v>0.24058613387937186</v>
      </c>
      <c r="S559">
        <f t="shared" si="29"/>
        <v>1.068723849914655</v>
      </c>
      <c r="T559" s="564">
        <f>IF((I559-MAX(I$470:I559))/MAX(I$470:I559)&gt;T558,T558,(I559-MAX(I$470:I559))/MAX(I$470:I559))</f>
        <v>-0.13666535856332884</v>
      </c>
      <c r="U559" s="564">
        <f>IF((J559-MAX(J$470:J559))/MAX(J$470:J559)&gt;U558,U558,(J559-MAX(J$470:J559))/MAX(J$470:J559))</f>
        <v>-0.40648897885739943</v>
      </c>
      <c r="V559" s="564">
        <f>IF((K559-MAX(K$470:K559))/MAX(K$470:K559)&gt;V558,V558,(K559-MAX(K$470:K559))/MAX(K$470:K559))</f>
        <v>-0.68158456867950912</v>
      </c>
      <c r="W559" s="564">
        <f>IF((N559-MAX(N$470:N559))/MAX(N$470:N559)&gt;W558,W558,(N559-MAX(N$470:N559))/MAX(N$470:N559))</f>
        <v>-0.10311304065408976</v>
      </c>
      <c r="X559" s="564">
        <f>IF((O559-MAX(O$470:O559))/MAX(O$470:O559)&gt;X558,X558,(O559-MAX(O$470:O559))/MAX(O$470:O559))</f>
        <v>-0.12147101883973409</v>
      </c>
    </row>
    <row r="560" spans="1:24">
      <c r="A560" s="799">
        <v>40962</v>
      </c>
      <c r="B560">
        <v>5.0149999999999997</v>
      </c>
      <c r="C560">
        <v>8.4954479999999997</v>
      </c>
      <c r="D560">
        <v>1.010311</v>
      </c>
      <c r="E560">
        <f>LN(D560/参数实验室!$E$53)/参数实验室!$E$55</f>
        <v>-0.6808661441865953</v>
      </c>
      <c r="F560">
        <f t="shared" si="28"/>
        <v>1.6940075772681955</v>
      </c>
      <c r="G560">
        <f>LN(F560/参数实验室!$E$58)/参数实验室!$E$59</f>
        <v>8.6119003225029953E-2</v>
      </c>
      <c r="H560" s="856">
        <f>INDEX(神经网络!$G$10:$BO$70,MATCH(ROUND(G560*2,1)/2,神经网络!$E$10:$E$70,0),MATCH(ROUND(E560*2,1)/2,神经网络!$G$8:$BO$8,0))</f>
        <v>-0.14703295761765681</v>
      </c>
      <c r="I560">
        <f t="shared" si="30"/>
        <v>1.0265889060637015</v>
      </c>
      <c r="J560">
        <f t="shared" si="31"/>
        <v>2.0011172738518033</v>
      </c>
      <c r="K560">
        <f t="shared" si="32"/>
        <v>0.51300786789356734</v>
      </c>
      <c r="L560" s="4">
        <f>MIN(MAX(L559*(1+MAX(MIN(((B560-B559)/B559)/($K$7*卓尔金历!$N$40),0),-卓尔金历!$M$43))+MIN(MAX(((B560-B559)/B559)/($K$7*卓尔金历!$N$40),0),卓尔金历!$M$43),0),1)</f>
        <v>1</v>
      </c>
      <c r="M560" s="4">
        <f>MIN(MAX(M559*(1+MAX(MIN(((B560-B559)/B559)/($K$7*30),0),-卓尔金历!$M$43))+MIN(MAX(((B560-B559)/B559)/($K$7*7),0),卓尔金历!$M$43),0),1)</f>
        <v>1</v>
      </c>
      <c r="N560">
        <f t="shared" si="33"/>
        <v>1.0260597102138278</v>
      </c>
      <c r="O560">
        <f t="shared" si="34"/>
        <v>1.0405342398663093</v>
      </c>
      <c r="P560">
        <f t="shared" si="35"/>
        <v>0.13341017470110969</v>
      </c>
      <c r="Q560">
        <f t="shared" si="36"/>
        <v>5.3120263539976606E-2</v>
      </c>
      <c r="R560">
        <f t="shared" si="37"/>
        <v>3.3945341208400717E-3</v>
      </c>
      <c r="S560">
        <f t="shared" si="29"/>
        <v>1.0664297126184503</v>
      </c>
      <c r="T560" s="564">
        <f>IF((I560-MAX(I$470:I560))/MAX(I$470:I560)&gt;T559,T559,(I560-MAX(I$470:I560))/MAX(I$470:I560))</f>
        <v>-0.13666535856332884</v>
      </c>
      <c r="U560" s="564">
        <f>IF((J560-MAX(J$470:J560))/MAX(J$470:J560)&gt;U559,U559,(J560-MAX(J$470:J560))/MAX(J$470:J560))</f>
        <v>-0.40648897885739943</v>
      </c>
      <c r="V560" s="564">
        <f>IF((K560-MAX(K$470:K560))/MAX(K$470:K560)&gt;V559,V559,(K560-MAX(K$470:K560))/MAX(K$470:K560))</f>
        <v>-0.68158456867950912</v>
      </c>
      <c r="W560" s="564">
        <f>IF((N560-MAX(N$470:N560))/MAX(N$470:N560)&gt;W559,W559,(N560-MAX(N$470:N560))/MAX(N$470:N560))</f>
        <v>-0.10311304065408976</v>
      </c>
      <c r="X560" s="564">
        <f>IF((O560-MAX(O$470:O560))/MAX(O$470:O560)&gt;X559,X559,(O560-MAX(O$470:O560))/MAX(O$470:O560))</f>
        <v>-0.12147101883973409</v>
      </c>
    </row>
    <row r="561" spans="1:24">
      <c r="A561" s="799">
        <v>40963</v>
      </c>
      <c r="B561">
        <v>5.0288000000000004</v>
      </c>
      <c r="C561">
        <v>8.5153459999999992</v>
      </c>
      <c r="D561">
        <v>1.0069630000000001</v>
      </c>
      <c r="E561">
        <f>LN(D561/参数实验室!$E$53)/参数实验室!$E$55</f>
        <v>-0.6847821392248481</v>
      </c>
      <c r="F561">
        <f t="shared" si="28"/>
        <v>1.6933157015590197</v>
      </c>
      <c r="G561">
        <f>LN(F561/参数实验室!$E$58)/参数实验室!$E$59</f>
        <v>8.5904595718908197E-2</v>
      </c>
      <c r="H561" s="856">
        <f>INDEX(神经网络!$G$10:$BO$70,MATCH(ROUND(G561*2,1)/2,神经网络!$E$10:$E$70,0),MATCH(ROUND(E561*2,1)/2,神经网络!$G$8:$BO$8,0))</f>
        <v>-0.14703295761765681</v>
      </c>
      <c r="I561">
        <f t="shared" si="30"/>
        <v>1.0261735510960044</v>
      </c>
      <c r="J561">
        <f t="shared" si="31"/>
        <v>2.0066238378356829</v>
      </c>
      <c r="K561">
        <f t="shared" si="32"/>
        <v>0.51139308312155862</v>
      </c>
      <c r="L561" s="4">
        <f>MIN(MAX(L560*(1+MAX(MIN(((B561-B560)/B560)/($K$7*卓尔金历!$N$40),0),-卓尔金历!$M$43))+MIN(MAX(((B561-B560)/B560)/($K$7*卓尔金历!$N$40),0),卓尔金历!$M$43),0),1)</f>
        <v>1</v>
      </c>
      <c r="M561" s="4">
        <f>MIN(MAX(M560*(1+MAX(MIN(((B561-B560)/B560)/($K$7*30),0),-卓尔金历!$M$43))+MIN(MAX(((B561-B560)/B560)/($K$7*7),0),卓尔金历!$M$43),0),1)</f>
        <v>1</v>
      </c>
      <c r="N561">
        <f t="shared" si="33"/>
        <v>1.0256445693572747</v>
      </c>
      <c r="O561">
        <f t="shared" si="34"/>
        <v>1.0401132426559998</v>
      </c>
      <c r="P561">
        <f t="shared" si="35"/>
        <v>2.7517447657030313E-3</v>
      </c>
      <c r="Q561">
        <f t="shared" si="36"/>
        <v>5.3052675747827495E-2</v>
      </c>
      <c r="R561">
        <f t="shared" si="37"/>
        <v>1</v>
      </c>
      <c r="S561">
        <f t="shared" si="29"/>
        <v>1.0664282479637233</v>
      </c>
      <c r="T561" s="564">
        <f>IF((I561-MAX(I$470:I561))/MAX(I$470:I561)&gt;T560,T560,(I561-MAX(I$470:I561))/MAX(I$470:I561))</f>
        <v>-0.13666535856332884</v>
      </c>
      <c r="U561" s="564">
        <f>IF((J561-MAX(J$470:J561))/MAX(J$470:J561)&gt;U560,U560,(J561-MAX(J$470:J561))/MAX(J$470:J561))</f>
        <v>-0.40648897885739943</v>
      </c>
      <c r="V561" s="564">
        <f>IF((K561-MAX(K$470:K561))/MAX(K$470:K561)&gt;V560,V560,(K561-MAX(K$470:K561))/MAX(K$470:K561))</f>
        <v>-0.68158456867950912</v>
      </c>
      <c r="W561" s="564">
        <f>IF((N561-MAX(N$470:N561))/MAX(N$470:N561)&gt;W560,W560,(N561-MAX(N$470:N561))/MAX(N$470:N561))</f>
        <v>-0.10311304065408976</v>
      </c>
      <c r="X561" s="564">
        <f>IF((O561-MAX(O$470:O561))/MAX(O$470:O561)&gt;X560,X560,(O561-MAX(O$470:O561))/MAX(O$470:O561))</f>
        <v>-0.12147101883973409</v>
      </c>
    </row>
    <row r="562" spans="1:24">
      <c r="A562" s="799">
        <v>40964</v>
      </c>
      <c r="B562">
        <v>4.7729999999999997</v>
      </c>
      <c r="C562">
        <v>8.3904060000000005</v>
      </c>
      <c r="D562">
        <v>0.95625099999999996</v>
      </c>
      <c r="E562">
        <f>LN(D562/参数实验室!$E$53)/参数实验室!$E$55</f>
        <v>-0.74574437607790034</v>
      </c>
      <c r="F562">
        <f t="shared" si="28"/>
        <v>1.757889377749843</v>
      </c>
      <c r="G562">
        <f>LN(F562/参数实验室!$E$58)/参数实验室!$E$59</f>
        <v>0.10554742194291714</v>
      </c>
      <c r="H562" s="856">
        <f>INDEX(神经网络!$G$10:$BO$70,MATCH(ROUND(G562*2,1)/2,神经网络!$E$10:$E$70,0),MATCH(ROUND(E562*2,1)/2,神经网络!$G$8:$BO$8,0))</f>
        <v>-0.14674409267063451</v>
      </c>
      <c r="I562">
        <f t="shared" si="30"/>
        <v>1.0338484327355</v>
      </c>
      <c r="J562">
        <f t="shared" si="31"/>
        <v>1.9045528909460934</v>
      </c>
      <c r="K562">
        <f t="shared" si="32"/>
        <v>0.54282999314444458</v>
      </c>
      <c r="L562" s="4">
        <f>MIN(MAX(L561*(1+MAX(MIN(((B562-B561)/B561)/($K$7*卓尔金历!$N$40),0),-卓尔金历!$M$43))+MIN(MAX(((B562-B561)/B561)/($K$7*卓尔金历!$N$40),0),卓尔金历!$M$43),0),1)</f>
        <v>0.22280096104372382</v>
      </c>
      <c r="M562" s="4">
        <f>MIN(MAX(M561*(1+MAX(MIN(((B562-B561)/B561)/($K$7*30),0),-卓尔金历!$M$43))+MIN(MAX(((B562-B561)/B561)/($K$7*7),0),卓尔金历!$M$43),0),1)</f>
        <v>0.61140048052186191</v>
      </c>
      <c r="N562">
        <f t="shared" si="33"/>
        <v>1.0333154946755125</v>
      </c>
      <c r="O562">
        <f t="shared" si="34"/>
        <v>1.0478923810098686</v>
      </c>
      <c r="P562">
        <f t="shared" si="35"/>
        <v>-5.0867006045179901E-2</v>
      </c>
      <c r="Q562">
        <f t="shared" si="36"/>
        <v>5.3869247483782169E-2</v>
      </c>
      <c r="R562">
        <f t="shared" si="37"/>
        <v>0.11344026091500586</v>
      </c>
      <c r="S562">
        <f t="shared" si="29"/>
        <v>1.074404199567031</v>
      </c>
      <c r="T562" s="564">
        <f>IF((I562-MAX(I$470:I562))/MAX(I$470:I562)&gt;T561,T561,(I562-MAX(I$470:I562))/MAX(I$470:I562))</f>
        <v>-0.13666535856332884</v>
      </c>
      <c r="U562" s="564">
        <f>IF((J562-MAX(J$470:J562))/MAX(J$470:J562)&gt;U561,U561,(J562-MAX(J$470:J562))/MAX(J$470:J562))</f>
        <v>-0.40648897885739943</v>
      </c>
      <c r="V562" s="564">
        <f>IF((K562-MAX(K$470:K562))/MAX(K$470:K562)&gt;V561,V561,(K562-MAX(K$470:K562))/MAX(K$470:K562))</f>
        <v>-0.68158456867950912</v>
      </c>
      <c r="W562" s="564">
        <f>IF((N562-MAX(N$470:N562))/MAX(N$470:N562)&gt;W561,W561,(N562-MAX(N$470:N562))/MAX(N$470:N562))</f>
        <v>-0.10311304065408976</v>
      </c>
      <c r="X562" s="564">
        <f>IF((O562-MAX(O$470:O562))/MAX(O$470:O562)&gt;X561,X561,(O562-MAX(O$470:O562))/MAX(O$470:O562))</f>
        <v>-0.12147101883973409</v>
      </c>
    </row>
    <row r="563" spans="1:24">
      <c r="A563" s="799">
        <v>40965</v>
      </c>
      <c r="B563">
        <v>4.9219999999999997</v>
      </c>
      <c r="C563">
        <v>8.3652619999999995</v>
      </c>
      <c r="D563">
        <v>0.98712200000000005</v>
      </c>
      <c r="E563">
        <f>LN(D563/参数实验室!$E$53)/参数实验室!$E$55</f>
        <v>-0.70825983111328195</v>
      </c>
      <c r="F563">
        <f t="shared" si="28"/>
        <v>1.699565623730191</v>
      </c>
      <c r="G563">
        <f>LN(F563/参数实验室!$E$58)/参数实验室!$E$59</f>
        <v>8.7838232835124028E-2</v>
      </c>
      <c r="H563" s="856">
        <f>INDEX(神经网络!$G$10:$BO$70,MATCH(ROUND(G563*2,1)/2,神经网络!$E$10:$E$70,0),MATCH(ROUND(E563*2,1)/2,神经网络!$G$8:$BO$8,0))</f>
        <v>-0.14703295761765681</v>
      </c>
      <c r="I563">
        <f t="shared" si="30"/>
        <v>1.0291124257413897</v>
      </c>
      <c r="J563">
        <f t="shared" si="31"/>
        <v>1.9640078209169645</v>
      </c>
      <c r="K563">
        <f t="shared" si="32"/>
        <v>0.52398591022968188</v>
      </c>
      <c r="L563" s="4">
        <f>MIN(MAX(L562*(1+MAX(MIN(((B563-B562)/B562)/($K$7*卓尔金历!$N$40),0),-卓尔金历!$M$43))+MIN(MAX(((B563-B562)/B562)/($K$7*卓尔金历!$N$40),0),卓尔金历!$M$43),0),1)</f>
        <v>0.69977079456485891</v>
      </c>
      <c r="M563" s="4">
        <f>MIN(MAX(M562*(1+MAX(MIN(((B563-B562)/B562)/($K$7*30),0),-卓尔金历!$M$43))+MIN(MAX(((B563-B562)/B562)/($K$7*7),0),卓尔金历!$M$43),0),1)</f>
        <v>1</v>
      </c>
      <c r="N563">
        <f t="shared" si="33"/>
        <v>1.0322608517035368</v>
      </c>
      <c r="O563">
        <f t="shared" si="34"/>
        <v>1.0449574498455396</v>
      </c>
      <c r="P563">
        <f t="shared" si="35"/>
        <v>3.1217263775403317E-2</v>
      </c>
      <c r="Q563">
        <f t="shared" si="36"/>
        <v>5.4242405536315833E-2</v>
      </c>
      <c r="R563">
        <f t="shared" si="37"/>
        <v>0.63612328551355624</v>
      </c>
      <c r="S563">
        <f t="shared" si="29"/>
        <v>1.0738458703236671</v>
      </c>
      <c r="T563" s="564">
        <f>IF((I563-MAX(I$470:I563))/MAX(I$470:I563)&gt;T562,T562,(I563-MAX(I$470:I563))/MAX(I$470:I563))</f>
        <v>-0.13666535856332884</v>
      </c>
      <c r="U563" s="564">
        <f>IF((J563-MAX(J$470:J563))/MAX(J$470:J563)&gt;U562,U562,(J563-MAX(J$470:J563))/MAX(J$470:J563))</f>
        <v>-0.40648897885739943</v>
      </c>
      <c r="V563" s="564">
        <f>IF((K563-MAX(K$470:K563))/MAX(K$470:K563)&gt;V562,V562,(K563-MAX(K$470:K563))/MAX(K$470:K563))</f>
        <v>-0.68158456867950912</v>
      </c>
      <c r="W563" s="564">
        <f>IF((N563-MAX(N$470:N563))/MAX(N$470:N563)&gt;W562,W562,(N563-MAX(N$470:N563))/MAX(N$470:N563))</f>
        <v>-0.10311304065408976</v>
      </c>
      <c r="X563" s="564">
        <f>IF((O563-MAX(O$470:O563))/MAX(O$470:O563)&gt;X562,X562,(O563-MAX(O$470:O563))/MAX(O$470:O563))</f>
        <v>-0.12147101883973409</v>
      </c>
    </row>
    <row r="564" spans="1:24">
      <c r="A564" s="799">
        <v>40966</v>
      </c>
      <c r="B564">
        <v>4.9560000000000004</v>
      </c>
      <c r="C564">
        <v>8.3408409999999993</v>
      </c>
      <c r="D564">
        <v>0.99206499999999997</v>
      </c>
      <c r="E564">
        <f>LN(D564/参数实验室!$E$53)/参数实验室!$E$55</f>
        <v>-0.70236697469332887</v>
      </c>
      <c r="F564">
        <f t="shared" si="28"/>
        <v>1.6829784100080707</v>
      </c>
      <c r="G564">
        <f>LN(F564/参数实验室!$E$58)/参数实验室!$E$59</f>
        <v>8.2690665866087837E-2</v>
      </c>
      <c r="H564" s="856">
        <f>INDEX(神经网络!$G$10:$BO$70,MATCH(ROUND(G564*2,1)/2,神经网络!$E$10:$E$70,0),MATCH(ROUND(E564*2,1)/2,神经网络!$G$8:$BO$8,0))</f>
        <v>-0.14703295761765681</v>
      </c>
      <c r="I564">
        <f t="shared" si="30"/>
        <v>1.0280671886253705</v>
      </c>
      <c r="J564">
        <f t="shared" si="31"/>
        <v>1.9775747176888412</v>
      </c>
      <c r="K564">
        <f t="shared" si="32"/>
        <v>0.51986262740396261</v>
      </c>
      <c r="L564" s="4">
        <f>MIN(MAX(L563*(1+MAX(MIN(((B564-B563)/B563)/($K$7*卓尔金历!$N$40),0),-卓尔金历!$M$43))+MIN(MAX(((B564-B563)/B563)/($K$7*卓尔金历!$N$40),0),卓尔金历!$M$43),0),1)</f>
        <v>0.80531475487383797</v>
      </c>
      <c r="M564" s="4">
        <f>MIN(MAX(M563*(1+MAX(MIN(((B564-B563)/B563)/($K$7*30),0),-卓尔金历!$M$43))+MIN(MAX(((B564-B563)/B563)/($K$7*7),0),卓尔金历!$M$43),0),1)</f>
        <v>1</v>
      </c>
      <c r="N564">
        <f t="shared" si="33"/>
        <v>1.0315271875992522</v>
      </c>
      <c r="O564">
        <f t="shared" si="34"/>
        <v>1.0438961194370058</v>
      </c>
      <c r="P564">
        <f t="shared" si="35"/>
        <v>6.9077610727348027E-3</v>
      </c>
      <c r="Q564">
        <f t="shared" si="36"/>
        <v>5.3688694150486709E-2</v>
      </c>
      <c r="R564">
        <f t="shared" si="37"/>
        <v>1</v>
      </c>
      <c r="S564">
        <f t="shared" si="29"/>
        <v>1.0731520688057639</v>
      </c>
      <c r="T564" s="564">
        <f>IF((I564-MAX(I$470:I564))/MAX(I$470:I564)&gt;T563,T563,(I564-MAX(I$470:I564))/MAX(I$470:I564))</f>
        <v>-0.13666535856332884</v>
      </c>
      <c r="U564" s="564">
        <f>IF((J564-MAX(J$470:J564))/MAX(J$470:J564)&gt;U563,U563,(J564-MAX(J$470:J564))/MAX(J$470:J564))</f>
        <v>-0.40648897885739943</v>
      </c>
      <c r="V564" s="564">
        <f>IF((K564-MAX(K$470:K564))/MAX(K$470:K564)&gt;V563,V563,(K564-MAX(K$470:K564))/MAX(K$470:K564))</f>
        <v>-0.68158456867950912</v>
      </c>
      <c r="W564" s="564">
        <f>IF((N564-MAX(N$470:N564))/MAX(N$470:N564)&gt;W563,W563,(N564-MAX(N$470:N564))/MAX(N$470:N564))</f>
        <v>-0.10311304065408976</v>
      </c>
      <c r="X564" s="564">
        <f>IF((O564-MAX(O$470:O564))/MAX(O$470:O564)&gt;X563,X563,(O564-MAX(O$470:O564))/MAX(O$470:O564))</f>
        <v>-0.12147101883973409</v>
      </c>
    </row>
    <row r="565" spans="1:24">
      <c r="A565" s="799">
        <v>40967</v>
      </c>
      <c r="B565">
        <v>4.8680000000000003</v>
      </c>
      <c r="C565">
        <v>8.4067720000000001</v>
      </c>
      <c r="D565">
        <v>0.97277100000000005</v>
      </c>
      <c r="E565">
        <f>LN(D565/参数实验室!$E$53)/参数实验室!$E$55</f>
        <v>-0.72553724513739049</v>
      </c>
      <c r="F565">
        <f t="shared" si="28"/>
        <v>1.7269457682826621</v>
      </c>
      <c r="G565">
        <f>LN(F565/参数实验室!$E$58)/参数实验室!$E$59</f>
        <v>9.6226289254226882E-2</v>
      </c>
      <c r="H565" s="856">
        <f>INDEX(神经网络!$G$10:$BO$70,MATCH(ROUND(G565*2,1)/2,神经网络!$E$10:$E$70,0),MATCH(ROUND(E565*2,1)/2,神经网络!$G$8:$BO$8,0))</f>
        <v>-0.14674409267063451</v>
      </c>
      <c r="I565">
        <f t="shared" si="30"/>
        <v>1.0307512198652509</v>
      </c>
      <c r="J565">
        <f t="shared" si="31"/>
        <v>1.9424603966322191</v>
      </c>
      <c r="K565">
        <f t="shared" si="32"/>
        <v>0.5306420772605388</v>
      </c>
      <c r="L565" s="4">
        <f>MIN(MAX(L564*(1+MAX(MIN(((B565-B564)/B564)/($K$7*卓尔金历!$N$40),0),-卓尔金历!$M$43))+MIN(MAX(((B565-B564)/B564)/($K$7*卓尔金历!$N$40),0),卓尔金历!$M$43),0),1)</f>
        <v>0.58683403950846058</v>
      </c>
      <c r="M565" s="4">
        <f>MIN(MAX(M564*(1+MAX(MIN(((B565-B564)/B564)/($K$7*30),0),-卓尔金历!$M$43))+MIN(MAX(((B565-B564)/B564)/($K$7*7),0),卓尔金历!$M$43),0),1)</f>
        <v>0.8643507311624975</v>
      </c>
      <c r="N565">
        <f t="shared" si="33"/>
        <v>1.0336959521354132</v>
      </c>
      <c r="O565">
        <f t="shared" si="34"/>
        <v>1.0466214761323256</v>
      </c>
      <c r="P565">
        <f t="shared" si="35"/>
        <v>-1.7756255044390653E-2</v>
      </c>
      <c r="Q565">
        <f t="shared" si="36"/>
        <v>5.2740361098095823E-2</v>
      </c>
      <c r="R565">
        <f t="shared" si="37"/>
        <v>1</v>
      </c>
      <c r="S565">
        <f t="shared" si="29"/>
        <v>1.0759538056082663</v>
      </c>
      <c r="T565" s="564">
        <f>IF((I565-MAX(I$470:I565))/MAX(I$470:I565)&gt;T564,T564,(I565-MAX(I$470:I565))/MAX(I$470:I565))</f>
        <v>-0.13666535856332884</v>
      </c>
      <c r="U565" s="564">
        <f>IF((J565-MAX(J$470:J565))/MAX(J$470:J565)&gt;U564,U564,(J565-MAX(J$470:J565))/MAX(J$470:J565))</f>
        <v>-0.40648897885739943</v>
      </c>
      <c r="V565" s="564">
        <f>IF((K565-MAX(K$470:K565))/MAX(K$470:K565)&gt;V564,V564,(K565-MAX(K$470:K565))/MAX(K$470:K565))</f>
        <v>-0.68158456867950912</v>
      </c>
      <c r="W565" s="564">
        <f>IF((N565-MAX(N$470:N565))/MAX(N$470:N565)&gt;W564,W564,(N565-MAX(N$470:N565))/MAX(N$470:N565))</f>
        <v>-0.10311304065408976</v>
      </c>
      <c r="X565" s="564">
        <f>IF((O565-MAX(O$470:O565))/MAX(O$470:O565)&gt;X564,X564,(O565-MAX(O$470:O565))/MAX(O$470:O565))</f>
        <v>-0.12147101883973409</v>
      </c>
    </row>
    <row r="566" spans="1:24">
      <c r="A566" s="799">
        <v>40968</v>
      </c>
      <c r="B566">
        <v>4.8600000000000003</v>
      </c>
      <c r="C566">
        <v>8.3978090000000005</v>
      </c>
      <c r="D566">
        <v>0.98303399999999996</v>
      </c>
      <c r="E566">
        <f>LN(D566/参数实验室!$E$53)/参数实验室!$E$55</f>
        <v>-0.7131557258372474</v>
      </c>
      <c r="F566">
        <f t="shared" si="28"/>
        <v>1.7279442386831276</v>
      </c>
      <c r="G566">
        <f>LN(F566/参数实验室!$E$58)/参数实验室!$E$59</f>
        <v>9.6529657083659987E-2</v>
      </c>
      <c r="H566" s="856">
        <f>INDEX(神经网络!$G$10:$BO$70,MATCH(ROUND(G566*2,1)/2,神经网络!$E$10:$E$70,0),MATCH(ROUND(E566*2,1)/2,神经网络!$G$8:$BO$8,0))</f>
        <v>-0.14703295761765681</v>
      </c>
      <c r="I566">
        <f t="shared" si="30"/>
        <v>1.0309997928357164</v>
      </c>
      <c r="J566">
        <f t="shared" si="31"/>
        <v>1.9392681856270717</v>
      </c>
      <c r="K566">
        <f t="shared" si="32"/>
        <v>0.5316437409106145</v>
      </c>
      <c r="L566" s="4">
        <f>MIN(MAX(L565*(1+MAX(MIN(((B566-B565)/B565)/($K$7*卓尔金历!$N$40),0),-卓尔金历!$M$43))+MIN(MAX(((B566-B565)/B565)/($K$7*卓尔金历!$N$40),0),卓尔金历!$M$43),0),1)</f>
        <v>0.57209901735367164</v>
      </c>
      <c r="M566" s="4">
        <f>MIN(MAX(M565*(1+MAX(MIN(((B566-B565)/B565)/($K$7*30),0),-卓尔金历!$M$43))+MIN(MAX(((B566-B565)/B565)/($K$7*7),0),卓尔金历!$M$43),0),1)</f>
        <v>0.85349908800981378</v>
      </c>
      <c r="N566">
        <f t="shared" si="33"/>
        <v>1.0338422399519172</v>
      </c>
      <c r="O566">
        <f t="shared" si="34"/>
        <v>1.0468396384257421</v>
      </c>
      <c r="P566">
        <f t="shared" si="35"/>
        <v>-1.643385373870174E-3</v>
      </c>
      <c r="Q566">
        <f t="shared" si="36"/>
        <v>5.2700938164879724E-2</v>
      </c>
      <c r="R566">
        <f t="shared" si="37"/>
        <v>1</v>
      </c>
      <c r="S566">
        <f t="shared" si="29"/>
        <v>1.076213279503023</v>
      </c>
      <c r="T566" s="564">
        <f>IF((I566-MAX(I$470:I566))/MAX(I$470:I566)&gt;T565,T565,(I566-MAX(I$470:I566))/MAX(I$470:I566))</f>
        <v>-0.13666535856332884</v>
      </c>
      <c r="U566" s="564">
        <f>IF((J566-MAX(J$470:J566))/MAX(J$470:J566)&gt;U565,U565,(J566-MAX(J$470:J566))/MAX(J$470:J566))</f>
        <v>-0.40648897885739943</v>
      </c>
      <c r="V566" s="564">
        <f>IF((K566-MAX(K$470:K566))/MAX(K$470:K566)&gt;V565,V565,(K566-MAX(K$470:K566))/MAX(K$470:K566))</f>
        <v>-0.68158456867950912</v>
      </c>
      <c r="W566" s="564">
        <f>IF((N566-MAX(N$470:N566))/MAX(N$470:N566)&gt;W565,W565,(N566-MAX(N$470:N566))/MAX(N$470:N566))</f>
        <v>-0.10311304065408976</v>
      </c>
      <c r="X566" s="564">
        <f>IF((O566-MAX(O$470:O566))/MAX(O$470:O566)&gt;X565,X565,(O566-MAX(O$470:O566))/MAX(O$470:O566))</f>
        <v>-0.12147101883973409</v>
      </c>
    </row>
    <row r="567" spans="1:24">
      <c r="A567" s="799">
        <v>40969</v>
      </c>
      <c r="B567">
        <v>4.9212999999999996</v>
      </c>
      <c r="C567">
        <v>8.4177289999999996</v>
      </c>
      <c r="D567">
        <v>0.99267799999999995</v>
      </c>
      <c r="E567">
        <f>LN(D567/参数实验室!$E$53)/参数实验室!$E$55</f>
        <v>-0.70163822667753994</v>
      </c>
      <c r="F567">
        <f t="shared" si="28"/>
        <v>1.710468575376425</v>
      </c>
      <c r="G567">
        <f>LN(F567/参数实验室!$E$58)/参数实验室!$E$59</f>
        <v>9.1194491112272319E-2</v>
      </c>
      <c r="H567" s="856">
        <f>INDEX(神经网络!$G$10:$BO$70,MATCH(ROUND(G567*2,1)/2,神经网络!$E$10:$E$70,0),MATCH(ROUND(E567*2,1)/2,神经网络!$G$8:$BO$8,0))</f>
        <v>-0.14703295761765681</v>
      </c>
      <c r="I567">
        <f t="shared" si="30"/>
        <v>1.0290877506208755</v>
      </c>
      <c r="J567">
        <f t="shared" si="31"/>
        <v>1.9637285024540139</v>
      </c>
      <c r="K567">
        <f t="shared" si="32"/>
        <v>0.52404787593338631</v>
      </c>
      <c r="L567" s="4">
        <f>MIN(MAX(L566*(1+MAX(MIN(((B567-B566)/B566)/($K$7*卓尔金历!$N$40),0),-卓尔金历!$M$43))+MIN(MAX(((B567-B566)/B566)/($K$7*卓尔金历!$N$40),0),卓尔金历!$M$43),0),1)</f>
        <v>0.76481613150811167</v>
      </c>
      <c r="M567" s="4">
        <f>MIN(MAX(M566*(1+MAX(MIN(((B567-B566)/B566)/($K$7*30),0),-卓尔金历!$M$43))+MIN(MAX(((B567-B566)/B566)/($K$7*7),0),卓尔金历!$M$43),0),1)</f>
        <v>1</v>
      </c>
      <c r="N567">
        <f t="shared" si="33"/>
        <v>1.0327453466799674</v>
      </c>
      <c r="O567">
        <f t="shared" si="34"/>
        <v>1.0451826399125745</v>
      </c>
      <c r="P567">
        <f t="shared" si="35"/>
        <v>1.2613168724279679E-2</v>
      </c>
      <c r="Q567">
        <f t="shared" si="36"/>
        <v>5.1849786273729825E-2</v>
      </c>
      <c r="R567">
        <f t="shared" si="37"/>
        <v>1</v>
      </c>
      <c r="S567">
        <f t="shared" si="29"/>
        <v>1.0742173865485518</v>
      </c>
      <c r="T567" s="564">
        <f>IF((I567-MAX(I$470:I567))/MAX(I$470:I567)&gt;T566,T566,(I567-MAX(I$470:I567))/MAX(I$470:I567))</f>
        <v>-0.13666535856332884</v>
      </c>
      <c r="U567" s="564">
        <f>IF((J567-MAX(J$470:J567))/MAX(J$470:J567)&gt;U566,U566,(J567-MAX(J$470:J567))/MAX(J$470:J567))</f>
        <v>-0.40648897885739943</v>
      </c>
      <c r="V567" s="564">
        <f>IF((K567-MAX(K$470:K567))/MAX(K$470:K567)&gt;V566,V566,(K567-MAX(K$470:K567))/MAX(K$470:K567))</f>
        <v>-0.68158456867950912</v>
      </c>
      <c r="W567" s="564">
        <f>IF((N567-MAX(N$470:N567))/MAX(N$470:N567)&gt;W566,W566,(N567-MAX(N$470:N567))/MAX(N$470:N567))</f>
        <v>-0.10311304065408976</v>
      </c>
      <c r="X567" s="564">
        <f>IF((O567-MAX(O$470:O567))/MAX(O$470:O567)&gt;X566,X566,(O567-MAX(O$470:O567))/MAX(O$470:O567))</f>
        <v>-0.12147101883973409</v>
      </c>
    </row>
    <row r="568" spans="1:24">
      <c r="A568" s="799">
        <v>40970</v>
      </c>
      <c r="B568">
        <v>4.7050000000000001</v>
      </c>
      <c r="C568">
        <v>8.4798489999999997</v>
      </c>
      <c r="D568">
        <v>0.95273099999999999</v>
      </c>
      <c r="E568">
        <f>LN(D568/参数实验室!$E$53)/参数实验室!$E$55</f>
        <v>-0.75009510974144511</v>
      </c>
      <c r="F568">
        <f t="shared" si="28"/>
        <v>1.8023058448459086</v>
      </c>
      <c r="G568">
        <f>LN(F568/参数实验室!$E$58)/参数实验室!$E$59</f>
        <v>0.11864410371371055</v>
      </c>
      <c r="H568" s="856">
        <f>INDEX(神经网络!$G$10:$BO$70,MATCH(ROUND(G568*2,1)/2,神经网络!$E$10:$E$70,0),MATCH(ROUND(E568*2,1)/2,神经网络!$G$8:$BO$8,0))</f>
        <v>-0.14674409267063451</v>
      </c>
      <c r="I568">
        <f t="shared" si="30"/>
        <v>1.0357380895798933</v>
      </c>
      <c r="J568">
        <f t="shared" si="31"/>
        <v>1.8774190974023399</v>
      </c>
      <c r="K568">
        <f t="shared" si="32"/>
        <v>0.55168187593967444</v>
      </c>
      <c r="L568" s="4">
        <f>MIN(MAX(L567*(1+MAX(MIN(((B568-B567)/B567)/($K$7*卓尔金历!$N$40),0),-卓尔金历!$M$43))+MIN(MAX(((B568-B567)/B567)/($K$7*卓尔金历!$N$40),0),卓尔金历!$M$43),0),1)</f>
        <v>0.2512104761261203</v>
      </c>
      <c r="M568" s="4">
        <f>MIN(MAX(M567*(1+MAX(MIN(((B568-B567)/B567)/($K$7*30),0),-卓尔金历!$M$43))+MIN(MAX(((B568-B567)/B567)/($K$7*7),0),卓尔金历!$M$43),0),1)</f>
        <v>0.66422932635506005</v>
      </c>
      <c r="N568">
        <f t="shared" si="33"/>
        <v>1.0378497109365237</v>
      </c>
      <c r="O568">
        <f t="shared" si="34"/>
        <v>1.0519369898942026</v>
      </c>
      <c r="P568">
        <f t="shared" si="35"/>
        <v>-4.3951801353300859E-2</v>
      </c>
      <c r="Q568">
        <f t="shared" si="36"/>
        <v>5.2213581763018407E-2</v>
      </c>
      <c r="R568">
        <f t="shared" si="37"/>
        <v>0.23302990046100044</v>
      </c>
      <c r="S568">
        <f t="shared" si="29"/>
        <v>1.081159369612589</v>
      </c>
      <c r="T568" s="564">
        <f>IF((I568-MAX(I$470:I568))/MAX(I$470:I568)&gt;T567,T567,(I568-MAX(I$470:I568))/MAX(I$470:I568))</f>
        <v>-0.13666535856332884</v>
      </c>
      <c r="U568" s="564">
        <f>IF((J568-MAX(J$470:J568))/MAX(J$470:J568)&gt;U567,U567,(J568-MAX(J$470:J568))/MAX(J$470:J568))</f>
        <v>-0.40648897885739943</v>
      </c>
      <c r="V568" s="564">
        <f>IF((K568-MAX(K$470:K568))/MAX(K$470:K568)&gt;V567,V567,(K568-MAX(K$470:K568))/MAX(K$470:K568))</f>
        <v>-0.68158456867950912</v>
      </c>
      <c r="W568" s="564">
        <f>IF((N568-MAX(N$470:N568))/MAX(N$470:N568)&gt;W567,W567,(N568-MAX(N$470:N568))/MAX(N$470:N568))</f>
        <v>-0.10311304065408976</v>
      </c>
      <c r="X568" s="564">
        <f>IF((O568-MAX(O$470:O568))/MAX(O$470:O568)&gt;X567,X567,(O568-MAX(O$470:O568))/MAX(O$470:O568))</f>
        <v>-0.12147101883973409</v>
      </c>
    </row>
    <row r="569" spans="1:24">
      <c r="A569" s="799">
        <v>40971</v>
      </c>
      <c r="B569">
        <v>4.6143999999999998</v>
      </c>
      <c r="C569">
        <v>8.7652070000000002</v>
      </c>
      <c r="D569">
        <v>0.93570399999999998</v>
      </c>
      <c r="E569">
        <f>LN(D569/参数实验室!$E$53)/参数实验室!$E$55</f>
        <v>-0.7713700838487948</v>
      </c>
      <c r="F569">
        <f t="shared" si="28"/>
        <v>1.8995334171289877</v>
      </c>
      <c r="G569">
        <f>LN(F569/参数实验室!$E$58)/参数实验室!$E$59</f>
        <v>0.14622067837195138</v>
      </c>
      <c r="H569" s="856">
        <f>INDEX(神经网络!$G$10:$BO$70,MATCH(ROUND(G569*2,1)/2,神经网络!$E$10:$E$70,0),MATCH(ROUND(E569*2,1)/2,神经网络!$G$8:$BO$8,0))</f>
        <v>-8.198094997518042E-2</v>
      </c>
      <c r="I569">
        <f t="shared" si="30"/>
        <v>1.0386647958977901</v>
      </c>
      <c r="J569">
        <f t="shared" si="31"/>
        <v>1.8412673077690451</v>
      </c>
      <c r="K569">
        <f t="shared" si="32"/>
        <v>0.5641032084343468</v>
      </c>
      <c r="L569" s="4">
        <f>MIN(MAX(L568*(1+MAX(MIN(((B569-B568)/B568)/($K$7*卓尔金历!$N$40),0),-卓尔金历!$M$43))+MIN(MAX(((B569-B568)/B568)/($K$7*卓尔金历!$N$40),0),卓尔金历!$M$43),0),1)</f>
        <v>0.17730061351333373</v>
      </c>
      <c r="M569" s="4">
        <f>MIN(MAX(M568*(1+MAX(MIN(((B569-B568)/B568)/($K$7*30),0),-卓尔金历!$M$43))+MIN(MAX(((B569-B568)/B568)/($K$7*7),0),卓尔金历!$M$43),0),1)</f>
        <v>0.56651624724438032</v>
      </c>
      <c r="N569">
        <f t="shared" si="33"/>
        <v>1.0385864291597766</v>
      </c>
      <c r="O569">
        <f t="shared" si="34"/>
        <v>1.0539113982038628</v>
      </c>
      <c r="P569">
        <f t="shared" si="35"/>
        <v>-1.9256110520722684E-2</v>
      </c>
      <c r="Q569">
        <f t="shared" si="36"/>
        <v>5.1369413943233549E-2</v>
      </c>
      <c r="R569">
        <f t="shared" si="37"/>
        <v>1</v>
      </c>
      <c r="S569">
        <f t="shared" si="29"/>
        <v>1.0818712885790496</v>
      </c>
      <c r="T569" s="564">
        <f>IF((I569-MAX(I$470:I569))/MAX(I$470:I569)&gt;T568,T568,(I569-MAX(I$470:I569))/MAX(I$470:I569))</f>
        <v>-0.13666535856332884</v>
      </c>
      <c r="U569" s="564">
        <f>IF((J569-MAX(J$470:J569))/MAX(J$470:J569)&gt;U568,U568,(J569-MAX(J$470:J569))/MAX(J$470:J569))</f>
        <v>-0.40648897885739943</v>
      </c>
      <c r="V569" s="564">
        <f>IF((K569-MAX(K$470:K569))/MAX(K$470:K569)&gt;V568,V568,(K569-MAX(K$470:K569))/MAX(K$470:K569))</f>
        <v>-0.68158456867950912</v>
      </c>
      <c r="W569" s="564">
        <f>IF((N569-MAX(N$470:N569))/MAX(N$470:N569)&gt;W568,W568,(N569-MAX(N$470:N569))/MAX(N$470:N569))</f>
        <v>-0.10311304065408976</v>
      </c>
      <c r="X569" s="564">
        <f>IF((O569-MAX(O$470:O569))/MAX(O$470:O569)&gt;X568,X568,(O569-MAX(O$470:O569))/MAX(O$470:O569))</f>
        <v>-0.12147101883973409</v>
      </c>
    </row>
    <row r="570" spans="1:24">
      <c r="A570" s="799">
        <v>40972</v>
      </c>
      <c r="B570">
        <v>4.82</v>
      </c>
      <c r="C570">
        <v>8.9148340000000008</v>
      </c>
      <c r="D570">
        <v>0.97706999999999999</v>
      </c>
      <c r="E570">
        <f>LN(D570/参数实验室!$E$53)/参数实验室!$E$55</f>
        <v>-0.72033500822268137</v>
      </c>
      <c r="F570">
        <f t="shared" si="28"/>
        <v>1.8495506224066391</v>
      </c>
      <c r="G570">
        <f>LN(F570/参数实验室!$E$58)/参数实验室!$E$59</f>
        <v>0.13222513916231324</v>
      </c>
      <c r="H570" s="856">
        <f>INDEX(神经网络!$G$10:$BO$70,MATCH(ROUND(G570*2,1)/2,神经网络!$E$10:$E$70,0),MATCH(ROUND(E570*2,1)/2,神经网络!$G$8:$BO$8,0))</f>
        <v>-7.3760566950301559E-2</v>
      </c>
      <c r="I570">
        <f t="shared" si="30"/>
        <v>1.0348708054756188</v>
      </c>
      <c r="J570">
        <f t="shared" si="31"/>
        <v>1.9233071306013345</v>
      </c>
      <c r="K570">
        <f t="shared" si="32"/>
        <v>0.53806840780133736</v>
      </c>
      <c r="L570" s="4">
        <f>MIN(MAX(L569*(1+MAX(MIN(((B570-B569)/B569)/($K$7*卓尔金历!$N$40),0),-卓尔金历!$M$43))+MIN(MAX(((B570-B569)/B569)/($K$7*卓尔金历!$N$40),0),卓尔金历!$M$43),0),1)</f>
        <v>0.85807616405935749</v>
      </c>
      <c r="M570" s="4">
        <f>MIN(MAX(M569*(1+MAX(MIN(((B570-B569)/B569)/($K$7*30),0),-卓尔金历!$M$43))+MIN(MAX(((B570-B569)/B569)/($K$7*7),0),卓尔金历!$M$43),0),1)</f>
        <v>1</v>
      </c>
      <c r="N570">
        <f t="shared" si="33"/>
        <v>1.0379138030833914</v>
      </c>
      <c r="O570">
        <f t="shared" si="34"/>
        <v>1.0517304904868083</v>
      </c>
      <c r="P570">
        <f t="shared" si="35"/>
        <v>4.4556171983356548E-2</v>
      </c>
      <c r="Q570">
        <f t="shared" si="36"/>
        <v>5.2523820968041805E-2</v>
      </c>
      <c r="R570">
        <f t="shared" si="37"/>
        <v>0.22433662483356795</v>
      </c>
      <c r="S570">
        <f t="shared" si="29"/>
        <v>1.0779194753250507</v>
      </c>
      <c r="T570" s="564">
        <f>IF((I570-MAX(I$470:I570))/MAX(I$470:I570)&gt;T569,T569,(I570-MAX(I$470:I570))/MAX(I$470:I570))</f>
        <v>-0.13666535856332884</v>
      </c>
      <c r="U570" s="564">
        <f>IF((J570-MAX(J$470:J570))/MAX(J$470:J570)&gt;U569,U569,(J570-MAX(J$470:J570))/MAX(J$470:J570))</f>
        <v>-0.40648897885739943</v>
      </c>
      <c r="V570" s="564">
        <f>IF((K570-MAX(K$470:K570))/MAX(K$470:K570)&gt;V569,V569,(K570-MAX(K$470:K570))/MAX(K$470:K570))</f>
        <v>-0.68158456867950912</v>
      </c>
      <c r="W570" s="564">
        <f>IF((N570-MAX(N$470:N570))/MAX(N$470:N570)&gt;W569,W569,(N570-MAX(N$470:N570))/MAX(N$470:N570))</f>
        <v>-0.10311304065408976</v>
      </c>
      <c r="X570" s="564">
        <f>IF((O570-MAX(O$470:O570))/MAX(O$470:O570)&gt;X569,X569,(O570-MAX(O$470:O570))/MAX(O$470:O570))</f>
        <v>-0.12147101883973409</v>
      </c>
    </row>
    <row r="571" spans="1:24">
      <c r="A571" s="799">
        <v>40973</v>
      </c>
      <c r="B571">
        <v>4.9843000000000002</v>
      </c>
      <c r="C571">
        <v>9.0137850000000004</v>
      </c>
      <c r="D571">
        <v>1.0065599999999999</v>
      </c>
      <c r="E571">
        <f>LN(D571/参数实验室!$E$53)/参数实验室!$E$55</f>
        <v>-0.68525438668730032</v>
      </c>
      <c r="F571">
        <f t="shared" si="28"/>
        <v>1.808435487430532</v>
      </c>
      <c r="G571">
        <f>LN(F571/参数实验室!$E$58)/参数实验室!$E$59</f>
        <v>0.12042610385586458</v>
      </c>
      <c r="H571" s="856">
        <f>INDEX(神经网络!$G$10:$BO$70,MATCH(ROUND(G571*2,1)/2,神经网络!$E$10:$E$70,0),MATCH(ROUND(E571*2,1)/2,神经网络!$G$8:$BO$8,0))</f>
        <v>-0.14703295761765681</v>
      </c>
      <c r="I571">
        <f t="shared" si="30"/>
        <v>1.0322688437329466</v>
      </c>
      <c r="J571">
        <f t="shared" si="31"/>
        <v>1.9888671641195499</v>
      </c>
      <c r="K571">
        <f t="shared" si="32"/>
        <v>0.5190235237203088</v>
      </c>
      <c r="L571" s="4">
        <f>MIN(MAX(L570*(1+MAX(MIN(((B571-B570)/B570)/($K$7*卓尔金历!$N$40),0),-卓尔金历!$M$43))+MIN(MAX(((B571-B570)/B570)/($K$7*卓尔金历!$N$40),0),卓尔金历!$M$43),0),1)</f>
        <v>1</v>
      </c>
      <c r="M571" s="4">
        <f>MIN(MAX(M570*(1+MAX(MIN(((B571-B570)/B570)/($K$7*30),0),-卓尔金历!$M$43))+MIN(MAX(((B571-B570)/B570)/($K$7*7),0),卓尔金历!$M$43),0),1)</f>
        <v>1</v>
      </c>
      <c r="N571">
        <f t="shared" si="33"/>
        <v>1.0356745566189858</v>
      </c>
      <c r="O571">
        <f t="shared" si="34"/>
        <v>1.049086138664949</v>
      </c>
      <c r="P571">
        <f t="shared" si="35"/>
        <v>3.4087136929460554E-2</v>
      </c>
      <c r="Q571">
        <f t="shared" si="36"/>
        <v>5.2307068851449909E-2</v>
      </c>
      <c r="R571">
        <f t="shared" si="37"/>
        <v>0.50322654581280024</v>
      </c>
      <c r="S571">
        <f t="shared" si="29"/>
        <v>1.0773114785557196</v>
      </c>
      <c r="T571" s="564">
        <f>IF((I571-MAX(I$470:I571))/MAX(I$470:I571)&gt;T570,T570,(I571-MAX(I$470:I571))/MAX(I$470:I571))</f>
        <v>-0.13666535856332884</v>
      </c>
      <c r="U571" s="564">
        <f>IF((J571-MAX(J$470:J571))/MAX(J$470:J571)&gt;U570,U570,(J571-MAX(J$470:J571))/MAX(J$470:J571))</f>
        <v>-0.40648897885739943</v>
      </c>
      <c r="V571" s="564">
        <f>IF((K571-MAX(K$470:K571))/MAX(K$470:K571)&gt;V570,V570,(K571-MAX(K$470:K571))/MAX(K$470:K571))</f>
        <v>-0.68158456867950912</v>
      </c>
      <c r="W571" s="564">
        <f>IF((N571-MAX(N$470:N571))/MAX(N$470:N571)&gt;W570,W570,(N571-MAX(N$470:N571))/MAX(N$470:N571))</f>
        <v>-0.10311304065408976</v>
      </c>
      <c r="X571" s="564">
        <f>IF((O571-MAX(O$470:O571))/MAX(O$470:O571)&gt;X570,X570,(O571-MAX(O$470:O571))/MAX(O$470:O571))</f>
        <v>-0.12147101883973409</v>
      </c>
    </row>
    <row r="572" spans="1:24">
      <c r="A572" s="799">
        <v>40974</v>
      </c>
      <c r="B572">
        <v>4.9901</v>
      </c>
      <c r="C572">
        <v>9.069286</v>
      </c>
      <c r="D572">
        <v>1.0073030000000001</v>
      </c>
      <c r="E572">
        <f>LN(D572/参数实验室!$E$53)/参数实验室!$E$55</f>
        <v>-0.68438386401515883</v>
      </c>
      <c r="F572">
        <f t="shared" si="28"/>
        <v>1.8174557624095709</v>
      </c>
      <c r="G572">
        <f>LN(F572/参数实验室!$E$58)/参数实验室!$E$59</f>
        <v>0.12303751011874363</v>
      </c>
      <c r="H572" s="856">
        <f>INDEX(神经网络!$G$10:$BO$70,MATCH(ROUND(G572*2,1)/2,神经网络!$E$10:$E$70,0),MATCH(ROUND(E572*2,1)/2,神经网络!$G$8:$BO$8,0))</f>
        <v>-0.14703295761765681</v>
      </c>
      <c r="I572">
        <f t="shared" si="30"/>
        <v>1.0320922272093276</v>
      </c>
      <c r="J572">
        <f t="shared" si="31"/>
        <v>1.9911815170982818</v>
      </c>
      <c r="K572">
        <f t="shared" si="32"/>
        <v>0.51833156261583813</v>
      </c>
      <c r="L572" s="4">
        <f>MIN(MAX(L571*(1+MAX(MIN(((B572-B571)/B571)/($K$7*卓尔金历!$N$40),0),-卓尔金历!$M$43))+MIN(MAX(((B572-B571)/B571)/($K$7*卓尔金历!$N$40),0),卓尔金历!$M$43),0),1)</f>
        <v>1</v>
      </c>
      <c r="M572" s="4">
        <f>MIN(MAX(M571*(1+MAX(MIN(((B572-B571)/B571)/($K$7*30),0),-卓尔金历!$M$43))+MIN(MAX(((B572-B571)/B571)/($K$7*7),0),卓尔金历!$M$43),0),1)</f>
        <v>1</v>
      </c>
      <c r="N572">
        <f t="shared" si="33"/>
        <v>1.0354973573933179</v>
      </c>
      <c r="O572">
        <f t="shared" si="34"/>
        <v>1.0489066447783393</v>
      </c>
      <c r="P572">
        <f t="shared" si="35"/>
        <v>1.1636538731616887E-3</v>
      </c>
      <c r="Q572">
        <f t="shared" si="36"/>
        <v>4.0082817607433444E-2</v>
      </c>
      <c r="R572">
        <f t="shared" si="37"/>
        <v>1</v>
      </c>
      <c r="S572">
        <f t="shared" si="29"/>
        <v>1.0772187222715359</v>
      </c>
      <c r="T572" s="564">
        <f>IF((I572-MAX(I$470:I572))/MAX(I$470:I572)&gt;T571,T571,(I572-MAX(I$470:I572))/MAX(I$470:I572))</f>
        <v>-0.13666535856332884</v>
      </c>
      <c r="U572" s="564">
        <f>IF((J572-MAX(J$470:J572))/MAX(J$470:J572)&gt;U571,U571,(J572-MAX(J$470:J572))/MAX(J$470:J572))</f>
        <v>-0.40648897885739943</v>
      </c>
      <c r="V572" s="564">
        <f>IF((K572-MAX(K$470:K572))/MAX(K$470:K572)&gt;V571,V571,(K572-MAX(K$470:K572))/MAX(K$470:K572))</f>
        <v>-0.68158456867950912</v>
      </c>
      <c r="W572" s="564">
        <f>IF((N572-MAX(N$470:N572))/MAX(N$470:N572)&gt;W571,W571,(N572-MAX(N$470:N572))/MAX(N$470:N572))</f>
        <v>-0.10311304065408976</v>
      </c>
      <c r="X572" s="564">
        <f>IF((O572-MAX(O$470:O572))/MAX(O$470:O572)&gt;X571,X571,(O572-MAX(O$470:O572))/MAX(O$470:O572))</f>
        <v>-0.12147101883973409</v>
      </c>
    </row>
    <row r="573" spans="1:24">
      <c r="A573" s="799">
        <v>40975</v>
      </c>
      <c r="B573">
        <v>4.9375</v>
      </c>
      <c r="C573">
        <v>9.0479830000000003</v>
      </c>
      <c r="D573">
        <v>0.99924100000000005</v>
      </c>
      <c r="E573">
        <f>LN(D573/参数实验室!$E$53)/参数实验室!$E$55</f>
        <v>-0.69386406662569367</v>
      </c>
      <c r="F573">
        <f t="shared" si="28"/>
        <v>1.8325028860759494</v>
      </c>
      <c r="G573">
        <f>LN(F573/参数实验室!$E$58)/参数实验室!$E$59</f>
        <v>0.12736500486304056</v>
      </c>
      <c r="H573" s="856">
        <f>INDEX(神经网络!$G$10:$BO$70,MATCH(ROUND(G573*2,1)/2,神经网络!$E$10:$E$70,0),MATCH(ROUND(E573*2,1)/2,神经网络!$G$8:$BO$8,0))</f>
        <v>-7.3760566950301559E-2</v>
      </c>
      <c r="I573">
        <f t="shared" si="30"/>
        <v>1.0336918209497459</v>
      </c>
      <c r="J573">
        <f t="shared" si="31"/>
        <v>1.9701927297394375</v>
      </c>
      <c r="K573">
        <f t="shared" si="32"/>
        <v>0.52466533113562652</v>
      </c>
      <c r="L573" s="4">
        <f>MIN(MAX(L572*(1+MAX(MIN(((B573-B572)/B572)/($K$7*卓尔金历!$N$40),0),-卓尔金历!$M$43))+MIN(MAX(((B573-B572)/B572)/($K$7*卓尔金历!$N$40),0),卓尔金历!$M$43),0),1)</f>
        <v>0.83894560759182457</v>
      </c>
      <c r="M573" s="4">
        <f>MIN(MAX(M572*(1+MAX(MIN(((B573-B572)/B572)/($K$7*30),0),-卓尔金历!$M$43))+MIN(MAX(((B573-B572)/B572)/($K$7*7),0),卓尔金历!$M$43),0),1)</f>
        <v>0.91947280379591234</v>
      </c>
      <c r="N573">
        <f t="shared" si="33"/>
        <v>1.0371022285932345</v>
      </c>
      <c r="O573">
        <f t="shared" si="34"/>
        <v>1.0505322984350935</v>
      </c>
      <c r="P573">
        <f t="shared" si="35"/>
        <v>-1.0540870924430368E-2</v>
      </c>
      <c r="Q573">
        <f t="shared" si="36"/>
        <v>3.9417778297713431E-2</v>
      </c>
      <c r="R573">
        <f t="shared" si="37"/>
        <v>1</v>
      </c>
      <c r="S573">
        <f t="shared" si="29"/>
        <v>1.0788882555552679</v>
      </c>
      <c r="T573" s="564">
        <f>IF((I573-MAX(I$470:I573))/MAX(I$470:I573)&gt;T572,T572,(I573-MAX(I$470:I573))/MAX(I$470:I573))</f>
        <v>-0.13666535856332884</v>
      </c>
      <c r="U573" s="564">
        <f>IF((J573-MAX(J$470:J573))/MAX(J$470:J573)&gt;U572,U572,(J573-MAX(J$470:J573))/MAX(J$470:J573))</f>
        <v>-0.40648897885739943</v>
      </c>
      <c r="V573" s="564">
        <f>IF((K573-MAX(K$470:K573))/MAX(K$470:K573)&gt;V572,V572,(K573-MAX(K$470:K573))/MAX(K$470:K573))</f>
        <v>-0.68158456867950912</v>
      </c>
      <c r="W573" s="564">
        <f>IF((N573-MAX(N$470:N573))/MAX(N$470:N573)&gt;W572,W572,(N573-MAX(N$470:N573))/MAX(N$470:N573))</f>
        <v>-0.10311304065408976</v>
      </c>
      <c r="X573" s="564">
        <f>IF((O573-MAX(O$470:O573))/MAX(O$470:O573)&gt;X572,X572,(O573-MAX(O$470:O573))/MAX(O$470:O573))</f>
        <v>-0.12147101883973409</v>
      </c>
    </row>
    <row r="574" spans="1:24">
      <c r="A574" s="799">
        <v>40976</v>
      </c>
      <c r="B574">
        <v>4.9302000000000001</v>
      </c>
      <c r="C574">
        <v>8.9602520000000005</v>
      </c>
      <c r="D574">
        <v>0.99664799999999998</v>
      </c>
      <c r="E574">
        <f>LN(D574/参数实验室!$E$53)/参数实验室!$E$55</f>
        <v>-0.69692946944390266</v>
      </c>
      <c r="F574">
        <f t="shared" si="28"/>
        <v>1.8174216056143768</v>
      </c>
      <c r="G574">
        <f>LN(F574/参数实验室!$E$58)/参数实验室!$E$59</f>
        <v>0.1230276460544346</v>
      </c>
      <c r="H574" s="856">
        <f>INDEX(神经网络!$G$10:$BO$70,MATCH(ROUND(G574*2,1)/2,神经网络!$E$10:$E$70,0),MATCH(ROUND(E574*2,1)/2,神经网络!$G$8:$BO$8,0))</f>
        <v>-0.14703295761765681</v>
      </c>
      <c r="I574">
        <f t="shared" si="30"/>
        <v>1.0338045487617531</v>
      </c>
      <c r="J574">
        <f t="shared" si="31"/>
        <v>1.9672798371972404</v>
      </c>
      <c r="K574">
        <f t="shared" si="32"/>
        <v>0.52549948879392872</v>
      </c>
      <c r="L574" s="4">
        <f>MIN(MAX(L573*(1+MAX(MIN(((B574-B573)/B573)/($K$7*卓尔金历!$N$40),0),-卓尔金历!$M$43))+MIN(MAX(((B574-B573)/B573)/($K$7*卓尔金历!$N$40),0),卓尔金历!$M$43),0),1)</f>
        <v>0.81999401836664099</v>
      </c>
      <c r="M574" s="4">
        <f>MIN(MAX(M573*(1+MAX(MIN(((B574-B573)/B573)/($K$7*30),0),-卓尔金历!$M$43))+MIN(MAX(((B574-B573)/B573)/($K$7*7),0),卓尔金历!$M$43),0),1)</f>
        <v>0.90908746371928484</v>
      </c>
      <c r="N574">
        <f t="shared" si="33"/>
        <v>1.0371971131142921</v>
      </c>
      <c r="O574">
        <f t="shared" si="34"/>
        <v>1.0506376372177466</v>
      </c>
      <c r="P574">
        <f t="shared" si="35"/>
        <v>-1.4784810126582E-3</v>
      </c>
      <c r="Q574">
        <f t="shared" si="36"/>
        <v>3.9242444622494384E-2</v>
      </c>
      <c r="R574">
        <f t="shared" si="37"/>
        <v>1</v>
      </c>
      <c r="S574">
        <f t="shared" si="29"/>
        <v>1.0790059122010729</v>
      </c>
      <c r="T574" s="564">
        <f>IF((I574-MAX(I$470:I574))/MAX(I$470:I574)&gt;T573,T573,(I574-MAX(I$470:I574))/MAX(I$470:I574))</f>
        <v>-0.13666535856332884</v>
      </c>
      <c r="U574" s="564">
        <f>IF((J574-MAX(J$470:J574))/MAX(J$470:J574)&gt;U573,U573,(J574-MAX(J$470:J574))/MAX(J$470:J574))</f>
        <v>-0.40648897885739943</v>
      </c>
      <c r="V574" s="564">
        <f>IF((K574-MAX(K$470:K574))/MAX(K$470:K574)&gt;V573,V573,(K574-MAX(K$470:K574))/MAX(K$470:K574))</f>
        <v>-0.68158456867950912</v>
      </c>
      <c r="W574" s="564">
        <f>IF((N574-MAX(N$470:N574))/MAX(N$470:N574)&gt;W573,W573,(N574-MAX(N$470:N574))/MAX(N$470:N574))</f>
        <v>-0.10311304065408976</v>
      </c>
      <c r="X574" s="564">
        <f>IF((O574-MAX(O$470:O574))/MAX(O$470:O574)&gt;X573,X573,(O574-MAX(O$470:O574))/MAX(O$470:O574))</f>
        <v>-0.12147101883973409</v>
      </c>
    </row>
    <row r="575" spans="1:24">
      <c r="A575" s="799">
        <v>40977</v>
      </c>
      <c r="B575">
        <v>4.8611000000000004</v>
      </c>
      <c r="C575">
        <v>8.8521219999999996</v>
      </c>
      <c r="D575">
        <v>0.98421800000000004</v>
      </c>
      <c r="E575">
        <f>LN(D575/参数实验室!$E$53)/参数实验室!$E$55</f>
        <v>-0.71173564543115775</v>
      </c>
      <c r="F575">
        <f t="shared" si="28"/>
        <v>1.8210121165991233</v>
      </c>
      <c r="G575">
        <f>LN(F575/参数实验室!$E$58)/参数实验室!$E$59</f>
        <v>0.12406352850423408</v>
      </c>
      <c r="H575" s="856">
        <f>INDEX(神经网络!$G$10:$BO$70,MATCH(ROUND(G575*2,1)/2,神经网络!$E$10:$E$70,0),MATCH(ROUND(E575*2,1)/2,神经网络!$G$8:$BO$8,0))</f>
        <v>-0.14703295761765681</v>
      </c>
      <c r="I575">
        <f t="shared" si="30"/>
        <v>1.0359349756859852</v>
      </c>
      <c r="J575">
        <f t="shared" si="31"/>
        <v>1.9397071146402796</v>
      </c>
      <c r="K575">
        <f t="shared" si="32"/>
        <v>0.53406773005423569</v>
      </c>
      <c r="L575" s="4">
        <f>MIN(MAX(L574*(1+MAX(MIN(((B575-B574)/B574)/($K$7*卓尔金历!$N$40),0),-卓尔金历!$M$43))+MIN(MAX(((B575-B574)/B574)/($K$7*卓尔金历!$N$40),0),卓尔金历!$M$43),0),1)</f>
        <v>0.64439573224290159</v>
      </c>
      <c r="M575" s="4">
        <f>MIN(MAX(M574*(1+MAX(MIN(((B575-B574)/B574)/($K$7*30),0),-卓尔金历!$M$43))+MIN(MAX(((B575-B574)/B574)/($K$7*7),0),卓尔金历!$M$43),0),1)</f>
        <v>0.8117488264913808</v>
      </c>
      <c r="N575">
        <f t="shared" si="33"/>
        <v>1.038949783251254</v>
      </c>
      <c r="O575">
        <f t="shared" si="34"/>
        <v>1.0526059169785609</v>
      </c>
      <c r="P575">
        <f t="shared" si="35"/>
        <v>-1.4015658593971789E-2</v>
      </c>
      <c r="Q575">
        <f t="shared" si="36"/>
        <v>3.9106488629244276E-2</v>
      </c>
      <c r="R575">
        <f t="shared" si="37"/>
        <v>1</v>
      </c>
      <c r="S575">
        <f t="shared" si="29"/>
        <v>1.0812294884558999</v>
      </c>
      <c r="T575" s="564">
        <f>IF((I575-MAX(I$470:I575))/MAX(I$470:I575)&gt;T574,T574,(I575-MAX(I$470:I575))/MAX(I$470:I575))</f>
        <v>-0.13666535856332884</v>
      </c>
      <c r="U575" s="564">
        <f>IF((J575-MAX(J$470:J575))/MAX(J$470:J575)&gt;U574,U574,(J575-MAX(J$470:J575))/MAX(J$470:J575))</f>
        <v>-0.40648897885739943</v>
      </c>
      <c r="V575" s="564">
        <f>IF((K575-MAX(K$470:K575))/MAX(K$470:K575)&gt;V574,V574,(K575-MAX(K$470:K575))/MAX(K$470:K575))</f>
        <v>-0.68158456867950912</v>
      </c>
      <c r="W575" s="564">
        <f>IF((N575-MAX(N$470:N575))/MAX(N$470:N575)&gt;W574,W574,(N575-MAX(N$470:N575))/MAX(N$470:N575))</f>
        <v>-0.10311304065408976</v>
      </c>
      <c r="X575" s="564">
        <f>IF((O575-MAX(O$470:O575))/MAX(O$470:O575)&gt;X574,X574,(O575-MAX(O$470:O575))/MAX(O$470:O575))</f>
        <v>-0.12147101883973409</v>
      </c>
    </row>
    <row r="576" spans="1:24">
      <c r="A576" s="799">
        <v>40978</v>
      </c>
      <c r="B576">
        <v>4.8331999999999997</v>
      </c>
      <c r="C576">
        <v>8.7629979999999996</v>
      </c>
      <c r="D576">
        <v>0.97882999999999998</v>
      </c>
      <c r="E576">
        <f>LN(D576/参数实验室!$E$53)/参数实验室!$E$55</f>
        <v>-0.71821182578000775</v>
      </c>
      <c r="F576">
        <f t="shared" si="28"/>
        <v>1.8130840850782091</v>
      </c>
      <c r="G576">
        <f>LN(F576/参数实验室!$E$58)/参数实验室!$E$59</f>
        <v>0.12177351427913281</v>
      </c>
      <c r="H576" s="856">
        <f>INDEX(神经网络!$G$10:$BO$70,MATCH(ROUND(G576*2,1)/2,神经网络!$E$10:$E$70,0),MATCH(ROUND(E576*2,1)/2,神经网络!$G$8:$BO$8,0))</f>
        <v>-0.14703295761765681</v>
      </c>
      <c r="I576">
        <f t="shared" si="30"/>
        <v>1.0368091878347077</v>
      </c>
      <c r="J576">
        <f t="shared" si="31"/>
        <v>1.9285742787598275</v>
      </c>
      <c r="K576">
        <f t="shared" si="32"/>
        <v>0.53760396955072398</v>
      </c>
      <c r="L576" s="4">
        <f>MIN(MAX(L575*(1+MAX(MIN(((B576-B575)/B575)/($K$7*卓尔金历!$N$40),0),-卓尔金历!$M$43))+MIN(MAX(((B576-B575)/B575)/($K$7*卓尔金历!$N$40),0),卓尔金历!$M$43),0),1)</f>
        <v>0.5878866333572812</v>
      </c>
      <c r="M576" s="4">
        <f>MIN(MAX(M575*(1+MAX(MIN(((B576-B575)/B575)/($K$7*30),0),-卓尔金历!$M$43))+MIN(MAX(((B576-B575)/B575)/($K$7*7),0),卓尔金历!$M$43),0),1)</f>
        <v>0.77615641610496566</v>
      </c>
      <c r="N576">
        <f t="shared" si="33"/>
        <v>1.0395147612729903</v>
      </c>
      <c r="O576">
        <f t="shared" si="34"/>
        <v>1.0533269776651533</v>
      </c>
      <c r="P576">
        <f t="shared" si="35"/>
        <v>-5.7394416901525788E-3</v>
      </c>
      <c r="Q576">
        <f t="shared" si="36"/>
        <v>3.7713984003133576E-2</v>
      </c>
      <c r="R576">
        <f t="shared" si="37"/>
        <v>1</v>
      </c>
      <c r="S576">
        <f t="shared" si="29"/>
        <v>1.0821419240590506</v>
      </c>
      <c r="T576" s="564">
        <f>IF((I576-MAX(I$470:I576))/MAX(I$470:I576)&gt;T575,T575,(I576-MAX(I$470:I576))/MAX(I$470:I576))</f>
        <v>-0.13666535856332884</v>
      </c>
      <c r="U576" s="564">
        <f>IF((J576-MAX(J$470:J576))/MAX(J$470:J576)&gt;U575,U575,(J576-MAX(J$470:J576))/MAX(J$470:J576))</f>
        <v>-0.40648897885739943</v>
      </c>
      <c r="V576" s="564">
        <f>IF((K576-MAX(K$470:K576))/MAX(K$470:K576)&gt;V575,V575,(K576-MAX(K$470:K576))/MAX(K$470:K576))</f>
        <v>-0.68158456867950912</v>
      </c>
      <c r="W576" s="564">
        <f>IF((N576-MAX(N$470:N576))/MAX(N$470:N576)&gt;W575,W575,(N576-MAX(N$470:N576))/MAX(N$470:N576))</f>
        <v>-0.10311304065408976</v>
      </c>
      <c r="X576" s="564">
        <f>IF((O576-MAX(O$470:O576))/MAX(O$470:O576)&gt;X575,X575,(O576-MAX(O$470:O576))/MAX(O$470:O576))</f>
        <v>-0.12147101883973409</v>
      </c>
    </row>
    <row r="577" spans="1:24">
      <c r="A577" s="799">
        <v>40979</v>
      </c>
      <c r="B577">
        <v>4.91</v>
      </c>
      <c r="C577">
        <v>8.8099620000000005</v>
      </c>
      <c r="D577">
        <v>0.989479</v>
      </c>
      <c r="E577">
        <f>LN(D577/参数实验室!$E$53)/参数实验室!$E$55</f>
        <v>-0.70544623371650939</v>
      </c>
      <c r="F577">
        <f t="shared" si="28"/>
        <v>1.7942896130346233</v>
      </c>
      <c r="G577">
        <f>LN(F577/参数实验室!$E$58)/参数实验室!$E$59</f>
        <v>0.11630446963881336</v>
      </c>
      <c r="H577" s="856">
        <f>INDEX(神经网络!$G$10:$BO$70,MATCH(ROUND(G577*2,1)/2,神经网络!$E$10:$E$70,0),MATCH(ROUND(E577*2,1)/2,神经网络!$G$8:$BO$8,0))</f>
        <v>-0.14703295761765681</v>
      </c>
      <c r="I577">
        <f t="shared" si="30"/>
        <v>1.0343868205994582</v>
      </c>
      <c r="J577">
        <f t="shared" si="31"/>
        <v>1.9592195044092431</v>
      </c>
      <c r="K577">
        <f t="shared" si="32"/>
        <v>0.52795861733285132</v>
      </c>
      <c r="L577" s="4">
        <f>MIN(MAX(L576*(1+MAX(MIN(((B577-B576)/B576)/($K$7*卓尔金历!$N$40),0),-卓尔金历!$M$43))+MIN(MAX(((B577-B576)/B576)/($K$7*卓尔金历!$N$40),0),卓尔金历!$M$43),0),1)</f>
        <v>0.83067201375811439</v>
      </c>
      <c r="M577" s="4">
        <f>MIN(MAX(M576*(1+MAX(MIN(((B577-B576)/B576)/($K$7*30),0),-卓尔金历!$M$43))+MIN(MAX(((B577-B576)/B576)/($K$7*7),0),卓尔金历!$M$43),0),1)</f>
        <v>1</v>
      </c>
      <c r="N577">
        <f t="shared" si="33"/>
        <v>1.0380869677972595</v>
      </c>
      <c r="O577">
        <f t="shared" si="34"/>
        <v>1.0514168886548696</v>
      </c>
      <c r="P577">
        <f t="shared" si="35"/>
        <v>1.5890093519821326E-2</v>
      </c>
      <c r="Q577">
        <f t="shared" si="36"/>
        <v>3.7100038056184538E-2</v>
      </c>
      <c r="R577">
        <f t="shared" si="37"/>
        <v>0.91761463503077245</v>
      </c>
      <c r="S577">
        <f t="shared" si="29"/>
        <v>1.0796136428946013</v>
      </c>
      <c r="T577" s="564">
        <f>IF((I577-MAX(I$470:I577))/MAX(I$470:I577)&gt;T576,T576,(I577-MAX(I$470:I577))/MAX(I$470:I577))</f>
        <v>-0.13666535856332884</v>
      </c>
      <c r="U577" s="564">
        <f>IF((J577-MAX(J$470:J577))/MAX(J$470:J577)&gt;U576,U576,(J577-MAX(J$470:J577))/MAX(J$470:J577))</f>
        <v>-0.40648897885739943</v>
      </c>
      <c r="V577" s="564">
        <f>IF((K577-MAX(K$470:K577))/MAX(K$470:K577)&gt;V576,V576,(K577-MAX(K$470:K577))/MAX(K$470:K577))</f>
        <v>-0.68158456867950912</v>
      </c>
      <c r="W577" s="564">
        <f>IF((N577-MAX(N$470:N577))/MAX(N$470:N577)&gt;W576,W576,(N577-MAX(N$470:N577))/MAX(N$470:N577))</f>
        <v>-0.10311304065408976</v>
      </c>
      <c r="X577" s="564">
        <f>IF((O577-MAX(O$470:O577))/MAX(O$470:O577)&gt;X576,X576,(O577-MAX(O$470:O577))/MAX(O$470:O577))</f>
        <v>-0.12147101883973409</v>
      </c>
    </row>
    <row r="578" spans="1:24">
      <c r="A578" s="799">
        <v>40980</v>
      </c>
      <c r="B578">
        <v>4.8901000000000003</v>
      </c>
      <c r="C578">
        <v>8.7450749999999999</v>
      </c>
      <c r="D578">
        <v>0.99347600000000003</v>
      </c>
      <c r="E578">
        <f>LN(D578/参数实验室!$E$53)/参数实验室!$E$55</f>
        <v>-0.70069022049136453</v>
      </c>
      <c r="F578">
        <f t="shared" si="28"/>
        <v>1.7883223246968363</v>
      </c>
      <c r="G578">
        <f>LN(F578/参数实验室!$E$58)/参数实验室!$E$59</f>
        <v>0.11455604789451225</v>
      </c>
      <c r="H578" s="856">
        <f>INDEX(神经网络!$G$10:$BO$70,MATCH(ROUND(G578*2,1)/2,神经网络!$E$10:$E$70,0),MATCH(ROUND(E578*2,1)/2,神经网络!$G$8:$BO$8,0))</f>
        <v>-0.14703295761765681</v>
      </c>
      <c r="I578">
        <f t="shared" si="30"/>
        <v>1.0350032300038805</v>
      </c>
      <c r="J578">
        <f t="shared" si="31"/>
        <v>1.9512788795339389</v>
      </c>
      <c r="K578">
        <f t="shared" si="32"/>
        <v>0.53042301685297288</v>
      </c>
      <c r="L578" s="4">
        <f>MIN(MAX(L577*(1+MAX(MIN(((B578-B577)/B577)/($K$7*卓尔金历!$N$40),0),-卓尔金历!$M$43))+MIN(MAX(((B578-B577)/B577)/($K$7*卓尔金历!$N$40),0),卓尔金历!$M$43),0),1)</f>
        <v>0.77923245417459208</v>
      </c>
      <c r="M578" s="4">
        <f>MIN(MAX(M577*(1+MAX(MIN(((B578-B577)/B577)/($K$7*30),0),-卓尔金历!$M$43))+MIN(MAX(((B578-B577)/B577)/($K$7*7),0),卓尔金历!$M$43),0),1)</f>
        <v>0.96903738254597016</v>
      </c>
      <c r="N578">
        <f t="shared" si="33"/>
        <v>1.0386008334563406</v>
      </c>
      <c r="O578">
        <f t="shared" si="34"/>
        <v>1.0520434465781034</v>
      </c>
      <c r="P578">
        <f t="shared" si="35"/>
        <v>-4.0529531568227707E-3</v>
      </c>
      <c r="Q578">
        <f t="shared" si="36"/>
        <v>3.707619251285061E-2</v>
      </c>
      <c r="R578">
        <f t="shared" si="37"/>
        <v>1</v>
      </c>
      <c r="S578">
        <f t="shared" si="29"/>
        <v>1.0802040002425726</v>
      </c>
      <c r="T578" s="564">
        <f>IF((I578-MAX(I$470:I578))/MAX(I$470:I578)&gt;T577,T577,(I578-MAX(I$470:I578))/MAX(I$470:I578))</f>
        <v>-0.13666535856332884</v>
      </c>
      <c r="U578" s="564">
        <f>IF((J578-MAX(J$470:J578))/MAX(J$470:J578)&gt;U577,U577,(J578-MAX(J$470:J578))/MAX(J$470:J578))</f>
        <v>-0.40648897885739943</v>
      </c>
      <c r="V578" s="564">
        <f>IF((K578-MAX(K$470:K578))/MAX(K$470:K578)&gt;V577,V577,(K578-MAX(K$470:K578))/MAX(K$470:K578))</f>
        <v>-0.68158456867950912</v>
      </c>
      <c r="W578" s="564">
        <f>IF((N578-MAX(N$470:N578))/MAX(N$470:N578)&gt;W577,W577,(N578-MAX(N$470:N578))/MAX(N$470:N578))</f>
        <v>-0.10311304065408976</v>
      </c>
      <c r="X578" s="564">
        <f>IF((O578-MAX(O$470:O578))/MAX(O$470:O578)&gt;X577,X577,(O578-MAX(O$470:O578))/MAX(O$470:O578))</f>
        <v>-0.12147101883973409</v>
      </c>
    </row>
    <row r="579" spans="1:24">
      <c r="A579" s="799">
        <v>40981</v>
      </c>
      <c r="B579">
        <v>5.27</v>
      </c>
      <c r="C579">
        <v>8.7612249999999996</v>
      </c>
      <c r="D579">
        <v>1.068816</v>
      </c>
      <c r="E579">
        <f>LN(D579/参数实验室!$E$53)/参数实验室!$E$55</f>
        <v>-0.61445395328427166</v>
      </c>
      <c r="F579">
        <f t="shared" si="28"/>
        <v>1.6624715370018976</v>
      </c>
      <c r="G579">
        <f>LN(F579/参数实验室!$E$58)/参数实验室!$E$59</f>
        <v>7.6256105381284328E-2</v>
      </c>
      <c r="H579" s="856">
        <f>INDEX(神经网络!$G$10:$BO$70,MATCH(ROUND(G579*2,1)/2,神经网络!$E$10:$E$70,0),MATCH(ROUND(E579*2,1)/2,神经网络!$G$8:$BO$8,0))</f>
        <v>-0.11277603105019178</v>
      </c>
      <c r="I579">
        <f t="shared" si="30"/>
        <v>1.023180767326044</v>
      </c>
      <c r="J579">
        <f t="shared" si="31"/>
        <v>2.1028689996408776</v>
      </c>
      <c r="K579">
        <f t="shared" si="32"/>
        <v>0.48656419753240937</v>
      </c>
      <c r="L579" s="4">
        <f>MIN(MAX(L578*(1+MAX(MIN(((B579-B578)/B578)/($K$7*卓尔金历!$N$40),0),-卓尔金历!$M$43))+MIN(MAX(((B579-B578)/B578)/($K$7*卓尔金历!$N$40),0),卓尔金历!$M$43),0),1)</f>
        <v>1</v>
      </c>
      <c r="M579" s="4">
        <f>MIN(MAX(M578*(1+MAX(MIN(((B579-B578)/B578)/($K$7*30),0),-卓尔金历!$M$43))+MIN(MAX(((B579-B578)/B578)/($K$7*7),0),卓尔金历!$M$43),0),1)</f>
        <v>1</v>
      </c>
      <c r="N579">
        <f t="shared" si="33"/>
        <v>1.029356364988355</v>
      </c>
      <c r="O579">
        <f t="shared" si="34"/>
        <v>1.040398420831395</v>
      </c>
      <c r="P579">
        <f t="shared" si="35"/>
        <v>7.7687572851270773E-2</v>
      </c>
      <c r="Q579">
        <f t="shared" si="36"/>
        <v>3.9533264720482159E-2</v>
      </c>
      <c r="R579">
        <f t="shared" si="37"/>
        <v>1.2029265190382197E-2</v>
      </c>
      <c r="S579">
        <f t="shared" si="29"/>
        <v>1.0678652257275698</v>
      </c>
      <c r="T579" s="564">
        <f>IF((I579-MAX(I$470:I579))/MAX(I$470:I579)&gt;T578,T578,(I579-MAX(I$470:I579))/MAX(I$470:I579))</f>
        <v>-0.13666535856332884</v>
      </c>
      <c r="U579" s="564">
        <f>IF((J579-MAX(J$470:J579))/MAX(J$470:J579)&gt;U578,U578,(J579-MAX(J$470:J579))/MAX(J$470:J579))</f>
        <v>-0.40648897885739943</v>
      </c>
      <c r="V579" s="564">
        <f>IF((K579-MAX(K$470:K579))/MAX(K$470:K579)&gt;V578,V578,(K579-MAX(K$470:K579))/MAX(K$470:K579))</f>
        <v>-0.68158456867950912</v>
      </c>
      <c r="W579" s="564">
        <f>IF((N579-MAX(N$470:N579))/MAX(N$470:N579)&gt;W578,W578,(N579-MAX(N$470:N579))/MAX(N$470:N579))</f>
        <v>-0.10311304065408976</v>
      </c>
      <c r="X579" s="564">
        <f>IF((O579-MAX(O$470:O579))/MAX(O$470:O579)&gt;X578,X578,(O579-MAX(O$470:O579))/MAX(O$470:O579))</f>
        <v>-0.12147101883973409</v>
      </c>
    </row>
    <row r="580" spans="1:24">
      <c r="A580" s="799">
        <v>40982</v>
      </c>
      <c r="B580">
        <v>5.38</v>
      </c>
      <c r="C580">
        <v>8.7850839999999994</v>
      </c>
      <c r="D580">
        <v>1.087189</v>
      </c>
      <c r="E580">
        <f>LN(D580/参数实验室!$E$53)/参数实验室!$E$55</f>
        <v>-0.59434627164732501</v>
      </c>
      <c r="F580">
        <f t="shared" si="28"/>
        <v>1.6329152416356876</v>
      </c>
      <c r="G580">
        <f>LN(F580/参数实验室!$E$58)/参数实验室!$E$59</f>
        <v>6.6841030219294176E-2</v>
      </c>
      <c r="H580" s="856">
        <f>INDEX(神经网络!$G$10:$BO$70,MATCH(ROUND(G580*2,1)/2,神经网络!$E$10:$E$70,0),MATCH(ROUND(E580*2,1)/2,神经网络!$G$8:$BO$8,0))</f>
        <v>-0.19647051036365884</v>
      </c>
      <c r="I580">
        <f t="shared" si="30"/>
        <v>1.0207722418500571</v>
      </c>
      <c r="J580">
        <f t="shared" si="31"/>
        <v>2.1467619009616552</v>
      </c>
      <c r="K580">
        <f t="shared" si="32"/>
        <v>0.4754939247770309</v>
      </c>
      <c r="L580" s="4">
        <f>MIN(MAX(L579*(1+MAX(MIN(((B580-B579)/B579)/($K$7*卓尔金历!$N$40),0),-卓尔金历!$M$43))+MIN(MAX(((B580-B579)/B579)/($K$7*卓尔金历!$N$40),0),卓尔金历!$M$43),0),1)</f>
        <v>1</v>
      </c>
      <c r="M580" s="4">
        <f>MIN(MAX(M579*(1+MAX(MIN(((B580-B579)/B579)/($K$7*30),0),-卓尔金历!$M$43))+MIN(MAX(((B580-B579)/B579)/($K$7*7),0),卓尔金历!$M$43),0),1)</f>
        <v>1</v>
      </c>
      <c r="N580">
        <f t="shared" si="33"/>
        <v>1.0269333024092735</v>
      </c>
      <c r="O580">
        <f t="shared" si="34"/>
        <v>1.0379493657066612</v>
      </c>
      <c r="P580">
        <f t="shared" si="35"/>
        <v>2.0872865275142378E-2</v>
      </c>
      <c r="Q580">
        <f t="shared" si="36"/>
        <v>3.9211918219553353E-2</v>
      </c>
      <c r="R580">
        <f t="shared" si="37"/>
        <v>0.69499093668545875</v>
      </c>
      <c r="S580">
        <f t="shared" si="29"/>
        <v>1.0678349876330875</v>
      </c>
      <c r="T580" s="564">
        <f>IF((I580-MAX(I$470:I580))/MAX(I$470:I580)&gt;T579,T579,(I580-MAX(I$470:I580))/MAX(I$470:I580))</f>
        <v>-0.13666535856332884</v>
      </c>
      <c r="U580" s="564">
        <f>IF((J580-MAX(J$470:J580))/MAX(J$470:J580)&gt;U579,U579,(J580-MAX(J$470:J580))/MAX(J$470:J580))</f>
        <v>-0.40648897885739943</v>
      </c>
      <c r="V580" s="564">
        <f>IF((K580-MAX(K$470:K580))/MAX(K$470:K580)&gt;V579,V579,(K580-MAX(K$470:K580))/MAX(K$470:K580))</f>
        <v>-0.68158456867950912</v>
      </c>
      <c r="W580" s="564">
        <f>IF((N580-MAX(N$470:N580))/MAX(N$470:N580)&gt;W579,W579,(N580-MAX(N$470:N580))/MAX(N$470:N580))</f>
        <v>-0.10311304065408976</v>
      </c>
      <c r="X580" s="564">
        <f>IF((O580-MAX(O$470:O580))/MAX(O$470:O580)&gt;X579,X579,(O580-MAX(O$470:O580))/MAX(O$470:O580))</f>
        <v>-0.12147101883973409</v>
      </c>
    </row>
    <row r="581" spans="1:24">
      <c r="A581" s="799">
        <v>40983</v>
      </c>
      <c r="B581">
        <v>5.3266</v>
      </c>
      <c r="C581">
        <v>8.9067769999999999</v>
      </c>
      <c r="D581">
        <v>1.0761670000000001</v>
      </c>
      <c r="E581">
        <f>LN(D581/参数实验室!$E$53)/参数实验室!$E$55</f>
        <v>-0.60636773530643573</v>
      </c>
      <c r="F581">
        <f t="shared" ref="F581:F644" si="38">C581/B581</f>
        <v>1.672131753839222</v>
      </c>
      <c r="G581">
        <f>LN(F581/参数实验室!$E$58)/参数实验室!$E$59</f>
        <v>7.9297077638351976E-2</v>
      </c>
      <c r="H581" s="856">
        <f>INDEX(神经网络!$G$10:$BO$70,MATCH(ROUND(G581*2,1)/2,神经网络!$E$10:$E$70,0),MATCH(ROUND(E581*2,1)/2,神经网络!$G$8:$BO$8,0))</f>
        <v>-0.11277603105019178</v>
      </c>
      <c r="I581">
        <f t="shared" si="30"/>
        <v>1.0227628473804213</v>
      </c>
      <c r="J581">
        <f t="shared" si="31"/>
        <v>2.1254538925022959</v>
      </c>
      <c r="K581">
        <f t="shared" si="32"/>
        <v>0.481197381410294</v>
      </c>
      <c r="L581" s="4">
        <f>MIN(MAX(L580*(1+MAX(MIN(((B581-B580)/B580)/($K$7*卓尔金历!$N$40),0),-卓尔金历!$M$43))+MIN(MAX(((B581-B580)/B580)/($K$7*卓尔金历!$N$40),0),卓尔金历!$M$43),0),1)</f>
        <v>0.8483455844138541</v>
      </c>
      <c r="M581" s="4">
        <f>MIN(MAX(M580*(1+MAX(MIN(((B581-B580)/B580)/($K$7*30),0),-卓尔金历!$M$43))+MIN(MAX(((B581-B580)/B580)/($K$7*7),0),卓尔金历!$M$43),0),1)</f>
        <v>0.92417279220692705</v>
      </c>
      <c r="N581">
        <f t="shared" si="33"/>
        <v>1.0289359226092372</v>
      </c>
      <c r="O581">
        <f t="shared" si="34"/>
        <v>1.0399734683055613</v>
      </c>
      <c r="P581">
        <f t="shared" si="35"/>
        <v>-9.9256505576207979E-3</v>
      </c>
      <c r="Q581">
        <f t="shared" si="36"/>
        <v>2.8033157259807016E-2</v>
      </c>
      <c r="R581">
        <f t="shared" si="37"/>
        <v>1</v>
      </c>
      <c r="S581">
        <f t="shared" si="29"/>
        <v>1.0692822245829914</v>
      </c>
      <c r="T581" s="564">
        <f>IF((I581-MAX(I$470:I581))/MAX(I$470:I581)&gt;T580,T580,(I581-MAX(I$470:I581))/MAX(I$470:I581))</f>
        <v>-0.13666535856332884</v>
      </c>
      <c r="U581" s="564">
        <f>IF((J581-MAX(J$470:J581))/MAX(J$470:J581)&gt;U580,U580,(J581-MAX(J$470:J581))/MAX(J$470:J581))</f>
        <v>-0.40648897885739943</v>
      </c>
      <c r="V581" s="564">
        <f>IF((K581-MAX(K$470:K581))/MAX(K$470:K581)&gt;V580,V580,(K581-MAX(K$470:K581))/MAX(K$470:K581))</f>
        <v>-0.68158456867950912</v>
      </c>
      <c r="W581" s="564">
        <f>IF((N581-MAX(N$470:N581))/MAX(N$470:N581)&gt;W580,W580,(N581-MAX(N$470:N581))/MAX(N$470:N581))</f>
        <v>-0.10311304065408976</v>
      </c>
      <c r="X581" s="564">
        <f>IF((O581-MAX(O$470:O581))/MAX(O$470:O581)&gt;X580,X580,(O581-MAX(O$470:O581))/MAX(O$470:O581))</f>
        <v>-0.12147101883973409</v>
      </c>
    </row>
    <row r="582" spans="1:24">
      <c r="A582" s="799">
        <v>40984</v>
      </c>
      <c r="B582">
        <v>5.3438999999999997</v>
      </c>
      <c r="C582">
        <v>8.8211619999999993</v>
      </c>
      <c r="D582">
        <v>1.074719</v>
      </c>
      <c r="E582">
        <f>LN(D582/参数实验室!$E$53)/参数实验室!$E$55</f>
        <v>-0.60795618114256467</v>
      </c>
      <c r="F582">
        <f t="shared" si="38"/>
        <v>1.650697430715395</v>
      </c>
      <c r="G582">
        <f>LN(F582/参数实验室!$E$58)/参数实验室!$E$59</f>
        <v>7.2525711089315423E-2</v>
      </c>
      <c r="H582" s="856">
        <f>INDEX(神经网络!$G$10:$BO$70,MATCH(ROUND(G582*2,1)/2,神经网络!$E$10:$E$70,0),MATCH(ROUND(E582*2,1)/2,神经网络!$G$8:$BO$8,0))</f>
        <v>-0.19647051036365884</v>
      </c>
      <c r="I582">
        <f t="shared" si="30"/>
        <v>1.0223882301331804</v>
      </c>
      <c r="J582">
        <f t="shared" si="31"/>
        <v>2.1323570488009271</v>
      </c>
      <c r="K582">
        <f t="shared" si="32"/>
        <v>0.47946390155818064</v>
      </c>
      <c r="L582" s="4">
        <f>MIN(MAX(L581*(1+MAX(MIN(((B582-B581)/B581)/($K$7*卓尔金历!$N$40),0),-卓尔金历!$M$43))+MIN(MAX(((B582-B581)/B581)/($K$7*卓尔金历!$N$40),0),卓尔金历!$M$43),0),1)</f>
        <v>0.89796962196725083</v>
      </c>
      <c r="M582" s="4">
        <f>MIN(MAX(M581*(1+MAX(MIN(((B582-B581)/B581)/($K$7*30),0),-卓尔金历!$M$43))+MIN(MAX(((B582-B581)/B581)/($K$7*7),0),卓尔金历!$M$43),0),1)</f>
        <v>1</v>
      </c>
      <c r="N582">
        <f t="shared" si="33"/>
        <v>1.0286161995512375</v>
      </c>
      <c r="O582">
        <f t="shared" si="34"/>
        <v>1.0396214313446537</v>
      </c>
      <c r="P582">
        <f t="shared" si="35"/>
        <v>3.2478504111440034E-3</v>
      </c>
      <c r="Q582">
        <f t="shared" si="36"/>
        <v>2.8032925626578942E-2</v>
      </c>
      <c r="R582">
        <f t="shared" si="37"/>
        <v>1</v>
      </c>
      <c r="S582">
        <f t="shared" si="29"/>
        <v>1.0688905682332102</v>
      </c>
      <c r="T582" s="564">
        <f>IF((I582-MAX(I$470:I582))/MAX(I$470:I582)&gt;T581,T581,(I582-MAX(I$470:I582))/MAX(I$470:I582))</f>
        <v>-0.13666535856332884</v>
      </c>
      <c r="U582" s="564">
        <f>IF((J582-MAX(J$470:J582))/MAX(J$470:J582)&gt;U581,U581,(J582-MAX(J$470:J582))/MAX(J$470:J582))</f>
        <v>-0.40648897885739943</v>
      </c>
      <c r="V582" s="564">
        <f>IF((K582-MAX(K$470:K582))/MAX(K$470:K582)&gt;V581,V581,(K582-MAX(K$470:K582))/MAX(K$470:K582))</f>
        <v>-0.68158456867950912</v>
      </c>
      <c r="W582" s="564">
        <f>IF((N582-MAX(N$470:N582))/MAX(N$470:N582)&gt;W581,W581,(N582-MAX(N$470:N582))/MAX(N$470:N582))</f>
        <v>-0.10311304065408976</v>
      </c>
      <c r="X582" s="564">
        <f>IF((O582-MAX(O$470:O582))/MAX(O$470:O582)&gt;X581,X581,(O582-MAX(O$470:O582))/MAX(O$470:O582))</f>
        <v>-0.12147101883973409</v>
      </c>
    </row>
    <row r="583" spans="1:24">
      <c r="A583" s="799">
        <v>40985</v>
      </c>
      <c r="B583">
        <v>5.2159000000000004</v>
      </c>
      <c r="C583">
        <v>8.6647580000000008</v>
      </c>
      <c r="D583">
        <v>1.0545949999999999</v>
      </c>
      <c r="E583">
        <f>LN(D583/参数实验室!$E$53)/参数实验室!$E$55</f>
        <v>-0.63025637846397797</v>
      </c>
      <c r="F583">
        <f t="shared" si="38"/>
        <v>1.6612201154163231</v>
      </c>
      <c r="G583">
        <f>LN(F583/参数实验室!$E$58)/参数实验室!$E$59</f>
        <v>7.5860873946775015E-2</v>
      </c>
      <c r="H583" s="856">
        <f>INDEX(神经网络!$G$10:$BO$70,MATCH(ROUND(G583*2,1)/2,神经网络!$E$10:$E$70,0),MATCH(ROUND(E583*2,1)/2,神经网络!$G$8:$BO$8,0))</f>
        <v>-0.13528264258121733</v>
      </c>
      <c r="I583">
        <f t="shared" si="30"/>
        <v>1.0271995569885854</v>
      </c>
      <c r="J583">
        <f t="shared" si="31"/>
        <v>2.0812816727185686</v>
      </c>
      <c r="K583">
        <f t="shared" si="32"/>
        <v>0.49354182591098211</v>
      </c>
      <c r="L583" s="4">
        <f>MIN(MAX(L582*(1+MAX(MIN(((B583-B582)/B582)/($K$7*卓尔金历!$N$40),0),-卓尔金历!$M$43))+MIN(MAX(((B583-B582)/B582)/($K$7*卓尔金历!$N$40),0),卓尔金历!$M$43),0),1)</f>
        <v>0.56933798483807596</v>
      </c>
      <c r="M583" s="4">
        <f>MIN(MAX(M582*(1+MAX(MIN(((B583-B582)/B582)/($K$7*30),0),-卓尔金历!$M$43))+MIN(MAX(((B583-B582)/B582)/($K$7*7),0),卓尔金历!$M$43),0),1)</f>
        <v>0.81701405643922764</v>
      </c>
      <c r="N583">
        <f t="shared" si="33"/>
        <v>1.0329629431665341</v>
      </c>
      <c r="O583">
        <f t="shared" si="34"/>
        <v>1.0445138571029506</v>
      </c>
      <c r="P583">
        <f t="shared" si="35"/>
        <v>-2.395254402215596E-2</v>
      </c>
      <c r="Q583">
        <f t="shared" si="36"/>
        <v>2.6074630437867851E-2</v>
      </c>
      <c r="R583">
        <f t="shared" si="37"/>
        <v>0.11530087997803928</v>
      </c>
      <c r="S583">
        <f t="shared" si="29"/>
        <v>1.0739207336291476</v>
      </c>
      <c r="T583" s="564">
        <f>IF((I583-MAX(I$470:I583))/MAX(I$470:I583)&gt;T582,T582,(I583-MAX(I$470:I583))/MAX(I$470:I583))</f>
        <v>-0.13666535856332884</v>
      </c>
      <c r="U583" s="564">
        <f>IF((J583-MAX(J$470:J583))/MAX(J$470:J583)&gt;U582,U582,(J583-MAX(J$470:J583))/MAX(J$470:J583))</f>
        <v>-0.40648897885739943</v>
      </c>
      <c r="V583" s="564">
        <f>IF((K583-MAX(K$470:K583))/MAX(K$470:K583)&gt;V582,V582,(K583-MAX(K$470:K583))/MAX(K$470:K583))</f>
        <v>-0.68158456867950912</v>
      </c>
      <c r="W583" s="564">
        <f>IF((N583-MAX(N$470:N583))/MAX(N$470:N583)&gt;W582,W582,(N583-MAX(N$470:N583))/MAX(N$470:N583))</f>
        <v>-0.10311304065408976</v>
      </c>
      <c r="X583" s="564">
        <f>IF((O583-MAX(O$470:O583))/MAX(O$470:O583)&gt;X582,X582,(O583-MAX(O$470:O583))/MAX(O$470:O583))</f>
        <v>-0.12147101883973409</v>
      </c>
    </row>
    <row r="584" spans="1:24">
      <c r="A584" s="799">
        <v>40986</v>
      </c>
      <c r="B584">
        <v>5.2793999999999999</v>
      </c>
      <c r="C584">
        <v>8.6463540000000005</v>
      </c>
      <c r="D584">
        <v>1.0615479999999999</v>
      </c>
      <c r="E584">
        <f>LN(D584/参数实验室!$E$53)/参数实验室!$E$55</f>
        <v>-0.62250373242428514</v>
      </c>
      <c r="F584">
        <f t="shared" si="38"/>
        <v>1.6377531537674737</v>
      </c>
      <c r="G584">
        <f>LN(F584/参数实验室!$E$58)/参数实验室!$E$59</f>
        <v>6.839374011670564E-2</v>
      </c>
      <c r="H584" s="856">
        <f>INDEX(神经网络!$G$10:$BO$70,MATCH(ROUND(G584*2,1)/2,神经网络!$E$10:$E$70,0),MATCH(ROUND(E584*2,1)/2,神经网络!$G$8:$BO$8,0))</f>
        <v>-0.19647051036365884</v>
      </c>
      <c r="I584">
        <f t="shared" si="30"/>
        <v>1.0255077867900564</v>
      </c>
      <c r="J584">
        <f t="shared" si="31"/>
        <v>2.1066198475719262</v>
      </c>
      <c r="K584">
        <f t="shared" si="32"/>
        <v>0.48680248976674589</v>
      </c>
      <c r="L584" s="4">
        <f>MIN(MAX(L583*(1+MAX(MIN(((B584-B583)/B583)/($K$7*卓尔金历!$N$40),0),-卓尔金历!$M$43))+MIN(MAX(((B584-B583)/B583)/($K$7*卓尔金历!$N$40),0),卓尔金历!$M$43),0),1)</f>
        <v>0.75534980707556421</v>
      </c>
      <c r="M584" s="4">
        <f>MIN(MAX(M583*(1+MAX(MIN(((B584-B583)/B583)/($K$7*30),0),-卓尔金历!$M$43))+MIN(MAX(((B584-B583)/B583)/($K$7*7),0),卓尔金历!$M$43),0),1)</f>
        <v>1</v>
      </c>
      <c r="N584">
        <f t="shared" si="33"/>
        <v>1.0319943498933859</v>
      </c>
      <c r="O584">
        <f t="shared" si="34"/>
        <v>1.0431083589430523</v>
      </c>
      <c r="P584">
        <f t="shared" si="35"/>
        <v>1.2174313157844176E-2</v>
      </c>
      <c r="Q584">
        <f t="shared" si="36"/>
        <v>2.545586487326687E-2</v>
      </c>
      <c r="R584">
        <f t="shared" si="37"/>
        <v>0.7829256549452388</v>
      </c>
      <c r="S584">
        <f t="shared" si="29"/>
        <v>1.0737167988034995</v>
      </c>
      <c r="T584" s="564">
        <f>IF((I584-MAX(I$470:I584))/MAX(I$470:I584)&gt;T583,T583,(I584-MAX(I$470:I584))/MAX(I$470:I584))</f>
        <v>-0.13666535856332884</v>
      </c>
      <c r="U584" s="564">
        <f>IF((J584-MAX(J$470:J584))/MAX(J$470:J584)&gt;U583,U583,(J584-MAX(J$470:J584))/MAX(J$470:J584))</f>
        <v>-0.40648897885739943</v>
      </c>
      <c r="V584" s="564">
        <f>IF((K584-MAX(K$470:K584))/MAX(K$470:K584)&gt;V583,V583,(K584-MAX(K$470:K584))/MAX(K$470:K584))</f>
        <v>-0.68158456867950912</v>
      </c>
      <c r="W584" s="564">
        <f>IF((N584-MAX(N$470:N584))/MAX(N$470:N584)&gt;W583,W583,(N584-MAX(N$470:N584))/MAX(N$470:N584))</f>
        <v>-0.10311304065408976</v>
      </c>
      <c r="X584" s="564">
        <f>IF((O584-MAX(O$470:O584))/MAX(O$470:O584)&gt;X583,X583,(O584-MAX(O$470:O584))/MAX(O$470:O584))</f>
        <v>-0.12147101883973409</v>
      </c>
    </row>
    <row r="585" spans="1:24">
      <c r="A585" s="799">
        <v>40987</v>
      </c>
      <c r="B585">
        <v>4.6939000000000002</v>
      </c>
      <c r="C585">
        <v>8.8332049999999995</v>
      </c>
      <c r="D585">
        <v>0.94459499999999996</v>
      </c>
      <c r="E585">
        <f>LN(D585/参数实验室!$E$53)/参数实验室!$E$55</f>
        <v>-0.76021306651462361</v>
      </c>
      <c r="F585">
        <f t="shared" si="38"/>
        <v>1.8818477172500478</v>
      </c>
      <c r="G585">
        <f>LN(F585/参数实验室!$E$58)/参数实验室!$E$59</f>
        <v>0.14131110779931783</v>
      </c>
      <c r="H585" s="856">
        <f>INDEX(神经网络!$G$10:$BO$70,MATCH(ROUND(G585*2,1)/2,神经网络!$E$10:$E$70,0),MATCH(ROUND(E585*2,1)/2,神经网络!$G$8:$BO$8,0))</f>
        <v>-8.198094997518042E-2</v>
      </c>
      <c r="I585">
        <f t="shared" si="30"/>
        <v>1.0478526997341158</v>
      </c>
      <c r="J585">
        <f t="shared" si="31"/>
        <v>1.8729899046326977</v>
      </c>
      <c r="K585">
        <f t="shared" si="32"/>
        <v>0.55945453691038705</v>
      </c>
      <c r="L585" s="4">
        <f>MIN(MAX(L584*(1+MAX(MIN(((B585-B584)/B584)/($K$7*卓尔金历!$N$40),0),-卓尔金历!$M$43))+MIN(MAX(((B585-B584)/B584)/($K$7*卓尔金历!$N$40),0),卓尔金历!$M$43),0),1)</f>
        <v>0</v>
      </c>
      <c r="M585" s="4">
        <f>MIN(MAX(M584*(1+MAX(MIN(((B585-B584)/B584)/($K$7*30),0),-卓尔金历!$M$43))+MIN(MAX(((B585-B584)/B584)/($K$7*7),0),卓尔金历!$M$43),0),1)</f>
        <v>0.1527561713753709</v>
      </c>
      <c r="N585">
        <f t="shared" si="33"/>
        <v>1.0489793340776281</v>
      </c>
      <c r="O585">
        <f t="shared" si="34"/>
        <v>1.0658367728781235</v>
      </c>
      <c r="P585">
        <f t="shared" si="35"/>
        <v>-0.11090275410084474</v>
      </c>
      <c r="Q585">
        <f t="shared" si="36"/>
        <v>3.5228158926582279E-2</v>
      </c>
      <c r="R585">
        <f t="shared" si="37"/>
        <v>0</v>
      </c>
      <c r="S585">
        <f t="shared" si="29"/>
        <v>1.092033614552042</v>
      </c>
      <c r="T585" s="564">
        <f>IF((I585-MAX(I$470:I585))/MAX(I$470:I585)&gt;T584,T584,(I585-MAX(I$470:I585))/MAX(I$470:I585))</f>
        <v>-0.13666535856332884</v>
      </c>
      <c r="U585" s="564">
        <f>IF((J585-MAX(J$470:J585))/MAX(J$470:J585)&gt;U584,U584,(J585-MAX(J$470:J585))/MAX(J$470:J585))</f>
        <v>-0.40648897885739943</v>
      </c>
      <c r="V585" s="564">
        <f>IF((K585-MAX(K$470:K585))/MAX(K$470:K585)&gt;V584,V584,(K585-MAX(K$470:K585))/MAX(K$470:K585))</f>
        <v>-0.68158456867950912</v>
      </c>
      <c r="W585" s="564">
        <f>IF((N585-MAX(N$470:N585))/MAX(N$470:N585)&gt;W584,W584,(N585-MAX(N$470:N585))/MAX(N$470:N585))</f>
        <v>-0.10311304065408976</v>
      </c>
      <c r="X585" s="564">
        <f>IF((O585-MAX(O$470:O585))/MAX(O$470:O585)&gt;X584,X584,(O585-MAX(O$470:O585))/MAX(O$470:O585))</f>
        <v>-0.12147101883973409</v>
      </c>
    </row>
    <row r="586" spans="1:24">
      <c r="A586" s="799">
        <v>40988</v>
      </c>
      <c r="B586">
        <v>4.8379000000000003</v>
      </c>
      <c r="C586">
        <v>8.8493700000000004</v>
      </c>
      <c r="D586">
        <v>0.97583699999999995</v>
      </c>
      <c r="E586">
        <f>LN(D586/参数实验室!$E$53)/参数实验室!$E$55</f>
        <v>-0.72182472170427769</v>
      </c>
      <c r="F586">
        <f t="shared" si="38"/>
        <v>1.8291758820976043</v>
      </c>
      <c r="G586">
        <f>LN(F586/参数实验室!$E$58)/参数实验室!$E$59</f>
        <v>0.1264112390739241</v>
      </c>
      <c r="H586" s="856">
        <f>INDEX(神经网络!$G$10:$BO$70,MATCH(ROUND(G586*2,1)/2,神经网络!$E$10:$E$70,0),MATCH(ROUND(E586*2,1)/2,神经网络!$G$8:$BO$8,0))</f>
        <v>-7.3760566950301559E-2</v>
      </c>
      <c r="I586">
        <f t="shared" si="30"/>
        <v>1.0452173282508739</v>
      </c>
      <c r="J586">
        <f t="shared" si="31"/>
        <v>1.9304497027253515</v>
      </c>
      <c r="K586">
        <f t="shared" si="32"/>
        <v>0.54143722407026051</v>
      </c>
      <c r="L586" s="4">
        <f>MIN(MAX(L585*(1+MAX(MIN(((B586-B585)/B585)/($K$7*卓尔金历!$N$40),0),-卓尔金历!$M$43))+MIN(MAX(((B586-B585)/B585)/($K$7*卓尔金历!$N$40),0),卓尔金历!$M$43),0),1)</f>
        <v>0.46873214459989354</v>
      </c>
      <c r="M586" s="4">
        <f>MIN(MAX(M585*(1+MAX(MIN(((B586-B585)/B585)/($K$7*30),0),-卓尔金历!$M$43))+MIN(MAX(((B586-B585)/B585)/($K$7*7),0),卓尔金历!$M$43),0),1)</f>
        <v>1</v>
      </c>
      <c r="N586">
        <f t="shared" si="33"/>
        <v>1.0489793340776281</v>
      </c>
      <c r="O586">
        <f t="shared" si="34"/>
        <v>1.0654272944095917</v>
      </c>
      <c r="P586">
        <f t="shared" si="35"/>
        <v>3.0678114148149752E-2</v>
      </c>
      <c r="Q586">
        <f t="shared" si="36"/>
        <v>3.5700079902903498E-2</v>
      </c>
      <c r="R586">
        <f t="shared" si="37"/>
        <v>0.19217228912159223</v>
      </c>
      <c r="S586">
        <f t="shared" si="29"/>
        <v>1.092033614552042</v>
      </c>
      <c r="T586" s="564">
        <f>IF((I586-MAX(I$470:I586))/MAX(I$470:I586)&gt;T585,T585,(I586-MAX(I$470:I586))/MAX(I$470:I586))</f>
        <v>-0.13666535856332884</v>
      </c>
      <c r="U586" s="564">
        <f>IF((J586-MAX(J$470:J586))/MAX(J$470:J586)&gt;U585,U585,(J586-MAX(J$470:J586))/MAX(J$470:J586))</f>
        <v>-0.40648897885739943</v>
      </c>
      <c r="V586" s="564">
        <f>IF((K586-MAX(K$470:K586))/MAX(K$470:K586)&gt;V585,V585,(K586-MAX(K$470:K586))/MAX(K$470:K586))</f>
        <v>-0.68158456867950912</v>
      </c>
      <c r="W586" s="564">
        <f>IF((N586-MAX(N$470:N586))/MAX(N$470:N586)&gt;W585,W585,(N586-MAX(N$470:N586))/MAX(N$470:N586))</f>
        <v>-0.10311304065408976</v>
      </c>
      <c r="X586" s="564">
        <f>IF((O586-MAX(O$470:O586))/MAX(O$470:O586)&gt;X585,X585,(O586-MAX(O$470:O586))/MAX(O$470:O586))</f>
        <v>-0.12147101883973409</v>
      </c>
    </row>
    <row r="587" spans="1:24">
      <c r="A587" s="799">
        <v>40989</v>
      </c>
      <c r="B587">
        <v>4.8148999999999997</v>
      </c>
      <c r="C587">
        <v>8.7716480000000008</v>
      </c>
      <c r="D587">
        <v>0.97521999999999998</v>
      </c>
      <c r="E587">
        <f>LN(D587/参数实验室!$E$53)/参数实验室!$E$55</f>
        <v>-0.72257088932090396</v>
      </c>
      <c r="F587">
        <f t="shared" si="38"/>
        <v>1.8217715840412056</v>
      </c>
      <c r="G587">
        <f>LN(F587/参数实验室!$E$58)/参数实验室!$E$59</f>
        <v>0.12428237738250866</v>
      </c>
      <c r="H587" s="856">
        <f>INDEX(神经网络!$G$10:$BO$70,MATCH(ROUND(G587*2,1)/2,神经网络!$E$10:$E$70,0),MATCH(ROUND(E587*2,1)/2,神经网络!$G$8:$BO$8,0))</f>
        <v>-0.14703295761765681</v>
      </c>
      <c r="I587">
        <f t="shared" si="30"/>
        <v>1.0455838517264553</v>
      </c>
      <c r="J587">
        <f t="shared" si="31"/>
        <v>1.9212720960855525</v>
      </c>
      <c r="K587">
        <f t="shared" si="32"/>
        <v>0.54421435353001468</v>
      </c>
      <c r="L587" s="4">
        <f>MIN(MAX(L586*(1+MAX(MIN(((B587-B586)/B586)/($K$7*卓尔金历!$N$40),0),-卓尔金历!$M$43))+MIN(MAX(((B587-B586)/B586)/($K$7*卓尔金历!$N$40),0),卓尔金历!$M$43),0),1)</f>
        <v>0.43468413217701957</v>
      </c>
      <c r="M587" s="4">
        <f>MIN(MAX(M586*(1+MAX(MIN(((B587-B586)/B586)/($K$7*30),0),-卓尔金历!$M$43))+MIN(MAX(((B587-B586)/B586)/($K$7*7),0),卓尔金历!$M$43),0),1)</f>
        <v>0.96368073662631226</v>
      </c>
      <c r="N587">
        <f t="shared" si="33"/>
        <v>1.0491517537695472</v>
      </c>
      <c r="O587">
        <f t="shared" si="34"/>
        <v>1.0658009048582242</v>
      </c>
      <c r="P587">
        <f t="shared" si="35"/>
        <v>-4.754128857562284E-3</v>
      </c>
      <c r="Q587">
        <f t="shared" si="36"/>
        <v>3.5714526416410472E-2</v>
      </c>
      <c r="R587">
        <f t="shared" si="37"/>
        <v>1</v>
      </c>
      <c r="S587">
        <f t="shared" si="29"/>
        <v>1.0921072050878975</v>
      </c>
      <c r="T587" s="564">
        <f>IF((I587-MAX(I$470:I587))/MAX(I$470:I587)&gt;T586,T586,(I587-MAX(I$470:I587))/MAX(I$470:I587))</f>
        <v>-0.13666535856332884</v>
      </c>
      <c r="U587" s="564">
        <f>IF((J587-MAX(J$470:J587))/MAX(J$470:J587)&gt;U586,U586,(J587-MAX(J$470:J587))/MAX(J$470:J587))</f>
        <v>-0.40648897885739943</v>
      </c>
      <c r="V587" s="564">
        <f>IF((K587-MAX(K$470:K587))/MAX(K$470:K587)&gt;V586,V586,(K587-MAX(K$470:K587))/MAX(K$470:K587))</f>
        <v>-0.68158456867950912</v>
      </c>
      <c r="W587" s="564">
        <f>IF((N587-MAX(N$470:N587))/MAX(N$470:N587)&gt;W586,W586,(N587-MAX(N$470:N587))/MAX(N$470:N587))</f>
        <v>-0.10311304065408976</v>
      </c>
      <c r="X587" s="564">
        <f>IF((O587-MAX(O$470:O587))/MAX(O$470:O587)&gt;X586,X586,(O587-MAX(O$470:O587))/MAX(O$470:O587))</f>
        <v>-0.12147101883973409</v>
      </c>
    </row>
    <row r="588" spans="1:24">
      <c r="A588" s="799">
        <v>40990</v>
      </c>
      <c r="B588">
        <v>4.7042999999999999</v>
      </c>
      <c r="C588">
        <v>8.6322469999999996</v>
      </c>
      <c r="D588">
        <v>0.95869499999999996</v>
      </c>
      <c r="E588">
        <f>LN(D588/参数实验室!$E$53)/参数实验室!$E$55</f>
        <v>-0.74273299247356261</v>
      </c>
      <c r="F588">
        <f t="shared" si="38"/>
        <v>1.8349694959930276</v>
      </c>
      <c r="G588">
        <f>LN(F588/参数实验室!$E$58)/参数实验室!$E$59</f>
        <v>0.12807100084502307</v>
      </c>
      <c r="H588" s="856">
        <f>INDEX(神经网络!$G$10:$BO$70,MATCH(ROUND(G588*2,1)/2,神经网络!$E$10:$E$70,0),MATCH(ROUND(E588*2,1)/2,神经网络!$G$8:$BO$8,0))</f>
        <v>-8.198094997518042E-2</v>
      </c>
      <c r="I588">
        <f t="shared" si="30"/>
        <v>1.0491152070295602</v>
      </c>
      <c r="J588">
        <f t="shared" si="31"/>
        <v>1.8771397789393891</v>
      </c>
      <c r="K588">
        <f t="shared" si="32"/>
        <v>0.55889029618365726</v>
      </c>
      <c r="L588" s="4">
        <f>MIN(MAX(L587*(1+MAX(MIN(((B588-B587)/B587)/($K$7*卓尔金历!$N$40),0),-卓尔金历!$M$43))+MIN(MAX(((B588-B587)/B587)/($K$7*卓尔金历!$N$40),0),卓尔金历!$M$43),0),1)</f>
        <v>0.28212517179599256</v>
      </c>
      <c r="M588" s="4">
        <f>MIN(MAX(M587*(1+MAX(MIN(((B588-B587)/B587)/($K$7*30),0),-卓尔金历!$M$43))+MIN(MAX(((B588-B587)/B587)/($K$7*7),0),卓尔金历!$M$43),0),1)</f>
        <v>0.79457158306390296</v>
      </c>
      <c r="N588">
        <f t="shared" si="33"/>
        <v>1.0506920159302788</v>
      </c>
      <c r="O588">
        <f t="shared" si="34"/>
        <v>1.0692698051023974</v>
      </c>
      <c r="P588">
        <f t="shared" si="35"/>
        <v>-2.2970362832042165E-2</v>
      </c>
      <c r="Q588">
        <f t="shared" si="36"/>
        <v>3.5929321674013727E-2</v>
      </c>
      <c r="R588">
        <f t="shared" si="37"/>
        <v>0.49904029022078378</v>
      </c>
      <c r="S588">
        <f t="shared" si="29"/>
        <v>1.095795688382545</v>
      </c>
      <c r="T588" s="564">
        <f>IF((I588-MAX(I$470:I588))/MAX(I$470:I588)&gt;T587,T587,(I588-MAX(I$470:I588))/MAX(I$470:I588))</f>
        <v>-0.13666535856332884</v>
      </c>
      <c r="U588" s="564">
        <f>IF((J588-MAX(J$470:J588))/MAX(J$470:J588)&gt;U587,U587,(J588-MAX(J$470:J588))/MAX(J$470:J588))</f>
        <v>-0.40648897885739943</v>
      </c>
      <c r="V588" s="564">
        <f>IF((K588-MAX(K$470:K588))/MAX(K$470:K588)&gt;V587,V587,(K588-MAX(K$470:K588))/MAX(K$470:K588))</f>
        <v>-0.68158456867950912</v>
      </c>
      <c r="W588" s="564">
        <f>IF((N588-MAX(N$470:N588))/MAX(N$470:N588)&gt;W587,W587,(N588-MAX(N$470:N588))/MAX(N$470:N588))</f>
        <v>-0.10311304065408976</v>
      </c>
      <c r="X588" s="564">
        <f>IF((O588-MAX(O$470:O588))/MAX(O$470:O588)&gt;X587,X587,(O588-MAX(O$470:O588))/MAX(O$470:O588))</f>
        <v>-0.12147101883973409</v>
      </c>
    </row>
    <row r="589" spans="1:24">
      <c r="A589" s="799">
        <v>40991</v>
      </c>
      <c r="B589">
        <v>4.6859999999999999</v>
      </c>
      <c r="C589">
        <v>8.8442170000000004</v>
      </c>
      <c r="D589">
        <v>0.95107399999999997</v>
      </c>
      <c r="E589">
        <f>LN(D589/参数实验室!$E$53)/参数实验室!$E$55</f>
        <v>-0.7521487356315778</v>
      </c>
      <c r="F589">
        <f t="shared" si="38"/>
        <v>1.8873702518139139</v>
      </c>
      <c r="G589">
        <f>LN(F589/参数实验室!$E$58)/参数实验室!$E$59</f>
        <v>0.14284910676451307</v>
      </c>
      <c r="H589" s="856">
        <f>INDEX(神经网络!$G$10:$BO$70,MATCH(ROUND(G589*2,1)/2,神经网络!$E$10:$E$70,0),MATCH(ROUND(E589*2,1)/2,神经网络!$G$8:$BO$8,0))</f>
        <v>-8.198094997518042E-2</v>
      </c>
      <c r="I589">
        <f t="shared" si="30"/>
        <v>1.0494497810452255</v>
      </c>
      <c r="J589">
        <f t="shared" si="31"/>
        <v>1.8698375962651146</v>
      </c>
      <c r="K589">
        <f t="shared" si="32"/>
        <v>0.56125183445954707</v>
      </c>
      <c r="L589" s="4">
        <f>MIN(MAX(L588*(1+MAX(MIN(((B589-B588)/B588)/($K$7*卓尔金历!$N$40),0),-卓尔金历!$M$43))+MIN(MAX(((B589-B588)/B588)/($K$7*卓尔金历!$N$40),0),卓尔金历!$M$43),0),1)</f>
        <v>0.26535668029188697</v>
      </c>
      <c r="M589" s="4">
        <f>MIN(MAX(M588*(1+MAX(MIN(((B589-B588)/B588)/($K$7*30),0),-卓尔金历!$M$43))+MIN(MAX(((B589-B588)/B588)/($K$7*7),0),卓尔金历!$M$43),0),1)</f>
        <v>0.77095836423058783</v>
      </c>
      <c r="N589">
        <f t="shared" si="33"/>
        <v>1.0507865495517168</v>
      </c>
      <c r="O589">
        <f t="shared" si="34"/>
        <v>1.0695407552292646</v>
      </c>
      <c r="P589">
        <f t="shared" si="35"/>
        <v>-3.890058032013261E-3</v>
      </c>
      <c r="Q589">
        <f t="shared" si="36"/>
        <v>3.4665174513715549E-2</v>
      </c>
      <c r="R589">
        <f t="shared" si="37"/>
        <v>1</v>
      </c>
      <c r="S589">
        <f t="shared" si="29"/>
        <v>1.0959700834607102</v>
      </c>
      <c r="T589" s="564">
        <f>IF((I589-MAX(I$470:I589))/MAX(I$470:I589)&gt;T588,T588,(I589-MAX(I$470:I589))/MAX(I$470:I589))</f>
        <v>-0.13666535856332884</v>
      </c>
      <c r="U589" s="564">
        <f>IF((J589-MAX(J$470:J589))/MAX(J$470:J589)&gt;U588,U588,(J589-MAX(J$470:J589))/MAX(J$470:J589))</f>
        <v>-0.40648897885739943</v>
      </c>
      <c r="V589" s="564">
        <f>IF((K589-MAX(K$470:K589))/MAX(K$470:K589)&gt;V588,V588,(K589-MAX(K$470:K589))/MAX(K$470:K589))</f>
        <v>-0.68158456867950912</v>
      </c>
      <c r="W589" s="564">
        <f>IF((N589-MAX(N$470:N589))/MAX(N$470:N589)&gt;W588,W588,(N589-MAX(N$470:N589))/MAX(N$470:N589))</f>
        <v>-0.10311304065408976</v>
      </c>
      <c r="X589" s="564">
        <f>IF((O589-MAX(O$470:O589))/MAX(O$470:O589)&gt;X588,X588,(O589-MAX(O$470:O589))/MAX(O$470:O589))</f>
        <v>-0.12147101883973409</v>
      </c>
    </row>
    <row r="590" spans="1:24">
      <c r="A590" s="799">
        <v>40992</v>
      </c>
      <c r="B590">
        <v>4.6760000000000002</v>
      </c>
      <c r="C590">
        <v>8.7712629999999994</v>
      </c>
      <c r="D590">
        <v>0.94428500000000004</v>
      </c>
      <c r="E590">
        <f>LN(D590/参数实验室!$E$53)/参数实验室!$E$55</f>
        <v>-0.76060030499342057</v>
      </c>
      <c r="F590">
        <f t="shared" si="38"/>
        <v>1.8758047476475619</v>
      </c>
      <c r="G590">
        <f>LN(F590/参数实验室!$E$58)/参数实验室!$E$59</f>
        <v>0.13962299012907115</v>
      </c>
      <c r="H590" s="856">
        <f>INDEX(神经网络!$G$10:$BO$70,MATCH(ROUND(G590*2,1)/2,神经网络!$E$10:$E$70,0),MATCH(ROUND(E590*2,1)/2,神经网络!$G$8:$BO$8,0))</f>
        <v>-8.198094997518042E-2</v>
      </c>
      <c r="I590">
        <f t="shared" si="30"/>
        <v>1.0496333808958471</v>
      </c>
      <c r="J590">
        <f t="shared" si="31"/>
        <v>1.8658473325086802</v>
      </c>
      <c r="K590">
        <f t="shared" si="32"/>
        <v>0.56255051665164257</v>
      </c>
      <c r="L590" s="4">
        <f>MIN(MAX(L589*(1+MAX(MIN(((B590-B589)/B589)/($K$7*卓尔金历!$N$40),0),-卓尔金历!$M$43))+MIN(MAX(((B590-B589)/B589)/($K$7*卓尔金历!$N$40),0),卓尔金历!$M$43),0),1)</f>
        <v>0.25670453468560606</v>
      </c>
      <c r="M590" s="4">
        <f>MIN(MAX(M589*(1+MAX(MIN(((B590-B589)/B589)/($K$7*30),0),-卓尔金历!$M$43))+MIN(MAX(((B590-B589)/B589)/($K$7*7),0),卓尔金历!$M$43),0),1)</f>
        <v>0.75838953796933473</v>
      </c>
      <c r="N590">
        <f t="shared" si="33"/>
        <v>1.050835331056454</v>
      </c>
      <c r="O590">
        <f t="shared" si="34"/>
        <v>1.0696850129031168</v>
      </c>
      <c r="P590">
        <f t="shared" si="35"/>
        <v>-2.1340162185232154E-3</v>
      </c>
      <c r="Q590">
        <f t="shared" si="36"/>
        <v>3.4393021421789134E-2</v>
      </c>
      <c r="R590">
        <f t="shared" si="37"/>
        <v>1</v>
      </c>
      <c r="S590">
        <f t="shared" si="29"/>
        <v>1.0961618219766864</v>
      </c>
      <c r="T590" s="564">
        <f>IF((I590-MAX(I$470:I590))/MAX(I$470:I590)&gt;T589,T589,(I590-MAX(I$470:I590))/MAX(I$470:I590))</f>
        <v>-0.13666535856332884</v>
      </c>
      <c r="U590" s="564">
        <f>IF((J590-MAX(J$470:J590))/MAX(J$470:J590)&gt;U589,U589,(J590-MAX(J$470:J590))/MAX(J$470:J590))</f>
        <v>-0.40648897885739943</v>
      </c>
      <c r="V590" s="564">
        <f>IF((K590-MAX(K$470:K590))/MAX(K$470:K590)&gt;V589,V589,(K590-MAX(K$470:K590))/MAX(K$470:K590))</f>
        <v>-0.68158456867950912</v>
      </c>
      <c r="W590" s="564">
        <f>IF((N590-MAX(N$470:N590))/MAX(N$470:N590)&gt;W589,W589,(N590-MAX(N$470:N590))/MAX(N$470:N590))</f>
        <v>-0.10311304065408976</v>
      </c>
      <c r="X590" s="564">
        <f>IF((O590-MAX(O$470:O590))/MAX(O$470:O590)&gt;X589,X589,(O590-MAX(O$470:O590))/MAX(O$470:O590))</f>
        <v>-0.12147101883973409</v>
      </c>
    </row>
    <row r="591" spans="1:24">
      <c r="A591" s="799">
        <v>40993</v>
      </c>
      <c r="B591">
        <v>4.55</v>
      </c>
      <c r="C591">
        <v>8.752065</v>
      </c>
      <c r="D591">
        <v>0.925145</v>
      </c>
      <c r="E591">
        <f>LN(D591/参数实验室!$E$53)/参数实验室!$E$55</f>
        <v>-0.78475875557976404</v>
      </c>
      <c r="F591">
        <f t="shared" si="38"/>
        <v>1.9235307692307693</v>
      </c>
      <c r="G591">
        <f>LN(F591/参数实验室!$E$58)/参数实验室!$E$59</f>
        <v>0.15280977658339362</v>
      </c>
      <c r="H591" s="856">
        <f>INDEX(神经网络!$G$10:$BO$70,MATCH(ROUND(G591*2,1)/2,神经网络!$E$10:$E$70,0),MATCH(ROUND(E591*2,1)/2,神经网络!$G$8:$BO$8,0))</f>
        <v>-7.9731667079953231E-2</v>
      </c>
      <c r="I591">
        <f t="shared" si="30"/>
        <v>1.0519520918995102</v>
      </c>
      <c r="J591">
        <f t="shared" si="31"/>
        <v>1.8155700091776077</v>
      </c>
      <c r="K591">
        <f t="shared" si="32"/>
        <v>0.57940596428777169</v>
      </c>
      <c r="L591" s="4">
        <f>MIN(MAX(L590*(1+MAX(MIN(((B591-B590)/B590)/($K$7*卓尔金历!$N$40),0),-卓尔金历!$M$43))+MIN(MAX(((B591-B590)/B590)/($K$7*卓尔金历!$N$40),0),卓尔金历!$M$43),0),1)</f>
        <v>0.15101653905164972</v>
      </c>
      <c r="M591" s="4">
        <f>MIN(MAX(M590*(1+MAX(MIN(((B591-B590)/B590)/($K$7*30),0),-卓尔金历!$M$43))+MIN(MAX(((B591-B590)/B590)/($K$7*7),0),卓尔金历!$M$43),0),1)</f>
        <v>0.60227100606278572</v>
      </c>
      <c r="N591">
        <f t="shared" si="33"/>
        <v>1.0514312362847902</v>
      </c>
      <c r="O591">
        <f t="shared" si="34"/>
        <v>1.0714770922445411</v>
      </c>
      <c r="P591">
        <f t="shared" si="35"/>
        <v>-2.6946107784431208E-2</v>
      </c>
      <c r="Q591">
        <f t="shared" si="36"/>
        <v>3.3462787933814818E-2</v>
      </c>
      <c r="R591">
        <f t="shared" si="37"/>
        <v>0.25843753319951535</v>
      </c>
      <c r="S591">
        <f t="shared" si="29"/>
        <v>1.0985833174480324</v>
      </c>
      <c r="T591" s="564">
        <f>IF((I591-MAX(I$470:I591))/MAX(I$470:I591)&gt;T590,T590,(I591-MAX(I$470:I591))/MAX(I$470:I591))</f>
        <v>-0.13666535856332884</v>
      </c>
      <c r="U591" s="564">
        <f>IF((J591-MAX(J$470:J591))/MAX(J$470:J591)&gt;U590,U590,(J591-MAX(J$470:J591))/MAX(J$470:J591))</f>
        <v>-0.40648897885739943</v>
      </c>
      <c r="V591" s="564">
        <f>IF((K591-MAX(K$470:K591))/MAX(K$470:K591)&gt;V590,V590,(K591-MAX(K$470:K591))/MAX(K$470:K591))</f>
        <v>-0.68158456867950912</v>
      </c>
      <c r="W591" s="564">
        <f>IF((N591-MAX(N$470:N591))/MAX(N$470:N591)&gt;W590,W590,(N591-MAX(N$470:N591))/MAX(N$470:N591))</f>
        <v>-0.10311304065408976</v>
      </c>
      <c r="X591" s="564">
        <f>IF((O591-MAX(O$470:O591))/MAX(O$470:O591)&gt;X590,X590,(O591-MAX(O$470:O591))/MAX(O$470:O591))</f>
        <v>-0.12147101883973409</v>
      </c>
    </row>
    <row r="592" spans="1:24">
      <c r="A592" s="799">
        <v>40994</v>
      </c>
      <c r="B592">
        <v>4.6191000000000004</v>
      </c>
      <c r="C592">
        <v>8.8594629999999999</v>
      </c>
      <c r="D592">
        <v>0.94207700000000005</v>
      </c>
      <c r="E592">
        <f>LN(D592/参数实验室!$E$53)/参数实验室!$E$55</f>
        <v>-0.76336212520856028</v>
      </c>
      <c r="F592">
        <f t="shared" si="38"/>
        <v>1.9180063215777963</v>
      </c>
      <c r="G592">
        <f>LN(F592/参数实验室!$E$58)/参数实验室!$E$59</f>
        <v>0.15130020860748306</v>
      </c>
      <c r="H592" s="856">
        <f>INDEX(神经网络!$G$10:$BO$70,MATCH(ROUND(G592*2,1)/2,神经网络!$E$10:$E$70,0),MATCH(ROUND(E592*2,1)/2,神经网络!$G$8:$BO$8,0))</f>
        <v>-8.198094997518042E-2</v>
      </c>
      <c r="I592">
        <f t="shared" si="30"/>
        <v>1.0506783147404553</v>
      </c>
      <c r="J592">
        <f t="shared" si="31"/>
        <v>1.843142731734569</v>
      </c>
      <c r="K592">
        <f t="shared" si="32"/>
        <v>0.57004717901129076</v>
      </c>
      <c r="L592" s="4">
        <f>MIN(MAX(L591*(1+MAX(MIN(((B592-B591)/B591)/($K$7*卓尔金历!$N$40),0),-卓尔金历!$M$43))+MIN(MAX(((B592-B591)/B591)/($K$7*卓尔金历!$N$40),0),卓尔金历!$M$43),0),1)</f>
        <v>0.3830564708517693</v>
      </c>
      <c r="M592" s="4">
        <f>MIN(MAX(M591*(1+MAX(MIN(((B592-B591)/B591)/($K$7*30),0),-卓尔金历!$M$43))+MIN(MAX(((B592-B591)/B591)/($K$7*7),0),卓尔金历!$M$43),0),1)</f>
        <v>1</v>
      </c>
      <c r="N592">
        <f t="shared" si="33"/>
        <v>1.0512389701110865</v>
      </c>
      <c r="O592">
        <f t="shared" si="34"/>
        <v>1.0706956941602805</v>
      </c>
      <c r="P592">
        <f t="shared" si="35"/>
        <v>1.518681318681332E-2</v>
      </c>
      <c r="Q592">
        <f t="shared" si="36"/>
        <v>3.2721562380990783E-2</v>
      </c>
      <c r="R592">
        <f t="shared" si="37"/>
        <v>0.82675581306848023</v>
      </c>
      <c r="S592">
        <f t="shared" si="29"/>
        <v>1.0982395331141424</v>
      </c>
      <c r="T592" s="564">
        <f>IF((I592-MAX(I$470:I592))/MAX(I$470:I592)&gt;T591,T591,(I592-MAX(I$470:I592))/MAX(I$470:I592))</f>
        <v>-0.13666535856332884</v>
      </c>
      <c r="U592" s="564">
        <f>IF((J592-MAX(J$470:J592))/MAX(J$470:J592)&gt;U591,U591,(J592-MAX(J$470:J592))/MAX(J$470:J592))</f>
        <v>-0.40648897885739943</v>
      </c>
      <c r="V592" s="564">
        <f>IF((K592-MAX(K$470:K592))/MAX(K$470:K592)&gt;V591,V591,(K592-MAX(K$470:K592))/MAX(K$470:K592))</f>
        <v>-0.68158456867950912</v>
      </c>
      <c r="W592" s="564">
        <f>IF((N592-MAX(N$470:N592))/MAX(N$470:N592)&gt;W591,W591,(N592-MAX(N$470:N592))/MAX(N$470:N592))</f>
        <v>-0.10311304065408976</v>
      </c>
      <c r="X592" s="564">
        <f>IF((O592-MAX(O$470:O592))/MAX(O$470:O592)&gt;X591,X591,(O592-MAX(O$470:O592))/MAX(O$470:O592))</f>
        <v>-0.12147101883973409</v>
      </c>
    </row>
    <row r="593" spans="1:24">
      <c r="A593" s="799">
        <v>40995</v>
      </c>
      <c r="B593">
        <v>4.8113000000000001</v>
      </c>
      <c r="C593">
        <v>8.8514510000000008</v>
      </c>
      <c r="D593">
        <v>0.97836199999999995</v>
      </c>
      <c r="E593">
        <f>LN(D593/参数实验室!$E$53)/参数实验室!$E$55</f>
        <v>-0.71877602646006578</v>
      </c>
      <c r="F593">
        <f t="shared" si="38"/>
        <v>1.8397212811506247</v>
      </c>
      <c r="G593">
        <f>LN(F593/参数实验室!$E$58)/参数实验室!$E$59</f>
        <v>0.12942839127223074</v>
      </c>
      <c r="H593" s="856">
        <f>INDEX(神经网络!$G$10:$BO$70,MATCH(ROUND(G593*2,1)/2,神经网络!$E$10:$E$70,0),MATCH(ROUND(E593*2,1)/2,神经网络!$G$8:$BO$8,0))</f>
        <v>-7.3760566950301559E-2</v>
      </c>
      <c r="I593">
        <f t="shared" si="30"/>
        <v>1.0470942261642098</v>
      </c>
      <c r="J593">
        <f t="shared" si="31"/>
        <v>1.919835601133236</v>
      </c>
      <c r="K593">
        <f t="shared" si="32"/>
        <v>0.54540827638894362</v>
      </c>
      <c r="L593" s="4">
        <f>MIN(MAX(L592*(1+MAX(MIN(((B593-B592)/B592)/($K$7*卓尔金历!$N$40),0),-卓尔金历!$M$43))+MIN(MAX(((B593-B592)/B592)/($K$7*卓尔金历!$N$40),0),卓尔金历!$M$43),0),1)</f>
        <v>1</v>
      </c>
      <c r="M593" s="4">
        <f>MIN(MAX(M592*(1+MAX(MIN(((B593-B592)/B592)/($K$7*30),0),-卓尔金历!$M$43))+MIN(MAX(((B593-B592)/B592)/($K$7*7),0),卓尔金历!$M$43),0),1)</f>
        <v>1</v>
      </c>
      <c r="N593">
        <f t="shared" si="33"/>
        <v>1.0498653291884312</v>
      </c>
      <c r="O593">
        <f t="shared" si="34"/>
        <v>1.0670433220191244</v>
      </c>
      <c r="P593">
        <f t="shared" si="35"/>
        <v>4.1609837414214826E-2</v>
      </c>
      <c r="Q593">
        <f t="shared" si="36"/>
        <v>3.4076185641952465E-2</v>
      </c>
      <c r="R593">
        <f t="shared" si="37"/>
        <v>2.6185828072810415E-2</v>
      </c>
      <c r="S593">
        <f t="shared" si="29"/>
        <v>1.0951422329509342</v>
      </c>
      <c r="T593" s="564">
        <f>IF((I593-MAX(I$470:I593))/MAX(I$470:I593)&gt;T592,T592,(I593-MAX(I$470:I593))/MAX(I$470:I593))</f>
        <v>-0.13666535856332884</v>
      </c>
      <c r="U593" s="564">
        <f>IF((J593-MAX(J$470:J593))/MAX(J$470:J593)&gt;U592,U592,(J593-MAX(J$470:J593))/MAX(J$470:J593))</f>
        <v>-0.40648897885739943</v>
      </c>
      <c r="V593" s="564">
        <f>IF((K593-MAX(K$470:K593))/MAX(K$470:K593)&gt;V592,V592,(K593-MAX(K$470:K593))/MAX(K$470:K593))</f>
        <v>-0.68158456867950912</v>
      </c>
      <c r="W593" s="564">
        <f>IF((N593-MAX(N$470:N593))/MAX(N$470:N593)&gt;W592,W592,(N593-MAX(N$470:N593))/MAX(N$470:N593))</f>
        <v>-0.10311304065408976</v>
      </c>
      <c r="X593" s="564">
        <f>IF((O593-MAX(O$470:O593))/MAX(O$470:O593)&gt;X592,X592,(O593-MAX(O$470:O593))/MAX(O$470:O593))</f>
        <v>-0.12147101883973409</v>
      </c>
    </row>
    <row r="594" spans="1:24">
      <c r="A594" s="799">
        <v>40996</v>
      </c>
      <c r="B594">
        <v>4.7880000000000003</v>
      </c>
      <c r="C594">
        <v>8.9009479999999996</v>
      </c>
      <c r="D594">
        <v>0.97414900000000004</v>
      </c>
      <c r="E594">
        <f>LN(D594/参数实验室!$E$53)/参数实验室!$E$55</f>
        <v>-0.72386722249479252</v>
      </c>
      <c r="F594">
        <f t="shared" si="38"/>
        <v>1.8590116959064327</v>
      </c>
      <c r="G594">
        <f>LN(F594/参数实验室!$E$58)/参数实验室!$E$59</f>
        <v>0.13490310060659039</v>
      </c>
      <c r="H594" s="856">
        <f>INDEX(神经网络!$G$10:$BO$70,MATCH(ROUND(G594*2,1)/2,神经网络!$E$10:$E$70,0),MATCH(ROUND(E594*2,1)/2,神经网络!$G$8:$BO$8,0))</f>
        <v>-7.3760566950301559E-2</v>
      </c>
      <c r="I594">
        <f t="shared" si="30"/>
        <v>1.0474682536299453</v>
      </c>
      <c r="J594">
        <f t="shared" si="31"/>
        <v>1.9105382865807441</v>
      </c>
      <c r="K594">
        <f t="shared" si="32"/>
        <v>0.5482581851340862</v>
      </c>
      <c r="L594" s="4">
        <f>MIN(MAX(L593*(1+MAX(MIN(((B594-B593)/B593)/($K$7*卓尔金历!$N$40),0),-卓尔金历!$M$43))+MIN(MAX(((B594-B593)/B593)/($K$7*卓尔金历!$N$40),0),卓尔金历!$M$43),0),1)</f>
        <v>0.92600718295208095</v>
      </c>
      <c r="M594" s="4">
        <f>MIN(MAX(M593*(1+MAX(MIN(((B594-B593)/B593)/($K$7*30),0),-卓尔金历!$M$43))+MIN(MAX(((B594-B593)/B593)/($K$7*7),0),卓尔金历!$M$43),0),1)</f>
        <v>0.96300359147604042</v>
      </c>
      <c r="N594">
        <f t="shared" si="33"/>
        <v>1.0502403465064796</v>
      </c>
      <c r="O594">
        <f t="shared" si="34"/>
        <v>1.0674244754049347</v>
      </c>
      <c r="P594">
        <f t="shared" si="35"/>
        <v>-4.8427659884022773E-3</v>
      </c>
      <c r="Q594">
        <f t="shared" si="36"/>
        <v>3.4022899446612791E-2</v>
      </c>
      <c r="R594">
        <f t="shared" si="37"/>
        <v>1</v>
      </c>
      <c r="S594">
        <f t="shared" si="29"/>
        <v>1.0951524765971137</v>
      </c>
      <c r="T594" s="564">
        <f>IF((I594-MAX(I$470:I594))/MAX(I$470:I594)&gt;T593,T593,(I594-MAX(I$470:I594))/MAX(I$470:I594))</f>
        <v>-0.13666535856332884</v>
      </c>
      <c r="U594" s="564">
        <f>IF((J594-MAX(J$470:J594))/MAX(J$470:J594)&gt;U593,U593,(J594-MAX(J$470:J594))/MAX(J$470:J594))</f>
        <v>-0.40648897885739943</v>
      </c>
      <c r="V594" s="564">
        <f>IF((K594-MAX(K$470:K594))/MAX(K$470:K594)&gt;V593,V593,(K594-MAX(K$470:K594))/MAX(K$470:K594))</f>
        <v>-0.68158456867950912</v>
      </c>
      <c r="W594" s="564">
        <f>IF((N594-MAX(N$470:N594))/MAX(N$470:N594)&gt;W593,W593,(N594-MAX(N$470:N594))/MAX(N$470:N594))</f>
        <v>-0.10311304065408976</v>
      </c>
      <c r="X594" s="564">
        <f>IF((O594-MAX(O$470:O594))/MAX(O$470:O594)&gt;X593,X593,(O594-MAX(O$470:O594))/MAX(O$470:O594))</f>
        <v>-0.12147101883973409</v>
      </c>
    </row>
    <row r="595" spans="1:24">
      <c r="A595" s="799">
        <v>40997</v>
      </c>
      <c r="B595">
        <v>4.8083999999999998</v>
      </c>
      <c r="C595">
        <v>9.0384550000000008</v>
      </c>
      <c r="D595">
        <v>0.97547700000000004</v>
      </c>
      <c r="E595">
        <f>LN(D595/参数实验室!$E$53)/参数实验室!$E$55</f>
        <v>-0.72226002957645874</v>
      </c>
      <c r="F595">
        <f t="shared" si="38"/>
        <v>1.8797219449297067</v>
      </c>
      <c r="G595">
        <f>LN(F595/参数实验室!$E$58)/参数实验室!$E$59</f>
        <v>0.14071788719410294</v>
      </c>
      <c r="H595" s="856">
        <f>INDEX(神经网络!$G$10:$BO$70,MATCH(ROUND(G595*2,1)/2,神经网络!$E$10:$E$70,0),MATCH(ROUND(E595*2,1)/2,神经网络!$G$8:$BO$8,0))</f>
        <v>-7.3760566950301559E-2</v>
      </c>
      <c r="I595">
        <f t="shared" si="30"/>
        <v>1.0471390677932904</v>
      </c>
      <c r="J595">
        <f t="shared" si="31"/>
        <v>1.91867842464387</v>
      </c>
      <c r="K595">
        <f t="shared" si="32"/>
        <v>0.54576058934297556</v>
      </c>
      <c r="L595" s="4">
        <f>MIN(MAX(L594*(1+MAX(MIN(((B595-B594)/B594)/($K$7*卓尔金历!$N$40),0),-卓尔金历!$M$43))+MIN(MAX(((B595-B594)/B594)/($K$7*卓尔金历!$N$40),0),卓尔金历!$M$43),0),1)</f>
        <v>0.99110585120280426</v>
      </c>
      <c r="M595" s="4">
        <f>MIN(MAX(M594*(1+MAX(MIN(((B595-B594)/B594)/($K$7*30),0),-卓尔金历!$M$43))+MIN(MAX(((B595-B594)/B594)/($K$7*7),0),卓尔金历!$M$43),0),1)</f>
        <v>1</v>
      </c>
      <c r="N595">
        <f t="shared" si="33"/>
        <v>1.0499347113379907</v>
      </c>
      <c r="O595">
        <f t="shared" si="34"/>
        <v>1.067101428685282</v>
      </c>
      <c r="P595">
        <f t="shared" si="35"/>
        <v>4.2606516290725829E-3</v>
      </c>
      <c r="Q595">
        <f t="shared" si="36"/>
        <v>3.4039955127715953E-2</v>
      </c>
      <c r="R595">
        <f t="shared" si="37"/>
        <v>1</v>
      </c>
      <c r="S595">
        <f t="shared" si="29"/>
        <v>1.0948083051312731</v>
      </c>
      <c r="T595" s="564">
        <f>IF((I595-MAX(I$470:I595))/MAX(I$470:I595)&gt;T594,T594,(I595-MAX(I$470:I595))/MAX(I$470:I595))</f>
        <v>-0.13666535856332884</v>
      </c>
      <c r="U595" s="564">
        <f>IF((J595-MAX(J$470:J595))/MAX(J$470:J595)&gt;U594,U594,(J595-MAX(J$470:J595))/MAX(J$470:J595))</f>
        <v>-0.40648897885739943</v>
      </c>
      <c r="V595" s="564">
        <f>IF((K595-MAX(K$470:K595))/MAX(K$470:K595)&gt;V594,V594,(K595-MAX(K$470:K595))/MAX(K$470:K595))</f>
        <v>-0.68158456867950912</v>
      </c>
      <c r="W595" s="564">
        <f>IF((N595-MAX(N$470:N595))/MAX(N$470:N595)&gt;W594,W594,(N595-MAX(N$470:N595))/MAX(N$470:N595))</f>
        <v>-0.10311304065408976</v>
      </c>
      <c r="X595" s="564">
        <f>IF((O595-MAX(O$470:O595))/MAX(O$470:O595)&gt;X594,X594,(O595-MAX(O$470:O595))/MAX(O$470:O595))</f>
        <v>-0.12147101883973409</v>
      </c>
    </row>
    <row r="596" spans="1:24">
      <c r="A596" s="799">
        <v>40998</v>
      </c>
      <c r="B596">
        <v>4.8600000000000003</v>
      </c>
      <c r="C596">
        <v>9.2176589999999994</v>
      </c>
      <c r="D596">
        <v>1.003808</v>
      </c>
      <c r="E596">
        <f>LN(D596/参数实验室!$E$53)/参数实验室!$E$55</f>
        <v>-0.68848432563916939</v>
      </c>
      <c r="F596">
        <f t="shared" si="38"/>
        <v>1.8966376543209873</v>
      </c>
      <c r="G596">
        <f>LN(F596/参数实验室!$E$58)/参数实验室!$E$59</f>
        <v>0.14541994885593654</v>
      </c>
      <c r="H596" s="856">
        <f>INDEX(神经网络!$G$10:$BO$70,MATCH(ROUND(G596*2,1)/2,神经网络!$E$10:$E$70,0),MATCH(ROUND(E596*2,1)/2,神经网络!$G$8:$BO$8,0))</f>
        <v>-7.3760566950301559E-2</v>
      </c>
      <c r="I596">
        <f t="shared" si="30"/>
        <v>1.0463102143950875</v>
      </c>
      <c r="J596">
        <f t="shared" si="31"/>
        <v>1.9392681856270713</v>
      </c>
      <c r="K596">
        <f t="shared" si="32"/>
        <v>0.53953868894969692</v>
      </c>
      <c r="L596" s="4">
        <f>MIN(MAX(L595*(1+MAX(MIN(((B596-B595)/B595)/($K$7*卓尔金历!$N$40),0),-卓尔金历!$M$43))+MIN(MAX(((B596-B595)/B595)/($K$7*卓尔金历!$N$40),0),卓尔金历!$M$43),0),1)</f>
        <v>1</v>
      </c>
      <c r="M596" s="4">
        <f>MIN(MAX(M595*(1+MAX(MIN(((B596-B595)/B595)/($K$7*30),0),-卓尔金历!$M$43))+MIN(MAX(((B596-B595)/B595)/($K$7*7),0),卓尔金历!$M$43),0),1)</f>
        <v>1</v>
      </c>
      <c r="N596">
        <f t="shared" si="33"/>
        <v>1.0491110367006016</v>
      </c>
      <c r="O596">
        <f t="shared" si="34"/>
        <v>1.0662567742620097</v>
      </c>
      <c r="P596">
        <f t="shared" si="35"/>
        <v>1.0731220364362477E-2</v>
      </c>
      <c r="Q596">
        <f t="shared" si="36"/>
        <v>3.3983295151811484E-2</v>
      </c>
      <c r="R596">
        <f t="shared" si="37"/>
        <v>1</v>
      </c>
      <c r="S596">
        <f t="shared" si="29"/>
        <v>1.0939417195821339</v>
      </c>
      <c r="T596" s="564">
        <f>IF((I596-MAX(I$470:I596))/MAX(I$470:I596)&gt;T595,T595,(I596-MAX(I$470:I596))/MAX(I$470:I596))</f>
        <v>-0.13666535856332884</v>
      </c>
      <c r="U596" s="564">
        <f>IF((J596-MAX(J$470:J596))/MAX(J$470:J596)&gt;U595,U595,(J596-MAX(J$470:J596))/MAX(J$470:J596))</f>
        <v>-0.40648897885739943</v>
      </c>
      <c r="V596" s="564">
        <f>IF((K596-MAX(K$470:K596))/MAX(K$470:K596)&gt;V595,V595,(K596-MAX(K$470:K596))/MAX(K$470:K596))</f>
        <v>-0.68158456867950912</v>
      </c>
      <c r="W596" s="564">
        <f>IF((N596-MAX(N$470:N596))/MAX(N$470:N596)&gt;W595,W595,(N596-MAX(N$470:N596))/MAX(N$470:N596))</f>
        <v>-0.10311304065408976</v>
      </c>
      <c r="X596" s="564">
        <f>IF((O596-MAX(O$470:O596))/MAX(O$470:O596)&gt;X595,X595,(O596-MAX(O$470:O596))/MAX(O$470:O596))</f>
        <v>-0.12147101883973409</v>
      </c>
    </row>
    <row r="597" spans="1:24">
      <c r="A597" s="799">
        <v>40999</v>
      </c>
      <c r="B597">
        <v>4.9086999999999996</v>
      </c>
      <c r="C597">
        <v>9.132104</v>
      </c>
      <c r="D597">
        <v>1.009474</v>
      </c>
      <c r="E597">
        <f>LN(D597/参数实验室!$E$53)/参数实验室!$E$55</f>
        <v>-0.68184392501151381</v>
      </c>
      <c r="F597">
        <f t="shared" si="38"/>
        <v>1.8603915496974761</v>
      </c>
      <c r="G597">
        <f>LN(F597/参数实验室!$E$58)/参数实验室!$E$59</f>
        <v>0.13529252967705863</v>
      </c>
      <c r="H597" s="856">
        <f>INDEX(神经网络!$G$10:$BO$70,MATCH(ROUND(G597*2,1)/2,神经网络!$E$10:$E$70,0),MATCH(ROUND(E597*2,1)/2,神经网络!$G$8:$BO$8,0))</f>
        <v>-7.3760566950301559E-2</v>
      </c>
      <c r="I597">
        <f t="shared" si="30"/>
        <v>1.0455368620564089</v>
      </c>
      <c r="J597">
        <f t="shared" si="31"/>
        <v>1.958700770120906</v>
      </c>
      <c r="K597">
        <f t="shared" si="32"/>
        <v>0.53379100983958383</v>
      </c>
      <c r="L597" s="4">
        <f>MIN(MAX(L596*(1+MAX(MIN(((B597-B596)/B596)/($K$7*卓尔金历!$N$40),0),-卓尔金历!$M$43))+MIN(MAX(((B597-B596)/B596)/($K$7*卓尔金历!$N$40),0),卓尔金历!$M$43),0),1)</f>
        <v>1</v>
      </c>
      <c r="M597" s="4">
        <f>MIN(MAX(M596*(1+MAX(MIN(((B597-B596)/B596)/($K$7*30),0),-卓尔金历!$M$43))+MIN(MAX(((B597-B596)/B596)/($K$7*7),0),卓尔金历!$M$43),0),1)</f>
        <v>1</v>
      </c>
      <c r="N597">
        <f t="shared" si="33"/>
        <v>1.048335614208683</v>
      </c>
      <c r="O597">
        <f t="shared" si="34"/>
        <v>1.0654686789546499</v>
      </c>
      <c r="P597">
        <f t="shared" si="35"/>
        <v>1.0020576131687099E-2</v>
      </c>
      <c r="Q597">
        <f t="shared" si="36"/>
        <v>3.4009410511681784E-2</v>
      </c>
      <c r="R597">
        <f t="shared" si="37"/>
        <v>1</v>
      </c>
      <c r="S597">
        <f t="shared" si="29"/>
        <v>1.0931331616845068</v>
      </c>
      <c r="T597" s="564">
        <f>IF((I597-MAX(I$470:I597))/MAX(I$470:I597)&gt;T596,T596,(I597-MAX(I$470:I597))/MAX(I$470:I597))</f>
        <v>-0.13666535856332884</v>
      </c>
      <c r="U597" s="564">
        <f>IF((J597-MAX(J$470:J597))/MAX(J$470:J597)&gt;U596,U596,(J597-MAX(J$470:J597))/MAX(J$470:J597))</f>
        <v>-0.40648897885739943</v>
      </c>
      <c r="V597" s="564">
        <f>IF((K597-MAX(K$470:K597))/MAX(K$470:K597)&gt;V596,V596,(K597-MAX(K$470:K597))/MAX(K$470:K597))</f>
        <v>-0.68158456867950912</v>
      </c>
      <c r="W597" s="564">
        <f>IF((N597-MAX(N$470:N597))/MAX(N$470:N597)&gt;W596,W596,(N597-MAX(N$470:N597))/MAX(N$470:N597))</f>
        <v>-0.10311304065408976</v>
      </c>
      <c r="X597" s="564">
        <f>IF((O597-MAX(O$470:O597))/MAX(O$470:O597)&gt;X596,X596,(O597-MAX(O$470:O597))/MAX(O$470:O597))</f>
        <v>-0.12147101883973409</v>
      </c>
    </row>
    <row r="598" spans="1:24">
      <c r="A598" s="799">
        <v>41000</v>
      </c>
      <c r="B598">
        <v>4.827</v>
      </c>
      <c r="C598">
        <v>9.1089479999999998</v>
      </c>
      <c r="D598">
        <v>0.98982700000000001</v>
      </c>
      <c r="E598">
        <f>LN(D598/参数实验室!$E$53)/参数实验室!$E$55</f>
        <v>-0.70503138716611957</v>
      </c>
      <c r="F598">
        <f t="shared" si="38"/>
        <v>1.8870826600372903</v>
      </c>
      <c r="G598">
        <f>LN(F598/参数实验室!$E$58)/参数实验室!$E$59</f>
        <v>0.14276912499733502</v>
      </c>
      <c r="H598" s="856">
        <f>INDEX(神经网络!$G$10:$BO$70,MATCH(ROUND(G598*2,1)/2,神经网络!$E$10:$E$70,0),MATCH(ROUND(E598*2,1)/2,神经网络!$G$8:$BO$8,0))</f>
        <v>-7.3760566950301559E-2</v>
      </c>
      <c r="I598">
        <f t="shared" si="30"/>
        <v>1.0468204308837827</v>
      </c>
      <c r="J598">
        <f t="shared" si="31"/>
        <v>1.926100315230838</v>
      </c>
      <c r="K598">
        <f t="shared" si="32"/>
        <v>0.54349216528648148</v>
      </c>
      <c r="L598" s="4">
        <f>MIN(MAX(L597*(1+MAX(MIN(((B598-B597)/B597)/($K$7*卓尔金历!$N$40),0),-卓尔金历!$M$43))+MIN(MAX(((B598-B597)/B597)/($K$7*卓尔金历!$N$40),0),卓尔金历!$M$43),0),1)</f>
        <v>0.74569690582535997</v>
      </c>
      <c r="M598" s="4">
        <f>MIN(MAX(M597*(1+MAX(MIN(((B598-B597)/B597)/($K$7*30),0),-卓尔金历!$M$43))+MIN(MAX(((B598-B597)/B597)/($K$7*7),0),卓尔金历!$M$43),0),1)</f>
        <v>0.87284845291267998</v>
      </c>
      <c r="N598">
        <f t="shared" si="33"/>
        <v>1.0496226189656241</v>
      </c>
      <c r="O598">
        <f t="shared" si="34"/>
        <v>1.0667767173725009</v>
      </c>
      <c r="P598">
        <f t="shared" si="35"/>
        <v>-1.6643917941613802E-2</v>
      </c>
      <c r="Q598">
        <f t="shared" si="36"/>
        <v>3.4051979868771273E-2</v>
      </c>
      <c r="R598">
        <f t="shared" si="37"/>
        <v>0.774198135635769</v>
      </c>
      <c r="S598">
        <f t="shared" si="29"/>
        <v>1.0944751628146698</v>
      </c>
      <c r="T598" s="564">
        <f>IF((I598-MAX(I$470:I598))/MAX(I$470:I598)&gt;T597,T597,(I598-MAX(I$470:I598))/MAX(I$470:I598))</f>
        <v>-0.13666535856332884</v>
      </c>
      <c r="U598" s="564">
        <f>IF((J598-MAX(J$470:J598))/MAX(J$470:J598)&gt;U597,U597,(J598-MAX(J$470:J598))/MAX(J$470:J598))</f>
        <v>-0.40648897885739943</v>
      </c>
      <c r="V598" s="564">
        <f>IF((K598-MAX(K$470:K598))/MAX(K$470:K598)&gt;V597,V597,(K598-MAX(K$470:K598))/MAX(K$470:K598))</f>
        <v>-0.68158456867950912</v>
      </c>
      <c r="W598" s="564">
        <f>IF((N598-MAX(N$470:N598))/MAX(N$470:N598)&gt;W597,W597,(N598-MAX(N$470:N598))/MAX(N$470:N598))</f>
        <v>-0.10311304065408976</v>
      </c>
      <c r="X598" s="564">
        <f>IF((O598-MAX(O$470:O598))/MAX(O$470:O598)&gt;X597,X597,(O598-MAX(O$470:O598))/MAX(O$470:O598))</f>
        <v>-0.12147101883973409</v>
      </c>
    </row>
    <row r="599" spans="1:24">
      <c r="A599" s="799">
        <v>41001</v>
      </c>
      <c r="B599">
        <v>4.9740000000000002</v>
      </c>
      <c r="C599">
        <v>9.1114219999999992</v>
      </c>
      <c r="D599">
        <v>1.0285470000000001</v>
      </c>
      <c r="E599">
        <f>LN(D599/参数实验室!$E$53)/参数实验室!$E$55</f>
        <v>-0.65976162991003362</v>
      </c>
      <c r="F599">
        <f t="shared" si="38"/>
        <v>1.8318098110172898</v>
      </c>
      <c r="G599">
        <f>LN(F599/参数实验室!$E$58)/参数实验室!$E$59</f>
        <v>0.12716646108083399</v>
      </c>
      <c r="H599" s="856">
        <f>INDEX(神经网络!$G$10:$BO$70,MATCH(ROUND(G599*2,1)/2,神经网络!$E$10:$E$70,0),MATCH(ROUND(E599*2,1)/2,神经网络!$G$8:$BO$8,0))</f>
        <v>-5.5804892005106688E-2</v>
      </c>
      <c r="I599">
        <f t="shared" si="30"/>
        <v>1.0444689769649635</v>
      </c>
      <c r="J599">
        <f t="shared" si="31"/>
        <v>1.9847571924504224</v>
      </c>
      <c r="K599">
        <f t="shared" si="32"/>
        <v>0.52624521575631145</v>
      </c>
      <c r="L599" s="4">
        <f>MIN(MAX(L598*(1+MAX(MIN(((B599-B598)/B598)/($K$7*卓尔金历!$N$40),0),-卓尔金历!$M$43))+MIN(MAX(((B599-B598)/B598)/($K$7*卓尔金历!$N$40),0),卓尔金历!$M$43),0),1)</f>
        <v>1</v>
      </c>
      <c r="M599" s="4">
        <f>MIN(MAX(M598*(1+MAX(MIN(((B599-B598)/B598)/($K$7*30),0),-卓尔金历!$M$43))+MIN(MAX(((B599-B598)/B598)/($K$7*7),0),卓尔金历!$M$43),0),1)</f>
        <v>1</v>
      </c>
      <c r="N599">
        <f t="shared" si="33"/>
        <v>1.047864453261474</v>
      </c>
      <c r="O599">
        <f t="shared" si="34"/>
        <v>1.0646851268890309</v>
      </c>
      <c r="P599">
        <f t="shared" si="35"/>
        <v>3.0453697949036719E-2</v>
      </c>
      <c r="Q599">
        <f t="shared" si="36"/>
        <v>3.4654431976255382E-2</v>
      </c>
      <c r="R599">
        <f t="shared" si="37"/>
        <v>0.16767030953916234</v>
      </c>
      <c r="S599">
        <f t="shared" ref="S599:S662" si="39">S598*(1+(B599-B598)/B598*H598*R598)</f>
        <v>1.0925717967859794</v>
      </c>
      <c r="T599" s="564">
        <f>IF((I599-MAX(I$470:I599))/MAX(I$470:I599)&gt;T598,T598,(I599-MAX(I$470:I599))/MAX(I$470:I599))</f>
        <v>-0.13666535856332884</v>
      </c>
      <c r="U599" s="564">
        <f>IF((J599-MAX(J$470:J599))/MAX(J$470:J599)&gt;U598,U598,(J599-MAX(J$470:J599))/MAX(J$470:J599))</f>
        <v>-0.40648897885739943</v>
      </c>
      <c r="V599" s="564">
        <f>IF((K599-MAX(K$470:K599))/MAX(K$470:K599)&gt;V598,V598,(K599-MAX(K$470:K599))/MAX(K$470:K599))</f>
        <v>-0.68158456867950912</v>
      </c>
      <c r="W599" s="564">
        <f>IF((N599-MAX(N$470:N599))/MAX(N$470:N599)&gt;W598,W598,(N599-MAX(N$470:N599))/MAX(N$470:N599))</f>
        <v>-0.10311304065408976</v>
      </c>
      <c r="X599" s="564">
        <f>IF((O599-MAX(O$470:O599))/MAX(O$470:O599)&gt;X598,X598,(O599-MAX(O$470:O599))/MAX(O$470:O599))</f>
        <v>-0.12147101883973409</v>
      </c>
    </row>
    <row r="600" spans="1:24">
      <c r="A600" s="799">
        <v>41002</v>
      </c>
      <c r="B600">
        <v>4.952</v>
      </c>
      <c r="C600">
        <v>9.1592850000000006</v>
      </c>
      <c r="D600">
        <v>1.02617</v>
      </c>
      <c r="E600">
        <f>LN(D600/参数实验室!$E$53)/参数实验室!$E$55</f>
        <v>-0.66249122694155871</v>
      </c>
      <c r="F600">
        <f t="shared" si="38"/>
        <v>1.8496132875605817</v>
      </c>
      <c r="G600">
        <f>LN(F600/参数实验室!$E$58)/参数实验室!$E$59</f>
        <v>0.13224292159110562</v>
      </c>
      <c r="H600" s="856">
        <f>INDEX(神经网络!$G$10:$BO$70,MATCH(ROUND(G600*2,1)/2,神经网络!$E$10:$E$70,0),MATCH(ROUND(E600*2,1)/2,神经网络!$G$8:$BO$8,0))</f>
        <v>-5.5804892005106688E-2</v>
      </c>
      <c r="I600">
        <f t="shared" ref="I600:I663" si="40">I599*(1+(B600-B599)/B599*H599)</f>
        <v>1.0447267780357654</v>
      </c>
      <c r="J600">
        <f t="shared" ref="J600:J663" si="41">J599*B600/B599</f>
        <v>1.9759786121862666</v>
      </c>
      <c r="K600">
        <f t="shared" ref="K600:K663" si="42">I600/J600</f>
        <v>0.52871360630763942</v>
      </c>
      <c r="L600" s="4">
        <f>MIN(MAX(L599*(1+MAX(MIN(((B600-B599)/B599)/($K$7*卓尔金历!$N$40),0),-卓尔金历!$M$43))+MIN(MAX(((B600-B599)/B599)/($K$7*卓尔金历!$N$40),0),卓尔金历!$M$43),0),1)</f>
        <v>0.93242081057914461</v>
      </c>
      <c r="M600" s="4">
        <f>MIN(MAX(M599*(1+MAX(MIN(((B600-B599)/B599)/($K$7*30),0),-卓尔金历!$M$43))+MIN(MAX(((B600-B599)/B599)/($K$7*7),0),卓尔金历!$M$43),0),1)</f>
        <v>0.96621040528957236</v>
      </c>
      <c r="N600">
        <f t="shared" ref="N600:N663" si="43">N599*(1+(B600-B599)/B599*H599*L599)</f>
        <v>1.0481230924207634</v>
      </c>
      <c r="O600">
        <f t="shared" ref="O600:O663" si="44">O599*(1+(B600-B599)/B599*H599*M599)</f>
        <v>1.064947917811339</v>
      </c>
      <c r="P600">
        <f t="shared" ref="P600:P663" si="45">(B600-B599)/B599</f>
        <v>-4.4229995979091757E-3</v>
      </c>
      <c r="Q600">
        <f t="shared" si="36"/>
        <v>3.0171707345267487E-2</v>
      </c>
      <c r="R600">
        <f t="shared" si="37"/>
        <v>1</v>
      </c>
      <c r="S600">
        <f t="shared" si="39"/>
        <v>1.0926170131174211</v>
      </c>
      <c r="T600" s="564">
        <f>IF((I600-MAX(I$470:I600))/MAX(I$470:I600)&gt;T599,T599,(I600-MAX(I$470:I600))/MAX(I$470:I600))</f>
        <v>-0.13666535856332884</v>
      </c>
      <c r="U600" s="564">
        <f>IF((J600-MAX(J$470:J600))/MAX(J$470:J600)&gt;U599,U599,(J600-MAX(J$470:J600))/MAX(J$470:J600))</f>
        <v>-0.40648897885739943</v>
      </c>
      <c r="V600" s="564">
        <f>IF((K600-MAX(K$470:K600))/MAX(K$470:K600)&gt;V599,V599,(K600-MAX(K$470:K600))/MAX(K$470:K600))</f>
        <v>-0.68158456867950912</v>
      </c>
      <c r="W600" s="564">
        <f>IF((N600-MAX(N$470:N600))/MAX(N$470:N600)&gt;W599,W599,(N600-MAX(N$470:N600))/MAX(N$470:N600))</f>
        <v>-0.10311304065408976</v>
      </c>
      <c r="X600" s="564">
        <f>IF((O600-MAX(O$470:O600))/MAX(O$470:O600)&gt;X599,X599,(O600-MAX(O$470:O600))/MAX(O$470:O600))</f>
        <v>-0.12147101883973409</v>
      </c>
    </row>
    <row r="601" spans="1:24">
      <c r="A601" s="799">
        <v>41003</v>
      </c>
      <c r="B601">
        <v>4.9100999999999999</v>
      </c>
      <c r="C601">
        <v>9.2326029999999992</v>
      </c>
      <c r="D601">
        <v>1.0181899999999999</v>
      </c>
      <c r="E601">
        <f>LN(D601/参数实验室!$E$53)/参数实验室!$E$55</f>
        <v>-0.67170142348453687</v>
      </c>
      <c r="F601">
        <f t="shared" si="38"/>
        <v>1.8803289138714079</v>
      </c>
      <c r="G601">
        <f>LN(F601/参数实验室!$E$58)/参数实验室!$E$59</f>
        <v>0.14088733708603629</v>
      </c>
      <c r="H601" s="856">
        <f>INDEX(神经网络!$G$10:$BO$70,MATCH(ROUND(G601*2,1)/2,神经网络!$E$10:$E$70,0),MATCH(ROUND(E601*2,1)/2,神经网络!$G$8:$BO$8,0))</f>
        <v>-5.5804892005106688E-2</v>
      </c>
      <c r="I601">
        <f t="shared" si="40"/>
        <v>1.0452200749348908</v>
      </c>
      <c r="J601">
        <f t="shared" si="41"/>
        <v>1.959259407046807</v>
      </c>
      <c r="K601">
        <f t="shared" si="42"/>
        <v>0.5334771246602571</v>
      </c>
      <c r="L601" s="4">
        <f>MIN(MAX(L600*(1+MAX(MIN(((B601-B600)/B600)/($K$7*卓尔金历!$N$40),0),-卓尔金历!$M$43))+MIN(MAX(((B601-B600)/B600)/($K$7*卓尔金历!$N$40),0),卓尔金历!$M$43),0),1)</f>
        <v>0.81187796945854929</v>
      </c>
      <c r="M601" s="4">
        <f>MIN(MAX(M600*(1+MAX(MIN(((B601-B600)/B600)/($K$7*30),0),-卓尔金历!$M$43))+MIN(MAX(((B601-B600)/B600)/($K$7*7),0),卓尔金历!$M$43),0),1)</f>
        <v>0.90375483477225127</v>
      </c>
      <c r="N601">
        <f t="shared" si="43"/>
        <v>1.0485845480055518</v>
      </c>
      <c r="O601">
        <f t="shared" si="44"/>
        <v>1.0654337717613258</v>
      </c>
      <c r="P601">
        <f t="shared" si="45"/>
        <v>-8.4612277867528365E-3</v>
      </c>
      <c r="Q601">
        <f t="shared" si="36"/>
        <v>2.9733914994110267E-2</v>
      </c>
      <c r="R601">
        <f t="shared" si="37"/>
        <v>1</v>
      </c>
      <c r="S601">
        <f t="shared" si="39"/>
        <v>1.0931329227273152</v>
      </c>
      <c r="T601" s="564">
        <f>IF((I601-MAX(I$470:I601))/MAX(I$470:I601)&gt;T600,T600,(I601-MAX(I$470:I601))/MAX(I$470:I601))</f>
        <v>-0.13666535856332884</v>
      </c>
      <c r="U601" s="564">
        <f>IF((J601-MAX(J$470:J601))/MAX(J$470:J601)&gt;U600,U600,(J601-MAX(J$470:J601))/MAX(J$470:J601))</f>
        <v>-0.40648897885739943</v>
      </c>
      <c r="V601" s="564">
        <f>IF((K601-MAX(K$470:K601))/MAX(K$470:K601)&gt;V600,V600,(K601-MAX(K$470:K601))/MAX(K$470:K601))</f>
        <v>-0.68158456867950912</v>
      </c>
      <c r="W601" s="564">
        <f>IF((N601-MAX(N$470:N601))/MAX(N$470:N601)&gt;W600,W600,(N601-MAX(N$470:N601))/MAX(N$470:N601))</f>
        <v>-0.10311304065408976</v>
      </c>
      <c r="X601" s="564">
        <f>IF((O601-MAX(O$470:O601))/MAX(O$470:O601)&gt;X600,X600,(O601-MAX(O$470:O601))/MAX(O$470:O601))</f>
        <v>-0.12147101883973409</v>
      </c>
    </row>
    <row r="602" spans="1:24">
      <c r="A602" s="799">
        <v>41004</v>
      </c>
      <c r="B602">
        <v>4.9189999999999996</v>
      </c>
      <c r="C602">
        <v>9.3776240000000008</v>
      </c>
      <c r="D602">
        <v>1.0185500000000001</v>
      </c>
      <c r="E602">
        <f>LN(D602/参数实验室!$E$53)/参数实验室!$E$55</f>
        <v>-0.67128437352012982</v>
      </c>
      <c r="F602">
        <f t="shared" si="38"/>
        <v>1.9064086196381382</v>
      </c>
      <c r="G602">
        <f>LN(F602/参数实验室!$E$58)/参数实验室!$E$59</f>
        <v>0.14811691416543898</v>
      </c>
      <c r="H602" s="856">
        <f>INDEX(神经网络!$G$10:$BO$70,MATCH(ROUND(G602*2,1)/2,神经网络!$E$10:$E$70,0),MATCH(ROUND(E602*2,1)/2,神经网络!$G$8:$BO$8,0))</f>
        <v>-5.5804892005106688E-2</v>
      </c>
      <c r="I602">
        <f t="shared" si="40"/>
        <v>1.045114349450422</v>
      </c>
      <c r="J602">
        <f t="shared" si="41"/>
        <v>1.9628107417900336</v>
      </c>
      <c r="K602">
        <f t="shared" si="42"/>
        <v>0.53245803438863615</v>
      </c>
      <c r="L602" s="4">
        <f>MIN(MAX(L601*(1+MAX(MIN(((B602-B601)/B601)/($K$7*卓尔金历!$N$40),0),-卓尔金历!$M$43))+MIN(MAX(((B602-B601)/B601)/($K$7*卓尔金历!$N$40),0),卓尔金历!$M$43),0),1)</f>
        <v>0.83957261097479263</v>
      </c>
      <c r="M602" s="4">
        <f>MIN(MAX(M601*(1+MAX(MIN(((B602-B601)/B601)/($K$7*30),0),-卓尔金历!$M$43))+MIN(MAX(((B602-B601)/B601)/($K$7*7),0),卓尔金历!$M$43),0),1)</f>
        <v>0.96310049516420126</v>
      </c>
      <c r="N602">
        <f t="shared" si="43"/>
        <v>1.0484984355146203</v>
      </c>
      <c r="O602">
        <f t="shared" si="44"/>
        <v>1.0653363739867345</v>
      </c>
      <c r="P602">
        <f t="shared" si="45"/>
        <v>1.8125903749413833E-3</v>
      </c>
      <c r="Q602">
        <f t="shared" si="36"/>
        <v>2.9725344347251787E-2</v>
      </c>
      <c r="R602">
        <f t="shared" si="37"/>
        <v>1</v>
      </c>
      <c r="S602">
        <f t="shared" si="39"/>
        <v>1.0930223507907293</v>
      </c>
      <c r="T602" s="564">
        <f>IF((I602-MAX(I$470:I602))/MAX(I$470:I602)&gt;T601,T601,(I602-MAX(I$470:I602))/MAX(I$470:I602))</f>
        <v>-0.13666535856332884</v>
      </c>
      <c r="U602" s="564">
        <f>IF((J602-MAX(J$470:J602))/MAX(J$470:J602)&gt;U601,U601,(J602-MAX(J$470:J602))/MAX(J$470:J602))</f>
        <v>-0.40648897885739943</v>
      </c>
      <c r="V602" s="564">
        <f>IF((K602-MAX(K$470:K602))/MAX(K$470:K602)&gt;V601,V601,(K602-MAX(K$470:K602))/MAX(K$470:K602))</f>
        <v>-0.68158456867950912</v>
      </c>
      <c r="W602" s="564">
        <f>IF((N602-MAX(N$470:N602))/MAX(N$470:N602)&gt;W601,W601,(N602-MAX(N$470:N602))/MAX(N$470:N602))</f>
        <v>-0.10311304065408976</v>
      </c>
      <c r="X602" s="564">
        <f>IF((O602-MAX(O$470:O602))/MAX(O$470:O602)&gt;X601,X601,(O602-MAX(O$470:O602))/MAX(O$470:O602))</f>
        <v>-0.12147101883973409</v>
      </c>
    </row>
    <row r="603" spans="1:24">
      <c r="A603" s="799">
        <v>41005</v>
      </c>
      <c r="B603">
        <v>4.9499000000000004</v>
      </c>
      <c r="C603">
        <v>9.5162329999999997</v>
      </c>
      <c r="D603">
        <v>1.0238320000000001</v>
      </c>
      <c r="E603">
        <f>LN(D603/参数实验室!$E$53)/参数实验室!$E$55</f>
        <v>-0.66518221385796938</v>
      </c>
      <c r="F603">
        <f t="shared" si="38"/>
        <v>1.9225101517202365</v>
      </c>
      <c r="G603">
        <f>LN(F603/参数实验室!$E$58)/参数实验室!$E$59</f>
        <v>0.15253121728024158</v>
      </c>
      <c r="H603" s="856">
        <f>INDEX(神经网络!$G$10:$BO$70,MATCH(ROUND(G603*2,1)/2,神经网络!$E$10:$E$70,0),MATCH(ROUND(E603*2,1)/2,神经网络!$G$8:$BO$8,0))</f>
        <v>-5.5804892005106688E-2</v>
      </c>
      <c r="I603">
        <f t="shared" si="40"/>
        <v>1.0447479812767717</v>
      </c>
      <c r="J603">
        <f t="shared" si="41"/>
        <v>1.9751406567974161</v>
      </c>
      <c r="K603">
        <f t="shared" si="42"/>
        <v>0.52894864863486435</v>
      </c>
      <c r="L603" s="4">
        <f>MIN(MAX(L602*(1+MAX(MIN(((B603-B602)/B602)/($K$7*卓尔金历!$N$40),0),-卓尔金历!$M$43))+MIN(MAX(((B603-B602)/B602)/($K$7*卓尔金历!$N$40),0),卓尔金历!$M$43),0),1)</f>
        <v>0.9355519456949094</v>
      </c>
      <c r="M603" s="4">
        <f>MIN(MAX(M602*(1+MAX(MIN(((B603-B602)/B602)/($K$7*30),0),-卓尔金历!$M$43))+MIN(MAX(((B603-B602)/B602)/($K$7*7),0),卓尔金历!$M$43),0),1)</f>
        <v>1</v>
      </c>
      <c r="N603">
        <f t="shared" si="43"/>
        <v>1.0481898468436723</v>
      </c>
      <c r="O603">
        <f t="shared" si="44"/>
        <v>1.0649766972987085</v>
      </c>
      <c r="P603">
        <f t="shared" si="45"/>
        <v>6.2817645862981945E-3</v>
      </c>
      <c r="Q603">
        <f t="shared" si="36"/>
        <v>2.9764267665320955E-2</v>
      </c>
      <c r="R603">
        <f t="shared" si="37"/>
        <v>1</v>
      </c>
      <c r="S603">
        <f t="shared" si="39"/>
        <v>1.0926391883141748</v>
      </c>
      <c r="T603" s="564">
        <f>IF((I603-MAX(I$470:I603))/MAX(I$470:I603)&gt;T602,T602,(I603-MAX(I$470:I603))/MAX(I$470:I603))</f>
        <v>-0.13666535856332884</v>
      </c>
      <c r="U603" s="564">
        <f>IF((J603-MAX(J$470:J603))/MAX(J$470:J603)&gt;U602,U602,(J603-MAX(J$470:J603))/MAX(J$470:J603))</f>
        <v>-0.40648897885739943</v>
      </c>
      <c r="V603" s="564">
        <f>IF((K603-MAX(K$470:K603))/MAX(K$470:K603)&gt;V602,V602,(K603-MAX(K$470:K603))/MAX(K$470:K603))</f>
        <v>-0.68158456867950912</v>
      </c>
      <c r="W603" s="564">
        <f>IF((N603-MAX(N$470:N603))/MAX(N$470:N603)&gt;W602,W602,(N603-MAX(N$470:N603))/MAX(N$470:N603))</f>
        <v>-0.10311304065408976</v>
      </c>
      <c r="X603" s="564">
        <f>IF((O603-MAX(O$470:O603))/MAX(O$470:O603)&gt;X602,X602,(O603-MAX(O$470:O603))/MAX(O$470:O603))</f>
        <v>-0.12147101883973409</v>
      </c>
    </row>
    <row r="604" spans="1:24">
      <c r="A604" s="799">
        <v>41006</v>
      </c>
      <c r="B604">
        <v>4.6871999999999998</v>
      </c>
      <c r="C604">
        <v>9.7147039999999993</v>
      </c>
      <c r="D604">
        <v>0.97490900000000003</v>
      </c>
      <c r="E604">
        <f>LN(D604/参数实验室!$E$53)/参数实验室!$E$55</f>
        <v>-0.72294717546606246</v>
      </c>
      <c r="F604">
        <f t="shared" si="38"/>
        <v>2.0726028332479944</v>
      </c>
      <c r="G604">
        <f>LN(F604/参数实验室!$E$58)/参数实验室!$E$59</f>
        <v>0.19198634418554658</v>
      </c>
      <c r="H604" s="856">
        <f>INDEX(神经网络!$G$10:$BO$70,MATCH(ROUND(G604*2,1)/2,神经网络!$E$10:$E$70,0),MATCH(ROUND(E604*2,1)/2,神经网络!$G$8:$BO$8,0))</f>
        <v>-1.5984975685836671E-3</v>
      </c>
      <c r="I604">
        <f t="shared" si="40"/>
        <v>1.0478421747109674</v>
      </c>
      <c r="J604">
        <f t="shared" si="41"/>
        <v>1.8703164279158868</v>
      </c>
      <c r="K604">
        <f t="shared" si="42"/>
        <v>0.56024860770676588</v>
      </c>
      <c r="L604" s="4">
        <f>MIN(MAX(L603*(1+MAX(MIN(((B604-B603)/B603)/($K$7*卓尔金历!$N$40),0),-卓尔金历!$M$43))+MIN(MAX(((B604-B603)/B603)/($K$7*卓尔金历!$N$40),0),卓尔金历!$M$43),0),1)</f>
        <v>0.17692610404434334</v>
      </c>
      <c r="M604" s="4">
        <f>MIN(MAX(M603*(1+MAX(MIN(((B604-B603)/B603)/($K$7*30),0),-卓尔金历!$M$43))+MIN(MAX(((B604-B603)/B603)/($K$7*7),0),卓尔金历!$M$43),0),1)</f>
        <v>0.59455707128743462</v>
      </c>
      <c r="N604">
        <f t="shared" si="43"/>
        <v>1.0510941622227914</v>
      </c>
      <c r="O604">
        <f t="shared" si="44"/>
        <v>1.0681308014112869</v>
      </c>
      <c r="P604">
        <f t="shared" si="45"/>
        <v>-5.3071779227863304E-2</v>
      </c>
      <c r="Q604">
        <f t="shared" si="36"/>
        <v>3.1336611913863111E-2</v>
      </c>
      <c r="R604">
        <f t="shared" si="37"/>
        <v>1.408271921878459E-2</v>
      </c>
      <c r="S604">
        <f t="shared" si="39"/>
        <v>1.0958752194556709</v>
      </c>
      <c r="T604" s="564">
        <f>IF((I604-MAX(I$470:I604))/MAX(I$470:I604)&gt;T603,T603,(I604-MAX(I$470:I604))/MAX(I$470:I604))</f>
        <v>-0.13666535856332884</v>
      </c>
      <c r="U604" s="564">
        <f>IF((J604-MAX(J$470:J604))/MAX(J$470:J604)&gt;U603,U603,(J604-MAX(J$470:J604))/MAX(J$470:J604))</f>
        <v>-0.40648897885739943</v>
      </c>
      <c r="V604" s="564">
        <f>IF((K604-MAX(K$470:K604))/MAX(K$470:K604)&gt;V603,V603,(K604-MAX(K$470:K604))/MAX(K$470:K604))</f>
        <v>-0.68158456867950912</v>
      </c>
      <c r="W604" s="564">
        <f>IF((N604-MAX(N$470:N604))/MAX(N$470:N604)&gt;W603,W603,(N604-MAX(N$470:N604))/MAX(N$470:N604))</f>
        <v>-0.10311304065408976</v>
      </c>
      <c r="X604" s="564">
        <f>IF((O604-MAX(O$470:O604))/MAX(O$470:O604)&gt;X603,X603,(O604-MAX(O$470:O604))/MAX(O$470:O604))</f>
        <v>-0.12147101883973409</v>
      </c>
    </row>
    <row r="605" spans="1:24">
      <c r="A605" s="799">
        <v>41007</v>
      </c>
      <c r="B605">
        <v>4.7925000000000004</v>
      </c>
      <c r="C605">
        <v>9.8621259999999999</v>
      </c>
      <c r="D605">
        <v>0.98932900000000001</v>
      </c>
      <c r="E605">
        <f>LN(D605/参数实验室!$E$53)/参数实验室!$E$55</f>
        <v>-0.7056250918845931</v>
      </c>
      <c r="F605">
        <f t="shared" si="38"/>
        <v>2.0578249347939486</v>
      </c>
      <c r="G605">
        <f>LN(F605/参数实验室!$E$58)/参数实验室!$E$59</f>
        <v>0.18823066884976608</v>
      </c>
      <c r="H605" s="856">
        <f>INDEX(神经网络!$G$10:$BO$70,MATCH(ROUND(G605*2,1)/2,神经网络!$E$10:$E$70,0),MATCH(ROUND(E605*2,1)/2,神经网络!$G$8:$BO$8,0))</f>
        <v>-1.5984975685836671E-3</v>
      </c>
      <c r="I605">
        <f t="shared" si="40"/>
        <v>1.047804545705453</v>
      </c>
      <c r="J605">
        <f t="shared" si="41"/>
        <v>1.9123339052711403</v>
      </c>
      <c r="K605">
        <f t="shared" si="42"/>
        <v>0.54791924298225003</v>
      </c>
      <c r="L605" s="4">
        <f>MIN(MAX(L604*(1+MAX(MIN(((B605-B604)/B604)/($K$7*卓尔金历!$N$40),0),-卓尔金历!$M$43))+MIN(MAX(((B605-B604)/B604)/($K$7*卓尔金历!$N$40),0),卓尔金历!$M$43),0),1)</f>
        <v>0.52017643497736543</v>
      </c>
      <c r="M605" s="4">
        <f>MIN(MAX(M604*(1+MAX(MIN(((B605-B604)/B604)/($K$7*30),0),-卓尔金历!$M$43))+MIN(MAX(((B605-B604)/B604)/($K$7*7),0),卓尔金历!$M$43),0),1)</f>
        <v>1</v>
      </c>
      <c r="N605">
        <f t="shared" si="43"/>
        <v>1.0510874840076707</v>
      </c>
      <c r="O605">
        <f t="shared" si="44"/>
        <v>1.0681079956353154</v>
      </c>
      <c r="P605">
        <f t="shared" si="45"/>
        <v>2.2465437788018565E-2</v>
      </c>
      <c r="Q605">
        <f t="shared" si="36"/>
        <v>3.1673190673174936E-2</v>
      </c>
      <c r="R605">
        <f t="shared" si="37"/>
        <v>0.38559307845138191</v>
      </c>
      <c r="S605">
        <f t="shared" si="39"/>
        <v>1.0958746652454983</v>
      </c>
      <c r="T605" s="564">
        <f>IF((I605-MAX(I$470:I605))/MAX(I$470:I605)&gt;T604,T604,(I605-MAX(I$470:I605))/MAX(I$470:I605))</f>
        <v>-0.13666535856332884</v>
      </c>
      <c r="U605" s="564">
        <f>IF((J605-MAX(J$470:J605))/MAX(J$470:J605)&gt;U604,U604,(J605-MAX(J$470:J605))/MAX(J$470:J605))</f>
        <v>-0.40648897885739943</v>
      </c>
      <c r="V605" s="564">
        <f>IF((K605-MAX(K$470:K605))/MAX(K$470:K605)&gt;V604,V604,(K605-MAX(K$470:K605))/MAX(K$470:K605))</f>
        <v>-0.68158456867950912</v>
      </c>
      <c r="W605" s="564">
        <f>IF((N605-MAX(N$470:N605))/MAX(N$470:N605)&gt;W604,W604,(N605-MAX(N$470:N605))/MAX(N$470:N605))</f>
        <v>-0.10311304065408976</v>
      </c>
      <c r="X605" s="564">
        <f>IF((O605-MAX(O$470:O605))/MAX(O$470:O605)&gt;X604,X604,(O605-MAX(O$470:O605))/MAX(O$470:O605))</f>
        <v>-0.12147101883973409</v>
      </c>
    </row>
    <row r="606" spans="1:24">
      <c r="A606" s="799">
        <v>41008</v>
      </c>
      <c r="B606">
        <v>4.8719000000000001</v>
      </c>
      <c r="C606">
        <v>10.018281999999999</v>
      </c>
      <c r="D606">
        <v>1.0036560000000001</v>
      </c>
      <c r="E606">
        <f>LN(D606/参数实验室!$E$53)/参数实验室!$E$55</f>
        <v>-0.68866298138933624</v>
      </c>
      <c r="F606">
        <f t="shared" si="38"/>
        <v>2.0563398263511155</v>
      </c>
      <c r="G606">
        <f>LN(F606/参数实验室!$E$58)/参数实验室!$E$59</f>
        <v>0.18785175101358587</v>
      </c>
      <c r="H606" s="856">
        <f>INDEX(神经网络!$G$10:$BO$70,MATCH(ROUND(G606*2,1)/2,神经网络!$E$10:$E$70,0),MATCH(ROUND(E606*2,1)/2,神经网络!$G$8:$BO$8,0))</f>
        <v>-1.5984975685836671E-3</v>
      </c>
      <c r="I606">
        <f t="shared" si="40"/>
        <v>1.0477767964944604</v>
      </c>
      <c r="J606">
        <f t="shared" si="41"/>
        <v>1.9440165994972287</v>
      </c>
      <c r="K606">
        <f t="shared" si="42"/>
        <v>0.53897523136656433</v>
      </c>
      <c r="L606" s="4">
        <f>MIN(MAX(L605*(1+MAX(MIN(((B606-B605)/B605)/($K$7*卓尔金历!$N$40),0),-卓尔金历!$M$43))+MIN(MAX(((B606-B605)/B605)/($K$7*卓尔金历!$N$40),0),卓尔金历!$M$43),0),1)</f>
        <v>0.77331275329138616</v>
      </c>
      <c r="M606" s="4">
        <f>MIN(MAX(M605*(1+MAX(MIN(((B606-B605)/B605)/($K$7*30),0),-卓尔金历!$M$43))+MIN(MAX(((B606-B605)/B605)/($K$7*7),0),卓尔金历!$M$43),0),1)</f>
        <v>1</v>
      </c>
      <c r="N606">
        <f t="shared" si="43"/>
        <v>1.0510730042964838</v>
      </c>
      <c r="O606">
        <f t="shared" si="44"/>
        <v>1.0680797087241209</v>
      </c>
      <c r="P606">
        <f t="shared" si="45"/>
        <v>1.6567553468961854E-2</v>
      </c>
      <c r="Q606">
        <f t="shared" si="36"/>
        <v>2.1051839059993235E-2</v>
      </c>
      <c r="R606">
        <f t="shared" si="37"/>
        <v>0.27880199247079362</v>
      </c>
      <c r="S606">
        <f t="shared" si="39"/>
        <v>1.0958634744624236</v>
      </c>
      <c r="T606" s="564">
        <f>IF((I606-MAX(I$470:I606))/MAX(I$470:I606)&gt;T605,T605,(I606-MAX(I$470:I606))/MAX(I$470:I606))</f>
        <v>-0.13666535856332884</v>
      </c>
      <c r="U606" s="564">
        <f>IF((J606-MAX(J$470:J606))/MAX(J$470:J606)&gt;U605,U605,(J606-MAX(J$470:J606))/MAX(J$470:J606))</f>
        <v>-0.40648897885739943</v>
      </c>
      <c r="V606" s="564">
        <f>IF((K606-MAX(K$470:K606))/MAX(K$470:K606)&gt;V605,V605,(K606-MAX(K$470:K606))/MAX(K$470:K606))</f>
        <v>-0.68158456867950912</v>
      </c>
      <c r="W606" s="564">
        <f>IF((N606-MAX(N$470:N606))/MAX(N$470:N606)&gt;W605,W605,(N606-MAX(N$470:N606))/MAX(N$470:N606))</f>
        <v>-0.10311304065408976</v>
      </c>
      <c r="X606" s="564">
        <f>IF((O606-MAX(O$470:O606))/MAX(O$470:O606)&gt;X605,X605,(O606-MAX(O$470:O606))/MAX(O$470:O606))</f>
        <v>-0.12147101883973409</v>
      </c>
    </row>
    <row r="607" spans="1:24">
      <c r="A607" s="799">
        <v>41009</v>
      </c>
      <c r="B607">
        <v>4.8367000000000004</v>
      </c>
      <c r="C607">
        <v>9.9585819999999998</v>
      </c>
      <c r="D607">
        <v>1.0015989999999999</v>
      </c>
      <c r="E607">
        <f>LN(D607/参数实验室!$E$53)/参数实验室!$E$55</f>
        <v>-0.69108337507897222</v>
      </c>
      <c r="F607">
        <f t="shared" si="38"/>
        <v>2.0589621022598048</v>
      </c>
      <c r="G607">
        <f>LN(F607/参数实验室!$E$58)/参数实验室!$E$59</f>
        <v>0.18852062650457002</v>
      </c>
      <c r="H607" s="856">
        <f>INDEX(神经网络!$G$10:$BO$70,MATCH(ROUND(G607*2,1)/2,神经网络!$E$10:$E$70,0),MATCH(ROUND(E607*2,1)/2,神经网络!$G$8:$BO$8,0))</f>
        <v>-1.5984975685836671E-3</v>
      </c>
      <c r="I607">
        <f t="shared" si="40"/>
        <v>1.0477888976001664</v>
      </c>
      <c r="J607">
        <f t="shared" si="41"/>
        <v>1.92997087107458</v>
      </c>
      <c r="K607">
        <f t="shared" si="42"/>
        <v>0.54290399575656423</v>
      </c>
      <c r="L607" s="4">
        <f>MIN(MAX(L606*(1+MAX(MIN(((B607-B606)/B606)/($K$7*卓尔金历!$N$40),0),-卓尔金历!$M$43))+MIN(MAX(((B607-B606)/B606)/($K$7*卓尔金历!$N$40),0),卓尔金历!$M$43),0),1)</f>
        <v>0.6879446663909945</v>
      </c>
      <c r="M607" s="4">
        <f>MIN(MAX(M606*(1+MAX(MIN(((B607-B606)/B606)/($K$7*30),0),-卓尔金历!$M$43))+MIN(MAX(((B607-B606)/B606)/($K$7*7),0),卓尔金历!$M$43),0),1)</f>
        <v>0.94480364733605737</v>
      </c>
      <c r="N607">
        <f t="shared" si="43"/>
        <v>1.0510823916750571</v>
      </c>
      <c r="O607">
        <f t="shared" si="44"/>
        <v>1.0680920443145834</v>
      </c>
      <c r="P607">
        <f t="shared" si="45"/>
        <v>-7.2251072476856408E-3</v>
      </c>
      <c r="Q607">
        <f t="shared" si="36"/>
        <v>2.0119624732411388E-2</v>
      </c>
      <c r="R607">
        <f t="shared" si="37"/>
        <v>1</v>
      </c>
      <c r="S607">
        <f t="shared" si="39"/>
        <v>1.0958670031125821</v>
      </c>
      <c r="T607" s="564">
        <f>IF((I607-MAX(I$470:I607))/MAX(I$470:I607)&gt;T606,T606,(I607-MAX(I$470:I607))/MAX(I$470:I607))</f>
        <v>-0.13666535856332884</v>
      </c>
      <c r="U607" s="564">
        <f>IF((J607-MAX(J$470:J607))/MAX(J$470:J607)&gt;U606,U606,(J607-MAX(J$470:J607))/MAX(J$470:J607))</f>
        <v>-0.40648897885739943</v>
      </c>
      <c r="V607" s="564">
        <f>IF((K607-MAX(K$470:K607))/MAX(K$470:K607)&gt;V606,V606,(K607-MAX(K$470:K607))/MAX(K$470:K607))</f>
        <v>-0.68158456867950912</v>
      </c>
      <c r="W607" s="564">
        <f>IF((N607-MAX(N$470:N607))/MAX(N$470:N607)&gt;W606,W606,(N607-MAX(N$470:N607))/MAX(N$470:N607))</f>
        <v>-0.10311304065408976</v>
      </c>
      <c r="X607" s="564">
        <f>IF((O607-MAX(O$470:O607))/MAX(O$470:O607)&gt;X606,X606,(O607-MAX(O$470:O607))/MAX(O$470:O607))</f>
        <v>-0.12147101883973409</v>
      </c>
    </row>
    <row r="608" spans="1:24">
      <c r="A608" s="799">
        <v>41010</v>
      </c>
      <c r="B608">
        <v>4.9279000000000002</v>
      </c>
      <c r="C608">
        <v>10.15682</v>
      </c>
      <c r="D608">
        <v>1.016419</v>
      </c>
      <c r="E608">
        <f>LN(D608/参数实验室!$E$53)/参数实验室!$E$55</f>
        <v>-0.67375522696495649</v>
      </c>
      <c r="F608">
        <f t="shared" si="38"/>
        <v>2.06108484344244</v>
      </c>
      <c r="G608">
        <f>LN(F608/参数实验室!$E$58)/参数实验室!$E$59</f>
        <v>0.18906145985204809</v>
      </c>
      <c r="H608" s="856">
        <f>INDEX(神经网络!$G$10:$BO$70,MATCH(ROUND(G608*2,1)/2,神经网络!$E$10:$E$70,0),MATCH(ROUND(E608*2,1)/2,神经网络!$G$8:$BO$8,0))</f>
        <v>2.2484663717706355E-2</v>
      </c>
      <c r="I608">
        <f t="shared" si="40"/>
        <v>1.0477573161942337</v>
      </c>
      <c r="J608">
        <f t="shared" si="41"/>
        <v>1.9663620765332608</v>
      </c>
      <c r="K608">
        <f t="shared" si="42"/>
        <v>0.53284048176999665</v>
      </c>
      <c r="L608" s="4">
        <f>MIN(MAX(L607*(1+MAX(MIN(((B608-B607)/B607)/($K$7*卓尔金历!$N$40),0),-卓尔金历!$M$43))+MIN(MAX(((B608-B607)/B607)/($K$7*卓尔金历!$N$40),0),卓尔金历!$M$43),0),1)</f>
        <v>0.97604367644062329</v>
      </c>
      <c r="M608" s="4">
        <f>MIN(MAX(M607*(1+MAX(MIN(((B608-B607)/B607)/($K$7*30),0),-卓尔金历!$M$43))+MIN(MAX(((B608-B607)/B607)/($K$7*7),0),卓尔金历!$M$43),0),1)</f>
        <v>1</v>
      </c>
      <c r="N608">
        <f t="shared" si="43"/>
        <v>1.0510605971235669</v>
      </c>
      <c r="O608">
        <f t="shared" si="44"/>
        <v>1.0680616279077135</v>
      </c>
      <c r="P608">
        <f t="shared" si="45"/>
        <v>1.8855831455331054E-2</v>
      </c>
      <c r="Q608">
        <f t="shared" si="36"/>
        <v>2.0468471850134378E-2</v>
      </c>
      <c r="R608">
        <f t="shared" si="37"/>
        <v>0.10383422855677091</v>
      </c>
      <c r="S608">
        <f t="shared" si="39"/>
        <v>1.0958339725844359</v>
      </c>
      <c r="T608" s="564">
        <f>IF((I608-MAX(I$470:I608))/MAX(I$470:I608)&gt;T607,T607,(I608-MAX(I$470:I608))/MAX(I$470:I608))</f>
        <v>-0.13666535856332884</v>
      </c>
      <c r="U608" s="564">
        <f>IF((J608-MAX(J$470:J608))/MAX(J$470:J608)&gt;U607,U607,(J608-MAX(J$470:J608))/MAX(J$470:J608))</f>
        <v>-0.40648897885739943</v>
      </c>
      <c r="V608" s="564">
        <f>IF((K608-MAX(K$470:K608))/MAX(K$470:K608)&gt;V607,V607,(K608-MAX(K$470:K608))/MAX(K$470:K608))</f>
        <v>-0.68158456867950912</v>
      </c>
      <c r="W608" s="564">
        <f>IF((N608-MAX(N$470:N608))/MAX(N$470:N608)&gt;W607,W607,(N608-MAX(N$470:N608))/MAX(N$470:N608))</f>
        <v>-0.10311304065408976</v>
      </c>
      <c r="X608" s="564">
        <f>IF((O608-MAX(O$470:O608))/MAX(O$470:O608)&gt;X607,X607,(O608-MAX(O$470:O608))/MAX(O$470:O608))</f>
        <v>-0.12147101883973409</v>
      </c>
    </row>
    <row r="609" spans="1:24">
      <c r="A609" s="799">
        <v>41011</v>
      </c>
      <c r="B609">
        <v>4.9196999999999997</v>
      </c>
      <c r="C609">
        <v>10.414168</v>
      </c>
      <c r="D609">
        <v>1.012834</v>
      </c>
      <c r="E609">
        <f>LN(D609/参数实验室!$E$53)/参数实验室!$E$55</f>
        <v>-0.67792367691158562</v>
      </c>
      <c r="F609">
        <f t="shared" si="38"/>
        <v>2.116829888001301</v>
      </c>
      <c r="G609">
        <f>LN(F609/参数实验室!$E$58)/参数实验室!$E$59</f>
        <v>0.20306832708296974</v>
      </c>
      <c r="H609" s="856">
        <f>INDEX(神经网络!$G$10:$BO$70,MATCH(ROUND(G609*2,1)/2,神经网络!$E$10:$E$70,0),MATCH(ROUND(E609*2,1)/2,神经网络!$G$8:$BO$8,0))</f>
        <v>-1.5984975685836671E-3</v>
      </c>
      <c r="I609">
        <f t="shared" si="40"/>
        <v>1.0477181150210195</v>
      </c>
      <c r="J609">
        <f t="shared" si="41"/>
        <v>1.9630900602529844</v>
      </c>
      <c r="K609">
        <f t="shared" si="42"/>
        <v>0.53370863427732884</v>
      </c>
      <c r="L609" s="4">
        <f>MIN(MAX(L608*(1+MAX(MIN(((B609-B608)/B608)/($K$7*卓尔金历!$N$40),0),-卓尔金历!$M$43))+MIN(MAX(((B609-B608)/B608)/($K$7*卓尔金历!$N$40),0),卓尔金历!$M$43),0),1)</f>
        <v>0.95122850404607096</v>
      </c>
      <c r="M609" s="4">
        <f>MIN(MAX(M608*(1+MAX(MIN(((B609-B608)/B608)/($K$7*30),0),-卓尔金历!$M$43))+MIN(MAX(((B609-B608)/B608)/($K$7*7),0),卓尔金历!$M$43),0),1)</f>
        <v>0.98728787809729635</v>
      </c>
      <c r="N609">
        <f t="shared" si="43"/>
        <v>1.0510222144369541</v>
      </c>
      <c r="O609">
        <f t="shared" si="44"/>
        <v>1.0680216670615978</v>
      </c>
      <c r="P609">
        <f t="shared" si="45"/>
        <v>-1.663994805089476E-3</v>
      </c>
      <c r="Q609">
        <f t="shared" si="36"/>
        <v>1.9755116962530146E-2</v>
      </c>
      <c r="R609">
        <f t="shared" si="37"/>
        <v>1</v>
      </c>
      <c r="S609">
        <f t="shared" si="39"/>
        <v>1.095829715388259</v>
      </c>
      <c r="T609" s="564">
        <f>IF((I609-MAX(I$470:I609))/MAX(I$470:I609)&gt;T608,T608,(I609-MAX(I$470:I609))/MAX(I$470:I609))</f>
        <v>-0.13666535856332884</v>
      </c>
      <c r="U609" s="564">
        <f>IF((J609-MAX(J$470:J609))/MAX(J$470:J609)&gt;U608,U608,(J609-MAX(J$470:J609))/MAX(J$470:J609))</f>
        <v>-0.40648897885739943</v>
      </c>
      <c r="V609" s="564">
        <f>IF((K609-MAX(K$470:K609))/MAX(K$470:K609)&gt;V608,V608,(K609-MAX(K$470:K609))/MAX(K$470:K609))</f>
        <v>-0.68158456867950912</v>
      </c>
      <c r="W609" s="564">
        <f>IF((N609-MAX(N$470:N609))/MAX(N$470:N609)&gt;W608,W608,(N609-MAX(N$470:N609))/MAX(N$470:N609))</f>
        <v>-0.10311304065408976</v>
      </c>
      <c r="X609" s="564">
        <f>IF((O609-MAX(O$470:O609))/MAX(O$470:O609)&gt;X608,X608,(O609-MAX(O$470:O609))/MAX(O$470:O609))</f>
        <v>-0.12147101883973409</v>
      </c>
    </row>
    <row r="610" spans="1:24">
      <c r="A610" s="799">
        <v>41012</v>
      </c>
      <c r="B610">
        <v>4.9400000000000004</v>
      </c>
      <c r="C610">
        <v>10.539887</v>
      </c>
      <c r="D610">
        <v>1.019325</v>
      </c>
      <c r="E610">
        <f>LN(D610/参数实验室!$E$53)/参数实验室!$E$55</f>
        <v>-0.67038705763161233</v>
      </c>
      <c r="F610">
        <f t="shared" si="38"/>
        <v>2.1335803643724693</v>
      </c>
      <c r="G610">
        <f>LN(F610/参数实验室!$E$58)/参数实验室!$E$59</f>
        <v>0.20720515164273276</v>
      </c>
      <c r="H610" s="856">
        <f>INDEX(神经网络!$G$10:$BO$70,MATCH(ROUND(G610*2,1)/2,神经网络!$E$10:$E$70,0),MATCH(ROUND(E610*2,1)/2,神经网络!$G$8:$BO$8,0))</f>
        <v>2.2484663717706355E-2</v>
      </c>
      <c r="I610">
        <f t="shared" si="40"/>
        <v>1.0477112044513412</v>
      </c>
      <c r="J610">
        <f t="shared" si="41"/>
        <v>1.9711902956785465</v>
      </c>
      <c r="K610">
        <f t="shared" si="42"/>
        <v>0.53151195333512213</v>
      </c>
      <c r="L610" s="4">
        <f>MIN(MAX(L609*(1+MAX(MIN(((B610-B609)/B609)/($K$7*卓尔金历!$N$40),0),-卓尔金历!$M$43))+MIN(MAX(((B610-B609)/B609)/($K$7*卓尔金历!$N$40),0),卓尔金历!$M$43),0),1)</f>
        <v>1</v>
      </c>
      <c r="M610" s="4">
        <f>MIN(MAX(M609*(1+MAX(MIN(((B610-B609)/B609)/($K$7*30),0),-卓尔金历!$M$43))+MIN(MAX(((B610-B609)/B609)/($K$7*7),0),卓尔金历!$M$43),0),1)</f>
        <v>1</v>
      </c>
      <c r="N610">
        <f t="shared" si="43"/>
        <v>1.0510156201757124</v>
      </c>
      <c r="O610">
        <f t="shared" si="44"/>
        <v>1.068014712123555</v>
      </c>
      <c r="P610">
        <f t="shared" si="45"/>
        <v>4.1262678618616284E-3</v>
      </c>
      <c r="Q610">
        <f t="shared" si="36"/>
        <v>1.9708620627535534E-2</v>
      </c>
      <c r="R610">
        <f t="shared" si="37"/>
        <v>1</v>
      </c>
      <c r="S610">
        <f t="shared" si="39"/>
        <v>1.0958224874826847</v>
      </c>
      <c r="T610" s="564">
        <f>IF((I610-MAX(I$470:I610))/MAX(I$470:I610)&gt;T609,T609,(I610-MAX(I$470:I610))/MAX(I$470:I610))</f>
        <v>-0.13666535856332884</v>
      </c>
      <c r="U610" s="564">
        <f>IF((J610-MAX(J$470:J610))/MAX(J$470:J610)&gt;U609,U609,(J610-MAX(J$470:J610))/MAX(J$470:J610))</f>
        <v>-0.40648897885739943</v>
      </c>
      <c r="V610" s="564">
        <f>IF((K610-MAX(K$470:K610))/MAX(K$470:K610)&gt;V609,V609,(K610-MAX(K$470:K610))/MAX(K$470:K610))</f>
        <v>-0.68158456867950912</v>
      </c>
      <c r="W610" s="564">
        <f>IF((N610-MAX(N$470:N610))/MAX(N$470:N610)&gt;W609,W609,(N610-MAX(N$470:N610))/MAX(N$470:N610))</f>
        <v>-0.10311304065408976</v>
      </c>
      <c r="X610" s="564">
        <f>IF((O610-MAX(O$470:O610))/MAX(O$470:O610)&gt;X609,X609,(O610-MAX(O$470:O610))/MAX(O$470:O610))</f>
        <v>-0.12147101883973409</v>
      </c>
    </row>
    <row r="611" spans="1:24">
      <c r="A611" s="799">
        <v>41013</v>
      </c>
      <c r="B611">
        <v>4.9596999999999998</v>
      </c>
      <c r="C611">
        <v>10.438233</v>
      </c>
      <c r="D611">
        <v>1.023523</v>
      </c>
      <c r="E611">
        <f>LN(D611/参数实验室!$E$53)/参数实验室!$E$55</f>
        <v>-0.66553832577325078</v>
      </c>
      <c r="F611">
        <f t="shared" si="38"/>
        <v>2.1046097546222557</v>
      </c>
      <c r="G611">
        <f>LN(F611/参数实验室!$E$58)/参数实验室!$E$59</f>
        <v>0.2000296460313144</v>
      </c>
      <c r="H611" s="856">
        <f>INDEX(神经网络!$G$10:$BO$70,MATCH(ROUND(G611*2,1)/2,神经网络!$E$10:$E$70,0),MATCH(ROUND(E611*2,1)/2,神经网络!$G$8:$BO$8,0))</f>
        <v>2.2484663717706355E-2</v>
      </c>
      <c r="I611">
        <f t="shared" si="40"/>
        <v>1.0478051480650812</v>
      </c>
      <c r="J611">
        <f t="shared" si="41"/>
        <v>1.979051115278722</v>
      </c>
      <c r="K611">
        <f t="shared" si="42"/>
        <v>0.52944824920174549</v>
      </c>
      <c r="L611" s="4">
        <f>MIN(MAX(L610*(1+MAX(MIN(((B611-B610)/B610)/($K$7*卓尔金历!$N$40),0),-卓尔金历!$M$43))+MIN(MAX(((B611-B610)/B610)/($K$7*卓尔金历!$N$40),0),卓尔金历!$M$43),0),1)</f>
        <v>1</v>
      </c>
      <c r="M611" s="4">
        <f>MIN(MAX(M610*(1+MAX(MIN(((B611-B610)/B610)/($K$7*30),0),-卓尔金历!$M$43))+MIN(MAX(((B611-B610)/B610)/($K$7*7),0),卓尔金历!$M$43),0),1)</f>
        <v>1</v>
      </c>
      <c r="N611">
        <f t="shared" si="43"/>
        <v>1.0511098600817448</v>
      </c>
      <c r="O611">
        <f t="shared" si="44"/>
        <v>1.0681104762627167</v>
      </c>
      <c r="P611">
        <f t="shared" si="45"/>
        <v>3.9878542510120209E-3</v>
      </c>
      <c r="Q611">
        <f t="shared" si="36"/>
        <v>1.9680034251998026E-2</v>
      </c>
      <c r="R611">
        <f t="shared" si="37"/>
        <v>1</v>
      </c>
      <c r="S611">
        <f t="shared" si="39"/>
        <v>1.0959207450216462</v>
      </c>
      <c r="T611" s="564">
        <f>IF((I611-MAX(I$470:I611))/MAX(I$470:I611)&gt;T610,T610,(I611-MAX(I$470:I611))/MAX(I$470:I611))</f>
        <v>-0.13666535856332884</v>
      </c>
      <c r="U611" s="564">
        <f>IF((J611-MAX(J$470:J611))/MAX(J$470:J611)&gt;U610,U610,(J611-MAX(J$470:J611))/MAX(J$470:J611))</f>
        <v>-0.40648897885739943</v>
      </c>
      <c r="V611" s="564">
        <f>IF((K611-MAX(K$470:K611))/MAX(K$470:K611)&gt;V610,V610,(K611-MAX(K$470:K611))/MAX(K$470:K611))</f>
        <v>-0.68158456867950912</v>
      </c>
      <c r="W611" s="564">
        <f>IF((N611-MAX(N$470:N611))/MAX(N$470:N611)&gt;W610,W610,(N611-MAX(N$470:N611))/MAX(N$470:N611))</f>
        <v>-0.10311304065408976</v>
      </c>
      <c r="X611" s="564">
        <f>IF((O611-MAX(O$470:O611))/MAX(O$470:O611)&gt;X610,X610,(O611-MAX(O$470:O611))/MAX(O$470:O611))</f>
        <v>-0.12147101883973409</v>
      </c>
    </row>
    <row r="612" spans="1:24">
      <c r="A612" s="799">
        <v>41014</v>
      </c>
      <c r="B612">
        <v>4.9688999999999997</v>
      </c>
      <c r="C612">
        <v>10.796841000000001</v>
      </c>
      <c r="D612">
        <v>1.0239990000000001</v>
      </c>
      <c r="E612">
        <f>LN(D612/参数实验室!$E$53)/参数实验室!$E$55</f>
        <v>-0.66498979681556691</v>
      </c>
      <c r="F612">
        <f t="shared" si="38"/>
        <v>2.1728835355913785</v>
      </c>
      <c r="G612">
        <f>LN(F612/参数实验室!$E$58)/参数实验室!$E$59</f>
        <v>0.2167856341774661</v>
      </c>
      <c r="H612" s="856">
        <f>INDEX(神经网络!$G$10:$BO$70,MATCH(ROUND(G612*2,1)/2,神经网络!$E$10:$E$70,0),MATCH(ROUND(E612*2,1)/2,神经网络!$G$8:$BO$8,0))</f>
        <v>2.2484663717706355E-2</v>
      </c>
      <c r="I612">
        <f t="shared" si="40"/>
        <v>1.0478488498669729</v>
      </c>
      <c r="J612">
        <f t="shared" si="41"/>
        <v>1.9827221579346417</v>
      </c>
      <c r="K612">
        <f t="shared" si="42"/>
        <v>0.52849000838246252</v>
      </c>
      <c r="L612" s="4">
        <f>MIN(MAX(L611*(1+MAX(MIN(((B612-B611)/B611)/($K$7*卓尔金历!$N$40),0),-卓尔金历!$M$43))+MIN(MAX(((B612-B611)/B611)/($K$7*卓尔金历!$N$40),0),卓尔金历!$M$43),0),1)</f>
        <v>1</v>
      </c>
      <c r="M612" s="4">
        <f>MIN(MAX(M611*(1+MAX(MIN(((B612-B611)/B611)/($K$7*30),0),-卓尔金历!$M$43))+MIN(MAX(((B612-B611)/B611)/($K$7*7),0),卓尔金历!$M$43),0),1)</f>
        <v>1</v>
      </c>
      <c r="N612">
        <f t="shared" si="43"/>
        <v>1.0511536997163913</v>
      </c>
      <c r="O612">
        <f t="shared" si="44"/>
        <v>1.0681550249581668</v>
      </c>
      <c r="P612">
        <f t="shared" si="45"/>
        <v>1.8549509042885407E-3</v>
      </c>
      <c r="Q612">
        <f t="shared" si="36"/>
        <v>1.8514080832103142E-2</v>
      </c>
      <c r="R612">
        <f t="shared" si="37"/>
        <v>1</v>
      </c>
      <c r="S612">
        <f t="shared" si="39"/>
        <v>1.0959664536263201</v>
      </c>
      <c r="T612" s="564">
        <f>IF((I612-MAX(I$470:I612))/MAX(I$470:I612)&gt;T611,T611,(I612-MAX(I$470:I612))/MAX(I$470:I612))</f>
        <v>-0.13666535856332884</v>
      </c>
      <c r="U612" s="564">
        <f>IF((J612-MAX(J$470:J612))/MAX(J$470:J612)&gt;U611,U611,(J612-MAX(J$470:J612))/MAX(J$470:J612))</f>
        <v>-0.40648897885739943</v>
      </c>
      <c r="V612" s="564">
        <f>IF((K612-MAX(K$470:K612))/MAX(K$470:K612)&gt;V611,V611,(K612-MAX(K$470:K612))/MAX(K$470:K612))</f>
        <v>-0.68158456867950912</v>
      </c>
      <c r="W612" s="564">
        <f>IF((N612-MAX(N$470:N612))/MAX(N$470:N612)&gt;W611,W611,(N612-MAX(N$470:N612))/MAX(N$470:N612))</f>
        <v>-0.10311304065408976</v>
      </c>
      <c r="X612" s="564">
        <f>IF((O612-MAX(O$470:O612))/MAX(O$470:O612)&gt;X611,X611,(O612-MAX(O$470:O612))/MAX(O$470:O612))</f>
        <v>-0.12147101883973409</v>
      </c>
    </row>
    <row r="613" spans="1:24">
      <c r="A613" s="799">
        <v>41015</v>
      </c>
      <c r="B613">
        <v>4.9320000000000004</v>
      </c>
      <c r="C613">
        <v>10.979566999999999</v>
      </c>
      <c r="D613">
        <v>1.0212810000000001</v>
      </c>
      <c r="E613">
        <f>LN(D613/参数实验室!$E$53)/参数实验室!$E$55</f>
        <v>-0.66812537845204756</v>
      </c>
      <c r="F613">
        <f t="shared" si="38"/>
        <v>2.2261895782643957</v>
      </c>
      <c r="G613">
        <f>LN(F613/参数实验室!$E$58)/参数实验室!$E$59</f>
        <v>0.22950615997687823</v>
      </c>
      <c r="H613" s="856">
        <f>INDEX(神经网络!$G$10:$BO$70,MATCH(ROUND(G613*2,1)/2,神经网络!$E$10:$E$70,0),MATCH(ROUND(E613*2,1)/2,神经网络!$G$8:$BO$8,0))</f>
        <v>9.8994641127870764E-2</v>
      </c>
      <c r="I613">
        <f t="shared" si="40"/>
        <v>1.047673884880618</v>
      </c>
      <c r="J613">
        <f t="shared" si="41"/>
        <v>1.9679980846733993</v>
      </c>
      <c r="K613">
        <f t="shared" si="42"/>
        <v>0.53235513440780891</v>
      </c>
      <c r="L613" s="4">
        <f>MIN(MAX(L612*(1+MAX(MIN(((B613-B612)/B612)/($K$7*卓尔金历!$N$40),0),-卓尔金历!$M$43))+MIN(MAX(((B613-B612)/B612)/($K$7*卓尔金历!$N$40),0),卓尔金历!$M$43),0),1)</f>
        <v>0.88653492931655753</v>
      </c>
      <c r="M613" s="4">
        <f>MIN(MAX(M612*(1+MAX(MIN(((B613-B612)/B612)/($K$7*30),0),-卓尔金历!$M$43))+MIN(MAX(((B613-B612)/B612)/($K$7*7),0),卓尔金历!$M$43),0),1)</f>
        <v>0.94326746465827871</v>
      </c>
      <c r="N613">
        <f t="shared" si="43"/>
        <v>1.0509781829013933</v>
      </c>
      <c r="O613">
        <f t="shared" si="44"/>
        <v>1.0679766693399968</v>
      </c>
      <c r="P613">
        <f t="shared" si="45"/>
        <v>-7.4261909074441563E-3</v>
      </c>
      <c r="Q613">
        <f t="shared" si="36"/>
        <v>1.851156092787247E-2</v>
      </c>
      <c r="R613">
        <f t="shared" si="37"/>
        <v>0.94880690472780493</v>
      </c>
      <c r="S613">
        <f t="shared" si="39"/>
        <v>1.0957834541835774</v>
      </c>
      <c r="T613" s="564">
        <f>IF((I613-MAX(I$470:I613))/MAX(I$470:I613)&gt;T612,T612,(I613-MAX(I$470:I613))/MAX(I$470:I613))</f>
        <v>-0.13666535856332884</v>
      </c>
      <c r="U613" s="564">
        <f>IF((J613-MAX(J$470:J613))/MAX(J$470:J613)&gt;U612,U612,(J613-MAX(J$470:J613))/MAX(J$470:J613))</f>
        <v>-0.40648897885739943</v>
      </c>
      <c r="V613" s="564">
        <f>IF((K613-MAX(K$470:K613))/MAX(K$470:K613)&gt;V612,V612,(K613-MAX(K$470:K613))/MAX(K$470:K613))</f>
        <v>-0.68158456867950912</v>
      </c>
      <c r="W613" s="564">
        <f>IF((N613-MAX(N$470:N613))/MAX(N$470:N613)&gt;W612,W612,(N613-MAX(N$470:N613))/MAX(N$470:N613))</f>
        <v>-0.10311304065408976</v>
      </c>
      <c r="X613" s="564">
        <f>IF((O613-MAX(O$470:O613))/MAX(O$470:O613)&gt;X612,X612,(O613-MAX(O$470:O613))/MAX(O$470:O613))</f>
        <v>-0.12147101883973409</v>
      </c>
    </row>
    <row r="614" spans="1:24">
      <c r="A614" s="799">
        <v>41016</v>
      </c>
      <c r="B614">
        <v>4.9759000000000002</v>
      </c>
      <c r="C614">
        <v>11.201998</v>
      </c>
      <c r="D614">
        <v>1.0247740000000001</v>
      </c>
      <c r="E614">
        <f>LN(D614/参数实验室!$E$53)/参数实验室!$E$55</f>
        <v>-0.66409725400317288</v>
      </c>
      <c r="F614">
        <f t="shared" si="38"/>
        <v>2.2512506280270905</v>
      </c>
      <c r="G614">
        <f>LN(F614/参数实验室!$E$58)/参数实验室!$E$59</f>
        <v>0.235381629015817</v>
      </c>
      <c r="H614" s="856">
        <f>INDEX(神经网络!$G$10:$BO$70,MATCH(ROUND(G614*2,1)/2,神经网络!$E$10:$E$70,0),MATCH(ROUND(E614*2,1)/2,神经网络!$G$8:$BO$8,0))</f>
        <v>9.8994641127870764E-2</v>
      </c>
      <c r="I614">
        <f t="shared" si="40"/>
        <v>1.0485970497226897</v>
      </c>
      <c r="J614">
        <f t="shared" si="41"/>
        <v>1.9855153425641459</v>
      </c>
      <c r="K614">
        <f t="shared" si="42"/>
        <v>0.52812336789526104</v>
      </c>
      <c r="L614" s="4">
        <f>MIN(MAX(L613*(1+MAX(MIN(((B614-B613)/B613)/($K$7*卓尔金历!$N$40),0),-卓尔金历!$M$43))+MIN(MAX(((B614-B613)/B613)/($K$7*卓尔金历!$N$40),0),卓尔金历!$M$43),0),1)</f>
        <v>1</v>
      </c>
      <c r="M614" s="4">
        <f>MIN(MAX(M613*(1+MAX(MIN(((B614-B613)/B613)/($K$7*30),0),-卓尔金历!$M$43))+MIN(MAX(((B614-B613)/B613)/($K$7*7),0),卓尔金历!$M$43),0),1)</f>
        <v>1</v>
      </c>
      <c r="N614">
        <f t="shared" si="43"/>
        <v>1.0517991820182957</v>
      </c>
      <c r="O614">
        <f t="shared" si="44"/>
        <v>1.0688643356928662</v>
      </c>
      <c r="P614">
        <f t="shared" si="45"/>
        <v>8.9010543390105074E-3</v>
      </c>
      <c r="Q614">
        <f t="shared" si="36"/>
        <v>1.6487982945498164E-2</v>
      </c>
      <c r="R614">
        <f t="shared" si="37"/>
        <v>0.646385310628946</v>
      </c>
      <c r="S614">
        <f t="shared" si="39"/>
        <v>1.0966995812471034</v>
      </c>
      <c r="T614" s="564">
        <f>IF((I614-MAX(I$470:I614))/MAX(I$470:I614)&gt;T613,T613,(I614-MAX(I$470:I614))/MAX(I$470:I614))</f>
        <v>-0.13666535856332884</v>
      </c>
      <c r="U614" s="564">
        <f>IF((J614-MAX(J$470:J614))/MAX(J$470:J614)&gt;U613,U613,(J614-MAX(J$470:J614))/MAX(J$470:J614))</f>
        <v>-0.40648897885739943</v>
      </c>
      <c r="V614" s="564">
        <f>IF((K614-MAX(K$470:K614))/MAX(K$470:K614)&gt;V613,V613,(K614-MAX(K$470:K614))/MAX(K$470:K614))</f>
        <v>-0.68158456867950912</v>
      </c>
      <c r="W614" s="564">
        <f>IF((N614-MAX(N$470:N614))/MAX(N$470:N614)&gt;W613,W613,(N614-MAX(N$470:N614))/MAX(N$470:N614))</f>
        <v>-0.10311304065408976</v>
      </c>
      <c r="X614" s="564">
        <f>IF((O614-MAX(O$470:O614))/MAX(O$470:O614)&gt;X613,X613,(O614-MAX(O$470:O614))/MAX(O$470:O614))</f>
        <v>-0.12147101883973409</v>
      </c>
    </row>
    <row r="615" spans="1:24">
      <c r="A615" s="799">
        <v>41017</v>
      </c>
      <c r="B615">
        <v>5.1177999999999999</v>
      </c>
      <c r="C615">
        <v>11.332894</v>
      </c>
      <c r="D615">
        <v>1.0557730000000001</v>
      </c>
      <c r="E615">
        <f>LN(D615/参数实验室!$E$53)/参数实验室!$E$55</f>
        <v>-0.62893931009889625</v>
      </c>
      <c r="F615">
        <f t="shared" si="38"/>
        <v>2.2144073625385907</v>
      </c>
      <c r="G615">
        <f>LN(F615/参数实验室!$E$58)/参数实验室!$E$59</f>
        <v>0.22672096773617104</v>
      </c>
      <c r="H615" s="856">
        <f>INDEX(神经网络!$G$10:$BO$70,MATCH(ROUND(G615*2,1)/2,神经网络!$E$10:$E$70,0),MATCH(ROUND(E615*2,1)/2,神经网络!$G$8:$BO$8,0))</f>
        <v>9.8994641127870764E-2</v>
      </c>
      <c r="I615">
        <f t="shared" si="40"/>
        <v>1.0515573179828825</v>
      </c>
      <c r="J615">
        <f t="shared" si="41"/>
        <v>2.0421371852679484</v>
      </c>
      <c r="K615">
        <f t="shared" si="42"/>
        <v>0.51492981253603098</v>
      </c>
      <c r="L615" s="4">
        <f>MIN(MAX(L614*(1+MAX(MIN(((B615-B614)/B614)/($K$7*卓尔金历!$N$40),0),-卓尔金历!$M$43))+MIN(MAX(((B615-B614)/B614)/($K$7*卓尔金历!$N$40),0),卓尔金历!$M$43),0),1)</f>
        <v>1</v>
      </c>
      <c r="M615" s="4">
        <f>MIN(MAX(M614*(1+MAX(MIN(((B615-B614)/B614)/($K$7*30),0),-卓尔金历!$M$43))+MIN(MAX(((B615-B614)/B614)/($K$7*7),0),卓尔金历!$M$43),0),1)</f>
        <v>1</v>
      </c>
      <c r="N615">
        <f t="shared" si="43"/>
        <v>1.0547684901385588</v>
      </c>
      <c r="O615">
        <f t="shared" si="44"/>
        <v>1.0718818200241833</v>
      </c>
      <c r="P615">
        <f t="shared" si="45"/>
        <v>2.8517454128901241E-2</v>
      </c>
      <c r="Q615">
        <f t="shared" si="36"/>
        <v>1.7361096091014168E-2</v>
      </c>
      <c r="R615">
        <f t="shared" si="37"/>
        <v>8.3052529151502411E-3</v>
      </c>
      <c r="S615">
        <f t="shared" si="39"/>
        <v>1.098700832391335</v>
      </c>
      <c r="T615" s="564">
        <f>IF((I615-MAX(I$470:I615))/MAX(I$470:I615)&gt;T614,T614,(I615-MAX(I$470:I615))/MAX(I$470:I615))</f>
        <v>-0.13666535856332884</v>
      </c>
      <c r="U615" s="564">
        <f>IF((J615-MAX(J$470:J615))/MAX(J$470:J615)&gt;U614,U614,(J615-MAX(J$470:J615))/MAX(J$470:J615))</f>
        <v>-0.40648897885739943</v>
      </c>
      <c r="V615" s="564">
        <f>IF((K615-MAX(K$470:K615))/MAX(K$470:K615)&gt;V614,V614,(K615-MAX(K$470:K615))/MAX(K$470:K615))</f>
        <v>-0.68158456867950912</v>
      </c>
      <c r="W615" s="564">
        <f>IF((N615-MAX(N$470:N615))/MAX(N$470:N615)&gt;W614,W614,(N615-MAX(N$470:N615))/MAX(N$470:N615))</f>
        <v>-0.10311304065408976</v>
      </c>
      <c r="X615" s="564">
        <f>IF((O615-MAX(O$470:O615))/MAX(O$470:O615)&gt;X614,X614,(O615-MAX(O$470:O615))/MAX(O$470:O615))</f>
        <v>-0.12147101883973409</v>
      </c>
    </row>
    <row r="616" spans="1:24">
      <c r="A616" s="799">
        <v>41018</v>
      </c>
      <c r="B616">
        <v>5.1376999999999997</v>
      </c>
      <c r="C616">
        <v>11.391092</v>
      </c>
      <c r="D616">
        <v>1.0563419999999999</v>
      </c>
      <c r="E616">
        <f>LN(D616/参数实验室!$E$53)/参数实验室!$E$55</f>
        <v>-0.62830366325953435</v>
      </c>
      <c r="F616">
        <f t="shared" si="38"/>
        <v>2.2171578721996226</v>
      </c>
      <c r="G616">
        <f>LN(F616/参数实验室!$E$58)/参数实验室!$E$59</f>
        <v>0.22737248304736746</v>
      </c>
      <c r="H616" s="856">
        <f>INDEX(神经网络!$G$10:$BO$70,MATCH(ROUND(G616*2,1)/2,神经网络!$E$10:$E$70,0),MATCH(ROUND(E616*2,1)/2,神经网络!$G$8:$BO$8,0))</f>
        <v>9.8994641127870764E-2</v>
      </c>
      <c r="I616">
        <f t="shared" si="40"/>
        <v>1.0519620936545482</v>
      </c>
      <c r="J616">
        <f t="shared" si="41"/>
        <v>2.0500778101432524</v>
      </c>
      <c r="K616">
        <f t="shared" si="42"/>
        <v>0.51313276425397758</v>
      </c>
      <c r="L616" s="4">
        <f>MIN(MAX(L615*(1+MAX(MIN(((B616-B615)/B615)/($K$7*卓尔金历!$N$40),0),-卓尔金历!$M$43))+MIN(MAX(((B616-B615)/B615)/($K$7*卓尔金历!$N$40),0),卓尔金历!$M$43),0),1)</f>
        <v>1</v>
      </c>
      <c r="M616" s="4">
        <f>MIN(MAX(M615*(1+MAX(MIN(((B616-B615)/B615)/($K$7*30),0),-卓尔金历!$M$43))+MIN(MAX(((B616-B615)/B615)/($K$7*7),0),卓尔金历!$M$43),0),1)</f>
        <v>1</v>
      </c>
      <c r="N616">
        <f t="shared" si="43"/>
        <v>1.0551745018858467</v>
      </c>
      <c r="O616">
        <f t="shared" si="44"/>
        <v>1.0722944192008776</v>
      </c>
      <c r="P616">
        <f t="shared" si="45"/>
        <v>3.8883895423814543E-3</v>
      </c>
      <c r="Q616">
        <f t="shared" si="36"/>
        <v>1.7360326417594021E-2</v>
      </c>
      <c r="R616">
        <f t="shared" si="37"/>
        <v>1</v>
      </c>
      <c r="S616">
        <f t="shared" si="39"/>
        <v>1.0987043448705898</v>
      </c>
      <c r="T616" s="564">
        <f>IF((I616-MAX(I$470:I616))/MAX(I$470:I616)&gt;T615,T615,(I616-MAX(I$470:I616))/MAX(I$470:I616))</f>
        <v>-0.13666535856332884</v>
      </c>
      <c r="U616" s="564">
        <f>IF((J616-MAX(J$470:J616))/MAX(J$470:J616)&gt;U615,U615,(J616-MAX(J$470:J616))/MAX(J$470:J616))</f>
        <v>-0.40648897885739943</v>
      </c>
      <c r="V616" s="564">
        <f>IF((K616-MAX(K$470:K616))/MAX(K$470:K616)&gt;V615,V615,(K616-MAX(K$470:K616))/MAX(K$470:K616))</f>
        <v>-0.68158456867950912</v>
      </c>
      <c r="W616" s="564">
        <f>IF((N616-MAX(N$470:N616))/MAX(N$470:N616)&gt;W615,W615,(N616-MAX(N$470:N616))/MAX(N$470:N616))</f>
        <v>-0.10311304065408976</v>
      </c>
      <c r="X616" s="564">
        <f>IF((O616-MAX(O$470:O616))/MAX(O$470:O616)&gt;X615,X615,(O616-MAX(O$470:O616))/MAX(O$470:O616))</f>
        <v>-0.12147101883973409</v>
      </c>
    </row>
    <row r="617" spans="1:24">
      <c r="A617" s="799">
        <v>41019</v>
      </c>
      <c r="B617">
        <v>5.35</v>
      </c>
      <c r="C617">
        <v>11.456972</v>
      </c>
      <c r="D617">
        <v>1.1025320000000001</v>
      </c>
      <c r="E617">
        <f>LN(D617/参数实验室!$E$53)/参数实验室!$E$55</f>
        <v>-0.57781334324501321</v>
      </c>
      <c r="F617">
        <f t="shared" si="38"/>
        <v>2.1414900934579442</v>
      </c>
      <c r="G617">
        <f>LN(F617/参数实验室!$E$58)/参数实验室!$E$59</f>
        <v>0.20914732221900026</v>
      </c>
      <c r="H617" s="856">
        <f>INDEX(神经网络!$G$10:$BO$70,MATCH(ROUND(G617*2,1)/2,神经网络!$E$10:$E$70,0),MATCH(ROUND(E617*2,1)/2,神经网络!$G$8:$BO$8,0))</f>
        <v>5.3735592020882204E-2</v>
      </c>
      <c r="I617">
        <f t="shared" si="40"/>
        <v>1.0562653084959308</v>
      </c>
      <c r="J617">
        <f t="shared" si="41"/>
        <v>2.1347911096923524</v>
      </c>
      <c r="K617">
        <f t="shared" si="42"/>
        <v>0.49478625974236451</v>
      </c>
      <c r="L617" s="4">
        <f>MIN(MAX(L616*(1+MAX(MIN(((B617-B616)/B616)/($K$7*卓尔金历!$N$40),0),-卓尔金历!$M$43))+MIN(MAX(((B617-B616)/B616)/($K$7*卓尔金历!$N$40),0),卓尔金历!$M$43),0),1)</f>
        <v>1</v>
      </c>
      <c r="M617" s="4">
        <f>MIN(MAX(M616*(1+MAX(MIN(((B617-B616)/B616)/($K$7*30),0),-卓尔金历!$M$43))+MIN(MAX(((B617-B616)/B616)/($K$7*7),0),卓尔金历!$M$43),0),1)</f>
        <v>1</v>
      </c>
      <c r="N617">
        <f t="shared" si="43"/>
        <v>1.0594908575835975</v>
      </c>
      <c r="O617">
        <f t="shared" si="44"/>
        <v>1.0766808065877147</v>
      </c>
      <c r="P617">
        <f t="shared" si="45"/>
        <v>4.1321992331198772E-2</v>
      </c>
      <c r="Q617">
        <f t="shared" si="36"/>
        <v>1.9116385521900175E-2</v>
      </c>
      <c r="R617">
        <f t="shared" si="37"/>
        <v>3.9781359472400085E-3</v>
      </c>
      <c r="S617">
        <f t="shared" si="39"/>
        <v>1.1031987661730851</v>
      </c>
      <c r="T617" s="564">
        <f>IF((I617-MAX(I$470:I617))/MAX(I$470:I617)&gt;T616,T616,(I617-MAX(I$470:I617))/MAX(I$470:I617))</f>
        <v>-0.13666535856332884</v>
      </c>
      <c r="U617" s="564">
        <f>IF((J617-MAX(J$470:J617))/MAX(J$470:J617)&gt;U616,U616,(J617-MAX(J$470:J617))/MAX(J$470:J617))</f>
        <v>-0.40648897885739943</v>
      </c>
      <c r="V617" s="564">
        <f>IF((K617-MAX(K$470:K617))/MAX(K$470:K617)&gt;V616,V616,(K617-MAX(K$470:K617))/MAX(K$470:K617))</f>
        <v>-0.68158456867950912</v>
      </c>
      <c r="W617" s="564">
        <f>IF((N617-MAX(N$470:N617))/MAX(N$470:N617)&gt;W616,W616,(N617-MAX(N$470:N617))/MAX(N$470:N617))</f>
        <v>-0.10311304065408976</v>
      </c>
      <c r="X617" s="564">
        <f>IF((O617-MAX(O$470:O617))/MAX(O$470:O617)&gt;X616,X616,(O617-MAX(O$470:O617))/MAX(O$470:O617))</f>
        <v>-0.12147101883973409</v>
      </c>
    </row>
    <row r="618" spans="1:24">
      <c r="A618" s="799">
        <v>41020</v>
      </c>
      <c r="B618">
        <v>5.2601000000000004</v>
      </c>
      <c r="C618">
        <v>11.523229000000001</v>
      </c>
      <c r="D618">
        <v>1.0851329999999999</v>
      </c>
      <c r="E618">
        <f>LN(D618/参数实验室!$E$53)/参数实验室!$E$55</f>
        <v>-0.59657943357623</v>
      </c>
      <c r="F618">
        <f t="shared" si="38"/>
        <v>2.1906862987395677</v>
      </c>
      <c r="G618">
        <f>LN(F618/参数实验室!$E$58)/参数实验室!$E$59</f>
        <v>0.22106832216701866</v>
      </c>
      <c r="H618" s="856">
        <f>INDEX(神经网络!$G$10:$BO$70,MATCH(ROUND(G618*2,1)/2,神经网络!$E$10:$E$70,0),MATCH(ROUND(E618*2,1)/2,神经网络!$G$8:$BO$8,0))</f>
        <v>5.3735592020882204E-2</v>
      </c>
      <c r="I618">
        <f t="shared" si="40"/>
        <v>1.0553115444123204</v>
      </c>
      <c r="J618">
        <f t="shared" si="41"/>
        <v>2.098918638522008</v>
      </c>
      <c r="K618">
        <f t="shared" si="42"/>
        <v>0.50278820962561821</v>
      </c>
      <c r="L618" s="4">
        <f>MIN(MAX(L617*(1+MAX(MIN(((B618-B617)/B617)/($K$7*卓尔金历!$N$40),0),-卓尔金历!$M$43))+MIN(MAX(((B618-B617)/B617)/($K$7*卓尔金历!$N$40),0),卓尔金历!$M$43),0),1)</f>
        <v>0.74325500384603593</v>
      </c>
      <c r="M618" s="4">
        <f>MIN(MAX(M617*(1+MAX(MIN(((B618-B617)/B617)/($K$7*30),0),-卓尔金历!$M$43))+MIN(MAX(((B618-B617)/B617)/($K$7*7),0),卓尔金历!$M$43),0),1)</f>
        <v>0.87162750192301797</v>
      </c>
      <c r="N618">
        <f t="shared" si="43"/>
        <v>1.0585341809619677</v>
      </c>
      <c r="O618">
        <f t="shared" si="44"/>
        <v>1.0757086081499017</v>
      </c>
      <c r="P618">
        <f t="shared" si="45"/>
        <v>-1.6803738317756861E-2</v>
      </c>
      <c r="Q618">
        <f t="shared" si="36"/>
        <v>1.9612529535506046E-2</v>
      </c>
      <c r="R618">
        <f t="shared" si="37"/>
        <v>0.17663839597809644</v>
      </c>
      <c r="S618">
        <f t="shared" si="39"/>
        <v>1.1031948033805556</v>
      </c>
      <c r="T618" s="564">
        <f>IF((I618-MAX(I$470:I618))/MAX(I$470:I618)&gt;T617,T617,(I618-MAX(I$470:I618))/MAX(I$470:I618))</f>
        <v>-0.13666535856332884</v>
      </c>
      <c r="U618" s="564">
        <f>IF((J618-MAX(J$470:J618))/MAX(J$470:J618)&gt;U617,U617,(J618-MAX(J$470:J618))/MAX(J$470:J618))</f>
        <v>-0.40648897885739943</v>
      </c>
      <c r="V618" s="564">
        <f>IF((K618-MAX(K$470:K618))/MAX(K$470:K618)&gt;V617,V617,(K618-MAX(K$470:K618))/MAX(K$470:K618))</f>
        <v>-0.68158456867950912</v>
      </c>
      <c r="W618" s="564">
        <f>IF((N618-MAX(N$470:N618))/MAX(N$470:N618)&gt;W617,W617,(N618-MAX(N$470:N618))/MAX(N$470:N618))</f>
        <v>-0.10311304065408976</v>
      </c>
      <c r="X618" s="564">
        <f>IF((O618-MAX(O$470:O618))/MAX(O$470:O618)&gt;X617,X617,(O618-MAX(O$470:O618))/MAX(O$470:O618))</f>
        <v>-0.12147101883973409</v>
      </c>
    </row>
    <row r="619" spans="1:24">
      <c r="A619" s="799">
        <v>41021</v>
      </c>
      <c r="B619">
        <v>5.2035</v>
      </c>
      <c r="C619">
        <v>11.440951999999999</v>
      </c>
      <c r="D619">
        <v>1.0664560000000001</v>
      </c>
      <c r="E619">
        <f>LN(D619/参数实验室!$E$53)/参数实验室!$E$55</f>
        <v>-0.6170617885291293</v>
      </c>
      <c r="F619">
        <f t="shared" si="38"/>
        <v>2.1987031805515516</v>
      </c>
      <c r="G619">
        <f>LN(F619/参数实验室!$E$58)/参数实验室!$E$59</f>
        <v>0.22298553526942907</v>
      </c>
      <c r="H619" s="856">
        <f>INDEX(神经网络!$G$10:$BO$70,MATCH(ROUND(G619*2,1)/2,神经网络!$E$10:$E$70,0),MATCH(ROUND(E619*2,1)/2,神经网络!$G$8:$BO$8,0))</f>
        <v>5.3735592020882204E-2</v>
      </c>
      <c r="I619">
        <f t="shared" si="40"/>
        <v>1.0547013543117008</v>
      </c>
      <c r="J619">
        <f t="shared" si="41"/>
        <v>2.0763337456605897</v>
      </c>
      <c r="K619">
        <f t="shared" si="42"/>
        <v>0.50796330624398023</v>
      </c>
      <c r="L619" s="4">
        <f>MIN(MAX(L618*(1+MAX(MIN(((B619-B618)/B618)/($K$7*卓尔金历!$N$40),0),-卓尔金历!$M$43))+MIN(MAX(((B619-B618)/B618)/($K$7*卓尔金历!$N$40),0),卓尔金历!$M$43),0),1)</f>
        <v>0.62105918367098101</v>
      </c>
      <c r="M619" s="4">
        <f>MIN(MAX(M618*(1+MAX(MIN(((B619-B618)/B618)/($K$7*30),0),-卓尔金历!$M$43))+MIN(MAX(((B619-B618)/B618)/($K$7*7),0),卓尔金历!$M$43),0),1)</f>
        <v>0.79997696682168906</v>
      </c>
      <c r="N619">
        <f t="shared" si="43"/>
        <v>1.0580792691678389</v>
      </c>
      <c r="O619">
        <f t="shared" si="44"/>
        <v>1.07516646991512</v>
      </c>
      <c r="P619">
        <f t="shared" si="45"/>
        <v>-1.0760251706241406E-2</v>
      </c>
      <c r="Q619">
        <f t="shared" si="36"/>
        <v>1.9363330187658168E-2</v>
      </c>
      <c r="R619">
        <f t="shared" si="37"/>
        <v>0.61865745838210584</v>
      </c>
      <c r="S619">
        <f t="shared" si="39"/>
        <v>1.1030821298797293</v>
      </c>
      <c r="T619" s="564">
        <f>IF((I619-MAX(I$470:I619))/MAX(I$470:I619)&gt;T618,T618,(I619-MAX(I$470:I619))/MAX(I$470:I619))</f>
        <v>-0.13666535856332884</v>
      </c>
      <c r="U619" s="564">
        <f>IF((J619-MAX(J$470:J619))/MAX(J$470:J619)&gt;U618,U618,(J619-MAX(J$470:J619))/MAX(J$470:J619))</f>
        <v>-0.40648897885739943</v>
      </c>
      <c r="V619" s="564">
        <f>IF((K619-MAX(K$470:K619))/MAX(K$470:K619)&gt;V618,V618,(K619-MAX(K$470:K619))/MAX(K$470:K619))</f>
        <v>-0.68158456867950912</v>
      </c>
      <c r="W619" s="564">
        <f>IF((N619-MAX(N$470:N619))/MAX(N$470:N619)&gt;W618,W618,(N619-MAX(N$470:N619))/MAX(N$470:N619))</f>
        <v>-0.10311304065408976</v>
      </c>
      <c r="X619" s="564">
        <f>IF((O619-MAX(O$470:O619))/MAX(O$470:O619)&gt;X618,X618,(O619-MAX(O$470:O619))/MAX(O$470:O619))</f>
        <v>-0.12147101883973409</v>
      </c>
    </row>
    <row r="620" spans="1:24">
      <c r="A620" s="799">
        <v>41022</v>
      </c>
      <c r="B620">
        <v>4.96</v>
      </c>
      <c r="C620">
        <v>11.874362</v>
      </c>
      <c r="D620">
        <v>1.050381</v>
      </c>
      <c r="E620">
        <f>LN(D620/参数实验室!$E$53)/参数实验室!$E$55</f>
        <v>-0.63497993522805363</v>
      </c>
      <c r="F620">
        <f t="shared" si="38"/>
        <v>2.3940245967741935</v>
      </c>
      <c r="G620">
        <f>LN(F620/参数实验室!$E$58)/参数实验室!$E$59</f>
        <v>0.26765489622512245</v>
      </c>
      <c r="H620" s="856">
        <f>INDEX(神经网络!$G$10:$BO$70,MATCH(ROUND(G620*2,1)/2,神经网络!$E$10:$E$70,0),MATCH(ROUND(E620*2,1)/2,神经网络!$G$8:$BO$8,0))</f>
        <v>9.8994641127870764E-2</v>
      </c>
      <c r="I620">
        <f t="shared" si="40"/>
        <v>1.0520492234557621</v>
      </c>
      <c r="J620">
        <f t="shared" si="41"/>
        <v>1.9791708231914145</v>
      </c>
      <c r="K620">
        <f t="shared" si="42"/>
        <v>0.53156059655292009</v>
      </c>
      <c r="L620" s="4">
        <f>MIN(MAX(L619*(1+MAX(MIN(((B620-B619)/B619)/($K$7*卓尔金历!$N$40),0),-卓尔金历!$M$43))+MIN(MAX(((B620-B619)/B619)/($K$7*卓尔金历!$N$40),0),卓尔金历!$M$43),0),1)</f>
        <v>0.17700857140407247</v>
      </c>
      <c r="M620" s="4">
        <f>MIN(MAX(M619*(1+MAX(MIN(((B620-B619)/B619)/($K$7*30),0),-卓尔金历!$M$43))+MIN(MAX(((B620-B619)/B619)/($K$7*7),0),卓尔金历!$M$43),0),1)</f>
        <v>0.513989518880829</v>
      </c>
      <c r="N620">
        <f t="shared" si="43"/>
        <v>1.0564268636438399</v>
      </c>
      <c r="O620">
        <f t="shared" si="44"/>
        <v>1.0730036585675444</v>
      </c>
      <c r="P620">
        <f t="shared" si="45"/>
        <v>-4.6795426155472289E-2</v>
      </c>
      <c r="Q620">
        <f t="shared" ref="Q620:Q683" si="46">STDEVP(P600:P620)</f>
        <v>2.1195918810787678E-2</v>
      </c>
      <c r="R620">
        <f t="shared" ref="R620:R683" si="47">MIN(Q619*MAX(1-LN(MAX(ABS(P620),0.0001)/Q620),0)+MAX(-LN(MAX(ABS(P620),0.0001)/Q620),0),1)</f>
        <v>4.028021671939953E-3</v>
      </c>
      <c r="S620">
        <f t="shared" si="39"/>
        <v>1.1013661051322829</v>
      </c>
      <c r="T620" s="564">
        <f>IF((I620-MAX(I$470:I620))/MAX(I$470:I620)&gt;T619,T619,(I620-MAX(I$470:I620))/MAX(I$470:I620))</f>
        <v>-0.13666535856332884</v>
      </c>
      <c r="U620" s="564">
        <f>IF((J620-MAX(J$470:J620))/MAX(J$470:J620)&gt;U619,U619,(J620-MAX(J$470:J620))/MAX(J$470:J620))</f>
        <v>-0.40648897885739943</v>
      </c>
      <c r="V620" s="564">
        <f>IF((K620-MAX(K$470:K620))/MAX(K$470:K620)&gt;V619,V619,(K620-MAX(K$470:K620))/MAX(K$470:K620))</f>
        <v>-0.68158456867950912</v>
      </c>
      <c r="W620" s="564">
        <f>IF((N620-MAX(N$470:N620))/MAX(N$470:N620)&gt;W619,W619,(N620-MAX(N$470:N620))/MAX(N$470:N620))</f>
        <v>-0.10311304065408976</v>
      </c>
      <c r="X620" s="564">
        <f>IF((O620-MAX(O$470:O620))/MAX(O$470:O620)&gt;X619,X619,(O620-MAX(O$470:O620))/MAX(O$470:O620))</f>
        <v>-0.12147101883973409</v>
      </c>
    </row>
    <row r="621" spans="1:24">
      <c r="A621" s="799">
        <v>41023</v>
      </c>
      <c r="B621">
        <v>5.0982000000000003</v>
      </c>
      <c r="C621">
        <v>12.067826999999999</v>
      </c>
      <c r="D621">
        <v>1.045628</v>
      </c>
      <c r="E621">
        <f>LN(D621/参数实验室!$E$53)/参数实验室!$E$55</f>
        <v>-0.6403304626160935</v>
      </c>
      <c r="F621">
        <f t="shared" si="38"/>
        <v>2.3670760268329998</v>
      </c>
      <c r="G621">
        <f>LN(F621/参数实验室!$E$58)/参数实验室!$E$59</f>
        <v>0.26171332176317819</v>
      </c>
      <c r="H621" s="856">
        <f>INDEX(神经网络!$G$10:$BO$70,MATCH(ROUND(G621*2,1)/2,神经网络!$E$10:$E$70,0),MATCH(ROUND(E621*2,1)/2,神经网络!$G$8:$BO$8,0))</f>
        <v>9.8994641127870764E-2</v>
      </c>
      <c r="I621">
        <f t="shared" si="40"/>
        <v>1.0549510677948539</v>
      </c>
      <c r="J621">
        <f t="shared" si="41"/>
        <v>2.0343162683053366</v>
      </c>
      <c r="K621">
        <f t="shared" si="42"/>
        <v>0.51857770801472702</v>
      </c>
      <c r="L621" s="4">
        <f>MIN(MAX(L620*(1+MAX(MIN(((B621-B620)/B620)/($K$7*卓尔金历!$N$40),0),-卓尔金历!$M$43))+MIN(MAX(((B621-B620)/B620)/($K$7*卓尔金历!$N$40),0),卓尔金历!$M$43),0),1)</f>
        <v>0.60272699466638591</v>
      </c>
      <c r="M621" s="4">
        <f>MIN(MAX(M620*(1+MAX(MIN(((B621-B620)/B620)/($K$7*30),0),-卓尔金历!$M$43))+MIN(MAX(((B621-B620)/B620)/($K$7*7),0),卓尔金历!$M$43),0),1)</f>
        <v>1</v>
      </c>
      <c r="N621">
        <f t="shared" si="43"/>
        <v>1.0569426522988252</v>
      </c>
      <c r="O621">
        <f t="shared" si="44"/>
        <v>1.0745248837914982</v>
      </c>
      <c r="P621">
        <f t="shared" si="45"/>
        <v>2.7862903225806517E-2</v>
      </c>
      <c r="Q621">
        <f t="shared" si="46"/>
        <v>2.1969405705948582E-2</v>
      </c>
      <c r="R621">
        <f t="shared" si="47"/>
        <v>1.6158807588206717E-2</v>
      </c>
      <c r="S621">
        <f t="shared" si="39"/>
        <v>1.1013783417546481</v>
      </c>
      <c r="T621" s="564">
        <f>IF((I621-MAX(I$470:I621))/MAX(I$470:I621)&gt;T620,T620,(I621-MAX(I$470:I621))/MAX(I$470:I621))</f>
        <v>-0.13666535856332884</v>
      </c>
      <c r="U621" s="564">
        <f>IF((J621-MAX(J$470:J621))/MAX(J$470:J621)&gt;U620,U620,(J621-MAX(J$470:J621))/MAX(J$470:J621))</f>
        <v>-0.40648897885739943</v>
      </c>
      <c r="V621" s="564">
        <f>IF((K621-MAX(K$470:K621))/MAX(K$470:K621)&gt;V620,V620,(K621-MAX(K$470:K621))/MAX(K$470:K621))</f>
        <v>-0.68158456867950912</v>
      </c>
      <c r="W621" s="564">
        <f>IF((N621-MAX(N$470:N621))/MAX(N$470:N621)&gt;W620,W620,(N621-MAX(N$470:N621))/MAX(N$470:N621))</f>
        <v>-0.10311304065408976</v>
      </c>
      <c r="X621" s="564">
        <f>IF((O621-MAX(O$470:O621))/MAX(O$470:O621)&gt;X620,X620,(O621-MAX(O$470:O621))/MAX(O$470:O621))</f>
        <v>-0.12147101883973409</v>
      </c>
    </row>
    <row r="622" spans="1:24">
      <c r="A622" s="799">
        <v>41024</v>
      </c>
      <c r="B622">
        <v>5.1318000000000001</v>
      </c>
      <c r="C622">
        <v>12.30664</v>
      </c>
      <c r="D622">
        <v>1.052746</v>
      </c>
      <c r="E622">
        <f>LN(D622/参数实验室!$E$53)/参数实验室!$E$55</f>
        <v>-0.63232663126869881</v>
      </c>
      <c r="F622">
        <f t="shared" si="38"/>
        <v>2.398113722280681</v>
      </c>
      <c r="G622">
        <f>LN(F622/参数实验室!$E$58)/参数实验室!$E$59</f>
        <v>0.26855061101161309</v>
      </c>
      <c r="H622" s="856">
        <f>INDEX(神经网络!$G$10:$BO$70,MATCH(ROUND(G622*2,1)/2,神经网络!$E$10:$E$70,0),MATCH(ROUND(E622*2,1)/2,神经网络!$G$8:$BO$8,0))</f>
        <v>9.8994641127870764E-2</v>
      </c>
      <c r="I622">
        <f t="shared" si="40"/>
        <v>1.0556393497923087</v>
      </c>
      <c r="J622">
        <f t="shared" si="41"/>
        <v>2.0477235545269559</v>
      </c>
      <c r="K622">
        <f t="shared" si="42"/>
        <v>0.51551848757054108</v>
      </c>
      <c r="L622" s="4">
        <f>MIN(MAX(L621*(1+MAX(MIN(((B622-B621)/B621)/($K$7*卓尔金历!$N$40),0),-卓尔金历!$M$43))+MIN(MAX(((B622-B621)/B621)/($K$7*卓尔金历!$N$40),0),卓尔金历!$M$43),0),1)</f>
        <v>0.70342444798168668</v>
      </c>
      <c r="M622" s="4">
        <f>MIN(MAX(M621*(1+MAX(MIN(((B622-B621)/B621)/($K$7*30),0),-卓尔金历!$M$43))+MIN(MAX(((B622-B621)/B621)/($K$7*7),0),卓尔金历!$M$43),0),1)</f>
        <v>1</v>
      </c>
      <c r="N622">
        <f t="shared" si="43"/>
        <v>1.0573582816040044</v>
      </c>
      <c r="O622">
        <f t="shared" si="44"/>
        <v>1.0752259363387759</v>
      </c>
      <c r="P622">
        <f t="shared" si="45"/>
        <v>6.5905613746027715E-3</v>
      </c>
      <c r="Q622">
        <f t="shared" si="46"/>
        <v>2.1873801844868819E-2</v>
      </c>
      <c r="R622">
        <f t="shared" si="47"/>
        <v>1</v>
      </c>
      <c r="S622">
        <f t="shared" si="39"/>
        <v>1.1013899530303151</v>
      </c>
      <c r="T622" s="564">
        <f>IF((I622-MAX(I$470:I622))/MAX(I$470:I622)&gt;T621,T621,(I622-MAX(I$470:I622))/MAX(I$470:I622))</f>
        <v>-0.13666535856332884</v>
      </c>
      <c r="U622" s="564">
        <f>IF((J622-MAX(J$470:J622))/MAX(J$470:J622)&gt;U621,U621,(J622-MAX(J$470:J622))/MAX(J$470:J622))</f>
        <v>-0.40648897885739943</v>
      </c>
      <c r="V622" s="564">
        <f>IF((K622-MAX(K$470:K622))/MAX(K$470:K622)&gt;V621,V621,(K622-MAX(K$470:K622))/MAX(K$470:K622))</f>
        <v>-0.68158456867950912</v>
      </c>
      <c r="W622" s="564">
        <f>IF((N622-MAX(N$470:N622))/MAX(N$470:N622)&gt;W621,W621,(N622-MAX(N$470:N622))/MAX(N$470:N622))</f>
        <v>-0.10311304065408976</v>
      </c>
      <c r="X622" s="564">
        <f>IF((O622-MAX(O$470:O622))/MAX(O$470:O622)&gt;X621,X621,(O622-MAX(O$470:O622))/MAX(O$470:O622))</f>
        <v>-0.12147101883973409</v>
      </c>
    </row>
    <row r="623" spans="1:24">
      <c r="A623" s="799">
        <v>41025</v>
      </c>
      <c r="B623">
        <v>5.0975999999999999</v>
      </c>
      <c r="C623">
        <v>12.351937</v>
      </c>
      <c r="D623">
        <v>1.04365</v>
      </c>
      <c r="E623">
        <f>LN(D623/参数实验室!$E$53)/参数实验室!$E$55</f>
        <v>-0.64256429900720646</v>
      </c>
      <c r="F623">
        <f t="shared" si="38"/>
        <v>2.4230887084118016</v>
      </c>
      <c r="G623">
        <f>LN(F623/参数实验室!$E$58)/参数实验室!$E$59</f>
        <v>0.27398839956735677</v>
      </c>
      <c r="H623" s="856">
        <f>INDEX(神经网络!$G$10:$BO$70,MATCH(ROUND(G623*2,1)/2,神经网络!$E$10:$E$70,0),MATCH(ROUND(E623*2,1)/2,神经网络!$G$8:$BO$8,0))</f>
        <v>9.8994641127870764E-2</v>
      </c>
      <c r="I623">
        <f t="shared" si="40"/>
        <v>1.0549429098998955</v>
      </c>
      <c r="J623">
        <f t="shared" si="41"/>
        <v>2.0340768524799504</v>
      </c>
      <c r="K623">
        <f t="shared" si="42"/>
        <v>0.51863473526760162</v>
      </c>
      <c r="L623" s="4">
        <f>MIN(MAX(L622*(1+MAX(MIN(((B623-B622)/B622)/($K$7*卓尔金历!$N$40),0),-卓尔金历!$M$43))+MIN(MAX(((B623-B622)/B622)/($K$7*卓尔金历!$N$40),0),卓尔金历!$M$43),0),1)</f>
        <v>0.63179857627173197</v>
      </c>
      <c r="M623" s="4">
        <f>MIN(MAX(M622*(1+MAX(MIN(((B623-B622)/B622)/($K$7*30),0),-卓尔金历!$M$43))+MIN(MAX(((B623-B622)/B622)/($K$7*7),0),卓尔金历!$M$43),0),1)</f>
        <v>0.94908772938197661</v>
      </c>
      <c r="N623">
        <f t="shared" si="43"/>
        <v>1.0568675910487102</v>
      </c>
      <c r="O623">
        <f t="shared" si="44"/>
        <v>1.0745165745329937</v>
      </c>
      <c r="P623">
        <f t="shared" si="45"/>
        <v>-6.6643283058576384E-3</v>
      </c>
      <c r="Q623">
        <f t="shared" si="46"/>
        <v>2.1957995484478174E-2</v>
      </c>
      <c r="R623">
        <f t="shared" si="47"/>
        <v>1</v>
      </c>
      <c r="S623">
        <f t="shared" si="39"/>
        <v>1.1006633299648294</v>
      </c>
      <c r="T623" s="564">
        <f>IF((I623-MAX(I$470:I623))/MAX(I$470:I623)&gt;T622,T622,(I623-MAX(I$470:I623))/MAX(I$470:I623))</f>
        <v>-0.13666535856332884</v>
      </c>
      <c r="U623" s="564">
        <f>IF((J623-MAX(J$470:J623))/MAX(J$470:J623)&gt;U622,U622,(J623-MAX(J$470:J623))/MAX(J$470:J623))</f>
        <v>-0.40648897885739943</v>
      </c>
      <c r="V623" s="564">
        <f>IF((K623-MAX(K$470:K623))/MAX(K$470:K623)&gt;V622,V622,(K623-MAX(K$470:K623))/MAX(K$470:K623))</f>
        <v>-0.68158456867950912</v>
      </c>
      <c r="W623" s="564">
        <f>IF((N623-MAX(N$470:N623))/MAX(N$470:N623)&gt;W622,W622,(N623-MAX(N$470:N623))/MAX(N$470:N623))</f>
        <v>-0.10311304065408976</v>
      </c>
      <c r="X623" s="564">
        <f>IF((O623-MAX(O$470:O623))/MAX(O$470:O623)&gt;X622,X622,(O623-MAX(O$470:O623))/MAX(O$470:O623))</f>
        <v>-0.12147101883973409</v>
      </c>
    </row>
    <row r="624" spans="1:24">
      <c r="A624" s="799">
        <v>41026</v>
      </c>
      <c r="B624">
        <v>5.1094999999999997</v>
      </c>
      <c r="C624">
        <v>12.518034</v>
      </c>
      <c r="D624">
        <v>1.043323</v>
      </c>
      <c r="E624">
        <f>LN(D624/参数实验室!$E$53)/参数实验室!$E$55</f>
        <v>-0.64293400126395439</v>
      </c>
      <c r="F624">
        <f t="shared" si="38"/>
        <v>2.4499528329582154</v>
      </c>
      <c r="G624">
        <f>LN(F624/参数实验室!$E$58)/参数实验室!$E$59</f>
        <v>0.27977529348159952</v>
      </c>
      <c r="H624" s="856">
        <f>INDEX(神经网络!$G$10:$BO$70,MATCH(ROUND(G624*2,1)/2,神经网络!$E$10:$E$70,0),MATCH(ROUND(E624*2,1)/2,神经网络!$G$8:$BO$8,0))</f>
        <v>0.17379513561915619</v>
      </c>
      <c r="I624">
        <f t="shared" si="40"/>
        <v>1.0551867032473203</v>
      </c>
      <c r="J624">
        <f t="shared" si="41"/>
        <v>2.038825266350107</v>
      </c>
      <c r="K624">
        <f t="shared" si="42"/>
        <v>0.51754641295784476</v>
      </c>
      <c r="L624" s="4">
        <f>MIN(MAX(L623*(1+MAX(MIN(((B624-B623)/B623)/($K$7*卓尔金历!$N$40),0),-卓尔金历!$M$43))+MIN(MAX(((B624-B623)/B623)/($K$7*卓尔金历!$N$40),0),卓尔金历!$M$43),0),1)</f>
        <v>0.66746645535684479</v>
      </c>
      <c r="M624" s="4">
        <f>MIN(MAX(M623*(1+MAX(MIN(((B624-B623)/B623)/($K$7*30),0),-卓尔金历!$M$43))+MIN(MAX(((B624-B623)/B623)/($K$7*7),0),卓尔金历!$M$43),0),1)</f>
        <v>1</v>
      </c>
      <c r="N624">
        <f t="shared" si="43"/>
        <v>1.0570219003540522</v>
      </c>
      <c r="O624">
        <f t="shared" si="44"/>
        <v>1.0747522489113919</v>
      </c>
      <c r="P624">
        <f t="shared" si="45"/>
        <v>2.3344318895165959E-3</v>
      </c>
      <c r="Q624">
        <f t="shared" si="46"/>
        <v>2.1936938113215412E-2</v>
      </c>
      <c r="R624">
        <f t="shared" si="47"/>
        <v>1</v>
      </c>
      <c r="S624">
        <f t="shared" si="39"/>
        <v>1.100917689129749</v>
      </c>
      <c r="T624" s="564">
        <f>IF((I624-MAX(I$470:I624))/MAX(I$470:I624)&gt;T623,T623,(I624-MAX(I$470:I624))/MAX(I$470:I624))</f>
        <v>-0.13666535856332884</v>
      </c>
      <c r="U624" s="564">
        <f>IF((J624-MAX(J$470:J624))/MAX(J$470:J624)&gt;U623,U623,(J624-MAX(J$470:J624))/MAX(J$470:J624))</f>
        <v>-0.40648897885739943</v>
      </c>
      <c r="V624" s="564">
        <f>IF((K624-MAX(K$470:K624))/MAX(K$470:K624)&gt;V623,V623,(K624-MAX(K$470:K624))/MAX(K$470:K624))</f>
        <v>-0.68158456867950912</v>
      </c>
      <c r="W624" s="564">
        <f>IF((N624-MAX(N$470:N624))/MAX(N$470:N624)&gt;W623,W623,(N624-MAX(N$470:N624))/MAX(N$470:N624))</f>
        <v>-0.10311304065408976</v>
      </c>
      <c r="X624" s="564">
        <f>IF((O624-MAX(O$470:O624))/MAX(O$470:O624)&gt;X623,X623,(O624-MAX(O$470:O624))/MAX(O$470:O624))</f>
        <v>-0.12147101883973409</v>
      </c>
    </row>
    <row r="625" spans="1:24">
      <c r="A625" s="799">
        <v>41027</v>
      </c>
      <c r="B625">
        <v>4.9794</v>
      </c>
      <c r="C625">
        <v>12.455363999999999</v>
      </c>
      <c r="D625">
        <v>1.0182640000000001</v>
      </c>
      <c r="E625">
        <f>LN(D625/参数实验室!$E$53)/参数实验室!$E$55</f>
        <v>-0.67161568450875597</v>
      </c>
      <c r="F625">
        <f t="shared" si="38"/>
        <v>2.5013784793348597</v>
      </c>
      <c r="G625">
        <f>LN(F625/参数实验室!$E$58)/参数实验室!$E$59</f>
        <v>0.2906781910327233</v>
      </c>
      <c r="H625" s="856">
        <f>INDEX(神经网络!$G$10:$BO$70,MATCH(ROUND(G625*2,1)/2,神经网络!$E$10:$E$70,0),MATCH(ROUND(E625*2,1)/2,神经网络!$G$8:$BO$8,0))</f>
        <v>0.17379513561915619</v>
      </c>
      <c r="I625">
        <f t="shared" si="40"/>
        <v>1.0505172522762094</v>
      </c>
      <c r="J625">
        <f t="shared" si="41"/>
        <v>1.9869119348788966</v>
      </c>
      <c r="K625">
        <f t="shared" si="42"/>
        <v>0.52871857772611297</v>
      </c>
      <c r="L625" s="4">
        <f>MIN(MAX(L624*(1+MAX(MIN(((B625-B624)/B624)/($K$7*卓尔金历!$N$40),0),-卓尔金历!$M$43))+MIN(MAX(((B625-B624)/B624)/($K$7*卓尔金历!$N$40),0),卓尔金历!$M$43),0),1)</f>
        <v>0.40779487808719256</v>
      </c>
      <c r="M625" s="4">
        <f>MIN(MAX(M624*(1+MAX(MIN(((B625-B624)/B624)/($K$7*30),0),-卓尔金历!$M$43))+MIN(MAX(((B625-B624)/B624)/($K$7*7),0),卓尔金历!$M$43),0),1)</f>
        <v>0.80547967977594837</v>
      </c>
      <c r="N625">
        <f t="shared" si="43"/>
        <v>1.05389977784956</v>
      </c>
      <c r="O625">
        <f t="shared" si="44"/>
        <v>1.0699962157686898</v>
      </c>
      <c r="P625">
        <f t="shared" si="45"/>
        <v>-2.5462374009198485E-2</v>
      </c>
      <c r="Q625">
        <f t="shared" si="46"/>
        <v>1.9277795927320835E-2</v>
      </c>
      <c r="R625">
        <f t="shared" si="47"/>
        <v>1.583303181057566E-2</v>
      </c>
      <c r="S625">
        <f t="shared" si="39"/>
        <v>1.0960458677195666</v>
      </c>
      <c r="T625" s="564">
        <f>IF((I625-MAX(I$470:I625))/MAX(I$470:I625)&gt;T624,T624,(I625-MAX(I$470:I625))/MAX(I$470:I625))</f>
        <v>-0.13666535856332884</v>
      </c>
      <c r="U625" s="564">
        <f>IF((J625-MAX(J$470:J625))/MAX(J$470:J625)&gt;U624,U624,(J625-MAX(J$470:J625))/MAX(J$470:J625))</f>
        <v>-0.40648897885739943</v>
      </c>
      <c r="V625" s="564">
        <f>IF((K625-MAX(K$470:K625))/MAX(K$470:K625)&gt;V624,V624,(K625-MAX(K$470:K625))/MAX(K$470:K625))</f>
        <v>-0.68158456867950912</v>
      </c>
      <c r="W625" s="564">
        <f>IF((N625-MAX(N$470:N625))/MAX(N$470:N625)&gt;W624,W624,(N625-MAX(N$470:N625))/MAX(N$470:N625))</f>
        <v>-0.10311304065408976</v>
      </c>
      <c r="X625" s="564">
        <f>IF((O625-MAX(O$470:O625))/MAX(O$470:O625)&gt;X624,X624,(O625-MAX(O$470:O625))/MAX(O$470:O625))</f>
        <v>-0.12147101883973409</v>
      </c>
    </row>
    <row r="626" spans="1:24">
      <c r="A626" s="799">
        <v>41028</v>
      </c>
      <c r="B626">
        <v>4.9043999999999999</v>
      </c>
      <c r="C626">
        <v>12.27604</v>
      </c>
      <c r="D626">
        <v>1.006643</v>
      </c>
      <c r="E626">
        <f>LN(D626/参数实验室!$E$53)/参数实验室!$E$55</f>
        <v>-0.68515710934437457</v>
      </c>
      <c r="F626">
        <f t="shared" si="38"/>
        <v>2.5030666340429004</v>
      </c>
      <c r="G626">
        <f>LN(F626/参数实验室!$E$58)/参数实验室!$E$59</f>
        <v>0.29103229017354587</v>
      </c>
      <c r="H626" s="856">
        <f>INDEX(神经网络!$G$10:$BO$70,MATCH(ROUND(G626*2,1)/2,神经网络!$E$10:$E$70,0),MATCH(ROUND(E626*2,1)/2,神经网络!$G$8:$BO$8,0))</f>
        <v>0.14105012549984031</v>
      </c>
      <c r="I626">
        <f t="shared" si="40"/>
        <v>1.0477673006505677</v>
      </c>
      <c r="J626">
        <f t="shared" si="41"/>
        <v>1.9569849567056392</v>
      </c>
      <c r="K626">
        <f t="shared" si="42"/>
        <v>0.5353987505424489</v>
      </c>
      <c r="L626" s="4">
        <f>MIN(MAX(L625*(1+MAX(MIN(((B626-B625)/B625)/($K$7*卓尔金历!$N$40),0),-卓尔金历!$M$43))+MIN(MAX(((B626-B625)/B625)/($K$7*卓尔金历!$N$40),0),卓尔金历!$M$43),0),1)</f>
        <v>0.31394751084863215</v>
      </c>
      <c r="M626" s="4">
        <f>MIN(MAX(M625*(1+MAX(MIN(((B626-B625)/B625)/($K$7*30),0),-卓尔金历!$M$43))+MIN(MAX(((B626-B625)/B625)/($K$7*7),0),卓尔金历!$M$43),0),1)</f>
        <v>0.71279564746820478</v>
      </c>
      <c r="N626">
        <f t="shared" si="43"/>
        <v>1.0527747508509369</v>
      </c>
      <c r="O626">
        <f t="shared" si="44"/>
        <v>1.0677401139499554</v>
      </c>
      <c r="P626">
        <f t="shared" si="45"/>
        <v>-1.5062055669357789E-2</v>
      </c>
      <c r="Q626">
        <f t="shared" si="46"/>
        <v>1.9135904107687219E-2</v>
      </c>
      <c r="R626">
        <f t="shared" si="47"/>
        <v>0.26328031726217621</v>
      </c>
      <c r="S626">
        <f t="shared" si="39"/>
        <v>1.0960004406545496</v>
      </c>
      <c r="T626" s="564">
        <f>IF((I626-MAX(I$470:I626))/MAX(I$470:I626)&gt;T625,T625,(I626-MAX(I$470:I626))/MAX(I$470:I626))</f>
        <v>-0.13666535856332884</v>
      </c>
      <c r="U626" s="564">
        <f>IF((J626-MAX(J$470:J626))/MAX(J$470:J626)&gt;U625,U625,(J626-MAX(J$470:J626))/MAX(J$470:J626))</f>
        <v>-0.40648897885739943</v>
      </c>
      <c r="V626" s="564">
        <f>IF((K626-MAX(K$470:K626))/MAX(K$470:K626)&gt;V625,V625,(K626-MAX(K$470:K626))/MAX(K$470:K626))</f>
        <v>-0.68158456867950912</v>
      </c>
      <c r="W626" s="564">
        <f>IF((N626-MAX(N$470:N626))/MAX(N$470:N626)&gt;W625,W625,(N626-MAX(N$470:N626))/MAX(N$470:N626))</f>
        <v>-0.10311304065408976</v>
      </c>
      <c r="X626" s="564">
        <f>IF((O626-MAX(O$470:O626))/MAX(O$470:O626)&gt;X625,X625,(O626-MAX(O$470:O626))/MAX(O$470:O626))</f>
        <v>-0.12147101883973409</v>
      </c>
    </row>
    <row r="627" spans="1:24">
      <c r="A627" s="799">
        <v>41029</v>
      </c>
      <c r="B627">
        <v>4.9490999999999996</v>
      </c>
      <c r="C627">
        <v>12.239025</v>
      </c>
      <c r="D627">
        <v>1.015487</v>
      </c>
      <c r="E627">
        <f>LN(D627/参数实验室!$E$53)/参数实验室!$E$55</f>
        <v>-0.67483749169619101</v>
      </c>
      <c r="F627">
        <f t="shared" si="38"/>
        <v>2.4729799357458933</v>
      </c>
      <c r="G627">
        <f>LN(F627/参数实验室!$E$58)/参数实验室!$E$59</f>
        <v>0.2846853569378659</v>
      </c>
      <c r="H627" s="856">
        <f>INDEX(神经网络!$G$10:$BO$70,MATCH(ROUND(G627*2,1)/2,神经网络!$E$10:$E$70,0),MATCH(ROUND(E627*2,1)/2,神经网络!$G$8:$BO$8,0))</f>
        <v>0.17379513561915619</v>
      </c>
      <c r="I627">
        <f t="shared" si="40"/>
        <v>1.0491142769582784</v>
      </c>
      <c r="J627">
        <f t="shared" si="41"/>
        <v>1.9748214356969003</v>
      </c>
      <c r="K627">
        <f t="shared" si="42"/>
        <v>0.53124513335457768</v>
      </c>
      <c r="L627" s="4">
        <f>MIN(MAX(L626*(1+MAX(MIN(((B627-B626)/B626)/($K$7*卓尔金历!$N$40),0),-卓尔金历!$M$43))+MIN(MAX(((B627-B626)/B626)/($K$7*卓尔金历!$N$40),0),卓尔金历!$M$43),0),1)</f>
        <v>0.45320472979874005</v>
      </c>
      <c r="M627" s="4">
        <f>MIN(MAX(M626*(1+MAX(MIN(((B627-B626)/B626)/($K$7*30),0),-卓尔金历!$M$43))+MIN(MAX(((B627-B626)/B626)/($K$7*7),0),卓尔金历!$M$43),0),1)</f>
        <v>1</v>
      </c>
      <c r="N627">
        <f t="shared" si="43"/>
        <v>1.0531996517214821</v>
      </c>
      <c r="O627">
        <f t="shared" si="44"/>
        <v>1.0687185348350172</v>
      </c>
      <c r="P627">
        <f t="shared" si="45"/>
        <v>9.114264741864395E-3</v>
      </c>
      <c r="Q627">
        <f t="shared" si="46"/>
        <v>1.8916995559101604E-2</v>
      </c>
      <c r="R627">
        <f t="shared" si="47"/>
        <v>0.76332933795010471</v>
      </c>
      <c r="S627">
        <f t="shared" si="39"/>
        <v>1.0963713982242631</v>
      </c>
      <c r="T627" s="564">
        <f>IF((I627-MAX(I$470:I627))/MAX(I$470:I627)&gt;T626,T626,(I627-MAX(I$470:I627))/MAX(I$470:I627))</f>
        <v>-0.13666535856332884</v>
      </c>
      <c r="U627" s="564">
        <f>IF((J627-MAX(J$470:J627))/MAX(J$470:J627)&gt;U626,U626,(J627-MAX(J$470:J627))/MAX(J$470:J627))</f>
        <v>-0.40648897885739943</v>
      </c>
      <c r="V627" s="564">
        <f>IF((K627-MAX(K$470:K627))/MAX(K$470:K627)&gt;V626,V626,(K627-MAX(K$470:K627))/MAX(K$470:K627))</f>
        <v>-0.68158456867950912</v>
      </c>
      <c r="W627" s="564">
        <f>IF((N627-MAX(N$470:N627))/MAX(N$470:N627)&gt;W626,W626,(N627-MAX(N$470:N627))/MAX(N$470:N627))</f>
        <v>-0.10311304065408976</v>
      </c>
      <c r="X627" s="564">
        <f>IF((O627-MAX(O$470:O627))/MAX(O$470:O627)&gt;X626,X626,(O627-MAX(O$470:O627))/MAX(O$470:O627))</f>
        <v>-0.12147101883973409</v>
      </c>
    </row>
    <row r="628" spans="1:24">
      <c r="A628" s="799">
        <v>41030</v>
      </c>
      <c r="B628">
        <v>5</v>
      </c>
      <c r="C628">
        <v>12.036804999999999</v>
      </c>
      <c r="D628">
        <v>1.024699</v>
      </c>
      <c r="E628">
        <f>LN(D628/参数实验室!$E$53)/参数实验室!$E$55</f>
        <v>-0.6641835996084452</v>
      </c>
      <c r="F628">
        <f t="shared" si="38"/>
        <v>2.4073609999999999</v>
      </c>
      <c r="G628">
        <f>LN(F628/参数实验室!$E$58)/参数实验室!$E$59</f>
        <v>0.27057058921140048</v>
      </c>
      <c r="H628" s="856">
        <f>INDEX(神经网络!$G$10:$BO$70,MATCH(ROUND(G628*2,1)/2,神经网络!$E$10:$E$70,0),MATCH(ROUND(E628*2,1)/2,神经网络!$G$8:$BO$8,0))</f>
        <v>9.8994641127870764E-2</v>
      </c>
      <c r="I628">
        <f t="shared" si="40"/>
        <v>1.0509894958393755</v>
      </c>
      <c r="J628">
        <f t="shared" si="41"/>
        <v>1.9951318782171508</v>
      </c>
      <c r="K628">
        <f t="shared" si="42"/>
        <v>0.52677695510461164</v>
      </c>
      <c r="L628" s="4">
        <f>MIN(MAX(L627*(1+MAX(MIN(((B628-B627)/B627)/($K$7*卓尔金历!$N$40),0),-卓尔金历!$M$43))+MIN(MAX(((B628-B627)/B627)/($K$7*卓尔金历!$N$40),0),卓尔金历!$M$43),0),1)</f>
        <v>0.610345049235406</v>
      </c>
      <c r="M628" s="4">
        <f>MIN(MAX(M627*(1+MAX(MIN(((B628-B627)/B627)/($K$7*30),0),-卓尔金历!$M$43))+MIN(MAX(((B628-B627)/B627)/($K$7*7),0),卓尔金历!$M$43),0),1)</f>
        <v>1</v>
      </c>
      <c r="N628">
        <f t="shared" si="43"/>
        <v>1.0540528192353751</v>
      </c>
      <c r="O628">
        <f t="shared" si="44"/>
        <v>1.0706287949650304</v>
      </c>
      <c r="P628">
        <f t="shared" si="45"/>
        <v>1.0284698227960718E-2</v>
      </c>
      <c r="Q628">
        <f t="shared" si="46"/>
        <v>1.8925133978870301E-2</v>
      </c>
      <c r="R628">
        <f t="shared" si="47"/>
        <v>0.64028691397301651</v>
      </c>
      <c r="S628">
        <f t="shared" si="39"/>
        <v>1.0978672853404903</v>
      </c>
      <c r="T628" s="564">
        <f>IF((I628-MAX(I$470:I628))/MAX(I$470:I628)&gt;T627,T627,(I628-MAX(I$470:I628))/MAX(I$470:I628))</f>
        <v>-0.13666535856332884</v>
      </c>
      <c r="U628" s="564">
        <f>IF((J628-MAX(J$470:J628))/MAX(J$470:J628)&gt;U627,U627,(J628-MAX(J$470:J628))/MAX(J$470:J628))</f>
        <v>-0.40648897885739943</v>
      </c>
      <c r="V628" s="564">
        <f>IF((K628-MAX(K$470:K628))/MAX(K$470:K628)&gt;V627,V627,(K628-MAX(K$470:K628))/MAX(K$470:K628))</f>
        <v>-0.68158456867950912</v>
      </c>
      <c r="W628" s="564">
        <f>IF((N628-MAX(N$470:N628))/MAX(N$470:N628)&gt;W627,W627,(N628-MAX(N$470:N628))/MAX(N$470:N628))</f>
        <v>-0.10311304065408976</v>
      </c>
      <c r="X628" s="564">
        <f>IF((O628-MAX(O$470:O628))/MAX(O$470:O628)&gt;X627,X627,(O628-MAX(O$470:O628))/MAX(O$470:O628))</f>
        <v>-0.12147101883973409</v>
      </c>
    </row>
    <row r="629" spans="1:24">
      <c r="A629" s="799">
        <v>41031</v>
      </c>
      <c r="B629">
        <v>5.0736999999999997</v>
      </c>
      <c r="C629">
        <v>11.785154</v>
      </c>
      <c r="D629">
        <v>1.0381689999999999</v>
      </c>
      <c r="E629">
        <f>LN(D629/参数实验室!$E$53)/参数实验室!$E$55</f>
        <v>-0.64877640723632179</v>
      </c>
      <c r="F629">
        <f t="shared" si="38"/>
        <v>2.3227928336322607</v>
      </c>
      <c r="G629">
        <f>LN(F629/参数实验室!$E$58)/参数实验室!$E$59</f>
        <v>0.25180135856872726</v>
      </c>
      <c r="H629" s="856">
        <f>INDEX(神经网络!$G$10:$BO$70,MATCH(ROUND(G629*2,1)/2,神经网络!$E$10:$E$70,0),MATCH(ROUND(E629*2,1)/2,神经网络!$G$8:$BO$8,0))</f>
        <v>9.8994641127870764E-2</v>
      </c>
      <c r="I629">
        <f t="shared" si="40"/>
        <v>1.0525230797536502</v>
      </c>
      <c r="J629">
        <f t="shared" si="41"/>
        <v>2.0245401221020716</v>
      </c>
      <c r="K629">
        <f t="shared" si="42"/>
        <v>0.51988254925806054</v>
      </c>
      <c r="L629" s="4">
        <f>MIN(MAX(L628*(1+MAX(MIN(((B629-B628)/B628)/($K$7*卓尔金历!$N$40),0),-卓尔金历!$M$43))+MIN(MAX(((B629-B628)/B628)/($K$7*卓尔金历!$N$40),0),卓尔金历!$M$43),0),1)</f>
        <v>0.83555810431555666</v>
      </c>
      <c r="M629" s="4">
        <f>MIN(MAX(M628*(1+MAX(MIN(((B629-B628)/B628)/($K$7*30),0),-卓尔金历!$M$43))+MIN(MAX(((B629-B628)/B628)/($K$7*7),0),卓尔金历!$M$43),0),1)</f>
        <v>1</v>
      </c>
      <c r="N629">
        <f t="shared" si="43"/>
        <v>1.0549915627928199</v>
      </c>
      <c r="O629">
        <f t="shared" si="44"/>
        <v>1.0721910361716434</v>
      </c>
      <c r="P629">
        <f t="shared" si="45"/>
        <v>1.473999999999993E-2</v>
      </c>
      <c r="Q629">
        <f t="shared" si="46"/>
        <v>1.8767750295356492E-2</v>
      </c>
      <c r="R629">
        <f t="shared" si="47"/>
        <v>0.26507207537017141</v>
      </c>
      <c r="S629">
        <f t="shared" si="39"/>
        <v>1.0988930167134625</v>
      </c>
      <c r="T629" s="564">
        <f>IF((I629-MAX(I$470:I629))/MAX(I$470:I629)&gt;T628,T628,(I629-MAX(I$470:I629))/MAX(I$470:I629))</f>
        <v>-0.13666535856332884</v>
      </c>
      <c r="U629" s="564">
        <f>IF((J629-MAX(J$470:J629))/MAX(J$470:J629)&gt;U628,U628,(J629-MAX(J$470:J629))/MAX(J$470:J629))</f>
        <v>-0.40648897885739943</v>
      </c>
      <c r="V629" s="564">
        <f>IF((K629-MAX(K$470:K629))/MAX(K$470:K629)&gt;V628,V628,(K629-MAX(K$470:K629))/MAX(K$470:K629))</f>
        <v>-0.68158456867950912</v>
      </c>
      <c r="W629" s="564">
        <f>IF((N629-MAX(N$470:N629))/MAX(N$470:N629)&gt;W628,W628,(N629-MAX(N$470:N629))/MAX(N$470:N629))</f>
        <v>-0.10311304065408976</v>
      </c>
      <c r="X629" s="564">
        <f>IF((O629-MAX(O$470:O629))/MAX(O$470:O629)&gt;X628,X628,(O629-MAX(O$470:O629))/MAX(O$470:O629))</f>
        <v>-0.12147101883973409</v>
      </c>
    </row>
    <row r="630" spans="1:24">
      <c r="A630" s="799">
        <v>41032</v>
      </c>
      <c r="B630">
        <v>5.1344000000000003</v>
      </c>
      <c r="C630">
        <v>11.623246</v>
      </c>
      <c r="D630">
        <v>1.0512300000000001</v>
      </c>
      <c r="E630">
        <f>LN(D630/参数实验室!$E$53)/参数实验室!$E$55</f>
        <v>-0.63402675163830369</v>
      </c>
      <c r="F630">
        <f t="shared" si="38"/>
        <v>2.2637983016516046</v>
      </c>
      <c r="G630">
        <f>LN(F630/参数实验室!$E$58)/参数实验室!$E$59</f>
        <v>0.23829885728515748</v>
      </c>
      <c r="H630" s="856">
        <f>INDEX(神经网络!$G$10:$BO$70,MATCH(ROUND(G630*2,1)/2,神经网络!$E$10:$E$70,0),MATCH(ROUND(E630*2,1)/2,神经网络!$G$8:$BO$8,0))</f>
        <v>9.8994641127870764E-2</v>
      </c>
      <c r="I630">
        <f t="shared" si="40"/>
        <v>1.0537696226266486</v>
      </c>
      <c r="J630">
        <f t="shared" si="41"/>
        <v>2.0487610231036277</v>
      </c>
      <c r="K630">
        <f t="shared" si="42"/>
        <v>0.5143448214522911</v>
      </c>
      <c r="L630" s="4">
        <f>MIN(MAX(L629*(1+MAX(MIN(((B630-B629)/B629)/($K$7*卓尔金历!$N$40),0),-卓尔金历!$M$43))+MIN(MAX(((B630-B629)/B629)/($K$7*卓尔金历!$N$40),0),卓尔金历!$M$43),0),1)</f>
        <v>1</v>
      </c>
      <c r="M630" s="4">
        <f>MIN(MAX(M629*(1+MAX(MIN(((B630-B629)/B629)/($K$7*30),0),-卓尔金历!$M$43))+MIN(MAX(((B630-B629)/B629)/($K$7*7),0),卓尔金历!$M$43),0),1)</f>
        <v>1</v>
      </c>
      <c r="N630">
        <f t="shared" si="43"/>
        <v>1.0560355645617063</v>
      </c>
      <c r="O630">
        <f t="shared" si="44"/>
        <v>1.0734608725489563</v>
      </c>
      <c r="P630">
        <f t="shared" si="45"/>
        <v>1.1963655714764501E-2</v>
      </c>
      <c r="Q630">
        <f t="shared" si="46"/>
        <v>1.8880112718775589E-2</v>
      </c>
      <c r="R630">
        <f t="shared" si="47"/>
        <v>0.4835660366400909</v>
      </c>
      <c r="S630">
        <f t="shared" si="39"/>
        <v>1.0992379975604256</v>
      </c>
      <c r="T630" s="564">
        <f>IF((I630-MAX(I$470:I630))/MAX(I$470:I630)&gt;T629,T629,(I630-MAX(I$470:I630))/MAX(I$470:I630))</f>
        <v>-0.13666535856332884</v>
      </c>
      <c r="U630" s="564">
        <f>IF((J630-MAX(J$470:J630))/MAX(J$470:J630)&gt;U629,U629,(J630-MAX(J$470:J630))/MAX(J$470:J630))</f>
        <v>-0.40648897885739943</v>
      </c>
      <c r="V630" s="564">
        <f>IF((K630-MAX(K$470:K630))/MAX(K$470:K630)&gt;V629,V629,(K630-MAX(K$470:K630))/MAX(K$470:K630))</f>
        <v>-0.68158456867950912</v>
      </c>
      <c r="W630" s="564">
        <f>IF((N630-MAX(N$470:N630))/MAX(N$470:N630)&gt;W629,W629,(N630-MAX(N$470:N630))/MAX(N$470:N630))</f>
        <v>-0.10311304065408976</v>
      </c>
      <c r="X630" s="564">
        <f>IF((O630-MAX(O$470:O630))/MAX(O$470:O630)&gt;X629,X629,(O630-MAX(O$470:O630))/MAX(O$470:O630))</f>
        <v>-0.12147101883973409</v>
      </c>
    </row>
    <row r="631" spans="1:24">
      <c r="A631" s="799">
        <v>41033</v>
      </c>
      <c r="B631">
        <v>5.0670000000000002</v>
      </c>
      <c r="C631">
        <v>11.46547</v>
      </c>
      <c r="D631">
        <v>1.0443420000000001</v>
      </c>
      <c r="E631">
        <f>LN(D631/参数实验室!$E$53)/参数实验室!$E$55</f>
        <v>-0.64178231394718788</v>
      </c>
      <c r="F631">
        <f t="shared" si="38"/>
        <v>2.2627728438918493</v>
      </c>
      <c r="G631">
        <f>LN(F631/参数实验室!$E$58)/参数实验室!$E$59</f>
        <v>0.23806105447896317</v>
      </c>
      <c r="H631" s="856">
        <f>INDEX(神经网络!$G$10:$BO$70,MATCH(ROUND(G631*2,1)/2,神经网络!$E$10:$E$70,0),MATCH(ROUND(E631*2,1)/2,神经网络!$G$8:$BO$8,0))</f>
        <v>9.8994641127870764E-2</v>
      </c>
      <c r="I631">
        <f t="shared" si="40"/>
        <v>1.0524002313491838</v>
      </c>
      <c r="J631">
        <f t="shared" si="41"/>
        <v>2.0218666453852605</v>
      </c>
      <c r="K631">
        <f t="shared" si="42"/>
        <v>0.52050922040343184</v>
      </c>
      <c r="L631" s="4">
        <f>MIN(MAX(L630*(1+MAX(MIN(((B631-B630)/B630)/($K$7*卓尔金历!$N$40),0),-卓尔金历!$M$43))+MIN(MAX(((B631-B630)/B630)/($K$7*卓尔金历!$N$40),0),卓尔金历!$M$43),0),1)</f>
        <v>0.79942986112135839</v>
      </c>
      <c r="M631" s="4">
        <f>MIN(MAX(M630*(1+MAX(MIN(((B631-B630)/B630)/($K$7*30),0),-卓尔金历!$M$43))+MIN(MAX(((B631-B630)/B630)/($K$7*7),0),卓尔金历!$M$43),0),1)</f>
        <v>0.89971493056067919</v>
      </c>
      <c r="N631">
        <f t="shared" si="43"/>
        <v>1.0546632286547375</v>
      </c>
      <c r="O631">
        <f t="shared" si="44"/>
        <v>1.0720658921623474</v>
      </c>
      <c r="P631">
        <f t="shared" si="45"/>
        <v>-1.3127142411966369E-2</v>
      </c>
      <c r="Q631">
        <f t="shared" si="46"/>
        <v>1.9152500107780569E-2</v>
      </c>
      <c r="R631">
        <f t="shared" si="47"/>
        <v>0.40376333309715684</v>
      </c>
      <c r="S631">
        <f t="shared" si="39"/>
        <v>1.0985472340225084</v>
      </c>
      <c r="T631" s="564">
        <f>IF((I631-MAX(I$470:I631))/MAX(I$470:I631)&gt;T630,T630,(I631-MAX(I$470:I631))/MAX(I$470:I631))</f>
        <v>-0.13666535856332884</v>
      </c>
      <c r="U631" s="564">
        <f>IF((J631-MAX(J$470:J631))/MAX(J$470:J631)&gt;U630,U630,(J631-MAX(J$470:J631))/MAX(J$470:J631))</f>
        <v>-0.40648897885739943</v>
      </c>
      <c r="V631" s="564">
        <f>IF((K631-MAX(K$470:K631))/MAX(K$470:K631)&gt;V630,V630,(K631-MAX(K$470:K631))/MAX(K$470:K631))</f>
        <v>-0.68158456867950912</v>
      </c>
      <c r="W631" s="564">
        <f>IF((N631-MAX(N$470:N631))/MAX(N$470:N631)&gt;W630,W630,(N631-MAX(N$470:N631))/MAX(N$470:N631))</f>
        <v>-0.10311304065408976</v>
      </c>
      <c r="X631" s="564">
        <f>IF((O631-MAX(O$470:O631))/MAX(O$470:O631)&gt;X630,X630,(O631-MAX(O$470:O631))/MAX(O$470:O631))</f>
        <v>-0.12147101883973409</v>
      </c>
    </row>
    <row r="632" spans="1:24">
      <c r="A632" s="799">
        <v>41034</v>
      </c>
      <c r="B632">
        <v>5.077</v>
      </c>
      <c r="C632">
        <v>11.111419</v>
      </c>
      <c r="D632">
        <v>1.0384009999999999</v>
      </c>
      <c r="E632">
        <f>LN(D632/参数实验室!$E$53)/参数实验室!$E$55</f>
        <v>-0.64851279680783602</v>
      </c>
      <c r="F632">
        <f t="shared" si="38"/>
        <v>2.1885796730352571</v>
      </c>
      <c r="G632">
        <f>LN(F632/参数实验室!$E$58)/参数实验室!$E$59</f>
        <v>0.22056336489309236</v>
      </c>
      <c r="H632" s="856">
        <f>INDEX(神经网络!$G$10:$BO$70,MATCH(ROUND(G632*2,1)/2,神经网络!$E$10:$E$70,0),MATCH(ROUND(E632*2,1)/2,神经网络!$G$8:$BO$8,0))</f>
        <v>2.2484663717706355E-2</v>
      </c>
      <c r="I632">
        <f t="shared" si="40"/>
        <v>1.0526058401576015</v>
      </c>
      <c r="J632">
        <f t="shared" si="41"/>
        <v>2.0258569091416945</v>
      </c>
      <c r="K632">
        <f t="shared" si="42"/>
        <v>0.51958548276914807</v>
      </c>
      <c r="L632" s="4">
        <f>MIN(MAX(L631*(1+MAX(MIN(((B632-B631)/B631)/($K$7*卓尔金历!$N$40),0),-卓尔金历!$M$43))+MIN(MAX(((B632-B631)/B631)/($K$7*卓尔金历!$N$40),0),卓尔金历!$M$43),0),1)</f>
        <v>0.82958387803824696</v>
      </c>
      <c r="M632" s="4">
        <f>MIN(MAX(M631*(1+MAX(MIN(((B632-B631)/B631)/($K$7*30),0),-卓尔金历!$M$43))+MIN(MAX(((B632-B631)/B631)/($K$7*7),0),卓尔金历!$M$43),0),1)</f>
        <v>0.96433068109686904</v>
      </c>
      <c r="N632">
        <f t="shared" si="43"/>
        <v>1.0548279519236163</v>
      </c>
      <c r="O632">
        <f t="shared" si="44"/>
        <v>1.0722543382771348</v>
      </c>
      <c r="P632">
        <f t="shared" si="45"/>
        <v>1.9735543714228905E-3</v>
      </c>
      <c r="Q632">
        <f t="shared" si="46"/>
        <v>1.9144308504958706E-2</v>
      </c>
      <c r="R632">
        <f t="shared" si="47"/>
        <v>1</v>
      </c>
      <c r="S632">
        <f t="shared" si="39"/>
        <v>1.0986338915698544</v>
      </c>
      <c r="T632" s="564">
        <f>IF((I632-MAX(I$470:I632))/MAX(I$470:I632)&gt;T631,T631,(I632-MAX(I$470:I632))/MAX(I$470:I632))</f>
        <v>-0.13666535856332884</v>
      </c>
      <c r="U632" s="564">
        <f>IF((J632-MAX(J$470:J632))/MAX(J$470:J632)&gt;U631,U631,(J632-MAX(J$470:J632))/MAX(J$470:J632))</f>
        <v>-0.40648897885739943</v>
      </c>
      <c r="V632" s="564">
        <f>IF((K632-MAX(K$470:K632))/MAX(K$470:K632)&gt;V631,V631,(K632-MAX(K$470:K632))/MAX(K$470:K632))</f>
        <v>-0.68158456867950912</v>
      </c>
      <c r="W632" s="564">
        <f>IF((N632-MAX(N$470:N632))/MAX(N$470:N632)&gt;W631,W631,(N632-MAX(N$470:N632))/MAX(N$470:N632))</f>
        <v>-0.10311304065408976</v>
      </c>
      <c r="X632" s="564">
        <f>IF((O632-MAX(O$470:O632))/MAX(O$470:O632)&gt;X631,X631,(O632-MAX(O$470:O632))/MAX(O$470:O632))</f>
        <v>-0.12147101883973409</v>
      </c>
    </row>
    <row r="633" spans="1:24">
      <c r="A633" s="799">
        <v>41035</v>
      </c>
      <c r="B633">
        <v>5.0499000000000001</v>
      </c>
      <c r="C633">
        <v>10.934347000000001</v>
      </c>
      <c r="D633">
        <v>1.0390969999999999</v>
      </c>
      <c r="E633">
        <f>LN(D633/参数实验室!$E$53)/参数实验室!$E$55</f>
        <v>-0.64772231875344133</v>
      </c>
      <c r="F633">
        <f t="shared" si="38"/>
        <v>2.1652601041604784</v>
      </c>
      <c r="G633">
        <f>LN(F633/参数实验室!$E$58)/参数实验室!$E$59</f>
        <v>0.21494097744885346</v>
      </c>
      <c r="H633" s="856">
        <f>INDEX(神经网络!$G$10:$BO$70,MATCH(ROUND(G633*2,1)/2,神经网络!$E$10:$E$70,0),MATCH(ROUND(E633*2,1)/2,神经网络!$G$8:$BO$8,0))</f>
        <v>2.2484663717706355E-2</v>
      </c>
      <c r="I633">
        <f t="shared" si="40"/>
        <v>1.0524795078877371</v>
      </c>
      <c r="J633">
        <f t="shared" si="41"/>
        <v>2.0150432943617576</v>
      </c>
      <c r="K633">
        <f t="shared" si="42"/>
        <v>0.52231111402551689</v>
      </c>
      <c r="L633" s="4">
        <f>MIN(MAX(L632*(1+MAX(MIN(((B633-B632)/B632)/($K$7*卓尔金历!$N$40),0),-卓尔金历!$M$43))+MIN(MAX(((B633-B632)/B632)/($K$7*卓尔金历!$N$40),0),卓尔金历!$M$43),0),1)</f>
        <v>0.76192597872893852</v>
      </c>
      <c r="M633" s="4">
        <f>MIN(MAX(M632*(1+MAX(MIN(((B633-B632)/B632)/($K$7*30),0),-卓尔金历!$M$43))+MIN(MAX(((B633-B632)/B632)/($K$7*7),0),卓尔金历!$M$43),0),1)</f>
        <v>0.92500699735025649</v>
      </c>
      <c r="N633">
        <f t="shared" si="43"/>
        <v>1.0547229274636181</v>
      </c>
      <c r="O633">
        <f t="shared" si="44"/>
        <v>1.0721302381230864</v>
      </c>
      <c r="P633">
        <f t="shared" si="45"/>
        <v>-5.3377979121528273E-3</v>
      </c>
      <c r="Q633">
        <f t="shared" si="46"/>
        <v>1.919554460299145E-2</v>
      </c>
      <c r="R633">
        <f t="shared" si="47"/>
        <v>1</v>
      </c>
      <c r="S633">
        <f t="shared" si="39"/>
        <v>1.0985020350781107</v>
      </c>
      <c r="T633" s="564">
        <f>IF((I633-MAX(I$470:I633))/MAX(I$470:I633)&gt;T632,T632,(I633-MAX(I$470:I633))/MAX(I$470:I633))</f>
        <v>-0.13666535856332884</v>
      </c>
      <c r="U633" s="564">
        <f>IF((J633-MAX(J$470:J633))/MAX(J$470:J633)&gt;U632,U632,(J633-MAX(J$470:J633))/MAX(J$470:J633))</f>
        <v>-0.40648897885739943</v>
      </c>
      <c r="V633" s="564">
        <f>IF((K633-MAX(K$470:K633))/MAX(K$470:K633)&gt;V632,V632,(K633-MAX(K$470:K633))/MAX(K$470:K633))</f>
        <v>-0.68158456867950912</v>
      </c>
      <c r="W633" s="564">
        <f>IF((N633-MAX(N$470:N633))/MAX(N$470:N633)&gt;W632,W632,(N633-MAX(N$470:N633))/MAX(N$470:N633))</f>
        <v>-0.10311304065408976</v>
      </c>
      <c r="X633" s="564">
        <f>IF((O633-MAX(O$470:O633))/MAX(O$470:O633)&gt;X632,X632,(O633-MAX(O$470:O633))/MAX(O$470:O633))</f>
        <v>-0.12147101883973409</v>
      </c>
    </row>
    <row r="634" spans="1:24">
      <c r="A634" s="799">
        <v>41036</v>
      </c>
      <c r="B634">
        <v>5.0599999999999996</v>
      </c>
      <c r="C634">
        <v>10.668308</v>
      </c>
      <c r="D634">
        <v>1.0431569999999999</v>
      </c>
      <c r="E634">
        <f>LN(D634/参数实验室!$E$53)/参数实验室!$E$55</f>
        <v>-0.64312172320608918</v>
      </c>
      <c r="F634">
        <f t="shared" si="38"/>
        <v>2.1083612648221344</v>
      </c>
      <c r="G634">
        <f>LN(F634/参数实验室!$E$58)/参数实验室!$E$59</f>
        <v>0.20096437632374056</v>
      </c>
      <c r="H634" s="856">
        <f>INDEX(神经网络!$G$10:$BO$70,MATCH(ROUND(G634*2,1)/2,神经网络!$E$10:$E$70,0),MATCH(ROUND(E634*2,1)/2,神经网络!$G$8:$BO$8,0))</f>
        <v>2.2484663717706355E-2</v>
      </c>
      <c r="I634">
        <f t="shared" si="40"/>
        <v>1.0525268381205788</v>
      </c>
      <c r="J634">
        <f t="shared" si="41"/>
        <v>2.0190734607557559</v>
      </c>
      <c r="K634">
        <f t="shared" si="42"/>
        <v>0.52129199782885027</v>
      </c>
      <c r="L634" s="4">
        <f>MIN(MAX(L633*(1+MAX(MIN(((B634-B633)/B633)/($K$7*卓尔金历!$N$40),0),-卓尔金历!$M$43))+MIN(MAX(((B634-B633)/B633)/($K$7*卓尔金历!$N$40),0),卓尔金历!$M$43),0),1)</f>
        <v>0.79248466459500511</v>
      </c>
      <c r="M634" s="4">
        <f>MIN(MAX(M633*(1+MAX(MIN(((B634-B633)/B633)/($K$7*30),0),-卓尔金历!$M$43))+MIN(MAX(((B634-B633)/B633)/($K$7*7),0),卓尔金历!$M$43),0),1)</f>
        <v>0.99048989563468481</v>
      </c>
      <c r="N634">
        <f t="shared" si="43"/>
        <v>1.0547590664660769</v>
      </c>
      <c r="O634">
        <f t="shared" si="44"/>
        <v>1.0721748363461343</v>
      </c>
      <c r="P634">
        <f t="shared" si="45"/>
        <v>2.0000396047445599E-3</v>
      </c>
      <c r="Q634">
        <f t="shared" si="46"/>
        <v>1.9104306925289187E-2</v>
      </c>
      <c r="R634">
        <f t="shared" si="47"/>
        <v>1</v>
      </c>
      <c r="S634">
        <f t="shared" si="39"/>
        <v>1.09855143495403</v>
      </c>
      <c r="T634" s="564">
        <f>IF((I634-MAX(I$470:I634))/MAX(I$470:I634)&gt;T633,T633,(I634-MAX(I$470:I634))/MAX(I$470:I634))</f>
        <v>-0.13666535856332884</v>
      </c>
      <c r="U634" s="564">
        <f>IF((J634-MAX(J$470:J634))/MAX(J$470:J634)&gt;U633,U633,(J634-MAX(J$470:J634))/MAX(J$470:J634))</f>
        <v>-0.40648897885739943</v>
      </c>
      <c r="V634" s="564">
        <f>IF((K634-MAX(K$470:K634))/MAX(K$470:K634)&gt;V633,V633,(K634-MAX(K$470:K634))/MAX(K$470:K634))</f>
        <v>-0.68158456867950912</v>
      </c>
      <c r="W634" s="564">
        <f>IF((N634-MAX(N$470:N634))/MAX(N$470:N634)&gt;W633,W633,(N634-MAX(N$470:N634))/MAX(N$470:N634))</f>
        <v>-0.10311304065408976</v>
      </c>
      <c r="X634" s="564">
        <f>IF((O634-MAX(O$470:O634))/MAX(O$470:O634)&gt;X633,X633,(O634-MAX(O$470:O634))/MAX(O$470:O634))</f>
        <v>-0.12147101883973409</v>
      </c>
    </row>
    <row r="635" spans="1:24">
      <c r="A635" s="799">
        <v>41037</v>
      </c>
      <c r="B635">
        <v>5.05</v>
      </c>
      <c r="C635">
        <v>10.517841000000001</v>
      </c>
      <c r="D635">
        <v>1.034375</v>
      </c>
      <c r="E635">
        <f>LN(D635/参数实验室!$E$53)/参数实验室!$E$55</f>
        <v>-0.65309572572361141</v>
      </c>
      <c r="F635">
        <f t="shared" si="38"/>
        <v>2.0827407920792083</v>
      </c>
      <c r="G635">
        <f>LN(F635/参数实验室!$E$58)/参数实验室!$E$59</f>
        <v>0.19454736426875455</v>
      </c>
      <c r="H635" s="856">
        <f>INDEX(神经网络!$G$10:$BO$70,MATCH(ROUND(G635*2,1)/2,神经网络!$E$10:$E$70,0),MATCH(ROUND(E635*2,1)/2,神经网络!$G$8:$BO$8,0))</f>
        <v>2.2484663717706355E-2</v>
      </c>
      <c r="I635">
        <f t="shared" si="40"/>
        <v>1.0524800679387429</v>
      </c>
      <c r="J635">
        <f t="shared" si="41"/>
        <v>2.0150831969993219</v>
      </c>
      <c r="K635">
        <f t="shared" si="42"/>
        <v>0.52230104916065012</v>
      </c>
      <c r="L635" s="4">
        <f>MIN(MAX(L634*(1+MAX(MIN(((B635-B634)/B634)/($K$7*卓尔金历!$N$40),0),-卓尔金历!$M$43))+MIN(MAX(((B635-B634)/B634)/($K$7*卓尔金历!$N$40),0),卓尔金历!$M$43),0),1)</f>
        <v>0.76855501008044091</v>
      </c>
      <c r="M635" s="4">
        <f>MIN(MAX(M634*(1+MAX(MIN(((B635-B634)/B634)/($K$7*30),0),-卓尔金历!$M$43))+MIN(MAX(((B635-B634)/B634)/($K$7*7),0),卓尔金历!$M$43),0),1)</f>
        <v>0.97553561193582128</v>
      </c>
      <c r="N635">
        <f t="shared" si="43"/>
        <v>1.0547219232064615</v>
      </c>
      <c r="O635">
        <f t="shared" si="44"/>
        <v>1.0721276461763916</v>
      </c>
      <c r="P635">
        <f t="shared" si="45"/>
        <v>-1.9762845849801954E-3</v>
      </c>
      <c r="Q635">
        <f t="shared" si="46"/>
        <v>1.9041367901917201E-2</v>
      </c>
      <c r="R635">
        <f t="shared" si="47"/>
        <v>1</v>
      </c>
      <c r="S635">
        <f t="shared" si="39"/>
        <v>1.098502619618869</v>
      </c>
      <c r="T635" s="564">
        <f>IF((I635-MAX(I$470:I635))/MAX(I$470:I635)&gt;T634,T634,(I635-MAX(I$470:I635))/MAX(I$470:I635))</f>
        <v>-0.13666535856332884</v>
      </c>
      <c r="U635" s="564">
        <f>IF((J635-MAX(J$470:J635))/MAX(J$470:J635)&gt;U634,U634,(J635-MAX(J$470:J635))/MAX(J$470:J635))</f>
        <v>-0.40648897885739943</v>
      </c>
      <c r="V635" s="564">
        <f>IF((K635-MAX(K$470:K635))/MAX(K$470:K635)&gt;V634,V634,(K635-MAX(K$470:K635))/MAX(K$470:K635))</f>
        <v>-0.68158456867950912</v>
      </c>
      <c r="W635" s="564">
        <f>IF((N635-MAX(N$470:N635))/MAX(N$470:N635)&gt;W634,W634,(N635-MAX(N$470:N635))/MAX(N$470:N635))</f>
        <v>-0.10311304065408976</v>
      </c>
      <c r="X635" s="564">
        <f>IF((O635-MAX(O$470:O635))/MAX(O$470:O635)&gt;X634,X634,(O635-MAX(O$470:O635))/MAX(O$470:O635))</f>
        <v>-0.12147101883973409</v>
      </c>
    </row>
    <row r="636" spans="1:24">
      <c r="A636" s="799">
        <v>41038</v>
      </c>
      <c r="B636">
        <v>5.0437000000000003</v>
      </c>
      <c r="C636">
        <v>10.410231</v>
      </c>
      <c r="D636">
        <v>1.037879</v>
      </c>
      <c r="E636">
        <f>LN(D636/参数实验室!$E$53)/参数实验室!$E$55</f>
        <v>-0.64910600312521938</v>
      </c>
      <c r="F636">
        <f t="shared" si="38"/>
        <v>2.064006780736364</v>
      </c>
      <c r="G636">
        <f>LN(F636/参数实验室!$E$58)/参数实验室!$E$59</f>
        <v>0.18980500254081814</v>
      </c>
      <c r="H636" s="856">
        <f>INDEX(神经网络!$G$10:$BO$70,MATCH(ROUND(G636*2,1)/2,神经网络!$E$10:$E$70,0),MATCH(ROUND(E636*2,1)/2,神经网络!$G$8:$BO$8,0))</f>
        <v>2.2484663717706355E-2</v>
      </c>
      <c r="I636">
        <f t="shared" si="40"/>
        <v>1.0524505456891387</v>
      </c>
      <c r="J636">
        <f t="shared" si="41"/>
        <v>2.0125693308327688</v>
      </c>
      <c r="K636">
        <f t="shared" si="42"/>
        <v>0.52293877759413709</v>
      </c>
      <c r="L636" s="4">
        <f>MIN(MAX(L635*(1+MAX(MIN(((B636-B635)/B635)/($K$7*卓尔金历!$N$40),0),-卓尔金历!$M$43))+MIN(MAX(((B636-B635)/B635)/($K$7*卓尔金历!$N$40),0),卓尔金历!$M$43),0),1)</f>
        <v>0.75390559759136466</v>
      </c>
      <c r="M636" s="4">
        <f>MIN(MAX(M635*(1+MAX(MIN(((B636-B635)/B635)/($K$7*30),0),-卓尔金历!$M$43))+MIN(MAX(((B636-B635)/B635)/($K$7*7),0),卓尔金历!$M$43),0),1)</f>
        <v>0.96623827902562698</v>
      </c>
      <c r="N636">
        <f t="shared" si="43"/>
        <v>1.0546991854034742</v>
      </c>
      <c r="O636">
        <f t="shared" si="44"/>
        <v>1.0720983085353237</v>
      </c>
      <c r="P636">
        <f t="shared" si="45"/>
        <v>-1.2475247524751541E-3</v>
      </c>
      <c r="Q636">
        <f t="shared" si="46"/>
        <v>1.8011774083685893E-2</v>
      </c>
      <c r="R636">
        <f t="shared" si="47"/>
        <v>1</v>
      </c>
      <c r="S636">
        <f t="shared" si="39"/>
        <v>1.0984718064286572</v>
      </c>
      <c r="T636" s="564">
        <f>IF((I636-MAX(I$470:I636))/MAX(I$470:I636)&gt;T635,T635,(I636-MAX(I$470:I636))/MAX(I$470:I636))</f>
        <v>-0.13666535856332884</v>
      </c>
      <c r="U636" s="564">
        <f>IF((J636-MAX(J$470:J636))/MAX(J$470:J636)&gt;U635,U635,(J636-MAX(J$470:J636))/MAX(J$470:J636))</f>
        <v>-0.40648897885739943</v>
      </c>
      <c r="V636" s="564">
        <f>IF((K636-MAX(K$470:K636))/MAX(K$470:K636)&gt;V635,V635,(K636-MAX(K$470:K636))/MAX(K$470:K636))</f>
        <v>-0.68158456867950912</v>
      </c>
      <c r="W636" s="564">
        <f>IF((N636-MAX(N$470:N636))/MAX(N$470:N636)&gt;W635,W635,(N636-MAX(N$470:N636))/MAX(N$470:N636))</f>
        <v>-0.10311304065408976</v>
      </c>
      <c r="X636" s="564">
        <f>IF((O636-MAX(O$470:O636))/MAX(O$470:O636)&gt;X635,X635,(O636-MAX(O$470:O636))/MAX(O$470:O636))</f>
        <v>-0.12147101883973409</v>
      </c>
    </row>
    <row r="637" spans="1:24">
      <c r="A637" s="799">
        <v>41039</v>
      </c>
      <c r="B637">
        <v>4.8499999999999996</v>
      </c>
      <c r="C637">
        <v>10.562172</v>
      </c>
      <c r="D637">
        <v>1.0148170000000001</v>
      </c>
      <c r="E637">
        <f>LN(D637/参数实验室!$E$53)/参数实验室!$E$55</f>
        <v>-0.67561612849359087</v>
      </c>
      <c r="F637">
        <f t="shared" si="38"/>
        <v>2.1777674226804127</v>
      </c>
      <c r="G637">
        <f>LN(F637/参数实验室!$E$58)/参数实验室!$E$59</f>
        <v>0.21796399989144644</v>
      </c>
      <c r="H637" s="856">
        <f>INDEX(神经网络!$G$10:$BO$70,MATCH(ROUND(G637*2,1)/2,神经网络!$E$10:$E$70,0),MATCH(ROUND(E637*2,1)/2,神经网络!$G$8:$BO$8,0))</f>
        <v>-1.5984975685836671E-3</v>
      </c>
      <c r="I637">
        <f t="shared" si="40"/>
        <v>1.0515417453756206</v>
      </c>
      <c r="J637">
        <f t="shared" si="41"/>
        <v>1.9352779218706362</v>
      </c>
      <c r="K637">
        <f t="shared" si="42"/>
        <v>0.54335438517233858</v>
      </c>
      <c r="L637" s="4">
        <f>MIN(MAX(L636*(1+MAX(MIN(((B637-B636)/B636)/($K$7*卓尔金历!$N$40),0),-卓尔金历!$M$43))+MIN(MAX(((B637-B636)/B636)/($K$7*卓尔金历!$N$40),0),卓尔金历!$M$43),0),1)</f>
        <v>0.31152770004953428</v>
      </c>
      <c r="M637" s="4">
        <f>MIN(MAX(M636*(1+MAX(MIN(((B637-B636)/B636)/($K$7*30),0),-卓尔金历!$M$43))+MIN(MAX(((B637-B636)/B636)/($K$7*7),0),卓尔金历!$M$43),0),1)</f>
        <v>0.68275287994819656</v>
      </c>
      <c r="N637">
        <f t="shared" si="43"/>
        <v>1.0540125718862972</v>
      </c>
      <c r="O637">
        <f t="shared" si="44"/>
        <v>1.0712037976700926</v>
      </c>
      <c r="P637">
        <f t="shared" si="45"/>
        <v>-3.8404346015821843E-2</v>
      </c>
      <c r="Q637">
        <f t="shared" si="46"/>
        <v>1.9691117625458332E-2</v>
      </c>
      <c r="R637">
        <f t="shared" si="47"/>
        <v>5.9798553463588115E-3</v>
      </c>
      <c r="S637">
        <f t="shared" si="39"/>
        <v>1.097523266351252</v>
      </c>
      <c r="T637" s="564">
        <f>IF((I637-MAX(I$470:I637))/MAX(I$470:I637)&gt;T636,T636,(I637-MAX(I$470:I637))/MAX(I$470:I637))</f>
        <v>-0.13666535856332884</v>
      </c>
      <c r="U637" s="564">
        <f>IF((J637-MAX(J$470:J637))/MAX(J$470:J637)&gt;U636,U636,(J637-MAX(J$470:J637))/MAX(J$470:J637))</f>
        <v>-0.40648897885739943</v>
      </c>
      <c r="V637" s="564">
        <f>IF((K637-MAX(K$470:K637))/MAX(K$470:K637)&gt;V636,V636,(K637-MAX(K$470:K637))/MAX(K$470:K637))</f>
        <v>-0.68158456867950912</v>
      </c>
      <c r="W637" s="564">
        <f>IF((N637-MAX(N$470:N637))/MAX(N$470:N637)&gt;W636,W636,(N637-MAX(N$470:N637))/MAX(N$470:N637))</f>
        <v>-0.10311304065408976</v>
      </c>
      <c r="X637" s="564">
        <f>IF((O637-MAX(O$470:O637))/MAX(O$470:O637)&gt;X636,X636,(O637-MAX(O$470:O637))/MAX(O$470:O637))</f>
        <v>-0.12147101883973409</v>
      </c>
    </row>
    <row r="638" spans="1:24">
      <c r="A638" s="799">
        <v>41040</v>
      </c>
      <c r="B638">
        <v>4.96</v>
      </c>
      <c r="C638">
        <v>10.576371999999999</v>
      </c>
      <c r="D638">
        <v>1.0227649999999999</v>
      </c>
      <c r="E638">
        <f>LN(D638/参数实验室!$E$53)/参数实验室!$E$55</f>
        <v>-0.66641235034831858</v>
      </c>
      <c r="F638">
        <f t="shared" si="38"/>
        <v>2.1323330645161289</v>
      </c>
      <c r="G638">
        <f>LN(F638/参数实验室!$E$58)/参数实验室!$E$59</f>
        <v>0.20689823008789879</v>
      </c>
      <c r="H638" s="856">
        <f>INDEX(神经网络!$G$10:$BO$70,MATCH(ROUND(G638*2,1)/2,神经网络!$E$10:$E$70,0),MATCH(ROUND(E638*2,1)/2,神经网络!$G$8:$BO$8,0))</f>
        <v>2.2484663717706355E-2</v>
      </c>
      <c r="I638">
        <f t="shared" si="40"/>
        <v>1.0515036221670522</v>
      </c>
      <c r="J638">
        <f t="shared" si="41"/>
        <v>1.9791708231914136</v>
      </c>
      <c r="K638">
        <f t="shared" si="42"/>
        <v>0.53128492490178403</v>
      </c>
      <c r="L638" s="4">
        <f>MIN(MAX(L637*(1+MAX(MIN(((B638-B637)/B637)/($K$7*卓尔金历!$N$40),0),-卓尔金历!$M$43))+MIN(MAX(((B638-B637)/B637)/($K$7*卓尔金历!$N$40),0),卓尔金历!$M$43),0),1)</f>
        <v>0.65806263631688677</v>
      </c>
      <c r="M638" s="4">
        <f>MIN(MAX(M637*(1+MAX(MIN(((B638-B637)/B637)/($K$7*30),0),-卓尔金历!$M$43))+MIN(MAX(((B638-B637)/B637)/($K$7*7),0),卓尔金历!$M$43),0),1)</f>
        <v>1</v>
      </c>
      <c r="N638">
        <f t="shared" si="43"/>
        <v>1.0540006675445397</v>
      </c>
      <c r="O638">
        <f t="shared" si="44"/>
        <v>1.0711772822464094</v>
      </c>
      <c r="P638">
        <f t="shared" si="45"/>
        <v>2.2680412371134089E-2</v>
      </c>
      <c r="Q638">
        <f t="shared" si="46"/>
        <v>1.8044897335046647E-2</v>
      </c>
      <c r="R638">
        <f t="shared" si="47"/>
        <v>1.5188965850788881E-2</v>
      </c>
      <c r="S638">
        <f t="shared" si="39"/>
        <v>1.097523028411316</v>
      </c>
      <c r="T638" s="564">
        <f>IF((I638-MAX(I$470:I638))/MAX(I$470:I638)&gt;T637,T637,(I638-MAX(I$470:I638))/MAX(I$470:I638))</f>
        <v>-0.13666535856332884</v>
      </c>
      <c r="U638" s="564">
        <f>IF((J638-MAX(J$470:J638))/MAX(J$470:J638)&gt;U637,U637,(J638-MAX(J$470:J638))/MAX(J$470:J638))</f>
        <v>-0.40648897885739943</v>
      </c>
      <c r="V638" s="564">
        <f>IF((K638-MAX(K$470:K638))/MAX(K$470:K638)&gt;V637,V637,(K638-MAX(K$470:K638))/MAX(K$470:K638))</f>
        <v>-0.68158456867950912</v>
      </c>
      <c r="W638" s="564">
        <f>IF((N638-MAX(N$470:N638))/MAX(N$470:N638)&gt;W637,W637,(N638-MAX(N$470:N638))/MAX(N$470:N638))</f>
        <v>-0.10311304065408976</v>
      </c>
      <c r="X638" s="564">
        <f>IF((O638-MAX(O$470:O638))/MAX(O$470:O638)&gt;X637,X637,(O638-MAX(O$470:O638))/MAX(O$470:O638))</f>
        <v>-0.12147101883973409</v>
      </c>
    </row>
    <row r="639" spans="1:24">
      <c r="A639" s="799">
        <v>41041</v>
      </c>
      <c r="B639">
        <v>4.9462000000000002</v>
      </c>
      <c r="C639">
        <v>10.594699</v>
      </c>
      <c r="D639">
        <v>1.01651</v>
      </c>
      <c r="E639">
        <f>LN(D639/参数实验室!$E$53)/参数实验室!$E$55</f>
        <v>-0.67364960837692589</v>
      </c>
      <c r="F639">
        <f t="shared" si="38"/>
        <v>2.1419875864299867</v>
      </c>
      <c r="G639">
        <f>LN(F639/参数实验室!$E$58)/参数实验室!$E$59</f>
        <v>0.20926923773646922</v>
      </c>
      <c r="H639" s="856">
        <f>INDEX(神经网络!$G$10:$BO$70,MATCH(ROUND(G639*2,1)/2,神经网络!$E$10:$E$70,0),MATCH(ROUND(E639*2,1)/2,神经网络!$G$8:$BO$8,0))</f>
        <v>2.2484663717706355E-2</v>
      </c>
      <c r="I639">
        <f t="shared" si="40"/>
        <v>1.0514378420594463</v>
      </c>
      <c r="J639">
        <f t="shared" si="41"/>
        <v>1.9736642592075344</v>
      </c>
      <c r="K639">
        <f t="shared" si="42"/>
        <v>0.53273389187359532</v>
      </c>
      <c r="L639" s="4">
        <f>MIN(MAX(L638*(1+MAX(MIN(((B639-B638)/B638)/($K$7*卓尔金历!$N$40),0),-卓尔金历!$M$43))+MIN(MAX(((B639-B638)/B638)/($K$7*卓尔金历!$N$40),0),卓尔金历!$M$43),0),1)</f>
        <v>0.63008824012599574</v>
      </c>
      <c r="M639" s="4">
        <f>MIN(MAX(M638*(1+MAX(MIN(((B639-B638)/B638)/($K$7*30),0),-卓尔金历!$M$43))+MIN(MAX(((B639-B638)/B638)/($K$7*7),0),卓尔金历!$M$43),0),1)</f>
        <v>0.97874488335376331</v>
      </c>
      <c r="N639">
        <f t="shared" si="43"/>
        <v>1.0539572773172134</v>
      </c>
      <c r="O639">
        <f t="shared" si="44"/>
        <v>1.0711102713912819</v>
      </c>
      <c r="P639">
        <f t="shared" si="45"/>
        <v>-2.7822580645160914E-3</v>
      </c>
      <c r="Q639">
        <f t="shared" si="46"/>
        <v>1.7795497756146614E-2</v>
      </c>
      <c r="R639">
        <f t="shared" si="47"/>
        <v>1</v>
      </c>
      <c r="S639">
        <f t="shared" si="39"/>
        <v>1.0975219855521716</v>
      </c>
      <c r="T639" s="564">
        <f>IF((I639-MAX(I$470:I639))/MAX(I$470:I639)&gt;T638,T638,(I639-MAX(I$470:I639))/MAX(I$470:I639))</f>
        <v>-0.13666535856332884</v>
      </c>
      <c r="U639" s="564">
        <f>IF((J639-MAX(J$470:J639))/MAX(J$470:J639)&gt;U638,U638,(J639-MAX(J$470:J639))/MAX(J$470:J639))</f>
        <v>-0.40648897885739943</v>
      </c>
      <c r="V639" s="564">
        <f>IF((K639-MAX(K$470:K639))/MAX(K$470:K639)&gt;V638,V638,(K639-MAX(K$470:K639))/MAX(K$470:K639))</f>
        <v>-0.68158456867950912</v>
      </c>
      <c r="W639" s="564">
        <f>IF((N639-MAX(N$470:N639))/MAX(N$470:N639)&gt;W638,W638,(N639-MAX(N$470:N639))/MAX(N$470:N639))</f>
        <v>-0.10311304065408976</v>
      </c>
      <c r="X639" s="564">
        <f>IF((O639-MAX(O$470:O639))/MAX(O$470:O639)&gt;X638,X638,(O639-MAX(O$470:O639))/MAX(O$470:O639))</f>
        <v>-0.12147101883973409</v>
      </c>
    </row>
    <row r="640" spans="1:24">
      <c r="A640" s="799">
        <v>41042</v>
      </c>
      <c r="B640">
        <v>4.93</v>
      </c>
      <c r="C640">
        <v>10.502272</v>
      </c>
      <c r="D640">
        <v>1.017236</v>
      </c>
      <c r="E640">
        <f>LN(D640/参数实验室!$E$53)/参数实验室!$E$55</f>
        <v>-0.67280731942687422</v>
      </c>
      <c r="F640">
        <f t="shared" si="38"/>
        <v>2.1302782961460447</v>
      </c>
      <c r="G640">
        <f>LN(F640/参数实验室!$E$58)/参数实验室!$E$59</f>
        <v>0.20639222403718543</v>
      </c>
      <c r="H640" s="856">
        <f>INDEX(神经网络!$G$10:$BO$70,MATCH(ROUND(G640*2,1)/2,神经网络!$E$10:$E$70,0),MATCH(ROUND(E640*2,1)/2,神经网络!$G$8:$BO$8,0))</f>
        <v>2.2484663717706355E-2</v>
      </c>
      <c r="I640">
        <f t="shared" si="40"/>
        <v>1.0513604113316066</v>
      </c>
      <c r="J640">
        <f t="shared" si="41"/>
        <v>1.9672000319221106</v>
      </c>
      <c r="K640">
        <f t="shared" si="42"/>
        <v>0.53444509672173202</v>
      </c>
      <c r="L640" s="4">
        <f>MIN(MAX(L639*(1+MAX(MIN(((B640-B639)/B639)/($K$7*卓尔金历!$N$40),0),-卓尔金历!$M$43))+MIN(MAX(((B640-B639)/B639)/($K$7*卓尔金历!$N$40),0),卓尔金历!$M$43),0),1)</f>
        <v>0.59855701872966738</v>
      </c>
      <c r="M640" s="4">
        <f>MIN(MAX(M639*(1+MAX(MIN(((B640-B639)/B639)/($K$7*30),0),-卓尔金历!$M$43))+MIN(MAX(((B640-B639)/B639)/($K$7*7),0),卓尔金历!$M$43),0),1)</f>
        <v>0.95425543914402855</v>
      </c>
      <c r="N640">
        <f t="shared" si="43"/>
        <v>1.0539083722208467</v>
      </c>
      <c r="O640">
        <f t="shared" si="44"/>
        <v>1.0710330685246106</v>
      </c>
      <c r="P640">
        <f t="shared" si="45"/>
        <v>-3.2752415996119113E-3</v>
      </c>
      <c r="Q640">
        <f t="shared" si="46"/>
        <v>1.7706536712570473E-2</v>
      </c>
      <c r="R640">
        <f t="shared" si="47"/>
        <v>1</v>
      </c>
      <c r="S640">
        <f t="shared" si="39"/>
        <v>1.0974411610633032</v>
      </c>
      <c r="T640" s="564">
        <f>IF((I640-MAX(I$470:I640))/MAX(I$470:I640)&gt;T639,T639,(I640-MAX(I$470:I640))/MAX(I$470:I640))</f>
        <v>-0.13666535856332884</v>
      </c>
      <c r="U640" s="564">
        <f>IF((J640-MAX(J$470:J640))/MAX(J$470:J640)&gt;U639,U639,(J640-MAX(J$470:J640))/MAX(J$470:J640))</f>
        <v>-0.40648897885739943</v>
      </c>
      <c r="V640" s="564">
        <f>IF((K640-MAX(K$470:K640))/MAX(K$470:K640)&gt;V639,V639,(K640-MAX(K$470:K640))/MAX(K$470:K640))</f>
        <v>-0.68158456867950912</v>
      </c>
      <c r="W640" s="564">
        <f>IF((N640-MAX(N$470:N640))/MAX(N$470:N640)&gt;W639,W639,(N640-MAX(N$470:N640))/MAX(N$470:N640))</f>
        <v>-0.10311304065408976</v>
      </c>
      <c r="X640" s="564">
        <f>IF((O640-MAX(O$470:O640))/MAX(O$470:O640)&gt;X639,X639,(O640-MAX(O$470:O640))/MAX(O$470:O640))</f>
        <v>-0.12147101883973409</v>
      </c>
    </row>
    <row r="641" spans="1:24">
      <c r="A641" s="799">
        <v>41043</v>
      </c>
      <c r="B641">
        <v>5.0058999999999996</v>
      </c>
      <c r="C641">
        <v>10.529661000000001</v>
      </c>
      <c r="D641">
        <v>1.031328</v>
      </c>
      <c r="E641">
        <f>LN(D641/参数实验室!$E$53)/参数实验室!$E$55</f>
        <v>-0.65657610091931962</v>
      </c>
      <c r="F641">
        <f t="shared" si="38"/>
        <v>2.1034501288479599</v>
      </c>
      <c r="G641">
        <f>LN(F641/参数实验室!$E$58)/参数实验室!$E$59</f>
        <v>0.19974037529450853</v>
      </c>
      <c r="H641" s="856">
        <f>INDEX(神经网络!$G$10:$BO$70,MATCH(ROUND(G641*2,1)/2,神经网络!$E$10:$E$70,0),MATCH(ROUND(E641*2,1)/2,神经网络!$G$8:$BO$8,0))</f>
        <v>2.2484663717706355E-2</v>
      </c>
      <c r="I641">
        <f t="shared" si="40"/>
        <v>1.0517243539145444</v>
      </c>
      <c r="J641">
        <f t="shared" si="41"/>
        <v>1.9974861338334469</v>
      </c>
      <c r="K641">
        <f t="shared" si="42"/>
        <v>0.52652398236985143</v>
      </c>
      <c r="L641" s="4">
        <f>MIN(MAX(L640*(1+MAX(MIN(((B641-B640)/B640)/($K$7*卓尔金历!$N$40),0),-卓尔金历!$M$43))+MIN(MAX(((B641-B640)/B640)/($K$7*卓尔金历!$N$40),0),卓尔金历!$M$43),0),1)</f>
        <v>0.833786058124939</v>
      </c>
      <c r="M641" s="4">
        <f>MIN(MAX(M640*(1+MAX(MIN(((B641-B640)/B640)/($K$7*30),0),-卓尔金历!$M$43))+MIN(MAX(((B641-B640)/B640)/($K$7*7),0),卓尔金历!$M$43),0),1)</f>
        <v>1</v>
      </c>
      <c r="N641">
        <f t="shared" si="43"/>
        <v>1.0541267405421644</v>
      </c>
      <c r="O641">
        <f t="shared" si="44"/>
        <v>1.0713868611510424</v>
      </c>
      <c r="P641">
        <f t="shared" si="45"/>
        <v>1.5395537525354941E-2</v>
      </c>
      <c r="Q641">
        <f t="shared" si="46"/>
        <v>1.5034290201699841E-2</v>
      </c>
      <c r="R641">
        <f t="shared" si="47"/>
        <v>1.7286111097971641E-2</v>
      </c>
      <c r="S641">
        <f t="shared" si="39"/>
        <v>1.0978210551191139</v>
      </c>
      <c r="T641" s="564">
        <f>IF((I641-MAX(I$470:I641))/MAX(I$470:I641)&gt;T640,T640,(I641-MAX(I$470:I641))/MAX(I$470:I641))</f>
        <v>-0.13666535856332884</v>
      </c>
      <c r="U641" s="564">
        <f>IF((J641-MAX(J$470:J641))/MAX(J$470:J641)&gt;U640,U640,(J641-MAX(J$470:J641))/MAX(J$470:J641))</f>
        <v>-0.40648897885739943</v>
      </c>
      <c r="V641" s="564">
        <f>IF((K641-MAX(K$470:K641))/MAX(K$470:K641)&gt;V640,V640,(K641-MAX(K$470:K641))/MAX(K$470:K641))</f>
        <v>-0.68158456867950912</v>
      </c>
      <c r="W641" s="564">
        <f>IF((N641-MAX(N$470:N641))/MAX(N$470:N641)&gt;W640,W640,(N641-MAX(N$470:N641))/MAX(N$470:N641))</f>
        <v>-0.10311304065408976</v>
      </c>
      <c r="X641" s="564">
        <f>IF((O641-MAX(O$470:O641))/MAX(O$470:O641)&gt;X640,X640,(O641-MAX(O$470:O641))/MAX(O$470:O641))</f>
        <v>-0.12147101883973409</v>
      </c>
    </row>
    <row r="642" spans="1:24">
      <c r="A642" s="799">
        <v>41044</v>
      </c>
      <c r="B642">
        <v>5.0350000000000001</v>
      </c>
      <c r="C642">
        <v>10.394653</v>
      </c>
      <c r="D642">
        <v>1.0359069999999999</v>
      </c>
      <c r="E642">
        <f>LN(D642/参数实验室!$E$53)/参数实验室!$E$55</f>
        <v>-0.65134970049645013</v>
      </c>
      <c r="F642">
        <f t="shared" si="38"/>
        <v>2.0644792452830187</v>
      </c>
      <c r="G642">
        <f>LN(F642/参数实验室!$E$58)/参数实验室!$E$59</f>
        <v>0.18992513128876309</v>
      </c>
      <c r="H642" s="856">
        <f>INDEX(神经网络!$G$10:$BO$70,MATCH(ROUND(G642*2,1)/2,神经网络!$E$10:$E$70,0),MATCH(ROUND(E642*2,1)/2,神经网络!$G$8:$BO$8,0))</f>
        <v>2.2484663717706355E-2</v>
      </c>
      <c r="I642">
        <f t="shared" si="40"/>
        <v>1.0518618211334392</v>
      </c>
      <c r="J642">
        <f t="shared" si="41"/>
        <v>2.0090978013646712</v>
      </c>
      <c r="K642">
        <f t="shared" si="42"/>
        <v>0.52354933663207759</v>
      </c>
      <c r="L642" s="4">
        <f>MIN(MAX(L641*(1+MAX(MIN(((B642-B641)/B641)/($K$7*卓尔金历!$N$40),0),-卓尔金历!$M$43))+MIN(MAX(((B642-B641)/B641)/($K$7*卓尔金历!$N$40),0),卓尔金历!$M$43),0),1)</f>
        <v>0.92260526642295393</v>
      </c>
      <c r="M642" s="4">
        <f>MIN(MAX(M641*(1+MAX(MIN(((B642-B641)/B641)/($K$7*30),0),-卓尔金历!$M$43))+MIN(MAX(((B642-B641)/B641)/($K$7*7),0),卓尔金历!$M$43),0),1)</f>
        <v>1</v>
      </c>
      <c r="N642">
        <f t="shared" si="43"/>
        <v>1.0542416206078618</v>
      </c>
      <c r="O642">
        <f t="shared" si="44"/>
        <v>1.0715268983876194</v>
      </c>
      <c r="P642">
        <f t="shared" si="45"/>
        <v>5.8131404942169387E-3</v>
      </c>
      <c r="Q642">
        <f t="shared" si="46"/>
        <v>1.3810430777766104E-2</v>
      </c>
      <c r="R642">
        <f t="shared" si="47"/>
        <v>0.89334671237870855</v>
      </c>
      <c r="S642">
        <f t="shared" si="39"/>
        <v>1.0978235355439523</v>
      </c>
      <c r="T642" s="564">
        <f>IF((I642-MAX(I$470:I642))/MAX(I$470:I642)&gt;T641,T641,(I642-MAX(I$470:I642))/MAX(I$470:I642))</f>
        <v>-0.13666535856332884</v>
      </c>
      <c r="U642" s="564">
        <f>IF((J642-MAX(J$470:J642))/MAX(J$470:J642)&gt;U641,U641,(J642-MAX(J$470:J642))/MAX(J$470:J642))</f>
        <v>-0.40648897885739943</v>
      </c>
      <c r="V642" s="564">
        <f>IF((K642-MAX(K$470:K642))/MAX(K$470:K642)&gt;V641,V641,(K642-MAX(K$470:K642))/MAX(K$470:K642))</f>
        <v>-0.68158456867950912</v>
      </c>
      <c r="W642" s="564">
        <f>IF((N642-MAX(N$470:N642))/MAX(N$470:N642)&gt;W641,W641,(N642-MAX(N$470:N642))/MAX(N$470:N642))</f>
        <v>-0.10311304065408976</v>
      </c>
      <c r="X642" s="564">
        <f>IF((O642-MAX(O$470:O642))/MAX(O$470:O642)&gt;X641,X641,(O642-MAX(O$470:O642))/MAX(O$470:O642))</f>
        <v>-0.12147101883973409</v>
      </c>
    </row>
    <row r="643" spans="1:24">
      <c r="A643" s="799">
        <v>41045</v>
      </c>
      <c r="B643">
        <v>5.0887000000000002</v>
      </c>
      <c r="C643">
        <v>10.621794</v>
      </c>
      <c r="D643">
        <v>1.0478240000000001</v>
      </c>
      <c r="E643">
        <f>LN(D643/参数实验室!$E$53)/参数实验室!$E$55</f>
        <v>-0.63785537450896679</v>
      </c>
      <c r="F643">
        <f t="shared" si="38"/>
        <v>2.0873295733684438</v>
      </c>
      <c r="G643">
        <f>LN(F643/参数实验室!$E$58)/参数实验室!$E$59</f>
        <v>0.19570247253961498</v>
      </c>
      <c r="H643" s="856">
        <f>INDEX(神经网络!$G$10:$BO$70,MATCH(ROUND(G643*2,1)/2,神经网络!$E$10:$E$70,0),MATCH(ROUND(E643*2,1)/2,神经网络!$G$8:$BO$8,0))</f>
        <v>2.2484663717706355E-2</v>
      </c>
      <c r="I643">
        <f t="shared" si="40"/>
        <v>1.05211406458444</v>
      </c>
      <c r="J643">
        <f t="shared" si="41"/>
        <v>2.0305255177367232</v>
      </c>
      <c r="K643">
        <f t="shared" si="42"/>
        <v>0.51814865432331714</v>
      </c>
      <c r="L643" s="4">
        <f>MIN(MAX(L642*(1+MAX(MIN(((B643-B642)/B642)/($K$7*卓尔金历!$N$40),0),-卓尔金历!$M$43))+MIN(MAX(((B643-B642)/B642)/($K$7*卓尔金历!$N$40),0),卓尔金历!$M$43),0),1)</f>
        <v>1</v>
      </c>
      <c r="M643" s="4">
        <f>MIN(MAX(M642*(1+MAX(MIN(((B643-B642)/B642)/($K$7*30),0),-卓尔金历!$M$43))+MIN(MAX(((B643-B642)/B642)/($K$7*7),0),卓尔金历!$M$43),0),1)</f>
        <v>1</v>
      </c>
      <c r="N643">
        <f t="shared" si="43"/>
        <v>1.0544748682673621</v>
      </c>
      <c r="O643">
        <f t="shared" si="44"/>
        <v>1.071783857654758</v>
      </c>
      <c r="P643">
        <f t="shared" si="45"/>
        <v>1.0665342601787503E-2</v>
      </c>
      <c r="Q643">
        <f t="shared" si="46"/>
        <v>1.3936704450256273E-2</v>
      </c>
      <c r="R643">
        <f t="shared" si="47"/>
        <v>0.28503157932758028</v>
      </c>
      <c r="S643">
        <f t="shared" si="39"/>
        <v>1.0980587228015368</v>
      </c>
      <c r="T643" s="564">
        <f>IF((I643-MAX(I$470:I643))/MAX(I$470:I643)&gt;T642,T642,(I643-MAX(I$470:I643))/MAX(I$470:I643))</f>
        <v>-0.13666535856332884</v>
      </c>
      <c r="U643" s="564">
        <f>IF((J643-MAX(J$470:J643))/MAX(J$470:J643)&gt;U642,U642,(J643-MAX(J$470:J643))/MAX(J$470:J643))</f>
        <v>-0.40648897885739943</v>
      </c>
      <c r="V643" s="564">
        <f>IF((K643-MAX(K$470:K643))/MAX(K$470:K643)&gt;V642,V642,(K643-MAX(K$470:K643))/MAX(K$470:K643))</f>
        <v>-0.68158456867950912</v>
      </c>
      <c r="W643" s="564">
        <f>IF((N643-MAX(N$470:N643))/MAX(N$470:N643)&gt;W642,W642,(N643-MAX(N$470:N643))/MAX(N$470:N643))</f>
        <v>-0.10311304065408976</v>
      </c>
      <c r="X643" s="564">
        <f>IF((O643-MAX(O$470:O643))/MAX(O$470:O643)&gt;X642,X642,(O643-MAX(O$470:O643))/MAX(O$470:O643))</f>
        <v>-0.12147101883973409</v>
      </c>
    </row>
    <row r="644" spans="1:24">
      <c r="A644" s="799">
        <v>41046</v>
      </c>
      <c r="B644">
        <v>5.0998000000000001</v>
      </c>
      <c r="C644">
        <v>10.781415000000001</v>
      </c>
      <c r="D644">
        <v>1.0495460000000001</v>
      </c>
      <c r="E644">
        <f>LN(D644/参数实验室!$E$53)/参数实验室!$E$55</f>
        <v>-0.63591815261431062</v>
      </c>
      <c r="F644">
        <f t="shared" si="38"/>
        <v>2.1140858465037846</v>
      </c>
      <c r="G644">
        <f>LN(F644/参数实验室!$E$58)/参数实验室!$E$59</f>
        <v>0.20238751868749702</v>
      </c>
      <c r="H644" s="856">
        <f>INDEX(神经网络!$G$10:$BO$70,MATCH(ROUND(G644*2,1)/2,神经网络!$E$10:$E$70,0),MATCH(ROUND(E644*2,1)/2,神经网络!$G$8:$BO$8,0))</f>
        <v>2.2484663717706355E-2</v>
      </c>
      <c r="I644">
        <f t="shared" si="40"/>
        <v>1.0521656664441246</v>
      </c>
      <c r="J644">
        <f t="shared" si="41"/>
        <v>2.0349547105063652</v>
      </c>
      <c r="K644">
        <f t="shared" si="42"/>
        <v>0.51704623253375026</v>
      </c>
      <c r="L644" s="4">
        <f>MIN(MAX(L643*(1+MAX(MIN(((B644-B643)/B643)/($K$7*卓尔金历!$N$40),0),-卓尔金历!$M$43))+MIN(MAX(((B644-B643)/B643)/($K$7*卓尔金历!$N$40),0),卓尔金历!$M$43),0),1)</f>
        <v>1</v>
      </c>
      <c r="M644" s="4">
        <f>MIN(MAX(M643*(1+MAX(MIN(((B644-B643)/B643)/($K$7*30),0),-卓尔金历!$M$43))+MIN(MAX(((B644-B643)/B643)/($K$7*7),0),卓尔金历!$M$43),0),1)</f>
        <v>1</v>
      </c>
      <c r="N644">
        <f t="shared" si="43"/>
        <v>1.0545265859147399</v>
      </c>
      <c r="O644">
        <f t="shared" si="44"/>
        <v>1.0718364242367444</v>
      </c>
      <c r="P644">
        <f t="shared" si="45"/>
        <v>2.1813036728437298E-3</v>
      </c>
      <c r="Q644">
        <f t="shared" si="46"/>
        <v>1.3871613964478042E-2</v>
      </c>
      <c r="R644">
        <f t="shared" si="47"/>
        <v>1</v>
      </c>
      <c r="S644">
        <f t="shared" si="39"/>
        <v>1.098074073250169</v>
      </c>
      <c r="T644" s="564">
        <f>IF((I644-MAX(I$470:I644))/MAX(I$470:I644)&gt;T643,T643,(I644-MAX(I$470:I644))/MAX(I$470:I644))</f>
        <v>-0.13666535856332884</v>
      </c>
      <c r="U644" s="564">
        <f>IF((J644-MAX(J$470:J644))/MAX(J$470:J644)&gt;U643,U643,(J644-MAX(J$470:J644))/MAX(J$470:J644))</f>
        <v>-0.40648897885739943</v>
      </c>
      <c r="V644" s="564">
        <f>IF((K644-MAX(K$470:K644))/MAX(K$470:K644)&gt;V643,V643,(K644-MAX(K$470:K644))/MAX(K$470:K644))</f>
        <v>-0.68158456867950912</v>
      </c>
      <c r="W644" s="564">
        <f>IF((N644-MAX(N$470:N644))/MAX(N$470:N644)&gt;W643,W643,(N644-MAX(N$470:N644))/MAX(N$470:N644))</f>
        <v>-0.10311304065408976</v>
      </c>
      <c r="X644" s="564">
        <f>IF((O644-MAX(O$470:O644))/MAX(O$470:O644)&gt;X643,X643,(O644-MAX(O$470:O644))/MAX(O$470:O644))</f>
        <v>-0.12147101883973409</v>
      </c>
    </row>
    <row r="645" spans="1:24">
      <c r="A645" s="799">
        <v>41047</v>
      </c>
      <c r="B645">
        <v>5.1180000000000003</v>
      </c>
      <c r="C645">
        <v>10.702359</v>
      </c>
      <c r="D645">
        <v>1.0572220000000001</v>
      </c>
      <c r="E645">
        <f>LN(D645/参数实验室!$E$53)/参数实验室!$E$55</f>
        <v>-0.62732126299657853</v>
      </c>
      <c r="F645">
        <f t="shared" ref="F645:F708" si="48">C645/B645</f>
        <v>2.0911213364595542</v>
      </c>
      <c r="G645">
        <f>LN(F645/参数实验室!$E$58)/参数实验室!$E$59</f>
        <v>0.19665503739103873</v>
      </c>
      <c r="H645" s="856">
        <f>INDEX(神经网络!$G$10:$BO$70,MATCH(ROUND(G645*2,1)/2,神经网络!$E$10:$E$70,0),MATCH(ROUND(E645*2,1)/2,神经网络!$G$8:$BO$8,0))</f>
        <v>2.2484663717706355E-2</v>
      </c>
      <c r="I645">
        <f t="shared" si="40"/>
        <v>1.0522500948843718</v>
      </c>
      <c r="J645">
        <f t="shared" si="41"/>
        <v>2.0422169905430758</v>
      </c>
      <c r="K645">
        <f t="shared" si="42"/>
        <v>0.51524891809099704</v>
      </c>
      <c r="L645" s="4">
        <f>MIN(MAX(L644*(1+MAX(MIN(((B645-B644)/B644)/($K$7*卓尔金历!$N$40),0),-卓尔金历!$M$43))+MIN(MAX(((B645-B644)/B644)/($K$7*卓尔金历!$N$40),0),卓尔金历!$M$43),0),1)</f>
        <v>1</v>
      </c>
      <c r="M645" s="4">
        <f>MIN(MAX(M644*(1+MAX(MIN(((B645-B644)/B644)/($K$7*30),0),-卓尔金历!$M$43))+MIN(MAX(((B645-B644)/B644)/($K$7*7),0),卓尔金历!$M$43),0),1)</f>
        <v>1</v>
      </c>
      <c r="N645">
        <f t="shared" si="43"/>
        <v>1.0546112038011501</v>
      </c>
      <c r="O645">
        <f t="shared" si="44"/>
        <v>1.071922431108461</v>
      </c>
      <c r="P645">
        <f t="shared" si="45"/>
        <v>3.5687674026432833E-3</v>
      </c>
      <c r="Q645">
        <f t="shared" si="46"/>
        <v>1.3883492438875735E-2</v>
      </c>
      <c r="R645">
        <f t="shared" si="47"/>
        <v>1</v>
      </c>
      <c r="S645">
        <f t="shared" si="39"/>
        <v>1.0981621854973531</v>
      </c>
      <c r="T645" s="564">
        <f>IF((I645-MAX(I$470:I645))/MAX(I$470:I645)&gt;T644,T644,(I645-MAX(I$470:I645))/MAX(I$470:I645))</f>
        <v>-0.13666535856332884</v>
      </c>
      <c r="U645" s="564">
        <f>IF((J645-MAX(J$470:J645))/MAX(J$470:J645)&gt;U644,U644,(J645-MAX(J$470:J645))/MAX(J$470:J645))</f>
        <v>-0.40648897885739943</v>
      </c>
      <c r="V645" s="564">
        <f>IF((K645-MAX(K$470:K645))/MAX(K$470:K645)&gt;V644,V644,(K645-MAX(K$470:K645))/MAX(K$470:K645))</f>
        <v>-0.68158456867950912</v>
      </c>
      <c r="W645" s="564">
        <f>IF((N645-MAX(N$470:N645))/MAX(N$470:N645)&gt;W644,W644,(N645-MAX(N$470:N645))/MAX(N$470:N645))</f>
        <v>-0.10311304065408976</v>
      </c>
      <c r="X645" s="564">
        <f>IF((O645-MAX(O$470:O645))/MAX(O$470:O645)&gt;X644,X644,(O645-MAX(O$470:O645))/MAX(O$470:O645))</f>
        <v>-0.12147101883973409</v>
      </c>
    </row>
    <row r="646" spans="1:24">
      <c r="A646" s="799">
        <v>41048</v>
      </c>
      <c r="B646">
        <v>5.0994999999999999</v>
      </c>
      <c r="C646">
        <v>10.789897</v>
      </c>
      <c r="D646">
        <v>1.0559879999999999</v>
      </c>
      <c r="E646">
        <f>LN(D646/参数实验室!$E$53)/参数实验室!$E$55</f>
        <v>-0.62869908694075449</v>
      </c>
      <c r="F646">
        <f t="shared" si="48"/>
        <v>2.1158735170114715</v>
      </c>
      <c r="G646">
        <f>LN(F646/参数实验室!$E$58)/参数实验室!$E$59</f>
        <v>0.20283114760630458</v>
      </c>
      <c r="H646" s="856">
        <f>INDEX(神经网络!$G$10:$BO$70,MATCH(ROUND(G646*2,1)/2,神经网络!$E$10:$E$70,0),MATCH(ROUND(E646*2,1)/2,神经网络!$G$8:$BO$8,0))</f>
        <v>2.2484663717706355E-2</v>
      </c>
      <c r="I646">
        <f t="shared" si="40"/>
        <v>1.0521645730875151</v>
      </c>
      <c r="J646">
        <f t="shared" si="41"/>
        <v>2.0348350025936721</v>
      </c>
      <c r="K646">
        <f t="shared" si="42"/>
        <v>0.51707611268058062</v>
      </c>
      <c r="L646" s="4">
        <f>MIN(MAX(L645*(1+MAX(MIN(((B646-B645)/B645)/($K$7*卓尔金历!$N$40),0),-卓尔金历!$M$43))+MIN(MAX(((B646-B645)/B645)/($K$7*卓尔金历!$N$40),0),卓尔金历!$M$43),0),1)</f>
        <v>0.94477095606133643</v>
      </c>
      <c r="M646" s="4">
        <f>MIN(MAX(M645*(1+MAX(MIN(((B646-B645)/B645)/($K$7*30),0),-卓尔金历!$M$43))+MIN(MAX(((B646-B645)/B645)/($K$7*7),0),卓尔金历!$M$43),0),1)</f>
        <v>0.97238547803066822</v>
      </c>
      <c r="N646">
        <f t="shared" si="43"/>
        <v>1.0545254901047838</v>
      </c>
      <c r="O646">
        <f t="shared" si="44"/>
        <v>1.0718353104392921</v>
      </c>
      <c r="P646">
        <f t="shared" si="45"/>
        <v>-3.6146932395467769E-3</v>
      </c>
      <c r="Q646">
        <f t="shared" si="46"/>
        <v>1.2690588933487533E-2</v>
      </c>
      <c r="R646">
        <f t="shared" si="47"/>
        <v>1</v>
      </c>
      <c r="S646">
        <f t="shared" si="39"/>
        <v>1.098072932187897</v>
      </c>
      <c r="T646" s="564">
        <f>IF((I646-MAX(I$470:I646))/MAX(I$470:I646)&gt;T645,T645,(I646-MAX(I$470:I646))/MAX(I$470:I646))</f>
        <v>-0.13666535856332884</v>
      </c>
      <c r="U646" s="564">
        <f>IF((J646-MAX(J$470:J646))/MAX(J$470:J646)&gt;U645,U645,(J646-MAX(J$470:J646))/MAX(J$470:J646))</f>
        <v>-0.40648897885739943</v>
      </c>
      <c r="V646" s="564">
        <f>IF((K646-MAX(K$470:K646))/MAX(K$470:K646)&gt;V645,V645,(K646-MAX(K$470:K646))/MAX(K$470:K646))</f>
        <v>-0.68158456867950912</v>
      </c>
      <c r="W646" s="564">
        <f>IF((N646-MAX(N$470:N646))/MAX(N$470:N646)&gt;W645,W645,(N646-MAX(N$470:N646))/MAX(N$470:N646))</f>
        <v>-0.10311304065408976</v>
      </c>
      <c r="X646" s="564">
        <f>IF((O646-MAX(O$470:O646))/MAX(O$470:O646)&gt;X645,X645,(O646-MAX(O$470:O646))/MAX(O$470:O646))</f>
        <v>-0.12147101883973409</v>
      </c>
    </row>
    <row r="647" spans="1:24">
      <c r="A647" s="799">
        <v>41049</v>
      </c>
      <c r="B647">
        <v>5.09</v>
      </c>
      <c r="C647">
        <v>10.934721</v>
      </c>
      <c r="D647">
        <v>1.056303</v>
      </c>
      <c r="E647">
        <f>LN(D647/参数实验室!$E$53)/参数实验室!$E$55</f>
        <v>-0.62834722038959656</v>
      </c>
      <c r="F647">
        <f t="shared" si="48"/>
        <v>2.1482752455795677</v>
      </c>
      <c r="G647">
        <f>LN(F647/参数实验室!$E$58)/参数实验室!$E$59</f>
        <v>0.21080765429421519</v>
      </c>
      <c r="H647" s="856">
        <f>INDEX(神经网络!$G$10:$BO$70,MATCH(ROUND(G647*2,1)/2,神经网络!$E$10:$E$70,0),MATCH(ROUND(E647*2,1)/2,神经网络!$G$8:$BO$8,0))</f>
        <v>2.2484663717706355E-2</v>
      </c>
      <c r="I647">
        <f t="shared" si="40"/>
        <v>1.0521205007504792</v>
      </c>
      <c r="J647">
        <f t="shared" si="41"/>
        <v>2.0310442520250596</v>
      </c>
      <c r="K647">
        <f t="shared" si="42"/>
        <v>0.51801948662687136</v>
      </c>
      <c r="L647" s="4">
        <f>MIN(MAX(L646*(1+MAX(MIN(((B647-B646)/B646)/($K$7*卓尔金历!$N$40),0),-卓尔金历!$M$43))+MIN(MAX(((B647-B646)/B646)/($K$7*卓尔金历!$N$40),0),卓尔金历!$M$43),0),1)</f>
        <v>0.91787923353801826</v>
      </c>
      <c r="M647" s="4">
        <f>MIN(MAX(M646*(1+MAX(MIN(((B647-B646)/B646)/($K$7*30),0),-卓尔金历!$M$43))+MIN(MAX(((B647-B646)/B646)/($K$7*7),0),卓尔金历!$M$43),0),1)</f>
        <v>0.95854661037013067</v>
      </c>
      <c r="N647">
        <f t="shared" si="43"/>
        <v>1.0544837584100737</v>
      </c>
      <c r="O647">
        <f t="shared" si="44"/>
        <v>1.0717916539377257</v>
      </c>
      <c r="P647">
        <f t="shared" si="45"/>
        <v>-1.8629277380135434E-3</v>
      </c>
      <c r="Q647">
        <f t="shared" si="46"/>
        <v>1.2185586356473321E-2</v>
      </c>
      <c r="R647">
        <f t="shared" si="47"/>
        <v>1</v>
      </c>
      <c r="S647">
        <f t="shared" si="39"/>
        <v>1.0980269368734803</v>
      </c>
      <c r="T647" s="564">
        <f>IF((I647-MAX(I$470:I647))/MAX(I$470:I647)&gt;T646,T646,(I647-MAX(I$470:I647))/MAX(I$470:I647))</f>
        <v>-0.13666535856332884</v>
      </c>
      <c r="U647" s="564">
        <f>IF((J647-MAX(J$470:J647))/MAX(J$470:J647)&gt;U646,U646,(J647-MAX(J$470:J647))/MAX(J$470:J647))</f>
        <v>-0.40648897885739943</v>
      </c>
      <c r="V647" s="564">
        <f>IF((K647-MAX(K$470:K647))/MAX(K$470:K647)&gt;V646,V646,(K647-MAX(K$470:K647))/MAX(K$470:K647))</f>
        <v>-0.68158456867950912</v>
      </c>
      <c r="W647" s="564">
        <f>IF((N647-MAX(N$470:N647))/MAX(N$470:N647)&gt;W646,W646,(N647-MAX(N$470:N647))/MAX(N$470:N647))</f>
        <v>-0.10311304065408976</v>
      </c>
      <c r="X647" s="564">
        <f>IF((O647-MAX(O$470:O647))/MAX(O$470:O647)&gt;X646,X646,(O647-MAX(O$470:O647))/MAX(O$470:O647))</f>
        <v>-0.12147101883973409</v>
      </c>
    </row>
    <row r="648" spans="1:24">
      <c r="A648" s="799">
        <v>41050</v>
      </c>
      <c r="B648">
        <v>5.0998000000000001</v>
      </c>
      <c r="C648">
        <v>11.1698</v>
      </c>
      <c r="D648">
        <v>1.059274</v>
      </c>
      <c r="E648">
        <f>LN(D648/参数实验室!$E$53)/参数实验室!$E$55</f>
        <v>-0.62503365705246006</v>
      </c>
      <c r="F648">
        <f t="shared" si="48"/>
        <v>2.1902427546178282</v>
      </c>
      <c r="G648">
        <f>LN(F648/参数实验室!$E$58)/参数实验室!$E$59</f>
        <v>0.22096204519994606</v>
      </c>
      <c r="H648" s="856">
        <f>INDEX(神经网络!$G$10:$BO$70,MATCH(ROUND(G648*2,1)/2,神经网络!$E$10:$E$70,0),MATCH(ROUND(E648*2,1)/2,神经网络!$G$8:$BO$8,0))</f>
        <v>2.2484663717706355E-2</v>
      </c>
      <c r="I648">
        <f t="shared" si="40"/>
        <v>1.0521660477920056</v>
      </c>
      <c r="J648">
        <f t="shared" si="41"/>
        <v>2.0349547105063652</v>
      </c>
      <c r="K648">
        <f t="shared" si="42"/>
        <v>0.51704641993245704</v>
      </c>
      <c r="L648" s="4">
        <f>MIN(MAX(L647*(1+MAX(MIN(((B648-B647)/B647)/($K$7*卓尔金历!$N$40),0),-卓尔金历!$M$43))+MIN(MAX(((B648-B647)/B647)/($K$7*卓尔金历!$N$40),0),卓尔金历!$M$43),0),1)</f>
        <v>0.94729663936189334</v>
      </c>
      <c r="M648" s="4">
        <f>MIN(MAX(M647*(1+MAX(MIN(((B648-B647)/B647)/($K$7*30),0),-卓尔金历!$M$43))+MIN(MAX(((B648-B647)/B647)/($K$7*7),0),卓尔金历!$M$43),0),1)</f>
        <v>1</v>
      </c>
      <c r="N648">
        <f t="shared" si="43"/>
        <v>1.0545256589992</v>
      </c>
      <c r="O648">
        <f t="shared" si="44"/>
        <v>1.0718361291773435</v>
      </c>
      <c r="P648">
        <f t="shared" si="45"/>
        <v>1.9253438113949416E-3</v>
      </c>
      <c r="Q648">
        <f t="shared" si="46"/>
        <v>1.2077068416236882E-2</v>
      </c>
      <c r="R648">
        <f t="shared" si="47"/>
        <v>1</v>
      </c>
      <c r="S648">
        <f t="shared" si="39"/>
        <v>1.0980744712371346</v>
      </c>
      <c r="T648" s="564">
        <f>IF((I648-MAX(I$470:I648))/MAX(I$470:I648)&gt;T647,T647,(I648-MAX(I$470:I648))/MAX(I$470:I648))</f>
        <v>-0.13666535856332884</v>
      </c>
      <c r="U648" s="564">
        <f>IF((J648-MAX(J$470:J648))/MAX(J$470:J648)&gt;U647,U647,(J648-MAX(J$470:J648))/MAX(J$470:J648))</f>
        <v>-0.40648897885739943</v>
      </c>
      <c r="V648" s="564">
        <f>IF((K648-MAX(K$470:K648))/MAX(K$470:K648)&gt;V647,V647,(K648-MAX(K$470:K648))/MAX(K$470:K648))</f>
        <v>-0.68158456867950912</v>
      </c>
      <c r="W648" s="564">
        <f>IF((N648-MAX(N$470:N648))/MAX(N$470:N648)&gt;W647,W647,(N648-MAX(N$470:N648))/MAX(N$470:N648))</f>
        <v>-0.10311304065408976</v>
      </c>
      <c r="X648" s="564">
        <f>IF((O648-MAX(O$470:O648))/MAX(O$470:O648)&gt;X647,X647,(O648-MAX(O$470:O648))/MAX(O$470:O648))</f>
        <v>-0.12147101883973409</v>
      </c>
    </row>
    <row r="649" spans="1:24">
      <c r="A649" s="799">
        <v>41051</v>
      </c>
      <c r="B649">
        <v>5.0987999999999998</v>
      </c>
      <c r="C649">
        <v>11.385626999999999</v>
      </c>
      <c r="D649">
        <v>1.058705</v>
      </c>
      <c r="E649">
        <f>LN(D649/参数实验室!$E$53)/参数实验室!$E$55</f>
        <v>-0.62566754399087621</v>
      </c>
      <c r="F649">
        <f t="shared" si="48"/>
        <v>2.2330012944222171</v>
      </c>
      <c r="G649">
        <f>LN(F649/参数实验室!$E$58)/参数实验室!$E$59</f>
        <v>0.23110966144100778</v>
      </c>
      <c r="H649" s="856">
        <f>INDEX(神经网络!$G$10:$BO$70,MATCH(ROUND(G649*2,1)/2,神经网络!$E$10:$E$70,0),MATCH(ROUND(E649*2,1)/2,神经网络!$G$8:$BO$8,0))</f>
        <v>9.8994641127870764E-2</v>
      </c>
      <c r="I649">
        <f t="shared" si="40"/>
        <v>1.052161408865036</v>
      </c>
      <c r="J649">
        <f t="shared" si="41"/>
        <v>2.0345556841307215</v>
      </c>
      <c r="K649">
        <f t="shared" si="42"/>
        <v>0.51714554537472857</v>
      </c>
      <c r="L649" s="4">
        <f>MIN(MAX(L648*(1+MAX(MIN(((B649-B648)/B648)/($K$7*卓尔金历!$N$40),0),-卓尔金历!$M$43))+MIN(MAX(((B649-B648)/B648)/($K$7*卓尔金历!$N$40),0),卓尔金历!$M$43),0),1)</f>
        <v>0.94445853127983637</v>
      </c>
      <c r="M649" s="4">
        <f>MIN(MAX(M648*(1+MAX(MIN(((B649-B648)/B648)/($K$7*30),0),-卓尔金历!$M$43))+MIN(MAX(((B649-B648)/B648)/($K$7*7),0),卓尔金历!$M$43),0),1)</f>
        <v>0.99850199612026036</v>
      </c>
      <c r="N649">
        <f t="shared" si="43"/>
        <v>1.0545212547042018</v>
      </c>
      <c r="O649">
        <f t="shared" si="44"/>
        <v>1.0718314035263523</v>
      </c>
      <c r="P649">
        <f t="shared" si="45"/>
        <v>-1.9608612102441937E-4</v>
      </c>
      <c r="Q649">
        <f t="shared" si="46"/>
        <v>1.1919383290426929E-2</v>
      </c>
      <c r="R649">
        <f t="shared" si="47"/>
        <v>1</v>
      </c>
      <c r="S649">
        <f t="shared" si="39"/>
        <v>1.0980696299031172</v>
      </c>
      <c r="T649" s="564">
        <f>IF((I649-MAX(I$470:I649))/MAX(I$470:I649)&gt;T648,T648,(I649-MAX(I$470:I649))/MAX(I$470:I649))</f>
        <v>-0.13666535856332884</v>
      </c>
      <c r="U649" s="564">
        <f>IF((J649-MAX(J$470:J649))/MAX(J$470:J649)&gt;U648,U648,(J649-MAX(J$470:J649))/MAX(J$470:J649))</f>
        <v>-0.40648897885739943</v>
      </c>
      <c r="V649" s="564">
        <f>IF((K649-MAX(K$470:K649))/MAX(K$470:K649)&gt;V648,V648,(K649-MAX(K$470:K649))/MAX(K$470:K649))</f>
        <v>-0.68158456867950912</v>
      </c>
      <c r="W649" s="564">
        <f>IF((N649-MAX(N$470:N649))/MAX(N$470:N649)&gt;W648,W648,(N649-MAX(N$470:N649))/MAX(N$470:N649))</f>
        <v>-0.10311304065408976</v>
      </c>
      <c r="X649" s="564">
        <f>IF((O649-MAX(O$470:O649))/MAX(O$470:O649)&gt;X648,X648,(O649-MAX(O$470:O649))/MAX(O$470:O649))</f>
        <v>-0.12147101883973409</v>
      </c>
    </row>
    <row r="650" spans="1:24">
      <c r="A650" s="799">
        <v>41052</v>
      </c>
      <c r="B650">
        <v>5.1397000000000004</v>
      </c>
      <c r="C650">
        <v>11.45219</v>
      </c>
      <c r="D650">
        <v>1.0665579999999999</v>
      </c>
      <c r="E650">
        <f>LN(D650/参数实验室!$E$53)/参数实验室!$E$55</f>
        <v>-0.616948957735729</v>
      </c>
      <c r="F650">
        <f t="shared" si="48"/>
        <v>2.2281825787497325</v>
      </c>
      <c r="G650">
        <f>LN(F650/参数实验室!$E$58)/参数实验室!$E$59</f>
        <v>0.22997582636106084</v>
      </c>
      <c r="H650" s="856">
        <f>INDEX(神经网络!$G$10:$BO$70,MATCH(ROUND(G650*2,1)/2,神经网络!$E$10:$E$70,0),MATCH(ROUND(E650*2,1)/2,神经网络!$G$8:$BO$8,0))</f>
        <v>0.13404691796827298</v>
      </c>
      <c r="I650">
        <f t="shared" si="40"/>
        <v>1.0529969145036449</v>
      </c>
      <c r="J650">
        <f t="shared" si="41"/>
        <v>2.050875862894538</v>
      </c>
      <c r="K650">
        <f t="shared" si="42"/>
        <v>0.51343766512395339</v>
      </c>
      <c r="L650" s="4">
        <f>MIN(MAX(L649*(1+MAX(MIN(((B650-B649)/B649)/($K$7*卓尔金历!$N$40),0),-卓尔金历!$M$43))+MIN(MAX(((B650-B649)/B649)/($K$7*卓尔金历!$N$40),0),卓尔金历!$M$43),0),1)</f>
        <v>1</v>
      </c>
      <c r="M650" s="4">
        <f>MIN(MAX(M649*(1+MAX(MIN(((B650-B649)/B649)/($K$7*30),0),-卓尔金历!$M$43))+MIN(MAX(((B650-B649)/B649)/($K$7*7),0),卓尔金历!$M$43),0),1)</f>
        <v>1</v>
      </c>
      <c r="N650">
        <f t="shared" si="43"/>
        <v>1.0553121249706314</v>
      </c>
      <c r="O650">
        <f t="shared" si="44"/>
        <v>1.072681253824554</v>
      </c>
      <c r="P650">
        <f t="shared" si="45"/>
        <v>8.0214952537853226E-3</v>
      </c>
      <c r="Q650">
        <f t="shared" si="46"/>
        <v>1.1633127958456049E-2</v>
      </c>
      <c r="R650">
        <f t="shared" si="47"/>
        <v>0.38808224123293783</v>
      </c>
      <c r="S650">
        <f t="shared" si="39"/>
        <v>1.098941590573447</v>
      </c>
      <c r="T650" s="564">
        <f>IF((I650-MAX(I$470:I650))/MAX(I$470:I650)&gt;T649,T649,(I650-MAX(I$470:I650))/MAX(I$470:I650))</f>
        <v>-0.13666535856332884</v>
      </c>
      <c r="U650" s="564">
        <f>IF((J650-MAX(J$470:J650))/MAX(J$470:J650)&gt;U649,U649,(J650-MAX(J$470:J650))/MAX(J$470:J650))</f>
        <v>-0.40648897885739943</v>
      </c>
      <c r="V650" s="564">
        <f>IF((K650-MAX(K$470:K650))/MAX(K$470:K650)&gt;V649,V649,(K650-MAX(K$470:K650))/MAX(K$470:K650))</f>
        <v>-0.68158456867950912</v>
      </c>
      <c r="W650" s="564">
        <f>IF((N650-MAX(N$470:N650))/MAX(N$470:N650)&gt;W649,W649,(N650-MAX(N$470:N650))/MAX(N$470:N650))</f>
        <v>-0.10311304065408976</v>
      </c>
      <c r="X650" s="564">
        <f>IF((O650-MAX(O$470:O650))/MAX(O$470:O650)&gt;X649,X649,(O650-MAX(O$470:O650))/MAX(O$470:O650))</f>
        <v>-0.12147101883973409</v>
      </c>
    </row>
    <row r="651" spans="1:24">
      <c r="A651" s="799">
        <v>41053</v>
      </c>
      <c r="B651">
        <v>5.1189999999999998</v>
      </c>
      <c r="C651">
        <v>11.581294</v>
      </c>
      <c r="D651">
        <v>1.067483</v>
      </c>
      <c r="E651">
        <f>LN(D651/参数实验室!$E$53)/参数实验室!$E$55</f>
        <v>-0.61592622966347865</v>
      </c>
      <c r="F651">
        <f t="shared" si="48"/>
        <v>2.2624133619847626</v>
      </c>
      <c r="G651">
        <f>LN(F651/参数实验室!$E$58)/参数实验室!$E$59</f>
        <v>0.23797766540980131</v>
      </c>
      <c r="H651" s="856">
        <f>INDEX(神经网络!$G$10:$BO$70,MATCH(ROUND(G651*2,1)/2,神经网络!$E$10:$E$70,0),MATCH(ROUND(E651*2,1)/2,神经网络!$G$8:$BO$8,0))</f>
        <v>0.13404691796827298</v>
      </c>
      <c r="I651">
        <f t="shared" si="40"/>
        <v>1.0524284327801785</v>
      </c>
      <c r="J651">
        <f t="shared" si="41"/>
        <v>2.0426160169187186</v>
      </c>
      <c r="K651">
        <f t="shared" si="42"/>
        <v>0.51523557245368334</v>
      </c>
      <c r="L651" s="4">
        <f>MIN(MAX(L650*(1+MAX(MIN(((B651-B650)/B650)/($K$7*卓尔金历!$N$40),0),-卓尔金历!$M$43))+MIN(MAX(((B651-B650)/B650)/($K$7*卓尔金历!$N$40),0),卓尔金历!$M$43),0),1)</f>
        <v>0.93846408628985811</v>
      </c>
      <c r="M651" s="4">
        <f>MIN(MAX(M650*(1+MAX(MIN(((B651-B650)/B650)/($K$7*30),0),-卓尔金历!$M$43))+MIN(MAX(((B651-B650)/B650)/($K$7*7),0),卓尔金历!$M$43),0),1)</f>
        <v>0.96923204314492906</v>
      </c>
      <c r="N651">
        <f t="shared" si="43"/>
        <v>1.0547423933338764</v>
      </c>
      <c r="O651">
        <f t="shared" si="44"/>
        <v>1.0721021451115986</v>
      </c>
      <c r="P651">
        <f t="shared" si="45"/>
        <v>-4.0274724205694116E-3</v>
      </c>
      <c r="Q651">
        <f t="shared" si="46"/>
        <v>1.1390710101026226E-2</v>
      </c>
      <c r="R651">
        <f t="shared" si="47"/>
        <v>1</v>
      </c>
      <c r="S651">
        <f t="shared" si="39"/>
        <v>1.0987113468563712</v>
      </c>
      <c r="T651" s="564">
        <f>IF((I651-MAX(I$470:I651))/MAX(I$470:I651)&gt;T650,T650,(I651-MAX(I$470:I651))/MAX(I$470:I651))</f>
        <v>-0.13666535856332884</v>
      </c>
      <c r="U651" s="564">
        <f>IF((J651-MAX(J$470:J651))/MAX(J$470:J651)&gt;U650,U650,(J651-MAX(J$470:J651))/MAX(J$470:J651))</f>
        <v>-0.40648897885739943</v>
      </c>
      <c r="V651" s="564">
        <f>IF((K651-MAX(K$470:K651))/MAX(K$470:K651)&gt;V650,V650,(K651-MAX(K$470:K651))/MAX(K$470:K651))</f>
        <v>-0.68158456867950912</v>
      </c>
      <c r="W651" s="564">
        <f>IF((N651-MAX(N$470:N651))/MAX(N$470:N651)&gt;W650,W650,(N651-MAX(N$470:N651))/MAX(N$470:N651))</f>
        <v>-0.10311304065408976</v>
      </c>
      <c r="X651" s="564">
        <f>IF((O651-MAX(O$470:O651))/MAX(O$470:O651)&gt;X650,X650,(O651-MAX(O$470:O651))/MAX(O$470:O651))</f>
        <v>-0.12147101883973409</v>
      </c>
    </row>
    <row r="652" spans="1:24">
      <c r="A652" s="799">
        <v>41054</v>
      </c>
      <c r="B652">
        <v>5.1455000000000002</v>
      </c>
      <c r="C652">
        <v>11.65516</v>
      </c>
      <c r="D652">
        <v>1.071069</v>
      </c>
      <c r="E652">
        <f>LN(D652/参数实验室!$E$53)/参数实验室!$E$55</f>
        <v>-0.61196972161686103</v>
      </c>
      <c r="F652">
        <f t="shared" si="48"/>
        <v>2.2651170926051889</v>
      </c>
      <c r="G652">
        <f>LN(F652/参数实验室!$E$58)/参数实验室!$E$59</f>
        <v>0.23860452551839936</v>
      </c>
      <c r="H652" s="856">
        <f>INDEX(神经网络!$G$10:$BO$70,MATCH(ROUND(G652*2,1)/2,神经网络!$E$10:$E$70,0),MATCH(ROUND(E652*2,1)/2,神经网络!$G$8:$BO$8,0))</f>
        <v>0.13404691796827298</v>
      </c>
      <c r="I652">
        <f t="shared" si="40"/>
        <v>1.053158747661328</v>
      </c>
      <c r="J652">
        <f t="shared" si="41"/>
        <v>2.0531902158732698</v>
      </c>
      <c r="K652">
        <f t="shared" si="42"/>
        <v>0.51293773928948661</v>
      </c>
      <c r="L652" s="4">
        <f>MIN(MAX(L651*(1+MAX(MIN(((B652-B651)/B651)/($K$7*卓尔金历!$N$40),0),-卓尔金历!$M$43))+MIN(MAX(((B652-B651)/B651)/($K$7*卓尔金历!$N$40),0),卓尔金历!$M$43),0),1)</f>
        <v>1</v>
      </c>
      <c r="M652" s="4">
        <f>MIN(MAX(M651*(1+MAX(MIN(((B652-B651)/B651)/($K$7*30),0),-卓尔金历!$M$43))+MIN(MAX(((B652-B651)/B651)/($K$7*7),0),卓尔金历!$M$43),0),1)</f>
        <v>1</v>
      </c>
      <c r="N652">
        <f t="shared" si="43"/>
        <v>1.0554292745449505</v>
      </c>
      <c r="O652">
        <f t="shared" si="44"/>
        <v>1.0728232218838514</v>
      </c>
      <c r="P652">
        <f t="shared" si="45"/>
        <v>5.1767923422544274E-3</v>
      </c>
      <c r="Q652">
        <f t="shared" si="46"/>
        <v>1.1054137501393222E-2</v>
      </c>
      <c r="R652">
        <f t="shared" si="47"/>
        <v>0.77865108798715876</v>
      </c>
      <c r="S652">
        <f t="shared" si="39"/>
        <v>1.0994737789816391</v>
      </c>
      <c r="T652" s="564">
        <f>IF((I652-MAX(I$470:I652))/MAX(I$470:I652)&gt;T651,T651,(I652-MAX(I$470:I652))/MAX(I$470:I652))</f>
        <v>-0.13666535856332884</v>
      </c>
      <c r="U652" s="564">
        <f>IF((J652-MAX(J$470:J652))/MAX(J$470:J652)&gt;U651,U651,(J652-MAX(J$470:J652))/MAX(J$470:J652))</f>
        <v>-0.40648897885739943</v>
      </c>
      <c r="V652" s="564">
        <f>IF((K652-MAX(K$470:K652))/MAX(K$470:K652)&gt;V651,V651,(K652-MAX(K$470:K652))/MAX(K$470:K652))</f>
        <v>-0.68158456867950912</v>
      </c>
      <c r="W652" s="564">
        <f>IF((N652-MAX(N$470:N652))/MAX(N$470:N652)&gt;W651,W651,(N652-MAX(N$470:N652))/MAX(N$470:N652))</f>
        <v>-0.10311304065408976</v>
      </c>
      <c r="X652" s="564">
        <f>IF((O652-MAX(O$470:O652))/MAX(O$470:O652)&gt;X651,X651,(O652-MAX(O$470:O652))/MAX(O$470:O652))</f>
        <v>-0.12147101883973409</v>
      </c>
    </row>
    <row r="653" spans="1:24">
      <c r="A653" s="799">
        <v>41055</v>
      </c>
      <c r="B653">
        <v>5.1032000000000002</v>
      </c>
      <c r="C653">
        <v>11.790684000000001</v>
      </c>
      <c r="D653">
        <v>1.067186</v>
      </c>
      <c r="E653">
        <f>LN(D653/参数实验室!$E$53)/参数实验室!$E$55</f>
        <v>-0.61625451167415168</v>
      </c>
      <c r="F653">
        <f t="shared" si="48"/>
        <v>2.3104491299576737</v>
      </c>
      <c r="G653">
        <f>LN(F653/参数实验室!$E$58)/参数实验室!$E$59</f>
        <v>0.24900476035126931</v>
      </c>
      <c r="H653" s="856">
        <f>INDEX(神经网络!$G$10:$BO$70,MATCH(ROUND(G653*2,1)/2,神经网络!$E$10:$E$70,0),MATCH(ROUND(E653*2,1)/2,神经网络!$G$8:$BO$8,0))</f>
        <v>0.13404691796827298</v>
      </c>
      <c r="I653">
        <f t="shared" si="40"/>
        <v>1.0519981987265306</v>
      </c>
      <c r="J653">
        <f t="shared" si="41"/>
        <v>2.0363114001835525</v>
      </c>
      <c r="K653">
        <f t="shared" si="42"/>
        <v>0.51661951046961863</v>
      </c>
      <c r="L653" s="4">
        <f>MIN(MAX(L652*(1+MAX(MIN(((B653-B652)/B652)/($K$7*卓尔金历!$N$40),0),-卓尔金历!$M$43))+MIN(MAX(((B653-B652)/B652)/($K$7*卓尔金历!$N$40),0),卓尔金历!$M$43),0),1)</f>
        <v>0.87439444024358715</v>
      </c>
      <c r="M653" s="4">
        <f>MIN(MAX(M652*(1+MAX(MIN(((B653-B652)/B652)/($K$7*30),0),-卓尔金历!$M$43))+MIN(MAX(((B653-B652)/B652)/($K$7*7),0),卓尔金历!$M$43),0),1)</f>
        <v>0.93719722012179352</v>
      </c>
      <c r="N653">
        <f t="shared" si="43"/>
        <v>1.0542662235585278</v>
      </c>
      <c r="O653">
        <f t="shared" si="44"/>
        <v>1.0716410032960573</v>
      </c>
      <c r="P653">
        <f t="shared" si="45"/>
        <v>-8.2207754348459817E-3</v>
      </c>
      <c r="Q653">
        <f t="shared" si="46"/>
        <v>1.121436606132842E-2</v>
      </c>
      <c r="R653">
        <f t="shared" si="47"/>
        <v>0.32501789164008232</v>
      </c>
      <c r="S653">
        <f t="shared" si="39"/>
        <v>1.0985303756858666</v>
      </c>
      <c r="T653" s="564">
        <f>IF((I653-MAX(I$470:I653))/MAX(I$470:I653)&gt;T652,T652,(I653-MAX(I$470:I653))/MAX(I$470:I653))</f>
        <v>-0.13666535856332884</v>
      </c>
      <c r="U653" s="564">
        <f>IF((J653-MAX(J$470:J653))/MAX(J$470:J653)&gt;U652,U652,(J653-MAX(J$470:J653))/MAX(J$470:J653))</f>
        <v>-0.40648897885739943</v>
      </c>
      <c r="V653" s="564">
        <f>IF((K653-MAX(K$470:K653))/MAX(K$470:K653)&gt;V652,V652,(K653-MAX(K$470:K653))/MAX(K$470:K653))</f>
        <v>-0.68158456867950912</v>
      </c>
      <c r="W653" s="564">
        <f>IF((N653-MAX(N$470:N653))/MAX(N$470:N653)&gt;W652,W652,(N653-MAX(N$470:N653))/MAX(N$470:N653))</f>
        <v>-0.10311304065408976</v>
      </c>
      <c r="X653" s="564">
        <f>IF((O653-MAX(O$470:O653))/MAX(O$470:O653)&gt;X652,X652,(O653-MAX(O$470:O653))/MAX(O$470:O653))</f>
        <v>-0.12147101883973409</v>
      </c>
    </row>
    <row r="654" spans="1:24">
      <c r="A654" s="799">
        <v>41056</v>
      </c>
      <c r="B654">
        <v>5.1390000000000002</v>
      </c>
      <c r="C654">
        <v>11.632472</v>
      </c>
      <c r="D654">
        <v>1.07321</v>
      </c>
      <c r="E654">
        <f>LN(D654/参数实验室!$E$53)/参数实验室!$E$55</f>
        <v>-0.60961382246873486</v>
      </c>
      <c r="F654">
        <f t="shared" si="48"/>
        <v>2.2635672309787895</v>
      </c>
      <c r="G654">
        <f>LN(F654/参数实验室!$E$58)/参数实验室!$E$59</f>
        <v>0.2382452815903762</v>
      </c>
      <c r="H654" s="856">
        <f>INDEX(神经网络!$G$10:$BO$70,MATCH(ROUND(G654*2,1)/2,神经网络!$E$10:$E$70,0),MATCH(ROUND(E654*2,1)/2,神经网络!$G$8:$BO$8,0))</f>
        <v>0.13404691796827298</v>
      </c>
      <c r="I654">
        <f t="shared" si="40"/>
        <v>1.0529874628670031</v>
      </c>
      <c r="J654">
        <f t="shared" si="41"/>
        <v>2.0505965444315875</v>
      </c>
      <c r="K654">
        <f t="shared" si="42"/>
        <v>0.51350299293461676</v>
      </c>
      <c r="L654" s="4">
        <f>MIN(MAX(L653*(1+MAX(MIN(((B654-B653)/B653)/($K$7*卓尔金历!$N$40),0),-卓尔金历!$M$43))+MIN(MAX(((B654-B653)/B653)/($K$7*卓尔金历!$N$40),0),卓尔金历!$M$43),0),1)</f>
        <v>0.98158005815195892</v>
      </c>
      <c r="M654" s="4">
        <f>MIN(MAX(M653*(1+MAX(MIN(((B654-B653)/B653)/($K$7*30),0),-卓尔金历!$M$43))+MIN(MAX(((B654-B653)/B653)/($K$7*7),0),卓尔金历!$M$43),0),1)</f>
        <v>1</v>
      </c>
      <c r="N654">
        <f t="shared" si="43"/>
        <v>1.0551330955096394</v>
      </c>
      <c r="O654">
        <f t="shared" si="44"/>
        <v>1.0725854502812024</v>
      </c>
      <c r="P654">
        <f t="shared" si="45"/>
        <v>7.0152061451638293E-3</v>
      </c>
      <c r="Q654">
        <f t="shared" si="46"/>
        <v>1.1226732184285482E-2</v>
      </c>
      <c r="R654">
        <f t="shared" si="47"/>
        <v>0.48670519589284111</v>
      </c>
      <c r="S654">
        <f t="shared" si="39"/>
        <v>1.0988661261405657</v>
      </c>
      <c r="T654" s="564">
        <f>IF((I654-MAX(I$470:I654))/MAX(I$470:I654)&gt;T653,T653,(I654-MAX(I$470:I654))/MAX(I$470:I654))</f>
        <v>-0.13666535856332884</v>
      </c>
      <c r="U654" s="564">
        <f>IF((J654-MAX(J$470:J654))/MAX(J$470:J654)&gt;U653,U653,(J654-MAX(J$470:J654))/MAX(J$470:J654))</f>
        <v>-0.40648897885739943</v>
      </c>
      <c r="V654" s="564">
        <f>IF((K654-MAX(K$470:K654))/MAX(K$470:K654)&gt;V653,V653,(K654-MAX(K$470:K654))/MAX(K$470:K654))</f>
        <v>-0.68158456867950912</v>
      </c>
      <c r="W654" s="564">
        <f>IF((N654-MAX(N$470:N654))/MAX(N$470:N654)&gt;W653,W653,(N654-MAX(N$470:N654))/MAX(N$470:N654))</f>
        <v>-0.10311304065408976</v>
      </c>
      <c r="X654" s="564">
        <f>IF((O654-MAX(O$470:O654))/MAX(O$470:O654)&gt;X653,X653,(O654-MAX(O$470:O654))/MAX(O$470:O654))</f>
        <v>-0.12147101883973409</v>
      </c>
    </row>
    <row r="655" spans="1:24">
      <c r="A655" s="799">
        <v>41057</v>
      </c>
      <c r="B655">
        <v>5.1357999999999997</v>
      </c>
      <c r="C655">
        <v>11.743231</v>
      </c>
      <c r="D655">
        <v>1.073537</v>
      </c>
      <c r="E655">
        <f>LN(D655/参数实验室!$E$53)/参数实验室!$E$55</f>
        <v>-0.60925441419774384</v>
      </c>
      <c r="F655">
        <f t="shared" si="48"/>
        <v>2.2865436738190739</v>
      </c>
      <c r="G655">
        <f>LN(F655/参数实验室!$E$58)/参数实验室!$E$59</f>
        <v>0.24354597938598349</v>
      </c>
      <c r="H655" s="856">
        <f>INDEX(神经网络!$G$10:$BO$70,MATCH(ROUND(G655*2,1)/2,神经网络!$E$10:$E$70,0),MATCH(ROUND(E655*2,1)/2,神经网络!$G$8:$BO$8,0))</f>
        <v>0.13404691796827298</v>
      </c>
      <c r="I655">
        <f t="shared" si="40"/>
        <v>1.0528995704527238</v>
      </c>
      <c r="J655">
        <f t="shared" si="41"/>
        <v>2.0493196600295285</v>
      </c>
      <c r="K655">
        <f t="shared" si="42"/>
        <v>0.51378005637127033</v>
      </c>
      <c r="L655" s="4">
        <f>MIN(MAX(L654*(1+MAX(MIN(((B655-B654)/B654)/($K$7*卓尔金历!$N$40),0),-卓尔金历!$M$43))+MIN(MAX(((B655-B654)/B654)/($K$7*卓尔金历!$N$40),0),卓尔金历!$M$43),0),1)</f>
        <v>0.97224121318654277</v>
      </c>
      <c r="M655" s="4">
        <f>MIN(MAX(M654*(1+MAX(MIN(((B655-B654)/B654)/($K$7*30),0),-卓尔金历!$M$43))+MIN(MAX(((B655-B654)/B654)/($K$7*7),0),卓尔金历!$M$43),0),1)</f>
        <v>0.99524295298796173</v>
      </c>
      <c r="N655">
        <f t="shared" si="43"/>
        <v>1.0550466462723991</v>
      </c>
      <c r="O655">
        <f t="shared" si="44"/>
        <v>1.0724959220312751</v>
      </c>
      <c r="P655">
        <f t="shared" si="45"/>
        <v>-6.2268923915169015E-4</v>
      </c>
      <c r="Q655">
        <f t="shared" si="46"/>
        <v>1.1228354246807326E-2</v>
      </c>
      <c r="R655">
        <f t="shared" si="47"/>
        <v>1</v>
      </c>
      <c r="S655">
        <f t="shared" si="39"/>
        <v>1.0988214846217175</v>
      </c>
      <c r="T655" s="564">
        <f>IF((I655-MAX(I$470:I655))/MAX(I$470:I655)&gt;T654,T654,(I655-MAX(I$470:I655))/MAX(I$470:I655))</f>
        <v>-0.13666535856332884</v>
      </c>
      <c r="U655" s="564">
        <f>IF((J655-MAX(J$470:J655))/MAX(J$470:J655)&gt;U654,U654,(J655-MAX(J$470:J655))/MAX(J$470:J655))</f>
        <v>-0.40648897885739943</v>
      </c>
      <c r="V655" s="564">
        <f>IF((K655-MAX(K$470:K655))/MAX(K$470:K655)&gt;V654,V654,(K655-MAX(K$470:K655))/MAX(K$470:K655))</f>
        <v>-0.68158456867950912</v>
      </c>
      <c r="W655" s="564">
        <f>IF((N655-MAX(N$470:N655))/MAX(N$470:N655)&gt;W654,W654,(N655-MAX(N$470:N655))/MAX(N$470:N655))</f>
        <v>-0.10311304065408976</v>
      </c>
      <c r="X655" s="564">
        <f>IF((O655-MAX(O$470:O655))/MAX(O$470:O655)&gt;X654,X654,(O655-MAX(O$470:O655))/MAX(O$470:O655))</f>
        <v>-0.12147101883973409</v>
      </c>
    </row>
    <row r="656" spans="1:24">
      <c r="A656" s="799">
        <v>41058</v>
      </c>
      <c r="B656">
        <v>5.15</v>
      </c>
      <c r="C656">
        <v>12.2088</v>
      </c>
      <c r="D656">
        <v>1.0760160000000001</v>
      </c>
      <c r="E656">
        <f>LN(D656/参数实验室!$E$53)/参数实验室!$E$55</f>
        <v>-0.60653328139627305</v>
      </c>
      <c r="F656">
        <f t="shared" si="48"/>
        <v>2.370640776699029</v>
      </c>
      <c r="G656">
        <f>LN(F656/参数实验室!$E$58)/参数实验室!$E$59</f>
        <v>0.26250314260322499</v>
      </c>
      <c r="H656" s="856">
        <f>INDEX(神经网络!$G$10:$BO$70,MATCH(ROUND(G656*2,1)/2,神经网络!$E$10:$E$70,0),MATCH(ROUND(E656*2,1)/2,神经网络!$G$8:$BO$8,0))</f>
        <v>0.13404691796827298</v>
      </c>
      <c r="I656">
        <f t="shared" si="40"/>
        <v>1.0532898034799756</v>
      </c>
      <c r="J656">
        <f t="shared" si="41"/>
        <v>2.0549858345636656</v>
      </c>
      <c r="K656">
        <f t="shared" si="42"/>
        <v>0.51255331582546904</v>
      </c>
      <c r="L656" s="4">
        <f>MIN(MAX(L655*(1+MAX(MIN(((B656-B655)/B655)/($K$7*卓尔金历!$N$40),0),-卓尔金历!$M$43))+MIN(MAX(((B656-B655)/B655)/($K$7*卓尔金历!$N$40),0),卓尔金历!$M$43),0),1)</f>
        <v>1</v>
      </c>
      <c r="M656" s="4">
        <f>MIN(MAX(M655*(1+MAX(MIN(((B656-B655)/B655)/($K$7*30),0),-卓尔金历!$M$43))+MIN(MAX(((B656-B655)/B655)/($K$7*7),0),卓尔金历!$M$43),0),1)</f>
        <v>1</v>
      </c>
      <c r="N656">
        <f t="shared" si="43"/>
        <v>1.0554268205790949</v>
      </c>
      <c r="O656">
        <f t="shared" si="44"/>
        <v>1.0728915270888708</v>
      </c>
      <c r="P656">
        <f t="shared" si="45"/>
        <v>2.7649051754353084E-3</v>
      </c>
      <c r="Q656">
        <f t="shared" si="46"/>
        <v>1.1218484810348955E-2</v>
      </c>
      <c r="R656">
        <f t="shared" si="47"/>
        <v>1</v>
      </c>
      <c r="S656">
        <f t="shared" si="39"/>
        <v>1.0992287375510439</v>
      </c>
      <c r="T656" s="564">
        <f>IF((I656-MAX(I$470:I656))/MAX(I$470:I656)&gt;T655,T655,(I656-MAX(I$470:I656))/MAX(I$470:I656))</f>
        <v>-0.13666535856332884</v>
      </c>
      <c r="U656" s="564">
        <f>IF((J656-MAX(J$470:J656))/MAX(J$470:J656)&gt;U655,U655,(J656-MAX(J$470:J656))/MAX(J$470:J656))</f>
        <v>-0.40648897885739943</v>
      </c>
      <c r="V656" s="564">
        <f>IF((K656-MAX(K$470:K656))/MAX(K$470:K656)&gt;V655,V655,(K656-MAX(K$470:K656))/MAX(K$470:K656))</f>
        <v>-0.68158456867950912</v>
      </c>
      <c r="W656" s="564">
        <f>IF((N656-MAX(N$470:N656))/MAX(N$470:N656)&gt;W655,W655,(N656-MAX(N$470:N656))/MAX(N$470:N656))</f>
        <v>-0.10311304065408976</v>
      </c>
      <c r="X656" s="564">
        <f>IF((O656-MAX(O$470:O656))/MAX(O$470:O656)&gt;X655,X655,(O656-MAX(O$470:O656))/MAX(O$470:O656))</f>
        <v>-0.12147101883973409</v>
      </c>
    </row>
    <row r="657" spans="1:24">
      <c r="A657" s="799">
        <v>41059</v>
      </c>
      <c r="B657">
        <v>5.1349999999999998</v>
      </c>
      <c r="C657">
        <v>12.655201</v>
      </c>
      <c r="D657">
        <v>1.0739300000000001</v>
      </c>
      <c r="E657">
        <f>LN(D657/参数实验室!$E$53)/参数实验室!$E$55</f>
        <v>-0.60882260962979728</v>
      </c>
      <c r="F657">
        <f t="shared" si="48"/>
        <v>2.4644987341772153</v>
      </c>
      <c r="G657">
        <f>LN(F657/参数实验室!$E$58)/参数实验室!$E$59</f>
        <v>0.28288225150323709</v>
      </c>
      <c r="H657" s="856">
        <f>INDEX(神经网络!$G$10:$BO$70,MATCH(ROUND(G657*2,1)/2,神经网络!$E$10:$E$70,0),MATCH(ROUND(E657*2,1)/2,神经网络!$G$8:$BO$8,0))</f>
        <v>0.21150404411215482</v>
      </c>
      <c r="I657">
        <f t="shared" si="40"/>
        <v>1.0528785697366245</v>
      </c>
      <c r="J657">
        <f t="shared" si="41"/>
        <v>2.049000438929014</v>
      </c>
      <c r="K657">
        <f t="shared" si="42"/>
        <v>0.51384985075305822</v>
      </c>
      <c r="L657" s="4">
        <f>MIN(MAX(L656*(1+MAX(MIN(((B657-B656)/B656)/($K$7*卓尔金历!$N$40),0),-卓尔金历!$M$43))+MIN(MAX(((B657-B656)/B656)/($K$7*卓尔金历!$N$40),0),卓尔金历!$M$43),0),1)</f>
        <v>0.95549794066469418</v>
      </c>
      <c r="M657" s="4">
        <f>MIN(MAX(M656*(1+MAX(MIN(((B657-B656)/B656)/($K$7*30),0),-卓尔金历!$M$43))+MIN(MAX(((B657-B656)/B656)/($K$7*7),0),卓尔金历!$M$43),0),1)</f>
        <v>0.97774897033234709</v>
      </c>
      <c r="N657">
        <f t="shared" si="43"/>
        <v>1.0550147524846103</v>
      </c>
      <c r="O657">
        <f t="shared" si="44"/>
        <v>1.072472640285413</v>
      </c>
      <c r="P657">
        <f t="shared" si="45"/>
        <v>-2.9126213592234112E-3</v>
      </c>
      <c r="Q657">
        <f t="shared" si="46"/>
        <v>1.1239938113503769E-2</v>
      </c>
      <c r="R657">
        <f t="shared" si="47"/>
        <v>1</v>
      </c>
      <c r="S657">
        <f t="shared" si="39"/>
        <v>1.0987995679653813</v>
      </c>
      <c r="T657" s="564">
        <f>IF((I657-MAX(I$470:I657))/MAX(I$470:I657)&gt;T656,T656,(I657-MAX(I$470:I657))/MAX(I$470:I657))</f>
        <v>-0.13666535856332884</v>
      </c>
      <c r="U657" s="564">
        <f>IF((J657-MAX(J$470:J657))/MAX(J$470:J657)&gt;U656,U656,(J657-MAX(J$470:J657))/MAX(J$470:J657))</f>
        <v>-0.40648897885739943</v>
      </c>
      <c r="V657" s="564">
        <f>IF((K657-MAX(K$470:K657))/MAX(K$470:K657)&gt;V656,V656,(K657-MAX(K$470:K657))/MAX(K$470:K657))</f>
        <v>-0.68158456867950912</v>
      </c>
      <c r="W657" s="564">
        <f>IF((N657-MAX(N$470:N657))/MAX(N$470:N657)&gt;W656,W656,(N657-MAX(N$470:N657))/MAX(N$470:N657))</f>
        <v>-0.10311304065408976</v>
      </c>
      <c r="X657" s="564">
        <f>IF((O657-MAX(O$470:O657))/MAX(O$470:O657)&gt;X656,X656,(O657-MAX(O$470:O657))/MAX(O$470:O657))</f>
        <v>-0.12147101883973409</v>
      </c>
    </row>
    <row r="658" spans="1:24">
      <c r="A658" s="799">
        <v>41060</v>
      </c>
      <c r="B658">
        <v>5.1801000000000004</v>
      </c>
      <c r="C658">
        <v>12.976675999999999</v>
      </c>
      <c r="D658">
        <v>1.0880000000000001</v>
      </c>
      <c r="E658">
        <f>LN(D658/参数实验室!$E$53)/参数实验室!$E$55</f>
        <v>-0.59346655045969876</v>
      </c>
      <c r="F658">
        <f t="shared" si="48"/>
        <v>2.5051014459180321</v>
      </c>
      <c r="G658">
        <f>LN(F658/参数实验室!$E$58)/参数实验室!$E$59</f>
        <v>0.29145878516384521</v>
      </c>
      <c r="H658" s="856">
        <f>INDEX(神经网络!$G$10:$BO$70,MATCH(ROUND(G658*2,1)/2,神经网络!$E$10:$E$70,0),MATCH(ROUND(E658*2,1)/2,神经网络!$G$8:$BO$8,0))</f>
        <v>0.21150404411215482</v>
      </c>
      <c r="I658">
        <f t="shared" si="40"/>
        <v>1.0548344085298416</v>
      </c>
      <c r="J658">
        <f t="shared" si="41"/>
        <v>2.0669965284705332</v>
      </c>
      <c r="K658">
        <f t="shared" si="42"/>
        <v>0.51032229324079348</v>
      </c>
      <c r="L658" s="4">
        <f>MIN(MAX(L657*(1+MAX(MIN(((B658-B657)/B657)/($K$7*卓尔金历!$N$40),0),-卓尔金历!$M$43))+MIN(MAX(((B658-B657)/B657)/($K$7*卓尔金历!$N$40),0),卓尔金历!$M$43),0),1)</f>
        <v>1</v>
      </c>
      <c r="M658" s="4">
        <f>MIN(MAX(M657*(1+MAX(MIN(((B658-B657)/B657)/($K$7*30),0),-卓尔金历!$M$43))+MIN(MAX(((B658-B657)/B657)/($K$7*7),0),卓尔金历!$M$43),0),1)</f>
        <v>1</v>
      </c>
      <c r="N658">
        <f t="shared" si="43"/>
        <v>1.0568873440274147</v>
      </c>
      <c r="O658">
        <f t="shared" si="44"/>
        <v>1.074420547915687</v>
      </c>
      <c r="P658">
        <f t="shared" si="45"/>
        <v>8.7828627069134538E-3</v>
      </c>
      <c r="Q658">
        <f t="shared" si="46"/>
        <v>7.1133321622725504E-3</v>
      </c>
      <c r="R658">
        <f t="shared" si="47"/>
        <v>8.8702038585332758E-3</v>
      </c>
      <c r="S658">
        <f t="shared" si="39"/>
        <v>1.1008407101091846</v>
      </c>
      <c r="T658" s="564">
        <f>IF((I658-MAX(I$470:I658))/MAX(I$470:I658)&gt;T657,T657,(I658-MAX(I$470:I658))/MAX(I$470:I658))</f>
        <v>-0.13666535856332884</v>
      </c>
      <c r="U658" s="564">
        <f>IF((J658-MAX(J$470:J658))/MAX(J$470:J658)&gt;U657,U657,(J658-MAX(J$470:J658))/MAX(J$470:J658))</f>
        <v>-0.40648897885739943</v>
      </c>
      <c r="V658" s="564">
        <f>IF((K658-MAX(K$470:K658))/MAX(K$470:K658)&gt;V657,V657,(K658-MAX(K$470:K658))/MAX(K$470:K658))</f>
        <v>-0.68158456867950912</v>
      </c>
      <c r="W658" s="564">
        <f>IF((N658-MAX(N$470:N658))/MAX(N$470:N658)&gt;W657,W657,(N658-MAX(N$470:N658))/MAX(N$470:N658))</f>
        <v>-0.10311304065408976</v>
      </c>
      <c r="X658" s="564">
        <f>IF((O658-MAX(O$470:O658))/MAX(O$470:O658)&gt;X657,X657,(O658-MAX(O$470:O658))/MAX(O$470:O658))</f>
        <v>-0.12147101883973409</v>
      </c>
    </row>
    <row r="659" spans="1:24">
      <c r="A659" s="799">
        <v>41061</v>
      </c>
      <c r="B659">
        <v>5.2747999999999999</v>
      </c>
      <c r="C659">
        <v>12.994761</v>
      </c>
      <c r="D659">
        <v>1.105029</v>
      </c>
      <c r="E659">
        <f>LN(D659/参数实验室!$E$53)/参数实验室!$E$55</f>
        <v>-0.57514447465518126</v>
      </c>
      <c r="F659">
        <f t="shared" si="48"/>
        <v>2.4635552058845835</v>
      </c>
      <c r="G659">
        <f>LN(F659/参数实验室!$E$58)/参数实验室!$E$59</f>
        <v>0.28268127373342211</v>
      </c>
      <c r="H659" s="856">
        <f>INDEX(神经网络!$G$10:$BO$70,MATCH(ROUND(G659*2,1)/2,神经网络!$E$10:$E$70,0),MATCH(ROUND(E659*2,1)/2,神经网络!$G$8:$BO$8,0))</f>
        <v>0.21150404411215482</v>
      </c>
      <c r="I659">
        <f t="shared" si="40"/>
        <v>1.0589130431291591</v>
      </c>
      <c r="J659">
        <f t="shared" si="41"/>
        <v>2.1047843262439661</v>
      </c>
      <c r="K659">
        <f t="shared" si="42"/>
        <v>0.50309812265602183</v>
      </c>
      <c r="L659" s="4">
        <f>MIN(MAX(L658*(1+MAX(MIN(((B659-B658)/B658)/($K$7*卓尔金历!$N$40),0),-卓尔金历!$M$43))+MIN(MAX(((B659-B658)/B658)/($K$7*卓尔金历!$N$40),0),卓尔金历!$M$43),0),1)</f>
        <v>1</v>
      </c>
      <c r="M659" s="4">
        <f>MIN(MAX(M658*(1+MAX(MIN(((B659-B658)/B658)/($K$7*30),0),-卓尔金历!$M$43))+MIN(MAX(((B659-B658)/B658)/($K$7*7),0),卓尔金历!$M$43),0),1)</f>
        <v>1</v>
      </c>
      <c r="N659">
        <f t="shared" si="43"/>
        <v>1.0609739165302392</v>
      </c>
      <c r="O659">
        <f t="shared" si="44"/>
        <v>1.0785749145020542</v>
      </c>
      <c r="P659">
        <f t="shared" si="45"/>
        <v>1.8281500357135876E-2</v>
      </c>
      <c r="Q659">
        <f t="shared" si="46"/>
        <v>6.5803819190781267E-3</v>
      </c>
      <c r="R659">
        <f t="shared" si="47"/>
        <v>0</v>
      </c>
      <c r="S659">
        <f t="shared" si="39"/>
        <v>1.1008784663366589</v>
      </c>
      <c r="T659" s="564">
        <f>IF((I659-MAX(I$470:I659))/MAX(I$470:I659)&gt;T658,T658,(I659-MAX(I$470:I659))/MAX(I$470:I659))</f>
        <v>-0.13666535856332884</v>
      </c>
      <c r="U659" s="564">
        <f>IF((J659-MAX(J$470:J659))/MAX(J$470:J659)&gt;U658,U658,(J659-MAX(J$470:J659))/MAX(J$470:J659))</f>
        <v>-0.40648897885739943</v>
      </c>
      <c r="V659" s="564">
        <f>IF((K659-MAX(K$470:K659))/MAX(K$470:K659)&gt;V658,V658,(K659-MAX(K$470:K659))/MAX(K$470:K659))</f>
        <v>-0.68158456867950912</v>
      </c>
      <c r="W659" s="564">
        <f>IF((N659-MAX(N$470:N659))/MAX(N$470:N659)&gt;W658,W658,(N659-MAX(N$470:N659))/MAX(N$470:N659))</f>
        <v>-0.10311304065408976</v>
      </c>
      <c r="X659" s="564">
        <f>IF((O659-MAX(O$470:O659))/MAX(O$470:O659)&gt;X658,X658,(O659-MAX(O$470:O659))/MAX(O$470:O659))</f>
        <v>-0.12147101883973409</v>
      </c>
    </row>
    <row r="660" spans="1:24">
      <c r="A660" s="799">
        <v>41062</v>
      </c>
      <c r="B660">
        <v>5.2489999999999997</v>
      </c>
      <c r="C660">
        <v>13.005578</v>
      </c>
      <c r="D660">
        <v>1.0998300000000001</v>
      </c>
      <c r="E660">
        <f>LN(D660/参数实验室!$E$53)/参数实验室!$E$55</f>
        <v>-0.58070813970861268</v>
      </c>
      <c r="F660">
        <f t="shared" si="48"/>
        <v>2.4777248999809487</v>
      </c>
      <c r="G660">
        <f>LN(F660/参数实验室!$E$58)/参数实验室!$E$59</f>
        <v>0.28569144173114569</v>
      </c>
      <c r="H660" s="856">
        <f>INDEX(神经网络!$G$10:$BO$70,MATCH(ROUND(G660*2,1)/2,神经网络!$E$10:$E$70,0),MATCH(ROUND(E660*2,1)/2,神经网络!$G$8:$BO$8,0))</f>
        <v>0.21150404411215482</v>
      </c>
      <c r="I660">
        <f t="shared" si="40"/>
        <v>1.0578175928206335</v>
      </c>
      <c r="J660">
        <f t="shared" si="41"/>
        <v>2.0944894457523655</v>
      </c>
      <c r="K660">
        <f t="shared" si="42"/>
        <v>0.50504794615503679</v>
      </c>
      <c r="L660" s="4">
        <f>MIN(MAX(L659*(1+MAX(MIN(((B660-B659)/B659)/($K$7*卓尔金历!$N$40),0),-卓尔金历!$M$43))+MIN(MAX(((B660-B659)/B659)/($K$7*卓尔金历!$N$40),0),卓尔金历!$M$43),0),1)</f>
        <v>0.92526745249258202</v>
      </c>
      <c r="M660" s="4">
        <f>MIN(MAX(M659*(1+MAX(MIN(((B660-B659)/B659)/($K$7*30),0),-卓尔金历!$M$43))+MIN(MAX(((B660-B659)/B659)/($K$7*7),0),卓尔金历!$M$43),0),1)</f>
        <v>0.96263372624629095</v>
      </c>
      <c r="N660">
        <f t="shared" si="43"/>
        <v>1.0598763342389055</v>
      </c>
      <c r="O660">
        <f t="shared" si="44"/>
        <v>1.0774591238991094</v>
      </c>
      <c r="P660">
        <f t="shared" si="45"/>
        <v>-4.8911807082733499E-3</v>
      </c>
      <c r="Q660">
        <f t="shared" si="46"/>
        <v>6.6824898732382679E-3</v>
      </c>
      <c r="R660">
        <f t="shared" si="47"/>
        <v>0.32069076130873753</v>
      </c>
      <c r="S660">
        <f t="shared" si="39"/>
        <v>1.1008784663366589</v>
      </c>
      <c r="T660" s="564">
        <f>IF((I660-MAX(I$470:I660))/MAX(I$470:I660)&gt;T659,T659,(I660-MAX(I$470:I660))/MAX(I$470:I660))</f>
        <v>-0.13666535856332884</v>
      </c>
      <c r="U660" s="564">
        <f>IF((J660-MAX(J$470:J660))/MAX(J$470:J660)&gt;U659,U659,(J660-MAX(J$470:J660))/MAX(J$470:J660))</f>
        <v>-0.40648897885739943</v>
      </c>
      <c r="V660" s="564">
        <f>IF((K660-MAX(K$470:K660))/MAX(K$470:K660)&gt;V659,V659,(K660-MAX(K$470:K660))/MAX(K$470:K660))</f>
        <v>-0.68158456867950912</v>
      </c>
      <c r="W660" s="564">
        <f>IF((N660-MAX(N$470:N660))/MAX(N$470:N660)&gt;W659,W659,(N660-MAX(N$470:N660))/MAX(N$470:N660))</f>
        <v>-0.10311304065408976</v>
      </c>
      <c r="X660" s="564">
        <f>IF((O660-MAX(O$470:O660))/MAX(O$470:O660)&gt;X659,X659,(O660-MAX(O$470:O660))/MAX(O$470:O660))</f>
        <v>-0.12147101883973409</v>
      </c>
    </row>
    <row r="661" spans="1:24">
      <c r="A661" s="799">
        <v>41063</v>
      </c>
      <c r="B661">
        <v>5.2050999999999998</v>
      </c>
      <c r="C661">
        <v>13.116241</v>
      </c>
      <c r="D661">
        <v>1.0932740000000001</v>
      </c>
      <c r="E661">
        <f>LN(D661/参数实验室!$E$53)/参数实验室!$E$55</f>
        <v>-0.58776159937751471</v>
      </c>
      <c r="F661">
        <f t="shared" si="48"/>
        <v>2.5198826151274711</v>
      </c>
      <c r="G661">
        <f>LN(F661/参数实验室!$E$58)/参数实验室!$E$59</f>
        <v>0.29454654771293814</v>
      </c>
      <c r="H661" s="856">
        <f>INDEX(神经网络!$G$10:$BO$70,MATCH(ROUND(G661*2,1)/2,神经网络!$E$10:$E$70,0),MATCH(ROUND(E661*2,1)/2,神经网络!$G$8:$BO$8,0))</f>
        <v>0.21150404411215482</v>
      </c>
      <c r="I661">
        <f t="shared" si="40"/>
        <v>1.0559464048842726</v>
      </c>
      <c r="J661">
        <f t="shared" si="41"/>
        <v>2.0769721878616192</v>
      </c>
      <c r="K661">
        <f t="shared" si="42"/>
        <v>0.5084066176020583</v>
      </c>
      <c r="L661" s="4">
        <f>MIN(MAX(L660*(1+MAX(MIN(((B661-B660)/B660)/($K$7*卓尔金历!$N$40),0),-卓尔金历!$M$43))+MIN(MAX(((B661-B660)/B660)/($K$7*卓尔金历!$N$40),0),卓尔金历!$M$43),0),1)</f>
        <v>0.80703102162525087</v>
      </c>
      <c r="M661" s="4">
        <f>MIN(MAX(M660*(1+MAX(MIN(((B661-B660)/B660)/($K$7*30),0),-卓尔金历!$M$43))+MIN(MAX(((B661-B660)/B660)/($K$7*7),0),卓尔金历!$M$43),0),1)</f>
        <v>0.9011280633607841</v>
      </c>
      <c r="N661">
        <f t="shared" si="43"/>
        <v>1.0581416153643679</v>
      </c>
      <c r="O661">
        <f t="shared" si="44"/>
        <v>1.0756244093720149</v>
      </c>
      <c r="P661">
        <f t="shared" si="45"/>
        <v>-8.3634978091064651E-3</v>
      </c>
      <c r="Q661">
        <f t="shared" si="46"/>
        <v>6.9857596406253308E-3</v>
      </c>
      <c r="R661">
        <f t="shared" si="47"/>
        <v>5.4796216627294569E-3</v>
      </c>
      <c r="S661">
        <f t="shared" si="39"/>
        <v>1.1002539663279753</v>
      </c>
      <c r="T661" s="564">
        <f>IF((I661-MAX(I$470:I661))/MAX(I$470:I661)&gt;T660,T660,(I661-MAX(I$470:I661))/MAX(I$470:I661))</f>
        <v>-0.13666535856332884</v>
      </c>
      <c r="U661" s="564">
        <f>IF((J661-MAX(J$470:J661))/MAX(J$470:J661)&gt;U660,U660,(J661-MAX(J$470:J661))/MAX(J$470:J661))</f>
        <v>-0.40648897885739943</v>
      </c>
      <c r="V661" s="564">
        <f>IF((K661-MAX(K$470:K661))/MAX(K$470:K661)&gt;V660,V660,(K661-MAX(K$470:K661))/MAX(K$470:K661))</f>
        <v>-0.68158456867950912</v>
      </c>
      <c r="W661" s="564">
        <f>IF((N661-MAX(N$470:N661))/MAX(N$470:N661)&gt;W660,W660,(N661-MAX(N$470:N661))/MAX(N$470:N661))</f>
        <v>-0.10311304065408976</v>
      </c>
      <c r="X661" s="564">
        <f>IF((O661-MAX(O$470:O661))/MAX(O$470:O661)&gt;X660,X660,(O661-MAX(O$470:O661))/MAX(O$470:O661))</f>
        <v>-0.12147101883973409</v>
      </c>
    </row>
    <row r="662" spans="1:24">
      <c r="A662" s="799">
        <v>41064</v>
      </c>
      <c r="B662">
        <v>5.266</v>
      </c>
      <c r="C662">
        <v>13.266011000000001</v>
      </c>
      <c r="D662">
        <v>1.102554</v>
      </c>
      <c r="E662">
        <f>LN(D662/参数实验室!$E$53)/参数实验室!$E$55</f>
        <v>-0.57778980260182</v>
      </c>
      <c r="F662">
        <f t="shared" si="48"/>
        <v>2.5191817318647933</v>
      </c>
      <c r="G662">
        <f>LN(F662/参数实验室!$E$58)/参数实验室!$E$59</f>
        <v>0.29440054385540199</v>
      </c>
      <c r="H662" s="856">
        <f>INDEX(神经网络!$G$10:$BO$70,MATCH(ROUND(G662*2,1)/2,神经网络!$E$10:$E$70,0),MATCH(ROUND(E662*2,1)/2,神经网络!$G$8:$BO$8,0))</f>
        <v>0.21150404411215482</v>
      </c>
      <c r="I662">
        <f t="shared" si="40"/>
        <v>1.0585594611831759</v>
      </c>
      <c r="J662">
        <f t="shared" si="41"/>
        <v>2.1012728941383041</v>
      </c>
      <c r="K662">
        <f t="shared" si="42"/>
        <v>0.50377057836520223</v>
      </c>
      <c r="L662" s="4">
        <f>MIN(MAX(L661*(1+MAX(MIN(((B662-B661)/B661)/($K$7*卓尔金历!$N$40),0),-卓尔金历!$M$43))+MIN(MAX(((B662-B661)/B661)/($K$7*卓尔金历!$N$40),0),卓尔金历!$M$43),0),1)</f>
        <v>0.98579676265652361</v>
      </c>
      <c r="M662" s="4">
        <f>MIN(MAX(M661*(1+MAX(MIN(((B662-B661)/B661)/($K$7*30),0),-卓尔金历!$M$43))+MIN(MAX(((B662-B661)/B661)/($K$7*7),0),卓尔金历!$M$43),0),1)</f>
        <v>1</v>
      </c>
      <c r="N662">
        <f t="shared" si="43"/>
        <v>1.0602548168865134</v>
      </c>
      <c r="O662">
        <f t="shared" si="44"/>
        <v>1.0780229885264587</v>
      </c>
      <c r="P662">
        <f t="shared" si="45"/>
        <v>1.1700063399358356E-2</v>
      </c>
      <c r="Q662">
        <f t="shared" si="46"/>
        <v>6.7023495896516997E-3</v>
      </c>
      <c r="R662">
        <f t="shared" si="47"/>
        <v>3.0937406849051354E-3</v>
      </c>
      <c r="S662">
        <f t="shared" si="39"/>
        <v>1.1002688856953322</v>
      </c>
      <c r="T662" s="564">
        <f>IF((I662-MAX(I$470:I662))/MAX(I$470:I662)&gt;T661,T661,(I662-MAX(I$470:I662))/MAX(I$470:I662))</f>
        <v>-0.13666535856332884</v>
      </c>
      <c r="U662" s="564">
        <f>IF((J662-MAX(J$470:J662))/MAX(J$470:J662)&gt;U661,U661,(J662-MAX(J$470:J662))/MAX(J$470:J662))</f>
        <v>-0.40648897885739943</v>
      </c>
      <c r="V662" s="564">
        <f>IF((K662-MAX(K$470:K662))/MAX(K$470:K662)&gt;V661,V661,(K662-MAX(K$470:K662))/MAX(K$470:K662))</f>
        <v>-0.68158456867950912</v>
      </c>
      <c r="W662" s="564">
        <f>IF((N662-MAX(N$470:N662))/MAX(N$470:N662)&gt;W661,W661,(N662-MAX(N$470:N662))/MAX(N$470:N662))</f>
        <v>-0.10311304065408976</v>
      </c>
      <c r="X662" s="564">
        <f>IF((O662-MAX(O$470:O662))/MAX(O$470:O662)&gt;X661,X661,(O662-MAX(O$470:O662))/MAX(O$470:O662))</f>
        <v>-0.12147101883973409</v>
      </c>
    </row>
    <row r="663" spans="1:24">
      <c r="A663" s="799">
        <v>41065</v>
      </c>
      <c r="B663">
        <v>5.44</v>
      </c>
      <c r="C663">
        <v>13.463639000000001</v>
      </c>
      <c r="D663">
        <v>1.136244</v>
      </c>
      <c r="E663">
        <f>LN(D663/参数实验室!$E$53)/参数实验室!$E$55</f>
        <v>-0.54228067015817116</v>
      </c>
      <c r="F663">
        <f t="shared" si="48"/>
        <v>2.4749336397058821</v>
      </c>
      <c r="G663">
        <f>LN(F663/参数实验室!$E$58)/参数实验室!$E$59</f>
        <v>0.28509983850066539</v>
      </c>
      <c r="H663" s="856">
        <f>INDEX(神经网络!$G$10:$BO$70,MATCH(ROUND(G663*2,1)/2,神经网络!$E$10:$E$70,0),MATCH(ROUND(E663*2,1)/2,神经网络!$G$8:$BO$8,0))</f>
        <v>0.25448419857839372</v>
      </c>
      <c r="I663">
        <f t="shared" si="40"/>
        <v>1.065957256780095</v>
      </c>
      <c r="J663">
        <f t="shared" si="41"/>
        <v>2.1707034835002612</v>
      </c>
      <c r="K663">
        <f t="shared" si="42"/>
        <v>0.49106534581187389</v>
      </c>
      <c r="L663" s="4">
        <f>MIN(MAX(L662*(1+MAX(MIN(((B663-B662)/B662)/($K$7*卓尔金历!$N$40),0),-卓尔金历!$M$43))+MIN(MAX(((B663-B662)/B662)/($K$7*卓尔金历!$N$40),0),卓尔金历!$M$43),0),1)</f>
        <v>1</v>
      </c>
      <c r="M663" s="4">
        <f>MIN(MAX(M662*(1+MAX(MIN(((B663-B662)/B662)/($K$7*30),0),-卓尔金历!$M$43))+MIN(MAX(((B663-B662)/B662)/($K$7*7),0),卓尔金历!$M$43),0),1)</f>
        <v>1</v>
      </c>
      <c r="N663">
        <f t="shared" si="43"/>
        <v>1.0675592196335881</v>
      </c>
      <c r="O663">
        <f t="shared" si="44"/>
        <v>1.0855568059550846</v>
      </c>
      <c r="P663">
        <f t="shared" si="45"/>
        <v>3.3042157235093121E-2</v>
      </c>
      <c r="Q663">
        <f t="shared" si="46"/>
        <v>9.3434539299817911E-3</v>
      </c>
      <c r="R663">
        <f t="shared" si="47"/>
        <v>0</v>
      </c>
      <c r="S663">
        <f t="shared" ref="S663:S726" si="49">S662*(1+(B663-B662)/B662*H662*R662)</f>
        <v>1.1002926743460517</v>
      </c>
      <c r="T663" s="564">
        <f>IF((I663-MAX(I$470:I663))/MAX(I$470:I663)&gt;T662,T662,(I663-MAX(I$470:I663))/MAX(I$470:I663))</f>
        <v>-0.13666535856332884</v>
      </c>
      <c r="U663" s="564">
        <f>IF((J663-MAX(J$470:J663))/MAX(J$470:J663)&gt;U662,U662,(J663-MAX(J$470:J663))/MAX(J$470:J663))</f>
        <v>-0.40648897885739943</v>
      </c>
      <c r="V663" s="564">
        <f>IF((K663-MAX(K$470:K663))/MAX(K$470:K663)&gt;V662,V662,(K663-MAX(K$470:K663))/MAX(K$470:K663))</f>
        <v>-0.68158456867950912</v>
      </c>
      <c r="W663" s="564">
        <f>IF((N663-MAX(N$470:N663))/MAX(N$470:N663)&gt;W662,W662,(N663-MAX(N$470:N663))/MAX(N$470:N663))</f>
        <v>-0.10311304065408976</v>
      </c>
      <c r="X663" s="564">
        <f>IF((O663-MAX(O$470:O663))/MAX(O$470:O663)&gt;X662,X662,(O663-MAX(O$470:O663))/MAX(O$470:O663))</f>
        <v>-0.12147101883973409</v>
      </c>
    </row>
    <row r="664" spans="1:24">
      <c r="A664" s="799">
        <v>41066</v>
      </c>
      <c r="B664">
        <v>5.46</v>
      </c>
      <c r="C664">
        <v>13.666351000000001</v>
      </c>
      <c r="D664">
        <v>1.1395189999999999</v>
      </c>
      <c r="E664">
        <f>LN(D664/参数实验室!$E$53)/参数实验室!$E$55</f>
        <v>-0.53888515442021734</v>
      </c>
      <c r="F664">
        <f t="shared" si="48"/>
        <v>2.5029946886446885</v>
      </c>
      <c r="G664">
        <f>LN(F664/参数实验室!$E$58)/参数实验室!$E$59</f>
        <v>0.29101720412856907</v>
      </c>
      <c r="H664" s="856">
        <f>INDEX(神经网络!$G$10:$BO$70,MATCH(ROUND(G664*2,1)/2,神经网络!$E$10:$E$70,0),MATCH(ROUND(E664*2,1)/2,神经网络!$G$8:$BO$8,0))</f>
        <v>0.25448419857839372</v>
      </c>
      <c r="I664">
        <f t="shared" ref="I664:I727" si="50">I663*(1+(B664-B663)/B663*H663)</f>
        <v>1.0669545703029277</v>
      </c>
      <c r="J664">
        <f t="shared" ref="J664:J727" si="51">J663*B664/B663</f>
        <v>2.17868401101313</v>
      </c>
      <c r="K664">
        <f t="shared" ref="K664:K727" si="52">I664/J664</f>
        <v>0.48972433125204479</v>
      </c>
      <c r="L664" s="4">
        <f>MIN(MAX(L663*(1+MAX(MIN(((B664-B663)/B663)/($K$7*卓尔金历!$N$40),0),-卓尔金历!$M$43))+MIN(MAX(((B664-B663)/B663)/($K$7*卓尔金历!$N$40),0),卓尔金历!$M$43),0),1)</f>
        <v>1</v>
      </c>
      <c r="M664" s="4">
        <f>MIN(MAX(M663*(1+MAX(MIN(((B664-B663)/B663)/($K$7*30),0),-卓尔金历!$M$43))+MIN(MAX(((B664-B663)/B663)/($K$7*7),0),卓尔金历!$M$43),0),1)</f>
        <v>1</v>
      </c>
      <c r="N664">
        <f t="shared" ref="N664:N727" si="53">N663*(1+(B664-B663)/B663*H663*L663)</f>
        <v>1.0685580319587478</v>
      </c>
      <c r="O664">
        <f t="shared" ref="O664:O727" si="54">O663*(1+(B664-B663)/B663*H663*M663)</f>
        <v>1.0865724568880801</v>
      </c>
      <c r="P664">
        <f t="shared" ref="P664:P727" si="55">(B664-B663)/B663</f>
        <v>3.6764705882352156E-3</v>
      </c>
      <c r="Q664">
        <f t="shared" si="46"/>
        <v>9.2142139194259457E-3</v>
      </c>
      <c r="R664">
        <f t="shared" si="47"/>
        <v>0.93672223433707391</v>
      </c>
      <c r="S664">
        <f t="shared" si="49"/>
        <v>1.1002926743460517</v>
      </c>
      <c r="T664" s="564">
        <f>IF((I664-MAX(I$470:I664))/MAX(I$470:I664)&gt;T663,T663,(I664-MAX(I$470:I664))/MAX(I$470:I664))</f>
        <v>-0.13666535856332884</v>
      </c>
      <c r="U664" s="564">
        <f>IF((J664-MAX(J$470:J664))/MAX(J$470:J664)&gt;U663,U663,(J664-MAX(J$470:J664))/MAX(J$470:J664))</f>
        <v>-0.40648897885739943</v>
      </c>
      <c r="V664" s="564">
        <f>IF((K664-MAX(K$470:K664))/MAX(K$470:K664)&gt;V663,V663,(K664-MAX(K$470:K664))/MAX(K$470:K664))</f>
        <v>-0.68158456867950912</v>
      </c>
      <c r="W664" s="564">
        <f>IF((N664-MAX(N$470:N664))/MAX(N$470:N664)&gt;W663,W663,(N664-MAX(N$470:N664))/MAX(N$470:N664))</f>
        <v>-0.10311304065408976</v>
      </c>
      <c r="X664" s="564">
        <f>IF((O664-MAX(O$470:O664))/MAX(O$470:O664)&gt;X663,X663,(O664-MAX(O$470:O664))/MAX(O$470:O664))</f>
        <v>-0.12147101883973409</v>
      </c>
    </row>
    <row r="665" spans="1:24">
      <c r="A665" s="799">
        <v>41067</v>
      </c>
      <c r="B665">
        <v>5.5910000000000002</v>
      </c>
      <c r="C665">
        <v>14.070296000000001</v>
      </c>
      <c r="D665">
        <v>1.167341</v>
      </c>
      <c r="E665">
        <f>LN(D665/参数实验室!$E$53)/参数实验室!$E$55</f>
        <v>-0.51042682895544911</v>
      </c>
      <c r="F665">
        <f t="shared" si="48"/>
        <v>2.516597388660347</v>
      </c>
      <c r="G665">
        <f>LN(F665/参数实验室!$E$58)/参数实验室!$E$59</f>
        <v>0.29386183750384076</v>
      </c>
      <c r="H665" s="856">
        <f>INDEX(神经网络!$G$10:$BO$70,MATCH(ROUND(G665*2,1)/2,神经网络!$E$10:$E$70,0),MATCH(ROUND(E665*2,1)/2,神经网络!$G$8:$BO$8,0))</f>
        <v>0.29712455972060947</v>
      </c>
      <c r="I665">
        <f t="shared" si="50"/>
        <v>1.0734691350126979</v>
      </c>
      <c r="J665">
        <f t="shared" si="51"/>
        <v>2.2309564662224197</v>
      </c>
      <c r="K665">
        <f t="shared" si="52"/>
        <v>0.48116991580313351</v>
      </c>
      <c r="L665" s="4">
        <f>MIN(MAX(L664*(1+MAX(MIN(((B665-B664)/B664)/($K$7*卓尔金历!$N$40),0),-卓尔金历!$M$43))+MIN(MAX(((B665-B664)/B664)/($K$7*卓尔金历!$N$40),0),卓尔金历!$M$43),0),1)</f>
        <v>1</v>
      </c>
      <c r="M665" s="4">
        <f>MIN(MAX(M664*(1+MAX(MIN(((B665-B664)/B664)/($K$7*30),0),-卓尔金历!$M$43))+MIN(MAX(((B665-B664)/B664)/($K$7*7),0),卓尔金历!$M$43),0),1)</f>
        <v>1</v>
      </c>
      <c r="N665">
        <f t="shared" si="53"/>
        <v>1.0750823870148056</v>
      </c>
      <c r="O665">
        <f t="shared" si="54"/>
        <v>1.0932068036346727</v>
      </c>
      <c r="P665">
        <f t="shared" si="55"/>
        <v>2.3992673992674036E-2</v>
      </c>
      <c r="Q665">
        <f t="shared" si="46"/>
        <v>1.0195245482324485E-2</v>
      </c>
      <c r="R665">
        <f t="shared" si="47"/>
        <v>1.3284403933886424E-3</v>
      </c>
      <c r="S665">
        <f t="shared" si="49"/>
        <v>1.1065856858352845</v>
      </c>
      <c r="T665" s="564">
        <f>IF((I665-MAX(I$470:I665))/MAX(I$470:I665)&gt;T664,T664,(I665-MAX(I$470:I665))/MAX(I$470:I665))</f>
        <v>-0.13666535856332884</v>
      </c>
      <c r="U665" s="564">
        <f>IF((J665-MAX(J$470:J665))/MAX(J$470:J665)&gt;U664,U664,(J665-MAX(J$470:J665))/MAX(J$470:J665))</f>
        <v>-0.40648897885739943</v>
      </c>
      <c r="V665" s="564">
        <f>IF((K665-MAX(K$470:K665))/MAX(K$470:K665)&gt;V664,V664,(K665-MAX(K$470:K665))/MAX(K$470:K665))</f>
        <v>-0.68158456867950912</v>
      </c>
      <c r="W665" s="564">
        <f>IF((N665-MAX(N$470:N665))/MAX(N$470:N665)&gt;W664,W664,(N665-MAX(N$470:N665))/MAX(N$470:N665))</f>
        <v>-0.10311304065408976</v>
      </c>
      <c r="X665" s="564">
        <f>IF((O665-MAX(O$470:O665))/MAX(O$470:O665)&gt;X664,X664,(O665-MAX(O$470:O665))/MAX(O$470:O665))</f>
        <v>-0.12147101883973409</v>
      </c>
    </row>
    <row r="666" spans="1:24">
      <c r="A666" s="799">
        <v>41068</v>
      </c>
      <c r="B666">
        <v>5.633</v>
      </c>
      <c r="C666">
        <v>14.364274</v>
      </c>
      <c r="D666">
        <v>1.173281</v>
      </c>
      <c r="E666">
        <f>LN(D666/参数实验室!$E$53)/参数实验室!$E$55</f>
        <v>-0.50443889129326358</v>
      </c>
      <c r="F666">
        <f t="shared" si="48"/>
        <v>2.5500220131368718</v>
      </c>
      <c r="G666">
        <f>LN(F666/参数实验室!$E$58)/参数实验室!$E$59</f>
        <v>0.30078689044586637</v>
      </c>
      <c r="H666" s="856">
        <f>INDEX(神经网络!$G$10:$BO$70,MATCH(ROUND(G666*2,1)/2,神经网络!$E$10:$E$70,0),MATCH(ROUND(E666*2,1)/2,神经网络!$G$8:$BO$8,0))</f>
        <v>0.29712455972060947</v>
      </c>
      <c r="I666">
        <f t="shared" si="50"/>
        <v>1.0758651410675719</v>
      </c>
      <c r="J666">
        <f t="shared" si="51"/>
        <v>2.2477155739994439</v>
      </c>
      <c r="K666">
        <f t="shared" si="52"/>
        <v>0.47864825670680611</v>
      </c>
      <c r="L666" s="4">
        <f>MIN(MAX(L665*(1+MAX(MIN(((B666-B665)/B665)/($K$7*卓尔金历!$N$40),0),-卓尔金历!$M$43))+MIN(MAX(((B666-B665)/B665)/($K$7*卓尔金历!$N$40),0),卓尔金历!$M$43),0),1)</f>
        <v>1</v>
      </c>
      <c r="M666" s="4">
        <f>MIN(MAX(M665*(1+MAX(MIN(((B666-B665)/B665)/($K$7*30),0),-卓尔金历!$M$43))+MIN(MAX(((B666-B665)/B665)/($K$7*7),0),卓尔金历!$M$43),0),1)</f>
        <v>1</v>
      </c>
      <c r="N666">
        <f t="shared" si="53"/>
        <v>1.0774819938826319</v>
      </c>
      <c r="O666">
        <f t="shared" si="54"/>
        <v>1.0956468645878059</v>
      </c>
      <c r="P666">
        <f t="shared" si="55"/>
        <v>7.5120729744231471E-3</v>
      </c>
      <c r="Q666">
        <f t="shared" si="46"/>
        <v>1.0213770250174573E-2</v>
      </c>
      <c r="R666">
        <f t="shared" si="47"/>
        <v>0.32055286174511916</v>
      </c>
      <c r="S666">
        <f t="shared" si="49"/>
        <v>1.106588966980639</v>
      </c>
      <c r="T666" s="564">
        <f>IF((I666-MAX(I$470:I666))/MAX(I$470:I666)&gt;T665,T665,(I666-MAX(I$470:I666))/MAX(I$470:I666))</f>
        <v>-0.13666535856332884</v>
      </c>
      <c r="U666" s="564">
        <f>IF((J666-MAX(J$470:J666))/MAX(J$470:J666)&gt;U665,U665,(J666-MAX(J$470:J666))/MAX(J$470:J666))</f>
        <v>-0.40648897885739943</v>
      </c>
      <c r="V666" s="564">
        <f>IF((K666-MAX(K$470:K666))/MAX(K$470:K666)&gt;V665,V665,(K666-MAX(K$470:K666))/MAX(K$470:K666))</f>
        <v>-0.68158456867950912</v>
      </c>
      <c r="W666" s="564">
        <f>IF((N666-MAX(N$470:N666))/MAX(N$470:N666)&gt;W665,W665,(N666-MAX(N$470:N666))/MAX(N$470:N666))</f>
        <v>-0.10311304065408976</v>
      </c>
      <c r="X666" s="564">
        <f>IF((O666-MAX(O$470:O666))/MAX(O$470:O666)&gt;X665,X665,(O666-MAX(O$470:O666))/MAX(O$470:O666))</f>
        <v>-0.12147101883973409</v>
      </c>
    </row>
    <row r="667" spans="1:24">
      <c r="A667" s="799">
        <v>41069</v>
      </c>
      <c r="B667">
        <v>5.56</v>
      </c>
      <c r="C667">
        <v>13.978847</v>
      </c>
      <c r="D667">
        <v>1.159065</v>
      </c>
      <c r="E667">
        <f>LN(D667/参数实验室!$E$53)/参数实验室!$E$55</f>
        <v>-0.51882061665582901</v>
      </c>
      <c r="F667">
        <f t="shared" si="48"/>
        <v>2.5141811151079136</v>
      </c>
      <c r="G667">
        <f>LN(F667/参数实验室!$E$58)/参数实验室!$E$59</f>
        <v>0.2933576646249299</v>
      </c>
      <c r="H667" s="856">
        <f>INDEX(神经网络!$G$10:$BO$70,MATCH(ROUND(G667*2,1)/2,神经网络!$E$10:$E$70,0),MATCH(ROUND(E667*2,1)/2,神经网络!$G$8:$BO$8,0))</f>
        <v>0.29712455972060947</v>
      </c>
      <c r="I667">
        <f t="shared" si="50"/>
        <v>1.0717224791087281</v>
      </c>
      <c r="J667">
        <f t="shared" si="51"/>
        <v>2.2185866485774732</v>
      </c>
      <c r="K667">
        <f t="shared" si="52"/>
        <v>0.48306541454934904</v>
      </c>
      <c r="L667" s="4">
        <f>MIN(MAX(L666*(1+MAX(MIN(((B667-B666)/B666)/($K$7*卓尔金历!$N$40),0),-卓尔金历!$M$43))+MIN(MAX(((B667-B666)/B666)/($K$7*卓尔金历!$N$40),0),卓尔金历!$M$43),0),1)</f>
        <v>0.80199361847319128</v>
      </c>
      <c r="M667" s="4">
        <f>MIN(MAX(M666*(1+MAX(MIN(((B667-B666)/B666)/($K$7*30),0),-卓尔金历!$M$43))+MIN(MAX(((B667-B666)/B666)/($K$7*7),0),卓尔金历!$M$43),0),1)</f>
        <v>0.90099680923659564</v>
      </c>
      <c r="N667">
        <f t="shared" si="53"/>
        <v>1.0733331061670512</v>
      </c>
      <c r="O667">
        <f t="shared" si="54"/>
        <v>1.0914280323076277</v>
      </c>
      <c r="P667">
        <f t="shared" si="55"/>
        <v>-1.2959346706905805E-2</v>
      </c>
      <c r="Q667">
        <f t="shared" si="46"/>
        <v>1.0752519609807863E-2</v>
      </c>
      <c r="R667">
        <f t="shared" si="47"/>
        <v>8.3070925062764082E-3</v>
      </c>
      <c r="S667">
        <f t="shared" si="49"/>
        <v>1.105223102364689</v>
      </c>
      <c r="T667" s="564">
        <f>IF((I667-MAX(I$470:I667))/MAX(I$470:I667)&gt;T666,T666,(I667-MAX(I$470:I667))/MAX(I$470:I667))</f>
        <v>-0.13666535856332884</v>
      </c>
      <c r="U667" s="564">
        <f>IF((J667-MAX(J$470:J667))/MAX(J$470:J667)&gt;U666,U666,(J667-MAX(J$470:J667))/MAX(J$470:J667))</f>
        <v>-0.40648897885739943</v>
      </c>
      <c r="V667" s="564">
        <f>IF((K667-MAX(K$470:K667))/MAX(K$470:K667)&gt;V666,V666,(K667-MAX(K$470:K667))/MAX(K$470:K667))</f>
        <v>-0.68158456867950912</v>
      </c>
      <c r="W667" s="564">
        <f>IF((N667-MAX(N$470:N667))/MAX(N$470:N667)&gt;W666,W666,(N667-MAX(N$470:N667))/MAX(N$470:N667))</f>
        <v>-0.10311304065408976</v>
      </c>
      <c r="X667" s="564">
        <f>IF((O667-MAX(O$470:O667))/MAX(O$470:O667)&gt;X666,X666,(O667-MAX(O$470:O667))/MAX(O$470:O667))</f>
        <v>-0.12147101883973409</v>
      </c>
    </row>
    <row r="668" spans="1:24">
      <c r="A668" s="799">
        <v>41070</v>
      </c>
      <c r="B668">
        <v>5.4683000000000002</v>
      </c>
      <c r="C668">
        <v>13.79219</v>
      </c>
      <c r="D668">
        <v>1.138271</v>
      </c>
      <c r="E668">
        <f>LN(D668/参数实验室!$E$53)/参数实验室!$E$55</f>
        <v>-0.54017792697238898</v>
      </c>
      <c r="F668">
        <f t="shared" si="48"/>
        <v>2.522207998829618</v>
      </c>
      <c r="G668">
        <f>LN(F668/参数实验室!$E$58)/参数实验室!$E$59</f>
        <v>0.29503066718550064</v>
      </c>
      <c r="H668" s="856">
        <f>INDEX(神经网络!$G$10:$BO$70,MATCH(ROUND(G668*2,1)/2,神经网络!$E$10:$E$70,0),MATCH(ROUND(E668*2,1)/2,神经网络!$G$8:$BO$8,0))</f>
        <v>0.25448419857839372</v>
      </c>
      <c r="I668">
        <f t="shared" si="50"/>
        <v>1.0664705913576706</v>
      </c>
      <c r="J668">
        <f t="shared" si="51"/>
        <v>2.181995929930971</v>
      </c>
      <c r="K668">
        <f t="shared" si="52"/>
        <v>0.48875920286038715</v>
      </c>
      <c r="L668" s="4">
        <f>MIN(MAX(L667*(1+MAX(MIN(((B668-B667)/B667)/($K$7*卓尔金历!$N$40),0),-卓尔金历!$M$43))+MIN(MAX(((B668-B667)/B667)/($K$7*卓尔金历!$N$40),0),卓尔金历!$M$43),0),1)</f>
        <v>0.59989584210666547</v>
      </c>
      <c r="M668" s="4">
        <f>MIN(MAX(M667*(1+MAX(MIN(((B668-B667)/B667)/($K$7*30),0),-卓尔金历!$M$43))+MIN(MAX(((B668-B667)/B667)/($K$7*7),0),卓尔金历!$M$43),0),1)</f>
        <v>0.7874738038997785</v>
      </c>
      <c r="N668">
        <f t="shared" si="53"/>
        <v>1.0691147957744334</v>
      </c>
      <c r="O668">
        <f t="shared" si="54"/>
        <v>1.0866090930475285</v>
      </c>
      <c r="P668">
        <f t="shared" si="55"/>
        <v>-1.6492805755395586E-2</v>
      </c>
      <c r="Q668">
        <f t="shared" si="46"/>
        <v>1.1564894856751188E-2</v>
      </c>
      <c r="R668">
        <f t="shared" si="47"/>
        <v>6.935912055368536E-3</v>
      </c>
      <c r="S668">
        <f t="shared" si="49"/>
        <v>1.1051781106964755</v>
      </c>
      <c r="T668" s="564">
        <f>IF((I668-MAX(I$470:I668))/MAX(I$470:I668)&gt;T667,T667,(I668-MAX(I$470:I668))/MAX(I$470:I668))</f>
        <v>-0.13666535856332884</v>
      </c>
      <c r="U668" s="564">
        <f>IF((J668-MAX(J$470:J668))/MAX(J$470:J668)&gt;U667,U667,(J668-MAX(J$470:J668))/MAX(J$470:J668))</f>
        <v>-0.40648897885739943</v>
      </c>
      <c r="V668" s="564">
        <f>IF((K668-MAX(K$470:K668))/MAX(K$470:K668)&gt;V667,V667,(K668-MAX(K$470:K668))/MAX(K$470:K668))</f>
        <v>-0.68158456867950912</v>
      </c>
      <c r="W668" s="564">
        <f>IF((N668-MAX(N$470:N668))/MAX(N$470:N668)&gt;W667,W667,(N668-MAX(N$470:N668))/MAX(N$470:N668))</f>
        <v>-0.10311304065408976</v>
      </c>
      <c r="X668" s="564">
        <f>IF((O668-MAX(O$470:O668))/MAX(O$470:O668)&gt;X667,X667,(O668-MAX(O$470:O668))/MAX(O$470:O668))</f>
        <v>-0.12147101883973409</v>
      </c>
    </row>
    <row r="669" spans="1:24">
      <c r="A669" s="799">
        <v>41071</v>
      </c>
      <c r="B669">
        <v>5.5747</v>
      </c>
      <c r="C669">
        <v>13.709645999999999</v>
      </c>
      <c r="D669">
        <v>1.1635819999999999</v>
      </c>
      <c r="E669">
        <f>LN(D669/参数实验室!$E$53)/参数实验室!$E$55</f>
        <v>-0.51423192786993022</v>
      </c>
      <c r="F669">
        <f t="shared" si="48"/>
        <v>2.4592616643048055</v>
      </c>
      <c r="G669">
        <f>LN(F669/参数实验室!$E$58)/参数实验室!$E$59</f>
        <v>0.28176574781072217</v>
      </c>
      <c r="H669" s="856">
        <f>INDEX(神经网络!$G$10:$BO$70,MATCH(ROUND(G669*2,1)/2,神经网络!$E$10:$E$70,0),MATCH(ROUND(E669*2,1)/2,神经网络!$G$8:$BO$8,0))</f>
        <v>0.29712455972060947</v>
      </c>
      <c r="I669">
        <f t="shared" si="50"/>
        <v>1.0717513826132532</v>
      </c>
      <c r="J669">
        <f t="shared" si="51"/>
        <v>2.2244523362994322</v>
      </c>
      <c r="K669">
        <f t="shared" si="52"/>
        <v>0.48180460652000473</v>
      </c>
      <c r="L669" s="4">
        <f>MIN(MAX(L668*(1+MAX(MIN(((B669-B668)/B668)/($K$7*卓尔金历!$N$40),0),-卓尔金历!$M$43))+MIN(MAX(((B669-B668)/B668)/($K$7*卓尔金历!$N$40),0),卓尔金历!$M$43),0),1)</f>
        <v>0.89718931458590312</v>
      </c>
      <c r="M669" s="4">
        <f>MIN(MAX(M668*(1+MAX(MIN(((B669-B668)/B668)/($K$7*30),0),-卓尔金历!$M$43))+MIN(MAX(((B669-B668)/B668)/($K$7*7),0),卓尔金历!$M$43),0),1)</f>
        <v>1</v>
      </c>
      <c r="N669">
        <f t="shared" si="53"/>
        <v>1.0722905750360139</v>
      </c>
      <c r="O669">
        <f t="shared" si="54"/>
        <v>1.0908461038092829</v>
      </c>
      <c r="P669">
        <f t="shared" si="55"/>
        <v>1.9457601082603335E-2</v>
      </c>
      <c r="Q669">
        <f t="shared" si="46"/>
        <v>1.2044962309705042E-2</v>
      </c>
      <c r="R669">
        <f t="shared" si="47"/>
        <v>6.0184720374481058E-3</v>
      </c>
      <c r="S669">
        <f t="shared" si="49"/>
        <v>1.1052160671798801</v>
      </c>
      <c r="T669" s="564">
        <f>IF((I669-MAX(I$470:I669))/MAX(I$470:I669)&gt;T668,T668,(I669-MAX(I$470:I669))/MAX(I$470:I669))</f>
        <v>-0.13666535856332884</v>
      </c>
      <c r="U669" s="564">
        <f>IF((J669-MAX(J$470:J669))/MAX(J$470:J669)&gt;U668,U668,(J669-MAX(J$470:J669))/MAX(J$470:J669))</f>
        <v>-0.40648897885739943</v>
      </c>
      <c r="V669" s="564">
        <f>IF((K669-MAX(K$470:K669))/MAX(K$470:K669)&gt;V668,V668,(K669-MAX(K$470:K669))/MAX(K$470:K669))</f>
        <v>-0.68158456867950912</v>
      </c>
      <c r="W669" s="564">
        <f>IF((N669-MAX(N$470:N669))/MAX(N$470:N669)&gt;W668,W668,(N669-MAX(N$470:N669))/MAX(N$470:N669))</f>
        <v>-0.10311304065408976</v>
      </c>
      <c r="X669" s="564">
        <f>IF((O669-MAX(O$470:O669))/MAX(O$470:O669)&gt;X668,X668,(O669-MAX(O$470:O669))/MAX(O$470:O669))</f>
        <v>-0.12147101883973409</v>
      </c>
    </row>
    <row r="670" spans="1:24">
      <c r="A670" s="799">
        <v>41072</v>
      </c>
      <c r="B670">
        <v>5.7</v>
      </c>
      <c r="C670">
        <v>13.593209999999999</v>
      </c>
      <c r="D670">
        <v>1.1907669999999999</v>
      </c>
      <c r="E670">
        <f>LN(D670/参数实验室!$E$53)/参数实验室!$E$55</f>
        <v>-0.48698616491453556</v>
      </c>
      <c r="F670">
        <f t="shared" si="48"/>
        <v>2.384773684210526</v>
      </c>
      <c r="G670">
        <f>LN(F670/参数实验室!$E$58)/参数实验室!$E$59</f>
        <v>0.26562284354543159</v>
      </c>
      <c r="H670" s="856">
        <f>INDEX(神经网络!$G$10:$BO$70,MATCH(ROUND(G670*2,1)/2,神经网络!$E$10:$E$70,0),MATCH(ROUND(E670*2,1)/2,神经网络!$G$8:$BO$8,0))</f>
        <v>0.22190711042171821</v>
      </c>
      <c r="I670">
        <f t="shared" si="50"/>
        <v>1.0789088960773718</v>
      </c>
      <c r="J670">
        <f t="shared" si="51"/>
        <v>2.2744503411675541</v>
      </c>
      <c r="K670">
        <f t="shared" si="52"/>
        <v>0.47436027797535057</v>
      </c>
      <c r="L670" s="4">
        <f>MIN(MAX(L669*(1+MAX(MIN(((B670-B669)/B669)/($K$7*卓尔金历!$N$40),0),-卓尔金历!$M$43))+MIN(MAX(((B670-B669)/B669)/($K$7*卓尔金历!$N$40),0),卓尔金历!$M$43),0),1)</f>
        <v>1</v>
      </c>
      <c r="M670" s="4">
        <f>MIN(MAX(M669*(1+MAX(MIN(((B670-B669)/B669)/($K$7*30),0),-卓尔金历!$M$43))+MIN(MAX(((B670-B669)/B669)/($K$7*7),0),卓尔金历!$M$43),0),1)</f>
        <v>1</v>
      </c>
      <c r="N670">
        <f t="shared" si="53"/>
        <v>1.0787154503302836</v>
      </c>
      <c r="O670">
        <f t="shared" si="54"/>
        <v>1.0981311381950176</v>
      </c>
      <c r="P670">
        <f t="shared" si="55"/>
        <v>2.2476545823093653E-2</v>
      </c>
      <c r="Q670">
        <f t="shared" si="46"/>
        <v>1.2595261167303974E-2</v>
      </c>
      <c r="R670">
        <f t="shared" si="47"/>
        <v>5.0691017636786892E-3</v>
      </c>
      <c r="S670">
        <f t="shared" si="49"/>
        <v>1.1052604895328071</v>
      </c>
      <c r="T670" s="564">
        <f>IF((I670-MAX(I$470:I670))/MAX(I$470:I670)&gt;T669,T669,(I670-MAX(I$470:I670))/MAX(I$470:I670))</f>
        <v>-0.13666535856332884</v>
      </c>
      <c r="U670" s="564">
        <f>IF((J670-MAX(J$470:J670))/MAX(J$470:J670)&gt;U669,U669,(J670-MAX(J$470:J670))/MAX(J$470:J670))</f>
        <v>-0.40648897885739943</v>
      </c>
      <c r="V670" s="564">
        <f>IF((K670-MAX(K$470:K670))/MAX(K$470:K670)&gt;V669,V669,(K670-MAX(K$470:K670))/MAX(K$470:K670))</f>
        <v>-0.68158456867950912</v>
      </c>
      <c r="W670" s="564">
        <f>IF((N670-MAX(N$470:N670))/MAX(N$470:N670)&gt;W669,W669,(N670-MAX(N$470:N670))/MAX(N$470:N670))</f>
        <v>-0.10311304065408976</v>
      </c>
      <c r="X670" s="564">
        <f>IF((O670-MAX(O$470:O670))/MAX(O$470:O670)&gt;X669,X669,(O670-MAX(O$470:O670))/MAX(O$470:O670))</f>
        <v>-0.12147101883973409</v>
      </c>
    </row>
    <row r="671" spans="1:24">
      <c r="A671" s="799">
        <v>41073</v>
      </c>
      <c r="B671">
        <v>5.9290000000000003</v>
      </c>
      <c r="C671">
        <v>13.524597999999999</v>
      </c>
      <c r="D671">
        <v>1.226316</v>
      </c>
      <c r="E671">
        <f>LN(D671/参数实验室!$E$53)/参数实验室!$E$55</f>
        <v>-0.45228146311224277</v>
      </c>
      <c r="F671">
        <f t="shared" si="48"/>
        <v>2.2810925957159722</v>
      </c>
      <c r="G671">
        <f>LN(F671/参数实验室!$E$58)/参数实验室!$E$59</f>
        <v>0.24229324314737127</v>
      </c>
      <c r="H671" s="856">
        <f>INDEX(神经网络!$G$10:$BO$70,MATCH(ROUND(G671*2,1)/2,神经网络!$E$10:$E$70,0),MATCH(ROUND(E671*2,1)/2,神经网络!$G$8:$BO$8,0))</f>
        <v>0.26324617921009685</v>
      </c>
      <c r="I671">
        <f t="shared" si="50"/>
        <v>1.0885276013787633</v>
      </c>
      <c r="J671">
        <f t="shared" si="51"/>
        <v>2.3658273811898995</v>
      </c>
      <c r="K671">
        <f t="shared" si="52"/>
        <v>0.46010440577084083</v>
      </c>
      <c r="L671" s="4">
        <f>MIN(MAX(L670*(1+MAX(MIN(((B671-B670)/B670)/($K$7*卓尔金历!$N$40),0),-卓尔金历!$M$43))+MIN(MAX(((B671-B670)/B670)/($K$7*卓尔金历!$N$40),0),卓尔金历!$M$43),0),1)</f>
        <v>1</v>
      </c>
      <c r="M671" s="4">
        <f>MIN(MAX(M670*(1+MAX(MIN(((B671-B670)/B670)/($K$7*30),0),-卓尔金历!$M$43))+MIN(MAX(((B671-B670)/B670)/($K$7*7),0),卓尔金历!$M$43),0),1)</f>
        <v>1</v>
      </c>
      <c r="N671">
        <f t="shared" si="53"/>
        <v>1.0883324310211542</v>
      </c>
      <c r="O671">
        <f t="shared" si="54"/>
        <v>1.1079212139270671</v>
      </c>
      <c r="P671">
        <f t="shared" si="55"/>
        <v>4.0175438596491246E-2</v>
      </c>
      <c r="Q671">
        <f t="shared" si="46"/>
        <v>1.461351117567977E-2</v>
      </c>
      <c r="R671">
        <f t="shared" si="47"/>
        <v>0</v>
      </c>
      <c r="S671">
        <f t="shared" si="49"/>
        <v>1.1053104386135719</v>
      </c>
      <c r="T671" s="564">
        <f>IF((I671-MAX(I$470:I671))/MAX(I$470:I671)&gt;T670,T670,(I671-MAX(I$470:I671))/MAX(I$470:I671))</f>
        <v>-0.13666535856332884</v>
      </c>
      <c r="U671" s="564">
        <f>IF((J671-MAX(J$470:J671))/MAX(J$470:J671)&gt;U670,U670,(J671-MAX(J$470:J671))/MAX(J$470:J671))</f>
        <v>-0.40648897885739943</v>
      </c>
      <c r="V671" s="564">
        <f>IF((K671-MAX(K$470:K671))/MAX(K$470:K671)&gt;V670,V670,(K671-MAX(K$470:K671))/MAX(K$470:K671))</f>
        <v>-0.68158456867950912</v>
      </c>
      <c r="W671" s="564">
        <f>IF((N671-MAX(N$470:N671))/MAX(N$470:N671)&gt;W670,W670,(N671-MAX(N$470:N671))/MAX(N$470:N671))</f>
        <v>-0.10311304065408976</v>
      </c>
      <c r="X671" s="564">
        <f>IF((O671-MAX(O$470:O671))/MAX(O$470:O671)&gt;X670,X670,(O671-MAX(O$470:O671))/MAX(O$470:O671))</f>
        <v>-0.12147101883973409</v>
      </c>
    </row>
    <row r="672" spans="1:24">
      <c r="A672" s="799">
        <v>41074</v>
      </c>
      <c r="B672">
        <v>5.9541000000000004</v>
      </c>
      <c r="C672">
        <v>13.316481</v>
      </c>
      <c r="D672">
        <v>1.2363230000000001</v>
      </c>
      <c r="E672">
        <f>LN(D672/参数实验室!$E$53)/参数实验室!$E$55</f>
        <v>-0.44269349208349223</v>
      </c>
      <c r="F672">
        <f t="shared" si="48"/>
        <v>2.2365229001864257</v>
      </c>
      <c r="G672">
        <f>LN(F672/参数实验室!$E$58)/参数实验室!$E$59</f>
        <v>0.23193674250176197</v>
      </c>
      <c r="H672" s="856">
        <f>INDEX(神经网络!$G$10:$BO$70,MATCH(ROUND(G672*2,1)/2,神经网络!$E$10:$E$70,0),MATCH(ROUND(E672*2,1)/2,神经网络!$G$8:$BO$8,0))</f>
        <v>0.26324617921009685</v>
      </c>
      <c r="I672">
        <f t="shared" si="50"/>
        <v>1.0897406935315539</v>
      </c>
      <c r="J672">
        <f t="shared" si="51"/>
        <v>2.3758429432185499</v>
      </c>
      <c r="K672">
        <f t="shared" si="52"/>
        <v>0.45867539209274677</v>
      </c>
      <c r="L672" s="4">
        <f>MIN(MAX(L671*(1+MAX(MIN(((B672-B671)/B671)/($K$7*卓尔金历!$N$40),0),-卓尔金历!$M$43))+MIN(MAX(((B672-B671)/B671)/($K$7*卓尔金历!$N$40),0),卓尔金历!$M$43),0),1)</f>
        <v>1</v>
      </c>
      <c r="M672" s="4">
        <f>MIN(MAX(M671*(1+MAX(MIN(((B672-B671)/B671)/($K$7*30),0),-卓尔金历!$M$43))+MIN(MAX(((B672-B671)/B671)/($K$7*7),0),卓尔金历!$M$43),0),1)</f>
        <v>1</v>
      </c>
      <c r="N672">
        <f t="shared" si="53"/>
        <v>1.0895453056694653</v>
      </c>
      <c r="O672">
        <f t="shared" si="54"/>
        <v>1.1091559189807769</v>
      </c>
      <c r="P672">
        <f t="shared" si="55"/>
        <v>4.2334289087536045E-3</v>
      </c>
      <c r="Q672">
        <f t="shared" si="46"/>
        <v>1.4423159065851015E-2</v>
      </c>
      <c r="R672">
        <f t="shared" si="47"/>
        <v>1</v>
      </c>
      <c r="S672">
        <f t="shared" si="49"/>
        <v>1.1053104386135719</v>
      </c>
      <c r="T672" s="564">
        <f>IF((I672-MAX(I$470:I672))/MAX(I$470:I672)&gt;T671,T671,(I672-MAX(I$470:I672))/MAX(I$470:I672))</f>
        <v>-0.13666535856332884</v>
      </c>
      <c r="U672" s="564">
        <f>IF((J672-MAX(J$470:J672))/MAX(J$470:J672)&gt;U671,U671,(J672-MAX(J$470:J672))/MAX(J$470:J672))</f>
        <v>-0.40648897885739943</v>
      </c>
      <c r="V672" s="564">
        <f>IF((K672-MAX(K$470:K672))/MAX(K$470:K672)&gt;V671,V671,(K672-MAX(K$470:K672))/MAX(K$470:K672))</f>
        <v>-0.68158456867950912</v>
      </c>
      <c r="W672" s="564">
        <f>IF((N672-MAX(N$470:N672))/MAX(N$470:N672)&gt;W671,W671,(N672-MAX(N$470:N672))/MAX(N$470:N672))</f>
        <v>-0.10311304065408976</v>
      </c>
      <c r="X672" s="564">
        <f>IF((O672-MAX(O$470:O672))/MAX(O$470:O672)&gt;X671,X671,(O672-MAX(O$470:O672))/MAX(O$470:O672))</f>
        <v>-0.12147101883973409</v>
      </c>
    </row>
    <row r="673" spans="1:24">
      <c r="A673" s="799">
        <v>41075</v>
      </c>
      <c r="B673">
        <v>6.5</v>
      </c>
      <c r="C673">
        <v>13.004251999999999</v>
      </c>
      <c r="D673">
        <v>1.34545</v>
      </c>
      <c r="E673">
        <f>LN(D673/参数实验室!$E$53)/参数实验室!$E$55</f>
        <v>-0.34290184856466399</v>
      </c>
      <c r="F673">
        <f t="shared" si="48"/>
        <v>2.0006541538461535</v>
      </c>
      <c r="G673">
        <f>LN(F673/参数实验室!$E$58)/参数实验室!$E$59</f>
        <v>0.17344271509143935</v>
      </c>
      <c r="H673" s="856">
        <f>INDEX(神经网络!$G$10:$BO$70,MATCH(ROUND(G673*2,1)/2,神经网络!$E$10:$E$70,0),MATCH(ROUND(E673*2,1)/2,神经网络!$G$8:$BO$8,0))</f>
        <v>0.18499472024526728</v>
      </c>
      <c r="I673">
        <f t="shared" si="50"/>
        <v>1.1160422963502956</v>
      </c>
      <c r="J673">
        <f t="shared" si="51"/>
        <v>2.5936714416822988</v>
      </c>
      <c r="K673">
        <f t="shared" si="52"/>
        <v>0.43029439982822648</v>
      </c>
      <c r="L673" s="4">
        <f>MIN(MAX(L672*(1+MAX(MIN(((B673-B672)/B672)/($K$7*卓尔金历!$N$40),0),-卓尔金历!$M$43))+MIN(MAX(((B673-B672)/B672)/($K$7*卓尔金历!$N$40),0),卓尔金历!$M$43),0),1)</f>
        <v>1</v>
      </c>
      <c r="M673" s="4">
        <f>MIN(MAX(M672*(1+MAX(MIN(((B673-B672)/B672)/($K$7*30),0),-卓尔金历!$M$43))+MIN(MAX(((B673-B672)/B672)/($K$7*7),0),卓尔金历!$M$43),0),1)</f>
        <v>1</v>
      </c>
      <c r="N673">
        <f t="shared" si="53"/>
        <v>1.1158421926746425</v>
      </c>
      <c r="O673">
        <f t="shared" si="54"/>
        <v>1.1359261209363893</v>
      </c>
      <c r="P673">
        <f t="shared" si="55"/>
        <v>9.1684721452444468E-2</v>
      </c>
      <c r="Q673">
        <f t="shared" si="46"/>
        <v>2.3015692741197979E-2</v>
      </c>
      <c r="R673">
        <f t="shared" si="47"/>
        <v>0</v>
      </c>
      <c r="S673">
        <f t="shared" si="49"/>
        <v>1.1319878273909063</v>
      </c>
      <c r="T673" s="564">
        <f>IF((I673-MAX(I$470:I673))/MAX(I$470:I673)&gt;T672,T672,(I673-MAX(I$470:I673))/MAX(I$470:I673))</f>
        <v>-0.13666535856332884</v>
      </c>
      <c r="U673" s="564">
        <f>IF((J673-MAX(J$470:J673))/MAX(J$470:J673)&gt;U672,U672,(J673-MAX(J$470:J673))/MAX(J$470:J673))</f>
        <v>-0.40648897885739943</v>
      </c>
      <c r="V673" s="564">
        <f>IF((K673-MAX(K$470:K673))/MAX(K$470:K673)&gt;V672,V672,(K673-MAX(K$470:K673))/MAX(K$470:K673))</f>
        <v>-0.68158456867950912</v>
      </c>
      <c r="W673" s="564">
        <f>IF((N673-MAX(N$470:N673))/MAX(N$470:N673)&gt;W672,W672,(N673-MAX(N$470:N673))/MAX(N$470:N673))</f>
        <v>-0.10311304065408976</v>
      </c>
      <c r="X673" s="564">
        <f>IF((O673-MAX(O$470:O673))/MAX(O$470:O673)&gt;X672,X672,(O673-MAX(O$470:O673))/MAX(O$470:O673))</f>
        <v>-0.12147101883973409</v>
      </c>
    </row>
    <row r="674" spans="1:24">
      <c r="A674" s="799">
        <v>41076</v>
      </c>
      <c r="B674">
        <v>6.4</v>
      </c>
      <c r="C674">
        <v>12.68404</v>
      </c>
      <c r="D674">
        <v>1.3265070000000001</v>
      </c>
      <c r="E674">
        <f>LN(D674/参数实验室!$E$53)/参数实验室!$E$55</f>
        <v>-0.35962999211662677</v>
      </c>
      <c r="F674">
        <f t="shared" si="48"/>
        <v>1.9818812499999998</v>
      </c>
      <c r="G674">
        <f>LN(F674/参数实验室!$E$58)/参数实验室!$E$59</f>
        <v>0.16849455696405011</v>
      </c>
      <c r="H674" s="856">
        <f>INDEX(神经网络!$G$10:$BO$70,MATCH(ROUND(G674*2,1)/2,神经网络!$E$10:$E$70,0),MATCH(ROUND(E674*2,1)/2,神经网络!$G$8:$BO$8,0))</f>
        <v>0.18499472024526728</v>
      </c>
      <c r="I674">
        <f t="shared" si="50"/>
        <v>1.112865958928831</v>
      </c>
      <c r="J674">
        <f t="shared" si="51"/>
        <v>2.5537688041179556</v>
      </c>
      <c r="K674">
        <f t="shared" si="52"/>
        <v>0.43577396557367809</v>
      </c>
      <c r="L674" s="4">
        <f>MIN(MAX(L673*(1+MAX(MIN(((B674-B673)/B673)/($K$7*卓尔金历!$N$40),0),-卓尔金历!$M$43))+MIN(MAX(((B674-B673)/B673)/($K$7*卓尔金历!$N$40),0),卓尔金历!$M$43),0),1)</f>
        <v>0.76493784043403523</v>
      </c>
      <c r="M674" s="4">
        <f>MIN(MAX(M673*(1+MAX(MIN(((B674-B673)/B673)/($K$7*30),0),-卓尔金历!$M$43))+MIN(MAX(((B674-B673)/B673)/($K$7*7),0),卓尔金历!$M$43),0),1)</f>
        <v>0.88246892021701762</v>
      </c>
      <c r="N674">
        <f t="shared" si="53"/>
        <v>1.11266642476277</v>
      </c>
      <c r="O674">
        <f t="shared" si="54"/>
        <v>1.1326931927062061</v>
      </c>
      <c r="P674">
        <f t="shared" si="55"/>
        <v>-1.538461538461533E-2</v>
      </c>
      <c r="Q674">
        <f t="shared" si="46"/>
        <v>2.3355225467117921E-2</v>
      </c>
      <c r="R674">
        <f t="shared" si="47"/>
        <v>0.45007639544296252</v>
      </c>
      <c r="S674">
        <f t="shared" si="49"/>
        <v>1.1319878273909063</v>
      </c>
      <c r="T674" s="564">
        <f>IF((I674-MAX(I$470:I674))/MAX(I$470:I674)&gt;T673,T673,(I674-MAX(I$470:I674))/MAX(I$470:I674))</f>
        <v>-0.13666535856332884</v>
      </c>
      <c r="U674" s="564">
        <f>IF((J674-MAX(J$470:J674))/MAX(J$470:J674)&gt;U673,U673,(J674-MAX(J$470:J674))/MAX(J$470:J674))</f>
        <v>-0.40648897885739943</v>
      </c>
      <c r="V674" s="564">
        <f>IF((K674-MAX(K$470:K674))/MAX(K$470:K674)&gt;V673,V673,(K674-MAX(K$470:K674))/MAX(K$470:K674))</f>
        <v>-0.68158456867950912</v>
      </c>
      <c r="W674" s="564">
        <f>IF((N674-MAX(N$470:N674))/MAX(N$470:N674)&gt;W673,W673,(N674-MAX(N$470:N674))/MAX(N$470:N674))</f>
        <v>-0.10311304065408976</v>
      </c>
      <c r="X674" s="564">
        <f>IF((O674-MAX(O$470:O674))/MAX(O$470:O674)&gt;X673,X673,(O674-MAX(O$470:O674))/MAX(O$470:O674))</f>
        <v>-0.12147101883973409</v>
      </c>
    </row>
    <row r="675" spans="1:24">
      <c r="A675" s="799">
        <v>41077</v>
      </c>
      <c r="B675">
        <v>6.1638000000000002</v>
      </c>
      <c r="C675">
        <v>12.556330000000001</v>
      </c>
      <c r="D675">
        <v>1.2748159999999999</v>
      </c>
      <c r="E675">
        <f>LN(D675/参数实验室!$E$53)/参数实验室!$E$55</f>
        <v>-0.40652201847051278</v>
      </c>
      <c r="F675">
        <f t="shared" si="48"/>
        <v>2.0371086018365294</v>
      </c>
      <c r="G675">
        <f>LN(F675/参数实验室!$E$58)/参数实验室!$E$59</f>
        <v>0.18292013388014852</v>
      </c>
      <c r="H675" s="856">
        <f>INDEX(神经网络!$G$10:$BO$70,MATCH(ROUND(G675*2,1)/2,神经网络!$E$10:$E$70,0),MATCH(ROUND(E675*2,1)/2,神经网络!$G$8:$BO$8,0))</f>
        <v>0.22762852285656679</v>
      </c>
      <c r="I675">
        <f t="shared" si="50"/>
        <v>1.1052679095574898</v>
      </c>
      <c r="J675">
        <f t="shared" si="51"/>
        <v>2.4595187741909772</v>
      </c>
      <c r="K675">
        <f t="shared" si="52"/>
        <v>0.44938380676563511</v>
      </c>
      <c r="L675" s="4">
        <f>MIN(MAX(L674*(1+MAX(MIN(((B675-B674)/B674)/($K$7*卓尔金历!$N$40),0),-卓尔金历!$M$43))+MIN(MAX(((B675-B674)/B674)/($K$7*卓尔金历!$N$40),0),卓尔金历!$M$43),0),1)</f>
        <v>0.3335954476744214</v>
      </c>
      <c r="M675" s="4">
        <f>MIN(MAX(M674*(1+MAX(MIN(((B675-B674)/B674)/($K$7*30),0),-卓尔金历!$M$43))+MIN(MAX(((B675-B674)/B674)/($K$7*7),0),卓尔金历!$M$43),0),1)</f>
        <v>0.63366030109679106</v>
      </c>
      <c r="N675">
        <f t="shared" si="53"/>
        <v>1.1068554313690033</v>
      </c>
      <c r="O675">
        <f t="shared" si="54"/>
        <v>1.1258686907524142</v>
      </c>
      <c r="P675">
        <f t="shared" si="55"/>
        <v>-3.6906250000000029E-2</v>
      </c>
      <c r="Q675">
        <f t="shared" si="46"/>
        <v>2.5496160986641619E-2</v>
      </c>
      <c r="R675">
        <f t="shared" si="47"/>
        <v>1.4717224746033595E-2</v>
      </c>
      <c r="S675">
        <f t="shared" si="49"/>
        <v>1.1285093655253204</v>
      </c>
      <c r="T675" s="564">
        <f>IF((I675-MAX(I$470:I675))/MAX(I$470:I675)&gt;T674,T674,(I675-MAX(I$470:I675))/MAX(I$470:I675))</f>
        <v>-0.13666535856332884</v>
      </c>
      <c r="U675" s="564">
        <f>IF((J675-MAX(J$470:J675))/MAX(J$470:J675)&gt;U674,U674,(J675-MAX(J$470:J675))/MAX(J$470:J675))</f>
        <v>-0.40648897885739943</v>
      </c>
      <c r="V675" s="564">
        <f>IF((K675-MAX(K$470:K675))/MAX(K$470:K675)&gt;V674,V674,(K675-MAX(K$470:K675))/MAX(K$470:K675))</f>
        <v>-0.68158456867950912</v>
      </c>
      <c r="W675" s="564">
        <f>IF((N675-MAX(N$470:N675))/MAX(N$470:N675)&gt;W674,W674,(N675-MAX(N$470:N675))/MAX(N$470:N675))</f>
        <v>-0.10311304065408976</v>
      </c>
      <c r="X675" s="564">
        <f>IF((O675-MAX(O$470:O675))/MAX(O$470:O675)&gt;X674,X674,(O675-MAX(O$470:O675))/MAX(O$470:O675))</f>
        <v>-0.12147101883973409</v>
      </c>
    </row>
    <row r="676" spans="1:24">
      <c r="A676" s="799">
        <v>41078</v>
      </c>
      <c r="B676">
        <v>6.31</v>
      </c>
      <c r="C676">
        <v>12.373628999999999</v>
      </c>
      <c r="D676">
        <v>1.2962419999999999</v>
      </c>
      <c r="E676">
        <f>LN(D676/参数实验室!$E$53)/参数实验室!$E$55</f>
        <v>-0.38685853504634171</v>
      </c>
      <c r="F676">
        <f t="shared" si="48"/>
        <v>1.9609554675118859</v>
      </c>
      <c r="G676">
        <f>LN(F676/参数实验室!$E$58)/参数实验室!$E$59</f>
        <v>0.16292339820063914</v>
      </c>
      <c r="H676" s="856">
        <f>INDEX(神经网络!$G$10:$BO$70,MATCH(ROUND(G676*2,1)/2,神经网络!$E$10:$E$70,0),MATCH(ROUND(E676*2,1)/2,神经网络!$G$8:$BO$8,0))</f>
        <v>0.14118655613826064</v>
      </c>
      <c r="I676">
        <f t="shared" si="50"/>
        <v>1.1112354184539286</v>
      </c>
      <c r="J676">
        <f t="shared" si="51"/>
        <v>2.5178564303100464</v>
      </c>
      <c r="K676">
        <f t="shared" si="52"/>
        <v>0.44134185137676502</v>
      </c>
      <c r="L676" s="4">
        <f>MIN(MAX(L675*(1+MAX(MIN(((B676-B675)/B675)/($K$7*卓尔金历!$N$40),0),-卓尔金历!$M$43))+MIN(MAX(((B676-B675)/B675)/($K$7*卓尔金历!$N$40),0),卓尔金历!$M$43),0),1)</f>
        <v>0.6960010582320908</v>
      </c>
      <c r="M676" s="4">
        <f>MIN(MAX(M675*(1+MAX(MIN(((B676-B675)/B675)/($K$7*30),0),-卓尔金历!$M$43))+MIN(MAX(((B676-B675)/B675)/($K$7*7),0),卓尔金历!$M$43),0),1)</f>
        <v>1</v>
      </c>
      <c r="N676">
        <f t="shared" si="53"/>
        <v>1.1088490245077238</v>
      </c>
      <c r="O676">
        <f t="shared" si="54"/>
        <v>1.1297205442053126</v>
      </c>
      <c r="P676">
        <f t="shared" si="55"/>
        <v>2.3719134300269222E-2</v>
      </c>
      <c r="Q676">
        <f t="shared" si="46"/>
        <v>2.5584971802260128E-2</v>
      </c>
      <c r="R676">
        <f t="shared" si="47"/>
        <v>0.10314987168757997</v>
      </c>
      <c r="S676">
        <f t="shared" si="49"/>
        <v>1.1285990374732424</v>
      </c>
      <c r="T676" s="564">
        <f>IF((I676-MAX(I$470:I676))/MAX(I$470:I676)&gt;T675,T675,(I676-MAX(I$470:I676))/MAX(I$470:I676))</f>
        <v>-0.13666535856332884</v>
      </c>
      <c r="U676" s="564">
        <f>IF((J676-MAX(J$470:J676))/MAX(J$470:J676)&gt;U675,U675,(J676-MAX(J$470:J676))/MAX(J$470:J676))</f>
        <v>-0.40648897885739943</v>
      </c>
      <c r="V676" s="564">
        <f>IF((K676-MAX(K$470:K676))/MAX(K$470:K676)&gt;V675,V675,(K676-MAX(K$470:K676))/MAX(K$470:K676))</f>
        <v>-0.68158456867950912</v>
      </c>
      <c r="W676" s="564">
        <f>IF((N676-MAX(N$470:N676))/MAX(N$470:N676)&gt;W675,W675,(N676-MAX(N$470:N676))/MAX(N$470:N676))</f>
        <v>-0.10311304065408976</v>
      </c>
      <c r="X676" s="564">
        <f>IF((O676-MAX(O$470:O676))/MAX(O$470:O676)&gt;X675,X675,(O676-MAX(O$470:O676))/MAX(O$470:O676))</f>
        <v>-0.12147101883973409</v>
      </c>
    </row>
    <row r="677" spans="1:24">
      <c r="A677" s="799">
        <v>41079</v>
      </c>
      <c r="B677">
        <v>6.4988000000000001</v>
      </c>
      <c r="C677">
        <v>12.330622999999999</v>
      </c>
      <c r="D677">
        <v>1.3320730000000001</v>
      </c>
      <c r="E677">
        <f>LN(D677/参数实验室!$E$53)/参数实验室!$E$55</f>
        <v>-0.35469012485667406</v>
      </c>
      <c r="F677">
        <f t="shared" si="48"/>
        <v>1.897369206622761</v>
      </c>
      <c r="G677">
        <f>LN(F677/参数实验室!$E$58)/参数实验室!$E$59</f>
        <v>0.14562235133022955</v>
      </c>
      <c r="H677" s="856">
        <f>INDEX(神经网络!$G$10:$BO$70,MATCH(ROUND(G677*2,1)/2,神经网络!$E$10:$E$70,0),MATCH(ROUND(E677*2,1)/2,神经网络!$G$8:$BO$8,0))</f>
        <v>0.18499472024526728</v>
      </c>
      <c r="I677">
        <f t="shared" si="50"/>
        <v>1.1159297315344392</v>
      </c>
      <c r="J677">
        <f t="shared" si="51"/>
        <v>2.5931926100315263</v>
      </c>
      <c r="K677">
        <f t="shared" si="52"/>
        <v>0.4303304456512671</v>
      </c>
      <c r="L677" s="4">
        <f>MIN(MAX(L676*(1+MAX(MIN(((B677-B676)/B676)/($K$7*卓尔金历!$N$40),0),-卓尔金历!$M$43))+MIN(MAX(((B677-B676)/B676)/($K$7*卓尔金历!$N$40),0),卓尔金历!$M$43),0),1)</f>
        <v>1</v>
      </c>
      <c r="M677" s="4">
        <f>MIN(MAX(M676*(1+MAX(MIN(((B677-B676)/B676)/($K$7*30),0),-卓尔金历!$M$43))+MIN(MAX(((B677-B676)/B676)/($K$7*7),0),卓尔金历!$M$43),0),1)</f>
        <v>1</v>
      </c>
      <c r="N677">
        <f t="shared" si="53"/>
        <v>1.1121092549200697</v>
      </c>
      <c r="O677">
        <f t="shared" si="54"/>
        <v>1.1344929460203692</v>
      </c>
      <c r="P677">
        <f t="shared" si="55"/>
        <v>2.9920760697305947E-2</v>
      </c>
      <c r="Q677">
        <f t="shared" si="46"/>
        <v>2.5862730604639377E-2</v>
      </c>
      <c r="R677">
        <f t="shared" si="47"/>
        <v>2.1855971946739532E-2</v>
      </c>
      <c r="S677">
        <f t="shared" si="49"/>
        <v>1.1290908214146185</v>
      </c>
      <c r="T677" s="564">
        <f>IF((I677-MAX(I$470:I677))/MAX(I$470:I677)&gt;T676,T676,(I677-MAX(I$470:I677))/MAX(I$470:I677))</f>
        <v>-0.13666535856332884</v>
      </c>
      <c r="U677" s="564">
        <f>IF((J677-MAX(J$470:J677))/MAX(J$470:J677)&gt;U676,U676,(J677-MAX(J$470:J677))/MAX(J$470:J677))</f>
        <v>-0.40648897885739943</v>
      </c>
      <c r="V677" s="564">
        <f>IF((K677-MAX(K$470:K677))/MAX(K$470:K677)&gt;V676,V676,(K677-MAX(K$470:K677))/MAX(K$470:K677))</f>
        <v>-0.68158456867950912</v>
      </c>
      <c r="W677" s="564">
        <f>IF((N677-MAX(N$470:N677))/MAX(N$470:N677)&gt;W676,W676,(N677-MAX(N$470:N677))/MAX(N$470:N677))</f>
        <v>-0.10311304065408976</v>
      </c>
      <c r="X677" s="564">
        <f>IF((O677-MAX(O$470:O677))/MAX(O$470:O677)&gt;X676,X676,(O677-MAX(O$470:O677))/MAX(O$470:O677))</f>
        <v>-0.12147101883973409</v>
      </c>
    </row>
    <row r="678" spans="1:24">
      <c r="A678" s="799">
        <v>41080</v>
      </c>
      <c r="B678">
        <v>6.67</v>
      </c>
      <c r="C678">
        <v>12.204122999999999</v>
      </c>
      <c r="D678">
        <v>1.3714869999999999</v>
      </c>
      <c r="E678">
        <f>LN(D678/参数实验室!$E$53)/参数实验室!$E$55</f>
        <v>-0.32028949089694791</v>
      </c>
      <c r="F678">
        <f t="shared" si="48"/>
        <v>1.8297035982008993</v>
      </c>
      <c r="G678">
        <f>LN(F678/参数实验室!$E$58)/参数实验室!$E$59</f>
        <v>0.1265626373005263</v>
      </c>
      <c r="H678" s="856">
        <f>INDEX(神经网络!$G$10:$BO$70,MATCH(ROUND(G678*2,1)/2,神经网络!$E$10:$E$70,0),MATCH(ROUND(E678*2,1)/2,神经网络!$G$8:$BO$8,0))</f>
        <v>0.23037313709731622</v>
      </c>
      <c r="I678">
        <f t="shared" si="50"/>
        <v>1.1213680767327772</v>
      </c>
      <c r="J678">
        <f t="shared" si="51"/>
        <v>2.6615059255416815</v>
      </c>
      <c r="K678">
        <f t="shared" si="52"/>
        <v>0.421328416356823</v>
      </c>
      <c r="L678" s="4">
        <f>MIN(MAX(L677*(1+MAX(MIN(((B678-B677)/B677)/($K$7*卓尔金历!$N$40),0),-卓尔金历!$M$43))+MIN(MAX(((B678-B677)/B677)/($K$7*卓尔金历!$N$40),0),卓尔金历!$M$43),0),1)</f>
        <v>1</v>
      </c>
      <c r="M678" s="4">
        <f>MIN(MAX(M677*(1+MAX(MIN(((B678-B677)/B677)/($K$7*30),0),-卓尔金历!$M$43))+MIN(MAX(((B678-B677)/B677)/($K$7*7),0),卓尔金历!$M$43),0),1)</f>
        <v>1</v>
      </c>
      <c r="N678">
        <f t="shared" si="53"/>
        <v>1.1175289814992742</v>
      </c>
      <c r="O678">
        <f t="shared" si="54"/>
        <v>1.1400217567431148</v>
      </c>
      <c r="P678">
        <f t="shared" si="55"/>
        <v>2.6343324921523942E-2</v>
      </c>
      <c r="Q678">
        <f t="shared" si="46"/>
        <v>2.5838734163439358E-2</v>
      </c>
      <c r="R678">
        <f t="shared" si="47"/>
        <v>2.5362539472110406E-2</v>
      </c>
      <c r="S678">
        <f t="shared" si="49"/>
        <v>1.1292110835535807</v>
      </c>
      <c r="T678" s="564">
        <f>IF((I678-MAX(I$470:I678))/MAX(I$470:I678)&gt;T677,T677,(I678-MAX(I$470:I678))/MAX(I$470:I678))</f>
        <v>-0.13666535856332884</v>
      </c>
      <c r="U678" s="564">
        <f>IF((J678-MAX(J$470:J678))/MAX(J$470:J678)&gt;U677,U677,(J678-MAX(J$470:J678))/MAX(J$470:J678))</f>
        <v>-0.40648897885739943</v>
      </c>
      <c r="V678" s="564">
        <f>IF((K678-MAX(K$470:K678))/MAX(K$470:K678)&gt;V677,V677,(K678-MAX(K$470:K678))/MAX(K$470:K678))</f>
        <v>-0.68158456867950912</v>
      </c>
      <c r="W678" s="564">
        <f>IF((N678-MAX(N$470:N678))/MAX(N$470:N678)&gt;W677,W677,(N678-MAX(N$470:N678))/MAX(N$470:N678))</f>
        <v>-0.10311304065408976</v>
      </c>
      <c r="X678" s="564">
        <f>IF((O678-MAX(O$470:O678))/MAX(O$470:O678)&gt;X677,X677,(O678-MAX(O$470:O678))/MAX(O$470:O678))</f>
        <v>-0.12147101883973409</v>
      </c>
    </row>
    <row r="679" spans="1:24">
      <c r="A679" s="799">
        <v>41081</v>
      </c>
      <c r="B679">
        <v>6.6801000000000004</v>
      </c>
      <c r="C679">
        <v>12.061264</v>
      </c>
      <c r="D679">
        <v>1.365073</v>
      </c>
      <c r="E679">
        <f>LN(D679/参数实验室!$E$53)/参数实验室!$E$55</f>
        <v>-0.32581975602043844</v>
      </c>
      <c r="F679">
        <f t="shared" si="48"/>
        <v>1.8055514139009894</v>
      </c>
      <c r="G679">
        <f>LN(F679/参数实验室!$E$58)/参数实验室!$E$59</f>
        <v>0.11958840409922944</v>
      </c>
      <c r="H679" s="856">
        <f>INDEX(神经网络!$G$10:$BO$70,MATCH(ROUND(G679*2,1)/2,神经网络!$E$10:$E$70,0),MATCH(ROUND(E679*2,1)/2,神经网络!$G$8:$BO$8,0))</f>
        <v>9.7507030636899888E-2</v>
      </c>
      <c r="I679">
        <f t="shared" si="50"/>
        <v>1.1217592557620044</v>
      </c>
      <c r="J679">
        <f t="shared" si="51"/>
        <v>2.6655360919356808</v>
      </c>
      <c r="K679">
        <f t="shared" si="52"/>
        <v>0.42083814177409851</v>
      </c>
      <c r="L679" s="4">
        <f>MIN(MAX(L678*(1+MAX(MIN(((B679-B678)/B678)/($K$7*卓尔金历!$N$40),0),-卓尔金历!$M$43))+MIN(MAX(((B679-B678)/B678)/($K$7*卓尔金历!$N$40),0),卓尔金历!$M$43),0),1)</f>
        <v>1</v>
      </c>
      <c r="M679" s="4">
        <f>MIN(MAX(M678*(1+MAX(MIN(((B679-B678)/B678)/($K$7*30),0),-卓尔金历!$M$43))+MIN(MAX(((B679-B678)/B678)/($K$7*7),0),卓尔金历!$M$43),0),1)</f>
        <v>1</v>
      </c>
      <c r="N679">
        <f t="shared" si="53"/>
        <v>1.117918821295133</v>
      </c>
      <c r="O679">
        <f t="shared" si="54"/>
        <v>1.1404194429385341</v>
      </c>
      <c r="P679">
        <f t="shared" si="55"/>
        <v>1.5142428785607858E-3</v>
      </c>
      <c r="Q679">
        <f t="shared" si="46"/>
        <v>2.5939481171822345E-2</v>
      </c>
      <c r="R679">
        <f t="shared" si="47"/>
        <v>1</v>
      </c>
      <c r="S679">
        <f t="shared" si="49"/>
        <v>1.1292210742380797</v>
      </c>
      <c r="T679" s="564">
        <f>IF((I679-MAX(I$470:I679))/MAX(I$470:I679)&gt;T678,T678,(I679-MAX(I$470:I679))/MAX(I$470:I679))</f>
        <v>-0.13666535856332884</v>
      </c>
      <c r="U679" s="564">
        <f>IF((J679-MAX(J$470:J679))/MAX(J$470:J679)&gt;U678,U678,(J679-MAX(J$470:J679))/MAX(J$470:J679))</f>
        <v>-0.40648897885739943</v>
      </c>
      <c r="V679" s="564">
        <f>IF((K679-MAX(K$470:K679))/MAX(K$470:K679)&gt;V678,V678,(K679-MAX(K$470:K679))/MAX(K$470:K679))</f>
        <v>-0.68158456867950912</v>
      </c>
      <c r="W679" s="564">
        <f>IF((N679-MAX(N$470:N679))/MAX(N$470:N679)&gt;W678,W678,(N679-MAX(N$470:N679))/MAX(N$470:N679))</f>
        <v>-0.10311304065408976</v>
      </c>
      <c r="X679" s="564">
        <f>IF((O679-MAX(O$470:O679))/MAX(O$470:O679)&gt;X678,X678,(O679-MAX(O$470:O679))/MAX(O$470:O679))</f>
        <v>-0.12147101883973409</v>
      </c>
    </row>
    <row r="680" spans="1:24">
      <c r="A680" s="799">
        <v>41082</v>
      </c>
      <c r="B680">
        <v>6.5477999999999996</v>
      </c>
      <c r="C680">
        <v>12.026237</v>
      </c>
      <c r="D680">
        <v>1.3408059999999999</v>
      </c>
      <c r="E680">
        <f>LN(D680/参数实验室!$E$53)/参数实验室!$E$55</f>
        <v>-0.34698096799575778</v>
      </c>
      <c r="F680">
        <f t="shared" si="48"/>
        <v>1.8366836189254407</v>
      </c>
      <c r="G680">
        <f>LN(F680/参数实验室!$E$58)/参数实验室!$E$59</f>
        <v>0.12856106043868218</v>
      </c>
      <c r="H680" s="856">
        <f>INDEX(神经网络!$G$10:$BO$70,MATCH(ROUND(G680*2,1)/2,神经网络!$E$10:$E$70,0),MATCH(ROUND(E680*2,1)/2,神经网络!$G$8:$BO$8,0))</f>
        <v>0.18499472024526728</v>
      </c>
      <c r="I680">
        <f t="shared" si="50"/>
        <v>1.1195929863217386</v>
      </c>
      <c r="J680">
        <f t="shared" si="51"/>
        <v>2.6127449024380547</v>
      </c>
      <c r="K680">
        <f t="shared" si="52"/>
        <v>0.42851216943414666</v>
      </c>
      <c r="L680" s="4">
        <f>MIN(MAX(L679*(1+MAX(MIN(((B680-B679)/B679)/($K$7*卓尔金历!$N$40),0),-卓尔金历!$M$43))+MIN(MAX(((B680-B679)/B679)/($K$7*卓尔金历!$N$40),0),卓尔金历!$M$43),0),1)</f>
        <v>0.69739718848706866</v>
      </c>
      <c r="M680" s="4">
        <f>MIN(MAX(M679*(1+MAX(MIN(((B680-B679)/B679)/($K$7*30),0),-卓尔金历!$M$43))+MIN(MAX(((B680-B679)/B679)/($K$7*7),0),卓尔金历!$M$43),0),1)</f>
        <v>0.84869859424353433</v>
      </c>
      <c r="N680">
        <f t="shared" si="53"/>
        <v>1.1157599682552939</v>
      </c>
      <c r="O680">
        <f t="shared" si="54"/>
        <v>1.1382171381430686</v>
      </c>
      <c r="P680">
        <f t="shared" si="55"/>
        <v>-1.9805092738132773E-2</v>
      </c>
      <c r="Q680">
        <f t="shared" si="46"/>
        <v>2.6790146650107909E-2</v>
      </c>
      <c r="R680">
        <f t="shared" si="47"/>
        <v>0.33587071385571948</v>
      </c>
      <c r="S680">
        <f t="shared" si="49"/>
        <v>1.1270403950131382</v>
      </c>
      <c r="T680" s="564">
        <f>IF((I680-MAX(I$470:I680))/MAX(I$470:I680)&gt;T679,T679,(I680-MAX(I$470:I680))/MAX(I$470:I680))</f>
        <v>-0.13666535856332884</v>
      </c>
      <c r="U680" s="564">
        <f>IF((J680-MAX(J$470:J680))/MAX(J$470:J680)&gt;U679,U679,(J680-MAX(J$470:J680))/MAX(J$470:J680))</f>
        <v>-0.40648897885739943</v>
      </c>
      <c r="V680" s="564">
        <f>IF((K680-MAX(K$470:K680))/MAX(K$470:K680)&gt;V679,V679,(K680-MAX(K$470:K680))/MAX(K$470:K680))</f>
        <v>-0.68158456867950912</v>
      </c>
      <c r="W680" s="564">
        <f>IF((N680-MAX(N$470:N680))/MAX(N$470:N680)&gt;W679,W679,(N680-MAX(N$470:N680))/MAX(N$470:N680))</f>
        <v>-0.10311304065408976</v>
      </c>
      <c r="X680" s="564">
        <f>IF((O680-MAX(O$470:O680))/MAX(O$470:O680)&gt;X679,X679,(O680-MAX(O$470:O680))/MAX(O$470:O680))</f>
        <v>-0.12147101883973409</v>
      </c>
    </row>
    <row r="681" spans="1:24">
      <c r="A681" s="799">
        <v>41083</v>
      </c>
      <c r="B681">
        <v>6.4284999999999997</v>
      </c>
      <c r="C681">
        <v>11.749824</v>
      </c>
      <c r="D681">
        <v>1.3159069999999999</v>
      </c>
      <c r="E681">
        <f>LN(D681/参数实验室!$E$53)/参数实验室!$E$55</f>
        <v>-0.36909516408864368</v>
      </c>
      <c r="F681">
        <f t="shared" si="48"/>
        <v>1.8277707085634287</v>
      </c>
      <c r="G681">
        <f>LN(F681/参数实验室!$E$58)/参数实验室!$E$59</f>
        <v>0.12600789107380633</v>
      </c>
      <c r="H681" s="856">
        <f>INDEX(神经网络!$G$10:$BO$70,MATCH(ROUND(G681*2,1)/2,神经网络!$E$10:$E$70,0),MATCH(ROUND(E681*2,1)/2,神经网络!$G$8:$BO$8,0))</f>
        <v>0.18499472024526728</v>
      </c>
      <c r="I681">
        <f t="shared" si="50"/>
        <v>1.115819310919119</v>
      </c>
      <c r="J681">
        <f t="shared" si="51"/>
        <v>2.5651410558237933</v>
      </c>
      <c r="K681">
        <f t="shared" si="52"/>
        <v>0.43499335382972709</v>
      </c>
      <c r="L681" s="4">
        <f>MIN(MAX(L680*(1+MAX(MIN(((B681-B680)/B680)/($K$7*卓尔金历!$N$40),0),-卓尔金历!$M$43))+MIN(MAX(((B681-B680)/B680)/($K$7*卓尔金历!$N$40),0),卓尔金历!$M$43),0),1)</f>
        <v>0.50325437961856645</v>
      </c>
      <c r="M681" s="4">
        <f>MIN(MAX(M680*(1+MAX(MIN(((B681-B680)/B680)/($K$7*30),0),-卓尔金历!$M$43))+MIN(MAX(((B681-B680)/B680)/($K$7*7),0),卓尔金历!$M$43),0),1)</f>
        <v>0.73056739749563959</v>
      </c>
      <c r="N681">
        <f t="shared" si="53"/>
        <v>1.1131372276525087</v>
      </c>
      <c r="O681">
        <f t="shared" si="54"/>
        <v>1.1349611487966589</v>
      </c>
      <c r="P681">
        <f t="shared" si="55"/>
        <v>-1.8219860105684348E-2</v>
      </c>
      <c r="Q681">
        <f t="shared" si="46"/>
        <v>2.7304888852657305E-2</v>
      </c>
      <c r="R681">
        <f t="shared" si="47"/>
        <v>0.44218174688770417</v>
      </c>
      <c r="S681">
        <f t="shared" si="49"/>
        <v>1.1257644969111871</v>
      </c>
      <c r="T681" s="564">
        <f>IF((I681-MAX(I$470:I681))/MAX(I$470:I681)&gt;T680,T680,(I681-MAX(I$470:I681))/MAX(I$470:I681))</f>
        <v>-0.13666535856332884</v>
      </c>
      <c r="U681" s="564">
        <f>IF((J681-MAX(J$470:J681))/MAX(J$470:J681)&gt;U680,U680,(J681-MAX(J$470:J681))/MAX(J$470:J681))</f>
        <v>-0.40648897885739943</v>
      </c>
      <c r="V681" s="564">
        <f>IF((K681-MAX(K$470:K681))/MAX(K$470:K681)&gt;V680,V680,(K681-MAX(K$470:K681))/MAX(K$470:K681))</f>
        <v>-0.68158456867950912</v>
      </c>
      <c r="W681" s="564">
        <f>IF((N681-MAX(N$470:N681))/MAX(N$470:N681)&gt;W680,W680,(N681-MAX(N$470:N681))/MAX(N$470:N681))</f>
        <v>-0.10311304065408976</v>
      </c>
      <c r="X681" s="564">
        <f>IF((O681-MAX(O$470:O681))/MAX(O$470:O681)&gt;X680,X680,(O681-MAX(O$470:O681))/MAX(O$470:O681))</f>
        <v>-0.12147101883973409</v>
      </c>
    </row>
    <row r="682" spans="1:24">
      <c r="A682" s="799">
        <v>41084</v>
      </c>
      <c r="B682">
        <v>6.35</v>
      </c>
      <c r="C682">
        <v>11.699189000000001</v>
      </c>
      <c r="D682">
        <v>1.2959560000000001</v>
      </c>
      <c r="E682">
        <f>LN(D682/参数实验室!$E$53)/参数实验室!$E$55</f>
        <v>-0.38711886194200712</v>
      </c>
      <c r="F682">
        <f t="shared" si="48"/>
        <v>1.8423919685039372</v>
      </c>
      <c r="G682">
        <f>LN(F682/参数实验室!$E$58)/参数实验室!$E$59</f>
        <v>0.13018975910964328</v>
      </c>
      <c r="H682" s="856">
        <f>INDEX(神经网络!$G$10:$BO$70,MATCH(ROUND(G682*2,1)/2,神经网络!$E$10:$E$70,0),MATCH(ROUND(E682*2,1)/2,神经网络!$G$8:$BO$8,0))</f>
        <v>0.14118655613826064</v>
      </c>
      <c r="I682">
        <f t="shared" si="50"/>
        <v>1.1132986570372621</v>
      </c>
      <c r="J682">
        <f t="shared" si="51"/>
        <v>2.533817485335784</v>
      </c>
      <c r="K682">
        <f t="shared" si="52"/>
        <v>0.43937602588993369</v>
      </c>
      <c r="L682" s="4">
        <f>MIN(MAX(L681*(1+MAX(MIN(((B682-B681)/B681)/($K$7*卓尔金历!$N$40),0),-卓尔金历!$M$43))+MIN(MAX(((B682-B681)/B681)/($K$7*卓尔金历!$N$40),0),卓尔金历!$M$43),0),1)</f>
        <v>0.409359123695337</v>
      </c>
      <c r="M682" s="4">
        <f>MIN(MAX(M681*(1+MAX(MIN(((B682-B681)/B681)/($K$7*30),0),-卓尔金历!$M$43))+MIN(MAX(((B682-B681)/B681)/($K$7*7),0),卓尔金历!$M$43),0),1)</f>
        <v>0.66241417763790822</v>
      </c>
      <c r="N682">
        <f t="shared" si="53"/>
        <v>1.111871746699576</v>
      </c>
      <c r="O682">
        <f t="shared" si="54"/>
        <v>1.1330880502582212</v>
      </c>
      <c r="P682">
        <f t="shared" si="55"/>
        <v>-1.2211246791631021E-2</v>
      </c>
      <c r="Q682">
        <f t="shared" si="46"/>
        <v>2.7440494202631907E-2</v>
      </c>
      <c r="R682">
        <f t="shared" si="47"/>
        <v>0.85907504892677677</v>
      </c>
      <c r="S682">
        <f t="shared" si="49"/>
        <v>1.1246399755706611</v>
      </c>
      <c r="T682" s="564">
        <f>IF((I682-MAX(I$470:I682))/MAX(I$470:I682)&gt;T681,T681,(I682-MAX(I$470:I682))/MAX(I$470:I682))</f>
        <v>-0.13666535856332884</v>
      </c>
      <c r="U682" s="564">
        <f>IF((J682-MAX(J$470:J682))/MAX(J$470:J682)&gt;U681,U681,(J682-MAX(J$470:J682))/MAX(J$470:J682))</f>
        <v>-0.40648897885739943</v>
      </c>
      <c r="V682" s="564">
        <f>IF((K682-MAX(K$470:K682))/MAX(K$470:K682)&gt;V681,V681,(K682-MAX(K$470:K682))/MAX(K$470:K682))</f>
        <v>-0.68158456867950912</v>
      </c>
      <c r="W682" s="564">
        <f>IF((N682-MAX(N$470:N682))/MAX(N$470:N682)&gt;W681,W681,(N682-MAX(N$470:N682))/MAX(N$470:N682))</f>
        <v>-0.10311304065408976</v>
      </c>
      <c r="X682" s="564">
        <f>IF((O682-MAX(O$470:O682))/MAX(O$470:O682)&gt;X681,X681,(O682-MAX(O$470:O682))/MAX(O$470:O682))</f>
        <v>-0.12147101883973409</v>
      </c>
    </row>
    <row r="683" spans="1:24">
      <c r="A683" s="799">
        <v>41085</v>
      </c>
      <c r="B683">
        <v>6.3048000000000002</v>
      </c>
      <c r="C683">
        <v>11.638242999999999</v>
      </c>
      <c r="D683">
        <v>1.2891550000000001</v>
      </c>
      <c r="E683">
        <f>LN(D683/参数实验室!$E$53)/参数实验室!$E$55</f>
        <v>-0.39332634806026751</v>
      </c>
      <c r="F683">
        <f t="shared" si="48"/>
        <v>1.8459337330288033</v>
      </c>
      <c r="G683">
        <f>LN(F683/参数实验室!$E$58)/参数实验室!$E$59</f>
        <v>0.13119775577388432</v>
      </c>
      <c r="H683" s="856">
        <f>INDEX(神经网络!$G$10:$BO$70,MATCH(ROUND(G683*2,1)/2,神经网络!$E$10:$E$70,0),MATCH(ROUND(E683*2,1)/2,神经网络!$G$8:$BO$8,0))</f>
        <v>0.14118655613826064</v>
      </c>
      <c r="I683">
        <f t="shared" si="50"/>
        <v>1.1121798125158466</v>
      </c>
      <c r="J683">
        <f t="shared" si="51"/>
        <v>2.5157814931567013</v>
      </c>
      <c r="K683">
        <f t="shared" si="52"/>
        <v>0.44208124415460587</v>
      </c>
      <c r="L683" s="4">
        <f>MIN(MAX(L682*(1+MAX(MIN(((B683-B682)/B682)/($K$7*卓尔金历!$N$40),0),-卓尔金历!$M$43))+MIN(MAX(((B683-B682)/B682)/($K$7*卓尔金历!$N$40),0),卓尔金历!$M$43),0),1)</f>
        <v>0.36483808764761588</v>
      </c>
      <c r="M683" s="4">
        <f>MIN(MAX(M682*(1+MAX(MIN(((B683-B682)/B682)/($K$7*30),0),-卓尔金历!$M$43))+MIN(MAX(((B683-B682)/B682)/($K$7*7),0),卓尔金历!$M$43),0),1)</f>
        <v>0.62639279228937061</v>
      </c>
      <c r="N683">
        <f t="shared" si="53"/>
        <v>1.1114143245152739</v>
      </c>
      <c r="O683">
        <f t="shared" si="54"/>
        <v>1.132333737709053</v>
      </c>
      <c r="P683">
        <f t="shared" si="55"/>
        <v>-7.1181102362203883E-3</v>
      </c>
      <c r="Q683">
        <f t="shared" si="46"/>
        <v>2.7672692651731615E-2</v>
      </c>
      <c r="R683">
        <f t="shared" si="47"/>
        <v>1</v>
      </c>
      <c r="S683">
        <f t="shared" si="49"/>
        <v>1.1236690125802258</v>
      </c>
      <c r="T683" s="564">
        <f>IF((I683-MAX(I$470:I683))/MAX(I$470:I683)&gt;T682,T682,(I683-MAX(I$470:I683))/MAX(I$470:I683))</f>
        <v>-0.13666535856332884</v>
      </c>
      <c r="U683" s="564">
        <f>IF((J683-MAX(J$470:J683))/MAX(J$470:J683)&gt;U682,U682,(J683-MAX(J$470:J683))/MAX(J$470:J683))</f>
        <v>-0.40648897885739943</v>
      </c>
      <c r="V683" s="564">
        <f>IF((K683-MAX(K$470:K683))/MAX(K$470:K683)&gt;V682,V682,(K683-MAX(K$470:K683))/MAX(K$470:K683))</f>
        <v>-0.68158456867950912</v>
      </c>
      <c r="W683" s="564">
        <f>IF((N683-MAX(N$470:N683))/MAX(N$470:N683)&gt;W682,W682,(N683-MAX(N$470:N683))/MAX(N$470:N683))</f>
        <v>-0.10311304065408976</v>
      </c>
      <c r="X683" s="564">
        <f>IF((O683-MAX(O$470:O683))/MAX(O$470:O683)&gt;X682,X682,(O683-MAX(O$470:O683))/MAX(O$470:O683))</f>
        <v>-0.12147101883973409</v>
      </c>
    </row>
    <row r="684" spans="1:24">
      <c r="A684" s="799">
        <v>41086</v>
      </c>
      <c r="B684">
        <v>6.4195000000000002</v>
      </c>
      <c r="C684">
        <v>11.747640000000001</v>
      </c>
      <c r="D684">
        <v>1.3104629999999999</v>
      </c>
      <c r="E684">
        <f>LN(D684/参数实验室!$E$53)/参数实验室!$E$55</f>
        <v>-0.37398601028214423</v>
      </c>
      <c r="F684">
        <f t="shared" si="48"/>
        <v>1.8299929901082639</v>
      </c>
      <c r="G684">
        <f>LN(F684/参数实验室!$E$58)/参数实验室!$E$59</f>
        <v>0.12664564336907158</v>
      </c>
      <c r="H684" s="856">
        <f>INDEX(神经网络!$G$10:$BO$70,MATCH(ROUND(G684*2,1)/2,神经网络!$E$10:$E$70,0),MATCH(ROUND(E684*2,1)/2,神经网络!$G$8:$BO$8,0))</f>
        <v>0.18499472024526728</v>
      </c>
      <c r="I684">
        <f t="shared" si="50"/>
        <v>1.1150364850296985</v>
      </c>
      <c r="J684">
        <f t="shared" si="51"/>
        <v>2.5615498184430026</v>
      </c>
      <c r="K684">
        <f t="shared" si="52"/>
        <v>0.43529759874334817</v>
      </c>
      <c r="L684" s="4">
        <f>MIN(MAX(L683*(1+MAX(MIN(((B684-B683)/B683)/($K$7*卓尔金历!$N$40),0),-卓尔金历!$M$43))+MIN(MAX(((B684-B683)/B683)/($K$7*卓尔金历!$N$40),0),卓尔金历!$M$43),0),1)</f>
        <v>0.64280185027990511</v>
      </c>
      <c r="M684" s="4">
        <f>MIN(MAX(M683*(1+MAX(MIN(((B684-B683)/B683)/($K$7*30),0),-卓尔金历!$M$43))+MIN(MAX(((B684-B683)/B683)/($K$7*7),0),卓尔金历!$M$43),0),1)</f>
        <v>1</v>
      </c>
      <c r="N684">
        <f t="shared" si="53"/>
        <v>1.1124558301139846</v>
      </c>
      <c r="O684">
        <f t="shared" si="54"/>
        <v>1.1341555626669759</v>
      </c>
      <c r="P684">
        <f t="shared" si="55"/>
        <v>1.81924882629108E-2</v>
      </c>
      <c r="Q684">
        <f t="shared" ref="Q684:Q747" si="56">STDEVP(P664:P684)</f>
        <v>2.7235147963124842E-2</v>
      </c>
      <c r="R684">
        <f t="shared" ref="R684:R747" si="57">MIN(Q683*MAX(1-LN(MAX(ABS(P684),0.0001)/Q684),0)+MAX(-LN(MAX(ABS(P684),0.0001)/Q684),0),1)</f>
        <v>0.44233817974313161</v>
      </c>
      <c r="S684">
        <f t="shared" si="49"/>
        <v>1.1265551955038702</v>
      </c>
      <c r="T684" s="564">
        <f>IF((I684-MAX(I$470:I684))/MAX(I$470:I684)&gt;T683,T683,(I684-MAX(I$470:I684))/MAX(I$470:I684))</f>
        <v>-0.13666535856332884</v>
      </c>
      <c r="U684" s="564">
        <f>IF((J684-MAX(J$470:J684))/MAX(J$470:J684)&gt;U683,U683,(J684-MAX(J$470:J684))/MAX(J$470:J684))</f>
        <v>-0.40648897885739943</v>
      </c>
      <c r="V684" s="564">
        <f>IF((K684-MAX(K$470:K684))/MAX(K$470:K684)&gt;V683,V683,(K684-MAX(K$470:K684))/MAX(K$470:K684))</f>
        <v>-0.68158456867950912</v>
      </c>
      <c r="W684" s="564">
        <f>IF((N684-MAX(N$470:N684))/MAX(N$470:N684)&gt;W683,W683,(N684-MAX(N$470:N684))/MAX(N$470:N684))</f>
        <v>-0.10311304065408976</v>
      </c>
      <c r="X684" s="564">
        <f>IF((O684-MAX(O$470:O684))/MAX(O$470:O684)&gt;X683,X683,(O684-MAX(O$470:O684))/MAX(O$470:O684))</f>
        <v>-0.12147101883973409</v>
      </c>
    </row>
    <row r="685" spans="1:24">
      <c r="A685" s="799">
        <v>41087</v>
      </c>
      <c r="B685">
        <v>6.6470000000000002</v>
      </c>
      <c r="C685">
        <v>11.618561</v>
      </c>
      <c r="D685">
        <v>1.3454219999999999</v>
      </c>
      <c r="E685">
        <f>LN(D685/参数实验室!$E$53)/参数实验室!$E$55</f>
        <v>-0.34292640052464762</v>
      </c>
      <c r="F685">
        <f t="shared" si="48"/>
        <v>1.7479405746953511</v>
      </c>
      <c r="G685">
        <f>LN(F685/参数实验室!$E$58)/参数实验室!$E$59</f>
        <v>0.10256856467108999</v>
      </c>
      <c r="H685" s="856">
        <f>INDEX(神经网络!$G$10:$BO$70,MATCH(ROUND(G685*2,1)/2,神经网络!$E$10:$E$70,0),MATCH(ROUND(E685*2,1)/2,神经网络!$G$8:$BO$8,0))</f>
        <v>9.7507030636899888E-2</v>
      </c>
      <c r="I685">
        <f t="shared" si="50"/>
        <v>1.1223466741011339</v>
      </c>
      <c r="J685">
        <f t="shared" si="51"/>
        <v>2.6523283189018829</v>
      </c>
      <c r="K685">
        <f t="shared" si="52"/>
        <v>0.42315525800584441</v>
      </c>
      <c r="L685" s="4">
        <f>MIN(MAX(L684*(1+MAX(MIN(((B685-B684)/B684)/($K$7*卓尔金历!$N$40),0),-卓尔金历!$M$43))+MIN(MAX(((B685-B684)/B684)/($K$7*卓尔金历!$N$40),0),卓尔金历!$M$43),0),1)</f>
        <v>1</v>
      </c>
      <c r="M685" s="4">
        <f>MIN(MAX(M684*(1+MAX(MIN(((B685-B684)/B684)/($K$7*30),0),-卓尔金历!$M$43))+MIN(MAX(((B685-B684)/B684)/($K$7*7),0),卓尔金历!$M$43),0),1)</f>
        <v>1</v>
      </c>
      <c r="N685">
        <f t="shared" si="53"/>
        <v>1.1171439577413151</v>
      </c>
      <c r="O685">
        <f t="shared" si="54"/>
        <v>1.1415910965807339</v>
      </c>
      <c r="P685">
        <f t="shared" si="55"/>
        <v>3.5438897110366858E-2</v>
      </c>
      <c r="Q685">
        <f t="shared" si="56"/>
        <v>2.7813519199959003E-2</v>
      </c>
      <c r="R685">
        <f t="shared" si="57"/>
        <v>2.063640386153133E-2</v>
      </c>
      <c r="S685">
        <f t="shared" si="49"/>
        <v>1.1298221751809541</v>
      </c>
      <c r="T685" s="564">
        <f>IF((I685-MAX(I$470:I685))/MAX(I$470:I685)&gt;T684,T684,(I685-MAX(I$470:I685))/MAX(I$470:I685))</f>
        <v>-0.13666535856332884</v>
      </c>
      <c r="U685" s="564">
        <f>IF((J685-MAX(J$470:J685))/MAX(J$470:J685)&gt;U684,U684,(J685-MAX(J$470:J685))/MAX(J$470:J685))</f>
        <v>-0.40648897885739943</v>
      </c>
      <c r="V685" s="564">
        <f>IF((K685-MAX(K$470:K685))/MAX(K$470:K685)&gt;V684,V684,(K685-MAX(K$470:K685))/MAX(K$470:K685))</f>
        <v>-0.68158456867950912</v>
      </c>
      <c r="W685" s="564">
        <f>IF((N685-MAX(N$470:N685))/MAX(N$470:N685)&gt;W684,W684,(N685-MAX(N$470:N685))/MAX(N$470:N685))</f>
        <v>-0.10311304065408976</v>
      </c>
      <c r="X685" s="564">
        <f>IF((O685-MAX(O$470:O685))/MAX(O$470:O685)&gt;X684,X684,(O685-MAX(O$470:O685))/MAX(O$470:O685))</f>
        <v>-0.12147101883973409</v>
      </c>
    </row>
    <row r="686" spans="1:24">
      <c r="A686" s="799">
        <v>41088</v>
      </c>
      <c r="B686">
        <v>6.6059000000000001</v>
      </c>
      <c r="C686">
        <v>11.562541</v>
      </c>
      <c r="D686">
        <v>1.3389249999999999</v>
      </c>
      <c r="E686">
        <f>LN(D686/参数实验室!$E$53)/参数实验室!$E$55</f>
        <v>-0.34863719111395536</v>
      </c>
      <c r="F686">
        <f t="shared" si="48"/>
        <v>1.7503354576969072</v>
      </c>
      <c r="G686">
        <f>LN(F686/参数实验室!$E$58)/参数实验室!$E$59</f>
        <v>0.10328718390570703</v>
      </c>
      <c r="H686" s="856">
        <f>INDEX(神经网络!$G$10:$BO$70,MATCH(ROUND(G686*2,1)/2,神经网络!$E$10:$E$70,0),MATCH(ROUND(E686*2,1)/2,神经网络!$G$8:$BO$8,0))</f>
        <v>9.7507030636899888E-2</v>
      </c>
      <c r="I686">
        <f t="shared" si="50"/>
        <v>1.1216700007113096</v>
      </c>
      <c r="J686">
        <f t="shared" si="51"/>
        <v>2.6359283348629376</v>
      </c>
      <c r="K686">
        <f t="shared" si="52"/>
        <v>0.4255312960811713</v>
      </c>
      <c r="L686" s="4">
        <f>MIN(MAX(L685*(1+MAX(MIN(((B686-B685)/B685)/($K$7*卓尔金历!$N$40),0),-卓尔金历!$M$43))+MIN(MAX(((B686-B685)/B685)/($K$7*卓尔金历!$N$40),0),卓尔金历!$M$43),0),1)</f>
        <v>0.90552601786061693</v>
      </c>
      <c r="M686" s="4">
        <f>MIN(MAX(M685*(1+MAX(MIN(((B686-B685)/B685)/($K$7*30),0),-卓尔金历!$M$43))+MIN(MAX(((B686-B685)/B685)/($K$7*7),0),卓尔金历!$M$43),0),1)</f>
        <v>0.95276300893030841</v>
      </c>
      <c r="N686">
        <f t="shared" si="53"/>
        <v>1.1164704211182286</v>
      </c>
      <c r="O686">
        <f t="shared" si="54"/>
        <v>1.1409028205471854</v>
      </c>
      <c r="P686">
        <f t="shared" si="55"/>
        <v>-6.1832405596509909E-3</v>
      </c>
      <c r="Q686">
        <f t="shared" si="56"/>
        <v>2.7822071899237681E-2</v>
      </c>
      <c r="R686">
        <f t="shared" si="57"/>
        <v>1</v>
      </c>
      <c r="S686">
        <f t="shared" si="49"/>
        <v>1.1298081180662938</v>
      </c>
      <c r="T686" s="564">
        <f>IF((I686-MAX(I$470:I686))/MAX(I$470:I686)&gt;T685,T685,(I686-MAX(I$470:I686))/MAX(I$470:I686))</f>
        <v>-0.13666535856332884</v>
      </c>
      <c r="U686" s="564">
        <f>IF((J686-MAX(J$470:J686))/MAX(J$470:J686)&gt;U685,U685,(J686-MAX(J$470:J686))/MAX(J$470:J686))</f>
        <v>-0.40648897885739943</v>
      </c>
      <c r="V686" s="564">
        <f>IF((K686-MAX(K$470:K686))/MAX(K$470:K686)&gt;V685,V685,(K686-MAX(K$470:K686))/MAX(K$470:K686))</f>
        <v>-0.68158456867950912</v>
      </c>
      <c r="W686" s="564">
        <f>IF((N686-MAX(N$470:N686))/MAX(N$470:N686)&gt;W685,W685,(N686-MAX(N$470:N686))/MAX(N$470:N686))</f>
        <v>-0.10311304065408976</v>
      </c>
      <c r="X686" s="564">
        <f>IF((O686-MAX(O$470:O686))/MAX(O$470:O686)&gt;X685,X685,(O686-MAX(O$470:O686))/MAX(O$470:O686))</f>
        <v>-0.12147101883973409</v>
      </c>
    </row>
    <row r="687" spans="1:24">
      <c r="A687" s="799">
        <v>41089</v>
      </c>
      <c r="B687">
        <v>6.65</v>
      </c>
      <c r="C687">
        <v>11.478446999999999</v>
      </c>
      <c r="D687">
        <v>1.3514470000000001</v>
      </c>
      <c r="E687">
        <f>LN(D687/参数实验室!$E$53)/参数实验室!$E$55</f>
        <v>-0.33765508395679139</v>
      </c>
      <c r="F687">
        <f t="shared" si="48"/>
        <v>1.7260822556390976</v>
      </c>
      <c r="G687">
        <f>LN(F687/参数实验室!$E$58)/参数实验室!$E$59</f>
        <v>9.5963784514308897E-2</v>
      </c>
      <c r="H687" s="856">
        <f>INDEX(神经网络!$G$10:$BO$70,MATCH(ROUND(G687*2,1)/2,神经网络!$E$10:$E$70,0),MATCH(ROUND(E687*2,1)/2,神经网络!$G$8:$BO$8,0))</f>
        <v>9.7507030636899888E-2</v>
      </c>
      <c r="I687">
        <f t="shared" si="50"/>
        <v>1.1224001432143087</v>
      </c>
      <c r="J687">
        <f t="shared" si="51"/>
        <v>2.6535253980288127</v>
      </c>
      <c r="K687">
        <f t="shared" si="52"/>
        <v>0.42298451111419183</v>
      </c>
      <c r="L687" s="4">
        <f>MIN(MAX(L686*(1+MAX(MIN(((B687-B686)/B686)/($K$7*卓尔金历!$N$40),0),-卓尔金历!$M$43))+MIN(MAX(((B687-B686)/B686)/($K$7*卓尔金历!$N$40),0),卓尔金历!$M$43),0),1)</f>
        <v>1</v>
      </c>
      <c r="M687" s="4">
        <f>MIN(MAX(M686*(1+MAX(MIN(((B687-B686)/B686)/($K$7*30),0),-卓尔金历!$M$43))+MIN(MAX(((B687-B686)/B686)/($K$7*7),0),卓尔金历!$M$43),0),1)</f>
        <v>1</v>
      </c>
      <c r="N687">
        <f t="shared" si="53"/>
        <v>1.1171285192840432</v>
      </c>
      <c r="O687">
        <f t="shared" si="54"/>
        <v>1.1416104013907038</v>
      </c>
      <c r="P687">
        <f t="shared" si="55"/>
        <v>6.675850376178908E-3</v>
      </c>
      <c r="Q687">
        <f t="shared" si="56"/>
        <v>2.782384363768798E-2</v>
      </c>
      <c r="R687">
        <f t="shared" si="57"/>
        <v>1</v>
      </c>
      <c r="S687">
        <f t="shared" si="49"/>
        <v>1.1305435580145053</v>
      </c>
      <c r="T687" s="564">
        <f>IF((I687-MAX(I$470:I687))/MAX(I$470:I687)&gt;T686,T686,(I687-MAX(I$470:I687))/MAX(I$470:I687))</f>
        <v>-0.13666535856332884</v>
      </c>
      <c r="U687" s="564">
        <f>IF((J687-MAX(J$470:J687))/MAX(J$470:J687)&gt;U686,U686,(J687-MAX(J$470:J687))/MAX(J$470:J687))</f>
        <v>-0.40648897885739943</v>
      </c>
      <c r="V687" s="564">
        <f>IF((K687-MAX(K$470:K687))/MAX(K$470:K687)&gt;V686,V686,(K687-MAX(K$470:K687))/MAX(K$470:K687))</f>
        <v>-0.68158456867950912</v>
      </c>
      <c r="W687" s="564">
        <f>IF((N687-MAX(N$470:N687))/MAX(N$470:N687)&gt;W686,W686,(N687-MAX(N$470:N687))/MAX(N$470:N687))</f>
        <v>-0.10311304065408976</v>
      </c>
      <c r="X687" s="564">
        <f>IF((O687-MAX(O$470:O687))/MAX(O$470:O687)&gt;X686,X686,(O687-MAX(O$470:O687))/MAX(O$470:O687))</f>
        <v>-0.12147101883973409</v>
      </c>
    </row>
    <row r="688" spans="1:24">
      <c r="A688" s="799">
        <v>41090</v>
      </c>
      <c r="B688">
        <v>6.69</v>
      </c>
      <c r="C688">
        <v>11.551443000000001</v>
      </c>
      <c r="D688">
        <v>1.354786</v>
      </c>
      <c r="E688">
        <f>LN(D688/参数实验室!$E$53)/参数实验室!$E$55</f>
        <v>-0.33474388002090372</v>
      </c>
      <c r="F688">
        <f t="shared" si="48"/>
        <v>1.7266730941704036</v>
      </c>
      <c r="G688">
        <f>LN(F688/参数实验室!$E$58)/参数实验室!$E$59</f>
        <v>9.6143411486725741E-2</v>
      </c>
      <c r="H688" s="856">
        <f>INDEX(神经网络!$G$10:$BO$70,MATCH(ROUND(G688*2,1)/2,神经网络!$E$10:$E$70,0),MATCH(ROUND(E688*2,1)/2,神经网络!$G$8:$BO$8,0))</f>
        <v>9.7507030636899888E-2</v>
      </c>
      <c r="I688">
        <f t="shared" si="50"/>
        <v>1.1230584403881507</v>
      </c>
      <c r="J688">
        <f t="shared" si="51"/>
        <v>2.6694864530545499</v>
      </c>
      <c r="K688">
        <f t="shared" si="52"/>
        <v>0.42070205642103758</v>
      </c>
      <c r="L688" s="4">
        <f>MIN(MAX(L687*(1+MAX(MIN(((B688-B687)/B687)/($K$7*卓尔金历!$N$40),0),-卓尔金历!$M$43))+MIN(MAX(((B688-B687)/B687)/($K$7*卓尔金历!$N$40),0),卓尔金历!$M$43),0),1)</f>
        <v>1</v>
      </c>
      <c r="M688" s="4">
        <f>MIN(MAX(M687*(1+MAX(MIN(((B688-B687)/B687)/($K$7*30),0),-卓尔金历!$M$43))+MIN(MAX(((B688-B687)/B687)/($K$7*7),0),卓尔金历!$M$43),0),1)</f>
        <v>1</v>
      </c>
      <c r="N688">
        <f t="shared" si="53"/>
        <v>1.1177837246058788</v>
      </c>
      <c r="O688">
        <f t="shared" si="54"/>
        <v>1.1422799655433884</v>
      </c>
      <c r="P688">
        <f t="shared" si="55"/>
        <v>6.0150375939849671E-3</v>
      </c>
      <c r="Q688">
        <f t="shared" si="56"/>
        <v>2.7423620078601767E-2</v>
      </c>
      <c r="R688">
        <f t="shared" si="57"/>
        <v>1</v>
      </c>
      <c r="S688">
        <f t="shared" si="49"/>
        <v>1.13120663136998</v>
      </c>
      <c r="T688" s="564">
        <f>IF((I688-MAX(I$470:I688))/MAX(I$470:I688)&gt;T687,T687,(I688-MAX(I$470:I688))/MAX(I$470:I688))</f>
        <v>-0.13666535856332884</v>
      </c>
      <c r="U688" s="564">
        <f>IF((J688-MAX(J$470:J688))/MAX(J$470:J688)&gt;U687,U687,(J688-MAX(J$470:J688))/MAX(J$470:J688))</f>
        <v>-0.40648897885739943</v>
      </c>
      <c r="V688" s="564">
        <f>IF((K688-MAX(K$470:K688))/MAX(K$470:K688)&gt;V687,V687,(K688-MAX(K$470:K688))/MAX(K$470:K688))</f>
        <v>-0.68158456867950912</v>
      </c>
      <c r="W688" s="564">
        <f>IF((N688-MAX(N$470:N688))/MAX(N$470:N688)&gt;W687,W687,(N688-MAX(N$470:N688))/MAX(N$470:N688))</f>
        <v>-0.10311304065408976</v>
      </c>
      <c r="X688" s="564">
        <f>IF((O688-MAX(O$470:O688))/MAX(O$470:O688)&gt;X687,X687,(O688-MAX(O$470:O688))/MAX(O$470:O688))</f>
        <v>-0.12147101883973409</v>
      </c>
    </row>
    <row r="689" spans="1:24">
      <c r="A689" s="799">
        <v>41091</v>
      </c>
      <c r="B689">
        <v>6.6289999999999996</v>
      </c>
      <c r="C689">
        <v>11.657890999999999</v>
      </c>
      <c r="D689">
        <v>1.3431949999999999</v>
      </c>
      <c r="E689">
        <f>LN(D689/参数实验室!$E$53)/参数实验室!$E$55</f>
        <v>-0.34488079646515207</v>
      </c>
      <c r="F689">
        <f t="shared" si="48"/>
        <v>1.7586198521647307</v>
      </c>
      <c r="G689">
        <f>LN(F689/参数实验室!$E$58)/参数实验室!$E$59</f>
        <v>0.10576547480754472</v>
      </c>
      <c r="H689" s="856">
        <f>INDEX(神经网络!$G$10:$BO$70,MATCH(ROUND(G689*2,1)/2,神经网络!$E$10:$E$70,0),MATCH(ROUND(E689*2,1)/2,神经网络!$G$8:$BO$8,0))</f>
        <v>9.7507030636899888E-2</v>
      </c>
      <c r="I689">
        <f t="shared" si="50"/>
        <v>1.1220599543315004</v>
      </c>
      <c r="J689">
        <f t="shared" si="51"/>
        <v>2.6451458441403002</v>
      </c>
      <c r="K689">
        <f t="shared" si="52"/>
        <v>0.4241958744230156</v>
      </c>
      <c r="L689" s="4">
        <f>MIN(MAX(L688*(1+MAX(MIN(((B689-B688)/B688)/($K$7*卓尔金历!$N$40),0),-卓尔金历!$M$43))+MIN(MAX(((B689-B688)/B688)/($K$7*卓尔金历!$N$40),0),卓尔金历!$M$43),0),1)</f>
        <v>0.86068438524976587</v>
      </c>
      <c r="M689" s="4">
        <f>MIN(MAX(M688*(1+MAX(MIN(((B689-B688)/B688)/($K$7*30),0),-卓尔金历!$M$43))+MIN(MAX(((B689-B688)/B688)/($K$7*7),0),卓尔金历!$M$43),0),1)</f>
        <v>0.93034219262488294</v>
      </c>
      <c r="N689">
        <f t="shared" si="53"/>
        <v>1.1167899281806599</v>
      </c>
      <c r="O689">
        <f t="shared" si="54"/>
        <v>1.1412643900600752</v>
      </c>
      <c r="P689">
        <f t="shared" si="55"/>
        <v>-9.1180866965621561E-3</v>
      </c>
      <c r="Q689">
        <f t="shared" si="56"/>
        <v>2.71378901865875E-2</v>
      </c>
      <c r="R689">
        <f t="shared" si="57"/>
        <v>1</v>
      </c>
      <c r="S689">
        <f t="shared" si="49"/>
        <v>1.1302009009395821</v>
      </c>
      <c r="T689" s="564">
        <f>IF((I689-MAX(I$470:I689))/MAX(I$470:I689)&gt;T688,T688,(I689-MAX(I$470:I689))/MAX(I$470:I689))</f>
        <v>-0.13666535856332884</v>
      </c>
      <c r="U689" s="564">
        <f>IF((J689-MAX(J$470:J689))/MAX(J$470:J689)&gt;U688,U688,(J689-MAX(J$470:J689))/MAX(J$470:J689))</f>
        <v>-0.40648897885739943</v>
      </c>
      <c r="V689" s="564">
        <f>IF((K689-MAX(K$470:K689))/MAX(K$470:K689)&gt;V688,V688,(K689-MAX(K$470:K689))/MAX(K$470:K689))</f>
        <v>-0.68158456867950912</v>
      </c>
      <c r="W689" s="564">
        <f>IF((N689-MAX(N$470:N689))/MAX(N$470:N689)&gt;W688,W688,(N689-MAX(N$470:N689))/MAX(N$470:N689))</f>
        <v>-0.10311304065408976</v>
      </c>
      <c r="X689" s="564">
        <f>IF((O689-MAX(O$470:O689))/MAX(O$470:O689)&gt;X688,X688,(O689-MAX(O$470:O689))/MAX(O$470:O689))</f>
        <v>-0.12147101883973409</v>
      </c>
    </row>
    <row r="690" spans="1:24">
      <c r="A690" s="799">
        <v>41092</v>
      </c>
      <c r="B690">
        <v>6.76</v>
      </c>
      <c r="C690">
        <v>11.751954</v>
      </c>
      <c r="D690">
        <v>1.3646450000000001</v>
      </c>
      <c r="E690">
        <f>LN(D690/参数实验室!$E$53)/参数实验室!$E$55</f>
        <v>-0.32618970954132065</v>
      </c>
      <c r="F690">
        <f t="shared" si="48"/>
        <v>1.7384547337278107</v>
      </c>
      <c r="G690">
        <f>LN(F690/参数实验室!$E$58)/参数实验室!$E$59</f>
        <v>9.9712494817317282E-2</v>
      </c>
      <c r="H690" s="856">
        <f>INDEX(神经网络!$G$10:$BO$70,MATCH(ROUND(G690*2,1)/2,神经网络!$E$10:$E$70,0),MATCH(ROUND(E690*2,1)/2,神经网络!$G$8:$BO$8,0))</f>
        <v>9.7507030636899888E-2</v>
      </c>
      <c r="I690">
        <f t="shared" si="50"/>
        <v>1.1242220518121147</v>
      </c>
      <c r="J690">
        <f t="shared" si="51"/>
        <v>2.6974182993495894</v>
      </c>
      <c r="K690">
        <f t="shared" si="52"/>
        <v>0.41677705385300856</v>
      </c>
      <c r="L690" s="4">
        <f>MIN(MAX(L689*(1+MAX(MIN(((B690-B689)/B689)/($K$7*卓尔金历!$N$40),0),-卓尔金历!$M$43))+MIN(MAX(((B690-B689)/B689)/($K$7*卓尔金历!$N$40),0),卓尔金历!$M$43),0),1)</f>
        <v>1</v>
      </c>
      <c r="M690" s="4">
        <f>MIN(MAX(M689*(1+MAX(MIN(((B690-B689)/B689)/($K$7*30),0),-卓尔金历!$M$43))+MIN(MAX(((B690-B689)/B689)/($K$7*7),0),卓尔金历!$M$43),0),1)</f>
        <v>1</v>
      </c>
      <c r="N690">
        <f t="shared" si="53"/>
        <v>1.1186420716316674</v>
      </c>
      <c r="O690">
        <f t="shared" si="54"/>
        <v>1.1433103079114686</v>
      </c>
      <c r="P690">
        <f t="shared" si="55"/>
        <v>1.9761653341378825E-2</v>
      </c>
      <c r="Q690">
        <f t="shared" si="56"/>
        <v>2.7143243918403698E-2</v>
      </c>
      <c r="R690">
        <f t="shared" si="57"/>
        <v>0.35313585706733042</v>
      </c>
      <c r="S690">
        <f t="shared" si="49"/>
        <v>1.1323786852113371</v>
      </c>
      <c r="T690" s="564">
        <f>IF((I690-MAX(I$470:I690))/MAX(I$470:I690)&gt;T689,T689,(I690-MAX(I$470:I690))/MAX(I$470:I690))</f>
        <v>-0.13666535856332884</v>
      </c>
      <c r="U690" s="564">
        <f>IF((J690-MAX(J$470:J690))/MAX(J$470:J690)&gt;U689,U689,(J690-MAX(J$470:J690))/MAX(J$470:J690))</f>
        <v>-0.40648897885739943</v>
      </c>
      <c r="V690" s="564">
        <f>IF((K690-MAX(K$470:K690))/MAX(K$470:K690)&gt;V689,V689,(K690-MAX(K$470:K690))/MAX(K$470:K690))</f>
        <v>-0.68158456867950912</v>
      </c>
      <c r="W690" s="564">
        <f>IF((N690-MAX(N$470:N690))/MAX(N$470:N690)&gt;W689,W689,(N690-MAX(N$470:N690))/MAX(N$470:N690))</f>
        <v>-0.10311304065408976</v>
      </c>
      <c r="X690" s="564">
        <f>IF((O690-MAX(O$470:O690))/MAX(O$470:O690)&gt;X689,X689,(O690-MAX(O$470:O690))/MAX(O$470:O690))</f>
        <v>-0.12147101883973409</v>
      </c>
    </row>
    <row r="691" spans="1:24">
      <c r="A691" s="799">
        <v>41093</v>
      </c>
      <c r="B691">
        <v>6.4499000000000004</v>
      </c>
      <c r="C691">
        <v>11.731089000000001</v>
      </c>
      <c r="D691">
        <v>1.305787</v>
      </c>
      <c r="E691">
        <f>LN(D691/参数实验室!$E$53)/参数实验室!$E$55</f>
        <v>-0.37820313941188255</v>
      </c>
      <c r="F691">
        <f t="shared" si="48"/>
        <v>1.818801686847858</v>
      </c>
      <c r="G691">
        <f>LN(F691/参数实验室!$E$58)/参数实验室!$E$59</f>
        <v>0.12342604911810522</v>
      </c>
      <c r="H691" s="856">
        <f>INDEX(神经网络!$G$10:$BO$70,MATCH(ROUND(G691*2,1)/2,神经网络!$E$10:$E$70,0),MATCH(ROUND(E691*2,1)/2,神经网络!$G$8:$BO$8,0))</f>
        <v>5.1144671163788735E-2</v>
      </c>
      <c r="I691">
        <f t="shared" si="50"/>
        <v>1.119193498008785</v>
      </c>
      <c r="J691">
        <f t="shared" si="51"/>
        <v>2.5736802202625619</v>
      </c>
      <c r="K691">
        <f t="shared" si="52"/>
        <v>0.43486113356173167</v>
      </c>
      <c r="L691" s="4">
        <f>MIN(MAX(L690*(1+MAX(MIN(((B691-B690)/B690)/($K$7*卓尔金历!$N$40),0),-卓尔金历!$M$43))+MIN(MAX(((B691-B690)/B690)/($K$7*卓尔金历!$N$40),0),卓尔金历!$M$43),0),1)</f>
        <v>0.29910792614032877</v>
      </c>
      <c r="M691" s="4">
        <f>MIN(MAX(M690*(1+MAX(MIN(((B691-B690)/B690)/($K$7*30),0),-卓尔金历!$M$43))+MIN(MAX(((B691-B690)/B690)/($K$7*7),0),卓尔金历!$M$43),0),1)</f>
        <v>0.64955396307016433</v>
      </c>
      <c r="N691">
        <f t="shared" si="53"/>
        <v>1.113638476625858</v>
      </c>
      <c r="O691">
        <f t="shared" si="54"/>
        <v>1.138196373891079</v>
      </c>
      <c r="P691">
        <f t="shared" si="55"/>
        <v>-4.5872781065088665E-2</v>
      </c>
      <c r="Q691">
        <f t="shared" si="56"/>
        <v>2.9405428569019867E-2</v>
      </c>
      <c r="R691">
        <f t="shared" si="57"/>
        <v>1.5072843297321174E-2</v>
      </c>
      <c r="S691">
        <f t="shared" si="49"/>
        <v>1.1305900387604804</v>
      </c>
      <c r="T691" s="564">
        <f>IF((I691-MAX(I$470:I691))/MAX(I$470:I691)&gt;T690,T690,(I691-MAX(I$470:I691))/MAX(I$470:I691))</f>
        <v>-0.13666535856332884</v>
      </c>
      <c r="U691" s="564">
        <f>IF((J691-MAX(J$470:J691))/MAX(J$470:J691)&gt;U690,U690,(J691-MAX(J$470:J691))/MAX(J$470:J691))</f>
        <v>-0.40648897885739943</v>
      </c>
      <c r="V691" s="564">
        <f>IF((K691-MAX(K$470:K691))/MAX(K$470:K691)&gt;V690,V690,(K691-MAX(K$470:K691))/MAX(K$470:K691))</f>
        <v>-0.68158456867950912</v>
      </c>
      <c r="W691" s="564">
        <f>IF((N691-MAX(N$470:N691))/MAX(N$470:N691)&gt;W690,W690,(N691-MAX(N$470:N691))/MAX(N$470:N691))</f>
        <v>-0.10311304065408976</v>
      </c>
      <c r="X691" s="564">
        <f>IF((O691-MAX(O$470:O691))/MAX(O$470:O691)&gt;X690,X690,(O691-MAX(O$470:O691))/MAX(O$470:O691))</f>
        <v>-0.12147101883973409</v>
      </c>
    </row>
    <row r="692" spans="1:24">
      <c r="A692" s="799">
        <v>41094</v>
      </c>
      <c r="B692">
        <v>6.5101000000000004</v>
      </c>
      <c r="C692">
        <v>11.801738</v>
      </c>
      <c r="D692">
        <v>1.3174330000000001</v>
      </c>
      <c r="E692">
        <f>LN(D692/参数实验室!$E$53)/参数实验室!$E$55</f>
        <v>-0.36772784832097033</v>
      </c>
      <c r="F692">
        <f t="shared" si="48"/>
        <v>1.8128351331008739</v>
      </c>
      <c r="G692">
        <f>LN(F692/参数实验室!$E$58)/参数实验室!$E$59</f>
        <v>0.12170144237450363</v>
      </c>
      <c r="H692" s="856">
        <f>INDEX(神经网络!$G$10:$BO$70,MATCH(ROUND(G692*2,1)/2,神经网络!$E$10:$E$70,0),MATCH(ROUND(E692*2,1)/2,神经网络!$G$8:$BO$8,0))</f>
        <v>9.7507030636899888E-2</v>
      </c>
      <c r="I692">
        <f t="shared" si="50"/>
        <v>1.1197277536037777</v>
      </c>
      <c r="J692">
        <f t="shared" si="51"/>
        <v>2.5977016080762962</v>
      </c>
      <c r="K692">
        <f t="shared" si="52"/>
        <v>0.4310455635560782</v>
      </c>
      <c r="L692" s="4">
        <f>MIN(MAX(L691*(1+MAX(MIN(((B692-B691)/B691)/($K$7*卓尔金历!$N$40),0),-卓尔金历!$M$43))+MIN(MAX(((B692-B691)/B691)/($K$7*卓尔金历!$N$40),0),卓尔金历!$M$43),0),1)</f>
        <v>0.44171451389853034</v>
      </c>
      <c r="M692" s="4">
        <f>MIN(MAX(M691*(1+MAX(MIN(((B692-B691)/B691)/($K$7*30),0),-卓尔金历!$M$43))+MIN(MAX(((B692-B691)/B691)/($K$7*7),0),卓尔金历!$M$43),0),1)</f>
        <v>0.95513950826631044</v>
      </c>
      <c r="N692">
        <f t="shared" si="53"/>
        <v>1.1137974835548348</v>
      </c>
      <c r="O692">
        <f t="shared" si="54"/>
        <v>1.1385492939435227</v>
      </c>
      <c r="P692">
        <f t="shared" si="55"/>
        <v>9.3334780384192045E-3</v>
      </c>
      <c r="Q692">
        <f t="shared" si="56"/>
        <v>2.8432255510970669E-2</v>
      </c>
      <c r="R692">
        <f t="shared" si="57"/>
        <v>1</v>
      </c>
      <c r="S692">
        <f t="shared" si="49"/>
        <v>1.1305981735110195</v>
      </c>
      <c r="T692" s="564">
        <f>IF((I692-MAX(I$470:I692))/MAX(I$470:I692)&gt;T691,T691,(I692-MAX(I$470:I692))/MAX(I$470:I692))</f>
        <v>-0.13666535856332884</v>
      </c>
      <c r="U692" s="564">
        <f>IF((J692-MAX(J$470:J692))/MAX(J$470:J692)&gt;U691,U691,(J692-MAX(J$470:J692))/MAX(J$470:J692))</f>
        <v>-0.40648897885739943</v>
      </c>
      <c r="V692" s="564">
        <f>IF((K692-MAX(K$470:K692))/MAX(K$470:K692)&gt;V691,V691,(K692-MAX(K$470:K692))/MAX(K$470:K692))</f>
        <v>-0.68158456867950912</v>
      </c>
      <c r="W692" s="564">
        <f>IF((N692-MAX(N$470:N692))/MAX(N$470:N692)&gt;W691,W691,(N692-MAX(N$470:N692))/MAX(N$470:N692))</f>
        <v>-0.10311304065408976</v>
      </c>
      <c r="X692" s="564">
        <f>IF((O692-MAX(O$470:O692))/MAX(O$470:O692)&gt;X691,X691,(O692-MAX(O$470:O692))/MAX(O$470:O692))</f>
        <v>-0.12147101883973409</v>
      </c>
    </row>
    <row r="693" spans="1:24">
      <c r="A693" s="799">
        <v>41095</v>
      </c>
      <c r="B693">
        <v>6.67</v>
      </c>
      <c r="C693">
        <v>11.855786</v>
      </c>
      <c r="D693">
        <v>1.3418950000000001</v>
      </c>
      <c r="E693">
        <f>LN(D693/参数实验室!$E$53)/参数实验室!$E$55</f>
        <v>-0.34602316363869057</v>
      </c>
      <c r="F693">
        <f t="shared" si="48"/>
        <v>1.7774791604197901</v>
      </c>
      <c r="G693">
        <f>LN(F693/参数实验室!$E$58)/参数实验室!$E$59</f>
        <v>0.11136400471648723</v>
      </c>
      <c r="H693" s="856">
        <f>INDEX(神经网络!$G$10:$BO$70,MATCH(ROUND(G693*2,1)/2,神经网络!$E$10:$E$70,0),MATCH(ROUND(E693*2,1)/2,神经网络!$G$8:$BO$8,0))</f>
        <v>9.7507030636899888E-2</v>
      </c>
      <c r="I693">
        <f t="shared" si="50"/>
        <v>1.1224094473423167</v>
      </c>
      <c r="J693">
        <f t="shared" si="51"/>
        <v>2.6615059255416806</v>
      </c>
      <c r="K693">
        <f t="shared" si="52"/>
        <v>0.42171968755390965</v>
      </c>
      <c r="L693" s="4">
        <f>MIN(MAX(L692*(1+MAX(MIN(((B693-B692)/B692)/($K$7*卓尔金历!$N$40),0),-卓尔金历!$M$43))+MIN(MAX(((B693-B692)/B692)/($K$7*卓尔金历!$N$40),0),卓尔金历!$M$43),0),1)</f>
        <v>0.81699577769614573</v>
      </c>
      <c r="M693" s="4">
        <f>MIN(MAX(M692*(1+MAX(MIN(((B693-B692)/B692)/($K$7*30),0),-卓尔金历!$M$43))+MIN(MAX(((B693-B692)/B692)/($K$7*7),0),卓尔金历!$M$43),0),1)</f>
        <v>1</v>
      </c>
      <c r="N693">
        <f t="shared" si="53"/>
        <v>1.114975753058034</v>
      </c>
      <c r="O693">
        <f t="shared" si="54"/>
        <v>1.1411537400978888</v>
      </c>
      <c r="P693">
        <f t="shared" si="55"/>
        <v>2.4561834687639127E-2</v>
      </c>
      <c r="Q693">
        <f t="shared" si="56"/>
        <v>2.8738921015276975E-2</v>
      </c>
      <c r="R693">
        <f t="shared" si="57"/>
        <v>0.18995631811636626</v>
      </c>
      <c r="S693">
        <f t="shared" si="49"/>
        <v>1.1333059013787534</v>
      </c>
      <c r="T693" s="564">
        <f>IF((I693-MAX(I$470:I693))/MAX(I$470:I693)&gt;T692,T692,(I693-MAX(I$470:I693))/MAX(I$470:I693))</f>
        <v>-0.13666535856332884</v>
      </c>
      <c r="U693" s="564">
        <f>IF((J693-MAX(J$470:J693))/MAX(J$470:J693)&gt;U692,U692,(J693-MAX(J$470:J693))/MAX(J$470:J693))</f>
        <v>-0.40648897885739943</v>
      </c>
      <c r="V693" s="564">
        <f>IF((K693-MAX(K$470:K693))/MAX(K$470:K693)&gt;V692,V692,(K693-MAX(K$470:K693))/MAX(K$470:K693))</f>
        <v>-0.68158456867950912</v>
      </c>
      <c r="W693" s="564">
        <f>IF((N693-MAX(N$470:N693))/MAX(N$470:N693)&gt;W692,W692,(N693-MAX(N$470:N693))/MAX(N$470:N693))</f>
        <v>-0.10311304065408976</v>
      </c>
      <c r="X693" s="564">
        <f>IF((O693-MAX(O$470:O693))/MAX(O$470:O693)&gt;X692,X692,(O693-MAX(O$470:O693))/MAX(O$470:O693))</f>
        <v>-0.12147101883973409</v>
      </c>
    </row>
    <row r="694" spans="1:24">
      <c r="A694" s="799">
        <v>41096</v>
      </c>
      <c r="B694">
        <v>6.6481000000000003</v>
      </c>
      <c r="C694">
        <v>11.872907</v>
      </c>
      <c r="D694">
        <v>1.346473</v>
      </c>
      <c r="E694">
        <f>LN(D694/参数实验室!$E$53)/参数实验室!$E$55</f>
        <v>-0.34200517534876379</v>
      </c>
      <c r="F694">
        <f t="shared" si="48"/>
        <v>1.7859098088175567</v>
      </c>
      <c r="G694">
        <f>LN(F694/参数实验室!$E$58)/参数实验室!$E$59</f>
        <v>0.11384752149878208</v>
      </c>
      <c r="H694" s="856">
        <f>INDEX(神经网络!$G$10:$BO$70,MATCH(ROUND(G694*2,1)/2,神经网络!$E$10:$E$70,0),MATCH(ROUND(E694*2,1)/2,神经网络!$G$8:$BO$8,0))</f>
        <v>9.7507030636899888E-2</v>
      </c>
      <c r="I694">
        <f t="shared" si="50"/>
        <v>1.1220501073736684</v>
      </c>
      <c r="J694">
        <f t="shared" si="51"/>
        <v>2.6527672479150897</v>
      </c>
      <c r="K694">
        <f t="shared" si="52"/>
        <v>0.42297344716372315</v>
      </c>
      <c r="L694" s="4">
        <f>MIN(MAX(L693*(1+MAX(MIN(((B694-B693)/B693)/($K$7*卓尔金历!$N$40),0),-卓尔金历!$M$43))+MIN(MAX(((B694-B693)/B693)/($K$7*卓尔金历!$N$40),0),卓尔金历!$M$43),0),1)</f>
        <v>0.77600990644953627</v>
      </c>
      <c r="M694" s="4">
        <f>MIN(MAX(M693*(1+MAX(MIN(((B694-B693)/B693)/($K$7*30),0),-卓尔金历!$M$43))+MIN(MAX(((B694-B693)/B693)/($K$7*7),0),卓尔金历!$M$43),0),1)</f>
        <v>0.97491671783042388</v>
      </c>
      <c r="N694">
        <f t="shared" si="53"/>
        <v>1.1146841181900355</v>
      </c>
      <c r="O694">
        <f t="shared" si="54"/>
        <v>1.1407883991341605</v>
      </c>
      <c r="P694">
        <f t="shared" si="55"/>
        <v>-3.2833583208395183E-3</v>
      </c>
      <c r="Q694">
        <f t="shared" si="56"/>
        <v>2.1410043816359834E-2</v>
      </c>
      <c r="R694">
        <f t="shared" si="57"/>
        <v>1</v>
      </c>
      <c r="S694">
        <f t="shared" si="49"/>
        <v>1.1332369798177098</v>
      </c>
      <c r="T694" s="564">
        <f>IF((I694-MAX(I$470:I694))/MAX(I$470:I694)&gt;T693,T693,(I694-MAX(I$470:I694))/MAX(I$470:I694))</f>
        <v>-0.13666535856332884</v>
      </c>
      <c r="U694" s="564">
        <f>IF((J694-MAX(J$470:J694))/MAX(J$470:J694)&gt;U693,U693,(J694-MAX(J$470:J694))/MAX(J$470:J694))</f>
        <v>-0.40648897885739943</v>
      </c>
      <c r="V694" s="564">
        <f>IF((K694-MAX(K$470:K694))/MAX(K$470:K694)&gt;V693,V693,(K694-MAX(K$470:K694))/MAX(K$470:K694))</f>
        <v>-0.68158456867950912</v>
      </c>
      <c r="W694" s="564">
        <f>IF((N694-MAX(N$470:N694))/MAX(N$470:N694)&gt;W693,W693,(N694-MAX(N$470:N694))/MAX(N$470:N694))</f>
        <v>-0.10311304065408976</v>
      </c>
      <c r="X694" s="564">
        <f>IF((O694-MAX(O$470:O694))/MAX(O$470:O694)&gt;X693,X693,(O694-MAX(O$470:O694))/MAX(O$470:O694))</f>
        <v>-0.12147101883973409</v>
      </c>
    </row>
    <row r="695" spans="1:24">
      <c r="A695" s="799">
        <v>41097</v>
      </c>
      <c r="B695">
        <v>6.7621000000000002</v>
      </c>
      <c r="C695">
        <v>11.697198999999999</v>
      </c>
      <c r="D695">
        <v>1.3746560000000001</v>
      </c>
      <c r="E695">
        <f>LN(D695/参数实验室!$E$53)/参数实验室!$E$55</f>
        <v>-0.3175666613212853</v>
      </c>
      <c r="F695">
        <f t="shared" si="48"/>
        <v>1.729817512311264</v>
      </c>
      <c r="G695">
        <f>LN(F695/参数实验室!$E$58)/参数实验室!$E$59</f>
        <v>9.7098345966537991E-2</v>
      </c>
      <c r="H695" s="856">
        <f>INDEX(神经网络!$G$10:$BO$70,MATCH(ROUND(G695*2,1)/2,神经网络!$E$10:$E$70,0),MATCH(ROUND(E695*2,1)/2,神经网络!$G$8:$BO$8,0))</f>
        <v>0.14290638154777122</v>
      </c>
      <c r="I695">
        <f t="shared" si="50"/>
        <v>1.1239262052449885</v>
      </c>
      <c r="J695">
        <f t="shared" si="51"/>
        <v>2.6982562547384403</v>
      </c>
      <c r="K695">
        <f t="shared" si="52"/>
        <v>0.41653797828551242</v>
      </c>
      <c r="L695" s="4">
        <f>MIN(MAX(L694*(1+MAX(MIN(((B695-B694)/B694)/($K$7*卓尔金历!$N$40),0),-卓尔金历!$M$43))+MIN(MAX(((B695-B694)/B694)/($K$7*卓尔金历!$N$40),0),卓尔金历!$M$43),0),1)</f>
        <v>1</v>
      </c>
      <c r="M695" s="4">
        <f>MIN(MAX(M694*(1+MAX(MIN(((B695-B694)/B694)/($K$7*30),0),-卓尔金历!$M$43))+MIN(MAX(((B695-B694)/B694)/($K$7*7),0),卓尔金历!$M$43),0),1)</f>
        <v>1</v>
      </c>
      <c r="N695">
        <f t="shared" si="53"/>
        <v>1.1161304312836264</v>
      </c>
      <c r="O695">
        <f t="shared" si="54"/>
        <v>1.1426479833570882</v>
      </c>
      <c r="P695">
        <f t="shared" si="55"/>
        <v>1.7147756501857656E-2</v>
      </c>
      <c r="Q695">
        <f t="shared" si="56"/>
        <v>2.1323290604102877E-2</v>
      </c>
      <c r="R695">
        <f t="shared" si="57"/>
        <v>0.24400857203116513</v>
      </c>
      <c r="S695">
        <f t="shared" si="49"/>
        <v>1.1351317824397724</v>
      </c>
      <c r="T695" s="564">
        <f>IF((I695-MAX(I$470:I695))/MAX(I$470:I695)&gt;T694,T694,(I695-MAX(I$470:I695))/MAX(I$470:I695))</f>
        <v>-0.13666535856332884</v>
      </c>
      <c r="U695" s="564">
        <f>IF((J695-MAX(J$470:J695))/MAX(J$470:J695)&gt;U694,U694,(J695-MAX(J$470:J695))/MAX(J$470:J695))</f>
        <v>-0.40648897885739943</v>
      </c>
      <c r="V695" s="564">
        <f>IF((K695-MAX(K$470:K695))/MAX(K$470:K695)&gt;V694,V694,(K695-MAX(K$470:K695))/MAX(K$470:K695))</f>
        <v>-0.68158456867950912</v>
      </c>
      <c r="W695" s="564">
        <f>IF((N695-MAX(N$470:N695))/MAX(N$470:N695)&gt;W694,W694,(N695-MAX(N$470:N695))/MAX(N$470:N695))</f>
        <v>-0.10311304065408976</v>
      </c>
      <c r="X695" s="564">
        <f>IF((O695-MAX(O$470:O695))/MAX(O$470:O695)&gt;X694,X694,(O695-MAX(O$470:O695))/MAX(O$470:O695))</f>
        <v>-0.12147101883973409</v>
      </c>
    </row>
    <row r="696" spans="1:24">
      <c r="A696" s="799">
        <v>41098</v>
      </c>
      <c r="B696">
        <v>6.7990000000000004</v>
      </c>
      <c r="C696">
        <v>11.636765</v>
      </c>
      <c r="D696">
        <v>1.370331</v>
      </c>
      <c r="E696">
        <f>LN(D696/参数实验室!$E$53)/参数实验室!$E$55</f>
        <v>-0.32128430151591841</v>
      </c>
      <c r="F696">
        <f t="shared" si="48"/>
        <v>1.7115406677452567</v>
      </c>
      <c r="G696">
        <f>LN(F696/参数实验室!$E$58)/参数实验室!$E$59</f>
        <v>9.15233575721624E-2</v>
      </c>
      <c r="H696" s="856">
        <f>INDEX(神经网络!$G$10:$BO$70,MATCH(ROUND(G696*2,1)/2,神经网络!$E$10:$E$70,0),MATCH(ROUND(E696*2,1)/2,神经网络!$G$8:$BO$8,0))</f>
        <v>0.14290638154777122</v>
      </c>
      <c r="I696">
        <f t="shared" si="50"/>
        <v>1.1248026694766127</v>
      </c>
      <c r="J696">
        <f t="shared" si="51"/>
        <v>2.7129803279996829</v>
      </c>
      <c r="K696">
        <f t="shared" si="52"/>
        <v>0.41460037799313676</v>
      </c>
      <c r="L696" s="4">
        <f>MIN(MAX(L695*(1+MAX(MIN(((B696-B695)/B695)/($K$7*卓尔金历!$N$40),0),-卓尔金历!$M$43))+MIN(MAX(((B696-B695)/B695)/($K$7*卓尔金历!$N$40),0),卓尔金历!$M$43),0),1)</f>
        <v>1</v>
      </c>
      <c r="M696" s="4">
        <f>MIN(MAX(M695*(1+MAX(MIN(((B696-B695)/B695)/($K$7*30),0),-卓尔金历!$M$43))+MIN(MAX(((B696-B695)/B695)/($K$7*7),0),卓尔金历!$M$43),0),1)</f>
        <v>1</v>
      </c>
      <c r="N696">
        <f t="shared" si="53"/>
        <v>1.1170008161863736</v>
      </c>
      <c r="O696">
        <f t="shared" si="54"/>
        <v>1.1435390472739861</v>
      </c>
      <c r="P696">
        <f t="shared" si="55"/>
        <v>5.4568846955827558E-3</v>
      </c>
      <c r="Q696">
        <f t="shared" si="56"/>
        <v>1.938198365821675E-2</v>
      </c>
      <c r="R696">
        <f t="shared" si="57"/>
        <v>1</v>
      </c>
      <c r="S696">
        <f t="shared" si="49"/>
        <v>1.1353477794635456</v>
      </c>
      <c r="T696" s="564">
        <f>IF((I696-MAX(I$470:I696))/MAX(I$470:I696)&gt;T695,T695,(I696-MAX(I$470:I696))/MAX(I$470:I696))</f>
        <v>-0.13666535856332884</v>
      </c>
      <c r="U696" s="564">
        <f>IF((J696-MAX(J$470:J696))/MAX(J$470:J696)&gt;U695,U695,(J696-MAX(J$470:J696))/MAX(J$470:J696))</f>
        <v>-0.40648897885739943</v>
      </c>
      <c r="V696" s="564">
        <f>IF((K696-MAX(K$470:K696))/MAX(K$470:K696)&gt;V695,V695,(K696-MAX(K$470:K696))/MAX(K$470:K696))</f>
        <v>-0.68158456867950912</v>
      </c>
      <c r="W696" s="564">
        <f>IF((N696-MAX(N$470:N696))/MAX(N$470:N696)&gt;W695,W695,(N696-MAX(N$470:N696))/MAX(N$470:N696))</f>
        <v>-0.10311304065408976</v>
      </c>
      <c r="X696" s="564">
        <f>IF((O696-MAX(O$470:O696))/MAX(O$470:O696)&gt;X695,X695,(O696-MAX(O$470:O696))/MAX(O$470:O696))</f>
        <v>-0.12147101883973409</v>
      </c>
    </row>
    <row r="697" spans="1:24">
      <c r="A697" s="799">
        <v>41099</v>
      </c>
      <c r="B697">
        <v>7.0214999999999996</v>
      </c>
      <c r="C697">
        <v>11.732314000000001</v>
      </c>
      <c r="D697">
        <v>1.4148860000000001</v>
      </c>
      <c r="E697">
        <f>LN(D697/参数实验室!$E$53)/参数实验室!$E$55</f>
        <v>-0.28353615462342169</v>
      </c>
      <c r="F697">
        <f t="shared" si="48"/>
        <v>1.6709127679270812</v>
      </c>
      <c r="G697">
        <f>LN(F697/参数实验室!$E$58)/参数实验室!$E$59</f>
        <v>7.8914318923272928E-2</v>
      </c>
      <c r="H697" s="856">
        <f>INDEX(神经网络!$G$10:$BO$70,MATCH(ROUND(G697*2,1)/2,神经网络!$E$10:$E$70,0),MATCH(ROUND(E697*2,1)/2,神经网络!$G$8:$BO$8,0))</f>
        <v>0.14290638154777122</v>
      </c>
      <c r="I697">
        <f t="shared" si="50"/>
        <v>1.1300629988158779</v>
      </c>
      <c r="J697">
        <f t="shared" si="51"/>
        <v>2.8017636965803461</v>
      </c>
      <c r="K697">
        <f t="shared" si="52"/>
        <v>0.40333986773943881</v>
      </c>
      <c r="L697" s="4">
        <f>MIN(MAX(L696*(1+MAX(MIN(((B697-B696)/B696)/($K$7*卓尔金历!$N$40),0),-卓尔金历!$M$43))+MIN(MAX(((B697-B696)/B696)/($K$7*卓尔金历!$N$40),0),卓尔金历!$M$43),0),1)</f>
        <v>1</v>
      </c>
      <c r="M697" s="4">
        <f>MIN(MAX(M696*(1+MAX(MIN(((B697-B696)/B696)/($K$7*30),0),-卓尔金历!$M$43))+MIN(MAX(((B697-B696)/B696)/($K$7*7),0),卓尔金历!$M$43),0),1)</f>
        <v>1</v>
      </c>
      <c r="N697">
        <f t="shared" si="53"/>
        <v>1.1222246588432394</v>
      </c>
      <c r="O697">
        <f t="shared" si="54"/>
        <v>1.1488870004432028</v>
      </c>
      <c r="P697">
        <f t="shared" si="55"/>
        <v>3.2725400794234333E-2</v>
      </c>
      <c r="Q697">
        <f t="shared" si="56"/>
        <v>1.9887371496815073E-2</v>
      </c>
      <c r="R697">
        <f t="shared" si="57"/>
        <v>9.7284644344696903E-3</v>
      </c>
      <c r="S697">
        <f t="shared" si="49"/>
        <v>1.140657424787699</v>
      </c>
      <c r="T697" s="564">
        <f>IF((I697-MAX(I$470:I697))/MAX(I$470:I697)&gt;T696,T696,(I697-MAX(I$470:I697))/MAX(I$470:I697))</f>
        <v>-0.13666535856332884</v>
      </c>
      <c r="U697" s="564">
        <f>IF((J697-MAX(J$470:J697))/MAX(J$470:J697)&gt;U696,U696,(J697-MAX(J$470:J697))/MAX(J$470:J697))</f>
        <v>-0.40648897885739943</v>
      </c>
      <c r="V697" s="564">
        <f>IF((K697-MAX(K$470:K697))/MAX(K$470:K697)&gt;V696,V696,(K697-MAX(K$470:K697))/MAX(K$470:K697))</f>
        <v>-0.68158456867950912</v>
      </c>
      <c r="W697" s="564">
        <f>IF((N697-MAX(N$470:N697))/MAX(N$470:N697)&gt;W696,W696,(N697-MAX(N$470:N697))/MAX(N$470:N697))</f>
        <v>-0.10311304065408976</v>
      </c>
      <c r="X697" s="564">
        <f>IF((O697-MAX(O$470:O697))/MAX(O$470:O697)&gt;X696,X696,(O697-MAX(O$470:O697))/MAX(O$470:O697))</f>
        <v>-0.12147101883973409</v>
      </c>
    </row>
    <row r="698" spans="1:24">
      <c r="A698" s="799">
        <v>41100</v>
      </c>
      <c r="B698">
        <v>7.1999000000000004</v>
      </c>
      <c r="C698">
        <v>11.888709</v>
      </c>
      <c r="D698">
        <v>1.457149</v>
      </c>
      <c r="E698">
        <f>LN(D698/参数实验室!$E$53)/参数实验室!$E$55</f>
        <v>-0.24881268451851321</v>
      </c>
      <c r="F698">
        <f t="shared" si="48"/>
        <v>1.6512325171182933</v>
      </c>
      <c r="G698">
        <f>LN(F698/参数实验室!$E$58)/参数实验室!$E$59</f>
        <v>7.2695819037609077E-2</v>
      </c>
      <c r="H698" s="856">
        <f>INDEX(神经网络!$G$10:$BO$70,MATCH(ROUND(G698*2,1)/2,神经网络!$E$10:$E$70,0),MATCH(ROUND(E698*2,1)/2,神经网络!$G$8:$BO$8,0))</f>
        <v>9.8302778220892423E-2</v>
      </c>
      <c r="I698">
        <f t="shared" si="50"/>
        <v>1.1341661661436844</v>
      </c>
      <c r="J698">
        <f t="shared" si="51"/>
        <v>2.8729500019951342</v>
      </c>
      <c r="K698">
        <f t="shared" si="52"/>
        <v>0.39477407033051642</v>
      </c>
      <c r="L698" s="4">
        <f>MIN(MAX(L697*(1+MAX(MIN(((B698-B697)/B697)/($K$7*卓尔金历!$N$40),0),-卓尔金历!$M$43))+MIN(MAX(((B698-B697)/B697)/($K$7*卓尔金历!$N$40),0),卓尔金历!$M$43),0),1)</f>
        <v>1</v>
      </c>
      <c r="M698" s="4">
        <f>MIN(MAX(M697*(1+MAX(MIN(((B698-B697)/B697)/($K$7*30),0),-卓尔金历!$M$43))+MIN(MAX(((B698-B697)/B697)/($K$7*7),0),卓尔金历!$M$43),0),1)</f>
        <v>1</v>
      </c>
      <c r="N698">
        <f t="shared" si="53"/>
        <v>1.1262993657927185</v>
      </c>
      <c r="O698">
        <f t="shared" si="54"/>
        <v>1.1530585161980764</v>
      </c>
      <c r="P698">
        <f t="shared" si="55"/>
        <v>2.5407676422416973E-2</v>
      </c>
      <c r="Q698">
        <f t="shared" si="56"/>
        <v>1.9643022451031004E-2</v>
      </c>
      <c r="R698">
        <f t="shared" si="57"/>
        <v>1.4769770775307906E-2</v>
      </c>
      <c r="S698">
        <f t="shared" si="49"/>
        <v>1.1406977165348571</v>
      </c>
      <c r="T698" s="564">
        <f>IF((I698-MAX(I$470:I698))/MAX(I$470:I698)&gt;T697,T697,(I698-MAX(I$470:I698))/MAX(I$470:I698))</f>
        <v>-0.13666535856332884</v>
      </c>
      <c r="U698" s="564">
        <f>IF((J698-MAX(J$470:J698))/MAX(J$470:J698)&gt;U697,U697,(J698-MAX(J$470:J698))/MAX(J$470:J698))</f>
        <v>-0.40648897885739943</v>
      </c>
      <c r="V698" s="564">
        <f>IF((K698-MAX(K$470:K698))/MAX(K$470:K698)&gt;V697,V697,(K698-MAX(K$470:K698))/MAX(K$470:K698))</f>
        <v>-0.68158456867950912</v>
      </c>
      <c r="W698" s="564">
        <f>IF((N698-MAX(N$470:N698))/MAX(N$470:N698)&gt;W697,W697,(N698-MAX(N$470:N698))/MAX(N$470:N698))</f>
        <v>-0.10311304065408976</v>
      </c>
      <c r="X698" s="564">
        <f>IF((O698-MAX(O$470:O698))/MAX(O$470:O698)&gt;X697,X697,(O698-MAX(O$470:O698))/MAX(O$470:O698))</f>
        <v>-0.12147101883973409</v>
      </c>
    </row>
    <row r="699" spans="1:24">
      <c r="A699" s="799">
        <v>41101</v>
      </c>
      <c r="B699">
        <v>7.15</v>
      </c>
      <c r="C699">
        <v>11.964543000000001</v>
      </c>
      <c r="D699">
        <v>1.4550909999999999</v>
      </c>
      <c r="E699">
        <f>LN(D699/参数实验室!$E$53)/参数实验室!$E$55</f>
        <v>-0.25048008320835585</v>
      </c>
      <c r="F699">
        <f t="shared" si="48"/>
        <v>1.6733626573426574</v>
      </c>
      <c r="G699">
        <f>LN(F699/参数实验室!$E$58)/参数实验室!$E$59</f>
        <v>7.9683295416755118E-2</v>
      </c>
      <c r="H699" s="856">
        <f>INDEX(神经网络!$G$10:$BO$70,MATCH(ROUND(G699*2,1)/2,神经网络!$E$10:$E$70,0),MATCH(ROUND(E699*2,1)/2,神经网络!$G$8:$BO$8,0))</f>
        <v>0.18650200608492751</v>
      </c>
      <c r="I699">
        <f t="shared" si="50"/>
        <v>1.1333934560940595</v>
      </c>
      <c r="J699">
        <f t="shared" si="51"/>
        <v>2.8530385858505269</v>
      </c>
      <c r="K699">
        <f t="shared" si="52"/>
        <v>0.39725836927514968</v>
      </c>
      <c r="L699" s="4">
        <f>MIN(MAX(L698*(1+MAX(MIN(((B699-B698)/B698)/($K$7*卓尔金历!$N$40),0),-卓尔金历!$M$43))+MIN(MAX(((B699-B698)/B698)/($K$7*卓尔金历!$N$40),0),卓尔金历!$M$43),0),1)</f>
        <v>0.89410629112179196</v>
      </c>
      <c r="M699" s="4">
        <f>MIN(MAX(M698*(1+MAX(MIN(((B699-B698)/B698)/($K$7*30),0),-卓尔金历!$M$43))+MIN(MAX(((B699-B698)/B698)/($K$7*7),0),卓尔金历!$M$43),0),1)</f>
        <v>0.94705314556089593</v>
      </c>
      <c r="N699">
        <f t="shared" si="53"/>
        <v>1.1255320154124888</v>
      </c>
      <c r="O699">
        <f t="shared" si="54"/>
        <v>1.1522729347463734</v>
      </c>
      <c r="P699">
        <f t="shared" si="55"/>
        <v>-6.9306518146085433E-3</v>
      </c>
      <c r="Q699">
        <f t="shared" si="56"/>
        <v>1.9201292320482777E-2</v>
      </c>
      <c r="R699">
        <f t="shared" si="57"/>
        <v>1</v>
      </c>
      <c r="S699">
        <f t="shared" si="49"/>
        <v>1.1406862380596519</v>
      </c>
      <c r="T699" s="564">
        <f>IF((I699-MAX(I$470:I699))/MAX(I$470:I699)&gt;T698,T698,(I699-MAX(I$470:I699))/MAX(I$470:I699))</f>
        <v>-0.13666535856332884</v>
      </c>
      <c r="U699" s="564">
        <f>IF((J699-MAX(J$470:J699))/MAX(J$470:J699)&gt;U698,U698,(J699-MAX(J$470:J699))/MAX(J$470:J699))</f>
        <v>-0.40648897885739943</v>
      </c>
      <c r="V699" s="564">
        <f>IF((K699-MAX(K$470:K699))/MAX(K$470:K699)&gt;V698,V698,(K699-MAX(K$470:K699))/MAX(K$470:K699))</f>
        <v>-0.68158456867950912</v>
      </c>
      <c r="W699" s="564">
        <f>IF((N699-MAX(N$470:N699))/MAX(N$470:N699)&gt;W698,W698,(N699-MAX(N$470:N699))/MAX(N$470:N699))</f>
        <v>-0.10311304065408976</v>
      </c>
      <c r="X699" s="564">
        <f>IF((O699-MAX(O$470:O699))/MAX(O$470:O699)&gt;X698,X698,(O699-MAX(O$470:O699))/MAX(O$470:O699))</f>
        <v>-0.12147101883973409</v>
      </c>
    </row>
    <row r="700" spans="1:24">
      <c r="A700" s="799">
        <v>41102</v>
      </c>
      <c r="B700">
        <v>7.7644000000000002</v>
      </c>
      <c r="C700">
        <v>12.044326</v>
      </c>
      <c r="D700">
        <v>1.5254799999999999</v>
      </c>
      <c r="E700">
        <f>LN(D700/参数实验室!$E$53)/参数实验室!$E$55</f>
        <v>-0.19474774597737357</v>
      </c>
      <c r="F700">
        <f t="shared" si="48"/>
        <v>1.5512243058059862</v>
      </c>
      <c r="G700">
        <f>LN(F700/参数实验室!$E$58)/参数实验室!$E$59</f>
        <v>3.9904253040603611E-2</v>
      </c>
      <c r="H700" s="856">
        <f>INDEX(神经网络!$G$10:$BO$70,MATCH(ROUND(G700*2,1)/2,神经网络!$E$10:$E$70,0),MATCH(ROUND(E700*2,1)/2,神经网络!$G$8:$BO$8,0))</f>
        <v>0.14368643752345239</v>
      </c>
      <c r="I700">
        <f t="shared" si="50"/>
        <v>1.1515573674442374</v>
      </c>
      <c r="J700">
        <f t="shared" si="51"/>
        <v>3.0982003910458502</v>
      </c>
      <c r="K700">
        <f t="shared" si="52"/>
        <v>0.37168588925763762</v>
      </c>
      <c r="L700" s="4">
        <f>MIN(MAX(L699*(1+MAX(MIN(((B700-B699)/B699)/($K$7*卓尔金历!$N$40),0),-卓尔金历!$M$43))+MIN(MAX(((B700-B699)/B699)/($K$7*卓尔金历!$N$40),0),卓尔金历!$M$43),0),1)</f>
        <v>1</v>
      </c>
      <c r="M700" s="4">
        <f>MIN(MAX(M699*(1+MAX(MIN(((B700-B699)/B699)/($K$7*30),0),-卓尔金历!$M$43))+MIN(MAX(((B700-B699)/B699)/($K$7*7),0),卓尔金历!$M$43),0),1)</f>
        <v>1</v>
      </c>
      <c r="N700">
        <f t="shared" si="53"/>
        <v>1.1416598357351253</v>
      </c>
      <c r="O700">
        <f t="shared" si="54"/>
        <v>1.1697616692491486</v>
      </c>
      <c r="P700">
        <f t="shared" si="55"/>
        <v>8.5930069930069908E-2</v>
      </c>
      <c r="Q700">
        <f t="shared" si="56"/>
        <v>2.5998178301527883E-2</v>
      </c>
      <c r="R700">
        <f t="shared" si="57"/>
        <v>0</v>
      </c>
      <c r="S700">
        <f t="shared" si="49"/>
        <v>1.1589670244847714</v>
      </c>
      <c r="T700" s="564">
        <f>IF((I700-MAX(I$470:I700))/MAX(I$470:I700)&gt;T699,T699,(I700-MAX(I$470:I700))/MAX(I$470:I700))</f>
        <v>-0.13666535856332884</v>
      </c>
      <c r="U700" s="564">
        <f>IF((J700-MAX(J$470:J700))/MAX(J$470:J700)&gt;U699,U699,(J700-MAX(J$470:J700))/MAX(J$470:J700))</f>
        <v>-0.40648897885739943</v>
      </c>
      <c r="V700" s="564">
        <f>IF((K700-MAX(K$470:K700))/MAX(K$470:K700)&gt;V699,V699,(K700-MAX(K$470:K700))/MAX(K$470:K700))</f>
        <v>-0.68158456867950912</v>
      </c>
      <c r="W700" s="564">
        <f>IF((N700-MAX(N$470:N700))/MAX(N$470:N700)&gt;W699,W699,(N700-MAX(N$470:N700))/MAX(N$470:N700))</f>
        <v>-0.10311304065408976</v>
      </c>
      <c r="X700" s="564">
        <f>IF((O700-MAX(O$470:O700))/MAX(O$470:O700)&gt;X699,X699,(O700-MAX(O$470:O700))/MAX(O$470:O700))</f>
        <v>-0.12147101883973409</v>
      </c>
    </row>
    <row r="701" spans="1:24">
      <c r="A701" s="799">
        <v>41103</v>
      </c>
      <c r="B701">
        <v>7.6650999999999998</v>
      </c>
      <c r="C701">
        <v>11.975650999999999</v>
      </c>
      <c r="D701">
        <v>1.534942</v>
      </c>
      <c r="E701">
        <f>LN(D701/参数实验室!$E$53)/参数实验室!$E$55</f>
        <v>-0.18745276459088681</v>
      </c>
      <c r="F701">
        <f t="shared" si="48"/>
        <v>1.5623606997951756</v>
      </c>
      <c r="G701">
        <f>LN(F701/参数实验室!$E$58)/参数实验室!$E$59</f>
        <v>4.3658771593932222E-2</v>
      </c>
      <c r="H701" s="856">
        <f>INDEX(神经网络!$G$10:$BO$70,MATCH(ROUND(G701*2,1)/2,神经网络!$E$10:$E$70,0),MATCH(ROUND(E701*2,1)/2,神经网络!$G$8:$BO$8,0))</f>
        <v>0.14368643752345239</v>
      </c>
      <c r="I701">
        <f t="shared" si="50"/>
        <v>1.1494412356954631</v>
      </c>
      <c r="J701">
        <f t="shared" si="51"/>
        <v>3.0585770719444572</v>
      </c>
      <c r="K701">
        <f t="shared" si="52"/>
        <v>0.37580914544838273</v>
      </c>
      <c r="L701" s="4">
        <f>MIN(MAX(L700*(1+MAX(MIN(((B701-B700)/B700)/($K$7*卓尔金历!$N$40),0),-卓尔金历!$M$43))+MIN(MAX(((B701-B700)/B700)/($K$7*卓尔金历!$N$40),0),卓尔金历!$M$43),0),1)</f>
        <v>0.80459421089607297</v>
      </c>
      <c r="M701" s="4">
        <f>MIN(MAX(M700*(1+MAX(MIN(((B701-B700)/B700)/($K$7*30),0),-卓尔金历!$M$43))+MIN(MAX(((B701-B700)/B700)/($K$7*7),0),卓尔金历!$M$43),0),1)</f>
        <v>0.90229710544803643</v>
      </c>
      <c r="N701">
        <f t="shared" si="53"/>
        <v>1.1395618919478685</v>
      </c>
      <c r="O701">
        <f t="shared" si="54"/>
        <v>1.167612084802226</v>
      </c>
      <c r="P701">
        <f t="shared" si="55"/>
        <v>-1.2789140178249496E-2</v>
      </c>
      <c r="Q701">
        <f t="shared" si="56"/>
        <v>2.568812729883696E-2</v>
      </c>
      <c r="R701">
        <f t="shared" si="57"/>
        <v>0.74156267855737146</v>
      </c>
      <c r="S701">
        <f t="shared" si="49"/>
        <v>1.1589670244847714</v>
      </c>
      <c r="T701" s="564">
        <f>IF((I701-MAX(I$470:I701))/MAX(I$470:I701)&gt;T700,T700,(I701-MAX(I$470:I701))/MAX(I$470:I701))</f>
        <v>-0.13666535856332884</v>
      </c>
      <c r="U701" s="564">
        <f>IF((J701-MAX(J$470:J701))/MAX(J$470:J701)&gt;U700,U700,(J701-MAX(J$470:J701))/MAX(J$470:J701))</f>
        <v>-0.40648897885739943</v>
      </c>
      <c r="V701" s="564">
        <f>IF((K701-MAX(K$470:K701))/MAX(K$470:K701)&gt;V700,V700,(K701-MAX(K$470:K701))/MAX(K$470:K701))</f>
        <v>-0.68158456867950912</v>
      </c>
      <c r="W701" s="564">
        <f>IF((N701-MAX(N$470:N701))/MAX(N$470:N701)&gt;W700,W700,(N701-MAX(N$470:N701))/MAX(N$470:N701))</f>
        <v>-0.10311304065408976</v>
      </c>
      <c r="X701" s="564">
        <f>IF((O701-MAX(O$470:O701))/MAX(O$470:O701)&gt;X700,X700,(O701-MAX(O$470:O701))/MAX(O$470:O701))</f>
        <v>-0.12147101883973409</v>
      </c>
    </row>
    <row r="702" spans="1:24">
      <c r="A702" s="799">
        <v>41104</v>
      </c>
      <c r="B702">
        <v>7.5420999999999996</v>
      </c>
      <c r="C702">
        <v>11.970276</v>
      </c>
      <c r="D702">
        <v>1.534953</v>
      </c>
      <c r="E702">
        <f>LN(D702/参数实验室!$E$53)/参数实验室!$E$55</f>
        <v>-0.18744431004395032</v>
      </c>
      <c r="F702">
        <f t="shared" si="48"/>
        <v>1.5871277230479575</v>
      </c>
      <c r="G702">
        <f>LN(F702/参数实验室!$E$58)/参数实验室!$E$59</f>
        <v>5.1913661599573585E-2</v>
      </c>
      <c r="H702" s="856">
        <f>INDEX(神经网络!$G$10:$BO$70,MATCH(ROUND(G702*2,1)/2,神经网络!$E$10:$E$70,0),MATCH(ROUND(E702*2,1)/2,神经网络!$G$8:$BO$8,0))</f>
        <v>0.14368643752345239</v>
      </c>
      <c r="I702">
        <f t="shared" si="50"/>
        <v>1.1467909674269663</v>
      </c>
      <c r="J702">
        <f t="shared" si="51"/>
        <v>3.0094968277403154</v>
      </c>
      <c r="K702">
        <f t="shared" si="52"/>
        <v>0.38105737705264031</v>
      </c>
      <c r="L702" s="4">
        <f>MIN(MAX(L701*(1+MAX(MIN(((B702-B701)/B701)/($K$7*卓尔金历!$N$40),0),-卓尔金历!$M$43))+MIN(MAX(((B702-B701)/B701)/($K$7*卓尔金历!$N$40),0),卓尔金历!$M$43),0),1)</f>
        <v>0.60732456352864084</v>
      </c>
      <c r="M702" s="4">
        <f>MIN(MAX(M701*(1+MAX(MIN(((B702-B701)/B701)/($K$7*30),0),-卓尔金历!$M$43))+MIN(MAX(((B702-B701)/B701)/($K$7*7),0),卓尔金历!$M$43),0),1)</f>
        <v>0.79168493014158237</v>
      </c>
      <c r="N702">
        <f t="shared" si="53"/>
        <v>1.137447829145785</v>
      </c>
      <c r="O702">
        <f t="shared" si="54"/>
        <v>1.1651829522770694</v>
      </c>
      <c r="P702">
        <f t="shared" si="55"/>
        <v>-1.6046757380856116E-2</v>
      </c>
      <c r="Q702">
        <f t="shared" si="56"/>
        <v>2.5587064716861913E-2</v>
      </c>
      <c r="R702">
        <f t="shared" si="57"/>
        <v>0.50425383986307726</v>
      </c>
      <c r="S702">
        <f t="shared" si="49"/>
        <v>1.1569853970444257</v>
      </c>
      <c r="T702" s="564">
        <f>IF((I702-MAX(I$470:I702))/MAX(I$470:I702)&gt;T701,T701,(I702-MAX(I$470:I702))/MAX(I$470:I702))</f>
        <v>-0.13666535856332884</v>
      </c>
      <c r="U702" s="564">
        <f>IF((J702-MAX(J$470:J702))/MAX(J$470:J702)&gt;U701,U701,(J702-MAX(J$470:J702))/MAX(J$470:J702))</f>
        <v>-0.40648897885739943</v>
      </c>
      <c r="V702" s="564">
        <f>IF((K702-MAX(K$470:K702))/MAX(K$470:K702)&gt;V701,V701,(K702-MAX(K$470:K702))/MAX(K$470:K702))</f>
        <v>-0.68158456867950912</v>
      </c>
      <c r="W702" s="564">
        <f>IF((N702-MAX(N$470:N702))/MAX(N$470:N702)&gt;W701,W701,(N702-MAX(N$470:N702))/MAX(N$470:N702))</f>
        <v>-0.10311304065408976</v>
      </c>
      <c r="X702" s="564">
        <f>IF((O702-MAX(O$470:O702))/MAX(O$470:O702)&gt;X701,X701,(O702-MAX(O$470:O702))/MAX(O$470:O702))</f>
        <v>-0.12147101883973409</v>
      </c>
    </row>
    <row r="703" spans="1:24">
      <c r="A703" s="799">
        <v>41105</v>
      </c>
      <c r="B703">
        <v>7.6210000000000004</v>
      </c>
      <c r="C703">
        <v>12.151994999999999</v>
      </c>
      <c r="D703">
        <v>1.542527</v>
      </c>
      <c r="E703">
        <f>LN(D703/参数实验室!$E$53)/参数实验室!$E$55</f>
        <v>-0.1816373061896977</v>
      </c>
      <c r="F703">
        <f t="shared" si="48"/>
        <v>1.5945407426846869</v>
      </c>
      <c r="G703">
        <f>LN(F703/参数实验室!$E$58)/参数实验室!$E$59</f>
        <v>5.435939748314305E-2</v>
      </c>
      <c r="H703" s="856">
        <f>INDEX(神经网络!$G$10:$BO$70,MATCH(ROUND(G703*2,1)/2,神经网络!$E$10:$E$70,0),MATCH(ROUND(E703*2,1)/2,神经网络!$G$8:$BO$8,0))</f>
        <v>0.14368643752345239</v>
      </c>
      <c r="I703">
        <f t="shared" si="50"/>
        <v>1.1485147590176279</v>
      </c>
      <c r="J703">
        <f t="shared" si="51"/>
        <v>3.0409800087785825</v>
      </c>
      <c r="K703">
        <f t="shared" si="52"/>
        <v>0.37767915464821877</v>
      </c>
      <c r="L703" s="4">
        <f>MIN(MAX(L702*(1+MAX(MIN(((B703-B702)/B702)/($K$7*卓尔金历!$N$40),0),-卓尔金历!$M$43))+MIN(MAX(((B703-B702)/B702)/($K$7*卓尔金历!$N$40),0),卓尔金历!$M$43),0),1)</f>
        <v>0.7671628426994378</v>
      </c>
      <c r="M703" s="4">
        <f>MIN(MAX(M702*(1+MAX(MIN(((B703-B702)/B702)/($K$7*30),0),-卓尔金历!$M$43))+MIN(MAX(((B703-B702)/B702)/($K$7*7),0),卓尔金历!$M$43),0),1)</f>
        <v>1</v>
      </c>
      <c r="N703">
        <f t="shared" si="53"/>
        <v>1.1384862008069134</v>
      </c>
      <c r="O703">
        <f t="shared" si="54"/>
        <v>1.166569538861955</v>
      </c>
      <c r="P703">
        <f t="shared" si="55"/>
        <v>1.0461277363068755E-2</v>
      </c>
      <c r="Q703">
        <f t="shared" si="56"/>
        <v>2.5188525063524408E-2</v>
      </c>
      <c r="R703">
        <f t="shared" si="57"/>
        <v>0.92677858848327377</v>
      </c>
      <c r="S703">
        <f t="shared" si="49"/>
        <v>1.1578623526038805</v>
      </c>
      <c r="T703" s="564">
        <f>IF((I703-MAX(I$470:I703))/MAX(I$470:I703)&gt;T702,T702,(I703-MAX(I$470:I703))/MAX(I$470:I703))</f>
        <v>-0.13666535856332884</v>
      </c>
      <c r="U703" s="564">
        <f>IF((J703-MAX(J$470:J703))/MAX(J$470:J703)&gt;U702,U702,(J703-MAX(J$470:J703))/MAX(J$470:J703))</f>
        <v>-0.40648897885739943</v>
      </c>
      <c r="V703" s="564">
        <f>IF((K703-MAX(K$470:K703))/MAX(K$470:K703)&gt;V702,V702,(K703-MAX(K$470:K703))/MAX(K$470:K703))</f>
        <v>-0.68158456867950912</v>
      </c>
      <c r="W703" s="564">
        <f>IF((N703-MAX(N$470:N703))/MAX(N$470:N703)&gt;W702,W702,(N703-MAX(N$470:N703))/MAX(N$470:N703))</f>
        <v>-0.10311304065408976</v>
      </c>
      <c r="X703" s="564">
        <f>IF((O703-MAX(O$470:O703))/MAX(O$470:O703)&gt;X702,X702,(O703-MAX(O$470:O703))/MAX(O$470:O703))</f>
        <v>-0.12147101883973409</v>
      </c>
    </row>
    <row r="704" spans="1:24">
      <c r="A704" s="799">
        <v>41106</v>
      </c>
      <c r="B704">
        <v>8.4995999999999992</v>
      </c>
      <c r="C704">
        <v>12.232984999999999</v>
      </c>
      <c r="D704">
        <v>1.7036739999999999</v>
      </c>
      <c r="E704">
        <f>LN(D704/参数实验室!$E$53)/参数实验室!$E$55</f>
        <v>-6.4410989602907642E-2</v>
      </c>
      <c r="F704">
        <f t="shared" si="48"/>
        <v>1.4392424349381148</v>
      </c>
      <c r="G704">
        <f>LN(F704/参数实验室!$E$58)/参数实验室!$E$59</f>
        <v>5.7819632889671445E-4</v>
      </c>
      <c r="H704" s="856">
        <f>INDEX(神经网络!$G$10:$BO$70,MATCH(ROUND(G704*2,1)/2,神经网络!$E$10:$E$70,0),MATCH(ROUND(E704*2,1)/2,神经网络!$G$8:$BO$8,0))</f>
        <v>0.18748659045098026</v>
      </c>
      <c r="I704">
        <f t="shared" si="50"/>
        <v>1.1675400625833745</v>
      </c>
      <c r="J704">
        <f t="shared" si="51"/>
        <v>3.3915645824189</v>
      </c>
      <c r="K704">
        <f t="shared" si="52"/>
        <v>0.34424821766203034</v>
      </c>
      <c r="L704" s="4">
        <f>MIN(MAX(L703*(1+MAX(MIN(((B704-B703)/B703)/($K$7*卓尔金历!$N$40),0),-卓尔金历!$M$43))+MIN(MAX(((B704-B703)/B703)/($K$7*卓尔金历!$N$40),0),卓尔金历!$M$43),0),1)</f>
        <v>1</v>
      </c>
      <c r="M704" s="4">
        <f>MIN(MAX(M703*(1+MAX(MIN(((B704-B703)/B703)/($K$7*30),0),-卓尔金历!$M$43))+MIN(MAX(((B704-B703)/B703)/($K$7*7),0),卓尔金历!$M$43),0),1)</f>
        <v>1</v>
      </c>
      <c r="N704">
        <f t="shared" si="53"/>
        <v>1.1529542622805997</v>
      </c>
      <c r="O704">
        <f t="shared" si="54"/>
        <v>1.185893922317319</v>
      </c>
      <c r="P704">
        <f t="shared" si="55"/>
        <v>0.11528670778113091</v>
      </c>
      <c r="Q704">
        <f t="shared" si="56"/>
        <v>3.355050446673026E-2</v>
      </c>
      <c r="R704">
        <f t="shared" si="57"/>
        <v>0</v>
      </c>
      <c r="S704">
        <f t="shared" si="49"/>
        <v>1.1756381028420497</v>
      </c>
      <c r="T704" s="564">
        <f>IF((I704-MAX(I$470:I704))/MAX(I$470:I704)&gt;T703,T703,(I704-MAX(I$470:I704))/MAX(I$470:I704))</f>
        <v>-0.13666535856332884</v>
      </c>
      <c r="U704" s="564">
        <f>IF((J704-MAX(J$470:J704))/MAX(J$470:J704)&gt;U703,U703,(J704-MAX(J$470:J704))/MAX(J$470:J704))</f>
        <v>-0.40648897885739943</v>
      </c>
      <c r="V704" s="564">
        <f>IF((K704-MAX(K$470:K704))/MAX(K$470:K704)&gt;V703,V703,(K704-MAX(K$470:K704))/MAX(K$470:K704))</f>
        <v>-0.68158456867950912</v>
      </c>
      <c r="W704" s="564">
        <f>IF((N704-MAX(N$470:N704))/MAX(N$470:N704)&gt;W703,W703,(N704-MAX(N$470:N704))/MAX(N$470:N704))</f>
        <v>-0.10311304065408976</v>
      </c>
      <c r="X704" s="564">
        <f>IF((O704-MAX(O$470:O704))/MAX(O$470:O704)&gt;X703,X703,(O704-MAX(O$470:O704))/MAX(O$470:O704))</f>
        <v>-0.12147101883973409</v>
      </c>
    </row>
    <row r="705" spans="1:24">
      <c r="A705" s="799">
        <v>41107</v>
      </c>
      <c r="B705">
        <v>8.8000000000000007</v>
      </c>
      <c r="C705">
        <v>12.205278</v>
      </c>
      <c r="D705">
        <v>1.733522</v>
      </c>
      <c r="E705">
        <f>LN(D705/参数实验室!$E$53)/参数实验室!$E$55</f>
        <v>-4.3920938994163113E-2</v>
      </c>
      <c r="F705">
        <f t="shared" si="48"/>
        <v>1.3869634090909089</v>
      </c>
      <c r="G705">
        <f>LN(F705/参数实验室!$E$58)/参数实验室!$E$59</f>
        <v>-1.8841470790532354E-2</v>
      </c>
      <c r="H705" s="856">
        <f>INDEX(神经网络!$G$10:$BO$70,MATCH(ROUND(G705*2,1)/2,神经网络!$E$10:$E$70,0),MATCH(ROUND(E705*2,1)/2,神经网络!$G$8:$BO$8,0))</f>
        <v>0.18748659045098026</v>
      </c>
      <c r="I705">
        <f t="shared" si="50"/>
        <v>1.1752765432303254</v>
      </c>
      <c r="J705">
        <f t="shared" si="51"/>
        <v>3.5114321056621871</v>
      </c>
      <c r="K705">
        <f t="shared" si="52"/>
        <v>0.33470006193062685</v>
      </c>
      <c r="L705" s="4">
        <f>MIN(MAX(L704*(1+MAX(MIN(((B705-B704)/B704)/($K$7*卓尔金历!$N$40),0),-卓尔金历!$M$43))+MIN(MAX(((B705-B704)/B704)/($K$7*卓尔金历!$N$40),0),卓尔金历!$M$43),0),1)</f>
        <v>1</v>
      </c>
      <c r="M705" s="4">
        <f>MIN(MAX(M704*(1+MAX(MIN(((B705-B704)/B704)/($K$7*30),0),-卓尔金历!$M$43))+MIN(MAX(((B705-B704)/B704)/($K$7*7),0),卓尔金历!$M$43),0),1)</f>
        <v>1</v>
      </c>
      <c r="N705">
        <f t="shared" si="53"/>
        <v>1.1605940929149481</v>
      </c>
      <c r="O705">
        <f t="shared" si="54"/>
        <v>1.1937520213011297</v>
      </c>
      <c r="P705">
        <f t="shared" si="55"/>
        <v>3.5342839663043156E-2</v>
      </c>
      <c r="Q705">
        <f t="shared" si="56"/>
        <v>3.3829134306264094E-2</v>
      </c>
      <c r="R705">
        <f t="shared" si="57"/>
        <v>3.2081884029845423E-2</v>
      </c>
      <c r="S705">
        <f t="shared" si="49"/>
        <v>1.1756381028420497</v>
      </c>
      <c r="T705" s="564">
        <f>IF((I705-MAX(I$470:I705))/MAX(I$470:I705)&gt;T704,T704,(I705-MAX(I$470:I705))/MAX(I$470:I705))</f>
        <v>-0.13666535856332884</v>
      </c>
      <c r="U705" s="564">
        <f>IF((J705-MAX(J$470:J705))/MAX(J$470:J705)&gt;U704,U704,(J705-MAX(J$470:J705))/MAX(J$470:J705))</f>
        <v>-0.40648897885739943</v>
      </c>
      <c r="V705" s="564">
        <f>IF((K705-MAX(K$470:K705))/MAX(K$470:K705)&gt;V704,V704,(K705-MAX(K$470:K705))/MAX(K$470:K705))</f>
        <v>-0.68158456867950912</v>
      </c>
      <c r="W705" s="564">
        <f>IF((N705-MAX(N$470:N705))/MAX(N$470:N705)&gt;W704,W704,(N705-MAX(N$470:N705))/MAX(N$470:N705))</f>
        <v>-0.10311304065408976</v>
      </c>
      <c r="X705" s="564">
        <f>IF((O705-MAX(O$470:O705))/MAX(O$470:O705)&gt;X704,X704,(O705-MAX(O$470:O705))/MAX(O$470:O705))</f>
        <v>-0.12147101883973409</v>
      </c>
    </row>
    <row r="706" spans="1:24">
      <c r="A706" s="799">
        <v>41108</v>
      </c>
      <c r="B706">
        <v>9.1097999999999999</v>
      </c>
      <c r="C706">
        <v>12.402616</v>
      </c>
      <c r="D706">
        <v>1.7906660000000001</v>
      </c>
      <c r="E706">
        <f>LN(D706/参数实验室!$E$53)/参数实验室!$E$55</f>
        <v>-5.6586620545807471E-3</v>
      </c>
      <c r="F706">
        <f t="shared" si="48"/>
        <v>1.3614586489275287</v>
      </c>
      <c r="G706">
        <f>LN(F706/参数实验室!$E$58)/参数实验室!$E$59</f>
        <v>-2.8582813624424691E-2</v>
      </c>
      <c r="H706" s="856">
        <f>INDEX(神经网络!$G$10:$BO$70,MATCH(ROUND(G706*2,1)/2,神经网络!$E$10:$E$70,0),MATCH(ROUND(E706*2,1)/2,神经网络!$G$8:$BO$8,0))</f>
        <v>0.14419021982033148</v>
      </c>
      <c r="I706">
        <f t="shared" si="50"/>
        <v>1.1830338152506741</v>
      </c>
      <c r="J706">
        <f t="shared" si="51"/>
        <v>3.6350504768365215</v>
      </c>
      <c r="K706">
        <f t="shared" si="52"/>
        <v>0.32545182598956202</v>
      </c>
      <c r="L706" s="4">
        <f>MIN(MAX(L705*(1+MAX(MIN(((B706-B705)/B705)/($K$7*卓尔金历!$N$40),0),-卓尔金历!$M$43))+MIN(MAX(((B706-B705)/B705)/($K$7*卓尔金历!$N$40),0),卓尔金历!$M$43),0),1)</f>
        <v>1</v>
      </c>
      <c r="M706" s="4">
        <f>MIN(MAX(M705*(1+MAX(MIN(((B706-B705)/B705)/($K$7*30),0),-卓尔金历!$M$43))+MIN(MAX(((B706-B705)/B705)/($K$7*7),0),卓尔金历!$M$43),0),1)</f>
        <v>1</v>
      </c>
      <c r="N706">
        <f t="shared" si="53"/>
        <v>1.1682544551810115</v>
      </c>
      <c r="O706">
        <f t="shared" si="54"/>
        <v>1.2016312385010419</v>
      </c>
      <c r="P706">
        <f t="shared" si="55"/>
        <v>3.5204545454545356E-2</v>
      </c>
      <c r="Q706">
        <f t="shared" si="56"/>
        <v>3.3822653055462795E-2</v>
      </c>
      <c r="R706">
        <f t="shared" si="57"/>
        <v>3.2474466252064113E-2</v>
      </c>
      <c r="S706">
        <f t="shared" si="49"/>
        <v>1.1758870473045939</v>
      </c>
      <c r="T706" s="564">
        <f>IF((I706-MAX(I$470:I706))/MAX(I$470:I706)&gt;T705,T705,(I706-MAX(I$470:I706))/MAX(I$470:I706))</f>
        <v>-0.13666535856332884</v>
      </c>
      <c r="U706" s="564">
        <f>IF((J706-MAX(J$470:J706))/MAX(J$470:J706)&gt;U705,U705,(J706-MAX(J$470:J706))/MAX(J$470:J706))</f>
        <v>-0.40648897885739943</v>
      </c>
      <c r="V706" s="564">
        <f>IF((K706-MAX(K$470:K706))/MAX(K$470:K706)&gt;V705,V705,(K706-MAX(K$470:K706))/MAX(K$470:K706))</f>
        <v>-0.68158456867950912</v>
      </c>
      <c r="W706" s="564">
        <f>IF((N706-MAX(N$470:N706))/MAX(N$470:N706)&gt;W705,W705,(N706-MAX(N$470:N706))/MAX(N$470:N706))</f>
        <v>-0.10311304065408976</v>
      </c>
      <c r="X706" s="564">
        <f>IF((O706-MAX(O$470:O706))/MAX(O$470:O706)&gt;X705,X705,(O706-MAX(O$470:O706))/MAX(O$470:O706))</f>
        <v>-0.12147101883973409</v>
      </c>
    </row>
    <row r="707" spans="1:24">
      <c r="A707" s="799">
        <v>41109</v>
      </c>
      <c r="B707">
        <v>8.8699999999999992</v>
      </c>
      <c r="C707">
        <v>12.532182000000001</v>
      </c>
      <c r="D707">
        <v>1.739949</v>
      </c>
      <c r="E707">
        <f>LN(D707/参数实验室!$E$53)/参数实验室!$E$55</f>
        <v>-3.9555114289110099E-2</v>
      </c>
      <c r="F707">
        <f t="shared" si="48"/>
        <v>1.4128728297632471</v>
      </c>
      <c r="G707">
        <f>LN(F707/参数实验室!$E$58)/参数实验室!$E$59</f>
        <v>-9.1272937984347019E-3</v>
      </c>
      <c r="H707" s="856">
        <f>INDEX(神经网络!$G$10:$BO$70,MATCH(ROUND(G707*2,1)/2,神经网络!$E$10:$E$70,0),MATCH(ROUND(E707*2,1)/2,神经网络!$G$8:$BO$8,0))</f>
        <v>0.18748659045098026</v>
      </c>
      <c r="I707">
        <f t="shared" si="50"/>
        <v>1.1785435365366479</v>
      </c>
      <c r="J707">
        <f t="shared" si="51"/>
        <v>3.5393639519572262</v>
      </c>
      <c r="K707">
        <f t="shared" si="52"/>
        <v>0.33298173133196074</v>
      </c>
      <c r="L707" s="4">
        <f>MIN(MAX(L706*(1+MAX(MIN(((B707-B706)/B706)/($K$7*卓尔金历!$N$40),0),-卓尔金历!$M$43))+MIN(MAX(((B707-B706)/B706)/($K$7*卓尔金历!$N$40),0),卓尔金历!$M$43),0),1)</f>
        <v>0.59780523379715067</v>
      </c>
      <c r="M707" s="4">
        <f>MIN(MAX(M706*(1+MAX(MIN(((B707-B706)/B706)/($K$7*30),0),-卓尔金历!$M$43))+MIN(MAX(((B707-B706)/B706)/($K$7*7),0),卓尔金历!$M$43),0),1)</f>
        <v>0.79890261689857534</v>
      </c>
      <c r="N707">
        <f t="shared" si="53"/>
        <v>1.1638202724509481</v>
      </c>
      <c r="O707">
        <f t="shared" si="54"/>
        <v>1.197070372105852</v>
      </c>
      <c r="P707">
        <f t="shared" si="55"/>
        <v>-2.6323300182221419E-2</v>
      </c>
      <c r="Q707">
        <f t="shared" si="56"/>
        <v>3.4702819604799331E-2</v>
      </c>
      <c r="R707">
        <f t="shared" si="57"/>
        <v>0.31953655458760655</v>
      </c>
      <c r="S707">
        <f t="shared" si="49"/>
        <v>1.1757421088025337</v>
      </c>
      <c r="T707" s="564">
        <f>IF((I707-MAX(I$470:I707))/MAX(I$470:I707)&gt;T706,T706,(I707-MAX(I$470:I707))/MAX(I$470:I707))</f>
        <v>-0.13666535856332884</v>
      </c>
      <c r="U707" s="564">
        <f>IF((J707-MAX(J$470:J707))/MAX(J$470:J707)&gt;U706,U706,(J707-MAX(J$470:J707))/MAX(J$470:J707))</f>
        <v>-0.40648897885739943</v>
      </c>
      <c r="V707" s="564">
        <f>IF((K707-MAX(K$470:K707))/MAX(K$470:K707)&gt;V706,V706,(K707-MAX(K$470:K707))/MAX(K$470:K707))</f>
        <v>-0.68158456867950912</v>
      </c>
      <c r="W707" s="564">
        <f>IF((N707-MAX(N$470:N707))/MAX(N$470:N707)&gt;W706,W706,(N707-MAX(N$470:N707))/MAX(N$470:N707))</f>
        <v>-0.10311304065408976</v>
      </c>
      <c r="X707" s="564">
        <f>IF((O707-MAX(O$470:O707))/MAX(O$470:O707)&gt;X706,X706,(O707-MAX(O$470:O707))/MAX(O$470:O707))</f>
        <v>-0.12147101883973409</v>
      </c>
    </row>
    <row r="708" spans="1:24">
      <c r="A708" s="799">
        <v>41110</v>
      </c>
      <c r="B708">
        <v>8.52</v>
      </c>
      <c r="C708">
        <v>12.539816999999999</v>
      </c>
      <c r="D708">
        <v>1.6704399999999999</v>
      </c>
      <c r="E708">
        <f>LN(D708/参数实验室!$E$53)/参数实验室!$E$55</f>
        <v>-8.765216481080873E-2</v>
      </c>
      <c r="F708">
        <f t="shared" si="48"/>
        <v>1.4718095070422534</v>
      </c>
      <c r="G708">
        <f>LN(F708/参数实验室!$E$58)/参数实验室!$E$59</f>
        <v>1.2322179579290901E-2</v>
      </c>
      <c r="H708" s="856">
        <f>INDEX(神经网络!$G$10:$BO$70,MATCH(ROUND(G708*2,1)/2,神经网络!$E$10:$E$70,0),MATCH(ROUND(E708*2,1)/2,神经网络!$G$8:$BO$8,0))</f>
        <v>0.14403683372405976</v>
      </c>
      <c r="I708">
        <f t="shared" si="50"/>
        <v>1.1698246652539925</v>
      </c>
      <c r="J708">
        <f t="shared" si="51"/>
        <v>3.3997047204820254</v>
      </c>
      <c r="K708">
        <f t="shared" si="52"/>
        <v>0.34409596168932272</v>
      </c>
      <c r="L708" s="4">
        <f>MIN(MAX(L707*(1+MAX(MIN(((B708-B707)/B707)/($K$7*卓尔金历!$N$40),0),-卓尔金历!$M$43))+MIN(MAX(((B708-B707)/B707)/($K$7*卓尔金历!$N$40),0),卓尔金历!$M$43),0),1)</f>
        <v>0.23739242595290733</v>
      </c>
      <c r="M708" s="4">
        <f>MIN(MAX(M707*(1+MAX(MIN(((B708-B707)/B707)/($K$7*30),0),-卓尔金历!$M$43))+MIN(MAX(((B708-B707)/B707)/($K$7*7),0),卓尔金历!$M$43),0),1)</f>
        <v>0.55807607417861615</v>
      </c>
      <c r="N708">
        <f t="shared" si="53"/>
        <v>1.1586732001764173</v>
      </c>
      <c r="O708">
        <f t="shared" si="54"/>
        <v>1.1899953441292537</v>
      </c>
      <c r="P708">
        <f t="shared" si="55"/>
        <v>-3.9458850056369746E-2</v>
      </c>
      <c r="Q708">
        <f t="shared" si="56"/>
        <v>3.6552978918015309E-2</v>
      </c>
      <c r="R708">
        <f t="shared" si="57"/>
        <v>3.2048204073070109E-2</v>
      </c>
      <c r="S708">
        <f t="shared" si="49"/>
        <v>1.1729627331007617</v>
      </c>
      <c r="T708" s="564">
        <f>IF((I708-MAX(I$470:I708))/MAX(I$470:I708)&gt;T707,T707,(I708-MAX(I$470:I708))/MAX(I$470:I708))</f>
        <v>-0.13666535856332884</v>
      </c>
      <c r="U708" s="564">
        <f>IF((J708-MAX(J$470:J708))/MAX(J$470:J708)&gt;U707,U707,(J708-MAX(J$470:J708))/MAX(J$470:J708))</f>
        <v>-0.40648897885739943</v>
      </c>
      <c r="V708" s="564">
        <f>IF((K708-MAX(K$470:K708))/MAX(K$470:K708)&gt;V707,V707,(K708-MAX(K$470:K708))/MAX(K$470:K708))</f>
        <v>-0.68158456867950912</v>
      </c>
      <c r="W708" s="564">
        <f>IF((N708-MAX(N$470:N708))/MAX(N$470:N708)&gt;W707,W707,(N708-MAX(N$470:N708))/MAX(N$470:N708))</f>
        <v>-0.10311304065408976</v>
      </c>
      <c r="X708" s="564">
        <f>IF((O708-MAX(O$470:O708))/MAX(O$470:O708)&gt;X707,X707,(O708-MAX(O$470:O708))/MAX(O$470:O708))</f>
        <v>-0.12147101883973409</v>
      </c>
    </row>
    <row r="709" spans="1:24">
      <c r="A709" s="799">
        <v>41111</v>
      </c>
      <c r="B709">
        <v>8.8454999999999995</v>
      </c>
      <c r="C709">
        <v>12.529169</v>
      </c>
      <c r="D709">
        <v>1.7306870000000001</v>
      </c>
      <c r="E709">
        <f>LN(D709/参数实验室!$E$53)/参数实验室!$E$55</f>
        <v>-4.5851885535389658E-2</v>
      </c>
      <c r="F709">
        <f t="shared" ref="F709:F772" si="58">C709/B709</f>
        <v>1.4164455372788425</v>
      </c>
      <c r="G709">
        <f>LN(F709/参数实验室!$E$58)/参数实验室!$E$59</f>
        <v>-7.8017794959015663E-3</v>
      </c>
      <c r="H709" s="856">
        <f>INDEX(神经网络!$G$10:$BO$70,MATCH(ROUND(G709*2,1)/2,神经网络!$E$10:$E$70,0),MATCH(ROUND(E709*2,1)/2,神经网络!$G$8:$BO$8,0))</f>
        <v>0.18748659045098026</v>
      </c>
      <c r="I709">
        <f t="shared" si="50"/>
        <v>1.1762619947350881</v>
      </c>
      <c r="J709">
        <f t="shared" si="51"/>
        <v>3.529587805753962</v>
      </c>
      <c r="K709">
        <f t="shared" si="52"/>
        <v>0.33325760951959787</v>
      </c>
      <c r="L709" s="4">
        <f>MIN(MAX(L708*(1+MAX(MIN(((B709-B708)/B708)/($K$7*卓尔金历!$N$40),0),-卓尔金历!$M$43))+MIN(MAX(((B709-B708)/B708)/($K$7*卓尔金历!$N$40),0),卓尔金历!$M$43),0),1)</f>
        <v>0.8211163274807145</v>
      </c>
      <c r="M709" s="4">
        <f>MIN(MAX(M708*(1+MAX(MIN(((B709-B708)/B708)/($K$7*30),0),-卓尔金历!$M$43))+MIN(MAX(((B709-B708)/B708)/($K$7*7),0),卓尔金历!$M$43),0),1)</f>
        <v>1</v>
      </c>
      <c r="N709">
        <f t="shared" si="53"/>
        <v>1.1601868059813729</v>
      </c>
      <c r="O709">
        <f t="shared" si="54"/>
        <v>1.1936498076424842</v>
      </c>
      <c r="P709">
        <f t="shared" si="55"/>
        <v>3.8204225352112667E-2</v>
      </c>
      <c r="Q709">
        <f t="shared" si="56"/>
        <v>3.6921332523557379E-2</v>
      </c>
      <c r="R709">
        <f t="shared" si="57"/>
        <v>3.5304452720524564E-2</v>
      </c>
      <c r="S709">
        <f t="shared" si="49"/>
        <v>1.1731695913647393</v>
      </c>
      <c r="T709" s="564">
        <f>IF((I709-MAX(I$470:I709))/MAX(I$470:I709)&gt;T708,T708,(I709-MAX(I$470:I709))/MAX(I$470:I709))</f>
        <v>-0.13666535856332884</v>
      </c>
      <c r="U709" s="564">
        <f>IF((J709-MAX(J$470:J709))/MAX(J$470:J709)&gt;U708,U708,(J709-MAX(J$470:J709))/MAX(J$470:J709))</f>
        <v>-0.40648897885739943</v>
      </c>
      <c r="V709" s="564">
        <f>IF((K709-MAX(K$470:K709))/MAX(K$470:K709)&gt;V708,V708,(K709-MAX(K$470:K709))/MAX(K$470:K709))</f>
        <v>-0.68158456867950912</v>
      </c>
      <c r="W709" s="564">
        <f>IF((N709-MAX(N$470:N709))/MAX(N$470:N709)&gt;W708,W708,(N709-MAX(N$470:N709))/MAX(N$470:N709))</f>
        <v>-0.10311304065408976</v>
      </c>
      <c r="X709" s="564">
        <f>IF((O709-MAX(O$470:O709))/MAX(O$470:O709)&gt;X708,X708,(O709-MAX(O$470:O709))/MAX(O$470:O709))</f>
        <v>-0.12147101883973409</v>
      </c>
    </row>
    <row r="710" spans="1:24">
      <c r="A710" s="799">
        <v>41112</v>
      </c>
      <c r="B710">
        <v>8.4095999999999993</v>
      </c>
      <c r="C710">
        <v>12.422063</v>
      </c>
      <c r="D710">
        <v>1.6572249999999999</v>
      </c>
      <c r="E710">
        <f>LN(D710/参数实验室!$E$53)/参数实验室!$E$55</f>
        <v>-9.7022411562230126E-2</v>
      </c>
      <c r="F710">
        <f t="shared" si="58"/>
        <v>1.47712887652207</v>
      </c>
      <c r="G710">
        <f>LN(F710/参数实验室!$E$58)/参数实验室!$E$59</f>
        <v>1.4215671570691049E-2</v>
      </c>
      <c r="H710" s="856">
        <f>INDEX(神经网络!$G$10:$BO$70,MATCH(ROUND(G710*2,1)/2,神经网络!$E$10:$E$70,0),MATCH(ROUND(E710*2,1)/2,神经网络!$G$8:$BO$8,0))</f>
        <v>0.14403683372405976</v>
      </c>
      <c r="I710">
        <f t="shared" si="50"/>
        <v>1.1653942667780239</v>
      </c>
      <c r="J710">
        <f t="shared" si="51"/>
        <v>3.3556522086109908</v>
      </c>
      <c r="K710">
        <f t="shared" si="52"/>
        <v>0.3472929237980884</v>
      </c>
      <c r="L710" s="4">
        <f>MIN(MAX(L709*(1+MAX(MIN(((B710-B709)/B709)/($K$7*卓尔金历!$N$40),0),-卓尔金历!$M$43))+MIN(MAX(((B710-B709)/B709)/($K$7*卓尔金历!$N$40),0),卓尔金历!$M$43),0),1)</f>
        <v>0.20286472805914899</v>
      </c>
      <c r="M710" s="4">
        <f>MIN(MAX(M709*(1+MAX(MIN(((B710-B709)/B709)/($K$7*30),0),-卓尔金历!$M$43))+MIN(MAX(((B710-B709)/B709)/($K$7*7),0),卓尔金历!$M$43),0),1)</f>
        <v>0.62352983448859356</v>
      </c>
      <c r="N710">
        <f t="shared" si="53"/>
        <v>1.1513850909483863</v>
      </c>
      <c r="O710">
        <f t="shared" si="54"/>
        <v>1.1826214300841478</v>
      </c>
      <c r="P710">
        <f t="shared" si="55"/>
        <v>-4.92792945565542E-2</v>
      </c>
      <c r="Q710">
        <f t="shared" si="56"/>
        <v>3.9050473062567877E-2</v>
      </c>
      <c r="R710">
        <f t="shared" si="57"/>
        <v>2.8331620930150212E-2</v>
      </c>
      <c r="S710">
        <f t="shared" si="49"/>
        <v>1.1727869208729376</v>
      </c>
      <c r="T710" s="564">
        <f>IF((I710-MAX(I$470:I710))/MAX(I$470:I710)&gt;T709,T709,(I710-MAX(I$470:I710))/MAX(I$470:I710))</f>
        <v>-0.13666535856332884</v>
      </c>
      <c r="U710" s="564">
        <f>IF((J710-MAX(J$470:J710))/MAX(J$470:J710)&gt;U709,U709,(J710-MAX(J$470:J710))/MAX(J$470:J710))</f>
        <v>-0.40648897885739943</v>
      </c>
      <c r="V710" s="564">
        <f>IF((K710-MAX(K$470:K710))/MAX(K$470:K710)&gt;V709,V709,(K710-MAX(K$470:K710))/MAX(K$470:K710))</f>
        <v>-0.68158456867950912</v>
      </c>
      <c r="W710" s="564">
        <f>IF((N710-MAX(N$470:N710))/MAX(N$470:N710)&gt;W709,W709,(N710-MAX(N$470:N710))/MAX(N$470:N710))</f>
        <v>-0.10311304065408976</v>
      </c>
      <c r="X710" s="564">
        <f>IF((O710-MAX(O$470:O710))/MAX(O$470:O710)&gt;X709,X709,(O710-MAX(O$470:O710))/MAX(O$470:O710))</f>
        <v>-0.12147101883973409</v>
      </c>
    </row>
    <row r="711" spans="1:24">
      <c r="A711" s="799">
        <v>41113</v>
      </c>
      <c r="B711">
        <v>8.4457000000000004</v>
      </c>
      <c r="C711">
        <v>12.645208999999999</v>
      </c>
      <c r="D711">
        <v>1.659672</v>
      </c>
      <c r="E711">
        <f>LN(D711/参数实验室!$E$53)/参数实验室!$E$55</f>
        <v>-9.5281714331215253E-2</v>
      </c>
      <c r="F711">
        <f t="shared" si="58"/>
        <v>1.4972363451223698</v>
      </c>
      <c r="G711">
        <f>LN(F711/参数实验室!$E$58)/参数实验室!$E$59</f>
        <v>2.1312074451609524E-2</v>
      </c>
      <c r="H711" s="856">
        <f>INDEX(神经网络!$G$10:$BO$70,MATCH(ROUND(G711*2,1)/2,神经网络!$E$10:$E$70,0),MATCH(ROUND(E711*2,1)/2,神经网络!$G$8:$BO$8,0))</f>
        <v>0.14403683372405976</v>
      </c>
      <c r="I711">
        <f t="shared" si="50"/>
        <v>1.1661148403104382</v>
      </c>
      <c r="J711">
        <f t="shared" si="51"/>
        <v>3.3700570607717193</v>
      </c>
      <c r="K711">
        <f t="shared" si="52"/>
        <v>0.34602228368305615</v>
      </c>
      <c r="L711" s="4">
        <f>MIN(MAX(L710*(1+MAX(MIN(((B711-B710)/B710)/($K$7*卓尔金历!$N$40),0),-卓尔金历!$M$43))+MIN(MAX(((B711-B710)/B710)/($K$7*卓尔金历!$N$40),0),卓尔金历!$M$43),0),1)</f>
        <v>0.26845326466273961</v>
      </c>
      <c r="M711" s="4">
        <f>MIN(MAX(M710*(1+MAX(MIN(((B711-B710)/B710)/($K$7*30),0),-卓尔金历!$M$43))+MIN(MAX(((B711-B710)/B710)/($K$7*7),0),卓尔金历!$M$43),0),1)</f>
        <v>0.76407669863914496</v>
      </c>
      <c r="N711">
        <f t="shared" si="53"/>
        <v>1.1515295126884775</v>
      </c>
      <c r="O711">
        <f t="shared" si="54"/>
        <v>1.183077370836465</v>
      </c>
      <c r="P711">
        <f t="shared" si="55"/>
        <v>4.2927130898022655E-3</v>
      </c>
      <c r="Q711">
        <f t="shared" si="56"/>
        <v>3.9045563744388355E-2</v>
      </c>
      <c r="R711">
        <f t="shared" si="57"/>
        <v>1</v>
      </c>
      <c r="S711">
        <f t="shared" si="49"/>
        <v>1.1728074653913372</v>
      </c>
      <c r="T711" s="564">
        <f>IF((I711-MAX(I$470:I711))/MAX(I$470:I711)&gt;T710,T710,(I711-MAX(I$470:I711))/MAX(I$470:I711))</f>
        <v>-0.13666535856332884</v>
      </c>
      <c r="U711" s="564">
        <f>IF((J711-MAX(J$470:J711))/MAX(J$470:J711)&gt;U710,U710,(J711-MAX(J$470:J711))/MAX(J$470:J711))</f>
        <v>-0.40648897885739943</v>
      </c>
      <c r="V711" s="564">
        <f>IF((K711-MAX(K$470:K711))/MAX(K$470:K711)&gt;V710,V710,(K711-MAX(K$470:K711))/MAX(K$470:K711))</f>
        <v>-0.68158456867950912</v>
      </c>
      <c r="W711" s="564">
        <f>IF((N711-MAX(N$470:N711))/MAX(N$470:N711)&gt;W710,W710,(N711-MAX(N$470:N711))/MAX(N$470:N711))</f>
        <v>-0.10311304065408976</v>
      </c>
      <c r="X711" s="564">
        <f>IF((O711-MAX(O$470:O711))/MAX(O$470:O711)&gt;X710,X710,(O711-MAX(O$470:O711))/MAX(O$470:O711))</f>
        <v>-0.12147101883973409</v>
      </c>
    </row>
    <row r="712" spans="1:24">
      <c r="A712" s="799">
        <v>41114</v>
      </c>
      <c r="B712">
        <v>8.6</v>
      </c>
      <c r="C712">
        <v>12.43036</v>
      </c>
      <c r="D712">
        <v>1.6648529999999999</v>
      </c>
      <c r="E712">
        <f>LN(D712/参数实验室!$E$53)/参数实验室!$E$55</f>
        <v>-9.1604613689604319E-2</v>
      </c>
      <c r="F712">
        <f t="shared" si="58"/>
        <v>1.4453906976744186</v>
      </c>
      <c r="G712">
        <f>LN(F712/参数实验室!$E$58)/参数实验室!$E$59</f>
        <v>2.8155314028490363E-3</v>
      </c>
      <c r="H712" s="856">
        <f>INDEX(神经网络!$G$10:$BO$70,MATCH(ROUND(G712*2,1)/2,神经网络!$E$10:$E$70,0),MATCH(ROUND(E712*2,1)/2,神经网络!$G$8:$BO$8,0))</f>
        <v>0.14403683372405976</v>
      </c>
      <c r="I712">
        <f t="shared" si="50"/>
        <v>1.1691834748117558</v>
      </c>
      <c r="J712">
        <f t="shared" si="51"/>
        <v>3.4316268305335003</v>
      </c>
      <c r="K712">
        <f t="shared" si="52"/>
        <v>0.34070822165415576</v>
      </c>
      <c r="L712" s="4">
        <f>MIN(MAX(L711*(1+MAX(MIN(((B712-B711)/B711)/($K$7*卓尔金历!$N$40),0),-卓尔金历!$M$43))+MIN(MAX(((B712-B711)/B711)/($K$7*卓尔金历!$N$40),0),卓尔金历!$M$43),0),1)</f>
        <v>0.54759601533667324</v>
      </c>
      <c r="M712" s="4">
        <f>MIN(MAX(M711*(1+MAX(MIN(((B712-B711)/B711)/($K$7*30),0),-卓尔金历!$M$43))+MIN(MAX(((B712-B711)/B711)/($K$7*7),0),卓尔金历!$M$43),0),1)</f>
        <v>1</v>
      </c>
      <c r="N712">
        <f t="shared" si="53"/>
        <v>1.1523429940448306</v>
      </c>
      <c r="O712">
        <f t="shared" si="54"/>
        <v>1.1854561490067146</v>
      </c>
      <c r="P712">
        <f t="shared" si="55"/>
        <v>1.8269652012266505E-2</v>
      </c>
      <c r="Q712">
        <f t="shared" si="56"/>
        <v>3.6895577485396652E-2</v>
      </c>
      <c r="R712">
        <f t="shared" si="57"/>
        <v>0.76933912189863918</v>
      </c>
      <c r="S712">
        <f t="shared" si="49"/>
        <v>1.1758937115544892</v>
      </c>
      <c r="T712" s="564">
        <f>IF((I712-MAX(I$470:I712))/MAX(I$470:I712)&gt;T711,T711,(I712-MAX(I$470:I712))/MAX(I$470:I712))</f>
        <v>-0.13666535856332884</v>
      </c>
      <c r="U712" s="564">
        <f>IF((J712-MAX(J$470:J712))/MAX(J$470:J712)&gt;U711,U711,(J712-MAX(J$470:J712))/MAX(J$470:J712))</f>
        <v>-0.40648897885739943</v>
      </c>
      <c r="V712" s="564">
        <f>IF((K712-MAX(K$470:K712))/MAX(K$470:K712)&gt;V711,V711,(K712-MAX(K$470:K712))/MAX(K$470:K712))</f>
        <v>-0.68158456867950912</v>
      </c>
      <c r="W712" s="564">
        <f>IF((N712-MAX(N$470:N712))/MAX(N$470:N712)&gt;W711,W711,(N712-MAX(N$470:N712))/MAX(N$470:N712))</f>
        <v>-0.10311304065408976</v>
      </c>
      <c r="X712" s="564">
        <f>IF((O712-MAX(O$470:O712))/MAX(O$470:O712)&gt;X711,X711,(O712-MAX(O$470:O712))/MAX(O$470:O712))</f>
        <v>-0.12147101883973409</v>
      </c>
    </row>
    <row r="713" spans="1:24">
      <c r="A713" s="799">
        <v>41115</v>
      </c>
      <c r="B713">
        <v>8.8000000000000007</v>
      </c>
      <c r="C713">
        <v>12.415879</v>
      </c>
      <c r="D713">
        <v>1.6981109999999999</v>
      </c>
      <c r="E713">
        <f>LN(D713/参数实验室!$E$53)/参数实验室!$E$55</f>
        <v>-6.8269536305063952E-2</v>
      </c>
      <c r="F713">
        <f t="shared" si="58"/>
        <v>1.4108953409090907</v>
      </c>
      <c r="G713">
        <f>LN(F713/参数实验室!$E$58)/参数实验室!$E$59</f>
        <v>-9.8624059798814515E-3</v>
      </c>
      <c r="H713" s="856">
        <f>INDEX(神经网络!$G$10:$BO$70,MATCH(ROUND(G713*2,1)/2,神经网络!$E$10:$E$70,0),MATCH(ROUND(E713*2,1)/2,神经网络!$G$8:$BO$8,0))</f>
        <v>0.18748659045098026</v>
      </c>
      <c r="I713">
        <f t="shared" si="50"/>
        <v>1.1730998814572065</v>
      </c>
      <c r="J713">
        <f t="shared" si="51"/>
        <v>3.5114321056621867</v>
      </c>
      <c r="K713">
        <f t="shared" si="52"/>
        <v>0.33408018328635264</v>
      </c>
      <c r="L713" s="4">
        <f>MIN(MAX(L712*(1+MAX(MIN(((B713-B712)/B712)/($K$7*卓尔金历!$N$40),0),-卓尔金历!$M$43))+MIN(MAX(((B713-B712)/B712)/($K$7*卓尔金历!$N$40),0),卓尔金历!$M$43),0),1)</f>
        <v>0.90292253561080926</v>
      </c>
      <c r="M713" s="4">
        <f>MIN(MAX(M712*(1+MAX(MIN(((B713-B712)/B712)/($K$7*30),0),-卓尔金历!$M$43))+MIN(MAX(((B713-B712)/B712)/($K$7*7),0),卓尔金历!$M$43),0),1)</f>
        <v>1</v>
      </c>
      <c r="N713">
        <f t="shared" si="53"/>
        <v>1.1544567125784067</v>
      </c>
      <c r="O713">
        <f t="shared" si="54"/>
        <v>1.1894270641281484</v>
      </c>
      <c r="P713">
        <f t="shared" si="55"/>
        <v>2.3255813953488497E-2</v>
      </c>
      <c r="Q713">
        <f t="shared" si="56"/>
        <v>3.6922702667069367E-2</v>
      </c>
      <c r="R713">
        <f t="shared" si="57"/>
        <v>0.51622279647772529</v>
      </c>
      <c r="S713">
        <f t="shared" si="49"/>
        <v>1.1789240490230011</v>
      </c>
      <c r="T713" s="564">
        <f>IF((I713-MAX(I$470:I713))/MAX(I$470:I713)&gt;T712,T712,(I713-MAX(I$470:I713))/MAX(I$470:I713))</f>
        <v>-0.13666535856332884</v>
      </c>
      <c r="U713" s="564">
        <f>IF((J713-MAX(J$470:J713))/MAX(J$470:J713)&gt;U712,U712,(J713-MAX(J$470:J713))/MAX(J$470:J713))</f>
        <v>-0.40648897885739943</v>
      </c>
      <c r="V713" s="564">
        <f>IF((K713-MAX(K$470:K713))/MAX(K$470:K713)&gt;V712,V712,(K713-MAX(K$470:K713))/MAX(K$470:K713))</f>
        <v>-0.68158456867950912</v>
      </c>
      <c r="W713" s="564">
        <f>IF((N713-MAX(N$470:N713))/MAX(N$470:N713)&gt;W712,W712,(N713-MAX(N$470:N713))/MAX(N$470:N713))</f>
        <v>-0.10311304065408976</v>
      </c>
      <c r="X713" s="564">
        <f>IF((O713-MAX(O$470:O713))/MAX(O$470:O713)&gt;X712,X712,(O713-MAX(O$470:O713))/MAX(O$470:O713))</f>
        <v>-0.12147101883973409</v>
      </c>
    </row>
    <row r="714" spans="1:24">
      <c r="A714" s="799">
        <v>41116</v>
      </c>
      <c r="B714">
        <v>8.9</v>
      </c>
      <c r="C714">
        <v>12.289216</v>
      </c>
      <c r="D714">
        <v>1.7115009999999999</v>
      </c>
      <c r="E714">
        <f>LN(D714/参数实验室!$E$53)/参数实验室!$E$55</f>
        <v>-5.9003392740291469E-2</v>
      </c>
      <c r="F714">
        <f t="shared" si="58"/>
        <v>1.3808107865168537</v>
      </c>
      <c r="G714">
        <f>LN(F714/参数实验室!$E$58)/参数实验室!$E$59</f>
        <v>-2.117492281690924E-2</v>
      </c>
      <c r="H714" s="856">
        <f>INDEX(神经网络!$G$10:$BO$70,MATCH(ROUND(G714*2,1)/2,神经网络!$E$10:$E$70,0),MATCH(ROUND(E714*2,1)/2,神经网络!$G$8:$BO$8,0))</f>
        <v>0.18748659045098026</v>
      </c>
      <c r="I714">
        <f t="shared" si="50"/>
        <v>1.1755992052871254</v>
      </c>
      <c r="J714">
        <f t="shared" si="51"/>
        <v>3.5513347432265299</v>
      </c>
      <c r="K714">
        <f t="shared" si="52"/>
        <v>0.33103024363708572</v>
      </c>
      <c r="L714" s="4">
        <f>MIN(MAX(L713*(1+MAX(MIN(((B714-B713)/B713)/($K$7*卓尔金历!$N$40),0),-卓尔金历!$M$43))+MIN(MAX(((B714-B713)/B713)/($K$7*卓尔金历!$N$40),0),卓尔金历!$M$43),0),1)</f>
        <v>1</v>
      </c>
      <c r="M714" s="4">
        <f>MIN(MAX(M713*(1+MAX(MIN(((B714-B713)/B713)/($K$7*30),0),-卓尔金历!$M$43))+MIN(MAX(((B714-B713)/B713)/($K$7*7),0),卓尔金历!$M$43),0),1)</f>
        <v>1</v>
      </c>
      <c r="N714">
        <f t="shared" si="53"/>
        <v>1.1566775444675561</v>
      </c>
      <c r="O714">
        <f t="shared" si="54"/>
        <v>1.19196117350137</v>
      </c>
      <c r="P714">
        <f t="shared" si="55"/>
        <v>1.1363636363636322E-2</v>
      </c>
      <c r="Q714">
        <f t="shared" si="56"/>
        <v>3.6868858349401158E-2</v>
      </c>
      <c r="R714">
        <f t="shared" si="57"/>
        <v>1</v>
      </c>
      <c r="S714">
        <f t="shared" si="49"/>
        <v>1.1802206625415581</v>
      </c>
      <c r="T714" s="564">
        <f>IF((I714-MAX(I$470:I714))/MAX(I$470:I714)&gt;T713,T713,(I714-MAX(I$470:I714))/MAX(I$470:I714))</f>
        <v>-0.13666535856332884</v>
      </c>
      <c r="U714" s="564">
        <f>IF((J714-MAX(J$470:J714))/MAX(J$470:J714)&gt;U713,U713,(J714-MAX(J$470:J714))/MAX(J$470:J714))</f>
        <v>-0.40648897885739943</v>
      </c>
      <c r="V714" s="564">
        <f>IF((K714-MAX(K$470:K714))/MAX(K$470:K714)&gt;V713,V713,(K714-MAX(K$470:K714))/MAX(K$470:K714))</f>
        <v>-0.68158456867950912</v>
      </c>
      <c r="W714" s="564">
        <f>IF((N714-MAX(N$470:N714))/MAX(N$470:N714)&gt;W713,W713,(N714-MAX(N$470:N714))/MAX(N$470:N714))</f>
        <v>-0.10311304065408976</v>
      </c>
      <c r="X714" s="564">
        <f>IF((O714-MAX(O$470:O714))/MAX(O$470:O714)&gt;X713,X713,(O714-MAX(O$470:O714))/MAX(O$470:O714))</f>
        <v>-0.12147101883973409</v>
      </c>
    </row>
    <row r="715" spans="1:24">
      <c r="A715" s="799">
        <v>41117</v>
      </c>
      <c r="B715">
        <v>8.9</v>
      </c>
      <c r="C715">
        <v>12.206472</v>
      </c>
      <c r="D715">
        <v>1.710181</v>
      </c>
      <c r="E715">
        <f>LN(D715/参数实验室!$E$53)/参数实验室!$E$55</f>
        <v>-5.9913631832817275E-2</v>
      </c>
      <c r="F715">
        <f t="shared" si="58"/>
        <v>1.3715137078651685</v>
      </c>
      <c r="G715">
        <f>LN(F715/参数实验室!$E$58)/参数实验室!$E$59</f>
        <v>-2.4720745911823102E-2</v>
      </c>
      <c r="H715" s="856">
        <f>INDEX(神经网络!$G$10:$BO$70,MATCH(ROUND(G715*2,1)/2,神经网络!$E$10:$E$70,0),MATCH(ROUND(E715*2,1)/2,神经网络!$G$8:$BO$8,0))</f>
        <v>0.18748659045098026</v>
      </c>
      <c r="I715">
        <f t="shared" si="50"/>
        <v>1.1755992052871254</v>
      </c>
      <c r="J715">
        <f t="shared" si="51"/>
        <v>3.5513347432265299</v>
      </c>
      <c r="K715">
        <f t="shared" si="52"/>
        <v>0.33103024363708572</v>
      </c>
      <c r="L715" s="4">
        <f>MIN(MAX(L714*(1+MAX(MIN(((B715-B714)/B714)/($K$7*卓尔金历!$N$40),0),-卓尔金历!$M$43))+MIN(MAX(((B715-B714)/B714)/($K$7*卓尔金历!$N$40),0),卓尔金历!$M$43),0),1)</f>
        <v>1</v>
      </c>
      <c r="M715" s="4">
        <f>MIN(MAX(M714*(1+MAX(MIN(((B715-B714)/B714)/($K$7*30),0),-卓尔金历!$M$43))+MIN(MAX(((B715-B714)/B714)/($K$7*7),0),卓尔金历!$M$43),0),1)</f>
        <v>1</v>
      </c>
      <c r="N715">
        <f t="shared" si="53"/>
        <v>1.1566775444675561</v>
      </c>
      <c r="O715">
        <f t="shared" si="54"/>
        <v>1.19196117350137</v>
      </c>
      <c r="P715">
        <f t="shared" si="55"/>
        <v>0</v>
      </c>
      <c r="Q715">
        <f t="shared" si="56"/>
        <v>3.680006329167472E-2</v>
      </c>
      <c r="R715">
        <f t="shared" si="57"/>
        <v>1</v>
      </c>
      <c r="S715">
        <f t="shared" si="49"/>
        <v>1.1802206625415581</v>
      </c>
      <c r="T715" s="564">
        <f>IF((I715-MAX(I$470:I715))/MAX(I$470:I715)&gt;T714,T714,(I715-MAX(I$470:I715))/MAX(I$470:I715))</f>
        <v>-0.13666535856332884</v>
      </c>
      <c r="U715" s="564">
        <f>IF((J715-MAX(J$470:J715))/MAX(J$470:J715)&gt;U714,U714,(J715-MAX(J$470:J715))/MAX(J$470:J715))</f>
        <v>-0.40648897885739943</v>
      </c>
      <c r="V715" s="564">
        <f>IF((K715-MAX(K$470:K715))/MAX(K$470:K715)&gt;V714,V714,(K715-MAX(K$470:K715))/MAX(K$470:K715))</f>
        <v>-0.68158456867950912</v>
      </c>
      <c r="W715" s="564">
        <f>IF((N715-MAX(N$470:N715))/MAX(N$470:N715)&gt;W714,W714,(N715-MAX(N$470:N715))/MAX(N$470:N715))</f>
        <v>-0.10311304065408976</v>
      </c>
      <c r="X715" s="564">
        <f>IF((O715-MAX(O$470:O715))/MAX(O$470:O715)&gt;X714,X714,(O715-MAX(O$470:O715))/MAX(O$470:O715))</f>
        <v>-0.12147101883973409</v>
      </c>
    </row>
    <row r="716" spans="1:24">
      <c r="A716" s="799">
        <v>41118</v>
      </c>
      <c r="B716">
        <v>8.8880999999999997</v>
      </c>
      <c r="C716">
        <v>12.111393</v>
      </c>
      <c r="D716">
        <v>1.697157</v>
      </c>
      <c r="E716">
        <f>LN(D716/参数实验室!$E$53)/参数实验室!$E$55</f>
        <v>-6.8932508785803703E-2</v>
      </c>
      <c r="F716">
        <f t="shared" si="58"/>
        <v>1.3626526479225032</v>
      </c>
      <c r="G716">
        <f>LN(F716/参数实验室!$E$58)/参数实验室!$E$59</f>
        <v>-2.8122718443436005E-2</v>
      </c>
      <c r="H716" s="856">
        <f>INDEX(神经网络!$G$10:$BO$70,MATCH(ROUND(G716*2,1)/2,神经网络!$E$10:$E$70,0),MATCH(ROUND(E716*2,1)/2,神经网络!$G$8:$BO$8,0))</f>
        <v>9.8821301391201308E-2</v>
      </c>
      <c r="I716">
        <f t="shared" si="50"/>
        <v>1.1753045010026131</v>
      </c>
      <c r="J716">
        <f t="shared" si="51"/>
        <v>3.5465863293563729</v>
      </c>
      <c r="K716">
        <f t="shared" si="52"/>
        <v>0.33139035451476095</v>
      </c>
      <c r="L716" s="4">
        <f>MIN(MAX(L715*(1+MAX(MIN(((B716-B715)/B715)/($K$7*卓尔金历!$N$40),0),-卓尔金历!$M$43))+MIN(MAX(((B716-B715)/B715)/($K$7*卓尔金历!$N$40),0),卓尔金历!$M$43),0),1)</f>
        <v>0.97957072130064216</v>
      </c>
      <c r="M716" s="4">
        <f>MIN(MAX(M715*(1+MAX(MIN(((B716-B715)/B715)/($K$7*30),0),-卓尔金历!$M$43))+MIN(MAX(((B716-B715)/B715)/($K$7*7),0),卓尔金历!$M$43),0),1)</f>
        <v>0.98978536065032108</v>
      </c>
      <c r="N716">
        <f t="shared" si="53"/>
        <v>1.1563875835466735</v>
      </c>
      <c r="O716">
        <f t="shared" si="54"/>
        <v>1.1916623675280218</v>
      </c>
      <c r="P716">
        <f t="shared" si="55"/>
        <v>-1.3370786516854706E-3</v>
      </c>
      <c r="Q716">
        <f t="shared" si="56"/>
        <v>3.695040954141466E-2</v>
      </c>
      <c r="R716">
        <f t="shared" si="57"/>
        <v>1</v>
      </c>
      <c r="S716">
        <f t="shared" si="49"/>
        <v>1.1799247997301878</v>
      </c>
      <c r="T716" s="564">
        <f>IF((I716-MAX(I$470:I716))/MAX(I$470:I716)&gt;T715,T715,(I716-MAX(I$470:I716))/MAX(I$470:I716))</f>
        <v>-0.13666535856332884</v>
      </c>
      <c r="U716" s="564">
        <f>IF((J716-MAX(J$470:J716))/MAX(J$470:J716)&gt;U715,U715,(J716-MAX(J$470:J716))/MAX(J$470:J716))</f>
        <v>-0.40648897885739943</v>
      </c>
      <c r="V716" s="564">
        <f>IF((K716-MAX(K$470:K716))/MAX(K$470:K716)&gt;V715,V715,(K716-MAX(K$470:K716))/MAX(K$470:K716))</f>
        <v>-0.68158456867950912</v>
      </c>
      <c r="W716" s="564">
        <f>IF((N716-MAX(N$470:N716))/MAX(N$470:N716)&gt;W715,W715,(N716-MAX(N$470:N716))/MAX(N$470:N716))</f>
        <v>-0.10311304065408976</v>
      </c>
      <c r="X716" s="564">
        <f>IF((O716-MAX(O$470:O716))/MAX(O$470:O716)&gt;X715,X715,(O716-MAX(O$470:O716))/MAX(O$470:O716))</f>
        <v>-0.12147101883973409</v>
      </c>
    </row>
    <row r="717" spans="1:24">
      <c r="A717" s="799">
        <v>41119</v>
      </c>
      <c r="B717">
        <v>8.7103000000000002</v>
      </c>
      <c r="C717">
        <v>11.988864</v>
      </c>
      <c r="D717">
        <v>1.6750350000000001</v>
      </c>
      <c r="E717">
        <f>LN(D717/参数实验室!$E$53)/参数实验室!$E$55</f>
        <v>-8.4411387602830928E-2</v>
      </c>
      <c r="F717">
        <f t="shared" si="58"/>
        <v>1.3764008128307865</v>
      </c>
      <c r="G717">
        <f>LN(F717/参数实验室!$E$58)/参数实验室!$E$59</f>
        <v>-2.2853861417983234E-2</v>
      </c>
      <c r="H717" s="856">
        <f>INDEX(神经网络!$G$10:$BO$70,MATCH(ROUND(G717*2,1)/2,神经网络!$E$10:$E$70,0),MATCH(ROUND(E717*2,1)/2,神经网络!$G$8:$BO$8,0))</f>
        <v>0.14403683372405976</v>
      </c>
      <c r="I717">
        <f t="shared" si="50"/>
        <v>1.1729811020317533</v>
      </c>
      <c r="J717">
        <f t="shared" si="51"/>
        <v>3.475639439766971</v>
      </c>
      <c r="K717">
        <f t="shared" si="52"/>
        <v>0.33748641720741823</v>
      </c>
      <c r="L717" s="4">
        <f>MIN(MAX(L716*(1+MAX(MIN(((B717-B716)/B716)/($K$7*卓尔金历!$N$40),0),-卓尔金历!$M$43))+MIN(MAX(((B717-B716)/B716)/($K$7*卓尔金历!$N$40),0),卓尔金历!$M$43),0),1)</f>
        <v>0.68016872016607233</v>
      </c>
      <c r="M717" s="4">
        <f>MIN(MAX(M716*(1+MAX(MIN(((B717-B716)/B716)/($K$7*30),0),-卓尔金历!$M$43))+MIN(MAX(((B717-B716)/B716)/($K$7*7),0),卓尔金历!$M$43),0),1)</f>
        <v>0.83852332758397319</v>
      </c>
      <c r="N717">
        <f t="shared" si="53"/>
        <v>1.1541482818504529</v>
      </c>
      <c r="O717">
        <f t="shared" si="54"/>
        <v>1.1893306945264204</v>
      </c>
      <c r="P717">
        <f t="shared" si="55"/>
        <v>-2.000427537943987E-2</v>
      </c>
      <c r="Q717">
        <f t="shared" si="56"/>
        <v>3.7614832304116982E-2</v>
      </c>
      <c r="R717">
        <f t="shared" si="57"/>
        <v>0.69173526450595024</v>
      </c>
      <c r="S717">
        <f t="shared" si="49"/>
        <v>1.177592267128597</v>
      </c>
      <c r="T717" s="564">
        <f>IF((I717-MAX(I$470:I717))/MAX(I$470:I717)&gt;T716,T716,(I717-MAX(I$470:I717))/MAX(I$470:I717))</f>
        <v>-0.13666535856332884</v>
      </c>
      <c r="U717" s="564">
        <f>IF((J717-MAX(J$470:J717))/MAX(J$470:J717)&gt;U716,U716,(J717-MAX(J$470:J717))/MAX(J$470:J717))</f>
        <v>-0.40648897885739943</v>
      </c>
      <c r="V717" s="564">
        <f>IF((K717-MAX(K$470:K717))/MAX(K$470:K717)&gt;V716,V716,(K717-MAX(K$470:K717))/MAX(K$470:K717))</f>
        <v>-0.68158456867950912</v>
      </c>
      <c r="W717" s="564">
        <f>IF((N717-MAX(N$470:N717))/MAX(N$470:N717)&gt;W716,W716,(N717-MAX(N$470:N717))/MAX(N$470:N717))</f>
        <v>-0.10311304065408976</v>
      </c>
      <c r="X717" s="564">
        <f>IF((O717-MAX(O$470:O717))/MAX(O$470:O717)&gt;X716,X716,(O717-MAX(O$470:O717))/MAX(O$470:O717))</f>
        <v>-0.12147101883973409</v>
      </c>
    </row>
    <row r="718" spans="1:24">
      <c r="A718" s="799">
        <v>41120</v>
      </c>
      <c r="B718">
        <v>9.0980000000000008</v>
      </c>
      <c r="C718">
        <v>11.687163999999999</v>
      </c>
      <c r="D718">
        <v>1.7350779999999999</v>
      </c>
      <c r="E718">
        <f>LN(D718/参数实验室!$E$53)/参数实验室!$E$55</f>
        <v>-4.2862473808925099E-2</v>
      </c>
      <c r="F718">
        <f t="shared" si="58"/>
        <v>1.2845860628709604</v>
      </c>
      <c r="G718">
        <f>LN(F718/参数实验室!$E$58)/参数实验室!$E$59</f>
        <v>-5.9087395993417155E-2</v>
      </c>
      <c r="H718" s="856">
        <f>INDEX(神经网络!$G$10:$BO$70,MATCH(ROUND(G718*2,1)/2,神经网络!$E$10:$E$70,0),MATCH(ROUND(E718*2,1)/2,神经网络!$G$8:$BO$8,0))</f>
        <v>9.8821301391201308E-2</v>
      </c>
      <c r="I718">
        <f t="shared" si="50"/>
        <v>1.1805012652901119</v>
      </c>
      <c r="J718">
        <f t="shared" si="51"/>
        <v>3.6303419656039293</v>
      </c>
      <c r="K718">
        <f t="shared" si="52"/>
        <v>0.32517632676891045</v>
      </c>
      <c r="L718" s="4">
        <f>MIN(MAX(L717*(1+MAX(MIN(((B718-B717)/B717)/($K$7*卓尔金历!$N$40),0),-卓尔金历!$M$43))+MIN(MAX(((B718-B717)/B717)/($K$7*卓尔金历!$N$40),0),卓尔金历!$M$43),0),1)</f>
        <v>1</v>
      </c>
      <c r="M718" s="4">
        <f>MIN(MAX(M717*(1+MAX(MIN(((B718-B717)/B717)/($K$7*30),0),-卓尔金历!$M$43))+MIN(MAX(((B718-B717)/B717)/($K$7*7),0),卓尔金历!$M$43),0),1)</f>
        <v>1</v>
      </c>
      <c r="N718">
        <f t="shared" si="53"/>
        <v>1.1591811380144881</v>
      </c>
      <c r="O718">
        <f t="shared" si="54"/>
        <v>1.1957244206648698</v>
      </c>
      <c r="P718">
        <f t="shared" si="55"/>
        <v>4.4510522025647863E-2</v>
      </c>
      <c r="Q718">
        <f t="shared" si="56"/>
        <v>3.7997602621258786E-2</v>
      </c>
      <c r="R718">
        <f t="shared" si="57"/>
        <v>3.1664070201095559E-2</v>
      </c>
      <c r="S718">
        <f t="shared" si="49"/>
        <v>1.1828146789445768</v>
      </c>
      <c r="T718" s="564">
        <f>IF((I718-MAX(I$470:I718))/MAX(I$470:I718)&gt;T717,T717,(I718-MAX(I$470:I718))/MAX(I$470:I718))</f>
        <v>-0.13666535856332884</v>
      </c>
      <c r="U718" s="564">
        <f>IF((J718-MAX(J$470:J718))/MAX(J$470:J718)&gt;U717,U717,(J718-MAX(J$470:J718))/MAX(J$470:J718))</f>
        <v>-0.40648897885739943</v>
      </c>
      <c r="V718" s="564">
        <f>IF((K718-MAX(K$470:K718))/MAX(K$470:K718)&gt;V717,V717,(K718-MAX(K$470:K718))/MAX(K$470:K718))</f>
        <v>-0.68158456867950912</v>
      </c>
      <c r="W718" s="564">
        <f>IF((N718-MAX(N$470:N718))/MAX(N$470:N718)&gt;W717,W717,(N718-MAX(N$470:N718))/MAX(N$470:N718))</f>
        <v>-0.10311304065408976</v>
      </c>
      <c r="X718" s="564">
        <f>IF((O718-MAX(O$470:O718))/MAX(O$470:O718)&gt;X717,X717,(O718-MAX(O$470:O718))/MAX(O$470:O718))</f>
        <v>-0.12147101883973409</v>
      </c>
    </row>
    <row r="719" spans="1:24">
      <c r="A719" s="799">
        <v>41121</v>
      </c>
      <c r="B719">
        <v>9.35</v>
      </c>
      <c r="C719">
        <v>11.805040999999999</v>
      </c>
      <c r="D719">
        <v>1.7702469999999999</v>
      </c>
      <c r="E719">
        <f>LN(D719/参数实验室!$E$53)/参数实验室!$E$55</f>
        <v>-1.9188700852077557E-2</v>
      </c>
      <c r="F719">
        <f t="shared" si="58"/>
        <v>1.2625712299465239</v>
      </c>
      <c r="G719">
        <f>LN(F719/参数实验室!$E$58)/参数实验室!$E$59</f>
        <v>-6.8160146876638641E-2</v>
      </c>
      <c r="H719" s="856">
        <f>INDEX(神经网络!$G$10:$BO$70,MATCH(ROUND(G719*2,1)/2,神经网络!$E$10:$E$70,0),MATCH(ROUND(E719*2,1)/2,神经网络!$G$8:$BO$8,0))</f>
        <v>0.14419021982033148</v>
      </c>
      <c r="I719">
        <f t="shared" si="50"/>
        <v>1.1837325232781468</v>
      </c>
      <c r="J719">
        <f t="shared" si="51"/>
        <v>3.7308966122660729</v>
      </c>
      <c r="K719">
        <f t="shared" si="52"/>
        <v>0.31727829696121518</v>
      </c>
      <c r="L719" s="4">
        <f>MIN(MAX(L718*(1+MAX(MIN(((B719-B718)/B718)/($K$7*卓尔金历!$N$40),0),-卓尔金历!$M$43))+MIN(MAX(((B719-B718)/B718)/($K$7*卓尔金历!$N$40),0),卓尔金历!$M$43),0),1)</f>
        <v>1</v>
      </c>
      <c r="M719" s="4">
        <f>MIN(MAX(M718*(1+MAX(MIN(((B719-B718)/B718)/($K$7*30),0),-卓尔金历!$M$43))+MIN(MAX(((B719-B718)/B718)/($K$7*7),0),卓尔金历!$M$43),0),1)</f>
        <v>1</v>
      </c>
      <c r="N719">
        <f t="shared" si="53"/>
        <v>1.1623540387321067</v>
      </c>
      <c r="O719">
        <f t="shared" si="54"/>
        <v>1.1989973473438702</v>
      </c>
      <c r="P719">
        <f t="shared" si="55"/>
        <v>2.7698395251703548E-2</v>
      </c>
      <c r="Q719">
        <f t="shared" si="56"/>
        <v>3.8036011431878451E-2</v>
      </c>
      <c r="R719">
        <f t="shared" si="57"/>
        <v>0.36720778240994034</v>
      </c>
      <c r="S719">
        <f t="shared" si="49"/>
        <v>1.1829171942293497</v>
      </c>
      <c r="T719" s="564">
        <f>IF((I719-MAX(I$470:I719))/MAX(I$470:I719)&gt;T718,T718,(I719-MAX(I$470:I719))/MAX(I$470:I719))</f>
        <v>-0.13666535856332884</v>
      </c>
      <c r="U719" s="564">
        <f>IF((J719-MAX(J$470:J719))/MAX(J$470:J719)&gt;U718,U718,(J719-MAX(J$470:J719))/MAX(J$470:J719))</f>
        <v>-0.40648897885739943</v>
      </c>
      <c r="V719" s="564">
        <f>IF((K719-MAX(K$470:K719))/MAX(K$470:K719)&gt;V718,V718,(K719-MAX(K$470:K719))/MAX(K$470:K719))</f>
        <v>-0.6862116786239687</v>
      </c>
      <c r="W719" s="564">
        <f>IF((N719-MAX(N$470:N719))/MAX(N$470:N719)&gt;W718,W718,(N719-MAX(N$470:N719))/MAX(N$470:N719))</f>
        <v>-0.10311304065408976</v>
      </c>
      <c r="X719" s="564">
        <f>IF((O719-MAX(O$470:O719))/MAX(O$470:O719)&gt;X718,X718,(O719-MAX(O$470:O719))/MAX(O$470:O719))</f>
        <v>-0.12147101883973409</v>
      </c>
    </row>
    <row r="720" spans="1:24">
      <c r="A720" s="799">
        <v>41122</v>
      </c>
      <c r="B720">
        <v>9.5503</v>
      </c>
      <c r="C720">
        <v>11.97175</v>
      </c>
      <c r="D720">
        <v>1.8093109999999999</v>
      </c>
      <c r="E720">
        <f>LN(D720/参数实验室!$E$53)/参数实验室!$E$55</f>
        <v>6.5618026405362909E-3</v>
      </c>
      <c r="F720">
        <f t="shared" si="58"/>
        <v>1.2535470089944818</v>
      </c>
      <c r="G720">
        <f>LN(F720/参数实验室!$E$58)/参数实验室!$E$59</f>
        <v>-7.1925009026595377E-2</v>
      </c>
      <c r="H720" s="856">
        <f>INDEX(神经网络!$G$10:$BO$70,MATCH(ROUND(G720*2,1)/2,神经网络!$E$10:$E$70,0),MATCH(ROUND(E720*2,1)/2,神经网络!$G$8:$BO$8,0))</f>
        <v>0.14419021982033148</v>
      </c>
      <c r="I720">
        <f t="shared" si="50"/>
        <v>1.1873889655609076</v>
      </c>
      <c r="J720">
        <f t="shared" si="51"/>
        <v>3.810821595307452</v>
      </c>
      <c r="K720">
        <f t="shared" si="52"/>
        <v>0.31158345670734833</v>
      </c>
      <c r="L720" s="4">
        <f>MIN(MAX(L719*(1+MAX(MIN(((B720-B719)/B719)/($K$7*卓尔金历!$N$40),0),-卓尔金历!$M$43))+MIN(MAX(((B720-B719)/B719)/($K$7*卓尔金历!$N$40),0),卓尔金历!$M$43),0),1)</f>
        <v>1</v>
      </c>
      <c r="M720" s="4">
        <f>MIN(MAX(M719*(1+MAX(MIN(((B720-B719)/B719)/($K$7*30),0),-卓尔金历!$M$43))+MIN(MAX(((B720-B719)/B719)/($K$7*7),0),卓尔金历!$M$43),0),1)</f>
        <v>1</v>
      </c>
      <c r="N720">
        <f t="shared" si="53"/>
        <v>1.1659444448172482</v>
      </c>
      <c r="O720">
        <f t="shared" si="54"/>
        <v>1.2027009412821403</v>
      </c>
      <c r="P720">
        <f t="shared" si="55"/>
        <v>2.1422459893048168E-2</v>
      </c>
      <c r="Q720">
        <f t="shared" si="56"/>
        <v>3.7799198978616735E-2</v>
      </c>
      <c r="R720">
        <f t="shared" si="57"/>
        <v>0.62748269689536595</v>
      </c>
      <c r="S720">
        <f t="shared" si="49"/>
        <v>1.1842589434870108</v>
      </c>
      <c r="T720" s="564">
        <f>IF((I720-MAX(I$470:I720))/MAX(I$470:I720)&gt;T719,T719,(I720-MAX(I$470:I720))/MAX(I$470:I720))</f>
        <v>-0.13666535856332884</v>
      </c>
      <c r="U720" s="564">
        <f>IF((J720-MAX(J$470:J720))/MAX(J$470:J720)&gt;U719,U719,(J720-MAX(J$470:J720))/MAX(J$470:J720))</f>
        <v>-0.40648897885739943</v>
      </c>
      <c r="V720" s="564">
        <f>IF((K720-MAX(K$470:K720))/MAX(K$470:K720)&gt;V719,V719,(K720-MAX(K$470:K720))/MAX(K$470:K720))</f>
        <v>-0.69184387717294149</v>
      </c>
      <c r="W720" s="564">
        <f>IF((N720-MAX(N$470:N720))/MAX(N$470:N720)&gt;W719,W719,(N720-MAX(N$470:N720))/MAX(N$470:N720))</f>
        <v>-0.10311304065408976</v>
      </c>
      <c r="X720" s="564">
        <f>IF((O720-MAX(O$470:O720))/MAX(O$470:O720)&gt;X719,X719,(O720-MAX(O$470:O720))/MAX(O$470:O720))</f>
        <v>-0.12147101883973409</v>
      </c>
    </row>
    <row r="721" spans="1:24">
      <c r="A721" s="799">
        <v>41123</v>
      </c>
      <c r="B721">
        <v>10.53</v>
      </c>
      <c r="C721">
        <v>11.967307</v>
      </c>
      <c r="D721">
        <v>1.9719370000000001</v>
      </c>
      <c r="E721">
        <f>LN(D721/参数实验室!$E$53)/参数实验室!$E$55</f>
        <v>0.10810339863016032</v>
      </c>
      <c r="F721">
        <f t="shared" si="58"/>
        <v>1.1364963912630579</v>
      </c>
      <c r="G721">
        <f>LN(F721/参数实验室!$E$58)/参数实验室!$E$59</f>
        <v>-0.12337485064477079</v>
      </c>
      <c r="H721" s="856">
        <f>INDEX(神经网络!$G$10:$BO$70,MATCH(ROUND(G721*2,1)/2,神经网络!$E$10:$E$70,0),MATCH(ROUND(E721*2,1)/2,神经网络!$G$8:$BO$8,0))</f>
        <v>0.14425010747060138</v>
      </c>
      <c r="I721">
        <f t="shared" si="50"/>
        <v>1.2049522165032387</v>
      </c>
      <c r="J721">
        <f t="shared" si="51"/>
        <v>4.2017477355253208</v>
      </c>
      <c r="K721">
        <f t="shared" si="52"/>
        <v>0.28677405031137365</v>
      </c>
      <c r="L721" s="4">
        <f>MIN(MAX(L720*(1+MAX(MIN(((B721-B720)/B720)/($K$7*卓尔金历!$N$40),0),-卓尔金历!$M$43))+MIN(MAX(((B721-B720)/B720)/($K$7*卓尔金历!$N$40),0),卓尔金历!$M$43),0),1)</f>
        <v>1</v>
      </c>
      <c r="M721" s="4">
        <f>MIN(MAX(M720*(1+MAX(MIN(((B721-B720)/B720)/($K$7*30),0),-卓尔金历!$M$43))+MIN(MAX(((B721-B720)/B720)/($K$7*7),0),卓尔金历!$M$43),0),1)</f>
        <v>1</v>
      </c>
      <c r="N721">
        <f t="shared" si="53"/>
        <v>1.1831904993647309</v>
      </c>
      <c r="O721">
        <f t="shared" si="54"/>
        <v>1.2204906791464616</v>
      </c>
      <c r="P721">
        <f t="shared" si="55"/>
        <v>0.10258316492675616</v>
      </c>
      <c r="Q721">
        <f t="shared" si="56"/>
        <v>3.9427550055778499E-2</v>
      </c>
      <c r="R721">
        <f t="shared" si="57"/>
        <v>1.6552638608434245E-3</v>
      </c>
      <c r="S721">
        <f t="shared" si="49"/>
        <v>1.1952505285568109</v>
      </c>
      <c r="T721" s="564">
        <f>IF((I721-MAX(I$470:I721))/MAX(I$470:I721)&gt;T720,T720,(I721-MAX(I$470:I721))/MAX(I$470:I721))</f>
        <v>-0.13666535856332884</v>
      </c>
      <c r="U721" s="564">
        <f>IF((J721-MAX(J$470:J721))/MAX(J$470:J721)&gt;U720,U720,(J721-MAX(J$470:J721))/MAX(J$470:J721))</f>
        <v>-0.40648897885739943</v>
      </c>
      <c r="V721" s="564">
        <f>IF((K721-MAX(K$470:K721))/MAX(K$470:K721)&gt;V720,V720,(K721-MAX(K$470:K721))/MAX(K$470:K721))</f>
        <v>-0.71638038679837079</v>
      </c>
      <c r="W721" s="564">
        <f>IF((N721-MAX(N$470:N721))/MAX(N$470:N721)&gt;W720,W720,(N721-MAX(N$470:N721))/MAX(N$470:N721))</f>
        <v>-0.10311304065408976</v>
      </c>
      <c r="X721" s="564">
        <f>IF((O721-MAX(O$470:O721))/MAX(O$470:O721)&gt;X720,X720,(O721-MAX(O$470:O721))/MAX(O$470:O721))</f>
        <v>-0.12147101883973409</v>
      </c>
    </row>
    <row r="722" spans="1:24">
      <c r="A722" s="799">
        <v>41124</v>
      </c>
      <c r="B722">
        <v>10.97</v>
      </c>
      <c r="C722">
        <v>11.908073999999999</v>
      </c>
      <c r="D722">
        <v>2.026027</v>
      </c>
      <c r="E722">
        <f>LN(D722/参数实验室!$E$53)/参数实验室!$E$55</f>
        <v>0.14002802172352286</v>
      </c>
      <c r="F722">
        <f t="shared" si="58"/>
        <v>1.0855126709206926</v>
      </c>
      <c r="G722">
        <f>LN(F722/参数实验室!$E$58)/参数实验室!$E$59</f>
        <v>-0.14746449960907695</v>
      </c>
      <c r="H722" s="856">
        <f>INDEX(神经网络!$G$10:$BO$70,MATCH(ROUND(G722*2,1)/2,神经网络!$E$10:$E$70,0),MATCH(ROUND(E722*2,1)/2,神经网络!$G$8:$BO$8,0))</f>
        <v>9.8907609325982332E-2</v>
      </c>
      <c r="I722">
        <f t="shared" si="50"/>
        <v>1.2122151200322144</v>
      </c>
      <c r="J722">
        <f t="shared" si="51"/>
        <v>4.3773193408084312</v>
      </c>
      <c r="K722">
        <f t="shared" si="52"/>
        <v>0.27693093093096899</v>
      </c>
      <c r="L722" s="4">
        <f>MIN(MAX(L721*(1+MAX(MIN(((B722-B721)/B721)/($K$7*卓尔金历!$N$40),0),-卓尔金历!$M$43))+MIN(MAX(((B722-B721)/B721)/($K$7*卓尔金历!$N$40),0),卓尔金历!$M$43),0),1)</f>
        <v>1</v>
      </c>
      <c r="M722" s="4">
        <f>MIN(MAX(M721*(1+MAX(MIN(((B722-B721)/B721)/($K$7*30),0),-卓尔金历!$M$43))+MIN(MAX(((B722-B721)/B721)/($K$7*7),0),卓尔金历!$M$43),0),1)</f>
        <v>1</v>
      </c>
      <c r="N722">
        <f t="shared" si="53"/>
        <v>1.1903222331676071</v>
      </c>
      <c r="O722">
        <f t="shared" si="54"/>
        <v>1.2278472414559438</v>
      </c>
      <c r="P722">
        <f t="shared" si="55"/>
        <v>4.1785375118708577E-2</v>
      </c>
      <c r="Q722">
        <f t="shared" si="56"/>
        <v>3.9284529318512007E-2</v>
      </c>
      <c r="R722">
        <f t="shared" si="57"/>
        <v>3.6994254539914985E-2</v>
      </c>
      <c r="S722">
        <f t="shared" si="49"/>
        <v>1.1952624537830878</v>
      </c>
      <c r="T722" s="564">
        <f>IF((I722-MAX(I$470:I722))/MAX(I$470:I722)&gt;T721,T721,(I722-MAX(I$470:I722))/MAX(I$470:I722))</f>
        <v>-0.13666535856332884</v>
      </c>
      <c r="U722" s="564">
        <f>IF((J722-MAX(J$470:J722))/MAX(J$470:J722)&gt;U721,U721,(J722-MAX(J$470:J722))/MAX(J$470:J722))</f>
        <v>-0.40648897885739943</v>
      </c>
      <c r="V722" s="564">
        <f>IF((K722-MAX(K$470:K722))/MAX(K$470:K722)&gt;V721,V721,(K722-MAX(K$470:K722))/MAX(K$470:K722))</f>
        <v>-0.72611523452373739</v>
      </c>
      <c r="W722" s="564">
        <f>IF((N722-MAX(N$470:N722))/MAX(N$470:N722)&gt;W721,W721,(N722-MAX(N$470:N722))/MAX(N$470:N722))</f>
        <v>-0.10311304065408976</v>
      </c>
      <c r="X722" s="564">
        <f>IF((O722-MAX(O$470:O722))/MAX(O$470:O722)&gt;X721,X721,(O722-MAX(O$470:O722))/MAX(O$470:O722))</f>
        <v>-0.12147101883973409</v>
      </c>
    </row>
    <row r="723" spans="1:24">
      <c r="A723" s="799">
        <v>41125</v>
      </c>
      <c r="B723">
        <v>10.984</v>
      </c>
      <c r="C723">
        <v>11.848105</v>
      </c>
      <c r="D723">
        <v>2.0158369999999999</v>
      </c>
      <c r="E723">
        <f>LN(D723/参数实验室!$E$53)/参数实验室!$E$55</f>
        <v>0.13407942423178015</v>
      </c>
      <c r="F723">
        <f t="shared" si="58"/>
        <v>1.0786694282592864</v>
      </c>
      <c r="G723">
        <f>LN(F723/参数实验室!$E$58)/参数实验室!$E$59</f>
        <v>-0.15078373559263777</v>
      </c>
      <c r="H723" s="856">
        <f>INDEX(神经网络!$G$10:$BO$70,MATCH(ROUND(G723*2,1)/2,神经网络!$E$10:$E$70,0),MATCH(ROUND(E723*2,1)/2,神经网络!$G$8:$BO$8,0))</f>
        <v>9.8907609325982332E-2</v>
      </c>
      <c r="I723">
        <f t="shared" si="50"/>
        <v>1.212368133905793</v>
      </c>
      <c r="J723">
        <f t="shared" si="51"/>
        <v>4.3829057100674396</v>
      </c>
      <c r="K723">
        <f t="shared" si="52"/>
        <v>0.27661287148409552</v>
      </c>
      <c r="L723" s="4">
        <f>MIN(MAX(L722*(1+MAX(MIN(((B723-B722)/B722)/($K$7*卓尔金历!$N$40),0),-卓尔金历!$M$43))+MIN(MAX(((B723-B722)/B722)/($K$7*卓尔金历!$N$40),0),卓尔金历!$M$43),0),1)</f>
        <v>1</v>
      </c>
      <c r="M723" s="4">
        <f>MIN(MAX(M722*(1+MAX(MIN(((B723-B722)/B722)/($K$7*30),0),-卓尔金历!$M$43))+MIN(MAX(((B723-B722)/B722)/($K$7*7),0),卓尔金历!$M$43),0),1)</f>
        <v>1</v>
      </c>
      <c r="N723">
        <f t="shared" si="53"/>
        <v>1.1904724835750584</v>
      </c>
      <c r="O723">
        <f t="shared" si="54"/>
        <v>1.2280022285200987</v>
      </c>
      <c r="P723">
        <f t="shared" si="55"/>
        <v>1.2762078395623833E-3</v>
      </c>
      <c r="Q723">
        <f t="shared" si="56"/>
        <v>3.873981605952264E-2</v>
      </c>
      <c r="R723">
        <f t="shared" si="57"/>
        <v>1</v>
      </c>
      <c r="S723">
        <f t="shared" si="49"/>
        <v>1.1952680352540634</v>
      </c>
      <c r="T723" s="564">
        <f>IF((I723-MAX(I$470:I723))/MAX(I$470:I723)&gt;T722,T722,(I723-MAX(I$470:I723))/MAX(I$470:I723))</f>
        <v>-0.13666535856332884</v>
      </c>
      <c r="U723" s="564">
        <f>IF((J723-MAX(J$470:J723))/MAX(J$470:J723)&gt;U722,U722,(J723-MAX(J$470:J723))/MAX(J$470:J723))</f>
        <v>-0.40648897885739943</v>
      </c>
      <c r="V723" s="564">
        <f>IF((K723-MAX(K$470:K723))/MAX(K$470:K723)&gt;V722,V722,(K723-MAX(K$470:K723))/MAX(K$470:K723))</f>
        <v>-0.72642979540258756</v>
      </c>
      <c r="W723" s="564">
        <f>IF((N723-MAX(N$470:N723))/MAX(N$470:N723)&gt;W722,W722,(N723-MAX(N$470:N723))/MAX(N$470:N723))</f>
        <v>-0.10311304065408976</v>
      </c>
      <c r="X723" s="564">
        <f>IF((O723-MAX(O$470:O723))/MAX(O$470:O723)&gt;X722,X722,(O723-MAX(O$470:O723))/MAX(O$470:O723))</f>
        <v>-0.12147101883973409</v>
      </c>
    </row>
    <row r="724" spans="1:24">
      <c r="A724" s="799">
        <v>41126</v>
      </c>
      <c r="B724">
        <v>10.87</v>
      </c>
      <c r="C724">
        <v>12.000456</v>
      </c>
      <c r="D724">
        <v>1.9855769999999999</v>
      </c>
      <c r="E724">
        <f>LN(D724/参数实验室!$E$53)/参数实验室!$E$55</f>
        <v>0.11623572511952346</v>
      </c>
      <c r="F724">
        <f t="shared" si="58"/>
        <v>1.1039977920883166</v>
      </c>
      <c r="G724">
        <f>LN(F724/参数实验室!$E$58)/参数实验室!$E$59</f>
        <v>-0.1386020426666188</v>
      </c>
      <c r="H724" s="856">
        <f>INDEX(神经网络!$G$10:$BO$70,MATCH(ROUND(G724*2,1)/2,神经网络!$E$10:$E$70,0),MATCH(ROUND(E724*2,1)/2,神经网络!$G$8:$BO$8,0))</f>
        <v>5.2253386166092243E-2</v>
      </c>
      <c r="I724">
        <f t="shared" si="50"/>
        <v>1.2111235948082666</v>
      </c>
      <c r="J724">
        <f t="shared" si="51"/>
        <v>4.337416703244088</v>
      </c>
      <c r="K724">
        <f t="shared" si="52"/>
        <v>0.27922694028969591</v>
      </c>
      <c r="L724" s="4">
        <f>MIN(MAX(L723*(1+MAX(MIN(((B724-B723)/B723)/($K$7*卓尔金历!$N$40),0),-卓尔金历!$M$43))+MIN(MAX(((B724-B723)/B723)/($K$7*卓尔金历!$N$40),0),卓尔金历!$M$43),0),1)</f>
        <v>0.84142292403643326</v>
      </c>
      <c r="M724" s="4">
        <f>MIN(MAX(M723*(1+MAX(MIN(((B724-B723)/B723)/($K$7*30),0),-卓尔金历!$M$43))+MIN(MAX(((B724-B723)/B723)/($K$7*7),0),卓尔金历!$M$43),0),1)</f>
        <v>0.92071146201821663</v>
      </c>
      <c r="N724">
        <f t="shared" si="53"/>
        <v>1.1892504211429444</v>
      </c>
      <c r="O724">
        <f t="shared" si="54"/>
        <v>1.2267416404672609</v>
      </c>
      <c r="P724">
        <f t="shared" si="55"/>
        <v>-1.0378732702112233E-2</v>
      </c>
      <c r="Q724">
        <f t="shared" si="56"/>
        <v>3.920455296343963E-2</v>
      </c>
      <c r="R724">
        <f t="shared" si="57"/>
        <v>1</v>
      </c>
      <c r="S724">
        <f t="shared" si="49"/>
        <v>1.1940410500172403</v>
      </c>
      <c r="T724" s="564">
        <f>IF((I724-MAX(I$470:I724))/MAX(I$470:I724)&gt;T723,T723,(I724-MAX(I$470:I724))/MAX(I$470:I724))</f>
        <v>-0.13666535856332884</v>
      </c>
      <c r="U724" s="564">
        <f>IF((J724-MAX(J$470:J724))/MAX(J$470:J724)&gt;U723,U723,(J724-MAX(J$470:J724))/MAX(J$470:J724))</f>
        <v>-0.40648897885739943</v>
      </c>
      <c r="V724" s="564">
        <f>IF((K724-MAX(K$470:K724))/MAX(K$470:K724)&gt;V723,V723,(K724-MAX(K$470:K724))/MAX(K$470:K724))</f>
        <v>-0.72642979540258756</v>
      </c>
      <c r="W724" s="564">
        <f>IF((N724-MAX(N$470:N724))/MAX(N$470:N724)&gt;W723,W723,(N724-MAX(N$470:N724))/MAX(N$470:N724))</f>
        <v>-0.10311304065408976</v>
      </c>
      <c r="X724" s="564">
        <f>IF((O724-MAX(O$470:O724))/MAX(O$470:O724)&gt;X723,X723,(O724-MAX(O$470:O724))/MAX(O$470:O724))</f>
        <v>-0.12147101883973409</v>
      </c>
    </row>
    <row r="725" spans="1:24">
      <c r="A725" s="799">
        <v>41127</v>
      </c>
      <c r="B725">
        <v>10.8552</v>
      </c>
      <c r="C725">
        <v>12.234837000000001</v>
      </c>
      <c r="D725">
        <v>1.989236</v>
      </c>
      <c r="E725">
        <f>LN(D725/参数实验室!$E$53)/参数实验室!$E$55</f>
        <v>0.11840776105632447</v>
      </c>
      <c r="F725">
        <f t="shared" si="58"/>
        <v>1.1270945721866019</v>
      </c>
      <c r="G725">
        <f>LN(F725/参数实验室!$E$58)/参数实验室!$E$59</f>
        <v>-0.12773483547503139</v>
      </c>
      <c r="H725" s="856">
        <f>INDEX(神经网络!$G$10:$BO$70,MATCH(ROUND(G725*2,1)/2,神经网络!$E$10:$E$70,0),MATCH(ROUND(E725*2,1)/2,神经网络!$G$8:$BO$8,0))</f>
        <v>5.2253386166092243E-2</v>
      </c>
      <c r="I725">
        <f t="shared" si="50"/>
        <v>1.2110374289783092</v>
      </c>
      <c r="J725">
        <f t="shared" si="51"/>
        <v>4.3315111128845656</v>
      </c>
      <c r="K725">
        <f t="shared" si="52"/>
        <v>0.27958774603531378</v>
      </c>
      <c r="L725" s="4">
        <f>MIN(MAX(L724*(1+MAX(MIN(((B725-B724)/B724)/($K$7*卓尔金历!$N$40),0),-卓尔金历!$M$43))+MIN(MAX(((B725-B724)/B724)/($K$7*卓尔金历!$N$40),0),卓尔金历!$M$43),0),1)</f>
        <v>0.82391871102573622</v>
      </c>
      <c r="M725" s="4">
        <f>MIN(MAX(M724*(1+MAX(MIN(((B725-B724)/B724)/($K$7*30),0),-卓尔金历!$M$43))+MIN(MAX(((B725-B724)/B724)/($K$7*7),0),卓尔金历!$M$43),0),1)</f>
        <v>0.91113463145407858</v>
      </c>
      <c r="N725">
        <f t="shared" si="53"/>
        <v>1.1891792286396008</v>
      </c>
      <c r="O725">
        <f t="shared" si="54"/>
        <v>1.2266612835500115</v>
      </c>
      <c r="P725">
        <f t="shared" si="55"/>
        <v>-1.3615455381784046E-3</v>
      </c>
      <c r="Q725">
        <f t="shared" si="56"/>
        <v>3.2726538066471057E-2</v>
      </c>
      <c r="R725">
        <f t="shared" si="57"/>
        <v>1</v>
      </c>
      <c r="S725">
        <f t="shared" si="49"/>
        <v>1.1939560995311636</v>
      </c>
      <c r="T725" s="564">
        <f>IF((I725-MAX(I$470:I725))/MAX(I$470:I725)&gt;T724,T724,(I725-MAX(I$470:I725))/MAX(I$470:I725))</f>
        <v>-0.13666535856332884</v>
      </c>
      <c r="U725" s="564">
        <f>IF((J725-MAX(J$470:J725))/MAX(J$470:J725)&gt;U724,U724,(J725-MAX(J$470:J725))/MAX(J$470:J725))</f>
        <v>-0.40648897885739943</v>
      </c>
      <c r="V725" s="564">
        <f>IF((K725-MAX(K$470:K725))/MAX(K$470:K725)&gt;V724,V724,(K725-MAX(K$470:K725))/MAX(K$470:K725))</f>
        <v>-0.72642979540258756</v>
      </c>
      <c r="W725" s="564">
        <f>IF((N725-MAX(N$470:N725))/MAX(N$470:N725)&gt;W724,W724,(N725-MAX(N$470:N725))/MAX(N$470:N725))</f>
        <v>-0.10311304065408976</v>
      </c>
      <c r="X725" s="564">
        <f>IF((O725-MAX(O$470:O725))/MAX(O$470:O725)&gt;X724,X724,(O725-MAX(O$470:O725))/MAX(O$470:O725))</f>
        <v>-0.12147101883973409</v>
      </c>
    </row>
    <row r="726" spans="1:24">
      <c r="A726" s="799">
        <v>41128</v>
      </c>
      <c r="B726">
        <v>11.1</v>
      </c>
      <c r="C726">
        <v>12.182137000000001</v>
      </c>
      <c r="D726">
        <v>1.9967760000000001</v>
      </c>
      <c r="E726">
        <f>LN(D726/参数实验室!$E$53)/参数实验室!$E$55</f>
        <v>0.12287104419213168</v>
      </c>
      <c r="F726">
        <f t="shared" si="58"/>
        <v>1.09748981981982</v>
      </c>
      <c r="G726">
        <f>LN(F726/参数实验室!$E$58)/参数实验室!$E$59</f>
        <v>-0.14170516756174148</v>
      </c>
      <c r="H726" s="856">
        <f>INDEX(神经网络!$G$10:$BO$70,MATCH(ROUND(G726*2,1)/2,神经网络!$E$10:$E$70,0),MATCH(ROUND(E726*2,1)/2,神经网络!$G$8:$BO$8,0))</f>
        <v>5.2253386166092243E-2</v>
      </c>
      <c r="I726">
        <f t="shared" si="50"/>
        <v>1.2124645000056529</v>
      </c>
      <c r="J726">
        <f t="shared" si="51"/>
        <v>4.4291927696420768</v>
      </c>
      <c r="K726">
        <f t="shared" si="52"/>
        <v>0.27374389941118599</v>
      </c>
      <c r="L726" s="4">
        <f>MIN(MAX(L725*(1+MAX(MIN(((B726-B725)/B725)/($K$7*卓尔金历!$N$40),0),-卓尔金历!$M$43))+MIN(MAX(((B726-B725)/B725)/($K$7*卓尔金历!$N$40),0),卓尔金历!$M$43),0),1)</f>
        <v>1</v>
      </c>
      <c r="M726" s="4">
        <f>MIN(MAX(M725*(1+MAX(MIN(((B726-B725)/B725)/($K$7*30),0),-卓尔金历!$M$43))+MIN(MAX(((B726-B725)/B725)/($K$7*7),0),卓尔金历!$M$43),0),1)</f>
        <v>1</v>
      </c>
      <c r="N726">
        <f t="shared" si="53"/>
        <v>1.1903337971374954</v>
      </c>
      <c r="O726">
        <f t="shared" si="54"/>
        <v>1.2279783122391947</v>
      </c>
      <c r="P726">
        <f t="shared" si="55"/>
        <v>2.2551403935441049E-2</v>
      </c>
      <c r="Q726">
        <f t="shared" si="56"/>
        <v>3.2408388687769844E-2</v>
      </c>
      <c r="R726">
        <f t="shared" si="57"/>
        <v>0.40721381114944594</v>
      </c>
      <c r="S726">
        <f t="shared" si="49"/>
        <v>1.1953630421382129</v>
      </c>
      <c r="T726" s="564">
        <f>IF((I726-MAX(I$470:I726))/MAX(I$470:I726)&gt;T725,T725,(I726-MAX(I$470:I726))/MAX(I$470:I726))</f>
        <v>-0.13666535856332884</v>
      </c>
      <c r="U726" s="564">
        <f>IF((J726-MAX(J$470:J726))/MAX(J$470:J726)&gt;U725,U725,(J726-MAX(J$470:J726))/MAX(J$470:J726))</f>
        <v>-0.40648897885739943</v>
      </c>
      <c r="V726" s="564">
        <f>IF((K726-MAX(K$470:K726))/MAX(K$470:K726)&gt;V725,V725,(K726-MAX(K$470:K726))/MAX(K$470:K726))</f>
        <v>-0.72926720955746438</v>
      </c>
      <c r="W726" s="564">
        <f>IF((N726-MAX(N$470:N726))/MAX(N$470:N726)&gt;W725,W725,(N726-MAX(N$470:N726))/MAX(N$470:N726))</f>
        <v>-0.10311304065408976</v>
      </c>
      <c r="X726" s="564">
        <f>IF((O726-MAX(O$470:O726))/MAX(O$470:O726)&gt;X725,X725,(O726-MAX(O$470:O726))/MAX(O$470:O726))</f>
        <v>-0.12147101883973409</v>
      </c>
    </row>
    <row r="727" spans="1:24">
      <c r="A727" s="799">
        <v>41129</v>
      </c>
      <c r="B727">
        <v>11.055300000000001</v>
      </c>
      <c r="C727">
        <v>12.193464000000001</v>
      </c>
      <c r="D727">
        <v>2.0079030000000002</v>
      </c>
      <c r="E727">
        <f>LN(D727/参数实验室!$E$53)/参数实验室!$E$55</f>
        <v>0.12942694948518793</v>
      </c>
      <c r="F727">
        <f t="shared" si="58"/>
        <v>1.1029518873300588</v>
      </c>
      <c r="G727">
        <f>LN(F727/参数实验室!$E$58)/参数实验室!$E$59</f>
        <v>-0.13909951425581379</v>
      </c>
      <c r="H727" s="856">
        <f>INDEX(神经网络!$G$10:$BO$70,MATCH(ROUND(G727*2,1)/2,神经网络!$E$10:$E$70,0),MATCH(ROUND(E727*2,1)/2,神经网络!$G$8:$BO$8,0))</f>
        <v>9.8907609325982332E-2</v>
      </c>
      <c r="I727">
        <f t="shared" si="50"/>
        <v>1.2122093661952749</v>
      </c>
      <c r="J727">
        <f t="shared" si="51"/>
        <v>4.4113562906508159</v>
      </c>
      <c r="K727">
        <f t="shared" si="52"/>
        <v>0.27479289504780291</v>
      </c>
      <c r="L727" s="4">
        <f>MIN(MAX(L726*(1+MAX(MIN(((B727-B726)/B726)/($K$7*卓尔金历!$N$40),0),-卓尔金历!$M$43))+MIN(MAX(((B727-B726)/B726)/($K$7*卓尔金历!$N$40),0),卓尔金历!$M$43),0),1)</f>
        <v>0.93847089147577512</v>
      </c>
      <c r="M727" s="4">
        <f>MIN(MAX(M726*(1+MAX(MIN(((B727-B726)/B726)/($K$7*30),0),-卓尔金历!$M$43))+MIN(MAX(((B727-B726)/B726)/($K$7*7),0),卓尔金历!$M$43),0),1)</f>
        <v>0.96923544573788756</v>
      </c>
      <c r="N727">
        <f t="shared" si="53"/>
        <v>1.1900833201979364</v>
      </c>
      <c r="O727">
        <f t="shared" si="54"/>
        <v>1.2277199139224921</v>
      </c>
      <c r="P727">
        <f t="shared" si="55"/>
        <v>-4.027027027026924E-3</v>
      </c>
      <c r="Q727">
        <f t="shared" si="56"/>
        <v>3.2125229020846996E-2</v>
      </c>
      <c r="R727">
        <f t="shared" si="57"/>
        <v>1</v>
      </c>
      <c r="S727">
        <f t="shared" ref="S727:S790" si="59">S726*(1+(B727-B726)/B726*H726*R726)</f>
        <v>1.1952606135216393</v>
      </c>
      <c r="T727" s="564">
        <f>IF((I727-MAX(I$470:I727))/MAX(I$470:I727)&gt;T726,T726,(I727-MAX(I$470:I727))/MAX(I$470:I727))</f>
        <v>-0.13666535856332884</v>
      </c>
      <c r="U727" s="564">
        <f>IF((J727-MAX(J$470:J727))/MAX(J$470:J727)&gt;U726,U726,(J727-MAX(J$470:J727))/MAX(J$470:J727))</f>
        <v>-0.40648897885739943</v>
      </c>
      <c r="V727" s="564">
        <f>IF((K727-MAX(K$470:K727))/MAX(K$470:K727)&gt;V726,V726,(K727-MAX(K$470:K727))/MAX(K$470:K727))</f>
        <v>-0.72926720955746438</v>
      </c>
      <c r="W727" s="564">
        <f>IF((N727-MAX(N$470:N727))/MAX(N$470:N727)&gt;W726,W726,(N727-MAX(N$470:N727))/MAX(N$470:N727))</f>
        <v>-0.10311304065408976</v>
      </c>
      <c r="X727" s="564">
        <f>IF((O727-MAX(O$470:O727))/MAX(O$470:O727)&gt;X726,X726,(O727-MAX(O$470:O727))/MAX(O$470:O727))</f>
        <v>-0.12147101883973409</v>
      </c>
    </row>
    <row r="728" spans="1:24">
      <c r="A728" s="799">
        <v>41130</v>
      </c>
      <c r="B728">
        <v>11.0611</v>
      </c>
      <c r="C728">
        <v>12.071790999999999</v>
      </c>
      <c r="D728">
        <v>2.0067140000000001</v>
      </c>
      <c r="E728">
        <f>LN(D728/参数实验室!$E$53)/参数实验室!$E$55</f>
        <v>0.12872813978648093</v>
      </c>
      <c r="F728">
        <f t="shared" si="58"/>
        <v>1.091373461952247</v>
      </c>
      <c r="G728">
        <f>LN(F728/参数实验室!$E$58)/参数实验室!$E$59</f>
        <v>-0.14463838274949423</v>
      </c>
      <c r="H728" s="856">
        <f>INDEX(神经网络!$G$10:$BO$70,MATCH(ROUND(G728*2,1)/2,神经网络!$E$10:$E$70,0),MATCH(ROUND(E728*2,1)/2,神经网络!$G$8:$BO$8,0))</f>
        <v>9.8907609325982332E-2</v>
      </c>
      <c r="I728">
        <f t="shared" ref="I728:I791" si="60">I727*(1+(B728-B727)/B727*H727)</f>
        <v>1.2122722682455489</v>
      </c>
      <c r="J728">
        <f t="shared" ref="J728:J791" si="61">J727*B728/B727</f>
        <v>4.4136706436295476</v>
      </c>
      <c r="K728">
        <f t="shared" ref="K728:K791" si="62">I728/J728</f>
        <v>0.27466305624668141</v>
      </c>
      <c r="L728" s="4">
        <f>MIN(MAX(L727*(1+MAX(MIN(((B728-B727)/B727)/($K$7*卓尔金历!$N$40),0),-卓尔金历!$M$43))+MIN(MAX(((B728-B727)/B727)/($K$7*卓尔金历!$N$40),0),卓尔金历!$M$43),0),1)</f>
        <v>0.94648681453135497</v>
      </c>
      <c r="M728" s="4">
        <f>MIN(MAX(M727*(1+MAX(MIN(((B728-B727)/B727)/($K$7*30),0),-卓尔金历!$M$43))+MIN(MAX(((B728-B727)/B727)/($K$7*7),0),卓尔金历!$M$43),0),1)</f>
        <v>0.98641242371413018</v>
      </c>
      <c r="N728">
        <f t="shared" ref="N728:N791" si="63">N727*(1+(B728-B727)/B727*H727*L727)</f>
        <v>1.1901412744547666</v>
      </c>
      <c r="O728">
        <f t="shared" ref="O728:O791" si="64">O727*(1+(B728-B727)/B727*H727*M727)</f>
        <v>1.2277816609072121</v>
      </c>
      <c r="P728">
        <f t="shared" ref="P728:P791" si="65">(B728-B727)/B727</f>
        <v>5.2463524282461054E-4</v>
      </c>
      <c r="Q728">
        <f t="shared" si="56"/>
        <v>3.1184082296187524E-2</v>
      </c>
      <c r="R728">
        <f t="shared" si="57"/>
        <v>1</v>
      </c>
      <c r="S728">
        <f t="shared" si="59"/>
        <v>1.1953226360940585</v>
      </c>
      <c r="T728" s="564">
        <f>IF((I728-MAX(I$470:I728))/MAX(I$470:I728)&gt;T727,T727,(I728-MAX(I$470:I728))/MAX(I$470:I728))</f>
        <v>-0.13666535856332884</v>
      </c>
      <c r="U728" s="564">
        <f>IF((J728-MAX(J$470:J728))/MAX(J$470:J728)&gt;U727,U727,(J728-MAX(J$470:J728))/MAX(J$470:J728))</f>
        <v>-0.40648897885739943</v>
      </c>
      <c r="V728" s="564">
        <f>IF((K728-MAX(K$470:K728))/MAX(K$470:K728)&gt;V727,V727,(K728-MAX(K$470:K728))/MAX(K$470:K728))</f>
        <v>-0.72926720955746438</v>
      </c>
      <c r="W728" s="564">
        <f>IF((N728-MAX(N$470:N728))/MAX(N$470:N728)&gt;W727,W727,(N728-MAX(N$470:N728))/MAX(N$470:N728))</f>
        <v>-0.10311304065408976</v>
      </c>
      <c r="X728" s="564">
        <f>IF((O728-MAX(O$470:O728))/MAX(O$470:O728)&gt;X727,X727,(O728-MAX(O$470:O728))/MAX(O$470:O728))</f>
        <v>-0.12147101883973409</v>
      </c>
    </row>
    <row r="729" spans="1:24">
      <c r="A729" s="799">
        <v>41131</v>
      </c>
      <c r="B729">
        <v>11.3864</v>
      </c>
      <c r="C729">
        <v>11.933678</v>
      </c>
      <c r="D729">
        <v>2.0602680000000002</v>
      </c>
      <c r="E729">
        <f>LN(D729/参数实验室!$E$53)/参数实验室!$E$55</f>
        <v>0.15979990620135398</v>
      </c>
      <c r="F729">
        <f t="shared" si="58"/>
        <v>1.0480641818309562</v>
      </c>
      <c r="G729">
        <f>LN(F729/参数实验室!$E$58)/参数实验室!$E$59</f>
        <v>-0.16589084280548486</v>
      </c>
      <c r="H729" s="856">
        <f>INDEX(神经网络!$G$10:$BO$70,MATCH(ROUND(G729*2,1)/2,神经网络!$E$10:$E$70,0),MATCH(ROUND(E729*2,1)/2,神经网络!$G$8:$BO$8,0))</f>
        <v>9.8907609325982332E-2</v>
      </c>
      <c r="I729">
        <f t="shared" si="60"/>
        <v>1.2157985387118213</v>
      </c>
      <c r="J729">
        <f t="shared" si="61"/>
        <v>4.5434739236263555</v>
      </c>
      <c r="K729">
        <f t="shared" si="62"/>
        <v>0.26759227832024984</v>
      </c>
      <c r="L729" s="4">
        <f>MIN(MAX(L728*(1+MAX(MIN(((B729-B728)/B728)/($K$7*卓尔金历!$N$40),0),-卓尔金历!$M$43))+MIN(MAX(((B729-B728)/B728)/($K$7*卓尔金历!$N$40),0),卓尔金历!$M$43),0),1)</f>
        <v>1</v>
      </c>
      <c r="M729" s="4">
        <f>MIN(MAX(M728*(1+MAX(MIN(((B729-B728)/B728)/($K$7*30),0),-卓尔金历!$M$43))+MIN(MAX(((B729-B728)/B728)/($K$7*7),0),卓尔金历!$M$43),0),1)</f>
        <v>1</v>
      </c>
      <c r="N729">
        <f t="shared" si="63"/>
        <v>1.1934179129898284</v>
      </c>
      <c r="O729">
        <f t="shared" si="64"/>
        <v>1.2313045188024627</v>
      </c>
      <c r="P729">
        <f t="shared" si="65"/>
        <v>2.9409371581488312E-2</v>
      </c>
      <c r="Q729">
        <f t="shared" si="56"/>
        <v>2.9262767212002449E-2</v>
      </c>
      <c r="R729">
        <f t="shared" si="57"/>
        <v>3.1028242324042905E-2</v>
      </c>
      <c r="S729">
        <f t="shared" si="59"/>
        <v>1.198799603290071</v>
      </c>
      <c r="T729" s="564">
        <f>IF((I729-MAX(I$470:I729))/MAX(I$470:I729)&gt;T728,T728,(I729-MAX(I$470:I729))/MAX(I$470:I729))</f>
        <v>-0.13666535856332884</v>
      </c>
      <c r="U729" s="564">
        <f>IF((J729-MAX(J$470:J729))/MAX(J$470:J729)&gt;U728,U728,(J729-MAX(J$470:J729))/MAX(J$470:J729))</f>
        <v>-0.40648897885739943</v>
      </c>
      <c r="V729" s="564">
        <f>IF((K729-MAX(K$470:K729))/MAX(K$470:K729)&gt;V728,V728,(K729-MAX(K$470:K729))/MAX(K$470:K729))</f>
        <v>-0.73535116447765314</v>
      </c>
      <c r="W729" s="564">
        <f>IF((N729-MAX(N$470:N729))/MAX(N$470:N729)&gt;W728,W728,(N729-MAX(N$470:N729))/MAX(N$470:N729))</f>
        <v>-0.10311304065408976</v>
      </c>
      <c r="X729" s="564">
        <f>IF((O729-MAX(O$470:O729))/MAX(O$470:O729)&gt;X728,X728,(O729-MAX(O$470:O729))/MAX(O$470:O729))</f>
        <v>-0.12147101883973409</v>
      </c>
    </row>
    <row r="730" spans="1:24">
      <c r="A730" s="799">
        <v>41132</v>
      </c>
      <c r="B730">
        <v>11.510199999999999</v>
      </c>
      <c r="C730">
        <v>11.830679</v>
      </c>
      <c r="D730">
        <v>2.0703939999999998</v>
      </c>
      <c r="E730">
        <f>LN(D730/参数实验室!$E$53)/参数实验室!$E$55</f>
        <v>0.16558406635710668</v>
      </c>
      <c r="F730">
        <f t="shared" si="58"/>
        <v>1.027843043561363</v>
      </c>
      <c r="G730">
        <f>LN(F730/参数实验室!$E$58)/参数实验室!$E$59</f>
        <v>-0.17611623413336902</v>
      </c>
      <c r="H730" s="856">
        <f>INDEX(神经网络!$G$10:$BO$70,MATCH(ROUND(G730*2,1)/2,神经网络!$E$10:$E$70,0),MATCH(ROUND(E730*2,1)/2,神经网络!$G$8:$BO$8,0))</f>
        <v>6.9086398052491723E-3</v>
      </c>
      <c r="I730">
        <f t="shared" si="60"/>
        <v>1.2171059900387102</v>
      </c>
      <c r="J730">
        <f t="shared" si="61"/>
        <v>4.5928733889310118</v>
      </c>
      <c r="K730">
        <f t="shared" si="62"/>
        <v>0.26499881163107586</v>
      </c>
      <c r="L730" s="4">
        <f>MIN(MAX(L729*(1+MAX(MIN(((B730-B729)/B729)/($K$7*卓尔金历!$N$40),0),-卓尔金历!$M$43))+MIN(MAX(((B730-B729)/B729)/($K$7*卓尔金历!$N$40),0),卓尔金历!$M$43),0),1)</f>
        <v>1</v>
      </c>
      <c r="M730" s="4">
        <f>MIN(MAX(M729*(1+MAX(MIN(((B730-B729)/B729)/($K$7*30),0),-卓尔金历!$M$43))+MIN(MAX(((B730-B729)/B729)/($K$7*7),0),卓尔金历!$M$43),0),1)</f>
        <v>1</v>
      </c>
      <c r="N730">
        <f t="shared" si="63"/>
        <v>1.1947012965309247</v>
      </c>
      <c r="O730">
        <f t="shared" si="64"/>
        <v>1.2326286450253963</v>
      </c>
      <c r="P730">
        <f t="shared" si="65"/>
        <v>1.0872619967680675E-2</v>
      </c>
      <c r="Q730">
        <f t="shared" si="56"/>
        <v>2.8775369401624607E-2</v>
      </c>
      <c r="R730">
        <f t="shared" si="57"/>
        <v>1</v>
      </c>
      <c r="S730">
        <f t="shared" si="59"/>
        <v>1.1988396039980624</v>
      </c>
      <c r="T730" s="564">
        <f>IF((I730-MAX(I$470:I730))/MAX(I$470:I730)&gt;T729,T729,(I730-MAX(I$470:I730))/MAX(I$470:I730))</f>
        <v>-0.13666535856332884</v>
      </c>
      <c r="U730" s="564">
        <f>IF((J730-MAX(J$470:J730))/MAX(J$470:J730)&gt;U729,U729,(J730-MAX(J$470:J730))/MAX(J$470:J730))</f>
        <v>-0.40648897885739943</v>
      </c>
      <c r="V730" s="564">
        <f>IF((K730-MAX(K$470:K730))/MAX(K$470:K730)&gt;V729,V729,(K730-MAX(K$470:K730))/MAX(K$470:K730))</f>
        <v>-0.73791610373361494</v>
      </c>
      <c r="W730" s="564">
        <f>IF((N730-MAX(N$470:N730))/MAX(N$470:N730)&gt;W729,W729,(N730-MAX(N$470:N730))/MAX(N$470:N730))</f>
        <v>-0.10311304065408976</v>
      </c>
      <c r="X730" s="564">
        <f>IF((O730-MAX(O$470:O730))/MAX(O$470:O730)&gt;X729,X729,(O730-MAX(O$470:O730))/MAX(O$470:O730))</f>
        <v>-0.12147101883973409</v>
      </c>
    </row>
    <row r="731" spans="1:24">
      <c r="A731" s="799">
        <v>41133</v>
      </c>
      <c r="B731">
        <v>11.624000000000001</v>
      </c>
      <c r="C731">
        <v>11.893753</v>
      </c>
      <c r="D731">
        <v>2.0737899999999998</v>
      </c>
      <c r="E731">
        <f>LN(D731/参数实验室!$E$53)/参数实验室!$E$55</f>
        <v>0.16751759195024082</v>
      </c>
      <c r="F731">
        <f t="shared" si="58"/>
        <v>1.0232065554026153</v>
      </c>
      <c r="G731">
        <f>LN(F731/参数实验室!$E$58)/参数实验室!$E$59</f>
        <v>-0.17848914964173704</v>
      </c>
      <c r="H731" s="856">
        <f>INDEX(神经网络!$G$10:$BO$70,MATCH(ROUND(G731*2,1)/2,神经网络!$E$10:$E$70,0),MATCH(ROUND(E731*2,1)/2,神经网络!$G$8:$BO$8,0))</f>
        <v>6.9086398052491723E-3</v>
      </c>
      <c r="I731">
        <f t="shared" si="60"/>
        <v>1.2171891243574953</v>
      </c>
      <c r="J731">
        <f t="shared" si="61"/>
        <v>4.6382825904792346</v>
      </c>
      <c r="K731">
        <f t="shared" si="62"/>
        <v>0.26242237306885036</v>
      </c>
      <c r="L731" s="4">
        <f>MIN(MAX(L730*(1+MAX(MIN(((B731-B730)/B730)/($K$7*卓尔金历!$N$40),0),-卓尔金历!$M$43))+MIN(MAX(((B731-B730)/B730)/($K$7*卓尔金历!$N$40),0),卓尔金历!$M$43),0),1)</f>
        <v>1</v>
      </c>
      <c r="M731" s="4">
        <f>MIN(MAX(M730*(1+MAX(MIN(((B731-B730)/B730)/($K$7*30),0),-卓尔金历!$M$43))+MIN(MAX(((B731-B730)/B730)/($K$7*7),0),卓尔金历!$M$43),0),1)</f>
        <v>1</v>
      </c>
      <c r="N731">
        <f t="shared" si="63"/>
        <v>1.1947829004990684</v>
      </c>
      <c r="O731">
        <f t="shared" si="64"/>
        <v>1.23271283961778</v>
      </c>
      <c r="P731">
        <f t="shared" si="65"/>
        <v>9.8868829386110791E-3</v>
      </c>
      <c r="Q731">
        <f t="shared" si="56"/>
        <v>2.5213688395597157E-2</v>
      </c>
      <c r="R731">
        <f t="shared" si="57"/>
        <v>0.99189235489965399</v>
      </c>
      <c r="S731">
        <f t="shared" si="59"/>
        <v>1.1989214906329377</v>
      </c>
      <c r="T731" s="564">
        <f>IF((I731-MAX(I$470:I731))/MAX(I$470:I731)&gt;T730,T730,(I731-MAX(I$470:I731))/MAX(I$470:I731))</f>
        <v>-0.13666535856332884</v>
      </c>
      <c r="U731" s="564">
        <f>IF((J731-MAX(J$470:J731))/MAX(J$470:J731)&gt;U730,U730,(J731-MAX(J$470:J731))/MAX(J$470:J731))</f>
        <v>-0.40648897885739943</v>
      </c>
      <c r="V731" s="564">
        <f>IF((K731-MAX(K$470:K731))/MAX(K$470:K731)&gt;V730,V730,(K731-MAX(K$470:K731))/MAX(K$470:K731))</f>
        <v>-0.74046420216742626</v>
      </c>
      <c r="W731" s="564">
        <f>IF((N731-MAX(N$470:N731))/MAX(N$470:N731)&gt;W730,W730,(N731-MAX(N$470:N731))/MAX(N$470:N731))</f>
        <v>-0.10311304065408976</v>
      </c>
      <c r="X731" s="564">
        <f>IF((O731-MAX(O$470:O731))/MAX(O$470:O731)&gt;X730,X730,(O731-MAX(O$470:O731))/MAX(O$470:O731))</f>
        <v>-0.12147101883973409</v>
      </c>
    </row>
    <row r="732" spans="1:24">
      <c r="A732" s="799">
        <v>41134</v>
      </c>
      <c r="B732">
        <v>12.0375</v>
      </c>
      <c r="C732">
        <v>11.934329999999999</v>
      </c>
      <c r="D732">
        <v>2.1311439999999999</v>
      </c>
      <c r="E732">
        <f>LN(D732/参数实验室!$E$53)/参数实验室!$E$55</f>
        <v>0.19970252712065625</v>
      </c>
      <c r="F732">
        <f t="shared" si="58"/>
        <v>0.99142928348909654</v>
      </c>
      <c r="G732">
        <f>LN(F732/参数实验室!$E$58)/参数实验室!$E$59</f>
        <v>-0.19504778787450833</v>
      </c>
      <c r="H732" s="856">
        <f>INDEX(神经网络!$G$10:$BO$70,MATCH(ROUND(G732*2,1)/2,神经网络!$E$10:$E$70,0),MATCH(ROUND(E732*2,1)/2,神经网络!$G$8:$BO$8,0))</f>
        <v>5.2253622209963539E-2</v>
      </c>
      <c r="I732">
        <f t="shared" si="60"/>
        <v>1.2174882616278577</v>
      </c>
      <c r="J732">
        <f t="shared" si="61"/>
        <v>4.8032799968077926</v>
      </c>
      <c r="K732">
        <f t="shared" si="62"/>
        <v>0.25347018338239435</v>
      </c>
      <c r="L732" s="4">
        <f>MIN(MAX(L731*(1+MAX(MIN(((B732-B731)/B731)/($K$7*卓尔金历!$N$40),0),-卓尔金历!$M$43))+MIN(MAX(((B732-B731)/B731)/($K$7*卓尔金历!$N$40),0),卓尔金历!$M$43),0),1)</f>
        <v>1</v>
      </c>
      <c r="M732" s="4">
        <f>MIN(MAX(M731*(1+MAX(MIN(((B732-B731)/B731)/($K$7*30),0),-卓尔金历!$M$43))+MIN(MAX(((B732-B731)/B731)/($K$7*7),0),卓尔金历!$M$43),0),1)</f>
        <v>1</v>
      </c>
      <c r="N732">
        <f t="shared" si="63"/>
        <v>1.195076531199819</v>
      </c>
      <c r="O732">
        <f t="shared" si="64"/>
        <v>1.2330157920075153</v>
      </c>
      <c r="P732">
        <f t="shared" si="65"/>
        <v>3.5572952512043968E-2</v>
      </c>
      <c r="Q732">
        <f t="shared" si="56"/>
        <v>2.5410838286942142E-2</v>
      </c>
      <c r="R732">
        <f t="shared" si="57"/>
        <v>1.6731556500631444E-2</v>
      </c>
      <c r="S732">
        <f t="shared" si="59"/>
        <v>1.1992137495367403</v>
      </c>
      <c r="T732" s="564">
        <f>IF((I732-MAX(I$470:I732))/MAX(I$470:I732)&gt;T731,T731,(I732-MAX(I$470:I732))/MAX(I$470:I732))</f>
        <v>-0.13666535856332884</v>
      </c>
      <c r="U732" s="564">
        <f>IF((J732-MAX(J$470:J732))/MAX(J$470:J732)&gt;U731,U731,(J732-MAX(J$470:J732))/MAX(J$470:J732))</f>
        <v>-0.40648897885739943</v>
      </c>
      <c r="V732" s="564">
        <f>IF((K732-MAX(K$470:K732))/MAX(K$470:K732)&gt;V731,V731,(K732-MAX(K$470:K732))/MAX(K$470:K732))</f>
        <v>-0.74931792018488108</v>
      </c>
      <c r="W732" s="564">
        <f>IF((N732-MAX(N$470:N732))/MAX(N$470:N732)&gt;W731,W731,(N732-MAX(N$470:N732))/MAX(N$470:N732))</f>
        <v>-0.10311304065408976</v>
      </c>
      <c r="X732" s="564">
        <f>IF((O732-MAX(O$470:O732))/MAX(O$470:O732)&gt;X731,X731,(O732-MAX(O$470:O732))/MAX(O$470:O732))</f>
        <v>-0.12147101883973409</v>
      </c>
    </row>
    <row r="733" spans="1:24">
      <c r="A733" s="799">
        <v>41135</v>
      </c>
      <c r="B733">
        <v>12.19</v>
      </c>
      <c r="C733">
        <v>11.836938999999999</v>
      </c>
      <c r="D733">
        <v>2.1544729999999999</v>
      </c>
      <c r="E733">
        <f>LN(D733/参数实验室!$E$53)/参数实验室!$E$55</f>
        <v>0.21254676181772178</v>
      </c>
      <c r="F733">
        <f t="shared" si="58"/>
        <v>0.97103683347005743</v>
      </c>
      <c r="G733">
        <f>LN(F733/参数实验室!$E$58)/参数实验室!$E$59</f>
        <v>-0.20595594573186005</v>
      </c>
      <c r="H733" s="856">
        <f>INDEX(神经网络!$G$10:$BO$70,MATCH(ROUND(G733*2,1)/2,神经网络!$E$10:$E$70,0),MATCH(ROUND(E733*2,1)/2,神经网络!$G$8:$BO$8,0))</f>
        <v>5.2253622209963539E-2</v>
      </c>
      <c r="I733">
        <f t="shared" si="60"/>
        <v>1.2182942239272883</v>
      </c>
      <c r="J733">
        <f t="shared" si="61"/>
        <v>4.8641315190934158</v>
      </c>
      <c r="K733">
        <f t="shared" si="62"/>
        <v>0.25046490193471493</v>
      </c>
      <c r="L733" s="4">
        <f>MIN(MAX(L732*(1+MAX(MIN(((B733-B732)/B732)/($K$7*卓尔金历!$N$40),0),-卓尔金历!$M$43))+MIN(MAX(((B733-B732)/B732)/($K$7*卓尔金历!$N$40),0),卓尔金历!$M$43),0),1)</f>
        <v>1</v>
      </c>
      <c r="M733" s="4">
        <f>MIN(MAX(M732*(1+MAX(MIN(((B733-B732)/B732)/($K$7*30),0),-卓尔金历!$M$43))+MIN(MAX(((B733-B732)/B732)/($K$7*7),0),卓尔金历!$M$43),0),1)</f>
        <v>1</v>
      </c>
      <c r="N733">
        <f t="shared" si="63"/>
        <v>1.1958676572085358</v>
      </c>
      <c r="O733">
        <f t="shared" si="64"/>
        <v>1.2338320333416468</v>
      </c>
      <c r="P733">
        <f t="shared" si="65"/>
        <v>1.2668743509864994E-2</v>
      </c>
      <c r="Q733">
        <f t="shared" si="56"/>
        <v>2.5428935205818768E-2</v>
      </c>
      <c r="R733">
        <f t="shared" si="57"/>
        <v>0.73986572507685788</v>
      </c>
      <c r="S733">
        <f t="shared" si="59"/>
        <v>1.1992270321304372</v>
      </c>
      <c r="T733" s="564">
        <f>IF((I733-MAX(I$470:I733))/MAX(I$470:I733)&gt;T732,T732,(I733-MAX(I$470:I733))/MAX(I$470:I733))</f>
        <v>-0.13666535856332884</v>
      </c>
      <c r="U733" s="564">
        <f>IF((J733-MAX(J$470:J733))/MAX(J$470:J733)&gt;U732,U732,(J733-MAX(J$470:J733))/MAX(J$470:J733))</f>
        <v>-0.40648897885739943</v>
      </c>
      <c r="V733" s="564">
        <f>IF((K733-MAX(K$470:K733))/MAX(K$470:K733)&gt;V732,V732,(K733-MAX(K$470:K733))/MAX(K$470:K733))</f>
        <v>-0.75229014434821584</v>
      </c>
      <c r="W733" s="564">
        <f>IF((N733-MAX(N$470:N733))/MAX(N$470:N733)&gt;W732,W732,(N733-MAX(N$470:N733))/MAX(N$470:N733))</f>
        <v>-0.10311304065408976</v>
      </c>
      <c r="X733" s="564">
        <f>IF((O733-MAX(O$470:O733))/MAX(O$470:O733)&gt;X732,X732,(O733-MAX(O$470:O733))/MAX(O$470:O733))</f>
        <v>-0.12147101883973409</v>
      </c>
    </row>
    <row r="734" spans="1:24">
      <c r="A734" s="799">
        <v>41136</v>
      </c>
      <c r="B734">
        <v>13.25</v>
      </c>
      <c r="C734">
        <v>11.742800000000001</v>
      </c>
      <c r="D734">
        <v>2.3081399999999999</v>
      </c>
      <c r="E734">
        <f>LN(D734/参数实验室!$E$53)/参数实验室!$E$55</f>
        <v>0.29382687532288804</v>
      </c>
      <c r="F734">
        <f t="shared" si="58"/>
        <v>0.88624905660377362</v>
      </c>
      <c r="G734">
        <f>LN(F734/参数实验室!$E$58)/参数实验室!$E$59</f>
        <v>-0.25390996374411867</v>
      </c>
      <c r="H734" s="856">
        <f>INDEX(神经网络!$G$10:$BO$70,MATCH(ROUND(G734*2,1)/2,神经网络!$E$10:$E$70,0),MATCH(ROUND(E734*2,1)/2,神经网络!$G$8:$BO$8,0))</f>
        <v>1.2363159069592971</v>
      </c>
      <c r="I734">
        <f t="shared" si="60"/>
        <v>1.2238299009809992</v>
      </c>
      <c r="J734">
        <f t="shared" si="61"/>
        <v>5.2870994772754525</v>
      </c>
      <c r="K734">
        <f t="shared" si="62"/>
        <v>0.23147472564894184</v>
      </c>
      <c r="L734" s="4">
        <f>MIN(MAX(L733*(1+MAX(MIN(((B734-B733)/B733)/($K$7*卓尔金历!$N$40),0),-卓尔金历!$M$43))+MIN(MAX(((B734-B733)/B733)/($K$7*卓尔金历!$N$40),0),卓尔金历!$M$43),0),1)</f>
        <v>1</v>
      </c>
      <c r="M734" s="4">
        <f>MIN(MAX(M733*(1+MAX(MIN(((B734-B733)/B733)/($K$7*30),0),-卓尔金历!$M$43))+MIN(MAX(((B734-B733)/B733)/($K$7*7),0),卓尔金历!$M$43),0),1)</f>
        <v>1</v>
      </c>
      <c r="N734">
        <f t="shared" si="63"/>
        <v>1.2013014325800913</v>
      </c>
      <c r="O734">
        <f t="shared" si="64"/>
        <v>1.2394383109886715</v>
      </c>
      <c r="P734">
        <f t="shared" si="65"/>
        <v>8.6956521739130474E-2</v>
      </c>
      <c r="Q734">
        <f t="shared" si="56"/>
        <v>2.94659380560322E-2</v>
      </c>
      <c r="R734">
        <f t="shared" si="57"/>
        <v>0</v>
      </c>
      <c r="S734">
        <f t="shared" si="59"/>
        <v>1.2032585898217389</v>
      </c>
      <c r="T734" s="564">
        <f>IF((I734-MAX(I$470:I734))/MAX(I$470:I734)&gt;T733,T733,(I734-MAX(I$470:I734))/MAX(I$470:I734))</f>
        <v>-0.13666535856332884</v>
      </c>
      <c r="U734" s="564">
        <f>IF((J734-MAX(J$470:J734))/MAX(J$470:J734)&gt;U733,U733,(J734-MAX(J$470:J734))/MAX(J$470:J734))</f>
        <v>-0.40648897885739943</v>
      </c>
      <c r="V734" s="564">
        <f>IF((K734-MAX(K$470:K734))/MAX(K$470:K734)&gt;V733,V733,(K734-MAX(K$470:K734))/MAX(K$470:K734))</f>
        <v>-0.77107143382316568</v>
      </c>
      <c r="W734" s="564">
        <f>IF((N734-MAX(N$470:N734))/MAX(N$470:N734)&gt;W733,W733,(N734-MAX(N$470:N734))/MAX(N$470:N734))</f>
        <v>-0.10311304065408976</v>
      </c>
      <c r="X734" s="564">
        <f>IF((O734-MAX(O$470:O734))/MAX(O$470:O734)&gt;X733,X733,(O734-MAX(O$470:O734))/MAX(O$470:O734))</f>
        <v>-0.12147101883973409</v>
      </c>
    </row>
    <row r="735" spans="1:24">
      <c r="A735" s="799">
        <v>41137</v>
      </c>
      <c r="B735">
        <v>13.5</v>
      </c>
      <c r="C735">
        <v>11.910220000000001</v>
      </c>
      <c r="D735">
        <v>2.335728</v>
      </c>
      <c r="E735">
        <f>LN(D735/参数实验室!$E$53)/参数实验室!$E$55</f>
        <v>0.30784424850834907</v>
      </c>
      <c r="F735">
        <f t="shared" si="58"/>
        <v>0.88223851851851853</v>
      </c>
      <c r="G735">
        <f>LN(F735/参数实验室!$E$58)/参数实验室!$E$59</f>
        <v>-0.25629047324506748</v>
      </c>
      <c r="H735" s="856">
        <f>INDEX(神经网络!$G$10:$BO$70,MATCH(ROUND(G735*2,1)/2,神经网络!$E$10:$E$70,0),MATCH(ROUND(E735*2,1)/2,神经网络!$G$8:$BO$8,0))</f>
        <v>1.2363159069592971</v>
      </c>
      <c r="I735">
        <f t="shared" si="60"/>
        <v>1.2523778325658148</v>
      </c>
      <c r="J735">
        <f t="shared" si="61"/>
        <v>5.3868560711863109</v>
      </c>
      <c r="K735">
        <f t="shared" si="62"/>
        <v>0.23248771008838409</v>
      </c>
      <c r="L735" s="4">
        <f>MIN(MAX(L734*(1+MAX(MIN(((B735-B734)/B734)/($K$7*卓尔金历!$N$40),0),-卓尔金历!$M$43))+MIN(MAX(((B735-B734)/B734)/($K$7*卓尔金历!$N$40),0),卓尔金历!$M$43),0),1)</f>
        <v>1</v>
      </c>
      <c r="M735" s="4">
        <f>MIN(MAX(M734*(1+MAX(MIN(((B735-B734)/B734)/($K$7*30),0),-卓尔金历!$M$43))+MIN(MAX(((B735-B734)/B734)/($K$7*7),0),卓尔金历!$M$43),0),1)</f>
        <v>1</v>
      </c>
      <c r="N735">
        <f t="shared" si="63"/>
        <v>1.2293238489980489</v>
      </c>
      <c r="O735">
        <f t="shared" si="64"/>
        <v>1.2683503355088612</v>
      </c>
      <c r="P735">
        <f t="shared" si="65"/>
        <v>1.8867924528301886E-2</v>
      </c>
      <c r="Q735">
        <f t="shared" si="56"/>
        <v>2.9403331383661337E-2</v>
      </c>
      <c r="R735">
        <f t="shared" si="57"/>
        <v>0.48618295766121988</v>
      </c>
      <c r="S735">
        <f t="shared" si="59"/>
        <v>1.2032585898217389</v>
      </c>
      <c r="T735" s="564">
        <f>IF((I735-MAX(I$470:I735))/MAX(I$470:I735)&gt;T734,T734,(I735-MAX(I$470:I735))/MAX(I$470:I735))</f>
        <v>-0.13666535856332884</v>
      </c>
      <c r="U735" s="564">
        <f>IF((J735-MAX(J$470:J735))/MAX(J$470:J735)&gt;U734,U734,(J735-MAX(J$470:J735))/MAX(J$470:J735))</f>
        <v>-0.40648897885739943</v>
      </c>
      <c r="V735" s="564">
        <f>IF((K735-MAX(K$470:K735))/MAX(K$470:K735)&gt;V734,V734,(K735-MAX(K$470:K735))/MAX(K$470:K735))</f>
        <v>-0.77107143382316568</v>
      </c>
      <c r="W735" s="564">
        <f>IF((N735-MAX(N$470:N735))/MAX(N$470:N735)&gt;W734,W734,(N735-MAX(N$470:N735))/MAX(N$470:N735))</f>
        <v>-0.10311304065408976</v>
      </c>
      <c r="X735" s="564">
        <f>IF((O735-MAX(O$470:O735))/MAX(O$470:O735)&gt;X734,X734,(O735-MAX(O$470:O735))/MAX(O$470:O735))</f>
        <v>-0.12147101883973409</v>
      </c>
    </row>
    <row r="736" spans="1:24">
      <c r="A736" s="799">
        <v>41138</v>
      </c>
      <c r="B736">
        <v>11.583600000000001</v>
      </c>
      <c r="C736">
        <v>12.069449000000001</v>
      </c>
      <c r="D736">
        <v>2.0858720000000002</v>
      </c>
      <c r="E736">
        <f>LN(D736/参数实验室!$E$53)/参数实验室!$E$55</f>
        <v>0.17437094627461108</v>
      </c>
      <c r="F736">
        <f t="shared" si="58"/>
        <v>1.0419428329707519</v>
      </c>
      <c r="G736">
        <f>LN(F736/参数实验室!$E$58)/参数实验室!$E$59</f>
        <v>-0.16896530510390054</v>
      </c>
      <c r="H736" s="856">
        <f>INDEX(神经网络!$G$10:$BO$70,MATCH(ROUND(G736*2,1)/2,神经网络!$E$10:$E$70,0),MATCH(ROUND(E736*2,1)/2,神经网络!$G$8:$BO$8,0))</f>
        <v>9.8907609325982332E-2</v>
      </c>
      <c r="I736">
        <f t="shared" si="60"/>
        <v>1.0325831291372687</v>
      </c>
      <c r="J736">
        <f t="shared" si="61"/>
        <v>4.6221619249032413</v>
      </c>
      <c r="K736">
        <f t="shared" si="62"/>
        <v>0.22339830276692099</v>
      </c>
      <c r="L736" s="4">
        <f>MIN(MAX(L735*(1+MAX(MIN(((B736-B735)/B735)/($K$7*卓尔金历!$N$40),0),-卓尔金历!$M$43))+MIN(MAX(((B736-B735)/B735)/($K$7*卓尔金历!$N$40),0),卓尔金历!$M$43),0),1)</f>
        <v>0</v>
      </c>
      <c r="M736" s="4">
        <f>MIN(MAX(M735*(1+MAX(MIN(((B736-B735)/B735)/($K$7*30),0),-卓尔金历!$M$43))+MIN(MAX(((B736-B735)/B735)/($K$7*7),0),卓尔金历!$M$43),0),1)</f>
        <v>0</v>
      </c>
      <c r="N736">
        <f t="shared" si="63"/>
        <v>1.0135751637513659</v>
      </c>
      <c r="O736">
        <f t="shared" si="64"/>
        <v>1.0457524272837355</v>
      </c>
      <c r="P736">
        <f t="shared" si="65"/>
        <v>-0.1419555555555555</v>
      </c>
      <c r="Q736">
        <f t="shared" si="56"/>
        <v>4.5331494302863221E-2</v>
      </c>
      <c r="R736">
        <f t="shared" si="57"/>
        <v>0</v>
      </c>
      <c r="S736">
        <f t="shared" si="59"/>
        <v>1.1005893012215038</v>
      </c>
      <c r="T736" s="564">
        <f>IF((I736-MAX(I$470:I736))/MAX(I$470:I736)&gt;T735,T735,(I736-MAX(I$470:I736))/MAX(I$470:I736))</f>
        <v>-0.17550191141457744</v>
      </c>
      <c r="U736" s="564">
        <f>IF((J736-MAX(J$470:J736))/MAX(J$470:J736)&gt;U735,U735,(J736-MAX(J$470:J736))/MAX(J$470:J736))</f>
        <v>-0.40648897885739943</v>
      </c>
      <c r="V736" s="564">
        <f>IF((K736-MAX(K$470:K736))/MAX(K$470:K736)&gt;V735,V735,(K736-MAX(K$470:K736))/MAX(K$470:K736))</f>
        <v>-0.77905901823453216</v>
      </c>
      <c r="W736" s="564">
        <f>IF((N736-MAX(N$470:N736))/MAX(N$470:N736)&gt;W735,W735,(N736-MAX(N$470:N736))/MAX(N$470:N736))</f>
        <v>-0.17550191141457747</v>
      </c>
      <c r="X736" s="564">
        <f>IF((O736-MAX(O$470:O736))/MAX(O$470:O736)&gt;X735,X735,(O736-MAX(O$470:O736))/MAX(O$470:O736))</f>
        <v>-0.17550191141457741</v>
      </c>
    </row>
    <row r="737" spans="1:24">
      <c r="A737" s="799">
        <v>41139</v>
      </c>
      <c r="B737">
        <v>11.61</v>
      </c>
      <c r="C737">
        <v>11.977245</v>
      </c>
      <c r="D737">
        <v>1.975449</v>
      </c>
      <c r="E737">
        <f>LN(D737/参数实验室!$E$53)/参数实验室!$E$55</f>
        <v>0.11020265848773077</v>
      </c>
      <c r="F737">
        <f t="shared" si="58"/>
        <v>1.0316317829457364</v>
      </c>
      <c r="G737">
        <f>LN(F737/参数实验室!$E$58)/参数实验室!$E$59</f>
        <v>-0.17418512295707553</v>
      </c>
      <c r="H737" s="856">
        <f>INDEX(神经网络!$G$10:$BO$70,MATCH(ROUND(G737*2,1)/2,神经网络!$E$10:$E$70,0),MATCH(ROUND(E737*2,1)/2,神经网络!$G$8:$BO$8,0))</f>
        <v>5.2253386166092243E-2</v>
      </c>
      <c r="I737">
        <f t="shared" si="60"/>
        <v>1.0328158927581257</v>
      </c>
      <c r="J737">
        <f t="shared" si="61"/>
        <v>4.6326962212202272</v>
      </c>
      <c r="K737">
        <f t="shared" si="62"/>
        <v>0.22294056062369821</v>
      </c>
      <c r="L737" s="4">
        <f>MIN(MAX(L736*(1+MAX(MIN(((B737-B736)/B736)/($K$7*卓尔金历!$N$40),0),-卓尔金历!$M$43))+MIN(MAX(((B737-B736)/B736)/($K$7*卓尔金历!$N$40),0),卓尔金历!$M$43),0),1)</f>
        <v>3.4822219846608979E-2</v>
      </c>
      <c r="M737" s="4">
        <f>MIN(MAX(M736*(1+MAX(MIN(((B737-B736)/B736)/($K$7*30),0),-卓尔金历!$M$43))+MIN(MAX(((B737-B736)/B736)/($K$7*7),0),卓尔金历!$M$43),0),1)</f>
        <v>7.461904252844781E-2</v>
      </c>
      <c r="N737">
        <f t="shared" si="63"/>
        <v>1.0135751637513659</v>
      </c>
      <c r="O737">
        <f t="shared" si="64"/>
        <v>1.0457524272837355</v>
      </c>
      <c r="P737">
        <f t="shared" si="65"/>
        <v>2.2790842225213982E-3</v>
      </c>
      <c r="Q737">
        <f t="shared" si="56"/>
        <v>4.5280918795435825E-2</v>
      </c>
      <c r="R737">
        <f t="shared" si="57"/>
        <v>1</v>
      </c>
      <c r="S737">
        <f t="shared" si="59"/>
        <v>1.1005893012215038</v>
      </c>
      <c r="T737" s="564">
        <f>IF((I737-MAX(I$470:I737))/MAX(I$470:I737)&gt;T736,T736,(I737-MAX(I$470:I737))/MAX(I$470:I737))</f>
        <v>-0.17550191141457744</v>
      </c>
      <c r="U737" s="564">
        <f>IF((J737-MAX(J$470:J737))/MAX(J$470:J737)&gt;U736,U736,(J737-MAX(J$470:J737))/MAX(J$470:J737))</f>
        <v>-0.40648897885739943</v>
      </c>
      <c r="V737" s="564">
        <f>IF((K737-MAX(K$470:K737))/MAX(K$470:K737)&gt;V736,V736,(K737-MAX(K$470:K737))/MAX(K$470:K737))</f>
        <v>-0.77951172533779323</v>
      </c>
      <c r="W737" s="564">
        <f>IF((N737-MAX(N$470:N737))/MAX(N$470:N737)&gt;W736,W736,(N737-MAX(N$470:N737))/MAX(N$470:N737))</f>
        <v>-0.17550191141457747</v>
      </c>
      <c r="X737" s="564">
        <f>IF((O737-MAX(O$470:O737))/MAX(O$470:O737)&gt;X736,X736,(O737-MAX(O$470:O737))/MAX(O$470:O737))</f>
        <v>-0.17550191141457741</v>
      </c>
    </row>
    <row r="738" spans="1:24">
      <c r="A738" s="799">
        <v>41140</v>
      </c>
      <c r="B738">
        <v>8</v>
      </c>
      <c r="C738">
        <v>11.756868000000001</v>
      </c>
      <c r="D738">
        <v>1.3668670000000001</v>
      </c>
      <c r="E738">
        <f>LN(D738/参数实验室!$E$53)/参数实验室!$E$55</f>
        <v>-0.32427032402419298</v>
      </c>
      <c r="F738">
        <f t="shared" si="58"/>
        <v>1.4696085000000001</v>
      </c>
      <c r="G738">
        <f>LN(F738/参数实验室!$E$58)/参数实验室!$E$59</f>
        <v>1.1536702875319051E-2</v>
      </c>
      <c r="H738" s="856">
        <f>INDEX(神经网络!$G$10:$BO$70,MATCH(ROUND(G738*2,1)/2,神经网络!$E$10:$E$70,0),MATCH(ROUND(E738*2,1)/2,神经网络!$G$8:$BO$8,0))</f>
        <v>-4.0884771138112737E-2</v>
      </c>
      <c r="I738">
        <f t="shared" si="60"/>
        <v>1.016035105425241</v>
      </c>
      <c r="J738">
        <f t="shared" si="61"/>
        <v>3.1922110051474437</v>
      </c>
      <c r="K738">
        <f t="shared" si="62"/>
        <v>0.31828569721327421</v>
      </c>
      <c r="L738" s="4">
        <f>MIN(MAX(L737*(1+MAX(MIN(((B738-B737)/B737)/($K$7*卓尔金历!$N$40),0),-卓尔金历!$M$43))+MIN(MAX(((B738-B737)/B737)/($K$7*卓尔金历!$N$40),0),卓尔金历!$M$43),0),1)</f>
        <v>0</v>
      </c>
      <c r="M738" s="4">
        <f>MIN(MAX(M737*(1+MAX(MIN(((B738-B737)/B737)/($K$7*30),0),-卓尔金历!$M$43))+MIN(MAX(((B738-B737)/B737)/($K$7*7),0),卓尔金历!$M$43),0),1)</f>
        <v>0</v>
      </c>
      <c r="N738">
        <f t="shared" si="63"/>
        <v>1.0130017054622826</v>
      </c>
      <c r="O738">
        <f t="shared" si="64"/>
        <v>1.0444845769924349</v>
      </c>
      <c r="P738">
        <f t="shared" si="65"/>
        <v>-0.3109388458225667</v>
      </c>
      <c r="Q738">
        <f t="shared" si="56"/>
        <v>8.2628448898977497E-2</v>
      </c>
      <c r="R738">
        <f t="shared" si="57"/>
        <v>0</v>
      </c>
      <c r="S738">
        <f t="shared" si="59"/>
        <v>1.0827073581432214</v>
      </c>
      <c r="T738" s="564">
        <f>IF((I738-MAX(I$470:I738))/MAX(I$470:I738)&gt;T737,T737,(I738-MAX(I$470:I738))/MAX(I$470:I738))</f>
        <v>-0.18871519520300481</v>
      </c>
      <c r="U738" s="564">
        <f>IF((J738-MAX(J$470:J738))/MAX(J$470:J738)&gt;U737,U737,(J738-MAX(J$470:J738))/MAX(J$470:J738))</f>
        <v>-0.40740740740740738</v>
      </c>
      <c r="V738" s="564">
        <f>IF((K738-MAX(K$470:K738))/MAX(K$470:K738)&gt;V737,V737,(K738-MAX(K$470:K738))/MAX(K$470:K738))</f>
        <v>-0.77951172533779323</v>
      </c>
      <c r="W738" s="564">
        <f>IF((N738-MAX(N$470:N738))/MAX(N$470:N738)&gt;W737,W737,(N738-MAX(N$470:N738))/MAX(N$470:N738))</f>
        <v>-0.17596839409898216</v>
      </c>
      <c r="X738" s="564">
        <f>IF((O738-MAX(O$470:O738))/MAX(O$470:O738)&gt;X737,X737,(O738-MAX(O$470:O738))/MAX(O$470:O738))</f>
        <v>-0.17650151716687293</v>
      </c>
    </row>
    <row r="739" spans="1:24">
      <c r="A739" s="799">
        <v>41141</v>
      </c>
      <c r="B739">
        <v>10.1</v>
      </c>
      <c r="C739">
        <v>11.548011000000001</v>
      </c>
      <c r="D739">
        <v>1.718661</v>
      </c>
      <c r="E739">
        <f>LN(D739/参数实验室!$E$53)/参数实验室!$E$55</f>
        <v>-5.4078234397891473E-2</v>
      </c>
      <c r="F739">
        <f t="shared" si="58"/>
        <v>1.1433674257425743</v>
      </c>
      <c r="G739">
        <f>LN(F739/参数实验室!$E$58)/参数实验室!$E$59</f>
        <v>-0.12021123962690221</v>
      </c>
      <c r="H739" s="856">
        <f>INDEX(神经网络!$G$10:$BO$70,MATCH(ROUND(G739*2,1)/2,神经网络!$E$10:$E$70,0),MATCH(ROUND(E739*2,1)/2,神经网络!$G$8:$BO$8,0))</f>
        <v>6.9030923885750189E-3</v>
      </c>
      <c r="I739">
        <f t="shared" si="60"/>
        <v>1.0051307602024211</v>
      </c>
      <c r="J739">
        <f t="shared" si="61"/>
        <v>4.0301663939986474</v>
      </c>
      <c r="K739">
        <f t="shared" si="62"/>
        <v>0.24940180179636484</v>
      </c>
      <c r="L739" s="4">
        <f>MIN(MAX(L738*(1+MAX(MIN(((B739-B738)/B738)/($K$7*卓尔金历!$N$40),0),-卓尔金历!$M$43))+MIN(MAX(((B739-B738)/B738)/($K$7*卓尔金历!$N$40),0),卓尔金历!$M$43),0),1)</f>
        <v>1</v>
      </c>
      <c r="M739" s="4">
        <f>MIN(MAX(M738*(1+MAX(MIN(((B739-B738)/B738)/($K$7*30),0),-卓尔金历!$M$43))+MIN(MAX(((B739-B738)/B738)/($K$7*7),0),卓尔金历!$M$43),0),1)</f>
        <v>1</v>
      </c>
      <c r="N739">
        <f t="shared" si="63"/>
        <v>1.0130017054622826</v>
      </c>
      <c r="O739">
        <f t="shared" si="64"/>
        <v>1.0444845769924349</v>
      </c>
      <c r="P739">
        <f t="shared" si="65"/>
        <v>0.26249999999999996</v>
      </c>
      <c r="Q739">
        <f t="shared" si="56"/>
        <v>9.9530961767471726E-2</v>
      </c>
      <c r="R739">
        <f t="shared" si="57"/>
        <v>2.4968406285049371E-3</v>
      </c>
      <c r="S739">
        <f t="shared" si="59"/>
        <v>1.0827073581432214</v>
      </c>
      <c r="T739" s="564">
        <f>IF((I739-MAX(I$470:I739))/MAX(I$470:I739)&gt;T738,T738,(I739-MAX(I$470:I739))/MAX(I$470:I739))</f>
        <v>-0.19742210851564271</v>
      </c>
      <c r="U739" s="564">
        <f>IF((J739-MAX(J$470:J739))/MAX(J$470:J739)&gt;U738,U738,(J739-MAX(J$470:J739))/MAX(J$470:J739))</f>
        <v>-0.40740740740740738</v>
      </c>
      <c r="V739" s="564">
        <f>IF((K739-MAX(K$470:K739))/MAX(K$470:K739)&gt;V738,V738,(K739-MAX(K$470:K739))/MAX(K$470:K739))</f>
        <v>-0.77951172533779323</v>
      </c>
      <c r="W739" s="564">
        <f>IF((N739-MAX(N$470:N739))/MAX(N$470:N739)&gt;W738,W738,(N739-MAX(N$470:N739))/MAX(N$470:N739))</f>
        <v>-0.17596839409898216</v>
      </c>
      <c r="X739" s="564">
        <f>IF((O739-MAX(O$470:O739))/MAX(O$470:O739)&gt;X738,X738,(O739-MAX(O$470:O739))/MAX(O$470:O739))</f>
        <v>-0.17650151716687293</v>
      </c>
    </row>
    <row r="740" spans="1:24">
      <c r="A740" s="799">
        <v>41142</v>
      </c>
      <c r="B740">
        <v>9.9149999999999991</v>
      </c>
      <c r="C740">
        <v>11.451658999999999</v>
      </c>
      <c r="D740">
        <v>1.7042520000000001</v>
      </c>
      <c r="E740">
        <f>LN(D740/参数实验室!$E$53)/参数实验室!$E$55</f>
        <v>-6.4010806393791808E-2</v>
      </c>
      <c r="F740">
        <f t="shared" si="58"/>
        <v>1.1549832576903682</v>
      </c>
      <c r="G740">
        <f>LN(F740/参数实验室!$E$58)/参数实验室!$E$59</f>
        <v>-0.11490598458948648</v>
      </c>
      <c r="H740" s="856">
        <f>INDEX(神经网络!$G$10:$BO$70,MATCH(ROUND(G740*2,1)/2,神经网络!$E$10:$E$70,0),MATCH(ROUND(E740*2,1)/2,神经网络!$G$8:$BO$8,0))</f>
        <v>6.9030923885750189E-3</v>
      </c>
      <c r="I740">
        <f t="shared" si="60"/>
        <v>1.0050036686734556</v>
      </c>
      <c r="J740">
        <f t="shared" si="61"/>
        <v>3.9563465145046126</v>
      </c>
      <c r="K740">
        <f t="shared" si="62"/>
        <v>0.25402316631997424</v>
      </c>
      <c r="L740" s="4">
        <f>MIN(MAX(L739*(1+MAX(MIN(((B740-B739)/B739)/($K$7*卓尔金历!$N$40),0),-卓尔金历!$M$43))+MIN(MAX(((B740-B739)/B739)/($K$7*卓尔金历!$N$40),0),卓尔金历!$M$43),0),1)</f>
        <v>0.7201363892296293</v>
      </c>
      <c r="M740" s="4">
        <f>MIN(MAX(M739*(1+MAX(MIN(((B740-B739)/B739)/($K$7*30),0),-卓尔金历!$M$43))+MIN(MAX(((B740-B739)/B739)/($K$7*7),0),卓尔金历!$M$43),0),1)</f>
        <v>0.86006819461481465</v>
      </c>
      <c r="N740">
        <f t="shared" si="63"/>
        <v>1.0128736187091065</v>
      </c>
      <c r="O740">
        <f t="shared" si="64"/>
        <v>1.0443525094574169</v>
      </c>
      <c r="P740">
        <f t="shared" si="65"/>
        <v>-1.8316831683168368E-2</v>
      </c>
      <c r="Q740">
        <f t="shared" si="56"/>
        <v>9.9632264343428284E-2</v>
      </c>
      <c r="R740">
        <f t="shared" si="57"/>
        <v>1</v>
      </c>
      <c r="S740">
        <f t="shared" si="59"/>
        <v>1.0827070163244166</v>
      </c>
      <c r="T740" s="564">
        <f>IF((I740-MAX(I$470:I740))/MAX(I$470:I740)&gt;T739,T739,(I740-MAX(I$470:I740))/MAX(I$470:I740))</f>
        <v>-0.19752358869651204</v>
      </c>
      <c r="U740" s="564">
        <f>IF((J740-MAX(J$470:J740))/MAX(J$470:J740)&gt;U739,U739,(J740-MAX(J$470:J740))/MAX(J$470:J740))</f>
        <v>-0.40740740740740738</v>
      </c>
      <c r="V740" s="564">
        <f>IF((K740-MAX(K$470:K740))/MAX(K$470:K740)&gt;V739,V739,(K740-MAX(K$470:K740))/MAX(K$470:K740))</f>
        <v>-0.77951172533779323</v>
      </c>
      <c r="W740" s="564">
        <f>IF((N740-MAX(N$470:N740))/MAX(N$470:N740)&gt;W739,W739,(N740-MAX(N$470:N740))/MAX(N$470:N740))</f>
        <v>-0.17607258694717304</v>
      </c>
      <c r="X740" s="564">
        <f>IF((O740-MAX(O$470:O740))/MAX(O$470:O740)&gt;X739,X739,(O740-MAX(O$470:O740))/MAX(O$470:O740))</f>
        <v>-0.17660564260550032</v>
      </c>
    </row>
    <row r="741" spans="1:24">
      <c r="A741" s="799">
        <v>41143</v>
      </c>
      <c r="B741">
        <v>9.8068000000000008</v>
      </c>
      <c r="C741">
        <v>11.37463</v>
      </c>
      <c r="D741">
        <v>1.679338</v>
      </c>
      <c r="E741">
        <f>LN(D741/参数实验室!$E$53)/参数实验室!$E$55</f>
        <v>-8.1384603763701976E-2</v>
      </c>
      <c r="F741">
        <f t="shared" si="58"/>
        <v>1.1598717216625198</v>
      </c>
      <c r="G741">
        <f>LN(F741/参数实验室!$E$58)/参数实验室!$E$59</f>
        <v>-0.11268922896790956</v>
      </c>
      <c r="H741" s="856">
        <f>INDEX(神经网络!$G$10:$BO$70,MATCH(ROUND(G741*2,1)/2,神经网络!$E$10:$E$70,0),MATCH(ROUND(E741*2,1)/2,神经网络!$G$8:$BO$8,0))</f>
        <v>-4.120669943647004E-2</v>
      </c>
      <c r="I741">
        <f t="shared" si="60"/>
        <v>1.0049279599584164</v>
      </c>
      <c r="J741">
        <f t="shared" si="61"/>
        <v>3.9131718606599941</v>
      </c>
      <c r="K741">
        <f t="shared" si="62"/>
        <v>0.25680649757839302</v>
      </c>
      <c r="L741" s="4">
        <f>MIN(MAX(L740*(1+MAX(MIN(((B741-B740)/B740)/($K$7*卓尔金历!$N$40),0),-卓尔金历!$M$43))+MIN(MAX(((B741-B740)/B740)/($K$7*卓尔金历!$N$40),0),卓尔金历!$M$43),0),1)</f>
        <v>0.60006338481914123</v>
      </c>
      <c r="M741" s="4">
        <f>MIN(MAX(M740*(1+MAX(MIN(((B741-B740)/B740)/($K$7*30),0),-卓尔金历!$M$43))+MIN(MAX(((B741-B740)/B740)/($K$7*7),0),卓尔金历!$M$43),0),1)</f>
        <v>0.78836582429314539</v>
      </c>
      <c r="N741">
        <f t="shared" si="63"/>
        <v>1.0128186711702789</v>
      </c>
      <c r="O741">
        <f t="shared" si="64"/>
        <v>1.0442848453697537</v>
      </c>
      <c r="P741">
        <f t="shared" si="65"/>
        <v>-1.0912758446797611E-2</v>
      </c>
      <c r="Q741">
        <f t="shared" si="56"/>
        <v>9.9665860807792425E-2</v>
      </c>
      <c r="R741">
        <f t="shared" si="57"/>
        <v>1</v>
      </c>
      <c r="S741">
        <f t="shared" si="59"/>
        <v>1.0826254540779048</v>
      </c>
      <c r="T741" s="564">
        <f>IF((I741-MAX(I$470:I741))/MAX(I$470:I741)&gt;T740,T740,(I741-MAX(I$470:I741))/MAX(I$470:I741))</f>
        <v>-0.19758404067280105</v>
      </c>
      <c r="U741" s="564">
        <f>IF((J741-MAX(J$470:J741))/MAX(J$470:J741)&gt;U740,U740,(J741-MAX(J$470:J741))/MAX(J$470:J741))</f>
        <v>-0.40740740740740738</v>
      </c>
      <c r="V741" s="564">
        <f>IF((K741-MAX(K$470:K741))/MAX(K$470:K741)&gt;V740,V740,(K741-MAX(K$470:K741))/MAX(K$470:K741))</f>
        <v>-0.77951172533779323</v>
      </c>
      <c r="W741" s="564">
        <f>IF((N741-MAX(N$470:N741))/MAX(N$470:N741)&gt;W740,W740,(N741-MAX(N$470:N741))/MAX(N$470:N741))</f>
        <v>-0.17611728431383716</v>
      </c>
      <c r="X741" s="564">
        <f>IF((O741-MAX(O$470:O741))/MAX(O$470:O741)&gt;X740,X740,(O741-MAX(O$470:O741))/MAX(O$470:O741))</f>
        <v>-0.17665899071112129</v>
      </c>
    </row>
    <row r="742" spans="1:24">
      <c r="A742" s="799">
        <v>41144</v>
      </c>
      <c r="B742">
        <v>10.1</v>
      </c>
      <c r="C742">
        <v>11.378228999999999</v>
      </c>
      <c r="D742">
        <v>1.729843</v>
      </c>
      <c r="E742">
        <f>LN(D742/参数实验室!$E$53)/参数实验室!$E$55</f>
        <v>-4.6427353314981559E-2</v>
      </c>
      <c r="F742">
        <f t="shared" si="58"/>
        <v>1.1265573267326732</v>
      </c>
      <c r="G742">
        <f>LN(F742/参数实验室!$E$58)/参数实验室!$E$59</f>
        <v>-0.12798507416903596</v>
      </c>
      <c r="H742" s="856">
        <f>INDEX(神经网络!$G$10:$BO$70,MATCH(ROUND(G742*2,1)/2,神经网络!$E$10:$E$70,0),MATCH(ROUND(E742*2,1)/2,神经网络!$G$8:$BO$8,0))</f>
        <v>-8.6542580624500112E-2</v>
      </c>
      <c r="I742">
        <f t="shared" si="60"/>
        <v>1.0036899064728284</v>
      </c>
      <c r="J742">
        <f t="shared" si="61"/>
        <v>4.0301663939986474</v>
      </c>
      <c r="K742">
        <f t="shared" si="62"/>
        <v>0.24904428461500522</v>
      </c>
      <c r="L742" s="4">
        <f>MIN(MAX(L741*(1+MAX(MIN(((B742-B741)/B741)/($K$7*卓尔金历!$N$40),0),-卓尔金历!$M$43))+MIN(MAX(((B742-B741)/B741)/($K$7*卓尔金历!$N$40),0),卓尔金历!$M$43),0),1)</f>
        <v>1</v>
      </c>
      <c r="M742" s="4">
        <f>MIN(MAX(M741*(1+MAX(MIN(((B742-B741)/B741)/($K$7*30),0),-卓尔金历!$M$43))+MIN(MAX(((B742-B741)/B741)/($K$7*7),0),卓尔金历!$M$43),0),1)</f>
        <v>1</v>
      </c>
      <c r="N742">
        <f t="shared" si="63"/>
        <v>1.0120699272589007</v>
      </c>
      <c r="O742">
        <f t="shared" si="64"/>
        <v>1.0432705808294112</v>
      </c>
      <c r="P742">
        <f t="shared" si="65"/>
        <v>2.9897622058163598E-2</v>
      </c>
      <c r="Q742">
        <f t="shared" si="56"/>
        <v>9.7513368938180939E-2</v>
      </c>
      <c r="R742">
        <f t="shared" si="57"/>
        <v>1</v>
      </c>
      <c r="S742">
        <f t="shared" si="59"/>
        <v>1.0812916786527857</v>
      </c>
      <c r="T742" s="564">
        <f>IF((I742-MAX(I$470:I742))/MAX(I$470:I742)&gt;T741,T741,(I742-MAX(I$470:I742))/MAX(I$470:I742))</f>
        <v>-0.19857260295280529</v>
      </c>
      <c r="U742" s="564">
        <f>IF((J742-MAX(J$470:J742))/MAX(J$470:J742)&gt;U741,U741,(J742-MAX(J$470:J742))/MAX(J$470:J742))</f>
        <v>-0.40740740740740738</v>
      </c>
      <c r="V742" s="564">
        <f>IF((K742-MAX(K$470:K742))/MAX(K$470:K742)&gt;V741,V741,(K742-MAX(K$470:K742))/MAX(K$470:K742))</f>
        <v>-0.77951172533779323</v>
      </c>
      <c r="W742" s="564">
        <f>IF((N742-MAX(N$470:N742))/MAX(N$470:N742)&gt;W741,W741,(N742-MAX(N$470:N742))/MAX(N$470:N742))</f>
        <v>-0.17672635401665673</v>
      </c>
      <c r="X742" s="564">
        <f>IF((O742-MAX(O$470:O742))/MAX(O$470:O742)&gt;X741,X741,(O742-MAX(O$470:O742))/MAX(O$470:O742))</f>
        <v>-0.17745866294043139</v>
      </c>
    </row>
    <row r="743" spans="1:24">
      <c r="A743" s="799">
        <v>41145</v>
      </c>
      <c r="B743">
        <v>10.6</v>
      </c>
      <c r="C743">
        <v>11.493256000000001</v>
      </c>
      <c r="D743">
        <v>1.807941</v>
      </c>
      <c r="E743">
        <f>LN(D743/参数实验室!$E$53)/参数实验室!$E$55</f>
        <v>5.668161820641348E-3</v>
      </c>
      <c r="F743">
        <f t="shared" si="58"/>
        <v>1.0842694339622643</v>
      </c>
      <c r="G743">
        <f>LN(F743/参数实验室!$E$58)/参数实验室!$E$59</f>
        <v>-0.14806595909579606</v>
      </c>
      <c r="H743" s="856">
        <f>INDEX(神经网络!$G$10:$BO$70,MATCH(ROUND(G743*2,1)/2,神经网络!$E$10:$E$70,0),MATCH(ROUND(E743*2,1)/2,神经网络!$G$8:$BO$8,0))</f>
        <v>-4.1248771334708077E-2</v>
      </c>
      <c r="I743">
        <f t="shared" si="60"/>
        <v>0.99938981168803032</v>
      </c>
      <c r="J743">
        <f t="shared" si="61"/>
        <v>4.2296795818203625</v>
      </c>
      <c r="K743">
        <f t="shared" si="62"/>
        <v>0.23628026481805381</v>
      </c>
      <c r="L743" s="4">
        <f>MIN(MAX(L742*(1+MAX(MIN(((B743-B742)/B742)/($K$7*卓尔金历!$N$40),0),-卓尔金历!$M$43))+MIN(MAX(((B743-B742)/B742)/($K$7*卓尔金历!$N$40),0),卓尔金历!$M$43),0),1)</f>
        <v>1</v>
      </c>
      <c r="M743" s="4">
        <f>MIN(MAX(M742*(1+MAX(MIN(((B743-B742)/B742)/($K$7*30),0),-卓尔金历!$M$43))+MIN(MAX(((B743-B742)/B742)/($K$7*7),0),卓尔金历!$M$43),0),1)</f>
        <v>1</v>
      </c>
      <c r="N743">
        <f t="shared" si="63"/>
        <v>1.0077339300669483</v>
      </c>
      <c r="O743">
        <f t="shared" si="64"/>
        <v>1.0388009111088865</v>
      </c>
      <c r="P743">
        <f t="shared" si="65"/>
        <v>4.9504950495049507E-2</v>
      </c>
      <c r="Q743">
        <f t="shared" si="56"/>
        <v>9.7672560351580159E-2</v>
      </c>
      <c r="R743">
        <f t="shared" si="57"/>
        <v>0.84332637153613688</v>
      </c>
      <c r="S743">
        <f t="shared" si="59"/>
        <v>1.076659115668706</v>
      </c>
      <c r="T743" s="564">
        <f>IF((I743-MAX(I$470:I743))/MAX(I$470:I743)&gt;T742,T742,(I743-MAX(I$470:I743))/MAX(I$470:I743))</f>
        <v>-0.20200614726585678</v>
      </c>
      <c r="U743" s="564">
        <f>IF((J743-MAX(J$470:J743))/MAX(J$470:J743)&gt;U742,U742,(J743-MAX(J$470:J743))/MAX(J$470:J743))</f>
        <v>-0.40740740740740738</v>
      </c>
      <c r="V743" s="564">
        <f>IF((K743-MAX(K$470:K743))/MAX(K$470:K743)&gt;V742,V742,(K743-MAX(K$470:K743))/MAX(K$470:K743))</f>
        <v>-0.77951172533779323</v>
      </c>
      <c r="W743" s="564">
        <f>IF((N743-MAX(N$470:N743))/MAX(N$470:N743)&gt;W742,W742,(N743-MAX(N$470:N743))/MAX(N$470:N743))</f>
        <v>-0.18025349391188153</v>
      </c>
      <c r="X743" s="564">
        <f>IF((O743-MAX(O$470:O743))/MAX(O$470:O743)&gt;X742,X742,(O743-MAX(O$470:O743))/MAX(O$470:O743))</f>
        <v>-0.18098266541466215</v>
      </c>
    </row>
    <row r="744" spans="1:24">
      <c r="A744" s="799">
        <v>41146</v>
      </c>
      <c r="B744">
        <v>10.523899999999999</v>
      </c>
      <c r="C744">
        <v>11.747655999999999</v>
      </c>
      <c r="D744">
        <v>1.80118</v>
      </c>
      <c r="E744">
        <f>LN(D744/参数实验室!$E$53)/参数实验室!$E$55</f>
        <v>1.2480711598367462E-3</v>
      </c>
      <c r="F744">
        <f t="shared" si="58"/>
        <v>1.1162835070648713</v>
      </c>
      <c r="G744">
        <f>LN(F744/参数实验室!$E$58)/参数实验室!$E$59</f>
        <v>-0.13279352372545236</v>
      </c>
      <c r="H744" s="856">
        <f>INDEX(神经网络!$G$10:$BO$70,MATCH(ROUND(G744*2,1)/2,神经网络!$E$10:$E$70,0),MATCH(ROUND(E744*2,1)/2,神经网络!$G$8:$BO$8,0))</f>
        <v>-4.1248771334708077E-2</v>
      </c>
      <c r="I744">
        <f t="shared" si="60"/>
        <v>0.99968576603692083</v>
      </c>
      <c r="J744">
        <f t="shared" si="61"/>
        <v>4.1993136746338973</v>
      </c>
      <c r="K744">
        <f t="shared" si="62"/>
        <v>0.2380593219495743</v>
      </c>
      <c r="L744" s="4">
        <f>MIN(MAX(L743*(1+MAX(MIN(((B744-B743)/B743)/($K$7*卓尔金历!$N$40),0),-卓尔金历!$M$43))+MIN(MAX(((B744-B743)/B743)/($K$7*卓尔金历!$N$40),0),卓尔金历!$M$43),0),1)</f>
        <v>0.89030802148178745</v>
      </c>
      <c r="M744" s="4">
        <f>MIN(MAX(M743*(1+MAX(MIN(((B744-B743)/B743)/($K$7*30),0),-卓尔金历!$M$43))+MIN(MAX(((B744-B743)/B743)/($K$7*7),0),卓尔金历!$M$43),0),1)</f>
        <v>0.94515401074089367</v>
      </c>
      <c r="N744">
        <f t="shared" si="63"/>
        <v>1.0080323554017274</v>
      </c>
      <c r="O744">
        <f t="shared" si="64"/>
        <v>1.0391085364655577</v>
      </c>
      <c r="P744">
        <f t="shared" si="65"/>
        <v>-7.1792452830188947E-3</v>
      </c>
      <c r="Q744">
        <f t="shared" si="56"/>
        <v>9.7698592828053876E-2</v>
      </c>
      <c r="R744">
        <f t="shared" si="57"/>
        <v>1</v>
      </c>
      <c r="S744">
        <f t="shared" si="59"/>
        <v>1.0769279988955589</v>
      </c>
      <c r="T744" s="564">
        <f>IF((I744-MAX(I$470:I744))/MAX(I$470:I744)&gt;T743,T743,(I744-MAX(I$470:I744))/MAX(I$470:I744))</f>
        <v>-0.20200614726585678</v>
      </c>
      <c r="U744" s="564">
        <f>IF((J744-MAX(J$470:J744))/MAX(J$470:J744)&gt;U743,U743,(J744-MAX(J$470:J744))/MAX(J$470:J744))</f>
        <v>-0.40740740740740738</v>
      </c>
      <c r="V744" s="564">
        <f>IF((K744-MAX(K$470:K744))/MAX(K$470:K744)&gt;V743,V743,(K744-MAX(K$470:K744))/MAX(K$470:K744))</f>
        <v>-0.77951172533779323</v>
      </c>
      <c r="W744" s="564">
        <f>IF((N744-MAX(N$470:N744))/MAX(N$470:N744)&gt;W743,W743,(N744-MAX(N$470:N744))/MAX(N$470:N744))</f>
        <v>-0.18025349391188153</v>
      </c>
      <c r="X744" s="564">
        <f>IF((O744-MAX(O$470:O744))/MAX(O$470:O744)&gt;X743,X743,(O744-MAX(O$470:O744))/MAX(O$470:O744))</f>
        <v>-0.18098266541466215</v>
      </c>
    </row>
    <row r="745" spans="1:24">
      <c r="A745" s="799">
        <v>41147</v>
      </c>
      <c r="B745">
        <v>10.61</v>
      </c>
      <c r="C745">
        <v>11.776154999999999</v>
      </c>
      <c r="D745">
        <v>1.7917829999999999</v>
      </c>
      <c r="E745">
        <f>LN(D745/参数实验室!$E$53)/参数实验室!$E$55</f>
        <v>-4.922972912197573E-3</v>
      </c>
      <c r="F745">
        <f t="shared" si="58"/>
        <v>1.1099109330819981</v>
      </c>
      <c r="G745">
        <f>LN(F745/参数实验室!$E$58)/参数实验室!$E$59</f>
        <v>-0.13579836489749691</v>
      </c>
      <c r="H745" s="856">
        <f>INDEX(神经网络!$G$10:$BO$70,MATCH(ROUND(G745*2,1)/2,神经网络!$E$10:$E$70,0),MATCH(ROUND(E745*2,1)/2,神经网络!$G$8:$BO$8,0))</f>
        <v>-4.1248771334708077E-2</v>
      </c>
      <c r="I745">
        <f t="shared" si="60"/>
        <v>0.99934840030710947</v>
      </c>
      <c r="J745">
        <f t="shared" si="61"/>
        <v>4.233669845576796</v>
      </c>
      <c r="K745">
        <f t="shared" si="62"/>
        <v>0.23604778755981573</v>
      </c>
      <c r="L745" s="4">
        <f>MIN(MAX(L744*(1+MAX(MIN(((B745-B744)/B744)/($K$7*卓尔金历!$N$40),0),-卓尔金历!$M$43))+MIN(MAX(((B745-B744)/B744)/($K$7*卓尔金历!$N$40),0),卓尔金历!$M$43),0),1)</f>
        <v>1</v>
      </c>
      <c r="M745" s="4">
        <f>MIN(MAX(M744*(1+MAX(MIN(((B745-B744)/B744)/($K$7*30),0),-卓尔金历!$M$43))+MIN(MAX(((B745-B744)/B744)/($K$7*7),0),卓尔金历!$M$43),0),1)</f>
        <v>1</v>
      </c>
      <c r="N745">
        <f t="shared" si="63"/>
        <v>1.0077294882215759</v>
      </c>
      <c r="O745">
        <f t="shared" si="64"/>
        <v>1.0387770994956387</v>
      </c>
      <c r="P745">
        <f t="shared" si="65"/>
        <v>8.1813776261652118E-3</v>
      </c>
      <c r="Q745">
        <f t="shared" si="56"/>
        <v>9.7656033682806218E-2</v>
      </c>
      <c r="R745">
        <f t="shared" si="57"/>
        <v>1</v>
      </c>
      <c r="S745">
        <f t="shared" si="59"/>
        <v>1.0765645660923271</v>
      </c>
      <c r="T745" s="564">
        <f>IF((I745-MAX(I$470:I745))/MAX(I$470:I745)&gt;T744,T744,(I745-MAX(I$470:I745))/MAX(I$470:I745))</f>
        <v>-0.20203921346987605</v>
      </c>
      <c r="U745" s="564">
        <f>IF((J745-MAX(J$470:J745))/MAX(J$470:J745)&gt;U744,U744,(J745-MAX(J$470:J745))/MAX(J$470:J745))</f>
        <v>-0.40740740740740738</v>
      </c>
      <c r="V745" s="564">
        <f>IF((K745-MAX(K$470:K745))/MAX(K$470:K745)&gt;V744,V744,(K745-MAX(K$470:K745))/MAX(K$470:K745))</f>
        <v>-0.77951172533779323</v>
      </c>
      <c r="W745" s="564">
        <f>IF((N745-MAX(N$470:N745))/MAX(N$470:N745)&gt;W744,W744,(N745-MAX(N$470:N745))/MAX(N$470:N745))</f>
        <v>-0.1802571071545401</v>
      </c>
      <c r="X745" s="564">
        <f>IF((O745-MAX(O$470:O745))/MAX(O$470:O745)&gt;X744,X744,(O745-MAX(O$470:O745))/MAX(O$470:O745))</f>
        <v>-0.1810014391024842</v>
      </c>
    </row>
    <row r="746" spans="1:24">
      <c r="A746" s="799">
        <v>41148</v>
      </c>
      <c r="B746">
        <v>10.95</v>
      </c>
      <c r="C746">
        <v>11.865208000000001</v>
      </c>
      <c r="D746">
        <v>1.8318950000000001</v>
      </c>
      <c r="E746">
        <f>LN(D746/参数实验室!$E$53)/参数实验室!$E$55</f>
        <v>2.1196453314090088E-2</v>
      </c>
      <c r="F746">
        <f t="shared" si="58"/>
        <v>1.0835806392694065</v>
      </c>
      <c r="G746">
        <f>LN(F746/参数实验室!$E$58)/参数实验室!$E$59</f>
        <v>-0.14839948464355324</v>
      </c>
      <c r="H746" s="856">
        <f>INDEX(神经网络!$G$10:$BO$70,MATCH(ROUND(G746*2,1)/2,神经网络!$E$10:$E$70,0),MATCH(ROUND(E746*2,1)/2,神经网络!$G$8:$BO$8,0))</f>
        <v>-4.1248771334708077E-2</v>
      </c>
      <c r="I746">
        <f t="shared" si="60"/>
        <v>0.99802743481791889</v>
      </c>
      <c r="J746">
        <f t="shared" si="61"/>
        <v>4.3693388132955624</v>
      </c>
      <c r="K746">
        <f t="shared" si="62"/>
        <v>0.22841612368924058</v>
      </c>
      <c r="L746" s="4">
        <f>MIN(MAX(L745*(1+MAX(MIN(((B746-B745)/B745)/($K$7*卓尔金历!$N$40),0),-卓尔金历!$M$43))+MIN(MAX(((B746-B745)/B745)/($K$7*卓尔金历!$N$40),0),卓尔金历!$M$43),0),1)</f>
        <v>1</v>
      </c>
      <c r="M746" s="4">
        <f>MIN(MAX(M745*(1+MAX(MIN(((B746-B745)/B745)/($K$7*30),0),-卓尔金历!$M$43))+MIN(MAX(((B746-B745)/B745)/($K$7*7),0),卓尔金历!$M$43),0),1)</f>
        <v>1</v>
      </c>
      <c r="N746">
        <f t="shared" si="63"/>
        <v>1.0063974443858412</v>
      </c>
      <c r="O746">
        <f t="shared" si="64"/>
        <v>1.0374040160955216</v>
      </c>
      <c r="P746">
        <f t="shared" si="65"/>
        <v>3.2045240339302533E-2</v>
      </c>
      <c r="Q746">
        <f t="shared" si="56"/>
        <v>9.7826921950992463E-2</v>
      </c>
      <c r="R746">
        <f t="shared" si="57"/>
        <v>1</v>
      </c>
      <c r="S746">
        <f t="shared" si="59"/>
        <v>1.0751415342064941</v>
      </c>
      <c r="T746" s="564">
        <f>IF((I746-MAX(I$470:I746))/MAX(I$470:I746)&gt;T745,T745,(I746-MAX(I$470:I746))/MAX(I$470:I746))</f>
        <v>-0.20309397941577614</v>
      </c>
      <c r="U746" s="564">
        <f>IF((J746-MAX(J$470:J746))/MAX(J$470:J746)&gt;U745,U745,(J746-MAX(J$470:J746))/MAX(J$470:J746))</f>
        <v>-0.40740740740740738</v>
      </c>
      <c r="V746" s="564">
        <f>IF((K746-MAX(K$470:K746))/MAX(K$470:K746)&gt;V745,V745,(K746-MAX(K$470:K746))/MAX(K$470:K746))</f>
        <v>-0.77951172533779323</v>
      </c>
      <c r="W746" s="564">
        <f>IF((N746-MAX(N$470:N746))/MAX(N$470:N746)&gt;W745,W745,(N746-MAX(N$470:N746))/MAX(N$470:N746))</f>
        <v>-0.18134066527213491</v>
      </c>
      <c r="X746" s="564">
        <f>IF((O746-MAX(O$470:O746))/MAX(O$470:O746)&gt;X745,X745,(O746-MAX(O$470:O746))/MAX(O$470:O746))</f>
        <v>-0.18208401334216873</v>
      </c>
    </row>
    <row r="747" spans="1:24">
      <c r="A747" s="799">
        <v>41149</v>
      </c>
      <c r="B747">
        <v>10.94</v>
      </c>
      <c r="C747">
        <v>12.009475</v>
      </c>
      <c r="D747">
        <v>1.830409</v>
      </c>
      <c r="E747">
        <f>LN(D747/参数实验室!$E$53)/参数实验室!$E$55</f>
        <v>2.0239070520770733E-2</v>
      </c>
      <c r="F747">
        <f t="shared" si="58"/>
        <v>1.0977582266910422</v>
      </c>
      <c r="G747">
        <f>LN(F747/参数实验室!$E$58)/参数实验室!$E$59</f>
        <v>-0.14157682267381164</v>
      </c>
      <c r="H747" s="856">
        <f>INDEX(神经网络!$G$10:$BO$70,MATCH(ROUND(G747*2,1)/2,神经网络!$E$10:$E$70,0),MATCH(ROUND(E747*2,1)/2,神经网络!$G$8:$BO$8,0))</f>
        <v>-4.1248771334708077E-2</v>
      </c>
      <c r="I747">
        <f t="shared" si="60"/>
        <v>0.99806503062197793</v>
      </c>
      <c r="J747">
        <f t="shared" si="61"/>
        <v>4.365348549539128</v>
      </c>
      <c r="K747">
        <f t="shared" si="62"/>
        <v>0.22863352589046956</v>
      </c>
      <c r="L747" s="4">
        <f>MIN(MAX(L746*(1+MAX(MIN(((B747-B746)/B746)/($K$7*卓尔金历!$N$40),0),-卓尔金历!$M$43))+MIN(MAX(((B747-B746)/B746)/($K$7*卓尔金历!$N$40),0),卓尔金历!$M$43),0),1)</f>
        <v>0.98604653847325352</v>
      </c>
      <c r="M747" s="4">
        <f>MIN(MAX(M746*(1+MAX(MIN(((B747-B746)/B746)/($K$7*30),0),-卓尔金历!$M$43))+MIN(MAX(((B747-B746)/B746)/($K$7*7),0),卓尔金历!$M$43),0),1)</f>
        <v>0.99302326923662676</v>
      </c>
      <c r="N747">
        <f t="shared" si="63"/>
        <v>1.0064353554890881</v>
      </c>
      <c r="O747">
        <f t="shared" si="64"/>
        <v>1.0374430952197606</v>
      </c>
      <c r="P747">
        <f t="shared" si="65"/>
        <v>-9.1324200913240066E-4</v>
      </c>
      <c r="Q747">
        <f t="shared" si="56"/>
        <v>9.7761336414802835E-2</v>
      </c>
      <c r="R747">
        <f t="shared" si="57"/>
        <v>1</v>
      </c>
      <c r="S747">
        <f t="shared" si="59"/>
        <v>1.0751820349072219</v>
      </c>
      <c r="T747" s="564">
        <f>IF((I747-MAX(I$470:I747))/MAX(I$470:I747)&gt;T746,T746,(I747-MAX(I$470:I747))/MAX(I$470:I747))</f>
        <v>-0.20309397941577614</v>
      </c>
      <c r="U747" s="564">
        <f>IF((J747-MAX(J$470:J747))/MAX(J$470:J747)&gt;U746,U746,(J747-MAX(J$470:J747))/MAX(J$470:J747))</f>
        <v>-0.40740740740740738</v>
      </c>
      <c r="V747" s="564">
        <f>IF((K747-MAX(K$470:K747))/MAX(K$470:K747)&gt;V746,V746,(K747-MAX(K$470:K747))/MAX(K$470:K747))</f>
        <v>-0.77951172533779323</v>
      </c>
      <c r="W747" s="564">
        <f>IF((N747-MAX(N$470:N747))/MAX(N$470:N747)&gt;W746,W746,(N747-MAX(N$470:N747))/MAX(N$470:N747))</f>
        <v>-0.18134066527213491</v>
      </c>
      <c r="X747" s="564">
        <f>IF((O747-MAX(O$470:O747))/MAX(O$470:O747)&gt;X746,X746,(O747-MAX(O$470:O747))/MAX(O$470:O747))</f>
        <v>-0.18208401334216873</v>
      </c>
    </row>
    <row r="748" spans="1:24">
      <c r="A748" s="799">
        <v>41150</v>
      </c>
      <c r="B748">
        <v>10.9169</v>
      </c>
      <c r="C748">
        <v>12.105278</v>
      </c>
      <c r="D748">
        <v>1.8169709999999999</v>
      </c>
      <c r="E748">
        <f>LN(D748/参数实验室!$E$53)/参数实验室!$E$55</f>
        <v>1.1545928690253228E-2</v>
      </c>
      <c r="F748">
        <f t="shared" si="58"/>
        <v>1.1088567267264517</v>
      </c>
      <c r="G748">
        <f>LN(F748/参数实验室!$E$58)/参数实验室!$E$59</f>
        <v>-0.13629711428853025</v>
      </c>
      <c r="H748" s="856">
        <f>INDEX(神经网络!$G$10:$BO$70,MATCH(ROUND(G748*2,1)/2,神经网络!$E$10:$E$70,0),MATCH(ROUND(E748*2,1)/2,神经网络!$G$8:$BO$8,0))</f>
        <v>-4.1248771334708077E-2</v>
      </c>
      <c r="I748">
        <f t="shared" si="60"/>
        <v>0.9981519595880477</v>
      </c>
      <c r="J748">
        <f t="shared" si="61"/>
        <v>4.356131040261765</v>
      </c>
      <c r="K748">
        <f t="shared" si="62"/>
        <v>0.22913726661631087</v>
      </c>
      <c r="L748" s="4">
        <f>MIN(MAX(L747*(1+MAX(MIN(((B748-B747)/B747)/($K$7*卓尔金历!$N$40),0),-卓尔金历!$M$43))+MIN(MAX(((B748-B747)/B747)/($K$7*卓尔金历!$N$40),0),卓尔金历!$M$43),0),1)</f>
        <v>0.95423474537524222</v>
      </c>
      <c r="M748" s="4">
        <f>MIN(MAX(M747*(1+MAX(MIN(((B748-B747)/B747)/($K$7*30),0),-卓尔金历!$M$43))+MIN(MAX(((B748-B747)/B747)/($K$7*7),0),卓尔金历!$M$43),0),1)</f>
        <v>0.97700483118634041</v>
      </c>
      <c r="N748">
        <f t="shared" si="63"/>
        <v>1.0065217903569672</v>
      </c>
      <c r="O748">
        <f t="shared" si="64"/>
        <v>1.0375328235083954</v>
      </c>
      <c r="P748">
        <f t="shared" si="65"/>
        <v>-2.1115173674588167E-3</v>
      </c>
      <c r="Q748">
        <f t="shared" ref="Q748:Q811" si="66">STDEVP(P728:P748)</f>
        <v>9.7754212349168354E-2</v>
      </c>
      <c r="R748">
        <f t="shared" ref="R748:R811" si="67">MIN(Q747*MAX(1-LN(MAX(ABS(P748),0.0001)/Q748),0)+MAX(-LN(MAX(ABS(P748),0.0001)/Q748),0),1)</f>
        <v>1</v>
      </c>
      <c r="S748">
        <f t="shared" si="59"/>
        <v>1.0752756805713457</v>
      </c>
      <c r="T748" s="564">
        <f>IF((I748-MAX(I$470:I748))/MAX(I$470:I748)&gt;T747,T747,(I748-MAX(I$470:I748))/MAX(I$470:I748))</f>
        <v>-0.20309397941577614</v>
      </c>
      <c r="U748" s="564">
        <f>IF((J748-MAX(J$470:J748))/MAX(J$470:J748)&gt;U747,U747,(J748-MAX(J$470:J748))/MAX(J$470:J748))</f>
        <v>-0.40740740740740738</v>
      </c>
      <c r="V748" s="564">
        <f>IF((K748-MAX(K$470:K748))/MAX(K$470:K748)&gt;V747,V747,(K748-MAX(K$470:K748))/MAX(K$470:K748))</f>
        <v>-0.77951172533779323</v>
      </c>
      <c r="W748" s="564">
        <f>IF((N748-MAX(N$470:N748))/MAX(N$470:N748)&gt;W747,W747,(N748-MAX(N$470:N748))/MAX(N$470:N748))</f>
        <v>-0.18134066527213491</v>
      </c>
      <c r="X748" s="564">
        <f>IF((O748-MAX(O$470:O748))/MAX(O$470:O748)&gt;X747,X747,(O748-MAX(O$470:O748))/MAX(O$470:O748))</f>
        <v>-0.18208401334216873</v>
      </c>
    </row>
    <row r="749" spans="1:24">
      <c r="A749" s="799">
        <v>41151</v>
      </c>
      <c r="B749">
        <v>10.776999999999999</v>
      </c>
      <c r="C749">
        <v>11.953559</v>
      </c>
      <c r="D749">
        <v>1.7927379999999999</v>
      </c>
      <c r="E749">
        <f>LN(D749/参数实验室!$E$53)/参数实验室!$E$55</f>
        <v>-4.2943453356533235E-3</v>
      </c>
      <c r="F749">
        <f t="shared" si="58"/>
        <v>1.109173146515728</v>
      </c>
      <c r="G749">
        <f>LN(F749/参数实验室!$E$58)/参数实验室!$E$59</f>
        <v>-0.13614736499178473</v>
      </c>
      <c r="H749" s="856">
        <f>INDEX(神经网络!$G$10:$BO$70,MATCH(ROUND(G749*2,1)/2,神经网络!$E$10:$E$70,0),MATCH(ROUND(E749*2,1)/2,神经网络!$G$8:$BO$8,0))</f>
        <v>-4.1248771334708077E-2</v>
      </c>
      <c r="I749">
        <f t="shared" si="60"/>
        <v>0.99867958543578605</v>
      </c>
      <c r="J749">
        <f t="shared" si="61"/>
        <v>4.300307250309249</v>
      </c>
      <c r="K749">
        <f t="shared" si="62"/>
        <v>0.23223447240054015</v>
      </c>
      <c r="L749" s="4">
        <f>MIN(MAX(L748*(1+MAX(MIN(((B749-B748)/B748)/($K$7*卓尔金历!$N$40),0),-卓尔金历!$M$43))+MIN(MAX(((B749-B748)/B748)/($K$7*卓尔金历!$N$40),0),卓尔金历!$M$43),0),1)</f>
        <v>0.76739481932432396</v>
      </c>
      <c r="M749" s="4">
        <f>MIN(MAX(M748*(1+MAX(MIN(((B749-B748)/B748)/($K$7*30),0),-卓尔金历!$M$43))+MIN(MAX(((B749-B748)/B748)/($K$7*7),0),卓尔金历!$M$43),0),1)</f>
        <v>0.88135566765768358</v>
      </c>
      <c r="N749">
        <f t="shared" si="63"/>
        <v>1.0070294911088862</v>
      </c>
      <c r="O749">
        <f t="shared" si="64"/>
        <v>1.0380686546561846</v>
      </c>
      <c r="P749">
        <f t="shared" si="65"/>
        <v>-1.281499326731955E-2</v>
      </c>
      <c r="Q749">
        <f t="shared" si="66"/>
        <v>9.7822022858356839E-2</v>
      </c>
      <c r="R749">
        <f t="shared" si="67"/>
        <v>1</v>
      </c>
      <c r="S749">
        <f t="shared" si="59"/>
        <v>1.0758440742283075</v>
      </c>
      <c r="T749" s="564">
        <f>IF((I749-MAX(I$470:I749))/MAX(I$470:I749)&gt;T748,T748,(I749-MAX(I$470:I749))/MAX(I$470:I749))</f>
        <v>-0.20309397941577614</v>
      </c>
      <c r="U749" s="564">
        <f>IF((J749-MAX(J$470:J749))/MAX(J$470:J749)&gt;U748,U748,(J749-MAX(J$470:J749))/MAX(J$470:J749))</f>
        <v>-0.40740740740740738</v>
      </c>
      <c r="V749" s="564">
        <f>IF((K749-MAX(K$470:K749))/MAX(K$470:K749)&gt;V748,V748,(K749-MAX(K$470:K749))/MAX(K$470:K749))</f>
        <v>-0.77951172533779323</v>
      </c>
      <c r="W749" s="564">
        <f>IF((N749-MAX(N$470:N749))/MAX(N$470:N749)&gt;W748,W748,(N749-MAX(N$470:N749))/MAX(N$470:N749))</f>
        <v>-0.18134066527213491</v>
      </c>
      <c r="X749" s="564">
        <f>IF((O749-MAX(O$470:O749))/MAX(O$470:O749)&gt;X748,X748,(O749-MAX(O$470:O749))/MAX(O$470:O749))</f>
        <v>-0.18208401334216873</v>
      </c>
    </row>
    <row r="750" spans="1:24">
      <c r="A750" s="799">
        <v>41152</v>
      </c>
      <c r="B750">
        <v>10.16</v>
      </c>
      <c r="C750">
        <v>11.936634</v>
      </c>
      <c r="D750">
        <v>1.675052</v>
      </c>
      <c r="E750">
        <f>LN(D750/参数实验室!$E$53)/参数实验室!$E$55</f>
        <v>-8.4399414298765824E-2</v>
      </c>
      <c r="F750">
        <f t="shared" si="58"/>
        <v>1.1748655511811024</v>
      </c>
      <c r="G750">
        <f>LN(F750/参数实验室!$E$58)/参数实验室!$E$59</f>
        <v>-0.10594784497898224</v>
      </c>
      <c r="H750" s="856">
        <f>INDEX(神经网络!$G$10:$BO$70,MATCH(ROUND(G750*2,1)/2,神经网络!$E$10:$E$70,0),MATCH(ROUND(E750*2,1)/2,神经网络!$G$8:$BO$8,0))</f>
        <v>-4.120669943647004E-2</v>
      </c>
      <c r="I750">
        <f t="shared" si="60"/>
        <v>1.001038023471726</v>
      </c>
      <c r="J750">
        <f t="shared" si="61"/>
        <v>4.054107976537253</v>
      </c>
      <c r="K750">
        <f t="shared" si="62"/>
        <v>0.24691942821087501</v>
      </c>
      <c r="L750" s="4">
        <f>MIN(MAX(L749*(1+MAX(MIN(((B750-B749)/B749)/($K$7*卓尔金历!$N$40),0),-卓尔金历!$M$43))+MIN(MAX(((B750-B749)/B749)/($K$7*卓尔金历!$N$40),0),卓尔金历!$M$43),0),1)</f>
        <v>9.611711545787345E-2</v>
      </c>
      <c r="M750" s="4">
        <f>MIN(MAX(M749*(1+MAX(MIN(((B750-B749)/B749)/($K$7*30),0),-卓尔金历!$M$43))+MIN(MAX(((B750-B749)/B749)/($K$7*7),0),卓尔金历!$M$43),0),1)</f>
        <v>0.49587325757583378</v>
      </c>
      <c r="N750">
        <f t="shared" si="63"/>
        <v>1.0088544763229093</v>
      </c>
      <c r="O750">
        <f t="shared" si="64"/>
        <v>1.0402292606524659</v>
      </c>
      <c r="P750">
        <f t="shared" si="65"/>
        <v>-5.7251554235872616E-2</v>
      </c>
      <c r="Q750">
        <f t="shared" si="66"/>
        <v>9.8487726868516298E-2</v>
      </c>
      <c r="R750">
        <f t="shared" si="67"/>
        <v>0.69336538481111964</v>
      </c>
      <c r="S750">
        <f t="shared" si="59"/>
        <v>1.0783847405465175</v>
      </c>
      <c r="T750" s="564">
        <f>IF((I750-MAX(I$470:I750))/MAX(I$470:I750)&gt;T749,T749,(I750-MAX(I$470:I750))/MAX(I$470:I750))</f>
        <v>-0.20309397941577614</v>
      </c>
      <c r="U750" s="564">
        <f>IF((J750-MAX(J$470:J750))/MAX(J$470:J750)&gt;U749,U749,(J750-MAX(J$470:J750))/MAX(J$470:J750))</f>
        <v>-0.40740740740740738</v>
      </c>
      <c r="V750" s="564">
        <f>IF((K750-MAX(K$470:K750))/MAX(K$470:K750)&gt;V749,V749,(K750-MAX(K$470:K750))/MAX(K$470:K750))</f>
        <v>-0.77951172533779323</v>
      </c>
      <c r="W750" s="564">
        <f>IF((N750-MAX(N$470:N750))/MAX(N$470:N750)&gt;W749,W749,(N750-MAX(N$470:N750))/MAX(N$470:N750))</f>
        <v>-0.18134066527213491</v>
      </c>
      <c r="X750" s="564">
        <f>IF((O750-MAX(O$470:O750))/MAX(O$470:O750)&gt;X749,X749,(O750-MAX(O$470:O750))/MAX(O$470:O750))</f>
        <v>-0.18208401334216873</v>
      </c>
    </row>
    <row r="751" spans="1:24">
      <c r="A751" s="799">
        <v>41153</v>
      </c>
      <c r="B751">
        <v>9.9654000000000007</v>
      </c>
      <c r="C751">
        <v>11.99963</v>
      </c>
      <c r="D751">
        <v>1.6609039999999999</v>
      </c>
      <c r="E751">
        <f>LN(D751/参数实验室!$E$53)/参数实验室!$E$55</f>
        <v>-9.4406290270289711E-2</v>
      </c>
      <c r="F751">
        <f t="shared" si="58"/>
        <v>1.2041292873341762</v>
      </c>
      <c r="G751">
        <f>LN(F751/参数实验室!$E$58)/参数实验室!$E$59</f>
        <v>-9.3034857752274241E-2</v>
      </c>
      <c r="H751" s="856">
        <f>INDEX(神经网络!$G$10:$BO$70,MATCH(ROUND(G751*2,1)/2,神经网络!$E$10:$E$70,0),MATCH(ROUND(E751*2,1)/2,神经网络!$G$8:$BO$8,0))</f>
        <v>-4.120669943647004E-2</v>
      </c>
      <c r="I751">
        <f t="shared" si="60"/>
        <v>1.0018280970384155</v>
      </c>
      <c r="J751">
        <f t="shared" si="61"/>
        <v>3.9764574438370417</v>
      </c>
      <c r="K751">
        <f t="shared" si="62"/>
        <v>0.25193985128424051</v>
      </c>
      <c r="L751" s="4">
        <f>MIN(MAX(L750*(1+MAX(MIN(((B751-B750)/B750)/($K$7*卓尔金历!$N$40),0),-卓尔金历!$M$43))+MIN(MAX(((B751-B750)/B750)/($K$7*卓尔金历!$N$40),0),卓尔金历!$M$43),0),1)</f>
        <v>6.7988656781926352E-2</v>
      </c>
      <c r="M751" s="4">
        <f>MIN(MAX(M750*(1+MAX(MIN(((B751-B750)/B750)/($K$7*30),0),-卓尔金历!$M$43))+MIN(MAX(((B751-B750)/B750)/($K$7*7),0),卓尔金历!$M$43),0),1)</f>
        <v>0.42331515817915372</v>
      </c>
      <c r="N751">
        <f t="shared" si="63"/>
        <v>1.008931008877872</v>
      </c>
      <c r="O751">
        <f t="shared" si="64"/>
        <v>1.0406363752841932</v>
      </c>
      <c r="P751">
        <f t="shared" si="65"/>
        <v>-1.915354330708656E-2</v>
      </c>
      <c r="Q751">
        <f t="shared" si="66"/>
        <v>9.8535261616357631E-2</v>
      </c>
      <c r="R751">
        <f t="shared" si="67"/>
        <v>1</v>
      </c>
      <c r="S751">
        <f t="shared" si="59"/>
        <v>1.078974877551323</v>
      </c>
      <c r="T751" s="564">
        <f>IF((I751-MAX(I$470:I751))/MAX(I$470:I751)&gt;T750,T750,(I751-MAX(I$470:I751))/MAX(I$470:I751))</f>
        <v>-0.20309397941577614</v>
      </c>
      <c r="U751" s="564">
        <f>IF((J751-MAX(J$470:J751))/MAX(J$470:J751)&gt;U750,U750,(J751-MAX(J$470:J751))/MAX(J$470:J751))</f>
        <v>-0.40740740740740738</v>
      </c>
      <c r="V751" s="564">
        <f>IF((K751-MAX(K$470:K751))/MAX(K$470:K751)&gt;V750,V750,(K751-MAX(K$470:K751))/MAX(K$470:K751))</f>
        <v>-0.77951172533779323</v>
      </c>
      <c r="W751" s="564">
        <f>IF((N751-MAX(N$470:N751))/MAX(N$470:N751)&gt;W750,W750,(N751-MAX(N$470:N751))/MAX(N$470:N751))</f>
        <v>-0.18134066527213491</v>
      </c>
      <c r="X751" s="564">
        <f>IF((O751-MAX(O$470:O751))/MAX(O$470:O751)&gt;X750,X750,(O751-MAX(O$470:O751))/MAX(O$470:O751))</f>
        <v>-0.18208401334216873</v>
      </c>
    </row>
    <row r="752" spans="1:24">
      <c r="A752" s="799">
        <v>41154</v>
      </c>
      <c r="B752">
        <v>10.2041</v>
      </c>
      <c r="C752">
        <v>12.017842999999999</v>
      </c>
      <c r="D752">
        <v>1.695217</v>
      </c>
      <c r="E752">
        <f>LN(D752/参数实验室!$E$53)/参数实验室!$E$55</f>
        <v>-7.0281842050829685E-2</v>
      </c>
      <c r="F752">
        <f t="shared" si="58"/>
        <v>1.1777464940563105</v>
      </c>
      <c r="G752">
        <f>LN(F752/参数实验室!$E$58)/参数实验室!$E$59</f>
        <v>-0.10466240118910987</v>
      </c>
      <c r="H752" s="856">
        <f>INDEX(神经网络!$G$10:$BO$70,MATCH(ROUND(G752*2,1)/2,神经网络!$E$10:$E$70,0),MATCH(ROUND(E752*2,1)/2,神经网络!$G$8:$BO$8,0))</f>
        <v>6.9030923885750189E-3</v>
      </c>
      <c r="I752">
        <f t="shared" si="60"/>
        <v>1.0008392736706093</v>
      </c>
      <c r="J752">
        <f t="shared" si="61"/>
        <v>4.0717050397031285</v>
      </c>
      <c r="K752">
        <f t="shared" si="62"/>
        <v>0.24580348132083296</v>
      </c>
      <c r="L752" s="4">
        <f>MIN(MAX(L751*(1+MAX(MIN(((B752-B751)/B751)/($K$7*卓尔金历!$N$40),0),-卓尔金历!$M$43))+MIN(MAX(((B752-B751)/B751)/($K$7*卓尔金历!$N$40),0),卓尔金历!$M$43),0),1)</f>
        <v>0.43396563078655587</v>
      </c>
      <c r="M752" s="4">
        <f>MIN(MAX(M751*(1+MAX(MIN(((B752-B751)/B751)/($K$7*30),0),-卓尔金历!$M$43))+MIN(MAX(((B752-B751)/B751)/($K$7*7),0),卓尔金历!$M$43),0),1)</f>
        <v>1</v>
      </c>
      <c r="N752">
        <f t="shared" si="63"/>
        <v>1.0088633034566157</v>
      </c>
      <c r="O752">
        <f t="shared" si="64"/>
        <v>1.0402015764849608</v>
      </c>
      <c r="P752">
        <f t="shared" si="65"/>
        <v>2.3952876954261713E-2</v>
      </c>
      <c r="Q752">
        <f t="shared" si="66"/>
        <v>9.8658665870521634E-2</v>
      </c>
      <c r="R752">
        <f t="shared" si="67"/>
        <v>1</v>
      </c>
      <c r="S752">
        <f t="shared" si="59"/>
        <v>1.0779099088452619</v>
      </c>
      <c r="T752" s="564">
        <f>IF((I752-MAX(I$470:I752))/MAX(I$470:I752)&gt;T751,T751,(I752-MAX(I$470:I752))/MAX(I$470:I752))</f>
        <v>-0.20309397941577614</v>
      </c>
      <c r="U752" s="564">
        <f>IF((J752-MAX(J$470:J752))/MAX(J$470:J752)&gt;U751,U751,(J752-MAX(J$470:J752))/MAX(J$470:J752))</f>
        <v>-0.40740740740740738</v>
      </c>
      <c r="V752" s="564">
        <f>IF((K752-MAX(K$470:K752))/MAX(K$470:K752)&gt;V751,V751,(K752-MAX(K$470:K752))/MAX(K$470:K752))</f>
        <v>-0.77951172533779323</v>
      </c>
      <c r="W752" s="564">
        <f>IF((N752-MAX(N$470:N752))/MAX(N$470:N752)&gt;W751,W751,(N752-MAX(N$470:N752))/MAX(N$470:N752))</f>
        <v>-0.18134066527213491</v>
      </c>
      <c r="X752" s="564">
        <f>IF((O752-MAX(O$470:O752))/MAX(O$470:O752)&gt;X751,X751,(O752-MAX(O$470:O752))/MAX(O$470:O752))</f>
        <v>-0.18208401334216873</v>
      </c>
    </row>
    <row r="753" spans="1:24">
      <c r="A753" s="799">
        <v>41155</v>
      </c>
      <c r="B753">
        <v>10.53</v>
      </c>
      <c r="C753">
        <v>12.042244</v>
      </c>
      <c r="D753">
        <v>1.7371669999999999</v>
      </c>
      <c r="E753">
        <f>LN(D753/参数实验室!$E$53)/参数实验室!$E$55</f>
        <v>-4.1442928342516151E-2</v>
      </c>
      <c r="F753">
        <f t="shared" si="58"/>
        <v>1.1436129154795822</v>
      </c>
      <c r="G753">
        <f>LN(F753/参数实验室!$E$58)/参数实验室!$E$59</f>
        <v>-0.1200985615429012</v>
      </c>
      <c r="H753" s="856">
        <f>INDEX(神经网络!$G$10:$BO$70,MATCH(ROUND(G753*2,1)/2,神经网络!$E$10:$E$70,0),MATCH(ROUND(E753*2,1)/2,神经网络!$G$8:$BO$8,0))</f>
        <v>6.9030923885750189E-3</v>
      </c>
      <c r="I753">
        <f t="shared" si="60"/>
        <v>1.001059930655386</v>
      </c>
      <c r="J753">
        <f t="shared" si="61"/>
        <v>4.2017477355253225</v>
      </c>
      <c r="K753">
        <f t="shared" si="62"/>
        <v>0.23824846079918902</v>
      </c>
      <c r="L753" s="4">
        <f>MIN(MAX(L752*(1+MAX(MIN(((B753-B752)/B752)/($K$7*卓尔金历!$N$40),0),-卓尔金历!$M$43))+MIN(MAX(((B753-B752)/B752)/($K$7*卓尔金历!$N$40),0),卓尔金历!$M$43),0),1)</f>
        <v>0.92194979961728252</v>
      </c>
      <c r="M753" s="4">
        <f>MIN(MAX(M752*(1+MAX(MIN(((B753-B752)/B752)/($K$7*30),0),-卓尔金历!$M$43))+MIN(MAX(((B753-B752)/B752)/($K$7*7),0),卓尔金历!$M$43),0),1)</f>
        <v>1</v>
      </c>
      <c r="N753">
        <f t="shared" si="63"/>
        <v>1.0089598287212911</v>
      </c>
      <c r="O753">
        <f t="shared" si="64"/>
        <v>1.0404309117533355</v>
      </c>
      <c r="P753">
        <f t="shared" si="65"/>
        <v>3.193814251134338E-2</v>
      </c>
      <c r="Q753">
        <f t="shared" si="66"/>
        <v>9.8597677251973964E-2</v>
      </c>
      <c r="R753">
        <f t="shared" si="67"/>
        <v>1</v>
      </c>
      <c r="S753">
        <f t="shared" si="59"/>
        <v>1.0781475577431459</v>
      </c>
      <c r="T753" s="564">
        <f>IF((I753-MAX(I$470:I753))/MAX(I$470:I753)&gt;T752,T752,(I753-MAX(I$470:I753))/MAX(I$470:I753))</f>
        <v>-0.20309397941577614</v>
      </c>
      <c r="U753" s="564">
        <f>IF((J753-MAX(J$470:J753))/MAX(J$470:J753)&gt;U752,U752,(J753-MAX(J$470:J753))/MAX(J$470:J753))</f>
        <v>-0.40740740740740738</v>
      </c>
      <c r="V753" s="564">
        <f>IF((K753-MAX(K$470:K753))/MAX(K$470:K753)&gt;V752,V752,(K753-MAX(K$470:K753))/MAX(K$470:K753))</f>
        <v>-0.77951172533779323</v>
      </c>
      <c r="W753" s="564">
        <f>IF((N753-MAX(N$470:N753))/MAX(N$470:N753)&gt;W752,W752,(N753-MAX(N$470:N753))/MAX(N$470:N753))</f>
        <v>-0.18134066527213491</v>
      </c>
      <c r="X753" s="564">
        <f>IF((O753-MAX(O$470:O753))/MAX(O$470:O753)&gt;X752,X752,(O753-MAX(O$470:O753))/MAX(O$470:O753))</f>
        <v>-0.18208401334216873</v>
      </c>
    </row>
    <row r="754" spans="1:24">
      <c r="A754" s="799">
        <v>41156</v>
      </c>
      <c r="B754">
        <v>10.3847</v>
      </c>
      <c r="C754">
        <v>11.967219999999999</v>
      </c>
      <c r="D754">
        <v>1.712094</v>
      </c>
      <c r="E754">
        <f>LN(D754/参数实验室!$E$53)/参数实验室!$E$55</f>
        <v>-5.8594703230771823E-2</v>
      </c>
      <c r="F754">
        <f t="shared" si="58"/>
        <v>1.1523895731219966</v>
      </c>
      <c r="G754">
        <f>LN(F754/参数实验室!$E$58)/参数实验室!$E$59</f>
        <v>-0.11608594682825224</v>
      </c>
      <c r="H754" s="856">
        <f>INDEX(神经网络!$G$10:$BO$70,MATCH(ROUND(G754*2,1)/2,神经网络!$E$10:$E$70,0),MATCH(ROUND(E754*2,1)/2,神经网络!$G$8:$BO$8,0))</f>
        <v>6.9030923885750189E-3</v>
      </c>
      <c r="I754">
        <f t="shared" si="60"/>
        <v>1.0009645761962227</v>
      </c>
      <c r="J754">
        <f t="shared" si="61"/>
        <v>4.1437692031443323</v>
      </c>
      <c r="K754">
        <f t="shared" si="62"/>
        <v>0.24155895927714341</v>
      </c>
      <c r="L754" s="4">
        <f>MIN(MAX(L753*(1+MAX(MIN(((B754-B753)/B753)/($K$7*卓尔金历!$N$40),0),-卓尔金历!$M$43))+MIN(MAX(((B754-B753)/B753)/($K$7*卓尔金历!$N$40),0),卓尔金历!$M$43),0),1)</f>
        <v>0.72757471483245217</v>
      </c>
      <c r="M754" s="4">
        <f>MIN(MAX(M753*(1+MAX(MIN(((B754-B753)/B753)/($K$7*30),0),-卓尔金历!$M$43))+MIN(MAX(((B754-B753)/B753)/($K$7*7),0),卓尔金历!$M$43),0),1)</f>
        <v>0.89458477844156004</v>
      </c>
      <c r="N754">
        <f t="shared" si="63"/>
        <v>1.0088712229360788</v>
      </c>
      <c r="O754">
        <f t="shared" si="64"/>
        <v>1.0403318070705398</v>
      </c>
      <c r="P754">
        <f t="shared" si="65"/>
        <v>-1.3798670465337027E-2</v>
      </c>
      <c r="Q754">
        <f t="shared" si="66"/>
        <v>9.8582991124644498E-2</v>
      </c>
      <c r="R754">
        <f t="shared" si="67"/>
        <v>1</v>
      </c>
      <c r="S754">
        <f t="shared" si="59"/>
        <v>1.0780448604179222</v>
      </c>
      <c r="T754" s="564">
        <f>IF((I754-MAX(I$470:I754))/MAX(I$470:I754)&gt;T753,T753,(I754-MAX(I$470:I754))/MAX(I$470:I754))</f>
        <v>-0.20309397941577614</v>
      </c>
      <c r="U754" s="564">
        <f>IF((J754-MAX(J$470:J754))/MAX(J$470:J754)&gt;U753,U753,(J754-MAX(J$470:J754))/MAX(J$470:J754))</f>
        <v>-0.40740740740740738</v>
      </c>
      <c r="V754" s="564">
        <f>IF((K754-MAX(K$470:K754))/MAX(K$470:K754)&gt;V753,V753,(K754-MAX(K$470:K754))/MAX(K$470:K754))</f>
        <v>-0.77951172533779323</v>
      </c>
      <c r="W754" s="564">
        <f>IF((N754-MAX(N$470:N754))/MAX(N$470:N754)&gt;W753,W753,(N754-MAX(N$470:N754))/MAX(N$470:N754))</f>
        <v>-0.18134066527213491</v>
      </c>
      <c r="X754" s="564">
        <f>IF((O754-MAX(O$470:O754))/MAX(O$470:O754)&gt;X753,X753,(O754-MAX(O$470:O754))/MAX(O$470:O754))</f>
        <v>-0.18208401334216873</v>
      </c>
    </row>
    <row r="755" spans="1:24">
      <c r="A755" s="799">
        <v>41157</v>
      </c>
      <c r="B755">
        <v>10.999700000000001</v>
      </c>
      <c r="C755">
        <v>11.705992999999999</v>
      </c>
      <c r="D755">
        <v>1.812692</v>
      </c>
      <c r="E755">
        <f>LN(D755/参数实验室!$E$53)/参数实验室!$E$55</f>
        <v>8.7643115155439742E-3</v>
      </c>
      <c r="F755">
        <f t="shared" si="58"/>
        <v>1.0642102057328835</v>
      </c>
      <c r="G755">
        <f>LN(F755/参数实验室!$E$58)/参数实验室!$E$59</f>
        <v>-0.15786681805804664</v>
      </c>
      <c r="H755" s="856">
        <f>INDEX(神经网络!$G$10:$BO$70,MATCH(ROUND(G755*2,1)/2,神经网络!$E$10:$E$70,0),MATCH(ROUND(E755*2,1)/2,神经网络!$G$8:$BO$8,0))</f>
        <v>-4.1248771334708077E-2</v>
      </c>
      <c r="I755">
        <f t="shared" si="60"/>
        <v>1.0013737836680334</v>
      </c>
      <c r="J755">
        <f t="shared" si="61"/>
        <v>4.3891704241650427</v>
      </c>
      <c r="K755">
        <f t="shared" si="62"/>
        <v>0.22814648029041296</v>
      </c>
      <c r="L755" s="4">
        <f>MIN(MAX(L754*(1+MAX(MIN(((B755-B754)/B754)/($K$7*卓尔金历!$N$40),0),-卓尔金历!$M$43))+MIN(MAX(((B755-B754)/B754)/($K$7*卓尔金历!$N$40),0),卓尔金历!$M$43),0),1)</f>
        <v>1</v>
      </c>
      <c r="M755" s="4">
        <f>MIN(MAX(M754*(1+MAX(MIN(((B755-B754)/B754)/($K$7*30),0),-卓尔金历!$M$43))+MIN(MAX(((B755-B754)/B754)/($K$7*7),0),卓尔金历!$M$43),0),1)</f>
        <v>1</v>
      </c>
      <c r="N755">
        <f t="shared" si="63"/>
        <v>1.0091713037153309</v>
      </c>
      <c r="O755">
        <f t="shared" si="64"/>
        <v>1.0407122751514839</v>
      </c>
      <c r="P755">
        <f t="shared" si="65"/>
        <v>5.922173967471378E-2</v>
      </c>
      <c r="Q755">
        <f t="shared" si="66"/>
        <v>9.7558251024234946E-2</v>
      </c>
      <c r="R755">
        <f t="shared" si="67"/>
        <v>0.64695271765273921</v>
      </c>
      <c r="S755">
        <f t="shared" si="59"/>
        <v>1.0784855793227874</v>
      </c>
      <c r="T755" s="564">
        <f>IF((I755-MAX(I$470:I755))/MAX(I$470:I755)&gt;T754,T754,(I755-MAX(I$470:I755))/MAX(I$470:I755))</f>
        <v>-0.20309397941577614</v>
      </c>
      <c r="U755" s="564">
        <f>IF((J755-MAX(J$470:J755))/MAX(J$470:J755)&gt;U754,U754,(J755-MAX(J$470:J755))/MAX(J$470:J755))</f>
        <v>-0.40740740740740738</v>
      </c>
      <c r="V755" s="564">
        <f>IF((K755-MAX(K$470:K755))/MAX(K$470:K755)&gt;V754,V754,(K755-MAX(K$470:K755))/MAX(K$470:K755))</f>
        <v>-0.77951172533779323</v>
      </c>
      <c r="W755" s="564">
        <f>IF((N755-MAX(N$470:N755))/MAX(N$470:N755)&gt;W754,W754,(N755-MAX(N$470:N755))/MAX(N$470:N755))</f>
        <v>-0.18134066527213491</v>
      </c>
      <c r="X755" s="564">
        <f>IF((O755-MAX(O$470:O755))/MAX(O$470:O755)&gt;X754,X754,(O755-MAX(O$470:O755))/MAX(O$470:O755))</f>
        <v>-0.18208401334216873</v>
      </c>
    </row>
    <row r="756" spans="1:24">
      <c r="A756" s="799">
        <v>41158</v>
      </c>
      <c r="B756">
        <v>11.180999999999999</v>
      </c>
      <c r="C756">
        <v>11.688637999999999</v>
      </c>
      <c r="D756">
        <v>1.8296520000000001</v>
      </c>
      <c r="E756">
        <f>LN(D756/参数实验室!$E$53)/参数实验室!$E$55</f>
        <v>1.9751060502128225E-2</v>
      </c>
      <c r="F756">
        <f t="shared" si="58"/>
        <v>1.0454018424112332</v>
      </c>
      <c r="G756">
        <f>LN(F756/参数实验室!$E$58)/参数实验室!$E$59</f>
        <v>-0.16722579674849633</v>
      </c>
      <c r="H756" s="856">
        <f>INDEX(神经网络!$G$10:$BO$70,MATCH(ROUND(G756*2,1)/2,神经网络!$E$10:$E$70,0),MATCH(ROUND(E756*2,1)/2,神经网络!$G$8:$BO$8,0))</f>
        <v>-4.1248771334708077E-2</v>
      </c>
      <c r="I756">
        <f t="shared" si="60"/>
        <v>1.0006929763778485</v>
      </c>
      <c r="J756">
        <f t="shared" si="61"/>
        <v>4.4615139060691957</v>
      </c>
      <c r="K756">
        <f t="shared" si="62"/>
        <v>0.22429448780078021</v>
      </c>
      <c r="L756" s="4">
        <f>MIN(MAX(L755*(1+MAX(MIN(((B756-B755)/B755)/($K$7*卓尔金历!$N$40),0),-卓尔金历!$M$43))+MIN(MAX(((B756-B755)/B755)/($K$7*卓尔金历!$N$40),0),卓尔金历!$M$43),0),1)</f>
        <v>1</v>
      </c>
      <c r="M756" s="4">
        <f>MIN(MAX(M755*(1+MAX(MIN(((B756-B755)/B755)/($K$7*30),0),-卓尔金历!$M$43))+MIN(MAX(((B756-B755)/B755)/($K$7*7),0),卓尔金历!$M$43),0),1)</f>
        <v>1</v>
      </c>
      <c r="N756">
        <f t="shared" si="63"/>
        <v>1.0084851950995271</v>
      </c>
      <c r="O756">
        <f t="shared" si="64"/>
        <v>1.0400047226716169</v>
      </c>
      <c r="P756">
        <f t="shared" si="65"/>
        <v>1.6482267698209811E-2</v>
      </c>
      <c r="Q756">
        <f t="shared" si="66"/>
        <v>9.7533332404385692E-2</v>
      </c>
      <c r="R756">
        <f t="shared" si="67"/>
        <v>1</v>
      </c>
      <c r="S756">
        <f t="shared" si="59"/>
        <v>1.0780112118910872</v>
      </c>
      <c r="T756" s="564">
        <f>IF((I756-MAX(I$470:I756))/MAX(I$470:I756)&gt;T755,T755,(I756-MAX(I$470:I756))/MAX(I$470:I756))</f>
        <v>-0.20309397941577614</v>
      </c>
      <c r="U756" s="564">
        <f>IF((J756-MAX(J$470:J756))/MAX(J$470:J756)&gt;U755,U755,(J756-MAX(J$470:J756))/MAX(J$470:J756))</f>
        <v>-0.40740740740740738</v>
      </c>
      <c r="V756" s="564">
        <f>IF((K756-MAX(K$470:K756))/MAX(K$470:K756)&gt;V755,V755,(K756-MAX(K$470:K756))/MAX(K$470:K756))</f>
        <v>-0.77951172533779323</v>
      </c>
      <c r="W756" s="564">
        <f>IF((N756-MAX(N$470:N756))/MAX(N$470:N756)&gt;W755,W755,(N756-MAX(N$470:N756))/MAX(N$470:N756))</f>
        <v>-0.18134066527213491</v>
      </c>
      <c r="X756" s="564">
        <f>IF((O756-MAX(O$470:O756))/MAX(O$470:O756)&gt;X755,X755,(O756-MAX(O$470:O756))/MAX(O$470:O756))</f>
        <v>-0.18208401334216873</v>
      </c>
    </row>
    <row r="757" spans="1:24">
      <c r="A757" s="799">
        <v>41159</v>
      </c>
      <c r="B757">
        <v>11</v>
      </c>
      <c r="C757">
        <v>11.707215</v>
      </c>
      <c r="D757">
        <v>1.8135490000000001</v>
      </c>
      <c r="E757">
        <f>LN(D757/参数实验室!$E$53)/参数实验室!$E$55</f>
        <v>9.321940503196775E-3</v>
      </c>
      <c r="F757">
        <f t="shared" si="58"/>
        <v>1.0642922727272728</v>
      </c>
      <c r="G757">
        <f>LN(F757/参数实验室!$E$58)/参数实验室!$E$59</f>
        <v>-0.15782634528973558</v>
      </c>
      <c r="H757" s="856">
        <f>INDEX(神经网络!$G$10:$BO$70,MATCH(ROUND(G757*2,1)/2,神经网络!$E$10:$E$70,0),MATCH(ROUND(E757*2,1)/2,神经网络!$G$8:$BO$8,0))</f>
        <v>-4.1248771334708077E-2</v>
      </c>
      <c r="I757">
        <f t="shared" si="60"/>
        <v>1.0013611814929861</v>
      </c>
      <c r="J757">
        <f t="shared" si="61"/>
        <v>4.3892901320777353</v>
      </c>
      <c r="K757">
        <f t="shared" si="62"/>
        <v>0.22813738699450634</v>
      </c>
      <c r="L757" s="4">
        <f>MIN(MAX(L756*(1+MAX(MIN(((B757-B756)/B756)/($K$7*卓尔金历!$N$40),0),-卓尔金历!$M$43))+MIN(MAX(((B757-B756)/B756)/($K$7*卓尔金历!$N$40),0),卓尔金历!$M$43),0),1)</f>
        <v>0.75266019968754372</v>
      </c>
      <c r="M757" s="4">
        <f>MIN(MAX(M756*(1+MAX(MIN(((B757-B756)/B756)/($K$7*30),0),-卓尔金历!$M$43))+MIN(MAX(((B757-B756)/B756)/($K$7*7),0),卓尔金历!$M$43),0),1)</f>
        <v>0.87633009984377186</v>
      </c>
      <c r="N757">
        <f t="shared" si="63"/>
        <v>1.0091586034093818</v>
      </c>
      <c r="O757">
        <f t="shared" si="64"/>
        <v>1.0406991779060004</v>
      </c>
      <c r="P757">
        <f t="shared" si="65"/>
        <v>-1.6188176370628672E-2</v>
      </c>
      <c r="Q757">
        <f t="shared" si="66"/>
        <v>9.2601449996032897E-2</v>
      </c>
      <c r="R757">
        <f t="shared" si="67"/>
        <v>1</v>
      </c>
      <c r="S757">
        <f t="shared" si="59"/>
        <v>1.0787310456692443</v>
      </c>
      <c r="T757" s="564">
        <f>IF((I757-MAX(I$470:I757))/MAX(I$470:I757)&gt;T756,T756,(I757-MAX(I$470:I757))/MAX(I$470:I757))</f>
        <v>-0.20309397941577614</v>
      </c>
      <c r="U757" s="564">
        <f>IF((J757-MAX(J$470:J757))/MAX(J$470:J757)&gt;U756,U756,(J757-MAX(J$470:J757))/MAX(J$470:J757))</f>
        <v>-0.40740740740740738</v>
      </c>
      <c r="V757" s="564">
        <f>IF((K757-MAX(K$470:K757))/MAX(K$470:K757)&gt;V756,V756,(K757-MAX(K$470:K757))/MAX(K$470:K757))</f>
        <v>-0.77951172533779323</v>
      </c>
      <c r="W757" s="564">
        <f>IF((N757-MAX(N$470:N757))/MAX(N$470:N757)&gt;W756,W756,(N757-MAX(N$470:N757))/MAX(N$470:N757))</f>
        <v>-0.18134066527213491</v>
      </c>
      <c r="X757" s="564">
        <f>IF((O757-MAX(O$470:O757))/MAX(O$470:O757)&gt;X756,X756,(O757-MAX(O$470:O757))/MAX(O$470:O757))</f>
        <v>-0.18208401334216873</v>
      </c>
    </row>
    <row r="758" spans="1:24">
      <c r="A758" s="799">
        <v>41160</v>
      </c>
      <c r="B758">
        <v>11.037000000000001</v>
      </c>
      <c r="C758">
        <v>11.920913000000001</v>
      </c>
      <c r="D758">
        <v>1.80524</v>
      </c>
      <c r="E758">
        <f>LN(D758/参数实验室!$E$53)/参数实验室!$E$55</f>
        <v>3.9043342650727409E-3</v>
      </c>
      <c r="F758">
        <f t="shared" si="58"/>
        <v>1.0800863459273353</v>
      </c>
      <c r="G758">
        <f>LN(F758/参数实验室!$E$58)/参数实验室!$E$59</f>
        <v>-0.15009475068524333</v>
      </c>
      <c r="H758" s="856">
        <f>INDEX(神经网络!$G$10:$BO$70,MATCH(ROUND(G758*2,1)/2,神经网络!$E$10:$E$70,0),MATCH(ROUND(E758*2,1)/2,神经网络!$G$8:$BO$8,0))</f>
        <v>-4.1248771334708077E-2</v>
      </c>
      <c r="I758">
        <f t="shared" si="60"/>
        <v>1.0012222467674627</v>
      </c>
      <c r="J758">
        <f t="shared" si="61"/>
        <v>4.4040541079765427</v>
      </c>
      <c r="K758">
        <f t="shared" si="62"/>
        <v>0.22734104128150179</v>
      </c>
      <c r="L758" s="4">
        <f>MIN(MAX(L757*(1+MAX(MIN(((B758-B757)/B757)/($K$7*卓尔金历!$N$40),0),-卓尔金历!$M$43))+MIN(MAX(((B758-B757)/B757)/($K$7*卓尔金历!$N$40),0),卓尔金历!$M$43),0),1)</f>
        <v>0.80405333548355828</v>
      </c>
      <c r="M758" s="4">
        <f>MIN(MAX(M757*(1+MAX(MIN(((B758-B757)/B757)/($K$7*30),0),-卓尔金历!$M$43))+MIN(MAX(((B758-B757)/B757)/($K$7*7),0),卓尔金历!$M$43),0),1)</f>
        <v>0.98645824797808868</v>
      </c>
      <c r="N758">
        <f t="shared" si="63"/>
        <v>1.0090532184981125</v>
      </c>
      <c r="O758">
        <f t="shared" si="64"/>
        <v>1.040572642228073</v>
      </c>
      <c r="P758">
        <f t="shared" si="65"/>
        <v>3.3636363636364371E-3</v>
      </c>
      <c r="Q758">
        <f t="shared" si="66"/>
        <v>9.2601776189573118E-2</v>
      </c>
      <c r="R758">
        <f t="shared" si="67"/>
        <v>1</v>
      </c>
      <c r="S758">
        <f t="shared" si="59"/>
        <v>1.0785813761948193</v>
      </c>
      <c r="T758" s="564">
        <f>IF((I758-MAX(I$470:I758))/MAX(I$470:I758)&gt;T757,T757,(I758-MAX(I$470:I758))/MAX(I$470:I758))</f>
        <v>-0.20309397941577614</v>
      </c>
      <c r="U758" s="564">
        <f>IF((J758-MAX(J$470:J758))/MAX(J$470:J758)&gt;U757,U757,(J758-MAX(J$470:J758))/MAX(J$470:J758))</f>
        <v>-0.40740740740740738</v>
      </c>
      <c r="V758" s="564">
        <f>IF((K758-MAX(K$470:K758))/MAX(K$470:K758)&gt;V757,V757,(K758-MAX(K$470:K758))/MAX(K$470:K758))</f>
        <v>-0.77951172533779323</v>
      </c>
      <c r="W758" s="564">
        <f>IF((N758-MAX(N$470:N758))/MAX(N$470:N758)&gt;W757,W757,(N758-MAX(N$470:N758))/MAX(N$470:N758))</f>
        <v>-0.18134066527213491</v>
      </c>
      <c r="X758" s="564">
        <f>IF((O758-MAX(O$470:O758))/MAX(O$470:O758)&gt;X757,X757,(O758-MAX(O$470:O758))/MAX(O$470:O758))</f>
        <v>-0.18208401334216873</v>
      </c>
    </row>
    <row r="759" spans="1:24">
      <c r="A759" s="799">
        <v>41161</v>
      </c>
      <c r="B759">
        <v>11.02</v>
      </c>
      <c r="C759">
        <v>11.930434999999999</v>
      </c>
      <c r="D759">
        <v>1.8034730000000001</v>
      </c>
      <c r="E759">
        <f>LN(D759/参数实验室!$E$53)/参数实验室!$E$55</f>
        <v>2.7490059534565478E-3</v>
      </c>
      <c r="F759">
        <f t="shared" si="58"/>
        <v>1.0826166061705988</v>
      </c>
      <c r="G759">
        <f>LN(F759/参数实验室!$E$58)/参数实验室!$E$59</f>
        <v>-0.14886664127395033</v>
      </c>
      <c r="H759" s="856">
        <f>INDEX(神经网络!$G$10:$BO$70,MATCH(ROUND(G759*2,1)/2,神经网络!$E$10:$E$70,0),MATCH(ROUND(E759*2,1)/2,神经网络!$G$8:$BO$8,0))</f>
        <v>-4.1248771334708077E-2</v>
      </c>
      <c r="I759">
        <f t="shared" si="60"/>
        <v>1.001285858816725</v>
      </c>
      <c r="J759">
        <f t="shared" si="61"/>
        <v>4.3972706595906041</v>
      </c>
      <c r="K759">
        <f t="shared" si="62"/>
        <v>0.22770621513435496</v>
      </c>
      <c r="L759" s="4">
        <f>MIN(MAX(L758*(1+MAX(MIN(((B759-B758)/B758)/($K$7*卓尔金历!$N$40),0),-卓尔金历!$M$43))+MIN(MAX(((B759-B758)/B758)/($K$7*卓尔金历!$N$40),0),卓尔金历!$M$43),0),1)</f>
        <v>0.78513082235891196</v>
      </c>
      <c r="M759" s="4">
        <f>MIN(MAX(M758*(1+MAX(MIN(((B759-B758)/B758)/($K$7*30),0),-卓尔金历!$M$43))+MIN(MAX(((B759-B758)/B758)/($K$7*7),0),卓尔金历!$M$43),0),1)</f>
        <v>0.97485064166609259</v>
      </c>
      <c r="N759">
        <f t="shared" si="63"/>
        <v>1.0091047660240173</v>
      </c>
      <c r="O759">
        <f t="shared" si="64"/>
        <v>1.0406378591065071</v>
      </c>
      <c r="P759">
        <f t="shared" si="65"/>
        <v>-1.5402736250793908E-3</v>
      </c>
      <c r="Q759">
        <f t="shared" si="66"/>
        <v>6.072495110203107E-2</v>
      </c>
      <c r="R759">
        <f t="shared" si="67"/>
        <v>1</v>
      </c>
      <c r="S759">
        <f t="shared" si="59"/>
        <v>1.0786499032095329</v>
      </c>
      <c r="T759" s="564">
        <f>IF((I759-MAX(I$470:I759))/MAX(I$470:I759)&gt;T758,T758,(I759-MAX(I$470:I759))/MAX(I$470:I759))</f>
        <v>-0.20309397941577614</v>
      </c>
      <c r="U759" s="564">
        <f>IF((J759-MAX(J$470:J759))/MAX(J$470:J759)&gt;U758,U758,(J759-MAX(J$470:J759))/MAX(J$470:J759))</f>
        <v>-0.40740740740740738</v>
      </c>
      <c r="V759" s="564">
        <f>IF((K759-MAX(K$470:K759))/MAX(K$470:K759)&gt;V758,V758,(K759-MAX(K$470:K759))/MAX(K$470:K759))</f>
        <v>-0.77951172533779323</v>
      </c>
      <c r="W759" s="564">
        <f>IF((N759-MAX(N$470:N759))/MAX(N$470:N759)&gt;W758,W758,(N759-MAX(N$470:N759))/MAX(N$470:N759))</f>
        <v>-0.18134066527213491</v>
      </c>
      <c r="X759" s="564">
        <f>IF((O759-MAX(O$470:O759))/MAX(O$470:O759)&gt;X758,X758,(O759-MAX(O$470:O759))/MAX(O$470:O759))</f>
        <v>-0.18208401334216873</v>
      </c>
    </row>
    <row r="760" spans="1:24">
      <c r="A760" s="799">
        <v>41162</v>
      </c>
      <c r="B760">
        <v>11.17</v>
      </c>
      <c r="C760">
        <v>12.09661</v>
      </c>
      <c r="D760">
        <v>1.786321</v>
      </c>
      <c r="E760">
        <f>LN(D760/参数实验室!$E$53)/参数实验室!$E$55</f>
        <v>-8.5247783509192904E-3</v>
      </c>
      <c r="F760">
        <f t="shared" si="58"/>
        <v>1.0829552372426141</v>
      </c>
      <c r="G760">
        <f>LN(F760/参数实验室!$E$58)/参数实验室!$E$59</f>
        <v>-0.14870249812695707</v>
      </c>
      <c r="H760" s="856">
        <f>INDEX(神经网络!$G$10:$BO$70,MATCH(ROUND(G760*2,1)/2,神经网络!$E$10:$E$70,0),MATCH(ROUND(E760*2,1)/2,神经网络!$G$8:$BO$8,0))</f>
        <v>-4.1248771334708077E-2</v>
      </c>
      <c r="I760">
        <f t="shared" si="60"/>
        <v>1.0007236744506043</v>
      </c>
      <c r="J760">
        <f t="shared" si="61"/>
        <v>4.4571246159371185</v>
      </c>
      <c r="K760">
        <f t="shared" si="62"/>
        <v>0.2245222560913748</v>
      </c>
      <c r="L760" s="4">
        <f>MIN(MAX(L759*(1+MAX(MIN(((B760-B759)/B759)/($K$7*卓尔金历!$N$40),0),-卓尔金历!$M$43))+MIN(MAX(((B760-B759)/B759)/($K$7*卓尔金历!$N$40),0),卓尔金历!$M$43),0),1)</f>
        <v>0.99310324121264792</v>
      </c>
      <c r="M760" s="4">
        <f>MIN(MAX(M759*(1+MAX(MIN(((B760-B759)/B759)/($K$7*30),0),-卓尔金历!$M$43))+MIN(MAX(((B760-B759)/B759)/($K$7*7),0),卓尔金历!$M$43),0),1)</f>
        <v>1</v>
      </c>
      <c r="N760">
        <f t="shared" si="63"/>
        <v>1.0086599310083968</v>
      </c>
      <c r="O760">
        <f t="shared" si="64"/>
        <v>1.0400682743144865</v>
      </c>
      <c r="P760">
        <f t="shared" si="65"/>
        <v>1.3611615245009107E-2</v>
      </c>
      <c r="Q760">
        <f t="shared" si="66"/>
        <v>2.6028518210896405E-2</v>
      </c>
      <c r="R760">
        <f t="shared" si="67"/>
        <v>0.74836037350478146</v>
      </c>
      <c r="S760">
        <f t="shared" si="59"/>
        <v>1.0780442818410072</v>
      </c>
      <c r="T760" s="564">
        <f>IF((I760-MAX(I$470:I760))/MAX(I$470:I760)&gt;T759,T759,(I760-MAX(I$470:I760))/MAX(I$470:I760))</f>
        <v>-0.20309397941577614</v>
      </c>
      <c r="U760" s="564">
        <f>IF((J760-MAX(J$470:J760))/MAX(J$470:J760)&gt;U759,U759,(J760-MAX(J$470:J760))/MAX(J$470:J760))</f>
        <v>-0.40740740740740738</v>
      </c>
      <c r="V760" s="564">
        <f>IF((K760-MAX(K$470:K760))/MAX(K$470:K760)&gt;V759,V759,(K760-MAX(K$470:K760))/MAX(K$470:K760))</f>
        <v>-0.77951172533779323</v>
      </c>
      <c r="W760" s="564">
        <f>IF((N760-MAX(N$470:N760))/MAX(N$470:N760)&gt;W759,W759,(N760-MAX(N$470:N760))/MAX(N$470:N760))</f>
        <v>-0.18134066527213491</v>
      </c>
      <c r="X760" s="564">
        <f>IF((O760-MAX(O$470:O760))/MAX(O$470:O760)&gt;X759,X759,(O760-MAX(O$470:O760))/MAX(O$470:O760))</f>
        <v>-0.18208401334216873</v>
      </c>
    </row>
    <row r="761" spans="1:24">
      <c r="A761" s="799">
        <v>41163</v>
      </c>
      <c r="B761">
        <v>11.3308</v>
      </c>
      <c r="C761">
        <v>12.233627</v>
      </c>
      <c r="D761">
        <v>1.805604</v>
      </c>
      <c r="E761">
        <f>LN(D761/参数实验室!$E$53)/参数实验室!$E$55</f>
        <v>4.1421901138772345E-3</v>
      </c>
      <c r="F761">
        <f t="shared" si="58"/>
        <v>1.0796790164860381</v>
      </c>
      <c r="G761">
        <f>LN(F761/参数实验室!$E$58)/参数实验室!$E$59</f>
        <v>-0.15029272451183245</v>
      </c>
      <c r="H761" s="856">
        <f>INDEX(神经网络!$G$10:$BO$70,MATCH(ROUND(G761*2,1)/2,神经网络!$E$10:$E$70,0),MATCH(ROUND(E761*2,1)/2,神经网络!$G$8:$BO$8,0))</f>
        <v>-4.1248771334708077E-2</v>
      </c>
      <c r="I761">
        <f t="shared" si="60"/>
        <v>1.0001294396770792</v>
      </c>
      <c r="J761">
        <f t="shared" si="61"/>
        <v>4.5212880571405822</v>
      </c>
      <c r="K761">
        <f t="shared" si="62"/>
        <v>0.22120453884762994</v>
      </c>
      <c r="L761" s="4">
        <f>MIN(MAX(L760*(1+MAX(MIN(((B761-B760)/B760)/($K$7*卓尔金历!$N$40),0),-卓尔金历!$M$43))+MIN(MAX(((B761-B760)/B760)/($K$7*卓尔金历!$N$40),0),卓尔金历!$M$43),0),1)</f>
        <v>1</v>
      </c>
      <c r="M761" s="4">
        <f>MIN(MAX(M760*(1+MAX(MIN(((B761-B760)/B760)/($K$7*30),0),-卓尔金历!$M$43))+MIN(MAX(((B761-B760)/B760)/($K$7*7),0),卓尔金历!$M$43),0),1)</f>
        <v>1</v>
      </c>
      <c r="N761">
        <f t="shared" si="63"/>
        <v>1.008065114441121</v>
      </c>
      <c r="O761">
        <f t="shared" si="64"/>
        <v>1.0394506765187941</v>
      </c>
      <c r="P761">
        <f t="shared" si="65"/>
        <v>1.4395702775290963E-2</v>
      </c>
      <c r="Q761">
        <f t="shared" si="66"/>
        <v>2.5552375119448908E-2</v>
      </c>
      <c r="R761">
        <f t="shared" si="67"/>
        <v>0.61476422404277031</v>
      </c>
      <c r="S761">
        <f t="shared" si="59"/>
        <v>1.0775652203392478</v>
      </c>
      <c r="T761" s="564">
        <f>IF((I761-MAX(I$470:I761))/MAX(I$470:I761)&gt;T760,T760,(I761-MAX(I$470:I761))/MAX(I$470:I761))</f>
        <v>-0.20309397941577614</v>
      </c>
      <c r="U761" s="564">
        <f>IF((J761-MAX(J$470:J761))/MAX(J$470:J761)&gt;U760,U760,(J761-MAX(J$470:J761))/MAX(J$470:J761))</f>
        <v>-0.40740740740740738</v>
      </c>
      <c r="V761" s="564">
        <f>IF((K761-MAX(K$470:K761))/MAX(K$470:K761)&gt;V760,V760,(K761-MAX(K$470:K761))/MAX(K$470:K761))</f>
        <v>-0.78122865134313957</v>
      </c>
      <c r="W761" s="564">
        <f>IF((N761-MAX(N$470:N761))/MAX(N$470:N761)&gt;W760,W760,(N761-MAX(N$470:N761))/MAX(N$470:N761))</f>
        <v>-0.18134066527213491</v>
      </c>
      <c r="X761" s="564">
        <f>IF((O761-MAX(O$470:O761))/MAX(O$470:O761)&gt;X760,X760,(O761-MAX(O$470:O761))/MAX(O$470:O761))</f>
        <v>-0.18208401334216873</v>
      </c>
    </row>
    <row r="762" spans="1:24">
      <c r="A762" s="799">
        <v>41164</v>
      </c>
      <c r="B762">
        <v>11.3649</v>
      </c>
      <c r="C762">
        <v>12.304339000000001</v>
      </c>
      <c r="D762">
        <v>1.8089489999999999</v>
      </c>
      <c r="E762">
        <f>LN(D762/参数实验室!$E$53)/参数实验室!$E$55</f>
        <v>6.3257385236717657E-3</v>
      </c>
      <c r="F762">
        <f t="shared" si="58"/>
        <v>1.0826614400478667</v>
      </c>
      <c r="G762">
        <f>LN(F762/参数实验室!$E$58)/参数实验室!$E$59</f>
        <v>-0.1488449061976671</v>
      </c>
      <c r="H762" s="856">
        <f>INDEX(神经网络!$G$10:$BO$70,MATCH(ROUND(G762*2,1)/2,神经网络!$E$10:$E$70,0),MATCH(ROUND(E762*2,1)/2,神经网络!$G$8:$BO$8,0))</f>
        <v>-4.1248771334708077E-2</v>
      </c>
      <c r="I762">
        <f t="shared" si="60"/>
        <v>1.0000052855864434</v>
      </c>
      <c r="J762">
        <f t="shared" si="61"/>
        <v>4.5348948565500233</v>
      </c>
      <c r="K762">
        <f t="shared" si="62"/>
        <v>0.22051344457128377</v>
      </c>
      <c r="L762" s="4">
        <f>MIN(MAX(L761*(1+MAX(MIN(((B762-B761)/B761)/($K$7*卓尔金历!$N$40),0),-卓尔金历!$M$43))+MIN(MAX(((B762-B761)/B761)/($K$7*卓尔金历!$N$40),0),卓尔金历!$M$43),0),1)</f>
        <v>1</v>
      </c>
      <c r="M762" s="4">
        <f>MIN(MAX(M761*(1+MAX(MIN(((B762-B761)/B761)/($K$7*30),0),-卓尔金历!$M$43))+MIN(MAX(((B762-B761)/B761)/($K$7*7),0),卓尔金历!$M$43),0),1)</f>
        <v>1</v>
      </c>
      <c r="N762">
        <f t="shared" si="63"/>
        <v>1.0079399752315148</v>
      </c>
      <c r="O762">
        <f t="shared" si="64"/>
        <v>1.0393216411675843</v>
      </c>
      <c r="P762">
        <f t="shared" si="65"/>
        <v>3.009496240336116E-3</v>
      </c>
      <c r="Q762">
        <f t="shared" si="66"/>
        <v>2.5265768853388038E-2</v>
      </c>
      <c r="R762">
        <f t="shared" si="67"/>
        <v>1</v>
      </c>
      <c r="S762">
        <f t="shared" si="59"/>
        <v>1.0774829852868382</v>
      </c>
      <c r="T762" s="564">
        <f>IF((I762-MAX(I$470:I762))/MAX(I$470:I762)&gt;T761,T761,(I762-MAX(I$470:I762))/MAX(I$470:I762))</f>
        <v>-0.20309397941577614</v>
      </c>
      <c r="U762" s="564">
        <f>IF((J762-MAX(J$470:J762))/MAX(J$470:J762)&gt;U761,U761,(J762-MAX(J$470:J762))/MAX(J$470:J762))</f>
        <v>-0.40740740740740738</v>
      </c>
      <c r="V762" s="564">
        <f>IF((K762-MAX(K$470:K762))/MAX(K$470:K762)&gt;V761,V761,(K762-MAX(K$470:K762))/MAX(K$470:K762))</f>
        <v>-0.78191214376907681</v>
      </c>
      <c r="W762" s="564">
        <f>IF((N762-MAX(N$470:N762))/MAX(N$470:N762)&gt;W761,W761,(N762-MAX(N$470:N762))/MAX(N$470:N762))</f>
        <v>-0.18134066527213491</v>
      </c>
      <c r="X762" s="564">
        <f>IF((O762-MAX(O$470:O762))/MAX(O$470:O762)&gt;X761,X761,(O762-MAX(O$470:O762))/MAX(O$470:O762))</f>
        <v>-0.18208401334216873</v>
      </c>
    </row>
    <row r="763" spans="1:24">
      <c r="A763" s="799">
        <v>41165</v>
      </c>
      <c r="B763">
        <v>11.398999999999999</v>
      </c>
      <c r="C763">
        <v>12.544022999999999</v>
      </c>
      <c r="D763">
        <v>1.8161339999999999</v>
      </c>
      <c r="E763">
        <f>LN(D763/参数实验室!$E$53)/参数实验室!$E$55</f>
        <v>1.1002342153296586E-2</v>
      </c>
      <c r="F763">
        <f t="shared" si="58"/>
        <v>1.100449425388192</v>
      </c>
      <c r="G763">
        <f>LN(F763/参数实验室!$E$58)/参数实验室!$E$59</f>
        <v>-0.1402916963834952</v>
      </c>
      <c r="H763" s="856">
        <f>INDEX(神经网络!$G$10:$BO$70,MATCH(ROUND(G763*2,1)/2,神经网络!$E$10:$E$70,0),MATCH(ROUND(E763*2,1)/2,神经网络!$G$8:$BO$8,0))</f>
        <v>-4.1248771334708077E-2</v>
      </c>
      <c r="I763">
        <f t="shared" si="60"/>
        <v>0.99988151938197789</v>
      </c>
      <c r="J763">
        <f t="shared" si="61"/>
        <v>4.5485016559594644</v>
      </c>
      <c r="K763">
        <f t="shared" si="62"/>
        <v>0.21982657037662706</v>
      </c>
      <c r="L763" s="4">
        <f>MIN(MAX(L762*(1+MAX(MIN(((B763-B762)/B762)/($K$7*卓尔金历!$N$40),0),-卓尔金历!$M$43))+MIN(MAX(((B763-B762)/B762)/($K$7*卓尔金历!$N$40),0),卓尔金历!$M$43),0),1)</f>
        <v>1</v>
      </c>
      <c r="M763" s="4">
        <f>MIN(MAX(M762*(1+MAX(MIN(((B763-B762)/B762)/($K$7*30),0),-卓尔金历!$M$43))+MIN(MAX(((B763-B762)/B762)/($K$7*7),0),卓尔金历!$M$43),0),1)</f>
        <v>1</v>
      </c>
      <c r="N763">
        <f t="shared" si="63"/>
        <v>1.0078152269858189</v>
      </c>
      <c r="O763">
        <f t="shared" si="64"/>
        <v>1.0391930089527348</v>
      </c>
      <c r="P763">
        <f t="shared" si="65"/>
        <v>3.0004663481419708E-3</v>
      </c>
      <c r="Q763">
        <f t="shared" si="66"/>
        <v>2.4767865868942352E-2</v>
      </c>
      <c r="R763">
        <f t="shared" si="67"/>
        <v>1</v>
      </c>
      <c r="S763">
        <f t="shared" si="59"/>
        <v>1.0773496300122338</v>
      </c>
      <c r="T763" s="564">
        <f>IF((I763-MAX(I$470:I763))/MAX(I$470:I763)&gt;T762,T762,(I763-MAX(I$470:I763))/MAX(I$470:I763))</f>
        <v>-0.20309397941577614</v>
      </c>
      <c r="U763" s="564">
        <f>IF((J763-MAX(J$470:J763))/MAX(J$470:J763)&gt;U762,U762,(J763-MAX(J$470:J763))/MAX(J$470:J763))</f>
        <v>-0.40740740740740738</v>
      </c>
      <c r="V763" s="564">
        <f>IF((K763-MAX(K$470:K763))/MAX(K$470:K763)&gt;V762,V762,(K763-MAX(K$470:K763))/MAX(K$470:K763))</f>
        <v>-0.78259146253308343</v>
      </c>
      <c r="W763" s="564">
        <f>IF((N763-MAX(N$470:N763))/MAX(N$470:N763)&gt;W762,W762,(N763-MAX(N$470:N763))/MAX(N$470:N763))</f>
        <v>-0.18134066527213491</v>
      </c>
      <c r="X763" s="564">
        <f>IF((O763-MAX(O$470:O763))/MAX(O$470:O763)&gt;X762,X762,(O763-MAX(O$470:O763))/MAX(O$470:O763))</f>
        <v>-0.18208401334216873</v>
      </c>
    </row>
    <row r="764" spans="1:24">
      <c r="A764" s="799">
        <v>41166</v>
      </c>
      <c r="B764">
        <v>11.67</v>
      </c>
      <c r="C764">
        <v>12.618226999999999</v>
      </c>
      <c r="D764">
        <v>1.8661369999999999</v>
      </c>
      <c r="E764">
        <f>LN(D764/参数实验室!$E$53)/参数实验室!$E$55</f>
        <v>4.3044974458020559E-2</v>
      </c>
      <c r="F764">
        <f t="shared" si="58"/>
        <v>1.081253384747215</v>
      </c>
      <c r="G764">
        <f>LN(F764/参数实验室!$E$58)/参数实验室!$E$59</f>
        <v>-0.14952794936855751</v>
      </c>
      <c r="H764" s="856">
        <f>INDEX(神经网络!$G$10:$BO$70,MATCH(ROUND(G764*2,1)/2,神经网络!$E$10:$E$70,0),MATCH(ROUND(E764*2,1)/2,神经网络!$G$8:$BO$8,0))</f>
        <v>6.9075663375174901E-3</v>
      </c>
      <c r="I764">
        <f t="shared" si="60"/>
        <v>0.99890098665051474</v>
      </c>
      <c r="J764">
        <f t="shared" si="61"/>
        <v>4.6566378037588345</v>
      </c>
      <c r="K764">
        <f t="shared" si="62"/>
        <v>0.2145112050252658</v>
      </c>
      <c r="L764" s="4">
        <f>MIN(MAX(L763*(1+MAX(MIN(((B764-B763)/B763)/($K$7*卓尔金历!$N$40),0),-卓尔金历!$M$43))+MIN(MAX(((B764-B763)/B763)/($K$7*卓尔金历!$N$40),0),卓尔金历!$M$43),0),1)</f>
        <v>1</v>
      </c>
      <c r="M764" s="4">
        <f>MIN(MAX(M763*(1+MAX(MIN(((B764-B763)/B763)/($K$7*30),0),-卓尔金历!$M$43))+MIN(MAX(((B764-B763)/B763)/($K$7*7),0),卓尔金历!$M$43),0),1)</f>
        <v>1</v>
      </c>
      <c r="N764">
        <f t="shared" si="63"/>
        <v>1.0068269140725676</v>
      </c>
      <c r="O764">
        <f t="shared" si="64"/>
        <v>1.0381739254515059</v>
      </c>
      <c r="P764">
        <f t="shared" si="65"/>
        <v>2.3774015264496958E-2</v>
      </c>
      <c r="Q764">
        <f t="shared" si="66"/>
        <v>2.317470082571807E-2</v>
      </c>
      <c r="R764">
        <f t="shared" si="67"/>
        <v>2.4135493049203413E-2</v>
      </c>
      <c r="S764">
        <f t="shared" si="59"/>
        <v>1.0762931282617969</v>
      </c>
      <c r="T764" s="564">
        <f>IF((I764-MAX(I$470:I764))/MAX(I$470:I764)&gt;T763,T763,(I764-MAX(I$470:I764))/MAX(I$470:I764))</f>
        <v>-0.20309397941577614</v>
      </c>
      <c r="U764" s="564">
        <f>IF((J764-MAX(J$470:J764))/MAX(J$470:J764)&gt;U763,U763,(J764-MAX(J$470:J764))/MAX(J$470:J764))</f>
        <v>-0.40740740740740738</v>
      </c>
      <c r="V764" s="564">
        <f>IF((K764-MAX(K$470:K764))/MAX(K$470:K764)&gt;V763,V763,(K764-MAX(K$470:K764))/MAX(K$470:K764))</f>
        <v>-0.78784836030100069</v>
      </c>
      <c r="W764" s="564">
        <f>IF((N764-MAX(N$470:N764))/MAX(N$470:N764)&gt;W763,W763,(N764-MAX(N$470:N764))/MAX(N$470:N764))</f>
        <v>-0.18134066527213491</v>
      </c>
      <c r="X764" s="564">
        <f>IF((O764-MAX(O$470:O764))/MAX(O$470:O764)&gt;X763,X763,(O764-MAX(O$470:O764))/MAX(O$470:O764))</f>
        <v>-0.18208401334216873</v>
      </c>
    </row>
    <row r="765" spans="1:24">
      <c r="A765" s="799">
        <v>41167</v>
      </c>
      <c r="B765">
        <v>11.75</v>
      </c>
      <c r="C765">
        <v>12.729540999999999</v>
      </c>
      <c r="D765">
        <v>1.858331</v>
      </c>
      <c r="E765">
        <f>LN(D765/参数实验室!$E$53)/参数实验室!$E$55</f>
        <v>3.8099748827546069E-2</v>
      </c>
      <c r="F765">
        <f t="shared" si="58"/>
        <v>1.0833651914893616</v>
      </c>
      <c r="G765">
        <f>LN(F765/参数实验室!$E$58)/参数实验室!$E$59</f>
        <v>-0.14850385147838319</v>
      </c>
      <c r="H765" s="856">
        <f>INDEX(神经网络!$G$10:$BO$70,MATCH(ROUND(G765*2,1)/2,神经网络!$E$10:$E$70,0),MATCH(ROUND(E765*2,1)/2,神经网络!$G$8:$BO$8,0))</f>
        <v>6.9075663375174901E-3</v>
      </c>
      <c r="I765">
        <f t="shared" si="60"/>
        <v>0.99894828724917728</v>
      </c>
      <c r="J765">
        <f t="shared" si="61"/>
        <v>4.6885599138103089</v>
      </c>
      <c r="K765">
        <f t="shared" si="62"/>
        <v>0.2130607917170349</v>
      </c>
      <c r="L765" s="4">
        <f>MIN(MAX(L764*(1+MAX(MIN(((B765-B764)/B764)/($K$7*卓尔金历!$N$40),0),-卓尔金历!$M$43))+MIN(MAX(((B765-B764)/B764)/($K$7*卓尔金历!$N$40),0),卓尔金历!$M$43),0),1)</f>
        <v>1</v>
      </c>
      <c r="M765" s="4">
        <f>MIN(MAX(M764*(1+MAX(MIN(((B765-B764)/B764)/($K$7*30),0),-卓尔金历!$M$43))+MIN(MAX(((B765-B764)/B764)/($K$7*7),0),卓尔金历!$M$43),0),1)</f>
        <v>1</v>
      </c>
      <c r="N765">
        <f t="shared" si="63"/>
        <v>1.0068745899848168</v>
      </c>
      <c r="O765">
        <f t="shared" si="64"/>
        <v>1.0382230857274952</v>
      </c>
      <c r="P765">
        <f t="shared" si="65"/>
        <v>6.8551842330762704E-3</v>
      </c>
      <c r="Q765">
        <f t="shared" si="66"/>
        <v>2.3019770241806934E-2</v>
      </c>
      <c r="R765">
        <f t="shared" si="67"/>
        <v>1</v>
      </c>
      <c r="S765">
        <f t="shared" si="59"/>
        <v>1.0762943583349445</v>
      </c>
      <c r="T765" s="564">
        <f>IF((I765-MAX(I$470:I765))/MAX(I$470:I765)&gt;T764,T764,(I765-MAX(I$470:I765))/MAX(I$470:I765))</f>
        <v>-0.20309397941577614</v>
      </c>
      <c r="U765" s="564">
        <f>IF((J765-MAX(J$470:J765))/MAX(J$470:J765)&gt;U764,U764,(J765-MAX(J$470:J765))/MAX(J$470:J765))</f>
        <v>-0.40740740740740738</v>
      </c>
      <c r="V765" s="564">
        <f>IF((K765-MAX(K$470:K765))/MAX(K$470:K765)&gt;V764,V764,(K765-MAX(K$470:K765))/MAX(K$470:K765))</f>
        <v>-0.78928281945452694</v>
      </c>
      <c r="W765" s="564">
        <f>IF((N765-MAX(N$470:N765))/MAX(N$470:N765)&gt;W764,W764,(N765-MAX(N$470:N765))/MAX(N$470:N765))</f>
        <v>-0.18134066527213491</v>
      </c>
      <c r="X765" s="564">
        <f>IF((O765-MAX(O$470:O765))/MAX(O$470:O765)&gt;X764,X764,(O765-MAX(O$470:O765))/MAX(O$470:O765))</f>
        <v>-0.18208401334216873</v>
      </c>
    </row>
    <row r="766" spans="1:24">
      <c r="A766" s="799">
        <v>41168</v>
      </c>
      <c r="B766">
        <v>11.87</v>
      </c>
      <c r="C766">
        <v>12.578597</v>
      </c>
      <c r="D766">
        <v>1.878857</v>
      </c>
      <c r="E766">
        <f>LN(D766/参数实验室!$E$53)/参数实验室!$E$55</f>
        <v>5.1059149632023133E-2</v>
      </c>
      <c r="F766">
        <f t="shared" si="58"/>
        <v>1.0596964616680709</v>
      </c>
      <c r="G766">
        <f>LN(F766/参数实验室!$E$58)/参数实验室!$E$59</f>
        <v>-0.16009766974738607</v>
      </c>
      <c r="H766" s="856">
        <f>INDEX(神经网络!$G$10:$BO$70,MATCH(ROUND(G766*2,1)/2,神经网络!$E$10:$E$70,0),MATCH(ROUND(E766*2,1)/2,神经网络!$G$8:$BO$8,0))</f>
        <v>6.9075663375174901E-3</v>
      </c>
      <c r="I766">
        <f t="shared" si="60"/>
        <v>0.99901875841406496</v>
      </c>
      <c r="J766">
        <f t="shared" si="61"/>
        <v>4.73644307888752</v>
      </c>
      <c r="K766">
        <f t="shared" si="62"/>
        <v>0.21092172792430372</v>
      </c>
      <c r="L766" s="4">
        <f>MIN(MAX(L765*(1+MAX(MIN(((B766-B765)/B765)/($K$7*卓尔金历!$N$40),0),-卓尔金历!$M$43))+MIN(MAX(((B766-B765)/B765)/($K$7*卓尔金历!$N$40),0),卓尔金历!$M$43),0),1)</f>
        <v>1</v>
      </c>
      <c r="M766" s="4">
        <f>MIN(MAX(M765*(1+MAX(MIN(((B766-B765)/B765)/($K$7*30),0),-卓尔金历!$M$43))+MIN(MAX(((B766-B765)/B765)/($K$7*7),0),卓尔金历!$M$43),0),1)</f>
        <v>1</v>
      </c>
      <c r="N766">
        <f t="shared" si="63"/>
        <v>1.0069456203135712</v>
      </c>
      <c r="O766">
        <f t="shared" si="64"/>
        <v>1.0382963275471153</v>
      </c>
      <c r="P766">
        <f t="shared" si="65"/>
        <v>1.0212765957446742E-2</v>
      </c>
      <c r="Q766">
        <f t="shared" si="66"/>
        <v>2.3034985644669326E-2</v>
      </c>
      <c r="R766">
        <f t="shared" si="67"/>
        <v>0.85511916435387203</v>
      </c>
      <c r="S766">
        <f t="shared" si="59"/>
        <v>1.076370285906133</v>
      </c>
      <c r="T766" s="564">
        <f>IF((I766-MAX(I$470:I766))/MAX(I$470:I766)&gt;T765,T765,(I766-MAX(I$470:I766))/MAX(I$470:I766))</f>
        <v>-0.20309397941577614</v>
      </c>
      <c r="U766" s="564">
        <f>IF((J766-MAX(J$470:J766))/MAX(J$470:J766)&gt;U765,U765,(J766-MAX(J$470:J766))/MAX(J$470:J766))</f>
        <v>-0.40740740740740738</v>
      </c>
      <c r="V766" s="564">
        <f>IF((K766-MAX(K$470:K766))/MAX(K$470:K766)&gt;V765,V765,(K766-MAX(K$470:K766))/MAX(K$470:K766))</f>
        <v>-0.7913983541231947</v>
      </c>
      <c r="W766" s="564">
        <f>IF((N766-MAX(N$470:N766))/MAX(N$470:N766)&gt;W765,W765,(N766-MAX(N$470:N766))/MAX(N$470:N766))</f>
        <v>-0.18134066527213491</v>
      </c>
      <c r="X766" s="564">
        <f>IF((O766-MAX(O$470:O766))/MAX(O$470:O766)&gt;X765,X765,(O766-MAX(O$470:O766))/MAX(O$470:O766))</f>
        <v>-0.18208401334216873</v>
      </c>
    </row>
    <row r="767" spans="1:24">
      <c r="A767" s="799">
        <v>41169</v>
      </c>
      <c r="B767">
        <v>11.89</v>
      </c>
      <c r="C767">
        <v>12.478959</v>
      </c>
      <c r="D767">
        <v>1.8769990000000001</v>
      </c>
      <c r="E767">
        <f>LN(D767/参数实验室!$E$53)/参数实验室!$E$55</f>
        <v>4.9891915474957832E-2</v>
      </c>
      <c r="F767">
        <f t="shared" si="58"/>
        <v>1.0495339781328847</v>
      </c>
      <c r="G767">
        <f>LN(F767/参数实验室!$E$58)/参数实验室!$E$59</f>
        <v>-0.16515530758949232</v>
      </c>
      <c r="H767" s="856">
        <f>INDEX(神经网络!$G$10:$BO$70,MATCH(ROUND(G767*2,1)/2,神经网络!$E$10:$E$70,0),MATCH(ROUND(E767*2,1)/2,神经网络!$G$8:$BO$8,0))</f>
        <v>6.9075663375174901E-3</v>
      </c>
      <c r="I767">
        <f t="shared" si="60"/>
        <v>0.99903038569013258</v>
      </c>
      <c r="J767">
        <f t="shared" si="61"/>
        <v>4.7444236064003897</v>
      </c>
      <c r="K767">
        <f t="shared" si="62"/>
        <v>0.21056939020841361</v>
      </c>
      <c r="L767" s="4">
        <f>MIN(MAX(L766*(1+MAX(MIN(((B767-B766)/B766)/($K$7*卓尔金历!$N$40),0),-卓尔金历!$M$43))+MIN(MAX(((B767-B766)/B766)/($K$7*卓尔金历!$N$40),0),卓尔金历!$M$43),0),1)</f>
        <v>1</v>
      </c>
      <c r="M767" s="4">
        <f>MIN(MAX(M766*(1+MAX(MIN(((B767-B766)/B766)/($K$7*30),0),-卓尔金历!$M$43))+MIN(MAX(((B767-B766)/B766)/($K$7*7),0),卓尔金历!$M$43),0),1)</f>
        <v>1</v>
      </c>
      <c r="N767">
        <f t="shared" si="63"/>
        <v>1.0069573398479781</v>
      </c>
      <c r="O767">
        <f t="shared" si="64"/>
        <v>1.0383084119628871</v>
      </c>
      <c r="P767">
        <f t="shared" si="65"/>
        <v>1.6849199663017144E-3</v>
      </c>
      <c r="Q767">
        <f t="shared" si="66"/>
        <v>2.2271406357033344E-2</v>
      </c>
      <c r="R767">
        <f t="shared" si="67"/>
        <v>1</v>
      </c>
      <c r="S767">
        <f t="shared" si="59"/>
        <v>1.0763809984516681</v>
      </c>
      <c r="T767" s="564">
        <f>IF((I767-MAX(I$470:I767))/MAX(I$470:I767)&gt;T766,T766,(I767-MAX(I$470:I767))/MAX(I$470:I767))</f>
        <v>-0.20309397941577614</v>
      </c>
      <c r="U767" s="564">
        <f>IF((J767-MAX(J$470:J767))/MAX(J$470:J767)&gt;U766,U766,(J767-MAX(J$470:J767))/MAX(J$470:J767))</f>
        <v>-0.40740740740740738</v>
      </c>
      <c r="V767" s="564">
        <f>IF((K767-MAX(K$470:K767))/MAX(K$470:K767)&gt;V766,V766,(K767-MAX(K$470:K767))/MAX(K$470:K767))</f>
        <v>-0.79174681621935938</v>
      </c>
      <c r="W767" s="564">
        <f>IF((N767-MAX(N$470:N767))/MAX(N$470:N767)&gt;W766,W766,(N767-MAX(N$470:N767))/MAX(N$470:N767))</f>
        <v>-0.18134066527213491</v>
      </c>
      <c r="X767" s="564">
        <f>IF((O767-MAX(O$470:O767))/MAX(O$470:O767)&gt;X766,X766,(O767-MAX(O$470:O767))/MAX(O$470:O767))</f>
        <v>-0.18208401334216873</v>
      </c>
    </row>
    <row r="768" spans="1:24">
      <c r="A768" s="799">
        <v>41170</v>
      </c>
      <c r="B768">
        <v>12.25</v>
      </c>
      <c r="C768">
        <v>12.633269</v>
      </c>
      <c r="D768">
        <v>1.9240189999999999</v>
      </c>
      <c r="E768">
        <f>LN(D768/参数实验室!$E$53)/参数实验室!$E$55</f>
        <v>7.9081373322904949E-2</v>
      </c>
      <c r="F768">
        <f t="shared" si="58"/>
        <v>1.0312872653061225</v>
      </c>
      <c r="G768">
        <f>LN(F768/参数实验室!$E$58)/参数实验室!$E$59</f>
        <v>-0.17436042937823507</v>
      </c>
      <c r="H768" s="856">
        <f>INDEX(神经网络!$G$10:$BO$70,MATCH(ROUND(G768*2,1)/2,神经网络!$E$10:$E$70,0),MATCH(ROUND(E768*2,1)/2,神经网络!$G$8:$BO$8,0))</f>
        <v>5.2253386166092243E-2</v>
      </c>
      <c r="I768">
        <f t="shared" si="60"/>
        <v>0.99923932704576302</v>
      </c>
      <c r="J768">
        <f t="shared" si="61"/>
        <v>4.8880731016320249</v>
      </c>
      <c r="K768">
        <f t="shared" si="62"/>
        <v>0.20442397367423534</v>
      </c>
      <c r="L768" s="4">
        <f>MIN(MAX(L767*(1+MAX(MIN(((B768-B767)/B767)/($K$7*卓尔金历!$N$40),0),-卓尔金历!$M$43))+MIN(MAX(((B768-B767)/B767)/($K$7*卓尔金历!$N$40),0),卓尔金历!$M$43),0),1)</f>
        <v>1</v>
      </c>
      <c r="M768" s="4">
        <f>MIN(MAX(M767*(1+MAX(MIN(((B768-B767)/B767)/($K$7*30),0),-卓尔金历!$M$43))+MIN(MAX(((B768-B767)/B767)/($K$7*7),0),卓尔金历!$M$43),0),1)</f>
        <v>1</v>
      </c>
      <c r="N768">
        <f t="shared" si="63"/>
        <v>1.0071679390796566</v>
      </c>
      <c r="O768">
        <f t="shared" si="64"/>
        <v>1.0385255680877312</v>
      </c>
      <c r="P768">
        <f t="shared" si="65"/>
        <v>3.0277544154751843E-2</v>
      </c>
      <c r="Q768">
        <f t="shared" si="66"/>
        <v>2.2913175795610266E-2</v>
      </c>
      <c r="R768">
        <f t="shared" si="67"/>
        <v>1.6064494281249838E-2</v>
      </c>
      <c r="S768">
        <f t="shared" si="59"/>
        <v>1.0766061172350532</v>
      </c>
      <c r="T768" s="564">
        <f>IF((I768-MAX(I$470:I768))/MAX(I$470:I768)&gt;T767,T767,(I768-MAX(I$470:I768))/MAX(I$470:I768))</f>
        <v>-0.20309397941577614</v>
      </c>
      <c r="U768" s="564">
        <f>IF((J768-MAX(J$470:J768))/MAX(J$470:J768)&gt;U767,U767,(J768-MAX(J$470:J768))/MAX(J$470:J768))</f>
        <v>-0.40740740740740738</v>
      </c>
      <c r="V768" s="564">
        <f>IF((K768-MAX(K$470:K768))/MAX(K$470:K768)&gt;V767,V767,(K768-MAX(K$470:K768))/MAX(K$470:K768))</f>
        <v>-0.79782463483123878</v>
      </c>
      <c r="W768" s="564">
        <f>IF((N768-MAX(N$470:N768))/MAX(N$470:N768)&gt;W767,W767,(N768-MAX(N$470:N768))/MAX(N$470:N768))</f>
        <v>-0.18134066527213491</v>
      </c>
      <c r="X768" s="564">
        <f>IF((O768-MAX(O$470:O768))/MAX(O$470:O768)&gt;X767,X767,(O768-MAX(O$470:O768))/MAX(O$470:O768))</f>
        <v>-0.18208401334216873</v>
      </c>
    </row>
    <row r="769" spans="1:24">
      <c r="A769" s="799">
        <v>41171</v>
      </c>
      <c r="B769">
        <v>12.5725</v>
      </c>
      <c r="C769">
        <v>12.931796</v>
      </c>
      <c r="D769">
        <v>1.9513400000000001</v>
      </c>
      <c r="E769">
        <f>LN(D769/参数实验室!$E$53)/参数实验室!$E$55</f>
        <v>9.5715998599068264E-2</v>
      </c>
      <c r="F769">
        <f t="shared" si="58"/>
        <v>1.0285779280174985</v>
      </c>
      <c r="G769">
        <f>LN(F769/参数实验室!$E$58)/参数实验室!$E$59</f>
        <v>-0.17574110948744248</v>
      </c>
      <c r="H769" s="856">
        <f>INDEX(神经网络!$G$10:$BO$70,MATCH(ROUND(G769*2,1)/2,神经网络!$E$10:$E$70,0),MATCH(ROUND(E769*2,1)/2,神经网络!$G$8:$BO$8,0))</f>
        <v>-4.1263190542632625E-2</v>
      </c>
      <c r="I769">
        <f t="shared" si="60"/>
        <v>1.0006139309962268</v>
      </c>
      <c r="J769">
        <f t="shared" si="61"/>
        <v>5.0167591077770313</v>
      </c>
      <c r="K769">
        <f t="shared" si="62"/>
        <v>0.19945425114095369</v>
      </c>
      <c r="L769" s="4">
        <f>MIN(MAX(L768*(1+MAX(MIN(((B769-B768)/B768)/($K$7*卓尔金历!$N$40),0),-卓尔金历!$M$43))+MIN(MAX(((B769-B768)/B768)/($K$7*卓尔金历!$N$40),0),卓尔金历!$M$43),0),1)</f>
        <v>1</v>
      </c>
      <c r="M769" s="4">
        <f>MIN(MAX(M768*(1+MAX(MIN(((B769-B768)/B768)/($K$7*30),0),-卓尔金历!$M$43))+MIN(MAX(((B769-B768)/B768)/($K$7*7),0),卓尔金历!$M$43),0),1)</f>
        <v>1</v>
      </c>
      <c r="N769">
        <f t="shared" si="63"/>
        <v>1.0085534500282023</v>
      </c>
      <c r="O769">
        <f t="shared" si="64"/>
        <v>1.0399542161702398</v>
      </c>
      <c r="P769">
        <f t="shared" si="65"/>
        <v>2.6326530612244881E-2</v>
      </c>
      <c r="Q769">
        <f t="shared" si="66"/>
        <v>2.3251541244104897E-2</v>
      </c>
      <c r="R769">
        <f t="shared" si="67"/>
        <v>2.006722693876695E-2</v>
      </c>
      <c r="S769">
        <f t="shared" si="59"/>
        <v>1.0766299092909157</v>
      </c>
      <c r="T769" s="564">
        <f>IF((I769-MAX(I$470:I769))/MAX(I$470:I769)&gt;T768,T768,(I769-MAX(I$470:I769))/MAX(I$470:I769))</f>
        <v>-0.20309397941577614</v>
      </c>
      <c r="U769" s="564">
        <f>IF((J769-MAX(J$470:J769))/MAX(J$470:J769)&gt;U768,U768,(J769-MAX(J$470:J769))/MAX(J$470:J769))</f>
        <v>-0.40740740740740738</v>
      </c>
      <c r="V769" s="564">
        <f>IF((K769-MAX(K$470:K769))/MAX(K$470:K769)&gt;V768,V768,(K769-MAX(K$470:K769))/MAX(K$470:K769))</f>
        <v>-0.80273969175873394</v>
      </c>
      <c r="W769" s="564">
        <f>IF((N769-MAX(N$470:N769))/MAX(N$470:N769)&gt;W768,W768,(N769-MAX(N$470:N769))/MAX(N$470:N769))</f>
        <v>-0.18134066527213491</v>
      </c>
      <c r="X769" s="564">
        <f>IF((O769-MAX(O$470:O769))/MAX(O$470:O769)&gt;X768,X768,(O769-MAX(O$470:O769))/MAX(O$470:O769))</f>
        <v>-0.18208401334216873</v>
      </c>
    </row>
    <row r="770" spans="1:24">
      <c r="A770" s="799">
        <v>41172</v>
      </c>
      <c r="B770">
        <v>12.282500000000001</v>
      </c>
      <c r="C770">
        <v>13.140079999999999</v>
      </c>
      <c r="D770">
        <v>1.918102</v>
      </c>
      <c r="E770">
        <f>LN(D770/参数实验室!$E$53)/参数实验室!$E$55</f>
        <v>7.5447648376065615E-2</v>
      </c>
      <c r="F770">
        <f t="shared" si="58"/>
        <v>1.0698212904538977</v>
      </c>
      <c r="G770">
        <f>LN(F770/参数实验室!$E$58)/参数实验室!$E$59</f>
        <v>-0.15510677698662975</v>
      </c>
      <c r="H770" s="856">
        <f>INDEX(神经网络!$G$10:$BO$70,MATCH(ROUND(G770*2,1)/2,神经网络!$E$10:$E$70,0),MATCH(ROUND(E770*2,1)/2,神经网络!$G$8:$BO$8,0))</f>
        <v>5.2253386166092243E-2</v>
      </c>
      <c r="I770">
        <f t="shared" si="60"/>
        <v>1.0015663009906868</v>
      </c>
      <c r="J770">
        <f t="shared" si="61"/>
        <v>4.901041458840437</v>
      </c>
      <c r="K770">
        <f t="shared" si="62"/>
        <v>0.20435785116326124</v>
      </c>
      <c r="L770" s="4">
        <f>MIN(MAX(L769*(1+MAX(MIN(((B770-B769)/B769)/($K$7*卓尔金历!$N$40),0),-卓尔金历!$M$43))+MIN(MAX(((B770-B769)/B769)/($K$7*卓尔金历!$N$40),0),卓尔金历!$M$43),0),1)</f>
        <v>0.64757035531370533</v>
      </c>
      <c r="M770" s="4">
        <f>MIN(MAX(M769*(1+MAX(MIN(((B770-B769)/B769)/($K$7*30),0),-卓尔金历!$M$43))+MIN(MAX(((B770-B769)/B769)/($K$7*7),0),卓尔金历!$M$43),0),1)</f>
        <v>0.82378517765685266</v>
      </c>
      <c r="N770">
        <f t="shared" si="63"/>
        <v>1.009513376743054</v>
      </c>
      <c r="O770">
        <f t="shared" si="64"/>
        <v>1.0409440296841359</v>
      </c>
      <c r="P770">
        <f t="shared" si="65"/>
        <v>-2.3066215947504406E-2</v>
      </c>
      <c r="Q770">
        <f t="shared" si="66"/>
        <v>2.3764727722925257E-2</v>
      </c>
      <c r="R770">
        <f t="shared" si="67"/>
        <v>5.3778633238908025E-2</v>
      </c>
      <c r="S770">
        <f t="shared" si="59"/>
        <v>1.0766504725980222</v>
      </c>
      <c r="T770" s="564">
        <f>IF((I770-MAX(I$470:I770))/MAX(I$470:I770)&gt;T769,T769,(I770-MAX(I$470:I770))/MAX(I$470:I770))</f>
        <v>-0.20309397941577614</v>
      </c>
      <c r="U770" s="564">
        <f>IF((J770-MAX(J$470:J770))/MAX(J$470:J770)&gt;U769,U769,(J770-MAX(J$470:J770))/MAX(J$470:J770))</f>
        <v>-0.40740740740740738</v>
      </c>
      <c r="V770" s="564">
        <f>IF((K770-MAX(K$470:K770))/MAX(K$470:K770)&gt;V769,V769,(K770-MAX(K$470:K770))/MAX(K$470:K770))</f>
        <v>-0.80273969175873394</v>
      </c>
      <c r="W770" s="564">
        <f>IF((N770-MAX(N$470:N770))/MAX(N$470:N770)&gt;W769,W769,(N770-MAX(N$470:N770))/MAX(N$470:N770))</f>
        <v>-0.18134066527213491</v>
      </c>
      <c r="X770" s="564">
        <f>IF((O770-MAX(O$470:O770))/MAX(O$470:O770)&gt;X769,X769,(O770-MAX(O$470:O770))/MAX(O$470:O770))</f>
        <v>-0.18208401334216873</v>
      </c>
    </row>
    <row r="771" spans="1:24">
      <c r="A771" s="799">
        <v>41173</v>
      </c>
      <c r="B771">
        <v>12.368</v>
      </c>
      <c r="C771">
        <v>13.067906000000001</v>
      </c>
      <c r="D771">
        <v>1.906247</v>
      </c>
      <c r="E771">
        <f>LN(D771/参数实验室!$E$53)/参数实验室!$E$55</f>
        <v>6.8133452153050472E-2</v>
      </c>
      <c r="F771">
        <f t="shared" si="58"/>
        <v>1.0565900711513583</v>
      </c>
      <c r="G771">
        <f>LN(F771/参数实验室!$E$58)/参数实验室!$E$59</f>
        <v>-0.16163848453569496</v>
      </c>
      <c r="H771" s="856">
        <f>INDEX(神经网络!$G$10:$BO$70,MATCH(ROUND(G771*2,1)/2,神经网络!$E$10:$E$70,0),MATCH(ROUND(E771*2,1)/2,神经网络!$G$8:$BO$8,0))</f>
        <v>6.9075663375174901E-3</v>
      </c>
      <c r="I771">
        <f t="shared" si="60"/>
        <v>1.0019306129975714</v>
      </c>
      <c r="J771">
        <f t="shared" si="61"/>
        <v>4.9351582139579495</v>
      </c>
      <c r="K771">
        <f t="shared" si="62"/>
        <v>0.2030189447956994</v>
      </c>
      <c r="L771" s="4">
        <f>MIN(MAX(L770*(1+MAX(MIN(((B771-B770)/B770)/($K$7*卓尔金历!$N$40),0),-卓尔金历!$M$43))+MIN(MAX(((B771-B770)/B770)/($K$7*卓尔金历!$N$40),0),卓尔金历!$M$43),0),1)</f>
        <v>0.75392964306358112</v>
      </c>
      <c r="M771" s="4">
        <f>MIN(MAX(M770*(1+MAX(MIN(((B771-B770)/B770)/($K$7*30),0),-卓尔金历!$M$43))+MIN(MAX(((B771-B770)/B770)/($K$7*7),0),卓尔金历!$M$43),0),1)</f>
        <v>1</v>
      </c>
      <c r="N771">
        <f t="shared" si="63"/>
        <v>1.0097511663222831</v>
      </c>
      <c r="O771">
        <f t="shared" si="64"/>
        <v>1.0412559438745064</v>
      </c>
      <c r="P771">
        <f t="shared" si="65"/>
        <v>6.9611235497659017E-3</v>
      </c>
      <c r="Q771">
        <f t="shared" si="66"/>
        <v>1.9018653421113273E-2</v>
      </c>
      <c r="R771">
        <f t="shared" si="67"/>
        <v>1</v>
      </c>
      <c r="S771">
        <f t="shared" si="59"/>
        <v>1.0766715335635413</v>
      </c>
      <c r="T771" s="564">
        <f>IF((I771-MAX(I$470:I771))/MAX(I$470:I771)&gt;T770,T770,(I771-MAX(I$470:I771))/MAX(I$470:I771))</f>
        <v>-0.20309397941577614</v>
      </c>
      <c r="U771" s="564">
        <f>IF((J771-MAX(J$470:J771))/MAX(J$470:J771)&gt;U770,U770,(J771-MAX(J$470:J771))/MAX(J$470:J771))</f>
        <v>-0.40740740740740738</v>
      </c>
      <c r="V771" s="564">
        <f>IF((K771-MAX(K$470:K771))/MAX(K$470:K771)&gt;V770,V770,(K771-MAX(K$470:K771))/MAX(K$470:K771))</f>
        <v>-0.80273969175873394</v>
      </c>
      <c r="W771" s="564">
        <f>IF((N771-MAX(N$470:N771))/MAX(N$470:N771)&gt;W770,W770,(N771-MAX(N$470:N771))/MAX(N$470:N771))</f>
        <v>-0.18134066527213491</v>
      </c>
      <c r="X771" s="564">
        <f>IF((O771-MAX(O$470:O771))/MAX(O$470:O771)&gt;X770,X770,(O771-MAX(O$470:O771))/MAX(O$470:O771))</f>
        <v>-0.18208401334216873</v>
      </c>
    </row>
    <row r="772" spans="1:24">
      <c r="A772" s="799">
        <v>41174</v>
      </c>
      <c r="B772">
        <v>12.2378</v>
      </c>
      <c r="C772">
        <v>13.169422000000001</v>
      </c>
      <c r="D772">
        <v>1.8839109999999999</v>
      </c>
      <c r="E772">
        <f>LN(D772/参数实验室!$E$53)/参数实验室!$E$55</f>
        <v>5.4228346606500437E-2</v>
      </c>
      <c r="F772">
        <f t="shared" si="58"/>
        <v>1.0761265913808038</v>
      </c>
      <c r="G772">
        <f>LN(F772/参数实验室!$E$58)/参数实验室!$E$59</f>
        <v>-0.15202247821507808</v>
      </c>
      <c r="H772" s="856">
        <f>INDEX(神经网络!$G$10:$BO$70,MATCH(ROUND(G772*2,1)/2,神经网络!$E$10:$E$70,0),MATCH(ROUND(E772*2,1)/2,神经网络!$G$8:$BO$8,0))</f>
        <v>6.9075663375174901E-3</v>
      </c>
      <c r="I772">
        <f t="shared" si="60"/>
        <v>1.0018577555054005</v>
      </c>
      <c r="J772">
        <f t="shared" si="61"/>
        <v>4.8832049798491743</v>
      </c>
      <c r="K772">
        <f t="shared" si="62"/>
        <v>0.20516397727304589</v>
      </c>
      <c r="L772" s="4">
        <f>MIN(MAX(L771*(1+MAX(MIN(((B772-B771)/B771)/($K$7*卓尔金历!$N$40),0),-卓尔金历!$M$43))+MIN(MAX(((B772-B771)/B771)/($K$7*卓尔金历!$N$40),0),卓尔金历!$M$43),0),1)</f>
        <v>0.63266382374824681</v>
      </c>
      <c r="M772" s="4">
        <f>MIN(MAX(M771*(1+MAX(MIN(((B772-B771)/B771)/($K$7*30),0),-卓尔金历!$M$43))+MIN(MAX(((B772-B771)/B771)/($K$7*7),0),卓尔金历!$M$43),0),1)</f>
        <v>0.91957749610257222</v>
      </c>
      <c r="N772">
        <f t="shared" si="63"/>
        <v>1.0096958081484859</v>
      </c>
      <c r="O772">
        <f t="shared" si="64"/>
        <v>1.0411802267581767</v>
      </c>
      <c r="P772">
        <f t="shared" si="65"/>
        <v>-1.0527166882276869E-2</v>
      </c>
      <c r="Q772">
        <f t="shared" si="66"/>
        <v>1.8478964724721204E-2</v>
      </c>
      <c r="R772">
        <f t="shared" si="67"/>
        <v>0.59239375683906581</v>
      </c>
      <c r="S772">
        <f t="shared" si="59"/>
        <v>1.0765932411281076</v>
      </c>
      <c r="T772" s="564">
        <f>IF((I772-MAX(I$470:I772))/MAX(I$470:I772)&gt;T771,T771,(I772-MAX(I$470:I772))/MAX(I$470:I772))</f>
        <v>-0.20309397941577614</v>
      </c>
      <c r="U772" s="564">
        <f>IF((J772-MAX(J$470:J772))/MAX(J$470:J772)&gt;U771,U771,(J772-MAX(J$470:J772))/MAX(J$470:J772))</f>
        <v>-0.40740740740740738</v>
      </c>
      <c r="V772" s="564">
        <f>IF((K772-MAX(K$470:K772))/MAX(K$470:K772)&gt;V771,V771,(K772-MAX(K$470:K772))/MAX(K$470:K772))</f>
        <v>-0.80273969175873394</v>
      </c>
      <c r="W772" s="564">
        <f>IF((N772-MAX(N$470:N772))/MAX(N$470:N772)&gt;W771,W771,(N772-MAX(N$470:N772))/MAX(N$470:N772))</f>
        <v>-0.18134066527213491</v>
      </c>
      <c r="X772" s="564">
        <f>IF((O772-MAX(O$470:O772))/MAX(O$470:O772)&gt;X771,X771,(O772-MAX(O$470:O772))/MAX(O$470:O772))</f>
        <v>-0.18208401334216873</v>
      </c>
    </row>
    <row r="773" spans="1:24">
      <c r="A773" s="799">
        <v>41175</v>
      </c>
      <c r="B773">
        <v>12.193300000000001</v>
      </c>
      <c r="C773">
        <v>13.119873</v>
      </c>
      <c r="D773">
        <v>1.8737360000000001</v>
      </c>
      <c r="E773">
        <f>LN(D773/参数实验室!$E$53)/参数实验室!$E$55</f>
        <v>4.7839232037585451E-2</v>
      </c>
      <c r="F773">
        <f t="shared" ref="F773:F836" si="68">C773/B773</f>
        <v>1.0759903389566401</v>
      </c>
      <c r="G773">
        <f>LN(F773/参数实验室!$E$58)/参数实验室!$E$59</f>
        <v>-0.15208893616147451</v>
      </c>
      <c r="H773" s="856">
        <f>INDEX(神经网络!$G$10:$BO$70,MATCH(ROUND(G773*2,1)/2,神经网络!$E$10:$E$70,0),MATCH(ROUND(E773*2,1)/2,神经网络!$G$8:$BO$8,0))</f>
        <v>6.9075663375174901E-3</v>
      </c>
      <c r="I773">
        <f t="shared" si="60"/>
        <v>1.0018325910353685</v>
      </c>
      <c r="J773">
        <f t="shared" si="61"/>
        <v>4.8654483061330422</v>
      </c>
      <c r="K773">
        <f t="shared" si="62"/>
        <v>0.20590756041381197</v>
      </c>
      <c r="L773" s="4">
        <f>MIN(MAX(L772*(1+MAX(MIN(((B773-B772)/B772)/($K$7*卓尔金历!$N$40),0),-卓尔金历!$M$43))+MIN(MAX(((B773-B772)/B772)/($K$7*卓尔金历!$N$40),0),卓尔金历!$M$43),0),1)</f>
        <v>0.59751379051805498</v>
      </c>
      <c r="M773" s="4">
        <f>MIN(MAX(M772*(1+MAX(MIN(((B773-B772)/B772)/($K$7*30),0),-卓尔金历!$M$43))+MIN(MAX(((B773-B772)/B772)/($K$7*7),0),卓尔金历!$M$43),0),1)</f>
        <v>0.89403219199916872</v>
      </c>
      <c r="N773">
        <f t="shared" si="63"/>
        <v>1.0096797629431551</v>
      </c>
      <c r="O773">
        <f t="shared" si="64"/>
        <v>1.041156177816424</v>
      </c>
      <c r="P773">
        <f t="shared" si="65"/>
        <v>-3.6362744937815062E-3</v>
      </c>
      <c r="Q773">
        <f t="shared" si="66"/>
        <v>1.8420739389629352E-2</v>
      </c>
      <c r="R773">
        <f t="shared" si="67"/>
        <v>1</v>
      </c>
      <c r="S773">
        <f t="shared" si="59"/>
        <v>1.0765772218166265</v>
      </c>
      <c r="T773" s="564">
        <f>IF((I773-MAX(I$470:I773))/MAX(I$470:I773)&gt;T772,T772,(I773-MAX(I$470:I773))/MAX(I$470:I773))</f>
        <v>-0.20309397941577614</v>
      </c>
      <c r="U773" s="564">
        <f>IF((J773-MAX(J$470:J773))/MAX(J$470:J773)&gt;U772,U772,(J773-MAX(J$470:J773))/MAX(J$470:J773))</f>
        <v>-0.40740740740740738</v>
      </c>
      <c r="V773" s="564">
        <f>IF((K773-MAX(K$470:K773))/MAX(K$470:K773)&gt;V772,V772,(K773-MAX(K$470:K773))/MAX(K$470:K773))</f>
        <v>-0.80273969175873394</v>
      </c>
      <c r="W773" s="564">
        <f>IF((N773-MAX(N$470:N773))/MAX(N$470:N773)&gt;W772,W772,(N773-MAX(N$470:N773))/MAX(N$470:N773))</f>
        <v>-0.18134066527213491</v>
      </c>
      <c r="X773" s="564">
        <f>IF((O773-MAX(O$470:O773))/MAX(O$470:O773)&gt;X772,X772,(O773-MAX(O$470:O773))/MAX(O$470:O773))</f>
        <v>-0.18208401334216873</v>
      </c>
    </row>
    <row r="774" spans="1:24">
      <c r="A774" s="799">
        <v>41176</v>
      </c>
      <c r="B774">
        <v>12.1</v>
      </c>
      <c r="C774">
        <v>13.027965</v>
      </c>
      <c r="D774">
        <v>1.8618760000000001</v>
      </c>
      <c r="E774">
        <f>LN(D774/参数实验室!$E$53)/参数实验室!$E$55</f>
        <v>4.0348132595298215E-2</v>
      </c>
      <c r="F774">
        <f t="shared" si="68"/>
        <v>1.0766913223140495</v>
      </c>
      <c r="G774">
        <f>LN(F774/参数实验室!$E$58)/参数实验室!$E$59</f>
        <v>-0.1517471169609001</v>
      </c>
      <c r="H774" s="856">
        <f>INDEX(神经网络!$G$10:$BO$70,MATCH(ROUND(G774*2,1)/2,神经网络!$E$10:$E$70,0),MATCH(ROUND(E774*2,1)/2,神经网络!$G$8:$BO$8,0))</f>
        <v>6.9075663375174901E-3</v>
      </c>
      <c r="I774">
        <f t="shared" si="60"/>
        <v>1.0017796392503622</v>
      </c>
      <c r="J774">
        <f t="shared" si="61"/>
        <v>4.8282191452855097</v>
      </c>
      <c r="K774">
        <f t="shared" si="62"/>
        <v>0.20748429371283714</v>
      </c>
      <c r="L774" s="4">
        <f>MIN(MAX(L773*(1+MAX(MIN(((B774-B773)/B773)/($K$7*卓尔金历!$N$40),0),-卓尔金历!$M$43))+MIN(MAX(((B774-B773)/B773)/($K$7*卓尔金历!$N$40),0),卓尔金历!$M$43),0),1)</f>
        <v>0.52765768079347097</v>
      </c>
      <c r="M774" s="4">
        <f>MIN(MAX(M773*(1+MAX(MIN(((B774-B773)/B773)/($K$7*30),0),-卓尔金历!$M$43))+MIN(MAX(((B774-B773)/B773)/($K$7*7),0),卓尔金历!$M$43),0),1)</f>
        <v>0.8417709623064985</v>
      </c>
      <c r="N774">
        <f t="shared" si="63"/>
        <v>1.0096478756955629</v>
      </c>
      <c r="O774">
        <f t="shared" si="64"/>
        <v>1.0411069790191105</v>
      </c>
      <c r="P774">
        <f t="shared" si="65"/>
        <v>-7.6517431704297475E-3</v>
      </c>
      <c r="Q774">
        <f t="shared" si="66"/>
        <v>1.7964568874241728E-2</v>
      </c>
      <c r="R774">
        <f t="shared" si="67"/>
        <v>0.88761018468241526</v>
      </c>
      <c r="S774">
        <f t="shared" si="59"/>
        <v>1.0765203194098747</v>
      </c>
      <c r="T774" s="564">
        <f>IF((I774-MAX(I$470:I774))/MAX(I$470:I774)&gt;T773,T773,(I774-MAX(I$470:I774))/MAX(I$470:I774))</f>
        <v>-0.20309397941577614</v>
      </c>
      <c r="U774" s="564">
        <f>IF((J774-MAX(J$470:J774))/MAX(J$470:J774)&gt;U773,U773,(J774-MAX(J$470:J774))/MAX(J$470:J774))</f>
        <v>-0.40740740740740738</v>
      </c>
      <c r="V774" s="564">
        <f>IF((K774-MAX(K$470:K774))/MAX(K$470:K774)&gt;V773,V773,(K774-MAX(K$470:K774))/MAX(K$470:K774))</f>
        <v>-0.80273969175873394</v>
      </c>
      <c r="W774" s="564">
        <f>IF((N774-MAX(N$470:N774))/MAX(N$470:N774)&gt;W773,W773,(N774-MAX(N$470:N774))/MAX(N$470:N774))</f>
        <v>-0.18134066527213491</v>
      </c>
      <c r="X774" s="564">
        <f>IF((O774-MAX(O$470:O774))/MAX(O$470:O774)&gt;X773,X773,(O774-MAX(O$470:O774))/MAX(O$470:O774))</f>
        <v>-0.18208401334216873</v>
      </c>
    </row>
    <row r="775" spans="1:24">
      <c r="A775" s="799">
        <v>41177</v>
      </c>
      <c r="B775">
        <v>12.196999999999999</v>
      </c>
      <c r="C775">
        <v>13.396747</v>
      </c>
      <c r="D775">
        <v>1.8675139999999999</v>
      </c>
      <c r="E775">
        <f>LN(D775/参数实验室!$E$53)/参数实验室!$E$55</f>
        <v>4.3915179140035822E-2</v>
      </c>
      <c r="F775">
        <f t="shared" si="68"/>
        <v>1.0983641059276872</v>
      </c>
      <c r="G775">
        <f>LN(F775/参数实验室!$E$58)/参数实验室!$E$59</f>
        <v>-0.14128722298228527</v>
      </c>
      <c r="H775" s="856">
        <f>INDEX(神经网络!$G$10:$BO$70,MATCH(ROUND(G775*2,1)/2,神经网络!$E$10:$E$70,0),MATCH(ROUND(E775*2,1)/2,神经网络!$G$8:$BO$8,0))</f>
        <v>6.9075663375174901E-3</v>
      </c>
      <c r="I775">
        <f t="shared" si="60"/>
        <v>1.0018351125027118</v>
      </c>
      <c r="J775">
        <f t="shared" si="61"/>
        <v>4.8669247037229217</v>
      </c>
      <c r="K775">
        <f t="shared" si="62"/>
        <v>0.20584561576150229</v>
      </c>
      <c r="L775" s="4">
        <f>MIN(MAX(L774*(1+MAX(MIN(((B775-B774)/B774)/($K$7*卓尔金历!$N$40),0),-卓尔金历!$M$43))+MIN(MAX(((B775-B774)/B774)/($K$7*卓尔金历!$N$40),0),卓尔金历!$M$43),0),1)</f>
        <v>0.65014254988962028</v>
      </c>
      <c r="M775" s="4">
        <f>MIN(MAX(M774*(1+MAX(MIN(((B775-B774)/B774)/($K$7*30),0),-卓尔金历!$M$43))+MIN(MAX(((B775-B774)/B774)/($K$7*7),0),卓尔金历!$M$43),0),1)</f>
        <v>1</v>
      </c>
      <c r="N775">
        <f t="shared" si="63"/>
        <v>1.0096773764843678</v>
      </c>
      <c r="O775">
        <f t="shared" si="64"/>
        <v>1.0411555079502939</v>
      </c>
      <c r="P775">
        <f t="shared" si="65"/>
        <v>8.0165289256197963E-3</v>
      </c>
      <c r="Q775">
        <f t="shared" si="66"/>
        <v>1.7364192188566115E-2</v>
      </c>
      <c r="R775">
        <f t="shared" si="67"/>
        <v>0.80475410720233342</v>
      </c>
      <c r="S775">
        <f t="shared" si="59"/>
        <v>1.0765732316242018</v>
      </c>
      <c r="T775" s="564">
        <f>IF((I775-MAX(I$470:I775))/MAX(I$470:I775)&gt;T774,T774,(I775-MAX(I$470:I775))/MAX(I$470:I775))</f>
        <v>-0.20309397941577614</v>
      </c>
      <c r="U775" s="564">
        <f>IF((J775-MAX(J$470:J775))/MAX(J$470:J775)&gt;U774,U774,(J775-MAX(J$470:J775))/MAX(J$470:J775))</f>
        <v>-0.40740740740740738</v>
      </c>
      <c r="V775" s="564">
        <f>IF((K775-MAX(K$470:K775))/MAX(K$470:K775)&gt;V774,V774,(K775-MAX(K$470:K775))/MAX(K$470:K775))</f>
        <v>-0.80273969175873394</v>
      </c>
      <c r="W775" s="564">
        <f>IF((N775-MAX(N$470:N775))/MAX(N$470:N775)&gt;W774,W774,(N775-MAX(N$470:N775))/MAX(N$470:N775))</f>
        <v>-0.18134066527213491</v>
      </c>
      <c r="X775" s="564">
        <f>IF((O775-MAX(O$470:O775))/MAX(O$470:O775)&gt;X774,X774,(O775-MAX(O$470:O775))/MAX(O$470:O775))</f>
        <v>-0.18208401334216873</v>
      </c>
    </row>
    <row r="776" spans="1:24">
      <c r="A776" s="799">
        <v>41178</v>
      </c>
      <c r="B776">
        <v>12.27</v>
      </c>
      <c r="C776">
        <v>13.47119</v>
      </c>
      <c r="D776">
        <v>1.8833219999999999</v>
      </c>
      <c r="E776">
        <f>LN(D776/参数实验室!$E$53)/参数实验室!$E$55</f>
        <v>5.3859442072928303E-2</v>
      </c>
      <c r="F776">
        <f t="shared" si="68"/>
        <v>1.0978964955175226</v>
      </c>
      <c r="G776">
        <f>LN(F776/参数实验室!$E$58)/参数实验室!$E$59</f>
        <v>-0.14151071851638442</v>
      </c>
      <c r="H776" s="856">
        <f>INDEX(神经网络!$G$10:$BO$70,MATCH(ROUND(G776*2,1)/2,神经网络!$E$10:$E$70,0),MATCH(ROUND(E776*2,1)/2,神经网络!$G$8:$BO$8,0))</f>
        <v>6.9075663375174901E-3</v>
      </c>
      <c r="I776">
        <f t="shared" si="60"/>
        <v>1.0018765306959083</v>
      </c>
      <c r="J776">
        <f t="shared" si="61"/>
        <v>4.8960536291448919</v>
      </c>
      <c r="K776">
        <f t="shared" si="62"/>
        <v>0.20462940289951206</v>
      </c>
      <c r="L776" s="4">
        <f>MIN(MAX(L775*(1+MAX(MIN(((B776-B775)/B775)/($K$7*卓尔金历!$N$40),0),-卓尔金历!$M$43))+MIN(MAX(((B776-B775)/B775)/($K$7*卓尔金历!$N$40),0),卓尔金历!$M$43),0),1)</f>
        <v>0.7415888028321892</v>
      </c>
      <c r="M776" s="4">
        <f>MIN(MAX(M775*(1+MAX(MIN(((B776-B775)/B775)/($K$7*30),0),-卓尔金历!$M$43))+MIN(MAX(((B776-B775)/B775)/($K$7*7),0),卓尔金历!$M$43),0),1)</f>
        <v>1</v>
      </c>
      <c r="N776">
        <f t="shared" si="63"/>
        <v>1.0097045150016506</v>
      </c>
      <c r="O776">
        <f t="shared" si="64"/>
        <v>1.0411985517400728</v>
      </c>
      <c r="P776">
        <f t="shared" si="65"/>
        <v>5.9850782979421497E-3</v>
      </c>
      <c r="Q776">
        <f t="shared" si="66"/>
        <v>1.3020005620550496E-2</v>
      </c>
      <c r="R776">
        <f t="shared" si="67"/>
        <v>0.80807759596546702</v>
      </c>
      <c r="S776">
        <f t="shared" si="59"/>
        <v>1.0766090496528675</v>
      </c>
      <c r="T776" s="564">
        <f>IF((I776-MAX(I$470:I776))/MAX(I$470:I776)&gt;T775,T775,(I776-MAX(I$470:I776))/MAX(I$470:I776))</f>
        <v>-0.20309397941577614</v>
      </c>
      <c r="U776" s="564">
        <f>IF((J776-MAX(J$470:J776))/MAX(J$470:J776)&gt;U775,U775,(J776-MAX(J$470:J776))/MAX(J$470:J776))</f>
        <v>-0.40740740740740738</v>
      </c>
      <c r="V776" s="564">
        <f>IF((K776-MAX(K$470:K776))/MAX(K$470:K776)&gt;V775,V775,(K776-MAX(K$470:K776))/MAX(K$470:K776))</f>
        <v>-0.80273969175873394</v>
      </c>
      <c r="W776" s="564">
        <f>IF((N776-MAX(N$470:N776))/MAX(N$470:N776)&gt;W775,W775,(N776-MAX(N$470:N776))/MAX(N$470:N776))</f>
        <v>-0.18134066527213491</v>
      </c>
      <c r="X776" s="564">
        <f>IF((O776-MAX(O$470:O776))/MAX(O$470:O776)&gt;X775,X775,(O776-MAX(O$470:O776))/MAX(O$470:O776))</f>
        <v>-0.18208401334216873</v>
      </c>
    </row>
    <row r="777" spans="1:24">
      <c r="A777" s="799">
        <v>41179</v>
      </c>
      <c r="B777">
        <v>12.3089</v>
      </c>
      <c r="C777">
        <v>13.42069</v>
      </c>
      <c r="D777">
        <v>1.8779090000000001</v>
      </c>
      <c r="E777">
        <f>LN(D777/参数实验室!$E$53)/参数实验室!$E$55</f>
        <v>5.0463740655778681E-2</v>
      </c>
      <c r="F777">
        <f t="shared" si="68"/>
        <v>1.0903240744501947</v>
      </c>
      <c r="G777">
        <f>LN(F777/参数实验室!$E$58)/参数实验室!$E$59</f>
        <v>-0.14514328804135701</v>
      </c>
      <c r="H777" s="856">
        <f>INDEX(神经网络!$G$10:$BO$70,MATCH(ROUND(G777*2,1)/2,神经网络!$E$10:$E$70,0),MATCH(ROUND(E777*2,1)/2,神经网络!$G$8:$BO$8,0))</f>
        <v>6.9075663375174901E-3</v>
      </c>
      <c r="I777">
        <f t="shared" si="60"/>
        <v>1.0018984710840464</v>
      </c>
      <c r="J777">
        <f t="shared" si="61"/>
        <v>4.9115757551574211</v>
      </c>
      <c r="K777">
        <f t="shared" si="62"/>
        <v>0.20398717662697122</v>
      </c>
      <c r="L777" s="4">
        <f>MIN(MAX(L776*(1+MAX(MIN(((B777-B776)/B776)/($K$7*卓尔金历!$N$40),0),-卓尔金历!$M$43))+MIN(MAX(((B777-B776)/B776)/($K$7*卓尔金历!$N$40),0),卓尔金历!$M$43),0),1)</f>
        <v>0.7900284662765692</v>
      </c>
      <c r="M777" s="4">
        <f>MIN(MAX(M776*(1+MAX(MIN(((B777-B776)/B776)/($K$7*30),0),-卓尔金历!$M$43))+MIN(MAX(((B777-B776)/B776)/($K$7*7),0),卓尔金历!$M$43),0),1)</f>
        <v>1</v>
      </c>
      <c r="N777">
        <f t="shared" si="63"/>
        <v>1.0097209128764086</v>
      </c>
      <c r="O777">
        <f t="shared" si="64"/>
        <v>1.0412213532526886</v>
      </c>
      <c r="P777">
        <f t="shared" si="65"/>
        <v>3.1703341483292533E-3</v>
      </c>
      <c r="Q777">
        <f t="shared" si="66"/>
        <v>1.2782139700880357E-2</v>
      </c>
      <c r="R777">
        <f t="shared" si="67"/>
        <v>1</v>
      </c>
      <c r="S777">
        <f t="shared" si="59"/>
        <v>1.0766281016801662</v>
      </c>
      <c r="T777" s="564">
        <f>IF((I777-MAX(I$470:I777))/MAX(I$470:I777)&gt;T776,T776,(I777-MAX(I$470:I777))/MAX(I$470:I777))</f>
        <v>-0.20309397941577614</v>
      </c>
      <c r="U777" s="564">
        <f>IF((J777-MAX(J$470:J777))/MAX(J$470:J777)&gt;U776,U776,(J777-MAX(J$470:J777))/MAX(J$470:J777))</f>
        <v>-0.40740740740740738</v>
      </c>
      <c r="V777" s="564">
        <f>IF((K777-MAX(K$470:K777))/MAX(K$470:K777)&gt;V776,V776,(K777-MAX(K$470:K777))/MAX(K$470:K777))</f>
        <v>-0.80273969175873394</v>
      </c>
      <c r="W777" s="564">
        <f>IF((N777-MAX(N$470:N777))/MAX(N$470:N777)&gt;W776,W776,(N777-MAX(N$470:N777))/MAX(N$470:N777))</f>
        <v>-0.18134066527213491</v>
      </c>
      <c r="X777" s="564">
        <f>IF((O777-MAX(O$470:O777))/MAX(O$470:O777)&gt;X776,X776,(O777-MAX(O$470:O777))/MAX(O$470:O777))</f>
        <v>-0.18208401334216873</v>
      </c>
    </row>
    <row r="778" spans="1:24">
      <c r="A778" s="799">
        <v>41180</v>
      </c>
      <c r="B778">
        <v>12.391</v>
      </c>
      <c r="C778">
        <v>13.542674999999999</v>
      </c>
      <c r="D778">
        <v>1.879203</v>
      </c>
      <c r="E778">
        <f>LN(D778/参数实验室!$E$53)/参数实验室!$E$55</f>
        <v>5.1276386516781472E-2</v>
      </c>
      <c r="F778">
        <f t="shared" si="68"/>
        <v>1.0929444758292308</v>
      </c>
      <c r="G778">
        <f>LN(F778/参数实验室!$E$58)/参数实验室!$E$59</f>
        <v>-0.14388340737435679</v>
      </c>
      <c r="H778" s="856">
        <f>INDEX(神经网络!$G$10:$BO$70,MATCH(ROUND(G778*2,1)/2,神经网络!$E$10:$E$70,0),MATCH(ROUND(E778*2,1)/2,神经网络!$G$8:$BO$8,0))</f>
        <v>6.9075663375174901E-3</v>
      </c>
      <c r="I778">
        <f t="shared" si="60"/>
        <v>1.0019446318165666</v>
      </c>
      <c r="J778">
        <f t="shared" si="61"/>
        <v>4.9443358205977468</v>
      </c>
      <c r="K778">
        <f t="shared" si="62"/>
        <v>0.20264493921358201</v>
      </c>
      <c r="L778" s="4">
        <f>MIN(MAX(L777*(1+MAX(MIN(((B778-B777)/B777)/($K$7*卓尔金历!$N$40),0),-卓尔金历!$M$43))+MIN(MAX(((B778-B777)/B777)/($K$7*卓尔金历!$N$40),0),卓尔金历!$M$43),0),1)</f>
        <v>0.89193921496441164</v>
      </c>
      <c r="M778" s="4">
        <f>MIN(MAX(M777*(1+MAX(MIN(((B778-B777)/B777)/($K$7*30),0),-卓尔金历!$M$43))+MIN(MAX(((B778-B777)/B777)/($K$7*7),0),卓尔金历!$M$43),0),1)</f>
        <v>1</v>
      </c>
      <c r="N778">
        <f t="shared" si="63"/>
        <v>1.0097576658996683</v>
      </c>
      <c r="O778">
        <f t="shared" si="64"/>
        <v>1.0412693257187309</v>
      </c>
      <c r="P778">
        <f t="shared" si="65"/>
        <v>6.669970509143832E-3</v>
      </c>
      <c r="Q778">
        <f t="shared" si="66"/>
        <v>1.1902734076541237E-2</v>
      </c>
      <c r="R778">
        <f t="shared" si="67"/>
        <v>0.59933763984612021</v>
      </c>
      <c r="S778">
        <f t="shared" si="59"/>
        <v>1.0766777054506678</v>
      </c>
      <c r="T778" s="564">
        <f>IF((I778-MAX(I$470:I778))/MAX(I$470:I778)&gt;T777,T777,(I778-MAX(I$470:I778))/MAX(I$470:I778))</f>
        <v>-0.20309397941577614</v>
      </c>
      <c r="U778" s="564">
        <f>IF((J778-MAX(J$470:J778))/MAX(J$470:J778)&gt;U777,U777,(J778-MAX(J$470:J778))/MAX(J$470:J778))</f>
        <v>-0.40740740740740738</v>
      </c>
      <c r="V778" s="564">
        <f>IF((K778-MAX(K$470:K778))/MAX(K$470:K778)&gt;V777,V777,(K778-MAX(K$470:K778))/MAX(K$470:K778))</f>
        <v>-0.80273969175873394</v>
      </c>
      <c r="W778" s="564">
        <f>IF((N778-MAX(N$470:N778))/MAX(N$470:N778)&gt;W777,W777,(N778-MAX(N$470:N778))/MAX(N$470:N778))</f>
        <v>-0.18134066527213491</v>
      </c>
      <c r="X778" s="564">
        <f>IF((O778-MAX(O$470:O778))/MAX(O$470:O778)&gt;X777,X777,(O778-MAX(O$470:O778))/MAX(O$470:O778))</f>
        <v>-0.18208401334216873</v>
      </c>
    </row>
    <row r="779" spans="1:24">
      <c r="A779" s="799">
        <v>41181</v>
      </c>
      <c r="B779">
        <v>12.363099999999999</v>
      </c>
      <c r="C779">
        <v>13.458807</v>
      </c>
      <c r="D779">
        <v>1.8777820000000001</v>
      </c>
      <c r="E779">
        <f>LN(D779/参数实验室!$E$53)/参数实验室!$E$55</f>
        <v>5.038395312158514E-2</v>
      </c>
      <c r="F779">
        <f t="shared" si="68"/>
        <v>1.0886272051508117</v>
      </c>
      <c r="G779">
        <f>LN(F779/参数实验室!$E$58)/参数实验室!$E$59</f>
        <v>-0.14596075367332353</v>
      </c>
      <c r="H779" s="856">
        <f>INDEX(神经网络!$G$10:$BO$70,MATCH(ROUND(G779*2,1)/2,神经网络!$E$10:$E$70,0),MATCH(ROUND(E779*2,1)/2,神经网络!$G$8:$BO$8,0))</f>
        <v>6.9075663375174901E-3</v>
      </c>
      <c r="I779">
        <f t="shared" si="60"/>
        <v>1.0019290482581451</v>
      </c>
      <c r="J779">
        <f t="shared" si="61"/>
        <v>4.9332029847172949</v>
      </c>
      <c r="K779">
        <f t="shared" si="62"/>
        <v>0.2030990922858939</v>
      </c>
      <c r="L779" s="4">
        <f>MIN(MAX(L778*(1+MAX(MIN(((B779-B778)/B778)/($K$7*卓尔金历!$N$40),0),-卓尔金历!$M$43))+MIN(MAX(((B779-B778)/B778)/($K$7*卓尔金历!$N$40),0),卓尔金历!$M$43),0),1)</f>
        <v>0.86125399906884548</v>
      </c>
      <c r="M779" s="4">
        <f>MIN(MAX(M778*(1+MAX(MIN(((B779-B778)/B778)/($K$7*30),0),-卓尔金历!$M$43))+MIN(MAX(((B779-B778)/B778)/($K$7*7),0),卓尔金历!$M$43),0),1)</f>
        <v>0.98279859469078812</v>
      </c>
      <c r="N779">
        <f t="shared" si="63"/>
        <v>1.0097436579256307</v>
      </c>
      <c r="O779">
        <f t="shared" si="64"/>
        <v>1.0412531305310382</v>
      </c>
      <c r="P779">
        <f t="shared" si="65"/>
        <v>-2.2516342506658624E-3</v>
      </c>
      <c r="Q779">
        <f t="shared" si="66"/>
        <v>1.2016027354597503E-2</v>
      </c>
      <c r="R779">
        <f t="shared" si="67"/>
        <v>1</v>
      </c>
      <c r="S779">
        <f t="shared" si="59"/>
        <v>1.0766676689993058</v>
      </c>
      <c r="T779" s="564">
        <f>IF((I779-MAX(I$470:I779))/MAX(I$470:I779)&gt;T778,T778,(I779-MAX(I$470:I779))/MAX(I$470:I779))</f>
        <v>-0.20309397941577614</v>
      </c>
      <c r="U779" s="564">
        <f>IF((J779-MAX(J$470:J779))/MAX(J$470:J779)&gt;U778,U778,(J779-MAX(J$470:J779))/MAX(J$470:J779))</f>
        <v>-0.40740740740740738</v>
      </c>
      <c r="V779" s="564">
        <f>IF((K779-MAX(K$470:K779))/MAX(K$470:K779)&gt;V778,V778,(K779-MAX(K$470:K779))/MAX(K$470:K779))</f>
        <v>-0.80273969175873394</v>
      </c>
      <c r="W779" s="564">
        <f>IF((N779-MAX(N$470:N779))/MAX(N$470:N779)&gt;W778,W778,(N779-MAX(N$470:N779))/MAX(N$470:N779))</f>
        <v>-0.18134066527213491</v>
      </c>
      <c r="X779" s="564">
        <f>IF((O779-MAX(O$470:O779))/MAX(O$470:O779)&gt;X778,X778,(O779-MAX(O$470:O779))/MAX(O$470:O779))</f>
        <v>-0.18208401334216873</v>
      </c>
    </row>
    <row r="780" spans="1:24">
      <c r="A780" s="799">
        <v>41182</v>
      </c>
      <c r="B780">
        <v>12.4</v>
      </c>
      <c r="C780">
        <v>13.331111</v>
      </c>
      <c r="D780">
        <v>1.872298</v>
      </c>
      <c r="E780">
        <f>LN(D780/参数实验室!$E$53)/参数实验室!$E$55</f>
        <v>4.6933481983975497E-2</v>
      </c>
      <c r="F780">
        <f t="shared" si="68"/>
        <v>1.0750895967741936</v>
      </c>
      <c r="G780">
        <f>LN(F780/参数实验室!$E$58)/参数实验室!$E$59</f>
        <v>-0.15252849044861183</v>
      </c>
      <c r="H780" s="856">
        <f>INDEX(神经网络!$G$10:$BO$70,MATCH(ROUND(G780*2,1)/2,神经网络!$E$10:$E$70,0),MATCH(ROUND(E780*2,1)/2,神经网络!$G$8:$BO$8,0))</f>
        <v>6.9075663375174901E-3</v>
      </c>
      <c r="I780">
        <f t="shared" si="60"/>
        <v>1.0019497049616757</v>
      </c>
      <c r="J780">
        <f t="shared" si="61"/>
        <v>4.9479270579785384</v>
      </c>
      <c r="K780">
        <f t="shared" si="62"/>
        <v>0.20249888351648809</v>
      </c>
      <c r="L780" s="4">
        <f>MIN(MAX(L779*(1+MAX(MIN(((B780-B779)/B779)/($K$7*卓尔金历!$N$40),0),-卓尔金历!$M$43))+MIN(MAX(((B780-B779)/B779)/($K$7*卓尔金历!$N$40),0),卓尔金历!$M$43),0),1)</f>
        <v>0.90685717219847994</v>
      </c>
      <c r="M780" s="4">
        <f>MIN(MAX(M779*(1+MAX(MIN(((B780-B779)/B779)/($K$7*30),0),-卓尔金历!$M$43))+MIN(MAX(((B780-B779)/B779)/($K$7*7),0),卓尔金历!$M$43),0),1)</f>
        <v>1</v>
      </c>
      <c r="N780">
        <f t="shared" si="63"/>
        <v>1.0097615873536105</v>
      </c>
      <c r="O780">
        <f t="shared" si="64"/>
        <v>1.0412742287062868</v>
      </c>
      <c r="P780">
        <f t="shared" si="65"/>
        <v>2.984688306331021E-3</v>
      </c>
      <c r="Q780">
        <f t="shared" si="66"/>
        <v>1.1928288091029296E-2</v>
      </c>
      <c r="R780">
        <f t="shared" si="67"/>
        <v>1</v>
      </c>
      <c r="S780">
        <f t="shared" si="59"/>
        <v>1.0766898665839331</v>
      </c>
      <c r="T780" s="564">
        <f>IF((I780-MAX(I$470:I780))/MAX(I$470:I780)&gt;T779,T779,(I780-MAX(I$470:I780))/MAX(I$470:I780))</f>
        <v>-0.20309397941577614</v>
      </c>
      <c r="U780" s="564">
        <f>IF((J780-MAX(J$470:J780))/MAX(J$470:J780)&gt;U779,U779,(J780-MAX(J$470:J780))/MAX(J$470:J780))</f>
        <v>-0.40740740740740738</v>
      </c>
      <c r="V780" s="564">
        <f>IF((K780-MAX(K$470:K780))/MAX(K$470:K780)&gt;V779,V779,(K780-MAX(K$470:K780))/MAX(K$470:K780))</f>
        <v>-0.80273969175873394</v>
      </c>
      <c r="W780" s="564">
        <f>IF((N780-MAX(N$470:N780))/MAX(N$470:N780)&gt;W779,W779,(N780-MAX(N$470:N780))/MAX(N$470:N780))</f>
        <v>-0.18134066527213491</v>
      </c>
      <c r="X780" s="564">
        <f>IF((O780-MAX(O$470:O780))/MAX(O$470:O780)&gt;X779,X779,(O780-MAX(O$470:O780))/MAX(O$470:O780))</f>
        <v>-0.18208401334216873</v>
      </c>
    </row>
    <row r="781" spans="1:24">
      <c r="A781" s="799">
        <v>41183</v>
      </c>
      <c r="B781">
        <v>12.4</v>
      </c>
      <c r="C781">
        <v>13.619439</v>
      </c>
      <c r="D781">
        <v>1.8688830000000001</v>
      </c>
      <c r="E781">
        <f>LN(D781/参数实验室!$E$53)/参数实验室!$E$55</f>
        <v>4.4779692339928956E-2</v>
      </c>
      <c r="F781">
        <f t="shared" si="68"/>
        <v>1.0983418548387096</v>
      </c>
      <c r="G781">
        <f>LN(F781/参数实验室!$E$58)/参数实验室!$E$59</f>
        <v>-0.14129785578815168</v>
      </c>
      <c r="H781" s="856">
        <f>INDEX(神经网络!$G$10:$BO$70,MATCH(ROUND(G781*2,1)/2,神经网络!$E$10:$E$70,0),MATCH(ROUND(E781*2,1)/2,神经网络!$G$8:$BO$8,0))</f>
        <v>6.9075663375174901E-3</v>
      </c>
      <c r="I781">
        <f t="shared" si="60"/>
        <v>1.0019497049616757</v>
      </c>
      <c r="J781">
        <f t="shared" si="61"/>
        <v>4.9479270579785384</v>
      </c>
      <c r="K781">
        <f t="shared" si="62"/>
        <v>0.20249888351648809</v>
      </c>
      <c r="L781" s="4">
        <f>MIN(MAX(L780*(1+MAX(MIN(((B781-B780)/B780)/($K$7*卓尔金历!$N$40),0),-卓尔金历!$M$43))+MIN(MAX(((B781-B780)/B780)/($K$7*卓尔金历!$N$40),0),卓尔金历!$M$43),0),1)</f>
        <v>0.90685717219847994</v>
      </c>
      <c r="M781" s="4">
        <f>MIN(MAX(M780*(1+MAX(MIN(((B781-B780)/B780)/($K$7*30),0),-卓尔金历!$M$43))+MIN(MAX(((B781-B780)/B780)/($K$7*7),0),卓尔金历!$M$43),0),1)</f>
        <v>1</v>
      </c>
      <c r="N781">
        <f t="shared" si="63"/>
        <v>1.0097615873536105</v>
      </c>
      <c r="O781">
        <f t="shared" si="64"/>
        <v>1.0412742287062868</v>
      </c>
      <c r="P781">
        <f t="shared" si="65"/>
        <v>0</v>
      </c>
      <c r="Q781">
        <f t="shared" si="66"/>
        <v>1.1850602353821484E-2</v>
      </c>
      <c r="R781">
        <f t="shared" si="67"/>
        <v>1</v>
      </c>
      <c r="S781">
        <f t="shared" si="59"/>
        <v>1.0766898665839331</v>
      </c>
      <c r="T781" s="564">
        <f>IF((I781-MAX(I$470:I781))/MAX(I$470:I781)&gt;T780,T780,(I781-MAX(I$470:I781))/MAX(I$470:I781))</f>
        <v>-0.20309397941577614</v>
      </c>
      <c r="U781" s="564">
        <f>IF((J781-MAX(J$470:J781))/MAX(J$470:J781)&gt;U780,U780,(J781-MAX(J$470:J781))/MAX(J$470:J781))</f>
        <v>-0.40740740740740738</v>
      </c>
      <c r="V781" s="564">
        <f>IF((K781-MAX(K$470:K781))/MAX(K$470:K781)&gt;V780,V780,(K781-MAX(K$470:K781))/MAX(K$470:K781))</f>
        <v>-0.80273969175873394</v>
      </c>
      <c r="W781" s="564">
        <f>IF((N781-MAX(N$470:N781))/MAX(N$470:N781)&gt;W780,W780,(N781-MAX(N$470:N781))/MAX(N$470:N781))</f>
        <v>-0.18134066527213491</v>
      </c>
      <c r="X781" s="564">
        <f>IF((O781-MAX(O$470:O781))/MAX(O$470:O781)&gt;X780,X780,(O781-MAX(O$470:O781))/MAX(O$470:O781))</f>
        <v>-0.18208401334216873</v>
      </c>
    </row>
    <row r="782" spans="1:24">
      <c r="A782" s="799">
        <v>41184</v>
      </c>
      <c r="B782">
        <v>12.84</v>
      </c>
      <c r="C782">
        <v>13.811603</v>
      </c>
      <c r="D782">
        <v>1.9232089999999999</v>
      </c>
      <c r="E782">
        <f>LN(D782/参数实验室!$E$53)/参数实验室!$E$55</f>
        <v>7.8584599988058543E-2</v>
      </c>
      <c r="F782">
        <f t="shared" si="68"/>
        <v>1.0756700155763239</v>
      </c>
      <c r="G782">
        <f>LN(F782/参数实验室!$E$58)/参数实验室!$E$59</f>
        <v>-0.15224520898784352</v>
      </c>
      <c r="H782" s="856">
        <f>INDEX(神经网络!$G$10:$BO$70,MATCH(ROUND(G782*2,1)/2,神经网络!$E$10:$E$70,0),MATCH(ROUND(E782*2,1)/2,神经网络!$G$8:$BO$8,0))</f>
        <v>5.2253386166092243E-2</v>
      </c>
      <c r="I782">
        <f t="shared" si="60"/>
        <v>1.0021952900410067</v>
      </c>
      <c r="J782">
        <f t="shared" si="61"/>
        <v>5.1234986632616479</v>
      </c>
      <c r="K782">
        <f t="shared" si="62"/>
        <v>0.19560760252116541</v>
      </c>
      <c r="L782" s="4">
        <f>MIN(MAX(L781*(1+MAX(MIN(((B782-B781)/B781)/($K$7*卓尔金历!$N$40),0),-卓尔金历!$M$43))+MIN(MAX(((B782-B781)/B781)/($K$7*卓尔金历!$N$40),0),卓尔金历!$M$43),0),1)</f>
        <v>1</v>
      </c>
      <c r="M782" s="4">
        <f>MIN(MAX(M781*(1+MAX(MIN(((B782-B781)/B781)/($K$7*30),0),-卓尔金历!$M$43))+MIN(MAX(((B782-B781)/B781)/($K$7*7),0),卓尔金历!$M$43),0),1)</f>
        <v>1</v>
      </c>
      <c r="N782">
        <f t="shared" si="63"/>
        <v>1.0099860343476537</v>
      </c>
      <c r="O782">
        <f t="shared" si="64"/>
        <v>1.0415294525092342</v>
      </c>
      <c r="P782">
        <f t="shared" si="65"/>
        <v>3.5483870967741894E-2</v>
      </c>
      <c r="Q782">
        <f t="shared" si="66"/>
        <v>1.33925887795354E-2</v>
      </c>
      <c r="R782">
        <f t="shared" si="67"/>
        <v>3.036506327031417E-4</v>
      </c>
      <c r="S782">
        <f t="shared" si="59"/>
        <v>1.0769537710144554</v>
      </c>
      <c r="T782" s="564">
        <f>IF((I782-MAX(I$470:I782))/MAX(I$470:I782)&gt;T781,T781,(I782-MAX(I$470:I782))/MAX(I$470:I782))</f>
        <v>-0.20309397941577614</v>
      </c>
      <c r="U782" s="564">
        <f>IF((J782-MAX(J$470:J782))/MAX(J$470:J782)&gt;U781,U781,(J782-MAX(J$470:J782))/MAX(J$470:J782))</f>
        <v>-0.40740740740740738</v>
      </c>
      <c r="V782" s="564">
        <f>IF((K782-MAX(K$470:K782))/MAX(K$470:K782)&gt;V781,V781,(K782-MAX(K$470:K782))/MAX(K$470:K782))</f>
        <v>-0.80654402828249672</v>
      </c>
      <c r="W782" s="564">
        <f>IF((N782-MAX(N$470:N782))/MAX(N$470:N782)&gt;W781,W781,(N782-MAX(N$470:N782))/MAX(N$470:N782))</f>
        <v>-0.18134066527213491</v>
      </c>
      <c r="X782" s="564">
        <f>IF((O782-MAX(O$470:O782))/MAX(O$470:O782)&gt;X781,X781,(O782-MAX(O$470:O782))/MAX(O$470:O782))</f>
        <v>-0.18208401334216873</v>
      </c>
    </row>
    <row r="783" spans="1:24">
      <c r="A783" s="799">
        <v>41185</v>
      </c>
      <c r="B783">
        <v>12.89</v>
      </c>
      <c r="C783">
        <v>14.058673000000001</v>
      </c>
      <c r="D783">
        <v>1.9369320000000001</v>
      </c>
      <c r="E783">
        <f>LN(D783/参数实验室!$E$53)/参数实验室!$E$55</f>
        <v>8.6972802373253597E-2</v>
      </c>
      <c r="F783">
        <f t="shared" si="68"/>
        <v>1.0906650892164469</v>
      </c>
      <c r="G783">
        <f>LN(F783/参数实验室!$E$58)/参数实验室!$E$59</f>
        <v>-0.14497915794547367</v>
      </c>
      <c r="H783" s="856">
        <f>INDEX(神经网络!$G$10:$BO$70,MATCH(ROUND(G783*2,1)/2,神经网络!$E$10:$E$70,0),MATCH(ROUND(E783*2,1)/2,神经网络!$G$8:$BO$8,0))</f>
        <v>5.2253386166092243E-2</v>
      </c>
      <c r="I783">
        <f t="shared" si="60"/>
        <v>1.0023992156543413</v>
      </c>
      <c r="J783">
        <f t="shared" si="61"/>
        <v>5.1434499820438191</v>
      </c>
      <c r="K783">
        <f t="shared" si="62"/>
        <v>0.1948884929675207</v>
      </c>
      <c r="L783" s="4">
        <f>MIN(MAX(L782*(1+MAX(MIN(((B783-B782)/B782)/($K$7*卓尔金历!$N$40),0),-卓尔金历!$M$43))+MIN(MAX(((B783-B782)/B782)/($K$7*卓尔金历!$N$40),0),卓尔金历!$M$43),0),1)</f>
        <v>1</v>
      </c>
      <c r="M783" s="4">
        <f>MIN(MAX(M782*(1+MAX(MIN(((B783-B782)/B782)/($K$7*30),0),-卓尔金历!$M$43))+MIN(MAX(((B783-B782)/B782)/($K$7*7),0),卓尔金历!$M$43),0),1)</f>
        <v>1</v>
      </c>
      <c r="N783">
        <f t="shared" si="63"/>
        <v>1.0101915452132111</v>
      </c>
      <c r="O783">
        <f t="shared" si="64"/>
        <v>1.041741381795392</v>
      </c>
      <c r="P783">
        <f t="shared" si="65"/>
        <v>3.8940809968847907E-3</v>
      </c>
      <c r="Q783">
        <f t="shared" si="66"/>
        <v>1.33843135756701E-2</v>
      </c>
      <c r="R783">
        <f t="shared" si="67"/>
        <v>1</v>
      </c>
      <c r="S783">
        <f t="shared" si="59"/>
        <v>1.076953837555662</v>
      </c>
      <c r="T783" s="564">
        <f>IF((I783-MAX(I$470:I783))/MAX(I$470:I783)&gt;T782,T782,(I783-MAX(I$470:I783))/MAX(I$470:I783))</f>
        <v>-0.20309397941577614</v>
      </c>
      <c r="U783" s="564">
        <f>IF((J783-MAX(J$470:J783))/MAX(J$470:J783)&gt;U782,U782,(J783-MAX(J$470:J783))/MAX(J$470:J783))</f>
        <v>-0.40740740740740738</v>
      </c>
      <c r="V783" s="564">
        <f>IF((K783-MAX(K$470:K783))/MAX(K$470:K783)&gt;V782,V782,(K783-MAX(K$470:K783))/MAX(K$470:K783))</f>
        <v>-0.80725522782524772</v>
      </c>
      <c r="W783" s="564">
        <f>IF((N783-MAX(N$470:N783))/MAX(N$470:N783)&gt;W782,W782,(N783-MAX(N$470:N783))/MAX(N$470:N783))</f>
        <v>-0.18134066527213491</v>
      </c>
      <c r="X783" s="564">
        <f>IF((O783-MAX(O$470:O783))/MAX(O$470:O783)&gt;X782,X782,(O783-MAX(O$470:O783))/MAX(O$470:O783))</f>
        <v>-0.18208401334216873</v>
      </c>
    </row>
    <row r="784" spans="1:24">
      <c r="A784" s="799">
        <v>41186</v>
      </c>
      <c r="B784">
        <v>12.85</v>
      </c>
      <c r="C784">
        <v>14.292171</v>
      </c>
      <c r="D784">
        <v>1.9174359999999999</v>
      </c>
      <c r="E784">
        <f>LN(D784/参数实验室!$E$53)/参数实验室!$E$55</f>
        <v>7.503794539912613E-2</v>
      </c>
      <c r="F784">
        <f t="shared" si="68"/>
        <v>1.1122312062256809</v>
      </c>
      <c r="G784">
        <f>LN(F784/参数实验室!$E$58)/参数实验室!$E$59</f>
        <v>-0.13470230073350561</v>
      </c>
      <c r="H784" s="856">
        <f>INDEX(神经网络!$G$10:$BO$70,MATCH(ROUND(G784*2,1)/2,神经网络!$E$10:$E$70,0),MATCH(ROUND(E784*2,1)/2,神经网络!$G$8:$BO$8,0))</f>
        <v>5.2253386166092243E-2</v>
      </c>
      <c r="I784">
        <f t="shared" si="60"/>
        <v>1.0022366749148279</v>
      </c>
      <c r="J784">
        <f t="shared" si="61"/>
        <v>5.1274889270180815</v>
      </c>
      <c r="K784">
        <f t="shared" si="62"/>
        <v>0.19546344988358347</v>
      </c>
      <c r="L784" s="4">
        <f>MIN(MAX(L783*(1+MAX(MIN(((B784-B783)/B783)/($K$7*卓尔金历!$N$40),0),-卓尔金历!$M$43))+MIN(MAX(((B784-B783)/B783)/($K$7*卓尔金历!$N$40),0),卓尔金历!$M$43),0),1)</f>
        <v>0.95258637588273665</v>
      </c>
      <c r="M784" s="4">
        <f>MIN(MAX(M783*(1+MAX(MIN(((B784-B783)/B783)/($K$7*30),0),-卓尔金历!$M$43))+MIN(MAX(((B784-B783)/B783)/($K$7*7),0),卓尔金历!$M$43),0),1)</f>
        <v>0.97629318794136832</v>
      </c>
      <c r="N784">
        <f t="shared" si="63"/>
        <v>1.0100277409341925</v>
      </c>
      <c r="O784">
        <f t="shared" si="64"/>
        <v>1.0415724616566546</v>
      </c>
      <c r="P784">
        <f t="shared" si="65"/>
        <v>-3.1031807602793578E-3</v>
      </c>
      <c r="Q784">
        <f t="shared" si="66"/>
        <v>1.3514175085726908E-2</v>
      </c>
      <c r="R784">
        <f t="shared" si="67"/>
        <v>1</v>
      </c>
      <c r="S784">
        <f t="shared" si="59"/>
        <v>1.07677920765727</v>
      </c>
      <c r="T784" s="564">
        <f>IF((I784-MAX(I$470:I784))/MAX(I$470:I784)&gt;T783,T783,(I784-MAX(I$470:I784))/MAX(I$470:I784))</f>
        <v>-0.20309397941577614</v>
      </c>
      <c r="U784" s="564">
        <f>IF((J784-MAX(J$470:J784))/MAX(J$470:J784)&gt;U783,U783,(J784-MAX(J$470:J784))/MAX(J$470:J784))</f>
        <v>-0.40740740740740738</v>
      </c>
      <c r="V784" s="564">
        <f>IF((K784-MAX(K$470:K784))/MAX(K$470:K784)&gt;V783,V783,(K784-MAX(K$470:K784))/MAX(K$470:K784))</f>
        <v>-0.80725522782524772</v>
      </c>
      <c r="W784" s="564">
        <f>IF((N784-MAX(N$470:N784))/MAX(N$470:N784)&gt;W783,W783,(N784-MAX(N$470:N784))/MAX(N$470:N784))</f>
        <v>-0.18134066527213491</v>
      </c>
      <c r="X784" s="564">
        <f>IF((O784-MAX(O$470:O784))/MAX(O$470:O784)&gt;X783,X783,(O784-MAX(O$470:O784))/MAX(O$470:O784))</f>
        <v>-0.18208401334216873</v>
      </c>
    </row>
    <row r="785" spans="1:24">
      <c r="A785" s="799">
        <v>41187</v>
      </c>
      <c r="B785">
        <v>12.688000000000001</v>
      </c>
      <c r="C785">
        <v>14.743202</v>
      </c>
      <c r="D785">
        <v>1.899017</v>
      </c>
      <c r="E785">
        <f>LN(D785/参数实验室!$E$53)/参数实验室!$E$55</f>
        <v>6.3650385423431696E-2</v>
      </c>
      <c r="F785">
        <f t="shared" si="68"/>
        <v>1.1619799810844893</v>
      </c>
      <c r="G785">
        <f>LN(F785/参数实验室!$E$58)/参数实验室!$E$59</f>
        <v>-0.1117360855916298</v>
      </c>
      <c r="H785" s="856">
        <f>INDEX(神经网络!$G$10:$BO$70,MATCH(ROUND(G785*2,1)/2,神经网络!$E$10:$E$70,0),MATCH(ROUND(E785*2,1)/2,神经网络!$G$8:$BO$8,0))</f>
        <v>9.8887901933420147E-2</v>
      </c>
      <c r="I785">
        <f t="shared" si="60"/>
        <v>1.0015764428431804</v>
      </c>
      <c r="J785">
        <f t="shared" si="61"/>
        <v>5.0628466541638462</v>
      </c>
      <c r="K785">
        <f t="shared" si="62"/>
        <v>0.19782871401397314</v>
      </c>
      <c r="L785" s="4">
        <f>MIN(MAX(L784*(1+MAX(MIN(((B785-B784)/B784)/($K$7*卓尔金历!$N$40),0),-卓尔金历!$M$43))+MIN(MAX(((B785-B784)/B784)/($K$7*卓尔金历!$N$40),0),卓尔金历!$M$43),0),1)</f>
        <v>0.76909640525660339</v>
      </c>
      <c r="M785" s="4">
        <f>MIN(MAX(M784*(1+MAX(MIN(((B785-B784)/B784)/($K$7*30),0),-卓尔金历!$M$43))+MIN(MAX(((B785-B784)/B784)/($K$7*7),0),卓尔金历!$M$43),0),1)</f>
        <v>0.88226496493017348</v>
      </c>
      <c r="N785">
        <f t="shared" si="63"/>
        <v>1.0093939237729492</v>
      </c>
      <c r="O785">
        <f t="shared" si="64"/>
        <v>1.0409025831027907</v>
      </c>
      <c r="P785">
        <f t="shared" si="65"/>
        <v>-1.2607003891050508E-2</v>
      </c>
      <c r="Q785">
        <f t="shared" si="66"/>
        <v>1.3432226405527567E-2</v>
      </c>
      <c r="R785">
        <f t="shared" si="67"/>
        <v>7.777528266520968E-2</v>
      </c>
      <c r="S785">
        <f t="shared" si="59"/>
        <v>1.0760698700479283</v>
      </c>
      <c r="T785" s="564">
        <f>IF((I785-MAX(I$470:I785))/MAX(I$470:I785)&gt;T784,T784,(I785-MAX(I$470:I785))/MAX(I$470:I785))</f>
        <v>-0.20309397941577614</v>
      </c>
      <c r="U785" s="564">
        <f>IF((J785-MAX(J$470:J785))/MAX(J$470:J785)&gt;U784,U784,(J785-MAX(J$470:J785))/MAX(J$470:J785))</f>
        <v>-0.40740740740740738</v>
      </c>
      <c r="V785" s="564">
        <f>IF((K785-MAX(K$470:K785))/MAX(K$470:K785)&gt;V784,V784,(K785-MAX(K$470:K785))/MAX(K$470:K785))</f>
        <v>-0.80725522782524772</v>
      </c>
      <c r="W785" s="564">
        <f>IF((N785-MAX(N$470:N785))/MAX(N$470:N785)&gt;W784,W784,(N785-MAX(N$470:N785))/MAX(N$470:N785))</f>
        <v>-0.18134066527213491</v>
      </c>
      <c r="X785" s="564">
        <f>IF((O785-MAX(O$470:O785))/MAX(O$470:O785)&gt;X784,X784,(O785-MAX(O$470:O785))/MAX(O$470:O785))</f>
        <v>-0.18208401334216873</v>
      </c>
    </row>
    <row r="786" spans="1:24">
      <c r="A786" s="799">
        <v>41188</v>
      </c>
      <c r="B786">
        <v>12.505000000000001</v>
      </c>
      <c r="C786">
        <v>14.937696000000001</v>
      </c>
      <c r="D786">
        <v>1.8611880000000001</v>
      </c>
      <c r="E786">
        <f>LN(D786/参数实验室!$E$53)/参数实验室!$E$55</f>
        <v>3.991210987793832E-2</v>
      </c>
      <c r="F786">
        <f t="shared" si="68"/>
        <v>1.1945378648540583</v>
      </c>
      <c r="G786">
        <f>LN(F786/参数实验室!$E$58)/参数实验室!$E$59</f>
        <v>-9.7232291892822884E-2</v>
      </c>
      <c r="H786" s="856">
        <f>INDEX(神经网络!$G$10:$BO$70,MATCH(ROUND(G786*2,1)/2,神经网络!$E$10:$E$70,0),MATCH(ROUND(E786*2,1)/2,神经网络!$G$8:$BO$8,0))</f>
        <v>9.8887901933420147E-2</v>
      </c>
      <c r="I786">
        <f t="shared" si="60"/>
        <v>1.0001479265971416</v>
      </c>
      <c r="J786">
        <f t="shared" si="61"/>
        <v>4.9898248274210983</v>
      </c>
      <c r="K786">
        <f t="shared" si="62"/>
        <v>0.20043748251460164</v>
      </c>
      <c r="L786" s="4">
        <f>MIN(MAX(L785*(1+MAX(MIN(((B786-B785)/B785)/($K$7*卓尔金历!$N$40),0),-卓尔金历!$M$43))+MIN(MAX(((B786-B785)/B785)/($K$7*卓尔金历!$N$40),0),卓尔金历!$M$43),0),1)</f>
        <v>0.59961003469344276</v>
      </c>
      <c r="M786" s="4">
        <f>MIN(MAX(M785*(1+MAX(MIN(((B786-B785)/B785)/($K$7*30),0),-卓尔金历!$M$43))+MIN(MAX(((B786-B785)/B785)/($K$7*7),0),卓尔金历!$M$43),0),1)</f>
        <v>0.78505225807116852</v>
      </c>
      <c r="N786">
        <f t="shared" si="63"/>
        <v>1.0082866817756697</v>
      </c>
      <c r="O786">
        <f t="shared" si="64"/>
        <v>1.0395927673708711</v>
      </c>
      <c r="P786">
        <f t="shared" si="65"/>
        <v>-1.4423076923076908E-2</v>
      </c>
      <c r="Q786">
        <f t="shared" si="66"/>
        <v>1.3976203612298368E-2</v>
      </c>
      <c r="R786">
        <f t="shared" si="67"/>
        <v>1.3009469289428487E-2</v>
      </c>
      <c r="S786">
        <f t="shared" si="59"/>
        <v>1.0759505033577086</v>
      </c>
      <c r="T786" s="564">
        <f>IF((I786-MAX(I$470:I786))/MAX(I$470:I786)&gt;T785,T785,(I786-MAX(I$470:I786))/MAX(I$470:I786))</f>
        <v>-0.20309397941577614</v>
      </c>
      <c r="U786" s="564">
        <f>IF((J786-MAX(J$470:J786))/MAX(J$470:J786)&gt;U785,U785,(J786-MAX(J$470:J786))/MAX(J$470:J786))</f>
        <v>-0.40740740740740738</v>
      </c>
      <c r="V786" s="564">
        <f>IF((K786-MAX(K$470:K786))/MAX(K$470:K786)&gt;V785,V785,(K786-MAX(K$470:K786))/MAX(K$470:K786))</f>
        <v>-0.80725522782524772</v>
      </c>
      <c r="W786" s="564">
        <f>IF((N786-MAX(N$470:N786))/MAX(N$470:N786)&gt;W785,W785,(N786-MAX(N$470:N786))/MAX(N$470:N786))</f>
        <v>-0.18134066527213491</v>
      </c>
      <c r="X786" s="564">
        <f>IF((O786-MAX(O$470:O786))/MAX(O$470:O786)&gt;X785,X785,(O786-MAX(O$470:O786))/MAX(O$470:O786))</f>
        <v>-0.18208401334216873</v>
      </c>
    </row>
    <row r="787" spans="1:24">
      <c r="A787" s="799">
        <v>41189</v>
      </c>
      <c r="B787">
        <v>11.8</v>
      </c>
      <c r="C787">
        <v>15.401875</v>
      </c>
      <c r="D787">
        <v>1.7687170000000001</v>
      </c>
      <c r="E787">
        <f>LN(D787/参数实验室!$E$53)/参数实验室!$E$55</f>
        <v>-2.02087861514679E-2</v>
      </c>
      <c r="F787">
        <f t="shared" si="68"/>
        <v>1.3052436440677966</v>
      </c>
      <c r="G787">
        <f>LN(F787/参数实验室!$E$58)/参数实验室!$E$59</f>
        <v>-5.0714301090292672E-2</v>
      </c>
      <c r="H787" s="856">
        <f>INDEX(神经网络!$G$10:$BO$70,MATCH(ROUND(G787*2,1)/2,神经网络!$E$10:$E$70,0),MATCH(ROUND(E787*2,1)/2,神经网络!$G$8:$BO$8,0))</f>
        <v>0.14419021982033148</v>
      </c>
      <c r="I787">
        <f t="shared" si="60"/>
        <v>0.99457205424932882</v>
      </c>
      <c r="J787">
        <f t="shared" si="61"/>
        <v>4.7085112325924801</v>
      </c>
      <c r="K787">
        <f t="shared" si="62"/>
        <v>0.21122856145374916</v>
      </c>
      <c r="L787" s="4">
        <f>MIN(MAX(L786*(1+MAX(MIN(((B787-B786)/B786)/($K$7*卓尔金历!$N$40),0),-卓尔金历!$M$43))+MIN(MAX(((B787-B786)/B786)/($K$7*卓尔金历!$N$40),0),卓尔金历!$M$43),0),1)</f>
        <v>8.3109956418818659E-2</v>
      </c>
      <c r="M787" s="4">
        <f>MIN(MAX(M786*(1+MAX(MIN(((B787-B786)/B786)/($K$7*30),0),-卓尔金历!$M$43))+MIN(MAX(((B787-B786)/B786)/($K$7*7),0),卓尔金历!$M$43),0),1)</f>
        <v>0.4469328727353854</v>
      </c>
      <c r="N787">
        <f t="shared" si="63"/>
        <v>1.0049161260892578</v>
      </c>
      <c r="O787">
        <f t="shared" si="64"/>
        <v>1.0350427778111106</v>
      </c>
      <c r="P787">
        <f t="shared" si="65"/>
        <v>-5.6377449020391844E-2</v>
      </c>
      <c r="Q787">
        <f t="shared" si="66"/>
        <v>1.8738053868360631E-2</v>
      </c>
      <c r="R787">
        <f t="shared" si="67"/>
        <v>0</v>
      </c>
      <c r="S787">
        <f t="shared" si="59"/>
        <v>1.0758724663771815</v>
      </c>
      <c r="T787" s="564">
        <f>IF((I787-MAX(I$470:I787))/MAX(I$470:I787)&gt;T786,T786,(I787-MAX(I$470:I787))/MAX(I$470:I787))</f>
        <v>-0.20585303541208905</v>
      </c>
      <c r="U787" s="564">
        <f>IF((J787-MAX(J$470:J787))/MAX(J$470:J787)&gt;U786,U786,(J787-MAX(J$470:J787))/MAX(J$470:J787))</f>
        <v>-0.40740740740740738</v>
      </c>
      <c r="V787" s="564">
        <f>IF((K787-MAX(K$470:K787))/MAX(K$470:K787)&gt;V786,V786,(K787-MAX(K$470:K787))/MAX(K$470:K787))</f>
        <v>-0.80725522782524772</v>
      </c>
      <c r="W787" s="564">
        <f>IF((N787-MAX(N$470:N787))/MAX(N$470:N787)&gt;W786,W786,(N787-MAX(N$470:N787))/MAX(N$470:N787))</f>
        <v>-0.18254565149101507</v>
      </c>
      <c r="X787" s="564">
        <f>IF((O787-MAX(O$470:O787))/MAX(O$470:O787)&gt;X786,X786,(O787-MAX(O$470:O787))/MAX(O$470:O787))</f>
        <v>-0.18394567428733935</v>
      </c>
    </row>
    <row r="788" spans="1:24">
      <c r="A788" s="799">
        <v>41190</v>
      </c>
      <c r="B788">
        <v>11.7781</v>
      </c>
      <c r="C788">
        <v>15.111985000000001</v>
      </c>
      <c r="D788">
        <v>1.7449319999999999</v>
      </c>
      <c r="E788">
        <f>LN(D788/参数实验室!$E$53)/参数实验室!$E$55</f>
        <v>-3.6181274883269554E-2</v>
      </c>
      <c r="F788">
        <f t="shared" si="68"/>
        <v>1.2830579635085455</v>
      </c>
      <c r="G788">
        <f>LN(F788/参数实验室!$E$58)/参数实验室!$E$59</f>
        <v>-5.9712115942945725E-2</v>
      </c>
      <c r="H788" s="856">
        <f>INDEX(神经网络!$G$10:$BO$70,MATCH(ROUND(G788*2,1)/2,神经网络!$E$10:$E$70,0),MATCH(ROUND(E788*2,1)/2,神经网络!$G$8:$BO$8,0))</f>
        <v>9.8821301391201308E-2</v>
      </c>
      <c r="I788">
        <f t="shared" si="60"/>
        <v>0.99430589953470738</v>
      </c>
      <c r="J788">
        <f t="shared" si="61"/>
        <v>4.6997725549658886</v>
      </c>
      <c r="K788">
        <f t="shared" si="62"/>
        <v>0.21156468486631352</v>
      </c>
      <c r="L788" s="4">
        <f>MIN(MAX(L787*(1+MAX(MIN(((B788-B787)/B787)/($K$7*卓尔金历!$N$40),0),-卓尔金历!$M$43))+MIN(MAX(((B788-B787)/B787)/($K$7*卓尔金历!$N$40),0),卓尔金历!$M$43),0),1)</f>
        <v>8.0753218765487064E-2</v>
      </c>
      <c r="M788" s="4">
        <f>MIN(MAX(M787*(1+MAX(MIN(((B788-B787)/B787)/($K$7*30),0),-卓尔金历!$M$43))+MIN(MAX(((B788-B787)/B787)/($K$7*7),0),卓尔金历!$M$43),0),1)</f>
        <v>0.44059606560015363</v>
      </c>
      <c r="N788">
        <f t="shared" si="63"/>
        <v>1.0048937759217946</v>
      </c>
      <c r="O788">
        <f t="shared" si="64"/>
        <v>1.0349189841207238</v>
      </c>
      <c r="P788">
        <f t="shared" si="65"/>
        <v>-1.8559322033898707E-3</v>
      </c>
      <c r="Q788">
        <f t="shared" si="66"/>
        <v>1.8737126639083918E-2</v>
      </c>
      <c r="R788">
        <f t="shared" si="67"/>
        <v>1</v>
      </c>
      <c r="S788">
        <f t="shared" si="59"/>
        <v>1.0758724663771815</v>
      </c>
      <c r="T788" s="564">
        <f>IF((I788-MAX(I$470:I788))/MAX(I$470:I788)&gt;T787,T787,(I788-MAX(I$470:I788))/MAX(I$470:I788))</f>
        <v>-0.20606555491515</v>
      </c>
      <c r="U788" s="564">
        <f>IF((J788-MAX(J$470:J788))/MAX(J$470:J788)&gt;U787,U787,(J788-MAX(J$470:J788))/MAX(J$470:J788))</f>
        <v>-0.40740740740740738</v>
      </c>
      <c r="V788" s="564">
        <f>IF((K788-MAX(K$470:K788))/MAX(K$470:K788)&gt;V787,V787,(K788-MAX(K$470:K788))/MAX(K$470:K788))</f>
        <v>-0.80725522782524772</v>
      </c>
      <c r="W788" s="564">
        <f>IF((N788-MAX(N$470:N788))/MAX(N$470:N788)&gt;W787,W787,(N788-MAX(N$470:N788))/MAX(N$470:N788))</f>
        <v>-0.18256383235318693</v>
      </c>
      <c r="X788" s="564">
        <f>IF((O788-MAX(O$470:O788))/MAX(O$470:O788)&gt;X787,X787,(O788-MAX(O$470:O788))/MAX(O$470:O788))</f>
        <v>-0.18404327641422899</v>
      </c>
    </row>
    <row r="789" spans="1:24">
      <c r="A789" s="799">
        <v>41191</v>
      </c>
      <c r="B789">
        <v>11.895</v>
      </c>
      <c r="C789">
        <v>15.31908</v>
      </c>
      <c r="D789">
        <v>1.759511</v>
      </c>
      <c r="E789">
        <f>LN(D789/参数实验室!$E$53)/参数实验室!$E$55</f>
        <v>-2.6365323093763247E-2</v>
      </c>
      <c r="F789">
        <f t="shared" si="68"/>
        <v>1.287858764186633</v>
      </c>
      <c r="G789">
        <f>LN(F789/参数实验室!$E$58)/参数实验室!$E$59</f>
        <v>-5.7751941544813272E-2</v>
      </c>
      <c r="H789" s="856">
        <f>INDEX(神经网络!$G$10:$BO$70,MATCH(ROUND(G789*2,1)/2,神经网络!$E$10:$E$70,0),MATCH(ROUND(E789*2,1)/2,神经网络!$G$8:$BO$8,0))</f>
        <v>9.8821301391201308E-2</v>
      </c>
      <c r="I789">
        <f t="shared" si="60"/>
        <v>0.99528113583661848</v>
      </c>
      <c r="J789">
        <f t="shared" si="61"/>
        <v>4.7464187382786056</v>
      </c>
      <c r="K789">
        <f t="shared" si="62"/>
        <v>0.209690967172774</v>
      </c>
      <c r="L789" s="4">
        <f>MIN(MAX(L788*(1+MAX(MIN(((B789-B788)/B788)/($K$7*卓尔金历!$N$40),0),-卓尔金历!$M$43))+MIN(MAX(((B789-B788)/B788)/($K$7*卓尔金历!$N$40),0),卓尔金历!$M$43),0),1)</f>
        <v>0.23240075270236821</v>
      </c>
      <c r="M789" s="4">
        <f>MIN(MAX(M788*(1+MAX(MIN(((B789-B788)/B788)/($K$7*30),0),-卓尔金历!$M$43))+MIN(MAX(((B789-B788)/B788)/($K$7*7),0),卓尔金历!$M$43),0),1)</f>
        <v>0.7655550668934703</v>
      </c>
      <c r="N789">
        <f t="shared" si="63"/>
        <v>1.0049733679993542</v>
      </c>
      <c r="O789">
        <f t="shared" si="64"/>
        <v>1.0353662201788099</v>
      </c>
      <c r="P789">
        <f t="shared" si="65"/>
        <v>9.9252001596182183E-3</v>
      </c>
      <c r="Q789">
        <f t="shared" si="66"/>
        <v>1.7625234940586952E-2</v>
      </c>
      <c r="R789">
        <f t="shared" si="67"/>
        <v>0.60375169438078391</v>
      </c>
      <c r="S789">
        <f t="shared" si="59"/>
        <v>1.0769277048967645</v>
      </c>
      <c r="T789" s="564">
        <f>IF((I789-MAX(I$470:I789))/MAX(I$470:I789)&gt;T788,T788,(I789-MAX(I$470:I789))/MAX(I$470:I789))</f>
        <v>-0.20606555491515</v>
      </c>
      <c r="U789" s="564">
        <f>IF((J789-MAX(J$470:J789))/MAX(J$470:J789)&gt;U788,U788,(J789-MAX(J$470:J789))/MAX(J$470:J789))</f>
        <v>-0.40740740740740738</v>
      </c>
      <c r="V789" s="564">
        <f>IF((K789-MAX(K$470:K789))/MAX(K$470:K789)&gt;V788,V788,(K789-MAX(K$470:K789))/MAX(K$470:K789))</f>
        <v>-0.80725522782524772</v>
      </c>
      <c r="W789" s="564">
        <f>IF((N789-MAX(N$470:N789))/MAX(N$470:N789)&gt;W788,W788,(N789-MAX(N$470:N789))/MAX(N$470:N789))</f>
        <v>-0.18256383235318693</v>
      </c>
      <c r="X789" s="564">
        <f>IF((O789-MAX(O$470:O789))/MAX(O$470:O789)&gt;X788,X788,(O789-MAX(O$470:O789))/MAX(O$470:O789))</f>
        <v>-0.18404327641422899</v>
      </c>
    </row>
    <row r="790" spans="1:24">
      <c r="A790" s="799">
        <v>41192</v>
      </c>
      <c r="B790">
        <v>12.12</v>
      </c>
      <c r="C790">
        <v>15.366823999999999</v>
      </c>
      <c r="D790">
        <v>1.798467</v>
      </c>
      <c r="E790">
        <f>LN(D790/参数实验室!$E$53)/参数实验室!$E$55</f>
        <v>-5.3025385755201178E-4</v>
      </c>
      <c r="F790">
        <f t="shared" si="68"/>
        <v>1.2678897689768978</v>
      </c>
      <c r="G790">
        <f>LN(F790/参数实验室!$E$58)/参数实验室!$E$59</f>
        <v>-6.5953860492393782E-2</v>
      </c>
      <c r="H790" s="856">
        <f>INDEX(神经网络!$G$10:$BO$70,MATCH(ROUND(G790*2,1)/2,神经网络!$E$10:$E$70,0),MATCH(ROUND(E790*2,1)/2,神经网络!$G$8:$BO$8,0))</f>
        <v>0.14419021982033148</v>
      </c>
      <c r="I790">
        <f t="shared" si="60"/>
        <v>0.99714157046007668</v>
      </c>
      <c r="J790">
        <f t="shared" si="61"/>
        <v>4.8361996727983767</v>
      </c>
      <c r="K790">
        <f t="shared" si="62"/>
        <v>0.20618287869059371</v>
      </c>
      <c r="L790" s="4">
        <f>MIN(MAX(L789*(1+MAX(MIN(((B790-B789)/B789)/($K$7*卓尔金历!$N$40),0),-卓尔金历!$M$43))+MIN(MAX(((B790-B789)/B789)/($K$7*卓尔金历!$N$40),0),卓尔金历!$M$43),0),1)</f>
        <v>0.52141160462773539</v>
      </c>
      <c r="M790" s="4">
        <f>MIN(MAX(M789*(1+MAX(MIN(((B790-B789)/B789)/($K$7*30),0),-卓尔金历!$M$43))+MIN(MAX(((B790-B789)/B789)/($K$7*7),0),卓尔金历!$M$43),0),1)</f>
        <v>1</v>
      </c>
      <c r="N790">
        <f t="shared" si="63"/>
        <v>1.0054099448704028</v>
      </c>
      <c r="O790">
        <f t="shared" si="64"/>
        <v>1.0368478478059155</v>
      </c>
      <c r="P790">
        <f t="shared" si="65"/>
        <v>1.8915510718789379E-2</v>
      </c>
      <c r="Q790">
        <f t="shared" si="66"/>
        <v>1.7137139863373344E-2</v>
      </c>
      <c r="R790">
        <f t="shared" si="67"/>
        <v>1.588502096979047E-2</v>
      </c>
      <c r="S790">
        <f t="shared" si="59"/>
        <v>1.0781430890035031</v>
      </c>
      <c r="T790" s="564">
        <f>IF((I790-MAX(I$470:I790))/MAX(I$470:I790)&gt;T789,T789,(I790-MAX(I$470:I790))/MAX(I$470:I790))</f>
        <v>-0.20606555491515</v>
      </c>
      <c r="U790" s="564">
        <f>IF((J790-MAX(J$470:J790))/MAX(J$470:J790)&gt;U789,U789,(J790-MAX(J$470:J790))/MAX(J$470:J790))</f>
        <v>-0.40740740740740738</v>
      </c>
      <c r="V790" s="564">
        <f>IF((K790-MAX(K$470:K790))/MAX(K$470:K790)&gt;V789,V789,(K790-MAX(K$470:K790))/MAX(K$470:K790))</f>
        <v>-0.80725522782524772</v>
      </c>
      <c r="W790" s="564">
        <f>IF((N790-MAX(N$470:N790))/MAX(N$470:N790)&gt;W789,W789,(N790-MAX(N$470:N790))/MAX(N$470:N790))</f>
        <v>-0.18256383235318693</v>
      </c>
      <c r="X790" s="564">
        <f>IF((O790-MAX(O$470:O790))/MAX(O$470:O790)&gt;X789,X789,(O790-MAX(O$470:O790))/MAX(O$470:O790))</f>
        <v>-0.18404327641422899</v>
      </c>
    </row>
    <row r="791" spans="1:24">
      <c r="A791" s="799">
        <v>41193</v>
      </c>
      <c r="B791">
        <v>12.03</v>
      </c>
      <c r="C791">
        <v>15.473554999999999</v>
      </c>
      <c r="D791">
        <v>1.790783</v>
      </c>
      <c r="E791">
        <f>LN(D791/参数实验室!$E$53)/参数实验室!$E$55</f>
        <v>-5.5815808901728886E-3</v>
      </c>
      <c r="F791">
        <f t="shared" si="68"/>
        <v>1.2862472984206152</v>
      </c>
      <c r="G791">
        <f>LN(F791/参数实验室!$E$58)/参数实验室!$E$59</f>
        <v>-5.8409089628460302E-2</v>
      </c>
      <c r="H791" s="856">
        <f>INDEX(神经网络!$G$10:$BO$70,MATCH(ROUND(G791*2,1)/2,神经网络!$E$10:$E$70,0),MATCH(ROUND(E791*2,1)/2,神经网络!$G$8:$BO$8,0))</f>
        <v>0.14419021982033148</v>
      </c>
      <c r="I791">
        <f t="shared" si="60"/>
        <v>0.99607391158208192</v>
      </c>
      <c r="J791">
        <f t="shared" si="61"/>
        <v>4.8002872989904679</v>
      </c>
      <c r="K791">
        <f t="shared" si="62"/>
        <v>0.20750297837205761</v>
      </c>
      <c r="L791" s="4">
        <f>MIN(MAX(L790*(1+MAX(MIN(((B791-B790)/B790)/($K$7*卓尔金历!$N$40),0),-卓尔金历!$M$43))+MIN(MAX(((B791-B790)/B790)/($K$7*卓尔金历!$N$40),0),卓尔金历!$M$43),0),1)</f>
        <v>0.46225317177556363</v>
      </c>
      <c r="M791" s="4">
        <f>MIN(MAX(M790*(1+MAX(MIN(((B791-B790)/B790)/($K$7*30),0),-卓尔金历!$M$43))+MIN(MAX(((B791-B790)/B790)/($K$7*7),0),卓尔金历!$M$43),0),1)</f>
        <v>0.94327088970870887</v>
      </c>
      <c r="N791">
        <f t="shared" si="63"/>
        <v>1.0048486390276883</v>
      </c>
      <c r="O791">
        <f t="shared" si="64"/>
        <v>1.0357376746443161</v>
      </c>
      <c r="P791">
        <f t="shared" si="65"/>
        <v>-7.4257425742574141E-3</v>
      </c>
      <c r="Q791">
        <f t="shared" si="66"/>
        <v>1.6516436163360206E-2</v>
      </c>
      <c r="R791">
        <f t="shared" si="67"/>
        <v>0.83023995299802267</v>
      </c>
      <c r="S791">
        <f t="shared" ref="S791:S854" si="69">S790*(1+(B791-B790)/B790*H790*R790)</f>
        <v>1.0781247515135302</v>
      </c>
      <c r="T791" s="564">
        <f>IF((I791-MAX(I$470:I791))/MAX(I$470:I791)&gt;T790,T790,(I791-MAX(I$470:I791))/MAX(I$470:I791))</f>
        <v>-0.20606555491515</v>
      </c>
      <c r="U791" s="564">
        <f>IF((J791-MAX(J$470:J791))/MAX(J$470:J791)&gt;U790,U790,(J791-MAX(J$470:J791))/MAX(J$470:J791))</f>
        <v>-0.40740740740740738</v>
      </c>
      <c r="V791" s="564">
        <f>IF((K791-MAX(K$470:K791))/MAX(K$470:K791)&gt;V790,V790,(K791-MAX(K$470:K791))/MAX(K$470:K791))</f>
        <v>-0.80725522782524772</v>
      </c>
      <c r="W791" s="564">
        <f>IF((N791-MAX(N$470:N791))/MAX(N$470:N791)&gt;W790,W790,(N791-MAX(N$470:N791))/MAX(N$470:N791))</f>
        <v>-0.1826005491989092</v>
      </c>
      <c r="X791" s="564">
        <f>IF((O791-MAX(O$470:O791))/MAX(O$470:O791)&gt;X790,X790,(O791-MAX(O$470:O791))/MAX(O$470:O791))</f>
        <v>-0.18404327641422899</v>
      </c>
    </row>
    <row r="792" spans="1:24">
      <c r="A792" s="799">
        <v>41194</v>
      </c>
      <c r="B792">
        <v>12</v>
      </c>
      <c r="C792">
        <v>15.573536000000001</v>
      </c>
      <c r="D792">
        <v>1.7833829999999999</v>
      </c>
      <c r="E792">
        <f>LN(D792/参数实验室!$E$53)/参数实验室!$E$55</f>
        <v>-1.0466740941335092E-2</v>
      </c>
      <c r="F792">
        <f t="shared" si="68"/>
        <v>1.2977946666666667</v>
      </c>
      <c r="G792">
        <f>LN(F792/参数实验室!$E$58)/参数实验室!$E$59</f>
        <v>-5.3718203539015297E-2</v>
      </c>
      <c r="H792" s="856">
        <f>INDEX(神经网络!$G$10:$BO$70,MATCH(ROUND(G792*2,1)/2,神经网络!$E$10:$E$70,0),MATCH(ROUND(E792*2,1)/2,神经网络!$G$8:$BO$8,0))</f>
        <v>0.14419021982033148</v>
      </c>
      <c r="I792">
        <f t="shared" ref="I792:I855" si="70">I791*(1+(B792-B791)/B791*H791)</f>
        <v>0.9957157467036073</v>
      </c>
      <c r="J792">
        <f t="shared" ref="J792:J855" si="71">J791*B792/B791</f>
        <v>4.7883165077211647</v>
      </c>
      <c r="K792">
        <f t="shared" ref="K792:K855" si="72">I792/J792</f>
        <v>0.20794693606782566</v>
      </c>
      <c r="L792" s="4">
        <f>MIN(MAX(L791*(1+MAX(MIN(((B792-B791)/B791)/($K$7*卓尔金历!$N$40),0),-卓尔金历!$M$43))+MIN(MAX(((B792-B791)/B791)/($K$7*卓尔金历!$N$40),0),卓尔金历!$M$43),0),1)</f>
        <v>0.44464024191634755</v>
      </c>
      <c r="M792" s="4">
        <f>MIN(MAX(M791*(1+MAX(MIN(((B792-B791)/B791)/($K$7*30),0),-卓尔金历!$M$43))+MIN(MAX(((B792-B791)/B791)/($K$7*7),0),卓尔金历!$M$43),0),1)</f>
        <v>0.9253004732431338</v>
      </c>
      <c r="N792">
        <f t="shared" ref="N792:N855" si="73">N791*(1+(B792-B791)/B791*H791*L791)</f>
        <v>1.0046816176815208</v>
      </c>
      <c r="O792">
        <f t="shared" ref="O792:O855" si="74">O791*(1+(B792-B791)/B791*H791*M791)</f>
        <v>1.0353863750590775</v>
      </c>
      <c r="P792">
        <f t="shared" ref="P792:P855" si="75">(B792-B791)/B791</f>
        <v>-2.4937655860348597E-3</v>
      </c>
      <c r="Q792">
        <f t="shared" si="66"/>
        <v>1.6425988134362534E-2</v>
      </c>
      <c r="R792">
        <f t="shared" si="67"/>
        <v>1</v>
      </c>
      <c r="S792">
        <f t="shared" si="69"/>
        <v>1.0778028936851434</v>
      </c>
      <c r="T792" s="564">
        <f>IF((I792-MAX(I$470:I792))/MAX(I$470:I792)&gt;T791,T791,(I792-MAX(I$470:I792))/MAX(I$470:I792))</f>
        <v>-0.20606555491515</v>
      </c>
      <c r="U792" s="564">
        <f>IF((J792-MAX(J$470:J792))/MAX(J$470:J792)&gt;U791,U791,(J792-MAX(J$470:J792))/MAX(J$470:J792))</f>
        <v>-0.40740740740740738</v>
      </c>
      <c r="V792" s="564">
        <f>IF((K792-MAX(K$470:K792))/MAX(K$470:K792)&gt;V791,V791,(K792-MAX(K$470:K792))/MAX(K$470:K792))</f>
        <v>-0.80725522782524772</v>
      </c>
      <c r="W792" s="564">
        <f>IF((N792-MAX(N$470:N792))/MAX(N$470:N792)&gt;W791,W791,(N792-MAX(N$470:N792))/MAX(N$470:N792))</f>
        <v>-0.18273641359811013</v>
      </c>
      <c r="X792" s="564">
        <f>IF((O792-MAX(O$470:O792))/MAX(O$470:O792)&gt;X791,X791,(O792-MAX(O$470:O792))/MAX(O$470:O792))</f>
        <v>-0.18404327641422899</v>
      </c>
    </row>
    <row r="793" spans="1:24">
      <c r="A793" s="799">
        <v>41195</v>
      </c>
      <c r="B793">
        <v>11.861000000000001</v>
      </c>
      <c r="C793">
        <v>15.4255</v>
      </c>
      <c r="D793">
        <v>1.7677860000000001</v>
      </c>
      <c r="E793">
        <f>LN(D793/参数实验室!$E$53)/参数实验室!$E$55</f>
        <v>-2.0829936647034333E-2</v>
      </c>
      <c r="F793">
        <f t="shared" si="68"/>
        <v>1.3005227215243234</v>
      </c>
      <c r="G793">
        <f>LN(F793/参数实验室!$E$58)/参数实验室!$E$59</f>
        <v>-5.2616081716310846E-2</v>
      </c>
      <c r="H793" s="856">
        <f>INDEX(神经网络!$G$10:$BO$70,MATCH(ROUND(G793*2,1)/2,神经网络!$E$10:$E$70,0),MATCH(ROUND(E793*2,1)/2,神经网络!$G$8:$BO$8,0))</f>
        <v>0.14419021982033148</v>
      </c>
      <c r="I793">
        <f t="shared" si="70"/>
        <v>0.99405269889835646</v>
      </c>
      <c r="J793">
        <f t="shared" si="71"/>
        <v>4.7328518415067284</v>
      </c>
      <c r="K793">
        <f t="shared" si="72"/>
        <v>0.21003249883729605</v>
      </c>
      <c r="L793" s="4">
        <f>MIN(MAX(L792*(1+MAX(MIN(((B793-B792)/B792)/($K$7*卓尔金历!$N$40),0),-卓尔金历!$M$43))+MIN(MAX(((B793-B792)/B792)/($K$7*卓尔金历!$N$40),0),卓尔金历!$M$43),0),1)</f>
        <v>0.36594682585006227</v>
      </c>
      <c r="M793" s="4">
        <f>MIN(MAX(M792*(1+MAX(MIN(((B793-B792)/B792)/($K$7*30),0),-卓尔金历!$M$43))+MIN(MAX(((B793-B792)/B792)/($K$7*7),0),卓尔金历!$M$43),0),1)</f>
        <v>0.84341960837423635</v>
      </c>
      <c r="N793">
        <f t="shared" si="73"/>
        <v>1.0039355012919273</v>
      </c>
      <c r="O793">
        <f t="shared" si="74"/>
        <v>1.0337862475628581</v>
      </c>
      <c r="P793">
        <f t="shared" si="75"/>
        <v>-1.1583333333333279E-2</v>
      </c>
      <c r="Q793">
        <f t="shared" si="66"/>
        <v>1.6455752000746164E-2</v>
      </c>
      <c r="R793">
        <f t="shared" si="67"/>
        <v>0.37330107911430943</v>
      </c>
      <c r="S793">
        <f t="shared" si="69"/>
        <v>1.0760027436495834</v>
      </c>
      <c r="T793" s="564">
        <f>IF((I793-MAX(I$470:I793))/MAX(I$470:I793)&gt;T792,T792,(I793-MAX(I$470:I793))/MAX(I$470:I793))</f>
        <v>-0.20626773083184774</v>
      </c>
      <c r="U793" s="564">
        <f>IF((J793-MAX(J$470:J793))/MAX(J$470:J793)&gt;U792,U792,(J793-MAX(J$470:J793))/MAX(J$470:J793))</f>
        <v>-0.40740740740740738</v>
      </c>
      <c r="V793" s="564">
        <f>IF((K793-MAX(K$470:K793))/MAX(K$470:K793)&gt;V792,V792,(K793-MAX(K$470:K793))/MAX(K$470:K793))</f>
        <v>-0.80725522782524772</v>
      </c>
      <c r="W793" s="564">
        <f>IF((N793-MAX(N$470:N793))/MAX(N$470:N793)&gt;W792,W792,(N793-MAX(N$470:N793))/MAX(N$470:N793))</f>
        <v>-0.18334334592940879</v>
      </c>
      <c r="X793" s="564">
        <f>IF((O793-MAX(O$470:O793))/MAX(O$470:O793)&gt;X792,X792,(O793-MAX(O$470:O793))/MAX(O$470:O793))</f>
        <v>-0.18493635502678069</v>
      </c>
    </row>
    <row r="794" spans="1:24">
      <c r="A794" s="799">
        <v>41196</v>
      </c>
      <c r="B794">
        <v>11.738899999999999</v>
      </c>
      <c r="C794">
        <v>15.822487000000001</v>
      </c>
      <c r="D794">
        <v>1.726248</v>
      </c>
      <c r="E794">
        <f>LN(D794/参数实验室!$E$53)/参数实验室!$E$55</f>
        <v>-4.8881695195300133E-2</v>
      </c>
      <c r="F794">
        <f t="shared" si="68"/>
        <v>1.3478679433337026</v>
      </c>
      <c r="G794">
        <f>LN(F794/参数实验室!$E$58)/参数实验室!$E$59</f>
        <v>-3.3848473829988623E-2</v>
      </c>
      <c r="H794" s="856">
        <f>INDEX(神经网络!$G$10:$BO$70,MATCH(ROUND(G794*2,1)/2,神经网络!$E$10:$E$70,0),MATCH(ROUND(E794*2,1)/2,神经网络!$G$8:$BO$8,0))</f>
        <v>9.8821301391201308E-2</v>
      </c>
      <c r="I794">
        <f t="shared" si="70"/>
        <v>0.99257719768580199</v>
      </c>
      <c r="J794">
        <f t="shared" si="71"/>
        <v>4.6841307210406651</v>
      </c>
      <c r="K794">
        <f t="shared" si="72"/>
        <v>0.21190211307025242</v>
      </c>
      <c r="L794" s="4">
        <f>MIN(MAX(L793*(1+MAX(MIN(((B794-B793)/B793)/($K$7*卓尔金历!$N$40),0),-卓尔金历!$M$43))+MIN(MAX(((B794-B793)/B793)/($K$7*卓尔金历!$N$40),0),卓尔金历!$M$43),0),1)</f>
        <v>0.30838846454699498</v>
      </c>
      <c r="M794" s="4">
        <f>MIN(MAX(M793*(1+MAX(MIN(((B794-B793)/B793)/($K$7*30),0),-卓尔金历!$M$43))+MIN(MAX(((B794-B793)/B793)/($K$7*7),0),卓尔金历!$M$43),0),1)</f>
        <v>0.77709050381631584</v>
      </c>
      <c r="N794">
        <f t="shared" si="73"/>
        <v>1.0033901781119641</v>
      </c>
      <c r="O794">
        <f t="shared" si="74"/>
        <v>1.0324920379955398</v>
      </c>
      <c r="P794">
        <f t="shared" si="75"/>
        <v>-1.0294241632240235E-2</v>
      </c>
      <c r="Q794">
        <f t="shared" si="66"/>
        <v>1.6560538265269188E-2</v>
      </c>
      <c r="R794">
        <f t="shared" si="67"/>
        <v>0.49971741976411505</v>
      </c>
      <c r="S794">
        <f t="shared" si="69"/>
        <v>1.0754065288034609</v>
      </c>
      <c r="T794" s="564">
        <f>IF((I794-MAX(I$470:I794))/MAX(I$470:I794)&gt;T793,T793,(I794-MAX(I$470:I794))/MAX(I$470:I794))</f>
        <v>-0.20744589062850552</v>
      </c>
      <c r="U794" s="564">
        <f>IF((J794-MAX(J$470:J794))/MAX(J$470:J794)&gt;U793,U793,(J794-MAX(J$470:J794))/MAX(J$470:J794))</f>
        <v>-0.40740740740740738</v>
      </c>
      <c r="V794" s="564">
        <f>IF((K794-MAX(K$470:K794))/MAX(K$470:K794)&gt;V793,V793,(K794-MAX(K$470:K794))/MAX(K$470:K794))</f>
        <v>-0.80725522782524772</v>
      </c>
      <c r="W794" s="564">
        <f>IF((N794-MAX(N$470:N794))/MAX(N$470:N794)&gt;W793,W793,(N794-MAX(N$470:N794))/MAX(N$470:N794))</f>
        <v>-0.18378694196019249</v>
      </c>
      <c r="X794" s="564">
        <f>IF((O794-MAX(O$470:O794))/MAX(O$470:O794)&gt;X793,X793,(O794-MAX(O$470:O794))/MAX(O$470:O794))</f>
        <v>-0.18595674310969867</v>
      </c>
    </row>
    <row r="795" spans="1:24">
      <c r="A795" s="799">
        <v>41197</v>
      </c>
      <c r="B795">
        <v>11.838100000000001</v>
      </c>
      <c r="C795">
        <v>15.603785</v>
      </c>
      <c r="D795">
        <v>1.7617929999999999</v>
      </c>
      <c r="E795">
        <f>LN(D795/参数实验室!$E$53)/参数实验室!$E$55</f>
        <v>-2.4836232007262149E-2</v>
      </c>
      <c r="F795">
        <f t="shared" si="68"/>
        <v>1.3180987658492493</v>
      </c>
      <c r="G795">
        <f>LN(F795/参数实验室!$E$58)/参数实验室!$E$59</f>
        <v>-4.5570392600256429E-2</v>
      </c>
      <c r="H795" s="856">
        <f>INDEX(神经网络!$G$10:$BO$70,MATCH(ROUND(G795*2,1)/2,神经网络!$E$10:$E$70,0),MATCH(ROUND(E795*2,1)/2,神经网络!$G$8:$BO$8,0))</f>
        <v>0.14419021982033148</v>
      </c>
      <c r="I795">
        <f t="shared" si="70"/>
        <v>0.9934060919454285</v>
      </c>
      <c r="J795">
        <f t="shared" si="71"/>
        <v>4.7237141375044933</v>
      </c>
      <c r="K795">
        <f t="shared" si="72"/>
        <v>0.21030190714932601</v>
      </c>
      <c r="L795" s="4">
        <f>MIN(MAX(L794*(1+MAX(MIN(((B795-B794)/B794)/($K$7*卓尔金历!$N$40),0),-卓尔金历!$M$43))+MIN(MAX(((B795-B794)/B794)/($K$7*卓尔金历!$N$40),0),卓尔金历!$M$43),0),1)</f>
        <v>0.43750454909336389</v>
      </c>
      <c r="M795" s="4">
        <f>MIN(MAX(M794*(1+MAX(MIN(((B795-B794)/B794)/($K$7*30),0),-卓尔金历!$M$43))+MIN(MAX(((B795-B794)/B794)/($K$7*7),0),卓尔金历!$M$43),0),1)</f>
        <v>1</v>
      </c>
      <c r="N795">
        <f t="shared" si="73"/>
        <v>1.0036485842397354</v>
      </c>
      <c r="O795">
        <f t="shared" si="74"/>
        <v>1.03316206630288</v>
      </c>
      <c r="P795">
        <f t="shared" si="75"/>
        <v>8.4505362512672828E-3</v>
      </c>
      <c r="Q795">
        <f t="shared" si="66"/>
        <v>1.6638313929861318E-2</v>
      </c>
      <c r="R795">
        <f t="shared" si="67"/>
        <v>0.70525814485287242</v>
      </c>
      <c r="S795">
        <f t="shared" si="69"/>
        <v>1.0758553072548922</v>
      </c>
      <c r="T795" s="564">
        <f>IF((I795-MAX(I$470:I795))/MAX(I$470:I795)&gt;T794,T794,(I795-MAX(I$470:I795))/MAX(I$470:I795))</f>
        <v>-0.20744589062850552</v>
      </c>
      <c r="U795" s="564">
        <f>IF((J795-MAX(J$470:J795))/MAX(J$470:J795)&gt;U794,U794,(J795-MAX(J$470:J795))/MAX(J$470:J795))</f>
        <v>-0.40740740740740738</v>
      </c>
      <c r="V795" s="564">
        <f>IF((K795-MAX(K$470:K795))/MAX(K$470:K795)&gt;V794,V794,(K795-MAX(K$470:K795))/MAX(K$470:K795))</f>
        <v>-0.80725522782524772</v>
      </c>
      <c r="W795" s="564">
        <f>IF((N795-MAX(N$470:N795))/MAX(N$470:N795)&gt;W794,W794,(N795-MAX(N$470:N795))/MAX(N$470:N795))</f>
        <v>-0.18378694196019249</v>
      </c>
      <c r="X795" s="564">
        <f>IF((O795-MAX(O$470:O795))/MAX(O$470:O795)&gt;X794,X794,(O795-MAX(O$470:O795))/MAX(O$470:O795))</f>
        <v>-0.18595674310969867</v>
      </c>
    </row>
    <row r="796" spans="1:24">
      <c r="A796" s="799">
        <v>41198</v>
      </c>
      <c r="B796">
        <v>11.8499</v>
      </c>
      <c r="C796">
        <v>15.705995</v>
      </c>
      <c r="D796">
        <v>1.750796</v>
      </c>
      <c r="E796">
        <f>LN(D796/参数实验室!$E$53)/参数实验室!$E$55</f>
        <v>-3.2223255545583217E-2</v>
      </c>
      <c r="F796">
        <f t="shared" si="68"/>
        <v>1.3254116068490029</v>
      </c>
      <c r="G796">
        <f>LN(F796/参数实验室!$E$58)/参数实验室!$E$59</f>
        <v>-4.2666538697872305E-2</v>
      </c>
      <c r="H796" s="856">
        <f>INDEX(神经网络!$G$10:$BO$70,MATCH(ROUND(G796*2,1)/2,神经网络!$E$10:$E$70,0),MATCH(ROUND(E796*2,1)/2,神经网络!$G$8:$BO$8,0))</f>
        <v>9.8821301391201308E-2</v>
      </c>
      <c r="I796">
        <f t="shared" si="70"/>
        <v>0.99354887038324102</v>
      </c>
      <c r="J796">
        <f t="shared" si="71"/>
        <v>4.7284226487370855</v>
      </c>
      <c r="K796">
        <f t="shared" si="72"/>
        <v>0.21012268661064129</v>
      </c>
      <c r="L796" s="4">
        <f>MIN(MAX(L795*(1+MAX(MIN(((B796-B795)/B795)/($K$7*卓尔金历!$N$40),0),-卓尔金历!$M$43))+MIN(MAX(((B796-B795)/B795)/($K$7*卓尔金历!$N$40),0),卓尔金历!$M$43),0),1)</f>
        <v>0.45273441506738699</v>
      </c>
      <c r="M796" s="4">
        <f>MIN(MAX(M795*(1+MAX(MIN(((B796-B795)/B795)/($K$7*30),0),-卓尔金历!$M$43))+MIN(MAX(((B796-B795)/B795)/($K$7*7),0),卓尔金历!$M$43),0),1)</f>
        <v>1</v>
      </c>
      <c r="N796">
        <f t="shared" si="73"/>
        <v>1.0037116945123772</v>
      </c>
      <c r="O796">
        <f t="shared" si="74"/>
        <v>1.0333105587140197</v>
      </c>
      <c r="P796">
        <f t="shared" si="75"/>
        <v>9.9678157812479562E-4</v>
      </c>
      <c r="Q796">
        <f t="shared" si="66"/>
        <v>1.6525934880391929E-2</v>
      </c>
      <c r="R796">
        <f t="shared" si="67"/>
        <v>1</v>
      </c>
      <c r="S796">
        <f t="shared" si="69"/>
        <v>1.0759643602967381</v>
      </c>
      <c r="T796" s="564">
        <f>IF((I796-MAX(I$470:I796))/MAX(I$470:I796)&gt;T795,T795,(I796-MAX(I$470:I796))/MAX(I$470:I796))</f>
        <v>-0.20744589062850552</v>
      </c>
      <c r="U796" s="564">
        <f>IF((J796-MAX(J$470:J796))/MAX(J$470:J796)&gt;U795,U795,(J796-MAX(J$470:J796))/MAX(J$470:J796))</f>
        <v>-0.40740740740740738</v>
      </c>
      <c r="V796" s="564">
        <f>IF((K796-MAX(K$470:K796))/MAX(K$470:K796)&gt;V795,V795,(K796-MAX(K$470:K796))/MAX(K$470:K796))</f>
        <v>-0.80725522782524772</v>
      </c>
      <c r="W796" s="564">
        <f>IF((N796-MAX(N$470:N796))/MAX(N$470:N796)&gt;W795,W795,(N796-MAX(N$470:N796))/MAX(N$470:N796))</f>
        <v>-0.18378694196019249</v>
      </c>
      <c r="X796" s="564">
        <f>IF((O796-MAX(O$470:O796))/MAX(O$470:O796)&gt;X795,X795,(O796-MAX(O$470:O796))/MAX(O$470:O796))</f>
        <v>-0.18595674310969867</v>
      </c>
    </row>
    <row r="797" spans="1:24">
      <c r="A797" s="799">
        <v>41199</v>
      </c>
      <c r="B797">
        <v>11.81</v>
      </c>
      <c r="C797">
        <v>16.01839</v>
      </c>
      <c r="D797">
        <v>1.7561610000000001</v>
      </c>
      <c r="E797">
        <f>LN(D797/参数实验室!$E$53)/参数实验室!$E$55</f>
        <v>-2.8613641232351293E-2</v>
      </c>
      <c r="F797">
        <f t="shared" si="68"/>
        <v>1.3563412362404741</v>
      </c>
      <c r="G797">
        <f>LN(F797/参数实验室!$E$58)/参数实验室!$E$59</f>
        <v>-3.0559337302843971E-2</v>
      </c>
      <c r="H797" s="856">
        <f>INDEX(神经网络!$G$10:$BO$70,MATCH(ROUND(G797*2,1)/2,神经网络!$E$10:$E$70,0),MATCH(ROUND(E797*2,1)/2,神经网络!$G$8:$BO$8,0))</f>
        <v>9.8821301391201308E-2</v>
      </c>
      <c r="I797">
        <f t="shared" si="70"/>
        <v>0.99321827406466912</v>
      </c>
      <c r="J797">
        <f t="shared" si="71"/>
        <v>4.7125014963489127</v>
      </c>
      <c r="K797">
        <f t="shared" si="72"/>
        <v>0.21076243155236793</v>
      </c>
      <c r="L797" s="4">
        <f>MIN(MAX(L796*(1+MAX(MIN(((B797-B796)/B796)/($K$7*卓尔金历!$N$40),0),-卓尔金历!$M$43))+MIN(MAX(((B797-B796)/B796)/($K$7*卓尔金历!$N$40),0),卓尔金历!$M$43),0),1)</f>
        <v>0.42944289687061421</v>
      </c>
      <c r="M797" s="4">
        <f>MIN(MAX(M796*(1+MAX(MIN(((B797-B796)/B796)/($K$7*30),0),-卓尔金历!$M$43))+MIN(MAX(((B797-B796)/B796)/($K$7*7),0),卓尔金历!$M$43),0),1)</f>
        <v>0.97427684154151839</v>
      </c>
      <c r="N797">
        <f t="shared" si="73"/>
        <v>1.0035604912114027</v>
      </c>
      <c r="O797">
        <f t="shared" si="74"/>
        <v>1.0329667319765181</v>
      </c>
      <c r="P797">
        <f t="shared" si="75"/>
        <v>-3.3671170220845223E-3</v>
      </c>
      <c r="Q797">
        <f t="shared" si="66"/>
        <v>1.6451204357231023E-2</v>
      </c>
      <c r="R797">
        <f t="shared" si="67"/>
        <v>1</v>
      </c>
      <c r="S797">
        <f t="shared" si="69"/>
        <v>1.0756063408101966</v>
      </c>
      <c r="T797" s="564">
        <f>IF((I797-MAX(I$470:I797))/MAX(I$470:I797)&gt;T796,T796,(I797-MAX(I$470:I797))/MAX(I$470:I797))</f>
        <v>-0.20744589062850552</v>
      </c>
      <c r="U797" s="564">
        <f>IF((J797-MAX(J$470:J797))/MAX(J$470:J797)&gt;U796,U796,(J797-MAX(J$470:J797))/MAX(J$470:J797))</f>
        <v>-0.40740740740740738</v>
      </c>
      <c r="V797" s="564">
        <f>IF((K797-MAX(K$470:K797))/MAX(K$470:K797)&gt;V796,V796,(K797-MAX(K$470:K797))/MAX(K$470:K797))</f>
        <v>-0.80725522782524772</v>
      </c>
      <c r="W797" s="564">
        <f>IF((N797-MAX(N$470:N797))/MAX(N$470:N797)&gt;W796,W796,(N797-MAX(N$470:N797))/MAX(N$470:N797))</f>
        <v>-0.18378694196019249</v>
      </c>
      <c r="X797" s="564">
        <f>IF((O797-MAX(O$470:O797))/MAX(O$470:O797)&gt;X796,X796,(O797-MAX(O$470:O797))/MAX(O$470:O797))</f>
        <v>-0.18595674310969867</v>
      </c>
    </row>
    <row r="798" spans="1:24">
      <c r="A798" s="799">
        <v>41200</v>
      </c>
      <c r="B798">
        <v>11.9398</v>
      </c>
      <c r="C798">
        <v>16.167601999999999</v>
      </c>
      <c r="D798">
        <v>1.7547379999999999</v>
      </c>
      <c r="E798">
        <f>LN(D798/参数实验室!$E$53)/参数实验室!$E$55</f>
        <v>-2.9569971196899195E-2</v>
      </c>
      <c r="F798">
        <f t="shared" si="68"/>
        <v>1.354093200891137</v>
      </c>
      <c r="G798">
        <f>LN(F798/参数实验室!$E$58)/参数实验室!$E$59</f>
        <v>-3.1429965786954867E-2</v>
      </c>
      <c r="H798" s="856">
        <f>INDEX(神经网络!$G$10:$BO$70,MATCH(ROUND(G798*2,1)/2,神经网络!$E$10:$E$70,0),MATCH(ROUND(E798*2,1)/2,神经网络!$G$8:$BO$8,0))</f>
        <v>9.8821301391201308E-2</v>
      </c>
      <c r="I798">
        <f t="shared" si="70"/>
        <v>0.99429702221781358</v>
      </c>
      <c r="J798">
        <f t="shared" si="71"/>
        <v>4.7642951199074295</v>
      </c>
      <c r="K798">
        <f t="shared" si="72"/>
        <v>0.20869761364344969</v>
      </c>
      <c r="L798" s="4">
        <f>MIN(MAX(L797*(1+MAX(MIN(((B798-B797)/B797)/($K$7*卓尔金历!$N$40),0),-卓尔金历!$M$43))+MIN(MAX(((B798-B797)/B797)/($K$7*卓尔金历!$N$40),0),卓尔金历!$M$43),0),1)</f>
        <v>0.59737002983065179</v>
      </c>
      <c r="M798" s="4">
        <f>MIN(MAX(M797*(1+MAX(MIN(((B798-B797)/B797)/($K$7*30),0),-卓尔金历!$M$43))+MIN(MAX(((B798-B797)/B797)/($K$7*7),0),卓尔金历!$M$43),0),1)</f>
        <v>1</v>
      </c>
      <c r="N798">
        <f t="shared" si="73"/>
        <v>1.0040285758004448</v>
      </c>
      <c r="O798">
        <f t="shared" si="74"/>
        <v>1.0340597921682975</v>
      </c>
      <c r="P798">
        <f t="shared" si="75"/>
        <v>1.0990685859441107E-2</v>
      </c>
      <c r="Q798">
        <f t="shared" si="66"/>
        <v>1.6644177369526721E-2</v>
      </c>
      <c r="R798">
        <f t="shared" si="67"/>
        <v>0.4382909297499657</v>
      </c>
      <c r="S798">
        <f t="shared" si="69"/>
        <v>1.0767745717861643</v>
      </c>
      <c r="T798" s="564">
        <f>IF((I798-MAX(I$470:I798))/MAX(I$470:I798)&gt;T797,T797,(I798-MAX(I$470:I798))/MAX(I$470:I798))</f>
        <v>-0.20744589062850552</v>
      </c>
      <c r="U798" s="564">
        <f>IF((J798-MAX(J$470:J798))/MAX(J$470:J798)&gt;U797,U797,(J798-MAX(J$470:J798))/MAX(J$470:J798))</f>
        <v>-0.40740740740740738</v>
      </c>
      <c r="V798" s="564">
        <f>IF((K798-MAX(K$470:K798))/MAX(K$470:K798)&gt;V797,V797,(K798-MAX(K$470:K798))/MAX(K$470:K798))</f>
        <v>-0.80725522782524772</v>
      </c>
      <c r="W798" s="564">
        <f>IF((N798-MAX(N$470:N798))/MAX(N$470:N798)&gt;W797,W797,(N798-MAX(N$470:N798))/MAX(N$470:N798))</f>
        <v>-0.18378694196019249</v>
      </c>
      <c r="X798" s="564">
        <f>IF((O798-MAX(O$470:O798))/MAX(O$470:O798)&gt;X797,X797,(O798-MAX(O$470:O798))/MAX(O$470:O798))</f>
        <v>-0.18595674310969867</v>
      </c>
    </row>
    <row r="799" spans="1:24">
      <c r="A799" s="799">
        <v>41201</v>
      </c>
      <c r="B799">
        <v>11.7401</v>
      </c>
      <c r="C799">
        <v>16.268712000000001</v>
      </c>
      <c r="D799">
        <v>1.7290179999999999</v>
      </c>
      <c r="E799">
        <f>LN(D799/参数实验室!$E$53)/参数实验室!$E$55</f>
        <v>-4.6990137679391988E-2</v>
      </c>
      <c r="F799">
        <f t="shared" si="68"/>
        <v>1.3857387926849005</v>
      </c>
      <c r="G799">
        <f>LN(F799/参数实验室!$E$58)/参数实验室!$E$59</f>
        <v>-1.9305094264628942E-2</v>
      </c>
      <c r="H799" s="856">
        <f>INDEX(神经网络!$G$10:$BO$70,MATCH(ROUND(G799*2,1)/2,神经网络!$E$10:$E$70,0),MATCH(ROUND(E799*2,1)/2,神经网络!$G$8:$BO$8,0))</f>
        <v>0.18748659045098026</v>
      </c>
      <c r="I799">
        <f t="shared" si="70"/>
        <v>0.99265360542496273</v>
      </c>
      <c r="J799">
        <f t="shared" si="71"/>
        <v>4.6846095526914366</v>
      </c>
      <c r="K799">
        <f t="shared" si="72"/>
        <v>0.21189676412939387</v>
      </c>
      <c r="L799" s="4">
        <f>MIN(MAX(L798*(1+MAX(MIN(((B799-B798)/B798)/($K$7*卓尔金历!$N$40),0),-卓尔金历!$M$43))+MIN(MAX(((B799-B798)/B798)/($K$7*卓尔金历!$N$40),0),卓尔金历!$M$43),0),1)</f>
        <v>0.44471169482546624</v>
      </c>
      <c r="M799" s="4">
        <f>MIN(MAX(M798*(1+MAX(MIN(((B799-B798)/B798)/($K$7*30),0),-卓尔金历!$M$43))+MIN(MAX(((B799-B798)/B798)/($K$7*7),0),卓尔金历!$M$43),0),1)</f>
        <v>0.87222464520988563</v>
      </c>
      <c r="N799">
        <f t="shared" si="73"/>
        <v>1.0030372393265741</v>
      </c>
      <c r="O799">
        <f t="shared" si="74"/>
        <v>1.0323506537626823</v>
      </c>
      <c r="P799">
        <f t="shared" si="75"/>
        <v>-1.6725573292684967E-2</v>
      </c>
      <c r="Q799">
        <f t="shared" si="66"/>
        <v>1.6854536793194565E-2</v>
      </c>
      <c r="R799">
        <f t="shared" si="67"/>
        <v>2.4453004448843338E-2</v>
      </c>
      <c r="S799">
        <f t="shared" si="69"/>
        <v>1.0759945282258008</v>
      </c>
      <c r="T799" s="564">
        <f>IF((I799-MAX(I$470:I799))/MAX(I$470:I799)&gt;T798,T798,(I799-MAX(I$470:I799))/MAX(I$470:I799))</f>
        <v>-0.20744589062850552</v>
      </c>
      <c r="U799" s="564">
        <f>IF((J799-MAX(J$470:J799))/MAX(J$470:J799)&gt;U798,U798,(J799-MAX(J$470:J799))/MAX(J$470:J799))</f>
        <v>-0.40740740740740738</v>
      </c>
      <c r="V799" s="564">
        <f>IF((K799-MAX(K$470:K799))/MAX(K$470:K799)&gt;V798,V798,(K799-MAX(K$470:K799))/MAX(K$470:K799))</f>
        <v>-0.80725522782524772</v>
      </c>
      <c r="W799" s="564">
        <f>IF((N799-MAX(N$470:N799))/MAX(N$470:N799)&gt;W798,W798,(N799-MAX(N$470:N799))/MAX(N$470:N799))</f>
        <v>-0.18407404188563334</v>
      </c>
      <c r="X799" s="564">
        <f>IF((O799-MAX(O$470:O799))/MAX(O$470:O799)&gt;X798,X798,(O799-MAX(O$470:O799))/MAX(O$470:O799))</f>
        <v>-0.18606821407233359</v>
      </c>
    </row>
    <row r="800" spans="1:24">
      <c r="A800" s="799">
        <v>41202</v>
      </c>
      <c r="B800">
        <v>11.7399</v>
      </c>
      <c r="C800">
        <v>16.244993999999998</v>
      </c>
      <c r="D800">
        <v>1.7193240000000001</v>
      </c>
      <c r="E800">
        <f>LN(D800/参数实验室!$E$53)/参数实验室!$E$55</f>
        <v>-5.3623214140124345E-2</v>
      </c>
      <c r="F800">
        <f t="shared" si="68"/>
        <v>1.3837421102394396</v>
      </c>
      <c r="G800">
        <f>LN(F800/参数实验室!$E$58)/参数实验室!$E$59</f>
        <v>-2.0061890987592573E-2</v>
      </c>
      <c r="H800" s="856">
        <f>INDEX(神经网络!$G$10:$BO$70,MATCH(ROUND(G800*2,1)/2,神经网络!$E$10:$E$70,0),MATCH(ROUND(E800*2,1)/2,神经网络!$G$8:$BO$8,0))</f>
        <v>0.18748659045098026</v>
      </c>
      <c r="I800">
        <f t="shared" si="70"/>
        <v>0.99265043493680716</v>
      </c>
      <c r="J800">
        <f t="shared" si="71"/>
        <v>4.6845297474163088</v>
      </c>
      <c r="K800">
        <f t="shared" si="72"/>
        <v>0.21189969718610294</v>
      </c>
      <c r="L800" s="4">
        <f>MIN(MAX(L799*(1+MAX(MIN(((B800-B799)/B799)/($K$7*卓尔金历!$N$40),0),-卓尔金历!$M$43))+MIN(MAX(((B800-B799)/B799)/($K$7*卓尔金历!$N$40),0),卓尔金历!$M$43),0),1)</f>
        <v>0.44459594167278388</v>
      </c>
      <c r="M800" s="4">
        <f>MIN(MAX(M799*(1+MAX(MIN(((B800-B799)/B799)/($K$7*30),0),-卓尔金历!$M$43))+MIN(MAX(((B800-B799)/B799)/($K$7*7),0),卓尔金历!$M$43),0),1)</f>
        <v>0.87211113037127774</v>
      </c>
      <c r="N800">
        <f t="shared" si="73"/>
        <v>1.0030358146246252</v>
      </c>
      <c r="O800">
        <f t="shared" si="74"/>
        <v>1.0323477777949992</v>
      </c>
      <c r="P800">
        <f t="shared" si="75"/>
        <v>-1.7035630020147518E-5</v>
      </c>
      <c r="Q800">
        <f t="shared" si="66"/>
        <v>1.6862330046873472E-2</v>
      </c>
      <c r="R800">
        <f t="shared" si="67"/>
        <v>1</v>
      </c>
      <c r="S800">
        <f t="shared" si="69"/>
        <v>1.0759944441887699</v>
      </c>
      <c r="T800" s="564">
        <f>IF((I800-MAX(I$470:I800))/MAX(I$470:I800)&gt;T799,T799,(I800-MAX(I$470:I800))/MAX(I$470:I800))</f>
        <v>-0.20744589062850552</v>
      </c>
      <c r="U800" s="564">
        <f>IF((J800-MAX(J$470:J800))/MAX(J$470:J800)&gt;U799,U799,(J800-MAX(J$470:J800))/MAX(J$470:J800))</f>
        <v>-0.40740740740740738</v>
      </c>
      <c r="V800" s="564">
        <f>IF((K800-MAX(K$470:K800))/MAX(K$470:K800)&gt;V799,V799,(K800-MAX(K$470:K800))/MAX(K$470:K800))</f>
        <v>-0.80725522782524772</v>
      </c>
      <c r="W800" s="564">
        <f>IF((N800-MAX(N$470:N800))/MAX(N$470:N800)&gt;W799,W799,(N800-MAX(N$470:N800))/MAX(N$470:N800))</f>
        <v>-0.18407520081698411</v>
      </c>
      <c r="X800" s="564">
        <f>IF((O800-MAX(O$470:O800))/MAX(O$470:O800)&gt;X799,X799,(O800-MAX(O$470:O800))/MAX(O$470:O800))</f>
        <v>-0.18607048155916478</v>
      </c>
    </row>
    <row r="801" spans="1:24">
      <c r="A801" s="799">
        <v>41203</v>
      </c>
      <c r="B801">
        <v>11.6311</v>
      </c>
      <c r="C801">
        <v>16.375468999999999</v>
      </c>
      <c r="D801">
        <v>1.7087829999999999</v>
      </c>
      <c r="E801">
        <f>LN(D801/参数实验室!$E$53)/参数实验室!$E$55</f>
        <v>-6.0878424165811462E-2</v>
      </c>
      <c r="F801">
        <f t="shared" si="68"/>
        <v>1.4079037236374889</v>
      </c>
      <c r="G801">
        <f>LN(F801/参数实验室!$E$58)/参数实验室!$E$59</f>
        <v>-1.0976471206902223E-2</v>
      </c>
      <c r="H801" s="856">
        <f>INDEX(神经网络!$G$10:$BO$70,MATCH(ROUND(G801*2,1)/2,神经网络!$E$10:$E$70,0),MATCH(ROUND(E801*2,1)/2,神经网络!$G$8:$BO$8,0))</f>
        <v>0.18748659045098026</v>
      </c>
      <c r="I801">
        <f t="shared" si="70"/>
        <v>0.99092566550636141</v>
      </c>
      <c r="J801">
        <f t="shared" si="71"/>
        <v>4.6411156777463036</v>
      </c>
      <c r="K801">
        <f t="shared" si="72"/>
        <v>0.2135102277794439</v>
      </c>
      <c r="L801" s="4">
        <f>MIN(MAX(L800*(1+MAX(MIN(((B801-B800)/B800)/($K$7*卓尔金历!$N$40),0),-卓尔金历!$M$43))+MIN(MAX(((B801-B800)/B800)/($K$7*卓尔金历!$N$40),0),卓尔金历!$M$43),0),1)</f>
        <v>0.38164154441179166</v>
      </c>
      <c r="M801" s="4">
        <f>MIN(MAX(M800*(1+MAX(MIN(((B801-B800)/B800)/($K$7*30),0),-卓尔金历!$M$43))+MIN(MAX(((B801-B800)/B800)/($K$7*7),0),卓尔金历!$M$43),0),1)</f>
        <v>0.8103660429661228</v>
      </c>
      <c r="N801">
        <f t="shared" si="73"/>
        <v>1.002260966398038</v>
      </c>
      <c r="O801">
        <f t="shared" si="74"/>
        <v>1.0307834326974477</v>
      </c>
      <c r="P801">
        <f t="shared" si="75"/>
        <v>-9.2675406093749059E-3</v>
      </c>
      <c r="Q801">
        <f t="shared" si="66"/>
        <v>1.6880792702341066E-2</v>
      </c>
      <c r="R801">
        <f t="shared" si="67"/>
        <v>0.62663237924981485</v>
      </c>
      <c r="S801">
        <f t="shared" si="69"/>
        <v>1.0741248612425998</v>
      </c>
      <c r="T801" s="564">
        <f>IF((I801-MAX(I$470:I801))/MAX(I$470:I801)&gt;T800,T800,(I801-MAX(I$470:I801))/MAX(I$470:I801))</f>
        <v>-0.20876460782110945</v>
      </c>
      <c r="U801" s="564">
        <f>IF((J801-MAX(J$470:J801))/MAX(J$470:J801)&gt;U800,U800,(J801-MAX(J$470:J801))/MAX(J$470:J801))</f>
        <v>-0.40740740740740738</v>
      </c>
      <c r="V801" s="564">
        <f>IF((K801-MAX(K$470:K801))/MAX(K$470:K801)&gt;V800,V800,(K801-MAX(K$470:K801))/MAX(K$470:K801))</f>
        <v>-0.80725522782524772</v>
      </c>
      <c r="W801" s="564">
        <f>IF((N801-MAX(N$470:N801))/MAX(N$470:N801)&gt;W800,W800,(N801-MAX(N$470:N801))/MAX(N$470:N801))</f>
        <v>-0.18470550521335516</v>
      </c>
      <c r="X801" s="564">
        <f>IF((O801-MAX(O$470:O801))/MAX(O$470:O801)&gt;X800,X800,(O801-MAX(O$470:O801))/MAX(O$470:O801))</f>
        <v>-0.18730385143636352</v>
      </c>
    </row>
    <row r="802" spans="1:24">
      <c r="A802" s="799">
        <v>41204</v>
      </c>
      <c r="B802">
        <v>11.710100000000001</v>
      </c>
      <c r="C802">
        <v>16.417338000000001</v>
      </c>
      <c r="D802">
        <v>1.719741</v>
      </c>
      <c r="E802">
        <f>LN(D802/参数实验室!$E$53)/参数实验室!$E$55</f>
        <v>-5.3337114804899548E-2</v>
      </c>
      <c r="F802">
        <f t="shared" si="68"/>
        <v>1.4019810249271996</v>
      </c>
      <c r="G802">
        <f>LN(F802/参数实验室!$E$58)/参数实验室!$E$59</f>
        <v>-1.3189058017992588E-2</v>
      </c>
      <c r="H802" s="856">
        <f>INDEX(神经网络!$G$10:$BO$70,MATCH(ROUND(G802*2,1)/2,神经网络!$E$10:$E$70,0),MATCH(ROUND(E802*2,1)/2,神经网络!$G$8:$BO$8,0))</f>
        <v>0.18748659045098026</v>
      </c>
      <c r="I802">
        <f t="shared" si="70"/>
        <v>0.99218754414886967</v>
      </c>
      <c r="J802">
        <f t="shared" si="71"/>
        <v>4.6726387614221343</v>
      </c>
      <c r="K802">
        <f t="shared" si="72"/>
        <v>0.21233987791662581</v>
      </c>
      <c r="L802" s="4">
        <f>MIN(MAX(L801*(1+MAX(MIN(((B802-B801)/B801)/($K$7*卓尔金历!$N$40),0),-卓尔金历!$M$43))+MIN(MAX(((B802-B801)/B801)/($K$7*卓尔金历!$N$40),0),卓尔金历!$M$43),0),1)</f>
        <v>0.48541884745030417</v>
      </c>
      <c r="M802" s="4">
        <f>MIN(MAX(M801*(1+MAX(MIN(((B802-B801)/B801)/($K$7*30),0),-卓尔金历!$M$43))+MIN(MAX(((B802-B801)/B801)/($K$7*7),0),卓尔金历!$M$43),0),1)</f>
        <v>1</v>
      </c>
      <c r="N802">
        <f t="shared" si="73"/>
        <v>1.0027480606161023</v>
      </c>
      <c r="O802">
        <f t="shared" si="74"/>
        <v>1.0318471474365256</v>
      </c>
      <c r="P802">
        <f t="shared" si="75"/>
        <v>6.7921348797620714E-3</v>
      </c>
      <c r="Q802">
        <f t="shared" si="66"/>
        <v>1.699790593936611E-2</v>
      </c>
      <c r="R802">
        <f t="shared" si="67"/>
        <v>0.94969081231654029</v>
      </c>
      <c r="S802">
        <f t="shared" si="69"/>
        <v>1.0749819861459771</v>
      </c>
      <c r="T802" s="564">
        <f>IF((I802-MAX(I$470:I802))/MAX(I$470:I802)&gt;T801,T801,(I802-MAX(I$470:I802))/MAX(I$470:I802))</f>
        <v>-0.20876460782110945</v>
      </c>
      <c r="U802" s="564">
        <f>IF((J802-MAX(J$470:J802))/MAX(J$470:J802)&gt;U801,U801,(J802-MAX(J$470:J802))/MAX(J$470:J802))</f>
        <v>-0.40740740740740738</v>
      </c>
      <c r="V802" s="564">
        <f>IF((K802-MAX(K$470:K802))/MAX(K$470:K802)&gt;V801,V801,(K802-MAX(K$470:K802))/MAX(K$470:K802))</f>
        <v>-0.80725522782524772</v>
      </c>
      <c r="W802" s="564">
        <f>IF((N802-MAX(N$470:N802))/MAX(N$470:N802)&gt;W801,W801,(N802-MAX(N$470:N802))/MAX(N$470:N802))</f>
        <v>-0.18470550521335516</v>
      </c>
      <c r="X802" s="564">
        <f>IF((O802-MAX(O$470:O802))/MAX(O$470:O802)&gt;X801,X801,(O802-MAX(O$470:O802))/MAX(O$470:O802))</f>
        <v>-0.18730385143636352</v>
      </c>
    </row>
    <row r="803" spans="1:24">
      <c r="A803" s="799">
        <v>41205</v>
      </c>
      <c r="B803">
        <v>11.65</v>
      </c>
      <c r="C803">
        <v>16.765993999999999</v>
      </c>
      <c r="D803">
        <v>1.7137260000000001</v>
      </c>
      <c r="E803">
        <f>LN(D803/参数实验室!$E$53)/参数实验室!$E$55</f>
        <v>-5.7470676025717551E-2</v>
      </c>
      <c r="F803">
        <f t="shared" si="68"/>
        <v>1.4391411158798282</v>
      </c>
      <c r="G803">
        <f>LN(F803/参数实验室!$E$58)/参数实验室!$E$59</f>
        <v>5.4124661982142195E-4</v>
      </c>
      <c r="H803" s="856">
        <f>INDEX(神经网络!$G$10:$BO$70,MATCH(ROUND(G803*2,1)/2,神经网络!$E$10:$E$70,0),MATCH(ROUND(E803*2,1)/2,神经网络!$G$8:$BO$8,0))</f>
        <v>0.18748659045098026</v>
      </c>
      <c r="I803">
        <f t="shared" si="70"/>
        <v>0.99123282012683755</v>
      </c>
      <c r="J803">
        <f t="shared" si="71"/>
        <v>4.6486572762459639</v>
      </c>
      <c r="K803">
        <f t="shared" si="72"/>
        <v>0.21322992021629747</v>
      </c>
      <c r="L803" s="4">
        <f>MIN(MAX(L802*(1+MAX(MIN(((B803-B802)/B802)/($K$7*卓尔金历!$N$40),0),-卓尔金历!$M$43))+MIN(MAX(((B803-B802)/B802)/($K$7*卓尔金历!$N$40),0),卓尔金历!$M$43),0),1)</f>
        <v>0.44735378195454095</v>
      </c>
      <c r="M803" s="4">
        <f>MIN(MAX(M802*(1+MAX(MIN(((B803-B802)/B802)/($K$7*30),0),-卓尔金历!$M$43))+MIN(MAX(((B803-B802)/B802)/($K$7*7),0),卓尔金历!$M$43),0),1)</f>
        <v>0.96079152499361875</v>
      </c>
      <c r="N803">
        <f t="shared" si="73"/>
        <v>1.0022796868684143</v>
      </c>
      <c r="O803">
        <f t="shared" si="74"/>
        <v>1.0308542612986855</v>
      </c>
      <c r="P803">
        <f t="shared" si="75"/>
        <v>-5.1323216710361368E-3</v>
      </c>
      <c r="Q803">
        <f t="shared" si="66"/>
        <v>1.4714658566970738E-2</v>
      </c>
      <c r="R803">
        <f t="shared" si="67"/>
        <v>1</v>
      </c>
      <c r="S803">
        <f t="shared" si="69"/>
        <v>1.0739996333114323</v>
      </c>
      <c r="T803" s="564">
        <f>IF((I803-MAX(I$470:I803))/MAX(I$470:I803)&gt;T802,T802,(I803-MAX(I$470:I803))/MAX(I$470:I803))</f>
        <v>-0.20876460782110945</v>
      </c>
      <c r="U803" s="564">
        <f>IF((J803-MAX(J$470:J803))/MAX(J$470:J803)&gt;U802,U802,(J803-MAX(J$470:J803))/MAX(J$470:J803))</f>
        <v>-0.40740740740740738</v>
      </c>
      <c r="V803" s="564">
        <f>IF((K803-MAX(K$470:K803))/MAX(K$470:K803)&gt;V802,V802,(K803-MAX(K$470:K803))/MAX(K$470:K803))</f>
        <v>-0.80725522782524772</v>
      </c>
      <c r="W803" s="564">
        <f>IF((N803-MAX(N$470:N803))/MAX(N$470:N803)&gt;W802,W802,(N803-MAX(N$470:N803))/MAX(N$470:N803))</f>
        <v>-0.18470550521335516</v>
      </c>
      <c r="X803" s="564">
        <f>IF((O803-MAX(O$470:O803))/MAX(O$470:O803)&gt;X802,X802,(O803-MAX(O$470:O803))/MAX(O$470:O803))</f>
        <v>-0.18730385143636352</v>
      </c>
    </row>
    <row r="804" spans="1:24">
      <c r="A804" s="799">
        <v>41206</v>
      </c>
      <c r="B804">
        <v>11.65</v>
      </c>
      <c r="C804">
        <v>16.708117999999999</v>
      </c>
      <c r="D804">
        <v>1.700976</v>
      </c>
      <c r="E804">
        <f>LN(D804/参数实验室!$E$53)/参数实验室!$E$55</f>
        <v>-6.6280770589797908E-2</v>
      </c>
      <c r="F804">
        <f t="shared" si="68"/>
        <v>1.4341732188841201</v>
      </c>
      <c r="G804">
        <f>LN(F804/参数实验室!$E$58)/参数实验室!$E$59</f>
        <v>-1.27367727516993E-3</v>
      </c>
      <c r="H804" s="856">
        <f>INDEX(神经网络!$G$10:$BO$70,MATCH(ROUND(G804*2,1)/2,神经网络!$E$10:$E$70,0),MATCH(ROUND(E804*2,1)/2,神经网络!$G$8:$BO$8,0))</f>
        <v>0.18748659045098026</v>
      </c>
      <c r="I804">
        <f t="shared" si="70"/>
        <v>0.99123282012683755</v>
      </c>
      <c r="J804">
        <f t="shared" si="71"/>
        <v>4.6486572762459639</v>
      </c>
      <c r="K804">
        <f t="shared" si="72"/>
        <v>0.21322992021629747</v>
      </c>
      <c r="L804" s="4">
        <f>MIN(MAX(L803*(1+MAX(MIN(((B804-B803)/B803)/($K$7*卓尔金历!$N$40),0),-卓尔金历!$M$43))+MIN(MAX(((B804-B803)/B803)/($K$7*卓尔金历!$N$40),0),卓尔金历!$M$43),0),1)</f>
        <v>0.44735378195454095</v>
      </c>
      <c r="M804" s="4">
        <f>MIN(MAX(M803*(1+MAX(MIN(((B804-B803)/B803)/($K$7*30),0),-卓尔金历!$M$43))+MIN(MAX(((B804-B803)/B803)/($K$7*7),0),卓尔金历!$M$43),0),1)</f>
        <v>0.96079152499361875</v>
      </c>
      <c r="N804">
        <f t="shared" si="73"/>
        <v>1.0022796868684143</v>
      </c>
      <c r="O804">
        <f t="shared" si="74"/>
        <v>1.0308542612986855</v>
      </c>
      <c r="P804">
        <f t="shared" si="75"/>
        <v>0</v>
      </c>
      <c r="Q804">
        <f t="shared" si="66"/>
        <v>1.4631887462014144E-2</v>
      </c>
      <c r="R804">
        <f t="shared" si="67"/>
        <v>1</v>
      </c>
      <c r="S804">
        <f t="shared" si="69"/>
        <v>1.0739996333114323</v>
      </c>
      <c r="T804" s="564">
        <f>IF((I804-MAX(I$470:I804))/MAX(I$470:I804)&gt;T803,T803,(I804-MAX(I$470:I804))/MAX(I$470:I804))</f>
        <v>-0.20876460782110945</v>
      </c>
      <c r="U804" s="564">
        <f>IF((J804-MAX(J$470:J804))/MAX(J$470:J804)&gt;U803,U803,(J804-MAX(J$470:J804))/MAX(J$470:J804))</f>
        <v>-0.40740740740740738</v>
      </c>
      <c r="V804" s="564">
        <f>IF((K804-MAX(K$470:K804))/MAX(K$470:K804)&gt;V803,V803,(K804-MAX(K$470:K804))/MAX(K$470:K804))</f>
        <v>-0.80725522782524772</v>
      </c>
      <c r="W804" s="564">
        <f>IF((N804-MAX(N$470:N804))/MAX(N$470:N804)&gt;W803,W803,(N804-MAX(N$470:N804))/MAX(N$470:N804))</f>
        <v>-0.18470550521335516</v>
      </c>
      <c r="X804" s="564">
        <f>IF((O804-MAX(O$470:O804))/MAX(O$470:O804)&gt;X803,X803,(O804-MAX(O$470:O804))/MAX(O$470:O804))</f>
        <v>-0.18730385143636352</v>
      </c>
    </row>
    <row r="805" spans="1:24">
      <c r="A805" s="799">
        <v>41207</v>
      </c>
      <c r="B805">
        <v>10.861599999999999</v>
      </c>
      <c r="C805">
        <v>16.701740000000001</v>
      </c>
      <c r="D805">
        <v>1.574452</v>
      </c>
      <c r="E805">
        <f>LN(D805/参数实验室!$E$53)/参数实验室!$E$55</f>
        <v>-0.15746971351463609</v>
      </c>
      <c r="F805">
        <f t="shared" si="68"/>
        <v>1.537686896958091</v>
      </c>
      <c r="G805">
        <f>LN(F805/参数实验室!$E$58)/参数实验室!$E$59</f>
        <v>3.5303791071652525E-2</v>
      </c>
      <c r="H805" s="856">
        <f>INDEX(神经网络!$G$10:$BO$70,MATCH(ROUND(G805*2,1)/2,神经网络!$E$10:$E$70,0),MATCH(ROUND(E805*2,1)/2,神经网络!$G$8:$BO$8,0))</f>
        <v>0.18718278852188391</v>
      </c>
      <c r="I805">
        <f t="shared" si="70"/>
        <v>0.97865612379772127</v>
      </c>
      <c r="J805">
        <f t="shared" si="71"/>
        <v>4.3340648816886835</v>
      </c>
      <c r="K805">
        <f t="shared" si="72"/>
        <v>0.22580560063429578</v>
      </c>
      <c r="L805" s="4">
        <f>MIN(MAX(L804*(1+MAX(MIN(((B805-B804)/B804)/($K$7*卓尔金历!$N$40),0),-卓尔金历!$M$43))+MIN(MAX(((B805-B804)/B804)/($K$7*卓尔金历!$N$40),0),卓尔金历!$M$43),0),1)</f>
        <v>0</v>
      </c>
      <c r="M805" s="4">
        <f>MIN(MAX(M804*(1+MAX(MIN(((B805-B804)/B804)/($K$7*30),0),-卓尔金历!$M$43))+MIN(MAX(((B805-B804)/B804)/($K$7*7),0),卓尔金历!$M$43),0),1)</f>
        <v>0.46406661862417858</v>
      </c>
      <c r="N805">
        <f t="shared" si="73"/>
        <v>0.99659075223917881</v>
      </c>
      <c r="O805">
        <f t="shared" si="74"/>
        <v>1.0182876744914424</v>
      </c>
      <c r="P805">
        <f t="shared" si="75"/>
        <v>-6.7673819742489358E-2</v>
      </c>
      <c r="Q805">
        <f t="shared" si="66"/>
        <v>1.9834008050054638E-2</v>
      </c>
      <c r="R805">
        <f t="shared" si="67"/>
        <v>0</v>
      </c>
      <c r="S805">
        <f t="shared" si="69"/>
        <v>1.0603727971418917</v>
      </c>
      <c r="T805" s="564">
        <f>IF((I805-MAX(I$470:I805))/MAX(I$470:I805)&gt;T804,T804,(I805-MAX(I$470:I805))/MAX(I$470:I805))</f>
        <v>-0.21856160469345337</v>
      </c>
      <c r="U805" s="564">
        <f>IF((J805-MAX(J$470:J805))/MAX(J$470:J805)&gt;U804,U804,(J805-MAX(J$470:J805))/MAX(J$470:J805))</f>
        <v>-0.40740740740740738</v>
      </c>
      <c r="V805" s="564">
        <f>IF((K805-MAX(K$470:K805))/MAX(K$470:K805)&gt;V804,V804,(K805-MAX(K$470:K805))/MAX(K$470:K805))</f>
        <v>-0.80725522782524772</v>
      </c>
      <c r="W805" s="564">
        <f>IF((N805-MAX(N$470:N805))/MAX(N$470:N805)&gt;W804,W804,(N805-MAX(N$470:N805))/MAX(N$470:N805))</f>
        <v>-0.18931797097124362</v>
      </c>
      <c r="X805" s="564">
        <f>IF((O805-MAX(O$470:O805))/MAX(O$470:O805)&gt;X804,X804,(O805-MAX(O$470:O805))/MAX(O$470:O805))</f>
        <v>-0.19715582833594147</v>
      </c>
    </row>
    <row r="806" spans="1:24">
      <c r="A806" s="799">
        <v>41208</v>
      </c>
      <c r="B806">
        <v>10.1706</v>
      </c>
      <c r="C806">
        <v>16.466940000000001</v>
      </c>
      <c r="D806">
        <v>1.48688</v>
      </c>
      <c r="E806">
        <f>LN(D806/参数实验室!$E$53)/参数实验室!$E$55</f>
        <v>-0.22498381860144576</v>
      </c>
      <c r="F806">
        <f t="shared" si="68"/>
        <v>1.6190726210843018</v>
      </c>
      <c r="G806">
        <f>LN(F806/参数实验室!$E$58)/参数实验室!$E$59</f>
        <v>6.2372748324523442E-2</v>
      </c>
      <c r="H806" s="856">
        <f>INDEX(神经网络!$G$10:$BO$70,MATCH(ROUND(G806*2,1)/2,神经网络!$E$10:$E$70,0),MATCH(ROUND(E806*2,1)/2,神经网络!$G$8:$BO$8,0))</f>
        <v>0.14368643752345239</v>
      </c>
      <c r="I806">
        <f t="shared" si="70"/>
        <v>0.9670019826638897</v>
      </c>
      <c r="J806">
        <f t="shared" si="71"/>
        <v>4.0583376561190736</v>
      </c>
      <c r="K806">
        <f t="shared" si="72"/>
        <v>0.23827538874343415</v>
      </c>
      <c r="L806" s="4">
        <f>MIN(MAX(L805*(1+MAX(MIN(((B806-B805)/B805)/($K$7*卓尔金历!$N$40),0),-卓尔金历!$M$43))+MIN(MAX(((B806-B805)/B805)/($K$7*卓尔金历!$N$40),0),卓尔金历!$M$43),0),1)</f>
        <v>0</v>
      </c>
      <c r="M806" s="4">
        <f>MIN(MAX(M805*(1+MAX(MIN(((B806-B805)/B805)/($K$7*30),0),-卓尔金历!$M$43))+MIN(MAX(((B806-B805)/B805)/($K$7*7),0),卓尔金历!$M$43),0),1)</f>
        <v>0.23852294239783647</v>
      </c>
      <c r="N806">
        <f t="shared" si="73"/>
        <v>0.99659075223917881</v>
      </c>
      <c r="O806">
        <f t="shared" si="74"/>
        <v>1.012660362787148</v>
      </c>
      <c r="P806">
        <f t="shared" si="75"/>
        <v>-6.3618619724534045E-2</v>
      </c>
      <c r="Q806">
        <f t="shared" si="66"/>
        <v>2.3127893335494903E-2</v>
      </c>
      <c r="R806">
        <f t="shared" si="67"/>
        <v>0</v>
      </c>
      <c r="S806">
        <f t="shared" si="69"/>
        <v>1.0603727971418917</v>
      </c>
      <c r="T806" s="564">
        <f>IF((I806-MAX(I$470:I806))/MAX(I$470:I806)&gt;T805,T805,(I806-MAX(I$470:I806))/MAX(I$470:I806))</f>
        <v>-0.22786721585231193</v>
      </c>
      <c r="U806" s="564">
        <f>IF((J806-MAX(J$470:J806))/MAX(J$470:J806)&gt;U805,U805,(J806-MAX(J$470:J806))/MAX(J$470:J806))</f>
        <v>-0.40740740740740738</v>
      </c>
      <c r="V806" s="564">
        <f>IF((K806-MAX(K$470:K806))/MAX(K$470:K806)&gt;V805,V805,(K806-MAX(K$470:K806))/MAX(K$470:K806))</f>
        <v>-0.80725522782524772</v>
      </c>
      <c r="W806" s="564">
        <f>IF((N806-MAX(N$470:N806))/MAX(N$470:N806)&gt;W805,W805,(N806-MAX(N$470:N806))/MAX(N$470:N806))</f>
        <v>-0.18931797097124362</v>
      </c>
      <c r="X806" s="564">
        <f>IF((O806-MAX(O$470:O806))/MAX(O$470:O806)&gt;X805,X805,(O806-MAX(O$470:O806))/MAX(O$470:O806))</f>
        <v>-0.20159254550055417</v>
      </c>
    </row>
    <row r="807" spans="1:24">
      <c r="A807" s="799">
        <v>41209</v>
      </c>
      <c r="B807">
        <v>10.2605</v>
      </c>
      <c r="C807">
        <v>16.359418000000002</v>
      </c>
      <c r="D807">
        <v>1.536141</v>
      </c>
      <c r="E807">
        <f>LN(D807/参数实验室!$E$53)/参数实验室!$E$55</f>
        <v>-0.18653157541339327</v>
      </c>
      <c r="F807">
        <f t="shared" si="68"/>
        <v>1.5944074850153502</v>
      </c>
      <c r="G807">
        <f>LN(F807/参数实验室!$E$58)/参数实验室!$E$59</f>
        <v>5.4315532972608722E-2</v>
      </c>
      <c r="H807" s="856">
        <f>INDEX(神经网络!$G$10:$BO$70,MATCH(ROUND(G807*2,1)/2,神经网络!$E$10:$E$70,0),MATCH(ROUND(E807*2,1)/2,神经网络!$G$8:$BO$8,0))</f>
        <v>0.14368643752345239</v>
      </c>
      <c r="I807">
        <f t="shared" si="70"/>
        <v>0.96823014637006655</v>
      </c>
      <c r="J807">
        <f t="shared" si="71"/>
        <v>4.0942101272894176</v>
      </c>
      <c r="K807">
        <f t="shared" si="72"/>
        <v>0.23648765360538196</v>
      </c>
      <c r="L807" s="4">
        <f>MIN(MAX(L806*(1+MAX(MIN(((B807-B806)/B806)/($K$7*卓尔金历!$N$40),0),-卓尔金历!$M$43))+MIN(MAX(((B807-B806)/B806)/($K$7*卓尔金历!$N$40),0),卓尔金历!$M$43),0),1)</f>
        <v>0.13505454244820578</v>
      </c>
      <c r="M807" s="4">
        <f>MIN(MAX(M806*(1+MAX(MIN(((B807-B806)/B806)/($K$7*30),0),-卓尔金历!$M$43))+MIN(MAX(((B807-B806)/B806)/($K$7*7),0),卓尔金历!$M$43),0),1)</f>
        <v>0.52792553335827741</v>
      </c>
      <c r="N807">
        <f t="shared" si="73"/>
        <v>0.99659075223917881</v>
      </c>
      <c r="O807">
        <f t="shared" si="74"/>
        <v>1.0129671398352158</v>
      </c>
      <c r="P807">
        <f t="shared" si="75"/>
        <v>8.8392031935185817E-3</v>
      </c>
      <c r="Q807">
        <f t="shared" si="66"/>
        <v>2.3453848510399323E-2</v>
      </c>
      <c r="R807">
        <f t="shared" si="67"/>
        <v>1</v>
      </c>
      <c r="S807">
        <f t="shared" si="69"/>
        <v>1.0603727971418917</v>
      </c>
      <c r="T807" s="564">
        <f>IF((I807-MAX(I$470:I807))/MAX(I$470:I807)&gt;T806,T806,(I807-MAX(I$470:I807))/MAX(I$470:I807))</f>
        <v>-0.22786721585231193</v>
      </c>
      <c r="U807" s="564">
        <f>IF((J807-MAX(J$470:J807))/MAX(J$470:J807)&gt;U806,U806,(J807-MAX(J$470:J807))/MAX(J$470:J807))</f>
        <v>-0.40740740740740738</v>
      </c>
      <c r="V807" s="564">
        <f>IF((K807-MAX(K$470:K807))/MAX(K$470:K807)&gt;V806,V806,(K807-MAX(K$470:K807))/MAX(K$470:K807))</f>
        <v>-0.80725522782524772</v>
      </c>
      <c r="W807" s="564">
        <f>IF((N807-MAX(N$470:N807))/MAX(N$470:N807)&gt;W806,W806,(N807-MAX(N$470:N807))/MAX(N$470:N807))</f>
        <v>-0.18931797097124362</v>
      </c>
      <c r="X807" s="564">
        <f>IF((O807-MAX(O$470:O807))/MAX(O$470:O807)&gt;X806,X806,(O807-MAX(O$470:O807))/MAX(O$470:O807))</f>
        <v>-0.20159254550055417</v>
      </c>
    </row>
    <row r="808" spans="1:24">
      <c r="A808" s="799">
        <v>41210</v>
      </c>
      <c r="B808">
        <v>10.7</v>
      </c>
      <c r="C808">
        <v>16.315899000000002</v>
      </c>
      <c r="D808">
        <v>1.57243</v>
      </c>
      <c r="E808">
        <f>LN(D808/参数实验室!$E$53)/参数实验室!$E$55</f>
        <v>-0.15898579285132428</v>
      </c>
      <c r="F808">
        <f t="shared" si="68"/>
        <v>1.524850373831776</v>
      </c>
      <c r="G808">
        <f>LN(F808/参数实验室!$E$58)/参数实验室!$E$59</f>
        <v>3.09039487702042E-2</v>
      </c>
      <c r="H808" s="856">
        <f>INDEX(神经网络!$G$10:$BO$70,MATCH(ROUND(G808*2,1)/2,神经网络!$E$10:$E$70,0),MATCH(ROUND(E808*2,1)/2,神经网络!$G$8:$BO$8,0))</f>
        <v>0.18718278852188391</v>
      </c>
      <c r="I808">
        <f t="shared" si="70"/>
        <v>0.97418930206628629</v>
      </c>
      <c r="J808">
        <f t="shared" si="71"/>
        <v>4.2695822193847048</v>
      </c>
      <c r="K808">
        <f t="shared" si="72"/>
        <v>0.22816970186059046</v>
      </c>
      <c r="L808" s="4">
        <f>MIN(MAX(L807*(1+MAX(MIN(((B808-B807)/B807)/($K$7*卓尔金历!$N$40),0),-卓尔金历!$M$43))+MIN(MAX(((B808-B807)/B807)/($K$7*卓尔金历!$N$40),0),卓尔金历!$M$43),0),1)</f>
        <v>0.78951955325671486</v>
      </c>
      <c r="M808" s="4">
        <f>MIN(MAX(M807*(1+MAX(MIN(((B808-B807)/B807)/($K$7*30),0),-卓尔金历!$M$43))+MIN(MAX(((B808-B807)/B807)/($K$7*7),0),卓尔金历!$M$43),0),1)</f>
        <v>1</v>
      </c>
      <c r="N808">
        <f t="shared" si="73"/>
        <v>0.99741913715229191</v>
      </c>
      <c r="O808">
        <f t="shared" si="74"/>
        <v>1.0162584905118244</v>
      </c>
      <c r="P808">
        <f t="shared" si="75"/>
        <v>4.283416987476233E-2</v>
      </c>
      <c r="Q808">
        <f t="shared" si="66"/>
        <v>2.34453311629697E-2</v>
      </c>
      <c r="R808">
        <f t="shared" si="67"/>
        <v>9.3190403371847148E-3</v>
      </c>
      <c r="S808">
        <f t="shared" si="69"/>
        <v>1.0668990622224559</v>
      </c>
      <c r="T808" s="564">
        <f>IF((I808-MAX(I$470:I808))/MAX(I$470:I808)&gt;T807,T807,(I808-MAX(I$470:I808))/MAX(I$470:I808))</f>
        <v>-0.22786721585231193</v>
      </c>
      <c r="U808" s="564">
        <f>IF((J808-MAX(J$470:J808))/MAX(J$470:J808)&gt;U807,U807,(J808-MAX(J$470:J808))/MAX(J$470:J808))</f>
        <v>-0.40740740740740738</v>
      </c>
      <c r="V808" s="564">
        <f>IF((K808-MAX(K$470:K808))/MAX(K$470:K808)&gt;V807,V807,(K808-MAX(K$470:K808))/MAX(K$470:K808))</f>
        <v>-0.80725522782524772</v>
      </c>
      <c r="W808" s="564">
        <f>IF((N808-MAX(N$470:N808))/MAX(N$470:N808)&gt;W807,W807,(N808-MAX(N$470:N808))/MAX(N$470:N808))</f>
        <v>-0.18931797097124362</v>
      </c>
      <c r="X808" s="564">
        <f>IF((O808-MAX(O$470:O808))/MAX(O$470:O808)&gt;X807,X807,(O808-MAX(O$470:O808))/MAX(O$470:O808))</f>
        <v>-0.20159254550055417</v>
      </c>
    </row>
    <row r="809" spans="1:24">
      <c r="A809" s="799">
        <v>41211</v>
      </c>
      <c r="B809">
        <v>10.6</v>
      </c>
      <c r="C809">
        <v>16.467414999999999</v>
      </c>
      <c r="D809">
        <v>1.5604039999999999</v>
      </c>
      <c r="E809">
        <f>LN(D809/参数实验室!$E$53)/参数实验室!$E$55</f>
        <v>-0.16804326745786111</v>
      </c>
      <c r="F809">
        <f t="shared" si="68"/>
        <v>1.553529716981132</v>
      </c>
      <c r="G809">
        <f>LN(F809/参数实验室!$E$58)/参数实验室!$E$59</f>
        <v>4.0683705834445881E-2</v>
      </c>
      <c r="H809" s="856">
        <f>INDEX(神经网络!$G$10:$BO$70,MATCH(ROUND(G809*2,1)/2,神经网络!$E$10:$E$70,0),MATCH(ROUND(E809*2,1)/2,神经网络!$G$8:$BO$8,0))</f>
        <v>0.18718278852188391</v>
      </c>
      <c r="I809">
        <f t="shared" si="70"/>
        <v>0.97248508271947365</v>
      </c>
      <c r="J809">
        <f t="shared" si="71"/>
        <v>4.2296795818203625</v>
      </c>
      <c r="K809">
        <f t="shared" si="72"/>
        <v>0.2299193269625727</v>
      </c>
      <c r="L809" s="4">
        <f>MIN(MAX(L808*(1+MAX(MIN(((B809-B808)/B808)/($K$7*卓尔金历!$N$40),0),-卓尔金历!$M$43))+MIN(MAX(((B809-B808)/B808)/($K$7*卓尔金历!$N$40),0),卓尔金历!$M$43),0),1)</f>
        <v>0.67678029037330223</v>
      </c>
      <c r="M809" s="4">
        <f>MIN(MAX(M808*(1+MAX(MIN(((B809-B808)/B808)/($K$7*30),0),-卓尔金历!$M$43))+MIN(MAX(((B809-B808)/B808)/($K$7*7),0),卓尔金历!$M$43),0),1)</f>
        <v>0.92860261508510411</v>
      </c>
      <c r="N809">
        <f t="shared" si="73"/>
        <v>0.99604153845959109</v>
      </c>
      <c r="O809">
        <f t="shared" si="74"/>
        <v>1.0144806765107679</v>
      </c>
      <c r="P809">
        <f t="shared" si="75"/>
        <v>-9.3457943925233326E-3</v>
      </c>
      <c r="Q809">
        <f t="shared" si="66"/>
        <v>2.3461380112064317E-2</v>
      </c>
      <c r="R809">
        <f t="shared" si="67"/>
        <v>0.96545432444278079</v>
      </c>
      <c r="S809">
        <f t="shared" si="69"/>
        <v>1.0668816691358247</v>
      </c>
      <c r="T809" s="564">
        <f>IF((I809-MAX(I$470:I809))/MAX(I$470:I809)&gt;T808,T808,(I809-MAX(I$470:I809))/MAX(I$470:I809))</f>
        <v>-0.22786721585231193</v>
      </c>
      <c r="U809" s="564">
        <f>IF((J809-MAX(J$470:J809))/MAX(J$470:J809)&gt;U808,U808,(J809-MAX(J$470:J809))/MAX(J$470:J809))</f>
        <v>-0.40740740740740738</v>
      </c>
      <c r="V809" s="564">
        <f>IF((K809-MAX(K$470:K809))/MAX(K$470:K809)&gt;V808,V808,(K809-MAX(K$470:K809))/MAX(K$470:K809))</f>
        <v>-0.80725522782524772</v>
      </c>
      <c r="W809" s="564">
        <f>IF((N809-MAX(N$470:N809))/MAX(N$470:N809)&gt;W808,W808,(N809-MAX(N$470:N809))/MAX(N$470:N809))</f>
        <v>-0.1897647318309108</v>
      </c>
      <c r="X809" s="564">
        <f>IF((O809-MAX(O$470:O809))/MAX(O$470:O809)&gt;X808,X808,(O809-MAX(O$470:O809))/MAX(O$470:O809))</f>
        <v>-0.20159254550055417</v>
      </c>
    </row>
    <row r="810" spans="1:24">
      <c r="A810" s="799">
        <v>41212</v>
      </c>
      <c r="B810">
        <v>10.887499999999999</v>
      </c>
      <c r="C810">
        <v>16.683616000000001</v>
      </c>
      <c r="D810">
        <v>1.592854</v>
      </c>
      <c r="E810">
        <f>LN(D810/参数实验室!$E$53)/参数实验室!$E$55</f>
        <v>-0.14376086222027865</v>
      </c>
      <c r="F810">
        <f t="shared" si="68"/>
        <v>1.5323642709529279</v>
      </c>
      <c r="G810">
        <f>LN(F810/参数实验室!$E$58)/参数实验室!$E$59</f>
        <v>3.3483883568590528E-2</v>
      </c>
      <c r="H810" s="856">
        <f>INDEX(神经网络!$G$10:$BO$70,MATCH(ROUND(G810*2,1)/2,神经网络!$E$10:$E$70,0),MATCH(ROUND(E810*2,1)/2,神经网络!$G$8:$BO$8,0))</f>
        <v>0.18718278852188391</v>
      </c>
      <c r="I810">
        <f t="shared" si="70"/>
        <v>0.97742228413495169</v>
      </c>
      <c r="J810">
        <f t="shared" si="71"/>
        <v>4.3443996648178489</v>
      </c>
      <c r="K810">
        <f t="shared" si="72"/>
        <v>0.22498443042669114</v>
      </c>
      <c r="L810" s="4">
        <f>MIN(MAX(L809*(1+MAX(MIN(((B810-B809)/B809)/($K$7*卓尔金历!$N$40),0),-卓尔金历!$M$43))+MIN(MAX(((B810-B809)/B809)/($K$7*卓尔金历!$N$40),0),卓尔金历!$M$43),0),1)</f>
        <v>1</v>
      </c>
      <c r="M810" s="4">
        <f>MIN(MAX(M809*(1+MAX(MIN(((B810-B809)/B809)/($K$7*30),0),-卓尔金历!$M$43))+MIN(MAX(((B810-B809)/B809)/($K$7*7),0),卓尔金历!$M$43),0),1)</f>
        <v>1</v>
      </c>
      <c r="N810">
        <f t="shared" si="73"/>
        <v>0.99946387764087241</v>
      </c>
      <c r="O810">
        <f t="shared" si="74"/>
        <v>1.0192633593086928</v>
      </c>
      <c r="P810">
        <f t="shared" si="75"/>
        <v>2.7122641509433928E-2</v>
      </c>
      <c r="Q810">
        <f t="shared" si="66"/>
        <v>2.4245455284329299E-2</v>
      </c>
      <c r="R810">
        <f t="shared" si="67"/>
        <v>2.083042868256996E-2</v>
      </c>
      <c r="S810">
        <f t="shared" si="69"/>
        <v>1.0721109971237768</v>
      </c>
      <c r="T810" s="564">
        <f>IF((I810-MAX(I$470:I810))/MAX(I$470:I810)&gt;T809,T809,(I810-MAX(I$470:I810))/MAX(I$470:I810))</f>
        <v>-0.22786721585231193</v>
      </c>
      <c r="U810" s="564">
        <f>IF((J810-MAX(J$470:J810))/MAX(J$470:J810)&gt;U809,U809,(J810-MAX(J$470:J810))/MAX(J$470:J810))</f>
        <v>-0.40740740740740738</v>
      </c>
      <c r="V810" s="564">
        <f>IF((K810-MAX(K$470:K810))/MAX(K$470:K810)&gt;V809,V809,(K810-MAX(K$470:K810))/MAX(K$470:K810))</f>
        <v>-0.80725522782524772</v>
      </c>
      <c r="W810" s="564">
        <f>IF((N810-MAX(N$470:N810))/MAX(N$470:N810)&gt;W809,W809,(N810-MAX(N$470:N810))/MAX(N$470:N810))</f>
        <v>-0.1897647318309108</v>
      </c>
      <c r="X810" s="564">
        <f>IF((O810-MAX(O$470:O810))/MAX(O$470:O810)&gt;X809,X809,(O810-MAX(O$470:O810))/MAX(O$470:O810))</f>
        <v>-0.20159254550055417</v>
      </c>
    </row>
    <row r="811" spans="1:24">
      <c r="A811" s="799">
        <v>41213</v>
      </c>
      <c r="B811">
        <v>11.201000000000001</v>
      </c>
      <c r="C811">
        <v>16.577193000000001</v>
      </c>
      <c r="D811">
        <v>1.6314960000000001</v>
      </c>
      <c r="E811">
        <f>LN(D811/参数实验室!$E$53)/参数实验室!$E$55</f>
        <v>-0.11548216568146408</v>
      </c>
      <c r="F811">
        <f t="shared" si="68"/>
        <v>1.4799743772877423</v>
      </c>
      <c r="G811">
        <f>LN(F811/参数实验室!$E$58)/参数实验室!$E$59</f>
        <v>1.5225763484450228E-2</v>
      </c>
      <c r="H811" s="856">
        <f>INDEX(神经网络!$G$10:$BO$70,MATCH(ROUND(G811*2,1)/2,神经网络!$E$10:$E$70,0),MATCH(ROUND(E811*2,1)/2,神经网络!$G$8:$BO$8,0))</f>
        <v>0.14403683372405976</v>
      </c>
      <c r="I811">
        <f t="shared" si="70"/>
        <v>0.98269042678477025</v>
      </c>
      <c r="J811">
        <f t="shared" si="71"/>
        <v>4.4694944335820654</v>
      </c>
      <c r="K811">
        <f t="shared" si="72"/>
        <v>0.21986612611064277</v>
      </c>
      <c r="L811" s="4">
        <f>MIN(MAX(L810*(1+MAX(MIN(((B811-B810)/B810)/($K$7*卓尔金历!$N$40),0),-卓尔金历!$M$43))+MIN(MAX(((B811-B810)/B810)/($K$7*卓尔金历!$N$40),0),卓尔金历!$M$43),0),1)</f>
        <v>1</v>
      </c>
      <c r="M811" s="4">
        <f>MIN(MAX(M810*(1+MAX(MIN(((B811-B810)/B810)/($K$7*30),0),-卓尔金历!$M$43))+MIN(MAX(((B811-B810)/B810)/($K$7*7),0),卓尔金历!$M$43),0),1)</f>
        <v>1</v>
      </c>
      <c r="N811">
        <f t="shared" si="73"/>
        <v>1.0048508207935067</v>
      </c>
      <c r="O811">
        <f t="shared" si="74"/>
        <v>1.0247570183563006</v>
      </c>
      <c r="P811">
        <f t="shared" si="75"/>
        <v>2.8794489092996669E-2</v>
      </c>
      <c r="Q811">
        <f t="shared" si="66"/>
        <v>2.4773753411682517E-2</v>
      </c>
      <c r="R811">
        <f t="shared" si="67"/>
        <v>2.0598956864566628E-2</v>
      </c>
      <c r="S811">
        <f t="shared" si="69"/>
        <v>1.0722313657346161</v>
      </c>
      <c r="T811" s="564">
        <f>IF((I811-MAX(I$470:I811))/MAX(I$470:I811)&gt;T810,T810,(I811-MAX(I$470:I811))/MAX(I$470:I811))</f>
        <v>-0.22786721585231193</v>
      </c>
      <c r="U811" s="564">
        <f>IF((J811-MAX(J$470:J811))/MAX(J$470:J811)&gt;U810,U810,(J811-MAX(J$470:J811))/MAX(J$470:J811))</f>
        <v>-0.40740740740740738</v>
      </c>
      <c r="V811" s="564">
        <f>IF((K811-MAX(K$470:K811))/MAX(K$470:K811)&gt;V810,V810,(K811-MAX(K$470:K811))/MAX(K$470:K811))</f>
        <v>-0.80725522782524772</v>
      </c>
      <c r="W811" s="564">
        <f>IF((N811-MAX(N$470:N811))/MAX(N$470:N811)&gt;W810,W810,(N811-MAX(N$470:N811))/MAX(N$470:N811))</f>
        <v>-0.1897647318309108</v>
      </c>
      <c r="X811" s="564">
        <f>IF((O811-MAX(O$470:O811))/MAX(O$470:O811)&gt;X810,X810,(O811-MAX(O$470:O811))/MAX(O$470:O811))</f>
        <v>-0.20159254550055417</v>
      </c>
    </row>
    <row r="812" spans="1:24">
      <c r="A812" s="799">
        <v>41214</v>
      </c>
      <c r="B812">
        <v>10.57</v>
      </c>
      <c r="C812">
        <v>16.714466999999999</v>
      </c>
      <c r="D812">
        <v>1.5558670000000001</v>
      </c>
      <c r="E812">
        <f>LN(D812/参数实验室!$E$53)/参数实验室!$E$55</f>
        <v>-0.1714784913198229</v>
      </c>
      <c r="F812">
        <f t="shared" si="68"/>
        <v>1.5813119205298012</v>
      </c>
      <c r="G812">
        <f>LN(F812/参数实验室!$E$58)/参数实验室!$E$59</f>
        <v>4.9986876660035665E-2</v>
      </c>
      <c r="H812" s="856">
        <f>INDEX(神经网络!$G$10:$BO$70,MATCH(ROUND(G812*2,1)/2,神经网络!$E$10:$E$70,0),MATCH(ROUND(E812*2,1)/2,神经网络!$G$8:$BO$8,0))</f>
        <v>0.18718278852188391</v>
      </c>
      <c r="I812">
        <f t="shared" si="70"/>
        <v>0.97471667241384186</v>
      </c>
      <c r="J812">
        <f t="shared" si="71"/>
        <v>4.2177087905510602</v>
      </c>
      <c r="K812">
        <f t="shared" si="72"/>
        <v>0.23110098890599115</v>
      </c>
      <c r="L812" s="4">
        <f>MIN(MAX(L811*(1+MAX(MIN(((B812-B811)/B811)/($K$7*卓尔金历!$N$40),0),-卓尔金历!$M$43))+MIN(MAX(((B812-B811)/B811)/($K$7*卓尔金历!$N$40),0),卓尔金历!$M$43),0),1)</f>
        <v>0.13926663024747032</v>
      </c>
      <c r="M812" s="4">
        <f>MIN(MAX(M811*(1+MAX(MIN(((B812-B811)/B811)/($K$7*30),0),-卓尔金历!$M$43))+MIN(MAX(((B812-B811)/B811)/($K$7*7),0),卓尔金历!$M$43),0),1)</f>
        <v>0.56963331512373516</v>
      </c>
      <c r="N812">
        <f t="shared" si="73"/>
        <v>0.99669725237964846</v>
      </c>
      <c r="O812">
        <f t="shared" si="74"/>
        <v>1.0164419269179998</v>
      </c>
      <c r="P812">
        <f t="shared" si="75"/>
        <v>-5.6334255870011625E-2</v>
      </c>
      <c r="Q812">
        <f t="shared" ref="Q812:Q875" si="76">STDEVP(P792:P812)</f>
        <v>2.7217872703083051E-2</v>
      </c>
      <c r="R812">
        <f t="shared" ref="R812:R875" si="77">MIN(Q811*MAX(1-LN(MAX(ABS(P812),0.0001)/Q812),0)+MAX(-LN(MAX(ABS(P812),0.0001)/Q812),0),1)</f>
        <v>6.7526077241214354E-3</v>
      </c>
      <c r="S812">
        <f t="shared" si="69"/>
        <v>1.0720521484621144</v>
      </c>
      <c r="T812" s="564">
        <f>IF((I812-MAX(I$470:I812))/MAX(I$470:I812)&gt;T811,T811,(I812-MAX(I$470:I812))/MAX(I$470:I812))</f>
        <v>-0.22786721585231193</v>
      </c>
      <c r="U812" s="564">
        <f>IF((J812-MAX(J$470:J812))/MAX(J$470:J812)&gt;U811,U811,(J812-MAX(J$470:J812))/MAX(J$470:J812))</f>
        <v>-0.40740740740740738</v>
      </c>
      <c r="V812" s="564">
        <f>IF((K812-MAX(K$470:K812))/MAX(K$470:K812)&gt;V811,V811,(K812-MAX(K$470:K812))/MAX(K$470:K812))</f>
        <v>-0.80725522782524772</v>
      </c>
      <c r="W812" s="564">
        <f>IF((N812-MAX(N$470:N812))/MAX(N$470:N812)&gt;W811,W811,(N812-MAX(N$470:N812))/MAX(N$470:N812))</f>
        <v>-0.1897647318309108</v>
      </c>
      <c r="X812" s="564">
        <f>IF((O812-MAX(O$470:O812))/MAX(O$470:O812)&gt;X811,X811,(O812-MAX(O$470:O812))/MAX(O$470:O812))</f>
        <v>-0.20159254550055417</v>
      </c>
    </row>
    <row r="813" spans="1:24">
      <c r="A813" s="799">
        <v>41215</v>
      </c>
      <c r="B813">
        <v>10.4688</v>
      </c>
      <c r="C813">
        <v>16.641051999999998</v>
      </c>
      <c r="D813">
        <v>1.5453110000000001</v>
      </c>
      <c r="E813">
        <f>LN(D813/参数实验室!$E$53)/参数实验室!$E$55</f>
        <v>-0.17950997054503276</v>
      </c>
      <c r="F813">
        <f t="shared" si="68"/>
        <v>1.5895854348158336</v>
      </c>
      <c r="G813">
        <f>LN(F813/参数实验室!$E$58)/参数实验室!$E$59</f>
        <v>5.272578416233864E-2</v>
      </c>
      <c r="H813" s="856">
        <f>INDEX(神经网络!$G$10:$BO$70,MATCH(ROUND(G813*2,1)/2,神经网络!$E$10:$E$70,0),MATCH(ROUND(E813*2,1)/2,神经网络!$G$8:$BO$8,0))</f>
        <v>0.14368643752345239</v>
      </c>
      <c r="I813">
        <f t="shared" si="70"/>
        <v>0.97296984566854072</v>
      </c>
      <c r="J813">
        <f t="shared" si="71"/>
        <v>4.1773273213359445</v>
      </c>
      <c r="K813">
        <f t="shared" si="72"/>
        <v>0.23291683194157187</v>
      </c>
      <c r="L813" s="4">
        <f>MIN(MAX(L812*(1+MAX(MIN(((B813-B812)/B812)/($K$7*卓尔金历!$N$40),0),-卓尔金历!$M$43))+MIN(MAX(((B813-B812)/B812)/($K$7*卓尔金历!$N$40),0),卓尔金历!$M$43),0),1)</f>
        <v>0.11889392644817161</v>
      </c>
      <c r="M813" s="4">
        <f>MIN(MAX(M812*(1+MAX(MIN(((B813-B812)/B812)/($K$7*30),0),-卓尔金历!$M$43))+MIN(MAX(((B813-B812)/B812)/($K$7*7),0),卓尔金历!$M$43),0),1)</f>
        <v>0.52796873695950819</v>
      </c>
      <c r="N813">
        <f t="shared" si="73"/>
        <v>0.99644849168184313</v>
      </c>
      <c r="O813">
        <f t="shared" si="74"/>
        <v>1.0154042805028427</v>
      </c>
      <c r="P813">
        <f t="shared" si="75"/>
        <v>-9.5742667928098765E-3</v>
      </c>
      <c r="Q813">
        <f t="shared" si="76"/>
        <v>2.721913581354244E-2</v>
      </c>
      <c r="R813">
        <f t="shared" si="77"/>
        <v>1</v>
      </c>
      <c r="S813">
        <f t="shared" si="69"/>
        <v>1.072039174910896</v>
      </c>
      <c r="T813" s="564">
        <f>IF((I813-MAX(I$470:I813))/MAX(I$470:I813)&gt;T812,T812,(I813-MAX(I$470:I813))/MAX(I$470:I813))</f>
        <v>-0.22786721585231193</v>
      </c>
      <c r="U813" s="564">
        <f>IF((J813-MAX(J$470:J813))/MAX(J$470:J813)&gt;U812,U812,(J813-MAX(J$470:J813))/MAX(J$470:J813))</f>
        <v>-0.40740740740740738</v>
      </c>
      <c r="V813" s="564">
        <f>IF((K813-MAX(K$470:K813))/MAX(K$470:K813)&gt;V812,V812,(K813-MAX(K$470:K813))/MAX(K$470:K813))</f>
        <v>-0.80725522782524772</v>
      </c>
      <c r="W813" s="564">
        <f>IF((N813-MAX(N$470:N813))/MAX(N$470:N813)&gt;W812,W812,(N813-MAX(N$470:N813))/MAX(N$470:N813))</f>
        <v>-0.1897647318309108</v>
      </c>
      <c r="X813" s="564">
        <f>IF((O813-MAX(O$470:O813))/MAX(O$470:O813)&gt;X812,X812,(O813-MAX(O$470:O813))/MAX(O$470:O813))</f>
        <v>-0.20159254550055417</v>
      </c>
    </row>
    <row r="814" spans="1:24">
      <c r="A814" s="799">
        <v>41216</v>
      </c>
      <c r="B814">
        <v>10.6425</v>
      </c>
      <c r="C814">
        <v>16.513722999999999</v>
      </c>
      <c r="D814">
        <v>1.562384</v>
      </c>
      <c r="E814">
        <f>LN(D814/参数实验室!$E$53)/参数实验室!$E$55</f>
        <v>-0.16654722498806093</v>
      </c>
      <c r="F814">
        <f t="shared" si="68"/>
        <v>1.5516770495654215</v>
      </c>
      <c r="G814">
        <f>LN(F814/参数实验室!$E$58)/参数实验室!$E$59</f>
        <v>4.0057415753233613E-2</v>
      </c>
      <c r="H814" s="856">
        <f>INDEX(神经网络!$G$10:$BO$70,MATCH(ROUND(G814*2,1)/2,神经网络!$E$10:$E$70,0),MATCH(ROUND(E814*2,1)/2,神经网络!$G$8:$BO$8,0))</f>
        <v>0.18718278852188391</v>
      </c>
      <c r="I814">
        <f t="shared" si="70"/>
        <v>0.97528947223248319</v>
      </c>
      <c r="J814">
        <f t="shared" si="71"/>
        <v>4.2466382027852081</v>
      </c>
      <c r="K814">
        <f t="shared" si="72"/>
        <v>0.2296615406494549</v>
      </c>
      <c r="L814" s="4">
        <f>MIN(MAX(L813*(1+MAX(MIN(((B814-B813)/B813)/($K$7*卓尔金历!$N$40),0),-卓尔金历!$M$43))+MIN(MAX(((B814-B813)/B813)/($K$7*卓尔金历!$N$40),0),卓尔金历!$M$43),0),1)</f>
        <v>0.37240620221803422</v>
      </c>
      <c r="M814" s="4">
        <f>MIN(MAX(M813*(1+MAX(MIN(((B814-B813)/B813)/($K$7*30),0),-卓尔金历!$M$43))+MIN(MAX(((B814-B813)/B813)/($K$7*7),0),卓尔金历!$M$43),0),1)</f>
        <v>1</v>
      </c>
      <c r="N814">
        <f t="shared" si="73"/>
        <v>0.99673093624327014</v>
      </c>
      <c r="O814">
        <f t="shared" si="74"/>
        <v>1.0166823836072085</v>
      </c>
      <c r="P814">
        <f t="shared" si="75"/>
        <v>1.6592159559834955E-2</v>
      </c>
      <c r="Q814">
        <f t="shared" si="76"/>
        <v>2.760745969908775E-2</v>
      </c>
      <c r="R814">
        <f t="shared" si="77"/>
        <v>0.55023366228561299</v>
      </c>
      <c r="S814">
        <f t="shared" si="69"/>
        <v>1.0745949895219866</v>
      </c>
      <c r="T814" s="564">
        <f>IF((I814-MAX(I$470:I814))/MAX(I$470:I814)&gt;T813,T813,(I814-MAX(I$470:I814))/MAX(I$470:I814))</f>
        <v>-0.22786721585231193</v>
      </c>
      <c r="U814" s="564">
        <f>IF((J814-MAX(J$470:J814))/MAX(J$470:J814)&gt;U813,U813,(J814-MAX(J$470:J814))/MAX(J$470:J814))</f>
        <v>-0.40740740740740738</v>
      </c>
      <c r="V814" s="564">
        <f>IF((K814-MAX(K$470:K814))/MAX(K$470:K814)&gt;V813,V813,(K814-MAX(K$470:K814))/MAX(K$470:K814))</f>
        <v>-0.80725522782524772</v>
      </c>
      <c r="W814" s="564">
        <f>IF((N814-MAX(N$470:N814))/MAX(N$470:N814)&gt;W813,W813,(N814-MAX(N$470:N814))/MAX(N$470:N814))</f>
        <v>-0.1897647318309108</v>
      </c>
      <c r="X814" s="564">
        <f>IF((O814-MAX(O$470:O814))/MAX(O$470:O814)&gt;X813,X813,(O814-MAX(O$470:O814))/MAX(O$470:O814))</f>
        <v>-0.20159254550055417</v>
      </c>
    </row>
    <row r="815" spans="1:24">
      <c r="A815" s="799">
        <v>41217</v>
      </c>
      <c r="B815">
        <v>10.8001</v>
      </c>
      <c r="C815">
        <v>16.325513999999998</v>
      </c>
      <c r="D815">
        <v>1.5810930000000001</v>
      </c>
      <c r="E815">
        <f>LN(D815/参数实验室!$E$53)/参数实验室!$E$55</f>
        <v>-0.15250400847143519</v>
      </c>
      <c r="F815">
        <f t="shared" si="68"/>
        <v>1.5116076702993488</v>
      </c>
      <c r="G815">
        <f>LN(F815/参数实验室!$E$58)/参数实验室!$E$59</f>
        <v>2.6325897332159839E-2</v>
      </c>
      <c r="H815" s="856">
        <f>INDEX(神经网络!$G$10:$BO$70,MATCH(ROUND(G815*2,1)/2,神经网络!$E$10:$E$70,0),MATCH(ROUND(E815*2,1)/2,神经网络!$G$8:$BO$8,0))</f>
        <v>0.18718278852188391</v>
      </c>
      <c r="I815">
        <f t="shared" si="70"/>
        <v>0.97799288277674368</v>
      </c>
      <c r="J815">
        <f t="shared" si="71"/>
        <v>4.3095247595866129</v>
      </c>
      <c r="K815">
        <f t="shared" si="72"/>
        <v>0.22693752497910158</v>
      </c>
      <c r="L815" s="4">
        <f>MIN(MAX(L814*(1+MAX(MIN(((B815-B814)/B814)/($K$7*卓尔金历!$N$40),0),-卓尔金历!$M$43))+MIN(MAX(((B815-B814)/B814)/($K$7*卓尔金历!$N$40),0),卓尔金历!$M$43),0),1)</f>
        <v>0.598666645026938</v>
      </c>
      <c r="M815" s="4">
        <f>MIN(MAX(M814*(1+MAX(MIN(((B815-B814)/B814)/($K$7*30),0),-卓尔金历!$M$43))+MIN(MAX(((B815-B814)/B814)/($K$7*7),0),卓尔金历!$M$43),0),1)</f>
        <v>1</v>
      </c>
      <c r="N815">
        <f t="shared" si="73"/>
        <v>0.9977598365824627</v>
      </c>
      <c r="O815">
        <f t="shared" si="74"/>
        <v>1.0195005314025662</v>
      </c>
      <c r="P815">
        <f t="shared" si="75"/>
        <v>1.4808550622504149E-2</v>
      </c>
      <c r="Q815">
        <f t="shared" si="76"/>
        <v>2.7883984592691324E-2</v>
      </c>
      <c r="R815">
        <f t="shared" si="77"/>
        <v>0.67792651444681595</v>
      </c>
      <c r="S815">
        <f t="shared" si="69"/>
        <v>1.0762339573722046</v>
      </c>
      <c r="T815" s="564">
        <f>IF((I815-MAX(I$470:I815))/MAX(I$470:I815)&gt;T814,T814,(I815-MAX(I$470:I815))/MAX(I$470:I815))</f>
        <v>-0.22786721585231193</v>
      </c>
      <c r="U815" s="564">
        <f>IF((J815-MAX(J$470:J815))/MAX(J$470:J815)&gt;U814,U814,(J815-MAX(J$470:J815))/MAX(J$470:J815))</f>
        <v>-0.40740740740740738</v>
      </c>
      <c r="V815" s="564">
        <f>IF((K815-MAX(K$470:K815))/MAX(K$470:K815)&gt;V814,V814,(K815-MAX(K$470:K815))/MAX(K$470:K815))</f>
        <v>-0.80725522782524772</v>
      </c>
      <c r="W815" s="564">
        <f>IF((N815-MAX(N$470:N815))/MAX(N$470:N815)&gt;W814,W814,(N815-MAX(N$470:N815))/MAX(N$470:N815))</f>
        <v>-0.1897647318309108</v>
      </c>
      <c r="X815" s="564">
        <f>IF((O815-MAX(O$470:O815))/MAX(O$470:O815)&gt;X814,X814,(O815-MAX(O$470:O815))/MAX(O$470:O815))</f>
        <v>-0.20159254550055417</v>
      </c>
    </row>
    <row r="816" spans="1:24">
      <c r="A816" s="799">
        <v>41218</v>
      </c>
      <c r="B816">
        <v>10.747999999999999</v>
      </c>
      <c r="C816">
        <v>16.313298</v>
      </c>
      <c r="D816">
        <v>1.5722579999999999</v>
      </c>
      <c r="E816">
        <f>LN(D816/参数实验室!$E$53)/参数实验室!$E$55</f>
        <v>-0.15911484702659739</v>
      </c>
      <c r="F816">
        <f t="shared" si="68"/>
        <v>1.5177984741347228</v>
      </c>
      <c r="G816">
        <f>LN(F816/参数实验室!$E$58)/参数实验室!$E$59</f>
        <v>2.8471052383144162E-2</v>
      </c>
      <c r="H816" s="856">
        <f>INDEX(神经网络!$G$10:$BO$70,MATCH(ROUND(G816*2,1)/2,神经网络!$E$10:$E$70,0),MATCH(ROUND(E816*2,1)/2,神经网络!$G$8:$BO$8,0))</f>
        <v>0.18718278852188391</v>
      </c>
      <c r="I816">
        <f t="shared" si="70"/>
        <v>0.97710977938316068</v>
      </c>
      <c r="J816">
        <f t="shared" si="71"/>
        <v>4.2887354854155895</v>
      </c>
      <c r="K816">
        <f t="shared" si="72"/>
        <v>0.2278316726937232</v>
      </c>
      <c r="L816" s="4">
        <f>MIN(MAX(L815*(1+MAX(MIN(((B816-B815)/B815)/($K$7*卓尔金历!$N$40),0),-卓尔金历!$M$43))+MIN(MAX(((B816-B815)/B815)/($K$7*卓尔金历!$N$40),0),卓尔金历!$M$43),0),1)</f>
        <v>0.55454099796889633</v>
      </c>
      <c r="M816" s="4">
        <f>MIN(MAX(M815*(1+MAX(MIN(((B816-B815)/B815)/($K$7*30),0),-卓尔金历!$M$43))+MIN(MAX(((B816-B815)/B815)/($K$7*7),0),卓尔金历!$M$43),0),1)</f>
        <v>0.96314672996684469</v>
      </c>
      <c r="N816">
        <f t="shared" si="73"/>
        <v>0.99722046639341644</v>
      </c>
      <c r="O816">
        <f t="shared" si="74"/>
        <v>1.0185799476284951</v>
      </c>
      <c r="P816">
        <f t="shared" si="75"/>
        <v>-4.8240294071352254E-3</v>
      </c>
      <c r="Q816">
        <f t="shared" si="76"/>
        <v>2.7754628413193656E-2</v>
      </c>
      <c r="R816">
        <f t="shared" si="77"/>
        <v>1</v>
      </c>
      <c r="S816">
        <f t="shared" si="69"/>
        <v>1.0755751398062618</v>
      </c>
      <c r="T816" s="564">
        <f>IF((I816-MAX(I$470:I816))/MAX(I$470:I816)&gt;T815,T815,(I816-MAX(I$470:I816))/MAX(I$470:I816))</f>
        <v>-0.22786721585231193</v>
      </c>
      <c r="U816" s="564">
        <f>IF((J816-MAX(J$470:J816))/MAX(J$470:J816)&gt;U815,U815,(J816-MAX(J$470:J816))/MAX(J$470:J816))</f>
        <v>-0.40740740740740738</v>
      </c>
      <c r="V816" s="564">
        <f>IF((K816-MAX(K$470:K816))/MAX(K$470:K816)&gt;V815,V815,(K816-MAX(K$470:K816))/MAX(K$470:K816))</f>
        <v>-0.80725522782524772</v>
      </c>
      <c r="W816" s="564">
        <f>IF((N816-MAX(N$470:N816))/MAX(N$470:N816)&gt;W815,W815,(N816-MAX(N$470:N816))/MAX(N$470:N816))</f>
        <v>-0.1897647318309108</v>
      </c>
      <c r="X816" s="564">
        <f>IF((O816-MAX(O$470:O816))/MAX(O$470:O816)&gt;X815,X815,(O816-MAX(O$470:O816))/MAX(O$470:O816))</f>
        <v>-0.20159254550055417</v>
      </c>
    </row>
    <row r="817" spans="1:24">
      <c r="A817" s="799">
        <v>41219</v>
      </c>
      <c r="B817">
        <v>10.898999999999999</v>
      </c>
      <c r="C817">
        <v>16.240665</v>
      </c>
      <c r="D817">
        <v>1.58972</v>
      </c>
      <c r="E817">
        <f>LN(D817/参数实验室!$E$53)/参数实验室!$E$55</f>
        <v>-0.14608435751793711</v>
      </c>
      <c r="F817">
        <f t="shared" si="68"/>
        <v>1.4901059730250483</v>
      </c>
      <c r="G817">
        <f>LN(F817/参数实验室!$E$58)/参数实验室!$E$59</f>
        <v>1.8806561971030474E-2</v>
      </c>
      <c r="H817" s="856">
        <f>INDEX(神经网络!$G$10:$BO$70,MATCH(ROUND(G817*2,1)/2,神经网络!$E$10:$E$70,0),MATCH(ROUND(E817*2,1)/2,神经网络!$G$8:$BO$8,0))</f>
        <v>9.8661926014030996E-2</v>
      </c>
      <c r="I817">
        <f t="shared" si="70"/>
        <v>0.97967933819528752</v>
      </c>
      <c r="J817">
        <f t="shared" si="71"/>
        <v>4.3489884681377475</v>
      </c>
      <c r="K817">
        <f t="shared" si="72"/>
        <v>0.22526602343804092</v>
      </c>
      <c r="L817" s="4">
        <f>MIN(MAX(L816*(1+MAX(MIN(((B817-B816)/B816)/($K$7*卓尔金历!$N$40),0),-卓尔金历!$M$43))+MIN(MAX(((B817-B816)/B816)/($K$7*卓尔金历!$N$40),0),卓尔金历!$M$43),0),1)</f>
        <v>0.76919815242925638</v>
      </c>
      <c r="M817" s="4">
        <f>MIN(MAX(M816*(1+MAX(MIN(((B817-B816)/B816)/($K$7*30),0),-卓尔金历!$M$43))+MIN(MAX(((B817-B816)/B816)/($K$7*7),0),卓尔金历!$M$43),0),1)</f>
        <v>1</v>
      </c>
      <c r="N817">
        <f t="shared" si="73"/>
        <v>0.99867471965042642</v>
      </c>
      <c r="O817">
        <f t="shared" si="74"/>
        <v>1.0211598470727581</v>
      </c>
      <c r="P817">
        <f t="shared" si="75"/>
        <v>1.4049125418682529E-2</v>
      </c>
      <c r="Q817">
        <f t="shared" si="76"/>
        <v>2.8008932607760974E-2</v>
      </c>
      <c r="R817">
        <f t="shared" si="77"/>
        <v>0.73686763933592592</v>
      </c>
      <c r="S817">
        <f t="shared" si="69"/>
        <v>1.0784036383403144</v>
      </c>
      <c r="T817" s="564">
        <f>IF((I817-MAX(I$470:I817))/MAX(I$470:I817)&gt;T816,T816,(I817-MAX(I$470:I817))/MAX(I$470:I817))</f>
        <v>-0.22786721585231193</v>
      </c>
      <c r="U817" s="564">
        <f>IF((J817-MAX(J$470:J817))/MAX(J$470:J817)&gt;U816,U816,(J817-MAX(J$470:J817))/MAX(J$470:J817))</f>
        <v>-0.40740740740740738</v>
      </c>
      <c r="V817" s="564">
        <f>IF((K817-MAX(K$470:K817))/MAX(K$470:K817)&gt;V816,V816,(K817-MAX(K$470:K817))/MAX(K$470:K817))</f>
        <v>-0.80725522782524772</v>
      </c>
      <c r="W817" s="564">
        <f>IF((N817-MAX(N$470:N817))/MAX(N$470:N817)&gt;W816,W816,(N817-MAX(N$470:N817))/MAX(N$470:N817))</f>
        <v>-0.1897647318309108</v>
      </c>
      <c r="X817" s="564">
        <f>IF((O817-MAX(O$470:O817))/MAX(O$470:O817)&gt;X816,X816,(O817-MAX(O$470:O817))/MAX(O$470:O817))</f>
        <v>-0.20159254550055417</v>
      </c>
    </row>
    <row r="818" spans="1:24">
      <c r="A818" s="799">
        <v>41220</v>
      </c>
      <c r="B818">
        <v>10.92</v>
      </c>
      <c r="C818">
        <v>16.510249999999999</v>
      </c>
      <c r="D818">
        <v>1.6001019999999999</v>
      </c>
      <c r="E818">
        <f>LN(D818/参数实验室!$E$53)/参数实验室!$E$55</f>
        <v>-0.13840478077127483</v>
      </c>
      <c r="F818">
        <f t="shared" si="68"/>
        <v>1.5119276556776555</v>
      </c>
      <c r="G818">
        <f>LN(F818/参数实验室!$E$58)/参数实验室!$E$59</f>
        <v>2.64369895484243E-2</v>
      </c>
      <c r="H818" s="856">
        <f>INDEX(神经网络!$G$10:$BO$70,MATCH(ROUND(G818*2,1)/2,神经网络!$E$10:$E$70,0),MATCH(ROUND(E818*2,1)/2,神经网络!$G$8:$BO$8,0))</f>
        <v>0.18718278852188391</v>
      </c>
      <c r="I818">
        <f t="shared" si="70"/>
        <v>0.97986557528658336</v>
      </c>
      <c r="J818">
        <f t="shared" si="71"/>
        <v>4.3573680220262601</v>
      </c>
      <c r="K818">
        <f t="shared" si="72"/>
        <v>0.22487556027707914</v>
      </c>
      <c r="L818" s="4">
        <f>MIN(MAX(L817*(1+MAX(MIN(((B818-B817)/B817)/($K$7*卓尔金历!$N$40),0),-卓尔金历!$M$43))+MIN(MAX(((B818-B817)/B817)/($K$7*卓尔金历!$N$40),0),卓尔金历!$M$43),0),1)</f>
        <v>0.79863753657528402</v>
      </c>
      <c r="M818" s="4">
        <f>MIN(MAX(M817*(1+MAX(MIN(((B818-B817)/B817)/($K$7*30),0),-卓尔金历!$M$43))+MIN(MAX(((B818-B817)/B817)/($K$7*7),0),卓尔金历!$M$43),0),1)</f>
        <v>1</v>
      </c>
      <c r="N818">
        <f t="shared" si="73"/>
        <v>0.9988207504691593</v>
      </c>
      <c r="O818">
        <f t="shared" si="74"/>
        <v>1.0213539696108707</v>
      </c>
      <c r="P818">
        <f t="shared" si="75"/>
        <v>1.9267822736031561E-3</v>
      </c>
      <c r="Q818">
        <f t="shared" si="76"/>
        <v>2.8033474298804251E-2</v>
      </c>
      <c r="R818">
        <f t="shared" si="77"/>
        <v>1</v>
      </c>
      <c r="S818">
        <f t="shared" si="69"/>
        <v>1.0785546995854334</v>
      </c>
      <c r="T818" s="564">
        <f>IF((I818-MAX(I$470:I818))/MAX(I$470:I818)&gt;T817,T817,(I818-MAX(I$470:I818))/MAX(I$470:I818))</f>
        <v>-0.22786721585231193</v>
      </c>
      <c r="U818" s="564">
        <f>IF((J818-MAX(J$470:J818))/MAX(J$470:J818)&gt;U817,U817,(J818-MAX(J$470:J818))/MAX(J$470:J818))</f>
        <v>-0.40740740740740738</v>
      </c>
      <c r="V818" s="564">
        <f>IF((K818-MAX(K$470:K818))/MAX(K$470:K818)&gt;V817,V817,(K818-MAX(K$470:K818))/MAX(K$470:K818))</f>
        <v>-0.80725522782524772</v>
      </c>
      <c r="W818" s="564">
        <f>IF((N818-MAX(N$470:N818))/MAX(N$470:N818)&gt;W817,W817,(N818-MAX(N$470:N818))/MAX(N$470:N818))</f>
        <v>-0.1897647318309108</v>
      </c>
      <c r="X818" s="564">
        <f>IF((O818-MAX(O$470:O818))/MAX(O$470:O818)&gt;X817,X817,(O818-MAX(O$470:O818))/MAX(O$470:O818))</f>
        <v>-0.20159254550055417</v>
      </c>
    </row>
    <row r="819" spans="1:24">
      <c r="A819" s="799">
        <v>41221</v>
      </c>
      <c r="B819">
        <v>10.925000000000001</v>
      </c>
      <c r="C819">
        <v>16.419609999999999</v>
      </c>
      <c r="D819">
        <v>1.5902080000000001</v>
      </c>
      <c r="E819">
        <f>LN(D819/参数实验室!$E$53)/参数实验室!$E$55</f>
        <v>-0.14572226152860773</v>
      </c>
      <c r="F819">
        <f t="shared" si="68"/>
        <v>1.5029391304347823</v>
      </c>
      <c r="G819">
        <f>LN(F819/参数实验室!$E$58)/参数实验室!$E$59</f>
        <v>2.3307380097743628E-2</v>
      </c>
      <c r="H819" s="856">
        <f>INDEX(神经网络!$G$10:$BO$70,MATCH(ROUND(G819*2,1)/2,神经网络!$E$10:$E$70,0),MATCH(ROUND(E819*2,1)/2,神经网络!$G$8:$BO$8,0))</f>
        <v>9.8661926014030996E-2</v>
      </c>
      <c r="I819">
        <f t="shared" si="70"/>
        <v>0.97994955604242528</v>
      </c>
      <c r="J819">
        <f t="shared" si="71"/>
        <v>4.3593631539044777</v>
      </c>
      <c r="K819">
        <f t="shared" si="72"/>
        <v>0.22479190685564479</v>
      </c>
      <c r="L819" s="4">
        <f>MIN(MAX(L818*(1+MAX(MIN(((B819-B818)/B818)/($K$7*卓尔金历!$N$40),0),-卓尔金历!$M$43))+MIN(MAX(((B819-B818)/B818)/($K$7*卓尔金历!$N$40),0),卓尔金历!$M$43),0),1)</f>
        <v>0.80563343418141509</v>
      </c>
      <c r="M819" s="4">
        <f>MIN(MAX(M818*(1+MAX(MIN(((B819-B818)/B818)/($K$7*30),0),-卓尔金历!$M$43))+MIN(MAX(((B819-B818)/B818)/($K$7*7),0),卓尔金历!$M$43),0),1)</f>
        <v>1</v>
      </c>
      <c r="N819">
        <f t="shared" si="73"/>
        <v>0.99888911810363079</v>
      </c>
      <c r="O819">
        <f t="shared" si="74"/>
        <v>1.0214415061878392</v>
      </c>
      <c r="P819">
        <f t="shared" si="75"/>
        <v>4.5787545787552943E-4</v>
      </c>
      <c r="Q819">
        <f t="shared" si="76"/>
        <v>2.7866637851295915E-2</v>
      </c>
      <c r="R819">
        <f t="shared" si="77"/>
        <v>1</v>
      </c>
      <c r="S819">
        <f t="shared" si="69"/>
        <v>1.0786471386313317</v>
      </c>
      <c r="T819" s="564">
        <f>IF((I819-MAX(I$470:I819))/MAX(I$470:I819)&gt;T818,T818,(I819-MAX(I$470:I819))/MAX(I$470:I819))</f>
        <v>-0.22786721585231193</v>
      </c>
      <c r="U819" s="564">
        <f>IF((J819-MAX(J$470:J819))/MAX(J$470:J819)&gt;U818,U818,(J819-MAX(J$470:J819))/MAX(J$470:J819))</f>
        <v>-0.40740740740740738</v>
      </c>
      <c r="V819" s="564">
        <f>IF((K819-MAX(K$470:K819))/MAX(K$470:K819)&gt;V818,V818,(K819-MAX(K$470:K819))/MAX(K$470:K819))</f>
        <v>-0.80725522782524772</v>
      </c>
      <c r="W819" s="564">
        <f>IF((N819-MAX(N$470:N819))/MAX(N$470:N819)&gt;W818,W818,(N819-MAX(N$470:N819))/MAX(N$470:N819))</f>
        <v>-0.1897647318309108</v>
      </c>
      <c r="X819" s="564">
        <f>IF((O819-MAX(O$470:O819))/MAX(O$470:O819)&gt;X818,X818,(O819-MAX(O$470:O819))/MAX(O$470:O819))</f>
        <v>-0.20159254550055417</v>
      </c>
    </row>
    <row r="820" spans="1:24">
      <c r="A820" s="799">
        <v>41222</v>
      </c>
      <c r="B820">
        <v>10.815</v>
      </c>
      <c r="C820">
        <v>16.426929000000001</v>
      </c>
      <c r="D820">
        <v>1.578443</v>
      </c>
      <c r="E820">
        <f>LN(D820/参数实验室!$E$53)/参数实验室!$E$55</f>
        <v>-0.15448299958254955</v>
      </c>
      <c r="F820">
        <f t="shared" si="68"/>
        <v>1.5189023578363385</v>
      </c>
      <c r="G820">
        <f>LN(F820/参数实验室!$E$58)/参数实验室!$E$59</f>
        <v>2.8852636135685908E-2</v>
      </c>
      <c r="H820" s="856">
        <f>INDEX(神经网络!$G$10:$BO$70,MATCH(ROUND(G820*2,1)/2,神经网络!$E$10:$E$70,0),MATCH(ROUND(E820*2,1)/2,神经网络!$G$8:$BO$8,0))</f>
        <v>0.18718278852188391</v>
      </c>
      <c r="I820">
        <f t="shared" si="70"/>
        <v>0.97897608161079763</v>
      </c>
      <c r="J820">
        <f t="shared" si="71"/>
        <v>4.3154702525837001</v>
      </c>
      <c r="K820">
        <f t="shared" si="72"/>
        <v>0.22685270070502242</v>
      </c>
      <c r="L820" s="4">
        <f>MIN(MAX(L819*(1+MAX(MIN(((B820-B819)/B819)/($K$7*卓尔金历!$N$40),0),-卓尔金历!$M$43))+MIN(MAX(((B820-B819)/B819)/($K$7*卓尔金历!$N$40),0),卓尔金历!$M$43),0),1)</f>
        <v>0.68169534409178589</v>
      </c>
      <c r="M820" s="4">
        <f>MIN(MAX(M819*(1+MAX(MIN(((B820-B819)/B819)/($K$7*30),0),-卓尔金历!$M$43))+MIN(MAX(((B820-B819)/B819)/($K$7*7),0),卓尔金历!$M$43),0),1)</f>
        <v>0.92308034595438571</v>
      </c>
      <c r="N820">
        <f t="shared" si="73"/>
        <v>0.99808969703095374</v>
      </c>
      <c r="O820">
        <f t="shared" si="74"/>
        <v>1.0204268139686878</v>
      </c>
      <c r="P820">
        <f t="shared" si="75"/>
        <v>-1.0068649885583633E-2</v>
      </c>
      <c r="Q820">
        <f t="shared" si="76"/>
        <v>2.7755711084244551E-2</v>
      </c>
      <c r="R820">
        <f t="shared" si="77"/>
        <v>1</v>
      </c>
      <c r="S820">
        <f t="shared" si="69"/>
        <v>1.0775756187722416</v>
      </c>
      <c r="T820" s="564">
        <f>IF((I820-MAX(I$470:I820))/MAX(I$470:I820)&gt;T819,T819,(I820-MAX(I$470:I820))/MAX(I$470:I820))</f>
        <v>-0.22786721585231193</v>
      </c>
      <c r="U820" s="564">
        <f>IF((J820-MAX(J$470:J820))/MAX(J$470:J820)&gt;U819,U819,(J820-MAX(J$470:J820))/MAX(J$470:J820))</f>
        <v>-0.40740740740740738</v>
      </c>
      <c r="V820" s="564">
        <f>IF((K820-MAX(K$470:K820))/MAX(K$470:K820)&gt;V819,V819,(K820-MAX(K$470:K820))/MAX(K$470:K820))</f>
        <v>-0.80725522782524772</v>
      </c>
      <c r="W820" s="564">
        <f>IF((N820-MAX(N$470:N820))/MAX(N$470:N820)&gt;W819,W819,(N820-MAX(N$470:N820))/MAX(N$470:N820))</f>
        <v>-0.1897647318309108</v>
      </c>
      <c r="X820" s="564">
        <f>IF((O820-MAX(O$470:O820))/MAX(O$470:O820)&gt;X819,X819,(O820-MAX(O$470:O820))/MAX(O$470:O820))</f>
        <v>-0.20159254550055417</v>
      </c>
    </row>
    <row r="821" spans="1:24">
      <c r="A821" s="799">
        <v>41223</v>
      </c>
      <c r="B821">
        <v>10.89</v>
      </c>
      <c r="C821">
        <v>16.399504</v>
      </c>
      <c r="D821">
        <v>1.584578</v>
      </c>
      <c r="E821">
        <f>LN(D821/参数实验室!$E$53)/参数实验室!$E$55</f>
        <v>-0.14990649172622911</v>
      </c>
      <c r="F821">
        <f t="shared" si="68"/>
        <v>1.5059232323232323</v>
      </c>
      <c r="G821">
        <f>LN(F821/参数实验室!$E$58)/参数实验室!$E$59</f>
        <v>2.4348450286943407E-2</v>
      </c>
      <c r="H821" s="856">
        <f>INDEX(神经网络!$G$10:$BO$70,MATCH(ROUND(G821*2,1)/2,神经网络!$E$10:$E$70,0),MATCH(ROUND(E821*2,1)/2,神经网络!$G$8:$BO$8,0))</f>
        <v>9.8661926014030996E-2</v>
      </c>
      <c r="I821">
        <f t="shared" si="70"/>
        <v>0.98024686852378062</v>
      </c>
      <c r="J821">
        <f t="shared" si="71"/>
        <v>4.3453972307569577</v>
      </c>
      <c r="K821">
        <f t="shared" si="72"/>
        <v>0.22558279864163858</v>
      </c>
      <c r="L821" s="4">
        <f>MIN(MAX(L820*(1+MAX(MIN(((B821-B820)/B820)/($K$7*卓尔金历!$N$40),0),-卓尔金历!$M$43))+MIN(MAX(((B821-B820)/B820)/($K$7*卓尔金历!$N$40),0),卓尔金历!$M$43),0),1)</f>
        <v>0.78765262822346405</v>
      </c>
      <c r="M821" s="4">
        <f>MIN(MAX(M820*(1+MAX(MIN(((B821-B820)/B820)/($K$7*30),0),-卓尔金历!$M$43))+MIN(MAX(((B821-B820)/B820)/($K$7*7),0),卓尔金历!$M$43),0),1)</f>
        <v>1</v>
      </c>
      <c r="N821">
        <f t="shared" si="73"/>
        <v>0.99897290006595019</v>
      </c>
      <c r="O821">
        <f t="shared" si="74"/>
        <v>1.0216495198993081</v>
      </c>
      <c r="P821">
        <f t="shared" si="75"/>
        <v>6.9348127600555778E-3</v>
      </c>
      <c r="Q821">
        <f t="shared" si="76"/>
        <v>2.7836696019024169E-2</v>
      </c>
      <c r="R821">
        <f t="shared" si="77"/>
        <v>1</v>
      </c>
      <c r="S821">
        <f t="shared" si="69"/>
        <v>1.0789743955348283</v>
      </c>
      <c r="T821" s="564">
        <f>IF((I821-MAX(I$470:I821))/MAX(I$470:I821)&gt;T820,T820,(I821-MAX(I$470:I821))/MAX(I$470:I821))</f>
        <v>-0.22786721585231193</v>
      </c>
      <c r="U821" s="564">
        <f>IF((J821-MAX(J$470:J821))/MAX(J$470:J821)&gt;U820,U820,(J821-MAX(J$470:J821))/MAX(J$470:J821))</f>
        <v>-0.40740740740740738</v>
      </c>
      <c r="V821" s="564">
        <f>IF((K821-MAX(K$470:K821))/MAX(K$470:K821)&gt;V820,V820,(K821-MAX(K$470:K821))/MAX(K$470:K821))</f>
        <v>-0.80725522782524772</v>
      </c>
      <c r="W821" s="564">
        <f>IF((N821-MAX(N$470:N821))/MAX(N$470:N821)&gt;W820,W820,(N821-MAX(N$470:N821))/MAX(N$470:N821))</f>
        <v>-0.1897647318309108</v>
      </c>
      <c r="X821" s="564">
        <f>IF((O821-MAX(O$470:O821))/MAX(O$470:O821)&gt;X820,X820,(O821-MAX(O$470:O821))/MAX(O$470:O821))</f>
        <v>-0.20159254550055417</v>
      </c>
    </row>
    <row r="822" spans="1:24">
      <c r="A822" s="799">
        <v>41224</v>
      </c>
      <c r="B822">
        <v>10.8687</v>
      </c>
      <c r="C822">
        <v>16.459923</v>
      </c>
      <c r="D822">
        <v>1.5802560000000001</v>
      </c>
      <c r="E822">
        <f>LN(D822/参数实验室!$E$53)/参数实验室!$E$55</f>
        <v>-0.15312871234834197</v>
      </c>
      <c r="F822">
        <f t="shared" si="68"/>
        <v>1.5144334649038063</v>
      </c>
      <c r="G822">
        <f>LN(F822/参数实验室!$E$58)/参数实验室!$E$59</f>
        <v>2.7306141874724316E-2</v>
      </c>
      <c r="H822" s="856">
        <f>INDEX(神经网络!$G$10:$BO$70,MATCH(ROUND(G822*2,1)/2,神经网络!$E$10:$E$70,0),MATCH(ROUND(E822*2,1)/2,神经网络!$G$8:$BO$8,0))</f>
        <v>0.18718278852188391</v>
      </c>
      <c r="I822">
        <f t="shared" si="70"/>
        <v>0.9800577052696412</v>
      </c>
      <c r="J822">
        <f t="shared" si="71"/>
        <v>4.3368979689557525</v>
      </c>
      <c r="K822">
        <f t="shared" si="72"/>
        <v>0.22598126870520349</v>
      </c>
      <c r="L822" s="4">
        <f>MIN(MAX(L821*(1+MAX(MIN(((B822-B821)/B821)/($K$7*卓尔金历!$N$40),0),-卓尔金历!$M$43))+MIN(MAX(((B822-B821)/B821)/($K$7*卓尔金历!$N$40),0),卓尔金历!$M$43),0),1)</f>
        <v>0.76411392525664457</v>
      </c>
      <c r="M822" s="4">
        <f>MIN(MAX(M821*(1+MAX(MIN(((B822-B821)/B821)/($K$7*30),0),-卓尔金历!$M$43))+MIN(MAX(((B822-B821)/B821)/($K$7*7),0),卓尔金历!$M$43),0),1)</f>
        <v>0.98505768779067582</v>
      </c>
      <c r="N822">
        <f t="shared" si="73"/>
        <v>0.99882105882434202</v>
      </c>
      <c r="O822">
        <f t="shared" si="74"/>
        <v>1.0214523669636755</v>
      </c>
      <c r="P822">
        <f t="shared" si="75"/>
        <v>-1.955922865013783E-3</v>
      </c>
      <c r="Q822">
        <f t="shared" si="76"/>
        <v>2.7804028954397781E-2</v>
      </c>
      <c r="R822">
        <f t="shared" si="77"/>
        <v>1</v>
      </c>
      <c r="S822">
        <f t="shared" si="69"/>
        <v>1.0787661803246131</v>
      </c>
      <c r="T822" s="564">
        <f>IF((I822-MAX(I$470:I822))/MAX(I$470:I822)&gt;T821,T821,(I822-MAX(I$470:I822))/MAX(I$470:I822))</f>
        <v>-0.22786721585231193</v>
      </c>
      <c r="U822" s="564">
        <f>IF((J822-MAX(J$470:J822))/MAX(J$470:J822)&gt;U821,U821,(J822-MAX(J$470:J822))/MAX(J$470:J822))</f>
        <v>-0.40740740740740738</v>
      </c>
      <c r="V822" s="564">
        <f>IF((K822-MAX(K$470:K822))/MAX(K$470:K822)&gt;V821,V821,(K822-MAX(K$470:K822))/MAX(K$470:K822))</f>
        <v>-0.80725522782524772</v>
      </c>
      <c r="W822" s="564">
        <f>IF((N822-MAX(N$470:N822))/MAX(N$470:N822)&gt;W821,W821,(N822-MAX(N$470:N822))/MAX(N$470:N822))</f>
        <v>-0.1897647318309108</v>
      </c>
      <c r="X822" s="564">
        <f>IF((O822-MAX(O$470:O822))/MAX(O$470:O822)&gt;X821,X821,(O822-MAX(O$470:O822))/MAX(O$470:O822))</f>
        <v>-0.20159254550055417</v>
      </c>
    </row>
    <row r="823" spans="1:24">
      <c r="A823" s="799">
        <v>41225</v>
      </c>
      <c r="B823">
        <v>11.007999999999999</v>
      </c>
      <c r="C823">
        <v>16.670839000000001</v>
      </c>
      <c r="D823">
        <v>1.6048929999999999</v>
      </c>
      <c r="E823">
        <f>LN(D823/参数实验室!$E$53)/参数实验室!$E$55</f>
        <v>-0.13487766013489993</v>
      </c>
      <c r="F823">
        <f t="shared" si="68"/>
        <v>1.5144294149709305</v>
      </c>
      <c r="G823">
        <f>LN(F823/参数实验室!$E$58)/参数实验室!$E$59</f>
        <v>2.7304738296069019E-2</v>
      </c>
      <c r="H823" s="856">
        <f>INDEX(神经网络!$G$10:$BO$70,MATCH(ROUND(G823*2,1)/2,神经网络!$E$10:$E$70,0),MATCH(ROUND(E823*2,1)/2,神经网络!$G$8:$BO$8,0))</f>
        <v>0.18718278852188391</v>
      </c>
      <c r="I823">
        <f t="shared" si="70"/>
        <v>0.98240891340234637</v>
      </c>
      <c r="J823">
        <f t="shared" si="71"/>
        <v>4.3924823430828814</v>
      </c>
      <c r="K823">
        <f t="shared" si="72"/>
        <v>0.22365688389149874</v>
      </c>
      <c r="L823" s="4">
        <f>MIN(MAX(L822*(1+MAX(MIN(((B823-B822)/B822)/($K$7*卓尔金历!$N$40),0),-卓尔金历!$M$43))+MIN(MAX(((B823-B822)/B822)/($K$7*卓尔金历!$N$40),0),卓尔金历!$M$43),0),1)</f>
        <v>0.95993958276766389</v>
      </c>
      <c r="M823" s="4">
        <f>MIN(MAX(M822*(1+MAX(MIN(((B823-B822)/B822)/($K$7*30),0),-卓尔金历!$M$43))+MIN(MAX(((B823-B822)/B822)/($K$7*7),0),卓尔金历!$M$43),0),1)</f>
        <v>1</v>
      </c>
      <c r="N823">
        <f t="shared" si="73"/>
        <v>1.0006520457047769</v>
      </c>
      <c r="O823">
        <f t="shared" si="74"/>
        <v>1.0238662666133449</v>
      </c>
      <c r="P823">
        <f t="shared" si="75"/>
        <v>1.2816620202968032E-2</v>
      </c>
      <c r="Q823">
        <f t="shared" si="76"/>
        <v>2.7932585810759344E-2</v>
      </c>
      <c r="R823">
        <f t="shared" si="77"/>
        <v>0.82851596588427756</v>
      </c>
      <c r="S823">
        <f t="shared" si="69"/>
        <v>1.081354195094385</v>
      </c>
      <c r="T823" s="564">
        <f>IF((I823-MAX(I$470:I823))/MAX(I$470:I823)&gt;T822,T822,(I823-MAX(I$470:I823))/MAX(I$470:I823))</f>
        <v>-0.22786721585231193</v>
      </c>
      <c r="U823" s="564">
        <f>IF((J823-MAX(J$470:J823))/MAX(J$470:J823)&gt;U822,U822,(J823-MAX(J$470:J823))/MAX(J$470:J823))</f>
        <v>-0.40740740740740738</v>
      </c>
      <c r="V823" s="564">
        <f>IF((K823-MAX(K$470:K823))/MAX(K$470:K823)&gt;V822,V822,(K823-MAX(K$470:K823))/MAX(K$470:K823))</f>
        <v>-0.80725522782524772</v>
      </c>
      <c r="W823" s="564">
        <f>IF((N823-MAX(N$470:N823))/MAX(N$470:N823)&gt;W822,W822,(N823-MAX(N$470:N823))/MAX(N$470:N823))</f>
        <v>-0.1897647318309108</v>
      </c>
      <c r="X823" s="564">
        <f>IF((O823-MAX(O$470:O823))/MAX(O$470:O823)&gt;X822,X822,(O823-MAX(O$470:O823))/MAX(O$470:O823))</f>
        <v>-0.20159254550055417</v>
      </c>
    </row>
    <row r="824" spans="1:24">
      <c r="A824" s="799">
        <v>41226</v>
      </c>
      <c r="B824">
        <v>10.9512</v>
      </c>
      <c r="C824">
        <v>16.564551000000002</v>
      </c>
      <c r="D824">
        <v>1.59806</v>
      </c>
      <c r="E824">
        <f>LN(D824/参数实验室!$E$53)/参数实验室!$E$55</f>
        <v>-0.13991130636413676</v>
      </c>
      <c r="F824">
        <f t="shared" si="68"/>
        <v>1.5125786215209294</v>
      </c>
      <c r="G824">
        <f>LN(F824/参数实验室!$E$58)/参数实验室!$E$59</f>
        <v>2.6662918694349228E-2</v>
      </c>
      <c r="H824" s="856">
        <f>INDEX(神经网络!$G$10:$BO$70,MATCH(ROUND(G824*2,1)/2,神经网络!$E$10:$E$70,0),MATCH(ROUND(E824*2,1)/2,神经网络!$G$8:$BO$8,0))</f>
        <v>0.18718278852188391</v>
      </c>
      <c r="I824">
        <f t="shared" si="70"/>
        <v>0.98146006217913151</v>
      </c>
      <c r="J824">
        <f t="shared" si="71"/>
        <v>4.3698176449463348</v>
      </c>
      <c r="K824">
        <f t="shared" si="72"/>
        <v>0.22459977553392499</v>
      </c>
      <c r="L824" s="4">
        <f>MIN(MAX(L823*(1+MAX(MIN(((B824-B823)/B823)/($K$7*卓尔金历!$N$40),0),-卓尔金历!$M$43))+MIN(MAX(((B824-B823)/B823)/($K$7*卓尔金历!$N$40),0),卓尔金历!$M$43),0),1)</f>
        <v>0.88425979712736846</v>
      </c>
      <c r="M824" s="4">
        <f>MIN(MAX(M823*(1+MAX(MIN(((B824-B823)/B823)/($K$7*30),0),-卓尔金历!$M$43))+MIN(MAX(((B824-B823)/B823)/($K$7*7),0),卓尔金历!$M$43),0),1)</f>
        <v>0.96058096415708893</v>
      </c>
      <c r="N824">
        <f t="shared" si="73"/>
        <v>0.99972429174805122</v>
      </c>
      <c r="O824">
        <f t="shared" si="74"/>
        <v>1.022877374161097</v>
      </c>
      <c r="P824">
        <f t="shared" si="75"/>
        <v>-5.1598837209301486E-3</v>
      </c>
      <c r="Q824">
        <f t="shared" si="76"/>
        <v>2.7932708208378572E-2</v>
      </c>
      <c r="R824">
        <f t="shared" si="77"/>
        <v>1</v>
      </c>
      <c r="S824">
        <f t="shared" si="69"/>
        <v>1.0804888792041811</v>
      </c>
      <c r="T824" s="564">
        <f>IF((I824-MAX(I$470:I824))/MAX(I$470:I824)&gt;T823,T823,(I824-MAX(I$470:I824))/MAX(I$470:I824))</f>
        <v>-0.22786721585231193</v>
      </c>
      <c r="U824" s="564">
        <f>IF((J824-MAX(J$470:J824))/MAX(J$470:J824)&gt;U823,U823,(J824-MAX(J$470:J824))/MAX(J$470:J824))</f>
        <v>-0.40740740740740738</v>
      </c>
      <c r="V824" s="564">
        <f>IF((K824-MAX(K$470:K824))/MAX(K$470:K824)&gt;V823,V823,(K824-MAX(K$470:K824))/MAX(K$470:K824))</f>
        <v>-0.80725522782524772</v>
      </c>
      <c r="W824" s="564">
        <f>IF((N824-MAX(N$470:N824))/MAX(N$470:N824)&gt;W823,W823,(N824-MAX(N$470:N824))/MAX(N$470:N824))</f>
        <v>-0.1897647318309108</v>
      </c>
      <c r="X824" s="564">
        <f>IF((O824-MAX(O$470:O824))/MAX(O$470:O824)&gt;X823,X823,(O824-MAX(O$470:O824))/MAX(O$470:O824))</f>
        <v>-0.20159254550055417</v>
      </c>
    </row>
    <row r="825" spans="1:24">
      <c r="A825" s="799">
        <v>41227</v>
      </c>
      <c r="B825">
        <v>10.95</v>
      </c>
      <c r="C825">
        <v>16.891985999999999</v>
      </c>
      <c r="D825">
        <v>1.5912869999999999</v>
      </c>
      <c r="E825">
        <f>LN(D825/参数实验室!$E$53)/参数实验室!$E$55</f>
        <v>-0.14492203786077132</v>
      </c>
      <c r="F825">
        <f t="shared" si="68"/>
        <v>1.5426471232876713</v>
      </c>
      <c r="G825">
        <f>LN(F825/参数实验室!$E$58)/参数实验室!$E$59</f>
        <v>3.6994125351505668E-2</v>
      </c>
      <c r="H825" s="856">
        <f>INDEX(神经网络!$G$10:$BO$70,MATCH(ROUND(G825*2,1)/2,神经网络!$E$10:$E$70,0),MATCH(ROUND(E825*2,1)/2,神经网络!$G$8:$BO$8,0))</f>
        <v>0.18718278852188391</v>
      </c>
      <c r="I825">
        <f t="shared" si="70"/>
        <v>0.98143993151605224</v>
      </c>
      <c r="J825">
        <f t="shared" si="71"/>
        <v>4.3693388132955624</v>
      </c>
      <c r="K825">
        <f t="shared" si="72"/>
        <v>0.2246197819518152</v>
      </c>
      <c r="L825" s="4">
        <f>MIN(MAX(L824*(1+MAX(MIN(((B825-B824)/B824)/($K$7*卓尔金历!$N$40),0),-卓尔金历!$M$43))+MIN(MAX(((B825-B824)/B824)/($K$7*卓尔金历!$N$40),0),卓尔金历!$M$43),0),1)</f>
        <v>0.88277934116205325</v>
      </c>
      <c r="M825" s="4">
        <f>MIN(MAX(M824*(1+MAX(MIN(((B825-B824)/B824)/($K$7*30),0),-卓尔金历!$M$43))+MIN(MAX(((B825-B824)/B824)/($K$7*7),0),卓尔金历!$M$43),0),1)</f>
        <v>0.95977684650796913</v>
      </c>
      <c r="N825">
        <f t="shared" si="73"/>
        <v>0.99970615975376387</v>
      </c>
      <c r="O825">
        <f t="shared" si="74"/>
        <v>1.0228572210083502</v>
      </c>
      <c r="P825">
        <f t="shared" si="75"/>
        <v>-1.0957703265402476E-4</v>
      </c>
      <c r="Q825">
        <f t="shared" si="76"/>
        <v>2.7932243123342766E-2</v>
      </c>
      <c r="R825">
        <f t="shared" si="77"/>
        <v>1</v>
      </c>
      <c r="S825">
        <f t="shared" si="69"/>
        <v>1.0804667173675193</v>
      </c>
      <c r="T825" s="564">
        <f>IF((I825-MAX(I$470:I825))/MAX(I$470:I825)&gt;T824,T824,(I825-MAX(I$470:I825))/MAX(I$470:I825))</f>
        <v>-0.22786721585231193</v>
      </c>
      <c r="U825" s="564">
        <f>IF((J825-MAX(J$470:J825))/MAX(J$470:J825)&gt;U824,U824,(J825-MAX(J$470:J825))/MAX(J$470:J825))</f>
        <v>-0.40740740740740738</v>
      </c>
      <c r="V825" s="564">
        <f>IF((K825-MAX(K$470:K825))/MAX(K$470:K825)&gt;V824,V824,(K825-MAX(K$470:K825))/MAX(K$470:K825))</f>
        <v>-0.80725522782524772</v>
      </c>
      <c r="W825" s="564">
        <f>IF((N825-MAX(N$470:N825))/MAX(N$470:N825)&gt;W824,W824,(N825-MAX(N$470:N825))/MAX(N$470:N825))</f>
        <v>-0.1897647318309108</v>
      </c>
      <c r="X825" s="564">
        <f>IF((O825-MAX(O$470:O825))/MAX(O$470:O825)&gt;X824,X824,(O825-MAX(O$470:O825))/MAX(O$470:O825))</f>
        <v>-0.20159254550055417</v>
      </c>
    </row>
    <row r="826" spans="1:24">
      <c r="A826" s="799">
        <v>41228</v>
      </c>
      <c r="B826">
        <v>11.197699999999999</v>
      </c>
      <c r="C826">
        <v>17.145029000000001</v>
      </c>
      <c r="D826">
        <v>1.620055</v>
      </c>
      <c r="E826">
        <f>LN(D826/参数实验室!$E$53)/参数实验室!$E$55</f>
        <v>-0.1237844267058039</v>
      </c>
      <c r="F826">
        <f t="shared" si="68"/>
        <v>1.5311205872634561</v>
      </c>
      <c r="G826">
        <f>LN(F826/参数实验室!$E$58)/参数实验室!$E$59</f>
        <v>3.3057733299335076E-2</v>
      </c>
      <c r="H826" s="856">
        <f>INDEX(神经网络!$G$10:$BO$70,MATCH(ROUND(G826*2,1)/2,神经网络!$E$10:$E$70,0),MATCH(ROUND(E826*2,1)/2,神经网络!$G$8:$BO$8,0))</f>
        <v>0.2321939843344332</v>
      </c>
      <c r="I826">
        <f t="shared" si="70"/>
        <v>0.98559560602397323</v>
      </c>
      <c r="J826">
        <f t="shared" si="71"/>
        <v>4.4681776465424399</v>
      </c>
      <c r="K826">
        <f t="shared" si="72"/>
        <v>0.22058111471611827</v>
      </c>
      <c r="L826" s="4">
        <f>MIN(MAX(L825*(1+MAX(MIN(((B826-B825)/B825)/($K$7*卓尔金历!$N$40),0),-卓尔金历!$M$43))+MIN(MAX(((B826-B825)/B825)/($K$7*卓尔金历!$N$40),0),卓尔金历!$M$43),0),1)</f>
        <v>1</v>
      </c>
      <c r="M826" s="4">
        <f>MIN(MAX(M825*(1+MAX(MIN(((B826-B825)/B825)/($K$7*30),0),-卓尔金历!$M$43))+MIN(MAX(((B826-B825)/B825)/($K$7*7),0),卓尔金历!$M$43),0),1)</f>
        <v>1</v>
      </c>
      <c r="N826">
        <f t="shared" si="73"/>
        <v>1.0034429810513905</v>
      </c>
      <c r="O826">
        <f t="shared" si="74"/>
        <v>1.0270140588650949</v>
      </c>
      <c r="P826">
        <f t="shared" si="75"/>
        <v>2.2621004566210051E-2</v>
      </c>
      <c r="Q826">
        <f t="shared" si="76"/>
        <v>2.4288059565311899E-2</v>
      </c>
      <c r="R826">
        <f t="shared" si="77"/>
        <v>0.10102436589677806</v>
      </c>
      <c r="S826">
        <f t="shared" si="69"/>
        <v>1.0850416973024455</v>
      </c>
      <c r="T826" s="564">
        <f>IF((I826-MAX(I$470:I826))/MAX(I$470:I826)&gt;T825,T825,(I826-MAX(I$470:I826))/MAX(I$470:I826))</f>
        <v>-0.22786721585231193</v>
      </c>
      <c r="U826" s="564">
        <f>IF((J826-MAX(J$470:J826))/MAX(J$470:J826)&gt;U825,U825,(J826-MAX(J$470:J826))/MAX(J$470:J826))</f>
        <v>-0.40740740740740738</v>
      </c>
      <c r="V826" s="564">
        <f>IF((K826-MAX(K$470:K826))/MAX(K$470:K826)&gt;V825,V825,(K826-MAX(K$470:K826))/MAX(K$470:K826))</f>
        <v>-0.80725522782524772</v>
      </c>
      <c r="W826" s="564">
        <f>IF((N826-MAX(N$470:N826))/MAX(N$470:N826)&gt;W825,W825,(N826-MAX(N$470:N826))/MAX(N$470:N826))</f>
        <v>-0.1897647318309108</v>
      </c>
      <c r="X826" s="564">
        <f>IF((O826-MAX(O$470:O826))/MAX(O$470:O826)&gt;X825,X825,(O826-MAX(O$470:O826))/MAX(O$470:O826))</f>
        <v>-0.20159254550055417</v>
      </c>
    </row>
    <row r="827" spans="1:24">
      <c r="A827" s="799">
        <v>41229</v>
      </c>
      <c r="B827">
        <v>11.748900000000001</v>
      </c>
      <c r="C827">
        <v>17.150224999999999</v>
      </c>
      <c r="D827">
        <v>1.6897169999999999</v>
      </c>
      <c r="E827">
        <f>LN(D827/参数实验室!$E$53)/参数实验室!$E$55</f>
        <v>-7.4115682564197871E-2</v>
      </c>
      <c r="F827">
        <f t="shared" si="68"/>
        <v>1.4597302726212664</v>
      </c>
      <c r="G827">
        <f>LN(F827/参数实验室!$E$58)/参数实验室!$E$59</f>
        <v>7.9968956811636103E-3</v>
      </c>
      <c r="H827" s="856">
        <f>INDEX(神经网络!$G$10:$BO$70,MATCH(ROUND(G827*2,1)/2,神经网络!$E$10:$E$70,0),MATCH(ROUND(E827*2,1)/2,神经网络!$G$8:$BO$8,0))</f>
        <v>0.18748659045098026</v>
      </c>
      <c r="I827">
        <f t="shared" si="70"/>
        <v>0.99686057768178826</v>
      </c>
      <c r="J827">
        <f t="shared" si="71"/>
        <v>4.6881209847970995</v>
      </c>
      <c r="K827">
        <f t="shared" si="72"/>
        <v>0.21263542065455721</v>
      </c>
      <c r="L827" s="4">
        <f>MIN(MAX(L826*(1+MAX(MIN(((B827-B826)/B826)/($K$7*卓尔金历!$N$40),0),-卓尔金历!$M$43))+MIN(MAX(((B827-B826)/B826)/($K$7*卓尔金历!$N$40),0),卓尔金历!$M$43),0),1)</f>
        <v>1</v>
      </c>
      <c r="M827" s="4">
        <f>MIN(MAX(M826*(1+MAX(MIN(((B827-B826)/B826)/($K$7*30),0),-卓尔金历!$M$43))+MIN(MAX(((B827-B826)/B826)/($K$7*7),0),卓尔金历!$M$43),0),1)</f>
        <v>1</v>
      </c>
      <c r="N827">
        <f t="shared" si="73"/>
        <v>1.0149119412138432</v>
      </c>
      <c r="O827">
        <f t="shared" si="74"/>
        <v>1.0387524272127024</v>
      </c>
      <c r="P827">
        <f t="shared" si="75"/>
        <v>4.9224394295257198E-2</v>
      </c>
      <c r="Q827">
        <f t="shared" si="76"/>
        <v>2.1560438228123036E-2</v>
      </c>
      <c r="R827">
        <f t="shared" si="77"/>
        <v>4.2375560214505852E-3</v>
      </c>
      <c r="S827">
        <f t="shared" si="69"/>
        <v>1.0862945612323014</v>
      </c>
      <c r="T827" s="564">
        <f>IF((I827-MAX(I$470:I827))/MAX(I$470:I827)&gt;T826,T826,(I827-MAX(I$470:I827))/MAX(I$470:I827))</f>
        <v>-0.22786721585231193</v>
      </c>
      <c r="U827" s="564">
        <f>IF((J827-MAX(J$470:J827))/MAX(J$470:J827)&gt;U826,U826,(J827-MAX(J$470:J827))/MAX(J$470:J827))</f>
        <v>-0.40740740740740738</v>
      </c>
      <c r="V827" s="564">
        <f>IF((K827-MAX(K$470:K827))/MAX(K$470:K827)&gt;V826,V826,(K827-MAX(K$470:K827))/MAX(K$470:K827))</f>
        <v>-0.80725522782524772</v>
      </c>
      <c r="W827" s="564">
        <f>IF((N827-MAX(N$470:N827))/MAX(N$470:N827)&gt;W826,W826,(N827-MAX(N$470:N827))/MAX(N$470:N827))</f>
        <v>-0.1897647318309108</v>
      </c>
      <c r="X827" s="564">
        <f>IF((O827-MAX(O$470:O827))/MAX(O$470:O827)&gt;X826,X826,(O827-MAX(O$470:O827))/MAX(O$470:O827))</f>
        <v>-0.20159254550055417</v>
      </c>
    </row>
    <row r="828" spans="1:24">
      <c r="A828" s="799">
        <v>41230</v>
      </c>
      <c r="B828">
        <v>11.7889</v>
      </c>
      <c r="C828">
        <v>17.385597000000001</v>
      </c>
      <c r="D828">
        <v>1.6934439999999999</v>
      </c>
      <c r="E828">
        <f>LN(D828/参数实验室!$E$53)/参数实验室!$E$55</f>
        <v>-7.1516372558563454E-2</v>
      </c>
      <c r="F828">
        <f t="shared" si="68"/>
        <v>1.4747429361518039</v>
      </c>
      <c r="G828">
        <f>LN(F828/参数实验室!$E$58)/参数实验室!$E$59</f>
        <v>1.3367212828533438E-2</v>
      </c>
      <c r="H828" s="856">
        <f>INDEX(神经网络!$G$10:$BO$70,MATCH(ROUND(G828*2,1)/2,神经网络!$E$10:$E$70,0),MATCH(ROUND(E828*2,1)/2,神经网络!$G$8:$BO$8,0))</f>
        <v>0.18748659045098026</v>
      </c>
      <c r="I828">
        <f t="shared" si="70"/>
        <v>0.99749688573059125</v>
      </c>
      <c r="J828">
        <f t="shared" si="71"/>
        <v>4.7040820398228362</v>
      </c>
      <c r="K828">
        <f t="shared" si="72"/>
        <v>0.21204921115027126</v>
      </c>
      <c r="L828" s="4">
        <f>MIN(MAX(L827*(1+MAX(MIN(((B828-B827)/B827)/($K$7*卓尔金历!$N$40),0),-卓尔金历!$M$43))+MIN(MAX(((B828-B827)/B827)/($K$7*卓尔金历!$N$40),0),卓尔金历!$M$43),0),1)</f>
        <v>1</v>
      </c>
      <c r="M828" s="4">
        <f>MIN(MAX(M827*(1+MAX(MIN(((B828-B827)/B827)/($K$7*30),0),-卓尔金历!$M$43))+MIN(MAX(((B828-B827)/B827)/($K$7*7),0),卓尔金历!$M$43),0),1)</f>
        <v>1</v>
      </c>
      <c r="N828">
        <f t="shared" si="73"/>
        <v>1.0155597716642382</v>
      </c>
      <c r="O828">
        <f t="shared" si="74"/>
        <v>1.0394154753309119</v>
      </c>
      <c r="P828">
        <f t="shared" si="75"/>
        <v>3.4045740452296933E-3</v>
      </c>
      <c r="Q828">
        <f t="shared" si="76"/>
        <v>2.1570936930865873E-2</v>
      </c>
      <c r="R828">
        <f t="shared" si="77"/>
        <v>1</v>
      </c>
      <c r="S828">
        <f t="shared" si="69"/>
        <v>1.0862974995317465</v>
      </c>
      <c r="T828" s="564">
        <f>IF((I828-MAX(I$470:I828))/MAX(I$470:I828)&gt;T827,T827,(I828-MAX(I$470:I828))/MAX(I$470:I828))</f>
        <v>-0.22786721585231193</v>
      </c>
      <c r="U828" s="564">
        <f>IF((J828-MAX(J$470:J828))/MAX(J$470:J828)&gt;U827,U827,(J828-MAX(J$470:J828))/MAX(J$470:J828))</f>
        <v>-0.40740740740740738</v>
      </c>
      <c r="V828" s="564">
        <f>IF((K828-MAX(K$470:K828))/MAX(K$470:K828)&gt;V827,V827,(K828-MAX(K$470:K828))/MAX(K$470:K828))</f>
        <v>-0.80725522782524772</v>
      </c>
      <c r="W828" s="564">
        <f>IF((N828-MAX(N$470:N828))/MAX(N$470:N828)&gt;W827,W827,(N828-MAX(N$470:N828))/MAX(N$470:N828))</f>
        <v>-0.1897647318309108</v>
      </c>
      <c r="X828" s="564">
        <f>IF((O828-MAX(O$470:O828))/MAX(O$470:O828)&gt;X827,X827,(O828-MAX(O$470:O828))/MAX(O$470:O828))</f>
        <v>-0.20159254550055417</v>
      </c>
    </row>
    <row r="829" spans="1:24">
      <c r="A829" s="799">
        <v>41231</v>
      </c>
      <c r="B829">
        <v>11.6515</v>
      </c>
      <c r="C829">
        <v>17.297889000000001</v>
      </c>
      <c r="D829">
        <v>1.6786760000000001</v>
      </c>
      <c r="E829">
        <f>LN(D829/参数实验室!$E$53)/参数实验室!$E$55</f>
        <v>-8.1849757665756709E-2</v>
      </c>
      <c r="F829">
        <f t="shared" si="68"/>
        <v>1.4846061880444579</v>
      </c>
      <c r="G829">
        <f>LN(F829/参数实验室!$E$58)/参数实验室!$E$59</f>
        <v>1.6865811057425233E-2</v>
      </c>
      <c r="H829" s="856">
        <f>INDEX(神经网络!$G$10:$BO$70,MATCH(ROUND(G829*2,1)/2,神经网络!$E$10:$E$70,0),MATCH(ROUND(E829*2,1)/2,神经网络!$G$8:$BO$8,0))</f>
        <v>0.14403683372405976</v>
      </c>
      <c r="I829">
        <f t="shared" si="70"/>
        <v>0.99531719333702473</v>
      </c>
      <c r="J829">
        <f t="shared" si="71"/>
        <v>4.649255815809429</v>
      </c>
      <c r="K829">
        <f t="shared" si="72"/>
        <v>0.21408096967960483</v>
      </c>
      <c r="L829" s="4">
        <f>MIN(MAX(L828*(1+MAX(MIN(((B829-B828)/B828)/($K$7*卓尔金历!$N$40),0),-卓尔金历!$M$43))+MIN(MAX(((B829-B828)/B828)/($K$7*卓尔金历!$N$40),0),卓尔金历!$M$43),0),1)</f>
        <v>0.82192230427914126</v>
      </c>
      <c r="M829" s="4">
        <f>MIN(MAX(M828*(1+MAX(MIN(((B829-B828)/B828)/($K$7*30),0),-卓尔金历!$M$43))+MIN(MAX(((B829-B828)/B828)/($K$7*7),0),卓尔金历!$M$43),0),1)</f>
        <v>0.91096115213957063</v>
      </c>
      <c r="N829">
        <f t="shared" si="73"/>
        <v>1.0133406089368404</v>
      </c>
      <c r="O829">
        <f t="shared" si="74"/>
        <v>1.0371441840238973</v>
      </c>
      <c r="P829">
        <f t="shared" si="75"/>
        <v>-1.1655031427868548E-2</v>
      </c>
      <c r="Q829">
        <f t="shared" si="76"/>
        <v>2.0330010902987087E-2</v>
      </c>
      <c r="R829">
        <f t="shared" si="77"/>
        <v>0.58993234254942339</v>
      </c>
      <c r="S829">
        <f t="shared" si="69"/>
        <v>1.0839237634020888</v>
      </c>
      <c r="T829" s="564">
        <f>IF((I829-MAX(I$470:I829))/MAX(I$470:I829)&gt;T828,T828,(I829-MAX(I$470:I829))/MAX(I$470:I829))</f>
        <v>-0.22786721585231193</v>
      </c>
      <c r="U829" s="564">
        <f>IF((J829-MAX(J$470:J829))/MAX(J$470:J829)&gt;U828,U828,(J829-MAX(J$470:J829))/MAX(J$470:J829))</f>
        <v>-0.40740740740740738</v>
      </c>
      <c r="V829" s="564">
        <f>IF((K829-MAX(K$470:K829))/MAX(K$470:K829)&gt;V828,V828,(K829-MAX(K$470:K829))/MAX(K$470:K829))</f>
        <v>-0.80725522782524772</v>
      </c>
      <c r="W829" s="564">
        <f>IF((N829-MAX(N$470:N829))/MAX(N$470:N829)&gt;W828,W828,(N829-MAX(N$470:N829))/MAX(N$470:N829))</f>
        <v>-0.1897647318309108</v>
      </c>
      <c r="X829" s="564">
        <f>IF((O829-MAX(O$470:O829))/MAX(O$470:O829)&gt;X828,X828,(O829-MAX(O$470:O829))/MAX(O$470:O829))</f>
        <v>-0.20159254550055417</v>
      </c>
    </row>
    <row r="830" spans="1:24">
      <c r="A830" s="799">
        <v>41232</v>
      </c>
      <c r="B830">
        <v>11.799899999999999</v>
      </c>
      <c r="C830">
        <v>17.478307000000001</v>
      </c>
      <c r="D830">
        <v>1.688035</v>
      </c>
      <c r="E830">
        <f>LN(D830/参数实验室!$E$53)/参数实验室!$E$55</f>
        <v>-7.5290632720621142E-2</v>
      </c>
      <c r="F830">
        <f t="shared" si="68"/>
        <v>1.4812250103814442</v>
      </c>
      <c r="G830">
        <f>LN(F830/参数实验室!$E$58)/参数实验室!$E$59</f>
        <v>1.5669097275077103E-2</v>
      </c>
      <c r="H830" s="856">
        <f>INDEX(神经网络!$G$10:$BO$70,MATCH(ROUND(G830*2,1)/2,神经网络!$E$10:$E$70,0),MATCH(ROUND(E830*2,1)/2,神经网络!$G$8:$BO$8,0))</f>
        <v>0.14403683372405976</v>
      </c>
      <c r="I830">
        <f t="shared" si="70"/>
        <v>0.9971431359901235</v>
      </c>
      <c r="J830">
        <f t="shared" si="71"/>
        <v>4.7084713299549135</v>
      </c>
      <c r="K830">
        <f t="shared" si="72"/>
        <v>0.21177640599537681</v>
      </c>
      <c r="L830" s="4">
        <f>MIN(MAX(L829*(1+MAX(MIN(((B830-B829)/B829)/($K$7*卓尔金历!$N$40),0),-卓尔金历!$M$43))+MIN(MAX(((B830-B829)/B829)/($K$7*卓尔金历!$N$40),0),卓尔金历!$M$43),0),1)</f>
        <v>1</v>
      </c>
      <c r="M830" s="4">
        <f>MIN(MAX(M829*(1+MAX(MIN(((B830-B829)/B829)/($K$7*30),0),-卓尔金历!$M$43))+MIN(MAX(((B830-B829)/B829)/($K$7*7),0),卓尔金历!$M$43),0),1)</f>
        <v>1</v>
      </c>
      <c r="N830">
        <f t="shared" si="73"/>
        <v>1.0148685684276488</v>
      </c>
      <c r="O830">
        <f t="shared" si="74"/>
        <v>1.0388774476401119</v>
      </c>
      <c r="P830">
        <f t="shared" si="75"/>
        <v>1.2736557524782109E-2</v>
      </c>
      <c r="Q830">
        <f t="shared" si="76"/>
        <v>2.0168872162098238E-2</v>
      </c>
      <c r="R830">
        <f t="shared" si="77"/>
        <v>0.48933901580148254</v>
      </c>
      <c r="S830">
        <f t="shared" si="69"/>
        <v>1.0850968405421442</v>
      </c>
      <c r="T830" s="564">
        <f>IF((I830-MAX(I$470:I830))/MAX(I$470:I830)&gt;T829,T829,(I830-MAX(I$470:I830))/MAX(I$470:I830))</f>
        <v>-0.22786721585231193</v>
      </c>
      <c r="U830" s="564">
        <f>IF((J830-MAX(J$470:J830))/MAX(J$470:J830)&gt;U829,U829,(J830-MAX(J$470:J830))/MAX(J$470:J830))</f>
        <v>-0.40740740740740738</v>
      </c>
      <c r="V830" s="564">
        <f>IF((K830-MAX(K$470:K830))/MAX(K$470:K830)&gt;V829,V829,(K830-MAX(K$470:K830))/MAX(K$470:K830))</f>
        <v>-0.80725522782524772</v>
      </c>
      <c r="W830" s="564">
        <f>IF((N830-MAX(N$470:N830))/MAX(N$470:N830)&gt;W829,W829,(N830-MAX(N$470:N830))/MAX(N$470:N830))</f>
        <v>-0.1897647318309108</v>
      </c>
      <c r="X830" s="564">
        <f>IF((O830-MAX(O$470:O830))/MAX(O$470:O830)&gt;X829,X829,(O830-MAX(O$470:O830))/MAX(O$470:O830))</f>
        <v>-0.20159254550055417</v>
      </c>
    </row>
    <row r="831" spans="1:24">
      <c r="A831" s="799">
        <v>41233</v>
      </c>
      <c r="B831">
        <v>11.732799999999999</v>
      </c>
      <c r="C831">
        <v>17.685061000000001</v>
      </c>
      <c r="D831">
        <v>1.6789799999999999</v>
      </c>
      <c r="E831">
        <f>LN(D831/参数实验室!$E$53)/参数实验室!$E$55</f>
        <v>-8.1636129475645941E-2</v>
      </c>
      <c r="F831">
        <f t="shared" si="68"/>
        <v>1.5073180315014321</v>
      </c>
      <c r="G831">
        <f>LN(F831/参数实验室!$E$58)/参数实验室!$E$59</f>
        <v>2.4834349673122428E-2</v>
      </c>
      <c r="H831" s="856">
        <f>INDEX(神经网络!$G$10:$BO$70,MATCH(ROUND(G831*2,1)/2,神经网络!$E$10:$E$70,0),MATCH(ROUND(E831*2,1)/2,神经网络!$G$8:$BO$8,0))</f>
        <v>0.14403683372405976</v>
      </c>
      <c r="I831">
        <f t="shared" si="70"/>
        <v>0.99632641209253003</v>
      </c>
      <c r="J831">
        <f t="shared" si="71"/>
        <v>4.6816966601492398</v>
      </c>
      <c r="K831">
        <f t="shared" si="72"/>
        <v>0.21281310696040906</v>
      </c>
      <c r="L831" s="4">
        <f>MIN(MAX(L830*(1+MAX(MIN(((B831-B830)/B830)/($K$7*卓尔金历!$N$40),0),-卓尔金历!$M$43))+MIN(MAX(((B831-B830)/B830)/($K$7*卓尔金历!$N$40),0),卓尔金历!$M$43),0),1)</f>
        <v>0.91311590700370693</v>
      </c>
      <c r="M831" s="4">
        <f>MIN(MAX(M830*(1+MAX(MIN(((B831-B830)/B830)/($K$7*30),0),-卓尔金历!$M$43))+MIN(MAX(((B831-B830)/B830)/($K$7*7),0),卓尔金历!$M$43),0),1)</f>
        <v>0.95655795350185346</v>
      </c>
      <c r="N831">
        <f t="shared" si="73"/>
        <v>1.0140373262690912</v>
      </c>
      <c r="O831">
        <f t="shared" si="74"/>
        <v>1.038026540676473</v>
      </c>
      <c r="P831">
        <f t="shared" si="75"/>
        <v>-5.6864888685497286E-3</v>
      </c>
      <c r="Q831">
        <f t="shared" si="76"/>
        <v>1.9684723334482009E-2</v>
      </c>
      <c r="R831">
        <f t="shared" si="77"/>
        <v>1</v>
      </c>
      <c r="S831">
        <f t="shared" si="69"/>
        <v>1.0846619338380099</v>
      </c>
      <c r="T831" s="564">
        <f>IF((I831-MAX(I$470:I831))/MAX(I$470:I831)&gt;T830,T830,(I831-MAX(I$470:I831))/MAX(I$470:I831))</f>
        <v>-0.22786721585231193</v>
      </c>
      <c r="U831" s="564">
        <f>IF((J831-MAX(J$470:J831))/MAX(J$470:J831)&gt;U830,U830,(J831-MAX(J$470:J831))/MAX(J$470:J831))</f>
        <v>-0.40740740740740738</v>
      </c>
      <c r="V831" s="564">
        <f>IF((K831-MAX(K$470:K831))/MAX(K$470:K831)&gt;V830,V830,(K831-MAX(K$470:K831))/MAX(K$470:K831))</f>
        <v>-0.80725522782524772</v>
      </c>
      <c r="W831" s="564">
        <f>IF((N831-MAX(N$470:N831))/MAX(N$470:N831)&gt;W830,W830,(N831-MAX(N$470:N831))/MAX(N$470:N831))</f>
        <v>-0.1897647318309108</v>
      </c>
      <c r="X831" s="564">
        <f>IF((O831-MAX(O$470:O831))/MAX(O$470:O831)&gt;X830,X830,(O831-MAX(O$470:O831))/MAX(O$470:O831))</f>
        <v>-0.20159254550055417</v>
      </c>
    </row>
    <row r="832" spans="1:24">
      <c r="A832" s="799">
        <v>41234</v>
      </c>
      <c r="B832">
        <v>11.77</v>
      </c>
      <c r="C832">
        <v>17.787693999999998</v>
      </c>
      <c r="D832">
        <v>1.6808350000000001</v>
      </c>
      <c r="E832">
        <f>LN(D832/参数实验室!$E$53)/参数实验室!$E$55</f>
        <v>-8.0333413409472032E-2</v>
      </c>
      <c r="F832">
        <f t="shared" si="68"/>
        <v>1.511273916737468</v>
      </c>
      <c r="G832">
        <f>LN(F832/参数实验室!$E$58)/参数实验室!$E$59</f>
        <v>2.6210000032173619E-2</v>
      </c>
      <c r="H832" s="856">
        <f>INDEX(神经网络!$G$10:$BO$70,MATCH(ROUND(G832*2,1)/2,神经网络!$E$10:$E$70,0),MATCH(ROUND(E832*2,1)/2,神经网络!$G$8:$BO$8,0))</f>
        <v>0.2321939843344332</v>
      </c>
      <c r="I832">
        <f t="shared" si="70"/>
        <v>0.99678141741992243</v>
      </c>
      <c r="J832">
        <f t="shared" si="71"/>
        <v>4.6965404413231759</v>
      </c>
      <c r="K832">
        <f t="shared" si="72"/>
        <v>0.21223737554766908</v>
      </c>
      <c r="L832" s="4">
        <f>MIN(MAX(L831*(1+MAX(MIN(((B832-B831)/B831)/($K$7*卓尔金历!$N$40),0),-卓尔金历!$M$43))+MIN(MAX(((B832-B831)/B831)/($K$7*卓尔金历!$N$40),0),卓尔金历!$M$43),0),1)</f>
        <v>0.96155961198721562</v>
      </c>
      <c r="M832" s="4">
        <f>MIN(MAX(M831*(1+MAX(MIN(((B832-B831)/B831)/($K$7*30),0),-卓尔金历!$M$43))+MIN(MAX(((B832-B831)/B831)/($K$7*7),0),卓尔金历!$M$43),0),1)</f>
        <v>1</v>
      </c>
      <c r="N832">
        <f t="shared" si="73"/>
        <v>1.0144601844023025</v>
      </c>
      <c r="O832">
        <f t="shared" si="74"/>
        <v>1.0384799960817686</v>
      </c>
      <c r="P832">
        <f t="shared" si="75"/>
        <v>3.1705986635756464E-3</v>
      </c>
      <c r="Q832">
        <f t="shared" si="76"/>
        <v>1.8872637825249887E-2</v>
      </c>
      <c r="R832">
        <f t="shared" si="77"/>
        <v>1</v>
      </c>
      <c r="S832">
        <f t="shared" si="69"/>
        <v>1.0851572804958181</v>
      </c>
      <c r="T832" s="564">
        <f>IF((I832-MAX(I$470:I832))/MAX(I$470:I832)&gt;T831,T831,(I832-MAX(I$470:I832))/MAX(I$470:I832))</f>
        <v>-0.22786721585231193</v>
      </c>
      <c r="U832" s="564">
        <f>IF((J832-MAX(J$470:J832))/MAX(J$470:J832)&gt;U831,U831,(J832-MAX(J$470:J832))/MAX(J$470:J832))</f>
        <v>-0.40740740740740738</v>
      </c>
      <c r="V832" s="564">
        <f>IF((K832-MAX(K$470:K832))/MAX(K$470:K832)&gt;V831,V831,(K832-MAX(K$470:K832))/MAX(K$470:K832))</f>
        <v>-0.80725522782524772</v>
      </c>
      <c r="W832" s="564">
        <f>IF((N832-MAX(N$470:N832))/MAX(N$470:N832)&gt;W831,W831,(N832-MAX(N$470:N832))/MAX(N$470:N832))</f>
        <v>-0.1897647318309108</v>
      </c>
      <c r="X832" s="564">
        <f>IF((O832-MAX(O$470:O832))/MAX(O$470:O832)&gt;X831,X831,(O832-MAX(O$470:O832))/MAX(O$470:O832))</f>
        <v>-0.20159254550055417</v>
      </c>
    </row>
    <row r="833" spans="1:24">
      <c r="A833" s="799">
        <v>41235</v>
      </c>
      <c r="B833">
        <v>12.421900000000001</v>
      </c>
      <c r="C833">
        <v>17.660986000000001</v>
      </c>
      <c r="D833">
        <v>1.7562720000000001</v>
      </c>
      <c r="E833">
        <f>LN(D833/参数实验室!$E$53)/参数实验室!$E$55</f>
        <v>-2.8539076046268288E-2</v>
      </c>
      <c r="F833">
        <f t="shared" si="68"/>
        <v>1.421762049283926</v>
      </c>
      <c r="G833">
        <f>LN(F833/参数实验室!$E$58)/参数实验室!$E$59</f>
        <v>-5.8354708313265568E-3</v>
      </c>
      <c r="H833" s="856">
        <f>INDEX(神经网络!$G$10:$BO$70,MATCH(ROUND(G833*2,1)/2,神经网络!$E$10:$E$70,0),MATCH(ROUND(E833*2,1)/2,神经网络!$G$8:$BO$8,0))</f>
        <v>0.18748659045098026</v>
      </c>
      <c r="I833">
        <f t="shared" si="70"/>
        <v>1.009600454834245</v>
      </c>
      <c r="J833">
        <f t="shared" si="71"/>
        <v>4.956665735605128</v>
      </c>
      <c r="K833">
        <f t="shared" si="72"/>
        <v>0.20368540238289626</v>
      </c>
      <c r="L833" s="4">
        <f>MIN(MAX(L832*(1+MAX(MIN(((B833-B832)/B832)/($K$7*卓尔金历!$N$40),0),-卓尔金历!$M$43))+MIN(MAX(((B833-B832)/B832)/($K$7*卓尔金历!$N$40),0),卓尔金历!$M$43),0),1)</f>
        <v>1</v>
      </c>
      <c r="M833" s="4">
        <f>MIN(MAX(M832*(1+MAX(MIN(((B833-B832)/B832)/($K$7*30),0),-卓尔金历!$M$43))+MIN(MAX(((B833-B832)/B832)/($K$7*7),0),卓尔金历!$M$43),0),1)</f>
        <v>1</v>
      </c>
      <c r="N833">
        <f t="shared" si="73"/>
        <v>1.0270050699119968</v>
      </c>
      <c r="O833">
        <f t="shared" si="74"/>
        <v>1.051835295138462</v>
      </c>
      <c r="P833">
        <f t="shared" si="75"/>
        <v>5.538657604078176E-2</v>
      </c>
      <c r="Q833">
        <f t="shared" si="76"/>
        <v>1.7198500911838589E-2</v>
      </c>
      <c r="R833">
        <f t="shared" si="77"/>
        <v>0</v>
      </c>
      <c r="S833">
        <f t="shared" si="69"/>
        <v>1.0991128694905516</v>
      </c>
      <c r="T833" s="564">
        <f>IF((I833-MAX(I$470:I833))/MAX(I$470:I833)&gt;T832,T832,(I833-MAX(I$470:I833))/MAX(I$470:I833))</f>
        <v>-0.22786721585231193</v>
      </c>
      <c r="U833" s="564">
        <f>IF((J833-MAX(J$470:J833))/MAX(J$470:J833)&gt;U832,U832,(J833-MAX(J$470:J833))/MAX(J$470:J833))</f>
        <v>-0.40740740740740738</v>
      </c>
      <c r="V833" s="564">
        <f>IF((K833-MAX(K$470:K833))/MAX(K$470:K833)&gt;V832,V832,(K833-MAX(K$470:K833))/MAX(K$470:K833))</f>
        <v>-0.80725522782524772</v>
      </c>
      <c r="W833" s="564">
        <f>IF((N833-MAX(N$470:N833))/MAX(N$470:N833)&gt;W832,W832,(N833-MAX(N$470:N833))/MAX(N$470:N833))</f>
        <v>-0.1897647318309108</v>
      </c>
      <c r="X833" s="564">
        <f>IF((O833-MAX(O$470:O833))/MAX(O$470:O833)&gt;X832,X832,(O833-MAX(O$470:O833))/MAX(O$470:O833))</f>
        <v>-0.20159254550055417</v>
      </c>
    </row>
    <row r="834" spans="1:24">
      <c r="A834" s="799">
        <v>41236</v>
      </c>
      <c r="B834">
        <v>12.345000000000001</v>
      </c>
      <c r="C834">
        <v>17.694783999999999</v>
      </c>
      <c r="D834">
        <v>1.7499819999999999</v>
      </c>
      <c r="E834">
        <f>LN(D834/参数实验室!$E$53)/参数实验室!$E$55</f>
        <v>-3.2771887397074526E-2</v>
      </c>
      <c r="F834">
        <f t="shared" si="68"/>
        <v>1.4333563385986228</v>
      </c>
      <c r="G834">
        <f>LN(F834/参数实验室!$E$58)/参数实验室!$E$59</f>
        <v>-1.5727102396504088E-3</v>
      </c>
      <c r="H834" s="856">
        <f>INDEX(神经网络!$G$10:$BO$70,MATCH(ROUND(G834*2,1)/2,神经网络!$E$10:$E$70,0),MATCH(ROUND(E834*2,1)/2,神经网络!$G$8:$BO$8,0))</f>
        <v>0.18748659045098026</v>
      </c>
      <c r="I834">
        <f t="shared" si="70"/>
        <v>1.0084286425137556</v>
      </c>
      <c r="J834">
        <f t="shared" si="71"/>
        <v>4.9259806073181487</v>
      </c>
      <c r="K834">
        <f t="shared" si="72"/>
        <v>0.2047163240991268</v>
      </c>
      <c r="L834" s="4">
        <f>MIN(MAX(L833*(1+MAX(MIN(((B834-B833)/B833)/($K$7*卓尔金历!$N$40),0),-卓尔金历!$M$43))+MIN(MAX(((B834-B833)/B833)/($K$7*卓尔金历!$N$40),0),卓尔金历!$M$43),0),1)</f>
        <v>0.90541236005840631</v>
      </c>
      <c r="M834" s="4">
        <f>MIN(MAX(M833*(1+MAX(MIN(((B834-B833)/B833)/($K$7*30),0),-卓尔金历!$M$43))+MIN(MAX(((B834-B833)/B833)/($K$7*7),0),卓尔金历!$M$43),0),1)</f>
        <v>0.95270618002920315</v>
      </c>
      <c r="N834">
        <f t="shared" si="73"/>
        <v>1.0258130565879482</v>
      </c>
      <c r="O834">
        <f t="shared" si="74"/>
        <v>1.0506144621326259</v>
      </c>
      <c r="P834">
        <f t="shared" si="75"/>
        <v>-6.1906793646704763E-3</v>
      </c>
      <c r="Q834">
        <f t="shared" si="76"/>
        <v>1.704960316952242E-2</v>
      </c>
      <c r="R834">
        <f t="shared" si="77"/>
        <v>1</v>
      </c>
      <c r="S834">
        <f t="shared" si="69"/>
        <v>1.0991128694905516</v>
      </c>
      <c r="T834" s="564">
        <f>IF((I834-MAX(I$470:I834))/MAX(I$470:I834)&gt;T833,T833,(I834-MAX(I$470:I834))/MAX(I$470:I834))</f>
        <v>-0.22786721585231193</v>
      </c>
      <c r="U834" s="564">
        <f>IF((J834-MAX(J$470:J834))/MAX(J$470:J834)&gt;U833,U833,(J834-MAX(J$470:J834))/MAX(J$470:J834))</f>
        <v>-0.40740740740740738</v>
      </c>
      <c r="V834" s="564">
        <f>IF((K834-MAX(K$470:K834))/MAX(K$470:K834)&gt;V833,V833,(K834-MAX(K$470:K834))/MAX(K$470:K834))</f>
        <v>-0.80725522782524772</v>
      </c>
      <c r="W834" s="564">
        <f>IF((N834-MAX(N$470:N834))/MAX(N$470:N834)&gt;W833,W833,(N834-MAX(N$470:N834))/MAX(N$470:N834))</f>
        <v>-0.1897647318309108</v>
      </c>
      <c r="X834" s="564">
        <f>IF((O834-MAX(O$470:O834))/MAX(O$470:O834)&gt;X833,X833,(O834-MAX(O$470:O834))/MAX(O$470:O834))</f>
        <v>-0.20159254550055417</v>
      </c>
    </row>
    <row r="835" spans="1:24">
      <c r="A835" s="799">
        <v>41237</v>
      </c>
      <c r="B835">
        <v>12.4115</v>
      </c>
      <c r="C835">
        <v>17.642060000000001</v>
      </c>
      <c r="D835">
        <v>1.7660210000000001</v>
      </c>
      <c r="E835">
        <f>LN(D835/参数实验室!$E$53)/参数实验室!$E$55</f>
        <v>-2.2008419030910647E-2</v>
      </c>
      <c r="F835">
        <f t="shared" si="68"/>
        <v>1.4214285138782581</v>
      </c>
      <c r="G835">
        <f>LN(F835/参数实验室!$E$58)/参数实验室!$E$59</f>
        <v>-5.958612353563506E-3</v>
      </c>
      <c r="H835" s="856">
        <f>INDEX(神经网络!$G$10:$BO$70,MATCH(ROUND(G835*2,1)/2,神经网络!$E$10:$E$70,0),MATCH(ROUND(E835*2,1)/2,神经网络!$G$8:$BO$8,0))</f>
        <v>0.2324433758486491</v>
      </c>
      <c r="I835">
        <f t="shared" si="70"/>
        <v>1.0094471071055109</v>
      </c>
      <c r="J835">
        <f t="shared" si="71"/>
        <v>4.952515861298437</v>
      </c>
      <c r="K835">
        <f t="shared" si="72"/>
        <v>0.20382511341232873</v>
      </c>
      <c r="L835" s="4">
        <f>MIN(MAX(L834*(1+MAX(MIN(((B835-B834)/B834)/($K$7*卓尔金历!$N$40),0),-卓尔金历!$M$43))+MIN(MAX(((B835-B834)/B834)/($K$7*卓尔金历!$N$40),0),卓尔金历!$M$43),0),1)</f>
        <v>0.9877174378003164</v>
      </c>
      <c r="M835" s="4">
        <f>MIN(MAX(M834*(1+MAX(MIN(((B835-B834)/B834)/($K$7*30),0),-卓尔金历!$M$43))+MIN(MAX(((B835-B834)/B834)/($K$7*7),0),卓尔金历!$M$43),0),1)</f>
        <v>1</v>
      </c>
      <c r="N835">
        <f t="shared" si="73"/>
        <v>1.026751083727143</v>
      </c>
      <c r="O835">
        <f t="shared" si="74"/>
        <v>1.0516253503148358</v>
      </c>
      <c r="P835">
        <f t="shared" si="75"/>
        <v>5.3867962737950224E-3</v>
      </c>
      <c r="Q835">
        <f t="shared" si="76"/>
        <v>1.6948106337417619E-2</v>
      </c>
      <c r="R835">
        <f t="shared" si="77"/>
        <v>1</v>
      </c>
      <c r="S835">
        <f t="shared" si="69"/>
        <v>1.1002229208047707</v>
      </c>
      <c r="T835" s="564">
        <f>IF((I835-MAX(I$470:I835))/MAX(I$470:I835)&gt;T834,T834,(I835-MAX(I$470:I835))/MAX(I$470:I835))</f>
        <v>-0.22786721585231193</v>
      </c>
      <c r="U835" s="564">
        <f>IF((J835-MAX(J$470:J835))/MAX(J$470:J835)&gt;U834,U834,(J835-MAX(J$470:J835))/MAX(J$470:J835))</f>
        <v>-0.40740740740740738</v>
      </c>
      <c r="V835" s="564">
        <f>IF((K835-MAX(K$470:K835))/MAX(K$470:K835)&gt;V834,V834,(K835-MAX(K$470:K835))/MAX(K$470:K835))</f>
        <v>-0.80725522782524772</v>
      </c>
      <c r="W835" s="564">
        <f>IF((N835-MAX(N$470:N835))/MAX(N$470:N835)&gt;W834,W834,(N835-MAX(N$470:N835))/MAX(N$470:N835))</f>
        <v>-0.1897647318309108</v>
      </c>
      <c r="X835" s="564">
        <f>IF((O835-MAX(O$470:O835))/MAX(O$470:O835)&gt;X834,X834,(O835-MAX(O$470:O835))/MAX(O$470:O835))</f>
        <v>-0.20159254550055417</v>
      </c>
    </row>
    <row r="836" spans="1:24">
      <c r="A836" s="799">
        <v>41238</v>
      </c>
      <c r="B836">
        <v>12.482100000000001</v>
      </c>
      <c r="C836">
        <v>17.910402000000001</v>
      </c>
      <c r="D836">
        <v>1.778068</v>
      </c>
      <c r="E836">
        <f>LN(D836/参数实验室!$E$53)/参数实验室!$E$55</f>
        <v>-1.3987998511232258E-2</v>
      </c>
      <c r="F836">
        <f t="shared" si="68"/>
        <v>1.4348869180666715</v>
      </c>
      <c r="G836">
        <f>LN(F836/参数实验室!$E$58)/参数实验室!$E$59</f>
        <v>-1.0125548926807572E-3</v>
      </c>
      <c r="H836" s="856">
        <f>INDEX(神经网络!$G$10:$BO$70,MATCH(ROUND(G836*2,1)/2,神经网络!$E$10:$E$70,0),MATCH(ROUND(E836*2,1)/2,神经网络!$G$8:$BO$8,0))</f>
        <v>0.2324433758486491</v>
      </c>
      <c r="I836">
        <f t="shared" si="70"/>
        <v>1.0107817994560024</v>
      </c>
      <c r="J836">
        <f t="shared" si="71"/>
        <v>4.9806871234188632</v>
      </c>
      <c r="K836">
        <f t="shared" si="72"/>
        <v>0.20294023182130291</v>
      </c>
      <c r="L836" s="4">
        <f>MIN(MAX(L835*(1+MAX(MIN(((B836-B835)/B835)/($K$7*卓尔金历!$N$40),0),-卓尔金历!$M$43))+MIN(MAX(((B836-B835)/B835)/($K$7*卓尔金历!$N$40),0),卓尔金历!$M$43),0),1)</f>
        <v>1</v>
      </c>
      <c r="M836" s="4">
        <f>MIN(MAX(M835*(1+MAX(MIN(((B836-B835)/B835)/($K$7*30),0),-卓尔金历!$M$43))+MIN(MAX(((B836-B835)/B835)/($K$7*7),0),卓尔金历!$M$43),0),1)</f>
        <v>1</v>
      </c>
      <c r="N836">
        <f t="shared" si="73"/>
        <v>1.0280919809605247</v>
      </c>
      <c r="O836">
        <f t="shared" si="74"/>
        <v>1.053015810796389</v>
      </c>
      <c r="P836">
        <f t="shared" si="75"/>
        <v>5.6882729726463891E-3</v>
      </c>
      <c r="Q836">
        <f t="shared" si="76"/>
        <v>1.687166502407661E-2</v>
      </c>
      <c r="R836">
        <f t="shared" si="77"/>
        <v>1</v>
      </c>
      <c r="S836">
        <f t="shared" si="69"/>
        <v>1.1016776370607262</v>
      </c>
      <c r="T836" s="564">
        <f>IF((I836-MAX(I$470:I836))/MAX(I$470:I836)&gt;T835,T835,(I836-MAX(I$470:I836))/MAX(I$470:I836))</f>
        <v>-0.22786721585231193</v>
      </c>
      <c r="U836" s="564">
        <f>IF((J836-MAX(J$470:J836))/MAX(J$470:J836)&gt;U835,U835,(J836-MAX(J$470:J836))/MAX(J$470:J836))</f>
        <v>-0.40740740740740738</v>
      </c>
      <c r="V836" s="564">
        <f>IF((K836-MAX(K$470:K836))/MAX(K$470:K836)&gt;V835,V835,(K836-MAX(K$470:K836))/MAX(K$470:K836))</f>
        <v>-0.80725522782524772</v>
      </c>
      <c r="W836" s="564">
        <f>IF((N836-MAX(N$470:N836))/MAX(N$470:N836)&gt;W835,W835,(N836-MAX(N$470:N836))/MAX(N$470:N836))</f>
        <v>-0.1897647318309108</v>
      </c>
      <c r="X836" s="564">
        <f>IF((O836-MAX(O$470:O836))/MAX(O$470:O836)&gt;X835,X835,(O836-MAX(O$470:O836))/MAX(O$470:O836))</f>
        <v>-0.20159254550055417</v>
      </c>
    </row>
    <row r="837" spans="1:24">
      <c r="A837" s="799">
        <v>41239</v>
      </c>
      <c r="B837">
        <v>12.2455</v>
      </c>
      <c r="C837">
        <v>18.17464</v>
      </c>
      <c r="D837">
        <v>1.7257819999999999</v>
      </c>
      <c r="E837">
        <f>LN(D837/参数实验室!$E$53)/参数实验室!$E$55</f>
        <v>-4.9200212134626005E-2</v>
      </c>
      <c r="F837">
        <f t="shared" ref="F837:F900" si="78">C837/B837</f>
        <v>1.484189294026377</v>
      </c>
      <c r="G837">
        <f>LN(F837/参数实验室!$E$58)/参数实验室!$E$59</f>
        <v>1.6718405475810754E-2</v>
      </c>
      <c r="H837" s="856">
        <f>INDEX(神经网络!$G$10:$BO$70,MATCH(ROUND(G837*2,1)/2,神经网络!$E$10:$E$70,0),MATCH(ROUND(E837*2,1)/2,神经网络!$G$8:$BO$8,0))</f>
        <v>0.18748659045098026</v>
      </c>
      <c r="I837">
        <f t="shared" si="70"/>
        <v>1.0063282972667682</v>
      </c>
      <c r="J837">
        <f t="shared" si="71"/>
        <v>4.8862774829416269</v>
      </c>
      <c r="K837">
        <f t="shared" si="72"/>
        <v>0.20594988736925773</v>
      </c>
      <c r="L837" s="4">
        <f>MIN(MAX(L836*(1+MAX(MIN(((B837-B836)/B836)/($K$7*卓尔金历!$N$40),0),-卓尔金历!$M$43))+MIN(MAX(((B837-B836)/B836)/($K$7*卓尔金历!$N$40),0),卓尔金历!$M$43),0),1)</f>
        <v>0.71038359314818811</v>
      </c>
      <c r="M837" s="4">
        <f>MIN(MAX(M836*(1+MAX(MIN(((B837-B836)/B836)/($K$7*30),0),-卓尔金历!$M$43))+MIN(MAX(((B837-B836)/B836)/($K$7*7),0),卓尔金历!$M$43),0),1)</f>
        <v>0.85519179657409405</v>
      </c>
      <c r="N837">
        <f t="shared" si="73"/>
        <v>1.0235622101530111</v>
      </c>
      <c r="O837">
        <f t="shared" si="74"/>
        <v>1.0483762256542701</v>
      </c>
      <c r="P837">
        <f t="shared" si="75"/>
        <v>-1.895514376587281E-2</v>
      </c>
      <c r="Q837">
        <f t="shared" si="76"/>
        <v>1.7598187474797002E-2</v>
      </c>
      <c r="R837">
        <f t="shared" si="77"/>
        <v>1.5618447511853279E-2</v>
      </c>
      <c r="S837">
        <f t="shared" si="69"/>
        <v>1.0968236480285523</v>
      </c>
      <c r="T837" s="564">
        <f>IF((I837-MAX(I$470:I837))/MAX(I$470:I837)&gt;T836,T836,(I837-MAX(I$470:I837))/MAX(I$470:I837))</f>
        <v>-0.22786721585231193</v>
      </c>
      <c r="U837" s="564">
        <f>IF((J837-MAX(J$470:J837))/MAX(J$470:J837)&gt;U836,U836,(J837-MAX(J$470:J837))/MAX(J$470:J837))</f>
        <v>-0.40740740740740738</v>
      </c>
      <c r="V837" s="564">
        <f>IF((K837-MAX(K$470:K837))/MAX(K$470:K837)&gt;V836,V836,(K837-MAX(K$470:K837))/MAX(K$470:K837))</f>
        <v>-0.80725522782524772</v>
      </c>
      <c r="W837" s="564">
        <f>IF((N837-MAX(N$470:N837))/MAX(N$470:N837)&gt;W836,W836,(N837-MAX(N$470:N837))/MAX(N$470:N837))</f>
        <v>-0.1897647318309108</v>
      </c>
      <c r="X837" s="564">
        <f>IF((O837-MAX(O$470:O837))/MAX(O$470:O837)&gt;X836,X836,(O837-MAX(O$470:O837))/MAX(O$470:O837))</f>
        <v>-0.20159254550055417</v>
      </c>
    </row>
    <row r="838" spans="1:24">
      <c r="A838" s="799">
        <v>41240</v>
      </c>
      <c r="B838">
        <v>12.2</v>
      </c>
      <c r="C838">
        <v>18.441030000000001</v>
      </c>
      <c r="D838">
        <v>1.720256</v>
      </c>
      <c r="E838">
        <f>LN(D838/参数实验室!$E$53)/参数实验室!$E$55</f>
        <v>-5.2983874424059191E-2</v>
      </c>
      <c r="F838">
        <f t="shared" si="78"/>
        <v>1.511559836065574</v>
      </c>
      <c r="G838">
        <f>LN(F838/参数实验室!$E$58)/参数实验室!$E$59</f>
        <v>2.6309288268359272E-2</v>
      </c>
      <c r="H838" s="856">
        <f>INDEX(神经网络!$G$10:$BO$70,MATCH(ROUND(G838*2,1)/2,神经网络!$E$10:$E$70,0),MATCH(ROUND(E838*2,1)/2,神经网络!$G$8:$BO$8,0))</f>
        <v>0.27141505023937018</v>
      </c>
      <c r="I838">
        <f t="shared" si="70"/>
        <v>1.0056272540843367</v>
      </c>
      <c r="J838">
        <f t="shared" si="71"/>
        <v>4.8681217828498511</v>
      </c>
      <c r="K838">
        <f t="shared" si="72"/>
        <v>0.20657397225088145</v>
      </c>
      <c r="L838" s="4">
        <f>MIN(MAX(L837*(1+MAX(MIN(((B838-B837)/B837)/($K$7*卓尔金历!$N$40),0),-卓尔金历!$M$43))+MIN(MAX(((B838-B837)/B837)/($K$7*卓尔金历!$N$40),0),卓尔金历!$M$43),0),1)</f>
        <v>0.67005399682610278</v>
      </c>
      <c r="M838" s="4">
        <f>MIN(MAX(M837*(1+MAX(MIN(((B838-B837)/B837)/($K$7*30),0),-卓尔金历!$M$43))+MIN(MAX(((B838-B837)/B837)/($K$7*7),0),卓尔金历!$M$43),0),1)</f>
        <v>0.83091650343215517</v>
      </c>
      <c r="N838">
        <f t="shared" si="73"/>
        <v>1.0230556718965258</v>
      </c>
      <c r="O838">
        <f t="shared" si="74"/>
        <v>1.0477516489592229</v>
      </c>
      <c r="P838">
        <f t="shared" si="75"/>
        <v>-3.715650647176558E-3</v>
      </c>
      <c r="Q838">
        <f t="shared" si="76"/>
        <v>1.763623307645952E-2</v>
      </c>
      <c r="R838">
        <f t="shared" si="77"/>
        <v>1</v>
      </c>
      <c r="S838">
        <f t="shared" si="69"/>
        <v>1.0968117142011291</v>
      </c>
      <c r="T838" s="564">
        <f>IF((I838-MAX(I$470:I838))/MAX(I$470:I838)&gt;T837,T837,(I838-MAX(I$470:I838))/MAX(I$470:I838))</f>
        <v>-0.22786721585231193</v>
      </c>
      <c r="U838" s="564">
        <f>IF((J838-MAX(J$470:J838))/MAX(J$470:J838)&gt;U837,U837,(J838-MAX(J$470:J838))/MAX(J$470:J838))</f>
        <v>-0.40740740740740738</v>
      </c>
      <c r="V838" s="564">
        <f>IF((K838-MAX(K$470:K838))/MAX(K$470:K838)&gt;V837,V837,(K838-MAX(K$470:K838))/MAX(K$470:K838))</f>
        <v>-0.80725522782524772</v>
      </c>
      <c r="W838" s="564">
        <f>IF((N838-MAX(N$470:N838))/MAX(N$470:N838)&gt;W837,W837,(N838-MAX(N$470:N838))/MAX(N$470:N838))</f>
        <v>-0.1897647318309108</v>
      </c>
      <c r="X838" s="564">
        <f>IF((O838-MAX(O$470:O838))/MAX(O$470:O838)&gt;X837,X837,(O838-MAX(O$470:O838))/MAX(O$470:O838))</f>
        <v>-0.20159254550055417</v>
      </c>
    </row>
    <row r="839" spans="1:24">
      <c r="A839" s="799">
        <v>41241</v>
      </c>
      <c r="B839">
        <v>12.3477</v>
      </c>
      <c r="C839">
        <v>18.678706999999999</v>
      </c>
      <c r="D839">
        <v>1.7412730000000001</v>
      </c>
      <c r="E839">
        <f>LN(D839/参数实验室!$E$53)/参数实验室!$E$55</f>
        <v>-3.8657732065090801E-2</v>
      </c>
      <c r="F839">
        <f t="shared" si="78"/>
        <v>1.5127276334863982</v>
      </c>
      <c r="G839">
        <f>LN(F839/参数实验室!$E$58)/参数实验室!$E$59</f>
        <v>2.6714622241702599E-2</v>
      </c>
      <c r="H839" s="856">
        <f>INDEX(神经网络!$G$10:$BO$70,MATCH(ROUND(G839*2,1)/2,神经网络!$E$10:$E$70,0),MATCH(ROUND(E839*2,1)/2,神经网络!$G$8:$BO$8,0))</f>
        <v>0.27141505023937018</v>
      </c>
      <c r="I839">
        <f t="shared" si="70"/>
        <v>1.0089316465678222</v>
      </c>
      <c r="J839">
        <f t="shared" si="71"/>
        <v>4.9270579785323863</v>
      </c>
      <c r="K839">
        <f t="shared" si="72"/>
        <v>0.20477365011002993</v>
      </c>
      <c r="L839" s="4">
        <f>MIN(MAX(L838*(1+MAX(MIN(((B839-B838)/B838)/($K$7*卓尔金历!$N$40),0),-卓尔金历!$M$43))+MIN(MAX(((B839-B838)/B838)/($K$7*卓尔金历!$N$40),0),卓尔金历!$M$43),0),1)</f>
        <v>0.85503057575340269</v>
      </c>
      <c r="M839" s="4">
        <f>MIN(MAX(M838*(1+MAX(MIN(((B839-B838)/B838)/($K$7*30),0),-卓尔金历!$M$43))+MIN(MAX(((B839-B838)/B838)/($K$7*7),0),卓尔金历!$M$43),0),1)</f>
        <v>1</v>
      </c>
      <c r="N839">
        <f t="shared" si="73"/>
        <v>1.0253081659869188</v>
      </c>
      <c r="O839">
        <f t="shared" si="74"/>
        <v>1.0506123358683381</v>
      </c>
      <c r="P839">
        <f t="shared" si="75"/>
        <v>1.2106557377049213E-2</v>
      </c>
      <c r="Q839">
        <f t="shared" si="76"/>
        <v>1.7670233770666944E-2</v>
      </c>
      <c r="R839">
        <f t="shared" si="77"/>
        <v>0.40243937559358367</v>
      </c>
      <c r="S839">
        <f t="shared" si="69"/>
        <v>1.1004157298734221</v>
      </c>
      <c r="T839" s="564">
        <f>IF((I839-MAX(I$470:I839))/MAX(I$470:I839)&gt;T838,T838,(I839-MAX(I$470:I839))/MAX(I$470:I839))</f>
        <v>-0.22786721585231193</v>
      </c>
      <c r="U839" s="564">
        <f>IF((J839-MAX(J$470:J839))/MAX(J$470:J839)&gt;U838,U838,(J839-MAX(J$470:J839))/MAX(J$470:J839))</f>
        <v>-0.40740740740740738</v>
      </c>
      <c r="V839" s="564">
        <f>IF((K839-MAX(K$470:K839))/MAX(K$470:K839)&gt;V838,V838,(K839-MAX(K$470:K839))/MAX(K$470:K839))</f>
        <v>-0.80725522782524772</v>
      </c>
      <c r="W839" s="564">
        <f>IF((N839-MAX(N$470:N839))/MAX(N$470:N839)&gt;W838,W838,(N839-MAX(N$470:N839))/MAX(N$470:N839))</f>
        <v>-0.1897647318309108</v>
      </c>
      <c r="X839" s="564">
        <f>IF((O839-MAX(O$470:O839))/MAX(O$470:O839)&gt;X838,X838,(O839-MAX(O$470:O839))/MAX(O$470:O839))</f>
        <v>-0.20159254550055417</v>
      </c>
    </row>
    <row r="840" spans="1:24">
      <c r="A840" s="799">
        <v>41242</v>
      </c>
      <c r="B840">
        <v>12.45</v>
      </c>
      <c r="C840">
        <v>19.490134000000001</v>
      </c>
      <c r="D840">
        <v>1.7619210000000001</v>
      </c>
      <c r="E840">
        <f>LN(D840/参数实验室!$E$53)/参数实验室!$E$55</f>
        <v>-2.4750522204880221E-2</v>
      </c>
      <c r="F840">
        <f t="shared" si="78"/>
        <v>1.5654726104417673</v>
      </c>
      <c r="G840">
        <f>LN(F840/参数实验室!$E$58)/参数实验室!$E$59</f>
        <v>4.470313634197122E-2</v>
      </c>
      <c r="H840" s="856">
        <f>INDEX(神经网络!$G$10:$BO$70,MATCH(ROUND(G840*2,1)/2,神经网络!$E$10:$E$70,0),MATCH(ROUND(E840*2,1)/2,神经网络!$G$8:$BO$8,0))</f>
        <v>0.96961959596350966</v>
      </c>
      <c r="I840">
        <f t="shared" si="70"/>
        <v>1.0112003892155439</v>
      </c>
      <c r="J840">
        <f t="shared" si="71"/>
        <v>4.9678783767607086</v>
      </c>
      <c r="K840">
        <f t="shared" si="72"/>
        <v>0.2035477345713311</v>
      </c>
      <c r="L840" s="4">
        <f>MIN(MAX(L839*(1+MAX(MIN(((B840-B839)/B839)/($K$7*卓尔金历!$N$40),0),-卓尔金历!$M$43))+MIN(MAX(((B840-B839)/B839)/($K$7*卓尔金历!$N$40),0),卓尔金历!$M$43),0),1)</f>
        <v>0.9816165658595668</v>
      </c>
      <c r="M840" s="4">
        <f>MIN(MAX(M839*(1+MAX(MIN(((B840-B839)/B839)/($K$7*30),0),-卓尔金历!$M$43))+MIN(MAX(((B840-B839)/B839)/($K$7*7),0),卓尔金历!$M$43),0),1)</f>
        <v>1</v>
      </c>
      <c r="N840">
        <f t="shared" si="73"/>
        <v>1.0272794969898018</v>
      </c>
      <c r="O840">
        <f t="shared" si="74"/>
        <v>1.0529748041492326</v>
      </c>
      <c r="P840">
        <f t="shared" si="75"/>
        <v>8.2849437547073239E-3</v>
      </c>
      <c r="Q840">
        <f t="shared" si="76"/>
        <v>1.7631469049650045E-2</v>
      </c>
      <c r="R840">
        <f t="shared" si="77"/>
        <v>0.78626105514951539</v>
      </c>
      <c r="S840">
        <f t="shared" si="69"/>
        <v>1.1014115496495391</v>
      </c>
      <c r="T840" s="564">
        <f>IF((I840-MAX(I$470:I840))/MAX(I$470:I840)&gt;T839,T839,(I840-MAX(I$470:I840))/MAX(I$470:I840))</f>
        <v>-0.22786721585231193</v>
      </c>
      <c r="U840" s="564">
        <f>IF((J840-MAX(J$470:J840))/MAX(J$470:J840)&gt;U839,U839,(J840-MAX(J$470:J840))/MAX(J$470:J840))</f>
        <v>-0.40740740740740738</v>
      </c>
      <c r="V840" s="564">
        <f>IF((K840-MAX(K$470:K840))/MAX(K$470:K840)&gt;V839,V839,(K840-MAX(K$470:K840))/MAX(K$470:K840))</f>
        <v>-0.80725522782524772</v>
      </c>
      <c r="W840" s="564">
        <f>IF((N840-MAX(N$470:N840))/MAX(N$470:N840)&gt;W839,W839,(N840-MAX(N$470:N840))/MAX(N$470:N840))</f>
        <v>-0.1897647318309108</v>
      </c>
      <c r="X840" s="564">
        <f>IF((O840-MAX(O$470:O840))/MAX(O$470:O840)&gt;X839,X839,(O840-MAX(O$470:O840))/MAX(O$470:O840))</f>
        <v>-0.20159254550055417</v>
      </c>
    </row>
    <row r="841" spans="1:24">
      <c r="A841" s="799">
        <v>41243</v>
      </c>
      <c r="B841">
        <v>12.565</v>
      </c>
      <c r="C841">
        <v>20.651741999999999</v>
      </c>
      <c r="D841">
        <v>1.7704150000000001</v>
      </c>
      <c r="E841">
        <f>LN(D841/参数实验室!$E$53)/参数实验室!$E$55</f>
        <v>-1.9076745209242327E-2</v>
      </c>
      <c r="F841">
        <f t="shared" si="78"/>
        <v>1.6435926780740151</v>
      </c>
      <c r="G841">
        <f>LN(F841/参数实验室!$E$58)/参数实验室!$E$59</f>
        <v>7.026181579940792E-2</v>
      </c>
      <c r="H841" s="856">
        <f>INDEX(神经网络!$G$10:$BO$70,MATCH(ROUND(G841*2,1)/2,神经网络!$E$10:$E$70,0),MATCH(ROUND(E841*2,1)/2,神经网络!$G$8:$BO$8,0))</f>
        <v>0.96961959596350966</v>
      </c>
      <c r="I841">
        <f t="shared" si="70"/>
        <v>1.0202570291332445</v>
      </c>
      <c r="J841">
        <f t="shared" si="71"/>
        <v>5.013766409959703</v>
      </c>
      <c r="K841">
        <f t="shared" si="72"/>
        <v>0.20349113734268376</v>
      </c>
      <c r="L841" s="4">
        <f>MIN(MAX(L840*(1+MAX(MIN(((B841-B840)/B840)/($K$7*卓尔金历!$N$40),0),-卓尔金历!$M$43))+MIN(MAX(((B841-B840)/B840)/($K$7*卓尔金历!$N$40),0),卓尔金历!$M$43),0),1)</f>
        <v>1</v>
      </c>
      <c r="M841" s="4">
        <f>MIN(MAX(M840*(1+MAX(MIN(((B841-B840)/B840)/($K$7*30),0),-卓尔金历!$M$43))+MIN(MAX(((B841-B840)/B840)/($K$7*7),0),卓尔金历!$M$43),0),1)</f>
        <v>1</v>
      </c>
      <c r="N841">
        <f t="shared" si="73"/>
        <v>1.0363110070951045</v>
      </c>
      <c r="O841">
        <f t="shared" si="74"/>
        <v>1.0624055893282107</v>
      </c>
      <c r="P841">
        <f t="shared" si="75"/>
        <v>9.236947791164676E-3</v>
      </c>
      <c r="Q841">
        <f t="shared" si="76"/>
        <v>1.7248292466865604E-2</v>
      </c>
      <c r="R841">
        <f t="shared" si="77"/>
        <v>0.65314399618438901</v>
      </c>
      <c r="S841">
        <f t="shared" si="69"/>
        <v>1.1091677008016683</v>
      </c>
      <c r="T841" s="564">
        <f>IF((I841-MAX(I$470:I841))/MAX(I$470:I841)&gt;T840,T840,(I841-MAX(I$470:I841))/MAX(I$470:I841))</f>
        <v>-0.22786721585231193</v>
      </c>
      <c r="U841" s="564">
        <f>IF((J841-MAX(J$470:J841))/MAX(J$470:J841)&gt;U840,U840,(J841-MAX(J$470:J841))/MAX(J$470:J841))</f>
        <v>-0.40740740740740738</v>
      </c>
      <c r="V841" s="564">
        <f>IF((K841-MAX(K$470:K841))/MAX(K$470:K841)&gt;V840,V840,(K841-MAX(K$470:K841))/MAX(K$470:K841))</f>
        <v>-0.80725522782524772</v>
      </c>
      <c r="W841" s="564">
        <f>IF((N841-MAX(N$470:N841))/MAX(N$470:N841)&gt;W840,W840,(N841-MAX(N$470:N841))/MAX(N$470:N841))</f>
        <v>-0.1897647318309108</v>
      </c>
      <c r="X841" s="564">
        <f>IF((O841-MAX(O$470:O841))/MAX(O$470:O841)&gt;X840,X840,(O841-MAX(O$470:O841))/MAX(O$470:O841))</f>
        <v>-0.20159254550055417</v>
      </c>
    </row>
    <row r="842" spans="1:24">
      <c r="A842" s="799">
        <v>41244</v>
      </c>
      <c r="B842">
        <v>12.561999999999999</v>
      </c>
      <c r="C842">
        <v>21.478815000000001</v>
      </c>
      <c r="D842">
        <v>1.7693829999999999</v>
      </c>
      <c r="E842">
        <f>LN(D842/参数实验室!$E$53)/参数实验室!$E$55</f>
        <v>-1.9764640610208148E-2</v>
      </c>
      <c r="F842">
        <f t="shared" si="78"/>
        <v>1.7098244706256966</v>
      </c>
      <c r="G842">
        <f>LN(F842/参数实验室!$E$58)/参数实验室!$E$59</f>
        <v>9.0996811567252478E-2</v>
      </c>
      <c r="H842" s="856">
        <f>INDEX(神经网络!$G$10:$BO$70,MATCH(ROUND(G842*2,1)/2,神经网络!$E$10:$E$70,0),MATCH(ROUND(E842*2,1)/2,神经网络!$G$8:$BO$8,0))</f>
        <v>1.0120229397945839</v>
      </c>
      <c r="I842">
        <f t="shared" si="70"/>
        <v>1.0200208346545256</v>
      </c>
      <c r="J842">
        <f t="shared" si="71"/>
        <v>5.0125693308327728</v>
      </c>
      <c r="K842">
        <f t="shared" si="72"/>
        <v>0.20349261373409522</v>
      </c>
      <c r="L842" s="4">
        <f>MIN(MAX(L841*(1+MAX(MIN(((B842-B841)/B841)/($K$7*卓尔金历!$N$40),0),-卓尔金历!$M$43))+MIN(MAX(((B842-B841)/B841)/($K$7*卓尔金历!$N$40),0),卓尔金历!$M$43),0),1)</f>
        <v>0.99635199991123236</v>
      </c>
      <c r="M842" s="4">
        <f>MIN(MAX(M841*(1+MAX(MIN(((B842-B841)/B841)/($K$7*30),0),-卓尔金历!$M$43))+MIN(MAX(((B842-B841)/B841)/($K$7*7),0),卓尔金历!$M$43),0),1)</f>
        <v>0.99817599995561623</v>
      </c>
      <c r="N842">
        <f t="shared" si="73"/>
        <v>1.0360710960421815</v>
      </c>
      <c r="O842">
        <f t="shared" si="74"/>
        <v>1.0621596372522202</v>
      </c>
      <c r="P842">
        <f t="shared" si="75"/>
        <v>-2.3875845602866009E-4</v>
      </c>
      <c r="Q842">
        <f t="shared" si="76"/>
        <v>1.7323269709924163E-2</v>
      </c>
      <c r="R842">
        <f t="shared" si="77"/>
        <v>1</v>
      </c>
      <c r="S842">
        <f t="shared" si="69"/>
        <v>1.1089999879670795</v>
      </c>
      <c r="T842" s="564">
        <f>IF((I842-MAX(I$470:I842))/MAX(I$470:I842)&gt;T841,T841,(I842-MAX(I$470:I842))/MAX(I$470:I842))</f>
        <v>-0.22786721585231193</v>
      </c>
      <c r="U842" s="564">
        <f>IF((J842-MAX(J$470:J842))/MAX(J$470:J842)&gt;U841,U841,(J842-MAX(J$470:J842))/MAX(J$470:J842))</f>
        <v>-0.40740740740740738</v>
      </c>
      <c r="V842" s="564">
        <f>IF((K842-MAX(K$470:K842))/MAX(K$470:K842)&gt;V841,V841,(K842-MAX(K$470:K842))/MAX(K$470:K842))</f>
        <v>-0.80725522782524772</v>
      </c>
      <c r="W842" s="564">
        <f>IF((N842-MAX(N$470:N842))/MAX(N$470:N842)&gt;W841,W841,(N842-MAX(N$470:N842))/MAX(N$470:N842))</f>
        <v>-0.1897647318309108</v>
      </c>
      <c r="X842" s="564">
        <f>IF((O842-MAX(O$470:O842))/MAX(O$470:O842)&gt;X841,X841,(O842-MAX(O$470:O842))/MAX(O$470:O842))</f>
        <v>-0.20159254550055417</v>
      </c>
    </row>
    <row r="843" spans="1:24">
      <c r="A843" s="799">
        <v>41245</v>
      </c>
      <c r="B843">
        <v>12.5</v>
      </c>
      <c r="C843">
        <v>22.639009999999999</v>
      </c>
      <c r="D843">
        <v>1.75501</v>
      </c>
      <c r="E843">
        <f>LN(D843/参数实验室!$E$53)/参数实验室!$E$55</f>
        <v>-2.9387113121047064E-2</v>
      </c>
      <c r="F843">
        <f t="shared" si="78"/>
        <v>1.8111207999999999</v>
      </c>
      <c r="G843">
        <f>LN(F843/参数实验室!$E$58)/参数实验室!$E$59</f>
        <v>0.12120487191784797</v>
      </c>
      <c r="H843" s="856">
        <f>INDEX(神经网络!$G$10:$BO$70,MATCH(ROUND(G843*2,1)/2,神经网络!$E$10:$E$70,0),MATCH(ROUND(E843*2,1)/2,神经网络!$G$8:$BO$8,0))</f>
        <v>0.93179225243224195</v>
      </c>
      <c r="I843">
        <f t="shared" si="70"/>
        <v>1.0149259741234156</v>
      </c>
      <c r="J843">
        <f t="shared" si="71"/>
        <v>4.9878296955428798</v>
      </c>
      <c r="K843">
        <f t="shared" si="72"/>
        <v>0.20348047870005517</v>
      </c>
      <c r="L843" s="4">
        <f>MIN(MAX(L842*(1+MAX(MIN(((B843-B842)/B842)/($K$7*卓尔金历!$N$40),0),-卓尔金历!$M$43))+MIN(MAX(((B843-B842)/B842)/($K$7*卓尔金历!$N$40),0),卓尔金历!$M$43),0),1)</f>
        <v>0.9212170890107696</v>
      </c>
      <c r="M843" s="4">
        <f>MIN(MAX(M842*(1+MAX(MIN(((B843-B842)/B842)/($K$7*30),0),-卓尔金历!$M$43))+MIN(MAX(((B843-B842)/B842)/($K$7*7),0),卓尔金历!$M$43),0),1)</f>
        <v>0.96053977057768192</v>
      </c>
      <c r="N843">
        <f t="shared" si="73"/>
        <v>1.0309149452214916</v>
      </c>
      <c r="O843">
        <f t="shared" si="74"/>
        <v>1.0568639762685361</v>
      </c>
      <c r="P843">
        <f t="shared" si="75"/>
        <v>-4.9355198216843969E-3</v>
      </c>
      <c r="Q843">
        <f t="shared" si="76"/>
        <v>1.7407802386529569E-2</v>
      </c>
      <c r="R843">
        <f t="shared" si="77"/>
        <v>1</v>
      </c>
      <c r="S843">
        <f t="shared" si="69"/>
        <v>1.103460689086377</v>
      </c>
      <c r="T843" s="564">
        <f>IF((I843-MAX(I$470:I843))/MAX(I$470:I843)&gt;T842,T842,(I843-MAX(I$470:I843))/MAX(I$470:I843))</f>
        <v>-0.22786721585231193</v>
      </c>
      <c r="U843" s="564">
        <f>IF((J843-MAX(J$470:J843))/MAX(J$470:J843)&gt;U842,U842,(J843-MAX(J$470:J843))/MAX(J$470:J843))</f>
        <v>-0.40740740740740738</v>
      </c>
      <c r="V843" s="564">
        <f>IF((K843-MAX(K$470:K843))/MAX(K$470:K843)&gt;V842,V842,(K843-MAX(K$470:K843))/MAX(K$470:K843))</f>
        <v>-0.80725522782524772</v>
      </c>
      <c r="W843" s="564">
        <f>IF((N843-MAX(N$470:N843))/MAX(N$470:N843)&gt;W842,W842,(N843-MAX(N$470:N843))/MAX(N$470:N843))</f>
        <v>-0.1897647318309108</v>
      </c>
      <c r="X843" s="564">
        <f>IF((O843-MAX(O$470:O843))/MAX(O$470:O843)&gt;X842,X842,(O843-MAX(O$470:O843))/MAX(O$470:O843))</f>
        <v>-0.20159254550055417</v>
      </c>
    </row>
    <row r="844" spans="1:24">
      <c r="A844" s="799">
        <v>41246</v>
      </c>
      <c r="B844">
        <v>12.679</v>
      </c>
      <c r="C844">
        <v>23.901734999999999</v>
      </c>
      <c r="D844">
        <v>1.773997</v>
      </c>
      <c r="E844">
        <f>LN(D844/参数实验室!$E$53)/参数实验室!$E$55</f>
        <v>-1.6692215668901195E-2</v>
      </c>
      <c r="F844">
        <f t="shared" si="78"/>
        <v>1.885143544443568</v>
      </c>
      <c r="G844">
        <f>LN(F844/参数实验室!$E$58)/参数实验室!$E$59</f>
        <v>0.14222952175307296</v>
      </c>
      <c r="H844" s="856">
        <f>INDEX(神经网络!$G$10:$BO$70,MATCH(ROUND(G844*2,1)/2,神经网络!$E$10:$E$70,0),MATCH(ROUND(E844*2,1)/2,神经网络!$G$8:$BO$8,0))</f>
        <v>1.0539475037188322</v>
      </c>
      <c r="I844">
        <f t="shared" si="70"/>
        <v>1.0284684004071756</v>
      </c>
      <c r="J844">
        <f t="shared" si="71"/>
        <v>5.0592554167830546</v>
      </c>
      <c r="K844">
        <f t="shared" si="72"/>
        <v>0.20328453807559113</v>
      </c>
      <c r="L844" s="4">
        <f>MIN(MAX(L843*(1+MAX(MIN(((B844-B843)/B843)/($K$7*卓尔金历!$N$40),0),-卓尔金历!$M$43))+MIN(MAX(((B844-B843)/B843)/($K$7*卓尔金历!$N$40),0),卓尔金历!$M$43),0),1)</f>
        <v>1</v>
      </c>
      <c r="M844" s="4">
        <f>MIN(MAX(M843*(1+MAX(MIN(((B844-B843)/B843)/($K$7*30),0),-卓尔金历!$M$43))+MIN(MAX(((B844-B843)/B843)/($K$7*7),0),卓尔金历!$M$43),0),1)</f>
        <v>1</v>
      </c>
      <c r="N844">
        <f t="shared" si="73"/>
        <v>1.0435869968736819</v>
      </c>
      <c r="O844">
        <f t="shared" si="74"/>
        <v>1.0704095236377087</v>
      </c>
      <c r="P844">
        <f t="shared" si="75"/>
        <v>1.4320000000000022E-2</v>
      </c>
      <c r="Q844">
        <f t="shared" si="76"/>
        <v>1.7435347184512076E-2</v>
      </c>
      <c r="R844">
        <f t="shared" si="77"/>
        <v>0.21767682800961188</v>
      </c>
      <c r="S844">
        <f t="shared" si="69"/>
        <v>1.1181844575384416</v>
      </c>
      <c r="T844" s="564">
        <f>IF((I844-MAX(I$470:I844))/MAX(I$470:I844)&gt;T843,T843,(I844-MAX(I$470:I844))/MAX(I$470:I844))</f>
        <v>-0.22786721585231193</v>
      </c>
      <c r="U844" s="564">
        <f>IF((J844-MAX(J$470:J844))/MAX(J$470:J844)&gt;U843,U843,(J844-MAX(J$470:J844))/MAX(J$470:J844))</f>
        <v>-0.40740740740740738</v>
      </c>
      <c r="V844" s="564">
        <f>IF((K844-MAX(K$470:K844))/MAX(K$470:K844)&gt;V843,V843,(K844-MAX(K$470:K844))/MAX(K$470:K844))</f>
        <v>-0.80725522782524772</v>
      </c>
      <c r="W844" s="564">
        <f>IF((N844-MAX(N$470:N844))/MAX(N$470:N844)&gt;W843,W843,(N844-MAX(N$470:N844))/MAX(N$470:N844))</f>
        <v>-0.1897647318309108</v>
      </c>
      <c r="X844" s="564">
        <f>IF((O844-MAX(O$470:O844))/MAX(O$470:O844)&gt;X843,X843,(O844-MAX(O$470:O844))/MAX(O$470:O844))</f>
        <v>-0.20159254550055417</v>
      </c>
    </row>
    <row r="845" spans="1:24">
      <c r="A845" s="799">
        <v>41247</v>
      </c>
      <c r="B845">
        <v>13.41</v>
      </c>
      <c r="C845">
        <v>25.801589</v>
      </c>
      <c r="D845">
        <v>1.8577429999999999</v>
      </c>
      <c r="E845">
        <f>LN(D845/参数实验室!$E$53)/参数实验室!$E$55</f>
        <v>3.7726400550173275E-2</v>
      </c>
      <c r="F845">
        <f t="shared" si="78"/>
        <v>1.9240558538404176</v>
      </c>
      <c r="G845">
        <f>LN(F845/参数实验室!$E$58)/参数实验室!$E$59</f>
        <v>0.15295303146446229</v>
      </c>
      <c r="H845" s="856">
        <f>INDEX(神经网络!$G$10:$BO$70,MATCH(ROUND(G845*2,1)/2,神经网络!$E$10:$E$70,0),MATCH(ROUND(E845*2,1)/2,神经网络!$G$8:$BO$8,0))</f>
        <v>1.1440648400729447</v>
      </c>
      <c r="I845">
        <f t="shared" si="70"/>
        <v>1.0909629737240885</v>
      </c>
      <c r="J845">
        <f t="shared" si="71"/>
        <v>5.3509436973784021</v>
      </c>
      <c r="K845">
        <f t="shared" si="72"/>
        <v>0.20388234962341054</v>
      </c>
      <c r="L845" s="4">
        <f>MIN(MAX(L844*(1+MAX(MIN(((B845-B844)/B844)/($K$7*卓尔金历!$N$40),0),-卓尔金历!$M$43))+MIN(MAX(((B845-B844)/B844)/($K$7*卓尔金历!$N$40),0),卓尔金历!$M$43),0),1)</f>
        <v>1</v>
      </c>
      <c r="M845" s="4">
        <f>MIN(MAX(M844*(1+MAX(MIN(((B845-B844)/B844)/($K$7*30),0),-卓尔金历!$M$43))+MIN(MAX(((B845-B844)/B844)/($K$7*7),0),卓尔金历!$M$43),0),1)</f>
        <v>1</v>
      </c>
      <c r="N845">
        <f t="shared" si="73"/>
        <v>1.1070002471620515</v>
      </c>
      <c r="O845">
        <f t="shared" si="74"/>
        <v>1.1354526367052706</v>
      </c>
      <c r="P845">
        <f t="shared" si="75"/>
        <v>5.7654389147409092E-2</v>
      </c>
      <c r="Q845">
        <f t="shared" si="76"/>
        <v>2.0267702813575705E-2</v>
      </c>
      <c r="R845">
        <f t="shared" si="77"/>
        <v>0</v>
      </c>
      <c r="S845">
        <f t="shared" si="69"/>
        <v>1.1329747583287084</v>
      </c>
      <c r="T845" s="564">
        <f>IF((I845-MAX(I$470:I845))/MAX(I$470:I845)&gt;T844,T844,(I845-MAX(I$470:I845))/MAX(I$470:I845))</f>
        <v>-0.22786721585231193</v>
      </c>
      <c r="U845" s="564">
        <f>IF((J845-MAX(J$470:J845))/MAX(J$470:J845)&gt;U844,U844,(J845-MAX(J$470:J845))/MAX(J$470:J845))</f>
        <v>-0.40740740740740738</v>
      </c>
      <c r="V845" s="564">
        <f>IF((K845-MAX(K$470:K845))/MAX(K$470:K845)&gt;V844,V844,(K845-MAX(K$470:K845))/MAX(K$470:K845))</f>
        <v>-0.80725522782524772</v>
      </c>
      <c r="W845" s="564">
        <f>IF((N845-MAX(N$470:N845))/MAX(N$470:N845)&gt;W844,W844,(N845-MAX(N$470:N845))/MAX(N$470:N845))</f>
        <v>-0.1897647318309108</v>
      </c>
      <c r="X845" s="564">
        <f>IF((O845-MAX(O$470:O845))/MAX(O$470:O845)&gt;X844,X844,(O845-MAX(O$470:O845))/MAX(O$470:O845))</f>
        <v>-0.20159254550055417</v>
      </c>
    </row>
    <row r="846" spans="1:24">
      <c r="A846" s="799">
        <v>41248</v>
      </c>
      <c r="B846">
        <v>13.38</v>
      </c>
      <c r="C846">
        <v>27.865763000000001</v>
      </c>
      <c r="D846">
        <v>1.842946</v>
      </c>
      <c r="E846">
        <f>LN(D846/参数实验室!$E$53)/参数实验室!$E$55</f>
        <v>2.8291994263917816E-2</v>
      </c>
      <c r="F846">
        <f t="shared" si="78"/>
        <v>2.0826429745889388</v>
      </c>
      <c r="G846">
        <f>LN(F846/参数实验室!$E$58)/参数实验室!$E$59</f>
        <v>0.19452271352436343</v>
      </c>
      <c r="H846" s="856">
        <f>INDEX(神经网络!$G$10:$BO$70,MATCH(ROUND(G846*2,1)/2,神经网络!$E$10:$E$70,0),MATCH(ROUND(E846*2,1)/2,神经网络!$G$8:$BO$8,0))</f>
        <v>1.1876041012401717</v>
      </c>
      <c r="I846">
        <f t="shared" si="70"/>
        <v>1.0881707312631059</v>
      </c>
      <c r="J846">
        <f t="shared" si="71"/>
        <v>5.3389729061090998</v>
      </c>
      <c r="K846">
        <f t="shared" si="72"/>
        <v>0.20381649249764325</v>
      </c>
      <c r="L846" s="4">
        <f>MIN(MAX(L845*(1+MAX(MIN(((B846-B845)/B845)/($K$7*卓尔金历!$N$40),0),-卓尔金历!$M$43))+MIN(MAX(((B846-B845)/B845)/($K$7*卓尔金历!$N$40),0),卓尔金历!$M$43),0),1)</f>
        <v>0.96581870162911088</v>
      </c>
      <c r="M846" s="4">
        <f>MIN(MAX(M845*(1+MAX(MIN(((B846-B845)/B845)/($K$7*30),0),-卓尔金历!$M$43))+MIN(MAX(((B846-B845)/B845)/($K$7*7),0),卓尔金历!$M$43),0),1)</f>
        <v>0.98290935081455544</v>
      </c>
      <c r="N846">
        <f t="shared" si="73"/>
        <v>1.1041669584355858</v>
      </c>
      <c r="O846">
        <f t="shared" si="74"/>
        <v>1.132546526102983</v>
      </c>
      <c r="P846">
        <f t="shared" si="75"/>
        <v>-2.237136465324337E-3</v>
      </c>
      <c r="Q846">
        <f t="shared" si="76"/>
        <v>2.0322688170747054E-2</v>
      </c>
      <c r="R846">
        <f t="shared" si="77"/>
        <v>1</v>
      </c>
      <c r="S846">
        <f t="shared" si="69"/>
        <v>1.1329747583287084</v>
      </c>
      <c r="T846" s="564">
        <f>IF((I846-MAX(I$470:I846))/MAX(I$470:I846)&gt;T845,T845,(I846-MAX(I$470:I846))/MAX(I$470:I846))</f>
        <v>-0.22786721585231193</v>
      </c>
      <c r="U846" s="564">
        <f>IF((J846-MAX(J$470:J846))/MAX(J$470:J846)&gt;U845,U845,(J846-MAX(J$470:J846))/MAX(J$470:J846))</f>
        <v>-0.40740740740740738</v>
      </c>
      <c r="V846" s="564">
        <f>IF((K846-MAX(K$470:K846))/MAX(K$470:K846)&gt;V845,V845,(K846-MAX(K$470:K846))/MAX(K$470:K846))</f>
        <v>-0.80725522782524772</v>
      </c>
      <c r="W846" s="564">
        <f>IF((N846-MAX(N$470:N846))/MAX(N$470:N846)&gt;W845,W845,(N846-MAX(N$470:N846))/MAX(N$470:N846))</f>
        <v>-0.1897647318309108</v>
      </c>
      <c r="X846" s="564">
        <f>IF((O846-MAX(O$470:O846))/MAX(O$470:O846)&gt;X845,X845,(O846-MAX(O$470:O846))/MAX(O$470:O846))</f>
        <v>-0.20159254550055417</v>
      </c>
    </row>
    <row r="847" spans="1:24">
      <c r="A847" s="799">
        <v>41249</v>
      </c>
      <c r="B847">
        <v>13.298999999999999</v>
      </c>
      <c r="C847">
        <v>29.389339</v>
      </c>
      <c r="D847">
        <v>1.8612200000000001</v>
      </c>
      <c r="E847">
        <f>LN(D847/参数实验室!$E$53)/参数实验室!$E$55</f>
        <v>3.9932393578063718E-2</v>
      </c>
      <c r="F847">
        <f t="shared" si="78"/>
        <v>2.2098908940521844</v>
      </c>
      <c r="G847">
        <f>LN(F847/参数实验室!$E$58)/参数实验室!$E$59</f>
        <v>0.22564939098818035</v>
      </c>
      <c r="H847" s="856">
        <f>INDEX(神经网络!$G$10:$BO$70,MATCH(ROUND(G847*2,1)/2,神经网络!$E$10:$E$70,0),MATCH(ROUND(E847*2,1)/2,神经网络!$G$8:$BO$8,0))</f>
        <v>1.2366856820262546</v>
      </c>
      <c r="I847">
        <f t="shared" si="70"/>
        <v>1.0803472934539051</v>
      </c>
      <c r="J847">
        <f t="shared" si="71"/>
        <v>5.3066517696819817</v>
      </c>
      <c r="K847">
        <f t="shared" si="72"/>
        <v>0.20358360419015178</v>
      </c>
      <c r="L847" s="4">
        <f>MIN(MAX(L846*(1+MAX(MIN(((B847-B846)/B846)/($K$7*卓尔金历!$N$40),0),-卓尔金历!$M$43))+MIN(MAX(((B847-B846)/B846)/($K$7*卓尔金历!$N$40),0),卓尔金历!$M$43),0),1)</f>
        <v>0.87648391705096862</v>
      </c>
      <c r="M847" s="4">
        <f>MIN(MAX(M846*(1+MAX(MIN(((B847-B846)/B846)/($K$7*30),0),-卓尔金历!$M$43))+MIN(MAX(((B847-B846)/B846)/($K$7*7),0),卓尔金历!$M$43),0),1)</f>
        <v>0.93745154648401785</v>
      </c>
      <c r="N847">
        <f t="shared" si="73"/>
        <v>1.0964998615416248</v>
      </c>
      <c r="O847">
        <f t="shared" si="74"/>
        <v>1.1245432073683783</v>
      </c>
      <c r="P847">
        <f t="shared" si="75"/>
        <v>-6.0538116591929217E-3</v>
      </c>
      <c r="Q847">
        <f t="shared" si="76"/>
        <v>2.0378009725742934E-2</v>
      </c>
      <c r="R847">
        <f t="shared" si="77"/>
        <v>1</v>
      </c>
      <c r="S847">
        <f t="shared" si="69"/>
        <v>1.1248292005531466</v>
      </c>
      <c r="T847" s="564">
        <f>IF((I847-MAX(I$470:I847))/MAX(I$470:I847)&gt;T846,T846,(I847-MAX(I$470:I847))/MAX(I$470:I847))</f>
        <v>-0.22786721585231193</v>
      </c>
      <c r="U847" s="564">
        <f>IF((J847-MAX(J$470:J847))/MAX(J$470:J847)&gt;U846,U846,(J847-MAX(J$470:J847))/MAX(J$470:J847))</f>
        <v>-0.40740740740740738</v>
      </c>
      <c r="V847" s="564">
        <f>IF((K847-MAX(K$470:K847))/MAX(K$470:K847)&gt;V846,V846,(K847-MAX(K$470:K847))/MAX(K$470:K847))</f>
        <v>-0.80725522782524772</v>
      </c>
      <c r="W847" s="564">
        <f>IF((N847-MAX(N$470:N847))/MAX(N$470:N847)&gt;W846,W846,(N847-MAX(N$470:N847))/MAX(N$470:N847))</f>
        <v>-0.1897647318309108</v>
      </c>
      <c r="X847" s="564">
        <f>IF((O847-MAX(O$470:O847))/MAX(O$470:O847)&gt;X846,X846,(O847-MAX(O$470:O847))/MAX(O$470:O847))</f>
        <v>-0.20159254550055417</v>
      </c>
    </row>
    <row r="848" spans="1:24">
      <c r="A848" s="799">
        <v>41250</v>
      </c>
      <c r="B848">
        <v>13.4999</v>
      </c>
      <c r="C848">
        <v>31.681562</v>
      </c>
      <c r="D848">
        <v>1.8543989999999999</v>
      </c>
      <c r="E848">
        <f>LN(D848/参数实验室!$E$53)/参数实验室!$E$55</f>
        <v>3.560089138862757E-2</v>
      </c>
      <c r="F848">
        <f t="shared" si="78"/>
        <v>2.3467997540722525</v>
      </c>
      <c r="G848">
        <f>LN(F848/参数实验室!$E$58)/参数实验室!$E$59</f>
        <v>0.2571980778891601</v>
      </c>
      <c r="H848" s="856">
        <f>INDEX(神经网络!$G$10:$BO$70,MATCH(ROUND(G848*2,1)/2,神经网络!$E$10:$E$70,0),MATCH(ROUND(E848*2,1)/2,神经网络!$G$8:$BO$8,0))</f>
        <v>1.2366856820262546</v>
      </c>
      <c r="I848">
        <f t="shared" si="70"/>
        <v>1.1005301982522011</v>
      </c>
      <c r="J848">
        <f t="shared" si="71"/>
        <v>5.3868161685487479</v>
      </c>
      <c r="K848">
        <f t="shared" si="72"/>
        <v>0.20430067851168066</v>
      </c>
      <c r="L848" s="4">
        <f>MIN(MAX(L847*(1+MAX(MIN(((B848-B847)/B847)/($K$7*卓尔金历!$N$40),0),-卓尔金历!$M$43))+MIN(MAX(((B848-B847)/B847)/($K$7*卓尔金历!$N$40),0),卓尔金历!$M$43),0),1)</f>
        <v>1</v>
      </c>
      <c r="M848" s="4">
        <f>MIN(MAX(M847*(1+MAX(MIN(((B848-B847)/B847)/($K$7*30),0),-卓尔金历!$M$43))+MIN(MAX(((B848-B847)/B847)/($K$7*7),0),卓尔金历!$M$43),0),1)</f>
        <v>1</v>
      </c>
      <c r="N848">
        <f t="shared" si="73"/>
        <v>1.114454340900898</v>
      </c>
      <c r="O848">
        <f t="shared" si="74"/>
        <v>1.1442377209902854</v>
      </c>
      <c r="P848">
        <f t="shared" si="75"/>
        <v>1.5106398977366776E-2</v>
      </c>
      <c r="Q848">
        <f t="shared" si="76"/>
        <v>1.8316234078909602E-2</v>
      </c>
      <c r="R848">
        <f t="shared" si="77"/>
        <v>0.21697357490660193</v>
      </c>
      <c r="S848">
        <f t="shared" si="69"/>
        <v>1.145843110438113</v>
      </c>
      <c r="T848" s="564">
        <f>IF((I848-MAX(I$470:I848))/MAX(I$470:I848)&gt;T847,T847,(I848-MAX(I$470:I848))/MAX(I$470:I848))</f>
        <v>-0.22786721585231193</v>
      </c>
      <c r="U848" s="564">
        <f>IF((J848-MAX(J$470:J848))/MAX(J$470:J848)&gt;U847,U847,(J848-MAX(J$470:J848))/MAX(J$470:J848))</f>
        <v>-0.40740740740740738</v>
      </c>
      <c r="V848" s="564">
        <f>IF((K848-MAX(K$470:K848))/MAX(K$470:K848)&gt;V847,V847,(K848-MAX(K$470:K848))/MAX(K$470:K848))</f>
        <v>-0.80725522782524772</v>
      </c>
      <c r="W848" s="564">
        <f>IF((N848-MAX(N$470:N848))/MAX(N$470:N848)&gt;W847,W847,(N848-MAX(N$470:N848))/MAX(N$470:N848))</f>
        <v>-0.1897647318309108</v>
      </c>
      <c r="X848" s="564">
        <f>IF((O848-MAX(O$470:O848))/MAX(O$470:O848)&gt;X847,X847,(O848-MAX(O$470:O848))/MAX(O$470:O848))</f>
        <v>-0.20159254550055417</v>
      </c>
    </row>
    <row r="849" spans="1:24">
      <c r="A849" s="799">
        <v>41251</v>
      </c>
      <c r="B849">
        <v>13.4201</v>
      </c>
      <c r="C849">
        <v>34.006540000000001</v>
      </c>
      <c r="D849">
        <v>1.8551390000000001</v>
      </c>
      <c r="E849">
        <f>LN(D849/参数实验室!$E$53)/参数实验室!$E$55</f>
        <v>3.6071579335277514E-2</v>
      </c>
      <c r="F849">
        <f t="shared" si="78"/>
        <v>2.5340004917996142</v>
      </c>
      <c r="G849">
        <f>LN(F849/参数实验室!$E$58)/参数实验室!$E$59</f>
        <v>0.29747888459867972</v>
      </c>
      <c r="H849" s="856">
        <f>INDEX(神经网络!$G$10:$BO$70,MATCH(ROUND(G849*2,1)/2,神经网络!$E$10:$E$70,0),MATCH(ROUND(E849*2,1)/2,神经网络!$G$8:$BO$8,0))</f>
        <v>1.2802291524497338</v>
      </c>
      <c r="I849">
        <f t="shared" si="70"/>
        <v>1.0924850576868992</v>
      </c>
      <c r="J849">
        <f t="shared" si="71"/>
        <v>5.3549738637724014</v>
      </c>
      <c r="K849">
        <f t="shared" si="72"/>
        <v>0.20401314469110773</v>
      </c>
      <c r="L849" s="4">
        <f>MIN(MAX(L848*(1+MAX(MIN(((B849-B848)/B848)/($K$7*卓尔金历!$N$40),0),-卓尔金历!$M$43))+MIN(MAX(((B849-B848)/B848)/($K$7*卓尔金历!$N$40),0),卓尔金历!$M$43),0),1)</f>
        <v>0.90968322567806637</v>
      </c>
      <c r="M849" s="4">
        <f>MIN(MAX(M848*(1+MAX(MIN(((B849-B848)/B848)/($K$7*30),0),-卓尔金历!$M$43))+MIN(MAX(((B849-B848)/B848)/($K$7*7),0),卓尔金历!$M$43),0),1)</f>
        <v>0.95484161283903313</v>
      </c>
      <c r="N849">
        <f t="shared" si="73"/>
        <v>1.1063074115023248</v>
      </c>
      <c r="O849">
        <f t="shared" si="74"/>
        <v>1.1358730679166058</v>
      </c>
      <c r="P849">
        <f t="shared" si="75"/>
        <v>-5.9111548974437244E-3</v>
      </c>
      <c r="Q849">
        <f t="shared" si="76"/>
        <v>1.850495151651017E-2</v>
      </c>
      <c r="R849">
        <f t="shared" si="77"/>
        <v>1</v>
      </c>
      <c r="S849">
        <f t="shared" si="69"/>
        <v>1.1440256554030364</v>
      </c>
      <c r="T849" s="564">
        <f>IF((I849-MAX(I$470:I849))/MAX(I$470:I849)&gt;T848,T848,(I849-MAX(I$470:I849))/MAX(I$470:I849))</f>
        <v>-0.22786721585231193</v>
      </c>
      <c r="U849" s="564">
        <f>IF((J849-MAX(J$470:J849))/MAX(J$470:J849)&gt;U848,U848,(J849-MAX(J$470:J849))/MAX(J$470:J849))</f>
        <v>-0.40740740740740738</v>
      </c>
      <c r="V849" s="564">
        <f>IF((K849-MAX(K$470:K849))/MAX(K$470:K849)&gt;V848,V848,(K849-MAX(K$470:K849))/MAX(K$470:K849))</f>
        <v>-0.80725522782524772</v>
      </c>
      <c r="W849" s="564">
        <f>IF((N849-MAX(N$470:N849))/MAX(N$470:N849)&gt;W848,W848,(N849-MAX(N$470:N849))/MAX(N$470:N849))</f>
        <v>-0.1897647318309108</v>
      </c>
      <c r="X849" s="564">
        <f>IF((O849-MAX(O$470:O849))/MAX(O$470:O849)&gt;X848,X848,(O849-MAX(O$470:O849))/MAX(O$470:O849))</f>
        <v>-0.20159254550055417</v>
      </c>
    </row>
    <row r="850" spans="1:24">
      <c r="A850" s="799">
        <v>41252</v>
      </c>
      <c r="B850">
        <v>13.388</v>
      </c>
      <c r="C850">
        <v>36.683881999999997</v>
      </c>
      <c r="D850">
        <v>1.830878</v>
      </c>
      <c r="E850">
        <f>LN(D850/参数实验室!$E$53)/参数实验室!$E$55</f>
        <v>2.0541316301803114E-2</v>
      </c>
      <c r="F850">
        <f t="shared" si="78"/>
        <v>2.7400569166417688</v>
      </c>
      <c r="G850">
        <f>LN(F850/参数实验室!$E$58)/参数实验室!$E$59</f>
        <v>0.33851166754045903</v>
      </c>
      <c r="H850" s="856">
        <f>INDEX(神经网络!$G$10:$BO$70,MATCH(ROUND(G850*2,1)/2,神经网络!$E$10:$E$70,0),MATCH(ROUND(E850*2,1)/2,神经网络!$G$8:$BO$8,0))</f>
        <v>1.2363688147682446</v>
      </c>
      <c r="I850">
        <f t="shared" si="70"/>
        <v>1.0891396234393993</v>
      </c>
      <c r="J850">
        <f t="shared" si="71"/>
        <v>5.3421651171142477</v>
      </c>
      <c r="K850">
        <f t="shared" si="72"/>
        <v>0.20387606889016099</v>
      </c>
      <c r="L850" s="4">
        <f>MIN(MAX(L849*(1+MAX(MIN(((B850-B849)/B849)/($K$7*卓尔金历!$N$40),0),-卓尔金历!$M$43))+MIN(MAX(((B850-B849)/B849)/($K$7*卓尔金历!$N$40),0),卓尔金历!$M$43),0),1)</f>
        <v>0.87643752079847459</v>
      </c>
      <c r="M850" s="4">
        <f>MIN(MAX(M849*(1+MAX(MIN(((B850-B849)/B849)/($K$7*30),0),-卓尔金历!$M$43))+MIN(MAX(((B850-B849)/B849)/($K$7*7),0),卓尔金历!$M$43),0),1)</f>
        <v>0.93739357072330765</v>
      </c>
      <c r="N850">
        <f t="shared" si="73"/>
        <v>1.1032256217889793</v>
      </c>
      <c r="O850">
        <f t="shared" si="74"/>
        <v>1.1325518441822624</v>
      </c>
      <c r="P850">
        <f t="shared" si="75"/>
        <v>-2.391934486330191E-3</v>
      </c>
      <c r="Q850">
        <f t="shared" si="76"/>
        <v>1.8177852830065604E-2</v>
      </c>
      <c r="R850">
        <f t="shared" si="77"/>
        <v>1</v>
      </c>
      <c r="S850">
        <f t="shared" si="69"/>
        <v>1.1405223922868275</v>
      </c>
      <c r="T850" s="564">
        <f>IF((I850-MAX(I$470:I850))/MAX(I$470:I850)&gt;T849,T849,(I850-MAX(I$470:I850))/MAX(I$470:I850))</f>
        <v>-0.22786721585231193</v>
      </c>
      <c r="U850" s="564">
        <f>IF((J850-MAX(J$470:J850))/MAX(J$470:J850)&gt;U849,U849,(J850-MAX(J$470:J850))/MAX(J$470:J850))</f>
        <v>-0.40740740740740738</v>
      </c>
      <c r="V850" s="564">
        <f>IF((K850-MAX(K$470:K850))/MAX(K$470:K850)&gt;V849,V849,(K850-MAX(K$470:K850))/MAX(K$470:K850))</f>
        <v>-0.80725522782524772</v>
      </c>
      <c r="W850" s="564">
        <f>IF((N850-MAX(N$470:N850))/MAX(N$470:N850)&gt;W849,W849,(N850-MAX(N$470:N850))/MAX(N$470:N850))</f>
        <v>-0.1897647318309108</v>
      </c>
      <c r="X850" s="564">
        <f>IF((O850-MAX(O$470:O850))/MAX(O$470:O850)&gt;X849,X849,(O850-MAX(O$470:O850))/MAX(O$470:O850))</f>
        <v>-0.20159254550055417</v>
      </c>
    </row>
    <row r="851" spans="1:24">
      <c r="A851" s="799">
        <v>41253</v>
      </c>
      <c r="B851">
        <v>13.433400000000001</v>
      </c>
      <c r="C851">
        <v>39.087321000000003</v>
      </c>
      <c r="D851">
        <v>1.8471219999999999</v>
      </c>
      <c r="E851">
        <f>LN(D851/参数实验室!$E$53)/参数实验室!$E$55</f>
        <v>3.0962216953602607E-2</v>
      </c>
      <c r="F851">
        <f t="shared" si="78"/>
        <v>2.9097116887757379</v>
      </c>
      <c r="G851">
        <f>LN(F851/参数实验室!$E$58)/参数实验室!$E$59</f>
        <v>0.37004243560885558</v>
      </c>
      <c r="H851" s="856">
        <f>INDEX(神经网络!$G$10:$BO$70,MATCH(ROUND(G851*2,1)/2,神经网络!$E$10:$E$70,0),MATCH(ROUND(E851*2,1)/2,神经网络!$G$8:$BO$8,0))</f>
        <v>1.3303308519692558</v>
      </c>
      <c r="I851">
        <f t="shared" si="70"/>
        <v>1.0937060002878338</v>
      </c>
      <c r="J851">
        <f t="shared" si="71"/>
        <v>5.3602809145684596</v>
      </c>
      <c r="K851">
        <f t="shared" si="72"/>
        <v>0.20403893335427642</v>
      </c>
      <c r="L851" s="4">
        <f>MIN(MAX(L850*(1+MAX(MIN(((B851-B850)/B850)/($K$7*卓尔金历!$N$40),0),-卓尔金历!$M$43))+MIN(MAX(((B851-B850)/B850)/($K$7*卓尔金历!$N$40),0),卓尔金历!$M$43),0),1)</f>
        <v>0.9282502211927961</v>
      </c>
      <c r="M851" s="4">
        <f>MIN(MAX(M850*(1+MAX(MIN(((B851-B850)/B850)/($K$7*30),0),-卓尔金历!$M$43))+MIN(MAX(((B851-B850)/B850)/($K$7*7),0),卓尔金历!$M$43),0),1)</f>
        <v>1</v>
      </c>
      <c r="N851">
        <f t="shared" si="73"/>
        <v>1.1072795260932227</v>
      </c>
      <c r="O851">
        <f t="shared" si="74"/>
        <v>1.1370029534277264</v>
      </c>
      <c r="P851">
        <f t="shared" si="75"/>
        <v>3.3910965043322957E-3</v>
      </c>
      <c r="Q851">
        <f t="shared" si="76"/>
        <v>1.8141383814786589E-2</v>
      </c>
      <c r="R851">
        <f t="shared" si="77"/>
        <v>1</v>
      </c>
      <c r="S851">
        <f t="shared" si="69"/>
        <v>1.1453041988937833</v>
      </c>
      <c r="T851" s="564">
        <f>IF((I851-MAX(I$470:I851))/MAX(I$470:I851)&gt;T850,T850,(I851-MAX(I$470:I851))/MAX(I$470:I851))</f>
        <v>-0.22786721585231193</v>
      </c>
      <c r="U851" s="564">
        <f>IF((J851-MAX(J$470:J851))/MAX(J$470:J851)&gt;U850,U850,(J851-MAX(J$470:J851))/MAX(J$470:J851))</f>
        <v>-0.40740740740740738</v>
      </c>
      <c r="V851" s="564">
        <f>IF((K851-MAX(K$470:K851))/MAX(K$470:K851)&gt;V850,V850,(K851-MAX(K$470:K851))/MAX(K$470:K851))</f>
        <v>-0.80725522782524772</v>
      </c>
      <c r="W851" s="564">
        <f>IF((N851-MAX(N$470:N851))/MAX(N$470:N851)&gt;W850,W850,(N851-MAX(N$470:N851))/MAX(N$470:N851))</f>
        <v>-0.1897647318309108</v>
      </c>
      <c r="X851" s="564">
        <f>IF((O851-MAX(O$470:O851))/MAX(O$470:O851)&gt;X850,X850,(O851-MAX(O$470:O851))/MAX(O$470:O851))</f>
        <v>-0.20159254550055417</v>
      </c>
    </row>
    <row r="852" spans="1:24">
      <c r="A852" s="799">
        <v>41254</v>
      </c>
      <c r="B852">
        <v>13.557</v>
      </c>
      <c r="C852">
        <v>41.796328000000003</v>
      </c>
      <c r="D852">
        <v>1.859599</v>
      </c>
      <c r="E852">
        <f>LN(D852/参数实验室!$E$53)/参数实验室!$E$55</f>
        <v>3.8904458529641882E-2</v>
      </c>
      <c r="F852">
        <f t="shared" si="78"/>
        <v>3.0830071549752898</v>
      </c>
      <c r="G852">
        <f>LN(F852/参数实验室!$E$58)/参数实验室!$E$59</f>
        <v>0.40040601323833613</v>
      </c>
      <c r="H852" s="856">
        <f>INDEX(神经网络!$G$10:$BO$70,MATCH(ROUND(G852*2,1)/2,神经网络!$E$10:$E$70,0),MATCH(ROUND(E852*2,1)/2,神经网络!$G$8:$BO$8,0))</f>
        <v>1.3738864032226001</v>
      </c>
      <c r="I852">
        <f t="shared" si="70"/>
        <v>1.1070932936928257</v>
      </c>
      <c r="J852">
        <f t="shared" si="71"/>
        <v>5.4096005745979872</v>
      </c>
      <c r="K852">
        <f t="shared" si="72"/>
        <v>0.20465342651940602</v>
      </c>
      <c r="L852" s="4">
        <f>MIN(MAX(L851*(1+MAX(MIN(((B852-B851)/B851)/($K$7*卓尔金历!$N$40),0),-卓尔金历!$M$43))+MIN(MAX(((B852-B851)/B851)/($K$7*卓尔金历!$N$40),0),卓尔金历!$M$43),0),1)</f>
        <v>1</v>
      </c>
      <c r="M852" s="4">
        <f>MIN(MAX(M851*(1+MAX(MIN(((B852-B851)/B851)/($K$7*30),0),-卓尔金历!$M$43))+MIN(MAX(((B852-B851)/B851)/($K$7*7),0),卓尔金历!$M$43),0),1)</f>
        <v>1</v>
      </c>
      <c r="N852">
        <f t="shared" si="73"/>
        <v>1.1198605074325905</v>
      </c>
      <c r="O852">
        <f t="shared" si="74"/>
        <v>1.1509202146806348</v>
      </c>
      <c r="P852">
        <f t="shared" si="75"/>
        <v>9.2009468935637818E-3</v>
      </c>
      <c r="Q852">
        <f t="shared" si="76"/>
        <v>1.7946890816674419E-2</v>
      </c>
      <c r="R852">
        <f t="shared" si="77"/>
        <v>0.69837231694615287</v>
      </c>
      <c r="S852">
        <f t="shared" si="69"/>
        <v>1.1593230699107888</v>
      </c>
      <c r="T852" s="564">
        <f>IF((I852-MAX(I$470:I852))/MAX(I$470:I852)&gt;T851,T851,(I852-MAX(I$470:I852))/MAX(I$470:I852))</f>
        <v>-0.22786721585231193</v>
      </c>
      <c r="U852" s="564">
        <f>IF((J852-MAX(J$470:J852))/MAX(J$470:J852)&gt;U851,U851,(J852-MAX(J$470:J852))/MAX(J$470:J852))</f>
        <v>-0.40740740740740738</v>
      </c>
      <c r="V852" s="564">
        <f>IF((K852-MAX(K$470:K852))/MAX(K$470:K852)&gt;V851,V851,(K852-MAX(K$470:K852))/MAX(K$470:K852))</f>
        <v>-0.80725522782524772</v>
      </c>
      <c r="W852" s="564">
        <f>IF((N852-MAX(N$470:N852))/MAX(N$470:N852)&gt;W851,W851,(N852-MAX(N$470:N852))/MAX(N$470:N852))</f>
        <v>-0.1897647318309108</v>
      </c>
      <c r="X852" s="564">
        <f>IF((O852-MAX(O$470:O852))/MAX(O$470:O852)&gt;X851,X851,(O852-MAX(O$470:O852))/MAX(O$470:O852))</f>
        <v>-0.20159254550055417</v>
      </c>
    </row>
    <row r="853" spans="1:24">
      <c r="A853" s="799">
        <v>41255</v>
      </c>
      <c r="B853">
        <v>13.6989</v>
      </c>
      <c r="C853">
        <v>44.430684999999997</v>
      </c>
      <c r="D853">
        <v>1.8611249999999999</v>
      </c>
      <c r="E853">
        <f>LN(D853/参数实验室!$E$53)/参数实验室!$E$55</f>
        <v>3.987217532413944E-2</v>
      </c>
      <c r="F853">
        <f t="shared" si="78"/>
        <v>3.2433761104906229</v>
      </c>
      <c r="G853">
        <f>LN(F853/参数实验室!$E$58)/参数实验室!$E$59</f>
        <v>0.42702100854421854</v>
      </c>
      <c r="H853" s="856">
        <f>INDEX(神经网络!$G$10:$BO$70,MATCH(ROUND(G853*2,1)/2,神经网络!$E$10:$E$70,0),MATCH(ROUND(E853*2,1)/2,神经网络!$G$8:$BO$8,0))</f>
        <v>1.4231605198768988</v>
      </c>
      <c r="I853">
        <f t="shared" si="70"/>
        <v>1.1230136889179319</v>
      </c>
      <c r="J853">
        <f t="shared" si="71"/>
        <v>5.4662224173017897</v>
      </c>
      <c r="K853">
        <f t="shared" si="72"/>
        <v>0.20544602893642744</v>
      </c>
      <c r="L853" s="4">
        <f>MIN(MAX(L852*(1+MAX(MIN(((B853-B852)/B852)/($K$7*卓尔金历!$N$40),0),-卓尔金历!$M$43))+MIN(MAX(((B853-B852)/B852)/($K$7*卓尔金历!$N$40),0),卓尔金历!$M$43),0),1)</f>
        <v>1</v>
      </c>
      <c r="M853" s="4">
        <f>MIN(MAX(M852*(1+MAX(MIN(((B853-B852)/B852)/($K$7*30),0),-卓尔金历!$M$43))+MIN(MAX(((B853-B852)/B852)/($K$7*7),0),卓尔金历!$M$43),0),1)</f>
        <v>1</v>
      </c>
      <c r="N853">
        <f t="shared" si="73"/>
        <v>1.1359644997310585</v>
      </c>
      <c r="O853">
        <f t="shared" si="74"/>
        <v>1.1674708566135843</v>
      </c>
      <c r="P853">
        <f t="shared" si="75"/>
        <v>1.0466917459614936E-2</v>
      </c>
      <c r="Q853">
        <f t="shared" si="76"/>
        <v>1.7938815168113763E-2</v>
      </c>
      <c r="R853">
        <f t="shared" si="77"/>
        <v>0.56636297404486358</v>
      </c>
      <c r="S853">
        <f t="shared" si="69"/>
        <v>1.1709659686139406</v>
      </c>
      <c r="T853" s="564">
        <f>IF((I853-MAX(I$470:I853))/MAX(I$470:I853)&gt;T852,T852,(I853-MAX(I$470:I853))/MAX(I$470:I853))</f>
        <v>-0.22786721585231193</v>
      </c>
      <c r="U853" s="564">
        <f>IF((J853-MAX(J$470:J853))/MAX(J$470:J853)&gt;U852,U852,(J853-MAX(J$470:J853))/MAX(J$470:J853))</f>
        <v>-0.40740740740740738</v>
      </c>
      <c r="V853" s="564">
        <f>IF((K853-MAX(K$470:K853))/MAX(K$470:K853)&gt;V852,V852,(K853-MAX(K$470:K853))/MAX(K$470:K853))</f>
        <v>-0.80725522782524772</v>
      </c>
      <c r="W853" s="564">
        <f>IF((N853-MAX(N$470:N853))/MAX(N$470:N853)&gt;W852,W852,(N853-MAX(N$470:N853))/MAX(N$470:N853))</f>
        <v>-0.1897647318309108</v>
      </c>
      <c r="X853" s="564">
        <f>IF((O853-MAX(O$470:O853))/MAX(O$470:O853)&gt;X852,X852,(O853-MAX(O$470:O853))/MAX(O$470:O853))</f>
        <v>-0.20159254550055417</v>
      </c>
    </row>
    <row r="854" spans="1:24">
      <c r="A854" s="799">
        <v>41256</v>
      </c>
      <c r="B854">
        <v>13.700100000000001</v>
      </c>
      <c r="C854">
        <v>47.619019999999999</v>
      </c>
      <c r="D854">
        <v>1.865159</v>
      </c>
      <c r="E854">
        <f>LN(D854/参数实验室!$E$53)/参数实验室!$E$55</f>
        <v>4.2426530518420665E-2</v>
      </c>
      <c r="F854">
        <f t="shared" si="78"/>
        <v>3.4758155049963135</v>
      </c>
      <c r="G854">
        <f>LN(F854/参数实验室!$E$58)/参数实验室!$E$59</f>
        <v>0.46334843078610666</v>
      </c>
      <c r="H854" s="856">
        <f>INDEX(神经网络!$G$10:$BO$70,MATCH(ROUND(G854*2,1)/2,神经网络!$E$10:$E$70,0),MATCH(ROUND(E854*2,1)/2,神经网络!$G$8:$BO$8,0))</f>
        <v>1.4231605198768988</v>
      </c>
      <c r="I854">
        <f t="shared" si="70"/>
        <v>1.1231536909979836</v>
      </c>
      <c r="J854">
        <f t="shared" si="71"/>
        <v>5.4667012489525613</v>
      </c>
      <c r="K854">
        <f t="shared" si="72"/>
        <v>0.20545364376975669</v>
      </c>
      <c r="L854" s="4">
        <f>MIN(MAX(L853*(1+MAX(MIN(((B854-B853)/B853)/($K$7*卓尔金历!$N$40),0),-卓尔金历!$M$43))+MIN(MAX(((B854-B853)/B853)/($K$7*卓尔金历!$N$40),0),卓尔金历!$M$43),0),1)</f>
        <v>1</v>
      </c>
      <c r="M854" s="4">
        <f>MIN(MAX(M853*(1+MAX(MIN(((B854-B853)/B853)/($K$7*30),0),-卓尔金历!$M$43))+MIN(MAX(((B854-B853)/B853)/($K$7*7),0),卓尔金历!$M$43),0),1)</f>
        <v>1</v>
      </c>
      <c r="N854">
        <f t="shared" si="73"/>
        <v>1.1361061163421442</v>
      </c>
      <c r="O854">
        <f t="shared" si="74"/>
        <v>1.1676164010089365</v>
      </c>
      <c r="P854">
        <f t="shared" si="75"/>
        <v>8.7598274314051208E-5</v>
      </c>
      <c r="Q854">
        <f t="shared" si="76"/>
        <v>1.4415630187755204E-2</v>
      </c>
      <c r="R854">
        <f t="shared" si="77"/>
        <v>1</v>
      </c>
      <c r="S854">
        <f t="shared" si="69"/>
        <v>1.1710486463479506</v>
      </c>
      <c r="T854" s="564">
        <f>IF((I854-MAX(I$470:I854))/MAX(I$470:I854)&gt;T853,T853,(I854-MAX(I$470:I854))/MAX(I$470:I854))</f>
        <v>-0.22786721585231193</v>
      </c>
      <c r="U854" s="564">
        <f>IF((J854-MAX(J$470:J854))/MAX(J$470:J854)&gt;U853,U853,(J854-MAX(J$470:J854))/MAX(J$470:J854))</f>
        <v>-0.40740740740740738</v>
      </c>
      <c r="V854" s="564">
        <f>IF((K854-MAX(K$470:K854))/MAX(K$470:K854)&gt;V853,V853,(K854-MAX(K$470:K854))/MAX(K$470:K854))</f>
        <v>-0.80725522782524772</v>
      </c>
      <c r="W854" s="564">
        <f>IF((N854-MAX(N$470:N854))/MAX(N$470:N854)&gt;W853,W853,(N854-MAX(N$470:N854))/MAX(N$470:N854))</f>
        <v>-0.1897647318309108</v>
      </c>
      <c r="X854" s="564">
        <f>IF((O854-MAX(O$470:O854))/MAX(O$470:O854)&gt;X853,X853,(O854-MAX(O$470:O854))/MAX(O$470:O854))</f>
        <v>-0.20159254550055417</v>
      </c>
    </row>
    <row r="855" spans="1:24">
      <c r="A855" s="799">
        <v>41257</v>
      </c>
      <c r="B855">
        <v>13.6</v>
      </c>
      <c r="C855">
        <v>51.866321999999997</v>
      </c>
      <c r="D855">
        <v>1.8417380000000001</v>
      </c>
      <c r="E855">
        <f>LN(D855/参数实验室!$E$53)/参数实验室!$E$55</f>
        <v>2.7518445178147069E-2</v>
      </c>
      <c r="F855">
        <f t="shared" si="78"/>
        <v>3.8137001470588232</v>
      </c>
      <c r="G855">
        <f>LN(F855/参数实验室!$E$58)/参数实验室!$E$59</f>
        <v>0.51203953709305505</v>
      </c>
      <c r="H855" s="856">
        <f>INDEX(神经网络!$G$10:$BO$70,MATCH(ROUND(G855*2,1)/2,神经网络!$E$10:$E$70,0),MATCH(ROUND(E855*2,1)/2,神经网络!$G$8:$BO$8,0))</f>
        <v>1.4667343606606347</v>
      </c>
      <c r="I855">
        <f t="shared" si="70"/>
        <v>1.1114747512911702</v>
      </c>
      <c r="J855">
        <f t="shared" si="71"/>
        <v>5.4267587087506532</v>
      </c>
      <c r="K855">
        <f t="shared" si="72"/>
        <v>0.20481374075079406</v>
      </c>
      <c r="L855" s="4">
        <f>MIN(MAX(L854*(1+MAX(MIN(((B855-B854)/B854)/($K$7*卓尔金历!$N$40),0),-卓尔金历!$M$43))+MIN(MAX(((B855-B854)/B854)/($K$7*卓尔金历!$N$40),0),卓尔金历!$M$43),0),1)</f>
        <v>0.88836344689338231</v>
      </c>
      <c r="M855" s="4">
        <f>MIN(MAX(M854*(1+MAX(MIN(((B855-B854)/B854)/($K$7*30),0),-卓尔金历!$M$43))+MIN(MAX(((B855-B854)/B854)/($K$7*7),0),卓尔金历!$M$43),0),1)</f>
        <v>0.94418172344669116</v>
      </c>
      <c r="N855">
        <f t="shared" si="73"/>
        <v>1.1242924928464033</v>
      </c>
      <c r="O855">
        <f t="shared" si="74"/>
        <v>1.1554751226982602</v>
      </c>
      <c r="P855">
        <f t="shared" si="75"/>
        <v>-7.3065160108321241E-3</v>
      </c>
      <c r="Q855">
        <f t="shared" si="76"/>
        <v>1.4457949953674425E-2</v>
      </c>
      <c r="R855">
        <f t="shared" si="77"/>
        <v>0.7067318577316164</v>
      </c>
      <c r="S855">
        <f t="shared" ref="S855:S918" si="79">S854*(1+(B855-B854)/B854*H854*R854)</f>
        <v>1.1588716783656874</v>
      </c>
      <c r="T855" s="564">
        <f>IF((I855-MAX(I$470:I855))/MAX(I$470:I855)&gt;T854,T854,(I855-MAX(I$470:I855))/MAX(I$470:I855))</f>
        <v>-0.22786721585231193</v>
      </c>
      <c r="U855" s="564">
        <f>IF((J855-MAX(J$470:J855))/MAX(J$470:J855)&gt;U854,U854,(J855-MAX(J$470:J855))/MAX(J$470:J855))</f>
        <v>-0.40740740740740738</v>
      </c>
      <c r="V855" s="564">
        <f>IF((K855-MAX(K$470:K855))/MAX(K$470:K855)&gt;V854,V854,(K855-MAX(K$470:K855))/MAX(K$470:K855))</f>
        <v>-0.80725522782524772</v>
      </c>
      <c r="W855" s="564">
        <f>IF((N855-MAX(N$470:N855))/MAX(N$470:N855)&gt;W854,W854,(N855-MAX(N$470:N855))/MAX(N$470:N855))</f>
        <v>-0.1897647318309108</v>
      </c>
      <c r="X855" s="564">
        <f>IF((O855-MAX(O$470:O855))/MAX(O$470:O855)&gt;X854,X854,(O855-MAX(O$470:O855))/MAX(O$470:O855))</f>
        <v>-0.20159254550055417</v>
      </c>
    </row>
    <row r="856" spans="1:24">
      <c r="A856" s="799">
        <v>41258</v>
      </c>
      <c r="B856">
        <v>13.4901</v>
      </c>
      <c r="C856">
        <v>55.973908999999999</v>
      </c>
      <c r="D856">
        <v>1.8312470000000001</v>
      </c>
      <c r="E856">
        <f>LN(D856/参数实验室!$E$53)/参数实验室!$E$55</f>
        <v>2.0779062937157755E-2</v>
      </c>
      <c r="F856">
        <f t="shared" si="78"/>
        <v>4.1492582708801269</v>
      </c>
      <c r="G856">
        <f>LN(F856/参数实验室!$E$58)/参数实验室!$E$59</f>
        <v>0.55630032281785491</v>
      </c>
      <c r="H856" s="856">
        <f>INDEX(神经网络!$G$10:$BO$70,MATCH(ROUND(G856*2,1)/2,神经网络!$E$10:$E$70,0),MATCH(ROUND(E856*2,1)/2,神经网络!$G$8:$BO$8,0))</f>
        <v>1.4229317649810014</v>
      </c>
      <c r="I856">
        <f t="shared" ref="I856:I919" si="80">I855*(1+(B856-B855)/B855*H855)</f>
        <v>1.0983009881191901</v>
      </c>
      <c r="J856">
        <f t="shared" ref="J856:J919" si="81">J855*B856/B855</f>
        <v>5.3829057100674405</v>
      </c>
      <c r="K856">
        <f t="shared" ref="K856:K919" si="82">I856/J856</f>
        <v>0.20403496685165415</v>
      </c>
      <c r="L856" s="4">
        <f>MIN(MAX(L855*(1+MAX(MIN(((B856-B855)/B855)/($K$7*卓尔金历!$N$40),0),-卓尔金历!$M$43))+MIN(MAX(((B856-B855)/B855)/($K$7*卓尔金历!$N$40),0),卓尔金历!$M$43),0),1)</f>
        <v>0.77867887537922775</v>
      </c>
      <c r="M856" s="4">
        <f>MIN(MAX(M855*(1+MAX(MIN(((B856-B855)/B855)/($K$7*30),0),-卓尔金历!$M$43))+MIN(MAX(((B856-B855)/B855)/($K$7*7),0),卓尔金历!$M$43),0),1)</f>
        <v>0.88589354864058867</v>
      </c>
      <c r="N856">
        <f t="shared" ref="N856:N919" si="83">N855*(1+(B856-B855)/B855*H855*L855)</f>
        <v>1.1124544408955326</v>
      </c>
      <c r="O856">
        <f t="shared" ref="O856:O919" si="84">O855*(1+(B856-B855)/B855*H855*M855)</f>
        <v>1.1425442915907578</v>
      </c>
      <c r="P856">
        <f t="shared" ref="P856:P919" si="85">(B856-B855)/B855</f>
        <v>-8.0808823529411513E-3</v>
      </c>
      <c r="Q856">
        <f t="shared" si="76"/>
        <v>1.4710772274105969E-2</v>
      </c>
      <c r="R856">
        <f t="shared" si="77"/>
        <v>0.62219836814774387</v>
      </c>
      <c r="S856">
        <f t="shared" si="79"/>
        <v>1.1491643377597627</v>
      </c>
      <c r="T856" s="564">
        <f>IF((I856-MAX(I$470:I856))/MAX(I$470:I856)&gt;T855,T855,(I856-MAX(I$470:I856))/MAX(I$470:I856))</f>
        <v>-0.22786721585231193</v>
      </c>
      <c r="U856" s="564">
        <f>IF((J856-MAX(J$470:J856))/MAX(J$470:J856)&gt;U855,U855,(J856-MAX(J$470:J856))/MAX(J$470:J856))</f>
        <v>-0.40740740740740738</v>
      </c>
      <c r="V856" s="564">
        <f>IF((K856-MAX(K$470:K856))/MAX(K$470:K856)&gt;V855,V855,(K856-MAX(K$470:K856))/MAX(K$470:K856))</f>
        <v>-0.80725522782524772</v>
      </c>
      <c r="W856" s="564">
        <f>IF((N856-MAX(N$470:N856))/MAX(N$470:N856)&gt;W855,W855,(N856-MAX(N$470:N856))/MAX(N$470:N856))</f>
        <v>-0.1897647318309108</v>
      </c>
      <c r="X856" s="564">
        <f>IF((O856-MAX(O$470:O856))/MAX(O$470:O856)&gt;X855,X855,(O856-MAX(O$470:O856))/MAX(O$470:O856))</f>
        <v>-0.20159254550055417</v>
      </c>
    </row>
    <row r="857" spans="1:24">
      <c r="A857" s="799">
        <v>41259</v>
      </c>
      <c r="B857">
        <v>13.3</v>
      </c>
      <c r="C857">
        <v>61.225271999999997</v>
      </c>
      <c r="D857">
        <v>1.8032630000000001</v>
      </c>
      <c r="E857">
        <f>LN(D857/参数实验室!$E$53)/参数实验室!$E$55</f>
        <v>2.6116251296235066E-3</v>
      </c>
      <c r="F857">
        <f t="shared" si="78"/>
        <v>4.6034039097744355</v>
      </c>
      <c r="G857">
        <f>LN(F857/参数实验室!$E$58)/参数实验室!$E$59</f>
        <v>0.61081503427684392</v>
      </c>
      <c r="H857" s="856">
        <f>INDEX(神经网络!$G$10:$BO$70,MATCH(ROUND(G857*2,1)/2,神经网络!$E$10:$E$70,0),MATCH(ROUND(E857*2,1)/2,神经网络!$G$8:$BO$8,0))</f>
        <v>1.466544750631626</v>
      </c>
      <c r="I857">
        <f t="shared" si="80"/>
        <v>1.0762781951226768</v>
      </c>
      <c r="J857">
        <f t="shared" si="81"/>
        <v>5.3070507960576254</v>
      </c>
      <c r="K857">
        <f t="shared" si="82"/>
        <v>0.20280156276668701</v>
      </c>
      <c r="L857" s="4">
        <f>MIN(MAX(L856*(1+MAX(MIN(((B857-B856)/B856)/($K$7*卓尔金历!$N$40),0),-卓尔金历!$M$43))+MIN(MAX(((B857-B856)/B856)/($K$7*卓尔金历!$N$40),0),卓尔金历!$M$43),0),1)</f>
        <v>0.61102198020594678</v>
      </c>
      <c r="M857" s="4">
        <f>MIN(MAX(M856*(1+MAX(MIN(((B857-B856)/B856)/($K$7*30),0),-卓尔金历!$M$43))+MIN(MAX(((B857-B856)/B856)/($K$7*7),0),卓尔金历!$M$43),0),1)</f>
        <v>0.79052293662367301</v>
      </c>
      <c r="N857">
        <f t="shared" si="83"/>
        <v>1.0950847676226385</v>
      </c>
      <c r="O857">
        <f t="shared" si="84"/>
        <v>1.122248518154241</v>
      </c>
      <c r="P857">
        <f t="shared" si="85"/>
        <v>-1.4091815479499727E-2</v>
      </c>
      <c r="Q857">
        <f t="shared" si="76"/>
        <v>1.5202774322743473E-2</v>
      </c>
      <c r="R857">
        <f t="shared" si="77"/>
        <v>9.171084710205829E-2</v>
      </c>
      <c r="S857">
        <f t="shared" si="79"/>
        <v>1.1348272141348896</v>
      </c>
      <c r="T857" s="564">
        <f>IF((I857-MAX(I$470:I857))/MAX(I$470:I857)&gt;T856,T856,(I857-MAX(I$470:I857))/MAX(I$470:I857))</f>
        <v>-0.22786721585231193</v>
      </c>
      <c r="U857" s="564">
        <f>IF((J857-MAX(J$470:J857))/MAX(J$470:J857)&gt;U856,U856,(J857-MAX(J$470:J857))/MAX(J$470:J857))</f>
        <v>-0.40740740740740738</v>
      </c>
      <c r="V857" s="564">
        <f>IF((K857-MAX(K$470:K857))/MAX(K$470:K857)&gt;V856,V856,(K857-MAX(K$470:K857))/MAX(K$470:K857))</f>
        <v>-0.80725522782524772</v>
      </c>
      <c r="W857" s="564">
        <f>IF((N857-MAX(N$470:N857))/MAX(N$470:N857)&gt;W856,W856,(N857-MAX(N$470:N857))/MAX(N$470:N857))</f>
        <v>-0.1897647318309108</v>
      </c>
      <c r="X857" s="564">
        <f>IF((O857-MAX(O$470:O857))/MAX(O$470:O857)&gt;X856,X856,(O857-MAX(O$470:O857))/MAX(O$470:O857))</f>
        <v>-0.20159254550055417</v>
      </c>
    </row>
    <row r="858" spans="1:24">
      <c r="A858" s="799">
        <v>41260</v>
      </c>
      <c r="B858">
        <v>13.2501</v>
      </c>
      <c r="C858">
        <v>66.025519000000003</v>
      </c>
      <c r="D858">
        <v>1.8010839999999999</v>
      </c>
      <c r="E858">
        <f>LN(D858/参数实验室!$E$53)/参数实验室!$E$55</f>
        <v>1.1851905317383548E-3</v>
      </c>
      <c r="F858">
        <f t="shared" si="78"/>
        <v>4.9830204300344905</v>
      </c>
      <c r="G858">
        <f>LN(F858/参数实验室!$E$58)/参数实验室!$E$59</f>
        <v>0.65240457834894661</v>
      </c>
      <c r="H858" s="856">
        <f>INDEX(神经网络!$G$10:$BO$70,MATCH(ROUND(G858*2,1)/2,神经网络!$E$10:$E$70,0),MATCH(ROUND(E858*2,1)/2,神经网络!$G$8:$BO$8,0))</f>
        <v>1.5040832557170782</v>
      </c>
      <c r="I858">
        <f t="shared" si="80"/>
        <v>1.0703561901715417</v>
      </c>
      <c r="J858">
        <f t="shared" si="81"/>
        <v>5.2871393799130182</v>
      </c>
      <c r="K858">
        <f t="shared" si="82"/>
        <v>0.20244523801246012</v>
      </c>
      <c r="L858" s="4">
        <f>MIN(MAX(L857*(1+MAX(MIN(((B858-B857)/B857)/($K$7*卓尔金历!$N$40),0),-卓尔金历!$M$43))+MIN(MAX(((B858-B857)/B857)/($K$7*卓尔金历!$N$40),0),卓尔金历!$M$43),0),1)</f>
        <v>0.57599507101568614</v>
      </c>
      <c r="M858" s="4">
        <f>MIN(MAX(M857*(1+MAX(MIN(((B858-B857)/B857)/($K$7*30),0),-卓尔金历!$M$43))+MIN(MAX(((B858-B857)/B857)/($K$7*7),0),卓尔金历!$M$43),0),1)</f>
        <v>0.76786452496996904</v>
      </c>
      <c r="N858">
        <f t="shared" si="83"/>
        <v>1.0914030642463446</v>
      </c>
      <c r="O858">
        <f t="shared" si="84"/>
        <v>1.1173670805739915</v>
      </c>
      <c r="P858">
        <f t="shared" si="85"/>
        <v>-3.7518796992481911E-3</v>
      </c>
      <c r="Q858">
        <f t="shared" si="76"/>
        <v>1.4478080224621104E-2</v>
      </c>
      <c r="R858">
        <f t="shared" si="77"/>
        <v>1</v>
      </c>
      <c r="S858">
        <f t="shared" si="79"/>
        <v>1.1342545570063292</v>
      </c>
      <c r="T858" s="564">
        <f>IF((I858-MAX(I$470:I858))/MAX(I$470:I858)&gt;T857,T857,(I858-MAX(I$470:I858))/MAX(I$470:I858))</f>
        <v>-0.22786721585231193</v>
      </c>
      <c r="U858" s="564">
        <f>IF((J858-MAX(J$470:J858))/MAX(J$470:J858)&gt;U857,U857,(J858-MAX(J$470:J858))/MAX(J$470:J858))</f>
        <v>-0.40740740740740738</v>
      </c>
      <c r="V858" s="564">
        <f>IF((K858-MAX(K$470:K858))/MAX(K$470:K858)&gt;V857,V857,(K858-MAX(K$470:K858))/MAX(K$470:K858))</f>
        <v>-0.80725522782524772</v>
      </c>
      <c r="W858" s="564">
        <f>IF((N858-MAX(N$470:N858))/MAX(N$470:N858)&gt;W857,W857,(N858-MAX(N$470:N858))/MAX(N$470:N858))</f>
        <v>-0.1897647318309108</v>
      </c>
      <c r="X858" s="564">
        <f>IF((O858-MAX(O$470:O858))/MAX(O$470:O858)&gt;X857,X857,(O858-MAX(O$470:O858))/MAX(O$470:O858))</f>
        <v>-0.20159254550055417</v>
      </c>
    </row>
    <row r="859" spans="1:24">
      <c r="A859" s="799">
        <v>41261</v>
      </c>
      <c r="B859">
        <v>13.298999999999999</v>
      </c>
      <c r="C859">
        <v>72.131078000000002</v>
      </c>
      <c r="D859">
        <v>1.792597</v>
      </c>
      <c r="E859">
        <f>LN(D859/参数实验室!$E$53)/参数实验室!$E$55</f>
        <v>-4.3871373383452764E-3</v>
      </c>
      <c r="F859">
        <f t="shared" si="78"/>
        <v>5.4237971276035797</v>
      </c>
      <c r="G859">
        <f>LN(F859/参数实验室!$E$58)/参数实验室!$E$59</f>
        <v>0.69689116923691419</v>
      </c>
      <c r="H859" s="856">
        <f>INDEX(神经网络!$G$10:$BO$70,MATCH(ROUND(G859*2,1)/2,神经网络!$E$10:$E$70,0),MATCH(ROUND(E859*2,1)/2,神经网络!$G$8:$BO$8,0))</f>
        <v>1.5361373860901346</v>
      </c>
      <c r="I859">
        <f t="shared" si="80"/>
        <v>1.0762976053954938</v>
      </c>
      <c r="J859">
        <f t="shared" si="81"/>
        <v>5.3066517696819817</v>
      </c>
      <c r="K859">
        <f t="shared" si="82"/>
        <v>0.20282046987605415</v>
      </c>
      <c r="L859" s="4">
        <f>MIN(MAX(L858*(1+MAX(MIN(((B859-B858)/B858)/($K$7*卓尔金历!$N$40),0),-卓尔金历!$M$43))+MIN(MAX(((B859-B858)/B858)/($K$7*卓尔金历!$N$40),0),卓尔金历!$M$43),0),1)</f>
        <v>0.63238295293208058</v>
      </c>
      <c r="M859" s="4">
        <f>MIN(MAX(M858*(1+MAX(MIN(((B859-B858)/B858)/($K$7*30),0),-卓尔金历!$M$43))+MIN(MAX(((B859-B858)/B858)/($K$7*7),0),卓尔金历!$M$43),0),1)</f>
        <v>0.88869570050509994</v>
      </c>
      <c r="N859">
        <f t="shared" si="83"/>
        <v>1.0948925828294833</v>
      </c>
      <c r="O859">
        <f t="shared" si="84"/>
        <v>1.1221296580716638</v>
      </c>
      <c r="P859">
        <f t="shared" si="85"/>
        <v>3.6905381846174534E-3</v>
      </c>
      <c r="Q859">
        <f t="shared" si="76"/>
        <v>1.4379019523280561E-2</v>
      </c>
      <c r="R859">
        <f t="shared" si="77"/>
        <v>1</v>
      </c>
      <c r="S859">
        <f t="shared" si="79"/>
        <v>1.1405506641851502</v>
      </c>
      <c r="T859" s="564">
        <f>IF((I859-MAX(I$470:I859))/MAX(I$470:I859)&gt;T858,T858,(I859-MAX(I$470:I859))/MAX(I$470:I859))</f>
        <v>-0.22786721585231193</v>
      </c>
      <c r="U859" s="564">
        <f>IF((J859-MAX(J$470:J859))/MAX(J$470:J859)&gt;U858,U858,(J859-MAX(J$470:J859))/MAX(J$470:J859))</f>
        <v>-0.40740740740740738</v>
      </c>
      <c r="V859" s="564">
        <f>IF((K859-MAX(K$470:K859))/MAX(K$470:K859)&gt;V858,V858,(K859-MAX(K$470:K859))/MAX(K$470:K859))</f>
        <v>-0.80725522782524772</v>
      </c>
      <c r="W859" s="564">
        <f>IF((N859-MAX(N$470:N859))/MAX(N$470:N859)&gt;W858,W858,(N859-MAX(N$470:N859))/MAX(N$470:N859))</f>
        <v>-0.1897647318309108</v>
      </c>
      <c r="X859" s="564">
        <f>IF((O859-MAX(O$470:O859))/MAX(O$470:O859)&gt;X858,X858,(O859-MAX(O$470:O859))/MAX(O$470:O859))</f>
        <v>-0.20159254550055417</v>
      </c>
    </row>
    <row r="860" spans="1:24">
      <c r="A860" s="799">
        <v>41262</v>
      </c>
      <c r="B860">
        <v>13.599</v>
      </c>
      <c r="C860">
        <v>78.287874000000002</v>
      </c>
      <c r="D860">
        <v>1.824128</v>
      </c>
      <c r="E860">
        <f>LN(D860/参数实验室!$E$53)/参数实验室!$E$55</f>
        <v>1.6183816779179919E-2</v>
      </c>
      <c r="F860">
        <f t="shared" si="78"/>
        <v>5.7568846238694018</v>
      </c>
      <c r="G860">
        <f>LN(F860/参数实验室!$E$58)/参数实验室!$E$59</f>
        <v>0.72817263672289423</v>
      </c>
      <c r="H860" s="856">
        <f>INDEX(神经网络!$G$10:$BO$70,MATCH(ROUND(G860*2,1)/2,神经网络!$E$10:$E$70,0),MATCH(ROUND(E860*2,1)/2,神经网络!$G$8:$BO$8,0))</f>
        <v>1.5633225619731501</v>
      </c>
      <c r="I860">
        <f t="shared" si="80"/>
        <v>1.1135938154159608</v>
      </c>
      <c r="J860">
        <f t="shared" si="81"/>
        <v>5.4263596823750113</v>
      </c>
      <c r="K860">
        <f t="shared" si="82"/>
        <v>0.20521931471534202</v>
      </c>
      <c r="L860" s="4">
        <f>MIN(MAX(L859*(1+MAX(MIN(((B860-B859)/B859)/($K$7*卓尔金历!$N$40),0),-卓尔金历!$M$43))+MIN(MAX(((B860-B859)/B859)/($K$7*卓尔金历!$N$40),0),卓尔金历!$M$43),0),1)</f>
        <v>0.9770488760493331</v>
      </c>
      <c r="M860" s="4">
        <f>MIN(MAX(M859*(1+MAX(MIN(((B860-B859)/B859)/($K$7*30),0),-卓尔金历!$M$43))+MIN(MAX(((B860-B859)/B859)/($K$7*7),0),卓尔金历!$M$43),0),1)</f>
        <v>1</v>
      </c>
      <c r="N860">
        <f t="shared" si="83"/>
        <v>1.118885551981883</v>
      </c>
      <c r="O860">
        <f t="shared" si="84"/>
        <v>1.1566860545182234</v>
      </c>
      <c r="P860">
        <f t="shared" si="85"/>
        <v>2.2558087074216162E-2</v>
      </c>
      <c r="Q860">
        <f t="shared" si="76"/>
        <v>1.4817684090320013E-2</v>
      </c>
      <c r="R860">
        <f t="shared" si="77"/>
        <v>8.3359160347148964E-3</v>
      </c>
      <c r="S860">
        <f t="shared" si="79"/>
        <v>1.1800733918184627</v>
      </c>
      <c r="T860" s="564">
        <f>IF((I860-MAX(I$470:I860))/MAX(I$470:I860)&gt;T859,T859,(I860-MAX(I$470:I860))/MAX(I$470:I860))</f>
        <v>-0.22786721585231193</v>
      </c>
      <c r="U860" s="564">
        <f>IF((J860-MAX(J$470:J860))/MAX(J$470:J860)&gt;U859,U859,(J860-MAX(J$470:J860))/MAX(J$470:J860))</f>
        <v>-0.40740740740740738</v>
      </c>
      <c r="V860" s="564">
        <f>IF((K860-MAX(K$470:K860))/MAX(K$470:K860)&gt;V859,V859,(K860-MAX(K$470:K860))/MAX(K$470:K860))</f>
        <v>-0.80725522782524772</v>
      </c>
      <c r="W860" s="564">
        <f>IF((N860-MAX(N$470:N860))/MAX(N$470:N860)&gt;W859,W859,(N860-MAX(N$470:N860))/MAX(N$470:N860))</f>
        <v>-0.1897647318309108</v>
      </c>
      <c r="X860" s="564">
        <f>IF((O860-MAX(O$470:O860))/MAX(O$470:O860)&gt;X859,X859,(O860-MAX(O$470:O860))/MAX(O$470:O860))</f>
        <v>-0.20159254550055417</v>
      </c>
    </row>
    <row r="861" spans="1:24">
      <c r="A861" s="799">
        <v>41263</v>
      </c>
      <c r="B861">
        <v>13.5246</v>
      </c>
      <c r="C861">
        <v>86.978318999999999</v>
      </c>
      <c r="D861">
        <v>1.8250550000000001</v>
      </c>
      <c r="E861">
        <f>LN(D861/参数实验室!$E$53)/参数实验室!$E$55</f>
        <v>1.6783200959522109E-2</v>
      </c>
      <c r="F861">
        <f t="shared" si="78"/>
        <v>6.4311195155494438</v>
      </c>
      <c r="G861">
        <f>LN(F861/参数实验室!$E$58)/参数实验室!$E$59</f>
        <v>0.78630135924288991</v>
      </c>
      <c r="H861" s="856">
        <f>INDEX(神经网络!$G$10:$BO$70,MATCH(ROUND(G861*2,1)/2,神经网络!$E$10:$E$70,0),MATCH(ROUND(E861*2,1)/2,神经网络!$G$8:$BO$8,0))</f>
        <v>1.5862448054422551</v>
      </c>
      <c r="I861">
        <f t="shared" si="80"/>
        <v>1.1040693333631182</v>
      </c>
      <c r="J861">
        <f t="shared" si="81"/>
        <v>5.3966721200271399</v>
      </c>
      <c r="K861">
        <f t="shared" si="82"/>
        <v>0.20458336337794147</v>
      </c>
      <c r="L861" s="4">
        <f>MIN(MAX(L860*(1+MAX(MIN(((B861-B860)/B860)/($K$7*卓尔金历!$N$40),0),-卓尔金历!$M$43))+MIN(MAX(((B861-B860)/B860)/($K$7*卓尔金历!$N$40),0),卓尔金历!$M$43),0),1)</f>
        <v>0.89537590964414437</v>
      </c>
      <c r="M861" s="4">
        <f>MIN(MAX(M860*(1+MAX(MIN(((B861-B860)/B860)/($K$7*30),0),-卓尔金历!$M$43))+MIN(MAX(((B861-B860)/B860)/($K$7*7),0),卓尔金历!$M$43),0),1)</f>
        <v>0.9582042575313986</v>
      </c>
      <c r="N861">
        <f t="shared" si="83"/>
        <v>1.1095354464459306</v>
      </c>
      <c r="O861">
        <f t="shared" si="84"/>
        <v>1.1467930078664537</v>
      </c>
      <c r="P861">
        <f t="shared" si="85"/>
        <v>-5.4709905140084333E-3</v>
      </c>
      <c r="Q861">
        <f t="shared" si="76"/>
        <v>1.4948827756947992E-2</v>
      </c>
      <c r="R861">
        <f t="shared" si="77"/>
        <v>1</v>
      </c>
      <c r="S861">
        <f t="shared" si="79"/>
        <v>1.1799892567781869</v>
      </c>
      <c r="T861" s="564">
        <f>IF((I861-MAX(I$470:I861))/MAX(I$470:I861)&gt;T860,T860,(I861-MAX(I$470:I861))/MAX(I$470:I861))</f>
        <v>-0.22786721585231193</v>
      </c>
      <c r="U861" s="564">
        <f>IF((J861-MAX(J$470:J861))/MAX(J$470:J861)&gt;U860,U860,(J861-MAX(J$470:J861))/MAX(J$470:J861))</f>
        <v>-0.40740740740740738</v>
      </c>
      <c r="V861" s="564">
        <f>IF((K861-MAX(K$470:K861))/MAX(K$470:K861)&gt;V860,V860,(K861-MAX(K$470:K861))/MAX(K$470:K861))</f>
        <v>-0.80725522782524772</v>
      </c>
      <c r="W861" s="564">
        <f>IF((N861-MAX(N$470:N861))/MAX(N$470:N861)&gt;W860,W860,(N861-MAX(N$470:N861))/MAX(N$470:N861))</f>
        <v>-0.1897647318309108</v>
      </c>
      <c r="X861" s="564">
        <f>IF((O861-MAX(O$470:O861))/MAX(O$470:O861)&gt;X860,X860,(O861-MAX(O$470:O861))/MAX(O$470:O861))</f>
        <v>-0.20159254550055417</v>
      </c>
    </row>
    <row r="862" spans="1:24">
      <c r="A862" s="799">
        <v>41264</v>
      </c>
      <c r="B862">
        <v>13.5</v>
      </c>
      <c r="C862">
        <v>96.447016000000005</v>
      </c>
      <c r="D862">
        <v>1.803849</v>
      </c>
      <c r="E862">
        <f>LN(D862/参数实验室!$E$53)/参数实验室!$E$55</f>
        <v>2.9949430898362894E-3</v>
      </c>
      <c r="F862">
        <f t="shared" si="78"/>
        <v>7.1442234074074076</v>
      </c>
      <c r="G862">
        <f>LN(F862/参数实验室!$E$58)/参数实验室!$E$59</f>
        <v>0.84149264009468316</v>
      </c>
      <c r="H862" s="856">
        <f>INDEX(神经网络!$G$10:$BO$70,MATCH(ROUND(G862*2,1)/2,神经网络!$E$10:$E$70,0),MATCH(ROUND(E862*2,1)/2,神经网络!$G$8:$BO$8,0))</f>
        <v>1.605477388239718</v>
      </c>
      <c r="I862">
        <f t="shared" si="80"/>
        <v>1.1008838360896738</v>
      </c>
      <c r="J862">
        <f t="shared" si="81"/>
        <v>5.3868560711863109</v>
      </c>
      <c r="K862">
        <f t="shared" si="82"/>
        <v>0.20436481345365398</v>
      </c>
      <c r="L862" s="4">
        <f>MIN(MAX(L861*(1+MAX(MIN(((B862-B861)/B861)/($K$7*卓尔金历!$N$40),0),-卓尔金历!$M$43))+MIN(MAX(((B862-B861)/B861)/($K$7*卓尔金历!$N$40),0),卓尔金历!$M$43),0),1)</f>
        <v>0.87049236980445088</v>
      </c>
      <c r="M862" s="4">
        <f>MIN(MAX(M861*(1+MAX(MIN(((B862-B861)/B861)/($K$7*30),0),-卓尔金历!$M$43))+MIN(MAX(((B862-B861)/B861)/($K$7*7),0),卓尔金历!$M$43),0),1)</f>
        <v>0.94488945111320788</v>
      </c>
      <c r="N862">
        <f t="shared" si="83"/>
        <v>1.106669107944769</v>
      </c>
      <c r="O862">
        <f t="shared" si="84"/>
        <v>1.1436225351285467</v>
      </c>
      <c r="P862">
        <f t="shared" si="85"/>
        <v>-1.8189077680670416E-3</v>
      </c>
      <c r="Q862">
        <f t="shared" si="76"/>
        <v>1.4951888353435642E-2</v>
      </c>
      <c r="R862">
        <f t="shared" si="77"/>
        <v>1</v>
      </c>
      <c r="S862">
        <f t="shared" si="79"/>
        <v>1.1765847128364486</v>
      </c>
      <c r="T862" s="564">
        <f>IF((I862-MAX(I$470:I862))/MAX(I$470:I862)&gt;T861,T861,(I862-MAX(I$470:I862))/MAX(I$470:I862))</f>
        <v>-0.22786721585231193</v>
      </c>
      <c r="U862" s="564">
        <f>IF((J862-MAX(J$470:J862))/MAX(J$470:J862)&gt;U861,U861,(J862-MAX(J$470:J862))/MAX(J$470:J862))</f>
        <v>-0.40740740740740738</v>
      </c>
      <c r="V862" s="564">
        <f>IF((K862-MAX(K$470:K862))/MAX(K$470:K862)&gt;V861,V861,(K862-MAX(K$470:K862))/MAX(K$470:K862))</f>
        <v>-0.80725522782524772</v>
      </c>
      <c r="W862" s="564">
        <f>IF((N862-MAX(N$470:N862))/MAX(N$470:N862)&gt;W861,W861,(N862-MAX(N$470:N862))/MAX(N$470:N862))</f>
        <v>-0.1897647318309108</v>
      </c>
      <c r="X862" s="564">
        <f>IF((O862-MAX(O$470:O862))/MAX(O$470:O862)&gt;X861,X861,(O862-MAX(O$470:O862))/MAX(O$470:O862))</f>
        <v>-0.20159254550055417</v>
      </c>
    </row>
    <row r="863" spans="1:24">
      <c r="A863" s="799">
        <v>41265</v>
      </c>
      <c r="B863">
        <v>13.3714</v>
      </c>
      <c r="C863">
        <v>104.60719400000001</v>
      </c>
      <c r="D863">
        <v>1.802848</v>
      </c>
      <c r="E863">
        <f>LN(D863/参数实验室!$E$53)/参数实验室!$E$55</f>
        <v>2.3400873991376078E-3</v>
      </c>
      <c r="F863">
        <f t="shared" si="78"/>
        <v>7.8232043017185946</v>
      </c>
      <c r="G863">
        <f>LN(F863/参数实验室!$E$58)/参数实验室!$E$59</f>
        <v>0.88914419785065635</v>
      </c>
      <c r="H863" s="856">
        <f>INDEX(神经网络!$G$10:$BO$70,MATCH(ROUND(G863*2,1)/2,神经网络!$E$10:$E$70,0),MATCH(ROUND(E863*2,1)/2,神经网络!$G$8:$BO$8,0))</f>
        <v>1.6215468093741943</v>
      </c>
      <c r="I863">
        <f t="shared" si="80"/>
        <v>1.08404729445846</v>
      </c>
      <c r="J863">
        <f t="shared" si="81"/>
        <v>5.3355412792785657</v>
      </c>
      <c r="K863">
        <f t="shared" si="82"/>
        <v>0.20317475542144756</v>
      </c>
      <c r="L863" s="4">
        <f>MIN(MAX(L862*(1+MAX(MIN(((B863-B862)/B862)/($K$7*卓尔金历!$N$40),0),-卓尔金历!$M$43))+MIN(MAX(((B863-B862)/B862)/($K$7*卓尔金历!$N$40),0),卓尔金历!$M$43),0),1)</f>
        <v>0.74379481093640609</v>
      </c>
      <c r="M863" s="4">
        <f>MIN(MAX(M862*(1+MAX(MIN(((B863-B862)/B862)/($K$7*30),0),-卓尔金历!$M$43))+MIN(MAX(((B863-B862)/B862)/($K$7*7),0),卓尔金历!$M$43),0),1)</f>
        <v>0.87612653542957974</v>
      </c>
      <c r="N863">
        <f t="shared" si="83"/>
        <v>1.0919360075204227</v>
      </c>
      <c r="O863">
        <f t="shared" si="84"/>
        <v>1.1270962554399553</v>
      </c>
      <c r="P863">
        <f t="shared" si="85"/>
        <v>-9.525925925925962E-3</v>
      </c>
      <c r="Q863">
        <f t="shared" si="76"/>
        <v>1.5192314535468975E-2</v>
      </c>
      <c r="R863">
        <f t="shared" si="77"/>
        <v>0.4887035703781149</v>
      </c>
      <c r="S863">
        <f t="shared" si="79"/>
        <v>1.1585904278347865</v>
      </c>
      <c r="T863" s="564">
        <f>IF((I863-MAX(I$470:I863))/MAX(I$470:I863)&gt;T862,T862,(I863-MAX(I$470:I863))/MAX(I$470:I863))</f>
        <v>-0.22786721585231193</v>
      </c>
      <c r="U863" s="564">
        <f>IF((J863-MAX(J$470:J863))/MAX(J$470:J863)&gt;U862,U862,(J863-MAX(J$470:J863))/MAX(J$470:J863))</f>
        <v>-0.40740740740740738</v>
      </c>
      <c r="V863" s="564">
        <f>IF((K863-MAX(K$470:K863))/MAX(K$470:K863)&gt;V862,V862,(K863-MAX(K$470:K863))/MAX(K$470:K863))</f>
        <v>-0.80725522782524772</v>
      </c>
      <c r="W863" s="564">
        <f>IF((N863-MAX(N$470:N863))/MAX(N$470:N863)&gt;W862,W862,(N863-MAX(N$470:N863))/MAX(N$470:N863))</f>
        <v>-0.1897647318309108</v>
      </c>
      <c r="X863" s="564">
        <f>IF((O863-MAX(O$470:O863))/MAX(O$470:O863)&gt;X862,X862,(O863-MAX(O$470:O863))/MAX(O$470:O863))</f>
        <v>-0.20159254550055417</v>
      </c>
    </row>
    <row r="864" spans="1:24">
      <c r="A864" s="799">
        <v>41266</v>
      </c>
      <c r="B864">
        <v>13.311999999999999</v>
      </c>
      <c r="C864">
        <v>118.663004</v>
      </c>
      <c r="D864">
        <v>1.787841</v>
      </c>
      <c r="E864">
        <f>LN(D864/参数实验室!$E$53)/参数实验室!$E$55</f>
        <v>-7.5213403204415158E-3</v>
      </c>
      <c r="F864">
        <f t="shared" si="78"/>
        <v>8.9139876802884626</v>
      </c>
      <c r="G864">
        <f>LN(F864/参数实验室!$E$58)/参数实验室!$E$59</f>
        <v>0.9576520653673648</v>
      </c>
      <c r="H864" s="856">
        <f>INDEX(神经网络!$G$10:$BO$70,MATCH(ROUND(G864*2,1)/2,神经网络!$E$10:$E$70,0),MATCH(ROUND(E864*2,1)/2,神经网络!$G$8:$BO$8,0))</f>
        <v>1.6349258691027106</v>
      </c>
      <c r="I864">
        <f t="shared" si="80"/>
        <v>1.0762384407981502</v>
      </c>
      <c r="J864">
        <f t="shared" si="81"/>
        <v>5.3118391125653455</v>
      </c>
      <c r="K864">
        <f t="shared" si="82"/>
        <v>0.20261126475993402</v>
      </c>
      <c r="L864" s="4">
        <f>MIN(MAX(L863*(1+MAX(MIN(((B864-B863)/B863)/($K$7*卓尔金历!$N$40),0),-卓尔金历!$M$43))+MIN(MAX(((B864-B863)/B863)/($K$7*卓尔金历!$N$40),0),卓尔金历!$M$43),0),1)</f>
        <v>0.69331022636705342</v>
      </c>
      <c r="M864" s="4">
        <f>MIN(MAX(M863*(1+MAX(MIN(((B864-B863)/B863)/($K$7*30),0),-卓尔金历!$M$43))+MIN(MAX(((B864-B863)/B863)/($K$7*7),0),卓尔金历!$M$43),0),1)</f>
        <v>0.84639327867583614</v>
      </c>
      <c r="N864">
        <f t="shared" si="83"/>
        <v>1.0860855559868907</v>
      </c>
      <c r="O864">
        <f t="shared" si="84"/>
        <v>1.1199830247220595</v>
      </c>
      <c r="P864">
        <f t="shared" si="85"/>
        <v>-4.4423171844384371E-3</v>
      </c>
      <c r="Q864">
        <f t="shared" si="76"/>
        <v>1.5180265453804166E-2</v>
      </c>
      <c r="R864">
        <f t="shared" si="77"/>
        <v>1</v>
      </c>
      <c r="S864">
        <f t="shared" si="79"/>
        <v>1.1545117960229783</v>
      </c>
      <c r="T864" s="564">
        <f>IF((I864-MAX(I$470:I864))/MAX(I$470:I864)&gt;T863,T863,(I864-MAX(I$470:I864))/MAX(I$470:I864))</f>
        <v>-0.22786721585231193</v>
      </c>
      <c r="U864" s="564">
        <f>IF((J864-MAX(J$470:J864))/MAX(J$470:J864)&gt;U863,U863,(J864-MAX(J$470:J864))/MAX(J$470:J864))</f>
        <v>-0.40740740740740738</v>
      </c>
      <c r="V864" s="564">
        <f>IF((K864-MAX(K$470:K864))/MAX(K$470:K864)&gt;V863,V863,(K864-MAX(K$470:K864))/MAX(K$470:K864))</f>
        <v>-0.80725522782524772</v>
      </c>
      <c r="W864" s="564">
        <f>IF((N864-MAX(N$470:N864))/MAX(N$470:N864)&gt;W863,W863,(N864-MAX(N$470:N864))/MAX(N$470:N864))</f>
        <v>-0.1897647318309108</v>
      </c>
      <c r="X864" s="564">
        <f>IF((O864-MAX(O$470:O864))/MAX(O$470:O864)&gt;X863,X863,(O864-MAX(O$470:O864))/MAX(O$470:O864))</f>
        <v>-0.20159254550055417</v>
      </c>
    </row>
    <row r="865" spans="1:24">
      <c r="A865" s="799">
        <v>41267</v>
      </c>
      <c r="B865">
        <v>13.38</v>
      </c>
      <c r="C865">
        <v>132.38674399999999</v>
      </c>
      <c r="D865">
        <v>1.801523</v>
      </c>
      <c r="E865">
        <f>LN(D865/参数实验室!$E$53)/参数实验室!$E$55</f>
        <v>1.4727110282383416E-3</v>
      </c>
      <c r="F865">
        <f t="shared" si="78"/>
        <v>9.8943754857996993</v>
      </c>
      <c r="G865">
        <f>LN(F865/参数实验室!$E$58)/参数实验室!$E$59</f>
        <v>1.0124178400304658</v>
      </c>
      <c r="H865" s="856">
        <f>INDEX(神经网络!$G$10:$BO$70,MATCH(ROUND(G865*2,1)/2,神经网络!$E$10:$E$70,0),MATCH(ROUND(E865*2,1)/2,神经网络!$G$8:$BO$8,0))</f>
        <v>1.6460317876149846</v>
      </c>
      <c r="I865">
        <f t="shared" si="80"/>
        <v>1.085226629247406</v>
      </c>
      <c r="J865">
        <f t="shared" si="81"/>
        <v>5.3389729061090989</v>
      </c>
      <c r="K865">
        <f t="shared" si="82"/>
        <v>0.20326505646912718</v>
      </c>
      <c r="L865" s="4">
        <f>MIN(MAX(L864*(1+MAX(MIN(((B865-B864)/B864)/($K$7*卓尔金历!$N$40),0),-卓尔金历!$M$43))+MIN(MAX(((B865-B864)/B864)/($K$7*卓尔金历!$N$40),0),卓尔金历!$M$43),0),1)</f>
        <v>0.77135820903544206</v>
      </c>
      <c r="M865" s="4">
        <f>MIN(MAX(M864*(1+MAX(MIN(((B865-B864)/B864)/($K$7*30),0),-卓尔金历!$M$43))+MIN(MAX(((B865-B864)/B864)/($K$7*7),0),卓尔金历!$M$43),0),1)</f>
        <v>1</v>
      </c>
      <c r="N865">
        <f t="shared" si="83"/>
        <v>1.0923741754210625</v>
      </c>
      <c r="O865">
        <f t="shared" si="84"/>
        <v>1.1278997817367677</v>
      </c>
      <c r="P865">
        <f t="shared" si="85"/>
        <v>5.1081730769231819E-3</v>
      </c>
      <c r="Q865">
        <f t="shared" si="76"/>
        <v>1.4981909644524635E-2</v>
      </c>
      <c r="R865">
        <f t="shared" si="77"/>
        <v>1</v>
      </c>
      <c r="S865">
        <f t="shared" si="79"/>
        <v>1.1641536831700752</v>
      </c>
      <c r="T865" s="564">
        <f>IF((I865-MAX(I$470:I865))/MAX(I$470:I865)&gt;T864,T864,(I865-MAX(I$470:I865))/MAX(I$470:I865))</f>
        <v>-0.22786721585231193</v>
      </c>
      <c r="U865" s="564">
        <f>IF((J865-MAX(J$470:J865))/MAX(J$470:J865)&gt;U864,U864,(J865-MAX(J$470:J865))/MAX(J$470:J865))</f>
        <v>-0.40740740740740738</v>
      </c>
      <c r="V865" s="564">
        <f>IF((K865-MAX(K$470:K865))/MAX(K$470:K865)&gt;V864,V864,(K865-MAX(K$470:K865))/MAX(K$470:K865))</f>
        <v>-0.80725522782524772</v>
      </c>
      <c r="W865" s="564">
        <f>IF((N865-MAX(N$470:N865))/MAX(N$470:N865)&gt;W864,W864,(N865-MAX(N$470:N865))/MAX(N$470:N865))</f>
        <v>-0.1897647318309108</v>
      </c>
      <c r="X865" s="564">
        <f>IF((O865-MAX(O$470:O865))/MAX(O$470:O865)&gt;X864,X864,(O865-MAX(O$470:O865))/MAX(O$470:O865))</f>
        <v>-0.20159254550055417</v>
      </c>
    </row>
    <row r="866" spans="1:24">
      <c r="A866" s="799">
        <v>41268</v>
      </c>
      <c r="B866">
        <v>13.35</v>
      </c>
      <c r="C866">
        <v>148.09015500000001</v>
      </c>
      <c r="D866">
        <v>1.7927470000000001</v>
      </c>
      <c r="E866">
        <f>LN(D866/参数实验室!$E$53)/参数实验室!$E$55</f>
        <v>-4.2884226896536615E-3</v>
      </c>
      <c r="F866">
        <f t="shared" si="78"/>
        <v>11.092895505617978</v>
      </c>
      <c r="G866">
        <f>LN(F866/参数实验室!$E$58)/参数实验室!$E$59</f>
        <v>1.0724288094079888</v>
      </c>
      <c r="H866" s="856">
        <f>INDEX(神经网络!$G$10:$BO$70,MATCH(ROUND(G866*2,1)/2,神经网络!$E$10:$E$70,0),MATCH(ROUND(E866*2,1)/2,神经网络!$G$8:$BO$8,0))</f>
        <v>1.6552276734257787</v>
      </c>
      <c r="I866">
        <f t="shared" si="80"/>
        <v>1.0812214329951468</v>
      </c>
      <c r="J866">
        <f t="shared" si="81"/>
        <v>5.3270021148397957</v>
      </c>
      <c r="K866">
        <f t="shared" si="82"/>
        <v>0.20296996503589027</v>
      </c>
      <c r="L866" s="4">
        <f>MIN(MAX(L865*(1+MAX(MIN(((B866-B865)/B865)/($K$7*卓尔金历!$N$40),0),-卓尔金历!$M$43))+MIN(MAX(((B866-B865)/B865)/($K$7*卓尔金历!$N$40),0),卓尔金历!$M$43),0),1)</f>
        <v>0.74493306729337283</v>
      </c>
      <c r="M866" s="4">
        <f>MIN(MAX(M865*(1+MAX(MIN(((B866-B865)/B865)/($K$7*30),0),-卓尔金历!$M$43))+MIN(MAX(((B866-B865)/B865)/($K$7*7),0),卓尔金历!$M$43),0),1)</f>
        <v>0.98287103097333151</v>
      </c>
      <c r="N866">
        <f t="shared" si="83"/>
        <v>1.0892643866611402</v>
      </c>
      <c r="O866">
        <f t="shared" si="84"/>
        <v>1.1237370936336673</v>
      </c>
      <c r="P866">
        <f t="shared" si="85"/>
        <v>-2.242152466367798E-3</v>
      </c>
      <c r="Q866">
        <f t="shared" si="76"/>
        <v>8.5752987412118509E-3</v>
      </c>
      <c r="R866">
        <f t="shared" si="77"/>
        <v>1</v>
      </c>
      <c r="S866">
        <f t="shared" si="79"/>
        <v>1.1598571944522118</v>
      </c>
      <c r="T866" s="564">
        <f>IF((I866-MAX(I$470:I866))/MAX(I$470:I866)&gt;T865,T865,(I866-MAX(I$470:I866))/MAX(I$470:I866))</f>
        <v>-0.22786721585231193</v>
      </c>
      <c r="U866" s="564">
        <f>IF((J866-MAX(J$470:J866))/MAX(J$470:J866)&gt;U865,U865,(J866-MAX(J$470:J866))/MAX(J$470:J866))</f>
        <v>-0.40740740740740738</v>
      </c>
      <c r="V866" s="564">
        <f>IF((K866-MAX(K$470:K866))/MAX(K$470:K866)&gt;V865,V865,(K866-MAX(K$470:K866))/MAX(K$470:K866))</f>
        <v>-0.80725522782524772</v>
      </c>
      <c r="W866" s="564">
        <f>IF((N866-MAX(N$470:N866))/MAX(N$470:N866)&gt;W865,W865,(N866-MAX(N$470:N866))/MAX(N$470:N866))</f>
        <v>-0.1897647318309108</v>
      </c>
      <c r="X866" s="564">
        <f>IF((O866-MAX(O$470:O866))/MAX(O$470:O866)&gt;X865,X865,(O866-MAX(O$470:O866))/MAX(O$470:O866))</f>
        <v>-0.20159254550055417</v>
      </c>
    </row>
    <row r="867" spans="1:24">
      <c r="A867" s="799">
        <v>41269</v>
      </c>
      <c r="B867">
        <v>13.4679</v>
      </c>
      <c r="C867">
        <v>165.47617099999999</v>
      </c>
      <c r="D867">
        <v>1.803242</v>
      </c>
      <c r="E867">
        <f>LN(D867/参数实验室!$E$53)/参数实验室!$E$55</f>
        <v>2.5978861673184341E-3</v>
      </c>
      <c r="F867">
        <f t="shared" si="78"/>
        <v>12.286709212275113</v>
      </c>
      <c r="G867">
        <f>LN(F867/参数实验室!$E$58)/参数实验室!$E$59</f>
        <v>1.1260758560858937</v>
      </c>
      <c r="H867" s="856">
        <f>INDEX(神经网络!$G$10:$BO$70,MATCH(ROUND(G867*2,1)/2,神经网络!$E$10:$E$70,0),MATCH(ROUND(E867*2,1)/2,神经网络!$G$8:$BO$8,0))</f>
        <v>1.6690934322090294</v>
      </c>
      <c r="I867">
        <f t="shared" si="80"/>
        <v>1.0970268123510771</v>
      </c>
      <c r="J867">
        <f t="shared" si="81"/>
        <v>5.3740473245281564</v>
      </c>
      <c r="K867">
        <f t="shared" si="82"/>
        <v>0.20413419274222647</v>
      </c>
      <c r="L867" s="4">
        <f>MIN(MAX(L866*(1+MAX(MIN(((B867-B866)/B866)/($K$7*卓尔金历!$N$40),0),-卓尔金历!$M$43))+MIN(MAX(((B867-B866)/B866)/($K$7*卓尔金历!$N$40),0),卓尔金历!$M$43),0),1)</f>
        <v>0.87986931147567893</v>
      </c>
      <c r="M867" s="4">
        <f>MIN(MAX(M866*(1+MAX(MIN(((B867-B866)/B866)/($K$7*30),0),-卓尔金历!$M$43))+MIN(MAX(((B867-B866)/B866)/($K$7*7),0),卓尔金历!$M$43),0),1)</f>
        <v>1</v>
      </c>
      <c r="N867">
        <f t="shared" si="83"/>
        <v>1.1011259200460781</v>
      </c>
      <c r="O867">
        <f t="shared" si="84"/>
        <v>1.13988259477693</v>
      </c>
      <c r="P867">
        <f t="shared" si="85"/>
        <v>8.8314606741573456E-3</v>
      </c>
      <c r="Q867">
        <f t="shared" si="76"/>
        <v>8.770414346069141E-3</v>
      </c>
      <c r="R867">
        <f t="shared" si="77"/>
        <v>8.5158172827070455E-3</v>
      </c>
      <c r="S867">
        <f t="shared" si="79"/>
        <v>1.1768120775109392</v>
      </c>
      <c r="T867" s="564">
        <f>IF((I867-MAX(I$470:I867))/MAX(I$470:I867)&gt;T866,T866,(I867-MAX(I$470:I867))/MAX(I$470:I867))</f>
        <v>-0.22786721585231193</v>
      </c>
      <c r="U867" s="564">
        <f>IF((J867-MAX(J$470:J867))/MAX(J$470:J867)&gt;U866,U866,(J867-MAX(J$470:J867))/MAX(J$470:J867))</f>
        <v>-0.40740740740740738</v>
      </c>
      <c r="V867" s="564">
        <f>IF((K867-MAX(K$470:K867))/MAX(K$470:K867)&gt;V866,V866,(K867-MAX(K$470:K867))/MAX(K$470:K867))</f>
        <v>-0.80725522782524772</v>
      </c>
      <c r="W867" s="564">
        <f>IF((N867-MAX(N$470:N867))/MAX(N$470:N867)&gt;W866,W866,(N867-MAX(N$470:N867))/MAX(N$470:N867))</f>
        <v>-0.1897647318309108</v>
      </c>
      <c r="X867" s="564">
        <f>IF((O867-MAX(O$470:O867))/MAX(O$470:O867)&gt;X866,X866,(O867-MAX(O$470:O867))/MAX(O$470:O867))</f>
        <v>-0.20159254550055417</v>
      </c>
    </row>
    <row r="868" spans="1:24">
      <c r="A868" s="799">
        <v>41270</v>
      </c>
      <c r="B868">
        <v>13.4217</v>
      </c>
      <c r="C868">
        <v>183.008848</v>
      </c>
      <c r="D868">
        <v>1.794848</v>
      </c>
      <c r="E868">
        <f>LN(D868/参数实验室!$E$53)/参数实验室!$E$55</f>
        <v>-2.9066268911048373E-3</v>
      </c>
      <c r="F868">
        <f t="shared" si="78"/>
        <v>13.635295677894753</v>
      </c>
      <c r="G868">
        <f>LN(F868/参数实验室!$E$58)/参数实验室!$E$59</f>
        <v>1.1807360324660836</v>
      </c>
      <c r="H868" s="856">
        <f>INDEX(神经网络!$G$10:$BO$70,MATCH(ROUND(G868*2,1)/2,神经网络!$E$10:$E$70,0),MATCH(ROUND(E868*2,1)/2,神经网络!$G$8:$BO$8,0))</f>
        <v>1.6742554976470234</v>
      </c>
      <c r="I868">
        <f t="shared" si="80"/>
        <v>1.0907456505194404</v>
      </c>
      <c r="J868">
        <f t="shared" si="81"/>
        <v>5.3556123059734295</v>
      </c>
      <c r="K868">
        <f t="shared" si="82"/>
        <v>0.20366404216803885</v>
      </c>
      <c r="L868" s="4">
        <f>MIN(MAX(L867*(1+MAX(MIN(((B868-B867)/B867)/($K$7*卓尔金历!$N$40),0),-卓尔金历!$M$43))+MIN(MAX(((B868-B867)/B867)/($K$7*卓尔金历!$N$40),0),卓尔金历!$M$43),0),1)</f>
        <v>0.83375281124807399</v>
      </c>
      <c r="M868" s="4">
        <f>MIN(MAX(M867*(1+MAX(MIN(((B868-B867)/B867)/($K$7*30),0),-卓尔金历!$M$43))+MIN(MAX(((B868-B867)/B867)/($K$7*7),0),卓尔金历!$M$43),0),1)</f>
        <v>0.97379355114098687</v>
      </c>
      <c r="N868">
        <f t="shared" si="83"/>
        <v>1.0955786680257829</v>
      </c>
      <c r="O868">
        <f t="shared" si="84"/>
        <v>1.1333560568963148</v>
      </c>
      <c r="P868">
        <f t="shared" si="85"/>
        <v>-3.4303789009422912E-3</v>
      </c>
      <c r="Q868">
        <f t="shared" si="76"/>
        <v>8.6966811394501471E-3</v>
      </c>
      <c r="R868">
        <f t="shared" si="77"/>
        <v>0.94720002713364726</v>
      </c>
      <c r="S868">
        <f t="shared" si="79"/>
        <v>1.1767546980859049</v>
      </c>
      <c r="T868" s="564">
        <f>IF((I868-MAX(I$470:I868))/MAX(I$470:I868)&gt;T867,T867,(I868-MAX(I$470:I868))/MAX(I$470:I868))</f>
        <v>-0.22786721585231193</v>
      </c>
      <c r="U868" s="564">
        <f>IF((J868-MAX(J$470:J868))/MAX(J$470:J868)&gt;U867,U867,(J868-MAX(J$470:J868))/MAX(J$470:J868))</f>
        <v>-0.40740740740740738</v>
      </c>
      <c r="V868" s="564">
        <f>IF((K868-MAX(K$470:K868))/MAX(K$470:K868)&gt;V867,V867,(K868-MAX(K$470:K868))/MAX(K$470:K868))</f>
        <v>-0.80725522782524772</v>
      </c>
      <c r="W868" s="564">
        <f>IF((N868-MAX(N$470:N868))/MAX(N$470:N868)&gt;W867,W867,(N868-MAX(N$470:N868))/MAX(N$470:N868))</f>
        <v>-0.1897647318309108</v>
      </c>
      <c r="X868" s="564">
        <f>IF((O868-MAX(O$470:O868))/MAX(O$470:O868)&gt;X867,X867,(O868-MAX(O$470:O868))/MAX(O$470:O868))</f>
        <v>-0.20159254550055417</v>
      </c>
    </row>
    <row r="869" spans="1:24">
      <c r="A869" s="799">
        <v>41271</v>
      </c>
      <c r="B869">
        <v>13.421200000000001</v>
      </c>
      <c r="C869">
        <v>199.509725</v>
      </c>
      <c r="D869">
        <v>1.8001799999999999</v>
      </c>
      <c r="E869">
        <f>LN(D869/参数实验室!$E$53)/参数实验室!$E$55</f>
        <v>5.9290018315400731E-4</v>
      </c>
      <c r="F869">
        <f t="shared" si="78"/>
        <v>14.865267263732006</v>
      </c>
      <c r="G869">
        <f>LN(F869/参数实验室!$E$58)/参数实验室!$E$59</f>
        <v>1.2260654373541342</v>
      </c>
      <c r="H869" s="856">
        <f>INDEX(神经网络!$G$10:$BO$70,MATCH(ROUND(G869*2,1)/2,神经网络!$E$10:$E$70,0),MATCH(ROUND(E869*2,1)/2,神经网络!$G$8:$BO$8,0))</f>
        <v>1.6785020981272256</v>
      </c>
      <c r="I869">
        <f t="shared" si="80"/>
        <v>1.0906776193869494</v>
      </c>
      <c r="J869">
        <f t="shared" si="81"/>
        <v>5.3554127927856081</v>
      </c>
      <c r="K869">
        <f t="shared" si="82"/>
        <v>0.2036589263214639</v>
      </c>
      <c r="L869" s="4">
        <f>MIN(MAX(L868*(1+MAX(MIN(((B869-B868)/B868)/($K$7*卓尔金历!$N$40),0),-卓尔金历!$M$43))+MIN(MAX(((B869-B868)/B868)/($K$7*卓尔金历!$N$40),0),卓尔金历!$M$43),0),1)</f>
        <v>0.83327824607141532</v>
      </c>
      <c r="M869" s="4">
        <f>MIN(MAX(M868*(1+MAX(MIN(((B869-B868)/B868)/($K$7*30),0),-卓尔金历!$M$43))+MIN(MAX(((B869-B868)/B868)/($K$7*7),0),卓尔金历!$M$43),0),1)</f>
        <v>0.97351641353953489</v>
      </c>
      <c r="N869">
        <f t="shared" si="83"/>
        <v>1.0955216955503861</v>
      </c>
      <c r="O869">
        <f t="shared" si="84"/>
        <v>1.1332872206032669</v>
      </c>
      <c r="P869">
        <f t="shared" si="85"/>
        <v>-3.7253105046218791E-5</v>
      </c>
      <c r="Q869">
        <f t="shared" si="76"/>
        <v>8.0579554442383496E-3</v>
      </c>
      <c r="R869">
        <f t="shared" si="77"/>
        <v>1</v>
      </c>
      <c r="S869">
        <f t="shared" si="79"/>
        <v>1.176685177751353</v>
      </c>
      <c r="T869" s="564">
        <f>IF((I869-MAX(I$470:I869))/MAX(I$470:I869)&gt;T868,T868,(I869-MAX(I$470:I869))/MAX(I$470:I869))</f>
        <v>-0.22786721585231193</v>
      </c>
      <c r="U869" s="564">
        <f>IF((J869-MAX(J$470:J869))/MAX(J$470:J869)&gt;U868,U868,(J869-MAX(J$470:J869))/MAX(J$470:J869))</f>
        <v>-0.40740740740740738</v>
      </c>
      <c r="V869" s="564">
        <f>IF((K869-MAX(K$470:K869))/MAX(K$470:K869)&gt;V868,V868,(K869-MAX(K$470:K869))/MAX(K$470:K869))</f>
        <v>-0.80725522782524772</v>
      </c>
      <c r="W869" s="564">
        <f>IF((N869-MAX(N$470:N869))/MAX(N$470:N869)&gt;W868,W868,(N869-MAX(N$470:N869))/MAX(N$470:N869))</f>
        <v>-0.1897647318309108</v>
      </c>
      <c r="X869" s="564">
        <f>IF((O869-MAX(O$470:O869))/MAX(O$470:O869)&gt;X868,X868,(O869-MAX(O$470:O869))/MAX(O$470:O869))</f>
        <v>-0.20159254550055417</v>
      </c>
    </row>
    <row r="870" spans="1:24">
      <c r="A870" s="799">
        <v>41272</v>
      </c>
      <c r="B870">
        <v>13.4</v>
      </c>
      <c r="C870">
        <v>203.03636700000001</v>
      </c>
      <c r="D870">
        <v>1.788959</v>
      </c>
      <c r="E870">
        <f>LN(D870/参数实验室!$E$53)/参数实验室!$E$55</f>
        <v>-6.7838296015223154E-3</v>
      </c>
      <c r="F870">
        <f t="shared" si="78"/>
        <v>15.151967686567165</v>
      </c>
      <c r="G870">
        <f>LN(F870/参数实验室!$E$58)/参数实验室!$E$59</f>
        <v>1.2360917074162159</v>
      </c>
      <c r="H870" s="856">
        <f>INDEX(神经网络!$G$10:$BO$70,MATCH(ROUND(G870*2,1)/2,神经网络!$E$10:$E$70,0),MATCH(ROUND(E870*2,1)/2,神经网络!$G$8:$BO$8,0))</f>
        <v>1.6785020981272256</v>
      </c>
      <c r="I870">
        <f t="shared" si="80"/>
        <v>1.087785855680466</v>
      </c>
      <c r="J870">
        <f t="shared" si="81"/>
        <v>5.3469534336219668</v>
      </c>
      <c r="K870">
        <f t="shared" si="82"/>
        <v>0.2034403084269264</v>
      </c>
      <c r="L870" s="4">
        <f>MIN(MAX(L869*(1+MAX(MIN(((B870-B869)/B869)/($K$7*卓尔金历!$N$40),0),-卓尔金历!$M$43))+MIN(MAX(((B870-B869)/B869)/($K$7*卓尔金历!$N$40),0),卓尔金历!$M$43),0),1)</f>
        <v>0.81316738641591901</v>
      </c>
      <c r="M870" s="4">
        <f>MIN(MAX(M869*(1+MAX(MIN(((B870-B869)/B869)/($K$7*30),0),-卓尔金历!$M$43))+MIN(MAX(((B870-B869)/B869)/($K$7*7),0),卓尔金历!$M$43),0),1)</f>
        <v>0.96176868578033836</v>
      </c>
      <c r="N870">
        <f t="shared" si="83"/>
        <v>1.0931013497003352</v>
      </c>
      <c r="O870">
        <f t="shared" si="84"/>
        <v>1.1303620603013909</v>
      </c>
      <c r="P870">
        <f t="shared" si="85"/>
        <v>-1.5795904986141574E-3</v>
      </c>
      <c r="Q870">
        <f t="shared" si="76"/>
        <v>7.9652074698674663E-3</v>
      </c>
      <c r="R870">
        <f t="shared" si="77"/>
        <v>1</v>
      </c>
      <c r="S870">
        <f t="shared" si="79"/>
        <v>1.1735653782519455</v>
      </c>
      <c r="T870" s="564">
        <f>IF((I870-MAX(I$470:I870))/MAX(I$470:I870)&gt;T869,T869,(I870-MAX(I$470:I870))/MAX(I$470:I870))</f>
        <v>-0.22786721585231193</v>
      </c>
      <c r="U870" s="564">
        <f>IF((J870-MAX(J$470:J870))/MAX(J$470:J870)&gt;U869,U869,(J870-MAX(J$470:J870))/MAX(J$470:J870))</f>
        <v>-0.40740740740740738</v>
      </c>
      <c r="V870" s="564">
        <f>IF((K870-MAX(K$470:K870))/MAX(K$470:K870)&gt;V869,V869,(K870-MAX(K$470:K870))/MAX(K$470:K870))</f>
        <v>-0.80725522782524772</v>
      </c>
      <c r="W870" s="564">
        <f>IF((N870-MAX(N$470:N870))/MAX(N$470:N870)&gt;W869,W869,(N870-MAX(N$470:N870))/MAX(N$470:N870))</f>
        <v>-0.1897647318309108</v>
      </c>
      <c r="X870" s="564">
        <f>IF((O870-MAX(O$470:O870))/MAX(O$470:O870)&gt;X869,X869,(O870-MAX(O$470:O870))/MAX(O$470:O870))</f>
        <v>-0.20159254550055417</v>
      </c>
    </row>
    <row r="871" spans="1:24">
      <c r="A871" s="799">
        <v>41273</v>
      </c>
      <c r="B871">
        <v>13.45</v>
      </c>
      <c r="C871">
        <v>197.19512599999999</v>
      </c>
      <c r="D871">
        <v>1.796826</v>
      </c>
      <c r="E871">
        <f>LN(D871/参数实验室!$E$53)/参数实验室!$E$55</f>
        <v>-1.6072037516486376E-3</v>
      </c>
      <c r="F871">
        <f t="shared" si="78"/>
        <v>14.661347657992565</v>
      </c>
      <c r="G871">
        <f>LN(F871/参数实验室!$E$58)/参数实验室!$E$59</f>
        <v>1.2188157250857019</v>
      </c>
      <c r="H871" s="856">
        <f>INDEX(神经网络!$G$10:$BO$70,MATCH(ROUND(G871*2,1)/2,神经网络!$E$10:$E$70,0),MATCH(ROUND(E871*2,1)/2,神经网络!$G$8:$BO$8,0))</f>
        <v>1.6742554976470234</v>
      </c>
      <c r="I871">
        <f t="shared" si="80"/>
        <v>1.0945987319531254</v>
      </c>
      <c r="J871">
        <f t="shared" si="81"/>
        <v>5.366904752404138</v>
      </c>
      <c r="K871">
        <f t="shared" si="82"/>
        <v>0.20395344848681973</v>
      </c>
      <c r="L871" s="4">
        <f>MIN(MAX(L870*(1+MAX(MIN(((B871-B870)/B870)/($K$7*卓尔金历!$N$40),0),-卓尔金历!$M$43))+MIN(MAX(((B871-B870)/B870)/($K$7*卓尔金历!$N$40),0),卓尔金历!$M$43),0),1)</f>
        <v>0.87017873108676769</v>
      </c>
      <c r="M871" s="4">
        <f>MIN(MAX(M870*(1+MAX(MIN(((B871-B870)/B870)/($K$7*30),0),-卓尔金历!$M$43))+MIN(MAX(((B871-B870)/B870)/($K$7*7),0),卓尔金历!$M$43),0),1)</f>
        <v>1</v>
      </c>
      <c r="N871">
        <f t="shared" si="83"/>
        <v>1.0986684298907365</v>
      </c>
      <c r="O871">
        <f t="shared" si="84"/>
        <v>1.1371709343330518</v>
      </c>
      <c r="P871">
        <f t="shared" si="85"/>
        <v>3.7313432835820101E-3</v>
      </c>
      <c r="Q871">
        <f t="shared" si="76"/>
        <v>7.9858166501718918E-3</v>
      </c>
      <c r="R871">
        <f t="shared" si="77"/>
        <v>0.77492467488475303</v>
      </c>
      <c r="S871">
        <f t="shared" si="79"/>
        <v>1.1809154974671892</v>
      </c>
      <c r="T871" s="564">
        <f>IF((I871-MAX(I$470:I871))/MAX(I$470:I871)&gt;T870,T870,(I871-MAX(I$470:I871))/MAX(I$470:I871))</f>
        <v>-0.22786721585231193</v>
      </c>
      <c r="U871" s="564">
        <f>IF((J871-MAX(J$470:J871))/MAX(J$470:J871)&gt;U870,U870,(J871-MAX(J$470:J871))/MAX(J$470:J871))</f>
        <v>-0.40740740740740738</v>
      </c>
      <c r="V871" s="564">
        <f>IF((K871-MAX(K$470:K871))/MAX(K$470:K871)&gt;V870,V870,(K871-MAX(K$470:K871))/MAX(K$470:K871))</f>
        <v>-0.80725522782524772</v>
      </c>
      <c r="W871" s="564">
        <f>IF((N871-MAX(N$470:N871))/MAX(N$470:N871)&gt;W870,W870,(N871-MAX(N$470:N871))/MAX(N$470:N871))</f>
        <v>-0.1897647318309108</v>
      </c>
      <c r="X871" s="564">
        <f>IF((O871-MAX(O$470:O871))/MAX(O$470:O871)&gt;X870,X870,(O871-MAX(O$470:O871))/MAX(O$470:O871))</f>
        <v>-0.20159254550055417</v>
      </c>
    </row>
    <row r="872" spans="1:24">
      <c r="A872" s="799">
        <v>41274</v>
      </c>
      <c r="B872">
        <v>13.51</v>
      </c>
      <c r="C872">
        <v>198.758882</v>
      </c>
      <c r="D872">
        <v>1.804287</v>
      </c>
      <c r="E872">
        <f>LN(D872/参数实验室!$E$53)/参数实验室!$E$55</f>
        <v>3.2813690579248959E-3</v>
      </c>
      <c r="F872">
        <f t="shared" si="78"/>
        <v>14.71198238341969</v>
      </c>
      <c r="G872">
        <f>LN(F872/参数实验室!$E$58)/参数实验室!$E$59</f>
        <v>1.220625248666964</v>
      </c>
      <c r="H872" s="856">
        <f>INDEX(神经网络!$G$10:$BO$70,MATCH(ROUND(G872*2,1)/2,神经网络!$E$10:$E$70,0),MATCH(ROUND(E872*2,1)/2,神经网络!$G$8:$BO$8,0))</f>
        <v>1.6742554976470234</v>
      </c>
      <c r="I872">
        <f t="shared" si="80"/>
        <v>1.1027740685093632</v>
      </c>
      <c r="J872">
        <f t="shared" si="81"/>
        <v>5.3908463349427436</v>
      </c>
      <c r="K872">
        <f t="shared" si="82"/>
        <v>0.20456418157596692</v>
      </c>
      <c r="L872" s="4">
        <f>MIN(MAX(L871*(1+MAX(MIN(((B872-B871)/B871)/($K$7*卓尔金历!$N$40),0),-卓尔金历!$M$43))+MIN(MAX(((B872-B871)/B871)/($K$7*卓尔金历!$N$40),0),卓尔金历!$M$43),0),1)</f>
        <v>0.93833801899065417</v>
      </c>
      <c r="M872" s="4">
        <f>MIN(MAX(M871*(1+MAX(MIN(((B872-B871)/B871)/($K$7*30),0),-卓尔金历!$M$43))+MIN(MAX(((B872-B871)/B871)/($K$7*7),0),卓尔金历!$M$43),0),1)</f>
        <v>1</v>
      </c>
      <c r="N872">
        <f t="shared" si="83"/>
        <v>1.1058088836173441</v>
      </c>
      <c r="O872">
        <f t="shared" si="84"/>
        <v>1.1456642340590215</v>
      </c>
      <c r="P872">
        <f t="shared" si="85"/>
        <v>4.4609665427509668E-3</v>
      </c>
      <c r="Q872">
        <f t="shared" si="76"/>
        <v>8.009060461304578E-3</v>
      </c>
      <c r="R872">
        <f t="shared" si="77"/>
        <v>0.59786718276787054</v>
      </c>
      <c r="S872">
        <f t="shared" si="79"/>
        <v>1.187750347839573</v>
      </c>
      <c r="T872" s="564">
        <f>IF((I872-MAX(I$470:I872))/MAX(I$470:I872)&gt;T871,T871,(I872-MAX(I$470:I872))/MAX(I$470:I872))</f>
        <v>-0.22786721585231193</v>
      </c>
      <c r="U872" s="564">
        <f>IF((J872-MAX(J$470:J872))/MAX(J$470:J872)&gt;U871,U871,(J872-MAX(J$470:J872))/MAX(J$470:J872))</f>
        <v>-0.40740740740740738</v>
      </c>
      <c r="V872" s="564">
        <f>IF((K872-MAX(K$470:K872))/MAX(K$470:K872)&gt;V871,V871,(K872-MAX(K$470:K872))/MAX(K$470:K872))</f>
        <v>-0.80725522782524772</v>
      </c>
      <c r="W872" s="564">
        <f>IF((N872-MAX(N$470:N872))/MAX(N$470:N872)&gt;W871,W871,(N872-MAX(N$470:N872))/MAX(N$470:N872))</f>
        <v>-0.1897647318309108</v>
      </c>
      <c r="X872" s="564">
        <f>IF((O872-MAX(O$470:O872))/MAX(O$470:O872)&gt;X871,X871,(O872-MAX(O$470:O872))/MAX(O$470:O872))</f>
        <v>-0.20159254550055417</v>
      </c>
    </row>
    <row r="873" spans="1:24">
      <c r="A873" s="799">
        <v>41275</v>
      </c>
      <c r="B873">
        <v>13.3041</v>
      </c>
      <c r="C873">
        <v>196.23267300000001</v>
      </c>
      <c r="D873">
        <v>1.775333</v>
      </c>
      <c r="E873">
        <f>LN(D873/参数实验室!$E$53)/参数实验室!$E$55</f>
        <v>-1.580407598711045E-2</v>
      </c>
      <c r="F873">
        <f t="shared" si="78"/>
        <v>14.749789388233703</v>
      </c>
      <c r="G873">
        <f>LN(F873/参数实验室!$E$58)/参数实验室!$E$59</f>
        <v>1.2219722939417335</v>
      </c>
      <c r="H873" s="856">
        <f>INDEX(神经网络!$G$10:$BO$70,MATCH(ROUND(G873*2,1)/2,神经网络!$E$10:$E$70,0),MATCH(ROUND(E873*2,1)/2,神经网络!$G$8:$BO$8,0))</f>
        <v>1.6742554976470234</v>
      </c>
      <c r="I873">
        <f t="shared" si="80"/>
        <v>1.0746350285316153</v>
      </c>
      <c r="J873">
        <f t="shared" si="81"/>
        <v>5.3086868041977615</v>
      </c>
      <c r="K873">
        <f t="shared" si="82"/>
        <v>0.20242954014199224</v>
      </c>
      <c r="L873" s="4">
        <f>MIN(MAX(L872*(1+MAX(MIN(((B873-B872)/B872)/($K$7*卓尔金历!$N$40),0),-卓尔金历!$M$43))+MIN(MAX(((B873-B872)/B872)/($K$7*卓尔金历!$N$40),0),卓尔金历!$M$43),0),1)</f>
        <v>0.71983552962661979</v>
      </c>
      <c r="M873" s="4">
        <f>MIN(MAX(M872*(1+MAX(MIN(((B873-B872)/B872)/($K$7*30),0),-卓尔金历!$M$43))+MIN(MAX(((B873-B872)/B872)/($K$7*7),0),卓尔金历!$M$43),0),1)</f>
        <v>0.88356941478345308</v>
      </c>
      <c r="N873">
        <f t="shared" si="83"/>
        <v>1.0793322894281321</v>
      </c>
      <c r="O873">
        <f t="shared" si="84"/>
        <v>1.1164307830704259</v>
      </c>
      <c r="P873">
        <f t="shared" si="85"/>
        <v>-1.524056254626201E-2</v>
      </c>
      <c r="Q873">
        <f t="shared" si="76"/>
        <v>8.397887810058265E-3</v>
      </c>
      <c r="R873">
        <f t="shared" si="77"/>
        <v>3.235818693290237E-3</v>
      </c>
      <c r="S873">
        <f t="shared" si="79"/>
        <v>1.1696305806666136</v>
      </c>
      <c r="T873" s="564">
        <f>IF((I873-MAX(I$470:I873))/MAX(I$470:I873)&gt;T872,T872,(I873-MAX(I$470:I873))/MAX(I$470:I873))</f>
        <v>-0.22786721585231193</v>
      </c>
      <c r="U873" s="564">
        <f>IF((J873-MAX(J$470:J873))/MAX(J$470:J873)&gt;U872,U872,(J873-MAX(J$470:J873))/MAX(J$470:J873))</f>
        <v>-0.40740740740740738</v>
      </c>
      <c r="V873" s="564">
        <f>IF((K873-MAX(K$470:K873))/MAX(K$470:K873)&gt;V872,V872,(K873-MAX(K$470:K873))/MAX(K$470:K873))</f>
        <v>-0.80725522782524772</v>
      </c>
      <c r="W873" s="564">
        <f>IF((N873-MAX(N$470:N873))/MAX(N$470:N873)&gt;W872,W872,(N873-MAX(N$470:N873))/MAX(N$470:N873))</f>
        <v>-0.1897647318309108</v>
      </c>
      <c r="X873" s="564">
        <f>IF((O873-MAX(O$470:O873))/MAX(O$470:O873)&gt;X872,X872,(O873-MAX(O$470:O873))/MAX(O$470:O873))</f>
        <v>-0.20159254550055417</v>
      </c>
    </row>
    <row r="874" spans="1:24">
      <c r="A874" s="799">
        <v>41276</v>
      </c>
      <c r="B874">
        <v>13.28</v>
      </c>
      <c r="C874">
        <v>195.59948299999999</v>
      </c>
      <c r="D874">
        <v>1.768275</v>
      </c>
      <c r="E874">
        <f>LN(D874/参数实验室!$E$53)/参数实验室!$E$55</f>
        <v>-2.0503641744327585E-2</v>
      </c>
      <c r="F874">
        <f t="shared" si="78"/>
        <v>14.728876731927711</v>
      </c>
      <c r="G874">
        <f>LN(F874/参数实验室!$E$58)/参数实验室!$E$59</f>
        <v>1.2212276134320825</v>
      </c>
      <c r="H874" s="856">
        <f>INDEX(神经网络!$G$10:$BO$70,MATCH(ROUND(G874*2,1)/2,神经网络!$E$10:$E$70,0),MATCH(ROUND(E874*2,1)/2,神经网络!$G$8:$BO$8,0))</f>
        <v>1.6742554976470234</v>
      </c>
      <c r="I874">
        <f t="shared" si="80"/>
        <v>1.0713758040919279</v>
      </c>
      <c r="J874">
        <f t="shared" si="81"/>
        <v>5.2990702685447548</v>
      </c>
      <c r="K874">
        <f t="shared" si="82"/>
        <v>0.20218184507792006</v>
      </c>
      <c r="L874" s="4">
        <f>MIN(MAX(L873*(1+MAX(MIN(((B874-B873)/B873)/($K$7*卓尔金历!$N$40),0),-卓尔金历!$M$43))+MIN(MAX(((B874-B873)/B873)/($K$7*卓尔金历!$N$40),0),卓尔金历!$M$43),0),1)</f>
        <v>0.69991224684545272</v>
      </c>
      <c r="M874" s="4">
        <f>MIN(MAX(M873*(1+MAX(MIN(((B874-B873)/B873)/($K$7*30),0),-卓尔金历!$M$43))+MIN(MAX(((B874-B873)/B873)/($K$7*7),0),卓尔金历!$M$43),0),1)</f>
        <v>0.87134189711934718</v>
      </c>
      <c r="N874">
        <f t="shared" si="83"/>
        <v>1.0769759289819696</v>
      </c>
      <c r="O874">
        <f t="shared" si="84"/>
        <v>1.1134390299514325</v>
      </c>
      <c r="P874">
        <f t="shared" si="85"/>
        <v>-1.8114716515961753E-3</v>
      </c>
      <c r="Q874">
        <f t="shared" si="76"/>
        <v>8.0071812775616546E-3</v>
      </c>
      <c r="R874">
        <f t="shared" si="77"/>
        <v>1</v>
      </c>
      <c r="S874">
        <f t="shared" si="79"/>
        <v>1.1696191021393552</v>
      </c>
      <c r="T874" s="564">
        <f>IF((I874-MAX(I$470:I874))/MAX(I$470:I874)&gt;T873,T873,(I874-MAX(I$470:I874))/MAX(I$470:I874))</f>
        <v>-0.22786721585231193</v>
      </c>
      <c r="U874" s="564">
        <f>IF((J874-MAX(J$470:J874))/MAX(J$470:J874)&gt;U873,U873,(J874-MAX(J$470:J874))/MAX(J$470:J874))</f>
        <v>-0.40740740740740738</v>
      </c>
      <c r="V874" s="564">
        <f>IF((K874-MAX(K$470:K874))/MAX(K$470:K874)&gt;V873,V873,(K874-MAX(K$470:K874))/MAX(K$470:K874))</f>
        <v>-0.80725522782524772</v>
      </c>
      <c r="W874" s="564">
        <f>IF((N874-MAX(N$470:N874))/MAX(N$470:N874)&gt;W873,W873,(N874-MAX(N$470:N874))/MAX(N$470:N874))</f>
        <v>-0.1897647318309108</v>
      </c>
      <c r="X874" s="564">
        <f>IF((O874-MAX(O$470:O874))/MAX(O$470:O874)&gt;X873,X873,(O874-MAX(O$470:O874))/MAX(O$470:O874))</f>
        <v>-0.20159254550055417</v>
      </c>
    </row>
    <row r="875" spans="1:24">
      <c r="A875" s="799">
        <v>41277</v>
      </c>
      <c r="B875">
        <v>13.3979</v>
      </c>
      <c r="C875">
        <v>188.80412200000001</v>
      </c>
      <c r="D875">
        <v>1.7803770000000001</v>
      </c>
      <c r="E875">
        <f>LN(D875/参数实验室!$E$53)/参数实验室!$E$55</f>
        <v>-1.2456964240562344E-2</v>
      </c>
      <c r="F875">
        <f t="shared" si="78"/>
        <v>14.092068309212639</v>
      </c>
      <c r="G875">
        <f>LN(F875/参数实验室!$E$58)/参数实验室!$E$59</f>
        <v>1.1980301865734153</v>
      </c>
      <c r="H875" s="856">
        <f>INDEX(神经网络!$G$10:$BO$70,MATCH(ROUND(G875*2,1)/2,神经网络!$E$10:$E$70,0),MATCH(ROUND(E875*2,1)/2,神经网络!$G$8:$BO$8,0))</f>
        <v>1.6742554976470234</v>
      </c>
      <c r="I875">
        <f t="shared" si="80"/>
        <v>1.0873007988406125</v>
      </c>
      <c r="J875">
        <f t="shared" si="81"/>
        <v>5.3461154782331155</v>
      </c>
      <c r="K875">
        <f t="shared" si="82"/>
        <v>0.20338146515308048</v>
      </c>
      <c r="L875" s="4">
        <f>MIN(MAX(L874*(1+MAX(MIN(((B875-B874)/B874)/($K$7*卓尔金历!$N$40),0),-卓尔金历!$M$43))+MIN(MAX(((B875-B874)/B874)/($K$7*卓尔金历!$N$40),0),卓尔金历!$M$43),0),1)</f>
        <v>0.83555975135100891</v>
      </c>
      <c r="M875" s="4">
        <f>MIN(MAX(M874*(1+MAX(MIN(((B875-B874)/B874)/($K$7*30),0),-卓尔金历!$M$43))+MIN(MAX(((B875-B874)/B874)/($K$7*7),0),卓尔金历!$M$43),0),1)</f>
        <v>1</v>
      </c>
      <c r="N875">
        <f t="shared" si="83"/>
        <v>1.088180288949441</v>
      </c>
      <c r="O875">
        <f t="shared" si="84"/>
        <v>1.127859934471994</v>
      </c>
      <c r="P875">
        <f t="shared" si="85"/>
        <v>8.8780120481928137E-3</v>
      </c>
      <c r="Q875">
        <f t="shared" si="76"/>
        <v>8.3007881286708309E-3</v>
      </c>
      <c r="R875">
        <f t="shared" si="77"/>
        <v>7.4688809168822869E-3</v>
      </c>
      <c r="S875">
        <f t="shared" si="79"/>
        <v>1.1870043912119579</v>
      </c>
      <c r="T875" s="564">
        <f>IF((I875-MAX(I$470:I875))/MAX(I$470:I875)&gt;T874,T874,(I875-MAX(I$470:I875))/MAX(I$470:I875))</f>
        <v>-0.22786721585231193</v>
      </c>
      <c r="U875" s="564">
        <f>IF((J875-MAX(J$470:J875))/MAX(J$470:J875)&gt;U874,U874,(J875-MAX(J$470:J875))/MAX(J$470:J875))</f>
        <v>-0.40740740740740738</v>
      </c>
      <c r="V875" s="564">
        <f>IF((K875-MAX(K$470:K875))/MAX(K$470:K875)&gt;V874,V874,(K875-MAX(K$470:K875))/MAX(K$470:K875))</f>
        <v>-0.80725522782524772</v>
      </c>
      <c r="W875" s="564">
        <f>IF((N875-MAX(N$470:N875))/MAX(N$470:N875)&gt;W874,W874,(N875-MAX(N$470:N875))/MAX(N$470:N875))</f>
        <v>-0.1897647318309108</v>
      </c>
      <c r="X875" s="564">
        <f>IF((O875-MAX(O$470:O875))/MAX(O$470:O875)&gt;X874,X874,(O875-MAX(O$470:O875))/MAX(O$470:O875))</f>
        <v>-0.20159254550055417</v>
      </c>
    </row>
    <row r="876" spans="1:24">
      <c r="A876" s="799">
        <v>41278</v>
      </c>
      <c r="B876">
        <v>13.5</v>
      </c>
      <c r="C876">
        <v>184.826787</v>
      </c>
      <c r="D876">
        <v>1.7867040000000001</v>
      </c>
      <c r="E876">
        <f>LN(D876/参数实验室!$E$53)/参数实验室!$E$55</f>
        <v>-8.2718579296114005E-3</v>
      </c>
      <c r="F876">
        <f t="shared" si="78"/>
        <v>13.690873111111111</v>
      </c>
      <c r="G876">
        <f>LN(F876/参数实验室!$E$58)/参数实验室!$E$59</f>
        <v>1.1828709882276658</v>
      </c>
      <c r="H876" s="856">
        <f>INDEX(神经网络!$G$10:$BO$70,MATCH(ROUND(G876*2,1)/2,神经网络!$E$10:$E$70,0),MATCH(ROUND(E876*2,1)/2,神经网络!$G$8:$BO$8,0))</f>
        <v>1.6742554976470234</v>
      </c>
      <c r="I876">
        <f t="shared" si="80"/>
        <v>1.1011734814714431</v>
      </c>
      <c r="J876">
        <f t="shared" si="81"/>
        <v>5.38685607118631</v>
      </c>
      <c r="K876">
        <f t="shared" si="82"/>
        <v>0.20441858236411714</v>
      </c>
      <c r="L876" s="4">
        <f>MIN(MAX(L875*(1+MAX(MIN(((B876-B875)/B875)/($K$7*卓尔金历!$N$40),0),-卓尔金历!$M$43))+MIN(MAX(((B876-B875)/B875)/($K$7*卓尔金历!$N$40),0),卓尔金历!$M$43),0),1)</f>
        <v>0.95199516450975263</v>
      </c>
      <c r="M876" s="4">
        <f>MIN(MAX(M875*(1+MAX(MIN(((B876-B875)/B875)/($K$7*30),0),-卓尔金历!$M$43))+MIN(MAX(((B876-B875)/B875)/($K$7*7),0),卓尔金历!$M$43),0),1)</f>
        <v>1</v>
      </c>
      <c r="N876">
        <f t="shared" si="83"/>
        <v>1.0997811202339314</v>
      </c>
      <c r="O876">
        <f t="shared" si="84"/>
        <v>1.142250104091701</v>
      </c>
      <c r="P876">
        <f t="shared" si="85"/>
        <v>7.6205972577792101E-3</v>
      </c>
      <c r="Q876">
        <f t="shared" ref="Q876:Q939" si="86">STDEVP(P856:P876)</f>
        <v>8.3714655795390433E-3</v>
      </c>
      <c r="R876">
        <f t="shared" ref="R876:R939" si="87">MIN(Q875*MAX(1-LN(MAX(ABS(P876),0.0001)/Q876),0)+MAX(-LN(MAX(ABS(P876),0.0001)/Q876),0),1)</f>
        <v>0.10305506959877669</v>
      </c>
      <c r="S876">
        <f t="shared" si="79"/>
        <v>1.1871175057964511</v>
      </c>
      <c r="T876" s="564">
        <f>IF((I876-MAX(I$470:I876))/MAX(I$470:I876)&gt;T875,T875,(I876-MAX(I$470:I876))/MAX(I$470:I876))</f>
        <v>-0.22786721585231193</v>
      </c>
      <c r="U876" s="564">
        <f>IF((J876-MAX(J$470:J876))/MAX(J$470:J876)&gt;U875,U875,(J876-MAX(J$470:J876))/MAX(J$470:J876))</f>
        <v>-0.40740740740740738</v>
      </c>
      <c r="V876" s="564">
        <f>IF((K876-MAX(K$470:K876))/MAX(K$470:K876)&gt;V875,V875,(K876-MAX(K$470:K876))/MAX(K$470:K876))</f>
        <v>-0.80725522782524772</v>
      </c>
      <c r="W876" s="564">
        <f>IF((N876-MAX(N$470:N876))/MAX(N$470:N876)&gt;W875,W875,(N876-MAX(N$470:N876))/MAX(N$470:N876))</f>
        <v>-0.1897647318309108</v>
      </c>
      <c r="X876" s="564">
        <f>IF((O876-MAX(O$470:O876))/MAX(O$470:O876)&gt;X875,X875,(O876-MAX(O$470:O876))/MAX(O$470:O876))</f>
        <v>-0.20159254550055417</v>
      </c>
    </row>
    <row r="877" spans="1:24">
      <c r="A877" s="799">
        <v>41279</v>
      </c>
      <c r="B877">
        <v>13.44</v>
      </c>
      <c r="C877">
        <v>184.49610200000001</v>
      </c>
      <c r="D877">
        <v>1.7864139999999999</v>
      </c>
      <c r="E877">
        <f>LN(D877/参数实验室!$E$53)/参数实验室!$E$55</f>
        <v>-8.4633592690596428E-3</v>
      </c>
      <c r="F877">
        <f t="shared" si="78"/>
        <v>13.727388541666668</v>
      </c>
      <c r="G877">
        <f>LN(F877/参数实验室!$E$58)/参数实验室!$E$59</f>
        <v>1.1842689822314891</v>
      </c>
      <c r="H877" s="856">
        <f>INDEX(神经网络!$G$10:$BO$70,MATCH(ROUND(G877*2,1)/2,神经网络!$E$10:$E$70,0),MATCH(ROUND(E877*2,1)/2,神经网络!$G$8:$BO$8,0))</f>
        <v>1.6742554976470234</v>
      </c>
      <c r="I877">
        <f t="shared" si="80"/>
        <v>1.0929795003371467</v>
      </c>
      <c r="J877">
        <f t="shared" si="81"/>
        <v>5.3629144886477036</v>
      </c>
      <c r="K877">
        <f t="shared" si="82"/>
        <v>0.20380326828831261</v>
      </c>
      <c r="L877" s="4">
        <f>MIN(MAX(L876*(1+MAX(MIN(((B877-B876)/B876)/($K$7*卓尔金历!$N$40),0),-卓尔金历!$M$43))+MIN(MAX(((B877-B876)/B876)/($K$7*卓尔金历!$N$40),0),卓尔金历!$M$43),0),1)</f>
        <v>0.88734817538845767</v>
      </c>
      <c r="M877" s="4">
        <f>MIN(MAX(M876*(1+MAX(MIN(((B877-B876)/B876)/($K$7*30),0),-卓尔金历!$M$43))+MIN(MAX(((B877-B876)/B876)/($K$7*7),0),卓尔金历!$M$43),0),1)</f>
        <v>0.96604657695158247</v>
      </c>
      <c r="N877">
        <f t="shared" si="83"/>
        <v>1.0919903531986563</v>
      </c>
      <c r="O877">
        <f t="shared" si="84"/>
        <v>1.1337504662407525</v>
      </c>
      <c r="P877">
        <f t="shared" si="85"/>
        <v>-4.4444444444444809E-3</v>
      </c>
      <c r="Q877">
        <f t="shared" si="86"/>
        <v>8.2457325501122131E-3</v>
      </c>
      <c r="R877">
        <f t="shared" si="87"/>
        <v>0.63158629698116264</v>
      </c>
      <c r="S877">
        <f t="shared" si="79"/>
        <v>1.1862071686053608</v>
      </c>
      <c r="T877" s="564">
        <f>IF((I877-MAX(I$470:I877))/MAX(I$470:I877)&gt;T876,T876,(I877-MAX(I$470:I877))/MAX(I$470:I877))</f>
        <v>-0.22786721585231193</v>
      </c>
      <c r="U877" s="564">
        <f>IF((J877-MAX(J$470:J877))/MAX(J$470:J877)&gt;U876,U876,(J877-MAX(J$470:J877))/MAX(J$470:J877))</f>
        <v>-0.40740740740740738</v>
      </c>
      <c r="V877" s="564">
        <f>IF((K877-MAX(K$470:K877))/MAX(K$470:K877)&gt;V876,V876,(K877-MAX(K$470:K877))/MAX(K$470:K877))</f>
        <v>-0.80725522782524772</v>
      </c>
      <c r="W877" s="564">
        <f>IF((N877-MAX(N$470:N877))/MAX(N$470:N877)&gt;W876,W876,(N877-MAX(N$470:N877))/MAX(N$470:N877))</f>
        <v>-0.1897647318309108</v>
      </c>
      <c r="X877" s="564">
        <f>IF((O877-MAX(O$470:O877))/MAX(O$470:O877)&gt;X876,X876,(O877-MAX(O$470:O877))/MAX(O$470:O877))</f>
        <v>-0.20159254550055417</v>
      </c>
    </row>
    <row r="878" spans="1:24">
      <c r="A878" s="799">
        <v>41280</v>
      </c>
      <c r="B878">
        <v>13.454000000000001</v>
      </c>
      <c r="C878">
        <v>182.58752000000001</v>
      </c>
      <c r="D878">
        <v>1.791123</v>
      </c>
      <c r="E878">
        <f>LN(D878/参数实验室!$E$53)/参数实验室!$E$55</f>
        <v>-5.3576129221941703E-3</v>
      </c>
      <c r="F878">
        <f t="shared" si="78"/>
        <v>13.571244239631337</v>
      </c>
      <c r="G878">
        <f>LN(F878/参数实验室!$E$58)/参数实验室!$E$59</f>
        <v>1.1782647355978115</v>
      </c>
      <c r="H878" s="856">
        <f>INDEX(神经网络!$G$10:$BO$70,MATCH(ROUND(G878*2,1)/2,神经网络!$E$10:$E$70,0),MATCH(ROUND(E878*2,1)/2,神经网络!$G$8:$BO$8,0))</f>
        <v>1.6742554976470234</v>
      </c>
      <c r="I878">
        <f t="shared" si="80"/>
        <v>1.0948856742301207</v>
      </c>
      <c r="J878">
        <f t="shared" si="81"/>
        <v>5.3685008579067128</v>
      </c>
      <c r="K878">
        <f t="shared" si="82"/>
        <v>0.20394626045697212</v>
      </c>
      <c r="L878" s="4">
        <f>MIN(MAX(L877*(1+MAX(MIN(((B878-B877)/B877)/($K$7*卓尔金历!$N$40),0),-卓尔金历!$M$43))+MIN(MAX(((B878-B877)/B877)/($K$7*卓尔金历!$N$40),0),卓尔金历!$M$43),0),1)</f>
        <v>0.90326384244240454</v>
      </c>
      <c r="M878" s="4">
        <f>MIN(MAX(M877*(1+MAX(MIN(((B878-B877)/B877)/($K$7*30),0),-卓尔金历!$M$43))+MIN(MAX(((B878-B877)/B877)/($K$7*7),0),卓尔金历!$M$43),0),1)</f>
        <v>1</v>
      </c>
      <c r="N878">
        <f t="shared" si="83"/>
        <v>1.0936802623703581</v>
      </c>
      <c r="O878">
        <f t="shared" si="84"/>
        <v>1.1356606099621438</v>
      </c>
      <c r="P878">
        <f t="shared" si="85"/>
        <v>1.0416666666667501E-3</v>
      </c>
      <c r="Q878">
        <f t="shared" si="86"/>
        <v>7.6337917756381614E-3</v>
      </c>
      <c r="R878">
        <f t="shared" si="87"/>
        <v>1</v>
      </c>
      <c r="S878">
        <f t="shared" si="79"/>
        <v>1.1875137718845745</v>
      </c>
      <c r="T878" s="564">
        <f>IF((I878-MAX(I$470:I878))/MAX(I$470:I878)&gt;T877,T877,(I878-MAX(I$470:I878))/MAX(I$470:I878))</f>
        <v>-0.22786721585231193</v>
      </c>
      <c r="U878" s="564">
        <f>IF((J878-MAX(J$470:J878))/MAX(J$470:J878)&gt;U877,U877,(J878-MAX(J$470:J878))/MAX(J$470:J878))</f>
        <v>-0.40740740740740738</v>
      </c>
      <c r="V878" s="564">
        <f>IF((K878-MAX(K$470:K878))/MAX(K$470:K878)&gt;V877,V877,(K878-MAX(K$470:K878))/MAX(K$470:K878))</f>
        <v>-0.80725522782524772</v>
      </c>
      <c r="W878" s="564">
        <f>IF((N878-MAX(N$470:N878))/MAX(N$470:N878)&gt;W877,W877,(N878-MAX(N$470:N878))/MAX(N$470:N878))</f>
        <v>-0.1897647318309108</v>
      </c>
      <c r="X878" s="564">
        <f>IF((O878-MAX(O$470:O878))/MAX(O$470:O878)&gt;X877,X877,(O878-MAX(O$470:O878))/MAX(O$470:O878))</f>
        <v>-0.20159254550055417</v>
      </c>
    </row>
    <row r="879" spans="1:24">
      <c r="A879" s="799">
        <v>41281</v>
      </c>
      <c r="B879">
        <v>13.5876</v>
      </c>
      <c r="C879">
        <v>178.938402</v>
      </c>
      <c r="D879">
        <v>1.7960910000000001</v>
      </c>
      <c r="E879">
        <f>LN(D879/参数实验室!$E$53)/参数实验室!$E$55</f>
        <v>-2.0898860103344252E-3</v>
      </c>
      <c r="F879">
        <f t="shared" si="78"/>
        <v>13.169242691866113</v>
      </c>
      <c r="G879">
        <f>LN(F879/参数实验室!$E$58)/参数实验室!$E$59</f>
        <v>1.1624828214229495</v>
      </c>
      <c r="H879" s="856">
        <f>INDEX(神经网络!$G$10:$BO$70,MATCH(ROUND(G879*2,1)/2,神经网络!$E$10:$E$70,0),MATCH(ROUND(E879*2,1)/2,神经网络!$G$8:$BO$8,0))</f>
        <v>1.6690934322090294</v>
      </c>
      <c r="I879">
        <f t="shared" si="80"/>
        <v>1.1130887820651485</v>
      </c>
      <c r="J879">
        <f t="shared" si="81"/>
        <v>5.4218107816926748</v>
      </c>
      <c r="K879">
        <f t="shared" si="82"/>
        <v>0.20529834530994923</v>
      </c>
      <c r="L879" s="4">
        <f>MIN(MAX(L878*(1+MAX(MIN(((B879-B878)/B878)/($K$7*卓尔金历!$N$40),0),-卓尔金历!$M$43))+MIN(MAX(((B879-B878)/B878)/($K$7*卓尔金历!$N$40),0),卓尔金历!$M$43),0),1)</f>
        <v>1</v>
      </c>
      <c r="M879" s="4">
        <f>MIN(MAX(M878*(1+MAX(MIN(((B879-B878)/B878)/($K$7*30),0),-卓尔金历!$M$43))+MIN(MAX(((B879-B878)/B878)/($K$7*7),0),卓尔金历!$M$43),0),1)</f>
        <v>1</v>
      </c>
      <c r="N879">
        <f t="shared" si="83"/>
        <v>1.1101043694855728</v>
      </c>
      <c r="O879">
        <f t="shared" si="84"/>
        <v>1.154541624696098</v>
      </c>
      <c r="P879">
        <f t="shared" si="85"/>
        <v>9.9301323026608802E-3</v>
      </c>
      <c r="Q879">
        <f t="shared" si="86"/>
        <v>7.8181341366001054E-3</v>
      </c>
      <c r="R879">
        <f t="shared" si="87"/>
        <v>5.8083393558655662E-3</v>
      </c>
      <c r="S879">
        <f t="shared" si="79"/>
        <v>1.2072568754377335</v>
      </c>
      <c r="T879" s="564">
        <f>IF((I879-MAX(I$470:I879))/MAX(I$470:I879)&gt;T878,T878,(I879-MAX(I$470:I879))/MAX(I$470:I879))</f>
        <v>-0.22786721585231193</v>
      </c>
      <c r="U879" s="564">
        <f>IF((J879-MAX(J$470:J879))/MAX(J$470:J879)&gt;U878,U878,(J879-MAX(J$470:J879))/MAX(J$470:J879))</f>
        <v>-0.40740740740740738</v>
      </c>
      <c r="V879" s="564">
        <f>IF((K879-MAX(K$470:K879))/MAX(K$470:K879)&gt;V878,V878,(K879-MAX(K$470:K879))/MAX(K$470:K879))</f>
        <v>-0.80725522782524772</v>
      </c>
      <c r="W879" s="564">
        <f>IF((N879-MAX(N$470:N879))/MAX(N$470:N879)&gt;W878,W878,(N879-MAX(N$470:N879))/MAX(N$470:N879))</f>
        <v>-0.1897647318309108</v>
      </c>
      <c r="X879" s="564">
        <f>IF((O879-MAX(O$470:O879))/MAX(O$470:O879)&gt;X878,X878,(O879-MAX(O$470:O879))/MAX(O$470:O879))</f>
        <v>-0.20159254550055417</v>
      </c>
    </row>
    <row r="880" spans="1:24">
      <c r="A880" s="799">
        <v>41282</v>
      </c>
      <c r="B880">
        <v>13.742800000000001</v>
      </c>
      <c r="C880">
        <v>178.23138900000001</v>
      </c>
      <c r="D880">
        <v>1.8206500000000001</v>
      </c>
      <c r="E880">
        <f>LN(D880/参数实验室!$E$53)/参数实验室!$E$55</f>
        <v>1.3932276066435389E-2</v>
      </c>
      <c r="F880">
        <f t="shared" si="78"/>
        <v>12.969073915068254</v>
      </c>
      <c r="G880">
        <f>LN(F880/参数实验室!$E$58)/参数实验室!$E$59</f>
        <v>1.1544439375713418</v>
      </c>
      <c r="H880" s="856">
        <f>INDEX(神经网络!$G$10:$BO$70,MATCH(ROUND(G880*2,1)/2,神经网络!$E$10:$E$70,0),MATCH(ROUND(E880*2,1)/2,神经网络!$G$8:$BO$8,0))</f>
        <v>1.6690934322090294</v>
      </c>
      <c r="I880">
        <f t="shared" si="80"/>
        <v>1.1343094679886927</v>
      </c>
      <c r="J880">
        <f t="shared" si="81"/>
        <v>5.4837396751925356</v>
      </c>
      <c r="K880">
        <f t="shared" si="82"/>
        <v>0.20684961999930582</v>
      </c>
      <c r="L880" s="4">
        <f>MIN(MAX(L879*(1+MAX(MIN(((B880-B879)/B879)/($K$7*卓尔金历!$N$40),0),-卓尔金历!$M$43))+MIN(MAX(((B880-B879)/B879)/($K$7*卓尔金历!$N$40),0),卓尔金历!$M$43),0),1)</f>
        <v>1</v>
      </c>
      <c r="M880" s="4">
        <f>MIN(MAX(M879*(1+MAX(MIN(((B880-B879)/B879)/($K$7*30),0),-卓尔金历!$M$43))+MIN(MAX(((B880-B879)/B879)/($K$7*7),0),卓尔金历!$M$43),0),1)</f>
        <v>1</v>
      </c>
      <c r="N880">
        <f t="shared" si="83"/>
        <v>1.1312681585262827</v>
      </c>
      <c r="O880">
        <f t="shared" si="84"/>
        <v>1.1765525959664027</v>
      </c>
      <c r="P880">
        <f t="shared" si="85"/>
        <v>1.142217904560045E-2</v>
      </c>
      <c r="Q880">
        <f t="shared" si="86"/>
        <v>8.1022756336650813E-3</v>
      </c>
      <c r="R880">
        <f t="shared" si="87"/>
        <v>5.1332928143229574E-3</v>
      </c>
      <c r="S880">
        <f t="shared" si="79"/>
        <v>1.2073905600071457</v>
      </c>
      <c r="T880" s="564">
        <f>IF((I880-MAX(I$470:I880))/MAX(I$470:I880)&gt;T879,T879,(I880-MAX(I$470:I880))/MAX(I$470:I880))</f>
        <v>-0.22786721585231193</v>
      </c>
      <c r="U880" s="564">
        <f>IF((J880-MAX(J$470:J880))/MAX(J$470:J880)&gt;U879,U879,(J880-MAX(J$470:J880))/MAX(J$470:J880))</f>
        <v>-0.40740740740740738</v>
      </c>
      <c r="V880" s="564">
        <f>IF((K880-MAX(K$470:K880))/MAX(K$470:K880)&gt;V879,V879,(K880-MAX(K$470:K880))/MAX(K$470:K880))</f>
        <v>-0.80725522782524772</v>
      </c>
      <c r="W880" s="564">
        <f>IF((N880-MAX(N$470:N880))/MAX(N$470:N880)&gt;W879,W879,(N880-MAX(N$470:N880))/MAX(N$470:N880))</f>
        <v>-0.1897647318309108</v>
      </c>
      <c r="X880" s="564">
        <f>IF((O880-MAX(O$470:O880))/MAX(O$470:O880)&gt;X879,X879,(O880-MAX(O$470:O880))/MAX(O$470:O880))</f>
        <v>-0.20159254550055417</v>
      </c>
    </row>
    <row r="881" spans="1:24">
      <c r="A881" s="799">
        <v>41283</v>
      </c>
      <c r="B881">
        <v>13.77</v>
      </c>
      <c r="C881">
        <v>180.07503500000001</v>
      </c>
      <c r="D881">
        <v>1.823785</v>
      </c>
      <c r="E881">
        <f>LN(D881/参数实验室!$E$53)/参数实验室!$E$55</f>
        <v>1.5961960959770358E-2</v>
      </c>
      <c r="F881">
        <f t="shared" si="78"/>
        <v>13.077344589687728</v>
      </c>
      <c r="G881">
        <f>LN(F881/参数实验室!$E$58)/参数实验室!$E$59</f>
        <v>1.1588074264418051</v>
      </c>
      <c r="H881" s="856">
        <f>INDEX(神经网络!$G$10:$BO$70,MATCH(ROUND(G881*2,1)/2,神经网络!$E$10:$E$70,0),MATCH(ROUND(E881*2,1)/2,神经网络!$G$8:$BO$8,0))</f>
        <v>1.6690934322090294</v>
      </c>
      <c r="I881">
        <f t="shared" si="80"/>
        <v>1.1380566594446302</v>
      </c>
      <c r="J881">
        <f t="shared" si="81"/>
        <v>5.4945931926100364</v>
      </c>
      <c r="K881">
        <f t="shared" si="82"/>
        <v>0.20712300611722478</v>
      </c>
      <c r="L881" s="4">
        <f>MIN(MAX(L880*(1+MAX(MIN(((B881-B880)/B880)/($K$7*卓尔金历!$N$40),0),-卓尔金历!$M$43))+MIN(MAX(((B881-B880)/B880)/($K$7*卓尔金历!$N$40),0),卓尔金历!$M$43),0),1)</f>
        <v>1</v>
      </c>
      <c r="M881" s="4">
        <f>MIN(MAX(M880*(1+MAX(MIN(((B881-B880)/B880)/($K$7*30),0),-卓尔金历!$M$43))+MIN(MAX(((B881-B880)/B880)/($K$7*7),0),卓尔金历!$M$43),0),1)</f>
        <v>1</v>
      </c>
      <c r="N881">
        <f t="shared" si="83"/>
        <v>1.1350053030160667</v>
      </c>
      <c r="O881">
        <f t="shared" si="84"/>
        <v>1.1804393376003977</v>
      </c>
      <c r="P881">
        <f t="shared" si="85"/>
        <v>1.9792182088074323E-3</v>
      </c>
      <c r="Q881">
        <f t="shared" si="86"/>
        <v>6.6159986344459642E-3</v>
      </c>
      <c r="R881">
        <f t="shared" si="87"/>
        <v>1</v>
      </c>
      <c r="S881">
        <f t="shared" si="79"/>
        <v>1.207411034735103</v>
      </c>
      <c r="T881" s="564">
        <f>IF((I881-MAX(I$470:I881))/MAX(I$470:I881)&gt;T880,T880,(I881-MAX(I$470:I881))/MAX(I$470:I881))</f>
        <v>-0.22786721585231193</v>
      </c>
      <c r="U881" s="564">
        <f>IF((J881-MAX(J$470:J881))/MAX(J$470:J881)&gt;U880,U880,(J881-MAX(J$470:J881))/MAX(J$470:J881))</f>
        <v>-0.40740740740740738</v>
      </c>
      <c r="V881" s="564">
        <f>IF((K881-MAX(K$470:K881))/MAX(K$470:K881)&gt;V880,V880,(K881-MAX(K$470:K881))/MAX(K$470:K881))</f>
        <v>-0.80725522782524772</v>
      </c>
      <c r="W881" s="564">
        <f>IF((N881-MAX(N$470:N881))/MAX(N$470:N881)&gt;W880,W880,(N881-MAX(N$470:N881))/MAX(N$470:N881))</f>
        <v>-0.1897647318309108</v>
      </c>
      <c r="X881" s="564">
        <f>IF((O881-MAX(O$470:O881))/MAX(O$470:O881)&gt;X880,X880,(O881-MAX(O$470:O881))/MAX(O$470:O881))</f>
        <v>-0.20159254550055417</v>
      </c>
    </row>
    <row r="882" spans="1:24">
      <c r="A882" s="799">
        <v>41284</v>
      </c>
      <c r="B882">
        <v>14.14</v>
      </c>
      <c r="C882">
        <v>179.894768</v>
      </c>
      <c r="D882">
        <v>1.8573090000000001</v>
      </c>
      <c r="E882">
        <f>LN(D882/参数实验室!$E$53)/参数实验室!$E$55</f>
        <v>3.745075815797351E-2</v>
      </c>
      <c r="F882">
        <f t="shared" si="78"/>
        <v>12.722402263083451</v>
      </c>
      <c r="G882">
        <f>LN(F882/参数实验室!$E$58)/参数实验室!$E$59</f>
        <v>1.1443650622685473</v>
      </c>
      <c r="H882" s="856">
        <f>INDEX(神经网络!$G$10:$BO$70,MATCH(ROUND(G882*2,1)/2,神经网络!$E$10:$E$70,0),MATCH(ROUND(E882*2,1)/2,神经网络!$G$8:$BO$8,0))</f>
        <v>1.759308155329887</v>
      </c>
      <c r="I882">
        <f t="shared" si="80"/>
        <v>1.1890968534483695</v>
      </c>
      <c r="J882">
        <f t="shared" si="81"/>
        <v>5.642232951598106</v>
      </c>
      <c r="K882">
        <f t="shared" si="82"/>
        <v>0.21074933694674369</v>
      </c>
      <c r="L882" s="4">
        <f>MIN(MAX(L881*(1+MAX(MIN(((B882-B881)/B881)/($K$7*卓尔金历!$N$40),0),-卓尔金历!$M$43))+MIN(MAX(((B882-B881)/B881)/($K$7*卓尔金历!$N$40),0),卓尔金历!$M$43),0),1)</f>
        <v>1</v>
      </c>
      <c r="M882" s="4">
        <f>MIN(MAX(M881*(1+MAX(MIN(((B882-B881)/B881)/($K$7*30),0),-卓尔金历!$M$43))+MIN(MAX(((B882-B881)/B881)/($K$7*7),0),卓尔金历!$M$43),0),1)</f>
        <v>1</v>
      </c>
      <c r="N882">
        <f t="shared" si="83"/>
        <v>1.1859086481003818</v>
      </c>
      <c r="O882">
        <f t="shared" si="84"/>
        <v>1.2333803333766287</v>
      </c>
      <c r="P882">
        <f t="shared" si="85"/>
        <v>2.6870007262164198E-2</v>
      </c>
      <c r="Q882">
        <f t="shared" si="86"/>
        <v>8.5120133656227011E-3</v>
      </c>
      <c r="R882">
        <f t="shared" si="87"/>
        <v>0</v>
      </c>
      <c r="S882">
        <f t="shared" si="79"/>
        <v>1.2615616720901965</v>
      </c>
      <c r="T882" s="564">
        <f>IF((I882-MAX(I$470:I882))/MAX(I$470:I882)&gt;T881,T881,(I882-MAX(I$470:I882))/MAX(I$470:I882))</f>
        <v>-0.22786721585231193</v>
      </c>
      <c r="U882" s="564">
        <f>IF((J882-MAX(J$470:J882))/MAX(J$470:J882)&gt;U881,U881,(J882-MAX(J$470:J882))/MAX(J$470:J882))</f>
        <v>-0.40740740740740738</v>
      </c>
      <c r="V882" s="564">
        <f>IF((K882-MAX(K$470:K882))/MAX(K$470:K882)&gt;V881,V881,(K882-MAX(K$470:K882))/MAX(K$470:K882))</f>
        <v>-0.80725522782524772</v>
      </c>
      <c r="W882" s="564">
        <f>IF((N882-MAX(N$470:N882))/MAX(N$470:N882)&gt;W881,W881,(N882-MAX(N$470:N882))/MAX(N$470:N882))</f>
        <v>-0.1897647318309108</v>
      </c>
      <c r="X882" s="564">
        <f>IF((O882-MAX(O$470:O882))/MAX(O$470:O882)&gt;X881,X881,(O882-MAX(O$470:O882))/MAX(O$470:O882))</f>
        <v>-0.20159254550055417</v>
      </c>
    </row>
    <row r="883" spans="1:24">
      <c r="A883" s="799">
        <v>41285</v>
      </c>
      <c r="B883">
        <v>14.137</v>
      </c>
      <c r="C883">
        <v>181.74116699999999</v>
      </c>
      <c r="D883">
        <v>1.8667609999999999</v>
      </c>
      <c r="E883">
        <f>LN(D883/参数实验室!$E$53)/参数实验室!$E$55</f>
        <v>4.3439395109801368E-2</v>
      </c>
      <c r="F883">
        <f t="shared" si="78"/>
        <v>12.855709627219353</v>
      </c>
      <c r="G883">
        <f>LN(F883/参数实验室!$E$58)/参数实验室!$E$59</f>
        <v>1.1498359541658096</v>
      </c>
      <c r="H883" s="856">
        <f>INDEX(神经网络!$G$10:$BO$70,MATCH(ROUND(G883*2,1)/2,神经网络!$E$10:$E$70,0),MATCH(ROUND(E883*2,1)/2,神经网络!$G$8:$BO$8,0))</f>
        <v>1.759308155329887</v>
      </c>
      <c r="I883">
        <f t="shared" si="80"/>
        <v>1.1886530087966547</v>
      </c>
      <c r="J883">
        <f t="shared" si="81"/>
        <v>5.6410358724711749</v>
      </c>
      <c r="K883">
        <f t="shared" si="82"/>
        <v>0.21071537846398061</v>
      </c>
      <c r="L883" s="4">
        <f>MIN(MAX(L882*(1+MAX(MIN(((B883-B882)/B882)/($K$7*卓尔金历!$N$40),0),-卓尔金历!$M$43))+MIN(MAX(((B883-B882)/B882)/($K$7*卓尔金历!$N$40),0),卓尔金历!$M$43),0),1)</f>
        <v>0.99675833655478319</v>
      </c>
      <c r="M883" s="4">
        <f>MIN(MAX(M882*(1+MAX(MIN(((B883-B882)/B882)/($K$7*30),0),-卓尔金历!$M$43))+MIN(MAX(((B883-B882)/B882)/($K$7*7),0),卓尔金历!$M$43),0),1)</f>
        <v>0.99837916827739159</v>
      </c>
      <c r="N883">
        <f t="shared" si="83"/>
        <v>1.1854659934845233</v>
      </c>
      <c r="O883">
        <f t="shared" si="84"/>
        <v>1.2329199593852993</v>
      </c>
      <c r="P883">
        <f t="shared" si="85"/>
        <v>-2.1216407355022021E-4</v>
      </c>
      <c r="Q883">
        <f t="shared" si="86"/>
        <v>8.4831019411761525E-3</v>
      </c>
      <c r="R883">
        <f t="shared" si="87"/>
        <v>1</v>
      </c>
      <c r="S883">
        <f t="shared" si="79"/>
        <v>1.2615616720901965</v>
      </c>
      <c r="T883" s="564">
        <f>IF((I883-MAX(I$470:I883))/MAX(I$470:I883)&gt;T882,T882,(I883-MAX(I$470:I883))/MAX(I$470:I883))</f>
        <v>-0.22786721585231193</v>
      </c>
      <c r="U883" s="564">
        <f>IF((J883-MAX(J$470:J883))/MAX(J$470:J883)&gt;U882,U882,(J883-MAX(J$470:J883))/MAX(J$470:J883))</f>
        <v>-0.40740740740740738</v>
      </c>
      <c r="V883" s="564">
        <f>IF((K883-MAX(K$470:K883))/MAX(K$470:K883)&gt;V882,V882,(K883-MAX(K$470:K883))/MAX(K$470:K883))</f>
        <v>-0.80725522782524772</v>
      </c>
      <c r="W883" s="564">
        <f>IF((N883-MAX(N$470:N883))/MAX(N$470:N883)&gt;W882,W882,(N883-MAX(N$470:N883))/MAX(N$470:N883))</f>
        <v>-0.1897647318309108</v>
      </c>
      <c r="X883" s="564">
        <f>IF((O883-MAX(O$470:O883))/MAX(O$470:O883)&gt;X882,X882,(O883-MAX(O$470:O883))/MAX(O$470:O883))</f>
        <v>-0.20159254550055417</v>
      </c>
    </row>
    <row r="884" spans="1:24">
      <c r="A884" s="799">
        <v>41286</v>
      </c>
      <c r="B884">
        <v>14.237</v>
      </c>
      <c r="C884">
        <v>183.09188900000001</v>
      </c>
      <c r="D884">
        <v>1.862997</v>
      </c>
      <c r="E884">
        <f>LN(D884/参数实验室!$E$53)/参数实验室!$E$55</f>
        <v>4.1058225758968114E-2</v>
      </c>
      <c r="F884">
        <f t="shared" si="78"/>
        <v>12.860285804593666</v>
      </c>
      <c r="G884">
        <f>LN(F884/参数实验室!$E$58)/参数实验室!$E$59</f>
        <v>1.1500227503743008</v>
      </c>
      <c r="H884" s="856">
        <f>INDEX(神经网络!$G$10:$BO$70,MATCH(ROUND(G884*2,1)/2,神经网络!$E$10:$E$70,0),MATCH(ROUND(E884*2,1)/2,神经网络!$G$8:$BO$8,0))</f>
        <v>1.759308155329887</v>
      </c>
      <c r="I884">
        <f t="shared" si="80"/>
        <v>1.203445446599819</v>
      </c>
      <c r="J884">
        <f t="shared" si="81"/>
        <v>5.6809385100355181</v>
      </c>
      <c r="K884">
        <f t="shared" si="82"/>
        <v>0.21183919601909137</v>
      </c>
      <c r="L884" s="4">
        <f>MIN(MAX(L883*(1+MAX(MIN(((B884-B883)/B883)/($K$7*卓尔金历!$N$40),0),-卓尔金历!$M$43))+MIN(MAX(((B884-B883)/B883)/($K$7*卓尔金历!$N$40),0),卓尔金历!$M$43),0),1)</f>
        <v>1</v>
      </c>
      <c r="M884" s="4">
        <f>MIN(MAX(M883*(1+MAX(MIN(((B884-B883)/B883)/($K$7*30),0),-卓尔金历!$M$43))+MIN(MAX(((B884-B883)/B883)/($K$7*7),0),卓尔金历!$M$43),0),1)</f>
        <v>1</v>
      </c>
      <c r="N884">
        <f t="shared" si="83"/>
        <v>1.2001709462818209</v>
      </c>
      <c r="O884">
        <f t="shared" si="84"/>
        <v>1.2482384174442347</v>
      </c>
      <c r="P884">
        <f t="shared" si="85"/>
        <v>7.0736365565536993E-3</v>
      </c>
      <c r="Q884">
        <f t="shared" si="86"/>
        <v>8.1159416420825466E-3</v>
      </c>
      <c r="R884">
        <f t="shared" si="87"/>
        <v>0.1471046704810271</v>
      </c>
      <c r="S884">
        <f t="shared" si="79"/>
        <v>1.2772614368080284</v>
      </c>
      <c r="T884" s="564">
        <f>IF((I884-MAX(I$470:I884))/MAX(I$470:I884)&gt;T883,T883,(I884-MAX(I$470:I884))/MAX(I$470:I884))</f>
        <v>-0.22786721585231193</v>
      </c>
      <c r="U884" s="564">
        <f>IF((J884-MAX(J$470:J884))/MAX(J$470:J884)&gt;U883,U883,(J884-MAX(J$470:J884))/MAX(J$470:J884))</f>
        <v>-0.40740740740740738</v>
      </c>
      <c r="V884" s="564">
        <f>IF((K884-MAX(K$470:K884))/MAX(K$470:K884)&gt;V883,V883,(K884-MAX(K$470:K884))/MAX(K$470:K884))</f>
        <v>-0.80725522782524772</v>
      </c>
      <c r="W884" s="564">
        <f>IF((N884-MAX(N$470:N884))/MAX(N$470:N884)&gt;W883,W883,(N884-MAX(N$470:N884))/MAX(N$470:N884))</f>
        <v>-0.1897647318309108</v>
      </c>
      <c r="X884" s="564">
        <f>IF((O884-MAX(O$470:O884))/MAX(O$470:O884)&gt;X883,X883,(O884-MAX(O$470:O884))/MAX(O$470:O884))</f>
        <v>-0.20159254550055417</v>
      </c>
    </row>
    <row r="885" spans="1:24">
      <c r="A885" s="799">
        <v>41287</v>
      </c>
      <c r="B885">
        <v>14.116</v>
      </c>
      <c r="C885">
        <v>179.772356</v>
      </c>
      <c r="D885">
        <v>1.8533390000000001</v>
      </c>
      <c r="E885">
        <f>LN(D885/参数实验室!$E$53)/参数实验室!$E$55</f>
        <v>3.4926335380257793E-2</v>
      </c>
      <c r="F885">
        <f t="shared" si="78"/>
        <v>12.735361008784359</v>
      </c>
      <c r="G885">
        <f>LN(F885/参数实验室!$E$58)/参数实验室!$E$59</f>
        <v>1.1448993944162069</v>
      </c>
      <c r="H885" s="856">
        <f>INDEX(神经网络!$G$10:$BO$70,MATCH(ROUND(G885*2,1)/2,神经网络!$E$10:$E$70,0),MATCH(ROUND(E885*2,1)/2,神经网络!$G$8:$BO$8,0))</f>
        <v>1.759308155329887</v>
      </c>
      <c r="I885">
        <f t="shared" si="80"/>
        <v>1.1854511361388778</v>
      </c>
      <c r="J885">
        <f t="shared" si="81"/>
        <v>5.6326563185826624</v>
      </c>
      <c r="K885">
        <f t="shared" si="82"/>
        <v>0.21046040608370922</v>
      </c>
      <c r="L885" s="4">
        <f>MIN(MAX(L884*(1+MAX(MIN(((B885-B884)/B884)/($K$7*卓尔金历!$N$40),0),-卓尔金历!$M$43))+MIN(MAX(((B885-B884)/B884)/($K$7*卓尔金历!$N$40),0),卓尔金历!$M$43),0),1)</f>
        <v>0.87014371812977975</v>
      </c>
      <c r="M885" s="4">
        <f>MIN(MAX(M884*(1+MAX(MIN(((B885-B884)/B884)/($K$7*30),0),-卓尔金历!$M$43))+MIN(MAX(((B885-B884)/B884)/($K$7*7),0),卓尔金历!$M$43),0),1)</f>
        <v>0.93507185906488988</v>
      </c>
      <c r="N885">
        <f t="shared" si="83"/>
        <v>1.1822255972220741</v>
      </c>
      <c r="O885">
        <f t="shared" si="84"/>
        <v>1.2295743478129717</v>
      </c>
      <c r="P885">
        <f t="shared" si="85"/>
        <v>-8.4989815270071246E-3</v>
      </c>
      <c r="Q885">
        <f t="shared" si="86"/>
        <v>8.3366358176117702E-3</v>
      </c>
      <c r="R885">
        <f t="shared" si="87"/>
        <v>7.9594128830530724E-3</v>
      </c>
      <c r="S885">
        <f t="shared" si="79"/>
        <v>1.2744520272035411</v>
      </c>
      <c r="T885" s="564">
        <f>IF((I885-MAX(I$470:I885))/MAX(I$470:I885)&gt;T884,T884,(I885-MAX(I$470:I885))/MAX(I$470:I885))</f>
        <v>-0.22786721585231193</v>
      </c>
      <c r="U885" s="564">
        <f>IF((J885-MAX(J$470:J885))/MAX(J$470:J885)&gt;U884,U884,(J885-MAX(J$470:J885))/MAX(J$470:J885))</f>
        <v>-0.40740740740740738</v>
      </c>
      <c r="V885" s="564">
        <f>IF((K885-MAX(K$470:K885))/MAX(K$470:K885)&gt;V884,V884,(K885-MAX(K$470:K885))/MAX(K$470:K885))</f>
        <v>-0.80725522782524772</v>
      </c>
      <c r="W885" s="564">
        <f>IF((N885-MAX(N$470:N885))/MAX(N$470:N885)&gt;W884,W884,(N885-MAX(N$470:N885))/MAX(N$470:N885))</f>
        <v>-0.1897647318309108</v>
      </c>
      <c r="X885" s="564">
        <f>IF((O885-MAX(O$470:O885))/MAX(O$470:O885)&gt;X884,X884,(O885-MAX(O$470:O885))/MAX(O$470:O885))</f>
        <v>-0.20159254550055417</v>
      </c>
    </row>
    <row r="886" spans="1:24">
      <c r="A886" s="799">
        <v>41288</v>
      </c>
      <c r="B886">
        <v>14.3</v>
      </c>
      <c r="C886">
        <v>174.82647299999999</v>
      </c>
      <c r="D886">
        <v>1.870687</v>
      </c>
      <c r="E886">
        <f>LN(D886/参数实验室!$E$53)/参数实验室!$E$55</f>
        <v>4.5917938190239017E-2</v>
      </c>
      <c r="F886">
        <f t="shared" si="78"/>
        <v>12.225627482517481</v>
      </c>
      <c r="G886">
        <f>LN(F886/参数实验室!$E$58)/参数实验室!$E$59</f>
        <v>1.1234601071609842</v>
      </c>
      <c r="H886" s="856">
        <f>INDEX(神经网络!$G$10:$BO$70,MATCH(ROUND(G886*2,1)/2,神经网络!$E$10:$E$70,0),MATCH(ROUND(E886*2,1)/2,神经网络!$G$8:$BO$8,0))</f>
        <v>1.7530493603241621</v>
      </c>
      <c r="I886">
        <f t="shared" si="80"/>
        <v>1.2126362869383944</v>
      </c>
      <c r="J886">
        <f t="shared" si="81"/>
        <v>5.7060771717010539</v>
      </c>
      <c r="K886">
        <f t="shared" si="82"/>
        <v>0.2125166292794621</v>
      </c>
      <c r="L886" s="4">
        <f>MIN(MAX(L885*(1+MAX(MIN(((B886-B885)/B885)/($K$7*卓尔金历!$N$40),0),-卓尔金历!$M$43))+MIN(MAX(((B886-B885)/B885)/($K$7*卓尔金历!$N$40),0),卓尔金历!$M$43),0),1)</f>
        <v>1</v>
      </c>
      <c r="M886" s="4">
        <f>MIN(MAX(M885*(1+MAX(MIN(((B886-B885)/B885)/($K$7*30),0),-卓尔金历!$M$43))+MIN(MAX(((B886-B885)/B885)/($K$7*7),0),卓尔金历!$M$43),0),1)</f>
        <v>1</v>
      </c>
      <c r="N886">
        <f t="shared" si="83"/>
        <v>1.2058162216629433</v>
      </c>
      <c r="O886">
        <f t="shared" si="84"/>
        <v>1.2559405677442421</v>
      </c>
      <c r="P886">
        <f t="shared" si="85"/>
        <v>1.303485406630781E-2</v>
      </c>
      <c r="Q886">
        <f t="shared" si="86"/>
        <v>8.6062850710858386E-3</v>
      </c>
      <c r="R886">
        <f t="shared" si="87"/>
        <v>4.8758140668142391E-3</v>
      </c>
      <c r="S886">
        <f t="shared" si="79"/>
        <v>1.2746846501837616</v>
      </c>
      <c r="T886" s="564">
        <f>IF((I886-MAX(I$470:I886))/MAX(I$470:I886)&gt;T885,T885,(I886-MAX(I$470:I886))/MAX(I$470:I886))</f>
        <v>-0.22786721585231193</v>
      </c>
      <c r="U886" s="564">
        <f>IF((J886-MAX(J$470:J886))/MAX(J$470:J886)&gt;U885,U885,(J886-MAX(J$470:J886))/MAX(J$470:J886))</f>
        <v>-0.40740740740740738</v>
      </c>
      <c r="V886" s="564">
        <f>IF((K886-MAX(K$470:K886))/MAX(K$470:K886)&gt;V885,V885,(K886-MAX(K$470:K886))/MAX(K$470:K886))</f>
        <v>-0.80725522782524772</v>
      </c>
      <c r="W886" s="564">
        <f>IF((N886-MAX(N$470:N886))/MAX(N$470:N886)&gt;W885,W885,(N886-MAX(N$470:N886))/MAX(N$470:N886))</f>
        <v>-0.1897647318309108</v>
      </c>
      <c r="X886" s="564">
        <f>IF((O886-MAX(O$470:O886))/MAX(O$470:O886)&gt;X885,X885,(O886-MAX(O$470:O886))/MAX(O$470:O886))</f>
        <v>-0.20159254550055417</v>
      </c>
    </row>
    <row r="887" spans="1:24">
      <c r="A887" s="799">
        <v>41289</v>
      </c>
      <c r="B887">
        <v>14.25</v>
      </c>
      <c r="C887">
        <v>173.759806</v>
      </c>
      <c r="D887">
        <v>1.8662540000000001</v>
      </c>
      <c r="E887">
        <f>LN(D887/参数实验室!$E$53)/参数实验室!$E$55</f>
        <v>4.3118938375300529E-2</v>
      </c>
      <c r="F887">
        <f t="shared" si="78"/>
        <v>12.193670596491227</v>
      </c>
      <c r="G887">
        <f>LN(F887/参数实验室!$E$58)/参数实验室!$E$59</f>
        <v>1.1220863813187392</v>
      </c>
      <c r="H887" s="856">
        <f>INDEX(神经网络!$G$10:$BO$70,MATCH(ROUND(G887*2,1)/2,神经网络!$E$10:$E$70,0),MATCH(ROUND(E887*2,1)/2,神经网络!$G$8:$BO$8,0))</f>
        <v>1.7530493603241621</v>
      </c>
      <c r="I887">
        <f t="shared" si="80"/>
        <v>1.2052033804099915</v>
      </c>
      <c r="J887">
        <f t="shared" si="81"/>
        <v>5.6861258529188818</v>
      </c>
      <c r="K887">
        <f t="shared" si="82"/>
        <v>0.2119551011681037</v>
      </c>
      <c r="L887" s="4">
        <f>MIN(MAX(L886*(1+MAX(MIN(((B887-B886)/B886)/($K$7*卓尔金历!$N$40),0),-卓尔金历!$M$43))+MIN(MAX(((B887-B886)/B886)/($K$7*卓尔金历!$N$40),0),卓尔金历!$M$43),0),1)</f>
        <v>0.94657678191682526</v>
      </c>
      <c r="M887" s="4">
        <f>MIN(MAX(M886*(1+MAX(MIN(((B887-B886)/B886)/($K$7*30),0),-卓尔金历!$M$43))+MIN(MAX(((B887-B886)/B886)/($K$7*7),0),卓尔金历!$M$43),0),1)</f>
        <v>0.97328839095841257</v>
      </c>
      <c r="N887">
        <f t="shared" si="83"/>
        <v>1.1984251190193953</v>
      </c>
      <c r="O887">
        <f t="shared" si="84"/>
        <v>1.2482422257551189</v>
      </c>
      <c r="P887">
        <f t="shared" si="85"/>
        <v>-3.4965034965035459E-3</v>
      </c>
      <c r="Q887">
        <f t="shared" si="86"/>
        <v>8.648157973116341E-3</v>
      </c>
      <c r="R887">
        <f t="shared" si="87"/>
        <v>0.92198286850279265</v>
      </c>
      <c r="S887">
        <f t="shared" si="79"/>
        <v>1.2746465543043357</v>
      </c>
      <c r="T887" s="564">
        <f>IF((I887-MAX(I$470:I887))/MAX(I$470:I887)&gt;T886,T886,(I887-MAX(I$470:I887))/MAX(I$470:I887))</f>
        <v>-0.22786721585231193</v>
      </c>
      <c r="U887" s="564">
        <f>IF((J887-MAX(J$470:J887))/MAX(J$470:J887)&gt;U886,U886,(J887-MAX(J$470:J887))/MAX(J$470:J887))</f>
        <v>-0.40740740740740738</v>
      </c>
      <c r="V887" s="564">
        <f>IF((K887-MAX(K$470:K887))/MAX(K$470:K887)&gt;V886,V886,(K887-MAX(K$470:K887))/MAX(K$470:K887))</f>
        <v>-0.80725522782524772</v>
      </c>
      <c r="W887" s="564">
        <f>IF((N887-MAX(N$470:N887))/MAX(N$470:N887)&gt;W886,W886,(N887-MAX(N$470:N887))/MAX(N$470:N887))</f>
        <v>-0.1897647318309108</v>
      </c>
      <c r="X887" s="564">
        <f>IF((O887-MAX(O$470:O887))/MAX(O$470:O887)&gt;X886,X886,(O887-MAX(O$470:O887))/MAX(O$470:O887))</f>
        <v>-0.20159254550055417</v>
      </c>
    </row>
    <row r="888" spans="1:24">
      <c r="A888" s="799">
        <v>41290</v>
      </c>
      <c r="B888">
        <v>14.73</v>
      </c>
      <c r="C888">
        <v>174.30488800000001</v>
      </c>
      <c r="D888">
        <v>1.911416</v>
      </c>
      <c r="E888">
        <f>LN(D888/参数实验室!$E$53)/参数实验室!$E$55</f>
        <v>7.1328154380323056E-2</v>
      </c>
      <c r="F888">
        <f t="shared" si="78"/>
        <v>11.833325729803123</v>
      </c>
      <c r="G888">
        <f>LN(F888/参数实验室!$E$58)/参数实验室!$E$59</f>
        <v>1.1063422042742059</v>
      </c>
      <c r="H888" s="856">
        <f>INDEX(神经网络!$G$10:$BO$70,MATCH(ROUND(G888*2,1)/2,神经网络!$E$10:$E$70,0),MATCH(ROUND(E888*2,1)/2,神经网络!$G$8:$BO$8,0))</f>
        <v>1.7530493603241621</v>
      </c>
      <c r="I888">
        <f t="shared" si="80"/>
        <v>1.2763707409182274</v>
      </c>
      <c r="J888">
        <f t="shared" si="81"/>
        <v>5.8776585132277281</v>
      </c>
      <c r="K888">
        <f t="shared" si="82"/>
        <v>0.21715632816124697</v>
      </c>
      <c r="L888" s="4">
        <f>MIN(MAX(L887*(1+MAX(MIN(((B888-B887)/B887)/($K$7*卓尔金历!$N$40),0),-卓尔金历!$M$43))+MIN(MAX(((B888-B887)/B887)/($K$7*卓尔金历!$N$40),0),卓尔金历!$M$43),0),1)</f>
        <v>1</v>
      </c>
      <c r="M888" s="4">
        <f>MIN(MAX(M887*(1+MAX(MIN(((B888-B887)/B887)/($K$7*30),0),-卓尔金历!$M$43))+MIN(MAX(((B888-B887)/B887)/($K$7*7),0),卓尔金历!$M$43),0),1)</f>
        <v>1</v>
      </c>
      <c r="N888">
        <f t="shared" si="83"/>
        <v>1.265411616216026</v>
      </c>
      <c r="O888">
        <f t="shared" si="84"/>
        <v>1.3199821528237139</v>
      </c>
      <c r="P888">
        <f t="shared" si="85"/>
        <v>3.3684210526315816E-2</v>
      </c>
      <c r="Q888">
        <f t="shared" si="86"/>
        <v>1.078207197908475E-2</v>
      </c>
      <c r="R888">
        <f t="shared" si="87"/>
        <v>0</v>
      </c>
      <c r="S888">
        <f t="shared" si="79"/>
        <v>1.3440423477035257</v>
      </c>
      <c r="T888" s="564">
        <f>IF((I888-MAX(I$470:I888))/MAX(I$470:I888)&gt;T887,T887,(I888-MAX(I$470:I888))/MAX(I$470:I888))</f>
        <v>-0.22786721585231193</v>
      </c>
      <c r="U888" s="564">
        <f>IF((J888-MAX(J$470:J888))/MAX(J$470:J888)&gt;U887,U887,(J888-MAX(J$470:J888))/MAX(J$470:J888))</f>
        <v>-0.40740740740740738</v>
      </c>
      <c r="V888" s="564">
        <f>IF((K888-MAX(K$470:K888))/MAX(K$470:K888)&gt;V887,V887,(K888-MAX(K$470:K888))/MAX(K$470:K888))</f>
        <v>-0.80725522782524772</v>
      </c>
      <c r="W888" s="564">
        <f>IF((N888-MAX(N$470:N888))/MAX(N$470:N888)&gt;W887,W887,(N888-MAX(N$470:N888))/MAX(N$470:N888))</f>
        <v>-0.1897647318309108</v>
      </c>
      <c r="X888" s="564">
        <f>IF((O888-MAX(O$470:O888))/MAX(O$470:O888)&gt;X887,X887,(O888-MAX(O$470:O888))/MAX(O$470:O888))</f>
        <v>-0.20159254550055417</v>
      </c>
    </row>
    <row r="889" spans="1:24">
      <c r="A889" s="799">
        <v>41291</v>
      </c>
      <c r="B889">
        <v>15.5</v>
      </c>
      <c r="C889">
        <v>176.18961200000001</v>
      </c>
      <c r="D889">
        <v>2.012127</v>
      </c>
      <c r="E889">
        <f>LN(D889/参数实验室!$E$53)/参数实验室!$E$55</f>
        <v>0.13190617453399137</v>
      </c>
      <c r="F889">
        <f t="shared" si="78"/>
        <v>11.367071741935485</v>
      </c>
      <c r="G889">
        <f>LN(F889/参数实验室!$E$58)/参数实验室!$E$59</f>
        <v>1.0852435791951436</v>
      </c>
      <c r="H889" s="856">
        <f>INDEX(神经网络!$G$10:$BO$70,MATCH(ROUND(G889*2,1)/2,神经网络!$E$10:$E$70,0),MATCH(ROUND(E889*2,1)/2,神经网络!$G$8:$BO$8,0))</f>
        <v>1.9195234347436654</v>
      </c>
      <c r="I889">
        <f t="shared" si="80"/>
        <v>1.3933365590713465</v>
      </c>
      <c r="J889">
        <f t="shared" si="81"/>
        <v>6.1849088224731696</v>
      </c>
      <c r="K889">
        <f t="shared" si="82"/>
        <v>0.22528004843152896</v>
      </c>
      <c r="L889" s="4">
        <f>MIN(MAX(L888*(1+MAX(MIN(((B889-B888)/B888)/($K$7*卓尔金历!$N$40),0),-卓尔金历!$M$43))+MIN(MAX(((B889-B888)/B888)/($K$7*卓尔金历!$N$40),0),卓尔金历!$M$43),0),1)</f>
        <v>1</v>
      </c>
      <c r="M889" s="4">
        <f>MIN(MAX(M888*(1+MAX(MIN(((B889-B888)/B888)/($K$7*30),0),-卓尔金历!$M$43))+MIN(MAX(((B889-B888)/B888)/($K$7*7),0),卓尔金历!$M$43),0),1)</f>
        <v>1</v>
      </c>
      <c r="N889">
        <f t="shared" si="83"/>
        <v>1.3813731470206958</v>
      </c>
      <c r="O889">
        <f t="shared" si="84"/>
        <v>1.4409444935472799</v>
      </c>
      <c r="P889">
        <f t="shared" si="85"/>
        <v>5.2274270196877089E-2</v>
      </c>
      <c r="Q889">
        <f t="shared" si="86"/>
        <v>1.4690036524068011E-2</v>
      </c>
      <c r="R889">
        <f t="shared" si="87"/>
        <v>0</v>
      </c>
      <c r="S889">
        <f t="shared" si="79"/>
        <v>1.3440423477035257</v>
      </c>
      <c r="T889" s="564">
        <f>IF((I889-MAX(I$470:I889))/MAX(I$470:I889)&gt;T888,T888,(I889-MAX(I$470:I889))/MAX(I$470:I889))</f>
        <v>-0.22786721585231193</v>
      </c>
      <c r="U889" s="564">
        <f>IF((J889-MAX(J$470:J889))/MAX(J$470:J889)&gt;U888,U888,(J889-MAX(J$470:J889))/MAX(J$470:J889))</f>
        <v>-0.40740740740740738</v>
      </c>
      <c r="V889" s="564">
        <f>IF((K889-MAX(K$470:K889))/MAX(K$470:K889)&gt;V888,V888,(K889-MAX(K$470:K889))/MAX(K$470:K889))</f>
        <v>-0.80725522782524772</v>
      </c>
      <c r="W889" s="564">
        <f>IF((N889-MAX(N$470:N889))/MAX(N$470:N889)&gt;W888,W888,(N889-MAX(N$470:N889))/MAX(N$470:N889))</f>
        <v>-0.1897647318309108</v>
      </c>
      <c r="X889" s="564">
        <f>IF((O889-MAX(O$470:O889))/MAX(O$470:O889)&gt;X888,X888,(O889-MAX(O$470:O889))/MAX(O$470:O889))</f>
        <v>-0.20159254550055417</v>
      </c>
    </row>
    <row r="890" spans="1:24">
      <c r="A890" s="799">
        <v>41292</v>
      </c>
      <c r="B890">
        <v>15.705</v>
      </c>
      <c r="C890">
        <v>179.00276099999999</v>
      </c>
      <c r="D890">
        <v>2.0188990000000002</v>
      </c>
      <c r="E890">
        <f>LN(D890/参数实验室!$E$53)/参数实验室!$E$55</f>
        <v>0.13587007676843063</v>
      </c>
      <c r="F890">
        <f t="shared" si="78"/>
        <v>11.397819866284623</v>
      </c>
      <c r="G890">
        <f>LN(F890/参数实验室!$E$58)/参数实验室!$E$59</f>
        <v>1.0866614016450351</v>
      </c>
      <c r="H890" s="856">
        <f>INDEX(神经网络!$G$10:$BO$70,MATCH(ROUND(G890*2,1)/2,神经网络!$E$10:$E$70,0),MATCH(ROUND(E890*2,1)/2,神经网络!$G$8:$BO$8,0))</f>
        <v>1.9195234347436654</v>
      </c>
      <c r="I890">
        <f t="shared" si="80"/>
        <v>1.4287095362592577</v>
      </c>
      <c r="J890">
        <f t="shared" si="81"/>
        <v>6.2667092294800737</v>
      </c>
      <c r="K890">
        <f t="shared" si="82"/>
        <v>0.22798401584331887</v>
      </c>
      <c r="L890" s="4">
        <f>MIN(MAX(L889*(1+MAX(MIN(((B890-B889)/B889)/($K$7*卓尔金历!$N$40),0),-卓尔金历!$M$43))+MIN(MAX(((B890-B889)/B889)/($K$7*卓尔金历!$N$40),0),卓尔金历!$M$43),0),1)</f>
        <v>1</v>
      </c>
      <c r="M890" s="4">
        <f>MIN(MAX(M889*(1+MAX(MIN(((B890-B889)/B889)/($K$7*30),0),-卓尔金历!$M$43))+MIN(MAX(((B890-B889)/B889)/($K$7*7),0),卓尔金历!$M$43),0),1)</f>
        <v>1</v>
      </c>
      <c r="N890">
        <f t="shared" si="83"/>
        <v>1.4164424061307299</v>
      </c>
      <c r="O890">
        <f t="shared" si="84"/>
        <v>1.4775261050520163</v>
      </c>
      <c r="P890">
        <f t="shared" si="85"/>
        <v>1.3225806451612908E-2</v>
      </c>
      <c r="Q890">
        <f t="shared" si="86"/>
        <v>1.4659639791115819E-2</v>
      </c>
      <c r="R890">
        <f t="shared" si="87"/>
        <v>0.11913022518007771</v>
      </c>
      <c r="S890">
        <f t="shared" si="79"/>
        <v>1.3440423477035257</v>
      </c>
      <c r="T890" s="564">
        <f>IF((I890-MAX(I$470:I890))/MAX(I$470:I890)&gt;T889,T889,(I890-MAX(I$470:I890))/MAX(I$470:I890))</f>
        <v>-0.22786721585231193</v>
      </c>
      <c r="U890" s="564">
        <f>IF((J890-MAX(J$470:J890))/MAX(J$470:J890)&gt;U889,U889,(J890-MAX(J$470:J890))/MAX(J$470:J890))</f>
        <v>-0.40740740740740738</v>
      </c>
      <c r="V890" s="564">
        <f>IF((K890-MAX(K$470:K890))/MAX(K$470:K890)&gt;V889,V889,(K890-MAX(K$470:K890))/MAX(K$470:K890))</f>
        <v>-0.80725522782524772</v>
      </c>
      <c r="W890" s="564">
        <f>IF((N890-MAX(N$470:N890))/MAX(N$470:N890)&gt;W889,W889,(N890-MAX(N$470:N890))/MAX(N$470:N890))</f>
        <v>-0.1897647318309108</v>
      </c>
      <c r="X890" s="564">
        <f>IF((O890-MAX(O$470:O890))/MAX(O$470:O890)&gt;X889,X889,(O890-MAX(O$470:O890))/MAX(O$470:O890))</f>
        <v>-0.20159254550055417</v>
      </c>
    </row>
    <row r="891" spans="1:24">
      <c r="A891" s="799">
        <v>41293</v>
      </c>
      <c r="B891">
        <v>15.615</v>
      </c>
      <c r="C891">
        <v>173.23342400000001</v>
      </c>
      <c r="D891">
        <v>1.998599</v>
      </c>
      <c r="E891">
        <f>LN(D891/参数实验室!$E$53)/参数实验室!$E$55</f>
        <v>0.12394763415578297</v>
      </c>
      <c r="F891">
        <f t="shared" si="78"/>
        <v>11.094039321165546</v>
      </c>
      <c r="G891">
        <f>LN(F891/参数实验室!$E$58)/参数实验室!$E$59</f>
        <v>1.0724829256002342</v>
      </c>
      <c r="H891" s="856">
        <f>INDEX(神经网络!$G$10:$BO$70,MATCH(ROUND(G891*2,1)/2,神经网络!$E$10:$E$70,0),MATCH(ROUND(E891*2,1)/2,神经网络!$G$8:$BO$8,0))</f>
        <v>1.831466326348953</v>
      </c>
      <c r="I891">
        <f t="shared" si="80"/>
        <v>1.4129935394896795</v>
      </c>
      <c r="J891">
        <f t="shared" si="81"/>
        <v>6.2307968556721649</v>
      </c>
      <c r="K891">
        <f t="shared" si="82"/>
        <v>0.22677573546686411</v>
      </c>
      <c r="L891" s="4">
        <f>MIN(MAX(L890*(1+MAX(MIN(((B891-B890)/B890)/($K$7*卓尔金历!$N$40),0),-卓尔金历!$M$43))+MIN(MAX(((B891-B890)/B890)/($K$7*卓尔金历!$N$40),0),卓尔金历!$M$43),0),1)</f>
        <v>0.91244102938803584</v>
      </c>
      <c r="M891" s="4">
        <f>MIN(MAX(M890*(1+MAX(MIN(((B891-B890)/B890)/($K$7*30),0),-卓尔金历!$M$43))+MIN(MAX(((B891-B890)/B890)/($K$7*7),0),卓尔金历!$M$43),0),1)</f>
        <v>0.95622051469401792</v>
      </c>
      <c r="N891">
        <f t="shared" si="83"/>
        <v>1.4008613494399986</v>
      </c>
      <c r="O891">
        <f t="shared" si="84"/>
        <v>1.4612731194698223</v>
      </c>
      <c r="P891">
        <f t="shared" si="85"/>
        <v>-5.7306590257879568E-3</v>
      </c>
      <c r="Q891">
        <f t="shared" si="86"/>
        <v>1.4809524823442907E-2</v>
      </c>
      <c r="R891">
        <f t="shared" si="87"/>
        <v>0.97801809385634142</v>
      </c>
      <c r="S891">
        <f t="shared" si="79"/>
        <v>1.3422810494576261</v>
      </c>
      <c r="T891" s="564">
        <f>IF((I891-MAX(I$470:I891))/MAX(I$470:I891)&gt;T890,T890,(I891-MAX(I$470:I891))/MAX(I$470:I891))</f>
        <v>-0.22786721585231193</v>
      </c>
      <c r="U891" s="564">
        <f>IF((J891-MAX(J$470:J891))/MAX(J$470:J891)&gt;U890,U890,(J891-MAX(J$470:J891))/MAX(J$470:J891))</f>
        <v>-0.40740740740740738</v>
      </c>
      <c r="V891" s="564">
        <f>IF((K891-MAX(K$470:K891))/MAX(K$470:K891)&gt;V890,V890,(K891-MAX(K$470:K891))/MAX(K$470:K891))</f>
        <v>-0.80725522782524772</v>
      </c>
      <c r="W891" s="564">
        <f>IF((N891-MAX(N$470:N891))/MAX(N$470:N891)&gt;W890,W890,(N891-MAX(N$470:N891))/MAX(N$470:N891))</f>
        <v>-0.1897647318309108</v>
      </c>
      <c r="X891" s="564">
        <f>IF((O891-MAX(O$470:O891))/MAX(O$470:O891)&gt;X890,X890,(O891-MAX(O$470:O891))/MAX(O$470:O891))</f>
        <v>-0.20159254550055417</v>
      </c>
    </row>
    <row r="892" spans="1:24">
      <c r="A892" s="799">
        <v>41294</v>
      </c>
      <c r="B892">
        <v>15.7</v>
      </c>
      <c r="C892">
        <v>172.920975</v>
      </c>
      <c r="D892">
        <v>2.0117500000000001</v>
      </c>
      <c r="E892">
        <f>LN(D892/参数实验室!$E$53)/参数实验室!$E$55</f>
        <v>0.13168511063254582</v>
      </c>
      <c r="F892">
        <f t="shared" si="78"/>
        <v>11.014074840764332</v>
      </c>
      <c r="G892">
        <f>LN(F892/参数实验室!$E$58)/参数实验室!$E$59</f>
        <v>1.0686861418892082</v>
      </c>
      <c r="H892" s="856">
        <f>INDEX(神经网络!$G$10:$BO$70,MATCH(ROUND(G892*2,1)/2,神经网络!$E$10:$E$70,0),MATCH(ROUND(E892*2,1)/2,神经网络!$G$8:$BO$8,0))</f>
        <v>1.9119526754678362</v>
      </c>
      <c r="I892">
        <f t="shared" si="80"/>
        <v>1.4270804595914108</v>
      </c>
      <c r="J892">
        <f t="shared" si="81"/>
        <v>6.264714097601856</v>
      </c>
      <c r="K892">
        <f t="shared" si="82"/>
        <v>0.2277965821517218</v>
      </c>
      <c r="L892" s="4">
        <f>MIN(MAX(L891*(1+MAX(MIN(((B892-B891)/B891)/($K$7*卓尔金历!$N$40),0),-卓尔金历!$M$43))+MIN(MAX(((B892-B891)/B891)/($K$7*卓尔金历!$N$40),0),卓尔金历!$M$43),0),1)</f>
        <v>0.99561223858444614</v>
      </c>
      <c r="M892" s="4">
        <f>MIN(MAX(M891*(1+MAX(MIN(((B892-B891)/B891)/($K$7*30),0),-卓尔金历!$M$43))+MIN(MAX(((B892-B891)/B891)/($K$7*7),0),卓尔金历!$M$43),0),1)</f>
        <v>1</v>
      </c>
      <c r="N892">
        <f t="shared" si="83"/>
        <v>1.4136044712362859</v>
      </c>
      <c r="O892">
        <f t="shared" si="84"/>
        <v>1.475203575294211</v>
      </c>
      <c r="P892">
        <f t="shared" si="85"/>
        <v>5.4434838296509172E-3</v>
      </c>
      <c r="Q892">
        <f t="shared" si="86"/>
        <v>1.4793705094232052E-2</v>
      </c>
      <c r="R892">
        <f t="shared" si="87"/>
        <v>1</v>
      </c>
      <c r="S892">
        <f t="shared" si="79"/>
        <v>1.355368836613613</v>
      </c>
      <c r="T892" s="564">
        <f>IF((I892-MAX(I$470:I892))/MAX(I$470:I892)&gt;T891,T891,(I892-MAX(I$470:I892))/MAX(I$470:I892))</f>
        <v>-0.22786721585231193</v>
      </c>
      <c r="U892" s="564">
        <f>IF((J892-MAX(J$470:J892))/MAX(J$470:J892)&gt;U891,U891,(J892-MAX(J$470:J892))/MAX(J$470:J892))</f>
        <v>-0.40740740740740738</v>
      </c>
      <c r="V892" s="564">
        <f>IF((K892-MAX(K$470:K892))/MAX(K$470:K892)&gt;V891,V891,(K892-MAX(K$470:K892))/MAX(K$470:K892))</f>
        <v>-0.80725522782524772</v>
      </c>
      <c r="W892" s="564">
        <f>IF((N892-MAX(N$470:N892))/MAX(N$470:N892)&gt;W891,W891,(N892-MAX(N$470:N892))/MAX(N$470:N892))</f>
        <v>-0.1897647318309108</v>
      </c>
      <c r="X892" s="564">
        <f>IF((O892-MAX(O$470:O892))/MAX(O$470:O892)&gt;X891,X891,(O892-MAX(O$470:O892))/MAX(O$470:O892))</f>
        <v>-0.20159254550055417</v>
      </c>
    </row>
    <row r="893" spans="1:24">
      <c r="A893" s="799">
        <v>41295</v>
      </c>
      <c r="B893">
        <v>16.8</v>
      </c>
      <c r="C893">
        <v>175.677662</v>
      </c>
      <c r="D893">
        <v>2.1301589999999999</v>
      </c>
      <c r="E893">
        <f>LN(D893/参数实验室!$E$53)/参数实验室!$E$55</f>
        <v>0.19915712729060003</v>
      </c>
      <c r="F893">
        <f t="shared" si="78"/>
        <v>10.45700369047619</v>
      </c>
      <c r="G893">
        <f>LN(F893/参数实验室!$E$58)/参数实验室!$E$59</f>
        <v>1.041445155620369</v>
      </c>
      <c r="H893" s="856">
        <f>INDEX(神经网络!$G$10:$BO$70,MATCH(ROUND(G893*2,1)/2,神经网络!$E$10:$E$70,0),MATCH(ROUND(E893*2,1)/2,神经网络!$G$8:$BO$8,0))</f>
        <v>1.9859959787589643</v>
      </c>
      <c r="I893">
        <f t="shared" si="80"/>
        <v>1.6182499712542158</v>
      </c>
      <c r="J893">
        <f t="shared" si="81"/>
        <v>6.7036431108096295</v>
      </c>
      <c r="K893">
        <f t="shared" si="82"/>
        <v>0.24139858648572543</v>
      </c>
      <c r="L893" s="4">
        <f>MIN(MAX(L892*(1+MAX(MIN(((B893-B892)/B892)/($K$7*卓尔金历!$N$40),0),-卓尔金历!$M$43))+MIN(MAX(((B893-B892)/B892)/($K$7*卓尔金历!$N$40),0),卓尔金历!$M$43),0),1)</f>
        <v>1</v>
      </c>
      <c r="M893" s="4">
        <f>MIN(MAX(M892*(1+MAX(MIN(((B893-B892)/B892)/($K$7*30),0),-卓尔金历!$M$43))+MIN(MAX(((B893-B892)/B892)/($K$7*7),0),卓尔金历!$M$43),0),1)</f>
        <v>1</v>
      </c>
      <c r="N893">
        <f t="shared" si="83"/>
        <v>1.6021378748278168</v>
      </c>
      <c r="O893">
        <f t="shared" si="84"/>
        <v>1.6728195857978949</v>
      </c>
      <c r="P893">
        <f t="shared" si="85"/>
        <v>7.0063694267516019E-2</v>
      </c>
      <c r="Q893">
        <f t="shared" si="86"/>
        <v>1.9875735994943706E-2</v>
      </c>
      <c r="R893">
        <f t="shared" si="87"/>
        <v>0</v>
      </c>
      <c r="S893">
        <f t="shared" si="79"/>
        <v>1.5369319691454628</v>
      </c>
      <c r="T893" s="564">
        <f>IF((I893-MAX(I$470:I893))/MAX(I$470:I893)&gt;T892,T892,(I893-MAX(I$470:I893))/MAX(I$470:I893))</f>
        <v>-0.22786721585231193</v>
      </c>
      <c r="U893" s="564">
        <f>IF((J893-MAX(J$470:J893))/MAX(J$470:J893)&gt;U892,U892,(J893-MAX(J$470:J893))/MAX(J$470:J893))</f>
        <v>-0.40740740740740738</v>
      </c>
      <c r="V893" s="564">
        <f>IF((K893-MAX(K$470:K893))/MAX(K$470:K893)&gt;V892,V892,(K893-MAX(K$470:K893))/MAX(K$470:K893))</f>
        <v>-0.80725522782524772</v>
      </c>
      <c r="W893" s="564">
        <f>IF((N893-MAX(N$470:N893))/MAX(N$470:N893)&gt;W892,W892,(N893-MAX(N$470:N893))/MAX(N$470:N893))</f>
        <v>-0.1897647318309108</v>
      </c>
      <c r="X893" s="564">
        <f>IF((O893-MAX(O$470:O893))/MAX(O$470:O893)&gt;X892,X892,(O893-MAX(O$470:O893))/MAX(O$470:O893))</f>
        <v>-0.20159254550055417</v>
      </c>
    </row>
    <row r="894" spans="1:24">
      <c r="A894" s="799">
        <v>41296</v>
      </c>
      <c r="B894">
        <v>17.261399999999998</v>
      </c>
      <c r="C894">
        <v>173.16916499999999</v>
      </c>
      <c r="D894">
        <v>2.17035</v>
      </c>
      <c r="E894">
        <f>LN(D894/参数实验室!$E$53)/参数实验室!$E$55</f>
        <v>0.22120886262610961</v>
      </c>
      <c r="F894">
        <f t="shared" si="78"/>
        <v>10.03216222322639</v>
      </c>
      <c r="G894">
        <f>LN(F894/参数实验室!$E$58)/参数实验室!$E$59</f>
        <v>1.0196764094722004</v>
      </c>
      <c r="H894" s="856">
        <f>INDEX(神经网络!$G$10:$BO$70,MATCH(ROUND(G894*2,1)/2,神经网络!$E$10:$E$70,0),MATCH(ROUND(E894*2,1)/2,神经网络!$G$8:$BO$8,0))</f>
        <v>1.9768411390467968</v>
      </c>
      <c r="I894">
        <f t="shared" si="80"/>
        <v>1.7065157345552324</v>
      </c>
      <c r="J894">
        <f t="shared" si="81"/>
        <v>6.8877538805315073</v>
      </c>
      <c r="K894">
        <f t="shared" si="82"/>
        <v>0.24776084688199482</v>
      </c>
      <c r="L894" s="4">
        <f>MIN(MAX(L893*(1+MAX(MIN(((B894-B893)/B893)/($K$7*卓尔金历!$N$40),0),-卓尔金历!$M$43))+MIN(MAX(((B894-B893)/B893)/($K$7*卓尔金历!$N$40),0),卓尔金历!$M$43),0),1)</f>
        <v>1</v>
      </c>
      <c r="M894" s="4">
        <f>MIN(MAX(M893*(1+MAX(MIN(((B894-B893)/B893)/($K$7*30),0),-卓尔金历!$M$43))+MIN(MAX(((B894-B893)/B893)/($K$7*7),0),卓尔金历!$M$43),0),1)</f>
        <v>1</v>
      </c>
      <c r="N894">
        <f t="shared" si="83"/>
        <v>1.689524820569916</v>
      </c>
      <c r="O894">
        <f t="shared" si="84"/>
        <v>1.7640617920257153</v>
      </c>
      <c r="P894">
        <f t="shared" si="85"/>
        <v>2.746428571428557E-2</v>
      </c>
      <c r="Q894">
        <f t="shared" si="86"/>
        <v>1.9301747955405395E-2</v>
      </c>
      <c r="R894">
        <f t="shared" si="87"/>
        <v>1.2865746768623463E-2</v>
      </c>
      <c r="S894">
        <f t="shared" si="79"/>
        <v>1.5369319691454628</v>
      </c>
      <c r="T894" s="564">
        <f>IF((I894-MAX(I$470:I894))/MAX(I$470:I894)&gt;T893,T893,(I894-MAX(I$470:I894))/MAX(I$470:I894))</f>
        <v>-0.22786721585231193</v>
      </c>
      <c r="U894" s="564">
        <f>IF((J894-MAX(J$470:J894))/MAX(J$470:J894)&gt;U893,U893,(J894-MAX(J$470:J894))/MAX(J$470:J894))</f>
        <v>-0.40740740740740738</v>
      </c>
      <c r="V894" s="564">
        <f>IF((K894-MAX(K$470:K894))/MAX(K$470:K894)&gt;V893,V893,(K894-MAX(K$470:K894))/MAX(K$470:K894))</f>
        <v>-0.80725522782524772</v>
      </c>
      <c r="W894" s="564">
        <f>IF((N894-MAX(N$470:N894))/MAX(N$470:N894)&gt;W893,W893,(N894-MAX(N$470:N894))/MAX(N$470:N894))</f>
        <v>-0.1897647318309108</v>
      </c>
      <c r="X894" s="564">
        <f>IF((O894-MAX(O$470:O894))/MAX(O$470:O894)&gt;X893,X893,(O894-MAX(O$470:O894))/MAX(O$470:O894))</f>
        <v>-0.20159254550055417</v>
      </c>
    </row>
    <row r="895" spans="1:24">
      <c r="A895" s="799">
        <v>41297</v>
      </c>
      <c r="B895">
        <v>17.5</v>
      </c>
      <c r="C895">
        <v>174.07085699999999</v>
      </c>
      <c r="D895">
        <v>2.1855910000000001</v>
      </c>
      <c r="E895">
        <f>LN(D895/参数实验室!$E$53)/参数实验室!$E$55</f>
        <v>0.22946457250217051</v>
      </c>
      <c r="F895">
        <f t="shared" si="78"/>
        <v>9.9469061142857136</v>
      </c>
      <c r="G895">
        <f>LN(F895/参数实验室!$E$58)/参数实验室!$E$59</f>
        <v>1.0151969928817515</v>
      </c>
      <c r="H895" s="856">
        <f>INDEX(神经网络!$G$10:$BO$70,MATCH(ROUND(G895*2,1)/2,神经网络!$E$10:$E$70,0),MATCH(ROUND(E895*2,1)/2,神经网络!$G$8:$BO$8,0))</f>
        <v>2.043896574373544</v>
      </c>
      <c r="I895">
        <f t="shared" si="80"/>
        <v>1.7531469236434856</v>
      </c>
      <c r="J895">
        <f t="shared" si="81"/>
        <v>6.9829615737600301</v>
      </c>
      <c r="K895">
        <f t="shared" si="82"/>
        <v>0.2510606574481678</v>
      </c>
      <c r="L895" s="4">
        <f>MIN(MAX(L894*(1+MAX(MIN(((B895-B894)/B894)/($K$7*卓尔金历!$N$40),0),-卓尔金历!$M$43))+MIN(MAX(((B895-B894)/B894)/($K$7*卓尔金历!$N$40),0),卓尔金历!$M$43),0),1)</f>
        <v>1</v>
      </c>
      <c r="M895" s="4">
        <f>MIN(MAX(M894*(1+MAX(MIN(((B895-B894)/B894)/($K$7*30),0),-卓尔金历!$M$43))+MIN(MAX(((B895-B894)/B894)/($K$7*7),0),卓尔金历!$M$43),0),1)</f>
        <v>1</v>
      </c>
      <c r="N895">
        <f t="shared" si="83"/>
        <v>1.7356917264952376</v>
      </c>
      <c r="O895">
        <f t="shared" si="84"/>
        <v>1.812265448939991</v>
      </c>
      <c r="P895">
        <f t="shared" si="85"/>
        <v>1.3822749023833625E-2</v>
      </c>
      <c r="Q895">
        <f t="shared" si="86"/>
        <v>1.9028884941659694E-2</v>
      </c>
      <c r="R895">
        <f t="shared" si="87"/>
        <v>0.34511377434457391</v>
      </c>
      <c r="S895">
        <f t="shared" si="79"/>
        <v>1.5374722951088566</v>
      </c>
      <c r="T895" s="564">
        <f>IF((I895-MAX(I$470:I895))/MAX(I$470:I895)&gt;T894,T894,(I895-MAX(I$470:I895))/MAX(I$470:I895))</f>
        <v>-0.22786721585231193</v>
      </c>
      <c r="U895" s="564">
        <f>IF((J895-MAX(J$470:J895))/MAX(J$470:J895)&gt;U894,U894,(J895-MAX(J$470:J895))/MAX(J$470:J895))</f>
        <v>-0.40740740740740738</v>
      </c>
      <c r="V895" s="564">
        <f>IF((K895-MAX(K$470:K895))/MAX(K$470:K895)&gt;V894,V894,(K895-MAX(K$470:K895))/MAX(K$470:K895))</f>
        <v>-0.80725522782524772</v>
      </c>
      <c r="W895" s="564">
        <f>IF((N895-MAX(N$470:N895))/MAX(N$470:N895)&gt;W894,W894,(N895-MAX(N$470:N895))/MAX(N$470:N895))</f>
        <v>-0.1897647318309108</v>
      </c>
      <c r="X895" s="564">
        <f>IF((O895-MAX(O$470:O895))/MAX(O$470:O895)&gt;X894,X894,(O895-MAX(O$470:O895))/MAX(O$470:O895))</f>
        <v>-0.20159254550055417</v>
      </c>
    </row>
    <row r="896" spans="1:24">
      <c r="A896" s="799">
        <v>41298</v>
      </c>
      <c r="B896">
        <v>16.896000000000001</v>
      </c>
      <c r="C896">
        <v>170.41543200000001</v>
      </c>
      <c r="D896">
        <v>2.0995349999999999</v>
      </c>
      <c r="E896">
        <f>LN(D896/参数实验室!$E$53)/参数实验室!$E$55</f>
        <v>0.18207343534212847</v>
      </c>
      <c r="F896">
        <f t="shared" si="78"/>
        <v>10.086140625000001</v>
      </c>
      <c r="G896">
        <f>LN(F896/参数实验室!$E$58)/参数实验室!$E$59</f>
        <v>1.0224928349536242</v>
      </c>
      <c r="H896" s="856">
        <f>INDEX(神经网络!$G$10:$BO$70,MATCH(ROUND(G896*2,1)/2,神经网络!$E$10:$E$70,0),MATCH(ROUND(E896*2,1)/2,神经网络!$G$8:$BO$8,0))</f>
        <v>1.9768411390467968</v>
      </c>
      <c r="I896">
        <f t="shared" si="80"/>
        <v>1.6294735751331146</v>
      </c>
      <c r="J896">
        <f t="shared" si="81"/>
        <v>6.7419496428713988</v>
      </c>
      <c r="K896">
        <f t="shared" si="82"/>
        <v>0.24169174518472394</v>
      </c>
      <c r="L896" s="4">
        <f>MIN(MAX(L895*(1+MAX(MIN(((B896-B895)/B895)/($K$7*卓尔金历!$N$40),0),-卓尔金历!$M$43))+MIN(MAX(((B896-B895)/B895)/($K$7*卓尔金历!$N$40),0),卓尔金历!$M$43),0),1)</f>
        <v>0.47265483516801143</v>
      </c>
      <c r="M896" s="4">
        <f>MIN(MAX(M895*(1+MAX(MIN(((B896-B895)/B895)/($K$7*30),0),-卓尔金历!$M$43))+MIN(MAX(((B896-B895)/B895)/($K$7*7),0),卓尔金历!$M$43),0),1)</f>
        <v>0.73632741758400577</v>
      </c>
      <c r="N896">
        <f t="shared" si="83"/>
        <v>1.6132497309599763</v>
      </c>
      <c r="O896">
        <f t="shared" si="84"/>
        <v>1.6844216650349533</v>
      </c>
      <c r="P896">
        <f t="shared" si="85"/>
        <v>-3.4514285714285671E-2</v>
      </c>
      <c r="Q896">
        <f t="shared" si="86"/>
        <v>2.1591363920146298E-2</v>
      </c>
      <c r="R896">
        <f t="shared" si="87"/>
        <v>1.0102817481353688E-2</v>
      </c>
      <c r="S896">
        <f t="shared" si="79"/>
        <v>1.5000416426228136</v>
      </c>
      <c r="T896" s="564">
        <f>IF((I896-MAX(I$470:I896))/MAX(I$470:I896)&gt;T895,T895,(I896-MAX(I$470:I896))/MAX(I$470:I896))</f>
        <v>-0.22786721585231193</v>
      </c>
      <c r="U896" s="564">
        <f>IF((J896-MAX(J$470:J896))/MAX(J$470:J896)&gt;U895,U895,(J896-MAX(J$470:J896))/MAX(J$470:J896))</f>
        <v>-0.40740740740740738</v>
      </c>
      <c r="V896" s="564">
        <f>IF((K896-MAX(K$470:K896))/MAX(K$470:K896)&gt;V895,V895,(K896-MAX(K$470:K896))/MAX(K$470:K896))</f>
        <v>-0.80725522782524772</v>
      </c>
      <c r="W896" s="564">
        <f>IF((N896-MAX(N$470:N896))/MAX(N$470:N896)&gt;W895,W895,(N896-MAX(N$470:N896))/MAX(N$470:N896))</f>
        <v>-0.1897647318309108</v>
      </c>
      <c r="X896" s="564">
        <f>IF((O896-MAX(O$470:O896))/MAX(O$470:O896)&gt;X895,X895,(O896-MAX(O$470:O896))/MAX(O$470:O896))</f>
        <v>-0.20159254550055417</v>
      </c>
    </row>
    <row r="897" spans="1:24">
      <c r="A897" s="799">
        <v>41299</v>
      </c>
      <c r="B897">
        <v>17.399999999999999</v>
      </c>
      <c r="C897">
        <v>172.63743400000001</v>
      </c>
      <c r="D897">
        <v>2.1522350000000001</v>
      </c>
      <c r="E897">
        <f>LN(D897/参数实验室!$E$53)/参数实验室!$E$55</f>
        <v>0.21132063364851622</v>
      </c>
      <c r="F897">
        <f t="shared" si="78"/>
        <v>9.9216916091954044</v>
      </c>
      <c r="G897">
        <f>LN(F897/参数实验室!$E$58)/参数实验室!$E$59</f>
        <v>1.0138648463226787</v>
      </c>
      <c r="H897" s="856">
        <f>INDEX(神经网络!$G$10:$BO$70,MATCH(ROUND(G897*2,1)/2,神经网络!$E$10:$E$70,0),MATCH(ROUND(E897*2,1)/2,神经网络!$G$8:$BO$8,0))</f>
        <v>1.9768411390467968</v>
      </c>
      <c r="I897">
        <f t="shared" si="80"/>
        <v>1.7255608171282404</v>
      </c>
      <c r="J897">
        <f t="shared" si="81"/>
        <v>6.9430589361956869</v>
      </c>
      <c r="K897">
        <f t="shared" si="82"/>
        <v>0.24853034274741842</v>
      </c>
      <c r="L897" s="4">
        <f>MIN(MAX(L896*(1+MAX(MIN(((B897-B896)/B896)/($K$7*卓尔金历!$N$40),0),-卓尔金历!$M$43))+MIN(MAX(((B897-B896)/B896)/($K$7*卓尔金历!$N$40),0),卓尔金历!$M$43),0),1)</f>
        <v>0.92842166444008767</v>
      </c>
      <c r="M897" s="4">
        <f>MIN(MAX(M896*(1+MAX(MIN(((B897-B896)/B896)/($K$7*30),0),-卓尔金历!$M$43))+MIN(MAX(((B897-B896)/B896)/($K$7*7),0),卓尔金历!$M$43),0),1)</f>
        <v>1</v>
      </c>
      <c r="N897">
        <f t="shared" si="83"/>
        <v>1.6582136453561496</v>
      </c>
      <c r="O897">
        <f t="shared" si="84"/>
        <v>1.7575591794359344</v>
      </c>
      <c r="P897">
        <f t="shared" si="85"/>
        <v>2.982954545454532E-2</v>
      </c>
      <c r="Q897">
        <f t="shared" si="86"/>
        <v>2.1924818703432838E-2</v>
      </c>
      <c r="R897">
        <f t="shared" si="87"/>
        <v>1.4943812825852418E-2</v>
      </c>
      <c r="S897">
        <f t="shared" si="79"/>
        <v>1.5009352859743359</v>
      </c>
      <c r="T897" s="564">
        <f>IF((I897-MAX(I$470:I897))/MAX(I$470:I897)&gt;T896,T896,(I897-MAX(I$470:I897))/MAX(I$470:I897))</f>
        <v>-0.22786721585231193</v>
      </c>
      <c r="U897" s="564">
        <f>IF((J897-MAX(J$470:J897))/MAX(J$470:J897)&gt;U896,U896,(J897-MAX(J$470:J897))/MAX(J$470:J897))</f>
        <v>-0.40740740740740738</v>
      </c>
      <c r="V897" s="564">
        <f>IF((K897-MAX(K$470:K897))/MAX(K$470:K897)&gt;V896,V896,(K897-MAX(K$470:K897))/MAX(K$470:K897))</f>
        <v>-0.80725522782524772</v>
      </c>
      <c r="W897" s="564">
        <f>IF((N897-MAX(N$470:N897))/MAX(N$470:N897)&gt;W896,W896,(N897-MAX(N$470:N897))/MAX(N$470:N897))</f>
        <v>-0.1897647318309108</v>
      </c>
      <c r="X897" s="564">
        <f>IF((O897-MAX(O$470:O897))/MAX(O$470:O897)&gt;X896,X896,(O897-MAX(O$470:O897))/MAX(O$470:O897))</f>
        <v>-0.20159254550055417</v>
      </c>
    </row>
    <row r="898" spans="1:24">
      <c r="A898" s="799">
        <v>41300</v>
      </c>
      <c r="B898">
        <v>17.88</v>
      </c>
      <c r="C898">
        <v>172.84573900000001</v>
      </c>
      <c r="D898">
        <v>2.1608710000000002</v>
      </c>
      <c r="E898">
        <f>LN(D898/参数实验室!$E$53)/参数实验室!$E$55</f>
        <v>0.21604500751286734</v>
      </c>
      <c r="F898">
        <f t="shared" si="78"/>
        <v>9.6669876398210306</v>
      </c>
      <c r="G898">
        <f>LN(F898/参数实验室!$E$58)/参数实验室!$E$59</f>
        <v>1.0002151315072481</v>
      </c>
      <c r="H898" s="856">
        <f>INDEX(神经网络!$G$10:$BO$70,MATCH(ROUND(G898*2,1)/2,神经网络!$E$10:$E$70,0),MATCH(ROUND(E898*2,1)/2,神经网络!$G$8:$BO$8,0))</f>
        <v>1.9768411390467968</v>
      </c>
      <c r="I898">
        <f t="shared" si="80"/>
        <v>1.8196617719206907</v>
      </c>
      <c r="J898">
        <f t="shared" si="81"/>
        <v>7.1345915965045332</v>
      </c>
      <c r="K898">
        <f t="shared" si="82"/>
        <v>0.2550477833674743</v>
      </c>
      <c r="L898" s="4">
        <f>MIN(MAX(L897*(1+MAX(MIN(((B898-B897)/B897)/($K$7*卓尔金历!$N$40),0),-卓尔金历!$M$43))+MIN(MAX(((B898-B897)/B897)/($K$7*卓尔金历!$N$40),0),卓尔金历!$M$43),0),1)</f>
        <v>1</v>
      </c>
      <c r="M898" s="4">
        <f>MIN(MAX(M897*(1+MAX(MIN(((B898-B897)/B897)/($K$7*30),0),-卓尔金历!$M$43))+MIN(MAX(((B898-B897)/B897)/($K$7*7),0),卓尔金历!$M$43),0),1)</f>
        <v>1</v>
      </c>
      <c r="N898">
        <f t="shared" si="83"/>
        <v>1.7421692145014955</v>
      </c>
      <c r="O898">
        <f t="shared" si="84"/>
        <v>1.8534051184764391</v>
      </c>
      <c r="P898">
        <f t="shared" si="85"/>
        <v>2.7586206896551752E-2</v>
      </c>
      <c r="Q898">
        <f t="shared" si="86"/>
        <v>2.1814259449416559E-2</v>
      </c>
      <c r="R898">
        <f t="shared" si="87"/>
        <v>1.6777922818304567E-2</v>
      </c>
      <c r="S898">
        <f t="shared" si="79"/>
        <v>1.5021584568914192</v>
      </c>
      <c r="T898" s="564">
        <f>IF((I898-MAX(I$470:I898))/MAX(I$470:I898)&gt;T897,T897,(I898-MAX(I$470:I898))/MAX(I$470:I898))</f>
        <v>-0.22786721585231193</v>
      </c>
      <c r="U898" s="564">
        <f>IF((J898-MAX(J$470:J898))/MAX(J$470:J898)&gt;U897,U897,(J898-MAX(J$470:J898))/MAX(J$470:J898))</f>
        <v>-0.40740740740740738</v>
      </c>
      <c r="V898" s="564">
        <f>IF((K898-MAX(K$470:K898))/MAX(K$470:K898)&gt;V897,V897,(K898-MAX(K$470:K898))/MAX(K$470:K898))</f>
        <v>-0.80725522782524772</v>
      </c>
      <c r="W898" s="564">
        <f>IF((N898-MAX(N$470:N898))/MAX(N$470:N898)&gt;W897,W897,(N898-MAX(N$470:N898))/MAX(N$470:N898))</f>
        <v>-0.1897647318309108</v>
      </c>
      <c r="X898" s="564">
        <f>IF((O898-MAX(O$470:O898))/MAX(O$470:O898)&gt;X897,X897,(O898-MAX(O$470:O898))/MAX(O$470:O898))</f>
        <v>-0.20159254550055417</v>
      </c>
    </row>
    <row r="899" spans="1:24">
      <c r="A899" s="799">
        <v>41301</v>
      </c>
      <c r="B899">
        <v>17.818200000000001</v>
      </c>
      <c r="C899">
        <v>175.24984599999999</v>
      </c>
      <c r="D899">
        <v>2.1808000000000001</v>
      </c>
      <c r="E899">
        <f>LN(D899/参数实验室!$E$53)/参数实验室!$E$55</f>
        <v>0.22687561514118906</v>
      </c>
      <c r="F899">
        <f t="shared" si="78"/>
        <v>9.8354405046525457</v>
      </c>
      <c r="G899">
        <f>LN(F899/参数实验室!$E$58)/参数实验室!$E$59</f>
        <v>1.0092822451369212</v>
      </c>
      <c r="H899" s="856">
        <f>INDEX(神经网络!$G$10:$BO$70,MATCH(ROUND(G899*2,1)/2,神经网络!$E$10:$E$70,0),MATCH(ROUND(E899*2,1)/2,神经网络!$G$8:$BO$8,0))</f>
        <v>2.043896574373544</v>
      </c>
      <c r="I899">
        <f t="shared" si="80"/>
        <v>1.8072285581039793</v>
      </c>
      <c r="J899">
        <f t="shared" si="81"/>
        <v>7.1099317664897699</v>
      </c>
      <c r="K899">
        <f t="shared" si="82"/>
        <v>0.25418367116007112</v>
      </c>
      <c r="L899" s="4">
        <f>MIN(MAX(L898*(1+MAX(MIN(((B899-B898)/B898)/($K$7*卓尔金历!$N$40),0),-卓尔金历!$M$43))+MIN(MAX(((B899-B898)/B898)/($K$7*卓尔金历!$N$40),0),卓尔金历!$M$43),0),1)</f>
        <v>0.94718989401697684</v>
      </c>
      <c r="M899" s="4">
        <f>MIN(MAX(M898*(1+MAX(MIN(((B899-B898)/B898)/($K$7*30),0),-卓尔金历!$M$43))+MIN(MAX(((B899-B898)/B898)/($K$7*7),0),卓尔金历!$M$43),0),1)</f>
        <v>0.97359494700848837</v>
      </c>
      <c r="N899">
        <f t="shared" si="83"/>
        <v>1.7302654845429737</v>
      </c>
      <c r="O899">
        <f t="shared" si="84"/>
        <v>1.84074134629493</v>
      </c>
      <c r="P899">
        <f t="shared" si="85"/>
        <v>-3.4563758389260673E-3</v>
      </c>
      <c r="Q899">
        <f t="shared" si="86"/>
        <v>2.1961234599049039E-2</v>
      </c>
      <c r="R899">
        <f t="shared" si="87"/>
        <v>1</v>
      </c>
      <c r="S899">
        <f t="shared" si="79"/>
        <v>1.501986251529301</v>
      </c>
      <c r="T899" s="564">
        <f>IF((I899-MAX(I$470:I899))/MAX(I$470:I899)&gt;T898,T898,(I899-MAX(I$470:I899))/MAX(I$470:I899))</f>
        <v>-0.22786721585231193</v>
      </c>
      <c r="U899" s="564">
        <f>IF((J899-MAX(J$470:J899))/MAX(J$470:J899)&gt;U898,U898,(J899-MAX(J$470:J899))/MAX(J$470:J899))</f>
        <v>-0.40740740740740738</v>
      </c>
      <c r="V899" s="564">
        <f>IF((K899-MAX(K$470:K899))/MAX(K$470:K899)&gt;V898,V898,(K899-MAX(K$470:K899))/MAX(K$470:K899))</f>
        <v>-0.80725522782524772</v>
      </c>
      <c r="W899" s="564">
        <f>IF((N899-MAX(N$470:N899))/MAX(N$470:N899)&gt;W898,W898,(N899-MAX(N$470:N899))/MAX(N$470:N899))</f>
        <v>-0.1897647318309108</v>
      </c>
      <c r="X899" s="564">
        <f>IF((O899-MAX(O$470:O899))/MAX(O$470:O899)&gt;X898,X898,(O899-MAX(O$470:O899))/MAX(O$470:O899))</f>
        <v>-0.20159254550055417</v>
      </c>
    </row>
    <row r="900" spans="1:24">
      <c r="A900" s="799">
        <v>41302</v>
      </c>
      <c r="B900">
        <v>18.721</v>
      </c>
      <c r="C900">
        <v>175.07886999999999</v>
      </c>
      <c r="D900">
        <v>2.2752659999999998</v>
      </c>
      <c r="E900">
        <f>LN(D900/参数实验室!$E$53)/参数实验室!$E$55</f>
        <v>0.27690327169375339</v>
      </c>
      <c r="F900">
        <f t="shared" si="78"/>
        <v>9.3520041664441003</v>
      </c>
      <c r="G900">
        <f>LN(F900/参数实验室!$E$58)/参数实验室!$E$59</f>
        <v>0.98282877700543825</v>
      </c>
      <c r="H900" s="856">
        <f>INDEX(神经网络!$G$10:$BO$70,MATCH(ROUND(G900*2,1)/2,神经网络!$E$10:$E$70,0),MATCH(ROUND(E900*2,1)/2,神经网络!$G$8:$BO$8,0))</f>
        <v>2.1037566768897853</v>
      </c>
      <c r="I900">
        <f t="shared" si="80"/>
        <v>1.9943828183683232</v>
      </c>
      <c r="J900">
        <f t="shared" si="81"/>
        <v>7.4701727784206584</v>
      </c>
      <c r="K900">
        <f t="shared" si="82"/>
        <v>0.26697947658313398</v>
      </c>
      <c r="L900" s="4">
        <f>MIN(MAX(L899*(1+MAX(MIN(((B900-B899)/B899)/($K$7*卓尔金历!$N$40),0),-卓尔金历!$M$43))+MIN(MAX(((B900-B899)/B899)/($K$7*卓尔金历!$N$40),0),卓尔金历!$M$43),0),1)</f>
        <v>1</v>
      </c>
      <c r="M900" s="4">
        <f>MIN(MAX(M899*(1+MAX(MIN(((B900-B899)/B899)/($K$7*30),0),-卓尔金历!$M$43))+MIN(MAX(((B900-B899)/B899)/($K$7*7),0),卓尔金历!$M$43),0),1)</f>
        <v>1</v>
      </c>
      <c r="N900">
        <f t="shared" si="83"/>
        <v>1.8999868187147568</v>
      </c>
      <c r="O900">
        <f t="shared" si="84"/>
        <v>2.0263326897290814</v>
      </c>
      <c r="P900">
        <f t="shared" si="85"/>
        <v>5.0667295237453787E-2</v>
      </c>
      <c r="Q900">
        <f t="shared" si="86"/>
        <v>2.3300507834247128E-2</v>
      </c>
      <c r="R900">
        <f t="shared" si="87"/>
        <v>4.90162716425116E-3</v>
      </c>
      <c r="S900">
        <f t="shared" si="79"/>
        <v>1.6575300119306391</v>
      </c>
      <c r="T900" s="564">
        <f>IF((I900-MAX(I$470:I900))/MAX(I$470:I900)&gt;T899,T899,(I900-MAX(I$470:I900))/MAX(I$470:I900))</f>
        <v>-0.22786721585231193</v>
      </c>
      <c r="U900" s="564">
        <f>IF((J900-MAX(J$470:J900))/MAX(J$470:J900)&gt;U899,U899,(J900-MAX(J$470:J900))/MAX(J$470:J900))</f>
        <v>-0.40740740740740738</v>
      </c>
      <c r="V900" s="564">
        <f>IF((K900-MAX(K$470:K900))/MAX(K$470:K900)&gt;V899,V899,(K900-MAX(K$470:K900))/MAX(K$470:K900))</f>
        <v>-0.80725522782524772</v>
      </c>
      <c r="W900" s="564">
        <f>IF((N900-MAX(N$470:N900))/MAX(N$470:N900)&gt;W899,W899,(N900-MAX(N$470:N900))/MAX(N$470:N900))</f>
        <v>-0.1897647318309108</v>
      </c>
      <c r="X900" s="564">
        <f>IF((O900-MAX(O$470:O900))/MAX(O$470:O900)&gt;X899,X899,(O900-MAX(O$470:O900))/MAX(O$470:O900))</f>
        <v>-0.20159254550055417</v>
      </c>
    </row>
    <row r="901" spans="1:24">
      <c r="A901" s="799">
        <v>41303</v>
      </c>
      <c r="B901">
        <v>19.525400000000001</v>
      </c>
      <c r="C901">
        <v>176.28290200000001</v>
      </c>
      <c r="D901">
        <v>2.3241700000000001</v>
      </c>
      <c r="E901">
        <f>LN(D901/参数实验室!$E$53)/参数实验室!$E$55</f>
        <v>0.30199192472111708</v>
      </c>
      <c r="F901">
        <f t="shared" ref="F901:F964" si="88">C901/B901</f>
        <v>9.0283887654030135</v>
      </c>
      <c r="G901">
        <f>LN(F901/参数实验室!$E$58)/参数实验室!$E$59</f>
        <v>0.96434512366161418</v>
      </c>
      <c r="H901" s="856">
        <f>INDEX(神经网络!$G$10:$BO$70,MATCH(ROUND(G901*2,1)/2,神经网络!$E$10:$E$70,0),MATCH(ROUND(E901*2,1)/2,神经网络!$G$8:$BO$8,0))</f>
        <v>2.0927099041849826</v>
      </c>
      <c r="I901">
        <f t="shared" si="80"/>
        <v>2.1746626110868288</v>
      </c>
      <c r="J901">
        <f t="shared" si="81"/>
        <v>7.7911495949882337</v>
      </c>
      <c r="K901">
        <f t="shared" si="82"/>
        <v>0.27911960675042241</v>
      </c>
      <c r="L901" s="4">
        <f>MIN(MAX(L900*(1+MAX(MIN(((B901-B900)/B900)/($K$7*卓尔金历!$N$40),0),-卓尔金历!$M$43))+MIN(MAX(((B901-B900)/B900)/($K$7*卓尔金历!$N$40),0),卓尔金历!$M$43),0),1)</f>
        <v>1</v>
      </c>
      <c r="M901" s="4">
        <f>MIN(MAX(M900*(1+MAX(MIN(((B901-B900)/B900)/($K$7*30),0),-卓尔金历!$M$43))+MIN(MAX(((B901-B900)/B900)/($K$7*7),0),卓尔金历!$M$43),0),1)</f>
        <v>1</v>
      </c>
      <c r="N901">
        <f t="shared" si="83"/>
        <v>2.0717338006337167</v>
      </c>
      <c r="O901">
        <f t="shared" si="84"/>
        <v>2.2095005519462063</v>
      </c>
      <c r="P901">
        <f t="shared" si="85"/>
        <v>4.2967790182148448E-2</v>
      </c>
      <c r="Q901">
        <f t="shared" si="86"/>
        <v>2.3986643427510935E-2</v>
      </c>
      <c r="R901">
        <f t="shared" si="87"/>
        <v>9.7173924934817017E-3</v>
      </c>
      <c r="S901">
        <f t="shared" si="79"/>
        <v>1.658264424668533</v>
      </c>
      <c r="T901" s="564">
        <f>IF((I901-MAX(I$470:I901))/MAX(I$470:I901)&gt;T900,T900,(I901-MAX(I$470:I901))/MAX(I$470:I901))</f>
        <v>-0.22786721585231193</v>
      </c>
      <c r="U901" s="564">
        <f>IF((J901-MAX(J$470:J901))/MAX(J$470:J901)&gt;U900,U900,(J901-MAX(J$470:J901))/MAX(J$470:J901))</f>
        <v>-0.40740740740740738</v>
      </c>
      <c r="V901" s="564">
        <f>IF((K901-MAX(K$470:K901))/MAX(K$470:K901)&gt;V900,V900,(K901-MAX(K$470:K901))/MAX(K$470:K901))</f>
        <v>-0.80725522782524772</v>
      </c>
      <c r="W901" s="564">
        <f>IF((N901-MAX(N$470:N901))/MAX(N$470:N901)&gt;W900,W900,(N901-MAX(N$470:N901))/MAX(N$470:N901))</f>
        <v>-0.1897647318309108</v>
      </c>
      <c r="X901" s="564">
        <f>IF((O901-MAX(O$470:O901))/MAX(O$470:O901)&gt;X900,X900,(O901-MAX(O$470:O901))/MAX(O$470:O901))</f>
        <v>-0.20159254550055417</v>
      </c>
    </row>
    <row r="902" spans="1:24">
      <c r="A902" s="799">
        <v>41304</v>
      </c>
      <c r="B902">
        <v>19.7</v>
      </c>
      <c r="C902">
        <v>177.11468400000001</v>
      </c>
      <c r="D902">
        <v>2.3255750000000002</v>
      </c>
      <c r="E902">
        <f>LN(D902/参数实验室!$E$53)/参数实验室!$E$55</f>
        <v>0.302704889994795</v>
      </c>
      <c r="F902">
        <f t="shared" si="88"/>
        <v>8.9905930964467018</v>
      </c>
      <c r="G902">
        <f>LN(F902/参数实验室!$E$58)/参数实验室!$E$59</f>
        <v>0.96214330794222591</v>
      </c>
      <c r="H902" s="856">
        <f>INDEX(神经网络!$G$10:$BO$70,MATCH(ROUND(G902*2,1)/2,神经网络!$E$10:$E$70,0),MATCH(ROUND(E902*2,1)/2,神经网络!$G$8:$BO$8,0))</f>
        <v>2.0927099041849826</v>
      </c>
      <c r="I902">
        <f t="shared" si="80"/>
        <v>2.2153580013011438</v>
      </c>
      <c r="J902">
        <f t="shared" si="81"/>
        <v>7.8608196001755752</v>
      </c>
      <c r="K902">
        <f t="shared" si="82"/>
        <v>0.28182277599293371</v>
      </c>
      <c r="L902" s="4">
        <f>MIN(MAX(L901*(1+MAX(MIN(((B902-B901)/B901)/($K$7*卓尔金历!$N$40),0),-卓尔金历!$M$43))+MIN(MAX(((B902-B901)/B901)/($K$7*卓尔金历!$N$40),0),卓尔金历!$M$43),0),1)</f>
        <v>1</v>
      </c>
      <c r="M902" s="4">
        <f>MIN(MAX(M901*(1+MAX(MIN(((B902-B901)/B901)/($K$7*30),0),-卓尔金历!$M$43))+MIN(MAX(((B902-B901)/B901)/($K$7*7),0),卓尔金历!$M$43),0),1)</f>
        <v>1</v>
      </c>
      <c r="N902">
        <f t="shared" si="83"/>
        <v>2.1105030400583278</v>
      </c>
      <c r="O902">
        <f t="shared" si="84"/>
        <v>2.2508478794267011</v>
      </c>
      <c r="P902">
        <f t="shared" si="85"/>
        <v>8.9421983672548621E-3</v>
      </c>
      <c r="Q902">
        <f t="shared" si="86"/>
        <v>2.3822253182377205E-2</v>
      </c>
      <c r="R902">
        <f t="shared" si="87"/>
        <v>1</v>
      </c>
      <c r="S902">
        <f t="shared" si="79"/>
        <v>1.658565972950014</v>
      </c>
      <c r="T902" s="564">
        <f>IF((I902-MAX(I$470:I902))/MAX(I$470:I902)&gt;T901,T901,(I902-MAX(I$470:I902))/MAX(I$470:I902))</f>
        <v>-0.22786721585231193</v>
      </c>
      <c r="U902" s="564">
        <f>IF((J902-MAX(J$470:J902))/MAX(J$470:J902)&gt;U901,U901,(J902-MAX(J$470:J902))/MAX(J$470:J902))</f>
        <v>-0.40740740740740738</v>
      </c>
      <c r="V902" s="564">
        <f>IF((K902-MAX(K$470:K902))/MAX(K$470:K902)&gt;V901,V901,(K902-MAX(K$470:K902))/MAX(K$470:K902))</f>
        <v>-0.80725522782524772</v>
      </c>
      <c r="W902" s="564">
        <f>IF((N902-MAX(N$470:N902))/MAX(N$470:N902)&gt;W901,W901,(N902-MAX(N$470:N902))/MAX(N$470:N902))</f>
        <v>-0.1897647318309108</v>
      </c>
      <c r="X902" s="564">
        <f>IF((O902-MAX(O$470:O902))/MAX(O$470:O902)&gt;X901,X901,(O902-MAX(O$470:O902))/MAX(O$470:O902))</f>
        <v>-0.20159254550055417</v>
      </c>
    </row>
    <row r="903" spans="1:24">
      <c r="A903" s="799">
        <v>41305</v>
      </c>
      <c r="B903">
        <v>20.41</v>
      </c>
      <c r="C903">
        <v>173.55392900000001</v>
      </c>
      <c r="D903">
        <v>2.3825460000000001</v>
      </c>
      <c r="E903">
        <f>LN(D903/参数实验室!$E$53)/参数实验室!$E$55</f>
        <v>0.33125768327335259</v>
      </c>
      <c r="F903">
        <f t="shared" si="88"/>
        <v>8.5033772170504651</v>
      </c>
      <c r="G903">
        <f>LN(F903/参数实验室!$E$58)/参数实验室!$E$59</f>
        <v>0.93290084712951571</v>
      </c>
      <c r="H903" s="856">
        <f>INDEX(神经网络!$G$10:$BO$70,MATCH(ROUND(G903*2,1)/2,神经网络!$E$10:$E$70,0),MATCH(ROUND(E903*2,1)/2,神经网络!$G$8:$BO$8,0))</f>
        <v>2.1454719755087366</v>
      </c>
      <c r="I903">
        <f t="shared" si="80"/>
        <v>2.382445928090648</v>
      </c>
      <c r="J903">
        <f t="shared" si="81"/>
        <v>8.1441283268824112</v>
      </c>
      <c r="K903">
        <f t="shared" si="82"/>
        <v>0.29253541109201225</v>
      </c>
      <c r="L903" s="4">
        <f>MIN(MAX(L902*(1+MAX(MIN(((B903-B902)/B902)/($K$7*卓尔金历!$N$40),0),-卓尔金历!$M$43))+MIN(MAX(((B903-B902)/B902)/($K$7*卓尔金历!$N$40),0),卓尔金历!$M$43),0),1)</f>
        <v>1</v>
      </c>
      <c r="M903" s="4">
        <f>MIN(MAX(M902*(1+MAX(MIN(((B903-B902)/B902)/($K$7*30),0),-卓尔金历!$M$43))+MIN(MAX(((B903-B902)/B902)/($K$7*7),0),卓尔金历!$M$43),0),1)</f>
        <v>1</v>
      </c>
      <c r="N903">
        <f t="shared" si="83"/>
        <v>2.2696825393713858</v>
      </c>
      <c r="O903">
        <f t="shared" si="84"/>
        <v>2.4206125429578647</v>
      </c>
      <c r="P903">
        <f t="shared" si="85"/>
        <v>3.6040609137055882E-2</v>
      </c>
      <c r="Q903">
        <f t="shared" si="86"/>
        <v>2.4073150329563177E-2</v>
      </c>
      <c r="R903">
        <f t="shared" si="87"/>
        <v>1.4208801752409192E-2</v>
      </c>
      <c r="S903">
        <f t="shared" si="79"/>
        <v>1.7836592308799155</v>
      </c>
      <c r="T903" s="564">
        <f>IF((I903-MAX(I$470:I903))/MAX(I$470:I903)&gt;T902,T902,(I903-MAX(I$470:I903))/MAX(I$470:I903))</f>
        <v>-0.22786721585231193</v>
      </c>
      <c r="U903" s="564">
        <f>IF((J903-MAX(J$470:J903))/MAX(J$470:J903)&gt;U902,U902,(J903-MAX(J$470:J903))/MAX(J$470:J903))</f>
        <v>-0.40740740740740738</v>
      </c>
      <c r="V903" s="564">
        <f>IF((K903-MAX(K$470:K903))/MAX(K$470:K903)&gt;V902,V902,(K903-MAX(K$470:K903))/MAX(K$470:K903))</f>
        <v>-0.80725522782524772</v>
      </c>
      <c r="W903" s="564">
        <f>IF((N903-MAX(N$470:N903))/MAX(N$470:N903)&gt;W902,W902,(N903-MAX(N$470:N903))/MAX(N$470:N903))</f>
        <v>-0.1897647318309108</v>
      </c>
      <c r="X903" s="564">
        <f>IF((O903-MAX(O$470:O903))/MAX(O$470:O903)&gt;X902,X902,(O903-MAX(O$470:O903))/MAX(O$470:O903))</f>
        <v>-0.20159254550055417</v>
      </c>
    </row>
    <row r="904" spans="1:24">
      <c r="A904" s="799">
        <v>41306</v>
      </c>
      <c r="B904">
        <v>20.498999999999999</v>
      </c>
      <c r="C904">
        <v>174.483194</v>
      </c>
      <c r="D904">
        <v>2.3307760000000002</v>
      </c>
      <c r="E904">
        <f>LN(D904/参数实验室!$E$53)/参数实验室!$E$55</f>
        <v>0.30534038683498477</v>
      </c>
      <c r="F904">
        <f t="shared" si="88"/>
        <v>8.5117905263671396</v>
      </c>
      <c r="G904">
        <f>LN(F904/参数实验室!$E$58)/参数实验室!$E$59</f>
        <v>0.93341988518274088</v>
      </c>
      <c r="H904" s="856">
        <f>INDEX(神经网络!$G$10:$BO$70,MATCH(ROUND(G904*2,1)/2,神经网络!$E$10:$E$70,0),MATCH(ROUND(E904*2,1)/2,神经网络!$G$8:$BO$8,0))</f>
        <v>2.0927099041849826</v>
      </c>
      <c r="I904">
        <f t="shared" si="80"/>
        <v>2.4047350469783311</v>
      </c>
      <c r="J904">
        <f t="shared" si="81"/>
        <v>8.1796416743146754</v>
      </c>
      <c r="K904">
        <f t="shared" si="82"/>
        <v>0.29399026787806198</v>
      </c>
      <c r="L904" s="4">
        <f>MIN(MAX(L903*(1+MAX(MIN(((B904-B903)/B903)/($K$7*卓尔金历!$N$40),0),-卓尔金历!$M$43))+MIN(MAX(((B904-B903)/B903)/($K$7*卓尔金历!$N$40),0),卓尔金历!$M$43),0),1)</f>
        <v>1</v>
      </c>
      <c r="M904" s="4">
        <f>MIN(MAX(M903*(1+MAX(MIN(((B904-B903)/B903)/($K$7*30),0),-卓尔金历!$M$43))+MIN(MAX(((B904-B903)/B903)/($K$7*7),0),卓尔金历!$M$43),0),1)</f>
        <v>1</v>
      </c>
      <c r="N904">
        <f t="shared" si="83"/>
        <v>2.2909166934652379</v>
      </c>
      <c r="O904">
        <f t="shared" si="84"/>
        <v>2.443258731949967</v>
      </c>
      <c r="P904">
        <f t="shared" si="85"/>
        <v>4.3606075453208543E-3</v>
      </c>
      <c r="Q904">
        <f t="shared" si="86"/>
        <v>2.3928446018619844E-2</v>
      </c>
      <c r="R904">
        <f t="shared" si="87"/>
        <v>1</v>
      </c>
      <c r="S904">
        <f t="shared" si="79"/>
        <v>1.7838963350480164</v>
      </c>
      <c r="T904" s="564">
        <f>IF((I904-MAX(I$470:I904))/MAX(I$470:I904)&gt;T903,T903,(I904-MAX(I$470:I904))/MAX(I$470:I904))</f>
        <v>-0.22786721585231193</v>
      </c>
      <c r="U904" s="564">
        <f>IF((J904-MAX(J$470:J904))/MAX(J$470:J904)&gt;U903,U903,(J904-MAX(J$470:J904))/MAX(J$470:J904))</f>
        <v>-0.40740740740740738</v>
      </c>
      <c r="V904" s="564">
        <f>IF((K904-MAX(K$470:K904))/MAX(K$470:K904)&gt;V903,V903,(K904-MAX(K$470:K904))/MAX(K$470:K904))</f>
        <v>-0.80725522782524772</v>
      </c>
      <c r="W904" s="564">
        <f>IF((N904-MAX(N$470:N904))/MAX(N$470:N904)&gt;W903,W903,(N904-MAX(N$470:N904))/MAX(N$470:N904))</f>
        <v>-0.1897647318309108</v>
      </c>
      <c r="X904" s="564">
        <f>IF((O904-MAX(O$470:O904))/MAX(O$470:O904)&gt;X903,X903,(O904-MAX(O$470:O904))/MAX(O$470:O904))</f>
        <v>-0.20159254550055417</v>
      </c>
    </row>
    <row r="905" spans="1:24">
      <c r="A905" s="799">
        <v>41307</v>
      </c>
      <c r="B905">
        <v>19.63</v>
      </c>
      <c r="C905">
        <v>175.79677599999999</v>
      </c>
      <c r="D905">
        <v>2.2350699999999999</v>
      </c>
      <c r="E905">
        <f>LN(D905/参数实验室!$E$53)/参数实验室!$E$55</f>
        <v>0.25587485300916801</v>
      </c>
      <c r="F905">
        <f t="shared" si="88"/>
        <v>8.9555158430973005</v>
      </c>
      <c r="G905">
        <f>LN(F905/参数实验室!$E$58)/参数实验室!$E$59</f>
        <v>0.9600915582567785</v>
      </c>
      <c r="H905" s="856">
        <f>INDEX(神经网络!$G$10:$BO$70,MATCH(ROUND(G905*2,1)/2,神经网络!$E$10:$E$70,0),MATCH(ROUND(E905*2,1)/2,神经网络!$G$8:$BO$8,0))</f>
        <v>2.0328456382011213</v>
      </c>
      <c r="I905">
        <f t="shared" si="80"/>
        <v>2.1913994322442103</v>
      </c>
      <c r="J905">
        <f t="shared" si="81"/>
        <v>7.8328877538805344</v>
      </c>
      <c r="K905">
        <f t="shared" si="82"/>
        <v>0.27976903296725486</v>
      </c>
      <c r="L905" s="4">
        <f>MIN(MAX(L904*(1+MAX(MIN(((B905-B904)/B904)/($K$7*卓尔金历!$N$40),0),-卓尔金历!$M$43))+MIN(MAX(((B905-B904)/B904)/($K$7*卓尔金历!$N$40),0),卓尔金历!$M$43),0),1)</f>
        <v>0.35228615624744786</v>
      </c>
      <c r="M905" s="4">
        <f>MIN(MAX(M904*(1+MAX(MIN(((B905-B904)/B904)/($K$7*30),0),-卓尔金历!$M$43))+MIN(MAX(((B905-B904)/B904)/($K$7*7),0),卓尔金历!$M$43),0),1)</f>
        <v>0.67614307812372387</v>
      </c>
      <c r="N905">
        <f t="shared" si="83"/>
        <v>2.0876784524294179</v>
      </c>
      <c r="O905">
        <f t="shared" si="84"/>
        <v>2.2265054957919914</v>
      </c>
      <c r="P905">
        <f t="shared" si="85"/>
        <v>-4.2392311820088777E-2</v>
      </c>
      <c r="Q905">
        <f t="shared" si="86"/>
        <v>2.712267240232287E-2</v>
      </c>
      <c r="R905">
        <f t="shared" si="87"/>
        <v>1.3242073269524021E-2</v>
      </c>
      <c r="S905">
        <f t="shared" si="79"/>
        <v>1.6256383091845779</v>
      </c>
      <c r="T905" s="564">
        <f>IF((I905-MAX(I$470:I905))/MAX(I$470:I905)&gt;T904,T904,(I905-MAX(I$470:I905))/MAX(I$470:I905))</f>
        <v>-0.22786721585231193</v>
      </c>
      <c r="U905" s="564">
        <f>IF((J905-MAX(J$470:J905))/MAX(J$470:J905)&gt;U904,U904,(J905-MAX(J$470:J905))/MAX(J$470:J905))</f>
        <v>-0.40740740740740738</v>
      </c>
      <c r="V905" s="564">
        <f>IF((K905-MAX(K$470:K905))/MAX(K$470:K905)&gt;V904,V904,(K905-MAX(K$470:K905))/MAX(K$470:K905))</f>
        <v>-0.80725522782524772</v>
      </c>
      <c r="W905" s="564">
        <f>IF((N905-MAX(N$470:N905))/MAX(N$470:N905)&gt;W904,W904,(N905-MAX(N$470:N905))/MAX(N$470:N905))</f>
        <v>-0.1897647318309108</v>
      </c>
      <c r="X905" s="564">
        <f>IF((O905-MAX(O$470:O905))/MAX(O$470:O905)&gt;X904,X904,(O905-MAX(O$470:O905))/MAX(O$470:O905))</f>
        <v>-0.20159254550055417</v>
      </c>
    </row>
    <row r="906" spans="1:24">
      <c r="A906" s="799">
        <v>41308</v>
      </c>
      <c r="B906">
        <v>20.59</v>
      </c>
      <c r="C906">
        <v>172.026669</v>
      </c>
      <c r="D906">
        <v>2.3289119999999999</v>
      </c>
      <c r="E906">
        <f>LN(D906/参数实验室!$E$53)/参数实验室!$E$55</f>
        <v>0.30439652099501285</v>
      </c>
      <c r="F906">
        <f t="shared" si="88"/>
        <v>8.3548649344341914</v>
      </c>
      <c r="G906">
        <f>LN(F906/参数实验室!$E$58)/参数实验室!$E$59</f>
        <v>0.92365322952069195</v>
      </c>
      <c r="H906" s="856">
        <f>INDEX(神经网络!$G$10:$BO$70,MATCH(ROUND(G906*2,1)/2,神经网络!$E$10:$E$70,0),MATCH(ROUND(E906*2,1)/2,神经网络!$G$8:$BO$8,0))</f>
        <v>2.0793989843389089</v>
      </c>
      <c r="I906">
        <f t="shared" si="80"/>
        <v>2.4092591218162074</v>
      </c>
      <c r="J906">
        <f t="shared" si="81"/>
        <v>8.215953074498227</v>
      </c>
      <c r="K906">
        <f t="shared" si="82"/>
        <v>0.2932415874299949</v>
      </c>
      <c r="L906" s="4">
        <f>MIN(MAX(L905*(1+MAX(MIN(((B906-B905)/B905)/($K$7*卓尔金历!$N$40),0),-卓尔金历!$M$43))+MIN(MAX(((B906-B905)/B905)/($K$7*卓尔金历!$N$40),0),卓尔金历!$M$43),0),1)</f>
        <v>1</v>
      </c>
      <c r="M906" s="4">
        <f>MIN(MAX(M905*(1+MAX(MIN(((B906-B905)/B905)/($K$7*30),0),-卓尔金历!$M$43))+MIN(MAX(((B906-B905)/B905)/($K$7*7),0),卓尔金历!$M$43),0),1)</f>
        <v>1</v>
      </c>
      <c r="N906">
        <f t="shared" si="83"/>
        <v>2.1607948055308595</v>
      </c>
      <c r="O906">
        <f t="shared" si="84"/>
        <v>2.3761696216794306</v>
      </c>
      <c r="P906">
        <f t="shared" si="85"/>
        <v>4.8904737646459549E-2</v>
      </c>
      <c r="Q906">
        <f t="shared" si="86"/>
        <v>2.7429240946679971E-2</v>
      </c>
      <c r="R906">
        <f t="shared" si="87"/>
        <v>1.1438589901683284E-2</v>
      </c>
      <c r="S906">
        <f t="shared" si="79"/>
        <v>1.627778415001087</v>
      </c>
      <c r="T906" s="564">
        <f>IF((I906-MAX(I$470:I906))/MAX(I$470:I906)&gt;T905,T905,(I906-MAX(I$470:I906))/MAX(I$470:I906))</f>
        <v>-0.22786721585231193</v>
      </c>
      <c r="U906" s="564">
        <f>IF((J906-MAX(J$470:J906))/MAX(J$470:J906)&gt;U905,U905,(J906-MAX(J$470:J906))/MAX(J$470:J906))</f>
        <v>-0.40740740740740738</v>
      </c>
      <c r="V906" s="564">
        <f>IF((K906-MAX(K$470:K906))/MAX(K$470:K906)&gt;V905,V905,(K906-MAX(K$470:K906))/MAX(K$470:K906))</f>
        <v>-0.80725522782524772</v>
      </c>
      <c r="W906" s="564">
        <f>IF((N906-MAX(N$470:N906))/MAX(N$470:N906)&gt;W905,W905,(N906-MAX(N$470:N906))/MAX(N$470:N906))</f>
        <v>-0.1897647318309108</v>
      </c>
      <c r="X906" s="564">
        <f>IF((O906-MAX(O$470:O906))/MAX(O$470:O906)&gt;X905,X905,(O906-MAX(O$470:O906))/MAX(O$470:O906))</f>
        <v>-0.20159254550055417</v>
      </c>
    </row>
    <row r="907" spans="1:24">
      <c r="A907" s="799">
        <v>41309</v>
      </c>
      <c r="B907">
        <v>20.430099999999999</v>
      </c>
      <c r="C907">
        <v>169.509444</v>
      </c>
      <c r="D907">
        <v>2.3031700000000002</v>
      </c>
      <c r="E907">
        <f>LN(D907/参数实验室!$E$53)/参数实验室!$E$55</f>
        <v>0.29128383402101016</v>
      </c>
      <c r="F907">
        <f t="shared" si="88"/>
        <v>8.2970442631215704</v>
      </c>
      <c r="G907">
        <f>LN(F907/参数实验室!$E$58)/参数实验室!$E$59</f>
        <v>0.92000829791328054</v>
      </c>
      <c r="H907" s="856">
        <f>INDEX(神经网络!$G$10:$BO$70,MATCH(ROUND(G907*2,1)/2,神经网络!$E$10:$E$70,0),MATCH(ROUND(E907*2,1)/2,神经网络!$G$8:$BO$8,0))</f>
        <v>2.0793989843389089</v>
      </c>
      <c r="I907">
        <f t="shared" si="80"/>
        <v>2.3703534018429617</v>
      </c>
      <c r="J907">
        <f t="shared" si="81"/>
        <v>8.1521487570328421</v>
      </c>
      <c r="K907">
        <f t="shared" si="82"/>
        <v>0.29076424786754079</v>
      </c>
      <c r="L907" s="4">
        <f>MIN(MAX(L906*(1+MAX(MIN(((B907-B906)/B906)/($K$7*卓尔金历!$N$40),0),-卓尔金历!$M$43))+MIN(MAX(((B907-B906)/B906)/($K$7*卓尔金历!$N$40),0),卓尔金历!$M$43),0),1)</f>
        <v>0.88134441207144876</v>
      </c>
      <c r="M907" s="4">
        <f>MIN(MAX(M906*(1+MAX(MIN(((B907-B906)/B906)/($K$7*30),0),-卓尔金历!$M$43))+MIN(MAX(((B907-B906)/B906)/($K$7*7),0),卓尔金历!$M$43),0),1)</f>
        <v>0.94067220603572443</v>
      </c>
      <c r="N907">
        <f t="shared" si="83"/>
        <v>2.1259013908448319</v>
      </c>
      <c r="O907">
        <f t="shared" si="84"/>
        <v>2.3377982447391608</v>
      </c>
      <c r="P907">
        <f t="shared" si="85"/>
        <v>-7.7659057795046319E-3</v>
      </c>
      <c r="Q907">
        <f t="shared" si="86"/>
        <v>2.7979154837889885E-2</v>
      </c>
      <c r="R907">
        <f t="shared" si="87"/>
        <v>1</v>
      </c>
      <c r="S907">
        <f t="shared" si="79"/>
        <v>1.6274777397240652</v>
      </c>
      <c r="T907" s="564">
        <f>IF((I907-MAX(I$470:I907))/MAX(I$470:I907)&gt;T906,T906,(I907-MAX(I$470:I907))/MAX(I$470:I907))</f>
        <v>-0.22786721585231193</v>
      </c>
      <c r="U907" s="564">
        <f>IF((J907-MAX(J$470:J907))/MAX(J$470:J907)&gt;U906,U906,(J907-MAX(J$470:J907))/MAX(J$470:J907))</f>
        <v>-0.40740740740740738</v>
      </c>
      <c r="V907" s="564">
        <f>IF((K907-MAX(K$470:K907))/MAX(K$470:K907)&gt;V906,V906,(K907-MAX(K$470:K907))/MAX(K$470:K907))</f>
        <v>-0.80725522782524772</v>
      </c>
      <c r="W907" s="564">
        <f>IF((N907-MAX(N$470:N907))/MAX(N$470:N907)&gt;W906,W906,(N907-MAX(N$470:N907))/MAX(N$470:N907))</f>
        <v>-0.1897647318309108</v>
      </c>
      <c r="X907" s="564">
        <f>IF((O907-MAX(O$470:O907))/MAX(O$470:O907)&gt;X906,X906,(O907-MAX(O$470:O907))/MAX(O$470:O907))</f>
        <v>-0.20159254550055417</v>
      </c>
    </row>
    <row r="908" spans="1:24">
      <c r="A908" s="799">
        <v>41310</v>
      </c>
      <c r="B908">
        <v>20.6</v>
      </c>
      <c r="C908">
        <v>167.16238000000001</v>
      </c>
      <c r="D908">
        <v>2.314943</v>
      </c>
      <c r="E908">
        <f>LN(D908/参数实验室!$E$53)/参数实验室!$E$55</f>
        <v>0.29729895969247855</v>
      </c>
      <c r="F908">
        <f t="shared" si="88"/>
        <v>8.1146786407766989</v>
      </c>
      <c r="G908">
        <f>LN(F908/参数实验室!$E$58)/参数实验室!$E$59</f>
        <v>0.9083435538117931</v>
      </c>
      <c r="H908" s="856">
        <f>INDEX(神经网络!$G$10:$BO$70,MATCH(ROUND(G908*2,1)/2,神经网络!$E$10:$E$70,0),MATCH(ROUND(E908*2,1)/2,神经网络!$G$8:$BO$8,0))</f>
        <v>2.0793989843389089</v>
      </c>
      <c r="I908">
        <f t="shared" si="80"/>
        <v>2.4113430145481463</v>
      </c>
      <c r="J908">
        <f t="shared" si="81"/>
        <v>8.2199433382546605</v>
      </c>
      <c r="K908">
        <f t="shared" si="82"/>
        <v>0.29335275382325765</v>
      </c>
      <c r="L908" s="4">
        <f>MIN(MAX(L907*(1+MAX(MIN(((B908-B907)/B907)/($K$7*卓尔金历!$N$40),0),-卓尔金历!$M$43))+MIN(MAX(((B908-B907)/B907)/($K$7*卓尔金历!$N$40),0),卓尔金历!$M$43),0),1)</f>
        <v>1</v>
      </c>
      <c r="M908" s="4">
        <f>MIN(MAX(M907*(1+MAX(MIN(((B908-B907)/B907)/($K$7*30),0),-卓尔金历!$M$43))+MIN(MAX(((B908-B907)/B907)/($K$7*7),0),卓尔金历!$M$43),0),1)</f>
        <v>1</v>
      </c>
      <c r="N908">
        <f t="shared" si="83"/>
        <v>2.1583017247109173</v>
      </c>
      <c r="O908">
        <f t="shared" si="84"/>
        <v>2.3758264696987008</v>
      </c>
      <c r="P908">
        <f t="shared" si="85"/>
        <v>8.3161609585857121E-3</v>
      </c>
      <c r="Q908">
        <f t="shared" si="86"/>
        <v>2.766798571323965E-2</v>
      </c>
      <c r="R908">
        <f t="shared" si="87"/>
        <v>1</v>
      </c>
      <c r="S908">
        <f t="shared" si="79"/>
        <v>1.6556210883849574</v>
      </c>
      <c r="T908" s="564">
        <f>IF((I908-MAX(I$470:I908))/MAX(I$470:I908)&gt;T907,T907,(I908-MAX(I$470:I908))/MAX(I$470:I908))</f>
        <v>-0.22786721585231193</v>
      </c>
      <c r="U908" s="564">
        <f>IF((J908-MAX(J$470:J908))/MAX(J$470:J908)&gt;U907,U907,(J908-MAX(J$470:J908))/MAX(J$470:J908))</f>
        <v>-0.40740740740740738</v>
      </c>
      <c r="V908" s="564">
        <f>IF((K908-MAX(K$470:K908))/MAX(K$470:K908)&gt;V907,V907,(K908-MAX(K$470:K908))/MAX(K$470:K908))</f>
        <v>-0.80725522782524772</v>
      </c>
      <c r="W908" s="564">
        <f>IF((N908-MAX(N$470:N908))/MAX(N$470:N908)&gt;W907,W907,(N908-MAX(N$470:N908))/MAX(N$470:N908))</f>
        <v>-0.1897647318309108</v>
      </c>
      <c r="X908" s="564">
        <f>IF((O908-MAX(O$470:O908))/MAX(O$470:O908)&gt;X907,X907,(O908-MAX(O$470:O908))/MAX(O$470:O908))</f>
        <v>-0.20159254550055417</v>
      </c>
    </row>
    <row r="909" spans="1:24">
      <c r="A909" s="799">
        <v>41311</v>
      </c>
      <c r="B909">
        <v>21.18</v>
      </c>
      <c r="C909">
        <v>169.91826499999999</v>
      </c>
      <c r="D909">
        <v>2.3613780000000002</v>
      </c>
      <c r="E909">
        <f>LN(D909/参数实验室!$E$53)/参数实验室!$E$55</f>
        <v>0.32072919149611812</v>
      </c>
      <c r="F909">
        <f t="shared" si="88"/>
        <v>8.0225809726156747</v>
      </c>
      <c r="G909">
        <f>LN(F909/参数实验室!$E$58)/参数实验室!$E$59</f>
        <v>0.90235265331531944</v>
      </c>
      <c r="H909" s="856">
        <f>INDEX(神经网络!$G$10:$BO$70,MATCH(ROUND(G909*2,1)/2,神经网络!$E$10:$E$70,0),MATCH(ROUND(E909*2,1)/2,神经网络!$G$8:$BO$8,0))</f>
        <v>2.0793989843389089</v>
      </c>
      <c r="I909">
        <f t="shared" si="80"/>
        <v>2.5525179487665728</v>
      </c>
      <c r="J909">
        <f t="shared" si="81"/>
        <v>8.4513786361278491</v>
      </c>
      <c r="K909">
        <f t="shared" si="82"/>
        <v>0.30202385417393329</v>
      </c>
      <c r="L909" s="4">
        <f>MIN(MAX(L908*(1+MAX(MIN(((B909-B908)/B908)/($K$7*卓尔金历!$N$40),0),-卓尔金历!$M$43))+MIN(MAX(((B909-B908)/B908)/($K$7*卓尔金历!$N$40),0),卓尔金历!$M$43),0),1)</f>
        <v>1</v>
      </c>
      <c r="M909" s="4">
        <f>MIN(MAX(M908*(1+MAX(MIN(((B909-B908)/B908)/($K$7*30),0),-卓尔金历!$M$43))+MIN(MAX(((B909-B908)/B908)/($K$7*7),0),卓尔金历!$M$43),0),1)</f>
        <v>1</v>
      </c>
      <c r="N909">
        <f t="shared" si="83"/>
        <v>2.2846620567629197</v>
      </c>
      <c r="O909">
        <f t="shared" si="84"/>
        <v>2.514922045711955</v>
      </c>
      <c r="P909">
        <f t="shared" si="85"/>
        <v>2.8155339805825158E-2</v>
      </c>
      <c r="Q909">
        <f t="shared" si="86"/>
        <v>2.7544302014884427E-2</v>
      </c>
      <c r="R909">
        <f t="shared" si="87"/>
        <v>2.7060913115892218E-2</v>
      </c>
      <c r="S909">
        <f t="shared" si="79"/>
        <v>1.7525513869087386</v>
      </c>
      <c r="T909" s="564">
        <f>IF((I909-MAX(I$470:I909))/MAX(I$470:I909)&gt;T908,T908,(I909-MAX(I$470:I909))/MAX(I$470:I909))</f>
        <v>-0.22786721585231193</v>
      </c>
      <c r="U909" s="564">
        <f>IF((J909-MAX(J$470:J909))/MAX(J$470:J909)&gt;U908,U908,(J909-MAX(J$470:J909))/MAX(J$470:J909))</f>
        <v>-0.40740740740740738</v>
      </c>
      <c r="V909" s="564">
        <f>IF((K909-MAX(K$470:K909))/MAX(K$470:K909)&gt;V908,V908,(K909-MAX(K$470:K909))/MAX(K$470:K909))</f>
        <v>-0.80725522782524772</v>
      </c>
      <c r="W909" s="564">
        <f>IF((N909-MAX(N$470:N909))/MAX(N$470:N909)&gt;W908,W908,(N909-MAX(N$470:N909))/MAX(N$470:N909))</f>
        <v>-0.1897647318309108</v>
      </c>
      <c r="X909" s="564">
        <f>IF((O909-MAX(O$470:O909))/MAX(O$470:O909)&gt;X908,X908,(O909-MAX(O$470:O909))/MAX(O$470:O909))</f>
        <v>-0.20159254550055417</v>
      </c>
    </row>
    <row r="910" spans="1:24">
      <c r="A910" s="799">
        <v>41312</v>
      </c>
      <c r="B910">
        <v>22.15</v>
      </c>
      <c r="C910">
        <v>167.664354</v>
      </c>
      <c r="D910">
        <v>2.4432010000000002</v>
      </c>
      <c r="E910">
        <f>LN(D910/参数实验室!$E$53)/参数实验室!$E$55</f>
        <v>0.36091597312092233</v>
      </c>
      <c r="F910">
        <f t="shared" si="88"/>
        <v>7.5694967945823937</v>
      </c>
      <c r="G910">
        <f>LN(F910/参数实验室!$E$58)/参数实验室!$E$59</f>
        <v>0.8718410006593782</v>
      </c>
      <c r="H910" s="856">
        <f>INDEX(神经网络!$G$10:$BO$70,MATCH(ROUND(G910*2,1)/2,神经网络!$E$10:$E$70,0),MATCH(ROUND(E910*2,1)/2,神经网络!$G$8:$BO$8,0))</f>
        <v>2.1161740428518248</v>
      </c>
      <c r="I910">
        <f t="shared" si="80"/>
        <v>2.7955997303183611</v>
      </c>
      <c r="J910">
        <f t="shared" si="81"/>
        <v>8.8384342205019752</v>
      </c>
      <c r="K910">
        <f t="shared" si="82"/>
        <v>0.31630033788491396</v>
      </c>
      <c r="L910" s="4">
        <f>MIN(MAX(L909*(1+MAX(MIN(((B910-B909)/B909)/($K$7*卓尔金历!$N$40),0),-卓尔金历!$M$43))+MIN(MAX(((B910-B909)/B909)/($K$7*卓尔金历!$N$40),0),卓尔金历!$M$43),0),1)</f>
        <v>1</v>
      </c>
      <c r="M910" s="4">
        <f>MIN(MAX(M909*(1+MAX(MIN(((B910-B909)/B909)/($K$7*30),0),-卓尔金历!$M$43))+MIN(MAX(((B910-B909)/B909)/($K$7*7),0),卓尔金历!$M$43),0),1)</f>
        <v>1</v>
      </c>
      <c r="N910">
        <f t="shared" si="83"/>
        <v>2.5022353448450132</v>
      </c>
      <c r="O910">
        <f t="shared" si="84"/>
        <v>2.7544234884465451</v>
      </c>
      <c r="P910">
        <f t="shared" si="85"/>
        <v>4.5797922568460762E-2</v>
      </c>
      <c r="Q910">
        <f t="shared" si="86"/>
        <v>2.7190790692272638E-2</v>
      </c>
      <c r="R910">
        <f t="shared" si="87"/>
        <v>1.3183793895832062E-2</v>
      </c>
      <c r="S910">
        <f t="shared" si="79"/>
        <v>1.7570678328226463</v>
      </c>
      <c r="T910" s="564">
        <f>IF((I910-MAX(I$470:I910))/MAX(I$470:I910)&gt;T909,T909,(I910-MAX(I$470:I910))/MAX(I$470:I910))</f>
        <v>-0.22786721585231193</v>
      </c>
      <c r="U910" s="564">
        <f>IF((J910-MAX(J$470:J910))/MAX(J$470:J910)&gt;U909,U909,(J910-MAX(J$470:J910))/MAX(J$470:J910))</f>
        <v>-0.40740740740740738</v>
      </c>
      <c r="V910" s="564">
        <f>IF((K910-MAX(K$470:K910))/MAX(K$470:K910)&gt;V909,V909,(K910-MAX(K$470:K910))/MAX(K$470:K910))</f>
        <v>-0.80725522782524772</v>
      </c>
      <c r="W910" s="564">
        <f>IF((N910-MAX(N$470:N910))/MAX(N$470:N910)&gt;W909,W909,(N910-MAX(N$470:N910))/MAX(N$470:N910))</f>
        <v>-0.1897647318309108</v>
      </c>
      <c r="X910" s="564">
        <f>IF((O910-MAX(O$470:O910))/MAX(O$470:O910)&gt;X909,X909,(O910-MAX(O$470:O910))/MAX(O$470:O910))</f>
        <v>-0.20159254550055417</v>
      </c>
    </row>
    <row r="911" spans="1:24">
      <c r="A911" s="799">
        <v>41313</v>
      </c>
      <c r="B911">
        <v>22.66</v>
      </c>
      <c r="C911">
        <v>165.44804099999999</v>
      </c>
      <c r="D911">
        <v>2.4895160000000001</v>
      </c>
      <c r="E911">
        <f>LN(D911/参数实验室!$E$53)/参数实验室!$E$55</f>
        <v>0.38307085339180597</v>
      </c>
      <c r="F911">
        <f t="shared" si="88"/>
        <v>7.301325728155339</v>
      </c>
      <c r="G911">
        <f>LN(F911/参数实验室!$E$58)/参数实验室!$E$59</f>
        <v>0.85290917241606889</v>
      </c>
      <c r="H911" s="856">
        <f>INDEX(神经网络!$G$10:$BO$70,MATCH(ROUND(G911*2,1)/2,神经网络!$E$10:$E$70,0),MATCH(ROUND(E911*2,1)/2,神经网络!$G$8:$BO$8,0))</f>
        <v>2.1621604178507883</v>
      </c>
      <c r="I911">
        <f t="shared" si="80"/>
        <v>2.9318140665525227</v>
      </c>
      <c r="J911">
        <f t="shared" si="81"/>
        <v>9.0419376720801257</v>
      </c>
      <c r="K911">
        <f t="shared" si="82"/>
        <v>0.3242462150126777</v>
      </c>
      <c r="L911" s="4">
        <f>MIN(MAX(L910*(1+MAX(MIN(((B911-B910)/B910)/($K$7*卓尔金历!$N$40),0),-卓尔金历!$M$43))+MIN(MAX(((B911-B910)/B910)/($K$7*卓尔金历!$N$40),0),卓尔金历!$M$43),0),1)</f>
        <v>1</v>
      </c>
      <c r="M911" s="4">
        <f>MIN(MAX(M910*(1+MAX(MIN(((B911-B910)/B910)/($K$7*30),0),-卓尔金历!$M$43))+MIN(MAX(((B911-B910)/B910)/($K$7*7),0),卓尔金历!$M$43),0),1)</f>
        <v>1</v>
      </c>
      <c r="N911">
        <f t="shared" si="83"/>
        <v>2.6241556336843983</v>
      </c>
      <c r="O911">
        <f t="shared" si="84"/>
        <v>2.8886315308631909</v>
      </c>
      <c r="P911">
        <f t="shared" si="85"/>
        <v>2.3024830699774339E-2</v>
      </c>
      <c r="Q911">
        <f t="shared" si="86"/>
        <v>2.7197330099188923E-2</v>
      </c>
      <c r="R911">
        <f t="shared" si="87"/>
        <v>0.19826487786858596</v>
      </c>
      <c r="S911">
        <f t="shared" si="79"/>
        <v>1.7581965282396168</v>
      </c>
      <c r="T911" s="564">
        <f>IF((I911-MAX(I$470:I911))/MAX(I$470:I911)&gt;T910,T910,(I911-MAX(I$470:I911))/MAX(I$470:I911))</f>
        <v>-0.22786721585231193</v>
      </c>
      <c r="U911" s="564">
        <f>IF((J911-MAX(J$470:J911))/MAX(J$470:J911)&gt;U910,U910,(J911-MAX(J$470:J911))/MAX(J$470:J911))</f>
        <v>-0.40740740740740738</v>
      </c>
      <c r="V911" s="564">
        <f>IF((K911-MAX(K$470:K911))/MAX(K$470:K911)&gt;V910,V910,(K911-MAX(K$470:K911))/MAX(K$470:K911))</f>
        <v>-0.80725522782524772</v>
      </c>
      <c r="W911" s="564">
        <f>IF((N911-MAX(N$470:N911))/MAX(N$470:N911)&gt;W910,W910,(N911-MAX(N$470:N911))/MAX(N$470:N911))</f>
        <v>-0.1897647318309108</v>
      </c>
      <c r="X911" s="564">
        <f>IF((O911-MAX(O$470:O911))/MAX(O$470:O911)&gt;X910,X910,(O911-MAX(O$470:O911))/MAX(O$470:O911))</f>
        <v>-0.20159254550055417</v>
      </c>
    </row>
    <row r="912" spans="1:24">
      <c r="A912" s="799">
        <v>41314</v>
      </c>
      <c r="B912">
        <v>23.65</v>
      </c>
      <c r="C912">
        <v>166.08614399999999</v>
      </c>
      <c r="D912">
        <v>2.5702929999999999</v>
      </c>
      <c r="E912">
        <f>LN(D912/参数实验室!$E$53)/参数实验室!$E$55</f>
        <v>0.42074224569971463</v>
      </c>
      <c r="F912">
        <f t="shared" si="88"/>
        <v>7.0226699365750527</v>
      </c>
      <c r="G912">
        <f>LN(F912/参数实验室!$E$58)/参数实验室!$E$59</f>
        <v>0.83248581062282412</v>
      </c>
      <c r="H912" s="856">
        <f>INDEX(神经网络!$G$10:$BO$70,MATCH(ROUND(G912*2,1)/2,神经网络!$E$10:$E$70,0),MATCH(ROUND(E912*2,1)/2,神经网络!$G$8:$BO$8,0))</f>
        <v>2.1621604178507883</v>
      </c>
      <c r="I912">
        <f t="shared" si="80"/>
        <v>3.2087629546339889</v>
      </c>
      <c r="J912">
        <f t="shared" si="81"/>
        <v>9.4369737839671206</v>
      </c>
      <c r="K912">
        <f t="shared" si="82"/>
        <v>0.34002033152677547</v>
      </c>
      <c r="L912" s="4">
        <f>MIN(MAX(L911*(1+MAX(MIN(((B912-B911)/B911)/($K$7*卓尔金历!$N$40),0),-卓尔金历!$M$43))+MIN(MAX(((B912-B911)/B911)/($K$7*卓尔金历!$N$40),0),卓尔金历!$M$43),0),1)</f>
        <v>1</v>
      </c>
      <c r="M912" s="4">
        <f>MIN(MAX(M911*(1+MAX(MIN(((B912-B911)/B911)/($K$7*30),0),-卓尔金历!$M$43))+MIN(MAX(((B912-B911)/B911)/($K$7*7),0),卓尔金历!$M$43),0),1)</f>
        <v>1</v>
      </c>
      <c r="N912">
        <f t="shared" si="83"/>
        <v>2.8720420850091211</v>
      </c>
      <c r="O912">
        <f t="shared" si="84"/>
        <v>3.1615012532908264</v>
      </c>
      <c r="P912">
        <f t="shared" si="85"/>
        <v>4.3689320388349447E-2</v>
      </c>
      <c r="Q912">
        <f t="shared" si="86"/>
        <v>2.7182195984232708E-2</v>
      </c>
      <c r="R912">
        <f t="shared" si="87"/>
        <v>1.4291068605718712E-2</v>
      </c>
      <c r="S912">
        <f t="shared" si="79"/>
        <v>1.7911253663237687</v>
      </c>
      <c r="T912" s="564">
        <f>IF((I912-MAX(I$470:I912))/MAX(I$470:I912)&gt;T911,T911,(I912-MAX(I$470:I912))/MAX(I$470:I912))</f>
        <v>-0.22786721585231193</v>
      </c>
      <c r="U912" s="564">
        <f>IF((J912-MAX(J$470:J912))/MAX(J$470:J912)&gt;U911,U911,(J912-MAX(J$470:J912))/MAX(J$470:J912))</f>
        <v>-0.40740740740740738</v>
      </c>
      <c r="V912" s="564">
        <f>IF((K912-MAX(K$470:K912))/MAX(K$470:K912)&gt;V911,V911,(K912-MAX(K$470:K912))/MAX(K$470:K912))</f>
        <v>-0.80725522782524772</v>
      </c>
      <c r="W912" s="564">
        <f>IF((N912-MAX(N$470:N912))/MAX(N$470:N912)&gt;W911,W911,(N912-MAX(N$470:N912))/MAX(N$470:N912))</f>
        <v>-0.1897647318309108</v>
      </c>
      <c r="X912" s="564">
        <f>IF((O912-MAX(O$470:O912))/MAX(O$470:O912)&gt;X911,X911,(O912-MAX(O$470:O912))/MAX(O$470:O912))</f>
        <v>-0.20159254550055417</v>
      </c>
    </row>
    <row r="913" spans="1:24">
      <c r="A913" s="799">
        <v>41315</v>
      </c>
      <c r="B913">
        <v>23.969799999999999</v>
      </c>
      <c r="C913">
        <v>161.358217</v>
      </c>
      <c r="D913">
        <v>2.5757330000000001</v>
      </c>
      <c r="E913">
        <f>LN(D913/参数实验室!$E$53)/参数实验室!$E$55</f>
        <v>0.42323654325588611</v>
      </c>
      <c r="F913">
        <f t="shared" si="88"/>
        <v>6.7317298016670977</v>
      </c>
      <c r="G913">
        <f>LN(F913/参数实验室!$E$58)/参数实验室!$E$59</f>
        <v>0.81027853303643049</v>
      </c>
      <c r="H913" s="856">
        <f>INDEX(神经网络!$G$10:$BO$70,MATCH(ROUND(G913*2,1)/2,神经网络!$E$10:$E$70,0),MATCH(ROUND(E913*2,1)/2,神经网络!$G$8:$BO$8,0))</f>
        <v>2.1430149595016217</v>
      </c>
      <c r="I913">
        <f t="shared" si="80"/>
        <v>3.302578079716358</v>
      </c>
      <c r="J913">
        <f t="shared" si="81"/>
        <v>9.5645824188978903</v>
      </c>
      <c r="K913">
        <f t="shared" si="82"/>
        <v>0.34529244822973759</v>
      </c>
      <c r="L913" s="4">
        <f>MIN(MAX(L912*(1+MAX(MIN(((B913-B912)/B912)/($K$7*卓尔金历!$N$40),0),-卓尔金历!$M$43))+MIN(MAX(((B913-B912)/B912)/($K$7*卓尔金历!$N$40),0),卓尔金历!$M$43),0),1)</f>
        <v>1</v>
      </c>
      <c r="M913" s="4">
        <f>MIN(MAX(M912*(1+MAX(MIN(((B913-B912)/B912)/($K$7*30),0),-卓尔金历!$M$43))+MIN(MAX(((B913-B912)/B912)/($K$7*7),0),卓尔金历!$M$43),0),1)</f>
        <v>1</v>
      </c>
      <c r="N913">
        <f t="shared" si="83"/>
        <v>2.956012447188054</v>
      </c>
      <c r="O913">
        <f t="shared" si="84"/>
        <v>3.2539345803140054</v>
      </c>
      <c r="P913">
        <f t="shared" si="85"/>
        <v>1.352219873150109E-2</v>
      </c>
      <c r="Q913">
        <f t="shared" si="86"/>
        <v>2.7025493682914632E-2</v>
      </c>
      <c r="R913">
        <f t="shared" si="87"/>
        <v>0.73845239728304934</v>
      </c>
      <c r="S913">
        <f t="shared" si="79"/>
        <v>1.7918737527733879</v>
      </c>
      <c r="T913" s="564">
        <f>IF((I913-MAX(I$470:I913))/MAX(I$470:I913)&gt;T912,T912,(I913-MAX(I$470:I913))/MAX(I$470:I913))</f>
        <v>-0.22786721585231193</v>
      </c>
      <c r="U913" s="564">
        <f>IF((J913-MAX(J$470:J913))/MAX(J$470:J913)&gt;U912,U912,(J913-MAX(J$470:J913))/MAX(J$470:J913))</f>
        <v>-0.40740740740740738</v>
      </c>
      <c r="V913" s="564">
        <f>IF((K913-MAX(K$470:K913))/MAX(K$470:K913)&gt;V912,V912,(K913-MAX(K$470:K913))/MAX(K$470:K913))</f>
        <v>-0.80725522782524772</v>
      </c>
      <c r="W913" s="564">
        <f>IF((N913-MAX(N$470:N913))/MAX(N$470:N913)&gt;W912,W912,(N913-MAX(N$470:N913))/MAX(N$470:N913))</f>
        <v>-0.1897647318309108</v>
      </c>
      <c r="X913" s="564">
        <f>IF((O913-MAX(O$470:O913))/MAX(O$470:O913)&gt;X912,X912,(O913-MAX(O$470:O913))/MAX(O$470:O913))</f>
        <v>-0.20159254550055417</v>
      </c>
    </row>
    <row r="914" spans="1:24">
      <c r="A914" s="799">
        <v>41316</v>
      </c>
      <c r="B914">
        <v>24.65</v>
      </c>
      <c r="C914">
        <v>157.551829</v>
      </c>
      <c r="D914">
        <v>2.6195659999999998</v>
      </c>
      <c r="E914">
        <f>LN(D914/参数实验室!$E$53)/参数实验室!$E$55</f>
        <v>0.44314429101694308</v>
      </c>
      <c r="F914">
        <f t="shared" si="88"/>
        <v>6.3915549290060856</v>
      </c>
      <c r="G914">
        <f>LN(F914/参数实验室!$E$58)/参数实验室!$E$59</f>
        <v>0.78306245628243942</v>
      </c>
      <c r="H914" s="856">
        <f>INDEX(神经网络!$G$10:$BO$70,MATCH(ROUND(G914*2,1)/2,神经网络!$E$10:$E$70,0),MATCH(ROUND(E914*2,1)/2,神经网络!$G$8:$BO$8,0))</f>
        <v>2.182701054386226</v>
      </c>
      <c r="I914">
        <f t="shared" si="80"/>
        <v>3.5034182190199346</v>
      </c>
      <c r="J914">
        <f t="shared" si="81"/>
        <v>9.8360001596105509</v>
      </c>
      <c r="K914">
        <f t="shared" si="82"/>
        <v>0.3561832210420226</v>
      </c>
      <c r="L914" s="4">
        <f>MIN(MAX(L913*(1+MAX(MIN(((B914-B913)/B913)/($K$7*卓尔金历!$N$40),0),-卓尔金历!$M$43))+MIN(MAX(((B914-B913)/B913)/($K$7*卓尔金历!$N$40),0),卓尔金历!$M$43),0),1)</f>
        <v>1</v>
      </c>
      <c r="M914" s="4">
        <f>MIN(MAX(M913*(1+MAX(MIN(((B914-B913)/B913)/($K$7*30),0),-卓尔金历!$M$43))+MIN(MAX(((B914-B913)/B913)/($K$7*7),0),卓尔金历!$M$43),0),1)</f>
        <v>1</v>
      </c>
      <c r="N914">
        <f t="shared" si="83"/>
        <v>3.1357768425622714</v>
      </c>
      <c r="O914">
        <f t="shared" si="84"/>
        <v>3.451816555734589</v>
      </c>
      <c r="P914">
        <f t="shared" si="85"/>
        <v>2.8377374863369709E-2</v>
      </c>
      <c r="Q914">
        <f t="shared" si="86"/>
        <v>2.4764258030067227E-2</v>
      </c>
      <c r="R914">
        <f t="shared" si="87"/>
        <v>2.3344871084311363E-2</v>
      </c>
      <c r="S914">
        <f t="shared" si="79"/>
        <v>1.8723425171447166</v>
      </c>
      <c r="T914" s="564">
        <f>IF((I914-MAX(I$470:I914))/MAX(I$470:I914)&gt;T913,T913,(I914-MAX(I$470:I914))/MAX(I$470:I914))</f>
        <v>-0.22786721585231193</v>
      </c>
      <c r="U914" s="564">
        <f>IF((J914-MAX(J$470:J914))/MAX(J$470:J914)&gt;U913,U913,(J914-MAX(J$470:J914))/MAX(J$470:J914))</f>
        <v>-0.40740740740740738</v>
      </c>
      <c r="V914" s="564">
        <f>IF((K914-MAX(K$470:K914))/MAX(K$470:K914)&gt;V913,V913,(K914-MAX(K$470:K914))/MAX(K$470:K914))</f>
        <v>-0.80725522782524772</v>
      </c>
      <c r="W914" s="564">
        <f>IF((N914-MAX(N$470:N914))/MAX(N$470:N914)&gt;W913,W913,(N914-MAX(N$470:N914))/MAX(N$470:N914))</f>
        <v>-0.1897647318309108</v>
      </c>
      <c r="X914" s="564">
        <f>IF((O914-MAX(O$470:O914))/MAX(O$470:O914)&gt;X913,X913,(O914-MAX(O$470:O914))/MAX(O$470:O914))</f>
        <v>-0.20159254550055417</v>
      </c>
    </row>
    <row r="915" spans="1:24">
      <c r="A915" s="799">
        <v>41317</v>
      </c>
      <c r="B915">
        <v>25.169799999999999</v>
      </c>
      <c r="C915">
        <v>157.082639</v>
      </c>
      <c r="D915">
        <v>2.6469559999999999</v>
      </c>
      <c r="E915">
        <f>LN(D915/参数实验室!$E$53)/参数实验室!$E$55</f>
        <v>0.45541566582401816</v>
      </c>
      <c r="F915">
        <f t="shared" si="88"/>
        <v>6.2409172500377439</v>
      </c>
      <c r="G915">
        <f>LN(F915/参数实验室!$E$58)/参数实验室!$E$59</f>
        <v>0.77054447222605937</v>
      </c>
      <c r="H915" s="856">
        <f>INDEX(神经网络!$G$10:$BO$70,MATCH(ROUND(G915*2,1)/2,神经网络!$E$10:$E$70,0),MATCH(ROUND(E915*2,1)/2,神经网络!$G$8:$BO$8,0))</f>
        <v>2.1621670120332066</v>
      </c>
      <c r="I915">
        <f t="shared" si="80"/>
        <v>3.6646703987436449</v>
      </c>
      <c r="J915">
        <f t="shared" si="81"/>
        <v>10.043414069670007</v>
      </c>
      <c r="K915">
        <f t="shared" si="82"/>
        <v>0.36488293456012549</v>
      </c>
      <c r="L915" s="4">
        <f>MIN(MAX(L914*(1+MAX(MIN(((B915-B914)/B914)/($K$7*卓尔金历!$N$40),0),-卓尔金历!$M$43))+MIN(MAX(((B915-B914)/B914)/($K$7*卓尔金历!$N$40),0),卓尔金历!$M$43),0),1)</f>
        <v>1</v>
      </c>
      <c r="M915" s="4">
        <f>MIN(MAX(M914*(1+MAX(MIN(((B915-B914)/B914)/($K$7*30),0),-卓尔金历!$M$43))+MIN(MAX(((B915-B914)/B914)/($K$7*7),0),卓尔金历!$M$43),0),1)</f>
        <v>1</v>
      </c>
      <c r="N915">
        <f t="shared" si="83"/>
        <v>3.2801075559909849</v>
      </c>
      <c r="O915">
        <f t="shared" si="84"/>
        <v>3.6106936605566058</v>
      </c>
      <c r="P915">
        <f t="shared" si="85"/>
        <v>2.1087221095334688E-2</v>
      </c>
      <c r="Q915">
        <f t="shared" si="86"/>
        <v>2.469429900097769E-2</v>
      </c>
      <c r="R915">
        <f t="shared" si="87"/>
        <v>0.1865798483880623</v>
      </c>
      <c r="S915">
        <f t="shared" si="79"/>
        <v>1.8743543430181115</v>
      </c>
      <c r="T915" s="564">
        <f>IF((I915-MAX(I$470:I915))/MAX(I$470:I915)&gt;T914,T914,(I915-MAX(I$470:I915))/MAX(I$470:I915))</f>
        <v>-0.22786721585231193</v>
      </c>
      <c r="U915" s="564">
        <f>IF((J915-MAX(J$470:J915))/MAX(J$470:J915)&gt;U914,U914,(J915-MAX(J$470:J915))/MAX(J$470:J915))</f>
        <v>-0.40740740740740738</v>
      </c>
      <c r="V915" s="564">
        <f>IF((K915-MAX(K$470:K915))/MAX(K$470:K915)&gt;V914,V914,(K915-MAX(K$470:K915))/MAX(K$470:K915))</f>
        <v>-0.80725522782524772</v>
      </c>
      <c r="W915" s="564">
        <f>IF((N915-MAX(N$470:N915))/MAX(N$470:N915)&gt;W914,W914,(N915-MAX(N$470:N915))/MAX(N$470:N915))</f>
        <v>-0.1897647318309108</v>
      </c>
      <c r="X915" s="564">
        <f>IF((O915-MAX(O$470:O915))/MAX(O$470:O915)&gt;X914,X914,(O915-MAX(O$470:O915))/MAX(O$470:O915))</f>
        <v>-0.20159254550055417</v>
      </c>
    </row>
    <row r="916" spans="1:24">
      <c r="A916" s="799">
        <v>41318</v>
      </c>
      <c r="B916">
        <v>24.2</v>
      </c>
      <c r="C916">
        <v>155.813008</v>
      </c>
      <c r="D916">
        <v>2.586433</v>
      </c>
      <c r="E916">
        <f>LN(D916/参数实验室!$E$53)/参数实验室!$E$55</f>
        <v>0.42812727237573167</v>
      </c>
      <c r="F916">
        <f t="shared" si="88"/>
        <v>6.4385540495867772</v>
      </c>
      <c r="G916">
        <f>LN(F916/参数实验室!$E$58)/参数实验室!$E$59</f>
        <v>0.78690775312883066</v>
      </c>
      <c r="H916" s="856">
        <f>INDEX(神经网络!$G$10:$BO$70,MATCH(ROUND(G916*2,1)/2,神经网络!$E$10:$E$70,0),MATCH(ROUND(E916*2,1)/2,神经网络!$G$8:$BO$8,0))</f>
        <v>2.182701054386226</v>
      </c>
      <c r="I916">
        <f t="shared" si="80"/>
        <v>3.3593705617618368</v>
      </c>
      <c r="J916">
        <f t="shared" si="81"/>
        <v>9.6564382905710087</v>
      </c>
      <c r="K916">
        <f t="shared" si="82"/>
        <v>0.34788919689385694</v>
      </c>
      <c r="L916" s="4">
        <f>MIN(MAX(L915*(1+MAX(MIN(((B916-B915)/B915)/($K$7*卓尔金历!$N$40),0),-卓尔金历!$M$43))+MIN(MAX(((B916-B915)/B915)/($K$7*卓尔金历!$N$40),0),卓尔金历!$M$43),0),1)</f>
        <v>0.41129395733936036</v>
      </c>
      <c r="M916" s="4">
        <f>MIN(MAX(M915*(1+MAX(MIN(((B916-B915)/B915)/($K$7*30),0),-卓尔金历!$M$43))+MIN(MAX(((B916-B915)/B915)/($K$7*7),0),卓尔金历!$M$43),0),1)</f>
        <v>0.70564697866968018</v>
      </c>
      <c r="N916">
        <f t="shared" si="83"/>
        <v>3.006845245014762</v>
      </c>
      <c r="O916">
        <f t="shared" si="84"/>
        <v>3.3098905688687164</v>
      </c>
      <c r="P916">
        <f t="shared" si="85"/>
        <v>-3.8530302187542186E-2</v>
      </c>
      <c r="Q916">
        <f t="shared" si="86"/>
        <v>2.7514824166558517E-2</v>
      </c>
      <c r="R916">
        <f t="shared" si="87"/>
        <v>1.637923262904643E-2</v>
      </c>
      <c r="S916">
        <f t="shared" si="79"/>
        <v>1.8452198084251421</v>
      </c>
      <c r="T916" s="564">
        <f>IF((I916-MAX(I$470:I916))/MAX(I$470:I916)&gt;T915,T915,(I916-MAX(I$470:I916))/MAX(I$470:I916))</f>
        <v>-0.22786721585231193</v>
      </c>
      <c r="U916" s="564">
        <f>IF((J916-MAX(J$470:J916))/MAX(J$470:J916)&gt;U915,U915,(J916-MAX(J$470:J916))/MAX(J$470:J916))</f>
        <v>-0.40740740740740738</v>
      </c>
      <c r="V916" s="564">
        <f>IF((K916-MAX(K$470:K916))/MAX(K$470:K916)&gt;V915,V915,(K916-MAX(K$470:K916))/MAX(K$470:K916))</f>
        <v>-0.80725522782524772</v>
      </c>
      <c r="W916" s="564">
        <f>IF((N916-MAX(N$470:N916))/MAX(N$470:N916)&gt;W915,W915,(N916-MAX(N$470:N916))/MAX(N$470:N916))</f>
        <v>-0.1897647318309108</v>
      </c>
      <c r="X916" s="564">
        <f>IF((O916-MAX(O$470:O916))/MAX(O$470:O916)&gt;X915,X915,(O916-MAX(O$470:O916))/MAX(O$470:O916))</f>
        <v>-0.20159254550055417</v>
      </c>
    </row>
    <row r="917" spans="1:24">
      <c r="A917" s="799">
        <v>41319</v>
      </c>
      <c r="B917">
        <v>27.220500000000001</v>
      </c>
      <c r="C917">
        <v>152.888971</v>
      </c>
      <c r="D917">
        <v>2.8173189999999999</v>
      </c>
      <c r="E917">
        <f>LN(D917/参数实验室!$E$53)/参数实验室!$E$55</f>
        <v>0.52900327345750775</v>
      </c>
      <c r="F917">
        <f t="shared" si="88"/>
        <v>5.6166848882276224</v>
      </c>
      <c r="G917">
        <f>LN(F917/参数实验室!$E$58)/参数实验室!$E$59</f>
        <v>0.71523243788683777</v>
      </c>
      <c r="H917" s="856">
        <f>INDEX(神经网络!$G$10:$BO$70,MATCH(ROUND(G917*2,1)/2,神经网络!$E$10:$E$70,0),MATCH(ROUND(E917*2,1)/2,神经网络!$G$8:$BO$8,0))</f>
        <v>2.2178386660740541</v>
      </c>
      <c r="I917">
        <f t="shared" si="80"/>
        <v>4.2745697884508083</v>
      </c>
      <c r="J917">
        <f t="shared" si="81"/>
        <v>10.861697458201991</v>
      </c>
      <c r="K917">
        <f t="shared" si="82"/>
        <v>0.39354528193224103</v>
      </c>
      <c r="L917" s="4">
        <f>MIN(MAX(L916*(1+MAX(MIN(((B917-B916)/B916)/($K$7*卓尔金历!$N$40),0),-卓尔金历!$M$43))+MIN(MAX(((B917-B916)/B916)/($K$7*卓尔金历!$N$40),0),卓尔金历!$M$43),0),1)</f>
        <v>1</v>
      </c>
      <c r="M917" s="4">
        <f>MIN(MAX(M916*(1+MAX(MIN(((B917-B916)/B916)/($K$7*30),0),-卓尔金历!$M$43))+MIN(MAX(((B917-B916)/B916)/($K$7*7),0),卓尔金历!$M$43),0),1)</f>
        <v>1</v>
      </c>
      <c r="N917">
        <f t="shared" si="83"/>
        <v>3.3437608586486243</v>
      </c>
      <c r="O917">
        <f t="shared" si="84"/>
        <v>3.9461860722316651</v>
      </c>
      <c r="P917">
        <f t="shared" si="85"/>
        <v>0.12481404958677694</v>
      </c>
      <c r="Q917">
        <f t="shared" si="86"/>
        <v>3.3805772946504463E-2</v>
      </c>
      <c r="R917">
        <f t="shared" si="87"/>
        <v>0</v>
      </c>
      <c r="S917">
        <f t="shared" si="79"/>
        <v>1.8534535909413314</v>
      </c>
      <c r="T917" s="564">
        <f>IF((I917-MAX(I$470:I917))/MAX(I$470:I917)&gt;T916,T916,(I917-MAX(I$470:I917))/MAX(I$470:I917))</f>
        <v>-0.22786721585231193</v>
      </c>
      <c r="U917" s="564">
        <f>IF((J917-MAX(J$470:J917))/MAX(J$470:J917)&gt;U916,U916,(J917-MAX(J$470:J917))/MAX(J$470:J917))</f>
        <v>-0.40740740740740738</v>
      </c>
      <c r="V917" s="564">
        <f>IF((K917-MAX(K$470:K917))/MAX(K$470:K917)&gt;V916,V916,(K917-MAX(K$470:K917))/MAX(K$470:K917))</f>
        <v>-0.80725522782524772</v>
      </c>
      <c r="W917" s="564">
        <f>IF((N917-MAX(N$470:N917))/MAX(N$470:N917)&gt;W916,W916,(N917-MAX(N$470:N917))/MAX(N$470:N917))</f>
        <v>-0.1897647318309108</v>
      </c>
      <c r="X917" s="564">
        <f>IF((O917-MAX(O$470:O917))/MAX(O$470:O917)&gt;X916,X916,(O917-MAX(O$470:O917))/MAX(O$470:O917))</f>
        <v>-0.20159254550055417</v>
      </c>
    </row>
    <row r="918" spans="1:24">
      <c r="A918" s="799">
        <v>41320</v>
      </c>
      <c r="B918">
        <v>27.1</v>
      </c>
      <c r="C918">
        <v>148.294096</v>
      </c>
      <c r="D918">
        <v>2.7638850000000001</v>
      </c>
      <c r="E918">
        <f>LN(D918/参数实验室!$E$53)/参数实验室!$E$55</f>
        <v>0.50641285712701134</v>
      </c>
      <c r="F918">
        <f t="shared" si="88"/>
        <v>5.4721068634686345</v>
      </c>
      <c r="G918">
        <f>LN(F918/参数实验室!$E$58)/参数实验室!$E$59</f>
        <v>0.70154534503720967</v>
      </c>
      <c r="H918" s="856">
        <f>INDEX(神经网络!$G$10:$BO$70,MATCH(ROUND(G918*2,1)/2,神经网络!$E$10:$E$70,0),MATCH(ROUND(E918*2,1)/2,神经网络!$G$8:$BO$8,0))</f>
        <v>2.1827064438667452</v>
      </c>
      <c r="I918">
        <f t="shared" si="80"/>
        <v>4.2326022679424486</v>
      </c>
      <c r="J918">
        <f t="shared" si="81"/>
        <v>10.813614779936957</v>
      </c>
      <c r="K918">
        <f t="shared" si="82"/>
        <v>0.39141418980407999</v>
      </c>
      <c r="L918" s="4">
        <f>MIN(MAX(L917*(1+MAX(MIN(((B918-B917)/B917)/($K$7*卓尔金历!$N$40),0),-卓尔金历!$M$43))+MIN(MAX(((B918-B917)/B917)/($K$7*卓尔金历!$N$40),0),卓尔金历!$M$43),0),1)</f>
        <v>0.93236258096653535</v>
      </c>
      <c r="M918" s="4">
        <f>MIN(MAX(M917*(1+MAX(MIN(((B918-B917)/B917)/($K$7*30),0),-卓尔金历!$M$43))+MIN(MAX(((B918-B917)/B917)/($K$7*7),0),卓尔金历!$M$43),0),1)</f>
        <v>0.96618129048326773</v>
      </c>
      <c r="N918">
        <f t="shared" si="83"/>
        <v>3.3109319754263797</v>
      </c>
      <c r="O918">
        <f t="shared" si="84"/>
        <v>3.9074426072486763</v>
      </c>
      <c r="P918">
        <f t="shared" si="85"/>
        <v>-4.4268106757774407E-3</v>
      </c>
      <c r="Q918">
        <f t="shared" si="86"/>
        <v>3.4285099765385789E-2</v>
      </c>
      <c r="R918">
        <f t="shared" si="87"/>
        <v>1</v>
      </c>
      <c r="S918">
        <f t="shared" si="79"/>
        <v>1.8534535909413314</v>
      </c>
      <c r="T918" s="564">
        <f>IF((I918-MAX(I$470:I918))/MAX(I$470:I918)&gt;T917,T917,(I918-MAX(I$470:I918))/MAX(I$470:I918))</f>
        <v>-0.22786721585231193</v>
      </c>
      <c r="U918" s="564">
        <f>IF((J918-MAX(J$470:J918))/MAX(J$470:J918)&gt;U917,U917,(J918-MAX(J$470:J918))/MAX(J$470:J918))</f>
        <v>-0.40740740740740738</v>
      </c>
      <c r="V918" s="564">
        <f>IF((K918-MAX(K$470:K918))/MAX(K$470:K918)&gt;V917,V917,(K918-MAX(K$470:K918))/MAX(K$470:K918))</f>
        <v>-0.80725522782524772</v>
      </c>
      <c r="W918" s="564">
        <f>IF((N918-MAX(N$470:N918))/MAX(N$470:N918)&gt;W917,W917,(N918-MAX(N$470:N918))/MAX(N$470:N918))</f>
        <v>-0.1897647318309108</v>
      </c>
      <c r="X918" s="564">
        <f>IF((O918-MAX(O$470:O918))/MAX(O$470:O918)&gt;X917,X917,(O918-MAX(O$470:O918))/MAX(O$470:O918))</f>
        <v>-0.20159254550055417</v>
      </c>
    </row>
    <row r="919" spans="1:24">
      <c r="A919" s="799">
        <v>41321</v>
      </c>
      <c r="B919">
        <v>27.215800000000002</v>
      </c>
      <c r="C919">
        <v>141.110275</v>
      </c>
      <c r="D919">
        <v>2.755414</v>
      </c>
      <c r="E919">
        <f>LN(D919/参数实验室!$E$53)/参数实验室!$E$55</f>
        <v>0.50279149232081233</v>
      </c>
      <c r="F919">
        <f t="shared" si="88"/>
        <v>5.184865960214287</v>
      </c>
      <c r="G919">
        <f>LN(F919/参数实验室!$E$58)/参数实验室!$E$59</f>
        <v>0.67324536231970944</v>
      </c>
      <c r="H919" s="856">
        <f>INDEX(神经网络!$G$10:$BO$70,MATCH(ROUND(G919*2,1)/2,神经网络!$E$10:$E$70,0),MATCH(ROUND(E919*2,1)/2,神经网络!$G$8:$BO$8,0))</f>
        <v>2.1621728962195927</v>
      </c>
      <c r="I919">
        <f t="shared" si="80"/>
        <v>4.2720790786701386</v>
      </c>
      <c r="J919">
        <f t="shared" si="81"/>
        <v>10.859822034236467</v>
      </c>
      <c r="K919">
        <f t="shared" si="82"/>
        <v>0.39338389387985029</v>
      </c>
      <c r="L919" s="4">
        <f>MIN(MAX(L918*(1+MAX(MIN(((B919-B918)/B918)/($K$7*卓尔金历!$N$40),0),-卓尔金历!$M$43))+MIN(MAX(((B919-B918)/B918)/($K$7*卓尔金历!$N$40),0),卓尔金历!$M$43),0),1)</f>
        <v>0.99765087893897175</v>
      </c>
      <c r="M919" s="4">
        <f>MIN(MAX(M918*(1+MAX(MIN(((B919-B918)/B918)/($K$7*30),0),-卓尔金历!$M$43))+MIN(MAX(((B919-B918)/B918)/($K$7*7),0),卓尔金历!$M$43),0),1)</f>
        <v>1</v>
      </c>
      <c r="N919">
        <f t="shared" si="83"/>
        <v>3.3397238334830828</v>
      </c>
      <c r="O919">
        <f t="shared" si="84"/>
        <v>3.9426542129733275</v>
      </c>
      <c r="P919">
        <f t="shared" si="85"/>
        <v>4.2730627306273106E-3</v>
      </c>
      <c r="Q919">
        <f t="shared" si="86"/>
        <v>3.4459666275845395E-2</v>
      </c>
      <c r="R919">
        <f t="shared" si="87"/>
        <v>1</v>
      </c>
      <c r="S919">
        <f t="shared" ref="S919:S982" si="89">S918*(1+(B919-B918)/B918*H918*R918)</f>
        <v>1.8707404589176404</v>
      </c>
      <c r="T919" s="564">
        <f>IF((I919-MAX(I$470:I919))/MAX(I$470:I919)&gt;T918,T918,(I919-MAX(I$470:I919))/MAX(I$470:I919))</f>
        <v>-0.22786721585231193</v>
      </c>
      <c r="U919" s="564">
        <f>IF((J919-MAX(J$470:J919))/MAX(J$470:J919)&gt;U918,U918,(J919-MAX(J$470:J919))/MAX(J$470:J919))</f>
        <v>-0.40740740740740738</v>
      </c>
      <c r="V919" s="564">
        <f>IF((K919-MAX(K$470:K919))/MAX(K$470:K919)&gt;V918,V918,(K919-MAX(K$470:K919))/MAX(K$470:K919))</f>
        <v>-0.80725522782524772</v>
      </c>
      <c r="W919" s="564">
        <f>IF((N919-MAX(N$470:N919))/MAX(N$470:N919)&gt;W918,W918,(N919-MAX(N$470:N919))/MAX(N$470:N919))</f>
        <v>-0.1897647318309108</v>
      </c>
      <c r="X919" s="564">
        <f>IF((O919-MAX(O$470:O919))/MAX(O$470:O919)&gt;X918,X918,(O919-MAX(O$470:O919))/MAX(O$470:O919))</f>
        <v>-0.20159254550055417</v>
      </c>
    </row>
    <row r="920" spans="1:24">
      <c r="A920" s="799">
        <v>41322</v>
      </c>
      <c r="B920">
        <v>26.814599999999999</v>
      </c>
      <c r="C920">
        <v>135.33716100000001</v>
      </c>
      <c r="D920">
        <v>2.6934179999999999</v>
      </c>
      <c r="E920">
        <f>LN(D920/参数实验室!$E$53)/参数实验室!$E$55</f>
        <v>0.47594421992086727</v>
      </c>
      <c r="F920">
        <f t="shared" si="88"/>
        <v>5.0471445033675693</v>
      </c>
      <c r="G920">
        <f>LN(F920/参数实验室!$E$58)/参数实验室!$E$59</f>
        <v>0.65911558218765764</v>
      </c>
      <c r="H920" s="856">
        <f>INDEX(神经网络!$G$10:$BO$70,MATCH(ROUND(G920*2,1)/2,神经网络!$E$10:$E$70,0),MATCH(ROUND(E920*2,1)/2,神经网络!$G$8:$BO$8,0))</f>
        <v>2.1621728962195927</v>
      </c>
      <c r="I920">
        <f t="shared" ref="I920:I983" si="90">I919*(1+(B920-B919)/B919*H919)</f>
        <v>4.1359128147324169</v>
      </c>
      <c r="J920">
        <f t="shared" ref="J920:J983" si="91">J919*B920/B919</f>
        <v>10.699732652328322</v>
      </c>
      <c r="K920">
        <f t="shared" ref="K920:K983" si="92">I920/J920</f>
        <v>0.38654356600512063</v>
      </c>
      <c r="L920" s="4">
        <f>MIN(MAX(L919*(1+MAX(MIN(((B920-B919)/B919)/($K$7*卓尔金历!$N$40),0),-卓尔金历!$M$43))+MIN(MAX(((B920-B919)/B919)/($K$7*卓尔金历!$N$40),0),卓尔金历!$M$43),0),1)</f>
        <v>0.77294497280463825</v>
      </c>
      <c r="M920" s="4">
        <f>MIN(MAX(M919*(1+MAX(MIN(((B920-B919)/B919)/($K$7*30),0),-卓尔金历!$M$43))+MIN(MAX(((B920-B919)/B919)/($K$7*7),0),卓尔金历!$M$43),0),1)</f>
        <v>0.88738249477947928</v>
      </c>
      <c r="N920">
        <f t="shared" ref="N920:N983" si="93">N919*(1+(B920-B919)/B919*H919*L919)</f>
        <v>3.2335250886321929</v>
      </c>
      <c r="O920">
        <f t="shared" ref="O920:O983" si="94">O919*(1+(B920-B919)/B919*H919*M919)</f>
        <v>3.8169878841688485</v>
      </c>
      <c r="P920">
        <f t="shared" ref="P920:P983" si="95">(B920-B919)/B919</f>
        <v>-1.4741436959413387E-2</v>
      </c>
      <c r="Q920">
        <f t="shared" si="86"/>
        <v>3.4918363942338063E-2</v>
      </c>
      <c r="R920">
        <f t="shared" si="87"/>
        <v>0.92652648623579048</v>
      </c>
      <c r="S920">
        <f t="shared" si="89"/>
        <v>1.8111133465919831</v>
      </c>
      <c r="T920" s="564">
        <f>IF((I920-MAX(I$470:I920))/MAX(I$470:I920)&gt;T919,T919,(I920-MAX(I$470:I920))/MAX(I$470:I920))</f>
        <v>-0.22786721585231193</v>
      </c>
      <c r="U920" s="564">
        <f>IF((J920-MAX(J$470:J920))/MAX(J$470:J920)&gt;U919,U919,(J920-MAX(J$470:J920))/MAX(J$470:J920))</f>
        <v>-0.40740740740740738</v>
      </c>
      <c r="V920" s="564">
        <f>IF((K920-MAX(K$470:K920))/MAX(K$470:K920)&gt;V919,V919,(K920-MAX(K$470:K920))/MAX(K$470:K920))</f>
        <v>-0.80725522782524772</v>
      </c>
      <c r="W920" s="564">
        <f>IF((N920-MAX(N$470:N920))/MAX(N$470:N920)&gt;W919,W919,(N920-MAX(N$470:N920))/MAX(N$470:N920))</f>
        <v>-0.1897647318309108</v>
      </c>
      <c r="X920" s="564">
        <f>IF((O920-MAX(O$470:O920))/MAX(O$470:O920)&gt;X919,X919,(O920-MAX(O$470:O920))/MAX(O$470:O920))</f>
        <v>-0.20159254550055417</v>
      </c>
    </row>
    <row r="921" spans="1:24">
      <c r="A921" s="799">
        <v>41323</v>
      </c>
      <c r="B921">
        <v>26.95</v>
      </c>
      <c r="C921">
        <v>134.898517</v>
      </c>
      <c r="D921">
        <v>2.6752799999999999</v>
      </c>
      <c r="E921">
        <f>LN(D921/参数实验室!$E$53)/参数实验室!$E$55</f>
        <v>0.46797266117275826</v>
      </c>
      <c r="F921">
        <f t="shared" si="88"/>
        <v>5.0055108348794066</v>
      </c>
      <c r="G921">
        <f>LN(F921/参数实验室!$E$58)/参数实验室!$E$59</f>
        <v>0.65476812901494275</v>
      </c>
      <c r="H921" s="856">
        <f>INDEX(神经网络!$G$10:$BO$70,MATCH(ROUND(G921*2,1)/2,神经网络!$E$10:$E$70,0),MATCH(ROUND(E921*2,1)/2,神经网络!$G$8:$BO$8,0))</f>
        <v>2.120191291536718</v>
      </c>
      <c r="I921">
        <f t="shared" si="90"/>
        <v>4.1810681567091681</v>
      </c>
      <c r="J921">
        <f t="shared" si="91"/>
        <v>10.753760823590444</v>
      </c>
      <c r="K921">
        <f t="shared" si="92"/>
        <v>0.38880055315505907</v>
      </c>
      <c r="L921" s="4">
        <f>MIN(MAX(L920*(1+MAX(MIN(((B921-B920)/B920)/($K$7*卓尔金历!$N$40),0),-卓尔金历!$M$43))+MIN(MAX(((B921-B920)/B920)/($K$7*卓尔金历!$N$40),0),卓尔金历!$M$43),0),1)</f>
        <v>0.85009630328654262</v>
      </c>
      <c r="M921" s="4">
        <f>MIN(MAX(M920*(1+MAX(MIN(((B921-B920)/B920)/($K$7*30),0),-卓尔金历!$M$43))+MIN(MAX(((B921-B920)/B920)/($K$7*7),0),卓尔金历!$M$43),0),1)</f>
        <v>1</v>
      </c>
      <c r="N921">
        <f t="shared" si="93"/>
        <v>3.2608125147158629</v>
      </c>
      <c r="O921">
        <f t="shared" si="94"/>
        <v>3.8539680963856031</v>
      </c>
      <c r="P921">
        <f t="shared" si="95"/>
        <v>5.0494879655113498E-3</v>
      </c>
      <c r="Q921">
        <f t="shared" si="86"/>
        <v>3.4372720889942171E-2</v>
      </c>
      <c r="R921">
        <f t="shared" si="87"/>
        <v>1</v>
      </c>
      <c r="S921">
        <f t="shared" si="89"/>
        <v>1.8294340114549286</v>
      </c>
      <c r="T921" s="564">
        <f>IF((I921-MAX(I$470:I921))/MAX(I$470:I921)&gt;T920,T920,(I921-MAX(I$470:I921))/MAX(I$470:I921))</f>
        <v>-0.22786721585231193</v>
      </c>
      <c r="U921" s="564">
        <f>IF((J921-MAX(J$470:J921))/MAX(J$470:J921)&gt;U920,U920,(J921-MAX(J$470:J921))/MAX(J$470:J921))</f>
        <v>-0.40740740740740738</v>
      </c>
      <c r="V921" s="564">
        <f>IF((K921-MAX(K$470:K921))/MAX(K$470:K921)&gt;V920,V920,(K921-MAX(K$470:K921))/MAX(K$470:K921))</f>
        <v>-0.80725522782524772</v>
      </c>
      <c r="W921" s="564">
        <f>IF((N921-MAX(N$470:N921))/MAX(N$470:N921)&gt;W920,W920,(N921-MAX(N$470:N921))/MAX(N$470:N921))</f>
        <v>-0.1897647318309108</v>
      </c>
      <c r="X921" s="564">
        <f>IF((O921-MAX(O$470:O921))/MAX(O$470:O921)&gt;X920,X920,(O921-MAX(O$470:O921))/MAX(O$470:O921))</f>
        <v>-0.20159254550055417</v>
      </c>
    </row>
    <row r="922" spans="1:24">
      <c r="A922" s="799">
        <v>41324</v>
      </c>
      <c r="B922">
        <v>29.4176</v>
      </c>
      <c r="C922">
        <v>132.589054</v>
      </c>
      <c r="D922">
        <v>2.879054</v>
      </c>
      <c r="E922">
        <f>LN(D922/参数实验室!$E$53)/参数实验室!$E$55</f>
        <v>0.55457565721069446</v>
      </c>
      <c r="F922">
        <f t="shared" si="88"/>
        <v>4.5071336206896557</v>
      </c>
      <c r="G922">
        <f>LN(F922/参数实验室!$E$58)/参数实验室!$E$59</f>
        <v>0.59972244373457018</v>
      </c>
      <c r="H922" s="856">
        <f>INDEX(神经网络!$G$10:$BO$70,MATCH(ROUND(G922*2,1)/2,神经网络!$E$10:$E$70,0),MATCH(ROUND(E922*2,1)/2,神经网络!$G$8:$BO$8,0))</f>
        <v>2.1827094382071279</v>
      </c>
      <c r="I922">
        <f t="shared" si="90"/>
        <v>4.9927358975172176</v>
      </c>
      <c r="J922">
        <f t="shared" si="91"/>
        <v>11.738398308128174</v>
      </c>
      <c r="K922">
        <f t="shared" si="92"/>
        <v>0.42533365851625871</v>
      </c>
      <c r="L922" s="4">
        <f>MIN(MAX(L921*(1+MAX(MIN(((B922-B921)/B921)/($K$7*卓尔金历!$N$40),0),-卓尔金历!$M$43))+MIN(MAX(((B922-B921)/B921)/($K$7*卓尔金历!$N$40),0),卓尔金历!$M$43),0),1)</f>
        <v>1</v>
      </c>
      <c r="M922" s="4">
        <f>MIN(MAX(M921*(1+MAX(MIN(((B922-B921)/B921)/($K$7*30),0),-卓尔金历!$M$43))+MIN(MAX(((B922-B921)/B921)/($K$7*7),0),卓尔金历!$M$43),0),1)</f>
        <v>1</v>
      </c>
      <c r="N922">
        <f t="shared" si="93"/>
        <v>3.7989397777000167</v>
      </c>
      <c r="O922">
        <f t="shared" si="94"/>
        <v>4.6021361387840551</v>
      </c>
      <c r="P922">
        <f t="shared" si="95"/>
        <v>9.1562152133580738E-2</v>
      </c>
      <c r="Q922">
        <f t="shared" si="86"/>
        <v>3.746740099826195E-2</v>
      </c>
      <c r="R922">
        <f t="shared" si="87"/>
        <v>3.6590877887794165E-3</v>
      </c>
      <c r="S922">
        <f t="shared" si="89"/>
        <v>2.1845807144935505</v>
      </c>
      <c r="T922" s="564">
        <f>IF((I922-MAX(I$470:I922))/MAX(I$470:I922)&gt;T921,T921,(I922-MAX(I$470:I922))/MAX(I$470:I922))</f>
        <v>-0.22786721585231193</v>
      </c>
      <c r="U922" s="564">
        <f>IF((J922-MAX(J$470:J922))/MAX(J$470:J922)&gt;U921,U921,(J922-MAX(J$470:J922))/MAX(J$470:J922))</f>
        <v>-0.40740740740740738</v>
      </c>
      <c r="V922" s="564">
        <f>IF((K922-MAX(K$470:K922))/MAX(K$470:K922)&gt;V921,V921,(K922-MAX(K$470:K922))/MAX(K$470:K922))</f>
        <v>-0.80725522782524772</v>
      </c>
      <c r="W922" s="564">
        <f>IF((N922-MAX(N$470:N922))/MAX(N$470:N922)&gt;W921,W921,(N922-MAX(N$470:N922))/MAX(N$470:N922))</f>
        <v>-0.1897647318309108</v>
      </c>
      <c r="X922" s="564">
        <f>IF((O922-MAX(O$470:O922))/MAX(O$470:O922)&gt;X921,X921,(O922-MAX(O$470:O922))/MAX(O$470:O922))</f>
        <v>-0.20159254550055417</v>
      </c>
    </row>
    <row r="923" spans="1:24">
      <c r="A923" s="799">
        <v>41325</v>
      </c>
      <c r="B923">
        <v>29.645</v>
      </c>
      <c r="C923">
        <v>127.76801399999999</v>
      </c>
      <c r="D923">
        <v>2.8862540000000001</v>
      </c>
      <c r="E923">
        <f>LN(D923/参数实验室!$E$53)/参数实验室!$E$55</f>
        <v>0.55752232641641108</v>
      </c>
      <c r="F923">
        <f t="shared" si="88"/>
        <v>4.3099346938775511</v>
      </c>
      <c r="G923">
        <f>LN(F923/参数实验室!$E$58)/参数实验室!$E$59</f>
        <v>0.5762411882420897</v>
      </c>
      <c r="H923" s="856">
        <f>INDEX(神经网络!$G$10:$BO$70,MATCH(ROUND(G923*2,1)/2,神经网络!$E$10:$E$70,0),MATCH(ROUND(E923*2,1)/2,神经网络!$G$8:$BO$8,0))</f>
        <v>2.1827094382071279</v>
      </c>
      <c r="I923">
        <f t="shared" si="90"/>
        <v>5.0769757779828337</v>
      </c>
      <c r="J923">
        <f t="shared" si="91"/>
        <v>11.82913690594949</v>
      </c>
      <c r="K923">
        <f t="shared" si="92"/>
        <v>0.42919241009285791</v>
      </c>
      <c r="L923" s="4">
        <f>MIN(MAX(L922*(1+MAX(MIN(((B923-B922)/B922)/($K$7*卓尔金历!$N$40),0),-卓尔金历!$M$43))+MIN(MAX(((B923-B922)/B922)/($K$7*卓尔金历!$N$40),0),卓尔金历!$M$43),0),1)</f>
        <v>1</v>
      </c>
      <c r="M923" s="4">
        <f>MIN(MAX(M922*(1+MAX(MIN(((B923-B922)/B922)/($K$7*30),0),-卓尔金历!$M$43))+MIN(MAX(((B923-B922)/B922)/($K$7*7),0),卓尔金历!$M$43),0),1)</f>
        <v>1</v>
      </c>
      <c r="N923">
        <f t="shared" si="93"/>
        <v>3.863037346515676</v>
      </c>
      <c r="O923">
        <f t="shared" si="94"/>
        <v>4.6797856291988085</v>
      </c>
      <c r="P923">
        <f t="shared" si="95"/>
        <v>7.7300663548351793E-3</v>
      </c>
      <c r="Q923">
        <f t="shared" si="86"/>
        <v>3.7485912104693521E-2</v>
      </c>
      <c r="R923">
        <f t="shared" si="87"/>
        <v>1</v>
      </c>
      <c r="S923">
        <f t="shared" si="89"/>
        <v>2.1847155859579113</v>
      </c>
      <c r="T923" s="564">
        <f>IF((I923-MAX(I$470:I923))/MAX(I$470:I923)&gt;T922,T922,(I923-MAX(I$470:I923))/MAX(I$470:I923))</f>
        <v>-0.22786721585231193</v>
      </c>
      <c r="U923" s="564">
        <f>IF((J923-MAX(J$470:J923))/MAX(J$470:J923)&gt;U922,U922,(J923-MAX(J$470:J923))/MAX(J$470:J923))</f>
        <v>-0.40740740740740738</v>
      </c>
      <c r="V923" s="564">
        <f>IF((K923-MAX(K$470:K923))/MAX(K$470:K923)&gt;V922,V922,(K923-MAX(K$470:K923))/MAX(K$470:K923))</f>
        <v>-0.80725522782524772</v>
      </c>
      <c r="W923" s="564">
        <f>IF((N923-MAX(N$470:N923))/MAX(N$470:N923)&gt;W922,W922,(N923-MAX(N$470:N923))/MAX(N$470:N923))</f>
        <v>-0.1897647318309108</v>
      </c>
      <c r="X923" s="564">
        <f>IF((O923-MAX(O$470:O923))/MAX(O$470:O923)&gt;X922,X922,(O923-MAX(O$470:O923))/MAX(O$470:O923))</f>
        <v>-0.20159254550055417</v>
      </c>
    </row>
    <row r="924" spans="1:24">
      <c r="A924" s="799">
        <v>41326</v>
      </c>
      <c r="B924">
        <v>29.747699999999998</v>
      </c>
      <c r="C924">
        <v>125.405629</v>
      </c>
      <c r="D924">
        <v>2.8644690000000002</v>
      </c>
      <c r="E924">
        <f>LN(D924/参数实验室!$E$53)/参数实验室!$E$55</f>
        <v>0.54858395558468431</v>
      </c>
      <c r="F924">
        <f t="shared" si="88"/>
        <v>4.2156411756203003</v>
      </c>
      <c r="G924">
        <f>LN(F924/参数实验室!$E$58)/参数实验室!$E$59</f>
        <v>0.56463086345641278</v>
      </c>
      <c r="H924" s="856">
        <f>INDEX(神经网络!$G$10:$BO$70,MATCH(ROUND(G924*2,1)/2,神经网络!$E$10:$E$70,0),MATCH(ROUND(E924*2,1)/2,神经网络!$G$8:$BO$8,0))</f>
        <v>2.1621748446695079</v>
      </c>
      <c r="I924">
        <f t="shared" si="90"/>
        <v>5.1153659454571194</v>
      </c>
      <c r="J924">
        <f t="shared" si="91"/>
        <v>11.870116914728069</v>
      </c>
      <c r="K924">
        <f t="shared" si="92"/>
        <v>0.43094486618831307</v>
      </c>
      <c r="L924" s="4">
        <f>MIN(MAX(L923*(1+MAX(MIN(((B924-B923)/B923)/($K$7*卓尔金历!$N$40),0),-卓尔金历!$M$43))+MIN(MAX(((B924-B923)/B923)/($K$7*卓尔金历!$N$40),0),卓尔金历!$M$43),0),1)</f>
        <v>1</v>
      </c>
      <c r="M924" s="4">
        <f>MIN(MAX(M923*(1+MAX(MIN(((B924-B923)/B923)/($K$7*30),0),-卓尔金历!$M$43))+MIN(MAX(((B924-B923)/B923)/($K$7*7),0),卓尔金历!$M$43),0),1)</f>
        <v>1</v>
      </c>
      <c r="N924">
        <f t="shared" si="93"/>
        <v>3.8922481714590007</v>
      </c>
      <c r="O924">
        <f t="shared" si="94"/>
        <v>4.7151723952392954</v>
      </c>
      <c r="P924">
        <f t="shared" si="95"/>
        <v>3.4643278799122513E-3</v>
      </c>
      <c r="Q924">
        <f t="shared" si="86"/>
        <v>3.7477552736902911E-2</v>
      </c>
      <c r="R924">
        <f t="shared" si="87"/>
        <v>1</v>
      </c>
      <c r="S924">
        <f t="shared" si="89"/>
        <v>2.2012355775624268</v>
      </c>
      <c r="T924" s="564">
        <f>IF((I924-MAX(I$470:I924))/MAX(I$470:I924)&gt;T923,T923,(I924-MAX(I$470:I924))/MAX(I$470:I924))</f>
        <v>-0.22786721585231193</v>
      </c>
      <c r="U924" s="564">
        <f>IF((J924-MAX(J$470:J924))/MAX(J$470:J924)&gt;U923,U923,(J924-MAX(J$470:J924))/MAX(J$470:J924))</f>
        <v>-0.40740740740740738</v>
      </c>
      <c r="V924" s="564">
        <f>IF((K924-MAX(K$470:K924))/MAX(K$470:K924)&gt;V923,V923,(K924-MAX(K$470:K924))/MAX(K$470:K924))</f>
        <v>-0.80725522782524772</v>
      </c>
      <c r="W924" s="564">
        <f>IF((N924-MAX(N$470:N924))/MAX(N$470:N924)&gt;W923,W923,(N924-MAX(N$470:N924))/MAX(N$470:N924))</f>
        <v>-0.1897647318309108</v>
      </c>
      <c r="X924" s="564">
        <f>IF((O924-MAX(O$470:O924))/MAX(O$470:O924)&gt;X923,X923,(O924-MAX(O$470:O924))/MAX(O$470:O924))</f>
        <v>-0.20159254550055417</v>
      </c>
    </row>
    <row r="925" spans="1:24">
      <c r="A925" s="799">
        <v>41327</v>
      </c>
      <c r="B925">
        <v>30.2454</v>
      </c>
      <c r="C925">
        <v>122.187561</v>
      </c>
      <c r="D925">
        <v>2.8951060000000002</v>
      </c>
      <c r="E925">
        <f>LN(D925/参数实验室!$E$53)/参数实验室!$E$55</f>
        <v>0.56113503480214721</v>
      </c>
      <c r="F925">
        <f t="shared" si="88"/>
        <v>4.0398725426015201</v>
      </c>
      <c r="G925">
        <f>LN(F925/参数实验室!$E$58)/参数实验室!$E$59</f>
        <v>0.54227808825143431</v>
      </c>
      <c r="H925" s="856">
        <f>INDEX(神经网络!$G$10:$BO$70,MATCH(ROUND(G925*2,1)/2,神经网络!$E$10:$E$70,0),MATCH(ROUND(E925*2,1)/2,神经网络!$G$8:$BO$8,0))</f>
        <v>2.1621748446695079</v>
      </c>
      <c r="I925">
        <f t="shared" si="90"/>
        <v>5.3004128249962301</v>
      </c>
      <c r="J925">
        <f t="shared" si="91"/>
        <v>12.068712341885805</v>
      </c>
      <c r="K925">
        <f t="shared" si="92"/>
        <v>0.43918627562284002</v>
      </c>
      <c r="L925" s="4">
        <f>MIN(MAX(L924*(1+MAX(MIN(((B925-B924)/B924)/($K$7*卓尔金历!$N$40),0),-卓尔金历!$M$43))+MIN(MAX(((B925-B924)/B924)/($K$7*卓尔金历!$N$40),0),卓尔金历!$M$43),0),1)</f>
        <v>1</v>
      </c>
      <c r="M925" s="4">
        <f>MIN(MAX(M924*(1+MAX(MIN(((B925-B924)/B924)/($K$7*30),0),-卓尔金历!$M$43))+MIN(MAX(((B925-B924)/B924)/($K$7*7),0),卓尔金历!$M$43),0),1)</f>
        <v>1</v>
      </c>
      <c r="N925">
        <f t="shared" si="93"/>
        <v>4.033049120247413</v>
      </c>
      <c r="O925">
        <f t="shared" si="94"/>
        <v>4.8857423891617957</v>
      </c>
      <c r="P925">
        <f t="shared" si="95"/>
        <v>1.673070523099271E-2</v>
      </c>
      <c r="Q925">
        <f t="shared" si="86"/>
        <v>3.7343340939724995E-2</v>
      </c>
      <c r="R925">
        <f t="shared" si="87"/>
        <v>0.87047755467605337</v>
      </c>
      <c r="S925">
        <f t="shared" si="89"/>
        <v>2.2808646361872831</v>
      </c>
      <c r="T925" s="564">
        <f>IF((I925-MAX(I$470:I925))/MAX(I$470:I925)&gt;T924,T924,(I925-MAX(I$470:I925))/MAX(I$470:I925))</f>
        <v>-0.22786721585231193</v>
      </c>
      <c r="U925" s="564">
        <f>IF((J925-MAX(J$470:J925))/MAX(J$470:J925)&gt;U924,U924,(J925-MAX(J$470:J925))/MAX(J$470:J925))</f>
        <v>-0.40740740740740738</v>
      </c>
      <c r="V925" s="564">
        <f>IF((K925-MAX(K$470:K925))/MAX(K$470:K925)&gt;V924,V924,(K925-MAX(K$470:K925))/MAX(K$470:K925))</f>
        <v>-0.80725522782524772</v>
      </c>
      <c r="W925" s="564">
        <f>IF((N925-MAX(N$470:N925))/MAX(N$470:N925)&gt;W924,W924,(N925-MAX(N$470:N925))/MAX(N$470:N925))</f>
        <v>-0.1897647318309108</v>
      </c>
      <c r="X925" s="564">
        <f>IF((O925-MAX(O$470:O925))/MAX(O$470:O925)&gt;X924,X924,(O925-MAX(O$470:O925))/MAX(O$470:O925))</f>
        <v>-0.20159254550055417</v>
      </c>
    </row>
    <row r="926" spans="1:24">
      <c r="A926" s="799">
        <v>41328</v>
      </c>
      <c r="B926">
        <v>29.8</v>
      </c>
      <c r="C926">
        <v>121.73832400000001</v>
      </c>
      <c r="D926">
        <v>2.8151359999999999</v>
      </c>
      <c r="E926">
        <f>LN(D926/参数实验室!$E$53)/参数实验室!$E$55</f>
        <v>0.52808878715959828</v>
      </c>
      <c r="F926">
        <f t="shared" si="88"/>
        <v>4.0851786577181208</v>
      </c>
      <c r="G926">
        <f>LN(F926/参数实验室!$E$58)/参数实验室!$E$59</f>
        <v>0.54813142838860152</v>
      </c>
      <c r="H926" s="856">
        <f>INDEX(神经网络!$G$10:$BO$70,MATCH(ROUND(G926*2,1)/2,神经网络!$E$10:$E$70,0),MATCH(ROUND(E926*2,1)/2,神经网络!$G$8:$BO$8,0))</f>
        <v>2.1621748446695079</v>
      </c>
      <c r="I926">
        <f t="shared" si="90"/>
        <v>5.1316443264548157</v>
      </c>
      <c r="J926">
        <f t="shared" si="91"/>
        <v>11.890985994174221</v>
      </c>
      <c r="K926">
        <f t="shared" si="92"/>
        <v>0.43155751162847006</v>
      </c>
      <c r="L926" s="4">
        <f>MIN(MAX(L925*(1+MAX(MIN(((B926-B925)/B925)/($K$7*卓尔金历!$N$40),0),-卓尔金历!$M$43))+MIN(MAX(((B926-B925)/B925)/($K$7*卓尔金历!$N$40),0),卓尔金历!$M$43),0),1)</f>
        <v>0.77499769943216945</v>
      </c>
      <c r="M926" s="4">
        <f>MIN(MAX(M925*(1+MAX(MIN(((B926-B925)/B925)/($K$7*30),0),-卓尔金历!$M$43))+MIN(MAX(((B926-B925)/B925)/($K$7*7),0),卓尔金历!$M$43),0),1)</f>
        <v>0.88749884971608473</v>
      </c>
      <c r="N926">
        <f t="shared" si="93"/>
        <v>3.9046342840750228</v>
      </c>
      <c r="O926">
        <f t="shared" si="94"/>
        <v>4.7301772597080225</v>
      </c>
      <c r="P926">
        <f t="shared" si="95"/>
        <v>-1.4726206299139682E-2</v>
      </c>
      <c r="Q926">
        <f t="shared" si="86"/>
        <v>3.5588176198777834E-2</v>
      </c>
      <c r="R926">
        <f t="shared" si="87"/>
        <v>0.95267934298616608</v>
      </c>
      <c r="S926">
        <f t="shared" si="89"/>
        <v>2.2176469233269431</v>
      </c>
      <c r="T926" s="564">
        <f>IF((I926-MAX(I$470:I926))/MAX(I$470:I926)&gt;T925,T925,(I926-MAX(I$470:I926))/MAX(I$470:I926))</f>
        <v>-0.22786721585231193</v>
      </c>
      <c r="U926" s="564">
        <f>IF((J926-MAX(J$470:J926))/MAX(J$470:J926)&gt;U925,U925,(J926-MAX(J$470:J926))/MAX(J$470:J926))</f>
        <v>-0.40740740740740738</v>
      </c>
      <c r="V926" s="564">
        <f>IF((K926-MAX(K$470:K926))/MAX(K$470:K926)&gt;V925,V925,(K926-MAX(K$470:K926))/MAX(K$470:K926))</f>
        <v>-0.80725522782524772</v>
      </c>
      <c r="W926" s="564">
        <f>IF((N926-MAX(N$470:N926))/MAX(N$470:N926)&gt;W925,W925,(N926-MAX(N$470:N926))/MAX(N$470:N926))</f>
        <v>-0.1897647318309108</v>
      </c>
      <c r="X926" s="564">
        <f>IF((O926-MAX(O$470:O926))/MAX(O$470:O926)&gt;X925,X925,(O926-MAX(O$470:O926))/MAX(O$470:O926))</f>
        <v>-0.20159254550055417</v>
      </c>
    </row>
    <row r="927" spans="1:24">
      <c r="A927" s="799">
        <v>41329</v>
      </c>
      <c r="B927">
        <v>29.89</v>
      </c>
      <c r="C927">
        <v>120.466773</v>
      </c>
      <c r="D927">
        <v>2.7887240000000002</v>
      </c>
      <c r="E927">
        <f>LN(D927/参数实验室!$E$53)/参数实验室!$E$55</f>
        <v>0.5169679263920901</v>
      </c>
      <c r="F927">
        <f t="shared" si="88"/>
        <v>4.0303370023419207</v>
      </c>
      <c r="G927">
        <f>LN(F927/参数实验室!$E$58)/参数实验室!$E$59</f>
        <v>0.54103778112943846</v>
      </c>
      <c r="H927" s="856">
        <f>INDEX(神经网络!$G$10:$BO$70,MATCH(ROUND(G927*2,1)/2,神经网络!$E$10:$E$70,0),MATCH(ROUND(E927*2,1)/2,神经网络!$G$8:$BO$8,0))</f>
        <v>2.1201967561459814</v>
      </c>
      <c r="I927">
        <f t="shared" si="90"/>
        <v>5.1651542628541662</v>
      </c>
      <c r="J927">
        <f t="shared" si="91"/>
        <v>11.92689836798213</v>
      </c>
      <c r="K927">
        <f t="shared" si="92"/>
        <v>0.4330676847821619</v>
      </c>
      <c r="L927" s="4">
        <f>MIN(MAX(L926*(1+MAX(MIN(((B927-B926)/B926)/($K$7*卓尔金历!$N$40),0),-卓尔金历!$M$43))+MIN(MAX(((B927-B926)/B926)/($K$7*卓尔金历!$N$40),0),卓尔金历!$M$43),0),1)</f>
        <v>0.82114245223287075</v>
      </c>
      <c r="M927" s="4">
        <f>MIN(MAX(M926*(1+MAX(MIN(((B927-B926)/B926)/($K$7*30),0),-卓尔金历!$M$43))+MIN(MAX(((B927-B926)/B926)/($K$7*7),0),卓尔金历!$M$43),0),1)</f>
        <v>0.98638046286044456</v>
      </c>
      <c r="N927">
        <f t="shared" si="93"/>
        <v>3.9243947796565744</v>
      </c>
      <c r="O927">
        <f t="shared" si="94"/>
        <v>4.7575906197735174</v>
      </c>
      <c r="P927">
        <f t="shared" si="95"/>
        <v>3.0201342281879146E-3</v>
      </c>
      <c r="Q927">
        <f t="shared" si="86"/>
        <v>3.5194686893296426E-2</v>
      </c>
      <c r="R927">
        <f t="shared" si="87"/>
        <v>1</v>
      </c>
      <c r="S927">
        <f t="shared" si="89"/>
        <v>2.2314430192868664</v>
      </c>
      <c r="T927" s="564">
        <f>IF((I927-MAX(I$470:I927))/MAX(I$470:I927)&gt;T926,T926,(I927-MAX(I$470:I927))/MAX(I$470:I927))</f>
        <v>-0.22786721585231193</v>
      </c>
      <c r="U927" s="564">
        <f>IF((J927-MAX(J$470:J927))/MAX(J$470:J927)&gt;U926,U926,(J927-MAX(J$470:J927))/MAX(J$470:J927))</f>
        <v>-0.40740740740740738</v>
      </c>
      <c r="V927" s="564">
        <f>IF((K927-MAX(K$470:K927))/MAX(K$470:K927)&gt;V926,V926,(K927-MAX(K$470:K927))/MAX(K$470:K927))</f>
        <v>-0.80725522782524772</v>
      </c>
      <c r="W927" s="564">
        <f>IF((N927-MAX(N$470:N927))/MAX(N$470:N927)&gt;W926,W926,(N927-MAX(N$470:N927))/MAX(N$470:N927))</f>
        <v>-0.1897647318309108</v>
      </c>
      <c r="X927" s="564">
        <f>IF((O927-MAX(O$470:O927))/MAX(O$470:O927)&gt;X926,X926,(O927-MAX(O$470:O927))/MAX(O$470:O927))</f>
        <v>-0.20159254550055417</v>
      </c>
    </row>
    <row r="928" spans="1:24">
      <c r="A928" s="799">
        <v>41330</v>
      </c>
      <c r="B928">
        <v>30.4</v>
      </c>
      <c r="C928">
        <v>117.166611</v>
      </c>
      <c r="D928">
        <v>2.775525</v>
      </c>
      <c r="E928">
        <f>LN(D928/参数实验室!$E$53)/参数实验室!$E$55</f>
        <v>0.51137091149436942</v>
      </c>
      <c r="F928">
        <f t="shared" si="88"/>
        <v>3.8541648355263161</v>
      </c>
      <c r="G928">
        <f>LN(F928/参数实验室!$E$58)/参数实验室!$E$59</f>
        <v>0.5175790849452464</v>
      </c>
      <c r="H928" s="856">
        <f>INDEX(神经网络!$G$10:$BO$70,MATCH(ROUND(G928*2,1)/2,神经网络!$E$10:$E$70,0),MATCH(ROUND(E928*2,1)/2,神经网络!$G$8:$BO$8,0))</f>
        <v>2.0970517341930495</v>
      </c>
      <c r="I928">
        <f t="shared" si="90"/>
        <v>5.3520088325992132</v>
      </c>
      <c r="J928">
        <f t="shared" si="91"/>
        <v>12.130401819560278</v>
      </c>
      <c r="K928">
        <f t="shared" si="92"/>
        <v>0.44120622813739746</v>
      </c>
      <c r="L928" s="4">
        <f>MIN(MAX(L927*(1+MAX(MIN(((B928-B927)/B927)/($K$7*卓尔金历!$N$40),0),-卓尔金历!$M$43))+MIN(MAX(((B928-B927)/B927)/($K$7*卓尔金历!$N$40),0),卓尔金历!$M$43),0),1)</f>
        <v>1</v>
      </c>
      <c r="M928" s="4">
        <f>MIN(MAX(M927*(1+MAX(MIN(((B928-B927)/B927)/($K$7*30),0),-卓尔金历!$M$43))+MIN(MAX(((B928-B927)/B927)/($K$7*7),0),卓尔金历!$M$43),0),1)</f>
        <v>1</v>
      </c>
      <c r="N928">
        <f t="shared" si="93"/>
        <v>4.0409714431637731</v>
      </c>
      <c r="O928">
        <f t="shared" si="94"/>
        <v>4.9273571051332912</v>
      </c>
      <c r="P928">
        <f t="shared" si="95"/>
        <v>1.7062562730009969E-2</v>
      </c>
      <c r="Q928">
        <f t="shared" si="86"/>
        <v>3.4706236336674037E-2</v>
      </c>
      <c r="R928">
        <f t="shared" si="87"/>
        <v>0.77021670634449124</v>
      </c>
      <c r="S928">
        <f t="shared" si="89"/>
        <v>2.3121676799766777</v>
      </c>
      <c r="T928" s="564">
        <f>IF((I928-MAX(I$470:I928))/MAX(I$470:I928)&gt;T927,T927,(I928-MAX(I$470:I928))/MAX(I$470:I928))</f>
        <v>-0.22786721585231193</v>
      </c>
      <c r="U928" s="564">
        <f>IF((J928-MAX(J$470:J928))/MAX(J$470:J928)&gt;U927,U927,(J928-MAX(J$470:J928))/MAX(J$470:J928))</f>
        <v>-0.40740740740740738</v>
      </c>
      <c r="V928" s="564">
        <f>IF((K928-MAX(K$470:K928))/MAX(K$470:K928)&gt;V927,V927,(K928-MAX(K$470:K928))/MAX(K$470:K928))</f>
        <v>-0.80725522782524772</v>
      </c>
      <c r="W928" s="564">
        <f>IF((N928-MAX(N$470:N928))/MAX(N$470:N928)&gt;W927,W927,(N928-MAX(N$470:N928))/MAX(N$470:N928))</f>
        <v>-0.1897647318309108</v>
      </c>
      <c r="X928" s="564">
        <f>IF((O928-MAX(O$470:O928))/MAX(O$470:O928)&gt;X927,X927,(O928-MAX(O$470:O928))/MAX(O$470:O928))</f>
        <v>-0.20159254550055417</v>
      </c>
    </row>
    <row r="929" spans="1:24">
      <c r="A929" s="799">
        <v>41331</v>
      </c>
      <c r="B929">
        <v>31.1</v>
      </c>
      <c r="C929">
        <v>116.25138699999999</v>
      </c>
      <c r="D929">
        <v>2.8205849999999999</v>
      </c>
      <c r="E929">
        <f>LN(D929/参数实验室!$E$53)/参数实验室!$E$55</f>
        <v>0.53037011990463379</v>
      </c>
      <c r="F929">
        <f t="shared" si="88"/>
        <v>3.7379867202572346</v>
      </c>
      <c r="G929">
        <f>LN(F929/参数实验室!$E$58)/参数实验室!$E$59</f>
        <v>0.50151478137369665</v>
      </c>
      <c r="H929" s="856">
        <f>INDEX(神经网络!$G$10:$BO$70,MATCH(ROUND(G929*2,1)/2,神经网络!$E$10:$E$70,0),MATCH(ROUND(E929*2,1)/2,神经网络!$G$8:$BO$8,0))</f>
        <v>2.1430289129651765</v>
      </c>
      <c r="I929">
        <f t="shared" si="90"/>
        <v>5.6104432925555656</v>
      </c>
      <c r="J929">
        <f t="shared" si="91"/>
        <v>12.40972028251068</v>
      </c>
      <c r="K929">
        <f t="shared" si="92"/>
        <v>0.45210070532069119</v>
      </c>
      <c r="L929" s="4">
        <f>MIN(MAX(L928*(1+MAX(MIN(((B929-B928)/B928)/($K$7*卓尔金历!$N$40),0),-卓尔金历!$M$43))+MIN(MAX(((B929-B928)/B928)/($K$7*卓尔金历!$N$40),0),卓尔金历!$M$43),0),1)</f>
        <v>1</v>
      </c>
      <c r="M929" s="4">
        <f>MIN(MAX(M928*(1+MAX(MIN(((B929-B928)/B928)/($K$7*30),0),-卓尔金历!$M$43))+MIN(MAX(((B929-B928)/B928)/($K$7*7),0),卓尔金历!$M$43),0),1)</f>
        <v>1</v>
      </c>
      <c r="N929">
        <f t="shared" si="93"/>
        <v>4.2360993484564657</v>
      </c>
      <c r="O929">
        <f t="shared" si="94"/>
        <v>5.1652862476864421</v>
      </c>
      <c r="P929">
        <f t="shared" si="95"/>
        <v>2.302631578947378E-2</v>
      </c>
      <c r="Q929">
        <f t="shared" si="86"/>
        <v>3.4618172645846171E-2</v>
      </c>
      <c r="R929">
        <f t="shared" si="87"/>
        <v>0.45659843171446796</v>
      </c>
      <c r="S929">
        <f t="shared" si="89"/>
        <v>2.398161226758968</v>
      </c>
      <c r="T929" s="564">
        <f>IF((I929-MAX(I$470:I929))/MAX(I$470:I929)&gt;T928,T928,(I929-MAX(I$470:I929))/MAX(I$470:I929))</f>
        <v>-0.22786721585231193</v>
      </c>
      <c r="U929" s="564">
        <f>IF((J929-MAX(J$470:J929))/MAX(J$470:J929)&gt;U928,U928,(J929-MAX(J$470:J929))/MAX(J$470:J929))</f>
        <v>-0.40740740740740738</v>
      </c>
      <c r="V929" s="564">
        <f>IF((K929-MAX(K$470:K929))/MAX(K$470:K929)&gt;V928,V928,(K929-MAX(K$470:K929))/MAX(K$470:K929))</f>
        <v>-0.80725522782524772</v>
      </c>
      <c r="W929" s="564">
        <f>IF((N929-MAX(N$470:N929))/MAX(N$470:N929)&gt;W928,W928,(N929-MAX(N$470:N929))/MAX(N$470:N929))</f>
        <v>-0.1897647318309108</v>
      </c>
      <c r="X929" s="564">
        <f>IF((O929-MAX(O$470:O929))/MAX(O$470:O929)&gt;X928,X928,(O929-MAX(O$470:O929))/MAX(O$470:O929))</f>
        <v>-0.20159254550055417</v>
      </c>
    </row>
    <row r="930" spans="1:24">
      <c r="A930" s="799">
        <v>41332</v>
      </c>
      <c r="B930">
        <v>30.901199999999999</v>
      </c>
      <c r="C930">
        <v>113.235026</v>
      </c>
      <c r="D930">
        <v>2.8155039999999998</v>
      </c>
      <c r="E930">
        <f>LN(D930/参数实验室!$E$53)/参数实验室!$E$55</f>
        <v>0.52824299669684449</v>
      </c>
      <c r="F930">
        <f t="shared" si="88"/>
        <v>3.6644216405835373</v>
      </c>
      <c r="G930">
        <f>LN(F930/参数实验室!$E$58)/参数实验室!$E$59</f>
        <v>0.49108244670398676</v>
      </c>
      <c r="H930" s="856">
        <f>INDEX(神经网络!$G$10:$BO$70,MATCH(ROUND(G930*2,1)/2,神经网络!$E$10:$E$70,0),MATCH(ROUND(E930*2,1)/2,神经网络!$G$8:$BO$8,0))</f>
        <v>2.1430289129651765</v>
      </c>
      <c r="I930">
        <f t="shared" si="90"/>
        <v>5.5335866871706445</v>
      </c>
      <c r="J930">
        <f t="shared" si="91"/>
        <v>12.330393839032764</v>
      </c>
      <c r="K930">
        <f t="shared" si="92"/>
        <v>0.44877615098178542</v>
      </c>
      <c r="L930" s="4">
        <f>MIN(MAX(L929*(1+MAX(MIN(((B930-B929)/B929)/($K$7*卓尔金历!$N$40),0),-卓尔金历!$M$43))+MIN(MAX(((B930-B929)/B929)/($K$7*卓尔金历!$N$40),0),卓尔金历!$M$43),0),1)</f>
        <v>0.90233205061378008</v>
      </c>
      <c r="M930" s="4">
        <f>MIN(MAX(M929*(1+MAX(MIN(((B930-B929)/B929)/($K$7*30),0),-卓尔金历!$M$43))+MIN(MAX(((B930-B929)/B929)/($K$7*7),0),卓尔金历!$M$43),0),1)</f>
        <v>0.95116602530688998</v>
      </c>
      <c r="N930">
        <f t="shared" si="93"/>
        <v>4.1780696707610083</v>
      </c>
      <c r="O930">
        <f t="shared" si="94"/>
        <v>5.094527780638864</v>
      </c>
      <c r="P930">
        <f t="shared" si="95"/>
        <v>-6.3922829581994235E-3</v>
      </c>
      <c r="Q930">
        <f t="shared" si="86"/>
        <v>3.5028003295977335E-2</v>
      </c>
      <c r="R930">
        <f t="shared" si="87"/>
        <v>1</v>
      </c>
      <c r="S930">
        <f t="shared" si="89"/>
        <v>2.3831610348965335</v>
      </c>
      <c r="T930" s="564">
        <f>IF((I930-MAX(I$470:I930))/MAX(I$470:I930)&gt;T929,T929,(I930-MAX(I$470:I930))/MAX(I$470:I930))</f>
        <v>-0.22786721585231193</v>
      </c>
      <c r="U930" s="564">
        <f>IF((J930-MAX(J$470:J930))/MAX(J$470:J930)&gt;U929,U929,(J930-MAX(J$470:J930))/MAX(J$470:J930))</f>
        <v>-0.40740740740740738</v>
      </c>
      <c r="V930" s="564">
        <f>IF((K930-MAX(K$470:K930))/MAX(K$470:K930)&gt;V929,V929,(K930-MAX(K$470:K930))/MAX(K$470:K930))</f>
        <v>-0.80725522782524772</v>
      </c>
      <c r="W930" s="564">
        <f>IF((N930-MAX(N$470:N930))/MAX(N$470:N930)&gt;W929,W929,(N930-MAX(N$470:N930))/MAX(N$470:N930))</f>
        <v>-0.1897647318309108</v>
      </c>
      <c r="X930" s="564">
        <f>IF((O930-MAX(O$470:O930))/MAX(O$470:O930)&gt;X929,X929,(O930-MAX(O$470:O930))/MAX(O$470:O930))</f>
        <v>-0.20159254550055417</v>
      </c>
    </row>
    <row r="931" spans="1:24">
      <c r="A931" s="799">
        <v>41333</v>
      </c>
      <c r="B931">
        <v>33.380000000000003</v>
      </c>
      <c r="C931">
        <v>112.701741</v>
      </c>
      <c r="D931">
        <v>2.9324210000000002</v>
      </c>
      <c r="E931">
        <f>LN(D931/参数实验室!$E$53)/参数实验室!$E$55</f>
        <v>0.57624370576132666</v>
      </c>
      <c r="F931">
        <f t="shared" si="88"/>
        <v>3.3763253744757336</v>
      </c>
      <c r="G931">
        <f>LN(F931/参数实验室!$E$58)/参数实验室!$E$59</f>
        <v>0.44810605088909516</v>
      </c>
      <c r="H931" s="856">
        <f>INDEX(神经网络!$G$10:$BO$70,MATCH(ROUND(G931*2,1)/2,神经网络!$E$10:$E$70,0),MATCH(ROUND(E931*2,1)/2,神经网络!$G$8:$BO$8,0))</f>
        <v>2.1621680793730182</v>
      </c>
      <c r="I931">
        <f t="shared" si="90"/>
        <v>6.484850313461501</v>
      </c>
      <c r="J931">
        <f t="shared" si="91"/>
        <v>13.3195004189777</v>
      </c>
      <c r="K931">
        <f t="shared" si="92"/>
        <v>0.48686888467842604</v>
      </c>
      <c r="L931" s="4">
        <f>MIN(MAX(L930*(1+MAX(MIN(((B931-B930)/B930)/($K$7*卓尔金历!$N$40),0),-卓尔金历!$M$43))+MIN(MAX(((B931-B930)/B930)/($K$7*卓尔金历!$N$40),0),卓尔金历!$M$43),0),1)</f>
        <v>1</v>
      </c>
      <c r="M931" s="4">
        <f>MIN(MAX(M930*(1+MAX(MIN(((B931-B930)/B930)/($K$7*30),0),-卓尔金历!$M$43))+MIN(MAX(((B931-B930)/B930)/($K$7*7),0),卓尔金历!$M$43),0),1)</f>
        <v>1</v>
      </c>
      <c r="N931">
        <f t="shared" si="93"/>
        <v>4.8261610347539223</v>
      </c>
      <c r="O931">
        <f t="shared" si="94"/>
        <v>5.9275458790591644</v>
      </c>
      <c r="P931">
        <f t="shared" si="95"/>
        <v>8.0216949503579257E-2</v>
      </c>
      <c r="Q931">
        <f t="shared" si="86"/>
        <v>3.7005445792247765E-2</v>
      </c>
      <c r="R931">
        <f t="shared" si="87"/>
        <v>7.9278968270884015E-3</v>
      </c>
      <c r="S931">
        <f t="shared" si="89"/>
        <v>2.7928436758763362</v>
      </c>
      <c r="T931" s="564">
        <f>IF((I931-MAX(I$470:I931))/MAX(I$470:I931)&gt;T930,T930,(I931-MAX(I$470:I931))/MAX(I$470:I931))</f>
        <v>-0.22786721585231193</v>
      </c>
      <c r="U931" s="564">
        <f>IF((J931-MAX(J$470:J931))/MAX(J$470:J931)&gt;U930,U930,(J931-MAX(J$470:J931))/MAX(J$470:J931))</f>
        <v>-0.40740740740740738</v>
      </c>
      <c r="V931" s="564">
        <f>IF((K931-MAX(K$470:K931))/MAX(K$470:K931)&gt;V930,V930,(K931-MAX(K$470:K931))/MAX(K$470:K931))</f>
        <v>-0.80725522782524772</v>
      </c>
      <c r="W931" s="564">
        <f>IF((N931-MAX(N$470:N931))/MAX(N$470:N931)&gt;W930,W930,(N931-MAX(N$470:N931))/MAX(N$470:N931))</f>
        <v>-0.1897647318309108</v>
      </c>
      <c r="X931" s="564">
        <f>IF((O931-MAX(O$470:O931))/MAX(O$470:O931)&gt;X930,X930,(O931-MAX(O$470:O931))/MAX(O$470:O931))</f>
        <v>-0.20159254550055417</v>
      </c>
    </row>
    <row r="932" spans="1:24">
      <c r="A932" s="799">
        <v>41334</v>
      </c>
      <c r="B932">
        <v>34.5</v>
      </c>
      <c r="C932">
        <v>112.900008</v>
      </c>
      <c r="D932">
        <v>2.9991669999999999</v>
      </c>
      <c r="E932">
        <f>LN(D932/参数实验室!$E$53)/参数实验室!$E$55</f>
        <v>0.6027954938612623</v>
      </c>
      <c r="F932">
        <f t="shared" si="88"/>
        <v>3.2724639999999998</v>
      </c>
      <c r="G932">
        <f>LN(F932/参数实验室!$E$58)/参数实验室!$E$59</f>
        <v>0.43170712655005611</v>
      </c>
      <c r="H932" s="856">
        <f>INDEX(神经网络!$G$10:$BO$70,MATCH(ROUND(G932*2,1)/2,神经网络!$E$10:$E$70,0),MATCH(ROUND(E932*2,1)/2,神经网络!$G$8:$BO$8,0))</f>
        <v>2.1621680793730182</v>
      </c>
      <c r="I932">
        <f t="shared" si="90"/>
        <v>6.955308573166473</v>
      </c>
      <c r="J932">
        <f t="shared" si="91"/>
        <v>13.76640995969834</v>
      </c>
      <c r="K932">
        <f t="shared" si="92"/>
        <v>0.50523764681775341</v>
      </c>
      <c r="L932" s="4">
        <f>MIN(MAX(L931*(1+MAX(MIN(((B932-B931)/B931)/($K$7*卓尔金历!$N$40),0),-卓尔金历!$M$43))+MIN(MAX(((B932-B931)/B931)/($K$7*卓尔金历!$N$40),0),卓尔金历!$M$43),0),1)</f>
        <v>1</v>
      </c>
      <c r="M932" s="4">
        <f>MIN(MAX(M931*(1+MAX(MIN(((B932-B931)/B931)/($K$7*30),0),-卓尔金历!$M$43))+MIN(MAX(((B932-B931)/B931)/($K$7*7),0),卓尔金历!$M$43),0),1)</f>
        <v>1</v>
      </c>
      <c r="N932">
        <f t="shared" si="93"/>
        <v>5.176285896811736</v>
      </c>
      <c r="O932">
        <f t="shared" si="94"/>
        <v>6.3575732172067765</v>
      </c>
      <c r="P932">
        <f t="shared" si="95"/>
        <v>3.3553025763930419E-2</v>
      </c>
      <c r="Q932">
        <f t="shared" si="86"/>
        <v>3.7109147442012526E-2</v>
      </c>
      <c r="R932">
        <f t="shared" si="87"/>
        <v>0.1414696981609451</v>
      </c>
      <c r="S932">
        <f t="shared" si="89"/>
        <v>2.7944499725462562</v>
      </c>
      <c r="T932" s="564">
        <f>IF((I932-MAX(I$470:I932))/MAX(I$470:I932)&gt;T931,T931,(I932-MAX(I$470:I932))/MAX(I$470:I932))</f>
        <v>-0.22786721585231193</v>
      </c>
      <c r="U932" s="564">
        <f>IF((J932-MAX(J$470:J932))/MAX(J$470:J932)&gt;U931,U931,(J932-MAX(J$470:J932))/MAX(J$470:J932))</f>
        <v>-0.40740740740740738</v>
      </c>
      <c r="V932" s="564">
        <f>IF((K932-MAX(K$470:K932))/MAX(K$470:K932)&gt;V931,V931,(K932-MAX(K$470:K932))/MAX(K$470:K932))</f>
        <v>-0.80725522782524772</v>
      </c>
      <c r="W932" s="564">
        <f>IF((N932-MAX(N$470:N932))/MAX(N$470:N932)&gt;W931,W931,(N932-MAX(N$470:N932))/MAX(N$470:N932))</f>
        <v>-0.1897647318309108</v>
      </c>
      <c r="X932" s="564">
        <f>IF((O932-MAX(O$470:O932))/MAX(O$470:O932)&gt;X931,X931,(O932-MAX(O$470:O932))/MAX(O$470:O932))</f>
        <v>-0.20159254550055417</v>
      </c>
    </row>
    <row r="933" spans="1:24">
      <c r="A933" s="799">
        <v>41335</v>
      </c>
      <c r="B933">
        <v>34.25</v>
      </c>
      <c r="C933">
        <v>116.341353</v>
      </c>
      <c r="D933">
        <v>2.942383</v>
      </c>
      <c r="E933">
        <f>LN(D933/参数实验室!$E$53)/参数实验室!$E$55</f>
        <v>0.58024476284552962</v>
      </c>
      <c r="F933">
        <f t="shared" si="88"/>
        <v>3.3968278248175183</v>
      </c>
      <c r="G933">
        <f>LN(F933/参数实验室!$E$58)/参数实验室!$E$59</f>
        <v>0.45128354488781919</v>
      </c>
      <c r="H933" s="856">
        <f>INDEX(神经网络!$G$10:$BO$70,MATCH(ROUND(G933*2,1)/2,神经网络!$E$10:$E$70,0),MATCH(ROUND(E933*2,1)/2,神经网络!$G$8:$BO$8,0))</f>
        <v>2.1621680793730182</v>
      </c>
      <c r="I933">
        <f t="shared" si="90"/>
        <v>6.8463336008542264</v>
      </c>
      <c r="J933">
        <f t="shared" si="91"/>
        <v>13.666653365787482</v>
      </c>
      <c r="K933">
        <f t="shared" si="92"/>
        <v>0.50095172663067944</v>
      </c>
      <c r="L933" s="4">
        <f>MIN(MAX(L932*(1+MAX(MIN(((B933-B932)/B932)/($K$7*卓尔金历!$N$40),0),-卓尔金历!$M$43))+MIN(MAX(((B933-B932)/B932)/($K$7*卓尔金历!$N$40),0),卓尔金历!$M$43),0),1)</f>
        <v>0.88928231614646547</v>
      </c>
      <c r="M933" s="4">
        <f>MIN(MAX(M932*(1+MAX(MIN(((B933-B932)/B932)/($K$7*30),0),-卓尔金历!$M$43))+MIN(MAX(((B933-B932)/B932)/($K$7*7),0),卓尔金历!$M$43),0),1)</f>
        <v>0.94464115807323268</v>
      </c>
      <c r="N933">
        <f t="shared" si="93"/>
        <v>5.0951844465523513</v>
      </c>
      <c r="O933">
        <f t="shared" si="94"/>
        <v>6.2579634934928539</v>
      </c>
      <c r="P933">
        <f t="shared" si="95"/>
        <v>-7.246376811594203E-3</v>
      </c>
      <c r="Q933">
        <f t="shared" si="86"/>
        <v>3.7203158747885295E-2</v>
      </c>
      <c r="R933">
        <f t="shared" si="87"/>
        <v>1</v>
      </c>
      <c r="S933">
        <f t="shared" si="89"/>
        <v>2.7882559878060205</v>
      </c>
      <c r="T933" s="564">
        <f>IF((I933-MAX(I$470:I933))/MAX(I$470:I933)&gt;T932,T932,(I933-MAX(I$470:I933))/MAX(I$470:I933))</f>
        <v>-0.22786721585231193</v>
      </c>
      <c r="U933" s="564">
        <f>IF((J933-MAX(J$470:J933))/MAX(J$470:J933)&gt;U932,U932,(J933-MAX(J$470:J933))/MAX(J$470:J933))</f>
        <v>-0.40740740740740738</v>
      </c>
      <c r="V933" s="564">
        <f>IF((K933-MAX(K$470:K933))/MAX(K$470:K933)&gt;V932,V932,(K933-MAX(K$470:K933))/MAX(K$470:K933))</f>
        <v>-0.80725522782524772</v>
      </c>
      <c r="W933" s="564">
        <f>IF((N933-MAX(N$470:N933))/MAX(N$470:N933)&gt;W932,W932,(N933-MAX(N$470:N933))/MAX(N$470:N933))</f>
        <v>-0.1897647318309108</v>
      </c>
      <c r="X933" s="564">
        <f>IF((O933-MAX(O$470:O933))/MAX(O$470:O933)&gt;X932,X932,(O933-MAX(O$470:O933))/MAX(O$470:O933))</f>
        <v>-0.20159254550055417</v>
      </c>
    </row>
    <row r="934" spans="1:24">
      <c r="A934" s="799">
        <v>41336</v>
      </c>
      <c r="B934">
        <v>34.5</v>
      </c>
      <c r="C934">
        <v>115.502246</v>
      </c>
      <c r="D934">
        <v>2.9535179999999999</v>
      </c>
      <c r="E934">
        <f>LN(D934/参数实验室!$E$53)/参数实验室!$E$55</f>
        <v>0.58470093264559786</v>
      </c>
      <c r="F934">
        <f t="shared" si="88"/>
        <v>3.3478911884057969</v>
      </c>
      <c r="G934">
        <f>LN(F934/参数实验室!$E$58)/参数实验室!$E$59</f>
        <v>0.44366720323032138</v>
      </c>
      <c r="H934" s="856">
        <f>INDEX(神经网络!$G$10:$BO$70,MATCH(ROUND(G934*2,1)/2,神经网络!$E$10:$E$70,0),MATCH(ROUND(E934*2,1)/2,神经网络!$G$8:$BO$8,0))</f>
        <v>2.1621680793730182</v>
      </c>
      <c r="I934">
        <f t="shared" si="90"/>
        <v>6.954384140799525</v>
      </c>
      <c r="J934">
        <f t="shared" si="91"/>
        <v>13.76640995969834</v>
      </c>
      <c r="K934">
        <f t="shared" si="92"/>
        <v>0.50517049551471549</v>
      </c>
      <c r="L934" s="4">
        <f>MIN(MAX(L933*(1+MAX(MIN(((B934-B933)/B933)/($K$7*卓尔金历!$N$40),0),-卓尔金历!$M$43))+MIN(MAX(((B934-B933)/B933)/($K$7*卓尔金历!$N$40),0),卓尔金历!$M$43),0),1)</f>
        <v>1</v>
      </c>
      <c r="M934" s="4">
        <f>MIN(MAX(M933*(1+MAX(MIN(((B934-B933)/B933)/($K$7*30),0),-卓尔金历!$M$43))+MIN(MAX(((B934-B933)/B933)/($K$7*7),0),卓尔金历!$M$43),0),1)</f>
        <v>1</v>
      </c>
      <c r="N934">
        <f t="shared" si="93"/>
        <v>5.1666947219678381</v>
      </c>
      <c r="O934">
        <f t="shared" si="94"/>
        <v>6.35126072860536</v>
      </c>
      <c r="P934">
        <f t="shared" si="95"/>
        <v>7.2992700729927005E-3</v>
      </c>
      <c r="Q934">
        <f t="shared" si="86"/>
        <v>3.7265950791007862E-2</v>
      </c>
      <c r="R934">
        <f t="shared" si="87"/>
        <v>1</v>
      </c>
      <c r="S934">
        <f t="shared" si="89"/>
        <v>2.8322609373969319</v>
      </c>
      <c r="T934" s="564">
        <f>IF((I934-MAX(I$470:I934))/MAX(I$470:I934)&gt;T933,T933,(I934-MAX(I$470:I934))/MAX(I$470:I934))</f>
        <v>-0.22786721585231193</v>
      </c>
      <c r="U934" s="564">
        <f>IF((J934-MAX(J$470:J934))/MAX(J$470:J934)&gt;U933,U933,(J934-MAX(J$470:J934))/MAX(J$470:J934))</f>
        <v>-0.40740740740740738</v>
      </c>
      <c r="V934" s="564">
        <f>IF((K934-MAX(K$470:K934))/MAX(K$470:K934)&gt;V933,V933,(K934-MAX(K$470:K934))/MAX(K$470:K934))</f>
        <v>-0.80725522782524772</v>
      </c>
      <c r="W934" s="564">
        <f>IF((N934-MAX(N$470:N934))/MAX(N$470:N934)&gt;W933,W933,(N934-MAX(N$470:N934))/MAX(N$470:N934))</f>
        <v>-0.1897647318309108</v>
      </c>
      <c r="X934" s="564">
        <f>IF((O934-MAX(O$470:O934))/MAX(O$470:O934)&gt;X933,X933,(O934-MAX(O$470:O934))/MAX(O$470:O934))</f>
        <v>-0.20159254550055417</v>
      </c>
    </row>
    <row r="935" spans="1:24">
      <c r="A935" s="799">
        <v>41337</v>
      </c>
      <c r="B935">
        <v>36.152000000000001</v>
      </c>
      <c r="C935">
        <v>113.862982</v>
      </c>
      <c r="D935">
        <v>3.079904</v>
      </c>
      <c r="E935">
        <f>LN(D935/参数实验室!$E$53)/参数实验室!$E$55</f>
        <v>0.63413427525647359</v>
      </c>
      <c r="F935">
        <f t="shared" si="88"/>
        <v>3.1495624585085196</v>
      </c>
      <c r="G935">
        <f>LN(F935/参数实验室!$E$58)/参数实验室!$E$59</f>
        <v>0.41161588338826482</v>
      </c>
      <c r="H935" s="856">
        <f>INDEX(神经网络!$G$10:$BO$70,MATCH(ROUND(G935*2,1)/2,神经网络!$E$10:$E$70,0),MATCH(ROUND(E935*2,1)/2,神经网络!$G$8:$BO$8,0))</f>
        <v>2.1826909039786746</v>
      </c>
      <c r="I935">
        <f t="shared" si="90"/>
        <v>7.6743950482297887</v>
      </c>
      <c r="J935">
        <f t="shared" si="91"/>
        <v>14.425601532261286</v>
      </c>
      <c r="K935">
        <f t="shared" si="92"/>
        <v>0.53199826926224469</v>
      </c>
      <c r="L935" s="4">
        <f>MIN(MAX(L934*(1+MAX(MIN(((B935-B934)/B934)/($K$7*卓尔金历!$N$40),0),-卓尔金历!$M$43))+MIN(MAX(((B935-B934)/B934)/($K$7*卓尔金历!$N$40),0),卓尔金历!$M$43),0),1)</f>
        <v>1</v>
      </c>
      <c r="M935" s="4">
        <f>MIN(MAX(M934*(1+MAX(MIN(((B935-B934)/B934)/($K$7*30),0),-卓尔金历!$M$43))+MIN(MAX(((B935-B934)/B934)/($K$7*7),0),卓尔金历!$M$43),0),1)</f>
        <v>1</v>
      </c>
      <c r="N935">
        <f t="shared" si="93"/>
        <v>5.7016200985162104</v>
      </c>
      <c r="O935">
        <f t="shared" si="94"/>
        <v>7.0088282296153919</v>
      </c>
      <c r="P935">
        <f t="shared" si="95"/>
        <v>4.7884057971014519E-2</v>
      </c>
      <c r="Q935">
        <f t="shared" si="86"/>
        <v>3.774921588888687E-2</v>
      </c>
      <c r="R935">
        <f t="shared" si="87"/>
        <v>2.8403439673921151E-2</v>
      </c>
      <c r="S935">
        <f t="shared" si="89"/>
        <v>3.1254944899771906</v>
      </c>
      <c r="T935" s="564">
        <f>IF((I935-MAX(I$470:I935))/MAX(I$470:I935)&gt;T934,T934,(I935-MAX(I$470:I935))/MAX(I$470:I935))</f>
        <v>-0.22786721585231193</v>
      </c>
      <c r="U935" s="564">
        <f>IF((J935-MAX(J$470:J935))/MAX(J$470:J935)&gt;U934,U934,(J935-MAX(J$470:J935))/MAX(J$470:J935))</f>
        <v>-0.40740740740740738</v>
      </c>
      <c r="V935" s="564">
        <f>IF((K935-MAX(K$470:K935))/MAX(K$470:K935)&gt;V934,V934,(K935-MAX(K$470:K935))/MAX(K$470:K935))</f>
        <v>-0.80725522782524772</v>
      </c>
      <c r="W935" s="564">
        <f>IF((N935-MAX(N$470:N935))/MAX(N$470:N935)&gt;W934,W934,(N935-MAX(N$470:N935))/MAX(N$470:N935))</f>
        <v>-0.1897647318309108</v>
      </c>
      <c r="X935" s="564">
        <f>IF((O935-MAX(O$470:O935))/MAX(O$470:O935)&gt;X934,X934,(O935-MAX(O$470:O935))/MAX(O$470:O935))</f>
        <v>-0.20159254550055417</v>
      </c>
    </row>
    <row r="936" spans="1:24">
      <c r="A936" s="799">
        <v>41338</v>
      </c>
      <c r="B936">
        <v>40.33</v>
      </c>
      <c r="C936">
        <v>117.26250400000001</v>
      </c>
      <c r="D936">
        <v>3.3405930000000001</v>
      </c>
      <c r="E936">
        <f>LN(D936/参数实验室!$E$53)/参数实验室!$E$55</f>
        <v>0.72998911834758251</v>
      </c>
      <c r="F936">
        <f t="shared" si="88"/>
        <v>2.9075751053806105</v>
      </c>
      <c r="G936">
        <f>LN(F936/参数实验室!$E$58)/参数实验室!$E$59</f>
        <v>0.36965689694678922</v>
      </c>
      <c r="H936" s="856">
        <f>INDEX(神经网络!$G$10:$BO$70,MATCH(ROUND(G936*2,1)/2,神经网络!$E$10:$E$70,0),MATCH(ROUND(E936*2,1)/2,神经网络!$G$8:$BO$8,0))</f>
        <v>2.2357639446826321</v>
      </c>
      <c r="I936">
        <f t="shared" si="90"/>
        <v>9.6102485889596441</v>
      </c>
      <c r="J936">
        <f t="shared" si="91"/>
        <v>16.092733729699535</v>
      </c>
      <c r="K936">
        <f t="shared" si="92"/>
        <v>0.59717936991797071</v>
      </c>
      <c r="L936" s="4">
        <f>MIN(MAX(L935*(1+MAX(MIN(((B936-B935)/B935)/($K$7*卓尔金历!$N$40),0),-卓尔金历!$M$43))+MIN(MAX(((B936-B935)/B935)/($K$7*卓尔金历!$N$40),0),卓尔金历!$M$43),0),1)</f>
        <v>1</v>
      </c>
      <c r="M936" s="4">
        <f>MIN(MAX(M935*(1+MAX(MIN(((B936-B935)/B935)/($K$7*30),0),-卓尔金历!$M$43))+MIN(MAX(((B936-B935)/B935)/($K$7*7),0),卓尔金历!$M$43),0),1)</f>
        <v>1</v>
      </c>
      <c r="N936">
        <f t="shared" si="93"/>
        <v>7.1398443997469734</v>
      </c>
      <c r="O936">
        <f t="shared" si="94"/>
        <v>8.7767936339762205</v>
      </c>
      <c r="P936">
        <f t="shared" si="95"/>
        <v>0.11556760345209109</v>
      </c>
      <c r="Q936">
        <f t="shared" si="86"/>
        <v>4.2987016216029746E-2</v>
      </c>
      <c r="R936">
        <f t="shared" si="87"/>
        <v>4.1684389037208392E-4</v>
      </c>
      <c r="S936">
        <f t="shared" si="89"/>
        <v>3.1478877859430963</v>
      </c>
      <c r="T936" s="564">
        <f>IF((I936-MAX(I$470:I936))/MAX(I$470:I936)&gt;T935,T935,(I936-MAX(I$470:I936))/MAX(I$470:I936))</f>
        <v>-0.22786721585231193</v>
      </c>
      <c r="U936" s="564">
        <f>IF((J936-MAX(J$470:J936))/MAX(J$470:J936)&gt;U935,U935,(J936-MAX(J$470:J936))/MAX(J$470:J936))</f>
        <v>-0.40740740740740738</v>
      </c>
      <c r="V936" s="564">
        <f>IF((K936-MAX(K$470:K936))/MAX(K$470:K936)&gt;V935,V935,(K936-MAX(K$470:K936))/MAX(K$470:K936))</f>
        <v>-0.80725522782524772</v>
      </c>
      <c r="W936" s="564">
        <f>IF((N936-MAX(N$470:N936))/MAX(N$470:N936)&gt;W935,W935,(N936-MAX(N$470:N936))/MAX(N$470:N936))</f>
        <v>-0.1897647318309108</v>
      </c>
      <c r="X936" s="564">
        <f>IF((O936-MAX(O$470:O936))/MAX(O$470:O936)&gt;X935,X935,(O936-MAX(O$470:O936))/MAX(O$470:O936))</f>
        <v>-0.20159254550055417</v>
      </c>
    </row>
    <row r="937" spans="1:24">
      <c r="A937" s="799">
        <v>41339</v>
      </c>
      <c r="B937">
        <v>41.020099999999999</v>
      </c>
      <c r="C937">
        <v>118.043761</v>
      </c>
      <c r="D937">
        <v>3.4107310000000002</v>
      </c>
      <c r="E937">
        <f>LN(D937/参数实验室!$E$53)/参数实验室!$E$55</f>
        <v>0.75450238716289797</v>
      </c>
      <c r="F937">
        <f t="shared" si="88"/>
        <v>2.8777053444530853</v>
      </c>
      <c r="G937">
        <f>LN(F937/参数实验室!$E$58)/参数实验室!$E$59</f>
        <v>0.36423714098823157</v>
      </c>
      <c r="H937" s="856">
        <f>INDEX(神经网络!$G$10:$BO$70,MATCH(ROUND(G937*2,1)/2,神经网络!$E$10:$E$70,0),MATCH(ROUND(E937*2,1)/2,神经网络!$G$8:$BO$8,0))</f>
        <v>2.2357639446826321</v>
      </c>
      <c r="I937">
        <f t="shared" si="90"/>
        <v>9.9779068894314111</v>
      </c>
      <c r="J937">
        <f t="shared" si="91"/>
        <v>16.368101831531067</v>
      </c>
      <c r="K937">
        <f t="shared" si="92"/>
        <v>0.60959462447931756</v>
      </c>
      <c r="L937" s="4">
        <f>MIN(MAX(L936*(1+MAX(MIN(((B937-B936)/B936)/($K$7*卓尔金历!$N$40),0),-卓尔金历!$M$43))+MIN(MAX(((B937-B936)/B936)/($K$7*卓尔金历!$N$40),0),卓尔金历!$M$43),0),1)</f>
        <v>1</v>
      </c>
      <c r="M937" s="4">
        <f>MIN(MAX(M936*(1+MAX(MIN(((B937-B936)/B936)/($K$7*30),0),-卓尔金历!$M$43))+MIN(MAX(((B937-B936)/B936)/($K$7*7),0),卓尔金历!$M$43),0),1)</f>
        <v>1</v>
      </c>
      <c r="N937">
        <f t="shared" si="93"/>
        <v>7.4129926990177628</v>
      </c>
      <c r="O937">
        <f t="shared" si="94"/>
        <v>9.1125665332086268</v>
      </c>
      <c r="P937">
        <f t="shared" si="95"/>
        <v>1.7111331515001268E-2</v>
      </c>
      <c r="Q937">
        <f t="shared" si="86"/>
        <v>4.0732709345179932E-2</v>
      </c>
      <c r="R937">
        <f t="shared" si="87"/>
        <v>0.94755978178993605</v>
      </c>
      <c r="S937">
        <f t="shared" si="89"/>
        <v>3.1479379857950716</v>
      </c>
      <c r="T937" s="564">
        <f>IF((I937-MAX(I$470:I937))/MAX(I$470:I937)&gt;T936,T936,(I937-MAX(I$470:I937))/MAX(I$470:I937))</f>
        <v>-0.22786721585231193</v>
      </c>
      <c r="U937" s="564">
        <f>IF((J937-MAX(J$470:J937))/MAX(J$470:J937)&gt;U936,U936,(J937-MAX(J$470:J937))/MAX(J$470:J937))</f>
        <v>-0.40740740740740738</v>
      </c>
      <c r="V937" s="564">
        <f>IF((K937-MAX(K$470:K937))/MAX(K$470:K937)&gt;V936,V936,(K937-MAX(K$470:K937))/MAX(K$470:K937))</f>
        <v>-0.80725522782524772</v>
      </c>
      <c r="W937" s="564">
        <f>IF((N937-MAX(N$470:N937))/MAX(N$470:N937)&gt;W936,W936,(N937-MAX(N$470:N937))/MAX(N$470:N937))</f>
        <v>-0.1897647318309108</v>
      </c>
      <c r="X937" s="564">
        <f>IF((O937-MAX(O$470:O937))/MAX(O$470:O937)&gt;X936,X936,(O937-MAX(O$470:O937))/MAX(O$470:O937))</f>
        <v>-0.20159254550055417</v>
      </c>
    </row>
    <row r="938" spans="1:24">
      <c r="A938" s="799">
        <v>41340</v>
      </c>
      <c r="B938">
        <v>42</v>
      </c>
      <c r="C938">
        <v>118.69135900000001</v>
      </c>
      <c r="D938">
        <v>3.2446120000000001</v>
      </c>
      <c r="E938">
        <f>LN(D938/参数实验室!$E$53)/参数实验室!$E$55</f>
        <v>0.69559628911259097</v>
      </c>
      <c r="F938">
        <f t="shared" si="88"/>
        <v>2.8259847380952383</v>
      </c>
      <c r="G938">
        <f>LN(F938/参数实验室!$E$58)/参数实验室!$E$59</f>
        <v>0.35471821094772804</v>
      </c>
      <c r="H938" s="856">
        <f>INDEX(神经网络!$G$10:$BO$70,MATCH(ROUND(G938*2,1)/2,神经网络!$E$10:$E$70,0),MATCH(ROUND(E938*2,1)/2,神经网络!$G$8:$BO$8,0))</f>
        <v>2.2018156073943875</v>
      </c>
      <c r="I938">
        <f t="shared" si="90"/>
        <v>10.510812678374117</v>
      </c>
      <c r="J938">
        <f t="shared" si="91"/>
        <v>16.759107777024063</v>
      </c>
      <c r="K938">
        <f t="shared" si="92"/>
        <v>0.62717018222079457</v>
      </c>
      <c r="L938" s="4">
        <f>MIN(MAX(L937*(1+MAX(MIN(((B938-B937)/B937)/($K$7*卓尔金历!$N$40),0),-卓尔金历!$M$43))+MIN(MAX(((B938-B937)/B937)/($K$7*卓尔金历!$N$40),0),卓尔金历!$M$43),0),1)</f>
        <v>1</v>
      </c>
      <c r="M938" s="4">
        <f>MIN(MAX(M937*(1+MAX(MIN(((B938-B937)/B937)/($K$7*30),0),-卓尔金历!$M$43))+MIN(MAX(((B938-B937)/B937)/($K$7*7),0),卓尔金历!$M$43),0),1)</f>
        <v>1</v>
      </c>
      <c r="N938">
        <f t="shared" si="93"/>
        <v>7.8089100759258265</v>
      </c>
      <c r="O938">
        <f t="shared" si="94"/>
        <v>9.59925572679251</v>
      </c>
      <c r="P938">
        <f t="shared" si="95"/>
        <v>2.3888288912021195E-2</v>
      </c>
      <c r="Q938">
        <f t="shared" si="86"/>
        <v>3.425664041644047E-2</v>
      </c>
      <c r="R938">
        <f t="shared" si="87"/>
        <v>0.41590862045286336</v>
      </c>
      <c r="S938">
        <f t="shared" si="89"/>
        <v>3.3072482575733164</v>
      </c>
      <c r="T938" s="564">
        <f>IF((I938-MAX(I$470:I938))/MAX(I$470:I938)&gt;T937,T937,(I938-MAX(I$470:I938))/MAX(I$470:I938))</f>
        <v>-0.22786721585231193</v>
      </c>
      <c r="U938" s="564">
        <f>IF((J938-MAX(J$470:J938))/MAX(J$470:J938)&gt;U937,U937,(J938-MAX(J$470:J938))/MAX(J$470:J938))</f>
        <v>-0.40740740740740738</v>
      </c>
      <c r="V938" s="564">
        <f>IF((K938-MAX(K$470:K938))/MAX(K$470:K938)&gt;V937,V937,(K938-MAX(K$470:K938))/MAX(K$470:K938))</f>
        <v>-0.80725522782524772</v>
      </c>
      <c r="W938" s="564">
        <f>IF((N938-MAX(N$470:N938))/MAX(N$470:N938)&gt;W937,W937,(N938-MAX(N$470:N938))/MAX(N$470:N938))</f>
        <v>-0.1897647318309108</v>
      </c>
      <c r="X938" s="564">
        <f>IF((O938-MAX(O$470:O938))/MAX(O$470:O938)&gt;X937,X937,(O938-MAX(O$470:O938))/MAX(O$470:O938))</f>
        <v>-0.20159254550055417</v>
      </c>
    </row>
    <row r="939" spans="1:24">
      <c r="A939" s="799">
        <v>41341</v>
      </c>
      <c r="B939">
        <v>44.18</v>
      </c>
      <c r="C939">
        <v>117.829471</v>
      </c>
      <c r="D939">
        <v>3.3533460000000002</v>
      </c>
      <c r="E939">
        <f>LN(D939/参数实验室!$E$53)/参数实验室!$E$55</f>
        <v>0.73448435241632426</v>
      </c>
      <c r="F939">
        <f t="shared" si="88"/>
        <v>2.6670319375282934</v>
      </c>
      <c r="G939">
        <f>LN(F939/参数实验室!$E$58)/参数实验室!$E$59</f>
        <v>0.32433406214736549</v>
      </c>
      <c r="H939" s="856">
        <f>INDEX(神经网络!$G$10:$BO$70,MATCH(ROUND(G939*2,1)/2,神经网络!$E$10:$E$70,0),MATCH(ROUND(E939*2,1)/2,神经网络!$G$8:$BO$8,0))</f>
        <v>2.2177717992106114</v>
      </c>
      <c r="I939">
        <f t="shared" si="90"/>
        <v>11.712037908268917</v>
      </c>
      <c r="J939">
        <f t="shared" si="91"/>
        <v>17.628985275926741</v>
      </c>
      <c r="K939">
        <f t="shared" si="92"/>
        <v>0.66436256681558914</v>
      </c>
      <c r="L939" s="4">
        <f>MIN(MAX(L938*(1+MAX(MIN(((B939-B938)/B938)/($K$7*卓尔金历!$N$40),0),-卓尔金历!$M$43))+MIN(MAX(((B939-B938)/B938)/($K$7*卓尔金历!$N$40),0),卓尔金历!$M$43),0),1)</f>
        <v>1</v>
      </c>
      <c r="M939" s="4">
        <f>MIN(MAX(M938*(1+MAX(MIN(((B939-B938)/B938)/($K$7*30),0),-卓尔金历!$M$43))+MIN(MAX(((B939-B938)/B938)/($K$7*7),0),卓尔金历!$M$43),0),1)</f>
        <v>1</v>
      </c>
      <c r="N939">
        <f t="shared" si="93"/>
        <v>8.7013491373203458</v>
      </c>
      <c r="O939">
        <f t="shared" si="94"/>
        <v>10.696303930397161</v>
      </c>
      <c r="P939">
        <f t="shared" si="95"/>
        <v>5.1904761904761898E-2</v>
      </c>
      <c r="Q939">
        <f t="shared" si="86"/>
        <v>3.4332796473285555E-2</v>
      </c>
      <c r="R939">
        <f t="shared" si="87"/>
        <v>2.0098046358847915E-2</v>
      </c>
      <c r="S939">
        <f t="shared" si="89"/>
        <v>3.4644483754561808</v>
      </c>
      <c r="T939" s="564">
        <f>IF((I939-MAX(I$470:I939))/MAX(I$470:I939)&gt;T938,T938,(I939-MAX(I$470:I939))/MAX(I$470:I939))</f>
        <v>-0.22786721585231193</v>
      </c>
      <c r="U939" s="564">
        <f>IF((J939-MAX(J$470:J939))/MAX(J$470:J939)&gt;U938,U938,(J939-MAX(J$470:J939))/MAX(J$470:J939))</f>
        <v>-0.40740740740740738</v>
      </c>
      <c r="V939" s="564">
        <f>IF((K939-MAX(K$470:K939))/MAX(K$470:K939)&gt;V938,V938,(K939-MAX(K$470:K939))/MAX(K$470:K939))</f>
        <v>-0.80725522782524772</v>
      </c>
      <c r="W939" s="564">
        <f>IF((N939-MAX(N$470:N939))/MAX(N$470:N939)&gt;W938,W938,(N939-MAX(N$470:N939))/MAX(N$470:N939))</f>
        <v>-0.1897647318309108</v>
      </c>
      <c r="X939" s="564">
        <f>IF((O939-MAX(O$470:O939))/MAX(O$470:O939)&gt;X938,X938,(O939-MAX(O$470:O939))/MAX(O$470:O939))</f>
        <v>-0.20159254550055417</v>
      </c>
    </row>
    <row r="940" spans="1:24">
      <c r="A940" s="799">
        <v>41342</v>
      </c>
      <c r="B940">
        <v>46.85</v>
      </c>
      <c r="C940">
        <v>116.91386199999999</v>
      </c>
      <c r="D940">
        <v>3.508575</v>
      </c>
      <c r="E940">
        <f>LN(D940/参数实验室!$E$53)/参数实验室!$E$55</f>
        <v>0.78786974257182585</v>
      </c>
      <c r="F940">
        <f t="shared" si="88"/>
        <v>2.4954933191035216</v>
      </c>
      <c r="G940">
        <f>LN(F940/参数实验室!$E$58)/参数实验室!$E$59</f>
        <v>0.28944187691684403</v>
      </c>
      <c r="H940" s="856">
        <f>INDEX(神经网络!$G$10:$BO$70,MATCH(ROUND(G940*2,1)/2,神经网络!$E$10:$E$70,0),MATCH(ROUND(E940*2,1)/2,神经网络!$G$8:$BO$8,0))</f>
        <v>2.2517187853524634</v>
      </c>
      <c r="I940">
        <f t="shared" si="90"/>
        <v>13.281803755166443</v>
      </c>
      <c r="J940">
        <f t="shared" si="91"/>
        <v>18.694385698894699</v>
      </c>
      <c r="K940">
        <f t="shared" si="92"/>
        <v>0.71047018977209431</v>
      </c>
      <c r="L940" s="4">
        <f>MIN(MAX(L939*(1+MAX(MIN(((B940-B939)/B939)/($K$7*卓尔金历!$N$40),0),-卓尔金历!$M$43))+MIN(MAX(((B940-B939)/B939)/($K$7*卓尔金历!$N$40),0),卓尔金历!$M$43),0),1)</f>
        <v>1</v>
      </c>
      <c r="M940" s="4">
        <f>MIN(MAX(M939*(1+MAX(MIN(((B940-B939)/B939)/($K$7*30),0),-卓尔金历!$M$43))+MIN(MAX(((B940-B939)/B939)/($K$7*7),0),卓尔金历!$M$43),0),1)</f>
        <v>1</v>
      </c>
      <c r="N940">
        <f t="shared" si="93"/>
        <v>9.8675920068087688</v>
      </c>
      <c r="O940">
        <f t="shared" si="94"/>
        <v>12.129930830299756</v>
      </c>
      <c r="P940">
        <f t="shared" si="95"/>
        <v>6.0434585785423309E-2</v>
      </c>
      <c r="Q940">
        <f t="shared" ref="Q940:Q1003" si="96">STDEVP(P920:P940)</f>
        <v>3.4866903927206774E-2</v>
      </c>
      <c r="R940">
        <f t="shared" ref="R940:R1003" si="97">MIN(Q939*MAX(1-LN(MAX(ABS(P940),0.0001)/Q940),0)+MAX(-LN(MAX(ABS(P940),0.0001)/Q940),0),1)</f>
        <v>1.5448952084347888E-2</v>
      </c>
      <c r="S940">
        <f t="shared" si="89"/>
        <v>3.4737807109782919</v>
      </c>
      <c r="T940" s="564">
        <f>IF((I940-MAX(I$470:I940))/MAX(I$470:I940)&gt;T939,T939,(I940-MAX(I$470:I940))/MAX(I$470:I940))</f>
        <v>-0.22786721585231193</v>
      </c>
      <c r="U940" s="564">
        <f>IF((J940-MAX(J$470:J940))/MAX(J$470:J940)&gt;U939,U939,(J940-MAX(J$470:J940))/MAX(J$470:J940))</f>
        <v>-0.40740740740740738</v>
      </c>
      <c r="V940" s="564">
        <f>IF((K940-MAX(K$470:K940))/MAX(K$470:K940)&gt;V939,V939,(K940-MAX(K$470:K940))/MAX(K$470:K940))</f>
        <v>-0.80725522782524772</v>
      </c>
      <c r="W940" s="564">
        <f>IF((N940-MAX(N$470:N940))/MAX(N$470:N940)&gt;W939,W939,(N940-MAX(N$470:N940))/MAX(N$470:N940))</f>
        <v>-0.1897647318309108</v>
      </c>
      <c r="X940" s="564">
        <f>IF((O940-MAX(O$470:O940))/MAX(O$470:O940)&gt;X939,X939,(O940-MAX(O$470:O940))/MAX(O$470:O940))</f>
        <v>-0.20159254550055417</v>
      </c>
    </row>
    <row r="941" spans="1:24">
      <c r="A941" s="799">
        <v>41343</v>
      </c>
      <c r="B941">
        <v>46</v>
      </c>
      <c r="C941">
        <v>114.839777</v>
      </c>
      <c r="D941">
        <v>3.414425</v>
      </c>
      <c r="E941">
        <f>LN(D941/参数实验室!$E$53)/参数实验室!$E$55</f>
        <v>0.75577943018104099</v>
      </c>
      <c r="F941">
        <f t="shared" si="88"/>
        <v>2.4965168913043478</v>
      </c>
      <c r="G941">
        <f>LN(F941/参数实验室!$E$58)/参数实验室!$E$59</f>
        <v>0.28965711125847182</v>
      </c>
      <c r="H941" s="856">
        <f>INDEX(神经网络!$G$10:$BO$70,MATCH(ROUND(G941*2,1)/2,神经网络!$E$10:$E$70,0),MATCH(ROUND(E941*2,1)/2,神经网络!$G$8:$BO$8,0))</f>
        <v>2.2177717992106114</v>
      </c>
      <c r="I941">
        <f t="shared" si="90"/>
        <v>12.739202816723706</v>
      </c>
      <c r="J941">
        <f t="shared" si="91"/>
        <v>18.355213279597784</v>
      </c>
      <c r="K941">
        <f t="shared" si="92"/>
        <v>0.69403730823894072</v>
      </c>
      <c r="L941" s="4">
        <f>MIN(MAX(L940*(1+MAX(MIN(((B941-B940)/B940)/($K$7*卓尔金历!$N$40),0),-卓尔金历!$M$43))+MIN(MAX(((B941-B940)/B940)/($K$7*卓尔金历!$N$40),0),卓尔金历!$M$43),0),1)</f>
        <v>0.72279222377759611</v>
      </c>
      <c r="M941" s="4">
        <f>MIN(MAX(M940*(1+MAX(MIN(((B941-B940)/B940)/($K$7*30),0),-卓尔金历!$M$43))+MIN(MAX(((B941-B940)/B940)/($K$7*7),0),卓尔金历!$M$43),0),1)</f>
        <v>0.86139611188879806</v>
      </c>
      <c r="N941">
        <f t="shared" si="93"/>
        <v>9.4644717091623143</v>
      </c>
      <c r="O941">
        <f t="shared" si="94"/>
        <v>11.634387305256634</v>
      </c>
      <c r="P941">
        <f t="shared" si="95"/>
        <v>-1.8143009605122763E-2</v>
      </c>
      <c r="Q941">
        <f t="shared" si="96"/>
        <v>3.5066754787836184E-2</v>
      </c>
      <c r="R941">
        <f t="shared" si="97"/>
        <v>0.71681126807613893</v>
      </c>
      <c r="S941">
        <f t="shared" si="89"/>
        <v>3.4715882851636959</v>
      </c>
      <c r="T941" s="564">
        <f>IF((I941-MAX(I$470:I941))/MAX(I$470:I941)&gt;T940,T940,(I941-MAX(I$470:I941))/MAX(I$470:I941))</f>
        <v>-0.22786721585231193</v>
      </c>
      <c r="U941" s="564">
        <f>IF((J941-MAX(J$470:J941))/MAX(J$470:J941)&gt;U940,U940,(J941-MAX(J$470:J941))/MAX(J$470:J941))</f>
        <v>-0.40740740740740738</v>
      </c>
      <c r="V941" s="564">
        <f>IF((K941-MAX(K$470:K941))/MAX(K$470:K941)&gt;V940,V940,(K941-MAX(K$470:K941))/MAX(K$470:K941))</f>
        <v>-0.80725522782524772</v>
      </c>
      <c r="W941" s="564">
        <f>IF((N941-MAX(N$470:N941))/MAX(N$470:N941)&gt;W940,W940,(N941-MAX(N$470:N941))/MAX(N$470:N941))</f>
        <v>-0.1897647318309108</v>
      </c>
      <c r="X941" s="564">
        <f>IF((O941-MAX(O$470:O941))/MAX(O$470:O941)&gt;X940,X940,(O941-MAX(O$470:O941))/MAX(O$470:O941))</f>
        <v>-0.20159254550055417</v>
      </c>
    </row>
    <row r="942" spans="1:24">
      <c r="A942" s="799">
        <v>41344</v>
      </c>
      <c r="B942">
        <v>48.4</v>
      </c>
      <c r="C942">
        <v>113.544085</v>
      </c>
      <c r="D942">
        <v>3.5266959999999998</v>
      </c>
      <c r="E942">
        <f>LN(D942/参数实验室!$E$53)/参数实验室!$E$55</f>
        <v>0.79394722155216213</v>
      </c>
      <c r="F942">
        <f t="shared" si="88"/>
        <v>2.3459521694214875</v>
      </c>
      <c r="G942">
        <f>LN(F942/参数实验室!$E$58)/参数实验室!$E$59</f>
        <v>0.25700848413142569</v>
      </c>
      <c r="H942" s="856">
        <f>INDEX(神经网络!$G$10:$BO$70,MATCH(ROUND(G942*2,1)/2,神经网络!$E$10:$E$70,0),MATCH(ROUND(E942*2,1)/2,神经网络!$G$8:$BO$8,0))</f>
        <v>2.2356939845673072</v>
      </c>
      <c r="I942">
        <f t="shared" si="90"/>
        <v>14.213253847229144</v>
      </c>
      <c r="J942">
        <f t="shared" si="91"/>
        <v>19.312876581142017</v>
      </c>
      <c r="K942">
        <f t="shared" si="92"/>
        <v>0.73594701377150717</v>
      </c>
      <c r="L942" s="4">
        <f>MIN(MAX(L941*(1+MAX(MIN(((B942-B941)/B941)/($K$7*卓尔金历!$N$40),0),-卓尔金历!$M$43))+MIN(MAX(((B942-B941)/B941)/($K$7*卓尔金历!$N$40),0),卓尔金历!$M$43),0),1)</f>
        <v>1</v>
      </c>
      <c r="M942" s="4">
        <f>MIN(MAX(M941*(1+MAX(MIN(((B942-B941)/B941)/($K$7*30),0),-卓尔金历!$M$43))+MIN(MAX(((B942-B941)/B941)/($K$7*7),0),卓尔金历!$M$43),0),1)</f>
        <v>1</v>
      </c>
      <c r="N942">
        <f t="shared" si="93"/>
        <v>10.256024921467382</v>
      </c>
      <c r="O942">
        <f t="shared" si="94"/>
        <v>12.794009959718492</v>
      </c>
      <c r="P942">
        <f t="shared" si="95"/>
        <v>5.217391304347823E-2</v>
      </c>
      <c r="Q942">
        <f t="shared" si="96"/>
        <v>3.5122432316983088E-2</v>
      </c>
      <c r="R942">
        <f t="shared" si="97"/>
        <v>2.1189346209159639E-2</v>
      </c>
      <c r="S942">
        <f t="shared" si="89"/>
        <v>3.7595291499575101</v>
      </c>
      <c r="T942" s="564">
        <f>IF((I942-MAX(I$470:I942))/MAX(I$470:I942)&gt;T941,T941,(I942-MAX(I$470:I942))/MAX(I$470:I942))</f>
        <v>-0.22786721585231193</v>
      </c>
      <c r="U942" s="564">
        <f>IF((J942-MAX(J$470:J942))/MAX(J$470:J942)&gt;U941,U941,(J942-MAX(J$470:J942))/MAX(J$470:J942))</f>
        <v>-0.40740740740740738</v>
      </c>
      <c r="V942" s="564">
        <f>IF((K942-MAX(K$470:K942))/MAX(K$470:K942)&gt;V941,V941,(K942-MAX(K$470:K942))/MAX(K$470:K942))</f>
        <v>-0.80725522782524772</v>
      </c>
      <c r="W942" s="564">
        <f>IF((N942-MAX(N$470:N942))/MAX(N$470:N942)&gt;W941,W941,(N942-MAX(N$470:N942))/MAX(N$470:N942))</f>
        <v>-0.1897647318309108</v>
      </c>
      <c r="X942" s="564">
        <f>IF((O942-MAX(O$470:O942))/MAX(O$470:O942)&gt;X941,X941,(O942-MAX(O$470:O942))/MAX(O$470:O942))</f>
        <v>-0.20159254550055417</v>
      </c>
    </row>
    <row r="943" spans="1:24">
      <c r="A943" s="799">
        <v>41345</v>
      </c>
      <c r="B943">
        <v>44.289900000000003</v>
      </c>
      <c r="C943">
        <v>115.44706499999999</v>
      </c>
      <c r="D943">
        <v>3.2177519999999999</v>
      </c>
      <c r="E943">
        <f>LN(D943/参数实验室!$E$53)/参数实验室!$E$55</f>
        <v>0.68578924184297929</v>
      </c>
      <c r="F943">
        <f t="shared" si="88"/>
        <v>2.6066228417765673</v>
      </c>
      <c r="G943">
        <f>LN(F943/参数实验室!$E$58)/参数实验室!$E$59</f>
        <v>0.31230925341831245</v>
      </c>
      <c r="H943" s="856">
        <f>INDEX(神经网络!$G$10:$BO$70,MATCH(ROUND(G943*2,1)/2,神经网络!$E$10:$E$70,0),MATCH(ROUND(E943*2,1)/2,神经网络!$G$8:$BO$8,0))</f>
        <v>2.1826487842664806</v>
      </c>
      <c r="I943">
        <f t="shared" si="90"/>
        <v>11.514813028383326</v>
      </c>
      <c r="J943">
        <f t="shared" si="91"/>
        <v>17.672838274609958</v>
      </c>
      <c r="K943">
        <f t="shared" si="92"/>
        <v>0.65155425797826239</v>
      </c>
      <c r="L943" s="4">
        <f>MIN(MAX(L942*(1+MAX(MIN(((B943-B942)/B942)/($K$7*卓尔金历!$N$40),0),-卓尔金历!$M$43))+MIN(MAX(((B943-B942)/B942)/($K$7*卓尔金历!$N$40),0),卓尔金历!$M$43),0),1)</f>
        <v>0</v>
      </c>
      <c r="M943" s="4">
        <f>MIN(MAX(M942*(1+MAX(MIN(((B943-B942)/B942)/($K$7*30),0),-卓尔金历!$M$43))+MIN(MAX(((B943-B942)/B942)/($K$7*7),0),卓尔金历!$M$43),0),1)</f>
        <v>0.35125636537102445</v>
      </c>
      <c r="N943">
        <f t="shared" si="93"/>
        <v>8.3088792091164549</v>
      </c>
      <c r="O943">
        <f t="shared" si="94"/>
        <v>10.36501804251899</v>
      </c>
      <c r="P943">
        <f t="shared" si="95"/>
        <v>-8.4919421487603217E-2</v>
      </c>
      <c r="Q943">
        <f t="shared" si="96"/>
        <v>3.9903097777542355E-2</v>
      </c>
      <c r="R943">
        <f t="shared" si="97"/>
        <v>8.5962551751246914E-3</v>
      </c>
      <c r="S943">
        <f t="shared" si="89"/>
        <v>3.7444050200658285</v>
      </c>
      <c r="T943" s="564">
        <f>IF((I943-MAX(I$470:I943))/MAX(I$470:I943)&gt;T942,T942,(I943-MAX(I$470:I943))/MAX(I$470:I943))</f>
        <v>-0.22786721585231193</v>
      </c>
      <c r="U943" s="564">
        <f>IF((J943-MAX(J$470:J943))/MAX(J$470:J943)&gt;U942,U942,(J943-MAX(J$470:J943))/MAX(J$470:J943))</f>
        <v>-0.40740740740740738</v>
      </c>
      <c r="V943" s="564">
        <f>IF((K943-MAX(K$470:K943))/MAX(K$470:K943)&gt;V942,V942,(K943-MAX(K$470:K943))/MAX(K$470:K943))</f>
        <v>-0.80725522782524772</v>
      </c>
      <c r="W943" s="564">
        <f>IF((N943-MAX(N$470:N943))/MAX(N$470:N943)&gt;W942,W942,(N943-MAX(N$470:N943))/MAX(N$470:N943))</f>
        <v>-0.18985383979277023</v>
      </c>
      <c r="X943" s="564">
        <f>IF((O943-MAX(O$470:O943))/MAX(O$470:O943)&gt;X942,X942,(O943-MAX(O$470:O943))/MAX(O$470:O943))</f>
        <v>-0.20159254550055417</v>
      </c>
    </row>
    <row r="944" spans="1:24">
      <c r="A944" s="799">
        <v>41346</v>
      </c>
      <c r="B944">
        <v>46.92</v>
      </c>
      <c r="C944">
        <v>115.72373</v>
      </c>
      <c r="D944">
        <v>3.354482</v>
      </c>
      <c r="E944">
        <f>LN(D944/参数实验室!$E$53)/参数实验室!$E$55</f>
        <v>0.73488394516019451</v>
      </c>
      <c r="F944">
        <f t="shared" si="88"/>
        <v>2.4664051577152599</v>
      </c>
      <c r="G944">
        <f>LN(F944/参数实验室!$E$58)/参数实验室!$E$59</f>
        <v>0.28328809764161772</v>
      </c>
      <c r="H944" s="856">
        <f>INDEX(神经网络!$G$10:$BO$70,MATCH(ROUND(G944*2,1)/2,神经网络!$E$10:$E$70,0),MATCH(ROUND(E944*2,1)/2,神经网络!$G$8:$BO$8,0))</f>
        <v>2.2177717992106114</v>
      </c>
      <c r="I944">
        <f t="shared" si="90"/>
        <v>13.007292306240736</v>
      </c>
      <c r="J944">
        <f t="shared" si="91"/>
        <v>18.722317545189746</v>
      </c>
      <c r="K944">
        <f t="shared" si="92"/>
        <v>0.69474798057693721</v>
      </c>
      <c r="L944" s="4">
        <f>MIN(MAX(L943*(1+MAX(MIN(((B944-B943)/B943)/($K$7*卓尔金历!$N$40),0),-卓尔金历!$M$43))+MIN(MAX(((B944-B943)/B943)/($K$7*卓尔金历!$N$40),0),卓尔金历!$M$43),0),1)</f>
        <v>0.90732659323771303</v>
      </c>
      <c r="M944" s="4">
        <f>MIN(MAX(M943*(1+MAX(MIN(((B944-B943)/B943)/($K$7*30),0),-卓尔金历!$M$43))+MIN(MAX(((B944-B943)/B943)/($K$7*7),0),卓尔金历!$M$43),0),1)</f>
        <v>1</v>
      </c>
      <c r="N944">
        <f t="shared" si="93"/>
        <v>8.3088792091164549</v>
      </c>
      <c r="O944">
        <f t="shared" si="94"/>
        <v>10.836913378515266</v>
      </c>
      <c r="P944">
        <f t="shared" si="95"/>
        <v>5.9383742117277268E-2</v>
      </c>
      <c r="Q944">
        <f t="shared" si="96"/>
        <v>4.0628075492053113E-2</v>
      </c>
      <c r="R944">
        <f t="shared" si="97"/>
        <v>2.4757432297173875E-2</v>
      </c>
      <c r="S944">
        <f t="shared" si="89"/>
        <v>3.7485770127390627</v>
      </c>
      <c r="T944" s="564">
        <f>IF((I944-MAX(I$470:I944))/MAX(I$470:I944)&gt;T943,T943,(I944-MAX(I$470:I944))/MAX(I$470:I944))</f>
        <v>-0.22786721585231193</v>
      </c>
      <c r="U944" s="564">
        <f>IF((J944-MAX(J$470:J944))/MAX(J$470:J944)&gt;U943,U943,(J944-MAX(J$470:J944))/MAX(J$470:J944))</f>
        <v>-0.40740740740740738</v>
      </c>
      <c r="V944" s="564">
        <f>IF((K944-MAX(K$470:K944))/MAX(K$470:K944)&gt;V943,V943,(K944-MAX(K$470:K944))/MAX(K$470:K944))</f>
        <v>-0.80725522782524772</v>
      </c>
      <c r="W944" s="564">
        <f>IF((N944-MAX(N$470:N944))/MAX(N$470:N944)&gt;W943,W943,(N944-MAX(N$470:N944))/MAX(N$470:N944))</f>
        <v>-0.18985383979277023</v>
      </c>
      <c r="X944" s="564">
        <f>IF((O944-MAX(O$470:O944))/MAX(O$470:O944)&gt;X943,X943,(O944-MAX(O$470:O944))/MAX(O$470:O944))</f>
        <v>-0.20159254550055417</v>
      </c>
    </row>
    <row r="945" spans="1:24">
      <c r="A945" s="799">
        <v>41347</v>
      </c>
      <c r="B945">
        <v>47.169600000000003</v>
      </c>
      <c r="C945">
        <v>113.136044</v>
      </c>
      <c r="D945">
        <v>3.3108059999999999</v>
      </c>
      <c r="E945">
        <f>LN(D945/参数实验室!$E$53)/参数实验室!$E$55</f>
        <v>0.71942245566404339</v>
      </c>
      <c r="F945">
        <f t="shared" si="88"/>
        <v>2.3984948780570536</v>
      </c>
      <c r="G945">
        <f>LN(F945/参数实验室!$E$58)/参数实验室!$E$59</f>
        <v>0.26863402459290053</v>
      </c>
      <c r="H945" s="856">
        <f>INDEX(神经网络!$G$10:$BO$70,MATCH(ROUND(G945*2,1)/2,神经网络!$E$10:$E$70,0),MATCH(ROUND(E945*2,1)/2,神经网络!$G$8:$BO$8,0))</f>
        <v>2.1620796971714196</v>
      </c>
      <c r="I945">
        <f t="shared" si="90"/>
        <v>13.16075058912209</v>
      </c>
      <c r="J945">
        <f t="shared" si="91"/>
        <v>18.821914528550348</v>
      </c>
      <c r="K945">
        <f t="shared" si="92"/>
        <v>0.69922486201703749</v>
      </c>
      <c r="L945" s="4">
        <f>MIN(MAX(L944*(1+MAX(MIN(((B945-B944)/B944)/($K$7*卓尔金历!$N$40),0),-卓尔金历!$M$43))+MIN(MAX(((B945-B944)/B944)/($K$7*卓尔金历!$N$40),0),卓尔金历!$M$43),0),1)</f>
        <v>0.98860639879607282</v>
      </c>
      <c r="M945" s="4">
        <f>MIN(MAX(M944*(1+MAX(MIN(((B945-B944)/B944)/($K$7*30),0),-卓尔金历!$M$43))+MIN(MAX(((B945-B944)/B944)/($K$7*7),0),卓尔金历!$M$43),0),1)</f>
        <v>1</v>
      </c>
      <c r="N945">
        <f t="shared" si="93"/>
        <v>8.3978217474747474</v>
      </c>
      <c r="O945">
        <f t="shared" si="94"/>
        <v>10.964765823101526</v>
      </c>
      <c r="P945">
        <f t="shared" si="95"/>
        <v>5.3196930946291755E-3</v>
      </c>
      <c r="Q945">
        <f t="shared" si="96"/>
        <v>4.058767061770021E-2</v>
      </c>
      <c r="R945">
        <f t="shared" si="97"/>
        <v>1</v>
      </c>
      <c r="S945">
        <f t="shared" si="89"/>
        <v>3.7496719153012377</v>
      </c>
      <c r="T945" s="564">
        <f>IF((I945-MAX(I$470:I945))/MAX(I$470:I945)&gt;T944,T944,(I945-MAX(I$470:I945))/MAX(I$470:I945))</f>
        <v>-0.22786721585231193</v>
      </c>
      <c r="U945" s="564">
        <f>IF((J945-MAX(J$470:J945))/MAX(J$470:J945)&gt;U944,U944,(J945-MAX(J$470:J945))/MAX(J$470:J945))</f>
        <v>-0.40740740740740738</v>
      </c>
      <c r="V945" s="564">
        <f>IF((K945-MAX(K$470:K945))/MAX(K$470:K945)&gt;V944,V944,(K945-MAX(K$470:K945))/MAX(K$470:K945))</f>
        <v>-0.80725522782524772</v>
      </c>
      <c r="W945" s="564">
        <f>IF((N945-MAX(N$470:N945))/MAX(N$470:N945)&gt;W944,W944,(N945-MAX(N$470:N945))/MAX(N$470:N945))</f>
        <v>-0.18985383979277023</v>
      </c>
      <c r="X945" s="564">
        <f>IF((O945-MAX(O$470:O945))/MAX(O$470:O945)&gt;X944,X944,(O945-MAX(O$470:O945))/MAX(O$470:O945))</f>
        <v>-0.20159254550055417</v>
      </c>
    </row>
    <row r="946" spans="1:24">
      <c r="A946" s="799">
        <v>41348</v>
      </c>
      <c r="B946">
        <v>46.95</v>
      </c>
      <c r="C946">
        <v>113.21596599999999</v>
      </c>
      <c r="D946">
        <v>3.2732100000000002</v>
      </c>
      <c r="E946">
        <f>LN(D946/参数实验室!$E$53)/参数实验室!$E$55</f>
        <v>0.70594907253644246</v>
      </c>
      <c r="F946">
        <f t="shared" si="88"/>
        <v>2.4114156762513308</v>
      </c>
      <c r="G946">
        <f>LN(F946/参数实验室!$E$58)/参数实验室!$E$59</f>
        <v>0.27145384812506934</v>
      </c>
      <c r="H946" s="856">
        <f>INDEX(神经网络!$G$10:$BO$70,MATCH(ROUND(G946*2,1)/2,神经网络!$E$10:$E$70,0),MATCH(ROUND(E946*2,1)/2,神经网络!$G$8:$BO$8,0))</f>
        <v>2.1620796971714196</v>
      </c>
      <c r="I946">
        <f t="shared" si="90"/>
        <v>13.028279075139318</v>
      </c>
      <c r="J946">
        <f t="shared" si="91"/>
        <v>18.734288336459052</v>
      </c>
      <c r="K946">
        <f t="shared" si="92"/>
        <v>0.69542428520141908</v>
      </c>
      <c r="L946" s="4">
        <f>MIN(MAX(L945*(1+MAX(MIN(((B946-B945)/B945)/($K$7*卓尔金历!$N$40),0),-卓尔金历!$M$43))+MIN(MAX(((B946-B945)/B945)/($K$7*卓尔金历!$N$40),0),卓尔金历!$M$43),0),1)</f>
        <v>0.91828465397416981</v>
      </c>
      <c r="M946" s="4">
        <f>MIN(MAX(M945*(1+MAX(MIN(((B946-B945)/B945)/($K$7*30),0),-卓尔金历!$M$43))+MIN(MAX(((B946-B945)/B945)/($K$7*7),0),卓尔金历!$M$43),0),1)</f>
        <v>0.96443390164804677</v>
      </c>
      <c r="N946">
        <f t="shared" si="93"/>
        <v>8.3142553057703488</v>
      </c>
      <c r="O946">
        <f t="shared" si="94"/>
        <v>10.854398323982336</v>
      </c>
      <c r="P946">
        <f t="shared" si="95"/>
        <v>-4.6555408568230341E-3</v>
      </c>
      <c r="Q946">
        <f t="shared" si="96"/>
        <v>4.0998599981387107E-2</v>
      </c>
      <c r="R946">
        <f t="shared" si="97"/>
        <v>1</v>
      </c>
      <c r="S946">
        <f t="shared" si="89"/>
        <v>3.7119290288150215</v>
      </c>
      <c r="T946" s="564">
        <f>IF((I946-MAX(I$470:I946))/MAX(I$470:I946)&gt;T945,T945,(I946-MAX(I$470:I946))/MAX(I$470:I946))</f>
        <v>-0.22786721585231193</v>
      </c>
      <c r="U946" s="564">
        <f>IF((J946-MAX(J$470:J946))/MAX(J$470:J946)&gt;U945,U945,(J946-MAX(J$470:J946))/MAX(J$470:J946))</f>
        <v>-0.40740740740740738</v>
      </c>
      <c r="V946" s="564">
        <f>IF((K946-MAX(K$470:K946))/MAX(K$470:K946)&gt;V945,V945,(K946-MAX(K$470:K946))/MAX(K$470:K946))</f>
        <v>-0.80725522782524772</v>
      </c>
      <c r="W946" s="564">
        <f>IF((N946-MAX(N$470:N946))/MAX(N$470:N946)&gt;W945,W945,(N946-MAX(N$470:N946))/MAX(N$470:N946))</f>
        <v>-0.18985383979277023</v>
      </c>
      <c r="X946" s="564">
        <f>IF((O946-MAX(O$470:O946))/MAX(O$470:O946)&gt;X945,X945,(O946-MAX(O$470:O946))/MAX(O$470:O946))</f>
        <v>-0.20159254550055417</v>
      </c>
    </row>
    <row r="947" spans="1:24">
      <c r="A947" s="799">
        <v>41349</v>
      </c>
      <c r="B947">
        <v>47.0002</v>
      </c>
      <c r="C947">
        <v>111.75778</v>
      </c>
      <c r="D947">
        <v>3.266435</v>
      </c>
      <c r="E947">
        <f>LN(D947/参数实验室!$E$53)/参数实验室!$E$55</f>
        <v>0.70350464899742471</v>
      </c>
      <c r="F947">
        <f t="shared" si="88"/>
        <v>2.3778149880213277</v>
      </c>
      <c r="G947">
        <f>LN(F947/参数实验室!$E$58)/参数实验室!$E$59</f>
        <v>0.26408909680394793</v>
      </c>
      <c r="H947" s="856">
        <f>INDEX(神经网络!$G$10:$BO$70,MATCH(ROUND(G947*2,1)/2,神经网络!$E$10:$E$70,0),MATCH(ROUND(E947*2,1)/2,神经网络!$G$8:$BO$8,0))</f>
        <v>2.1620796971714196</v>
      </c>
      <c r="I947">
        <f t="shared" si="90"/>
        <v>13.058397126670894</v>
      </c>
      <c r="J947">
        <f t="shared" si="91"/>
        <v>18.754319460516349</v>
      </c>
      <c r="K947">
        <f t="shared" si="92"/>
        <v>0.6962874421630102</v>
      </c>
      <c r="L947" s="4">
        <f>MIN(MAX(L946*(1+MAX(MIN(((B947-B946)/B946)/($K$7*卓尔金历!$N$40),0),-卓尔金历!$M$43))+MIN(MAX(((B947-B946)/B946)/($K$7*卓尔金历!$N$40),0),卓尔金历!$M$43),0),1)</f>
        <v>0.93462134889778414</v>
      </c>
      <c r="M947" s="4">
        <f>MIN(MAX(M946*(1+MAX(MIN(((B947-B946)/B946)/($K$7*30),0),-卓尔金历!$M$43))+MIN(MAX(((B947-B946)/B946)/($K$7*7),0),卓尔金历!$M$43),0),1)</f>
        <v>0.99944110505579187</v>
      </c>
      <c r="N947">
        <f t="shared" si="93"/>
        <v>8.3319051347666306</v>
      </c>
      <c r="O947">
        <f t="shared" si="94"/>
        <v>10.878598473109403</v>
      </c>
      <c r="P947">
        <f t="shared" si="95"/>
        <v>1.0692225772097272E-3</v>
      </c>
      <c r="Q947">
        <f t="shared" si="96"/>
        <v>4.045947273200582E-2</v>
      </c>
      <c r="R947">
        <f t="shared" si="97"/>
        <v>1</v>
      </c>
      <c r="S947">
        <f t="shared" si="89"/>
        <v>3.7205100600568786</v>
      </c>
      <c r="T947" s="564">
        <f>IF((I947-MAX(I$470:I947))/MAX(I$470:I947)&gt;T946,T946,(I947-MAX(I$470:I947))/MAX(I$470:I947))</f>
        <v>-0.22786721585231193</v>
      </c>
      <c r="U947" s="564">
        <f>IF((J947-MAX(J$470:J947))/MAX(J$470:J947)&gt;U946,U946,(J947-MAX(J$470:J947))/MAX(J$470:J947))</f>
        <v>-0.40740740740740738</v>
      </c>
      <c r="V947" s="564">
        <f>IF((K947-MAX(K$470:K947))/MAX(K$470:K947)&gt;V946,V946,(K947-MAX(K$470:K947))/MAX(K$470:K947))</f>
        <v>-0.80725522782524772</v>
      </c>
      <c r="W947" s="564">
        <f>IF((N947-MAX(N$470:N947))/MAX(N$470:N947)&gt;W946,W946,(N947-MAX(N$470:N947))/MAX(N$470:N947))</f>
        <v>-0.18985383979277023</v>
      </c>
      <c r="X947" s="564">
        <f>IF((O947-MAX(O$470:O947))/MAX(O$470:O947)&gt;X946,X946,(O947-MAX(O$470:O947))/MAX(O$470:O947))</f>
        <v>-0.20159254550055417</v>
      </c>
    </row>
    <row r="948" spans="1:24">
      <c r="A948" s="799">
        <v>41350</v>
      </c>
      <c r="B948">
        <v>47.4</v>
      </c>
      <c r="C948">
        <v>109.963685</v>
      </c>
      <c r="D948">
        <v>3.2550780000000001</v>
      </c>
      <c r="E948">
        <f>LN(D948/参数实验室!$E$53)/参数实验室!$E$55</f>
        <v>0.6993956420426426</v>
      </c>
      <c r="F948">
        <f t="shared" si="88"/>
        <v>2.3199089662447259</v>
      </c>
      <c r="G948">
        <f>LN(F948/参数实验室!$E$58)/参数实验室!$E$59</f>
        <v>0.25114932028672082</v>
      </c>
      <c r="H948" s="856">
        <f>INDEX(神经网络!$G$10:$BO$70,MATCH(ROUND(G948*2,1)/2,神经网络!$E$10:$E$70,0),MATCH(ROUND(E948*2,1)/2,神经网络!$G$8:$BO$8,0))</f>
        <v>2.1620796971714196</v>
      </c>
      <c r="I948">
        <f t="shared" si="90"/>
        <v>13.298559327321307</v>
      </c>
      <c r="J948">
        <f t="shared" si="91"/>
        <v>18.913850205498591</v>
      </c>
      <c r="K948">
        <f t="shared" si="92"/>
        <v>0.70311222637552562</v>
      </c>
      <c r="L948" s="4">
        <f>MIN(MAX(L947*(1+MAX(MIN(((B948-B947)/B947)/($K$7*卓尔金历!$N$40),0),-卓尔金历!$M$43))+MIN(MAX(((B948-B947)/B947)/($K$7*卓尔金历!$N$40),0),卓尔金历!$M$43),0),1)</f>
        <v>1</v>
      </c>
      <c r="M948" s="4">
        <f>MIN(MAX(M947*(1+MAX(MIN(((B948-B947)/B947)/($K$7*30),0),-卓尔金历!$M$43))+MIN(MAX(((B948-B947)/B947)/($K$7*7),0),卓尔金历!$M$43),0),1)</f>
        <v>1</v>
      </c>
      <c r="N948">
        <f t="shared" si="93"/>
        <v>8.4751222085594318</v>
      </c>
      <c r="O948">
        <f t="shared" si="94"/>
        <v>11.078559305920754</v>
      </c>
      <c r="P948">
        <f t="shared" si="95"/>
        <v>8.5063467815030373E-3</v>
      </c>
      <c r="Q948">
        <f t="shared" si="96"/>
        <v>4.0348852752041482E-2</v>
      </c>
      <c r="R948">
        <f t="shared" si="97"/>
        <v>1</v>
      </c>
      <c r="S948">
        <f t="shared" si="89"/>
        <v>3.7889354475602421</v>
      </c>
      <c r="T948" s="564">
        <f>IF((I948-MAX(I$470:I948))/MAX(I$470:I948)&gt;T947,T947,(I948-MAX(I$470:I948))/MAX(I$470:I948))</f>
        <v>-0.22786721585231193</v>
      </c>
      <c r="U948" s="564">
        <f>IF((J948-MAX(J$470:J948))/MAX(J$470:J948)&gt;U947,U947,(J948-MAX(J$470:J948))/MAX(J$470:J948))</f>
        <v>-0.40740740740740738</v>
      </c>
      <c r="V948" s="564">
        <f>IF((K948-MAX(K$470:K948))/MAX(K$470:K948)&gt;V947,V947,(K948-MAX(K$470:K948))/MAX(K$470:K948))</f>
        <v>-0.80725522782524772</v>
      </c>
      <c r="W948" s="564">
        <f>IF((N948-MAX(N$470:N948))/MAX(N$470:N948)&gt;W947,W947,(N948-MAX(N$470:N948))/MAX(N$470:N948))</f>
        <v>-0.18985383979277023</v>
      </c>
      <c r="X948" s="564">
        <f>IF((O948-MAX(O$470:O948))/MAX(O$470:O948)&gt;X947,X947,(O948-MAX(O$470:O948))/MAX(O$470:O948))</f>
        <v>-0.20159254550055417</v>
      </c>
    </row>
    <row r="949" spans="1:24">
      <c r="A949" s="799">
        <v>41351</v>
      </c>
      <c r="B949">
        <v>51.6</v>
      </c>
      <c r="C949">
        <v>110.056866</v>
      </c>
      <c r="D949">
        <v>3.4695719999999999</v>
      </c>
      <c r="E949">
        <f>LN(D949/参数实验室!$E$53)/参数实验室!$E$55</f>
        <v>0.77468160109325312</v>
      </c>
      <c r="F949">
        <f t="shared" si="88"/>
        <v>2.1328849999999999</v>
      </c>
      <c r="G949">
        <f>LN(F949/参数实验室!$E$58)/参数实验室!$E$59</f>
        <v>0.2070340663182931</v>
      </c>
      <c r="H949" s="856">
        <f>INDEX(神经网络!$G$10:$BO$70,MATCH(ROUND(G949*2,1)/2,神经网络!$E$10:$E$70,0),MATCH(ROUND(E949*2,1)/2,神经网络!$G$8:$BO$8,0))</f>
        <v>2.1825485318393136</v>
      </c>
      <c r="I949">
        <f t="shared" si="90"/>
        <v>15.846253199000007</v>
      </c>
      <c r="J949">
        <f t="shared" si="91"/>
        <v>20.589760983201</v>
      </c>
      <c r="K949">
        <f t="shared" si="92"/>
        <v>0.76961812290724607</v>
      </c>
      <c r="L949" s="4">
        <f>MIN(MAX(L948*(1+MAX(MIN(((B949-B948)/B948)/($K$7*卓尔金历!$N$40),0),-卓尔金历!$M$43))+MIN(MAX(((B949-B948)/B948)/($K$7*卓尔金历!$N$40),0),卓尔金历!$M$43),0),1)</f>
        <v>1</v>
      </c>
      <c r="M949" s="4">
        <f>MIN(MAX(M948*(1+MAX(MIN(((B949-B948)/B948)/($K$7*30),0),-卓尔金历!$M$43))+MIN(MAX(((B949-B948)/B948)/($K$7*7),0),卓尔金历!$M$43),0),1)</f>
        <v>1</v>
      </c>
      <c r="N949">
        <f t="shared" si="93"/>
        <v>10.098758001055771</v>
      </c>
      <c r="O949">
        <f t="shared" si="94"/>
        <v>13.200952939397785</v>
      </c>
      <c r="P949">
        <f t="shared" si="95"/>
        <v>8.8607594936708917E-2</v>
      </c>
      <c r="Q949">
        <f t="shared" si="96"/>
        <v>4.2657929273863117E-2</v>
      </c>
      <c r="R949">
        <f t="shared" si="97"/>
        <v>1.0853663696631457E-2</v>
      </c>
      <c r="S949">
        <f t="shared" si="89"/>
        <v>4.5148071290215306</v>
      </c>
      <c r="T949" s="564">
        <f>IF((I949-MAX(I$470:I949))/MAX(I$470:I949)&gt;T948,T948,(I949-MAX(I$470:I949))/MAX(I$470:I949))</f>
        <v>-0.22786721585231193</v>
      </c>
      <c r="U949" s="564">
        <f>IF((J949-MAX(J$470:J949))/MAX(J$470:J949)&gt;U948,U948,(J949-MAX(J$470:J949))/MAX(J$470:J949))</f>
        <v>-0.40740740740740738</v>
      </c>
      <c r="V949" s="564">
        <f>IF((K949-MAX(K$470:K949))/MAX(K$470:K949)&gt;V948,V948,(K949-MAX(K$470:K949))/MAX(K$470:K949))</f>
        <v>-0.80725522782524772</v>
      </c>
      <c r="W949" s="564">
        <f>IF((N949-MAX(N$470:N949))/MAX(N$470:N949)&gt;W948,W948,(N949-MAX(N$470:N949))/MAX(N$470:N949))</f>
        <v>-0.18985383979277023</v>
      </c>
      <c r="X949" s="564">
        <f>IF((O949-MAX(O$470:O949))/MAX(O$470:O949)&gt;X948,X948,(O949-MAX(O$470:O949))/MAX(O$470:O949))</f>
        <v>-0.20159254550055417</v>
      </c>
    </row>
    <row r="950" spans="1:24">
      <c r="A950" s="799">
        <v>41352</v>
      </c>
      <c r="B950">
        <v>59.14</v>
      </c>
      <c r="C950">
        <v>111.377708</v>
      </c>
      <c r="D950">
        <v>3.8603589999999999</v>
      </c>
      <c r="E950">
        <f>LN(D950/参数实验室!$E$53)/参数实验室!$E$55</f>
        <v>0.90059541537105636</v>
      </c>
      <c r="F950">
        <f t="shared" si="88"/>
        <v>1.8832889414947582</v>
      </c>
      <c r="G950">
        <f>LN(F950/参数实验室!$E$58)/参数实验室!$E$59</f>
        <v>0.14171291653951926</v>
      </c>
      <c r="H950" s="856">
        <f>INDEX(神经网络!$G$10:$BO$70,MATCH(ROUND(G950*2,1)/2,神经网络!$E$10:$E$70,0),MATCH(ROUND(E950*2,1)/2,神经网络!$G$8:$BO$8,0))</f>
        <v>2.2648134242397737</v>
      </c>
      <c r="I950">
        <f t="shared" si="90"/>
        <v>20.899984469851198</v>
      </c>
      <c r="J950">
        <f t="shared" si="91"/>
        <v>23.598419855552461</v>
      </c>
      <c r="K950">
        <f t="shared" si="92"/>
        <v>0.88565186134416751</v>
      </c>
      <c r="L950" s="4">
        <f>MIN(MAX(L949*(1+MAX(MIN(((B950-B949)/B949)/($K$7*卓尔金历!$N$40),0),-卓尔金历!$M$43))+MIN(MAX(((B950-B949)/B949)/($K$7*卓尔金历!$N$40),0),卓尔金历!$M$43),0),1)</f>
        <v>1</v>
      </c>
      <c r="M950" s="4">
        <f>MIN(MAX(M949*(1+MAX(MIN(((B950-B949)/B949)/($K$7*30),0),-卓尔金历!$M$43))+MIN(MAX(((B950-B949)/B949)/($K$7*7),0),卓尔金历!$M$43),0),1)</f>
        <v>1</v>
      </c>
      <c r="N950">
        <f t="shared" si="93"/>
        <v>13.319482071646471</v>
      </c>
      <c r="O950">
        <f t="shared" si="94"/>
        <v>17.41103767280843</v>
      </c>
      <c r="P950">
        <f t="shared" si="95"/>
        <v>0.14612403100775193</v>
      </c>
      <c r="Q950">
        <f t="shared" si="96"/>
        <v>4.9671462235749989E-2</v>
      </c>
      <c r="R950">
        <f t="shared" si="97"/>
        <v>0</v>
      </c>
      <c r="S950">
        <f t="shared" si="89"/>
        <v>4.5304350467660859</v>
      </c>
      <c r="T950" s="564">
        <f>IF((I950-MAX(I$470:I950))/MAX(I$470:I950)&gt;T949,T949,(I950-MAX(I$470:I950))/MAX(I$470:I950))</f>
        <v>-0.22786721585231193</v>
      </c>
      <c r="U950" s="564">
        <f>IF((J950-MAX(J$470:J950))/MAX(J$470:J950)&gt;U949,U949,(J950-MAX(J$470:J950))/MAX(J$470:J950))</f>
        <v>-0.40740740740740738</v>
      </c>
      <c r="V950" s="564">
        <f>IF((K950-MAX(K$470:K950))/MAX(K$470:K950)&gt;V949,V949,(K950-MAX(K$470:K950))/MAX(K$470:K950))</f>
        <v>-0.80725522782524772</v>
      </c>
      <c r="W950" s="564">
        <f>IF((N950-MAX(N$470:N950))/MAX(N$470:N950)&gt;W949,W949,(N950-MAX(N$470:N950))/MAX(N$470:N950))</f>
        <v>-0.18985383979277023</v>
      </c>
      <c r="X950" s="564">
        <f>IF((O950-MAX(O$470:O950))/MAX(O$470:O950)&gt;X949,X949,(O950-MAX(O$470:O950))/MAX(O$470:O950))</f>
        <v>-0.20159254550055417</v>
      </c>
    </row>
    <row r="951" spans="1:24">
      <c r="A951" s="799">
        <v>41353</v>
      </c>
      <c r="B951">
        <v>64.488799999999998</v>
      </c>
      <c r="C951">
        <v>108.315297</v>
      </c>
      <c r="D951">
        <v>4.005668</v>
      </c>
      <c r="E951">
        <f>LN(D951/参数实验室!$E$53)/参数实验室!$E$55</f>
        <v>0.94418750276444285</v>
      </c>
      <c r="F951">
        <f t="shared" si="88"/>
        <v>1.6795985814591061</v>
      </c>
      <c r="G951">
        <f>LN(F951/参数实验室!$E$58)/参数实验室!$E$59</f>
        <v>8.1635571942149696E-2</v>
      </c>
      <c r="H951" s="856">
        <f>INDEX(神经网络!$G$10:$BO$70,MATCH(ROUND(G951*2,1)/2,神经网络!$E$10:$E$70,0),MATCH(ROUND(E951*2,1)/2,神经网络!$G$8:$BO$8,0))</f>
        <v>2.2802035895763053</v>
      </c>
      <c r="I951">
        <f t="shared" si="90"/>
        <v>25.181065352129501</v>
      </c>
      <c r="J951">
        <f t="shared" si="91"/>
        <v>25.732732133594038</v>
      </c>
      <c r="K951">
        <f t="shared" si="92"/>
        <v>0.97856167084783285</v>
      </c>
      <c r="L951" s="4">
        <f>MIN(MAX(L950*(1+MAX(MIN(((B951-B950)/B950)/($K$7*卓尔金历!$N$40),0),-卓尔金历!$M$43))+MIN(MAX(((B951-B950)/B950)/($K$7*卓尔金历!$N$40),0),卓尔金历!$M$43),0),1)</f>
        <v>1</v>
      </c>
      <c r="M951" s="4">
        <f>MIN(MAX(M950*(1+MAX(MIN(((B951-B950)/B950)/($K$7*30),0),-卓尔金历!$M$43))+MIN(MAX(((B951-B950)/B950)/($K$7*7),0),卓尔金历!$M$43),0),1)</f>
        <v>1</v>
      </c>
      <c r="N951">
        <f t="shared" si="93"/>
        <v>16.047798934323083</v>
      </c>
      <c r="O951">
        <f t="shared" si="94"/>
        <v>20.97745470193162</v>
      </c>
      <c r="P951">
        <f t="shared" si="95"/>
        <v>9.0443016570848786E-2</v>
      </c>
      <c r="Q951">
        <f t="shared" si="96"/>
        <v>5.0358228002339619E-2</v>
      </c>
      <c r="R951">
        <f t="shared" si="97"/>
        <v>2.0585941180404126E-2</v>
      </c>
      <c r="S951">
        <f t="shared" si="89"/>
        <v>4.5304350467660859</v>
      </c>
      <c r="T951" s="564">
        <f>IF((I951-MAX(I$470:I951))/MAX(I$470:I951)&gt;T950,T950,(I951-MAX(I$470:I951))/MAX(I$470:I951))</f>
        <v>-0.22786721585231193</v>
      </c>
      <c r="U951" s="564">
        <f>IF((J951-MAX(J$470:J951))/MAX(J$470:J951)&gt;U950,U950,(J951-MAX(J$470:J951))/MAX(J$470:J951))</f>
        <v>-0.40740740740740738</v>
      </c>
      <c r="V951" s="564">
        <f>IF((K951-MAX(K$470:K951))/MAX(K$470:K951)&gt;V950,V950,(K951-MAX(K$470:K951))/MAX(K$470:K951))</f>
        <v>-0.80725522782524772</v>
      </c>
      <c r="W951" s="564">
        <f>IF((N951-MAX(N$470:N951))/MAX(N$470:N951)&gt;W950,W950,(N951-MAX(N$470:N951))/MAX(N$470:N951))</f>
        <v>-0.18985383979277023</v>
      </c>
      <c r="X951" s="564">
        <f>IF((O951-MAX(O$470:O951))/MAX(O$470:O951)&gt;X950,X950,(O951-MAX(O$470:O951))/MAX(O$470:O951))</f>
        <v>-0.20159254550055417</v>
      </c>
    </row>
    <row r="952" spans="1:24">
      <c r="A952" s="799">
        <v>41354</v>
      </c>
      <c r="B952">
        <v>70.849999999999994</v>
      </c>
      <c r="C952">
        <v>104.82375</v>
      </c>
      <c r="D952">
        <v>4.23461</v>
      </c>
      <c r="E952">
        <f>LN(D952/参数实验室!$E$53)/参数实验室!$E$55</f>
        <v>1.0097592215427342</v>
      </c>
      <c r="F952">
        <f t="shared" si="88"/>
        <v>1.4795165843330982</v>
      </c>
      <c r="G952">
        <f>LN(F952/参数实验室!$E$58)/参数实验室!$E$59</f>
        <v>1.5063387935295642E-2</v>
      </c>
      <c r="H952" s="856">
        <f>INDEX(神经网络!$G$10:$BO$70,MATCH(ROUND(G952*2,1)/2,神经网络!$E$10:$E$70,0),MATCH(ROUND(E952*2,1)/2,神经网络!$G$8:$BO$8,0))</f>
        <v>2.2796579891617736</v>
      </c>
      <c r="I952">
        <f t="shared" si="90"/>
        <v>30.844794545358631</v>
      </c>
      <c r="J952">
        <f t="shared" si="91"/>
        <v>28.271018714337025</v>
      </c>
      <c r="K952">
        <f t="shared" si="92"/>
        <v>1.0910393734668067</v>
      </c>
      <c r="L952" s="4">
        <f>MIN(MAX(L951*(1+MAX(MIN(((B952-B951)/B951)/($K$7*卓尔金历!$N$40),0),-卓尔金历!$M$43))+MIN(MAX(((B952-B951)/B951)/($K$7*卓尔金历!$N$40),0),卓尔金历!$M$43),0),1)</f>
        <v>1</v>
      </c>
      <c r="M952" s="4">
        <f>MIN(MAX(M951*(1+MAX(MIN(((B952-B951)/B951)/($K$7*30),0),-卓尔金历!$M$43))+MIN(MAX(((B952-B951)/B951)/($K$7*7),0),卓尔金历!$M$43),0),1)</f>
        <v>1</v>
      </c>
      <c r="N952">
        <f t="shared" si="93"/>
        <v>19.657272403391801</v>
      </c>
      <c r="O952">
        <f t="shared" si="94"/>
        <v>25.695707124278965</v>
      </c>
      <c r="P952">
        <f t="shared" si="95"/>
        <v>9.8640384066690595E-2</v>
      </c>
      <c r="Q952">
        <f t="shared" si="96"/>
        <v>5.1257979136891139E-2</v>
      </c>
      <c r="R952">
        <f t="shared" si="97"/>
        <v>1.7393255759935368E-2</v>
      </c>
      <c r="S952">
        <f t="shared" si="89"/>
        <v>4.5514118360376408</v>
      </c>
      <c r="T952" s="564">
        <f>IF((I952-MAX(I$470:I952))/MAX(I$470:I952)&gt;T951,T951,(I952-MAX(I$470:I952))/MAX(I$470:I952))</f>
        <v>-0.22786721585231193</v>
      </c>
      <c r="U952" s="564">
        <f>IF((J952-MAX(J$470:J952))/MAX(J$470:J952)&gt;U951,U951,(J952-MAX(J$470:J952))/MAX(J$470:J952))</f>
        <v>-0.40740740740740738</v>
      </c>
      <c r="V952" s="564">
        <f>IF((K952-MAX(K$470:K952))/MAX(K$470:K952)&gt;V951,V951,(K952-MAX(K$470:K952))/MAX(K$470:K952))</f>
        <v>-0.80725522782524772</v>
      </c>
      <c r="W952" s="564">
        <f>IF((N952-MAX(N$470:N952))/MAX(N$470:N952)&gt;W951,W951,(N952-MAX(N$470:N952))/MAX(N$470:N952))</f>
        <v>-0.18985383979277023</v>
      </c>
      <c r="X952" s="564">
        <f>IF((O952-MAX(O$470:O952))/MAX(O$470:O952)&gt;X951,X951,(O952-MAX(O$470:O952))/MAX(O$470:O952))</f>
        <v>-0.20159254550055417</v>
      </c>
    </row>
    <row r="953" spans="1:24">
      <c r="A953" s="799">
        <v>41355</v>
      </c>
      <c r="B953">
        <v>69.864999999999995</v>
      </c>
      <c r="C953">
        <v>102.84304</v>
      </c>
      <c r="D953">
        <v>4.055682</v>
      </c>
      <c r="E953">
        <f>LN(D953/参数实验室!$E$53)/参数实验室!$E$55</f>
        <v>0.9588264741078254</v>
      </c>
      <c r="F953">
        <f t="shared" si="88"/>
        <v>1.4720251914406357</v>
      </c>
      <c r="G953">
        <f>LN(F953/参数实验室!$E$58)/参数实验室!$E$59</f>
        <v>1.2399087993191666E-2</v>
      </c>
      <c r="H953" s="856">
        <f>INDEX(神经网络!$G$10:$BO$70,MATCH(ROUND(G953*2,1)/2,神经网络!$E$10:$E$70,0),MATCH(ROUND(E953*2,1)/2,神经网络!$G$8:$BO$8,0))</f>
        <v>2.250831548482191</v>
      </c>
      <c r="I953">
        <f t="shared" si="90"/>
        <v>29.867224346703168</v>
      </c>
      <c r="J953">
        <f t="shared" si="91"/>
        <v>27.877977734328248</v>
      </c>
      <c r="K953">
        <f t="shared" si="92"/>
        <v>1.0713554846528703</v>
      </c>
      <c r="L953" s="4">
        <f>MIN(MAX(L952*(1+MAX(MIN(((B953-B952)/B952)/($K$7*卓尔金历!$N$40),0),-卓尔金历!$M$43))+MIN(MAX(((B953-B952)/B952)/($K$7*卓尔金历!$N$40),0),卓尔金历!$M$43),0),1)</f>
        <v>0.78758144296103116</v>
      </c>
      <c r="M953" s="4">
        <f>MIN(MAX(M952*(1+MAX(MIN(((B953-B952)/B952)/($K$7*30),0),-卓尔金历!$M$43))+MIN(MAX(((B953-B952)/B952)/($K$7*7),0),卓尔金历!$M$43),0),1)</f>
        <v>0.89379072148051553</v>
      </c>
      <c r="N953">
        <f t="shared" si="93"/>
        <v>19.034270565589001</v>
      </c>
      <c r="O953">
        <f t="shared" si="94"/>
        <v>24.88132797576057</v>
      </c>
      <c r="P953">
        <f t="shared" si="95"/>
        <v>-1.3902611150317566E-2</v>
      </c>
      <c r="Q953">
        <f t="shared" si="96"/>
        <v>5.2426372356502896E-2</v>
      </c>
      <c r="R953">
        <f t="shared" si="97"/>
        <v>1</v>
      </c>
      <c r="S953">
        <f t="shared" si="89"/>
        <v>4.548902879781231</v>
      </c>
      <c r="T953" s="564">
        <f>IF((I953-MAX(I$470:I953))/MAX(I$470:I953)&gt;T952,T952,(I953-MAX(I$470:I953))/MAX(I$470:I953))</f>
        <v>-0.22786721585231193</v>
      </c>
      <c r="U953" s="564">
        <f>IF((J953-MAX(J$470:J953))/MAX(J$470:J953)&gt;U952,U952,(J953-MAX(J$470:J953))/MAX(J$470:J953))</f>
        <v>-0.40740740740740738</v>
      </c>
      <c r="V953" s="564">
        <f>IF((K953-MAX(K$470:K953))/MAX(K$470:K953)&gt;V952,V952,(K953-MAX(K$470:K953))/MAX(K$470:K953))</f>
        <v>-0.80725522782524772</v>
      </c>
      <c r="W953" s="564">
        <f>IF((N953-MAX(N$470:N953))/MAX(N$470:N953)&gt;W952,W952,(N953-MAX(N$470:N953))/MAX(N$470:N953))</f>
        <v>-0.18985383979277023</v>
      </c>
      <c r="X953" s="564">
        <f>IF((O953-MAX(O$470:O953))/MAX(O$470:O953)&gt;X952,X952,(O953-MAX(O$470:O953))/MAX(O$470:O953))</f>
        <v>-0.20159254550055417</v>
      </c>
    </row>
    <row r="954" spans="1:24">
      <c r="A954" s="799">
        <v>41356</v>
      </c>
      <c r="B954">
        <v>64.349999999999994</v>
      </c>
      <c r="C954">
        <v>100.616955</v>
      </c>
      <c r="D954">
        <v>3.7067260000000002</v>
      </c>
      <c r="E954">
        <f>LN(D954/参数实验室!$E$53)/参数实验室!$E$55</f>
        <v>0.8526842474305637</v>
      </c>
      <c r="F954">
        <f t="shared" si="88"/>
        <v>1.5635890442890445</v>
      </c>
      <c r="G954">
        <f>LN(F954/参数实验室!$E$58)/参数实验室!$E$59</f>
        <v>4.4071255261212555E-2</v>
      </c>
      <c r="H954" s="856">
        <f>INDEX(神经网络!$G$10:$BO$70,MATCH(ROUND(G954*2,1)/2,神经网络!$E$10:$E$70,0),MATCH(ROUND(E954*2,1)/2,神经网络!$G$8:$BO$8,0))</f>
        <v>2.2012437043444537</v>
      </c>
      <c r="I954">
        <f t="shared" si="90"/>
        <v>24.560534431856976</v>
      </c>
      <c r="J954">
        <f t="shared" si="91"/>
        <v>25.677347272654728</v>
      </c>
      <c r="K954">
        <f t="shared" si="92"/>
        <v>0.95650591048448719</v>
      </c>
      <c r="L954" s="4">
        <f>MIN(MAX(L953*(1+MAX(MIN(((B954-B953)/B953)/($K$7*卓尔金历!$N$40),0),-卓尔金历!$M$43))+MIN(MAX(((B954-B953)/B953)/($K$7*卓尔金历!$N$40),0),卓尔金历!$M$43),0),1)</f>
        <v>0</v>
      </c>
      <c r="M954" s="4">
        <f>MIN(MAX(M953*(1+MAX(MIN(((B954-B953)/B953)/($K$7*30),0),-卓尔金历!$M$43))+MIN(MAX(((B954-B953)/B953)/($K$7*7),0),卓尔金历!$M$43),0),1)</f>
        <v>0.35479194660305835</v>
      </c>
      <c r="N954">
        <f t="shared" si="93"/>
        <v>16.370722365790215</v>
      </c>
      <c r="O954">
        <f t="shared" si="94"/>
        <v>20.930043983682229</v>
      </c>
      <c r="P954">
        <f t="shared" si="95"/>
        <v>-7.8937951764116526E-2</v>
      </c>
      <c r="Q954">
        <f t="shared" si="96"/>
        <v>5.7214299727914621E-2</v>
      </c>
      <c r="R954">
        <f t="shared" si="97"/>
        <v>3.5552511331369954E-2</v>
      </c>
      <c r="S954">
        <f t="shared" si="89"/>
        <v>3.7406718652238147</v>
      </c>
      <c r="T954" s="564">
        <f>IF((I954-MAX(I$470:I954))/MAX(I$470:I954)&gt;T953,T953,(I954-MAX(I$470:I954))/MAX(I$470:I954))</f>
        <v>-0.22786721585231193</v>
      </c>
      <c r="U954" s="564">
        <f>IF((J954-MAX(J$470:J954))/MAX(J$470:J954)&gt;U953,U953,(J954-MAX(J$470:J954))/MAX(J$470:J954))</f>
        <v>-0.40740740740740738</v>
      </c>
      <c r="V954" s="564">
        <f>IF((K954-MAX(K$470:K954))/MAX(K$470:K954)&gt;V953,V953,(K954-MAX(K$470:K954))/MAX(K$470:K954))</f>
        <v>-0.80725522782524772</v>
      </c>
      <c r="W954" s="564">
        <f>IF((N954-MAX(N$470:N954))/MAX(N$470:N954)&gt;W953,W953,(N954-MAX(N$470:N954))/MAX(N$470:N954))</f>
        <v>-0.18985383979277023</v>
      </c>
      <c r="X954" s="564">
        <f>IF((O954-MAX(O$470:O954))/MAX(O$470:O954)&gt;X953,X953,(O954-MAX(O$470:O954))/MAX(O$470:O954))</f>
        <v>-0.20159254550055417</v>
      </c>
    </row>
    <row r="955" spans="1:24">
      <c r="A955" s="799">
        <v>41357</v>
      </c>
      <c r="B955">
        <v>71.5</v>
      </c>
      <c r="C955">
        <v>99.674375999999995</v>
      </c>
      <c r="D955">
        <v>4.0255640000000001</v>
      </c>
      <c r="E955">
        <f>LN(D955/参数实验室!$E$53)/参数实验室!$E$55</f>
        <v>0.95003278741320396</v>
      </c>
      <c r="F955">
        <f t="shared" si="88"/>
        <v>1.3940472167832167</v>
      </c>
      <c r="G955">
        <f>LN(F955/参数实验室!$E$58)/参数实验室!$E$59</f>
        <v>-1.61676419930432E-2</v>
      </c>
      <c r="H955" s="856">
        <f>INDEX(神经网络!$G$10:$BO$70,MATCH(ROUND(G955*2,1)/2,神经网络!$E$10:$E$70,0),MATCH(ROUND(E955*2,1)/2,神经网络!$G$8:$BO$8,0))</f>
        <v>2.250831548482191</v>
      </c>
      <c r="I955">
        <f t="shared" si="90"/>
        <v>30.567614631130354</v>
      </c>
      <c r="J955">
        <f t="shared" si="91"/>
        <v>28.530385858505255</v>
      </c>
      <c r="K955">
        <f t="shared" si="92"/>
        <v>1.0714055807982623</v>
      </c>
      <c r="L955" s="4">
        <f>MIN(MAX(L954*(1+MAX(MIN(((B955-B954)/B954)/($K$7*卓尔金历!$N$40),0),-卓尔金历!$M$43))+MIN(MAX(((B955-B954)/B954)/($K$7*卓尔金历!$N$40),0),卓尔金历!$M$43),0),1)</f>
        <v>1</v>
      </c>
      <c r="M955" s="4">
        <f>MIN(MAX(M954*(1+MAX(MIN(((B955-B954)/B954)/($K$7*30),0),-卓尔金历!$M$43))+MIN(MAX(((B955-B954)/B954)/($K$7*7),0),卓尔金历!$M$43),0),1)</f>
        <v>1</v>
      </c>
      <c r="N955">
        <f t="shared" si="93"/>
        <v>16.370722365790215</v>
      </c>
      <c r="O955">
        <f t="shared" si="94"/>
        <v>22.74626840788989</v>
      </c>
      <c r="P955">
        <f t="shared" si="95"/>
        <v>0.11111111111111122</v>
      </c>
      <c r="Q955">
        <f t="shared" si="96"/>
        <v>5.9305690999821428E-2</v>
      </c>
      <c r="R955">
        <f t="shared" si="97"/>
        <v>2.1293707364520388E-2</v>
      </c>
      <c r="S955">
        <f t="shared" si="89"/>
        <v>3.7731989779030677</v>
      </c>
      <c r="T955" s="564">
        <f>IF((I955-MAX(I$470:I955))/MAX(I$470:I955)&gt;T954,T954,(I955-MAX(I$470:I955))/MAX(I$470:I955))</f>
        <v>-0.22786721585231193</v>
      </c>
      <c r="U955" s="564">
        <f>IF((J955-MAX(J$470:J955))/MAX(J$470:J955)&gt;U954,U954,(J955-MAX(J$470:J955))/MAX(J$470:J955))</f>
        <v>-0.40740740740740738</v>
      </c>
      <c r="V955" s="564">
        <f>IF((K955-MAX(K$470:K955))/MAX(K$470:K955)&gt;V954,V954,(K955-MAX(K$470:K955))/MAX(K$470:K955))</f>
        <v>-0.80725522782524772</v>
      </c>
      <c r="W955" s="564">
        <f>IF((N955-MAX(N$470:N955))/MAX(N$470:N955)&gt;W954,W954,(N955-MAX(N$470:N955))/MAX(N$470:N955))</f>
        <v>-0.18985383979277023</v>
      </c>
      <c r="X955" s="564">
        <f>IF((O955-MAX(O$470:O955))/MAX(O$470:O955)&gt;X954,X954,(O955-MAX(O$470:O955))/MAX(O$470:O955))</f>
        <v>-0.20159254550055417</v>
      </c>
    </row>
    <row r="956" spans="1:24">
      <c r="A956" s="799">
        <v>41358</v>
      </c>
      <c r="B956">
        <v>73.599999999999994</v>
      </c>
      <c r="C956">
        <v>100.92757899999999</v>
      </c>
      <c r="D956">
        <v>4.0237819999999997</v>
      </c>
      <c r="E956">
        <f>LN(D956/参数实验室!$E$53)/参数实验室!$E$55</f>
        <v>0.9495104293694312</v>
      </c>
      <c r="F956">
        <f t="shared" si="88"/>
        <v>1.3712986277173913</v>
      </c>
      <c r="G956">
        <f>LN(F956/参数实验室!$E$58)/参数实验室!$E$59</f>
        <v>-2.48030597354226E-2</v>
      </c>
      <c r="H956" s="856">
        <f>INDEX(神经网络!$G$10:$BO$70,MATCH(ROUND(G956*2,1)/2,神经网络!$E$10:$E$70,0),MATCH(ROUND(E956*2,1)/2,神经网络!$G$8:$BO$8,0))</f>
        <v>2.250831548482191</v>
      </c>
      <c r="I956">
        <f t="shared" si="90"/>
        <v>32.588388867277864</v>
      </c>
      <c r="J956">
        <f t="shared" si="91"/>
        <v>29.368341247356454</v>
      </c>
      <c r="K956">
        <f t="shared" si="92"/>
        <v>1.1096434964712643</v>
      </c>
      <c r="L956" s="4">
        <f>MIN(MAX(L955*(1+MAX(MIN(((B956-B955)/B955)/($K$7*卓尔金历!$N$40),0),-卓尔金历!$M$43))+MIN(MAX(((B956-B955)/B955)/($K$7*卓尔金历!$N$40),0),卓尔金历!$M$43),0),1)</f>
        <v>1</v>
      </c>
      <c r="M956" s="4">
        <f>MIN(MAX(M955*(1+MAX(MIN(((B956-B955)/B955)/($K$7*30),0),-卓尔金历!$M$43))+MIN(MAX(((B956-B955)/B955)/($K$7*7),0),卓尔金历!$M$43),0),1)</f>
        <v>1</v>
      </c>
      <c r="N956">
        <f t="shared" si="93"/>
        <v>17.452963632670823</v>
      </c>
      <c r="O956">
        <f t="shared" si="94"/>
        <v>24.249986435018794</v>
      </c>
      <c r="P956">
        <f t="shared" si="95"/>
        <v>2.937062937062929E-2</v>
      </c>
      <c r="Q956">
        <f t="shared" si="96"/>
        <v>5.9275372523864577E-2</v>
      </c>
      <c r="R956">
        <f t="shared" si="97"/>
        <v>0.80314881523940762</v>
      </c>
      <c r="S956">
        <f t="shared" si="89"/>
        <v>3.7785104785187569</v>
      </c>
      <c r="T956" s="564">
        <f>IF((I956-MAX(I$470:I956))/MAX(I$470:I956)&gt;T955,T955,(I956-MAX(I$470:I956))/MAX(I$470:I956))</f>
        <v>-0.22786721585231193</v>
      </c>
      <c r="U956" s="564">
        <f>IF((J956-MAX(J$470:J956))/MAX(J$470:J956)&gt;U955,U955,(J956-MAX(J$470:J956))/MAX(J$470:J956))</f>
        <v>-0.40740740740740738</v>
      </c>
      <c r="V956" s="564">
        <f>IF((K956-MAX(K$470:K956))/MAX(K$470:K956)&gt;V955,V955,(K956-MAX(K$470:K956))/MAX(K$470:K956))</f>
        <v>-0.80725522782524772</v>
      </c>
      <c r="W956" s="564">
        <f>IF((N956-MAX(N$470:N956))/MAX(N$470:N956)&gt;W955,W955,(N956-MAX(N$470:N956))/MAX(N$470:N956))</f>
        <v>-0.18985383979277023</v>
      </c>
      <c r="X956" s="564">
        <f>IF((O956-MAX(O$470:O956))/MAX(O$470:O956)&gt;X955,X955,(O956-MAX(O$470:O956))/MAX(O$470:O956))</f>
        <v>-0.20159254550055417</v>
      </c>
    </row>
    <row r="957" spans="1:24">
      <c r="A957" s="799">
        <v>41359</v>
      </c>
      <c r="B957">
        <v>78.5</v>
      </c>
      <c r="C957">
        <v>101.331789</v>
      </c>
      <c r="D957">
        <v>4.1507540000000001</v>
      </c>
      <c r="E957">
        <f>LN(D957/参数实验室!$E$53)/参数实验室!$E$55</f>
        <v>0.9861627059814968</v>
      </c>
      <c r="F957">
        <f t="shared" si="88"/>
        <v>1.2908508152866243</v>
      </c>
      <c r="G957">
        <f>LN(F957/参数实验室!$E$58)/参数实验室!$E$59</f>
        <v>-5.6533975136992279E-2</v>
      </c>
      <c r="H957" s="856">
        <f>INDEX(神经网络!$G$10:$BO$70,MATCH(ROUND(G957*2,1)/2,神经网络!$E$10:$E$70,0),MATCH(ROUND(E957*2,1)/2,神经网络!$G$8:$BO$8,0))</f>
        <v>2.2636417880201667</v>
      </c>
      <c r="I957">
        <f t="shared" si="90"/>
        <v>37.471809675779319</v>
      </c>
      <c r="J957">
        <f t="shared" si="91"/>
        <v>31.323570488009263</v>
      </c>
      <c r="K957">
        <f t="shared" si="92"/>
        <v>1.19628155705058</v>
      </c>
      <c r="L957" s="4">
        <f>MIN(MAX(L956*(1+MAX(MIN(((B957-B956)/B956)/($K$7*卓尔金历!$N$40),0),-卓尔金历!$M$43))+MIN(MAX(((B957-B956)/B956)/($K$7*卓尔金历!$N$40),0),卓尔金历!$M$43),0),1)</f>
        <v>1</v>
      </c>
      <c r="M957" s="4">
        <f>MIN(MAX(M956*(1+MAX(MIN(((B957-B956)/B956)/($K$7*30),0),-卓尔金历!$M$43))+MIN(MAX(((B957-B956)/B956)/($K$7*7),0),卓尔金历!$M$43),0),1)</f>
        <v>1</v>
      </c>
      <c r="N957">
        <f t="shared" si="93"/>
        <v>20.068317405479881</v>
      </c>
      <c r="O957">
        <f t="shared" si="94"/>
        <v>27.883884657018893</v>
      </c>
      <c r="P957">
        <f t="shared" si="95"/>
        <v>6.6576086956521827E-2</v>
      </c>
      <c r="Q957">
        <f t="shared" si="96"/>
        <v>5.7025065041360977E-2</v>
      </c>
      <c r="R957">
        <f t="shared" si="97"/>
        <v>5.0096311408252325E-2</v>
      </c>
      <c r="S957">
        <f t="shared" si="89"/>
        <v>4.2332659294381054</v>
      </c>
      <c r="T957" s="564">
        <f>IF((I957-MAX(I$470:I957))/MAX(I$470:I957)&gt;T956,T956,(I957-MAX(I$470:I957))/MAX(I$470:I957))</f>
        <v>-0.22786721585231193</v>
      </c>
      <c r="U957" s="564">
        <f>IF((J957-MAX(J$470:J957))/MAX(J$470:J957)&gt;U956,U956,(J957-MAX(J$470:J957))/MAX(J$470:J957))</f>
        <v>-0.40740740740740738</v>
      </c>
      <c r="V957" s="564">
        <f>IF((K957-MAX(K$470:K957))/MAX(K$470:K957)&gt;V956,V956,(K957-MAX(K$470:K957))/MAX(K$470:K957))</f>
        <v>-0.80725522782524772</v>
      </c>
      <c r="W957" s="564">
        <f>IF((N957-MAX(N$470:N957))/MAX(N$470:N957)&gt;W956,W956,(N957-MAX(N$470:N957))/MAX(N$470:N957))</f>
        <v>-0.18985383979277023</v>
      </c>
      <c r="X957" s="564">
        <f>IF((O957-MAX(O$470:O957))/MAX(O$470:O957)&gt;X956,X956,(O957-MAX(O$470:O957))/MAX(O$470:O957))</f>
        <v>-0.20159254550055417</v>
      </c>
    </row>
    <row r="958" spans="1:24">
      <c r="A958" s="799">
        <v>41360</v>
      </c>
      <c r="B958">
        <v>88.92</v>
      </c>
      <c r="C958">
        <v>105.788562</v>
      </c>
      <c r="D958">
        <v>4.4961019999999996</v>
      </c>
      <c r="E958">
        <f>LN(D958/参数实验室!$E$53)/参数实验室!$E$55</f>
        <v>1.0804495227663375</v>
      </c>
      <c r="F958">
        <f t="shared" si="88"/>
        <v>1.1897049257759784</v>
      </c>
      <c r="G958">
        <f>LN(F958/参数实验室!$E$58)/参数实验室!$E$59</f>
        <v>-9.9360087853233012E-2</v>
      </c>
      <c r="H958" s="856">
        <f>INDEX(神经网络!$G$10:$BO$70,MATCH(ROUND(G958*2,1)/2,神经网络!$E$10:$E$70,0),MATCH(ROUND(E958*2,1)/2,神经网络!$G$8:$BO$8,0))</f>
        <v>2.3027727082306924</v>
      </c>
      <c r="I958">
        <f t="shared" si="90"/>
        <v>48.731084826548162</v>
      </c>
      <c r="J958">
        <f t="shared" si="91"/>
        <v>35.481425322213802</v>
      </c>
      <c r="K958">
        <f t="shared" si="92"/>
        <v>1.3734252326114749</v>
      </c>
      <c r="L958" s="4">
        <f>MIN(MAX(L957*(1+MAX(MIN(((B958-B957)/B957)/($K$7*卓尔金历!$N$40),0),-卓尔金历!$M$43))+MIN(MAX(((B958-B957)/B957)/($K$7*卓尔金历!$N$40),0),卓尔金历!$M$43),0),1)</f>
        <v>1</v>
      </c>
      <c r="M958" s="4">
        <f>MIN(MAX(M957*(1+MAX(MIN(((B958-B957)/B957)/($K$7*30),0),-卓尔金历!$M$43))+MIN(MAX(((B958-B957)/B957)/($K$7*7),0),卓尔金历!$M$43),0),1)</f>
        <v>1</v>
      </c>
      <c r="N958">
        <f t="shared" si="93"/>
        <v>26.09830926966551</v>
      </c>
      <c r="O958">
        <f t="shared" si="94"/>
        <v>36.262245145666633</v>
      </c>
      <c r="P958">
        <f t="shared" si="95"/>
        <v>0.13273885350318473</v>
      </c>
      <c r="Q958">
        <f t="shared" si="96"/>
        <v>6.0615642523892906E-2</v>
      </c>
      <c r="R958">
        <f t="shared" si="97"/>
        <v>1.2327068204496101E-2</v>
      </c>
      <c r="S958">
        <f t="shared" si="89"/>
        <v>4.2969875872478012</v>
      </c>
      <c r="T958" s="564">
        <f>IF((I958-MAX(I$470:I958))/MAX(I$470:I958)&gt;T957,T957,(I958-MAX(I$470:I958))/MAX(I$470:I958))</f>
        <v>-0.22786721585231193</v>
      </c>
      <c r="U958" s="564">
        <f>IF((J958-MAX(J$470:J958))/MAX(J$470:J958)&gt;U957,U957,(J958-MAX(J$470:J958))/MAX(J$470:J958))</f>
        <v>-0.40740740740740738</v>
      </c>
      <c r="V958" s="564">
        <f>IF((K958-MAX(K$470:K958))/MAX(K$470:K958)&gt;V957,V957,(K958-MAX(K$470:K958))/MAX(K$470:K958))</f>
        <v>-0.80725522782524772</v>
      </c>
      <c r="W958" s="564">
        <f>IF((N958-MAX(N$470:N958))/MAX(N$470:N958)&gt;W957,W957,(N958-MAX(N$470:N958))/MAX(N$470:N958))</f>
        <v>-0.18985383979277023</v>
      </c>
      <c r="X958" s="564">
        <f>IF((O958-MAX(O$470:O958))/MAX(O$470:O958)&gt;X957,X957,(O958-MAX(O$470:O958))/MAX(O$470:O958))</f>
        <v>-0.20159254550055417</v>
      </c>
    </row>
    <row r="959" spans="1:24">
      <c r="A959" s="799">
        <v>41361</v>
      </c>
      <c r="B959">
        <v>86.18</v>
      </c>
      <c r="C959">
        <v>104.896472</v>
      </c>
      <c r="D959">
        <v>4.2805239999999998</v>
      </c>
      <c r="E959">
        <f>LN(D959/参数实验室!$E$53)/参数实验室!$E$55</f>
        <v>1.022481913965007</v>
      </c>
      <c r="F959">
        <f t="shared" si="88"/>
        <v>1.2171788349965189</v>
      </c>
      <c r="G959">
        <f>LN(F959/参数实验室!$E$58)/参数实验室!$E$59</f>
        <v>-8.7377441331208741E-2</v>
      </c>
      <c r="H959" s="856">
        <f>INDEX(神经网络!$G$10:$BO$70,MATCH(ROUND(G959*2,1)/2,神经网络!$E$10:$E$70,0),MATCH(ROUND(E959*2,1)/2,神经网络!$G$8:$BO$8,0))</f>
        <v>2.2496325084698583</v>
      </c>
      <c r="I959">
        <f t="shared" si="90"/>
        <v>45.273218009453288</v>
      </c>
      <c r="J959">
        <f t="shared" si="91"/>
        <v>34.388093052950808</v>
      </c>
      <c r="K959">
        <f t="shared" si="92"/>
        <v>1.3165376149163479</v>
      </c>
      <c r="L959" s="4">
        <f>MIN(MAX(L958*(1+MAX(MIN(((B959-B958)/B958)/($K$7*卓尔金历!$N$40),0),-卓尔金历!$M$43))+MIN(MAX(((B959-B958)/B958)/($K$7*卓尔金历!$N$40),0),卓尔金历!$M$43),0),1)</f>
        <v>0.52918836461202878</v>
      </c>
      <c r="M959" s="4">
        <f>MIN(MAX(M958*(1+MAX(MIN(((B959-B958)/B958)/($K$7*30),0),-卓尔金历!$M$43))+MIN(MAX(((B959-B958)/B958)/($K$7*7),0),卓尔金历!$M$43),0),1)</f>
        <v>0.76459418230601439</v>
      </c>
      <c r="N959">
        <f t="shared" si="93"/>
        <v>24.246421959397964</v>
      </c>
      <c r="O959">
        <f t="shared" si="94"/>
        <v>33.689143917798027</v>
      </c>
      <c r="P959">
        <f t="shared" si="95"/>
        <v>-3.0814215024741281E-2</v>
      </c>
      <c r="Q959">
        <f t="shared" si="96"/>
        <v>6.2372775995567481E-2</v>
      </c>
      <c r="R959">
        <f t="shared" si="97"/>
        <v>0.80851171960019008</v>
      </c>
      <c r="S959">
        <f t="shared" si="89"/>
        <v>4.2932289874980087</v>
      </c>
      <c r="T959" s="564">
        <f>IF((I959-MAX(I$470:I959))/MAX(I$470:I959)&gt;T958,T958,(I959-MAX(I$470:I959))/MAX(I$470:I959))</f>
        <v>-0.22786721585231193</v>
      </c>
      <c r="U959" s="564">
        <f>IF((J959-MAX(J$470:J959))/MAX(J$470:J959)&gt;U958,U958,(J959-MAX(J$470:J959))/MAX(J$470:J959))</f>
        <v>-0.40740740740740738</v>
      </c>
      <c r="V959" s="564">
        <f>IF((K959-MAX(K$470:K959))/MAX(K$470:K959)&gt;V958,V958,(K959-MAX(K$470:K959))/MAX(K$470:K959))</f>
        <v>-0.80725522782524772</v>
      </c>
      <c r="W959" s="564">
        <f>IF((N959-MAX(N$470:N959))/MAX(N$470:N959)&gt;W958,W958,(N959-MAX(N$470:N959))/MAX(N$470:N959))</f>
        <v>-0.18985383979277023</v>
      </c>
      <c r="X959" s="564">
        <f>IF((O959-MAX(O$470:O959))/MAX(O$470:O959)&gt;X958,X958,(O959-MAX(O$470:O959))/MAX(O$470:O959))</f>
        <v>-0.20159254550055417</v>
      </c>
    </row>
    <row r="960" spans="1:24">
      <c r="A960" s="799">
        <v>41362</v>
      </c>
      <c r="B960">
        <v>90.5</v>
      </c>
      <c r="C960">
        <v>106.196443</v>
      </c>
      <c r="D960">
        <v>4.3008740000000003</v>
      </c>
      <c r="E960">
        <f>LN(D960/参数实验室!$E$53)/参数实验室!$E$55</f>
        <v>1.0280772781512548</v>
      </c>
      <c r="F960">
        <f t="shared" si="88"/>
        <v>1.1734413591160222</v>
      </c>
      <c r="G960">
        <f>LN(F960/参数实验室!$E$58)/参数实验室!$E$59</f>
        <v>-0.1065844679449586</v>
      </c>
      <c r="H960" s="856">
        <f>INDEX(神经网络!$G$10:$BO$70,MATCH(ROUND(G960*2,1)/2,神经网络!$E$10:$E$70,0),MATCH(ROUND(E960*2,1)/2,神经网络!$G$8:$BO$8,0))</f>
        <v>2.2784446008188253</v>
      </c>
      <c r="I960">
        <f t="shared" si="90"/>
        <v>50.378623033211831</v>
      </c>
      <c r="J960">
        <f t="shared" si="91"/>
        <v>36.111886995730423</v>
      </c>
      <c r="K960">
        <f t="shared" si="92"/>
        <v>1.3950703556191397</v>
      </c>
      <c r="L960" s="4">
        <f>MIN(MAX(L959*(1+MAX(MIN(((B960-B959)/B959)/($K$7*卓尔金历!$N$40),0),-卓尔金历!$M$43))+MIN(MAX(((B960-B959)/B959)/($K$7*卓尔金历!$N$40),0),卓尔金历!$M$43),0),1)</f>
        <v>1</v>
      </c>
      <c r="M960" s="4">
        <f>MIN(MAX(M959*(1+MAX(MIN(((B960-B959)/B959)/($K$7*30),0),-卓尔金历!$M$43))+MIN(MAX(((B960-B959)/B959)/($K$7*7),0),卓尔金历!$M$43),0),1)</f>
        <v>1</v>
      </c>
      <c r="N960">
        <f t="shared" si="93"/>
        <v>25.693349496067373</v>
      </c>
      <c r="O960">
        <f t="shared" si="94"/>
        <v>36.593900875443211</v>
      </c>
      <c r="P960">
        <f t="shared" si="95"/>
        <v>5.0127639823624885E-2</v>
      </c>
      <c r="Q960">
        <f t="shared" si="96"/>
        <v>6.2353313308150443E-2</v>
      </c>
      <c r="R960">
        <f t="shared" si="97"/>
        <v>0.29422953860100287</v>
      </c>
      <c r="S960">
        <f t="shared" si="89"/>
        <v>4.6846635850179892</v>
      </c>
      <c r="T960" s="564">
        <f>IF((I960-MAX(I$470:I960))/MAX(I$470:I960)&gt;T959,T959,(I960-MAX(I$470:I960))/MAX(I$470:I960))</f>
        <v>-0.22786721585231193</v>
      </c>
      <c r="U960" s="564">
        <f>IF((J960-MAX(J$470:J960))/MAX(J$470:J960)&gt;U959,U959,(J960-MAX(J$470:J960))/MAX(J$470:J960))</f>
        <v>-0.40740740740740738</v>
      </c>
      <c r="V960" s="564">
        <f>IF((K960-MAX(K$470:K960))/MAX(K$470:K960)&gt;V959,V959,(K960-MAX(K$470:K960))/MAX(K$470:K960))</f>
        <v>-0.80725522782524772</v>
      </c>
      <c r="W960" s="564">
        <f>IF((N960-MAX(N$470:N960))/MAX(N$470:N960)&gt;W959,W959,(N960-MAX(N$470:N960))/MAX(N$470:N960))</f>
        <v>-0.18985383979277023</v>
      </c>
      <c r="X960" s="564">
        <f>IF((O960-MAX(O$470:O960))/MAX(O$470:O960)&gt;X959,X959,(O960-MAX(O$470:O960))/MAX(O$470:O960))</f>
        <v>-0.20159254550055417</v>
      </c>
    </row>
    <row r="961" spans="1:24">
      <c r="A961" s="799">
        <v>41363</v>
      </c>
      <c r="B961">
        <v>92.19</v>
      </c>
      <c r="C961">
        <v>106.026775</v>
      </c>
      <c r="D961">
        <v>4.2492460000000003</v>
      </c>
      <c r="E961">
        <f>LN(D961/参数实验室!$E$53)/参数实验室!$E$55</f>
        <v>1.0138297492859065</v>
      </c>
      <c r="F961">
        <f t="shared" si="88"/>
        <v>1.1500897602776874</v>
      </c>
      <c r="G961">
        <f>LN(F961/参数实验室!$E$58)/参数实验室!$E$59</f>
        <v>-0.11713443960174322</v>
      </c>
      <c r="H961" s="856">
        <f>INDEX(神经网络!$G$10:$BO$70,MATCH(ROUND(G961*2,1)/2,神经网络!$E$10:$E$70,0),MATCH(ROUND(E961*2,1)/2,神经网络!$G$8:$BO$8,0))</f>
        <v>2.2496325084698583</v>
      </c>
      <c r="I961">
        <f t="shared" si="90"/>
        <v>52.522120091586828</v>
      </c>
      <c r="J961">
        <f t="shared" si="91"/>
        <v>36.786241570567817</v>
      </c>
      <c r="K961">
        <f t="shared" si="92"/>
        <v>1.427765323370493</v>
      </c>
      <c r="L961" s="4">
        <f>MIN(MAX(L960*(1+MAX(MIN(((B961-B960)/B960)/($K$7*卓尔金历!$N$40),0),-卓尔金历!$M$43))+MIN(MAX(((B961-B960)/B960)/($K$7*卓尔金历!$N$40),0),卓尔金历!$M$43),0),1)</f>
        <v>1</v>
      </c>
      <c r="M961" s="4">
        <f>MIN(MAX(M960*(1+MAX(MIN(((B961-B960)/B960)/($K$7*30),0),-卓尔金历!$M$43))+MIN(MAX(((B961-B960)/B960)/($K$7*7),0),卓尔金历!$M$43),0),1)</f>
        <v>1</v>
      </c>
      <c r="N961">
        <f t="shared" si="93"/>
        <v>26.786543707197641</v>
      </c>
      <c r="O961">
        <f t="shared" si="94"/>
        <v>38.150889021571544</v>
      </c>
      <c r="P961">
        <f t="shared" si="95"/>
        <v>1.8674033149171244E-2</v>
      </c>
      <c r="Q961">
        <f t="shared" si="96"/>
        <v>6.2228250606618518E-2</v>
      </c>
      <c r="R961">
        <f t="shared" si="97"/>
        <v>1</v>
      </c>
      <c r="S961">
        <f t="shared" si="89"/>
        <v>4.7433099742373122</v>
      </c>
      <c r="T961" s="564">
        <f>IF((I961-MAX(I$470:I961))/MAX(I$470:I961)&gt;T960,T960,(I961-MAX(I$470:I961))/MAX(I$470:I961))</f>
        <v>-0.22786721585231193</v>
      </c>
      <c r="U961" s="564">
        <f>IF((J961-MAX(J$470:J961))/MAX(J$470:J961)&gt;U960,U960,(J961-MAX(J$470:J961))/MAX(J$470:J961))</f>
        <v>-0.40740740740740738</v>
      </c>
      <c r="V961" s="564">
        <f>IF((K961-MAX(K$470:K961))/MAX(K$470:K961)&gt;V960,V960,(K961-MAX(K$470:K961))/MAX(K$470:K961))</f>
        <v>-0.80725522782524772</v>
      </c>
      <c r="W961" s="564">
        <f>IF((N961-MAX(N$470:N961))/MAX(N$470:N961)&gt;W960,W960,(N961-MAX(N$470:N961))/MAX(N$470:N961))</f>
        <v>-0.18985383979277023</v>
      </c>
      <c r="X961" s="564">
        <f>IF((O961-MAX(O$470:O961))/MAX(O$470:O961)&gt;X960,X960,(O961-MAX(O$470:O961))/MAX(O$470:O961))</f>
        <v>-0.20159254550055417</v>
      </c>
    </row>
    <row r="962" spans="1:24">
      <c r="A962" s="799">
        <v>41364</v>
      </c>
      <c r="B962">
        <v>93.03</v>
      </c>
      <c r="C962">
        <v>105.122013</v>
      </c>
      <c r="D962">
        <v>4.2653230000000004</v>
      </c>
      <c r="E962">
        <f>LN(D962/参数实验室!$E$53)/参数实验室!$E$55</f>
        <v>1.01828491676266</v>
      </c>
      <c r="F962">
        <f t="shared" si="88"/>
        <v>1.129979716220574</v>
      </c>
      <c r="G962">
        <f>LN(F962/参数实验室!$E$58)/参数实验室!$E$59</f>
        <v>-0.1263930273266311</v>
      </c>
      <c r="H962" s="856">
        <f>INDEX(神经网络!$G$10:$BO$70,MATCH(ROUND(G962*2,1)/2,神经网络!$E$10:$E$70,0),MATCH(ROUND(E962*2,1)/2,神经网络!$G$8:$BO$8,0))</f>
        <v>2.2326030548099567</v>
      </c>
      <c r="I962">
        <f t="shared" si="90"/>
        <v>53.598707506363972</v>
      </c>
      <c r="J962">
        <f t="shared" si="91"/>
        <v>37.121423726108297</v>
      </c>
      <c r="K962">
        <f t="shared" si="92"/>
        <v>1.4438753185176689</v>
      </c>
      <c r="L962" s="4">
        <f>MIN(MAX(L961*(1+MAX(MIN(((B962-B961)/B961)/($K$7*卓尔金历!$N$40),0),-卓尔金历!$M$43))+MIN(MAX(((B962-B961)/B961)/($K$7*卓尔金历!$N$40),0),卓尔金历!$M$43),0),1)</f>
        <v>1</v>
      </c>
      <c r="M962" s="4">
        <f>MIN(MAX(M961*(1+MAX(MIN(((B962-B961)/B961)/($K$7*30),0),-卓尔金历!$M$43))+MIN(MAX(((B962-B961)/B961)/($K$7*7),0),卓尔金历!$M$43),0),1)</f>
        <v>1</v>
      </c>
      <c r="N962">
        <f t="shared" si="93"/>
        <v>27.335608668594091</v>
      </c>
      <c r="O962">
        <f t="shared" si="94"/>
        <v>38.932897952505058</v>
      </c>
      <c r="P962">
        <f t="shared" si="95"/>
        <v>9.1116173120729307E-3</v>
      </c>
      <c r="Q962">
        <f t="shared" si="96"/>
        <v>6.1392414508343367E-2</v>
      </c>
      <c r="R962">
        <f t="shared" si="97"/>
        <v>1</v>
      </c>
      <c r="S962">
        <f t="shared" si="89"/>
        <v>4.8405373484131076</v>
      </c>
      <c r="T962" s="564">
        <f>IF((I962-MAX(I$470:I962))/MAX(I$470:I962)&gt;T961,T961,(I962-MAX(I$470:I962))/MAX(I$470:I962))</f>
        <v>-0.22786721585231193</v>
      </c>
      <c r="U962" s="564">
        <f>IF((J962-MAX(J$470:J962))/MAX(J$470:J962)&gt;U961,U961,(J962-MAX(J$470:J962))/MAX(J$470:J962))</f>
        <v>-0.40740740740740738</v>
      </c>
      <c r="V962" s="564">
        <f>IF((K962-MAX(K$470:K962))/MAX(K$470:K962)&gt;V961,V961,(K962-MAX(K$470:K962))/MAX(K$470:K962))</f>
        <v>-0.80725522782524772</v>
      </c>
      <c r="W962" s="564">
        <f>IF((N962-MAX(N$470:N962))/MAX(N$470:N962)&gt;W961,W961,(N962-MAX(N$470:N962))/MAX(N$470:N962))</f>
        <v>-0.18985383979277023</v>
      </c>
      <c r="X962" s="564">
        <f>IF((O962-MAX(O$470:O962))/MAX(O$470:O962)&gt;X961,X961,(O962-MAX(O$470:O962))/MAX(O$470:O962))</f>
        <v>-0.20159254550055417</v>
      </c>
    </row>
    <row r="963" spans="1:24">
      <c r="A963" s="799">
        <v>41365</v>
      </c>
      <c r="B963">
        <v>104</v>
      </c>
      <c r="C963">
        <v>102.11865299999999</v>
      </c>
      <c r="D963">
        <v>4.4526649999999997</v>
      </c>
      <c r="E963">
        <f>LN(D963/参数实验室!$E$53)/参数实验室!$E$55</f>
        <v>1.0689964713852118</v>
      </c>
      <c r="F963">
        <f t="shared" si="88"/>
        <v>0.98191012499999997</v>
      </c>
      <c r="G963">
        <f>LN(F963/参数实验室!$E$58)/参数实验室!$E$59</f>
        <v>-0.200111496177446</v>
      </c>
      <c r="H963" s="856">
        <f>INDEX(神经网络!$G$10:$BO$70,MATCH(ROUND(G963*2,1)/2,神经网络!$E$10:$E$70,0),MATCH(ROUND(E963*2,1)/2,神经网络!$G$8:$BO$8,0))</f>
        <v>2.2469681786502327</v>
      </c>
      <c r="I963">
        <f t="shared" si="90"/>
        <v>67.709436089562203</v>
      </c>
      <c r="J963">
        <f t="shared" si="91"/>
        <v>41.498743066916724</v>
      </c>
      <c r="K963">
        <f t="shared" si="92"/>
        <v>1.6316020940774214</v>
      </c>
      <c r="L963" s="4">
        <f>MIN(MAX(L962*(1+MAX(MIN(((B963-B962)/B962)/($K$7*卓尔金历!$N$40),0),-卓尔金历!$M$43))+MIN(MAX(((B963-B962)/B962)/($K$7*卓尔金历!$N$40),0),卓尔金历!$M$43),0),1)</f>
        <v>1</v>
      </c>
      <c r="M963" s="4">
        <f>MIN(MAX(M962*(1+MAX(MIN(((B963-B962)/B962)/($K$7*30),0),-卓尔金历!$M$43))+MIN(MAX(((B963-B962)/B962)/($K$7*7),0),卓尔金历!$M$43),0),1)</f>
        <v>1</v>
      </c>
      <c r="N963">
        <f t="shared" si="93"/>
        <v>34.532150759338599</v>
      </c>
      <c r="O963">
        <f t="shared" si="94"/>
        <v>49.182614438670775</v>
      </c>
      <c r="P963">
        <f t="shared" si="95"/>
        <v>0.11791895087606147</v>
      </c>
      <c r="Q963">
        <f t="shared" si="96"/>
        <v>6.3770693358838865E-2</v>
      </c>
      <c r="R963">
        <f t="shared" si="97"/>
        <v>2.3654264116212936E-2</v>
      </c>
      <c r="S963">
        <f t="shared" si="89"/>
        <v>6.1148872702313062</v>
      </c>
      <c r="T963" s="564">
        <f>IF((I963-MAX(I$470:I963))/MAX(I$470:I963)&gt;T962,T962,(I963-MAX(I$470:I963))/MAX(I$470:I963))</f>
        <v>-0.22786721585231193</v>
      </c>
      <c r="U963" s="564">
        <f>IF((J963-MAX(J$470:J963))/MAX(J$470:J963)&gt;U962,U962,(J963-MAX(J$470:J963))/MAX(J$470:J963))</f>
        <v>-0.40740740740740738</v>
      </c>
      <c r="V963" s="564">
        <f>IF((K963-MAX(K$470:K963))/MAX(K$470:K963)&gt;V962,V962,(K963-MAX(K$470:K963))/MAX(K$470:K963))</f>
        <v>-0.80725522782524772</v>
      </c>
      <c r="W963" s="564">
        <f>IF((N963-MAX(N$470:N963))/MAX(N$470:N963)&gt;W962,W962,(N963-MAX(N$470:N963))/MAX(N$470:N963))</f>
        <v>-0.18985383979277023</v>
      </c>
      <c r="X963" s="564">
        <f>IF((O963-MAX(O$470:O963))/MAX(O$470:O963)&gt;X962,X962,(O963-MAX(O$470:O963))/MAX(O$470:O963))</f>
        <v>-0.20159254550055417</v>
      </c>
    </row>
    <row r="964" spans="1:24">
      <c r="A964" s="799">
        <v>41366</v>
      </c>
      <c r="B964">
        <v>117.98</v>
      </c>
      <c r="C964">
        <v>101.09649400000001</v>
      </c>
      <c r="D964">
        <v>4.753368</v>
      </c>
      <c r="E964">
        <f>LN(D964/参数实验室!$E$53)/参数实验室!$E$55</f>
        <v>1.1460940845120879</v>
      </c>
      <c r="F964">
        <f t="shared" si="88"/>
        <v>0.85689518562468214</v>
      </c>
      <c r="G964">
        <f>LN(F964/参数实验室!$E$58)/参数实验室!$E$59</f>
        <v>-0.27158831074995138</v>
      </c>
      <c r="H964" s="856">
        <f>INDEX(神经网络!$G$10:$BO$70,MATCH(ROUND(G964*2,1)/2,神经网络!$E$10:$E$70,0),MATCH(ROUND(E964*2,1)/2,神经网络!$G$8:$BO$8,0))</f>
        <v>2.2866414326738655</v>
      </c>
      <c r="I964">
        <f t="shared" si="90"/>
        <v>88.160690484375849</v>
      </c>
      <c r="J964">
        <f t="shared" si="91"/>
        <v>47.077131798411877</v>
      </c>
      <c r="K964">
        <f t="shared" si="92"/>
        <v>1.8726861029233286</v>
      </c>
      <c r="L964" s="4">
        <f>MIN(MAX(L963*(1+MAX(MIN(((B964-B963)/B963)/($K$7*卓尔金历!$N$40),0),-卓尔金历!$M$43))+MIN(MAX(((B964-B963)/B963)/($K$7*卓尔金历!$N$40),0),卓尔金历!$M$43),0),1)</f>
        <v>1</v>
      </c>
      <c r="M964" s="4">
        <f>MIN(MAX(M963*(1+MAX(MIN(((B964-B963)/B963)/($K$7*30),0),-卓尔金历!$M$43))+MIN(MAX(((B964-B963)/B963)/($K$7*7),0),卓尔金历!$M$43),0),1)</f>
        <v>1</v>
      </c>
      <c r="N964">
        <f t="shared" si="93"/>
        <v>44.962392698514336</v>
      </c>
      <c r="O964">
        <f t="shared" si="94"/>
        <v>64.037946542704461</v>
      </c>
      <c r="P964">
        <f t="shared" si="95"/>
        <v>0.13442307692307695</v>
      </c>
      <c r="Q964">
        <f t="shared" si="96"/>
        <v>6.0485365966502579E-2</v>
      </c>
      <c r="R964">
        <f t="shared" si="97"/>
        <v>1.2844012895997582E-2</v>
      </c>
      <c r="S964">
        <f t="shared" si="89"/>
        <v>6.1585759228390806</v>
      </c>
      <c r="T964" s="564">
        <f>IF((I964-MAX(I$470:I964))/MAX(I$470:I964)&gt;T963,T963,(I964-MAX(I$470:I964))/MAX(I$470:I964))</f>
        <v>-0.22786721585231193</v>
      </c>
      <c r="U964" s="564">
        <f>IF((J964-MAX(J$470:J964))/MAX(J$470:J964)&gt;U963,U963,(J964-MAX(J$470:J964))/MAX(J$470:J964))</f>
        <v>-0.40740740740740738</v>
      </c>
      <c r="V964" s="564">
        <f>IF((K964-MAX(K$470:K964))/MAX(K$470:K964)&gt;V963,V963,(K964-MAX(K$470:K964))/MAX(K$470:K964))</f>
        <v>-0.80725522782524772</v>
      </c>
      <c r="W964" s="564">
        <f>IF((N964-MAX(N$470:N964))/MAX(N$470:N964)&gt;W963,W963,(N964-MAX(N$470:N964))/MAX(N$470:N964))</f>
        <v>-0.18985383979277023</v>
      </c>
      <c r="X964" s="564">
        <f>IF((O964-MAX(O$470:O964))/MAX(O$470:O964)&gt;X963,X963,(O964-MAX(O$470:O964))/MAX(O$470:O964))</f>
        <v>-0.20159254550055417</v>
      </c>
    </row>
    <row r="965" spans="1:24">
      <c r="A965" s="799">
        <v>41367</v>
      </c>
      <c r="B965">
        <v>135</v>
      </c>
      <c r="C965">
        <v>101.460559</v>
      </c>
      <c r="D965">
        <v>4.8504639999999997</v>
      </c>
      <c r="E965">
        <f>LN(D965/参数实验室!$E$53)/参数实验室!$E$55</f>
        <v>1.1699498171181613</v>
      </c>
      <c r="F965">
        <f t="shared" ref="F965:F1028" si="98">C965/B965</f>
        <v>0.75155969629629638</v>
      </c>
      <c r="G965">
        <f>LN(F965/参数实验室!$E$58)/参数实验室!$E$59</f>
        <v>-0.34043077297692947</v>
      </c>
      <c r="H965" s="856">
        <f>INDEX(神经网络!$G$10:$BO$70,MATCH(ROUND(G965*2,1)/2,神经网络!$E$10:$E$70,0),MATCH(ROUND(E965*2,1)/2,神经网络!$G$8:$BO$8,0))</f>
        <v>2.2491097592048765</v>
      </c>
      <c r="I965">
        <f t="shared" si="90"/>
        <v>117.24268681309233</v>
      </c>
      <c r="J965">
        <f t="shared" si="91"/>
        <v>53.868560711863054</v>
      </c>
      <c r="K965">
        <f t="shared" si="92"/>
        <v>2.1764584994243754</v>
      </c>
      <c r="L965" s="4">
        <f>MIN(MAX(L964*(1+MAX(MIN(((B965-B964)/B964)/($K$7*卓尔金历!$N$40),0),-卓尔金历!$M$43))+MIN(MAX(((B965-B964)/B964)/($K$7*卓尔金历!$N$40),0),卓尔金历!$M$43),0),1)</f>
        <v>1</v>
      </c>
      <c r="M965" s="4">
        <f>MIN(MAX(M964*(1+MAX(MIN(((B965-B964)/B964)/($K$7*30),0),-卓尔金历!$M$43))+MIN(MAX(((B965-B964)/B964)/($K$7*7),0),卓尔金历!$M$43),0),1)</f>
        <v>1</v>
      </c>
      <c r="N965">
        <f t="shared" si="93"/>
        <v>59.794356153022896</v>
      </c>
      <c r="O965">
        <f t="shared" si="94"/>
        <v>85.162455845220947</v>
      </c>
      <c r="P965">
        <f t="shared" si="95"/>
        <v>0.14426173927784366</v>
      </c>
      <c r="Q965">
        <f t="shared" si="96"/>
        <v>6.375712615342434E-2</v>
      </c>
      <c r="R965">
        <f t="shared" si="97"/>
        <v>1.1096141822792803E-2</v>
      </c>
      <c r="S965">
        <f t="shared" si="89"/>
        <v>6.1846692983962175</v>
      </c>
      <c r="T965" s="564">
        <f>IF((I965-MAX(I$470:I965))/MAX(I$470:I965)&gt;T964,T964,(I965-MAX(I$470:I965))/MAX(I$470:I965))</f>
        <v>-0.22786721585231193</v>
      </c>
      <c r="U965" s="564">
        <f>IF((J965-MAX(J$470:J965))/MAX(J$470:J965)&gt;U964,U964,(J965-MAX(J$470:J965))/MAX(J$470:J965))</f>
        <v>-0.40740740740740738</v>
      </c>
      <c r="V965" s="564">
        <f>IF((K965-MAX(K$470:K965))/MAX(K$470:K965)&gt;V964,V964,(K965-MAX(K$470:K965))/MAX(K$470:K965))</f>
        <v>-0.80725522782524772</v>
      </c>
      <c r="W965" s="564">
        <f>IF((N965-MAX(N$470:N965))/MAX(N$470:N965)&gt;W964,W964,(N965-MAX(N$470:N965))/MAX(N$470:N965))</f>
        <v>-0.18985383979277023</v>
      </c>
      <c r="X965" s="564">
        <f>IF((O965-MAX(O$470:O965))/MAX(O$470:O965)&gt;X964,X964,(O965-MAX(O$470:O965))/MAX(O$470:O965))</f>
        <v>-0.20159254550055417</v>
      </c>
    </row>
    <row r="966" spans="1:24">
      <c r="A966" s="799">
        <v>41368</v>
      </c>
      <c r="B966">
        <v>132.12</v>
      </c>
      <c r="C966">
        <v>100.713841</v>
      </c>
      <c r="D966">
        <v>4.7392050000000001</v>
      </c>
      <c r="E966">
        <f>LN(D966/参数实验室!$E$53)/参数实验室!$E$55</f>
        <v>1.1425736780653097</v>
      </c>
      <c r="F966">
        <f t="shared" si="98"/>
        <v>0.76229065243717831</v>
      </c>
      <c r="G966">
        <f>LN(F966/参数实验室!$E$58)/参数实验室!$E$59</f>
        <v>-0.33298977320058504</v>
      </c>
      <c r="H966" s="856">
        <f>INDEX(神经网络!$G$10:$BO$70,MATCH(ROUND(G966*2,1)/2,神经网络!$E$10:$E$70,0),MATCH(ROUND(E966*2,1)/2,神经网络!$G$8:$BO$8,0))</f>
        <v>2.2491097592048765</v>
      </c>
      <c r="I966">
        <f t="shared" si="90"/>
        <v>111.61726449614883</v>
      </c>
      <c r="J966">
        <f t="shared" si="91"/>
        <v>52.71936475000998</v>
      </c>
      <c r="K966">
        <f t="shared" si="92"/>
        <v>2.1171966890236043</v>
      </c>
      <c r="L966" s="4">
        <f>MIN(MAX(L965*(1+MAX(MIN(((B966-B965)/B965)/($K$7*卓尔金历!$N$40),0),-卓尔金历!$M$43))+MIN(MAX(((B966-B965)/B965)/($K$7*卓尔金历!$N$40),0),卓尔金历!$M$43),0),1)</f>
        <v>0.67404713873519484</v>
      </c>
      <c r="M966" s="4">
        <f>MIN(MAX(M965*(1+MAX(MIN(((B966-B965)/B965)/($K$7*30),0),-卓尔金历!$M$43))+MIN(MAX(((B966-B965)/B965)/($K$7*7),0),卓尔金历!$M$43),0),1)</f>
        <v>0.83702356936759736</v>
      </c>
      <c r="N966">
        <f t="shared" si="93"/>
        <v>56.925362660348</v>
      </c>
      <c r="O966">
        <f t="shared" si="94"/>
        <v>81.076275353288352</v>
      </c>
      <c r="P966">
        <f t="shared" si="95"/>
        <v>-2.1333333333333298E-2</v>
      </c>
      <c r="Q966">
        <f t="shared" si="96"/>
        <v>6.4958716817959936E-2</v>
      </c>
      <c r="R966">
        <f t="shared" si="97"/>
        <v>1</v>
      </c>
      <c r="S966">
        <f t="shared" si="89"/>
        <v>6.18137655527934</v>
      </c>
      <c r="T966" s="564">
        <f>IF((I966-MAX(I$470:I966))/MAX(I$470:I966)&gt;T965,T965,(I966-MAX(I$470:I966))/MAX(I$470:I966))</f>
        <v>-0.22786721585231193</v>
      </c>
      <c r="U966" s="564">
        <f>IF((J966-MAX(J$470:J966))/MAX(J$470:J966)&gt;U965,U965,(J966-MAX(J$470:J966))/MAX(J$470:J966))</f>
        <v>-0.40740740740740738</v>
      </c>
      <c r="V966" s="564">
        <f>IF((K966-MAX(K$470:K966))/MAX(K$470:K966)&gt;V965,V965,(K966-MAX(K$470:K966))/MAX(K$470:K966))</f>
        <v>-0.80725522782524772</v>
      </c>
      <c r="W966" s="564">
        <f>IF((N966-MAX(N$470:N966))/MAX(N$470:N966)&gt;W965,W965,(N966-MAX(N$470:N966))/MAX(N$470:N966))</f>
        <v>-0.18985383979277023</v>
      </c>
      <c r="X966" s="564">
        <f>IF((O966-MAX(O$470:O966))/MAX(O$470:O966)&gt;X965,X965,(O966-MAX(O$470:O966))/MAX(O$470:O966))</f>
        <v>-0.20159254550055417</v>
      </c>
    </row>
    <row r="967" spans="1:24">
      <c r="A967" s="799">
        <v>41369</v>
      </c>
      <c r="B967">
        <v>142.3236</v>
      </c>
      <c r="C967">
        <v>100.661478</v>
      </c>
      <c r="D967">
        <v>4.712764</v>
      </c>
      <c r="E967">
        <f>LN(D967/参数实验室!$E$53)/参数实验室!$E$55</f>
        <v>1.1359731619414735</v>
      </c>
      <c r="F967">
        <f t="shared" si="98"/>
        <v>0.70727186496125738</v>
      </c>
      <c r="G967">
        <f>LN(F967/参数实验室!$E$58)/参数实验室!$E$59</f>
        <v>-0.37230805466484634</v>
      </c>
      <c r="H967" s="856">
        <f>INDEX(神经网络!$G$10:$BO$70,MATCH(ROUND(G967*2,1)/2,神经网络!$E$10:$E$70,0),MATCH(ROUND(E967*2,1)/2,神经网络!$G$8:$BO$8,0))</f>
        <v>2.2491097592048765</v>
      </c>
      <c r="I967">
        <f t="shared" si="90"/>
        <v>131.00499100719301</v>
      </c>
      <c r="J967">
        <f t="shared" si="91"/>
        <v>56.790870276525283</v>
      </c>
      <c r="K967">
        <f t="shared" si="92"/>
        <v>2.3067966799822823</v>
      </c>
      <c r="L967" s="4">
        <f>MIN(MAX(L966*(1+MAX(MIN(((B967-B966)/B966)/($K$7*卓尔金历!$N$40),0),-卓尔金历!$M$43))+MIN(MAX(((B967-B966)/B966)/($K$7*卓尔金历!$N$40),0),卓尔金历!$M$43),0),1)</f>
        <v>1</v>
      </c>
      <c r="M967" s="4">
        <f>MIN(MAX(M966*(1+MAX(MIN(((B967-B966)/B966)/($K$7*30),0),-卓尔金历!$M$43))+MIN(MAX(((B967-B966)/B966)/($K$7*7),0),卓尔金历!$M$43),0),1)</f>
        <v>1</v>
      </c>
      <c r="N967">
        <f t="shared" si="93"/>
        <v>63.59023117069431</v>
      </c>
      <c r="O967">
        <f t="shared" si="94"/>
        <v>92.863918679770649</v>
      </c>
      <c r="P967">
        <f t="shared" si="95"/>
        <v>7.7229791099000869E-2</v>
      </c>
      <c r="Q967">
        <f t="shared" si="96"/>
        <v>6.3872068677119767E-2</v>
      </c>
      <c r="R967">
        <f t="shared" si="97"/>
        <v>5.2622853710116442E-2</v>
      </c>
      <c r="S967">
        <f t="shared" si="89"/>
        <v>7.2550710115672477</v>
      </c>
      <c r="T967" s="564">
        <f>IF((I967-MAX(I$470:I967))/MAX(I$470:I967)&gt;T966,T966,(I967-MAX(I$470:I967))/MAX(I$470:I967))</f>
        <v>-0.22786721585231193</v>
      </c>
      <c r="U967" s="564">
        <f>IF((J967-MAX(J$470:J967))/MAX(J$470:J967)&gt;U966,U966,(J967-MAX(J$470:J967))/MAX(J$470:J967))</f>
        <v>-0.40740740740740738</v>
      </c>
      <c r="V967" s="564">
        <f>IF((K967-MAX(K$470:K967))/MAX(K$470:K967)&gt;V966,V966,(K967-MAX(K$470:K967))/MAX(K$470:K967))</f>
        <v>-0.80725522782524772</v>
      </c>
      <c r="W967" s="564">
        <f>IF((N967-MAX(N$470:N967))/MAX(N$470:N967)&gt;W966,W966,(N967-MAX(N$470:N967))/MAX(N$470:N967))</f>
        <v>-0.18985383979277023</v>
      </c>
      <c r="X967" s="564">
        <f>IF((O967-MAX(O$470:O967))/MAX(O$470:O967)&gt;X966,X966,(O967-MAX(O$470:O967))/MAX(O$470:O967))</f>
        <v>-0.20159254550055417</v>
      </c>
    </row>
    <row r="968" spans="1:24">
      <c r="A968" s="799">
        <v>41370</v>
      </c>
      <c r="B968">
        <v>142.6311</v>
      </c>
      <c r="C968">
        <v>100.61296299999999</v>
      </c>
      <c r="D968">
        <v>4.6145610000000001</v>
      </c>
      <c r="E968">
        <f>LN(D968/参数实验室!$E$53)/参数实验室!$E$55</f>
        <v>1.111130114454189</v>
      </c>
      <c r="F968">
        <f t="shared" si="98"/>
        <v>0.70540690634791425</v>
      </c>
      <c r="G968">
        <f>LN(F968/参数实验室!$E$58)/参数实验室!$E$59</f>
        <v>-0.37369383557543134</v>
      </c>
      <c r="H968" s="856">
        <f>INDEX(神经网络!$G$10:$BO$70,MATCH(ROUND(G968*2,1)/2,神经网络!$E$10:$E$70,0),MATCH(ROUND(E968*2,1)/2,神经网络!$G$8:$BO$8,0))</f>
        <v>2.2199301291875901</v>
      </c>
      <c r="I968">
        <f t="shared" si="90"/>
        <v>131.64159109081925</v>
      </c>
      <c r="J968">
        <f t="shared" si="91"/>
        <v>56.91357088703564</v>
      </c>
      <c r="K968">
        <f t="shared" si="92"/>
        <v>2.313008813875109</v>
      </c>
      <c r="L968" s="4">
        <f>MIN(MAX(L967*(1+MAX(MIN(((B968-B967)/B967)/($K$7*卓尔金历!$N$40),0),-卓尔金历!$M$43))+MIN(MAX(((B968-B967)/B967)/($K$7*卓尔金历!$N$40),0),卓尔金历!$M$43),0),1)</f>
        <v>1</v>
      </c>
      <c r="M968" s="4">
        <f>MIN(MAX(M967*(1+MAX(MIN(((B968-B967)/B967)/($K$7*30),0),-卓尔金历!$M$43))+MIN(MAX(((B968-B967)/B967)/($K$7*7),0),卓尔金历!$M$43),0),1)</f>
        <v>1</v>
      </c>
      <c r="N968">
        <f t="shared" si="93"/>
        <v>63.899238836507998</v>
      </c>
      <c r="O968">
        <f t="shared" si="94"/>
        <v>93.315177658095806</v>
      </c>
      <c r="P968">
        <f t="shared" si="95"/>
        <v>2.16056929420001E-3</v>
      </c>
      <c r="Q968">
        <f t="shared" si="96"/>
        <v>6.3827629273957867E-2</v>
      </c>
      <c r="R968">
        <f t="shared" si="97"/>
        <v>1</v>
      </c>
      <c r="S968">
        <f t="shared" si="89"/>
        <v>7.256926229413069</v>
      </c>
      <c r="T968" s="564">
        <f>IF((I968-MAX(I$470:I968))/MAX(I$470:I968)&gt;T967,T967,(I968-MAX(I$470:I968))/MAX(I$470:I968))</f>
        <v>-0.22786721585231193</v>
      </c>
      <c r="U968" s="564">
        <f>IF((J968-MAX(J$470:J968))/MAX(J$470:J968)&gt;U967,U967,(J968-MAX(J$470:J968))/MAX(J$470:J968))</f>
        <v>-0.40740740740740738</v>
      </c>
      <c r="V968" s="564">
        <f>IF((K968-MAX(K$470:K968))/MAX(K$470:K968)&gt;V967,V967,(K968-MAX(K$470:K968))/MAX(K$470:K968))</f>
        <v>-0.80725522782524772</v>
      </c>
      <c r="W968" s="564">
        <f>IF((N968-MAX(N$470:N968))/MAX(N$470:N968)&gt;W967,W967,(N968-MAX(N$470:N968))/MAX(N$470:N968))</f>
        <v>-0.18985383979277023</v>
      </c>
      <c r="X968" s="564">
        <f>IF((O968-MAX(O$470:O968))/MAX(O$470:O968)&gt;X967,X967,(O968-MAX(O$470:O968))/MAX(O$470:O968))</f>
        <v>-0.20159254550055417</v>
      </c>
    </row>
    <row r="969" spans="1:24">
      <c r="A969" s="799">
        <v>41371</v>
      </c>
      <c r="B969">
        <v>162.30099999999999</v>
      </c>
      <c r="C969">
        <v>100.5082</v>
      </c>
      <c r="D969">
        <v>5.0496080000000001</v>
      </c>
      <c r="E969">
        <f>LN(D969/参数实验室!$E$53)/参数实验室!$E$55</f>
        <v>1.2174186589039484</v>
      </c>
      <c r="F969">
        <f t="shared" si="98"/>
        <v>0.61927036801991364</v>
      </c>
      <c r="G969">
        <f>LN(F969/参数实验室!$E$58)/参数实验室!$E$59</f>
        <v>-0.44204707300728163</v>
      </c>
      <c r="H969" s="856">
        <f>INDEX(神经网络!$G$10:$BO$70,MATCH(ROUND(G969*2,1)/2,神经网络!$E$10:$E$70,0),MATCH(ROUND(E969*2,1)/2,神经网络!$G$8:$BO$8,0))</f>
        <v>2.2304859225748817</v>
      </c>
      <c r="I969">
        <f t="shared" si="90"/>
        <v>171.94301110718382</v>
      </c>
      <c r="J969">
        <f t="shared" si="91"/>
        <v>64.762379793304333</v>
      </c>
      <c r="K969">
        <f t="shared" si="92"/>
        <v>2.6549829029748024</v>
      </c>
      <c r="L969" s="4">
        <f>MIN(MAX(L968*(1+MAX(MIN(((B969-B968)/B968)/($K$7*卓尔金历!$N$40),0),-卓尔金历!$M$43))+MIN(MAX(((B969-B968)/B968)/($K$7*卓尔金历!$N$40),0),卓尔金历!$M$43),0),1)</f>
        <v>1</v>
      </c>
      <c r="M969" s="4">
        <f>MIN(MAX(M968*(1+MAX(MIN(((B969-B968)/B968)/($K$7*30),0),-卓尔金历!$M$43))+MIN(MAX(((B969-B968)/B968)/($K$7*7),0),卓尔金历!$M$43),0),1)</f>
        <v>1</v>
      </c>
      <c r="N969">
        <f t="shared" si="93"/>
        <v>83.461673791426293</v>
      </c>
      <c r="O969">
        <f t="shared" si="94"/>
        <v>121.88315634581978</v>
      </c>
      <c r="P969">
        <f t="shared" si="95"/>
        <v>0.1379075110547418</v>
      </c>
      <c r="Q969">
        <f t="shared" si="96"/>
        <v>6.5154409947085642E-2</v>
      </c>
      <c r="R969">
        <f t="shared" si="97"/>
        <v>1.5968188194291952E-2</v>
      </c>
      <c r="S969">
        <f t="shared" si="89"/>
        <v>9.4785981917154576</v>
      </c>
      <c r="T969" s="564">
        <f>IF((I969-MAX(I$470:I969))/MAX(I$470:I969)&gt;T968,T968,(I969-MAX(I$470:I969))/MAX(I$470:I969))</f>
        <v>-0.22786721585231193</v>
      </c>
      <c r="U969" s="564">
        <f>IF((J969-MAX(J$470:J969))/MAX(J$470:J969)&gt;U968,U968,(J969-MAX(J$470:J969))/MAX(J$470:J969))</f>
        <v>-0.40740740740740738</v>
      </c>
      <c r="V969" s="564">
        <f>IF((K969-MAX(K$470:K969))/MAX(K$470:K969)&gt;V968,V968,(K969-MAX(K$470:K969))/MAX(K$470:K969))</f>
        <v>-0.80725522782524772</v>
      </c>
      <c r="W969" s="564">
        <f>IF((N969-MAX(N$470:N969))/MAX(N$470:N969)&gt;W968,W968,(N969-MAX(N$470:N969))/MAX(N$470:N969))</f>
        <v>-0.18985383979277023</v>
      </c>
      <c r="X969" s="564">
        <f>IF((O969-MAX(O$470:O969))/MAX(O$470:O969)&gt;X968,X968,(O969-MAX(O$470:O969))/MAX(O$470:O969))</f>
        <v>-0.20159254550055417</v>
      </c>
    </row>
    <row r="970" spans="1:24">
      <c r="A970" s="799">
        <v>41372</v>
      </c>
      <c r="B970">
        <v>187.5</v>
      </c>
      <c r="C970">
        <v>101.42895300000001</v>
      </c>
      <c r="D970">
        <v>5.3329019999999998</v>
      </c>
      <c r="E970">
        <f>LN(D970/参数实验室!$E$53)/参数实验室!$E$55</f>
        <v>1.2818154175124146</v>
      </c>
      <c r="F970">
        <f t="shared" si="98"/>
        <v>0.54095441600000005</v>
      </c>
      <c r="G970">
        <f>LN(F970/参数实验室!$E$58)/参数实验室!$E$59</f>
        <v>-0.51301098355976649</v>
      </c>
      <c r="H970" s="856">
        <f>INDEX(神经网络!$G$10:$BO$70,MATCH(ROUND(G970*2,1)/2,神经网络!$E$10:$E$70,0),MATCH(ROUND(E970*2,1)/2,神经网络!$G$8:$BO$8,0))</f>
        <v>2.2585808850931905</v>
      </c>
      <c r="I970">
        <f t="shared" si="90"/>
        <v>231.48812432693563</v>
      </c>
      <c r="J970">
        <f t="shared" si="91"/>
        <v>74.817445433143121</v>
      </c>
      <c r="K970">
        <f t="shared" si="92"/>
        <v>3.0940394046705784</v>
      </c>
      <c r="L970" s="4">
        <f>MIN(MAX(L969*(1+MAX(MIN(((B970-B969)/B969)/($K$7*卓尔金历!$N$40),0),-卓尔金历!$M$43))+MIN(MAX(((B970-B969)/B969)/($K$7*卓尔金历!$N$40),0),卓尔金历!$M$43),0),1)</f>
        <v>1</v>
      </c>
      <c r="M970" s="4">
        <f>MIN(MAX(M969*(1+MAX(MIN(((B970-B969)/B969)/($K$7*30),0),-卓尔金历!$M$43))+MIN(MAX(((B970-B969)/B969)/($K$7*7),0),卓尔金历!$M$43),0),1)</f>
        <v>1</v>
      </c>
      <c r="N970">
        <f t="shared" si="93"/>
        <v>112.36505743824691</v>
      </c>
      <c r="O970">
        <f t="shared" si="94"/>
        <v>164.09217837852356</v>
      </c>
      <c r="P970">
        <f t="shared" si="95"/>
        <v>0.15526090412258714</v>
      </c>
      <c r="Q970">
        <f t="shared" si="96"/>
        <v>6.7918560954040794E-2</v>
      </c>
      <c r="R970">
        <f t="shared" si="97"/>
        <v>1.1284900184515003E-2</v>
      </c>
      <c r="S970">
        <f t="shared" si="89"/>
        <v>9.531013887270511</v>
      </c>
      <c r="T970" s="564">
        <f>IF((I970-MAX(I$470:I970))/MAX(I$470:I970)&gt;T969,T969,(I970-MAX(I$470:I970))/MAX(I$470:I970))</f>
        <v>-0.22786721585231193</v>
      </c>
      <c r="U970" s="564">
        <f>IF((J970-MAX(J$470:J970))/MAX(J$470:J970)&gt;U969,U969,(J970-MAX(J$470:J970))/MAX(J$470:J970))</f>
        <v>-0.40740740740740738</v>
      </c>
      <c r="V970" s="564">
        <f>IF((K970-MAX(K$470:K970))/MAX(K$470:K970)&gt;V969,V969,(K970-MAX(K$470:K970))/MAX(K$470:K970))</f>
        <v>-0.80725522782524772</v>
      </c>
      <c r="W970" s="564">
        <f>IF((N970-MAX(N$470:N970))/MAX(N$470:N970)&gt;W969,W969,(N970-MAX(N$470:N970))/MAX(N$470:N970))</f>
        <v>-0.18985383979277023</v>
      </c>
      <c r="X970" s="564">
        <f>IF((O970-MAX(O$470:O970))/MAX(O$470:O970)&gt;X969,X969,(O970-MAX(O$470:O970))/MAX(O$470:O970))</f>
        <v>-0.20159254550055417</v>
      </c>
    </row>
    <row r="971" spans="1:24">
      <c r="A971" s="799">
        <v>41373</v>
      </c>
      <c r="B971">
        <v>230</v>
      </c>
      <c r="C971">
        <v>101.968491</v>
      </c>
      <c r="D971">
        <v>5.6407410000000002</v>
      </c>
      <c r="E971">
        <f>LN(D971/参数实验室!$E$53)/参数实验室!$E$55</f>
        <v>1.3480230333705796</v>
      </c>
      <c r="F971">
        <f t="shared" si="98"/>
        <v>0.44334126521739131</v>
      </c>
      <c r="G971">
        <f>LN(F971/参数实验室!$E$58)/参数实验室!$E$59</f>
        <v>-0.61745441498171449</v>
      </c>
      <c r="H971" s="856">
        <f>INDEX(神经网络!$G$10:$BO$70,MATCH(ROUND(G971*2,1)/2,神经网络!$E$10:$E$70,0),MATCH(ROUND(E971*2,1)/2,神经网络!$G$8:$BO$8,0))</f>
        <v>2.2217560634731686</v>
      </c>
      <c r="I971">
        <f t="shared" si="90"/>
        <v>349.99731227927128</v>
      </c>
      <c r="J971">
        <f t="shared" si="91"/>
        <v>91.776066397988899</v>
      </c>
      <c r="K971">
        <f t="shared" si="92"/>
        <v>3.813601149143834</v>
      </c>
      <c r="L971" s="4">
        <f>MIN(MAX(L970*(1+MAX(MIN(((B971-B970)/B970)/($K$7*卓尔金历!$N$40),0),-卓尔金历!$M$43))+MIN(MAX(((B971-B970)/B970)/($K$7*卓尔金历!$N$40),0),卓尔金历!$M$43),0),1)</f>
        <v>1</v>
      </c>
      <c r="M971" s="4">
        <f>MIN(MAX(M970*(1+MAX(MIN(((B971-B970)/B970)/($K$7*30),0),-卓尔金历!$M$43))+MIN(MAX(((B971-B970)/B970)/($K$7*7),0),卓尔金历!$M$43),0),1)</f>
        <v>1</v>
      </c>
      <c r="N971">
        <f t="shared" si="93"/>
        <v>169.88978683826275</v>
      </c>
      <c r="O971">
        <f t="shared" si="94"/>
        <v>248.09834874043824</v>
      </c>
      <c r="P971">
        <f t="shared" si="95"/>
        <v>0.22666666666666666</v>
      </c>
      <c r="Q971">
        <f t="shared" si="96"/>
        <v>7.4330308056861305E-2</v>
      </c>
      <c r="R971">
        <f t="shared" si="97"/>
        <v>0</v>
      </c>
      <c r="S971">
        <f t="shared" si="89"/>
        <v>9.5860769203996341</v>
      </c>
      <c r="T971" s="564">
        <f>IF((I971-MAX(I$470:I971))/MAX(I$470:I971)&gt;T970,T970,(I971-MAX(I$470:I971))/MAX(I$470:I971))</f>
        <v>-0.22786721585231193</v>
      </c>
      <c r="U971" s="564">
        <f>IF((J971-MAX(J$470:J971))/MAX(J$470:J971)&gt;U970,U970,(J971-MAX(J$470:J971))/MAX(J$470:J971))</f>
        <v>-0.40740740740740738</v>
      </c>
      <c r="V971" s="564">
        <f>IF((K971-MAX(K$470:K971))/MAX(K$470:K971)&gt;V970,V970,(K971-MAX(K$470:K971))/MAX(K$470:K971))</f>
        <v>-0.80725522782524772</v>
      </c>
      <c r="W971" s="564">
        <f>IF((N971-MAX(N$470:N971))/MAX(N$470:N971)&gt;W970,W970,(N971-MAX(N$470:N971))/MAX(N$470:N971))</f>
        <v>-0.18985383979277023</v>
      </c>
      <c r="X971" s="564">
        <f>IF((O971-MAX(O$470:O971))/MAX(O$470:O971)&gt;X970,X970,(O971-MAX(O$470:O971))/MAX(O$470:O971))</f>
        <v>-0.20159254550055417</v>
      </c>
    </row>
    <row r="972" spans="1:24">
      <c r="A972" s="799">
        <v>41374</v>
      </c>
      <c r="B972">
        <v>165</v>
      </c>
      <c r="C972">
        <v>100.55913</v>
      </c>
      <c r="D972">
        <v>3.79935</v>
      </c>
      <c r="E972">
        <f>LN(D972/参数实验室!$E$53)/参数实验室!$E$55</f>
        <v>0.88180172810093249</v>
      </c>
      <c r="F972">
        <f t="shared" si="98"/>
        <v>0.60944927272727267</v>
      </c>
      <c r="G972">
        <f>LN(F972/参数实验室!$E$58)/参数实验室!$E$59</f>
        <v>-0.45043751648530378</v>
      </c>
      <c r="H972" s="856">
        <f>INDEX(神经网络!$G$10:$BO$70,MATCH(ROUND(G972*2,1)/2,神经网络!$E$10:$E$70,0),MATCH(ROUND(E972*2,1)/2,神经网络!$G$8:$BO$8,0))</f>
        <v>1.9902123528206703</v>
      </c>
      <c r="I972">
        <f t="shared" si="90"/>
        <v>130.2383457613326</v>
      </c>
      <c r="J972">
        <f t="shared" si="91"/>
        <v>65.839351981165947</v>
      </c>
      <c r="K972">
        <f t="shared" si="92"/>
        <v>1.9781231412877311</v>
      </c>
      <c r="L972" s="4">
        <f>MIN(MAX(L971*(1+MAX(MIN(((B972-B971)/B971)/($K$7*卓尔金历!$N$40),0),-卓尔金历!$M$43))+MIN(MAX(((B972-B971)/B971)/($K$7*卓尔金历!$N$40),0),卓尔金历!$M$43),0),1)</f>
        <v>0</v>
      </c>
      <c r="M972" s="4">
        <f>MIN(MAX(M971*(1+MAX(MIN(((B972-B971)/B971)/($K$7*30),0),-卓尔金历!$M$43))+MIN(MAX(((B972-B971)/B971)/($K$7*7),0),卓尔金历!$M$43),0),1)</f>
        <v>0</v>
      </c>
      <c r="N972">
        <f t="shared" si="93"/>
        <v>63.218099177589558</v>
      </c>
      <c r="O972">
        <f t="shared" si="94"/>
        <v>92.320476164943841</v>
      </c>
      <c r="P972">
        <f t="shared" si="95"/>
        <v>-0.28260869565217389</v>
      </c>
      <c r="Q972">
        <f t="shared" si="96"/>
        <v>0.10530533941174042</v>
      </c>
      <c r="R972">
        <f t="shared" si="97"/>
        <v>9.5149369304341224E-4</v>
      </c>
      <c r="S972">
        <f t="shared" si="89"/>
        <v>9.5860769203996341</v>
      </c>
      <c r="T972" s="564">
        <f>IF((I972-MAX(I$470:I972))/MAX(I$470:I972)&gt;T971,T971,(I972-MAX(I$470:I972))/MAX(I$470:I972))</f>
        <v>-0.62788758315546067</v>
      </c>
      <c r="U972" s="564">
        <f>IF((J972-MAX(J$470:J972))/MAX(J$470:J972)&gt;U971,U971,(J972-MAX(J$470:J972))/MAX(J$470:J972))</f>
        <v>-0.40740740740740738</v>
      </c>
      <c r="V972" s="564">
        <f>IF((K972-MAX(K$470:K972))/MAX(K$470:K972)&gt;V971,V971,(K972-MAX(K$470:K972))/MAX(K$470:K972))</f>
        <v>-0.80725522782524772</v>
      </c>
      <c r="W972" s="564">
        <f>IF((N972-MAX(N$470:N972))/MAX(N$470:N972)&gt;W971,W971,(N972-MAX(N$470:N972))/MAX(N$470:N972))</f>
        <v>-0.62788758315546067</v>
      </c>
      <c r="X972" s="564">
        <f>IF((O972-MAX(O$470:O972))/MAX(O$470:O972)&gt;X971,X971,(O972-MAX(O$470:O972))/MAX(O$470:O972))</f>
        <v>-0.62788758315546067</v>
      </c>
    </row>
    <row r="973" spans="1:24">
      <c r="A973" s="799">
        <v>41375</v>
      </c>
      <c r="B973">
        <v>124.9</v>
      </c>
      <c r="C973">
        <v>99.265876000000006</v>
      </c>
      <c r="D973">
        <v>2.0988190000000002</v>
      </c>
      <c r="E973">
        <f>LN(D973/参数实验室!$E$53)/参数实验室!$E$55</f>
        <v>0.18167103795930989</v>
      </c>
      <c r="F973">
        <f t="shared" si="98"/>
        <v>0.79476281825460371</v>
      </c>
      <c r="G973">
        <f>LN(F973/参数实验室!$E$58)/参数实验室!$E$59</f>
        <v>-0.3110950607591576</v>
      </c>
      <c r="H973" s="856">
        <f>INDEX(神经网络!$G$10:$BO$70,MATCH(ROUND(G973*2,1)/2,神经网络!$E$10:$E$70,0),MATCH(ROUND(E973*2,1)/2,神经网络!$G$8:$BO$8,0))</f>
        <v>-0.13443077051308086</v>
      </c>
      <c r="I973">
        <f t="shared" si="90"/>
        <v>67.244413771878897</v>
      </c>
      <c r="J973">
        <f t="shared" si="91"/>
        <v>49.838394317864413</v>
      </c>
      <c r="K973">
        <f t="shared" si="92"/>
        <v>1.3492492021913987</v>
      </c>
      <c r="L973" s="4">
        <f>MIN(MAX(L972*(1+MAX(MIN(((B973-B972)/B972)/($K$7*卓尔金历!$N$40),0),-卓尔金历!$M$43))+MIN(MAX(((B973-B972)/B972)/($K$7*卓尔金历!$N$40),0),卓尔金历!$M$43),0),1)</f>
        <v>0</v>
      </c>
      <c r="M973" s="4">
        <f>MIN(MAX(M972*(1+MAX(MIN(((B973-B972)/B972)/($K$7*30),0),-卓尔金历!$M$43))+MIN(MAX(((B973-B972)/B972)/($K$7*7),0),卓尔金历!$M$43),0),1)</f>
        <v>0</v>
      </c>
      <c r="N973">
        <f t="shared" si="93"/>
        <v>63.218099177589558</v>
      </c>
      <c r="O973">
        <f t="shared" si="94"/>
        <v>92.320476164943841</v>
      </c>
      <c r="P973">
        <f t="shared" si="95"/>
        <v>-0.24303030303030299</v>
      </c>
      <c r="Q973">
        <f t="shared" si="96"/>
        <v>0.12187829764091264</v>
      </c>
      <c r="R973">
        <f t="shared" si="97"/>
        <v>3.2627474348692655E-2</v>
      </c>
      <c r="S973">
        <f t="shared" si="89"/>
        <v>9.5816652133190505</v>
      </c>
      <c r="T973" s="564">
        <f>IF((I973-MAX(I$470:I973))/MAX(I$470:I973)&gt;T972,T972,(I973-MAX(I$470:I973))/MAX(I$470:I973))</f>
        <v>-0.80787162811632407</v>
      </c>
      <c r="U973" s="564">
        <f>IF((J973-MAX(J$470:J973))/MAX(J$470:J973)&gt;U972,U972,(J973-MAX(J$470:J973))/MAX(J$470:J973))</f>
        <v>-0.45695652173913037</v>
      </c>
      <c r="V973" s="564">
        <f>IF((K973-MAX(K$470:K973))/MAX(K$470:K973)&gt;V972,V972,(K973-MAX(K$470:K973))/MAX(K$470:K973))</f>
        <v>-0.80725522782524772</v>
      </c>
      <c r="W973" s="564">
        <f>IF((N973-MAX(N$470:N973))/MAX(N$470:N973)&gt;W972,W972,(N973-MAX(N$470:N973))/MAX(N$470:N973))</f>
        <v>-0.62788758315546067</v>
      </c>
      <c r="X973" s="564">
        <f>IF((O973-MAX(O$470:O973))/MAX(O$470:O973)&gt;X972,X972,(O973-MAX(O$470:O973))/MAX(O$470:O973))</f>
        <v>-0.62788758315546067</v>
      </c>
    </row>
    <row r="974" spans="1:24">
      <c r="A974" s="799">
        <v>41376</v>
      </c>
      <c r="B974">
        <v>117</v>
      </c>
      <c r="C974">
        <v>98.502353999999997</v>
      </c>
      <c r="D974">
        <v>2.8407290000000001</v>
      </c>
      <c r="E974">
        <f>LN(D974/参数实验室!$E$53)/参数实验室!$E$55</f>
        <v>0.53876571486396307</v>
      </c>
      <c r="F974">
        <f t="shared" si="98"/>
        <v>0.84190046153846154</v>
      </c>
      <c r="G974">
        <f>LN(F974/参数实验室!$E$58)/参数实验室!$E$59</f>
        <v>-0.28085398784291632</v>
      </c>
      <c r="H974" s="856">
        <f>INDEX(神经网络!$G$10:$BO$70,MATCH(ROUND(G974*2,1)/2,神经网络!$E$10:$E$70,0),MATCH(ROUND(E974*2,1)/2,神经网络!$G$8:$BO$8,0))</f>
        <v>1.6388573328569012</v>
      </c>
      <c r="I974">
        <f t="shared" si="90"/>
        <v>67.816181386072884</v>
      </c>
      <c r="J974">
        <f t="shared" si="91"/>
        <v>46.68608595028131</v>
      </c>
      <c r="K974">
        <f t="shared" si="92"/>
        <v>1.452599420270404</v>
      </c>
      <c r="L974" s="4">
        <f>MIN(MAX(L973*(1+MAX(MIN(((B974-B973)/B973)/($K$7*卓尔金历!$N$40),0),-卓尔金历!$M$43))+MIN(MAX(((B974-B973)/B973)/($K$7*卓尔金历!$N$40),0),卓尔金历!$M$43),0),1)</f>
        <v>0</v>
      </c>
      <c r="M974" s="4">
        <f>MIN(MAX(M973*(1+MAX(MIN(((B974-B973)/B973)/($K$7*30),0),-卓尔金历!$M$43))+MIN(MAX(((B974-B973)/B973)/($K$7*7),0),卓尔金历!$M$43),0),1)</f>
        <v>0</v>
      </c>
      <c r="N974">
        <f t="shared" si="93"/>
        <v>63.218099177589558</v>
      </c>
      <c r="O974">
        <f t="shared" si="94"/>
        <v>92.320476164943841</v>
      </c>
      <c r="P974">
        <f t="shared" si="95"/>
        <v>-6.3250600480384347E-2</v>
      </c>
      <c r="Q974">
        <f t="shared" si="96"/>
        <v>0.12327353352776259</v>
      </c>
      <c r="R974">
        <f t="shared" si="97"/>
        <v>0.87050893629739901</v>
      </c>
      <c r="S974">
        <f t="shared" si="89"/>
        <v>9.5843234141540137</v>
      </c>
      <c r="T974" s="564">
        <f>IF((I974-MAX(I$470:I974))/MAX(I$470:I974)&gt;T973,T973,(I974-MAX(I$470:I974))/MAX(I$470:I974))</f>
        <v>-0.80787162811632407</v>
      </c>
      <c r="U974" s="564">
        <f>IF((J974-MAX(J$470:J974))/MAX(J$470:J974)&gt;U973,U973,(J974-MAX(J$470:J974))/MAX(J$470:J974))</f>
        <v>-0.49130434782608695</v>
      </c>
      <c r="V974" s="564">
        <f>IF((K974-MAX(K$470:K974))/MAX(K$470:K974)&gt;V973,V973,(K974-MAX(K$470:K974))/MAX(K$470:K974))</f>
        <v>-0.80725522782524772</v>
      </c>
      <c r="W974" s="564">
        <f>IF((N974-MAX(N$470:N974))/MAX(N$470:N974)&gt;W973,W973,(N974-MAX(N$470:N974))/MAX(N$470:N974))</f>
        <v>-0.62788758315546067</v>
      </c>
      <c r="X974" s="564">
        <f>IF((O974-MAX(O$470:O974))/MAX(O$470:O974)&gt;X973,X973,(O974-MAX(O$470:O974))/MAX(O$470:O974))</f>
        <v>-0.62788758315546067</v>
      </c>
    </row>
    <row r="975" spans="1:24">
      <c r="A975" s="799">
        <v>41377</v>
      </c>
      <c r="B975">
        <v>93</v>
      </c>
      <c r="C975">
        <v>99.294353000000001</v>
      </c>
      <c r="D975">
        <v>2.501989</v>
      </c>
      <c r="E975">
        <f>LN(D975/参数实验室!$E$53)/参数实验室!$E$55</f>
        <v>0.38896690792455835</v>
      </c>
      <c r="F975">
        <f t="shared" si="98"/>
        <v>1.0676812150537633</v>
      </c>
      <c r="G975">
        <f>LN(F975/参数实验室!$E$58)/参数实验室!$E$59</f>
        <v>-0.15615774894916731</v>
      </c>
      <c r="H975" s="856">
        <f>INDEX(神经网络!$G$10:$BO$70,MATCH(ROUND(G975*2,1)/2,神经网络!$E$10:$E$70,0),MATCH(ROUND(E975*2,1)/2,神经网络!$G$8:$BO$8,0))</f>
        <v>1.5130546766770299</v>
      </c>
      <c r="I975">
        <f t="shared" si="90"/>
        <v>45.018018073063814</v>
      </c>
      <c r="J975">
        <f t="shared" si="91"/>
        <v>37.109452934838984</v>
      </c>
      <c r="K975">
        <f t="shared" si="92"/>
        <v>1.2131145708914544</v>
      </c>
      <c r="L975" s="4">
        <f>MIN(MAX(L974*(1+MAX(MIN(((B975-B974)/B974)/($K$7*卓尔金历!$N$40),0),-卓尔金历!$M$43))+MIN(MAX(((B975-B974)/B974)/($K$7*卓尔金历!$N$40),0),卓尔金历!$M$43),0),1)</f>
        <v>0</v>
      </c>
      <c r="M975" s="4">
        <f>MIN(MAX(M974*(1+MAX(MIN(((B975-B974)/B974)/($K$7*30),0),-卓尔金历!$M$43))+MIN(MAX(((B975-B974)/B974)/($K$7*7),0),卓尔金历!$M$43),0),1)</f>
        <v>0</v>
      </c>
      <c r="N975">
        <f t="shared" si="93"/>
        <v>63.218099177589558</v>
      </c>
      <c r="O975">
        <f t="shared" si="94"/>
        <v>92.320476164943841</v>
      </c>
      <c r="P975">
        <f t="shared" si="95"/>
        <v>-0.20512820512820512</v>
      </c>
      <c r="Q975">
        <f t="shared" si="96"/>
        <v>0.13139309920654493</v>
      </c>
      <c r="R975">
        <f t="shared" si="97"/>
        <v>6.8362375079239215E-2</v>
      </c>
      <c r="S975">
        <f t="shared" si="89"/>
        <v>6.7795277812199171</v>
      </c>
      <c r="T975" s="564">
        <f>IF((I975-MAX(I$470:I975))/MAX(I$470:I975)&gt;T974,T974,(I975-MAX(I$470:I975))/MAX(I$470:I975))</f>
        <v>-0.87137610349092376</v>
      </c>
      <c r="U975" s="564">
        <f>IF((J975-MAX(J$470:J975))/MAX(J$470:J975)&gt;U974,U974,(J975-MAX(J$470:J975))/MAX(J$470:J975))</f>
        <v>-0.59565217391304359</v>
      </c>
      <c r="V975" s="564">
        <f>IF((K975-MAX(K$470:K975))/MAX(K$470:K975)&gt;V974,V974,(K975-MAX(K$470:K975))/MAX(K$470:K975))</f>
        <v>-0.80725522782524772</v>
      </c>
      <c r="W975" s="564">
        <f>IF((N975-MAX(N$470:N975))/MAX(N$470:N975)&gt;W974,W974,(N975-MAX(N$470:N975))/MAX(N$470:N975))</f>
        <v>-0.62788758315546067</v>
      </c>
      <c r="X975" s="564">
        <f>IF((O975-MAX(O$470:O975))/MAX(O$470:O975)&gt;X974,X974,(O975-MAX(O$470:O975))/MAX(O$470:O975))</f>
        <v>-0.62788758315546067</v>
      </c>
    </row>
    <row r="976" spans="1:24">
      <c r="A976" s="799">
        <v>41378</v>
      </c>
      <c r="B976">
        <v>90</v>
      </c>
      <c r="C976">
        <v>100.480727</v>
      </c>
      <c r="D976">
        <v>2.2945679999999999</v>
      </c>
      <c r="E976">
        <f>LN(D976/参数实验室!$E$53)/参数实验室!$E$55</f>
        <v>0.28686938098108489</v>
      </c>
      <c r="F976">
        <f t="shared" si="98"/>
        <v>1.1164525222222221</v>
      </c>
      <c r="G976">
        <f>LN(F976/参数实验室!$E$58)/参数实验室!$E$59</f>
        <v>-0.13271406221483623</v>
      </c>
      <c r="H976" s="856">
        <f>INDEX(神经网络!$G$10:$BO$70,MATCH(ROUND(G976*2,1)/2,神经网络!$E$10:$E$70,0),MATCH(ROUND(E976*2,1)/2,神经网络!$G$8:$BO$8,0))</f>
        <v>1.3303819157174839</v>
      </c>
      <c r="I976">
        <f t="shared" si="90"/>
        <v>42.820768951122517</v>
      </c>
      <c r="J976">
        <f t="shared" si="91"/>
        <v>35.912373807908693</v>
      </c>
      <c r="K976">
        <f t="shared" si="92"/>
        <v>1.1923681007600908</v>
      </c>
      <c r="L976" s="4">
        <f>MIN(MAX(L975*(1+MAX(MIN(((B976-B975)/B975)/($K$7*卓尔金历!$N$40),0),-卓尔金历!$M$43))+MIN(MAX(((B976-B975)/B975)/($K$7*卓尔金历!$N$40),0),卓尔金历!$M$43),0),1)</f>
        <v>0</v>
      </c>
      <c r="M976" s="4">
        <f>MIN(MAX(M975*(1+MAX(MIN(((B976-B975)/B975)/($K$7*30),0),-卓尔金历!$M$43))+MIN(MAX(((B976-B975)/B975)/($K$7*7),0),卓尔金历!$M$43),0),1)</f>
        <v>0</v>
      </c>
      <c r="N976">
        <f t="shared" si="93"/>
        <v>63.218099177589558</v>
      </c>
      <c r="O976">
        <f t="shared" si="94"/>
        <v>92.320476164943841</v>
      </c>
      <c r="P976">
        <f t="shared" si="95"/>
        <v>-3.2258064516129031E-2</v>
      </c>
      <c r="Q976">
        <f t="shared" si="96"/>
        <v>0.13056839554283217</v>
      </c>
      <c r="R976">
        <f t="shared" si="97"/>
        <v>1</v>
      </c>
      <c r="S976">
        <f t="shared" si="89"/>
        <v>6.7569069001767321</v>
      </c>
      <c r="T976" s="564">
        <f>IF((I976-MAX(I$470:I976))/MAX(I$470:I976)&gt;T975,T975,(I976-MAX(I$470:I976))/MAX(I$470:I976))</f>
        <v>-0.87765400633432644</v>
      </c>
      <c r="U976" s="564">
        <f>IF((J976-MAX(J$470:J976))/MAX(J$470:J976)&gt;U975,U975,(J976-MAX(J$470:J976))/MAX(J$470:J976))</f>
        <v>-0.60869565217391308</v>
      </c>
      <c r="V976" s="564">
        <f>IF((K976-MAX(K$470:K976))/MAX(K$470:K976)&gt;V975,V975,(K976-MAX(K$470:K976))/MAX(K$470:K976))</f>
        <v>-0.80725522782524772</v>
      </c>
      <c r="W976" s="564">
        <f>IF((N976-MAX(N$470:N976))/MAX(N$470:N976)&gt;W975,W975,(N976-MAX(N$470:N976))/MAX(N$470:N976))</f>
        <v>-0.62788758315546067</v>
      </c>
      <c r="X976" s="564">
        <f>IF((O976-MAX(O$470:O976))/MAX(O$470:O976)&gt;X975,X975,(O976-MAX(O$470:O976))/MAX(O$470:O976))</f>
        <v>-0.62788758315546067</v>
      </c>
    </row>
    <row r="977" spans="1:24">
      <c r="A977" s="799">
        <v>41379</v>
      </c>
      <c r="B977">
        <v>82.385999999999996</v>
      </c>
      <c r="C977">
        <v>101.232838</v>
      </c>
      <c r="D977">
        <v>2.1152860000000002</v>
      </c>
      <c r="E977">
        <f>LN(D977/参数实验室!$E$53)/参数实验室!$E$55</f>
        <v>0.19089107189205728</v>
      </c>
      <c r="F977">
        <f t="shared" si="98"/>
        <v>1.2287626295729859</v>
      </c>
      <c r="G977">
        <f>LN(F977/参数实验室!$E$58)/参数实验室!$E$59</f>
        <v>-8.2406065719033847E-2</v>
      </c>
      <c r="H977" s="856">
        <f>INDEX(神经网络!$G$10:$BO$70,MATCH(ROUND(G977*2,1)/2,神经网络!$E$10:$E$70,0),MATCH(ROUND(E977*2,1)/2,神经网络!$G$8:$BO$8,0))</f>
        <v>1.1878558985151273</v>
      </c>
      <c r="I977">
        <f t="shared" si="90"/>
        <v>38.001278128250732</v>
      </c>
      <c r="J977">
        <f t="shared" si="91"/>
        <v>32.874186983759614</v>
      </c>
      <c r="K977">
        <f t="shared" si="92"/>
        <v>1.1559610020781346</v>
      </c>
      <c r="L977" s="4">
        <f>MIN(MAX(L976*(1+MAX(MIN(((B977-B976)/B976)/($K$7*卓尔金历!$N$40),0),-卓尔金历!$M$43))+MIN(MAX(((B977-B976)/B976)/($K$7*卓尔金历!$N$40),0),卓尔金历!$M$43),0),1)</f>
        <v>0</v>
      </c>
      <c r="M977" s="4">
        <f>MIN(MAX(M976*(1+MAX(MIN(((B977-B976)/B976)/($K$7*30),0),-卓尔金历!$M$43))+MIN(MAX(((B977-B976)/B976)/($K$7*7),0),卓尔金历!$M$43),0),1)</f>
        <v>0</v>
      </c>
      <c r="N977">
        <f t="shared" si="93"/>
        <v>63.218099177589558</v>
      </c>
      <c r="O977">
        <f t="shared" si="94"/>
        <v>92.320476164943841</v>
      </c>
      <c r="P977">
        <f t="shared" si="95"/>
        <v>-8.460000000000005E-2</v>
      </c>
      <c r="Q977">
        <f t="shared" si="96"/>
        <v>0.13242940708696399</v>
      </c>
      <c r="R977">
        <f t="shared" si="97"/>
        <v>0.63719357232673102</v>
      </c>
      <c r="S977">
        <f t="shared" si="89"/>
        <v>5.996414933449751</v>
      </c>
      <c r="T977" s="564">
        <f>IF((I977-MAX(I$470:I977))/MAX(I$470:I977)&gt;T976,T976,(I977-MAX(I$470:I977))/MAX(I$470:I977))</f>
        <v>-0.89142408585718347</v>
      </c>
      <c r="U977" s="564">
        <f>IF((J977-MAX(J$470:J977))/MAX(J$470:J977)&gt;U976,U976,(J977-MAX(J$470:J977))/MAX(J$470:J977))</f>
        <v>-0.64180000000000015</v>
      </c>
      <c r="V977" s="564">
        <f>IF((K977-MAX(K$470:K977))/MAX(K$470:K977)&gt;V976,V976,(K977-MAX(K$470:K977))/MAX(K$470:K977))</f>
        <v>-0.80725522782524772</v>
      </c>
      <c r="W977" s="564">
        <f>IF((N977-MAX(N$470:N977))/MAX(N$470:N977)&gt;W976,W976,(N977-MAX(N$470:N977))/MAX(N$470:N977))</f>
        <v>-0.62788758315546067</v>
      </c>
      <c r="X977" s="564">
        <f>IF((O977-MAX(O$470:O977))/MAX(O$470:O977)&gt;X976,X976,(O977-MAX(O$470:O977))/MAX(O$470:O977))</f>
        <v>-0.62788758315546067</v>
      </c>
    </row>
    <row r="978" spans="1:24">
      <c r="A978" s="799">
        <v>41380</v>
      </c>
      <c r="B978">
        <v>68.355699999999999</v>
      </c>
      <c r="C978">
        <v>103.22880000000001</v>
      </c>
      <c r="D978">
        <v>1.8109489999999999</v>
      </c>
      <c r="E978">
        <f>LN(D978/参数实验室!$E$53)/参数实验室!$E$55</f>
        <v>7.629370133198264E-3</v>
      </c>
      <c r="F978">
        <f t="shared" si="98"/>
        <v>1.5101710610819581</v>
      </c>
      <c r="G978">
        <f>LN(F978/参数实验室!$E$58)/参数实验室!$E$59</f>
        <v>2.5826846753073333E-2</v>
      </c>
      <c r="H978" s="856">
        <f>INDEX(神经网络!$G$10:$BO$70,MATCH(ROUND(G978*2,1)/2,神经网络!$E$10:$E$70,0),MATCH(ROUND(E978*2,1)/2,神经网络!$G$8:$BO$8,0))</f>
        <v>0.96961959596350966</v>
      </c>
      <c r="I978">
        <f t="shared" si="90"/>
        <v>30.313948526806598</v>
      </c>
      <c r="J978">
        <f t="shared" si="91"/>
        <v>27.275727225569604</v>
      </c>
      <c r="K978">
        <f t="shared" si="92"/>
        <v>1.1113891950931676</v>
      </c>
      <c r="L978" s="4">
        <f>MIN(MAX(L977*(1+MAX(MIN(((B978-B977)/B977)/($K$7*卓尔金历!$N$40),0),-卓尔金历!$M$43))+MIN(MAX(((B978-B977)/B977)/($K$7*卓尔金历!$N$40),0),卓尔金历!$M$43),0),1)</f>
        <v>0</v>
      </c>
      <c r="M978" s="4">
        <f>MIN(MAX(M977*(1+MAX(MIN(((B978-B977)/B977)/($K$7*30),0),-卓尔金历!$M$43))+MIN(MAX(((B978-B977)/B977)/($K$7*7),0),卓尔金历!$M$43),0),1)</f>
        <v>0</v>
      </c>
      <c r="N978">
        <f t="shared" si="93"/>
        <v>63.218099177589558</v>
      </c>
      <c r="O978">
        <f t="shared" si="94"/>
        <v>92.320476164943841</v>
      </c>
      <c r="P978">
        <f t="shared" si="95"/>
        <v>-0.17029956546015096</v>
      </c>
      <c r="Q978">
        <f t="shared" si="96"/>
        <v>0.13752582486429901</v>
      </c>
      <c r="R978">
        <f t="shared" si="97"/>
        <v>0.10412297631432892</v>
      </c>
      <c r="S978">
        <f t="shared" si="89"/>
        <v>5.2234845817182141</v>
      </c>
      <c r="T978" s="564">
        <f>IF((I978-MAX(I$470:I978))/MAX(I$470:I978)&gt;T977,T977,(I978-MAX(I$470:I978))/MAX(I$470:I978))</f>
        <v>-0.91338805338419748</v>
      </c>
      <c r="U978" s="564">
        <f>IF((J978-MAX(J$470:J978))/MAX(J$470:J978)&gt;U977,U977,(J978-MAX(J$470:J978))/MAX(J$470:J978))</f>
        <v>-0.70280130434782617</v>
      </c>
      <c r="V978" s="564">
        <f>IF((K978-MAX(K$470:K978))/MAX(K$470:K978)&gt;V977,V977,(K978-MAX(K$470:K978))/MAX(K$470:K978))</f>
        <v>-0.80725522782524772</v>
      </c>
      <c r="W978" s="564">
        <f>IF((N978-MAX(N$470:N978))/MAX(N$470:N978)&gt;W977,W977,(N978-MAX(N$470:N978))/MAX(N$470:N978))</f>
        <v>-0.62788758315546067</v>
      </c>
      <c r="X978" s="564">
        <f>IF((O978-MAX(O$470:O978))/MAX(O$470:O978)&gt;X977,X977,(O978-MAX(O$470:O978))/MAX(O$470:O978))</f>
        <v>-0.62788758315546067</v>
      </c>
    </row>
    <row r="979" spans="1:24">
      <c r="A979" s="799">
        <v>41381</v>
      </c>
      <c r="B979">
        <v>93.07</v>
      </c>
      <c r="C979">
        <v>104.489324</v>
      </c>
      <c r="D979">
        <v>2.4232170000000002</v>
      </c>
      <c r="E979">
        <f>LN(D979/参数实验室!$E$53)/参数实验室!$E$55</f>
        <v>0.3512265788460977</v>
      </c>
      <c r="F979">
        <f t="shared" si="98"/>
        <v>1.1226960782206941</v>
      </c>
      <c r="G979">
        <f>LN(F979/参数实验室!$E$58)/参数实验室!$E$59</f>
        <v>-0.12978708889905965</v>
      </c>
      <c r="H979" s="856">
        <f>INDEX(神经网络!$G$10:$BO$70,MATCH(ROUND(G979*2,1)/2,神经网络!$E$10:$E$70,0),MATCH(ROUND(E979*2,1)/2,神经网络!$G$8:$BO$8,0))</f>
        <v>1.4230538058217563</v>
      </c>
      <c r="I979">
        <f t="shared" si="90"/>
        <v>40.941114708816414</v>
      </c>
      <c r="J979">
        <f t="shared" si="91"/>
        <v>37.137384781134017</v>
      </c>
      <c r="K979">
        <f t="shared" si="92"/>
        <v>1.1024232037365946</v>
      </c>
      <c r="L979" s="4">
        <f>MIN(MAX(L978*(1+MAX(MIN(((B979-B978)/B978)/($K$7*卓尔金历!$N$40),0),-卓尔金历!$M$43))+MIN(MAX(((B979-B978)/B978)/($K$7*卓尔金历!$N$40),0),卓尔金历!$M$43),0),1)</f>
        <v>1</v>
      </c>
      <c r="M979" s="4">
        <f>MIN(MAX(M978*(1+MAX(MIN(((B979-B978)/B978)/($K$7*30),0),-卓尔金历!$M$43))+MIN(MAX(((B979-B978)/B978)/($K$7*7),0),卓尔金历!$M$43),0),1)</f>
        <v>1</v>
      </c>
      <c r="N979">
        <f t="shared" si="93"/>
        <v>63.218099177589558</v>
      </c>
      <c r="O979">
        <f t="shared" si="94"/>
        <v>92.320476164943841</v>
      </c>
      <c r="P979">
        <f t="shared" si="95"/>
        <v>0.36155434001846215</v>
      </c>
      <c r="Q979">
        <f t="shared" si="96"/>
        <v>0.15525630246783645</v>
      </c>
      <c r="R979">
        <f t="shared" si="97"/>
        <v>2.1270427181261556E-2</v>
      </c>
      <c r="S979">
        <f t="shared" si="89"/>
        <v>5.4141543566550627</v>
      </c>
      <c r="T979" s="564">
        <f>IF((I979-MAX(I$470:I979))/MAX(I$470:I979)&gt;T978,T978,(I979-MAX(I$470:I979))/MAX(I$470:I979))</f>
        <v>-0.91338805338419748</v>
      </c>
      <c r="U979" s="564">
        <f>IF((J979-MAX(J$470:J979))/MAX(J$470:J979)&gt;U978,U978,(J979-MAX(J$470:J979))/MAX(J$470:J979))</f>
        <v>-0.70280130434782617</v>
      </c>
      <c r="V979" s="564">
        <f>IF((K979-MAX(K$470:K979))/MAX(K$470:K979)&gt;V978,V978,(K979-MAX(K$470:K979))/MAX(K$470:K979))</f>
        <v>-0.80725522782524772</v>
      </c>
      <c r="W979" s="564">
        <f>IF((N979-MAX(N$470:N979))/MAX(N$470:N979)&gt;W978,W978,(N979-MAX(N$470:N979))/MAX(N$470:N979))</f>
        <v>-0.62788758315546067</v>
      </c>
      <c r="X979" s="564">
        <f>IF((O979-MAX(O$470:O979))/MAX(O$470:O979)&gt;X978,X978,(O979-MAX(O$470:O979))/MAX(O$470:O979))</f>
        <v>-0.62788758315546067</v>
      </c>
    </row>
    <row r="980" spans="1:24">
      <c r="A980" s="799">
        <v>41382</v>
      </c>
      <c r="B980">
        <v>109.01</v>
      </c>
      <c r="C980">
        <v>105.993893</v>
      </c>
      <c r="D980">
        <v>2.7842549999999999</v>
      </c>
      <c r="E980">
        <f>LN(D980/参数实验室!$E$53)/参数实验室!$E$55</f>
        <v>0.51507582581986944</v>
      </c>
      <c r="F980">
        <f t="shared" si="98"/>
        <v>0.97233183194202366</v>
      </c>
      <c r="G980">
        <f>LN(F980/参数实验室!$E$58)/参数实验室!$E$59</f>
        <v>-0.2052564538685849</v>
      </c>
      <c r="H980" s="856">
        <f>INDEX(神经网络!$G$10:$BO$70,MATCH(ROUND(G980*2,1)/2,神经网络!$E$10:$E$70,0),MATCH(ROUND(E980*2,1)/2,神经网络!$G$8:$BO$8,0))</f>
        <v>1.6415337291806078</v>
      </c>
      <c r="I980">
        <f t="shared" si="90"/>
        <v>50.919484334575557</v>
      </c>
      <c r="J980">
        <f t="shared" si="91"/>
        <v>43.497865208890296</v>
      </c>
      <c r="K980">
        <f t="shared" si="92"/>
        <v>1.1706203072275922</v>
      </c>
      <c r="L980" s="4">
        <f>MIN(MAX(L979*(1+MAX(MIN(((B980-B979)/B979)/($K$7*卓尔金历!$N$40),0),-卓尔金历!$M$43))+MIN(MAX(((B980-B979)/B979)/($K$7*卓尔金历!$N$40),0),卓尔金历!$M$43),0),1)</f>
        <v>1</v>
      </c>
      <c r="M980" s="4">
        <f>MIN(MAX(M979*(1+MAX(MIN(((B980-B979)/B979)/($K$7*30),0),-卓尔金历!$M$43))+MIN(MAX(((B980-B979)/B979)/($K$7*7),0),卓尔金历!$M$43),0),1)</f>
        <v>1</v>
      </c>
      <c r="N980">
        <f t="shared" si="93"/>
        <v>78.625924907748455</v>
      </c>
      <c r="O980">
        <f t="shared" si="94"/>
        <v>114.82127619815643</v>
      </c>
      <c r="P980">
        <f t="shared" si="95"/>
        <v>0.17126893735897725</v>
      </c>
      <c r="Q980">
        <f t="shared" si="96"/>
        <v>0.15838801072294978</v>
      </c>
      <c r="R980">
        <f t="shared" si="97"/>
        <v>0.14311723641397567</v>
      </c>
      <c r="S980">
        <f t="shared" si="89"/>
        <v>5.4422220530142233</v>
      </c>
      <c r="T980" s="564">
        <f>IF((I980-MAX(I$470:I980))/MAX(I$470:I980)&gt;T979,T979,(I980-MAX(I$470:I980))/MAX(I$470:I980))</f>
        <v>-0.91338805338419748</v>
      </c>
      <c r="U980" s="564">
        <f>IF((J980-MAX(J$470:J980))/MAX(J$470:J980)&gt;U979,U979,(J980-MAX(J$470:J980))/MAX(J$470:J980))</f>
        <v>-0.70280130434782617</v>
      </c>
      <c r="V980" s="564">
        <f>IF((K980-MAX(K$470:K980))/MAX(K$470:K980)&gt;V979,V979,(K980-MAX(K$470:K980))/MAX(K$470:K980))</f>
        <v>-0.80725522782524772</v>
      </c>
      <c r="W980" s="564">
        <f>IF((N980-MAX(N$470:N980))/MAX(N$470:N980)&gt;W979,W979,(N980-MAX(N$470:N980))/MAX(N$470:N980))</f>
        <v>-0.62788758315546067</v>
      </c>
      <c r="X980" s="564">
        <f>IF((O980-MAX(O$470:O980))/MAX(O$470:O980)&gt;X979,X979,(O980-MAX(O$470:O980))/MAX(O$470:O980))</f>
        <v>-0.62788758315546067</v>
      </c>
    </row>
    <row r="981" spans="1:24">
      <c r="A981" s="799">
        <v>41383</v>
      </c>
      <c r="B981">
        <v>118.48</v>
      </c>
      <c r="C981">
        <v>110.749375</v>
      </c>
      <c r="D981">
        <v>3.0000659999999999</v>
      </c>
      <c r="E981">
        <f>LN(D981/参数实验室!$E$53)/参数实验室!$E$55</f>
        <v>0.60314907178506338</v>
      </c>
      <c r="F981">
        <f t="shared" si="98"/>
        <v>0.93475164584740034</v>
      </c>
      <c r="G981">
        <f>LN(F981/参数实验室!$E$58)/参数实验室!$E$59</f>
        <v>-0.22594423860258137</v>
      </c>
      <c r="H981" s="856">
        <f>INDEX(神经网络!$G$10:$BO$70,MATCH(ROUND(G981*2,1)/2,神经网络!$E$10:$E$70,0),MATCH(ROUND(E981*2,1)/2,神经网络!$G$8:$BO$8,0))</f>
        <v>1.7574855347110234</v>
      </c>
      <c r="I981">
        <f t="shared" si="90"/>
        <v>58.180835614667451</v>
      </c>
      <c r="J981">
        <f t="shared" si="91"/>
        <v>47.276644986233578</v>
      </c>
      <c r="K981">
        <f t="shared" si="92"/>
        <v>1.2306464562282085</v>
      </c>
      <c r="L981" s="4">
        <f>MIN(MAX(L980*(1+MAX(MIN(((B981-B980)/B980)/($K$7*卓尔金历!$N$40),0),-卓尔金历!$M$43))+MIN(MAX(((B981-B980)/B980)/($K$7*卓尔金历!$N$40),0),卓尔金历!$M$43),0),1)</f>
        <v>1</v>
      </c>
      <c r="M981" s="4">
        <f>MIN(MAX(M980*(1+MAX(MIN(((B981-B980)/B980)/($K$7*30),0),-卓尔金历!$M$43))+MIN(MAX(((B981-B980)/B980)/($K$7*7),0),卓尔金历!$M$43),0),1)</f>
        <v>1</v>
      </c>
      <c r="N981">
        <f t="shared" si="93"/>
        <v>89.838341292916226</v>
      </c>
      <c r="O981">
        <f t="shared" si="94"/>
        <v>131.19531516966123</v>
      </c>
      <c r="P981">
        <f t="shared" si="95"/>
        <v>8.6872763966608549E-2</v>
      </c>
      <c r="Q981">
        <f t="shared" si="96"/>
        <v>0.15886919397810559</v>
      </c>
      <c r="R981">
        <f t="shared" si="97"/>
        <v>0.85763343325030239</v>
      </c>
      <c r="S981">
        <f t="shared" si="89"/>
        <v>5.5532933004422347</v>
      </c>
      <c r="T981" s="564">
        <f>IF((I981-MAX(I$470:I981))/MAX(I$470:I981)&gt;T980,T980,(I981-MAX(I$470:I981))/MAX(I$470:I981))</f>
        <v>-0.91338805338419748</v>
      </c>
      <c r="U981" s="564">
        <f>IF((J981-MAX(J$470:J981))/MAX(J$470:J981)&gt;U980,U980,(J981-MAX(J$470:J981))/MAX(J$470:J981))</f>
        <v>-0.70280130434782617</v>
      </c>
      <c r="V981" s="564">
        <f>IF((K981-MAX(K$470:K981))/MAX(K$470:K981)&gt;V980,V980,(K981-MAX(K$470:K981))/MAX(K$470:K981))</f>
        <v>-0.80725522782524772</v>
      </c>
      <c r="W981" s="564">
        <f>IF((N981-MAX(N$470:N981))/MAX(N$470:N981)&gt;W980,W980,(N981-MAX(N$470:N981))/MAX(N$470:N981))</f>
        <v>-0.62788758315546067</v>
      </c>
      <c r="X981" s="564">
        <f>IF((O981-MAX(O$470:O981))/MAX(O$470:O981)&gt;X980,X980,(O981-MAX(O$470:O981))/MAX(O$470:O981))</f>
        <v>-0.62788758315546067</v>
      </c>
    </row>
    <row r="982" spans="1:24">
      <c r="A982" s="799">
        <v>41384</v>
      </c>
      <c r="B982">
        <v>126.6155</v>
      </c>
      <c r="C982">
        <v>115.121973</v>
      </c>
      <c r="D982">
        <v>3.1852559999999999</v>
      </c>
      <c r="E982">
        <f>LN(D982/参数实验室!$E$53)/参数实验室!$E$55</f>
        <v>0.67381437297838875</v>
      </c>
      <c r="F982">
        <f t="shared" si="98"/>
        <v>0.9092249606090882</v>
      </c>
      <c r="G982">
        <f>LN(F982/参数实验室!$E$58)/参数实验室!$E$59</f>
        <v>-0.24047657034662046</v>
      </c>
      <c r="H982" s="856">
        <f>INDEX(神经网络!$G$10:$BO$70,MATCH(ROUND(G982*2,1)/2,神经网络!$E$10:$E$70,0),MATCH(ROUND(E982*2,1)/2,神经网络!$G$8:$BO$8,0))</f>
        <v>1.8309064914754705</v>
      </c>
      <c r="I982">
        <f t="shared" si="90"/>
        <v>65.202028717331117</v>
      </c>
      <c r="J982">
        <f t="shared" si="91"/>
        <v>50.522924065280698</v>
      </c>
      <c r="K982">
        <f t="shared" si="92"/>
        <v>1.2905434498027775</v>
      </c>
      <c r="L982" s="4">
        <f>MIN(MAX(L981*(1+MAX(MIN(((B982-B981)/B981)/($K$7*卓尔金历!$N$40),0),-卓尔金历!$M$43))+MIN(MAX(((B982-B981)/B981)/($K$7*卓尔金历!$N$40),0),卓尔金历!$M$43),0),1)</f>
        <v>1</v>
      </c>
      <c r="M982" s="4">
        <f>MIN(MAX(M981*(1+MAX(MIN(((B982-B981)/B981)/($K$7*30),0),-卓尔金历!$M$43))+MIN(MAX(((B982-B981)/B981)/($K$7*7),0),卓尔金历!$M$43),0),1)</f>
        <v>1</v>
      </c>
      <c r="N982">
        <f t="shared" si="93"/>
        <v>100.6799240164471</v>
      </c>
      <c r="O982">
        <f t="shared" si="94"/>
        <v>147.02780764315864</v>
      </c>
      <c r="P982">
        <f t="shared" si="95"/>
        <v>6.8665597569209938E-2</v>
      </c>
      <c r="Q982">
        <f t="shared" si="96"/>
        <v>0.15911964055870848</v>
      </c>
      <c r="R982">
        <f t="shared" si="97"/>
        <v>1</v>
      </c>
      <c r="S982">
        <f t="shared" si="89"/>
        <v>6.128048987921658</v>
      </c>
      <c r="T982" s="564">
        <f>IF((I982-MAX(I$470:I982))/MAX(I$470:I982)&gt;T981,T981,(I982-MAX(I$470:I982))/MAX(I$470:I982))</f>
        <v>-0.91338805338419748</v>
      </c>
      <c r="U982" s="564">
        <f>IF((J982-MAX(J$470:J982))/MAX(J$470:J982)&gt;U981,U981,(J982-MAX(J$470:J982))/MAX(J$470:J982))</f>
        <v>-0.70280130434782617</v>
      </c>
      <c r="V982" s="564">
        <f>IF((K982-MAX(K$470:K982))/MAX(K$470:K982)&gt;V981,V981,(K982-MAX(K$470:K982))/MAX(K$470:K982))</f>
        <v>-0.80725522782524772</v>
      </c>
      <c r="W982" s="564">
        <f>IF((N982-MAX(N$470:N982))/MAX(N$470:N982)&gt;W981,W981,(N982-MAX(N$470:N982))/MAX(N$470:N982))</f>
        <v>-0.62788758315546067</v>
      </c>
      <c r="X982" s="564">
        <f>IF((O982-MAX(O$470:O982))/MAX(O$470:O982)&gt;X981,X981,(O982-MAX(O$470:O982))/MAX(O$470:O982))</f>
        <v>-0.62788758315546067</v>
      </c>
    </row>
    <row r="983" spans="1:24">
      <c r="A983" s="799">
        <v>41385</v>
      </c>
      <c r="B983">
        <v>119.2</v>
      </c>
      <c r="C983">
        <v>118.959174</v>
      </c>
      <c r="D983">
        <v>2.9148520000000002</v>
      </c>
      <c r="E983">
        <f>LN(D983/参数实验室!$E$53)/参数实验室!$E$55</f>
        <v>0.56915419681663093</v>
      </c>
      <c r="F983">
        <f t="shared" si="98"/>
        <v>0.99797964765100677</v>
      </c>
      <c r="G983">
        <f>LN(F983/参数实验室!$E$58)/参数实验室!$E$59</f>
        <v>-0.19159148737799636</v>
      </c>
      <c r="H983" s="856">
        <f>INDEX(神经网络!$G$10:$BO$70,MATCH(ROUND(G983*2,1)/2,神经网络!$E$10:$E$70,0),MATCH(ROUND(E983*2,1)/2,神经网络!$G$8:$BO$8,0))</f>
        <v>1.7215992175652799</v>
      </c>
      <c r="I983">
        <f t="shared" si="90"/>
        <v>58.210360065552699</v>
      </c>
      <c r="J983">
        <f t="shared" si="91"/>
        <v>47.563943976696848</v>
      </c>
      <c r="K983">
        <f t="shared" si="92"/>
        <v>1.2238337530224972</v>
      </c>
      <c r="L983" s="4">
        <f>MIN(MAX(L982*(1+MAX(MIN(((B983-B982)/B982)/($K$7*卓尔金历!$N$40),0),-卓尔金历!$M$43))+MIN(MAX(((B983-B982)/B982)/($K$7*卓尔金历!$N$40),0),卓尔金历!$M$43),0),1)</f>
        <v>0.10515123443028607</v>
      </c>
      <c r="M983" s="4">
        <f>MIN(MAX(M982*(1+MAX(MIN(((B983-B982)/B982)/($K$7*30),0),-卓尔金历!$M$43))+MIN(MAX(((B983-B982)/B982)/($K$7*7),0),卓尔金历!$M$43),0),1)</f>
        <v>0.55257561721514303</v>
      </c>
      <c r="N983">
        <f t="shared" si="93"/>
        <v>89.883930663833524</v>
      </c>
      <c r="O983">
        <f t="shared" si="94"/>
        <v>131.2618915534168</v>
      </c>
      <c r="P983">
        <f t="shared" si="95"/>
        <v>-5.8567079070098012E-2</v>
      </c>
      <c r="Q983">
        <f t="shared" si="96"/>
        <v>0.16015427694264517</v>
      </c>
      <c r="R983">
        <f t="shared" si="97"/>
        <v>1</v>
      </c>
      <c r="S983">
        <f t="shared" ref="S983:S1046" si="99">S982*(1+(B983-B982)/B982*H982*R982)</f>
        <v>5.4709331151754199</v>
      </c>
      <c r="T983" s="564">
        <f>IF((I983-MAX(I$470:I983))/MAX(I$470:I983)&gt;T982,T982,(I983-MAX(I$470:I983))/MAX(I$470:I983))</f>
        <v>-0.91338805338419748</v>
      </c>
      <c r="U983" s="564">
        <f>IF((J983-MAX(J$470:J983))/MAX(J$470:J983)&gt;U982,U982,(J983-MAX(J$470:J983))/MAX(J$470:J983))</f>
        <v>-0.70280130434782617</v>
      </c>
      <c r="V983" s="564">
        <f>IF((K983-MAX(K$470:K983))/MAX(K$470:K983)&gt;V982,V982,(K983-MAX(K$470:K983))/MAX(K$470:K983))</f>
        <v>-0.80725522782524772</v>
      </c>
      <c r="W983" s="564">
        <f>IF((N983-MAX(N$470:N983))/MAX(N$470:N983)&gt;W982,W982,(N983-MAX(N$470:N983))/MAX(N$470:N983))</f>
        <v>-0.62788758315546067</v>
      </c>
      <c r="X983" s="564">
        <f>IF((O983-MAX(O$470:O983))/MAX(O$470:O983)&gt;X982,X982,(O983-MAX(O$470:O983))/MAX(O$470:O983))</f>
        <v>-0.62788758315546067</v>
      </c>
    </row>
    <row r="984" spans="1:24">
      <c r="A984" s="799">
        <v>41386</v>
      </c>
      <c r="B984">
        <v>127.4</v>
      </c>
      <c r="C984">
        <v>123.763797</v>
      </c>
      <c r="D984">
        <v>3.0734180000000002</v>
      </c>
      <c r="E984">
        <f>LN(D984/参数实验室!$E$53)/参数实验室!$E$55</f>
        <v>0.63164720164833621</v>
      </c>
      <c r="F984">
        <f t="shared" si="98"/>
        <v>0.97145837519623224</v>
      </c>
      <c r="G984">
        <f>LN(F984/参数实验室!$E$58)/参数实验室!$E$59</f>
        <v>-0.20572814812206783</v>
      </c>
      <c r="H984" s="856">
        <f>INDEX(神经网络!$G$10:$BO$70,MATCH(ROUND(G984*2,1)/2,神经网络!$E$10:$E$70,0),MATCH(ROUND(E984*2,1)/2,神经网络!$G$8:$BO$8,0))</f>
        <v>1.8642816021898718</v>
      </c>
      <c r="I984">
        <f t="shared" ref="I984:I1047" si="100">I983*(1+(B984-B983)/B983*H983)</f>
        <v>65.104338797205386</v>
      </c>
      <c r="J984">
        <f t="shared" ref="J984:J1047" si="101">J983*B984/B983</f>
        <v>50.835960256972974</v>
      </c>
      <c r="K984">
        <f t="shared" ref="K984:K1047" si="102">I984/J984</f>
        <v>1.2806749094166128</v>
      </c>
      <c r="L984" s="4">
        <f>MIN(MAX(L983*(1+MAX(MIN(((B984-B983)/B983)/($K$7*卓尔金历!$N$40),0),-卓尔金历!$M$43))+MIN(MAX(((B984-B983)/B983)/($K$7*卓尔金历!$N$40),0),卓尔金历!$M$43),0),1)</f>
        <v>1</v>
      </c>
      <c r="M984" s="4">
        <f>MIN(MAX(M983*(1+MAX(MIN(((B984-B983)/B983)/($K$7*30),0),-卓尔金历!$M$43))+MIN(MAX(((B984-B983)/B983)/($K$7*7),0),卓尔金历!$M$43),0),1)</f>
        <v>1</v>
      </c>
      <c r="N984">
        <f t="shared" ref="N984:N1047" si="103">N983*(1+(B984-B983)/B983*H983*L983)</f>
        <v>91.003281131688524</v>
      </c>
      <c r="O984">
        <f t="shared" ref="O984:O1047" si="104">O983*(1+(B984-B983)/B983*H983*M983)</f>
        <v>139.85202735043998</v>
      </c>
      <c r="P984">
        <f t="shared" ref="P984:P1047" si="105">(B984-B983)/B983</f>
        <v>6.8791946308724858E-2</v>
      </c>
      <c r="Q984">
        <f t="shared" si="96"/>
        <v>0.15913415989629709</v>
      </c>
      <c r="R984">
        <f t="shared" si="97"/>
        <v>1</v>
      </c>
      <c r="S984">
        <f t="shared" si="99"/>
        <v>6.1188675463632682</v>
      </c>
      <c r="T984" s="564">
        <f>IF((I984-MAX(I$470:I984))/MAX(I$470:I984)&gt;T983,T983,(I984-MAX(I$470:I984))/MAX(I$470:I984))</f>
        <v>-0.91338805338419748</v>
      </c>
      <c r="U984" s="564">
        <f>IF((J984-MAX(J$470:J984))/MAX(J$470:J984)&gt;U983,U983,(J984-MAX(J$470:J984))/MAX(J$470:J984))</f>
        <v>-0.70280130434782617</v>
      </c>
      <c r="V984" s="564">
        <f>IF((K984-MAX(K$470:K984))/MAX(K$470:K984)&gt;V983,V983,(K984-MAX(K$470:K984))/MAX(K$470:K984))</f>
        <v>-0.80725522782524772</v>
      </c>
      <c r="W984" s="564">
        <f>IF((N984-MAX(N$470:N984))/MAX(N$470:N984)&gt;W983,W983,(N984-MAX(N$470:N984))/MAX(N$470:N984))</f>
        <v>-0.62788758315546067</v>
      </c>
      <c r="X984" s="564">
        <f>IF((O984-MAX(O$470:O984))/MAX(O$470:O984)&gt;X983,X983,(O984-MAX(O$470:O984))/MAX(O$470:O984))</f>
        <v>-0.62788758315546067</v>
      </c>
    </row>
    <row r="985" spans="1:24">
      <c r="A985" s="799">
        <v>41387</v>
      </c>
      <c r="B985">
        <v>143.47499999999999</v>
      </c>
      <c r="C985">
        <v>125.50584600000001</v>
      </c>
      <c r="D985">
        <v>3.3829250000000002</v>
      </c>
      <c r="E985">
        <f>LN(D985/参数实验室!$E$53)/参数实验室!$E$55</f>
        <v>0.74484502391581309</v>
      </c>
      <c r="F985">
        <f t="shared" si="98"/>
        <v>0.8747575953998955</v>
      </c>
      <c r="G985">
        <f>LN(F985/参数实验室!$E$58)/参数实验室!$E$59</f>
        <v>-0.26075993842015877</v>
      </c>
      <c r="H985" s="856">
        <f>INDEX(神经网络!$G$10:$BO$70,MATCH(ROUND(G985*2,1)/2,神经网络!$E$10:$E$70,0),MATCH(ROUND(E985*2,1)/2,神经网络!$G$8:$BO$8,0))</f>
        <v>1.9567403635001419</v>
      </c>
      <c r="I985">
        <f t="shared" si="100"/>
        <v>80.418845062951362</v>
      </c>
      <c r="J985">
        <f t="shared" si="101"/>
        <v>57.250309245441102</v>
      </c>
      <c r="K985">
        <f t="shared" si="102"/>
        <v>1.404688395973253</v>
      </c>
      <c r="L985" s="4">
        <f>MIN(MAX(L984*(1+MAX(MIN(((B985-B984)/B984)/($K$7*卓尔金历!$N$40),0),-卓尔金历!$M$43))+MIN(MAX(((B985-B984)/B984)/($K$7*卓尔金历!$N$40),0),卓尔金历!$M$43),0),1)</f>
        <v>1</v>
      </c>
      <c r="M985" s="4">
        <f>MIN(MAX(M984*(1+MAX(MIN(((B985-B984)/B984)/($K$7*30),0),-卓尔金历!$M$43))+MIN(MAX(((B985-B984)/B984)/($K$7*7),0),卓尔金历!$M$43),0),1)</f>
        <v>1</v>
      </c>
      <c r="N985">
        <f t="shared" si="103"/>
        <v>112.41000063522044</v>
      </c>
      <c r="O985">
        <f t="shared" si="104"/>
        <v>172.74944691885014</v>
      </c>
      <c r="P985">
        <f t="shared" si="105"/>
        <v>0.12617739403453679</v>
      </c>
      <c r="Q985">
        <f t="shared" si="96"/>
        <v>0.15886763815294033</v>
      </c>
      <c r="R985">
        <f t="shared" si="97"/>
        <v>0.4261784841478608</v>
      </c>
      <c r="S985">
        <f t="shared" si="99"/>
        <v>7.558209948256648</v>
      </c>
      <c r="T985" s="564">
        <f>IF((I985-MAX(I$470:I985))/MAX(I$470:I985)&gt;T984,T984,(I985-MAX(I$470:I985))/MAX(I$470:I985))</f>
        <v>-0.91338805338419748</v>
      </c>
      <c r="U985" s="564">
        <f>IF((J985-MAX(J$470:J985))/MAX(J$470:J985)&gt;U984,U984,(J985-MAX(J$470:J985))/MAX(J$470:J985))</f>
        <v>-0.70280130434782617</v>
      </c>
      <c r="V985" s="564">
        <f>IF((K985-MAX(K$470:K985))/MAX(K$470:K985)&gt;V984,V984,(K985-MAX(K$470:K985))/MAX(K$470:K985))</f>
        <v>-0.80725522782524772</v>
      </c>
      <c r="W985" s="564">
        <f>IF((N985-MAX(N$470:N985))/MAX(N$470:N985)&gt;W984,W984,(N985-MAX(N$470:N985))/MAX(N$470:N985))</f>
        <v>-0.62788758315546067</v>
      </c>
      <c r="X985" s="564">
        <f>IF((O985-MAX(O$470:O985))/MAX(O$470:O985)&gt;X984,X984,(O985-MAX(O$470:O985))/MAX(O$470:O985))</f>
        <v>-0.62788758315546067</v>
      </c>
    </row>
    <row r="986" spans="1:24">
      <c r="A986" s="799">
        <v>41388</v>
      </c>
      <c r="B986">
        <v>154.19999999999999</v>
      </c>
      <c r="C986">
        <v>124.29369699999999</v>
      </c>
      <c r="D986">
        <v>3.5099670000000001</v>
      </c>
      <c r="E986">
        <f>LN(D986/参数实验室!$E$53)/参数实验室!$E$55</f>
        <v>0.788337707723888</v>
      </c>
      <c r="F986">
        <f t="shared" si="98"/>
        <v>0.80605510376134892</v>
      </c>
      <c r="G986">
        <f>LN(F986/参数实验室!$E$58)/参数实验室!$E$59</f>
        <v>-0.30369022110683958</v>
      </c>
      <c r="H986" s="856">
        <f>INDEX(神经网络!$G$10:$BO$70,MATCH(ROUND(G986*2,1)/2,神经网络!$E$10:$E$70,0),MATCH(ROUND(E986*2,1)/2,神经网络!$G$8:$BO$8,0))</f>
        <v>1.9854657261559177</v>
      </c>
      <c r="I986">
        <f t="shared" si="100"/>
        <v>92.181682709195982</v>
      </c>
      <c r="J986">
        <f t="shared" si="101"/>
        <v>61.529867124216878</v>
      </c>
      <c r="K986">
        <f t="shared" si="102"/>
        <v>1.4981615761187819</v>
      </c>
      <c r="L986" s="4">
        <f>MIN(MAX(L985*(1+MAX(MIN(((B986-B985)/B985)/($K$7*卓尔金历!$N$40),0),-卓尔金历!$M$43))+MIN(MAX(((B986-B985)/B985)/($K$7*卓尔金历!$N$40),0),卓尔金历!$M$43),0),1)</f>
        <v>1</v>
      </c>
      <c r="M986" s="4">
        <f>MIN(MAX(M985*(1+MAX(MIN(((B986-B985)/B985)/($K$7*30),0),-卓尔金历!$M$43))+MIN(MAX(((B986-B985)/B985)/($K$7*7),0),卓尔金历!$M$43),0),1)</f>
        <v>1</v>
      </c>
      <c r="N986">
        <f t="shared" si="103"/>
        <v>128.85217393740223</v>
      </c>
      <c r="O986">
        <f t="shared" si="104"/>
        <v>198.01745090466133</v>
      </c>
      <c r="P986">
        <f t="shared" si="105"/>
        <v>7.475169890224774E-2</v>
      </c>
      <c r="Q986">
        <f t="shared" si="96"/>
        <v>0.15700272368132531</v>
      </c>
      <c r="R986">
        <f t="shared" si="97"/>
        <v>1</v>
      </c>
      <c r="S986">
        <f t="shared" si="99"/>
        <v>8.0293659664493333</v>
      </c>
      <c r="T986" s="564">
        <f>IF((I986-MAX(I$470:I986))/MAX(I$470:I986)&gt;T985,T985,(I986-MAX(I$470:I986))/MAX(I$470:I986))</f>
        <v>-0.91338805338419748</v>
      </c>
      <c r="U986" s="564">
        <f>IF((J986-MAX(J$470:J986))/MAX(J$470:J986)&gt;U985,U985,(J986-MAX(J$470:J986))/MAX(J$470:J986))</f>
        <v>-0.70280130434782617</v>
      </c>
      <c r="V986" s="564">
        <f>IF((K986-MAX(K$470:K986))/MAX(K$470:K986)&gt;V985,V985,(K986-MAX(K$470:K986))/MAX(K$470:K986))</f>
        <v>-0.80725522782524772</v>
      </c>
      <c r="W986" s="564">
        <f>IF((N986-MAX(N$470:N986))/MAX(N$470:N986)&gt;W985,W985,(N986-MAX(N$470:N986))/MAX(N$470:N986))</f>
        <v>-0.62788758315546067</v>
      </c>
      <c r="X986" s="564">
        <f>IF((O986-MAX(O$470:O986))/MAX(O$470:O986)&gt;X985,X985,(O986-MAX(O$470:O986))/MAX(O$470:O986))</f>
        <v>-0.62788758315546067</v>
      </c>
    </row>
    <row r="987" spans="1:24">
      <c r="A987" s="799">
        <v>41389</v>
      </c>
      <c r="B987">
        <v>141.71</v>
      </c>
      <c r="C987">
        <v>122.884829</v>
      </c>
      <c r="D987">
        <v>3.161562</v>
      </c>
      <c r="E987">
        <f>LN(D987/参数实验室!$E$53)/参数实验室!$E$55</f>
        <v>0.66500580048645896</v>
      </c>
      <c r="F987">
        <f t="shared" si="98"/>
        <v>0.86715707430668254</v>
      </c>
      <c r="G987">
        <f>LN(F987/参数实验室!$E$58)/参数实验室!$E$59</f>
        <v>-0.26534017373349594</v>
      </c>
      <c r="H987" s="856">
        <f>INDEX(神经网络!$G$10:$BO$70,MATCH(ROUND(G987*2,1)/2,神经网络!$E$10:$E$70,0),MATCH(ROUND(E987*2,1)/2,神经网络!$G$8:$BO$8,0))</f>
        <v>1.8309064914754705</v>
      </c>
      <c r="I987">
        <f t="shared" si="100"/>
        <v>77.357010794376819</v>
      </c>
      <c r="J987">
        <f t="shared" si="101"/>
        <v>56.546027692430449</v>
      </c>
      <c r="K987">
        <f t="shared" si="102"/>
        <v>1.3680361636566778</v>
      </c>
      <c r="L987" s="4">
        <f>MIN(MAX(L986*(1+MAX(MIN(((B987-B986)/B986)/($K$7*卓尔金历!$N$40),0),-卓尔金历!$M$43))+MIN(MAX(((B987-B986)/B986)/($K$7*卓尔金历!$N$40),0),卓尔金历!$M$43),0),1)</f>
        <v>0</v>
      </c>
      <c r="M987" s="4">
        <f>MIN(MAX(M986*(1+MAX(MIN(((B987-B986)/B986)/($K$7*30),0),-卓尔金历!$M$43))+MIN(MAX(((B987-B986)/B986)/($K$7*7),0),卓尔金历!$M$43),0),1)</f>
        <v>0.38120877352908911</v>
      </c>
      <c r="N987">
        <f t="shared" si="103"/>
        <v>108.13014817270395</v>
      </c>
      <c r="O987">
        <f t="shared" si="104"/>
        <v>166.17225501763107</v>
      </c>
      <c r="P987">
        <f t="shared" si="105"/>
        <v>-8.099870298313866E-2</v>
      </c>
      <c r="Q987">
        <f t="shared" si="96"/>
        <v>0.15823952215793693</v>
      </c>
      <c r="R987">
        <f t="shared" si="97"/>
        <v>0.93182049668226608</v>
      </c>
      <c r="S987">
        <f t="shared" si="99"/>
        <v>6.7380821382712695</v>
      </c>
      <c r="T987" s="564">
        <f>IF((I987-MAX(I$470:I987))/MAX(I$470:I987)&gt;T986,T986,(I987-MAX(I$470:I987))/MAX(I$470:I987))</f>
        <v>-0.91338805338419748</v>
      </c>
      <c r="U987" s="564">
        <f>IF((J987-MAX(J$470:J987))/MAX(J$470:J987)&gt;U986,U986,(J987-MAX(J$470:J987))/MAX(J$470:J987))</f>
        <v>-0.70280130434782617</v>
      </c>
      <c r="V987" s="564">
        <f>IF((K987-MAX(K$470:K987))/MAX(K$470:K987)&gt;V986,V986,(K987-MAX(K$470:K987))/MAX(K$470:K987))</f>
        <v>-0.80725522782524772</v>
      </c>
      <c r="W987" s="564">
        <f>IF((N987-MAX(N$470:N987))/MAX(N$470:N987)&gt;W986,W986,(N987-MAX(N$470:N987))/MAX(N$470:N987))</f>
        <v>-0.62788758315546067</v>
      </c>
      <c r="X987" s="564">
        <f>IF((O987-MAX(O$470:O987))/MAX(O$470:O987)&gt;X986,X986,(O987-MAX(O$470:O987))/MAX(O$470:O987))</f>
        <v>-0.62788758315546067</v>
      </c>
    </row>
    <row r="988" spans="1:24">
      <c r="A988" s="799">
        <v>41390</v>
      </c>
      <c r="B988">
        <v>136.9</v>
      </c>
      <c r="C988">
        <v>120.12283499999999</v>
      </c>
      <c r="D988">
        <v>3.058344</v>
      </c>
      <c r="E988">
        <f>LN(D988/参数实验室!$E$53)/参数实验室!$E$55</f>
        <v>0.62584670377361162</v>
      </c>
      <c r="F988">
        <f t="shared" si="98"/>
        <v>0.87744948867786698</v>
      </c>
      <c r="G988">
        <f>LN(F988/参数实验室!$E$58)/参数实验室!$E$59</f>
        <v>-0.25914728407712539</v>
      </c>
      <c r="H988" s="856">
        <f>INDEX(神经网络!$G$10:$BO$70,MATCH(ROUND(G988*2,1)/2,神经网络!$E$10:$E$70,0),MATCH(ROUND(E988*2,1)/2,神经网络!$G$8:$BO$8,0))</f>
        <v>1.8309064914754705</v>
      </c>
      <c r="I988">
        <f t="shared" si="100"/>
        <v>72.549608987798976</v>
      </c>
      <c r="J988">
        <f t="shared" si="101"/>
        <v>54.626710825585548</v>
      </c>
      <c r="K988">
        <f t="shared" si="102"/>
        <v>1.3280976996663483</v>
      </c>
      <c r="L988" s="4">
        <f>MIN(MAX(L987*(1+MAX(MIN(((B988-B987)/B987)/($K$7*卓尔金历!$N$40),0),-卓尔金历!$M$43))+MIN(MAX(((B988-B987)/B987)/($K$7*卓尔金历!$N$40),0),卓尔金历!$M$43),0),1)</f>
        <v>0</v>
      </c>
      <c r="M988" s="4">
        <f>MIN(MAX(M987*(1+MAX(MIN(((B988-B987)/B987)/($K$7*30),0),-卓尔金历!$M$43))+MIN(MAX(((B988-B987)/B987)/($K$7*7),0),卓尔金历!$M$43),0),1)</f>
        <v>0.28235948484658452</v>
      </c>
      <c r="N988">
        <f t="shared" si="103"/>
        <v>108.13014817270395</v>
      </c>
      <c r="O988">
        <f t="shared" si="104"/>
        <v>162.23555661841212</v>
      </c>
      <c r="P988">
        <f t="shared" si="105"/>
        <v>-3.3942558746736309E-2</v>
      </c>
      <c r="Q988">
        <f t="shared" si="96"/>
        <v>0.15796282116692931</v>
      </c>
      <c r="R988">
        <f t="shared" si="97"/>
        <v>1</v>
      </c>
      <c r="S988">
        <f t="shared" si="99"/>
        <v>6.3478892921103842</v>
      </c>
      <c r="T988" s="564">
        <f>IF((I988-MAX(I$470:I988))/MAX(I$470:I988)&gt;T987,T987,(I988-MAX(I$470:I988))/MAX(I$470:I988))</f>
        <v>-0.91338805338419748</v>
      </c>
      <c r="U988" s="564">
        <f>IF((J988-MAX(J$470:J988))/MAX(J$470:J988)&gt;U987,U987,(J988-MAX(J$470:J988))/MAX(J$470:J988))</f>
        <v>-0.70280130434782617</v>
      </c>
      <c r="V988" s="564">
        <f>IF((K988-MAX(K$470:K988))/MAX(K$470:K988)&gt;V987,V987,(K988-MAX(K$470:K988))/MAX(K$470:K988))</f>
        <v>-0.80725522782524772</v>
      </c>
      <c r="W988" s="564">
        <f>IF((N988-MAX(N$470:N988))/MAX(N$470:N988)&gt;W987,W987,(N988-MAX(N$470:N988))/MAX(N$470:N988))</f>
        <v>-0.62788758315546067</v>
      </c>
      <c r="X988" s="564">
        <f>IF((O988-MAX(O$470:O988))/MAX(O$470:O988)&gt;X987,X987,(O988-MAX(O$470:O988))/MAX(O$470:O988))</f>
        <v>-0.62788758315546067</v>
      </c>
    </row>
    <row r="989" spans="1:24">
      <c r="A989" s="799">
        <v>41391</v>
      </c>
      <c r="B989">
        <v>128.0001</v>
      </c>
      <c r="C989">
        <v>122.87945499999999</v>
      </c>
      <c r="D989">
        <v>2.837396</v>
      </c>
      <c r="E989">
        <f>LN(D989/参数实验室!$E$53)/参数实验室!$E$55</f>
        <v>0.53738070906934887</v>
      </c>
      <c r="F989">
        <f t="shared" si="98"/>
        <v>0.95999499219141227</v>
      </c>
      <c r="G989">
        <f>LN(F989/参数实验室!$E$58)/参数实验室!$E$59</f>
        <v>-0.21195835141509375</v>
      </c>
      <c r="H989" s="856">
        <f>INDEX(神经网络!$G$10:$BO$70,MATCH(ROUND(G989*2,1)/2,神经网络!$E$10:$E$70,0),MATCH(ROUND(E989*2,1)/2,神经网络!$G$8:$BO$8,0))</f>
        <v>1.7215992175652799</v>
      </c>
      <c r="I989">
        <f t="shared" si="100"/>
        <v>63.914199840334163</v>
      </c>
      <c r="J989">
        <f t="shared" si="101"/>
        <v>51.075415984996582</v>
      </c>
      <c r="K989">
        <f t="shared" si="102"/>
        <v>1.2513691490855205</v>
      </c>
      <c r="L989" s="4">
        <f>MIN(MAX(L988*(1+MAX(MIN(((B989-B988)/B988)/($K$7*卓尔金历!$N$40),0),-卓尔金历!$M$43))+MIN(MAX(((B989-B988)/B988)/($K$7*卓尔金历!$N$40),0),卓尔金历!$M$43),0),1)</f>
        <v>0</v>
      </c>
      <c r="M989" s="4">
        <f>MIN(MAX(M988*(1+MAX(MIN(((B989-B988)/B988)/($K$7*30),0),-卓尔金历!$M$43))+MIN(MAX(((B989-B988)/B988)/($K$7*7),0),卓尔金历!$M$43),0),1)</f>
        <v>0.14212651150865971</v>
      </c>
      <c r="N989">
        <f t="shared" si="103"/>
        <v>108.13014817270395</v>
      </c>
      <c r="O989">
        <f t="shared" si="104"/>
        <v>156.78304917312295</v>
      </c>
      <c r="P989">
        <f t="shared" si="105"/>
        <v>-6.5010226442658886E-2</v>
      </c>
      <c r="Q989">
        <f t="shared" si="96"/>
        <v>0.15878197344074349</v>
      </c>
      <c r="R989">
        <f t="shared" si="97"/>
        <v>1</v>
      </c>
      <c r="S989">
        <f t="shared" si="99"/>
        <v>5.5923149751019672</v>
      </c>
      <c r="T989" s="564">
        <f>IF((I989-MAX(I$470:I989))/MAX(I$470:I989)&gt;T988,T988,(I989-MAX(I$470:I989))/MAX(I$470:I989))</f>
        <v>-0.91338805338419748</v>
      </c>
      <c r="U989" s="564">
        <f>IF((J989-MAX(J$470:J989))/MAX(J$470:J989)&gt;U988,U988,(J989-MAX(J$470:J989))/MAX(J$470:J989))</f>
        <v>-0.70280130434782617</v>
      </c>
      <c r="V989" s="564">
        <f>IF((K989-MAX(K$470:K989))/MAX(K$470:K989)&gt;V988,V988,(K989-MAX(K$470:K989))/MAX(K$470:K989))</f>
        <v>-0.80725522782524772</v>
      </c>
      <c r="W989" s="564">
        <f>IF((N989-MAX(N$470:N989))/MAX(N$470:N989)&gt;W988,W988,(N989-MAX(N$470:N989))/MAX(N$470:N989))</f>
        <v>-0.62788758315546067</v>
      </c>
      <c r="X989" s="564">
        <f>IF((O989-MAX(O$470:O989))/MAX(O$470:O989)&gt;X988,X988,(O989-MAX(O$470:O989))/MAX(O$470:O989))</f>
        <v>-0.62788758315546067</v>
      </c>
    </row>
    <row r="990" spans="1:24">
      <c r="A990" s="799">
        <v>41392</v>
      </c>
      <c r="B990">
        <v>134.4444</v>
      </c>
      <c r="C990">
        <v>122.81927899999999</v>
      </c>
      <c r="D990">
        <v>2.9627089999999998</v>
      </c>
      <c r="E990">
        <f>LN(D990/参数实验室!$E$53)/参数实验室!$E$55</f>
        <v>0.58836648529880597</v>
      </c>
      <c r="F990">
        <f t="shared" si="98"/>
        <v>0.91353212926681959</v>
      </c>
      <c r="G990">
        <f>LN(F990/参数实验室!$E$58)/参数实验室!$E$59</f>
        <v>-0.23799610917664485</v>
      </c>
      <c r="H990" s="856">
        <f>INDEX(神经网络!$G$10:$BO$70,MATCH(ROUND(G990*2,1)/2,神经网络!$E$10:$E$70,0),MATCH(ROUND(E990*2,1)/2,神经网络!$G$8:$BO$8,0))</f>
        <v>1.7574855347110234</v>
      </c>
      <c r="I990">
        <f t="shared" si="100"/>
        <v>69.454009634133442</v>
      </c>
      <c r="J990">
        <f t="shared" si="101"/>
        <v>53.646861657555533</v>
      </c>
      <c r="K990">
        <f t="shared" si="102"/>
        <v>1.2946518675683176</v>
      </c>
      <c r="L990" s="4">
        <f>MIN(MAX(L989*(1+MAX(MIN(((B990-B989)/B989)/($K$7*卓尔金历!$N$40),0),-卓尔金历!$M$43))+MIN(MAX(((B990-B989)/B989)/($K$7*卓尔金历!$N$40),0),卓尔金历!$M$43),0),1)</f>
        <v>0.76923939799978192</v>
      </c>
      <c r="M990" s="4">
        <f>MIN(MAX(M989*(1+MAX(MIN(((B990-B989)/B989)/($K$7*30),0),-卓尔金历!$M$43))+MIN(MAX(((B990-B989)/B989)/($K$7*7),0),卓尔金历!$M$43),0),1)</f>
        <v>1</v>
      </c>
      <c r="N990">
        <f t="shared" si="103"/>
        <v>108.13014817270395</v>
      </c>
      <c r="O990">
        <f t="shared" si="104"/>
        <v>158.71444683102501</v>
      </c>
      <c r="P990">
        <f t="shared" si="105"/>
        <v>5.0346054417144973E-2</v>
      </c>
      <c r="Q990">
        <f t="shared" si="96"/>
        <v>0.1564359936400597</v>
      </c>
      <c r="R990">
        <f t="shared" si="97"/>
        <v>1</v>
      </c>
      <c r="S990">
        <f t="shared" si="99"/>
        <v>6.0770329461705739</v>
      </c>
      <c r="T990" s="564">
        <f>IF((I990-MAX(I$470:I990))/MAX(I$470:I990)&gt;T989,T989,(I990-MAX(I$470:I990))/MAX(I$470:I990))</f>
        <v>-0.91338805338419748</v>
      </c>
      <c r="U990" s="564">
        <f>IF((J990-MAX(J$470:J990))/MAX(J$470:J990)&gt;U989,U989,(J990-MAX(J$470:J990))/MAX(J$470:J990))</f>
        <v>-0.70280130434782617</v>
      </c>
      <c r="V990" s="564">
        <f>IF((K990-MAX(K$470:K990))/MAX(K$470:K990)&gt;V989,V989,(K990-MAX(K$470:K990))/MAX(K$470:K990))</f>
        <v>-0.80725522782524772</v>
      </c>
      <c r="W990" s="564">
        <f>IF((N990-MAX(N$470:N990))/MAX(N$470:N990)&gt;W989,W989,(N990-MAX(N$470:N990))/MAX(N$470:N990))</f>
        <v>-0.62788758315546067</v>
      </c>
      <c r="X990" s="564">
        <f>IF((O990-MAX(O$470:O990))/MAX(O$470:O990)&gt;X989,X989,(O990-MAX(O$470:O990))/MAX(O$470:O990))</f>
        <v>-0.62788758315546067</v>
      </c>
    </row>
    <row r="991" spans="1:24">
      <c r="A991" s="799">
        <v>41393</v>
      </c>
      <c r="B991">
        <v>135.30000000000001</v>
      </c>
      <c r="C991">
        <v>122.904218</v>
      </c>
      <c r="D991">
        <v>3.1196630000000001</v>
      </c>
      <c r="E991">
        <f>LN(D991/参数实验室!$E$53)/参数实验室!$E$55</f>
        <v>0.64926644571483916</v>
      </c>
      <c r="F991">
        <f t="shared" si="98"/>
        <v>0.90838298595713218</v>
      </c>
      <c r="G991">
        <f>LN(F991/参数实验室!$E$58)/参数实验室!$E$59</f>
        <v>-0.24096282903920088</v>
      </c>
      <c r="H991" s="856">
        <f>INDEX(神经网络!$G$10:$BO$70,MATCH(ROUND(G991*2,1)/2,神经网络!$E$10:$E$70,0),MATCH(ROUND(E991*2,1)/2,神经网络!$G$8:$BO$8,0))</f>
        <v>1.8309064914754705</v>
      </c>
      <c r="I991">
        <f t="shared" si="100"/>
        <v>70.23082380718472</v>
      </c>
      <c r="J991">
        <f t="shared" si="101"/>
        <v>53.988268624556056</v>
      </c>
      <c r="K991">
        <f t="shared" si="102"/>
        <v>1.3008534186488228</v>
      </c>
      <c r="L991" s="4">
        <f>MIN(MAX(L990*(1+MAX(MIN(((B991-B990)/B990)/($K$7*卓尔金历!$N$40),0),-卓尔金历!$M$43))+MIN(MAX(((B991-B990)/B990)/($K$7*卓尔金历!$N$40),0),卓尔金历!$M$43),0),1)</f>
        <v>0.86647473797751073</v>
      </c>
      <c r="M991" s="4">
        <f>MIN(MAX(M990*(1+MAX(MIN(((B991-B990)/B990)/($K$7*30),0),-卓尔金历!$M$43))+MIN(MAX(((B991-B990)/B990)/($K$7*7),0),卓尔金历!$M$43),0),1)</f>
        <v>1</v>
      </c>
      <c r="N991">
        <f t="shared" si="103"/>
        <v>109.06045912795057</v>
      </c>
      <c r="O991">
        <f t="shared" si="104"/>
        <v>160.48960182086364</v>
      </c>
      <c r="P991">
        <f t="shared" si="105"/>
        <v>6.3639690459402522E-3</v>
      </c>
      <c r="Q991">
        <f t="shared" si="96"/>
        <v>0.15272095369569524</v>
      </c>
      <c r="R991">
        <f t="shared" si="97"/>
        <v>1</v>
      </c>
      <c r="S991">
        <f t="shared" si="99"/>
        <v>6.1450020288420051</v>
      </c>
      <c r="T991" s="564">
        <f>IF((I991-MAX(I$470:I991))/MAX(I$470:I991)&gt;T990,T990,(I991-MAX(I$470:I991))/MAX(I$470:I991))</f>
        <v>-0.91338805338419748</v>
      </c>
      <c r="U991" s="564">
        <f>IF((J991-MAX(J$470:J991))/MAX(J$470:J991)&gt;U990,U990,(J991-MAX(J$470:J991))/MAX(J$470:J991))</f>
        <v>-0.70280130434782617</v>
      </c>
      <c r="V991" s="564">
        <f>IF((K991-MAX(K$470:K991))/MAX(K$470:K991)&gt;V990,V990,(K991-MAX(K$470:K991))/MAX(K$470:K991))</f>
        <v>-0.80725522782524772</v>
      </c>
      <c r="W991" s="564">
        <f>IF((N991-MAX(N$470:N991))/MAX(N$470:N991)&gt;W990,W990,(N991-MAX(N$470:N991))/MAX(N$470:N991))</f>
        <v>-0.62788758315546067</v>
      </c>
      <c r="X991" s="564">
        <f>IF((O991-MAX(O$470:O991))/MAX(O$470:O991)&gt;X990,X990,(O991-MAX(O$470:O991))/MAX(O$470:O991))</f>
        <v>-0.62788758315546067</v>
      </c>
    </row>
    <row r="992" spans="1:24">
      <c r="A992" s="799">
        <v>41394</v>
      </c>
      <c r="B992">
        <v>141.96</v>
      </c>
      <c r="C992">
        <v>124.5326</v>
      </c>
      <c r="D992">
        <v>3.0000680000000002</v>
      </c>
      <c r="E992">
        <f>LN(D992/参数实验室!$E$53)/参数实验室!$E$55</f>
        <v>0.60314985826966128</v>
      </c>
      <c r="F992">
        <f t="shared" si="98"/>
        <v>0.87723724992955754</v>
      </c>
      <c r="G992">
        <f>LN(F992/参数实验室!$E$58)/参数实验室!$E$59</f>
        <v>-0.25927425188652536</v>
      </c>
      <c r="H992" s="856">
        <f>INDEX(神经网络!$G$10:$BO$70,MATCH(ROUND(G992*2,1)/2,神经网络!$E$10:$E$70,0),MATCH(ROUND(E992*2,1)/2,神经网络!$G$8:$BO$8,0))</f>
        <v>1.7574855347110234</v>
      </c>
      <c r="I992">
        <f t="shared" si="100"/>
        <v>76.560337733720033</v>
      </c>
      <c r="J992">
        <f t="shared" si="101"/>
        <v>56.645784286341296</v>
      </c>
      <c r="K992">
        <f t="shared" si="102"/>
        <v>1.3515628514685536</v>
      </c>
      <c r="L992" s="4">
        <f>MIN(MAX(L991*(1+MAX(MIN(((B992-B991)/B991)/($K$7*卓尔金历!$N$40),0),-卓尔金历!$M$43))+MIN(MAX(((B992-B991)/B991)/($K$7*卓尔金历!$N$40),0),卓尔金历!$M$43),0),1)</f>
        <v>1</v>
      </c>
      <c r="M992" s="4">
        <f>MIN(MAX(M991*(1+MAX(MIN(((B992-B991)/B991)/($K$7*30),0),-卓尔金历!$M$43))+MIN(MAX(((B992-B991)/B991)/($K$7*7),0),卓尔金历!$M$43),0),1)</f>
        <v>1</v>
      </c>
      <c r="N992">
        <f t="shared" si="103"/>
        <v>117.57705077285713</v>
      </c>
      <c r="O992">
        <f t="shared" si="104"/>
        <v>174.95363790533489</v>
      </c>
      <c r="P992">
        <f t="shared" si="105"/>
        <v>4.9223946784922368E-2</v>
      </c>
      <c r="Q992">
        <f t="shared" si="96"/>
        <v>0.14442352767782807</v>
      </c>
      <c r="R992">
        <f t="shared" si="97"/>
        <v>1</v>
      </c>
      <c r="S992">
        <f t="shared" si="99"/>
        <v>6.6988169182547672</v>
      </c>
      <c r="T992" s="564">
        <f>IF((I992-MAX(I$470:I992))/MAX(I$470:I992)&gt;T991,T991,(I992-MAX(I$470:I992))/MAX(I$470:I992))</f>
        <v>-0.91338805338419748</v>
      </c>
      <c r="U992" s="564">
        <f>IF((J992-MAX(J$470:J992))/MAX(J$470:J992)&gt;U991,U991,(J992-MAX(J$470:J992))/MAX(J$470:J992))</f>
        <v>-0.70280130434782617</v>
      </c>
      <c r="V992" s="564">
        <f>IF((K992-MAX(K$470:K992))/MAX(K$470:K992)&gt;V991,V991,(K992-MAX(K$470:K992))/MAX(K$470:K992))</f>
        <v>-0.80725522782524772</v>
      </c>
      <c r="W992" s="564">
        <f>IF((N992-MAX(N$470:N992))/MAX(N$470:N992)&gt;W991,W991,(N992-MAX(N$470:N992))/MAX(N$470:N992))</f>
        <v>-0.62788758315546067</v>
      </c>
      <c r="X992" s="564">
        <f>IF((O992-MAX(O$470:O992))/MAX(O$470:O992)&gt;X991,X991,(O992-MAX(O$470:O992))/MAX(O$470:O992))</f>
        <v>-0.62788758315546067</v>
      </c>
    </row>
    <row r="993" spans="1:24">
      <c r="A993" s="799">
        <v>41395</v>
      </c>
      <c r="B993">
        <v>135.30000000000001</v>
      </c>
      <c r="C993">
        <v>128.27946499999999</v>
      </c>
      <c r="D993">
        <v>2.5204740000000001</v>
      </c>
      <c r="E993">
        <f>LN(D993/参数实验室!$E$53)/参数实验室!$E$55</f>
        <v>0.39765102851780304</v>
      </c>
      <c r="F993">
        <f t="shared" si="98"/>
        <v>0.94811134515890594</v>
      </c>
      <c r="G993">
        <f>LN(F993/参数实验室!$E$58)/参数实验室!$E$59</f>
        <v>-0.21849599631817582</v>
      </c>
      <c r="H993" s="856">
        <f>INDEX(神经网络!$G$10:$BO$70,MATCH(ROUND(G993*2,1)/2,神经网络!$E$10:$E$70,0),MATCH(ROUND(E993*2,1)/2,神经网络!$G$8:$BO$8,0))</f>
        <v>1.4660757524313852</v>
      </c>
      <c r="I993">
        <f t="shared" si="100"/>
        <v>70.247802164381071</v>
      </c>
      <c r="J993">
        <f t="shared" si="101"/>
        <v>53.988268624556056</v>
      </c>
      <c r="K993">
        <f t="shared" si="102"/>
        <v>1.3011679009915409</v>
      </c>
      <c r="L993" s="4">
        <f>MIN(MAX(L992*(1+MAX(MIN(((B993-B992)/B992)/($K$7*卓尔金历!$N$40),0),-卓尔金历!$M$43))+MIN(MAX(((B993-B992)/B992)/($K$7*卓尔金历!$N$40),0),卓尔金历!$M$43),0),1)</f>
        <v>0.28318956835653375</v>
      </c>
      <c r="M993" s="4">
        <f>MIN(MAX(M992*(1+MAX(MIN(((B993-B992)/B992)/($K$7*30),0),-卓尔金历!$M$43))+MIN(MAX(((B993-B992)/B992)/($K$7*7),0),卓尔金历!$M$43),0),1)</f>
        <v>0.64159478417826687</v>
      </c>
      <c r="N993">
        <f t="shared" si="103"/>
        <v>107.8826145006052</v>
      </c>
      <c r="O993">
        <f t="shared" si="104"/>
        <v>160.52840030902453</v>
      </c>
      <c r="P993">
        <f t="shared" si="105"/>
        <v>-4.6914623837700731E-2</v>
      </c>
      <c r="Q993">
        <f t="shared" si="96"/>
        <v>0.1315563348446333</v>
      </c>
      <c r="R993">
        <f t="shared" si="97"/>
        <v>1</v>
      </c>
      <c r="S993">
        <f t="shared" si="99"/>
        <v>6.1464875879421577</v>
      </c>
      <c r="T993" s="564">
        <f>IF((I993-MAX(I$470:I993))/MAX(I$470:I993)&gt;T992,T992,(I993-MAX(I$470:I993))/MAX(I$470:I993))</f>
        <v>-0.91338805338419748</v>
      </c>
      <c r="U993" s="564">
        <f>IF((J993-MAX(J$470:J993))/MAX(J$470:J993)&gt;U992,U992,(J993-MAX(J$470:J993))/MAX(J$470:J993))</f>
        <v>-0.70280130434782617</v>
      </c>
      <c r="V993" s="564">
        <f>IF((K993-MAX(K$470:K993))/MAX(K$470:K993)&gt;V992,V992,(K993-MAX(K$470:K993))/MAX(K$470:K993))</f>
        <v>-0.80725522782524772</v>
      </c>
      <c r="W993" s="564">
        <f>IF((N993-MAX(N$470:N993))/MAX(N$470:N993)&gt;W992,W992,(N993-MAX(N$470:N993))/MAX(N$470:N993))</f>
        <v>-0.62788758315546067</v>
      </c>
      <c r="X993" s="564">
        <f>IF((O993-MAX(O$470:O993))/MAX(O$470:O993)&gt;X992,X992,(O993-MAX(O$470:O993))/MAX(O$470:O993))</f>
        <v>-0.62788758315546067</v>
      </c>
    </row>
    <row r="994" spans="1:24">
      <c r="A994" s="799">
        <v>41396</v>
      </c>
      <c r="B994">
        <v>117</v>
      </c>
      <c r="C994">
        <v>132.158514</v>
      </c>
      <c r="D994">
        <v>2.321008</v>
      </c>
      <c r="E994">
        <f>LN(D994/参数实验室!$E$53)/参数实验室!$E$55</f>
        <v>0.30038579452175324</v>
      </c>
      <c r="F994">
        <f t="shared" si="98"/>
        <v>1.1295599487179486</v>
      </c>
      <c r="G994">
        <f>LN(F994/参数实验室!$E$58)/参数实验室!$E$59</f>
        <v>-0.12658803755536086</v>
      </c>
      <c r="H994" s="856">
        <f>INDEX(神经网络!$G$10:$BO$70,MATCH(ROUND(G994*2,1)/2,神经网络!$E$10:$E$70,0),MATCH(ROUND(E994*2,1)/2,神经网络!$G$8:$BO$8,0))</f>
        <v>1.3303819157174839</v>
      </c>
      <c r="I994">
        <f t="shared" si="100"/>
        <v>56.318080292313297</v>
      </c>
      <c r="J994">
        <f t="shared" si="101"/>
        <v>46.686085950281289</v>
      </c>
      <c r="K994">
        <f t="shared" si="102"/>
        <v>1.206314025816807</v>
      </c>
      <c r="L994" s="4">
        <f>MIN(MAX(L993*(1+MAX(MIN(((B994-B993)/B993)/($K$7*卓尔金历!$N$40),0),-卓尔金历!$M$43))+MIN(MAX(((B994-B993)/B993)/($K$7*卓尔金历!$N$40),0),卓尔金历!$M$43),0),1)</f>
        <v>0</v>
      </c>
      <c r="M994" s="4">
        <f>MIN(MAX(M993*(1+MAX(MIN(((B994-B993)/B993)/($K$7*30),0),-卓尔金历!$M$43))+MIN(MAX(((B994-B993)/B993)/($K$7*7),0),卓尔金历!$M$43),0),1)</f>
        <v>0</v>
      </c>
      <c r="N994">
        <f t="shared" si="103"/>
        <v>101.82448687190727</v>
      </c>
      <c r="O994">
        <f t="shared" si="104"/>
        <v>140.10526537464952</v>
      </c>
      <c r="P994">
        <f t="shared" si="105"/>
        <v>-0.13525498891352558</v>
      </c>
      <c r="Q994">
        <f t="shared" si="96"/>
        <v>0.12389139495343575</v>
      </c>
      <c r="R994">
        <f t="shared" si="97"/>
        <v>0.12001141542728819</v>
      </c>
      <c r="S994">
        <f t="shared" si="99"/>
        <v>4.9276756115930427</v>
      </c>
      <c r="T994" s="564">
        <f>IF((I994-MAX(I$470:I994))/MAX(I$470:I994)&gt;T993,T993,(I994-MAX(I$470:I994))/MAX(I$470:I994))</f>
        <v>-0.91338805338419748</v>
      </c>
      <c r="U994" s="564">
        <f>IF((J994-MAX(J$470:J994))/MAX(J$470:J994)&gt;U993,U993,(J994-MAX(J$470:J994))/MAX(J$470:J994))</f>
        <v>-0.70280130434782617</v>
      </c>
      <c r="V994" s="564">
        <f>IF((K994-MAX(K$470:K994))/MAX(K$470:K994)&gt;V993,V993,(K994-MAX(K$470:K994))/MAX(K$470:K994))</f>
        <v>-0.80725522782524772</v>
      </c>
      <c r="W994" s="564">
        <f>IF((N994-MAX(N$470:N994))/MAX(N$470:N994)&gt;W993,W993,(N994-MAX(N$470:N994))/MAX(N$470:N994))</f>
        <v>-0.62788758315546067</v>
      </c>
      <c r="X994" s="564">
        <f>IF((O994-MAX(O$470:O994))/MAX(O$470:O994)&gt;X993,X993,(O994-MAX(O$470:O994))/MAX(O$470:O994))</f>
        <v>-0.62788758315546067</v>
      </c>
    </row>
    <row r="995" spans="1:24">
      <c r="A995" s="799">
        <v>41397</v>
      </c>
      <c r="B995">
        <v>103.43</v>
      </c>
      <c r="C995">
        <v>135.436713</v>
      </c>
      <c r="D995">
        <v>2.1088680000000002</v>
      </c>
      <c r="E995">
        <f>LN(D995/参数实验室!$E$53)/参数实验室!$E$55</f>
        <v>0.18730613528885673</v>
      </c>
      <c r="F995">
        <f t="shared" si="98"/>
        <v>1.3094528956782363</v>
      </c>
      <c r="G995">
        <f>LN(F995/参数实验室!$E$58)/参数实验室!$E$59</f>
        <v>-4.9024434139390324E-2</v>
      </c>
      <c r="H995" s="856">
        <f>INDEX(神经网络!$G$10:$BO$70,MATCH(ROUND(G995*2,1)/2,神经网络!$E$10:$E$70,0),MATCH(ROUND(E995*2,1)/2,神经网络!$G$8:$BO$8,0))</f>
        <v>1.2370067307940589</v>
      </c>
      <c r="I995">
        <f t="shared" si="100"/>
        <v>47.62811261028363</v>
      </c>
      <c r="J995">
        <f t="shared" si="101"/>
        <v>41.271298032799947</v>
      </c>
      <c r="K995">
        <f t="shared" si="102"/>
        <v>1.1540250702178465</v>
      </c>
      <c r="L995" s="4">
        <f>MIN(MAX(L994*(1+MAX(MIN(((B995-B994)/B994)/($K$7*卓尔金历!$N$40),0),-卓尔金历!$M$43))+MIN(MAX(((B995-B994)/B994)/($K$7*卓尔金历!$N$40),0),卓尔金历!$M$43),0),1)</f>
        <v>0</v>
      </c>
      <c r="M995" s="4">
        <f>MIN(MAX(M994*(1+MAX(MIN(((B995-B994)/B994)/($K$7*30),0),-卓尔金历!$M$43))+MIN(MAX(((B995-B994)/B994)/($K$7*7),0),卓尔金历!$M$43),0),1)</f>
        <v>0</v>
      </c>
      <c r="N995">
        <f t="shared" si="103"/>
        <v>101.82448687190727</v>
      </c>
      <c r="O995">
        <f t="shared" si="104"/>
        <v>140.10526537464952</v>
      </c>
      <c r="P995">
        <f t="shared" si="105"/>
        <v>-0.11598290598290592</v>
      </c>
      <c r="Q995">
        <f t="shared" si="96"/>
        <v>0.12575306813256559</v>
      </c>
      <c r="R995">
        <f t="shared" si="97"/>
        <v>0.21478879685598967</v>
      </c>
      <c r="S995">
        <f t="shared" si="99"/>
        <v>4.8364251674246255</v>
      </c>
      <c r="T995" s="564">
        <f>IF((I995-MAX(I$470:I995))/MAX(I$470:I995)&gt;T994,T994,(I995-MAX(I$470:I995))/MAX(I$470:I995))</f>
        <v>-0.91338805338419748</v>
      </c>
      <c r="U995" s="564">
        <f>IF((J995-MAX(J$470:J995))/MAX(J$470:J995)&gt;U994,U994,(J995-MAX(J$470:J995))/MAX(J$470:J995))</f>
        <v>-0.70280130434782617</v>
      </c>
      <c r="V995" s="564">
        <f>IF((K995-MAX(K$470:K995))/MAX(K$470:K995)&gt;V994,V994,(K995-MAX(K$470:K995))/MAX(K$470:K995))</f>
        <v>-0.80725522782524772</v>
      </c>
      <c r="W995" s="564">
        <f>IF((N995-MAX(N$470:N995))/MAX(N$470:N995)&gt;W994,W994,(N995-MAX(N$470:N995))/MAX(N$470:N995))</f>
        <v>-0.62788758315546067</v>
      </c>
      <c r="X995" s="564">
        <f>IF((O995-MAX(O$470:O995))/MAX(O$470:O995)&gt;X994,X994,(O995-MAX(O$470:O995))/MAX(O$470:O995))</f>
        <v>-0.62788758315546067</v>
      </c>
    </row>
    <row r="996" spans="1:24">
      <c r="A996" s="799">
        <v>41398</v>
      </c>
      <c r="B996">
        <v>91.01</v>
      </c>
      <c r="C996">
        <v>135.176727</v>
      </c>
      <c r="D996">
        <v>2.4559880000000001</v>
      </c>
      <c r="E996">
        <f>LN(D996/参数实验室!$E$53)/参数实验室!$E$55</f>
        <v>0.36707435524747173</v>
      </c>
      <c r="F996">
        <f t="shared" si="98"/>
        <v>1.4852953191956928</v>
      </c>
      <c r="G996">
        <f>LN(F996/参数实验室!$E$58)/参数实验室!$E$59</f>
        <v>1.7109383631498058E-2</v>
      </c>
      <c r="H996" s="856">
        <f>INDEX(神经网络!$G$10:$BO$70,MATCH(ROUND(G996*2,1)/2,神经网络!$E$10:$E$70,0),MATCH(ROUND(E996*2,1)/2,神经网络!$G$8:$BO$8,0))</f>
        <v>1.5572719004676661</v>
      </c>
      <c r="I996">
        <f t="shared" si="100"/>
        <v>40.553372256862829</v>
      </c>
      <c r="J996">
        <f t="shared" si="101"/>
        <v>36.315390447308552</v>
      </c>
      <c r="K996">
        <f t="shared" si="102"/>
        <v>1.116699332083551</v>
      </c>
      <c r="L996" s="4">
        <f>MIN(MAX(L995*(1+MAX(MIN(((B996-B995)/B995)/($K$7*卓尔金历!$N$40),0),-卓尔金历!$M$43))+MIN(MAX(((B996-B995)/B995)/($K$7*卓尔金历!$N$40),0),卓尔金历!$M$43),0),1)</f>
        <v>0</v>
      </c>
      <c r="M996" s="4">
        <f>MIN(MAX(M995*(1+MAX(MIN(((B996-B995)/B995)/($K$7*30),0),-卓尔金历!$M$43))+MIN(MAX(((B996-B995)/B995)/($K$7*7),0),卓尔金历!$M$43),0),1)</f>
        <v>0</v>
      </c>
      <c r="N996">
        <f t="shared" si="103"/>
        <v>101.82448687190727</v>
      </c>
      <c r="O996">
        <f t="shared" si="104"/>
        <v>140.10526537464952</v>
      </c>
      <c r="P996">
        <f t="shared" si="105"/>
        <v>-0.12008121434786813</v>
      </c>
      <c r="Q996">
        <f t="shared" si="96"/>
        <v>0.12027825530246973</v>
      </c>
      <c r="R996">
        <f t="shared" si="97"/>
        <v>0.12759879952149922</v>
      </c>
      <c r="S996">
        <f t="shared" si="99"/>
        <v>4.6821190188278221</v>
      </c>
      <c r="T996" s="564">
        <f>IF((I996-MAX(I$470:I996))/MAX(I$470:I996)&gt;T995,T995,(I996-MAX(I$470:I996))/MAX(I$470:I996))</f>
        <v>-0.91338805338419748</v>
      </c>
      <c r="U996" s="564">
        <f>IF((J996-MAX(J$470:J996))/MAX(J$470:J996)&gt;U995,U995,(J996-MAX(J$470:J996))/MAX(J$470:J996))</f>
        <v>-0.70280130434782617</v>
      </c>
      <c r="V996" s="564">
        <f>IF((K996-MAX(K$470:K996))/MAX(K$470:K996)&gt;V995,V995,(K996-MAX(K$470:K996))/MAX(K$470:K996))</f>
        <v>-0.80725522782524772</v>
      </c>
      <c r="W996" s="564">
        <f>IF((N996-MAX(N$470:N996))/MAX(N$470:N996)&gt;W995,W995,(N996-MAX(N$470:N996))/MAX(N$470:N996))</f>
        <v>-0.62788758315546067</v>
      </c>
      <c r="X996" s="564">
        <f>IF((O996-MAX(O$470:O996))/MAX(O$470:O996)&gt;X995,X995,(O996-MAX(O$470:O996))/MAX(O$470:O996))</f>
        <v>-0.62788758315546067</v>
      </c>
    </row>
    <row r="997" spans="1:24">
      <c r="A997" s="799">
        <v>41399</v>
      </c>
      <c r="B997">
        <v>111.25</v>
      </c>
      <c r="C997">
        <v>134.75665900000001</v>
      </c>
      <c r="D997">
        <v>2.5323329999999999</v>
      </c>
      <c r="E997">
        <f>LN(D997/参数实验室!$E$53)/参数实验室!$E$55</f>
        <v>0.40318882935185058</v>
      </c>
      <c r="F997">
        <f t="shared" si="98"/>
        <v>1.2112958112359551</v>
      </c>
      <c r="G997">
        <f>LN(F997/参数实验室!$E$58)/参数实验室!$E$59</f>
        <v>-8.992038313321396E-2</v>
      </c>
      <c r="H997" s="856">
        <f>INDEX(神经网络!$G$10:$BO$70,MATCH(ROUND(G997*2,1)/2,神经网络!$E$10:$E$70,0),MATCH(ROUND(E997*2,1)/2,神经网络!$G$8:$BO$8,0))</f>
        <v>1.5568769143241705</v>
      </c>
      <c r="I997">
        <f t="shared" si="100"/>
        <v>54.598083521522824</v>
      </c>
      <c r="J997">
        <f t="shared" si="101"/>
        <v>44.391684290331568</v>
      </c>
      <c r="K997">
        <f t="shared" si="102"/>
        <v>1.2299169178722555</v>
      </c>
      <c r="L997" s="4">
        <f>MIN(MAX(L996*(1+MAX(MIN(((B997-B996)/B996)/($K$7*卓尔金历!$N$40),0),-卓尔金历!$M$43))+MIN(MAX(((B997-B996)/B996)/($K$7*卓尔金历!$N$40),0),卓尔金历!$M$43),0),1)</f>
        <v>1</v>
      </c>
      <c r="M997" s="4">
        <f>MIN(MAX(M996*(1+MAX(MIN(((B997-B996)/B996)/($K$7*30),0),-卓尔金历!$M$43))+MIN(MAX(((B997-B996)/B996)/($K$7*7),0),卓尔金历!$M$43),0),1)</f>
        <v>1</v>
      </c>
      <c r="N997">
        <f t="shared" si="103"/>
        <v>101.82448687190727</v>
      </c>
      <c r="O997">
        <f t="shared" si="104"/>
        <v>140.10526537464952</v>
      </c>
      <c r="P997">
        <f t="shared" si="105"/>
        <v>0.22239314361059218</v>
      </c>
      <c r="Q997">
        <f t="shared" si="96"/>
        <v>0.12840065807254902</v>
      </c>
      <c r="R997">
        <f t="shared" si="97"/>
        <v>5.4210466141652737E-2</v>
      </c>
      <c r="S997">
        <f t="shared" si="99"/>
        <v>4.8890258734696586</v>
      </c>
      <c r="T997" s="564">
        <f>IF((I997-MAX(I$470:I997))/MAX(I$470:I997)&gt;T996,T996,(I997-MAX(I$470:I997))/MAX(I$470:I997))</f>
        <v>-0.91338805338419748</v>
      </c>
      <c r="U997" s="564">
        <f>IF((J997-MAX(J$470:J997))/MAX(J$470:J997)&gt;U996,U996,(J997-MAX(J$470:J997))/MAX(J$470:J997))</f>
        <v>-0.70280130434782617</v>
      </c>
      <c r="V997" s="564">
        <f>IF((K997-MAX(K$470:K997))/MAX(K$470:K997)&gt;V996,V996,(K997-MAX(K$470:K997))/MAX(K$470:K997))</f>
        <v>-0.80725522782524772</v>
      </c>
      <c r="W997" s="564">
        <f>IF((N997-MAX(N$470:N997))/MAX(N$470:N997)&gt;W996,W996,(N997-MAX(N$470:N997))/MAX(N$470:N997))</f>
        <v>-0.62788758315546067</v>
      </c>
      <c r="X997" s="564">
        <f>IF((O997-MAX(O$470:O997))/MAX(O$470:O997)&gt;X996,X996,(O997-MAX(O$470:O997))/MAX(O$470:O997))</f>
        <v>-0.62788758315546067</v>
      </c>
    </row>
    <row r="998" spans="1:24">
      <c r="A998" s="799">
        <v>41400</v>
      </c>
      <c r="B998">
        <v>116.79</v>
      </c>
      <c r="C998">
        <v>134.672327</v>
      </c>
      <c r="D998">
        <v>2.433948</v>
      </c>
      <c r="E998">
        <f>LN(D998/参数实验室!$E$53)/参数实验室!$E$55</f>
        <v>0.35643947676458071</v>
      </c>
      <c r="F998">
        <f t="shared" si="98"/>
        <v>1.1531152239061562</v>
      </c>
      <c r="G998">
        <f>LN(F998/参数实验室!$E$58)/参数实验室!$E$59</f>
        <v>-0.11575555431638314</v>
      </c>
      <c r="H998" s="856">
        <f>INDEX(神经网络!$G$10:$BO$70,MATCH(ROUND(G998*2,1)/2,神经网络!$E$10:$E$70,0),MATCH(ROUND(E998*2,1)/2,神经网络!$G$8:$BO$8,0))</f>
        <v>1.4668103302743836</v>
      </c>
      <c r="I998">
        <f t="shared" si="100"/>
        <v>58.831016795568225</v>
      </c>
      <c r="J998">
        <f t="shared" si="101"/>
        <v>46.602290411396169</v>
      </c>
      <c r="K998">
        <f t="shared" si="102"/>
        <v>1.2624061237381077</v>
      </c>
      <c r="L998" s="4">
        <f>MIN(MAX(L997*(1+MAX(MIN(((B998-B997)/B997)/($K$7*卓尔金历!$N$40),0),-卓尔金历!$M$43))+MIN(MAX(((B998-B997)/B997)/($K$7*卓尔金历!$N$40),0),卓尔金历!$M$43),0),1)</f>
        <v>1</v>
      </c>
      <c r="M998" s="4">
        <f>MIN(MAX(M997*(1+MAX(MIN(((B998-B997)/B997)/($K$7*30),0),-卓尔金历!$M$43))+MIN(MAX(((B998-B997)/B997)/($K$7*7),0),卓尔金历!$M$43),0),1)</f>
        <v>1</v>
      </c>
      <c r="N998">
        <f t="shared" si="103"/>
        <v>109.7188346363812</v>
      </c>
      <c r="O998">
        <f t="shared" si="104"/>
        <v>150.96748253360033</v>
      </c>
      <c r="P998">
        <f t="shared" si="105"/>
        <v>4.9797752808988821E-2</v>
      </c>
      <c r="Q998">
        <f t="shared" si="96"/>
        <v>0.12646983690091085</v>
      </c>
      <c r="R998">
        <f t="shared" si="97"/>
        <v>1</v>
      </c>
      <c r="S998">
        <f t="shared" si="99"/>
        <v>4.9095738708301964</v>
      </c>
      <c r="T998" s="564">
        <f>IF((I998-MAX(I$470:I998))/MAX(I$470:I998)&gt;T997,T997,(I998-MAX(I$470:I998))/MAX(I$470:I998))</f>
        <v>-0.91338805338419748</v>
      </c>
      <c r="U998" s="564">
        <f>IF((J998-MAX(J$470:J998))/MAX(J$470:J998)&gt;U997,U997,(J998-MAX(J$470:J998))/MAX(J$470:J998))</f>
        <v>-0.70280130434782617</v>
      </c>
      <c r="V998" s="564">
        <f>IF((K998-MAX(K$470:K998))/MAX(K$470:K998)&gt;V997,V997,(K998-MAX(K$470:K998))/MAX(K$470:K998))</f>
        <v>-0.80725522782524772</v>
      </c>
      <c r="W998" s="564">
        <f>IF((N998-MAX(N$470:N998))/MAX(N$470:N998)&gt;W997,W997,(N998-MAX(N$470:N998))/MAX(N$470:N998))</f>
        <v>-0.62788758315546067</v>
      </c>
      <c r="X998" s="564">
        <f>IF((O998-MAX(O$470:O998))/MAX(O$470:O998)&gt;X997,X997,(O998-MAX(O$470:O998))/MAX(O$470:O998))</f>
        <v>-0.62788758315546067</v>
      </c>
    </row>
    <row r="999" spans="1:24">
      <c r="A999" s="799">
        <v>41401</v>
      </c>
      <c r="B999">
        <v>118.33</v>
      </c>
      <c r="C999">
        <v>134.50696199999999</v>
      </c>
      <c r="D999">
        <v>2.4188420000000002</v>
      </c>
      <c r="E999">
        <f>LN(D999/参数实验室!$E$53)/参数实验室!$E$55</f>
        <v>0.34909466684463275</v>
      </c>
      <c r="F999">
        <f t="shared" si="98"/>
        <v>1.1367105721287922</v>
      </c>
      <c r="G999">
        <f>LN(F999/参数实验室!$E$58)/参数实验室!$E$59</f>
        <v>-0.12327594746923558</v>
      </c>
      <c r="H999" s="856">
        <f>INDEX(神经网络!$G$10:$BO$70,MATCH(ROUND(G999*2,1)/2,神经网络!$E$10:$E$70,0),MATCH(ROUND(E999*2,1)/2,神经网络!$G$8:$BO$8,0))</f>
        <v>1.4668103302743836</v>
      </c>
      <c r="I999">
        <f t="shared" si="100"/>
        <v>59.968893946792456</v>
      </c>
      <c r="J999">
        <f t="shared" si="101"/>
        <v>47.216791029887048</v>
      </c>
      <c r="K999">
        <f t="shared" si="102"/>
        <v>1.2700755946932871</v>
      </c>
      <c r="L999" s="4">
        <f>MIN(MAX(L998*(1+MAX(MIN(((B999-B998)/B998)/($K$7*卓尔金历!$N$40),0),-卓尔金历!$M$43))+MIN(MAX(((B999-B998)/B998)/($K$7*卓尔金历!$N$40),0),卓尔金历!$M$43),0),1)</f>
        <v>1</v>
      </c>
      <c r="M999" s="4">
        <f>MIN(MAX(M998*(1+MAX(MIN(((B999-B998)/B998)/($K$7*30),0),-卓尔金历!$M$43))+MIN(MAX(((B999-B998)/B998)/($K$7*7),0),卓尔金历!$M$43),0),1)</f>
        <v>1</v>
      </c>
      <c r="N999">
        <f t="shared" si="103"/>
        <v>111.84095595591435</v>
      </c>
      <c r="O999">
        <f t="shared" si="104"/>
        <v>153.88741250098053</v>
      </c>
      <c r="P999">
        <f t="shared" si="105"/>
        <v>1.3186060450380958E-2</v>
      </c>
      <c r="Q999">
        <f t="shared" si="96"/>
        <v>0.11883528994417455</v>
      </c>
      <c r="R999">
        <f t="shared" si="97"/>
        <v>1</v>
      </c>
      <c r="S999">
        <f t="shared" si="99"/>
        <v>5.0045321468239239</v>
      </c>
      <c r="T999" s="564">
        <f>IF((I999-MAX(I$470:I999))/MAX(I$470:I999)&gt;T998,T998,(I999-MAX(I$470:I999))/MAX(I$470:I999))</f>
        <v>-0.91338805338419748</v>
      </c>
      <c r="U999" s="564">
        <f>IF((J999-MAX(J$470:J999))/MAX(J$470:J999)&gt;U998,U998,(J999-MAX(J$470:J999))/MAX(J$470:J999))</f>
        <v>-0.70280130434782617</v>
      </c>
      <c r="V999" s="564">
        <f>IF((K999-MAX(K$470:K999))/MAX(K$470:K999)&gt;V998,V998,(K999-MAX(K$470:K999))/MAX(K$470:K999))</f>
        <v>-0.80725522782524772</v>
      </c>
      <c r="W999" s="564">
        <f>IF((N999-MAX(N$470:N999))/MAX(N$470:N999)&gt;W998,W998,(N999-MAX(N$470:N999))/MAX(N$470:N999))</f>
        <v>-0.62788758315546067</v>
      </c>
      <c r="X999" s="564">
        <f>IF((O999-MAX(O$470:O999))/MAX(O$470:O999)&gt;X998,X998,(O999-MAX(O$470:O999))/MAX(O$470:O999))</f>
        <v>-0.62788758315546067</v>
      </c>
    </row>
    <row r="1000" spans="1:24">
      <c r="A1000" s="799">
        <v>41402</v>
      </c>
      <c r="B1000">
        <v>106.4</v>
      </c>
      <c r="C1000">
        <v>133.842491</v>
      </c>
      <c r="D1000">
        <v>2.4495979999999999</v>
      </c>
      <c r="E1000">
        <f>LN(D1000/参数实验室!$E$53)/参数实验室!$E$55</f>
        <v>0.36400086820933714</v>
      </c>
      <c r="F1000">
        <f t="shared" si="98"/>
        <v>1.2579181484962405</v>
      </c>
      <c r="G1000">
        <f>LN(F1000/参数实验室!$E$58)/参数实验室!$E$59</f>
        <v>-7.0098017678448268E-2</v>
      </c>
      <c r="H1000" s="856">
        <f>INDEX(神经网络!$G$10:$BO$70,MATCH(ROUND(G1000*2,1)/2,神经网络!$E$10:$E$70,0),MATCH(ROUND(E1000*2,1)/2,神经网络!$G$8:$BO$8,0))</f>
        <v>1.5135985784920616</v>
      </c>
      <c r="I1000">
        <f t="shared" si="100"/>
        <v>51.100487725919734</v>
      </c>
      <c r="J1000">
        <f t="shared" si="101"/>
        <v>42.456406368460932</v>
      </c>
      <c r="K1000">
        <f t="shared" si="102"/>
        <v>1.2035989876872886</v>
      </c>
      <c r="L1000" s="4">
        <f>MIN(MAX(L999*(1+MAX(MIN(((B1000-B999)/B999)/($K$7*卓尔金历!$N$40),0),-卓尔金历!$M$43))+MIN(MAX(((B1000-B999)/B999)/($K$7*卓尔金历!$N$40),0),卓尔金历!$M$43),0),1)</f>
        <v>0</v>
      </c>
      <c r="M1000" s="4">
        <f>MIN(MAX(M999*(1+MAX(MIN(((B1000-B999)/B999)/($K$7*30),0),-卓尔金历!$M$43))+MIN(MAX(((B1000-B999)/B999)/($K$7*7),0),卓尔金历!$M$43),0),1)</f>
        <v>0.22978555042918969</v>
      </c>
      <c r="N1000">
        <f t="shared" si="103"/>
        <v>95.301530859500119</v>
      </c>
      <c r="O1000">
        <f t="shared" si="104"/>
        <v>131.13001284727727</v>
      </c>
      <c r="P1000">
        <f t="shared" si="105"/>
        <v>-0.10081974140116617</v>
      </c>
      <c r="Q1000">
        <f t="shared" si="96"/>
        <v>9.6688467844081041E-2</v>
      </c>
      <c r="R1000">
        <f t="shared" si="97"/>
        <v>0.11386321601903679</v>
      </c>
      <c r="S1000">
        <f t="shared" si="99"/>
        <v>4.2644447264551406</v>
      </c>
      <c r="T1000" s="564">
        <f>IF((I1000-MAX(I$470:I1000))/MAX(I$470:I1000)&gt;T999,T999,(I1000-MAX(I$470:I1000))/MAX(I$470:I1000))</f>
        <v>-0.91338805338419748</v>
      </c>
      <c r="U1000" s="564">
        <f>IF((J1000-MAX(J$470:J1000))/MAX(J$470:J1000)&gt;U999,U999,(J1000-MAX(J$470:J1000))/MAX(J$470:J1000))</f>
        <v>-0.70280130434782617</v>
      </c>
      <c r="V1000" s="564">
        <f>IF((K1000-MAX(K$470:K1000))/MAX(K$470:K1000)&gt;V999,V999,(K1000-MAX(K$470:K1000))/MAX(K$470:K1000))</f>
        <v>-0.80725522782524772</v>
      </c>
      <c r="W1000" s="564">
        <f>IF((N1000-MAX(N$470:N1000))/MAX(N$470:N1000)&gt;W999,W999,(N1000-MAX(N$470:N1000))/MAX(N$470:N1000))</f>
        <v>-0.62788758315546067</v>
      </c>
      <c r="X1000" s="564">
        <f>IF((O1000-MAX(O$470:O1000))/MAX(O$470:O1000)&gt;X999,X999,(O1000-MAX(O$470:O1000))/MAX(O$470:O1000))</f>
        <v>-0.62788758315546067</v>
      </c>
    </row>
    <row r="1001" spans="1:24">
      <c r="A1001" s="799">
        <v>41403</v>
      </c>
      <c r="B1001">
        <v>112.64</v>
      </c>
      <c r="C1001">
        <v>135.00179199999999</v>
      </c>
      <c r="D1001">
        <v>2.421618</v>
      </c>
      <c r="E1001">
        <f>LN(D1001/参数实验室!$E$53)/参数实验室!$E$55</f>
        <v>0.350447842106619</v>
      </c>
      <c r="F1001">
        <f t="shared" si="98"/>
        <v>1.1985244318181818</v>
      </c>
      <c r="G1001">
        <f>LN(F1001/参数实验室!$E$58)/参数实验室!$E$59</f>
        <v>-9.548359715336048E-2</v>
      </c>
      <c r="H1001" s="856">
        <f>INDEX(神经网络!$G$10:$BO$70,MATCH(ROUND(G1001*2,1)/2,神经网络!$E$10:$E$70,0),MATCH(ROUND(E1001*2,1)/2,神经网络!$G$8:$BO$8,0))</f>
        <v>1.4668103302743836</v>
      </c>
      <c r="I1001">
        <f t="shared" si="100"/>
        <v>55.636546970590288</v>
      </c>
      <c r="J1001">
        <f t="shared" si="101"/>
        <v>44.946330952475932</v>
      </c>
      <c r="K1001">
        <f t="shared" si="102"/>
        <v>1.2378440195578515</v>
      </c>
      <c r="L1001" s="4">
        <f>MIN(MAX(L1000*(1+MAX(MIN(((B1001-B1000)/B1000)/($K$7*卓尔金历!$N$40),0),-卓尔金历!$M$43))+MIN(MAX(((B1001-B1000)/B1000)/($K$7*卓尔金历!$N$40),0),卓尔金历!$M$43),0),1)</f>
        <v>0.89606402180409384</v>
      </c>
      <c r="M1001" s="4">
        <f>MIN(MAX(M1000*(1+MAX(MIN(((B1001-B1000)/B1000)/($K$7*30),0),-卓尔金历!$M$43))+MIN(MAX(((B1001-B1000)/B1000)/($K$7*7),0),卓尔金历!$M$43),0),1)</f>
        <v>1</v>
      </c>
      <c r="N1001">
        <f t="shared" si="103"/>
        <v>95.301530859500119</v>
      </c>
      <c r="O1001">
        <f t="shared" si="104"/>
        <v>133.80473387633313</v>
      </c>
      <c r="P1001">
        <f t="shared" si="105"/>
        <v>5.8646616541353329E-2</v>
      </c>
      <c r="Q1001">
        <f t="shared" si="96"/>
        <v>9.0578583168038143E-2</v>
      </c>
      <c r="R1001">
        <f t="shared" si="97"/>
        <v>0.57340568779894929</v>
      </c>
      <c r="S1001">
        <f t="shared" si="99"/>
        <v>4.3075469434210341</v>
      </c>
      <c r="T1001" s="564">
        <f>IF((I1001-MAX(I$470:I1001))/MAX(I$470:I1001)&gt;T1000,T1000,(I1001-MAX(I$470:I1001))/MAX(I$470:I1001))</f>
        <v>-0.91338805338419748</v>
      </c>
      <c r="U1001" s="564">
        <f>IF((J1001-MAX(J$470:J1001))/MAX(J$470:J1001)&gt;U1000,U1000,(J1001-MAX(J$470:J1001))/MAX(J$470:J1001))</f>
        <v>-0.70280130434782617</v>
      </c>
      <c r="V1001" s="564">
        <f>IF((K1001-MAX(K$470:K1001))/MAX(K$470:K1001)&gt;V1000,V1000,(K1001-MAX(K$470:K1001))/MAX(K$470:K1001))</f>
        <v>-0.80725522782524772</v>
      </c>
      <c r="W1001" s="564">
        <f>IF((N1001-MAX(N$470:N1001))/MAX(N$470:N1001)&gt;W1000,W1000,(N1001-MAX(N$470:N1001))/MAX(N$470:N1001))</f>
        <v>-0.62788758315546067</v>
      </c>
      <c r="X1001" s="564">
        <f>IF((O1001-MAX(O$470:O1001))/MAX(O$470:O1001)&gt;X1000,X1000,(O1001-MAX(O$470:O1001))/MAX(O$470:O1001))</f>
        <v>-0.62788758315546067</v>
      </c>
    </row>
    <row r="1002" spans="1:24">
      <c r="A1002" s="799">
        <v>41404</v>
      </c>
      <c r="B1002">
        <v>113</v>
      </c>
      <c r="C1002">
        <v>136.77420900000001</v>
      </c>
      <c r="D1002">
        <v>2.545544</v>
      </c>
      <c r="E1002">
        <f>LN(D1002/参数实验室!$E$53)/参数实验室!$E$55</f>
        <v>0.40932751891499841</v>
      </c>
      <c r="F1002">
        <f t="shared" si="98"/>
        <v>1.2103912300884956</v>
      </c>
      <c r="G1002">
        <f>LN(F1002/参数实验室!$E$58)/参数实验室!$E$59</f>
        <v>-9.0312484248278868E-2</v>
      </c>
      <c r="H1002" s="856">
        <f>INDEX(神经网络!$G$10:$BO$70,MATCH(ROUND(G1002*2,1)/2,神经网络!$E$10:$E$70,0),MATCH(ROUND(E1002*2,1)/2,神经网络!$G$8:$BO$8,0))</f>
        <v>1.5568769143241705</v>
      </c>
      <c r="I1002">
        <f t="shared" si="100"/>
        <v>55.897368830155386</v>
      </c>
      <c r="J1002">
        <f t="shared" si="101"/>
        <v>45.089980447707568</v>
      </c>
      <c r="K1002">
        <f t="shared" si="102"/>
        <v>1.2396849205774556</v>
      </c>
      <c r="L1002" s="4">
        <f>MIN(MAX(L1001*(1+MAX(MIN(((B1002-B1001)/B1001)/($K$7*卓尔金历!$N$40),0),-卓尔金历!$M$43))+MIN(MAX(((B1002-B1001)/B1001)/($K$7*卓尔金历!$N$40),0),卓尔金历!$M$43),0),1)</f>
        <v>0.944896182083245</v>
      </c>
      <c r="M1002" s="4">
        <f>MIN(MAX(M1001*(1+MAX(MIN(((B1002-B1001)/B1001)/($K$7*30),0),-卓尔金历!$M$43))+MIN(MAX(((B1002-B1001)/B1001)/($K$7*7),0),卓尔金历!$M$43),0),1)</f>
        <v>1</v>
      </c>
      <c r="N1002">
        <f t="shared" si="103"/>
        <v>95.701865099192545</v>
      </c>
      <c r="O1002">
        <f t="shared" si="104"/>
        <v>134.43200500311039</v>
      </c>
      <c r="P1002">
        <f t="shared" si="105"/>
        <v>3.1960227272727223E-3</v>
      </c>
      <c r="Q1002">
        <f t="shared" si="96"/>
        <v>8.8737582680798538E-2</v>
      </c>
      <c r="R1002">
        <f t="shared" si="97"/>
        <v>1</v>
      </c>
      <c r="S1002">
        <f t="shared" si="99"/>
        <v>4.3191260708787391</v>
      </c>
      <c r="T1002" s="564">
        <f>IF((I1002-MAX(I$470:I1002))/MAX(I$470:I1002)&gt;T1001,T1001,(I1002-MAX(I$470:I1002))/MAX(I$470:I1002))</f>
        <v>-0.91338805338419748</v>
      </c>
      <c r="U1002" s="564">
        <f>IF((J1002-MAX(J$470:J1002))/MAX(J$470:J1002)&gt;U1001,U1001,(J1002-MAX(J$470:J1002))/MAX(J$470:J1002))</f>
        <v>-0.70280130434782617</v>
      </c>
      <c r="V1002" s="564">
        <f>IF((K1002-MAX(K$470:K1002))/MAX(K$470:K1002)&gt;V1001,V1001,(K1002-MAX(K$470:K1002))/MAX(K$470:K1002))</f>
        <v>-0.80725522782524772</v>
      </c>
      <c r="W1002" s="564">
        <f>IF((N1002-MAX(N$470:N1002))/MAX(N$470:N1002)&gt;W1001,W1001,(N1002-MAX(N$470:N1002))/MAX(N$470:N1002))</f>
        <v>-0.62788758315546067</v>
      </c>
      <c r="X1002" s="564">
        <f>IF((O1002-MAX(O$470:O1002))/MAX(O$470:O1002)&gt;X1001,X1001,(O1002-MAX(O$470:O1002))/MAX(O$470:O1002))</f>
        <v>-0.62788758315546067</v>
      </c>
    </row>
    <row r="1003" spans="1:24">
      <c r="A1003" s="799">
        <v>41405</v>
      </c>
      <c r="B1003">
        <v>118.78</v>
      </c>
      <c r="C1003">
        <v>135.10501199999999</v>
      </c>
      <c r="D1003">
        <v>2.4868009999999998</v>
      </c>
      <c r="E1003">
        <f>LN(D1003/参数实验室!$E$53)/参数实验室!$E$55</f>
        <v>0.38178354377097917</v>
      </c>
      <c r="F1003">
        <f t="shared" si="98"/>
        <v>1.137439063815457</v>
      </c>
      <c r="G1003">
        <f>LN(F1003/参数实验室!$E$58)/参数实验室!$E$59</f>
        <v>-0.12293968831185002</v>
      </c>
      <c r="H1003" s="856">
        <f>INDEX(神经网络!$G$10:$BO$70,MATCH(ROUND(G1003*2,1)/2,神经网络!$E$10:$E$70,0),MATCH(ROUND(E1003*2,1)/2,神经网络!$G$8:$BO$8,0))</f>
        <v>1.5568769143241705</v>
      </c>
      <c r="I1003">
        <f t="shared" si="100"/>
        <v>60.348752613660743</v>
      </c>
      <c r="J1003">
        <f t="shared" si="101"/>
        <v>47.396352898926594</v>
      </c>
      <c r="K1003">
        <f t="shared" si="102"/>
        <v>1.2732784048248464</v>
      </c>
      <c r="L1003" s="4">
        <f>MIN(MAX(L1002*(1+MAX(MIN(((B1003-B1002)/B1002)/($K$7*卓尔金历!$N$40),0),-卓尔金历!$M$43))+MIN(MAX(((B1003-B1002)/B1002)/($K$7*卓尔金历!$N$40),0),卓尔金历!$M$43),0),1)</f>
        <v>1</v>
      </c>
      <c r="M1003" s="4">
        <f>MIN(MAX(M1002*(1+MAX(MIN(((B1003-B1002)/B1002)/($K$7*30),0),-卓尔金历!$M$43))+MIN(MAX(((B1003-B1002)/B1002)/($K$7*7),0),卓尔金历!$M$43),0),1)</f>
        <v>1</v>
      </c>
      <c r="N1003">
        <f t="shared" si="103"/>
        <v>102.90311976611522</v>
      </c>
      <c r="O1003">
        <f t="shared" si="104"/>
        <v>145.13749006580136</v>
      </c>
      <c r="P1003">
        <f t="shared" si="105"/>
        <v>5.1150442477876118E-2</v>
      </c>
      <c r="Q1003">
        <f t="shared" si="96"/>
        <v>8.818405743081506E-2</v>
      </c>
      <c r="R1003">
        <f t="shared" si="97"/>
        <v>0.68172400408899103</v>
      </c>
      <c r="S1003">
        <f t="shared" si="99"/>
        <v>4.6630794295644309</v>
      </c>
      <c r="T1003" s="564">
        <f>IF((I1003-MAX(I$470:I1003))/MAX(I$470:I1003)&gt;T1002,T1002,(I1003-MAX(I$470:I1003))/MAX(I$470:I1003))</f>
        <v>-0.91338805338419748</v>
      </c>
      <c r="U1003" s="564">
        <f>IF((J1003-MAX(J$470:J1003))/MAX(J$470:J1003)&gt;U1002,U1002,(J1003-MAX(J$470:J1003))/MAX(J$470:J1003))</f>
        <v>-0.70280130434782617</v>
      </c>
      <c r="V1003" s="564">
        <f>IF((K1003-MAX(K$470:K1003))/MAX(K$470:K1003)&gt;V1002,V1002,(K1003-MAX(K$470:K1003))/MAX(K$470:K1003))</f>
        <v>-0.80725522782524772</v>
      </c>
      <c r="W1003" s="564">
        <f>IF((N1003-MAX(N$470:N1003))/MAX(N$470:N1003)&gt;W1002,W1002,(N1003-MAX(N$470:N1003))/MAX(N$470:N1003))</f>
        <v>-0.62788758315546067</v>
      </c>
      <c r="X1003" s="564">
        <f>IF((O1003-MAX(O$470:O1003))/MAX(O$470:O1003)&gt;X1002,X1002,(O1003-MAX(O$470:O1003))/MAX(O$470:O1003))</f>
        <v>-0.62788758315546067</v>
      </c>
    </row>
    <row r="1004" spans="1:24">
      <c r="A1004" s="799">
        <v>41406</v>
      </c>
      <c r="B1004">
        <v>113.01</v>
      </c>
      <c r="C1004">
        <v>135.69171</v>
      </c>
      <c r="D1004">
        <v>2.469309</v>
      </c>
      <c r="E1004">
        <f>LN(D1004/参数实验室!$E$53)/参数实验室!$E$55</f>
        <v>0.37345591204790224</v>
      </c>
      <c r="F1004">
        <f t="shared" si="98"/>
        <v>1.20070533581099</v>
      </c>
      <c r="G1004">
        <f>LN(F1004/参数实验室!$E$58)/参数实验室!$E$59</f>
        <v>-9.452941043151103E-2</v>
      </c>
      <c r="H1004" s="856">
        <f>INDEX(神经网络!$G$10:$BO$70,MATCH(ROUND(G1004*2,1)/2,神经网络!$E$10:$E$70,0),MATCH(ROUND(E1004*2,1)/2,神经网络!$G$8:$BO$8,0))</f>
        <v>1.4668103302743836</v>
      </c>
      <c r="I1004">
        <f t="shared" si="100"/>
        <v>55.784653479364188</v>
      </c>
      <c r="J1004">
        <f t="shared" si="101"/>
        <v>45.093970711464003</v>
      </c>
      <c r="K1004">
        <f t="shared" si="102"/>
        <v>1.2370756577704156</v>
      </c>
      <c r="L1004" s="4">
        <f>MIN(MAX(L1003*(1+MAX(MIN(((B1004-B1003)/B1003)/($K$7*卓尔金历!$N$40),0),-卓尔金历!$M$43))+MIN(MAX(((B1004-B1003)/B1003)/($K$7*卓尔金历!$N$40),0),卓尔金历!$M$43),0),1)</f>
        <v>0.25778697638310022</v>
      </c>
      <c r="M1004" s="4">
        <f>MIN(MAX(M1003*(1+MAX(MIN(((B1004-B1003)/B1003)/($K$7*30),0),-卓尔金历!$M$43))+MIN(MAX(((B1004-B1003)/B1003)/($K$7*7),0),卓尔金历!$M$43),0),1)</f>
        <v>0.62889348819155011</v>
      </c>
      <c r="N1004">
        <f t="shared" si="103"/>
        <v>95.120688158164683</v>
      </c>
      <c r="O1004">
        <f t="shared" si="104"/>
        <v>134.16092693774507</v>
      </c>
      <c r="P1004">
        <f t="shared" si="105"/>
        <v>-4.8577201549082301E-2</v>
      </c>
      <c r="Q1004">
        <f t="shared" ref="Q1004:Q1067" si="106">STDEVP(P984:P1004)</f>
        <v>8.7889059806233669E-2</v>
      </c>
      <c r="R1004">
        <f t="shared" ref="R1004:R1067" si="107">MIN(Q1003*MAX(1-LN(MAX(ABS(P1004),0.0001)/Q1004),0)+MAX(-LN(MAX(ABS(P1004),0.0001)/Q1004),0),1)</f>
        <v>0.73339125676595018</v>
      </c>
      <c r="S1004">
        <f t="shared" si="99"/>
        <v>4.4226607705707783</v>
      </c>
      <c r="T1004" s="564">
        <f>IF((I1004-MAX(I$470:I1004))/MAX(I$470:I1004)&gt;T1003,T1003,(I1004-MAX(I$470:I1004))/MAX(I$470:I1004))</f>
        <v>-0.91338805338419748</v>
      </c>
      <c r="U1004" s="564">
        <f>IF((J1004-MAX(J$470:J1004))/MAX(J$470:J1004)&gt;U1003,U1003,(J1004-MAX(J$470:J1004))/MAX(J$470:J1004))</f>
        <v>-0.70280130434782617</v>
      </c>
      <c r="V1004" s="564">
        <f>IF((K1004-MAX(K$470:K1004))/MAX(K$470:K1004)&gt;V1003,V1003,(K1004-MAX(K$470:K1004))/MAX(K$470:K1004))</f>
        <v>-0.80725522782524772</v>
      </c>
      <c r="W1004" s="564">
        <f>IF((N1004-MAX(N$470:N1004))/MAX(N$470:N1004)&gt;W1003,W1003,(N1004-MAX(N$470:N1004))/MAX(N$470:N1004))</f>
        <v>-0.62788758315546067</v>
      </c>
      <c r="X1004" s="564">
        <f>IF((O1004-MAX(O$470:O1004))/MAX(O$470:O1004)&gt;X1003,X1003,(O1004-MAX(O$470:O1004))/MAX(O$470:O1004))</f>
        <v>-0.62788758315546067</v>
      </c>
    </row>
    <row r="1005" spans="1:24">
      <c r="A1005" s="799">
        <v>41407</v>
      </c>
      <c r="B1005">
        <v>114.71299999999999</v>
      </c>
      <c r="C1005">
        <v>135.279695</v>
      </c>
      <c r="D1005">
        <v>2.516918</v>
      </c>
      <c r="E1005">
        <f>LN(D1005/参数实验室!$E$53)/参数实验室!$E$55</f>
        <v>0.39598540343544986</v>
      </c>
      <c r="F1005">
        <f t="shared" si="98"/>
        <v>1.1792882672408533</v>
      </c>
      <c r="G1005">
        <f>LN(F1005/参数实验室!$E$58)/参数实验室!$E$59</f>
        <v>-0.10397577066662435</v>
      </c>
      <c r="H1005" s="856">
        <f>INDEX(神经网络!$G$10:$BO$70,MATCH(ROUND(G1005*2,1)/2,神经网络!$E$10:$E$70,0),MATCH(ROUND(E1005*2,1)/2,神经网络!$G$8:$BO$8,0))</f>
        <v>1.5568769143241705</v>
      </c>
      <c r="I1005">
        <f t="shared" si="100"/>
        <v>57.017719904532811</v>
      </c>
      <c r="J1005">
        <f t="shared" si="101"/>
        <v>45.773512629184758</v>
      </c>
      <c r="K1005">
        <f t="shared" si="102"/>
        <v>1.2456487743564355</v>
      </c>
      <c r="L1005" s="4">
        <f>MIN(MAX(L1004*(1+MAX(MIN(((B1005-B1004)/B1004)/($K$7*卓尔金历!$N$40),0),-卓尔金历!$M$43))+MIN(MAX(((B1005-B1004)/B1004)/($K$7*卓尔金历!$N$40),0),卓尔金历!$M$43),0),1)</f>
        <v>0.48803390809847402</v>
      </c>
      <c r="M1005" s="4">
        <f>MIN(MAX(M1004*(1+MAX(MIN(((B1005-B1004)/B1004)/($K$7*30),0),-卓尔金历!$M$43))+MIN(MAX(((B1005-B1004)/B1004)/($K$7*7),0),卓尔金历!$M$43),0),1)</f>
        <v>1</v>
      </c>
      <c r="N1005">
        <f t="shared" si="103"/>
        <v>95.662698644723875</v>
      </c>
      <c r="O1005">
        <f t="shared" si="104"/>
        <v>136.02590995336004</v>
      </c>
      <c r="P1005">
        <f t="shared" si="105"/>
        <v>1.5069462879391104E-2</v>
      </c>
      <c r="Q1005">
        <f t="shared" si="106"/>
        <v>8.6659387929723303E-2</v>
      </c>
      <c r="R1005">
        <f t="shared" si="107"/>
        <v>1</v>
      </c>
      <c r="S1005">
        <f t="shared" si="99"/>
        <v>4.4943561372472045</v>
      </c>
      <c r="T1005" s="564">
        <f>IF((I1005-MAX(I$470:I1005))/MAX(I$470:I1005)&gt;T1004,T1004,(I1005-MAX(I$470:I1005))/MAX(I$470:I1005))</f>
        <v>-0.91338805338419748</v>
      </c>
      <c r="U1005" s="564">
        <f>IF((J1005-MAX(J$470:J1005))/MAX(J$470:J1005)&gt;U1004,U1004,(J1005-MAX(J$470:J1005))/MAX(J$470:J1005))</f>
        <v>-0.70280130434782617</v>
      </c>
      <c r="V1005" s="564">
        <f>IF((K1005-MAX(K$470:K1005))/MAX(K$470:K1005)&gt;V1004,V1004,(K1005-MAX(K$470:K1005))/MAX(K$470:K1005))</f>
        <v>-0.80725522782524772</v>
      </c>
      <c r="W1005" s="564">
        <f>IF((N1005-MAX(N$470:N1005))/MAX(N$470:N1005)&gt;W1004,W1004,(N1005-MAX(N$470:N1005))/MAX(N$470:N1005))</f>
        <v>-0.62788758315546067</v>
      </c>
      <c r="X1005" s="564">
        <f>IF((O1005-MAX(O$470:O1005))/MAX(O$470:O1005)&gt;X1004,X1004,(O1005-MAX(O$470:O1005))/MAX(O$470:O1005))</f>
        <v>-0.62788758315546067</v>
      </c>
    </row>
    <row r="1006" spans="1:24">
      <c r="A1006" s="799">
        <v>41408</v>
      </c>
      <c r="B1006">
        <v>117.18</v>
      </c>
      <c r="C1006">
        <v>135.35004499999999</v>
      </c>
      <c r="D1006">
        <v>2.316576</v>
      </c>
      <c r="E1006">
        <f>LN(D1006/参数实验室!$E$53)/参数实验室!$E$55</f>
        <v>0.29813088421971862</v>
      </c>
      <c r="F1006">
        <f t="shared" si="98"/>
        <v>1.155060974569039</v>
      </c>
      <c r="G1006">
        <f>LN(F1006/参数实验室!$E$58)/参数实验室!$E$59</f>
        <v>-0.11487066923280907</v>
      </c>
      <c r="H1006" s="856">
        <f>INDEX(神经网络!$G$10:$BO$70,MATCH(ROUND(G1006*2,1)/2,神经网络!$E$10:$E$70,0),MATCH(ROUND(E1006*2,1)/2,神经网络!$G$8:$BO$8,0))</f>
        <v>1.374083265446286</v>
      </c>
      <c r="I1006">
        <f t="shared" si="100"/>
        <v>58.926784558901879</v>
      </c>
      <c r="J1006">
        <f t="shared" si="101"/>
        <v>46.757910697897103</v>
      </c>
      <c r="K1006">
        <f t="shared" si="102"/>
        <v>1.2602527289901355</v>
      </c>
      <c r="L1006" s="4">
        <f>MIN(MAX(L1005*(1+MAX(MIN(((B1006-B1005)/B1005)/($K$7*卓尔金历!$N$40),0),-卓尔金历!$M$43))+MIN(MAX(((B1006-B1005)/B1005)/($K$7*卓尔金历!$N$40),0),卓尔金历!$M$43),0),1)</f>
        <v>0.81662258241786789</v>
      </c>
      <c r="M1006" s="4">
        <f>MIN(MAX(M1005*(1+MAX(MIN(((B1006-B1005)/B1005)/($K$7*30),0),-卓尔金历!$M$43))+MIN(MAX(((B1006-B1005)/B1005)/($K$7*7),0),卓尔金历!$M$43),0),1)</f>
        <v>1</v>
      </c>
      <c r="N1006">
        <f t="shared" si="103"/>
        <v>97.225858583430934</v>
      </c>
      <c r="O1006">
        <f t="shared" si="104"/>
        <v>140.58032316393997</v>
      </c>
      <c r="P1006">
        <f t="shared" si="105"/>
        <v>2.1505845021924395E-2</v>
      </c>
      <c r="Q1006">
        <f t="shared" si="106"/>
        <v>8.2072831523536297E-2</v>
      </c>
      <c r="R1006">
        <f t="shared" si="107"/>
        <v>1</v>
      </c>
      <c r="S1006">
        <f t="shared" si="99"/>
        <v>4.6448359610656809</v>
      </c>
      <c r="T1006" s="564">
        <f>IF((I1006-MAX(I$470:I1006))/MAX(I$470:I1006)&gt;T1005,T1005,(I1006-MAX(I$470:I1006))/MAX(I$470:I1006))</f>
        <v>-0.91338805338419748</v>
      </c>
      <c r="U1006" s="564">
        <f>IF((J1006-MAX(J$470:J1006))/MAX(J$470:J1006)&gt;U1005,U1005,(J1006-MAX(J$470:J1006))/MAX(J$470:J1006))</f>
        <v>-0.70280130434782617</v>
      </c>
      <c r="V1006" s="564">
        <f>IF((K1006-MAX(K$470:K1006))/MAX(K$470:K1006)&gt;V1005,V1005,(K1006-MAX(K$470:K1006))/MAX(K$470:K1006))</f>
        <v>-0.80725522782524772</v>
      </c>
      <c r="W1006" s="564">
        <f>IF((N1006-MAX(N$470:N1006))/MAX(N$470:N1006)&gt;W1005,W1005,(N1006-MAX(N$470:N1006))/MAX(N$470:N1006))</f>
        <v>-0.62788758315546067</v>
      </c>
      <c r="X1006" s="564">
        <f>IF((O1006-MAX(O$470:O1006))/MAX(O$470:O1006)&gt;X1005,X1005,(O1006-MAX(O$470:O1006))/MAX(O$470:O1006))</f>
        <v>-0.62788758315546067</v>
      </c>
    </row>
    <row r="1007" spans="1:24">
      <c r="A1007" s="799">
        <v>41409</v>
      </c>
      <c r="B1007">
        <v>114.5</v>
      </c>
      <c r="C1007">
        <v>137.433831</v>
      </c>
      <c r="D1007">
        <v>2.3350710000000001</v>
      </c>
      <c r="E1007">
        <f>LN(D1007/参数实验室!$E$53)/参数实验室!$E$55</f>
        <v>0.30751235758930001</v>
      </c>
      <c r="F1007">
        <f t="shared" si="98"/>
        <v>1.2002954672489083</v>
      </c>
      <c r="G1007">
        <f>LN(F1007/参数实验室!$E$58)/参数实验室!$E$59</f>
        <v>-9.4708603352859591E-2</v>
      </c>
      <c r="H1007" s="856">
        <f>INDEX(神经网络!$G$10:$BO$70,MATCH(ROUND(G1007*2,1)/2,神经网络!$E$10:$E$70,0),MATCH(ROUND(E1007*2,1)/2,神经网络!$G$8:$BO$8,0))</f>
        <v>1.374083265446286</v>
      </c>
      <c r="I1007">
        <f t="shared" si="100"/>
        <v>57.074929063841502</v>
      </c>
      <c r="J1007">
        <f t="shared" si="101"/>
        <v>45.688520011172706</v>
      </c>
      <c r="K1007">
        <f t="shared" si="102"/>
        <v>1.2492181635536532</v>
      </c>
      <c r="L1007" s="4">
        <f>MIN(MAX(L1006*(1+MAX(MIN(((B1007-B1006)/B1006)/($K$7*卓尔金历!$N$40),0),-卓尔金历!$M$43))+MIN(MAX(((B1007-B1006)/B1006)/($K$7*卓尔金历!$N$40),0),卓尔金历!$M$43),0),1)</f>
        <v>0.53125885818045315</v>
      </c>
      <c r="M1007" s="4">
        <f>MIN(MAX(M1006*(1+MAX(MIN(((B1007-B1006)/B1006)/($K$7*30),0),-卓尔金历!$M$43))+MIN(MAX(((B1007-B1006)/B1006)/($K$7*7),0),卓尔金历!$M$43),0),1)</f>
        <v>0.82527808415944992</v>
      </c>
      <c r="N1007">
        <f t="shared" si="103"/>
        <v>94.730703617808317</v>
      </c>
      <c r="O1007">
        <f t="shared" si="104"/>
        <v>136.16239257605457</v>
      </c>
      <c r="P1007">
        <f t="shared" si="105"/>
        <v>-2.287079706434551E-2</v>
      </c>
      <c r="Q1007">
        <f t="shared" si="106"/>
        <v>8.00920848704543E-2</v>
      </c>
      <c r="R1007">
        <f t="shared" si="107"/>
        <v>1</v>
      </c>
      <c r="S1007">
        <f t="shared" si="99"/>
        <v>4.4988655833751148</v>
      </c>
      <c r="T1007" s="564">
        <f>IF((I1007-MAX(I$470:I1007))/MAX(I$470:I1007)&gt;T1006,T1006,(I1007-MAX(I$470:I1007))/MAX(I$470:I1007))</f>
        <v>-0.91338805338419748</v>
      </c>
      <c r="U1007" s="564">
        <f>IF((J1007-MAX(J$470:J1007))/MAX(J$470:J1007)&gt;U1006,U1006,(J1007-MAX(J$470:J1007))/MAX(J$470:J1007))</f>
        <v>-0.70280130434782617</v>
      </c>
      <c r="V1007" s="564">
        <f>IF((K1007-MAX(K$470:K1007))/MAX(K$470:K1007)&gt;V1006,V1006,(K1007-MAX(K$470:K1007))/MAX(K$470:K1007))</f>
        <v>-0.80725522782524772</v>
      </c>
      <c r="W1007" s="564">
        <f>IF((N1007-MAX(N$470:N1007))/MAX(N$470:N1007)&gt;W1006,W1006,(N1007-MAX(N$470:N1007))/MAX(N$470:N1007))</f>
        <v>-0.62788758315546067</v>
      </c>
      <c r="X1007" s="564">
        <f>IF((O1007-MAX(O$470:O1007))/MAX(O$470:O1007)&gt;X1006,X1006,(O1007-MAX(O$470:O1007))/MAX(O$470:O1007))</f>
        <v>-0.62788758315546067</v>
      </c>
    </row>
    <row r="1008" spans="1:24">
      <c r="A1008" s="799">
        <v>41410</v>
      </c>
      <c r="B1008">
        <v>114.15600000000001</v>
      </c>
      <c r="C1008">
        <v>140.08970199999999</v>
      </c>
      <c r="D1008">
        <v>2.4147150000000002</v>
      </c>
      <c r="E1008">
        <f>LN(D1008/参数实验室!$E$53)/参数实验室!$E$55</f>
        <v>0.3470800664908878</v>
      </c>
      <c r="F1008">
        <f t="shared" si="98"/>
        <v>1.2271777392340304</v>
      </c>
      <c r="G1008">
        <f>LN(F1008/参数实验室!$E$58)/参数实验室!$E$59</f>
        <v>-8.3083473223124468E-2</v>
      </c>
      <c r="H1008" s="856">
        <f>INDEX(神经网络!$G$10:$BO$70,MATCH(ROUND(G1008*2,1)/2,神经网络!$E$10:$E$70,0),MATCH(ROUND(E1008*2,1)/2,神经网络!$G$8:$BO$8,0))</f>
        <v>1.4668103302743836</v>
      </c>
      <c r="I1008">
        <f t="shared" si="100"/>
        <v>56.839309478804942</v>
      </c>
      <c r="J1008">
        <f t="shared" si="101"/>
        <v>45.551254937951363</v>
      </c>
      <c r="K1008">
        <f t="shared" si="102"/>
        <v>1.2478099572938188</v>
      </c>
      <c r="L1008" s="4">
        <f>MIN(MAX(L1007*(1+MAX(MIN(((B1008-B1007)/B1007)/($K$7*卓尔金历!$N$40),0),-卓尔金历!$M$43))+MIN(MAX(((B1008-B1007)/B1007)/($K$7*卓尔金历!$N$40),0),卓尔金历!$M$43),0),1)</f>
        <v>0.50687203559136096</v>
      </c>
      <c r="M1008" s="4">
        <f>MIN(MAX(M1007*(1+MAX(MIN(((B1008-B1007)/B1007)/($K$7*30),0),-卓尔金历!$M$43))+MIN(MAX(((B1008-B1007)/B1007)/($K$7*7),0),卓尔金历!$M$43),0),1)</f>
        <v>0.80633636684485011</v>
      </c>
      <c r="N1008">
        <f t="shared" si="103"/>
        <v>94.522943131116904</v>
      </c>
      <c r="O1008">
        <f t="shared" si="104"/>
        <v>135.69849351587749</v>
      </c>
      <c r="P1008">
        <f t="shared" si="105"/>
        <v>-3.0043668122270227E-3</v>
      </c>
      <c r="Q1008">
        <f t="shared" si="106"/>
        <v>7.8550386540890707E-2</v>
      </c>
      <c r="R1008">
        <f t="shared" si="107"/>
        <v>1</v>
      </c>
      <c r="S1008">
        <f t="shared" si="99"/>
        <v>4.480293140810983</v>
      </c>
      <c r="T1008" s="564">
        <f>IF((I1008-MAX(I$470:I1008))/MAX(I$470:I1008)&gt;T1007,T1007,(I1008-MAX(I$470:I1008))/MAX(I$470:I1008))</f>
        <v>-0.91338805338419748</v>
      </c>
      <c r="U1008" s="564">
        <f>IF((J1008-MAX(J$470:J1008))/MAX(J$470:J1008)&gt;U1007,U1007,(J1008-MAX(J$470:J1008))/MAX(J$470:J1008))</f>
        <v>-0.70280130434782617</v>
      </c>
      <c r="V1008" s="564">
        <f>IF((K1008-MAX(K$470:K1008))/MAX(K$470:K1008)&gt;V1007,V1007,(K1008-MAX(K$470:K1008))/MAX(K$470:K1008))</f>
        <v>-0.80725522782524772</v>
      </c>
      <c r="W1008" s="564">
        <f>IF((N1008-MAX(N$470:N1008))/MAX(N$470:N1008)&gt;W1007,W1007,(N1008-MAX(N$470:N1008))/MAX(N$470:N1008))</f>
        <v>-0.62788758315546067</v>
      </c>
      <c r="X1008" s="564">
        <f>IF((O1008-MAX(O$470:O1008))/MAX(O$470:O1008)&gt;X1007,X1007,(O1008-MAX(O$470:O1008))/MAX(O$470:O1008))</f>
        <v>-0.62788758315546067</v>
      </c>
    </row>
    <row r="1009" spans="1:24">
      <c r="A1009" s="799">
        <v>41411</v>
      </c>
      <c r="B1009">
        <v>115.5</v>
      </c>
      <c r="C1009">
        <v>141.13537700000001</v>
      </c>
      <c r="D1009">
        <v>2.5009070000000002</v>
      </c>
      <c r="E1009">
        <f>LN(D1009/参数实验室!$E$53)/参数实验室!$E$55</f>
        <v>0.38845660627931899</v>
      </c>
      <c r="F1009">
        <f t="shared" si="98"/>
        <v>1.2219513160173161</v>
      </c>
      <c r="G1009">
        <f>LN(F1009/参数实验室!$E$58)/参数实验室!$E$59</f>
        <v>-8.5323545884259722E-2</v>
      </c>
      <c r="H1009" s="856">
        <f>INDEX(神经网络!$G$10:$BO$70,MATCH(ROUND(G1009*2,1)/2,神经网络!$E$10:$E$70,0),MATCH(ROUND(E1009*2,1)/2,神经网络!$G$8:$BO$8,0))</f>
        <v>1.5568769143241705</v>
      </c>
      <c r="I1009">
        <f t="shared" si="100"/>
        <v>57.820884004887922</v>
      </c>
      <c r="J1009">
        <f t="shared" si="101"/>
        <v>46.087546386816129</v>
      </c>
      <c r="K1009">
        <f t="shared" si="102"/>
        <v>1.2545880294774869</v>
      </c>
      <c r="L1009" s="4">
        <f>MIN(MAX(L1008*(1+MAX(MIN(((B1009-B1008)/B1008)/($K$7*卓尔金历!$N$40),0),-卓尔金历!$M$43))+MIN(MAX(((B1009-B1008)/B1008)/($K$7*卓尔金历!$N$40),0),卓尔金历!$M$43),0),1)</f>
        <v>0.68675772061608731</v>
      </c>
      <c r="M1009" s="4">
        <f>MIN(MAX(M1008*(1+MAX(MIN(((B1009-B1008)/B1008)/($K$7*30),0),-卓尔金历!$M$43))+MIN(MAX(((B1009-B1008)/B1008)/($K$7*7),0),卓尔金历!$M$43),0),1)</f>
        <v>1</v>
      </c>
      <c r="N1009">
        <f t="shared" si="103"/>
        <v>95.350332722423857</v>
      </c>
      <c r="O1009">
        <f t="shared" si="104"/>
        <v>137.58807558707232</v>
      </c>
      <c r="P1009">
        <f t="shared" si="105"/>
        <v>1.1773362766740198E-2</v>
      </c>
      <c r="Q1009">
        <f t="shared" si="106"/>
        <v>7.8412942943642108E-2</v>
      </c>
      <c r="R1009">
        <f t="shared" si="107"/>
        <v>1</v>
      </c>
      <c r="S1009">
        <f t="shared" si="99"/>
        <v>4.5576646229195799</v>
      </c>
      <c r="T1009" s="564">
        <f>IF((I1009-MAX(I$470:I1009))/MAX(I$470:I1009)&gt;T1008,T1008,(I1009-MAX(I$470:I1009))/MAX(I$470:I1009))</f>
        <v>-0.91338805338419748</v>
      </c>
      <c r="U1009" s="564">
        <f>IF((J1009-MAX(J$470:J1009))/MAX(J$470:J1009)&gt;U1008,U1008,(J1009-MAX(J$470:J1009))/MAX(J$470:J1009))</f>
        <v>-0.70280130434782617</v>
      </c>
      <c r="V1009" s="564">
        <f>IF((K1009-MAX(K$470:K1009))/MAX(K$470:K1009)&gt;V1008,V1008,(K1009-MAX(K$470:K1009))/MAX(K$470:K1009))</f>
        <v>-0.80725522782524772</v>
      </c>
      <c r="W1009" s="564">
        <f>IF((N1009-MAX(N$470:N1009))/MAX(N$470:N1009)&gt;W1008,W1008,(N1009-MAX(N$470:N1009))/MAX(N$470:N1009))</f>
        <v>-0.62788758315546067</v>
      </c>
      <c r="X1009" s="564">
        <f>IF((O1009-MAX(O$470:O1009))/MAX(O$470:O1009)&gt;X1008,X1008,(O1009-MAX(O$470:O1009))/MAX(O$470:O1009))</f>
        <v>-0.62788758315546067</v>
      </c>
    </row>
    <row r="1010" spans="1:24">
      <c r="A1010" s="799">
        <v>41412</v>
      </c>
      <c r="B1010">
        <v>123.1</v>
      </c>
      <c r="C1010">
        <v>141.11394899999999</v>
      </c>
      <c r="D1010">
        <v>2.5045380000000002</v>
      </c>
      <c r="E1010">
        <f>LN(D1010/参数实验室!$E$53)/参数实验室!$E$55</f>
        <v>0.390168216248163</v>
      </c>
      <c r="F1010">
        <f t="shared" si="98"/>
        <v>1.1463358976441917</v>
      </c>
      <c r="G1010">
        <f>LN(F1010/参数实验室!$E$58)/参数实验室!$E$59</f>
        <v>-0.11885035122156876</v>
      </c>
      <c r="H1010" s="856">
        <f>INDEX(神经网络!$G$10:$BO$70,MATCH(ROUND(G1010*2,1)/2,神经网络!$E$10:$E$70,0),MATCH(ROUND(E1010*2,1)/2,神经网络!$G$8:$BO$8,0))</f>
        <v>1.5568769143241705</v>
      </c>
      <c r="I1010">
        <f t="shared" si="100"/>
        <v>63.744277909606488</v>
      </c>
      <c r="J1010">
        <f t="shared" si="101"/>
        <v>49.120146841706188</v>
      </c>
      <c r="K1010">
        <f t="shared" si="102"/>
        <v>1.2977216480037772</v>
      </c>
      <c r="L1010" s="4">
        <f>MIN(MAX(L1009*(1+MAX(MIN(((B1010-B1009)/B1009)/($K$7*卓尔金历!$N$40),0),-卓尔金历!$M$43))+MIN(MAX(((B1010-B1009)/B1009)/($K$7*卓尔金历!$N$40),0),卓尔金历!$M$43),0),1)</f>
        <v>1</v>
      </c>
      <c r="M1010" s="4">
        <f>MIN(MAX(M1009*(1+MAX(MIN(((B1010-B1009)/B1009)/($K$7*30),0),-卓尔金历!$M$43))+MIN(MAX(((B1010-B1009)/B1009)/($K$7*7),0),卓尔金历!$M$43),0),1)</f>
        <v>1</v>
      </c>
      <c r="N1010">
        <f t="shared" si="103"/>
        <v>102.0586199631483</v>
      </c>
      <c r="O1010">
        <f t="shared" si="104"/>
        <v>151.68312761404457</v>
      </c>
      <c r="P1010">
        <f t="shared" si="105"/>
        <v>6.5800865800865749E-2</v>
      </c>
      <c r="Q1010">
        <f t="shared" si="106"/>
        <v>7.8597176213012224E-2</v>
      </c>
      <c r="R1010">
        <f t="shared" si="107"/>
        <v>0.27004991704722864</v>
      </c>
      <c r="S1010">
        <f t="shared" si="99"/>
        <v>5.0245693289228832</v>
      </c>
      <c r="T1010" s="564">
        <f>IF((I1010-MAX(I$470:I1010))/MAX(I$470:I1010)&gt;T1009,T1009,(I1010-MAX(I$470:I1010))/MAX(I$470:I1010))</f>
        <v>-0.91338805338419748</v>
      </c>
      <c r="U1010" s="564">
        <f>IF((J1010-MAX(J$470:J1010))/MAX(J$470:J1010)&gt;U1009,U1009,(J1010-MAX(J$470:J1010))/MAX(J$470:J1010))</f>
        <v>-0.70280130434782617</v>
      </c>
      <c r="V1010" s="564">
        <f>IF((K1010-MAX(K$470:K1010))/MAX(K$470:K1010)&gt;V1009,V1009,(K1010-MAX(K$470:K1010))/MAX(K$470:K1010))</f>
        <v>-0.80725522782524772</v>
      </c>
      <c r="W1010" s="564">
        <f>IF((N1010-MAX(N$470:N1010))/MAX(N$470:N1010)&gt;W1009,W1009,(N1010-MAX(N$470:N1010))/MAX(N$470:N1010))</f>
        <v>-0.62788758315546067</v>
      </c>
      <c r="X1010" s="564">
        <f>IF((O1010-MAX(O$470:O1010))/MAX(O$470:O1010)&gt;X1009,X1009,(O1010-MAX(O$470:O1010))/MAX(O$470:O1010))</f>
        <v>-0.62788758315546067</v>
      </c>
    </row>
    <row r="1011" spans="1:24">
      <c r="A1011" s="799">
        <v>41413</v>
      </c>
      <c r="B1011">
        <v>123.88</v>
      </c>
      <c r="C1011">
        <v>139.61119199999999</v>
      </c>
      <c r="D1011">
        <v>2.477449</v>
      </c>
      <c r="E1011">
        <f>LN(D1011/参数实验室!$E$53)/参数实验室!$E$55</f>
        <v>0.37733853580819421</v>
      </c>
      <c r="F1011">
        <f t="shared" si="98"/>
        <v>1.1269873425896029</v>
      </c>
      <c r="G1011">
        <f>LN(F1011/参数实验室!$E$58)/参数实验室!$E$59</f>
        <v>-0.12778477144869457</v>
      </c>
      <c r="H1011" s="856">
        <f>INDEX(神经网络!$G$10:$BO$70,MATCH(ROUND(G1011*2,1)/2,神经网络!$E$10:$E$70,0),MATCH(ROUND(E1011*2,1)/2,神经网络!$G$8:$BO$8,0))</f>
        <v>1.5130546766770299</v>
      </c>
      <c r="I1011">
        <f t="shared" si="100"/>
        <v>64.373106145709087</v>
      </c>
      <c r="J1011">
        <f t="shared" si="101"/>
        <v>49.431387414708063</v>
      </c>
      <c r="K1011">
        <f t="shared" si="102"/>
        <v>1.3022718865980119</v>
      </c>
      <c r="L1011" s="4">
        <f>MIN(MAX(L1010*(1+MAX(MIN(((B1011-B1010)/B1010)/($K$7*卓尔金历!$N$40),0),-卓尔金历!$M$43))+MIN(MAX(((B1011-B1010)/B1010)/($K$7*卓尔金历!$N$40),0),卓尔金历!$M$43),0),1)</f>
        <v>1</v>
      </c>
      <c r="M1011" s="4">
        <f>MIN(MAX(M1010*(1+MAX(MIN(((B1011-B1010)/B1010)/($K$7*30),0),-卓尔金历!$M$43))+MIN(MAX(((B1011-B1010)/B1010)/($K$7*7),0),卓尔金历!$M$43),0),1)</f>
        <v>1</v>
      </c>
      <c r="N1011">
        <f t="shared" si="103"/>
        <v>103.06541373468494</v>
      </c>
      <c r="O1011">
        <f t="shared" si="104"/>
        <v>153.17946009614317</v>
      </c>
      <c r="P1011">
        <f t="shared" si="105"/>
        <v>6.3363119415109758E-3</v>
      </c>
      <c r="Q1011">
        <f t="shared" si="106"/>
        <v>7.7841596342036093E-2</v>
      </c>
      <c r="R1011">
        <f t="shared" si="107"/>
        <v>1</v>
      </c>
      <c r="S1011">
        <f t="shared" si="99"/>
        <v>5.0379548018449025</v>
      </c>
      <c r="T1011" s="564">
        <f>IF((I1011-MAX(I$470:I1011))/MAX(I$470:I1011)&gt;T1010,T1010,(I1011-MAX(I$470:I1011))/MAX(I$470:I1011))</f>
        <v>-0.91338805338419748</v>
      </c>
      <c r="U1011" s="564">
        <f>IF((J1011-MAX(J$470:J1011))/MAX(J$470:J1011)&gt;U1010,U1010,(J1011-MAX(J$470:J1011))/MAX(J$470:J1011))</f>
        <v>-0.70280130434782617</v>
      </c>
      <c r="V1011" s="564">
        <f>IF((K1011-MAX(K$470:K1011))/MAX(K$470:K1011)&gt;V1010,V1010,(K1011-MAX(K$470:K1011))/MAX(K$470:K1011))</f>
        <v>-0.80725522782524772</v>
      </c>
      <c r="W1011" s="564">
        <f>IF((N1011-MAX(N$470:N1011))/MAX(N$470:N1011)&gt;W1010,W1010,(N1011-MAX(N$470:N1011))/MAX(N$470:N1011))</f>
        <v>-0.62788758315546067</v>
      </c>
      <c r="X1011" s="564">
        <f>IF((O1011-MAX(O$470:O1011))/MAX(O$470:O1011)&gt;X1010,X1010,(O1011-MAX(O$470:O1011))/MAX(O$470:O1011))</f>
        <v>-0.62788758315546067</v>
      </c>
    </row>
    <row r="1012" spans="1:24">
      <c r="A1012" s="799">
        <v>41414</v>
      </c>
      <c r="B1012">
        <v>120.501</v>
      </c>
      <c r="C1012">
        <v>141.942565</v>
      </c>
      <c r="D1012">
        <v>2.4893869999999998</v>
      </c>
      <c r="E1012">
        <f>LN(D1012/参数实验室!$E$53)/参数实验室!$E$55</f>
        <v>0.38300972017892476</v>
      </c>
      <c r="F1012">
        <f t="shared" si="98"/>
        <v>1.1779368221010613</v>
      </c>
      <c r="G1012">
        <f>LN(F1012/参数实验室!$E$58)/参数实验室!$E$59</f>
        <v>-0.10457758975173925</v>
      </c>
      <c r="H1012" s="856">
        <f>INDEX(神经网络!$G$10:$BO$70,MATCH(ROUND(G1012*2,1)/2,神经网络!$E$10:$E$70,0),MATCH(ROUND(E1012*2,1)/2,神经网络!$G$8:$BO$8,0))</f>
        <v>1.5568769143241705</v>
      </c>
      <c r="I1012">
        <f t="shared" si="100"/>
        <v>61.71638432600497</v>
      </c>
      <c r="J1012">
        <f t="shared" si="101"/>
        <v>48.08307729140892</v>
      </c>
      <c r="K1012">
        <f t="shared" si="102"/>
        <v>1.2835364914764291</v>
      </c>
      <c r="L1012" s="4">
        <f>MIN(MAX(L1011*(1+MAX(MIN(((B1012-B1011)/B1011)/($K$7*卓尔金历!$N$40),0),-卓尔金历!$M$43))+MIN(MAX(((B1012-B1011)/B1011)/($K$7*卓尔金历!$N$40),0),卓尔金历!$M$43),0),1)</f>
        <v>0.5832428364847374</v>
      </c>
      <c r="M1012" s="4">
        <f>MIN(MAX(M1011*(1+MAX(MIN(((B1012-B1011)/B1011)/($K$7*30),0),-卓尔金历!$M$43))+MIN(MAX(((B1012-B1011)/B1011)/($K$7*7),0),卓尔金历!$M$43),0),1)</f>
        <v>0.79162141824236865</v>
      </c>
      <c r="N1012">
        <f t="shared" si="103"/>
        <v>98.811834096846979</v>
      </c>
      <c r="O1012">
        <f t="shared" si="104"/>
        <v>146.85763972216941</v>
      </c>
      <c r="P1012">
        <f t="shared" si="105"/>
        <v>-2.7276396512754205E-2</v>
      </c>
      <c r="Q1012">
        <f t="shared" si="106"/>
        <v>7.8021406464428178E-2</v>
      </c>
      <c r="R1012">
        <f t="shared" si="107"/>
        <v>1</v>
      </c>
      <c r="S1012">
        <f t="shared" si="99"/>
        <v>4.8300349848572202</v>
      </c>
      <c r="T1012" s="564">
        <f>IF((I1012-MAX(I$470:I1012))/MAX(I$470:I1012)&gt;T1011,T1011,(I1012-MAX(I$470:I1012))/MAX(I$470:I1012))</f>
        <v>-0.91338805338419748</v>
      </c>
      <c r="U1012" s="564">
        <f>IF((J1012-MAX(J$470:J1012))/MAX(J$470:J1012)&gt;U1011,U1011,(J1012-MAX(J$470:J1012))/MAX(J$470:J1012))</f>
        <v>-0.70280130434782617</v>
      </c>
      <c r="V1012" s="564">
        <f>IF((K1012-MAX(K$470:K1012))/MAX(K$470:K1012)&gt;V1011,V1011,(K1012-MAX(K$470:K1012))/MAX(K$470:K1012))</f>
        <v>-0.80725522782524772</v>
      </c>
      <c r="W1012" s="564">
        <f>IF((N1012-MAX(N$470:N1012))/MAX(N$470:N1012)&gt;W1011,W1011,(N1012-MAX(N$470:N1012))/MAX(N$470:N1012))</f>
        <v>-0.62788758315546067</v>
      </c>
      <c r="X1012" s="564">
        <f>IF((O1012-MAX(O$470:O1012))/MAX(O$470:O1012)&gt;X1011,X1011,(O1012-MAX(O$470:O1012))/MAX(O$470:O1012))</f>
        <v>-0.62788758315546067</v>
      </c>
    </row>
    <row r="1013" spans="1:24">
      <c r="A1013" s="799">
        <v>41415</v>
      </c>
      <c r="B1013">
        <v>122.58</v>
      </c>
      <c r="C1013">
        <v>144.34800200000001</v>
      </c>
      <c r="D1013">
        <v>2.4741520000000001</v>
      </c>
      <c r="E1013">
        <f>LN(D1013/参数实验室!$E$53)/参数实验室!$E$55</f>
        <v>0.37576746939141248</v>
      </c>
      <c r="F1013">
        <f t="shared" si="98"/>
        <v>1.1775820035894926</v>
      </c>
      <c r="G1013">
        <f>LN(F1013/参数实验室!$E$58)/参数实验室!$E$59</f>
        <v>-0.10473571027256413</v>
      </c>
      <c r="H1013" s="856">
        <f>INDEX(神经网络!$G$10:$BO$70,MATCH(ROUND(G1013*2,1)/2,神经网络!$E$10:$E$70,0),MATCH(ROUND(E1013*2,1)/2,神经网络!$G$8:$BO$8,0))</f>
        <v>1.5568769143241705</v>
      </c>
      <c r="I1013">
        <f t="shared" si="100"/>
        <v>63.374132629262661</v>
      </c>
      <c r="J1013">
        <f t="shared" si="101"/>
        <v>48.912653126371609</v>
      </c>
      <c r="K1013">
        <f t="shared" si="102"/>
        <v>1.2956592737982975</v>
      </c>
      <c r="L1013" s="4">
        <f>MIN(MAX(L1012*(1+MAX(MIN(((B1013-B1012)/B1012)/($K$7*卓尔金历!$N$40),0),-卓尔金历!$M$43))+MIN(MAX(((B1013-B1012)/B1012)/($K$7*卓尔金历!$N$40),0),卓尔金历!$M$43),0),1)</f>
        <v>0.84685164415394065</v>
      </c>
      <c r="M1013" s="4">
        <f>MIN(MAX(M1012*(1+MAX(MIN(((B1013-B1012)/B1012)/($K$7*30),0),-卓尔金历!$M$43))+MIN(MAX(((B1013-B1012)/B1012)/($K$7*7),0),卓尔金历!$M$43),0),1)</f>
        <v>1</v>
      </c>
      <c r="N1013">
        <f t="shared" si="103"/>
        <v>100.35985382522819</v>
      </c>
      <c r="O1013">
        <f t="shared" si="104"/>
        <v>149.98035362821258</v>
      </c>
      <c r="P1013">
        <f t="shared" si="105"/>
        <v>1.7252968855030193E-2</v>
      </c>
      <c r="Q1013">
        <f t="shared" si="106"/>
        <v>7.7305719779991108E-2</v>
      </c>
      <c r="R1013">
        <f t="shared" si="107"/>
        <v>1</v>
      </c>
      <c r="S1013">
        <f t="shared" si="99"/>
        <v>4.9597733418310668</v>
      </c>
      <c r="T1013" s="564">
        <f>IF((I1013-MAX(I$470:I1013))/MAX(I$470:I1013)&gt;T1012,T1012,(I1013-MAX(I$470:I1013))/MAX(I$470:I1013))</f>
        <v>-0.91338805338419748</v>
      </c>
      <c r="U1013" s="564">
        <f>IF((J1013-MAX(J$470:J1013))/MAX(J$470:J1013)&gt;U1012,U1012,(J1013-MAX(J$470:J1013))/MAX(J$470:J1013))</f>
        <v>-0.70280130434782617</v>
      </c>
      <c r="V1013" s="564">
        <f>IF((K1013-MAX(K$470:K1013))/MAX(K$470:K1013)&gt;V1012,V1012,(K1013-MAX(K$470:K1013))/MAX(K$470:K1013))</f>
        <v>-0.80725522782524772</v>
      </c>
      <c r="W1013" s="564">
        <f>IF((N1013-MAX(N$470:N1013))/MAX(N$470:N1013)&gt;W1012,W1012,(N1013-MAX(N$470:N1013))/MAX(N$470:N1013))</f>
        <v>-0.62788758315546067</v>
      </c>
      <c r="X1013" s="564">
        <f>IF((O1013-MAX(O$470:O1013))/MAX(O$470:O1013)&gt;X1012,X1012,(O1013-MAX(O$470:O1013))/MAX(O$470:O1013))</f>
        <v>-0.62788758315546067</v>
      </c>
    </row>
    <row r="1014" spans="1:24">
      <c r="A1014" s="799">
        <v>41416</v>
      </c>
      <c r="B1014">
        <v>122.9</v>
      </c>
      <c r="C1014">
        <v>144.241444</v>
      </c>
      <c r="D1014">
        <v>2.5048509999999999</v>
      </c>
      <c r="E1014">
        <f>LN(D1014/参数实验室!$E$53)/参数实验室!$E$55</f>
        <v>0.39031564451370337</v>
      </c>
      <c r="F1014">
        <f t="shared" si="98"/>
        <v>1.1736488527257933</v>
      </c>
      <c r="G1014">
        <f>LN(F1014/参数实验室!$E$58)/参数实验室!$E$59</f>
        <v>-0.10649166890405577</v>
      </c>
      <c r="H1014" s="856">
        <f>INDEX(神经网络!$G$10:$BO$70,MATCH(ROUND(G1014*2,1)/2,神经网络!$E$10:$E$70,0),MATCH(ROUND(E1014*2,1)/2,神经网络!$G$8:$BO$8,0))</f>
        <v>1.5568769143241705</v>
      </c>
      <c r="I1014">
        <f t="shared" si="100"/>
        <v>63.631703454012722</v>
      </c>
      <c r="J1014">
        <f t="shared" si="101"/>
        <v>49.04034156657751</v>
      </c>
      <c r="K1014">
        <f t="shared" si="102"/>
        <v>1.2975379334914681</v>
      </c>
      <c r="L1014" s="4">
        <f>MIN(MAX(L1013*(1+MAX(MIN(((B1014-B1013)/B1013)/($K$7*卓尔金历!$N$40),0),-卓尔金历!$M$43))+MIN(MAX(((B1014-B1013)/B1013)/($K$7*卓尔金历!$N$40),0),卓尔金历!$M$43),0),1)</f>
        <v>0.88673819105369756</v>
      </c>
      <c r="M1014" s="4">
        <f>MIN(MAX(M1013*(1+MAX(MIN(((B1014-B1013)/B1013)/($K$7*30),0),-卓尔金历!$M$43))+MIN(MAX(((B1014-B1013)/B1013)/($K$7*7),0),卓尔金历!$M$43),0),1)</f>
        <v>1</v>
      </c>
      <c r="N1014">
        <f t="shared" si="103"/>
        <v>100.70527741667797</v>
      </c>
      <c r="O1014">
        <f t="shared" si="104"/>
        <v>150.58991721161203</v>
      </c>
      <c r="P1014">
        <f t="shared" si="105"/>
        <v>2.6105400554740366E-3</v>
      </c>
      <c r="Q1014">
        <f t="shared" si="106"/>
        <v>7.6714707634424048E-2</v>
      </c>
      <c r="R1014">
        <f t="shared" si="107"/>
        <v>1</v>
      </c>
      <c r="S1014">
        <f t="shared" si="99"/>
        <v>4.9799312967762193</v>
      </c>
      <c r="T1014" s="564">
        <f>IF((I1014-MAX(I$470:I1014))/MAX(I$470:I1014)&gt;T1013,T1013,(I1014-MAX(I$470:I1014))/MAX(I$470:I1014))</f>
        <v>-0.91338805338419748</v>
      </c>
      <c r="U1014" s="564">
        <f>IF((J1014-MAX(J$470:J1014))/MAX(J$470:J1014)&gt;U1013,U1013,(J1014-MAX(J$470:J1014))/MAX(J$470:J1014))</f>
        <v>-0.70280130434782617</v>
      </c>
      <c r="V1014" s="564">
        <f>IF((K1014-MAX(K$470:K1014))/MAX(K$470:K1014)&gt;V1013,V1013,(K1014-MAX(K$470:K1014))/MAX(K$470:K1014))</f>
        <v>-0.80725522782524772</v>
      </c>
      <c r="W1014" s="564">
        <f>IF((N1014-MAX(N$470:N1014))/MAX(N$470:N1014)&gt;W1013,W1013,(N1014-MAX(N$470:N1014))/MAX(N$470:N1014))</f>
        <v>-0.62788758315546067</v>
      </c>
      <c r="X1014" s="564">
        <f>IF((O1014-MAX(O$470:O1014))/MAX(O$470:O1014)&gt;X1013,X1013,(O1014-MAX(O$470:O1014))/MAX(O$470:O1014))</f>
        <v>-0.62788758315546067</v>
      </c>
    </row>
    <row r="1015" spans="1:24">
      <c r="A1015" s="799">
        <v>41417</v>
      </c>
      <c r="B1015">
        <v>123</v>
      </c>
      <c r="C1015">
        <v>143.88269299999999</v>
      </c>
      <c r="D1015">
        <v>2.5951110000000002</v>
      </c>
      <c r="E1015">
        <f>LN(D1015/参数实验室!$E$53)/参数实验室!$E$55</f>
        <v>0.4320789548176367</v>
      </c>
      <c r="F1015">
        <f t="shared" si="98"/>
        <v>1.1697779918699187</v>
      </c>
      <c r="G1015">
        <f>LN(F1015/参数实验室!$E$58)/参数实验室!$E$59</f>
        <v>-0.1082255730989528</v>
      </c>
      <c r="H1015" s="856">
        <f>INDEX(神经网络!$G$10:$BO$70,MATCH(ROUND(G1015*2,1)/2,神经网络!$E$10:$E$70,0),MATCH(ROUND(E1015*2,1)/2,神经网络!$G$8:$BO$8,0))</f>
        <v>1.6426987747607855</v>
      </c>
      <c r="I1015">
        <f t="shared" si="100"/>
        <v>63.712311045653621</v>
      </c>
      <c r="J1015">
        <f t="shared" si="101"/>
        <v>49.080244204141856</v>
      </c>
      <c r="K1015">
        <f t="shared" si="102"/>
        <v>1.2981253878984769</v>
      </c>
      <c r="L1015" s="4">
        <f>MIN(MAX(L1014*(1+MAX(MIN(((B1015-B1014)/B1014)/($K$7*卓尔金历!$N$40),0),-卓尔金历!$M$43))+MIN(MAX(((B1015-B1014)/B1014)/($K$7*卓尔金历!$N$40),0),卓尔金历!$M$43),0),1)</f>
        <v>0.89917028248721009</v>
      </c>
      <c r="M1015" s="4">
        <f>MIN(MAX(M1014*(1+MAX(MIN(((B1015-B1014)/B1014)/($K$7*30),0),-卓尔金历!$M$43))+MIN(MAX(((B1015-B1014)/B1014)/($K$7*7),0),卓尔金历!$M$43),0),1)</f>
        <v>1</v>
      </c>
      <c r="N1015">
        <f t="shared" si="103"/>
        <v>100.81840018894788</v>
      </c>
      <c r="O1015">
        <f t="shared" si="104"/>
        <v>150.78068203312279</v>
      </c>
      <c r="P1015">
        <f t="shared" si="105"/>
        <v>8.1366965012200413E-4</v>
      </c>
      <c r="Q1015">
        <f t="shared" si="106"/>
        <v>7.0666438201625117E-2</v>
      </c>
      <c r="R1015">
        <f t="shared" si="107"/>
        <v>1</v>
      </c>
      <c r="S1015">
        <f t="shared" si="99"/>
        <v>4.9862397915450316</v>
      </c>
      <c r="T1015" s="564">
        <f>IF((I1015-MAX(I$470:I1015))/MAX(I$470:I1015)&gt;T1014,T1014,(I1015-MAX(I$470:I1015))/MAX(I$470:I1015))</f>
        <v>-0.91338805338419748</v>
      </c>
      <c r="U1015" s="564">
        <f>IF((J1015-MAX(J$470:J1015))/MAX(J$470:J1015)&gt;U1014,U1014,(J1015-MAX(J$470:J1015))/MAX(J$470:J1015))</f>
        <v>-0.70280130434782617</v>
      </c>
      <c r="V1015" s="564">
        <f>IF((K1015-MAX(K$470:K1015))/MAX(K$470:K1015)&gt;V1014,V1014,(K1015-MAX(K$470:K1015))/MAX(K$470:K1015))</f>
        <v>-0.80725522782524772</v>
      </c>
      <c r="W1015" s="564">
        <f>IF((N1015-MAX(N$470:N1015))/MAX(N$470:N1015)&gt;W1014,W1014,(N1015-MAX(N$470:N1015))/MAX(N$470:N1015))</f>
        <v>-0.62788758315546067</v>
      </c>
      <c r="X1015" s="564">
        <f>IF((O1015-MAX(O$470:O1015))/MAX(O$470:O1015)&gt;X1014,X1014,(O1015-MAX(O$470:O1015))/MAX(O$470:O1015))</f>
        <v>-0.62788758315546067</v>
      </c>
    </row>
    <row r="1016" spans="1:24">
      <c r="A1016" s="799">
        <v>41418</v>
      </c>
      <c r="B1016">
        <v>125.748</v>
      </c>
      <c r="C1016">
        <v>143.43015500000001</v>
      </c>
      <c r="D1016">
        <v>2.690725</v>
      </c>
      <c r="E1016">
        <f>LN(D1016/参数实验室!$E$53)/参数实验室!$E$55</f>
        <v>0.47476405967959734</v>
      </c>
      <c r="F1016">
        <f t="shared" si="98"/>
        <v>1.140615795082228</v>
      </c>
      <c r="G1016">
        <f>LN(F1016/参数实验室!$E$58)/参数实验室!$E$59</f>
        <v>-0.12147587691731729</v>
      </c>
      <c r="H1016" s="856">
        <f>INDEX(神经网络!$G$10:$BO$70,MATCH(ROUND(G1016*2,1)/2,神经网络!$E$10:$E$70,0),MATCH(ROUND(E1016*2,1)/2,神经网络!$G$8:$BO$8,0))</f>
        <v>1.6426987747607855</v>
      </c>
      <c r="I1016">
        <f t="shared" si="100"/>
        <v>66.050571629247671</v>
      </c>
      <c r="J1016">
        <f t="shared" si="101"/>
        <v>50.17676868441</v>
      </c>
      <c r="K1016">
        <f t="shared" si="102"/>
        <v>1.316357616503306</v>
      </c>
      <c r="L1016" s="4">
        <f>MIN(MAX(L1015*(1+MAX(MIN(((B1016-B1015)/B1015)/($K$7*卓尔金历!$N$40),0),-卓尔金历!$M$43))+MIN(MAX(((B1016-B1015)/B1015)/($K$7*卓尔金历!$N$40),0),卓尔金历!$M$43),0),1)</f>
        <v>1</v>
      </c>
      <c r="M1016" s="4">
        <f>MIN(MAX(M1015*(1+MAX(MIN(((B1016-B1015)/B1015)/($K$7*30),0),-卓尔金历!$M$43))+MIN(MAX(((B1016-B1015)/B1015)/($K$7*7),0),卓尔金历!$M$43),0),1)</f>
        <v>1</v>
      </c>
      <c r="N1016">
        <f t="shared" si="103"/>
        <v>104.14538866742819</v>
      </c>
      <c r="O1016">
        <f t="shared" si="104"/>
        <v>156.31437748034719</v>
      </c>
      <c r="P1016">
        <f t="shared" si="105"/>
        <v>2.2341463414634184E-2</v>
      </c>
      <c r="Q1016">
        <f t="shared" si="106"/>
        <v>6.5347108307000065E-2</v>
      </c>
      <c r="R1016">
        <f t="shared" si="107"/>
        <v>1</v>
      </c>
      <c r="S1016">
        <f t="shared" si="99"/>
        <v>5.169236260729198</v>
      </c>
      <c r="T1016" s="564">
        <f>IF((I1016-MAX(I$470:I1016))/MAX(I$470:I1016)&gt;T1015,T1015,(I1016-MAX(I$470:I1016))/MAX(I$470:I1016))</f>
        <v>-0.91338805338419748</v>
      </c>
      <c r="U1016" s="564">
        <f>IF((J1016-MAX(J$470:J1016))/MAX(J$470:J1016)&gt;U1015,U1015,(J1016-MAX(J$470:J1016))/MAX(J$470:J1016))</f>
        <v>-0.70280130434782617</v>
      </c>
      <c r="V1016" s="564">
        <f>IF((K1016-MAX(K$470:K1016))/MAX(K$470:K1016)&gt;V1015,V1015,(K1016-MAX(K$470:K1016))/MAX(K$470:K1016))</f>
        <v>-0.80725522782524772</v>
      </c>
      <c r="W1016" s="564">
        <f>IF((N1016-MAX(N$470:N1016))/MAX(N$470:N1016)&gt;W1015,W1015,(N1016-MAX(N$470:N1016))/MAX(N$470:N1016))</f>
        <v>-0.62788758315546067</v>
      </c>
      <c r="X1016" s="564">
        <f>IF((O1016-MAX(O$470:O1016))/MAX(O$470:O1016)&gt;X1015,X1015,(O1016-MAX(O$470:O1016))/MAX(O$470:O1016))</f>
        <v>-0.62788758315546067</v>
      </c>
    </row>
    <row r="1017" spans="1:24">
      <c r="A1017" s="799">
        <v>41419</v>
      </c>
      <c r="B1017">
        <v>131.69999999999999</v>
      </c>
      <c r="C1017">
        <v>144.236693</v>
      </c>
      <c r="D1017">
        <v>2.654722</v>
      </c>
      <c r="E1017">
        <f>LN(D1017/参数实验室!$E$53)/参数实验室!$E$55</f>
        <v>0.45887191882377582</v>
      </c>
      <c r="F1017">
        <f t="shared" si="98"/>
        <v>1.0951912908124526</v>
      </c>
      <c r="G1017">
        <f>LN(F1017/参数实验室!$E$58)/参数实验室!$E$59</f>
        <v>-0.14280554889735822</v>
      </c>
      <c r="H1017" s="856">
        <f>INDEX(神经网络!$G$10:$BO$70,MATCH(ROUND(G1017*2,1)/2,神经网络!$E$10:$E$70,0),MATCH(ROUND(E1017*2,1)/2,神经网络!$G$8:$BO$8,0))</f>
        <v>1.5988011710636514</v>
      </c>
      <c r="I1017">
        <f t="shared" si="100"/>
        <v>71.186232643796458</v>
      </c>
      <c r="J1017">
        <f t="shared" si="101"/>
        <v>52.55177367223969</v>
      </c>
      <c r="K1017">
        <f t="shared" si="102"/>
        <v>1.354592388979639</v>
      </c>
      <c r="L1017" s="4">
        <f>MIN(MAX(L1016*(1+MAX(MIN(((B1017-B1016)/B1016)/($K$7*卓尔金历!$N$40),0),-卓尔金历!$M$43))+MIN(MAX(((B1017-B1016)/B1016)/($K$7*卓尔金历!$N$40),0),卓尔金历!$M$43),0),1)</f>
        <v>1</v>
      </c>
      <c r="M1017" s="4">
        <f>MIN(MAX(M1016*(1+MAX(MIN(((B1017-B1016)/B1016)/($K$7*30),0),-卓尔金历!$M$43))+MIN(MAX(((B1017-B1016)/B1016)/($K$7*7),0),卓尔金历!$M$43),0),1)</f>
        <v>1</v>
      </c>
      <c r="N1017">
        <f t="shared" si="103"/>
        <v>112.24305382355386</v>
      </c>
      <c r="O1017">
        <f t="shared" si="104"/>
        <v>168.46836244425333</v>
      </c>
      <c r="P1017">
        <f t="shared" si="105"/>
        <v>4.7332760759614338E-2</v>
      </c>
      <c r="Q1017">
        <f t="shared" si="106"/>
        <v>5.8694862198099218E-2</v>
      </c>
      <c r="R1017">
        <f t="shared" si="107"/>
        <v>0.29455603190925234</v>
      </c>
      <c r="S1017">
        <f t="shared" si="99"/>
        <v>5.5711623074594803</v>
      </c>
      <c r="T1017" s="564">
        <f>IF((I1017-MAX(I$470:I1017))/MAX(I$470:I1017)&gt;T1016,T1016,(I1017-MAX(I$470:I1017))/MAX(I$470:I1017))</f>
        <v>-0.91338805338419748</v>
      </c>
      <c r="U1017" s="564">
        <f>IF((J1017-MAX(J$470:J1017))/MAX(J$470:J1017)&gt;U1016,U1016,(J1017-MAX(J$470:J1017))/MAX(J$470:J1017))</f>
        <v>-0.70280130434782617</v>
      </c>
      <c r="V1017" s="564">
        <f>IF((K1017-MAX(K$470:K1017))/MAX(K$470:K1017)&gt;V1016,V1016,(K1017-MAX(K$470:K1017))/MAX(K$470:K1017))</f>
        <v>-0.80725522782524772</v>
      </c>
      <c r="W1017" s="564">
        <f>IF((N1017-MAX(N$470:N1017))/MAX(N$470:N1017)&gt;W1016,W1016,(N1017-MAX(N$470:N1017))/MAX(N$470:N1017))</f>
        <v>-0.62788758315546067</v>
      </c>
      <c r="X1017" s="564">
        <f>IF((O1017-MAX(O$470:O1017))/MAX(O$470:O1017)&gt;X1016,X1016,(O1017-MAX(O$470:O1017))/MAX(O$470:O1017))</f>
        <v>-0.62788758315546067</v>
      </c>
    </row>
    <row r="1018" spans="1:24">
      <c r="A1018" s="799">
        <v>41420</v>
      </c>
      <c r="B1018">
        <v>130.77000000000001</v>
      </c>
      <c r="C1018">
        <v>145.13777899999999</v>
      </c>
      <c r="D1018">
        <v>2.6774089999999999</v>
      </c>
      <c r="E1018">
        <f>LN(D1018/参数实验室!$E$53)/参数实验室!$E$55</f>
        <v>0.46891114080005108</v>
      </c>
      <c r="F1018">
        <f t="shared" si="98"/>
        <v>1.1098706048787947</v>
      </c>
      <c r="G1018">
        <f>LN(F1018/参数实验室!$E$58)/参数实验室!$E$59</f>
        <v>-0.13581743562147752</v>
      </c>
      <c r="H1018" s="856">
        <f>INDEX(神经网络!$G$10:$BO$70,MATCH(ROUND(G1018*2,1)/2,神经网络!$E$10:$E$70,0),MATCH(ROUND(E1018*2,1)/2,神经网络!$G$8:$BO$8,0))</f>
        <v>1.5988011710636514</v>
      </c>
      <c r="I1018">
        <f t="shared" si="100"/>
        <v>70.38254435323843</v>
      </c>
      <c r="J1018">
        <f t="shared" si="101"/>
        <v>52.180679142891314</v>
      </c>
      <c r="K1018">
        <f t="shared" si="102"/>
        <v>1.3488238464758808</v>
      </c>
      <c r="L1018" s="4">
        <f>MIN(MAX(L1017*(1+MAX(MIN(((B1018-B1017)/B1017)/($K$7*卓尔金历!$N$40),0),-卓尔金历!$M$43))+MIN(MAX(((B1018-B1017)/B1017)/($K$7*卓尔金历!$N$40),0),卓尔金历!$M$43),0),1)</f>
        <v>0.89210700420833489</v>
      </c>
      <c r="M1018" s="4">
        <f>MIN(MAX(M1017*(1+MAX(MIN(((B1018-B1017)/B1017)/($K$7*30),0),-卓尔金历!$M$43))+MIN(MAX(((B1018-B1017)/B1017)/($K$7*7),0),卓尔金历!$M$43),0),1)</f>
        <v>0.9460535021041675</v>
      </c>
      <c r="N1018">
        <f t="shared" si="103"/>
        <v>110.97583648806355</v>
      </c>
      <c r="O1018">
        <f t="shared" si="104"/>
        <v>166.56636475175804</v>
      </c>
      <c r="P1018">
        <f t="shared" si="105"/>
        <v>-7.0615034168563283E-3</v>
      </c>
      <c r="Q1018">
        <f t="shared" si="106"/>
        <v>3.7364042470054842E-2</v>
      </c>
      <c r="R1018">
        <f t="shared" si="107"/>
        <v>1</v>
      </c>
      <c r="S1018">
        <f t="shared" si="99"/>
        <v>5.552635296301097</v>
      </c>
      <c r="T1018" s="564">
        <f>IF((I1018-MAX(I$470:I1018))/MAX(I$470:I1018)&gt;T1017,T1017,(I1018-MAX(I$470:I1018))/MAX(I$470:I1018))</f>
        <v>-0.91338805338419748</v>
      </c>
      <c r="U1018" s="564">
        <f>IF((J1018-MAX(J$470:J1018))/MAX(J$470:J1018)&gt;U1017,U1017,(J1018-MAX(J$470:J1018))/MAX(J$470:J1018))</f>
        <v>-0.70280130434782617</v>
      </c>
      <c r="V1018" s="564">
        <f>IF((K1018-MAX(K$470:K1018))/MAX(K$470:K1018)&gt;V1017,V1017,(K1018-MAX(K$470:K1018))/MAX(K$470:K1018))</f>
        <v>-0.80725522782524772</v>
      </c>
      <c r="W1018" s="564">
        <f>IF((N1018-MAX(N$470:N1018))/MAX(N$470:N1018)&gt;W1017,W1017,(N1018-MAX(N$470:N1018))/MAX(N$470:N1018))</f>
        <v>-0.62788758315546067</v>
      </c>
      <c r="X1018" s="564">
        <f>IF((O1018-MAX(O$470:O1018))/MAX(O$470:O1018)&gt;X1017,X1017,(O1018-MAX(O$470:O1018))/MAX(O$470:O1018))</f>
        <v>-0.62788758315546067</v>
      </c>
    </row>
    <row r="1019" spans="1:24">
      <c r="A1019" s="799">
        <v>41421</v>
      </c>
      <c r="B1019">
        <v>134.6</v>
      </c>
      <c r="C1019">
        <v>142.70587</v>
      </c>
      <c r="D1019">
        <v>2.5942470000000002</v>
      </c>
      <c r="E1019">
        <f>LN(D1019/参数实验室!$E$53)/参数实验室!$E$55</f>
        <v>0.43168610976350447</v>
      </c>
      <c r="F1019">
        <f t="shared" si="98"/>
        <v>1.0602219167904905</v>
      </c>
      <c r="G1019">
        <f>LN(F1019/参数实验室!$E$58)/参数实验室!$E$59</f>
        <v>-0.15983748307802167</v>
      </c>
      <c r="H1019" s="856">
        <f>INDEX(神经网络!$G$10:$BO$70,MATCH(ROUND(G1019*2,1)/2,神经网络!$E$10:$E$70,0),MATCH(ROUND(E1019*2,1)/2,神经网络!$G$8:$BO$8,0))</f>
        <v>1.5988011710636514</v>
      </c>
      <c r="I1019">
        <f t="shared" si="100"/>
        <v>73.678262555431118</v>
      </c>
      <c r="J1019">
        <f t="shared" si="101"/>
        <v>53.708950161605642</v>
      </c>
      <c r="K1019">
        <f t="shared" si="102"/>
        <v>1.3718060459893466</v>
      </c>
      <c r="L1019" s="4">
        <f>MIN(MAX(L1018*(1+MAX(MIN(((B1019-B1018)/B1018)/($K$7*卓尔金历!$N$40),0),-卓尔金历!$M$43))+MIN(MAX(((B1019-B1018)/B1018)/($K$7*卓尔金历!$N$40),0),卓尔金历!$M$43),0),1)</f>
        <v>1</v>
      </c>
      <c r="M1019" s="4">
        <f>MIN(MAX(M1018*(1+MAX(MIN(((B1019-B1018)/B1018)/($K$7*30),0),-卓尔金历!$M$43))+MIN(MAX(((B1019-B1018)/B1018)/($K$7*7),0),卓尔金历!$M$43),0),1)</f>
        <v>1</v>
      </c>
      <c r="N1019">
        <f t="shared" si="103"/>
        <v>115.61169832671266</v>
      </c>
      <c r="O1019">
        <f t="shared" si="104"/>
        <v>173.94520508835257</v>
      </c>
      <c r="P1019">
        <f t="shared" si="105"/>
        <v>2.9288063011393927E-2</v>
      </c>
      <c r="Q1019">
        <f t="shared" si="106"/>
        <v>3.6528907146478856E-2</v>
      </c>
      <c r="R1019">
        <f t="shared" si="107"/>
        <v>0.26654254882156508</v>
      </c>
      <c r="S1019">
        <f t="shared" si="99"/>
        <v>5.8126418275272611</v>
      </c>
      <c r="T1019" s="564">
        <f>IF((I1019-MAX(I$470:I1019))/MAX(I$470:I1019)&gt;T1018,T1018,(I1019-MAX(I$470:I1019))/MAX(I$470:I1019))</f>
        <v>-0.91338805338419748</v>
      </c>
      <c r="U1019" s="564">
        <f>IF((J1019-MAX(J$470:J1019))/MAX(J$470:J1019)&gt;U1018,U1018,(J1019-MAX(J$470:J1019))/MAX(J$470:J1019))</f>
        <v>-0.70280130434782617</v>
      </c>
      <c r="V1019" s="564">
        <f>IF((K1019-MAX(K$470:K1019))/MAX(K$470:K1019)&gt;V1018,V1018,(K1019-MAX(K$470:K1019))/MAX(K$470:K1019))</f>
        <v>-0.80725522782524772</v>
      </c>
      <c r="W1019" s="564">
        <f>IF((N1019-MAX(N$470:N1019))/MAX(N$470:N1019)&gt;W1018,W1018,(N1019-MAX(N$470:N1019))/MAX(N$470:N1019))</f>
        <v>-0.62788758315546067</v>
      </c>
      <c r="X1019" s="564">
        <f>IF((O1019-MAX(O$470:O1019))/MAX(O$470:O1019)&gt;X1018,X1018,(O1019-MAX(O$470:O1019))/MAX(O$470:O1019))</f>
        <v>-0.62788758315546067</v>
      </c>
    </row>
    <row r="1020" spans="1:24">
      <c r="A1020" s="799">
        <v>41422</v>
      </c>
      <c r="B1020">
        <v>128.98500000000001</v>
      </c>
      <c r="C1020">
        <v>144.58281500000001</v>
      </c>
      <c r="D1020">
        <v>2.5784639999999999</v>
      </c>
      <c r="E1020">
        <f>LN(D1020/参数实验室!$E$53)/参数实验室!$E$55</f>
        <v>0.42448675018852977</v>
      </c>
      <c r="F1020">
        <f t="shared" si="98"/>
        <v>1.1209273558940962</v>
      </c>
      <c r="G1020">
        <f>LN(F1020/参数实验室!$E$58)/参数实验室!$E$59</f>
        <v>-0.13061460856425466</v>
      </c>
      <c r="H1020" s="856">
        <f>INDEX(神经网络!$G$10:$BO$70,MATCH(ROUND(G1020*2,1)/2,神经网络!$E$10:$E$70,0),MATCH(ROUND(E1020*2,1)/2,神经网络!$G$8:$BO$8,0))</f>
        <v>1.5130546766770299</v>
      </c>
      <c r="I1020">
        <f t="shared" si="100"/>
        <v>68.76422428546114</v>
      </c>
      <c r="J1020">
        <f t="shared" si="101"/>
        <v>51.468417062367791</v>
      </c>
      <c r="K1020">
        <f t="shared" si="102"/>
        <v>1.336047001448186</v>
      </c>
      <c r="L1020" s="4">
        <f>MIN(MAX(L1019*(1+MAX(MIN(((B1020-B1019)/B1019)/($K$7*卓尔金历!$N$40),0),-卓尔金历!$M$43))+MIN(MAX(((B1020-B1019)/B1019)/($K$7*卓尔金历!$N$40),0),卓尔金历!$M$43),0),1)</f>
        <v>0.36261655506992552</v>
      </c>
      <c r="M1020" s="4">
        <f>MIN(MAX(M1019*(1+MAX(MIN(((B1020-B1019)/B1019)/($K$7*30),0),-卓尔金历!$M$43))+MIN(MAX(((B1020-B1019)/B1019)/($K$7*7),0),卓尔金历!$M$43),0),1)</f>
        <v>0.68130827753496281</v>
      </c>
      <c r="N1020">
        <f t="shared" si="103"/>
        <v>107.90087168220174</v>
      </c>
      <c r="O1020">
        <f t="shared" si="104"/>
        <v>162.34377252146948</v>
      </c>
      <c r="P1020">
        <f t="shared" si="105"/>
        <v>-4.1716196136701196E-2</v>
      </c>
      <c r="Q1020">
        <f t="shared" si="106"/>
        <v>3.7962222291021176E-2</v>
      </c>
      <c r="R1020">
        <f t="shared" si="107"/>
        <v>3.3084306635967529E-2</v>
      </c>
      <c r="S1020">
        <f t="shared" si="99"/>
        <v>5.7093087729592797</v>
      </c>
      <c r="T1020" s="564">
        <f>IF((I1020-MAX(I$470:I1020))/MAX(I$470:I1020)&gt;T1019,T1019,(I1020-MAX(I$470:I1020))/MAX(I$470:I1020))</f>
        <v>-0.91338805338419748</v>
      </c>
      <c r="U1020" s="564">
        <f>IF((J1020-MAX(J$470:J1020))/MAX(J$470:J1020)&gt;U1019,U1019,(J1020-MAX(J$470:J1020))/MAX(J$470:J1020))</f>
        <v>-0.70280130434782617</v>
      </c>
      <c r="V1020" s="564">
        <f>IF((K1020-MAX(K$470:K1020))/MAX(K$470:K1020)&gt;V1019,V1019,(K1020-MAX(K$470:K1020))/MAX(K$470:K1020))</f>
        <v>-0.80725522782524772</v>
      </c>
      <c r="W1020" s="564">
        <f>IF((N1020-MAX(N$470:N1020))/MAX(N$470:N1020)&gt;W1019,W1019,(N1020-MAX(N$470:N1020))/MAX(N$470:N1020))</f>
        <v>-0.62788758315546067</v>
      </c>
      <c r="X1020" s="564">
        <f>IF((O1020-MAX(O$470:O1020))/MAX(O$470:O1020)&gt;X1019,X1019,(O1020-MAX(O$470:O1020))/MAX(O$470:O1020))</f>
        <v>-0.62788758315546067</v>
      </c>
    </row>
    <row r="1021" spans="1:24">
      <c r="A1021" s="799">
        <v>41423</v>
      </c>
      <c r="B1021">
        <v>129.179</v>
      </c>
      <c r="C1021">
        <v>145.30802800000001</v>
      </c>
      <c r="D1021">
        <v>2.6394690000000001</v>
      </c>
      <c r="E1021">
        <f>LN(D1021/参数实验室!$E$53)/参数实验室!$E$55</f>
        <v>0.45207396762786561</v>
      </c>
      <c r="F1021">
        <f t="shared" si="98"/>
        <v>1.1248579722710348</v>
      </c>
      <c r="G1021">
        <f>LN(F1021/参数实验室!$E$58)/参数实验室!$E$59</f>
        <v>-0.12877738754595291</v>
      </c>
      <c r="H1021" s="856">
        <f>INDEX(神经网络!$G$10:$BO$70,MATCH(ROUND(G1021*2,1)/2,神经网络!$E$10:$E$70,0),MATCH(ROUND(E1021*2,1)/2,神经网络!$G$8:$BO$8,0))</f>
        <v>1.5988011710636514</v>
      </c>
      <c r="I1021">
        <f t="shared" si="100"/>
        <v>68.920711799837051</v>
      </c>
      <c r="J1021">
        <f t="shared" si="101"/>
        <v>51.545828179242612</v>
      </c>
      <c r="K1021">
        <f t="shared" si="102"/>
        <v>1.3370764276048874</v>
      </c>
      <c r="L1021" s="4">
        <f>MIN(MAX(L1020*(1+MAX(MIN(((B1021-B1020)/B1020)/($K$7*卓尔金历!$N$40),0),-卓尔金历!$M$43))+MIN(MAX(((B1021-B1020)/B1020)/($K$7*卓尔金历!$N$40),0),卓尔金历!$M$43),0),1)</f>
        <v>0.38559700886010773</v>
      </c>
      <c r="M1021" s="4">
        <f>MIN(MAX(M1020*(1+MAX(MIN(((B1021-B1020)/B1020)/($K$7*30),0),-卓尔金历!$M$43))+MIN(MAX(((B1021-B1020)/B1020)/($K$7*7),0),卓尔金历!$M$43),0),1)</f>
        <v>0.73055210708535323</v>
      </c>
      <c r="N1021">
        <f t="shared" si="103"/>
        <v>107.98991261991753</v>
      </c>
      <c r="O1021">
        <f t="shared" si="104"/>
        <v>162.59548018793268</v>
      </c>
      <c r="P1021">
        <f t="shared" si="105"/>
        <v>1.5040508586268821E-3</v>
      </c>
      <c r="Q1021">
        <f t="shared" si="106"/>
        <v>2.9769609172881586E-2</v>
      </c>
      <c r="R1021">
        <f t="shared" si="107"/>
        <v>1</v>
      </c>
      <c r="S1021">
        <f t="shared" si="99"/>
        <v>5.7097386286819098</v>
      </c>
      <c r="T1021" s="564">
        <f>IF((I1021-MAX(I$470:I1021))/MAX(I$470:I1021)&gt;T1020,T1020,(I1021-MAX(I$470:I1021))/MAX(I$470:I1021))</f>
        <v>-0.91338805338419748</v>
      </c>
      <c r="U1021" s="564">
        <f>IF((J1021-MAX(J$470:J1021))/MAX(J$470:J1021)&gt;U1020,U1020,(J1021-MAX(J$470:J1021))/MAX(J$470:J1021))</f>
        <v>-0.70280130434782617</v>
      </c>
      <c r="V1021" s="564">
        <f>IF((K1021-MAX(K$470:K1021))/MAX(K$470:K1021)&gt;V1020,V1020,(K1021-MAX(K$470:K1021))/MAX(K$470:K1021))</f>
        <v>-0.80725522782524772</v>
      </c>
      <c r="W1021" s="564">
        <f>IF((N1021-MAX(N$470:N1021))/MAX(N$470:N1021)&gt;W1020,W1020,(N1021-MAX(N$470:N1021))/MAX(N$470:N1021))</f>
        <v>-0.62788758315546067</v>
      </c>
      <c r="X1021" s="564">
        <f>IF((O1021-MAX(O$470:O1021))/MAX(O$470:O1021)&gt;X1020,X1020,(O1021-MAX(O$470:O1021))/MAX(O$470:O1021))</f>
        <v>-0.62788758315546067</v>
      </c>
    </row>
    <row r="1022" spans="1:24">
      <c r="A1022" s="799">
        <v>41424</v>
      </c>
      <c r="B1022">
        <v>132.13</v>
      </c>
      <c r="C1022">
        <v>142.78911400000001</v>
      </c>
      <c r="D1022">
        <v>2.5697709999999998</v>
      </c>
      <c r="E1022">
        <f>LN(D1022/参数实验室!$E$53)/参数实验室!$E$55</f>
        <v>0.42050262565005353</v>
      </c>
      <c r="F1022">
        <f t="shared" si="98"/>
        <v>1.080671414516007</v>
      </c>
      <c r="G1022">
        <f>LN(F1022/参数实验室!$E$58)/参数实验室!$E$59</f>
        <v>-0.14981052111784754</v>
      </c>
      <c r="H1022" s="856">
        <f>INDEX(神经网络!$G$10:$BO$70,MATCH(ROUND(G1022*2,1)/2,神经网络!$E$10:$E$70,0),MATCH(ROUND(E1022*2,1)/2,神经网络!$G$8:$BO$8,0))</f>
        <v>1.5130546766770299</v>
      </c>
      <c r="I1022">
        <f t="shared" si="100"/>
        <v>71.437933708864747</v>
      </c>
      <c r="J1022">
        <f t="shared" si="101"/>
        <v>52.723355013766373</v>
      </c>
      <c r="K1022">
        <f t="shared" si="102"/>
        <v>1.3549580388086435</v>
      </c>
      <c r="L1022" s="4">
        <f>MIN(MAX(L1021*(1+MAX(MIN(((B1022-B1021)/B1021)/($K$7*卓尔金历!$N$40),0),-卓尔金历!$M$43))+MIN(MAX(((B1022-B1021)/B1021)/($K$7*卓尔金历!$N$40),0),卓尔金历!$M$43),0),1)</f>
        <v>0.73463553785588576</v>
      </c>
      <c r="M1022" s="4">
        <f>MIN(MAX(M1021*(1+MAX(MIN(((B1022-B1021)/B1021)/($K$7*30),0),-卓尔金历!$M$43))+MIN(MAX(((B1022-B1021)/B1021)/($K$7*7),0),卓尔金历!$M$43),0),1)</f>
        <v>1</v>
      </c>
      <c r="N1022">
        <f t="shared" si="103"/>
        <v>109.51077036938341</v>
      </c>
      <c r="O1022">
        <f t="shared" si="104"/>
        <v>166.93389841046232</v>
      </c>
      <c r="P1022">
        <f t="shared" si="105"/>
        <v>2.2844270353540384E-2</v>
      </c>
      <c r="Q1022">
        <f t="shared" si="106"/>
        <v>2.7884287039312113E-2</v>
      </c>
      <c r="R1022">
        <f t="shared" si="107"/>
        <v>0.23506757406549761</v>
      </c>
      <c r="S1022">
        <f t="shared" si="99"/>
        <v>5.9182779602645805</v>
      </c>
      <c r="T1022" s="564">
        <f>IF((I1022-MAX(I$470:I1022))/MAX(I$470:I1022)&gt;T1021,T1021,(I1022-MAX(I$470:I1022))/MAX(I$470:I1022))</f>
        <v>-0.91338805338419748</v>
      </c>
      <c r="U1022" s="564">
        <f>IF((J1022-MAX(J$470:J1022))/MAX(J$470:J1022)&gt;U1021,U1021,(J1022-MAX(J$470:J1022))/MAX(J$470:J1022))</f>
        <v>-0.70280130434782617</v>
      </c>
      <c r="V1022" s="564">
        <f>IF((K1022-MAX(K$470:K1022))/MAX(K$470:K1022)&gt;V1021,V1021,(K1022-MAX(K$470:K1022))/MAX(K$470:K1022))</f>
        <v>-0.80725522782524772</v>
      </c>
      <c r="W1022" s="564">
        <f>IF((N1022-MAX(N$470:N1022))/MAX(N$470:N1022)&gt;W1021,W1021,(N1022-MAX(N$470:N1022))/MAX(N$470:N1022))</f>
        <v>-0.62788758315546067</v>
      </c>
      <c r="X1022" s="564">
        <f>IF((O1022-MAX(O$470:O1022))/MAX(O$470:O1022)&gt;X1021,X1021,(O1022-MAX(O$470:O1022))/MAX(O$470:O1022))</f>
        <v>-0.62788758315546067</v>
      </c>
    </row>
    <row r="1023" spans="1:24">
      <c r="A1023" s="799">
        <v>41425</v>
      </c>
      <c r="B1023">
        <v>127.401</v>
      </c>
      <c r="C1023">
        <v>140.85013599999999</v>
      </c>
      <c r="D1023">
        <v>2.5865649999999998</v>
      </c>
      <c r="E1023">
        <f>LN(D1023/参数实验室!$E$53)/参数实验室!$E$55</f>
        <v>0.42818748018104597</v>
      </c>
      <c r="F1023">
        <f t="shared" si="98"/>
        <v>1.1055653880267815</v>
      </c>
      <c r="G1023">
        <f>LN(F1023/参数实验室!$E$58)/参数实验室!$E$59</f>
        <v>-0.13785731700168502</v>
      </c>
      <c r="H1023" s="856">
        <f>INDEX(神经网络!$G$10:$BO$70,MATCH(ROUND(G1023*2,1)/2,神经网络!$E$10:$E$70,0),MATCH(ROUND(E1023*2,1)/2,神经网络!$G$8:$BO$8,0))</f>
        <v>1.5988011710636514</v>
      </c>
      <c r="I1023">
        <f t="shared" si="100"/>
        <v>67.569355459900663</v>
      </c>
      <c r="J1023">
        <f t="shared" si="101"/>
        <v>50.836359283348592</v>
      </c>
      <c r="K1023">
        <f t="shared" si="102"/>
        <v>1.3291541017578918</v>
      </c>
      <c r="L1023" s="4">
        <f>MIN(MAX(L1022*(1+MAX(MIN(((B1023-B1022)/B1022)/($K$7*卓尔金历!$N$40),0),-卓尔金历!$M$43))+MIN(MAX(((B1023-B1022)/B1022)/($K$7*卓尔金历!$N$40),0),卓尔金历!$M$43),0),1)</f>
        <v>0.3329040336553446</v>
      </c>
      <c r="M1023" s="4">
        <f>MIN(MAX(M1022*(1+MAX(MIN(((B1023-B1022)/B1022)/($K$7*30),0),-卓尔金历!$M$43))+MIN(MAX(((B1023-B1022)/B1022)/($K$7*7),0),卓尔金历!$M$43),0),1)</f>
        <v>0.72657768138127476</v>
      </c>
      <c r="N1023">
        <f t="shared" si="103"/>
        <v>105.1541344402588</v>
      </c>
      <c r="O1023">
        <f t="shared" si="104"/>
        <v>157.89392741917709</v>
      </c>
      <c r="P1023">
        <f t="shared" si="105"/>
        <v>-3.5790509346855362E-2</v>
      </c>
      <c r="Q1023">
        <f t="shared" si="106"/>
        <v>2.939996698674395E-2</v>
      </c>
      <c r="R1023">
        <f t="shared" si="107"/>
        <v>2.2399748795870728E-2</v>
      </c>
      <c r="S1023">
        <f t="shared" si="99"/>
        <v>5.8429405676944768</v>
      </c>
      <c r="T1023" s="564">
        <f>IF((I1023-MAX(I$470:I1023))/MAX(I$470:I1023)&gt;T1022,T1022,(I1023-MAX(I$470:I1023))/MAX(I$470:I1023))</f>
        <v>-0.91338805338419748</v>
      </c>
      <c r="U1023" s="564">
        <f>IF((J1023-MAX(J$470:J1023))/MAX(J$470:J1023)&gt;U1022,U1022,(J1023-MAX(J$470:J1023))/MAX(J$470:J1023))</f>
        <v>-0.70280130434782617</v>
      </c>
      <c r="V1023" s="564">
        <f>IF((K1023-MAX(K$470:K1023))/MAX(K$470:K1023)&gt;V1022,V1022,(K1023-MAX(K$470:K1023))/MAX(K$470:K1023))</f>
        <v>-0.80725522782524772</v>
      </c>
      <c r="W1023" s="564">
        <f>IF((N1023-MAX(N$470:N1023))/MAX(N$470:N1023)&gt;W1022,W1022,(N1023-MAX(N$470:N1023))/MAX(N$470:N1023))</f>
        <v>-0.62788758315546067</v>
      </c>
      <c r="X1023" s="564">
        <f>IF((O1023-MAX(O$470:O1023))/MAX(O$470:O1023)&gt;X1022,X1022,(O1023-MAX(O$470:O1023))/MAX(O$470:O1023))</f>
        <v>-0.62788758315546067</v>
      </c>
    </row>
    <row r="1024" spans="1:24">
      <c r="A1024" s="799">
        <v>41426</v>
      </c>
      <c r="B1024">
        <v>127.98</v>
      </c>
      <c r="C1024">
        <v>134.36328700000001</v>
      </c>
      <c r="D1024">
        <v>2.5994920000000001</v>
      </c>
      <c r="E1024">
        <f>LN(D1024/参数实验室!$E$53)/参数实验室!$E$55</f>
        <v>0.43406890484356275</v>
      </c>
      <c r="F1024">
        <f t="shared" si="98"/>
        <v>1.0498772230035944</v>
      </c>
      <c r="G1024">
        <f>LN(F1024/参数实验室!$E$58)/参数实验室!$E$59</f>
        <v>-0.16498368474622396</v>
      </c>
      <c r="H1024" s="856">
        <f>INDEX(神经网络!$G$10:$BO$70,MATCH(ROUND(G1024*2,1)/2,神经网络!$E$10:$E$70,0),MATCH(ROUND(E1024*2,1)/2,神经网络!$G$8:$BO$8,0))</f>
        <v>1.5988011710636514</v>
      </c>
      <c r="I1024">
        <f t="shared" si="100"/>
        <v>68.060319812809993</v>
      </c>
      <c r="J1024">
        <f t="shared" si="101"/>
        <v>51.067395554846136</v>
      </c>
      <c r="K1024">
        <f t="shared" si="102"/>
        <v>1.3327548639075111</v>
      </c>
      <c r="L1024" s="4">
        <f>MIN(MAX(L1023*(1+MAX(MIN(((B1024-B1023)/B1023)/($K$7*卓尔金历!$N$40),0),-卓尔金历!$M$43))+MIN(MAX(((B1024-B1023)/B1023)/($K$7*卓尔金历!$N$40),0),卓尔金历!$M$43),0),1)</f>
        <v>0.40234276942088204</v>
      </c>
      <c r="M1024" s="4">
        <f>MIN(MAX(M1023*(1+MAX(MIN(((B1024-B1023)/B1023)/($K$7*30),0),-卓尔金历!$M$43))+MIN(MAX(((B1024-B1023)/B1023)/($K$7*7),0),卓尔金历!$M$43),0),1)</f>
        <v>0.87537497230742645</v>
      </c>
      <c r="N1024">
        <f t="shared" si="103"/>
        <v>105.40849255346444</v>
      </c>
      <c r="O1024">
        <f t="shared" si="104"/>
        <v>158.72750814693225</v>
      </c>
      <c r="P1024">
        <f t="shared" si="105"/>
        <v>4.5447053005863982E-3</v>
      </c>
      <c r="Q1024">
        <f t="shared" si="106"/>
        <v>2.762539326581253E-2</v>
      </c>
      <c r="R1024">
        <f t="shared" si="107"/>
        <v>1</v>
      </c>
      <c r="S1024">
        <f t="shared" si="99"/>
        <v>5.8438915551786899</v>
      </c>
      <c r="T1024" s="564">
        <f>IF((I1024-MAX(I$470:I1024))/MAX(I$470:I1024)&gt;T1023,T1023,(I1024-MAX(I$470:I1024))/MAX(I$470:I1024))</f>
        <v>-0.91338805338419748</v>
      </c>
      <c r="U1024" s="564">
        <f>IF((J1024-MAX(J$470:J1024))/MAX(J$470:J1024)&gt;U1023,U1023,(J1024-MAX(J$470:J1024))/MAX(J$470:J1024))</f>
        <v>-0.70280130434782617</v>
      </c>
      <c r="V1024" s="564">
        <f>IF((K1024-MAX(K$470:K1024))/MAX(K$470:K1024)&gt;V1023,V1023,(K1024-MAX(K$470:K1024))/MAX(K$470:K1024))</f>
        <v>-0.80725522782524772</v>
      </c>
      <c r="W1024" s="564">
        <f>IF((N1024-MAX(N$470:N1024))/MAX(N$470:N1024)&gt;W1023,W1023,(N1024-MAX(N$470:N1024))/MAX(N$470:N1024))</f>
        <v>-0.62788758315546067</v>
      </c>
      <c r="X1024" s="564">
        <f>IF((O1024-MAX(O$470:O1024))/MAX(O$470:O1024)&gt;X1023,X1023,(O1024-MAX(O$470:O1024))/MAX(O$470:O1024))</f>
        <v>-0.62788758315546067</v>
      </c>
    </row>
    <row r="1025" spans="1:24">
      <c r="A1025" s="799">
        <v>41427</v>
      </c>
      <c r="B1025">
        <v>129.09</v>
      </c>
      <c r="C1025">
        <v>129.58319800000001</v>
      </c>
      <c r="D1025">
        <v>2.4702299999999999</v>
      </c>
      <c r="E1025">
        <f>LN(D1025/参数实验室!$E$53)/参数实验室!$E$55</f>
        <v>0.37389585300202366</v>
      </c>
      <c r="F1025">
        <f t="shared" si="98"/>
        <v>1.0038205747927802</v>
      </c>
      <c r="G1025">
        <f>LN(F1025/参数实验室!$E$58)/参数实验室!$E$59</f>
        <v>-0.18852860139025712</v>
      </c>
      <c r="H1025" s="856">
        <f>INDEX(神经网络!$G$10:$BO$70,MATCH(ROUND(G1025*2,1)/2,神经网络!$E$10:$E$70,0),MATCH(ROUND(E1025*2,1)/2,神经网络!$G$8:$BO$8,0))</f>
        <v>1.3735334764828999</v>
      </c>
      <c r="I1025">
        <f t="shared" si="100"/>
        <v>69.004096653815253</v>
      </c>
      <c r="J1025">
        <f t="shared" si="101"/>
        <v>51.510314831810341</v>
      </c>
      <c r="K1025">
        <f t="shared" si="102"/>
        <v>1.3396170627014219</v>
      </c>
      <c r="L1025" s="4">
        <f>MIN(MAX(L1024*(1+MAX(MIN(((B1025-B1024)/B1024)/($K$7*卓尔金历!$N$40),0),-卓尔金历!$M$43))+MIN(MAX(((B1025-B1024)/B1024)/($K$7*卓尔金历!$N$40),0),卓尔金历!$M$43),0),1)</f>
        <v>0.53486140368158219</v>
      </c>
      <c r="M1025" s="4">
        <f>MIN(MAX(M1024*(1+MAX(MIN(((B1025-B1024)/B1024)/($K$7*30),0),-卓尔金历!$M$43))+MIN(MAX(((B1025-B1024)/B1024)/($K$7*7),0),卓尔金历!$M$43),0),1)</f>
        <v>1</v>
      </c>
      <c r="N1025">
        <f t="shared" si="103"/>
        <v>105.99658707557369</v>
      </c>
      <c r="O1025">
        <f t="shared" si="104"/>
        <v>160.65424167403236</v>
      </c>
      <c r="P1025">
        <f t="shared" si="105"/>
        <v>8.6732301922175289E-3</v>
      </c>
      <c r="Q1025">
        <f t="shared" si="106"/>
        <v>2.500931373667686E-2</v>
      </c>
      <c r="R1025">
        <f t="shared" si="107"/>
        <v>1</v>
      </c>
      <c r="S1025">
        <f t="shared" si="99"/>
        <v>5.9249274587168008</v>
      </c>
      <c r="T1025" s="564">
        <f>IF((I1025-MAX(I$470:I1025))/MAX(I$470:I1025)&gt;T1024,T1024,(I1025-MAX(I$470:I1025))/MAX(I$470:I1025))</f>
        <v>-0.91338805338419748</v>
      </c>
      <c r="U1025" s="564">
        <f>IF((J1025-MAX(J$470:J1025))/MAX(J$470:J1025)&gt;U1024,U1024,(J1025-MAX(J$470:J1025))/MAX(J$470:J1025))</f>
        <v>-0.70280130434782617</v>
      </c>
      <c r="V1025" s="564">
        <f>IF((K1025-MAX(K$470:K1025))/MAX(K$470:K1025)&gt;V1024,V1024,(K1025-MAX(K$470:K1025))/MAX(K$470:K1025))</f>
        <v>-0.80725522782524772</v>
      </c>
      <c r="W1025" s="564">
        <f>IF((N1025-MAX(N$470:N1025))/MAX(N$470:N1025)&gt;W1024,W1024,(N1025-MAX(N$470:N1025))/MAX(N$470:N1025))</f>
        <v>-0.62788758315546067</v>
      </c>
      <c r="X1025" s="564">
        <f>IF((O1025-MAX(O$470:O1025))/MAX(O$470:O1025)&gt;X1024,X1024,(O1025-MAX(O$470:O1025))/MAX(O$470:O1025))</f>
        <v>-0.62788758315546067</v>
      </c>
    </row>
    <row r="1026" spans="1:24">
      <c r="A1026" s="799">
        <v>41428</v>
      </c>
      <c r="B1026">
        <v>121.3</v>
      </c>
      <c r="C1026">
        <v>125.642988</v>
      </c>
      <c r="D1026">
        <v>2.4709840000000001</v>
      </c>
      <c r="E1026">
        <f>LN(D1026/参数实验室!$E$53)/参数实验室!$E$55</f>
        <v>0.37425589972449286</v>
      </c>
      <c r="F1026">
        <f t="shared" si="98"/>
        <v>1.0358036933223413</v>
      </c>
      <c r="G1026">
        <f>LN(F1026/参数实验室!$E$58)/参数实验室!$E$59</f>
        <v>-0.17206689772031045</v>
      </c>
      <c r="H1026" s="856">
        <f>INDEX(神经网络!$G$10:$BO$70,MATCH(ROUND(G1026*2,1)/2,神经网络!$E$10:$E$70,0),MATCH(ROUND(E1026*2,1)/2,神经网络!$G$8:$BO$8,0))</f>
        <v>1.4230538058217563</v>
      </c>
      <c r="I1026">
        <f t="shared" si="100"/>
        <v>63.284584589159309</v>
      </c>
      <c r="J1026">
        <f t="shared" si="101"/>
        <v>48.401899365548019</v>
      </c>
      <c r="K1026">
        <f t="shared" si="102"/>
        <v>1.3074814298342317</v>
      </c>
      <c r="L1026" s="4">
        <f>MIN(MAX(L1025*(1+MAX(MIN(((B1026-B1025)/B1025)/($K$7*卓尔金历!$N$40),0),-卓尔金历!$M$43))+MIN(MAX(((B1026-B1025)/B1025)/($K$7*卓尔金历!$N$40),0),卓尔金历!$M$43),0),1)</f>
        <v>4.170781815627593E-2</v>
      </c>
      <c r="M1026" s="4">
        <f>MIN(MAX(M1025*(1+MAX(MIN(((B1026-B1025)/B1025)/($K$7*30),0),-卓尔金历!$M$43))+MIN(MAX(((B1026-B1025)/B1025)/($K$7*7),0),卓尔金历!$M$43),0),1)</f>
        <v>0.53898936983412038</v>
      </c>
      <c r="N1026">
        <f t="shared" si="103"/>
        <v>101.29745937556164</v>
      </c>
      <c r="O1026">
        <f t="shared" si="104"/>
        <v>147.33816454164699</v>
      </c>
      <c r="P1026">
        <f t="shared" si="105"/>
        <v>-6.0345495390812659E-2</v>
      </c>
      <c r="Q1026">
        <f t="shared" si="106"/>
        <v>2.8688617506245063E-2</v>
      </c>
      <c r="R1026">
        <f t="shared" si="107"/>
        <v>6.412741628311765E-3</v>
      </c>
      <c r="S1026">
        <f t="shared" si="99"/>
        <v>5.4338306148242959</v>
      </c>
      <c r="T1026" s="564">
        <f>IF((I1026-MAX(I$470:I1026))/MAX(I$470:I1026)&gt;T1025,T1025,(I1026-MAX(I$470:I1026))/MAX(I$470:I1026))</f>
        <v>-0.91338805338419748</v>
      </c>
      <c r="U1026" s="564">
        <f>IF((J1026-MAX(J$470:J1026))/MAX(J$470:J1026)&gt;U1025,U1025,(J1026-MAX(J$470:J1026))/MAX(J$470:J1026))</f>
        <v>-0.70280130434782617</v>
      </c>
      <c r="V1026" s="564">
        <f>IF((K1026-MAX(K$470:K1026))/MAX(K$470:K1026)&gt;V1025,V1025,(K1026-MAX(K$470:K1026))/MAX(K$470:K1026))</f>
        <v>-0.80725522782524772</v>
      </c>
      <c r="W1026" s="564">
        <f>IF((N1026-MAX(N$470:N1026))/MAX(N$470:N1026)&gt;W1025,W1025,(N1026-MAX(N$470:N1026))/MAX(N$470:N1026))</f>
        <v>-0.62788758315546067</v>
      </c>
      <c r="X1026" s="564">
        <f>IF((O1026-MAX(O$470:O1026))/MAX(O$470:O1026)&gt;X1025,X1025,(O1026-MAX(O$470:O1026))/MAX(O$470:O1026))</f>
        <v>-0.62788758315546067</v>
      </c>
    </row>
    <row r="1027" spans="1:24">
      <c r="A1027" s="799">
        <v>41429</v>
      </c>
      <c r="B1027">
        <v>121.16</v>
      </c>
      <c r="C1027">
        <v>122.298024</v>
      </c>
      <c r="D1027">
        <v>2.4103699999999999</v>
      </c>
      <c r="E1027">
        <f>LN(D1027/参数实验室!$E$53)/参数实验室!$E$55</f>
        <v>0.34495532496586451</v>
      </c>
      <c r="F1027">
        <f t="shared" si="98"/>
        <v>1.0093927368768572</v>
      </c>
      <c r="G1027">
        <f>LN(F1027/参数实验室!$E$58)/参数实验室!$E$59</f>
        <v>-0.18562321699835471</v>
      </c>
      <c r="H1027" s="856">
        <f>INDEX(神经网络!$G$10:$BO$70,MATCH(ROUND(G1027*2,1)/2,神经网络!$E$10:$E$70,0),MATCH(ROUND(E1027*2,1)/2,神经网络!$G$8:$BO$8,0))</f>
        <v>1.3735334764828999</v>
      </c>
      <c r="I1027">
        <f t="shared" si="100"/>
        <v>63.180643685178076</v>
      </c>
      <c r="J1027">
        <f t="shared" si="101"/>
        <v>48.346035672957939</v>
      </c>
      <c r="K1027">
        <f t="shared" si="102"/>
        <v>1.306842284082411</v>
      </c>
      <c r="L1027" s="4">
        <f>MIN(MAX(L1026*(1+MAX(MIN(((B1027-B1026)/B1026)/($K$7*卓尔金历!$N$40),0),-卓尔金历!$M$43))+MIN(MAX(((B1027-B1026)/B1026)/($K$7*卓尔金历!$N$40),0),卓尔金历!$M$43),0),1)</f>
        <v>4.0972321361221933E-2</v>
      </c>
      <c r="M1027" s="4">
        <f>MIN(MAX(M1026*(1+MAX(MIN(((B1027-B1026)/B1026)/($K$7*30),0),-卓尔金历!$M$43))+MIN(MAX(((B1027-B1026)/B1026)/($K$7*7),0),卓尔金历!$M$43),0),1)</f>
        <v>0.53423696403101895</v>
      </c>
      <c r="N1027">
        <f t="shared" si="103"/>
        <v>101.2905202526471</v>
      </c>
      <c r="O1027">
        <f t="shared" si="104"/>
        <v>147.20773258442495</v>
      </c>
      <c r="P1027">
        <f t="shared" si="105"/>
        <v>-1.1541632316570533E-3</v>
      </c>
      <c r="Q1027">
        <f t="shared" si="106"/>
        <v>2.8399758227904536E-2</v>
      </c>
      <c r="R1027">
        <f t="shared" si="107"/>
        <v>1</v>
      </c>
      <c r="S1027">
        <f t="shared" si="99"/>
        <v>5.4337733828938983</v>
      </c>
      <c r="T1027" s="564">
        <f>IF((I1027-MAX(I$470:I1027))/MAX(I$470:I1027)&gt;T1026,T1026,(I1027-MAX(I$470:I1027))/MAX(I$470:I1027))</f>
        <v>-0.91338805338419748</v>
      </c>
      <c r="U1027" s="564">
        <f>IF((J1027-MAX(J$470:J1027))/MAX(J$470:J1027)&gt;U1026,U1026,(J1027-MAX(J$470:J1027))/MAX(J$470:J1027))</f>
        <v>-0.70280130434782617</v>
      </c>
      <c r="V1027" s="564">
        <f>IF((K1027-MAX(K$470:K1027))/MAX(K$470:K1027)&gt;V1026,V1026,(K1027-MAX(K$470:K1027))/MAX(K$470:K1027))</f>
        <v>-0.80725522782524772</v>
      </c>
      <c r="W1027" s="564">
        <f>IF((N1027-MAX(N$470:N1027))/MAX(N$470:N1027)&gt;W1026,W1026,(N1027-MAX(N$470:N1027))/MAX(N$470:N1027))</f>
        <v>-0.62788758315546067</v>
      </c>
      <c r="X1027" s="564">
        <f>IF((O1027-MAX(O$470:O1027))/MAX(O$470:O1027)&gt;X1026,X1026,(O1027-MAX(O$470:O1027))/MAX(O$470:O1027))</f>
        <v>-0.62788758315546067</v>
      </c>
    </row>
    <row r="1028" spans="1:24">
      <c r="A1028" s="799">
        <v>41430</v>
      </c>
      <c r="B1028">
        <v>121.309</v>
      </c>
      <c r="C1028">
        <v>121.16745400000001</v>
      </c>
      <c r="D1028">
        <v>2.4160569999999999</v>
      </c>
      <c r="E1028">
        <f>LN(D1028/参数实验室!$E$53)/参数实验室!$E$55</f>
        <v>0.34773554304583115</v>
      </c>
      <c r="F1028">
        <f t="shared" si="98"/>
        <v>0.99883317808241767</v>
      </c>
      <c r="G1028">
        <f>LN(F1028/参数实验室!$E$58)/参数实验室!$E$59</f>
        <v>-0.19114279341997542</v>
      </c>
      <c r="H1028" s="856">
        <f>INDEX(神经网络!$G$10:$BO$70,MATCH(ROUND(G1028*2,1)/2,神经网络!$E$10:$E$70,0),MATCH(ROUND(E1028*2,1)/2,神经网络!$G$8:$BO$8,0))</f>
        <v>1.3735334764828999</v>
      </c>
      <c r="I1028">
        <f t="shared" si="100"/>
        <v>63.287364786580611</v>
      </c>
      <c r="J1028">
        <f t="shared" si="101"/>
        <v>48.405490602928815</v>
      </c>
      <c r="K1028">
        <f t="shared" si="102"/>
        <v>1.3074418624475497</v>
      </c>
      <c r="L1028" s="4">
        <f>MIN(MAX(L1027*(1+MAX(MIN(((B1028-B1027)/B1027)/($K$7*卓尔金历!$N$40),0),-卓尔金历!$M$43))+MIN(MAX(((B1028-B1027)/B1027)/($K$7*卓尔金历!$N$40),0),卓尔金历!$M$43),0),1)</f>
        <v>5.9762161369445704E-2</v>
      </c>
      <c r="M1028" s="4">
        <f>MIN(MAX(M1027*(1+MAX(MIN(((B1028-B1027)/B1027)/($K$7*30),0),-卓尔金历!$M$43))+MIN(MAX(((B1028-B1027)/B1027)/($K$7*7),0),卓尔金历!$M$43),0),1)</f>
        <v>0.57450090690578415</v>
      </c>
      <c r="N1028">
        <f t="shared" si="103"/>
        <v>101.29753037542881</v>
      </c>
      <c r="O1028">
        <f t="shared" si="104"/>
        <v>147.34057317863702</v>
      </c>
      <c r="P1028">
        <f t="shared" si="105"/>
        <v>1.2297788048861087E-3</v>
      </c>
      <c r="Q1028">
        <f t="shared" si="106"/>
        <v>2.7853431149253947E-2</v>
      </c>
      <c r="R1028">
        <f t="shared" si="107"/>
        <v>1</v>
      </c>
      <c r="S1028">
        <f t="shared" si="99"/>
        <v>5.4429517996742618</v>
      </c>
      <c r="T1028" s="564">
        <f>IF((I1028-MAX(I$470:I1028))/MAX(I$470:I1028)&gt;T1027,T1027,(I1028-MAX(I$470:I1028))/MAX(I$470:I1028))</f>
        <v>-0.91338805338419748</v>
      </c>
      <c r="U1028" s="564">
        <f>IF((J1028-MAX(J$470:J1028))/MAX(J$470:J1028)&gt;U1027,U1027,(J1028-MAX(J$470:J1028))/MAX(J$470:J1028))</f>
        <v>-0.70280130434782617</v>
      </c>
      <c r="V1028" s="564">
        <f>IF((K1028-MAX(K$470:K1028))/MAX(K$470:K1028)&gt;V1027,V1027,(K1028-MAX(K$470:K1028))/MAX(K$470:K1028))</f>
        <v>-0.80725522782524772</v>
      </c>
      <c r="W1028" s="564">
        <f>IF((N1028-MAX(N$470:N1028))/MAX(N$470:N1028)&gt;W1027,W1027,(N1028-MAX(N$470:N1028))/MAX(N$470:N1028))</f>
        <v>-0.62788758315546067</v>
      </c>
      <c r="X1028" s="564">
        <f>IF((O1028-MAX(O$470:O1028))/MAX(O$470:O1028)&gt;X1027,X1027,(O1028-MAX(O$470:O1028))/MAX(O$470:O1028))</f>
        <v>-0.62788758315546067</v>
      </c>
    </row>
    <row r="1029" spans="1:24">
      <c r="A1029" s="799">
        <v>41431</v>
      </c>
      <c r="B1029">
        <v>121.714</v>
      </c>
      <c r="C1029">
        <v>120.40257</v>
      </c>
      <c r="D1029">
        <v>2.3655490000000001</v>
      </c>
      <c r="E1029">
        <f>LN(D1029/参数实验室!$E$53)/参数实验室!$E$55</f>
        <v>0.32281120040284828</v>
      </c>
      <c r="F1029">
        <f t="shared" ref="F1029:F1092" si="108">C1029/B1029</f>
        <v>0.98922531508289924</v>
      </c>
      <c r="G1029">
        <f>LN(F1029/参数实验室!$E$58)/参数实验室!$E$59</f>
        <v>-0.19621584838045203</v>
      </c>
      <c r="H1029" s="856">
        <f>INDEX(神经网络!$G$10:$BO$70,MATCH(ROUND(G1029*2,1)/2,神经网络!$E$10:$E$70,0),MATCH(ROUND(E1029*2,1)/2,神经网络!$G$8:$BO$8,0))</f>
        <v>1.2800920406105674</v>
      </c>
      <c r="I1029">
        <f t="shared" si="100"/>
        <v>63.577578721572777</v>
      </c>
      <c r="J1029">
        <f t="shared" si="101"/>
        <v>48.567096285064402</v>
      </c>
      <c r="K1029">
        <f t="shared" si="102"/>
        <v>1.3090669112356317</v>
      </c>
      <c r="L1029" s="4">
        <f>MIN(MAX(L1028*(1+MAX(MIN(((B1029-B1028)/B1028)/($K$7*卓尔金历!$N$40),0),-卓尔金历!$M$43))+MIN(MAX(((B1029-B1028)/B1028)/($K$7*卓尔金历!$N$40),0),卓尔金历!$M$43),0),1)</f>
        <v>0.1107724850105116</v>
      </c>
      <c r="M1029" s="4">
        <f>MIN(MAX(M1028*(1+MAX(MIN(((B1029-B1028)/B1028)/($K$7*30),0),-卓尔金历!$M$43))+MIN(MAX(((B1029-B1028)/B1028)/($K$7*7),0),卓尔金历!$M$43),0),1)</f>
        <v>0.68380874327949681</v>
      </c>
      <c r="N1029">
        <f t="shared" si="103"/>
        <v>101.32529081908618</v>
      </c>
      <c r="O1029">
        <f t="shared" si="104"/>
        <v>147.72873634590084</v>
      </c>
      <c r="P1029">
        <f t="shared" si="105"/>
        <v>3.3385816386253381E-3</v>
      </c>
      <c r="Q1029">
        <f t="shared" si="106"/>
        <v>2.7819504818577281E-2</v>
      </c>
      <c r="R1029">
        <f t="shared" si="107"/>
        <v>1</v>
      </c>
      <c r="S1029">
        <f t="shared" si="99"/>
        <v>5.4679112914319452</v>
      </c>
      <c r="T1029" s="564">
        <f>IF((I1029-MAX(I$470:I1029))/MAX(I$470:I1029)&gt;T1028,T1028,(I1029-MAX(I$470:I1029))/MAX(I$470:I1029))</f>
        <v>-0.91338805338419748</v>
      </c>
      <c r="U1029" s="564">
        <f>IF((J1029-MAX(J$470:J1029))/MAX(J$470:J1029)&gt;U1028,U1028,(J1029-MAX(J$470:J1029))/MAX(J$470:J1029))</f>
        <v>-0.70280130434782617</v>
      </c>
      <c r="V1029" s="564">
        <f>IF((K1029-MAX(K$470:K1029))/MAX(K$470:K1029)&gt;V1028,V1028,(K1029-MAX(K$470:K1029))/MAX(K$470:K1029))</f>
        <v>-0.80725522782524772</v>
      </c>
      <c r="W1029" s="564">
        <f>IF((N1029-MAX(N$470:N1029))/MAX(N$470:N1029)&gt;W1028,W1028,(N1029-MAX(N$470:N1029))/MAX(N$470:N1029))</f>
        <v>-0.62788758315546067</v>
      </c>
      <c r="X1029" s="564">
        <f>IF((O1029-MAX(O$470:O1029))/MAX(O$470:O1029)&gt;X1028,X1028,(O1029-MAX(O$470:O1029))/MAX(O$470:O1029))</f>
        <v>-0.62788758315546067</v>
      </c>
    </row>
    <row r="1030" spans="1:24">
      <c r="A1030" s="799">
        <v>41432</v>
      </c>
      <c r="B1030">
        <v>119</v>
      </c>
      <c r="C1030">
        <v>120.82849400000001</v>
      </c>
      <c r="D1030">
        <v>2.191627</v>
      </c>
      <c r="E1030">
        <f>LN(D1030/参数实验室!$E$53)/参数实验室!$E$55</f>
        <v>0.23271823503129424</v>
      </c>
      <c r="F1030">
        <f t="shared" si="108"/>
        <v>1.0153654957983194</v>
      </c>
      <c r="G1030">
        <f>LN(F1030/参数实验室!$E$58)/参数实验室!$E$59</f>
        <v>-0.18252671321780164</v>
      </c>
      <c r="H1030" s="856">
        <f>INDEX(神经网络!$G$10:$BO$70,MATCH(ROUND(G1030*2,1)/2,神经网络!$E$10:$E$70,0),MATCH(ROUND(E1030*2,1)/2,神经网络!$G$8:$BO$8,0))</f>
        <v>1.1876049331184406</v>
      </c>
      <c r="I1030">
        <f t="shared" si="100"/>
        <v>61.762838397220143</v>
      </c>
      <c r="J1030">
        <f t="shared" si="101"/>
        <v>47.484138701568135</v>
      </c>
      <c r="K1030">
        <f t="shared" si="102"/>
        <v>1.3007046160275086</v>
      </c>
      <c r="L1030" s="4">
        <f>MIN(MAX(L1029*(1+MAX(MIN(((B1030-B1029)/B1029)/($K$7*卓尔金历!$N$40),0),-卓尔金历!$M$43))+MIN(MAX(((B1030-B1029)/B1029)/($K$7*卓尔金历!$N$40),0),卓尔金历!$M$43),0),1)</f>
        <v>7.3032885685070409E-2</v>
      </c>
      <c r="M1030" s="4">
        <f>MIN(MAX(M1029*(1+MAX(MIN(((B1030-B1029)/B1029)/($K$7*30),0),-卓尔金历!$M$43))+MIN(MAX(((B1030-B1029)/B1029)/($K$7*7),0),卓尔金历!$M$43),0),1)</f>
        <v>0.56732373355820731</v>
      </c>
      <c r="N1030">
        <f t="shared" si="103"/>
        <v>101.00491460666828</v>
      </c>
      <c r="O1030">
        <f t="shared" si="104"/>
        <v>144.84530153244759</v>
      </c>
      <c r="P1030">
        <f t="shared" si="105"/>
        <v>-2.2298174408860102E-2</v>
      </c>
      <c r="Q1030">
        <f t="shared" si="106"/>
        <v>2.8276253416102636E-2</v>
      </c>
      <c r="R1030">
        <f t="shared" si="107"/>
        <v>0.27194466564012937</v>
      </c>
      <c r="S1030">
        <f t="shared" si="99"/>
        <v>5.3118367867075671</v>
      </c>
      <c r="T1030" s="564">
        <f>IF((I1030-MAX(I$470:I1030))/MAX(I$470:I1030)&gt;T1029,T1029,(I1030-MAX(I$470:I1030))/MAX(I$470:I1030))</f>
        <v>-0.91338805338419748</v>
      </c>
      <c r="U1030" s="564">
        <f>IF((J1030-MAX(J$470:J1030))/MAX(J$470:J1030)&gt;U1029,U1029,(J1030-MAX(J$470:J1030))/MAX(J$470:J1030))</f>
        <v>-0.70280130434782617</v>
      </c>
      <c r="V1030" s="564">
        <f>IF((K1030-MAX(K$470:K1030))/MAX(K$470:K1030)&gt;V1029,V1029,(K1030-MAX(K$470:K1030))/MAX(K$470:K1030))</f>
        <v>-0.80725522782524772</v>
      </c>
      <c r="W1030" s="564">
        <f>IF((N1030-MAX(N$470:N1030))/MAX(N$470:N1030)&gt;W1029,W1029,(N1030-MAX(N$470:N1030))/MAX(N$470:N1030))</f>
        <v>-0.62788758315546067</v>
      </c>
      <c r="X1030" s="564">
        <f>IF((O1030-MAX(O$470:O1030))/MAX(O$470:O1030)&gt;X1029,X1029,(O1030-MAX(O$470:O1030))/MAX(O$470:O1030))</f>
        <v>-0.62788758315546067</v>
      </c>
    </row>
    <row r="1031" spans="1:24">
      <c r="A1031" s="799">
        <v>41433</v>
      </c>
      <c r="B1031">
        <v>110.09</v>
      </c>
      <c r="C1031">
        <v>119.78566600000001</v>
      </c>
      <c r="D1031">
        <v>2.171449</v>
      </c>
      <c r="E1031">
        <f>LN(D1031/参数实验室!$E$53)/参数实验室!$E$55</f>
        <v>0.22180610300633705</v>
      </c>
      <c r="F1031">
        <f t="shared" si="108"/>
        <v>1.0880703606140432</v>
      </c>
      <c r="G1031">
        <f>LN(F1031/参数实验室!$E$58)/参数实验室!$E$59</f>
        <v>-0.14622929085319014</v>
      </c>
      <c r="H1031" s="856">
        <f>INDEX(神经网络!$G$10:$BO$70,MATCH(ROUND(G1031*2,1)/2,神经网络!$E$10:$E$70,0),MATCH(ROUND(E1031*2,1)/2,神经网络!$G$8:$BO$8,0))</f>
        <v>1.1442356835540914</v>
      </c>
      <c r="I1031">
        <f t="shared" si="100"/>
        <v>56.270845309533868</v>
      </c>
      <c r="J1031">
        <f t="shared" si="101"/>
        <v>43.92881369458518</v>
      </c>
      <c r="K1031">
        <f t="shared" si="102"/>
        <v>1.2809552677829315</v>
      </c>
      <c r="L1031" s="4">
        <f>MIN(MAX(L1030*(1+MAX(MIN(((B1031-B1030)/B1030)/($K$7*卓尔金历!$N$40),0),-卓尔金历!$M$43))+MIN(MAX(((B1031-B1030)/B1030)/($K$7*卓尔金历!$N$40),0),卓尔金历!$M$43),0),1)</f>
        <v>0</v>
      </c>
      <c r="M1031" s="4">
        <f>MIN(MAX(M1030*(1+MAX(MIN(((B1031-B1030)/B1030)/($K$7*30),0),-卓尔金历!$M$43))+MIN(MAX(((B1031-B1030)/B1030)/($K$7*7),0),卓尔金历!$M$43),0),1)</f>
        <v>0.24281396271963135</v>
      </c>
      <c r="N1031">
        <f t="shared" si="103"/>
        <v>100.34897523082537</v>
      </c>
      <c r="O1031">
        <f t="shared" si="104"/>
        <v>137.53831847960546</v>
      </c>
      <c r="P1031">
        <f t="shared" si="105"/>
        <v>-7.48739495798319E-2</v>
      </c>
      <c r="Q1031">
        <f t="shared" si="106"/>
        <v>2.8980444071152574E-2</v>
      </c>
      <c r="R1031">
        <f t="shared" si="107"/>
        <v>1.436864399712101E-3</v>
      </c>
      <c r="S1031">
        <f t="shared" si="99"/>
        <v>5.1833885927877761</v>
      </c>
      <c r="T1031" s="564">
        <f>IF((I1031-MAX(I$470:I1031))/MAX(I$470:I1031)&gt;T1030,T1030,(I1031-MAX(I$470:I1031))/MAX(I$470:I1031))</f>
        <v>-0.91338805338419748</v>
      </c>
      <c r="U1031" s="564">
        <f>IF((J1031-MAX(J$470:J1031))/MAX(J$470:J1031)&gt;U1030,U1030,(J1031-MAX(J$470:J1031))/MAX(J$470:J1031))</f>
        <v>-0.70280130434782617</v>
      </c>
      <c r="V1031" s="564">
        <f>IF((K1031-MAX(K$470:K1031))/MAX(K$470:K1031)&gt;V1030,V1030,(K1031-MAX(K$470:K1031))/MAX(K$470:K1031))</f>
        <v>-0.80725522782524772</v>
      </c>
      <c r="W1031" s="564">
        <f>IF((N1031-MAX(N$470:N1031))/MAX(N$470:N1031)&gt;W1030,W1030,(N1031-MAX(N$470:N1031))/MAX(N$470:N1031))</f>
        <v>-0.62788758315546067</v>
      </c>
      <c r="X1031" s="564">
        <f>IF((O1031-MAX(O$470:O1031))/MAX(O$470:O1031)&gt;X1030,X1030,(O1031-MAX(O$470:O1031))/MAX(O$470:O1031))</f>
        <v>-0.62788758315546067</v>
      </c>
    </row>
    <row r="1032" spans="1:24">
      <c r="A1032" s="799">
        <v>41434</v>
      </c>
      <c r="B1032">
        <v>108.401</v>
      </c>
      <c r="C1032">
        <v>120.844326</v>
      </c>
      <c r="D1032">
        <v>1.9886600000000001</v>
      </c>
      <c r="E1032">
        <f>LN(D1032/参数实验室!$E$53)/参数实验室!$E$55</f>
        <v>0.11806610412347499</v>
      </c>
      <c r="F1032">
        <f t="shared" si="108"/>
        <v>1.1147897713120727</v>
      </c>
      <c r="G1032">
        <f>LN(F1032/参数实验室!$E$58)/参数实验室!$E$59</f>
        <v>-0.13349631854074753</v>
      </c>
      <c r="H1032" s="856">
        <f>INDEX(神经网络!$G$10:$BO$70,MATCH(ROUND(G1032*2,1)/2,神经网络!$E$10:$E$70,0),MATCH(ROUND(E1032*2,1)/2,神经网络!$G$8:$BO$8,0))</f>
        <v>5.2253386166092243E-2</v>
      </c>
      <c r="I1032">
        <f t="shared" si="100"/>
        <v>55.283018737191689</v>
      </c>
      <c r="J1032">
        <f t="shared" si="101"/>
        <v>43.254858146123425</v>
      </c>
      <c r="K1032">
        <f t="shared" si="102"/>
        <v>1.278076523807679</v>
      </c>
      <c r="L1032" s="4">
        <f>MIN(MAX(L1031*(1+MAX(MIN(((B1032-B1031)/B1031)/($K$7*卓尔金历!$N$40),0),-卓尔金历!$M$43))+MIN(MAX(((B1032-B1031)/B1031)/($K$7*卓尔金历!$N$40),0),卓尔金历!$M$43),0),1)</f>
        <v>0</v>
      </c>
      <c r="M1032" s="4">
        <f>MIN(MAX(M1031*(1+MAX(MIN(((B1032-B1031)/B1031)/($K$7*30),0),-卓尔金历!$M$43))+MIN(MAX(((B1032-B1031)/B1031)/($K$7*7),0),卓尔金历!$M$43),0),1)</f>
        <v>0.21435483941617756</v>
      </c>
      <c r="N1032">
        <f t="shared" si="103"/>
        <v>100.34897523082537</v>
      </c>
      <c r="O1032">
        <f t="shared" si="104"/>
        <v>136.9520525823047</v>
      </c>
      <c r="P1032">
        <f t="shared" si="105"/>
        <v>-1.5341992914887883E-2</v>
      </c>
      <c r="Q1032">
        <f t="shared" si="106"/>
        <v>2.8948732045058684E-2</v>
      </c>
      <c r="R1032">
        <f t="shared" si="107"/>
        <v>0.68231377694447559</v>
      </c>
      <c r="S1032">
        <f t="shared" si="99"/>
        <v>5.1832578472672353</v>
      </c>
      <c r="T1032" s="564">
        <f>IF((I1032-MAX(I$470:I1032))/MAX(I$470:I1032)&gt;T1031,T1031,(I1032-MAX(I$470:I1032))/MAX(I$470:I1032))</f>
        <v>-0.91338805338419748</v>
      </c>
      <c r="U1032" s="564">
        <f>IF((J1032-MAX(J$470:J1032))/MAX(J$470:J1032)&gt;U1031,U1031,(J1032-MAX(J$470:J1032))/MAX(J$470:J1032))</f>
        <v>-0.70280130434782617</v>
      </c>
      <c r="V1032" s="564">
        <f>IF((K1032-MAX(K$470:K1032))/MAX(K$470:K1032)&gt;V1031,V1031,(K1032-MAX(K$470:K1032))/MAX(K$470:K1032))</f>
        <v>-0.80725522782524772</v>
      </c>
      <c r="W1032" s="564">
        <f>IF((N1032-MAX(N$470:N1032))/MAX(N$470:N1032)&gt;W1031,W1031,(N1032-MAX(N$470:N1032))/MAX(N$470:N1032))</f>
        <v>-0.62788758315546067</v>
      </c>
      <c r="X1032" s="564">
        <f>IF((O1032-MAX(O$470:O1032))/MAX(O$470:O1032)&gt;X1031,X1031,(O1032-MAX(O$470:O1032))/MAX(O$470:O1032))</f>
        <v>-0.62788758315546067</v>
      </c>
    </row>
    <row r="1033" spans="1:24">
      <c r="A1033" s="799">
        <v>41435</v>
      </c>
      <c r="B1033">
        <v>99.749700000000004</v>
      </c>
      <c r="C1033">
        <v>121.56919600000001</v>
      </c>
      <c r="D1033">
        <v>2.0777000000000001</v>
      </c>
      <c r="E1033">
        <f>LN(D1033/参数实验室!$E$53)/参数实验室!$E$55</f>
        <v>0.16973984783806084</v>
      </c>
      <c r="F1033">
        <f t="shared" si="108"/>
        <v>1.2187424724084384</v>
      </c>
      <c r="G1033">
        <f>LN(F1033/参数实验室!$E$58)/参数实验室!$E$59</f>
        <v>-8.6703625204403417E-2</v>
      </c>
      <c r="H1033" s="856">
        <f>INDEX(神经网络!$G$10:$BO$70,MATCH(ROUND(G1033*2,1)/2,神经网络!$E$10:$E$70,0),MATCH(ROUND(E1033*2,1)/2,神经网络!$G$8:$BO$8,0))</f>
        <v>1.0979806027987287</v>
      </c>
      <c r="I1033">
        <f t="shared" si="100"/>
        <v>55.052474499069852</v>
      </c>
      <c r="J1033">
        <f t="shared" si="101"/>
        <v>39.802761262519418</v>
      </c>
      <c r="K1033">
        <f t="shared" si="102"/>
        <v>1.3831320429246312</v>
      </c>
      <c r="L1033" s="4">
        <f>MIN(MAX(L1032*(1+MAX(MIN(((B1033-B1032)/B1032)/($K$7*卓尔金历!$N$40),0),-卓尔金历!$M$43))+MIN(MAX(((B1033-B1032)/B1032)/($K$7*卓尔金历!$N$40),0),卓尔金历!$M$43),0),1)</f>
        <v>0</v>
      </c>
      <c r="M1033" s="4">
        <f>MIN(MAX(M1032*(1+MAX(MIN(((B1033-B1032)/B1032)/($K$7*30),0),-卓尔金历!$M$43))+MIN(MAX(((B1033-B1032)/B1032)/($K$7*7),0),卓尔金历!$M$43),0),1)</f>
        <v>8.3663304286405241E-2</v>
      </c>
      <c r="N1033">
        <f t="shared" si="103"/>
        <v>100.34897523082537</v>
      </c>
      <c r="O1033">
        <f t="shared" si="104"/>
        <v>136.82962920354717</v>
      </c>
      <c r="P1033">
        <f t="shared" si="105"/>
        <v>-7.9808304351435808E-2</v>
      </c>
      <c r="Q1033">
        <f t="shared" si="106"/>
        <v>3.2712140103836045E-2</v>
      </c>
      <c r="R1033">
        <f t="shared" si="107"/>
        <v>3.1298993450300829E-3</v>
      </c>
      <c r="S1033">
        <f t="shared" si="99"/>
        <v>5.1685092920953464</v>
      </c>
      <c r="T1033" s="564">
        <f>IF((I1033-MAX(I$470:I1033))/MAX(I$470:I1033)&gt;T1032,T1032,(I1033-MAX(I$470:I1033))/MAX(I$470:I1033))</f>
        <v>-0.91338805338419748</v>
      </c>
      <c r="U1033" s="564">
        <f>IF((J1033-MAX(J$470:J1033))/MAX(J$470:J1033)&gt;U1032,U1032,(J1033-MAX(J$470:J1033))/MAX(J$470:J1033))</f>
        <v>-0.70280130434782617</v>
      </c>
      <c r="V1033" s="564">
        <f>IF((K1033-MAX(K$470:K1033))/MAX(K$470:K1033)&gt;V1032,V1032,(K1033-MAX(K$470:K1033))/MAX(K$470:K1033))</f>
        <v>-0.80725522782524772</v>
      </c>
      <c r="W1033" s="564">
        <f>IF((N1033-MAX(N$470:N1033))/MAX(N$470:N1033)&gt;W1032,W1032,(N1033-MAX(N$470:N1033))/MAX(N$470:N1033))</f>
        <v>-0.62788758315546067</v>
      </c>
      <c r="X1033" s="564">
        <f>IF((O1033-MAX(O$470:O1033))/MAX(O$470:O1033)&gt;X1032,X1032,(O1033-MAX(O$470:O1033))/MAX(O$470:O1033))</f>
        <v>-0.62788758315546067</v>
      </c>
    </row>
    <row r="1034" spans="1:24">
      <c r="A1034" s="799">
        <v>41436</v>
      </c>
      <c r="B1034">
        <v>105.99</v>
      </c>
      <c r="C1034">
        <v>120.87248599999999</v>
      </c>
      <c r="D1034">
        <v>2.13558</v>
      </c>
      <c r="E1034">
        <f>LN(D1034/参数实验室!$E$53)/参数实验室!$E$55</f>
        <v>0.20215564444246448</v>
      </c>
      <c r="F1034">
        <f t="shared" si="108"/>
        <v>1.1404140579299935</v>
      </c>
      <c r="G1034">
        <f>LN(F1034/参数实验室!$E$58)/参数实验室!$E$59</f>
        <v>-0.12156871442238218</v>
      </c>
      <c r="H1034" s="856">
        <f>INDEX(神经网络!$G$10:$BO$70,MATCH(ROUND(G1034*2,1)/2,神经网络!$E$10:$E$70,0),MATCH(ROUND(E1034*2,1)/2,神经网络!$G$8:$BO$8,0))</f>
        <v>1.1878558985151273</v>
      </c>
      <c r="I1034">
        <f t="shared" si="100"/>
        <v>58.833985627160402</v>
      </c>
      <c r="J1034">
        <f t="shared" si="101"/>
        <v>42.292805554447106</v>
      </c>
      <c r="K1034">
        <f t="shared" si="102"/>
        <v>1.3911109668858084</v>
      </c>
      <c r="L1034" s="4">
        <f>MIN(MAX(L1033*(1+MAX(MIN(((B1034-B1033)/B1033)/($K$7*卓尔金历!$N$40),0),-卓尔金历!$M$43))+MIN(MAX(((B1034-B1033)/B1033)/($K$7*卓尔金历!$N$40),0),卓尔金历!$M$43),0),1)</f>
        <v>0.95585044999701307</v>
      </c>
      <c r="M1034" s="4">
        <f>MIN(MAX(M1033*(1+MAX(MIN(((B1034-B1033)/B1033)/($K$7*30),0),-卓尔金历!$M$43))+MIN(MAX(((B1034-B1033)/B1033)/($K$7*7),0),卓尔金历!$M$43),0),1)</f>
        <v>1</v>
      </c>
      <c r="N1034">
        <f t="shared" si="103"/>
        <v>100.34897523082537</v>
      </c>
      <c r="O1034">
        <f t="shared" si="104"/>
        <v>137.61595713280812</v>
      </c>
      <c r="P1034">
        <f t="shared" si="105"/>
        <v>6.2559586645373269E-2</v>
      </c>
      <c r="Q1034">
        <f t="shared" si="106"/>
        <v>3.5691895989016245E-2</v>
      </c>
      <c r="R1034">
        <f t="shared" si="107"/>
        <v>1.435422352066712E-2</v>
      </c>
      <c r="S1034">
        <f t="shared" si="99"/>
        <v>5.1696204715707719</v>
      </c>
      <c r="T1034" s="564">
        <f>IF((I1034-MAX(I$470:I1034))/MAX(I$470:I1034)&gt;T1033,T1033,(I1034-MAX(I$470:I1034))/MAX(I$470:I1034))</f>
        <v>-0.91338805338419748</v>
      </c>
      <c r="U1034" s="564">
        <f>IF((J1034-MAX(J$470:J1034))/MAX(J$470:J1034)&gt;U1033,U1033,(J1034-MAX(J$470:J1034))/MAX(J$470:J1034))</f>
        <v>-0.70280130434782617</v>
      </c>
      <c r="V1034" s="564">
        <f>IF((K1034-MAX(K$470:K1034))/MAX(K$470:K1034)&gt;V1033,V1033,(K1034-MAX(K$470:K1034))/MAX(K$470:K1034))</f>
        <v>-0.80725522782524772</v>
      </c>
      <c r="W1034" s="564">
        <f>IF((N1034-MAX(N$470:N1034))/MAX(N$470:N1034)&gt;W1033,W1033,(N1034-MAX(N$470:N1034))/MAX(N$470:N1034))</f>
        <v>-0.62788758315546067</v>
      </c>
      <c r="X1034" s="564">
        <f>IF((O1034-MAX(O$470:O1034))/MAX(O$470:O1034)&gt;X1033,X1033,(O1034-MAX(O$470:O1034))/MAX(O$470:O1034))</f>
        <v>-0.62788758315546067</v>
      </c>
    </row>
    <row r="1035" spans="1:24">
      <c r="A1035" s="799">
        <v>41437</v>
      </c>
      <c r="B1035">
        <v>108.9</v>
      </c>
      <c r="C1035">
        <v>119.011521</v>
      </c>
      <c r="D1035">
        <v>2.1132689999999998</v>
      </c>
      <c r="E1035">
        <f>LN(D1035/参数实验室!$E$53)/参数实验室!$E$55</f>
        <v>0.18976559878194665</v>
      </c>
      <c r="F1035">
        <f t="shared" si="108"/>
        <v>1.092851432506887</v>
      </c>
      <c r="G1035">
        <f>LN(F1035/参数实验室!$E$58)/参数实验室!$E$59</f>
        <v>-0.14392809056161793</v>
      </c>
      <c r="H1035" s="856">
        <f>INDEX(神经网络!$G$10:$BO$70,MATCH(ROUND(G1035*2,1)/2,神经网络!$E$10:$E$70,0),MATCH(ROUND(E1035*2,1)/2,神经网络!$G$8:$BO$8,0))</f>
        <v>1.1442356835540914</v>
      </c>
      <c r="I1035">
        <f t="shared" si="100"/>
        <v>60.752743282257079</v>
      </c>
      <c r="J1035">
        <f t="shared" si="101"/>
        <v>43.453972307569494</v>
      </c>
      <c r="K1035">
        <f t="shared" si="102"/>
        <v>1.3980941224946244</v>
      </c>
      <c r="L1035" s="4">
        <f>MIN(MAX(L1034*(1+MAX(MIN(((B1035-B1034)/B1034)/($K$7*卓尔金历!$N$40),0),-卓尔金历!$M$43))+MIN(MAX(((B1035-B1034)/B1034)/($K$7*卓尔金历!$N$40),0),卓尔金历!$M$43),0),1)</f>
        <v>1</v>
      </c>
      <c r="M1035" s="4">
        <f>MIN(MAX(M1034*(1+MAX(MIN(((B1035-B1034)/B1034)/($K$7*30),0),-卓尔金历!$M$43))+MIN(MAX(((B1035-B1034)/B1034)/($K$7*7),0),卓尔金历!$M$43),0),1)</f>
        <v>1</v>
      </c>
      <c r="N1035">
        <f t="shared" si="103"/>
        <v>103.47717691986132</v>
      </c>
      <c r="O1035">
        <f t="shared" si="104"/>
        <v>142.10403776167061</v>
      </c>
      <c r="P1035">
        <f t="shared" si="105"/>
        <v>2.7455420322672053E-2</v>
      </c>
      <c r="Q1035">
        <f t="shared" si="106"/>
        <v>3.6371387035348084E-2</v>
      </c>
      <c r="R1035">
        <f t="shared" si="107"/>
        <v>0.32694791255483852</v>
      </c>
      <c r="S1035">
        <f t="shared" si="99"/>
        <v>5.172040554345827</v>
      </c>
      <c r="T1035" s="564">
        <f>IF((I1035-MAX(I$470:I1035))/MAX(I$470:I1035)&gt;T1034,T1034,(I1035-MAX(I$470:I1035))/MAX(I$470:I1035))</f>
        <v>-0.91338805338419748</v>
      </c>
      <c r="U1035" s="564">
        <f>IF((J1035-MAX(J$470:J1035))/MAX(J$470:J1035)&gt;U1034,U1034,(J1035-MAX(J$470:J1035))/MAX(J$470:J1035))</f>
        <v>-0.70280130434782617</v>
      </c>
      <c r="V1035" s="564">
        <f>IF((K1035-MAX(K$470:K1035))/MAX(K$470:K1035)&gt;V1034,V1034,(K1035-MAX(K$470:K1035))/MAX(K$470:K1035))</f>
        <v>-0.80725522782524772</v>
      </c>
      <c r="W1035" s="564">
        <f>IF((N1035-MAX(N$470:N1035))/MAX(N$470:N1035)&gt;W1034,W1034,(N1035-MAX(N$470:N1035))/MAX(N$470:N1035))</f>
        <v>-0.62788758315546067</v>
      </c>
      <c r="X1035" s="564">
        <f>IF((O1035-MAX(O$470:O1035))/MAX(O$470:O1035)&gt;X1034,X1034,(O1035-MAX(O$470:O1035))/MAX(O$470:O1035))</f>
        <v>-0.62788758315546067</v>
      </c>
    </row>
    <row r="1036" spans="1:24">
      <c r="A1036" s="799">
        <v>41438</v>
      </c>
      <c r="B1036">
        <v>108.4</v>
      </c>
      <c r="C1036">
        <v>116.97175799999999</v>
      </c>
      <c r="D1036">
        <v>2.0161929999999999</v>
      </c>
      <c r="E1036">
        <f>LN(D1036/参数实验室!$E$53)/参数实验室!$E$55</f>
        <v>0.13428775212415481</v>
      </c>
      <c r="F1036">
        <f t="shared" si="108"/>
        <v>1.0790752583025829</v>
      </c>
      <c r="G1036">
        <f>LN(F1036/参数实验室!$E$58)/参数实验室!$E$59</f>
        <v>-0.15058630580136895</v>
      </c>
      <c r="H1036" s="856">
        <f>INDEX(神经网络!$G$10:$BO$70,MATCH(ROUND(G1036*2,1)/2,神经网络!$E$10:$E$70,0),MATCH(ROUND(E1036*2,1)/2,神经网络!$G$8:$BO$8,0))</f>
        <v>9.8907609325982332E-2</v>
      </c>
      <c r="I1036">
        <f t="shared" si="100"/>
        <v>60.433572222856895</v>
      </c>
      <c r="J1036">
        <f t="shared" si="101"/>
        <v>43.254459119747779</v>
      </c>
      <c r="K1036">
        <f t="shared" si="102"/>
        <v>1.3971639792223414</v>
      </c>
      <c r="L1036" s="4">
        <f>MIN(MAX(L1035*(1+MAX(MIN(((B1036-B1035)/B1035)/($K$7*卓尔金历!$N$40),0),-卓尔金历!$M$43))+MIN(MAX(((B1036-B1035)/B1035)/($K$7*卓尔金历!$N$40),0),卓尔金历!$M$43),0),1)</f>
        <v>0.92984829948674119</v>
      </c>
      <c r="M1036" s="4">
        <f>MIN(MAX(M1035*(1+MAX(MIN(((B1036-B1035)/B1035)/($K$7*30),0),-卓尔金历!$M$43))+MIN(MAX(((B1036-B1035)/B1035)/($K$7*7),0),卓尔金历!$M$43),0),1)</f>
        <v>0.9649241497433706</v>
      </c>
      <c r="N1036">
        <f t="shared" si="103"/>
        <v>102.93354846134366</v>
      </c>
      <c r="O1036">
        <f t="shared" si="104"/>
        <v>141.35747894264387</v>
      </c>
      <c r="P1036">
        <f t="shared" si="105"/>
        <v>-4.5913682277318639E-3</v>
      </c>
      <c r="Q1036">
        <f t="shared" si="106"/>
        <v>3.6347959117974969E-2</v>
      </c>
      <c r="R1036">
        <f t="shared" si="107"/>
        <v>1</v>
      </c>
      <c r="S1036">
        <f t="shared" si="99"/>
        <v>5.1631567680594248</v>
      </c>
      <c r="T1036" s="564">
        <f>IF((I1036-MAX(I$470:I1036))/MAX(I$470:I1036)&gt;T1035,T1035,(I1036-MAX(I$470:I1036))/MAX(I$470:I1036))</f>
        <v>-0.91338805338419748</v>
      </c>
      <c r="U1036" s="564">
        <f>IF((J1036-MAX(J$470:J1036))/MAX(J$470:J1036)&gt;U1035,U1035,(J1036-MAX(J$470:J1036))/MAX(J$470:J1036))</f>
        <v>-0.70280130434782617</v>
      </c>
      <c r="V1036" s="564">
        <f>IF((K1036-MAX(K$470:K1036))/MAX(K$470:K1036)&gt;V1035,V1035,(K1036-MAX(K$470:K1036))/MAX(K$470:K1036))</f>
        <v>-0.80725522782524772</v>
      </c>
      <c r="W1036" s="564">
        <f>IF((N1036-MAX(N$470:N1036))/MAX(N$470:N1036)&gt;W1035,W1035,(N1036-MAX(N$470:N1036))/MAX(N$470:N1036))</f>
        <v>-0.62788758315546067</v>
      </c>
      <c r="X1036" s="564">
        <f>IF((O1036-MAX(O$470:O1036))/MAX(O$470:O1036)&gt;X1035,X1035,(O1036-MAX(O$470:O1036))/MAX(O$470:O1036))</f>
        <v>-0.62788758315546067</v>
      </c>
    </row>
    <row r="1037" spans="1:24">
      <c r="A1037" s="799">
        <v>41439</v>
      </c>
      <c r="B1037">
        <v>102.76900000000001</v>
      </c>
      <c r="C1037">
        <v>114.511752</v>
      </c>
      <c r="D1037">
        <v>1.9752559999999999</v>
      </c>
      <c r="E1037">
        <f>LN(D1037/参数实验室!$E$53)/参数实验室!$E$55</f>
        <v>0.1100873917815262</v>
      </c>
      <c r="F1037">
        <f t="shared" si="108"/>
        <v>1.1142635619690762</v>
      </c>
      <c r="G1037">
        <f>LN(F1037/参数实验室!$E$58)/参数实验室!$E$59</f>
        <v>-0.13374412158985888</v>
      </c>
      <c r="H1037" s="856">
        <f>INDEX(神经网络!$G$10:$BO$70,MATCH(ROUND(G1037*2,1)/2,神经网络!$E$10:$E$70,0),MATCH(ROUND(E1037*2,1)/2,神经网络!$G$8:$BO$8,0))</f>
        <v>5.2253386166092243E-2</v>
      </c>
      <c r="I1037">
        <f t="shared" si="100"/>
        <v>60.123070355757136</v>
      </c>
      <c r="J1037">
        <f t="shared" si="101"/>
        <v>41.007541598499628</v>
      </c>
      <c r="K1037">
        <f t="shared" si="102"/>
        <v>1.4661466650309245</v>
      </c>
      <c r="L1037" s="4">
        <f>MIN(MAX(L1036*(1+MAX(MIN(((B1037-B1036)/B1036)/($K$7*卓尔金历!$N$40),0),-卓尔金历!$M$43))+MIN(MAX(((B1037-B1036)/B1036)/($K$7*卓尔金历!$N$40),0),卓尔金历!$M$43),0),1)</f>
        <v>0.19183459798387534</v>
      </c>
      <c r="M1037" s="4">
        <f>MIN(MAX(M1036*(1+MAX(MIN(((B1037-B1036)/B1036)/($K$7*30),0),-卓尔金历!$M$43))+MIN(MAX(((B1037-B1036)/B1036)/($K$7*7),0),卓尔金历!$M$43),0),1)</f>
        <v>0.58199757784196937</v>
      </c>
      <c r="N1037">
        <f t="shared" si="103"/>
        <v>102.44178642819934</v>
      </c>
      <c r="O1037">
        <f t="shared" si="104"/>
        <v>140.65667277247783</v>
      </c>
      <c r="P1037">
        <f t="shared" si="105"/>
        <v>-5.1946494464944648E-2</v>
      </c>
      <c r="Q1037">
        <f t="shared" si="106"/>
        <v>3.7090414287632142E-2</v>
      </c>
      <c r="R1037">
        <f t="shared" si="107"/>
        <v>2.4103942813810408E-2</v>
      </c>
      <c r="S1037">
        <f t="shared" si="99"/>
        <v>5.1366289664146816</v>
      </c>
      <c r="T1037" s="564">
        <f>IF((I1037-MAX(I$470:I1037))/MAX(I$470:I1037)&gt;T1036,T1036,(I1037-MAX(I$470:I1037))/MAX(I$470:I1037))</f>
        <v>-0.91338805338419748</v>
      </c>
      <c r="U1037" s="564">
        <f>IF((J1037-MAX(J$470:J1037))/MAX(J$470:J1037)&gt;U1036,U1036,(J1037-MAX(J$470:J1037))/MAX(J$470:J1037))</f>
        <v>-0.70280130434782617</v>
      </c>
      <c r="V1037" s="564">
        <f>IF((K1037-MAX(K$470:K1037))/MAX(K$470:K1037)&gt;V1036,V1036,(K1037-MAX(K$470:K1037))/MAX(K$470:K1037))</f>
        <v>-0.80725522782524772</v>
      </c>
      <c r="W1037" s="564">
        <f>IF((N1037-MAX(N$470:N1037))/MAX(N$470:N1037)&gt;W1036,W1036,(N1037-MAX(N$470:N1037))/MAX(N$470:N1037))</f>
        <v>-0.62788758315546067</v>
      </c>
      <c r="X1037" s="564">
        <f>IF((O1037-MAX(O$470:O1037))/MAX(O$470:O1037)&gt;X1036,X1036,(O1037-MAX(O$470:O1037))/MAX(O$470:O1037))</f>
        <v>-0.62788758315546067</v>
      </c>
    </row>
    <row r="1038" spans="1:24">
      <c r="A1038" s="799">
        <v>41440</v>
      </c>
      <c r="B1038">
        <v>98.399000000000001</v>
      </c>
      <c r="C1038">
        <v>113.01953899999999</v>
      </c>
      <c r="D1038">
        <v>1.9878579999999999</v>
      </c>
      <c r="E1038">
        <f>LN(D1038/参数实验室!$E$53)/参数实验室!$E$55</f>
        <v>0.11759022944392122</v>
      </c>
      <c r="F1038">
        <f t="shared" si="108"/>
        <v>1.1485842234169046</v>
      </c>
      <c r="G1038">
        <f>LN(F1038/参数实验室!$E$58)/参数实验室!$E$59</f>
        <v>-0.11782195529730036</v>
      </c>
      <c r="H1038" s="856">
        <f>INDEX(神经网络!$G$10:$BO$70,MATCH(ROUND(G1038*2,1)/2,神经网络!$E$10:$E$70,0),MATCH(ROUND(E1038*2,1)/2,神经网络!$G$8:$BO$8,0))</f>
        <v>0.14425010747060138</v>
      </c>
      <c r="I1038">
        <f t="shared" si="100"/>
        <v>59.989480064561398</v>
      </c>
      <c r="J1038">
        <f t="shared" si="101"/>
        <v>39.263796336937837</v>
      </c>
      <c r="K1038">
        <f t="shared" si="102"/>
        <v>1.5278573561702604</v>
      </c>
      <c r="L1038" s="4">
        <f>MIN(MAX(L1037*(1+MAX(MIN(((B1038-B1037)/B1037)/($K$7*卓尔金历!$N$40),0),-卓尔金历!$M$43))+MIN(MAX(((B1038-B1037)/B1037)/($K$7*卓尔金历!$N$40),0),卓尔金历!$M$43),0),1)</f>
        <v>6.7198937044226942E-2</v>
      </c>
      <c r="M1038" s="4">
        <f>MIN(MAX(M1037*(1+MAX(MIN(((B1038-B1037)/B1037)/($K$7*30),0),-卓尔金历!$M$43))+MIN(MAX(((B1038-B1037)/B1037)/($K$7*7),0),卓尔金历!$M$43),0),1)</f>
        <v>0.39293456850486985</v>
      </c>
      <c r="N1038">
        <f t="shared" si="103"/>
        <v>102.39812098976738</v>
      </c>
      <c r="O1038">
        <f t="shared" si="104"/>
        <v>140.47478007536679</v>
      </c>
      <c r="P1038">
        <f t="shared" si="105"/>
        <v>-4.2522550574589653E-2</v>
      </c>
      <c r="Q1038">
        <f t="shared" si="106"/>
        <v>3.5509827757695477E-2</v>
      </c>
      <c r="R1038">
        <f t="shared" si="107"/>
        <v>3.0405792868537999E-2</v>
      </c>
      <c r="S1038">
        <f t="shared" si="99"/>
        <v>5.136353860434947</v>
      </c>
      <c r="T1038" s="564">
        <f>IF((I1038-MAX(I$470:I1038))/MAX(I$470:I1038)&gt;T1037,T1037,(I1038-MAX(I$470:I1038))/MAX(I$470:I1038))</f>
        <v>-0.91338805338419748</v>
      </c>
      <c r="U1038" s="564">
        <f>IF((J1038-MAX(J$470:J1038))/MAX(J$470:J1038)&gt;U1037,U1037,(J1038-MAX(J$470:J1038))/MAX(J$470:J1038))</f>
        <v>-0.70280130434782617</v>
      </c>
      <c r="V1038" s="564">
        <f>IF((K1038-MAX(K$470:K1038))/MAX(K$470:K1038)&gt;V1037,V1037,(K1038-MAX(K$470:K1038))/MAX(K$470:K1038))</f>
        <v>-0.80725522782524772</v>
      </c>
      <c r="W1038" s="564">
        <f>IF((N1038-MAX(N$470:N1038))/MAX(N$470:N1038)&gt;W1037,W1037,(N1038-MAX(N$470:N1038))/MAX(N$470:N1038))</f>
        <v>-0.62788758315546067</v>
      </c>
      <c r="X1038" s="564">
        <f>IF((O1038-MAX(O$470:O1038))/MAX(O$470:O1038)&gt;X1037,X1037,(O1038-MAX(O$470:O1038))/MAX(O$470:O1038))</f>
        <v>-0.62788758315546067</v>
      </c>
    </row>
    <row r="1039" spans="1:24">
      <c r="A1039" s="799">
        <v>41441</v>
      </c>
      <c r="B1039">
        <v>99.99</v>
      </c>
      <c r="C1039">
        <v>111.627838</v>
      </c>
      <c r="D1039">
        <v>1.9707809999999999</v>
      </c>
      <c r="E1039">
        <f>LN(D1039/参数实验室!$E$53)/参数实验室!$E$55</f>
        <v>0.10741159425099257</v>
      </c>
      <c r="F1039">
        <f t="shared" si="108"/>
        <v>1.1163900190019003</v>
      </c>
      <c r="G1039">
        <f>LN(F1039/参数实验室!$E$58)/参数实验室!$E$59</f>
        <v>-0.13274344634497029</v>
      </c>
      <c r="H1039" s="856">
        <f>INDEX(神经网络!$G$10:$BO$70,MATCH(ROUND(G1039*2,1)/2,神经网络!$E$10:$E$70,0),MATCH(ROUND(E1039*2,1)/2,神经网络!$G$8:$BO$8,0))</f>
        <v>5.2253386166092243E-2</v>
      </c>
      <c r="I1039">
        <f t="shared" si="100"/>
        <v>60.129397146175556</v>
      </c>
      <c r="J1039">
        <f t="shared" si="101"/>
        <v>39.898647300586532</v>
      </c>
      <c r="K1039">
        <f t="shared" si="102"/>
        <v>1.5070535272330303</v>
      </c>
      <c r="L1039" s="4">
        <f>MIN(MAX(L1038*(1+MAX(MIN(((B1039-B1038)/B1038)/($K$7*卓尔金历!$N$40),0),-卓尔金历!$M$43))+MIN(MAX(((B1039-B1038)/B1038)/($K$7*卓尔金历!$N$40),0),卓尔金历!$M$43),0),1)</f>
        <v>0.3142436552986223</v>
      </c>
      <c r="M1039" s="4">
        <f>MIN(MAX(M1038*(1+MAX(MIN(((B1039-B1038)/B1038)/($K$7*30),0),-卓尔金历!$M$43))+MIN(MAX(((B1039-B1038)/B1038)/($K$7*7),0),卓尔金历!$M$43),0),1)</f>
        <v>0.92231610762143124</v>
      </c>
      <c r="N1039">
        <f t="shared" si="103"/>
        <v>102.41417006566945</v>
      </c>
      <c r="O1039">
        <f t="shared" si="104"/>
        <v>140.60352029291627</v>
      </c>
      <c r="P1039">
        <f t="shared" si="105"/>
        <v>1.6168863504710352E-2</v>
      </c>
      <c r="Q1039">
        <f t="shared" si="106"/>
        <v>3.60399450986955E-2</v>
      </c>
      <c r="R1039">
        <f t="shared" si="107"/>
        <v>0.86551291611365611</v>
      </c>
      <c r="S1039">
        <f t="shared" si="99"/>
        <v>5.1367181165982965</v>
      </c>
      <c r="T1039" s="564">
        <f>IF((I1039-MAX(I$470:I1039))/MAX(I$470:I1039)&gt;T1038,T1038,(I1039-MAX(I$470:I1039))/MAX(I$470:I1039))</f>
        <v>-0.91338805338419748</v>
      </c>
      <c r="U1039" s="564">
        <f>IF((J1039-MAX(J$470:J1039))/MAX(J$470:J1039)&gt;U1038,U1038,(J1039-MAX(J$470:J1039))/MAX(J$470:J1039))</f>
        <v>-0.70280130434782617</v>
      </c>
      <c r="V1039" s="564">
        <f>IF((K1039-MAX(K$470:K1039))/MAX(K$470:K1039)&gt;V1038,V1038,(K1039-MAX(K$470:K1039))/MAX(K$470:K1039))</f>
        <v>-0.80725522782524772</v>
      </c>
      <c r="W1039" s="564">
        <f>IF((N1039-MAX(N$470:N1039))/MAX(N$470:N1039)&gt;W1038,W1038,(N1039-MAX(N$470:N1039))/MAX(N$470:N1039))</f>
        <v>-0.62788758315546067</v>
      </c>
      <c r="X1039" s="564">
        <f>IF((O1039-MAX(O$470:O1039))/MAX(O$470:O1039)&gt;X1038,X1038,(O1039-MAX(O$470:O1039))/MAX(O$470:O1039))</f>
        <v>-0.62788758315546067</v>
      </c>
    </row>
    <row r="1040" spans="1:24">
      <c r="A1040" s="799">
        <v>41442</v>
      </c>
      <c r="B1040">
        <v>100.42</v>
      </c>
      <c r="C1040">
        <v>112.00142099999999</v>
      </c>
      <c r="D1040">
        <v>1.9924740000000001</v>
      </c>
      <c r="E1040">
        <f>LN(D1040/参数实验室!$E$53)/参数实验室!$E$55</f>
        <v>0.12032655566772399</v>
      </c>
      <c r="F1040">
        <f t="shared" si="108"/>
        <v>1.1153298247361083</v>
      </c>
      <c r="G1040">
        <f>LN(F1040/参数实验室!$E$58)/参数实验室!$E$59</f>
        <v>-0.13324211761885241</v>
      </c>
      <c r="H1040" s="856">
        <f>INDEX(神经网络!$G$10:$BO$70,MATCH(ROUND(G1040*2,1)/2,神经网络!$E$10:$E$70,0),MATCH(ROUND(E1040*2,1)/2,神经网络!$G$8:$BO$8,0))</f>
        <v>5.2253386166092243E-2</v>
      </c>
      <c r="I1040">
        <f t="shared" si="100"/>
        <v>60.142908945174213</v>
      </c>
      <c r="J1040">
        <f t="shared" si="101"/>
        <v>40.070228642113207</v>
      </c>
      <c r="K1040">
        <f t="shared" si="102"/>
        <v>1.5009375035600601</v>
      </c>
      <c r="L1040" s="4">
        <f>MIN(MAX(L1039*(1+MAX(MIN(((B1040-B1039)/B1039)/($K$7*卓尔金历!$N$40),0),-卓尔金历!$M$43))+MIN(MAX(((B1040-B1039)/B1039)/($K$7*卓尔金历!$N$40),0),卓尔金历!$M$43),0),1)</f>
        <v>0.37995009954173509</v>
      </c>
      <c r="M1040" s="4">
        <f>MIN(MAX(M1039*(1+MAX(MIN(((B1040-B1039)/B1039)/($K$7*30),0),-卓尔金历!$M$43))+MIN(MAX(((B1040-B1039)/B1039)/($K$7*7),0),卓尔金历!$M$43),0),1)</f>
        <v>1</v>
      </c>
      <c r="N1040">
        <f t="shared" si="103"/>
        <v>102.42140197369537</v>
      </c>
      <c r="O1040">
        <f t="shared" si="104"/>
        <v>140.63266114953237</v>
      </c>
      <c r="P1040">
        <f t="shared" si="105"/>
        <v>4.3004300430043692E-3</v>
      </c>
      <c r="Q1040">
        <f t="shared" si="106"/>
        <v>3.505494692138468E-2</v>
      </c>
      <c r="R1040">
        <f t="shared" si="107"/>
        <v>1</v>
      </c>
      <c r="S1040">
        <f t="shared" si="99"/>
        <v>5.137717162893475</v>
      </c>
      <c r="T1040" s="564">
        <f>IF((I1040-MAX(I$470:I1040))/MAX(I$470:I1040)&gt;T1039,T1039,(I1040-MAX(I$470:I1040))/MAX(I$470:I1040))</f>
        <v>-0.91338805338419748</v>
      </c>
      <c r="U1040" s="564">
        <f>IF((J1040-MAX(J$470:J1040))/MAX(J$470:J1040)&gt;U1039,U1039,(J1040-MAX(J$470:J1040))/MAX(J$470:J1040))</f>
        <v>-0.70280130434782617</v>
      </c>
      <c r="V1040" s="564">
        <f>IF((K1040-MAX(K$470:K1040))/MAX(K$470:K1040)&gt;V1039,V1039,(K1040-MAX(K$470:K1040))/MAX(K$470:K1040))</f>
        <v>-0.80725522782524772</v>
      </c>
      <c r="W1040" s="564">
        <f>IF((N1040-MAX(N$470:N1040))/MAX(N$470:N1040)&gt;W1039,W1039,(N1040-MAX(N$470:N1040))/MAX(N$470:N1040))</f>
        <v>-0.62788758315546067</v>
      </c>
      <c r="X1040" s="564">
        <f>IF((O1040-MAX(O$470:O1040))/MAX(O$470:O1040)&gt;X1039,X1039,(O1040-MAX(O$470:O1040))/MAX(O$470:O1040))</f>
        <v>-0.62788758315546067</v>
      </c>
    </row>
    <row r="1041" spans="1:24">
      <c r="A1041" s="799">
        <v>41443</v>
      </c>
      <c r="B1041">
        <v>102</v>
      </c>
      <c r="C1041">
        <v>113.147149</v>
      </c>
      <c r="D1041">
        <v>2.0741369999999999</v>
      </c>
      <c r="E1041">
        <f>LN(D1041/参数实验室!$E$53)/参数实验室!$E$55</f>
        <v>0.16771497940504093</v>
      </c>
      <c r="F1041">
        <f t="shared" si="108"/>
        <v>1.1092857745098039</v>
      </c>
      <c r="G1041">
        <f>LN(F1041/参数实验室!$E$58)/参数实验室!$E$59</f>
        <v>-0.13609407280995034</v>
      </c>
      <c r="H1041" s="856">
        <f>INDEX(神经网络!$G$10:$BO$70,MATCH(ROUND(G1041*2,1)/2,神经网络!$E$10:$E$70,0),MATCH(ROUND(E1041*2,1)/2,神经网络!$G$8:$BO$8,0))</f>
        <v>9.8907609325982332E-2</v>
      </c>
      <c r="I1041">
        <f t="shared" si="100"/>
        <v>60.192355465997728</v>
      </c>
      <c r="J1041">
        <f t="shared" si="101"/>
        <v>40.700690315629828</v>
      </c>
      <c r="K1041">
        <f t="shared" si="102"/>
        <v>1.4789025689542847</v>
      </c>
      <c r="L1041" s="4">
        <f>MIN(MAX(L1040*(1+MAX(MIN(((B1041-B1040)/B1040)/($K$7*卓尔金历!$N$40),0),-卓尔金历!$M$43))+MIN(MAX(((B1041-B1040)/B1040)/($K$7*卓尔金历!$N$40),0),卓尔金历!$M$43),0),1)</f>
        <v>0.62034926093811671</v>
      </c>
      <c r="M1041" s="4">
        <f>MIN(MAX(M1040*(1+MAX(MIN(((B1041-B1040)/B1040)/($K$7*30),0),-卓尔金历!$M$43))+MIN(MAX(((B1041-B1040)/B1040)/($K$7*7),0),卓尔金历!$M$43),0),1)</f>
        <v>1</v>
      </c>
      <c r="N1041">
        <f t="shared" si="103"/>
        <v>102.45339597719875</v>
      </c>
      <c r="O1041">
        <f t="shared" si="104"/>
        <v>140.74828235791682</v>
      </c>
      <c r="P1041">
        <f t="shared" si="105"/>
        <v>1.5733917546305501E-2</v>
      </c>
      <c r="Q1041">
        <f t="shared" si="106"/>
        <v>3.4966505312645252E-2</v>
      </c>
      <c r="R1041">
        <f t="shared" si="107"/>
        <v>0.86162071847487154</v>
      </c>
      <c r="S1041">
        <f t="shared" si="99"/>
        <v>5.1419411394708625</v>
      </c>
      <c r="T1041" s="564">
        <f>IF((I1041-MAX(I$470:I1041))/MAX(I$470:I1041)&gt;T1040,T1040,(I1041-MAX(I$470:I1041))/MAX(I$470:I1041))</f>
        <v>-0.91338805338419748</v>
      </c>
      <c r="U1041" s="564">
        <f>IF((J1041-MAX(J$470:J1041))/MAX(J$470:J1041)&gt;U1040,U1040,(J1041-MAX(J$470:J1041))/MAX(J$470:J1041))</f>
        <v>-0.70280130434782617</v>
      </c>
      <c r="V1041" s="564">
        <f>IF((K1041-MAX(K$470:K1041))/MAX(K$470:K1041)&gt;V1040,V1040,(K1041-MAX(K$470:K1041))/MAX(K$470:K1041))</f>
        <v>-0.80725522782524772</v>
      </c>
      <c r="W1041" s="564">
        <f>IF((N1041-MAX(N$470:N1041))/MAX(N$470:N1041)&gt;W1040,W1040,(N1041-MAX(N$470:N1041))/MAX(N$470:N1041))</f>
        <v>-0.62788758315546067</v>
      </c>
      <c r="X1041" s="564">
        <f>IF((O1041-MAX(O$470:O1041))/MAX(O$470:O1041)&gt;X1040,X1040,(O1041-MAX(O$470:O1041))/MAX(O$470:O1041))</f>
        <v>-0.62788758315546067</v>
      </c>
    </row>
    <row r="1042" spans="1:24">
      <c r="A1042" s="799">
        <v>41444</v>
      </c>
      <c r="B1042">
        <v>106.55</v>
      </c>
      <c r="C1042">
        <v>112.80588</v>
      </c>
      <c r="D1042">
        <v>2.075491</v>
      </c>
      <c r="E1042">
        <f>LN(D1042/参数实验室!$E$53)/参数实验室!$E$55</f>
        <v>0.16848487297093601</v>
      </c>
      <c r="F1042">
        <f t="shared" si="108"/>
        <v>1.0587130924448616</v>
      </c>
      <c r="G1042">
        <f>LN(F1042/参数实验室!$E$58)/参数实验室!$E$59</f>
        <v>-0.16058494601435108</v>
      </c>
      <c r="H1042" s="856">
        <f>INDEX(神经网络!$G$10:$BO$70,MATCH(ROUND(G1042*2,1)/2,神经网络!$E$10:$E$70,0),MATCH(ROUND(E1042*2,1)/2,神经网络!$G$8:$BO$8,0))</f>
        <v>9.8907609325982332E-2</v>
      </c>
      <c r="I1042">
        <f t="shared" si="100"/>
        <v>60.457927456230365</v>
      </c>
      <c r="J1042">
        <f t="shared" si="101"/>
        <v>42.516260324807433</v>
      </c>
      <c r="K1042">
        <f t="shared" si="102"/>
        <v>1.4219954199723983</v>
      </c>
      <c r="L1042" s="4">
        <f>MIN(MAX(L1041*(1+MAX(MIN(((B1042-B1041)/B1041)/($K$7*卓尔金历!$N$40),0),-卓尔金历!$M$43))+MIN(MAX(((B1042-B1041)/B1041)/($K$7*卓尔金历!$N$40),0),卓尔金历!$M$43),0),1)</f>
        <v>1</v>
      </c>
      <c r="M1042" s="4">
        <f>MIN(MAX(M1041*(1+MAX(MIN(((B1042-B1041)/B1041)/($K$7*30),0),-卓尔金历!$M$43))+MIN(MAX(((B1042-B1041)/B1041)/($K$7*7),0),卓尔金历!$M$43),0),1)</f>
        <v>1</v>
      </c>
      <c r="N1042">
        <f t="shared" si="103"/>
        <v>102.73381247252678</v>
      </c>
      <c r="O1042">
        <f t="shared" si="104"/>
        <v>141.36927153799189</v>
      </c>
      <c r="P1042">
        <f t="shared" si="105"/>
        <v>4.4607843137254875E-2</v>
      </c>
      <c r="Q1042">
        <f t="shared" si="106"/>
        <v>3.6826072600039325E-2</v>
      </c>
      <c r="R1042">
        <f t="shared" si="107"/>
        <v>2.826330002270265E-2</v>
      </c>
      <c r="S1042">
        <f t="shared" si="99"/>
        <v>5.1614883218026613</v>
      </c>
      <c r="T1042" s="564">
        <f>IF((I1042-MAX(I$470:I1042))/MAX(I$470:I1042)&gt;T1041,T1041,(I1042-MAX(I$470:I1042))/MAX(I$470:I1042))</f>
        <v>-0.91338805338419748</v>
      </c>
      <c r="U1042" s="564">
        <f>IF((J1042-MAX(J$470:J1042))/MAX(J$470:J1042)&gt;U1041,U1041,(J1042-MAX(J$470:J1042))/MAX(J$470:J1042))</f>
        <v>-0.70280130434782617</v>
      </c>
      <c r="V1042" s="564">
        <f>IF((K1042-MAX(K$470:K1042))/MAX(K$470:K1042)&gt;V1041,V1041,(K1042-MAX(K$470:K1042))/MAX(K$470:K1042))</f>
        <v>-0.80725522782524772</v>
      </c>
      <c r="W1042" s="564">
        <f>IF((N1042-MAX(N$470:N1042))/MAX(N$470:N1042)&gt;W1041,W1041,(N1042-MAX(N$470:N1042))/MAX(N$470:N1042))</f>
        <v>-0.62788758315546067</v>
      </c>
      <c r="X1042" s="564">
        <f>IF((O1042-MAX(O$470:O1042))/MAX(O$470:O1042)&gt;X1041,X1041,(O1042-MAX(O$470:O1042))/MAX(O$470:O1042))</f>
        <v>-0.62788758315546067</v>
      </c>
    </row>
    <row r="1043" spans="1:24">
      <c r="A1043" s="799">
        <v>41445</v>
      </c>
      <c r="B1043">
        <v>107.9</v>
      </c>
      <c r="C1043">
        <v>112.738569</v>
      </c>
      <c r="D1043">
        <v>2.0732059999999999</v>
      </c>
      <c r="E1043">
        <f>LN(D1043/参数实验室!$E$53)/参数实验室!$E$55</f>
        <v>0.1671853148518139</v>
      </c>
      <c r="F1043">
        <f t="shared" si="108"/>
        <v>1.0448430861909175</v>
      </c>
      <c r="G1043">
        <f>LN(F1043/参数实验室!$E$58)/参数实验室!$E$59</f>
        <v>-0.16750640067610523</v>
      </c>
      <c r="H1043" s="856">
        <f>INDEX(神经网络!$G$10:$BO$70,MATCH(ROUND(G1043*2,1)/2,神经网络!$E$10:$E$70,0),MATCH(ROUND(E1043*2,1)/2,神经网络!$G$8:$BO$8,0))</f>
        <v>9.8907609325982332E-2</v>
      </c>
      <c r="I1043">
        <f t="shared" si="100"/>
        <v>60.533691522338529</v>
      </c>
      <c r="J1043">
        <f t="shared" si="101"/>
        <v>43.054945931926071</v>
      </c>
      <c r="K1043">
        <f t="shared" si="102"/>
        <v>1.4059637101402473</v>
      </c>
      <c r="L1043" s="4">
        <f>MIN(MAX(L1042*(1+MAX(MIN(((B1043-B1042)/B1042)/($K$7*卓尔金历!$N$40),0),-卓尔金历!$M$43))+MIN(MAX(((B1043-B1042)/B1042)/($K$7*卓尔金历!$N$40),0),卓尔金历!$M$43),0),1)</f>
        <v>1</v>
      </c>
      <c r="M1043" s="4">
        <f>MIN(MAX(M1042*(1+MAX(MIN(((B1043-B1042)/B1042)/($K$7*30),0),-卓尔金历!$M$43))+MIN(MAX(((B1043-B1042)/B1042)/($K$7*7),0),卓尔金历!$M$43),0),1)</f>
        <v>1</v>
      </c>
      <c r="N1043">
        <f t="shared" si="103"/>
        <v>102.8625554130675</v>
      </c>
      <c r="O1043">
        <f t="shared" si="104"/>
        <v>141.54643128006578</v>
      </c>
      <c r="P1043">
        <f t="shared" si="105"/>
        <v>1.2670107930549119E-2</v>
      </c>
      <c r="Q1043">
        <f t="shared" si="106"/>
        <v>3.6476591871014978E-2</v>
      </c>
      <c r="R1043">
        <f t="shared" si="107"/>
        <v>1</v>
      </c>
      <c r="S1043">
        <f t="shared" si="99"/>
        <v>5.1616711351231572</v>
      </c>
      <c r="T1043" s="564">
        <f>IF((I1043-MAX(I$470:I1043))/MAX(I$470:I1043)&gt;T1042,T1042,(I1043-MAX(I$470:I1043))/MAX(I$470:I1043))</f>
        <v>-0.91338805338419748</v>
      </c>
      <c r="U1043" s="564">
        <f>IF((J1043-MAX(J$470:J1043))/MAX(J$470:J1043)&gt;U1042,U1042,(J1043-MAX(J$470:J1043))/MAX(J$470:J1043))</f>
        <v>-0.70280130434782617</v>
      </c>
      <c r="V1043" s="564">
        <f>IF((K1043-MAX(K$470:K1043))/MAX(K$470:K1043)&gt;V1042,V1042,(K1043-MAX(K$470:K1043))/MAX(K$470:K1043))</f>
        <v>-0.80725522782524772</v>
      </c>
      <c r="W1043" s="564">
        <f>IF((N1043-MAX(N$470:N1043))/MAX(N$470:N1043)&gt;W1042,W1042,(N1043-MAX(N$470:N1043))/MAX(N$470:N1043))</f>
        <v>-0.62788758315546067</v>
      </c>
      <c r="X1043" s="564">
        <f>IF((O1043-MAX(O$470:O1043))/MAX(O$470:O1043)&gt;X1042,X1042,(O1043-MAX(O$470:O1043))/MAX(O$470:O1043))</f>
        <v>-0.62788758315546067</v>
      </c>
    </row>
    <row r="1044" spans="1:24">
      <c r="A1044" s="799">
        <v>41446</v>
      </c>
      <c r="B1044">
        <v>110.91</v>
      </c>
      <c r="C1044">
        <v>112.10486</v>
      </c>
      <c r="D1044">
        <v>2.0165090000000001</v>
      </c>
      <c r="E1044">
        <f>LN(D1044/参数实验室!$E$53)/参数实验室!$E$55</f>
        <v>0.1344726415733917</v>
      </c>
      <c r="F1044">
        <f t="shared" si="108"/>
        <v>1.0107732395636102</v>
      </c>
      <c r="G1044">
        <f>LN(F1044/参数实验室!$E$58)/参数实验室!$E$59</f>
        <v>-0.18490588729588142</v>
      </c>
      <c r="H1044" s="856">
        <f>INDEX(神经网络!$G$10:$BO$70,MATCH(ROUND(G1044*2,1)/2,神经网络!$E$10:$E$70,0),MATCH(ROUND(E1044*2,1)/2,神经网络!$G$8:$BO$8,0))</f>
        <v>6.9086398052491723E-3</v>
      </c>
      <c r="I1044">
        <f t="shared" si="100"/>
        <v>60.700712843595007</v>
      </c>
      <c r="J1044">
        <f t="shared" si="101"/>
        <v>44.256015322612789</v>
      </c>
      <c r="K1044">
        <f t="shared" si="102"/>
        <v>1.3715810698524351</v>
      </c>
      <c r="L1044" s="4">
        <f>MIN(MAX(L1043*(1+MAX(MIN(((B1044-B1043)/B1043)/($K$7*卓尔金历!$N$40),0),-卓尔金历!$M$43))+MIN(MAX(((B1044-B1043)/B1043)/($K$7*卓尔金历!$N$40),0),卓尔金历!$M$43),0),1)</f>
        <v>1</v>
      </c>
      <c r="M1044" s="4">
        <f>MIN(MAX(M1043*(1+MAX(MIN(((B1044-B1043)/B1043)/($K$7*30),0),-卓尔金历!$M$43))+MIN(MAX(((B1044-B1043)/B1043)/($K$7*7),0),卓尔金历!$M$43),0),1)</f>
        <v>1</v>
      </c>
      <c r="N1044">
        <f t="shared" si="103"/>
        <v>103.1463682696908</v>
      </c>
      <c r="O1044">
        <f t="shared" si="104"/>
        <v>141.93697861621843</v>
      </c>
      <c r="P1044">
        <f t="shared" si="105"/>
        <v>2.7896200185356726E-2</v>
      </c>
      <c r="Q1044">
        <f t="shared" si="106"/>
        <v>3.6763122239939133E-2</v>
      </c>
      <c r="R1044">
        <f t="shared" si="107"/>
        <v>0.32254904847960308</v>
      </c>
      <c r="S1044">
        <f t="shared" si="99"/>
        <v>5.1759129418129337</v>
      </c>
      <c r="T1044" s="564">
        <f>IF((I1044-MAX(I$470:I1044))/MAX(I$470:I1044)&gt;T1043,T1043,(I1044-MAX(I$470:I1044))/MAX(I$470:I1044))</f>
        <v>-0.91338805338419748</v>
      </c>
      <c r="U1044" s="564">
        <f>IF((J1044-MAX(J$470:J1044))/MAX(J$470:J1044)&gt;U1043,U1043,(J1044-MAX(J$470:J1044))/MAX(J$470:J1044))</f>
        <v>-0.70280130434782617</v>
      </c>
      <c r="V1044" s="564">
        <f>IF((K1044-MAX(K$470:K1044))/MAX(K$470:K1044)&gt;V1043,V1043,(K1044-MAX(K$470:K1044))/MAX(K$470:K1044))</f>
        <v>-0.80725522782524772</v>
      </c>
      <c r="W1044" s="564">
        <f>IF((N1044-MAX(N$470:N1044))/MAX(N$470:N1044)&gt;W1043,W1043,(N1044-MAX(N$470:N1044))/MAX(N$470:N1044))</f>
        <v>-0.62788758315546067</v>
      </c>
      <c r="X1044" s="564">
        <f>IF((O1044-MAX(O$470:O1044))/MAX(O$470:O1044)&gt;X1043,X1043,(O1044-MAX(O$470:O1044))/MAX(O$470:O1044))</f>
        <v>-0.62788758315546067</v>
      </c>
    </row>
    <row r="1045" spans="1:24">
      <c r="A1045" s="799">
        <v>41447</v>
      </c>
      <c r="B1045">
        <v>109.015</v>
      </c>
      <c r="C1045">
        <v>112.12029</v>
      </c>
      <c r="D1045">
        <v>1.98864</v>
      </c>
      <c r="E1045">
        <f>LN(D1045/参数实验室!$E$53)/参数实验室!$E$55</f>
        <v>0.11805423925792312</v>
      </c>
      <c r="F1045">
        <f t="shared" si="108"/>
        <v>1.0284849791313122</v>
      </c>
      <c r="G1045">
        <f>LN(F1045/参数实验室!$E$58)/参数实验室!$E$59</f>
        <v>-0.17578854080184564</v>
      </c>
      <c r="H1045" s="856">
        <f>INDEX(神经网络!$G$10:$BO$70,MATCH(ROUND(G1045*2,1)/2,神经网络!$E$10:$E$70,0),MATCH(ROUND(E1045*2,1)/2,神经网络!$G$8:$BO$8,0))</f>
        <v>-4.1263190542632625E-2</v>
      </c>
      <c r="I1045">
        <f t="shared" si="100"/>
        <v>60.693547700785381</v>
      </c>
      <c r="J1045">
        <f t="shared" si="101"/>
        <v>43.499860340768493</v>
      </c>
      <c r="K1045">
        <f t="shared" si="102"/>
        <v>1.3952584496898441</v>
      </c>
      <c r="L1045" s="4">
        <f>MIN(MAX(L1044*(1+MAX(MIN(((B1045-B1044)/B1044)/($K$7*卓尔金历!$N$40),0),-卓尔金历!$M$43))+MIN(MAX(((B1045-B1044)/B1044)/($K$7*卓尔金历!$N$40),0),卓尔金历!$M$43),0),1)</f>
        <v>0.73894345411110129</v>
      </c>
      <c r="M1045" s="4">
        <f>MIN(MAX(M1044*(1+MAX(MIN(((B1045-B1044)/B1044)/($K$7*30),0),-卓尔金历!$M$43))+MIN(MAX(((B1045-B1044)/B1044)/($K$7*7),0),卓尔金历!$M$43),0),1)</f>
        <v>0.86947172705555065</v>
      </c>
      <c r="N1045">
        <f t="shared" si="103"/>
        <v>103.13419282027142</v>
      </c>
      <c r="O1045">
        <f t="shared" si="104"/>
        <v>141.92022430355701</v>
      </c>
      <c r="P1045">
        <f t="shared" si="105"/>
        <v>-1.7085925525200579E-2</v>
      </c>
      <c r="Q1045">
        <f t="shared" si="106"/>
        <v>3.6759337836183278E-2</v>
      </c>
      <c r="R1045">
        <f t="shared" si="107"/>
        <v>0.83106594707904546</v>
      </c>
      <c r="S1045">
        <f t="shared" si="99"/>
        <v>5.1757158748663512</v>
      </c>
      <c r="T1045" s="564">
        <f>IF((I1045-MAX(I$470:I1045))/MAX(I$470:I1045)&gt;T1044,T1044,(I1045-MAX(I$470:I1045))/MAX(I$470:I1045))</f>
        <v>-0.91338805338419748</v>
      </c>
      <c r="U1045" s="564">
        <f>IF((J1045-MAX(J$470:J1045))/MAX(J$470:J1045)&gt;U1044,U1044,(J1045-MAX(J$470:J1045))/MAX(J$470:J1045))</f>
        <v>-0.70280130434782617</v>
      </c>
      <c r="V1045" s="564">
        <f>IF((K1045-MAX(K$470:K1045))/MAX(K$470:K1045)&gt;V1044,V1044,(K1045-MAX(K$470:K1045))/MAX(K$470:K1045))</f>
        <v>-0.80725522782524772</v>
      </c>
      <c r="W1045" s="564">
        <f>IF((N1045-MAX(N$470:N1045))/MAX(N$470:N1045)&gt;W1044,W1044,(N1045-MAX(N$470:N1045))/MAX(N$470:N1045))</f>
        <v>-0.62788758315546067</v>
      </c>
      <c r="X1045" s="564">
        <f>IF((O1045-MAX(O$470:O1045))/MAX(O$470:O1045)&gt;X1044,X1044,(O1045-MAX(O$470:O1045))/MAX(O$470:O1045))</f>
        <v>-0.62788758315546067</v>
      </c>
    </row>
    <row r="1046" spans="1:24">
      <c r="A1046" s="799">
        <v>41448</v>
      </c>
      <c r="B1046">
        <v>107.25</v>
      </c>
      <c r="C1046">
        <v>112.511405</v>
      </c>
      <c r="D1046">
        <v>1.9939800000000001</v>
      </c>
      <c r="E1046">
        <f>LN(D1046/参数实验室!$E$53)/参数实验室!$E$55</f>
        <v>0.12121792853691765</v>
      </c>
      <c r="F1046">
        <f t="shared" si="108"/>
        <v>1.0490573892773893</v>
      </c>
      <c r="G1046">
        <f>LN(F1046/参数实验室!$E$58)/参数实验室!$E$59</f>
        <v>-0.16539369567769199</v>
      </c>
      <c r="H1046" s="856">
        <f>INDEX(神经网络!$G$10:$BO$70,MATCH(ROUND(G1046*2,1)/2,神经网络!$E$10:$E$70,0),MATCH(ROUND(E1046*2,1)/2,神经网络!$G$8:$BO$8,0))</f>
        <v>5.2253386166092243E-2</v>
      </c>
      <c r="I1046">
        <f t="shared" si="100"/>
        <v>60.734095172531951</v>
      </c>
      <c r="J1046">
        <f t="shared" si="101"/>
        <v>42.79557878775784</v>
      </c>
      <c r="K1046">
        <f t="shared" si="102"/>
        <v>1.4191675143299061</v>
      </c>
      <c r="L1046" s="4">
        <f>MIN(MAX(L1045*(1+MAX(MIN(((B1046-B1045)/B1045)/($K$7*卓尔金历!$N$40),0),-卓尔金历!$M$43))+MIN(MAX(((B1046-B1045)/B1045)/($K$7*卓尔金历!$N$40),0),卓尔金历!$M$43),0),1)</f>
        <v>0.55614785514102227</v>
      </c>
      <c r="M1046" s="4">
        <f>MIN(MAX(M1045*(1+MAX(MIN(((B1046-B1045)/B1045)/($K$7*30),0),-卓尔金历!$M$43))+MIN(MAX(((B1046-B1045)/B1045)/($K$7*7),0),卓尔金历!$M$43),0),1)</f>
        <v>0.76192925932650291</v>
      </c>
      <c r="N1046">
        <f t="shared" si="103"/>
        <v>103.18510657618739</v>
      </c>
      <c r="O1046">
        <f t="shared" si="104"/>
        <v>142.00266108156222</v>
      </c>
      <c r="P1046">
        <f t="shared" si="105"/>
        <v>-1.6190432509287717E-2</v>
      </c>
      <c r="Q1046">
        <f t="shared" si="106"/>
        <v>3.6638222922480465E-2</v>
      </c>
      <c r="R1046">
        <f t="shared" si="107"/>
        <v>0.88345119913089032</v>
      </c>
      <c r="S1046">
        <f t="shared" si="99"/>
        <v>5.1785894805288732</v>
      </c>
      <c r="T1046" s="564">
        <f>IF((I1046-MAX(I$470:I1046))/MAX(I$470:I1046)&gt;T1045,T1045,(I1046-MAX(I$470:I1046))/MAX(I$470:I1046))</f>
        <v>-0.91338805338419748</v>
      </c>
      <c r="U1046" s="564">
        <f>IF((J1046-MAX(J$470:J1046))/MAX(J$470:J1046)&gt;U1045,U1045,(J1046-MAX(J$470:J1046))/MAX(J$470:J1046))</f>
        <v>-0.70280130434782617</v>
      </c>
      <c r="V1046" s="564">
        <f>IF((K1046-MAX(K$470:K1046))/MAX(K$470:K1046)&gt;V1045,V1045,(K1046-MAX(K$470:K1046))/MAX(K$470:K1046))</f>
        <v>-0.80725522782524772</v>
      </c>
      <c r="W1046" s="564">
        <f>IF((N1046-MAX(N$470:N1046))/MAX(N$470:N1046)&gt;W1045,W1045,(N1046-MAX(N$470:N1046))/MAX(N$470:N1046))</f>
        <v>-0.62788758315546067</v>
      </c>
      <c r="X1046" s="564">
        <f>IF((O1046-MAX(O$470:O1046))/MAX(O$470:O1046)&gt;X1045,X1045,(O1046-MAX(O$470:O1046))/MAX(O$470:O1046))</f>
        <v>-0.62788758315546067</v>
      </c>
    </row>
    <row r="1047" spans="1:24">
      <c r="A1047" s="799">
        <v>41449</v>
      </c>
      <c r="B1047">
        <v>108</v>
      </c>
      <c r="C1047">
        <v>113.604456</v>
      </c>
      <c r="D1047">
        <v>1.9679770000000001</v>
      </c>
      <c r="E1047">
        <f>LN(D1047/参数实验室!$E$53)/参数实验室!$E$55</f>
        <v>0.10573186238884942</v>
      </c>
      <c r="F1047">
        <f t="shared" si="108"/>
        <v>1.0518931111111112</v>
      </c>
      <c r="G1047">
        <f>LN(F1047/参数实验室!$E$58)/参数实验室!$E$59</f>
        <v>-0.16397686936691666</v>
      </c>
      <c r="H1047" s="856">
        <f>INDEX(神经网络!$G$10:$BO$70,MATCH(ROUND(G1047*2,1)/2,神经网络!$E$10:$E$70,0),MATCH(ROUND(E1047*2,1)/2,神经网络!$G$8:$BO$8,0))</f>
        <v>5.2253386166092243E-2</v>
      </c>
      <c r="I1047">
        <f t="shared" si="100"/>
        <v>60.756287914689288</v>
      </c>
      <c r="J1047">
        <f t="shared" si="101"/>
        <v>43.094848569490409</v>
      </c>
      <c r="K1047">
        <f t="shared" si="102"/>
        <v>1.4098271587315088</v>
      </c>
      <c r="L1047" s="4">
        <f>MIN(MAX(L1046*(1+MAX(MIN(((B1047-B1046)/B1046)/($K$7*卓尔金历!$N$40),0),-卓尔金历!$M$43))+MIN(MAX(((B1047-B1046)/B1046)/($K$7*卓尔金历!$N$40),0),卓尔金历!$M$43),0),1)</f>
        <v>0.66299429130737031</v>
      </c>
      <c r="M1047" s="4">
        <f>MIN(MAX(M1046*(1+MAX(MIN(((B1047-B1046)/B1046)/($K$7*30),0),-卓尔金历!$M$43))+MIN(MAX(((B1047-B1046)/B1046)/($K$7*7),0),卓尔金历!$M$43),0),1)</f>
        <v>0.99088590825439149</v>
      </c>
      <c r="N1047">
        <f t="shared" si="103"/>
        <v>103.20607596080067</v>
      </c>
      <c r="O1047">
        <f t="shared" si="104"/>
        <v>142.04219679099535</v>
      </c>
      <c r="P1047">
        <f t="shared" si="105"/>
        <v>6.993006993006993E-3</v>
      </c>
      <c r="Q1047">
        <f t="shared" si="106"/>
        <v>3.482777761895138E-2</v>
      </c>
      <c r="R1047">
        <f t="shared" si="107"/>
        <v>1</v>
      </c>
      <c r="S1047">
        <f t="shared" ref="S1047:S1110" si="109">S1046*(1+(B1047-B1046)/B1046*H1046*R1046)</f>
        <v>5.180261234837114</v>
      </c>
      <c r="T1047" s="564">
        <f>IF((I1047-MAX(I$470:I1047))/MAX(I$470:I1047)&gt;T1046,T1046,(I1047-MAX(I$470:I1047))/MAX(I$470:I1047))</f>
        <v>-0.91338805338419748</v>
      </c>
      <c r="U1047" s="564">
        <f>IF((J1047-MAX(J$470:J1047))/MAX(J$470:J1047)&gt;U1046,U1046,(J1047-MAX(J$470:J1047))/MAX(J$470:J1047))</f>
        <v>-0.70280130434782617</v>
      </c>
      <c r="V1047" s="564">
        <f>IF((K1047-MAX(K$470:K1047))/MAX(K$470:K1047)&gt;V1046,V1046,(K1047-MAX(K$470:K1047))/MAX(K$470:K1047))</f>
        <v>-0.80725522782524772</v>
      </c>
      <c r="W1047" s="564">
        <f>IF((N1047-MAX(N$470:N1047))/MAX(N$470:N1047)&gt;W1046,W1046,(N1047-MAX(N$470:N1047))/MAX(N$470:N1047))</f>
        <v>-0.62788758315546067</v>
      </c>
      <c r="X1047" s="564">
        <f>IF((O1047-MAX(O$470:O1047))/MAX(O$470:O1047)&gt;X1046,X1046,(O1047-MAX(O$470:O1047))/MAX(O$470:O1047))</f>
        <v>-0.62788758315546067</v>
      </c>
    </row>
    <row r="1048" spans="1:24">
      <c r="A1048" s="799">
        <v>41450</v>
      </c>
      <c r="B1048">
        <v>102.443</v>
      </c>
      <c r="C1048">
        <v>114.125747</v>
      </c>
      <c r="D1048">
        <v>1.9441600000000001</v>
      </c>
      <c r="E1048">
        <f>LN(D1048/参数实验室!$E$53)/参数实验室!$E$55</f>
        <v>9.1367063733757151E-2</v>
      </c>
      <c r="F1048">
        <f t="shared" si="108"/>
        <v>1.1140414376775378</v>
      </c>
      <c r="G1048">
        <f>LN(F1048/参数实验室!$E$58)/参数实验室!$E$59</f>
        <v>-0.1338487597187373</v>
      </c>
      <c r="H1048" s="856">
        <f>INDEX(神经网络!$G$10:$BO$70,MATCH(ROUND(G1048*2,1)/2,神经网络!$E$10:$E$70,0),MATCH(ROUND(E1048*2,1)/2,神经网络!$G$8:$BO$8,0))</f>
        <v>5.2253386166092243E-2</v>
      </c>
      <c r="I1048">
        <f t="shared" ref="I1048:I1111" si="110">I1047*(1+(B1048-B1047)/B1047*H1047)</f>
        <v>60.592936721166353</v>
      </c>
      <c r="J1048">
        <f t="shared" ref="J1048:J1111" si="111">J1047*B1048/B1047</f>
        <v>40.87745900003987</v>
      </c>
      <c r="K1048">
        <f t="shared" ref="K1048:K1111" si="112">I1048/J1048</f>
        <v>1.4823068312809573</v>
      </c>
      <c r="L1048" s="4">
        <f>MIN(MAX(L1047*(1+MAX(MIN(((B1048-B1047)/B1047)/($K$7*卓尔金历!$N$40),0),-卓尔金历!$M$43))+MIN(MAX(((B1048-B1047)/B1047)/($K$7*卓尔金历!$N$40),0),卓尔金历!$M$43),0),1)</f>
        <v>0.14177256695287679</v>
      </c>
      <c r="M1048" s="4">
        <f>MIN(MAX(M1047*(1+MAX(MIN(((B1048-B1047)/B1047)/($K$7*30),0),-卓尔金历!$M$43))+MIN(MAX(((B1048-B1047)/B1047)/($K$7*7),0),卓尔金历!$M$43),0),1)</f>
        <v>0.60138688201052781</v>
      </c>
      <c r="N1048">
        <f t="shared" ref="N1048:N1111" si="113">N1047*(1+(B1048-B1047)/B1047*H1047*L1047)</f>
        <v>103.02210633062388</v>
      </c>
      <c r="O1048">
        <f t="shared" ref="O1048:O1111" si="114">O1047*(1+(B1048-B1047)/B1047*H1047*M1047)</f>
        <v>141.66377850606554</v>
      </c>
      <c r="P1048">
        <f t="shared" ref="P1048:P1111" si="115">(B1048-B1047)/B1047</f>
        <v>-5.1453703703703724E-2</v>
      </c>
      <c r="Q1048">
        <f t="shared" si="106"/>
        <v>3.6190887549642455E-2</v>
      </c>
      <c r="R1048">
        <f t="shared" si="107"/>
        <v>2.2572750438174732E-2</v>
      </c>
      <c r="S1048">
        <f t="shared" si="109"/>
        <v>5.1663334277818276</v>
      </c>
      <c r="T1048" s="564">
        <f>IF((I1048-MAX(I$470:I1048))/MAX(I$470:I1048)&gt;T1047,T1047,(I1048-MAX(I$470:I1048))/MAX(I$470:I1048))</f>
        <v>-0.91338805338419748</v>
      </c>
      <c r="U1048" s="564">
        <f>IF((J1048-MAX(J$470:J1048))/MAX(J$470:J1048)&gt;U1047,U1047,(J1048-MAX(J$470:J1048))/MAX(J$470:J1048))</f>
        <v>-0.70280130434782617</v>
      </c>
      <c r="V1048" s="564">
        <f>IF((K1048-MAX(K$470:K1048))/MAX(K$470:K1048)&gt;V1047,V1047,(K1048-MAX(K$470:K1048))/MAX(K$470:K1048))</f>
        <v>-0.80725522782524772</v>
      </c>
      <c r="W1048" s="564">
        <f>IF((N1048-MAX(N$470:N1048))/MAX(N$470:N1048)&gt;W1047,W1047,(N1048-MAX(N$470:N1048))/MAX(N$470:N1048))</f>
        <v>-0.62788758315546067</v>
      </c>
      <c r="X1048" s="564">
        <f>IF((O1048-MAX(O$470:O1048))/MAX(O$470:O1048)&gt;X1047,X1047,(O1048-MAX(O$470:O1048))/MAX(O$470:O1048))</f>
        <v>-0.62788758315546067</v>
      </c>
    </row>
    <row r="1049" spans="1:24">
      <c r="A1049" s="799">
        <v>41451</v>
      </c>
      <c r="B1049">
        <v>103.691</v>
      </c>
      <c r="C1049">
        <v>114.401084</v>
      </c>
      <c r="D1049">
        <v>1.9591000000000001</v>
      </c>
      <c r="E1049">
        <f>LN(D1049/参数实验室!$E$53)/参数实验室!$E$55</f>
        <v>0.10039828355445334</v>
      </c>
      <c r="F1049">
        <f t="shared" si="108"/>
        <v>1.1032884628366975</v>
      </c>
      <c r="G1049">
        <f>LN(F1049/参数实验室!$E$58)/参数实验室!$E$59</f>
        <v>-0.13893937484324373</v>
      </c>
      <c r="H1049" s="856">
        <f>INDEX(神经网络!$G$10:$BO$70,MATCH(ROUND(G1049*2,1)/2,神经网络!$E$10:$E$70,0),MATCH(ROUND(E1049*2,1)/2,神经网络!$G$8:$BO$8,0))</f>
        <v>5.2253386166092243E-2</v>
      </c>
      <c r="I1049">
        <f t="shared" si="110"/>
        <v>60.631508417422253</v>
      </c>
      <c r="J1049">
        <f t="shared" si="111"/>
        <v>41.375443916842876</v>
      </c>
      <c r="K1049">
        <f t="shared" si="112"/>
        <v>1.4653983783057547</v>
      </c>
      <c r="L1049" s="4">
        <f>MIN(MAX(L1048*(1+MAX(MIN(((B1049-B1048)/B1048)/($K$7*卓尔金历!$N$40),0),-卓尔金历!$M$43))+MIN(MAX(((B1049-B1048)/B1048)/($K$7*卓尔金历!$N$40),0),卓尔金历!$M$43),0),1)</f>
        <v>0.32790770926607737</v>
      </c>
      <c r="M1049" s="4">
        <f>MIN(MAX(M1048*(1+MAX(MIN(((B1049-B1048)/B1048)/($K$7*30),0),-卓尔金历!$M$43))+MIN(MAX(((B1049-B1048)/B1048)/($K$7*7),0),卓尔金历!$M$43),0),1)</f>
        <v>1</v>
      </c>
      <c r="N1049">
        <f t="shared" si="113"/>
        <v>103.0314038986424</v>
      </c>
      <c r="O1049">
        <f t="shared" si="114"/>
        <v>141.71801099150807</v>
      </c>
      <c r="P1049">
        <f t="shared" si="115"/>
        <v>1.2182384350321688E-2</v>
      </c>
      <c r="Q1049">
        <f t="shared" si="106"/>
        <v>3.6388338055918512E-2</v>
      </c>
      <c r="R1049">
        <f t="shared" si="107"/>
        <v>1</v>
      </c>
      <c r="S1049">
        <f t="shared" si="109"/>
        <v>5.1664076636254084</v>
      </c>
      <c r="T1049" s="564">
        <f>IF((I1049-MAX(I$470:I1049))/MAX(I$470:I1049)&gt;T1048,T1048,(I1049-MAX(I$470:I1049))/MAX(I$470:I1049))</f>
        <v>-0.91338805338419748</v>
      </c>
      <c r="U1049" s="564">
        <f>IF((J1049-MAX(J$470:J1049))/MAX(J$470:J1049)&gt;U1048,U1048,(J1049-MAX(J$470:J1049))/MAX(J$470:J1049))</f>
        <v>-0.70280130434782617</v>
      </c>
      <c r="V1049" s="564">
        <f>IF((K1049-MAX(K$470:K1049))/MAX(K$470:K1049)&gt;V1048,V1048,(K1049-MAX(K$470:K1049))/MAX(K$470:K1049))</f>
        <v>-0.80725522782524772</v>
      </c>
      <c r="W1049" s="564">
        <f>IF((N1049-MAX(N$470:N1049))/MAX(N$470:N1049)&gt;W1048,W1048,(N1049-MAX(N$470:N1049))/MAX(N$470:N1049))</f>
        <v>-0.62788758315546067</v>
      </c>
      <c r="X1049" s="564">
        <f>IF((O1049-MAX(O$470:O1049))/MAX(O$470:O1049)&gt;X1048,X1048,(O1049-MAX(O$470:O1049))/MAX(O$470:O1049))</f>
        <v>-0.62788758315546067</v>
      </c>
    </row>
    <row r="1050" spans="1:24">
      <c r="A1050" s="799">
        <v>41452</v>
      </c>
      <c r="B1050">
        <v>103.39</v>
      </c>
      <c r="C1050">
        <v>113.95046600000001</v>
      </c>
      <c r="D1050">
        <v>1.9234979999999999</v>
      </c>
      <c r="E1050">
        <f>LN(D1050/参数实验室!$E$53)/参数实验室!$E$55</f>
        <v>7.8761867811237743E-2</v>
      </c>
      <c r="F1050">
        <f t="shared" si="108"/>
        <v>1.1021420446851726</v>
      </c>
      <c r="G1050">
        <f>LN(F1050/参数实验室!$E$58)/参数实验室!$E$59</f>
        <v>-0.13948502999223431</v>
      </c>
      <c r="H1050" s="856">
        <f>INDEX(神经网络!$G$10:$BO$70,MATCH(ROUND(G1050*2,1)/2,神经网络!$E$10:$E$70,0),MATCH(ROUND(E1050*2,1)/2,神经网络!$G$8:$BO$8,0))</f>
        <v>5.2253386166092243E-2</v>
      </c>
      <c r="I1050">
        <f t="shared" si="110"/>
        <v>60.622311585599114</v>
      </c>
      <c r="J1050">
        <f t="shared" si="111"/>
        <v>41.255336977774206</v>
      </c>
      <c r="K1050">
        <f t="shared" si="112"/>
        <v>1.4694416777702874</v>
      </c>
      <c r="L1050" s="4">
        <f>MIN(MAX(L1049*(1+MAX(MIN(((B1050-B1049)/B1049)/($K$7*卓尔金历!$N$40),0),-卓尔金历!$M$43))+MIN(MAX(((B1050-B1049)/B1049)/($K$7*卓尔金历!$N$40),0),卓尔金历!$M$43),0),1)</f>
        <v>0.31336406851078363</v>
      </c>
      <c r="M1050" s="4">
        <f>MIN(MAX(M1049*(1+MAX(MIN(((B1050-B1049)/B1049)/($K$7*30),0),-卓尔金历!$M$43))+MIN(MAX(((B1050-B1049)/B1049)/($K$7*7),0),卓尔金历!$M$43),0),1)</f>
        <v>0.97782357604850878</v>
      </c>
      <c r="N1050">
        <f t="shared" si="113"/>
        <v>103.0262792851377</v>
      </c>
      <c r="O1050">
        <f t="shared" si="114"/>
        <v>141.69651463181953</v>
      </c>
      <c r="P1050">
        <f t="shared" si="115"/>
        <v>-2.9028555998109953E-3</v>
      </c>
      <c r="Q1050">
        <f t="shared" si="106"/>
        <v>3.6329988075454657E-2</v>
      </c>
      <c r="R1050">
        <f t="shared" si="107"/>
        <v>1</v>
      </c>
      <c r="S1050">
        <f t="shared" si="109"/>
        <v>5.1656240020663882</v>
      </c>
      <c r="T1050" s="564">
        <f>IF((I1050-MAX(I$470:I1050))/MAX(I$470:I1050)&gt;T1049,T1049,(I1050-MAX(I$470:I1050))/MAX(I$470:I1050))</f>
        <v>-0.91338805338419748</v>
      </c>
      <c r="U1050" s="564">
        <f>IF((J1050-MAX(J$470:J1050))/MAX(J$470:J1050)&gt;U1049,U1049,(J1050-MAX(J$470:J1050))/MAX(J$470:J1050))</f>
        <v>-0.70280130434782617</v>
      </c>
      <c r="V1050" s="564">
        <f>IF((K1050-MAX(K$470:K1050))/MAX(K$470:K1050)&gt;V1049,V1049,(K1050-MAX(K$470:K1050))/MAX(K$470:K1050))</f>
        <v>-0.80725522782524772</v>
      </c>
      <c r="W1050" s="564">
        <f>IF((N1050-MAX(N$470:N1050))/MAX(N$470:N1050)&gt;W1049,W1049,(N1050-MAX(N$470:N1050))/MAX(N$470:N1050))</f>
        <v>-0.62788758315546067</v>
      </c>
      <c r="X1050" s="564">
        <f>IF((O1050-MAX(O$470:O1050))/MAX(O$470:O1050)&gt;X1049,X1049,(O1050-MAX(O$470:O1050))/MAX(O$470:O1050))</f>
        <v>-0.62788758315546067</v>
      </c>
    </row>
    <row r="1051" spans="1:24">
      <c r="A1051" s="799">
        <v>41453</v>
      </c>
      <c r="B1051">
        <v>99.66</v>
      </c>
      <c r="C1051">
        <v>114.024878</v>
      </c>
      <c r="D1051">
        <v>1.7812859999999999</v>
      </c>
      <c r="E1051">
        <f>LN(D1051/参数实验室!$E$53)/参数实验室!$E$55</f>
        <v>-1.1854776036875285E-2</v>
      </c>
      <c r="F1051">
        <f t="shared" si="108"/>
        <v>1.1441388520971303</v>
      </c>
      <c r="G1051">
        <f>LN(F1051/参数实验室!$E$58)/参数实验室!$E$59</f>
        <v>-0.11985724168565103</v>
      </c>
      <c r="H1051" s="856">
        <f>INDEX(神经网络!$G$10:$BO$70,MATCH(ROUND(G1051*2,1)/2,神经网络!$E$10:$E$70,0),MATCH(ROUND(E1051*2,1)/2,神经网络!$G$8:$BO$8,0))</f>
        <v>5.2233171610684213E-2</v>
      </c>
      <c r="I1051">
        <f t="shared" si="110"/>
        <v>60.508029744563117</v>
      </c>
      <c r="J1051">
        <f t="shared" si="111"/>
        <v>39.76696859662421</v>
      </c>
      <c r="K1051">
        <f t="shared" si="112"/>
        <v>1.5215650546141855</v>
      </c>
      <c r="L1051" s="4">
        <f>MIN(MAX(L1050*(1+MAX(MIN(((B1051-B1050)/B1050)/($K$7*卓尔金历!$N$40),0),-卓尔金历!$M$43))+MIN(MAX(((B1051-B1050)/B1050)/($K$7*卓尔金历!$N$40),0),卓尔金历!$M$43),0),1)</f>
        <v>0.14063096659727284</v>
      </c>
      <c r="M1051" s="4">
        <f>MIN(MAX(M1050*(1+MAX(MIN(((B1051-B1050)/B1050)/($K$7*30),0),-卓尔金历!$M$43))+MIN(MAX(((B1051-B1050)/B1050)/($K$7*7),0),卓尔金历!$M$43),0),1)</f>
        <v>0.70832474643204257</v>
      </c>
      <c r="N1051">
        <f t="shared" si="113"/>
        <v>102.96541788366714</v>
      </c>
      <c r="O1051">
        <f t="shared" si="114"/>
        <v>141.43531990325755</v>
      </c>
      <c r="P1051">
        <f t="shared" si="115"/>
        <v>-3.6076990037721288E-2</v>
      </c>
      <c r="Q1051">
        <f t="shared" si="106"/>
        <v>3.6721425568214679E-2</v>
      </c>
      <c r="R1051">
        <f t="shared" si="107"/>
        <v>5.4678335519819252E-2</v>
      </c>
      <c r="S1051">
        <f t="shared" si="109"/>
        <v>5.1558860523641181</v>
      </c>
      <c r="T1051" s="564">
        <f>IF((I1051-MAX(I$470:I1051))/MAX(I$470:I1051)&gt;T1050,T1050,(I1051-MAX(I$470:I1051))/MAX(I$470:I1051))</f>
        <v>-0.91338805338419748</v>
      </c>
      <c r="U1051" s="564">
        <f>IF((J1051-MAX(J$470:J1051))/MAX(J$470:J1051)&gt;U1050,U1050,(J1051-MAX(J$470:J1051))/MAX(J$470:J1051))</f>
        <v>-0.70280130434782617</v>
      </c>
      <c r="V1051" s="564">
        <f>IF((K1051-MAX(K$470:K1051))/MAX(K$470:K1051)&gt;V1050,V1050,(K1051-MAX(K$470:K1051))/MAX(K$470:K1051))</f>
        <v>-0.80725522782524772</v>
      </c>
      <c r="W1051" s="564">
        <f>IF((N1051-MAX(N$470:N1051))/MAX(N$470:N1051)&gt;W1050,W1050,(N1051-MAX(N$470:N1051))/MAX(N$470:N1051))</f>
        <v>-0.62788758315546067</v>
      </c>
      <c r="X1051" s="564">
        <f>IF((O1051-MAX(O$470:O1051))/MAX(O$470:O1051)&gt;X1050,X1050,(O1051-MAX(O$470:O1051))/MAX(O$470:O1051))</f>
        <v>-0.62788758315546067</v>
      </c>
    </row>
    <row r="1052" spans="1:24">
      <c r="A1052" s="799">
        <v>41454</v>
      </c>
      <c r="B1052">
        <v>93.331100000000006</v>
      </c>
      <c r="C1052">
        <v>114.820747</v>
      </c>
      <c r="D1052">
        <v>1.7682119999999999</v>
      </c>
      <c r="E1052">
        <f>LN(D1052/参数实验室!$E$53)/参数实验室!$E$55</f>
        <v>-2.0545674673829884E-2</v>
      </c>
      <c r="F1052">
        <f t="shared" si="108"/>
        <v>1.2302517274520497</v>
      </c>
      <c r="G1052">
        <f>LN(F1052/参数实验室!$E$58)/参数实验室!$E$59</f>
        <v>-8.1770397093778674E-2</v>
      </c>
      <c r="H1052" s="856">
        <f>INDEX(神经网络!$G$10:$BO$70,MATCH(ROUND(G1052*2,1)/2,神经网络!$E$10:$E$70,0),MATCH(ROUND(E1052*2,1)/2,神经网络!$G$8:$BO$8,0))</f>
        <v>5.2233171610684213E-2</v>
      </c>
      <c r="I1052">
        <f t="shared" si="110"/>
        <v>60.307320785006759</v>
      </c>
      <c r="J1052">
        <f t="shared" si="111"/>
        <v>37.241570567814513</v>
      </c>
      <c r="K1052">
        <f t="shared" si="112"/>
        <v>1.6193549269140246</v>
      </c>
      <c r="L1052" s="4">
        <f>MIN(MAX(L1051*(1+MAX(MIN(((B1052-B1051)/B1051)/($K$7*卓尔金历!$N$40),0),-卓尔金历!$M$43))+MIN(MAX(((B1052-B1051)/B1051)/($K$7*卓尔金历!$N$40),0),卓尔金历!$M$43),0),1)</f>
        <v>4.177557290874166E-3</v>
      </c>
      <c r="M1052" s="4">
        <f>MIN(MAX(M1051*(1+MAX(MIN(((B1052-B1051)/B1051)/($K$7*30),0),-卓尔金历!$M$43))+MIN(MAX(((B1052-B1051)/B1051)/($K$7*7),0),卓尔金历!$M$43),0),1)</f>
        <v>0.364683054685977</v>
      </c>
      <c r="N1052">
        <f t="shared" si="113"/>
        <v>102.91738638958675</v>
      </c>
      <c r="O1052">
        <f t="shared" si="114"/>
        <v>141.10300942166089</v>
      </c>
      <c r="P1052">
        <f t="shared" si="115"/>
        <v>-6.3504916716837154E-2</v>
      </c>
      <c r="Q1052">
        <f t="shared" si="106"/>
        <v>3.5799700484917298E-2</v>
      </c>
      <c r="R1052">
        <f t="shared" si="107"/>
        <v>1.5673519483493586E-2</v>
      </c>
      <c r="S1052">
        <f t="shared" si="109"/>
        <v>5.1549509216012019</v>
      </c>
      <c r="T1052" s="564">
        <f>IF((I1052-MAX(I$470:I1052))/MAX(I$470:I1052)&gt;T1051,T1051,(I1052-MAX(I$470:I1052))/MAX(I$470:I1052))</f>
        <v>-0.91338805338419748</v>
      </c>
      <c r="U1052" s="564">
        <f>IF((J1052-MAX(J$470:J1052))/MAX(J$470:J1052)&gt;U1051,U1051,(J1052-MAX(J$470:J1052))/MAX(J$470:J1052))</f>
        <v>-0.70280130434782617</v>
      </c>
      <c r="V1052" s="564">
        <f>IF((K1052-MAX(K$470:K1052))/MAX(K$470:K1052)&gt;V1051,V1051,(K1052-MAX(K$470:K1052))/MAX(K$470:K1052))</f>
        <v>-0.80725522782524772</v>
      </c>
      <c r="W1052" s="564">
        <f>IF((N1052-MAX(N$470:N1052))/MAX(N$470:N1052)&gt;W1051,W1051,(N1052-MAX(N$470:N1052))/MAX(N$470:N1052))</f>
        <v>-0.62788758315546067</v>
      </c>
      <c r="X1052" s="564">
        <f>IF((O1052-MAX(O$470:O1052))/MAX(O$470:O1052)&gt;X1051,X1051,(O1052-MAX(O$470:O1052))/MAX(O$470:O1052))</f>
        <v>-0.62788758315546067</v>
      </c>
    </row>
    <row r="1053" spans="1:24">
      <c r="A1053" s="799">
        <v>41455</v>
      </c>
      <c r="B1053">
        <v>95.388599999999997</v>
      </c>
      <c r="C1053">
        <v>116.410972</v>
      </c>
      <c r="D1053">
        <v>1.783012</v>
      </c>
      <c r="E1053">
        <f>LN(D1053/参数实验室!$E$53)/参数实验室!$E$55</f>
        <v>-1.0712192415494471E-2</v>
      </c>
      <c r="F1053">
        <f t="shared" si="108"/>
        <v>1.2203866290101753</v>
      </c>
      <c r="G1053">
        <f>LN(F1053/参数实验室!$E$58)/参数实验室!$E$59</f>
        <v>-8.5996042838156747E-2</v>
      </c>
      <c r="H1053" s="856">
        <f>INDEX(神经网络!$G$10:$BO$70,MATCH(ROUND(G1053*2,1)/2,神经网络!$E$10:$E$70,0),MATCH(ROUND(E1053*2,1)/2,神经网络!$G$8:$BO$8,0))</f>
        <v>5.2233171610684213E-2</v>
      </c>
      <c r="I1053">
        <f t="shared" si="110"/>
        <v>60.376764011578125</v>
      </c>
      <c r="J1053">
        <f t="shared" si="111"/>
        <v>38.062567335700869</v>
      </c>
      <c r="K1053">
        <f t="shared" si="112"/>
        <v>1.5862504354756859</v>
      </c>
      <c r="L1053" s="4">
        <f>MIN(MAX(L1052*(1+MAX(MIN(((B1053-B1052)/B1052)/($K$7*卓尔金历!$N$40),0),-卓尔金历!$M$43))+MIN(MAX(((B1053-B1052)/B1052)/($K$7*卓尔金历!$N$40),0),卓尔金历!$M$43),0),1)</f>
        <v>0.34100660532473626</v>
      </c>
      <c r="M1053" s="4">
        <f>MIN(MAX(M1052*(1+MAX(MIN(((B1053-B1052)/B1052)/($K$7*30),0),-卓尔金历!$M$43))+MIN(MAX(((B1053-B1052)/B1052)/($K$7*7),0),卓尔金历!$M$43),0),1)</f>
        <v>1</v>
      </c>
      <c r="N1053">
        <f t="shared" si="113"/>
        <v>102.91788146461363</v>
      </c>
      <c r="O1053">
        <f t="shared" si="114"/>
        <v>141.16226260900604</v>
      </c>
      <c r="P1053">
        <f t="shared" si="115"/>
        <v>2.2045170366576525E-2</v>
      </c>
      <c r="Q1053">
        <f t="shared" si="106"/>
        <v>3.6276187342503222E-2</v>
      </c>
      <c r="R1053">
        <f t="shared" si="107"/>
        <v>0.55169836812762996</v>
      </c>
      <c r="S1053">
        <f t="shared" si="109"/>
        <v>5.1550439575775293</v>
      </c>
      <c r="T1053" s="564">
        <f>IF((I1053-MAX(I$470:I1053))/MAX(I$470:I1053)&gt;T1052,T1052,(I1053-MAX(I$470:I1053))/MAX(I$470:I1053))</f>
        <v>-0.91338805338419748</v>
      </c>
      <c r="U1053" s="564">
        <f>IF((J1053-MAX(J$470:J1053))/MAX(J$470:J1053)&gt;U1052,U1052,(J1053-MAX(J$470:J1053))/MAX(J$470:J1053))</f>
        <v>-0.70280130434782617</v>
      </c>
      <c r="V1053" s="564">
        <f>IF((K1053-MAX(K$470:K1053))/MAX(K$470:K1053)&gt;V1052,V1052,(K1053-MAX(K$470:K1053))/MAX(K$470:K1053))</f>
        <v>-0.80725522782524772</v>
      </c>
      <c r="W1053" s="564">
        <f>IF((N1053-MAX(N$470:N1053))/MAX(N$470:N1053)&gt;W1052,W1052,(N1053-MAX(N$470:N1053))/MAX(N$470:N1053))</f>
        <v>-0.62788758315546067</v>
      </c>
      <c r="X1053" s="564">
        <f>IF((O1053-MAX(O$470:O1053))/MAX(O$470:O1053)&gt;X1052,X1052,(O1053-MAX(O$470:O1053))/MAX(O$470:O1053))</f>
        <v>-0.62788758315546067</v>
      </c>
    </row>
    <row r="1054" spans="1:24">
      <c r="A1054" s="799">
        <v>41456</v>
      </c>
      <c r="B1054">
        <v>97.504000000000005</v>
      </c>
      <c r="C1054">
        <v>120.38519700000001</v>
      </c>
      <c r="D1054">
        <v>1.651894</v>
      </c>
      <c r="E1054">
        <f>LN(D1054/参数实验室!$E$53)/参数实验室!$E$55</f>
        <v>-0.10082358642752216</v>
      </c>
      <c r="F1054">
        <f t="shared" si="108"/>
        <v>1.2346693161306204</v>
      </c>
      <c r="G1054">
        <f>LN(F1054/参数实验室!$E$58)/参数实验室!$E$59</f>
        <v>-7.9889126481047359E-2</v>
      </c>
      <c r="H1054" s="856">
        <f>INDEX(神经网络!$G$10:$BO$70,MATCH(ROUND(G1054*2,1)/2,神经网络!$E$10:$E$70,0),MATCH(ROUND(E1054*2,1)/2,神经网络!$G$8:$BO$8,0))</f>
        <v>-4.120669943647004E-2</v>
      </c>
      <c r="I1054">
        <f t="shared" si="110"/>
        <v>60.446701857982305</v>
      </c>
      <c r="J1054">
        <f t="shared" si="111"/>
        <v>38.906667730736984</v>
      </c>
      <c r="K1054">
        <f t="shared" si="112"/>
        <v>1.5536334871009345</v>
      </c>
      <c r="L1054" s="4">
        <f>MIN(MAX(L1053*(1+MAX(MIN(((B1054-B1053)/B1053)/($K$7*卓尔金历!$N$40),0),-卓尔金历!$M$43))+MIN(MAX(((B1054-B1053)/B1053)/($K$7*卓尔金历!$N$40),0),卓尔金历!$M$43),0),1)</f>
        <v>0.67984460066673702</v>
      </c>
      <c r="M1054" s="4">
        <f>MIN(MAX(M1053*(1+MAX(MIN(((B1054-B1053)/B1053)/($K$7*30),0),-卓尔金历!$M$43))+MIN(MAX(((B1054-B1053)/B1053)/($K$7*7),0),卓尔金历!$M$43),0),1)</f>
        <v>1</v>
      </c>
      <c r="N1054">
        <f t="shared" si="113"/>
        <v>102.95853478770269</v>
      </c>
      <c r="O1054">
        <f t="shared" si="114"/>
        <v>141.32577890210385</v>
      </c>
      <c r="P1054">
        <f t="shared" si="115"/>
        <v>2.217665423331518E-2</v>
      </c>
      <c r="Q1054">
        <f t="shared" si="106"/>
        <v>3.2633955875784722E-2</v>
      </c>
      <c r="R1054">
        <f t="shared" si="107"/>
        <v>0.43660337097443302</v>
      </c>
      <c r="S1054">
        <f t="shared" si="109"/>
        <v>5.1583383588316822</v>
      </c>
      <c r="T1054" s="564">
        <f>IF((I1054-MAX(I$470:I1054))/MAX(I$470:I1054)&gt;T1053,T1053,(I1054-MAX(I$470:I1054))/MAX(I$470:I1054))</f>
        <v>-0.91338805338419748</v>
      </c>
      <c r="U1054" s="564">
        <f>IF((J1054-MAX(J$470:J1054))/MAX(J$470:J1054)&gt;U1053,U1053,(J1054-MAX(J$470:J1054))/MAX(J$470:J1054))</f>
        <v>-0.70280130434782617</v>
      </c>
      <c r="V1054" s="564">
        <f>IF((K1054-MAX(K$470:K1054))/MAX(K$470:K1054)&gt;V1053,V1053,(K1054-MAX(K$470:K1054))/MAX(K$470:K1054))</f>
        <v>-0.80725522782524772</v>
      </c>
      <c r="W1054" s="564">
        <f>IF((N1054-MAX(N$470:N1054))/MAX(N$470:N1054)&gt;W1053,W1053,(N1054-MAX(N$470:N1054))/MAX(N$470:N1054))</f>
        <v>-0.62788758315546067</v>
      </c>
      <c r="X1054" s="564">
        <f>IF((O1054-MAX(O$470:O1054))/MAX(O$470:O1054)&gt;X1053,X1053,(O1054-MAX(O$470:O1054))/MAX(O$470:O1054))</f>
        <v>-0.62788758315546067</v>
      </c>
    </row>
    <row r="1055" spans="1:24">
      <c r="A1055" s="799">
        <v>41457</v>
      </c>
      <c r="B1055">
        <v>89.489000000000004</v>
      </c>
      <c r="C1055">
        <v>123.80530899999999</v>
      </c>
      <c r="D1055">
        <v>1.7476240000000001</v>
      </c>
      <c r="E1055">
        <f>LN(D1055/参数实验室!$E$53)/参数实验室!$E$55</f>
        <v>-3.4362608919595715E-2</v>
      </c>
      <c r="F1055">
        <f t="shared" si="108"/>
        <v>1.3834695772664796</v>
      </c>
      <c r="G1055">
        <f>LN(F1055/参数实验室!$E$58)/参数实验室!$E$59</f>
        <v>-2.0165273055426033E-2</v>
      </c>
      <c r="H1055" s="856">
        <f>INDEX(神经网络!$G$10:$BO$70,MATCH(ROUND(G1055*2,1)/2,神经网络!$E$10:$E$70,0),MATCH(ROUND(E1055*2,1)/2,神经网络!$G$8:$BO$8,0))</f>
        <v>0.18748659045098026</v>
      </c>
      <c r="I1055">
        <f t="shared" si="110"/>
        <v>60.651450737405028</v>
      </c>
      <c r="J1055">
        <f t="shared" si="111"/>
        <v>35.708471329954889</v>
      </c>
      <c r="K1055">
        <f t="shared" si="112"/>
        <v>1.698517143928425</v>
      </c>
      <c r="L1055" s="4">
        <f>MIN(MAX(L1054*(1+MAX(MIN(((B1055-B1054)/B1054)/($K$7*卓尔金历!$N$40),0),-卓尔金历!$M$43))+MIN(MAX(((B1055-B1054)/B1054)/($K$7*卓尔金历!$N$40),0),卓尔金历!$M$43),0),1)</f>
        <v>0</v>
      </c>
      <c r="M1055" s="4">
        <f>MIN(MAX(M1054*(1+MAX(MIN(((B1055-B1054)/B1054)/($K$7*30),0),-卓尔金历!$M$43))+MIN(MAX(((B1055-B1054)/B1054)/($K$7*7),0),卓尔金历!$M$43),0),1)</f>
        <v>0.37201802705592102</v>
      </c>
      <c r="N1055">
        <f t="shared" si="113"/>
        <v>103.1956289878198</v>
      </c>
      <c r="O1055">
        <f t="shared" si="114"/>
        <v>141.80448649034801</v>
      </c>
      <c r="P1055">
        <f t="shared" si="115"/>
        <v>-8.220175582540204E-2</v>
      </c>
      <c r="Q1055">
        <f t="shared" si="106"/>
        <v>3.3842531433669464E-2</v>
      </c>
      <c r="R1055">
        <f t="shared" si="107"/>
        <v>3.6726800776538107E-3</v>
      </c>
      <c r="S1055">
        <f t="shared" si="109"/>
        <v>5.1659669762407443</v>
      </c>
      <c r="T1055" s="564">
        <f>IF((I1055-MAX(I$470:I1055))/MAX(I$470:I1055)&gt;T1054,T1054,(I1055-MAX(I$470:I1055))/MAX(I$470:I1055))</f>
        <v>-0.91338805338419748</v>
      </c>
      <c r="U1055" s="564">
        <f>IF((J1055-MAX(J$470:J1055))/MAX(J$470:J1055)&gt;U1054,U1054,(J1055-MAX(J$470:J1055))/MAX(J$470:J1055))</f>
        <v>-0.70280130434782617</v>
      </c>
      <c r="V1055" s="564">
        <f>IF((K1055-MAX(K$470:K1055))/MAX(K$470:K1055)&gt;V1054,V1054,(K1055-MAX(K$470:K1055))/MAX(K$470:K1055))</f>
        <v>-0.80725522782524772</v>
      </c>
      <c r="W1055" s="564">
        <f>IF((N1055-MAX(N$470:N1055))/MAX(N$470:N1055)&gt;W1054,W1054,(N1055-MAX(N$470:N1055))/MAX(N$470:N1055))</f>
        <v>-0.62788758315546067</v>
      </c>
      <c r="X1055" s="564">
        <f>IF((O1055-MAX(O$470:O1055))/MAX(O$470:O1055)&gt;X1054,X1054,(O1055-MAX(O$470:O1055))/MAX(O$470:O1055))</f>
        <v>-0.62788758315546067</v>
      </c>
    </row>
    <row r="1056" spans="1:24">
      <c r="A1056" s="799">
        <v>41458</v>
      </c>
      <c r="B1056">
        <v>90.796999999999997</v>
      </c>
      <c r="C1056">
        <v>126.106796</v>
      </c>
      <c r="D1056">
        <v>1.5518110000000001</v>
      </c>
      <c r="E1056">
        <f>LN(D1056/参数实验室!$E$53)/参数实验室!$E$55</f>
        <v>-0.17455801363491949</v>
      </c>
      <c r="F1056">
        <f t="shared" si="108"/>
        <v>1.3888872539841626</v>
      </c>
      <c r="G1056">
        <f>LN(F1056/参数实验室!$E$58)/参数实验室!$E$59</f>
        <v>-1.811395475691422E-2</v>
      </c>
      <c r="H1056" s="856">
        <f>INDEX(神经网络!$G$10:$BO$70,MATCH(ROUND(G1056*2,1)/2,神经网络!$E$10:$E$70,0),MATCH(ROUND(E1056*2,1)/2,神经网络!$G$8:$BO$8,0))</f>
        <v>9.8661926014030996E-2</v>
      </c>
      <c r="I1056">
        <f t="shared" si="110"/>
        <v>60.817657807387903</v>
      </c>
      <c r="J1056">
        <f t="shared" si="111"/>
        <v>36.230397829296493</v>
      </c>
      <c r="K1056">
        <f t="shared" si="112"/>
        <v>1.6786362129926642</v>
      </c>
      <c r="L1056" s="4">
        <f>MIN(MAX(L1055*(1+MAX(MIN(((B1056-B1055)/B1055)/($K$7*卓尔金历!$N$40),0),-卓尔金历!$M$43))+MIN(MAX(((B1056-B1055)/B1055)/($K$7*卓尔金历!$N$40),0),卓尔金历!$M$43),0),1)</f>
        <v>0.2233233671881269</v>
      </c>
      <c r="M1056" s="4">
        <f>MIN(MAX(M1055*(1+MAX(MIN(((B1056-B1055)/B1055)/($K$7*30),0),-卓尔金历!$M$43))+MIN(MAX(((B1056-B1055)/B1055)/($K$7*7),0),卓尔金历!$M$43),0),1)</f>
        <v>0.85056809960190716</v>
      </c>
      <c r="N1056">
        <f t="shared" si="113"/>
        <v>103.1956289878198</v>
      </c>
      <c r="O1056">
        <f t="shared" si="114"/>
        <v>141.94905118955205</v>
      </c>
      <c r="P1056">
        <f t="shared" si="115"/>
        <v>1.4616321559074217E-2</v>
      </c>
      <c r="Q1056">
        <f t="shared" si="106"/>
        <v>3.3318512213299636E-2</v>
      </c>
      <c r="R1056">
        <f t="shared" si="107"/>
        <v>0.88570225464498653</v>
      </c>
      <c r="S1056">
        <f t="shared" si="109"/>
        <v>5.1660189690190226</v>
      </c>
      <c r="T1056" s="564">
        <f>IF((I1056-MAX(I$470:I1056))/MAX(I$470:I1056)&gt;T1055,T1055,(I1056-MAX(I$470:I1056))/MAX(I$470:I1056))</f>
        <v>-0.91338805338419748</v>
      </c>
      <c r="U1056" s="564">
        <f>IF((J1056-MAX(J$470:J1056))/MAX(J$470:J1056)&gt;U1055,U1055,(J1056-MAX(J$470:J1056))/MAX(J$470:J1056))</f>
        <v>-0.70280130434782617</v>
      </c>
      <c r="V1056" s="564">
        <f>IF((K1056-MAX(K$470:K1056))/MAX(K$470:K1056)&gt;V1055,V1055,(K1056-MAX(K$470:K1056))/MAX(K$470:K1056))</f>
        <v>-0.80725522782524772</v>
      </c>
      <c r="W1056" s="564">
        <f>IF((N1056-MAX(N$470:N1056))/MAX(N$470:N1056)&gt;W1055,W1055,(N1056-MAX(N$470:N1056))/MAX(N$470:N1056))</f>
        <v>-0.62788758315546067</v>
      </c>
      <c r="X1056" s="564">
        <f>IF((O1056-MAX(O$470:O1056))/MAX(O$470:O1056)&gt;X1055,X1055,(O1056-MAX(O$470:O1056))/MAX(O$470:O1056))</f>
        <v>-0.62788758315546067</v>
      </c>
    </row>
    <row r="1057" spans="1:24">
      <c r="A1057" s="799">
        <v>41459</v>
      </c>
      <c r="B1057">
        <v>78.8</v>
      </c>
      <c r="C1057">
        <v>129.90726000000001</v>
      </c>
      <c r="D1057">
        <v>1.5827599999999999</v>
      </c>
      <c r="E1057">
        <f>LN(D1057/参数实验室!$E$53)/参数实验室!$E$55</f>
        <v>-0.15126080985273191</v>
      </c>
      <c r="F1057">
        <f t="shared" si="108"/>
        <v>1.6485692893401016</v>
      </c>
      <c r="G1057">
        <f>LN(F1057/参数实验室!$E$58)/参数实验室!$E$59</f>
        <v>7.1848612900682271E-2</v>
      </c>
      <c r="H1057" s="856">
        <f>INDEX(神经网络!$G$10:$BO$70,MATCH(ROUND(G1057*2,1)/2,神经网络!$E$10:$E$70,0),MATCH(ROUND(E1057*2,1)/2,神经网络!$G$8:$BO$8,0))</f>
        <v>0.18718278852188391</v>
      </c>
      <c r="I1057">
        <f t="shared" si="110"/>
        <v>60.024827142305305</v>
      </c>
      <c r="J1057">
        <f t="shared" si="111"/>
        <v>31.443278400702265</v>
      </c>
      <c r="K1057">
        <f t="shared" si="112"/>
        <v>1.9089875545854242</v>
      </c>
      <c r="L1057" s="4">
        <f>MIN(MAX(L1056*(1+MAX(MIN(((B1057-B1056)/B1056)/($K$7*卓尔金历!$N$40),0),-卓尔金历!$M$43))+MIN(MAX(((B1057-B1056)/B1056)/($K$7*卓尔金历!$N$40),0),卓尔金历!$M$43),0),1)</f>
        <v>0</v>
      </c>
      <c r="M1057" s="4">
        <f>MIN(MAX(M1056*(1+MAX(MIN(((B1057-B1056)/B1056)/($K$7*30),0),-卓尔金历!$M$43))+MIN(MAX(((B1057-B1056)/B1056)/($K$7*7),0),卓尔金历!$M$43),0),1)</f>
        <v>0</v>
      </c>
      <c r="N1057">
        <f t="shared" si="113"/>
        <v>102.89519696732896</v>
      </c>
      <c r="O1057">
        <f t="shared" si="114"/>
        <v>140.37509611087964</v>
      </c>
      <c r="P1057">
        <f t="shared" si="115"/>
        <v>-0.13212991618665815</v>
      </c>
      <c r="Q1057">
        <f t="shared" si="106"/>
        <v>4.2494502804544317E-2</v>
      </c>
      <c r="R1057">
        <f t="shared" si="107"/>
        <v>0</v>
      </c>
      <c r="S1057">
        <f t="shared" si="109"/>
        <v>5.1063711600471482</v>
      </c>
      <c r="T1057" s="564">
        <f>IF((I1057-MAX(I$470:I1057))/MAX(I$470:I1057)&gt;T1056,T1056,(I1057-MAX(I$470:I1057))/MAX(I$470:I1057))</f>
        <v>-0.91338805338419748</v>
      </c>
      <c r="U1057" s="564">
        <f>IF((J1057-MAX(J$470:J1057))/MAX(J$470:J1057)&gt;U1056,U1056,(J1057-MAX(J$470:J1057))/MAX(J$470:J1057))</f>
        <v>-0.70280130434782617</v>
      </c>
      <c r="V1057" s="564">
        <f>IF((K1057-MAX(K$470:K1057))/MAX(K$470:K1057)&gt;V1056,V1056,(K1057-MAX(K$470:K1057))/MAX(K$470:K1057))</f>
        <v>-0.80725522782524772</v>
      </c>
      <c r="W1057" s="564">
        <f>IF((N1057-MAX(N$470:N1057))/MAX(N$470:N1057)&gt;W1056,W1056,(N1057-MAX(N$470:N1057))/MAX(N$470:N1057))</f>
        <v>-0.62788758315546067</v>
      </c>
      <c r="X1057" s="564">
        <f>IF((O1057-MAX(O$470:O1057))/MAX(O$470:O1057)&gt;X1056,X1056,(O1057-MAX(O$470:O1057))/MAX(O$470:O1057))</f>
        <v>-0.62788758315546067</v>
      </c>
    </row>
    <row r="1058" spans="1:24">
      <c r="A1058" s="799">
        <v>41460</v>
      </c>
      <c r="B1058">
        <v>78.48</v>
      </c>
      <c r="C1058">
        <v>129.92701199999999</v>
      </c>
      <c r="D1058">
        <v>1.3613729999999999</v>
      </c>
      <c r="E1058">
        <f>LN(D1058/参数实验室!$E$53)/参数实验室!$E$55</f>
        <v>-0.3290217924314805</v>
      </c>
      <c r="F1058">
        <f t="shared" si="108"/>
        <v>1.6555429663608561</v>
      </c>
      <c r="G1058">
        <f>LN(F1058/参数实验室!$E$58)/参数实验室!$E$59</f>
        <v>7.4064135698437103E-2</v>
      </c>
      <c r="H1058" s="856">
        <f>INDEX(神经网络!$G$10:$BO$70,MATCH(ROUND(G1058*2,1)/2,神经网络!$E$10:$E$70,0),MATCH(ROUND(E1058*2,1)/2,神经网络!$G$8:$BO$8,0))</f>
        <v>6.8113659492166486E-3</v>
      </c>
      <c r="I1058">
        <f t="shared" si="110"/>
        <v>59.979200281289913</v>
      </c>
      <c r="J1058">
        <f t="shared" si="111"/>
        <v>31.315589960496371</v>
      </c>
      <c r="K1058">
        <f t="shared" si="112"/>
        <v>1.9153143963422621</v>
      </c>
      <c r="L1058" s="4">
        <f>MIN(MAX(L1057*(1+MAX(MIN(((B1058-B1057)/B1057)/($K$7*卓尔金历!$N$40),0),-卓尔金历!$M$43))+MIN(MAX(((B1058-B1057)/B1057)/($K$7*卓尔金历!$N$40),0),卓尔金历!$M$43),0),1)</f>
        <v>0</v>
      </c>
      <c r="M1058" s="4">
        <f>MIN(MAX(M1057*(1+MAX(MIN(((B1058-B1057)/B1057)/($K$7*30),0),-卓尔金历!$M$43))+MIN(MAX(((B1058-B1057)/B1057)/($K$7*7),0),卓尔金历!$M$43),0),1)</f>
        <v>0</v>
      </c>
      <c r="N1058">
        <f t="shared" si="113"/>
        <v>102.89519696732896</v>
      </c>
      <c r="O1058">
        <f t="shared" si="114"/>
        <v>140.37509611087964</v>
      </c>
      <c r="P1058">
        <f t="shared" si="115"/>
        <v>-4.0609137055836698E-3</v>
      </c>
      <c r="Q1058">
        <f t="shared" si="106"/>
        <v>4.16807966771389E-2</v>
      </c>
      <c r="R1058">
        <f t="shared" si="107"/>
        <v>1</v>
      </c>
      <c r="S1058">
        <f t="shared" si="109"/>
        <v>5.1063711600471482</v>
      </c>
      <c r="T1058" s="564">
        <f>IF((I1058-MAX(I$470:I1058))/MAX(I$470:I1058)&gt;T1057,T1057,(I1058-MAX(I$470:I1058))/MAX(I$470:I1058))</f>
        <v>-0.91338805338419748</v>
      </c>
      <c r="U1058" s="564">
        <f>IF((J1058-MAX(J$470:J1058))/MAX(J$470:J1058)&gt;U1057,U1057,(J1058-MAX(J$470:J1058))/MAX(J$470:J1058))</f>
        <v>-0.70280130434782617</v>
      </c>
      <c r="V1058" s="564">
        <f>IF((K1058-MAX(K$470:K1058))/MAX(K$470:K1058)&gt;V1057,V1057,(K1058-MAX(K$470:K1058))/MAX(K$470:K1058))</f>
        <v>-0.80725522782524772</v>
      </c>
      <c r="W1058" s="564">
        <f>IF((N1058-MAX(N$470:N1058))/MAX(N$470:N1058)&gt;W1057,W1057,(N1058-MAX(N$470:N1058))/MAX(N$470:N1058))</f>
        <v>-0.62788758315546067</v>
      </c>
      <c r="X1058" s="564">
        <f>IF((O1058-MAX(O$470:O1058))/MAX(O$470:O1058)&gt;X1057,X1057,(O1058-MAX(O$470:O1058))/MAX(O$470:O1058))</f>
        <v>-0.62788758315546067</v>
      </c>
    </row>
    <row r="1059" spans="1:24">
      <c r="A1059" s="799">
        <v>41461</v>
      </c>
      <c r="B1059">
        <v>67.808999999999997</v>
      </c>
      <c r="C1059">
        <v>129.638351</v>
      </c>
      <c r="D1059">
        <v>1.348444</v>
      </c>
      <c r="E1059">
        <f>LN(D1059/参数实验室!$E$53)/参数实验室!$E$55</f>
        <v>-0.34027948653647111</v>
      </c>
      <c r="F1059">
        <f t="shared" si="108"/>
        <v>1.9118162928224867</v>
      </c>
      <c r="G1059">
        <f>LN(F1059/参数实验室!$E$58)/参数实验室!$E$59</f>
        <v>0.14960359506938495</v>
      </c>
      <c r="H1059" s="856">
        <f>INDEX(神经网络!$G$10:$BO$70,MATCH(ROUND(G1059*2,1)/2,神经网络!$E$10:$E$70,0),MATCH(ROUND(E1059*2,1)/2,神经网络!$G$8:$BO$8,0))</f>
        <v>0.18499472024526728</v>
      </c>
      <c r="I1059">
        <f t="shared" si="110"/>
        <v>59.923650671783015</v>
      </c>
      <c r="J1059">
        <f t="shared" si="111"/>
        <v>27.057579506005329</v>
      </c>
      <c r="K1059">
        <f t="shared" si="112"/>
        <v>2.214671517771321</v>
      </c>
      <c r="L1059" s="4">
        <f>MIN(MAX(L1058*(1+MAX(MIN(((B1059-B1058)/B1058)/($K$7*卓尔金历!$N$40),0),-卓尔金历!$M$43))+MIN(MAX(((B1059-B1058)/B1058)/($K$7*卓尔金历!$N$40),0),卓尔金历!$M$43),0),1)</f>
        <v>0</v>
      </c>
      <c r="M1059" s="4">
        <f>MIN(MAX(M1058*(1+MAX(MIN(((B1059-B1058)/B1058)/($K$7*30),0),-卓尔金历!$M$43))+MIN(MAX(((B1059-B1058)/B1058)/($K$7*7),0),卓尔金历!$M$43),0),1)</f>
        <v>0</v>
      </c>
      <c r="N1059">
        <f t="shared" si="113"/>
        <v>102.89519696732896</v>
      </c>
      <c r="O1059">
        <f t="shared" si="114"/>
        <v>140.37509611087964</v>
      </c>
      <c r="P1059">
        <f t="shared" si="115"/>
        <v>-0.1359709480122325</v>
      </c>
      <c r="Q1059">
        <f t="shared" si="106"/>
        <v>4.9054594721038264E-2</v>
      </c>
      <c r="R1059">
        <f t="shared" si="107"/>
        <v>0</v>
      </c>
      <c r="S1059">
        <f t="shared" si="109"/>
        <v>5.1016419051953399</v>
      </c>
      <c r="T1059" s="564">
        <f>IF((I1059-MAX(I$470:I1059))/MAX(I$470:I1059)&gt;T1058,T1058,(I1059-MAX(I$470:I1059))/MAX(I$470:I1059))</f>
        <v>-0.91338805338419748</v>
      </c>
      <c r="U1059" s="564">
        <f>IF((J1059-MAX(J$470:J1059))/MAX(J$470:J1059)&gt;U1058,U1058,(J1059-MAX(J$470:J1059))/MAX(J$470:J1059))</f>
        <v>-0.70517826086956548</v>
      </c>
      <c r="V1059" s="564">
        <f>IF((K1059-MAX(K$470:K1059))/MAX(K$470:K1059)&gt;V1058,V1058,(K1059-MAX(K$470:K1059))/MAX(K$470:K1059))</f>
        <v>-0.80725522782524772</v>
      </c>
      <c r="W1059" s="564">
        <f>IF((N1059-MAX(N$470:N1059))/MAX(N$470:N1059)&gt;W1058,W1058,(N1059-MAX(N$470:N1059))/MAX(N$470:N1059))</f>
        <v>-0.62788758315546067</v>
      </c>
      <c r="X1059" s="564">
        <f>IF((O1059-MAX(O$470:O1059))/MAX(O$470:O1059)&gt;X1058,X1058,(O1059-MAX(O$470:O1059))/MAX(O$470:O1059))</f>
        <v>-0.62788758315546067</v>
      </c>
    </row>
    <row r="1060" spans="1:24">
      <c r="A1060" s="799">
        <v>41462</v>
      </c>
      <c r="B1060">
        <v>68.083100000000002</v>
      </c>
      <c r="C1060">
        <v>127.898802</v>
      </c>
      <c r="D1060">
        <v>1.4650190000000001</v>
      </c>
      <c r="E1060">
        <f>LN(D1060/参数实验室!$E$53)/参数实验室!$E$55</f>
        <v>-0.24245803243932074</v>
      </c>
      <c r="F1060">
        <f t="shared" si="108"/>
        <v>1.8785690134556152</v>
      </c>
      <c r="G1060">
        <f>LN(F1060/参数实验室!$E$58)/参数实验室!$E$59</f>
        <v>0.14039586807889579</v>
      </c>
      <c r="H1060" s="856">
        <f>INDEX(神经网络!$G$10:$BO$70,MATCH(ROUND(G1060*2,1)/2,神经网络!$E$10:$E$70,0),MATCH(ROUND(E1060*2,1)/2,神经网络!$G$8:$BO$8,0))</f>
        <v>0.26998964206793424</v>
      </c>
      <c r="I1060">
        <f t="shared" si="110"/>
        <v>59.968461120539601</v>
      </c>
      <c r="J1060">
        <f t="shared" si="111"/>
        <v>27.166952635569192</v>
      </c>
      <c r="K1060">
        <f t="shared" si="112"/>
        <v>2.20740478054296</v>
      </c>
      <c r="L1060" s="4">
        <f>MIN(MAX(L1059*(1+MAX(MIN(((B1060-B1059)/B1059)/($K$7*卓尔金历!$N$40),0),-卓尔金历!$M$43))+MIN(MAX(((B1060-B1059)/B1059)/($K$7*卓尔金历!$N$40),0),卓尔金历!$M$43),0),1)</f>
        <v>6.1761491334588206E-2</v>
      </c>
      <c r="M1060" s="4">
        <f>MIN(MAX(M1059*(1+MAX(MIN(((B1060-B1059)/B1059)/($K$7*30),0),-卓尔金历!$M$43))+MIN(MAX(((B1060-B1059)/B1059)/($K$7*7),0),卓尔金历!$M$43),0),1)</f>
        <v>0.13234605285983186</v>
      </c>
      <c r="N1060">
        <f t="shared" si="113"/>
        <v>102.89519696732896</v>
      </c>
      <c r="O1060">
        <f t="shared" si="114"/>
        <v>140.37509611087964</v>
      </c>
      <c r="P1060">
        <f t="shared" si="115"/>
        <v>4.042236281319651E-3</v>
      </c>
      <c r="Q1060">
        <f t="shared" si="106"/>
        <v>4.8739406839917239E-2</v>
      </c>
      <c r="R1060">
        <f t="shared" si="107"/>
        <v>1</v>
      </c>
      <c r="S1060">
        <f t="shared" si="109"/>
        <v>5.1016419051953399</v>
      </c>
      <c r="T1060" s="564">
        <f>IF((I1060-MAX(I$470:I1060))/MAX(I$470:I1060)&gt;T1059,T1059,(I1060-MAX(I$470:I1060))/MAX(I$470:I1060))</f>
        <v>-0.91338805338419748</v>
      </c>
      <c r="U1060" s="564">
        <f>IF((J1060-MAX(J$470:J1060))/MAX(J$470:J1060)&gt;U1059,U1059,(J1060-MAX(J$470:J1060))/MAX(J$470:J1060))</f>
        <v>-0.70517826086956548</v>
      </c>
      <c r="V1060" s="564">
        <f>IF((K1060-MAX(K$470:K1060))/MAX(K$470:K1060)&gt;V1059,V1059,(K1060-MAX(K$470:K1060))/MAX(K$470:K1060))</f>
        <v>-0.80725522782524772</v>
      </c>
      <c r="W1060" s="564">
        <f>IF((N1060-MAX(N$470:N1060))/MAX(N$470:N1060)&gt;W1059,W1059,(N1060-MAX(N$470:N1060))/MAX(N$470:N1060))</f>
        <v>-0.62788758315546067</v>
      </c>
      <c r="X1060" s="564">
        <f>IF((O1060-MAX(O$470:O1060))/MAX(O$470:O1060)&gt;X1059,X1059,(O1060-MAX(O$470:O1060))/MAX(O$470:O1060))</f>
        <v>-0.62788758315546067</v>
      </c>
    </row>
    <row r="1061" spans="1:24">
      <c r="A1061" s="799">
        <v>41463</v>
      </c>
      <c r="B1061">
        <v>77.501999999999995</v>
      </c>
      <c r="C1061">
        <v>127.244908</v>
      </c>
      <c r="D1061">
        <v>1.502969</v>
      </c>
      <c r="E1061">
        <f>LN(D1061/参数实验室!$E$53)/参数实验室!$E$55</f>
        <v>-0.2122867003460315</v>
      </c>
      <c r="F1061">
        <f t="shared" si="108"/>
        <v>1.6418274109055251</v>
      </c>
      <c r="G1061">
        <f>LN(F1061/参数实验室!$E$58)/参数实验室!$E$59</f>
        <v>6.9697804090361401E-2</v>
      </c>
      <c r="H1061" s="856">
        <f>INDEX(神经网络!$G$10:$BO$70,MATCH(ROUND(G1061*2,1)/2,神经网络!$E$10:$E$70,0),MATCH(ROUND(E1061*2,1)/2,神经网络!$G$8:$BO$8,0))</f>
        <v>0.14368643752345239</v>
      </c>
      <c r="I1061">
        <f t="shared" si="110"/>
        <v>62.208372682122295</v>
      </c>
      <c r="J1061">
        <f t="shared" si="111"/>
        <v>30.92534216511709</v>
      </c>
      <c r="K1061">
        <f t="shared" si="112"/>
        <v>2.0115661889843719</v>
      </c>
      <c r="L1061" s="4">
        <f>MIN(MAX(L1060*(1+MAX(MIN(((B1061-B1060)/B1060)/($K$7*卓尔金历!$N$40),0),-卓尔金历!$M$43))+MIN(MAX(((B1061-B1060)/B1060)/($K$7*卓尔金历!$N$40),0),卓尔金历!$M$43),0),1)</f>
        <v>1</v>
      </c>
      <c r="M1061" s="4">
        <f>MIN(MAX(M1060*(1+MAX(MIN(((B1061-B1060)/B1060)/($K$7*30),0),-卓尔金历!$M$43))+MIN(MAX(((B1061-B1060)/B1060)/($K$7*7),0),卓尔金历!$M$43),0),1)</f>
        <v>1</v>
      </c>
      <c r="N1061">
        <f t="shared" si="113"/>
        <v>103.1325642423747</v>
      </c>
      <c r="O1061">
        <f t="shared" si="114"/>
        <v>141.06901550716529</v>
      </c>
      <c r="P1061">
        <f t="shared" si="115"/>
        <v>0.13834417057977669</v>
      </c>
      <c r="Q1061">
        <f t="shared" si="106"/>
        <v>5.8827566373425726E-2</v>
      </c>
      <c r="R1061">
        <f t="shared" si="107"/>
        <v>7.0606824669988983E-3</v>
      </c>
      <c r="S1061">
        <f t="shared" si="109"/>
        <v>5.2921958476007074</v>
      </c>
      <c r="T1061" s="564">
        <f>IF((I1061-MAX(I$470:I1061))/MAX(I$470:I1061)&gt;T1060,T1060,(I1061-MAX(I$470:I1061))/MAX(I$470:I1061))</f>
        <v>-0.91338805338419748</v>
      </c>
      <c r="U1061" s="564">
        <f>IF((J1061-MAX(J$470:J1061))/MAX(J$470:J1061)&gt;U1060,U1060,(J1061-MAX(J$470:J1061))/MAX(J$470:J1061))</f>
        <v>-0.70517826086956548</v>
      </c>
      <c r="V1061" s="564">
        <f>IF((K1061-MAX(K$470:K1061))/MAX(K$470:K1061)&gt;V1060,V1060,(K1061-MAX(K$470:K1061))/MAX(K$470:K1061))</f>
        <v>-0.80725522782524772</v>
      </c>
      <c r="W1061" s="564">
        <f>IF((N1061-MAX(N$470:N1061))/MAX(N$470:N1061)&gt;W1060,W1060,(N1061-MAX(N$470:N1061))/MAX(N$470:N1061))</f>
        <v>-0.62788758315546067</v>
      </c>
      <c r="X1061" s="564">
        <f>IF((O1061-MAX(O$470:O1061))/MAX(O$470:O1061)&gt;X1060,X1060,(O1061-MAX(O$470:O1061))/MAX(O$470:O1061))</f>
        <v>-0.62788758315546067</v>
      </c>
    </row>
    <row r="1062" spans="1:24">
      <c r="A1062" s="799">
        <v>41464</v>
      </c>
      <c r="B1062">
        <v>76.391499999999994</v>
      </c>
      <c r="C1062">
        <v>125.475763</v>
      </c>
      <c r="D1062">
        <v>1.5222199999999999</v>
      </c>
      <c r="E1062">
        <f>LN(D1062/参数实验室!$E$53)/参数实验室!$E$55</f>
        <v>-0.19727161449604386</v>
      </c>
      <c r="F1062">
        <f t="shared" si="108"/>
        <v>1.6425356616901097</v>
      </c>
      <c r="G1062">
        <f>LN(F1062/参数实验室!$E$58)/参数实验室!$E$59</f>
        <v>6.9924166575476787E-2</v>
      </c>
      <c r="H1062" s="856">
        <f>INDEX(神经网络!$G$10:$BO$70,MATCH(ROUND(G1062*2,1)/2,神经网络!$E$10:$E$70,0),MATCH(ROUND(E1062*2,1)/2,神经网络!$G$8:$BO$8,0))</f>
        <v>0.14368643752345239</v>
      </c>
      <c r="I1062">
        <f t="shared" si="110"/>
        <v>62.080295940301653</v>
      </c>
      <c r="J1062">
        <f t="shared" si="111"/>
        <v>30.482223374965063</v>
      </c>
      <c r="K1062">
        <f t="shared" si="112"/>
        <v>2.0366065551270767</v>
      </c>
      <c r="L1062" s="4">
        <f>MIN(MAX(L1061*(1+MAX(MIN(((B1062-B1061)/B1061)/($K$7*卓尔金历!$N$40),0),-卓尔金历!$M$43))+MIN(MAX(((B1062-B1061)/B1061)/($K$7*卓尔金历!$N$40),0),卓尔金历!$M$43),0),1)</f>
        <v>0.78107178740070782</v>
      </c>
      <c r="M1062" s="4">
        <f>MIN(MAX(M1061*(1+MAX(MIN(((B1062-B1061)/B1061)/($K$7*30),0),-卓尔金历!$M$43))+MIN(MAX(((B1062-B1061)/B1061)/($K$7*7),0),卓尔金历!$M$43),0),1)</f>
        <v>0.89053589370035391</v>
      </c>
      <c r="N1062">
        <f t="shared" si="113"/>
        <v>102.92023136443129</v>
      </c>
      <c r="O1062">
        <f t="shared" si="114"/>
        <v>140.77857775579815</v>
      </c>
      <c r="P1062">
        <f t="shared" si="115"/>
        <v>-1.4328662486129415E-2</v>
      </c>
      <c r="Q1062">
        <f t="shared" si="106"/>
        <v>5.8537084500359153E-2</v>
      </c>
      <c r="R1062">
        <f t="shared" si="107"/>
        <v>1</v>
      </c>
      <c r="S1062">
        <f t="shared" si="109"/>
        <v>5.2921189161328765</v>
      </c>
      <c r="T1062" s="564">
        <f>IF((I1062-MAX(I$470:I1062))/MAX(I$470:I1062)&gt;T1061,T1061,(I1062-MAX(I$470:I1062))/MAX(I$470:I1062))</f>
        <v>-0.91338805338419748</v>
      </c>
      <c r="U1062" s="564">
        <f>IF((J1062-MAX(J$470:J1062))/MAX(J$470:J1062)&gt;U1061,U1061,(J1062-MAX(J$470:J1062))/MAX(J$470:J1062))</f>
        <v>-0.70517826086956548</v>
      </c>
      <c r="V1062" s="564">
        <f>IF((K1062-MAX(K$470:K1062))/MAX(K$470:K1062)&gt;V1061,V1061,(K1062-MAX(K$470:K1062))/MAX(K$470:K1062))</f>
        <v>-0.80725522782524772</v>
      </c>
      <c r="W1062" s="564">
        <f>IF((N1062-MAX(N$470:N1062))/MAX(N$470:N1062)&gt;W1061,W1061,(N1062-MAX(N$470:N1062))/MAX(N$470:N1062))</f>
        <v>-0.62788758315546067</v>
      </c>
      <c r="X1062" s="564">
        <f>IF((O1062-MAX(O$470:O1062))/MAX(O$470:O1062)&gt;X1061,X1061,(O1062-MAX(O$470:O1062))/MAX(O$470:O1062))</f>
        <v>-0.62788758315546067</v>
      </c>
    </row>
    <row r="1063" spans="1:24">
      <c r="A1063" s="799">
        <v>41465</v>
      </c>
      <c r="B1063">
        <v>77</v>
      </c>
      <c r="C1063">
        <v>124.112622</v>
      </c>
      <c r="D1063">
        <v>1.7173369999999999</v>
      </c>
      <c r="E1063">
        <f>LN(D1063/参数实验室!$E$53)/参数实验室!$E$55</f>
        <v>-5.4987427809720019E-2</v>
      </c>
      <c r="F1063">
        <f t="shared" si="108"/>
        <v>1.6118522337662338</v>
      </c>
      <c r="G1063">
        <f>LN(F1063/参数实验室!$E$58)/参数实验室!$E$59</f>
        <v>6.0026883932407883E-2</v>
      </c>
      <c r="H1063" s="856">
        <f>INDEX(神经网络!$G$10:$BO$70,MATCH(ROUND(G1063*2,1)/2,神经网络!$E$10:$E$70,0),MATCH(ROUND(E1063*2,1)/2,神经网络!$G$8:$BO$8,0))</f>
        <v>0.27141505023937018</v>
      </c>
      <c r="I1063">
        <f t="shared" si="110"/>
        <v>62.151349378959523</v>
      </c>
      <c r="J1063">
        <f t="shared" si="111"/>
        <v>30.725030924544093</v>
      </c>
      <c r="K1063">
        <f t="shared" si="112"/>
        <v>2.0228246321897476</v>
      </c>
      <c r="L1063" s="4">
        <f>MIN(MAX(L1062*(1+MAX(MIN(((B1063-B1062)/B1062)/($K$7*卓尔金历!$N$40),0),-卓尔金历!$M$43))+MIN(MAX(((B1063-B1062)/B1062)/($K$7*卓尔金历!$N$40),0),卓尔金历!$M$43),0),1)</f>
        <v>0.90277768486617138</v>
      </c>
      <c r="M1063" s="4">
        <f>MIN(MAX(M1062*(1+MAX(MIN(((B1063-B1062)/B1062)/($K$7*30),0),-卓尔金历!$M$43))+MIN(MAX(((B1063-B1062)/B1062)/($K$7*7),0),卓尔金历!$M$43),0),1)</f>
        <v>1</v>
      </c>
      <c r="N1063">
        <f t="shared" si="113"/>
        <v>103.01223882137316</v>
      </c>
      <c r="O1063">
        <f t="shared" si="114"/>
        <v>140.92206699208978</v>
      </c>
      <c r="P1063">
        <f t="shared" si="115"/>
        <v>7.9655459049764246E-3</v>
      </c>
      <c r="Q1063">
        <f t="shared" si="106"/>
        <v>5.7360369672174165E-2</v>
      </c>
      <c r="R1063">
        <f t="shared" si="107"/>
        <v>1</v>
      </c>
      <c r="S1063">
        <f t="shared" si="109"/>
        <v>5.2981759627542262</v>
      </c>
      <c r="T1063" s="564">
        <f>IF((I1063-MAX(I$470:I1063))/MAX(I$470:I1063)&gt;T1062,T1062,(I1063-MAX(I$470:I1063))/MAX(I$470:I1063))</f>
        <v>-0.91338805338419748</v>
      </c>
      <c r="U1063" s="564">
        <f>IF((J1063-MAX(J$470:J1063))/MAX(J$470:J1063)&gt;U1062,U1062,(J1063-MAX(J$470:J1063))/MAX(J$470:J1063))</f>
        <v>-0.70517826086956548</v>
      </c>
      <c r="V1063" s="564">
        <f>IF((K1063-MAX(K$470:K1063))/MAX(K$470:K1063)&gt;V1062,V1062,(K1063-MAX(K$470:K1063))/MAX(K$470:K1063))</f>
        <v>-0.80725522782524772</v>
      </c>
      <c r="W1063" s="564">
        <f>IF((N1063-MAX(N$470:N1063))/MAX(N$470:N1063)&gt;W1062,W1062,(N1063-MAX(N$470:N1063))/MAX(N$470:N1063))</f>
        <v>-0.62788758315546067</v>
      </c>
      <c r="X1063" s="564">
        <f>IF((O1063-MAX(O$470:O1063))/MAX(O$470:O1063)&gt;X1062,X1062,(O1063-MAX(O$470:O1063))/MAX(O$470:O1063))</f>
        <v>-0.62788758315546067</v>
      </c>
    </row>
    <row r="1064" spans="1:24">
      <c r="A1064" s="799">
        <v>41466</v>
      </c>
      <c r="B1064">
        <v>85.75</v>
      </c>
      <c r="C1064">
        <v>124.706352</v>
      </c>
      <c r="D1064">
        <v>1.7651600000000001</v>
      </c>
      <c r="E1064">
        <f>LN(D1064/参数实验室!$E$53)/参数实验室!$E$55</f>
        <v>-2.2583732255120788E-2</v>
      </c>
      <c r="F1064">
        <f t="shared" si="108"/>
        <v>1.4543014810495627</v>
      </c>
      <c r="G1064">
        <f>LN(F1064/参数实验室!$E$58)/参数实验室!$E$59</f>
        <v>6.0413051161252911E-3</v>
      </c>
      <c r="H1064" s="856">
        <f>INDEX(神经网络!$G$10:$BO$70,MATCH(ROUND(G1064*2,1)/2,神经网络!$E$10:$E$70,0),MATCH(ROUND(E1064*2,1)/2,神经网络!$G$8:$BO$8,0))</f>
        <v>0.2324433758486491</v>
      </c>
      <c r="I1064">
        <f t="shared" si="110"/>
        <v>64.068259789656679</v>
      </c>
      <c r="J1064">
        <f t="shared" si="111"/>
        <v>34.216511711424104</v>
      </c>
      <c r="K1064">
        <f t="shared" si="112"/>
        <v>1.8724369196368362</v>
      </c>
      <c r="L1064" s="4">
        <f>MIN(MAX(L1063*(1+MAX(MIN(((B1064-B1063)/B1063)/($K$7*卓尔金历!$N$40),0),-卓尔金历!$M$43))+MIN(MAX(((B1064-B1063)/B1063)/($K$7*卓尔金历!$N$40),0),卓尔金历!$M$43),0),1)</f>
        <v>1</v>
      </c>
      <c r="M1064" s="4">
        <f>MIN(MAX(M1063*(1+MAX(MIN(((B1064-B1063)/B1063)/($K$7*30),0),-卓尔金历!$M$43))+MIN(MAX(((B1064-B1063)/B1063)/($K$7*7),0),卓尔金历!$M$43),0),1)</f>
        <v>1</v>
      </c>
      <c r="N1064">
        <f t="shared" si="113"/>
        <v>105.88051453371098</v>
      </c>
      <c r="O1064">
        <f t="shared" si="114"/>
        <v>145.26847266169136</v>
      </c>
      <c r="P1064">
        <f t="shared" si="115"/>
        <v>0.11363636363636363</v>
      </c>
      <c r="Q1064">
        <f t="shared" si="106"/>
        <v>6.329116856424305E-2</v>
      </c>
      <c r="R1064">
        <f t="shared" si="107"/>
        <v>2.3789768478454994E-2</v>
      </c>
      <c r="S1064">
        <f t="shared" si="109"/>
        <v>5.4615855871983126</v>
      </c>
      <c r="T1064" s="564">
        <f>IF((I1064-MAX(I$470:I1064))/MAX(I$470:I1064)&gt;T1063,T1063,(I1064-MAX(I$470:I1064))/MAX(I$470:I1064))</f>
        <v>-0.91338805338419748</v>
      </c>
      <c r="U1064" s="564">
        <f>IF((J1064-MAX(J$470:J1064))/MAX(J$470:J1064)&gt;U1063,U1063,(J1064-MAX(J$470:J1064))/MAX(J$470:J1064))</f>
        <v>-0.70517826086956548</v>
      </c>
      <c r="V1064" s="564">
        <f>IF((K1064-MAX(K$470:K1064))/MAX(K$470:K1064)&gt;V1063,V1063,(K1064-MAX(K$470:K1064))/MAX(K$470:K1064))</f>
        <v>-0.80725522782524772</v>
      </c>
      <c r="W1064" s="564">
        <f>IF((N1064-MAX(N$470:N1064))/MAX(N$470:N1064)&gt;W1063,W1063,(N1064-MAX(N$470:N1064))/MAX(N$470:N1064))</f>
        <v>-0.62788758315546067</v>
      </c>
      <c r="X1064" s="564">
        <f>IF((O1064-MAX(O$470:O1064))/MAX(O$470:O1064)&gt;X1063,X1063,(O1064-MAX(O$470:O1064))/MAX(O$470:O1064))</f>
        <v>-0.62788758315546067</v>
      </c>
    </row>
    <row r="1065" spans="1:24">
      <c r="A1065" s="799">
        <v>41467</v>
      </c>
      <c r="B1065">
        <v>93.804000000000002</v>
      </c>
      <c r="C1065">
        <v>128.50336100000001</v>
      </c>
      <c r="D1065">
        <v>1.810837</v>
      </c>
      <c r="E1065">
        <f>LN(D1065/参数实验室!$E$53)/参数实验室!$E$55</f>
        <v>7.5564048263761343E-3</v>
      </c>
      <c r="F1065">
        <f t="shared" si="108"/>
        <v>1.3699134471877532</v>
      </c>
      <c r="G1065">
        <f>LN(F1065/参数实验室!$E$58)/参数实验室!$E$59</f>
        <v>-2.5333494917664939E-2</v>
      </c>
      <c r="H1065" s="856">
        <f>INDEX(神经网络!$G$10:$BO$70,MATCH(ROUND(G1065*2,1)/2,神经网络!$E$10:$E$70,0),MATCH(ROUND(E1065*2,1)/2,神经网络!$G$8:$BO$8,0))</f>
        <v>0.14419021982033148</v>
      </c>
      <c r="I1065">
        <f t="shared" si="110"/>
        <v>65.467001735101846</v>
      </c>
      <c r="J1065">
        <f t="shared" si="111"/>
        <v>37.430270140856294</v>
      </c>
      <c r="K1065">
        <f t="shared" si="112"/>
        <v>1.7490389860596436</v>
      </c>
      <c r="L1065" s="4">
        <f>MIN(MAX(L1064*(1+MAX(MIN(((B1065-B1064)/B1064)/($K$7*卓尔金历!$N$40),0),-卓尔金历!$M$43))+MIN(MAX(((B1065-B1064)/B1064)/($K$7*卓尔金历!$N$40),0),卓尔金历!$M$43),0),1)</f>
        <v>1</v>
      </c>
      <c r="M1065" s="4">
        <f>MIN(MAX(M1064*(1+MAX(MIN(((B1065-B1064)/B1064)/($K$7*30),0),-卓尔金历!$M$43))+MIN(MAX(((B1065-B1064)/B1064)/($K$7*7),0),卓尔金历!$M$43),0),1)</f>
        <v>1</v>
      </c>
      <c r="N1065">
        <f t="shared" si="113"/>
        <v>108.19210403793421</v>
      </c>
      <c r="O1065">
        <f t="shared" si="114"/>
        <v>148.4399823410516</v>
      </c>
      <c r="P1065">
        <f t="shared" si="115"/>
        <v>9.3924198250728883E-2</v>
      </c>
      <c r="Q1065">
        <f t="shared" si="106"/>
        <v>6.6592885371561522E-2</v>
      </c>
      <c r="R1065">
        <f t="shared" si="107"/>
        <v>4.1525949000463296E-2</v>
      </c>
      <c r="S1065">
        <f t="shared" si="109"/>
        <v>5.4644222233275173</v>
      </c>
      <c r="T1065" s="564">
        <f>IF((I1065-MAX(I$470:I1065))/MAX(I$470:I1065)&gt;T1064,T1064,(I1065-MAX(I$470:I1065))/MAX(I$470:I1065))</f>
        <v>-0.91338805338419748</v>
      </c>
      <c r="U1065" s="564">
        <f>IF((J1065-MAX(J$470:J1065))/MAX(J$470:J1065)&gt;U1064,U1064,(J1065-MAX(J$470:J1065))/MAX(J$470:J1065))</f>
        <v>-0.70517826086956548</v>
      </c>
      <c r="V1065" s="564">
        <f>IF((K1065-MAX(K$470:K1065))/MAX(K$470:K1065)&gt;V1064,V1064,(K1065-MAX(K$470:K1065))/MAX(K$470:K1065))</f>
        <v>-0.80725522782524772</v>
      </c>
      <c r="W1065" s="564">
        <f>IF((N1065-MAX(N$470:N1065))/MAX(N$470:N1065)&gt;W1064,W1064,(N1065-MAX(N$470:N1065))/MAX(N$470:N1065))</f>
        <v>-0.62788758315546067</v>
      </c>
      <c r="X1065" s="564">
        <f>IF((O1065-MAX(O$470:O1065))/MAX(O$470:O1065)&gt;X1064,X1064,(O1065-MAX(O$470:O1065))/MAX(O$470:O1065))</f>
        <v>-0.62788758315546067</v>
      </c>
    </row>
    <row r="1066" spans="1:24">
      <c r="A1066" s="799">
        <v>41468</v>
      </c>
      <c r="B1066">
        <v>88.062200000000004</v>
      </c>
      <c r="C1066">
        <v>130.88412299999999</v>
      </c>
      <c r="D1066">
        <v>1.8358300000000001</v>
      </c>
      <c r="E1066">
        <f>LN(D1066/参数实验室!$E$53)/参数实验室!$E$55</f>
        <v>2.3727903079938498E-2</v>
      </c>
      <c r="F1066">
        <f t="shared" si="108"/>
        <v>1.4862690575525024</v>
      </c>
      <c r="G1066">
        <f>LN(F1066/参数实验室!$E$58)/参数实验室!$E$59</f>
        <v>1.7453357691603683E-2</v>
      </c>
      <c r="H1066" s="856">
        <f>INDEX(神经网络!$G$10:$BO$70,MATCH(ROUND(G1066*2,1)/2,神经网络!$E$10:$E$70,0),MATCH(ROUND(E1066*2,1)/2,神经网络!$G$8:$BO$8,0))</f>
        <v>0.2324433758486491</v>
      </c>
      <c r="I1066">
        <f t="shared" si="110"/>
        <v>64.889191862037364</v>
      </c>
      <c r="J1066">
        <f t="shared" si="111"/>
        <v>35.139140497186844</v>
      </c>
      <c r="K1066">
        <f t="shared" si="112"/>
        <v>1.8466357157265199</v>
      </c>
      <c r="L1066" s="4">
        <f>MIN(MAX(L1065*(1+MAX(MIN(((B1066-B1065)/B1065)/($K$7*卓尔金历!$N$40),0),-卓尔金历!$M$43))+MIN(MAX(((B1066-B1065)/B1065)/($K$7*卓尔金历!$N$40),0),卓尔金历!$M$43),0),1)</f>
        <v>6.4760628472869342E-2</v>
      </c>
      <c r="M1066" s="4">
        <f>MIN(MAX(M1065*(1+MAX(MIN(((B1066-B1065)/B1065)/($K$7*30),0),-卓尔金历!$M$43))+MIN(MAX(((B1066-B1065)/B1065)/($K$7*7),0),卓尔金历!$M$43),0),1)</f>
        <v>0.53238031423643473</v>
      </c>
      <c r="N1066">
        <f t="shared" si="113"/>
        <v>107.23720364164467</v>
      </c>
      <c r="O1066">
        <f t="shared" si="114"/>
        <v>147.12985532925984</v>
      </c>
      <c r="P1066">
        <f t="shared" si="115"/>
        <v>-6.1210609355677771E-2</v>
      </c>
      <c r="Q1066">
        <f t="shared" si="106"/>
        <v>6.7606971339403507E-2</v>
      </c>
      <c r="R1066">
        <f t="shared" si="107"/>
        <v>0.17260216455339566</v>
      </c>
      <c r="S1066">
        <f t="shared" si="109"/>
        <v>5.4624194752568824</v>
      </c>
      <c r="T1066" s="564">
        <f>IF((I1066-MAX(I$470:I1066))/MAX(I$470:I1066)&gt;T1065,T1065,(I1066-MAX(I$470:I1066))/MAX(I$470:I1066))</f>
        <v>-0.91338805338419748</v>
      </c>
      <c r="U1066" s="564">
        <f>IF((J1066-MAX(J$470:J1066))/MAX(J$470:J1066)&gt;U1065,U1065,(J1066-MAX(J$470:J1066))/MAX(J$470:J1066))</f>
        <v>-0.70517826086956548</v>
      </c>
      <c r="V1066" s="564">
        <f>IF((K1066-MAX(K$470:K1066))/MAX(K$470:K1066)&gt;V1065,V1065,(K1066-MAX(K$470:K1066))/MAX(K$470:K1066))</f>
        <v>-0.80725522782524772</v>
      </c>
      <c r="W1066" s="564">
        <f>IF((N1066-MAX(N$470:N1066))/MAX(N$470:N1066)&gt;W1065,W1065,(N1066-MAX(N$470:N1066))/MAX(N$470:N1066))</f>
        <v>-0.62788758315546067</v>
      </c>
      <c r="X1066" s="564">
        <f>IF((O1066-MAX(O$470:O1066))/MAX(O$470:O1066)&gt;X1065,X1065,(O1066-MAX(O$470:O1066))/MAX(O$470:O1066))</f>
        <v>-0.62788758315546067</v>
      </c>
    </row>
    <row r="1067" spans="1:24">
      <c r="A1067" s="799">
        <v>41469</v>
      </c>
      <c r="B1067">
        <v>95.58</v>
      </c>
      <c r="C1067">
        <v>131.67288500000001</v>
      </c>
      <c r="D1067">
        <v>1.8011740000000001</v>
      </c>
      <c r="E1067">
        <f>LN(D1067/参数实验室!$E$53)/参数实验室!$E$55</f>
        <v>1.2441412187682852E-3</v>
      </c>
      <c r="F1067">
        <f t="shared" si="108"/>
        <v>1.3776196379995815</v>
      </c>
      <c r="G1067">
        <f>LN(F1067/参数实验室!$E$58)/参数实验室!$E$59</f>
        <v>-2.2389300336584334E-2</v>
      </c>
      <c r="H1067" s="856">
        <f>INDEX(神经网络!$G$10:$BO$70,MATCH(ROUND(G1067*2,1)/2,神经网络!$E$10:$E$70,0),MATCH(ROUND(E1067*2,1)/2,神经网络!$G$8:$BO$8,0))</f>
        <v>0.2324433758486491</v>
      </c>
      <c r="I1067">
        <f t="shared" si="110"/>
        <v>66.176820942526291</v>
      </c>
      <c r="J1067">
        <f t="shared" si="111"/>
        <v>38.138940983999014</v>
      </c>
      <c r="K1067">
        <f t="shared" si="112"/>
        <v>1.73515098309338</v>
      </c>
      <c r="L1067" s="4">
        <f>MIN(MAX(L1066*(1+MAX(MIN(((B1067-B1066)/B1066)/($K$7*卓尔金历!$N$40),0),-卓尔金历!$M$43))+MIN(MAX(((B1067-B1066)/B1066)/($K$7*卓尔金历!$N$40),0),卓尔金历!$M$43),0),1)</f>
        <v>1</v>
      </c>
      <c r="M1067" s="4">
        <f>MIN(MAX(M1066*(1+MAX(MIN(((B1067-B1066)/B1066)/($K$7*30),0),-卓尔金历!$M$43))+MIN(MAX(((B1067-B1066)/B1066)/($K$7*7),0),卓尔金历!$M$43),0),1)</f>
        <v>1</v>
      </c>
      <c r="N1067">
        <f t="shared" si="113"/>
        <v>107.3750118055425</v>
      </c>
      <c r="O1067">
        <f t="shared" si="114"/>
        <v>148.68417809198198</v>
      </c>
      <c r="P1067">
        <f t="shared" si="115"/>
        <v>8.5369204948320551E-2</v>
      </c>
      <c r="Q1067">
        <f t="shared" si="106"/>
        <v>7.0409229581066268E-2</v>
      </c>
      <c r="R1067">
        <f t="shared" si="107"/>
        <v>5.4581739131380737E-2</v>
      </c>
      <c r="S1067">
        <f t="shared" si="109"/>
        <v>5.4811284374181035</v>
      </c>
      <c r="T1067" s="564">
        <f>IF((I1067-MAX(I$470:I1067))/MAX(I$470:I1067)&gt;T1066,T1066,(I1067-MAX(I$470:I1067))/MAX(I$470:I1067))</f>
        <v>-0.91338805338419748</v>
      </c>
      <c r="U1067" s="564">
        <f>IF((J1067-MAX(J$470:J1067))/MAX(J$470:J1067)&gt;U1066,U1066,(J1067-MAX(J$470:J1067))/MAX(J$470:J1067))</f>
        <v>-0.70517826086956548</v>
      </c>
      <c r="V1067" s="564">
        <f>IF((K1067-MAX(K$470:K1067))/MAX(K$470:K1067)&gt;V1066,V1066,(K1067-MAX(K$470:K1067))/MAX(K$470:K1067))</f>
        <v>-0.80725522782524772</v>
      </c>
      <c r="W1067" s="564">
        <f>IF((N1067-MAX(N$470:N1067))/MAX(N$470:N1067)&gt;W1066,W1066,(N1067-MAX(N$470:N1067))/MAX(N$470:N1067))</f>
        <v>-0.62788758315546067</v>
      </c>
      <c r="X1067" s="564">
        <f>IF((O1067-MAX(O$470:O1067))/MAX(O$470:O1067)&gt;X1066,X1066,(O1067-MAX(O$470:O1067))/MAX(O$470:O1067))</f>
        <v>-0.62788758315546067</v>
      </c>
    </row>
    <row r="1068" spans="1:24">
      <c r="A1068" s="799">
        <v>41470</v>
      </c>
      <c r="B1068">
        <v>94</v>
      </c>
      <c r="C1068">
        <v>132.53890000000001</v>
      </c>
      <c r="D1068">
        <v>1.876638</v>
      </c>
      <c r="E1068">
        <f>LN(D1068/参数实验室!$E$53)/参数实验室!$E$55</f>
        <v>4.9664993733517716E-2</v>
      </c>
      <c r="F1068">
        <f t="shared" si="108"/>
        <v>1.4099882978723406</v>
      </c>
      <c r="G1068">
        <f>LN(F1068/参数实验室!$E$58)/参数实验室!$E$59</f>
        <v>-1.0199935124968793E-2</v>
      </c>
      <c r="H1068" s="856">
        <f>INDEX(神经网络!$G$10:$BO$70,MATCH(ROUND(G1068*2,1)/2,神经网络!$E$10:$E$70,0),MATCH(ROUND(E1068*2,1)/2,神经网络!$G$8:$BO$8,0))</f>
        <v>1.0122874945979659</v>
      </c>
      <c r="I1068">
        <f t="shared" si="110"/>
        <v>65.922540396520404</v>
      </c>
      <c r="J1068">
        <f t="shared" si="111"/>
        <v>37.508479310482393</v>
      </c>
      <c r="K1068">
        <f t="shared" si="112"/>
        <v>1.7575370051885097</v>
      </c>
      <c r="L1068" s="4">
        <f>MIN(MAX(L1067*(1+MAX(MIN(((B1068-B1067)/B1067)/($K$7*卓尔金历!$N$40),0),-卓尔金历!$M$43))+MIN(MAX(((B1068-B1067)/B1067)/($K$7*卓尔金历!$N$40),0),卓尔金历!$M$43),0),1)</f>
        <v>0.7474274556661995</v>
      </c>
      <c r="M1068" s="4">
        <f>MIN(MAX(M1067*(1+MAX(MIN(((B1068-B1067)/B1067)/($K$7*30),0),-卓尔金历!$M$43))+MIN(MAX(((B1068-B1067)/B1067)/($K$7*7),0),卓尔金历!$M$43),0),1)</f>
        <v>0.87371372783309975</v>
      </c>
      <c r="N1068">
        <f t="shared" si="113"/>
        <v>106.96242963189871</v>
      </c>
      <c r="O1068">
        <f t="shared" si="114"/>
        <v>148.11286787415659</v>
      </c>
      <c r="P1068">
        <f t="shared" si="115"/>
        <v>-1.6530654948734028E-2</v>
      </c>
      <c r="Q1068">
        <f t="shared" ref="Q1068:Q1131" si="116">STDEVP(P1048:P1068)</f>
        <v>7.0428801174076211E-2</v>
      </c>
      <c r="R1068">
        <f t="shared" ref="R1068:R1131" si="117">MIN(Q1067*MAX(1-LN(MAX(ABS(P1068),0.0001)/Q1068),0)+MAX(-LN(MAX(ABS(P1068),0.0001)/Q1068),0),1)</f>
        <v>1</v>
      </c>
      <c r="S1068">
        <f t="shared" si="109"/>
        <v>5.4799788961066529</v>
      </c>
      <c r="T1068" s="564">
        <f>IF((I1068-MAX(I$470:I1068))/MAX(I$470:I1068)&gt;T1067,T1067,(I1068-MAX(I$470:I1068))/MAX(I$470:I1068))</f>
        <v>-0.91338805338419748</v>
      </c>
      <c r="U1068" s="564">
        <f>IF((J1068-MAX(J$470:J1068))/MAX(J$470:J1068)&gt;U1067,U1067,(J1068-MAX(J$470:J1068))/MAX(J$470:J1068))</f>
        <v>-0.70517826086956548</v>
      </c>
      <c r="V1068" s="564">
        <f>IF((K1068-MAX(K$470:K1068))/MAX(K$470:K1068)&gt;V1067,V1067,(K1068-MAX(K$470:K1068))/MAX(K$470:K1068))</f>
        <v>-0.80725522782524772</v>
      </c>
      <c r="W1068" s="564">
        <f>IF((N1068-MAX(N$470:N1068))/MAX(N$470:N1068)&gt;W1067,W1067,(N1068-MAX(N$470:N1068))/MAX(N$470:N1068))</f>
        <v>-0.62788758315546067</v>
      </c>
      <c r="X1068" s="564">
        <f>IF((O1068-MAX(O$470:O1068))/MAX(O$470:O1068)&gt;X1067,X1067,(O1068-MAX(O$470:O1068))/MAX(O$470:O1068))</f>
        <v>-0.62788758315546067</v>
      </c>
    </row>
    <row r="1069" spans="1:24">
      <c r="A1069" s="799">
        <v>41471</v>
      </c>
      <c r="B1069">
        <v>97.301000000000002</v>
      </c>
      <c r="C1069">
        <v>134.37509499999999</v>
      </c>
      <c r="D1069">
        <v>1.837494</v>
      </c>
      <c r="E1069">
        <f>LN(D1069/参数实验室!$E$53)/参数实验室!$E$55</f>
        <v>2.4796749461172423E-2</v>
      </c>
      <c r="F1069">
        <f t="shared" si="108"/>
        <v>1.3810248096114119</v>
      </c>
      <c r="G1069">
        <f>LN(F1069/参数实验室!$E$58)/参数实验室!$E$59</f>
        <v>-2.1093577723903648E-2</v>
      </c>
      <c r="H1069" s="856">
        <f>INDEX(神经网络!$G$10:$BO$70,MATCH(ROUND(G1069*2,1)/2,神经网络!$E$10:$E$70,0),MATCH(ROUND(E1069*2,1)/2,神经网络!$G$8:$BO$8,0))</f>
        <v>0.2324433758486491</v>
      </c>
      <c r="I1069">
        <f t="shared" si="110"/>
        <v>68.265989240206522</v>
      </c>
      <c r="J1069">
        <f t="shared" si="111"/>
        <v>38.825665376481354</v>
      </c>
      <c r="K1069">
        <f t="shared" si="112"/>
        <v>1.7582696543188838</v>
      </c>
      <c r="L1069" s="4">
        <f>MIN(MAX(L1068*(1+MAX(MIN(((B1069-B1068)/B1068)/($K$7*卓尔金历!$N$40),0),-卓尔金历!$M$43))+MIN(MAX(((B1069-B1068)/B1068)/($K$7*卓尔金历!$N$40),0),卓尔金历!$M$43),0),1)</f>
        <v>1</v>
      </c>
      <c r="M1069" s="4">
        <f>MIN(MAX(M1068*(1+MAX(MIN(((B1069-B1068)/B1068)/($K$7*30),0),-卓尔金历!$M$43))+MIN(MAX(((B1069-B1068)/B1068)/($K$7*7),0),卓尔金历!$M$43),0),1)</f>
        <v>1</v>
      </c>
      <c r="N1069">
        <f t="shared" si="113"/>
        <v>109.8044150728889</v>
      </c>
      <c r="O1069">
        <f t="shared" si="114"/>
        <v>152.71313968505612</v>
      </c>
      <c r="P1069">
        <f t="shared" si="115"/>
        <v>3.5117021276595765E-2</v>
      </c>
      <c r="Q1069">
        <f t="shared" si="116"/>
        <v>7.0069016223720276E-2</v>
      </c>
      <c r="R1069">
        <f t="shared" si="117"/>
        <v>0.80987540026442806</v>
      </c>
      <c r="S1069">
        <f t="shared" si="109"/>
        <v>5.6747840436367882</v>
      </c>
      <c r="T1069" s="564">
        <f>IF((I1069-MAX(I$470:I1069))/MAX(I$470:I1069)&gt;T1068,T1068,(I1069-MAX(I$470:I1069))/MAX(I$470:I1069))</f>
        <v>-0.91338805338419748</v>
      </c>
      <c r="U1069" s="564">
        <f>IF((J1069-MAX(J$470:J1069))/MAX(J$470:J1069)&gt;U1068,U1068,(J1069-MAX(J$470:J1069))/MAX(J$470:J1069))</f>
        <v>-0.70517826086956548</v>
      </c>
      <c r="V1069" s="564">
        <f>IF((K1069-MAX(K$470:K1069))/MAX(K$470:K1069)&gt;V1068,V1068,(K1069-MAX(K$470:K1069))/MAX(K$470:K1069))</f>
        <v>-0.80725522782524772</v>
      </c>
      <c r="W1069" s="564">
        <f>IF((N1069-MAX(N$470:N1069))/MAX(N$470:N1069)&gt;W1068,W1068,(N1069-MAX(N$470:N1069))/MAX(N$470:N1069))</f>
        <v>-0.62788758315546067</v>
      </c>
      <c r="X1069" s="564">
        <f>IF((O1069-MAX(O$470:O1069))/MAX(O$470:O1069)&gt;X1068,X1068,(O1069-MAX(O$470:O1069))/MAX(O$470:O1069))</f>
        <v>-0.62788758315546067</v>
      </c>
    </row>
    <row r="1070" spans="1:24">
      <c r="A1070" s="799">
        <v>41472</v>
      </c>
      <c r="B1070">
        <v>98.979600000000005</v>
      </c>
      <c r="C1070">
        <v>131.45180400000001</v>
      </c>
      <c r="D1070">
        <v>1.8238970000000001</v>
      </c>
      <c r="E1070">
        <f>LN(D1070/参数实验室!$E$53)/参数实验室!$E$55</f>
        <v>1.6034408263765853E-2</v>
      </c>
      <c r="F1070">
        <f t="shared" si="108"/>
        <v>1.3280696628396154</v>
      </c>
      <c r="G1070">
        <f>LN(F1070/参数实验室!$E$58)/参数实验室!$E$59</f>
        <v>-4.1615020516091741E-2</v>
      </c>
      <c r="H1070" s="856">
        <f>INDEX(神经网络!$G$10:$BO$70,MATCH(ROUND(G1070*2,1)/2,神经网络!$E$10:$E$70,0),MATCH(ROUND(E1070*2,1)/2,神经网络!$G$8:$BO$8,0))</f>
        <v>0.14419021982033148</v>
      </c>
      <c r="I1070">
        <f t="shared" si="110"/>
        <v>68.539737569444711</v>
      </c>
      <c r="J1070">
        <f t="shared" si="111"/>
        <v>39.495471050636418</v>
      </c>
      <c r="K1070">
        <f t="shared" si="112"/>
        <v>1.73538220322961</v>
      </c>
      <c r="L1070" s="4">
        <f>MIN(MAX(L1069*(1+MAX(MIN(((B1070-B1069)/B1069)/($K$7*卓尔金历!$N$40),0),-卓尔金历!$M$43))+MIN(MAX(((B1070-B1069)/B1069)/($K$7*卓尔金历!$N$40),0),卓尔金历!$M$43),0),1)</f>
        <v>1</v>
      </c>
      <c r="M1070" s="4">
        <f>MIN(MAX(M1069*(1+MAX(MIN(((B1070-B1069)/B1069)/($K$7*30),0),-卓尔金历!$M$43))+MIN(MAX(((B1070-B1069)/B1069)/($K$7*7),0),卓尔金历!$M$43),0),1)</f>
        <v>1</v>
      </c>
      <c r="N1070">
        <f t="shared" si="113"/>
        <v>110.24473353166655</v>
      </c>
      <c r="O1070">
        <f t="shared" si="114"/>
        <v>153.32552320585157</v>
      </c>
      <c r="P1070">
        <f t="shared" si="115"/>
        <v>1.725162125774661E-2</v>
      </c>
      <c r="Q1070">
        <f t="shared" si="116"/>
        <v>7.0119201262822978E-2</v>
      </c>
      <c r="R1070">
        <f t="shared" si="117"/>
        <v>1</v>
      </c>
      <c r="S1070">
        <f t="shared" si="109"/>
        <v>5.6932135895946061</v>
      </c>
      <c r="T1070" s="564">
        <f>IF((I1070-MAX(I$470:I1070))/MAX(I$470:I1070)&gt;T1069,T1069,(I1070-MAX(I$470:I1070))/MAX(I$470:I1070))</f>
        <v>-0.91338805338419748</v>
      </c>
      <c r="U1070" s="564">
        <f>IF((J1070-MAX(J$470:J1070))/MAX(J$470:J1070)&gt;U1069,U1069,(J1070-MAX(J$470:J1070))/MAX(J$470:J1070))</f>
        <v>-0.70517826086956548</v>
      </c>
      <c r="V1070" s="564">
        <f>IF((K1070-MAX(K$470:K1070))/MAX(K$470:K1070)&gt;V1069,V1069,(K1070-MAX(K$470:K1070))/MAX(K$470:K1070))</f>
        <v>-0.80725522782524772</v>
      </c>
      <c r="W1070" s="564">
        <f>IF((N1070-MAX(N$470:N1070))/MAX(N$470:N1070)&gt;W1069,W1069,(N1070-MAX(N$470:N1070))/MAX(N$470:N1070))</f>
        <v>-0.62788758315546067</v>
      </c>
      <c r="X1070" s="564">
        <f>IF((O1070-MAX(O$470:O1070))/MAX(O$470:O1070)&gt;X1069,X1069,(O1070-MAX(O$470:O1070))/MAX(O$470:O1070))</f>
        <v>-0.62788758315546067</v>
      </c>
    </row>
    <row r="1071" spans="1:24">
      <c r="A1071" s="799">
        <v>41473</v>
      </c>
      <c r="B1071">
        <v>97.8</v>
      </c>
      <c r="C1071">
        <v>129.971678</v>
      </c>
      <c r="D1071">
        <v>1.7072560000000001</v>
      </c>
      <c r="E1071">
        <f>LN(D1071/参数实验室!$E$53)/参数实验室!$E$55</f>
        <v>-6.1933144749232338E-2</v>
      </c>
      <c r="F1071">
        <f t="shared" si="108"/>
        <v>1.328953762781186</v>
      </c>
      <c r="G1071">
        <f>LN(F1071/参数实验室!$E$58)/参数实验室!$E$59</f>
        <v>-4.1265739857538182E-2</v>
      </c>
      <c r="H1071" s="856">
        <f>INDEX(神经网络!$G$10:$BO$70,MATCH(ROUND(G1071*2,1)/2,神经网络!$E$10:$E$70,0),MATCH(ROUND(E1071*2,1)/2,神经网络!$G$8:$BO$8,0))</f>
        <v>9.8821301391201308E-2</v>
      </c>
      <c r="I1071">
        <f t="shared" si="110"/>
        <v>68.421958719142054</v>
      </c>
      <c r="J1071">
        <f t="shared" si="111"/>
        <v>39.024779537927429</v>
      </c>
      <c r="K1071">
        <f t="shared" si="112"/>
        <v>1.7532952019022703</v>
      </c>
      <c r="L1071" s="4">
        <f>MIN(MAX(L1070*(1+MAX(MIN(((B1071-B1070)/B1070)/($K$7*卓尔金历!$N$40),0),-卓尔金历!$M$43))+MIN(MAX(((B1071-B1070)/B1070)/($K$7*卓尔金历!$N$40),0),卓尔金历!$M$43),0),1)</f>
        <v>0.81791039747017602</v>
      </c>
      <c r="M1071" s="4">
        <f>MIN(MAX(M1070*(1+MAX(MIN(((B1071-B1070)/B1070)/($K$7*30),0),-卓尔金历!$M$43))+MIN(MAX(((B1071-B1070)/B1070)/($K$7*7),0),卓尔金历!$M$43),0),1)</f>
        <v>0.90895519873508801</v>
      </c>
      <c r="N1071">
        <f t="shared" si="113"/>
        <v>110.05528871574313</v>
      </c>
      <c r="O1071">
        <f t="shared" si="114"/>
        <v>153.06204825707542</v>
      </c>
      <c r="P1071">
        <f t="shared" si="115"/>
        <v>-1.1917607264527313E-2</v>
      </c>
      <c r="Q1071">
        <f t="shared" si="116"/>
        <v>7.016486213653024E-2</v>
      </c>
      <c r="R1071">
        <f t="shared" si="117"/>
        <v>1</v>
      </c>
      <c r="S1071">
        <f t="shared" si="109"/>
        <v>5.6834303576347445</v>
      </c>
      <c r="T1071" s="564">
        <f>IF((I1071-MAX(I$470:I1071))/MAX(I$470:I1071)&gt;T1070,T1070,(I1071-MAX(I$470:I1071))/MAX(I$470:I1071))</f>
        <v>-0.91338805338419748</v>
      </c>
      <c r="U1071" s="564">
        <f>IF((J1071-MAX(J$470:J1071))/MAX(J$470:J1071)&gt;U1070,U1070,(J1071-MAX(J$470:J1071))/MAX(J$470:J1071))</f>
        <v>-0.70517826086956548</v>
      </c>
      <c r="V1071" s="564">
        <f>IF((K1071-MAX(K$470:K1071))/MAX(K$470:K1071)&gt;V1070,V1070,(K1071-MAX(K$470:K1071))/MAX(K$470:K1071))</f>
        <v>-0.80725522782524772</v>
      </c>
      <c r="W1071" s="564">
        <f>IF((N1071-MAX(N$470:N1071))/MAX(N$470:N1071)&gt;W1070,W1070,(N1071-MAX(N$470:N1071))/MAX(N$470:N1071))</f>
        <v>-0.62788758315546067</v>
      </c>
      <c r="X1071" s="564">
        <f>IF((O1071-MAX(O$470:O1071))/MAX(O$470:O1071)&gt;X1070,X1070,(O1071-MAX(O$470:O1071))/MAX(O$470:O1071))</f>
        <v>-0.62788758315546067</v>
      </c>
    </row>
    <row r="1072" spans="1:24">
      <c r="A1072" s="799">
        <v>41474</v>
      </c>
      <c r="B1072">
        <v>88.786900000000003</v>
      </c>
      <c r="C1072">
        <v>127.46706500000001</v>
      </c>
      <c r="D1072">
        <v>1.7344740000000001</v>
      </c>
      <c r="E1072">
        <f>LN(D1072/参数实验室!$E$53)/参数实验室!$E$55</f>
        <v>-4.3273230567467701E-2</v>
      </c>
      <c r="F1072">
        <f t="shared" si="108"/>
        <v>1.4356517121332089</v>
      </c>
      <c r="G1072">
        <f>LN(F1072/参数实验室!$E$58)/参数实验室!$E$59</f>
        <v>-7.3288245544421492E-4</v>
      </c>
      <c r="H1072" s="856">
        <f>INDEX(神经网络!$G$10:$BO$70,MATCH(ROUND(G1072*2,1)/2,神经网络!$E$10:$E$70,0),MATCH(ROUND(E1072*2,1)/2,神经网络!$G$8:$BO$8,0))</f>
        <v>0.18748659045098026</v>
      </c>
      <c r="I1072">
        <f t="shared" si="110"/>
        <v>67.798824779418098</v>
      </c>
      <c r="J1072">
        <f t="shared" si="111"/>
        <v>35.428314911615637</v>
      </c>
      <c r="K1072">
        <f t="shared" si="112"/>
        <v>1.9136903617504362</v>
      </c>
      <c r="L1072" s="4">
        <f>MIN(MAX(L1071*(1+MAX(MIN(((B1072-B1071)/B1071)/($K$7*卓尔金历!$N$40),0),-卓尔金历!$M$43))+MIN(MAX(((B1072-B1071)/B1071)/($K$7*卓尔金历!$N$40),0),卓尔金历!$M$43),0),1)</f>
        <v>0</v>
      </c>
      <c r="M1072" s="4">
        <f>MIN(MAX(M1071*(1+MAX(MIN(((B1072-B1071)/B1071)/($K$7*30),0),-卓尔金历!$M$43))+MIN(MAX(((B1072-B1071)/B1071)/($K$7*7),0),卓尔金历!$M$43),0),1)</f>
        <v>0.26900836378516579</v>
      </c>
      <c r="N1072">
        <f t="shared" si="113"/>
        <v>109.23549884069374</v>
      </c>
      <c r="O1072">
        <f t="shared" si="114"/>
        <v>151.79499198723761</v>
      </c>
      <c r="P1072">
        <f t="shared" si="115"/>
        <v>-9.2158486707566406E-2</v>
      </c>
      <c r="Q1072">
        <f t="shared" si="116"/>
        <v>7.2509026496796261E-2</v>
      </c>
      <c r="R1072">
        <f t="shared" si="117"/>
        <v>5.3339418075683848E-2</v>
      </c>
      <c r="S1072">
        <f t="shared" si="109"/>
        <v>5.6316700979725365</v>
      </c>
      <c r="T1072" s="564">
        <f>IF((I1072-MAX(I$470:I1072))/MAX(I$470:I1072)&gt;T1071,T1071,(I1072-MAX(I$470:I1072))/MAX(I$470:I1072))</f>
        <v>-0.91338805338419748</v>
      </c>
      <c r="U1072" s="564">
        <f>IF((J1072-MAX(J$470:J1072))/MAX(J$470:J1072)&gt;U1071,U1071,(J1072-MAX(J$470:J1072))/MAX(J$470:J1072))</f>
        <v>-0.70517826086956548</v>
      </c>
      <c r="V1072" s="564">
        <f>IF((K1072-MAX(K$470:K1072))/MAX(K$470:K1072)&gt;V1071,V1071,(K1072-MAX(K$470:K1072))/MAX(K$470:K1072))</f>
        <v>-0.80725522782524772</v>
      </c>
      <c r="W1072" s="564">
        <f>IF((N1072-MAX(N$470:N1072))/MAX(N$470:N1072)&gt;W1071,W1071,(N1072-MAX(N$470:N1072))/MAX(N$470:N1072))</f>
        <v>-0.62788758315546067</v>
      </c>
      <c r="X1072" s="564">
        <f>IF((O1072-MAX(O$470:O1072))/MAX(O$470:O1072)&gt;X1071,X1071,(O1072-MAX(O$470:O1072))/MAX(O$470:O1072))</f>
        <v>-0.62788758315546067</v>
      </c>
    </row>
    <row r="1073" spans="1:24">
      <c r="A1073" s="799">
        <v>41475</v>
      </c>
      <c r="B1073">
        <v>91.572000000000003</v>
      </c>
      <c r="C1073">
        <v>125.261554</v>
      </c>
      <c r="D1073">
        <v>1.709039</v>
      </c>
      <c r="E1073">
        <f>LN(D1073/参数实验室!$E$53)/参数实验室!$E$55</f>
        <v>-6.0701693586499898E-2</v>
      </c>
      <c r="F1073">
        <f t="shared" si="108"/>
        <v>1.367902350063338</v>
      </c>
      <c r="G1073">
        <f>LN(F1073/参数实验室!$E$58)/参数实验室!$E$59</f>
        <v>-2.6104571370425416E-2</v>
      </c>
      <c r="H1073" s="856">
        <f>INDEX(神经网络!$G$10:$BO$70,MATCH(ROUND(G1073*2,1)/2,神经网络!$E$10:$E$70,0),MATCH(ROUND(E1073*2,1)/2,神经网络!$G$8:$BO$8,0))</f>
        <v>9.8821301391201308E-2</v>
      </c>
      <c r="I1073">
        <f t="shared" si="110"/>
        <v>68.197559705000202</v>
      </c>
      <c r="J1073">
        <f t="shared" si="111"/>
        <v>36.53964327042015</v>
      </c>
      <c r="K1073">
        <f t="shared" si="112"/>
        <v>1.8663991654294012</v>
      </c>
      <c r="L1073" s="4">
        <f>MIN(MAX(L1072*(1+MAX(MIN(((B1073-B1072)/B1072)/($K$7*卓尔金历!$N$40),0),-卓尔金历!$M$43))+MIN(MAX(((B1073-B1072)/B1072)/($K$7*卓尔金历!$N$40),0),卓尔金历!$M$43),0),1)</f>
        <v>0.4792785347778345</v>
      </c>
      <c r="M1073" s="4">
        <f>MIN(MAX(M1072*(1+MAX(MIN(((B1073-B1072)/B1072)/($K$7*30),0),-卓尔金历!$M$43))+MIN(MAX(((B1073-B1072)/B1072)/($K$7*7),0),卓尔金历!$M$43),0),1)</f>
        <v>1</v>
      </c>
      <c r="N1073">
        <f t="shared" si="113"/>
        <v>109.23549884069374</v>
      </c>
      <c r="O1073">
        <f t="shared" si="114"/>
        <v>152.03514350637417</v>
      </c>
      <c r="P1073">
        <f t="shared" si="115"/>
        <v>3.1368366279259666E-2</v>
      </c>
      <c r="Q1073">
        <f t="shared" si="116"/>
        <v>7.1537226748077803E-2</v>
      </c>
      <c r="R1073">
        <f t="shared" si="117"/>
        <v>0.95670480126695356</v>
      </c>
      <c r="S1073">
        <f t="shared" si="109"/>
        <v>5.6334367360670168</v>
      </c>
      <c r="T1073" s="564">
        <f>IF((I1073-MAX(I$470:I1073))/MAX(I$470:I1073)&gt;T1072,T1072,(I1073-MAX(I$470:I1073))/MAX(I$470:I1073))</f>
        <v>-0.91338805338419748</v>
      </c>
      <c r="U1073" s="564">
        <f>IF((J1073-MAX(J$470:J1073))/MAX(J$470:J1073)&gt;U1072,U1072,(J1073-MAX(J$470:J1073))/MAX(J$470:J1073))</f>
        <v>-0.70517826086956548</v>
      </c>
      <c r="V1073" s="564">
        <f>IF((K1073-MAX(K$470:K1073))/MAX(K$470:K1073)&gt;V1072,V1072,(K1073-MAX(K$470:K1073))/MAX(K$470:K1073))</f>
        <v>-0.80725522782524772</v>
      </c>
      <c r="W1073" s="564">
        <f>IF((N1073-MAX(N$470:N1073))/MAX(N$470:N1073)&gt;W1072,W1072,(N1073-MAX(N$470:N1073))/MAX(N$470:N1073))</f>
        <v>-0.62788758315546067</v>
      </c>
      <c r="X1073" s="564">
        <f>IF((O1073-MAX(O$470:O1073))/MAX(O$470:O1073)&gt;X1072,X1072,(O1073-MAX(O$470:O1073))/MAX(O$470:O1073))</f>
        <v>-0.62788758315546067</v>
      </c>
    </row>
    <row r="1074" spans="1:24">
      <c r="A1074" s="799">
        <v>41476</v>
      </c>
      <c r="B1074">
        <v>89.28</v>
      </c>
      <c r="C1074">
        <v>123.191672</v>
      </c>
      <c r="D1074">
        <v>1.7242500000000001</v>
      </c>
      <c r="E1074">
        <f>LN(D1074/参数实验室!$E$53)/参数实验室!$E$55</f>
        <v>-5.0247960148882609E-2</v>
      </c>
      <c r="F1074">
        <f t="shared" si="108"/>
        <v>1.3798350358422939</v>
      </c>
      <c r="G1074">
        <f>LN(F1074/参数实验室!$E$58)/参数实验室!$E$59</f>
        <v>-2.1545942310797636E-2</v>
      </c>
      <c r="H1074" s="856">
        <f>INDEX(神经网络!$G$10:$BO$70,MATCH(ROUND(G1074*2,1)/2,神经网络!$E$10:$E$70,0),MATCH(ROUND(E1074*2,1)/2,神经网络!$G$8:$BO$8,0))</f>
        <v>0.18748659045098026</v>
      </c>
      <c r="I1074">
        <f t="shared" si="110"/>
        <v>68.028876704615627</v>
      </c>
      <c r="J1074">
        <f t="shared" si="111"/>
        <v>35.625074817445409</v>
      </c>
      <c r="K1074">
        <f t="shared" si="112"/>
        <v>1.9095784936092892</v>
      </c>
      <c r="L1074" s="4">
        <f>MIN(MAX(L1073*(1+MAX(MIN(((B1074-B1073)/B1073)/($K$7*卓尔金历!$N$40),0),-卓尔金历!$M$43))+MIN(MAX(((B1074-B1073)/B1073)/($K$7*卓尔金历!$N$40),0),卓尔金历!$M$43),0),1)</f>
        <v>0.29598971657569212</v>
      </c>
      <c r="M1074" s="4">
        <f>MIN(MAX(M1073*(1+MAX(MIN(((B1074-B1073)/B1073)/($K$7*30),0),-卓尔金历!$M$43))+MIN(MAX(((B1074-B1073)/B1073)/($K$7*7),0),卓尔金历!$M$43),0),1)</f>
        <v>0.80878674413501073</v>
      </c>
      <c r="N1074">
        <f t="shared" si="113"/>
        <v>109.10600346565737</v>
      </c>
      <c r="O1074">
        <f t="shared" si="114"/>
        <v>151.65909274617852</v>
      </c>
      <c r="P1074">
        <f t="shared" si="115"/>
        <v>-2.5029484995413461E-2</v>
      </c>
      <c r="Q1074">
        <f t="shared" si="116"/>
        <v>7.1601577647732118E-2</v>
      </c>
      <c r="R1074">
        <f t="shared" si="117"/>
        <v>1</v>
      </c>
      <c r="S1074">
        <f t="shared" si="109"/>
        <v>5.6201060083614554</v>
      </c>
      <c r="T1074" s="564">
        <f>IF((I1074-MAX(I$470:I1074))/MAX(I$470:I1074)&gt;T1073,T1073,(I1074-MAX(I$470:I1074))/MAX(I$470:I1074))</f>
        <v>-0.91338805338419748</v>
      </c>
      <c r="U1074" s="564">
        <f>IF((J1074-MAX(J$470:J1074))/MAX(J$470:J1074)&gt;U1073,U1073,(J1074-MAX(J$470:J1074))/MAX(J$470:J1074))</f>
        <v>-0.70517826086956548</v>
      </c>
      <c r="V1074" s="564">
        <f>IF((K1074-MAX(K$470:K1074))/MAX(K$470:K1074)&gt;V1073,V1073,(K1074-MAX(K$470:K1074))/MAX(K$470:K1074))</f>
        <v>-0.80725522782524772</v>
      </c>
      <c r="W1074" s="564">
        <f>IF((N1074-MAX(N$470:N1074))/MAX(N$470:N1074)&gt;W1073,W1073,(N1074-MAX(N$470:N1074))/MAX(N$470:N1074))</f>
        <v>-0.62788758315546067</v>
      </c>
      <c r="X1074" s="564">
        <f>IF((O1074-MAX(O$470:O1074))/MAX(O$470:O1074)&gt;X1073,X1073,(O1074-MAX(O$470:O1074))/MAX(O$470:O1074))</f>
        <v>-0.62788758315546067</v>
      </c>
    </row>
    <row r="1075" spans="1:24">
      <c r="A1075" s="799">
        <v>41477</v>
      </c>
      <c r="B1075">
        <v>90.367199999999997</v>
      </c>
      <c r="C1075">
        <v>124.130453</v>
      </c>
      <c r="D1075">
        <v>1.7244950000000001</v>
      </c>
      <c r="E1075">
        <f>LN(D1075/参数实验室!$E$53)/参数实验室!$E$55</f>
        <v>-5.0080340017351066E-2</v>
      </c>
      <c r="F1075">
        <f t="shared" si="108"/>
        <v>1.3736228742287024</v>
      </c>
      <c r="G1075">
        <f>LN(F1075/参数实验室!$E$58)/参数实验室!$E$59</f>
        <v>-2.391422523195201E-2</v>
      </c>
      <c r="H1075" s="856">
        <f>INDEX(神经网络!$G$10:$BO$70,MATCH(ROUND(G1075*2,1)/2,神经网络!$E$10:$E$70,0),MATCH(ROUND(E1075*2,1)/2,神经网络!$G$8:$BO$8,0))</f>
        <v>0.18748659045098026</v>
      </c>
      <c r="I1075">
        <f t="shared" si="110"/>
        <v>68.184193625904285</v>
      </c>
      <c r="J1075">
        <f t="shared" si="111"/>
        <v>36.058896293044945</v>
      </c>
      <c r="K1075">
        <f t="shared" si="112"/>
        <v>1.8909118313489723</v>
      </c>
      <c r="L1075" s="4">
        <f>MIN(MAX(L1074*(1+MAX(MIN(((B1075-B1074)/B1074)/($K$7*卓尔金历!$N$40),0),-卓尔金历!$M$43))+MIN(MAX(((B1075-B1074)/B1074)/($K$7*卓尔金历!$N$40),0),卓尔金历!$M$43),0),1)</f>
        <v>0.48204899852246175</v>
      </c>
      <c r="M1075" s="4">
        <f>MIN(MAX(M1074*(1+MAX(MIN(((B1075-B1074)/B1074)/($K$7*30),0),-卓尔金历!$M$43))+MIN(MAX(((B1075-B1074)/B1074)/($K$7*7),0),卓尔金历!$M$43),0),1)</f>
        <v>1</v>
      </c>
      <c r="N1075">
        <f t="shared" si="113"/>
        <v>109.17973457090979</v>
      </c>
      <c r="O1075">
        <f t="shared" si="114"/>
        <v>151.93913782909434</v>
      </c>
      <c r="P1075">
        <f t="shared" si="115"/>
        <v>1.2177419354838662E-2</v>
      </c>
      <c r="Q1075">
        <f t="shared" si="116"/>
        <v>7.1481952664523896E-2</v>
      </c>
      <c r="R1075">
        <f t="shared" si="117"/>
        <v>1</v>
      </c>
      <c r="S1075">
        <f t="shared" si="109"/>
        <v>5.632937288324003</v>
      </c>
      <c r="T1075" s="564">
        <f>IF((I1075-MAX(I$470:I1075))/MAX(I$470:I1075)&gt;T1074,T1074,(I1075-MAX(I$470:I1075))/MAX(I$470:I1075))</f>
        <v>-0.91338805338419748</v>
      </c>
      <c r="U1075" s="564">
        <f>IF((J1075-MAX(J$470:J1075))/MAX(J$470:J1075)&gt;U1074,U1074,(J1075-MAX(J$470:J1075))/MAX(J$470:J1075))</f>
        <v>-0.70517826086956548</v>
      </c>
      <c r="V1075" s="564">
        <f>IF((K1075-MAX(K$470:K1075))/MAX(K$470:K1075)&gt;V1074,V1074,(K1075-MAX(K$470:K1075))/MAX(K$470:K1075))</f>
        <v>-0.80725522782524772</v>
      </c>
      <c r="W1075" s="564">
        <f>IF((N1075-MAX(N$470:N1075))/MAX(N$470:N1075)&gt;W1074,W1074,(N1075-MAX(N$470:N1075))/MAX(N$470:N1075))</f>
        <v>-0.62788758315546067</v>
      </c>
      <c r="X1075" s="564">
        <f>IF((O1075-MAX(O$470:O1075))/MAX(O$470:O1075)&gt;X1074,X1074,(O1075-MAX(O$470:O1075))/MAX(O$470:O1075))</f>
        <v>-0.62788758315546067</v>
      </c>
    </row>
    <row r="1076" spans="1:24">
      <c r="A1076" s="799">
        <v>41478</v>
      </c>
      <c r="B1076">
        <v>91.702399999999997</v>
      </c>
      <c r="C1076">
        <v>126.01132200000001</v>
      </c>
      <c r="D1076">
        <v>1.7504919999999999</v>
      </c>
      <c r="E1076">
        <f>LN(D1076/参数实验室!$E$53)/参数实验室!$E$55</f>
        <v>-3.242812014802024E-2</v>
      </c>
      <c r="F1076">
        <f t="shared" si="108"/>
        <v>1.3741333051261473</v>
      </c>
      <c r="G1076">
        <f>LN(F1076/参数实验室!$E$58)/参数实验室!$E$59</f>
        <v>-2.371922851038543E-2</v>
      </c>
      <c r="H1076" s="856">
        <f>INDEX(神经网络!$G$10:$BO$70,MATCH(ROUND(G1076*2,1)/2,神经网络!$E$10:$E$70,0),MATCH(ROUND(E1076*2,1)/2,神经网络!$G$8:$BO$8,0))</f>
        <v>0.18748659045098026</v>
      </c>
      <c r="I1076">
        <f t="shared" si="110"/>
        <v>68.373075123561989</v>
      </c>
      <c r="J1076">
        <f t="shared" si="111"/>
        <v>36.591676309804058</v>
      </c>
      <c r="K1076">
        <f t="shared" si="112"/>
        <v>1.868541756455216</v>
      </c>
      <c r="L1076" s="4">
        <f>MIN(MAX(L1075*(1+MAX(MIN(((B1076-B1075)/B1075)/($K$7*卓尔金历!$N$40),0),-卓尔金历!$M$43))+MIN(MAX(((B1076-B1075)/B1075)/($K$7*卓尔金历!$N$40),0),卓尔金历!$M$43),0),1)</f>
        <v>0.7078009826982582</v>
      </c>
      <c r="M1076" s="4">
        <f>MIN(MAX(M1075*(1+MAX(MIN(((B1076-B1075)/B1075)/($K$7*30),0),-卓尔金历!$M$43))+MIN(MAX(((B1076-B1075)/B1075)/($K$7*7),0),卓尔金历!$M$43),0),1)</f>
        <v>1</v>
      </c>
      <c r="N1076">
        <f t="shared" si="113"/>
        <v>109.32552832805835</v>
      </c>
      <c r="O1076">
        <f t="shared" si="114"/>
        <v>152.36003437974409</v>
      </c>
      <c r="P1076">
        <f t="shared" si="115"/>
        <v>1.4775272443984105E-2</v>
      </c>
      <c r="Q1076">
        <f t="shared" si="116"/>
        <v>6.9184731961596663E-2</v>
      </c>
      <c r="R1076">
        <f t="shared" si="117"/>
        <v>1</v>
      </c>
      <c r="S1076">
        <f t="shared" si="109"/>
        <v>5.6485414566018886</v>
      </c>
      <c r="T1076" s="564">
        <f>IF((I1076-MAX(I$470:I1076))/MAX(I$470:I1076)&gt;T1075,T1075,(I1076-MAX(I$470:I1076))/MAX(I$470:I1076))</f>
        <v>-0.91338805338419748</v>
      </c>
      <c r="U1076" s="564">
        <f>IF((J1076-MAX(J$470:J1076))/MAX(J$470:J1076)&gt;U1075,U1075,(J1076-MAX(J$470:J1076))/MAX(J$470:J1076))</f>
        <v>-0.70517826086956548</v>
      </c>
      <c r="V1076" s="564">
        <f>IF((K1076-MAX(K$470:K1076))/MAX(K$470:K1076)&gt;V1075,V1075,(K1076-MAX(K$470:K1076))/MAX(K$470:K1076))</f>
        <v>-0.80725522782524772</v>
      </c>
      <c r="W1076" s="564">
        <f>IF((N1076-MAX(N$470:N1076))/MAX(N$470:N1076)&gt;W1075,W1075,(N1076-MAX(N$470:N1076))/MAX(N$470:N1076))</f>
        <v>-0.62788758315546067</v>
      </c>
      <c r="X1076" s="564">
        <f>IF((O1076-MAX(O$470:O1076))/MAX(O$470:O1076)&gt;X1075,X1075,(O1076-MAX(O$470:O1076))/MAX(O$470:O1076))</f>
        <v>-0.62788758315546067</v>
      </c>
    </row>
    <row r="1077" spans="1:24">
      <c r="A1077" s="799">
        <v>41479</v>
      </c>
      <c r="B1077">
        <v>94.580600000000004</v>
      </c>
      <c r="C1077">
        <v>125.492317</v>
      </c>
      <c r="D1077">
        <v>1.7728729999999999</v>
      </c>
      <c r="E1077">
        <f>LN(D1077/参数实验室!$E$53)/参数实验室!$E$55</f>
        <v>-1.7439941235732944E-2</v>
      </c>
      <c r="F1077">
        <f t="shared" si="108"/>
        <v>1.3268293603550834</v>
      </c>
      <c r="G1077">
        <f>LN(F1077/参数实验室!$E$58)/参数实验室!$E$59</f>
        <v>-4.210541794011631E-2</v>
      </c>
      <c r="H1077" s="856">
        <f>INDEX(神经网络!$G$10:$BO$70,MATCH(ROUND(G1077*2,1)/2,神经网络!$E$10:$E$70,0),MATCH(ROUND(E1077*2,1)/2,神经网络!$G$8:$BO$8,0))</f>
        <v>0.14419021982033148</v>
      </c>
      <c r="I1077">
        <f t="shared" si="110"/>
        <v>68.775417328020637</v>
      </c>
      <c r="J1077">
        <f t="shared" si="111"/>
        <v>37.740154024180981</v>
      </c>
      <c r="K1077">
        <f t="shared" si="112"/>
        <v>1.8223406635795565</v>
      </c>
      <c r="L1077" s="4">
        <f>MIN(MAX(L1076*(1+MAX(MIN(((B1077-B1076)/B1076)/($K$7*卓尔金历!$N$40),0),-卓尔金历!$M$43))+MIN(MAX(((B1077-B1076)/B1076)/($K$7*卓尔金历!$N$40),0),卓尔金历!$M$43),0),1)</f>
        <v>1</v>
      </c>
      <c r="M1077" s="4">
        <f>MIN(MAX(M1076*(1+MAX(MIN(((B1077-B1076)/B1076)/($K$7*30),0),-卓尔金历!$M$43))+MIN(MAX(((B1077-B1076)/B1076)/($K$7*7),0),卓尔金历!$M$43),0),1)</f>
        <v>1</v>
      </c>
      <c r="N1077">
        <f t="shared" si="113"/>
        <v>109.78087610869434</v>
      </c>
      <c r="O1077">
        <f t="shared" si="114"/>
        <v>153.25659888255399</v>
      </c>
      <c r="P1077">
        <f t="shared" si="115"/>
        <v>3.1386310500052417E-2</v>
      </c>
      <c r="Q1077">
        <f t="shared" si="116"/>
        <v>6.9403909530968325E-2</v>
      </c>
      <c r="R1077">
        <f t="shared" si="117"/>
        <v>0.91765912738513744</v>
      </c>
      <c r="S1077">
        <f t="shared" si="109"/>
        <v>5.6817803685203323</v>
      </c>
      <c r="T1077" s="564">
        <f>IF((I1077-MAX(I$470:I1077))/MAX(I$470:I1077)&gt;T1076,T1076,(I1077-MAX(I$470:I1077))/MAX(I$470:I1077))</f>
        <v>-0.91338805338419748</v>
      </c>
      <c r="U1077" s="564">
        <f>IF((J1077-MAX(J$470:J1077))/MAX(J$470:J1077)&gt;U1076,U1076,(J1077-MAX(J$470:J1077))/MAX(J$470:J1077))</f>
        <v>-0.70517826086956548</v>
      </c>
      <c r="V1077" s="564">
        <f>IF((K1077-MAX(K$470:K1077))/MAX(K$470:K1077)&gt;V1076,V1076,(K1077-MAX(K$470:K1077))/MAX(K$470:K1077))</f>
        <v>-0.80725522782524772</v>
      </c>
      <c r="W1077" s="564">
        <f>IF((N1077-MAX(N$470:N1077))/MAX(N$470:N1077)&gt;W1076,W1076,(N1077-MAX(N$470:N1077))/MAX(N$470:N1077))</f>
        <v>-0.62788758315546067</v>
      </c>
      <c r="X1077" s="564">
        <f>IF((O1077-MAX(O$470:O1077))/MAX(O$470:O1077)&gt;X1076,X1076,(O1077-MAX(O$470:O1077))/MAX(O$470:O1077))</f>
        <v>-0.62788758315546067</v>
      </c>
    </row>
    <row r="1078" spans="1:24">
      <c r="A1078" s="799">
        <v>41480</v>
      </c>
      <c r="B1078">
        <v>94.525000000000006</v>
      </c>
      <c r="C1078">
        <v>126.43535</v>
      </c>
      <c r="D1078">
        <v>1.811436</v>
      </c>
      <c r="E1078">
        <f>LN(D1078/参数实验室!$E$53)/参数实验室!$E$55</f>
        <v>7.946586460715133E-3</v>
      </c>
      <c r="F1078">
        <f t="shared" si="108"/>
        <v>1.3375863528167151</v>
      </c>
      <c r="G1078">
        <f>LN(F1078/参数实验室!$E$58)/参数实验室!$E$59</f>
        <v>-3.7867429376717901E-2</v>
      </c>
      <c r="H1078" s="856">
        <f>INDEX(神经网络!$G$10:$BO$70,MATCH(ROUND(G1078*2,1)/2,神经网络!$E$10:$E$70,0),MATCH(ROUND(E1078*2,1)/2,神经网络!$G$8:$BO$8,0))</f>
        <v>0.14419021982033148</v>
      </c>
      <c r="I1078">
        <f t="shared" si="110"/>
        <v>68.769587687635848</v>
      </c>
      <c r="J1078">
        <f t="shared" si="111"/>
        <v>37.717968157695204</v>
      </c>
      <c r="K1078">
        <f t="shared" si="112"/>
        <v>1.8232580132661655</v>
      </c>
      <c r="L1078" s="4">
        <f>MIN(MAX(L1077*(1+MAX(MIN(((B1078-B1077)/B1077)/($K$7*卓尔金历!$N$40),0),-卓尔金历!$M$43))+MIN(MAX(((B1078-B1077)/B1077)/($K$7*卓尔金历!$N$40),0),卓尔金历!$M$43),0),1)</f>
        <v>0.99101808780372114</v>
      </c>
      <c r="M1078" s="4">
        <f>MIN(MAX(M1077*(1+MAX(MIN(((B1078-B1077)/B1077)/($K$7*30),0),-卓尔金历!$M$43))+MIN(MAX(((B1078-B1077)/B1077)/($K$7*7),0),卓尔金历!$M$43),0),1)</f>
        <v>0.99550904390186057</v>
      </c>
      <c r="N1078">
        <f t="shared" si="113"/>
        <v>109.77157070490757</v>
      </c>
      <c r="O1078">
        <f t="shared" si="114"/>
        <v>153.24360832731213</v>
      </c>
      <c r="P1078">
        <f t="shared" si="115"/>
        <v>-5.8785839802240965E-4</v>
      </c>
      <c r="Q1078">
        <f t="shared" si="116"/>
        <v>6.2381393831768932E-2</v>
      </c>
      <c r="R1078">
        <f t="shared" si="117"/>
        <v>1</v>
      </c>
      <c r="S1078">
        <f t="shared" si="109"/>
        <v>5.6813384172757608</v>
      </c>
      <c r="T1078" s="564">
        <f>IF((I1078-MAX(I$470:I1078))/MAX(I$470:I1078)&gt;T1077,T1077,(I1078-MAX(I$470:I1078))/MAX(I$470:I1078))</f>
        <v>-0.91338805338419748</v>
      </c>
      <c r="U1078" s="564">
        <f>IF((J1078-MAX(J$470:J1078))/MAX(J$470:J1078)&gt;U1077,U1077,(J1078-MAX(J$470:J1078))/MAX(J$470:J1078))</f>
        <v>-0.70517826086956548</v>
      </c>
      <c r="V1078" s="564">
        <f>IF((K1078-MAX(K$470:K1078))/MAX(K$470:K1078)&gt;V1077,V1077,(K1078-MAX(K$470:K1078))/MAX(K$470:K1078))</f>
        <v>-0.80725522782524772</v>
      </c>
      <c r="W1078" s="564">
        <f>IF((N1078-MAX(N$470:N1078))/MAX(N$470:N1078)&gt;W1077,W1077,(N1078-MAX(N$470:N1078))/MAX(N$470:N1078))</f>
        <v>-0.62788758315546067</v>
      </c>
      <c r="X1078" s="564">
        <f>IF((O1078-MAX(O$470:O1078))/MAX(O$470:O1078)&gt;X1077,X1077,(O1078-MAX(O$470:O1078))/MAX(O$470:O1078))</f>
        <v>-0.62788758315546067</v>
      </c>
    </row>
    <row r="1079" spans="1:24">
      <c r="A1079" s="799">
        <v>41481</v>
      </c>
      <c r="B1079">
        <v>96.9499</v>
      </c>
      <c r="C1079">
        <v>127.32882600000001</v>
      </c>
      <c r="D1079">
        <v>1.806616</v>
      </c>
      <c r="E1079">
        <f>LN(D1079/参数实验室!$E$53)/参数实验室!$E$55</f>
        <v>4.8032297593787882E-3</v>
      </c>
      <c r="F1079">
        <f t="shared" si="108"/>
        <v>1.313346646051208</v>
      </c>
      <c r="G1079">
        <f>LN(F1079/参数实验室!$E$58)/参数实验室!$E$59</f>
        <v>-4.7466059513442516E-2</v>
      </c>
      <c r="H1079" s="856">
        <f>INDEX(神经网络!$G$10:$BO$70,MATCH(ROUND(G1079*2,1)/2,神经网络!$E$10:$E$70,0),MATCH(ROUND(E1079*2,1)/2,神经网络!$G$8:$BO$8,0))</f>
        <v>0.14419021982033148</v>
      </c>
      <c r="I1079">
        <f t="shared" si="110"/>
        <v>69.023965584239548</v>
      </c>
      <c r="J1079">
        <f t="shared" si="111"/>
        <v>38.685567215992954</v>
      </c>
      <c r="K1079">
        <f t="shared" si="112"/>
        <v>1.7842304133440348</v>
      </c>
      <c r="L1079" s="4">
        <f>MIN(MAX(L1078*(1+MAX(MIN(((B1079-B1078)/B1078)/($K$7*卓尔金历!$N$40),0),-卓尔金历!$M$43))+MIN(MAX(((B1079-B1078)/B1078)/($K$7*卓尔金历!$N$40),0),卓尔金历!$M$43),0),1)</f>
        <v>1</v>
      </c>
      <c r="M1079" s="4">
        <f>MIN(MAX(M1078*(1+MAX(MIN(((B1079-B1078)/B1078)/($K$7*30),0),-卓尔金历!$M$43))+MIN(MAX(((B1079-B1078)/B1078)/($K$7*7),0),卓尔金历!$M$43),0),1)</f>
        <v>1</v>
      </c>
      <c r="N1079">
        <f t="shared" si="113"/>
        <v>110.17396740548422</v>
      </c>
      <c r="O1079">
        <f t="shared" si="114"/>
        <v>153.80790895155886</v>
      </c>
      <c r="P1079">
        <f t="shared" si="115"/>
        <v>2.5653530811954442E-2</v>
      </c>
      <c r="Q1079">
        <f t="shared" si="116"/>
        <v>6.2368758064521093E-2</v>
      </c>
      <c r="R1079">
        <f t="shared" si="117"/>
        <v>1</v>
      </c>
      <c r="S1079">
        <f t="shared" si="109"/>
        <v>5.7023536213081716</v>
      </c>
      <c r="T1079" s="564">
        <f>IF((I1079-MAX(I$470:I1079))/MAX(I$470:I1079)&gt;T1078,T1078,(I1079-MAX(I$470:I1079))/MAX(I$470:I1079))</f>
        <v>-0.91338805338419748</v>
      </c>
      <c r="U1079" s="564">
        <f>IF((J1079-MAX(J$470:J1079))/MAX(J$470:J1079)&gt;U1078,U1078,(J1079-MAX(J$470:J1079))/MAX(J$470:J1079))</f>
        <v>-0.70517826086956548</v>
      </c>
      <c r="V1079" s="564">
        <f>IF((K1079-MAX(K$470:K1079))/MAX(K$470:K1079)&gt;V1078,V1078,(K1079-MAX(K$470:K1079))/MAX(K$470:K1079))</f>
        <v>-0.80725522782524772</v>
      </c>
      <c r="W1079" s="564">
        <f>IF((N1079-MAX(N$470:N1079))/MAX(N$470:N1079)&gt;W1078,W1078,(N1079-MAX(N$470:N1079))/MAX(N$470:N1079))</f>
        <v>-0.62788758315546067</v>
      </c>
      <c r="X1079" s="564">
        <f>IF((O1079-MAX(O$470:O1079))/MAX(O$470:O1079)&gt;X1078,X1078,(O1079-MAX(O$470:O1079))/MAX(O$470:O1079))</f>
        <v>-0.62788758315546067</v>
      </c>
    </row>
    <row r="1080" spans="1:24">
      <c r="A1080" s="799">
        <v>41482</v>
      </c>
      <c r="B1080">
        <v>94.13</v>
      </c>
      <c r="C1080">
        <v>126.45168</v>
      </c>
      <c r="D1080">
        <v>1.769417</v>
      </c>
      <c r="E1080">
        <f>LN(D1080/参数实验室!$E$53)/参数实验室!$E$55</f>
        <v>-1.9741970998873114E-2</v>
      </c>
      <c r="F1080">
        <f t="shared" si="108"/>
        <v>1.3433727823223203</v>
      </c>
      <c r="G1080">
        <f>LN(F1080/参数实验室!$E$58)/参数实验室!$E$59</f>
        <v>-3.5601795710633599E-2</v>
      </c>
      <c r="H1080" s="856">
        <f>INDEX(神经网络!$G$10:$BO$70,MATCH(ROUND(G1080*2,1)/2,神经网络!$E$10:$E$70,0),MATCH(ROUND(E1080*2,1)/2,神经网络!$G$8:$BO$8,0))</f>
        <v>0.14419021982033148</v>
      </c>
      <c r="I1080">
        <f t="shared" si="110"/>
        <v>68.734483258681422</v>
      </c>
      <c r="J1080">
        <f t="shared" si="111"/>
        <v>37.560352739316045</v>
      </c>
      <c r="K1080">
        <f t="shared" si="112"/>
        <v>1.8299743811174081</v>
      </c>
      <c r="L1080" s="4">
        <f>MIN(MAX(L1079*(1+MAX(MIN(((B1080-B1079)/B1079)/($K$7*卓尔金历!$N$40),0),-卓尔金历!$M$43))+MIN(MAX(((B1080-B1079)/B1079)/($K$7*卓尔金历!$N$40),0),卓尔金历!$M$43),0),1)</f>
        <v>0.55559143491221352</v>
      </c>
      <c r="M1080" s="4">
        <f>MIN(MAX(M1079*(1+MAX(MIN(((B1080-B1079)/B1079)/($K$7*30),0),-卓尔金历!$M$43))+MIN(MAX(((B1080-B1079)/B1079)/($K$7*7),0),卓尔金历!$M$43),0),1)</f>
        <v>0.77779571745610676</v>
      </c>
      <c r="N1080">
        <f t="shared" si="113"/>
        <v>109.71190446791537</v>
      </c>
      <c r="O1080">
        <f t="shared" si="114"/>
        <v>153.16284790941705</v>
      </c>
      <c r="P1080">
        <f t="shared" si="115"/>
        <v>-2.908615687071368E-2</v>
      </c>
      <c r="Q1080">
        <f t="shared" si="116"/>
        <v>5.3861708581368802E-2</v>
      </c>
      <c r="R1080">
        <f t="shared" si="117"/>
        <v>0.71695519089513926</v>
      </c>
      <c r="S1080">
        <f t="shared" si="109"/>
        <v>5.6784382960515192</v>
      </c>
      <c r="T1080" s="564">
        <f>IF((I1080-MAX(I$470:I1080))/MAX(I$470:I1080)&gt;T1079,T1079,(I1080-MAX(I$470:I1080))/MAX(I$470:I1080))</f>
        <v>-0.91338805338419748</v>
      </c>
      <c r="U1080" s="564">
        <f>IF((J1080-MAX(J$470:J1080))/MAX(J$470:J1080)&gt;U1079,U1079,(J1080-MAX(J$470:J1080))/MAX(J$470:J1080))</f>
        <v>-0.70517826086956548</v>
      </c>
      <c r="V1080" s="564">
        <f>IF((K1080-MAX(K$470:K1080))/MAX(K$470:K1080)&gt;V1079,V1079,(K1080-MAX(K$470:K1080))/MAX(K$470:K1080))</f>
        <v>-0.80725522782524772</v>
      </c>
      <c r="W1080" s="564">
        <f>IF((N1080-MAX(N$470:N1080))/MAX(N$470:N1080)&gt;W1079,W1079,(N1080-MAX(N$470:N1080))/MAX(N$470:N1080))</f>
        <v>-0.62788758315546067</v>
      </c>
      <c r="X1080" s="564">
        <f>IF((O1080-MAX(O$470:O1080))/MAX(O$470:O1080)&gt;X1079,X1079,(O1080-MAX(O$470:O1080))/MAX(O$470:O1080))</f>
        <v>-0.62788758315546067</v>
      </c>
    </row>
    <row r="1081" spans="1:24">
      <c r="A1081" s="799">
        <v>41483</v>
      </c>
      <c r="B1081">
        <v>94.004999999999995</v>
      </c>
      <c r="C1081">
        <v>126.67809</v>
      </c>
      <c r="D1081">
        <v>1.858841</v>
      </c>
      <c r="E1081">
        <f>LN(D1081/参数实验室!$E$53)/参数实验室!$E$55</f>
        <v>3.8423475659772895E-2</v>
      </c>
      <c r="F1081">
        <f t="shared" si="108"/>
        <v>1.3475675761927557</v>
      </c>
      <c r="G1081">
        <f>LN(F1081/参数实验室!$E$58)/参数实验室!$E$59</f>
        <v>-3.3965448551027483E-2</v>
      </c>
      <c r="H1081" s="856">
        <f>INDEX(神经网络!$G$10:$BO$70,MATCH(ROUND(G1081*2,1)/2,神经网络!$E$10:$E$70,0),MATCH(ROUND(E1081*2,1)/2,神经网络!$G$8:$BO$8,0))</f>
        <v>0.18761624397632121</v>
      </c>
      <c r="I1081">
        <f t="shared" si="110"/>
        <v>68.721322151369321</v>
      </c>
      <c r="J1081">
        <f t="shared" si="111"/>
        <v>37.510474442360618</v>
      </c>
      <c r="K1081">
        <f t="shared" si="112"/>
        <v>1.8320568633960614</v>
      </c>
      <c r="L1081" s="4">
        <f>MIN(MAX(L1080*(1+MAX(MIN(((B1081-B1080)/B1080)/($K$7*卓尔金历!$N$40),0),-卓尔金历!$M$43))+MIN(MAX(((B1081-B1080)/B1080)/($K$7*卓尔金历!$N$40),0),卓尔金历!$M$43),0),1)</f>
        <v>0.54431858889574269</v>
      </c>
      <c r="M1081" s="4">
        <f>MIN(MAX(M1080*(1+MAX(MIN(((B1081-B1080)/B1080)/($K$7*30),0),-卓尔金历!$M$43))+MIN(MAX(((B1081-B1080)/B1080)/($K$7*7),0),卓尔金历!$M$43),0),1)</f>
        <v>0.76990505283801502</v>
      </c>
      <c r="N1081">
        <f t="shared" si="113"/>
        <v>109.70023295770868</v>
      </c>
      <c r="O1081">
        <f t="shared" si="114"/>
        <v>153.14003730784481</v>
      </c>
      <c r="P1081">
        <f t="shared" si="115"/>
        <v>-1.327950706469776E-3</v>
      </c>
      <c r="Q1081">
        <f t="shared" si="116"/>
        <v>5.3936033804288838E-2</v>
      </c>
      <c r="R1081">
        <f t="shared" si="117"/>
        <v>1</v>
      </c>
      <c r="S1081">
        <f t="shared" si="109"/>
        <v>5.6776587555526898</v>
      </c>
      <c r="T1081" s="564">
        <f>IF((I1081-MAX(I$470:I1081))/MAX(I$470:I1081)&gt;T1080,T1080,(I1081-MAX(I$470:I1081))/MAX(I$470:I1081))</f>
        <v>-0.91338805338419748</v>
      </c>
      <c r="U1081" s="564">
        <f>IF((J1081-MAX(J$470:J1081))/MAX(J$470:J1081)&gt;U1080,U1080,(J1081-MAX(J$470:J1081))/MAX(J$470:J1081))</f>
        <v>-0.70517826086956548</v>
      </c>
      <c r="V1081" s="564">
        <f>IF((K1081-MAX(K$470:K1081))/MAX(K$470:K1081)&gt;V1080,V1080,(K1081-MAX(K$470:K1081))/MAX(K$470:K1081))</f>
        <v>-0.80725522782524772</v>
      </c>
      <c r="W1081" s="564">
        <f>IF((N1081-MAX(N$470:N1081))/MAX(N$470:N1081)&gt;W1080,W1080,(N1081-MAX(N$470:N1081))/MAX(N$470:N1081))</f>
        <v>-0.62788758315546067</v>
      </c>
      <c r="X1081" s="564">
        <f>IF((O1081-MAX(O$470:O1081))/MAX(O$470:O1081)&gt;X1080,X1080,(O1081-MAX(O$470:O1081))/MAX(O$470:O1081))</f>
        <v>-0.62788758315546067</v>
      </c>
    </row>
    <row r="1082" spans="1:24">
      <c r="A1082" s="799">
        <v>41484</v>
      </c>
      <c r="B1082">
        <v>98.575900000000004</v>
      </c>
      <c r="C1082">
        <v>126.173345</v>
      </c>
      <c r="D1082">
        <v>1.869772</v>
      </c>
      <c r="E1082">
        <f>LN(D1082/参数实验室!$E$53)/参数实验室!$E$55</f>
        <v>4.5340750075215319E-2</v>
      </c>
      <c r="F1082">
        <f t="shared" si="108"/>
        <v>1.2799613800127616</v>
      </c>
      <c r="G1082">
        <f>LN(F1082/参数实验室!$E$58)/参数实验室!$E$59</f>
        <v>-6.0980350739848262E-2</v>
      </c>
      <c r="H1082" s="856">
        <f>INDEX(神经网络!$G$10:$BO$70,MATCH(ROUND(G1082*2,1)/2,神经网络!$E$10:$E$70,0),MATCH(ROUND(E1082*2,1)/2,神经网络!$G$8:$BO$8,0))</f>
        <v>0.18761624397632121</v>
      </c>
      <c r="I1082">
        <f t="shared" si="110"/>
        <v>69.348242996013724</v>
      </c>
      <c r="J1082">
        <f t="shared" si="111"/>
        <v>39.334384102789173</v>
      </c>
      <c r="K1082">
        <f t="shared" si="112"/>
        <v>1.7630438248325411</v>
      </c>
      <c r="L1082" s="4">
        <f>MIN(MAX(L1081*(1+MAX(MIN(((B1082-B1081)/B1081)/($K$7*卓尔金历!$N$40),0),-卓尔金历!$M$43))+MIN(MAX(((B1082-B1081)/B1081)/($K$7*卓尔金历!$N$40),0),卓尔金历!$M$43),0),1)</f>
        <v>1</v>
      </c>
      <c r="M1082" s="4">
        <f>MIN(MAX(M1081*(1+MAX(MIN(((B1082-B1081)/B1081)/($K$7*30),0),-卓尔金历!$M$43))+MIN(MAX(((B1082-B1081)/B1081)/($K$7*7),0),卓尔金历!$M$43),0),1)</f>
        <v>1</v>
      </c>
      <c r="N1082">
        <f t="shared" si="113"/>
        <v>110.24496374239801</v>
      </c>
      <c r="O1082">
        <f t="shared" si="114"/>
        <v>154.2156282148334</v>
      </c>
      <c r="P1082">
        <f t="shared" si="115"/>
        <v>4.8624009361204285E-2</v>
      </c>
      <c r="Q1082">
        <f t="shared" si="116"/>
        <v>4.7290636719329641E-2</v>
      </c>
      <c r="R1082">
        <f t="shared" si="117"/>
        <v>5.2436336559893361E-2</v>
      </c>
      <c r="S1082">
        <f t="shared" si="109"/>
        <v>5.7294540719290774</v>
      </c>
      <c r="T1082" s="564">
        <f>IF((I1082-MAX(I$470:I1082))/MAX(I$470:I1082)&gt;T1081,T1081,(I1082-MAX(I$470:I1082))/MAX(I$470:I1082))</f>
        <v>-0.91338805338419748</v>
      </c>
      <c r="U1082" s="564">
        <f>IF((J1082-MAX(J$470:J1082))/MAX(J$470:J1082)&gt;U1081,U1081,(J1082-MAX(J$470:J1082))/MAX(J$470:J1082))</f>
        <v>-0.70517826086956548</v>
      </c>
      <c r="V1082" s="564">
        <f>IF((K1082-MAX(K$470:K1082))/MAX(K$470:K1082)&gt;V1081,V1081,(K1082-MAX(K$470:K1082))/MAX(K$470:K1082))</f>
        <v>-0.80725522782524772</v>
      </c>
      <c r="W1082" s="564">
        <f>IF((N1082-MAX(N$470:N1082))/MAX(N$470:N1082)&gt;W1081,W1081,(N1082-MAX(N$470:N1082))/MAX(N$470:N1082))</f>
        <v>-0.62788758315546067</v>
      </c>
      <c r="X1082" s="564">
        <f>IF((O1082-MAX(O$470:O1082))/MAX(O$470:O1082)&gt;X1081,X1081,(O1082-MAX(O$470:O1082))/MAX(O$470:O1082))</f>
        <v>-0.62788758315546067</v>
      </c>
    </row>
    <row r="1083" spans="1:24">
      <c r="A1083" s="799">
        <v>41485</v>
      </c>
      <c r="B1083">
        <v>101.5</v>
      </c>
      <c r="C1083">
        <v>123.15579200000001</v>
      </c>
      <c r="D1083">
        <v>1.933176</v>
      </c>
      <c r="E1083">
        <f>LN(D1083/参数实验室!$E$53)/参数实验室!$E$55</f>
        <v>8.4682863913864009E-2</v>
      </c>
      <c r="F1083">
        <f t="shared" si="108"/>
        <v>1.2133575566502464</v>
      </c>
      <c r="G1083">
        <f>LN(F1083/参数实验室!$E$58)/参数实验室!$E$59</f>
        <v>-8.9027789006863783E-2</v>
      </c>
      <c r="H1083" s="856">
        <f>INDEX(神经网络!$G$10:$BO$70,MATCH(ROUND(G1083*2,1)/2,神经网络!$E$10:$E$70,0),MATCH(ROUND(E1083*2,1)/2,神经网络!$G$8:$BO$8,0))</f>
        <v>0.14425010747060138</v>
      </c>
      <c r="I1083">
        <f t="shared" si="110"/>
        <v>69.734189729392</v>
      </c>
      <c r="J1083">
        <f t="shared" si="111"/>
        <v>40.501177127808127</v>
      </c>
      <c r="K1083">
        <f t="shared" si="112"/>
        <v>1.7217818017815703</v>
      </c>
      <c r="L1083" s="4">
        <f>MIN(MAX(L1082*(1+MAX(MIN(((B1083-B1082)/B1082)/($K$7*卓尔金历!$N$40),0),-卓尔金历!$M$43))+MIN(MAX(((B1083-B1082)/B1082)/($K$7*卓尔金历!$N$40),0),卓尔金历!$M$43),0),1)</f>
        <v>1</v>
      </c>
      <c r="M1083" s="4">
        <f>MIN(MAX(M1082*(1+MAX(MIN(((B1083-B1082)/B1082)/($K$7*30),0),-卓尔金历!$M$43))+MIN(MAX(((B1083-B1082)/B1082)/($K$7*7),0),卓尔金历!$M$43),0),1)</f>
        <v>1</v>
      </c>
      <c r="N1083">
        <f t="shared" si="113"/>
        <v>110.85851473936026</v>
      </c>
      <c r="O1083">
        <f t="shared" si="114"/>
        <v>155.07389102545449</v>
      </c>
      <c r="P1083">
        <f t="shared" si="115"/>
        <v>2.9663437006408215E-2</v>
      </c>
      <c r="Q1083">
        <f t="shared" si="116"/>
        <v>4.7023989010234295E-2</v>
      </c>
      <c r="R1083">
        <f t="shared" si="117"/>
        <v>0.52982211653389288</v>
      </c>
      <c r="S1083">
        <f t="shared" si="109"/>
        <v>5.7311260766212664</v>
      </c>
      <c r="T1083" s="564">
        <f>IF((I1083-MAX(I$470:I1083))/MAX(I$470:I1083)&gt;T1082,T1082,(I1083-MAX(I$470:I1083))/MAX(I$470:I1083))</f>
        <v>-0.91338805338419748</v>
      </c>
      <c r="U1083" s="564">
        <f>IF((J1083-MAX(J$470:J1083))/MAX(J$470:J1083)&gt;U1082,U1082,(J1083-MAX(J$470:J1083))/MAX(J$470:J1083))</f>
        <v>-0.70517826086956548</v>
      </c>
      <c r="V1083" s="564">
        <f>IF((K1083-MAX(K$470:K1083))/MAX(K$470:K1083)&gt;V1082,V1082,(K1083-MAX(K$470:K1083))/MAX(K$470:K1083))</f>
        <v>-0.80725522782524772</v>
      </c>
      <c r="W1083" s="564">
        <f>IF((N1083-MAX(N$470:N1083))/MAX(N$470:N1083)&gt;W1082,W1082,(N1083-MAX(N$470:N1083))/MAX(N$470:N1083))</f>
        <v>-0.62788758315546067</v>
      </c>
      <c r="X1083" s="564">
        <f>IF((O1083-MAX(O$470:O1083))/MAX(O$470:O1083)&gt;X1082,X1082,(O1083-MAX(O$470:O1083))/MAX(O$470:O1083))</f>
        <v>-0.62788758315546067</v>
      </c>
    </row>
    <row r="1084" spans="1:24">
      <c r="A1084" s="799">
        <v>41486</v>
      </c>
      <c r="B1084">
        <v>110.34</v>
      </c>
      <c r="C1084">
        <v>120.993819</v>
      </c>
      <c r="D1084">
        <v>1.9551210000000001</v>
      </c>
      <c r="E1084">
        <f>LN(D1084/参数实验室!$E$53)/参数实验室!$E$55</f>
        <v>9.799972722626793E-2</v>
      </c>
      <c r="F1084">
        <f t="shared" si="108"/>
        <v>1.0965544589450789</v>
      </c>
      <c r="G1084">
        <f>LN(F1084/参数实验室!$E$58)/参数实验室!$E$59</f>
        <v>-0.14215267718708616</v>
      </c>
      <c r="H1084" s="856">
        <f>INDEX(神经网络!$G$10:$BO$70,MATCH(ROUND(G1084*2,1)/2,神经网络!$E$10:$E$70,0),MATCH(ROUND(E1084*2,1)/2,神经网络!$G$8:$BO$8,0))</f>
        <v>5.2253386166092243E-2</v>
      </c>
      <c r="I1084">
        <f t="shared" si="110"/>
        <v>70.610278527101428</v>
      </c>
      <c r="J1084">
        <f t="shared" si="111"/>
        <v>44.028570288496041</v>
      </c>
      <c r="K1084">
        <f t="shared" si="112"/>
        <v>1.6037377108643194</v>
      </c>
      <c r="L1084" s="4">
        <f>MIN(MAX(L1083*(1+MAX(MIN(((B1084-B1083)/B1083)/($K$7*卓尔金历!$N$40),0),-卓尔金历!$M$43))+MIN(MAX(((B1084-B1083)/B1083)/($K$7*卓尔金历!$N$40),0),卓尔金历!$M$43),0),1)</f>
        <v>1</v>
      </c>
      <c r="M1084" s="4">
        <f>MIN(MAX(M1083*(1+MAX(MIN(((B1084-B1083)/B1083)/($K$7*30),0),-卓尔金历!$M$43))+MIN(MAX(((B1084-B1083)/B1083)/($K$7*7),0),卓尔金历!$M$43),0),1)</f>
        <v>1</v>
      </c>
      <c r="N1084">
        <f t="shared" si="113"/>
        <v>112.25125914882062</v>
      </c>
      <c r="O1084">
        <f t="shared" si="114"/>
        <v>157.02212472934951</v>
      </c>
      <c r="P1084">
        <f t="shared" si="115"/>
        <v>8.7093596059113335E-2</v>
      </c>
      <c r="Q1084">
        <f t="shared" si="116"/>
        <v>4.9440176602275225E-2</v>
      </c>
      <c r="R1084">
        <f t="shared" si="117"/>
        <v>2.0398067271680143E-2</v>
      </c>
      <c r="S1084">
        <f t="shared" si="109"/>
        <v>5.7692741328249415</v>
      </c>
      <c r="T1084" s="564">
        <f>IF((I1084-MAX(I$470:I1084))/MAX(I$470:I1084)&gt;T1083,T1083,(I1084-MAX(I$470:I1084))/MAX(I$470:I1084))</f>
        <v>-0.91338805338419748</v>
      </c>
      <c r="U1084" s="564">
        <f>IF((J1084-MAX(J$470:J1084))/MAX(J$470:J1084)&gt;U1083,U1083,(J1084-MAX(J$470:J1084))/MAX(J$470:J1084))</f>
        <v>-0.70517826086956548</v>
      </c>
      <c r="V1084" s="564">
        <f>IF((K1084-MAX(K$470:K1084))/MAX(K$470:K1084)&gt;V1083,V1083,(K1084-MAX(K$470:K1084))/MAX(K$470:K1084))</f>
        <v>-0.80725522782524772</v>
      </c>
      <c r="W1084" s="564">
        <f>IF((N1084-MAX(N$470:N1084))/MAX(N$470:N1084)&gt;W1083,W1083,(N1084-MAX(N$470:N1084))/MAX(N$470:N1084))</f>
        <v>-0.62788758315546067</v>
      </c>
      <c r="X1084" s="564">
        <f>IF((O1084-MAX(O$470:O1084))/MAX(O$470:O1084)&gt;X1083,X1083,(O1084-MAX(O$470:O1084))/MAX(O$470:O1084))</f>
        <v>-0.62788758315546067</v>
      </c>
    </row>
    <row r="1085" spans="1:24">
      <c r="A1085" s="799">
        <v>41487</v>
      </c>
      <c r="B1085">
        <v>106.23</v>
      </c>
      <c r="C1085">
        <v>119.487504</v>
      </c>
      <c r="D1085">
        <v>1.9244870000000001</v>
      </c>
      <c r="E1085">
        <f>LN(D1085/参数实验室!$E$53)/参数实验室!$E$55</f>
        <v>7.9368302599305121E-2</v>
      </c>
      <c r="F1085">
        <f t="shared" si="108"/>
        <v>1.1248</v>
      </c>
      <c r="G1085">
        <f>LN(F1085/参数实验室!$E$58)/参数实验室!$E$59</f>
        <v>-0.12880443786313095</v>
      </c>
      <c r="H1085" s="856">
        <f>INDEX(神经网络!$G$10:$BO$70,MATCH(ROUND(G1085*2,1)/2,神经网络!$E$10:$E$70,0),MATCH(ROUND(E1085*2,1)/2,神经网络!$G$8:$BO$8,0))</f>
        <v>5.2253386166092243E-2</v>
      </c>
      <c r="I1085">
        <f t="shared" si="110"/>
        <v>70.472845470355765</v>
      </c>
      <c r="J1085">
        <f t="shared" si="111"/>
        <v>42.388571884601546</v>
      </c>
      <c r="K1085">
        <f t="shared" si="112"/>
        <v>1.6625435190930875</v>
      </c>
      <c r="L1085" s="4">
        <f>MIN(MAX(L1084*(1+MAX(MIN(((B1085-B1084)/B1084)/($K$7*卓尔金历!$N$40),0),-卓尔金历!$M$43))+MIN(MAX(((B1085-B1084)/B1084)/($K$7*卓尔金历!$N$40),0),卓尔金历!$M$43),0),1)</f>
        <v>0.43087859409055906</v>
      </c>
      <c r="M1085" s="4">
        <f>MIN(MAX(M1084*(1+MAX(MIN(((B1085-B1084)/B1084)/($K$7*30),0),-卓尔金历!$M$43))+MIN(MAX(((B1085-B1084)/B1084)/($K$7*7),0),卓尔金历!$M$43),0),1)</f>
        <v>0.71543929704527953</v>
      </c>
      <c r="N1085">
        <f t="shared" si="113"/>
        <v>112.03277773237286</v>
      </c>
      <c r="O1085">
        <f t="shared" si="114"/>
        <v>156.71650306875841</v>
      </c>
      <c r="P1085">
        <f t="shared" si="115"/>
        <v>-3.7248504622077211E-2</v>
      </c>
      <c r="Q1085">
        <f t="shared" si="116"/>
        <v>4.592923180754753E-2</v>
      </c>
      <c r="R1085">
        <f t="shared" si="117"/>
        <v>0.26928737114126244</v>
      </c>
      <c r="S1085">
        <f t="shared" si="109"/>
        <v>5.7690450811475422</v>
      </c>
      <c r="T1085" s="564">
        <f>IF((I1085-MAX(I$470:I1085))/MAX(I$470:I1085)&gt;T1084,T1084,(I1085-MAX(I$470:I1085))/MAX(I$470:I1085))</f>
        <v>-0.91338805338419748</v>
      </c>
      <c r="U1085" s="564">
        <f>IF((J1085-MAX(J$470:J1085))/MAX(J$470:J1085)&gt;U1084,U1084,(J1085-MAX(J$470:J1085))/MAX(J$470:J1085))</f>
        <v>-0.70517826086956548</v>
      </c>
      <c r="V1085" s="564">
        <f>IF((K1085-MAX(K$470:K1085))/MAX(K$470:K1085)&gt;V1084,V1084,(K1085-MAX(K$470:K1085))/MAX(K$470:K1085))</f>
        <v>-0.80725522782524772</v>
      </c>
      <c r="W1085" s="564">
        <f>IF((N1085-MAX(N$470:N1085))/MAX(N$470:N1085)&gt;W1084,W1084,(N1085-MAX(N$470:N1085))/MAX(N$470:N1085))</f>
        <v>-0.62788758315546067</v>
      </c>
      <c r="X1085" s="564">
        <f>IF((O1085-MAX(O$470:O1085))/MAX(O$470:O1085)&gt;X1084,X1084,(O1085-MAX(O$470:O1085))/MAX(O$470:O1085))</f>
        <v>-0.62788758315546067</v>
      </c>
    </row>
    <row r="1086" spans="1:24">
      <c r="A1086" s="799">
        <v>41488</v>
      </c>
      <c r="B1086">
        <v>101.61</v>
      </c>
      <c r="C1086">
        <v>119.10438000000001</v>
      </c>
      <c r="D1086">
        <v>1.9083650000000001</v>
      </c>
      <c r="E1086">
        <f>LN(D1086/参数实验室!$E$53)/参数实验室!$E$55</f>
        <v>6.9443529103212137E-2</v>
      </c>
      <c r="F1086">
        <f t="shared" si="108"/>
        <v>1.1721718334809568</v>
      </c>
      <c r="G1086">
        <f>LN(F1086/参数实验室!$E$58)/参数实验室!$E$59</f>
        <v>-0.1071526057176528</v>
      </c>
      <c r="H1086" s="856">
        <f>INDEX(神经网络!$G$10:$BO$70,MATCH(ROUND(G1086*2,1)/2,神经网络!$E$10:$E$70,0),MATCH(ROUND(E1086*2,1)/2,神经网络!$G$8:$BO$8,0))</f>
        <v>9.8887901933420147E-2</v>
      </c>
      <c r="I1086">
        <f t="shared" si="110"/>
        <v>70.312693959335647</v>
      </c>
      <c r="J1086">
        <f t="shared" si="111"/>
        <v>40.545070029128901</v>
      </c>
      <c r="K1086">
        <f t="shared" si="112"/>
        <v>1.7341860282599268</v>
      </c>
      <c r="L1086" s="4">
        <f>MIN(MAX(L1085*(1+MAX(MIN(((B1086-B1085)/B1085)/($K$7*卓尔金历!$N$40),0),-卓尔金历!$M$43))+MIN(MAX(((B1086-B1085)/B1085)/($K$7*卓尔金历!$N$40),0),卓尔金历!$M$43),0),1)</f>
        <v>0.14456247974288411</v>
      </c>
      <c r="M1086" s="4">
        <f>MIN(MAX(M1085*(1+MAX(MIN(((B1086-B1085)/B1085)/($K$7*30),0),-卓尔金历!$M$43))+MIN(MAX(((B1086-B1085)/B1085)/($K$7*7),0),卓尔金历!$M$43),0),1)</f>
        <v>0.4777368416541164</v>
      </c>
      <c r="N1086">
        <f t="shared" si="113"/>
        <v>111.92307706838173</v>
      </c>
      <c r="O1086">
        <f t="shared" si="114"/>
        <v>156.46170463347852</v>
      </c>
      <c r="P1086">
        <f t="shared" si="115"/>
        <v>-4.3490539395650986E-2</v>
      </c>
      <c r="Q1086">
        <f t="shared" si="116"/>
        <v>4.3411394158566909E-2</v>
      </c>
      <c r="R1086">
        <f t="shared" si="117"/>
        <v>4.5845572427442471E-2</v>
      </c>
      <c r="S1086">
        <f t="shared" si="109"/>
        <v>5.7655146385660458</v>
      </c>
      <c r="T1086" s="564">
        <f>IF((I1086-MAX(I$470:I1086))/MAX(I$470:I1086)&gt;T1085,T1085,(I1086-MAX(I$470:I1086))/MAX(I$470:I1086))</f>
        <v>-0.91338805338419748</v>
      </c>
      <c r="U1086" s="564">
        <f>IF((J1086-MAX(J$470:J1086))/MAX(J$470:J1086)&gt;U1085,U1085,(J1086-MAX(J$470:J1086))/MAX(J$470:J1086))</f>
        <v>-0.70517826086956548</v>
      </c>
      <c r="V1086" s="564">
        <f>IF((K1086-MAX(K$470:K1086))/MAX(K$470:K1086)&gt;V1085,V1085,(K1086-MAX(K$470:K1086))/MAX(K$470:K1086))</f>
        <v>-0.80725522782524772</v>
      </c>
      <c r="W1086" s="564">
        <f>IF((N1086-MAX(N$470:N1086))/MAX(N$470:N1086)&gt;W1085,W1085,(N1086-MAX(N$470:N1086))/MAX(N$470:N1086))</f>
        <v>-0.62788758315546067</v>
      </c>
      <c r="X1086" s="564">
        <f>IF((O1086-MAX(O$470:O1086))/MAX(O$470:O1086)&gt;X1085,X1085,(O1086-MAX(O$470:O1086))/MAX(O$470:O1086))</f>
        <v>-0.62788758315546067</v>
      </c>
    </row>
    <row r="1087" spans="1:24">
      <c r="A1087" s="799">
        <v>41489</v>
      </c>
      <c r="B1087">
        <v>103.7</v>
      </c>
      <c r="C1087">
        <v>118.90839200000001</v>
      </c>
      <c r="D1087">
        <v>1.88398</v>
      </c>
      <c r="E1087">
        <f>LN(D1087/参数实验室!$E$53)/参数实验室!$E$55</f>
        <v>5.4271555379707376E-2</v>
      </c>
      <c r="F1087">
        <f t="shared" si="108"/>
        <v>1.1466575891996142</v>
      </c>
      <c r="G1087">
        <f>LN(F1087/参数实验室!$E$58)/参数实验室!$E$59</f>
        <v>-0.11870308424016199</v>
      </c>
      <c r="H1087" s="856">
        <f>INDEX(神经网络!$G$10:$BO$70,MATCH(ROUND(G1087*2,1)/2,神经网络!$E$10:$E$70,0),MATCH(ROUND(E1087*2,1)/2,神经网络!$G$8:$BO$8,0))</f>
        <v>9.8887901933420147E-2</v>
      </c>
      <c r="I1087">
        <f t="shared" si="110"/>
        <v>70.455710653563514</v>
      </c>
      <c r="J1087">
        <f t="shared" si="111"/>
        <v>41.379035154223672</v>
      </c>
      <c r="K1087">
        <f t="shared" si="112"/>
        <v>1.702690997771414</v>
      </c>
      <c r="L1087" s="4">
        <f>MIN(MAX(L1086*(1+MAX(MIN(((B1087-B1086)/B1086)/($K$7*卓尔金历!$N$40),0),-卓尔金历!$M$43))+MIN(MAX(((B1087-B1086)/B1086)/($K$7*卓尔金历!$N$40),0),卓尔金历!$M$43),0),1)</f>
        <v>0.45883464170564847</v>
      </c>
      <c r="M1087" s="4">
        <f>MIN(MAX(M1086*(1+MAX(MIN(((B1087-B1086)/B1086)/($K$7*30),0),-卓尔金历!$M$43))+MIN(MAX(((B1087-B1086)/B1086)/($K$7*7),0),卓尔金历!$M$43),0),1)</f>
        <v>1</v>
      </c>
      <c r="N1087">
        <f t="shared" si="113"/>
        <v>111.95598709460246</v>
      </c>
      <c r="O1087">
        <f t="shared" si="114"/>
        <v>156.61374180767294</v>
      </c>
      <c r="P1087">
        <f t="shared" si="115"/>
        <v>2.0568841649443986E-2</v>
      </c>
      <c r="Q1087">
        <f t="shared" si="116"/>
        <v>4.0915353901038551E-2</v>
      </c>
      <c r="R1087">
        <f t="shared" si="117"/>
        <v>0.76099462976617094</v>
      </c>
      <c r="S1087">
        <f t="shared" si="109"/>
        <v>5.7660522747332017</v>
      </c>
      <c r="T1087" s="564">
        <f>IF((I1087-MAX(I$470:I1087))/MAX(I$470:I1087)&gt;T1086,T1086,(I1087-MAX(I$470:I1087))/MAX(I$470:I1087))</f>
        <v>-0.91338805338419748</v>
      </c>
      <c r="U1087" s="564">
        <f>IF((J1087-MAX(J$470:J1087))/MAX(J$470:J1087)&gt;U1086,U1086,(J1087-MAX(J$470:J1087))/MAX(J$470:J1087))</f>
        <v>-0.70517826086956548</v>
      </c>
      <c r="V1087" s="564">
        <f>IF((K1087-MAX(K$470:K1087))/MAX(K$470:K1087)&gt;V1086,V1086,(K1087-MAX(K$470:K1087))/MAX(K$470:K1087))</f>
        <v>-0.80725522782524772</v>
      </c>
      <c r="W1087" s="564">
        <f>IF((N1087-MAX(N$470:N1087))/MAX(N$470:N1087)&gt;W1086,W1086,(N1087-MAX(N$470:N1087))/MAX(N$470:N1087))</f>
        <v>-0.62788758315546067</v>
      </c>
      <c r="X1087" s="564">
        <f>IF((O1087-MAX(O$470:O1087))/MAX(O$470:O1087)&gt;X1086,X1086,(O1087-MAX(O$470:O1087))/MAX(O$470:O1087))</f>
        <v>-0.62788758315546067</v>
      </c>
    </row>
    <row r="1088" spans="1:24">
      <c r="A1088" s="799">
        <v>41490</v>
      </c>
      <c r="B1088">
        <v>104.86</v>
      </c>
      <c r="C1088">
        <v>119.538439</v>
      </c>
      <c r="D1088">
        <v>1.899187</v>
      </c>
      <c r="E1088">
        <f>LN(D1088/参数实验室!$E$53)/参数实验室!$E$55</f>
        <v>6.3755992205799902E-2</v>
      </c>
      <c r="F1088">
        <f t="shared" si="108"/>
        <v>1.13998129887469</v>
      </c>
      <c r="G1088">
        <f>LN(F1088/参数实验室!$E$58)/参数实验室!$E$59</f>
        <v>-0.12176792140805258</v>
      </c>
      <c r="H1088" s="856">
        <f>INDEX(神经网络!$G$10:$BO$70,MATCH(ROUND(G1088*2,1)/2,神经网络!$E$10:$E$70,0),MATCH(ROUND(E1088*2,1)/2,神经网络!$G$8:$BO$8,0))</f>
        <v>9.8887901933420147E-2</v>
      </c>
      <c r="I1088">
        <f t="shared" si="110"/>
        <v>70.533646740262455</v>
      </c>
      <c r="J1088">
        <f t="shared" si="111"/>
        <v>41.841905749970053</v>
      </c>
      <c r="K1088">
        <f t="shared" si="112"/>
        <v>1.6857178342148753</v>
      </c>
      <c r="L1088" s="4">
        <f>MIN(MAX(L1087*(1+MAX(MIN(((B1088-B1087)/B1087)/($K$7*卓尔金历!$N$40),0),-卓尔金历!$M$43))+MIN(MAX(((B1088-B1087)/B1087)/($K$7*卓尔金历!$N$40),0),卓尔金历!$M$43),0),1)</f>
        <v>0.62974772590308103</v>
      </c>
      <c r="M1088" s="4">
        <f>MIN(MAX(M1087*(1+MAX(MIN(((B1088-B1087)/B1087)/($K$7*30),0),-卓尔金历!$M$43))+MIN(MAX(((B1088-B1087)/B1087)/($K$7*7),0),卓尔金历!$M$43),0),1)</f>
        <v>1</v>
      </c>
      <c r="N1088">
        <f t="shared" si="113"/>
        <v>112.01281032482537</v>
      </c>
      <c r="O1088">
        <f t="shared" si="114"/>
        <v>156.78698343772029</v>
      </c>
      <c r="P1088">
        <f t="shared" si="115"/>
        <v>1.1186113789778173E-2</v>
      </c>
      <c r="Q1088">
        <f t="shared" si="116"/>
        <v>3.7170189405901423E-2</v>
      </c>
      <c r="R1088">
        <f t="shared" si="117"/>
        <v>1</v>
      </c>
      <c r="S1088">
        <f t="shared" si="109"/>
        <v>5.7709060823958964</v>
      </c>
      <c r="T1088" s="564">
        <f>IF((I1088-MAX(I$470:I1088))/MAX(I$470:I1088)&gt;T1087,T1087,(I1088-MAX(I$470:I1088))/MAX(I$470:I1088))</f>
        <v>-0.91338805338419748</v>
      </c>
      <c r="U1088" s="564">
        <f>IF((J1088-MAX(J$470:J1088))/MAX(J$470:J1088)&gt;U1087,U1087,(J1088-MAX(J$470:J1088))/MAX(J$470:J1088))</f>
        <v>-0.70517826086956548</v>
      </c>
      <c r="V1088" s="564">
        <f>IF((K1088-MAX(K$470:K1088))/MAX(K$470:K1088)&gt;V1087,V1087,(K1088-MAX(K$470:K1088))/MAX(K$470:K1088))</f>
        <v>-0.80725522782524772</v>
      </c>
      <c r="W1088" s="564">
        <f>IF((N1088-MAX(N$470:N1088))/MAX(N$470:N1088)&gt;W1087,W1087,(N1088-MAX(N$470:N1088))/MAX(N$470:N1088))</f>
        <v>-0.62788758315546067</v>
      </c>
      <c r="X1088" s="564">
        <f>IF((O1088-MAX(O$470:O1088))/MAX(O$470:O1088)&gt;X1087,X1087,(O1088-MAX(O$470:O1088))/MAX(O$470:O1088))</f>
        <v>-0.62788758315546067</v>
      </c>
    </row>
    <row r="1089" spans="1:24">
      <c r="A1089" s="799">
        <v>41491</v>
      </c>
      <c r="B1089">
        <v>106.56</v>
      </c>
      <c r="C1089">
        <v>119.562788</v>
      </c>
      <c r="D1089">
        <v>1.917948</v>
      </c>
      <c r="E1089">
        <f>LN(D1089/参数实验室!$E$53)/参数实验室!$E$55</f>
        <v>7.5352924897659684E-2</v>
      </c>
      <c r="F1089">
        <f t="shared" si="108"/>
        <v>1.1220231606606605</v>
      </c>
      <c r="G1089">
        <f>LN(F1089/参数实验室!$E$58)/参数实验室!$E$59</f>
        <v>-0.13010176835340426</v>
      </c>
      <c r="H1089" s="856">
        <f>INDEX(神经网络!$G$10:$BO$70,MATCH(ROUND(G1089*2,1)/2,神经网络!$E$10:$E$70,0),MATCH(ROUND(E1089*2,1)/2,神经网络!$G$8:$BO$8,0))</f>
        <v>5.2253386166092243E-2</v>
      </c>
      <c r="I1089">
        <f t="shared" si="110"/>
        <v>70.646724857572764</v>
      </c>
      <c r="J1089">
        <f t="shared" si="111"/>
        <v>42.520250588563883</v>
      </c>
      <c r="K1089">
        <f t="shared" si="112"/>
        <v>1.6614842076347898</v>
      </c>
      <c r="L1089" s="4">
        <f>MIN(MAX(L1088*(1+MAX(MIN(((B1089-B1088)/B1088)/($K$7*卓尔金历!$N$40),0),-卓尔金历!$M$43))+MIN(MAX(((B1089-B1088)/B1088)/($K$7*卓尔金历!$N$40),0),卓尔金历!$M$43),0),1)</f>
        <v>0.87745293887312914</v>
      </c>
      <c r="M1089" s="4">
        <f>MIN(MAX(M1088*(1+MAX(MIN(((B1089-B1088)/B1088)/($K$7*30),0),-卓尔金历!$M$43))+MIN(MAX(((B1089-B1088)/B1088)/($K$7*7),0),卓尔金历!$M$43),0),1)</f>
        <v>1</v>
      </c>
      <c r="N1089">
        <f t="shared" si="113"/>
        <v>112.12589832707584</v>
      </c>
      <c r="O1089">
        <f t="shared" si="114"/>
        <v>157.03834116166141</v>
      </c>
      <c r="P1089">
        <f t="shared" si="115"/>
        <v>1.6212092313560966E-2</v>
      </c>
      <c r="Q1089">
        <f t="shared" si="116"/>
        <v>3.691522677264393E-2</v>
      </c>
      <c r="R1089">
        <f t="shared" si="117"/>
        <v>0.89062301366784302</v>
      </c>
      <c r="S1089">
        <f t="shared" si="109"/>
        <v>5.7801578824251072</v>
      </c>
      <c r="T1089" s="564">
        <f>IF((I1089-MAX(I$470:I1089))/MAX(I$470:I1089)&gt;T1088,T1088,(I1089-MAX(I$470:I1089))/MAX(I$470:I1089))</f>
        <v>-0.91338805338419748</v>
      </c>
      <c r="U1089" s="564">
        <f>IF((J1089-MAX(J$470:J1089))/MAX(J$470:J1089)&gt;U1088,U1088,(J1089-MAX(J$470:J1089))/MAX(J$470:J1089))</f>
        <v>-0.70517826086956548</v>
      </c>
      <c r="V1089" s="564">
        <f>IF((K1089-MAX(K$470:K1089))/MAX(K$470:K1089)&gt;V1088,V1088,(K1089-MAX(K$470:K1089))/MAX(K$470:K1089))</f>
        <v>-0.80725522782524772</v>
      </c>
      <c r="W1089" s="564">
        <f>IF((N1089-MAX(N$470:N1089))/MAX(N$470:N1089)&gt;W1088,W1088,(N1089-MAX(N$470:N1089))/MAX(N$470:N1089))</f>
        <v>-0.62788758315546067</v>
      </c>
      <c r="X1089" s="564">
        <f>IF((O1089-MAX(O$470:O1089))/MAX(O$470:O1089)&gt;X1088,X1088,(O1089-MAX(O$470:O1089))/MAX(O$470:O1089))</f>
        <v>-0.62788758315546067</v>
      </c>
    </row>
    <row r="1090" spans="1:24">
      <c r="A1090" s="799">
        <v>41492</v>
      </c>
      <c r="B1090">
        <v>105.84099999999999</v>
      </c>
      <c r="C1090">
        <v>119.451199</v>
      </c>
      <c r="D1090">
        <v>1.919692</v>
      </c>
      <c r="E1090">
        <f>LN(D1090/参数实验室!$E$53)/参数实验室!$E$55</f>
        <v>7.6425193166244479E-2</v>
      </c>
      <c r="F1090">
        <f t="shared" si="108"/>
        <v>1.1285909902589735</v>
      </c>
      <c r="G1090">
        <f>LN(F1090/参数实验室!$E$58)/参数实验室!$E$59</f>
        <v>-0.12703846076419562</v>
      </c>
      <c r="H1090" s="856">
        <f>INDEX(神经网络!$G$10:$BO$70,MATCH(ROUND(G1090*2,1)/2,神经网络!$E$10:$E$70,0),MATCH(ROUND(E1090*2,1)/2,神经网络!$G$8:$BO$8,0))</f>
        <v>5.2253386166092243E-2</v>
      </c>
      <c r="I1090">
        <f t="shared" si="110"/>
        <v>70.621816726021919</v>
      </c>
      <c r="J1090">
        <f t="shared" si="111"/>
        <v>42.233350624476252</v>
      </c>
      <c r="K1090">
        <f t="shared" si="112"/>
        <v>1.6721812425910907</v>
      </c>
      <c r="L1090" s="4">
        <f>MIN(MAX(L1089*(1+MAX(MIN(((B1090-B1089)/B1089)/($K$7*卓尔金历!$N$40),0),-卓尔金历!$M$43))+MIN(MAX(((B1090-B1089)/B1089)/($K$7*卓尔金历!$N$40),0),卓尔金历!$M$43),0),1)</f>
        <v>0.78699335410547799</v>
      </c>
      <c r="M1090" s="4">
        <f>MIN(MAX(M1089*(1+MAX(MIN(((B1090-B1089)/B1089)/($K$7*30),0),-卓尔金历!$M$43))+MIN(MAX(((B1090-B1089)/B1089)/($K$7*7),0),卓尔金历!$M$43),0),1)</f>
        <v>0.94845331255951792</v>
      </c>
      <c r="N1090">
        <f t="shared" si="113"/>
        <v>112.09121035697447</v>
      </c>
      <c r="O1090">
        <f t="shared" si="114"/>
        <v>156.98297367409467</v>
      </c>
      <c r="P1090">
        <f t="shared" si="115"/>
        <v>-6.7473723723724503E-3</v>
      </c>
      <c r="Q1090">
        <f t="shared" si="116"/>
        <v>3.645309433956323E-2</v>
      </c>
      <c r="R1090">
        <f t="shared" si="117"/>
        <v>1</v>
      </c>
      <c r="S1090">
        <f t="shared" si="109"/>
        <v>5.7783428569209185</v>
      </c>
      <c r="T1090" s="564">
        <f>IF((I1090-MAX(I$470:I1090))/MAX(I$470:I1090)&gt;T1089,T1089,(I1090-MAX(I$470:I1090))/MAX(I$470:I1090))</f>
        <v>-0.91338805338419748</v>
      </c>
      <c r="U1090" s="564">
        <f>IF((J1090-MAX(J$470:J1090))/MAX(J$470:J1090)&gt;U1089,U1089,(J1090-MAX(J$470:J1090))/MAX(J$470:J1090))</f>
        <v>-0.70517826086956548</v>
      </c>
      <c r="V1090" s="564">
        <f>IF((K1090-MAX(K$470:K1090))/MAX(K$470:K1090)&gt;V1089,V1089,(K1090-MAX(K$470:K1090))/MAX(K$470:K1090))</f>
        <v>-0.80725522782524772</v>
      </c>
      <c r="W1090" s="564">
        <f>IF((N1090-MAX(N$470:N1090))/MAX(N$470:N1090)&gt;W1089,W1089,(N1090-MAX(N$470:N1090))/MAX(N$470:N1090))</f>
        <v>-0.62788758315546067</v>
      </c>
      <c r="X1090" s="564">
        <f>IF((O1090-MAX(O$470:O1090))/MAX(O$470:O1090)&gt;X1089,X1089,(O1090-MAX(O$470:O1090))/MAX(O$470:O1090))</f>
        <v>-0.62788758315546067</v>
      </c>
    </row>
    <row r="1091" spans="1:24">
      <c r="A1091" s="799">
        <v>41493</v>
      </c>
      <c r="B1091">
        <v>106.75</v>
      </c>
      <c r="C1091">
        <v>120.021236</v>
      </c>
      <c r="D1091">
        <v>1.9061319999999999</v>
      </c>
      <c r="E1091">
        <f>LN(D1091/参数实验室!$E$53)/参数实验室!$E$55</f>
        <v>6.8062277895140508E-2</v>
      </c>
      <c r="F1091">
        <f t="shared" si="108"/>
        <v>1.1243207119437939</v>
      </c>
      <c r="G1091">
        <f>LN(F1091/参数实验室!$E$58)/参数实验室!$E$59</f>
        <v>-0.12902813086153028</v>
      </c>
      <c r="H1091" s="856">
        <f>INDEX(神经网络!$G$10:$BO$70,MATCH(ROUND(G1091*2,1)/2,神经网络!$E$10:$E$70,0),MATCH(ROUND(E1091*2,1)/2,神经网络!$G$8:$BO$8,0))</f>
        <v>6.9075663375174901E-3</v>
      </c>
      <c r="I1091">
        <f t="shared" si="110"/>
        <v>70.653509720386793</v>
      </c>
      <c r="J1091">
        <f t="shared" si="111"/>
        <v>42.596065599936132</v>
      </c>
      <c r="K1091">
        <f t="shared" si="112"/>
        <v>1.6586862830001072</v>
      </c>
      <c r="L1091" s="4">
        <f>MIN(MAX(L1090*(1+MAX(MIN(((B1091-B1090)/B1090)/($K$7*卓尔金历!$N$40),0),-卓尔金历!$M$43))+MIN(MAX(((B1091-B1090)/B1090)/($K$7*卓尔金历!$N$40),0),卓尔金历!$M$43),0),1)</f>
        <v>0.91821516510457257</v>
      </c>
      <c r="M1091" s="4">
        <f>MIN(MAX(M1090*(1+MAX(MIN(((B1091-B1090)/B1090)/($K$7*30),0),-卓尔金历!$M$43))+MIN(MAX(((B1091-B1090)/B1090)/($K$7*7),0),卓尔金历!$M$43),0),1)</f>
        <v>1</v>
      </c>
      <c r="N1091">
        <f t="shared" si="113"/>
        <v>112.13079867145449</v>
      </c>
      <c r="O1091">
        <f t="shared" si="114"/>
        <v>157.04979158562492</v>
      </c>
      <c r="P1091">
        <f t="shared" si="115"/>
        <v>8.5883542294574507E-3</v>
      </c>
      <c r="Q1091">
        <f t="shared" si="116"/>
        <v>3.635742995745235E-2</v>
      </c>
      <c r="R1091">
        <f t="shared" si="117"/>
        <v>1</v>
      </c>
      <c r="S1091">
        <f t="shared" si="109"/>
        <v>5.7809360072545211</v>
      </c>
      <c r="T1091" s="564">
        <f>IF((I1091-MAX(I$470:I1091))/MAX(I$470:I1091)&gt;T1090,T1090,(I1091-MAX(I$470:I1091))/MAX(I$470:I1091))</f>
        <v>-0.91338805338419748</v>
      </c>
      <c r="U1091" s="564">
        <f>IF((J1091-MAX(J$470:J1091))/MAX(J$470:J1091)&gt;U1090,U1090,(J1091-MAX(J$470:J1091))/MAX(J$470:J1091))</f>
        <v>-0.70517826086956548</v>
      </c>
      <c r="V1091" s="564">
        <f>IF((K1091-MAX(K$470:K1091))/MAX(K$470:K1091)&gt;V1090,V1090,(K1091-MAX(K$470:K1091))/MAX(K$470:K1091))</f>
        <v>-0.80725522782524772</v>
      </c>
      <c r="W1091" s="564">
        <f>IF((N1091-MAX(N$470:N1091))/MAX(N$470:N1091)&gt;W1090,W1090,(N1091-MAX(N$470:N1091))/MAX(N$470:N1091))</f>
        <v>-0.62788758315546067</v>
      </c>
      <c r="X1091" s="564">
        <f>IF((O1091-MAX(O$470:O1091))/MAX(O$470:O1091)&gt;X1090,X1090,(O1091-MAX(O$470:O1091))/MAX(O$470:O1091))</f>
        <v>-0.62788758315546067</v>
      </c>
    </row>
    <row r="1092" spans="1:24">
      <c r="A1092" s="799">
        <v>41494</v>
      </c>
      <c r="B1092">
        <v>105.232</v>
      </c>
      <c r="C1092">
        <v>118.830355</v>
      </c>
      <c r="D1092">
        <v>1.850733</v>
      </c>
      <c r="E1092">
        <f>LN(D1092/参数实验室!$E$53)/参数实验室!$E$55</f>
        <v>3.3266304224785555E-2</v>
      </c>
      <c r="F1092">
        <f t="shared" si="108"/>
        <v>1.1292226223962292</v>
      </c>
      <c r="G1092">
        <f>LN(F1092/参数实验室!$E$58)/参数实验室!$E$59</f>
        <v>-0.12674480083782333</v>
      </c>
      <c r="H1092" s="856">
        <f>INDEX(神经网络!$G$10:$BO$70,MATCH(ROUND(G1092*2,1)/2,神经网络!$E$10:$E$70,0),MATCH(ROUND(E1092*2,1)/2,神经网络!$G$8:$BO$8,0))</f>
        <v>6.9075663375174901E-3</v>
      </c>
      <c r="I1092">
        <f t="shared" si="110"/>
        <v>70.646569668896817</v>
      </c>
      <c r="J1092">
        <f t="shared" si="111"/>
        <v>41.990343561709409</v>
      </c>
      <c r="K1092">
        <f t="shared" si="112"/>
        <v>1.6824480029574882</v>
      </c>
      <c r="L1092" s="4">
        <f>MIN(MAX(L1091*(1+MAX(MIN(((B1092-B1091)/B1091)/($K$7*卓尔金历!$N$40),0),-卓尔金历!$M$43))+MIN(MAX(((B1092-B1091)/B1091)/($K$7*卓尔金历!$N$40),0),卓尔金历!$M$43),0),1)</f>
        <v>0.71871446342000134</v>
      </c>
      <c r="M1092" s="4">
        <f>MIN(MAX(M1091*(1+MAX(MIN(((B1092-B1091)/B1091)/($K$7*30),0),-卓尔金历!$M$43))+MIN(MAX(((B1092-B1091)/B1091)/($K$7*7),0),卓尔金历!$M$43),0),1)</f>
        <v>0.89136494948771039</v>
      </c>
      <c r="N1092">
        <f t="shared" si="113"/>
        <v>112.12068524480428</v>
      </c>
      <c r="O1092">
        <f t="shared" si="114"/>
        <v>157.03436512423031</v>
      </c>
      <c r="P1092">
        <f t="shared" si="115"/>
        <v>-1.4220140515222489E-2</v>
      </c>
      <c r="Q1092">
        <f t="shared" si="116"/>
        <v>3.6409521585044249E-2</v>
      </c>
      <c r="R1092">
        <f t="shared" si="117"/>
        <v>1</v>
      </c>
      <c r="S1092">
        <f t="shared" si="109"/>
        <v>5.7803681657741848</v>
      </c>
      <c r="T1092" s="564">
        <f>IF((I1092-MAX(I$470:I1092))/MAX(I$470:I1092)&gt;T1091,T1091,(I1092-MAX(I$470:I1092))/MAX(I$470:I1092))</f>
        <v>-0.91338805338419748</v>
      </c>
      <c r="U1092" s="564">
        <f>IF((J1092-MAX(J$470:J1092))/MAX(J$470:J1092)&gt;U1091,U1091,(J1092-MAX(J$470:J1092))/MAX(J$470:J1092))</f>
        <v>-0.70517826086956548</v>
      </c>
      <c r="V1092" s="564">
        <f>IF((K1092-MAX(K$470:K1092))/MAX(K$470:K1092)&gt;V1091,V1091,(K1092-MAX(K$470:K1092))/MAX(K$470:K1092))</f>
        <v>-0.80725522782524772</v>
      </c>
      <c r="W1092" s="564">
        <f>IF((N1092-MAX(N$470:N1092))/MAX(N$470:N1092)&gt;W1091,W1091,(N1092-MAX(N$470:N1092))/MAX(N$470:N1092))</f>
        <v>-0.62788758315546067</v>
      </c>
      <c r="X1092" s="564">
        <f>IF((O1092-MAX(O$470:O1092))/MAX(O$470:O1092)&gt;X1091,X1091,(O1092-MAX(O$470:O1092))/MAX(O$470:O1092))</f>
        <v>-0.62788758315546067</v>
      </c>
    </row>
    <row r="1093" spans="1:24">
      <c r="A1093" s="799">
        <v>41495</v>
      </c>
      <c r="B1093">
        <v>103.958</v>
      </c>
      <c r="C1093">
        <v>118.995549</v>
      </c>
      <c r="D1093">
        <v>1.8153049999999999</v>
      </c>
      <c r="E1093">
        <f>LN(D1093/参数实验室!$E$53)/参数实验室!$E$55</f>
        <v>1.0463704188433584E-2</v>
      </c>
      <c r="F1093">
        <f t="shared" ref="F1093:F1156" si="118">C1093/B1093</f>
        <v>1.1446502337482445</v>
      </c>
      <c r="G1093">
        <f>LN(F1093/参数实验室!$E$58)/参数实验室!$E$59</f>
        <v>-0.11962270654803507</v>
      </c>
      <c r="H1093" s="856">
        <f>INDEX(神经网络!$G$10:$BO$70,MATCH(ROUND(G1093*2,1)/2,神经网络!$E$10:$E$70,0),MATCH(ROUND(E1093*2,1)/2,神经网络!$G$8:$BO$8,0))</f>
        <v>5.2233171610684213E-2</v>
      </c>
      <c r="I1093">
        <f t="shared" si="110"/>
        <v>70.640661706167521</v>
      </c>
      <c r="J1093">
        <f t="shared" si="111"/>
        <v>41.481983959139683</v>
      </c>
      <c r="K1093">
        <f t="shared" si="112"/>
        <v>1.7029238952444881</v>
      </c>
      <c r="L1093" s="4">
        <f>MIN(MAX(L1092*(1+MAX(MIN(((B1093-B1092)/B1092)/($K$7*卓尔金历!$N$40),0),-卓尔金历!$M$43))+MIN(MAX(((B1093-B1092)/B1092)/($K$7*卓尔金历!$N$40),0),卓尔金历!$M$43),0),1)</f>
        <v>0.58576883335277219</v>
      </c>
      <c r="M1093" s="4">
        <f>MIN(MAX(M1092*(1+MAX(MIN(((B1093-B1092)/B1092)/($K$7*30),0),-卓尔金历!$M$43))+MIN(MAX(((B1093-B1092)/B1092)/($K$7*7),0),卓尔金历!$M$43),0),1)</f>
        <v>0.80892395180304522</v>
      </c>
      <c r="N1093">
        <f t="shared" si="113"/>
        <v>112.11394634815423</v>
      </c>
      <c r="O1093">
        <f t="shared" si="114"/>
        <v>157.02265943679114</v>
      </c>
      <c r="P1093">
        <f t="shared" si="115"/>
        <v>-1.2106583548730433E-2</v>
      </c>
      <c r="Q1093">
        <f t="shared" si="116"/>
        <v>2.9697362751336668E-2</v>
      </c>
      <c r="R1093">
        <f t="shared" si="117"/>
        <v>0.96638895342507658</v>
      </c>
      <c r="S1093">
        <f t="shared" si="109"/>
        <v>5.7798847707580503</v>
      </c>
      <c r="T1093" s="564">
        <f>IF((I1093-MAX(I$470:I1093))/MAX(I$470:I1093)&gt;T1092,T1092,(I1093-MAX(I$470:I1093))/MAX(I$470:I1093))</f>
        <v>-0.91338805338419748</v>
      </c>
      <c r="U1093" s="564">
        <f>IF((J1093-MAX(J$470:J1093))/MAX(J$470:J1093)&gt;U1092,U1092,(J1093-MAX(J$470:J1093))/MAX(J$470:J1093))</f>
        <v>-0.70517826086956548</v>
      </c>
      <c r="V1093" s="564">
        <f>IF((K1093-MAX(K$470:K1093))/MAX(K$470:K1093)&gt;V1092,V1092,(K1093-MAX(K$470:K1093))/MAX(K$470:K1093))</f>
        <v>-0.80725522782524772</v>
      </c>
      <c r="W1093" s="564">
        <f>IF((N1093-MAX(N$470:N1093))/MAX(N$470:N1093)&gt;W1092,W1092,(N1093-MAX(N$470:N1093))/MAX(N$470:N1093))</f>
        <v>-0.62788758315546067</v>
      </c>
      <c r="X1093" s="564">
        <f>IF((O1093-MAX(O$470:O1093))/MAX(O$470:O1093)&gt;X1092,X1092,(O1093-MAX(O$470:O1093))/MAX(O$470:O1093))</f>
        <v>-0.62788758315546067</v>
      </c>
    </row>
    <row r="1094" spans="1:24">
      <c r="A1094" s="799">
        <v>41496</v>
      </c>
      <c r="B1094">
        <v>103.69199999999999</v>
      </c>
      <c r="C1094">
        <v>116.75892</v>
      </c>
      <c r="D1094">
        <v>1.8303590000000001</v>
      </c>
      <c r="E1094">
        <f>LN(D1094/参数实验室!$E$53)/参数实验室!$E$55</f>
        <v>2.0206843587951155E-2</v>
      </c>
      <c r="F1094">
        <f t="shared" si="118"/>
        <v>1.1260166647378778</v>
      </c>
      <c r="G1094">
        <f>LN(F1094/参数实验室!$E$58)/参数实验室!$E$59</f>
        <v>-0.12823702472909099</v>
      </c>
      <c r="H1094" s="856">
        <f>INDEX(神经网络!$G$10:$BO$70,MATCH(ROUND(G1094*2,1)/2,神经网络!$E$10:$E$70,0),MATCH(ROUND(E1094*2,1)/2,神经网络!$G$8:$BO$8,0))</f>
        <v>-4.1248771334708077E-2</v>
      </c>
      <c r="I1094">
        <f t="shared" si="110"/>
        <v>70.631220556623603</v>
      </c>
      <c r="J1094">
        <f t="shared" si="111"/>
        <v>41.37584294321853</v>
      </c>
      <c r="K1094">
        <f t="shared" si="112"/>
        <v>1.7070642078169433</v>
      </c>
      <c r="L1094" s="4">
        <f>MIN(MAX(L1093*(1+MAX(MIN(((B1094-B1093)/B1093)/($K$7*卓尔金历!$N$40),0),-卓尔金历!$M$43))+MIN(MAX(((B1094-B1093)/B1093)/($K$7*卓尔金历!$N$40),0),卓尔金历!$M$43),0),1)</f>
        <v>0.56286827559111496</v>
      </c>
      <c r="M1094" s="4">
        <f>MIN(MAX(M1093*(1+MAX(MIN(((B1094-B1093)/B1093)/($K$7*30),0),-卓尔金历!$M$43))+MIN(MAX(((B1094-B1093)/B1093)/($K$7*7),0),卓尔金历!$M$43),0),1)</f>
        <v>0.79311156248811443</v>
      </c>
      <c r="N1094">
        <f t="shared" si="113"/>
        <v>112.10516914766806</v>
      </c>
      <c r="O1094">
        <f t="shared" si="114"/>
        <v>157.00568325014683</v>
      </c>
      <c r="P1094">
        <f t="shared" si="115"/>
        <v>-2.5587256392004976E-3</v>
      </c>
      <c r="Q1094">
        <f t="shared" si="116"/>
        <v>2.9300923565591885E-2</v>
      </c>
      <c r="R1094">
        <f t="shared" si="117"/>
        <v>1</v>
      </c>
      <c r="S1094">
        <f t="shared" si="109"/>
        <v>5.7791382510882379</v>
      </c>
      <c r="T1094" s="564">
        <f>IF((I1094-MAX(I$470:I1094))/MAX(I$470:I1094)&gt;T1093,T1093,(I1094-MAX(I$470:I1094))/MAX(I$470:I1094))</f>
        <v>-0.91338805338419748</v>
      </c>
      <c r="U1094" s="564">
        <f>IF((J1094-MAX(J$470:J1094))/MAX(J$470:J1094)&gt;U1093,U1093,(J1094-MAX(J$470:J1094))/MAX(J$470:J1094))</f>
        <v>-0.70517826086956548</v>
      </c>
      <c r="V1094" s="564">
        <f>IF((K1094-MAX(K$470:K1094))/MAX(K$470:K1094)&gt;V1093,V1093,(K1094-MAX(K$470:K1094))/MAX(K$470:K1094))</f>
        <v>-0.80725522782524772</v>
      </c>
      <c r="W1094" s="564">
        <f>IF((N1094-MAX(N$470:N1094))/MAX(N$470:N1094)&gt;W1093,W1093,(N1094-MAX(N$470:N1094))/MAX(N$470:N1094))</f>
        <v>-0.62788758315546067</v>
      </c>
      <c r="X1094" s="564">
        <f>IF((O1094-MAX(O$470:O1094))/MAX(O$470:O1094)&gt;X1093,X1093,(O1094-MAX(O$470:O1094))/MAX(O$470:O1094))</f>
        <v>-0.62788758315546067</v>
      </c>
    </row>
    <row r="1095" spans="1:24">
      <c r="A1095" s="799">
        <v>41497</v>
      </c>
      <c r="B1095">
        <v>103.48</v>
      </c>
      <c r="C1095">
        <v>112.92440499999999</v>
      </c>
      <c r="D1095">
        <v>1.848344</v>
      </c>
      <c r="E1095">
        <f>LN(D1095/参数实验室!$E$53)/参数实验室!$E$55</f>
        <v>3.1742447926735973E-2</v>
      </c>
      <c r="F1095">
        <f t="shared" si="118"/>
        <v>1.0912679261693079</v>
      </c>
      <c r="G1095">
        <f>LN(F1095/参数实验室!$E$58)/参数实验室!$E$59</f>
        <v>-0.14468913857471596</v>
      </c>
      <c r="H1095" s="856">
        <f>INDEX(神经网络!$G$10:$BO$70,MATCH(ROUND(G1095*2,1)/2,神经网络!$E$10:$E$70,0),MATCH(ROUND(E1095*2,1)/2,神经网络!$G$8:$BO$8,0))</f>
        <v>6.9075663375174901E-3</v>
      </c>
      <c r="I1095">
        <f t="shared" si="110"/>
        <v>70.637177155261455</v>
      </c>
      <c r="J1095">
        <f t="shared" si="111"/>
        <v>41.291249351582124</v>
      </c>
      <c r="K1095">
        <f t="shared" si="112"/>
        <v>1.710705737039049</v>
      </c>
      <c r="L1095" s="4">
        <f>MIN(MAX(L1094*(1+MAX(MIN(((B1095-B1094)/B1094)/($K$7*卓尔金历!$N$40),0),-卓尔金历!$M$43))+MIN(MAX(((B1095-B1094)/B1094)/($K$7*卓尔金历!$N$40),0),卓尔金历!$M$43),0),1)</f>
        <v>0.54528525600781041</v>
      </c>
      <c r="M1095" s="4">
        <f>MIN(MAX(M1094*(1+MAX(MIN(((B1095-B1094)/B1094)/($K$7*30),0),-卓尔金历!$M$43))+MIN(MAX(((B1095-B1094)/B1094)/($K$7*7),0),卓尔金历!$M$43),0),1)</f>
        <v>0.78072385408482181</v>
      </c>
      <c r="N1095">
        <f t="shared" si="113"/>
        <v>112.11049064730103</v>
      </c>
      <c r="O1095">
        <f t="shared" si="114"/>
        <v>157.01618474880311</v>
      </c>
      <c r="P1095">
        <f t="shared" si="115"/>
        <v>-2.0445164525709708E-3</v>
      </c>
      <c r="Q1095">
        <f t="shared" si="116"/>
        <v>2.852708011375428E-2</v>
      </c>
      <c r="R1095">
        <f t="shared" si="117"/>
        <v>1</v>
      </c>
      <c r="S1095">
        <f t="shared" si="109"/>
        <v>5.7796256277293763</v>
      </c>
      <c r="T1095" s="564">
        <f>IF((I1095-MAX(I$470:I1095))/MAX(I$470:I1095)&gt;T1094,T1094,(I1095-MAX(I$470:I1095))/MAX(I$470:I1095))</f>
        <v>-0.91338805338419748</v>
      </c>
      <c r="U1095" s="564">
        <f>IF((J1095-MAX(J$470:J1095))/MAX(J$470:J1095)&gt;U1094,U1094,(J1095-MAX(J$470:J1095))/MAX(J$470:J1095))</f>
        <v>-0.70517826086956548</v>
      </c>
      <c r="V1095" s="564">
        <f>IF((K1095-MAX(K$470:K1095))/MAX(K$470:K1095)&gt;V1094,V1094,(K1095-MAX(K$470:K1095))/MAX(K$470:K1095))</f>
        <v>-0.80725522782524772</v>
      </c>
      <c r="W1095" s="564">
        <f>IF((N1095-MAX(N$470:N1095))/MAX(N$470:N1095)&gt;W1094,W1094,(N1095-MAX(N$470:N1095))/MAX(N$470:N1095))</f>
        <v>-0.62788758315546067</v>
      </c>
      <c r="X1095" s="564">
        <f>IF((O1095-MAX(O$470:O1095))/MAX(O$470:O1095)&gt;X1094,X1094,(O1095-MAX(O$470:O1095))/MAX(O$470:O1095))</f>
        <v>-0.62788758315546067</v>
      </c>
    </row>
    <row r="1096" spans="1:24">
      <c r="A1096" s="799">
        <v>41498</v>
      </c>
      <c r="B1096">
        <v>104.4</v>
      </c>
      <c r="C1096">
        <v>109.441346</v>
      </c>
      <c r="D1096">
        <v>1.870131</v>
      </c>
      <c r="E1096">
        <f>LN(D1096/参数实验室!$E$53)/参数实验室!$E$55</f>
        <v>4.556724333768062E-2</v>
      </c>
      <c r="F1096">
        <f t="shared" si="118"/>
        <v>1.0482887547892719</v>
      </c>
      <c r="G1096">
        <f>LN(F1096/参数实验室!$E$58)/参数实验室!$E$59</f>
        <v>-0.16577839225049418</v>
      </c>
      <c r="H1096" s="856">
        <f>INDEX(神经网络!$G$10:$BO$70,MATCH(ROUND(G1096*2,1)/2,神经网络!$E$10:$E$70,0),MATCH(ROUND(E1096*2,1)/2,神经网络!$G$8:$BO$8,0))</f>
        <v>6.9075663375174901E-3</v>
      </c>
      <c r="I1096">
        <f t="shared" si="110"/>
        <v>70.641515157852552</v>
      </c>
      <c r="J1096">
        <f t="shared" si="111"/>
        <v>41.658353617174079</v>
      </c>
      <c r="K1096">
        <f t="shared" si="112"/>
        <v>1.6957346852212103</v>
      </c>
      <c r="L1096" s="4">
        <f>MIN(MAX(L1095*(1+MAX(MIN(((B1096-B1095)/B1095)/($K$7*卓尔金历!$N$40),0),-卓尔金历!$M$43))+MIN(MAX(((B1096-B1095)/B1095)/($K$7*卓尔金历!$N$40),0),卓尔金历!$M$43),0),1)</f>
        <v>0.68112519746552946</v>
      </c>
      <c r="M1096" s="4">
        <f>MIN(MAX(M1095*(1+MAX(MIN(((B1096-B1095)/B1095)/($K$7*30),0),-卓尔金历!$M$43))+MIN(MAX(((B1096-B1095)/B1095)/($K$7*7),0),卓尔金历!$M$43),0),1)</f>
        <v>1</v>
      </c>
      <c r="N1096">
        <f t="shared" si="113"/>
        <v>112.11424492574535</v>
      </c>
      <c r="O1096">
        <f t="shared" si="114"/>
        <v>157.02371307348483</v>
      </c>
      <c r="P1096">
        <f t="shared" si="115"/>
        <v>8.8906068805566455E-3</v>
      </c>
      <c r="Q1096">
        <f t="shared" si="116"/>
        <v>2.8509740769977161E-2</v>
      </c>
      <c r="R1096">
        <f t="shared" si="117"/>
        <v>1</v>
      </c>
      <c r="S1096">
        <f t="shared" si="109"/>
        <v>5.7799805687386066</v>
      </c>
      <c r="T1096" s="564">
        <f>IF((I1096-MAX(I$470:I1096))/MAX(I$470:I1096)&gt;T1095,T1095,(I1096-MAX(I$470:I1096))/MAX(I$470:I1096))</f>
        <v>-0.91338805338419748</v>
      </c>
      <c r="U1096" s="564">
        <f>IF((J1096-MAX(J$470:J1096))/MAX(J$470:J1096)&gt;U1095,U1095,(J1096-MAX(J$470:J1096))/MAX(J$470:J1096))</f>
        <v>-0.70517826086956548</v>
      </c>
      <c r="V1096" s="564">
        <f>IF((K1096-MAX(K$470:K1096))/MAX(K$470:K1096)&gt;V1095,V1095,(K1096-MAX(K$470:K1096))/MAX(K$470:K1096))</f>
        <v>-0.80725522782524772</v>
      </c>
      <c r="W1096" s="564">
        <f>IF((N1096-MAX(N$470:N1096))/MAX(N$470:N1096)&gt;W1095,W1095,(N1096-MAX(N$470:N1096))/MAX(N$470:N1096))</f>
        <v>-0.62788758315546067</v>
      </c>
      <c r="X1096" s="564">
        <f>IF((O1096-MAX(O$470:O1096))/MAX(O$470:O1096)&gt;X1095,X1095,(O1096-MAX(O$470:O1096))/MAX(O$470:O1096))</f>
        <v>-0.62788758315546067</v>
      </c>
    </row>
    <row r="1097" spans="1:24">
      <c r="A1097" s="799">
        <v>41499</v>
      </c>
      <c r="B1097">
        <v>106.89</v>
      </c>
      <c r="C1097">
        <v>108.918718</v>
      </c>
      <c r="D1097">
        <v>1.905068</v>
      </c>
      <c r="E1097">
        <f>LN(D1097/参数实验室!$E$53)/参数实验室!$E$55</f>
        <v>6.7403557552887322E-2</v>
      </c>
      <c r="F1097">
        <f t="shared" si="118"/>
        <v>1.0189794929366638</v>
      </c>
      <c r="G1097">
        <f>LN(F1097/参数实验室!$E$58)/参数实验室!$E$59</f>
        <v>-0.18066191347571289</v>
      </c>
      <c r="H1097" s="856">
        <f>INDEX(神经网络!$G$10:$BO$70,MATCH(ROUND(G1097*2,1)/2,神经网络!$E$10:$E$70,0),MATCH(ROUND(E1097*2,1)/2,神经网络!$G$8:$BO$8,0))</f>
        <v>-8.6595554665327659E-2</v>
      </c>
      <c r="I1097">
        <f t="shared" si="110"/>
        <v>70.65315330699832</v>
      </c>
      <c r="J1097">
        <f t="shared" si="111"/>
        <v>42.651929292526212</v>
      </c>
      <c r="K1097">
        <f t="shared" si="112"/>
        <v>1.6565054495525173</v>
      </c>
      <c r="L1097" s="4">
        <f>MIN(MAX(L1096*(1+MAX(MIN(((B1097-B1096)/B1096)/($K$7*卓尔金历!$N$40),0),-卓尔金历!$M$43))+MIN(MAX(((B1097-B1096)/B1096)/($K$7*卓尔金历!$N$40),0),卓尔金历!$M$43),0),1)</f>
        <v>1</v>
      </c>
      <c r="M1097" s="4">
        <f>MIN(MAX(M1096*(1+MAX(MIN(((B1097-B1096)/B1096)/($K$7*30),0),-卓尔金历!$M$43))+MIN(MAX(((B1097-B1096)/B1096)/($K$7*7),0),卓尔金历!$M$43),0),1)</f>
        <v>1</v>
      </c>
      <c r="N1097">
        <f t="shared" si="113"/>
        <v>112.12682582417102</v>
      </c>
      <c r="O1097">
        <f t="shared" si="114"/>
        <v>157.04958264024154</v>
      </c>
      <c r="P1097">
        <f t="shared" si="115"/>
        <v>2.3850574712643628E-2</v>
      </c>
      <c r="Q1097">
        <f t="shared" si="116"/>
        <v>2.8688057419178344E-2</v>
      </c>
      <c r="R1097">
        <f t="shared" si="117"/>
        <v>0.2184473132031361</v>
      </c>
      <c r="S1097">
        <f t="shared" si="109"/>
        <v>5.7809328172254677</v>
      </c>
      <c r="T1097" s="564">
        <f>IF((I1097-MAX(I$470:I1097))/MAX(I$470:I1097)&gt;T1096,T1096,(I1097-MAX(I$470:I1097))/MAX(I$470:I1097))</f>
        <v>-0.91338805338419748</v>
      </c>
      <c r="U1097" s="564">
        <f>IF((J1097-MAX(J$470:J1097))/MAX(J$470:J1097)&gt;U1096,U1096,(J1097-MAX(J$470:J1097))/MAX(J$470:J1097))</f>
        <v>-0.70517826086956548</v>
      </c>
      <c r="V1097" s="564">
        <f>IF((K1097-MAX(K$470:K1097))/MAX(K$470:K1097)&gt;V1096,V1096,(K1097-MAX(K$470:K1097))/MAX(K$470:K1097))</f>
        <v>-0.80725522782524772</v>
      </c>
      <c r="W1097" s="564">
        <f>IF((N1097-MAX(N$470:N1097))/MAX(N$470:N1097)&gt;W1096,W1096,(N1097-MAX(N$470:N1097))/MAX(N$470:N1097))</f>
        <v>-0.62788758315546067</v>
      </c>
      <c r="X1097" s="564">
        <f>IF((O1097-MAX(O$470:O1097))/MAX(O$470:O1097)&gt;X1096,X1096,(O1097-MAX(O$470:O1097))/MAX(O$470:O1097))</f>
        <v>-0.62788758315546067</v>
      </c>
    </row>
    <row r="1098" spans="1:24">
      <c r="A1098" s="799">
        <v>41500</v>
      </c>
      <c r="B1098">
        <v>110.55</v>
      </c>
      <c r="C1098">
        <v>108.808029</v>
      </c>
      <c r="D1098">
        <v>1.9287080000000001</v>
      </c>
      <c r="E1098">
        <f>LN(D1098/参数实验室!$E$53)/参数实验室!$E$55</f>
        <v>8.1953035754381648E-2</v>
      </c>
      <c r="F1098">
        <f t="shared" si="118"/>
        <v>0.98424268656716429</v>
      </c>
      <c r="G1098">
        <f>LN(F1098/参数实验室!$E$58)/参数实验室!$E$59</f>
        <v>-0.1988661657672986</v>
      </c>
      <c r="H1098" s="856">
        <f>INDEX(神经网络!$G$10:$BO$70,MATCH(ROUND(G1098*2,1)/2,神经网络!$E$10:$E$70,0),MATCH(ROUND(E1098*2,1)/2,神经网络!$G$8:$BO$8,0))</f>
        <v>-4.1263190542632625E-2</v>
      </c>
      <c r="I1098">
        <f t="shared" si="110"/>
        <v>70.44365951582914</v>
      </c>
      <c r="J1098">
        <f t="shared" si="111"/>
        <v>44.112365827381161</v>
      </c>
      <c r="K1098">
        <f t="shared" si="112"/>
        <v>1.5969141122805928</v>
      </c>
      <c r="L1098" s="4">
        <f>MIN(MAX(L1097*(1+MAX(MIN(((B1098-B1097)/B1097)/($K$7*卓尔金历!$N$40),0),-卓尔金历!$M$43))+MIN(MAX(((B1098-B1097)/B1097)/($K$7*卓尔金历!$N$40),0),卓尔金历!$M$43),0),1)</f>
        <v>1</v>
      </c>
      <c r="M1098" s="4">
        <f>MIN(MAX(M1097*(1+MAX(MIN(((B1098-B1097)/B1097)/($K$7*30),0),-卓尔金历!$M$43))+MIN(MAX(((B1098-B1097)/B1097)/($K$7*7),0),卓尔金历!$M$43),0),1)</f>
        <v>1</v>
      </c>
      <c r="N1098">
        <f t="shared" si="113"/>
        <v>111.7943583724834</v>
      </c>
      <c r="O1098">
        <f t="shared" si="114"/>
        <v>156.58391464201529</v>
      </c>
      <c r="P1098">
        <f t="shared" si="115"/>
        <v>3.4240808307605917E-2</v>
      </c>
      <c r="Q1098">
        <f t="shared" si="116"/>
        <v>2.8806348280671606E-2</v>
      </c>
      <c r="R1098">
        <f t="shared" si="117"/>
        <v>2.3730119378412188E-2</v>
      </c>
      <c r="S1098">
        <f t="shared" si="109"/>
        <v>5.7771883999833955</v>
      </c>
      <c r="T1098" s="564">
        <f>IF((I1098-MAX(I$470:I1098))/MAX(I$470:I1098)&gt;T1097,T1097,(I1098-MAX(I$470:I1098))/MAX(I$470:I1098))</f>
        <v>-0.91338805338419748</v>
      </c>
      <c r="U1098" s="564">
        <f>IF((J1098-MAX(J$470:J1098))/MAX(J$470:J1098)&gt;U1097,U1097,(J1098-MAX(J$470:J1098))/MAX(J$470:J1098))</f>
        <v>-0.70517826086956548</v>
      </c>
      <c r="V1098" s="564">
        <f>IF((K1098-MAX(K$470:K1098))/MAX(K$470:K1098)&gt;V1097,V1097,(K1098-MAX(K$470:K1098))/MAX(K$470:K1098))</f>
        <v>-0.80725522782524772</v>
      </c>
      <c r="W1098" s="564">
        <f>IF((N1098-MAX(N$470:N1098))/MAX(N$470:N1098)&gt;W1097,W1097,(N1098-MAX(N$470:N1098))/MAX(N$470:N1098))</f>
        <v>-0.62788758315546067</v>
      </c>
      <c r="X1098" s="564">
        <f>IF((O1098-MAX(O$470:O1098))/MAX(O$470:O1098)&gt;X1097,X1097,(O1098-MAX(O$470:O1098))/MAX(O$470:O1098))</f>
        <v>-0.62788758315546067</v>
      </c>
    </row>
    <row r="1099" spans="1:24">
      <c r="A1099" s="799">
        <v>41501</v>
      </c>
      <c r="B1099">
        <v>111.70099999999999</v>
      </c>
      <c r="C1099">
        <v>108.57919</v>
      </c>
      <c r="D1099">
        <v>1.9051849999999999</v>
      </c>
      <c r="E1099">
        <f>LN(D1099/参数实验室!$E$53)/参数实验室!$E$55</f>
        <v>6.7476010027611694E-2</v>
      </c>
      <c r="F1099">
        <f t="shared" si="118"/>
        <v>0.97205208547819633</v>
      </c>
      <c r="G1099">
        <f>LN(F1099/参数实验室!$E$58)/参数实验室!$E$59</f>
        <v>-0.20540747966372258</v>
      </c>
      <c r="H1099" s="856">
        <f>INDEX(神经网络!$G$10:$BO$70,MATCH(ROUND(G1099*2,1)/2,神经网络!$E$10:$E$70,0),MATCH(ROUND(E1099*2,1)/2,神经网络!$G$8:$BO$8,0))</f>
        <v>-8.6595554665327659E-2</v>
      </c>
      <c r="I1099">
        <f t="shared" si="110"/>
        <v>70.413395866828367</v>
      </c>
      <c r="J1099">
        <f t="shared" si="111"/>
        <v>44.571645185746746</v>
      </c>
      <c r="K1099">
        <f t="shared" si="112"/>
        <v>1.5797800501504793</v>
      </c>
      <c r="L1099" s="4">
        <f>MIN(MAX(L1098*(1+MAX(MIN(((B1099-B1098)/B1098)/($K$7*卓尔金历!$N$40),0),-卓尔金历!$M$43))+MIN(MAX(((B1099-B1098)/B1098)/($K$7*卓尔金历!$N$40),0),卓尔金历!$M$43),0),1)</f>
        <v>1</v>
      </c>
      <c r="M1099" s="4">
        <f>MIN(MAX(M1098*(1+MAX(MIN(((B1099-B1098)/B1098)/($K$7*30),0),-卓尔金历!$M$43))+MIN(MAX(((B1099-B1098)/B1098)/($K$7*7),0),卓尔金历!$M$43),0),1)</f>
        <v>1</v>
      </c>
      <c r="N1099">
        <f t="shared" si="113"/>
        <v>111.74632984521345</v>
      </c>
      <c r="O1099">
        <f t="shared" si="114"/>
        <v>156.51664385193334</v>
      </c>
      <c r="P1099">
        <f t="shared" si="115"/>
        <v>1.0411578471279929E-2</v>
      </c>
      <c r="Q1099">
        <f t="shared" si="116"/>
        <v>2.8747840153614049E-2</v>
      </c>
      <c r="R1099">
        <f t="shared" si="117"/>
        <v>1</v>
      </c>
      <c r="S1099">
        <f t="shared" si="109"/>
        <v>5.7771295026224303</v>
      </c>
      <c r="T1099" s="564">
        <f>IF((I1099-MAX(I$470:I1099))/MAX(I$470:I1099)&gt;T1098,T1098,(I1099-MAX(I$470:I1099))/MAX(I$470:I1099))</f>
        <v>-0.91338805338419748</v>
      </c>
      <c r="U1099" s="564">
        <f>IF((J1099-MAX(J$470:J1099))/MAX(J$470:J1099)&gt;U1098,U1098,(J1099-MAX(J$470:J1099))/MAX(J$470:J1099))</f>
        <v>-0.70517826086956548</v>
      </c>
      <c r="V1099" s="564">
        <f>IF((K1099-MAX(K$470:K1099))/MAX(K$470:K1099)&gt;V1098,V1098,(K1099-MAX(K$470:K1099))/MAX(K$470:K1099))</f>
        <v>-0.80725522782524772</v>
      </c>
      <c r="W1099" s="564">
        <f>IF((N1099-MAX(N$470:N1099))/MAX(N$470:N1099)&gt;W1098,W1098,(N1099-MAX(N$470:N1099))/MAX(N$470:N1099))</f>
        <v>-0.62788758315546067</v>
      </c>
      <c r="X1099" s="564">
        <f>IF((O1099-MAX(O$470:O1099))/MAX(O$470:O1099)&gt;X1098,X1098,(O1099-MAX(O$470:O1099))/MAX(O$470:O1099))</f>
        <v>-0.62788758315546067</v>
      </c>
    </row>
    <row r="1100" spans="1:24">
      <c r="A1100" s="799">
        <v>41502</v>
      </c>
      <c r="B1100">
        <v>108.65</v>
      </c>
      <c r="C1100">
        <v>109.674386</v>
      </c>
      <c r="D1100">
        <v>1.906841</v>
      </c>
      <c r="E1100">
        <f>LN(D1100/参数实验室!$E$53)/参数实验室!$E$55</f>
        <v>6.8501014314001366E-2</v>
      </c>
      <c r="F1100">
        <f t="shared" si="118"/>
        <v>1.0094283110906581</v>
      </c>
      <c r="G1100">
        <f>LN(F1100/参数实验室!$E$58)/参数实验室!$E$59</f>
        <v>-0.18560471979676901</v>
      </c>
      <c r="H1100" s="856">
        <f>INDEX(神经网络!$G$10:$BO$70,MATCH(ROUND(G1100*2,1)/2,神经网络!$E$10:$E$70,0),MATCH(ROUND(E1100*2,1)/2,神经网络!$G$8:$BO$8,0))</f>
        <v>-8.6595554665327659E-2</v>
      </c>
      <c r="I1100">
        <f t="shared" si="110"/>
        <v>70.579942567873928</v>
      </c>
      <c r="J1100">
        <f t="shared" si="111"/>
        <v>43.35421571365864</v>
      </c>
      <c r="K1100">
        <f t="shared" si="112"/>
        <v>1.6279833784569626</v>
      </c>
      <c r="L1100" s="4">
        <f>MIN(MAX(L1099*(1+MAX(MIN(((B1100-B1099)/B1099)/($K$7*卓尔金历!$N$40),0),-卓尔金历!$M$43))+MIN(MAX(((B1100-B1099)/B1099)/($K$7*卓尔金历!$N$40),0),卓尔金历!$M$43),0),1)</f>
        <v>0.58266844366367088</v>
      </c>
      <c r="M1100" s="4">
        <f>MIN(MAX(M1099*(1+MAX(MIN(((B1100-B1099)/B1099)/($K$7*30),0),-卓尔金历!$M$43))+MIN(MAX(((B1100-B1099)/B1099)/($K$7*7),0),卓尔金历!$M$43),0),1)</f>
        <v>0.79133422183183544</v>
      </c>
      <c r="N1100">
        <f t="shared" si="113"/>
        <v>112.01064009982564</v>
      </c>
      <c r="O1100">
        <f t="shared" si="114"/>
        <v>156.88684799237222</v>
      </c>
      <c r="P1100">
        <f t="shared" si="115"/>
        <v>-2.731399002694683E-2</v>
      </c>
      <c r="Q1100">
        <f t="shared" si="116"/>
        <v>2.9437719244691768E-2</v>
      </c>
      <c r="R1100">
        <f t="shared" si="117"/>
        <v>0.10577820841143754</v>
      </c>
      <c r="S1100">
        <f t="shared" si="109"/>
        <v>5.7907939743941723</v>
      </c>
      <c r="T1100" s="564">
        <f>IF((I1100-MAX(I$470:I1100))/MAX(I$470:I1100)&gt;T1099,T1099,(I1100-MAX(I$470:I1100))/MAX(I$470:I1100))</f>
        <v>-0.91338805338419748</v>
      </c>
      <c r="U1100" s="564">
        <f>IF((J1100-MAX(J$470:J1100))/MAX(J$470:J1100)&gt;U1099,U1099,(J1100-MAX(J$470:J1100))/MAX(J$470:J1100))</f>
        <v>-0.70517826086956548</v>
      </c>
      <c r="V1100" s="564">
        <f>IF((K1100-MAX(K$470:K1100))/MAX(K$470:K1100)&gt;V1099,V1099,(K1100-MAX(K$470:K1100))/MAX(K$470:K1100))</f>
        <v>-0.80725522782524772</v>
      </c>
      <c r="W1100" s="564">
        <f>IF((N1100-MAX(N$470:N1100))/MAX(N$470:N1100)&gt;W1099,W1099,(N1100-MAX(N$470:N1100))/MAX(N$470:N1100))</f>
        <v>-0.62788758315546067</v>
      </c>
      <c r="X1100" s="564">
        <f>IF((O1100-MAX(O$470:O1100))/MAX(O$470:O1100)&gt;X1099,X1099,(O1100-MAX(O$470:O1100))/MAX(O$470:O1100))</f>
        <v>-0.62788758315546067</v>
      </c>
    </row>
    <row r="1101" spans="1:24">
      <c r="A1101" s="799">
        <v>41503</v>
      </c>
      <c r="B1101">
        <v>109</v>
      </c>
      <c r="C1101">
        <v>108.07826900000001</v>
      </c>
      <c r="D1101">
        <v>1.9299489999999999</v>
      </c>
      <c r="E1101">
        <f>LN(D1101/参数实验室!$E$53)/参数实验室!$E$55</f>
        <v>8.2711887254397598E-2</v>
      </c>
      <c r="F1101">
        <f t="shared" si="118"/>
        <v>0.99154375229357805</v>
      </c>
      <c r="G1101">
        <f>LN(F1101/参数实验室!$E$58)/参数实验室!$E$59</f>
        <v>-0.19498719258266978</v>
      </c>
      <c r="H1101" s="856">
        <f>INDEX(神经网络!$G$10:$BO$70,MATCH(ROUND(G1101*2,1)/2,神经网络!$E$10:$E$70,0),MATCH(ROUND(E1101*2,1)/2,神经网络!$G$8:$BO$8,0))</f>
        <v>-4.1263190542632625E-2</v>
      </c>
      <c r="I1101">
        <f t="shared" si="110"/>
        <v>70.560253950789544</v>
      </c>
      <c r="J1101">
        <f t="shared" si="111"/>
        <v>43.49387494513384</v>
      </c>
      <c r="K1101">
        <f t="shared" si="112"/>
        <v>1.6223032332667322</v>
      </c>
      <c r="L1101" s="4">
        <f>MIN(MAX(L1100*(1+MAX(MIN(((B1101-B1100)/B1100)/($K$7*卓尔金历!$N$40),0),-卓尔金历!$M$43))+MIN(MAX(((B1101-B1100)/B1100)/($K$7*卓尔金历!$N$40),0),卓尔金历!$M$43),0),1)</f>
        <v>0.63188762571728918</v>
      </c>
      <c r="M1101" s="4">
        <f>MIN(MAX(M1100*(1+MAX(MIN(((B1101-B1100)/B1100)/($K$7*30),0),-卓尔金历!$M$43))+MIN(MAX(((B1101-B1100)/B1100)/($K$7*7),0),卓尔金历!$M$43),0),1)</f>
        <v>0.89680389766101754</v>
      </c>
      <c r="N1101">
        <f t="shared" si="113"/>
        <v>111.99243409350528</v>
      </c>
      <c r="O1101">
        <f t="shared" si="114"/>
        <v>156.85221576714258</v>
      </c>
      <c r="P1101">
        <f t="shared" si="115"/>
        <v>3.2213529682466112E-3</v>
      </c>
      <c r="Q1101">
        <f t="shared" si="116"/>
        <v>2.8396683530703664E-2</v>
      </c>
      <c r="R1101">
        <f t="shared" si="117"/>
        <v>1</v>
      </c>
      <c r="S1101">
        <f t="shared" si="109"/>
        <v>5.7906231034446298</v>
      </c>
      <c r="T1101" s="564">
        <f>IF((I1101-MAX(I$470:I1101))/MAX(I$470:I1101)&gt;T1100,T1100,(I1101-MAX(I$470:I1101))/MAX(I$470:I1101))</f>
        <v>-0.91338805338419748</v>
      </c>
      <c r="U1101" s="564">
        <f>IF((J1101-MAX(J$470:J1101))/MAX(J$470:J1101)&gt;U1100,U1100,(J1101-MAX(J$470:J1101))/MAX(J$470:J1101))</f>
        <v>-0.70517826086956548</v>
      </c>
      <c r="V1101" s="564">
        <f>IF((K1101-MAX(K$470:K1101))/MAX(K$470:K1101)&gt;V1100,V1100,(K1101-MAX(K$470:K1101))/MAX(K$470:K1101))</f>
        <v>-0.80725522782524772</v>
      </c>
      <c r="W1101" s="564">
        <f>IF((N1101-MAX(N$470:N1101))/MAX(N$470:N1101)&gt;W1100,W1100,(N1101-MAX(N$470:N1101))/MAX(N$470:N1101))</f>
        <v>-0.62788758315546067</v>
      </c>
      <c r="X1101" s="564">
        <f>IF((O1101-MAX(O$470:O1101))/MAX(O$470:O1101)&gt;X1100,X1100,(O1101-MAX(O$470:O1101))/MAX(O$470:O1101))</f>
        <v>-0.62788758315546067</v>
      </c>
    </row>
    <row r="1102" spans="1:24">
      <c r="A1102" s="799">
        <v>41504</v>
      </c>
      <c r="B1102">
        <v>112.17</v>
      </c>
      <c r="C1102">
        <v>106.86815900000001</v>
      </c>
      <c r="D1102">
        <v>1.919829</v>
      </c>
      <c r="E1102">
        <f>LN(D1102/参数实验室!$E$53)/参数实验室!$E$55</f>
        <v>7.6509383977803089E-2</v>
      </c>
      <c r="F1102">
        <f t="shared" si="118"/>
        <v>0.95273387715075331</v>
      </c>
      <c r="G1102">
        <f>LN(F1102/参数实验室!$E$58)/参数实验室!$E$59</f>
        <v>-0.21594327991672294</v>
      </c>
      <c r="H1102" s="856">
        <f>INDEX(神经网络!$G$10:$BO$70,MATCH(ROUND(G1102*2,1)/2,神经网络!$E$10:$E$70,0),MATCH(ROUND(E1102*2,1)/2,神经网络!$G$8:$BO$8,0))</f>
        <v>-4.1263190542632625E-2</v>
      </c>
      <c r="I1102">
        <f t="shared" si="110"/>
        <v>70.475578853403121</v>
      </c>
      <c r="J1102">
        <f t="shared" si="111"/>
        <v>44.758788555923516</v>
      </c>
      <c r="K1102">
        <f t="shared" si="112"/>
        <v>1.5745640381966095</v>
      </c>
      <c r="L1102" s="4">
        <f>MIN(MAX(L1101*(1+MAX(MIN(((B1102-B1101)/B1101)/($K$7*卓尔金历!$N$40),0),-卓尔金历!$M$43))+MIN(MAX(((B1102-B1101)/B1101)/($K$7*卓尔金历!$N$40),0),卓尔金历!$M$43),0),1)</f>
        <v>1</v>
      </c>
      <c r="M1102" s="4">
        <f>MIN(MAX(M1101*(1+MAX(MIN(((B1102-B1101)/B1101)/($K$7*30),0),-卓尔金历!$M$43))+MIN(MAX(((B1102-B1101)/B1101)/($K$7*7),0),卓尔金历!$M$43),0),1)</f>
        <v>1</v>
      </c>
      <c r="N1102">
        <f t="shared" si="113"/>
        <v>111.9075113327585</v>
      </c>
      <c r="O1102">
        <f t="shared" si="114"/>
        <v>156.68341138570486</v>
      </c>
      <c r="P1102">
        <f t="shared" si="115"/>
        <v>2.9082568807339466E-2</v>
      </c>
      <c r="Q1102">
        <f t="shared" si="116"/>
        <v>2.8688352920254581E-2</v>
      </c>
      <c r="R1102">
        <f t="shared" si="117"/>
        <v>2.8009132243289672E-2</v>
      </c>
      <c r="S1102">
        <f t="shared" si="109"/>
        <v>5.7836741265382505</v>
      </c>
      <c r="T1102" s="564">
        <f>IF((I1102-MAX(I$470:I1102))/MAX(I$470:I1102)&gt;T1101,T1101,(I1102-MAX(I$470:I1102))/MAX(I$470:I1102))</f>
        <v>-0.91338805338419748</v>
      </c>
      <c r="U1102" s="564">
        <f>IF((J1102-MAX(J$470:J1102))/MAX(J$470:J1102)&gt;U1101,U1101,(J1102-MAX(J$470:J1102))/MAX(J$470:J1102))</f>
        <v>-0.70517826086956548</v>
      </c>
      <c r="V1102" s="564">
        <f>IF((K1102-MAX(K$470:K1102))/MAX(K$470:K1102)&gt;V1101,V1101,(K1102-MAX(K$470:K1102))/MAX(K$470:K1102))</f>
        <v>-0.80725522782524772</v>
      </c>
      <c r="W1102" s="564">
        <f>IF((N1102-MAX(N$470:N1102))/MAX(N$470:N1102)&gt;W1101,W1101,(N1102-MAX(N$470:N1102))/MAX(N$470:N1102))</f>
        <v>-0.62788758315546067</v>
      </c>
      <c r="X1102" s="564">
        <f>IF((O1102-MAX(O$470:O1102))/MAX(O$470:O1102)&gt;X1101,X1101,(O1102-MAX(O$470:O1102))/MAX(O$470:O1102))</f>
        <v>-0.62788758315546067</v>
      </c>
    </row>
    <row r="1103" spans="1:24">
      <c r="A1103" s="799">
        <v>41505</v>
      </c>
      <c r="B1103">
        <v>117.879</v>
      </c>
      <c r="C1103">
        <v>107.53210900000001</v>
      </c>
      <c r="D1103">
        <v>1.9852080000000001</v>
      </c>
      <c r="E1103">
        <f>LN(D1103/参数实验室!$E$53)/参数实验室!$E$55</f>
        <v>0.11601645918179129</v>
      </c>
      <c r="F1103">
        <f t="shared" si="118"/>
        <v>0.91222447594567313</v>
      </c>
      <c r="G1103">
        <f>LN(F1103/参数实验室!$E$58)/参数实验室!$E$59</f>
        <v>-0.23874793693720231</v>
      </c>
      <c r="H1103" s="856">
        <f>INDEX(神经网络!$G$10:$BO$70,MATCH(ROUND(G1103*2,1)/2,神经网络!$E$10:$E$70,0),MATCH(ROUND(E1103*2,1)/2,神经网络!$G$8:$BO$8,0))</f>
        <v>-0.13445064944753965</v>
      </c>
      <c r="I1103">
        <f t="shared" si="110"/>
        <v>70.327570993133151</v>
      </c>
      <c r="J1103">
        <f t="shared" si="111"/>
        <v>47.036830134471863</v>
      </c>
      <c r="K1103">
        <f t="shared" si="112"/>
        <v>1.4951596608886322</v>
      </c>
      <c r="L1103" s="4">
        <f>MIN(MAX(L1102*(1+MAX(MIN(((B1103-B1102)/B1102)/($K$7*卓尔金历!$N$40),0),-卓尔金历!$M$43))+MIN(MAX(((B1103-B1102)/B1102)/($K$7*卓尔金历!$N$40),0),卓尔金历!$M$43),0),1)</f>
        <v>1</v>
      </c>
      <c r="M1103" s="4">
        <f>MIN(MAX(M1102*(1+MAX(MIN(((B1103-B1102)/B1102)/($K$7*30),0),-卓尔金历!$M$43))+MIN(MAX(((B1103-B1102)/B1102)/($K$7*7),0),卓尔金历!$M$43),0),1)</f>
        <v>1</v>
      </c>
      <c r="N1103">
        <f t="shared" si="113"/>
        <v>111.67249103821149</v>
      </c>
      <c r="O1103">
        <f t="shared" si="114"/>
        <v>156.35435589107408</v>
      </c>
      <c r="P1103">
        <f t="shared" si="115"/>
        <v>5.0895961487028643E-2</v>
      </c>
      <c r="Q1103">
        <f t="shared" si="116"/>
        <v>2.8842005682494863E-2</v>
      </c>
      <c r="R1103">
        <f t="shared" si="117"/>
        <v>1.2394782133335731E-2</v>
      </c>
      <c r="S1103">
        <f t="shared" si="109"/>
        <v>5.7833339145619549</v>
      </c>
      <c r="T1103" s="564">
        <f>IF((I1103-MAX(I$470:I1103))/MAX(I$470:I1103)&gt;T1102,T1102,(I1103-MAX(I$470:I1103))/MAX(I$470:I1103))</f>
        <v>-0.91338805338419748</v>
      </c>
      <c r="U1103" s="564">
        <f>IF((J1103-MAX(J$470:J1103))/MAX(J$470:J1103)&gt;U1102,U1102,(J1103-MAX(J$470:J1103))/MAX(J$470:J1103))</f>
        <v>-0.70517826086956548</v>
      </c>
      <c r="V1103" s="564">
        <f>IF((K1103-MAX(K$470:K1103))/MAX(K$470:K1103)&gt;V1102,V1102,(K1103-MAX(K$470:K1103))/MAX(K$470:K1103))</f>
        <v>-0.80725522782524772</v>
      </c>
      <c r="W1103" s="564">
        <f>IF((N1103-MAX(N$470:N1103))/MAX(N$470:N1103)&gt;W1102,W1102,(N1103-MAX(N$470:N1103))/MAX(N$470:N1103))</f>
        <v>-0.62788758315546067</v>
      </c>
      <c r="X1103" s="564">
        <f>IF((O1103-MAX(O$470:O1103))/MAX(O$470:O1103)&gt;X1102,X1102,(O1103-MAX(O$470:O1103))/MAX(O$470:O1103))</f>
        <v>-0.62788758315546067</v>
      </c>
    </row>
    <row r="1104" spans="1:24">
      <c r="A1104" s="799">
        <v>41506</v>
      </c>
      <c r="B1104">
        <v>120.2</v>
      </c>
      <c r="C1104">
        <v>108.210978</v>
      </c>
      <c r="D1104">
        <v>2.014176</v>
      </c>
      <c r="E1104">
        <f>LN(D1104/参数实验室!$E$53)/参数实验室!$E$55</f>
        <v>0.13310693593003148</v>
      </c>
      <c r="F1104">
        <f t="shared" si="118"/>
        <v>0.90025772046589014</v>
      </c>
      <c r="G1104">
        <f>LN(F1104/参数实验室!$E$58)/参数实验室!$E$59</f>
        <v>-0.24567864364964331</v>
      </c>
      <c r="H1104" s="856">
        <f>INDEX(神经网络!$G$10:$BO$70,MATCH(ROUND(G1104*2,1)/2,神经网络!$E$10:$E$70,0),MATCH(ROUND(E1104*2,1)/2,神经网络!$G$8:$BO$8,0))</f>
        <v>-8.6604253818559851E-2</v>
      </c>
      <c r="I1104">
        <f t="shared" si="110"/>
        <v>70.141393482245761</v>
      </c>
      <c r="J1104">
        <f t="shared" si="111"/>
        <v>47.962970352340257</v>
      </c>
      <c r="K1104">
        <f t="shared" si="112"/>
        <v>1.4624072063715159</v>
      </c>
      <c r="L1104" s="4">
        <f>MIN(MAX(L1103*(1+MAX(MIN(((B1104-B1103)/B1103)/($K$7*卓尔金历!$N$40),0),-卓尔金历!$M$43))+MIN(MAX(((B1104-B1103)/B1103)/($K$7*卓尔金历!$N$40),0),卓尔金历!$M$43),0),1)</f>
        <v>1</v>
      </c>
      <c r="M1104" s="4">
        <f>MIN(MAX(M1103*(1+MAX(MIN(((B1104-B1103)/B1103)/($K$7*30),0),-卓尔金历!$M$43))+MIN(MAX(((B1104-B1103)/B1103)/($K$7*7),0),卓尔金历!$M$43),0),1)</f>
        <v>1</v>
      </c>
      <c r="N1104">
        <f t="shared" si="113"/>
        <v>111.37686151308374</v>
      </c>
      <c r="O1104">
        <f t="shared" si="114"/>
        <v>155.94044048940262</v>
      </c>
      <c r="P1104">
        <f t="shared" si="115"/>
        <v>1.968968179234637E-2</v>
      </c>
      <c r="Q1104">
        <f t="shared" si="116"/>
        <v>2.8578095748729791E-2</v>
      </c>
      <c r="R1104">
        <f t="shared" si="117"/>
        <v>0.4121327838785831</v>
      </c>
      <c r="S1104">
        <f t="shared" si="109"/>
        <v>5.7831441484029025</v>
      </c>
      <c r="T1104" s="564">
        <f>IF((I1104-MAX(I$470:I1104))/MAX(I$470:I1104)&gt;T1103,T1103,(I1104-MAX(I$470:I1104))/MAX(I$470:I1104))</f>
        <v>-0.91338805338419748</v>
      </c>
      <c r="U1104" s="564">
        <f>IF((J1104-MAX(J$470:J1104))/MAX(J$470:J1104)&gt;U1103,U1103,(J1104-MAX(J$470:J1104))/MAX(J$470:J1104))</f>
        <v>-0.70517826086956548</v>
      </c>
      <c r="V1104" s="564">
        <f>IF((K1104-MAX(K$470:K1104))/MAX(K$470:K1104)&gt;V1103,V1103,(K1104-MAX(K$470:K1104))/MAX(K$470:K1104))</f>
        <v>-0.80725522782524772</v>
      </c>
      <c r="W1104" s="564">
        <f>IF((N1104-MAX(N$470:N1104))/MAX(N$470:N1104)&gt;W1103,W1103,(N1104-MAX(N$470:N1104))/MAX(N$470:N1104))</f>
        <v>-0.62788758315546067</v>
      </c>
      <c r="X1104" s="564">
        <f>IF((O1104-MAX(O$470:O1104))/MAX(O$470:O1104)&gt;X1103,X1103,(O1104-MAX(O$470:O1104))/MAX(O$470:O1104))</f>
        <v>-0.62788758315546067</v>
      </c>
    </row>
    <row r="1105" spans="1:24">
      <c r="A1105" s="799">
        <v>41507</v>
      </c>
      <c r="B1105">
        <v>120</v>
      </c>
      <c r="C1105">
        <v>106.53442800000001</v>
      </c>
      <c r="D1105">
        <v>2.128298</v>
      </c>
      <c r="E1105">
        <f>LN(D1105/参数实验室!$E$53)/参数实验室!$E$55</f>
        <v>0.198125992808416</v>
      </c>
      <c r="F1105">
        <f t="shared" si="118"/>
        <v>0.88778690000000005</v>
      </c>
      <c r="G1105">
        <f>LN(F1105/参数实验室!$E$58)/参数实验室!$E$59</f>
        <v>-0.25300001203394396</v>
      </c>
      <c r="H1105" s="856">
        <f>INDEX(神经网络!$G$10:$BO$70,MATCH(ROUND(G1105*2,1)/2,神经网络!$E$10:$E$70,0),MATCH(ROUND(E1105*2,1)/2,神经网络!$G$8:$BO$8,0))</f>
        <v>-4.126054427018884E-2</v>
      </c>
      <c r="I1105">
        <f t="shared" si="110"/>
        <v>70.151500874998376</v>
      </c>
      <c r="J1105">
        <f t="shared" si="111"/>
        <v>47.883165077211572</v>
      </c>
      <c r="K1105">
        <f t="shared" si="112"/>
        <v>1.4650556361902796</v>
      </c>
      <c r="L1105" s="4">
        <f>MIN(MAX(L1104*(1+MAX(MIN(((B1105-B1104)/B1104)/($K$7*卓尔金历!$N$40),0),-卓尔金历!$M$43))+MIN(MAX(((B1105-B1104)/B1104)/($K$7*卓尔金历!$N$40),0),卓尔金历!$M$43),0),1)</f>
        <v>0.97457730387389685</v>
      </c>
      <c r="M1105" s="4">
        <f>MIN(MAX(M1104*(1+MAX(MIN(((B1105-B1104)/B1104)/($K$7*30),0),-卓尔金历!$M$43))+MIN(MAX(((B1105-B1104)/B1104)/($K$7*7),0),卓尔金历!$M$43),0),1)</f>
        <v>0.98728865193694848</v>
      </c>
      <c r="N1105">
        <f t="shared" si="113"/>
        <v>111.39291094733331</v>
      </c>
      <c r="O1105">
        <f t="shared" si="114"/>
        <v>155.96291154678818</v>
      </c>
      <c r="P1105">
        <f t="shared" si="115"/>
        <v>-1.6638935108153315E-3</v>
      </c>
      <c r="Q1105">
        <f t="shared" si="116"/>
        <v>2.2572160799783463E-2</v>
      </c>
      <c r="R1105">
        <f t="shared" si="117"/>
        <v>1</v>
      </c>
      <c r="S1105">
        <f t="shared" si="109"/>
        <v>5.7834876003100728</v>
      </c>
      <c r="T1105" s="564">
        <f>IF((I1105-MAX(I$470:I1105))/MAX(I$470:I1105)&gt;T1104,T1104,(I1105-MAX(I$470:I1105))/MAX(I$470:I1105))</f>
        <v>-0.91338805338419748</v>
      </c>
      <c r="U1105" s="564">
        <f>IF((J1105-MAX(J$470:J1105))/MAX(J$470:J1105)&gt;U1104,U1104,(J1105-MAX(J$470:J1105))/MAX(J$470:J1105))</f>
        <v>-0.70517826086956548</v>
      </c>
      <c r="V1105" s="564">
        <f>IF((K1105-MAX(K$470:K1105))/MAX(K$470:K1105)&gt;V1104,V1104,(K1105-MAX(K$470:K1105))/MAX(K$470:K1105))</f>
        <v>-0.80725522782524772</v>
      </c>
      <c r="W1105" s="564">
        <f>IF((N1105-MAX(N$470:N1105))/MAX(N$470:N1105)&gt;W1104,W1104,(N1105-MAX(N$470:N1105))/MAX(N$470:N1105))</f>
        <v>-0.62788758315546067</v>
      </c>
      <c r="X1105" s="564">
        <f>IF((O1105-MAX(O$470:O1105))/MAX(O$470:O1105)&gt;X1104,X1104,(O1105-MAX(O$470:O1105))/MAX(O$470:O1105))</f>
        <v>-0.62788758315546067</v>
      </c>
    </row>
    <row r="1106" spans="1:24">
      <c r="A1106" s="799">
        <v>41508</v>
      </c>
      <c r="B1106">
        <v>121.9</v>
      </c>
      <c r="C1106">
        <v>102.437713</v>
      </c>
      <c r="D1106">
        <v>2.100244</v>
      </c>
      <c r="E1106">
        <f>LN(D1106/参数实验室!$E$53)/参数实验室!$E$55</f>
        <v>0.18247176347221464</v>
      </c>
      <c r="F1106">
        <f t="shared" si="118"/>
        <v>0.8403421903199344</v>
      </c>
      <c r="G1106">
        <f>LN(F1106/参数实验室!$E$58)/参数实验室!$E$59</f>
        <v>-0.2818263388676383</v>
      </c>
      <c r="H1106" s="856">
        <f>INDEX(神经网络!$G$10:$BO$70,MATCH(ROUND(G1106*2,1)/2,神经网络!$E$10:$E$70,0),MATCH(ROUND(E1106*2,1)/2,神经网络!$G$8:$BO$8,0))</f>
        <v>-0.13443077051308086</v>
      </c>
      <c r="I1106">
        <f t="shared" si="110"/>
        <v>70.105671464130054</v>
      </c>
      <c r="J1106">
        <f t="shared" si="111"/>
        <v>48.641315190934087</v>
      </c>
      <c r="K1106">
        <f t="shared" si="112"/>
        <v>1.4412782875820873</v>
      </c>
      <c r="L1106" s="4">
        <f>MIN(MAX(L1105*(1+MAX(MIN(((B1106-B1105)/B1105)/($K$7*卓尔金历!$N$40),0),-卓尔金历!$M$43))+MIN(MAX(((B1106-B1105)/B1105)/($K$7*卓尔金历!$N$40),0),卓尔金历!$M$43),0),1)</f>
        <v>1</v>
      </c>
      <c r="M1106" s="4">
        <f>MIN(MAX(M1105*(1+MAX(MIN(((B1106-B1105)/B1105)/($K$7*30),0),-卓尔金历!$M$43))+MIN(MAX(((B1106-B1105)/B1105)/($K$7*7),0),卓尔金历!$M$43),0),1)</f>
        <v>1</v>
      </c>
      <c r="N1106">
        <f t="shared" si="113"/>
        <v>111.3219889180034</v>
      </c>
      <c r="O1106">
        <f t="shared" si="114"/>
        <v>155.86231738257257</v>
      </c>
      <c r="P1106">
        <f t="shared" si="115"/>
        <v>1.583333333333338E-2</v>
      </c>
      <c r="Q1106">
        <f t="shared" si="116"/>
        <v>2.0674854303197335E-2</v>
      </c>
      <c r="R1106">
        <f t="shared" si="117"/>
        <v>0.29539520222446319</v>
      </c>
      <c r="S1106">
        <f t="shared" si="109"/>
        <v>5.7797092944124024</v>
      </c>
      <c r="T1106" s="564">
        <f>IF((I1106-MAX(I$470:I1106))/MAX(I$470:I1106)&gt;T1105,T1105,(I1106-MAX(I$470:I1106))/MAX(I$470:I1106))</f>
        <v>-0.91338805338419748</v>
      </c>
      <c r="U1106" s="564">
        <f>IF((J1106-MAX(J$470:J1106))/MAX(J$470:J1106)&gt;U1105,U1105,(J1106-MAX(J$470:J1106))/MAX(J$470:J1106))</f>
        <v>-0.70517826086956548</v>
      </c>
      <c r="V1106" s="564">
        <f>IF((K1106-MAX(K$470:K1106))/MAX(K$470:K1106)&gt;V1105,V1105,(K1106-MAX(K$470:K1106))/MAX(K$470:K1106))</f>
        <v>-0.80725522782524772</v>
      </c>
      <c r="W1106" s="564">
        <f>IF((N1106-MAX(N$470:N1106))/MAX(N$470:N1106)&gt;W1105,W1105,(N1106-MAX(N$470:N1106))/MAX(N$470:N1106))</f>
        <v>-0.62788758315546067</v>
      </c>
      <c r="X1106" s="564">
        <f>IF((O1106-MAX(O$470:O1106))/MAX(O$470:O1106)&gt;X1105,X1105,(O1106-MAX(O$470:O1106))/MAX(O$470:O1106))</f>
        <v>-0.62788758315546067</v>
      </c>
    </row>
    <row r="1107" spans="1:24">
      <c r="A1107" s="799">
        <v>41509</v>
      </c>
      <c r="B1107">
        <v>121.18</v>
      </c>
      <c r="C1107">
        <v>100.558988</v>
      </c>
      <c r="D1107">
        <v>2.060934</v>
      </c>
      <c r="E1107">
        <f>LN(D1107/参数实验室!$E$53)/参数实验室!$E$55</f>
        <v>0.16018121032928806</v>
      </c>
      <c r="F1107">
        <f t="shared" si="118"/>
        <v>0.829831556362436</v>
      </c>
      <c r="G1107">
        <f>LN(F1107/参数实验室!$E$58)/参数实验室!$E$59</f>
        <v>-0.28843238397602405</v>
      </c>
      <c r="H1107" s="856">
        <f>INDEX(神经网络!$G$10:$BO$70,MATCH(ROUND(G1107*2,1)/2,神经网络!$E$10:$E$70,0),MATCH(ROUND(E1107*2,1)/2,神经网络!$G$8:$BO$8,0))</f>
        <v>-0.17978030439049728</v>
      </c>
      <c r="I1107">
        <f t="shared" si="110"/>
        <v>70.161336261432979</v>
      </c>
      <c r="J1107">
        <f t="shared" si="111"/>
        <v>48.354016200470817</v>
      </c>
      <c r="K1107">
        <f t="shared" si="112"/>
        <v>1.4509929427692467</v>
      </c>
      <c r="L1107" s="4">
        <f>MIN(MAX(L1106*(1+MAX(MIN(((B1107-B1106)/B1106)/($K$7*卓尔金历!$N$40),0),-卓尔金历!$M$43))+MIN(MAX(((B1107-B1106)/B1106)/($K$7*卓尔金历!$N$40),0),卓尔金历!$M$43),0),1)</f>
        <v>0.90975464259485506</v>
      </c>
      <c r="M1107" s="4">
        <f>MIN(MAX(M1106*(1+MAX(MIN(((B1107-B1106)/B1106)/($K$7*30),0),-卓尔金历!$M$43))+MIN(MAX(((B1107-B1106)/B1106)/($K$7*7),0),卓尔金历!$M$43),0),1)</f>
        <v>0.95487732129742753</v>
      </c>
      <c r="N1107">
        <f t="shared" si="113"/>
        <v>111.41037999705682</v>
      </c>
      <c r="O1107">
        <f t="shared" si="114"/>
        <v>155.98607405051499</v>
      </c>
      <c r="P1107">
        <f t="shared" si="115"/>
        <v>-5.9064807219031895E-3</v>
      </c>
      <c r="Q1107">
        <f t="shared" si="116"/>
        <v>1.7650675770792979E-2</v>
      </c>
      <c r="R1107">
        <f t="shared" si="117"/>
        <v>1</v>
      </c>
      <c r="S1107">
        <f t="shared" si="109"/>
        <v>5.781064911114365</v>
      </c>
      <c r="T1107" s="564">
        <f>IF((I1107-MAX(I$470:I1107))/MAX(I$470:I1107)&gt;T1106,T1106,(I1107-MAX(I$470:I1107))/MAX(I$470:I1107))</f>
        <v>-0.91338805338419748</v>
      </c>
      <c r="U1107" s="564">
        <f>IF((J1107-MAX(J$470:J1107))/MAX(J$470:J1107)&gt;U1106,U1106,(J1107-MAX(J$470:J1107))/MAX(J$470:J1107))</f>
        <v>-0.70517826086956548</v>
      </c>
      <c r="V1107" s="564">
        <f>IF((K1107-MAX(K$470:K1107))/MAX(K$470:K1107)&gt;V1106,V1106,(K1107-MAX(K$470:K1107))/MAX(K$470:K1107))</f>
        <v>-0.80725522782524772</v>
      </c>
      <c r="W1107" s="564">
        <f>IF((N1107-MAX(N$470:N1107))/MAX(N$470:N1107)&gt;W1106,W1106,(N1107-MAX(N$470:N1107))/MAX(N$470:N1107))</f>
        <v>-0.62788758315546067</v>
      </c>
      <c r="X1107" s="564">
        <f>IF((O1107-MAX(O$470:O1107))/MAX(O$470:O1107)&gt;X1106,X1106,(O1107-MAX(O$470:O1107))/MAX(O$470:O1107))</f>
        <v>-0.62788758315546067</v>
      </c>
    </row>
    <row r="1108" spans="1:24">
      <c r="A1108" s="799">
        <v>41510</v>
      </c>
      <c r="B1108">
        <v>119</v>
      </c>
      <c r="C1108">
        <v>98.718520999999996</v>
      </c>
      <c r="D1108">
        <v>2.0813090000000001</v>
      </c>
      <c r="E1108">
        <f>LN(D1108/参数实验室!$E$53)/参数实验室!$E$55</f>
        <v>0.17178732141947611</v>
      </c>
      <c r="F1108">
        <f t="shared" si="118"/>
        <v>0.82956740336134449</v>
      </c>
      <c r="G1108">
        <f>LN(F1108/参数实验室!$E$58)/参数实验室!$E$59</f>
        <v>-0.28859948275715036</v>
      </c>
      <c r="H1108" s="856">
        <f>INDEX(神经网络!$G$10:$BO$70,MATCH(ROUND(G1108*2,1)/2,神经网络!$E$10:$E$70,0),MATCH(ROUND(E1108*2,1)/2,神经网络!$G$8:$BO$8,0))</f>
        <v>-0.17978030439049728</v>
      </c>
      <c r="I1108">
        <f t="shared" si="110"/>
        <v>70.388252464842481</v>
      </c>
      <c r="J1108">
        <f t="shared" si="111"/>
        <v>47.484138701568135</v>
      </c>
      <c r="K1108">
        <f t="shared" si="112"/>
        <v>1.482352936992789</v>
      </c>
      <c r="L1108" s="4">
        <f>MIN(MAX(L1107*(1+MAX(MIN(((B1108-B1107)/B1107)/($K$7*卓尔金历!$N$40),0),-卓尔金历!$M$43))+MIN(MAX(((B1108-B1107)/B1107)/($K$7*卓尔金历!$N$40),0),卓尔金历!$M$43),0),1)</f>
        <v>0.65969367668026979</v>
      </c>
      <c r="M1108" s="4">
        <f>MIN(MAX(M1107*(1+MAX(MIN(((B1108-B1107)/B1107)/($K$7*30),0),-卓尔金历!$M$43))+MIN(MAX(((B1108-B1107)/B1107)/($K$7*7),0),卓尔金历!$M$43),0),1)</f>
        <v>0.82364548464941034</v>
      </c>
      <c r="N1108">
        <f t="shared" si="113"/>
        <v>111.73818652124694</v>
      </c>
      <c r="O1108">
        <f t="shared" si="114"/>
        <v>156.46780113348592</v>
      </c>
      <c r="P1108">
        <f t="shared" si="115"/>
        <v>-1.7989767288331463E-2</v>
      </c>
      <c r="Q1108">
        <f t="shared" si="116"/>
        <v>1.8301234441620642E-2</v>
      </c>
      <c r="R1108">
        <f t="shared" si="117"/>
        <v>3.5119057832957969E-2</v>
      </c>
      <c r="S1108">
        <f t="shared" si="109"/>
        <v>5.7997620650055897</v>
      </c>
      <c r="T1108" s="564">
        <f>IF((I1108-MAX(I$470:I1108))/MAX(I$470:I1108)&gt;T1107,T1107,(I1108-MAX(I$470:I1108))/MAX(I$470:I1108))</f>
        <v>-0.91338805338419748</v>
      </c>
      <c r="U1108" s="564">
        <f>IF((J1108-MAX(J$470:J1108))/MAX(J$470:J1108)&gt;U1107,U1107,(J1108-MAX(J$470:J1108))/MAX(J$470:J1108))</f>
        <v>-0.70517826086956548</v>
      </c>
      <c r="V1108" s="564">
        <f>IF((K1108-MAX(K$470:K1108))/MAX(K$470:K1108)&gt;V1107,V1107,(K1108-MAX(K$470:K1108))/MAX(K$470:K1108))</f>
        <v>-0.80725522782524772</v>
      </c>
      <c r="W1108" s="564">
        <f>IF((N1108-MAX(N$470:N1108))/MAX(N$470:N1108)&gt;W1107,W1107,(N1108-MAX(N$470:N1108))/MAX(N$470:N1108))</f>
        <v>-0.62788758315546067</v>
      </c>
      <c r="X1108" s="564">
        <f>IF((O1108-MAX(O$470:O1108))/MAX(O$470:O1108)&gt;X1107,X1107,(O1108-MAX(O$470:O1108))/MAX(O$470:O1108))</f>
        <v>-0.62788758315546067</v>
      </c>
    </row>
    <row r="1109" spans="1:24">
      <c r="A1109" s="799">
        <v>41511</v>
      </c>
      <c r="B1109">
        <v>120.5</v>
      </c>
      <c r="C1109">
        <v>99.511263999999997</v>
      </c>
      <c r="D1109">
        <v>2.157295</v>
      </c>
      <c r="E1109">
        <f>LN(D1109/参数实验室!$E$53)/参数实验室!$E$55</f>
        <v>0.21409103049352166</v>
      </c>
      <c r="F1109">
        <f t="shared" si="118"/>
        <v>0.82581961825726136</v>
      </c>
      <c r="G1109">
        <f>LN(F1109/参数实验室!$E$58)/参数实验室!$E$59</f>
        <v>-0.29097601887782487</v>
      </c>
      <c r="H1109" s="856">
        <f>INDEX(神经网络!$G$10:$BO$70,MATCH(ROUND(G1109*2,1)/2,神经网络!$E$10:$E$70,0),MATCH(ROUND(E1109*2,1)/2,神经网络!$G$8:$BO$8,0))</f>
        <v>-0.13443077051308086</v>
      </c>
      <c r="I1109">
        <f t="shared" si="110"/>
        <v>70.228742950720914</v>
      </c>
      <c r="J1109">
        <f t="shared" si="111"/>
        <v>48.08267826503328</v>
      </c>
      <c r="K1109">
        <f t="shared" si="112"/>
        <v>1.4605830100315504</v>
      </c>
      <c r="L1109" s="4">
        <f>MIN(MAX(L1108*(1+MAX(MIN(((B1109-B1108)/B1108)/($K$7*卓尔金历!$N$40),0),-卓尔金历!$M$43))+MIN(MAX(((B1109-B1108)/B1108)/($K$7*卓尔金历!$N$40),0),卓尔金历!$M$43),0),1)</f>
        <v>0.8522866225431408</v>
      </c>
      <c r="M1109" s="4">
        <f>MIN(MAX(M1108*(1+MAX(MIN(((B1109-B1108)/B1108)/($K$7*30),0),-卓尔金历!$M$43))+MIN(MAX(((B1109-B1108)/B1108)/($K$7*7),0),卓尔金历!$M$43),0),1)</f>
        <v>1</v>
      </c>
      <c r="N1109">
        <f t="shared" si="113"/>
        <v>111.57114272587471</v>
      </c>
      <c r="O1109">
        <f t="shared" si="114"/>
        <v>156.17575483218499</v>
      </c>
      <c r="P1109">
        <f t="shared" si="115"/>
        <v>1.2605042016806723E-2</v>
      </c>
      <c r="Q1109">
        <f t="shared" si="116"/>
        <v>1.8320132274853299E-2</v>
      </c>
      <c r="R1109">
        <f t="shared" si="117"/>
        <v>0.39904781893248376</v>
      </c>
      <c r="S1109">
        <f t="shared" si="109"/>
        <v>5.7993004930197802</v>
      </c>
      <c r="T1109" s="564">
        <f>IF((I1109-MAX(I$470:I1109))/MAX(I$470:I1109)&gt;T1108,T1108,(I1109-MAX(I$470:I1109))/MAX(I$470:I1109))</f>
        <v>-0.91338805338419748</v>
      </c>
      <c r="U1109" s="564">
        <f>IF((J1109-MAX(J$470:J1109))/MAX(J$470:J1109)&gt;U1108,U1108,(J1109-MAX(J$470:J1109))/MAX(J$470:J1109))</f>
        <v>-0.70517826086956548</v>
      </c>
      <c r="V1109" s="564">
        <f>IF((K1109-MAX(K$470:K1109))/MAX(K$470:K1109)&gt;V1108,V1108,(K1109-MAX(K$470:K1109))/MAX(K$470:K1109))</f>
        <v>-0.80725522782524772</v>
      </c>
      <c r="W1109" s="564">
        <f>IF((N1109-MAX(N$470:N1109))/MAX(N$470:N1109)&gt;W1108,W1108,(N1109-MAX(N$470:N1109))/MAX(N$470:N1109))</f>
        <v>-0.62788758315546067</v>
      </c>
      <c r="X1109" s="564">
        <f>IF((O1109-MAX(O$470:O1109))/MAX(O$470:O1109)&gt;X1108,X1108,(O1109-MAX(O$470:O1109))/MAX(O$470:O1109))</f>
        <v>-0.62788758315546067</v>
      </c>
    </row>
    <row r="1110" spans="1:24">
      <c r="A1110" s="799">
        <v>41512</v>
      </c>
      <c r="B1110">
        <v>121.8</v>
      </c>
      <c r="C1110">
        <v>100.42999399999999</v>
      </c>
      <c r="D1110">
        <v>2.13483</v>
      </c>
      <c r="E1110">
        <f>LN(D1110/参数实验室!$E$53)/参数实验室!$E$55</f>
        <v>0.20174125100385967</v>
      </c>
      <c r="F1110">
        <f t="shared" si="118"/>
        <v>0.82454839080459763</v>
      </c>
      <c r="G1110">
        <f>LN(F1110/参数实验室!$E$58)/参数实验室!$E$59</f>
        <v>-0.29178457672249747</v>
      </c>
      <c r="H1110" s="856">
        <f>INDEX(神经网络!$G$10:$BO$70,MATCH(ROUND(G1110*2,1)/2,神经网络!$E$10:$E$70,0),MATCH(ROUND(E1110*2,1)/2,神经网络!$G$8:$BO$8,0))</f>
        <v>-0.13443077051308086</v>
      </c>
      <c r="I1110">
        <f t="shared" si="110"/>
        <v>70.126890874080757</v>
      </c>
      <c r="J1110">
        <f t="shared" si="111"/>
        <v>48.601412553369741</v>
      </c>
      <c r="K1110">
        <f t="shared" si="112"/>
        <v>1.4428982037728564</v>
      </c>
      <c r="L1110" s="4">
        <f>MIN(MAX(L1109*(1+MAX(MIN(((B1110-B1109)/B1109)/($K$7*卓尔金历!$N$40),0),-卓尔金历!$M$43))+MIN(MAX(((B1110-B1109)/B1109)/($K$7*卓尔金历!$N$40),0),卓尔金历!$M$43),0),1)</f>
        <v>1</v>
      </c>
      <c r="M1110" s="4">
        <f>MIN(MAX(M1109*(1+MAX(MIN(((B1110-B1109)/B1109)/($K$7*30),0),-卓尔金历!$M$43))+MIN(MAX(((B1110-B1109)/B1109)/($K$7*7),0),卓尔金历!$M$43),0),1)</f>
        <v>1</v>
      </c>
      <c r="N1110">
        <f t="shared" si="113"/>
        <v>111.43323374589475</v>
      </c>
      <c r="O1110">
        <f t="shared" si="114"/>
        <v>155.94925462326535</v>
      </c>
      <c r="P1110">
        <f t="shared" si="115"/>
        <v>1.0788381742738565E-2</v>
      </c>
      <c r="Q1110">
        <f t="shared" si="116"/>
        <v>1.8223714476886414E-2</v>
      </c>
      <c r="R1110">
        <f t="shared" si="117"/>
        <v>0.55217848259990709</v>
      </c>
      <c r="S1110">
        <f t="shared" si="109"/>
        <v>5.7959442334050539</v>
      </c>
      <c r="T1110" s="564">
        <f>IF((I1110-MAX(I$470:I1110))/MAX(I$470:I1110)&gt;T1109,T1109,(I1110-MAX(I$470:I1110))/MAX(I$470:I1110))</f>
        <v>-0.91338805338419748</v>
      </c>
      <c r="U1110" s="564">
        <f>IF((J1110-MAX(J$470:J1110))/MAX(J$470:J1110)&gt;U1109,U1109,(J1110-MAX(J$470:J1110))/MAX(J$470:J1110))</f>
        <v>-0.70517826086956548</v>
      </c>
      <c r="V1110" s="564">
        <f>IF((K1110-MAX(K$470:K1110))/MAX(K$470:K1110)&gt;V1109,V1109,(K1110-MAX(K$470:K1110))/MAX(K$470:K1110))</f>
        <v>-0.80725522782524772</v>
      </c>
      <c r="W1110" s="564">
        <f>IF((N1110-MAX(N$470:N1110))/MAX(N$470:N1110)&gt;W1109,W1109,(N1110-MAX(N$470:N1110))/MAX(N$470:N1110))</f>
        <v>-0.62788758315546067</v>
      </c>
      <c r="X1110" s="564">
        <f>IF((O1110-MAX(O$470:O1110))/MAX(O$470:O1110)&gt;X1109,X1109,(O1110-MAX(O$470:O1110))/MAX(O$470:O1110))</f>
        <v>-0.62788758315546067</v>
      </c>
    </row>
    <row r="1111" spans="1:24">
      <c r="A1111" s="799">
        <v>41513</v>
      </c>
      <c r="B1111">
        <v>122.3</v>
      </c>
      <c r="C1111">
        <v>100.49623099999999</v>
      </c>
      <c r="D1111">
        <v>2.2342230000000001</v>
      </c>
      <c r="E1111">
        <f>LN(D1111/参数实验室!$E$53)/参数实验室!$E$55</f>
        <v>0.25542769010908184</v>
      </c>
      <c r="F1111">
        <f t="shared" si="118"/>
        <v>0.82171897792313975</v>
      </c>
      <c r="G1111">
        <f>LN(F1111/参数实验室!$E$58)/参数实验室!$E$59</f>
        <v>-0.29358869466930015</v>
      </c>
      <c r="H1111" s="856">
        <f>INDEX(神经网络!$G$10:$BO$70,MATCH(ROUND(G1111*2,1)/2,神经网络!$E$10:$E$70,0),MATCH(ROUND(E1111*2,1)/2,神经网络!$G$8:$BO$8,0))</f>
        <v>-8.657672641251056E-2</v>
      </c>
      <c r="I1111">
        <f t="shared" si="110"/>
        <v>70.088191317537706</v>
      </c>
      <c r="J1111">
        <f t="shared" si="111"/>
        <v>48.800925741191449</v>
      </c>
      <c r="K1111">
        <f t="shared" si="112"/>
        <v>1.4362061836539772</v>
      </c>
      <c r="L1111" s="4">
        <f>MIN(MAX(L1110*(1+MAX(MIN(((B1111-B1110)/B1110)/($K$7*卓尔金历!$N$40),0),-卓尔金历!$M$43))+MIN(MAX(((B1111-B1110)/B1110)/($K$7*卓尔金历!$N$40),0),卓尔金历!$M$43),0),1)</f>
        <v>1</v>
      </c>
      <c r="M1111" s="4">
        <f>MIN(MAX(M1110*(1+MAX(MIN(((B1111-B1110)/B1110)/($K$7*30),0),-卓尔金历!$M$43))+MIN(MAX(((B1111-B1110)/B1110)/($K$7*7),0),卓尔金历!$M$43),0),1)</f>
        <v>1</v>
      </c>
      <c r="N1111">
        <f t="shared" si="113"/>
        <v>111.3717392652986</v>
      </c>
      <c r="O1111">
        <f t="shared" si="114"/>
        <v>155.8631939563526</v>
      </c>
      <c r="P1111">
        <f t="shared" si="115"/>
        <v>4.1050903119868639E-3</v>
      </c>
      <c r="Q1111">
        <f t="shared" si="116"/>
        <v>1.7991706532002563E-2</v>
      </c>
      <c r="R1111">
        <f t="shared" si="117"/>
        <v>1</v>
      </c>
      <c r="S1111">
        <f t="shared" ref="S1111:S1174" si="119">S1110*(1+(B1111-B1110)/B1110*H1110*R1110)</f>
        <v>5.7941780935904932</v>
      </c>
      <c r="T1111" s="564">
        <f>IF((I1111-MAX(I$470:I1111))/MAX(I$470:I1111)&gt;T1110,T1110,(I1111-MAX(I$470:I1111))/MAX(I$470:I1111))</f>
        <v>-0.91338805338419748</v>
      </c>
      <c r="U1111" s="564">
        <f>IF((J1111-MAX(J$470:J1111))/MAX(J$470:J1111)&gt;U1110,U1110,(J1111-MAX(J$470:J1111))/MAX(J$470:J1111))</f>
        <v>-0.70517826086956548</v>
      </c>
      <c r="V1111" s="564">
        <f>IF((K1111-MAX(K$470:K1111))/MAX(K$470:K1111)&gt;V1110,V1110,(K1111-MAX(K$470:K1111))/MAX(K$470:K1111))</f>
        <v>-0.80725522782524772</v>
      </c>
      <c r="W1111" s="564">
        <f>IF((N1111-MAX(N$470:N1111))/MAX(N$470:N1111)&gt;W1110,W1110,(N1111-MAX(N$470:N1111))/MAX(N$470:N1111))</f>
        <v>-0.62788758315546067</v>
      </c>
      <c r="X1111" s="564">
        <f>IF((O1111-MAX(O$470:O1111))/MAX(O$470:O1111)&gt;X1110,X1110,(O1111-MAX(O$470:O1111))/MAX(O$470:O1111))</f>
        <v>-0.62788758315546067</v>
      </c>
    </row>
    <row r="1112" spans="1:24">
      <c r="A1112" s="799">
        <v>41514</v>
      </c>
      <c r="B1112">
        <v>126.36</v>
      </c>
      <c r="C1112">
        <v>100.62268400000001</v>
      </c>
      <c r="D1112">
        <v>2.2373639999999999</v>
      </c>
      <c r="E1112">
        <f>LN(D1112/参数实验室!$E$53)/参数实验室!$E$55</f>
        <v>0.25708509073610042</v>
      </c>
      <c r="F1112">
        <f t="shared" si="118"/>
        <v>0.79631753719531506</v>
      </c>
      <c r="G1112">
        <f>LN(F1112/参数实验室!$E$58)/参数实验室!$E$59</f>
        <v>-0.31006934162586175</v>
      </c>
      <c r="H1112" s="856">
        <f>INDEX(神经网络!$G$10:$BO$70,MATCH(ROUND(G1112*2,1)/2,神经网络!$E$10:$E$70,0),MATCH(ROUND(E1112*2,1)/2,神经网络!$G$8:$BO$8,0))</f>
        <v>-8.657672641251056E-2</v>
      </c>
      <c r="I1112">
        <f t="shared" ref="I1112:I1175" si="120">I1111*(1+(B1112-B1111)/B1111*H1111)</f>
        <v>69.886751374547913</v>
      </c>
      <c r="J1112">
        <f t="shared" ref="J1112:J1175" si="121">J1111*B1112/B1111</f>
        <v>50.420972826303775</v>
      </c>
      <c r="K1112">
        <f t="shared" ref="K1112:K1175" si="122">I1112/J1112</f>
        <v>1.3860651125336712</v>
      </c>
      <c r="L1112" s="4">
        <f>MIN(MAX(L1111*(1+MAX(MIN(((B1112-B1111)/B1111)/($K$7*卓尔金历!$N$40),0),-卓尔金历!$M$43))+MIN(MAX(((B1112-B1111)/B1111)/($K$7*卓尔金历!$N$40),0),卓尔金历!$M$43),0),1)</f>
        <v>1</v>
      </c>
      <c r="M1112" s="4">
        <f>MIN(MAX(M1111*(1+MAX(MIN(((B1112-B1111)/B1111)/($K$7*30),0),-卓尔金历!$M$43))+MIN(MAX(((B1112-B1111)/B1111)/($K$7*7),0),卓尔金历!$M$43),0),1)</f>
        <v>1</v>
      </c>
      <c r="N1112">
        <f t="shared" ref="N1112:N1175" si="123">N1111*(1+(B1112-B1111)/B1111*H1111*L1111)</f>
        <v>111.05164658796535</v>
      </c>
      <c r="O1112">
        <f t="shared" ref="O1112:O1175" si="124">O1111*(1+(B1112-B1111)/B1111*H1111*M1111)</f>
        <v>155.4152287240565</v>
      </c>
      <c r="P1112">
        <f t="shared" ref="P1112:P1175" si="125">(B1112-B1111)/B1111</f>
        <v>3.3197056418642699E-2</v>
      </c>
      <c r="Q1112">
        <f t="shared" si="116"/>
        <v>1.8834337399830845E-2</v>
      </c>
      <c r="R1112">
        <f t="shared" si="117"/>
        <v>7.7943752257162192E-3</v>
      </c>
      <c r="S1112">
        <f t="shared" si="119"/>
        <v>5.7775250899545796</v>
      </c>
      <c r="T1112" s="564">
        <f>IF((I1112-MAX(I$470:I1112))/MAX(I$470:I1112)&gt;T1111,T1111,(I1112-MAX(I$470:I1112))/MAX(I$470:I1112))</f>
        <v>-0.91338805338419748</v>
      </c>
      <c r="U1112" s="564">
        <f>IF((J1112-MAX(J$470:J1112))/MAX(J$470:J1112)&gt;U1111,U1111,(J1112-MAX(J$470:J1112))/MAX(J$470:J1112))</f>
        <v>-0.70517826086956548</v>
      </c>
      <c r="V1112" s="564">
        <f>IF((K1112-MAX(K$470:K1112))/MAX(K$470:K1112)&gt;V1111,V1111,(K1112-MAX(K$470:K1112))/MAX(K$470:K1112))</f>
        <v>-0.80725522782524772</v>
      </c>
      <c r="W1112" s="564">
        <f>IF((N1112-MAX(N$470:N1112))/MAX(N$470:N1112)&gt;W1111,W1111,(N1112-MAX(N$470:N1112))/MAX(N$470:N1112))</f>
        <v>-0.62788758315546067</v>
      </c>
      <c r="X1112" s="564">
        <f>IF((O1112-MAX(O$470:O1112))/MAX(O$470:O1112)&gt;X1111,X1111,(O1112-MAX(O$470:O1112))/MAX(O$470:O1112))</f>
        <v>-0.62788758315546067</v>
      </c>
    </row>
    <row r="1113" spans="1:24">
      <c r="A1113" s="799">
        <v>41515</v>
      </c>
      <c r="B1113">
        <v>122.5</v>
      </c>
      <c r="C1113">
        <v>101.189577</v>
      </c>
      <c r="D1113">
        <v>2.2391079999999999</v>
      </c>
      <c r="E1113">
        <f>LN(D1113/参数实验室!$E$53)/参数实验室!$E$55</f>
        <v>0.25800433685741397</v>
      </c>
      <c r="F1113">
        <f t="shared" si="118"/>
        <v>0.82603736326530608</v>
      </c>
      <c r="G1113">
        <f>LN(F1113/参数实验室!$E$58)/参数实验室!$E$59</f>
        <v>-0.2908376481232457</v>
      </c>
      <c r="H1113" s="856">
        <f>INDEX(神经网络!$G$10:$BO$70,MATCH(ROUND(G1113*2,1)/2,神经网络!$E$10:$E$70,0),MATCH(ROUND(E1113*2,1)/2,神经网络!$G$8:$BO$8,0))</f>
        <v>-8.657672641251056E-2</v>
      </c>
      <c r="I1113">
        <f t="shared" si="120"/>
        <v>70.071581901241075</v>
      </c>
      <c r="J1113">
        <f t="shared" si="121"/>
        <v>48.880731016320134</v>
      </c>
      <c r="K1113">
        <f t="shared" si="122"/>
        <v>1.4335215624710238</v>
      </c>
      <c r="L1113" s="4">
        <f>MIN(MAX(L1112*(1+MAX(MIN(((B1113-B1112)/B1112)/($K$7*卓尔金历!$N$40),0),-卓尔金历!$M$43))+MIN(MAX(((B1113-B1112)/B1112)/($K$7*卓尔金历!$N$40),0),卓尔金历!$M$43),0),1)</f>
        <v>0.53326134983301066</v>
      </c>
      <c r="M1113" s="4">
        <f>MIN(MAX(M1112*(1+MAX(MIN(((B1113-B1112)/B1112)/($K$7*30),0),-卓尔金历!$M$43))+MIN(MAX(((B1113-B1112)/B1112)/($K$7*7),0),卓尔金历!$M$43),0),1)</f>
        <v>0.76663067491650527</v>
      </c>
      <c r="N1113">
        <f t="shared" si="123"/>
        <v>111.34534652286419</v>
      </c>
      <c r="O1113">
        <f t="shared" si="124"/>
        <v>155.82625768185218</v>
      </c>
      <c r="P1113">
        <f t="shared" si="125"/>
        <v>-3.0547641658752765E-2</v>
      </c>
      <c r="Q1113">
        <f t="shared" si="116"/>
        <v>2.0043590968961727E-2</v>
      </c>
      <c r="R1113">
        <f t="shared" si="117"/>
        <v>1.0897961291410317E-2</v>
      </c>
      <c r="S1113">
        <f t="shared" si="119"/>
        <v>5.7776441872768869</v>
      </c>
      <c r="T1113" s="564">
        <f>IF((I1113-MAX(I$470:I1113))/MAX(I$470:I1113)&gt;T1112,T1112,(I1113-MAX(I$470:I1113))/MAX(I$470:I1113))</f>
        <v>-0.91338805338419748</v>
      </c>
      <c r="U1113" s="564">
        <f>IF((J1113-MAX(J$470:J1113))/MAX(J$470:J1113)&gt;U1112,U1112,(J1113-MAX(J$470:J1113))/MAX(J$470:J1113))</f>
        <v>-0.70517826086956548</v>
      </c>
      <c r="V1113" s="564">
        <f>IF((K1113-MAX(K$470:K1113))/MAX(K$470:K1113)&gt;V1112,V1112,(K1113-MAX(K$470:K1113))/MAX(K$470:K1113))</f>
        <v>-0.80725522782524772</v>
      </c>
      <c r="W1113" s="564">
        <f>IF((N1113-MAX(N$470:N1113))/MAX(N$470:N1113)&gt;W1112,W1112,(N1113-MAX(N$470:N1113))/MAX(N$470:N1113))</f>
        <v>-0.62788758315546067</v>
      </c>
      <c r="X1113" s="564">
        <f>IF((O1113-MAX(O$470:O1113))/MAX(O$470:O1113)&gt;X1112,X1112,(O1113-MAX(O$470:O1113))/MAX(O$470:O1113))</f>
        <v>-0.62788758315546067</v>
      </c>
    </row>
    <row r="1114" spans="1:24">
      <c r="A1114" s="799">
        <v>41516</v>
      </c>
      <c r="B1114">
        <v>121.68</v>
      </c>
      <c r="C1114">
        <v>100.52598999999999</v>
      </c>
      <c r="D1114">
        <v>2.3421979999999998</v>
      </c>
      <c r="E1114">
        <f>LN(D1114/参数实验室!$E$53)/参数实验室!$E$55</f>
        <v>0.31110766411418406</v>
      </c>
      <c r="F1114">
        <f t="shared" si="118"/>
        <v>0.82615047666009189</v>
      </c>
      <c r="G1114">
        <f>LN(F1114/参数实验室!$E$58)/参数实验室!$E$59</f>
        <v>-0.29076578217527282</v>
      </c>
      <c r="H1114" s="856">
        <f>INDEX(神经网络!$G$10:$BO$70,MATCH(ROUND(G1114*2,1)/2,神经网络!$E$10:$E$70,0),MATCH(ROUND(E1114*2,1)/2,神经网络!$G$8:$BO$8,0))</f>
        <v>-4.1240454560797467E-2</v>
      </c>
      <c r="I1114">
        <f t="shared" si="120"/>
        <v>70.11219076576316</v>
      </c>
      <c r="J1114">
        <f t="shared" si="121"/>
        <v>48.553529388292517</v>
      </c>
      <c r="K1114">
        <f t="shared" si="122"/>
        <v>1.4440184194450956</v>
      </c>
      <c r="L1114" s="4">
        <f>MIN(MAX(L1113*(1+MAX(MIN(((B1114-B1113)/B1113)/($K$7*卓尔金历!$N$40),0),-卓尔金历!$M$43))+MIN(MAX(((B1114-B1113)/B1113)/($K$7*卓尔金历!$N$40),0),卓尔金历!$M$43),0),1)</f>
        <v>0.47872149850153078</v>
      </c>
      <c r="M1114" s="4">
        <f>MIN(MAX(M1113*(1+MAX(MIN(((B1114-B1113)/B1113)/($K$7*30),0),-卓尔金历!$M$43))+MIN(MAX(((B1114-B1113)/B1113)/($K$7*7),0),卓尔金历!$M$43),0),1)</f>
        <v>0.72742670574717427</v>
      </c>
      <c r="N1114">
        <f t="shared" si="123"/>
        <v>111.37975703236307</v>
      </c>
      <c r="O1114">
        <f t="shared" si="124"/>
        <v>155.89548950325587</v>
      </c>
      <c r="P1114">
        <f t="shared" si="125"/>
        <v>-6.6938775510203526E-3</v>
      </c>
      <c r="Q1114">
        <f t="shared" si="116"/>
        <v>1.9823905393394171E-2</v>
      </c>
      <c r="R1114">
        <f t="shared" si="117"/>
        <v>1</v>
      </c>
      <c r="S1114">
        <f t="shared" si="119"/>
        <v>5.7776806773705198</v>
      </c>
      <c r="T1114" s="564">
        <f>IF((I1114-MAX(I$470:I1114))/MAX(I$470:I1114)&gt;T1113,T1113,(I1114-MAX(I$470:I1114))/MAX(I$470:I1114))</f>
        <v>-0.91338805338419748</v>
      </c>
      <c r="U1114" s="564">
        <f>IF((J1114-MAX(J$470:J1114))/MAX(J$470:J1114)&gt;U1113,U1113,(J1114-MAX(J$470:J1114))/MAX(J$470:J1114))</f>
        <v>-0.70517826086956548</v>
      </c>
      <c r="V1114" s="564">
        <f>IF((K1114-MAX(K$470:K1114))/MAX(K$470:K1114)&gt;V1113,V1113,(K1114-MAX(K$470:K1114))/MAX(K$470:K1114))</f>
        <v>-0.80725522782524772</v>
      </c>
      <c r="W1114" s="564">
        <f>IF((N1114-MAX(N$470:N1114))/MAX(N$470:N1114)&gt;W1113,W1113,(N1114-MAX(N$470:N1114))/MAX(N$470:N1114))</f>
        <v>-0.62788758315546067</v>
      </c>
      <c r="X1114" s="564">
        <f>IF((O1114-MAX(O$470:O1114))/MAX(O$470:O1114)&gt;X1113,X1113,(O1114-MAX(O$470:O1114))/MAX(O$470:O1114))</f>
        <v>-0.62788758315546067</v>
      </c>
    </row>
    <row r="1115" spans="1:24">
      <c r="A1115" s="799">
        <v>41517</v>
      </c>
      <c r="B1115">
        <v>133.16999999999999</v>
      </c>
      <c r="C1115">
        <v>98.249313999999998</v>
      </c>
      <c r="D1115">
        <v>2.3960520000000001</v>
      </c>
      <c r="E1115">
        <f>LN(D1115/参数实验室!$E$53)/参数实验室!$E$55</f>
        <v>0.3379264969048657</v>
      </c>
      <c r="F1115">
        <f t="shared" si="118"/>
        <v>0.73777362769392507</v>
      </c>
      <c r="G1115">
        <f>LN(F1115/参数实验室!$E$58)/参数实验室!$E$59</f>
        <v>-0.35014771195552269</v>
      </c>
      <c r="H1115" s="856">
        <f>INDEX(神经网络!$G$10:$BO$70,MATCH(ROUND(G1115*2,1)/2,神经网络!$E$10:$E$70,0),MATCH(ROUND(E1115*2,1)/2,神经网络!$G$8:$BO$8,0))</f>
        <v>-8.6498885842676856E-2</v>
      </c>
      <c r="I1115">
        <f t="shared" si="120"/>
        <v>69.839156088623866</v>
      </c>
      <c r="J1115">
        <f t="shared" si="121"/>
        <v>53.138342444435516</v>
      </c>
      <c r="K1115">
        <f t="shared" si="122"/>
        <v>1.3142893224727827</v>
      </c>
      <c r="L1115" s="4">
        <f>MIN(MAX(L1114*(1+MAX(MIN(((B1115-B1114)/B1114)/($K$7*卓尔金历!$N$40),0),-卓尔金历!$M$43))+MIN(MAX(((B1115-B1114)/B1114)/($K$7*卓尔金历!$N$40),0),卓尔金历!$M$43),0),1)</f>
        <v>1</v>
      </c>
      <c r="M1115" s="4">
        <f>MIN(MAX(M1114*(1+MAX(MIN(((B1115-B1114)/B1114)/($K$7*30),0),-卓尔金历!$M$43))+MIN(MAX(((B1115-B1114)/B1114)/($K$7*7),0),卓尔金历!$M$43),0),1)</f>
        <v>1</v>
      </c>
      <c r="N1115">
        <f t="shared" si="123"/>
        <v>111.17211586175183</v>
      </c>
      <c r="O1115">
        <f t="shared" si="124"/>
        <v>155.4538712025774</v>
      </c>
      <c r="P1115">
        <f t="shared" si="125"/>
        <v>9.4428007889546181E-2</v>
      </c>
      <c r="Q1115">
        <f t="shared" si="116"/>
        <v>2.6919351463500579E-2</v>
      </c>
      <c r="R1115">
        <f t="shared" si="117"/>
        <v>0</v>
      </c>
      <c r="S1115">
        <f t="shared" si="119"/>
        <v>5.755180921463162</v>
      </c>
      <c r="T1115" s="564">
        <f>IF((I1115-MAX(I$470:I1115))/MAX(I$470:I1115)&gt;T1114,T1114,(I1115-MAX(I$470:I1115))/MAX(I$470:I1115))</f>
        <v>-0.91338805338419748</v>
      </c>
      <c r="U1115" s="564">
        <f>IF((J1115-MAX(J$470:J1115))/MAX(J$470:J1115)&gt;U1114,U1114,(J1115-MAX(J$470:J1115))/MAX(J$470:J1115))</f>
        <v>-0.70517826086956548</v>
      </c>
      <c r="V1115" s="564">
        <f>IF((K1115-MAX(K$470:K1115))/MAX(K$470:K1115)&gt;V1114,V1114,(K1115-MAX(K$470:K1115))/MAX(K$470:K1115))</f>
        <v>-0.80725522782524772</v>
      </c>
      <c r="W1115" s="564">
        <f>IF((N1115-MAX(N$470:N1115))/MAX(N$470:N1115)&gt;W1114,W1114,(N1115-MAX(N$470:N1115))/MAX(N$470:N1115))</f>
        <v>-0.62788758315546067</v>
      </c>
      <c r="X1115" s="564">
        <f>IF((O1115-MAX(O$470:O1115))/MAX(O$470:O1115)&gt;X1114,X1114,(O1115-MAX(O$470:O1115))/MAX(O$470:O1115))</f>
        <v>-0.62788758315546067</v>
      </c>
    </row>
    <row r="1116" spans="1:24">
      <c r="A1116" s="799">
        <v>41518</v>
      </c>
      <c r="B1116">
        <v>137.08000000000001</v>
      </c>
      <c r="C1116">
        <v>96.905354000000003</v>
      </c>
      <c r="D1116">
        <v>2.4249860000000001</v>
      </c>
      <c r="E1116">
        <f>LN(D1116/参数实验室!$E$53)/参数实验室!$E$55</f>
        <v>0.35208750962032659</v>
      </c>
      <c r="F1116">
        <f t="shared" si="118"/>
        <v>0.70692554712576594</v>
      </c>
      <c r="G1116">
        <f>LN(F1116/参数实验室!$E$58)/参数实验室!$E$59</f>
        <v>-0.37256511399507686</v>
      </c>
      <c r="H1116" s="856">
        <f>INDEX(神经网络!$G$10:$BO$70,MATCH(ROUND(G1116*2,1)/2,神经网络!$E$10:$E$70,0),MATCH(ROUND(E1116*2,1)/2,神经网络!$G$8:$BO$8,0))</f>
        <v>-8.6498885842676856E-2</v>
      </c>
      <c r="I1116">
        <f t="shared" si="120"/>
        <v>69.661786216037342</v>
      </c>
      <c r="J1116">
        <f t="shared" si="121"/>
        <v>54.698535573201333</v>
      </c>
      <c r="K1116">
        <f t="shared" si="122"/>
        <v>1.2735585237526361</v>
      </c>
      <c r="L1116" s="4">
        <f>MIN(MAX(L1115*(1+MAX(MIN(((B1116-B1115)/B1115)/($K$7*卓尔金历!$N$40),0),-卓尔金历!$M$43))+MIN(MAX(((B1116-B1115)/B1115)/($K$7*卓尔金历!$N$40),0),卓尔金历!$M$43),0),1)</f>
        <v>1</v>
      </c>
      <c r="M1116" s="4">
        <f>MIN(MAX(M1115*(1+MAX(MIN(((B1116-B1115)/B1115)/($K$7*30),0),-卓尔金历!$M$43))+MIN(MAX(((B1116-B1115)/B1115)/($K$7*7),0),卓尔金历!$M$43),0),1)</f>
        <v>1</v>
      </c>
      <c r="N1116">
        <f t="shared" si="123"/>
        <v>110.8897730453445</v>
      </c>
      <c r="O1116">
        <f t="shared" si="124"/>
        <v>155.05906641293626</v>
      </c>
      <c r="P1116">
        <f t="shared" si="125"/>
        <v>2.9360967184801572E-2</v>
      </c>
      <c r="Q1116">
        <f t="shared" si="116"/>
        <v>2.6951184360021918E-2</v>
      </c>
      <c r="R1116">
        <f t="shared" si="117"/>
        <v>2.4614007747954098E-2</v>
      </c>
      <c r="S1116">
        <f t="shared" si="119"/>
        <v>5.755180921463162</v>
      </c>
      <c r="T1116" s="564">
        <f>IF((I1116-MAX(I$470:I1116))/MAX(I$470:I1116)&gt;T1115,T1115,(I1116-MAX(I$470:I1116))/MAX(I$470:I1116))</f>
        <v>-0.91338805338419748</v>
      </c>
      <c r="U1116" s="564">
        <f>IF((J1116-MAX(J$470:J1116))/MAX(J$470:J1116)&gt;U1115,U1115,(J1116-MAX(J$470:J1116))/MAX(J$470:J1116))</f>
        <v>-0.70517826086956548</v>
      </c>
      <c r="V1116" s="564">
        <f>IF((K1116-MAX(K$470:K1116))/MAX(K$470:K1116)&gt;V1115,V1115,(K1116-MAX(K$470:K1116))/MAX(K$470:K1116))</f>
        <v>-0.80725522782524772</v>
      </c>
      <c r="W1116" s="564">
        <f>IF((N1116-MAX(N$470:N1116))/MAX(N$470:N1116)&gt;W1115,W1115,(N1116-MAX(N$470:N1116))/MAX(N$470:N1116))</f>
        <v>-0.62788758315546067</v>
      </c>
      <c r="X1116" s="564">
        <f>IF((O1116-MAX(O$470:O1116))/MAX(O$470:O1116)&gt;X1115,X1115,(O1116-MAX(O$470:O1116))/MAX(O$470:O1116))</f>
        <v>-0.62788758315546067</v>
      </c>
    </row>
    <row r="1117" spans="1:24">
      <c r="A1117" s="799">
        <v>41519</v>
      </c>
      <c r="B1117">
        <v>136.65</v>
      </c>
      <c r="C1117">
        <v>94.785203999999993</v>
      </c>
      <c r="D1117">
        <v>2.397586</v>
      </c>
      <c r="E1117">
        <f>LN(D1117/参数实验室!$E$53)/参数实验室!$E$55</f>
        <v>0.33868155664781197</v>
      </c>
      <c r="F1117">
        <f t="shared" si="118"/>
        <v>0.69363486278814479</v>
      </c>
      <c r="G1117">
        <f>LN(F1117/参数实验室!$E$58)/参数实验室!$E$59</f>
        <v>-0.38252666761562693</v>
      </c>
      <c r="H1117" s="856">
        <f>INDEX(神经网络!$G$10:$BO$70,MATCH(ROUND(G1117*2,1)/2,神经网络!$E$10:$E$70,0),MATCH(ROUND(E1117*2,1)/2,神经网络!$G$8:$BO$8,0))</f>
        <v>-0.17948537496337602</v>
      </c>
      <c r="I1117">
        <f t="shared" si="120"/>
        <v>69.680687855694515</v>
      </c>
      <c r="J1117">
        <f t="shared" si="121"/>
        <v>54.526954231674658</v>
      </c>
      <c r="K1117">
        <f t="shared" si="122"/>
        <v>1.2779127100999357</v>
      </c>
      <c r="L1117" s="4">
        <f>MIN(MAX(L1116*(1+MAX(MIN(((B1117-B1116)/B1116)/($K$7*卓尔金历!$N$40),0),-卓尔金历!$M$43))+MIN(MAX(((B1117-B1116)/B1116)/($K$7*卓尔金历!$N$40),0),卓尔金历!$M$43),0),1)</f>
        <v>0.95207187511038194</v>
      </c>
      <c r="M1117" s="4">
        <f>MIN(MAX(M1116*(1+MAX(MIN(((B1117-B1116)/B1116)/($K$7*30),0),-卓尔金历!$M$43))+MIN(MAX(((B1117-B1116)/B1116)/($K$7*7),0),卓尔金历!$M$43),0),1)</f>
        <v>0.97603593755519102</v>
      </c>
      <c r="N1117">
        <f t="shared" si="123"/>
        <v>110.91986125648035</v>
      </c>
      <c r="O1117">
        <f t="shared" si="124"/>
        <v>155.10113927322476</v>
      </c>
      <c r="P1117">
        <f t="shared" si="125"/>
        <v>-3.1368543915961979E-3</v>
      </c>
      <c r="Q1117">
        <f t="shared" si="116"/>
        <v>2.7176972484770141E-2</v>
      </c>
      <c r="R1117">
        <f t="shared" si="117"/>
        <v>1</v>
      </c>
      <c r="S1117">
        <f t="shared" si="119"/>
        <v>5.7552193581713968</v>
      </c>
      <c r="T1117" s="564">
        <f>IF((I1117-MAX(I$470:I1117))/MAX(I$470:I1117)&gt;T1116,T1116,(I1117-MAX(I$470:I1117))/MAX(I$470:I1117))</f>
        <v>-0.91338805338419748</v>
      </c>
      <c r="U1117" s="564">
        <f>IF((J1117-MAX(J$470:J1117))/MAX(J$470:J1117)&gt;U1116,U1116,(J1117-MAX(J$470:J1117))/MAX(J$470:J1117))</f>
        <v>-0.70517826086956548</v>
      </c>
      <c r="V1117" s="564">
        <f>IF((K1117-MAX(K$470:K1117))/MAX(K$470:K1117)&gt;V1116,V1116,(K1117-MAX(K$470:K1117))/MAX(K$470:K1117))</f>
        <v>-0.80725522782524772</v>
      </c>
      <c r="W1117" s="564">
        <f>IF((N1117-MAX(N$470:N1117))/MAX(N$470:N1117)&gt;W1116,W1116,(N1117-MAX(N$470:N1117))/MAX(N$470:N1117))</f>
        <v>-0.62788758315546067</v>
      </c>
      <c r="X1117" s="564">
        <f>IF((O1117-MAX(O$470:O1117))/MAX(O$470:O1117)&gt;X1116,X1116,(O1117-MAX(O$470:O1117))/MAX(O$470:O1117))</f>
        <v>-0.62788758315546067</v>
      </c>
    </row>
    <row r="1118" spans="1:24">
      <c r="A1118" s="799">
        <v>41520</v>
      </c>
      <c r="B1118">
        <v>135.30000000000001</v>
      </c>
      <c r="C1118">
        <v>94.173817</v>
      </c>
      <c r="D1118">
        <v>2.374298</v>
      </c>
      <c r="E1118">
        <f>LN(D1118/参数实验室!$E$53)/参数实验室!$E$55</f>
        <v>0.32716647720985759</v>
      </c>
      <c r="F1118">
        <f t="shared" si="118"/>
        <v>0.69603708056171465</v>
      </c>
      <c r="G1118">
        <f>LN(F1118/参数实验室!$E$58)/参数实验室!$E$59</f>
        <v>-0.38071211710579839</v>
      </c>
      <c r="H1118" s="856">
        <f>INDEX(神经网络!$G$10:$BO$70,MATCH(ROUND(G1118*2,1)/2,神经网络!$E$10:$E$70,0),MATCH(ROUND(E1118*2,1)/2,神经网络!$G$8:$BO$8,0))</f>
        <v>-0.17948537496337602</v>
      </c>
      <c r="I1118">
        <f t="shared" si="120"/>
        <v>69.804244364462207</v>
      </c>
      <c r="J1118">
        <f t="shared" si="121"/>
        <v>53.988268624556028</v>
      </c>
      <c r="K1118">
        <f t="shared" si="122"/>
        <v>1.2929520827921575</v>
      </c>
      <c r="L1118" s="4">
        <f>MIN(MAX(L1117*(1+MAX(MIN(((B1118-B1117)/B1117)/($K$7*卓尔金历!$N$40),0),-卓尔金历!$M$43))+MIN(MAX(((B1118-B1117)/B1117)/($K$7*卓尔金历!$N$40),0),卓尔金历!$M$43),0),1)</f>
        <v>0.80836089646066034</v>
      </c>
      <c r="M1118" s="4">
        <f>MIN(MAX(M1117*(1+MAX(MIN(((B1118-B1117)/B1117)/($K$7*30),0),-卓尔金历!$M$43))+MIN(MAX(((B1118-B1117)/B1117)/($K$7*7),0),卓尔金历!$M$43),0),1)</f>
        <v>0.90237181436748914</v>
      </c>
      <c r="N1118">
        <f t="shared" si="123"/>
        <v>111.10711575197413</v>
      </c>
      <c r="O1118">
        <f t="shared" si="124"/>
        <v>155.36957109303046</v>
      </c>
      <c r="P1118">
        <f t="shared" si="125"/>
        <v>-9.8792535675081908E-3</v>
      </c>
      <c r="Q1118">
        <f t="shared" si="116"/>
        <v>2.7498420982340548E-2</v>
      </c>
      <c r="R1118">
        <f t="shared" si="117"/>
        <v>1</v>
      </c>
      <c r="S1118">
        <f t="shared" si="119"/>
        <v>5.7654244068437146</v>
      </c>
      <c r="T1118" s="564">
        <f>IF((I1118-MAX(I$470:I1118))/MAX(I$470:I1118)&gt;T1117,T1117,(I1118-MAX(I$470:I1118))/MAX(I$470:I1118))</f>
        <v>-0.91338805338419748</v>
      </c>
      <c r="U1118" s="564">
        <f>IF((J1118-MAX(J$470:J1118))/MAX(J$470:J1118)&gt;U1117,U1117,(J1118-MAX(J$470:J1118))/MAX(J$470:J1118))</f>
        <v>-0.70517826086956548</v>
      </c>
      <c r="V1118" s="564">
        <f>IF((K1118-MAX(K$470:K1118))/MAX(K$470:K1118)&gt;V1117,V1117,(K1118-MAX(K$470:K1118))/MAX(K$470:K1118))</f>
        <v>-0.80725522782524772</v>
      </c>
      <c r="W1118" s="564">
        <f>IF((N1118-MAX(N$470:N1118))/MAX(N$470:N1118)&gt;W1117,W1117,(N1118-MAX(N$470:N1118))/MAX(N$470:N1118))</f>
        <v>-0.62788758315546067</v>
      </c>
      <c r="X1118" s="564">
        <f>IF((O1118-MAX(O$470:O1118))/MAX(O$470:O1118)&gt;X1117,X1117,(O1118-MAX(O$470:O1118))/MAX(O$470:O1118))</f>
        <v>-0.62788758315546067</v>
      </c>
    </row>
    <row r="1119" spans="1:24">
      <c r="A1119" s="799">
        <v>41521</v>
      </c>
      <c r="B1119">
        <v>136.44999999999999</v>
      </c>
      <c r="C1119">
        <v>95.572799000000003</v>
      </c>
      <c r="D1119">
        <v>2.251439</v>
      </c>
      <c r="E1119">
        <f>LN(D1119/参数实验室!$E$53)/参数实验室!$E$55</f>
        <v>0.26448353585773632</v>
      </c>
      <c r="F1119">
        <f t="shared" si="118"/>
        <v>0.7004235910589961</v>
      </c>
      <c r="G1119">
        <f>LN(F1119/参数实验室!$E$58)/参数实验室!$E$59</f>
        <v>-0.37741480213163697</v>
      </c>
      <c r="H1119" s="856">
        <f>INDEX(神经网络!$G$10:$BO$70,MATCH(ROUND(G1119*2,1)/2,神经网络!$E$10:$E$70,0),MATCH(ROUND(E1119*2,1)/2,神经网络!$G$8:$BO$8,0))</f>
        <v>-0.27063124827410689</v>
      </c>
      <c r="I1119">
        <f t="shared" si="120"/>
        <v>69.697753846207519</v>
      </c>
      <c r="J1119">
        <f t="shared" si="121"/>
        <v>54.447148956545966</v>
      </c>
      <c r="K1119">
        <f t="shared" si="122"/>
        <v>1.2800992371856421</v>
      </c>
      <c r="L1119" s="4">
        <f>MIN(MAX(L1118*(1+MAX(MIN(((B1119-B1118)/B1118)/($K$7*卓尔金历!$N$40),0),-卓尔金历!$M$43))+MIN(MAX(((B1119-B1118)/B1118)/($K$7*卓尔金历!$N$40),0),卓尔金历!$M$43),0),1)</f>
        <v>0.93822709326447096</v>
      </c>
      <c r="M1119" s="4">
        <f>MIN(MAX(M1118*(1+MAX(MIN(((B1119-B1118)/B1118)/($K$7*30),0),-卓尔金历!$M$43))+MIN(MAX(((B1119-B1118)/B1118)/($K$7*7),0),卓尔金历!$M$43),0),1)</f>
        <v>1</v>
      </c>
      <c r="N1119">
        <f t="shared" si="123"/>
        <v>110.9700981756547</v>
      </c>
      <c r="O1119">
        <f t="shared" si="124"/>
        <v>155.15568595964717</v>
      </c>
      <c r="P1119">
        <f t="shared" si="125"/>
        <v>8.4996304508497943E-3</v>
      </c>
      <c r="Q1119">
        <f t="shared" si="116"/>
        <v>2.7034057108608286E-2</v>
      </c>
      <c r="R1119">
        <f t="shared" si="117"/>
        <v>1</v>
      </c>
      <c r="S1119">
        <f t="shared" si="119"/>
        <v>5.7566289096840091</v>
      </c>
      <c r="T1119" s="564">
        <f>IF((I1119-MAX(I$470:I1119))/MAX(I$470:I1119)&gt;T1118,T1118,(I1119-MAX(I$470:I1119))/MAX(I$470:I1119))</f>
        <v>-0.91338805338419748</v>
      </c>
      <c r="U1119" s="564">
        <f>IF((J1119-MAX(J$470:J1119))/MAX(J$470:J1119)&gt;U1118,U1118,(J1119-MAX(J$470:J1119))/MAX(J$470:J1119))</f>
        <v>-0.70517826086956548</v>
      </c>
      <c r="V1119" s="564">
        <f>IF((K1119-MAX(K$470:K1119))/MAX(K$470:K1119)&gt;V1118,V1118,(K1119-MAX(K$470:K1119))/MAX(K$470:K1119))</f>
        <v>-0.80725522782524772</v>
      </c>
      <c r="W1119" s="564">
        <f>IF((N1119-MAX(N$470:N1119))/MAX(N$470:N1119)&gt;W1118,W1118,(N1119-MAX(N$470:N1119))/MAX(N$470:N1119))</f>
        <v>-0.62788758315546067</v>
      </c>
      <c r="X1119" s="564">
        <f>IF((O1119-MAX(O$470:O1119))/MAX(O$470:O1119)&gt;X1118,X1118,(O1119-MAX(O$470:O1119))/MAX(O$470:O1119))</f>
        <v>-0.62788758315546067</v>
      </c>
    </row>
    <row r="1120" spans="1:24">
      <c r="A1120" s="799">
        <v>41522</v>
      </c>
      <c r="B1120">
        <v>127.28</v>
      </c>
      <c r="C1120">
        <v>96.247197999999997</v>
      </c>
      <c r="D1120">
        <v>2.2450190000000001</v>
      </c>
      <c r="E1120">
        <f>LN(D1120/参数实验室!$E$53)/参数实验室!$E$55</f>
        <v>0.2611146526287289</v>
      </c>
      <c r="F1120">
        <f t="shared" si="118"/>
        <v>0.7561847737272156</v>
      </c>
      <c r="G1120">
        <f>LN(F1120/参数实验室!$E$58)/参数实验室!$E$59</f>
        <v>-0.33721073370423627</v>
      </c>
      <c r="H1120" s="856">
        <f>INDEX(神经网络!$G$10:$BO$70,MATCH(ROUND(G1120*2,1)/2,神经网络!$E$10:$E$70,0),MATCH(ROUND(E1120*2,1)/2,神经网络!$G$8:$BO$8,0))</f>
        <v>-0.17969944484047501</v>
      </c>
      <c r="I1120">
        <f t="shared" si="120"/>
        <v>70.965383875148575</v>
      </c>
      <c r="J1120">
        <f t="shared" si="121"/>
        <v>50.788077091895723</v>
      </c>
      <c r="K1120">
        <f t="shared" si="122"/>
        <v>1.3972843221991673</v>
      </c>
      <c r="L1120" s="4">
        <f>MIN(MAX(L1119*(1+MAX(MIN(((B1120-B1119)/B1119)/($K$7*卓尔金历!$N$40),0),-卓尔金历!$M$43))+MIN(MAX(((B1120-B1119)/B1119)/($K$7*卓尔金历!$N$40),0),卓尔金历!$M$43),0),1)</f>
        <v>0</v>
      </c>
      <c r="M1120" s="4">
        <f>MIN(MAX(M1119*(1+MAX(MIN(((B1120-B1119)/B1119)/($K$7*30),0),-卓尔金历!$M$43))+MIN(MAX(((B1120-B1119)/B1119)/($K$7*7),0),卓尔金历!$M$43),0),1)</f>
        <v>0.48659289040200204</v>
      </c>
      <c r="N1120">
        <f t="shared" si="123"/>
        <v>112.86369569759097</v>
      </c>
      <c r="O1120">
        <f t="shared" si="124"/>
        <v>157.97758474159909</v>
      </c>
      <c r="P1120">
        <f t="shared" si="125"/>
        <v>-6.7204104067423873E-2</v>
      </c>
      <c r="Q1120">
        <f t="shared" si="116"/>
        <v>3.1688599322431031E-2</v>
      </c>
      <c r="R1120">
        <f t="shared" si="117"/>
        <v>6.710465438342918E-3</v>
      </c>
      <c r="S1120">
        <f t="shared" si="119"/>
        <v>5.861327773975785</v>
      </c>
      <c r="T1120" s="564">
        <f>IF((I1120-MAX(I$470:I1120))/MAX(I$470:I1120)&gt;T1119,T1119,(I1120-MAX(I$470:I1120))/MAX(I$470:I1120))</f>
        <v>-0.91338805338419748</v>
      </c>
      <c r="U1120" s="564">
        <f>IF((J1120-MAX(J$470:J1120))/MAX(J$470:J1120)&gt;U1119,U1119,(J1120-MAX(J$470:J1120))/MAX(J$470:J1120))</f>
        <v>-0.70517826086956548</v>
      </c>
      <c r="V1120" s="564">
        <f>IF((K1120-MAX(K$470:K1120))/MAX(K$470:K1120)&gt;V1119,V1119,(K1120-MAX(K$470:K1120))/MAX(K$470:K1120))</f>
        <v>-0.80725522782524772</v>
      </c>
      <c r="W1120" s="564">
        <f>IF((N1120-MAX(N$470:N1120))/MAX(N$470:N1120)&gt;W1119,W1119,(N1120-MAX(N$470:N1120))/MAX(N$470:N1120))</f>
        <v>-0.62788758315546067</v>
      </c>
      <c r="X1120" s="564">
        <f>IF((O1120-MAX(O$470:O1120))/MAX(O$470:O1120)&gt;X1119,X1119,(O1120-MAX(O$470:O1120))/MAX(O$470:O1120))</f>
        <v>-0.62788758315546067</v>
      </c>
    </row>
    <row r="1121" spans="1:24">
      <c r="A1121" s="799">
        <v>41523</v>
      </c>
      <c r="B1121">
        <v>125.79</v>
      </c>
      <c r="C1121">
        <v>96.423181</v>
      </c>
      <c r="D1121">
        <v>2.1609910000000001</v>
      </c>
      <c r="E1121">
        <f>LN(D1121/参数实验室!$E$53)/参数实验室!$E$55</f>
        <v>0.21611052112219253</v>
      </c>
      <c r="F1121">
        <f t="shared" si="118"/>
        <v>0.76654090945226161</v>
      </c>
      <c r="G1121">
        <f>LN(F1121/参数实验室!$E$58)/参数实验室!$E$59</f>
        <v>-0.33007150492150295</v>
      </c>
      <c r="H1121" s="856">
        <f>INDEX(神经网络!$G$10:$BO$70,MATCH(ROUND(G1121*2,1)/2,神经网络!$E$10:$E$70,0),MATCH(ROUND(E1121*2,1)/2,神经网络!$G$8:$BO$8,0))</f>
        <v>-0.22542987472766768</v>
      </c>
      <c r="I1121">
        <f t="shared" si="120"/>
        <v>71.114669982369122</v>
      </c>
      <c r="J1121">
        <f t="shared" si="121"/>
        <v>50.193527792187012</v>
      </c>
      <c r="K1121">
        <f t="shared" si="122"/>
        <v>1.4168095591288292</v>
      </c>
      <c r="L1121" s="4">
        <f>MIN(MAX(L1120*(1+MAX(MIN(((B1121-B1120)/B1120)/($K$7*卓尔金历!$N$40),0),-卓尔金历!$M$43))+MIN(MAX(((B1121-B1120)/B1120)/($K$7*卓尔金历!$N$40),0),卓尔金历!$M$43),0),1)</f>
        <v>0</v>
      </c>
      <c r="M1121" s="4">
        <f>MIN(MAX(M1120*(1+MAX(MIN(((B1121-B1120)/B1120)/($K$7*30),0),-卓尔金历!$M$43))+MIN(MAX(((B1121-B1120)/B1120)/($K$7*7),0),卓尔金历!$M$43),0),1)</f>
        <v>0.44307599104057516</v>
      </c>
      <c r="N1121">
        <f t="shared" si="123"/>
        <v>112.86369569759097</v>
      </c>
      <c r="O1121">
        <f t="shared" si="124"/>
        <v>158.13929369493269</v>
      </c>
      <c r="P1121">
        <f t="shared" si="125"/>
        <v>-1.1706473915776202E-2</v>
      </c>
      <c r="Q1121">
        <f t="shared" si="116"/>
        <v>3.1058135336170248E-2</v>
      </c>
      <c r="R1121">
        <f t="shared" si="117"/>
        <v>1</v>
      </c>
      <c r="S1121">
        <f t="shared" si="119"/>
        <v>5.8614105151137386</v>
      </c>
      <c r="T1121" s="564">
        <f>IF((I1121-MAX(I$470:I1121))/MAX(I$470:I1121)&gt;T1120,T1120,(I1121-MAX(I$470:I1121))/MAX(I$470:I1121))</f>
        <v>-0.91338805338419748</v>
      </c>
      <c r="U1121" s="564">
        <f>IF((J1121-MAX(J$470:J1121))/MAX(J$470:J1121)&gt;U1120,U1120,(J1121-MAX(J$470:J1121))/MAX(J$470:J1121))</f>
        <v>-0.70517826086956548</v>
      </c>
      <c r="V1121" s="564">
        <f>IF((K1121-MAX(K$470:K1121))/MAX(K$470:K1121)&gt;V1120,V1120,(K1121-MAX(K$470:K1121))/MAX(K$470:K1121))</f>
        <v>-0.80725522782524772</v>
      </c>
      <c r="W1121" s="564">
        <f>IF((N1121-MAX(N$470:N1121))/MAX(N$470:N1121)&gt;W1120,W1120,(N1121-MAX(N$470:N1121))/MAX(N$470:N1121))</f>
        <v>-0.62788758315546067</v>
      </c>
      <c r="X1121" s="564">
        <f>IF((O1121-MAX(O$470:O1121))/MAX(O$470:O1121)&gt;X1120,X1120,(O1121-MAX(O$470:O1121))/MAX(O$470:O1121))</f>
        <v>-0.62788758315546067</v>
      </c>
    </row>
    <row r="1122" spans="1:24">
      <c r="A1122" s="799">
        <v>41524</v>
      </c>
      <c r="B1122">
        <v>121.18</v>
      </c>
      <c r="C1122">
        <v>99.628793999999999</v>
      </c>
      <c r="D1122">
        <v>2.1934279999999999</v>
      </c>
      <c r="E1122">
        <f>LN(D1122/参数实验室!$E$53)/参数实验室!$E$55</f>
        <v>0.23368731556135122</v>
      </c>
      <c r="F1122">
        <f t="shared" si="118"/>
        <v>0.82215542168674693</v>
      </c>
      <c r="G1122">
        <f>LN(F1122/参数实验室!$E$58)/参数实验室!$E$59</f>
        <v>-0.29331000028809495</v>
      </c>
      <c r="H1122" s="856">
        <f>INDEX(神经网络!$G$10:$BO$70,MATCH(ROUND(G1122*2,1)/2,神经网络!$E$10:$E$70,0),MATCH(ROUND(E1122*2,1)/2,神经网络!$G$8:$BO$8,0))</f>
        <v>-8.657672641251056E-2</v>
      </c>
      <c r="I1122">
        <f t="shared" si="120"/>
        <v>71.702193799686938</v>
      </c>
      <c r="J1122">
        <f t="shared" si="121"/>
        <v>48.354016200470802</v>
      </c>
      <c r="K1122">
        <f t="shared" si="122"/>
        <v>1.4828591176877011</v>
      </c>
      <c r="L1122" s="4">
        <f>MIN(MAX(L1121*(1+MAX(MIN(((B1122-B1121)/B1121)/($K$7*卓尔金历!$N$40),0),-卓尔金历!$M$43))+MIN(MAX(((B1122-B1121)/B1121)/($K$7*卓尔金历!$N$40),0),卓尔金历!$M$43),0),1)</f>
        <v>0</v>
      </c>
      <c r="M1122" s="4">
        <f>MIN(MAX(M1121*(1+MAX(MIN(((B1122-B1121)/B1121)/($K$7*30),0),-卓尔金历!$M$43))+MIN(MAX(((B1122-B1121)/B1121)/($K$7*7),0),卓尔金历!$M$43),0),1)</f>
        <v>0.31902532265679517</v>
      </c>
      <c r="N1122">
        <f t="shared" si="123"/>
        <v>112.86369569759097</v>
      </c>
      <c r="O1122">
        <f t="shared" si="124"/>
        <v>158.71816802350389</v>
      </c>
      <c r="P1122">
        <f t="shared" si="125"/>
        <v>-3.6648382224342149E-2</v>
      </c>
      <c r="Q1122">
        <f t="shared" si="116"/>
        <v>3.2447658690856279E-2</v>
      </c>
      <c r="R1122">
        <f t="shared" si="117"/>
        <v>2.7277086979230113E-2</v>
      </c>
      <c r="S1122">
        <f t="shared" si="119"/>
        <v>5.9098353799350223</v>
      </c>
      <c r="T1122" s="564">
        <f>IF((I1122-MAX(I$470:I1122))/MAX(I$470:I1122)&gt;T1121,T1121,(I1122-MAX(I$470:I1122))/MAX(I$470:I1122))</f>
        <v>-0.91338805338419748</v>
      </c>
      <c r="U1122" s="564">
        <f>IF((J1122-MAX(J$470:J1122))/MAX(J$470:J1122)&gt;U1121,U1121,(J1122-MAX(J$470:J1122))/MAX(J$470:J1122))</f>
        <v>-0.70517826086956548</v>
      </c>
      <c r="V1122" s="564">
        <f>IF((K1122-MAX(K$470:K1122))/MAX(K$470:K1122)&gt;V1121,V1121,(K1122-MAX(K$470:K1122))/MAX(K$470:K1122))</f>
        <v>-0.80725522782524772</v>
      </c>
      <c r="W1122" s="564">
        <f>IF((N1122-MAX(N$470:N1122))/MAX(N$470:N1122)&gt;W1121,W1121,(N1122-MAX(N$470:N1122))/MAX(N$470:N1122))</f>
        <v>-0.62788758315546067</v>
      </c>
      <c r="X1122" s="564">
        <f>IF((O1122-MAX(O$470:O1122))/MAX(O$470:O1122)&gt;X1121,X1121,(O1122-MAX(O$470:O1122))/MAX(O$470:O1122))</f>
        <v>-0.62788758315546067</v>
      </c>
    </row>
    <row r="1123" spans="1:24">
      <c r="A1123" s="799">
        <v>41525</v>
      </c>
      <c r="B1123">
        <v>123.46</v>
      </c>
      <c r="C1123">
        <v>101.778257</v>
      </c>
      <c r="D1123">
        <v>2.1597019999999998</v>
      </c>
      <c r="E1123">
        <f>LN(D1123/参数实验室!$E$53)/参数实验室!$E$55</f>
        <v>0.21540660534914627</v>
      </c>
      <c r="F1123">
        <f t="shared" si="118"/>
        <v>0.82438244775635838</v>
      </c>
      <c r="G1123">
        <f>LN(F1123/参数实验室!$E$58)/参数实验室!$E$59</f>
        <v>-0.29189021593797798</v>
      </c>
      <c r="H1123" s="856">
        <f>INDEX(神经网络!$G$10:$BO$70,MATCH(ROUND(G1123*2,1)/2,神经网络!$E$10:$E$70,0),MATCH(ROUND(E1123*2,1)/2,神经网络!$G$8:$BO$8,0))</f>
        <v>-0.13443077051308086</v>
      </c>
      <c r="I1123">
        <f t="shared" si="120"/>
        <v>71.585395235798828</v>
      </c>
      <c r="J1123">
        <f t="shared" si="121"/>
        <v>49.263796336937816</v>
      </c>
      <c r="K1123">
        <f t="shared" si="122"/>
        <v>1.4531035072123413</v>
      </c>
      <c r="L1123" s="4">
        <f>MIN(MAX(L1122*(1+MAX(MIN(((B1123-B1122)/B1122)/($K$7*卓尔金历!$N$40),0),-卓尔金历!$M$43))+MIN(MAX(((B1123-B1122)/B1122)/($K$7*卓尔金历!$N$40),0),卓尔金历!$M$43),0),1)</f>
        <v>0.28747493024984244</v>
      </c>
      <c r="M1123" s="4">
        <f>MIN(MAX(M1122*(1+MAX(MIN(((B1123-B1122)/B1122)/($K$7*30),0),-卓尔金历!$M$43))+MIN(MAX(((B1123-B1122)/B1122)/($K$7*7),0),卓尔金历!$M$43),0),1)</f>
        <v>0.935043030335029</v>
      </c>
      <c r="N1123">
        <f t="shared" si="123"/>
        <v>112.86369569759097</v>
      </c>
      <c r="O1123">
        <f t="shared" si="124"/>
        <v>158.63568646508176</v>
      </c>
      <c r="P1123">
        <f t="shared" si="125"/>
        <v>1.881498597128228E-2</v>
      </c>
      <c r="Q1123">
        <f t="shared" si="116"/>
        <v>3.2165913759146007E-2</v>
      </c>
      <c r="R1123">
        <f t="shared" si="117"/>
        <v>0.58610146811532526</v>
      </c>
      <c r="S1123">
        <f t="shared" si="119"/>
        <v>5.9095727897848507</v>
      </c>
      <c r="T1123" s="564">
        <f>IF((I1123-MAX(I$470:I1123))/MAX(I$470:I1123)&gt;T1122,T1122,(I1123-MAX(I$470:I1123))/MAX(I$470:I1123))</f>
        <v>-0.91338805338419748</v>
      </c>
      <c r="U1123" s="564">
        <f>IF((J1123-MAX(J$470:J1123))/MAX(J$470:J1123)&gt;U1122,U1122,(J1123-MAX(J$470:J1123))/MAX(J$470:J1123))</f>
        <v>-0.70517826086956548</v>
      </c>
      <c r="V1123" s="564">
        <f>IF((K1123-MAX(K$470:K1123))/MAX(K$470:K1123)&gt;V1122,V1122,(K1123-MAX(K$470:K1123))/MAX(K$470:K1123))</f>
        <v>-0.80725522782524772</v>
      </c>
      <c r="W1123" s="564">
        <f>IF((N1123-MAX(N$470:N1123))/MAX(N$470:N1123)&gt;W1122,W1122,(N1123-MAX(N$470:N1123))/MAX(N$470:N1123))</f>
        <v>-0.62788758315546067</v>
      </c>
      <c r="X1123" s="564">
        <f>IF((O1123-MAX(O$470:O1123))/MAX(O$470:O1123)&gt;X1122,X1122,(O1123-MAX(O$470:O1123))/MAX(O$470:O1123))</f>
        <v>-0.62788758315546067</v>
      </c>
    </row>
    <row r="1124" spans="1:24">
      <c r="A1124" s="799">
        <v>41526</v>
      </c>
      <c r="B1124">
        <v>120.85</v>
      </c>
      <c r="C1124">
        <v>102.305829</v>
      </c>
      <c r="D1124">
        <v>2.210035</v>
      </c>
      <c r="E1124">
        <f>LN(D1124/参数实验室!$E$53)/参数实验室!$E$55</f>
        <v>0.24258588244400961</v>
      </c>
      <c r="F1124">
        <f t="shared" si="118"/>
        <v>0.84655216383947052</v>
      </c>
      <c r="G1124">
        <f>LN(F1124/参数实验室!$E$58)/参数实验室!$E$59</f>
        <v>-0.27796202522555225</v>
      </c>
      <c r="H1124" s="856">
        <f>INDEX(神经网络!$G$10:$BO$70,MATCH(ROUND(G1124*2,1)/2,神经网络!$E$10:$E$70,0),MATCH(ROUND(E1124*2,1)/2,神经网络!$G$8:$BO$8,0))</f>
        <v>-8.657672641251056E-2</v>
      </c>
      <c r="I1124">
        <f t="shared" si="120"/>
        <v>71.788835705423594</v>
      </c>
      <c r="J1124">
        <f t="shared" si="121"/>
        <v>48.222337496508466</v>
      </c>
      <c r="K1124">
        <f t="shared" si="122"/>
        <v>1.4887050158159889</v>
      </c>
      <c r="L1124" s="4">
        <f>MIN(MAX(L1123*(1+MAX(MIN(((B1124-B1123)/B1123)/($K$7*卓尔金历!$N$40),0),-卓尔金历!$M$43))+MIN(MAX(((B1124-B1123)/B1123)/($K$7*卓尔金历!$N$40),0),卓尔金历!$M$43),0),1)</f>
        <v>0.19461886204897899</v>
      </c>
      <c r="M1124" s="4">
        <f>MIN(MAX(M1123*(1+MAX(MIN(((B1124-B1123)/B1123)/($K$7*30),0),-卓尔金历!$M$43))+MIN(MAX(((B1124-B1123)/B1123)/($K$7*7),0),卓尔金历!$M$43),0),1)</f>
        <v>0.78403087195295207</v>
      </c>
      <c r="N1124">
        <f t="shared" si="123"/>
        <v>112.95590339284539</v>
      </c>
      <c r="O1124">
        <f t="shared" si="124"/>
        <v>159.057232891735</v>
      </c>
      <c r="P1124">
        <f t="shared" si="125"/>
        <v>-2.1140450348290939E-2</v>
      </c>
      <c r="Q1124">
        <f t="shared" si="116"/>
        <v>3.0914610768739137E-2</v>
      </c>
      <c r="R1124">
        <f t="shared" si="117"/>
        <v>0.4244308970745036</v>
      </c>
      <c r="S1124">
        <f t="shared" si="119"/>
        <v>5.9194161146394801</v>
      </c>
      <c r="T1124" s="564">
        <f>IF((I1124-MAX(I$470:I1124))/MAX(I$470:I1124)&gt;T1123,T1123,(I1124-MAX(I$470:I1124))/MAX(I$470:I1124))</f>
        <v>-0.91338805338419748</v>
      </c>
      <c r="U1124" s="564">
        <f>IF((J1124-MAX(J$470:J1124))/MAX(J$470:J1124)&gt;U1123,U1123,(J1124-MAX(J$470:J1124))/MAX(J$470:J1124))</f>
        <v>-0.70517826086956548</v>
      </c>
      <c r="V1124" s="564">
        <f>IF((K1124-MAX(K$470:K1124))/MAX(K$470:K1124)&gt;V1123,V1123,(K1124-MAX(K$470:K1124))/MAX(K$470:K1124))</f>
        <v>-0.80725522782524772</v>
      </c>
      <c r="W1124" s="564">
        <f>IF((N1124-MAX(N$470:N1124))/MAX(N$470:N1124)&gt;W1123,W1123,(N1124-MAX(N$470:N1124))/MAX(N$470:N1124))</f>
        <v>-0.62788758315546067</v>
      </c>
      <c r="X1124" s="564">
        <f>IF((O1124-MAX(O$470:O1124))/MAX(O$470:O1124)&gt;X1123,X1123,(O1124-MAX(O$470:O1124))/MAX(O$470:O1124))</f>
        <v>-0.62788758315546067</v>
      </c>
    </row>
    <row r="1125" spans="1:24">
      <c r="A1125" s="799">
        <v>41527</v>
      </c>
      <c r="B1125">
        <v>127.25</v>
      </c>
      <c r="C1125">
        <v>103.826024</v>
      </c>
      <c r="D1125">
        <v>2.2228119999999998</v>
      </c>
      <c r="E1125">
        <f>LN(D1125/参数实验室!$E$53)/参数实验室!$E$55</f>
        <v>0.24938681599400966</v>
      </c>
      <c r="F1125">
        <f t="shared" si="118"/>
        <v>0.81592160314341855</v>
      </c>
      <c r="G1125">
        <f>LN(F1125/参数实验室!$E$58)/参数实验室!$E$59</f>
        <v>-0.29730475830195585</v>
      </c>
      <c r="H1125" s="856">
        <f>INDEX(神经网络!$G$10:$BO$70,MATCH(ROUND(G1125*2,1)/2,神经网络!$E$10:$E$70,0),MATCH(ROUND(E1125*2,1)/2,神经网络!$G$8:$BO$8,0))</f>
        <v>-8.657672641251056E-2</v>
      </c>
      <c r="I1125">
        <f t="shared" si="120"/>
        <v>71.459687577286374</v>
      </c>
      <c r="J1125">
        <f t="shared" si="121"/>
        <v>50.776106300626417</v>
      </c>
      <c r="K1125">
        <f t="shared" si="122"/>
        <v>1.4073487075633602</v>
      </c>
      <c r="L1125" s="4">
        <f>MIN(MAX(L1124*(1+MAX(MIN(((B1125-B1124)/B1124)/($K$7*卓尔金历!$N$40),0),-卓尔金历!$M$43))+MIN(MAX(((B1125-B1124)/B1124)/($K$7*卓尔金历!$N$40),0),卓尔金历!$M$43),0),1)</f>
        <v>1</v>
      </c>
      <c r="M1125" s="4">
        <f>MIN(MAX(M1124*(1+MAX(MIN(((B1125-B1124)/B1124)/($K$7*30),0),-卓尔金历!$M$43))+MIN(MAX(((B1125-B1124)/B1124)/($K$7*7),0),卓尔金历!$M$43),0),1)</f>
        <v>1</v>
      </c>
      <c r="N1125">
        <f t="shared" si="123"/>
        <v>112.85511086393024</v>
      </c>
      <c r="O1125">
        <f t="shared" si="124"/>
        <v>158.48546328467981</v>
      </c>
      <c r="P1125">
        <f t="shared" si="125"/>
        <v>5.2958212660322766E-2</v>
      </c>
      <c r="Q1125">
        <f t="shared" si="116"/>
        <v>3.260432579755209E-2</v>
      </c>
      <c r="R1125">
        <f t="shared" si="117"/>
        <v>1.5919225641637318E-2</v>
      </c>
      <c r="S1125">
        <f t="shared" si="119"/>
        <v>5.9078969670774848</v>
      </c>
      <c r="T1125" s="564">
        <f>IF((I1125-MAX(I$470:I1125))/MAX(I$470:I1125)&gt;T1124,T1124,(I1125-MAX(I$470:I1125))/MAX(I$470:I1125))</f>
        <v>-0.91338805338419748</v>
      </c>
      <c r="U1125" s="564">
        <f>IF((J1125-MAX(J$470:J1125))/MAX(J$470:J1125)&gt;U1124,U1124,(J1125-MAX(J$470:J1125))/MAX(J$470:J1125))</f>
        <v>-0.70517826086956548</v>
      </c>
      <c r="V1125" s="564">
        <f>IF((K1125-MAX(K$470:K1125))/MAX(K$470:K1125)&gt;V1124,V1124,(K1125-MAX(K$470:K1125))/MAX(K$470:K1125))</f>
        <v>-0.80725522782524772</v>
      </c>
      <c r="W1125" s="564">
        <f>IF((N1125-MAX(N$470:N1125))/MAX(N$470:N1125)&gt;W1124,W1124,(N1125-MAX(N$470:N1125))/MAX(N$470:N1125))</f>
        <v>-0.62788758315546067</v>
      </c>
      <c r="X1125" s="564">
        <f>IF((O1125-MAX(O$470:O1125))/MAX(O$470:O1125)&gt;X1124,X1124,(O1125-MAX(O$470:O1125))/MAX(O$470:O1125))</f>
        <v>-0.62788758315546067</v>
      </c>
    </row>
    <row r="1126" spans="1:24">
      <c r="A1126" s="799">
        <v>41528</v>
      </c>
      <c r="B1126">
        <v>123.44</v>
      </c>
      <c r="C1126">
        <v>104.871285</v>
      </c>
      <c r="D1126">
        <v>2.3028019999999998</v>
      </c>
      <c r="E1126">
        <f>LN(D1126/参数实验室!$E$53)/参数实验室!$E$55</f>
        <v>0.29109531824422918</v>
      </c>
      <c r="F1126">
        <f t="shared" si="118"/>
        <v>0.84957295042125736</v>
      </c>
      <c r="G1126">
        <f>LN(F1126/参数实验室!$E$58)/参数实验室!$E$59</f>
        <v>-0.27609250072674196</v>
      </c>
      <c r="H1126" s="856">
        <f>INDEX(神经网络!$G$10:$BO$70,MATCH(ROUND(G1126*2,1)/2,神经网络!$E$10:$E$70,0),MATCH(ROUND(E1126*2,1)/2,神经网络!$G$8:$BO$8,0))</f>
        <v>-4.1240454560797467E-2</v>
      </c>
      <c r="I1126">
        <f t="shared" si="120"/>
        <v>71.644925310705929</v>
      </c>
      <c r="J1126">
        <f t="shared" si="121"/>
        <v>49.255815809424952</v>
      </c>
      <c r="K1126">
        <f t="shared" si="122"/>
        <v>1.4545475317657186</v>
      </c>
      <c r="L1126" s="4">
        <f>MIN(MAX(L1125*(1+MAX(MIN(((B1126-B1125)/B1125)/($K$7*卓尔金历!$N$40),0),-卓尔金历!$M$43))+MIN(MAX(((B1126-B1125)/B1125)/($K$7*卓尔金历!$N$40),0),卓尔金历!$M$43),0),1)</f>
        <v>0.54252932167770984</v>
      </c>
      <c r="M1126" s="4">
        <f>MIN(MAX(M1125*(1+MAX(MIN(((B1126-B1125)/B1125)/($K$7*30),0),-卓尔金历!$M$43))+MIN(MAX(((B1126-B1125)/B1125)/($K$7*7),0),卓尔金历!$M$43),0),1)</f>
        <v>0.77126466083885492</v>
      </c>
      <c r="N1126">
        <f t="shared" si="123"/>
        <v>113.14765377378605</v>
      </c>
      <c r="O1126">
        <f t="shared" si="124"/>
        <v>158.89628915020086</v>
      </c>
      <c r="P1126">
        <f t="shared" si="125"/>
        <v>-2.9941060903732827E-2</v>
      </c>
      <c r="Q1126">
        <f t="shared" si="116"/>
        <v>3.33543972231806E-2</v>
      </c>
      <c r="R1126">
        <f t="shared" si="117"/>
        <v>0.14408305149252434</v>
      </c>
      <c r="S1126">
        <f t="shared" si="119"/>
        <v>5.9081407611804186</v>
      </c>
      <c r="T1126" s="564">
        <f>IF((I1126-MAX(I$470:I1126))/MAX(I$470:I1126)&gt;T1125,T1125,(I1126-MAX(I$470:I1126))/MAX(I$470:I1126))</f>
        <v>-0.91338805338419748</v>
      </c>
      <c r="U1126" s="564">
        <f>IF((J1126-MAX(J$470:J1126))/MAX(J$470:J1126)&gt;U1125,U1125,(J1126-MAX(J$470:J1126))/MAX(J$470:J1126))</f>
        <v>-0.70517826086956548</v>
      </c>
      <c r="V1126" s="564">
        <f>IF((K1126-MAX(K$470:K1126))/MAX(K$470:K1126)&gt;V1125,V1125,(K1126-MAX(K$470:K1126))/MAX(K$470:K1126))</f>
        <v>-0.80725522782524772</v>
      </c>
      <c r="W1126" s="564">
        <f>IF((N1126-MAX(N$470:N1126))/MAX(N$470:N1126)&gt;W1125,W1125,(N1126-MAX(N$470:N1126))/MAX(N$470:N1126))</f>
        <v>-0.62788758315546067</v>
      </c>
      <c r="X1126" s="564">
        <f>IF((O1126-MAX(O$470:O1126))/MAX(O$470:O1126)&gt;X1125,X1125,(O1126-MAX(O$470:O1126))/MAX(O$470:O1126))</f>
        <v>-0.62788758315546067</v>
      </c>
    </row>
    <row r="1127" spans="1:24">
      <c r="A1127" s="799">
        <v>41529</v>
      </c>
      <c r="B1127">
        <v>134.51</v>
      </c>
      <c r="C1127">
        <v>103.34773300000001</v>
      </c>
      <c r="D1127">
        <v>2.2842820000000001</v>
      </c>
      <c r="E1127">
        <f>LN(D1127/参数实验室!$E$53)/参数实验室!$E$55</f>
        <v>0.28156893991833715</v>
      </c>
      <c r="F1127">
        <f t="shared" si="118"/>
        <v>0.76832750724853183</v>
      </c>
      <c r="G1127">
        <f>LN(F1127/参数实验室!$E$58)/参数实验室!$E$59</f>
        <v>-0.32884963666226685</v>
      </c>
      <c r="H1127" s="856">
        <f>INDEX(神经网络!$G$10:$BO$70,MATCH(ROUND(G1127*2,1)/2,神经网络!$E$10:$E$70,0),MATCH(ROUND(E1127*2,1)/2,神经网络!$G$8:$BO$8,0))</f>
        <v>-0.13434138617075597</v>
      </c>
      <c r="I1127">
        <f t="shared" si="120"/>
        <v>71.379952943525581</v>
      </c>
      <c r="J1127">
        <f t="shared" si="121"/>
        <v>53.673037787797718</v>
      </c>
      <c r="K1127">
        <f t="shared" si="122"/>
        <v>1.3299033534441278</v>
      </c>
      <c r="L1127" s="4">
        <f>MIN(MAX(L1126*(1+MAX(MIN(((B1127-B1126)/B1126)/($K$7*卓尔金历!$N$40),0),-卓尔金历!$M$43))+MIN(MAX(((B1127-B1126)/B1126)/($K$7*卓尔金历!$N$40),0),卓尔金历!$M$43),0),1)</f>
        <v>1</v>
      </c>
      <c r="M1127" s="4">
        <f>MIN(MAX(M1126*(1+MAX(MIN(((B1127-B1126)/B1126)/($K$7*30),0),-卓尔金历!$M$43))+MIN(MAX(((B1127-B1126)/B1126)/($K$7*7),0),卓尔金历!$M$43),0),1)</f>
        <v>1</v>
      </c>
      <c r="N1127">
        <f t="shared" si="123"/>
        <v>112.92062342342966</v>
      </c>
      <c r="O1127">
        <f t="shared" si="124"/>
        <v>158.44304486310961</v>
      </c>
      <c r="P1127">
        <f t="shared" si="125"/>
        <v>8.9679196370706357E-2</v>
      </c>
      <c r="Q1127">
        <f t="shared" si="116"/>
        <v>3.8181854192517142E-2</v>
      </c>
      <c r="R1127">
        <f t="shared" si="117"/>
        <v>4.8737966874669355E-3</v>
      </c>
      <c r="S1127">
        <f t="shared" si="119"/>
        <v>5.9049924410747225</v>
      </c>
      <c r="T1127" s="564">
        <f>IF((I1127-MAX(I$470:I1127))/MAX(I$470:I1127)&gt;T1126,T1126,(I1127-MAX(I$470:I1127))/MAX(I$470:I1127))</f>
        <v>-0.91338805338419748</v>
      </c>
      <c r="U1127" s="564">
        <f>IF((J1127-MAX(J$470:J1127))/MAX(J$470:J1127)&gt;U1126,U1126,(J1127-MAX(J$470:J1127))/MAX(J$470:J1127))</f>
        <v>-0.70517826086956548</v>
      </c>
      <c r="V1127" s="564">
        <f>IF((K1127-MAX(K$470:K1127))/MAX(K$470:K1127)&gt;V1126,V1126,(K1127-MAX(K$470:K1127))/MAX(K$470:K1127))</f>
        <v>-0.80725522782524772</v>
      </c>
      <c r="W1127" s="564">
        <f>IF((N1127-MAX(N$470:N1127))/MAX(N$470:N1127)&gt;W1126,W1126,(N1127-MAX(N$470:N1127))/MAX(N$470:N1127))</f>
        <v>-0.62788758315546067</v>
      </c>
      <c r="X1127" s="564">
        <f>IF((O1127-MAX(O$470:O1127))/MAX(O$470:O1127)&gt;X1126,X1126,(O1127-MAX(O$470:O1127))/MAX(O$470:O1127))</f>
        <v>-0.62788758315546067</v>
      </c>
    </row>
    <row r="1128" spans="1:24">
      <c r="A1128" s="799">
        <v>41530</v>
      </c>
      <c r="B1128">
        <v>136.31</v>
      </c>
      <c r="C1128">
        <v>101.523374</v>
      </c>
      <c r="D1128">
        <v>2.2915260000000002</v>
      </c>
      <c r="E1128">
        <f>LN(D1128/参数实验室!$E$53)/参数实验室!$E$55</f>
        <v>0.28530429753774611</v>
      </c>
      <c r="F1128">
        <f t="shared" si="118"/>
        <v>0.74479769642726146</v>
      </c>
      <c r="G1128">
        <f>LN(F1128/参数实验室!$E$58)/参数实验室!$E$59</f>
        <v>-0.34517440861739002</v>
      </c>
      <c r="H1128" s="856">
        <f>INDEX(神经网络!$G$10:$BO$70,MATCH(ROUND(G1128*2,1)/2,神经网络!$E$10:$E$70,0),MATCH(ROUND(E1128*2,1)/2,神经网络!$G$8:$BO$8,0))</f>
        <v>-0.13434138617075597</v>
      </c>
      <c r="I1128">
        <f t="shared" si="120"/>
        <v>71.251630088110929</v>
      </c>
      <c r="J1128">
        <f t="shared" si="121"/>
        <v>54.391285263955901</v>
      </c>
      <c r="K1128">
        <f t="shared" si="122"/>
        <v>1.3099824676385807</v>
      </c>
      <c r="L1128" s="4">
        <f>MIN(MAX(L1127*(1+MAX(MIN(((B1128-B1127)/B1127)/($K$7*卓尔金历!$N$40),0),-卓尔金历!$M$43))+MIN(MAX(((B1128-B1127)/B1127)/($K$7*卓尔金历!$N$40),0),卓尔金历!$M$43),0),1)</f>
        <v>1</v>
      </c>
      <c r="M1128" s="4">
        <f>MIN(MAX(M1127*(1+MAX(MIN(((B1128-B1127)/B1127)/($K$7*30),0),-卓尔金历!$M$43))+MIN(MAX(((B1128-B1127)/B1127)/($K$7*7),0),卓尔金历!$M$43),0),1)</f>
        <v>1</v>
      </c>
      <c r="N1128">
        <f t="shared" si="123"/>
        <v>112.71762109244798</v>
      </c>
      <c r="O1128">
        <f t="shared" si="124"/>
        <v>158.15820488915344</v>
      </c>
      <c r="P1128">
        <f t="shared" si="125"/>
        <v>1.3381904691101119E-2</v>
      </c>
      <c r="Q1128">
        <f t="shared" si="116"/>
        <v>3.8130506994643272E-2</v>
      </c>
      <c r="R1128">
        <f t="shared" si="117"/>
        <v>1</v>
      </c>
      <c r="S1128">
        <f t="shared" si="119"/>
        <v>5.9049407024938905</v>
      </c>
      <c r="T1128" s="564">
        <f>IF((I1128-MAX(I$470:I1128))/MAX(I$470:I1128)&gt;T1127,T1127,(I1128-MAX(I$470:I1128))/MAX(I$470:I1128))</f>
        <v>-0.91338805338419748</v>
      </c>
      <c r="U1128" s="564">
        <f>IF((J1128-MAX(J$470:J1128))/MAX(J$470:J1128)&gt;U1127,U1127,(J1128-MAX(J$470:J1128))/MAX(J$470:J1128))</f>
        <v>-0.70517826086956548</v>
      </c>
      <c r="V1128" s="564">
        <f>IF((K1128-MAX(K$470:K1128))/MAX(K$470:K1128)&gt;V1127,V1127,(K1128-MAX(K$470:K1128))/MAX(K$470:K1128))</f>
        <v>-0.80725522782524772</v>
      </c>
      <c r="W1128" s="564">
        <f>IF((N1128-MAX(N$470:N1128))/MAX(N$470:N1128)&gt;W1127,W1127,(N1128-MAX(N$470:N1128))/MAX(N$470:N1128))</f>
        <v>-0.62788758315546067</v>
      </c>
      <c r="X1128" s="564">
        <f>IF((O1128-MAX(O$470:O1128))/MAX(O$470:O1128)&gt;X1127,X1127,(O1128-MAX(O$470:O1128))/MAX(O$470:O1128))</f>
        <v>-0.62788758315546067</v>
      </c>
    </row>
    <row r="1129" spans="1:24">
      <c r="A1129" s="799">
        <v>41531</v>
      </c>
      <c r="B1129">
        <v>132.62</v>
      </c>
      <c r="C1129">
        <v>99.122155000000006</v>
      </c>
      <c r="D1129">
        <v>2.2279550000000001</v>
      </c>
      <c r="E1129">
        <f>LN(D1129/参数实验室!$E$53)/参数实验室!$E$55</f>
        <v>0.25211330050074149</v>
      </c>
      <c r="F1129">
        <f t="shared" si="118"/>
        <v>0.7474148318503997</v>
      </c>
      <c r="G1129">
        <f>LN(F1129/参数实验室!$E$58)/参数实验室!$E$59</f>
        <v>-0.34333336320257662</v>
      </c>
      <c r="H1129" s="856">
        <f>INDEX(神经网络!$G$10:$BO$70,MATCH(ROUND(G1129*2,1)/2,神经网络!$E$10:$E$70,0),MATCH(ROUND(E1129*2,1)/2,神经网络!$G$8:$BO$8,0))</f>
        <v>-0.17969944484047501</v>
      </c>
      <c r="I1129">
        <f t="shared" si="120"/>
        <v>71.510751486089305</v>
      </c>
      <c r="J1129">
        <f t="shared" si="121"/>
        <v>52.918877937831645</v>
      </c>
      <c r="K1129">
        <f t="shared" si="122"/>
        <v>1.3513278110336944</v>
      </c>
      <c r="L1129" s="4">
        <f>MIN(MAX(L1128*(1+MAX(MIN(((B1129-B1128)/B1128)/($K$7*卓尔金历!$N$40),0),-卓尔金历!$M$43))+MIN(MAX(((B1129-B1128)/B1128)/($K$7*卓尔金历!$N$40),0),卓尔金历!$M$43),0),1)</f>
        <v>0.58638647955471479</v>
      </c>
      <c r="M1129" s="4">
        <f>MIN(MAX(M1128*(1+MAX(MIN(((B1129-B1128)/B1128)/($K$7*30),0),-卓尔金历!$M$43))+MIN(MAX(((B1129-B1128)/B1128)/($K$7*7),0),卓尔金历!$M$43),0),1)</f>
        <v>0.79319323977735734</v>
      </c>
      <c r="N1129">
        <f t="shared" si="123"/>
        <v>113.12754220608642</v>
      </c>
      <c r="O1129">
        <f t="shared" si="124"/>
        <v>158.73338015324143</v>
      </c>
      <c r="P1129">
        <f t="shared" si="125"/>
        <v>-2.7070647788129981E-2</v>
      </c>
      <c r="Q1129">
        <f t="shared" si="116"/>
        <v>3.8453975443512964E-2</v>
      </c>
      <c r="R1129">
        <f t="shared" si="117"/>
        <v>0.40252682411538987</v>
      </c>
      <c r="S1129">
        <f t="shared" si="119"/>
        <v>5.9264152496434432</v>
      </c>
      <c r="T1129" s="564">
        <f>IF((I1129-MAX(I$470:I1129))/MAX(I$470:I1129)&gt;T1128,T1128,(I1129-MAX(I$470:I1129))/MAX(I$470:I1129))</f>
        <v>-0.91338805338419748</v>
      </c>
      <c r="U1129" s="564">
        <f>IF((J1129-MAX(J$470:J1129))/MAX(J$470:J1129)&gt;U1128,U1128,(J1129-MAX(J$470:J1129))/MAX(J$470:J1129))</f>
        <v>-0.70517826086956548</v>
      </c>
      <c r="V1129" s="564">
        <f>IF((K1129-MAX(K$470:K1129))/MAX(K$470:K1129)&gt;V1128,V1128,(K1129-MAX(K$470:K1129))/MAX(K$470:K1129))</f>
        <v>-0.80725522782524772</v>
      </c>
      <c r="W1129" s="564">
        <f>IF((N1129-MAX(N$470:N1129))/MAX(N$470:N1129)&gt;W1128,W1128,(N1129-MAX(N$470:N1129))/MAX(N$470:N1129))</f>
        <v>-0.62788758315546067</v>
      </c>
      <c r="X1129" s="564">
        <f>IF((O1129-MAX(O$470:O1129))/MAX(O$470:O1129)&gt;X1128,X1128,(O1129-MAX(O$470:O1129))/MAX(O$470:O1129))</f>
        <v>-0.62788758315546067</v>
      </c>
    </row>
    <row r="1130" spans="1:24">
      <c r="A1130" s="799">
        <v>41532</v>
      </c>
      <c r="B1130">
        <v>128.62</v>
      </c>
      <c r="C1130">
        <v>98.569483000000005</v>
      </c>
      <c r="D1130">
        <v>2.2380969999999998</v>
      </c>
      <c r="E1130">
        <f>LN(D1130/参数实验室!$E$53)/参数实验室!$E$55</f>
        <v>0.25747153545567847</v>
      </c>
      <c r="F1130">
        <f t="shared" si="118"/>
        <v>0.76636201990359198</v>
      </c>
      <c r="G1130">
        <f>LN(F1130/参数实验室!$E$58)/参数实验室!$E$59</f>
        <v>-0.33019400570287988</v>
      </c>
      <c r="H1130" s="856">
        <f>INDEX(神经网络!$G$10:$BO$70,MATCH(ROUND(G1130*2,1)/2,神经网络!$E$10:$E$70,0),MATCH(ROUND(E1130*2,1)/2,神经网络!$G$8:$BO$8,0))</f>
        <v>-0.17969944484047501</v>
      </c>
      <c r="I1130">
        <f t="shared" si="120"/>
        <v>71.898338346055397</v>
      </c>
      <c r="J1130">
        <f t="shared" si="121"/>
        <v>51.322772435257924</v>
      </c>
      <c r="K1130">
        <f t="shared" si="122"/>
        <v>1.400905191486935</v>
      </c>
      <c r="L1130" s="4">
        <f>MIN(MAX(L1129*(1+MAX(MIN(((B1130-B1129)/B1129)/($K$7*卓尔金历!$N$40),0),-卓尔金历!$M$43))+MIN(MAX(((B1130-B1129)/B1129)/($K$7*卓尔金历!$N$40),0),卓尔金历!$M$43),0),1)</f>
        <v>0.31615807676216495</v>
      </c>
      <c r="M1130" s="4">
        <f>MIN(MAX(M1129*(1+MAX(MIN(((B1130-B1129)/B1129)/($K$7*30),0),-卓尔金历!$M$43))+MIN(MAX(((B1130-B1129)/B1129)/($K$7*7),0),卓尔金历!$M$43),0),1)</f>
        <v>0.61042696722137213</v>
      </c>
      <c r="N1130">
        <f t="shared" si="123"/>
        <v>113.48708451502925</v>
      </c>
      <c r="O1130">
        <f t="shared" si="124"/>
        <v>159.41578950810043</v>
      </c>
      <c r="P1130">
        <f t="shared" si="125"/>
        <v>-3.0161363293620871E-2</v>
      </c>
      <c r="Q1130">
        <f t="shared" si="116"/>
        <v>3.9170590745295698E-2</v>
      </c>
      <c r="R1130">
        <f t="shared" si="117"/>
        <v>0.30986896390843838</v>
      </c>
      <c r="S1130">
        <f t="shared" si="119"/>
        <v>5.9393448353137961</v>
      </c>
      <c r="T1130" s="564">
        <f>IF((I1130-MAX(I$470:I1130))/MAX(I$470:I1130)&gt;T1129,T1129,(I1130-MAX(I$470:I1130))/MAX(I$470:I1130))</f>
        <v>-0.91338805338419748</v>
      </c>
      <c r="U1130" s="564">
        <f>IF((J1130-MAX(J$470:J1130))/MAX(J$470:J1130)&gt;U1129,U1129,(J1130-MAX(J$470:J1130))/MAX(J$470:J1130))</f>
        <v>-0.70517826086956548</v>
      </c>
      <c r="V1130" s="564">
        <f>IF((K1130-MAX(K$470:K1130))/MAX(K$470:K1130)&gt;V1129,V1129,(K1130-MAX(K$470:K1130))/MAX(K$470:K1130))</f>
        <v>-0.80725522782524772</v>
      </c>
      <c r="W1130" s="564">
        <f>IF((N1130-MAX(N$470:N1130))/MAX(N$470:N1130)&gt;W1129,W1129,(N1130-MAX(N$470:N1130))/MAX(N$470:N1130))</f>
        <v>-0.62788758315546067</v>
      </c>
      <c r="X1130" s="564">
        <f>IF((O1130-MAX(O$470:O1130))/MAX(O$470:O1130)&gt;X1129,X1129,(O1130-MAX(O$470:O1130))/MAX(O$470:O1130))</f>
        <v>-0.62788758315546067</v>
      </c>
    </row>
    <row r="1131" spans="1:24">
      <c r="A1131" s="799">
        <v>41533</v>
      </c>
      <c r="B1131">
        <v>130.55000000000001</v>
      </c>
      <c r="C1131">
        <v>100.572075</v>
      </c>
      <c r="D1131">
        <v>2.2525949999999999</v>
      </c>
      <c r="E1131">
        <f>LN(D1131/参数实验室!$E$53)/参数实验室!$E$55</f>
        <v>0.2650891239949385</v>
      </c>
      <c r="F1131">
        <f t="shared" si="118"/>
        <v>0.77037207966296428</v>
      </c>
      <c r="G1131">
        <f>LN(F1131/参数实验室!$E$58)/参数实验室!$E$59</f>
        <v>-0.3274548189359473</v>
      </c>
      <c r="H1131" s="856">
        <f>INDEX(神经网络!$G$10:$BO$70,MATCH(ROUND(G1131*2,1)/2,神经网络!$E$10:$E$70,0),MATCH(ROUND(E1131*2,1)/2,神经网络!$G$8:$BO$8,0))</f>
        <v>-0.17969944484047501</v>
      </c>
      <c r="I1131">
        <f t="shared" si="120"/>
        <v>71.704466657612883</v>
      </c>
      <c r="J1131">
        <f t="shared" si="121"/>
        <v>52.092893340249745</v>
      </c>
      <c r="K1131">
        <f t="shared" si="122"/>
        <v>1.3764731052519632</v>
      </c>
      <c r="L1131" s="4">
        <f>MIN(MAX(L1130*(1+MAX(MIN(((B1131-B1130)/B1130)/($K$7*卓尔金历!$N$40),0),-卓尔金历!$M$43))+MIN(MAX(((B1131-B1130)/B1130)/($K$7*卓尔金历!$N$40),0),卓尔金历!$M$43),0),1)</f>
        <v>0.54542683681153903</v>
      </c>
      <c r="M1131" s="4">
        <f>MIN(MAX(M1130*(1+MAX(MIN(((B1131-B1130)/B1130)/($K$7*30),0),-卓尔金历!$M$43))+MIN(MAX(((B1131-B1130)/B1130)/($K$7*7),0),卓尔金历!$M$43),0),1)</f>
        <v>1</v>
      </c>
      <c r="N1131">
        <f t="shared" si="123"/>
        <v>113.3903355652654</v>
      </c>
      <c r="O1131">
        <f t="shared" si="124"/>
        <v>159.15339146914118</v>
      </c>
      <c r="P1131">
        <f t="shared" si="125"/>
        <v>1.500544238843109E-2</v>
      </c>
      <c r="Q1131">
        <f t="shared" si="116"/>
        <v>3.9216372293370182E-2</v>
      </c>
      <c r="R1131">
        <f t="shared" si="117"/>
        <v>1</v>
      </c>
      <c r="S1131">
        <f t="shared" si="119"/>
        <v>5.9343822023026966</v>
      </c>
      <c r="T1131" s="564">
        <f>IF((I1131-MAX(I$470:I1131))/MAX(I$470:I1131)&gt;T1130,T1130,(I1131-MAX(I$470:I1131))/MAX(I$470:I1131))</f>
        <v>-0.91338805338419748</v>
      </c>
      <c r="U1131" s="564">
        <f>IF((J1131-MAX(J$470:J1131))/MAX(J$470:J1131)&gt;U1130,U1130,(J1131-MAX(J$470:J1131))/MAX(J$470:J1131))</f>
        <v>-0.70517826086956548</v>
      </c>
      <c r="V1131" s="564">
        <f>IF((K1131-MAX(K$470:K1131))/MAX(K$470:K1131)&gt;V1130,V1130,(K1131-MAX(K$470:K1131))/MAX(K$470:K1131))</f>
        <v>-0.80725522782524772</v>
      </c>
      <c r="W1131" s="564">
        <f>IF((N1131-MAX(N$470:N1131))/MAX(N$470:N1131)&gt;W1130,W1130,(N1131-MAX(N$470:N1131))/MAX(N$470:N1131))</f>
        <v>-0.62788758315546067</v>
      </c>
      <c r="X1131" s="564">
        <f>IF((O1131-MAX(O$470:O1131))/MAX(O$470:O1131)&gt;X1130,X1130,(O1131-MAX(O$470:O1131))/MAX(O$470:O1131))</f>
        <v>-0.62788758315546067</v>
      </c>
    </row>
    <row r="1132" spans="1:24">
      <c r="A1132" s="799">
        <v>41534</v>
      </c>
      <c r="B1132">
        <v>126.57</v>
      </c>
      <c r="C1132">
        <v>101.50363900000001</v>
      </c>
      <c r="D1132">
        <v>2.2616559999999999</v>
      </c>
      <c r="E1132">
        <f>LN(D1132/参数实验室!$E$53)/参数实验室!$E$55</f>
        <v>0.26982512936967323</v>
      </c>
      <c r="F1132">
        <f t="shared" si="118"/>
        <v>0.80195653788417487</v>
      </c>
      <c r="G1132">
        <f>LN(F1132/参数实验室!$E$58)/参数实验室!$E$59</f>
        <v>-0.3063657658282265</v>
      </c>
      <c r="H1132" s="856">
        <f>INDEX(神经网络!$G$10:$BO$70,MATCH(ROUND(G1132*2,1)/2,神经网络!$E$10:$E$70,0),MATCH(ROUND(E1132*2,1)/2,神经网络!$G$8:$BO$8,0))</f>
        <v>-8.657672641251056E-2</v>
      </c>
      <c r="I1132">
        <f t="shared" si="120"/>
        <v>72.097291677504131</v>
      </c>
      <c r="J1132">
        <f t="shared" si="121"/>
        <v>50.504768365188887</v>
      </c>
      <c r="K1132">
        <f t="shared" si="122"/>
        <v>1.427534349948592</v>
      </c>
      <c r="L1132" s="4">
        <f>MIN(MAX(L1131*(1+MAX(MIN(((B1132-B1131)/B1131)/($K$7*卓尔金历!$N$40),0),-卓尔金历!$M$43))+MIN(MAX(((B1132-B1131)/B1131)/($K$7*卓尔金历!$N$40),0),卓尔金历!$M$43),0),1)</f>
        <v>0.29136538399797973</v>
      </c>
      <c r="M1132" s="4">
        <f>MIN(MAX(M1131*(1+MAX(MIN(((B1132-B1131)/B1131)/($K$7*30),0),-卓尔金历!$M$43))+MIN(MAX(((B1132-B1131)/B1131)/($K$7*7),0),卓尔金历!$M$43),0),1)</f>
        <v>0.76709850371614097</v>
      </c>
      <c r="N1132">
        <f t="shared" si="123"/>
        <v>113.72915278525355</v>
      </c>
      <c r="O1132">
        <f t="shared" si="124"/>
        <v>160.02529578813088</v>
      </c>
      <c r="P1132">
        <f t="shared" si="125"/>
        <v>-3.048640367675234E-2</v>
      </c>
      <c r="Q1132">
        <f t="shared" ref="Q1132:Q1195" si="126">STDEVP(P1112:P1132)</f>
        <v>3.9900475231591757E-2</v>
      </c>
      <c r="R1132">
        <f t="shared" ref="R1132:R1195" si="127">MIN(Q1131*MAX(1-LN(MAX(ABS(P1132),0.0001)/Q1132),0)+MAX(-LN(MAX(ABS(P1132),0.0001)/Q1132),0),1)</f>
        <v>0.31887722076223352</v>
      </c>
      <c r="S1132">
        <f t="shared" si="119"/>
        <v>5.9668930613234199</v>
      </c>
      <c r="T1132" s="564">
        <f>IF((I1132-MAX(I$470:I1132))/MAX(I$470:I1132)&gt;T1131,T1131,(I1132-MAX(I$470:I1132))/MAX(I$470:I1132))</f>
        <v>-0.91338805338419748</v>
      </c>
      <c r="U1132" s="564">
        <f>IF((J1132-MAX(J$470:J1132))/MAX(J$470:J1132)&gt;U1131,U1131,(J1132-MAX(J$470:J1132))/MAX(J$470:J1132))</f>
        <v>-0.70517826086956548</v>
      </c>
      <c r="V1132" s="564">
        <f>IF((K1132-MAX(K$470:K1132))/MAX(K$470:K1132)&gt;V1131,V1131,(K1132-MAX(K$470:K1132))/MAX(K$470:K1132))</f>
        <v>-0.80725522782524772</v>
      </c>
      <c r="W1132" s="564">
        <f>IF((N1132-MAX(N$470:N1132))/MAX(N$470:N1132)&gt;W1131,W1131,(N1132-MAX(N$470:N1132))/MAX(N$470:N1132))</f>
        <v>-0.62788758315546067</v>
      </c>
      <c r="X1132" s="564">
        <f>IF((O1132-MAX(O$470:O1132))/MAX(O$470:O1132)&gt;X1131,X1131,(O1132-MAX(O$470:O1132))/MAX(O$470:O1132))</f>
        <v>-0.62788758315546067</v>
      </c>
    </row>
    <row r="1133" spans="1:24">
      <c r="A1133" s="799">
        <v>41535</v>
      </c>
      <c r="B1133">
        <v>130.72999999999999</v>
      </c>
      <c r="C1133">
        <v>102.272223</v>
      </c>
      <c r="D1133">
        <v>2.256529</v>
      </c>
      <c r="E1133">
        <f>LN(D1133/参数实验室!$E$53)/参数实验室!$E$55</f>
        <v>0.26714768367941932</v>
      </c>
      <c r="F1133">
        <f t="shared" si="118"/>
        <v>0.78231640021418192</v>
      </c>
      <c r="G1133">
        <f>LN(F1133/参数实验室!$E$58)/参数实验室!$E$59</f>
        <v>-0.31937960142789851</v>
      </c>
      <c r="H1133" s="856">
        <f>INDEX(神经网络!$G$10:$BO$70,MATCH(ROUND(G1133*2,1)/2,神经网络!$E$10:$E$70,0),MATCH(ROUND(E1133*2,1)/2,神经网络!$G$8:$BO$8,0))</f>
        <v>-8.657672641251056E-2</v>
      </c>
      <c r="I1133">
        <f t="shared" si="120"/>
        <v>71.892136414913878</v>
      </c>
      <c r="J1133">
        <f t="shared" si="121"/>
        <v>52.164718087865559</v>
      </c>
      <c r="K1133">
        <f t="shared" si="122"/>
        <v>1.3781754996513107</v>
      </c>
      <c r="L1133" s="4">
        <f>MIN(MAX(L1132*(1+MAX(MIN(((B1133-B1132)/B1132)/($K$7*卓尔金历!$N$40),0),-卓尔金历!$M$43))+MIN(MAX(((B1133-B1132)/B1132)/($K$7*卓尔金历!$N$40),0),卓尔金历!$M$43),0),1)</f>
        <v>0.79354447814854512</v>
      </c>
      <c r="M1133" s="4">
        <f>MIN(MAX(M1132*(1+MAX(MIN(((B1133-B1132)/B1132)/($K$7*30),0),-卓尔金历!$M$43))+MIN(MAX(((B1133-B1132)/B1132)/($K$7*7),0),卓尔金历!$M$43),0),1)</f>
        <v>1</v>
      </c>
      <c r="N1133">
        <f t="shared" si="123"/>
        <v>113.63486108464156</v>
      </c>
      <c r="O1133">
        <f t="shared" si="124"/>
        <v>159.67599184737443</v>
      </c>
      <c r="P1133">
        <f t="shared" si="125"/>
        <v>3.2867188117247349E-2</v>
      </c>
      <c r="Q1133">
        <f t="shared" si="126"/>
        <v>3.9888416857949201E-2</v>
      </c>
      <c r="R1133">
        <f t="shared" si="127"/>
        <v>0.24123679067363996</v>
      </c>
      <c r="S1133">
        <f t="shared" si="119"/>
        <v>5.9614788467725193</v>
      </c>
      <c r="T1133" s="564">
        <f>IF((I1133-MAX(I$470:I1133))/MAX(I$470:I1133)&gt;T1132,T1132,(I1133-MAX(I$470:I1133))/MAX(I$470:I1133))</f>
        <v>-0.91338805338419748</v>
      </c>
      <c r="U1133" s="564">
        <f>IF((J1133-MAX(J$470:J1133))/MAX(J$470:J1133)&gt;U1132,U1132,(J1133-MAX(J$470:J1133))/MAX(J$470:J1133))</f>
        <v>-0.70517826086956548</v>
      </c>
      <c r="V1133" s="564">
        <f>IF((K1133-MAX(K$470:K1133))/MAX(K$470:K1133)&gt;V1132,V1132,(K1133-MAX(K$470:K1133))/MAX(K$470:K1133))</f>
        <v>-0.80725522782524772</v>
      </c>
      <c r="W1133" s="564">
        <f>IF((N1133-MAX(N$470:N1133))/MAX(N$470:N1133)&gt;W1132,W1132,(N1133-MAX(N$470:N1133))/MAX(N$470:N1133))</f>
        <v>-0.62788758315546067</v>
      </c>
      <c r="X1133" s="564">
        <f>IF((O1133-MAX(O$470:O1133))/MAX(O$470:O1133)&gt;X1132,X1132,(O1133-MAX(O$470:O1133))/MAX(O$470:O1133))</f>
        <v>-0.62788758315546067</v>
      </c>
    </row>
    <row r="1134" spans="1:24">
      <c r="A1134" s="799">
        <v>41536</v>
      </c>
      <c r="B1134">
        <v>131.05000000000001</v>
      </c>
      <c r="C1134">
        <v>102.40825599999999</v>
      </c>
      <c r="D1134">
        <v>2.1943609999999998</v>
      </c>
      <c r="E1134">
        <f>LN(D1134/参数实验室!$E$53)/参数实验室!$E$55</f>
        <v>0.23418903056779977</v>
      </c>
      <c r="F1134">
        <f t="shared" si="118"/>
        <v>0.78144415108737109</v>
      </c>
      <c r="G1134">
        <f>LN(F1134/参数实验室!$E$58)/参数实验室!$E$59</f>
        <v>-0.31996511757725871</v>
      </c>
      <c r="H1134" s="856">
        <f>INDEX(神经网络!$G$10:$BO$70,MATCH(ROUND(G1134*2,1)/2,神经网络!$E$10:$E$70,0),MATCH(ROUND(E1134*2,1)/2,神经网络!$G$8:$BO$8,0))</f>
        <v>-8.657672641251056E-2</v>
      </c>
      <c r="I1134">
        <f t="shared" si="120"/>
        <v>71.876900895414195</v>
      </c>
      <c r="J1134">
        <f t="shared" si="121"/>
        <v>52.292406528071467</v>
      </c>
      <c r="K1134">
        <f t="shared" si="122"/>
        <v>1.3745188961007069</v>
      </c>
      <c r="L1134" s="4">
        <f>MIN(MAX(L1133*(1+MAX(MIN(((B1134-B1133)/B1133)/($K$7*卓尔金历!$N$40),0),-卓尔金历!$M$43))+MIN(MAX(((B1134-B1133)/B1133)/($K$7*卓尔金历!$N$40),0),卓尔金历!$M$43),0),1)</f>
        <v>0.83094440868455377</v>
      </c>
      <c r="M1134" s="4">
        <f>MIN(MAX(M1133*(1+MAX(MIN(((B1134-B1133)/B1133)/($K$7*30),0),-卓尔金历!$M$43))+MIN(MAX(((B1134-B1133)/B1133)/($K$7*7),0),卓尔金历!$M$43),0),1)</f>
        <v>1</v>
      </c>
      <c r="N1134">
        <f t="shared" si="123"/>
        <v>113.61575117044913</v>
      </c>
      <c r="O1134">
        <f t="shared" si="124"/>
        <v>159.64215300478696</v>
      </c>
      <c r="P1134">
        <f t="shared" si="125"/>
        <v>2.4477931614780204E-3</v>
      </c>
      <c r="Q1134">
        <f t="shared" si="126"/>
        <v>3.9203668502997516E-2</v>
      </c>
      <c r="R1134">
        <f t="shared" si="127"/>
        <v>1</v>
      </c>
      <c r="S1134">
        <f t="shared" si="119"/>
        <v>5.9611740759219725</v>
      </c>
      <c r="T1134" s="564">
        <f>IF((I1134-MAX(I$470:I1134))/MAX(I$470:I1134)&gt;T1133,T1133,(I1134-MAX(I$470:I1134))/MAX(I$470:I1134))</f>
        <v>-0.91338805338419748</v>
      </c>
      <c r="U1134" s="564">
        <f>IF((J1134-MAX(J$470:J1134))/MAX(J$470:J1134)&gt;U1133,U1133,(J1134-MAX(J$470:J1134))/MAX(J$470:J1134))</f>
        <v>-0.70517826086956548</v>
      </c>
      <c r="V1134" s="564">
        <f>IF((K1134-MAX(K$470:K1134))/MAX(K$470:K1134)&gt;V1133,V1133,(K1134-MAX(K$470:K1134))/MAX(K$470:K1134))</f>
        <v>-0.80725522782524772</v>
      </c>
      <c r="W1134" s="564">
        <f>IF((N1134-MAX(N$470:N1134))/MAX(N$470:N1134)&gt;W1133,W1133,(N1134-MAX(N$470:N1134))/MAX(N$470:N1134))</f>
        <v>-0.62788758315546067</v>
      </c>
      <c r="X1134" s="564">
        <f>IF((O1134-MAX(O$470:O1134))/MAX(O$470:O1134)&gt;X1133,X1133,(O1134-MAX(O$470:O1134))/MAX(O$470:O1134))</f>
        <v>-0.62788758315546067</v>
      </c>
    </row>
    <row r="1135" spans="1:24">
      <c r="A1135" s="799">
        <v>41537</v>
      </c>
      <c r="B1135">
        <v>129.75</v>
      </c>
      <c r="C1135">
        <v>102.333269</v>
      </c>
      <c r="D1135">
        <v>2.1703100000000002</v>
      </c>
      <c r="E1135">
        <f>LN(D1135/参数实验室!$E$53)/参数实验室!$E$55</f>
        <v>0.22118711932911791</v>
      </c>
      <c r="F1135">
        <f t="shared" si="118"/>
        <v>0.78869571483622347</v>
      </c>
      <c r="G1135">
        <f>LN(F1135/参数实验室!$E$58)/参数实验室!$E$59</f>
        <v>-0.3151170913654735</v>
      </c>
      <c r="H1135" s="856">
        <f>INDEX(神经网络!$G$10:$BO$70,MATCH(ROUND(G1135*2,1)/2,神经网络!$E$10:$E$70,0),MATCH(ROUND(E1135*2,1)/2,神经网络!$G$8:$BO$8,0))</f>
        <v>-0.13443077051308086</v>
      </c>
      <c r="I1135">
        <f t="shared" si="120"/>
        <v>71.938630974158656</v>
      </c>
      <c r="J1135">
        <f t="shared" si="121"/>
        <v>51.773672239734999</v>
      </c>
      <c r="K1135">
        <f t="shared" si="122"/>
        <v>1.389482875409165</v>
      </c>
      <c r="L1135" s="4">
        <f>MIN(MAX(L1134*(1+MAX(MIN(((B1135-B1134)/B1134)/($K$7*卓尔金历!$N$40),0),-卓尔金历!$M$43))+MIN(MAX(((B1135-B1134)/B1134)/($K$7*卓尔金历!$N$40),0),卓尔金历!$M$43),0),1)</f>
        <v>0.70500130973679698</v>
      </c>
      <c r="M1135" s="4">
        <f>MIN(MAX(M1134*(1+MAX(MIN(((B1135-B1134)/B1134)/($K$7*30),0),-卓尔金历!$M$43))+MIN(MAX(((B1135-B1134)/B1134)/($K$7*7),0),卓尔金历!$M$43),0),1)</f>
        <v>0.92421689247110161</v>
      </c>
      <c r="N1135">
        <f t="shared" si="123"/>
        <v>113.69683196605301</v>
      </c>
      <c r="O1135">
        <f t="shared" si="124"/>
        <v>159.77925856377956</v>
      </c>
      <c r="P1135">
        <f t="shared" si="125"/>
        <v>-9.9198779091950497E-3</v>
      </c>
      <c r="Q1135">
        <f t="shared" si="126"/>
        <v>3.9251446029845642E-2</v>
      </c>
      <c r="R1135">
        <f t="shared" si="127"/>
        <v>1</v>
      </c>
      <c r="S1135">
        <f t="shared" si="119"/>
        <v>5.9662937143667572</v>
      </c>
      <c r="T1135" s="564">
        <f>IF((I1135-MAX(I$470:I1135))/MAX(I$470:I1135)&gt;T1134,T1134,(I1135-MAX(I$470:I1135))/MAX(I$470:I1135))</f>
        <v>-0.91338805338419748</v>
      </c>
      <c r="U1135" s="564">
        <f>IF((J1135-MAX(J$470:J1135))/MAX(J$470:J1135)&gt;U1134,U1134,(J1135-MAX(J$470:J1135))/MAX(J$470:J1135))</f>
        <v>-0.70517826086956548</v>
      </c>
      <c r="V1135" s="564">
        <f>IF((K1135-MAX(K$470:K1135))/MAX(K$470:K1135)&gt;V1134,V1134,(K1135-MAX(K$470:K1135))/MAX(K$470:K1135))</f>
        <v>-0.80725522782524772</v>
      </c>
      <c r="W1135" s="564">
        <f>IF((N1135-MAX(N$470:N1135))/MAX(N$470:N1135)&gt;W1134,W1134,(N1135-MAX(N$470:N1135))/MAX(N$470:N1135))</f>
        <v>-0.62788758315546067</v>
      </c>
      <c r="X1135" s="564">
        <f>IF((O1135-MAX(O$470:O1135))/MAX(O$470:O1135)&gt;X1134,X1134,(O1135-MAX(O$470:O1135))/MAX(O$470:O1135))</f>
        <v>-0.62788758315546067</v>
      </c>
    </row>
    <row r="1136" spans="1:24">
      <c r="A1136" s="799">
        <v>41538</v>
      </c>
      <c r="B1136">
        <v>127.47</v>
      </c>
      <c r="C1136">
        <v>103.95623399999999</v>
      </c>
      <c r="D1136">
        <v>2.1784880000000002</v>
      </c>
      <c r="E1136">
        <f>LN(D1136/参数实验室!$E$53)/参数实验室!$E$55</f>
        <v>0.22562422282400071</v>
      </c>
      <c r="F1136">
        <f t="shared" si="118"/>
        <v>0.81553490232995995</v>
      </c>
      <c r="G1136">
        <f>LN(F1136/参数实验室!$E$58)/参数实验室!$E$59</f>
        <v>-0.29755356847682318</v>
      </c>
      <c r="H1136" s="856">
        <f>INDEX(神经网络!$G$10:$BO$70,MATCH(ROUND(G1136*2,1)/2,神经网络!$E$10:$E$70,0),MATCH(ROUND(E1136*2,1)/2,神经网络!$G$8:$BO$8,0))</f>
        <v>-8.657672641251056E-2</v>
      </c>
      <c r="I1136">
        <f t="shared" si="120"/>
        <v>72.10856812674939</v>
      </c>
      <c r="J1136">
        <f t="shared" si="121"/>
        <v>50.863892103267979</v>
      </c>
      <c r="K1136">
        <f t="shared" si="122"/>
        <v>1.4176769638538229</v>
      </c>
      <c r="L1136" s="4">
        <f>MIN(MAX(L1135*(1+MAX(MIN(((B1136-B1135)/B1135)/($K$7*卓尔金历!$N$40),0),-卓尔金历!$M$43))+MIN(MAX(((B1136-B1135)/B1135)/($K$7*卓尔金历!$N$40),0),卓尔金历!$M$43),0),1)</f>
        <v>0.51571749378396115</v>
      </c>
      <c r="M1136" s="4">
        <f>MIN(MAX(M1135*(1+MAX(MIN(((B1136-B1135)/B1135)/($K$7*30),0),-卓尔金历!$M$43))+MIN(MAX(((B1136-B1135)/B1135)/($K$7*7),0),卓尔金历!$M$43),0),1)</f>
        <v>0.8001466973105329</v>
      </c>
      <c r="N1136">
        <f t="shared" si="123"/>
        <v>113.886181593907</v>
      </c>
      <c r="O1136">
        <f t="shared" si="124"/>
        <v>160.12809390038794</v>
      </c>
      <c r="P1136">
        <f t="shared" si="125"/>
        <v>-1.7572254335260124E-2</v>
      </c>
      <c r="Q1136">
        <f t="shared" si="126"/>
        <v>3.3808927051807304E-2</v>
      </c>
      <c r="R1136">
        <f t="shared" si="127"/>
        <v>0.71934141849610711</v>
      </c>
      <c r="S1136">
        <f t="shared" si="119"/>
        <v>5.9803876017762034</v>
      </c>
      <c r="T1136" s="564">
        <f>IF((I1136-MAX(I$470:I1136))/MAX(I$470:I1136)&gt;T1135,T1135,(I1136-MAX(I$470:I1136))/MAX(I$470:I1136))</f>
        <v>-0.91338805338419748</v>
      </c>
      <c r="U1136" s="564">
        <f>IF((J1136-MAX(J$470:J1136))/MAX(J$470:J1136)&gt;U1135,U1135,(J1136-MAX(J$470:J1136))/MAX(J$470:J1136))</f>
        <v>-0.70517826086956548</v>
      </c>
      <c r="V1136" s="564">
        <f>IF((K1136-MAX(K$470:K1136))/MAX(K$470:K1136)&gt;V1135,V1135,(K1136-MAX(K$470:K1136))/MAX(K$470:K1136))</f>
        <v>-0.80725522782524772</v>
      </c>
      <c r="W1136" s="564">
        <f>IF((N1136-MAX(N$470:N1136))/MAX(N$470:N1136)&gt;W1135,W1135,(N1136-MAX(N$470:N1136))/MAX(N$470:N1136))</f>
        <v>-0.62788758315546067</v>
      </c>
      <c r="X1136" s="564">
        <f>IF((O1136-MAX(O$470:O1136))/MAX(O$470:O1136)&gt;X1135,X1135,(O1136-MAX(O$470:O1136))/MAX(O$470:O1136))</f>
        <v>-0.62788758315546067</v>
      </c>
    </row>
    <row r="1137" spans="1:24">
      <c r="A1137" s="799">
        <v>41539</v>
      </c>
      <c r="B1137">
        <v>127.31</v>
      </c>
      <c r="C1137">
        <v>103.714775</v>
      </c>
      <c r="D1137">
        <v>2.1668750000000001</v>
      </c>
      <c r="E1137">
        <f>LN(D1137/参数实验室!$E$53)/参数实验室!$E$55</f>
        <v>0.2193184172837408</v>
      </c>
      <c r="F1137">
        <f t="shared" si="118"/>
        <v>0.81466322362736632</v>
      </c>
      <c r="G1137">
        <f>LN(F1137/参数实验室!$E$58)/参数实验室!$E$59</f>
        <v>-0.29811485501941154</v>
      </c>
      <c r="H1137" s="856">
        <f>INDEX(神经网络!$G$10:$BO$70,MATCH(ROUND(G1137*2,1)/2,神经网络!$E$10:$E$70,0),MATCH(ROUND(E1137*2,1)/2,神经网络!$G$8:$BO$8,0))</f>
        <v>-0.13443077051308086</v>
      </c>
      <c r="I1137">
        <f t="shared" si="120"/>
        <v>72.116404227823793</v>
      </c>
      <c r="J1137">
        <f t="shared" si="121"/>
        <v>50.800047883165028</v>
      </c>
      <c r="K1137">
        <f t="shared" si="122"/>
        <v>1.4196129183516564</v>
      </c>
      <c r="L1137" s="4">
        <f>MIN(MAX(L1136*(1+MAX(MIN(((B1137-B1136)/B1136)/($K$7*卓尔金历!$N$40),0),-卓尔金历!$M$43))+MIN(MAX(((B1137-B1136)/B1136)/($K$7*卓尔金历!$N$40),0),卓尔金历!$M$43),0),1)</f>
        <v>0.50582695526294486</v>
      </c>
      <c r="M1137" s="4">
        <f>MIN(MAX(M1136*(1+MAX(MIN(((B1137-B1136)/B1136)/($K$7*30),0),-卓尔金历!$M$43))+MIN(MAX(((B1137-B1136)/B1136)/($K$7*7),0),卓尔金历!$M$43),0),1)</f>
        <v>0.79247400651799504</v>
      </c>
      <c r="N1137">
        <f t="shared" si="123"/>
        <v>113.89256417076001</v>
      </c>
      <c r="O1137">
        <f t="shared" si="124"/>
        <v>160.14201746095563</v>
      </c>
      <c r="P1137">
        <f t="shared" si="125"/>
        <v>-1.2551973013257753E-3</v>
      </c>
      <c r="Q1137">
        <f t="shared" si="126"/>
        <v>3.3098635890564748E-2</v>
      </c>
      <c r="R1137">
        <f t="shared" si="127"/>
        <v>1</v>
      </c>
      <c r="S1137">
        <f t="shared" si="119"/>
        <v>5.9808550974075079</v>
      </c>
      <c r="T1137" s="564">
        <f>IF((I1137-MAX(I$470:I1137))/MAX(I$470:I1137)&gt;T1136,T1136,(I1137-MAX(I$470:I1137))/MAX(I$470:I1137))</f>
        <v>-0.91338805338419748</v>
      </c>
      <c r="U1137" s="564">
        <f>IF((J1137-MAX(J$470:J1137))/MAX(J$470:J1137)&gt;U1136,U1136,(J1137-MAX(J$470:J1137))/MAX(J$470:J1137))</f>
        <v>-0.70517826086956548</v>
      </c>
      <c r="V1137" s="564">
        <f>IF((K1137-MAX(K$470:K1137))/MAX(K$470:K1137)&gt;V1136,V1136,(K1137-MAX(K$470:K1137))/MAX(K$470:K1137))</f>
        <v>-0.80725522782524772</v>
      </c>
      <c r="W1137" s="564">
        <f>IF((N1137-MAX(N$470:N1137))/MAX(N$470:N1137)&gt;W1136,W1136,(N1137-MAX(N$470:N1137))/MAX(N$470:N1137))</f>
        <v>-0.62788758315546067</v>
      </c>
      <c r="X1137" s="564">
        <f>IF((O1137-MAX(O$470:O1137))/MAX(O$470:O1137)&gt;X1136,X1136,(O1137-MAX(O$470:O1137))/MAX(O$470:O1137))</f>
        <v>-0.62788758315546067</v>
      </c>
    </row>
    <row r="1138" spans="1:24">
      <c r="A1138" s="799">
        <v>41540</v>
      </c>
      <c r="B1138">
        <v>128.38999999999999</v>
      </c>
      <c r="C1138">
        <v>102.382401</v>
      </c>
      <c r="D1138">
        <v>2.160342</v>
      </c>
      <c r="E1138">
        <f>LN(D1138/参数实验室!$E$53)/参数实验室!$E$55</f>
        <v>0.21575615830817446</v>
      </c>
      <c r="F1138">
        <f t="shared" si="118"/>
        <v>0.79743282965963092</v>
      </c>
      <c r="G1138">
        <f>LN(F1138/参数实验室!$E$58)/参数实验室!$E$59</f>
        <v>-0.30933476503615087</v>
      </c>
      <c r="H1138" s="856">
        <f>INDEX(神经网络!$G$10:$BO$70,MATCH(ROUND(G1138*2,1)/2,神经网络!$E$10:$E$70,0),MATCH(ROUND(E1138*2,1)/2,神经网络!$G$8:$BO$8,0))</f>
        <v>-0.13443077051308086</v>
      </c>
      <c r="I1138">
        <f t="shared" si="120"/>
        <v>72.034162166006666</v>
      </c>
      <c r="J1138">
        <f t="shared" si="121"/>
        <v>51.230996368859927</v>
      </c>
      <c r="K1138">
        <f t="shared" si="122"/>
        <v>1.4060660005002688</v>
      </c>
      <c r="L1138" s="4">
        <f>MIN(MAX(L1137*(1+MAX(MIN(((B1138-B1137)/B1137)/($K$7*卓尔金历!$N$40),0),-卓尔金历!$M$43))+MIN(MAX(((B1138-B1137)/B1137)/($K$7*卓尔金历!$N$40),0),卓尔金历!$M$43),0),1)</f>
        <v>0.63544256755994077</v>
      </c>
      <c r="M1138" s="4">
        <f>MIN(MAX(M1137*(1+MAX(MIN(((B1138-B1137)/B1137)/($K$7*30),0),-卓尔金历!$M$43))+MIN(MAX(((B1138-B1137)/B1137)/($K$7*7),0),卓尔金历!$M$43),0),1)</f>
        <v>1</v>
      </c>
      <c r="N1138">
        <f t="shared" si="123"/>
        <v>113.82686539681711</v>
      </c>
      <c r="O1138">
        <f t="shared" si="124"/>
        <v>159.99729023205626</v>
      </c>
      <c r="P1138">
        <f t="shared" si="125"/>
        <v>8.4832299112401546E-3</v>
      </c>
      <c r="Q1138">
        <f t="shared" si="126"/>
        <v>3.318830895944902E-2</v>
      </c>
      <c r="R1138">
        <f t="shared" si="127"/>
        <v>1</v>
      </c>
      <c r="S1138">
        <f t="shared" si="119"/>
        <v>5.9740344875905462</v>
      </c>
      <c r="T1138" s="564">
        <f>IF((I1138-MAX(I$470:I1138))/MAX(I$470:I1138)&gt;T1137,T1137,(I1138-MAX(I$470:I1138))/MAX(I$470:I1138))</f>
        <v>-0.91338805338419748</v>
      </c>
      <c r="U1138" s="564">
        <f>IF((J1138-MAX(J$470:J1138))/MAX(J$470:J1138)&gt;U1137,U1137,(J1138-MAX(J$470:J1138))/MAX(J$470:J1138))</f>
        <v>-0.70517826086956548</v>
      </c>
      <c r="V1138" s="564">
        <f>IF((K1138-MAX(K$470:K1138))/MAX(K$470:K1138)&gt;V1137,V1137,(K1138-MAX(K$470:K1138))/MAX(K$470:K1138))</f>
        <v>-0.80725522782524772</v>
      </c>
      <c r="W1138" s="564">
        <f>IF((N1138-MAX(N$470:N1138))/MAX(N$470:N1138)&gt;W1137,W1137,(N1138-MAX(N$470:N1138))/MAX(N$470:N1138))</f>
        <v>-0.62788758315546067</v>
      </c>
      <c r="X1138" s="564">
        <f>IF((O1138-MAX(O$470:O1138))/MAX(O$470:O1138)&gt;X1137,X1137,(O1138-MAX(O$470:O1138))/MAX(O$470:O1138))</f>
        <v>-0.62788758315546067</v>
      </c>
    </row>
    <row r="1139" spans="1:24">
      <c r="A1139" s="799">
        <v>41541</v>
      </c>
      <c r="B1139">
        <v>126.39</v>
      </c>
      <c r="C1139">
        <v>99.277793000000003</v>
      </c>
      <c r="D1139">
        <v>2.1721010000000001</v>
      </c>
      <c r="E1139">
        <f>LN(D1139/参数实验室!$E$53)/参数实验室!$E$55</f>
        <v>0.22216028293788948</v>
      </c>
      <c r="F1139">
        <f t="shared" si="118"/>
        <v>0.7854877205475117</v>
      </c>
      <c r="G1139">
        <f>LN(F1139/参数实验室!$E$58)/参数实验室!$E$59</f>
        <v>-0.31725627167392489</v>
      </c>
      <c r="H1139" s="856">
        <f>INDEX(神经网络!$G$10:$BO$70,MATCH(ROUND(G1139*2,1)/2,神经网络!$E$10:$E$70,0),MATCH(ROUND(E1139*2,1)/2,神经网络!$G$8:$BO$8,0))</f>
        <v>-0.13443077051308086</v>
      </c>
      <c r="I1139">
        <f t="shared" si="120"/>
        <v>72.185008928577588</v>
      </c>
      <c r="J1139">
        <f t="shared" si="121"/>
        <v>50.432943617573066</v>
      </c>
      <c r="K1139">
        <f t="shared" si="122"/>
        <v>1.431306676761678</v>
      </c>
      <c r="L1139" s="4">
        <f>MIN(MAX(L1138*(1+MAX(MIN(((B1139-B1138)/B1138)/($K$7*卓尔金历!$N$40),0),-卓尔金历!$M$43))+MIN(MAX(((B1139-B1138)/B1138)/($K$7*卓尔金历!$N$40),0),卓尔金历!$M$43),0),1)</f>
        <v>0.48420099666344191</v>
      </c>
      <c r="M1139" s="4">
        <f>MIN(MAX(M1138*(1+MAX(MIN(((B1139-B1138)/B1138)/($K$7*30),0),-卓尔金历!$M$43))+MIN(MAX(((B1139-B1138)/B1138)/($K$7*7),0),卓尔金历!$M$43),0),1)</f>
        <v>0.88099509018001665</v>
      </c>
      <c r="N1139">
        <f t="shared" si="123"/>
        <v>113.97833258569374</v>
      </c>
      <c r="O1139">
        <f t="shared" si="124"/>
        <v>160.33234060990344</v>
      </c>
      <c r="P1139">
        <f t="shared" si="125"/>
        <v>-1.5577537191369936E-2</v>
      </c>
      <c r="Q1139">
        <f t="shared" si="126"/>
        <v>3.3271366110407832E-2</v>
      </c>
      <c r="R1139">
        <f t="shared" si="127"/>
        <v>0.81724102554889655</v>
      </c>
      <c r="S1139">
        <f t="shared" si="119"/>
        <v>5.9865447151665023</v>
      </c>
      <c r="T1139" s="564">
        <f>IF((I1139-MAX(I$470:I1139))/MAX(I$470:I1139)&gt;T1138,T1138,(I1139-MAX(I$470:I1139))/MAX(I$470:I1139))</f>
        <v>-0.91338805338419748</v>
      </c>
      <c r="U1139" s="564">
        <f>IF((J1139-MAX(J$470:J1139))/MAX(J$470:J1139)&gt;U1138,U1138,(J1139-MAX(J$470:J1139))/MAX(J$470:J1139))</f>
        <v>-0.70517826086956548</v>
      </c>
      <c r="V1139" s="564">
        <f>IF((K1139-MAX(K$470:K1139))/MAX(K$470:K1139)&gt;V1138,V1138,(K1139-MAX(K$470:K1139))/MAX(K$470:K1139))</f>
        <v>-0.80725522782524772</v>
      </c>
      <c r="W1139" s="564">
        <f>IF((N1139-MAX(N$470:N1139))/MAX(N$470:N1139)&gt;W1138,W1138,(N1139-MAX(N$470:N1139))/MAX(N$470:N1139))</f>
        <v>-0.62788758315546067</v>
      </c>
      <c r="X1139" s="564">
        <f>IF((O1139-MAX(O$470:O1139))/MAX(O$470:O1139)&gt;X1138,X1138,(O1139-MAX(O$470:O1139))/MAX(O$470:O1139))</f>
        <v>-0.62788758315546067</v>
      </c>
    </row>
    <row r="1140" spans="1:24">
      <c r="A1140" s="799">
        <v>41542</v>
      </c>
      <c r="B1140">
        <v>128.84</v>
      </c>
      <c r="C1140">
        <v>97.356897000000004</v>
      </c>
      <c r="D1140">
        <v>2.1651989999999999</v>
      </c>
      <c r="E1140">
        <f>LN(D1140/参数实验室!$E$53)/参数实验室!$E$55</f>
        <v>0.21840556744066414</v>
      </c>
      <c r="F1140">
        <f t="shared" si="118"/>
        <v>0.75564185811859674</v>
      </c>
      <c r="G1140">
        <f>LN(F1140/参数实验室!$E$58)/参数实验室!$E$59</f>
        <v>-0.33758769685395557</v>
      </c>
      <c r="H1140" s="856">
        <f>INDEX(神经网络!$G$10:$BO$70,MATCH(ROUND(G1140*2,1)/2,神经网络!$E$10:$E$70,0),MATCH(ROUND(E1140*2,1)/2,神经网络!$G$8:$BO$8,0))</f>
        <v>-0.22542987472766768</v>
      </c>
      <c r="I1140">
        <f t="shared" si="120"/>
        <v>71.996904477229236</v>
      </c>
      <c r="J1140">
        <f t="shared" si="121"/>
        <v>51.410558237899465</v>
      </c>
      <c r="K1140">
        <f t="shared" si="122"/>
        <v>1.4004303190809095</v>
      </c>
      <c r="L1140" s="4">
        <f>MIN(MAX(L1139*(1+MAX(MIN(((B1140-B1139)/B1139)/($K$7*卓尔金历!$N$40),0),-卓尔金历!$M$43))+MIN(MAX(((B1140-B1139)/B1139)/($K$7*卓尔金历!$N$40),0),卓尔金历!$M$43),0),1)</f>
        <v>0.78037671397398922</v>
      </c>
      <c r="M1140" s="4">
        <f>MIN(MAX(M1139*(1+MAX(MIN(((B1140-B1139)/B1139)/($K$7*30),0),-卓尔金历!$M$43))+MIN(MAX(((B1140-B1139)/B1139)/($K$7*7),0),卓尔金历!$M$43),0),1)</f>
        <v>1</v>
      </c>
      <c r="N1140">
        <f t="shared" si="123"/>
        <v>113.8345189595742</v>
      </c>
      <c r="O1140">
        <f t="shared" si="124"/>
        <v>159.96425683083177</v>
      </c>
      <c r="P1140">
        <f t="shared" si="125"/>
        <v>1.9384444971912357E-2</v>
      </c>
      <c r="Q1140">
        <f t="shared" si="126"/>
        <v>3.3525505225285697E-2</v>
      </c>
      <c r="R1140">
        <f t="shared" si="127"/>
        <v>0.59933416388469618</v>
      </c>
      <c r="S1140">
        <f t="shared" si="119"/>
        <v>5.973795646823282</v>
      </c>
      <c r="T1140" s="564">
        <f>IF((I1140-MAX(I$470:I1140))/MAX(I$470:I1140)&gt;T1139,T1139,(I1140-MAX(I$470:I1140))/MAX(I$470:I1140))</f>
        <v>-0.91338805338419748</v>
      </c>
      <c r="U1140" s="564">
        <f>IF((J1140-MAX(J$470:J1140))/MAX(J$470:J1140)&gt;U1139,U1139,(J1140-MAX(J$470:J1140))/MAX(J$470:J1140))</f>
        <v>-0.70517826086956548</v>
      </c>
      <c r="V1140" s="564">
        <f>IF((K1140-MAX(K$470:K1140))/MAX(K$470:K1140)&gt;V1139,V1139,(K1140-MAX(K$470:K1140))/MAX(K$470:K1140))</f>
        <v>-0.80725522782524772</v>
      </c>
      <c r="W1140" s="564">
        <f>IF((N1140-MAX(N$470:N1140))/MAX(N$470:N1140)&gt;W1139,W1139,(N1140-MAX(N$470:N1140))/MAX(N$470:N1140))</f>
        <v>-0.62788758315546067</v>
      </c>
      <c r="X1140" s="564">
        <f>IF((O1140-MAX(O$470:O1140))/MAX(O$470:O1140)&gt;X1139,X1139,(O1140-MAX(O$470:O1140))/MAX(O$470:O1140))</f>
        <v>-0.62788758315546067</v>
      </c>
    </row>
    <row r="1141" spans="1:24">
      <c r="A1141" s="799">
        <v>41543</v>
      </c>
      <c r="B1141">
        <v>128.91999999999999</v>
      </c>
      <c r="C1141">
        <v>97.824336000000002</v>
      </c>
      <c r="D1141">
        <v>2.1805970000000001</v>
      </c>
      <c r="E1141">
        <f>LN(D1141/参数实验室!$E$53)/参数实验室!$E$55</f>
        <v>0.22676579257346635</v>
      </c>
      <c r="F1141">
        <f t="shared" si="118"/>
        <v>0.75879875892026072</v>
      </c>
      <c r="G1141">
        <f>LN(F1141/参数实验室!$E$58)/参数实验室!$E$59</f>
        <v>-0.33539954298296321</v>
      </c>
      <c r="H1141" s="856">
        <f>INDEX(神经网络!$G$10:$BO$70,MATCH(ROUND(G1141*2,1)/2,神经网络!$E$10:$E$70,0),MATCH(ROUND(E1141*2,1)/2,神经网络!$G$8:$BO$8,0))</f>
        <v>-0.17969944484047501</v>
      </c>
      <c r="I1141">
        <f t="shared" si="120"/>
        <v>71.98682670439031</v>
      </c>
      <c r="J1141">
        <f t="shared" si="121"/>
        <v>51.442480347950934</v>
      </c>
      <c r="K1141">
        <f t="shared" si="122"/>
        <v>1.3993653925215077</v>
      </c>
      <c r="L1141" s="4">
        <f>MIN(MAX(L1140*(1+MAX(MIN(((B1141-B1140)/B1140)/($K$7*卓尔金历!$N$40),0),-卓尔金历!$M$43))+MIN(MAX(((B1141-B1140)/B1140)/($K$7*卓尔金历!$N$40),0),卓尔金历!$M$43),0),1)</f>
        <v>0.7898638548443927</v>
      </c>
      <c r="M1141" s="4">
        <f>MIN(MAX(M1140*(1+MAX(MIN(((B1141-B1140)/B1140)/($K$7*30),0),-卓尔金历!$M$43))+MIN(MAX(((B1141-B1140)/B1140)/($K$7*7),0),卓尔金历!$M$43),0),1)</f>
        <v>1</v>
      </c>
      <c r="N1141">
        <f t="shared" si="123"/>
        <v>113.82208443975209</v>
      </c>
      <c r="O1141">
        <f t="shared" si="124"/>
        <v>159.94186582035161</v>
      </c>
      <c r="P1141">
        <f t="shared" si="125"/>
        <v>6.2092517851586532E-4</v>
      </c>
      <c r="Q1141">
        <f t="shared" si="126"/>
        <v>3.0208036933119162E-2</v>
      </c>
      <c r="R1141">
        <f t="shared" si="127"/>
        <v>1</v>
      </c>
      <c r="S1141">
        <f t="shared" si="119"/>
        <v>5.973294494051018</v>
      </c>
      <c r="T1141" s="564">
        <f>IF((I1141-MAX(I$470:I1141))/MAX(I$470:I1141)&gt;T1140,T1140,(I1141-MAX(I$470:I1141))/MAX(I$470:I1141))</f>
        <v>-0.91338805338419748</v>
      </c>
      <c r="U1141" s="564">
        <f>IF((J1141-MAX(J$470:J1141))/MAX(J$470:J1141)&gt;U1140,U1140,(J1141-MAX(J$470:J1141))/MAX(J$470:J1141))</f>
        <v>-0.70517826086956548</v>
      </c>
      <c r="V1141" s="564">
        <f>IF((K1141-MAX(K$470:K1141))/MAX(K$470:K1141)&gt;V1140,V1140,(K1141-MAX(K$470:K1141))/MAX(K$470:K1141))</f>
        <v>-0.80725522782524772</v>
      </c>
      <c r="W1141" s="564">
        <f>IF((N1141-MAX(N$470:N1141))/MAX(N$470:N1141)&gt;W1140,W1140,(N1141-MAX(N$470:N1141))/MAX(N$470:N1141))</f>
        <v>-0.62788758315546067</v>
      </c>
      <c r="X1141" s="564">
        <f>IF((O1141-MAX(O$470:O1141))/MAX(O$470:O1141)&gt;X1140,X1140,(O1141-MAX(O$470:O1141))/MAX(O$470:O1141))</f>
        <v>-0.62788758315546067</v>
      </c>
    </row>
    <row r="1142" spans="1:24">
      <c r="A1142" s="799">
        <v>41544</v>
      </c>
      <c r="B1142">
        <v>130.18</v>
      </c>
      <c r="C1142">
        <v>97.945785999999998</v>
      </c>
      <c r="D1142">
        <v>2.210429</v>
      </c>
      <c r="E1142">
        <f>LN(D1142/参数实验室!$E$53)/参数实验室!$E$55</f>
        <v>0.24279618741622785</v>
      </c>
      <c r="F1142">
        <f t="shared" si="118"/>
        <v>0.75238735596865869</v>
      </c>
      <c r="G1142">
        <f>LN(F1142/参数实验室!$E$58)/参数实验室!$E$59</f>
        <v>-0.33985309230853811</v>
      </c>
      <c r="H1142" s="856">
        <f>INDEX(神经网络!$G$10:$BO$70,MATCH(ROUND(G1142*2,1)/2,神经网络!$E$10:$E$70,0),MATCH(ROUND(E1142*2,1)/2,神经网络!$G$8:$BO$8,0))</f>
        <v>-0.17969944484047501</v>
      </c>
      <c r="I1142">
        <f t="shared" si="120"/>
        <v>71.860396740682546</v>
      </c>
      <c r="J1142">
        <f t="shared" si="121"/>
        <v>51.94525358126166</v>
      </c>
      <c r="K1142">
        <f t="shared" si="122"/>
        <v>1.3833871583332673</v>
      </c>
      <c r="L1142" s="4">
        <f>MIN(MAX(L1141*(1+MAX(MIN(((B1142-B1141)/B1141)/($K$7*卓尔金历!$N$40),0),-卓尔金历!$M$43))+MIN(MAX(((B1142-B1141)/B1141)/($K$7*卓尔金历!$N$40),0),卓尔金历!$M$43),0),1)</f>
        <v>0.93919360095401794</v>
      </c>
      <c r="M1142" s="4">
        <f>MIN(MAX(M1141*(1+MAX(MIN(((B1142-B1141)/B1141)/($K$7*30),0),-卓尔金历!$M$43))+MIN(MAX(((B1142-B1141)/B1141)/($K$7*7),0),卓尔金历!$M$43),0),1)</f>
        <v>1</v>
      </c>
      <c r="N1142">
        <f t="shared" si="123"/>
        <v>113.66418675618483</v>
      </c>
      <c r="O1142">
        <f t="shared" si="124"/>
        <v>159.66096103239568</v>
      </c>
      <c r="P1142">
        <f t="shared" si="125"/>
        <v>9.7735029475645319E-3</v>
      </c>
      <c r="Q1142">
        <f t="shared" si="126"/>
        <v>3.0122135358643019E-2</v>
      </c>
      <c r="R1142">
        <f t="shared" si="127"/>
        <v>1</v>
      </c>
      <c r="S1142">
        <f t="shared" si="119"/>
        <v>5.9628036384226704</v>
      </c>
      <c r="T1142" s="564">
        <f>IF((I1142-MAX(I$470:I1142))/MAX(I$470:I1142)&gt;T1141,T1141,(I1142-MAX(I$470:I1142))/MAX(I$470:I1142))</f>
        <v>-0.91338805338419748</v>
      </c>
      <c r="U1142" s="564">
        <f>IF((J1142-MAX(J$470:J1142))/MAX(J$470:J1142)&gt;U1141,U1141,(J1142-MAX(J$470:J1142))/MAX(J$470:J1142))</f>
        <v>-0.70517826086956548</v>
      </c>
      <c r="V1142" s="564">
        <f>IF((K1142-MAX(K$470:K1142))/MAX(K$470:K1142)&gt;V1141,V1141,(K1142-MAX(K$470:K1142))/MAX(K$470:K1142))</f>
        <v>-0.80725522782524772</v>
      </c>
      <c r="W1142" s="564">
        <f>IF((N1142-MAX(N$470:N1142))/MAX(N$470:N1142)&gt;W1141,W1141,(N1142-MAX(N$470:N1142))/MAX(N$470:N1142))</f>
        <v>-0.62788758315546067</v>
      </c>
      <c r="X1142" s="564">
        <f>IF((O1142-MAX(O$470:O1142))/MAX(O$470:O1142)&gt;X1141,X1141,(O1142-MAX(O$470:O1142))/MAX(O$470:O1142))</f>
        <v>-0.62788758315546067</v>
      </c>
    </row>
    <row r="1143" spans="1:24">
      <c r="A1143" s="799">
        <v>41545</v>
      </c>
      <c r="B1143">
        <v>134.69</v>
      </c>
      <c r="C1143">
        <v>98.684935999999993</v>
      </c>
      <c r="D1143">
        <v>2.211287</v>
      </c>
      <c r="E1143">
        <f>LN(D1143/参数实验室!$E$53)/参数实验室!$E$55</f>
        <v>0.24325403151839661</v>
      </c>
      <c r="F1143">
        <f t="shared" si="118"/>
        <v>0.7326819808449031</v>
      </c>
      <c r="G1143">
        <f>LN(F1143/参数实验室!$E$58)/参数实验室!$E$59</f>
        <v>-0.35378247943796848</v>
      </c>
      <c r="H1143" s="856">
        <f>INDEX(神经网络!$G$10:$BO$70,MATCH(ROUND(G1143*2,1)/2,神经网络!$E$10:$E$70,0),MATCH(ROUND(E1143*2,1)/2,神经网络!$G$8:$BO$8,0))</f>
        <v>-0.17969944484047501</v>
      </c>
      <c r="I1143">
        <f t="shared" si="120"/>
        <v>71.41302492446323</v>
      </c>
      <c r="J1143">
        <f t="shared" si="121"/>
        <v>53.744862535413525</v>
      </c>
      <c r="K1143">
        <f t="shared" si="122"/>
        <v>1.3287414192827791</v>
      </c>
      <c r="L1143" s="4">
        <f>MIN(MAX(L1142*(1+MAX(MIN(((B1143-B1142)/B1142)/($K$7*卓尔金历!$N$40),0),-卓尔金历!$M$43))+MIN(MAX(((B1143-B1142)/B1142)/($K$7*卓尔金历!$N$40),0),卓尔金历!$M$43),0),1)</f>
        <v>1</v>
      </c>
      <c r="M1143" s="4">
        <f>MIN(MAX(M1142*(1+MAX(MIN(((B1143-B1142)/B1142)/($K$7*30),0),-卓尔金历!$M$43))+MIN(MAX(((B1143-B1142)/B1142)/($K$7*7),0),卓尔金历!$M$43),0),1)</f>
        <v>1</v>
      </c>
      <c r="N1143">
        <f t="shared" si="123"/>
        <v>112.99959066294242</v>
      </c>
      <c r="O1143">
        <f t="shared" si="124"/>
        <v>158.66698079632573</v>
      </c>
      <c r="P1143">
        <f t="shared" si="125"/>
        <v>3.4644338608081048E-2</v>
      </c>
      <c r="Q1143">
        <f t="shared" si="126"/>
        <v>2.9578763390986522E-2</v>
      </c>
      <c r="R1143">
        <f t="shared" si="127"/>
        <v>2.5360498279626317E-2</v>
      </c>
      <c r="S1143">
        <f t="shared" si="119"/>
        <v>5.9256817964280231</v>
      </c>
      <c r="T1143" s="564">
        <f>IF((I1143-MAX(I$470:I1143))/MAX(I$470:I1143)&gt;T1142,T1142,(I1143-MAX(I$470:I1143))/MAX(I$470:I1143))</f>
        <v>-0.91338805338419748</v>
      </c>
      <c r="U1143" s="564">
        <f>IF((J1143-MAX(J$470:J1143))/MAX(J$470:J1143)&gt;U1142,U1142,(J1143-MAX(J$470:J1143))/MAX(J$470:J1143))</f>
        <v>-0.70517826086956548</v>
      </c>
      <c r="V1143" s="564">
        <f>IF((K1143-MAX(K$470:K1143))/MAX(K$470:K1143)&gt;V1142,V1142,(K1143-MAX(K$470:K1143))/MAX(K$470:K1143))</f>
        <v>-0.80725522782524772</v>
      </c>
      <c r="W1143" s="564">
        <f>IF((N1143-MAX(N$470:N1143))/MAX(N$470:N1143)&gt;W1142,W1142,(N1143-MAX(N$470:N1143))/MAX(N$470:N1143))</f>
        <v>-0.62788758315546067</v>
      </c>
      <c r="X1143" s="564">
        <f>IF((O1143-MAX(O$470:O1143))/MAX(O$470:O1143)&gt;X1142,X1142,(O1143-MAX(O$470:O1143))/MAX(O$470:O1143))</f>
        <v>-0.62788758315546067</v>
      </c>
    </row>
    <row r="1144" spans="1:24">
      <c r="A1144" s="799">
        <v>41546</v>
      </c>
      <c r="B1144">
        <v>138.5</v>
      </c>
      <c r="C1144">
        <v>100.637294</v>
      </c>
      <c r="D1144">
        <v>2.213641</v>
      </c>
      <c r="E1144">
        <f>LN(D1144/参数实验室!$E$53)/参数实验室!$E$55</f>
        <v>0.24450925619020858</v>
      </c>
      <c r="F1144">
        <f t="shared" si="118"/>
        <v>0.72662306137184118</v>
      </c>
      <c r="G1144">
        <f>LN(F1144/参数实验室!$E$58)/参数实验室!$E$59</f>
        <v>-0.35814080968883233</v>
      </c>
      <c r="H1144" s="856">
        <f>INDEX(神经网络!$G$10:$BO$70,MATCH(ROUND(G1144*2,1)/2,神经网络!$E$10:$E$70,0),MATCH(ROUND(E1144*2,1)/2,神经网络!$G$8:$BO$8,0))</f>
        <v>-0.17969944484047501</v>
      </c>
      <c r="I1144">
        <f t="shared" si="120"/>
        <v>71.050018937709254</v>
      </c>
      <c r="J1144">
        <f t="shared" si="121"/>
        <v>55.265153026614996</v>
      </c>
      <c r="K1144">
        <f t="shared" si="122"/>
        <v>1.2856205953775695</v>
      </c>
      <c r="L1144" s="4">
        <f>MIN(MAX(L1143*(1+MAX(MIN(((B1144-B1143)/B1143)/($K$7*卓尔金历!$N$40),0),-卓尔金历!$M$43))+MIN(MAX(((B1144-B1143)/B1143)/($K$7*卓尔金历!$N$40),0),卓尔金历!$M$43),0),1)</f>
        <v>1</v>
      </c>
      <c r="M1144" s="4">
        <f>MIN(MAX(M1143*(1+MAX(MIN(((B1144-B1143)/B1143)/($K$7*30),0),-卓尔金历!$M$43))+MIN(MAX(((B1144-B1143)/B1143)/($K$7*7),0),卓尔金历!$M$43),0),1)</f>
        <v>1</v>
      </c>
      <c r="N1144">
        <f t="shared" si="123"/>
        <v>112.42519225376168</v>
      </c>
      <c r="O1144">
        <f t="shared" si="124"/>
        <v>157.86044635824294</v>
      </c>
      <c r="P1144">
        <f t="shared" si="125"/>
        <v>2.8287177964214139E-2</v>
      </c>
      <c r="Q1144">
        <f t="shared" si="126"/>
        <v>2.9849759276914366E-2</v>
      </c>
      <c r="R1144">
        <f t="shared" si="127"/>
        <v>8.4937307615506163E-2</v>
      </c>
      <c r="S1144">
        <f t="shared" si="119"/>
        <v>5.9249179035394777</v>
      </c>
      <c r="T1144" s="564">
        <f>IF((I1144-MAX(I$470:I1144))/MAX(I$470:I1144)&gt;T1143,T1143,(I1144-MAX(I$470:I1144))/MAX(I$470:I1144))</f>
        <v>-0.91338805338419748</v>
      </c>
      <c r="U1144" s="564">
        <f>IF((J1144-MAX(J$470:J1144))/MAX(J$470:J1144)&gt;U1143,U1143,(J1144-MAX(J$470:J1144))/MAX(J$470:J1144))</f>
        <v>-0.70517826086956548</v>
      </c>
      <c r="V1144" s="564">
        <f>IF((K1144-MAX(K$470:K1144))/MAX(K$470:K1144)&gt;V1143,V1143,(K1144-MAX(K$470:K1144))/MAX(K$470:K1144))</f>
        <v>-0.80725522782524772</v>
      </c>
      <c r="W1144" s="564">
        <f>IF((N1144-MAX(N$470:N1144))/MAX(N$470:N1144)&gt;W1143,W1143,(N1144-MAX(N$470:N1144))/MAX(N$470:N1144))</f>
        <v>-0.62788758315546067</v>
      </c>
      <c r="X1144" s="564">
        <f>IF((O1144-MAX(O$470:O1144))/MAX(O$470:O1144)&gt;X1143,X1143,(O1144-MAX(O$470:O1144))/MAX(O$470:O1144))</f>
        <v>-0.62788758315546067</v>
      </c>
    </row>
    <row r="1145" spans="1:24">
      <c r="A1145" s="799">
        <v>41547</v>
      </c>
      <c r="B1145">
        <v>134.47999999999999</v>
      </c>
      <c r="C1145">
        <v>104.008957</v>
      </c>
      <c r="D1145">
        <v>2.1917499999999999</v>
      </c>
      <c r="E1145">
        <f>LN(D1145/参数实验室!$E$53)/参数实验室!$E$55</f>
        <v>0.23278444409752172</v>
      </c>
      <c r="F1145">
        <f t="shared" si="118"/>
        <v>0.77341580160618684</v>
      </c>
      <c r="G1145">
        <f>LN(F1145/参数实验室!$E$58)/参数实验室!$E$59</f>
        <v>-0.32538521875675142</v>
      </c>
      <c r="H1145" s="856">
        <f>INDEX(神经网络!$G$10:$BO$70,MATCH(ROUND(G1145*2,1)/2,神经网络!$E$10:$E$70,0),MATCH(ROUND(E1145*2,1)/2,神经网络!$G$8:$BO$8,0))</f>
        <v>-0.17969944484047501</v>
      </c>
      <c r="I1145">
        <f t="shared" si="120"/>
        <v>71.420603405689235</v>
      </c>
      <c r="J1145">
        <f t="shared" si="121"/>
        <v>53.661066996528405</v>
      </c>
      <c r="K1145">
        <f t="shared" si="122"/>
        <v>1.3309575713488846</v>
      </c>
      <c r="L1145" s="4">
        <f>MIN(MAX(L1144*(1+MAX(MIN(((B1145-B1144)/B1144)/($K$7*卓尔金历!$N$40),0),-卓尔金历!$M$43))+MIN(MAX(((B1145-B1144)/B1144)/($K$7*卓尔金历!$N$40),0),卓尔金历!$M$43),0),1)</f>
        <v>0.55652171628457059</v>
      </c>
      <c r="M1145" s="4">
        <f>MIN(MAX(M1144*(1+MAX(MIN(((B1145-B1144)/B1144)/($K$7*30),0),-卓尔金历!$M$43))+MIN(MAX(((B1145-B1144)/B1144)/($K$7*7),0),卓尔金历!$M$43),0),1)</f>
        <v>0.77826085814228529</v>
      </c>
      <c r="N1145">
        <f t="shared" si="123"/>
        <v>113.01158238682321</v>
      </c>
      <c r="O1145">
        <f t="shared" si="124"/>
        <v>158.68381882743313</v>
      </c>
      <c r="P1145">
        <f t="shared" si="125"/>
        <v>-2.9025270758122817E-2</v>
      </c>
      <c r="Q1145">
        <f t="shared" si="126"/>
        <v>3.0234937763715154E-2</v>
      </c>
      <c r="R1145">
        <f t="shared" si="127"/>
        <v>7.1899842454381982E-2</v>
      </c>
      <c r="S1145">
        <f t="shared" si="119"/>
        <v>5.9275427496252071</v>
      </c>
      <c r="T1145" s="564">
        <f>IF((I1145-MAX(I$470:I1145))/MAX(I$470:I1145)&gt;T1144,T1144,(I1145-MAX(I$470:I1145))/MAX(I$470:I1145))</f>
        <v>-0.91338805338419748</v>
      </c>
      <c r="U1145" s="564">
        <f>IF((J1145-MAX(J$470:J1145))/MAX(J$470:J1145)&gt;U1144,U1144,(J1145-MAX(J$470:J1145))/MAX(J$470:J1145))</f>
        <v>-0.70517826086956548</v>
      </c>
      <c r="V1145" s="564">
        <f>IF((K1145-MAX(K$470:K1145))/MAX(K$470:K1145)&gt;V1144,V1144,(K1145-MAX(K$470:K1145))/MAX(K$470:K1145))</f>
        <v>-0.80725522782524772</v>
      </c>
      <c r="W1145" s="564">
        <f>IF((N1145-MAX(N$470:N1145))/MAX(N$470:N1145)&gt;W1144,W1144,(N1145-MAX(N$470:N1145))/MAX(N$470:N1145))</f>
        <v>-0.62788758315546067</v>
      </c>
      <c r="X1145" s="564">
        <f>IF((O1145-MAX(O$470:O1145))/MAX(O$470:O1145)&gt;X1144,X1144,(O1145-MAX(O$470:O1145))/MAX(O$470:O1145))</f>
        <v>-0.62788758315546067</v>
      </c>
    </row>
    <row r="1146" spans="1:24">
      <c r="A1146" s="799">
        <v>41548</v>
      </c>
      <c r="B1146">
        <v>133.99</v>
      </c>
      <c r="C1146">
        <v>106.05526</v>
      </c>
      <c r="D1146">
        <v>2.2127349999999999</v>
      </c>
      <c r="E1146">
        <f>LN(D1146/参数实验室!$E$53)/参数实验室!$E$55</f>
        <v>0.24402630740593667</v>
      </c>
      <c r="F1146">
        <f t="shared" si="118"/>
        <v>0.79151623255466819</v>
      </c>
      <c r="G1146">
        <f>LN(F1146/参数实验室!$E$58)/参数实验室!$E$59</f>
        <v>-0.3132434671309135</v>
      </c>
      <c r="H1146" s="856">
        <f>INDEX(神经网络!$G$10:$BO$70,MATCH(ROUND(G1146*2,1)/2,神经网络!$E$10:$E$70,0),MATCH(ROUND(E1146*2,1)/2,神经网络!$G$8:$BO$8,0))</f>
        <v>-8.657672641251056E-2</v>
      </c>
      <c r="I1146">
        <f t="shared" si="120"/>
        <v>71.467367080311973</v>
      </c>
      <c r="J1146">
        <f t="shared" si="121"/>
        <v>53.465544072463132</v>
      </c>
      <c r="K1146">
        <f t="shared" si="122"/>
        <v>1.336699519665423</v>
      </c>
      <c r="L1146" s="4">
        <f>MIN(MAX(L1145*(1+MAX(MIN(((B1146-B1145)/B1145)/($K$7*卓尔金历!$N$40),0),-卓尔金历!$M$43))+MIN(MAX(((B1146-B1145)/B1145)/($K$7*卓尔金历!$N$40),0),卓尔金历!$M$43),0),1)</f>
        <v>0.52553920804739607</v>
      </c>
      <c r="M1146" s="4">
        <f>MIN(MAX(M1145*(1+MAX(MIN(((B1146-B1145)/B1145)/($K$7*30),0),-卓尔金历!$M$43))+MIN(MAX(((B1146-B1145)/B1145)/($K$7*7),0),卓尔金历!$M$43),0),1)</f>
        <v>0.75659730688947646</v>
      </c>
      <c r="N1146">
        <f t="shared" si="123"/>
        <v>113.05276275136015</v>
      </c>
      <c r="O1146">
        <f t="shared" si="124"/>
        <v>158.76468054225256</v>
      </c>
      <c r="P1146">
        <f t="shared" si="125"/>
        <v>-3.6436644854251988E-3</v>
      </c>
      <c r="Q1146">
        <f t="shared" si="126"/>
        <v>2.8352763700852157E-2</v>
      </c>
      <c r="R1146">
        <f t="shared" si="127"/>
        <v>1</v>
      </c>
      <c r="S1146">
        <f t="shared" si="119"/>
        <v>5.927821803301649</v>
      </c>
      <c r="T1146" s="564">
        <f>IF((I1146-MAX(I$470:I1146))/MAX(I$470:I1146)&gt;T1145,T1145,(I1146-MAX(I$470:I1146))/MAX(I$470:I1146))</f>
        <v>-0.91338805338419748</v>
      </c>
      <c r="U1146" s="564">
        <f>IF((J1146-MAX(J$470:J1146))/MAX(J$470:J1146)&gt;U1145,U1145,(J1146-MAX(J$470:J1146))/MAX(J$470:J1146))</f>
        <v>-0.70517826086956548</v>
      </c>
      <c r="V1146" s="564">
        <f>IF((K1146-MAX(K$470:K1146))/MAX(K$470:K1146)&gt;V1145,V1145,(K1146-MAX(K$470:K1146))/MAX(K$470:K1146))</f>
        <v>-0.80725522782524772</v>
      </c>
      <c r="W1146" s="564">
        <f>IF((N1146-MAX(N$470:N1146))/MAX(N$470:N1146)&gt;W1145,W1145,(N1146-MAX(N$470:N1146))/MAX(N$470:N1146))</f>
        <v>-0.62788758315546067</v>
      </c>
      <c r="X1146" s="564">
        <f>IF((O1146-MAX(O$470:O1146))/MAX(O$470:O1146)&gt;X1145,X1145,(O1146-MAX(O$470:O1146))/MAX(O$470:O1146))</f>
        <v>-0.62788758315546067</v>
      </c>
    </row>
    <row r="1147" spans="1:24">
      <c r="A1147" s="799">
        <v>41549</v>
      </c>
      <c r="B1147">
        <v>131.61000000000001</v>
      </c>
      <c r="C1147">
        <v>107.57517</v>
      </c>
      <c r="D1147">
        <v>1.8168059999999999</v>
      </c>
      <c r="E1147">
        <f>LN(D1147/参数实验室!$E$53)/参数实验室!$E$55</f>
        <v>1.1438789872769795E-2</v>
      </c>
      <c r="F1147">
        <f t="shared" si="118"/>
        <v>0.81737839069979479</v>
      </c>
      <c r="G1147">
        <f>LN(F1147/参数实验室!$E$58)/参数实验室!$E$59</f>
        <v>-0.29636849301754575</v>
      </c>
      <c r="H1147" s="856">
        <f>INDEX(神经网络!$G$10:$BO$70,MATCH(ROUND(G1147*2,1)/2,神经网络!$E$10:$E$70,0),MATCH(ROUND(E1147*2,1)/2,神经网络!$G$8:$BO$8,0))</f>
        <v>-0.31265452478407557</v>
      </c>
      <c r="I1147">
        <f t="shared" si="120"/>
        <v>71.577271083859856</v>
      </c>
      <c r="J1147">
        <f t="shared" si="121"/>
        <v>52.515861298431766</v>
      </c>
      <c r="K1147">
        <f t="shared" si="122"/>
        <v>1.3629648131848748</v>
      </c>
      <c r="L1147" s="4">
        <f>MIN(MAX(L1146*(1+MAX(MIN(((B1147-B1146)/B1146)/($K$7*卓尔金历!$N$40),0),-卓尔金历!$M$43))+MIN(MAX(((B1147-B1146)/B1146)/($K$7*卓尔金历!$N$40),0),卓尔金历!$M$43),0),1)</f>
        <v>0.38291088676537371</v>
      </c>
      <c r="M1147" s="4">
        <f>MIN(MAX(M1146*(1+MAX(MIN(((B1147-B1146)/B1146)/($K$7*30),0),-卓尔金历!$M$43))+MIN(MAX(((B1147-B1146)/B1146)/($K$7*7),0),卓尔金历!$M$43),0),1)</f>
        <v>0.65392922607293247</v>
      </c>
      <c r="N1147">
        <f t="shared" si="123"/>
        <v>113.14413031253787</v>
      </c>
      <c r="O1147">
        <f t="shared" si="124"/>
        <v>158.949405006386</v>
      </c>
      <c r="P1147">
        <f t="shared" si="125"/>
        <v>-1.7762519591014221E-2</v>
      </c>
      <c r="Q1147">
        <f t="shared" si="126"/>
        <v>2.7795117440647089E-2</v>
      </c>
      <c r="R1147">
        <f t="shared" si="127"/>
        <v>0.48881805166346642</v>
      </c>
      <c r="S1147">
        <f t="shared" si="119"/>
        <v>5.9369377309636988</v>
      </c>
      <c r="T1147" s="564">
        <f>IF((I1147-MAX(I$470:I1147))/MAX(I$470:I1147)&gt;T1146,T1146,(I1147-MAX(I$470:I1147))/MAX(I$470:I1147))</f>
        <v>-0.91338805338419748</v>
      </c>
      <c r="U1147" s="564">
        <f>IF((J1147-MAX(J$470:J1147))/MAX(J$470:J1147)&gt;U1146,U1146,(J1147-MAX(J$470:J1147))/MAX(J$470:J1147))</f>
        <v>-0.70517826086956548</v>
      </c>
      <c r="V1147" s="564">
        <f>IF((K1147-MAX(K$470:K1147))/MAX(K$470:K1147)&gt;V1146,V1146,(K1147-MAX(K$470:K1147))/MAX(K$470:K1147))</f>
        <v>-0.80725522782524772</v>
      </c>
      <c r="W1147" s="564">
        <f>IF((N1147-MAX(N$470:N1147))/MAX(N$470:N1147)&gt;W1146,W1146,(N1147-MAX(N$470:N1147))/MAX(N$470:N1147))</f>
        <v>-0.62788758315546067</v>
      </c>
      <c r="X1147" s="564">
        <f>IF((O1147-MAX(O$470:O1147))/MAX(O$470:O1147)&gt;X1146,X1146,(O1147-MAX(O$470:O1147))/MAX(O$470:O1147))</f>
        <v>-0.62788758315546067</v>
      </c>
    </row>
    <row r="1148" spans="1:24">
      <c r="A1148" s="799">
        <v>41550</v>
      </c>
      <c r="B1148">
        <v>121.59</v>
      </c>
      <c r="C1148">
        <v>107.434488</v>
      </c>
      <c r="D1148">
        <v>2.0445540000000002</v>
      </c>
      <c r="E1148">
        <f>LN(D1148/参数实验室!$E$53)/参数实验室!$E$55</f>
        <v>0.1507672450834594</v>
      </c>
      <c r="F1148">
        <f t="shared" si="118"/>
        <v>0.88357996545768569</v>
      </c>
      <c r="G1148">
        <f>LN(F1148/参数实验室!$E$58)/参数实验室!$E$59</f>
        <v>-0.25549303682515234</v>
      </c>
      <c r="H1148" s="856">
        <f>INDEX(神经网络!$G$10:$BO$70,MATCH(ROUND(G1148*2,1)/2,神经网络!$E$10:$E$70,0),MATCH(ROUND(E1148*2,1)/2,神经网络!$G$8:$BO$8,0))</f>
        <v>-8.6604253818559851E-2</v>
      </c>
      <c r="I1148">
        <f t="shared" si="120"/>
        <v>73.281071371939589</v>
      </c>
      <c r="J1148">
        <f t="shared" si="121"/>
        <v>48.5176170144846</v>
      </c>
      <c r="K1148">
        <f t="shared" si="122"/>
        <v>1.5104012909385478</v>
      </c>
      <c r="L1148" s="4">
        <f>MIN(MAX(L1147*(1+MAX(MIN(((B1148-B1147)/B1147)/($K$7*卓尔金历!$N$40),0),-卓尔金历!$M$43))+MIN(MAX(((B1148-B1147)/B1147)/($K$7*卓尔金历!$N$40),0),卓尔金历!$M$43),0),1)</f>
        <v>0</v>
      </c>
      <c r="M1148" s="4">
        <f>MIN(MAX(M1147*(1+MAX(MIN(((B1148-B1147)/B1147)/($K$7*30),0),-卓尔金历!$M$43))+MIN(MAX(((B1148-B1147)/B1147)/($K$7*7),0),卓尔金历!$M$43),0),1)</f>
        <v>0.27358602010259608</v>
      </c>
      <c r="N1148">
        <f t="shared" si="123"/>
        <v>114.17540247164277</v>
      </c>
      <c r="O1148">
        <f t="shared" si="124"/>
        <v>161.42359590464343</v>
      </c>
      <c r="P1148">
        <f t="shared" si="125"/>
        <v>-7.6134032368361138E-2</v>
      </c>
      <c r="Q1148">
        <f t="shared" si="126"/>
        <v>2.5641598910175242E-2</v>
      </c>
      <c r="R1148">
        <f t="shared" si="127"/>
        <v>0</v>
      </c>
      <c r="S1148">
        <f t="shared" si="119"/>
        <v>6.006017882283718</v>
      </c>
      <c r="T1148" s="564">
        <f>IF((I1148-MAX(I$470:I1148))/MAX(I$470:I1148)&gt;T1147,T1147,(I1148-MAX(I$470:I1148))/MAX(I$470:I1148))</f>
        <v>-0.91338805338419748</v>
      </c>
      <c r="U1148" s="564">
        <f>IF((J1148-MAX(J$470:J1148))/MAX(J$470:J1148)&gt;U1147,U1147,(J1148-MAX(J$470:J1148))/MAX(J$470:J1148))</f>
        <v>-0.70517826086956548</v>
      </c>
      <c r="V1148" s="564">
        <f>IF((K1148-MAX(K$470:K1148))/MAX(K$470:K1148)&gt;V1147,V1147,(K1148-MAX(K$470:K1148))/MAX(K$470:K1148))</f>
        <v>-0.80725522782524772</v>
      </c>
      <c r="W1148" s="564">
        <f>IF((N1148-MAX(N$470:N1148))/MAX(N$470:N1148)&gt;W1147,W1147,(N1148-MAX(N$470:N1148))/MAX(N$470:N1148))</f>
        <v>-0.62788758315546067</v>
      </c>
      <c r="X1148" s="564">
        <f>IF((O1148-MAX(O$470:O1148))/MAX(O$470:O1148)&gt;X1147,X1147,(O1148-MAX(O$470:O1148))/MAX(O$470:O1148))</f>
        <v>-0.62788758315546067</v>
      </c>
    </row>
    <row r="1149" spans="1:24">
      <c r="A1149" s="799">
        <v>41551</v>
      </c>
      <c r="B1149">
        <v>125.93</v>
      </c>
      <c r="C1149">
        <v>106.59073100000001</v>
      </c>
      <c r="D1149">
        <v>2.1165470000000002</v>
      </c>
      <c r="E1149">
        <f>LN(D1149/参数实验室!$E$53)/参数实验室!$E$55</f>
        <v>0.19159415676552927</v>
      </c>
      <c r="F1149">
        <f t="shared" si="118"/>
        <v>0.84642842055109979</v>
      </c>
      <c r="G1149">
        <f>LN(F1149/参数实验室!$E$58)/参数实验室!$E$59</f>
        <v>-0.27803875045904886</v>
      </c>
      <c r="H1149" s="856">
        <f>INDEX(神经网络!$G$10:$BO$70,MATCH(ROUND(G1149*2,1)/2,神经网络!$E$10:$E$70,0),MATCH(ROUND(E1149*2,1)/2,神经网络!$G$8:$BO$8,0))</f>
        <v>-0.13443077051308086</v>
      </c>
      <c r="I1149">
        <f t="shared" si="120"/>
        <v>73.054542842681172</v>
      </c>
      <c r="J1149">
        <f t="shared" si="121"/>
        <v>50.249391484777085</v>
      </c>
      <c r="K1149">
        <f t="shared" si="122"/>
        <v>1.4538393537524299</v>
      </c>
      <c r="L1149" s="4">
        <f>MIN(MAX(L1148*(1+MAX(MIN(((B1149-B1148)/B1148)/($K$7*卓尔金历!$N$40),0),-卓尔金历!$M$43))+MIN(MAX(((B1149-B1148)/B1148)/($K$7*卓尔金历!$N$40),0),卓尔金历!$M$43),0),1)</f>
        <v>0.54536586243571805</v>
      </c>
      <c r="M1149" s="4">
        <f>MIN(MAX(M1148*(1+MAX(MIN(((B1149-B1148)/B1148)/($K$7*30),0),-卓尔金历!$M$43))+MIN(MAX(((B1149-B1148)/B1148)/($K$7*7),0),卓尔金历!$M$43),0),1)</f>
        <v>1</v>
      </c>
      <c r="N1149">
        <f t="shared" si="123"/>
        <v>114.17540247164277</v>
      </c>
      <c r="O1149">
        <f t="shared" si="124"/>
        <v>161.28707724538268</v>
      </c>
      <c r="P1149">
        <f t="shared" si="125"/>
        <v>3.5693724812895823E-2</v>
      </c>
      <c r="Q1149">
        <f t="shared" si="126"/>
        <v>2.6795271611647471E-2</v>
      </c>
      <c r="R1149">
        <f t="shared" si="127"/>
        <v>1.8288884314363475E-2</v>
      </c>
      <c r="S1149">
        <f t="shared" si="119"/>
        <v>6.006017882283718</v>
      </c>
      <c r="T1149" s="564">
        <f>IF((I1149-MAX(I$470:I1149))/MAX(I$470:I1149)&gt;T1148,T1148,(I1149-MAX(I$470:I1149))/MAX(I$470:I1149))</f>
        <v>-0.91338805338419748</v>
      </c>
      <c r="U1149" s="564">
        <f>IF((J1149-MAX(J$470:J1149))/MAX(J$470:J1149)&gt;U1148,U1148,(J1149-MAX(J$470:J1149))/MAX(J$470:J1149))</f>
        <v>-0.70517826086956548</v>
      </c>
      <c r="V1149" s="564">
        <f>IF((K1149-MAX(K$470:K1149))/MAX(K$470:K1149)&gt;V1148,V1148,(K1149-MAX(K$470:K1149))/MAX(K$470:K1149))</f>
        <v>-0.80725522782524772</v>
      </c>
      <c r="W1149" s="564">
        <f>IF((N1149-MAX(N$470:N1149))/MAX(N$470:N1149)&gt;W1148,W1148,(N1149-MAX(N$470:N1149))/MAX(N$470:N1149))</f>
        <v>-0.62788758315546067</v>
      </c>
      <c r="X1149" s="564">
        <f>IF((O1149-MAX(O$470:O1149))/MAX(O$470:O1149)&gt;X1148,X1148,(O1149-MAX(O$470:O1149))/MAX(O$470:O1149))</f>
        <v>-0.62788758315546067</v>
      </c>
    </row>
    <row r="1150" spans="1:24">
      <c r="A1150" s="799">
        <v>41552</v>
      </c>
      <c r="B1150">
        <v>129.07</v>
      </c>
      <c r="C1150">
        <v>104.494169</v>
      </c>
      <c r="D1150">
        <v>2.1046269999999998</v>
      </c>
      <c r="E1150">
        <f>LN(D1150/参数实验室!$E$53)/参数实验室!$E$55</f>
        <v>0.18493122552994598</v>
      </c>
      <c r="F1150">
        <f t="shared" si="118"/>
        <v>0.80959300379638954</v>
      </c>
      <c r="G1150">
        <f>LN(F1150/参数实验室!$E$58)/参数实验室!$E$59</f>
        <v>-0.30139159667654658</v>
      </c>
      <c r="H1150" s="856">
        <f>INDEX(神经网络!$G$10:$BO$70,MATCH(ROUND(G1150*2,1)/2,神经网络!$E$10:$E$70,0),MATCH(ROUND(E1150*2,1)/2,神经网络!$G$8:$BO$8,0))</f>
        <v>-0.13443077051308086</v>
      </c>
      <c r="I1150">
        <f t="shared" si="120"/>
        <v>72.809666765184133</v>
      </c>
      <c r="J1150">
        <f t="shared" si="121"/>
        <v>51.502334304297449</v>
      </c>
      <c r="K1150">
        <f t="shared" si="122"/>
        <v>1.4137158586831036</v>
      </c>
      <c r="L1150" s="4">
        <f>MIN(MAX(L1149*(1+MAX(MIN(((B1150-B1149)/B1149)/($K$7*卓尔金历!$N$40),0),-卓尔金历!$M$43))+MIN(MAX(((B1150-B1149)/B1149)/($K$7*卓尔金历!$N$40),0),卓尔金历!$M$43),0),1)</f>
        <v>0.926340902278594</v>
      </c>
      <c r="M1150" s="4">
        <f>MIN(MAX(M1149*(1+MAX(MIN(((B1150-B1149)/B1149)/($K$7*30),0),-卓尔金历!$M$43))+MIN(MAX(((B1150-B1149)/B1149)/($K$7*7),0),卓尔金历!$M$43),0),1)</f>
        <v>1</v>
      </c>
      <c r="N1150">
        <f t="shared" si="123"/>
        <v>113.96668460203446</v>
      </c>
      <c r="O1150">
        <f t="shared" si="124"/>
        <v>160.74644903404936</v>
      </c>
      <c r="P1150">
        <f t="shared" si="125"/>
        <v>2.4934487413642389E-2</v>
      </c>
      <c r="Q1150">
        <f t="shared" si="126"/>
        <v>2.6896166680665749E-2</v>
      </c>
      <c r="R1150">
        <f t="shared" si="127"/>
        <v>0.10455642021853409</v>
      </c>
      <c r="S1150">
        <f t="shared" si="119"/>
        <v>6.0056496914550976</v>
      </c>
      <c r="T1150" s="564">
        <f>IF((I1150-MAX(I$470:I1150))/MAX(I$470:I1150)&gt;T1149,T1149,(I1150-MAX(I$470:I1150))/MAX(I$470:I1150))</f>
        <v>-0.91338805338419748</v>
      </c>
      <c r="U1150" s="564">
        <f>IF((J1150-MAX(J$470:J1150))/MAX(J$470:J1150)&gt;U1149,U1149,(J1150-MAX(J$470:J1150))/MAX(J$470:J1150))</f>
        <v>-0.70517826086956548</v>
      </c>
      <c r="V1150" s="564">
        <f>IF((K1150-MAX(K$470:K1150))/MAX(K$470:K1150)&gt;V1149,V1149,(K1150-MAX(K$470:K1150))/MAX(K$470:K1150))</f>
        <v>-0.80725522782524772</v>
      </c>
      <c r="W1150" s="564">
        <f>IF((N1150-MAX(N$470:N1150))/MAX(N$470:N1150)&gt;W1149,W1149,(N1150-MAX(N$470:N1150))/MAX(N$470:N1150))</f>
        <v>-0.62788758315546067</v>
      </c>
      <c r="X1150" s="564">
        <f>IF((O1150-MAX(O$470:O1150))/MAX(O$470:O1150)&gt;X1149,X1149,(O1150-MAX(O$470:O1150))/MAX(O$470:O1150))</f>
        <v>-0.62788758315546067</v>
      </c>
    </row>
    <row r="1151" spans="1:24">
      <c r="A1151" s="799">
        <v>41553</v>
      </c>
      <c r="B1151">
        <v>128.78</v>
      </c>
      <c r="C1151">
        <v>104.628484</v>
      </c>
      <c r="D1151">
        <v>2.1201490000000001</v>
      </c>
      <c r="E1151">
        <f>LN(D1151/参数实验室!$E$53)/参数实验室!$E$55</f>
        <v>0.19360018797884368</v>
      </c>
      <c r="F1151">
        <f t="shared" si="118"/>
        <v>0.81245910855722936</v>
      </c>
      <c r="G1151">
        <f>LN(F1151/参数实验室!$E$58)/参数实验室!$E$59</f>
        <v>-0.2995368002421937</v>
      </c>
      <c r="H1151" s="856">
        <f>INDEX(神经网络!$G$10:$BO$70,MATCH(ROUND(G1151*2,1)/2,神经网络!$E$10:$E$70,0),MATCH(ROUND(E1151*2,1)/2,神经网络!$G$8:$BO$8,0))</f>
        <v>-0.13443077051308086</v>
      </c>
      <c r="I1151">
        <f t="shared" si="120"/>
        <v>72.831658547048036</v>
      </c>
      <c r="J1151">
        <f t="shared" si="121"/>
        <v>51.386616655360861</v>
      </c>
      <c r="K1151">
        <f t="shared" si="122"/>
        <v>1.4173273760270018</v>
      </c>
      <c r="L1151" s="4">
        <f>MIN(MAX(L1150*(1+MAX(MIN(((B1151-B1150)/B1150)/($K$7*卓尔金历!$N$40),0),-卓尔金历!$M$43))+MIN(MAX(((B1151-B1150)/B1150)/($K$7*卓尔金历!$N$40),0),卓尔金历!$M$43),0),1)</f>
        <v>0.89453998794725254</v>
      </c>
      <c r="M1151" s="4">
        <f>MIN(MAX(M1150*(1+MAX(MIN(((B1151-B1150)/B1150)/($K$7*30),0),-卓尔金历!$M$43))+MIN(MAX(((B1151-B1150)/B1150)/($K$7*7),0),卓尔金历!$M$43),0),1)</f>
        <v>0.98283519908647121</v>
      </c>
      <c r="N1151">
        <f t="shared" si="123"/>
        <v>113.99857207700641</v>
      </c>
      <c r="O1151">
        <f t="shared" si="124"/>
        <v>160.79500166448449</v>
      </c>
      <c r="P1151">
        <f t="shared" si="125"/>
        <v>-2.2468427984813828E-3</v>
      </c>
      <c r="Q1151">
        <f t="shared" si="126"/>
        <v>2.6096230856496025E-2</v>
      </c>
      <c r="R1151">
        <f t="shared" si="127"/>
        <v>1</v>
      </c>
      <c r="S1151">
        <f t="shared" si="119"/>
        <v>6.0058393542200541</v>
      </c>
      <c r="T1151" s="564">
        <f>IF((I1151-MAX(I$470:I1151))/MAX(I$470:I1151)&gt;T1150,T1150,(I1151-MAX(I$470:I1151))/MAX(I$470:I1151))</f>
        <v>-0.91338805338419748</v>
      </c>
      <c r="U1151" s="564">
        <f>IF((J1151-MAX(J$470:J1151))/MAX(J$470:J1151)&gt;U1150,U1150,(J1151-MAX(J$470:J1151))/MAX(J$470:J1151))</f>
        <v>-0.70517826086956548</v>
      </c>
      <c r="V1151" s="564">
        <f>IF((K1151-MAX(K$470:K1151))/MAX(K$470:K1151)&gt;V1150,V1150,(K1151-MAX(K$470:K1151))/MAX(K$470:K1151))</f>
        <v>-0.80725522782524772</v>
      </c>
      <c r="W1151" s="564">
        <f>IF((N1151-MAX(N$470:N1151))/MAX(N$470:N1151)&gt;W1150,W1150,(N1151-MAX(N$470:N1151))/MAX(N$470:N1151))</f>
        <v>-0.62788758315546067</v>
      </c>
      <c r="X1151" s="564">
        <f>IF((O1151-MAX(O$470:O1151))/MAX(O$470:O1151)&gt;X1150,X1150,(O1151-MAX(O$470:O1151))/MAX(O$470:O1151))</f>
        <v>-0.62788758315546067</v>
      </c>
    </row>
    <row r="1152" spans="1:24">
      <c r="A1152" s="799">
        <v>41554</v>
      </c>
      <c r="B1152">
        <v>129.46</v>
      </c>
      <c r="C1152">
        <v>104.130394</v>
      </c>
      <c r="D1152">
        <v>2.1262490000000001</v>
      </c>
      <c r="E1152">
        <f>LN(D1152/参数实验室!$E$53)/参数实验室!$E$55</f>
        <v>0.19698964875872488</v>
      </c>
      <c r="F1152">
        <f t="shared" si="118"/>
        <v>0.80434415263401815</v>
      </c>
      <c r="G1152">
        <f>LN(F1152/参数实验室!$E$58)/参数实验室!$E$59</f>
        <v>-0.30480547243474354</v>
      </c>
      <c r="H1152" s="856">
        <f>INDEX(神经网络!$G$10:$BO$70,MATCH(ROUND(G1152*2,1)/2,神经网络!$E$10:$E$70,0),MATCH(ROUND(E1152*2,1)/2,神经网络!$G$8:$BO$8,0))</f>
        <v>-0.13443077051308086</v>
      </c>
      <c r="I1152">
        <f t="shared" si="120"/>
        <v>72.779959875951334</v>
      </c>
      <c r="J1152">
        <f t="shared" si="121"/>
        <v>51.657954590798397</v>
      </c>
      <c r="K1152">
        <f t="shared" si="122"/>
        <v>1.408881951530371</v>
      </c>
      <c r="L1152" s="4">
        <f>MIN(MAX(L1151*(1+MAX(MIN(((B1152-B1151)/B1151)/($K$7*卓尔金历!$N$40),0),-卓尔金历!$M$43))+MIN(MAX(((B1152-B1151)/B1151)/($K$7*卓尔金历!$N$40),0),卓尔金历!$M$43),0),1)</f>
        <v>0.97521825672202955</v>
      </c>
      <c r="M1152" s="4">
        <f>MIN(MAX(M1151*(1+MAX(MIN(((B1152-B1151)/B1151)/($K$7*30),0),-卓尔金历!$M$43))+MIN(MAX(((B1152-B1151)/B1151)/($K$7*7),0),卓尔金历!$M$43),0),1)</f>
        <v>1</v>
      </c>
      <c r="N1152">
        <f t="shared" si="123"/>
        <v>113.92618544828832</v>
      </c>
      <c r="O1152">
        <f t="shared" si="124"/>
        <v>160.68282244184792</v>
      </c>
      <c r="P1152">
        <f t="shared" si="125"/>
        <v>5.2803230315266875E-3</v>
      </c>
      <c r="Q1152">
        <f t="shared" si="126"/>
        <v>2.5918722186640594E-2</v>
      </c>
      <c r="R1152">
        <f t="shared" si="127"/>
        <v>1</v>
      </c>
      <c r="S1152">
        <f t="shared" si="119"/>
        <v>6.0015761818630375</v>
      </c>
      <c r="T1152" s="564">
        <f>IF((I1152-MAX(I$470:I1152))/MAX(I$470:I1152)&gt;T1151,T1151,(I1152-MAX(I$470:I1152))/MAX(I$470:I1152))</f>
        <v>-0.91338805338419748</v>
      </c>
      <c r="U1152" s="564">
        <f>IF((J1152-MAX(J$470:J1152))/MAX(J$470:J1152)&gt;U1151,U1151,(J1152-MAX(J$470:J1152))/MAX(J$470:J1152))</f>
        <v>-0.70517826086956548</v>
      </c>
      <c r="V1152" s="564">
        <f>IF((K1152-MAX(K$470:K1152))/MAX(K$470:K1152)&gt;V1151,V1151,(K1152-MAX(K$470:K1152))/MAX(K$470:K1152))</f>
        <v>-0.80725522782524772</v>
      </c>
      <c r="W1152" s="564">
        <f>IF((N1152-MAX(N$470:N1152))/MAX(N$470:N1152)&gt;W1151,W1151,(N1152-MAX(N$470:N1152))/MAX(N$470:N1152))</f>
        <v>-0.62788758315546067</v>
      </c>
      <c r="X1152" s="564">
        <f>IF((O1152-MAX(O$470:O1152))/MAX(O$470:O1152)&gt;X1151,X1151,(O1152-MAX(O$470:O1152))/MAX(O$470:O1152))</f>
        <v>-0.62788758315546067</v>
      </c>
    </row>
    <row r="1153" spans="1:24">
      <c r="A1153" s="799">
        <v>41555</v>
      </c>
      <c r="B1153">
        <v>126.11</v>
      </c>
      <c r="C1153">
        <v>104.02537100000001</v>
      </c>
      <c r="D1153">
        <v>2.137629</v>
      </c>
      <c r="E1153">
        <f>LN(D1153/参数实验室!$E$53)/参数实验室!$E$55</f>
        <v>0.20328702583858238</v>
      </c>
      <c r="F1153">
        <f t="shared" si="118"/>
        <v>0.82487805090793753</v>
      </c>
      <c r="G1153">
        <f>LN(F1153/参数实验室!$E$58)/参数实验室!$E$59</f>
        <v>-0.29157477841199519</v>
      </c>
      <c r="H1153" s="856">
        <f>INDEX(神经网络!$G$10:$BO$70,MATCH(ROUND(G1153*2,1)/2,神经网络!$E$10:$E$70,0),MATCH(ROUND(E1153*2,1)/2,神经网络!$G$8:$BO$8,0))</f>
        <v>-0.13443077051308086</v>
      </c>
      <c r="I1153">
        <f t="shared" si="120"/>
        <v>73.033134226187073</v>
      </c>
      <c r="J1153">
        <f t="shared" si="121"/>
        <v>50.321216232392906</v>
      </c>
      <c r="K1153">
        <f t="shared" si="122"/>
        <v>1.4513388128161733</v>
      </c>
      <c r="L1153" s="4">
        <f>MIN(MAX(L1152*(1+MAX(MIN(((B1153-B1152)/B1152)/($K$7*卓尔金历!$N$40),0),-卓尔金历!$M$43))+MIN(MAX(((B1153-B1152)/B1152)/($K$7*卓尔金历!$N$40),0),卓尔金历!$M$43),0),1)</f>
        <v>0.58964482061977874</v>
      </c>
      <c r="M1153" s="4">
        <f>MIN(MAX(M1152*(1+MAX(MIN(((B1153-B1152)/B1152)/($K$7*30),0),-卓尔金历!$M$43))+MIN(MAX(((B1153-B1152)/B1152)/($K$7*7),0),卓尔金历!$M$43),0),1)</f>
        <v>0.80231428531790072</v>
      </c>
      <c r="N1153">
        <f t="shared" si="123"/>
        <v>114.31267100755379</v>
      </c>
      <c r="O1153">
        <f t="shared" si="124"/>
        <v>161.24177808341597</v>
      </c>
      <c r="P1153">
        <f t="shared" si="125"/>
        <v>-2.5876718677583874E-2</v>
      </c>
      <c r="Q1153">
        <f t="shared" si="126"/>
        <v>2.5678492861636131E-2</v>
      </c>
      <c r="R1153">
        <f t="shared" si="127"/>
        <v>2.5719410225016909E-2</v>
      </c>
      <c r="S1153">
        <f t="shared" si="119"/>
        <v>6.0224534281932529</v>
      </c>
      <c r="T1153" s="564">
        <f>IF((I1153-MAX(I$470:I1153))/MAX(I$470:I1153)&gt;T1152,T1152,(I1153-MAX(I$470:I1153))/MAX(I$470:I1153))</f>
        <v>-0.91338805338419748</v>
      </c>
      <c r="U1153" s="564">
        <f>IF((J1153-MAX(J$470:J1153))/MAX(J$470:J1153)&gt;U1152,U1152,(J1153-MAX(J$470:J1153))/MAX(J$470:J1153))</f>
        <v>-0.70517826086956548</v>
      </c>
      <c r="V1153" s="564">
        <f>IF((K1153-MAX(K$470:K1153))/MAX(K$470:K1153)&gt;V1152,V1152,(K1153-MAX(K$470:K1153))/MAX(K$470:K1153))</f>
        <v>-0.80725522782524772</v>
      </c>
      <c r="W1153" s="564">
        <f>IF((N1153-MAX(N$470:N1153))/MAX(N$470:N1153)&gt;W1152,W1152,(N1153-MAX(N$470:N1153))/MAX(N$470:N1153))</f>
        <v>-0.62788758315546067</v>
      </c>
      <c r="X1153" s="564">
        <f>IF((O1153-MAX(O$470:O1153))/MAX(O$470:O1153)&gt;X1152,X1152,(O1153-MAX(O$470:O1153))/MAX(O$470:O1153))</f>
        <v>-0.62788758315546067</v>
      </c>
    </row>
    <row r="1154" spans="1:24">
      <c r="A1154" s="799">
        <v>41556</v>
      </c>
      <c r="B1154">
        <v>127.37</v>
      </c>
      <c r="C1154">
        <v>105.49418799999999</v>
      </c>
      <c r="D1154">
        <v>2.1526700000000001</v>
      </c>
      <c r="E1154">
        <f>LN(D1154/参数实验室!$E$53)/参数实验室!$E$55</f>
        <v>0.21155905594256194</v>
      </c>
      <c r="F1154">
        <f t="shared" si="118"/>
        <v>0.82824988615843598</v>
      </c>
      <c r="G1154">
        <f>LN(F1154/参数实验室!$E$58)/参数实验室!$E$59</f>
        <v>-0.28943371748341534</v>
      </c>
      <c r="H1154" s="856">
        <f>INDEX(神经网络!$G$10:$BO$70,MATCH(ROUND(G1154*2,1)/2,神经网络!$E$10:$E$70,0),MATCH(ROUND(E1154*2,1)/2,神经网络!$G$8:$BO$8,0))</f>
        <v>-0.13443077051308086</v>
      </c>
      <c r="I1154">
        <f t="shared" si="120"/>
        <v>72.935040858184266</v>
      </c>
      <c r="J1154">
        <f t="shared" si="121"/>
        <v>50.823989465703633</v>
      </c>
      <c r="K1154">
        <f t="shared" si="122"/>
        <v>1.4350514712624305</v>
      </c>
      <c r="L1154" s="4">
        <f>MIN(MAX(L1153*(1+MAX(MIN(((B1154-B1153)/B1153)/($K$7*卓尔金历!$N$40),0),-卓尔金历!$M$43))+MIN(MAX(((B1154-B1153)/B1153)/($K$7*卓尔金历!$N$40),0),卓尔金历!$M$43),0),1)</f>
        <v>0.74230195223862472</v>
      </c>
      <c r="M1154" s="4">
        <f>MIN(MAX(M1153*(1+MAX(MIN(((B1154-B1153)/B1153)/($K$7*30),0),-卓尔金历!$M$43))+MIN(MAX(((B1154-B1153)/B1153)/($K$7*7),0),卓尔金历!$M$43),0),1)</f>
        <v>1</v>
      </c>
      <c r="N1154">
        <f t="shared" si="123"/>
        <v>114.22213849617401</v>
      </c>
      <c r="O1154">
        <f t="shared" si="124"/>
        <v>161.06802128296383</v>
      </c>
      <c r="P1154">
        <f t="shared" si="125"/>
        <v>9.9912774561890811E-3</v>
      </c>
      <c r="Q1154">
        <f t="shared" si="126"/>
        <v>2.4735894045536413E-2</v>
      </c>
      <c r="R1154">
        <f t="shared" si="127"/>
        <v>0.95550008005098463</v>
      </c>
      <c r="S1154">
        <f t="shared" si="119"/>
        <v>6.0222453846876949</v>
      </c>
      <c r="T1154" s="564">
        <f>IF((I1154-MAX(I$470:I1154))/MAX(I$470:I1154)&gt;T1153,T1153,(I1154-MAX(I$470:I1154))/MAX(I$470:I1154))</f>
        <v>-0.91338805338419748</v>
      </c>
      <c r="U1154" s="564">
        <f>IF((J1154-MAX(J$470:J1154))/MAX(J$470:J1154)&gt;U1153,U1153,(J1154-MAX(J$470:J1154))/MAX(J$470:J1154))</f>
        <v>-0.70517826086956548</v>
      </c>
      <c r="V1154" s="564">
        <f>IF((K1154-MAX(K$470:K1154))/MAX(K$470:K1154)&gt;V1153,V1153,(K1154-MAX(K$470:K1154))/MAX(K$470:K1154))</f>
        <v>-0.80725522782524772</v>
      </c>
      <c r="W1154" s="564">
        <f>IF((N1154-MAX(N$470:N1154))/MAX(N$470:N1154)&gt;W1153,W1153,(N1154-MAX(N$470:N1154))/MAX(N$470:N1154))</f>
        <v>-0.62788758315546067</v>
      </c>
      <c r="X1154" s="564">
        <f>IF((O1154-MAX(O$470:O1154))/MAX(O$470:O1154)&gt;X1153,X1153,(O1154-MAX(O$470:O1154))/MAX(O$470:O1154))</f>
        <v>-0.62788758315546067</v>
      </c>
    </row>
    <row r="1155" spans="1:24">
      <c r="A1155" s="799">
        <v>41557</v>
      </c>
      <c r="B1155">
        <v>131.09</v>
      </c>
      <c r="C1155">
        <v>105.578352</v>
      </c>
      <c r="D1155">
        <v>2.1626349999999999</v>
      </c>
      <c r="E1155">
        <f>LN(D1155/参数实验室!$E$53)/参数实验室!$E$55</f>
        <v>0.2170076914262668</v>
      </c>
      <c r="F1155">
        <f t="shared" si="118"/>
        <v>0.80538829811579826</v>
      </c>
      <c r="G1155">
        <f>LN(F1155/参数实验室!$E$58)/参数实验室!$E$59</f>
        <v>-0.30412458406191967</v>
      </c>
      <c r="H1155" s="856">
        <f>INDEX(神经网络!$G$10:$BO$70,MATCH(ROUND(G1155*2,1)/2,神经网络!$E$10:$E$70,0),MATCH(ROUND(E1155*2,1)/2,神经网络!$G$8:$BO$8,0))</f>
        <v>-0.13443077051308086</v>
      </c>
      <c r="I1155">
        <f t="shared" si="120"/>
        <v>72.648681942327443</v>
      </c>
      <c r="J1155">
        <f t="shared" si="121"/>
        <v>52.308367583097194</v>
      </c>
      <c r="K1155">
        <f t="shared" si="122"/>
        <v>1.3888539310066899</v>
      </c>
      <c r="L1155" s="4">
        <f>MIN(MAX(L1154*(1+MAX(MIN(((B1155-B1154)/B1154)/($K$7*卓尔金历!$N$40),0),-卓尔金历!$M$43))+MIN(MAX(((B1155-B1154)/B1154)/($K$7*卓尔金历!$N$40),0),卓尔金历!$M$43),0),1)</f>
        <v>1</v>
      </c>
      <c r="M1155" s="4">
        <f>MIN(MAX(M1154*(1+MAX(MIN(((B1155-B1154)/B1154)/($K$7*30),0),-卓尔金历!$M$43))+MIN(MAX(((B1155-B1154)/B1154)/($K$7*7),0),卓尔金历!$M$43),0),1)</f>
        <v>1</v>
      </c>
      <c r="N1155">
        <f t="shared" si="123"/>
        <v>113.8892449553536</v>
      </c>
      <c r="O1155">
        <f t="shared" si="124"/>
        <v>160.43563301785713</v>
      </c>
      <c r="P1155">
        <f t="shared" si="125"/>
        <v>2.9206249509303592E-2</v>
      </c>
      <c r="Q1155">
        <f t="shared" si="126"/>
        <v>2.5552649275275011E-2</v>
      </c>
      <c r="R1155">
        <f t="shared" si="127"/>
        <v>2.1430146877880224E-2</v>
      </c>
      <c r="S1155">
        <f t="shared" si="119"/>
        <v>5.9996529178130391</v>
      </c>
      <c r="T1155" s="564">
        <f>IF((I1155-MAX(I$470:I1155))/MAX(I$470:I1155)&gt;T1154,T1154,(I1155-MAX(I$470:I1155))/MAX(I$470:I1155))</f>
        <v>-0.91338805338419748</v>
      </c>
      <c r="U1155" s="564">
        <f>IF((J1155-MAX(J$470:J1155))/MAX(J$470:J1155)&gt;U1154,U1154,(J1155-MAX(J$470:J1155))/MAX(J$470:J1155))</f>
        <v>-0.70517826086956548</v>
      </c>
      <c r="V1155" s="564">
        <f>IF((K1155-MAX(K$470:K1155))/MAX(K$470:K1155)&gt;V1154,V1154,(K1155-MAX(K$470:K1155))/MAX(K$470:K1155))</f>
        <v>-0.80725522782524772</v>
      </c>
      <c r="W1155" s="564">
        <f>IF((N1155-MAX(N$470:N1155))/MAX(N$470:N1155)&gt;W1154,W1154,(N1155-MAX(N$470:N1155))/MAX(N$470:N1155))</f>
        <v>-0.62788758315546067</v>
      </c>
      <c r="X1155" s="564">
        <f>IF((O1155-MAX(O$470:O1155))/MAX(O$470:O1155)&gt;X1154,X1154,(O1155-MAX(O$470:O1155))/MAX(O$470:O1155))</f>
        <v>-0.62788758315546067</v>
      </c>
    </row>
    <row r="1156" spans="1:24">
      <c r="A1156" s="799">
        <v>41558</v>
      </c>
      <c r="B1156">
        <v>130.18</v>
      </c>
      <c r="C1156">
        <v>106.564333</v>
      </c>
      <c r="D1156">
        <v>2.1681699999999999</v>
      </c>
      <c r="E1156">
        <f>LN(D1156/参数实验室!$E$53)/参数实验室!$E$55</f>
        <v>0.22002326832745067</v>
      </c>
      <c r="F1156">
        <f t="shared" si="118"/>
        <v>0.81859220310339531</v>
      </c>
      <c r="G1156">
        <f>LN(F1156/参数实验室!$E$58)/参数实验室!$E$59</f>
        <v>-0.2955896593797197</v>
      </c>
      <c r="H1156" s="856">
        <f>INDEX(神经网络!$G$10:$BO$70,MATCH(ROUND(G1156*2,1)/2,神经网络!$E$10:$E$70,0),MATCH(ROUND(E1156*2,1)/2,神经网络!$G$8:$BO$8,0))</f>
        <v>-0.13443077051308086</v>
      </c>
      <c r="I1156">
        <f t="shared" si="120"/>
        <v>72.716477034585765</v>
      </c>
      <c r="J1156">
        <f t="shared" si="121"/>
        <v>51.945253581261674</v>
      </c>
      <c r="K1156">
        <f t="shared" si="122"/>
        <v>1.3998675917681329</v>
      </c>
      <c r="L1156" s="4">
        <f>MIN(MAX(L1155*(1+MAX(MIN(((B1156-B1155)/B1155)/($K$7*卓尔金历!$N$40),0),-卓尔金历!$M$43))+MIN(MAX(((B1156-B1155)/B1155)/($K$7*卓尔金历!$N$40),0),卓尔金历!$M$43),0),1)</f>
        <v>0.89393602305037134</v>
      </c>
      <c r="M1156" s="4">
        <f>MIN(MAX(M1155*(1+MAX(MIN(((B1156-B1155)/B1155)/($K$7*30),0),-卓尔金历!$M$43))+MIN(MAX(((B1156-B1155)/B1155)/($K$7*7),0),卓尔金历!$M$43),0),1)</f>
        <v>0.94696801152518573</v>
      </c>
      <c r="N1156">
        <f t="shared" si="123"/>
        <v>113.99552536764116</v>
      </c>
      <c r="O1156">
        <f t="shared" si="124"/>
        <v>160.58535009807343</v>
      </c>
      <c r="P1156">
        <f t="shared" si="125"/>
        <v>-6.9417957128689953E-3</v>
      </c>
      <c r="Q1156">
        <f t="shared" si="126"/>
        <v>2.5503493097297256E-2</v>
      </c>
      <c r="R1156">
        <f t="shared" si="127"/>
        <v>1</v>
      </c>
      <c r="S1156">
        <f t="shared" si="119"/>
        <v>5.9997729013862262</v>
      </c>
      <c r="T1156" s="564">
        <f>IF((I1156-MAX(I$470:I1156))/MAX(I$470:I1156)&gt;T1155,T1155,(I1156-MAX(I$470:I1156))/MAX(I$470:I1156))</f>
        <v>-0.91338805338419748</v>
      </c>
      <c r="U1156" s="564">
        <f>IF((J1156-MAX(J$470:J1156))/MAX(J$470:J1156)&gt;U1155,U1155,(J1156-MAX(J$470:J1156))/MAX(J$470:J1156))</f>
        <v>-0.70517826086956548</v>
      </c>
      <c r="V1156" s="564">
        <f>IF((K1156-MAX(K$470:K1156))/MAX(K$470:K1156)&gt;V1155,V1155,(K1156-MAX(K$470:K1156))/MAX(K$470:K1156))</f>
        <v>-0.80725522782524772</v>
      </c>
      <c r="W1156" s="564">
        <f>IF((N1156-MAX(N$470:N1156))/MAX(N$470:N1156)&gt;W1155,W1155,(N1156-MAX(N$470:N1156))/MAX(N$470:N1156))</f>
        <v>-0.62788758315546067</v>
      </c>
      <c r="X1156" s="564">
        <f>IF((O1156-MAX(O$470:O1156))/MAX(O$470:O1156)&gt;X1155,X1155,(O1156-MAX(O$470:O1156))/MAX(O$470:O1156))</f>
        <v>-0.62788758315546067</v>
      </c>
    </row>
    <row r="1157" spans="1:24">
      <c r="A1157" s="799">
        <v>41559</v>
      </c>
      <c r="B1157">
        <v>133.13999999999999</v>
      </c>
      <c r="C1157">
        <v>106.665334</v>
      </c>
      <c r="D1157">
        <v>2.1740569999999999</v>
      </c>
      <c r="E1157">
        <f>LN(D1157/参数实验室!$E$53)/参数实验室!$E$55</f>
        <v>0.22322218519777462</v>
      </c>
      <c r="F1157">
        <f t="shared" ref="F1157:F1220" si="128">C1157/B1157</f>
        <v>0.80115167492864658</v>
      </c>
      <c r="G1157">
        <f>LN(F1157/参数实验室!$E$58)/参数实验室!$E$59</f>
        <v>-0.30689278653519259</v>
      </c>
      <c r="H1157" s="856">
        <f>INDEX(神经网络!$G$10:$BO$70,MATCH(ROUND(G1157*2,1)/2,神经网络!$E$10:$E$70,0),MATCH(ROUND(E1157*2,1)/2,神经网络!$G$8:$BO$8,0))</f>
        <v>-0.13443077051308086</v>
      </c>
      <c r="I1157">
        <f t="shared" si="120"/>
        <v>72.494208000718828</v>
      </c>
      <c r="J1157">
        <f t="shared" si="121"/>
        <v>53.126371653166224</v>
      </c>
      <c r="K1157">
        <f t="shared" si="122"/>
        <v>1.3645616243848702</v>
      </c>
      <c r="L1157" s="4">
        <f>MIN(MAX(L1156*(1+MAX(MIN(((B1157-B1156)/B1156)/($K$7*卓尔金历!$N$40),0),-卓尔金历!$M$43))+MIN(MAX(((B1157-B1156)/B1156)/($K$7*卓尔金历!$N$40),0),卓尔金历!$M$43),0),1)</f>
        <v>1</v>
      </c>
      <c r="M1157" s="4">
        <f>MIN(MAX(M1156*(1+MAX(MIN(((B1157-B1156)/B1156)/($K$7*30),0),-卓尔金历!$M$43))+MIN(MAX(((B1157-B1156)/B1156)/($K$7*7),0),卓尔金历!$M$43),0),1)</f>
        <v>1</v>
      </c>
      <c r="N1157">
        <f t="shared" si="123"/>
        <v>113.68403804586019</v>
      </c>
      <c r="O1157">
        <f t="shared" si="124"/>
        <v>160.12052736125241</v>
      </c>
      <c r="P1157">
        <f t="shared" si="125"/>
        <v>2.273774773390674E-2</v>
      </c>
      <c r="Q1157">
        <f t="shared" si="126"/>
        <v>2.5588718677636475E-2</v>
      </c>
      <c r="R1157">
        <f t="shared" si="127"/>
        <v>0.14664123528276454</v>
      </c>
      <c r="S1157">
        <f t="shared" si="119"/>
        <v>5.9814336778622668</v>
      </c>
      <c r="T1157" s="564">
        <f>IF((I1157-MAX(I$470:I1157))/MAX(I$470:I1157)&gt;T1156,T1156,(I1157-MAX(I$470:I1157))/MAX(I$470:I1157))</f>
        <v>-0.91338805338419748</v>
      </c>
      <c r="U1157" s="564">
        <f>IF((J1157-MAX(J$470:J1157))/MAX(J$470:J1157)&gt;U1156,U1156,(J1157-MAX(J$470:J1157))/MAX(J$470:J1157))</f>
        <v>-0.70517826086956548</v>
      </c>
      <c r="V1157" s="564">
        <f>IF((K1157-MAX(K$470:K1157))/MAX(K$470:K1157)&gt;V1156,V1156,(K1157-MAX(K$470:K1157))/MAX(K$470:K1157))</f>
        <v>-0.80725522782524772</v>
      </c>
      <c r="W1157" s="564">
        <f>IF((N1157-MAX(N$470:N1157))/MAX(N$470:N1157)&gt;W1156,W1156,(N1157-MAX(N$470:N1157))/MAX(N$470:N1157))</f>
        <v>-0.62788758315546067</v>
      </c>
      <c r="X1157" s="564">
        <f>IF((O1157-MAX(O$470:O1157))/MAX(O$470:O1157)&gt;X1156,X1156,(O1157-MAX(O$470:O1157))/MAX(O$470:O1157))</f>
        <v>-0.62788758315546067</v>
      </c>
    </row>
    <row r="1158" spans="1:24">
      <c r="A1158" s="799">
        <v>41560</v>
      </c>
      <c r="B1158">
        <v>134.55000000000001</v>
      </c>
      <c r="C1158">
        <v>105.863169</v>
      </c>
      <c r="D1158">
        <v>2.2466240000000002</v>
      </c>
      <c r="E1158">
        <f>LN(D1158/参数实验室!$E$53)/参数实验室!$E$55</f>
        <v>0.26195777575190055</v>
      </c>
      <c r="F1158">
        <f t="shared" si="128"/>
        <v>0.78679426978818279</v>
      </c>
      <c r="G1158">
        <f>LN(F1158/参数实验室!$E$58)/参数实验室!$E$59</f>
        <v>-0.31638397546559499</v>
      </c>
      <c r="H1158" s="856">
        <f>INDEX(神经网络!$G$10:$BO$70,MATCH(ROUND(G1158*2,1)/2,神经网络!$E$10:$E$70,0),MATCH(ROUND(E1158*2,1)/2,神经网络!$G$8:$BO$8,0))</f>
        <v>-8.657672641251056E-2</v>
      </c>
      <c r="I1158">
        <f t="shared" si="120"/>
        <v>72.39100019196583</v>
      </c>
      <c r="J1158">
        <f t="shared" si="121"/>
        <v>53.688998842823473</v>
      </c>
      <c r="K1158">
        <f t="shared" si="122"/>
        <v>1.3483395435234908</v>
      </c>
      <c r="L1158" s="4">
        <f>MIN(MAX(L1157*(1+MAX(MIN(((B1158-B1157)/B1157)/($K$7*卓尔金历!$N$40),0),-卓尔金历!$M$43))+MIN(MAX(((B1158-B1157)/B1157)/($K$7*卓尔金历!$N$40),0),卓尔金历!$M$43),0),1)</f>
        <v>1</v>
      </c>
      <c r="M1158" s="4">
        <f>MIN(MAX(M1157*(1+MAX(MIN(((B1158-B1157)/B1157)/($K$7*30),0),-卓尔金历!$M$43))+MIN(MAX(((B1158-B1157)/B1157)/($K$7*7),0),卓尔金历!$M$43),0),1)</f>
        <v>1</v>
      </c>
      <c r="N1158">
        <f t="shared" si="123"/>
        <v>113.5221895233301</v>
      </c>
      <c r="O1158">
        <f t="shared" si="124"/>
        <v>159.89256861501485</v>
      </c>
      <c r="P1158">
        <f t="shared" si="125"/>
        <v>1.0590356016223714E-2</v>
      </c>
      <c r="Q1158">
        <f t="shared" si="126"/>
        <v>2.5632268132249905E-2</v>
      </c>
      <c r="R1158">
        <f t="shared" si="127"/>
        <v>0.93211505280967122</v>
      </c>
      <c r="S1158">
        <f t="shared" si="119"/>
        <v>5.9801849418113386</v>
      </c>
      <c r="T1158" s="564">
        <f>IF((I1158-MAX(I$470:I1158))/MAX(I$470:I1158)&gt;T1157,T1157,(I1158-MAX(I$470:I1158))/MAX(I$470:I1158))</f>
        <v>-0.91338805338419748</v>
      </c>
      <c r="U1158" s="564">
        <f>IF((J1158-MAX(J$470:J1158))/MAX(J$470:J1158)&gt;U1157,U1157,(J1158-MAX(J$470:J1158))/MAX(J$470:J1158))</f>
        <v>-0.70517826086956548</v>
      </c>
      <c r="V1158" s="564">
        <f>IF((K1158-MAX(K$470:K1158))/MAX(K$470:K1158)&gt;V1157,V1157,(K1158-MAX(K$470:K1158))/MAX(K$470:K1158))</f>
        <v>-0.80725522782524772</v>
      </c>
      <c r="W1158" s="564">
        <f>IF((N1158-MAX(N$470:N1158))/MAX(N$470:N1158)&gt;W1157,W1157,(N1158-MAX(N$470:N1158))/MAX(N$470:N1158))</f>
        <v>-0.62788758315546067</v>
      </c>
      <c r="X1158" s="564">
        <f>IF((O1158-MAX(O$470:O1158))/MAX(O$470:O1158)&gt;X1157,X1157,(O1158-MAX(O$470:O1158))/MAX(O$470:O1158))</f>
        <v>-0.62788758315546067</v>
      </c>
    </row>
    <row r="1159" spans="1:24">
      <c r="A1159" s="799">
        <v>41561</v>
      </c>
      <c r="B1159">
        <v>140.03</v>
      </c>
      <c r="C1159">
        <v>104.257302</v>
      </c>
      <c r="D1159">
        <v>2.287668</v>
      </c>
      <c r="E1159">
        <f>LN(D1159/参数实验室!$E$53)/参数实验室!$E$55</f>
        <v>0.28331639788022855</v>
      </c>
      <c r="F1159">
        <f t="shared" si="128"/>
        <v>0.74453547097050632</v>
      </c>
      <c r="G1159">
        <f>LN(F1159/参数实验室!$E$58)/参数实验室!$E$59</f>
        <v>-0.34535922971130206</v>
      </c>
      <c r="H1159" s="856">
        <f>INDEX(神经网络!$G$10:$BO$70,MATCH(ROUND(G1159*2,1)/2,神经网络!$E$10:$E$70,0),MATCH(ROUND(E1159*2,1)/2,神经网络!$G$8:$BO$8,0))</f>
        <v>-0.13434138617075597</v>
      </c>
      <c r="I1159">
        <f t="shared" si="120"/>
        <v>72.135740292415136</v>
      </c>
      <c r="J1159">
        <f t="shared" si="121"/>
        <v>55.875663381349469</v>
      </c>
      <c r="K1159">
        <f t="shared" si="122"/>
        <v>1.2910046329131022</v>
      </c>
      <c r="L1159" s="4">
        <f>MIN(MAX(L1158*(1+MAX(MIN(((B1159-B1158)/B1158)/($K$7*卓尔金历!$N$40),0),-卓尔金历!$M$43))+MIN(MAX(((B1159-B1158)/B1158)/($K$7*卓尔金历!$N$40),0),卓尔金历!$M$43),0),1)</f>
        <v>1</v>
      </c>
      <c r="M1159" s="4">
        <f>MIN(MAX(M1158*(1+MAX(MIN(((B1159-B1158)/B1158)/($K$7*30),0),-卓尔金历!$M$43))+MIN(MAX(((B1159-B1158)/B1158)/($K$7*7),0),卓尔金历!$M$43),0),1)</f>
        <v>1</v>
      </c>
      <c r="N1159">
        <f t="shared" si="123"/>
        <v>113.12189580425373</v>
      </c>
      <c r="O1159">
        <f t="shared" si="124"/>
        <v>159.32876702510256</v>
      </c>
      <c r="P1159">
        <f t="shared" si="125"/>
        <v>4.0728353771831954E-2</v>
      </c>
      <c r="Q1159">
        <f t="shared" si="126"/>
        <v>2.6853137272790959E-2</v>
      </c>
      <c r="R1159">
        <f t="shared" si="127"/>
        <v>1.4955355893008537E-2</v>
      </c>
      <c r="S1159">
        <f t="shared" si="119"/>
        <v>5.9605295297251502</v>
      </c>
      <c r="T1159" s="564">
        <f>IF((I1159-MAX(I$470:I1159))/MAX(I$470:I1159)&gt;T1158,T1158,(I1159-MAX(I$470:I1159))/MAX(I$470:I1159))</f>
        <v>-0.91338805338419748</v>
      </c>
      <c r="U1159" s="564">
        <f>IF((J1159-MAX(J$470:J1159))/MAX(J$470:J1159)&gt;U1158,U1158,(J1159-MAX(J$470:J1159))/MAX(J$470:J1159))</f>
        <v>-0.70517826086956548</v>
      </c>
      <c r="V1159" s="564">
        <f>IF((K1159-MAX(K$470:K1159))/MAX(K$470:K1159)&gt;V1158,V1158,(K1159-MAX(K$470:K1159))/MAX(K$470:K1159))</f>
        <v>-0.80725522782524772</v>
      </c>
      <c r="W1159" s="564">
        <f>IF((N1159-MAX(N$470:N1159))/MAX(N$470:N1159)&gt;W1158,W1158,(N1159-MAX(N$470:N1159))/MAX(N$470:N1159))</f>
        <v>-0.62788758315546067</v>
      </c>
      <c r="X1159" s="564">
        <f>IF((O1159-MAX(O$470:O1159))/MAX(O$470:O1159)&gt;X1158,X1158,(O1159-MAX(O$470:O1159))/MAX(O$470:O1159))</f>
        <v>-0.62788758315546067</v>
      </c>
    </row>
    <row r="1160" spans="1:24">
      <c r="A1160" s="799">
        <v>41562</v>
      </c>
      <c r="B1160">
        <v>139.63</v>
      </c>
      <c r="C1160">
        <v>100.189357</v>
      </c>
      <c r="D1160">
        <v>2.3786339999999999</v>
      </c>
      <c r="E1160">
        <f>LN(D1160/参数实验室!$E$53)/参数实验室!$E$55</f>
        <v>0.3293190060004943</v>
      </c>
      <c r="F1160">
        <f t="shared" si="128"/>
        <v>0.71753460574375139</v>
      </c>
      <c r="G1160">
        <f>LN(F1160/参数实验室!$E$58)/参数实验室!$E$59</f>
        <v>-0.36474697986742394</v>
      </c>
      <c r="H1160" s="856">
        <f>INDEX(神经网络!$G$10:$BO$70,MATCH(ROUND(G1160*2,1)/2,神经网络!$E$10:$E$70,0),MATCH(ROUND(E1160*2,1)/2,神经网络!$G$8:$BO$8,0))</f>
        <v>-8.6498885842676856E-2</v>
      </c>
      <c r="I1160">
        <f t="shared" si="120"/>
        <v>72.163422404372099</v>
      </c>
      <c r="J1160">
        <f t="shared" si="121"/>
        <v>55.716052831092099</v>
      </c>
      <c r="K1160">
        <f t="shared" si="122"/>
        <v>1.2951998344739457</v>
      </c>
      <c r="L1160" s="4">
        <f>MIN(MAX(L1159*(1+MAX(MIN(((B1160-B1159)/B1159)/($K$7*卓尔金历!$N$40),0),-卓尔金历!$M$43))+MIN(MAX(((B1160-B1159)/B1159)/($K$7*卓尔金历!$N$40),0),卓尔金历!$M$43),0),1)</f>
        <v>0.95635495144815263</v>
      </c>
      <c r="M1160" s="4">
        <f>MIN(MAX(M1159*(1+MAX(MIN(((B1160-B1159)/B1159)/($K$7*30),0),-卓尔金历!$M$43))+MIN(MAX(((B1160-B1159)/B1159)/($K$7*7),0),卓尔金历!$M$43),0),1)</f>
        <v>0.97817747572407632</v>
      </c>
      <c r="N1160">
        <f t="shared" si="123"/>
        <v>113.16530636567229</v>
      </c>
      <c r="O1160">
        <f t="shared" si="124"/>
        <v>159.38990948720075</v>
      </c>
      <c r="P1160">
        <f t="shared" si="125"/>
        <v>-2.8565307434121664E-3</v>
      </c>
      <c r="Q1160">
        <f t="shared" si="126"/>
        <v>2.6534807705779422E-2</v>
      </c>
      <c r="R1160">
        <f t="shared" si="127"/>
        <v>1</v>
      </c>
      <c r="S1160">
        <f t="shared" si="119"/>
        <v>5.9605637379331311</v>
      </c>
      <c r="T1160" s="564">
        <f>IF((I1160-MAX(I$470:I1160))/MAX(I$470:I1160)&gt;T1159,T1159,(I1160-MAX(I$470:I1160))/MAX(I$470:I1160))</f>
        <v>-0.91338805338419748</v>
      </c>
      <c r="U1160" s="564">
        <f>IF((J1160-MAX(J$470:J1160))/MAX(J$470:J1160)&gt;U1159,U1159,(J1160-MAX(J$470:J1160))/MAX(J$470:J1160))</f>
        <v>-0.70517826086956548</v>
      </c>
      <c r="V1160" s="564">
        <f>IF((K1160-MAX(K$470:K1160))/MAX(K$470:K1160)&gt;V1159,V1159,(K1160-MAX(K$470:K1160))/MAX(K$470:K1160))</f>
        <v>-0.80725522782524772</v>
      </c>
      <c r="W1160" s="564">
        <f>IF((N1160-MAX(N$470:N1160))/MAX(N$470:N1160)&gt;W1159,W1159,(N1160-MAX(N$470:N1160))/MAX(N$470:N1160))</f>
        <v>-0.62788758315546067</v>
      </c>
      <c r="X1160" s="564">
        <f>IF((O1160-MAX(O$470:O1160))/MAX(O$470:O1160)&gt;X1159,X1159,(O1160-MAX(O$470:O1160))/MAX(O$470:O1160))</f>
        <v>-0.62788758315546067</v>
      </c>
    </row>
    <row r="1161" spans="1:24">
      <c r="A1161" s="799">
        <v>41563</v>
      </c>
      <c r="B1161">
        <v>151.76</v>
      </c>
      <c r="C1161">
        <v>97.453149999999994</v>
      </c>
      <c r="D1161">
        <v>2.3111619999999999</v>
      </c>
      <c r="E1161">
        <f>LN(D1161/参数实验室!$E$53)/参数实验室!$E$55</f>
        <v>0.29537049157136575</v>
      </c>
      <c r="F1161">
        <f t="shared" si="128"/>
        <v>0.64215307063784921</v>
      </c>
      <c r="G1161">
        <f>LN(F1161/参数实验室!$E$58)/参数实验室!$E$59</f>
        <v>-0.42300287852493451</v>
      </c>
      <c r="H1161" s="856">
        <f>INDEX(神经网络!$G$10:$BO$70,MATCH(ROUND(G1161*2,1)/2,神经网络!$E$10:$E$70,0),MATCH(ROUND(E1161*2,1)/2,神经网络!$G$8:$BO$8,0))</f>
        <v>-0.22523209622783241</v>
      </c>
      <c r="I1161">
        <f t="shared" si="120"/>
        <v>71.621159746836994</v>
      </c>
      <c r="J1161">
        <f t="shared" si="121"/>
        <v>60.5562427676469</v>
      </c>
      <c r="K1161">
        <f t="shared" si="122"/>
        <v>1.1827213260513199</v>
      </c>
      <c r="L1161" s="4">
        <f>MIN(MAX(L1160*(1+MAX(MIN(((B1161-B1160)/B1160)/($K$7*卓尔金历!$N$40),0),-卓尔金历!$M$43))+MIN(MAX(((B1161-B1160)/B1160)/($K$7*卓尔金历!$N$40),0),卓尔金历!$M$43),0),1)</f>
        <v>1</v>
      </c>
      <c r="M1161" s="4">
        <f>MIN(MAX(M1160*(1+MAX(MIN(((B1161-B1160)/B1160)/($K$7*30),0),-卓尔金历!$M$43))+MIN(MAX(((B1161-B1160)/B1160)/($K$7*7),0),卓尔金历!$M$43),0),1)</f>
        <v>1</v>
      </c>
      <c r="N1161">
        <f t="shared" si="123"/>
        <v>112.35205464541741</v>
      </c>
      <c r="O1161">
        <f t="shared" si="124"/>
        <v>158.21833188992065</v>
      </c>
      <c r="P1161">
        <f t="shared" si="125"/>
        <v>8.6872448614194631E-2</v>
      </c>
      <c r="Q1161">
        <f t="shared" si="126"/>
        <v>3.166038683052292E-2</v>
      </c>
      <c r="R1161">
        <f t="shared" si="127"/>
        <v>0</v>
      </c>
      <c r="S1161">
        <f t="shared" si="119"/>
        <v>5.9157738565050142</v>
      </c>
      <c r="T1161" s="564">
        <f>IF((I1161-MAX(I$470:I1161))/MAX(I$470:I1161)&gt;T1160,T1160,(I1161-MAX(I$470:I1161))/MAX(I$470:I1161))</f>
        <v>-0.91338805338419748</v>
      </c>
      <c r="U1161" s="564">
        <f>IF((J1161-MAX(J$470:J1161))/MAX(J$470:J1161)&gt;U1160,U1160,(J1161-MAX(J$470:J1161))/MAX(J$470:J1161))</f>
        <v>-0.70517826086956548</v>
      </c>
      <c r="V1161" s="564">
        <f>IF((K1161-MAX(K$470:K1161))/MAX(K$470:K1161)&gt;V1160,V1160,(K1161-MAX(K$470:K1161))/MAX(K$470:K1161))</f>
        <v>-0.80725522782524772</v>
      </c>
      <c r="W1161" s="564">
        <f>IF((N1161-MAX(N$470:N1161))/MAX(N$470:N1161)&gt;W1160,W1160,(N1161-MAX(N$470:N1161))/MAX(N$470:N1161))</f>
        <v>-0.62788758315546067</v>
      </c>
      <c r="X1161" s="564">
        <f>IF((O1161-MAX(O$470:O1161))/MAX(O$470:O1161)&gt;X1160,X1160,(O1161-MAX(O$470:O1161))/MAX(O$470:O1161))</f>
        <v>-0.62788758315546067</v>
      </c>
    </row>
    <row r="1162" spans="1:24">
      <c r="A1162" s="799">
        <v>41564</v>
      </c>
      <c r="B1162">
        <v>144.13</v>
      </c>
      <c r="C1162">
        <v>98.174477999999993</v>
      </c>
      <c r="D1162">
        <v>2.3899849999999998</v>
      </c>
      <c r="E1162">
        <f>LN(D1162/参数实验室!$E$53)/参数实验室!$E$55</f>
        <v>0.33493547666616941</v>
      </c>
      <c r="F1162">
        <f t="shared" si="128"/>
        <v>0.68115227919239574</v>
      </c>
      <c r="G1162">
        <f>LN(F1162/参数实验室!$E$58)/参数实验室!$E$59</f>
        <v>-0.39205790967247728</v>
      </c>
      <c r="H1162" s="856">
        <f>INDEX(神经网络!$G$10:$BO$70,MATCH(ROUND(G1162*2,1)/2,神经网络!$E$10:$E$70,0),MATCH(ROUND(E1162*2,1)/2,神经网络!$G$8:$BO$8,0))</f>
        <v>-0.17948537496337602</v>
      </c>
      <c r="I1162">
        <f t="shared" si="120"/>
        <v>72.432193349189987</v>
      </c>
      <c r="J1162">
        <f t="shared" si="121"/>
        <v>57.511671521487528</v>
      </c>
      <c r="K1162">
        <f t="shared" si="122"/>
        <v>1.2594346753098256</v>
      </c>
      <c r="L1162" s="4">
        <f>MIN(MAX(L1161*(1+MAX(MIN(((B1162-B1161)/B1161)/($K$7*卓尔金历!$N$40),0),-卓尔金历!$M$43))+MIN(MAX(((B1162-B1161)/B1161)/($K$7*卓尔金历!$N$40),0),卓尔金历!$M$43),0),1)</f>
        <v>0.23181946470255277</v>
      </c>
      <c r="M1162" s="4">
        <f>MIN(MAX(M1161*(1+MAX(MIN(((B1162-B1161)/B1161)/($K$7*30),0),-卓尔金历!$M$43))+MIN(MAX(((B1162-B1161)/B1161)/($K$7*7),0),卓尔金历!$M$43),0),1)</f>
        <v>0.61590973235127633</v>
      </c>
      <c r="N1162">
        <f t="shared" si="123"/>
        <v>113.62432239328584</v>
      </c>
      <c r="O1162">
        <f t="shared" si="124"/>
        <v>160.00998653673932</v>
      </c>
      <c r="P1162">
        <f t="shared" si="125"/>
        <v>-5.0276752767527647E-2</v>
      </c>
      <c r="Q1162">
        <f t="shared" si="126"/>
        <v>3.4017970931368581E-2</v>
      </c>
      <c r="R1162">
        <f t="shared" si="127"/>
        <v>1.9292134605259924E-2</v>
      </c>
      <c r="S1162">
        <f t="shared" si="119"/>
        <v>5.9157738565050142</v>
      </c>
      <c r="T1162" s="564">
        <f>IF((I1162-MAX(I$470:I1162))/MAX(I$470:I1162)&gt;T1161,T1161,(I1162-MAX(I$470:I1162))/MAX(I$470:I1162))</f>
        <v>-0.91338805338419748</v>
      </c>
      <c r="U1162" s="564">
        <f>IF((J1162-MAX(J$470:J1162))/MAX(J$470:J1162)&gt;U1161,U1161,(J1162-MAX(J$470:J1162))/MAX(J$470:J1162))</f>
        <v>-0.70517826086956548</v>
      </c>
      <c r="V1162" s="564">
        <f>IF((K1162-MAX(K$470:K1162))/MAX(K$470:K1162)&gt;V1161,V1161,(K1162-MAX(K$470:K1162))/MAX(K$470:K1162))</f>
        <v>-0.80725522782524772</v>
      </c>
      <c r="W1162" s="564">
        <f>IF((N1162-MAX(N$470:N1162))/MAX(N$470:N1162)&gt;W1161,W1161,(N1162-MAX(N$470:N1162))/MAX(N$470:N1162))</f>
        <v>-0.62788758315546067</v>
      </c>
      <c r="X1162" s="564">
        <f>IF((O1162-MAX(O$470:O1162))/MAX(O$470:O1162)&gt;X1161,X1161,(O1162-MAX(O$470:O1162))/MAX(O$470:O1162))</f>
        <v>-0.62788758315546067</v>
      </c>
    </row>
    <row r="1163" spans="1:24">
      <c r="A1163" s="799">
        <v>41565</v>
      </c>
      <c r="B1163">
        <v>146.52000000000001</v>
      </c>
      <c r="C1163">
        <v>96.940107999999995</v>
      </c>
      <c r="D1163">
        <v>2.5274570000000001</v>
      </c>
      <c r="E1163">
        <f>LN(D1163/参数实验室!$E$53)/参数实验室!$E$55</f>
        <v>0.40091502802873985</v>
      </c>
      <c r="F1163">
        <f t="shared" si="128"/>
        <v>0.66161689871689866</v>
      </c>
      <c r="G1163">
        <f>LN(F1163/参数实验室!$E$58)/参数实验室!$E$59</f>
        <v>-0.40733074597089997</v>
      </c>
      <c r="H1163" s="856">
        <f>INDEX(神经网络!$G$10:$BO$70,MATCH(ROUND(G1163*2,1)/2,神经网络!$E$10:$E$70,0),MATCH(ROUND(E1163*2,1)/2,神经网络!$G$8:$BO$8,0))</f>
        <v>-0.13413333758624618</v>
      </c>
      <c r="I1163">
        <f t="shared" si="120"/>
        <v>72.216615458919733</v>
      </c>
      <c r="J1163">
        <f t="shared" si="121"/>
        <v>58.46534455927533</v>
      </c>
      <c r="K1163">
        <f t="shared" si="122"/>
        <v>1.235203794714707</v>
      </c>
      <c r="L1163" s="4">
        <f>MIN(MAX(L1162*(1+MAX(MIN(((B1163-B1162)/B1162)/($K$7*卓尔金历!$N$40),0),-卓尔金历!$M$43))+MIN(MAX(((B1163-B1162)/B1162)/($K$7*卓尔金历!$N$40),0),卓尔金历!$M$43),0),1)</f>
        <v>0.48518036450532109</v>
      </c>
      <c r="M1163" s="4">
        <f>MIN(MAX(M1162*(1+MAX(MIN(((B1163-B1162)/B1162)/($K$7*30),0),-卓尔金历!$M$43))+MIN(MAX(((B1163-B1162)/B1162)/($K$7*7),0),卓尔金历!$M$43),0),1)</f>
        <v>1</v>
      </c>
      <c r="N1163">
        <f t="shared" si="123"/>
        <v>113.54592641464124</v>
      </c>
      <c r="O1163">
        <f t="shared" si="124"/>
        <v>159.71666987315672</v>
      </c>
      <c r="P1163">
        <f t="shared" si="125"/>
        <v>1.6582252133490703E-2</v>
      </c>
      <c r="Q1163">
        <f t="shared" si="126"/>
        <v>3.4085689632001391E-2</v>
      </c>
      <c r="R1163">
        <f t="shared" si="127"/>
        <v>0.77907410080666706</v>
      </c>
      <c r="S1163">
        <f t="shared" si="119"/>
        <v>5.9154341808448088</v>
      </c>
      <c r="T1163" s="564">
        <f>IF((I1163-MAX(I$470:I1163))/MAX(I$470:I1163)&gt;T1162,T1162,(I1163-MAX(I$470:I1163))/MAX(I$470:I1163))</f>
        <v>-0.91338805338419748</v>
      </c>
      <c r="U1163" s="564">
        <f>IF((J1163-MAX(J$470:J1163))/MAX(J$470:J1163)&gt;U1162,U1162,(J1163-MAX(J$470:J1163))/MAX(J$470:J1163))</f>
        <v>-0.70517826086956548</v>
      </c>
      <c r="V1163" s="564">
        <f>IF((K1163-MAX(K$470:K1163))/MAX(K$470:K1163)&gt;V1162,V1162,(K1163-MAX(K$470:K1163))/MAX(K$470:K1163))</f>
        <v>-0.80725522782524772</v>
      </c>
      <c r="W1163" s="564">
        <f>IF((N1163-MAX(N$470:N1163))/MAX(N$470:N1163)&gt;W1162,W1162,(N1163-MAX(N$470:N1163))/MAX(N$470:N1163))</f>
        <v>-0.62788758315546067</v>
      </c>
      <c r="X1163" s="564">
        <f>IF((O1163-MAX(O$470:O1163))/MAX(O$470:O1163)&gt;X1162,X1162,(O1163-MAX(O$470:O1163))/MAX(O$470:O1163))</f>
        <v>-0.62788758315546067</v>
      </c>
    </row>
    <row r="1164" spans="1:24">
      <c r="A1164" s="799">
        <v>41566</v>
      </c>
      <c r="B1164">
        <v>163.19999999999999</v>
      </c>
      <c r="C1164">
        <v>95.453128000000007</v>
      </c>
      <c r="D1164">
        <v>2.7172580000000002</v>
      </c>
      <c r="E1164">
        <f>LN(D1164/参数实验室!$E$53)/参数实验室!$E$55</f>
        <v>0.48634051766421144</v>
      </c>
      <c r="F1164">
        <f t="shared" si="128"/>
        <v>0.58488436274509814</v>
      </c>
      <c r="G1164">
        <f>LN(F1164/参数实验室!$E$58)/参数实验室!$E$59</f>
        <v>-0.47203083090676218</v>
      </c>
      <c r="H1164" s="856">
        <f>INDEX(神经网络!$G$10:$BO$70,MATCH(ROUND(G1164*2,1)/2,神经网络!$E$10:$E$70,0),MATCH(ROUND(E1164*2,1)/2,神经网络!$G$8:$BO$8,0))</f>
        <v>1.4150547997665621</v>
      </c>
      <c r="I1164">
        <f t="shared" si="120"/>
        <v>71.113875789111745</v>
      </c>
      <c r="J1164">
        <f t="shared" si="121"/>
        <v>65.121104505007722</v>
      </c>
      <c r="K1164">
        <f t="shared" si="122"/>
        <v>1.0920250252150312</v>
      </c>
      <c r="L1164" s="4">
        <f>MIN(MAX(L1163*(1+MAX(MIN(((B1164-B1163)/B1163)/($K$7*卓尔金历!$N$40),0),-卓尔金历!$M$43))+MIN(MAX(((B1164-B1163)/B1163)/($K$7*卓尔金历!$N$40),0),卓尔金历!$M$43),0),1)</f>
        <v>1</v>
      </c>
      <c r="M1164" s="4">
        <f>MIN(MAX(M1163*(1+MAX(MIN(((B1164-B1163)/B1163)/($K$7*30),0),-卓尔金历!$M$43))+MIN(MAX(((B1164-B1163)/B1163)/($K$7*7),0),卓尔金历!$M$43),0),1)</f>
        <v>1</v>
      </c>
      <c r="N1164">
        <f t="shared" si="123"/>
        <v>112.70470437616719</v>
      </c>
      <c r="O1164">
        <f t="shared" si="124"/>
        <v>157.2778141239705</v>
      </c>
      <c r="P1164">
        <f t="shared" si="125"/>
        <v>0.11384111384111369</v>
      </c>
      <c r="Q1164">
        <f t="shared" si="126"/>
        <v>4.0750673800054378E-2</v>
      </c>
      <c r="R1164">
        <f t="shared" si="127"/>
        <v>0</v>
      </c>
      <c r="S1164">
        <f t="shared" si="119"/>
        <v>5.8450619593478796</v>
      </c>
      <c r="T1164" s="564">
        <f>IF((I1164-MAX(I$470:I1164))/MAX(I$470:I1164)&gt;T1163,T1163,(I1164-MAX(I$470:I1164))/MAX(I$470:I1164))</f>
        <v>-0.91338805338419748</v>
      </c>
      <c r="U1164" s="564">
        <f>IF((J1164-MAX(J$470:J1164))/MAX(J$470:J1164)&gt;U1163,U1163,(J1164-MAX(J$470:J1164))/MAX(J$470:J1164))</f>
        <v>-0.70517826086956548</v>
      </c>
      <c r="V1164" s="564">
        <f>IF((K1164-MAX(K$470:K1164))/MAX(K$470:K1164)&gt;V1163,V1163,(K1164-MAX(K$470:K1164))/MAX(K$470:K1164))</f>
        <v>-0.80725522782524772</v>
      </c>
      <c r="W1164" s="564">
        <f>IF((N1164-MAX(N$470:N1164))/MAX(N$470:N1164)&gt;W1163,W1163,(N1164-MAX(N$470:N1164))/MAX(N$470:N1164))</f>
        <v>-0.62788758315546067</v>
      </c>
      <c r="X1164" s="564">
        <f>IF((O1164-MAX(O$470:O1164))/MAX(O$470:O1164)&gt;X1163,X1163,(O1164-MAX(O$470:O1164))/MAX(O$470:O1164))</f>
        <v>-0.62788758315546067</v>
      </c>
    </row>
    <row r="1165" spans="1:24">
      <c r="A1165" s="799">
        <v>41567</v>
      </c>
      <c r="B1165">
        <v>173.14</v>
      </c>
      <c r="C1165">
        <v>95.633373000000006</v>
      </c>
      <c r="D1165">
        <v>2.715373</v>
      </c>
      <c r="E1165">
        <f>LN(D1165/参数实验室!$E$53)/参数实验室!$E$55</f>
        <v>0.48552182228286395</v>
      </c>
      <c r="F1165">
        <f t="shared" si="128"/>
        <v>0.55234707750952994</v>
      </c>
      <c r="G1165">
        <f>LN(F1165/参数实验室!$E$58)/参数实验室!$E$59</f>
        <v>-0.50207218775255102</v>
      </c>
      <c r="H1165" s="856">
        <f>INDEX(神经网络!$G$10:$BO$70,MATCH(ROUND(G1165*2,1)/2,神经网络!$E$10:$E$70,0),MATCH(ROUND(E1165*2,1)/2,神经网络!$G$8:$BO$8,0))</f>
        <v>-0.22380173030267128</v>
      </c>
      <c r="I1165">
        <f t="shared" si="120"/>
        <v>77.242935291427514</v>
      </c>
      <c r="J1165">
        <f t="shared" si="121"/>
        <v>69.087426678903412</v>
      </c>
      <c r="K1165">
        <f t="shared" si="122"/>
        <v>1.1180462061559817</v>
      </c>
      <c r="L1165" s="4">
        <f>MIN(MAX(L1164*(1+MAX(MIN(((B1165-B1164)/B1164)/($K$7*卓尔金历!$N$40),0),-卓尔金历!$M$43))+MIN(MAX(((B1165-B1164)/B1164)/($K$7*卓尔金历!$N$40),0),卓尔金历!$M$43),0),1)</f>
        <v>1</v>
      </c>
      <c r="M1165" s="4">
        <f>MIN(MAX(M1164*(1+MAX(MIN(((B1165-B1164)/B1164)/($K$7*30),0),-卓尔金历!$M$43))+MIN(MAX(((B1165-B1164)/B1164)/($K$7*7),0),卓尔金历!$M$43),0),1)</f>
        <v>1</v>
      </c>
      <c r="N1165">
        <f t="shared" si="123"/>
        <v>122.41833384224955</v>
      </c>
      <c r="O1165">
        <f t="shared" si="124"/>
        <v>170.83304607362001</v>
      </c>
      <c r="P1165">
        <f t="shared" si="125"/>
        <v>6.0906862745098031E-2</v>
      </c>
      <c r="Q1165">
        <f t="shared" si="126"/>
        <v>4.2020087369212707E-2</v>
      </c>
      <c r="R1165">
        <f t="shared" si="127"/>
        <v>2.5624101825841544E-2</v>
      </c>
      <c r="S1165">
        <f t="shared" si="119"/>
        <v>5.8450619593478796</v>
      </c>
      <c r="T1165" s="564">
        <f>IF((I1165-MAX(I$470:I1165))/MAX(I$470:I1165)&gt;T1164,T1164,(I1165-MAX(I$470:I1165))/MAX(I$470:I1165))</f>
        <v>-0.91338805338419748</v>
      </c>
      <c r="U1165" s="564">
        <f>IF((J1165-MAX(J$470:J1165))/MAX(J$470:J1165)&gt;U1164,U1164,(J1165-MAX(J$470:J1165))/MAX(J$470:J1165))</f>
        <v>-0.70517826086956548</v>
      </c>
      <c r="V1165" s="564">
        <f>IF((K1165-MAX(K$470:K1165))/MAX(K$470:K1165)&gt;V1164,V1164,(K1165-MAX(K$470:K1165))/MAX(K$470:K1165))</f>
        <v>-0.80725522782524772</v>
      </c>
      <c r="W1165" s="564">
        <f>IF((N1165-MAX(N$470:N1165))/MAX(N$470:N1165)&gt;W1164,W1164,(N1165-MAX(N$470:N1165))/MAX(N$470:N1165))</f>
        <v>-0.62788758315546067</v>
      </c>
      <c r="X1165" s="564">
        <f>IF((O1165-MAX(O$470:O1165))/MAX(O$470:O1165)&gt;X1164,X1164,(O1165-MAX(O$470:O1165))/MAX(O$470:O1165))</f>
        <v>-0.62788758315546067</v>
      </c>
    </row>
    <row r="1166" spans="1:24">
      <c r="A1166" s="799">
        <v>41568</v>
      </c>
      <c r="B1166">
        <v>178.19</v>
      </c>
      <c r="C1166">
        <v>94.698359999999994</v>
      </c>
      <c r="D1166">
        <v>2.8713839999999999</v>
      </c>
      <c r="E1166">
        <f>LN(D1166/参数实验室!$E$53)/参数实验室!$E$55</f>
        <v>0.55142851859366526</v>
      </c>
      <c r="F1166">
        <f t="shared" si="128"/>
        <v>0.53144598462315507</v>
      </c>
      <c r="G1166">
        <f>LN(F1166/参数实验室!$E$58)/参数实验室!$E$59</f>
        <v>-0.52231845758039042</v>
      </c>
      <c r="H1166" s="856">
        <f>INDEX(神经网络!$G$10:$BO$70,MATCH(ROUND(G1166*2,1)/2,神经网络!$E$10:$E$70,0),MATCH(ROUND(E1166*2,1)/2,神经网络!$G$8:$BO$8,0))</f>
        <v>1.4524188007614165</v>
      </c>
      <c r="I1166">
        <f t="shared" si="120"/>
        <v>76.738719812693617</v>
      </c>
      <c r="J1166">
        <f t="shared" si="121"/>
        <v>71.10250987590274</v>
      </c>
      <c r="K1166">
        <f t="shared" si="122"/>
        <v>1.0792687901823426</v>
      </c>
      <c r="L1166" s="4">
        <f>MIN(MAX(L1165*(1+MAX(MIN(((B1166-B1165)/B1165)/($K$7*卓尔金历!$N$40),0),-卓尔金历!$M$43))+MIN(MAX(((B1166-B1165)/B1165)/($K$7*卓尔金历!$N$40),0),卓尔金历!$M$43),0),1)</f>
        <v>1</v>
      </c>
      <c r="M1166" s="4">
        <f>MIN(MAX(M1165*(1+MAX(MIN(((B1166-B1165)/B1165)/($K$7*30),0),-卓尔金历!$M$43))+MIN(MAX(((B1166-B1165)/B1165)/($K$7*7),0),卓尔金历!$M$43),0),1)</f>
        <v>1</v>
      </c>
      <c r="N1166">
        <f t="shared" si="123"/>
        <v>121.61922880343668</v>
      </c>
      <c r="O1166">
        <f t="shared" si="124"/>
        <v>169.71790634226983</v>
      </c>
      <c r="P1166">
        <f t="shared" si="125"/>
        <v>2.916714797273889E-2</v>
      </c>
      <c r="Q1166">
        <f t="shared" si="126"/>
        <v>4.1162810158165496E-2</v>
      </c>
      <c r="R1166">
        <f t="shared" si="127"/>
        <v>0.40098785487093824</v>
      </c>
      <c r="S1166">
        <f t="shared" si="119"/>
        <v>5.8440842828498241</v>
      </c>
      <c r="T1166" s="564">
        <f>IF((I1166-MAX(I$470:I1166))/MAX(I$470:I1166)&gt;T1165,T1165,(I1166-MAX(I$470:I1166))/MAX(I$470:I1166))</f>
        <v>-0.91338805338419748</v>
      </c>
      <c r="U1166" s="564">
        <f>IF((J1166-MAX(J$470:J1166))/MAX(J$470:J1166)&gt;U1165,U1165,(J1166-MAX(J$470:J1166))/MAX(J$470:J1166))</f>
        <v>-0.70517826086956548</v>
      </c>
      <c r="V1166" s="564">
        <f>IF((K1166-MAX(K$470:K1166))/MAX(K$470:K1166)&gt;V1165,V1165,(K1166-MAX(K$470:K1166))/MAX(K$470:K1166))</f>
        <v>-0.80725522782524772</v>
      </c>
      <c r="W1166" s="564">
        <f>IF((N1166-MAX(N$470:N1166))/MAX(N$470:N1166)&gt;W1165,W1165,(N1166-MAX(N$470:N1166))/MAX(N$470:N1166))</f>
        <v>-0.62788758315546067</v>
      </c>
      <c r="X1166" s="564">
        <f>IF((O1166-MAX(O$470:O1166))/MAX(O$470:O1166)&gt;X1165,X1165,(O1166-MAX(O$470:O1166))/MAX(O$470:O1166))</f>
        <v>-0.62788758315546067</v>
      </c>
    </row>
    <row r="1167" spans="1:24">
      <c r="A1167" s="799">
        <v>41569</v>
      </c>
      <c r="B1167">
        <v>192.69</v>
      </c>
      <c r="C1167">
        <v>92.848347000000004</v>
      </c>
      <c r="D1167">
        <v>2.9764200000000001</v>
      </c>
      <c r="E1167">
        <f>LN(D1167/参数实验室!$E$53)/参数实验室!$E$55</f>
        <v>0.5938136225691224</v>
      </c>
      <c r="F1167">
        <f t="shared" si="128"/>
        <v>0.48185347968239145</v>
      </c>
      <c r="G1167">
        <f>LN(F1167/参数实验室!$E$58)/参数实验室!$E$59</f>
        <v>-0.57373393677231732</v>
      </c>
      <c r="H1167" s="856">
        <f>INDEX(神经网络!$G$10:$BO$70,MATCH(ROUND(G1167*2,1)/2,神经网络!$E$10:$E$70,0),MATCH(ROUND(E1167*2,1)/2,神经网络!$G$8:$BO$8,0))</f>
        <v>1.4885399582599956</v>
      </c>
      <c r="I1167">
        <f t="shared" si="120"/>
        <v>85.808381473469325</v>
      </c>
      <c r="J1167">
        <f t="shared" si="121"/>
        <v>76.888392322732471</v>
      </c>
      <c r="K1167">
        <f t="shared" si="122"/>
        <v>1.1160121688238187</v>
      </c>
      <c r="L1167" s="4">
        <f>MIN(MAX(L1166*(1+MAX(MIN(((B1167-B1166)/B1166)/($K$7*卓尔金历!$N$40),0),-卓尔金历!$M$43))+MIN(MAX(((B1167-B1166)/B1166)/($K$7*卓尔金历!$N$40),0),卓尔金历!$M$43),0),1)</f>
        <v>1</v>
      </c>
      <c r="M1167" s="4">
        <f>MIN(MAX(M1166*(1+MAX(MIN(((B1167-B1166)/B1166)/($K$7*30),0),-卓尔金历!$M$43))+MIN(MAX(((B1167-B1166)/B1166)/($K$7*7),0),卓尔金历!$M$43),0),1)</f>
        <v>1</v>
      </c>
      <c r="N1167">
        <f t="shared" si="123"/>
        <v>135.99326656929969</v>
      </c>
      <c r="O1167">
        <f t="shared" si="124"/>
        <v>189.77667187884302</v>
      </c>
      <c r="P1167">
        <f t="shared" si="125"/>
        <v>8.1373814467703018E-2</v>
      </c>
      <c r="Q1167">
        <f t="shared" si="126"/>
        <v>4.3320869479172228E-2</v>
      </c>
      <c r="R1167">
        <f t="shared" si="127"/>
        <v>1.5212990949781412E-2</v>
      </c>
      <c r="S1167">
        <f t="shared" si="119"/>
        <v>6.1210488588192202</v>
      </c>
      <c r="T1167" s="564">
        <f>IF((I1167-MAX(I$470:I1167))/MAX(I$470:I1167)&gt;T1166,T1166,(I1167-MAX(I$470:I1167))/MAX(I$470:I1167))</f>
        <v>-0.91338805338419748</v>
      </c>
      <c r="U1167" s="564">
        <f>IF((J1167-MAX(J$470:J1167))/MAX(J$470:J1167)&gt;U1166,U1166,(J1167-MAX(J$470:J1167))/MAX(J$470:J1167))</f>
        <v>-0.70517826086956548</v>
      </c>
      <c r="V1167" s="564">
        <f>IF((K1167-MAX(K$470:K1167))/MAX(K$470:K1167)&gt;V1166,V1166,(K1167-MAX(K$470:K1167))/MAX(K$470:K1167))</f>
        <v>-0.80725522782524772</v>
      </c>
      <c r="W1167" s="564">
        <f>IF((N1167-MAX(N$470:N1167))/MAX(N$470:N1167)&gt;W1166,W1166,(N1167-MAX(N$470:N1167))/MAX(N$470:N1167))</f>
        <v>-0.62788758315546067</v>
      </c>
      <c r="X1167" s="564">
        <f>IF((O1167-MAX(O$470:O1167))/MAX(O$470:O1167)&gt;X1166,X1166,(O1167-MAX(O$470:O1167))/MAX(O$470:O1167))</f>
        <v>-0.62788758315546067</v>
      </c>
    </row>
    <row r="1168" spans="1:24">
      <c r="A1168" s="799">
        <v>41570</v>
      </c>
      <c r="B1168">
        <v>195.01</v>
      </c>
      <c r="C1168">
        <v>92.471969999999999</v>
      </c>
      <c r="D1168">
        <v>3.1264699999999999</v>
      </c>
      <c r="E1168">
        <f>LN(D1168/参数实验室!$E$53)/参数实验室!$E$55</f>
        <v>0.6518378234011285</v>
      </c>
      <c r="F1168">
        <f t="shared" si="128"/>
        <v>0.47419091328649815</v>
      </c>
      <c r="G1168">
        <f>LN(F1168/参数实验室!$E$58)/参数实验室!$E$59</f>
        <v>-0.58214738514810094</v>
      </c>
      <c r="H1168" s="856">
        <f>INDEX(神经网络!$G$10:$BO$70,MATCH(ROUND(G1168*2,1)/2,神经网络!$E$10:$E$70,0),MATCH(ROUND(E1168*2,1)/2,神经网络!$G$8:$BO$8,0))</f>
        <v>1.5144799365902439</v>
      </c>
      <c r="I1168">
        <f t="shared" si="120"/>
        <v>87.346249316213374</v>
      </c>
      <c r="J1168">
        <f t="shared" si="121"/>
        <v>77.814133514225233</v>
      </c>
      <c r="K1168">
        <f t="shared" si="122"/>
        <v>1.1224985150062177</v>
      </c>
      <c r="L1168" s="4">
        <f>MIN(MAX(L1167*(1+MAX(MIN(((B1168-B1167)/B1167)/($K$7*卓尔金历!$N$40),0),-卓尔金历!$M$43))+MIN(MAX(((B1168-B1167)/B1167)/($K$7*卓尔金历!$N$40),0),卓尔金历!$M$43),0),1)</f>
        <v>1</v>
      </c>
      <c r="M1168" s="4">
        <f>MIN(MAX(M1167*(1+MAX(MIN(((B1168-B1167)/B1167)/($K$7*30),0),-卓尔金历!$M$43))+MIN(MAX(((B1168-B1167)/B1167)/($K$7*7),0),卓尔金历!$M$43),0),1)</f>
        <v>1</v>
      </c>
      <c r="N1168">
        <f t="shared" si="123"/>
        <v>138.43055378874581</v>
      </c>
      <c r="O1168">
        <f t="shared" si="124"/>
        <v>193.1778715748855</v>
      </c>
      <c r="P1168">
        <f t="shared" si="125"/>
        <v>1.2040064352068053E-2</v>
      </c>
      <c r="Q1168">
        <f t="shared" si="126"/>
        <v>4.2595970222767753E-2</v>
      </c>
      <c r="R1168">
        <f t="shared" si="127"/>
        <v>1</v>
      </c>
      <c r="S1168">
        <f t="shared" si="119"/>
        <v>6.1227177566818884</v>
      </c>
      <c r="T1168" s="564">
        <f>IF((I1168-MAX(I$470:I1168))/MAX(I$470:I1168)&gt;T1167,T1167,(I1168-MAX(I$470:I1168))/MAX(I$470:I1168))</f>
        <v>-0.91338805338419748</v>
      </c>
      <c r="U1168" s="564">
        <f>IF((J1168-MAX(J$470:J1168))/MAX(J$470:J1168)&gt;U1167,U1167,(J1168-MAX(J$470:J1168))/MAX(J$470:J1168))</f>
        <v>-0.70517826086956548</v>
      </c>
      <c r="V1168" s="564">
        <f>IF((K1168-MAX(K$470:K1168))/MAX(K$470:K1168)&gt;V1167,V1167,(K1168-MAX(K$470:K1168))/MAX(K$470:K1168))</f>
        <v>-0.80725522782524772</v>
      </c>
      <c r="W1168" s="564">
        <f>IF((N1168-MAX(N$470:N1168))/MAX(N$470:N1168)&gt;W1167,W1167,(N1168-MAX(N$470:N1168))/MAX(N$470:N1168))</f>
        <v>-0.62788758315546067</v>
      </c>
      <c r="X1168" s="564">
        <f>IF((O1168-MAX(O$470:O1168))/MAX(O$470:O1168)&gt;X1167,X1167,(O1168-MAX(O$470:O1168))/MAX(O$470:O1168))</f>
        <v>-0.62788758315546067</v>
      </c>
    </row>
    <row r="1169" spans="1:24">
      <c r="A1169" s="799">
        <v>41571</v>
      </c>
      <c r="B1169">
        <v>190.36</v>
      </c>
      <c r="C1169">
        <v>92.468185000000005</v>
      </c>
      <c r="D1169">
        <v>2.945818</v>
      </c>
      <c r="E1169">
        <f>LN(D1169/参数实验室!$E$53)/参数实验室!$E$55</f>
        <v>0.58162122837473129</v>
      </c>
      <c r="F1169">
        <f t="shared" si="128"/>
        <v>0.48575428136163057</v>
      </c>
      <c r="G1169">
        <f>LN(F1169/参数实验室!$E$58)/参数实验室!$E$59</f>
        <v>-0.56950213395637006</v>
      </c>
      <c r="H1169" s="856">
        <f>INDEX(神经网络!$G$10:$BO$70,MATCH(ROUND(G1169*2,1)/2,神经网络!$E$10:$E$70,0),MATCH(ROUND(E1169*2,1)/2,神经网络!$G$8:$BO$8,0))</f>
        <v>1.4885399582599956</v>
      </c>
      <c r="I1169">
        <f t="shared" si="120"/>
        <v>84.191943070969373</v>
      </c>
      <c r="J1169">
        <f t="shared" si="121"/>
        <v>75.958660867483303</v>
      </c>
      <c r="K1169">
        <f t="shared" si="122"/>
        <v>1.1083916186707106</v>
      </c>
      <c r="L1169" s="4">
        <f>MIN(MAX(L1168*(1+MAX(MIN(((B1169-B1168)/B1168)/($K$7*卓尔金历!$N$40),0),-卓尔金历!$M$43))+MIN(MAX(((B1169-B1168)/B1168)/($K$7*卓尔金历!$N$40),0),卓尔金历!$M$43),0),1)</f>
        <v>0.63567233614269636</v>
      </c>
      <c r="M1169" s="4">
        <f>MIN(MAX(M1168*(1+MAX(MIN(((B1169-B1168)/B1168)/($K$7*30),0),-卓尔金历!$M$43))+MIN(MAX(((B1169-B1168)/B1168)/($K$7*7),0),卓尔金历!$M$43),0),1)</f>
        <v>0.81783616807134818</v>
      </c>
      <c r="N1169">
        <f t="shared" si="123"/>
        <v>133.43145693265018</v>
      </c>
      <c r="O1169">
        <f t="shared" si="124"/>
        <v>186.20170291828242</v>
      </c>
      <c r="P1169">
        <f t="shared" si="125"/>
        <v>-2.3844931029177875E-2</v>
      </c>
      <c r="Q1169">
        <f t="shared" si="126"/>
        <v>3.8219306127374716E-2</v>
      </c>
      <c r="R1169">
        <f t="shared" si="127"/>
        <v>0.53446055847538387</v>
      </c>
      <c r="S1169">
        <f t="shared" si="119"/>
        <v>5.9016100730783156</v>
      </c>
      <c r="T1169" s="564">
        <f>IF((I1169-MAX(I$470:I1169))/MAX(I$470:I1169)&gt;T1168,T1168,(I1169-MAX(I$470:I1169))/MAX(I$470:I1169))</f>
        <v>-0.91338805338419748</v>
      </c>
      <c r="U1169" s="564">
        <f>IF((J1169-MAX(J$470:J1169))/MAX(J$470:J1169)&gt;U1168,U1168,(J1169-MAX(J$470:J1169))/MAX(J$470:J1169))</f>
        <v>-0.70517826086956548</v>
      </c>
      <c r="V1169" s="564">
        <f>IF((K1169-MAX(K$470:K1169))/MAX(K$470:K1169)&gt;V1168,V1168,(K1169-MAX(K$470:K1169))/MAX(K$470:K1169))</f>
        <v>-0.80725522782524772</v>
      </c>
      <c r="W1169" s="564">
        <f>IF((N1169-MAX(N$470:N1169))/MAX(N$470:N1169)&gt;W1168,W1168,(N1169-MAX(N$470:N1169))/MAX(N$470:N1169))</f>
        <v>-0.62788758315546067</v>
      </c>
      <c r="X1169" s="564">
        <f>IF((O1169-MAX(O$470:O1169))/MAX(O$470:O1169)&gt;X1168,X1168,(O1169-MAX(O$470:O1169))/MAX(O$470:O1169))</f>
        <v>-0.62788758315546067</v>
      </c>
    </row>
    <row r="1170" spans="1:24">
      <c r="A1170" s="799">
        <v>41572</v>
      </c>
      <c r="B1170">
        <v>185.65</v>
      </c>
      <c r="C1170">
        <v>91.269506000000007</v>
      </c>
      <c r="D1170">
        <v>2.7200890000000002</v>
      </c>
      <c r="E1170">
        <f>LN(D1170/参数实验室!$E$53)/参数实验室!$E$55</f>
        <v>0.48756901447910411</v>
      </c>
      <c r="F1170">
        <f t="shared" si="128"/>
        <v>0.49162136277942364</v>
      </c>
      <c r="G1170">
        <f>LN(F1170/参数实验室!$E$58)/参数实验室!$E$59</f>
        <v>-0.56320077293830706</v>
      </c>
      <c r="H1170" s="856">
        <f>INDEX(神经网络!$G$10:$BO$70,MATCH(ROUND(G1170*2,1)/2,神经网络!$E$10:$E$70,0),MATCH(ROUND(E1170*2,1)/2,神经网络!$G$8:$BO$8,0))</f>
        <v>-0.30967488576388091</v>
      </c>
      <c r="I1170">
        <f t="shared" si="120"/>
        <v>81.091125323489422</v>
      </c>
      <c r="J1170">
        <f t="shared" si="121"/>
        <v>74.079246638202747</v>
      </c>
      <c r="K1170">
        <f t="shared" si="122"/>
        <v>1.0946537526161968</v>
      </c>
      <c r="L1170" s="4">
        <f>MIN(MAX(L1169*(1+MAX(MIN(((B1170-B1169)/B1169)/($K$7*卓尔金历!$N$40),0),-卓尔金历!$M$43))+MIN(MAX(((B1170-B1169)/B1169)/($K$7*卓尔金历!$N$40),0),卓尔金历!$M$43),0),1)</f>
        <v>0.39536081017878461</v>
      </c>
      <c r="M1170" s="4">
        <f>MIN(MAX(M1169*(1+MAX(MIN(((B1170-B1169)/B1169)/($K$7*30),0),-卓尔金历!$M$43))+MIN(MAX(((B1170-B1169)/B1169)/($K$7*7),0),卓尔金历!$M$43),0),1)</f>
        <v>0.66324751731277132</v>
      </c>
      <c r="N1170">
        <f t="shared" si="123"/>
        <v>130.30755603313992</v>
      </c>
      <c r="O1170">
        <f t="shared" si="124"/>
        <v>180.5930873937356</v>
      </c>
      <c r="P1170">
        <f t="shared" si="125"/>
        <v>-2.4742592981718887E-2</v>
      </c>
      <c r="Q1170">
        <f t="shared" si="126"/>
        <v>3.935940519060982E-2</v>
      </c>
      <c r="R1170">
        <f t="shared" si="127"/>
        <v>0.52016983323720067</v>
      </c>
      <c r="S1170">
        <f t="shared" si="119"/>
        <v>5.7854406369963405</v>
      </c>
      <c r="T1170" s="564">
        <f>IF((I1170-MAX(I$470:I1170))/MAX(I$470:I1170)&gt;T1169,T1169,(I1170-MAX(I$470:I1170))/MAX(I$470:I1170))</f>
        <v>-0.91338805338419748</v>
      </c>
      <c r="U1170" s="564">
        <f>IF((J1170-MAX(J$470:J1170))/MAX(J$470:J1170)&gt;U1169,U1169,(J1170-MAX(J$470:J1170))/MAX(J$470:J1170))</f>
        <v>-0.70517826086956548</v>
      </c>
      <c r="V1170" s="564">
        <f>IF((K1170-MAX(K$470:K1170))/MAX(K$470:K1170)&gt;V1169,V1169,(K1170-MAX(K$470:K1170))/MAX(K$470:K1170))</f>
        <v>-0.80725522782524772</v>
      </c>
      <c r="W1170" s="564">
        <f>IF((N1170-MAX(N$470:N1170))/MAX(N$470:N1170)&gt;W1169,W1169,(N1170-MAX(N$470:N1170))/MAX(N$470:N1170))</f>
        <v>-0.62788758315546067</v>
      </c>
      <c r="X1170" s="564">
        <f>IF((O1170-MAX(O$470:O1170))/MAX(O$470:O1170)&gt;X1169,X1169,(O1170-MAX(O$470:O1170))/MAX(O$470:O1170))</f>
        <v>-0.62788758315546067</v>
      </c>
    </row>
    <row r="1171" spans="1:24">
      <c r="A1171" s="799">
        <v>41573</v>
      </c>
      <c r="B1171">
        <v>185.26</v>
      </c>
      <c r="C1171">
        <v>90.468012999999999</v>
      </c>
      <c r="D1171">
        <v>2.630118</v>
      </c>
      <c r="E1171">
        <f>LN(D1171/参数实验室!$E$53)/参数实验室!$E$55</f>
        <v>0.44788696619343177</v>
      </c>
      <c r="F1171">
        <f t="shared" si="128"/>
        <v>0.48832998488610602</v>
      </c>
      <c r="G1171">
        <f>LN(F1171/参数实验室!$E$58)/参数实验室!$E$59</f>
        <v>-0.5667264571362195</v>
      </c>
      <c r="H1171" s="856">
        <f>INDEX(神经网络!$G$10:$BO$70,MATCH(ROUND(G1171*2,1)/2,神经网络!$E$10:$E$70,0),MATCH(ROUND(E1171*2,1)/2,神经网络!$G$8:$BO$8,0))</f>
        <v>-0.35547397493500138</v>
      </c>
      <c r="I1171">
        <f t="shared" si="120"/>
        <v>81.143878542658271</v>
      </c>
      <c r="J1171">
        <f t="shared" si="121"/>
        <v>73.923626351701813</v>
      </c>
      <c r="K1171">
        <f t="shared" si="122"/>
        <v>1.0976717802858469</v>
      </c>
      <c r="L1171" s="4">
        <f>MIN(MAX(L1170*(1+MAX(MIN(((B1171-B1170)/B1170)/($K$7*卓尔金历!$N$40),0),-卓尔金历!$M$43))+MIN(MAX(((B1171-B1170)/B1170)/($K$7*卓尔金历!$N$40),0),卓尔金历!$M$43),0),1)</f>
        <v>0.38267087657115523</v>
      </c>
      <c r="M1171" s="4">
        <f>MIN(MAX(M1170*(1+MAX(MIN(((B1171-B1170)/B1170)/($K$7*30),0),-卓尔金历!$M$43))+MIN(MAX(((B1171-B1170)/B1170)/($K$7*7),0),卓尔金历!$M$43),0),1)</f>
        <v>0.65260335792287372</v>
      </c>
      <c r="N1171">
        <f t="shared" si="123"/>
        <v>130.34107100484295</v>
      </c>
      <c r="O1171">
        <f t="shared" si="124"/>
        <v>180.67100801296957</v>
      </c>
      <c r="P1171">
        <f t="shared" si="125"/>
        <v>-2.1007271747913534E-3</v>
      </c>
      <c r="Q1171">
        <f t="shared" si="126"/>
        <v>3.9598842536107598E-2</v>
      </c>
      <c r="R1171">
        <f t="shared" si="127"/>
        <v>1</v>
      </c>
      <c r="S1171">
        <f t="shared" si="119"/>
        <v>5.7873983870446946</v>
      </c>
      <c r="T1171" s="564">
        <f>IF((I1171-MAX(I$470:I1171))/MAX(I$470:I1171)&gt;T1170,T1170,(I1171-MAX(I$470:I1171))/MAX(I$470:I1171))</f>
        <v>-0.91338805338419748</v>
      </c>
      <c r="U1171" s="564">
        <f>IF((J1171-MAX(J$470:J1171))/MAX(J$470:J1171)&gt;U1170,U1170,(J1171-MAX(J$470:J1171))/MAX(J$470:J1171))</f>
        <v>-0.70517826086956548</v>
      </c>
      <c r="V1171" s="564">
        <f>IF((K1171-MAX(K$470:K1171))/MAX(K$470:K1171)&gt;V1170,V1170,(K1171-MAX(K$470:K1171))/MAX(K$470:K1171))</f>
        <v>-0.80725522782524772</v>
      </c>
      <c r="W1171" s="564">
        <f>IF((N1171-MAX(N$470:N1171))/MAX(N$470:N1171)&gt;W1170,W1170,(N1171-MAX(N$470:N1171))/MAX(N$470:N1171))</f>
        <v>-0.62788758315546067</v>
      </c>
      <c r="X1171" s="564">
        <f>IF((O1171-MAX(O$470:O1171))/MAX(O$470:O1171)&gt;X1170,X1170,(O1171-MAX(O$470:O1171))/MAX(O$470:O1171))</f>
        <v>-0.62788758315546067</v>
      </c>
    </row>
    <row r="1172" spans="1:24">
      <c r="A1172" s="799">
        <v>41574</v>
      </c>
      <c r="B1172">
        <v>182.28</v>
      </c>
      <c r="C1172">
        <v>90.533891999999994</v>
      </c>
      <c r="D1172">
        <v>2.8304420000000001</v>
      </c>
      <c r="E1172">
        <f>LN(D1172/参数实验室!$E$53)/参数实验室!$E$55</f>
        <v>0.53448577517208828</v>
      </c>
      <c r="F1172">
        <f t="shared" si="128"/>
        <v>0.49667485187623434</v>
      </c>
      <c r="G1172">
        <f>LN(F1172/参数实验室!$E$58)/参数实验室!$E$59</f>
        <v>-0.5578332176216092</v>
      </c>
      <c r="H1172" s="856">
        <f>INDEX(神经网络!$G$10:$BO$70,MATCH(ROUND(G1172*2,1)/2,神经网络!$E$10:$E$70,0),MATCH(ROUND(E1172*2,1)/2,神经网络!$G$8:$BO$8,0))</f>
        <v>-0.26736520215917847</v>
      </c>
      <c r="I1172">
        <f t="shared" si="120"/>
        <v>81.607857385369385</v>
      </c>
      <c r="J1172">
        <f t="shared" si="121"/>
        <v>72.734527752284393</v>
      </c>
      <c r="K1172">
        <f t="shared" si="122"/>
        <v>1.1219961125382616</v>
      </c>
      <c r="L1172" s="4">
        <f>MIN(MAX(L1171*(1+MAX(MIN(((B1172-B1171)/B1171)/($K$7*卓尔金历!$N$40),0),-卓尔金历!$M$43))+MIN(MAX(((B1172-B1171)/B1171)/($K$7*卓尔金历!$N$40),0),卓尔金历!$M$43),0),1)</f>
        <v>0.28862146255156401</v>
      </c>
      <c r="M1172" s="4">
        <f>MIN(MAX(M1171*(1+MAX(MIN(((B1172-B1171)/B1171)/($K$7*30),0),-卓尔金历!$M$43))+MIN(MAX(((B1172-B1171)/B1171)/($K$7*7),0),卓尔金历!$M$43),0),1)</f>
        <v>0.57240785944410311</v>
      </c>
      <c r="N1172">
        <f t="shared" si="123"/>
        <v>130.62627073570579</v>
      </c>
      <c r="O1172">
        <f t="shared" si="124"/>
        <v>181.34519472206554</v>
      </c>
      <c r="P1172">
        <f t="shared" si="125"/>
        <v>-1.6085501457411153E-2</v>
      </c>
      <c r="Q1172">
        <f t="shared" si="126"/>
        <v>4.0044859598882258E-2</v>
      </c>
      <c r="R1172">
        <f t="shared" si="127"/>
        <v>0.98779821325497164</v>
      </c>
      <c r="S1172">
        <f t="shared" si="119"/>
        <v>5.8204905987328193</v>
      </c>
      <c r="T1172" s="564">
        <f>IF((I1172-MAX(I$470:I1172))/MAX(I$470:I1172)&gt;T1171,T1171,(I1172-MAX(I$470:I1172))/MAX(I$470:I1172))</f>
        <v>-0.91338805338419748</v>
      </c>
      <c r="U1172" s="564">
        <f>IF((J1172-MAX(J$470:J1172))/MAX(J$470:J1172)&gt;U1171,U1171,(J1172-MAX(J$470:J1172))/MAX(J$470:J1172))</f>
        <v>-0.70517826086956548</v>
      </c>
      <c r="V1172" s="564">
        <f>IF((K1172-MAX(K$470:K1172))/MAX(K$470:K1172)&gt;V1171,V1171,(K1172-MAX(K$470:K1172))/MAX(K$470:K1172))</f>
        <v>-0.80725522782524772</v>
      </c>
      <c r="W1172" s="564">
        <f>IF((N1172-MAX(N$470:N1172))/MAX(N$470:N1172)&gt;W1171,W1171,(N1172-MAX(N$470:N1172))/MAX(N$470:N1172))</f>
        <v>-0.62788758315546067</v>
      </c>
      <c r="X1172" s="564">
        <f>IF((O1172-MAX(O$470:O1172))/MAX(O$470:O1172)&gt;X1171,X1171,(O1172-MAX(O$470:O1172))/MAX(O$470:O1172))</f>
        <v>-0.62788758315546067</v>
      </c>
    </row>
    <row r="1173" spans="1:24">
      <c r="A1173" s="799">
        <v>41575</v>
      </c>
      <c r="B1173">
        <v>195.8</v>
      </c>
      <c r="C1173">
        <v>90.734029000000007</v>
      </c>
      <c r="D1173">
        <v>2.8433079999999999</v>
      </c>
      <c r="E1173">
        <f>LN(D1173/参数实验室!$E$53)/参数实验室!$E$55</f>
        <v>0.53983628629936875</v>
      </c>
      <c r="F1173">
        <f t="shared" si="128"/>
        <v>0.46340157814096017</v>
      </c>
      <c r="G1173">
        <f>LN(F1173/参数实验室!$E$58)/参数实验室!$E$59</f>
        <v>-0.59422742249146043</v>
      </c>
      <c r="H1173" s="856">
        <f>INDEX(神经网络!$G$10:$BO$70,MATCH(ROUND(G1173*2,1)/2,神经网络!$E$10:$E$70,0),MATCH(ROUND(E1173*2,1)/2,神经网络!$G$8:$BO$8,0))</f>
        <v>-0.35214498170943753</v>
      </c>
      <c r="I1173">
        <f t="shared" si="120"/>
        <v>79.98949964228963</v>
      </c>
      <c r="J1173">
        <f t="shared" si="121"/>
        <v>78.129364350983565</v>
      </c>
      <c r="K1173">
        <f t="shared" si="122"/>
        <v>1.0238084017034839</v>
      </c>
      <c r="L1173" s="4">
        <f>MIN(MAX(L1172*(1+MAX(MIN(((B1173-B1172)/B1172)/($K$7*卓尔金历!$N$40),0),-卓尔金历!$M$43))+MIN(MAX(((B1173-B1172)/B1172)/($K$7*卓尔金历!$N$40),0),卓尔金历!$M$43),0),1)</f>
        <v>1</v>
      </c>
      <c r="M1173" s="4">
        <f>MIN(MAX(M1172*(1+MAX(MIN(((B1173-B1172)/B1172)/($K$7*30),0),-卓尔金历!$M$43))+MIN(MAX(((B1173-B1172)/B1172)/($K$7*7),0),卓尔金历!$M$43),0),1)</f>
        <v>1</v>
      </c>
      <c r="N1173">
        <f t="shared" si="123"/>
        <v>129.87861493724299</v>
      </c>
      <c r="O1173">
        <f t="shared" si="124"/>
        <v>179.28667896916102</v>
      </c>
      <c r="P1173">
        <f t="shared" si="125"/>
        <v>7.4171604125521234E-2</v>
      </c>
      <c r="Q1173">
        <f t="shared" si="126"/>
        <v>4.1700582738486196E-2</v>
      </c>
      <c r="R1173">
        <f t="shared" si="127"/>
        <v>1.6984375270548763E-2</v>
      </c>
      <c r="S1173">
        <f t="shared" si="119"/>
        <v>5.7064733957691143</v>
      </c>
      <c r="T1173" s="564">
        <f>IF((I1173-MAX(I$470:I1173))/MAX(I$470:I1173)&gt;T1172,T1172,(I1173-MAX(I$470:I1173))/MAX(I$470:I1173))</f>
        <v>-0.91338805338419748</v>
      </c>
      <c r="U1173" s="564">
        <f>IF((J1173-MAX(J$470:J1173))/MAX(J$470:J1173)&gt;U1172,U1172,(J1173-MAX(J$470:J1173))/MAX(J$470:J1173))</f>
        <v>-0.70517826086956548</v>
      </c>
      <c r="V1173" s="564">
        <f>IF((K1173-MAX(K$470:K1173))/MAX(K$470:K1173)&gt;V1172,V1172,(K1173-MAX(K$470:K1173))/MAX(K$470:K1173))</f>
        <v>-0.80725522782524772</v>
      </c>
      <c r="W1173" s="564">
        <f>IF((N1173-MAX(N$470:N1173))/MAX(N$470:N1173)&gt;W1172,W1172,(N1173-MAX(N$470:N1173))/MAX(N$470:N1173))</f>
        <v>-0.62788758315546067</v>
      </c>
      <c r="X1173" s="564">
        <f>IF((O1173-MAX(O$470:O1173))/MAX(O$470:O1173)&gt;X1172,X1172,(O1173-MAX(O$470:O1173))/MAX(O$470:O1173))</f>
        <v>-0.62788758315546067</v>
      </c>
    </row>
    <row r="1174" spans="1:24">
      <c r="A1174" s="799">
        <v>41576</v>
      </c>
      <c r="B1174">
        <v>200.01</v>
      </c>
      <c r="C1174">
        <v>91.292107999999999</v>
      </c>
      <c r="D1174">
        <v>2.9202599999999999</v>
      </c>
      <c r="E1174">
        <f>LN(D1174/参数实验室!$E$53)/参数实验室!$E$55</f>
        <v>0.57134099541455419</v>
      </c>
      <c r="F1174">
        <f t="shared" si="128"/>
        <v>0.45643771811409434</v>
      </c>
      <c r="G1174">
        <f>LN(F1174/参数实验室!$E$58)/参数实验室!$E$59</f>
        <v>-0.60217463661477033</v>
      </c>
      <c r="H1174" s="856">
        <f>INDEX(神经网络!$G$10:$BO$70,MATCH(ROUND(G1174*2,1)/2,神经网络!$E$10:$E$70,0),MATCH(ROUND(E1174*2,1)/2,神经网络!$G$8:$BO$8,0))</f>
        <v>-0.35214498170943753</v>
      </c>
      <c r="I1174">
        <f t="shared" si="120"/>
        <v>79.38384661501432</v>
      </c>
      <c r="J1174">
        <f t="shared" si="121"/>
        <v>79.809265392442398</v>
      </c>
      <c r="K1174">
        <f t="shared" si="122"/>
        <v>0.99466955653161093</v>
      </c>
      <c r="L1174" s="4">
        <f>MIN(MAX(L1173*(1+MAX(MIN(((B1174-B1173)/B1173)/($K$7*卓尔金历!$N$40),0),-卓尔金历!$M$43))+MIN(MAX(((B1174-B1173)/B1173)/($K$7*卓尔金历!$N$40),0),卓尔金历!$M$43),0),1)</f>
        <v>1</v>
      </c>
      <c r="M1174" s="4">
        <f>MIN(MAX(M1173*(1+MAX(MIN(((B1174-B1173)/B1173)/($K$7*30),0),-卓尔金历!$M$43))+MIN(MAX(((B1174-B1173)/B1173)/($K$7*7),0),卓尔金历!$M$43),0),1)</f>
        <v>1</v>
      </c>
      <c r="N1174">
        <f t="shared" si="123"/>
        <v>128.89521865814589</v>
      </c>
      <c r="O1174">
        <f t="shared" si="124"/>
        <v>177.9291817932392</v>
      </c>
      <c r="P1174">
        <f t="shared" si="125"/>
        <v>2.1501532175689373E-2</v>
      </c>
      <c r="Q1174">
        <f t="shared" si="126"/>
        <v>4.0378291858427173E-2</v>
      </c>
      <c r="R1174">
        <f t="shared" si="127"/>
        <v>0.69814707404102661</v>
      </c>
      <c r="S1174">
        <f t="shared" si="119"/>
        <v>5.7057395441004886</v>
      </c>
      <c r="T1174" s="564">
        <f>IF((I1174-MAX(I$470:I1174))/MAX(I$470:I1174)&gt;T1173,T1173,(I1174-MAX(I$470:I1174))/MAX(I$470:I1174))</f>
        <v>-0.91338805338419748</v>
      </c>
      <c r="U1174" s="564">
        <f>IF((J1174-MAX(J$470:J1174))/MAX(J$470:J1174)&gt;U1173,U1173,(J1174-MAX(J$470:J1174))/MAX(J$470:J1174))</f>
        <v>-0.70517826086956548</v>
      </c>
      <c r="V1174" s="564">
        <f>IF((K1174-MAX(K$470:K1174))/MAX(K$470:K1174)&gt;V1173,V1173,(K1174-MAX(K$470:K1174))/MAX(K$470:K1174))</f>
        <v>-0.80725522782524772</v>
      </c>
      <c r="W1174" s="564">
        <f>IF((N1174-MAX(N$470:N1174))/MAX(N$470:N1174)&gt;W1173,W1173,(N1174-MAX(N$470:N1174))/MAX(N$470:N1174))</f>
        <v>-0.62788758315546067</v>
      </c>
      <c r="X1174" s="564">
        <f>IF((O1174-MAX(O$470:O1174))/MAX(O$470:O1174)&gt;X1173,X1173,(O1174-MAX(O$470:O1174))/MAX(O$470:O1174))</f>
        <v>-0.62788758315546067</v>
      </c>
    </row>
    <row r="1175" spans="1:24">
      <c r="A1175" s="799">
        <v>41577</v>
      </c>
      <c r="B1175">
        <v>202.32</v>
      </c>
      <c r="C1175">
        <v>89.956691000000006</v>
      </c>
      <c r="D1175">
        <v>2.8151449999999998</v>
      </c>
      <c r="E1175">
        <f>LN(D1175/参数实验室!$E$53)/参数实验室!$E$55</f>
        <v>0.52809255882896822</v>
      </c>
      <c r="F1175">
        <f t="shared" si="128"/>
        <v>0.44462579576907874</v>
      </c>
      <c r="G1175">
        <f>LN(F1175/参数实验室!$E$58)/参数实验室!$E$59</f>
        <v>-0.61593590927712893</v>
      </c>
      <c r="H1175" s="856">
        <f>INDEX(神经网络!$G$10:$BO$70,MATCH(ROUND(G1175*2,1)/2,神经网络!$E$10:$E$70,0),MATCH(ROUND(E1175*2,1)/2,神经网络!$G$8:$BO$8,0))</f>
        <v>-0.35214498170943753</v>
      </c>
      <c r="I1175">
        <f t="shared" si="120"/>
        <v>79.060986859877261</v>
      </c>
      <c r="J1175">
        <f t="shared" si="121"/>
        <v>80.731016320178725</v>
      </c>
      <c r="K1175">
        <f t="shared" si="122"/>
        <v>0.97931365742160192</v>
      </c>
      <c r="L1175" s="4">
        <f>MIN(MAX(L1174*(1+MAX(MIN(((B1175-B1174)/B1174)/($K$7*卓尔金历!$N$40),0),-卓尔金历!$M$43))+MIN(MAX(((B1175-B1174)/B1174)/($K$7*卓尔金历!$N$40),0),卓尔金历!$M$43),0),1)</f>
        <v>1</v>
      </c>
      <c r="M1175" s="4">
        <f>MIN(MAX(M1174*(1+MAX(MIN(((B1175-B1174)/B1174)/($K$7*30),0),-卓尔金历!$M$43))+MIN(MAX(((B1175-B1174)/B1174)/($K$7*7),0),卓尔金历!$M$43),0),1)</f>
        <v>1</v>
      </c>
      <c r="N1175">
        <f t="shared" si="123"/>
        <v>128.37099262843324</v>
      </c>
      <c r="O1175">
        <f t="shared" si="124"/>
        <v>177.2055311449644</v>
      </c>
      <c r="P1175">
        <f t="shared" si="125"/>
        <v>1.1549422528873568E-2</v>
      </c>
      <c r="Q1175">
        <f t="shared" si="126"/>
        <v>4.0355756804717785E-2</v>
      </c>
      <c r="R1175">
        <f t="shared" si="127"/>
        <v>1</v>
      </c>
      <c r="S1175">
        <f t="shared" ref="S1175:S1238" si="129">S1174*(1+(B1175-B1174)/B1174*H1174*R1174)</f>
        <v>5.6895385882267249</v>
      </c>
      <c r="T1175" s="564">
        <f>IF((I1175-MAX(I$470:I1175))/MAX(I$470:I1175)&gt;T1174,T1174,(I1175-MAX(I$470:I1175))/MAX(I$470:I1175))</f>
        <v>-0.91338805338419748</v>
      </c>
      <c r="U1175" s="564">
        <f>IF((J1175-MAX(J$470:J1175))/MAX(J$470:J1175)&gt;U1174,U1174,(J1175-MAX(J$470:J1175))/MAX(J$470:J1175))</f>
        <v>-0.70517826086956548</v>
      </c>
      <c r="V1175" s="564">
        <f>IF((K1175-MAX(K$470:K1175))/MAX(K$470:K1175)&gt;V1174,V1174,(K1175-MAX(K$470:K1175))/MAX(K$470:K1175))</f>
        <v>-0.80725522782524772</v>
      </c>
      <c r="W1175" s="564">
        <f>IF((N1175-MAX(N$470:N1175))/MAX(N$470:N1175)&gt;W1174,W1174,(N1175-MAX(N$470:N1175))/MAX(N$470:N1175))</f>
        <v>-0.62788758315546067</v>
      </c>
      <c r="X1175" s="564">
        <f>IF((O1175-MAX(O$470:O1175))/MAX(O$470:O1175)&gt;X1174,X1174,(O1175-MAX(O$470:O1175))/MAX(O$470:O1175))</f>
        <v>-0.62788758315546067</v>
      </c>
    </row>
    <row r="1176" spans="1:24">
      <c r="A1176" s="799">
        <v>41578</v>
      </c>
      <c r="B1176">
        <v>201.27</v>
      </c>
      <c r="C1176">
        <v>89.012479999999996</v>
      </c>
      <c r="D1176">
        <v>2.874123</v>
      </c>
      <c r="E1176">
        <f>LN(D1176/参数实验室!$E$53)/参数实验室!$E$55</f>
        <v>0.55255334339329654</v>
      </c>
      <c r="F1176">
        <f t="shared" si="128"/>
        <v>0.44225408655040488</v>
      </c>
      <c r="G1176">
        <f>LN(F1176/参数实验室!$E$58)/参数实验室!$E$59</f>
        <v>-0.61874306313107408</v>
      </c>
      <c r="H1176" s="856">
        <f>INDEX(神经网络!$G$10:$BO$70,MATCH(ROUND(G1176*2,1)/2,神经网络!$E$10:$E$70,0),MATCH(ROUND(E1176*2,1)/2,神经网络!$G$8:$BO$8,0))</f>
        <v>-0.35214498170943753</v>
      </c>
      <c r="I1176">
        <f t="shared" ref="I1176:I1239" si="130">I1175*(1+(B1176-B1175)/B1175*H1175)</f>
        <v>79.205475670970017</v>
      </c>
      <c r="J1176">
        <f t="shared" ref="J1176:J1239" si="131">J1175*B1176/B1175</f>
        <v>80.312038625753132</v>
      </c>
      <c r="K1176">
        <f t="shared" ref="K1176:K1239" si="132">I1176/J1176</f>
        <v>0.98622170506790896</v>
      </c>
      <c r="L1176" s="4">
        <f>MIN(MAX(L1175*(1+MAX(MIN(((B1176-B1175)/B1175)/($K$7*卓尔金历!$N$40),0),-卓尔金历!$M$43))+MIN(MAX(((B1176-B1175)/B1175)/($K$7*卓尔金历!$N$40),0),卓尔金历!$M$43),0),1)</f>
        <v>0.92070486165294141</v>
      </c>
      <c r="M1176" s="4">
        <f>MIN(MAX(M1175*(1+MAX(MIN(((B1176-B1175)/B1175)/($K$7*30),0),-卓尔金历!$M$43))+MIN(MAX(((B1176-B1175)/B1175)/($K$7*7),0),卓尔金历!$M$43),0),1)</f>
        <v>0.9603524308264707</v>
      </c>
      <c r="N1176">
        <f t="shared" ref="N1176:N1239" si="133">N1175*(1+(B1176-B1175)/B1175*H1175*L1175)</f>
        <v>128.60559850473672</v>
      </c>
      <c r="O1176">
        <f t="shared" ref="O1176:O1239" si="134">O1175*(1+(B1176-B1175)/B1175*H1175*M1175)</f>
        <v>177.52938514086222</v>
      </c>
      <c r="P1176">
        <f t="shared" ref="P1176:P1239" si="135">(B1176-B1175)/B1175</f>
        <v>-5.1897983392644471E-3</v>
      </c>
      <c r="Q1176">
        <f t="shared" si="126"/>
        <v>4.0769264234030586E-2</v>
      </c>
      <c r="R1176">
        <f t="shared" si="127"/>
        <v>1</v>
      </c>
      <c r="S1176">
        <f t="shared" si="129"/>
        <v>5.6999365695691058</v>
      </c>
      <c r="T1176" s="564">
        <f>IF((I1176-MAX(I$470:I1176))/MAX(I$470:I1176)&gt;T1175,T1175,(I1176-MAX(I$470:I1176))/MAX(I$470:I1176))</f>
        <v>-0.91338805338419748</v>
      </c>
      <c r="U1176" s="564">
        <f>IF((J1176-MAX(J$470:J1176))/MAX(J$470:J1176)&gt;U1175,U1175,(J1176-MAX(J$470:J1176))/MAX(J$470:J1176))</f>
        <v>-0.70517826086956548</v>
      </c>
      <c r="V1176" s="564">
        <f>IF((K1176-MAX(K$470:K1176))/MAX(K$470:K1176)&gt;V1175,V1175,(K1176-MAX(K$470:K1176))/MAX(K$470:K1176))</f>
        <v>-0.80725522782524772</v>
      </c>
      <c r="W1176" s="564">
        <f>IF((N1176-MAX(N$470:N1176))/MAX(N$470:N1176)&gt;W1175,W1175,(N1176-MAX(N$470:N1176))/MAX(N$470:N1176))</f>
        <v>-0.62788758315546067</v>
      </c>
      <c r="X1176" s="564">
        <f>IF((O1176-MAX(O$470:O1176))/MAX(O$470:O1176)&gt;X1175,X1175,(O1176-MAX(O$470:O1176))/MAX(O$470:O1176))</f>
        <v>-0.62788758315546067</v>
      </c>
    </row>
    <row r="1177" spans="1:24">
      <c r="A1177" s="799">
        <v>41579</v>
      </c>
      <c r="B1177">
        <v>203.73</v>
      </c>
      <c r="C1177">
        <v>88.387670999999997</v>
      </c>
      <c r="D1177">
        <v>2.8528060000000002</v>
      </c>
      <c r="E1177">
        <f>LN(D1177/参数实验室!$E$53)/参数实验室!$E$55</f>
        <v>0.54377065513269174</v>
      </c>
      <c r="F1177">
        <f t="shared" si="128"/>
        <v>0.43384710646443825</v>
      </c>
      <c r="G1177">
        <f>LN(F1177/参数实验室!$E$58)/参数实验室!$E$59</f>
        <v>-0.62881626692358927</v>
      </c>
      <c r="H1177" s="856">
        <f>INDEX(神经网络!$G$10:$BO$70,MATCH(ROUND(G1177*2,1)/2,神经网络!$E$10:$E$70,0),MATCH(ROUND(E1177*2,1)/2,神经网络!$G$8:$BO$8,0))</f>
        <v>-0.43100476411848421</v>
      </c>
      <c r="I1177">
        <f t="shared" si="130"/>
        <v>78.864571142116517</v>
      </c>
      <c r="J1177">
        <f t="shared" si="131"/>
        <v>81.29364350983596</v>
      </c>
      <c r="K1177">
        <f t="shared" si="132"/>
        <v>0.97011977489450896</v>
      </c>
      <c r="L1177" s="4">
        <f>MIN(MAX(L1176*(1+MAX(MIN(((B1177-B1176)/B1176)/($K$7*卓尔金历!$N$40),0),-卓尔金历!$M$43))+MIN(MAX(((B1177-B1176)/B1176)/($K$7*卓尔金历!$N$40),0),卓尔金历!$M$43),0),1)</f>
        <v>1</v>
      </c>
      <c r="M1177" s="4">
        <f>MIN(MAX(M1176*(1+MAX(MIN(((B1177-B1176)/B1176)/($K$7*30),0),-卓尔金历!$M$43))+MIN(MAX(((B1177-B1176)/B1176)/($K$7*7),0),卓尔金历!$M$43),0),1)</f>
        <v>1</v>
      </c>
      <c r="N1177">
        <f t="shared" si="133"/>
        <v>128.0959651131773</v>
      </c>
      <c r="O1177">
        <f t="shared" si="134"/>
        <v>176.79558388071231</v>
      </c>
      <c r="P1177">
        <f t="shared" si="135"/>
        <v>1.2222387837233464E-2</v>
      </c>
      <c r="Q1177">
        <f t="shared" si="126"/>
        <v>4.0336167329777621E-2</v>
      </c>
      <c r="R1177">
        <f t="shared" si="127"/>
        <v>1</v>
      </c>
      <c r="S1177">
        <f t="shared" si="129"/>
        <v>5.6754037430911</v>
      </c>
      <c r="T1177" s="564">
        <f>IF((I1177-MAX(I$470:I1177))/MAX(I$470:I1177)&gt;T1176,T1176,(I1177-MAX(I$470:I1177))/MAX(I$470:I1177))</f>
        <v>-0.91338805338419748</v>
      </c>
      <c r="U1177" s="564">
        <f>IF((J1177-MAX(J$470:J1177))/MAX(J$470:J1177)&gt;U1176,U1176,(J1177-MAX(J$470:J1177))/MAX(J$470:J1177))</f>
        <v>-0.70517826086956548</v>
      </c>
      <c r="V1177" s="564">
        <f>IF((K1177-MAX(K$470:K1177))/MAX(K$470:K1177)&gt;V1176,V1176,(K1177-MAX(K$470:K1177))/MAX(K$470:K1177))</f>
        <v>-0.80725522782524772</v>
      </c>
      <c r="W1177" s="564">
        <f>IF((N1177-MAX(N$470:N1177))/MAX(N$470:N1177)&gt;W1176,W1176,(N1177-MAX(N$470:N1177))/MAX(N$470:N1177))</f>
        <v>-0.62788758315546067</v>
      </c>
      <c r="X1177" s="564">
        <f>IF((O1177-MAX(O$470:O1177))/MAX(O$470:O1177)&gt;X1176,X1176,(O1177-MAX(O$470:O1177))/MAX(O$470:O1177))</f>
        <v>-0.62788758315546067</v>
      </c>
    </row>
    <row r="1178" spans="1:24">
      <c r="A1178" s="799">
        <v>41580</v>
      </c>
      <c r="B1178">
        <v>207.12</v>
      </c>
      <c r="C1178">
        <v>88.378192999999996</v>
      </c>
      <c r="D1178">
        <v>2.867318</v>
      </c>
      <c r="E1178">
        <f>LN(D1178/参数实验室!$E$53)/参数实验室!$E$55</f>
        <v>0.54975675466771978</v>
      </c>
      <c r="F1178">
        <f t="shared" si="128"/>
        <v>0.42670042970258787</v>
      </c>
      <c r="G1178">
        <f>LN(F1178/参数实验室!$E$58)/参数实验室!$E$59</f>
        <v>-0.63753408499467124</v>
      </c>
      <c r="H1178" s="856">
        <f>INDEX(神经网络!$G$10:$BO$70,MATCH(ROUND(G1178*2,1)/2,神经网络!$E$10:$E$70,0),MATCH(ROUND(E1178*2,1)/2,神经网络!$G$8:$BO$8,0))</f>
        <v>-0.43100476411848421</v>
      </c>
      <c r="I1178">
        <f t="shared" si="130"/>
        <v>78.29897201610963</v>
      </c>
      <c r="J1178">
        <f t="shared" si="131"/>
        <v>82.646342923267198</v>
      </c>
      <c r="K1178">
        <f t="shared" si="132"/>
        <v>0.94739790348383746</v>
      </c>
      <c r="L1178" s="4">
        <f>MIN(MAX(L1177*(1+MAX(MIN(((B1178-B1177)/B1177)/($K$7*卓尔金历!$N$40),0),-卓尔金历!$M$43))+MIN(MAX(((B1178-B1177)/B1177)/($K$7*卓尔金历!$N$40),0),卓尔金历!$M$43),0),1)</f>
        <v>1</v>
      </c>
      <c r="M1178" s="4">
        <f>MIN(MAX(M1177*(1+MAX(MIN(((B1178-B1177)/B1177)/($K$7*30),0),-卓尔金历!$M$43))+MIN(MAX(((B1178-B1177)/B1177)/($K$7*7),0),卓尔金历!$M$43),0),1)</f>
        <v>1</v>
      </c>
      <c r="N1178">
        <f t="shared" si="133"/>
        <v>127.17728940285787</v>
      </c>
      <c r="O1178">
        <f t="shared" si="134"/>
        <v>175.52764535931198</v>
      </c>
      <c r="P1178">
        <f t="shared" si="135"/>
        <v>1.6639670151671403E-2</v>
      </c>
      <c r="Q1178">
        <f t="shared" si="126"/>
        <v>4.0354221527523423E-2</v>
      </c>
      <c r="R1178">
        <f t="shared" si="127"/>
        <v>0.96197663549637824</v>
      </c>
      <c r="S1178">
        <f t="shared" si="129"/>
        <v>5.6347010124435961</v>
      </c>
      <c r="T1178" s="564">
        <f>IF((I1178-MAX(I$470:I1178))/MAX(I$470:I1178)&gt;T1177,T1177,(I1178-MAX(I$470:I1178))/MAX(I$470:I1178))</f>
        <v>-0.91338805338419748</v>
      </c>
      <c r="U1178" s="564">
        <f>IF((J1178-MAX(J$470:J1178))/MAX(J$470:J1178)&gt;U1177,U1177,(J1178-MAX(J$470:J1178))/MAX(J$470:J1178))</f>
        <v>-0.70517826086956548</v>
      </c>
      <c r="V1178" s="564">
        <f>IF((K1178-MAX(K$470:K1178))/MAX(K$470:K1178)&gt;V1177,V1177,(K1178-MAX(K$470:K1178))/MAX(K$470:K1178))</f>
        <v>-0.80725522782524772</v>
      </c>
      <c r="W1178" s="564">
        <f>IF((N1178-MAX(N$470:N1178))/MAX(N$470:N1178)&gt;W1177,W1177,(N1178-MAX(N$470:N1178))/MAX(N$470:N1178))</f>
        <v>-0.62788758315546067</v>
      </c>
      <c r="X1178" s="564">
        <f>IF((O1178-MAX(O$470:O1178))/MAX(O$470:O1178)&gt;X1177,X1177,(O1178-MAX(O$470:O1178))/MAX(O$470:O1178))</f>
        <v>-0.62788758315546067</v>
      </c>
    </row>
    <row r="1179" spans="1:24">
      <c r="A1179" s="799">
        <v>41581</v>
      </c>
      <c r="B1179">
        <v>205.02</v>
      </c>
      <c r="C1179">
        <v>87.968519000000001</v>
      </c>
      <c r="D1179">
        <v>2.9276040000000001</v>
      </c>
      <c r="E1179">
        <f>LN(D1179/参数实验室!$E$53)/参数实验室!$E$55</f>
        <v>0.57430416705417497</v>
      </c>
      <c r="F1179">
        <f t="shared" si="128"/>
        <v>0.42907286606184758</v>
      </c>
      <c r="G1179">
        <f>LN(F1179/参数实验室!$E$58)/参数实验室!$E$59</f>
        <v>-0.63462400118804518</v>
      </c>
      <c r="H1179" s="856">
        <f>INDEX(神经网络!$G$10:$BO$70,MATCH(ROUND(G1179*2,1)/2,神经网络!$E$10:$E$70,0),MATCH(ROUND(E1179*2,1)/2,神经网络!$G$8:$BO$8,0))</f>
        <v>-0.43100476411848421</v>
      </c>
      <c r="I1179">
        <f t="shared" si="130"/>
        <v>78.64113686221576</v>
      </c>
      <c r="J1179">
        <f t="shared" si="131"/>
        <v>81.808387534415999</v>
      </c>
      <c r="K1179">
        <f t="shared" si="132"/>
        <v>0.96128452390205332</v>
      </c>
      <c r="L1179" s="4">
        <f>MIN(MAX(L1178*(1+MAX(MIN(((B1179-B1178)/B1178)/($K$7*卓尔金历!$N$40),0),-卓尔金历!$M$43))+MIN(MAX(((B1179-B1178)/B1178)/($K$7*卓尔金历!$N$40),0),卓尔金历!$M$43),0),1)</f>
        <v>0.84508504837411058</v>
      </c>
      <c r="M1179" s="4">
        <f>MIN(MAX(M1178*(1+MAX(MIN(((B1179-B1178)/B1178)/($K$7*30),0),-卓尔金历!$M$43))+MIN(MAX(((B1179-B1178)/B1178)/($K$7*7),0),卓尔金历!$M$43),0),1)</f>
        <v>0.92254252418705529</v>
      </c>
      <c r="N1179">
        <f t="shared" si="133"/>
        <v>127.7330514586837</v>
      </c>
      <c r="O1179">
        <f t="shared" si="134"/>
        <v>176.29469744461116</v>
      </c>
      <c r="P1179">
        <f t="shared" si="135"/>
        <v>-1.013904982618769E-2</v>
      </c>
      <c r="Q1179">
        <f t="shared" si="126"/>
        <v>4.0872715106429654E-2</v>
      </c>
      <c r="R1179">
        <f t="shared" si="127"/>
        <v>1</v>
      </c>
      <c r="S1179">
        <f t="shared" si="129"/>
        <v>5.658388267069749</v>
      </c>
      <c r="T1179" s="564">
        <f>IF((I1179-MAX(I$470:I1179))/MAX(I$470:I1179)&gt;T1178,T1178,(I1179-MAX(I$470:I1179))/MAX(I$470:I1179))</f>
        <v>-0.91338805338419748</v>
      </c>
      <c r="U1179" s="564">
        <f>IF((J1179-MAX(J$470:J1179))/MAX(J$470:J1179)&gt;U1178,U1178,(J1179-MAX(J$470:J1179))/MAX(J$470:J1179))</f>
        <v>-0.70517826086956548</v>
      </c>
      <c r="V1179" s="564">
        <f>IF((K1179-MAX(K$470:K1179))/MAX(K$470:K1179)&gt;V1178,V1178,(K1179-MAX(K$470:K1179))/MAX(K$470:K1179))</f>
        <v>-0.80725522782524772</v>
      </c>
      <c r="W1179" s="564">
        <f>IF((N1179-MAX(N$470:N1179))/MAX(N$470:N1179)&gt;W1178,W1178,(N1179-MAX(N$470:N1179))/MAX(N$470:N1179))</f>
        <v>-0.62788758315546067</v>
      </c>
      <c r="X1179" s="564">
        <f>IF((O1179-MAX(O$470:O1179))/MAX(O$470:O1179)&gt;X1178,X1178,(O1179-MAX(O$470:O1179))/MAX(O$470:O1179))</f>
        <v>-0.62788758315546067</v>
      </c>
    </row>
    <row r="1180" spans="1:24">
      <c r="A1180" s="799">
        <v>41582</v>
      </c>
      <c r="B1180">
        <v>216.48</v>
      </c>
      <c r="C1180">
        <v>89.143848000000006</v>
      </c>
      <c r="D1180">
        <v>3.1028570000000002</v>
      </c>
      <c r="E1180">
        <f>LN(D1180/参数实验室!$E$53)/参数实验室!$E$55</f>
        <v>0.64289379244006906</v>
      </c>
      <c r="F1180">
        <f t="shared" si="128"/>
        <v>0.41178791574279383</v>
      </c>
      <c r="G1180">
        <f>LN(F1180/参数实验室!$E$58)/参数实验室!$E$59</f>
        <v>-0.65620511047767227</v>
      </c>
      <c r="H1180" s="856">
        <f>INDEX(神经网络!$G$10:$BO$70,MATCH(ROUND(G1180*2,1)/2,神经网络!$E$10:$E$70,0),MATCH(ROUND(E1180*2,1)/2,神经网络!$G$8:$BO$8,0))</f>
        <v>-0.34525889942089255</v>
      </c>
      <c r="I1180">
        <f t="shared" si="130"/>
        <v>76.746525042820977</v>
      </c>
      <c r="J1180">
        <f t="shared" si="131"/>
        <v>86.381229799289699</v>
      </c>
      <c r="K1180">
        <f t="shared" si="132"/>
        <v>0.88846298230697396</v>
      </c>
      <c r="L1180" s="4">
        <f>MIN(MAX(L1179*(1+MAX(MIN(((B1180-B1179)/B1179)/($K$7*卓尔金历!$N$40),0),-卓尔金历!$M$43))+MIN(MAX(((B1180-B1179)/B1179)/($K$7*卓尔金历!$N$40),0),卓尔金历!$M$43),0),1)</f>
        <v>1</v>
      </c>
      <c r="M1180" s="4">
        <f>MIN(MAX(M1179*(1+MAX(MIN(((B1180-B1179)/B1179)/($K$7*30),0),-卓尔金历!$M$43))+MIN(MAX(((B1180-B1179)/B1179)/($K$7*7),0),卓尔金历!$M$43),0),1)</f>
        <v>1</v>
      </c>
      <c r="N1180">
        <f t="shared" si="133"/>
        <v>125.13244782836647</v>
      </c>
      <c r="O1180">
        <f t="shared" si="134"/>
        <v>172.37641171121442</v>
      </c>
      <c r="P1180">
        <f t="shared" si="135"/>
        <v>5.5896985659935512E-2</v>
      </c>
      <c r="Q1180">
        <f t="shared" si="126"/>
        <v>4.1345135561076725E-2</v>
      </c>
      <c r="R1180">
        <f t="shared" si="127"/>
        <v>2.854731566955189E-2</v>
      </c>
      <c r="S1180">
        <f t="shared" si="129"/>
        <v>5.5220671288301277</v>
      </c>
      <c r="T1180" s="564">
        <f>IF((I1180-MAX(I$470:I1180))/MAX(I$470:I1180)&gt;T1179,T1179,(I1180-MAX(I$470:I1180))/MAX(I$470:I1180))</f>
        <v>-0.91338805338419748</v>
      </c>
      <c r="U1180" s="564">
        <f>IF((J1180-MAX(J$470:J1180))/MAX(J$470:J1180)&gt;U1179,U1179,(J1180-MAX(J$470:J1180))/MAX(J$470:J1180))</f>
        <v>-0.70517826086956548</v>
      </c>
      <c r="V1180" s="564">
        <f>IF((K1180-MAX(K$470:K1180))/MAX(K$470:K1180)&gt;V1179,V1179,(K1180-MAX(K$470:K1180))/MAX(K$470:K1180))</f>
        <v>-0.80725522782524772</v>
      </c>
      <c r="W1180" s="564">
        <f>IF((N1180-MAX(N$470:N1180))/MAX(N$470:N1180)&gt;W1179,W1179,(N1180-MAX(N$470:N1180))/MAX(N$470:N1180))</f>
        <v>-0.62788758315546067</v>
      </c>
      <c r="X1180" s="564">
        <f>IF((O1180-MAX(O$470:O1180))/MAX(O$470:O1180)&gt;X1179,X1179,(O1180-MAX(O$470:O1180))/MAX(O$470:O1180))</f>
        <v>-0.62788758315546067</v>
      </c>
    </row>
    <row r="1181" spans="1:24">
      <c r="A1181" s="799">
        <v>41583</v>
      </c>
      <c r="B1181">
        <v>230.43</v>
      </c>
      <c r="C1181">
        <v>89.741173000000003</v>
      </c>
      <c r="D1181">
        <v>3.2355079999999998</v>
      </c>
      <c r="E1181">
        <f>LN(D1181/参数实验室!$E$53)/参数实验室!$E$55</f>
        <v>0.69228138735164513</v>
      </c>
      <c r="F1181">
        <f t="shared" si="128"/>
        <v>0.38945090916981295</v>
      </c>
      <c r="G1181">
        <f>LN(F1181/参数实验室!$E$58)/参数实验室!$E$59</f>
        <v>-0.68547654972042849</v>
      </c>
      <c r="H1181" s="856">
        <f>INDEX(神经网络!$G$10:$BO$70,MATCH(ROUND(G1181*2,1)/2,神经网络!$E$10:$E$70,0),MATCH(ROUND(E1181*2,1)/2,神经网络!$G$8:$BO$8,0))</f>
        <v>-0.37375598218763145</v>
      </c>
      <c r="I1181">
        <f t="shared" si="130"/>
        <v>75.039027723203731</v>
      </c>
      <c r="J1181">
        <f t="shared" si="131"/>
        <v>91.947647739515546</v>
      </c>
      <c r="K1181">
        <f t="shared" si="132"/>
        <v>0.81610600779898856</v>
      </c>
      <c r="L1181" s="4">
        <f>MIN(MAX(L1180*(1+MAX(MIN(((B1181-B1180)/B1180)/($K$7*卓尔金历!$N$40),0),-卓尔金历!$M$43))+MIN(MAX(((B1181-B1180)/B1180)/($K$7*卓尔金历!$N$40),0),卓尔金历!$M$43),0),1)</f>
        <v>1</v>
      </c>
      <c r="M1181" s="4">
        <f>MIN(MAX(M1180*(1+MAX(MIN(((B1181-B1180)/B1180)/($K$7*30),0),-卓尔金历!$M$43))+MIN(MAX(((B1181-B1180)/B1180)/($K$7*7),0),卓尔金历!$M$43),0),1)</f>
        <v>1</v>
      </c>
      <c r="N1181">
        <f t="shared" si="133"/>
        <v>122.34843488257034</v>
      </c>
      <c r="O1181">
        <f t="shared" si="134"/>
        <v>168.54129004547238</v>
      </c>
      <c r="P1181">
        <f t="shared" si="135"/>
        <v>6.4440133037694095E-2</v>
      </c>
      <c r="Q1181">
        <f t="shared" si="126"/>
        <v>4.1914957245193618E-2</v>
      </c>
      <c r="R1181">
        <f t="shared" si="127"/>
        <v>2.3562845591119083E-2</v>
      </c>
      <c r="S1181">
        <f t="shared" si="129"/>
        <v>5.5185598663492197</v>
      </c>
      <c r="T1181" s="564">
        <f>IF((I1181-MAX(I$470:I1181))/MAX(I$470:I1181)&gt;T1180,T1180,(I1181-MAX(I$470:I1181))/MAX(I$470:I1181))</f>
        <v>-0.91338805338419748</v>
      </c>
      <c r="U1181" s="564">
        <f>IF((J1181-MAX(J$470:J1181))/MAX(J$470:J1181)&gt;U1180,U1180,(J1181-MAX(J$470:J1181))/MAX(J$470:J1181))</f>
        <v>-0.70517826086956548</v>
      </c>
      <c r="V1181" s="564">
        <f>IF((K1181-MAX(K$470:K1181))/MAX(K$470:K1181)&gt;V1180,V1180,(K1181-MAX(K$470:K1181))/MAX(K$470:K1181))</f>
        <v>-0.80725522782524772</v>
      </c>
      <c r="W1181" s="564">
        <f>IF((N1181-MAX(N$470:N1181))/MAX(N$470:N1181)&gt;W1180,W1180,(N1181-MAX(N$470:N1181))/MAX(N$470:N1181))</f>
        <v>-0.62788758315546067</v>
      </c>
      <c r="X1181" s="564">
        <f>IF((O1181-MAX(O$470:O1181))/MAX(O$470:O1181)&gt;X1180,X1180,(O1181-MAX(O$470:O1181))/MAX(O$470:O1181))</f>
        <v>-0.62788758315546067</v>
      </c>
    </row>
    <row r="1182" spans="1:24">
      <c r="A1182" s="799">
        <v>41584</v>
      </c>
      <c r="B1182">
        <v>256.82</v>
      </c>
      <c r="C1182">
        <v>89.528121999999996</v>
      </c>
      <c r="D1182">
        <v>3.4423849999999998</v>
      </c>
      <c r="E1182">
        <f>LN(D1182/参数实验室!$E$53)/参数实验室!$E$55</f>
        <v>0.76540083824950622</v>
      </c>
      <c r="F1182">
        <f t="shared" si="128"/>
        <v>0.3486026088310879</v>
      </c>
      <c r="G1182">
        <f>LN(F1182/参数实验室!$E$58)/参数实验室!$E$59</f>
        <v>-0.74363310959283047</v>
      </c>
      <c r="H1182" s="856">
        <f>INDEX(神经网络!$G$10:$BO$70,MATCH(ROUND(G1182*2,1)/2,神经网络!$E$10:$E$70,0),MATCH(ROUND(E1182*2,1)/2,神经网络!$G$8:$BO$8,0))</f>
        <v>-0.39783768342862869</v>
      </c>
      <c r="I1182">
        <f t="shared" si="130"/>
        <v>71.827026357995592</v>
      </c>
      <c r="J1182">
        <f t="shared" si="131"/>
        <v>102.47795379274565</v>
      </c>
      <c r="K1182">
        <f t="shared" si="132"/>
        <v>0.70090223018368059</v>
      </c>
      <c r="L1182" s="4">
        <f>MIN(MAX(L1181*(1+MAX(MIN(((B1182-B1181)/B1181)/($K$7*卓尔金历!$N$40),0),-卓尔金历!$M$43))+MIN(MAX(((B1182-B1181)/B1181)/($K$7*卓尔金历!$N$40),0),卓尔金历!$M$43),0),1)</f>
        <v>1</v>
      </c>
      <c r="M1182" s="4">
        <f>MIN(MAX(M1181*(1+MAX(MIN(((B1182-B1181)/B1181)/($K$7*30),0),-卓尔金历!$M$43))+MIN(MAX(((B1182-B1181)/B1181)/($K$7*7),0),卓尔金历!$M$43),0),1)</f>
        <v>1</v>
      </c>
      <c r="N1182">
        <f t="shared" si="133"/>
        <v>117.11138222080758</v>
      </c>
      <c r="O1182">
        <f t="shared" si="134"/>
        <v>161.32697943743929</v>
      </c>
      <c r="P1182">
        <f t="shared" si="135"/>
        <v>0.11452501844377896</v>
      </c>
      <c r="Q1182">
        <f t="shared" si="126"/>
        <v>4.4209841019895654E-2</v>
      </c>
      <c r="R1182">
        <f t="shared" si="127"/>
        <v>2.0183775033955974E-3</v>
      </c>
      <c r="S1182">
        <f t="shared" si="129"/>
        <v>5.5129938815179322</v>
      </c>
      <c r="T1182" s="564">
        <f>IF((I1182-MAX(I$470:I1182))/MAX(I$470:I1182)&gt;T1181,T1181,(I1182-MAX(I$470:I1182))/MAX(I$470:I1182))</f>
        <v>-0.91338805338419748</v>
      </c>
      <c r="U1182" s="564">
        <f>IF((J1182-MAX(J$470:J1182))/MAX(J$470:J1182)&gt;U1181,U1181,(J1182-MAX(J$470:J1182))/MAX(J$470:J1182))</f>
        <v>-0.70517826086956548</v>
      </c>
      <c r="V1182" s="564">
        <f>IF((K1182-MAX(K$470:K1182))/MAX(K$470:K1182)&gt;V1181,V1181,(K1182-MAX(K$470:K1182))/MAX(K$470:K1182))</f>
        <v>-0.81620987545039014</v>
      </c>
      <c r="W1182" s="564">
        <f>IF((N1182-MAX(N$470:N1182))/MAX(N$470:N1182)&gt;W1181,W1181,(N1182-MAX(N$470:N1182))/MAX(N$470:N1182))</f>
        <v>-0.62788758315546067</v>
      </c>
      <c r="X1182" s="564">
        <f>IF((O1182-MAX(O$470:O1182))/MAX(O$470:O1182)&gt;X1181,X1181,(O1182-MAX(O$470:O1182))/MAX(O$470:O1182))</f>
        <v>-0.62788758315546067</v>
      </c>
    </row>
    <row r="1183" spans="1:24">
      <c r="A1183" s="799">
        <v>41585</v>
      </c>
      <c r="B1183">
        <v>294.20999999999998</v>
      </c>
      <c r="C1183">
        <v>90.380415999999997</v>
      </c>
      <c r="D1183">
        <v>3.6503329999999998</v>
      </c>
      <c r="E1183">
        <f>LN(D1183/参数实验室!$E$53)/参数实验室!$E$55</f>
        <v>0.83459790947645862</v>
      </c>
      <c r="F1183">
        <f t="shared" si="128"/>
        <v>0.30719695455626933</v>
      </c>
      <c r="G1183">
        <f>LN(F1183/参数实验室!$E$58)/参数实验室!$E$59</f>
        <v>-0.80999750707580975</v>
      </c>
      <c r="H1183" s="856">
        <f>INDEX(神经网络!$G$10:$BO$70,MATCH(ROUND(G1183*2,1)/2,神经网络!$E$10:$E$70,0),MATCH(ROUND(E1183*2,1)/2,神经网络!$G$8:$BO$8,0))</f>
        <v>1.401942904429285</v>
      </c>
      <c r="I1183">
        <f t="shared" si="130"/>
        <v>67.666766791904251</v>
      </c>
      <c r="J1183">
        <f t="shared" si="131"/>
        <v>117.39754997805349</v>
      </c>
      <c r="K1183">
        <f t="shared" si="132"/>
        <v>0.57638994003328003</v>
      </c>
      <c r="L1183" s="4">
        <f>MIN(MAX(L1182*(1+MAX(MIN(((B1183-B1182)/B1182)/($K$7*卓尔金历!$N$40),0),-卓尔金历!$M$43))+MIN(MAX(((B1183-B1182)/B1182)/($K$7*卓尔金历!$N$40),0),卓尔金历!$M$43),0),1)</f>
        <v>1</v>
      </c>
      <c r="M1183" s="4">
        <f>MIN(MAX(M1182*(1+MAX(MIN(((B1183-B1182)/B1182)/($K$7*30),0),-卓尔金历!$M$43))+MIN(MAX(((B1183-B1182)/B1182)/($K$7*7),0),卓尔金历!$M$43),0),1)</f>
        <v>1</v>
      </c>
      <c r="N1183">
        <f t="shared" si="133"/>
        <v>110.328228679772</v>
      </c>
      <c r="O1183">
        <f t="shared" si="134"/>
        <v>151.98283499063922</v>
      </c>
      <c r="P1183">
        <f t="shared" si="135"/>
        <v>0.1455883498169924</v>
      </c>
      <c r="Q1183">
        <f t="shared" si="126"/>
        <v>4.7599656616980103E-2</v>
      </c>
      <c r="R1183">
        <f t="shared" si="127"/>
        <v>0</v>
      </c>
      <c r="S1183">
        <f t="shared" si="129"/>
        <v>5.512349382220421</v>
      </c>
      <c r="T1183" s="564">
        <f>IF((I1183-MAX(I$470:I1183))/MAX(I$470:I1183)&gt;T1182,T1182,(I1183-MAX(I$470:I1183))/MAX(I$470:I1183))</f>
        <v>-0.91338805338419748</v>
      </c>
      <c r="U1183" s="564">
        <f>IF((J1183-MAX(J$470:J1183))/MAX(J$470:J1183)&gt;U1182,U1182,(J1183-MAX(J$470:J1183))/MAX(J$470:J1183))</f>
        <v>-0.70517826086956548</v>
      </c>
      <c r="V1183" s="564">
        <f>IF((K1183-MAX(K$470:K1183))/MAX(K$470:K1183)&gt;V1182,V1182,(K1183-MAX(K$470:K1183))/MAX(K$470:K1183))</f>
        <v>-0.84885940676762139</v>
      </c>
      <c r="W1183" s="564">
        <f>IF((N1183-MAX(N$470:N1183))/MAX(N$470:N1183)&gt;W1182,W1182,(N1183-MAX(N$470:N1183))/MAX(N$470:N1183))</f>
        <v>-0.62788758315546067</v>
      </c>
      <c r="X1183" s="564">
        <f>IF((O1183-MAX(O$470:O1183))/MAX(O$470:O1183)&gt;X1182,X1182,(O1183-MAX(O$470:O1183))/MAX(O$470:O1183))</f>
        <v>-0.62788758315546067</v>
      </c>
    </row>
    <row r="1184" spans="1:24">
      <c r="A1184" s="799">
        <v>41586</v>
      </c>
      <c r="B1184">
        <v>319.81</v>
      </c>
      <c r="C1184">
        <v>92.529996999999995</v>
      </c>
      <c r="D1184">
        <v>4.0500439999999998</v>
      </c>
      <c r="E1184">
        <f>LN(D1184/参数实验室!$E$53)/参数实验室!$E$55</f>
        <v>0.95718530097609766</v>
      </c>
      <c r="F1184">
        <f t="shared" si="128"/>
        <v>0.28932802914230321</v>
      </c>
      <c r="G1184">
        <f>LN(F1184/参数实验室!$E$58)/参数实验室!$E$59</f>
        <v>-0.84145095717995466</v>
      </c>
      <c r="H1184" s="856">
        <f>INDEX(神经网络!$G$10:$BO$70,MATCH(ROUND(G1184*2,1)/2,神经网络!$E$10:$E$70,0),MATCH(ROUND(E1184*2,1)/2,神经网络!$G$8:$BO$8,0))</f>
        <v>1.2562688719011026</v>
      </c>
      <c r="I1184">
        <f t="shared" si="130"/>
        <v>75.92121958202452</v>
      </c>
      <c r="J1184">
        <f t="shared" si="131"/>
        <v>127.61262519452531</v>
      </c>
      <c r="K1184">
        <f t="shared" si="132"/>
        <v>0.59493501890032119</v>
      </c>
      <c r="L1184" s="4">
        <f>MIN(MAX(L1183*(1+MAX(MIN(((B1184-B1183)/B1183)/($K$7*卓尔金历!$N$40),0),-卓尔金历!$M$43))+MIN(MAX(((B1184-B1183)/B1183)/($K$7*卓尔金历!$N$40),0),卓尔金历!$M$43),0),1)</f>
        <v>1</v>
      </c>
      <c r="M1184" s="4">
        <f>MIN(MAX(M1183*(1+MAX(MIN(((B1184-B1183)/B1183)/($K$7*30),0),-卓尔金历!$M$43))+MIN(MAX(((B1184-B1183)/B1183)/($K$7*7),0),卓尔金历!$M$43),0),1)</f>
        <v>1</v>
      </c>
      <c r="N1184">
        <f t="shared" si="133"/>
        <v>123.78681696810334</v>
      </c>
      <c r="O1184">
        <f t="shared" si="134"/>
        <v>170.52273568069205</v>
      </c>
      <c r="P1184">
        <f t="shared" si="135"/>
        <v>8.7012678019102091E-2</v>
      </c>
      <c r="Q1184">
        <f t="shared" si="126"/>
        <v>4.8609553097030689E-2</v>
      </c>
      <c r="R1184">
        <f t="shared" si="127"/>
        <v>1.9885529807076772E-2</v>
      </c>
      <c r="S1184">
        <f t="shared" si="129"/>
        <v>5.512349382220421</v>
      </c>
      <c r="T1184" s="564">
        <f>IF((I1184-MAX(I$470:I1184))/MAX(I$470:I1184)&gt;T1183,T1183,(I1184-MAX(I$470:I1184))/MAX(I$470:I1184))</f>
        <v>-0.91338805338419748</v>
      </c>
      <c r="U1184" s="564">
        <f>IF((J1184-MAX(J$470:J1184))/MAX(J$470:J1184)&gt;U1183,U1183,(J1184-MAX(J$470:J1184))/MAX(J$470:J1184))</f>
        <v>-0.70517826086956548</v>
      </c>
      <c r="V1184" s="564">
        <f>IF((K1184-MAX(K$470:K1184))/MAX(K$470:K1184)&gt;V1183,V1183,(K1184-MAX(K$470:K1184))/MAX(K$470:K1184))</f>
        <v>-0.84885940676762139</v>
      </c>
      <c r="W1184" s="564">
        <f>IF((N1184-MAX(N$470:N1184))/MAX(N$470:N1184)&gt;W1183,W1183,(N1184-MAX(N$470:N1184))/MAX(N$470:N1184))</f>
        <v>-0.62788758315546067</v>
      </c>
      <c r="X1184" s="564">
        <f>IF((O1184-MAX(O$470:O1184))/MAX(O$470:O1184)&gt;X1183,X1183,(O1184-MAX(O$470:O1184))/MAX(O$470:O1184))</f>
        <v>-0.62788758315546067</v>
      </c>
    </row>
    <row r="1185" spans="1:24">
      <c r="A1185" s="799">
        <v>41587</v>
      </c>
      <c r="B1185">
        <v>353.33</v>
      </c>
      <c r="C1185">
        <v>94.707892000000001</v>
      </c>
      <c r="D1185">
        <v>3.931826</v>
      </c>
      <c r="E1185">
        <f>LN(D1185/参数实验室!$E$53)/参数实验室!$E$55</f>
        <v>0.92223653126304816</v>
      </c>
      <c r="F1185">
        <f t="shared" si="128"/>
        <v>0.26804373248804236</v>
      </c>
      <c r="G1185">
        <f>LN(F1185/参数实验室!$E$58)/参数实验室!$E$59</f>
        <v>-0.88155555072637437</v>
      </c>
      <c r="H1185" s="856">
        <f>INDEX(神经网络!$G$10:$BO$70,MATCH(ROUND(G1185*2,1)/2,神经网络!$E$10:$E$70,0),MATCH(ROUND(E1185*2,1)/2,神经网络!$G$8:$BO$8,0))</f>
        <v>-0.3478615865227126</v>
      </c>
      <c r="I1185">
        <f t="shared" si="130"/>
        <v>85.917944583429588</v>
      </c>
      <c r="J1185">
        <f t="shared" si="131"/>
        <v>140.98798930609306</v>
      </c>
      <c r="K1185">
        <f t="shared" si="132"/>
        <v>0.60939903467164691</v>
      </c>
      <c r="L1185" s="4">
        <f>MIN(MAX(L1184*(1+MAX(MIN(((B1185-B1184)/B1184)/($K$7*卓尔金历!$N$40),0),-卓尔金历!$M$43))+MIN(MAX(((B1185-B1184)/B1184)/($K$7*卓尔金历!$N$40),0),卓尔金历!$M$43),0),1)</f>
        <v>1</v>
      </c>
      <c r="M1185" s="4">
        <f>MIN(MAX(M1184*(1+MAX(MIN(((B1185-B1184)/B1184)/($K$7*30),0),-卓尔金历!$M$43))+MIN(MAX(((B1185-B1184)/B1184)/($K$7*7),0),卓尔金历!$M$43),0),1)</f>
        <v>1</v>
      </c>
      <c r="N1185">
        <f t="shared" si="133"/>
        <v>140.08611741193315</v>
      </c>
      <c r="O1185">
        <f t="shared" si="134"/>
        <v>192.97586412715299</v>
      </c>
      <c r="P1185">
        <f t="shared" si="135"/>
        <v>0.10481223226290605</v>
      </c>
      <c r="Q1185">
        <f t="shared" si="126"/>
        <v>4.7981466251734807E-2</v>
      </c>
      <c r="R1185">
        <f t="shared" si="127"/>
        <v>1.0628203238855069E-2</v>
      </c>
      <c r="S1185">
        <f t="shared" si="129"/>
        <v>5.5267827763794966</v>
      </c>
      <c r="T1185" s="564">
        <f>IF((I1185-MAX(I$470:I1185))/MAX(I$470:I1185)&gt;T1184,T1184,(I1185-MAX(I$470:I1185))/MAX(I$470:I1185))</f>
        <v>-0.91338805338419748</v>
      </c>
      <c r="U1185" s="564">
        <f>IF((J1185-MAX(J$470:J1185))/MAX(J$470:J1185)&gt;U1184,U1184,(J1185-MAX(J$470:J1185))/MAX(J$470:J1185))</f>
        <v>-0.70517826086956548</v>
      </c>
      <c r="V1185" s="564">
        <f>IF((K1185-MAX(K$470:K1185))/MAX(K$470:K1185)&gt;V1184,V1184,(K1185-MAX(K$470:K1185))/MAX(K$470:K1185))</f>
        <v>-0.84885940676762139</v>
      </c>
      <c r="W1185" s="564">
        <f>IF((N1185-MAX(N$470:N1185))/MAX(N$470:N1185)&gt;W1184,W1184,(N1185-MAX(N$470:N1185))/MAX(N$470:N1185))</f>
        <v>-0.62788758315546067</v>
      </c>
      <c r="X1185" s="564">
        <f>IF((O1185-MAX(O$470:O1185))/MAX(O$470:O1185)&gt;X1184,X1184,(O1185-MAX(O$470:O1185))/MAX(O$470:O1185))</f>
        <v>-0.62788758315546067</v>
      </c>
    </row>
    <row r="1186" spans="1:24">
      <c r="A1186" s="799">
        <v>41588</v>
      </c>
      <c r="B1186">
        <v>315.76</v>
      </c>
      <c r="C1186">
        <v>95.495716000000002</v>
      </c>
      <c r="D1186">
        <v>3.8341449999999999</v>
      </c>
      <c r="E1186">
        <f>LN(D1186/参数实验室!$E$53)/参数实验室!$E$55</f>
        <v>0.89255690601758075</v>
      </c>
      <c r="F1186">
        <f t="shared" si="128"/>
        <v>0.30243132759057512</v>
      </c>
      <c r="G1186">
        <f>LN(F1186/参数实验室!$E$58)/参数实验室!$E$59</f>
        <v>-0.81820352246662409</v>
      </c>
      <c r="H1186" s="856">
        <f>INDEX(神经网络!$G$10:$BO$70,MATCH(ROUND(G1186*2,1)/2,神经网络!$E$10:$E$70,0),MATCH(ROUND(E1186*2,1)/2,神经网络!$G$8:$BO$8,0))</f>
        <v>1.4175491855416542</v>
      </c>
      <c r="I1186">
        <f t="shared" si="130"/>
        <v>89.095923662292222</v>
      </c>
      <c r="J1186">
        <f t="shared" si="131"/>
        <v>125.9965683731694</v>
      </c>
      <c r="K1186">
        <f t="shared" si="132"/>
        <v>0.7071297640298666</v>
      </c>
      <c r="L1186" s="4">
        <f>MIN(MAX(L1185*(1+MAX(MIN(((B1186-B1185)/B1185)/($K$7*卓尔金历!$N$40),0),-卓尔金历!$M$43))+MIN(MAX(((B1186-B1185)/B1185)/($K$7*卓尔金历!$N$40),0),卓尔金历!$M$43),0),1)</f>
        <v>0</v>
      </c>
      <c r="M1186" s="4">
        <f>MIN(MAX(M1185*(1+MAX(MIN(((B1186-B1185)/B1185)/($K$7*30),0),-卓尔金历!$M$43))+MIN(MAX(((B1186-B1185)/B1185)/($K$7*7),0),卓尔金历!$M$43),0),1)</f>
        <v>0.18768071382550833</v>
      </c>
      <c r="N1186">
        <f t="shared" si="133"/>
        <v>145.2676979598933</v>
      </c>
      <c r="O1186">
        <f t="shared" si="134"/>
        <v>200.1137590325184</v>
      </c>
      <c r="P1186">
        <f t="shared" si="135"/>
        <v>-0.10633119180369624</v>
      </c>
      <c r="Q1186">
        <f t="shared" si="126"/>
        <v>5.6698302551790175E-2</v>
      </c>
      <c r="R1186">
        <f t="shared" si="127"/>
        <v>1.7810029281501209E-2</v>
      </c>
      <c r="S1186">
        <f t="shared" si="129"/>
        <v>5.528955474562431</v>
      </c>
      <c r="T1186" s="564">
        <f>IF((I1186-MAX(I$470:I1186))/MAX(I$470:I1186)&gt;T1185,T1185,(I1186-MAX(I$470:I1186))/MAX(I$470:I1186))</f>
        <v>-0.91338805338419748</v>
      </c>
      <c r="U1186" s="564">
        <f>IF((J1186-MAX(J$470:J1186))/MAX(J$470:J1186)&gt;U1185,U1185,(J1186-MAX(J$470:J1186))/MAX(J$470:J1186))</f>
        <v>-0.70517826086956548</v>
      </c>
      <c r="V1186" s="564">
        <f>IF((K1186-MAX(K$470:K1186))/MAX(K$470:K1186)&gt;V1185,V1185,(K1186-MAX(K$470:K1186))/MAX(K$470:K1186))</f>
        <v>-0.84885940676762139</v>
      </c>
      <c r="W1186" s="564">
        <f>IF((N1186-MAX(N$470:N1186))/MAX(N$470:N1186)&gt;W1185,W1185,(N1186-MAX(N$470:N1186))/MAX(N$470:N1186))</f>
        <v>-0.62788758315546067</v>
      </c>
      <c r="X1186" s="564">
        <f>IF((O1186-MAX(O$470:O1186))/MAX(O$470:O1186)&gt;X1185,X1185,(O1186-MAX(O$470:O1186))/MAX(O$470:O1186))</f>
        <v>-0.62788758315546067</v>
      </c>
    </row>
    <row r="1187" spans="1:24">
      <c r="A1187" s="799">
        <v>41589</v>
      </c>
      <c r="B1187">
        <v>332.41</v>
      </c>
      <c r="C1187">
        <v>96.943558999999993</v>
      </c>
      <c r="D1187">
        <v>3.9360179999999998</v>
      </c>
      <c r="E1187">
        <f>LN(D1187/参数实验室!$E$53)/参数实验室!$E$55</f>
        <v>0.92349368025245504</v>
      </c>
      <c r="F1187">
        <f t="shared" si="128"/>
        <v>0.291638515688457</v>
      </c>
      <c r="G1187">
        <f>LN(F1187/参数实验室!$E$58)/参数实验室!$E$59</f>
        <v>-0.83727627755549294</v>
      </c>
      <c r="H1187" s="856">
        <f>INDEX(神经网络!$G$10:$BO$70,MATCH(ROUND(G1187*2,1)/2,神经网络!$E$10:$E$70,0),MATCH(ROUND(E1187*2,1)/2,神经网络!$G$8:$BO$8,0))</f>
        <v>1.2543252217009551</v>
      </c>
      <c r="I1187">
        <f t="shared" si="130"/>
        <v>95.755599585384729</v>
      </c>
      <c r="J1187">
        <f t="shared" si="131"/>
        <v>132.64035752763252</v>
      </c>
      <c r="K1187">
        <f t="shared" si="132"/>
        <v>0.72191904010388608</v>
      </c>
      <c r="L1187" s="4">
        <f>MIN(MAX(L1186*(1+MAX(MIN(((B1187-B1186)/B1186)/($K$7*卓尔金历!$N$40),0),-卓尔金历!$M$43))+MIN(MAX(((B1187-B1186)/B1186)/($K$7*卓尔金历!$N$40),0),卓尔金历!$M$43),0),1)</f>
        <v>0.80566259877839763</v>
      </c>
      <c r="M1187" s="4">
        <f>MIN(MAX(M1186*(1+MAX(MIN(((B1187-B1186)/B1186)/($K$7*30),0),-卓尔金历!$M$43))+MIN(MAX(((B1187-B1186)/B1186)/($K$7*7),0),卓尔金历!$M$43),0),1)</f>
        <v>1</v>
      </c>
      <c r="N1187">
        <f t="shared" si="133"/>
        <v>145.2676979598933</v>
      </c>
      <c r="O1187">
        <f t="shared" si="134"/>
        <v>202.92107863284494</v>
      </c>
      <c r="P1187">
        <f t="shared" si="135"/>
        <v>5.2729921459336311E-2</v>
      </c>
      <c r="Q1187">
        <f t="shared" si="126"/>
        <v>5.6891750995601412E-2</v>
      </c>
      <c r="R1187">
        <f t="shared" si="127"/>
        <v>0.13697281195934294</v>
      </c>
      <c r="S1187">
        <f t="shared" si="129"/>
        <v>5.5363159011809984</v>
      </c>
      <c r="T1187" s="564">
        <f>IF((I1187-MAX(I$470:I1187))/MAX(I$470:I1187)&gt;T1186,T1186,(I1187-MAX(I$470:I1187))/MAX(I$470:I1187))</f>
        <v>-0.91338805338419748</v>
      </c>
      <c r="U1187" s="564">
        <f>IF((J1187-MAX(J$470:J1187))/MAX(J$470:J1187)&gt;U1186,U1186,(J1187-MAX(J$470:J1187))/MAX(J$470:J1187))</f>
        <v>-0.70517826086956548</v>
      </c>
      <c r="V1187" s="564">
        <f>IF((K1187-MAX(K$470:K1187))/MAX(K$470:K1187)&gt;V1186,V1186,(K1187-MAX(K$470:K1187))/MAX(K$470:K1187))</f>
        <v>-0.84885940676762139</v>
      </c>
      <c r="W1187" s="564">
        <f>IF((N1187-MAX(N$470:N1187))/MAX(N$470:N1187)&gt;W1186,W1186,(N1187-MAX(N$470:N1187))/MAX(N$470:N1187))</f>
        <v>-0.62788758315546067</v>
      </c>
      <c r="X1187" s="564">
        <f>IF((O1187-MAX(O$470:O1187))/MAX(O$470:O1187)&gt;X1186,X1186,(O1187-MAX(O$470:O1187))/MAX(O$470:O1187))</f>
        <v>-0.62788758315546067</v>
      </c>
    </row>
    <row r="1188" spans="1:24">
      <c r="A1188" s="799">
        <v>41590</v>
      </c>
      <c r="B1188">
        <v>361.3</v>
      </c>
      <c r="C1188">
        <v>98.075986999999998</v>
      </c>
      <c r="D1188">
        <v>3.9774669999999999</v>
      </c>
      <c r="E1188">
        <f>LN(D1188/参数实验室!$E$53)/参数实验室!$E$55</f>
        <v>0.93585234129515649</v>
      </c>
      <c r="F1188">
        <f t="shared" si="128"/>
        <v>0.27145305009687237</v>
      </c>
      <c r="G1188">
        <f>LN(F1188/参数实验室!$E$58)/参数实验室!$E$59</f>
        <v>-0.87492189503281526</v>
      </c>
      <c r="H1188" s="856">
        <f>INDEX(神经网络!$G$10:$BO$70,MATCH(ROUND(G1188*2,1)/2,神经网络!$E$10:$E$70,0),MATCH(ROUND(E1188*2,1)/2,神经网络!$G$8:$BO$8,0))</f>
        <v>1.2562688719011026</v>
      </c>
      <c r="I1188">
        <f t="shared" si="130"/>
        <v>106.1943327573339</v>
      </c>
      <c r="J1188">
        <f t="shared" si="131"/>
        <v>144.16822951997119</v>
      </c>
      <c r="K1188">
        <f t="shared" si="132"/>
        <v>0.73660010330239312</v>
      </c>
      <c r="L1188" s="4">
        <f>MIN(MAX(L1187*(1+MAX(MIN(((B1188-B1187)/B1187)/($K$7*卓尔金历!$N$40),0),-卓尔金历!$M$43))+MIN(MAX(((B1188-B1187)/B1187)/($K$7*卓尔金历!$N$40),0),卓尔金历!$M$43),0),1)</f>
        <v>1</v>
      </c>
      <c r="M1188" s="4">
        <f>MIN(MAX(M1187*(1+MAX(MIN(((B1188-B1187)/B1187)/($K$7*30),0),-卓尔金历!$M$43))+MIN(MAX(((B1188-B1187)/B1187)/($K$7*7),0),卓尔金历!$M$43),0),1)</f>
        <v>1</v>
      </c>
      <c r="N1188">
        <f t="shared" si="133"/>
        <v>158.02638174324386</v>
      </c>
      <c r="O1188">
        <f t="shared" si="134"/>
        <v>225.04238541787072</v>
      </c>
      <c r="P1188">
        <f t="shared" si="135"/>
        <v>8.6910742757438056E-2</v>
      </c>
      <c r="Q1188">
        <f t="shared" si="126"/>
        <v>5.7133586662575453E-2</v>
      </c>
      <c r="R1188">
        <f t="shared" si="127"/>
        <v>3.3026259088890689E-2</v>
      </c>
      <c r="S1188">
        <f t="shared" si="129"/>
        <v>5.618984171538334</v>
      </c>
      <c r="T1188" s="564">
        <f>IF((I1188-MAX(I$470:I1188))/MAX(I$470:I1188)&gt;T1187,T1187,(I1188-MAX(I$470:I1188))/MAX(I$470:I1188))</f>
        <v>-0.91338805338419748</v>
      </c>
      <c r="U1188" s="564">
        <f>IF((J1188-MAX(J$470:J1188))/MAX(J$470:J1188)&gt;U1187,U1187,(J1188-MAX(J$470:J1188))/MAX(J$470:J1188))</f>
        <v>-0.70517826086956548</v>
      </c>
      <c r="V1188" s="564">
        <f>IF((K1188-MAX(K$470:K1188))/MAX(K$470:K1188)&gt;V1187,V1187,(K1188-MAX(K$470:K1188))/MAX(K$470:K1188))</f>
        <v>-0.84885940676762139</v>
      </c>
      <c r="W1188" s="564">
        <f>IF((N1188-MAX(N$470:N1188))/MAX(N$470:N1188)&gt;W1187,W1187,(N1188-MAX(N$470:N1188))/MAX(N$470:N1188))</f>
        <v>-0.62788758315546067</v>
      </c>
      <c r="X1188" s="564">
        <f>IF((O1188-MAX(O$470:O1188))/MAX(O$470:O1188)&gt;X1187,X1187,(O1188-MAX(O$470:O1188))/MAX(O$470:O1188))</f>
        <v>-0.62788758315546067</v>
      </c>
    </row>
    <row r="1189" spans="1:24">
      <c r="A1189" s="799">
        <v>41591</v>
      </c>
      <c r="B1189">
        <v>374.95</v>
      </c>
      <c r="C1189">
        <v>102.43676499999999</v>
      </c>
      <c r="D1189">
        <v>4.2842719999999996</v>
      </c>
      <c r="E1189">
        <f>LN(D1189/参数实验室!$E$53)/参数实验室!$E$55</f>
        <v>1.0235144465415349</v>
      </c>
      <c r="F1189">
        <f t="shared" si="128"/>
        <v>0.27320113348446456</v>
      </c>
      <c r="G1189">
        <f>LN(F1189/参数实验室!$E$58)/参数实验室!$E$59</f>
        <v>-0.87155281493879455</v>
      </c>
      <c r="H1189" s="856">
        <f>INDEX(神经网络!$G$10:$BO$70,MATCH(ROUND(G1189*2,1)/2,神经网络!$E$10:$E$70,0),MATCH(ROUND(E1189*2,1)/2,神经网络!$G$8:$BO$8,0))</f>
        <v>1.2831516323192527</v>
      </c>
      <c r="I1189">
        <f t="shared" si="130"/>
        <v>111.23454272827071</v>
      </c>
      <c r="J1189">
        <f t="shared" si="131"/>
        <v>149.61493954750401</v>
      </c>
      <c r="K1189">
        <f t="shared" si="132"/>
        <v>0.74347216303859021</v>
      </c>
      <c r="L1189" s="4">
        <f>MIN(MAX(L1188*(1+MAX(MIN(((B1189-B1188)/B1188)/($K$7*卓尔金历!$N$40),0),-卓尔金历!$M$43))+MIN(MAX(((B1189-B1188)/B1188)/($K$7*卓尔金历!$N$40),0),卓尔金历!$M$43),0),1)</f>
        <v>1</v>
      </c>
      <c r="M1189" s="4">
        <f>MIN(MAX(M1188*(1+MAX(MIN(((B1189-B1188)/B1188)/($K$7*30),0),-卓尔金历!$M$43))+MIN(MAX(((B1189-B1188)/B1188)/($K$7*7),0),卓尔金历!$M$43),0),1)</f>
        <v>1</v>
      </c>
      <c r="N1189">
        <f t="shared" si="133"/>
        <v>165.52665152462123</v>
      </c>
      <c r="O1189">
        <f t="shared" si="134"/>
        <v>235.7233779474671</v>
      </c>
      <c r="P1189">
        <f t="shared" si="135"/>
        <v>3.7780238029338435E-2</v>
      </c>
      <c r="Q1189">
        <f t="shared" si="126"/>
        <v>5.6968498635785597E-2</v>
      </c>
      <c r="R1189">
        <f t="shared" si="127"/>
        <v>0.4913113503740365</v>
      </c>
      <c r="S1189">
        <f t="shared" si="129"/>
        <v>5.627791911436284</v>
      </c>
      <c r="T1189" s="564">
        <f>IF((I1189-MAX(I$470:I1189))/MAX(I$470:I1189)&gt;T1188,T1188,(I1189-MAX(I$470:I1189))/MAX(I$470:I1189))</f>
        <v>-0.91338805338419748</v>
      </c>
      <c r="U1189" s="564">
        <f>IF((J1189-MAX(J$470:J1189))/MAX(J$470:J1189)&gt;U1188,U1188,(J1189-MAX(J$470:J1189))/MAX(J$470:J1189))</f>
        <v>-0.70517826086956548</v>
      </c>
      <c r="V1189" s="564">
        <f>IF((K1189-MAX(K$470:K1189))/MAX(K$470:K1189)&gt;V1188,V1188,(K1189-MAX(K$470:K1189))/MAX(K$470:K1189))</f>
        <v>-0.84885940676762139</v>
      </c>
      <c r="W1189" s="564">
        <f>IF((N1189-MAX(N$470:N1189))/MAX(N$470:N1189)&gt;W1188,W1188,(N1189-MAX(N$470:N1189))/MAX(N$470:N1189))</f>
        <v>-0.62788758315546067</v>
      </c>
      <c r="X1189" s="564">
        <f>IF((O1189-MAX(O$470:O1189))/MAX(O$470:O1189)&gt;X1188,X1188,(O1189-MAX(O$470:O1189))/MAX(O$470:O1189))</f>
        <v>-0.62788758315546067</v>
      </c>
    </row>
    <row r="1190" spans="1:24">
      <c r="A1190" s="799">
        <v>41592</v>
      </c>
      <c r="B1190">
        <v>408.52</v>
      </c>
      <c r="C1190">
        <v>106.785265</v>
      </c>
      <c r="D1190">
        <v>4.3759170000000003</v>
      </c>
      <c r="E1190">
        <f>LN(D1190/参数实验室!$E$53)/参数实验室!$E$55</f>
        <v>1.048484460989348</v>
      </c>
      <c r="F1190">
        <f t="shared" si="128"/>
        <v>0.26139543963575834</v>
      </c>
      <c r="G1190">
        <f>LN(F1190/参数实验室!$E$58)/参数实验室!$E$59</f>
        <v>-0.89473767623222933</v>
      </c>
      <c r="H1190" s="856">
        <f>INDEX(神经网络!$G$10:$BO$70,MATCH(ROUND(G1190*2,1)/2,神经网络!$E$10:$E$70,0),MATCH(ROUND(E1190*2,1)/2,神经网络!$G$8:$BO$8,0))</f>
        <v>1.0627038073511323</v>
      </c>
      <c r="I1190">
        <f t="shared" si="130"/>
        <v>124.01350646975428</v>
      </c>
      <c r="J1190">
        <f t="shared" si="131"/>
        <v>163.01025497785395</v>
      </c>
      <c r="K1190">
        <f t="shared" si="132"/>
        <v>0.76077119495704337</v>
      </c>
      <c r="L1190" s="4">
        <f>MIN(MAX(L1189*(1+MAX(MIN(((B1190-B1189)/B1189)/($K$7*卓尔金历!$N$40),0),-卓尔金历!$M$43))+MIN(MAX(((B1190-B1189)/B1189)/($K$7*卓尔金历!$N$40),0),卓尔金历!$M$43),0),1)</f>
        <v>1</v>
      </c>
      <c r="M1190" s="4">
        <f>MIN(MAX(M1189*(1+MAX(MIN(((B1190-B1189)/B1189)/($K$7*30),0),-卓尔金历!$M$43))+MIN(MAX(((B1190-B1189)/B1189)/($K$7*7),0),卓尔金历!$M$43),0),1)</f>
        <v>1</v>
      </c>
      <c r="N1190">
        <f t="shared" si="133"/>
        <v>184.54285841684157</v>
      </c>
      <c r="O1190">
        <f t="shared" si="134"/>
        <v>262.80399900210932</v>
      </c>
      <c r="P1190">
        <f t="shared" si="135"/>
        <v>8.9531937591678878E-2</v>
      </c>
      <c r="Q1190">
        <f t="shared" si="126"/>
        <v>5.6677479693048732E-2</v>
      </c>
      <c r="R1190">
        <f t="shared" si="127"/>
        <v>3.0921449538638721E-2</v>
      </c>
      <c r="S1190">
        <f t="shared" si="129"/>
        <v>5.9454433250907597</v>
      </c>
      <c r="T1190" s="564">
        <f>IF((I1190-MAX(I$470:I1190))/MAX(I$470:I1190)&gt;T1189,T1189,(I1190-MAX(I$470:I1190))/MAX(I$470:I1190))</f>
        <v>-0.91338805338419748</v>
      </c>
      <c r="U1190" s="564">
        <f>IF((J1190-MAX(J$470:J1190))/MAX(J$470:J1190)&gt;U1189,U1189,(J1190-MAX(J$470:J1190))/MAX(J$470:J1190))</f>
        <v>-0.70517826086956548</v>
      </c>
      <c r="V1190" s="564">
        <f>IF((K1190-MAX(K$470:K1190))/MAX(K$470:K1190)&gt;V1189,V1189,(K1190-MAX(K$470:K1190))/MAX(K$470:K1190))</f>
        <v>-0.84885940676762139</v>
      </c>
      <c r="W1190" s="564">
        <f>IF((N1190-MAX(N$470:N1190))/MAX(N$470:N1190)&gt;W1189,W1189,(N1190-MAX(N$470:N1190))/MAX(N$470:N1190))</f>
        <v>-0.62788758315546067</v>
      </c>
      <c r="X1190" s="564">
        <f>IF((O1190-MAX(O$470:O1190))/MAX(O$470:O1190)&gt;X1189,X1189,(O1190-MAX(O$470:O1190))/MAX(O$470:O1190))</f>
        <v>-0.62788758315546067</v>
      </c>
    </row>
    <row r="1191" spans="1:24">
      <c r="A1191" s="799">
        <v>41593</v>
      </c>
      <c r="B1191">
        <v>427.99</v>
      </c>
      <c r="C1191">
        <v>109.42519900000001</v>
      </c>
      <c r="D1191">
        <v>4.1928609999999997</v>
      </c>
      <c r="E1191">
        <f>LN(D1191/参数实验室!$E$53)/参数实验室!$E$55</f>
        <v>0.99807032433888654</v>
      </c>
      <c r="F1191">
        <f t="shared" si="128"/>
        <v>0.25567232645622562</v>
      </c>
      <c r="G1191">
        <f>LN(F1191/参数实验室!$E$58)/参数实验室!$E$59</f>
        <v>-0.90635674035469904</v>
      </c>
      <c r="H1191" s="856">
        <f>INDEX(神经网络!$G$10:$BO$70,MATCH(ROUND(G1191*2,1)/2,神经网络!$E$10:$E$70,0),MATCH(ROUND(E1191*2,1)/2,神经网络!$G$8:$BO$8,0))</f>
        <v>1.02918721783624</v>
      </c>
      <c r="I1191">
        <f t="shared" si="130"/>
        <v>130.29457963204402</v>
      </c>
      <c r="J1191">
        <f t="shared" si="131"/>
        <v>170.77929851163154</v>
      </c>
      <c r="K1191">
        <f t="shared" si="132"/>
        <v>0.76294129773094155</v>
      </c>
      <c r="L1191" s="4">
        <f>MIN(MAX(L1190*(1+MAX(MIN(((B1191-B1190)/B1190)/($K$7*卓尔金历!$N$40),0),-卓尔金历!$M$43))+MIN(MAX(((B1191-B1190)/B1190)/($K$7*卓尔金历!$N$40),0),卓尔金历!$M$43),0),1)</f>
        <v>1</v>
      </c>
      <c r="M1191" s="4">
        <f>MIN(MAX(M1190*(1+MAX(MIN(((B1191-B1190)/B1190)/($K$7*30),0),-卓尔金历!$M$43))+MIN(MAX(((B1191-B1190)/B1190)/($K$7*7),0),卓尔金历!$M$43),0),1)</f>
        <v>1</v>
      </c>
      <c r="N1191">
        <f t="shared" si="133"/>
        <v>193.88964029803094</v>
      </c>
      <c r="O1191">
        <f t="shared" si="134"/>
        <v>276.11457453588923</v>
      </c>
      <c r="P1191">
        <f t="shared" si="135"/>
        <v>4.7659845295212055E-2</v>
      </c>
      <c r="Q1191">
        <f t="shared" si="126"/>
        <v>5.4893137781489243E-2</v>
      </c>
      <c r="R1191">
        <f t="shared" si="127"/>
        <v>0.20598507788128739</v>
      </c>
      <c r="S1191">
        <f t="shared" si="129"/>
        <v>5.9547545957955519</v>
      </c>
      <c r="T1191" s="564">
        <f>IF((I1191-MAX(I$470:I1191))/MAX(I$470:I1191)&gt;T1190,T1190,(I1191-MAX(I$470:I1191))/MAX(I$470:I1191))</f>
        <v>-0.91338805338419748</v>
      </c>
      <c r="U1191" s="564">
        <f>IF((J1191-MAX(J$470:J1191))/MAX(J$470:J1191)&gt;U1190,U1190,(J1191-MAX(J$470:J1191))/MAX(J$470:J1191))</f>
        <v>-0.70517826086956548</v>
      </c>
      <c r="V1191" s="564">
        <f>IF((K1191-MAX(K$470:K1191))/MAX(K$470:K1191)&gt;V1190,V1190,(K1191-MAX(K$470:K1191))/MAX(K$470:K1191))</f>
        <v>-0.84885940676762139</v>
      </c>
      <c r="W1191" s="564">
        <f>IF((N1191-MAX(N$470:N1191))/MAX(N$470:N1191)&gt;W1190,W1190,(N1191-MAX(N$470:N1191))/MAX(N$470:N1191))</f>
        <v>-0.62788758315546067</v>
      </c>
      <c r="X1191" s="564">
        <f>IF((O1191-MAX(O$470:O1191))/MAX(O$470:O1191)&gt;X1190,X1190,(O1191-MAX(O$470:O1191))/MAX(O$470:O1191))</f>
        <v>-0.62788758315546067</v>
      </c>
    </row>
    <row r="1192" spans="1:24">
      <c r="A1192" s="799">
        <v>41594</v>
      </c>
      <c r="B1192">
        <v>441.28</v>
      </c>
      <c r="C1192">
        <v>108.013037</v>
      </c>
      <c r="D1192">
        <v>4.3870570000000004</v>
      </c>
      <c r="E1192">
        <f>LN(D1192/参数实验室!$E$53)/参数实验室!$E$55</f>
        <v>1.0514840038882958</v>
      </c>
      <c r="F1192">
        <f t="shared" si="128"/>
        <v>0.24477211067802757</v>
      </c>
      <c r="G1192">
        <f>LN(F1192/参数实验室!$E$58)/参数实验室!$E$59</f>
        <v>-0.92922412329558879</v>
      </c>
      <c r="H1192" s="856">
        <f>INDEX(神经网络!$G$10:$BO$70,MATCH(ROUND(G1192*2,1)/2,神经网络!$E$10:$E$70,0),MATCH(ROUND(E1192*2,1)/2,神经网络!$G$8:$BO$8,0))</f>
        <v>0.75131165428121305</v>
      </c>
      <c r="I1192">
        <f t="shared" si="130"/>
        <v>134.45859277826818</v>
      </c>
      <c r="J1192">
        <f t="shared" si="131"/>
        <v>176.08235904393271</v>
      </c>
      <c r="K1192">
        <f t="shared" si="132"/>
        <v>0.76361194561642964</v>
      </c>
      <c r="L1192" s="4">
        <f>MIN(MAX(L1191*(1+MAX(MIN(((B1192-B1191)/B1191)/($K$7*卓尔金历!$N$40),0),-卓尔金历!$M$43))+MIN(MAX(((B1192-B1191)/B1191)/($K$7*卓尔金历!$N$40),0),卓尔金历!$M$43),0),1)</f>
        <v>1</v>
      </c>
      <c r="M1192" s="4">
        <f>MIN(MAX(M1191*(1+MAX(MIN(((B1192-B1191)/B1191)/($K$7*30),0),-卓尔金历!$M$43))+MIN(MAX(((B1192-B1191)/B1191)/($K$7*7),0),卓尔金历!$M$43),0),1)</f>
        <v>1</v>
      </c>
      <c r="N1192">
        <f t="shared" si="133"/>
        <v>200.08605317566315</v>
      </c>
      <c r="O1192">
        <f t="shared" si="134"/>
        <v>284.93876907627953</v>
      </c>
      <c r="P1192">
        <f t="shared" si="135"/>
        <v>3.1052127386153795E-2</v>
      </c>
      <c r="Q1192">
        <f t="shared" si="126"/>
        <v>5.4071150039660579E-2</v>
      </c>
      <c r="R1192">
        <f t="shared" si="127"/>
        <v>0.63997216000874002</v>
      </c>
      <c r="S1192">
        <f t="shared" si="129"/>
        <v>5.9939545329901733</v>
      </c>
      <c r="T1192" s="564">
        <f>IF((I1192-MAX(I$470:I1192))/MAX(I$470:I1192)&gt;T1191,T1191,(I1192-MAX(I$470:I1192))/MAX(I$470:I1192))</f>
        <v>-0.91338805338419748</v>
      </c>
      <c r="U1192" s="564">
        <f>IF((J1192-MAX(J$470:J1192))/MAX(J$470:J1192)&gt;U1191,U1191,(J1192-MAX(J$470:J1192))/MAX(J$470:J1192))</f>
        <v>-0.70517826086956548</v>
      </c>
      <c r="V1192" s="564">
        <f>IF((K1192-MAX(K$470:K1192))/MAX(K$470:K1192)&gt;V1191,V1191,(K1192-MAX(K$470:K1192))/MAX(K$470:K1192))</f>
        <v>-0.84885940676762139</v>
      </c>
      <c r="W1192" s="564">
        <f>IF((N1192-MAX(N$470:N1192))/MAX(N$470:N1192)&gt;W1191,W1191,(N1192-MAX(N$470:N1192))/MAX(N$470:N1192))</f>
        <v>-0.62788758315546067</v>
      </c>
      <c r="X1192" s="564">
        <f>IF((O1192-MAX(O$470:O1192))/MAX(O$470:O1192)&gt;X1191,X1191,(O1192-MAX(O$470:O1192))/MAX(O$470:O1192))</f>
        <v>-0.62788758315546067</v>
      </c>
    </row>
    <row r="1193" spans="1:24">
      <c r="A1193" s="799">
        <v>41595</v>
      </c>
      <c r="B1193">
        <v>468.66</v>
      </c>
      <c r="C1193">
        <v>108.49395</v>
      </c>
      <c r="D1193">
        <v>4.7372540000000001</v>
      </c>
      <c r="E1193">
        <f>LN(D1193/参数实验室!$E$53)/参数实验室!$E$55</f>
        <v>1.1420879061938736</v>
      </c>
      <c r="F1193">
        <f t="shared" si="128"/>
        <v>0.2314982076558699</v>
      </c>
      <c r="G1193">
        <f>LN(F1193/参数实验室!$E$58)/参数实验室!$E$59</f>
        <v>-0.95848761554147266</v>
      </c>
      <c r="H1193" s="856">
        <f>INDEX(神经网络!$G$10:$BO$70,MATCH(ROUND(G1193*2,1)/2,神经网络!$E$10:$E$70,0),MATCH(ROUND(E1193*2,1)/2,神经网络!$G$8:$BO$8,0))</f>
        <v>1.0121517924916297</v>
      </c>
      <c r="I1193">
        <f t="shared" si="130"/>
        <v>140.7265768854401</v>
      </c>
      <c r="J1193">
        <f t="shared" si="131"/>
        <v>187.00770120904986</v>
      </c>
      <c r="K1193">
        <f t="shared" si="132"/>
        <v>0.75251754861221687</v>
      </c>
      <c r="L1193" s="4">
        <f>MIN(MAX(L1192*(1+MAX(MIN(((B1193-B1192)/B1192)/($K$7*卓尔金历!$N$40),0),-卓尔金历!$M$43))+MIN(MAX(((B1193-B1192)/B1192)/($K$7*卓尔金历!$N$40),0),卓尔金历!$M$43),0),1)</f>
        <v>1</v>
      </c>
      <c r="M1193" s="4">
        <f>MIN(MAX(M1192*(1+MAX(MIN(((B1193-B1192)/B1192)/($K$7*30),0),-卓尔金历!$M$43))+MIN(MAX(((B1193-B1192)/B1192)/($K$7*7),0),卓尔金历!$M$43),0),1)</f>
        <v>1</v>
      </c>
      <c r="N1193">
        <f t="shared" si="133"/>
        <v>209.41335740708533</v>
      </c>
      <c r="O1193">
        <f t="shared" si="134"/>
        <v>298.22160685692234</v>
      </c>
      <c r="P1193">
        <f t="shared" si="135"/>
        <v>6.204677302393051E-2</v>
      </c>
      <c r="Q1193">
        <f t="shared" si="126"/>
        <v>5.2499272804344826E-2</v>
      </c>
      <c r="R1193">
        <f t="shared" si="127"/>
        <v>4.5036445589033802E-2</v>
      </c>
      <c r="S1193">
        <f t="shared" si="129"/>
        <v>6.1727736108609568</v>
      </c>
      <c r="T1193" s="564">
        <f>IF((I1193-MAX(I$470:I1193))/MAX(I$470:I1193)&gt;T1192,T1192,(I1193-MAX(I$470:I1193))/MAX(I$470:I1193))</f>
        <v>-0.91338805338419748</v>
      </c>
      <c r="U1193" s="564">
        <f>IF((J1193-MAX(J$470:J1193))/MAX(J$470:J1193)&gt;U1192,U1192,(J1193-MAX(J$470:J1193))/MAX(J$470:J1193))</f>
        <v>-0.70517826086956548</v>
      </c>
      <c r="V1193" s="564">
        <f>IF((K1193-MAX(K$470:K1193))/MAX(K$470:K1193)&gt;V1192,V1192,(K1193-MAX(K$470:K1193))/MAX(K$470:K1193))</f>
        <v>-0.84885940676762139</v>
      </c>
      <c r="W1193" s="564">
        <f>IF((N1193-MAX(N$470:N1193))/MAX(N$470:N1193)&gt;W1192,W1192,(N1193-MAX(N$470:N1193))/MAX(N$470:N1193))</f>
        <v>-0.62788758315546067</v>
      </c>
      <c r="X1193" s="564">
        <f>IF((O1193-MAX(O$470:O1193))/MAX(O$470:O1193)&gt;X1192,X1192,(O1193-MAX(O$470:O1193))/MAX(O$470:O1193))</f>
        <v>-0.62788758315546067</v>
      </c>
    </row>
    <row r="1194" spans="1:24">
      <c r="A1194" s="799">
        <v>41596</v>
      </c>
      <c r="B1194">
        <v>558.49</v>
      </c>
      <c r="C1194">
        <v>112.554463</v>
      </c>
      <c r="D1194">
        <v>5.8840680000000001</v>
      </c>
      <c r="E1194">
        <f>LN(D1194/参数实验室!$E$53)/参数实验室!$E$55</f>
        <v>1.3978474572449247</v>
      </c>
      <c r="F1194">
        <f t="shared" si="128"/>
        <v>0.20153353327722967</v>
      </c>
      <c r="G1194">
        <f>LN(F1194/参数实验室!$E$58)/参数实验室!$E$59</f>
        <v>-1.0312409648613472</v>
      </c>
      <c r="H1194" s="856">
        <f>INDEX(神经网络!$G$10:$BO$70,MATCH(ROUND(G1194*2,1)/2,神经网络!$E$10:$E$70,0),MATCH(ROUND(E1194*2,1)/2,神经网络!$G$8:$BO$8,0))</f>
        <v>1.9741885300620019</v>
      </c>
      <c r="I1194">
        <f t="shared" si="130"/>
        <v>168.02799988382921</v>
      </c>
      <c r="J1194">
        <f t="shared" si="131"/>
        <v>222.85224053309915</v>
      </c>
      <c r="K1194">
        <f t="shared" si="132"/>
        <v>0.75398838029125781</v>
      </c>
      <c r="L1194" s="4">
        <f>MIN(MAX(L1193*(1+MAX(MIN(((B1194-B1193)/B1193)/($K$7*卓尔金历!$N$40),0),-卓尔金历!$M$43))+MIN(MAX(((B1194-B1193)/B1193)/($K$7*卓尔金历!$N$40),0),卓尔金历!$M$43),0),1)</f>
        <v>1</v>
      </c>
      <c r="M1194" s="4">
        <f>MIN(MAX(M1193*(1+MAX(MIN(((B1194-B1193)/B1193)/($K$7*30),0),-卓尔金历!$M$43))+MIN(MAX(((B1194-B1193)/B1193)/($K$7*7),0),卓尔金历!$M$43),0),1)</f>
        <v>1</v>
      </c>
      <c r="N1194">
        <f t="shared" si="133"/>
        <v>250.04024380351842</v>
      </c>
      <c r="O1194">
        <f t="shared" si="134"/>
        <v>356.0775884082118</v>
      </c>
      <c r="P1194">
        <f t="shared" si="135"/>
        <v>0.1916741347672086</v>
      </c>
      <c r="Q1194">
        <f t="shared" si="126"/>
        <v>6.0683231496138947E-2</v>
      </c>
      <c r="R1194">
        <f t="shared" si="127"/>
        <v>0</v>
      </c>
      <c r="S1194">
        <f t="shared" si="129"/>
        <v>6.2267064914388124</v>
      </c>
      <c r="T1194" s="564">
        <f>IF((I1194-MAX(I$470:I1194))/MAX(I$470:I1194)&gt;T1193,T1193,(I1194-MAX(I$470:I1194))/MAX(I$470:I1194))</f>
        <v>-0.91338805338419748</v>
      </c>
      <c r="U1194" s="564">
        <f>IF((J1194-MAX(J$470:J1194))/MAX(J$470:J1194)&gt;U1193,U1193,(J1194-MAX(J$470:J1194))/MAX(J$470:J1194))</f>
        <v>-0.70517826086956548</v>
      </c>
      <c r="V1194" s="564">
        <f>IF((K1194-MAX(K$470:K1194))/MAX(K$470:K1194)&gt;V1193,V1193,(K1194-MAX(K$470:K1194))/MAX(K$470:K1194))</f>
        <v>-0.84885940676762139</v>
      </c>
      <c r="W1194" s="564">
        <f>IF((N1194-MAX(N$470:N1194))/MAX(N$470:N1194)&gt;W1193,W1193,(N1194-MAX(N$470:N1194))/MAX(N$470:N1194))</f>
        <v>-0.62788758315546067</v>
      </c>
      <c r="X1194" s="564">
        <f>IF((O1194-MAX(O$470:O1194))/MAX(O$470:O1194)&gt;X1193,X1193,(O1194-MAX(O$470:O1194))/MAX(O$470:O1194))</f>
        <v>-0.62788758315546067</v>
      </c>
    </row>
    <row r="1195" spans="1:24">
      <c r="A1195" s="799">
        <v>41597</v>
      </c>
      <c r="B1195">
        <v>674.71</v>
      </c>
      <c r="C1195">
        <v>115.00324999999999</v>
      </c>
      <c r="D1195">
        <v>4.7321340000000003</v>
      </c>
      <c r="E1195">
        <f>LN(D1195/参数实验室!$E$53)/参数实验室!$E$55</f>
        <v>1.1408121453532027</v>
      </c>
      <c r="F1195">
        <f t="shared" si="128"/>
        <v>0.17044841487453868</v>
      </c>
      <c r="G1195">
        <f>LN(F1195/参数实验室!$E$58)/参数实验室!$E$59</f>
        <v>-1.1191661343303569</v>
      </c>
      <c r="H1195" s="856">
        <f>INDEX(神经网络!$G$10:$BO$70,MATCH(ROUND(G1195*2,1)/2,神经网络!$E$10:$E$70,0),MATCH(ROUND(E1195*2,1)/2,神经网络!$G$8:$BO$8,0))</f>
        <v>0.83866157160630272</v>
      </c>
      <c r="I1195">
        <f t="shared" si="130"/>
        <v>237.05766268998892</v>
      </c>
      <c r="J1195">
        <f t="shared" si="131"/>
        <v>269.22708591037861</v>
      </c>
      <c r="K1195">
        <f t="shared" si="132"/>
        <v>0.88051193619092849</v>
      </c>
      <c r="L1195" s="4">
        <f>MIN(MAX(L1194*(1+MAX(MIN(((B1195-B1194)/B1194)/($K$7*卓尔金历!$N$40),0),-卓尔金历!$M$43))+MIN(MAX(((B1195-B1194)/B1194)/($K$7*卓尔金历!$N$40),0),卓尔金历!$M$43),0),1)</f>
        <v>1</v>
      </c>
      <c r="M1195" s="4">
        <f>MIN(MAX(M1194*(1+MAX(MIN(((B1195-B1194)/B1194)/($K$7*30),0),-卓尔金历!$M$43))+MIN(MAX(((B1195-B1194)/B1194)/($K$7*7),0),卓尔金历!$M$43),0),1)</f>
        <v>1</v>
      </c>
      <c r="N1195">
        <f t="shared" si="133"/>
        <v>352.76237183967993</v>
      </c>
      <c r="O1195">
        <f t="shared" si="134"/>
        <v>502.36223071570447</v>
      </c>
      <c r="P1195">
        <f t="shared" si="135"/>
        <v>0.20809683253057357</v>
      </c>
      <c r="Q1195">
        <f t="shared" si="126"/>
        <v>6.8575897188911744E-2</v>
      </c>
      <c r="R1195">
        <f t="shared" si="127"/>
        <v>0</v>
      </c>
      <c r="S1195">
        <f t="shared" si="129"/>
        <v>6.2267064914388124</v>
      </c>
      <c r="T1195" s="564">
        <f>IF((I1195-MAX(I$470:I1195))/MAX(I$470:I1195)&gt;T1194,T1194,(I1195-MAX(I$470:I1195))/MAX(I$470:I1195))</f>
        <v>-0.91338805338419748</v>
      </c>
      <c r="U1195" s="564">
        <f>IF((J1195-MAX(J$470:J1195))/MAX(J$470:J1195)&gt;U1194,U1194,(J1195-MAX(J$470:J1195))/MAX(J$470:J1195))</f>
        <v>-0.70517826086956548</v>
      </c>
      <c r="V1195" s="564">
        <f>IF((K1195-MAX(K$470:K1195))/MAX(K$470:K1195)&gt;V1194,V1194,(K1195-MAX(K$470:K1195))/MAX(K$470:K1195))</f>
        <v>-0.84885940676762139</v>
      </c>
      <c r="W1195" s="564">
        <f>IF((N1195-MAX(N$470:N1195))/MAX(N$470:N1195)&gt;W1194,W1194,(N1195-MAX(N$470:N1195))/MAX(N$470:N1195))</f>
        <v>-0.62788758315546067</v>
      </c>
      <c r="X1195" s="564">
        <f>IF((O1195-MAX(O$470:O1195))/MAX(O$470:O1195)&gt;X1194,X1194,(O1195-MAX(O$470:O1195))/MAX(O$470:O1195))</f>
        <v>-0.62788758315546067</v>
      </c>
    </row>
    <row r="1196" spans="1:24">
      <c r="A1196" s="799">
        <v>41598</v>
      </c>
      <c r="B1196">
        <v>482.59</v>
      </c>
      <c r="C1196">
        <v>118.10042900000001</v>
      </c>
      <c r="D1196">
        <v>4.91892</v>
      </c>
      <c r="E1196">
        <f>LN(D1196/参数实验室!$E$53)/参数实验室!$E$55</f>
        <v>1.1864836149341991</v>
      </c>
      <c r="F1196">
        <f t="shared" si="128"/>
        <v>0.24472208085538452</v>
      </c>
      <c r="G1196">
        <f>LN(F1196/参数实验室!$E$58)/参数实验室!$E$59</f>
        <v>-0.92933141100291794</v>
      </c>
      <c r="H1196" s="856">
        <f>INDEX(神经网络!$G$10:$BO$70,MATCH(ROUND(G1196*2,1)/2,神经网络!$E$10:$E$70,0),MATCH(ROUND(E1196*2,1)/2,神经网络!$G$8:$BO$8,0))</f>
        <v>1.2625488400130311</v>
      </c>
      <c r="I1196">
        <f t="shared" si="130"/>
        <v>180.44726931625544</v>
      </c>
      <c r="J1196">
        <f t="shared" si="131"/>
        <v>192.56613862176283</v>
      </c>
      <c r="K1196">
        <f t="shared" si="132"/>
        <v>0.93706645731048699</v>
      </c>
      <c r="L1196" s="4">
        <f>MIN(MAX(L1195*(1+MAX(MIN(((B1196-B1195)/B1195)/($K$7*卓尔金历!$N$40),0),-卓尔金历!$M$43))+MIN(MAX(((B1196-B1195)/B1195)/($K$7*卓尔金历!$N$40),0),卓尔金历!$M$43),0),1)</f>
        <v>0</v>
      </c>
      <c r="M1196" s="4">
        <f>MIN(MAX(M1195*(1+MAX(MIN(((B1196-B1195)/B1195)/($K$7*30),0),-卓尔金历!$M$43))+MIN(MAX(((B1196-B1195)/B1195)/($K$7*7),0),卓尔金历!$M$43),0),1)</f>
        <v>0</v>
      </c>
      <c r="N1196">
        <f t="shared" si="133"/>
        <v>268.52119435278627</v>
      </c>
      <c r="O1196">
        <f t="shared" si="134"/>
        <v>382.39596101484625</v>
      </c>
      <c r="P1196">
        <f t="shared" si="135"/>
        <v>-0.28474455692075124</v>
      </c>
      <c r="Q1196">
        <f t="shared" ref="Q1196:Q1259" si="136">STDEVP(P1176:P1196)</f>
        <v>0.1005137452066199</v>
      </c>
      <c r="R1196">
        <f t="shared" ref="R1196:R1259" si="137">MIN(Q1195*MAX(1-LN(MAX(ABS(P1196),0.0001)/Q1196),0)+MAX(-LN(MAX(ABS(P1196),0.0001)/Q1196),0),1)</f>
        <v>0</v>
      </c>
      <c r="S1196">
        <f t="shared" si="129"/>
        <v>6.2267064914388124</v>
      </c>
      <c r="T1196" s="564">
        <f>IF((I1196-MAX(I$470:I1196))/MAX(I$470:I1196)&gt;T1195,T1195,(I1196-MAX(I$470:I1196))/MAX(I$470:I1196))</f>
        <v>-0.91338805338419748</v>
      </c>
      <c r="U1196" s="564">
        <f>IF((J1196-MAX(J$470:J1196))/MAX(J$470:J1196)&gt;U1195,U1195,(J1196-MAX(J$470:J1196))/MAX(J$470:J1196))</f>
        <v>-0.70517826086956548</v>
      </c>
      <c r="V1196" s="564">
        <f>IF((K1196-MAX(K$470:K1196))/MAX(K$470:K1196)&gt;V1195,V1195,(K1196-MAX(K$470:K1196))/MAX(K$470:K1196))</f>
        <v>-0.84885940676762139</v>
      </c>
      <c r="W1196" s="564">
        <f>IF((N1196-MAX(N$470:N1196))/MAX(N$470:N1196)&gt;W1195,W1195,(N1196-MAX(N$470:N1196))/MAX(N$470:N1196))</f>
        <v>-0.62788758315546067</v>
      </c>
      <c r="X1196" s="564">
        <f>IF((O1196-MAX(O$470:O1196))/MAX(O$470:O1196)&gt;X1195,X1195,(O1196-MAX(O$470:O1196))/MAX(O$470:O1196))</f>
        <v>-0.62788758315546067</v>
      </c>
    </row>
    <row r="1197" spans="1:24">
      <c r="A1197" s="799">
        <v>41599</v>
      </c>
      <c r="B1197">
        <v>620.39</v>
      </c>
      <c r="C1197">
        <v>124.54708599999999</v>
      </c>
      <c r="D1197">
        <v>5.6882780000000004</v>
      </c>
      <c r="E1197">
        <f>LN(D1197/参数实验室!$E$53)/参数实验室!$E$55</f>
        <v>1.3579236715639049</v>
      </c>
      <c r="F1197">
        <f t="shared" si="128"/>
        <v>0.20075611470204224</v>
      </c>
      <c r="G1197">
        <f>LN(F1197/参数实验室!$E$58)/参数实验室!$E$59</f>
        <v>-1.03326951216469</v>
      </c>
      <c r="H1197" s="856">
        <f>INDEX(神经网络!$G$10:$BO$70,MATCH(ROUND(G1197*2,1)/2,神经网络!$E$10:$E$70,0),MATCH(ROUND(E1197*2,1)/2,神经网络!$G$8:$BO$8,0))</f>
        <v>1.8369254442388712</v>
      </c>
      <c r="I1197">
        <f t="shared" si="130"/>
        <v>245.50057957754717</v>
      </c>
      <c r="J1197">
        <f t="shared" si="131"/>
        <v>247.55197318542747</v>
      </c>
      <c r="K1197">
        <f t="shared" si="132"/>
        <v>0.99171328112846946</v>
      </c>
      <c r="L1197" s="4">
        <f>MIN(MAX(L1196*(1+MAX(MIN(((B1197-B1196)/B1196)/($K$7*卓尔金历!$N$40),0),-卓尔金历!$M$43))+MIN(MAX(((B1197-B1196)/B1196)/($K$7*卓尔金历!$N$40),0),卓尔金历!$M$43),0),1)</f>
        <v>1</v>
      </c>
      <c r="M1197" s="4">
        <f>MIN(MAX(M1196*(1+MAX(MIN(((B1197-B1196)/B1196)/($K$7*30),0),-卓尔金历!$M$43))+MIN(MAX(((B1197-B1196)/B1196)/($K$7*7),0),卓尔金历!$M$43),0),1)</f>
        <v>1</v>
      </c>
      <c r="N1197">
        <f t="shared" si="133"/>
        <v>268.52119435278627</v>
      </c>
      <c r="O1197">
        <f t="shared" si="134"/>
        <v>382.39596101484625</v>
      </c>
      <c r="P1197">
        <f t="shared" si="135"/>
        <v>0.28554259309144414</v>
      </c>
      <c r="Q1197">
        <f t="shared" si="136"/>
        <v>0.11167464526297279</v>
      </c>
      <c r="R1197">
        <f t="shared" si="137"/>
        <v>6.1512889324593324E-3</v>
      </c>
      <c r="S1197">
        <f t="shared" si="129"/>
        <v>6.2267064914388124</v>
      </c>
      <c r="T1197" s="564">
        <f>IF((I1197-MAX(I$470:I1197))/MAX(I$470:I1197)&gt;T1196,T1196,(I1197-MAX(I$470:I1197))/MAX(I$470:I1197))</f>
        <v>-0.91338805338419748</v>
      </c>
      <c r="U1197" s="564">
        <f>IF((J1197-MAX(J$470:J1197))/MAX(J$470:J1197)&gt;U1196,U1196,(J1197-MAX(J$470:J1197))/MAX(J$470:J1197))</f>
        <v>-0.70517826086956548</v>
      </c>
      <c r="V1197" s="564">
        <f>IF((K1197-MAX(K$470:K1197))/MAX(K$470:K1197)&gt;V1196,V1196,(K1197-MAX(K$470:K1197))/MAX(K$470:K1197))</f>
        <v>-0.84885940676762139</v>
      </c>
      <c r="W1197" s="564">
        <f>IF((N1197-MAX(N$470:N1197))/MAX(N$470:N1197)&gt;W1196,W1196,(N1197-MAX(N$470:N1197))/MAX(N$470:N1197))</f>
        <v>-0.62788758315546067</v>
      </c>
      <c r="X1197" s="564">
        <f>IF((O1197-MAX(O$470:O1197))/MAX(O$470:O1197)&gt;X1196,X1196,(O1197-MAX(O$470:O1197))/MAX(O$470:O1197))</f>
        <v>-0.62788758315546067</v>
      </c>
    </row>
    <row r="1198" spans="1:24">
      <c r="A1198" s="799">
        <v>41600</v>
      </c>
      <c r="B1198">
        <v>731.15</v>
      </c>
      <c r="C1198">
        <v>128.13690299999999</v>
      </c>
      <c r="D1198">
        <v>5.6843370000000002</v>
      </c>
      <c r="E1198">
        <f>LN(D1198/参数实验室!$E$53)/参数实验室!$E$55</f>
        <v>1.3571060218464734</v>
      </c>
      <c r="F1198">
        <f t="shared" si="128"/>
        <v>0.17525391916843328</v>
      </c>
      <c r="G1198">
        <f>LN(F1198/参数实验室!$E$58)/参数实验室!$E$59</f>
        <v>-1.104573517608775</v>
      </c>
      <c r="H1198" s="856">
        <f>INDEX(神经网络!$G$10:$BO$70,MATCH(ROUND(G1198*2,1)/2,神经网络!$E$10:$E$70,0),MATCH(ROUND(E1198*2,1)/2,神经网络!$G$8:$BO$8,0))</f>
        <v>1.8214326401195626</v>
      </c>
      <c r="I1198">
        <f t="shared" si="130"/>
        <v>326.01287521523562</v>
      </c>
      <c r="J1198">
        <f t="shared" si="131"/>
        <v>291.74813455169374</v>
      </c>
      <c r="K1198">
        <f t="shared" si="132"/>
        <v>1.1174463059247792</v>
      </c>
      <c r="L1198" s="4">
        <f>MIN(MAX(L1197*(1+MAX(MIN(((B1198-B1197)/B1197)/($K$7*卓尔金历!$N$40),0),-卓尔金历!$M$43))+MIN(MAX(((B1198-B1197)/B1197)/($K$7*卓尔金历!$N$40),0),卓尔金历!$M$43),0),1)</f>
        <v>1</v>
      </c>
      <c r="M1198" s="4">
        <f>MIN(MAX(M1197*(1+MAX(MIN(((B1198-B1197)/B1197)/($K$7*30),0),-卓尔金历!$M$43))+MIN(MAX(((B1198-B1197)/B1197)/($K$7*7),0),卓尔金历!$M$43),0),1)</f>
        <v>1</v>
      </c>
      <c r="N1198">
        <f t="shared" si="133"/>
        <v>356.58313629165553</v>
      </c>
      <c r="O1198">
        <f t="shared" si="134"/>
        <v>507.80330920467117</v>
      </c>
      <c r="P1198">
        <f t="shared" si="135"/>
        <v>0.17853285836328761</v>
      </c>
      <c r="Q1198">
        <f t="shared" si="136"/>
        <v>0.113771727558846</v>
      </c>
      <c r="R1198">
        <f t="shared" si="137"/>
        <v>6.1356438420690274E-2</v>
      </c>
      <c r="S1198">
        <f t="shared" si="129"/>
        <v>6.2392677804982117</v>
      </c>
      <c r="T1198" s="564">
        <f>IF((I1198-MAX(I$470:I1198))/MAX(I$470:I1198)&gt;T1197,T1197,(I1198-MAX(I$470:I1198))/MAX(I$470:I1198))</f>
        <v>-0.91338805338419748</v>
      </c>
      <c r="U1198" s="564">
        <f>IF((J1198-MAX(J$470:J1198))/MAX(J$470:J1198)&gt;U1197,U1197,(J1198-MAX(J$470:J1198))/MAX(J$470:J1198))</f>
        <v>-0.70517826086956548</v>
      </c>
      <c r="V1198" s="564">
        <f>IF((K1198-MAX(K$470:K1198))/MAX(K$470:K1198)&gt;V1197,V1197,(K1198-MAX(K$470:K1198))/MAX(K$470:K1198))</f>
        <v>-0.84885940676762139</v>
      </c>
      <c r="W1198" s="564">
        <f>IF((N1198-MAX(N$470:N1198))/MAX(N$470:N1198)&gt;W1197,W1197,(N1198-MAX(N$470:N1198))/MAX(N$470:N1198))</f>
        <v>-0.62788758315546067</v>
      </c>
      <c r="X1198" s="564">
        <f>IF((O1198-MAX(O$470:O1198))/MAX(O$470:O1198)&gt;X1197,X1197,(O1198-MAX(O$470:O1198))/MAX(O$470:O1198))</f>
        <v>-0.62788758315546067</v>
      </c>
    </row>
    <row r="1199" spans="1:24">
      <c r="A1199" s="799">
        <v>41601</v>
      </c>
      <c r="B1199">
        <v>738.63900000000001</v>
      </c>
      <c r="C1199">
        <v>131.56438499999999</v>
      </c>
      <c r="D1199">
        <v>5.5941280000000004</v>
      </c>
      <c r="E1199">
        <f>LN(D1199/参数实验室!$E$53)/参数实验室!$E$55</f>
        <v>1.3382334837986165</v>
      </c>
      <c r="F1199">
        <f t="shared" si="128"/>
        <v>0.17811730087363378</v>
      </c>
      <c r="G1199">
        <f>LN(F1199/参数实验室!$E$58)/参数实验室!$E$59</f>
        <v>-1.0960675031225988</v>
      </c>
      <c r="H1199" s="856">
        <f>INDEX(神经网络!$G$10:$BO$70,MATCH(ROUND(G1199*2,1)/2,神经网络!$E$10:$E$70,0),MATCH(ROUND(E1199*2,1)/2,神经网络!$G$8:$BO$8,0))</f>
        <v>1.8214326401195626</v>
      </c>
      <c r="I1199">
        <f t="shared" si="130"/>
        <v>332.09513846451387</v>
      </c>
      <c r="J1199">
        <f t="shared" si="131"/>
        <v>294.73644307888742</v>
      </c>
      <c r="K1199">
        <f t="shared" si="132"/>
        <v>1.1267528880900122</v>
      </c>
      <c r="L1199" s="4">
        <f>MIN(MAX(L1198*(1+MAX(MIN(((B1199-B1198)/B1198)/($K$7*卓尔金历!$N$40),0),-卓尔金历!$M$43))+MIN(MAX(((B1199-B1198)/B1198)/($K$7*卓尔金历!$N$40),0),卓尔金历!$M$43),0),1)</f>
        <v>1</v>
      </c>
      <c r="M1199" s="4">
        <f>MIN(MAX(M1198*(1+MAX(MIN(((B1199-B1198)/B1198)/($K$7*30),0),-卓尔金历!$M$43))+MIN(MAX(((B1199-B1198)/B1198)/($K$7*7),0),卓尔金历!$M$43),0),1)</f>
        <v>1</v>
      </c>
      <c r="N1199">
        <f t="shared" si="133"/>
        <v>363.23573399580209</v>
      </c>
      <c r="O1199">
        <f t="shared" si="134"/>
        <v>517.2771479400227</v>
      </c>
      <c r="P1199">
        <f t="shared" si="135"/>
        <v>1.0242768241810892E-2</v>
      </c>
      <c r="Q1199">
        <f t="shared" si="136"/>
        <v>0.11392128339443452</v>
      </c>
      <c r="R1199">
        <f t="shared" si="137"/>
        <v>1</v>
      </c>
      <c r="S1199">
        <f t="shared" si="129"/>
        <v>6.2464098525712481</v>
      </c>
      <c r="T1199" s="564">
        <f>IF((I1199-MAX(I$470:I1199))/MAX(I$470:I1199)&gt;T1198,T1198,(I1199-MAX(I$470:I1199))/MAX(I$470:I1199))</f>
        <v>-0.91338805338419748</v>
      </c>
      <c r="U1199" s="564">
        <f>IF((J1199-MAX(J$470:J1199))/MAX(J$470:J1199)&gt;U1198,U1198,(J1199-MAX(J$470:J1199))/MAX(J$470:J1199))</f>
        <v>-0.70517826086956548</v>
      </c>
      <c r="V1199" s="564">
        <f>IF((K1199-MAX(K$470:K1199))/MAX(K$470:K1199)&gt;V1198,V1198,(K1199-MAX(K$470:K1199))/MAX(K$470:K1199))</f>
        <v>-0.84885940676762139</v>
      </c>
      <c r="W1199" s="564">
        <f>IF((N1199-MAX(N$470:N1199))/MAX(N$470:N1199)&gt;W1198,W1198,(N1199-MAX(N$470:N1199))/MAX(N$470:N1199))</f>
        <v>-0.62788758315546067</v>
      </c>
      <c r="X1199" s="564">
        <f>IF((O1199-MAX(O$470:O1199))/MAX(O$470:O1199)&gt;X1198,X1198,(O1199-MAX(O$470:O1199))/MAX(O$470:O1199))</f>
        <v>-0.62788758315546067</v>
      </c>
    </row>
    <row r="1200" spans="1:24">
      <c r="A1200" s="799">
        <v>41602</v>
      </c>
      <c r="B1200">
        <v>808.91</v>
      </c>
      <c r="C1200">
        <v>136.81331299999999</v>
      </c>
      <c r="D1200">
        <v>5.2968919999999997</v>
      </c>
      <c r="E1200">
        <f>LN(D1200/参数实验室!$E$53)/参数实验室!$E$55</f>
        <v>1.2738222095856921</v>
      </c>
      <c r="F1200">
        <f t="shared" si="128"/>
        <v>0.1691329233165618</v>
      </c>
      <c r="G1200">
        <f>LN(F1200/参数实验室!$E$58)/参数实验室!$E$59</f>
        <v>-1.123232579914949</v>
      </c>
      <c r="H1200" s="856">
        <f>INDEX(神经网络!$G$10:$BO$70,MATCH(ROUND(G1200*2,1)/2,神经网络!$E$10:$E$70,0),MATCH(ROUND(E1200*2,1)/2,神经网络!$G$8:$BO$8,0))</f>
        <v>1.4225582467308546</v>
      </c>
      <c r="I1200">
        <f t="shared" si="130"/>
        <v>389.64172026743483</v>
      </c>
      <c r="J1200">
        <f t="shared" si="131"/>
        <v>322.77642552172688</v>
      </c>
      <c r="K1200">
        <f t="shared" si="132"/>
        <v>1.2071566863584562</v>
      </c>
      <c r="L1200" s="4">
        <f>MIN(MAX(L1199*(1+MAX(MIN(((B1200-B1199)/B1199)/($K$7*卓尔金历!$N$40),0),-卓尔金历!$M$43))+MIN(MAX(((B1200-B1199)/B1199)/($K$7*卓尔金历!$N$40),0),卓尔金历!$M$43),0),1)</f>
        <v>1</v>
      </c>
      <c r="M1200" s="4">
        <f>MIN(MAX(M1199*(1+MAX(MIN(((B1200-B1199)/B1199)/($K$7*30),0),-卓尔金历!$M$43))+MIN(MAX(((B1200-B1199)/B1199)/($K$7*7),0),卓尔金历!$M$43),0),1)</f>
        <v>1</v>
      </c>
      <c r="N1200">
        <f t="shared" si="133"/>
        <v>426.17846473489442</v>
      </c>
      <c r="O1200">
        <f t="shared" si="134"/>
        <v>606.91270191514661</v>
      </c>
      <c r="P1200">
        <f t="shared" si="135"/>
        <v>9.5135783515357245E-2</v>
      </c>
      <c r="Q1200">
        <f t="shared" si="136"/>
        <v>0.11262936652391142</v>
      </c>
      <c r="R1200">
        <f t="shared" si="137"/>
        <v>0.30194820443935355</v>
      </c>
      <c r="S1200">
        <f t="shared" si="129"/>
        <v>7.3288091229055627</v>
      </c>
      <c r="T1200" s="564">
        <f>IF((I1200-MAX(I$470:I1200))/MAX(I$470:I1200)&gt;T1199,T1199,(I1200-MAX(I$470:I1200))/MAX(I$470:I1200))</f>
        <v>-0.91338805338419748</v>
      </c>
      <c r="U1200" s="564">
        <f>IF((J1200-MAX(J$470:J1200))/MAX(J$470:J1200)&gt;U1199,U1199,(J1200-MAX(J$470:J1200))/MAX(J$470:J1200))</f>
        <v>-0.70517826086956548</v>
      </c>
      <c r="V1200" s="564">
        <f>IF((K1200-MAX(K$470:K1200))/MAX(K$470:K1200)&gt;V1199,V1199,(K1200-MAX(K$470:K1200))/MAX(K$470:K1200))</f>
        <v>-0.84885940676762139</v>
      </c>
      <c r="W1200" s="564">
        <f>IF((N1200-MAX(N$470:N1200))/MAX(N$470:N1200)&gt;W1199,W1199,(N1200-MAX(N$470:N1200))/MAX(N$470:N1200))</f>
        <v>-0.62788758315546067</v>
      </c>
      <c r="X1200" s="564">
        <f>IF((O1200-MAX(O$470:O1200))/MAX(O$470:O1200)&gt;X1199,X1199,(O1200-MAX(O$470:O1200))/MAX(O$470:O1200))</f>
        <v>-0.62788758315546067</v>
      </c>
    </row>
    <row r="1201" spans="1:24">
      <c r="A1201" s="799">
        <v>41603</v>
      </c>
      <c r="B1201">
        <v>776.96</v>
      </c>
      <c r="C1201">
        <v>137.679911</v>
      </c>
      <c r="D1201">
        <v>5.1324630000000004</v>
      </c>
      <c r="E1201">
        <f>LN(D1201/参数实验室!$E$53)/参数实验室!$E$55</f>
        <v>1.2366191953429817</v>
      </c>
      <c r="F1201">
        <f t="shared" si="128"/>
        <v>0.17720334508855023</v>
      </c>
      <c r="G1201">
        <f>LN(F1201/参数实验室!$E$58)/参数实验室!$E$59</f>
        <v>-1.098767568274299</v>
      </c>
      <c r="H1201" s="856">
        <f>INDEX(神经网络!$G$10:$BO$70,MATCH(ROUND(G1201*2,1)/2,神经网络!$E$10:$E$70,0),MATCH(ROUND(E1201*2,1)/2,神经网络!$G$8:$BO$8,0))</f>
        <v>1.4225582467308546</v>
      </c>
      <c r="I1201">
        <f t="shared" si="130"/>
        <v>367.74867536026733</v>
      </c>
      <c r="J1201">
        <f t="shared" si="131"/>
        <v>310.02753281991932</v>
      </c>
      <c r="K1201">
        <f t="shared" si="132"/>
        <v>1.186180698260356</v>
      </c>
      <c r="L1201" s="4">
        <f>MIN(MAX(L1200*(1+MAX(MIN(((B1201-B1200)/B1200)/($K$7*卓尔金历!$N$40),0),-卓尔金历!$M$43))+MIN(MAX(((B1201-B1200)/B1200)/($K$7*卓尔金历!$N$40),0),卓尔金历!$M$43),0),1)</f>
        <v>0.39651464331184172</v>
      </c>
      <c r="M1201" s="4">
        <f>MIN(MAX(M1200*(1+MAX(MIN(((B1201-B1200)/B1200)/($K$7*30),0),-卓尔金历!$M$43))+MIN(MAX(((B1201-B1200)/B1200)/($K$7*7),0),卓尔金历!$M$43),0),1)</f>
        <v>0.69825732165592092</v>
      </c>
      <c r="N1201">
        <f t="shared" si="133"/>
        <v>402.23250673916243</v>
      </c>
      <c r="O1201">
        <f t="shared" si="134"/>
        <v>572.81171542776826</v>
      </c>
      <c r="P1201">
        <f t="shared" si="135"/>
        <v>-3.9497595529786912E-2</v>
      </c>
      <c r="Q1201">
        <f t="shared" si="136"/>
        <v>0.11517090452624223</v>
      </c>
      <c r="R1201">
        <f t="shared" si="137"/>
        <v>1</v>
      </c>
      <c r="S1201">
        <f t="shared" si="129"/>
        <v>7.204470349738739</v>
      </c>
      <c r="T1201" s="564">
        <f>IF((I1201-MAX(I$470:I1201))/MAX(I$470:I1201)&gt;T1200,T1200,(I1201-MAX(I$470:I1201))/MAX(I$470:I1201))</f>
        <v>-0.91338805338419748</v>
      </c>
      <c r="U1201" s="564">
        <f>IF((J1201-MAX(J$470:J1201))/MAX(J$470:J1201)&gt;U1200,U1200,(J1201-MAX(J$470:J1201))/MAX(J$470:J1201))</f>
        <v>-0.70517826086956548</v>
      </c>
      <c r="V1201" s="564">
        <f>IF((K1201-MAX(K$470:K1201))/MAX(K$470:K1201)&gt;V1200,V1200,(K1201-MAX(K$470:K1201))/MAX(K$470:K1201))</f>
        <v>-0.84885940676762139</v>
      </c>
      <c r="W1201" s="564">
        <f>IF((N1201-MAX(N$470:N1201))/MAX(N$470:N1201)&gt;W1200,W1200,(N1201-MAX(N$470:N1201))/MAX(N$470:N1201))</f>
        <v>-0.62788758315546067</v>
      </c>
      <c r="X1201" s="564">
        <f>IF((O1201-MAX(O$470:O1201))/MAX(O$470:O1201)&gt;X1200,X1200,(O1201-MAX(O$470:O1201))/MAX(O$470:O1201))</f>
        <v>-0.62788758315546067</v>
      </c>
    </row>
    <row r="1202" spans="1:24">
      <c r="A1202" s="799">
        <v>41604</v>
      </c>
      <c r="B1202">
        <v>791.59</v>
      </c>
      <c r="C1202">
        <v>139.41597400000001</v>
      </c>
      <c r="D1202">
        <v>5.0852110000000001</v>
      </c>
      <c r="E1202">
        <f>LN(D1202/参数实验室!$E$53)/参数实验室!$E$55</f>
        <v>1.2257074951482092</v>
      </c>
      <c r="F1202">
        <f t="shared" si="128"/>
        <v>0.17612144418196288</v>
      </c>
      <c r="G1202">
        <f>LN(F1202/参数实验室!$E$58)/参数实验室!$E$59</f>
        <v>-1.1019818450927767</v>
      </c>
      <c r="H1202" s="856">
        <f>INDEX(神经网络!$G$10:$BO$70,MATCH(ROUND(G1202*2,1)/2,神经网络!$E$10:$E$70,0),MATCH(ROUND(E1202*2,1)/2,神经网络!$G$8:$BO$8,0))</f>
        <v>1.4225582467308546</v>
      </c>
      <c r="I1202">
        <f t="shared" si="130"/>
        <v>377.59936962490639</v>
      </c>
      <c r="J1202">
        <f t="shared" si="131"/>
        <v>315.86528869558271</v>
      </c>
      <c r="K1202">
        <f t="shared" si="132"/>
        <v>1.1954443338306171</v>
      </c>
      <c r="L1202" s="4">
        <f>MIN(MAX(L1201*(1+MAX(MIN(((B1202-B1201)/B1201)/($K$7*卓尔金历!$N$40),0),-卓尔金历!$M$43))+MIN(MAX(((B1202-B1201)/B1201)/($K$7*卓尔金历!$N$40),0),卓尔金历!$M$43),0),1)</f>
        <v>0.68421589001598981</v>
      </c>
      <c r="M1202" s="4">
        <f>MIN(MAX(M1201*(1+MAX(MIN(((B1202-B1201)/B1201)/($K$7*30),0),-卓尔金历!$M$43))+MIN(MAX(((B1202-B1201)/B1201)/($K$7*7),0),卓尔金历!$M$43),0),1)</f>
        <v>1</v>
      </c>
      <c r="N1202">
        <f t="shared" si="133"/>
        <v>406.50471208434158</v>
      </c>
      <c r="O1202">
        <f t="shared" si="134"/>
        <v>583.52550502141696</v>
      </c>
      <c r="P1202">
        <f t="shared" si="135"/>
        <v>1.8829798187808888E-2</v>
      </c>
      <c r="Q1202">
        <f t="shared" si="136"/>
        <v>0.11567770670568664</v>
      </c>
      <c r="R1202">
        <f t="shared" si="137"/>
        <v>1</v>
      </c>
      <c r="S1202">
        <f t="shared" si="129"/>
        <v>7.3974527845072888</v>
      </c>
      <c r="T1202" s="564">
        <f>IF((I1202-MAX(I$470:I1202))/MAX(I$470:I1202)&gt;T1201,T1201,(I1202-MAX(I$470:I1202))/MAX(I$470:I1202))</f>
        <v>-0.91338805338419748</v>
      </c>
      <c r="U1202" s="564">
        <f>IF((J1202-MAX(J$470:J1202))/MAX(J$470:J1202)&gt;U1201,U1201,(J1202-MAX(J$470:J1202))/MAX(J$470:J1202))</f>
        <v>-0.70517826086956548</v>
      </c>
      <c r="V1202" s="564">
        <f>IF((K1202-MAX(K$470:K1202))/MAX(K$470:K1202)&gt;V1201,V1201,(K1202-MAX(K$470:K1202))/MAX(K$470:K1202))</f>
        <v>-0.84885940676762139</v>
      </c>
      <c r="W1202" s="564">
        <f>IF((N1202-MAX(N$470:N1202))/MAX(N$470:N1202)&gt;W1201,W1201,(N1202-MAX(N$470:N1202))/MAX(N$470:N1202))</f>
        <v>-0.62788758315546067</v>
      </c>
      <c r="X1202" s="564">
        <f>IF((O1202-MAX(O$470:O1202))/MAX(O$470:O1202)&gt;X1201,X1201,(O1202-MAX(O$470:O1202))/MAX(O$470:O1202))</f>
        <v>-0.62788758315546067</v>
      </c>
    </row>
    <row r="1203" spans="1:24">
      <c r="A1203" s="799">
        <v>41605</v>
      </c>
      <c r="B1203">
        <v>909</v>
      </c>
      <c r="C1203">
        <v>139.740115</v>
      </c>
      <c r="D1203">
        <v>5.0724039999999997</v>
      </c>
      <c r="E1203">
        <f>LN(D1203/参数实验室!$E$53)/参数实验室!$E$55</f>
        <v>1.2227325629811994</v>
      </c>
      <c r="F1203">
        <f t="shared" si="128"/>
        <v>0.15372949944994499</v>
      </c>
      <c r="G1203">
        <f>LN(F1203/参数实验室!$E$58)/参数实验室!$E$59</f>
        <v>-1.1733510884621987</v>
      </c>
      <c r="H1203" s="856">
        <f>INDEX(神经网络!$G$10:$BO$70,MATCH(ROUND(G1203*2,1)/2,神经网络!$E$10:$E$70,0),MATCH(ROUND(E1203*2,1)/2,神经网络!$G$8:$BO$8,0))</f>
        <v>1.1805140574591699</v>
      </c>
      <c r="I1203">
        <f t="shared" si="130"/>
        <v>457.27144075343676</v>
      </c>
      <c r="J1203">
        <f t="shared" si="131"/>
        <v>362.71497545987779</v>
      </c>
      <c r="K1203">
        <f t="shared" si="132"/>
        <v>1.2606908225216591</v>
      </c>
      <c r="L1203" s="4">
        <f>MIN(MAX(L1202*(1+MAX(MIN(((B1203-B1202)/B1202)/($K$7*卓尔金历!$N$40),0),-卓尔金历!$M$43))+MIN(MAX(((B1203-B1202)/B1202)/($K$7*卓尔金历!$N$40),0),卓尔金历!$M$43),0),1)</f>
        <v>1</v>
      </c>
      <c r="M1203" s="4">
        <f>MIN(MAX(M1202*(1+MAX(MIN(((B1203-B1202)/B1202)/($K$7*30),0),-卓尔金历!$M$43))+MIN(MAX(((B1203-B1202)/B1202)/($K$7*7),0),卓尔金历!$M$43),0),1)</f>
        <v>1</v>
      </c>
      <c r="N1203">
        <f t="shared" si="133"/>
        <v>465.19058739419518</v>
      </c>
      <c r="O1203">
        <f t="shared" si="134"/>
        <v>706.64722947651899</v>
      </c>
      <c r="P1203">
        <f t="shared" si="135"/>
        <v>0.14832173220985606</v>
      </c>
      <c r="Q1203">
        <f t="shared" si="136"/>
        <v>0.11655278058374208</v>
      </c>
      <c r="R1203">
        <f t="shared" si="137"/>
        <v>8.7794803412185096E-2</v>
      </c>
      <c r="S1203">
        <f t="shared" si="129"/>
        <v>8.9582879760561234</v>
      </c>
      <c r="T1203" s="564">
        <f>IF((I1203-MAX(I$470:I1203))/MAX(I$470:I1203)&gt;T1202,T1202,(I1203-MAX(I$470:I1203))/MAX(I$470:I1203))</f>
        <v>-0.91338805338419748</v>
      </c>
      <c r="U1203" s="564">
        <f>IF((J1203-MAX(J$470:J1203))/MAX(J$470:J1203)&gt;U1202,U1202,(J1203-MAX(J$470:J1203))/MAX(J$470:J1203))</f>
        <v>-0.70517826086956548</v>
      </c>
      <c r="V1203" s="564">
        <f>IF((K1203-MAX(K$470:K1203))/MAX(K$470:K1203)&gt;V1202,V1202,(K1203-MAX(K$470:K1203))/MAX(K$470:K1203))</f>
        <v>-0.84885940676762139</v>
      </c>
      <c r="W1203" s="564">
        <f>IF((N1203-MAX(N$470:N1203))/MAX(N$470:N1203)&gt;W1202,W1202,(N1203-MAX(N$470:N1203))/MAX(N$470:N1203))</f>
        <v>-0.62788758315546067</v>
      </c>
      <c r="X1203" s="564">
        <f>IF((O1203-MAX(O$470:O1203))/MAX(O$470:O1203)&gt;X1202,X1202,(O1203-MAX(O$470:O1203))/MAX(O$470:O1203))</f>
        <v>-0.62788758315546067</v>
      </c>
    </row>
    <row r="1204" spans="1:24">
      <c r="A1204" s="799">
        <v>41606</v>
      </c>
      <c r="B1204">
        <v>983.78</v>
      </c>
      <c r="C1204">
        <v>138.23936399999999</v>
      </c>
      <c r="D1204">
        <v>5.0080489999999998</v>
      </c>
      <c r="E1204">
        <f>LN(D1204/参数实验室!$E$53)/参数实验室!$E$55</f>
        <v>1.2076689440126231</v>
      </c>
      <c r="F1204">
        <f t="shared" si="128"/>
        <v>0.14051857529122364</v>
      </c>
      <c r="G1204">
        <f>LN(F1204/参数实验室!$E$58)/参数实验室!$E$59</f>
        <v>-1.2205117815172533</v>
      </c>
      <c r="H1204" s="856">
        <f>INDEX(神经网络!$G$10:$BO$70,MATCH(ROUND(G1204*2,1)/2,神经网络!$E$10:$E$70,0),MATCH(ROUND(E1204*2,1)/2,神经网络!$G$8:$BO$8,0))</f>
        <v>-0.4892588787116447</v>
      </c>
      <c r="I1204">
        <f t="shared" si="130"/>
        <v>501.68001381311609</v>
      </c>
      <c r="J1204">
        <f t="shared" si="131"/>
        <v>392.5541678304935</v>
      </c>
      <c r="K1204">
        <f t="shared" si="132"/>
        <v>1.2779892685529799</v>
      </c>
      <c r="L1204" s="4">
        <f>MIN(MAX(L1203*(1+MAX(MIN(((B1204-B1203)/B1203)/($K$7*卓尔金历!$N$40),0),-卓尔金历!$M$43))+MIN(MAX(((B1204-B1203)/B1203)/($K$7*卓尔金历!$N$40),0),卓尔金历!$M$43),0),1)</f>
        <v>1</v>
      </c>
      <c r="M1204" s="4">
        <f>MIN(MAX(M1203*(1+MAX(MIN(((B1204-B1203)/B1203)/($K$7*30),0),-卓尔金历!$M$43))+MIN(MAX(((B1204-B1203)/B1203)/($K$7*7),0),卓尔金历!$M$43),0),1)</f>
        <v>1</v>
      </c>
      <c r="N1204">
        <f t="shared" si="133"/>
        <v>510.36823975956435</v>
      </c>
      <c r="O1204">
        <f t="shared" si="134"/>
        <v>775.2742906066037</v>
      </c>
      <c r="P1204">
        <f t="shared" si="135"/>
        <v>8.2266226622662239E-2</v>
      </c>
      <c r="Q1204">
        <f t="shared" si="136"/>
        <v>0.11534760525936417</v>
      </c>
      <c r="R1204">
        <f t="shared" si="137"/>
        <v>0.49393597410962664</v>
      </c>
      <c r="S1204">
        <f t="shared" si="129"/>
        <v>9.034669192491469</v>
      </c>
      <c r="T1204" s="564">
        <f>IF((I1204-MAX(I$470:I1204))/MAX(I$470:I1204)&gt;T1203,T1203,(I1204-MAX(I$470:I1204))/MAX(I$470:I1204))</f>
        <v>-0.91338805338419748</v>
      </c>
      <c r="U1204" s="564">
        <f>IF((J1204-MAX(J$470:J1204))/MAX(J$470:J1204)&gt;U1203,U1203,(J1204-MAX(J$470:J1204))/MAX(J$470:J1204))</f>
        <v>-0.70517826086956548</v>
      </c>
      <c r="V1204" s="564">
        <f>IF((K1204-MAX(K$470:K1204))/MAX(K$470:K1204)&gt;V1203,V1203,(K1204-MAX(K$470:K1204))/MAX(K$470:K1204))</f>
        <v>-0.84885940676762139</v>
      </c>
      <c r="W1204" s="564">
        <f>IF((N1204-MAX(N$470:N1204))/MAX(N$470:N1204)&gt;W1203,W1203,(N1204-MAX(N$470:N1204))/MAX(N$470:N1204))</f>
        <v>-0.62788758315546067</v>
      </c>
      <c r="X1204" s="564">
        <f>IF((O1204-MAX(O$470:O1204))/MAX(O$470:O1204)&gt;X1203,X1203,(O1204-MAX(O$470:O1204))/MAX(O$470:O1204))</f>
        <v>-0.62788758315546067</v>
      </c>
    </row>
    <row r="1205" spans="1:24">
      <c r="A1205" s="799">
        <v>41607</v>
      </c>
      <c r="B1205">
        <v>1031.2</v>
      </c>
      <c r="C1205">
        <v>140.156668</v>
      </c>
      <c r="D1205">
        <v>5.2531619999999997</v>
      </c>
      <c r="E1205">
        <f>LN(D1205/参数实验室!$E$53)/参数实验室!$E$55</f>
        <v>1.2640419933285705</v>
      </c>
      <c r="F1205">
        <f t="shared" si="128"/>
        <v>0.13591608611326608</v>
      </c>
      <c r="G1205">
        <f>LN(F1205/参数实验室!$E$58)/参数实验室!$E$59</f>
        <v>-1.2379904745769093</v>
      </c>
      <c r="H1205" s="856">
        <f>INDEX(神经网络!$G$10:$BO$70,MATCH(ROUND(G1205*2,1)/2,神经网络!$E$10:$E$70,0),MATCH(ROUND(E1205*2,1)/2,神经网络!$G$8:$BO$8,0))</f>
        <v>-0.60047996381420987</v>
      </c>
      <c r="I1205">
        <f t="shared" si="130"/>
        <v>489.84880618859194</v>
      </c>
      <c r="J1205">
        <f t="shared" si="131"/>
        <v>411.47599856350502</v>
      </c>
      <c r="K1205">
        <f t="shared" si="132"/>
        <v>1.190467506971713</v>
      </c>
      <c r="L1205" s="4">
        <f>MIN(MAX(L1204*(1+MAX(MIN(((B1205-B1204)/B1204)/($K$7*卓尔金历!$N$40),0),-卓尔金历!$M$43))+MIN(MAX(((B1205-B1204)/B1204)/($K$7*卓尔金历!$N$40),0),卓尔金历!$M$43),0),1)</f>
        <v>1</v>
      </c>
      <c r="M1205" s="4">
        <f>MIN(MAX(M1204*(1+MAX(MIN(((B1205-B1204)/B1204)/($K$7*30),0),-卓尔金历!$M$43))+MIN(MAX(((B1205-B1204)/B1204)/($K$7*7),0),卓尔金历!$M$43),0),1)</f>
        <v>1</v>
      </c>
      <c r="N1205">
        <f t="shared" si="133"/>
        <v>498.33213618098392</v>
      </c>
      <c r="O1205">
        <f t="shared" si="134"/>
        <v>756.99086123813925</v>
      </c>
      <c r="P1205">
        <f t="shared" si="135"/>
        <v>4.8201833743316672E-2</v>
      </c>
      <c r="Q1205">
        <f t="shared" si="136"/>
        <v>0.11530826612511197</v>
      </c>
      <c r="R1205">
        <f t="shared" si="137"/>
        <v>1</v>
      </c>
      <c r="S1205">
        <f t="shared" si="129"/>
        <v>8.9294281384585172</v>
      </c>
      <c r="T1205" s="564">
        <f>IF((I1205-MAX(I$470:I1205))/MAX(I$470:I1205)&gt;T1204,T1204,(I1205-MAX(I$470:I1205))/MAX(I$470:I1205))</f>
        <v>-0.91338805338419748</v>
      </c>
      <c r="U1205" s="564">
        <f>IF((J1205-MAX(J$470:J1205))/MAX(J$470:J1205)&gt;U1204,U1204,(J1205-MAX(J$470:J1205))/MAX(J$470:J1205))</f>
        <v>-0.70517826086956548</v>
      </c>
      <c r="V1205" s="564">
        <f>IF((K1205-MAX(K$470:K1205))/MAX(K$470:K1205)&gt;V1204,V1204,(K1205-MAX(K$470:K1205))/MAX(K$470:K1205))</f>
        <v>-0.84885940676762139</v>
      </c>
      <c r="W1205" s="564">
        <f>IF((N1205-MAX(N$470:N1205))/MAX(N$470:N1205)&gt;W1204,W1204,(N1205-MAX(N$470:N1205))/MAX(N$470:N1205))</f>
        <v>-0.62788758315546067</v>
      </c>
      <c r="X1205" s="564">
        <f>IF((O1205-MAX(O$470:O1205))/MAX(O$470:O1205)&gt;X1204,X1204,(O1205-MAX(O$470:O1205))/MAX(O$470:O1205))</f>
        <v>-0.62788758315546067</v>
      </c>
    </row>
    <row r="1206" spans="1:24">
      <c r="A1206" s="799">
        <v>41608</v>
      </c>
      <c r="B1206">
        <v>1149.1400000000001</v>
      </c>
      <c r="C1206">
        <v>143.181093</v>
      </c>
      <c r="D1206">
        <v>5.0642389999999997</v>
      </c>
      <c r="E1206">
        <f>LN(D1206/参数实验室!$E$53)/参数实验室!$E$55</f>
        <v>1.2208319954421576</v>
      </c>
      <c r="F1206">
        <f t="shared" si="128"/>
        <v>0.12459847625180569</v>
      </c>
      <c r="G1206">
        <f>LN(F1206/参数实验室!$E$58)/参数实验室!$E$59</f>
        <v>-1.2836219696347364</v>
      </c>
      <c r="H1206" s="856">
        <f>INDEX(神经网络!$G$10:$BO$70,MATCH(ROUND(G1206*2,1)/2,神经网络!$E$10:$E$70,0),MATCH(ROUND(E1206*2,1)/2,神经网络!$G$8:$BO$8,0))</f>
        <v>-0.67207424494295387</v>
      </c>
      <c r="I1206">
        <f t="shared" si="130"/>
        <v>456.20703954845118</v>
      </c>
      <c r="J1206">
        <f t="shared" si="131"/>
        <v>458.53716930689114</v>
      </c>
      <c r="K1206">
        <f t="shared" si="132"/>
        <v>0.99491834050887928</v>
      </c>
      <c r="L1206" s="4">
        <f>MIN(MAX(L1205*(1+MAX(MIN(((B1206-B1205)/B1205)/($K$7*卓尔金历!$N$40),0),-卓尔金历!$M$43))+MIN(MAX(((B1206-B1205)/B1205)/($K$7*卓尔金历!$N$40),0),卓尔金历!$M$43),0),1)</f>
        <v>1</v>
      </c>
      <c r="M1206" s="4">
        <f>MIN(MAX(M1205*(1+MAX(MIN(((B1206-B1205)/B1205)/($K$7*30),0),-卓尔金历!$M$43))+MIN(MAX(((B1206-B1205)/B1205)/($K$7*7),0),卓尔金历!$M$43),0),1)</f>
        <v>1</v>
      </c>
      <c r="N1206">
        <f t="shared" si="133"/>
        <v>464.10775261021109</v>
      </c>
      <c r="O1206">
        <f t="shared" si="134"/>
        <v>705.00235053696576</v>
      </c>
      <c r="P1206">
        <f t="shared" si="135"/>
        <v>0.11437160589604349</v>
      </c>
      <c r="Q1206">
        <f t="shared" si="136"/>
        <v>0.11548631425117058</v>
      </c>
      <c r="R1206">
        <f t="shared" si="137"/>
        <v>0.12612584585788247</v>
      </c>
      <c r="S1206">
        <f t="shared" si="129"/>
        <v>8.3161741427995519</v>
      </c>
      <c r="T1206" s="564">
        <f>IF((I1206-MAX(I$470:I1206))/MAX(I$470:I1206)&gt;T1205,T1205,(I1206-MAX(I$470:I1206))/MAX(I$470:I1206))</f>
        <v>-0.91338805338419748</v>
      </c>
      <c r="U1206" s="564">
        <f>IF((J1206-MAX(J$470:J1206))/MAX(J$470:J1206)&gt;U1205,U1205,(J1206-MAX(J$470:J1206))/MAX(J$470:J1206))</f>
        <v>-0.70517826086956548</v>
      </c>
      <c r="V1206" s="564">
        <f>IF((K1206-MAX(K$470:K1206))/MAX(K$470:K1206)&gt;V1205,V1205,(K1206-MAX(K$470:K1206))/MAX(K$470:K1206))</f>
        <v>-0.84885940676762139</v>
      </c>
      <c r="W1206" s="564">
        <f>IF((N1206-MAX(N$470:N1206))/MAX(N$470:N1206)&gt;W1205,W1205,(N1206-MAX(N$470:N1206))/MAX(N$470:N1206))</f>
        <v>-0.62788758315546067</v>
      </c>
      <c r="X1206" s="564">
        <f>IF((O1206-MAX(O$470:O1206))/MAX(O$470:O1206)&gt;X1205,X1205,(O1206-MAX(O$470:O1206))/MAX(O$470:O1206))</f>
        <v>-0.62788758315546067</v>
      </c>
    </row>
    <row r="1207" spans="1:24">
      <c r="A1207" s="799">
        <v>41609</v>
      </c>
      <c r="B1207">
        <v>1122.8699999999999</v>
      </c>
      <c r="C1207">
        <v>144.45287099999999</v>
      </c>
      <c r="D1207">
        <v>4.3124589999999996</v>
      </c>
      <c r="E1207">
        <f>LN(D1207/参数实验室!$E$53)/参数实验室!$E$55</f>
        <v>1.0312508346764937</v>
      </c>
      <c r="F1207">
        <f t="shared" si="128"/>
        <v>0.12864612199096956</v>
      </c>
      <c r="G1207">
        <f>LN(F1207/参数实验室!$E$58)/参数实验室!$E$59</f>
        <v>-1.2668429016817322</v>
      </c>
      <c r="H1207" s="856">
        <f>INDEX(神经网络!$G$10:$BO$70,MATCH(ROUND(G1207*2,1)/2,神经网络!$E$10:$E$70,0),MATCH(ROUND(E1207*2,1)/2,神经网络!$G$8:$BO$8,0))</f>
        <v>-0.57236835147407117</v>
      </c>
      <c r="I1207">
        <f t="shared" si="130"/>
        <v>463.21620587556555</v>
      </c>
      <c r="J1207">
        <f t="shared" si="131"/>
        <v>448.05474641873815</v>
      </c>
      <c r="K1207">
        <f t="shared" si="132"/>
        <v>1.0338384083150811</v>
      </c>
      <c r="L1207" s="4">
        <f>MIN(MAX(L1206*(1+MAX(MIN(((B1207-B1206)/B1206)/($K$7*卓尔金历!$N$40),0),-卓尔金历!$M$43))+MIN(MAX(((B1207-B1206)/B1206)/($K$7*卓尔金历!$N$40),0),卓尔金历!$M$43),0),1)</f>
        <v>0.6507123670163184</v>
      </c>
      <c r="M1207" s="4">
        <f>MIN(MAX(M1206*(1+MAX(MIN(((B1207-B1206)/B1206)/($K$7*30),0),-卓尔金历!$M$43))+MIN(MAX(((B1207-B1206)/B1206)/($K$7*7),0),卓尔金历!$M$43),0),1)</f>
        <v>0.8253561835081592</v>
      </c>
      <c r="N1207">
        <f t="shared" si="133"/>
        <v>471.23830551655823</v>
      </c>
      <c r="O1207">
        <f t="shared" si="134"/>
        <v>715.83400877005931</v>
      </c>
      <c r="P1207">
        <f t="shared" si="135"/>
        <v>-2.2860573994465606E-2</v>
      </c>
      <c r="Q1207">
        <f t="shared" si="136"/>
        <v>0.11087638310410132</v>
      </c>
      <c r="R1207">
        <f t="shared" si="137"/>
        <v>1</v>
      </c>
      <c r="S1207">
        <f t="shared" si="129"/>
        <v>8.3322892073810308</v>
      </c>
      <c r="T1207" s="564">
        <f>IF((I1207-MAX(I$470:I1207))/MAX(I$470:I1207)&gt;T1206,T1206,(I1207-MAX(I$470:I1207))/MAX(I$470:I1207))</f>
        <v>-0.91338805338419748</v>
      </c>
      <c r="U1207" s="564">
        <f>IF((J1207-MAX(J$470:J1207))/MAX(J$470:J1207)&gt;U1206,U1206,(J1207-MAX(J$470:J1207))/MAX(J$470:J1207))</f>
        <v>-0.70517826086956548</v>
      </c>
      <c r="V1207" s="564">
        <f>IF((K1207-MAX(K$470:K1207))/MAX(K$470:K1207)&gt;V1206,V1206,(K1207-MAX(K$470:K1207))/MAX(K$470:K1207))</f>
        <v>-0.84885940676762139</v>
      </c>
      <c r="W1207" s="564">
        <f>IF((N1207-MAX(N$470:N1207))/MAX(N$470:N1207)&gt;W1206,W1206,(N1207-MAX(N$470:N1207))/MAX(N$470:N1207))</f>
        <v>-0.62788758315546067</v>
      </c>
      <c r="X1207" s="564">
        <f>IF((O1207-MAX(O$470:O1207))/MAX(O$470:O1207)&gt;X1206,X1206,(O1207-MAX(O$470:O1207))/MAX(O$470:O1207))</f>
        <v>-0.62788758315546067</v>
      </c>
    </row>
    <row r="1208" spans="1:24">
      <c r="A1208" s="799">
        <v>41610</v>
      </c>
      <c r="B1208">
        <v>997.84</v>
      </c>
      <c r="C1208">
        <v>148.27122</v>
      </c>
      <c r="D1208">
        <v>4.5521700000000003</v>
      </c>
      <c r="E1208">
        <f>LN(D1208/参数实验室!$E$53)/参数实验室!$E$55</f>
        <v>1.0950704916128486</v>
      </c>
      <c r="F1208">
        <f t="shared" si="128"/>
        <v>0.14859217910687084</v>
      </c>
      <c r="G1208">
        <f>LN(F1208/参数实验室!$E$58)/参数实验室!$E$59</f>
        <v>-1.191190384282232</v>
      </c>
      <c r="H1208" s="856">
        <f>INDEX(神经网络!$G$10:$BO$70,MATCH(ROUND(G1208*2,1)/2,神经网络!$E$10:$E$70,0),MATCH(ROUND(E1208*2,1)/2,神经网络!$G$8:$BO$8,0))</f>
        <v>-0.43036296375787586</v>
      </c>
      <c r="I1208">
        <f t="shared" si="130"/>
        <v>492.73809258152255</v>
      </c>
      <c r="J1208">
        <f t="shared" si="131"/>
        <v>398.16447867204016</v>
      </c>
      <c r="K1208">
        <f t="shared" si="132"/>
        <v>1.2375239856275093</v>
      </c>
      <c r="L1208" s="4">
        <f>MIN(MAX(L1207*(1+MAX(MIN(((B1208-B1207)/B1207)/($K$7*卓尔金历!$N$40),0),-卓尔金历!$M$43))+MIN(MAX(((B1208-B1207)/B1207)/($K$7*卓尔金历!$N$40),0),卓尔金历!$M$43),0),1)</f>
        <v>0</v>
      </c>
      <c r="M1208" s="4">
        <f>MIN(MAX(M1207*(1+MAX(MIN(((B1208-B1207)/B1207)/($K$7*30),0),-卓尔金历!$M$43))+MIN(MAX(((B1208-B1207)/B1207)/($K$7*7),0),卓尔金历!$M$43),0),1)</f>
        <v>0.12326706115686484</v>
      </c>
      <c r="N1208">
        <f t="shared" si="133"/>
        <v>490.78125055477074</v>
      </c>
      <c r="O1208">
        <f t="shared" si="134"/>
        <v>753.48826738951254</v>
      </c>
      <c r="P1208">
        <f t="shared" si="135"/>
        <v>-0.11134859778959262</v>
      </c>
      <c r="Q1208">
        <f t="shared" si="136"/>
        <v>0.11731760142753253</v>
      </c>
      <c r="R1208">
        <f t="shared" si="137"/>
        <v>0.16888523516826678</v>
      </c>
      <c r="S1208">
        <f t="shared" si="129"/>
        <v>8.8633261073457312</v>
      </c>
      <c r="T1208" s="564">
        <f>IF((I1208-MAX(I$470:I1208))/MAX(I$470:I1208)&gt;T1207,T1207,(I1208-MAX(I$470:I1208))/MAX(I$470:I1208))</f>
        <v>-0.91338805338419748</v>
      </c>
      <c r="U1208" s="564">
        <f>IF((J1208-MAX(J$470:J1208))/MAX(J$470:J1208)&gt;U1207,U1207,(J1208-MAX(J$470:J1208))/MAX(J$470:J1208))</f>
        <v>-0.70517826086956548</v>
      </c>
      <c r="V1208" s="564">
        <f>IF((K1208-MAX(K$470:K1208))/MAX(K$470:K1208)&gt;V1207,V1207,(K1208-MAX(K$470:K1208))/MAX(K$470:K1208))</f>
        <v>-0.84885940676762139</v>
      </c>
      <c r="W1208" s="564">
        <f>IF((N1208-MAX(N$470:N1208))/MAX(N$470:N1208)&gt;W1207,W1207,(N1208-MAX(N$470:N1208))/MAX(N$470:N1208))</f>
        <v>-0.62788758315546067</v>
      </c>
      <c r="X1208" s="564">
        <f>IF((O1208-MAX(O$470:O1208))/MAX(O$470:O1208)&gt;X1207,X1207,(O1208-MAX(O$470:O1208))/MAX(O$470:O1208))</f>
        <v>-0.62788758315546067</v>
      </c>
    </row>
    <row r="1209" spans="1:24">
      <c r="A1209" s="799">
        <v>41611</v>
      </c>
      <c r="B1209">
        <v>1030.6400000000001</v>
      </c>
      <c r="C1209">
        <v>147.78061299999999</v>
      </c>
      <c r="D1209">
        <v>4.5167950000000001</v>
      </c>
      <c r="E1209">
        <f>LN(D1209/参数实验室!$E$53)/参数实验室!$E$55</f>
        <v>1.0858667990922799</v>
      </c>
      <c r="F1209">
        <f t="shared" si="128"/>
        <v>0.14338722832414807</v>
      </c>
      <c r="G1209">
        <f>LN(F1209/参数实验室!$E$58)/参数实验室!$E$59</f>
        <v>-1.2099049156782995</v>
      </c>
      <c r="H1209" s="856">
        <f>INDEX(神经网络!$G$10:$BO$70,MATCH(ROUND(G1209*2,1)/2,神经网络!$E$10:$E$70,0),MATCH(ROUND(E1209*2,1)/2,神经网络!$G$8:$BO$8,0))</f>
        <v>-0.43036296375787586</v>
      </c>
      <c r="I1209">
        <f t="shared" si="130"/>
        <v>485.76759209160736</v>
      </c>
      <c r="J1209">
        <f t="shared" si="131"/>
        <v>411.2525437931447</v>
      </c>
      <c r="K1209">
        <f t="shared" si="132"/>
        <v>1.1811904860482587</v>
      </c>
      <c r="L1209" s="4">
        <f>MIN(MAX(L1208*(1+MAX(MIN(((B1209-B1208)/B1208)/($K$7*卓尔金历!$N$40),0),-卓尔金历!$M$43))+MIN(MAX(((B1209-B1208)/B1208)/($K$7*卓尔金历!$N$40),0),卓尔金历!$M$43),0),1)</f>
        <v>0.50223735688551252</v>
      </c>
      <c r="M1209" s="4">
        <f>MIN(MAX(M1208*(1+MAX(MIN(((B1209-B1208)/B1208)/($K$7*30),0),-卓尔金历!$M$43))+MIN(MAX(((B1209-B1208)/B1208)/($K$7*7),0),卓尔金历!$M$43),0),1)</f>
        <v>1</v>
      </c>
      <c r="N1209">
        <f t="shared" si="133"/>
        <v>490.78125055477074</v>
      </c>
      <c r="O1209">
        <f t="shared" si="134"/>
        <v>752.17434001668744</v>
      </c>
      <c r="P1209">
        <f t="shared" si="135"/>
        <v>3.2871001362944026E-2</v>
      </c>
      <c r="Q1209">
        <f t="shared" si="136"/>
        <v>0.11731030878803994</v>
      </c>
      <c r="R1209">
        <f t="shared" si="137"/>
        <v>1</v>
      </c>
      <c r="S1209">
        <f t="shared" si="129"/>
        <v>8.842150482437571</v>
      </c>
      <c r="T1209" s="564">
        <f>IF((I1209-MAX(I$470:I1209))/MAX(I$470:I1209)&gt;T1208,T1208,(I1209-MAX(I$470:I1209))/MAX(I$470:I1209))</f>
        <v>-0.91338805338419748</v>
      </c>
      <c r="U1209" s="564">
        <f>IF((J1209-MAX(J$470:J1209))/MAX(J$470:J1209)&gt;U1208,U1208,(J1209-MAX(J$470:J1209))/MAX(J$470:J1209))</f>
        <v>-0.70517826086956548</v>
      </c>
      <c r="V1209" s="564">
        <f>IF((K1209-MAX(K$470:K1209))/MAX(K$470:K1209)&gt;V1208,V1208,(K1209-MAX(K$470:K1209))/MAX(K$470:K1209))</f>
        <v>-0.84885940676762139</v>
      </c>
      <c r="W1209" s="564">
        <f>IF((N1209-MAX(N$470:N1209))/MAX(N$470:N1209)&gt;W1208,W1208,(N1209-MAX(N$470:N1209))/MAX(N$470:N1209))</f>
        <v>-0.62788758315546067</v>
      </c>
      <c r="X1209" s="564">
        <f>IF((O1209-MAX(O$470:O1209))/MAX(O$470:O1209)&gt;X1208,X1208,(O1209-MAX(O$470:O1209))/MAX(O$470:O1209))</f>
        <v>-0.62788758315546067</v>
      </c>
    </row>
    <row r="1210" spans="1:24">
      <c r="A1210" s="799">
        <v>41612</v>
      </c>
      <c r="B1210">
        <v>1077.1199999999999</v>
      </c>
      <c r="C1210">
        <v>150.042179</v>
      </c>
      <c r="D1210">
        <v>4.7181790000000001</v>
      </c>
      <c r="E1210">
        <f>LN(D1210/参数实验室!$E$53)/参数实验室!$E$55</f>
        <v>1.137327928801614</v>
      </c>
      <c r="F1210">
        <f t="shared" si="128"/>
        <v>0.13929940860814025</v>
      </c>
      <c r="G1210">
        <f>LN(F1210/参数实验室!$E$58)/参数实验室!$E$59</f>
        <v>-1.2250853875664853</v>
      </c>
      <c r="H1210" s="856">
        <f>INDEX(神经网络!$G$10:$BO$70,MATCH(ROUND(G1210*2,1)/2,神经网络!$E$10:$E$70,0),MATCH(ROUND(E1210*2,1)/2,神经网络!$G$8:$BO$8,0))</f>
        <v>-0.56305959519080995</v>
      </c>
      <c r="I1210">
        <f t="shared" si="130"/>
        <v>476.33952742141634</v>
      </c>
      <c r="J1210">
        <f t="shared" si="131"/>
        <v>429.79928973305124</v>
      </c>
      <c r="K1210">
        <f t="shared" si="132"/>
        <v>1.1082836542546901</v>
      </c>
      <c r="L1210" s="4">
        <f>MIN(MAX(L1209*(1+MAX(MIN(((B1210-B1209)/B1209)/($K$7*卓尔金历!$N$40),0),-卓尔金历!$M$43))+MIN(MAX(((B1210-B1209)/B1209)/($K$7*卓尔金历!$N$40),0),卓尔金历!$M$43),0),1)</f>
        <v>1</v>
      </c>
      <c r="M1210" s="4">
        <f>MIN(MAX(M1209*(1+MAX(MIN(((B1210-B1209)/B1209)/($K$7*30),0),-卓尔金历!$M$43))+MIN(MAX(((B1210-B1209)/B1209)/($K$7*7),0),卓尔金历!$M$43),0),1)</f>
        <v>1</v>
      </c>
      <c r="N1210">
        <f t="shared" si="133"/>
        <v>485.99725253737836</v>
      </c>
      <c r="O1210">
        <f t="shared" si="134"/>
        <v>737.57569565179494</v>
      </c>
      <c r="P1210">
        <f t="shared" si="135"/>
        <v>4.5098191415042871E-2</v>
      </c>
      <c r="Q1210">
        <f t="shared" si="136"/>
        <v>0.11725977875003195</v>
      </c>
      <c r="R1210">
        <f t="shared" si="137"/>
        <v>1</v>
      </c>
      <c r="S1210">
        <f t="shared" si="129"/>
        <v>8.6705367973561245</v>
      </c>
      <c r="T1210" s="564">
        <f>IF((I1210-MAX(I$470:I1210))/MAX(I$470:I1210)&gt;T1209,T1209,(I1210-MAX(I$470:I1210))/MAX(I$470:I1210))</f>
        <v>-0.91338805338419748</v>
      </c>
      <c r="U1210" s="564">
        <f>IF((J1210-MAX(J$470:J1210))/MAX(J$470:J1210)&gt;U1209,U1209,(J1210-MAX(J$470:J1210))/MAX(J$470:J1210))</f>
        <v>-0.70517826086956548</v>
      </c>
      <c r="V1210" s="564">
        <f>IF((K1210-MAX(K$470:K1210))/MAX(K$470:K1210)&gt;V1209,V1209,(K1210-MAX(K$470:K1210))/MAX(K$470:K1210))</f>
        <v>-0.84885940676762139</v>
      </c>
      <c r="W1210" s="564">
        <f>IF((N1210-MAX(N$470:N1210))/MAX(N$470:N1210)&gt;W1209,W1209,(N1210-MAX(N$470:N1210))/MAX(N$470:N1210))</f>
        <v>-0.62788758315546067</v>
      </c>
      <c r="X1210" s="564">
        <f>IF((O1210-MAX(O$470:O1210))/MAX(O$470:O1210)&gt;X1209,X1209,(O1210-MAX(O$470:O1210))/MAX(O$470:O1210))</f>
        <v>-0.62788758315546067</v>
      </c>
    </row>
    <row r="1211" spans="1:24">
      <c r="A1211" s="799">
        <v>41613</v>
      </c>
      <c r="B1211">
        <v>1127.1199999999999</v>
      </c>
      <c r="C1211">
        <v>150.56755699999999</v>
      </c>
      <c r="D1211">
        <v>4.1962210000000004</v>
      </c>
      <c r="E1211">
        <f>LN(D1211/参数实验室!$E$53)/参数实验室!$E$55</f>
        <v>0.99901535529977326</v>
      </c>
      <c r="F1211">
        <f t="shared" si="128"/>
        <v>0.13358609287387324</v>
      </c>
      <c r="G1211">
        <f>LN(F1211/参数实验室!$E$58)/参数实验室!$E$59</f>
        <v>-1.2470659992862563</v>
      </c>
      <c r="H1211" s="856">
        <f>INDEX(神经网络!$G$10:$BO$70,MATCH(ROUND(G1211*2,1)/2,神经网络!$E$10:$E$70,0),MATCH(ROUND(E1211*2,1)/2,神经网络!$G$8:$BO$8,0))</f>
        <v>-0.58634420334444615</v>
      </c>
      <c r="I1211">
        <f t="shared" si="130"/>
        <v>463.88931103497447</v>
      </c>
      <c r="J1211">
        <f t="shared" si="131"/>
        <v>449.75060851522272</v>
      </c>
      <c r="K1211">
        <f t="shared" si="132"/>
        <v>1.031436761289614</v>
      </c>
      <c r="L1211" s="4">
        <f>MIN(MAX(L1210*(1+MAX(MIN(((B1211-B1210)/B1210)/($K$7*卓尔金历!$N$40),0),-卓尔金历!$M$43))+MIN(MAX(((B1211-B1210)/B1210)/($K$7*卓尔金历!$N$40),0),卓尔金历!$M$43),0),1)</f>
        <v>1</v>
      </c>
      <c r="M1211" s="4">
        <f>MIN(MAX(M1210*(1+MAX(MIN(((B1211-B1210)/B1210)/($K$7*30),0),-卓尔金历!$M$43))+MIN(MAX(((B1211-B1210)/B1210)/($K$7*7),0),卓尔金历!$M$43),0),1)</f>
        <v>1</v>
      </c>
      <c r="N1211">
        <f t="shared" si="133"/>
        <v>473.2946095506386</v>
      </c>
      <c r="O1211">
        <f t="shared" si="134"/>
        <v>718.29747815438145</v>
      </c>
      <c r="P1211">
        <f t="shared" si="135"/>
        <v>4.6420083184789074E-2</v>
      </c>
      <c r="Q1211">
        <f t="shared" si="136"/>
        <v>0.11707786849901861</v>
      </c>
      <c r="R1211">
        <f t="shared" si="137"/>
        <v>1</v>
      </c>
      <c r="S1211">
        <f t="shared" si="129"/>
        <v>8.4439126078876168</v>
      </c>
      <c r="T1211" s="564">
        <f>IF((I1211-MAX(I$470:I1211))/MAX(I$470:I1211)&gt;T1210,T1210,(I1211-MAX(I$470:I1211))/MAX(I$470:I1211))</f>
        <v>-0.91338805338419748</v>
      </c>
      <c r="U1211" s="564">
        <f>IF((J1211-MAX(J$470:J1211))/MAX(J$470:J1211)&gt;U1210,U1210,(J1211-MAX(J$470:J1211))/MAX(J$470:J1211))</f>
        <v>-0.70517826086956548</v>
      </c>
      <c r="V1211" s="564">
        <f>IF((K1211-MAX(K$470:K1211))/MAX(K$470:K1211)&gt;V1210,V1210,(K1211-MAX(K$470:K1211))/MAX(K$470:K1211))</f>
        <v>-0.84885940676762139</v>
      </c>
      <c r="W1211" s="564">
        <f>IF((N1211-MAX(N$470:N1211))/MAX(N$470:N1211)&gt;W1210,W1210,(N1211-MAX(N$470:N1211))/MAX(N$470:N1211))</f>
        <v>-0.62788758315546067</v>
      </c>
      <c r="X1211" s="564">
        <f>IF((O1211-MAX(O$470:O1211))/MAX(O$470:O1211)&gt;X1210,X1210,(O1211-MAX(O$470:O1211))/MAX(O$470:O1211))</f>
        <v>-0.62788758315546067</v>
      </c>
    </row>
    <row r="1212" spans="1:24">
      <c r="A1212" s="799">
        <v>41614</v>
      </c>
      <c r="B1212">
        <v>1002.91</v>
      </c>
      <c r="C1212">
        <v>146.86985200000001</v>
      </c>
      <c r="D1212">
        <v>3.3722569999999998</v>
      </c>
      <c r="E1212">
        <f>LN(D1212/参数实验室!$E$53)/参数实验室!$E$55</f>
        <v>0.74111881252152723</v>
      </c>
      <c r="F1212">
        <f t="shared" si="128"/>
        <v>0.14644370083058303</v>
      </c>
      <c r="G1212">
        <f>LN(F1212/参数实验室!$E$58)/参数实验室!$E$59</f>
        <v>-1.1988345897469952</v>
      </c>
      <c r="H1212" s="856">
        <f>INDEX(神经网络!$G$10:$BO$70,MATCH(ROUND(G1212*2,1)/2,神经网络!$E$10:$E$70,0),MATCH(ROUND(E1212*2,1)/2,神经网络!$G$8:$BO$8,0))</f>
        <v>-0.79268228355110026</v>
      </c>
      <c r="I1212">
        <f t="shared" si="130"/>
        <v>493.86391179276507</v>
      </c>
      <c r="J1212">
        <f t="shared" si="131"/>
        <v>400.18754239655232</v>
      </c>
      <c r="K1212">
        <f t="shared" si="132"/>
        <v>1.2340811731300405</v>
      </c>
      <c r="L1212" s="4">
        <f>MIN(MAX(L1211*(1+MAX(MIN(((B1212-B1211)/B1211)/($K$7*卓尔金历!$N$40),0),-卓尔金历!$M$43))+MIN(MAX(((B1212-B1211)/B1211)/($K$7*卓尔金历!$N$40),0),卓尔金历!$M$43),0),1)</f>
        <v>0</v>
      </c>
      <c r="M1212" s="4">
        <f>MIN(MAX(M1211*(1+MAX(MIN(((B1212-B1211)/B1211)/($K$7*30),0),-卓尔金历!$M$43))+MIN(MAX(((B1212-B1211)/B1211)/($K$7*7),0),卓尔金历!$M$43),0),1)</f>
        <v>0.15811554910756731</v>
      </c>
      <c r="N1212">
        <f t="shared" si="133"/>
        <v>503.87694163853007</v>
      </c>
      <c r="O1212">
        <f t="shared" si="134"/>
        <v>764.7108781203533</v>
      </c>
      <c r="P1212">
        <f t="shared" si="135"/>
        <v>-0.11020122081056137</v>
      </c>
      <c r="Q1212">
        <f t="shared" si="136"/>
        <v>0.12235730098212118</v>
      </c>
      <c r="R1212">
        <f t="shared" si="137"/>
        <v>0.23396608859090451</v>
      </c>
      <c r="S1212">
        <f t="shared" si="129"/>
        <v>8.9895231732408316</v>
      </c>
      <c r="T1212" s="564">
        <f>IF((I1212-MAX(I$470:I1212))/MAX(I$470:I1212)&gt;T1211,T1211,(I1212-MAX(I$470:I1212))/MAX(I$470:I1212))</f>
        <v>-0.91338805338419748</v>
      </c>
      <c r="U1212" s="564">
        <f>IF((J1212-MAX(J$470:J1212))/MAX(J$470:J1212)&gt;U1211,U1211,(J1212-MAX(J$470:J1212))/MAX(J$470:J1212))</f>
        <v>-0.70517826086956548</v>
      </c>
      <c r="V1212" s="564">
        <f>IF((K1212-MAX(K$470:K1212))/MAX(K$470:K1212)&gt;V1211,V1211,(K1212-MAX(K$470:K1212))/MAX(K$470:K1212))</f>
        <v>-0.84885940676762139</v>
      </c>
      <c r="W1212" s="564">
        <f>IF((N1212-MAX(N$470:N1212))/MAX(N$470:N1212)&gt;W1211,W1211,(N1212-MAX(N$470:N1212))/MAX(N$470:N1212))</f>
        <v>-0.62788758315546067</v>
      </c>
      <c r="X1212" s="564">
        <f>IF((O1212-MAX(O$470:O1212))/MAX(O$470:O1212)&gt;X1211,X1211,(O1212-MAX(O$470:O1212))/MAX(O$470:O1212))</f>
        <v>-0.62788758315546067</v>
      </c>
    </row>
    <row r="1213" spans="1:24">
      <c r="A1213" s="799">
        <v>41615</v>
      </c>
      <c r="B1213">
        <v>765.32</v>
      </c>
      <c r="C1213">
        <v>142.788678</v>
      </c>
      <c r="D1213">
        <v>2.868185</v>
      </c>
      <c r="E1213">
        <f>LN(D1213/参数实验室!$E$53)/参数实验室!$E$55</f>
        <v>0.55011342646104444</v>
      </c>
      <c r="F1213">
        <f t="shared" si="128"/>
        <v>0.18657382271468143</v>
      </c>
      <c r="G1213">
        <f>LN(F1213/参数实验室!$E$58)/参数实验室!$E$59</f>
        <v>-1.0717223235882443</v>
      </c>
      <c r="H1213" s="856">
        <f>INDEX(神经网络!$G$10:$BO$70,MATCH(ROUND(G1213*2,1)/2,神经网络!$E$10:$E$70,0),MATCH(ROUND(E1213*2,1)/2,神经网络!$G$8:$BO$8,0))</f>
        <v>-0.87945178556673387</v>
      </c>
      <c r="I1213">
        <f t="shared" si="130"/>
        <v>586.60509656448198</v>
      </c>
      <c r="J1213">
        <f t="shared" si="131"/>
        <v>305.38286580742982</v>
      </c>
      <c r="K1213">
        <f t="shared" si="132"/>
        <v>1.920884117101668</v>
      </c>
      <c r="L1213" s="4">
        <f>MIN(MAX(L1212*(1+MAX(MIN(((B1213-B1212)/B1212)/($K$7*卓尔金历!$N$40),0),-卓尔金历!$M$43))+MIN(MAX(((B1213-B1212)/B1212)/($K$7*卓尔金历!$N$40),0),卓尔金历!$M$43),0),1)</f>
        <v>0</v>
      </c>
      <c r="M1213" s="4">
        <f>MIN(MAX(M1212*(1+MAX(MIN(((B1213-B1212)/B1212)/($K$7*30),0),-卓尔金历!$M$43))+MIN(MAX(((B1213-B1212)/B1212)/($K$7*7),0),卓尔金历!$M$43),0),1)</f>
        <v>0</v>
      </c>
      <c r="N1213">
        <f t="shared" si="133"/>
        <v>503.87694163853007</v>
      </c>
      <c r="O1213">
        <f t="shared" si="134"/>
        <v>787.41669842163503</v>
      </c>
      <c r="P1213">
        <f t="shared" si="135"/>
        <v>-0.23690061919813335</v>
      </c>
      <c r="Q1213">
        <f t="shared" si="136"/>
        <v>0.13669959866497247</v>
      </c>
      <c r="R1213">
        <f t="shared" si="137"/>
        <v>5.5078537397611482E-2</v>
      </c>
      <c r="S1213">
        <f t="shared" si="129"/>
        <v>9.3844848142199311</v>
      </c>
      <c r="T1213" s="564">
        <f>IF((I1213-MAX(I$470:I1213))/MAX(I$470:I1213)&gt;T1212,T1212,(I1213-MAX(I$470:I1213))/MAX(I$470:I1213))</f>
        <v>-0.91338805338419748</v>
      </c>
      <c r="U1213" s="564">
        <f>IF((J1213-MAX(J$470:J1213))/MAX(J$470:J1213)&gt;U1212,U1212,(J1213-MAX(J$470:J1213))/MAX(J$470:J1213))</f>
        <v>-0.70517826086956548</v>
      </c>
      <c r="V1213" s="564">
        <f>IF((K1213-MAX(K$470:K1213))/MAX(K$470:K1213)&gt;V1212,V1212,(K1213-MAX(K$470:K1213))/MAX(K$470:K1213))</f>
        <v>-0.84885940676762139</v>
      </c>
      <c r="W1213" s="564">
        <f>IF((N1213-MAX(N$470:N1213))/MAX(N$470:N1213)&gt;W1212,W1212,(N1213-MAX(N$470:N1213))/MAX(N$470:N1213))</f>
        <v>-0.62788758315546067</v>
      </c>
      <c r="X1213" s="564">
        <f>IF((O1213-MAX(O$470:O1213))/MAX(O$470:O1213)&gt;X1212,X1212,(O1213-MAX(O$470:O1213))/MAX(O$470:O1213))</f>
        <v>-0.62788758315546067</v>
      </c>
    </row>
    <row r="1214" spans="1:24">
      <c r="A1214" s="799">
        <v>41616</v>
      </c>
      <c r="B1214">
        <v>694.46</v>
      </c>
      <c r="C1214">
        <v>138.072181</v>
      </c>
      <c r="D1214">
        <v>3.1732239999999998</v>
      </c>
      <c r="E1214">
        <f>LN(D1214/参数实验室!$E$53)/参数实验室!$E$55</f>
        <v>0.66934952981650664</v>
      </c>
      <c r="F1214">
        <f t="shared" si="128"/>
        <v>0.19881948708348932</v>
      </c>
      <c r="G1214">
        <f>LN(F1214/参数实验室!$E$58)/参数实验室!$E$59</f>
        <v>-1.0383571841351353</v>
      </c>
      <c r="H1214" s="856">
        <f>INDEX(神经网络!$G$10:$BO$70,MATCH(ROUND(G1214*2,1)/2,神经网络!$E$10:$E$70,0),MATCH(ROUND(E1214*2,1)/2,神经网络!$G$8:$BO$8,0))</f>
        <v>-0.79866458926560913</v>
      </c>
      <c r="I1214">
        <f t="shared" si="130"/>
        <v>634.37077516348018</v>
      </c>
      <c r="J1214">
        <f t="shared" si="131"/>
        <v>277.10785682933636</v>
      </c>
      <c r="K1214">
        <f t="shared" si="132"/>
        <v>2.2892558241471042</v>
      </c>
      <c r="L1214" s="4">
        <f>MIN(MAX(L1213*(1+MAX(MIN(((B1214-B1213)/B1213)/($K$7*卓尔金历!$N$40),0),-卓尔金历!$M$43))+MIN(MAX(((B1214-B1213)/B1213)/($K$7*卓尔金历!$N$40),0),卓尔金历!$M$43),0),1)</f>
        <v>0</v>
      </c>
      <c r="M1214" s="4">
        <f>MIN(MAX(M1213*(1+MAX(MIN(((B1214-B1213)/B1213)/($K$7*30),0),-卓尔金历!$M$43))+MIN(MAX(((B1214-B1213)/B1213)/($K$7*7),0),卓尔金历!$M$43),0),1)</f>
        <v>0</v>
      </c>
      <c r="N1214">
        <f t="shared" si="133"/>
        <v>503.87694163853007</v>
      </c>
      <c r="O1214">
        <f t="shared" si="134"/>
        <v>787.41669842163503</v>
      </c>
      <c r="P1214">
        <f t="shared" si="135"/>
        <v>-9.2588721057858162E-2</v>
      </c>
      <c r="Q1214">
        <f t="shared" si="136"/>
        <v>0.13925484677011207</v>
      </c>
      <c r="R1214">
        <f t="shared" si="137"/>
        <v>0.60063030077392765</v>
      </c>
      <c r="S1214">
        <f t="shared" si="129"/>
        <v>9.4265732664455335</v>
      </c>
      <c r="T1214" s="564">
        <f>IF((I1214-MAX(I$470:I1214))/MAX(I$470:I1214)&gt;T1213,T1213,(I1214-MAX(I$470:I1214))/MAX(I$470:I1214))</f>
        <v>-0.91338805338419748</v>
      </c>
      <c r="U1214" s="564">
        <f>IF((J1214-MAX(J$470:J1214))/MAX(J$470:J1214)&gt;U1213,U1213,(J1214-MAX(J$470:J1214))/MAX(J$470:J1214))</f>
        <v>-0.70517826086956548</v>
      </c>
      <c r="V1214" s="564">
        <f>IF((K1214-MAX(K$470:K1214))/MAX(K$470:K1214)&gt;V1213,V1213,(K1214-MAX(K$470:K1214))/MAX(K$470:K1214))</f>
        <v>-0.84885940676762139</v>
      </c>
      <c r="W1214" s="564">
        <f>IF((N1214-MAX(N$470:N1214))/MAX(N$470:N1214)&gt;W1213,W1213,(N1214-MAX(N$470:N1214))/MAX(N$470:N1214))</f>
        <v>-0.62788758315546067</v>
      </c>
      <c r="X1214" s="564">
        <f>IF((O1214-MAX(O$470:O1214))/MAX(O$470:O1214)&gt;X1213,X1213,(O1214-MAX(O$470:O1214))/MAX(O$470:O1214))</f>
        <v>-0.62788758315546067</v>
      </c>
    </row>
    <row r="1215" spans="1:24">
      <c r="A1215" s="799">
        <v>41617</v>
      </c>
      <c r="B1215">
        <v>837.82</v>
      </c>
      <c r="C1215">
        <v>136.057534</v>
      </c>
      <c r="D1215">
        <v>3.602284</v>
      </c>
      <c r="E1215">
        <f>LN(D1215/参数实验室!$E$53)/参数实验室!$E$55</f>
        <v>0.81896581612776664</v>
      </c>
      <c r="F1215">
        <f t="shared" si="128"/>
        <v>0.1623947076937767</v>
      </c>
      <c r="G1215">
        <f>LN(F1215/参数实验室!$E$58)/参数实验室!$E$59</f>
        <v>-1.1445705709857024</v>
      </c>
      <c r="H1215" s="856">
        <f>INDEX(神经网络!$G$10:$BO$70,MATCH(ROUND(G1215*2,1)/2,神经网络!$E$10:$E$70,0),MATCH(ROUND(E1215*2,1)/2,神经网络!$G$8:$BO$8,0))</f>
        <v>-0.66837036879454803</v>
      </c>
      <c r="I1215">
        <f t="shared" si="130"/>
        <v>529.7812110749187</v>
      </c>
      <c r="J1215">
        <f t="shared" si="131"/>
        <v>334.31227804157845</v>
      </c>
      <c r="K1215">
        <f t="shared" si="132"/>
        <v>1.5846896625466738</v>
      </c>
      <c r="L1215" s="4">
        <f>MIN(MAX(L1214*(1+MAX(MIN(((B1215-B1214)/B1214)/($K$7*卓尔金历!$N$40),0),-卓尔金历!$M$43))+MIN(MAX(((B1215-B1214)/B1214)/($K$7*卓尔金历!$N$40),0),卓尔金历!$M$43),0),1)</f>
        <v>1</v>
      </c>
      <c r="M1215" s="4">
        <f>MIN(MAX(M1214*(1+MAX(MIN(((B1215-B1214)/B1214)/($K$7*30),0),-卓尔金历!$M$43))+MIN(MAX(((B1215-B1214)/B1214)/($K$7*7),0),卓尔金历!$M$43),0),1)</f>
        <v>1</v>
      </c>
      <c r="N1215">
        <f t="shared" si="133"/>
        <v>503.87694163853007</v>
      </c>
      <c r="O1215">
        <f t="shared" si="134"/>
        <v>787.41669842163503</v>
      </c>
      <c r="P1215">
        <f t="shared" si="135"/>
        <v>0.20643377588342021</v>
      </c>
      <c r="Q1215">
        <f t="shared" si="136"/>
        <v>0.14010910988184613</v>
      </c>
      <c r="R1215">
        <f t="shared" si="137"/>
        <v>8.5285490727777608E-2</v>
      </c>
      <c r="S1215">
        <f t="shared" si="129"/>
        <v>8.4930905724995949</v>
      </c>
      <c r="T1215" s="564">
        <f>IF((I1215-MAX(I$470:I1215))/MAX(I$470:I1215)&gt;T1214,T1214,(I1215-MAX(I$470:I1215))/MAX(I$470:I1215))</f>
        <v>-0.91338805338419748</v>
      </c>
      <c r="U1215" s="564">
        <f>IF((J1215-MAX(J$470:J1215))/MAX(J$470:J1215)&gt;U1214,U1214,(J1215-MAX(J$470:J1215))/MAX(J$470:J1215))</f>
        <v>-0.70517826086956548</v>
      </c>
      <c r="V1215" s="564">
        <f>IF((K1215-MAX(K$470:K1215))/MAX(K$470:K1215)&gt;V1214,V1214,(K1215-MAX(K$470:K1215))/MAX(K$470:K1215))</f>
        <v>-0.84885940676762139</v>
      </c>
      <c r="W1215" s="564">
        <f>IF((N1215-MAX(N$470:N1215))/MAX(N$470:N1215)&gt;W1214,W1214,(N1215-MAX(N$470:N1215))/MAX(N$470:N1215))</f>
        <v>-0.62788758315546067</v>
      </c>
      <c r="X1215" s="564">
        <f>IF((O1215-MAX(O$470:O1215))/MAX(O$470:O1215)&gt;X1214,X1214,(O1215-MAX(O$470:O1215))/MAX(O$470:O1215))</f>
        <v>-0.62788758315546067</v>
      </c>
    </row>
    <row r="1216" spans="1:24">
      <c r="A1216" s="799">
        <v>41618</v>
      </c>
      <c r="B1216">
        <v>921.78</v>
      </c>
      <c r="C1216">
        <v>134.62776299999999</v>
      </c>
      <c r="D1216">
        <v>3.8819439999999998</v>
      </c>
      <c r="E1216">
        <f>LN(D1216/参数实验室!$E$53)/参数实验室!$E$55</f>
        <v>0.9071735717019086</v>
      </c>
      <c r="F1216">
        <f t="shared" si="128"/>
        <v>0.14605194623445941</v>
      </c>
      <c r="G1216">
        <f>LN(F1216/参数实验室!$E$58)/参数实验室!$E$59</f>
        <v>-1.2002405190911232</v>
      </c>
      <c r="H1216" s="856">
        <f>INDEX(神经网络!$G$10:$BO$70,MATCH(ROUND(G1216*2,1)/2,神经网络!$E$10:$E$70,0),MATCH(ROUND(E1216*2,1)/2,神经网络!$G$8:$BO$8,0))</f>
        <v>-0.54730361687449181</v>
      </c>
      <c r="I1216">
        <f t="shared" si="130"/>
        <v>494.29697612553286</v>
      </c>
      <c r="J1216">
        <f t="shared" si="131"/>
        <v>367.81453254060079</v>
      </c>
      <c r="K1216">
        <f t="shared" si="132"/>
        <v>1.34387560141053</v>
      </c>
      <c r="L1216" s="4">
        <f>MIN(MAX(L1215*(1+MAX(MIN(((B1216-B1215)/B1215)/($K$7*卓尔金历!$N$40),0),-卓尔金历!$M$43))+MIN(MAX(((B1216-B1215)/B1215)/($K$7*卓尔金历!$N$40),0),卓尔金历!$M$43),0),1)</f>
        <v>1</v>
      </c>
      <c r="M1216" s="4">
        <f>MIN(MAX(M1215*(1+MAX(MIN(((B1216-B1215)/B1215)/($K$7*30),0),-卓尔金历!$M$43))+MIN(MAX(((B1216-B1215)/B1215)/($K$7*7),0),卓尔金历!$M$43),0),1)</f>
        <v>1</v>
      </c>
      <c r="N1216">
        <f t="shared" si="133"/>
        <v>470.12774969115628</v>
      </c>
      <c r="O1216">
        <f t="shared" si="134"/>
        <v>734.67628682196482</v>
      </c>
      <c r="P1216">
        <f t="shared" si="135"/>
        <v>0.10021245613616279</v>
      </c>
      <c r="Q1216">
        <f t="shared" si="136"/>
        <v>0.13536880471596385</v>
      </c>
      <c r="R1216">
        <f t="shared" si="137"/>
        <v>0.48295182964930006</v>
      </c>
      <c r="S1216">
        <f t="shared" si="129"/>
        <v>8.4445751516992917</v>
      </c>
      <c r="T1216" s="564">
        <f>IF((I1216-MAX(I$470:I1216))/MAX(I$470:I1216)&gt;T1215,T1215,(I1216-MAX(I$470:I1216))/MAX(I$470:I1216))</f>
        <v>-0.91338805338419748</v>
      </c>
      <c r="U1216" s="564">
        <f>IF((J1216-MAX(J$470:J1216))/MAX(J$470:J1216)&gt;U1215,U1215,(J1216-MAX(J$470:J1216))/MAX(J$470:J1216))</f>
        <v>-0.70517826086956548</v>
      </c>
      <c r="V1216" s="564">
        <f>IF((K1216-MAX(K$470:K1216))/MAX(K$470:K1216)&gt;V1215,V1215,(K1216-MAX(K$470:K1216))/MAX(K$470:K1216))</f>
        <v>-0.84885940676762139</v>
      </c>
      <c r="W1216" s="564">
        <f>IF((N1216-MAX(N$470:N1216))/MAX(N$470:N1216)&gt;W1215,W1215,(N1216-MAX(N$470:N1216))/MAX(N$470:N1216))</f>
        <v>-0.62788758315546067</v>
      </c>
      <c r="X1216" s="564">
        <f>IF((O1216-MAX(O$470:O1216))/MAX(O$470:O1216)&gt;X1215,X1215,(O1216-MAX(O$470:O1216))/MAX(O$470:O1216))</f>
        <v>-0.62788758315546067</v>
      </c>
    </row>
    <row r="1217" spans="1:24">
      <c r="A1217" s="799">
        <v>41619</v>
      </c>
      <c r="B1217">
        <v>957.82</v>
      </c>
      <c r="C1217">
        <v>136.46317199999999</v>
      </c>
      <c r="D1217">
        <v>3.4384600000000001</v>
      </c>
      <c r="E1217">
        <f>LN(D1217/参数实验室!$E$53)/参数实验室!$E$55</f>
        <v>0.76405491867572595</v>
      </c>
      <c r="F1217">
        <f t="shared" si="128"/>
        <v>0.14247266918627716</v>
      </c>
      <c r="G1217">
        <f>LN(F1217/参数实验室!$E$58)/参数实验室!$E$59</f>
        <v>-1.2132632860064496</v>
      </c>
      <c r="H1217" s="856">
        <f>INDEX(神经网络!$G$10:$BO$70,MATCH(ROUND(G1217*2,1)/2,神经网络!$E$10:$E$70,0),MATCH(ROUND(E1217*2,1)/2,神经网络!$G$8:$BO$8,0))</f>
        <v>-0.79268228355110026</v>
      </c>
      <c r="I1217">
        <f t="shared" si="130"/>
        <v>483.71970167470465</v>
      </c>
      <c r="J1217">
        <f t="shared" si="131"/>
        <v>382.19544311879008</v>
      </c>
      <c r="K1217">
        <f t="shared" si="132"/>
        <v>1.2656344035068985</v>
      </c>
      <c r="L1217" s="4">
        <f>MIN(MAX(L1216*(1+MAX(MIN(((B1217-B1216)/B1216)/($K$7*卓尔金历!$N$40),0),-卓尔金历!$M$43))+MIN(MAX(((B1217-B1216)/B1216)/($K$7*卓尔金历!$N$40),0),卓尔金历!$M$43),0),1)</f>
        <v>1</v>
      </c>
      <c r="M1217" s="4">
        <f>MIN(MAX(M1216*(1+MAX(MIN(((B1217-B1216)/B1216)/($K$7*30),0),-卓尔金历!$M$43))+MIN(MAX(((B1217-B1216)/B1216)/($K$7*7),0),卓尔金历!$M$43),0),1)</f>
        <v>1</v>
      </c>
      <c r="N1217">
        <f t="shared" si="133"/>
        <v>460.06766339564405</v>
      </c>
      <c r="O1217">
        <f t="shared" si="134"/>
        <v>718.95522621758482</v>
      </c>
      <c r="P1217">
        <f t="shared" si="135"/>
        <v>3.9098266397622081E-2</v>
      </c>
      <c r="Q1217">
        <f t="shared" si="136"/>
        <v>0.1163760029384187</v>
      </c>
      <c r="R1217">
        <f t="shared" si="137"/>
        <v>1</v>
      </c>
      <c r="S1217">
        <f t="shared" si="129"/>
        <v>8.357304656497984</v>
      </c>
      <c r="T1217" s="564">
        <f>IF((I1217-MAX(I$470:I1217))/MAX(I$470:I1217)&gt;T1216,T1216,(I1217-MAX(I$470:I1217))/MAX(I$470:I1217))</f>
        <v>-0.91338805338419748</v>
      </c>
      <c r="U1217" s="564">
        <f>IF((J1217-MAX(J$470:J1217))/MAX(J$470:J1217)&gt;U1216,U1216,(J1217-MAX(J$470:J1217))/MAX(J$470:J1217))</f>
        <v>-0.70517826086956548</v>
      </c>
      <c r="V1217" s="564">
        <f>IF((K1217-MAX(K$470:K1217))/MAX(K$470:K1217)&gt;V1216,V1216,(K1217-MAX(K$470:K1217))/MAX(K$470:K1217))</f>
        <v>-0.84885940676762139</v>
      </c>
      <c r="W1217" s="564">
        <f>IF((N1217-MAX(N$470:N1217))/MAX(N$470:N1217)&gt;W1216,W1216,(N1217-MAX(N$470:N1217))/MAX(N$470:N1217))</f>
        <v>-0.62788758315546067</v>
      </c>
      <c r="X1217" s="564">
        <f>IF((O1217-MAX(O$470:O1217))/MAX(O$470:O1217)&gt;X1216,X1216,(O1217-MAX(O$470:O1217))/MAX(O$470:O1217))</f>
        <v>-0.62788758315546067</v>
      </c>
    </row>
    <row r="1218" spans="1:24">
      <c r="A1218" s="799">
        <v>41620</v>
      </c>
      <c r="B1218">
        <v>852.89</v>
      </c>
      <c r="C1218">
        <v>139.59450799999999</v>
      </c>
      <c r="D1218">
        <v>3.4165549999999998</v>
      </c>
      <c r="E1218">
        <f>LN(D1218/参数实验室!$E$53)/参数实验室!$E$55</f>
        <v>0.75651515901968525</v>
      </c>
      <c r="F1218">
        <f t="shared" si="128"/>
        <v>0.16367234696150734</v>
      </c>
      <c r="G1218">
        <f>LN(F1218/参数实验室!$E$58)/参数实验室!$E$59</f>
        <v>-1.1404574442065616</v>
      </c>
      <c r="H1218" s="856">
        <f>INDEX(神经网络!$G$10:$BO$70,MATCH(ROUND(G1218*2,1)/2,神经网络!$E$10:$E$70,0),MATCH(ROUND(E1218*2,1)/2,神经网络!$G$8:$BO$8,0))</f>
        <v>-0.75203281532963917</v>
      </c>
      <c r="I1218">
        <f t="shared" si="130"/>
        <v>525.72544747056031</v>
      </c>
      <c r="J1218">
        <f t="shared" si="131"/>
        <v>340.32560552252494</v>
      </c>
      <c r="K1218">
        <f t="shared" si="132"/>
        <v>1.5447719446891999</v>
      </c>
      <c r="L1218" s="4">
        <f>MIN(MAX(L1217*(1+MAX(MIN(((B1218-B1217)/B1217)/($K$7*卓尔金历!$N$40),0),-卓尔金历!$M$43))+MIN(MAX(((B1218-B1217)/B1217)/($K$7*卓尔金历!$N$40),0),卓尔金历!$M$43),0),1)</f>
        <v>0</v>
      </c>
      <c r="M1218" s="4">
        <f>MIN(MAX(M1217*(1+MAX(MIN(((B1218-B1217)/B1217)/($K$7*30),0),-卓尔金历!$M$43))+MIN(MAX(((B1218-B1217)/B1217)/($K$7*7),0),卓尔金历!$M$43),0),1)</f>
        <v>0.16308403133590277</v>
      </c>
      <c r="N1218">
        <f t="shared" si="133"/>
        <v>500.01948932000312</v>
      </c>
      <c r="O1218">
        <f t="shared" si="134"/>
        <v>781.3885948948174</v>
      </c>
      <c r="P1218">
        <f t="shared" si="135"/>
        <v>-0.10955085506671405</v>
      </c>
      <c r="Q1218">
        <f t="shared" si="136"/>
        <v>0.1066778527920105</v>
      </c>
      <c r="R1218">
        <f t="shared" si="137"/>
        <v>0.11328327577975257</v>
      </c>
      <c r="S1218">
        <f t="shared" si="129"/>
        <v>9.0830448190838258</v>
      </c>
      <c r="T1218" s="564">
        <f>IF((I1218-MAX(I$470:I1218))/MAX(I$470:I1218)&gt;T1217,T1217,(I1218-MAX(I$470:I1218))/MAX(I$470:I1218))</f>
        <v>-0.91338805338419748</v>
      </c>
      <c r="U1218" s="564">
        <f>IF((J1218-MAX(J$470:J1218))/MAX(J$470:J1218)&gt;U1217,U1217,(J1218-MAX(J$470:J1218))/MAX(J$470:J1218))</f>
        <v>-0.70517826086956548</v>
      </c>
      <c r="V1218" s="564">
        <f>IF((K1218-MAX(K$470:K1218))/MAX(K$470:K1218)&gt;V1217,V1217,(K1218-MAX(K$470:K1218))/MAX(K$470:K1218))</f>
        <v>-0.84885940676762139</v>
      </c>
      <c r="W1218" s="564">
        <f>IF((N1218-MAX(N$470:N1218))/MAX(N$470:N1218)&gt;W1217,W1217,(N1218-MAX(N$470:N1218))/MAX(N$470:N1218))</f>
        <v>-0.62788758315546067</v>
      </c>
      <c r="X1218" s="564">
        <f>IF((O1218-MAX(O$470:O1218))/MAX(O$470:O1218)&gt;X1217,X1217,(O1218-MAX(O$470:O1218))/MAX(O$470:O1218))</f>
        <v>-0.62788758315546067</v>
      </c>
    </row>
    <row r="1219" spans="1:24">
      <c r="A1219" s="799">
        <v>41621</v>
      </c>
      <c r="B1219">
        <v>906.15</v>
      </c>
      <c r="C1219">
        <v>139.28148999999999</v>
      </c>
      <c r="D1219">
        <v>3.4075519999999999</v>
      </c>
      <c r="E1219">
        <f>LN(D1219/参数实验室!$E$53)/参数实验室!$E$55</f>
        <v>0.75340227564380957</v>
      </c>
      <c r="F1219">
        <f t="shared" si="128"/>
        <v>0.15370688075925618</v>
      </c>
      <c r="G1219">
        <f>LN(F1219/参数实验室!$E$58)/参数实验室!$E$59</f>
        <v>-1.1734283175218863</v>
      </c>
      <c r="H1219" s="856">
        <f>INDEX(神经网络!$G$10:$BO$70,MATCH(ROUND(G1219*2,1)/2,神经网络!$E$10:$E$70,0),MATCH(ROUND(E1219*2,1)/2,神经网络!$G$8:$BO$8,0))</f>
        <v>-0.75203281532963917</v>
      </c>
      <c r="I1219">
        <f t="shared" si="130"/>
        <v>501.03642296844095</v>
      </c>
      <c r="J1219">
        <f t="shared" si="131"/>
        <v>361.57775028929399</v>
      </c>
      <c r="K1219">
        <f t="shared" si="132"/>
        <v>1.3856948403699281</v>
      </c>
      <c r="L1219" s="4">
        <f>MIN(MAX(L1218*(1+MAX(MIN(((B1219-B1218)/B1218)/($K$7*卓尔金历!$N$40),0),-卓尔金历!$M$43))+MIN(MAX(((B1219-B1218)/B1218)/($K$7*卓尔金历!$N$40),0),卓尔金历!$M$43),0),1)</f>
        <v>0.95412267725195088</v>
      </c>
      <c r="M1219" s="4">
        <f>MIN(MAX(M1218*(1+MAX(MIN(((B1219-B1218)/B1218)/($K$7*30),0),-卓尔金历!$M$43))+MIN(MAX(((B1219-B1218)/B1218)/($K$7*7),0),卓尔金历!$M$43),0),1)</f>
        <v>1</v>
      </c>
      <c r="N1219">
        <f t="shared" si="133"/>
        <v>500.01948932000312</v>
      </c>
      <c r="O1219">
        <f t="shared" si="134"/>
        <v>775.40415598811546</v>
      </c>
      <c r="P1219">
        <f t="shared" si="135"/>
        <v>6.2446505411014305E-2</v>
      </c>
      <c r="Q1219">
        <f t="shared" si="136"/>
        <v>0.10124605381639892</v>
      </c>
      <c r="R1219">
        <f t="shared" si="137"/>
        <v>0.64147268057350759</v>
      </c>
      <c r="S1219">
        <f t="shared" si="129"/>
        <v>9.0347231210117069</v>
      </c>
      <c r="T1219" s="564">
        <f>IF((I1219-MAX(I$470:I1219))/MAX(I$470:I1219)&gt;T1218,T1218,(I1219-MAX(I$470:I1219))/MAX(I$470:I1219))</f>
        <v>-0.91338805338419748</v>
      </c>
      <c r="U1219" s="564">
        <f>IF((J1219-MAX(J$470:J1219))/MAX(J$470:J1219)&gt;U1218,U1218,(J1219-MAX(J$470:J1219))/MAX(J$470:J1219))</f>
        <v>-0.70517826086956548</v>
      </c>
      <c r="V1219" s="564">
        <f>IF((K1219-MAX(K$470:K1219))/MAX(K$470:K1219)&gt;V1218,V1218,(K1219-MAX(K$470:K1219))/MAX(K$470:K1219))</f>
        <v>-0.84885940676762139</v>
      </c>
      <c r="W1219" s="564">
        <f>IF((N1219-MAX(N$470:N1219))/MAX(N$470:N1219)&gt;W1218,W1218,(N1219-MAX(N$470:N1219))/MAX(N$470:N1219))</f>
        <v>-0.62788758315546067</v>
      </c>
      <c r="X1219" s="564">
        <f>IF((O1219-MAX(O$470:O1219))/MAX(O$470:O1219)&gt;X1218,X1218,(O1219-MAX(O$470:O1219))/MAX(O$470:O1219))</f>
        <v>-0.62788758315546067</v>
      </c>
    </row>
    <row r="1220" spans="1:24">
      <c r="A1220" s="799">
        <v>41622</v>
      </c>
      <c r="B1220">
        <v>892.83</v>
      </c>
      <c r="C1220">
        <v>138.28299999999999</v>
      </c>
      <c r="D1220">
        <v>3.3146270000000002</v>
      </c>
      <c r="E1220">
        <f>LN(D1220/参数实验室!$E$53)/参数实验室!$E$55</f>
        <v>0.72078322337386425</v>
      </c>
      <c r="F1220">
        <f t="shared" si="128"/>
        <v>0.15488166840271941</v>
      </c>
      <c r="G1220">
        <f>LN(F1220/参数实验室!$E$58)/参数实验室!$E$59</f>
        <v>-1.1694320900215707</v>
      </c>
      <c r="H1220" s="856">
        <f>INDEX(神经网络!$G$10:$BO$70,MATCH(ROUND(G1220*2,1)/2,神经网络!$E$10:$E$70,0),MATCH(ROUND(E1220*2,1)/2,神经网络!$G$8:$BO$8,0))</f>
        <v>-0.81958629126306481</v>
      </c>
      <c r="I1220">
        <f t="shared" si="130"/>
        <v>506.57515328779056</v>
      </c>
      <c r="J1220">
        <f t="shared" si="131"/>
        <v>356.26271896572354</v>
      </c>
      <c r="K1220">
        <f t="shared" si="132"/>
        <v>1.4219145768562125</v>
      </c>
      <c r="L1220" s="4">
        <f>MIN(MAX(L1219*(1+MAX(MIN(((B1220-B1219)/B1219)/($K$7*卓尔金历!$N$40),0),-卓尔金历!$M$43))+MIN(MAX(((B1220-B1219)/B1219)/($K$7*卓尔金历!$N$40),0),卓尔金历!$M$43),0),1)</f>
        <v>0.73983143295515896</v>
      </c>
      <c r="M1220" s="4">
        <f>MIN(MAX(M1219*(1+MAX(MIN(((B1220-B1219)/B1219)/($K$7*30),0),-卓尔金历!$M$43))+MIN(MAX(((B1220-B1219)/B1219)/($K$7*7),0),卓尔金历!$M$43),0),1)</f>
        <v>0.88770246771935546</v>
      </c>
      <c r="N1220">
        <f t="shared" si="133"/>
        <v>505.29339152174731</v>
      </c>
      <c r="O1220">
        <f t="shared" si="134"/>
        <v>783.97589710640852</v>
      </c>
      <c r="P1220">
        <f t="shared" si="135"/>
        <v>-1.4699553054130041E-2</v>
      </c>
      <c r="Q1220">
        <f t="shared" si="136"/>
        <v>0.10144769917786667</v>
      </c>
      <c r="R1220">
        <f t="shared" si="137"/>
        <v>1</v>
      </c>
      <c r="S1220">
        <f t="shared" si="129"/>
        <v>9.0987900540802542</v>
      </c>
      <c r="T1220" s="564">
        <f>IF((I1220-MAX(I$470:I1220))/MAX(I$470:I1220)&gt;T1219,T1219,(I1220-MAX(I$470:I1220))/MAX(I$470:I1220))</f>
        <v>-0.91338805338419748</v>
      </c>
      <c r="U1220" s="564">
        <f>IF((J1220-MAX(J$470:J1220))/MAX(J$470:J1220)&gt;U1219,U1219,(J1220-MAX(J$470:J1220))/MAX(J$470:J1220))</f>
        <v>-0.70517826086956548</v>
      </c>
      <c r="V1220" s="564">
        <f>IF((K1220-MAX(K$470:K1220))/MAX(K$470:K1220)&gt;V1219,V1219,(K1220-MAX(K$470:K1220))/MAX(K$470:K1220))</f>
        <v>-0.84885940676762139</v>
      </c>
      <c r="W1220" s="564">
        <f>IF((N1220-MAX(N$470:N1220))/MAX(N$470:N1220)&gt;W1219,W1219,(N1220-MAX(N$470:N1220))/MAX(N$470:N1220))</f>
        <v>-0.62788758315546067</v>
      </c>
      <c r="X1220" s="564">
        <f>IF((O1220-MAX(O$470:O1220))/MAX(O$470:O1220)&gt;X1219,X1219,(O1220-MAX(O$470:O1220))/MAX(O$470:O1220))</f>
        <v>-0.62788758315546067</v>
      </c>
    </row>
    <row r="1221" spans="1:24">
      <c r="A1221" s="799">
        <v>41623</v>
      </c>
      <c r="B1221">
        <v>850.15</v>
      </c>
      <c r="C1221">
        <v>137.58687599999999</v>
      </c>
      <c r="D1221">
        <v>3.3403689999999999</v>
      </c>
      <c r="E1221">
        <f>LN(D1221/参数实验室!$E$53)/参数实验室!$E$55</f>
        <v>0.72991000856466526</v>
      </c>
      <c r="F1221">
        <f t="shared" ref="F1221:F1284" si="138">C1221/B1221</f>
        <v>0.16183835323178261</v>
      </c>
      <c r="G1221">
        <f>LN(F1221/参数实验室!$E$58)/参数实验室!$E$59</f>
        <v>-1.1463717764181076</v>
      </c>
      <c r="H1221" s="856">
        <f>INDEX(神经网络!$G$10:$BO$70,MATCH(ROUND(G1221*2,1)/2,神经网络!$E$10:$E$70,0),MATCH(ROUND(E1221*2,1)/2,神经网络!$G$8:$BO$8,0))</f>
        <v>-0.75203281532963917</v>
      </c>
      <c r="I1221">
        <f t="shared" si="130"/>
        <v>526.42212297092453</v>
      </c>
      <c r="J1221">
        <f t="shared" si="131"/>
        <v>339.23227325326189</v>
      </c>
      <c r="K1221">
        <f t="shared" si="132"/>
        <v>1.5518043667322643</v>
      </c>
      <c r="L1221" s="4">
        <f>MIN(MAX(L1220*(1+MAX(MIN(((B1221-B1220)/B1220)/($K$7*卓尔金历!$N$40),0),-卓尔金历!$M$43))+MIN(MAX(((B1221-B1220)/B1220)/($K$7*卓尔金历!$N$40),0),卓尔金历!$M$43),0),1)</f>
        <v>0.19946981460842186</v>
      </c>
      <c r="M1221" s="4">
        <f>MIN(MAX(M1220*(1+MAX(MIN(((B1221-B1220)/B1220)/($K$7*30),0),-卓尔金历!$M$43))+MIN(MAX(((B1221-B1220)/B1220)/($K$7*7),0),卓尔金历!$M$43),0),1)</f>
        <v>0.56352028195360382</v>
      </c>
      <c r="N1221">
        <f t="shared" si="133"/>
        <v>519.93965083942419</v>
      </c>
      <c r="O1221">
        <f t="shared" si="134"/>
        <v>811.24183616560595</v>
      </c>
      <c r="P1221">
        <f t="shared" si="135"/>
        <v>-4.7803053212817741E-2</v>
      </c>
      <c r="Q1221">
        <f t="shared" si="136"/>
        <v>0.10059294163609608</v>
      </c>
      <c r="R1221">
        <f t="shared" si="137"/>
        <v>0.92091661499701982</v>
      </c>
      <c r="S1221">
        <f t="shared" si="129"/>
        <v>9.4552690664923382</v>
      </c>
      <c r="T1221" s="564">
        <f>IF((I1221-MAX(I$470:I1221))/MAX(I$470:I1221)&gt;T1220,T1220,(I1221-MAX(I$470:I1221))/MAX(I$470:I1221))</f>
        <v>-0.91338805338419748</v>
      </c>
      <c r="U1221" s="564">
        <f>IF((J1221-MAX(J$470:J1221))/MAX(J$470:J1221)&gt;U1220,U1220,(J1221-MAX(J$470:J1221))/MAX(J$470:J1221))</f>
        <v>-0.70517826086956548</v>
      </c>
      <c r="V1221" s="564">
        <f>IF((K1221-MAX(K$470:K1221))/MAX(K$470:K1221)&gt;V1220,V1220,(K1221-MAX(K$470:K1221))/MAX(K$470:K1221))</f>
        <v>-0.84885940676762139</v>
      </c>
      <c r="W1221" s="564">
        <f>IF((N1221-MAX(N$470:N1221))/MAX(N$470:N1221)&gt;W1220,W1220,(N1221-MAX(N$470:N1221))/MAX(N$470:N1221))</f>
        <v>-0.62788758315546067</v>
      </c>
      <c r="X1221" s="564">
        <f>IF((O1221-MAX(O$470:O1221))/MAX(O$470:O1221)&gt;X1220,X1220,(O1221-MAX(O$470:O1221))/MAX(O$470:O1221))</f>
        <v>-0.62788758315546067</v>
      </c>
    </row>
    <row r="1222" spans="1:24">
      <c r="A1222" s="799">
        <v>41624</v>
      </c>
      <c r="B1222">
        <v>868.93</v>
      </c>
      <c r="C1222">
        <v>137.22828000000001</v>
      </c>
      <c r="D1222">
        <v>2.6275469999999999</v>
      </c>
      <c r="E1222">
        <f>LN(D1222/参数实验室!$E$53)/参数实验室!$E$55</f>
        <v>0.44673316661433493</v>
      </c>
      <c r="F1222">
        <f t="shared" si="138"/>
        <v>0.15792788832241955</v>
      </c>
      <c r="G1222">
        <f>LN(F1222/参数实验室!$E$58)/参数实验室!$E$59</f>
        <v>-1.1592094395293093</v>
      </c>
      <c r="H1222" s="856">
        <f>INDEX(神经网络!$G$10:$BO$70,MATCH(ROUND(G1222*2,1)/2,神经网络!$E$10:$E$70,0),MATCH(ROUND(E1222*2,1)/2,神经网络!$G$8:$BO$8,0))</f>
        <v>-1.0003831576625297</v>
      </c>
      <c r="I1222">
        <f t="shared" si="130"/>
        <v>517.67689867386957</v>
      </c>
      <c r="J1222">
        <f t="shared" si="131"/>
        <v>346.72598858784551</v>
      </c>
      <c r="K1222">
        <f t="shared" si="132"/>
        <v>1.4930432552295181</v>
      </c>
      <c r="L1222" s="4">
        <f>MIN(MAX(L1221*(1+MAX(MIN(((B1222-B1221)/B1221)/($K$7*卓尔金历!$N$40),0),-卓尔金历!$M$43))+MIN(MAX(((B1222-B1221)/B1221)/($K$7*卓尔金历!$N$40),0),卓尔金历!$M$43),0),1)</f>
        <v>0.53698716823092829</v>
      </c>
      <c r="M1222" s="4">
        <f>MIN(MAX(M1221*(1+MAX(MIN(((B1222-B1221)/B1221)/($K$7*30),0),-卓尔金历!$M$43))+MIN(MAX(((B1222-B1221)/B1221)/($K$7*7),0),卓尔金历!$M$43),0),1)</f>
        <v>1</v>
      </c>
      <c r="N1222">
        <f t="shared" si="133"/>
        <v>518.21672357847865</v>
      </c>
      <c r="O1222">
        <f t="shared" si="134"/>
        <v>803.64737944683134</v>
      </c>
      <c r="P1222">
        <f t="shared" si="135"/>
        <v>2.2090219373051782E-2</v>
      </c>
      <c r="Q1222">
        <f t="shared" si="136"/>
        <v>0.10007418927981671</v>
      </c>
      <c r="R1222">
        <f t="shared" si="137"/>
        <v>1</v>
      </c>
      <c r="S1222">
        <f t="shared" si="129"/>
        <v>9.3106148754490121</v>
      </c>
      <c r="T1222" s="564">
        <f>IF((I1222-MAX(I$470:I1222))/MAX(I$470:I1222)&gt;T1221,T1221,(I1222-MAX(I$470:I1222))/MAX(I$470:I1222))</f>
        <v>-0.91338805338419748</v>
      </c>
      <c r="U1222" s="564">
        <f>IF((J1222-MAX(J$470:J1222))/MAX(J$470:J1222)&gt;U1221,U1221,(J1222-MAX(J$470:J1222))/MAX(J$470:J1222))</f>
        <v>-0.70517826086956548</v>
      </c>
      <c r="V1222" s="564">
        <f>IF((K1222-MAX(K$470:K1222))/MAX(K$470:K1222)&gt;V1221,V1221,(K1222-MAX(K$470:K1222))/MAX(K$470:K1222))</f>
        <v>-0.84885940676762139</v>
      </c>
      <c r="W1222" s="564">
        <f>IF((N1222-MAX(N$470:N1222))/MAX(N$470:N1222)&gt;W1221,W1221,(N1222-MAX(N$470:N1222))/MAX(N$470:N1222))</f>
        <v>-0.62788758315546067</v>
      </c>
      <c r="X1222" s="564">
        <f>IF((O1222-MAX(O$470:O1222))/MAX(O$470:O1222)&gt;X1221,X1221,(O1222-MAX(O$470:O1222))/MAX(O$470:O1222))</f>
        <v>-0.62788758315546067</v>
      </c>
    </row>
    <row r="1223" spans="1:24">
      <c r="A1223" s="799">
        <v>41625</v>
      </c>
      <c r="B1223">
        <v>669.11</v>
      </c>
      <c r="C1223">
        <v>136.10241400000001</v>
      </c>
      <c r="D1223">
        <v>2.6456919999999999</v>
      </c>
      <c r="E1223">
        <f>LN(D1223/参数实验室!$E$53)/参数实验室!$E$55</f>
        <v>0.45485216410286405</v>
      </c>
      <c r="F1223">
        <f t="shared" si="138"/>
        <v>0.20340813020280674</v>
      </c>
      <c r="G1223">
        <f>LN(F1223/参数实验室!$E$58)/参数实验室!$E$59</f>
        <v>-1.0263815152528983</v>
      </c>
      <c r="H1223" s="856">
        <f>INDEX(神经网络!$G$10:$BO$70,MATCH(ROUND(G1223*2,1)/2,神经网络!$E$10:$E$70,0),MATCH(ROUND(E1223*2,1)/2,神经网络!$G$8:$BO$8,0))</f>
        <v>-0.93573830077781839</v>
      </c>
      <c r="I1223">
        <f t="shared" si="130"/>
        <v>636.76800217330469</v>
      </c>
      <c r="J1223">
        <f t="shared" si="131"/>
        <v>266.99253820677541</v>
      </c>
      <c r="K1223">
        <f t="shared" si="132"/>
        <v>2.3849655366778544</v>
      </c>
      <c r="L1223" s="4">
        <f>MIN(MAX(L1222*(1+MAX(MIN(((B1223-B1222)/B1222)/($K$7*卓尔金历!$N$40),0),-卓尔金历!$M$43))+MIN(MAX(((B1223-B1222)/B1222)/($K$7*卓尔金历!$N$40),0),卓尔金历!$M$43),0),1)</f>
        <v>0</v>
      </c>
      <c r="M1223" s="4">
        <f>MIN(MAX(M1222*(1+MAX(MIN(((B1223-B1222)/B1222)/($K$7*30),0),-卓尔金历!$M$43))+MIN(MAX(((B1223-B1222)/B1222)/($K$7*7),0),卓尔金历!$M$43),0),1)</f>
        <v>0</v>
      </c>
      <c r="N1223">
        <f t="shared" si="133"/>
        <v>582.23380442134373</v>
      </c>
      <c r="O1223">
        <f t="shared" si="134"/>
        <v>988.52573404972213</v>
      </c>
      <c r="P1223">
        <f t="shared" si="135"/>
        <v>-0.22996098650063865</v>
      </c>
      <c r="Q1223">
        <f t="shared" si="136"/>
        <v>0.11236023743812404</v>
      </c>
      <c r="R1223">
        <f t="shared" si="137"/>
        <v>2.8401099430560853E-2</v>
      </c>
      <c r="S1223">
        <f t="shared" si="129"/>
        <v>11.452513427646176</v>
      </c>
      <c r="T1223" s="564">
        <f>IF((I1223-MAX(I$470:I1223))/MAX(I$470:I1223)&gt;T1222,T1222,(I1223-MAX(I$470:I1223))/MAX(I$470:I1223))</f>
        <v>-0.91338805338419748</v>
      </c>
      <c r="U1223" s="564">
        <f>IF((J1223-MAX(J$470:J1223))/MAX(J$470:J1223)&gt;U1222,U1222,(J1223-MAX(J$470:J1223))/MAX(J$470:J1223))</f>
        <v>-0.70517826086956548</v>
      </c>
      <c r="V1223" s="564">
        <f>IF((K1223-MAX(K$470:K1223))/MAX(K$470:K1223)&gt;V1222,V1222,(K1223-MAX(K$470:K1223))/MAX(K$470:K1223))</f>
        <v>-0.84885940676762139</v>
      </c>
      <c r="W1223" s="564">
        <f>IF((N1223-MAX(N$470:N1223))/MAX(N$470:N1223)&gt;W1222,W1222,(N1223-MAX(N$470:N1223))/MAX(N$470:N1223))</f>
        <v>-0.62788758315546067</v>
      </c>
      <c r="X1223" s="564">
        <f>IF((O1223-MAX(O$470:O1223))/MAX(O$470:O1223)&gt;X1222,X1222,(O1223-MAX(O$470:O1223))/MAX(O$470:O1223))</f>
        <v>-0.62788758315546067</v>
      </c>
    </row>
    <row r="1224" spans="1:24">
      <c r="A1224" s="799">
        <v>41626</v>
      </c>
      <c r="B1224">
        <v>644.04999999999995</v>
      </c>
      <c r="C1224">
        <v>133.03172900000001</v>
      </c>
      <c r="D1224">
        <v>2.0490599999999999</v>
      </c>
      <c r="E1224">
        <f>LN(D1224/参数实验室!$E$53)/参数实验室!$E$55</f>
        <v>0.15336444660970402</v>
      </c>
      <c r="F1224">
        <f t="shared" si="138"/>
        <v>0.2065549708873535</v>
      </c>
      <c r="G1224">
        <f>LN(F1224/参数实验室!$E$58)/参数实验室!$E$59</f>
        <v>-1.0183238901114167</v>
      </c>
      <c r="H1224" s="856">
        <f>INDEX(神经网络!$G$10:$BO$70,MATCH(ROUND(G1224*2,1)/2,神经网络!$E$10:$E$70,0),MATCH(ROUND(E1224*2,1)/2,神经网络!$G$8:$BO$8,0))</f>
        <v>-1.0170720214712983</v>
      </c>
      <c r="I1224">
        <f t="shared" si="130"/>
        <v>659.08414765175212</v>
      </c>
      <c r="J1224">
        <f t="shared" si="131"/>
        <v>256.992937233151</v>
      </c>
      <c r="K1224">
        <f t="shared" si="132"/>
        <v>2.5646002366742593</v>
      </c>
      <c r="L1224" s="4">
        <f>MIN(MAX(L1223*(1+MAX(MIN(((B1224-B1223)/B1223)/($K$7*卓尔金历!$N$40),0),-卓尔金历!$M$43))+MIN(MAX(((B1224-B1223)/B1223)/($K$7*卓尔金历!$N$40),0),卓尔金历!$M$43),0),1)</f>
        <v>0</v>
      </c>
      <c r="M1224" s="4">
        <f>MIN(MAX(M1223*(1+MAX(MIN(((B1224-B1223)/B1223)/($K$7*30),0),-卓尔金历!$M$43))+MIN(MAX(((B1224-B1223)/B1223)/($K$7*7),0),卓尔金历!$M$43),0),1)</f>
        <v>0</v>
      </c>
      <c r="N1224">
        <f t="shared" si="133"/>
        <v>582.23380442134373</v>
      </c>
      <c r="O1224">
        <f t="shared" si="134"/>
        <v>988.52573404972213</v>
      </c>
      <c r="P1224">
        <f t="shared" si="135"/>
        <v>-3.7452735723573195E-2</v>
      </c>
      <c r="Q1224">
        <f t="shared" si="136"/>
        <v>0.10743422417689576</v>
      </c>
      <c r="R1224">
        <f t="shared" si="137"/>
        <v>1</v>
      </c>
      <c r="S1224">
        <f t="shared" si="129"/>
        <v>11.463912615586533</v>
      </c>
      <c r="T1224" s="564">
        <f>IF((I1224-MAX(I$470:I1224))/MAX(I$470:I1224)&gt;T1223,T1223,(I1224-MAX(I$470:I1224))/MAX(I$470:I1224))</f>
        <v>-0.91338805338419748</v>
      </c>
      <c r="U1224" s="564">
        <f>IF((J1224-MAX(J$470:J1224))/MAX(J$470:J1224)&gt;U1223,U1223,(J1224-MAX(J$470:J1224))/MAX(J$470:J1224))</f>
        <v>-0.70517826086956548</v>
      </c>
      <c r="V1224" s="564">
        <f>IF((K1224-MAX(K$470:K1224))/MAX(K$470:K1224)&gt;V1223,V1223,(K1224-MAX(K$470:K1224))/MAX(K$470:K1224))</f>
        <v>-0.84885940676762139</v>
      </c>
      <c r="W1224" s="564">
        <f>IF((N1224-MAX(N$470:N1224))/MAX(N$470:N1224)&gt;W1223,W1223,(N1224-MAX(N$470:N1224))/MAX(N$470:N1224))</f>
        <v>-0.62788758315546067</v>
      </c>
      <c r="X1224" s="564">
        <f>IF((O1224-MAX(O$470:O1224))/MAX(O$470:O1224)&gt;X1223,X1223,(O1224-MAX(O$470:O1224))/MAX(O$470:O1224))</f>
        <v>-0.62788758315546067</v>
      </c>
    </row>
    <row r="1225" spans="1:24">
      <c r="A1225" s="799">
        <v>41627</v>
      </c>
      <c r="B1225">
        <v>560.15</v>
      </c>
      <c r="C1225">
        <v>128.503142</v>
      </c>
      <c r="D1225">
        <v>2.6599729999999999</v>
      </c>
      <c r="E1225">
        <f>LN(D1225/参数实验室!$E$53)/参数实验室!$E$55</f>
        <v>0.46120314810404933</v>
      </c>
      <c r="F1225">
        <f t="shared" si="138"/>
        <v>0.22940844773721325</v>
      </c>
      <c r="G1225">
        <f>LN(F1225/参数实验室!$E$58)/参数实验室!$E$59</f>
        <v>-0.96324704544133344</v>
      </c>
      <c r="H1225" s="856">
        <f>INDEX(神经网络!$G$10:$BO$70,MATCH(ROUND(G1225*2,1)/2,神经网络!$E$10:$E$70,0),MATCH(ROUND(E1225*2,1)/2,神经网络!$G$8:$BO$8,0))</f>
        <v>-0.85896403632366813</v>
      </c>
      <c r="I1225">
        <f t="shared" si="130"/>
        <v>746.40841485243322</v>
      </c>
      <c r="J1225">
        <f t="shared" si="131"/>
        <v>223.51462431666724</v>
      </c>
      <c r="K1225">
        <f t="shared" si="132"/>
        <v>3.3394164571305609</v>
      </c>
      <c r="L1225" s="4">
        <f>MIN(MAX(L1224*(1+MAX(MIN(((B1225-B1224)/B1224)/($K$7*卓尔金历!$N$40),0),-卓尔金历!$M$43))+MIN(MAX(((B1225-B1224)/B1224)/($K$7*卓尔金历!$N$40),0),卓尔金历!$M$43),0),1)</f>
        <v>0</v>
      </c>
      <c r="M1225" s="4">
        <f>MIN(MAX(M1224*(1+MAX(MIN(((B1225-B1224)/B1224)/($K$7*30),0),-卓尔金历!$M$43))+MIN(MAX(((B1225-B1224)/B1224)/($K$7*7),0),卓尔金历!$M$43),0),1)</f>
        <v>0</v>
      </c>
      <c r="N1225">
        <f t="shared" si="133"/>
        <v>582.23380442134373</v>
      </c>
      <c r="O1225">
        <f t="shared" si="134"/>
        <v>988.52573404972213</v>
      </c>
      <c r="P1225">
        <f t="shared" si="135"/>
        <v>-0.13026938902259139</v>
      </c>
      <c r="Q1225">
        <f t="shared" si="136"/>
        <v>0.10825607813730408</v>
      </c>
      <c r="R1225">
        <f t="shared" si="137"/>
        <v>8.7547610474139767E-2</v>
      </c>
      <c r="S1225">
        <f t="shared" si="129"/>
        <v>12.982804811636875</v>
      </c>
      <c r="T1225" s="564">
        <f>IF((I1225-MAX(I$470:I1225))/MAX(I$470:I1225)&gt;T1224,T1224,(I1225-MAX(I$470:I1225))/MAX(I$470:I1225))</f>
        <v>-0.91338805338419748</v>
      </c>
      <c r="U1225" s="564">
        <f>IF((J1225-MAX(J$470:J1225))/MAX(J$470:J1225)&gt;U1224,U1224,(J1225-MAX(J$470:J1225))/MAX(J$470:J1225))</f>
        <v>-0.70517826086956548</v>
      </c>
      <c r="V1225" s="564">
        <f>IF((K1225-MAX(K$470:K1225))/MAX(K$470:K1225)&gt;V1224,V1224,(K1225-MAX(K$470:K1225))/MAX(K$470:K1225))</f>
        <v>-0.84885940676762139</v>
      </c>
      <c r="W1225" s="564">
        <f>IF((N1225-MAX(N$470:N1225))/MAX(N$470:N1225)&gt;W1224,W1224,(N1225-MAX(N$470:N1225))/MAX(N$470:N1225))</f>
        <v>-0.62788758315546067</v>
      </c>
      <c r="X1225" s="564">
        <f>IF((O1225-MAX(O$470:O1225))/MAX(O$470:O1225)&gt;X1224,X1224,(O1225-MAX(O$470:O1225))/MAX(O$470:O1225))</f>
        <v>-0.62788758315546067</v>
      </c>
    </row>
    <row r="1226" spans="1:24">
      <c r="A1226" s="799">
        <v>41628</v>
      </c>
      <c r="B1226">
        <v>711.94</v>
      </c>
      <c r="C1226">
        <v>127.666327</v>
      </c>
      <c r="D1226">
        <v>2.330829</v>
      </c>
      <c r="E1226">
        <f>LN(D1226/参数实验室!$E$53)/参数实验室!$E$55</f>
        <v>0.30536721318424981</v>
      </c>
      <c r="F1226">
        <f t="shared" si="138"/>
        <v>0.17932175042840687</v>
      </c>
      <c r="G1226">
        <f>LN(F1226/参数实验室!$E$58)/参数实验室!$E$59</f>
        <v>-1.0925303260353509</v>
      </c>
      <c r="H1226" s="856">
        <f>INDEX(神经网络!$G$10:$BO$70,MATCH(ROUND(G1226*2,1)/2,神经网络!$E$10:$E$70,0),MATCH(ROUND(E1226*2,1)/2,神经网络!$G$8:$BO$8,0))</f>
        <v>-1.0271056575721389</v>
      </c>
      <c r="I1226">
        <f t="shared" si="130"/>
        <v>572.67221078589102</v>
      </c>
      <c r="J1226">
        <f t="shared" si="131"/>
        <v>284.08283787558349</v>
      </c>
      <c r="K1226">
        <f t="shared" si="132"/>
        <v>2.0158634540137119</v>
      </c>
      <c r="L1226" s="4">
        <f>MIN(MAX(L1225*(1+MAX(MIN(((B1226-B1225)/B1225)/($K$7*卓尔金历!$N$40),0),-卓尔金历!$M$43))+MIN(MAX(((B1226-B1225)/B1225)/($K$7*卓尔金历!$N$40),0),卓尔金历!$M$43),0),1)</f>
        <v>1</v>
      </c>
      <c r="M1226" s="4">
        <f>MIN(MAX(M1225*(1+MAX(MIN(((B1226-B1225)/B1225)/($K$7*30),0),-卓尔金历!$M$43))+MIN(MAX(((B1226-B1225)/B1225)/($K$7*7),0),卓尔金历!$M$43),0),1)</f>
        <v>1</v>
      </c>
      <c r="N1226">
        <f t="shared" si="133"/>
        <v>582.23380442134373</v>
      </c>
      <c r="O1226">
        <f t="shared" si="134"/>
        <v>988.52573404972213</v>
      </c>
      <c r="P1226">
        <f t="shared" si="135"/>
        <v>0.27098098723556208</v>
      </c>
      <c r="Q1226">
        <f t="shared" si="136"/>
        <v>0.12419218210036816</v>
      </c>
      <c r="R1226">
        <f t="shared" si="137"/>
        <v>2.3792689824541489E-2</v>
      </c>
      <c r="S1226">
        <f t="shared" si="129"/>
        <v>12.718243322588581</v>
      </c>
      <c r="T1226" s="564">
        <f>IF((I1226-MAX(I$470:I1226))/MAX(I$470:I1226)&gt;T1225,T1225,(I1226-MAX(I$470:I1226))/MAX(I$470:I1226))</f>
        <v>-0.91338805338419748</v>
      </c>
      <c r="U1226" s="564">
        <f>IF((J1226-MAX(J$470:J1226))/MAX(J$470:J1226)&gt;U1225,U1225,(J1226-MAX(J$470:J1226))/MAX(J$470:J1226))</f>
        <v>-0.70517826086956548</v>
      </c>
      <c r="V1226" s="564">
        <f>IF((K1226-MAX(K$470:K1226))/MAX(K$470:K1226)&gt;V1225,V1225,(K1226-MAX(K$470:K1226))/MAX(K$470:K1226))</f>
        <v>-0.84885940676762139</v>
      </c>
      <c r="W1226" s="564">
        <f>IF((N1226-MAX(N$470:N1226))/MAX(N$470:N1226)&gt;W1225,W1225,(N1226-MAX(N$470:N1226))/MAX(N$470:N1226))</f>
        <v>-0.62788758315546067</v>
      </c>
      <c r="X1226" s="564">
        <f>IF((O1226-MAX(O$470:O1226))/MAX(O$470:O1226)&gt;X1225,X1225,(O1226-MAX(O$470:O1226))/MAX(O$470:O1226))</f>
        <v>-0.62788758315546067</v>
      </c>
    </row>
    <row r="1227" spans="1:24">
      <c r="A1227" s="799">
        <v>41629</v>
      </c>
      <c r="B1227">
        <v>638.29999999999995</v>
      </c>
      <c r="C1227">
        <v>127.032437</v>
      </c>
      <c r="D1227">
        <v>2.2807490000000001</v>
      </c>
      <c r="E1227">
        <f>LN(D1227/参数实验室!$E$53)/参数实验室!$E$55</f>
        <v>0.27974285416201849</v>
      </c>
      <c r="F1227">
        <f t="shared" si="138"/>
        <v>0.19901682124392919</v>
      </c>
      <c r="G1227">
        <f>LN(F1227/参数实验室!$E$58)/参数实验室!$E$59</f>
        <v>-1.0378365094844253</v>
      </c>
      <c r="H1227" s="856">
        <f>INDEX(神经网络!$G$10:$BO$70,MATCH(ROUND(G1227*2,1)/2,神经网络!$E$10:$E$70,0),MATCH(ROUND(E1227*2,1)/2,神经网络!$G$8:$BO$8,0))</f>
        <v>-0.9970518675990645</v>
      </c>
      <c r="I1227">
        <f t="shared" si="130"/>
        <v>633.51254852848137</v>
      </c>
      <c r="J1227">
        <f t="shared" si="131"/>
        <v>254.69853557320127</v>
      </c>
      <c r="K1227">
        <f t="shared" si="132"/>
        <v>2.4873034589804606</v>
      </c>
      <c r="L1227" s="4">
        <f>MIN(MAX(L1226*(1+MAX(MIN(((B1227-B1226)/B1226)/($K$7*卓尔金历!$N$40),0),-卓尔金历!$M$43))+MIN(MAX(((B1227-B1226)/B1226)/($K$7*卓尔金历!$N$40),0),卓尔金历!$M$43),0),1)</f>
        <v>0</v>
      </c>
      <c r="M1227" s="4">
        <f>MIN(MAX(M1226*(1+MAX(MIN(((B1227-B1226)/B1226)/($K$7*30),0),-卓尔金历!$M$43))+MIN(MAX(((B1227-B1226)/B1226)/($K$7*7),0),卓尔金历!$M$43),0),1)</f>
        <v>0.20980101344323066</v>
      </c>
      <c r="N1227">
        <f t="shared" si="133"/>
        <v>644.08995989558207</v>
      </c>
      <c r="O1227">
        <f t="shared" si="134"/>
        <v>1093.546090187298</v>
      </c>
      <c r="P1227">
        <f t="shared" si="135"/>
        <v>-0.10343568278225707</v>
      </c>
      <c r="Q1227">
        <f t="shared" si="136"/>
        <v>0.12248090750404091</v>
      </c>
      <c r="R1227">
        <f t="shared" si="137"/>
        <v>0.31418646573056541</v>
      </c>
      <c r="S1227">
        <f t="shared" si="129"/>
        <v>12.750391486909018</v>
      </c>
      <c r="T1227" s="564">
        <f>IF((I1227-MAX(I$470:I1227))/MAX(I$470:I1227)&gt;T1226,T1226,(I1227-MAX(I$470:I1227))/MAX(I$470:I1227))</f>
        <v>-0.91338805338419748</v>
      </c>
      <c r="U1227" s="564">
        <f>IF((J1227-MAX(J$470:J1227))/MAX(J$470:J1227)&gt;U1226,U1226,(J1227-MAX(J$470:J1227))/MAX(J$470:J1227))</f>
        <v>-0.70517826086956548</v>
      </c>
      <c r="V1227" s="564">
        <f>IF((K1227-MAX(K$470:K1227))/MAX(K$470:K1227)&gt;V1226,V1226,(K1227-MAX(K$470:K1227))/MAX(K$470:K1227))</f>
        <v>-0.84885940676762139</v>
      </c>
      <c r="W1227" s="564">
        <f>IF((N1227-MAX(N$470:N1227))/MAX(N$470:N1227)&gt;W1226,W1226,(N1227-MAX(N$470:N1227))/MAX(N$470:N1227))</f>
        <v>-0.62788758315546067</v>
      </c>
      <c r="X1227" s="564">
        <f>IF((O1227-MAX(O$470:O1227))/MAX(O$470:O1227)&gt;X1226,X1226,(O1227-MAX(O$470:O1227))/MAX(O$470:O1227))</f>
        <v>-0.62788758315546067</v>
      </c>
    </row>
    <row r="1228" spans="1:24">
      <c r="A1228" s="799">
        <v>41630</v>
      </c>
      <c r="B1228">
        <v>609.69000000000005</v>
      </c>
      <c r="C1228">
        <v>127.387017</v>
      </c>
      <c r="D1228">
        <v>2.38571</v>
      </c>
      <c r="E1228">
        <f>LN(D1228/参数实验室!$E$53)/参数实验室!$E$55</f>
        <v>0.3328233457762787</v>
      </c>
      <c r="F1228">
        <f t="shared" si="138"/>
        <v>0.20893735668946511</v>
      </c>
      <c r="G1228">
        <f>LN(F1228/参数实验室!$E$58)/参数实验室!$E$59</f>
        <v>-1.012304917239611</v>
      </c>
      <c r="H1228" s="856">
        <f>INDEX(神经网络!$G$10:$BO$70,MATCH(ROUND(G1228*2,1)/2,神经网络!$E$10:$E$70,0),MATCH(ROUND(E1228*2,1)/2,神经网络!$G$8:$BO$8,0))</f>
        <v>-0.94524839738533772</v>
      </c>
      <c r="I1228">
        <f t="shared" si="130"/>
        <v>661.82425105222978</v>
      </c>
      <c r="J1228">
        <f t="shared" si="131"/>
        <v>243.28239096604275</v>
      </c>
      <c r="K1228">
        <f t="shared" si="132"/>
        <v>2.7203952099624296</v>
      </c>
      <c r="L1228" s="4">
        <f>MIN(MAX(L1227*(1+MAX(MIN(((B1228-B1227)/B1227)/($K$7*卓尔金历!$N$40),0),-卓尔金历!$M$43))+MIN(MAX(((B1228-B1227)/B1227)/($K$7*卓尔金历!$N$40),0),卓尔金历!$M$43),0),1)</f>
        <v>0</v>
      </c>
      <c r="M1228" s="4">
        <f>MIN(MAX(M1227*(1+MAX(MIN(((B1228-B1227)/B1227)/($K$7*30),0),-卓尔金历!$M$43))+MIN(MAX(((B1228-B1227)/B1227)/($K$7*7),0),卓尔金历!$M$43),0),1)</f>
        <v>0.13796095485122079</v>
      </c>
      <c r="N1228">
        <f t="shared" si="133"/>
        <v>644.08995989558207</v>
      </c>
      <c r="O1228">
        <f t="shared" si="134"/>
        <v>1103.7991959819906</v>
      </c>
      <c r="P1228">
        <f t="shared" si="135"/>
        <v>-4.4822183926053423E-2</v>
      </c>
      <c r="Q1228">
        <f t="shared" si="136"/>
        <v>0.12259399626909964</v>
      </c>
      <c r="R1228">
        <f t="shared" si="137"/>
        <v>1</v>
      </c>
      <c r="S1228">
        <f t="shared" si="129"/>
        <v>12.92941981550768</v>
      </c>
      <c r="T1228" s="564">
        <f>IF((I1228-MAX(I$470:I1228))/MAX(I$470:I1228)&gt;T1227,T1227,(I1228-MAX(I$470:I1228))/MAX(I$470:I1228))</f>
        <v>-0.91338805338419748</v>
      </c>
      <c r="U1228" s="564">
        <f>IF((J1228-MAX(J$470:J1228))/MAX(J$470:J1228)&gt;U1227,U1227,(J1228-MAX(J$470:J1228))/MAX(J$470:J1228))</f>
        <v>-0.70517826086956548</v>
      </c>
      <c r="V1228" s="564">
        <f>IF((K1228-MAX(K$470:K1228))/MAX(K$470:K1228)&gt;V1227,V1227,(K1228-MAX(K$470:K1228))/MAX(K$470:K1228))</f>
        <v>-0.84885940676762139</v>
      </c>
      <c r="W1228" s="564">
        <f>IF((N1228-MAX(N$470:N1228))/MAX(N$470:N1228)&gt;W1227,W1227,(N1228-MAX(N$470:N1228))/MAX(N$470:N1228))</f>
        <v>-0.62788758315546067</v>
      </c>
      <c r="X1228" s="564">
        <f>IF((O1228-MAX(O$470:O1228))/MAX(O$470:O1228)&gt;X1227,X1227,(O1228-MAX(O$470:O1228))/MAX(O$470:O1228))</f>
        <v>-0.62788758315546067</v>
      </c>
    </row>
    <row r="1229" spans="1:24">
      <c r="A1229" s="799">
        <v>41631</v>
      </c>
      <c r="B1229">
        <v>645.14</v>
      </c>
      <c r="C1229">
        <v>127.463246</v>
      </c>
      <c r="D1229">
        <v>2.5449410000000001</v>
      </c>
      <c r="E1229">
        <f>LN(D1229/参数实验室!$E$53)/参数实验室!$E$55</f>
        <v>0.40904802051378819</v>
      </c>
      <c r="F1229">
        <f t="shared" si="138"/>
        <v>0.19757455126019158</v>
      </c>
      <c r="G1229">
        <f>LN(F1229/参数实验室!$E$58)/参数实验室!$E$59</f>
        <v>-1.0416539630237511</v>
      </c>
      <c r="H1229" s="856">
        <f>INDEX(神经网络!$G$10:$BO$70,MATCH(ROUND(G1229*2,1)/2,神经网络!$E$10:$E$70,0),MATCH(ROUND(E1229*2,1)/2,神经网络!$G$8:$BO$8,0))</f>
        <v>-0.95986607117503553</v>
      </c>
      <c r="I1229">
        <f t="shared" si="130"/>
        <v>625.44985474636701</v>
      </c>
      <c r="J1229">
        <f t="shared" si="131"/>
        <v>257.4278759826023</v>
      </c>
      <c r="K1229">
        <f t="shared" si="132"/>
        <v>2.4296119927145599</v>
      </c>
      <c r="L1229" s="4">
        <f>MIN(MAX(L1228*(1+MAX(MIN(((B1229-B1228)/B1228)/($K$7*卓尔金历!$N$40),0),-卓尔金历!$M$43))+MIN(MAX(((B1229-B1228)/B1228)/($K$7*卓尔金历!$N$40),0),卓尔金历!$M$43),0),1)</f>
        <v>0.88838915051891176</v>
      </c>
      <c r="M1229" s="4">
        <f>MIN(MAX(M1228*(1+MAX(MIN(((B1229-B1228)/B1228)/($K$7*30),0),-卓尔金历!$M$43))+MIN(MAX(((B1229-B1228)/B1228)/($K$7*7),0),卓尔金历!$M$43),0),1)</f>
        <v>1</v>
      </c>
      <c r="N1229">
        <f t="shared" si="133"/>
        <v>644.08995989558207</v>
      </c>
      <c r="O1229">
        <f t="shared" si="134"/>
        <v>1095.4296985148421</v>
      </c>
      <c r="P1229">
        <f t="shared" si="135"/>
        <v>5.8144302842428004E-2</v>
      </c>
      <c r="Q1229">
        <f t="shared" si="136"/>
        <v>0.12196534594349949</v>
      </c>
      <c r="R1229">
        <f t="shared" si="137"/>
        <v>0.95422179272755803</v>
      </c>
      <c r="S1229">
        <f t="shared" si="129"/>
        <v>12.21880844152671</v>
      </c>
      <c r="T1229" s="564">
        <f>IF((I1229-MAX(I$470:I1229))/MAX(I$470:I1229)&gt;T1228,T1228,(I1229-MAX(I$470:I1229))/MAX(I$470:I1229))</f>
        <v>-0.91338805338419748</v>
      </c>
      <c r="U1229" s="564">
        <f>IF((J1229-MAX(J$470:J1229))/MAX(J$470:J1229)&gt;U1228,U1228,(J1229-MAX(J$470:J1229))/MAX(J$470:J1229))</f>
        <v>-0.70517826086956548</v>
      </c>
      <c r="V1229" s="564">
        <f>IF((K1229-MAX(K$470:K1229))/MAX(K$470:K1229)&gt;V1228,V1228,(K1229-MAX(K$470:K1229))/MAX(K$470:K1229))</f>
        <v>-0.84885940676762139</v>
      </c>
      <c r="W1229" s="564">
        <f>IF((N1229-MAX(N$470:N1229))/MAX(N$470:N1229)&gt;W1228,W1228,(N1229-MAX(N$470:N1229))/MAX(N$470:N1229))</f>
        <v>-0.62788758315546067</v>
      </c>
      <c r="X1229" s="564">
        <f>IF((O1229-MAX(O$470:O1229))/MAX(O$470:O1229)&gt;X1228,X1228,(O1229-MAX(O$470:O1229))/MAX(O$470:O1229))</f>
        <v>-0.62788758315546067</v>
      </c>
    </row>
    <row r="1230" spans="1:24">
      <c r="A1230" s="799">
        <v>41632</v>
      </c>
      <c r="B1230">
        <v>671.42</v>
      </c>
      <c r="C1230">
        <v>127.537766</v>
      </c>
      <c r="D1230">
        <v>2.4685899999999998</v>
      </c>
      <c r="E1230">
        <f>LN(D1230/参数实验室!$E$53)/参数实验室!$E$55</f>
        <v>0.37311234787682018</v>
      </c>
      <c r="F1230">
        <f t="shared" si="138"/>
        <v>0.18995228917815973</v>
      </c>
      <c r="G1230">
        <f>LN(F1230/参数实验室!$E$58)/参数实验室!$E$59</f>
        <v>-1.0623033254587702</v>
      </c>
      <c r="H1230" s="856">
        <f>INDEX(神经网络!$G$10:$BO$70,MATCH(ROUND(G1230*2,1)/2,神经网络!$E$10:$E$70,0),MATCH(ROUND(E1230*2,1)/2,神经网络!$G$8:$BO$8,0))</f>
        <v>-0.98045011378911218</v>
      </c>
      <c r="I1230">
        <f t="shared" si="130"/>
        <v>600.99446842534519</v>
      </c>
      <c r="J1230">
        <f t="shared" si="131"/>
        <v>267.91428913451165</v>
      </c>
      <c r="K1230">
        <f t="shared" si="132"/>
        <v>2.2432340968704514</v>
      </c>
      <c r="L1230" s="4">
        <f>MIN(MAX(L1229*(1+MAX(MIN(((B1230-B1229)/B1229)/($K$7*卓尔金历!$N$40),0),-卓尔金历!$M$43))+MIN(MAX(((B1230-B1229)/B1229)/($K$7*卓尔金历!$N$40),0),卓尔金历!$M$43),0),1)</f>
        <v>1</v>
      </c>
      <c r="M1230" s="4">
        <f>MIN(MAX(M1229*(1+MAX(MIN(((B1230-B1229)/B1229)/($K$7*30),0),-卓尔金历!$M$43))+MIN(MAX(((B1230-B1229)/B1229)/($K$7*7),0),卓尔金历!$M$43),0),1)</f>
        <v>1</v>
      </c>
      <c r="N1230">
        <f t="shared" si="133"/>
        <v>621.71656916602944</v>
      </c>
      <c r="O1230">
        <f t="shared" si="134"/>
        <v>1052.5978771283546</v>
      </c>
      <c r="P1230">
        <f t="shared" si="135"/>
        <v>4.0735344266360746E-2</v>
      </c>
      <c r="Q1230">
        <f t="shared" si="136"/>
        <v>0.12211772562710732</v>
      </c>
      <c r="R1230">
        <f t="shared" si="137"/>
        <v>1</v>
      </c>
      <c r="S1230">
        <f t="shared" si="129"/>
        <v>11.762918281055109</v>
      </c>
      <c r="T1230" s="564">
        <f>IF((I1230-MAX(I$470:I1230))/MAX(I$470:I1230)&gt;T1229,T1229,(I1230-MAX(I$470:I1230))/MAX(I$470:I1230))</f>
        <v>-0.91338805338419748</v>
      </c>
      <c r="U1230" s="564">
        <f>IF((J1230-MAX(J$470:J1230))/MAX(J$470:J1230)&gt;U1229,U1229,(J1230-MAX(J$470:J1230))/MAX(J$470:J1230))</f>
        <v>-0.70517826086956548</v>
      </c>
      <c r="V1230" s="564">
        <f>IF((K1230-MAX(K$470:K1230))/MAX(K$470:K1230)&gt;V1229,V1229,(K1230-MAX(K$470:K1230))/MAX(K$470:K1230))</f>
        <v>-0.84885940676762139</v>
      </c>
      <c r="W1230" s="564">
        <f>IF((N1230-MAX(N$470:N1230))/MAX(N$470:N1230)&gt;W1229,W1229,(N1230-MAX(N$470:N1230))/MAX(N$470:N1230))</f>
        <v>-0.62788758315546067</v>
      </c>
      <c r="X1230" s="564">
        <f>IF((O1230-MAX(O$470:O1230))/MAX(O$470:O1230)&gt;X1229,X1229,(O1230-MAX(O$470:O1230))/MAX(O$470:O1230))</f>
        <v>-0.62788758315546067</v>
      </c>
    </row>
    <row r="1231" spans="1:24">
      <c r="A1231" s="799">
        <v>41633</v>
      </c>
      <c r="B1231">
        <v>654.72</v>
      </c>
      <c r="C1231">
        <v>128.452765</v>
      </c>
      <c r="D1231">
        <v>2.5611969999999999</v>
      </c>
      <c r="E1231">
        <f>LN(D1231/参数实验室!$E$53)/参数实验室!$E$55</f>
        <v>0.41655981652364132</v>
      </c>
      <c r="F1231">
        <f t="shared" si="138"/>
        <v>0.19619496120478983</v>
      </c>
      <c r="G1231">
        <f>LN(F1231/参数实验室!$E$58)/参数实验室!$E$59</f>
        <v>-1.0453316798512011</v>
      </c>
      <c r="H1231" s="856">
        <f>INDEX(神经网络!$G$10:$BO$70,MATCH(ROUND(G1231*2,1)/2,神经网络!$E$10:$E$70,0),MATCH(ROUND(E1231*2,1)/2,神经网络!$G$8:$BO$8,0))</f>
        <v>-0.95986607117503553</v>
      </c>
      <c r="I1231">
        <f t="shared" si="130"/>
        <v>615.65056012016521</v>
      </c>
      <c r="J1231">
        <f t="shared" si="131"/>
        <v>261.25054866126635</v>
      </c>
      <c r="K1231">
        <f t="shared" si="132"/>
        <v>2.3565522188372845</v>
      </c>
      <c r="L1231" s="4">
        <f>MIN(MAX(L1230*(1+MAX(MIN(((B1231-B1230)/B1230)/($K$7*卓尔金历!$N$40),0),-卓尔金历!$M$43))+MIN(MAX(((B1231-B1230)/B1230)/($K$7*卓尔金历!$N$40),0),卓尔金历!$M$43),0),1)</f>
        <v>0.61996965504623835</v>
      </c>
      <c r="M1231" s="4">
        <f>MIN(MAX(M1230*(1+MAX(MIN(((B1231-B1230)/B1230)/($K$7*30),0),-卓尔金历!$M$43))+MIN(MAX(((B1231-B1230)/B1230)/($K$7*7),0),卓尔金历!$M$43),0),1)</f>
        <v>0.80998482752311918</v>
      </c>
      <c r="N1231">
        <f t="shared" si="133"/>
        <v>636.8779983049036</v>
      </c>
      <c r="O1231">
        <f t="shared" si="134"/>
        <v>1078.2669503319501</v>
      </c>
      <c r="P1231">
        <f t="shared" si="135"/>
        <v>-2.4872657948824779E-2</v>
      </c>
      <c r="Q1231">
        <f t="shared" si="136"/>
        <v>0.12144887613387695</v>
      </c>
      <c r="R1231">
        <f t="shared" si="137"/>
        <v>1</v>
      </c>
      <c r="S1231">
        <f t="shared" si="129"/>
        <v>12.049773515143229</v>
      </c>
      <c r="T1231" s="564">
        <f>IF((I1231-MAX(I$470:I1231))/MAX(I$470:I1231)&gt;T1230,T1230,(I1231-MAX(I$470:I1231))/MAX(I$470:I1231))</f>
        <v>-0.91338805338419748</v>
      </c>
      <c r="U1231" s="564">
        <f>IF((J1231-MAX(J$470:J1231))/MAX(J$470:J1231)&gt;U1230,U1230,(J1231-MAX(J$470:J1231))/MAX(J$470:J1231))</f>
        <v>-0.70517826086956548</v>
      </c>
      <c r="V1231" s="564">
        <f>IF((K1231-MAX(K$470:K1231))/MAX(K$470:K1231)&gt;V1230,V1230,(K1231-MAX(K$470:K1231))/MAX(K$470:K1231))</f>
        <v>-0.84885940676762139</v>
      </c>
      <c r="W1231" s="564">
        <f>IF((N1231-MAX(N$470:N1231))/MAX(N$470:N1231)&gt;W1230,W1230,(N1231-MAX(N$470:N1231))/MAX(N$470:N1231))</f>
        <v>-0.62788758315546067</v>
      </c>
      <c r="X1231" s="564">
        <f>IF((O1231-MAX(O$470:O1231))/MAX(O$470:O1231)&gt;X1230,X1230,(O1231-MAX(O$470:O1231))/MAX(O$470:O1231))</f>
        <v>-0.62788758315546067</v>
      </c>
    </row>
    <row r="1232" spans="1:24">
      <c r="A1232" s="799">
        <v>41634</v>
      </c>
      <c r="B1232">
        <v>693.91</v>
      </c>
      <c r="C1232">
        <v>127.129783</v>
      </c>
      <c r="D1232">
        <v>2.816627</v>
      </c>
      <c r="E1232">
        <f>LN(D1232/参数实验室!$E$53)/参数实验室!$E$55</f>
        <v>0.52871346263967811</v>
      </c>
      <c r="F1232">
        <f t="shared" si="138"/>
        <v>0.18320788430776327</v>
      </c>
      <c r="G1232">
        <f>LN(F1232/参数实验室!$E$58)/参数实验室!$E$59</f>
        <v>-1.0812775565383681</v>
      </c>
      <c r="H1232" s="856">
        <f>INDEX(神经网络!$G$10:$BO$70,MATCH(ROUND(G1232*2,1)/2,神经网络!$E$10:$E$70,0),MATCH(ROUND(E1232*2,1)/2,神经网络!$G$8:$BO$8,0))</f>
        <v>-0.91495864410187711</v>
      </c>
      <c r="I1232">
        <f t="shared" si="130"/>
        <v>580.27815621309185</v>
      </c>
      <c r="J1232">
        <f t="shared" si="131"/>
        <v>276.88839232273233</v>
      </c>
      <c r="K1232">
        <f t="shared" si="132"/>
        <v>2.0957113851733373</v>
      </c>
      <c r="L1232" s="4">
        <f>MIN(MAX(L1231*(1+MAX(MIN(((B1232-B1231)/B1231)/($K$7*卓尔金历!$N$40),0),-卓尔金历!$M$43))+MIN(MAX(((B1232-B1231)/B1231)/($K$7*卓尔金历!$N$40),0),卓尔金历!$M$43),0),1)</f>
        <v>1</v>
      </c>
      <c r="M1232" s="4">
        <f>MIN(MAX(M1231*(1+MAX(MIN(((B1232-B1231)/B1231)/($K$7*30),0),-卓尔金历!$M$43))+MIN(MAX(((B1232-B1231)/B1231)/($K$7*7),0),卓尔金历!$M$43),0),1)</f>
        <v>1</v>
      </c>
      <c r="N1232">
        <f t="shared" si="133"/>
        <v>614.19204804398396</v>
      </c>
      <c r="O1232">
        <f t="shared" si="134"/>
        <v>1028.0866248037216</v>
      </c>
      <c r="P1232">
        <f t="shared" si="135"/>
        <v>5.9857649071358654E-2</v>
      </c>
      <c r="Q1232">
        <f t="shared" si="136"/>
        <v>0.12181092529985132</v>
      </c>
      <c r="R1232">
        <f t="shared" si="137"/>
        <v>0.91823922453399787</v>
      </c>
      <c r="S1232">
        <f t="shared" si="129"/>
        <v>11.357449844255626</v>
      </c>
      <c r="T1232" s="564">
        <f>IF((I1232-MAX(I$470:I1232))/MAX(I$470:I1232)&gt;T1231,T1231,(I1232-MAX(I$470:I1232))/MAX(I$470:I1232))</f>
        <v>-0.91338805338419748</v>
      </c>
      <c r="U1232" s="564">
        <f>IF((J1232-MAX(J$470:J1232))/MAX(J$470:J1232)&gt;U1231,U1231,(J1232-MAX(J$470:J1232))/MAX(J$470:J1232))</f>
        <v>-0.70517826086956548</v>
      </c>
      <c r="V1232" s="564">
        <f>IF((K1232-MAX(K$470:K1232))/MAX(K$470:K1232)&gt;V1231,V1231,(K1232-MAX(K$470:K1232))/MAX(K$470:K1232))</f>
        <v>-0.84885940676762139</v>
      </c>
      <c r="W1232" s="564">
        <f>IF((N1232-MAX(N$470:N1232))/MAX(N$470:N1232)&gt;W1231,W1231,(N1232-MAX(N$470:N1232))/MAX(N$470:N1232))</f>
        <v>-0.62788758315546067</v>
      </c>
      <c r="X1232" s="564">
        <f>IF((O1232-MAX(O$470:O1232))/MAX(O$470:O1232)&gt;X1231,X1231,(O1232-MAX(O$470:O1232))/MAX(O$470:O1232))</f>
        <v>-0.62788758315546067</v>
      </c>
    </row>
    <row r="1233" spans="1:24">
      <c r="A1233" s="799">
        <v>41635</v>
      </c>
      <c r="B1233">
        <v>736.34</v>
      </c>
      <c r="C1233">
        <v>126.520568</v>
      </c>
      <c r="D1233">
        <v>2.698817</v>
      </c>
      <c r="E1233">
        <f>LN(D1233/参数实验室!$E$53)/参数实验室!$E$55</f>
        <v>0.47830668739222226</v>
      </c>
      <c r="F1233">
        <f t="shared" si="138"/>
        <v>0.17182357063313142</v>
      </c>
      <c r="G1233">
        <f>LN(F1233/参数实验室!$E$58)/参数实验室!$E$59</f>
        <v>-1.1149486700100237</v>
      </c>
      <c r="H1233" s="856">
        <f>INDEX(神经网络!$G$10:$BO$70,MATCH(ROUND(G1233*2,1)/2,神经网络!$E$10:$E$70,0),MATCH(ROUND(E1233*2,1)/2,神经网络!$G$8:$BO$8,0))</f>
        <v>-0.94552336175976015</v>
      </c>
      <c r="I1233">
        <f t="shared" si="130"/>
        <v>547.813741877079</v>
      </c>
      <c r="J1233">
        <f t="shared" si="131"/>
        <v>293.81908144128312</v>
      </c>
      <c r="K1233">
        <f t="shared" si="132"/>
        <v>1.8644593781651797</v>
      </c>
      <c r="L1233" s="4">
        <f>MIN(MAX(L1232*(1+MAX(MIN(((B1233-B1232)/B1232)/($K$7*卓尔金历!$N$40),0),-卓尔金历!$M$43))+MIN(MAX(((B1233-B1232)/B1232)/($K$7*卓尔金历!$N$40),0),卓尔金历!$M$43),0),1)</f>
        <v>1</v>
      </c>
      <c r="M1233" s="4">
        <f>MIN(MAX(M1232*(1+MAX(MIN(((B1233-B1232)/B1232)/($K$7*30),0),-卓尔金历!$M$43))+MIN(MAX(((B1233-B1232)/B1232)/($K$7*7),0),卓尔金历!$M$43),0),1)</f>
        <v>1</v>
      </c>
      <c r="N1233">
        <f t="shared" si="133"/>
        <v>579.83027702763366</v>
      </c>
      <c r="O1233">
        <f t="shared" si="134"/>
        <v>970.56898467962151</v>
      </c>
      <c r="P1233">
        <f t="shared" si="135"/>
        <v>6.1146258160280249E-2</v>
      </c>
      <c r="Q1233">
        <f t="shared" si="136"/>
        <v>0.12092031199588862</v>
      </c>
      <c r="R1233">
        <f t="shared" si="137"/>
        <v>0.88673237911978309</v>
      </c>
      <c r="S1233">
        <f t="shared" si="129"/>
        <v>10.773993967817507</v>
      </c>
      <c r="T1233" s="564">
        <f>IF((I1233-MAX(I$470:I1233))/MAX(I$470:I1233)&gt;T1232,T1232,(I1233-MAX(I$470:I1233))/MAX(I$470:I1233))</f>
        <v>-0.91338805338419748</v>
      </c>
      <c r="U1233" s="564">
        <f>IF((J1233-MAX(J$470:J1233))/MAX(J$470:J1233)&gt;U1232,U1232,(J1233-MAX(J$470:J1233))/MAX(J$470:J1233))</f>
        <v>-0.70517826086956548</v>
      </c>
      <c r="V1233" s="564">
        <f>IF((K1233-MAX(K$470:K1233))/MAX(K$470:K1233)&gt;V1232,V1232,(K1233-MAX(K$470:K1233))/MAX(K$470:K1233))</f>
        <v>-0.84885940676762139</v>
      </c>
      <c r="W1233" s="564">
        <f>IF((N1233-MAX(N$470:N1233))/MAX(N$470:N1233)&gt;W1232,W1232,(N1233-MAX(N$470:N1233))/MAX(N$470:N1233))</f>
        <v>-0.62788758315546067</v>
      </c>
      <c r="X1233" s="564">
        <f>IF((O1233-MAX(O$470:O1233))/MAX(O$470:O1233)&gt;X1232,X1232,(O1233-MAX(O$470:O1233))/MAX(O$470:O1233))</f>
        <v>-0.62788758315546067</v>
      </c>
    </row>
    <row r="1234" spans="1:24">
      <c r="A1234" s="799">
        <v>41636</v>
      </c>
      <c r="B1234">
        <v>729.8</v>
      </c>
      <c r="C1234">
        <v>128.82537099999999</v>
      </c>
      <c r="D1234">
        <v>2.671271</v>
      </c>
      <c r="E1234">
        <f>LN(D1234/参数实验室!$E$53)/参数实验室!$E$55</f>
        <v>0.46620343400500602</v>
      </c>
      <c r="F1234">
        <f t="shared" si="138"/>
        <v>0.17652147300630308</v>
      </c>
      <c r="G1234">
        <f>LN(F1234/参数实验室!$E$58)/参数实验室!$E$59</f>
        <v>-1.1007910834150096</v>
      </c>
      <c r="H1234" s="856">
        <f>INDEX(神经网络!$G$10:$BO$70,MATCH(ROUND(G1234*2,1)/2,神经网络!$E$10:$E$70,0),MATCH(ROUND(E1234*2,1)/2,神经网络!$G$8:$BO$8,0))</f>
        <v>-0.97060530399514533</v>
      </c>
      <c r="I1234">
        <f t="shared" si="130"/>
        <v>552.41423664590775</v>
      </c>
      <c r="J1234">
        <f t="shared" si="131"/>
        <v>291.20944894457506</v>
      </c>
      <c r="K1234">
        <f t="shared" si="132"/>
        <v>1.8969653582602224</v>
      </c>
      <c r="L1234" s="4">
        <f>MIN(MAX(L1233*(1+MAX(MIN(((B1234-B1233)/B1233)/($K$7*卓尔金历!$N$40),0),-卓尔金历!$M$43))+MIN(MAX(((B1234-B1233)/B1233)/($K$7*卓尔金历!$N$40),0),卓尔金历!$M$43),0),1)</f>
        <v>0.86429512992436486</v>
      </c>
      <c r="M1234" s="4">
        <f>MIN(MAX(M1233*(1+MAX(MIN(((B1234-B1233)/B1233)/($K$7*30),0),-卓尔金历!$M$43))+MIN(MAX(((B1234-B1233)/B1233)/($K$7*7),0),卓尔金历!$M$43),0),1)</f>
        <v>0.93214756496218243</v>
      </c>
      <c r="N1234">
        <f t="shared" si="133"/>
        <v>584.69964402659571</v>
      </c>
      <c r="O1234">
        <f t="shared" si="134"/>
        <v>978.71974322303879</v>
      </c>
      <c r="P1234">
        <f t="shared" si="135"/>
        <v>-8.881766575223507E-3</v>
      </c>
      <c r="Q1234">
        <f t="shared" si="136"/>
        <v>0.109505600336376</v>
      </c>
      <c r="R1234">
        <f t="shared" si="137"/>
        <v>1</v>
      </c>
      <c r="S1234">
        <f t="shared" si="129"/>
        <v>10.854224729269966</v>
      </c>
      <c r="T1234" s="564">
        <f>IF((I1234-MAX(I$470:I1234))/MAX(I$470:I1234)&gt;T1233,T1233,(I1234-MAX(I$470:I1234))/MAX(I$470:I1234))</f>
        <v>-0.91338805338419748</v>
      </c>
      <c r="U1234" s="564">
        <f>IF((J1234-MAX(J$470:J1234))/MAX(J$470:J1234)&gt;U1233,U1233,(J1234-MAX(J$470:J1234))/MAX(J$470:J1234))</f>
        <v>-0.70517826086956548</v>
      </c>
      <c r="V1234" s="564">
        <f>IF((K1234-MAX(K$470:K1234))/MAX(K$470:K1234)&gt;V1233,V1233,(K1234-MAX(K$470:K1234))/MAX(K$470:K1234))</f>
        <v>-0.84885940676762139</v>
      </c>
      <c r="W1234" s="564">
        <f>IF((N1234-MAX(N$470:N1234))/MAX(N$470:N1234)&gt;W1233,W1233,(N1234-MAX(N$470:N1234))/MAX(N$470:N1234))</f>
        <v>-0.62788758315546067</v>
      </c>
      <c r="X1234" s="564">
        <f>IF((O1234-MAX(O$470:O1234))/MAX(O$470:O1234)&gt;X1233,X1233,(O1234-MAX(O$470:O1234))/MAX(O$470:O1234))</f>
        <v>-0.62788758315546067</v>
      </c>
    </row>
    <row r="1235" spans="1:24">
      <c r="A1235" s="799">
        <v>41637</v>
      </c>
      <c r="B1235">
        <v>719.49</v>
      </c>
      <c r="C1235">
        <v>129.32679899999999</v>
      </c>
      <c r="D1235">
        <v>2.7099519999999999</v>
      </c>
      <c r="E1235">
        <f>LN(D1235/参数实验室!$E$53)/参数实验室!$E$55</f>
        <v>0.48316419597882071</v>
      </c>
      <c r="F1235">
        <f t="shared" si="138"/>
        <v>0.17974787557853478</v>
      </c>
      <c r="G1235">
        <f>LN(F1235/参数实验室!$E$58)/参数实验室!$E$59</f>
        <v>-1.091284586509085</v>
      </c>
      <c r="H1235" s="856">
        <f>INDEX(神经网络!$G$10:$BO$70,MATCH(ROUND(G1235*2,1)/2,神经网络!$E$10:$E$70,0),MATCH(ROUND(E1235*2,1)/2,神经网络!$G$8:$BO$8,0))</f>
        <v>-0.94552336175976015</v>
      </c>
      <c r="I1235">
        <f t="shared" si="130"/>
        <v>559.98888243820386</v>
      </c>
      <c r="J1235">
        <f t="shared" si="131"/>
        <v>287.09548701169132</v>
      </c>
      <c r="K1235">
        <f t="shared" si="132"/>
        <v>1.9505318187582641</v>
      </c>
      <c r="L1235" s="4">
        <f>MIN(MAX(L1234*(1+MAX(MIN(((B1235-B1234)/B1234)/($K$7*卓尔金历!$N$40),0),-卓尔金历!$M$43))+MIN(MAX(((B1235-B1234)/B1234)/($K$7*卓尔金历!$N$40),0),卓尔金历!$M$43),0),1)</f>
        <v>0.67773752799322307</v>
      </c>
      <c r="M1235" s="4">
        <f>MIN(MAX(M1234*(1+MAX(MIN(((B1235-B1234)/B1234)/($K$7*30),0),-卓尔金历!$M$43))+MIN(MAX(((B1235-B1234)/B1234)/($K$7*7),0),卓尔金历!$M$43),0),1)</f>
        <v>0.8315458096448084</v>
      </c>
      <c r="N1235">
        <f t="shared" si="133"/>
        <v>591.62899185334925</v>
      </c>
      <c r="O1235">
        <f t="shared" si="134"/>
        <v>991.22925859486145</v>
      </c>
      <c r="P1235">
        <f t="shared" si="135"/>
        <v>-1.4127158125513765E-2</v>
      </c>
      <c r="Q1235">
        <f t="shared" si="136"/>
        <v>0.10747775126088487</v>
      </c>
      <c r="R1235">
        <f t="shared" si="137"/>
        <v>1</v>
      </c>
      <c r="S1235">
        <f t="shared" si="129"/>
        <v>11.003056714798429</v>
      </c>
      <c r="T1235" s="564">
        <f>IF((I1235-MAX(I$470:I1235))/MAX(I$470:I1235)&gt;T1234,T1234,(I1235-MAX(I$470:I1235))/MAX(I$470:I1235))</f>
        <v>-0.91338805338419748</v>
      </c>
      <c r="U1235" s="564">
        <f>IF((J1235-MAX(J$470:J1235))/MAX(J$470:J1235)&gt;U1234,U1234,(J1235-MAX(J$470:J1235))/MAX(J$470:J1235))</f>
        <v>-0.70517826086956548</v>
      </c>
      <c r="V1235" s="564">
        <f>IF((K1235-MAX(K$470:K1235))/MAX(K$470:K1235)&gt;V1234,V1234,(K1235-MAX(K$470:K1235))/MAX(K$470:K1235))</f>
        <v>-0.84885940676762139</v>
      </c>
      <c r="W1235" s="564">
        <f>IF((N1235-MAX(N$470:N1235))/MAX(N$470:N1235)&gt;W1234,W1234,(N1235-MAX(N$470:N1235))/MAX(N$470:N1235))</f>
        <v>-0.62788758315546067</v>
      </c>
      <c r="X1235" s="564">
        <f>IF((O1235-MAX(O$470:O1235))/MAX(O$470:O1235)&gt;X1234,X1234,(O1235-MAX(O$470:O1235))/MAX(O$470:O1235))</f>
        <v>-0.62788758315546067</v>
      </c>
    </row>
    <row r="1236" spans="1:24">
      <c r="A1236" s="799">
        <v>41638</v>
      </c>
      <c r="B1236">
        <v>752.77</v>
      </c>
      <c r="C1236">
        <v>129.69144399999999</v>
      </c>
      <c r="D1236">
        <v>2.739735</v>
      </c>
      <c r="E1236">
        <f>LN(D1236/参数实验室!$E$53)/参数实验室!$E$55</f>
        <v>0.4960592267141351</v>
      </c>
      <c r="F1236">
        <f t="shared" si="138"/>
        <v>0.17228561712076729</v>
      </c>
      <c r="G1236">
        <f>LN(F1236/参数实验室!$E$58)/参数实验室!$E$59</f>
        <v>-1.1135391923122533</v>
      </c>
      <c r="H1236" s="856">
        <f>INDEX(神经网络!$G$10:$BO$70,MATCH(ROUND(G1236*2,1)/2,神经网络!$E$10:$E$70,0),MATCH(ROUND(E1236*2,1)/2,神经网络!$G$8:$BO$8,0))</f>
        <v>-0.94552336175976015</v>
      </c>
      <c r="I1236">
        <f t="shared" si="130"/>
        <v>535.49767345415557</v>
      </c>
      <c r="J1236">
        <f t="shared" si="131"/>
        <v>300.37508479310463</v>
      </c>
      <c r="K1236">
        <f t="shared" si="132"/>
        <v>1.7827632868518408</v>
      </c>
      <c r="L1236" s="4">
        <f>MIN(MAX(L1235*(1+MAX(MIN(((B1236-B1235)/B1235)/($K$7*卓尔金历!$N$40),0),-卓尔金历!$M$43))+MIN(MAX(((B1236-B1235)/B1235)/($K$7*卓尔金历!$N$40),0),卓尔金历!$M$43),0),1)</f>
        <v>1</v>
      </c>
      <c r="M1236" s="4">
        <f>MIN(MAX(M1235*(1+MAX(MIN(((B1236-B1235)/B1235)/($K$7*30),0),-卓尔金历!$M$43))+MIN(MAX(((B1236-B1235)/B1235)/($K$7*7),0),卓尔金历!$M$43),0),1)</f>
        <v>1</v>
      </c>
      <c r="N1236">
        <f t="shared" si="133"/>
        <v>574.09253701097703</v>
      </c>
      <c r="O1236">
        <f t="shared" si="134"/>
        <v>955.18043377486447</v>
      </c>
      <c r="P1236">
        <f t="shared" si="135"/>
        <v>4.6254986170759807E-2</v>
      </c>
      <c r="Q1236">
        <f t="shared" si="136"/>
        <v>9.8380290491507219E-2</v>
      </c>
      <c r="R1236">
        <f t="shared" si="137"/>
        <v>0.94325933345860813</v>
      </c>
      <c r="S1236">
        <f t="shared" si="129"/>
        <v>10.521836158611402</v>
      </c>
      <c r="T1236" s="564">
        <f>IF((I1236-MAX(I$470:I1236))/MAX(I$470:I1236)&gt;T1235,T1235,(I1236-MAX(I$470:I1236))/MAX(I$470:I1236))</f>
        <v>-0.91338805338419748</v>
      </c>
      <c r="U1236" s="564">
        <f>IF((J1236-MAX(J$470:J1236))/MAX(J$470:J1236)&gt;U1235,U1235,(J1236-MAX(J$470:J1236))/MAX(J$470:J1236))</f>
        <v>-0.70517826086956548</v>
      </c>
      <c r="V1236" s="564">
        <f>IF((K1236-MAX(K$470:K1236))/MAX(K$470:K1236)&gt;V1235,V1235,(K1236-MAX(K$470:K1236))/MAX(K$470:K1236))</f>
        <v>-0.84885940676762139</v>
      </c>
      <c r="W1236" s="564">
        <f>IF((N1236-MAX(N$470:N1236))/MAX(N$470:N1236)&gt;W1235,W1235,(N1236-MAX(N$470:N1236))/MAX(N$470:N1236))</f>
        <v>-0.62788758315546067</v>
      </c>
      <c r="X1236" s="564">
        <f>IF((O1236-MAX(O$470:O1236))/MAX(O$470:O1236)&gt;X1235,X1235,(O1236-MAX(O$470:O1236))/MAX(O$470:O1236))</f>
        <v>-0.62788758315546067</v>
      </c>
    </row>
    <row r="1237" spans="1:24">
      <c r="A1237" s="799">
        <v>41639</v>
      </c>
      <c r="B1237">
        <v>747.72</v>
      </c>
      <c r="C1237">
        <v>130.64344399999999</v>
      </c>
      <c r="D1237">
        <v>2.7142409999999999</v>
      </c>
      <c r="E1237">
        <f>LN(D1237/参数实验室!$E$53)/参数实验室!$E$55</f>
        <v>0.48502989755616088</v>
      </c>
      <c r="F1237">
        <f t="shared" si="138"/>
        <v>0.174722414807682</v>
      </c>
      <c r="G1237">
        <f>LN(F1237/参数实验室!$E$58)/参数实验室!$E$59</f>
        <v>-1.1061676964148317</v>
      </c>
      <c r="H1237" s="856">
        <f>INDEX(神经网络!$G$10:$BO$70,MATCH(ROUND(G1237*2,1)/2,神经网络!$E$10:$E$70,0),MATCH(ROUND(E1237*2,1)/2,神经网络!$G$8:$BO$8,0))</f>
        <v>-0.94552336175976015</v>
      </c>
      <c r="I1237">
        <f t="shared" si="130"/>
        <v>538.89438703216138</v>
      </c>
      <c r="J1237">
        <f t="shared" si="131"/>
        <v>298.36000159610535</v>
      </c>
      <c r="K1237">
        <f t="shared" si="132"/>
        <v>1.8061884439914677</v>
      </c>
      <c r="L1237" s="4">
        <f>MIN(MAX(L1236*(1+MAX(MIN(((B1237-B1236)/B1236)/($K$7*卓尔金历!$N$40),0),-卓尔金历!$M$43))+MIN(MAX(((B1237-B1236)/B1236)/($K$7*卓尔金历!$N$40),0),卓尔金历!$M$43),0),1)</f>
        <v>0.89749969595291057</v>
      </c>
      <c r="M1237" s="4">
        <f>MIN(MAX(M1236*(1+MAX(MIN(((B1237-B1236)/B1236)/($K$7*30),0),-卓尔金历!$M$43))+MIN(MAX(((B1237-B1236)/B1236)/($K$7*7),0),卓尔金历!$M$43),0),1)</f>
        <v>0.94874984797645523</v>
      </c>
      <c r="N1237">
        <f t="shared" si="133"/>
        <v>577.73406154444251</v>
      </c>
      <c r="O1237">
        <f t="shared" si="134"/>
        <v>961.23923572617923</v>
      </c>
      <c r="P1237">
        <f t="shared" si="135"/>
        <v>-6.7085563983686316E-3</v>
      </c>
      <c r="Q1237">
        <f t="shared" si="136"/>
        <v>9.5782592765709385E-2</v>
      </c>
      <c r="R1237">
        <f t="shared" si="137"/>
        <v>1</v>
      </c>
      <c r="S1237">
        <f t="shared" si="129"/>
        <v>10.584790253603392</v>
      </c>
      <c r="T1237" s="564">
        <f>IF((I1237-MAX(I$470:I1237))/MAX(I$470:I1237)&gt;T1236,T1236,(I1237-MAX(I$470:I1237))/MAX(I$470:I1237))</f>
        <v>-0.91338805338419748</v>
      </c>
      <c r="U1237" s="564">
        <f>IF((J1237-MAX(J$470:J1237))/MAX(J$470:J1237)&gt;U1236,U1236,(J1237-MAX(J$470:J1237))/MAX(J$470:J1237))</f>
        <v>-0.70517826086956548</v>
      </c>
      <c r="V1237" s="564">
        <f>IF((K1237-MAX(K$470:K1237))/MAX(K$470:K1237)&gt;V1236,V1236,(K1237-MAX(K$470:K1237))/MAX(K$470:K1237))</f>
        <v>-0.84885940676762139</v>
      </c>
      <c r="W1237" s="564">
        <f>IF((N1237-MAX(N$470:N1237))/MAX(N$470:N1237)&gt;W1236,W1236,(N1237-MAX(N$470:N1237))/MAX(N$470:N1237))</f>
        <v>-0.62788758315546067</v>
      </c>
      <c r="X1237" s="564">
        <f>IF((O1237-MAX(O$470:O1237))/MAX(O$470:O1237)&gt;X1236,X1236,(O1237-MAX(O$470:O1237))/MAX(O$470:O1237))</f>
        <v>-0.62788758315546067</v>
      </c>
    </row>
    <row r="1238" spans="1:24">
      <c r="A1238" s="799">
        <v>41640</v>
      </c>
      <c r="B1238">
        <v>769.08</v>
      </c>
      <c r="C1238">
        <v>127.54830200000001</v>
      </c>
      <c r="D1238">
        <v>2.798594</v>
      </c>
      <c r="E1238">
        <f>LN(D1238/参数实验室!$E$53)/参数实验室!$E$55</f>
        <v>0.52113600010115535</v>
      </c>
      <c r="F1238">
        <f t="shared" si="138"/>
        <v>0.16584529827846259</v>
      </c>
      <c r="G1238">
        <f>LN(F1238/参数实验室!$E$58)/参数实验室!$E$59</f>
        <v>-1.1335352120745885</v>
      </c>
      <c r="H1238" s="856">
        <f>INDEX(神经网络!$G$10:$BO$70,MATCH(ROUND(G1238*2,1)/2,神经网络!$E$10:$E$70,0),MATCH(ROUND(E1238*2,1)/2,神经网络!$G$8:$BO$8,0))</f>
        <v>-0.97571724132812632</v>
      </c>
      <c r="I1238">
        <f t="shared" si="130"/>
        <v>524.33851680621035</v>
      </c>
      <c r="J1238">
        <f t="shared" si="131"/>
        <v>306.88320497984898</v>
      </c>
      <c r="K1238">
        <f t="shared" si="132"/>
        <v>1.7085930682998447</v>
      </c>
      <c r="L1238" s="4">
        <f>MIN(MAX(L1237*(1+MAX(MIN(((B1238-B1237)/B1237)/($K$7*卓尔金历!$N$40),0),-卓尔金历!$M$43))+MIN(MAX(((B1238-B1237)/B1237)/($K$7*卓尔金历!$N$40),0),卓尔金历!$M$43),0),1)</f>
        <v>1</v>
      </c>
      <c r="M1238" s="4">
        <f>MIN(MAX(M1237*(1+MAX(MIN(((B1238-B1237)/B1237)/($K$7*30),0),-卓尔金历!$M$43))+MIN(MAX(((B1238-B1237)/B1237)/($K$7*7),0),卓尔金历!$M$43),0),1)</f>
        <v>1</v>
      </c>
      <c r="N1238">
        <f t="shared" si="133"/>
        <v>563.72862023320442</v>
      </c>
      <c r="O1238">
        <f t="shared" si="134"/>
        <v>936.60621208895907</v>
      </c>
      <c r="P1238">
        <f t="shared" si="135"/>
        <v>2.8566843203338164E-2</v>
      </c>
      <c r="Q1238">
        <f t="shared" si="136"/>
        <v>9.5576035676632157E-2</v>
      </c>
      <c r="R1238">
        <f t="shared" si="137"/>
        <v>1</v>
      </c>
      <c r="S1238">
        <f t="shared" si="129"/>
        <v>10.298888531470283</v>
      </c>
      <c r="T1238" s="564">
        <f>IF((I1238-MAX(I$470:I1238))/MAX(I$470:I1238)&gt;T1237,T1237,(I1238-MAX(I$470:I1238))/MAX(I$470:I1238))</f>
        <v>-0.91338805338419748</v>
      </c>
      <c r="U1238" s="564">
        <f>IF((J1238-MAX(J$470:J1238))/MAX(J$470:J1238)&gt;U1237,U1237,(J1238-MAX(J$470:J1238))/MAX(J$470:J1238))</f>
        <v>-0.70517826086956548</v>
      </c>
      <c r="V1238" s="564">
        <f>IF((K1238-MAX(K$470:K1238))/MAX(K$470:K1238)&gt;V1237,V1237,(K1238-MAX(K$470:K1238))/MAX(K$470:K1238))</f>
        <v>-0.84885940676762139</v>
      </c>
      <c r="W1238" s="564">
        <f>IF((N1238-MAX(N$470:N1238))/MAX(N$470:N1238)&gt;W1237,W1237,(N1238-MAX(N$470:N1238))/MAX(N$470:N1238))</f>
        <v>-0.62788758315546067</v>
      </c>
      <c r="X1238" s="564">
        <f>IF((O1238-MAX(O$470:O1238))/MAX(O$470:O1238)&gt;X1237,X1237,(O1238-MAX(O$470:O1238))/MAX(O$470:O1238))</f>
        <v>-0.62788758315546067</v>
      </c>
    </row>
    <row r="1239" spans="1:24">
      <c r="A1239" s="799">
        <v>41641</v>
      </c>
      <c r="B1239">
        <v>771.15</v>
      </c>
      <c r="C1239">
        <v>132.400262</v>
      </c>
      <c r="D1239">
        <v>2.9068860000000001</v>
      </c>
      <c r="E1239">
        <f>LN(D1239/参数实验室!$E$53)/参数实验室!$E$55</f>
        <v>0.56592563510302385</v>
      </c>
      <c r="F1239">
        <f t="shared" si="138"/>
        <v>0.17169196913700319</v>
      </c>
      <c r="G1239">
        <f>LN(F1239/参数实验室!$E$58)/参数实验室!$E$59</f>
        <v>-1.1153508153146807</v>
      </c>
      <c r="H1239" s="856">
        <f>INDEX(神经网络!$G$10:$BO$70,MATCH(ROUND(G1239*2,1)/2,神经网络!$E$10:$E$70,0),MATCH(ROUND(E1239*2,1)/2,神经网络!$G$8:$BO$8,0))</f>
        <v>-0.91495864410187711</v>
      </c>
      <c r="I1239">
        <f t="shared" si="130"/>
        <v>522.96151481492177</v>
      </c>
      <c r="J1239">
        <f t="shared" si="131"/>
        <v>307.70918957743089</v>
      </c>
      <c r="K1239">
        <f t="shared" si="132"/>
        <v>1.6995316764282904</v>
      </c>
      <c r="L1239" s="4">
        <f>MIN(MAX(L1238*(1+MAX(MIN(((B1239-B1238)/B1238)/($K$7*卓尔金历!$N$40),0),-卓尔金历!$M$43))+MIN(MAX(((B1239-B1238)/B1238)/($K$7*卓尔金历!$N$40),0),卓尔金历!$M$43),0),1)</f>
        <v>1</v>
      </c>
      <c r="M1239" s="4">
        <f>MIN(MAX(M1238*(1+MAX(MIN(((B1239-B1238)/B1238)/($K$7*30),0),-卓尔金历!$M$43))+MIN(MAX(((B1239-B1238)/B1238)/($K$7*7),0),卓尔金历!$M$43),0),1)</f>
        <v>1</v>
      </c>
      <c r="N1239">
        <f t="shared" si="133"/>
        <v>562.24817314086465</v>
      </c>
      <c r="O1239">
        <f t="shared" si="134"/>
        <v>934.14652511620807</v>
      </c>
      <c r="P1239">
        <f t="shared" si="135"/>
        <v>2.6915275393976389E-3</v>
      </c>
      <c r="Q1239">
        <f t="shared" si="136"/>
        <v>9.2721882449723708E-2</v>
      </c>
      <c r="R1239">
        <f t="shared" si="137"/>
        <v>1</v>
      </c>
      <c r="S1239">
        <f t="shared" ref="S1239:S1302" si="139">S1238*(1+(B1239-B1238)/B1238*H1238*R1238)</f>
        <v>10.27184190117069</v>
      </c>
      <c r="T1239" s="564">
        <f>IF((I1239-MAX(I$470:I1239))/MAX(I$470:I1239)&gt;T1238,T1238,(I1239-MAX(I$470:I1239))/MAX(I$470:I1239))</f>
        <v>-0.91338805338419748</v>
      </c>
      <c r="U1239" s="564">
        <f>IF((J1239-MAX(J$470:J1239))/MAX(J$470:J1239)&gt;U1238,U1238,(J1239-MAX(J$470:J1239))/MAX(J$470:J1239))</f>
        <v>-0.70517826086956548</v>
      </c>
      <c r="V1239" s="564">
        <f>IF((K1239-MAX(K$470:K1239))/MAX(K$470:K1239)&gt;V1238,V1238,(K1239-MAX(K$470:K1239))/MAX(K$470:K1239))</f>
        <v>-0.84885940676762139</v>
      </c>
      <c r="W1239" s="564">
        <f>IF((N1239-MAX(N$470:N1239))/MAX(N$470:N1239)&gt;W1238,W1238,(N1239-MAX(N$470:N1239))/MAX(N$470:N1239))</f>
        <v>-0.62788758315546067</v>
      </c>
      <c r="X1239" s="564">
        <f>IF((O1239-MAX(O$470:O1239))/MAX(O$470:O1239)&gt;X1238,X1238,(O1239-MAX(O$470:O1239))/MAX(O$470:O1239))</f>
        <v>-0.62788758315546067</v>
      </c>
    </row>
    <row r="1240" spans="1:24">
      <c r="A1240" s="799">
        <v>41642</v>
      </c>
      <c r="B1240">
        <v>802.1</v>
      </c>
      <c r="C1240">
        <v>133.28190000000001</v>
      </c>
      <c r="D1240">
        <v>2.972766</v>
      </c>
      <c r="E1240">
        <f>LN(D1240/参数实验室!$E$53)/参数实验室!$E$55</f>
        <v>0.59236440955223202</v>
      </c>
      <c r="F1240">
        <f t="shared" si="138"/>
        <v>0.16616618875451938</v>
      </c>
      <c r="G1240">
        <f>LN(F1240/参数实验室!$E$58)/参数实验室!$E$59</f>
        <v>-1.1325206645497894</v>
      </c>
      <c r="H1240" s="856">
        <f>INDEX(神经网络!$G$10:$BO$70,MATCH(ROUND(G1240*2,1)/2,神经网络!$E$10:$E$70,0),MATCH(ROUND(E1240*2,1)/2,神经网络!$G$8:$BO$8,0))</f>
        <v>-0.91495685658340675</v>
      </c>
      <c r="I1240">
        <f t="shared" ref="I1240:I1303" si="140">I1239*(1+(B1240-B1239)/B1239*H1239)</f>
        <v>503.75745787922489</v>
      </c>
      <c r="J1240">
        <f t="shared" ref="J1240:J1303" si="141">J1239*B1240/B1239</f>
        <v>320.05905590359504</v>
      </c>
      <c r="K1240">
        <f t="shared" ref="K1240:K1303" si="142">I1240/J1240</f>
        <v>1.573951583582005</v>
      </c>
      <c r="L1240" s="4">
        <f>MIN(MAX(L1239*(1+MAX(MIN(((B1240-B1239)/B1239)/($K$7*卓尔金历!$N$40),0),-卓尔金历!$M$43))+MIN(MAX(((B1240-B1239)/B1239)/($K$7*卓尔金历!$N$40),0),卓尔金历!$M$43),0),1)</f>
        <v>1</v>
      </c>
      <c r="M1240" s="4">
        <f>MIN(MAX(M1239*(1+MAX(MIN(((B1240-B1239)/B1239)/($K$7*30),0),-卓尔金历!$M$43))+MIN(MAX(((B1240-B1239)/B1239)/($K$7*7),0),卓尔金历!$M$43),0),1)</f>
        <v>1</v>
      </c>
      <c r="N1240">
        <f t="shared" ref="N1240:N1303" si="143">N1239*(1+(B1240-B1239)/B1239*H1239*L1239)</f>
        <v>541.6014417407348</v>
      </c>
      <c r="O1240">
        <f t="shared" ref="O1240:O1303" si="144">O1239*(1+(B1240-B1239)/B1239*H1239*M1239)</f>
        <v>899.84303901558383</v>
      </c>
      <c r="P1240">
        <f t="shared" ref="P1240:P1303" si="145">(B1240-B1239)/B1239</f>
        <v>4.0134863515528814E-2</v>
      </c>
      <c r="Q1240">
        <f t="shared" si="136"/>
        <v>9.2120607008643732E-2</v>
      </c>
      <c r="R1240">
        <f t="shared" si="137"/>
        <v>1</v>
      </c>
      <c r="S1240">
        <f t="shared" si="139"/>
        <v>9.894641990438501</v>
      </c>
      <c r="T1240" s="564">
        <f>IF((I1240-MAX(I$470:I1240))/MAX(I$470:I1240)&gt;T1239,T1239,(I1240-MAX(I$470:I1240))/MAX(I$470:I1240))</f>
        <v>-0.91338805338419748</v>
      </c>
      <c r="U1240" s="564">
        <f>IF((J1240-MAX(J$470:J1240))/MAX(J$470:J1240)&gt;U1239,U1239,(J1240-MAX(J$470:J1240))/MAX(J$470:J1240))</f>
        <v>-0.70517826086956548</v>
      </c>
      <c r="V1240" s="564">
        <f>IF((K1240-MAX(K$470:K1240))/MAX(K$470:K1240)&gt;V1239,V1239,(K1240-MAX(K$470:K1240))/MAX(K$470:K1240))</f>
        <v>-0.84885940676762139</v>
      </c>
      <c r="W1240" s="564">
        <f>IF((N1240-MAX(N$470:N1240))/MAX(N$470:N1240)&gt;W1239,W1239,(N1240-MAX(N$470:N1240))/MAX(N$470:N1240))</f>
        <v>-0.62788758315546067</v>
      </c>
      <c r="X1240" s="564">
        <f>IF((O1240-MAX(O$470:O1240))/MAX(O$470:O1240)&gt;X1239,X1239,(O1240-MAX(O$470:O1240))/MAX(O$470:O1240))</f>
        <v>-0.62788758315546067</v>
      </c>
    </row>
    <row r="1241" spans="1:24">
      <c r="A1241" s="799">
        <v>41643</v>
      </c>
      <c r="B1241">
        <v>809.9</v>
      </c>
      <c r="C1241">
        <v>135.58395100000001</v>
      </c>
      <c r="D1241">
        <v>3.000826</v>
      </c>
      <c r="E1241">
        <f>LN(D1241/参数实验室!$E$53)/参数实验室!$E$55</f>
        <v>0.60344789818294309</v>
      </c>
      <c r="F1241">
        <f t="shared" si="138"/>
        <v>0.16740826151376714</v>
      </c>
      <c r="G1241">
        <f>LN(F1241/参数实验室!$E$58)/参数实验室!$E$59</f>
        <v>-1.1286120323280402</v>
      </c>
      <c r="H1241" s="856">
        <f>INDEX(神经网络!$G$10:$BO$70,MATCH(ROUND(G1241*2,1)/2,神经网络!$E$10:$E$70,0),MATCH(ROUND(E1241*2,1)/2,神经网络!$G$8:$BO$8,0))</f>
        <v>-0.91495685658340675</v>
      </c>
      <c r="I1241">
        <f t="shared" si="140"/>
        <v>499.27528925548143</v>
      </c>
      <c r="J1241">
        <f t="shared" si="141"/>
        <v>323.17146163361377</v>
      </c>
      <c r="K1241">
        <f t="shared" si="142"/>
        <v>1.5449238207225124</v>
      </c>
      <c r="L1241" s="4">
        <f>MIN(MAX(L1240*(1+MAX(MIN(((B1241-B1240)/B1240)/($K$7*卓尔金历!$N$40),0),-卓尔金历!$M$43))+MIN(MAX(((B1241-B1240)/B1240)/($K$7*卓尔金历!$N$40),0),卓尔金历!$M$43),0),1)</f>
        <v>1</v>
      </c>
      <c r="M1241" s="4">
        <f>MIN(MAX(M1240*(1+MAX(MIN(((B1241-B1240)/B1240)/($K$7*30),0),-卓尔金历!$M$43))+MIN(MAX(((B1241-B1240)/B1240)/($K$7*7),0),卓尔金历!$M$43),0),1)</f>
        <v>1</v>
      </c>
      <c r="N1241">
        <f t="shared" si="143"/>
        <v>536.78255727406247</v>
      </c>
      <c r="O1241">
        <f t="shared" si="144"/>
        <v>891.83670943636673</v>
      </c>
      <c r="P1241">
        <f t="shared" si="145"/>
        <v>9.7244732576984849E-3</v>
      </c>
      <c r="Q1241">
        <f t="shared" si="136"/>
        <v>9.2101354679016062E-2</v>
      </c>
      <c r="R1241">
        <f t="shared" si="137"/>
        <v>1</v>
      </c>
      <c r="S1241">
        <f t="shared" si="139"/>
        <v>9.8066046756969474</v>
      </c>
      <c r="T1241" s="564">
        <f>IF((I1241-MAX(I$470:I1241))/MAX(I$470:I1241)&gt;T1240,T1240,(I1241-MAX(I$470:I1241))/MAX(I$470:I1241))</f>
        <v>-0.91338805338419748</v>
      </c>
      <c r="U1241" s="564">
        <f>IF((J1241-MAX(J$470:J1241))/MAX(J$470:J1241)&gt;U1240,U1240,(J1241-MAX(J$470:J1241))/MAX(J$470:J1241))</f>
        <v>-0.70517826086956548</v>
      </c>
      <c r="V1241" s="564">
        <f>IF((K1241-MAX(K$470:K1241))/MAX(K$470:K1241)&gt;V1240,V1240,(K1241-MAX(K$470:K1241))/MAX(K$470:K1241))</f>
        <v>-0.84885940676762139</v>
      </c>
      <c r="W1241" s="564">
        <f>IF((N1241-MAX(N$470:N1241))/MAX(N$470:N1241)&gt;W1240,W1240,(N1241-MAX(N$470:N1241))/MAX(N$470:N1241))</f>
        <v>-0.62788758315546067</v>
      </c>
      <c r="X1241" s="564">
        <f>IF((O1241-MAX(O$470:O1241))/MAX(O$470:O1241)&gt;X1240,X1240,(O1241-MAX(O$470:O1241))/MAX(O$470:O1241))</f>
        <v>-0.62788758315546067</v>
      </c>
    </row>
    <row r="1242" spans="1:24">
      <c r="A1242" s="799">
        <v>41644</v>
      </c>
      <c r="B1242">
        <v>864.09</v>
      </c>
      <c r="C1242">
        <v>136.90475699999999</v>
      </c>
      <c r="D1242">
        <v>3.2375189999999998</v>
      </c>
      <c r="E1242">
        <f>LN(D1242/参数实验室!$E$53)/参数实验室!$E$55</f>
        <v>0.69301442426002124</v>
      </c>
      <c r="F1242">
        <f t="shared" si="138"/>
        <v>0.15843807589487205</v>
      </c>
      <c r="G1242">
        <f>LN(F1242/参数实验室!$E$58)/参数实验室!$E$59</f>
        <v>-1.1575166263158367</v>
      </c>
      <c r="H1242" s="856">
        <f>INDEX(神经网络!$G$10:$BO$70,MATCH(ROUND(G1242*2,1)/2,神经网络!$E$10:$E$70,0),MATCH(ROUND(E1242*2,1)/2,神经网络!$G$8:$BO$8,0))</f>
        <v>-0.81958629126306481</v>
      </c>
      <c r="I1242">
        <f t="shared" si="140"/>
        <v>468.71000493073848</v>
      </c>
      <c r="J1242">
        <f t="shared" si="141"/>
        <v>344.79470092973128</v>
      </c>
      <c r="K1242">
        <f t="shared" si="142"/>
        <v>1.3593886555300077</v>
      </c>
      <c r="L1242" s="4">
        <f>MIN(MAX(L1241*(1+MAX(MIN(((B1242-B1241)/B1241)/($K$7*卓尔金历!$N$40),0),-卓尔金历!$M$43))+MIN(MAX(((B1242-B1241)/B1241)/($K$7*卓尔金历!$N$40),0),卓尔金历!$M$43),0),1)</f>
        <v>1</v>
      </c>
      <c r="M1242" s="4">
        <f>MIN(MAX(M1241*(1+MAX(MIN(((B1242-B1241)/B1241)/($K$7*30),0),-卓尔金历!$M$43))+MIN(MAX(((B1242-B1241)/B1241)/($K$7*7),0),卓尔金历!$M$43),0),1)</f>
        <v>1</v>
      </c>
      <c r="N1242">
        <f t="shared" si="143"/>
        <v>503.92110421054252</v>
      </c>
      <c r="O1242">
        <f t="shared" si="144"/>
        <v>837.23908928213348</v>
      </c>
      <c r="P1242">
        <f t="shared" si="145"/>
        <v>6.6909494999382715E-2</v>
      </c>
      <c r="Q1242">
        <f t="shared" si="136"/>
        <v>9.252759039721771E-2</v>
      </c>
      <c r="R1242">
        <f t="shared" si="137"/>
        <v>0.44612347073731895</v>
      </c>
      <c r="S1242">
        <f t="shared" si="139"/>
        <v>9.2062511901078548</v>
      </c>
      <c r="T1242" s="564">
        <f>IF((I1242-MAX(I$470:I1242))/MAX(I$470:I1242)&gt;T1241,T1241,(I1242-MAX(I$470:I1242))/MAX(I$470:I1242))</f>
        <v>-0.91338805338419748</v>
      </c>
      <c r="U1242" s="564">
        <f>IF((J1242-MAX(J$470:J1242))/MAX(J$470:J1242)&gt;U1241,U1241,(J1242-MAX(J$470:J1242))/MAX(J$470:J1242))</f>
        <v>-0.70517826086956548</v>
      </c>
      <c r="V1242" s="564">
        <f>IF((K1242-MAX(K$470:K1242))/MAX(K$470:K1242)&gt;V1241,V1241,(K1242-MAX(K$470:K1242))/MAX(K$470:K1242))</f>
        <v>-0.84885940676762139</v>
      </c>
      <c r="W1242" s="564">
        <f>IF((N1242-MAX(N$470:N1242))/MAX(N$470:N1242)&gt;W1241,W1241,(N1242-MAX(N$470:N1242))/MAX(N$470:N1242))</f>
        <v>-0.62788758315546067</v>
      </c>
      <c r="X1242" s="564">
        <f>IF((O1242-MAX(O$470:O1242))/MAX(O$470:O1242)&gt;X1241,X1241,(O1242-MAX(O$470:O1242))/MAX(O$470:O1242))</f>
        <v>-0.62788758315546067</v>
      </c>
    </row>
    <row r="1243" spans="1:24">
      <c r="A1243" s="799">
        <v>41645</v>
      </c>
      <c r="B1243">
        <v>975.83</v>
      </c>
      <c r="C1243">
        <v>137.76953900000001</v>
      </c>
      <c r="D1243">
        <v>3.2585549999999999</v>
      </c>
      <c r="E1243">
        <f>LN(D1243/参数实验室!$E$53)/参数实验室!$E$55</f>
        <v>0.70065515495008079</v>
      </c>
      <c r="F1243">
        <f t="shared" si="138"/>
        <v>0.1411819056597973</v>
      </c>
      <c r="G1243">
        <f>LN(F1243/参数实验室!$E$58)/参数实验室!$E$59</f>
        <v>-1.2180399911380067</v>
      </c>
      <c r="H1243" s="856">
        <f>INDEX(神经网络!$G$10:$BO$70,MATCH(ROUND(G1243*2,1)/2,神经网络!$E$10:$E$70,0),MATCH(ROUND(E1243*2,1)/2,神经网络!$G$8:$BO$8,0))</f>
        <v>-0.85627059210358325</v>
      </c>
      <c r="I1243">
        <f t="shared" si="140"/>
        <v>419.03377856457797</v>
      </c>
      <c r="J1243">
        <f t="shared" si="141"/>
        <v>389.38190814412815</v>
      </c>
      <c r="K1243">
        <f t="shared" si="142"/>
        <v>1.0761511251557028</v>
      </c>
      <c r="L1243" s="4">
        <f>MIN(MAX(L1242*(1+MAX(MIN(((B1243-B1242)/B1242)/($K$7*卓尔金历!$N$40),0),-卓尔金历!$M$43))+MIN(MAX(((B1243-B1242)/B1242)/($K$7*卓尔金历!$N$40),0),卓尔金历!$M$43),0),1)</f>
        <v>1</v>
      </c>
      <c r="M1243" s="4">
        <f>MIN(MAX(M1242*(1+MAX(MIN(((B1243-B1242)/B1242)/($K$7*30),0),-卓尔金历!$M$43))+MIN(MAX(((B1243-B1242)/B1242)/($K$7*7),0),卓尔金历!$M$43),0),1)</f>
        <v>1</v>
      </c>
      <c r="N1243">
        <f t="shared" si="143"/>
        <v>450.51302975062652</v>
      </c>
      <c r="O1243">
        <f t="shared" si="144"/>
        <v>748.50431066795977</v>
      </c>
      <c r="P1243">
        <f t="shared" si="145"/>
        <v>0.12931523336689466</v>
      </c>
      <c r="Q1243">
        <f t="shared" si="136"/>
        <v>9.6210520818192286E-2</v>
      </c>
      <c r="R1243">
        <f t="shared" si="137"/>
        <v>6.516585162343784E-2</v>
      </c>
      <c r="S1243">
        <f t="shared" si="139"/>
        <v>8.7709576059627814</v>
      </c>
      <c r="T1243" s="564">
        <f>IF((I1243-MAX(I$470:I1243))/MAX(I$470:I1243)&gt;T1242,T1242,(I1243-MAX(I$470:I1243))/MAX(I$470:I1243))</f>
        <v>-0.91338805338419748</v>
      </c>
      <c r="U1243" s="564">
        <f>IF((J1243-MAX(J$470:J1243))/MAX(J$470:J1243)&gt;U1242,U1242,(J1243-MAX(J$470:J1243))/MAX(J$470:J1243))</f>
        <v>-0.70517826086956548</v>
      </c>
      <c r="V1243" s="564">
        <f>IF((K1243-MAX(K$470:K1243))/MAX(K$470:K1243)&gt;V1242,V1242,(K1243-MAX(K$470:K1243))/MAX(K$470:K1243))</f>
        <v>-0.84885940676762139</v>
      </c>
      <c r="W1243" s="564">
        <f>IF((N1243-MAX(N$470:N1243))/MAX(N$470:N1243)&gt;W1242,W1242,(N1243-MAX(N$470:N1243))/MAX(N$470:N1243))</f>
        <v>-0.62788758315546067</v>
      </c>
      <c r="X1243" s="564">
        <f>IF((O1243-MAX(O$470:O1243))/MAX(O$470:O1243)&gt;X1242,X1242,(O1243-MAX(O$470:O1243))/MAX(O$470:O1243))</f>
        <v>-0.62788758315546067</v>
      </c>
    </row>
    <row r="1244" spans="1:24">
      <c r="A1244" s="799">
        <v>41646</v>
      </c>
      <c r="B1244">
        <v>919.1</v>
      </c>
      <c r="C1244">
        <v>139.33733799999999</v>
      </c>
      <c r="D1244">
        <v>2.8564799999999999</v>
      </c>
      <c r="E1244">
        <f>LN(D1244/参数实验室!$E$53)/参数实验室!$E$55</f>
        <v>0.54528902853933503</v>
      </c>
      <c r="F1244">
        <f t="shared" si="138"/>
        <v>0.1516019345011424</v>
      </c>
      <c r="G1244">
        <f>LN(F1244/参数实验室!$E$58)/参数实验室!$E$59</f>
        <v>-1.1806656261372852</v>
      </c>
      <c r="H1244" s="856">
        <f>INDEX(神经网络!$G$10:$BO$70,MATCH(ROUND(G1244*2,1)/2,神经网络!$E$10:$E$70,0),MATCH(ROUND(E1244*2,1)/2,神经网络!$G$8:$BO$8,0))</f>
        <v>-0.97936125122359985</v>
      </c>
      <c r="I1244">
        <f t="shared" si="140"/>
        <v>439.89302812082292</v>
      </c>
      <c r="J1244">
        <f t="shared" si="141"/>
        <v>366.74514185387636</v>
      </c>
      <c r="K1244">
        <f t="shared" si="142"/>
        <v>1.1994515480073928</v>
      </c>
      <c r="L1244" s="4">
        <f>MIN(MAX(L1243*(1+MAX(MIN(((B1244-B1243)/B1243)/($K$7*卓尔金历!$N$40),0),-卓尔金历!$M$43))+MIN(MAX(((B1244-B1243)/B1243)/($K$7*卓尔金历!$N$40),0),卓尔金历!$M$43),0),1)</f>
        <v>0.11175106289874226</v>
      </c>
      <c r="M1244" s="4">
        <f>MIN(MAX(M1243*(1+MAX(MIN(((B1244-B1243)/B1243)/($K$7*30),0),-卓尔金历!$M$43))+MIN(MAX(((B1244-B1243)/B1243)/($K$7*7),0),卓尔金历!$M$43),0),1)</f>
        <v>0.55587553144937107</v>
      </c>
      <c r="N1244">
        <f t="shared" si="143"/>
        <v>472.93929750426554</v>
      </c>
      <c r="O1244">
        <f t="shared" si="144"/>
        <v>785.7644052207952</v>
      </c>
      <c r="P1244">
        <f t="shared" si="145"/>
        <v>-5.8135125995306576E-2</v>
      </c>
      <c r="Q1244">
        <f t="shared" si="136"/>
        <v>8.1642844259048275E-2</v>
      </c>
      <c r="R1244">
        <f t="shared" si="137"/>
        <v>0.46846620253914534</v>
      </c>
      <c r="S1244">
        <f t="shared" si="139"/>
        <v>8.799409863687206</v>
      </c>
      <c r="T1244" s="564">
        <f>IF((I1244-MAX(I$470:I1244))/MAX(I$470:I1244)&gt;T1243,T1243,(I1244-MAX(I$470:I1244))/MAX(I$470:I1244))</f>
        <v>-0.91338805338419748</v>
      </c>
      <c r="U1244" s="564">
        <f>IF((J1244-MAX(J$470:J1244))/MAX(J$470:J1244)&gt;U1243,U1243,(J1244-MAX(J$470:J1244))/MAX(J$470:J1244))</f>
        <v>-0.70517826086956548</v>
      </c>
      <c r="V1244" s="564">
        <f>IF((K1244-MAX(K$470:K1244))/MAX(K$470:K1244)&gt;V1243,V1243,(K1244-MAX(K$470:K1244))/MAX(K$470:K1244))</f>
        <v>-0.84885940676762139</v>
      </c>
      <c r="W1244" s="564">
        <f>IF((N1244-MAX(N$470:N1244))/MAX(N$470:N1244)&gt;W1243,W1243,(N1244-MAX(N$470:N1244))/MAX(N$470:N1244))</f>
        <v>-0.62788758315546067</v>
      </c>
      <c r="X1244" s="564">
        <f>IF((O1244-MAX(O$470:O1244))/MAX(O$470:O1244)&gt;X1243,X1243,(O1244-MAX(O$470:O1244))/MAX(O$470:O1244))</f>
        <v>-0.62788758315546067</v>
      </c>
    </row>
    <row r="1245" spans="1:24">
      <c r="A1245" s="799">
        <v>41647</v>
      </c>
      <c r="B1245">
        <v>857.55</v>
      </c>
      <c r="C1245">
        <v>138.18804700000001</v>
      </c>
      <c r="D1245">
        <v>2.891057</v>
      </c>
      <c r="E1245">
        <f>LN(D1245/参数实验室!$E$53)/参数实验室!$E$55</f>
        <v>0.55948391586044033</v>
      </c>
      <c r="F1245">
        <f t="shared" si="138"/>
        <v>0.161142845315142</v>
      </c>
      <c r="G1245">
        <f>LN(F1245/参数实验室!$E$58)/参数实验室!$E$59</f>
        <v>-1.1486322219668557</v>
      </c>
      <c r="H1245" s="856">
        <f>INDEX(神经网络!$G$10:$BO$70,MATCH(ROUND(G1245*2,1)/2,神经网络!$E$10:$E$70,0),MATCH(ROUND(E1245*2,1)/2,神经网络!$G$8:$BO$8,0))</f>
        <v>-0.94937673261548683</v>
      </c>
      <c r="I1245">
        <f t="shared" si="140"/>
        <v>468.74365718670862</v>
      </c>
      <c r="J1245">
        <f t="shared" si="141"/>
        <v>342.18506843302322</v>
      </c>
      <c r="K1245">
        <f t="shared" si="142"/>
        <v>1.3698542117376376</v>
      </c>
      <c r="L1245" s="4">
        <f>MIN(MAX(L1244*(1+MAX(MIN(((B1245-B1244)/B1244)/($K$7*卓尔金历!$N$40),0),-卓尔金历!$M$43))+MIN(MAX(((B1245-B1244)/B1244)/($K$7*卓尔金历!$N$40),0),卓尔金历!$M$43),0),1)</f>
        <v>0</v>
      </c>
      <c r="M1245" s="4">
        <f>MIN(MAX(M1244*(1+MAX(MIN(((B1245-B1244)/B1244)/($K$7*30),0),-卓尔金历!$M$43))+MIN(MAX(((B1245-B1244)/B1244)/($K$7*7),0),卓尔金历!$M$43),0),1)</f>
        <v>0.27148906073528833</v>
      </c>
      <c r="N1245">
        <f t="shared" si="143"/>
        <v>476.40559052439028</v>
      </c>
      <c r="O1245">
        <f t="shared" si="144"/>
        <v>814.41133723708276</v>
      </c>
      <c r="P1245">
        <f t="shared" si="145"/>
        <v>-6.6967685779567035E-2</v>
      </c>
      <c r="Q1245">
        <f t="shared" si="136"/>
        <v>8.2837033737927723E-2</v>
      </c>
      <c r="R1245">
        <f t="shared" si="137"/>
        <v>0.31167044949449946</v>
      </c>
      <c r="S1245">
        <f t="shared" si="139"/>
        <v>9.069768358161987</v>
      </c>
      <c r="T1245" s="564">
        <f>IF((I1245-MAX(I$470:I1245))/MAX(I$470:I1245)&gt;T1244,T1244,(I1245-MAX(I$470:I1245))/MAX(I$470:I1245))</f>
        <v>-0.91338805338419748</v>
      </c>
      <c r="U1245" s="564">
        <f>IF((J1245-MAX(J$470:J1245))/MAX(J$470:J1245)&gt;U1244,U1244,(J1245-MAX(J$470:J1245))/MAX(J$470:J1245))</f>
        <v>-0.70517826086956548</v>
      </c>
      <c r="V1245" s="564">
        <f>IF((K1245-MAX(K$470:K1245))/MAX(K$470:K1245)&gt;V1244,V1244,(K1245-MAX(K$470:K1245))/MAX(K$470:K1245))</f>
        <v>-0.84885940676762139</v>
      </c>
      <c r="W1245" s="564">
        <f>IF((N1245-MAX(N$470:N1245))/MAX(N$470:N1245)&gt;W1244,W1244,(N1245-MAX(N$470:N1245))/MAX(N$470:N1245))</f>
        <v>-0.62788758315546067</v>
      </c>
      <c r="X1245" s="564">
        <f>IF((O1245-MAX(O$470:O1245))/MAX(O$470:O1245)&gt;X1244,X1244,(O1245-MAX(O$470:O1245))/MAX(O$470:O1245))</f>
        <v>-0.62788758315546067</v>
      </c>
    </row>
    <row r="1246" spans="1:24">
      <c r="A1246" s="799">
        <v>41648</v>
      </c>
      <c r="B1246">
        <v>840.98</v>
      </c>
      <c r="C1246">
        <v>137.21885399999999</v>
      </c>
      <c r="D1246">
        <v>2.9192209999999998</v>
      </c>
      <c r="E1246">
        <f>LN(D1246/参数实验室!$E$53)/参数实验室!$E$55</f>
        <v>0.57092117603902326</v>
      </c>
      <c r="F1246">
        <f t="shared" si="138"/>
        <v>0.16316541891602654</v>
      </c>
      <c r="G1246">
        <f>LN(F1246/参数实验室!$E$58)/参数实验室!$E$59</f>
        <v>-1.1420855513309482</v>
      </c>
      <c r="H1246" s="856">
        <f>INDEX(神经网络!$G$10:$BO$70,MATCH(ROUND(G1246*2,1)/2,神经网络!$E$10:$E$70,0),MATCH(ROUND(E1246*2,1)/2,神经网络!$G$8:$BO$8,0))</f>
        <v>-0.94937673261548683</v>
      </c>
      <c r="I1246">
        <f t="shared" si="140"/>
        <v>477.34244129314214</v>
      </c>
      <c r="J1246">
        <f t="shared" si="141"/>
        <v>335.57320138861161</v>
      </c>
      <c r="K1246">
        <f t="shared" si="142"/>
        <v>1.4224688959603606</v>
      </c>
      <c r="L1246" s="4">
        <f>MIN(MAX(L1245*(1+MAX(MIN(((B1246-B1245)/B1245)/($K$7*卓尔金历!$N$40),0),-卓尔金历!$M$43))+MIN(MAX(((B1246-B1245)/B1245)/($K$7*卓尔金历!$N$40),0),卓尔金历!$M$43),0),1)</f>
        <v>0</v>
      </c>
      <c r="M1246" s="4">
        <f>MIN(MAX(M1245*(1+MAX(MIN(((B1246-B1245)/B1245)/($K$7*30),0),-卓尔金历!$M$43))+MIN(MAX(((B1246-B1245)/B1245)/($K$7*7),0),卓尔金历!$M$43),0),1)</f>
        <v>0.23141332769717343</v>
      </c>
      <c r="N1246">
        <f t="shared" si="143"/>
        <v>476.40559052439028</v>
      </c>
      <c r="O1246">
        <f t="shared" si="144"/>
        <v>818.4673357462658</v>
      </c>
      <c r="P1246">
        <f t="shared" si="145"/>
        <v>-1.9322488484636392E-2</v>
      </c>
      <c r="Q1246">
        <f t="shared" si="136"/>
        <v>7.6579981951242534E-2</v>
      </c>
      <c r="R1246">
        <f t="shared" si="137"/>
        <v>1</v>
      </c>
      <c r="S1246">
        <f t="shared" si="139"/>
        <v>9.1216236954701113</v>
      </c>
      <c r="T1246" s="564">
        <f>IF((I1246-MAX(I$470:I1246))/MAX(I$470:I1246)&gt;T1245,T1245,(I1246-MAX(I$470:I1246))/MAX(I$470:I1246))</f>
        <v>-0.91338805338419748</v>
      </c>
      <c r="U1246" s="564">
        <f>IF((J1246-MAX(J$470:J1246))/MAX(J$470:J1246)&gt;U1245,U1245,(J1246-MAX(J$470:J1246))/MAX(J$470:J1246))</f>
        <v>-0.70517826086956548</v>
      </c>
      <c r="V1246" s="564">
        <f>IF((K1246-MAX(K$470:K1246))/MAX(K$470:K1246)&gt;V1245,V1245,(K1246-MAX(K$470:K1246))/MAX(K$470:K1246))</f>
        <v>-0.84885940676762139</v>
      </c>
      <c r="W1246" s="564">
        <f>IF((N1246-MAX(N$470:N1246))/MAX(N$470:N1246)&gt;W1245,W1245,(N1246-MAX(N$470:N1246))/MAX(N$470:N1246))</f>
        <v>-0.62788758315546067</v>
      </c>
      <c r="X1246" s="564">
        <f>IF((O1246-MAX(O$470:O1246))/MAX(O$470:O1246)&gt;X1245,X1245,(O1246-MAX(O$470:O1246))/MAX(O$470:O1246))</f>
        <v>-0.62788758315546067</v>
      </c>
    </row>
    <row r="1247" spans="1:24">
      <c r="A1247" s="799">
        <v>41649</v>
      </c>
      <c r="B1247">
        <v>836.11</v>
      </c>
      <c r="C1247">
        <v>135.709709</v>
      </c>
      <c r="D1247">
        <v>2.9894240000000001</v>
      </c>
      <c r="E1247">
        <f>LN(D1247/参数实验室!$E$53)/参数实验室!$E$55</f>
        <v>0.59895674581603542</v>
      </c>
      <c r="F1247">
        <f t="shared" si="138"/>
        <v>0.16231083111073902</v>
      </c>
      <c r="G1247">
        <f>LN(F1247/参数实验室!$E$58)/参数实验室!$E$59</f>
        <v>-1.1448417272146258</v>
      </c>
      <c r="H1247" s="856">
        <f>INDEX(神经网络!$G$10:$BO$70,MATCH(ROUND(G1247*2,1)/2,神经网络!$E$10:$E$70,0),MATCH(ROUND(E1247*2,1)/2,神经网络!$G$8:$BO$8,0))</f>
        <v>-0.91495685658340675</v>
      </c>
      <c r="I1247">
        <f t="shared" si="140"/>
        <v>479.96673190804967</v>
      </c>
      <c r="J1247">
        <f t="shared" si="141"/>
        <v>333.6299429392281</v>
      </c>
      <c r="K1247">
        <f t="shared" si="142"/>
        <v>1.43862007012805</v>
      </c>
      <c r="L1247" s="4">
        <f>MIN(MAX(L1246*(1+MAX(MIN(((B1247-B1246)/B1246)/($K$7*卓尔金历!$N$40),0),-卓尔金历!$M$43))+MIN(MAX(((B1247-B1246)/B1246)/($K$7*卓尔金历!$N$40),0),卓尔金历!$M$43),0),1)</f>
        <v>0</v>
      </c>
      <c r="M1247" s="4">
        <f>MIN(MAX(M1246*(1+MAX(MIN(((B1247-B1246)/B1246)/($K$7*30),0),-卓尔金历!$M$43))+MIN(MAX(((B1247-B1246)/B1246)/($K$7*7),0),卓尔金历!$M$43),0),1)</f>
        <v>0.22117573743501784</v>
      </c>
      <c r="N1247">
        <f t="shared" si="143"/>
        <v>476.40559052439028</v>
      </c>
      <c r="O1247">
        <f t="shared" si="144"/>
        <v>819.5086255041291</v>
      </c>
      <c r="P1247">
        <f t="shared" si="145"/>
        <v>-5.7908630407381917E-3</v>
      </c>
      <c r="Q1247">
        <f t="shared" si="136"/>
        <v>5.2745656478112489E-2</v>
      </c>
      <c r="R1247">
        <f t="shared" si="137"/>
        <v>1</v>
      </c>
      <c r="S1247">
        <f t="shared" si="139"/>
        <v>9.1717717430476355</v>
      </c>
      <c r="T1247" s="564">
        <f>IF((I1247-MAX(I$470:I1247))/MAX(I$470:I1247)&gt;T1246,T1246,(I1247-MAX(I$470:I1247))/MAX(I$470:I1247))</f>
        <v>-0.91338805338419748</v>
      </c>
      <c r="U1247" s="564">
        <f>IF((J1247-MAX(J$470:J1247))/MAX(J$470:J1247)&gt;U1246,U1246,(J1247-MAX(J$470:J1247))/MAX(J$470:J1247))</f>
        <v>-0.70517826086956548</v>
      </c>
      <c r="V1247" s="564">
        <f>IF((K1247-MAX(K$470:K1247))/MAX(K$470:K1247)&gt;V1246,V1246,(K1247-MAX(K$470:K1247))/MAX(K$470:K1247))</f>
        <v>-0.84885940676762139</v>
      </c>
      <c r="W1247" s="564">
        <f>IF((N1247-MAX(N$470:N1247))/MAX(N$470:N1247)&gt;W1246,W1246,(N1247-MAX(N$470:N1247))/MAX(N$470:N1247))</f>
        <v>-0.62788758315546067</v>
      </c>
      <c r="X1247" s="564">
        <f>IF((O1247-MAX(O$470:O1247))/MAX(O$470:O1247)&gt;X1246,X1246,(O1247-MAX(O$470:O1247))/MAX(O$470:O1247))</f>
        <v>-0.62788758315546067</v>
      </c>
    </row>
    <row r="1248" spans="1:24">
      <c r="A1248" s="799">
        <v>41650</v>
      </c>
      <c r="B1248">
        <v>908.02</v>
      </c>
      <c r="C1248">
        <v>132.39569299999999</v>
      </c>
      <c r="D1248">
        <v>3.0880079999999999</v>
      </c>
      <c r="E1248">
        <f>LN(D1248/参数实验室!$E$53)/参数实验室!$E$55</f>
        <v>0.63723442512592465</v>
      </c>
      <c r="F1248">
        <f t="shared" si="138"/>
        <v>0.14580702297306225</v>
      </c>
      <c r="G1248">
        <f>LN(F1248/参数实验室!$E$58)/参数实验室!$E$59</f>
        <v>-1.2011214171119313</v>
      </c>
      <c r="H1248" s="856">
        <f>INDEX(神经网络!$G$10:$BO$70,MATCH(ROUND(G1248*2,1)/2,神经网络!$E$10:$E$70,0),MATCH(ROUND(E1248*2,1)/2,神经网络!$G$8:$BO$8,0))</f>
        <v>-0.9069541468209168</v>
      </c>
      <c r="I1248">
        <f t="shared" si="140"/>
        <v>442.19754607333869</v>
      </c>
      <c r="J1248">
        <f t="shared" si="141"/>
        <v>362.32392961174713</v>
      </c>
      <c r="K1248">
        <f t="shared" si="142"/>
        <v>1.2204480850800585</v>
      </c>
      <c r="L1248" s="4">
        <f>MIN(MAX(L1247*(1+MAX(MIN(((B1248-B1247)/B1247)/($K$7*卓尔金历!$N$40),0),-卓尔金历!$M$43))+MIN(MAX(((B1248-B1247)/B1247)/($K$7*卓尔金历!$N$40),0),卓尔金历!$M$43),0),1)</f>
        <v>1</v>
      </c>
      <c r="M1248" s="4">
        <f>MIN(MAX(M1247*(1+MAX(MIN(((B1248-B1247)/B1247)/($K$7*30),0),-卓尔金历!$M$43))+MIN(MAX(((B1248-B1247)/B1247)/($K$7*7),0),卓尔金历!$M$43),0),1)</f>
        <v>1</v>
      </c>
      <c r="N1248">
        <f t="shared" si="143"/>
        <v>476.40559052439028</v>
      </c>
      <c r="O1248">
        <f t="shared" si="144"/>
        <v>805.24540816132424</v>
      </c>
      <c r="P1248">
        <f t="shared" si="145"/>
        <v>8.6005429907548017E-2</v>
      </c>
      <c r="Q1248">
        <f t="shared" si="136"/>
        <v>4.8784136740900874E-2</v>
      </c>
      <c r="R1248">
        <f t="shared" si="137"/>
        <v>2.2838592894598848E-2</v>
      </c>
      <c r="S1248">
        <f t="shared" si="139"/>
        <v>8.4500334883573487</v>
      </c>
      <c r="T1248" s="564">
        <f>IF((I1248-MAX(I$470:I1248))/MAX(I$470:I1248)&gt;T1247,T1247,(I1248-MAX(I$470:I1248))/MAX(I$470:I1248))</f>
        <v>-0.91338805338419748</v>
      </c>
      <c r="U1248" s="564">
        <f>IF((J1248-MAX(J$470:J1248))/MAX(J$470:J1248)&gt;U1247,U1247,(J1248-MAX(J$470:J1248))/MAX(J$470:J1248))</f>
        <v>-0.70517826086956548</v>
      </c>
      <c r="V1248" s="564">
        <f>IF((K1248-MAX(K$470:K1248))/MAX(K$470:K1248)&gt;V1247,V1247,(K1248-MAX(K$470:K1248))/MAX(K$470:K1248))</f>
        <v>-0.84885940676762139</v>
      </c>
      <c r="W1248" s="564">
        <f>IF((N1248-MAX(N$470:N1248))/MAX(N$470:N1248)&gt;W1247,W1247,(N1248-MAX(N$470:N1248))/MAX(N$470:N1248))</f>
        <v>-0.62788758315546067</v>
      </c>
      <c r="X1248" s="564">
        <f>IF((O1248-MAX(O$470:O1248))/MAX(O$470:O1248)&gt;X1247,X1247,(O1248-MAX(O$470:O1248))/MAX(O$470:O1248))</f>
        <v>-0.62788758315546067</v>
      </c>
    </row>
    <row r="1249" spans="1:24">
      <c r="A1249" s="799">
        <v>41651</v>
      </c>
      <c r="B1249">
        <v>863.47</v>
      </c>
      <c r="C1249">
        <v>130.18647999999999</v>
      </c>
      <c r="D1249">
        <v>2.9225129999999999</v>
      </c>
      <c r="E1249">
        <f>LN(D1249/参数实验室!$E$53)/参数实验室!$E$55</f>
        <v>0.57225083195634996</v>
      </c>
      <c r="F1249">
        <f t="shared" si="138"/>
        <v>0.15077128331036399</v>
      </c>
      <c r="G1249">
        <f>LN(F1249/参数实验室!$E$58)/参数实验室!$E$59</f>
        <v>-1.1835492924601705</v>
      </c>
      <c r="H1249" s="856">
        <f>INDEX(神经网络!$G$10:$BO$70,MATCH(ROUND(G1249*2,1)/2,神经网络!$E$10:$E$70,0),MATCH(ROUND(E1249*2,1)/2,神经网络!$G$8:$BO$8,0))</f>
        <v>-0.97936125122359985</v>
      </c>
      <c r="I1249">
        <f t="shared" si="140"/>
        <v>461.8743225887016</v>
      </c>
      <c r="J1249">
        <f t="shared" si="141"/>
        <v>344.5473045768324</v>
      </c>
      <c r="K1249">
        <f t="shared" si="142"/>
        <v>1.3405251367616078</v>
      </c>
      <c r="L1249" s="4">
        <f>MIN(MAX(L1248*(1+MAX(MIN(((B1249-B1248)/B1248)/($K$7*卓尔金历!$N$40),0),-卓尔金历!$M$43))+MIN(MAX(((B1249-B1248)/B1248)/($K$7*卓尔金历!$N$40),0),卓尔金历!$M$43),0),1)</f>
        <v>0.25036755956570966</v>
      </c>
      <c r="M1249" s="4">
        <f>MIN(MAX(M1248*(1+MAX(MIN(((B1249-B1248)/B1248)/($K$7*30),0),-卓尔金历!$M$43))+MIN(MAX(((B1249-B1248)/B1248)/($K$7*7),0),卓尔金历!$M$43),0),1)</f>
        <v>0.62518377978285478</v>
      </c>
      <c r="N1249">
        <f t="shared" si="143"/>
        <v>497.60454655356557</v>
      </c>
      <c r="O1249">
        <f t="shared" si="144"/>
        <v>841.07698180326554</v>
      </c>
      <c r="P1249">
        <f t="shared" si="145"/>
        <v>-4.9062795973656918E-2</v>
      </c>
      <c r="Q1249">
        <f t="shared" si="136"/>
        <v>4.9052167463377379E-2</v>
      </c>
      <c r="R1249">
        <f t="shared" si="137"/>
        <v>4.8773567451922031E-2</v>
      </c>
      <c r="S1249">
        <f t="shared" si="139"/>
        <v>8.4586209616241934</v>
      </c>
      <c r="T1249" s="564">
        <f>IF((I1249-MAX(I$470:I1249))/MAX(I$470:I1249)&gt;T1248,T1248,(I1249-MAX(I$470:I1249))/MAX(I$470:I1249))</f>
        <v>-0.91338805338419748</v>
      </c>
      <c r="U1249" s="564">
        <f>IF((J1249-MAX(J$470:J1249))/MAX(J$470:J1249)&gt;U1248,U1248,(J1249-MAX(J$470:J1249))/MAX(J$470:J1249))</f>
        <v>-0.70517826086956548</v>
      </c>
      <c r="V1249" s="564">
        <f>IF((K1249-MAX(K$470:K1249))/MAX(K$470:K1249)&gt;V1248,V1248,(K1249-MAX(K$470:K1249))/MAX(K$470:K1249))</f>
        <v>-0.84885940676762139</v>
      </c>
      <c r="W1249" s="564">
        <f>IF((N1249-MAX(N$470:N1249))/MAX(N$470:N1249)&gt;W1248,W1248,(N1249-MAX(N$470:N1249))/MAX(N$470:N1249))</f>
        <v>-0.62788758315546067</v>
      </c>
      <c r="X1249" s="564">
        <f>IF((O1249-MAX(O$470:O1249))/MAX(O$470:O1249)&gt;X1248,X1248,(O1249-MAX(O$470:O1249))/MAX(O$470:O1249))</f>
        <v>-0.62788758315546067</v>
      </c>
    </row>
    <row r="1250" spans="1:24">
      <c r="A1250" s="799">
        <v>41652</v>
      </c>
      <c r="B1250">
        <v>835.11</v>
      </c>
      <c r="C1250">
        <v>132.43447800000001</v>
      </c>
      <c r="D1250">
        <v>2.8390420000000001</v>
      </c>
      <c r="E1250">
        <f>LN(D1250/参数实验室!$E$53)/参数实验室!$E$55</f>
        <v>0.53806489654536971</v>
      </c>
      <c r="F1250">
        <f t="shared" si="138"/>
        <v>0.15858327405970471</v>
      </c>
      <c r="G1250">
        <f>LN(F1250/参数实验室!$E$58)/参数实验室!$E$59</f>
        <v>-1.1570358520764987</v>
      </c>
      <c r="H1250" s="856">
        <f>INDEX(神经网络!$G$10:$BO$70,MATCH(ROUND(G1250*2,1)/2,神经网络!$E$10:$E$70,0),MATCH(ROUND(E1250*2,1)/2,神经网络!$G$8:$BO$8,0))</f>
        <v>-0.94937673261548683</v>
      </c>
      <c r="I1250">
        <f t="shared" si="140"/>
        <v>476.73113736930884</v>
      </c>
      <c r="J1250">
        <f t="shared" si="141"/>
        <v>333.23091656358474</v>
      </c>
      <c r="K1250">
        <f t="shared" si="142"/>
        <v>1.4306329745317685</v>
      </c>
      <c r="L1250" s="4">
        <f>MIN(MAX(L1249*(1+MAX(MIN(((B1250-B1249)/B1249)/($K$7*卓尔金历!$N$40),0),-卓尔金历!$M$43))+MIN(MAX(((B1250-B1249)/B1249)/($K$7*卓尔金历!$N$40),0),卓尔金历!$M$43),0),1)</f>
        <v>0.12472606097389595</v>
      </c>
      <c r="M1250" s="4">
        <f>MIN(MAX(M1249*(1+MAX(MIN(((B1250-B1249)/B1249)/($K$7*30),0),-卓尔金历!$M$43))+MIN(MAX(((B1250-B1249)/B1249)/($K$7*7),0),卓尔金历!$M$43),0),1)</f>
        <v>0.46831635829369628</v>
      </c>
      <c r="N1250">
        <f t="shared" si="143"/>
        <v>501.6119612466947</v>
      </c>
      <c r="O1250">
        <f t="shared" si="144"/>
        <v>857.99094338080454</v>
      </c>
      <c r="P1250">
        <f t="shared" si="145"/>
        <v>-3.2844221571102658E-2</v>
      </c>
      <c r="Q1250">
        <f t="shared" si="136"/>
        <v>4.9322604847823713E-2</v>
      </c>
      <c r="R1250">
        <f t="shared" si="137"/>
        <v>0.47560377189798342</v>
      </c>
      <c r="S1250">
        <f t="shared" si="139"/>
        <v>8.4718914216147692</v>
      </c>
      <c r="T1250" s="564">
        <f>IF((I1250-MAX(I$470:I1250))/MAX(I$470:I1250)&gt;T1249,T1249,(I1250-MAX(I$470:I1250))/MAX(I$470:I1250))</f>
        <v>-0.91338805338419748</v>
      </c>
      <c r="U1250" s="564">
        <f>IF((J1250-MAX(J$470:J1250))/MAX(J$470:J1250)&gt;U1249,U1249,(J1250-MAX(J$470:J1250))/MAX(J$470:J1250))</f>
        <v>-0.70517826086956548</v>
      </c>
      <c r="V1250" s="564">
        <f>IF((K1250-MAX(K$470:K1250))/MAX(K$470:K1250)&gt;V1249,V1249,(K1250-MAX(K$470:K1250))/MAX(K$470:K1250))</f>
        <v>-0.84885940676762139</v>
      </c>
      <c r="W1250" s="564">
        <f>IF((N1250-MAX(N$470:N1250))/MAX(N$470:N1250)&gt;W1249,W1249,(N1250-MAX(N$470:N1250))/MAX(N$470:N1250))</f>
        <v>-0.62788758315546067</v>
      </c>
      <c r="X1250" s="564">
        <f>IF((O1250-MAX(O$470:O1250))/MAX(O$470:O1250)&gt;X1249,X1249,(O1250-MAX(O$470:O1250))/MAX(O$470:O1250))</f>
        <v>-0.62788758315546067</v>
      </c>
    </row>
    <row r="1251" spans="1:24">
      <c r="A1251" s="799">
        <v>41653</v>
      </c>
      <c r="B1251">
        <v>836.54</v>
      </c>
      <c r="C1251">
        <v>133.68327400000001</v>
      </c>
      <c r="D1251">
        <v>2.8018679999999998</v>
      </c>
      <c r="E1251">
        <f>LN(D1251/参数实验室!$E$53)/参数实验室!$E$55</f>
        <v>0.52251535507607361</v>
      </c>
      <c r="F1251">
        <f t="shared" si="138"/>
        <v>0.15980499916321994</v>
      </c>
      <c r="G1251">
        <f>LN(F1251/参数实验室!$E$58)/参数实验室!$E$59</f>
        <v>-1.1530078739047767</v>
      </c>
      <c r="H1251" s="856">
        <f>INDEX(神经网络!$G$10:$BO$70,MATCH(ROUND(G1251*2,1)/2,神经网络!$E$10:$E$70,0),MATCH(ROUND(E1251*2,1)/2,神经网络!$G$8:$BO$8,0))</f>
        <v>-0.97571724132812632</v>
      </c>
      <c r="I1251">
        <f t="shared" si="140"/>
        <v>475.95613245638674</v>
      </c>
      <c r="J1251">
        <f t="shared" si="141"/>
        <v>333.80152428075485</v>
      </c>
      <c r="K1251">
        <f t="shared" si="142"/>
        <v>1.4258656651791322</v>
      </c>
      <c r="L1251" s="4">
        <f>MIN(MAX(L1250*(1+MAX(MIN(((B1251-B1250)/B1250)/($K$7*卓尔金历!$N$40),0),-卓尔金历!$M$43))+MIN(MAX(((B1251-B1250)/B1250)/($K$7*卓尔金历!$N$40),0),卓尔金历!$M$43),0),1)</f>
        <v>0.15088911462150614</v>
      </c>
      <c r="M1251" s="4">
        <f>MIN(MAX(M1250*(1+MAX(MIN(((B1251-B1250)/B1250)/($K$7*30),0),-卓尔金历!$M$43))+MIN(MAX(((B1251-B1250)/B1250)/($K$7*7),0),卓尔金历!$M$43),0),1)</f>
        <v>0.5243800446814324</v>
      </c>
      <c r="N1251">
        <f t="shared" si="143"/>
        <v>501.51025303273286</v>
      </c>
      <c r="O1251">
        <f t="shared" si="144"/>
        <v>857.33773316429415</v>
      </c>
      <c r="P1251">
        <f t="shared" si="145"/>
        <v>1.7123492713534145E-3</v>
      </c>
      <c r="Q1251">
        <f t="shared" si="136"/>
        <v>4.899755686376589E-2</v>
      </c>
      <c r="R1251">
        <f t="shared" si="137"/>
        <v>1</v>
      </c>
      <c r="S1251">
        <f t="shared" si="139"/>
        <v>8.4653411907299301</v>
      </c>
      <c r="T1251" s="564">
        <f>IF((I1251-MAX(I$470:I1251))/MAX(I$470:I1251)&gt;T1250,T1250,(I1251-MAX(I$470:I1251))/MAX(I$470:I1251))</f>
        <v>-0.91338805338419748</v>
      </c>
      <c r="U1251" s="564">
        <f>IF((J1251-MAX(J$470:J1251))/MAX(J$470:J1251)&gt;U1250,U1250,(J1251-MAX(J$470:J1251))/MAX(J$470:J1251))</f>
        <v>-0.70517826086956548</v>
      </c>
      <c r="V1251" s="564">
        <f>IF((K1251-MAX(K$470:K1251))/MAX(K$470:K1251)&gt;V1250,V1250,(K1251-MAX(K$470:K1251))/MAX(K$470:K1251))</f>
        <v>-0.84885940676762139</v>
      </c>
      <c r="W1251" s="564">
        <f>IF((N1251-MAX(N$470:N1251))/MAX(N$470:N1251)&gt;W1250,W1250,(N1251-MAX(N$470:N1251))/MAX(N$470:N1251))</f>
        <v>-0.62788758315546067</v>
      </c>
      <c r="X1251" s="564">
        <f>IF((O1251-MAX(O$470:O1251))/MAX(O$470:O1251)&gt;X1250,X1250,(O1251-MAX(O$470:O1251))/MAX(O$470:O1251))</f>
        <v>-0.62788758315546067</v>
      </c>
    </row>
    <row r="1252" spans="1:24">
      <c r="A1252" s="799">
        <v>41654</v>
      </c>
      <c r="B1252">
        <v>863.15</v>
      </c>
      <c r="C1252">
        <v>135.116882</v>
      </c>
      <c r="D1252">
        <v>2.8718319999999999</v>
      </c>
      <c r="E1252">
        <f>LN(D1252/参数实验室!$E$53)/参数实验室!$E$55</f>
        <v>0.5516125720767211</v>
      </c>
      <c r="F1252">
        <f t="shared" si="138"/>
        <v>0.15653928285929444</v>
      </c>
      <c r="G1252">
        <f>LN(F1252/参数实验室!$E$58)/参数实验室!$E$59</f>
        <v>-1.1638447082976315</v>
      </c>
      <c r="H1252" s="856">
        <f>INDEX(神经网络!$G$10:$BO$70,MATCH(ROUND(G1252*2,1)/2,神经网络!$E$10:$E$70,0),MATCH(ROUND(E1252*2,1)/2,神经网络!$G$8:$BO$8,0))</f>
        <v>-0.94937673261548683</v>
      </c>
      <c r="I1252">
        <f t="shared" si="140"/>
        <v>461.18380015049587</v>
      </c>
      <c r="J1252">
        <f t="shared" si="141"/>
        <v>344.41961613662653</v>
      </c>
      <c r="K1252">
        <f t="shared" si="142"/>
        <v>1.3390172294006348</v>
      </c>
      <c r="L1252" s="4">
        <f>MIN(MAX(L1251*(1+MAX(MIN(((B1252-B1251)/B1251)/($K$7*卓尔金历!$N$40),0),-卓尔金历!$M$43))+MIN(MAX(((B1252-B1251)/B1251)/($K$7*卓尔金历!$N$40),0),卓尔金历!$M$43),0),1)</f>
        <v>0.63690922638337377</v>
      </c>
      <c r="M1252" s="4">
        <f>MIN(MAX(M1251*(1+MAX(MIN(((B1252-B1251)/B1251)/($K$7*30),0),-卓尔金历!$M$43))+MIN(MAX(((B1252-B1251)/B1251)/($K$7*7),0),卓尔金历!$M$43),0),1)</f>
        <v>1</v>
      </c>
      <c r="N1252">
        <f t="shared" si="143"/>
        <v>499.16159456381632</v>
      </c>
      <c r="O1252">
        <f t="shared" si="144"/>
        <v>843.38432699432929</v>
      </c>
      <c r="P1252">
        <f t="shared" si="145"/>
        <v>3.1809596672006141E-2</v>
      </c>
      <c r="Q1252">
        <f t="shared" si="136"/>
        <v>4.8467133248751453E-2</v>
      </c>
      <c r="R1252">
        <f t="shared" si="137"/>
        <v>0.49074918083414132</v>
      </c>
      <c r="S1252">
        <f t="shared" si="139"/>
        <v>8.2026009408946834</v>
      </c>
      <c r="T1252" s="564">
        <f>IF((I1252-MAX(I$470:I1252))/MAX(I$470:I1252)&gt;T1251,T1251,(I1252-MAX(I$470:I1252))/MAX(I$470:I1252))</f>
        <v>-0.91338805338419748</v>
      </c>
      <c r="U1252" s="564">
        <f>IF((J1252-MAX(J$470:J1252))/MAX(J$470:J1252)&gt;U1251,U1251,(J1252-MAX(J$470:J1252))/MAX(J$470:J1252))</f>
        <v>-0.70517826086956548</v>
      </c>
      <c r="V1252" s="564">
        <f>IF((K1252-MAX(K$470:K1252))/MAX(K$470:K1252)&gt;V1251,V1251,(K1252-MAX(K$470:K1252))/MAX(K$470:K1252))</f>
        <v>-0.84885940676762139</v>
      </c>
      <c r="W1252" s="564">
        <f>IF((N1252-MAX(N$470:N1252))/MAX(N$470:N1252)&gt;W1251,W1251,(N1252-MAX(N$470:N1252))/MAX(N$470:N1252))</f>
        <v>-0.62788758315546067</v>
      </c>
      <c r="X1252" s="564">
        <f>IF((O1252-MAX(O$470:O1252))/MAX(O$470:O1252)&gt;X1251,X1251,(O1252-MAX(O$470:O1252))/MAX(O$470:O1252))</f>
        <v>-0.62788758315546067</v>
      </c>
    </row>
    <row r="1253" spans="1:24">
      <c r="A1253" s="799">
        <v>41655</v>
      </c>
      <c r="B1253">
        <v>853.01</v>
      </c>
      <c r="C1253">
        <v>136.64701500000001</v>
      </c>
      <c r="D1253">
        <v>2.7758449999999999</v>
      </c>
      <c r="E1253">
        <f>LN(D1253/参数实验室!$E$53)/参数实验室!$E$55</f>
        <v>0.51150692153819255</v>
      </c>
      <c r="F1253">
        <f t="shared" si="138"/>
        <v>0.16019391918031442</v>
      </c>
      <c r="G1253">
        <f>LN(F1253/参数实验室!$E$58)/参数实验室!$E$59</f>
        <v>-1.1517320799428952</v>
      </c>
      <c r="H1253" s="856">
        <f>INDEX(神经网络!$G$10:$BO$70,MATCH(ROUND(G1253*2,1)/2,神经网络!$E$10:$E$70,0),MATCH(ROUND(E1253*2,1)/2,神经网络!$G$8:$BO$8,0))</f>
        <v>-0.97571724132812632</v>
      </c>
      <c r="I1253">
        <f t="shared" si="140"/>
        <v>466.32736603930522</v>
      </c>
      <c r="J1253">
        <f t="shared" si="141"/>
        <v>340.37348868760216</v>
      </c>
      <c r="K1253">
        <f t="shared" si="142"/>
        <v>1.3700460862488166</v>
      </c>
      <c r="L1253" s="4">
        <f>MIN(MAX(L1252*(1+MAX(MIN(((B1253-B1252)/B1252)/($K$7*卓尔金历!$N$40),0),-卓尔金历!$M$43))+MIN(MAX(((B1253-B1252)/B1252)/($K$7*卓尔金历!$N$40),0),卓尔金历!$M$43),0),1)</f>
        <v>0.52258841484379515</v>
      </c>
      <c r="M1253" s="4">
        <f>MIN(MAX(M1252*(1+MAX(MIN(((B1253-B1252)/B1252)/($K$7*30),0),-卓尔金历!$M$43))+MIN(MAX(((B1253-B1252)/B1252)/($K$7*7),0),卓尔金历!$M$43),0),1)</f>
        <v>0.91025344993921808</v>
      </c>
      <c r="N1253">
        <f t="shared" si="143"/>
        <v>502.7073515521144</v>
      </c>
      <c r="O1253">
        <f t="shared" si="144"/>
        <v>852.79056124208228</v>
      </c>
      <c r="P1253">
        <f t="shared" si="145"/>
        <v>-1.1747668423796544E-2</v>
      </c>
      <c r="Q1253">
        <f t="shared" si="136"/>
        <v>4.7660857532518135E-2</v>
      </c>
      <c r="R1253">
        <f t="shared" si="137"/>
        <v>1</v>
      </c>
      <c r="S1253">
        <f t="shared" si="139"/>
        <v>8.2474962980418525</v>
      </c>
      <c r="T1253" s="564">
        <f>IF((I1253-MAX(I$470:I1253))/MAX(I$470:I1253)&gt;T1252,T1252,(I1253-MAX(I$470:I1253))/MAX(I$470:I1253))</f>
        <v>-0.91338805338419748</v>
      </c>
      <c r="U1253" s="564">
        <f>IF((J1253-MAX(J$470:J1253))/MAX(J$470:J1253)&gt;U1252,U1252,(J1253-MAX(J$470:J1253))/MAX(J$470:J1253))</f>
        <v>-0.70517826086956548</v>
      </c>
      <c r="V1253" s="564">
        <f>IF((K1253-MAX(K$470:K1253))/MAX(K$470:K1253)&gt;V1252,V1252,(K1253-MAX(K$470:K1253))/MAX(K$470:K1253))</f>
        <v>-0.84885940676762139</v>
      </c>
      <c r="W1253" s="564">
        <f>IF((N1253-MAX(N$470:N1253))/MAX(N$470:N1253)&gt;W1252,W1252,(N1253-MAX(N$470:N1253))/MAX(N$470:N1253))</f>
        <v>-0.62788758315546067</v>
      </c>
      <c r="X1253" s="564">
        <f>IF((O1253-MAX(O$470:O1253))/MAX(O$470:O1253)&gt;X1252,X1252,(O1253-MAX(O$470:O1253))/MAX(O$470:O1253))</f>
        <v>-0.62788758315546067</v>
      </c>
    </row>
    <row r="1254" spans="1:24">
      <c r="A1254" s="799">
        <v>41656</v>
      </c>
      <c r="B1254">
        <v>824.34</v>
      </c>
      <c r="C1254">
        <v>140.437162</v>
      </c>
      <c r="D1254">
        <v>2.6943809999999999</v>
      </c>
      <c r="E1254">
        <f>LN(D1254/参数实验室!$E$53)/参数实验室!$E$55</f>
        <v>0.47636595146135108</v>
      </c>
      <c r="F1254">
        <f t="shared" si="138"/>
        <v>0.17036315355314555</v>
      </c>
      <c r="G1254">
        <f>LN(F1254/参数实验室!$E$58)/参数实验室!$E$59</f>
        <v>-1.1194287413210273</v>
      </c>
      <c r="H1254" s="856">
        <f>INDEX(神经网络!$G$10:$BO$70,MATCH(ROUND(G1254*2,1)/2,神经网络!$E$10:$E$70,0),MATCH(ROUND(E1254*2,1)/2,神经网络!$G$8:$BO$8,0))</f>
        <v>-0.94552336175976015</v>
      </c>
      <c r="I1254">
        <f t="shared" si="140"/>
        <v>481.62021685981614</v>
      </c>
      <c r="J1254">
        <f t="shared" si="141"/>
        <v>328.93340249790504</v>
      </c>
      <c r="K1254">
        <f t="shared" si="142"/>
        <v>1.46418762339858</v>
      </c>
      <c r="L1254" s="4">
        <f>MIN(MAX(L1253*(1+MAX(MIN(((B1254-B1253)/B1253)/($K$7*卓尔金历!$N$40),0),-卓尔金历!$M$43))+MIN(MAX(((B1254-B1253)/B1253)/($K$7*卓尔金历!$N$40),0),卓尔金历!$M$43),0),1)</f>
        <v>0.25422122005420827</v>
      </c>
      <c r="M1254" s="4">
        <f>MIN(MAX(M1253*(1+MAX(MIN(((B1254-B1253)/B1253)/($K$7*30),0),-卓尔金历!$M$43))+MIN(MAX(((B1254-B1253)/B1253)/($K$7*7),0),卓尔金历!$M$43),0),1)</f>
        <v>0.67653016219589046</v>
      </c>
      <c r="N1254">
        <f t="shared" si="143"/>
        <v>511.32269437687575</v>
      </c>
      <c r="O1254">
        <f t="shared" si="144"/>
        <v>878.24727083301548</v>
      </c>
      <c r="P1254">
        <f t="shared" si="145"/>
        <v>-3.3610391437380524E-2</v>
      </c>
      <c r="Q1254">
        <f t="shared" si="136"/>
        <v>4.718137130637122E-2</v>
      </c>
      <c r="R1254">
        <f t="shared" si="137"/>
        <v>0.40298954835706557</v>
      </c>
      <c r="S1254">
        <f t="shared" si="139"/>
        <v>8.5179666579521456</v>
      </c>
      <c r="T1254" s="564">
        <f>IF((I1254-MAX(I$470:I1254))/MAX(I$470:I1254)&gt;T1253,T1253,(I1254-MAX(I$470:I1254))/MAX(I$470:I1254))</f>
        <v>-0.91338805338419748</v>
      </c>
      <c r="U1254" s="564">
        <f>IF((J1254-MAX(J$470:J1254))/MAX(J$470:J1254)&gt;U1253,U1253,(J1254-MAX(J$470:J1254))/MAX(J$470:J1254))</f>
        <v>-0.70517826086956548</v>
      </c>
      <c r="V1254" s="564">
        <f>IF((K1254-MAX(K$470:K1254))/MAX(K$470:K1254)&gt;V1253,V1253,(K1254-MAX(K$470:K1254))/MAX(K$470:K1254))</f>
        <v>-0.84885940676762139</v>
      </c>
      <c r="W1254" s="564">
        <f>IF((N1254-MAX(N$470:N1254))/MAX(N$470:N1254)&gt;W1253,W1253,(N1254-MAX(N$470:N1254))/MAX(N$470:N1254))</f>
        <v>-0.62788758315546067</v>
      </c>
      <c r="X1254" s="564">
        <f>IF((O1254-MAX(O$470:O1254))/MAX(O$470:O1254)&gt;X1253,X1253,(O1254-MAX(O$470:O1254))/MAX(O$470:O1254))</f>
        <v>-0.62788758315546067</v>
      </c>
    </row>
    <row r="1255" spans="1:24">
      <c r="A1255" s="799">
        <v>41657</v>
      </c>
      <c r="B1255">
        <v>838.31</v>
      </c>
      <c r="C1255">
        <v>144.79809599999999</v>
      </c>
      <c r="D1255">
        <v>2.7484739999999999</v>
      </c>
      <c r="E1255">
        <f>LN(D1255/参数实验室!$E$53)/参数实验室!$E$55</f>
        <v>0.49981632572862644</v>
      </c>
      <c r="F1255">
        <f t="shared" si="138"/>
        <v>0.17272619436723885</v>
      </c>
      <c r="G1255">
        <f>LN(F1255/参数实验室!$E$58)/参数实验室!$E$59</f>
        <v>-1.1121987229886237</v>
      </c>
      <c r="H1255" s="856">
        <f>INDEX(神经网络!$G$10:$BO$70,MATCH(ROUND(G1255*2,1)/2,神经网络!$E$10:$E$70,0),MATCH(ROUND(E1255*2,1)/2,神经网络!$G$8:$BO$8,0))</f>
        <v>-0.94552336175976015</v>
      </c>
      <c r="I1255">
        <f t="shared" si="140"/>
        <v>473.9028880434073</v>
      </c>
      <c r="J1255">
        <f t="shared" si="141"/>
        <v>334.50780096564375</v>
      </c>
      <c r="K1255">
        <f t="shared" si="142"/>
        <v>1.4167169993505784</v>
      </c>
      <c r="L1255" s="4">
        <f>MIN(MAX(L1254*(1+MAX(MIN(((B1255-B1254)/B1254)/($K$7*卓尔金历!$N$40),0),-卓尔金历!$M$43))+MIN(MAX(((B1255-B1254)/B1254)/($K$7*卓尔金历!$N$40),0),卓尔金历!$M$43),0),1)</f>
        <v>0.51315344946667618</v>
      </c>
      <c r="M1255" s="4">
        <f>MIN(MAX(M1254*(1+MAX(MIN(((B1255-B1254)/B1254)/($K$7*30),0),-卓尔金历!$M$43))+MIN(MAX(((B1255-B1254)/B1254)/($K$7*7),0),卓尔金历!$M$43),0),1)</f>
        <v>1</v>
      </c>
      <c r="N1255">
        <f t="shared" si="143"/>
        <v>509.23979081166664</v>
      </c>
      <c r="O1255">
        <f t="shared" si="144"/>
        <v>868.72662809323322</v>
      </c>
      <c r="P1255">
        <f t="shared" si="145"/>
        <v>1.6946890846010036E-2</v>
      </c>
      <c r="Q1255">
        <f t="shared" si="136"/>
        <v>4.7101663469152705E-2</v>
      </c>
      <c r="R1255">
        <f t="shared" si="137"/>
        <v>1</v>
      </c>
      <c r="S1255">
        <f t="shared" si="139"/>
        <v>8.4629629440479857</v>
      </c>
      <c r="T1255" s="564">
        <f>IF((I1255-MAX(I$470:I1255))/MAX(I$470:I1255)&gt;T1254,T1254,(I1255-MAX(I$470:I1255))/MAX(I$470:I1255))</f>
        <v>-0.91338805338419748</v>
      </c>
      <c r="U1255" s="564">
        <f>IF((J1255-MAX(J$470:J1255))/MAX(J$470:J1255)&gt;U1254,U1254,(J1255-MAX(J$470:J1255))/MAX(J$470:J1255))</f>
        <v>-0.70517826086956548</v>
      </c>
      <c r="V1255" s="564">
        <f>IF((K1255-MAX(K$470:K1255))/MAX(K$470:K1255)&gt;V1254,V1254,(K1255-MAX(K$470:K1255))/MAX(K$470:K1255))</f>
        <v>-0.84885940676762139</v>
      </c>
      <c r="W1255" s="564">
        <f>IF((N1255-MAX(N$470:N1255))/MAX(N$470:N1255)&gt;W1254,W1254,(N1255-MAX(N$470:N1255))/MAX(N$470:N1255))</f>
        <v>-0.62788758315546067</v>
      </c>
      <c r="X1255" s="564">
        <f>IF((O1255-MAX(O$470:O1255))/MAX(O$470:O1255)&gt;X1254,X1254,(O1255-MAX(O$470:O1255))/MAX(O$470:O1255))</f>
        <v>-0.62788758315546067</v>
      </c>
    </row>
    <row r="1256" spans="1:24">
      <c r="A1256" s="799">
        <v>41658</v>
      </c>
      <c r="B1256">
        <v>833.7</v>
      </c>
      <c r="C1256">
        <v>145.70523299999999</v>
      </c>
      <c r="D1256">
        <v>2.8377629999999998</v>
      </c>
      <c r="E1256">
        <f>LN(D1256/参数实验室!$E$53)/参数实验室!$E$55</f>
        <v>0.53753329314360687</v>
      </c>
      <c r="F1256">
        <f t="shared" si="138"/>
        <v>0.17476938107232814</v>
      </c>
      <c r="G1256">
        <f>LN(F1256/参数实验室!$E$58)/参数实验室!$E$59</f>
        <v>-1.1060266319645242</v>
      </c>
      <c r="H1256" s="856">
        <f>INDEX(神经网络!$G$10:$BO$70,MATCH(ROUND(G1256*2,1)/2,神经网络!$E$10:$E$70,0),MATCH(ROUND(E1256*2,1)/2,神经网络!$G$8:$BO$8,0))</f>
        <v>-0.91495864410187711</v>
      </c>
      <c r="I1256">
        <f t="shared" si="140"/>
        <v>476.36698559804768</v>
      </c>
      <c r="J1256">
        <f t="shared" si="141"/>
        <v>332.66828937392756</v>
      </c>
      <c r="K1256">
        <f t="shared" si="142"/>
        <v>1.4319579016519941</v>
      </c>
      <c r="L1256" s="4">
        <f>MIN(MAX(L1255*(1+MAX(MIN(((B1256-B1255)/B1255)/($K$7*卓尔金历!$N$40),0),-卓尔金历!$M$43))+MIN(MAX(((B1256-B1255)/B1255)/($K$7*卓尔金历!$N$40),0),卓尔金历!$M$43),0),1)</f>
        <v>0.47003733565340833</v>
      </c>
      <c r="M1256" s="4">
        <f>MIN(MAX(M1255*(1+MAX(MIN(((B1256-B1255)/B1255)/($K$7*30),0),-卓尔金历!$M$43))+MIN(MAX(((B1256-B1255)/B1255)/($K$7*7),0),卓尔金历!$M$43),0),1)</f>
        <v>0.95798906364355663</v>
      </c>
      <c r="N1256">
        <f t="shared" si="143"/>
        <v>510.59853633444561</v>
      </c>
      <c r="O1256">
        <f t="shared" si="144"/>
        <v>873.24364458320122</v>
      </c>
      <c r="P1256">
        <f t="shared" si="145"/>
        <v>-5.499159022318594E-3</v>
      </c>
      <c r="Q1256">
        <f t="shared" si="136"/>
        <v>4.6946831045670684E-2</v>
      </c>
      <c r="R1256">
        <f t="shared" si="137"/>
        <v>1</v>
      </c>
      <c r="S1256">
        <f t="shared" si="139"/>
        <v>8.5069668250573169</v>
      </c>
      <c r="T1256" s="564">
        <f>IF((I1256-MAX(I$470:I1256))/MAX(I$470:I1256)&gt;T1255,T1255,(I1256-MAX(I$470:I1256))/MAX(I$470:I1256))</f>
        <v>-0.91338805338419748</v>
      </c>
      <c r="U1256" s="564">
        <f>IF((J1256-MAX(J$470:J1256))/MAX(J$470:J1256)&gt;U1255,U1255,(J1256-MAX(J$470:J1256))/MAX(J$470:J1256))</f>
        <v>-0.70517826086956548</v>
      </c>
      <c r="V1256" s="564">
        <f>IF((K1256-MAX(K$470:K1256))/MAX(K$470:K1256)&gt;V1255,V1255,(K1256-MAX(K$470:K1256))/MAX(K$470:K1256))</f>
        <v>-0.84885940676762139</v>
      </c>
      <c r="W1256" s="564">
        <f>IF((N1256-MAX(N$470:N1256))/MAX(N$470:N1256)&gt;W1255,W1255,(N1256-MAX(N$470:N1256))/MAX(N$470:N1256))</f>
        <v>-0.62788758315546067</v>
      </c>
      <c r="X1256" s="564">
        <f>IF((O1256-MAX(O$470:O1256))/MAX(O$470:O1256)&gt;X1255,X1255,(O1256-MAX(O$470:O1256))/MAX(O$470:O1256))</f>
        <v>-0.62788758315546067</v>
      </c>
    </row>
    <row r="1257" spans="1:24">
      <c r="A1257" s="799">
        <v>41659</v>
      </c>
      <c r="B1257">
        <v>865.46</v>
      </c>
      <c r="C1257">
        <v>143.104871</v>
      </c>
      <c r="D1257">
        <v>2.798305</v>
      </c>
      <c r="E1257">
        <f>LN(D1257/参数实验室!$E$53)/参数实验室!$E$55</f>
        <v>0.52101416524660071</v>
      </c>
      <c r="F1257">
        <f t="shared" si="138"/>
        <v>0.16535122478219674</v>
      </c>
      <c r="G1257">
        <f>LN(F1257/参数实验室!$E$58)/参数实验室!$E$59</f>
        <v>-1.1351011504006372</v>
      </c>
      <c r="H1257" s="856">
        <f>INDEX(神经网络!$G$10:$BO$70,MATCH(ROUND(G1257*2,1)/2,神经网络!$E$10:$E$70,0),MATCH(ROUND(E1257*2,1)/2,神经网络!$G$8:$BO$8,0))</f>
        <v>-0.97571724132812632</v>
      </c>
      <c r="I1257">
        <f t="shared" si="140"/>
        <v>459.76294402708811</v>
      </c>
      <c r="J1257">
        <f t="shared" si="141"/>
        <v>345.34136706436288</v>
      </c>
      <c r="K1257">
        <f t="shared" si="142"/>
        <v>1.3313289048902153</v>
      </c>
      <c r="L1257" s="4">
        <f>MIN(MAX(L1256*(1+MAX(MIN(((B1257-B1256)/B1256)/($K$7*卓尔金历!$N$40),0),-卓尔金历!$M$43))+MIN(MAX(((B1257-B1256)/B1256)/($K$7*卓尔金历!$N$40),0),卓尔金历!$M$43),0),1)</f>
        <v>1</v>
      </c>
      <c r="M1257" s="4">
        <f>MIN(MAX(M1256*(1+MAX(MIN(((B1257-B1256)/B1256)/($K$7*30),0),-卓尔金历!$M$43))+MIN(MAX(((B1257-B1256)/B1256)/($K$7*7),0),卓尔金历!$M$43),0),1)</f>
        <v>1</v>
      </c>
      <c r="N1257">
        <f t="shared" si="143"/>
        <v>502.23318706779872</v>
      </c>
      <c r="O1257">
        <f t="shared" si="144"/>
        <v>844.08494566565207</v>
      </c>
      <c r="P1257">
        <f t="shared" si="145"/>
        <v>3.8095238095238085E-2</v>
      </c>
      <c r="Q1257">
        <f t="shared" si="136"/>
        <v>4.666244761114554E-2</v>
      </c>
      <c r="R1257">
        <f t="shared" si="137"/>
        <v>0.2593204475614736</v>
      </c>
      <c r="S1257">
        <f t="shared" si="139"/>
        <v>8.2104516695649696</v>
      </c>
      <c r="T1257" s="564">
        <f>IF((I1257-MAX(I$470:I1257))/MAX(I$470:I1257)&gt;T1256,T1256,(I1257-MAX(I$470:I1257))/MAX(I$470:I1257))</f>
        <v>-0.91338805338419748</v>
      </c>
      <c r="U1257" s="564">
        <f>IF((J1257-MAX(J$470:J1257))/MAX(J$470:J1257)&gt;U1256,U1256,(J1257-MAX(J$470:J1257))/MAX(J$470:J1257))</f>
        <v>-0.70517826086956548</v>
      </c>
      <c r="V1257" s="564">
        <f>IF((K1257-MAX(K$470:K1257))/MAX(K$470:K1257)&gt;V1256,V1256,(K1257-MAX(K$470:K1257))/MAX(K$470:K1257))</f>
        <v>-0.84885940676762139</v>
      </c>
      <c r="W1257" s="564">
        <f>IF((N1257-MAX(N$470:N1257))/MAX(N$470:N1257)&gt;W1256,W1256,(N1257-MAX(N$470:N1257))/MAX(N$470:N1257))</f>
        <v>-0.62788758315546067</v>
      </c>
      <c r="X1257" s="564">
        <f>IF((O1257-MAX(O$470:O1257))/MAX(O$470:O1257)&gt;X1256,X1256,(O1257-MAX(O$470:O1257))/MAX(O$470:O1257))</f>
        <v>-0.62788758315546067</v>
      </c>
    </row>
    <row r="1258" spans="1:24">
      <c r="A1258" s="799">
        <v>41660</v>
      </c>
      <c r="B1258">
        <v>867.22</v>
      </c>
      <c r="C1258">
        <v>143.50624999999999</v>
      </c>
      <c r="D1258">
        <v>2.7760989999999999</v>
      </c>
      <c r="E1258">
        <f>LN(D1258/参数实验室!$E$53)/参数实验室!$E$55</f>
        <v>0.51161486834895931</v>
      </c>
      <c r="F1258">
        <f t="shared" si="138"/>
        <v>0.16547848296856621</v>
      </c>
      <c r="G1258">
        <f>LN(F1258/参数实验室!$E$58)/参数实验室!$E$59</f>
        <v>-1.1346973657624335</v>
      </c>
      <c r="H1258" s="856">
        <f>INDEX(神经网络!$G$10:$BO$70,MATCH(ROUND(G1258*2,1)/2,神经网络!$E$10:$E$70,0),MATCH(ROUND(E1258*2,1)/2,神经网络!$G$8:$BO$8,0))</f>
        <v>-0.97571724132812632</v>
      </c>
      <c r="I1258">
        <f t="shared" si="140"/>
        <v>458.85067356827614</v>
      </c>
      <c r="J1258">
        <f t="shared" si="141"/>
        <v>346.04365348549527</v>
      </c>
      <c r="K1258">
        <f t="shared" si="142"/>
        <v>1.3259907209583004</v>
      </c>
      <c r="L1258" s="4">
        <f>MIN(MAX(L1257*(1+MAX(MIN(((B1258-B1257)/B1257)/($K$7*卓尔金历!$N$40),0),-卓尔金历!$M$43))+MIN(MAX(((B1258-B1257)/B1257)/($K$7*卓尔金历!$N$40),0),卓尔金历!$M$43),0),1)</f>
        <v>1</v>
      </c>
      <c r="M1258" s="4">
        <f>MIN(MAX(M1257*(1+MAX(MIN(((B1258-B1257)/B1257)/($K$7*30),0),-卓尔金历!$M$43))+MIN(MAX(((B1258-B1257)/B1257)/($K$7*7),0),卓尔金历!$M$43),0),1)</f>
        <v>1</v>
      </c>
      <c r="N1258">
        <f t="shared" si="143"/>
        <v>501.23664633751764</v>
      </c>
      <c r="O1258">
        <f t="shared" si="144"/>
        <v>842.41009611402467</v>
      </c>
      <c r="P1258">
        <f t="shared" si="145"/>
        <v>2.0336006285674563E-3</v>
      </c>
      <c r="Q1258">
        <f t="shared" si="136"/>
        <v>4.6570730237742317E-2</v>
      </c>
      <c r="R1258">
        <f t="shared" si="137"/>
        <v>1</v>
      </c>
      <c r="S1258">
        <f t="shared" si="139"/>
        <v>8.2062269930727521</v>
      </c>
      <c r="T1258" s="564">
        <f>IF((I1258-MAX(I$470:I1258))/MAX(I$470:I1258)&gt;T1257,T1257,(I1258-MAX(I$470:I1258))/MAX(I$470:I1258))</f>
        <v>-0.91338805338419748</v>
      </c>
      <c r="U1258" s="564">
        <f>IF((J1258-MAX(J$470:J1258))/MAX(J$470:J1258)&gt;U1257,U1257,(J1258-MAX(J$470:J1258))/MAX(J$470:J1258))</f>
        <v>-0.70517826086956548</v>
      </c>
      <c r="V1258" s="564">
        <f>IF((K1258-MAX(K$470:K1258))/MAX(K$470:K1258)&gt;V1257,V1257,(K1258-MAX(K$470:K1258))/MAX(K$470:K1258))</f>
        <v>-0.84885940676762139</v>
      </c>
      <c r="W1258" s="564">
        <f>IF((N1258-MAX(N$470:N1258))/MAX(N$470:N1258)&gt;W1257,W1257,(N1258-MAX(N$470:N1258))/MAX(N$470:N1258))</f>
        <v>-0.62788758315546067</v>
      </c>
      <c r="X1258" s="564">
        <f>IF((O1258-MAX(O$470:O1258))/MAX(O$470:O1258)&gt;X1257,X1257,(O1258-MAX(O$470:O1258))/MAX(O$470:O1258))</f>
        <v>-0.62788758315546067</v>
      </c>
    </row>
    <row r="1259" spans="1:24">
      <c r="A1259" s="799">
        <v>41661</v>
      </c>
      <c r="B1259">
        <v>852.44799999999998</v>
      </c>
      <c r="C1259">
        <v>141.994111</v>
      </c>
      <c r="D1259">
        <v>2.7506780000000002</v>
      </c>
      <c r="E1259">
        <f>LN(D1259/参数实验室!$E$53)/参数实验室!$E$55</f>
        <v>0.50076199018341461</v>
      </c>
      <c r="F1259">
        <f t="shared" si="138"/>
        <v>0.1665721674518563</v>
      </c>
      <c r="G1259">
        <f>LN(F1259/参数实验室!$E$58)/参数实验室!$E$59</f>
        <v>-1.1312399004751732</v>
      </c>
      <c r="H1259" s="856">
        <f>INDEX(神经网络!$G$10:$BO$70,MATCH(ROUND(G1259*2,1)/2,神经网络!$E$10:$E$70,0),MATCH(ROUND(E1259*2,1)/2,神经网络!$G$8:$BO$8,0))</f>
        <v>-0.97571724132812632</v>
      </c>
      <c r="I1259">
        <f t="shared" si="140"/>
        <v>466.4768239797977</v>
      </c>
      <c r="J1259">
        <f t="shared" si="141"/>
        <v>340.14923586449049</v>
      </c>
      <c r="K1259">
        <f t="shared" si="142"/>
        <v>1.3713887164680678</v>
      </c>
      <c r="L1259" s="4">
        <f>MIN(MAX(L1258*(1+MAX(MIN(((B1259-B1258)/B1258)/($K$7*卓尔金历!$N$40),0),-卓尔金历!$M$43))+MIN(MAX(((B1259-B1258)/B1258)/($K$7*卓尔金历!$N$40),0),卓尔金历!$M$43),0),1)</f>
        <v>0.73974079890679456</v>
      </c>
      <c r="M1259" s="4">
        <f>MIN(MAX(M1258*(1+MAX(MIN(((B1259-B1258)/B1258)/($K$7*30),0),-卓尔金历!$M$43))+MIN(MAX(((B1259-B1258)/B1258)/($K$7*7),0),卓尔金历!$M$43),0),1)</f>
        <v>0.86987039945339728</v>
      </c>
      <c r="N1259">
        <f t="shared" si="143"/>
        <v>509.56725643995168</v>
      </c>
      <c r="O1259">
        <f t="shared" si="144"/>
        <v>856.41104777699297</v>
      </c>
      <c r="P1259">
        <f t="shared" si="145"/>
        <v>-1.7033739996771349E-2</v>
      </c>
      <c r="Q1259">
        <f t="shared" si="136"/>
        <v>4.6630789943889327E-2</v>
      </c>
      <c r="R1259">
        <f t="shared" si="137"/>
        <v>1</v>
      </c>
      <c r="S1259">
        <f t="shared" si="139"/>
        <v>8.3426154195592819</v>
      </c>
      <c r="T1259" s="564">
        <f>IF((I1259-MAX(I$470:I1259))/MAX(I$470:I1259)&gt;T1258,T1258,(I1259-MAX(I$470:I1259))/MAX(I$470:I1259))</f>
        <v>-0.91338805338419748</v>
      </c>
      <c r="U1259" s="564">
        <f>IF((J1259-MAX(J$470:J1259))/MAX(J$470:J1259)&gt;U1258,U1258,(J1259-MAX(J$470:J1259))/MAX(J$470:J1259))</f>
        <v>-0.70517826086956548</v>
      </c>
      <c r="V1259" s="564">
        <f>IF((K1259-MAX(K$470:K1259))/MAX(K$470:K1259)&gt;V1258,V1258,(K1259-MAX(K$470:K1259))/MAX(K$470:K1259))</f>
        <v>-0.84885940676762139</v>
      </c>
      <c r="W1259" s="564">
        <f>IF((N1259-MAX(N$470:N1259))/MAX(N$470:N1259)&gt;W1258,W1258,(N1259-MAX(N$470:N1259))/MAX(N$470:N1259))</f>
        <v>-0.62788758315546067</v>
      </c>
      <c r="X1259" s="564">
        <f>IF((O1259-MAX(O$470:O1259))/MAX(O$470:O1259)&gt;X1258,X1258,(O1259-MAX(O$470:O1259))/MAX(O$470:O1259))</f>
        <v>-0.62788758315546067</v>
      </c>
    </row>
    <row r="1260" spans="1:24">
      <c r="A1260" s="799">
        <v>41662</v>
      </c>
      <c r="B1260">
        <v>846.28</v>
      </c>
      <c r="C1260">
        <v>141.52148600000001</v>
      </c>
      <c r="D1260">
        <v>2.7203569999999999</v>
      </c>
      <c r="E1260">
        <f>LN(D1260/参数实验室!$E$53)/参数实验室!$E$55</f>
        <v>0.4876852453431324</v>
      </c>
      <c r="F1260">
        <f t="shared" si="138"/>
        <v>0.16722773313796854</v>
      </c>
      <c r="G1260">
        <f>LN(F1260/参数实验室!$E$58)/参数实验室!$E$59</f>
        <v>-1.1291783256057222</v>
      </c>
      <c r="H1260" s="856">
        <f>INDEX(神经网络!$G$10:$BO$70,MATCH(ROUND(G1260*2,1)/2,神经网络!$E$10:$E$70,0),MATCH(ROUND(E1260*2,1)/2,神经网络!$G$8:$BO$8,0))</f>
        <v>-0.97571724132812632</v>
      </c>
      <c r="I1260">
        <f t="shared" si="140"/>
        <v>469.77011810640141</v>
      </c>
      <c r="J1260">
        <f t="shared" si="141"/>
        <v>337.68804117952186</v>
      </c>
      <c r="K1260">
        <f t="shared" si="142"/>
        <v>1.3911363768332621</v>
      </c>
      <c r="L1260" s="4">
        <f>MIN(MAX(L1259*(1+MAX(MIN(((B1260-B1259)/B1259)/($K$7*卓尔金历!$N$40),0),-卓尔金历!$M$43))+MIN(MAX(((B1260-B1259)/B1259)/($K$7*卓尔金历!$N$40),0),卓尔金历!$M$43),0),1)</f>
        <v>0.65795985491001485</v>
      </c>
      <c r="M1260" s="4">
        <f>MIN(MAX(M1259*(1+MAX(MIN(((B1260-B1259)/B1259)/($K$7*30),0),-卓尔金历!$M$43))+MIN(MAX(((B1260-B1259)/B1259)/($K$7*7),0),卓尔金历!$M$43),0),1)</f>
        <v>0.82178678521494697</v>
      </c>
      <c r="N1260">
        <f t="shared" si="143"/>
        <v>512.22848106600372</v>
      </c>
      <c r="O1260">
        <f t="shared" si="144"/>
        <v>861.67046061121471</v>
      </c>
      <c r="P1260">
        <f t="shared" si="145"/>
        <v>-7.2356319681669808E-3</v>
      </c>
      <c r="Q1260">
        <f t="shared" ref="Q1260:Q1323" si="146">STDEVP(P1240:P1260)</f>
        <v>4.6711874900106885E-2</v>
      </c>
      <c r="R1260">
        <f t="shared" ref="R1260:R1323" si="147">MIN(Q1259*MAX(1-LN(MAX(ABS(P1260),0.0001)/Q1260),0)+MAX(-LN(MAX(ABS(P1260),0.0001)/Q1260),0),1)</f>
        <v>1</v>
      </c>
      <c r="S1260">
        <f t="shared" si="139"/>
        <v>8.4015137076400173</v>
      </c>
      <c r="T1260" s="564">
        <f>IF((I1260-MAX(I$470:I1260))/MAX(I$470:I1260)&gt;T1259,T1259,(I1260-MAX(I$470:I1260))/MAX(I$470:I1260))</f>
        <v>-0.91338805338419748</v>
      </c>
      <c r="U1260" s="564">
        <f>IF((J1260-MAX(J$470:J1260))/MAX(J$470:J1260)&gt;U1259,U1259,(J1260-MAX(J$470:J1260))/MAX(J$470:J1260))</f>
        <v>-0.70517826086956548</v>
      </c>
      <c r="V1260" s="564">
        <f>IF((K1260-MAX(K$470:K1260))/MAX(K$470:K1260)&gt;V1259,V1259,(K1260-MAX(K$470:K1260))/MAX(K$470:K1260))</f>
        <v>-0.84885940676762139</v>
      </c>
      <c r="W1260" s="564">
        <f>IF((N1260-MAX(N$470:N1260))/MAX(N$470:N1260)&gt;W1259,W1259,(N1260-MAX(N$470:N1260))/MAX(N$470:N1260))</f>
        <v>-0.62788758315546067</v>
      </c>
      <c r="X1260" s="564">
        <f>IF((O1260-MAX(O$470:O1260))/MAX(O$470:O1260)&gt;X1259,X1259,(O1260-MAX(O$470:O1260))/MAX(O$470:O1260))</f>
        <v>-0.62788758315546067</v>
      </c>
    </row>
    <row r="1261" spans="1:24">
      <c r="A1261" s="799">
        <v>41663</v>
      </c>
      <c r="B1261">
        <v>828.5</v>
      </c>
      <c r="C1261">
        <v>139.56608800000001</v>
      </c>
      <c r="D1261">
        <v>2.6146389999999999</v>
      </c>
      <c r="E1261">
        <f>LN(D1261/参数实验室!$E$53)/参数实验室!$E$55</f>
        <v>0.44092326759510991</v>
      </c>
      <c r="F1261">
        <f t="shared" si="138"/>
        <v>0.16845635244417623</v>
      </c>
      <c r="G1261">
        <f>LN(F1261/参数实验室!$E$58)/参数实验室!$E$59</f>
        <v>-1.1253363282193136</v>
      </c>
      <c r="H1261" s="856">
        <f>INDEX(神经网络!$G$10:$BO$70,MATCH(ROUND(G1261*2,1)/2,神经网络!$E$10:$E$70,0),MATCH(ROUND(E1261*2,1)/2,神经网络!$G$8:$BO$8,0))</f>
        <v>-1.0003831576625297</v>
      </c>
      <c r="I1261">
        <f t="shared" si="140"/>
        <v>479.40013494448755</v>
      </c>
      <c r="J1261">
        <f t="shared" si="141"/>
        <v>330.59335222058166</v>
      </c>
      <c r="K1261">
        <f t="shared" si="142"/>
        <v>1.4501203116287034</v>
      </c>
      <c r="L1261" s="4">
        <f>MIN(MAX(L1260*(1+MAX(MIN(((B1261-B1260)/B1260)/($K$7*卓尔金历!$N$40),0),-卓尔金历!$M$43))+MIN(MAX(((B1261-B1260)/B1260)/($K$7*卓尔金历!$N$40),0),卓尔金历!$M$43),0),1)</f>
        <v>0.44675049818365697</v>
      </c>
      <c r="M1261" s="4">
        <f>MIN(MAX(M1260*(1+MAX(MIN(((B1261-B1260)/B1260)/($K$7*30),0),-卓尔金历!$M$43))+MIN(MAX(((B1261-B1260)/B1260)/($K$7*7),0),卓尔金历!$M$43),0),1)</f>
        <v>0.68988735626330633</v>
      </c>
      <c r="N1261">
        <f t="shared" si="143"/>
        <v>519.13731537258036</v>
      </c>
      <c r="O1261">
        <f t="shared" si="144"/>
        <v>876.18629540065183</v>
      </c>
      <c r="P1261">
        <f t="shared" si="145"/>
        <v>-2.1009594933119029E-2</v>
      </c>
      <c r="Q1261">
        <f t="shared" si="146"/>
        <v>4.6366435928207717E-2</v>
      </c>
      <c r="R1261">
        <f t="shared" si="147"/>
        <v>0.87528543510924095</v>
      </c>
      <c r="S1261">
        <f t="shared" si="139"/>
        <v>8.5737398994550951</v>
      </c>
      <c r="T1261" s="564">
        <f>IF((I1261-MAX(I$470:I1261))/MAX(I$470:I1261)&gt;T1260,T1260,(I1261-MAX(I$470:I1261))/MAX(I$470:I1261))</f>
        <v>-0.91338805338419748</v>
      </c>
      <c r="U1261" s="564">
        <f>IF((J1261-MAX(J$470:J1261))/MAX(J$470:J1261)&gt;U1260,U1260,(J1261-MAX(J$470:J1261))/MAX(J$470:J1261))</f>
        <v>-0.70517826086956548</v>
      </c>
      <c r="V1261" s="564">
        <f>IF((K1261-MAX(K$470:K1261))/MAX(K$470:K1261)&gt;V1260,V1260,(K1261-MAX(K$470:K1261))/MAX(K$470:K1261))</f>
        <v>-0.84885940676762139</v>
      </c>
      <c r="W1261" s="564">
        <f>IF((N1261-MAX(N$470:N1261))/MAX(N$470:N1261)&gt;W1260,W1260,(N1261-MAX(N$470:N1261))/MAX(N$470:N1261))</f>
        <v>-0.62788758315546067</v>
      </c>
      <c r="X1261" s="564">
        <f>IF((O1261-MAX(O$470:O1261))/MAX(O$470:O1261)&gt;X1260,X1260,(O1261-MAX(O$470:O1261))/MAX(O$470:O1261))</f>
        <v>-0.62788758315546067</v>
      </c>
    </row>
    <row r="1262" spans="1:24">
      <c r="A1262" s="799">
        <v>41664</v>
      </c>
      <c r="B1262">
        <v>802.45</v>
      </c>
      <c r="C1262">
        <v>140.899822</v>
      </c>
      <c r="D1262">
        <v>2.6863000000000001</v>
      </c>
      <c r="E1262">
        <f>LN(D1262/参数实验室!$E$53)/参数实验室!$E$55</f>
        <v>0.47282231334846925</v>
      </c>
      <c r="F1262">
        <f t="shared" si="138"/>
        <v>0.17558704218331359</v>
      </c>
      <c r="G1262">
        <f>LN(F1262/参数实验室!$E$58)/参数实验室!$E$59</f>
        <v>-1.1035768209113748</v>
      </c>
      <c r="H1262" s="856">
        <f>INDEX(神经网络!$G$10:$BO$70,MATCH(ROUND(G1262*2,1)/2,神经网络!$E$10:$E$70,0),MATCH(ROUND(E1262*2,1)/2,神经网络!$G$8:$BO$8,0))</f>
        <v>-0.97060530399514533</v>
      </c>
      <c r="I1262">
        <f t="shared" si="140"/>
        <v>494.47938483140217</v>
      </c>
      <c r="J1262">
        <f t="shared" si="141"/>
        <v>320.19871513507036</v>
      </c>
      <c r="K1262">
        <f t="shared" si="142"/>
        <v>1.5442890975462362</v>
      </c>
      <c r="L1262" s="4">
        <f>MIN(MAX(L1261*(1+MAX(MIN(((B1262-B1261)/B1261)/($K$7*卓尔金历!$N$40),0),-卓尔金历!$M$43))+MIN(MAX(((B1262-B1261)/B1261)/($K$7*卓尔金历!$N$40),0),卓尔金历!$M$43),0),1)</f>
        <v>0.23212745981387167</v>
      </c>
      <c r="M1262" s="4">
        <f>MIN(MAX(M1261*(1+MAX(MIN(((B1262-B1261)/B1261)/($K$7*30),0),-卓尔金历!$M$43))+MIN(MAX(((B1262-B1261)/B1261)/($K$7*7),0),卓尔金历!$M$43),0),1)</f>
        <v>0.52417324834835521</v>
      </c>
      <c r="N1262">
        <f t="shared" si="143"/>
        <v>526.43237554794894</v>
      </c>
      <c r="O1262">
        <f t="shared" si="144"/>
        <v>895.19953967516437</v>
      </c>
      <c r="P1262">
        <f t="shared" si="145"/>
        <v>-3.1442365721182808E-2</v>
      </c>
      <c r="Q1262">
        <f t="shared" si="146"/>
        <v>4.6890446917453324E-2</v>
      </c>
      <c r="R1262">
        <f t="shared" si="147"/>
        <v>0.46455489549922746</v>
      </c>
      <c r="S1262">
        <f t="shared" si="139"/>
        <v>8.8097885882211227</v>
      </c>
      <c r="T1262" s="564">
        <f>IF((I1262-MAX(I$470:I1262))/MAX(I$470:I1262)&gt;T1261,T1261,(I1262-MAX(I$470:I1262))/MAX(I$470:I1262))</f>
        <v>-0.91338805338419748</v>
      </c>
      <c r="U1262" s="564">
        <f>IF((J1262-MAX(J$470:J1262))/MAX(J$470:J1262)&gt;U1261,U1261,(J1262-MAX(J$470:J1262))/MAX(J$470:J1262))</f>
        <v>-0.70517826086956548</v>
      </c>
      <c r="V1262" s="564">
        <f>IF((K1262-MAX(K$470:K1262))/MAX(K$470:K1262)&gt;V1261,V1261,(K1262-MAX(K$470:K1262))/MAX(K$470:K1262))</f>
        <v>-0.84885940676762139</v>
      </c>
      <c r="W1262" s="564">
        <f>IF((N1262-MAX(N$470:N1262))/MAX(N$470:N1262)&gt;W1261,W1261,(N1262-MAX(N$470:N1262))/MAX(N$470:N1262))</f>
        <v>-0.62788758315546067</v>
      </c>
      <c r="X1262" s="564">
        <f>IF((O1262-MAX(O$470:O1262))/MAX(O$470:O1262)&gt;X1261,X1261,(O1262-MAX(O$470:O1262))/MAX(O$470:O1262))</f>
        <v>-0.62788758315546067</v>
      </c>
    </row>
    <row r="1263" spans="1:24">
      <c r="A1263" s="799">
        <v>41665</v>
      </c>
      <c r="B1263">
        <v>850.35</v>
      </c>
      <c r="C1263">
        <v>143.608634</v>
      </c>
      <c r="D1263">
        <v>2.7159710000000001</v>
      </c>
      <c r="E1263">
        <f>LN(D1263/参数实验室!$E$53)/参数实验室!$E$55</f>
        <v>0.48578160786917418</v>
      </c>
      <c r="F1263">
        <f t="shared" si="138"/>
        <v>0.16888179455518315</v>
      </c>
      <c r="G1263">
        <f>LN(F1263/参数实验室!$E$58)/参数实验室!$E$59</f>
        <v>-1.1240124629379422</v>
      </c>
      <c r="H1263" s="856">
        <f>INDEX(神经网络!$G$10:$BO$70,MATCH(ROUND(G1263*2,1)/2,神经网络!$E$10:$E$70,0),MATCH(ROUND(E1263*2,1)/2,神经网络!$G$8:$BO$8,0))</f>
        <v>-0.94552336175976015</v>
      </c>
      <c r="I1263">
        <f t="shared" si="140"/>
        <v>465.83045639592314</v>
      </c>
      <c r="J1263">
        <f t="shared" si="141"/>
        <v>339.3120785283906</v>
      </c>
      <c r="K1263">
        <f t="shared" si="142"/>
        <v>1.3728672979053607</v>
      </c>
      <c r="L1263" s="4">
        <f>MIN(MAX(L1262*(1+MAX(MIN(((B1263-B1262)/B1262)/($K$7*卓尔金历!$N$40),0),-卓尔金历!$M$43))+MIN(MAX(((B1263-B1262)/B1262)/($K$7*卓尔金历!$N$40),0),卓尔金历!$M$43),0),1)</f>
        <v>1</v>
      </c>
      <c r="M1263" s="4">
        <f>MIN(MAX(M1262*(1+MAX(MIN(((B1263-B1262)/B1262)/($K$7*30),0),-卓尔金历!$M$43))+MIN(MAX(((B1263-B1262)/B1262)/($K$7*7),0),卓尔金历!$M$43),0),1)</f>
        <v>1</v>
      </c>
      <c r="N1263">
        <f t="shared" si="143"/>
        <v>519.3524400396193</v>
      </c>
      <c r="O1263">
        <f t="shared" si="144"/>
        <v>868.01293982406207</v>
      </c>
      <c r="P1263">
        <f t="shared" si="145"/>
        <v>5.9692192659978785E-2</v>
      </c>
      <c r="Q1263">
        <f t="shared" si="146"/>
        <v>4.6427523411605408E-2</v>
      </c>
      <c r="R1263">
        <f t="shared" si="147"/>
        <v>3.5106466130047871E-2</v>
      </c>
      <c r="S1263">
        <f t="shared" si="139"/>
        <v>8.5726715727794076</v>
      </c>
      <c r="T1263" s="564">
        <f>IF((I1263-MAX(I$470:I1263))/MAX(I$470:I1263)&gt;T1262,T1262,(I1263-MAX(I$470:I1263))/MAX(I$470:I1263))</f>
        <v>-0.91338805338419748</v>
      </c>
      <c r="U1263" s="564">
        <f>IF((J1263-MAX(J$470:J1263))/MAX(J$470:J1263)&gt;U1262,U1262,(J1263-MAX(J$470:J1263))/MAX(J$470:J1263))</f>
        <v>-0.70517826086956548</v>
      </c>
      <c r="V1263" s="564">
        <f>IF((K1263-MAX(K$470:K1263))/MAX(K$470:K1263)&gt;V1262,V1262,(K1263-MAX(K$470:K1263))/MAX(K$470:K1263))</f>
        <v>-0.84885940676762139</v>
      </c>
      <c r="W1263" s="564">
        <f>IF((N1263-MAX(N$470:N1263))/MAX(N$470:N1263)&gt;W1262,W1262,(N1263-MAX(N$470:N1263))/MAX(N$470:N1263))</f>
        <v>-0.62788758315546067</v>
      </c>
      <c r="X1263" s="564">
        <f>IF((O1263-MAX(O$470:O1263))/MAX(O$470:O1263)&gt;X1262,X1262,(O1263-MAX(O$470:O1263))/MAX(O$470:O1263))</f>
        <v>-0.62788758315546067</v>
      </c>
    </row>
    <row r="1264" spans="1:24">
      <c r="A1264" s="799">
        <v>41666</v>
      </c>
      <c r="B1264">
        <v>890.5</v>
      </c>
      <c r="C1264">
        <v>141.84124399999999</v>
      </c>
      <c r="D1264">
        <v>2.4771299999999998</v>
      </c>
      <c r="E1264">
        <f>LN(D1264/参数实验室!$E$53)/参数实验室!$E$55</f>
        <v>0.37718661925369079</v>
      </c>
      <c r="F1264">
        <f t="shared" si="138"/>
        <v>0.15928269960696237</v>
      </c>
      <c r="G1264">
        <f>LN(F1264/参数实验室!$E$58)/参数实验室!$E$59</f>
        <v>-1.1547260929378742</v>
      </c>
      <c r="H1264" s="856">
        <f>INDEX(神经网络!$G$10:$BO$70,MATCH(ROUND(G1264*2,1)/2,神经网络!$E$10:$E$70,0),MATCH(ROUND(E1264*2,1)/2,神经网络!$G$8:$BO$8,0))</f>
        <v>-1.0202428294210848</v>
      </c>
      <c r="I1264">
        <f t="shared" si="140"/>
        <v>445.03406525988095</v>
      </c>
      <c r="J1264">
        <f t="shared" si="141"/>
        <v>355.33298751047431</v>
      </c>
      <c r="K1264">
        <f t="shared" si="142"/>
        <v>1.252442303141817</v>
      </c>
      <c r="L1264" s="4">
        <f>MIN(MAX(L1263*(1+MAX(MIN(((B1264-B1263)/B1263)/($K$7*卓尔金历!$N$40),0),-卓尔金历!$M$43))+MIN(MAX(((B1264-B1263)/B1263)/($K$7*卓尔金历!$N$40),0),卓尔金历!$M$43),0),1)</f>
        <v>1</v>
      </c>
      <c r="M1264" s="4">
        <f>MIN(MAX(M1263*(1+MAX(MIN(((B1264-B1263)/B1263)/($K$7*30),0),-卓尔金历!$M$43))+MIN(MAX(((B1264-B1263)/B1263)/($K$7*7),0),卓尔金历!$M$43),0),1)</f>
        <v>1</v>
      </c>
      <c r="N1264">
        <f t="shared" si="143"/>
        <v>496.16662998313382</v>
      </c>
      <c r="O1264">
        <f t="shared" si="144"/>
        <v>829.2616380148379</v>
      </c>
      <c r="P1264">
        <f t="shared" si="145"/>
        <v>4.7215852296113338E-2</v>
      </c>
      <c r="Q1264">
        <f t="shared" si="146"/>
        <v>3.8108838137531811E-2</v>
      </c>
      <c r="R1264">
        <f t="shared" si="147"/>
        <v>3.6478872935418474E-2</v>
      </c>
      <c r="S1264">
        <f t="shared" si="139"/>
        <v>8.559235776876168</v>
      </c>
      <c r="T1264" s="564">
        <f>IF((I1264-MAX(I$470:I1264))/MAX(I$470:I1264)&gt;T1263,T1263,(I1264-MAX(I$470:I1264))/MAX(I$470:I1264))</f>
        <v>-0.91338805338419748</v>
      </c>
      <c r="U1264" s="564">
        <f>IF((J1264-MAX(J$470:J1264))/MAX(J$470:J1264)&gt;U1263,U1263,(J1264-MAX(J$470:J1264))/MAX(J$470:J1264))</f>
        <v>-0.70517826086956548</v>
      </c>
      <c r="V1264" s="564">
        <f>IF((K1264-MAX(K$470:K1264))/MAX(K$470:K1264)&gt;V1263,V1263,(K1264-MAX(K$470:K1264))/MAX(K$470:K1264))</f>
        <v>-0.84885940676762139</v>
      </c>
      <c r="W1264" s="564">
        <f>IF((N1264-MAX(N$470:N1264))/MAX(N$470:N1264)&gt;W1263,W1263,(N1264-MAX(N$470:N1264))/MAX(N$470:N1264))</f>
        <v>-0.62788758315546067</v>
      </c>
      <c r="X1264" s="564">
        <f>IF((O1264-MAX(O$470:O1264))/MAX(O$470:O1264)&gt;X1263,X1263,(O1264-MAX(O$470:O1264))/MAX(O$470:O1264))</f>
        <v>-0.62788758315546067</v>
      </c>
    </row>
    <row r="1265" spans="1:24">
      <c r="A1265" s="799">
        <v>41667</v>
      </c>
      <c r="B1265">
        <v>803.34</v>
      </c>
      <c r="C1265">
        <v>143.11054799999999</v>
      </c>
      <c r="D1265">
        <v>2.629305</v>
      </c>
      <c r="E1265">
        <f>LN(D1265/参数实验室!$E$53)/参数实验室!$E$55</f>
        <v>0.44752223439871264</v>
      </c>
      <c r="F1265">
        <f t="shared" si="138"/>
        <v>0.17814443199641494</v>
      </c>
      <c r="G1265">
        <f>LN(F1265/参数实验室!$E$58)/参数实验室!$E$59</f>
        <v>-1.0959875625721622</v>
      </c>
      <c r="H1265" s="856">
        <f>INDEX(神经网络!$G$10:$BO$70,MATCH(ROUND(G1265*2,1)/2,神经网络!$E$10:$E$70,0),MATCH(ROUND(E1265*2,1)/2,神经网络!$G$8:$BO$8,0))</f>
        <v>-0.97060530399514533</v>
      </c>
      <c r="I1265">
        <f t="shared" si="140"/>
        <v>489.47468475690056</v>
      </c>
      <c r="J1265">
        <f t="shared" si="141"/>
        <v>320.55384860939296</v>
      </c>
      <c r="K1265">
        <f t="shared" si="142"/>
        <v>1.526965553152176</v>
      </c>
      <c r="L1265" s="4">
        <f>MIN(MAX(L1264*(1+MAX(MIN(((B1265-B1264)/B1264)/($K$7*卓尔金历!$N$40),0),-卓尔金历!$M$43))+MIN(MAX(((B1265-B1264)/B1264)/($K$7*卓尔金历!$N$40),0),卓尔金历!$M$43),0),1)</f>
        <v>0</v>
      </c>
      <c r="M1265" s="4">
        <f>MIN(MAX(M1264*(1+MAX(MIN(((B1265-B1264)/B1264)/($K$7*30),0),-卓尔金历!$M$43))+MIN(MAX(((B1265-B1264)/B1264)/($K$7*7),0),卓尔金历!$M$43),0),1)</f>
        <v>0.25226212307410367</v>
      </c>
      <c r="N1265">
        <f t="shared" si="143"/>
        <v>545.71329198376679</v>
      </c>
      <c r="O1265">
        <f t="shared" si="144"/>
        <v>912.07080656010885</v>
      </c>
      <c r="P1265">
        <f t="shared" si="145"/>
        <v>-9.7877596855699009E-2</v>
      </c>
      <c r="Q1265">
        <f t="shared" si="146"/>
        <v>4.159595436344897E-2</v>
      </c>
      <c r="R1265">
        <f t="shared" si="147"/>
        <v>5.4985422977601572E-3</v>
      </c>
      <c r="S1265">
        <f t="shared" si="139"/>
        <v>8.5904148535821712</v>
      </c>
      <c r="T1265" s="564">
        <f>IF((I1265-MAX(I$470:I1265))/MAX(I$470:I1265)&gt;T1264,T1264,(I1265-MAX(I$470:I1265))/MAX(I$470:I1265))</f>
        <v>-0.91338805338419748</v>
      </c>
      <c r="U1265" s="564">
        <f>IF((J1265-MAX(J$470:J1265))/MAX(J$470:J1265)&gt;U1264,U1264,(J1265-MAX(J$470:J1265))/MAX(J$470:J1265))</f>
        <v>-0.70517826086956548</v>
      </c>
      <c r="V1265" s="564">
        <f>IF((K1265-MAX(K$470:K1265))/MAX(K$470:K1265)&gt;V1264,V1264,(K1265-MAX(K$470:K1265))/MAX(K$470:K1265))</f>
        <v>-0.84885940676762139</v>
      </c>
      <c r="W1265" s="564">
        <f>IF((N1265-MAX(N$470:N1265))/MAX(N$470:N1265)&gt;W1264,W1264,(N1265-MAX(N$470:N1265))/MAX(N$470:N1265))</f>
        <v>-0.62788758315546067</v>
      </c>
      <c r="X1265" s="564">
        <f>IF((O1265-MAX(O$470:O1265))/MAX(O$470:O1265)&gt;X1264,X1264,(O1265-MAX(O$470:O1265))/MAX(O$470:O1265))</f>
        <v>-0.62788758315546067</v>
      </c>
    </row>
    <row r="1266" spans="1:24">
      <c r="A1266" s="799">
        <v>41668</v>
      </c>
      <c r="B1266">
        <v>813.91</v>
      </c>
      <c r="C1266">
        <v>144.96556100000001</v>
      </c>
      <c r="D1266">
        <v>2.633737</v>
      </c>
      <c r="E1266">
        <f>LN(D1266/参数实验室!$E$53)/参数实验室!$E$55</f>
        <v>0.44950917184409878</v>
      </c>
      <c r="F1266">
        <f t="shared" si="138"/>
        <v>0.17811006253762704</v>
      </c>
      <c r="G1266">
        <f>LN(F1266/参数实验室!$E$58)/参数实验室!$E$59</f>
        <v>-1.096088832589726</v>
      </c>
      <c r="H1266" s="856">
        <f>INDEX(神经网络!$G$10:$BO$70,MATCH(ROUND(G1266*2,1)/2,神经网络!$E$10:$E$70,0),MATCH(ROUND(E1266*2,1)/2,神经网络!$G$8:$BO$8,0))</f>
        <v>-0.97060530399514533</v>
      </c>
      <c r="I1266">
        <f t="shared" si="140"/>
        <v>483.22369926467326</v>
      </c>
      <c r="J1266">
        <f t="shared" si="141"/>
        <v>324.77155739994396</v>
      </c>
      <c r="K1266">
        <f t="shared" si="142"/>
        <v>1.4878879885088012</v>
      </c>
      <c r="L1266" s="4">
        <f>MIN(MAX(L1265*(1+MAX(MIN(((B1266-B1265)/B1265)/($K$7*卓尔金历!$N$40),0),-卓尔金历!$M$43))+MIN(MAX(((B1266-B1265)/B1265)/($K$7*卓尔金历!$N$40),0),卓尔金历!$M$43),0),1)</f>
        <v>0.20103499978812922</v>
      </c>
      <c r="M1266" s="4">
        <f>MIN(MAX(M1265*(1+MAX(MIN(((B1266-B1265)/B1265)/($K$7*30),0),-卓尔金历!$M$43))+MIN(MAX(((B1266-B1265)/B1265)/($K$7*7),0),卓尔金历!$M$43),0),1)</f>
        <v>0.68305140833438061</v>
      </c>
      <c r="N1266">
        <f t="shared" si="143"/>
        <v>545.71329198376679</v>
      </c>
      <c r="O1266">
        <f t="shared" si="144"/>
        <v>909.1324881432422</v>
      </c>
      <c r="P1266">
        <f t="shared" si="145"/>
        <v>1.3157567157118948E-2</v>
      </c>
      <c r="Q1266">
        <f t="shared" si="146"/>
        <v>3.9401539660942259E-2</v>
      </c>
      <c r="R1266">
        <f t="shared" si="147"/>
        <v>1</v>
      </c>
      <c r="S1266">
        <f t="shared" si="139"/>
        <v>8.5898116277053145</v>
      </c>
      <c r="T1266" s="564">
        <f>IF((I1266-MAX(I$470:I1266))/MAX(I$470:I1266)&gt;T1265,T1265,(I1266-MAX(I$470:I1266))/MAX(I$470:I1266))</f>
        <v>-0.91338805338419748</v>
      </c>
      <c r="U1266" s="564">
        <f>IF((J1266-MAX(J$470:J1266))/MAX(J$470:J1266)&gt;U1265,U1265,(J1266-MAX(J$470:J1266))/MAX(J$470:J1266))</f>
        <v>-0.70517826086956548</v>
      </c>
      <c r="V1266" s="564">
        <f>IF((K1266-MAX(K$470:K1266))/MAX(K$470:K1266)&gt;V1265,V1265,(K1266-MAX(K$470:K1266))/MAX(K$470:K1266))</f>
        <v>-0.84885940676762139</v>
      </c>
      <c r="W1266" s="564">
        <f>IF((N1266-MAX(N$470:N1266))/MAX(N$470:N1266)&gt;W1265,W1265,(N1266-MAX(N$470:N1266))/MAX(N$470:N1266))</f>
        <v>-0.62788758315546067</v>
      </c>
      <c r="X1266" s="564">
        <f>IF((O1266-MAX(O$470:O1266))/MAX(O$470:O1266)&gt;X1265,X1265,(O1266-MAX(O$470:O1266))/MAX(O$470:O1266))</f>
        <v>-0.62788758315546067</v>
      </c>
    </row>
    <row r="1267" spans="1:24">
      <c r="A1267" s="799">
        <v>41669</v>
      </c>
      <c r="B1267">
        <v>825.36</v>
      </c>
      <c r="C1267">
        <v>145.79425599999999</v>
      </c>
      <c r="D1267">
        <v>2.6488459999999998</v>
      </c>
      <c r="E1267">
        <f>LN(D1267/参数实验室!$E$53)/参数实验室!$E$55</f>
        <v>0.45625774176483813</v>
      </c>
      <c r="F1267">
        <f t="shared" si="138"/>
        <v>0.17664322962101384</v>
      </c>
      <c r="G1267">
        <f>LN(F1267/参数实验室!$E$58)/参数实验室!$E$59</f>
        <v>-1.1004291873729684</v>
      </c>
      <c r="H1267" s="856">
        <f>INDEX(神经网络!$G$10:$BO$70,MATCH(ROUND(G1267*2,1)/2,神经网络!$E$10:$E$70,0),MATCH(ROUND(E1267*2,1)/2,神经网络!$G$8:$BO$8,0))</f>
        <v>-0.97060530399514533</v>
      </c>
      <c r="I1267">
        <f t="shared" si="140"/>
        <v>476.62558263109946</v>
      </c>
      <c r="J1267">
        <f t="shared" si="141"/>
        <v>329.34040940106127</v>
      </c>
      <c r="K1267">
        <f t="shared" si="142"/>
        <v>1.4472125770958113</v>
      </c>
      <c r="L1267" s="4">
        <f>MIN(MAX(L1266*(1+MAX(MIN(((B1267-B1266)/B1266)/($K$7*卓尔金历!$N$40),0),-卓尔金历!$M$43))+MIN(MAX(((B1267-B1266)/B1266)/($K$7*卓尔金历!$N$40),0),卓尔金历!$M$43),0),1)</f>
        <v>0.41597892756512012</v>
      </c>
      <c r="M1267" s="4">
        <f>MIN(MAX(M1266*(1+MAX(MIN(((B1267-B1266)/B1266)/($K$7*30),0),-卓尔金历!$M$43))+MIN(MAX(((B1267-B1266)/B1266)/($K$7*7),0),卓尔金历!$M$43),0),1)</f>
        <v>1</v>
      </c>
      <c r="N1267">
        <f t="shared" si="143"/>
        <v>544.21530524618356</v>
      </c>
      <c r="O1267">
        <f t="shared" si="144"/>
        <v>900.6533378872474</v>
      </c>
      <c r="P1267">
        <f t="shared" si="145"/>
        <v>1.4067894484648236E-2</v>
      </c>
      <c r="Q1267">
        <f t="shared" si="146"/>
        <v>3.933218345769434E-2</v>
      </c>
      <c r="R1267">
        <f t="shared" si="147"/>
        <v>1</v>
      </c>
      <c r="S1267">
        <f t="shared" si="139"/>
        <v>8.4725231357164628</v>
      </c>
      <c r="T1267" s="564">
        <f>IF((I1267-MAX(I$470:I1267))/MAX(I$470:I1267)&gt;T1266,T1266,(I1267-MAX(I$470:I1267))/MAX(I$470:I1267))</f>
        <v>-0.91338805338419748</v>
      </c>
      <c r="U1267" s="564">
        <f>IF((J1267-MAX(J$470:J1267))/MAX(J$470:J1267)&gt;U1266,U1266,(J1267-MAX(J$470:J1267))/MAX(J$470:J1267))</f>
        <v>-0.70517826086956548</v>
      </c>
      <c r="V1267" s="564">
        <f>IF((K1267-MAX(K$470:K1267))/MAX(K$470:K1267)&gt;V1266,V1266,(K1267-MAX(K$470:K1267))/MAX(K$470:K1267))</f>
        <v>-0.84885940676762139</v>
      </c>
      <c r="W1267" s="564">
        <f>IF((N1267-MAX(N$470:N1267))/MAX(N$470:N1267)&gt;W1266,W1266,(N1267-MAX(N$470:N1267))/MAX(N$470:N1267))</f>
        <v>-0.62788758315546067</v>
      </c>
      <c r="X1267" s="564">
        <f>IF((O1267-MAX(O$470:O1267))/MAX(O$470:O1267)&gt;X1266,X1266,(O1267-MAX(O$470:O1267))/MAX(O$470:O1267))</f>
        <v>-0.62788758315546067</v>
      </c>
    </row>
    <row r="1268" spans="1:24">
      <c r="A1268" s="799">
        <v>41670</v>
      </c>
      <c r="B1268">
        <v>819.49</v>
      </c>
      <c r="C1268">
        <v>147.72485399999999</v>
      </c>
      <c r="D1268">
        <v>2.6579709999999999</v>
      </c>
      <c r="E1268">
        <f>LN(D1268/参数实验室!$E$53)/参数实验室!$E$55</f>
        <v>0.46031488523177783</v>
      </c>
      <c r="F1268">
        <f t="shared" si="138"/>
        <v>0.18026437662448594</v>
      </c>
      <c r="G1268">
        <f>LN(F1268/参数实验室!$E$58)/参数实验室!$E$59</f>
        <v>-1.0897785941626712</v>
      </c>
      <c r="H1268" s="856">
        <f>INDEX(神经网络!$G$10:$BO$70,MATCH(ROUND(G1268*2,1)/2,神经网络!$E$10:$E$70,0),MATCH(ROUND(E1268*2,1)/2,神经网络!$G$8:$BO$8,0))</f>
        <v>-0.97060530399514533</v>
      </c>
      <c r="I1268">
        <f t="shared" si="140"/>
        <v>479.91572501711443</v>
      </c>
      <c r="J1268">
        <f t="shared" si="141"/>
        <v>326.99812457603434</v>
      </c>
      <c r="K1268">
        <f t="shared" si="142"/>
        <v>1.4676406038699568</v>
      </c>
      <c r="L1268" s="4">
        <f>MIN(MAX(L1267*(1+MAX(MIN(((B1268-B1267)/B1267)/($K$7*卓尔金历!$N$40),0),-卓尔金历!$M$43))+MIN(MAX(((B1268-B1267)/B1267)/($K$7*卓尔金历!$N$40),0),卓尔金历!$M$43),0),1)</f>
        <v>0.37077646522040719</v>
      </c>
      <c r="M1268" s="4">
        <f>MIN(MAX(M1267*(1+MAX(MIN(((B1268-B1267)/B1267)/($K$7*30),0),-卓尔金历!$M$43))+MIN(MAX(((B1268-B1267)/B1267)/($K$7*7),0),卓尔金历!$M$43),0),1)</f>
        <v>0.94566736516041838</v>
      </c>
      <c r="N1268">
        <f t="shared" si="143"/>
        <v>545.77801897081747</v>
      </c>
      <c r="O1268">
        <f t="shared" si="144"/>
        <v>906.87054029952787</v>
      </c>
      <c r="P1268">
        <f t="shared" si="145"/>
        <v>-7.1120480759910877E-3</v>
      </c>
      <c r="Q1268">
        <f t="shared" si="146"/>
        <v>3.9342267106388391E-2</v>
      </c>
      <c r="R1268">
        <f t="shared" si="147"/>
        <v>1</v>
      </c>
      <c r="S1268">
        <f t="shared" si="139"/>
        <v>8.5310088916245519</v>
      </c>
      <c r="T1268" s="564">
        <f>IF((I1268-MAX(I$470:I1268))/MAX(I$470:I1268)&gt;T1267,T1267,(I1268-MAX(I$470:I1268))/MAX(I$470:I1268))</f>
        <v>-0.91338805338419748</v>
      </c>
      <c r="U1268" s="564">
        <f>IF((J1268-MAX(J$470:J1268))/MAX(J$470:J1268)&gt;U1267,U1267,(J1268-MAX(J$470:J1268))/MAX(J$470:J1268))</f>
        <v>-0.70517826086956548</v>
      </c>
      <c r="V1268" s="564">
        <f>IF((K1268-MAX(K$470:K1268))/MAX(K$470:K1268)&gt;V1267,V1267,(K1268-MAX(K$470:K1268))/MAX(K$470:K1268))</f>
        <v>-0.84885940676762139</v>
      </c>
      <c r="W1268" s="564">
        <f>IF((N1268-MAX(N$470:N1268))/MAX(N$470:N1268)&gt;W1267,W1267,(N1268-MAX(N$470:N1268))/MAX(N$470:N1268))</f>
        <v>-0.62788758315546067</v>
      </c>
      <c r="X1268" s="564">
        <f>IF((O1268-MAX(O$470:O1268))/MAX(O$470:O1268)&gt;X1267,X1267,(O1268-MAX(O$470:O1268))/MAX(O$470:O1268))</f>
        <v>-0.62788758315546067</v>
      </c>
    </row>
    <row r="1269" spans="1:24">
      <c r="A1269" s="799">
        <v>41671</v>
      </c>
      <c r="B1269">
        <v>823.08</v>
      </c>
      <c r="C1269">
        <v>143.371171</v>
      </c>
      <c r="D1269">
        <v>2.67964</v>
      </c>
      <c r="E1269">
        <f>LN(D1269/参数实验室!$E$53)/参数实验室!$E$55</f>
        <v>0.46989378241466706</v>
      </c>
      <c r="F1269">
        <f t="shared" si="138"/>
        <v>0.17418862200515137</v>
      </c>
      <c r="G1269">
        <f>LN(F1269/参数实验室!$E$58)/参数实验室!$E$59</f>
        <v>-1.1077736274378989</v>
      </c>
      <c r="H1269" s="856">
        <f>INDEX(神经网络!$G$10:$BO$70,MATCH(ROUND(G1269*2,1)/2,神经网络!$E$10:$E$70,0),MATCH(ROUND(E1269*2,1)/2,神经网络!$G$8:$BO$8,0))</f>
        <v>-0.97060530399514533</v>
      </c>
      <c r="I1269">
        <f t="shared" si="140"/>
        <v>477.87512243997679</v>
      </c>
      <c r="J1269">
        <f t="shared" si="141"/>
        <v>328.4306292645943</v>
      </c>
      <c r="K1269">
        <f t="shared" si="142"/>
        <v>1.4550260537819242</v>
      </c>
      <c r="L1269" s="4">
        <f>MIN(MAX(L1268*(1+MAX(MIN(((B1269-B1268)/B1268)/($K$7*卓尔金历!$N$40),0),-卓尔金历!$M$43))+MIN(MAX(((B1269-B1268)/B1268)/($K$7*卓尔金历!$N$40),0),卓尔金历!$M$43),0),1)</f>
        <v>0.43771047897862092</v>
      </c>
      <c r="M1269" s="4">
        <f>MIN(MAX(M1268*(1+MAX(MIN(((B1269-B1268)/B1268)/($K$7*30),0),-卓尔金历!$M$43))+MIN(MAX(((B1269-B1268)/B1268)/($K$7*7),0),卓尔金历!$M$43),0),1)</f>
        <v>1</v>
      </c>
      <c r="N1269">
        <f t="shared" si="143"/>
        <v>544.91757687213305</v>
      </c>
      <c r="O1269">
        <f t="shared" si="144"/>
        <v>903.22403250368779</v>
      </c>
      <c r="P1269">
        <f t="shared" si="145"/>
        <v>4.3807734078512633E-3</v>
      </c>
      <c r="Q1269">
        <f t="shared" si="146"/>
        <v>3.4351143196084497E-2</v>
      </c>
      <c r="R1269">
        <f t="shared" si="147"/>
        <v>1</v>
      </c>
      <c r="S1269">
        <f t="shared" si="139"/>
        <v>8.4947350255635623</v>
      </c>
      <c r="T1269" s="564">
        <f>IF((I1269-MAX(I$470:I1269))/MAX(I$470:I1269)&gt;T1268,T1268,(I1269-MAX(I$470:I1269))/MAX(I$470:I1269))</f>
        <v>-0.91338805338419748</v>
      </c>
      <c r="U1269" s="564">
        <f>IF((J1269-MAX(J$470:J1269))/MAX(J$470:J1269)&gt;U1268,U1268,(J1269-MAX(J$470:J1269))/MAX(J$470:J1269))</f>
        <v>-0.70517826086956548</v>
      </c>
      <c r="V1269" s="564">
        <f>IF((K1269-MAX(K$470:K1269))/MAX(K$470:K1269)&gt;V1268,V1268,(K1269-MAX(K$470:K1269))/MAX(K$470:K1269))</f>
        <v>-0.84885940676762139</v>
      </c>
      <c r="W1269" s="564">
        <f>IF((N1269-MAX(N$470:N1269))/MAX(N$470:N1269)&gt;W1268,W1268,(N1269-MAX(N$470:N1269))/MAX(N$470:N1269))</f>
        <v>-0.62788758315546067</v>
      </c>
      <c r="X1269" s="564">
        <f>IF((O1269-MAX(O$470:O1269))/MAX(O$470:O1269)&gt;X1268,X1268,(O1269-MAX(O$470:O1269))/MAX(O$470:O1269))</f>
        <v>-0.62788758315546067</v>
      </c>
    </row>
    <row r="1270" spans="1:24">
      <c r="A1270" s="799">
        <v>41672</v>
      </c>
      <c r="B1270">
        <v>842.05</v>
      </c>
      <c r="C1270">
        <v>141.54351299999999</v>
      </c>
      <c r="D1270">
        <v>2.680247</v>
      </c>
      <c r="E1270">
        <f>LN(D1270/参数实验室!$E$53)/参数实验室!$E$55</f>
        <v>0.47016099335480527</v>
      </c>
      <c r="F1270">
        <f t="shared" si="138"/>
        <v>0.16809395285315598</v>
      </c>
      <c r="G1270">
        <f>LN(F1270/参数实验室!$E$58)/参数实验室!$E$59</f>
        <v>-1.1264666612547025</v>
      </c>
      <c r="H1270" s="856">
        <f>INDEX(神经网络!$G$10:$BO$70,MATCH(ROUND(G1270*2,1)/2,神经网络!$E$10:$E$70,0),MATCH(ROUND(E1270*2,1)/2,神经网络!$G$8:$BO$8,0))</f>
        <v>-1.0003831576625297</v>
      </c>
      <c r="I1270">
        <f t="shared" si="140"/>
        <v>467.18500775196446</v>
      </c>
      <c r="J1270">
        <f t="shared" si="141"/>
        <v>336.0001596105501</v>
      </c>
      <c r="K1270">
        <f t="shared" si="142"/>
        <v>1.3904309101920298</v>
      </c>
      <c r="L1270" s="4">
        <f>MIN(MAX(L1269*(1+MAX(MIN(((B1270-B1269)/B1269)/($K$7*卓尔金历!$N$40),0),-卓尔金历!$M$43))+MIN(MAX(((B1270-B1269)/B1269)/($K$7*卓尔金历!$N$40),0),卓尔金历!$M$43),0),1)</f>
        <v>0.78985534442646643</v>
      </c>
      <c r="M1270" s="4">
        <f>MIN(MAX(M1269*(1+MAX(MIN(((B1270-B1269)/B1269)/($K$7*30),0),-卓尔金历!$M$43))+MIN(MAX(((B1270-B1269)/B1269)/($K$7*7),0),卓尔金历!$M$43),0),1)</f>
        <v>1</v>
      </c>
      <c r="N1270">
        <f t="shared" si="143"/>
        <v>539.58194690701578</v>
      </c>
      <c r="O1270">
        <f t="shared" si="144"/>
        <v>883.01881979637392</v>
      </c>
      <c r="P1270">
        <f t="shared" si="145"/>
        <v>2.3047577392233943E-2</v>
      </c>
      <c r="Q1270">
        <f t="shared" si="146"/>
        <v>3.3268521871355886E-2</v>
      </c>
      <c r="R1270">
        <f t="shared" si="147"/>
        <v>0.41401076376838075</v>
      </c>
      <c r="S1270">
        <f t="shared" si="139"/>
        <v>8.3047069462530398</v>
      </c>
      <c r="T1270" s="564">
        <f>IF((I1270-MAX(I$470:I1270))/MAX(I$470:I1270)&gt;T1269,T1269,(I1270-MAX(I$470:I1270))/MAX(I$470:I1270))</f>
        <v>-0.91338805338419748</v>
      </c>
      <c r="U1270" s="564">
        <f>IF((J1270-MAX(J$470:J1270))/MAX(J$470:J1270)&gt;U1269,U1269,(J1270-MAX(J$470:J1270))/MAX(J$470:J1270))</f>
        <v>-0.70517826086956548</v>
      </c>
      <c r="V1270" s="564">
        <f>IF((K1270-MAX(K$470:K1270))/MAX(K$470:K1270)&gt;V1269,V1269,(K1270-MAX(K$470:K1270))/MAX(K$470:K1270))</f>
        <v>-0.84885940676762139</v>
      </c>
      <c r="W1270" s="564">
        <f>IF((N1270-MAX(N$470:N1270))/MAX(N$470:N1270)&gt;W1269,W1269,(N1270-MAX(N$470:N1270))/MAX(N$470:N1270))</f>
        <v>-0.62788758315546067</v>
      </c>
      <c r="X1270" s="564">
        <f>IF((O1270-MAX(O$470:O1270))/MAX(O$470:O1270)&gt;X1269,X1269,(O1270-MAX(O$470:O1270))/MAX(O$470:O1270))</f>
        <v>-0.62788758315546067</v>
      </c>
    </row>
    <row r="1271" spans="1:24">
      <c r="A1271" s="799">
        <v>41673</v>
      </c>
      <c r="B1271">
        <v>829.58</v>
      </c>
      <c r="C1271">
        <v>138.57953800000001</v>
      </c>
      <c r="D1271">
        <v>2.6517680000000001</v>
      </c>
      <c r="E1271">
        <f>LN(D1271/参数实验室!$E$53)/参数实验室!$E$55</f>
        <v>0.45755843611008717</v>
      </c>
      <c r="F1271">
        <f t="shared" si="138"/>
        <v>0.1670478290219147</v>
      </c>
      <c r="G1271">
        <f>LN(F1271/参数实验室!$E$58)/参数实验室!$E$59</f>
        <v>-1.1297432691581872</v>
      </c>
      <c r="H1271" s="856">
        <f>INDEX(神经网络!$G$10:$BO$70,MATCH(ROUND(G1271*2,1)/2,神经网络!$E$10:$E$70,0),MATCH(ROUND(E1271*2,1)/2,神经网络!$G$8:$BO$8,0))</f>
        <v>-1.0003831576625297</v>
      </c>
      <c r="I1271">
        <f t="shared" si="140"/>
        <v>474.10624668723642</v>
      </c>
      <c r="J1271">
        <f t="shared" si="141"/>
        <v>331.02430070627656</v>
      </c>
      <c r="K1271">
        <f t="shared" si="142"/>
        <v>1.4322400067779884</v>
      </c>
      <c r="L1271" s="4">
        <f>MIN(MAX(L1270*(1+MAX(MIN(((B1271-B1270)/B1270)/($K$7*卓尔金历!$N$40),0),-卓尔金历!$M$43))+MIN(MAX(((B1271-B1270)/B1270)/($K$7*卓尔金历!$N$40),0),卓尔金历!$M$43),0),1)</f>
        <v>0.61113573247801689</v>
      </c>
      <c r="M1271" s="4">
        <f>MIN(MAX(M1270*(1+MAX(MIN(((B1271-B1270)/B1270)/($K$7*30),0),-卓尔金历!$M$43))+MIN(MAX(((B1271-B1270)/B1270)/($K$7*7),0),卓尔金历!$M$43),0),1)</f>
        <v>0.88686560570263517</v>
      </c>
      <c r="N1271">
        <f t="shared" si="143"/>
        <v>545.89587914338335</v>
      </c>
      <c r="O1271">
        <f t="shared" si="144"/>
        <v>896.10054145854951</v>
      </c>
      <c r="P1271">
        <f t="shared" si="145"/>
        <v>-1.4809096846980481E-2</v>
      </c>
      <c r="Q1271">
        <f t="shared" si="146"/>
        <v>3.2652956314581455E-2</v>
      </c>
      <c r="R1271">
        <f t="shared" si="147"/>
        <v>0.85026748777648431</v>
      </c>
      <c r="S1271">
        <f t="shared" si="139"/>
        <v>8.3556436560663556</v>
      </c>
      <c r="T1271" s="564">
        <f>IF((I1271-MAX(I$470:I1271))/MAX(I$470:I1271)&gt;T1270,T1270,(I1271-MAX(I$470:I1271))/MAX(I$470:I1271))</f>
        <v>-0.91338805338419748</v>
      </c>
      <c r="U1271" s="564">
        <f>IF((J1271-MAX(J$470:J1271))/MAX(J$470:J1271)&gt;U1270,U1270,(J1271-MAX(J$470:J1271))/MAX(J$470:J1271))</f>
        <v>-0.70517826086956548</v>
      </c>
      <c r="V1271" s="564">
        <f>IF((K1271-MAX(K$470:K1271))/MAX(K$470:K1271)&gt;V1270,V1270,(K1271-MAX(K$470:K1271))/MAX(K$470:K1271))</f>
        <v>-0.84885940676762139</v>
      </c>
      <c r="W1271" s="564">
        <f>IF((N1271-MAX(N$470:N1271))/MAX(N$470:N1271)&gt;W1270,W1270,(N1271-MAX(N$470:N1271))/MAX(N$470:N1271))</f>
        <v>-0.62788758315546067</v>
      </c>
      <c r="X1271" s="564">
        <f>IF((O1271-MAX(O$470:O1271))/MAX(O$470:O1271)&gt;X1270,X1270,(O1271-MAX(O$470:O1271))/MAX(O$470:O1271))</f>
        <v>-0.62788758315546067</v>
      </c>
    </row>
    <row r="1272" spans="1:24">
      <c r="A1272" s="799">
        <v>41674</v>
      </c>
      <c r="B1272">
        <v>819.19</v>
      </c>
      <c r="C1272">
        <v>140.372333</v>
      </c>
      <c r="D1272">
        <v>2.6274579999999998</v>
      </c>
      <c r="E1272">
        <f>LN(D1272/参数实验室!$E$53)/参数实验室!$E$55</f>
        <v>0.44669320545779057</v>
      </c>
      <c r="F1272">
        <f t="shared" si="138"/>
        <v>0.17135503729293569</v>
      </c>
      <c r="G1272">
        <f>LN(F1272/参数实验室!$E$58)/参数实验室!$E$59</f>
        <v>-1.1163818116163595</v>
      </c>
      <c r="H1272" s="856">
        <f>INDEX(神经网络!$G$10:$BO$70,MATCH(ROUND(G1272*2,1)/2,神经网络!$E$10:$E$70,0),MATCH(ROUND(E1272*2,1)/2,神经网络!$G$8:$BO$8,0))</f>
        <v>-0.97060530399514533</v>
      </c>
      <c r="I1272">
        <f t="shared" si="140"/>
        <v>480.04642282925425</v>
      </c>
      <c r="J1272">
        <f t="shared" si="141"/>
        <v>326.87841666334134</v>
      </c>
      <c r="K1272">
        <f t="shared" si="142"/>
        <v>1.4685779126361338</v>
      </c>
      <c r="L1272" s="4">
        <f>MIN(MAX(L1271*(1+MAX(MIN(((B1272-B1271)/B1271)/($K$7*卓尔金历!$N$40),0),-卓尔金历!$M$43))+MIN(MAX(((B1272-B1271)/B1271)/($K$7*卓尔金历!$N$40),0),卓尔金历!$M$43),0),1)</f>
        <v>0.4941882088779847</v>
      </c>
      <c r="M1272" s="4">
        <f>MIN(MAX(M1271*(1+MAX(MIN(((B1272-B1271)/B1271)/($K$7*30),0),-卓尔金历!$M$43))+MIN(MAX(((B1272-B1271)/B1271)/($K$7*7),0),卓尔金历!$M$43),0),1)</f>
        <v>0.80200987657318468</v>
      </c>
      <c r="N1272">
        <f t="shared" si="143"/>
        <v>550.07582964349069</v>
      </c>
      <c r="O1272">
        <f t="shared" si="144"/>
        <v>906.05776363935956</v>
      </c>
      <c r="P1272">
        <f t="shared" si="145"/>
        <v>-1.2524409942380464E-2</v>
      </c>
      <c r="Q1272">
        <f t="shared" si="146"/>
        <v>3.2762702263943434E-2</v>
      </c>
      <c r="R1272">
        <f t="shared" si="147"/>
        <v>1</v>
      </c>
      <c r="S1272">
        <f t="shared" si="139"/>
        <v>8.4446578224357989</v>
      </c>
      <c r="T1272" s="564">
        <f>IF((I1272-MAX(I$470:I1272))/MAX(I$470:I1272)&gt;T1271,T1271,(I1272-MAX(I$470:I1272))/MAX(I$470:I1272))</f>
        <v>-0.91338805338419748</v>
      </c>
      <c r="U1272" s="564">
        <f>IF((J1272-MAX(J$470:J1272))/MAX(J$470:J1272)&gt;U1271,U1271,(J1272-MAX(J$470:J1272))/MAX(J$470:J1272))</f>
        <v>-0.70517826086956548</v>
      </c>
      <c r="V1272" s="564">
        <f>IF((K1272-MAX(K$470:K1272))/MAX(K$470:K1272)&gt;V1271,V1271,(K1272-MAX(K$470:K1272))/MAX(K$470:K1272))</f>
        <v>-0.84885940676762139</v>
      </c>
      <c r="W1272" s="564">
        <f>IF((N1272-MAX(N$470:N1272))/MAX(N$470:N1272)&gt;W1271,W1271,(N1272-MAX(N$470:N1272))/MAX(N$470:N1272))</f>
        <v>-0.62788758315546067</v>
      </c>
      <c r="X1272" s="564">
        <f>IF((O1272-MAX(O$470:O1272))/MAX(O$470:O1272)&gt;X1271,X1271,(O1272-MAX(O$470:O1272))/MAX(O$470:O1272))</f>
        <v>-0.62788758315546067</v>
      </c>
    </row>
    <row r="1273" spans="1:24">
      <c r="A1273" s="799">
        <v>41675</v>
      </c>
      <c r="B1273">
        <v>831.17</v>
      </c>
      <c r="C1273">
        <v>141.95188400000001</v>
      </c>
      <c r="D1273">
        <v>2.4928349999999999</v>
      </c>
      <c r="E1273">
        <f>LN(D1273/参数实验室!$E$53)/参数实验室!$E$55</f>
        <v>0.38464264213006882</v>
      </c>
      <c r="F1273">
        <f t="shared" si="138"/>
        <v>0.17078562027022151</v>
      </c>
      <c r="G1273">
        <f>LN(F1273/参数实验室!$E$58)/参数实验室!$E$59</f>
        <v>-1.1181288188538525</v>
      </c>
      <c r="H1273" s="856">
        <f>INDEX(神经网络!$G$10:$BO$70,MATCH(ROUND(G1273*2,1)/2,神经网络!$E$10:$E$70,0),MATCH(ROUND(E1273*2,1)/2,神经网络!$G$8:$BO$8,0))</f>
        <v>-0.99033116659642029</v>
      </c>
      <c r="I1273">
        <f t="shared" si="140"/>
        <v>473.23248645568964</v>
      </c>
      <c r="J1273">
        <f t="shared" si="141"/>
        <v>331.65875264354958</v>
      </c>
      <c r="K1273">
        <f t="shared" si="142"/>
        <v>1.4268656644327928</v>
      </c>
      <c r="L1273" s="4">
        <f>MIN(MAX(L1272*(1+MAX(MIN(((B1273-B1272)/B1272)/($K$7*卓尔金历!$N$40),0),-卓尔金历!$M$43))+MIN(MAX(((B1273-B1272)/B1272)/($K$7*卓尔金历!$N$40),0),卓尔金历!$M$43),0),1)</f>
        <v>0.71763198096262437</v>
      </c>
      <c r="M1273" s="4">
        <f>MIN(MAX(M1272*(1+MAX(MIN(((B1273-B1272)/B1272)/($K$7*30),0),-卓尔金历!$M$43))+MIN(MAX(((B1273-B1272)/B1272)/($K$7*7),0),卓尔金历!$M$43),0),1)</f>
        <v>1</v>
      </c>
      <c r="N1273">
        <f t="shared" si="143"/>
        <v>546.21722948593447</v>
      </c>
      <c r="O1273">
        <f t="shared" si="144"/>
        <v>895.74320999957456</v>
      </c>
      <c r="P1273">
        <f t="shared" si="145"/>
        <v>1.4624201955590161E-2</v>
      </c>
      <c r="Q1273">
        <f t="shared" si="146"/>
        <v>3.2155697664367891E-2</v>
      </c>
      <c r="R1273">
        <f t="shared" si="147"/>
        <v>0.84648865479730362</v>
      </c>
      <c r="S1273">
        <f t="shared" si="139"/>
        <v>8.3247915795848062</v>
      </c>
      <c r="T1273" s="564">
        <f>IF((I1273-MAX(I$470:I1273))/MAX(I$470:I1273)&gt;T1272,T1272,(I1273-MAX(I$470:I1273))/MAX(I$470:I1273))</f>
        <v>-0.91338805338419748</v>
      </c>
      <c r="U1273" s="564">
        <f>IF((J1273-MAX(J$470:J1273))/MAX(J$470:J1273)&gt;U1272,U1272,(J1273-MAX(J$470:J1273))/MAX(J$470:J1273))</f>
        <v>-0.70517826086956548</v>
      </c>
      <c r="V1273" s="564">
        <f>IF((K1273-MAX(K$470:K1273))/MAX(K$470:K1273)&gt;V1272,V1272,(K1273-MAX(K$470:K1273))/MAX(K$470:K1273))</f>
        <v>-0.84885940676762139</v>
      </c>
      <c r="W1273" s="564">
        <f>IF((N1273-MAX(N$470:N1273))/MAX(N$470:N1273)&gt;W1272,W1272,(N1273-MAX(N$470:N1273))/MAX(N$470:N1273))</f>
        <v>-0.62788758315546067</v>
      </c>
      <c r="X1273" s="564">
        <f>IF((O1273-MAX(O$470:O1273))/MAX(O$470:O1273)&gt;X1272,X1272,(O1273-MAX(O$470:O1273))/MAX(O$470:O1273))</f>
        <v>-0.62788758315546067</v>
      </c>
    </row>
    <row r="1274" spans="1:24">
      <c r="A1274" s="799">
        <v>41676</v>
      </c>
      <c r="B1274">
        <v>821.49</v>
      </c>
      <c r="C1274">
        <v>141.72465500000001</v>
      </c>
      <c r="D1274">
        <v>2.4248509999999999</v>
      </c>
      <c r="E1274">
        <f>LN(D1274/参数实验室!$E$53)/参数实验室!$E$55</f>
        <v>0.35202183042823104</v>
      </c>
      <c r="F1274">
        <f t="shared" si="138"/>
        <v>0.17252146100378582</v>
      </c>
      <c r="G1274">
        <f>LN(F1274/参数实验室!$E$58)/参数实验室!$E$59</f>
        <v>-1.1128212045289674</v>
      </c>
      <c r="H1274" s="856">
        <f>INDEX(神经网络!$G$10:$BO$70,MATCH(ROUND(G1274*2,1)/2,神经网络!$E$10:$E$70,0),MATCH(ROUND(E1274*2,1)/2,神经网络!$G$8:$BO$8,0))</f>
        <v>-1.0104236073464459</v>
      </c>
      <c r="I1274">
        <f t="shared" si="140"/>
        <v>478.69057397341436</v>
      </c>
      <c r="J1274">
        <f t="shared" si="141"/>
        <v>327.79617732732117</v>
      </c>
      <c r="K1274">
        <f t="shared" si="142"/>
        <v>1.4603299461159287</v>
      </c>
      <c r="L1274" s="4">
        <f>MIN(MAX(L1273*(1+MAX(MIN(((B1274-B1273)/B1273)/($K$7*卓尔金历!$N$40),0),-卓尔金历!$M$43))+MIN(MAX(((B1274-B1273)/B1273)/($K$7*卓尔金历!$N$40),0),卓尔金历!$M$43),0),1)</f>
        <v>0.58993419696032556</v>
      </c>
      <c r="M1274" s="4">
        <f>MIN(MAX(M1273*(1+MAX(MIN(((B1274-B1273)/B1273)/($K$7*30),0),-卓尔金历!$M$43))+MIN(MAX(((B1274-B1273)/B1273)/($K$7*7),0),卓尔金历!$M$43),0),1)</f>
        <v>0.91102836315139812</v>
      </c>
      <c r="N1274">
        <f t="shared" si="143"/>
        <v>550.73821509250865</v>
      </c>
      <c r="O1274">
        <f t="shared" si="144"/>
        <v>906.07437908351096</v>
      </c>
      <c r="P1274">
        <f t="shared" si="145"/>
        <v>-1.1646233622483909E-2</v>
      </c>
      <c r="Q1274">
        <f t="shared" si="146"/>
        <v>3.2154130776562068E-2</v>
      </c>
      <c r="R1274">
        <f t="shared" si="147"/>
        <v>1</v>
      </c>
      <c r="S1274">
        <f t="shared" si="139"/>
        <v>8.4060672303849504</v>
      </c>
      <c r="T1274" s="564">
        <f>IF((I1274-MAX(I$470:I1274))/MAX(I$470:I1274)&gt;T1273,T1273,(I1274-MAX(I$470:I1274))/MAX(I$470:I1274))</f>
        <v>-0.91338805338419748</v>
      </c>
      <c r="U1274" s="564">
        <f>IF((J1274-MAX(J$470:J1274))/MAX(J$470:J1274)&gt;U1273,U1273,(J1274-MAX(J$470:J1274))/MAX(J$470:J1274))</f>
        <v>-0.70517826086956548</v>
      </c>
      <c r="V1274" s="564">
        <f>IF((K1274-MAX(K$470:K1274))/MAX(K$470:K1274)&gt;V1273,V1273,(K1274-MAX(K$470:K1274))/MAX(K$470:K1274))</f>
        <v>-0.84885940676762139</v>
      </c>
      <c r="W1274" s="564">
        <f>IF((N1274-MAX(N$470:N1274))/MAX(N$470:N1274)&gt;W1273,W1273,(N1274-MAX(N$470:N1274))/MAX(N$470:N1274))</f>
        <v>-0.62788758315546067</v>
      </c>
      <c r="X1274" s="564">
        <f>IF((O1274-MAX(O$470:O1274))/MAX(O$470:O1274)&gt;X1273,X1273,(O1274-MAX(O$470:O1274))/MAX(O$470:O1274))</f>
        <v>-0.62788758315546067</v>
      </c>
    </row>
    <row r="1275" spans="1:24">
      <c r="A1275" s="799">
        <v>41677</v>
      </c>
      <c r="B1275">
        <v>783.21</v>
      </c>
      <c r="C1275">
        <v>144.93442200000001</v>
      </c>
      <c r="D1275">
        <v>2.263792</v>
      </c>
      <c r="E1275">
        <f>LN(D1275/参数实验室!$E$53)/参数实验室!$E$55</f>
        <v>0.27093881054168456</v>
      </c>
      <c r="F1275">
        <f t="shared" si="138"/>
        <v>0.18505180219864406</v>
      </c>
      <c r="G1275">
        <f>LN(F1275/参数实验室!$E$58)/参数实验室!$E$59</f>
        <v>-1.076021505530977</v>
      </c>
      <c r="H1275" s="856">
        <f>INDEX(神经网络!$G$10:$BO$70,MATCH(ROUND(G1275*2,1)/2,神经网络!$E$10:$E$70,0),MATCH(ROUND(E1275*2,1)/2,神经网络!$G$8:$BO$8,0))</f>
        <v>-1.0405687069547378</v>
      </c>
      <c r="I1275">
        <f t="shared" si="140"/>
        <v>501.22922961255824</v>
      </c>
      <c r="J1275">
        <f t="shared" si="141"/>
        <v>312.52144766769067</v>
      </c>
      <c r="K1275">
        <f t="shared" si="142"/>
        <v>1.6038234602878321</v>
      </c>
      <c r="L1275" s="4">
        <f>MIN(MAX(L1274*(1+MAX(MIN(((B1275-B1274)/B1274)/($K$7*卓尔金历!$N$40),0),-卓尔金历!$M$43))+MIN(MAX(((B1275-B1274)/B1274)/($K$7*卓尔金历!$N$40),0),卓尔金历!$M$43),0),1)</f>
        <v>0.16991484722573896</v>
      </c>
      <c r="M1275" s="4">
        <f>MIN(MAX(M1274*(1+MAX(MIN(((B1275-B1274)/B1274)/($K$7*30),0),-卓尔金历!$M$43))+MIN(MAX(((B1275-B1274)/B1274)/($K$7*7),0),卓尔金历!$M$43),0),1)</f>
        <v>0.58671292030010913</v>
      </c>
      <c r="N1275">
        <f t="shared" si="143"/>
        <v>566.0357663464049</v>
      </c>
      <c r="O1275">
        <f t="shared" si="144"/>
        <v>944.94029266124505</v>
      </c>
      <c r="P1275">
        <f t="shared" si="145"/>
        <v>-4.6598254391410694E-2</v>
      </c>
      <c r="Q1275">
        <f t="shared" si="146"/>
        <v>3.2886913345590144E-2</v>
      </c>
      <c r="R1275">
        <f t="shared" si="147"/>
        <v>2.0948793271478063E-2</v>
      </c>
      <c r="S1275">
        <f t="shared" si="139"/>
        <v>8.8018583006216105</v>
      </c>
      <c r="T1275" s="564">
        <f>IF((I1275-MAX(I$470:I1275))/MAX(I$470:I1275)&gt;T1274,T1274,(I1275-MAX(I$470:I1275))/MAX(I$470:I1275))</f>
        <v>-0.91338805338419748</v>
      </c>
      <c r="U1275" s="564">
        <f>IF((J1275-MAX(J$470:J1275))/MAX(J$470:J1275)&gt;U1274,U1274,(J1275-MAX(J$470:J1275))/MAX(J$470:J1275))</f>
        <v>-0.70517826086956548</v>
      </c>
      <c r="V1275" s="564">
        <f>IF((K1275-MAX(K$470:K1275))/MAX(K$470:K1275)&gt;V1274,V1274,(K1275-MAX(K$470:K1275))/MAX(K$470:K1275))</f>
        <v>-0.84885940676762139</v>
      </c>
      <c r="W1275" s="564">
        <f>IF((N1275-MAX(N$470:N1275))/MAX(N$470:N1275)&gt;W1274,W1274,(N1275-MAX(N$470:N1275))/MAX(N$470:N1275))</f>
        <v>-0.62788758315546067</v>
      </c>
      <c r="X1275" s="564">
        <f>IF((O1275-MAX(O$470:O1275))/MAX(O$470:O1275)&gt;X1274,X1274,(O1275-MAX(O$470:O1275))/MAX(O$470:O1275))</f>
        <v>-0.62788758315546067</v>
      </c>
    </row>
    <row r="1276" spans="1:24">
      <c r="A1276" s="799">
        <v>41678</v>
      </c>
      <c r="B1276">
        <v>725.92</v>
      </c>
      <c r="C1276">
        <v>147.17557199999999</v>
      </c>
      <c r="D1276">
        <v>2.1581139999999999</v>
      </c>
      <c r="E1276">
        <f>LN(D1276/参数实验室!$E$53)/参数实验室!$E$55</f>
        <v>0.21453882949399344</v>
      </c>
      <c r="F1276">
        <f t="shared" si="138"/>
        <v>0.20274351443685254</v>
      </c>
      <c r="G1276">
        <f>LN(F1276/参数实验室!$E$58)/参数实验室!$E$59</f>
        <v>-1.0280992312233439</v>
      </c>
      <c r="H1276" s="856">
        <f>INDEX(神经网络!$G$10:$BO$70,MATCH(ROUND(G1276*2,1)/2,神经网络!$E$10:$E$70,0),MATCH(ROUND(E1276*2,1)/2,神经网络!$G$8:$BO$8,0))</f>
        <v>-1.0302259858342711</v>
      </c>
      <c r="I1276">
        <f t="shared" si="140"/>
        <v>539.38038974535061</v>
      </c>
      <c r="J1276">
        <f t="shared" si="141"/>
        <v>289.66122660707856</v>
      </c>
      <c r="K1276">
        <f t="shared" si="142"/>
        <v>1.8621076630218536</v>
      </c>
      <c r="L1276" s="4">
        <f>MIN(MAX(L1275*(1+MAX(MIN(((B1276-B1275)/B1275)/($K$7*卓尔金历!$N$40),0),-卓尔金历!$M$43))+MIN(MAX(((B1276-B1275)/B1275)/($K$7*卓尔金历!$N$40),0),卓尔金历!$M$43),0),1)</f>
        <v>0</v>
      </c>
      <c r="M1276" s="4">
        <f>MIN(MAX(M1275*(1+MAX(MIN(((B1276-B1275)/B1275)/($K$7*30),0),-卓尔金历!$M$43))+MIN(MAX(((B1276-B1275)/B1275)/($K$7*7),0),卓尔金历!$M$43),0),1)</f>
        <v>0.2588499770397043</v>
      </c>
      <c r="N1276">
        <f t="shared" si="143"/>
        <v>573.35636441499753</v>
      </c>
      <c r="O1276">
        <f t="shared" si="144"/>
        <v>987.13921688052528</v>
      </c>
      <c r="P1276">
        <f t="shared" si="145"/>
        <v>-7.3147687082647156E-2</v>
      </c>
      <c r="Q1276">
        <f t="shared" si="146"/>
        <v>3.589020216644296E-2</v>
      </c>
      <c r="R1276">
        <f t="shared" si="147"/>
        <v>9.4708992605911212E-3</v>
      </c>
      <c r="S1276">
        <f t="shared" si="139"/>
        <v>8.8158930526346708</v>
      </c>
      <c r="T1276" s="564">
        <f>IF((I1276-MAX(I$470:I1276))/MAX(I$470:I1276)&gt;T1275,T1275,(I1276-MAX(I$470:I1276))/MAX(I$470:I1276))</f>
        <v>-0.91338805338419748</v>
      </c>
      <c r="U1276" s="564">
        <f>IF((J1276-MAX(J$470:J1276))/MAX(J$470:J1276)&gt;U1275,U1275,(J1276-MAX(J$470:J1276))/MAX(J$470:J1276))</f>
        <v>-0.70517826086956548</v>
      </c>
      <c r="V1276" s="564">
        <f>IF((K1276-MAX(K$470:K1276))/MAX(K$470:K1276)&gt;V1275,V1275,(K1276-MAX(K$470:K1276))/MAX(K$470:K1276))</f>
        <v>-0.84885940676762139</v>
      </c>
      <c r="W1276" s="564">
        <f>IF((N1276-MAX(N$470:N1276))/MAX(N$470:N1276)&gt;W1275,W1275,(N1276-MAX(N$470:N1276))/MAX(N$470:N1276))</f>
        <v>-0.62788758315546067</v>
      </c>
      <c r="X1276" s="564">
        <f>IF((O1276-MAX(O$470:O1276))/MAX(O$470:O1276)&gt;X1275,X1275,(O1276-MAX(O$470:O1276))/MAX(O$470:O1276))</f>
        <v>-0.62788758315546067</v>
      </c>
    </row>
    <row r="1277" spans="1:24">
      <c r="A1277" s="799">
        <v>41679</v>
      </c>
      <c r="B1277">
        <v>687.32</v>
      </c>
      <c r="C1277">
        <v>151.480062</v>
      </c>
      <c r="D1277">
        <v>2.1879749999999998</v>
      </c>
      <c r="E1277">
        <f>LN(D1277/参数实验室!$E$53)/参数实验室!$E$55</f>
        <v>0.23075072298540955</v>
      </c>
      <c r="F1277">
        <f t="shared" si="138"/>
        <v>0.2203923383576791</v>
      </c>
      <c r="G1277">
        <f>LN(F1277/参数实验室!$E$58)/参数实验室!$E$59</f>
        <v>-0.98429091879063535</v>
      </c>
      <c r="H1277" s="856">
        <f>INDEX(神经网络!$G$10:$BO$70,MATCH(ROUND(G1277*2,1)/2,神经网络!$E$10:$E$70,0),MATCH(ROUND(E1277*2,1)/2,神经网络!$G$8:$BO$8,0))</f>
        <v>-0.98490764936038844</v>
      </c>
      <c r="I1277">
        <f t="shared" si="140"/>
        <v>568.92826083215346</v>
      </c>
      <c r="J1277">
        <f t="shared" si="141"/>
        <v>274.25880850724218</v>
      </c>
      <c r="K1277">
        <f t="shared" si="142"/>
        <v>2.0744211058480193</v>
      </c>
      <c r="L1277" s="4">
        <f>MIN(MAX(L1276*(1+MAX(MIN(((B1277-B1276)/B1276)/($K$7*卓尔金历!$N$40),0),-卓尔金历!$M$43))+MIN(MAX(((B1277-B1276)/B1276)/($K$7*卓尔金历!$N$40),0),卓尔金历!$M$43),0),1)</f>
        <v>0</v>
      </c>
      <c r="M1277" s="4">
        <f>MIN(MAX(M1276*(1+MAX(MIN(((B1277-B1276)/B1276)/($K$7*30),0),-卓尔金历!$M$43))+MIN(MAX(((B1277-B1276)/B1276)/($K$7*7),0),卓尔金历!$M$43),0),1)</f>
        <v>0.15369913464120141</v>
      </c>
      <c r="N1277">
        <f t="shared" si="143"/>
        <v>573.35636441499753</v>
      </c>
      <c r="O1277">
        <f t="shared" si="144"/>
        <v>1001.1369458241329</v>
      </c>
      <c r="P1277">
        <f t="shared" si="145"/>
        <v>-5.3173903460436288E-2</v>
      </c>
      <c r="Q1277">
        <f t="shared" si="146"/>
        <v>3.7257592459248812E-2</v>
      </c>
      <c r="R1277">
        <f t="shared" si="147"/>
        <v>2.3123626893851466E-2</v>
      </c>
      <c r="S1277">
        <f t="shared" si="139"/>
        <v>8.8204669727262459</v>
      </c>
      <c r="T1277" s="564">
        <f>IF((I1277-MAX(I$470:I1277))/MAX(I$470:I1277)&gt;T1276,T1276,(I1277-MAX(I$470:I1277))/MAX(I$470:I1277))</f>
        <v>-0.91338805338419748</v>
      </c>
      <c r="U1277" s="564">
        <f>IF((J1277-MAX(J$470:J1277))/MAX(J$470:J1277)&gt;U1276,U1276,(J1277-MAX(J$470:J1277))/MAX(J$470:J1277))</f>
        <v>-0.70517826086956548</v>
      </c>
      <c r="V1277" s="564">
        <f>IF((K1277-MAX(K$470:K1277))/MAX(K$470:K1277)&gt;V1276,V1276,(K1277-MAX(K$470:K1277))/MAX(K$470:K1277))</f>
        <v>-0.84885940676762139</v>
      </c>
      <c r="W1277" s="564">
        <f>IF((N1277-MAX(N$470:N1277))/MAX(N$470:N1277)&gt;W1276,W1276,(N1277-MAX(N$470:N1277))/MAX(N$470:N1277))</f>
        <v>-0.62788758315546067</v>
      </c>
      <c r="X1277" s="564">
        <f>IF((O1277-MAX(O$470:O1277))/MAX(O$470:O1277)&gt;X1276,X1276,(O1277-MAX(O$470:O1277))/MAX(O$470:O1277))</f>
        <v>-0.62788758315546067</v>
      </c>
    </row>
    <row r="1278" spans="1:24">
      <c r="A1278" s="799">
        <v>41680</v>
      </c>
      <c r="B1278">
        <v>692.4</v>
      </c>
      <c r="C1278">
        <v>156.42127400000001</v>
      </c>
      <c r="D1278">
        <v>2.1809639999999999</v>
      </c>
      <c r="E1278">
        <f>LN(D1278/参数实验室!$E$53)/参数实验室!$E$55</f>
        <v>0.22696433132670593</v>
      </c>
      <c r="F1278">
        <f t="shared" si="138"/>
        <v>0.22591171865973428</v>
      </c>
      <c r="G1278">
        <f>LN(F1278/参数实验室!$E$58)/参数实验室!$E$59</f>
        <v>-0.97130866278598449</v>
      </c>
      <c r="H1278" s="856">
        <f>INDEX(神经网络!$G$10:$BO$70,MATCH(ROUND(G1278*2,1)/2,神经网络!$E$10:$E$70,0),MATCH(ROUND(E1278*2,1)/2,神经网络!$G$8:$BO$8,0))</f>
        <v>-0.94955138578873</v>
      </c>
      <c r="I1278">
        <f t="shared" si="140"/>
        <v>564.78676004091085</v>
      </c>
      <c r="J1278">
        <f t="shared" si="141"/>
        <v>276.2858624955108</v>
      </c>
      <c r="K1278">
        <f t="shared" si="142"/>
        <v>2.0442115819447246</v>
      </c>
      <c r="L1278" s="4">
        <f>MIN(MAX(L1277*(1+MAX(MIN(((B1278-B1277)/B1277)/($K$7*卓尔金历!$N$40),0),-卓尔金历!$M$43))+MIN(MAX(((B1278-B1277)/B1277)/($K$7*卓尔金历!$N$40),0),卓尔金历!$M$43),0),1)</f>
        <v>0.11292778485811665</v>
      </c>
      <c r="M1278" s="4">
        <f>MIN(MAX(M1277*(1+MAX(MIN(((B1278-B1277)/B1277)/($K$7*30),0),-卓尔金历!$M$43))+MIN(MAX(((B1278-B1277)/B1277)/($K$7*7),0),卓尔金历!$M$43),0),1)</f>
        <v>0.39568724505145136</v>
      </c>
      <c r="N1278">
        <f t="shared" si="143"/>
        <v>573.35636441499753</v>
      </c>
      <c r="O1278">
        <f t="shared" si="144"/>
        <v>1000.0168242747533</v>
      </c>
      <c r="P1278">
        <f t="shared" si="145"/>
        <v>7.3910260140835808E-3</v>
      </c>
      <c r="Q1278">
        <f t="shared" si="146"/>
        <v>3.5983282854752822E-2</v>
      </c>
      <c r="R1278">
        <f t="shared" si="147"/>
        <v>1</v>
      </c>
      <c r="S1278">
        <f t="shared" si="139"/>
        <v>8.8189822417385848</v>
      </c>
      <c r="T1278" s="564">
        <f>IF((I1278-MAX(I$470:I1278))/MAX(I$470:I1278)&gt;T1277,T1277,(I1278-MAX(I$470:I1278))/MAX(I$470:I1278))</f>
        <v>-0.91338805338419748</v>
      </c>
      <c r="U1278" s="564">
        <f>IF((J1278-MAX(J$470:J1278))/MAX(J$470:J1278)&gt;U1277,U1277,(J1278-MAX(J$470:J1278))/MAX(J$470:J1278))</f>
        <v>-0.70517826086956548</v>
      </c>
      <c r="V1278" s="564">
        <f>IF((K1278-MAX(K$470:K1278))/MAX(K$470:K1278)&gt;V1277,V1277,(K1278-MAX(K$470:K1278))/MAX(K$470:K1278))</f>
        <v>-0.84885940676762139</v>
      </c>
      <c r="W1278" s="564">
        <f>IF((N1278-MAX(N$470:N1278))/MAX(N$470:N1278)&gt;W1277,W1277,(N1278-MAX(N$470:N1278))/MAX(N$470:N1278))</f>
        <v>-0.62788758315546067</v>
      </c>
      <c r="X1278" s="564">
        <f>IF((O1278-MAX(O$470:O1278))/MAX(O$470:O1278)&gt;X1277,X1277,(O1278-MAX(O$470:O1278))/MAX(O$470:O1278))</f>
        <v>-0.62788758315546067</v>
      </c>
    </row>
    <row r="1279" spans="1:24">
      <c r="A1279" s="799">
        <v>41681</v>
      </c>
      <c r="B1279">
        <v>668.35</v>
      </c>
      <c r="C1279">
        <v>160.55026699999999</v>
      </c>
      <c r="D1279">
        <v>2.1393219999999999</v>
      </c>
      <c r="E1279">
        <f>LN(D1279/参数实验室!$E$53)/参数实验室!$E$55</f>
        <v>0.20422101939911932</v>
      </c>
      <c r="F1279">
        <f t="shared" si="138"/>
        <v>0.24021884790902967</v>
      </c>
      <c r="G1279">
        <f>LN(F1279/参数实验室!$E$58)/参数实验室!$E$59</f>
        <v>-0.93907943522675452</v>
      </c>
      <c r="H1279" s="856">
        <f>INDEX(神经网络!$G$10:$BO$70,MATCH(ROUND(G1279*2,1)/2,神经网络!$E$10:$E$70,0),MATCH(ROUND(E1279*2,1)/2,神经网络!$G$8:$BO$8,0))</f>
        <v>-0.96932943279694073</v>
      </c>
      <c r="I1279">
        <f t="shared" si="140"/>
        <v>583.41453577554535</v>
      </c>
      <c r="J1279">
        <f t="shared" si="141"/>
        <v>266.68927816128632</v>
      </c>
      <c r="K1279">
        <f t="shared" si="142"/>
        <v>2.1876190141499139</v>
      </c>
      <c r="L1279" s="4">
        <f>MIN(MAX(L1278*(1+MAX(MIN(((B1279-B1278)/B1278)/($K$7*卓尔金历!$N$40),0),-卓尔金历!$M$43))+MIN(MAX(((B1279-B1278)/B1278)/($K$7*卓尔金历!$N$40),0),卓尔金历!$M$43),0),1)</f>
        <v>5.2996317752618996E-2</v>
      </c>
      <c r="M1279" s="4">
        <f>MIN(MAX(M1278*(1+MAX(MIN(((B1279-B1278)/B1278)/($K$7*30),0),-卓尔金历!$M$43))+MIN(MAX(((B1279-B1278)/B1278)/($K$7*7),0),卓尔金历!$M$43),0),1)</f>
        <v>0.2906904227872909</v>
      </c>
      <c r="N1279">
        <f t="shared" si="143"/>
        <v>575.49187604229712</v>
      </c>
      <c r="O1279">
        <f t="shared" si="144"/>
        <v>1013.0675857147954</v>
      </c>
      <c r="P1279">
        <f t="shared" si="145"/>
        <v>-3.4734257654534889E-2</v>
      </c>
      <c r="Q1279">
        <f t="shared" si="146"/>
        <v>3.625329825139529E-2</v>
      </c>
      <c r="R1279">
        <f t="shared" si="147"/>
        <v>8.0327419273083067E-2</v>
      </c>
      <c r="S1279">
        <f t="shared" si="139"/>
        <v>9.109849583237402</v>
      </c>
      <c r="T1279" s="564">
        <f>IF((I1279-MAX(I$470:I1279))/MAX(I$470:I1279)&gt;T1278,T1278,(I1279-MAX(I$470:I1279))/MAX(I$470:I1279))</f>
        <v>-0.91338805338419748</v>
      </c>
      <c r="U1279" s="564">
        <f>IF((J1279-MAX(J$470:J1279))/MAX(J$470:J1279)&gt;U1278,U1278,(J1279-MAX(J$470:J1279))/MAX(J$470:J1279))</f>
        <v>-0.70517826086956548</v>
      </c>
      <c r="V1279" s="564">
        <f>IF((K1279-MAX(K$470:K1279))/MAX(K$470:K1279)&gt;V1278,V1278,(K1279-MAX(K$470:K1279))/MAX(K$470:K1279))</f>
        <v>-0.84885940676762139</v>
      </c>
      <c r="W1279" s="564">
        <f>IF((N1279-MAX(N$470:N1279))/MAX(N$470:N1279)&gt;W1278,W1278,(N1279-MAX(N$470:N1279))/MAX(N$470:N1279))</f>
        <v>-0.62788758315546067</v>
      </c>
      <c r="X1279" s="564">
        <f>IF((O1279-MAX(O$470:O1279))/MAX(O$470:O1279)&gt;X1278,X1278,(O1279-MAX(O$470:O1279))/MAX(O$470:O1279))</f>
        <v>-0.62788758315546067</v>
      </c>
    </row>
    <row r="1280" spans="1:24">
      <c r="A1280" s="799">
        <v>41682</v>
      </c>
      <c r="B1280">
        <v>638.17999999999995</v>
      </c>
      <c r="C1280">
        <v>159.89788100000001</v>
      </c>
      <c r="D1280">
        <v>2.084006</v>
      </c>
      <c r="E1280">
        <f>LN(D1280/参数实验室!$E$53)/参数实验室!$E$55</f>
        <v>0.1733150785968525</v>
      </c>
      <c r="F1280">
        <f t="shared" si="138"/>
        <v>0.2505529490112508</v>
      </c>
      <c r="G1280">
        <f>LN(F1280/参数实验室!$E$58)/参数实验室!$E$59</f>
        <v>-0.91697263680578989</v>
      </c>
      <c r="H1280" s="856">
        <f>INDEX(神经网络!$G$10:$BO$70,MATCH(ROUND(G1280*2,1)/2,神经网络!$E$10:$E$70,0),MATCH(ROUND(E1280*2,1)/2,神经网络!$G$8:$BO$8,0))</f>
        <v>-0.95147098254596862</v>
      </c>
      <c r="I1280">
        <f t="shared" si="140"/>
        <v>608.9427245707011</v>
      </c>
      <c r="J1280">
        <f t="shared" si="141"/>
        <v>254.65065240812402</v>
      </c>
      <c r="K1280">
        <f t="shared" si="142"/>
        <v>2.3912867248215783</v>
      </c>
      <c r="L1280" s="4">
        <f>MIN(MAX(L1279*(1+MAX(MIN(((B1280-B1279)/B1279)/($K$7*卓尔金历!$N$40),0),-卓尔金历!$M$43))+MIN(MAX(((B1280-B1279)/B1279)/($K$7*卓尔金历!$N$40),0),卓尔金历!$M$43),0),1)</f>
        <v>1.6444150558341249E-2</v>
      </c>
      <c r="M1280" s="4">
        <f>MIN(MAX(M1279*(1+MAX(MIN(((B1280-B1279)/B1279)/($K$7*30),0),-卓尔金历!$M$43))+MIN(MAX(((B1280-B1279)/B1279)/($K$7*7),0),卓尔金历!$M$43),0),1)</f>
        <v>0.19044416619740495</v>
      </c>
      <c r="N1280">
        <f t="shared" si="143"/>
        <v>576.82640391956591</v>
      </c>
      <c r="O1280">
        <f t="shared" si="144"/>
        <v>1025.953400984818</v>
      </c>
      <c r="P1280">
        <f t="shared" si="145"/>
        <v>-4.5141018927208905E-2</v>
      </c>
      <c r="Q1280">
        <f t="shared" si="146"/>
        <v>3.6939501947497573E-2</v>
      </c>
      <c r="R1280">
        <f t="shared" si="147"/>
        <v>2.8984154791827425E-2</v>
      </c>
      <c r="S1280">
        <f t="shared" si="139"/>
        <v>9.1418693215490414</v>
      </c>
      <c r="T1280" s="564">
        <f>IF((I1280-MAX(I$470:I1280))/MAX(I$470:I1280)&gt;T1279,T1279,(I1280-MAX(I$470:I1280))/MAX(I$470:I1280))</f>
        <v>-0.91338805338419748</v>
      </c>
      <c r="U1280" s="564">
        <f>IF((J1280-MAX(J$470:J1280))/MAX(J$470:J1280)&gt;U1279,U1279,(J1280-MAX(J$470:J1280))/MAX(J$470:J1280))</f>
        <v>-0.70517826086956548</v>
      </c>
      <c r="V1280" s="564">
        <f>IF((K1280-MAX(K$470:K1280))/MAX(K$470:K1280)&gt;V1279,V1279,(K1280-MAX(K$470:K1280))/MAX(K$470:K1280))</f>
        <v>-0.84885940676762139</v>
      </c>
      <c r="W1280" s="564">
        <f>IF((N1280-MAX(N$470:N1280))/MAX(N$470:N1280)&gt;W1279,W1279,(N1280-MAX(N$470:N1280))/MAX(N$470:N1280))</f>
        <v>-0.62788758315546067</v>
      </c>
      <c r="X1280" s="564">
        <f>IF((O1280-MAX(O$470:O1280))/MAX(O$470:O1280)&gt;X1279,X1279,(O1280-MAX(O$470:O1280))/MAX(O$470:O1280))</f>
        <v>-0.62788758315546067</v>
      </c>
    </row>
    <row r="1281" spans="1:24">
      <c r="A1281" s="799">
        <v>41683</v>
      </c>
      <c r="B1281">
        <v>654.09</v>
      </c>
      <c r="C1281">
        <v>158.60342499999999</v>
      </c>
      <c r="D1281">
        <v>1.955433</v>
      </c>
      <c r="E1281">
        <f>LN(D1281/参数实验室!$E$53)/参数实验室!$E$55</f>
        <v>9.818797830931135E-2</v>
      </c>
      <c r="F1281">
        <f t="shared" si="138"/>
        <v>0.24247951352260388</v>
      </c>
      <c r="G1281">
        <f>LN(F1281/参数实验室!$E$58)/参数实验室!$E$59</f>
        <v>-0.93416320489592086</v>
      </c>
      <c r="H1281" s="856">
        <f>INDEX(神经网络!$G$10:$BO$70,MATCH(ROUND(G1281*2,1)/2,神经网络!$E$10:$E$70,0),MATCH(ROUND(E1281*2,1)/2,神经网络!$G$8:$BO$8,0))</f>
        <v>-1.0014297374223222</v>
      </c>
      <c r="I1281">
        <f t="shared" si="140"/>
        <v>594.49834195221956</v>
      </c>
      <c r="J1281">
        <f t="shared" si="141"/>
        <v>260.99916204461101</v>
      </c>
      <c r="K1281">
        <f t="shared" si="142"/>
        <v>2.277778738042866</v>
      </c>
      <c r="L1281" s="4">
        <f>MIN(MAX(L1280*(1+MAX(MIN(((B1281-B1280)/B1280)/($K$7*卓尔金历!$N$40),0),-卓尔金历!$M$43))+MIN(MAX(((B1281-B1280)/B1280)/($K$7*卓尔金历!$N$40),0),卓尔金历!$M$43),0),1)</f>
        <v>0.39735475934449038</v>
      </c>
      <c r="M1281" s="4">
        <f>MIN(MAX(M1280*(1+MAX(MIN(((B1281-B1280)/B1280)/($K$7*30),0),-卓尔金历!$M$43))+MIN(MAX(((B1281-B1280)/B1280)/($K$7*7),0),卓尔金历!$M$43),0),1)</f>
        <v>1</v>
      </c>
      <c r="N1281">
        <f t="shared" si="143"/>
        <v>576.60140568311294</v>
      </c>
      <c r="O1281">
        <f t="shared" si="144"/>
        <v>1021.3187413332383</v>
      </c>
      <c r="P1281">
        <f t="shared" si="145"/>
        <v>2.4930270456611118E-2</v>
      </c>
      <c r="Q1281">
        <f t="shared" si="146"/>
        <v>3.7803305888347377E-2</v>
      </c>
      <c r="R1281">
        <f t="shared" si="147"/>
        <v>0.46863173679232628</v>
      </c>
      <c r="S1281">
        <f t="shared" si="139"/>
        <v>9.135584134784148</v>
      </c>
      <c r="T1281" s="564">
        <f>IF((I1281-MAX(I$470:I1281))/MAX(I$470:I1281)&gt;T1280,T1280,(I1281-MAX(I$470:I1281))/MAX(I$470:I1281))</f>
        <v>-0.91338805338419748</v>
      </c>
      <c r="U1281" s="564">
        <f>IF((J1281-MAX(J$470:J1281))/MAX(J$470:J1281)&gt;U1280,U1280,(J1281-MAX(J$470:J1281))/MAX(J$470:J1281))</f>
        <v>-0.70517826086956548</v>
      </c>
      <c r="V1281" s="564">
        <f>IF((K1281-MAX(K$470:K1281))/MAX(K$470:K1281)&gt;V1280,V1280,(K1281-MAX(K$470:K1281))/MAX(K$470:K1281))</f>
        <v>-0.84885940676762139</v>
      </c>
      <c r="W1281" s="564">
        <f>IF((N1281-MAX(N$470:N1281))/MAX(N$470:N1281)&gt;W1280,W1280,(N1281-MAX(N$470:N1281))/MAX(N$470:N1281))</f>
        <v>-0.62788758315546067</v>
      </c>
      <c r="X1281" s="564">
        <f>IF((O1281-MAX(O$470:O1281))/MAX(O$470:O1281)&gt;X1280,X1280,(O1281-MAX(O$470:O1281))/MAX(O$470:O1281))</f>
        <v>-0.62788758315546067</v>
      </c>
    </row>
    <row r="1282" spans="1:24">
      <c r="A1282" s="799">
        <v>41684</v>
      </c>
      <c r="B1282">
        <v>563.37</v>
      </c>
      <c r="C1282">
        <v>158.15951899999999</v>
      </c>
      <c r="D1282">
        <v>2.1299809999999999</v>
      </c>
      <c r="E1282">
        <f>LN(D1282/参数实验室!$E$53)/参数实验室!$E$55</f>
        <v>0.19905854082276137</v>
      </c>
      <c r="F1282">
        <f t="shared" si="138"/>
        <v>0.28073826969842197</v>
      </c>
      <c r="G1282">
        <f>LN(F1282/参数实验室!$E$58)/参数实验室!$E$59</f>
        <v>-0.85726915667464831</v>
      </c>
      <c r="H1282" s="856">
        <f>INDEX(神经网络!$G$10:$BO$70,MATCH(ROUND(G1282*2,1)/2,神经网络!$E$10:$E$70,0),MATCH(ROUND(E1282*2,1)/2,神经网络!$G$8:$BO$8,0))</f>
        <v>-0.89268049613264333</v>
      </c>
      <c r="I1282">
        <f t="shared" si="140"/>
        <v>677.07107575404291</v>
      </c>
      <c r="J1282">
        <f t="shared" si="141"/>
        <v>224.79948924623903</v>
      </c>
      <c r="K1282">
        <f t="shared" si="142"/>
        <v>3.0118888527028562</v>
      </c>
      <c r="L1282" s="4">
        <f>MIN(MAX(L1281*(1+MAX(MIN(((B1282-B1281)/B1281)/($K$7*卓尔金历!$N$40),0),-卓尔金历!$M$43))+MIN(MAX(((B1282-B1281)/B1281)/($K$7*卓尔金历!$N$40),0),卓尔金历!$M$43),0),1)</f>
        <v>0</v>
      </c>
      <c r="M1282" s="4">
        <f>MIN(MAX(M1281*(1+MAX(MIN(((B1282-B1281)/B1281)/($K$7*30),0),-卓尔金历!$M$43))+MIN(MAX(((B1282-B1281)/B1281)/($K$7*7),0),卓尔金历!$M$43),0),1)</f>
        <v>0</v>
      </c>
      <c r="N1282">
        <f t="shared" si="143"/>
        <v>608.42433334855423</v>
      </c>
      <c r="O1282">
        <f t="shared" si="144"/>
        <v>1163.1746130888919</v>
      </c>
      <c r="P1282">
        <f t="shared" si="145"/>
        <v>-0.13869650965463473</v>
      </c>
      <c r="Q1282">
        <f t="shared" si="146"/>
        <v>4.6521238888172313E-2</v>
      </c>
      <c r="R1282">
        <f t="shared" si="147"/>
        <v>0</v>
      </c>
      <c r="S1282">
        <f t="shared" si="139"/>
        <v>9.730224017226945</v>
      </c>
      <c r="T1282" s="564">
        <f>IF((I1282-MAX(I$470:I1282))/MAX(I$470:I1282)&gt;T1281,T1281,(I1282-MAX(I$470:I1282))/MAX(I$470:I1282))</f>
        <v>-0.91338805338419748</v>
      </c>
      <c r="U1282" s="564">
        <f>IF((J1282-MAX(J$470:J1282))/MAX(J$470:J1282)&gt;U1281,U1281,(J1282-MAX(J$470:J1282))/MAX(J$470:J1282))</f>
        <v>-0.70517826086956548</v>
      </c>
      <c r="V1282" s="564">
        <f>IF((K1282-MAX(K$470:K1282))/MAX(K$470:K1282)&gt;V1281,V1281,(K1282-MAX(K$470:K1282))/MAX(K$470:K1282))</f>
        <v>-0.84885940676762139</v>
      </c>
      <c r="W1282" s="564">
        <f>IF((N1282-MAX(N$470:N1282))/MAX(N$470:N1282)&gt;W1281,W1281,(N1282-MAX(N$470:N1282))/MAX(N$470:N1282))</f>
        <v>-0.62788758315546067</v>
      </c>
      <c r="X1282" s="564">
        <f>IF((O1282-MAX(O$470:O1282))/MAX(O$470:O1282)&gt;X1281,X1281,(O1282-MAX(O$470:O1282))/MAX(O$470:O1282))</f>
        <v>-0.62788758315546067</v>
      </c>
    </row>
    <row r="1283" spans="1:24">
      <c r="A1283" s="799">
        <v>41685</v>
      </c>
      <c r="B1283">
        <v>644.55999999999995</v>
      </c>
      <c r="C1283">
        <v>158.170804</v>
      </c>
      <c r="D1283">
        <v>2.0836830000000002</v>
      </c>
      <c r="E1283">
        <f>LN(D1283/参数实验室!$E$53)/参数实验室!$E$55</f>
        <v>0.17313221452107053</v>
      </c>
      <c r="F1283">
        <f t="shared" si="138"/>
        <v>0.24539345289810105</v>
      </c>
      <c r="G1283">
        <f>LN(F1283/参数实验室!$E$58)/参数实验室!$E$59</f>
        <v>-0.927893494727412</v>
      </c>
      <c r="H1283" s="856">
        <f>INDEX(神经网络!$G$10:$BO$70,MATCH(ROUND(G1283*2,1)/2,神经网络!$E$10:$E$70,0),MATCH(ROUND(E1283*2,1)/2,神经网络!$G$8:$BO$8,0))</f>
        <v>-0.98690509346409638</v>
      </c>
      <c r="I1283">
        <f t="shared" si="140"/>
        <v>589.9668685778679</v>
      </c>
      <c r="J1283">
        <f t="shared" si="141"/>
        <v>257.19644068472911</v>
      </c>
      <c r="K1283">
        <f t="shared" si="142"/>
        <v>2.2938376091333557</v>
      </c>
      <c r="L1283" s="4">
        <f>MIN(MAX(L1282*(1+MAX(MIN(((B1283-B1282)/B1282)/($K$7*卓尔金历!$N$40),0),-卓尔金历!$M$43))+MIN(MAX(((B1283-B1282)/B1282)/($K$7*卓尔金历!$N$40),0),卓尔金历!$M$43),0),1)</f>
        <v>1</v>
      </c>
      <c r="M1283" s="4">
        <f>MIN(MAX(M1282*(1+MAX(MIN(((B1283-B1282)/B1282)/($K$7*30),0),-卓尔金历!$M$43))+MIN(MAX(((B1283-B1282)/B1282)/($K$7*7),0),卓尔金历!$M$43),0),1)</f>
        <v>1</v>
      </c>
      <c r="N1283">
        <f t="shared" si="143"/>
        <v>608.42433334855423</v>
      </c>
      <c r="O1283">
        <f t="shared" si="144"/>
        <v>1163.1746130888919</v>
      </c>
      <c r="P1283">
        <f t="shared" si="145"/>
        <v>0.14411488009656165</v>
      </c>
      <c r="Q1283">
        <f t="shared" si="146"/>
        <v>5.7633434132242159E-2</v>
      </c>
      <c r="R1283">
        <f t="shared" si="147"/>
        <v>3.884155604669033E-3</v>
      </c>
      <c r="S1283">
        <f t="shared" si="139"/>
        <v>9.730224017226945</v>
      </c>
      <c r="T1283" s="564">
        <f>IF((I1283-MAX(I$470:I1283))/MAX(I$470:I1283)&gt;T1282,T1282,(I1283-MAX(I$470:I1283))/MAX(I$470:I1283))</f>
        <v>-0.91338805338419748</v>
      </c>
      <c r="U1283" s="564">
        <f>IF((J1283-MAX(J$470:J1283))/MAX(J$470:J1283)&gt;U1282,U1282,(J1283-MAX(J$470:J1283))/MAX(J$470:J1283))</f>
        <v>-0.70517826086956548</v>
      </c>
      <c r="V1283" s="564">
        <f>IF((K1283-MAX(K$470:K1283))/MAX(K$470:K1283)&gt;V1282,V1282,(K1283-MAX(K$470:K1283))/MAX(K$470:K1283))</f>
        <v>-0.84885940676762139</v>
      </c>
      <c r="W1283" s="564">
        <f>IF((N1283-MAX(N$470:N1283))/MAX(N$470:N1283)&gt;W1282,W1282,(N1283-MAX(N$470:N1283))/MAX(N$470:N1283))</f>
        <v>-0.62788758315546067</v>
      </c>
      <c r="X1283" s="564">
        <f>IF((O1283-MAX(O$470:O1283))/MAX(O$470:O1283)&gt;X1282,X1282,(O1283-MAX(O$470:O1283))/MAX(O$470:O1283))</f>
        <v>-0.62788758315546067</v>
      </c>
    </row>
    <row r="1284" spans="1:24">
      <c r="A1284" s="799">
        <v>41686</v>
      </c>
      <c r="B1284">
        <v>658.47</v>
      </c>
      <c r="C1284">
        <v>154.492831</v>
      </c>
      <c r="D1284">
        <v>1.985087</v>
      </c>
      <c r="E1284">
        <f>LN(D1284/参数实验室!$E$53)/参数实验室!$E$55</f>
        <v>0.11594455009565806</v>
      </c>
      <c r="F1284">
        <f t="shared" si="138"/>
        <v>0.23462394793992131</v>
      </c>
      <c r="G1284">
        <f>LN(F1284/参数实验室!$E$58)/参数实验室!$E$59</f>
        <v>-0.951448336255167</v>
      </c>
      <c r="H1284" s="856">
        <f>INDEX(神经网络!$G$10:$BO$70,MATCH(ROUND(G1284*2,1)/2,神经网络!$E$10:$E$70,0),MATCH(ROUND(E1284*2,1)/2,神经网络!$G$8:$BO$8,0))</f>
        <v>-1.0014297374223222</v>
      </c>
      <c r="I1284">
        <f t="shared" si="140"/>
        <v>577.40174416995831</v>
      </c>
      <c r="J1284">
        <f t="shared" si="141"/>
        <v>262.74689756992927</v>
      </c>
      <c r="K1284">
        <f t="shared" si="142"/>
        <v>2.1975587514455222</v>
      </c>
      <c r="L1284" s="4">
        <f>MIN(MAX(L1283*(1+MAX(MIN(((B1284-B1283)/B1283)/($K$7*卓尔金历!$N$40),0),-卓尔金历!$M$43))+MIN(MAX(((B1284-B1283)/B1283)/($K$7*卓尔金历!$N$40),0),卓尔金历!$M$43),0),1)</f>
        <v>1</v>
      </c>
      <c r="M1284" s="4">
        <f>MIN(MAX(M1283*(1+MAX(MIN(((B1284-B1283)/B1283)/($K$7*30),0),-卓尔金历!$M$43))+MIN(MAX(((B1284-B1283)/B1283)/($K$7*7),0),卓尔金历!$M$43),0),1)</f>
        <v>1</v>
      </c>
      <c r="N1284">
        <f t="shared" si="143"/>
        <v>595.4661015418219</v>
      </c>
      <c r="O1284">
        <f t="shared" si="144"/>
        <v>1138.4013003826801</v>
      </c>
      <c r="P1284">
        <f t="shared" si="145"/>
        <v>2.1580613131438629E-2</v>
      </c>
      <c r="Q1284">
        <f t="shared" si="146"/>
        <v>5.602874296566774E-2</v>
      </c>
      <c r="R1284">
        <f t="shared" si="147"/>
        <v>1</v>
      </c>
      <c r="S1284">
        <f t="shared" si="139"/>
        <v>9.7294190862727028</v>
      </c>
      <c r="T1284" s="564">
        <f>IF((I1284-MAX(I$470:I1284))/MAX(I$470:I1284)&gt;T1283,T1283,(I1284-MAX(I$470:I1284))/MAX(I$470:I1284))</f>
        <v>-0.91338805338419748</v>
      </c>
      <c r="U1284" s="564">
        <f>IF((J1284-MAX(J$470:J1284))/MAX(J$470:J1284)&gt;U1283,U1283,(J1284-MAX(J$470:J1284))/MAX(J$470:J1284))</f>
        <v>-0.70517826086956548</v>
      </c>
      <c r="V1284" s="564">
        <f>IF((K1284-MAX(K$470:K1284))/MAX(K$470:K1284)&gt;V1283,V1283,(K1284-MAX(K$470:K1284))/MAX(K$470:K1284))</f>
        <v>-0.84885940676762139</v>
      </c>
      <c r="W1284" s="564">
        <f>IF((N1284-MAX(N$470:N1284))/MAX(N$470:N1284)&gt;W1283,W1283,(N1284-MAX(N$470:N1284))/MAX(N$470:N1284))</f>
        <v>-0.62788758315546067</v>
      </c>
      <c r="X1284" s="564">
        <f>IF((O1284-MAX(O$470:O1284))/MAX(O$470:O1284)&gt;X1283,X1283,(O1284-MAX(O$470:O1284))/MAX(O$470:O1284))</f>
        <v>-0.62788758315546067</v>
      </c>
    </row>
    <row r="1285" spans="1:24">
      <c r="A1285" s="799">
        <v>41687</v>
      </c>
      <c r="B1285">
        <v>616.22</v>
      </c>
      <c r="C1285">
        <v>156.35108500000001</v>
      </c>
      <c r="D1285">
        <v>2.011558</v>
      </c>
      <c r="E1285">
        <f>LN(D1285/参数实验室!$E$53)/参数实验室!$E$55</f>
        <v>0.13157251044234661</v>
      </c>
      <c r="F1285">
        <f t="shared" ref="F1285:F1348" si="148">C1285/B1285</f>
        <v>0.25372607997143876</v>
      </c>
      <c r="G1285">
        <f>LN(F1285/参数实验室!$E$58)/参数实验室!$E$59</f>
        <v>-0.91036735481276254</v>
      </c>
      <c r="H1285" s="856">
        <f>INDEX(神经网络!$G$10:$BO$70,MATCH(ROUND(G1285*2,1)/2,神经网络!$E$10:$E$70,0),MATCH(ROUND(E1285*2,1)/2,神经网络!$G$8:$BO$8,0))</f>
        <v>-0.95147098254596862</v>
      </c>
      <c r="I1285">
        <f t="shared" si="140"/>
        <v>614.50305851293206</v>
      </c>
      <c r="J1285">
        <f t="shared" si="141"/>
        <v>245.88803319899435</v>
      </c>
      <c r="K1285">
        <f t="shared" si="142"/>
        <v>2.4991173849262598</v>
      </c>
      <c r="L1285" s="4">
        <f>MIN(MAX(L1284*(1+MAX(MIN(((B1285-B1284)/B1284)/($K$7*卓尔金历!$N$40),0),-卓尔金历!$M$43))+MIN(MAX(((B1285-B1284)/B1284)/($K$7*卓尔金历!$N$40),0),卓尔金历!$M$43),0),1)</f>
        <v>1.9637256506700007E-2</v>
      </c>
      <c r="M1285" s="4">
        <f>MIN(MAX(M1284*(1+MAX(MIN(((B1285-B1284)/B1284)/($K$7*30),0),-卓尔金历!$M$43))+MIN(MAX(((B1285-B1284)/B1284)/($K$7*7),0),卓尔金历!$M$43),0),1)</f>
        <v>0.50981862825335</v>
      </c>
      <c r="N1285">
        <f t="shared" si="143"/>
        <v>633.72815259545598</v>
      </c>
      <c r="O1285">
        <f t="shared" si="144"/>
        <v>1211.5499961052128</v>
      </c>
      <c r="P1285">
        <f t="shared" si="145"/>
        <v>-6.4163895090133191E-2</v>
      </c>
      <c r="Q1285">
        <f t="shared" si="146"/>
        <v>5.5582115131209052E-2</v>
      </c>
      <c r="R1285">
        <f t="shared" si="147"/>
        <v>4.7984181348842886E-2</v>
      </c>
      <c r="S1285">
        <f t="shared" si="139"/>
        <v>10.354589064609449</v>
      </c>
      <c r="T1285" s="564">
        <f>IF((I1285-MAX(I$470:I1285))/MAX(I$470:I1285)&gt;T1284,T1284,(I1285-MAX(I$470:I1285))/MAX(I$470:I1285))</f>
        <v>-0.91338805338419748</v>
      </c>
      <c r="U1285" s="564">
        <f>IF((J1285-MAX(J$470:J1285))/MAX(J$470:J1285)&gt;U1284,U1284,(J1285-MAX(J$470:J1285))/MAX(J$470:J1285))</f>
        <v>-0.70517826086956548</v>
      </c>
      <c r="V1285" s="564">
        <f>IF((K1285-MAX(K$470:K1285))/MAX(K$470:K1285)&gt;V1284,V1284,(K1285-MAX(K$470:K1285))/MAX(K$470:K1285))</f>
        <v>-0.84885940676762139</v>
      </c>
      <c r="W1285" s="564">
        <f>IF((N1285-MAX(N$470:N1285))/MAX(N$470:N1285)&gt;W1284,W1284,(N1285-MAX(N$470:N1285))/MAX(N$470:N1285))</f>
        <v>-0.62788758315546067</v>
      </c>
      <c r="X1285" s="564">
        <f>IF((O1285-MAX(O$470:O1285))/MAX(O$470:O1285)&gt;X1284,X1284,(O1285-MAX(O$470:O1285))/MAX(O$470:O1285))</f>
        <v>-0.62788758315546067</v>
      </c>
    </row>
    <row r="1286" spans="1:24">
      <c r="A1286" s="799">
        <v>41688</v>
      </c>
      <c r="B1286">
        <v>641.65</v>
      </c>
      <c r="C1286">
        <v>157.06149500000001</v>
      </c>
      <c r="D1286">
        <v>1.998497</v>
      </c>
      <c r="E1286">
        <f>LN(D1286/参数实验室!$E$53)/参数实验室!$E$55</f>
        <v>0.12388742302704786</v>
      </c>
      <c r="F1286">
        <f t="shared" si="148"/>
        <v>0.24477751889659474</v>
      </c>
      <c r="G1286">
        <f>LN(F1286/参数实验室!$E$58)/参数实验室!$E$59</f>
        <v>-0.92921252681911526</v>
      </c>
      <c r="H1286" s="856">
        <f>INDEX(神经网络!$G$10:$BO$70,MATCH(ROUND(G1286*2,1)/2,神经网络!$E$10:$E$70,0),MATCH(ROUND(E1286*2,1)/2,神经网络!$G$8:$BO$8,0))</f>
        <v>-1.0014297374223222</v>
      </c>
      <c r="I1286">
        <f t="shared" si="140"/>
        <v>590.37456721448325</v>
      </c>
      <c r="J1286">
        <f t="shared" si="141"/>
        <v>256.03527393160675</v>
      </c>
      <c r="K1286">
        <f t="shared" si="142"/>
        <v>2.305832935239176</v>
      </c>
      <c r="L1286" s="4">
        <f>MIN(MAX(L1285*(1+MAX(MIN(((B1286-B1285)/B1285)/($K$7*卓尔金历!$N$40),0),-卓尔金历!$M$43))+MIN(MAX(((B1286-B1285)/B1285)/($K$7*卓尔金历!$N$40),0),卓尔金历!$M$43),0),1)</f>
        <v>0.6501685548328856</v>
      </c>
      <c r="M1286" s="4">
        <f>MIN(MAX(M1285*(1+MAX(MIN(((B1286-B1285)/B1285)/($K$7*30),0),-卓尔金历!$M$43))+MIN(MAX(((B1286-B1285)/B1285)/($K$7*7),0),卓尔金历!$M$43),0),1)</f>
        <v>1</v>
      </c>
      <c r="N1286">
        <f t="shared" si="143"/>
        <v>633.23951156407463</v>
      </c>
      <c r="O1286">
        <f t="shared" si="144"/>
        <v>1187.2971249747595</v>
      </c>
      <c r="P1286">
        <f t="shared" si="145"/>
        <v>4.1267729057803945E-2</v>
      </c>
      <c r="Q1286">
        <f t="shared" si="146"/>
        <v>5.3666451457785855E-2</v>
      </c>
      <c r="R1286">
        <f t="shared" si="147"/>
        <v>0.33289119018892094</v>
      </c>
      <c r="S1286">
        <f t="shared" si="139"/>
        <v>10.335079971732911</v>
      </c>
      <c r="T1286" s="564">
        <f>IF((I1286-MAX(I$470:I1286))/MAX(I$470:I1286)&gt;T1285,T1285,(I1286-MAX(I$470:I1286))/MAX(I$470:I1286))</f>
        <v>-0.91338805338419748</v>
      </c>
      <c r="U1286" s="564">
        <f>IF((J1286-MAX(J$470:J1286))/MAX(J$470:J1286)&gt;U1285,U1285,(J1286-MAX(J$470:J1286))/MAX(J$470:J1286))</f>
        <v>-0.70517826086956548</v>
      </c>
      <c r="V1286" s="564">
        <f>IF((K1286-MAX(K$470:K1286))/MAX(K$470:K1286)&gt;V1285,V1285,(K1286-MAX(K$470:K1286))/MAX(K$470:K1286))</f>
        <v>-0.84885940676762139</v>
      </c>
      <c r="W1286" s="564">
        <f>IF((N1286-MAX(N$470:N1286))/MAX(N$470:N1286)&gt;W1285,W1285,(N1286-MAX(N$470:N1286))/MAX(N$470:N1286))</f>
        <v>-0.62788758315546067</v>
      </c>
      <c r="X1286" s="564">
        <f>IF((O1286-MAX(O$470:O1286))/MAX(O$470:O1286)&gt;X1285,X1285,(O1286-MAX(O$470:O1286))/MAX(O$470:O1286))</f>
        <v>-0.62788758315546067</v>
      </c>
    </row>
    <row r="1287" spans="1:24">
      <c r="A1287" s="799">
        <v>41689</v>
      </c>
      <c r="B1287">
        <v>625.32000000000005</v>
      </c>
      <c r="C1287">
        <v>156.81484699999999</v>
      </c>
      <c r="D1287">
        <v>1.9894400000000001</v>
      </c>
      <c r="E1287">
        <f>LN(D1287/参数实验室!$E$53)/参数实验室!$E$55</f>
        <v>0.11852874083049117</v>
      </c>
      <c r="F1287">
        <f t="shared" si="148"/>
        <v>0.25077535821659308</v>
      </c>
      <c r="G1287">
        <f>LN(F1287/参数实验室!$E$58)/参数实验室!$E$59</f>
        <v>-0.91650694445761105</v>
      </c>
      <c r="H1287" s="856">
        <f>INDEX(神经网络!$G$10:$BO$70,MATCH(ROUND(G1287*2,1)/2,神经网络!$E$10:$E$70,0),MATCH(ROUND(E1287*2,1)/2,神经网络!$G$8:$BO$8,0))</f>
        <v>-0.97062786277891799</v>
      </c>
      <c r="I1287">
        <f t="shared" si="140"/>
        <v>605.42108871219284</v>
      </c>
      <c r="J1287">
        <f t="shared" si="141"/>
        <v>249.51917321734956</v>
      </c>
      <c r="K1287">
        <f t="shared" si="142"/>
        <v>2.4263509729764396</v>
      </c>
      <c r="L1287" s="4">
        <f>MIN(MAX(L1286*(1+MAX(MIN(((B1287-B1286)/B1286)/($K$7*卓尔金历!$N$40),0),-卓尔金历!$M$43))+MIN(MAX(((B1287-B1286)/B1286)/($K$7*卓尔金历!$N$40),0),卓尔金历!$M$43),0),1)</f>
        <v>0.39734937055579267</v>
      </c>
      <c r="M1287" s="4">
        <f>MIN(MAX(M1286*(1+MAX(MIN(((B1287-B1286)/B1286)/($K$7*30),0),-卓尔金历!$M$43))+MIN(MAX(((B1287-B1286)/B1286)/($K$7*7),0),卓尔金历!$M$43),0),1)</f>
        <v>0.80557412197358902</v>
      </c>
      <c r="N1287">
        <f t="shared" si="143"/>
        <v>643.73257832844183</v>
      </c>
      <c r="O1287">
        <f t="shared" si="144"/>
        <v>1217.5570526667518</v>
      </c>
      <c r="P1287">
        <f t="shared" si="145"/>
        <v>-2.5450011688615177E-2</v>
      </c>
      <c r="Q1287">
        <f t="shared" si="146"/>
        <v>5.3530199727736205E-2</v>
      </c>
      <c r="R1287">
        <f t="shared" si="147"/>
        <v>0.83709882920268486</v>
      </c>
      <c r="S1287">
        <f t="shared" si="139"/>
        <v>10.422764831782665</v>
      </c>
      <c r="T1287" s="564">
        <f>IF((I1287-MAX(I$470:I1287))/MAX(I$470:I1287)&gt;T1286,T1286,(I1287-MAX(I$470:I1287))/MAX(I$470:I1287))</f>
        <v>-0.91338805338419748</v>
      </c>
      <c r="U1287" s="564">
        <f>IF((J1287-MAX(J$470:J1287))/MAX(J$470:J1287)&gt;U1286,U1286,(J1287-MAX(J$470:J1287))/MAX(J$470:J1287))</f>
        <v>-0.70517826086956548</v>
      </c>
      <c r="V1287" s="564">
        <f>IF((K1287-MAX(K$470:K1287))/MAX(K$470:K1287)&gt;V1286,V1286,(K1287-MAX(K$470:K1287))/MAX(K$470:K1287))</f>
        <v>-0.84885940676762139</v>
      </c>
      <c r="W1287" s="564">
        <f>IF((N1287-MAX(N$470:N1287))/MAX(N$470:N1287)&gt;W1286,W1286,(N1287-MAX(N$470:N1287))/MAX(N$470:N1287))</f>
        <v>-0.62788758315546067</v>
      </c>
      <c r="X1287" s="564">
        <f>IF((O1287-MAX(O$470:O1287))/MAX(O$470:O1287)&gt;X1286,X1286,(O1287-MAX(O$470:O1287))/MAX(O$470:O1287))</f>
        <v>-0.62788758315546067</v>
      </c>
    </row>
    <row r="1288" spans="1:24">
      <c r="A1288" s="799">
        <v>41690</v>
      </c>
      <c r="B1288">
        <v>625.23</v>
      </c>
      <c r="C1288">
        <v>156.00527299999999</v>
      </c>
      <c r="D1288">
        <v>1.8012969999999999</v>
      </c>
      <c r="E1288">
        <f>LN(D1288/参数实验室!$E$53)/参数实验室!$E$55</f>
        <v>1.3247023941752904E-3</v>
      </c>
      <c r="F1288">
        <f t="shared" si="148"/>
        <v>0.24951661468579561</v>
      </c>
      <c r="G1288">
        <f>LN(F1288/参数实验室!$E$58)/参数实验室!$E$59</f>
        <v>-0.91914803430590941</v>
      </c>
      <c r="H1288" s="856">
        <f>INDEX(神经网络!$G$10:$BO$70,MATCH(ROUND(G1288*2,1)/2,神经网络!$E$10:$E$70,0),MATCH(ROUND(E1288*2,1)/2,神经网络!$G$8:$BO$8,0))</f>
        <v>-1.0019954719082493</v>
      </c>
      <c r="I1288">
        <f t="shared" si="140"/>
        <v>605.50566536409531</v>
      </c>
      <c r="J1288">
        <f t="shared" si="141"/>
        <v>249.48326084354161</v>
      </c>
      <c r="K1288">
        <f t="shared" si="142"/>
        <v>2.4270392463076949</v>
      </c>
      <c r="L1288" s="4">
        <f>MIN(MAX(L1287*(1+MAX(MIN(((B1288-B1287)/B1287)/($K$7*卓尔金历!$N$40),0),-卓尔金历!$M$43))+MIN(MAX(((B1288-B1287)/B1287)/($K$7*卓尔金历!$N$40),0),卓尔金历!$M$43),0),1)</f>
        <v>0.3964755770793349</v>
      </c>
      <c r="M1288" s="4">
        <f>MIN(MAX(M1287*(1+MAX(MIN(((B1288-B1287)/B1287)/($K$7*30),0),-卓尔金历!$M$43))+MIN(MAX(((B1288-B1287)/B1287)/($K$7*7),0),卓尔金历!$M$43),0),1)</f>
        <v>0.80468837071192334</v>
      </c>
      <c r="N1288">
        <f t="shared" si="143"/>
        <v>643.76831145045264</v>
      </c>
      <c r="O1288">
        <f t="shared" si="144"/>
        <v>1217.6940738682824</v>
      </c>
      <c r="P1288">
        <f t="shared" si="145"/>
        <v>-1.4392630972946943E-4</v>
      </c>
      <c r="Q1288">
        <f t="shared" si="146"/>
        <v>5.329785691213796E-2</v>
      </c>
      <c r="R1288">
        <f t="shared" si="147"/>
        <v>1</v>
      </c>
      <c r="S1288">
        <f t="shared" si="139"/>
        <v>10.423983688394737</v>
      </c>
      <c r="T1288" s="564">
        <f>IF((I1288-MAX(I$470:I1288))/MAX(I$470:I1288)&gt;T1287,T1287,(I1288-MAX(I$470:I1288))/MAX(I$470:I1288))</f>
        <v>-0.91338805338419748</v>
      </c>
      <c r="U1288" s="564">
        <f>IF((J1288-MAX(J$470:J1288))/MAX(J$470:J1288)&gt;U1287,U1287,(J1288-MAX(J$470:J1288))/MAX(J$470:J1288))</f>
        <v>-0.70517826086956548</v>
      </c>
      <c r="V1288" s="564">
        <f>IF((K1288-MAX(K$470:K1288))/MAX(K$470:K1288)&gt;V1287,V1287,(K1288-MAX(K$470:K1288))/MAX(K$470:K1288))</f>
        <v>-0.84885940676762139</v>
      </c>
      <c r="W1288" s="564">
        <f>IF((N1288-MAX(N$470:N1288))/MAX(N$470:N1288)&gt;W1287,W1287,(N1288-MAX(N$470:N1288))/MAX(N$470:N1288))</f>
        <v>-0.62788758315546067</v>
      </c>
      <c r="X1288" s="564">
        <f>IF((O1288-MAX(O$470:O1288))/MAX(O$470:O1288)&gt;X1287,X1287,(O1288-MAX(O$470:O1288))/MAX(O$470:O1288))</f>
        <v>-0.62788758315546067</v>
      </c>
    </row>
    <row r="1289" spans="1:24">
      <c r="A1289" s="799">
        <v>41691</v>
      </c>
      <c r="B1289">
        <v>549.26</v>
      </c>
      <c r="C1289">
        <v>159.812321</v>
      </c>
      <c r="D1289">
        <v>1.8538330000000001</v>
      </c>
      <c r="E1289">
        <f>LN(D1289/参数实验室!$E$53)/参数实验室!$E$55</f>
        <v>3.5240751925253395E-2</v>
      </c>
      <c r="F1289">
        <f t="shared" si="148"/>
        <v>0.29095932891526782</v>
      </c>
      <c r="G1289">
        <f>LN(F1289/参数实验室!$E$58)/参数实验室!$E$59</f>
        <v>-0.83850001735717061</v>
      </c>
      <c r="H1289" s="856">
        <f>INDEX(神经网络!$G$10:$BO$70,MATCH(ROUND(G1289*2,1)/2,神经网络!$E$10:$E$70,0),MATCH(ROUND(E1289*2,1)/2,神经网络!$G$8:$BO$8,0))</f>
        <v>-0.95229161268046825</v>
      </c>
      <c r="I1289">
        <f t="shared" si="140"/>
        <v>679.22582856017266</v>
      </c>
      <c r="J1289">
        <f t="shared" si="141"/>
        <v>219.16922708591025</v>
      </c>
      <c r="K1289">
        <f t="shared" si="142"/>
        <v>3.099093050567399</v>
      </c>
      <c r="L1289" s="4">
        <f>MIN(MAX(L1288*(1+MAX(MIN(((B1289-B1288)/B1288)/($K$7*卓尔金历!$N$40),0),-卓尔金历!$M$43))+MIN(MAX(((B1289-B1288)/B1288)/($K$7*卓尔金历!$N$40),0),卓尔金历!$M$43),0),1)</f>
        <v>0</v>
      </c>
      <c r="M1289" s="4">
        <f>MIN(MAX(M1288*(1+MAX(MIN(((B1289-B1288)/B1288)/($K$7*30),0),-卓尔金历!$M$43))+MIN(MAX(((B1289-B1288)/B1288)/($K$7*7),0),卓尔金历!$M$43),0),1)</f>
        <v>5.7730468955048776E-2</v>
      </c>
      <c r="N1289">
        <f t="shared" si="143"/>
        <v>674.84352431952323</v>
      </c>
      <c r="O1289">
        <f t="shared" si="144"/>
        <v>1336.9923022966607</v>
      </c>
      <c r="P1289">
        <f t="shared" si="145"/>
        <v>-0.12150728531900265</v>
      </c>
      <c r="Q1289">
        <f t="shared" si="146"/>
        <v>5.8172163801562655E-2</v>
      </c>
      <c r="R1289">
        <f t="shared" si="147"/>
        <v>1.4040400091806755E-2</v>
      </c>
      <c r="S1289">
        <f t="shared" si="139"/>
        <v>11.693101093265968</v>
      </c>
      <c r="T1289" s="564">
        <f>IF((I1289-MAX(I$470:I1289))/MAX(I$470:I1289)&gt;T1288,T1288,(I1289-MAX(I$470:I1289))/MAX(I$470:I1289))</f>
        <v>-0.91338805338419748</v>
      </c>
      <c r="U1289" s="564">
        <f>IF((J1289-MAX(J$470:J1289))/MAX(J$470:J1289)&gt;U1288,U1288,(J1289-MAX(J$470:J1289))/MAX(J$470:J1289))</f>
        <v>-0.70517826086956548</v>
      </c>
      <c r="V1289" s="564">
        <f>IF((K1289-MAX(K$470:K1289))/MAX(K$470:K1289)&gt;V1288,V1288,(K1289-MAX(K$470:K1289))/MAX(K$470:K1289))</f>
        <v>-0.84885940676762139</v>
      </c>
      <c r="W1289" s="564">
        <f>IF((N1289-MAX(N$470:N1289))/MAX(N$470:N1289)&gt;W1288,W1288,(N1289-MAX(N$470:N1289))/MAX(N$470:N1289))</f>
        <v>-0.62788758315546067</v>
      </c>
      <c r="X1289" s="564">
        <f>IF((O1289-MAX(O$470:O1289))/MAX(O$470:O1289)&gt;X1288,X1288,(O1289-MAX(O$470:O1289))/MAX(O$470:O1289))</f>
        <v>-0.62788758315546067</v>
      </c>
    </row>
    <row r="1290" spans="1:24">
      <c r="A1290" s="799">
        <v>41692</v>
      </c>
      <c r="B1290">
        <v>567.5</v>
      </c>
      <c r="C1290">
        <v>159.723085</v>
      </c>
      <c r="D1290">
        <v>1.939446</v>
      </c>
      <c r="E1290">
        <f>LN(D1290/参数实验室!$E$53)/参数实验室!$E$55</f>
        <v>8.8503045332621183E-2</v>
      </c>
      <c r="F1290">
        <f t="shared" si="148"/>
        <v>0.28145037004405288</v>
      </c>
      <c r="G1290">
        <f>LN(F1290/参数实验室!$E$58)/参数实验室!$E$59</f>
        <v>-0.85593953555125113</v>
      </c>
      <c r="H1290" s="856">
        <f>INDEX(神经网络!$G$10:$BO$70,MATCH(ROUND(G1290*2,1)/2,神经网络!$E$10:$E$70,0),MATCH(ROUND(E1290*2,1)/2,神经网络!$G$8:$BO$8,0))</f>
        <v>-0.93517102942105479</v>
      </c>
      <c r="I1290">
        <f t="shared" si="140"/>
        <v>657.74598999904458</v>
      </c>
      <c r="J1290">
        <f t="shared" si="141"/>
        <v>226.44746817764641</v>
      </c>
      <c r="K1290">
        <f t="shared" si="142"/>
        <v>2.9046294723112012</v>
      </c>
      <c r="L1290" s="4">
        <f>MIN(MAX(L1289*(1+MAX(MIN(((B1290-B1289)/B1289)/($K$7*卓尔金历!$N$40),0),-卓尔金历!$M$43))+MIN(MAX(((B1290-B1289)/B1289)/($K$7*卓尔金历!$N$40),0),卓尔金历!$M$43),0),1)</f>
        <v>0.50739121068603033</v>
      </c>
      <c r="M1290" s="4">
        <f>MIN(MAX(M1289*(1+MAX(MIN(((B1290-B1289)/B1289)/($K$7*30),0),-卓尔金历!$M$43))+MIN(MAX(((B1290-B1289)/B1289)/($K$7*7),0),卓尔金历!$M$43),0),1)</f>
        <v>1</v>
      </c>
      <c r="N1290">
        <f t="shared" si="143"/>
        <v>674.84352431952323</v>
      </c>
      <c r="O1290">
        <f t="shared" si="144"/>
        <v>1334.5513976569021</v>
      </c>
      <c r="P1290">
        <f t="shared" si="145"/>
        <v>3.3208316644212227E-2</v>
      </c>
      <c r="Q1290">
        <f t="shared" si="146"/>
        <v>5.8998592141211718E-2</v>
      </c>
      <c r="R1290">
        <f t="shared" si="147"/>
        <v>0.66631771201274981</v>
      </c>
      <c r="S1290">
        <f t="shared" si="139"/>
        <v>11.687909196976443</v>
      </c>
      <c r="T1290" s="564">
        <f>IF((I1290-MAX(I$470:I1290))/MAX(I$470:I1290)&gt;T1289,T1289,(I1290-MAX(I$470:I1290))/MAX(I$470:I1290))</f>
        <v>-0.91338805338419748</v>
      </c>
      <c r="U1290" s="564">
        <f>IF((J1290-MAX(J$470:J1290))/MAX(J$470:J1290)&gt;U1289,U1289,(J1290-MAX(J$470:J1290))/MAX(J$470:J1290))</f>
        <v>-0.70517826086956548</v>
      </c>
      <c r="V1290" s="564">
        <f>IF((K1290-MAX(K$470:K1290))/MAX(K$470:K1290)&gt;V1289,V1289,(K1290-MAX(K$470:K1290))/MAX(K$470:K1290))</f>
        <v>-0.84885940676762139</v>
      </c>
      <c r="W1290" s="564">
        <f>IF((N1290-MAX(N$470:N1290))/MAX(N$470:N1290)&gt;W1289,W1289,(N1290-MAX(N$470:N1290))/MAX(N$470:N1290))</f>
        <v>-0.62788758315546067</v>
      </c>
      <c r="X1290" s="564">
        <f>IF((O1290-MAX(O$470:O1290))/MAX(O$470:O1290)&gt;X1289,X1289,(O1290-MAX(O$470:O1290))/MAX(O$470:O1290))</f>
        <v>-0.62788758315546067</v>
      </c>
    </row>
    <row r="1291" spans="1:24">
      <c r="A1291" s="799">
        <v>41693</v>
      </c>
      <c r="B1291">
        <v>613.72</v>
      </c>
      <c r="C1291">
        <v>161.86169100000001</v>
      </c>
      <c r="D1291">
        <v>1.94858</v>
      </c>
      <c r="E1291">
        <f>LN(D1291/参数实验室!$E$53)/参数实验室!$E$55</f>
        <v>9.4046159475716123E-2</v>
      </c>
      <c r="F1291">
        <f t="shared" si="148"/>
        <v>0.26373866095287751</v>
      </c>
      <c r="G1291">
        <f>LN(F1291/参数实验室!$E$58)/参数实验室!$E$59</f>
        <v>-0.89005370182179444</v>
      </c>
      <c r="H1291" s="856">
        <f>INDEX(神经网络!$G$10:$BO$70,MATCH(ROUND(G1291*2,1)/2,神经网络!$E$10:$E$70,0),MATCH(ROUND(E1291*2,1)/2,神经网络!$G$8:$BO$8,0))</f>
        <v>-0.97062786277891799</v>
      </c>
      <c r="I1291">
        <f t="shared" si="140"/>
        <v>607.64880436240446</v>
      </c>
      <c r="J1291">
        <f t="shared" si="141"/>
        <v>244.89046725988575</v>
      </c>
      <c r="K1291">
        <f t="shared" si="142"/>
        <v>2.4813085260585002</v>
      </c>
      <c r="L1291" s="4">
        <f>MIN(MAX(L1290*(1+MAX(MIN(((B1291-B1290)/B1290)/($K$7*卓尔金历!$N$40),0),-卓尔金历!$M$43))+MIN(MAX(((B1291-B1290)/B1290)/($K$7*卓尔金历!$N$40),0),卓尔金历!$M$43),0),1)</f>
        <v>1</v>
      </c>
      <c r="M1291" s="4">
        <f>MIN(MAX(M1290*(1+MAX(MIN(((B1291-B1290)/B1290)/($K$7*30),0),-卓尔金历!$M$43))+MIN(MAX(((B1291-B1290)/B1290)/($K$7*7),0),卓尔金历!$M$43),0),1)</f>
        <v>1</v>
      </c>
      <c r="N1291">
        <f t="shared" si="143"/>
        <v>648.76391121009783</v>
      </c>
      <c r="O1291">
        <f t="shared" si="144"/>
        <v>1232.9053669298239</v>
      </c>
      <c r="P1291">
        <f t="shared" si="145"/>
        <v>8.1444933920704898E-2</v>
      </c>
      <c r="Q1291">
        <f t="shared" si="146"/>
        <v>6.2060374829735268E-2</v>
      </c>
      <c r="R1291">
        <f t="shared" si="147"/>
        <v>4.2961628119774407E-2</v>
      </c>
      <c r="S1291">
        <f t="shared" si="139"/>
        <v>11.094747216713063</v>
      </c>
      <c r="T1291" s="564">
        <f>IF((I1291-MAX(I$470:I1291))/MAX(I$470:I1291)&gt;T1290,T1290,(I1291-MAX(I$470:I1291))/MAX(I$470:I1291))</f>
        <v>-0.91338805338419748</v>
      </c>
      <c r="U1291" s="564">
        <f>IF((J1291-MAX(J$470:J1291))/MAX(J$470:J1291)&gt;U1290,U1290,(J1291-MAX(J$470:J1291))/MAX(J$470:J1291))</f>
        <v>-0.70517826086956548</v>
      </c>
      <c r="V1291" s="564">
        <f>IF((K1291-MAX(K$470:K1291))/MAX(K$470:K1291)&gt;V1290,V1290,(K1291-MAX(K$470:K1291))/MAX(K$470:K1291))</f>
        <v>-0.84885940676762139</v>
      </c>
      <c r="W1291" s="564">
        <f>IF((N1291-MAX(N$470:N1291))/MAX(N$470:N1291)&gt;W1290,W1290,(N1291-MAX(N$470:N1291))/MAX(N$470:N1291))</f>
        <v>-0.62788758315546067</v>
      </c>
      <c r="X1291" s="564">
        <f>IF((O1291-MAX(O$470:O1291))/MAX(O$470:O1291)&gt;X1290,X1290,(O1291-MAX(O$470:O1291))/MAX(O$470:O1291))</f>
        <v>-0.62788758315546067</v>
      </c>
    </row>
    <row r="1292" spans="1:24">
      <c r="A1292" s="799">
        <v>41694</v>
      </c>
      <c r="B1292">
        <v>578.54</v>
      </c>
      <c r="C1292">
        <v>159.636393</v>
      </c>
      <c r="D1292">
        <v>1.742065</v>
      </c>
      <c r="E1292">
        <f>LN(D1292/参数实验室!$E$53)/参数实验室!$E$55</f>
        <v>-3.8121255509943469E-2</v>
      </c>
      <c r="F1292">
        <f t="shared" si="148"/>
        <v>0.27592974210944793</v>
      </c>
      <c r="G1292">
        <f>LN(F1292/参数实验室!$E$58)/参数实验室!$E$59</f>
        <v>-0.86633681591467759</v>
      </c>
      <c r="H1292" s="856">
        <f>INDEX(神经网络!$G$10:$BO$70,MATCH(ROUND(G1292*2,1)/2,神经网络!$E$10:$E$70,0),MATCH(ROUND(E1292*2,1)/2,神经网络!$G$8:$BO$8,0))</f>
        <v>-0.98809533277052675</v>
      </c>
      <c r="I1292">
        <f t="shared" si="140"/>
        <v>641.45769810107902</v>
      </c>
      <c r="J1292">
        <f t="shared" si="141"/>
        <v>230.85271936474987</v>
      </c>
      <c r="K1292">
        <f t="shared" si="142"/>
        <v>2.7786447561294207</v>
      </c>
      <c r="L1292" s="4">
        <f>MIN(MAX(L1291*(1+MAX(MIN(((B1292-B1291)/B1291)/($K$7*卓尔金历!$N$40),0),-卓尔金历!$M$43))+MIN(MAX(((B1292-B1291)/B1291)/($K$7*卓尔金历!$N$40),0),卓尔金历!$M$43),0),1)</f>
        <v>0.12416632946702955</v>
      </c>
      <c r="M1292" s="4">
        <f>MIN(MAX(M1291*(1+MAX(MIN(((B1292-B1291)/B1291)/($K$7*30),0),-卓尔金历!$M$43))+MIN(MAX(((B1292-B1291)/B1291)/($K$7*7),0),卓尔金历!$M$43),0),1)</f>
        <v>0.56208316473351472</v>
      </c>
      <c r="N1292">
        <f t="shared" si="143"/>
        <v>684.86040309508405</v>
      </c>
      <c r="O1292">
        <f t="shared" si="144"/>
        <v>1301.5028302032183</v>
      </c>
      <c r="P1292">
        <f t="shared" si="145"/>
        <v>-5.7322557518086528E-2</v>
      </c>
      <c r="Q1292">
        <f t="shared" si="146"/>
        <v>6.2775387909761018E-2</v>
      </c>
      <c r="R1292">
        <f t="shared" si="147"/>
        <v>0.1585685947778826</v>
      </c>
      <c r="S1292">
        <f t="shared" si="139"/>
        <v>11.121267396010877</v>
      </c>
      <c r="T1292" s="564">
        <f>IF((I1292-MAX(I$470:I1292))/MAX(I$470:I1292)&gt;T1291,T1291,(I1292-MAX(I$470:I1292))/MAX(I$470:I1292))</f>
        <v>-0.91338805338419748</v>
      </c>
      <c r="U1292" s="564">
        <f>IF((J1292-MAX(J$470:J1292))/MAX(J$470:J1292)&gt;U1291,U1291,(J1292-MAX(J$470:J1292))/MAX(J$470:J1292))</f>
        <v>-0.70517826086956548</v>
      </c>
      <c r="V1292" s="564">
        <f>IF((K1292-MAX(K$470:K1292))/MAX(K$470:K1292)&gt;V1291,V1291,(K1292-MAX(K$470:K1292))/MAX(K$470:K1292))</f>
        <v>-0.84885940676762139</v>
      </c>
      <c r="W1292" s="564">
        <f>IF((N1292-MAX(N$470:N1292))/MAX(N$470:N1292)&gt;W1291,W1291,(N1292-MAX(N$470:N1292))/MAX(N$470:N1292))</f>
        <v>-0.62788758315546067</v>
      </c>
      <c r="X1292" s="564">
        <f>IF((O1292-MAX(O$470:O1292))/MAX(O$470:O1292)&gt;X1291,X1291,(O1292-MAX(O$470:O1292))/MAX(O$470:O1292))</f>
        <v>-0.62788758315546067</v>
      </c>
    </row>
    <row r="1293" spans="1:24">
      <c r="A1293" s="799">
        <v>41695</v>
      </c>
      <c r="B1293">
        <v>497.98</v>
      </c>
      <c r="C1293">
        <v>158.97485699999999</v>
      </c>
      <c r="D1293">
        <v>1.7282789999999999</v>
      </c>
      <c r="E1293">
        <f>LN(D1293/参数实验室!$E$53)/参数实验室!$E$55</f>
        <v>-4.7494484086757889E-2</v>
      </c>
      <c r="F1293">
        <f t="shared" si="148"/>
        <v>0.31923944134302579</v>
      </c>
      <c r="G1293">
        <f>LN(F1293/参数实验室!$E$58)/参数实验室!$E$59</f>
        <v>-0.78981564443722518</v>
      </c>
      <c r="H1293" s="856">
        <f>INDEX(神经网络!$G$10:$BO$70,MATCH(ROUND(G1293*2,1)/2,神经网络!$E$10:$E$70,0),MATCH(ROUND(E1293*2,1)/2,神经网络!$G$8:$BO$8,0))</f>
        <v>-0.95257482651477821</v>
      </c>
      <c r="I1293">
        <f t="shared" si="140"/>
        <v>729.71546519300625</v>
      </c>
      <c r="J1293">
        <f t="shared" si="141"/>
        <v>198.70715454291519</v>
      </c>
      <c r="K1293">
        <f t="shared" si="142"/>
        <v>3.6723160113261453</v>
      </c>
      <c r="L1293" s="4">
        <f>MIN(MAX(L1292*(1+MAX(MIN(((B1293-B1292)/B1292)/($K$7*卓尔金历!$N$40),0),-卓尔金历!$M$43))+MIN(MAX(((B1293-B1292)/B1292)/($K$7*卓尔金历!$N$40),0),卓尔金历!$M$43),0),1)</f>
        <v>0</v>
      </c>
      <c r="M1293" s="4">
        <f>MIN(MAX(M1292*(1+MAX(MIN(((B1293-B1292)/B1292)/($K$7*30),0),-卓尔金历!$M$43))+MIN(MAX(((B1293-B1292)/B1292)/($K$7*7),0),卓尔金历!$M$43),0),1)</f>
        <v>0</v>
      </c>
      <c r="N1293">
        <f t="shared" si="143"/>
        <v>696.56053651854381</v>
      </c>
      <c r="O1293">
        <f t="shared" si="144"/>
        <v>1402.1567306102779</v>
      </c>
      <c r="P1293">
        <f t="shared" si="145"/>
        <v>-0.13924707021122126</v>
      </c>
      <c r="Q1293">
        <f t="shared" si="146"/>
        <v>6.8108436610213485E-2</v>
      </c>
      <c r="R1293">
        <f t="shared" si="147"/>
        <v>1.7881647858743601E-2</v>
      </c>
      <c r="S1293">
        <f t="shared" si="139"/>
        <v>11.363904031182168</v>
      </c>
      <c r="T1293" s="564">
        <f>IF((I1293-MAX(I$470:I1293))/MAX(I$470:I1293)&gt;T1292,T1292,(I1293-MAX(I$470:I1293))/MAX(I$470:I1293))</f>
        <v>-0.91338805338419748</v>
      </c>
      <c r="U1293" s="564">
        <f>IF((J1293-MAX(J$470:J1293))/MAX(J$470:J1293)&gt;U1292,U1292,(J1293-MAX(J$470:J1293))/MAX(J$470:J1293))</f>
        <v>-0.70517826086956548</v>
      </c>
      <c r="V1293" s="564">
        <f>IF((K1293-MAX(K$470:K1293))/MAX(K$470:K1293)&gt;V1292,V1292,(K1293-MAX(K$470:K1293))/MAX(K$470:K1293))</f>
        <v>-0.84885940676762139</v>
      </c>
      <c r="W1293" s="564">
        <f>IF((N1293-MAX(N$470:N1293))/MAX(N$470:N1293)&gt;W1292,W1292,(N1293-MAX(N$470:N1293))/MAX(N$470:N1293))</f>
        <v>-0.62788758315546067</v>
      </c>
      <c r="X1293" s="564">
        <f>IF((O1293-MAX(O$470:O1293))/MAX(O$470:O1293)&gt;X1292,X1292,(O1293-MAX(O$470:O1293))/MAX(O$470:O1293))</f>
        <v>-0.62788758315546067</v>
      </c>
    </row>
    <row r="1294" spans="1:24">
      <c r="A1294" s="799">
        <v>41696</v>
      </c>
      <c r="B1294">
        <v>563.52</v>
      </c>
      <c r="C1294">
        <v>158.24993499999999</v>
      </c>
      <c r="D1294">
        <v>1.8998919999999999</v>
      </c>
      <c r="E1294">
        <f>LN(D1294/参数实验室!$E$53)/参数实验室!$E$55</f>
        <v>6.4193848879245161E-2</v>
      </c>
      <c r="F1294">
        <f t="shared" si="148"/>
        <v>0.28082399027541172</v>
      </c>
      <c r="G1294">
        <f>LN(F1294/参数实验室!$E$58)/参数实验室!$E$59</f>
        <v>-0.85710892228938218</v>
      </c>
      <c r="H1294" s="856">
        <f>INDEX(神经网络!$G$10:$BO$70,MATCH(ROUND(G1294*2,1)/2,神经网络!$E$10:$E$70,0),MATCH(ROUND(E1294*2,1)/2,神经网络!$G$8:$BO$8,0))</f>
        <v>-0.95229161268046825</v>
      </c>
      <c r="I1294">
        <f t="shared" si="140"/>
        <v>638.23103508009672</v>
      </c>
      <c r="J1294">
        <f t="shared" si="141"/>
        <v>224.85934320258556</v>
      </c>
      <c r="K1294">
        <f t="shared" si="142"/>
        <v>2.8383567522257085</v>
      </c>
      <c r="L1294" s="4">
        <f>MIN(MAX(L1293*(1+MAX(MIN(((B1294-B1293)/B1293)/($K$7*卓尔金历!$N$40),0),-卓尔金历!$M$43))+MIN(MAX(((B1294-B1293)/B1293)/($K$7*卓尔金历!$N$40),0),卓尔金历!$M$43),0),1)</f>
        <v>1</v>
      </c>
      <c r="M1294" s="4">
        <f>MIN(MAX(M1293*(1+MAX(MIN(((B1294-B1293)/B1293)/($K$7*30),0),-卓尔金历!$M$43))+MIN(MAX(((B1294-B1293)/B1293)/($K$7*7),0),卓尔金历!$M$43),0),1)</f>
        <v>1</v>
      </c>
      <c r="N1294">
        <f t="shared" si="143"/>
        <v>696.56053651854381</v>
      </c>
      <c r="O1294">
        <f t="shared" si="144"/>
        <v>1402.1567306102779</v>
      </c>
      <c r="P1294">
        <f t="shared" si="145"/>
        <v>0.1316117113137073</v>
      </c>
      <c r="Q1294">
        <f t="shared" si="146"/>
        <v>7.5213724514300043E-2</v>
      </c>
      <c r="R1294">
        <f t="shared" si="147"/>
        <v>3.0000248493875739E-2</v>
      </c>
      <c r="S1294">
        <f t="shared" si="139"/>
        <v>11.338428178312489</v>
      </c>
      <c r="T1294" s="564">
        <f>IF((I1294-MAX(I$470:I1294))/MAX(I$470:I1294)&gt;T1293,T1293,(I1294-MAX(I$470:I1294))/MAX(I$470:I1294))</f>
        <v>-0.91338805338419748</v>
      </c>
      <c r="U1294" s="564">
        <f>IF((J1294-MAX(J$470:J1294))/MAX(J$470:J1294)&gt;U1293,U1293,(J1294-MAX(J$470:J1294))/MAX(J$470:J1294))</f>
        <v>-0.70517826086956548</v>
      </c>
      <c r="V1294" s="564">
        <f>IF((K1294-MAX(K$470:K1294))/MAX(K$470:K1294)&gt;V1293,V1293,(K1294-MAX(K$470:K1294))/MAX(K$470:K1294))</f>
        <v>-0.84885940676762139</v>
      </c>
      <c r="W1294" s="564">
        <f>IF((N1294-MAX(N$470:N1294))/MAX(N$470:N1294)&gt;W1293,W1293,(N1294-MAX(N$470:N1294))/MAX(N$470:N1294))</f>
        <v>-0.62788758315546067</v>
      </c>
      <c r="X1294" s="564">
        <f>IF((O1294-MAX(O$470:O1294))/MAX(O$470:O1294)&gt;X1293,X1293,(O1294-MAX(O$470:O1294))/MAX(O$470:O1294))</f>
        <v>-0.62788758315546067</v>
      </c>
    </row>
    <row r="1295" spans="1:24">
      <c r="A1295" s="799">
        <v>41697</v>
      </c>
      <c r="B1295">
        <v>581.48</v>
      </c>
      <c r="C1295">
        <v>155.37655599999999</v>
      </c>
      <c r="D1295">
        <v>1.894485</v>
      </c>
      <c r="E1295">
        <f>LN(D1295/参数实验室!$E$53)/参数实验室!$E$55</f>
        <v>6.0831541914007262E-2</v>
      </c>
      <c r="F1295">
        <f t="shared" si="148"/>
        <v>0.26720877072298271</v>
      </c>
      <c r="G1295">
        <f>LN(F1295/参数实验室!$E$58)/参数实验室!$E$59</f>
        <v>-0.88319303363789348</v>
      </c>
      <c r="H1295" s="856">
        <f>INDEX(神经网络!$G$10:$BO$70,MATCH(ROUND(G1295*2,1)/2,神经网络!$E$10:$E$70,0),MATCH(ROUND(E1295*2,1)/2,神经网络!$G$8:$BO$8,0))</f>
        <v>-0.98777212454217034</v>
      </c>
      <c r="I1295">
        <f t="shared" si="140"/>
        <v>618.86035466520752</v>
      </c>
      <c r="J1295">
        <f t="shared" si="141"/>
        <v>232.02585690914159</v>
      </c>
      <c r="K1295">
        <f t="shared" si="142"/>
        <v>2.6672042629608539</v>
      </c>
      <c r="L1295" s="4">
        <f>MIN(MAX(L1294*(1+MAX(MIN(((B1295-B1294)/B1294)/($K$7*卓尔金历!$N$40),0),-卓尔金历!$M$43))+MIN(MAX(((B1295-B1294)/B1294)/($K$7*卓尔金历!$N$40),0),卓尔金历!$M$43),0),1)</f>
        <v>1</v>
      </c>
      <c r="M1295" s="4">
        <f>MIN(MAX(M1294*(1+MAX(MIN(((B1295-B1294)/B1294)/($K$7*30),0),-卓尔金历!$M$43))+MIN(MAX(((B1295-B1294)/B1294)/($K$7*7),0),卓尔金历!$M$43),0),1)</f>
        <v>1</v>
      </c>
      <c r="N1295">
        <f t="shared" si="143"/>
        <v>675.41952205685891</v>
      </c>
      <c r="O1295">
        <f t="shared" si="144"/>
        <v>1359.6004642625769</v>
      </c>
      <c r="P1295">
        <f t="shared" si="145"/>
        <v>3.1871095968199953E-2</v>
      </c>
      <c r="Q1295">
        <f t="shared" si="146"/>
        <v>7.5887718794739309E-2</v>
      </c>
      <c r="R1295">
        <f t="shared" si="147"/>
        <v>1</v>
      </c>
      <c r="S1295">
        <f t="shared" si="139"/>
        <v>11.32810425754589</v>
      </c>
      <c r="T1295" s="564">
        <f>IF((I1295-MAX(I$470:I1295))/MAX(I$470:I1295)&gt;T1294,T1294,(I1295-MAX(I$470:I1295))/MAX(I$470:I1295))</f>
        <v>-0.91338805338419748</v>
      </c>
      <c r="U1295" s="564">
        <f>IF((J1295-MAX(J$470:J1295))/MAX(J$470:J1295)&gt;U1294,U1294,(J1295-MAX(J$470:J1295))/MAX(J$470:J1295))</f>
        <v>-0.70517826086956548</v>
      </c>
      <c r="V1295" s="564">
        <f>IF((K1295-MAX(K$470:K1295))/MAX(K$470:K1295)&gt;V1294,V1294,(K1295-MAX(K$470:K1295))/MAX(K$470:K1295))</f>
        <v>-0.84885940676762139</v>
      </c>
      <c r="W1295" s="564">
        <f>IF((N1295-MAX(N$470:N1295))/MAX(N$470:N1295)&gt;W1294,W1294,(N1295-MAX(N$470:N1295))/MAX(N$470:N1295))</f>
        <v>-0.62788758315546067</v>
      </c>
      <c r="X1295" s="564">
        <f>IF((O1295-MAX(O$470:O1295))/MAX(O$470:O1295)&gt;X1294,X1294,(O1295-MAX(O$470:O1295))/MAX(O$470:O1295))</f>
        <v>-0.62788758315546067</v>
      </c>
    </row>
    <row r="1296" spans="1:24">
      <c r="A1296" s="799">
        <v>41698</v>
      </c>
      <c r="B1296">
        <v>571.30999999999995</v>
      </c>
      <c r="C1296">
        <v>153.00293099999999</v>
      </c>
      <c r="D1296">
        <v>1.781207</v>
      </c>
      <c r="E1296">
        <f>LN(D1296/参数实验室!$E$53)/参数实验室!$E$55</f>
        <v>-1.1907099230935721E-2</v>
      </c>
      <c r="F1296">
        <f t="shared" si="148"/>
        <v>0.26781069997024382</v>
      </c>
      <c r="G1296">
        <f>LN(F1296/参数实验室!$E$58)/参数实验室!$E$59</f>
        <v>-0.88201204808624611</v>
      </c>
      <c r="H1296" s="856">
        <f>INDEX(神经网络!$G$10:$BO$70,MATCH(ROUND(G1296*2,1)/2,神经网络!$E$10:$E$70,0),MATCH(ROUND(E1296*2,1)/2,神经网络!$G$8:$BO$8,0))</f>
        <v>-1.0019954719082493</v>
      </c>
      <c r="I1296">
        <f t="shared" si="140"/>
        <v>629.55177979499797</v>
      </c>
      <c r="J1296">
        <f t="shared" si="141"/>
        <v>227.96775866884786</v>
      </c>
      <c r="K1296">
        <f t="shared" si="142"/>
        <v>2.7615825302274515</v>
      </c>
      <c r="L1296" s="4">
        <f>MIN(MAX(L1295*(1+MAX(MIN(((B1296-B1295)/B1295)/($K$7*卓尔金历!$N$40),0),-卓尔金历!$M$43))+MIN(MAX(((B1296-B1295)/B1295)/($K$7*卓尔金历!$N$40),0),卓尔金历!$M$43),0),1)</f>
        <v>0.73277182262316387</v>
      </c>
      <c r="M1296" s="4">
        <f>MIN(MAX(M1295*(1+MAX(MIN(((B1296-B1295)/B1295)/($K$7*30),0),-卓尔金历!$M$43))+MIN(MAX(((B1296-B1295)/B1295)/($K$7*7),0),卓尔金历!$M$43),0),1)</f>
        <v>0.86638591131158194</v>
      </c>
      <c r="N1296">
        <f t="shared" si="143"/>
        <v>687.0880627814887</v>
      </c>
      <c r="O1296">
        <f t="shared" si="144"/>
        <v>1383.0889079163242</v>
      </c>
      <c r="P1296">
        <f t="shared" si="145"/>
        <v>-1.7489853477333825E-2</v>
      </c>
      <c r="Q1296">
        <f t="shared" si="146"/>
        <v>7.5534136266385568E-2</v>
      </c>
      <c r="R1296">
        <f t="shared" si="147"/>
        <v>1</v>
      </c>
      <c r="S1296">
        <f t="shared" si="139"/>
        <v>11.523808470328325</v>
      </c>
      <c r="T1296" s="564">
        <f>IF((I1296-MAX(I$470:I1296))/MAX(I$470:I1296)&gt;T1295,T1295,(I1296-MAX(I$470:I1296))/MAX(I$470:I1296))</f>
        <v>-0.91338805338419748</v>
      </c>
      <c r="U1296" s="564">
        <f>IF((J1296-MAX(J$470:J1296))/MAX(J$470:J1296)&gt;U1295,U1295,(J1296-MAX(J$470:J1296))/MAX(J$470:J1296))</f>
        <v>-0.70517826086956548</v>
      </c>
      <c r="V1296" s="564">
        <f>IF((K1296-MAX(K$470:K1296))/MAX(K$470:K1296)&gt;V1295,V1295,(K1296-MAX(K$470:K1296))/MAX(K$470:K1296))</f>
        <v>-0.84885940676762139</v>
      </c>
      <c r="W1296" s="564">
        <f>IF((N1296-MAX(N$470:N1296))/MAX(N$470:N1296)&gt;W1295,W1295,(N1296-MAX(N$470:N1296))/MAX(N$470:N1296))</f>
        <v>-0.62788758315546067</v>
      </c>
      <c r="X1296" s="564">
        <f>IF((O1296-MAX(O$470:O1296))/MAX(O$470:O1296)&gt;X1295,X1295,(O1296-MAX(O$470:O1296))/MAX(O$470:O1296))</f>
        <v>-0.62788758315546067</v>
      </c>
    </row>
    <row r="1297" spans="1:24">
      <c r="A1297" s="799">
        <v>41699</v>
      </c>
      <c r="B1297">
        <v>558.21</v>
      </c>
      <c r="C1297">
        <v>155.975528</v>
      </c>
      <c r="D1297">
        <v>1.835323</v>
      </c>
      <c r="E1297">
        <f>LN(D1297/参数实验室!$E$53)/参数实验室!$E$55</f>
        <v>2.3402046381241215E-2</v>
      </c>
      <c r="F1297">
        <f t="shared" si="148"/>
        <v>0.27942087744755556</v>
      </c>
      <c r="G1297">
        <f>LN(F1297/参数实验室!$E$58)/参数实验室!$E$59</f>
        <v>-0.85973788338387724</v>
      </c>
      <c r="H1297" s="856">
        <f>INDEX(神经网络!$G$10:$BO$70,MATCH(ROUND(G1297*2,1)/2,神经网络!$E$10:$E$70,0),MATCH(ROUND(E1297*2,1)/2,神经网络!$G$8:$BO$8,0))</f>
        <v>-0.97115853591160983</v>
      </c>
      <c r="I1297">
        <f t="shared" si="140"/>
        <v>644.01605528149628</v>
      </c>
      <c r="J1297">
        <f t="shared" si="141"/>
        <v>222.74051314791896</v>
      </c>
      <c r="K1297">
        <f t="shared" si="142"/>
        <v>2.8913287761612274</v>
      </c>
      <c r="L1297" s="4">
        <f>MIN(MAX(L1296*(1+MAX(MIN(((B1297-B1296)/B1296)/($K$7*卓尔金历!$N$40),0),-卓尔金历!$M$43))+MIN(MAX(((B1297-B1296)/B1296)/($K$7*卓尔金历!$N$40),0),卓尔金历!$M$43),0),1)</f>
        <v>0.47604910042103626</v>
      </c>
      <c r="M1297" s="4">
        <f>MIN(MAX(M1296*(1+MAX(MIN(((B1297-B1296)/B1296)/($K$7*30),0),-卓尔金历!$M$43))+MIN(MAX(((B1297-B1296)/B1296)/($K$7*7),0),卓尔金历!$M$43),0),1)</f>
        <v>0.71461905649908264</v>
      </c>
      <c r="N1297">
        <f t="shared" si="143"/>
        <v>698.65574616275489</v>
      </c>
      <c r="O1297">
        <f t="shared" si="144"/>
        <v>1410.6202072638198</v>
      </c>
      <c r="P1297">
        <f t="shared" si="145"/>
        <v>-2.2929757924769232E-2</v>
      </c>
      <c r="Q1297">
        <f t="shared" si="146"/>
        <v>7.4347212007138161E-2</v>
      </c>
      <c r="R1297">
        <f t="shared" si="147"/>
        <v>1</v>
      </c>
      <c r="S1297">
        <f t="shared" si="139"/>
        <v>11.788573888707015</v>
      </c>
      <c r="T1297" s="564">
        <f>IF((I1297-MAX(I$470:I1297))/MAX(I$470:I1297)&gt;T1296,T1296,(I1297-MAX(I$470:I1297))/MAX(I$470:I1297))</f>
        <v>-0.91338805338419748</v>
      </c>
      <c r="U1297" s="564">
        <f>IF((J1297-MAX(J$470:J1297))/MAX(J$470:J1297)&gt;U1296,U1296,(J1297-MAX(J$470:J1297))/MAX(J$470:J1297))</f>
        <v>-0.70517826086956548</v>
      </c>
      <c r="V1297" s="564">
        <f>IF((K1297-MAX(K$470:K1297))/MAX(K$470:K1297)&gt;V1296,V1296,(K1297-MAX(K$470:K1297))/MAX(K$470:K1297))</f>
        <v>-0.84885940676762139</v>
      </c>
      <c r="W1297" s="564">
        <f>IF((N1297-MAX(N$470:N1297))/MAX(N$470:N1297)&gt;W1296,W1296,(N1297-MAX(N$470:N1297))/MAX(N$470:N1297))</f>
        <v>-0.62788758315546067</v>
      </c>
      <c r="X1297" s="564">
        <f>IF((O1297-MAX(O$470:O1297))/MAX(O$470:O1297)&gt;X1296,X1296,(O1297-MAX(O$470:O1297))/MAX(O$470:O1297))</f>
        <v>-0.62788758315546067</v>
      </c>
    </row>
    <row r="1298" spans="1:24">
      <c r="A1298" s="799">
        <v>41700</v>
      </c>
      <c r="B1298">
        <v>561.03</v>
      </c>
      <c r="C1298">
        <v>160.12596199999999</v>
      </c>
      <c r="D1298">
        <v>1.807871</v>
      </c>
      <c r="E1298">
        <f>LN(D1298/参数实验室!$E$53)/参数实验室!$E$55</f>
        <v>5.6224831586488434E-3</v>
      </c>
      <c r="F1298">
        <f t="shared" si="148"/>
        <v>0.28541425948701493</v>
      </c>
      <c r="G1298">
        <f>LN(F1298/参数实验室!$E$58)/参数实验室!$E$59</f>
        <v>-0.84859916819468273</v>
      </c>
      <c r="H1298" s="856">
        <f>INDEX(神经网络!$G$10:$BO$70,MATCH(ROUND(G1298*2,1)/2,神经网络!$E$10:$E$70,0),MATCH(ROUND(E1298*2,1)/2,神经网络!$G$8:$BO$8,0))</f>
        <v>-0.97115853591160983</v>
      </c>
      <c r="I1298">
        <f t="shared" si="140"/>
        <v>640.85641005126195</v>
      </c>
      <c r="J1298">
        <f t="shared" si="141"/>
        <v>223.8657675272334</v>
      </c>
      <c r="K1298">
        <f t="shared" si="142"/>
        <v>2.8626815842815332</v>
      </c>
      <c r="L1298" s="4">
        <f>MIN(MAX(L1297*(1+MAX(MIN(((B1298-B1297)/B1297)/($K$7*卓尔金历!$N$40),0),-卓尔金历!$M$43))+MIN(MAX(((B1298-B1297)/B1297)/($K$7*卓尔金历!$N$40),0),卓尔金历!$M$43),0),1)</f>
        <v>0.55323670696416616</v>
      </c>
      <c r="M1298" s="4">
        <f>MIN(MAX(M1297*(1+MAX(MIN(((B1298-B1297)/B1297)/($K$7*30),0),-卓尔金历!$M$43))+MIN(MAX(((B1298-B1297)/B1297)/($K$7*7),0),卓尔金历!$M$43),0),1)</f>
        <v>0.88002107052007528</v>
      </c>
      <c r="N1298">
        <f t="shared" si="143"/>
        <v>697.02398492692987</v>
      </c>
      <c r="O1298">
        <f t="shared" si="144"/>
        <v>1405.6745237456921</v>
      </c>
      <c r="P1298">
        <f t="shared" si="145"/>
        <v>5.0518622023968326E-3</v>
      </c>
      <c r="Q1298">
        <f t="shared" si="146"/>
        <v>7.3755597069474696E-2</v>
      </c>
      <c r="R1298">
        <f t="shared" si="147"/>
        <v>1</v>
      </c>
      <c r="S1298">
        <f t="shared" si="139"/>
        <v>11.730737269645653</v>
      </c>
      <c r="T1298" s="564">
        <f>IF((I1298-MAX(I$470:I1298))/MAX(I$470:I1298)&gt;T1297,T1297,(I1298-MAX(I$470:I1298))/MAX(I$470:I1298))</f>
        <v>-0.91338805338419748</v>
      </c>
      <c r="U1298" s="564">
        <f>IF((J1298-MAX(J$470:J1298))/MAX(J$470:J1298)&gt;U1297,U1297,(J1298-MAX(J$470:J1298))/MAX(J$470:J1298))</f>
        <v>-0.70517826086956548</v>
      </c>
      <c r="V1298" s="564">
        <f>IF((K1298-MAX(K$470:K1298))/MAX(K$470:K1298)&gt;V1297,V1297,(K1298-MAX(K$470:K1298))/MAX(K$470:K1298))</f>
        <v>-0.84885940676762139</v>
      </c>
      <c r="W1298" s="564">
        <f>IF((N1298-MAX(N$470:N1298))/MAX(N$470:N1298)&gt;W1297,W1297,(N1298-MAX(N$470:N1298))/MAX(N$470:N1298))</f>
        <v>-0.62788758315546067</v>
      </c>
      <c r="X1298" s="564">
        <f>IF((O1298-MAX(O$470:O1298))/MAX(O$470:O1298)&gt;X1297,X1297,(O1298-MAX(O$470:O1298))/MAX(O$470:O1298))</f>
        <v>-0.62788758315546067</v>
      </c>
    </row>
    <row r="1299" spans="1:24">
      <c r="A1299" s="799">
        <v>41701</v>
      </c>
      <c r="B1299">
        <v>573.53</v>
      </c>
      <c r="C1299">
        <v>164.14343</v>
      </c>
      <c r="D1299">
        <v>2.1808329999999998</v>
      </c>
      <c r="E1299">
        <f>LN(D1299/参数实验室!$E$53)/参数实验室!$E$55</f>
        <v>0.2268934671049154</v>
      </c>
      <c r="F1299">
        <f t="shared" si="148"/>
        <v>0.28619850748871029</v>
      </c>
      <c r="G1299">
        <f>LN(F1299/参数实验室!$E$58)/参数实验室!$E$59</f>
        <v>-0.84715897645468219</v>
      </c>
      <c r="H1299" s="856">
        <f>INDEX(神经网络!$G$10:$BO$70,MATCH(ROUND(G1299*2,1)/2,神经网络!$E$10:$E$70,0),MATCH(ROUND(E1299*2,1)/2,神经网络!$G$8:$BO$8,0))</f>
        <v>-0.87159684248172786</v>
      </c>
      <c r="I1299">
        <f t="shared" si="140"/>
        <v>626.98965664870434</v>
      </c>
      <c r="J1299">
        <f t="shared" si="141"/>
        <v>228.85359722277627</v>
      </c>
      <c r="K1299">
        <f t="shared" si="142"/>
        <v>2.7396976244090441</v>
      </c>
      <c r="L1299" s="4">
        <f>MIN(MAX(L1298*(1+MAX(MIN(((B1299-B1298)/B1298)/($K$7*卓尔金历!$N$40),0),-卓尔金历!$M$43))+MIN(MAX(((B1299-B1298)/B1298)/($K$7*卓尔金历!$N$40),0),卓尔金历!$M$43),0),1)</f>
        <v>0.89366057849928393</v>
      </c>
      <c r="M1299" s="4">
        <f>MIN(MAX(M1298*(1+MAX(MIN(((B1299-B1298)/B1298)/($K$7*30),0),-卓尔金历!$M$43))+MIN(MAX(((B1299-B1298)/B1298)/($K$7*7),0),卓尔金历!$M$43),0),1)</f>
        <v>1</v>
      </c>
      <c r="N1299">
        <f t="shared" si="143"/>
        <v>688.68001423402552</v>
      </c>
      <c r="O1299">
        <f t="shared" si="144"/>
        <v>1378.908004151964</v>
      </c>
      <c r="P1299">
        <f t="shared" si="145"/>
        <v>2.228044846086662E-2</v>
      </c>
      <c r="Q1299">
        <f t="shared" si="146"/>
        <v>7.3960602015384666E-2</v>
      </c>
      <c r="R1299">
        <f t="shared" si="147"/>
        <v>1</v>
      </c>
      <c r="S1299">
        <f t="shared" si="139"/>
        <v>11.476909363117642</v>
      </c>
      <c r="T1299" s="564">
        <f>IF((I1299-MAX(I$470:I1299))/MAX(I$470:I1299)&gt;T1298,T1298,(I1299-MAX(I$470:I1299))/MAX(I$470:I1299))</f>
        <v>-0.91338805338419748</v>
      </c>
      <c r="U1299" s="564">
        <f>IF((J1299-MAX(J$470:J1299))/MAX(J$470:J1299)&gt;U1298,U1298,(J1299-MAX(J$470:J1299))/MAX(J$470:J1299))</f>
        <v>-0.70517826086956548</v>
      </c>
      <c r="V1299" s="564">
        <f>IF((K1299-MAX(K$470:K1299))/MAX(K$470:K1299)&gt;V1298,V1298,(K1299-MAX(K$470:K1299))/MAX(K$470:K1299))</f>
        <v>-0.84885940676762139</v>
      </c>
      <c r="W1299" s="564">
        <f>IF((N1299-MAX(N$470:N1299))/MAX(N$470:N1299)&gt;W1298,W1298,(N1299-MAX(N$470:N1299))/MAX(N$470:N1299))</f>
        <v>-0.62788758315546067</v>
      </c>
      <c r="X1299" s="564">
        <f>IF((O1299-MAX(O$470:O1299))/MAX(O$470:O1299)&gt;X1298,X1298,(O1299-MAX(O$470:O1299))/MAX(O$470:O1299))</f>
        <v>-0.62788758315546067</v>
      </c>
    </row>
    <row r="1300" spans="1:24">
      <c r="A1300" s="799">
        <v>41702</v>
      </c>
      <c r="B1300">
        <v>662.1</v>
      </c>
      <c r="C1300">
        <v>167.899745</v>
      </c>
      <c r="D1300">
        <v>2.1729430000000001</v>
      </c>
      <c r="E1300">
        <f>LN(D1300/参数实验室!$E$53)/参数实验室!$E$55</f>
        <v>0.2226175175453452</v>
      </c>
      <c r="F1300">
        <f t="shared" si="148"/>
        <v>0.25358668630116293</v>
      </c>
      <c r="G1300">
        <f>LN(F1300/参数实验室!$E$58)/参数实验室!$E$59</f>
        <v>-0.91065578174829165</v>
      </c>
      <c r="H1300" s="856">
        <f>INDEX(神经网络!$G$10:$BO$70,MATCH(ROUND(G1300*2,1)/2,神经网络!$E$10:$E$70,0),MATCH(ROUND(E1300*2,1)/2,神经网络!$G$8:$BO$8,0))</f>
        <v>-0.93393511548729269</v>
      </c>
      <c r="I1300">
        <f t="shared" si="140"/>
        <v>542.59663641056704</v>
      </c>
      <c r="J1300">
        <f t="shared" si="141"/>
        <v>264.19536331351486</v>
      </c>
      <c r="K1300">
        <f t="shared" si="142"/>
        <v>2.0537704735063027</v>
      </c>
      <c r="L1300" s="4">
        <f>MIN(MAX(L1299*(1+MAX(MIN(((B1300-B1299)/B1299)/($K$7*卓尔金历!$N$40),0),-卓尔金历!$M$43))+MIN(MAX(((B1300-B1299)/B1299)/($K$7*卓尔金历!$N$40),0),卓尔金历!$M$43),0),1)</f>
        <v>1</v>
      </c>
      <c r="M1300" s="4">
        <f>MIN(MAX(M1299*(1+MAX(MIN(((B1300-B1299)/B1299)/($K$7*30),0),-卓尔金历!$M$43))+MIN(MAX(((B1300-B1299)/B1299)/($K$7*7),0),卓尔金历!$M$43),0),1)</f>
        <v>1</v>
      </c>
      <c r="N1300">
        <f t="shared" si="143"/>
        <v>605.84074987486633</v>
      </c>
      <c r="O1300">
        <f t="shared" si="144"/>
        <v>1193.3065195550223</v>
      </c>
      <c r="P1300">
        <f t="shared" si="145"/>
        <v>0.15442958520042552</v>
      </c>
      <c r="Q1300">
        <f t="shared" si="146"/>
        <v>8.1106643083371704E-2</v>
      </c>
      <c r="R1300">
        <f t="shared" si="147"/>
        <v>2.6331944390354339E-2</v>
      </c>
      <c r="S1300">
        <f t="shared" si="139"/>
        <v>9.9321134739319685</v>
      </c>
      <c r="T1300" s="564">
        <f>IF((I1300-MAX(I$470:I1300))/MAX(I$470:I1300)&gt;T1299,T1299,(I1300-MAX(I$470:I1300))/MAX(I$470:I1300))</f>
        <v>-0.91338805338419748</v>
      </c>
      <c r="U1300" s="564">
        <f>IF((J1300-MAX(J$470:J1300))/MAX(J$470:J1300)&gt;U1299,U1299,(J1300-MAX(J$470:J1300))/MAX(J$470:J1300))</f>
        <v>-0.70517826086956548</v>
      </c>
      <c r="V1300" s="564">
        <f>IF((K1300-MAX(K$470:K1300))/MAX(K$470:K1300)&gt;V1299,V1299,(K1300-MAX(K$470:K1300))/MAX(K$470:K1300))</f>
        <v>-0.84885940676762139</v>
      </c>
      <c r="W1300" s="564">
        <f>IF((N1300-MAX(N$470:N1300))/MAX(N$470:N1300)&gt;W1299,W1299,(N1300-MAX(N$470:N1300))/MAX(N$470:N1300))</f>
        <v>-0.62788758315546067</v>
      </c>
      <c r="X1300" s="564">
        <f>IF((O1300-MAX(O$470:O1300))/MAX(O$470:O1300)&gt;X1299,X1299,(O1300-MAX(O$470:O1300))/MAX(O$470:O1300))</f>
        <v>-0.62788758315546067</v>
      </c>
    </row>
    <row r="1301" spans="1:24">
      <c r="A1301" s="799">
        <v>41703</v>
      </c>
      <c r="B1301">
        <v>663.72</v>
      </c>
      <c r="C1301">
        <v>170.563131</v>
      </c>
      <c r="D1301">
        <v>2.155494</v>
      </c>
      <c r="E1301">
        <f>LN(D1301/参数实验室!$E$53)/参数实验室!$E$55</f>
        <v>0.21310571184431262</v>
      </c>
      <c r="F1301">
        <f t="shared" si="148"/>
        <v>0.25698055053335744</v>
      </c>
      <c r="G1301">
        <f>LN(F1301/参数实验室!$E$58)/参数实验室!$E$59</f>
        <v>-0.90367801477872844</v>
      </c>
      <c r="H1301" s="856">
        <f>INDEX(神经网络!$G$10:$BO$70,MATCH(ROUND(G1301*2,1)/2,神经网络!$E$10:$E$70,0),MATCH(ROUND(E1301*2,1)/2,神经网络!$G$8:$BO$8,0))</f>
        <v>-0.93393511548729269</v>
      </c>
      <c r="I1301">
        <f t="shared" si="140"/>
        <v>541.35674049649299</v>
      </c>
      <c r="J1301">
        <f t="shared" si="141"/>
        <v>264.84178604205721</v>
      </c>
      <c r="K1301">
        <f t="shared" si="142"/>
        <v>2.0440760069882811</v>
      </c>
      <c r="L1301" s="4">
        <f>MIN(MAX(L1300*(1+MAX(MIN(((B1301-B1300)/B1300)/($K$7*卓尔金历!$N$40),0),-卓尔金历!$M$43))+MIN(MAX(((B1301-B1300)/B1300)/($K$7*卓尔金历!$N$40),0),卓尔金历!$M$43),0),1)</f>
        <v>1</v>
      </c>
      <c r="M1301" s="4">
        <f>MIN(MAX(M1300*(1+MAX(MIN(((B1301-B1300)/B1300)/($K$7*30),0),-卓尔金历!$M$43))+MIN(MAX(((B1301-B1300)/B1300)/($K$7*7),0),卓尔金历!$M$43),0),1)</f>
        <v>1</v>
      </c>
      <c r="N1301">
        <f t="shared" si="143"/>
        <v>604.45633386499458</v>
      </c>
      <c r="O1301">
        <f t="shared" si="144"/>
        <v>1190.5796764849622</v>
      </c>
      <c r="P1301">
        <f t="shared" si="145"/>
        <v>2.4467603081105641E-3</v>
      </c>
      <c r="Q1301">
        <f t="shared" si="146"/>
        <v>8.0396016005391119E-2</v>
      </c>
      <c r="R1301">
        <f t="shared" si="147"/>
        <v>1</v>
      </c>
      <c r="S1301">
        <f t="shared" si="139"/>
        <v>9.9315158434594402</v>
      </c>
      <c r="T1301" s="564">
        <f>IF((I1301-MAX(I$470:I1301))/MAX(I$470:I1301)&gt;T1300,T1300,(I1301-MAX(I$470:I1301))/MAX(I$470:I1301))</f>
        <v>-0.91338805338419748</v>
      </c>
      <c r="U1301" s="564">
        <f>IF((J1301-MAX(J$470:J1301))/MAX(J$470:J1301)&gt;U1300,U1300,(J1301-MAX(J$470:J1301))/MAX(J$470:J1301))</f>
        <v>-0.70517826086956548</v>
      </c>
      <c r="V1301" s="564">
        <f>IF((K1301-MAX(K$470:K1301))/MAX(K$470:K1301)&gt;V1300,V1300,(K1301-MAX(K$470:K1301))/MAX(K$470:K1301))</f>
        <v>-0.84885940676762139</v>
      </c>
      <c r="W1301" s="564">
        <f>IF((N1301-MAX(N$470:N1301))/MAX(N$470:N1301)&gt;W1300,W1300,(N1301-MAX(N$470:N1301))/MAX(N$470:N1301))</f>
        <v>-0.62788758315546067</v>
      </c>
      <c r="X1301" s="564">
        <f>IF((O1301-MAX(O$470:O1301))/MAX(O$470:O1301)&gt;X1300,X1300,(O1301-MAX(O$470:O1301))/MAX(O$470:O1301))</f>
        <v>-0.62788758315546067</v>
      </c>
    </row>
    <row r="1302" spans="1:24">
      <c r="A1302" s="799">
        <v>41704</v>
      </c>
      <c r="B1302">
        <v>662.5</v>
      </c>
      <c r="C1302">
        <v>170.65527800000001</v>
      </c>
      <c r="D1302">
        <v>2.1426609999999999</v>
      </c>
      <c r="E1302">
        <f>LN(D1302/参数实验室!$E$53)/参数实验室!$E$55</f>
        <v>0.20606091314929983</v>
      </c>
      <c r="F1302">
        <f t="shared" si="148"/>
        <v>0.25759287245283019</v>
      </c>
      <c r="G1302">
        <f>LN(F1302/参数实验室!$E$58)/参数实验室!$E$59</f>
        <v>-0.90242890329166559</v>
      </c>
      <c r="H1302" s="856">
        <f>INDEX(神经网络!$G$10:$BO$70,MATCH(ROUND(G1302*2,1)/2,神经网络!$E$10:$E$70,0),MATCH(ROUND(E1302*2,1)/2,神经网络!$G$8:$BO$8,0))</f>
        <v>-0.93393511548729269</v>
      </c>
      <c r="I1302">
        <f t="shared" si="140"/>
        <v>542.28608167250945</v>
      </c>
      <c r="J1302">
        <f t="shared" si="141"/>
        <v>264.35497386377222</v>
      </c>
      <c r="K1302">
        <f t="shared" si="142"/>
        <v>2.0513556970256253</v>
      </c>
      <c r="L1302" s="4">
        <f>MIN(MAX(L1301*(1+MAX(MIN(((B1302-B1301)/B1301)/($K$7*卓尔金历!$N$40),0),-卓尔金历!$M$43))+MIN(MAX(((B1302-B1301)/B1301)/($K$7*卓尔金历!$N$40),0),卓尔金历!$M$43),0),1)</f>
        <v>0.97191522139820785</v>
      </c>
      <c r="M1302" s="4">
        <f>MIN(MAX(M1301*(1+MAX(MIN(((B1302-B1301)/B1301)/($K$7*30),0),-卓尔金历!$M$43))+MIN(MAX(((B1302-B1301)/B1301)/($K$7*7),0),卓尔金历!$M$43),0),1)</f>
        <v>0.98595761069910393</v>
      </c>
      <c r="N1302">
        <f t="shared" si="143"/>
        <v>605.49399742054482</v>
      </c>
      <c r="O1302">
        <f t="shared" si="144"/>
        <v>1192.6235315511633</v>
      </c>
      <c r="P1302">
        <f t="shared" si="145"/>
        <v>-1.8381245103357249E-3</v>
      </c>
      <c r="Q1302">
        <f t="shared" si="146"/>
        <v>8.0283770950733802E-2</v>
      </c>
      <c r="R1302">
        <f t="shared" si="147"/>
        <v>1</v>
      </c>
      <c r="S1302">
        <f t="shared" si="139"/>
        <v>9.9485651677278</v>
      </c>
      <c r="T1302" s="564">
        <f>IF((I1302-MAX(I$470:I1302))/MAX(I$470:I1302)&gt;T1301,T1301,(I1302-MAX(I$470:I1302))/MAX(I$470:I1302))</f>
        <v>-0.91338805338419748</v>
      </c>
      <c r="U1302" s="564">
        <f>IF((J1302-MAX(J$470:J1302))/MAX(J$470:J1302)&gt;U1301,U1301,(J1302-MAX(J$470:J1302))/MAX(J$470:J1302))</f>
        <v>-0.70517826086956548</v>
      </c>
      <c r="V1302" s="564">
        <f>IF((K1302-MAX(K$470:K1302))/MAX(K$470:K1302)&gt;V1301,V1301,(K1302-MAX(K$470:K1302))/MAX(K$470:K1302))</f>
        <v>-0.84885940676762139</v>
      </c>
      <c r="W1302" s="564">
        <f>IF((N1302-MAX(N$470:N1302))/MAX(N$470:N1302)&gt;W1301,W1301,(N1302-MAX(N$470:N1302))/MAX(N$470:N1302))</f>
        <v>-0.62788758315546067</v>
      </c>
      <c r="X1302" s="564">
        <f>IF((O1302-MAX(O$470:O1302))/MAX(O$470:O1302)&gt;X1301,X1301,(O1302-MAX(O$470:O1302))/MAX(O$470:O1302))</f>
        <v>-0.62788758315546067</v>
      </c>
    </row>
    <row r="1303" spans="1:24">
      <c r="A1303" s="799">
        <v>41705</v>
      </c>
      <c r="B1303">
        <v>655.21</v>
      </c>
      <c r="C1303">
        <v>171.042169</v>
      </c>
      <c r="D1303">
        <v>1.964029</v>
      </c>
      <c r="E1303">
        <f>LN(D1303/参数实验室!$E$53)/参数实验室!$E$55</f>
        <v>0.10336275747272529</v>
      </c>
      <c r="F1303">
        <f t="shared" si="148"/>
        <v>0.26104938721936477</v>
      </c>
      <c r="G1303">
        <f>LN(F1303/参数实验室!$E$58)/参数实验室!$E$59</f>
        <v>-0.89543297275767386</v>
      </c>
      <c r="H1303" s="856">
        <f>INDEX(神经网络!$G$10:$BO$70,MATCH(ROUND(G1303*2,1)/2,神经网络!$E$10:$E$70,0),MATCH(ROUND(E1303*2,1)/2,神经网络!$G$8:$BO$8,0))</f>
        <v>-0.97062786277891799</v>
      </c>
      <c r="I1303">
        <f t="shared" si="140"/>
        <v>547.85905299982846</v>
      </c>
      <c r="J1303">
        <f t="shared" si="141"/>
        <v>261.44607158533159</v>
      </c>
      <c r="K1303">
        <f t="shared" si="142"/>
        <v>2.0954954483644497</v>
      </c>
      <c r="L1303" s="4">
        <f>MIN(MAX(L1302*(1+MAX(MIN(((B1303-B1302)/B1302)/($K$7*卓尔金历!$N$40),0),-卓尔金历!$M$43))+MIN(MAX(((B1303-B1302)/B1302)/($K$7*卓尔金历!$N$40),0),卓尔金历!$M$43),0),1)</f>
        <v>0.80850993295663831</v>
      </c>
      <c r="M1303" s="4">
        <f>MIN(MAX(M1302*(1+MAX(MIN(((B1303-B1302)/B1302)/($K$7*30),0),-卓尔金历!$M$43))+MIN(MAX(((B1303-B1302)/B1302)/($K$7*7),0),卓尔金历!$M$43),0),1)</f>
        <v>0.90307451337726541</v>
      </c>
      <c r="N1303">
        <f t="shared" si="143"/>
        <v>611.54178566578184</v>
      </c>
      <c r="O1303">
        <f t="shared" si="144"/>
        <v>1204.7077889828051</v>
      </c>
      <c r="P1303">
        <f t="shared" si="145"/>
        <v>-1.1003773584905606E-2</v>
      </c>
      <c r="Q1303">
        <f t="shared" si="146"/>
        <v>7.3835036647451988E-2</v>
      </c>
      <c r="R1303">
        <f t="shared" si="147"/>
        <v>1</v>
      </c>
      <c r="S1303">
        <f t="shared" ref="S1303:S1366" si="149">S1302*(1+(B1303-B1302)/B1302*H1302*R1302)</f>
        <v>10.05080468723882</v>
      </c>
      <c r="T1303" s="564">
        <f>IF((I1303-MAX(I$470:I1303))/MAX(I$470:I1303)&gt;T1302,T1302,(I1303-MAX(I$470:I1303))/MAX(I$470:I1303))</f>
        <v>-0.91338805338419748</v>
      </c>
      <c r="U1303" s="564">
        <f>IF((J1303-MAX(J$470:J1303))/MAX(J$470:J1303)&gt;U1302,U1302,(J1303-MAX(J$470:J1303))/MAX(J$470:J1303))</f>
        <v>-0.70517826086956548</v>
      </c>
      <c r="V1303" s="564">
        <f>IF((K1303-MAX(K$470:K1303))/MAX(K$470:K1303)&gt;V1302,V1302,(K1303-MAX(K$470:K1303))/MAX(K$470:K1303))</f>
        <v>-0.84885940676762139</v>
      </c>
      <c r="W1303" s="564">
        <f>IF((N1303-MAX(N$470:N1303))/MAX(N$470:N1303)&gt;W1302,W1302,(N1303-MAX(N$470:N1303))/MAX(N$470:N1303))</f>
        <v>-0.62788758315546067</v>
      </c>
      <c r="X1303" s="564">
        <f>IF((O1303-MAX(O$470:O1303))/MAX(O$470:O1303)&gt;X1302,X1302,(O1303-MAX(O$470:O1303))/MAX(O$470:O1303))</f>
        <v>-0.62788758315546067</v>
      </c>
    </row>
    <row r="1304" spans="1:24">
      <c r="A1304" s="799">
        <v>41706</v>
      </c>
      <c r="B1304">
        <v>621.94000000000005</v>
      </c>
      <c r="C1304">
        <v>172.65282400000001</v>
      </c>
      <c r="D1304">
        <v>1.9304190000000001</v>
      </c>
      <c r="E1304">
        <f>LN(D1304/参数实验室!$E$53)/参数实验室!$E$55</f>
        <v>8.299915729052211E-2</v>
      </c>
      <c r="F1304">
        <f t="shared" si="148"/>
        <v>0.27760366594848379</v>
      </c>
      <c r="G1304">
        <f>LN(F1304/参数实验室!$E$58)/参数实验室!$E$59</f>
        <v>-0.86316241538125016</v>
      </c>
      <c r="H1304" s="856">
        <f>INDEX(神经网络!$G$10:$BO$70,MATCH(ROUND(G1304*2,1)/2,神经网络!$E$10:$E$70,0),MATCH(ROUND(E1304*2,1)/2,神经网络!$G$8:$BO$8,0))</f>
        <v>-0.93517102942105479</v>
      </c>
      <c r="I1304">
        <f t="shared" ref="I1304:I1367" si="150">I1303*(1+(B1304-B1303)/B1303*H1303)</f>
        <v>574.86092537255593</v>
      </c>
      <c r="J1304">
        <f t="shared" ref="J1304:J1367" si="151">J1303*B1304/B1303</f>
        <v>248.17046406767471</v>
      </c>
      <c r="K1304">
        <f t="shared" ref="K1304:K1367" si="152">I1304/J1304</f>
        <v>2.3163954160789841</v>
      </c>
      <c r="L1304" s="4">
        <f>MIN(MAX(L1303*(1+MAX(MIN(((B1304-B1303)/B1303)/($K$7*卓尔金历!$N$40),0),-卓尔金历!$M$43))+MIN(MAX(((B1304-B1303)/B1303)/($K$7*卓尔金历!$N$40),0),卓尔金历!$M$43),0),1)</f>
        <v>0.18124108172760323</v>
      </c>
      <c r="M1304" s="4">
        <f>MIN(MAX(M1303*(1+MAX(MIN(((B1304-B1303)/B1303)/($K$7*30),0),-卓尔金历!$M$43))+MIN(MAX(((B1304-B1303)/B1303)/($K$7*7),0),卓尔金历!$M$43),0),1)</f>
        <v>0.55275691708698094</v>
      </c>
      <c r="N1304">
        <f t="shared" ref="N1304:N1367" si="153">N1303*(1+(B1304-B1303)/B1303*H1303*L1303)</f>
        <v>635.91071982479309</v>
      </c>
      <c r="O1304">
        <f t="shared" ref="O1304:O1367" si="154">O1303*(1+(B1304-B1303)/B1303*H1303*M1303)</f>
        <v>1258.3282250749894</v>
      </c>
      <c r="P1304">
        <f t="shared" ref="P1304:P1367" si="155">(B1304-B1303)/B1303</f>
        <v>-5.07776132842905E-2</v>
      </c>
      <c r="Q1304">
        <f t="shared" si="146"/>
        <v>6.8434560666306141E-2</v>
      </c>
      <c r="R1304">
        <f t="shared" si="147"/>
        <v>0.39429146102660118</v>
      </c>
      <c r="S1304">
        <f t="shared" si="149"/>
        <v>10.546170318092269</v>
      </c>
      <c r="T1304" s="564">
        <f>IF((I1304-MAX(I$470:I1304))/MAX(I$470:I1304)&gt;T1303,T1303,(I1304-MAX(I$470:I1304))/MAX(I$470:I1304))</f>
        <v>-0.91338805338419748</v>
      </c>
      <c r="U1304" s="564">
        <f>IF((J1304-MAX(J$470:J1304))/MAX(J$470:J1304)&gt;U1303,U1303,(J1304-MAX(J$470:J1304))/MAX(J$470:J1304))</f>
        <v>-0.70517826086956548</v>
      </c>
      <c r="V1304" s="564">
        <f>IF((K1304-MAX(K$470:K1304))/MAX(K$470:K1304)&gt;V1303,V1303,(K1304-MAX(K$470:K1304))/MAX(K$470:K1304))</f>
        <v>-0.84885940676762139</v>
      </c>
      <c r="W1304" s="564">
        <f>IF((N1304-MAX(N$470:N1304))/MAX(N$470:N1304)&gt;W1303,W1303,(N1304-MAX(N$470:N1304))/MAX(N$470:N1304))</f>
        <v>-0.62788758315546067</v>
      </c>
      <c r="X1304" s="564">
        <f>IF((O1304-MAX(O$470:O1304))/MAX(O$470:O1304)&gt;X1303,X1303,(O1304-MAX(O$470:O1304))/MAX(O$470:O1304))</f>
        <v>-0.62788758315546067</v>
      </c>
    </row>
    <row r="1305" spans="1:24">
      <c r="A1305" s="799">
        <v>41707</v>
      </c>
      <c r="B1305">
        <v>622.39</v>
      </c>
      <c r="C1305">
        <v>170.42199400000001</v>
      </c>
      <c r="D1305">
        <v>1.9522139999999999</v>
      </c>
      <c r="E1305">
        <f>LN(D1305/参数实验室!$E$53)/参数实验室!$E$55</f>
        <v>9.6244288640636222E-2</v>
      </c>
      <c r="F1305">
        <f t="shared" si="148"/>
        <v>0.27381865711210018</v>
      </c>
      <c r="G1305">
        <f>LN(F1305/参数实验室!$E$58)/参数实验室!$E$59</f>
        <v>-0.87036781243645378</v>
      </c>
      <c r="H1305" s="856">
        <f>INDEX(神经网络!$G$10:$BO$70,MATCH(ROUND(G1305*2,1)/2,神经网络!$E$10:$E$70,0),MATCH(ROUND(E1305*2,1)/2,神经网络!$G$8:$BO$8,0))</f>
        <v>-0.93517102942105479</v>
      </c>
      <c r="I1305">
        <f t="shared" si="150"/>
        <v>574.47195380373978</v>
      </c>
      <c r="J1305">
        <f t="shared" si="151"/>
        <v>248.35002593671425</v>
      </c>
      <c r="K1305">
        <f t="shared" si="152"/>
        <v>2.3131543942344082</v>
      </c>
      <c r="L1305" s="4">
        <f>MIN(MAX(L1304*(1+MAX(MIN(((B1305-B1304)/B1304)/($K$7*卓尔金历!$N$40),0),-卓尔金历!$M$43))+MIN(MAX(((B1305-B1304)/B1304)/($K$7*卓尔金历!$N$40),0),卓尔金历!$M$43),0),1)</f>
        <v>0.19229611624428242</v>
      </c>
      <c r="M1305" s="4">
        <f>MIN(MAX(M1304*(1+MAX(MIN(((B1305-B1304)/B1304)/($K$7*30),0),-卓尔金历!$M$43))+MIN(MAX(((B1305-B1304)/B1304)/($K$7*7),0),卓尔金历!$M$43),0),1)</f>
        <v>0.57644627676557914</v>
      </c>
      <c r="N1305">
        <f t="shared" si="153"/>
        <v>635.83273540226401</v>
      </c>
      <c r="O1305">
        <f t="shared" si="154"/>
        <v>1257.8575911895127</v>
      </c>
      <c r="P1305">
        <f t="shared" si="155"/>
        <v>7.2354246390316066E-4</v>
      </c>
      <c r="Q1305">
        <f t="shared" si="146"/>
        <v>6.8274520650583079E-2</v>
      </c>
      <c r="R1305">
        <f t="shared" si="147"/>
        <v>1</v>
      </c>
      <c r="S1305">
        <f t="shared" si="149"/>
        <v>10.543356686565987</v>
      </c>
      <c r="T1305" s="564">
        <f>IF((I1305-MAX(I$470:I1305))/MAX(I$470:I1305)&gt;T1304,T1304,(I1305-MAX(I$470:I1305))/MAX(I$470:I1305))</f>
        <v>-0.91338805338419748</v>
      </c>
      <c r="U1305" s="564">
        <f>IF((J1305-MAX(J$470:J1305))/MAX(J$470:J1305)&gt;U1304,U1304,(J1305-MAX(J$470:J1305))/MAX(J$470:J1305))</f>
        <v>-0.70517826086956548</v>
      </c>
      <c r="V1305" s="564">
        <f>IF((K1305-MAX(K$470:K1305))/MAX(K$470:K1305)&gt;V1304,V1304,(K1305-MAX(K$470:K1305))/MAX(K$470:K1305))</f>
        <v>-0.84885940676762139</v>
      </c>
      <c r="W1305" s="564">
        <f>IF((N1305-MAX(N$470:N1305))/MAX(N$470:N1305)&gt;W1304,W1304,(N1305-MAX(N$470:N1305))/MAX(N$470:N1305))</f>
        <v>-0.62788758315546067</v>
      </c>
      <c r="X1305" s="564">
        <f>IF((O1305-MAX(O$470:O1305))/MAX(O$470:O1305)&gt;X1304,X1304,(O1305-MAX(O$470:O1305))/MAX(O$470:O1305))</f>
        <v>-0.62788758315546067</v>
      </c>
    </row>
    <row r="1306" spans="1:24">
      <c r="A1306" s="799">
        <v>41708</v>
      </c>
      <c r="B1306">
        <v>639.21</v>
      </c>
      <c r="C1306">
        <v>173.94779800000001</v>
      </c>
      <c r="D1306">
        <v>1.9107890000000001</v>
      </c>
      <c r="E1306">
        <f>LN(D1306/参数实验室!$E$53)/参数实验室!$E$55</f>
        <v>7.0941097542395512E-2</v>
      </c>
      <c r="F1306">
        <f t="shared" si="148"/>
        <v>0.27212934403404199</v>
      </c>
      <c r="G1306">
        <f>LN(F1306/参数实验室!$E$58)/参数实验室!$E$59</f>
        <v>-0.87361590795813504</v>
      </c>
      <c r="H1306" s="856">
        <f>INDEX(神经网络!$G$10:$BO$70,MATCH(ROUND(G1306*2,1)/2,神经网络!$E$10:$E$70,0),MATCH(ROUND(E1306*2,1)/2,神经网络!$G$8:$BO$8,0))</f>
        <v>-0.95229161268046825</v>
      </c>
      <c r="I1306">
        <f t="shared" si="150"/>
        <v>559.95340326807457</v>
      </c>
      <c r="J1306">
        <f t="shared" si="151"/>
        <v>255.06164957503677</v>
      </c>
      <c r="K1306">
        <f t="shared" si="152"/>
        <v>2.1953649409898506</v>
      </c>
      <c r="L1306" s="4">
        <f>MIN(MAX(L1305*(1+MAX(MIN(((B1306-B1305)/B1305)/($K$7*卓尔金历!$N$40),0),-卓尔金历!$M$43))+MIN(MAX(((B1306-B1305)/B1305)/($K$7*卓尔金历!$N$40),0),卓尔金历!$M$43),0),1)</f>
        <v>0.60520997902079077</v>
      </c>
      <c r="M1306" s="4">
        <f>MIN(MAX(M1305*(1+MAX(MIN(((B1306-B1305)/B1305)/($K$7*30),0),-卓尔金历!$M$43))+MIN(MAX(((B1306-B1305)/B1305)/($K$7*7),0),卓尔金历!$M$43),0),1)</f>
        <v>1</v>
      </c>
      <c r="N1306">
        <f t="shared" si="153"/>
        <v>632.74266889963326</v>
      </c>
      <c r="O1306">
        <f t="shared" si="154"/>
        <v>1239.5325591263315</v>
      </c>
      <c r="P1306">
        <f t="shared" si="155"/>
        <v>2.7024855797811744E-2</v>
      </c>
      <c r="Q1306">
        <f t="shared" si="146"/>
        <v>6.6965678460065153E-2</v>
      </c>
      <c r="R1306">
        <f t="shared" si="147"/>
        <v>1</v>
      </c>
      <c r="S1306">
        <f t="shared" si="149"/>
        <v>10.276895885728097</v>
      </c>
      <c r="T1306" s="564">
        <f>IF((I1306-MAX(I$470:I1306))/MAX(I$470:I1306)&gt;T1305,T1305,(I1306-MAX(I$470:I1306))/MAX(I$470:I1306))</f>
        <v>-0.91338805338419748</v>
      </c>
      <c r="U1306" s="564">
        <f>IF((J1306-MAX(J$470:J1306))/MAX(J$470:J1306)&gt;U1305,U1305,(J1306-MAX(J$470:J1306))/MAX(J$470:J1306))</f>
        <v>-0.70517826086956548</v>
      </c>
      <c r="V1306" s="564">
        <f>IF((K1306-MAX(K$470:K1306))/MAX(K$470:K1306)&gt;V1305,V1305,(K1306-MAX(K$470:K1306))/MAX(K$470:K1306))</f>
        <v>-0.84885940676762139</v>
      </c>
      <c r="W1306" s="564">
        <f>IF((N1306-MAX(N$470:N1306))/MAX(N$470:N1306)&gt;W1305,W1305,(N1306-MAX(N$470:N1306))/MAX(N$470:N1306))</f>
        <v>-0.62788758315546067</v>
      </c>
      <c r="X1306" s="564">
        <f>IF((O1306-MAX(O$470:O1306))/MAX(O$470:O1306)&gt;X1305,X1305,(O1306-MAX(O$470:O1306))/MAX(O$470:O1306))</f>
        <v>-0.62788758315546067</v>
      </c>
    </row>
    <row r="1307" spans="1:24">
      <c r="A1307" s="799">
        <v>41709</v>
      </c>
      <c r="B1307">
        <v>630.66999999999996</v>
      </c>
      <c r="C1307">
        <v>171.07692499999999</v>
      </c>
      <c r="D1307">
        <v>1.9251229999999999</v>
      </c>
      <c r="E1307">
        <f>LN(D1307/参数实验室!$E$53)/参数实验室!$E$55</f>
        <v>7.9758120305510466E-2</v>
      </c>
      <c r="F1307">
        <f t="shared" si="148"/>
        <v>0.27126218941760349</v>
      </c>
      <c r="G1307">
        <f>LN(F1307/参数实验室!$E$58)/参数实验室!$E$59</f>
        <v>-0.875291053648663</v>
      </c>
      <c r="H1307" s="856">
        <f>INDEX(神经网络!$G$10:$BO$70,MATCH(ROUND(G1307*2,1)/2,神经网络!$E$10:$E$70,0),MATCH(ROUND(E1307*2,1)/2,神经网络!$G$8:$BO$8,0))</f>
        <v>-0.97062786277891799</v>
      </c>
      <c r="I1307">
        <f t="shared" si="150"/>
        <v>567.07760416806298</v>
      </c>
      <c r="J1307">
        <f t="shared" si="151"/>
        <v>251.65396432704182</v>
      </c>
      <c r="K1307">
        <f t="shared" si="152"/>
        <v>2.2534022290668396</v>
      </c>
      <c r="L1307" s="4">
        <f>MIN(MAX(L1306*(1+MAX(MIN(((B1307-B1306)/B1306)/($K$7*卓尔金历!$N$40),0),-卓尔金历!$M$43))+MIN(MAX(((B1307-B1306)/B1306)/($K$7*卓尔金历!$N$40),0),卓尔金历!$M$43),0),1)</f>
        <v>0.48166745530794353</v>
      </c>
      <c r="M1307" s="4">
        <f>MIN(MAX(M1306*(1+MAX(MIN(((B1307-B1306)/B1306)/($K$7*30),0),-卓尔金历!$M$43))+MIN(MAX(((B1307-B1306)/B1306)/($K$7*7),0),卓尔金历!$M$43),0),1)</f>
        <v>0.89793416500440493</v>
      </c>
      <c r="N1307">
        <f t="shared" si="153"/>
        <v>637.61478323761673</v>
      </c>
      <c r="O1307">
        <f t="shared" si="154"/>
        <v>1255.3029409505225</v>
      </c>
      <c r="P1307">
        <f t="shared" si="155"/>
        <v>-1.3360241548161131E-2</v>
      </c>
      <c r="Q1307">
        <f t="shared" si="146"/>
        <v>6.6526405920270551E-2</v>
      </c>
      <c r="R1307">
        <f t="shared" si="147"/>
        <v>1</v>
      </c>
      <c r="S1307">
        <f t="shared" si="149"/>
        <v>10.407647249128848</v>
      </c>
      <c r="T1307" s="564">
        <f>IF((I1307-MAX(I$470:I1307))/MAX(I$470:I1307)&gt;T1306,T1306,(I1307-MAX(I$470:I1307))/MAX(I$470:I1307))</f>
        <v>-0.91338805338419748</v>
      </c>
      <c r="U1307" s="564">
        <f>IF((J1307-MAX(J$470:J1307))/MAX(J$470:J1307)&gt;U1306,U1306,(J1307-MAX(J$470:J1307))/MAX(J$470:J1307))</f>
        <v>-0.70517826086956548</v>
      </c>
      <c r="V1307" s="564">
        <f>IF((K1307-MAX(K$470:K1307))/MAX(K$470:K1307)&gt;V1306,V1306,(K1307-MAX(K$470:K1307))/MAX(K$470:K1307))</f>
        <v>-0.84885940676762139</v>
      </c>
      <c r="W1307" s="564">
        <f>IF((N1307-MAX(N$470:N1307))/MAX(N$470:N1307)&gt;W1306,W1306,(N1307-MAX(N$470:N1307))/MAX(N$470:N1307))</f>
        <v>-0.62788758315546067</v>
      </c>
      <c r="X1307" s="564">
        <f>IF((O1307-MAX(O$470:O1307))/MAX(O$470:O1307)&gt;X1306,X1306,(O1307-MAX(O$470:O1307))/MAX(O$470:O1307))</f>
        <v>-0.62788758315546067</v>
      </c>
    </row>
    <row r="1308" spans="1:24">
      <c r="A1308" s="799">
        <v>41710</v>
      </c>
      <c r="B1308">
        <v>635.66</v>
      </c>
      <c r="C1308">
        <v>168.68137899999999</v>
      </c>
      <c r="D1308">
        <v>1.923702</v>
      </c>
      <c r="E1308">
        <f>LN(D1308/参数实验室!$E$53)/参数实验室!$E$55</f>
        <v>7.888698200441531E-2</v>
      </c>
      <c r="F1308">
        <f t="shared" si="148"/>
        <v>0.26536415536607622</v>
      </c>
      <c r="G1308">
        <f>LN(F1308/参数实验室!$E$58)/参数实验室!$E$59</f>
        <v>-0.88682880876681869</v>
      </c>
      <c r="H1308" s="856">
        <f>INDEX(神经网络!$G$10:$BO$70,MATCH(ROUND(G1308*2,1)/2,神经网络!$E$10:$E$70,0),MATCH(ROUND(E1308*2,1)/2,神经网络!$G$8:$BO$8,0))</f>
        <v>-0.97062786277891799</v>
      </c>
      <c r="I1308">
        <f t="shared" si="150"/>
        <v>562.72254938253718</v>
      </c>
      <c r="J1308">
        <f t="shared" si="151"/>
        <v>253.64510594150255</v>
      </c>
      <c r="K1308">
        <f t="shared" si="152"/>
        <v>2.2185429018776981</v>
      </c>
      <c r="L1308" s="4">
        <f>MIN(MAX(L1307*(1+MAX(MIN(((B1308-B1307)/B1307)/($K$7*卓尔金历!$N$40),0),-卓尔金历!$M$43))+MIN(MAX(((B1308-B1307)/B1307)/($K$7*卓尔金历!$N$40),0),卓尔金历!$M$43),0),1)</f>
        <v>0.60255858926900252</v>
      </c>
      <c r="M1308" s="4">
        <f>MIN(MAX(M1307*(1+MAX(MIN(((B1308-B1307)/B1307)/($K$7*30),0),-卓尔金历!$M$43))+MIN(MAX(((B1308-B1307)/B1307)/($K$7*7),0),卓尔金历!$M$43),0),1)</f>
        <v>1</v>
      </c>
      <c r="N1308">
        <f t="shared" si="153"/>
        <v>635.25616958539365</v>
      </c>
      <c r="O1308">
        <f t="shared" si="154"/>
        <v>1246.6464043569347</v>
      </c>
      <c r="P1308">
        <f t="shared" si="155"/>
        <v>7.9122203371018267E-3</v>
      </c>
      <c r="Q1308">
        <f t="shared" si="146"/>
        <v>6.6264512739292319E-2</v>
      </c>
      <c r="R1308">
        <f t="shared" si="147"/>
        <v>1</v>
      </c>
      <c r="S1308">
        <f t="shared" si="149"/>
        <v>10.327718375857827</v>
      </c>
      <c r="T1308" s="564">
        <f>IF((I1308-MAX(I$470:I1308))/MAX(I$470:I1308)&gt;T1307,T1307,(I1308-MAX(I$470:I1308))/MAX(I$470:I1308))</f>
        <v>-0.91338805338419748</v>
      </c>
      <c r="U1308" s="564">
        <f>IF((J1308-MAX(J$470:J1308))/MAX(J$470:J1308)&gt;U1307,U1307,(J1308-MAX(J$470:J1308))/MAX(J$470:J1308))</f>
        <v>-0.70517826086956548</v>
      </c>
      <c r="V1308" s="564">
        <f>IF((K1308-MAX(K$470:K1308))/MAX(K$470:K1308)&gt;V1307,V1307,(K1308-MAX(K$470:K1308))/MAX(K$470:K1308))</f>
        <v>-0.84885940676762139</v>
      </c>
      <c r="W1308" s="564">
        <f>IF((N1308-MAX(N$470:N1308))/MAX(N$470:N1308)&gt;W1307,W1307,(N1308-MAX(N$470:N1308))/MAX(N$470:N1308))</f>
        <v>-0.62788758315546067</v>
      </c>
      <c r="X1308" s="564">
        <f>IF((O1308-MAX(O$470:O1308))/MAX(O$470:O1308)&gt;X1307,X1307,(O1308-MAX(O$470:O1308))/MAX(O$470:O1308))</f>
        <v>-0.62788758315546067</v>
      </c>
    </row>
    <row r="1309" spans="1:24">
      <c r="A1309" s="799">
        <v>41711</v>
      </c>
      <c r="B1309">
        <v>639.84</v>
      </c>
      <c r="C1309">
        <v>169.05777699999999</v>
      </c>
      <c r="D1309">
        <v>1.947829</v>
      </c>
      <c r="E1309">
        <f>LN(D1309/参数实验室!$E$53)/参数实验室!$E$55</f>
        <v>9.3591384477919745E-2</v>
      </c>
      <c r="F1309">
        <f t="shared" si="148"/>
        <v>0.26421883127031753</v>
      </c>
      <c r="G1309">
        <f>LN(F1309/参数实验室!$E$58)/参数实验室!$E$59</f>
        <v>-0.88909900601512171</v>
      </c>
      <c r="H1309" s="856">
        <f>INDEX(神经网络!$G$10:$BO$70,MATCH(ROUND(G1309*2,1)/2,神经网络!$E$10:$E$70,0),MATCH(ROUND(E1309*2,1)/2,神经网络!$G$8:$BO$8,0))</f>
        <v>-0.97062786277891799</v>
      </c>
      <c r="I1309">
        <f t="shared" si="150"/>
        <v>559.13086248205775</v>
      </c>
      <c r="J1309">
        <f t="shared" si="151"/>
        <v>255.31303619169211</v>
      </c>
      <c r="K1309">
        <f t="shared" si="152"/>
        <v>2.1899816430143253</v>
      </c>
      <c r="L1309" s="4">
        <f>MIN(MAX(L1308*(1+MAX(MIN(((B1309-B1308)/B1308)/($K$7*卓尔金历!$N$40),0),-卓尔金历!$M$43))+MIN(MAX(((B1309-B1308)/B1308)/($K$7*卓尔金历!$N$40),0),卓尔金历!$M$43),0),1)</f>
        <v>0.70303115125823235</v>
      </c>
      <c r="M1309" s="4">
        <f>MIN(MAX(M1308*(1+MAX(MIN(((B1309-B1308)/B1308)/($K$7*30),0),-卓尔金历!$M$43))+MIN(MAX(((B1309-B1308)/B1308)/($K$7*7),0),卓尔金历!$M$43),0),1)</f>
        <v>1</v>
      </c>
      <c r="N1309">
        <f t="shared" si="153"/>
        <v>632.81300724542996</v>
      </c>
      <c r="O1309">
        <f t="shared" si="154"/>
        <v>1238.6894394814881</v>
      </c>
      <c r="P1309">
        <f t="shared" si="155"/>
        <v>6.5758424314886323E-3</v>
      </c>
      <c r="Q1309">
        <f t="shared" si="146"/>
        <v>6.6264924374129869E-2</v>
      </c>
      <c r="R1309">
        <f t="shared" si="147"/>
        <v>1</v>
      </c>
      <c r="S1309">
        <f t="shared" si="149"/>
        <v>10.261799690276252</v>
      </c>
      <c r="T1309" s="564">
        <f>IF((I1309-MAX(I$470:I1309))/MAX(I$470:I1309)&gt;T1308,T1308,(I1309-MAX(I$470:I1309))/MAX(I$470:I1309))</f>
        <v>-0.91338805338419748</v>
      </c>
      <c r="U1309" s="564">
        <f>IF((J1309-MAX(J$470:J1309))/MAX(J$470:J1309)&gt;U1308,U1308,(J1309-MAX(J$470:J1309))/MAX(J$470:J1309))</f>
        <v>-0.70517826086956548</v>
      </c>
      <c r="V1309" s="564">
        <f>IF((K1309-MAX(K$470:K1309))/MAX(K$470:K1309)&gt;V1308,V1308,(K1309-MAX(K$470:K1309))/MAX(K$470:K1309))</f>
        <v>-0.84885940676762139</v>
      </c>
      <c r="W1309" s="564">
        <f>IF((N1309-MAX(N$470:N1309))/MAX(N$470:N1309)&gt;W1308,W1308,(N1309-MAX(N$470:N1309))/MAX(N$470:N1309))</f>
        <v>-0.62788758315546067</v>
      </c>
      <c r="X1309" s="564">
        <f>IF((O1309-MAX(O$470:O1309))/MAX(O$470:O1309)&gt;X1308,X1308,(O1309-MAX(O$470:O1309))/MAX(O$470:O1309))</f>
        <v>-0.62788758315546067</v>
      </c>
    </row>
    <row r="1310" spans="1:24">
      <c r="A1310" s="799">
        <v>41712</v>
      </c>
      <c r="B1310">
        <v>633.27</v>
      </c>
      <c r="C1310">
        <v>173.75167200000001</v>
      </c>
      <c r="D1310">
        <v>1.903437</v>
      </c>
      <c r="E1310">
        <f>LN(D1310/参数实验室!$E$53)/参数实验室!$E$55</f>
        <v>6.6393094046314494E-2</v>
      </c>
      <c r="F1310">
        <f t="shared" si="148"/>
        <v>0.27437218248140605</v>
      </c>
      <c r="G1310">
        <f>LN(F1310/参数实验室!$E$58)/参数实验室!$E$59</f>
        <v>-0.86930788911858947</v>
      </c>
      <c r="H1310" s="856">
        <f>INDEX(神经网络!$G$10:$BO$70,MATCH(ROUND(G1310*2,1)/2,神经网络!$E$10:$E$70,0),MATCH(ROUND(E1310*2,1)/2,神经网络!$G$8:$BO$8,0))</f>
        <v>-0.95229161268046825</v>
      </c>
      <c r="I1310">
        <f t="shared" si="150"/>
        <v>564.70349239110544</v>
      </c>
      <c r="J1310">
        <f t="shared" si="151"/>
        <v>252.69143290371474</v>
      </c>
      <c r="K1310">
        <f t="shared" si="152"/>
        <v>2.2347551949110969</v>
      </c>
      <c r="L1310" s="4">
        <f>MIN(MAX(L1309*(1+MAX(MIN(((B1310-B1309)/B1309)/($K$7*卓尔金历!$N$40),0),-卓尔金历!$M$43))+MIN(MAX(((B1310-B1309)/B1309)/($K$7*卓尔金历!$N$40),0),卓尔金历!$M$43),0),1)</f>
        <v>0.59273391504053308</v>
      </c>
      <c r="M1310" s="4">
        <f>MIN(MAX(M1309*(1+MAX(MIN(((B1310-B1309)/B1309)/($K$7*30),0),-卓尔金历!$M$43))+MIN(MAX(((B1310-B1309)/B1309)/($K$7*7),0),卓尔金历!$M$43),0),1)</f>
        <v>0.92155593957657667</v>
      </c>
      <c r="N1310">
        <f t="shared" si="153"/>
        <v>637.24701760141386</v>
      </c>
      <c r="O1310">
        <f t="shared" si="154"/>
        <v>1251.0349533524875</v>
      </c>
      <c r="P1310">
        <f t="shared" si="155"/>
        <v>-1.0268192048012081E-2</v>
      </c>
      <c r="Q1310">
        <f t="shared" si="146"/>
        <v>6.0250233748961372E-2</v>
      </c>
      <c r="R1310">
        <f t="shared" si="147"/>
        <v>1</v>
      </c>
      <c r="S1310">
        <f t="shared" si="149"/>
        <v>10.364074874337524</v>
      </c>
      <c r="T1310" s="564">
        <f>IF((I1310-MAX(I$470:I1310))/MAX(I$470:I1310)&gt;T1309,T1309,(I1310-MAX(I$470:I1310))/MAX(I$470:I1310))</f>
        <v>-0.91338805338419748</v>
      </c>
      <c r="U1310" s="564">
        <f>IF((J1310-MAX(J$470:J1310))/MAX(J$470:J1310)&gt;U1309,U1309,(J1310-MAX(J$470:J1310))/MAX(J$470:J1310))</f>
        <v>-0.70517826086956548</v>
      </c>
      <c r="V1310" s="564">
        <f>IF((K1310-MAX(K$470:K1310))/MAX(K$470:K1310)&gt;V1309,V1309,(K1310-MAX(K$470:K1310))/MAX(K$470:K1310))</f>
        <v>-0.84885940676762139</v>
      </c>
      <c r="W1310" s="564">
        <f>IF((N1310-MAX(N$470:N1310))/MAX(N$470:N1310)&gt;W1309,W1309,(N1310-MAX(N$470:N1310))/MAX(N$470:N1310))</f>
        <v>-0.62788758315546067</v>
      </c>
      <c r="X1310" s="564">
        <f>IF((O1310-MAX(O$470:O1310))/MAX(O$470:O1310)&gt;X1309,X1309,(O1310-MAX(O$470:O1310))/MAX(O$470:O1310))</f>
        <v>-0.62788758315546067</v>
      </c>
    </row>
    <row r="1311" spans="1:24">
      <c r="A1311" s="799">
        <v>41713</v>
      </c>
      <c r="B1311">
        <v>631.85</v>
      </c>
      <c r="C1311">
        <v>175.28388699999999</v>
      </c>
      <c r="D1311">
        <v>1.9264140000000001</v>
      </c>
      <c r="E1311">
        <f>LN(D1311/参数实验室!$E$53)/参数实验室!$E$55</f>
        <v>8.0549005344396879E-2</v>
      </c>
      <c r="F1311">
        <f t="shared" si="148"/>
        <v>0.27741376434280285</v>
      </c>
      <c r="G1311">
        <f>LN(F1311/参数实验室!$E$58)/参数实验室!$E$59</f>
        <v>-0.86352157754077541</v>
      </c>
      <c r="H1311" s="856">
        <f>INDEX(神经网络!$G$10:$BO$70,MATCH(ROUND(G1311*2,1)/2,神经网络!$E$10:$E$70,0),MATCH(ROUND(E1311*2,1)/2,神经网络!$G$8:$BO$8,0))</f>
        <v>-0.93517102942105479</v>
      </c>
      <c r="I1311">
        <f t="shared" si="150"/>
        <v>565.90933288130179</v>
      </c>
      <c r="J1311">
        <f t="shared" si="151"/>
        <v>252.1248154503011</v>
      </c>
      <c r="K1311">
        <f t="shared" si="152"/>
        <v>2.2445602265313465</v>
      </c>
      <c r="L1311" s="4">
        <f>MIN(MAX(L1310*(1+MAX(MIN(((B1311-B1310)/B1310)/($K$7*卓尔金历!$N$40),0),-卓尔金历!$M$43))+MIN(MAX(((B1311-B1310)/B1310)/($K$7*卓尔金历!$N$40),0),卓尔金历!$M$43),0),1)</f>
        <v>0.57242647004386937</v>
      </c>
      <c r="M1311" s="4">
        <f>MIN(MAX(M1310*(1+MAX(MIN(((B1311-B1310)/B1310)/($K$7*30),0),-卓尔金历!$M$43))+MIN(MAX(((B1311-B1310)/B1310)/($K$7*7),0),卓尔金历!$M$43),0),1)</f>
        <v>0.90576939009845181</v>
      </c>
      <c r="N1311">
        <f t="shared" si="153"/>
        <v>638.05357815478806</v>
      </c>
      <c r="O1311">
        <f t="shared" si="154"/>
        <v>1253.4967973865605</v>
      </c>
      <c r="P1311">
        <f t="shared" si="155"/>
        <v>-2.2423294961074411E-3</v>
      </c>
      <c r="Q1311">
        <f t="shared" si="146"/>
        <v>6.0032999399510116E-2</v>
      </c>
      <c r="R1311">
        <f t="shared" si="147"/>
        <v>1</v>
      </c>
      <c r="S1311">
        <f t="shared" si="149"/>
        <v>10.38620581791286</v>
      </c>
      <c r="T1311" s="564">
        <f>IF((I1311-MAX(I$470:I1311))/MAX(I$470:I1311)&gt;T1310,T1310,(I1311-MAX(I$470:I1311))/MAX(I$470:I1311))</f>
        <v>-0.91338805338419748</v>
      </c>
      <c r="U1311" s="564">
        <f>IF((J1311-MAX(J$470:J1311))/MAX(J$470:J1311)&gt;U1310,U1310,(J1311-MAX(J$470:J1311))/MAX(J$470:J1311))</f>
        <v>-0.70517826086956548</v>
      </c>
      <c r="V1311" s="564">
        <f>IF((K1311-MAX(K$470:K1311))/MAX(K$470:K1311)&gt;V1310,V1310,(K1311-MAX(K$470:K1311))/MAX(K$470:K1311))</f>
        <v>-0.84885940676762139</v>
      </c>
      <c r="W1311" s="564">
        <f>IF((N1311-MAX(N$470:N1311))/MAX(N$470:N1311)&gt;W1310,W1310,(N1311-MAX(N$470:N1311))/MAX(N$470:N1311))</f>
        <v>-0.62788758315546067</v>
      </c>
      <c r="X1311" s="564">
        <f>IF((O1311-MAX(O$470:O1311))/MAX(O$470:O1311)&gt;X1310,X1310,(O1311-MAX(O$470:O1311))/MAX(O$470:O1311))</f>
        <v>-0.62788758315546067</v>
      </c>
    </row>
    <row r="1312" spans="1:24">
      <c r="A1312" s="799">
        <v>41714</v>
      </c>
      <c r="B1312">
        <v>634.47</v>
      </c>
      <c r="C1312">
        <v>177.578551</v>
      </c>
      <c r="D1312">
        <v>1.919278</v>
      </c>
      <c r="E1312">
        <f>LN(D1312/参数实验室!$E$53)/参数实验室!$E$55</f>
        <v>7.6170740620432512E-2</v>
      </c>
      <c r="F1312">
        <f t="shared" si="148"/>
        <v>0.27988486610872065</v>
      </c>
      <c r="G1312">
        <f>LN(F1312/参数实验室!$E$58)/参数实验室!$E$59</f>
        <v>-0.85886706672080038</v>
      </c>
      <c r="H1312" s="856">
        <f>INDEX(神经网络!$G$10:$BO$70,MATCH(ROUND(G1312*2,1)/2,神经网络!$E$10:$E$70,0),MATCH(ROUND(E1312*2,1)/2,神经网络!$G$8:$BO$8,0))</f>
        <v>-0.93517102942105479</v>
      </c>
      <c r="I1312">
        <f t="shared" si="150"/>
        <v>563.71488534615776</v>
      </c>
      <c r="J1312">
        <f t="shared" si="151"/>
        <v>253.17026455448686</v>
      </c>
      <c r="K1312">
        <f t="shared" si="152"/>
        <v>2.2266235979100779</v>
      </c>
      <c r="L1312" s="4">
        <f>MIN(MAX(L1311*(1+MAX(MIN(((B1312-B1311)/B1311)/($K$7*卓尔金历!$N$40),0),-卓尔金历!$M$43))+MIN(MAX(((B1312-B1311)/B1311)/($K$7*卓尔金历!$N$40),0),卓尔金历!$M$43),0),1)</f>
        <v>0.63578183250977749</v>
      </c>
      <c r="M1312" s="4">
        <f>MIN(MAX(M1311*(1+MAX(MIN(((B1312-B1311)/B1311)/($K$7*30),0),-卓尔金历!$M$43))+MIN(MAX(((B1312-B1311)/B1311)/($K$7*7),0),卓尔金历!$M$43),0),1)</f>
        <v>1</v>
      </c>
      <c r="N1312">
        <f t="shared" si="153"/>
        <v>636.63727832646236</v>
      </c>
      <c r="O1312">
        <f t="shared" si="154"/>
        <v>1249.0940961616059</v>
      </c>
      <c r="P1312">
        <f t="shared" si="155"/>
        <v>4.146553770673426E-3</v>
      </c>
      <c r="Q1312">
        <f t="shared" si="146"/>
        <v>5.7672821427645377E-2</v>
      </c>
      <c r="R1312">
        <f t="shared" si="147"/>
        <v>1</v>
      </c>
      <c r="S1312">
        <f t="shared" si="149"/>
        <v>10.345930843756536</v>
      </c>
      <c r="T1312" s="564">
        <f>IF((I1312-MAX(I$470:I1312))/MAX(I$470:I1312)&gt;T1311,T1311,(I1312-MAX(I$470:I1312))/MAX(I$470:I1312))</f>
        <v>-0.91338805338419748</v>
      </c>
      <c r="U1312" s="564">
        <f>IF((J1312-MAX(J$470:J1312))/MAX(J$470:J1312)&gt;U1311,U1311,(J1312-MAX(J$470:J1312))/MAX(J$470:J1312))</f>
        <v>-0.70517826086956548</v>
      </c>
      <c r="V1312" s="564">
        <f>IF((K1312-MAX(K$470:K1312))/MAX(K$470:K1312)&gt;V1311,V1311,(K1312-MAX(K$470:K1312))/MAX(K$470:K1312))</f>
        <v>-0.84885940676762139</v>
      </c>
      <c r="W1312" s="564">
        <f>IF((N1312-MAX(N$470:N1312))/MAX(N$470:N1312)&gt;W1311,W1311,(N1312-MAX(N$470:N1312))/MAX(N$470:N1312))</f>
        <v>-0.62788758315546067</v>
      </c>
      <c r="X1312" s="564">
        <f>IF((O1312-MAX(O$470:O1312))/MAX(O$470:O1312)&gt;X1311,X1311,(O1312-MAX(O$470:O1312))/MAX(O$470:O1312))</f>
        <v>-0.62788758315546067</v>
      </c>
    </row>
    <row r="1313" spans="1:24">
      <c r="A1313" s="799">
        <v>41715</v>
      </c>
      <c r="B1313">
        <v>622.30999999999995</v>
      </c>
      <c r="C1313">
        <v>180.54724200000001</v>
      </c>
      <c r="D1313">
        <v>1.884422</v>
      </c>
      <c r="E1313">
        <f>LN(D1313/参数实验室!$E$53)/参数实验室!$E$55</f>
        <v>5.4548304482497693E-2</v>
      </c>
      <c r="F1313">
        <f t="shared" si="148"/>
        <v>0.29012428211020236</v>
      </c>
      <c r="G1313">
        <f>LN(F1313/参数实验室!$E$58)/参数实验室!$E$59</f>
        <v>-0.84000850248799697</v>
      </c>
      <c r="H1313" s="856">
        <f>INDEX(神经网络!$G$10:$BO$70,MATCH(ROUND(G1313*2,1)/2,神经网络!$E$10:$E$70,0),MATCH(ROUND(E1313*2,1)/2,神经网络!$G$8:$BO$8,0))</f>
        <v>-0.95229161268046825</v>
      </c>
      <c r="I1313">
        <f t="shared" si="150"/>
        <v>573.81841290189777</v>
      </c>
      <c r="J1313">
        <f t="shared" si="151"/>
        <v>248.31810382666274</v>
      </c>
      <c r="K1313">
        <f t="shared" si="152"/>
        <v>2.3108198881159665</v>
      </c>
      <c r="L1313" s="4">
        <f>MIN(MAX(L1312*(1+MAX(MIN(((B1313-B1312)/B1312)/($K$7*卓尔金历!$N$40),0),-卓尔金历!$M$43))+MIN(MAX(((B1313-B1312)/B1312)/($K$7*卓尔金历!$N$40),0),卓尔金历!$M$43),0),1)</f>
        <v>0.44960455502676883</v>
      </c>
      <c r="M1313" s="4">
        <f>MIN(MAX(M1312*(1+MAX(MIN(((B1313-B1312)/B1312)/($K$7*30),0),-卓尔金历!$M$43))+MIN(MAX(((B1313-B1312)/B1312)/($K$7*7),0),卓尔金历!$M$43),0),1)</f>
        <v>0.8535839906371141</v>
      </c>
      <c r="N1313">
        <f t="shared" si="153"/>
        <v>643.89188224844497</v>
      </c>
      <c r="O1313">
        <f t="shared" si="154"/>
        <v>1271.4817551508329</v>
      </c>
      <c r="P1313">
        <f t="shared" si="155"/>
        <v>-1.91656027865779E-2</v>
      </c>
      <c r="Q1313">
        <f t="shared" si="146"/>
        <v>5.6322081762403595E-2</v>
      </c>
      <c r="R1313">
        <f t="shared" si="147"/>
        <v>1</v>
      </c>
      <c r="S1313">
        <f t="shared" si="149"/>
        <v>10.531362167439761</v>
      </c>
      <c r="T1313" s="564">
        <f>IF((I1313-MAX(I$470:I1313))/MAX(I$470:I1313)&gt;T1312,T1312,(I1313-MAX(I$470:I1313))/MAX(I$470:I1313))</f>
        <v>-0.91338805338419748</v>
      </c>
      <c r="U1313" s="564">
        <f>IF((J1313-MAX(J$470:J1313))/MAX(J$470:J1313)&gt;U1312,U1312,(J1313-MAX(J$470:J1313))/MAX(J$470:J1313))</f>
        <v>-0.70517826086956548</v>
      </c>
      <c r="V1313" s="564">
        <f>IF((K1313-MAX(K$470:K1313))/MAX(K$470:K1313)&gt;V1312,V1312,(K1313-MAX(K$470:K1313))/MAX(K$470:K1313))</f>
        <v>-0.84885940676762139</v>
      </c>
      <c r="W1313" s="564">
        <f>IF((N1313-MAX(N$470:N1313))/MAX(N$470:N1313)&gt;W1312,W1312,(N1313-MAX(N$470:N1313))/MAX(N$470:N1313))</f>
        <v>-0.62788758315546067</v>
      </c>
      <c r="X1313" s="564">
        <f>IF((O1313-MAX(O$470:O1313))/MAX(O$470:O1313)&gt;X1312,X1312,(O1313-MAX(O$470:O1313))/MAX(O$470:O1313))</f>
        <v>-0.62788758315546067</v>
      </c>
    </row>
    <row r="1314" spans="1:24">
      <c r="A1314" s="799">
        <v>41716</v>
      </c>
      <c r="B1314">
        <v>616.98699999999997</v>
      </c>
      <c r="C1314">
        <v>186.12787299999999</v>
      </c>
      <c r="D1314">
        <v>1.8574219999999999</v>
      </c>
      <c r="E1314">
        <f>LN(D1314/参数实验室!$E$53)/参数实验室!$E$55</f>
        <v>3.752253300067937E-2</v>
      </c>
      <c r="F1314">
        <f t="shared" si="148"/>
        <v>0.30167227672544156</v>
      </c>
      <c r="G1314">
        <f>LN(F1314/参数实验室!$E$58)/参数实验室!$E$59</f>
        <v>-0.8195224721377723</v>
      </c>
      <c r="H1314" s="856">
        <f>INDEX(神经网络!$G$10:$BO$70,MATCH(ROUND(G1314*2,1)/2,神经网络!$E$10:$E$70,0),MATCH(ROUND(E1314*2,1)/2,神经网络!$G$8:$BO$8,0))</f>
        <v>-0.91536796704343837</v>
      </c>
      <c r="I1314">
        <f t="shared" si="150"/>
        <v>578.49247120757252</v>
      </c>
      <c r="J1314">
        <f t="shared" si="151"/>
        <v>246.19408642911279</v>
      </c>
      <c r="K1314">
        <f t="shared" si="152"/>
        <v>2.3497415376552482</v>
      </c>
      <c r="L1314" s="4">
        <f>MIN(MAX(L1313*(1+MAX(MIN(((B1314-B1313)/B1313)/($K$7*卓尔金历!$N$40),0),-卓尔金历!$M$43))+MIN(MAX(((B1314-B1313)/B1313)/($K$7*卓尔金历!$N$40),0),卓尔金历!$M$43),0),1)</f>
        <v>0.39084527479080766</v>
      </c>
      <c r="M1314" s="4">
        <f>MIN(MAX(M1313*(1+MAX(MIN(((B1314-B1313)/B1313)/($K$7*30),0),-卓尔金历!$M$43))+MIN(MAX(((B1314-B1313)/B1313)/($K$7*7),0),卓尔金历!$M$43),0),1)</f>
        <v>0.7978061072171051</v>
      </c>
      <c r="N1314">
        <f t="shared" si="153"/>
        <v>646.24998811108674</v>
      </c>
      <c r="O1314">
        <f t="shared" si="154"/>
        <v>1280.322239090629</v>
      </c>
      <c r="P1314">
        <f t="shared" si="155"/>
        <v>-8.5536147579180471E-3</v>
      </c>
      <c r="Q1314">
        <f t="shared" si="146"/>
        <v>4.637808821877925E-2</v>
      </c>
      <c r="R1314">
        <f t="shared" si="147"/>
        <v>1</v>
      </c>
      <c r="S1314">
        <f t="shared" si="149"/>
        <v>10.617145752807572</v>
      </c>
      <c r="T1314" s="564">
        <f>IF((I1314-MAX(I$470:I1314))/MAX(I$470:I1314)&gt;T1313,T1313,(I1314-MAX(I$470:I1314))/MAX(I$470:I1314))</f>
        <v>-0.91338805338419748</v>
      </c>
      <c r="U1314" s="564">
        <f>IF((J1314-MAX(J$470:J1314))/MAX(J$470:J1314)&gt;U1313,U1313,(J1314-MAX(J$470:J1314))/MAX(J$470:J1314))</f>
        <v>-0.70517826086956548</v>
      </c>
      <c r="V1314" s="564">
        <f>IF((K1314-MAX(K$470:K1314))/MAX(K$470:K1314)&gt;V1313,V1313,(K1314-MAX(K$470:K1314))/MAX(K$470:K1314))</f>
        <v>-0.84885940676762139</v>
      </c>
      <c r="W1314" s="564">
        <f>IF((N1314-MAX(N$470:N1314))/MAX(N$470:N1314)&gt;W1313,W1313,(N1314-MAX(N$470:N1314))/MAX(N$470:N1314))</f>
        <v>-0.62788758315546067</v>
      </c>
      <c r="X1314" s="564">
        <f>IF((O1314-MAX(O$470:O1314))/MAX(O$470:O1314)&gt;X1313,X1313,(O1314-MAX(O$470:O1314))/MAX(O$470:O1314))</f>
        <v>-0.62788758315546067</v>
      </c>
    </row>
    <row r="1315" spans="1:24">
      <c r="A1315" s="799">
        <v>41717</v>
      </c>
      <c r="B1315">
        <v>616.97299999999996</v>
      </c>
      <c r="C1315">
        <v>185.75930600000001</v>
      </c>
      <c r="D1315">
        <v>1.8453390000000001</v>
      </c>
      <c r="E1315">
        <f>LN(D1315/参数实验室!$E$53)/参数实验室!$E$55</f>
        <v>2.9822868319998773E-2</v>
      </c>
      <c r="F1315">
        <f t="shared" si="148"/>
        <v>0.30108174263703602</v>
      </c>
      <c r="G1315">
        <f>LN(F1315/参数实验室!$E$58)/参数实验室!$E$59</f>
        <v>-0.82055089930072389</v>
      </c>
      <c r="H1315" s="856">
        <f>INDEX(神经网络!$G$10:$BO$70,MATCH(ROUND(G1315*2,1)/2,神经网络!$E$10:$E$70,0),MATCH(ROUND(E1315*2,1)/2,神经网络!$G$8:$BO$8,0))</f>
        <v>-0.91536796704343837</v>
      </c>
      <c r="I1315">
        <f t="shared" si="150"/>
        <v>578.50448680706245</v>
      </c>
      <c r="J1315">
        <f t="shared" si="151"/>
        <v>246.18850005985379</v>
      </c>
      <c r="K1315">
        <f t="shared" si="152"/>
        <v>2.3498436631541093</v>
      </c>
      <c r="L1315" s="4">
        <f>MIN(MAX(L1314*(1+MAX(MIN(((B1315-B1314)/B1314)/($K$7*卓尔金历!$N$40),0),-卓尔金历!$M$43))+MIN(MAX(((B1315-B1314)/B1314)/($K$7*卓尔金历!$N$40),0),卓尔金历!$M$43),0),1)</f>
        <v>0.39070977052530909</v>
      </c>
      <c r="M1315" s="4">
        <f>MIN(MAX(M1314*(1+MAX(MIN(((B1315-B1314)/B1314)/($K$7*30),0),-卓尔金历!$M$43))+MIN(MAX(((B1315-B1314)/B1314)/($K$7*7),0),卓尔金历!$M$43),0),1)</f>
        <v>0.79766780935661985</v>
      </c>
      <c r="N1315">
        <f t="shared" si="153"/>
        <v>646.25523441139148</v>
      </c>
      <c r="O1315">
        <f t="shared" si="154"/>
        <v>1280.3434551332075</v>
      </c>
      <c r="P1315">
        <f t="shared" si="155"/>
        <v>-2.2690915691918962E-5</v>
      </c>
      <c r="Q1315">
        <f t="shared" si="146"/>
        <v>3.7788210045499038E-2</v>
      </c>
      <c r="R1315">
        <f t="shared" si="147"/>
        <v>1</v>
      </c>
      <c r="S1315">
        <f t="shared" si="149"/>
        <v>10.617366276630165</v>
      </c>
      <c r="T1315" s="564">
        <f>IF((I1315-MAX(I$470:I1315))/MAX(I$470:I1315)&gt;T1314,T1314,(I1315-MAX(I$470:I1315))/MAX(I$470:I1315))</f>
        <v>-0.91338805338419748</v>
      </c>
      <c r="U1315" s="564">
        <f>IF((J1315-MAX(J$470:J1315))/MAX(J$470:J1315)&gt;U1314,U1314,(J1315-MAX(J$470:J1315))/MAX(J$470:J1315))</f>
        <v>-0.70517826086956548</v>
      </c>
      <c r="V1315" s="564">
        <f>IF((K1315-MAX(K$470:K1315))/MAX(K$470:K1315)&gt;V1314,V1314,(K1315-MAX(K$470:K1315))/MAX(K$470:K1315))</f>
        <v>-0.84885940676762139</v>
      </c>
      <c r="W1315" s="564">
        <f>IF((N1315-MAX(N$470:N1315))/MAX(N$470:N1315)&gt;W1314,W1314,(N1315-MAX(N$470:N1315))/MAX(N$470:N1315))</f>
        <v>-0.62788758315546067</v>
      </c>
      <c r="X1315" s="564">
        <f>IF((O1315-MAX(O$470:O1315))/MAX(O$470:O1315)&gt;X1314,X1314,(O1315-MAX(O$470:O1315))/MAX(O$470:O1315))</f>
        <v>-0.62788758315546067</v>
      </c>
    </row>
    <row r="1316" spans="1:24">
      <c r="A1316" s="799">
        <v>41718</v>
      </c>
      <c r="B1316">
        <v>603.70299999999997</v>
      </c>
      <c r="C1316">
        <v>184.408818</v>
      </c>
      <c r="D1316">
        <v>1.774777</v>
      </c>
      <c r="E1316">
        <f>LN(D1316/参数实验室!$E$53)/参数实验室!$E$55</f>
        <v>-1.6173609781281073E-2</v>
      </c>
      <c r="F1316">
        <f t="shared" si="148"/>
        <v>0.30546281532475406</v>
      </c>
      <c r="G1316">
        <f>LN(F1316/参数实验室!$E$58)/参数实验室!$E$59</f>
        <v>-0.81296872360537109</v>
      </c>
      <c r="H1316" s="856">
        <f>INDEX(神经网络!$G$10:$BO$70,MATCH(ROUND(G1316*2,1)/2,神经网络!$E$10:$E$70,0),MATCH(ROUND(E1316*2,1)/2,神经网络!$G$8:$BO$8,0))</f>
        <v>-0.93565819066407163</v>
      </c>
      <c r="I1316">
        <f t="shared" si="150"/>
        <v>589.89405360610715</v>
      </c>
      <c r="J1316">
        <f t="shared" si="151"/>
        <v>240.89342005506546</v>
      </c>
      <c r="K1316">
        <f t="shared" si="152"/>
        <v>2.4487761163059751</v>
      </c>
      <c r="L1316" s="4">
        <f>MIN(MAX(L1315*(1+MAX(MIN(((B1316-B1315)/B1315)/($K$7*卓尔金历!$N$40),0),-卓尔金历!$M$43))+MIN(MAX(((B1316-B1315)/B1315)/($K$7*卓尔金历!$N$40),0),卓尔金历!$M$43),0),1)</f>
        <v>0.26231270024162923</v>
      </c>
      <c r="M1316" s="4">
        <f>MIN(MAX(M1315*(1+MAX(MIN(((B1316-B1315)/B1315)/($K$7*30),0),-卓尔金历!$M$43))+MIN(MAX(((B1316-B1315)/B1315)/($K$7*7),0),卓尔金历!$M$43),0),1)</f>
        <v>0.66660094399094239</v>
      </c>
      <c r="N1316">
        <f t="shared" si="153"/>
        <v>651.22640675700666</v>
      </c>
      <c r="O1316">
        <f t="shared" si="154"/>
        <v>1300.4505360771393</v>
      </c>
      <c r="P1316">
        <f t="shared" si="155"/>
        <v>-2.1508234558076256E-2</v>
      </c>
      <c r="Q1316">
        <f t="shared" si="146"/>
        <v>3.768978101252099E-2</v>
      </c>
      <c r="R1316">
        <f t="shared" si="147"/>
        <v>0.61993875736960991</v>
      </c>
      <c r="S1316">
        <f t="shared" si="149"/>
        <v>10.826400441784244</v>
      </c>
      <c r="T1316" s="564">
        <f>IF((I1316-MAX(I$470:I1316))/MAX(I$470:I1316)&gt;T1315,T1315,(I1316-MAX(I$470:I1316))/MAX(I$470:I1316))</f>
        <v>-0.91338805338419748</v>
      </c>
      <c r="U1316" s="564">
        <f>IF((J1316-MAX(J$470:J1316))/MAX(J$470:J1316)&gt;U1315,U1315,(J1316-MAX(J$470:J1316))/MAX(J$470:J1316))</f>
        <v>-0.70517826086956548</v>
      </c>
      <c r="V1316" s="564">
        <f>IF((K1316-MAX(K$470:K1316))/MAX(K$470:K1316)&gt;V1315,V1315,(K1316-MAX(K$470:K1316))/MAX(K$470:K1316))</f>
        <v>-0.84885940676762139</v>
      </c>
      <c r="W1316" s="564">
        <f>IF((N1316-MAX(N$470:N1316))/MAX(N$470:N1316)&gt;W1315,W1315,(N1316-MAX(N$470:N1316))/MAX(N$470:N1316))</f>
        <v>-0.62788758315546067</v>
      </c>
      <c r="X1316" s="564">
        <f>IF((O1316-MAX(O$470:O1316))/MAX(O$470:O1316)&gt;X1315,X1315,(O1316-MAX(O$470:O1316))/MAX(O$470:O1316))</f>
        <v>-0.62788758315546067</v>
      </c>
    </row>
    <row r="1317" spans="1:24">
      <c r="A1317" s="799">
        <v>41719</v>
      </c>
      <c r="B1317">
        <v>600.58900000000006</v>
      </c>
      <c r="C1317">
        <v>186.198095</v>
      </c>
      <c r="D1317">
        <v>1.717862</v>
      </c>
      <c r="E1317">
        <f>LN(D1317/参数实验室!$E$53)/参数实验室!$E$55</f>
        <v>-5.4626825435355304E-2</v>
      </c>
      <c r="F1317">
        <f t="shared" si="148"/>
        <v>0.31002581632364223</v>
      </c>
      <c r="G1317">
        <f>LN(F1317/参数实验室!$E$58)/参数实验室!$E$59</f>
        <v>-0.80518644046530696</v>
      </c>
      <c r="H1317" s="856">
        <f>INDEX(神经网络!$G$10:$BO$70,MATCH(ROUND(G1317*2,1)/2,神经网络!$E$10:$E$70,0),MATCH(ROUND(E1317*2,1)/2,神经网络!$G$8:$BO$8,0))</f>
        <v>-0.95257482651477821</v>
      </c>
      <c r="I1317">
        <f t="shared" si="150"/>
        <v>592.74104737252878</v>
      </c>
      <c r="J1317">
        <f t="shared" si="151"/>
        <v>239.65085192131184</v>
      </c>
      <c r="K1317">
        <f t="shared" si="152"/>
        <v>2.4733525569404291</v>
      </c>
      <c r="L1317" s="4">
        <f>MIN(MAX(L1316*(1+MAX(MIN(((B1317-B1316)/B1316)/($K$7*卓尔金历!$N$40),0),-卓尔金历!$M$43))+MIN(MAX(((B1317-B1316)/B1316)/($K$7*卓尔金历!$N$40),0),卓尔金历!$M$43),0),1)</f>
        <v>0.24163935912274456</v>
      </c>
      <c r="M1317" s="4">
        <f>MIN(MAX(M1316*(1+MAX(MIN(((B1317-B1316)/B1316)/($K$7*30),0),-卓尔金历!$M$43))+MIN(MAX(((B1317-B1316)/B1316)/($K$7*7),0),卓尔金历!$M$43),0),1)</f>
        <v>0.64033292743550863</v>
      </c>
      <c r="N1317">
        <f t="shared" si="153"/>
        <v>652.0508558006884</v>
      </c>
      <c r="O1317">
        <f t="shared" si="154"/>
        <v>1304.6343490315455</v>
      </c>
      <c r="P1317">
        <f t="shared" si="155"/>
        <v>-5.1581655217878978E-3</v>
      </c>
      <c r="Q1317">
        <f t="shared" si="146"/>
        <v>3.7469973998748247E-2</v>
      </c>
      <c r="R1317">
        <f t="shared" si="147"/>
        <v>1</v>
      </c>
      <c r="S1317">
        <f t="shared" si="149"/>
        <v>10.858793009320799</v>
      </c>
      <c r="T1317" s="564">
        <f>IF((I1317-MAX(I$470:I1317))/MAX(I$470:I1317)&gt;T1316,T1316,(I1317-MAX(I$470:I1317))/MAX(I$470:I1317))</f>
        <v>-0.91338805338419748</v>
      </c>
      <c r="U1317" s="564">
        <f>IF((J1317-MAX(J$470:J1317))/MAX(J$470:J1317)&gt;U1316,U1316,(J1317-MAX(J$470:J1317))/MAX(J$470:J1317))</f>
        <v>-0.70517826086956548</v>
      </c>
      <c r="V1317" s="564">
        <f>IF((K1317-MAX(K$470:K1317))/MAX(K$470:K1317)&gt;V1316,V1316,(K1317-MAX(K$470:K1317))/MAX(K$470:K1317))</f>
        <v>-0.84885940676762139</v>
      </c>
      <c r="W1317" s="564">
        <f>IF((N1317-MAX(N$470:N1317))/MAX(N$470:N1317)&gt;W1316,W1316,(N1317-MAX(N$470:N1317))/MAX(N$470:N1317))</f>
        <v>-0.62788758315546067</v>
      </c>
      <c r="X1317" s="564">
        <f>IF((O1317-MAX(O$470:O1317))/MAX(O$470:O1317)&gt;X1316,X1316,(O1317-MAX(O$470:O1317))/MAX(O$470:O1317))</f>
        <v>-0.62788758315546067</v>
      </c>
    </row>
    <row r="1318" spans="1:24">
      <c r="A1318" s="799">
        <v>41720</v>
      </c>
      <c r="B1318">
        <v>565.67700000000002</v>
      </c>
      <c r="C1318">
        <v>187.19447</v>
      </c>
      <c r="D1318">
        <v>1.7024790000000001</v>
      </c>
      <c r="E1318">
        <f>LN(D1318/参数实验室!$E$53)/参数实验室!$E$55</f>
        <v>-6.5238788697304678E-2</v>
      </c>
      <c r="F1318">
        <f t="shared" si="148"/>
        <v>0.33092112636716708</v>
      </c>
      <c r="G1318">
        <f>LN(F1318/参数实验室!$E$58)/参数实验室!$E$59</f>
        <v>-0.77095310549773066</v>
      </c>
      <c r="H1318" s="856">
        <f>INDEX(神经网络!$G$10:$BO$70,MATCH(ROUND(G1318*2,1)/2,神经网络!$E$10:$E$70,0),MATCH(ROUND(E1318*2,1)/2,神经网络!$G$8:$BO$8,0))</f>
        <v>-0.91560454467627084</v>
      </c>
      <c r="I1318">
        <f t="shared" si="150"/>
        <v>625.56277663377932</v>
      </c>
      <c r="J1318">
        <f t="shared" si="151"/>
        <v>225.72004309484839</v>
      </c>
      <c r="K1318">
        <f t="shared" si="152"/>
        <v>2.771409964559131</v>
      </c>
      <c r="L1318" s="4">
        <f>MIN(MAX(L1317*(1+MAX(MIN(((B1318-B1317)/B1317)/($K$7*卓尔金历!$N$40),0),-卓尔金历!$M$43))+MIN(MAX(((B1318-B1317)/B1317)/($K$7*卓尔金历!$N$40),0),卓尔金历!$M$43),0),1)</f>
        <v>2.7023847052654409E-2</v>
      </c>
      <c r="M1318" s="4">
        <f>MIN(MAX(M1317*(1+MAX(MIN(((B1318-B1317)/B1317)/($K$7*30),0),-卓尔金历!$M$43))+MIN(MAX(((B1318-B1317)/B1317)/($K$7*7),0),卓尔金历!$M$43),0),1)</f>
        <v>0.35597242504089638</v>
      </c>
      <c r="N1318">
        <f t="shared" si="153"/>
        <v>660.77545731127941</v>
      </c>
      <c r="O1318">
        <f t="shared" si="154"/>
        <v>1350.8928014223632</v>
      </c>
      <c r="P1318">
        <f t="shared" si="155"/>
        <v>-5.8129602773277618E-2</v>
      </c>
      <c r="Q1318">
        <f t="shared" si="146"/>
        <v>3.9334954494725134E-2</v>
      </c>
      <c r="R1318">
        <f t="shared" si="147"/>
        <v>2.2835644847988553E-2</v>
      </c>
      <c r="S1318">
        <f t="shared" si="149"/>
        <v>11.460074742441421</v>
      </c>
      <c r="T1318" s="564">
        <f>IF((I1318-MAX(I$470:I1318))/MAX(I$470:I1318)&gt;T1317,T1317,(I1318-MAX(I$470:I1318))/MAX(I$470:I1318))</f>
        <v>-0.91338805338419748</v>
      </c>
      <c r="U1318" s="564">
        <f>IF((J1318-MAX(J$470:J1318))/MAX(J$470:J1318)&gt;U1317,U1317,(J1318-MAX(J$470:J1318))/MAX(J$470:J1318))</f>
        <v>-0.70517826086956548</v>
      </c>
      <c r="V1318" s="564">
        <f>IF((K1318-MAX(K$470:K1318))/MAX(K$470:K1318)&gt;V1317,V1317,(K1318-MAX(K$470:K1318))/MAX(K$470:K1318))</f>
        <v>-0.84885940676762139</v>
      </c>
      <c r="W1318" s="564">
        <f>IF((N1318-MAX(N$470:N1318))/MAX(N$470:N1318)&gt;W1317,W1317,(N1318-MAX(N$470:N1318))/MAX(N$470:N1318))</f>
        <v>-0.62788758315546067</v>
      </c>
      <c r="X1318" s="564">
        <f>IF((O1318-MAX(O$470:O1318))/MAX(O$470:O1318)&gt;X1317,X1317,(O1318-MAX(O$470:O1318))/MAX(O$470:O1318))</f>
        <v>-0.62788758315546067</v>
      </c>
    </row>
    <row r="1319" spans="1:24">
      <c r="A1319" s="799">
        <v>41721</v>
      </c>
      <c r="B1319">
        <v>567.01199999999994</v>
      </c>
      <c r="C1319">
        <v>180.59465700000001</v>
      </c>
      <c r="D1319">
        <v>1.685365</v>
      </c>
      <c r="E1319">
        <f>LN(D1319/参数实验室!$E$53)/参数实验室!$E$55</f>
        <v>-7.7158150251401422E-2</v>
      </c>
      <c r="F1319">
        <f t="shared" si="148"/>
        <v>0.31850235444752495</v>
      </c>
      <c r="G1319">
        <f>LN(F1319/参数实验室!$E$58)/参数实验室!$E$59</f>
        <v>-0.79102887277514933</v>
      </c>
      <c r="H1319" s="856">
        <f>INDEX(神经网络!$G$10:$BO$70,MATCH(ROUND(G1319*2,1)/2,神经网络!$E$10:$E$70,0),MATCH(ROUND(E1319*2,1)/2,神经网络!$G$8:$BO$8,0))</f>
        <v>-0.97128922450574584</v>
      </c>
      <c r="I1319">
        <f t="shared" si="150"/>
        <v>624.21104155900991</v>
      </c>
      <c r="J1319">
        <f t="shared" si="151"/>
        <v>226.25274330633235</v>
      </c>
      <c r="K1319">
        <f t="shared" si="152"/>
        <v>2.7589103780008819</v>
      </c>
      <c r="L1319" s="4">
        <f>MIN(MAX(L1318*(1+MAX(MIN(((B1319-B1318)/B1318)/($K$7*卓尔金历!$N$40),0),-卓尔金历!$M$43))+MIN(MAX(((B1319-B1318)/B1318)/($K$7*卓尔金历!$N$40),0),卓尔金历!$M$43),0),1)</f>
        <v>6.3082443913293054E-2</v>
      </c>
      <c r="M1319" s="4">
        <f>MIN(MAX(M1318*(1+MAX(MIN(((B1319-B1318)/B1318)/($K$7*30),0),-卓尔金历!$M$43))+MIN(MAX(((B1319-B1318)/B1318)/($K$7*7),0),卓尔金历!$M$43),0),1)</f>
        <v>0.43324084688512204</v>
      </c>
      <c r="N1319">
        <f t="shared" si="153"/>
        <v>660.73687202182487</v>
      </c>
      <c r="O1319">
        <f t="shared" si="154"/>
        <v>1349.8537000246815</v>
      </c>
      <c r="P1319">
        <f t="shared" si="155"/>
        <v>2.3600040305685448E-3</v>
      </c>
      <c r="Q1319">
        <f t="shared" si="146"/>
        <v>3.9327100524999374E-2</v>
      </c>
      <c r="R1319">
        <f t="shared" si="147"/>
        <v>1</v>
      </c>
      <c r="S1319">
        <f t="shared" si="149"/>
        <v>11.459509257018112</v>
      </c>
      <c r="T1319" s="564">
        <f>IF((I1319-MAX(I$470:I1319))/MAX(I$470:I1319)&gt;T1318,T1318,(I1319-MAX(I$470:I1319))/MAX(I$470:I1319))</f>
        <v>-0.91338805338419748</v>
      </c>
      <c r="U1319" s="564">
        <f>IF((J1319-MAX(J$470:J1319))/MAX(J$470:J1319)&gt;U1318,U1318,(J1319-MAX(J$470:J1319))/MAX(J$470:J1319))</f>
        <v>-0.70517826086956548</v>
      </c>
      <c r="V1319" s="564">
        <f>IF((K1319-MAX(K$470:K1319))/MAX(K$470:K1319)&gt;V1318,V1318,(K1319-MAX(K$470:K1319))/MAX(K$470:K1319))</f>
        <v>-0.84885940676762139</v>
      </c>
      <c r="W1319" s="564">
        <f>IF((N1319-MAX(N$470:N1319))/MAX(N$470:N1319)&gt;W1318,W1318,(N1319-MAX(N$470:N1319))/MAX(N$470:N1319))</f>
        <v>-0.62788758315546067</v>
      </c>
      <c r="X1319" s="564">
        <f>IF((O1319-MAX(O$470:O1319))/MAX(O$470:O1319)&gt;X1318,X1318,(O1319-MAX(O$470:O1319))/MAX(O$470:O1319))</f>
        <v>-0.62788758315546067</v>
      </c>
    </row>
    <row r="1320" spans="1:24">
      <c r="A1320" s="799">
        <v>41722</v>
      </c>
      <c r="B1320">
        <v>556.21400000000006</v>
      </c>
      <c r="C1320">
        <v>179.95344299999999</v>
      </c>
      <c r="D1320">
        <v>1.7626440000000001</v>
      </c>
      <c r="E1320">
        <f>LN(D1320/参数实验室!$E$53)/参数实验室!$E$55</f>
        <v>-2.4266512627893651E-2</v>
      </c>
      <c r="F1320">
        <f t="shared" si="148"/>
        <v>0.32353274638897972</v>
      </c>
      <c r="G1320">
        <f>LN(F1320/参数实验室!$E$58)/参数实验室!$E$59</f>
        <v>-0.78280416489357996</v>
      </c>
      <c r="H1320" s="856">
        <f>INDEX(神经网络!$G$10:$BO$70,MATCH(ROUND(G1320*2,1)/2,神经网络!$E$10:$E$70,0),MATCH(ROUND(E1320*2,1)/2,神经网络!$G$8:$BO$8,0))</f>
        <v>-0.93565819066407163</v>
      </c>
      <c r="I1320">
        <f t="shared" si="150"/>
        <v>635.75702925011296</v>
      </c>
      <c r="J1320">
        <f t="shared" si="151"/>
        <v>221.94405650213466</v>
      </c>
      <c r="K1320">
        <f t="shared" si="152"/>
        <v>2.8644922475948271</v>
      </c>
      <c r="L1320" s="4">
        <f>MIN(MAX(L1319*(1+MAX(MIN(((B1320-B1319)/B1319)/($K$7*卓尔金历!$N$40),0),-卓尔金历!$M$43))+MIN(MAX(((B1320-B1319)/B1319)/($K$7*卓尔金历!$N$40),0),卓尔金历!$M$43),0),1)</f>
        <v>4.4727390121751601E-2</v>
      </c>
      <c r="M1320" s="4">
        <f>MIN(MAX(M1319*(1+MAX(MIN(((B1320-B1319)/B1319)/($K$7*30),0),-卓尔金历!$M$43))+MIN(MAX(((B1320-B1319)/B1319)/($K$7*7),0),卓尔金历!$M$43),0),1)</f>
        <v>0.37021095650706654</v>
      </c>
      <c r="N1320">
        <f t="shared" si="153"/>
        <v>661.50784063319838</v>
      </c>
      <c r="O1320">
        <f t="shared" si="154"/>
        <v>1360.670921981646</v>
      </c>
      <c r="P1320">
        <f t="shared" si="155"/>
        <v>-1.9043688669728134E-2</v>
      </c>
      <c r="Q1320">
        <f t="shared" si="146"/>
        <v>3.925847445657487E-2</v>
      </c>
      <c r="R1320">
        <f t="shared" si="147"/>
        <v>0.79120915467697106</v>
      </c>
      <c r="S1320">
        <f t="shared" si="149"/>
        <v>11.671474992992849</v>
      </c>
      <c r="T1320" s="564">
        <f>IF((I1320-MAX(I$470:I1320))/MAX(I$470:I1320)&gt;T1319,T1319,(I1320-MAX(I$470:I1320))/MAX(I$470:I1320))</f>
        <v>-0.91338805338419748</v>
      </c>
      <c r="U1320" s="564">
        <f>IF((J1320-MAX(J$470:J1320))/MAX(J$470:J1320)&gt;U1319,U1319,(J1320-MAX(J$470:J1320))/MAX(J$470:J1320))</f>
        <v>-0.70517826086956548</v>
      </c>
      <c r="V1320" s="564">
        <f>IF((K1320-MAX(K$470:K1320))/MAX(K$470:K1320)&gt;V1319,V1319,(K1320-MAX(K$470:K1320))/MAX(K$470:K1320))</f>
        <v>-0.84885940676762139</v>
      </c>
      <c r="W1320" s="564">
        <f>IF((N1320-MAX(N$470:N1320))/MAX(N$470:N1320)&gt;W1319,W1319,(N1320-MAX(N$470:N1320))/MAX(N$470:N1320))</f>
        <v>-0.62788758315546067</v>
      </c>
      <c r="X1320" s="564">
        <f>IF((O1320-MAX(O$470:O1320))/MAX(O$470:O1320)&gt;X1319,X1319,(O1320-MAX(O$470:O1320))/MAX(O$470:O1320))</f>
        <v>-0.62788758315546067</v>
      </c>
    </row>
    <row r="1321" spans="1:24">
      <c r="A1321" s="799">
        <v>41723</v>
      </c>
      <c r="B1321">
        <v>573.04100000000005</v>
      </c>
      <c r="C1321">
        <v>181.32431099999999</v>
      </c>
      <c r="D1321">
        <v>1.757242</v>
      </c>
      <c r="E1321">
        <f>LN(D1321/参数实验室!$E$53)/参数实验室!$E$55</f>
        <v>-2.7887670828741447E-2</v>
      </c>
      <c r="F1321">
        <f t="shared" si="148"/>
        <v>0.3164246729291621</v>
      </c>
      <c r="G1321">
        <f>LN(F1321/参数实验室!$E$58)/参数实验室!$E$59</f>
        <v>-0.79446386101933175</v>
      </c>
      <c r="H1321" s="856">
        <f>INDEX(神经网络!$G$10:$BO$70,MATCH(ROUND(G1321*2,1)/2,神经网络!$E$10:$E$70,0),MATCH(ROUND(E1321*2,1)/2,神经网络!$G$8:$BO$8,0))</f>
        <v>-0.95257482651477821</v>
      </c>
      <c r="I1321">
        <f t="shared" si="150"/>
        <v>617.76114574353142</v>
      </c>
      <c r="J1321">
        <f t="shared" si="151"/>
        <v>228.65847332508665</v>
      </c>
      <c r="K1321">
        <f t="shared" si="152"/>
        <v>2.7016761581594775</v>
      </c>
      <c r="L1321" s="4">
        <f>MIN(MAX(L1320*(1+MAX(MIN(((B1321-B1320)/B1320)/($K$7*卓尔金历!$N$40),0),-卓尔金历!$M$43))+MIN(MAX(((B1321-B1320)/B1320)/($K$7*卓尔金历!$N$40),0),卓尔金历!$M$43),0),1)</f>
        <v>0.50696029388913733</v>
      </c>
      <c r="M1321" s="4">
        <f>MIN(MAX(M1320*(1+MAX(MIN(((B1321-B1320)/B1320)/($K$7*30),0),-卓尔金历!$M$43))+MIN(MAX(((B1321-B1320)/B1320)/($K$7*7),0),卓尔金历!$M$43),0),1)</f>
        <v>1</v>
      </c>
      <c r="N1321">
        <f t="shared" si="153"/>
        <v>660.67032956325625</v>
      </c>
      <c r="O1321">
        <f t="shared" si="154"/>
        <v>1346.4120761281595</v>
      </c>
      <c r="P1321">
        <f t="shared" si="155"/>
        <v>3.0252744447281075E-2</v>
      </c>
      <c r="Q1321">
        <f t="shared" si="146"/>
        <v>2.0137016972832104E-2</v>
      </c>
      <c r="R1321">
        <f t="shared" si="147"/>
        <v>2.3279209715708134E-2</v>
      </c>
      <c r="S1321">
        <f t="shared" si="149"/>
        <v>11.410078925297412</v>
      </c>
      <c r="T1321" s="564">
        <f>IF((I1321-MAX(I$470:I1321))/MAX(I$470:I1321)&gt;T1320,T1320,(I1321-MAX(I$470:I1321))/MAX(I$470:I1321))</f>
        <v>-0.91338805338419748</v>
      </c>
      <c r="U1321" s="564">
        <f>IF((J1321-MAX(J$470:J1321))/MAX(J$470:J1321)&gt;U1320,U1320,(J1321-MAX(J$470:J1321))/MAX(J$470:J1321))</f>
        <v>-0.70517826086956548</v>
      </c>
      <c r="V1321" s="564">
        <f>IF((K1321-MAX(K$470:K1321))/MAX(K$470:K1321)&gt;V1320,V1320,(K1321-MAX(K$470:K1321))/MAX(K$470:K1321))</f>
        <v>-0.84885940676762139</v>
      </c>
      <c r="W1321" s="564">
        <f>IF((N1321-MAX(N$470:N1321))/MAX(N$470:N1321)&gt;W1320,W1320,(N1321-MAX(N$470:N1321))/MAX(N$470:N1321))</f>
        <v>-0.62788758315546067</v>
      </c>
      <c r="X1321" s="564">
        <f>IF((O1321-MAX(O$470:O1321))/MAX(O$470:O1321)&gt;X1320,X1320,(O1321-MAX(O$470:O1321))/MAX(O$470:O1321))</f>
        <v>-0.62788758315546067</v>
      </c>
    </row>
    <row r="1322" spans="1:24">
      <c r="A1322" s="799">
        <v>41724</v>
      </c>
      <c r="B1322">
        <v>584.44200000000001</v>
      </c>
      <c r="C1322">
        <v>185.02938499999999</v>
      </c>
      <c r="D1322">
        <v>1.7431410000000001</v>
      </c>
      <c r="E1322">
        <f>LN(D1322/参数实验室!$E$53)/参数实验室!$E$55</f>
        <v>-3.7392796686650784E-2</v>
      </c>
      <c r="F1322">
        <f t="shared" si="148"/>
        <v>0.31659152661855239</v>
      </c>
      <c r="G1322">
        <f>LN(F1322/参数实验室!$E$58)/参数实验室!$E$59</f>
        <v>-0.79418717351727319</v>
      </c>
      <c r="H1322" s="856">
        <f>INDEX(神经网络!$G$10:$BO$70,MATCH(ROUND(G1322*2,1)/2,神经网络!$E$10:$E$70,0),MATCH(ROUND(E1322*2,1)/2,神经网络!$G$8:$BO$8,0))</f>
        <v>-0.95257482651477821</v>
      </c>
      <c r="I1322">
        <f t="shared" si="150"/>
        <v>606.05330140292358</v>
      </c>
      <c r="J1322">
        <f t="shared" si="151"/>
        <v>233.20777303379739</v>
      </c>
      <c r="K1322">
        <f t="shared" si="152"/>
        <v>2.5987697301800141</v>
      </c>
      <c r="L1322" s="4">
        <f>MIN(MAX(L1321*(1+MAX(MIN(((B1322-B1321)/B1321)/($K$7*卓尔金历!$N$40),0),-卓尔金历!$M$43))+MIN(MAX(((B1322-B1321)/B1321)/($K$7*卓尔金历!$N$40),0),卓尔金历!$M$43),0),1)</f>
        <v>0.81094611563444285</v>
      </c>
      <c r="M1322" s="4">
        <f>MIN(MAX(M1321*(1+MAX(MIN(((B1322-B1321)/B1321)/($K$7*30),0),-卓尔金历!$M$43))+MIN(MAX(((B1322-B1321)/B1321)/($K$7*7),0),卓尔金历!$M$43),0),1)</f>
        <v>1</v>
      </c>
      <c r="N1322">
        <f t="shared" si="153"/>
        <v>654.32264847908846</v>
      </c>
      <c r="O1322">
        <f t="shared" si="154"/>
        <v>1320.8947979467189</v>
      </c>
      <c r="P1322">
        <f t="shared" si="155"/>
        <v>1.9895609563713508E-2</v>
      </c>
      <c r="Q1322">
        <f t="shared" si="146"/>
        <v>2.0842806594604236E-2</v>
      </c>
      <c r="R1322">
        <f t="shared" si="147"/>
        <v>6.7583384393777063E-2</v>
      </c>
      <c r="S1322">
        <f t="shared" si="149"/>
        <v>11.405044925065193</v>
      </c>
      <c r="T1322" s="564">
        <f>IF((I1322-MAX(I$470:I1322))/MAX(I$470:I1322)&gt;T1321,T1321,(I1322-MAX(I$470:I1322))/MAX(I$470:I1322))</f>
        <v>-0.91338805338419748</v>
      </c>
      <c r="U1322" s="564">
        <f>IF((J1322-MAX(J$470:J1322))/MAX(J$470:J1322)&gt;U1321,U1321,(J1322-MAX(J$470:J1322))/MAX(J$470:J1322))</f>
        <v>-0.70517826086956548</v>
      </c>
      <c r="V1322" s="564">
        <f>IF((K1322-MAX(K$470:K1322))/MAX(K$470:K1322)&gt;V1321,V1321,(K1322-MAX(K$470:K1322))/MAX(K$470:K1322))</f>
        <v>-0.84885940676762139</v>
      </c>
      <c r="W1322" s="564">
        <f>IF((N1322-MAX(N$470:N1322))/MAX(N$470:N1322)&gt;W1321,W1321,(N1322-MAX(N$470:N1322))/MAX(N$470:N1322))</f>
        <v>-0.62788758315546067</v>
      </c>
      <c r="X1322" s="564">
        <f>IF((O1322-MAX(O$470:O1322))/MAX(O$470:O1322)&gt;X1321,X1321,(O1322-MAX(O$470:O1322))/MAX(O$470:O1322))</f>
        <v>-0.62788758315546067</v>
      </c>
    </row>
    <row r="1323" spans="1:24">
      <c r="A1323" s="799">
        <v>41725</v>
      </c>
      <c r="B1323">
        <v>543.197</v>
      </c>
      <c r="C1323">
        <v>183.90572900000001</v>
      </c>
      <c r="D1323">
        <v>1.4579439999999999</v>
      </c>
      <c r="E1323">
        <f>LN(D1323/参数实验室!$E$53)/参数实验室!$E$55</f>
        <v>-0.248169203262711</v>
      </c>
      <c r="F1323">
        <f t="shared" si="148"/>
        <v>0.33856175383884668</v>
      </c>
      <c r="G1323">
        <f>LN(F1323/参数实验室!$E$58)/参数实验室!$E$59</f>
        <v>-0.75897255016748011</v>
      </c>
      <c r="H1323" s="856">
        <f>INDEX(神经网络!$G$10:$BO$70,MATCH(ROUND(G1323*2,1)/2,神经网络!$E$10:$E$70,0),MATCH(ROUND(E1323*2,1)/2,神经网络!$G$8:$BO$8,0))</f>
        <v>-0.98784483228017717</v>
      </c>
      <c r="I1323">
        <f t="shared" si="150"/>
        <v>646.79506376799145</v>
      </c>
      <c r="J1323">
        <f t="shared" si="151"/>
        <v>216.74993017038415</v>
      </c>
      <c r="K1323">
        <f t="shared" si="152"/>
        <v>2.9840612324975364</v>
      </c>
      <c r="L1323" s="4">
        <f>MIN(MAX(L1322*(1+MAX(MIN(((B1323-B1322)/B1322)/($K$7*卓尔金历!$N$40),0),-卓尔金历!$M$43))+MIN(MAX(((B1323-B1322)/B1322)/($K$7*卓尔金历!$N$40),0),卓尔金历!$M$43),0),1)</f>
        <v>0</v>
      </c>
      <c r="M1323" s="4">
        <f>MIN(MAX(M1322*(1+MAX(MIN(((B1323-B1322)/B1322)/($K$7*30),0),-卓尔金历!$M$43))+MIN(MAX(((B1323-B1322)/B1322)/($K$7*7),0),卓尔金历!$M$43),0),1)</f>
        <v>0.46086692936648421</v>
      </c>
      <c r="N1323">
        <f t="shared" si="153"/>
        <v>689.99345599152548</v>
      </c>
      <c r="O1323">
        <f t="shared" si="154"/>
        <v>1409.691578432238</v>
      </c>
      <c r="P1323">
        <f t="shared" si="155"/>
        <v>-7.05715879420028E-2</v>
      </c>
      <c r="Q1323">
        <f t="shared" si="146"/>
        <v>2.4952411416718119E-2</v>
      </c>
      <c r="R1323">
        <f t="shared" si="147"/>
        <v>0</v>
      </c>
      <c r="S1323">
        <f t="shared" si="149"/>
        <v>11.456861168764203</v>
      </c>
      <c r="T1323" s="564">
        <f>IF((I1323-MAX(I$470:I1323))/MAX(I$470:I1323)&gt;T1322,T1322,(I1323-MAX(I$470:I1323))/MAX(I$470:I1323))</f>
        <v>-0.91338805338419748</v>
      </c>
      <c r="U1323" s="564">
        <f>IF((J1323-MAX(J$470:J1323))/MAX(J$470:J1323)&gt;U1322,U1322,(J1323-MAX(J$470:J1323))/MAX(J$470:J1323))</f>
        <v>-0.70517826086956548</v>
      </c>
      <c r="V1323" s="564">
        <f>IF((K1323-MAX(K$470:K1323))/MAX(K$470:K1323)&gt;V1322,V1322,(K1323-MAX(K$470:K1323))/MAX(K$470:K1323))</f>
        <v>-0.84885940676762139</v>
      </c>
      <c r="W1323" s="564">
        <f>IF((N1323-MAX(N$470:N1323))/MAX(N$470:N1323)&gt;W1322,W1322,(N1323-MAX(N$470:N1323))/MAX(N$470:N1323))</f>
        <v>-0.62788758315546067</v>
      </c>
      <c r="X1323" s="564">
        <f>IF((O1323-MAX(O$470:O1323))/MAX(O$470:O1323)&gt;X1322,X1322,(O1323-MAX(O$470:O1323))/MAX(O$470:O1323))</f>
        <v>-0.62788758315546067</v>
      </c>
    </row>
    <row r="1324" spans="1:24">
      <c r="A1324" s="799">
        <v>41726</v>
      </c>
      <c r="B1324">
        <v>522.28399999999999</v>
      </c>
      <c r="C1324">
        <v>185.223015</v>
      </c>
      <c r="D1324">
        <v>1.5066889999999999</v>
      </c>
      <c r="E1324">
        <f>LN(D1324/参数实验室!$E$53)/参数实验室!$E$55</f>
        <v>-0.20937029967691134</v>
      </c>
      <c r="F1324">
        <f t="shared" si="148"/>
        <v>0.35464041594228429</v>
      </c>
      <c r="G1324">
        <f>LN(F1324/参数实验室!$E$58)/参数实验室!$E$59</f>
        <v>-0.73462044901662704</v>
      </c>
      <c r="H1324" s="856">
        <f>INDEX(神经网络!$G$10:$BO$70,MATCH(ROUND(G1324*2,1)/2,神经网络!$E$10:$E$70,0),MATCH(ROUND(E1324*2,1)/2,神经网络!$G$8:$BO$8,0))</f>
        <v>-0.97113082737311462</v>
      </c>
      <c r="I1324">
        <f t="shared" si="150"/>
        <v>671.393891084796</v>
      </c>
      <c r="J1324">
        <f t="shared" si="151"/>
        <v>208.40509157655308</v>
      </c>
      <c r="K1324">
        <f t="shared" si="152"/>
        <v>3.2215810372280376</v>
      </c>
      <c r="L1324" s="4">
        <f>MIN(MAX(L1323*(1+MAX(MIN(((B1324-B1323)/B1323)/($K$7*卓尔金历!$N$40),0),-卓尔金历!$M$43))+MIN(MAX(((B1324-B1323)/B1323)/($K$7*卓尔金历!$N$40),0),卓尔金历!$M$43),0),1)</f>
        <v>0</v>
      </c>
      <c r="M1324" s="4">
        <f>MIN(MAX(M1323*(1+MAX(MIN(((B1324-B1323)/B1323)/($K$7*30),0),-卓尔金历!$M$43))+MIN(MAX(((B1324-B1323)/B1323)/($K$7*7),0),卓尔金历!$M$43),0),1)</f>
        <v>0.32531659198286811</v>
      </c>
      <c r="N1324">
        <f t="shared" si="153"/>
        <v>689.99345599152548</v>
      </c>
      <c r="O1324">
        <f t="shared" si="154"/>
        <v>1434.4001339889478</v>
      </c>
      <c r="P1324">
        <f t="shared" si="155"/>
        <v>-3.8499844439494349E-2</v>
      </c>
      <c r="Q1324">
        <f t="shared" ref="Q1324:Q1387" si="156">STDEVP(P1304:P1324)</f>
        <v>2.5727779682125442E-2</v>
      </c>
      <c r="R1324">
        <f t="shared" ref="R1324:R1387" si="157">MIN(Q1323*MAX(1-LN(MAX(ABS(P1324),0.0001)/Q1324),0)+MAX(-LN(MAX(ABS(P1324),0.0001)/Q1324),0),1)</f>
        <v>1.489452178091865E-2</v>
      </c>
      <c r="S1324">
        <f t="shared" si="149"/>
        <v>11.456861168764203</v>
      </c>
      <c r="T1324" s="564">
        <f>IF((I1324-MAX(I$470:I1324))/MAX(I$470:I1324)&gt;T1323,T1323,(I1324-MAX(I$470:I1324))/MAX(I$470:I1324))</f>
        <v>-0.91338805338419748</v>
      </c>
      <c r="U1324" s="564">
        <f>IF((J1324-MAX(J$470:J1324))/MAX(J$470:J1324)&gt;U1323,U1323,(J1324-MAX(J$470:J1324))/MAX(J$470:J1324))</f>
        <v>-0.70517826086956548</v>
      </c>
      <c r="V1324" s="564">
        <f>IF((K1324-MAX(K$470:K1324))/MAX(K$470:K1324)&gt;V1323,V1323,(K1324-MAX(K$470:K1324))/MAX(K$470:K1324))</f>
        <v>-0.84885940676762139</v>
      </c>
      <c r="W1324" s="564">
        <f>IF((N1324-MAX(N$470:N1324))/MAX(N$470:N1324)&gt;W1323,W1323,(N1324-MAX(N$470:N1324))/MAX(N$470:N1324))</f>
        <v>-0.62788758315546067</v>
      </c>
      <c r="X1324" s="564">
        <f>IF((O1324-MAX(O$470:O1324))/MAX(O$470:O1324)&gt;X1323,X1323,(O1324-MAX(O$470:O1324))/MAX(O$470:O1324))</f>
        <v>-0.62788758315546067</v>
      </c>
    </row>
    <row r="1325" spans="1:24">
      <c r="A1325" s="799">
        <v>41727</v>
      </c>
      <c r="B1325">
        <v>491.286</v>
      </c>
      <c r="C1325">
        <v>186.89087000000001</v>
      </c>
      <c r="D1325">
        <v>1.479919</v>
      </c>
      <c r="E1325">
        <f>LN(D1325/参数实验室!$E$53)/参数实验室!$E$55</f>
        <v>-0.23051993844048987</v>
      </c>
      <c r="F1325">
        <f t="shared" si="148"/>
        <v>0.38041155253762576</v>
      </c>
      <c r="G1325">
        <f>LN(F1325/参数实验室!$E$58)/参数实验室!$E$59</f>
        <v>-0.69780228620692797</v>
      </c>
      <c r="H1325" s="856">
        <f>INDEX(神经网络!$G$10:$BO$70,MATCH(ROUND(G1325*2,1)/2,神经网络!$E$10:$E$70,0),MATCH(ROUND(E1325*2,1)/2,神经网络!$G$8:$BO$8,0))</f>
        <v>-0.9521576081930978</v>
      </c>
      <c r="I1325">
        <f t="shared" si="150"/>
        <v>710.09131706492462</v>
      </c>
      <c r="J1325">
        <f t="shared" si="151"/>
        <v>196.03607198435805</v>
      </c>
      <c r="K1325">
        <f t="shared" si="152"/>
        <v>3.6222482417500372</v>
      </c>
      <c r="L1325" s="4">
        <f>MIN(MAX(L1324*(1+MAX(MIN(((B1325-B1324)/B1324)/($K$7*卓尔金历!$N$40),0),-卓尔金历!$M$43))+MIN(MAX(((B1325-B1324)/B1324)/($K$7*卓尔金历!$N$40),0),卓尔金历!$M$43),0),1)</f>
        <v>0</v>
      </c>
      <c r="M1325" s="4">
        <f>MIN(MAX(M1324*(1+MAX(MIN(((B1325-B1324)/B1324)/($K$7*30),0),-卓尔金历!$M$43))+MIN(MAX(((B1325-B1324)/B1324)/($K$7*7),0),卓尔金历!$M$43),0),1)</f>
        <v>0.17781413683644098</v>
      </c>
      <c r="N1325">
        <f t="shared" si="153"/>
        <v>689.99345599152548</v>
      </c>
      <c r="O1325">
        <f t="shared" si="154"/>
        <v>1461.2957331703903</v>
      </c>
      <c r="P1325">
        <f t="shared" si="155"/>
        <v>-5.9350851260999746E-2</v>
      </c>
      <c r="Q1325">
        <f t="shared" si="156"/>
        <v>2.6423850667132539E-2</v>
      </c>
      <c r="R1325">
        <f t="shared" si="157"/>
        <v>4.9088750961770447E-3</v>
      </c>
      <c r="S1325">
        <f t="shared" si="149"/>
        <v>11.466696679282713</v>
      </c>
      <c r="T1325" s="564">
        <f>IF((I1325-MAX(I$470:I1325))/MAX(I$470:I1325)&gt;T1324,T1324,(I1325-MAX(I$470:I1325))/MAX(I$470:I1325))</f>
        <v>-0.91338805338419748</v>
      </c>
      <c r="U1325" s="564">
        <f>IF((J1325-MAX(J$470:J1325))/MAX(J$470:J1325)&gt;U1324,U1324,(J1325-MAX(J$470:J1325))/MAX(J$470:J1325))</f>
        <v>-0.70517826086956548</v>
      </c>
      <c r="V1325" s="564">
        <f>IF((K1325-MAX(K$470:K1325))/MAX(K$470:K1325)&gt;V1324,V1324,(K1325-MAX(K$470:K1325))/MAX(K$470:K1325))</f>
        <v>-0.84885940676762139</v>
      </c>
      <c r="W1325" s="564">
        <f>IF((N1325-MAX(N$470:N1325))/MAX(N$470:N1325)&gt;W1324,W1324,(N1325-MAX(N$470:N1325))/MAX(N$470:N1325))</f>
        <v>-0.62788758315546067</v>
      </c>
      <c r="X1325" s="564">
        <f>IF((O1325-MAX(O$470:O1325))/MAX(O$470:O1325)&gt;X1324,X1324,(O1325-MAX(O$470:O1325))/MAX(O$470:O1325))</f>
        <v>-0.62788758315546067</v>
      </c>
    </row>
    <row r="1326" spans="1:24">
      <c r="A1326" s="799">
        <v>41728</v>
      </c>
      <c r="B1326">
        <v>485.565</v>
      </c>
      <c r="C1326">
        <v>191.76345599999999</v>
      </c>
      <c r="D1326">
        <v>1.389996</v>
      </c>
      <c r="E1326">
        <f>LN(D1326/参数实验室!$E$53)/参数实验室!$E$55</f>
        <v>-0.30447452495931654</v>
      </c>
      <c r="F1326">
        <f t="shared" si="148"/>
        <v>0.39492849772944916</v>
      </c>
      <c r="G1326">
        <f>LN(F1326/参数实验室!$E$58)/参数实验室!$E$59</f>
        <v>-0.67814596145673034</v>
      </c>
      <c r="H1326" s="856">
        <f>INDEX(神经网络!$G$10:$BO$70,MATCH(ROUND(G1326*2,1)/2,神经网络!$E$10:$E$70,0),MATCH(ROUND(E1326*2,1)/2,神经网络!$G$8:$BO$8,0))</f>
        <v>-0.97063085041632213</v>
      </c>
      <c r="I1326">
        <f t="shared" si="150"/>
        <v>717.96468602143045</v>
      </c>
      <c r="J1326">
        <f t="shared" si="151"/>
        <v>193.75324208930198</v>
      </c>
      <c r="K1326">
        <f t="shared" si="152"/>
        <v>3.705562179395772</v>
      </c>
      <c r="L1326" s="4">
        <f>MIN(MAX(L1325*(1+MAX(MIN(((B1326-B1325)/B1325)/($K$7*卓尔金历!$N$40),0),-卓尔金历!$M$43))+MIN(MAX(((B1326-B1325)/B1325)/($K$7*卓尔金历!$N$40),0),卓尔金历!$M$43),0),1)</f>
        <v>0</v>
      </c>
      <c r="M1326" s="4">
        <f>MIN(MAX(M1325*(1+MAX(MIN(((B1326-B1325)/B1325)/($K$7*30),0),-卓尔金历!$M$43))+MIN(MAX(((B1326-B1325)/B1325)/($K$7*7),0),卓尔金历!$M$43),0),1)</f>
        <v>0.16199546822319405</v>
      </c>
      <c r="N1326">
        <f t="shared" si="153"/>
        <v>689.99345599152548</v>
      </c>
      <c r="O1326">
        <f t="shared" si="154"/>
        <v>1464.1767832237847</v>
      </c>
      <c r="P1326">
        <f t="shared" si="155"/>
        <v>-1.1644948156470984E-2</v>
      </c>
      <c r="Q1326">
        <f t="shared" si="156"/>
        <v>2.6297780861862949E-2</v>
      </c>
      <c r="R1326">
        <f t="shared" si="157"/>
        <v>0.86256114573925924</v>
      </c>
      <c r="S1326">
        <f t="shared" si="149"/>
        <v>11.467320797282213</v>
      </c>
      <c r="T1326" s="564">
        <f>IF((I1326-MAX(I$470:I1326))/MAX(I$470:I1326)&gt;T1325,T1325,(I1326-MAX(I$470:I1326))/MAX(I$470:I1326))</f>
        <v>-0.91338805338419748</v>
      </c>
      <c r="U1326" s="564">
        <f>IF((J1326-MAX(J$470:J1326))/MAX(J$470:J1326)&gt;U1325,U1325,(J1326-MAX(J$470:J1326))/MAX(J$470:J1326))</f>
        <v>-0.70517826086956548</v>
      </c>
      <c r="V1326" s="564">
        <f>IF((K1326-MAX(K$470:K1326))/MAX(K$470:K1326)&gt;V1325,V1325,(K1326-MAX(K$470:K1326))/MAX(K$470:K1326))</f>
        <v>-0.84885940676762139</v>
      </c>
      <c r="W1326" s="564">
        <f>IF((N1326-MAX(N$470:N1326))/MAX(N$470:N1326)&gt;W1325,W1325,(N1326-MAX(N$470:N1326))/MAX(N$470:N1326))</f>
        <v>-0.62788758315546067</v>
      </c>
      <c r="X1326" s="564">
        <f>IF((O1326-MAX(O$470:O1326))/MAX(O$470:O1326)&gt;X1325,X1325,(O1326-MAX(O$470:O1326))/MAX(O$470:O1326))</f>
        <v>-0.62788758315546067</v>
      </c>
    </row>
    <row r="1327" spans="1:24">
      <c r="A1327" s="799">
        <v>41729</v>
      </c>
      <c r="B1327">
        <v>476.49599999999998</v>
      </c>
      <c r="C1327">
        <v>187.84442100000001</v>
      </c>
      <c r="D1327">
        <v>1.3822369999999999</v>
      </c>
      <c r="E1327">
        <f>LN(D1327/参数实验室!$E$53)/参数实验室!$E$55</f>
        <v>-0.31107839218240635</v>
      </c>
      <c r="F1327">
        <f t="shared" si="148"/>
        <v>0.3942203523219503</v>
      </c>
      <c r="G1327">
        <f>LN(F1327/参数实验室!$E$58)/参数实验室!$E$59</f>
        <v>-0.67908792083474545</v>
      </c>
      <c r="H1327" s="856">
        <f>INDEX(神经网络!$G$10:$BO$70,MATCH(ROUND(G1327*2,1)/2,神经网络!$E$10:$E$70,0),MATCH(ROUND(E1327*2,1)/2,神经网络!$G$8:$BO$8,0))</f>
        <v>-0.97063085041632213</v>
      </c>
      <c r="I1327">
        <f t="shared" si="150"/>
        <v>730.98043611121534</v>
      </c>
      <c r="J1327">
        <f t="shared" si="151"/>
        <v>190.13447188859172</v>
      </c>
      <c r="K1327">
        <f t="shared" si="152"/>
        <v>3.84454448922618</v>
      </c>
      <c r="L1327" s="4">
        <f>MIN(MAX(L1326*(1+MAX(MIN(((B1327-B1326)/B1326)/($K$7*卓尔金历!$N$40),0),-卓尔金历!$M$43))+MIN(MAX(((B1327-B1326)/B1326)/($K$7*卓尔金历!$N$40),0),卓尔金历!$M$43),0),1)</f>
        <v>0</v>
      </c>
      <c r="M1327" s="4">
        <f>MIN(MAX(M1326*(1+MAX(MIN(((B1327-B1326)/B1326)/($K$7*30),0),-卓尔金历!$M$43))+MIN(MAX(((B1327-B1326)/B1326)/($K$7*7),0),卓尔金历!$M$43),0),1)</f>
        <v>0.13888115600248968</v>
      </c>
      <c r="N1327">
        <f t="shared" si="153"/>
        <v>689.99345599152548</v>
      </c>
      <c r="O1327">
        <f t="shared" si="154"/>
        <v>1468.4767242518567</v>
      </c>
      <c r="P1327">
        <f t="shared" si="155"/>
        <v>-1.867721108399497E-2</v>
      </c>
      <c r="Q1327">
        <f t="shared" si="156"/>
        <v>2.4880931835894671E-2</v>
      </c>
      <c r="R1327">
        <f t="shared" si="157"/>
        <v>0.32063751955204645</v>
      </c>
      <c r="S1327">
        <f t="shared" si="149"/>
        <v>11.646636354962403</v>
      </c>
      <c r="T1327" s="564">
        <f>IF((I1327-MAX(I$470:I1327))/MAX(I$470:I1327)&gt;T1326,T1326,(I1327-MAX(I$470:I1327))/MAX(I$470:I1327))</f>
        <v>-0.91338805338419748</v>
      </c>
      <c r="U1327" s="564">
        <f>IF((J1327-MAX(J$470:J1327))/MAX(J$470:J1327)&gt;U1326,U1326,(J1327-MAX(J$470:J1327))/MAX(J$470:J1327))</f>
        <v>-0.70517826086956548</v>
      </c>
      <c r="V1327" s="564">
        <f>IF((K1327-MAX(K$470:K1327))/MAX(K$470:K1327)&gt;V1326,V1326,(K1327-MAX(K$470:K1327))/MAX(K$470:K1327))</f>
        <v>-0.84885940676762139</v>
      </c>
      <c r="W1327" s="564">
        <f>IF((N1327-MAX(N$470:N1327))/MAX(N$470:N1327)&gt;W1326,W1326,(N1327-MAX(N$470:N1327))/MAX(N$470:N1327))</f>
        <v>-0.62788758315546067</v>
      </c>
      <c r="X1327" s="564">
        <f>IF((O1327-MAX(O$470:O1327))/MAX(O$470:O1327)&gt;X1326,X1326,(O1327-MAX(O$470:O1327))/MAX(O$470:O1327))</f>
        <v>-0.62788758315546067</v>
      </c>
    </row>
    <row r="1328" spans="1:24">
      <c r="A1328" s="799">
        <v>41730</v>
      </c>
      <c r="B1328">
        <v>458.60500000000002</v>
      </c>
      <c r="C1328">
        <v>184.576279</v>
      </c>
      <c r="D1328">
        <v>1.4546969999999999</v>
      </c>
      <c r="E1328">
        <f>LN(D1328/参数实验室!$E$53)/参数实验室!$E$55</f>
        <v>-0.25079957231269312</v>
      </c>
      <c r="F1328">
        <f t="shared" si="148"/>
        <v>0.40247332453854623</v>
      </c>
      <c r="G1328">
        <f>LN(F1328/参数实验室!$E$58)/参数实验室!$E$59</f>
        <v>-0.66821357624816835</v>
      </c>
      <c r="H1328" s="856">
        <f>INDEX(神经网络!$G$10:$BO$70,MATCH(ROUND(G1328*2,1)/2,神经网络!$E$10:$E$70,0),MATCH(ROUND(E1328*2,1)/2,神经网络!$G$8:$BO$8,0))</f>
        <v>-0.91498787549703464</v>
      </c>
      <c r="I1328">
        <f t="shared" si="150"/>
        <v>757.62049625113411</v>
      </c>
      <c r="J1328">
        <f t="shared" si="151"/>
        <v>182.99549100195512</v>
      </c>
      <c r="K1328">
        <f t="shared" si="152"/>
        <v>4.1401047211761064</v>
      </c>
      <c r="L1328" s="4">
        <f>MIN(MAX(L1327*(1+MAX(MIN(((B1328-B1327)/B1327)/($K$7*卓尔金历!$N$40),0),-卓尔金历!$M$43))+MIN(MAX(((B1328-B1327)/B1327)/($K$7*卓尔金历!$N$40),0),卓尔金历!$M$43),0),1)</f>
        <v>0</v>
      </c>
      <c r="M1328" s="4">
        <f>MIN(MAX(M1327*(1+MAX(MIN(((B1328-B1327)/B1327)/($K$7*30),0),-卓尔金历!$M$43))+MIN(MAX(((B1328-B1327)/B1327)/($K$7*7),0),卓尔金历!$M$43),0),1)</f>
        <v>9.9044326948397529E-2</v>
      </c>
      <c r="N1328">
        <f t="shared" si="153"/>
        <v>689.99345599152548</v>
      </c>
      <c r="O1328">
        <f t="shared" si="154"/>
        <v>1475.9093084419058</v>
      </c>
      <c r="P1328">
        <f t="shared" si="155"/>
        <v>-3.7547009838487549E-2</v>
      </c>
      <c r="Q1328">
        <f t="shared" si="156"/>
        <v>2.5398799104053699E-2</v>
      </c>
      <c r="R1328">
        <f t="shared" si="157"/>
        <v>1.5155178359954058E-2</v>
      </c>
      <c r="S1328">
        <f t="shared" si="149"/>
        <v>11.782732023408757</v>
      </c>
      <c r="T1328" s="564">
        <f>IF((I1328-MAX(I$470:I1328))/MAX(I$470:I1328)&gt;T1327,T1327,(I1328-MAX(I$470:I1328))/MAX(I$470:I1328))</f>
        <v>-0.91338805338419748</v>
      </c>
      <c r="U1328" s="564">
        <f>IF((J1328-MAX(J$470:J1328))/MAX(J$470:J1328)&gt;U1327,U1327,(J1328-MAX(J$470:J1328))/MAX(J$470:J1328))</f>
        <v>-0.70517826086956548</v>
      </c>
      <c r="V1328" s="564">
        <f>IF((K1328-MAX(K$470:K1328))/MAX(K$470:K1328)&gt;V1327,V1327,(K1328-MAX(K$470:K1328))/MAX(K$470:K1328))</f>
        <v>-0.84885940676762139</v>
      </c>
      <c r="W1328" s="564">
        <f>IF((N1328-MAX(N$470:N1328))/MAX(N$470:N1328)&gt;W1327,W1327,(N1328-MAX(N$470:N1328))/MAX(N$470:N1328))</f>
        <v>-0.62788758315546067</v>
      </c>
      <c r="X1328" s="564">
        <f>IF((O1328-MAX(O$470:O1328))/MAX(O$470:O1328)&gt;X1327,X1327,(O1328-MAX(O$470:O1328))/MAX(O$470:O1328))</f>
        <v>-0.62788758315546067</v>
      </c>
    </row>
    <row r="1329" spans="1:24">
      <c r="A1329" s="799">
        <v>41731</v>
      </c>
      <c r="B1329">
        <v>481.44799999999998</v>
      </c>
      <c r="C1329">
        <v>179.48297199999999</v>
      </c>
      <c r="D1329">
        <v>1.3356490000000001</v>
      </c>
      <c r="E1329">
        <f>LN(D1329/参数实验室!$E$53)/参数实验室!$E$55</f>
        <v>-0.3515272764584465</v>
      </c>
      <c r="F1329">
        <f t="shared" si="148"/>
        <v>0.37279825027832703</v>
      </c>
      <c r="G1329">
        <f>LN(F1329/参数实验室!$E$58)/参数实验室!$E$59</f>
        <v>-0.70841289841250454</v>
      </c>
      <c r="H1329" s="856">
        <f>INDEX(神经网络!$G$10:$BO$70,MATCH(ROUND(G1329*2,1)/2,神经网络!$E$10:$E$70,0),MATCH(ROUND(E1329*2,1)/2,神经网络!$G$8:$BO$8,0))</f>
        <v>-0.98721527406160337</v>
      </c>
      <c r="I1329">
        <f t="shared" si="150"/>
        <v>723.09170232034967</v>
      </c>
      <c r="J1329">
        <f t="shared" si="151"/>
        <v>192.11045050077797</v>
      </c>
      <c r="K1329">
        <f t="shared" si="152"/>
        <v>3.7639373622593291</v>
      </c>
      <c r="L1329" s="4">
        <f>MIN(MAX(L1328*(1+MAX(MIN(((B1329-B1328)/B1328)/($K$7*卓尔金历!$N$40),0),-卓尔金历!$M$43))+MIN(MAX(((B1329-B1328)/B1328)/($K$7*卓尔金历!$N$40),0),卓尔金历!$M$43),0),1)</f>
        <v>0.76104516787376364</v>
      </c>
      <c r="M1329" s="4">
        <f>MIN(MAX(M1328*(1+MAX(MIN(((B1329-B1328)/B1328)/($K$7*30),0),-卓尔金历!$M$43))+MIN(MAX(((B1329-B1328)/B1328)/($K$7*7),0),卓尔金历!$M$43),0),1)</f>
        <v>1</v>
      </c>
      <c r="N1329">
        <f t="shared" si="153"/>
        <v>689.99345599152548</v>
      </c>
      <c r="O1329">
        <f t="shared" si="154"/>
        <v>1469.2470884310669</v>
      </c>
      <c r="P1329">
        <f t="shared" si="155"/>
        <v>4.980974913051528E-2</v>
      </c>
      <c r="Q1329">
        <f t="shared" si="156"/>
        <v>2.854890594724627E-2</v>
      </c>
      <c r="R1329">
        <f t="shared" si="157"/>
        <v>1.1262027772887541E-2</v>
      </c>
      <c r="S1329">
        <f t="shared" si="149"/>
        <v>11.774593666234818</v>
      </c>
      <c r="T1329" s="564">
        <f>IF((I1329-MAX(I$470:I1329))/MAX(I$470:I1329)&gt;T1328,T1328,(I1329-MAX(I$470:I1329))/MAX(I$470:I1329))</f>
        <v>-0.91338805338419748</v>
      </c>
      <c r="U1329" s="564">
        <f>IF((J1329-MAX(J$470:J1329))/MAX(J$470:J1329)&gt;U1328,U1328,(J1329-MAX(J$470:J1329))/MAX(J$470:J1329))</f>
        <v>-0.70517826086956548</v>
      </c>
      <c r="V1329" s="564">
        <f>IF((K1329-MAX(K$470:K1329))/MAX(K$470:K1329)&gt;V1328,V1328,(K1329-MAX(K$470:K1329))/MAX(K$470:K1329))</f>
        <v>-0.84885940676762139</v>
      </c>
      <c r="W1329" s="564">
        <f>IF((N1329-MAX(N$470:N1329))/MAX(N$470:N1329)&gt;W1328,W1328,(N1329-MAX(N$470:N1329))/MAX(N$470:N1329))</f>
        <v>-0.62788758315546067</v>
      </c>
      <c r="X1329" s="564">
        <f>IF((O1329-MAX(O$470:O1329))/MAX(O$470:O1329)&gt;X1328,X1328,(O1329-MAX(O$470:O1329))/MAX(O$470:O1329))</f>
        <v>-0.62788758315546067</v>
      </c>
    </row>
    <row r="1330" spans="1:24">
      <c r="A1330" s="799">
        <v>41732</v>
      </c>
      <c r="B1330">
        <v>427.18400000000003</v>
      </c>
      <c r="C1330">
        <v>173.97235800000001</v>
      </c>
      <c r="D1330">
        <v>1.3677889999999999</v>
      </c>
      <c r="E1330">
        <f>LN(D1330/参数实验室!$E$53)/参数实验室!$E$55</f>
        <v>-0.32347480712396326</v>
      </c>
      <c r="F1330">
        <f t="shared" si="148"/>
        <v>0.40725391868609312</v>
      </c>
      <c r="G1330">
        <f>LN(F1330/参数实验室!$E$58)/参数实验室!$E$59</f>
        <v>-0.66201607371525395</v>
      </c>
      <c r="H1330" s="856">
        <f>INDEX(神经网络!$G$10:$BO$70,MATCH(ROUND(G1330*2,1)/2,神经网络!$E$10:$E$70,0),MATCH(ROUND(E1330*2,1)/2,神经网络!$G$8:$BO$8,0))</f>
        <v>-0.93482114736766087</v>
      </c>
      <c r="I1330">
        <f t="shared" si="150"/>
        <v>803.54941114850283</v>
      </c>
      <c r="J1330">
        <f t="shared" si="151"/>
        <v>170.45768325286292</v>
      </c>
      <c r="K1330">
        <f t="shared" si="152"/>
        <v>4.714069766843477</v>
      </c>
      <c r="L1330" s="4">
        <f>MIN(MAX(L1329*(1+MAX(MIN(((B1330-B1329)/B1329)/($K$7*卓尔金历!$N$40),0),-卓尔金历!$M$43))+MIN(MAX(((B1330-B1329)/B1329)/($K$7*卓尔金历!$N$40),0),卓尔金历!$M$43),0),1)</f>
        <v>0</v>
      </c>
      <c r="M1330" s="4">
        <f>MIN(MAX(M1329*(1+MAX(MIN(((B1330-B1329)/B1329)/($K$7*30),0),-卓尔金历!$M$43))+MIN(MAX(((B1330-B1329)/B1329)/($K$7*7),0),卓尔金历!$M$43),0),1)</f>
        <v>0.13894974458852183</v>
      </c>
      <c r="N1330">
        <f t="shared" si="153"/>
        <v>748.42262206009514</v>
      </c>
      <c r="O1330">
        <f t="shared" si="154"/>
        <v>1632.7287796996347</v>
      </c>
      <c r="P1330">
        <f t="shared" si="155"/>
        <v>-0.11270999152556445</v>
      </c>
      <c r="Q1330">
        <f t="shared" si="156"/>
        <v>3.5228099331136756E-2</v>
      </c>
      <c r="R1330">
        <f t="shared" si="157"/>
        <v>0</v>
      </c>
      <c r="S1330">
        <f t="shared" si="149"/>
        <v>11.789348584431474</v>
      </c>
      <c r="T1330" s="564">
        <f>IF((I1330-MAX(I$470:I1330))/MAX(I$470:I1330)&gt;T1329,T1329,(I1330-MAX(I$470:I1330))/MAX(I$470:I1330))</f>
        <v>-0.91338805338419748</v>
      </c>
      <c r="U1330" s="564">
        <f>IF((J1330-MAX(J$470:J1330))/MAX(J$470:J1330)&gt;U1329,U1329,(J1330-MAX(J$470:J1330))/MAX(J$470:J1330))</f>
        <v>-0.70517826086956548</v>
      </c>
      <c r="V1330" s="564">
        <f>IF((K1330-MAX(K$470:K1330))/MAX(K$470:K1330)&gt;V1329,V1329,(K1330-MAX(K$470:K1330))/MAX(K$470:K1330))</f>
        <v>-0.84885940676762139</v>
      </c>
      <c r="W1330" s="564">
        <f>IF((N1330-MAX(N$470:N1330))/MAX(N$470:N1330)&gt;W1329,W1329,(N1330-MAX(N$470:N1330))/MAX(N$470:N1330))</f>
        <v>-0.62788758315546067</v>
      </c>
      <c r="X1330" s="564">
        <f>IF((O1330-MAX(O$470:O1330))/MAX(O$470:O1330)&gt;X1329,X1329,(O1330-MAX(O$470:O1330))/MAX(O$470:O1330))</f>
        <v>-0.62788758315546067</v>
      </c>
    </row>
    <row r="1331" spans="1:24">
      <c r="A1331" s="799">
        <v>41733</v>
      </c>
      <c r="B1331">
        <v>436.88299999999998</v>
      </c>
      <c r="C1331">
        <v>170.25898799999999</v>
      </c>
      <c r="D1331">
        <v>1.3696459999999999</v>
      </c>
      <c r="E1331">
        <f>LN(D1331/参数实验室!$E$53)/参数实验室!$E$55</f>
        <v>-0.32187418310175464</v>
      </c>
      <c r="F1331">
        <f t="shared" si="148"/>
        <v>0.38971300783047175</v>
      </c>
      <c r="G1331">
        <f>LN(F1331/参数实验室!$E$58)/参数实验室!$E$59</f>
        <v>-0.68512344418276117</v>
      </c>
      <c r="H1331" s="856">
        <f>INDEX(神经网络!$G$10:$BO$70,MATCH(ROUND(G1331*2,1)/2,神经网络!$E$10:$E$70,0),MATCH(ROUND(E1331*2,1)/2,神经网络!$G$8:$BO$8,0))</f>
        <v>-0.97063085041632213</v>
      </c>
      <c r="I1331">
        <f t="shared" si="150"/>
        <v>786.49435722505757</v>
      </c>
      <c r="J1331">
        <f t="shared" si="151"/>
        <v>174.32784007022852</v>
      </c>
      <c r="K1331">
        <f t="shared" si="152"/>
        <v>4.5115820680633449</v>
      </c>
      <c r="L1331" s="4">
        <f>MIN(MAX(L1330*(1+MAX(MIN(((B1331-B1330)/B1330)/($K$7*卓尔金历!$N$40),0),-卓尔金历!$M$43))+MIN(MAX(((B1331-B1330)/B1330)/($K$7*卓尔金历!$N$40),0),卓尔金历!$M$43),0),1)</f>
        <v>0.3469030033099762</v>
      </c>
      <c r="M1331" s="4">
        <f>MIN(MAX(M1330*(1+MAX(MIN(((B1331-B1330)/B1330)/($K$7*30),0),-卓尔金历!$M$43))+MIN(MAX(((B1331-B1330)/B1330)/($K$7*7),0),卓尔金历!$M$43),0),1)</f>
        <v>0.88231332310989941</v>
      </c>
      <c r="N1331">
        <f t="shared" si="153"/>
        <v>748.42262206009514</v>
      </c>
      <c r="O1331">
        <f t="shared" si="154"/>
        <v>1627.9136020938406</v>
      </c>
      <c r="P1331">
        <f t="shared" si="155"/>
        <v>2.270450204127485E-2</v>
      </c>
      <c r="Q1331">
        <f t="shared" si="156"/>
        <v>3.6275270259098574E-2</v>
      </c>
      <c r="R1331">
        <f t="shared" si="157"/>
        <v>0.52030805249191914</v>
      </c>
      <c r="S1331">
        <f t="shared" si="149"/>
        <v>11.789348584431474</v>
      </c>
      <c r="T1331" s="564">
        <f>IF((I1331-MAX(I$470:I1331))/MAX(I$470:I1331)&gt;T1330,T1330,(I1331-MAX(I$470:I1331))/MAX(I$470:I1331))</f>
        <v>-0.91338805338419748</v>
      </c>
      <c r="U1331" s="564">
        <f>IF((J1331-MAX(J$470:J1331))/MAX(J$470:J1331)&gt;U1330,U1330,(J1331-MAX(J$470:J1331))/MAX(J$470:J1331))</f>
        <v>-0.70517826086956548</v>
      </c>
      <c r="V1331" s="564">
        <f>IF((K1331-MAX(K$470:K1331))/MAX(K$470:K1331)&gt;V1330,V1330,(K1331-MAX(K$470:K1331))/MAX(K$470:K1331))</f>
        <v>-0.84885940676762139</v>
      </c>
      <c r="W1331" s="564">
        <f>IF((N1331-MAX(N$470:N1331))/MAX(N$470:N1331)&gt;W1330,W1330,(N1331-MAX(N$470:N1331))/MAX(N$470:N1331))</f>
        <v>-0.62788758315546067</v>
      </c>
      <c r="X1331" s="564">
        <f>IF((O1331-MAX(O$470:O1331))/MAX(O$470:O1331)&gt;X1330,X1330,(O1331-MAX(O$470:O1331))/MAX(O$470:O1331))</f>
        <v>-0.62788758315546067</v>
      </c>
    </row>
    <row r="1332" spans="1:24">
      <c r="A1332" s="799">
        <v>41734</v>
      </c>
      <c r="B1332">
        <v>452.01600000000002</v>
      </c>
      <c r="C1332">
        <v>170.64620099999999</v>
      </c>
      <c r="D1332">
        <v>1.4108400000000001</v>
      </c>
      <c r="E1332">
        <f>LN(D1332/参数实验室!$E$53)/参数实验室!$E$55</f>
        <v>-0.28691460312631406</v>
      </c>
      <c r="F1332">
        <f t="shared" si="148"/>
        <v>0.37752247929276839</v>
      </c>
      <c r="G1332">
        <f>LN(F1332/参数实验室!$E$58)/参数实验室!$E$59</f>
        <v>-0.70180355558833196</v>
      </c>
      <c r="H1332" s="856">
        <f>INDEX(神经网络!$G$10:$BO$70,MATCH(ROUND(G1332*2,1)/2,神经网络!$E$10:$E$70,0),MATCH(ROUND(E1332*2,1)/2,神经网络!$G$8:$BO$8,0))</f>
        <v>-0.97063085041632213</v>
      </c>
      <c r="I1332">
        <f t="shared" si="150"/>
        <v>760.05142644414025</v>
      </c>
      <c r="J1332">
        <f t="shared" si="151"/>
        <v>180.36630621284056</v>
      </c>
      <c r="K1332">
        <f t="shared" si="152"/>
        <v>4.213932426754055</v>
      </c>
      <c r="L1332" s="4">
        <f>MIN(MAX(L1331*(1+MAX(MIN(((B1332-B1331)/B1331)/($K$7*卓尔金历!$N$40),0),-卓尔金历!$M$43))+MIN(MAX(((B1332-B1331)/B1331)/($K$7*卓尔金历!$N$40),0),卓尔金历!$M$43),0),1)</f>
        <v>0.87614702961968582</v>
      </c>
      <c r="M1332" s="4">
        <f>MIN(MAX(M1331*(1+MAX(MIN(((B1332-B1331)/B1331)/($K$7*30),0),-卓尔金历!$M$43))+MIN(MAX(((B1332-B1331)/B1331)/($K$7*7),0),卓尔金历!$M$43),0),1)</f>
        <v>1</v>
      </c>
      <c r="N1332">
        <f t="shared" si="153"/>
        <v>739.69353262814388</v>
      </c>
      <c r="O1332">
        <f t="shared" si="154"/>
        <v>1579.6223833233341</v>
      </c>
      <c r="P1332">
        <f t="shared" si="155"/>
        <v>3.4638564558474555E-2</v>
      </c>
      <c r="Q1332">
        <f t="shared" si="156"/>
        <v>3.7800249431821475E-2</v>
      </c>
      <c r="R1332">
        <f t="shared" si="157"/>
        <v>0.1267919019822924</v>
      </c>
      <c r="S1332">
        <f t="shared" si="149"/>
        <v>11.583112652579528</v>
      </c>
      <c r="T1332" s="564">
        <f>IF((I1332-MAX(I$470:I1332))/MAX(I$470:I1332)&gt;T1331,T1331,(I1332-MAX(I$470:I1332))/MAX(I$470:I1332))</f>
        <v>-0.91338805338419748</v>
      </c>
      <c r="U1332" s="564">
        <f>IF((J1332-MAX(J$470:J1332))/MAX(J$470:J1332)&gt;U1331,U1331,(J1332-MAX(J$470:J1332))/MAX(J$470:J1332))</f>
        <v>-0.70517826086956548</v>
      </c>
      <c r="V1332" s="564">
        <f>IF((K1332-MAX(K$470:K1332))/MAX(K$470:K1332)&gt;V1331,V1331,(K1332-MAX(K$470:K1332))/MAX(K$470:K1332))</f>
        <v>-0.84885940676762139</v>
      </c>
      <c r="W1332" s="564">
        <f>IF((N1332-MAX(N$470:N1332))/MAX(N$470:N1332)&gt;W1331,W1331,(N1332-MAX(N$470:N1332))/MAX(N$470:N1332))</f>
        <v>-0.62788758315546067</v>
      </c>
      <c r="X1332" s="564">
        <f>IF((O1332-MAX(O$470:O1332))/MAX(O$470:O1332)&gt;X1331,X1331,(O1332-MAX(O$470:O1332))/MAX(O$470:O1332))</f>
        <v>-0.62788758315546067</v>
      </c>
    </row>
    <row r="1333" spans="1:24">
      <c r="A1333" s="799">
        <v>41735</v>
      </c>
      <c r="B1333">
        <v>464.40199999999999</v>
      </c>
      <c r="C1333">
        <v>172.31662499999999</v>
      </c>
      <c r="D1333">
        <v>1.4014139999999999</v>
      </c>
      <c r="E1333">
        <f>LN(D1333/参数实验室!$E$53)/参数实验室!$E$55</f>
        <v>-0.29482313181616365</v>
      </c>
      <c r="F1333">
        <f t="shared" si="148"/>
        <v>0.37105056610436649</v>
      </c>
      <c r="G1333">
        <f>LN(F1333/参数实验室!$E$58)/参数实验室!$E$59</f>
        <v>-0.71087920815824224</v>
      </c>
      <c r="H1333" s="856">
        <f>INDEX(神经网络!$G$10:$BO$70,MATCH(ROUND(G1333*2,1)/2,神经网络!$E$10:$E$70,0),MATCH(ROUND(E1333*2,1)/2,神经网络!$G$8:$BO$8,0))</f>
        <v>-0.97063085041632213</v>
      </c>
      <c r="I1333">
        <f t="shared" si="150"/>
        <v>739.83639891678399</v>
      </c>
      <c r="J1333">
        <f t="shared" si="151"/>
        <v>185.30864690156008</v>
      </c>
      <c r="K1333">
        <f t="shared" si="152"/>
        <v>3.9924548114033822</v>
      </c>
      <c r="L1333" s="4">
        <f>MIN(MAX(L1332*(1+MAX(MIN(((B1333-B1332)/B1332)/($K$7*卓尔金历!$N$40),0),-卓尔金历!$M$43))+MIN(MAX(((B1333-B1332)/B1332)/($K$7*卓尔金历!$N$40),0),卓尔金历!$M$43),0),1)</f>
        <v>1</v>
      </c>
      <c r="M1333" s="4">
        <f>MIN(MAX(M1332*(1+MAX(MIN(((B1333-B1332)/B1332)/($K$7*30),0),-卓尔金历!$M$43))+MIN(MAX(((B1333-B1332)/B1332)/($K$7*7),0),卓尔金历!$M$43),0),1)</f>
        <v>1</v>
      </c>
      <c r="N1333">
        <f t="shared" si="153"/>
        <v>722.45659250067149</v>
      </c>
      <c r="O1333">
        <f t="shared" si="154"/>
        <v>1537.6092920367328</v>
      </c>
      <c r="P1333">
        <f t="shared" si="155"/>
        <v>2.74016848961098E-2</v>
      </c>
      <c r="Q1333">
        <f t="shared" si="156"/>
        <v>3.8677868565074575E-2</v>
      </c>
      <c r="R1333">
        <f t="shared" si="157"/>
        <v>0.39549165978486278</v>
      </c>
      <c r="S1333">
        <f t="shared" si="149"/>
        <v>11.544051221040871</v>
      </c>
      <c r="T1333" s="564">
        <f>IF((I1333-MAX(I$470:I1333))/MAX(I$470:I1333)&gt;T1332,T1332,(I1333-MAX(I$470:I1333))/MAX(I$470:I1333))</f>
        <v>-0.91338805338419748</v>
      </c>
      <c r="U1333" s="564">
        <f>IF((J1333-MAX(J$470:J1333))/MAX(J$470:J1333)&gt;U1332,U1332,(J1333-MAX(J$470:J1333))/MAX(J$470:J1333))</f>
        <v>-0.70517826086956548</v>
      </c>
      <c r="V1333" s="564">
        <f>IF((K1333-MAX(K$470:K1333))/MAX(K$470:K1333)&gt;V1332,V1332,(K1333-MAX(K$470:K1333))/MAX(K$470:K1333))</f>
        <v>-0.84885940676762139</v>
      </c>
      <c r="W1333" s="564">
        <f>IF((N1333-MAX(N$470:N1333))/MAX(N$470:N1333)&gt;W1332,W1332,(N1333-MAX(N$470:N1333))/MAX(N$470:N1333))</f>
        <v>-0.62788758315546067</v>
      </c>
      <c r="X1333" s="564">
        <f>IF((O1333-MAX(O$470:O1333))/MAX(O$470:O1333)&gt;X1332,X1332,(O1333-MAX(O$470:O1333))/MAX(O$470:O1333))</f>
        <v>-0.62788758315546067</v>
      </c>
    </row>
    <row r="1334" spans="1:24">
      <c r="A1334" s="799">
        <v>41736</v>
      </c>
      <c r="B1334">
        <v>455.56099999999998</v>
      </c>
      <c r="C1334">
        <v>174.21224900000001</v>
      </c>
      <c r="D1334">
        <v>1.371675</v>
      </c>
      <c r="E1334">
        <f>LN(D1334/参数实验室!$E$53)/参数实验室!$E$55</f>
        <v>-0.32012778436250761</v>
      </c>
      <c r="F1334">
        <f t="shared" si="148"/>
        <v>0.38241256165475102</v>
      </c>
      <c r="G1334">
        <f>LN(F1334/参数实验室!$E$58)/参数实验室!$E$59</f>
        <v>-0.6950487284346466</v>
      </c>
      <c r="H1334" s="856">
        <f>INDEX(神经网络!$G$10:$BO$70,MATCH(ROUND(G1334*2,1)/2,神经网络!$E$10:$E$70,0),MATCH(ROUND(E1334*2,1)/2,神经网络!$G$8:$BO$8,0))</f>
        <v>-0.97063085041632213</v>
      </c>
      <c r="I1334">
        <f t="shared" si="150"/>
        <v>753.5072985257242</v>
      </c>
      <c r="J1334">
        <f t="shared" si="151"/>
        <v>181.78085471449651</v>
      </c>
      <c r="K1334">
        <f t="shared" si="152"/>
        <v>4.1451411355127386</v>
      </c>
      <c r="L1334" s="4">
        <f>MIN(MAX(L1333*(1+MAX(MIN(((B1334-B1333)/B1333)/($K$7*卓尔金历!$N$40),0),-卓尔金历!$M$43))+MIN(MAX(((B1334-B1333)/B1333)/($K$7*卓尔金历!$N$40),0),卓尔金历!$M$43),0),1)</f>
        <v>0.70912701511411291</v>
      </c>
      <c r="M1334" s="4">
        <f>MIN(MAX(M1333*(1+MAX(MIN(((B1334-B1333)/B1333)/($K$7*30),0),-卓尔金历!$M$43))+MIN(MAX(((B1334-B1333)/B1333)/($K$7*7),0),卓尔金历!$M$43),0),1)</f>
        <v>0.85456350755705646</v>
      </c>
      <c r="N1334">
        <f t="shared" si="153"/>
        <v>735.80634328659437</v>
      </c>
      <c r="O1334">
        <f t="shared" si="154"/>
        <v>1566.0216576624096</v>
      </c>
      <c r="P1334">
        <f t="shared" si="155"/>
        <v>-1.9037385713239839E-2</v>
      </c>
      <c r="Q1334">
        <f t="shared" si="156"/>
        <v>3.8677059161010961E-2</v>
      </c>
      <c r="R1334">
        <f t="shared" si="157"/>
        <v>0.77493628605948384</v>
      </c>
      <c r="S1334">
        <f t="shared" si="149"/>
        <v>11.628415184403996</v>
      </c>
      <c r="T1334" s="564">
        <f>IF((I1334-MAX(I$470:I1334))/MAX(I$470:I1334)&gt;T1333,T1333,(I1334-MAX(I$470:I1334))/MAX(I$470:I1334))</f>
        <v>-0.91338805338419748</v>
      </c>
      <c r="U1334" s="564">
        <f>IF((J1334-MAX(J$470:J1334))/MAX(J$470:J1334)&gt;U1333,U1333,(J1334-MAX(J$470:J1334))/MAX(J$470:J1334))</f>
        <v>-0.70517826086956548</v>
      </c>
      <c r="V1334" s="564">
        <f>IF((K1334-MAX(K$470:K1334))/MAX(K$470:K1334)&gt;V1333,V1333,(K1334-MAX(K$470:K1334))/MAX(K$470:K1334))</f>
        <v>-0.84885940676762139</v>
      </c>
      <c r="W1334" s="564">
        <f>IF((N1334-MAX(N$470:N1334))/MAX(N$470:N1334)&gt;W1333,W1333,(N1334-MAX(N$470:N1334))/MAX(N$470:N1334))</f>
        <v>-0.62788758315546067</v>
      </c>
      <c r="X1334" s="564">
        <f>IF((O1334-MAX(O$470:O1334))/MAX(O$470:O1334)&gt;X1333,X1333,(O1334-MAX(O$470:O1334))/MAX(O$470:O1334))</f>
        <v>-0.62788758315546067</v>
      </c>
    </row>
    <row r="1335" spans="1:24">
      <c r="A1335" s="799">
        <v>41737</v>
      </c>
      <c r="B1335">
        <v>453.18900000000002</v>
      </c>
      <c r="C1335">
        <v>179.05272400000001</v>
      </c>
      <c r="D1335">
        <v>1.38534</v>
      </c>
      <c r="E1335">
        <f>LN(D1335/参数实验室!$E$53)/参数实验室!$E$55</f>
        <v>-0.30843291865085637</v>
      </c>
      <c r="F1335">
        <f t="shared" si="148"/>
        <v>0.39509503540465457</v>
      </c>
      <c r="G1335">
        <f>LN(F1335/参数实验室!$E$58)/参数实验室!$E$59</f>
        <v>-0.67792468203963507</v>
      </c>
      <c r="H1335" s="856">
        <f>INDEX(神经网络!$G$10:$BO$70,MATCH(ROUND(G1335*2,1)/2,神经网络!$E$10:$E$70,0),MATCH(ROUND(E1335*2,1)/2,神经网络!$G$8:$BO$8,0))</f>
        <v>-0.97063085041632213</v>
      </c>
      <c r="I1335">
        <f t="shared" si="150"/>
        <v>757.31541042264257</v>
      </c>
      <c r="J1335">
        <f t="shared" si="151"/>
        <v>180.83436415147031</v>
      </c>
      <c r="K1335">
        <f t="shared" si="152"/>
        <v>4.1878954477275165</v>
      </c>
      <c r="L1335" s="4">
        <f>MIN(MAX(L1334*(1+MAX(MIN(((B1335-B1334)/B1334)/($K$7*卓尔金历!$N$40),0),-卓尔金历!$M$43))+MIN(MAX(((B1335-B1334)/B1334)/($K$7*卓尔金历!$N$40),0),卓尔金历!$M$43),0),1)</f>
        <v>0.65271283818901493</v>
      </c>
      <c r="M1335" s="4">
        <f>MIN(MAX(M1334*(1+MAX(MIN(((B1335-B1334)/B1334)/($K$7*30),0),-卓尔金历!$M$43))+MIN(MAX(((B1335-B1334)/B1334)/($K$7*7),0),卓尔金历!$M$43),0),1)</f>
        <v>0.82057136236900563</v>
      </c>
      <c r="N1335">
        <f t="shared" si="153"/>
        <v>738.44334126021784</v>
      </c>
      <c r="O1335">
        <f t="shared" si="154"/>
        <v>1572.7850463223131</v>
      </c>
      <c r="P1335">
        <f t="shared" si="155"/>
        <v>-5.2067670410767325E-3</v>
      </c>
      <c r="Q1335">
        <f t="shared" si="156"/>
        <v>3.8705938782621539E-2</v>
      </c>
      <c r="R1335">
        <f t="shared" si="157"/>
        <v>1</v>
      </c>
      <c r="S1335">
        <f t="shared" si="149"/>
        <v>11.673956834732527</v>
      </c>
      <c r="T1335" s="564">
        <f>IF((I1335-MAX(I$470:I1335))/MAX(I$470:I1335)&gt;T1334,T1334,(I1335-MAX(I$470:I1335))/MAX(I$470:I1335))</f>
        <v>-0.91338805338419748</v>
      </c>
      <c r="U1335" s="564">
        <f>IF((J1335-MAX(J$470:J1335))/MAX(J$470:J1335)&gt;U1334,U1334,(J1335-MAX(J$470:J1335))/MAX(J$470:J1335))</f>
        <v>-0.70517826086956548</v>
      </c>
      <c r="V1335" s="564">
        <f>IF((K1335-MAX(K$470:K1335))/MAX(K$470:K1335)&gt;V1334,V1334,(K1335-MAX(K$470:K1335))/MAX(K$470:K1335))</f>
        <v>-0.84885940676762139</v>
      </c>
      <c r="W1335" s="564">
        <f>IF((N1335-MAX(N$470:N1335))/MAX(N$470:N1335)&gt;W1334,W1334,(N1335-MAX(N$470:N1335))/MAX(N$470:N1335))</f>
        <v>-0.62788758315546067</v>
      </c>
      <c r="X1335" s="564">
        <f>IF((O1335-MAX(O$470:O1335))/MAX(O$470:O1335)&gt;X1334,X1334,(O1335-MAX(O$470:O1335))/MAX(O$470:O1335))</f>
        <v>-0.62788758315546067</v>
      </c>
    </row>
    <row r="1336" spans="1:24">
      <c r="A1336" s="799">
        <v>41738</v>
      </c>
      <c r="B1336">
        <v>454.67200000000003</v>
      </c>
      <c r="C1336">
        <v>177.97063700000001</v>
      </c>
      <c r="D1336">
        <v>1.354692</v>
      </c>
      <c r="E1336">
        <f>LN(D1336/参数实验室!$E$53)/参数实验室!$E$55</f>
        <v>-0.33482573844896835</v>
      </c>
      <c r="F1336">
        <f t="shared" si="148"/>
        <v>0.39142642828236618</v>
      </c>
      <c r="G1336">
        <f>LN(F1336/参数实验室!$E$58)/参数实验室!$E$59</f>
        <v>-0.68282091776457676</v>
      </c>
      <c r="H1336" s="856">
        <f>INDEX(神经网络!$G$10:$BO$70,MATCH(ROUND(G1336*2,1)/2,神经网络!$E$10:$E$70,0),MATCH(ROUND(E1336*2,1)/2,神经网络!$G$8:$BO$8,0))</f>
        <v>-0.98721527406160337</v>
      </c>
      <c r="I1336">
        <f t="shared" si="150"/>
        <v>754.90998068281351</v>
      </c>
      <c r="J1336">
        <f t="shared" si="151"/>
        <v>181.42612026654953</v>
      </c>
      <c r="K1336">
        <f t="shared" si="152"/>
        <v>4.1609773695965444</v>
      </c>
      <c r="L1336" s="4">
        <f>MIN(MAX(L1335*(1+MAX(MIN(((B1336-B1335)/B1335)/($K$7*卓尔金历!$N$40),0),-卓尔金历!$M$43))+MIN(MAX(((B1336-B1335)/B1335)/($K$7*卓尔金历!$N$40),0),卓尔金历!$M$43),0),1)</f>
        <v>0.70271144113692696</v>
      </c>
      <c r="M1336" s="4">
        <f>MIN(MAX(M1335*(1+MAX(MIN(((B1336-B1335)/B1335)/($K$7*30),0),-卓尔金历!$M$43))+MIN(MAX(((B1336-B1335)/B1335)/($K$7*7),0),卓尔金历!$M$43),0),1)</f>
        <v>0.92771122582881715</v>
      </c>
      <c r="N1336">
        <f t="shared" si="153"/>
        <v>736.91241167646717</v>
      </c>
      <c r="O1336">
        <f t="shared" si="154"/>
        <v>1568.6858227129942</v>
      </c>
      <c r="P1336">
        <f t="shared" si="155"/>
        <v>3.2723653928052182E-3</v>
      </c>
      <c r="Q1336">
        <f t="shared" si="156"/>
        <v>3.876814779718521E-2</v>
      </c>
      <c r="R1336">
        <f t="shared" si="157"/>
        <v>1</v>
      </c>
      <c r="S1336">
        <f t="shared" si="149"/>
        <v>11.636877326557624</v>
      </c>
      <c r="T1336" s="564">
        <f>IF((I1336-MAX(I$470:I1336))/MAX(I$470:I1336)&gt;T1335,T1335,(I1336-MAX(I$470:I1336))/MAX(I$470:I1336))</f>
        <v>-0.91338805338419748</v>
      </c>
      <c r="U1336" s="564">
        <f>IF((J1336-MAX(J$470:J1336))/MAX(J$470:J1336)&gt;U1335,U1335,(J1336-MAX(J$470:J1336))/MAX(J$470:J1336))</f>
        <v>-0.70517826086956548</v>
      </c>
      <c r="V1336" s="564">
        <f>IF((K1336-MAX(K$470:K1336))/MAX(K$470:K1336)&gt;V1335,V1335,(K1336-MAX(K$470:K1336))/MAX(K$470:K1336))</f>
        <v>-0.84885940676762139</v>
      </c>
      <c r="W1336" s="564">
        <f>IF((N1336-MAX(N$470:N1336))/MAX(N$470:N1336)&gt;W1335,W1335,(N1336-MAX(N$470:N1336))/MAX(N$470:N1336))</f>
        <v>-0.62788758315546067</v>
      </c>
      <c r="X1336" s="564">
        <f>IF((O1336-MAX(O$470:O1336))/MAX(O$470:O1336)&gt;X1335,X1335,(O1336-MAX(O$470:O1336))/MAX(O$470:O1336))</f>
        <v>-0.62788758315546067</v>
      </c>
    </row>
    <row r="1337" spans="1:24">
      <c r="A1337" s="799">
        <v>41739</v>
      </c>
      <c r="B1337">
        <v>427.74799999999999</v>
      </c>
      <c r="C1337">
        <v>179.52445700000001</v>
      </c>
      <c r="D1337">
        <v>1.12866</v>
      </c>
      <c r="E1337">
        <f>LN(D1337/参数实验室!$E$53)/参数实验室!$E$55</f>
        <v>-0.5501814748213586</v>
      </c>
      <c r="F1337">
        <f t="shared" si="148"/>
        <v>0.41969677707435221</v>
      </c>
      <c r="G1337">
        <f>LN(F1337/参数实验室!$E$58)/参数实验室!$E$59</f>
        <v>-0.64622026512038644</v>
      </c>
      <c r="H1337" s="856">
        <f>INDEX(神经网络!$G$10:$BO$70,MATCH(ROUND(G1337*2,1)/2,神经网络!$E$10:$E$70,0),MATCH(ROUND(E1337*2,1)/2,神经网络!$G$8:$BO$8,0))</f>
        <v>-1.0153426161393819</v>
      </c>
      <c r="I1337">
        <f t="shared" si="150"/>
        <v>799.04145184292452</v>
      </c>
      <c r="J1337">
        <f t="shared" si="151"/>
        <v>170.6827341287258</v>
      </c>
      <c r="K1337">
        <f t="shared" si="152"/>
        <v>4.6814427711258837</v>
      </c>
      <c r="L1337" s="4">
        <f>MIN(MAX(L1336*(1+MAX(MIN(((B1337-B1336)/B1336)/($K$7*卓尔金历!$N$40),0),-卓尔金历!$M$43))+MIN(MAX(((B1337-B1336)/B1336)/($K$7*卓尔金历!$N$40),0),卓尔金历!$M$43),0),1)</f>
        <v>6.6920296231344059E-2</v>
      </c>
      <c r="M1337" s="4">
        <f>MIN(MAX(M1336*(1+MAX(MIN(((B1337-B1336)/B1336)/($K$7*30),0),-卓尔金历!$M$43))+MIN(MAX(((B1337-B1336)/B1336)/($K$7*7),0),卓尔金历!$M$43),0),1)</f>
        <v>0.50802929959095067</v>
      </c>
      <c r="N1337">
        <f t="shared" si="153"/>
        <v>767.18476153353276</v>
      </c>
      <c r="O1337">
        <f t="shared" si="154"/>
        <v>1653.7608351829883</v>
      </c>
      <c r="P1337">
        <f t="shared" si="155"/>
        <v>-5.9216314178132883E-2</v>
      </c>
      <c r="Q1337">
        <f t="shared" si="156"/>
        <v>3.9945691256092569E-2</v>
      </c>
      <c r="R1337">
        <f t="shared" si="157"/>
        <v>2.3506048044355073E-2</v>
      </c>
      <c r="S1337">
        <f t="shared" si="149"/>
        <v>12.317160445435215</v>
      </c>
      <c r="T1337" s="564">
        <f>IF((I1337-MAX(I$470:I1337))/MAX(I$470:I1337)&gt;T1336,T1336,(I1337-MAX(I$470:I1337))/MAX(I$470:I1337))</f>
        <v>-0.91338805338419748</v>
      </c>
      <c r="U1337" s="564">
        <f>IF((J1337-MAX(J$470:J1337))/MAX(J$470:J1337)&gt;U1336,U1336,(J1337-MAX(J$470:J1337))/MAX(J$470:J1337))</f>
        <v>-0.70517826086956548</v>
      </c>
      <c r="V1337" s="564">
        <f>IF((K1337-MAX(K$470:K1337))/MAX(K$470:K1337)&gt;V1336,V1336,(K1337-MAX(K$470:K1337))/MAX(K$470:K1337))</f>
        <v>-0.84885940676762139</v>
      </c>
      <c r="W1337" s="564">
        <f>IF((N1337-MAX(N$470:N1337))/MAX(N$470:N1337)&gt;W1336,W1336,(N1337-MAX(N$470:N1337))/MAX(N$470:N1337))</f>
        <v>-0.62788758315546067</v>
      </c>
      <c r="X1337" s="564">
        <f>IF((O1337-MAX(O$470:O1337))/MAX(O$470:O1337)&gt;X1336,X1336,(O1337-MAX(O$470:O1337))/MAX(O$470:O1337))</f>
        <v>-0.62788758315546067</v>
      </c>
    </row>
    <row r="1338" spans="1:24">
      <c r="A1338" s="799">
        <v>41740</v>
      </c>
      <c r="B1338">
        <v>381.88499999999999</v>
      </c>
      <c r="C1338">
        <v>181.11171100000001</v>
      </c>
      <c r="D1338">
        <v>1.300824</v>
      </c>
      <c r="E1338">
        <f>LN(D1338/参数实验室!$E$53)/参数实验室!$E$55</f>
        <v>-0.38269565664996558</v>
      </c>
      <c r="F1338">
        <f t="shared" si="148"/>
        <v>0.47425720046610897</v>
      </c>
      <c r="G1338">
        <f>LN(F1338/参数实验室!$E$58)/参数实验室!$E$59</f>
        <v>-0.58207402089385152</v>
      </c>
      <c r="H1338" s="856">
        <f>INDEX(神经网络!$G$10:$BO$70,MATCH(ROUND(G1338*2,1)/2,神经网络!$E$10:$E$70,0),MATCH(ROUND(E1338*2,1)/2,神经网络!$G$8:$BO$8,0))</f>
        <v>-0.9334125559268458</v>
      </c>
      <c r="I1338">
        <f t="shared" si="150"/>
        <v>886.02886110867462</v>
      </c>
      <c r="J1338">
        <f t="shared" si="151"/>
        <v>152.38218746259119</v>
      </c>
      <c r="K1338">
        <f t="shared" si="152"/>
        <v>5.8145172730650607</v>
      </c>
      <c r="L1338" s="4">
        <f>MIN(MAX(L1337*(1+MAX(MIN(((B1338-B1337)/B1337)/($K$7*卓尔金历!$N$40),0),-卓尔金历!$M$43))+MIN(MAX(((B1338-B1337)/B1337)/($K$7*卓尔金历!$N$40),0),卓尔金历!$M$43),0),1)</f>
        <v>0</v>
      </c>
      <c r="M1338" s="4">
        <f>MIN(MAX(M1337*(1+MAX(MIN(((B1338-B1337)/B1337)/($K$7*30),0),-卓尔金历!$M$43))+MIN(MAX(((B1338-B1337)/B1337)/($K$7*7),0),卓尔金历!$M$43),0),1)</f>
        <v>9.1899023369202748E-2</v>
      </c>
      <c r="N1338">
        <f t="shared" si="153"/>
        <v>772.77390051938903</v>
      </c>
      <c r="O1338">
        <f t="shared" si="154"/>
        <v>1745.2244895752617</v>
      </c>
      <c r="P1338">
        <f t="shared" si="155"/>
        <v>-0.10721967139530753</v>
      </c>
      <c r="Q1338">
        <f t="shared" si="156"/>
        <v>4.4362397515981887E-2</v>
      </c>
      <c r="R1338">
        <f t="shared" si="157"/>
        <v>4.6941170129729641E-3</v>
      </c>
      <c r="S1338">
        <f t="shared" si="149"/>
        <v>12.348679799214924</v>
      </c>
      <c r="T1338" s="564">
        <f>IF((I1338-MAX(I$470:I1338))/MAX(I$470:I1338)&gt;T1337,T1337,(I1338-MAX(I$470:I1338))/MAX(I$470:I1338))</f>
        <v>-0.91338805338419748</v>
      </c>
      <c r="U1338" s="564">
        <f>IF((J1338-MAX(J$470:J1338))/MAX(J$470:J1338)&gt;U1337,U1337,(J1338-MAX(J$470:J1338))/MAX(J$470:J1338))</f>
        <v>-0.70517826086956548</v>
      </c>
      <c r="V1338" s="564">
        <f>IF((K1338-MAX(K$470:K1338))/MAX(K$470:K1338)&gt;V1337,V1337,(K1338-MAX(K$470:K1338))/MAX(K$470:K1338))</f>
        <v>-0.84885940676762139</v>
      </c>
      <c r="W1338" s="564">
        <f>IF((N1338-MAX(N$470:N1338))/MAX(N$470:N1338)&gt;W1337,W1337,(N1338-MAX(N$470:N1338))/MAX(N$470:N1338))</f>
        <v>-0.62788758315546067</v>
      </c>
      <c r="X1338" s="564">
        <f>IF((O1338-MAX(O$470:O1338))/MAX(O$470:O1338)&gt;X1337,X1337,(O1338-MAX(O$470:O1338))/MAX(O$470:O1338))</f>
        <v>-0.62788758315546067</v>
      </c>
    </row>
    <row r="1339" spans="1:24">
      <c r="A1339" s="799">
        <v>41741</v>
      </c>
      <c r="B1339">
        <v>438.11500000000001</v>
      </c>
      <c r="C1339">
        <v>181.40750800000001</v>
      </c>
      <c r="D1339">
        <v>1.3082750000000001</v>
      </c>
      <c r="E1339">
        <f>LN(D1339/参数实验室!$E$53)/参数实验室!$E$55</f>
        <v>-0.37595741841726127</v>
      </c>
      <c r="F1339">
        <f t="shared" si="148"/>
        <v>0.41406367734498933</v>
      </c>
      <c r="G1339">
        <f>LN(F1339/参数实验室!$E$58)/参数实验室!$E$59</f>
        <v>-0.65331247041643359</v>
      </c>
      <c r="H1339" s="856">
        <f>INDEX(神经网络!$G$10:$BO$70,MATCH(ROUND(G1339*2,1)/2,神经网络!$E$10:$E$70,0),MATCH(ROUND(E1339*2,1)/2,神经网络!$G$8:$BO$8,0))</f>
        <v>-0.96958801537210948</v>
      </c>
      <c r="I1339">
        <f t="shared" si="150"/>
        <v>764.25418291093172</v>
      </c>
      <c r="J1339">
        <f t="shared" si="151"/>
        <v>174.81944056502124</v>
      </c>
      <c r="K1339">
        <f t="shared" si="152"/>
        <v>4.3716773171269807</v>
      </c>
      <c r="L1339" s="4">
        <f>MIN(MAX(L1338*(1+MAX(MIN(((B1339-B1338)/B1338)/($K$7*卓尔金历!$N$40),0),-卓尔金历!$M$43))+MIN(MAX(((B1339-B1338)/B1338)/($K$7*卓尔金历!$N$40),0),卓尔金历!$M$43),0),1)</f>
        <v>1</v>
      </c>
      <c r="M1339" s="4">
        <f>MIN(MAX(M1338*(1+MAX(MIN(((B1339-B1338)/B1338)/($K$7*30),0),-卓尔金历!$M$43))+MIN(MAX(((B1339-B1338)/B1338)/($K$7*7),0),卓尔金历!$M$43),0),1)</f>
        <v>1</v>
      </c>
      <c r="N1339">
        <f t="shared" si="153"/>
        <v>772.77390051938903</v>
      </c>
      <c r="O1339">
        <f t="shared" si="154"/>
        <v>1723.1814583153671</v>
      </c>
      <c r="P1339">
        <f t="shared" si="155"/>
        <v>0.14724328004503978</v>
      </c>
      <c r="Q1339">
        <f t="shared" si="156"/>
        <v>5.6045882324807325E-2</v>
      </c>
      <c r="R1339">
        <f t="shared" si="157"/>
        <v>1.5120700216666653E-3</v>
      </c>
      <c r="S1339">
        <f t="shared" si="149"/>
        <v>12.340713005670411</v>
      </c>
      <c r="T1339" s="564">
        <f>IF((I1339-MAX(I$470:I1339))/MAX(I$470:I1339)&gt;T1338,T1338,(I1339-MAX(I$470:I1339))/MAX(I$470:I1339))</f>
        <v>-0.91338805338419748</v>
      </c>
      <c r="U1339" s="564">
        <f>IF((J1339-MAX(J$470:J1339))/MAX(J$470:J1339)&gt;U1338,U1338,(J1339-MAX(J$470:J1339))/MAX(J$470:J1339))</f>
        <v>-0.70517826086956548</v>
      </c>
      <c r="V1339" s="564">
        <f>IF((K1339-MAX(K$470:K1339))/MAX(K$470:K1339)&gt;V1338,V1338,(K1339-MAX(K$470:K1339))/MAX(K$470:K1339))</f>
        <v>-0.84885940676762139</v>
      </c>
      <c r="W1339" s="564">
        <f>IF((N1339-MAX(N$470:N1339))/MAX(N$470:N1339)&gt;W1338,W1338,(N1339-MAX(N$470:N1339))/MAX(N$470:N1339))</f>
        <v>-0.62788758315546067</v>
      </c>
      <c r="X1339" s="564">
        <f>IF((O1339-MAX(O$470:O1339))/MAX(O$470:O1339)&gt;X1338,X1338,(O1339-MAX(O$470:O1339))/MAX(O$470:O1339))</f>
        <v>-0.62788758315546067</v>
      </c>
    </row>
    <row r="1340" spans="1:24">
      <c r="A1340" s="799">
        <v>41742</v>
      </c>
      <c r="B1340">
        <v>424.92700000000002</v>
      </c>
      <c r="C1340">
        <v>175.921108</v>
      </c>
      <c r="D1340">
        <v>1.284017</v>
      </c>
      <c r="E1340">
        <f>LN(D1340/参数实验室!$E$53)/参数实验室!$E$55</f>
        <v>-0.39803771614872674</v>
      </c>
      <c r="F1340">
        <f t="shared" si="148"/>
        <v>0.41400312994937954</v>
      </c>
      <c r="G1340">
        <f>LN(F1340/参数实验室!$E$58)/参数实验室!$E$59</f>
        <v>-0.65338922399515587</v>
      </c>
      <c r="H1340" s="856">
        <f>INDEX(神经网络!$G$10:$BO$70,MATCH(ROUND(G1340*2,1)/2,神经网络!$E$10:$E$70,0),MATCH(ROUND(E1340*2,1)/2,神经网络!$G$8:$BO$8,0))</f>
        <v>-0.96958801537210948</v>
      </c>
      <c r="I1340">
        <f t="shared" si="150"/>
        <v>786.55988404593518</v>
      </c>
      <c r="J1340">
        <f t="shared" si="151"/>
        <v>169.55708072303568</v>
      </c>
      <c r="K1340">
        <f t="shared" si="152"/>
        <v>4.6389090959329939</v>
      </c>
      <c r="L1340" s="4">
        <f>MIN(MAX(L1339*(1+MAX(MIN(((B1340-B1339)/B1339)/($K$7*卓尔金历!$N$40),0),-卓尔金历!$M$43))+MIN(MAX(((B1340-B1339)/B1339)/($K$7*卓尔金历!$N$40),0),卓尔金历!$M$43),0),1)</f>
        <v>0.54007512999295415</v>
      </c>
      <c r="M1340" s="4">
        <f>MIN(MAX(M1339*(1+MAX(MIN(((B1340-B1339)/B1339)/($K$7*30),0),-卓尔金历!$M$43))+MIN(MAX(((B1340-B1339)/B1339)/($K$7*7),0),卓尔金历!$M$43),0),1)</f>
        <v>0.77003756499647702</v>
      </c>
      <c r="N1340">
        <f t="shared" si="153"/>
        <v>795.32826012297301</v>
      </c>
      <c r="O1340">
        <f t="shared" si="154"/>
        <v>1773.4746349443285</v>
      </c>
      <c r="P1340">
        <f t="shared" si="155"/>
        <v>-3.0101685630485119E-2</v>
      </c>
      <c r="Q1340">
        <f t="shared" si="156"/>
        <v>5.6116641774489107E-2</v>
      </c>
      <c r="R1340">
        <f t="shared" si="157"/>
        <v>0.7138053719089793</v>
      </c>
      <c r="S1340">
        <f t="shared" si="149"/>
        <v>12.341257621437348</v>
      </c>
      <c r="T1340" s="564">
        <f>IF((I1340-MAX(I$470:I1340))/MAX(I$470:I1340)&gt;T1339,T1339,(I1340-MAX(I$470:I1340))/MAX(I$470:I1340))</f>
        <v>-0.91338805338419748</v>
      </c>
      <c r="U1340" s="564">
        <f>IF((J1340-MAX(J$470:J1340))/MAX(J$470:J1340)&gt;U1339,U1339,(J1340-MAX(J$470:J1340))/MAX(J$470:J1340))</f>
        <v>-0.70517826086956548</v>
      </c>
      <c r="V1340" s="564">
        <f>IF((K1340-MAX(K$470:K1340))/MAX(K$470:K1340)&gt;V1339,V1339,(K1340-MAX(K$470:K1340))/MAX(K$470:K1340))</f>
        <v>-0.84885940676762139</v>
      </c>
      <c r="W1340" s="564">
        <f>IF((N1340-MAX(N$470:N1340))/MAX(N$470:N1340)&gt;W1339,W1339,(N1340-MAX(N$470:N1340))/MAX(N$470:N1340))</f>
        <v>-0.62788758315546067</v>
      </c>
      <c r="X1340" s="564">
        <f>IF((O1340-MAX(O$470:O1340))/MAX(O$470:O1340)&gt;X1339,X1339,(O1340-MAX(O$470:O1340))/MAX(O$470:O1340))</f>
        <v>-0.62788758315546067</v>
      </c>
    </row>
    <row r="1341" spans="1:24">
      <c r="A1341" s="799">
        <v>41743</v>
      </c>
      <c r="B1341">
        <v>409.46</v>
      </c>
      <c r="C1341">
        <v>173.27203299999999</v>
      </c>
      <c r="D1341">
        <v>1.4213290000000001</v>
      </c>
      <c r="E1341">
        <f>LN(D1341/参数实验室!$E$53)/参数实验室!$E$55</f>
        <v>-0.27817607915214421</v>
      </c>
      <c r="F1341">
        <f t="shared" si="148"/>
        <v>0.42317206320519707</v>
      </c>
      <c r="G1341">
        <f>LN(F1341/参数实验室!$E$58)/参数实验室!$E$59</f>
        <v>-0.6418921224107037</v>
      </c>
      <c r="H1341" s="856">
        <f>INDEX(神经网络!$G$10:$BO$70,MATCH(ROUND(G1341*2,1)/2,神经网络!$E$10:$E$70,0),MATCH(ROUND(E1341*2,1)/2,神经网络!$G$8:$BO$8,0))</f>
        <v>-0.93482114736766087</v>
      </c>
      <c r="I1341">
        <f t="shared" si="150"/>
        <v>814.31932974932386</v>
      </c>
      <c r="J1341">
        <f t="shared" si="151"/>
        <v>163.38533977095875</v>
      </c>
      <c r="K1341">
        <f t="shared" si="152"/>
        <v>4.9840415969442242</v>
      </c>
      <c r="L1341" s="4">
        <f>MIN(MAX(L1340*(1+MAX(MIN(((B1341-B1340)/B1340)/($K$7*卓尔金历!$N$40),0),-卓尔金历!$M$43))+MIN(MAX(((B1341-B1340)/B1340)/($K$7*卓尔金历!$N$40),0),卓尔金历!$M$43),0),1)</f>
        <v>0.23971518534057823</v>
      </c>
      <c r="M1341" s="4">
        <f>MIN(MAX(M1340*(1+MAX(MIN(((B1341-B1340)/B1340)/($K$7*30),0),-卓尔金历!$M$43))+MIN(MAX(((B1341-B1340)/B1340)/($K$7*7),0),卓尔金历!$M$43),0),1)</f>
        <v>0.5559113929529601</v>
      </c>
      <c r="N1341">
        <f t="shared" si="153"/>
        <v>810.48757557364843</v>
      </c>
      <c r="O1341">
        <f t="shared" si="154"/>
        <v>1821.6711781471913</v>
      </c>
      <c r="P1341">
        <f t="shared" si="155"/>
        <v>-3.6399193273197607E-2</v>
      </c>
      <c r="Q1341">
        <f t="shared" si="156"/>
        <v>5.6340517484465356E-2</v>
      </c>
      <c r="R1341">
        <f t="shared" si="157"/>
        <v>0.51749950542494894</v>
      </c>
      <c r="S1341">
        <f t="shared" si="149"/>
        <v>12.652155835545246</v>
      </c>
      <c r="T1341" s="564">
        <f>IF((I1341-MAX(I$470:I1341))/MAX(I$470:I1341)&gt;T1340,T1340,(I1341-MAX(I$470:I1341))/MAX(I$470:I1341))</f>
        <v>-0.91338805338419748</v>
      </c>
      <c r="U1341" s="564">
        <f>IF((J1341-MAX(J$470:J1341))/MAX(J$470:J1341)&gt;U1340,U1340,(J1341-MAX(J$470:J1341))/MAX(J$470:J1341))</f>
        <v>-0.70517826086956548</v>
      </c>
      <c r="V1341" s="564">
        <f>IF((K1341-MAX(K$470:K1341))/MAX(K$470:K1341)&gt;V1340,V1340,(K1341-MAX(K$470:K1341))/MAX(K$470:K1341))</f>
        <v>-0.84885940676762139</v>
      </c>
      <c r="W1341" s="564">
        <f>IF((N1341-MAX(N$470:N1341))/MAX(N$470:N1341)&gt;W1340,W1340,(N1341-MAX(N$470:N1341))/MAX(N$470:N1341))</f>
        <v>-0.62788758315546067</v>
      </c>
      <c r="X1341" s="564">
        <f>IF((O1341-MAX(O$470:O1341))/MAX(O$470:O1341)&gt;X1340,X1340,(O1341-MAX(O$470:O1341))/MAX(O$470:O1341))</f>
        <v>-0.62788758315546067</v>
      </c>
    </row>
    <row r="1342" spans="1:24">
      <c r="A1342" s="799">
        <v>41744</v>
      </c>
      <c r="B1342">
        <v>455.37299999999999</v>
      </c>
      <c r="C1342">
        <v>172.36424600000001</v>
      </c>
      <c r="D1342">
        <v>1.6054740000000001</v>
      </c>
      <c r="E1342">
        <f>LN(D1342/参数实验室!$E$53)/参数实验室!$E$55</f>
        <v>-0.13445064562706879</v>
      </c>
      <c r="F1342">
        <f t="shared" si="148"/>
        <v>0.37851222184890193</v>
      </c>
      <c r="G1342">
        <f>LN(F1342/参数实验室!$E$58)/参数实验室!$E$59</f>
        <v>-0.7004293576099343</v>
      </c>
      <c r="H1342" s="856">
        <f>INDEX(神经网络!$G$10:$BO$70,MATCH(ROUND(G1342*2,1)/2,神经网络!$E$10:$E$70,0),MATCH(ROUND(E1342*2,1)/2,神经网络!$G$8:$BO$8,0))</f>
        <v>-0.91549094072519677</v>
      </c>
      <c r="I1342">
        <f t="shared" si="150"/>
        <v>728.96069483398969</v>
      </c>
      <c r="J1342">
        <f t="shared" si="151"/>
        <v>181.70583775587554</v>
      </c>
      <c r="K1342">
        <f t="shared" si="152"/>
        <v>4.0117626590146163</v>
      </c>
      <c r="L1342" s="4">
        <f>MIN(MAX(L1341*(1+MAX(MIN(((B1342-B1341)/B1341)/($K$7*卓尔金历!$N$40),0),-卓尔金历!$M$43))+MIN(MAX(((B1342-B1341)/B1341)/($K$7*卓尔金历!$N$40),0),卓尔金历!$M$43),0),1)</f>
        <v>1</v>
      </c>
      <c r="M1342" s="4">
        <f>MIN(MAX(M1341*(1+MAX(MIN(((B1342-B1341)/B1341)/($K$7*30),0),-卓尔金历!$M$43))+MIN(MAX(((B1342-B1341)/B1341)/($K$7*7),0),卓尔金历!$M$43),0),1)</f>
        <v>1</v>
      </c>
      <c r="N1342">
        <f t="shared" si="153"/>
        <v>790.12209676183238</v>
      </c>
      <c r="O1342">
        <f t="shared" si="154"/>
        <v>1715.5191542245091</v>
      </c>
      <c r="P1342">
        <f t="shared" si="155"/>
        <v>0.11213061104869831</v>
      </c>
      <c r="Q1342">
        <f t="shared" si="156"/>
        <v>6.1764178185657291E-2</v>
      </c>
      <c r="R1342">
        <f t="shared" si="157"/>
        <v>2.274236784765624E-2</v>
      </c>
      <c r="S1342">
        <f t="shared" si="149"/>
        <v>11.965834991835708</v>
      </c>
      <c r="T1342" s="564">
        <f>IF((I1342-MAX(I$470:I1342))/MAX(I$470:I1342)&gt;T1341,T1341,(I1342-MAX(I$470:I1342))/MAX(I$470:I1342))</f>
        <v>-0.91338805338419748</v>
      </c>
      <c r="U1342" s="564">
        <f>IF((J1342-MAX(J$470:J1342))/MAX(J$470:J1342)&gt;U1341,U1341,(J1342-MAX(J$470:J1342))/MAX(J$470:J1342))</f>
        <v>-0.70517826086956548</v>
      </c>
      <c r="V1342" s="564">
        <f>IF((K1342-MAX(K$470:K1342))/MAX(K$470:K1342)&gt;V1341,V1341,(K1342-MAX(K$470:K1342))/MAX(K$470:K1342))</f>
        <v>-0.84885940676762139</v>
      </c>
      <c r="W1342" s="564">
        <f>IF((N1342-MAX(N$470:N1342))/MAX(N$470:N1342)&gt;W1341,W1341,(N1342-MAX(N$470:N1342))/MAX(N$470:N1342))</f>
        <v>-0.62788758315546067</v>
      </c>
      <c r="X1342" s="564">
        <f>IF((O1342-MAX(O$470:O1342))/MAX(O$470:O1342)&gt;X1341,X1341,(O1342-MAX(O$470:O1342))/MAX(O$470:O1342))</f>
        <v>-0.62788758315546067</v>
      </c>
    </row>
    <row r="1343" spans="1:24">
      <c r="A1343" s="799">
        <v>41745</v>
      </c>
      <c r="B1343">
        <v>515.64099999999996</v>
      </c>
      <c r="C1343">
        <v>172.74220399999999</v>
      </c>
      <c r="D1343">
        <v>1.6284810000000001</v>
      </c>
      <c r="E1343">
        <f>LN(D1343/参数实验室!$E$53)/参数实验室!$E$55</f>
        <v>-0.1176643633133664</v>
      </c>
      <c r="F1343">
        <f t="shared" si="148"/>
        <v>0.33500478821505658</v>
      </c>
      <c r="G1343">
        <f>LN(F1343/参数实验室!$E$58)/参数实验室!$E$59</f>
        <v>-0.76451589303357304</v>
      </c>
      <c r="H1343" s="856">
        <f>INDEX(神经网络!$G$10:$BO$70,MATCH(ROUND(G1343*2,1)/2,神经网络!$E$10:$E$70,0),MATCH(ROUND(E1343*2,1)/2,神经网络!$G$8:$BO$8,0))</f>
        <v>-0.93573986365083472</v>
      </c>
      <c r="I1343">
        <f t="shared" si="150"/>
        <v>640.63691106024203</v>
      </c>
      <c r="J1343">
        <f t="shared" si="151"/>
        <v>205.75435936315372</v>
      </c>
      <c r="K1343">
        <f t="shared" si="152"/>
        <v>3.1136006694736724</v>
      </c>
      <c r="L1343" s="4">
        <f>MIN(MAX(L1342*(1+MAX(MIN(((B1343-B1342)/B1342)/($K$7*卓尔金历!$N$40),0),-卓尔金历!$M$43))+MIN(MAX(((B1343-B1342)/B1342)/($K$7*卓尔金历!$N$40),0),卓尔金历!$M$43),0),1)</f>
        <v>1</v>
      </c>
      <c r="M1343" s="4">
        <f>MIN(MAX(M1342*(1+MAX(MIN(((B1343-B1342)/B1342)/($K$7*30),0),-卓尔金历!$M$43))+MIN(MAX(((B1343-B1342)/B1342)/($K$7*7),0),卓尔金历!$M$43),0),1)</f>
        <v>1</v>
      </c>
      <c r="N1343">
        <f t="shared" si="153"/>
        <v>694.38775371176564</v>
      </c>
      <c r="O1343">
        <f t="shared" si="154"/>
        <v>1507.660014614856</v>
      </c>
      <c r="P1343">
        <f t="shared" si="155"/>
        <v>0.13234864605499222</v>
      </c>
      <c r="Q1343">
        <f t="shared" si="156"/>
        <v>6.8540678883726905E-2</v>
      </c>
      <c r="R1343">
        <f t="shared" si="157"/>
        <v>2.1122590644504908E-2</v>
      </c>
      <c r="S1343">
        <f t="shared" si="149"/>
        <v>11.93286246402209</v>
      </c>
      <c r="T1343" s="564">
        <f>IF((I1343-MAX(I$470:I1343))/MAX(I$470:I1343)&gt;T1342,T1342,(I1343-MAX(I$470:I1343))/MAX(I$470:I1343))</f>
        <v>-0.91338805338419748</v>
      </c>
      <c r="U1343" s="564">
        <f>IF((J1343-MAX(J$470:J1343))/MAX(J$470:J1343)&gt;U1342,U1342,(J1343-MAX(J$470:J1343))/MAX(J$470:J1343))</f>
        <v>-0.70517826086956548</v>
      </c>
      <c r="V1343" s="564">
        <f>IF((K1343-MAX(K$470:K1343))/MAX(K$470:K1343)&gt;V1342,V1342,(K1343-MAX(K$470:K1343))/MAX(K$470:K1343))</f>
        <v>-0.84885940676762139</v>
      </c>
      <c r="W1343" s="564">
        <f>IF((N1343-MAX(N$470:N1343))/MAX(N$470:N1343)&gt;W1342,W1342,(N1343-MAX(N$470:N1343))/MAX(N$470:N1343))</f>
        <v>-0.62788758315546067</v>
      </c>
      <c r="X1343" s="564">
        <f>IF((O1343-MAX(O$470:O1343))/MAX(O$470:O1343)&gt;X1342,X1342,(O1343-MAX(O$470:O1343))/MAX(O$470:O1343))</f>
        <v>-0.62788758315546067</v>
      </c>
    </row>
    <row r="1344" spans="1:24">
      <c r="A1344" s="799">
        <v>41746</v>
      </c>
      <c r="B1344">
        <v>519.52</v>
      </c>
      <c r="C1344">
        <v>170.62931</v>
      </c>
      <c r="D1344">
        <v>1.5301039999999999</v>
      </c>
      <c r="E1344">
        <f>LN(D1344/参数实验室!$E$53)/参数实验室!$E$55</f>
        <v>-0.19117711387276418</v>
      </c>
      <c r="F1344">
        <f t="shared" si="148"/>
        <v>0.328436460578996</v>
      </c>
      <c r="G1344">
        <f>LN(F1344/参数实验室!$E$58)/参数实验室!$E$59</f>
        <v>-0.77490875288317507</v>
      </c>
      <c r="H1344" s="856">
        <f>INDEX(神经网络!$G$10:$BO$70,MATCH(ROUND(G1344*2,1)/2,神经网络!$E$10:$E$70,0),MATCH(ROUND(E1344*2,1)/2,神经网络!$G$8:$BO$8,0))</f>
        <v>-0.97113082737311462</v>
      </c>
      <c r="I1344">
        <f t="shared" si="150"/>
        <v>636.12729647523349</v>
      </c>
      <c r="J1344">
        <f t="shared" si="151"/>
        <v>207.3021826742746</v>
      </c>
      <c r="K1344">
        <f t="shared" si="152"/>
        <v>3.0685991255323835</v>
      </c>
      <c r="L1344" s="4">
        <f>MIN(MAX(L1343*(1+MAX(MIN(((B1344-B1343)/B1343)/($K$7*卓尔金历!$N$40),0),-卓尔金历!$M$43))+MIN(MAX(((B1344-B1343)/B1343)/($K$7*卓尔金历!$N$40),0),卓尔金历!$M$43),0),1)</f>
        <v>1</v>
      </c>
      <c r="M1344" s="4">
        <f>MIN(MAX(M1343*(1+MAX(MIN(((B1344-B1343)/B1343)/($K$7*30),0),-卓尔金历!$M$43))+MIN(MAX(((B1344-B1343)/B1343)/($K$7*7),0),卓尔金历!$M$43),0),1)</f>
        <v>1</v>
      </c>
      <c r="N1344">
        <f t="shared" si="153"/>
        <v>689.49977256717716</v>
      </c>
      <c r="O1344">
        <f t="shared" si="154"/>
        <v>1497.0471924783837</v>
      </c>
      <c r="P1344">
        <f t="shared" si="155"/>
        <v>7.5226756600038002E-3</v>
      </c>
      <c r="Q1344">
        <f t="shared" si="156"/>
        <v>6.690793485935799E-2</v>
      </c>
      <c r="R1344">
        <f t="shared" si="157"/>
        <v>1</v>
      </c>
      <c r="S1344">
        <f t="shared" si="149"/>
        <v>11.931088195749727</v>
      </c>
      <c r="T1344" s="564">
        <f>IF((I1344-MAX(I$470:I1344))/MAX(I$470:I1344)&gt;T1343,T1343,(I1344-MAX(I$470:I1344))/MAX(I$470:I1344))</f>
        <v>-0.91338805338419748</v>
      </c>
      <c r="U1344" s="564">
        <f>IF((J1344-MAX(J$470:J1344))/MAX(J$470:J1344)&gt;U1343,U1343,(J1344-MAX(J$470:J1344))/MAX(J$470:J1344))</f>
        <v>-0.70517826086956548</v>
      </c>
      <c r="V1344" s="564">
        <f>IF((K1344-MAX(K$470:K1344))/MAX(K$470:K1344)&gt;V1343,V1343,(K1344-MAX(K$470:K1344))/MAX(K$470:K1344))</f>
        <v>-0.84885940676762139</v>
      </c>
      <c r="W1344" s="564">
        <f>IF((N1344-MAX(N$470:N1344))/MAX(N$470:N1344)&gt;W1343,W1343,(N1344-MAX(N$470:N1344))/MAX(N$470:N1344))</f>
        <v>-0.62788758315546067</v>
      </c>
      <c r="X1344" s="564">
        <f>IF((O1344-MAX(O$470:O1344))/MAX(O$470:O1344)&gt;X1343,X1343,(O1344-MAX(O$470:O1344))/MAX(O$470:O1344))</f>
        <v>-0.62788758315546067</v>
      </c>
    </row>
    <row r="1345" spans="1:24">
      <c r="A1345" s="799">
        <v>41747</v>
      </c>
      <c r="B1345">
        <v>493.83600000000001</v>
      </c>
      <c r="C1345">
        <v>170.80498</v>
      </c>
      <c r="D1345">
        <v>1.4800059999999999</v>
      </c>
      <c r="E1345">
        <f>LN(D1345/参数实验室!$E$53)/参数实验室!$E$55</f>
        <v>-0.23045058632362542</v>
      </c>
      <c r="F1345">
        <f t="shared" si="148"/>
        <v>0.34587389335730889</v>
      </c>
      <c r="G1345">
        <f>LN(F1345/参数实验室!$E$58)/参数实验室!$E$59</f>
        <v>-0.74775761118373507</v>
      </c>
      <c r="H1345" s="856">
        <f>INDEX(神经网络!$G$10:$BO$70,MATCH(ROUND(G1345*2,1)/2,神经网络!$E$10:$E$70,0),MATCH(ROUND(E1345*2,1)/2,神经网络!$G$8:$BO$8,0))</f>
        <v>-0.98784483228017717</v>
      </c>
      <c r="I1345">
        <f t="shared" si="150"/>
        <v>666.66821976536664</v>
      </c>
      <c r="J1345">
        <f t="shared" si="151"/>
        <v>197.05358924224879</v>
      </c>
      <c r="K1345">
        <f t="shared" si="152"/>
        <v>3.3831823227832447</v>
      </c>
      <c r="L1345" s="4">
        <f>MIN(MAX(L1344*(1+MAX(MIN(((B1345-B1344)/B1344)/($K$7*卓尔金历!$N$40),0),-卓尔金历!$M$43))+MIN(MAX(((B1345-B1344)/B1344)/($K$7*卓尔金历!$N$40),0),卓尔金历!$M$43),0),1)</f>
        <v>0.24463567733870395</v>
      </c>
      <c r="M1345" s="4">
        <f>MIN(MAX(M1344*(1+MAX(MIN(((B1345-B1344)/B1344)/($K$7*30),0),-卓尔金历!$M$43))+MIN(MAX(((B1345-B1344)/B1344)/($K$7*7),0),卓尔金历!$M$43),0),1)</f>
        <v>0.62231783866935197</v>
      </c>
      <c r="N1345">
        <f t="shared" si="153"/>
        <v>722.60314634035126</v>
      </c>
      <c r="O1345">
        <f t="shared" si="154"/>
        <v>1568.921491412782</v>
      </c>
      <c r="P1345">
        <f t="shared" si="155"/>
        <v>-4.9437942716353496E-2</v>
      </c>
      <c r="Q1345">
        <f t="shared" si="156"/>
        <v>6.7247872610175993E-2</v>
      </c>
      <c r="R1345">
        <f t="shared" si="157"/>
        <v>0.39516049409557602</v>
      </c>
      <c r="S1345">
        <f t="shared" si="149"/>
        <v>12.503908213650643</v>
      </c>
      <c r="T1345" s="564">
        <f>IF((I1345-MAX(I$470:I1345))/MAX(I$470:I1345)&gt;T1344,T1344,(I1345-MAX(I$470:I1345))/MAX(I$470:I1345))</f>
        <v>-0.91338805338419748</v>
      </c>
      <c r="U1345" s="564">
        <f>IF((J1345-MAX(J$470:J1345))/MAX(J$470:J1345)&gt;U1344,U1344,(J1345-MAX(J$470:J1345))/MAX(J$470:J1345))</f>
        <v>-0.70517826086956548</v>
      </c>
      <c r="V1345" s="564">
        <f>IF((K1345-MAX(K$470:K1345))/MAX(K$470:K1345)&gt;V1344,V1344,(K1345-MAX(K$470:K1345))/MAX(K$470:K1345))</f>
        <v>-0.84885940676762139</v>
      </c>
      <c r="W1345" s="564">
        <f>IF((N1345-MAX(N$470:N1345))/MAX(N$470:N1345)&gt;W1344,W1344,(N1345-MAX(N$470:N1345))/MAX(N$470:N1345))</f>
        <v>-0.62788758315546067</v>
      </c>
      <c r="X1345" s="564">
        <f>IF((O1345-MAX(O$470:O1345))/MAX(O$470:O1345)&gt;X1344,X1344,(O1345-MAX(O$470:O1345))/MAX(O$470:O1345))</f>
        <v>-0.62788758315546067</v>
      </c>
    </row>
    <row r="1346" spans="1:24">
      <c r="A1346" s="799">
        <v>41748</v>
      </c>
      <c r="B1346">
        <v>471.86399999999998</v>
      </c>
      <c r="C1346">
        <v>172.780495</v>
      </c>
      <c r="D1346">
        <v>1.5448139999999999</v>
      </c>
      <c r="E1346">
        <f>LN(D1346/参数实验室!$E$53)/参数实验室!$E$55</f>
        <v>-0.17988946158006217</v>
      </c>
      <c r="F1346">
        <f t="shared" si="148"/>
        <v>0.3661658761846634</v>
      </c>
      <c r="G1346">
        <f>LN(F1346/参数实验室!$E$58)/参数实验室!$E$59</f>
        <v>-0.7178345244679597</v>
      </c>
      <c r="H1346" s="856">
        <f>INDEX(神经网络!$G$10:$BO$70,MATCH(ROUND(G1346*2,1)/2,神经网络!$E$10:$E$70,0),MATCH(ROUND(E1346*2,1)/2,神经网络!$G$8:$BO$8,0))</f>
        <v>-0.93549616063673213</v>
      </c>
      <c r="I1346">
        <f t="shared" si="150"/>
        <v>695.96941452057581</v>
      </c>
      <c r="J1346">
        <f t="shared" si="151"/>
        <v>188.28618171661134</v>
      </c>
      <c r="K1346">
        <f t="shared" si="152"/>
        <v>3.6963382451935649</v>
      </c>
      <c r="L1346" s="4">
        <f>MIN(MAX(L1345*(1+MAX(MIN(((B1346-B1345)/B1345)/($K$7*卓尔金历!$N$40),0),-卓尔金历!$M$43))+MIN(MAX(((B1346-B1345)/B1345)/($K$7*卓尔金历!$N$40),0),卓尔金历!$M$43),0),1)</f>
        <v>7.8331669055190054E-2</v>
      </c>
      <c r="M1346" s="4">
        <f>MIN(MAX(M1345*(1+MAX(MIN(((B1346-B1345)/B1345)/($K$7*30),0),-卓尔金历!$M$43))+MIN(MAX(((B1346-B1345)/B1345)/($K$7*7),0),卓尔金历!$M$43),0),1)</f>
        <v>0.41079114697230135</v>
      </c>
      <c r="N1346">
        <f t="shared" si="153"/>
        <v>730.37268476464408</v>
      </c>
      <c r="O1346">
        <f t="shared" si="154"/>
        <v>1611.8345074192355</v>
      </c>
      <c r="P1346">
        <f t="shared" si="155"/>
        <v>-4.4492503584185918E-2</v>
      </c>
      <c r="Q1346">
        <f t="shared" si="156"/>
        <v>6.6700382236419845E-2</v>
      </c>
      <c r="R1346">
        <f t="shared" si="157"/>
        <v>0.49936582894519133</v>
      </c>
      <c r="S1346">
        <f t="shared" si="149"/>
        <v>12.721075734322786</v>
      </c>
      <c r="T1346" s="564">
        <f>IF((I1346-MAX(I$470:I1346))/MAX(I$470:I1346)&gt;T1345,T1345,(I1346-MAX(I$470:I1346))/MAX(I$470:I1346))</f>
        <v>-0.91338805338419748</v>
      </c>
      <c r="U1346" s="564">
        <f>IF((J1346-MAX(J$470:J1346))/MAX(J$470:J1346)&gt;U1345,U1345,(J1346-MAX(J$470:J1346))/MAX(J$470:J1346))</f>
        <v>-0.70517826086956548</v>
      </c>
      <c r="V1346" s="564">
        <f>IF((K1346-MAX(K$470:K1346))/MAX(K$470:K1346)&gt;V1345,V1345,(K1346-MAX(K$470:K1346))/MAX(K$470:K1346))</f>
        <v>-0.84885940676762139</v>
      </c>
      <c r="W1346" s="564">
        <f>IF((N1346-MAX(N$470:N1346))/MAX(N$470:N1346)&gt;W1345,W1345,(N1346-MAX(N$470:N1346))/MAX(N$470:N1346))</f>
        <v>-0.62788758315546067</v>
      </c>
      <c r="X1346" s="564">
        <f>IF((O1346-MAX(O$470:O1346))/MAX(O$470:O1346)&gt;X1345,X1345,(O1346-MAX(O$470:O1346))/MAX(O$470:O1346))</f>
        <v>-0.62788758315546067</v>
      </c>
    </row>
    <row r="1347" spans="1:24">
      <c r="A1347" s="799">
        <v>41749</v>
      </c>
      <c r="B1347">
        <v>504.63799999999998</v>
      </c>
      <c r="C1347">
        <v>173.78767500000001</v>
      </c>
      <c r="D1347">
        <v>1.537037</v>
      </c>
      <c r="E1347">
        <f>LN(D1347/参数实验室!$E$53)/参数实验室!$E$55</f>
        <v>-0.18584364979597021</v>
      </c>
      <c r="F1347">
        <f t="shared" si="148"/>
        <v>0.34438087302184933</v>
      </c>
      <c r="G1347">
        <f>LN(F1347/参数实验室!$E$58)/参数实验室!$E$59</f>
        <v>-0.75002813221367814</v>
      </c>
      <c r="H1347" s="856">
        <f>INDEX(神经网络!$G$10:$BO$70,MATCH(ROUND(G1347*2,1)/2,神经网络!$E$10:$E$70,0),MATCH(ROUND(E1347*2,1)/2,神经网络!$G$8:$BO$8,0))</f>
        <v>-0.97113082737311462</v>
      </c>
      <c r="I1347">
        <f t="shared" si="150"/>
        <v>650.74793489060755</v>
      </c>
      <c r="J1347">
        <f t="shared" si="151"/>
        <v>201.3638721519491</v>
      </c>
      <c r="K1347">
        <f t="shared" si="152"/>
        <v>3.2317015358125087</v>
      </c>
      <c r="L1347" s="4">
        <f>MIN(MAX(L1346*(1+MAX(MIN(((B1347-B1346)/B1346)/($K$7*卓尔金历!$N$40),0),-卓尔金历!$M$43))+MIN(MAX(((B1347-B1346)/B1346)/($K$7*卓尔金历!$N$40),0),卓尔金历!$M$43),0),1)</f>
        <v>1</v>
      </c>
      <c r="M1347" s="4">
        <f>MIN(MAX(M1346*(1+MAX(MIN(((B1347-B1346)/B1346)/($K$7*30),0),-卓尔金历!$M$43))+MIN(MAX(((B1347-B1346)/B1346)/($K$7*7),0),卓尔金历!$M$43),0),1)</f>
        <v>1</v>
      </c>
      <c r="N1347">
        <f t="shared" si="153"/>
        <v>726.65530854026679</v>
      </c>
      <c r="O1347">
        <f t="shared" si="154"/>
        <v>1568.8119583440439</v>
      </c>
      <c r="P1347">
        <f t="shared" si="155"/>
        <v>6.9456453554413988E-2</v>
      </c>
      <c r="Q1347">
        <f t="shared" si="156"/>
        <v>6.8229855764568664E-2</v>
      </c>
      <c r="R1347">
        <f t="shared" si="157"/>
        <v>6.5511931382973926E-2</v>
      </c>
      <c r="S1347">
        <f t="shared" si="149"/>
        <v>12.308316048853598</v>
      </c>
      <c r="T1347" s="564">
        <f>IF((I1347-MAX(I$470:I1347))/MAX(I$470:I1347)&gt;T1346,T1346,(I1347-MAX(I$470:I1347))/MAX(I$470:I1347))</f>
        <v>-0.91338805338419748</v>
      </c>
      <c r="U1347" s="564">
        <f>IF((J1347-MAX(J$470:J1347))/MAX(J$470:J1347)&gt;U1346,U1346,(J1347-MAX(J$470:J1347))/MAX(J$470:J1347))</f>
        <v>-0.70517826086956548</v>
      </c>
      <c r="V1347" s="564">
        <f>IF((K1347-MAX(K$470:K1347))/MAX(K$470:K1347)&gt;V1346,V1346,(K1347-MAX(K$470:K1347))/MAX(K$470:K1347))</f>
        <v>-0.84885940676762139</v>
      </c>
      <c r="W1347" s="564">
        <f>IF((N1347-MAX(N$470:N1347))/MAX(N$470:N1347)&gt;W1346,W1346,(N1347-MAX(N$470:N1347))/MAX(N$470:N1347))</f>
        <v>-0.62788758315546067</v>
      </c>
      <c r="X1347" s="564">
        <f>IF((O1347-MAX(O$470:O1347))/MAX(O$470:O1347)&gt;X1346,X1346,(O1347-MAX(O$470:O1347))/MAX(O$470:O1347))</f>
        <v>-0.62788758315546067</v>
      </c>
    </row>
    <row r="1348" spans="1:24">
      <c r="A1348" s="799">
        <v>41750</v>
      </c>
      <c r="B1348">
        <v>507.80700000000002</v>
      </c>
      <c r="C1348">
        <v>173.87713299999999</v>
      </c>
      <c r="D1348">
        <v>1.526222</v>
      </c>
      <c r="E1348">
        <f>LN(D1348/参数实验室!$E$53)/参数实验室!$E$55</f>
        <v>-0.19417404846413175</v>
      </c>
      <c r="F1348">
        <f t="shared" si="148"/>
        <v>0.34240790891027495</v>
      </c>
      <c r="G1348">
        <f>LN(F1348/参数实验室!$E$58)/参数实验室!$E$59</f>
        <v>-0.75304367663330574</v>
      </c>
      <c r="H1348" s="856">
        <f>INDEX(神经网络!$G$10:$BO$70,MATCH(ROUND(G1348*2,1)/2,神经网络!$E$10:$E$70,0),MATCH(ROUND(E1348*2,1)/2,神经网络!$G$8:$BO$8,0))</f>
        <v>-0.97113082737311462</v>
      </c>
      <c r="I1348">
        <f t="shared" si="150"/>
        <v>646.77937601363772</v>
      </c>
      <c r="J1348">
        <f t="shared" si="151"/>
        <v>202.62838673636315</v>
      </c>
      <c r="K1348">
        <f t="shared" si="152"/>
        <v>3.1919485045061973</v>
      </c>
      <c r="L1348" s="4">
        <f>MIN(MAX(L1347*(1+MAX(MIN(((B1348-B1347)/B1347)/($K$7*卓尔金历!$N$40),0),-卓尔金历!$M$43))+MIN(MAX(((B1348-B1347)/B1347)/($K$7*卓尔金历!$N$40),0),卓尔金历!$M$43),0),1)</f>
        <v>1</v>
      </c>
      <c r="M1348" s="4">
        <f>MIN(MAX(M1347*(1+MAX(MIN(((B1348-B1347)/B1347)/($K$7*30),0),-卓尔金历!$M$43))+MIN(MAX(((B1348-B1347)/B1347)/($K$7*7),0),卓尔金历!$M$43),0),1)</f>
        <v>1</v>
      </c>
      <c r="N1348">
        <f t="shared" si="153"/>
        <v>722.22383174166657</v>
      </c>
      <c r="O1348">
        <f t="shared" si="154"/>
        <v>1559.2446246810807</v>
      </c>
      <c r="P1348">
        <f t="shared" si="155"/>
        <v>6.2797490478323859E-3</v>
      </c>
      <c r="Q1348">
        <f t="shared" si="156"/>
        <v>6.8039539632432464E-2</v>
      </c>
      <c r="R1348">
        <f t="shared" si="157"/>
        <v>1</v>
      </c>
      <c r="S1348">
        <f t="shared" si="149"/>
        <v>12.303398608827933</v>
      </c>
      <c r="T1348" s="564">
        <f>IF((I1348-MAX(I$470:I1348))/MAX(I$470:I1348)&gt;T1347,T1347,(I1348-MAX(I$470:I1348))/MAX(I$470:I1348))</f>
        <v>-0.91338805338419748</v>
      </c>
      <c r="U1348" s="564">
        <f>IF((J1348-MAX(J$470:J1348))/MAX(J$470:J1348)&gt;U1347,U1347,(J1348-MAX(J$470:J1348))/MAX(J$470:J1348))</f>
        <v>-0.70517826086956548</v>
      </c>
      <c r="V1348" s="564">
        <f>IF((K1348-MAX(K$470:K1348))/MAX(K$470:K1348)&gt;V1347,V1347,(K1348-MAX(K$470:K1348))/MAX(K$470:K1348))</f>
        <v>-0.84885940676762139</v>
      </c>
      <c r="W1348" s="564">
        <f>IF((N1348-MAX(N$470:N1348))/MAX(N$470:N1348)&gt;W1347,W1347,(N1348-MAX(N$470:N1348))/MAX(N$470:N1348))</f>
        <v>-0.62788758315546067</v>
      </c>
      <c r="X1348" s="564">
        <f>IF((O1348-MAX(O$470:O1348))/MAX(O$470:O1348)&gt;X1347,X1347,(O1348-MAX(O$470:O1348))/MAX(O$470:O1348))</f>
        <v>-0.62788758315546067</v>
      </c>
    </row>
    <row r="1349" spans="1:24">
      <c r="A1349" s="799">
        <v>41751</v>
      </c>
      <c r="B1349">
        <v>498.68700000000001</v>
      </c>
      <c r="C1349">
        <v>180.29189500000001</v>
      </c>
      <c r="D1349">
        <v>1.500769</v>
      </c>
      <c r="E1349">
        <f>LN(D1349/参数实验室!$E$53)/参数实验室!$E$55</f>
        <v>-0.21401485213612864</v>
      </c>
      <c r="F1349">
        <f t="shared" ref="F1349:F1412" si="158">C1349/B1349</f>
        <v>0.36153317612049241</v>
      </c>
      <c r="G1349">
        <f>LN(F1349/参数实验室!$E$58)/参数实验室!$E$59</f>
        <v>-0.72451729861947878</v>
      </c>
      <c r="H1349" s="856">
        <f>INDEX(神经网络!$G$10:$BO$70,MATCH(ROUND(G1349*2,1)/2,神经网络!$E$10:$E$70,0),MATCH(ROUND(E1349*2,1)/2,神经网络!$G$8:$BO$8,0))</f>
        <v>-0.93549616063673213</v>
      </c>
      <c r="I1349">
        <f t="shared" si="150"/>
        <v>658.05992039737134</v>
      </c>
      <c r="J1349">
        <f t="shared" si="151"/>
        <v>198.98926619049507</v>
      </c>
      <c r="K1349">
        <f t="shared" si="152"/>
        <v>3.3070121469135016</v>
      </c>
      <c r="L1349" s="4">
        <f>MIN(MAX(L1348*(1+MAX(MIN(((B1349-B1348)/B1348)/($K$7*卓尔金历!$N$40),0),-卓尔金历!$M$43))+MIN(MAX(((B1349-B1348)/B1348)/($K$7*卓尔金历!$N$40),0),卓尔金历!$M$43),0),1)</f>
        <v>0.72559486539038553</v>
      </c>
      <c r="M1349" s="4">
        <f>MIN(MAX(M1348*(1+MAX(MIN(((B1349-B1348)/B1348)/($K$7*30),0),-卓尔金历!$M$43))+MIN(MAX(((B1349-B1348)/B1348)/($K$7*7),0),卓尔金历!$M$43),0),1)</f>
        <v>0.86279743269519282</v>
      </c>
      <c r="N1349">
        <f t="shared" si="153"/>
        <v>734.82021049320588</v>
      </c>
      <c r="O1349">
        <f t="shared" si="154"/>
        <v>1586.4395675721512</v>
      </c>
      <c r="P1349">
        <f t="shared" si="155"/>
        <v>-1.7959579131441677E-2</v>
      </c>
      <c r="Q1349">
        <f t="shared" si="156"/>
        <v>6.7578373931896418E-2</v>
      </c>
      <c r="R1349">
        <f t="shared" si="157"/>
        <v>1</v>
      </c>
      <c r="S1349">
        <f t="shared" si="149"/>
        <v>12.517983425884196</v>
      </c>
      <c r="T1349" s="564">
        <f>IF((I1349-MAX(I$470:I1349))/MAX(I$470:I1349)&gt;T1348,T1348,(I1349-MAX(I$470:I1349))/MAX(I$470:I1349))</f>
        <v>-0.91338805338419748</v>
      </c>
      <c r="U1349" s="564">
        <f>IF((J1349-MAX(J$470:J1349))/MAX(J$470:J1349)&gt;U1348,U1348,(J1349-MAX(J$470:J1349))/MAX(J$470:J1349))</f>
        <v>-0.70517826086956548</v>
      </c>
      <c r="V1349" s="564">
        <f>IF((K1349-MAX(K$470:K1349))/MAX(K$470:K1349)&gt;V1348,V1348,(K1349-MAX(K$470:K1349))/MAX(K$470:K1349))</f>
        <v>-0.84885940676762139</v>
      </c>
      <c r="W1349" s="564">
        <f>IF((N1349-MAX(N$470:N1349))/MAX(N$470:N1349)&gt;W1348,W1348,(N1349-MAX(N$470:N1349))/MAX(N$470:N1349))</f>
        <v>-0.62788758315546067</v>
      </c>
      <c r="X1349" s="564">
        <f>IF((O1349-MAX(O$470:O1349))/MAX(O$470:O1349)&gt;X1348,X1348,(O1349-MAX(O$470:O1349))/MAX(O$470:O1349))</f>
        <v>-0.62788758315546067</v>
      </c>
    </row>
    <row r="1350" spans="1:24">
      <c r="A1350" s="799">
        <v>41752</v>
      </c>
      <c r="B1350">
        <v>490.97500000000002</v>
      </c>
      <c r="C1350">
        <v>182.95777000000001</v>
      </c>
      <c r="D1350">
        <v>1.5016099999999999</v>
      </c>
      <c r="E1350">
        <f>LN(D1350/参数实验室!$E$53)/参数实验室!$E$55</f>
        <v>-0.21335392791295105</v>
      </c>
      <c r="F1350">
        <f t="shared" si="158"/>
        <v>0.37264172310199095</v>
      </c>
      <c r="G1350">
        <f>LN(F1350/参数实验室!$E$58)/参数实验室!$E$59</f>
        <v>-0.70863331568416499</v>
      </c>
      <c r="H1350" s="856">
        <f>INDEX(神经网络!$G$10:$BO$70,MATCH(ROUND(G1350*2,1)/2,神经网络!$E$10:$E$70,0),MATCH(ROUND(E1350*2,1)/2,神经网络!$G$8:$BO$8,0))</f>
        <v>-0.93549616063673213</v>
      </c>
      <c r="I1350">
        <f t="shared" si="150"/>
        <v>667.58012811013123</v>
      </c>
      <c r="J1350">
        <f t="shared" si="151"/>
        <v>195.91197478153296</v>
      </c>
      <c r="K1350">
        <f t="shared" si="152"/>
        <v>3.4075514212674793</v>
      </c>
      <c r="L1350" s="4">
        <f>MIN(MAX(L1349*(1+MAX(MIN(((B1350-B1349)/B1349)/($K$7*卓尔金历!$N$40),0),-卓尔金历!$M$43))+MIN(MAX(((B1350-B1349)/B1349)/($K$7*卓尔金历!$N$40),0),卓尔金历!$M$43),0),1)</f>
        <v>0.55414811686628795</v>
      </c>
      <c r="M1350" s="4">
        <f>MIN(MAX(M1349*(1+MAX(MIN(((B1350-B1349)/B1349)/($K$7*30),0),-卓尔金历!$M$43))+MIN(MAX(((B1350-B1349)/B1349)/($K$7*7),0),卓尔金历!$M$43),0),1)</f>
        <v>0.76086464518094854</v>
      </c>
      <c r="N1350">
        <f t="shared" si="153"/>
        <v>742.5337956213757</v>
      </c>
      <c r="O1350">
        <f t="shared" si="154"/>
        <v>1606.2417638392465</v>
      </c>
      <c r="P1350">
        <f t="shared" si="155"/>
        <v>-1.5464610066033382E-2</v>
      </c>
      <c r="Q1350">
        <f t="shared" si="156"/>
        <v>6.7001550939448679E-2</v>
      </c>
      <c r="R1350">
        <f t="shared" si="157"/>
        <v>1</v>
      </c>
      <c r="S1350">
        <f t="shared" si="149"/>
        <v>12.699082135386728</v>
      </c>
      <c r="T1350" s="564">
        <f>IF((I1350-MAX(I$470:I1350))/MAX(I$470:I1350)&gt;T1349,T1349,(I1350-MAX(I$470:I1350))/MAX(I$470:I1350))</f>
        <v>-0.91338805338419748</v>
      </c>
      <c r="U1350" s="564">
        <f>IF((J1350-MAX(J$470:J1350))/MAX(J$470:J1350)&gt;U1349,U1349,(J1350-MAX(J$470:J1350))/MAX(J$470:J1350))</f>
        <v>-0.70517826086956548</v>
      </c>
      <c r="V1350" s="564">
        <f>IF((K1350-MAX(K$470:K1350))/MAX(K$470:K1350)&gt;V1349,V1349,(K1350-MAX(K$470:K1350))/MAX(K$470:K1350))</f>
        <v>-0.84885940676762139</v>
      </c>
      <c r="W1350" s="564">
        <f>IF((N1350-MAX(N$470:N1350))/MAX(N$470:N1350)&gt;W1349,W1349,(N1350-MAX(N$470:N1350))/MAX(N$470:N1350))</f>
        <v>-0.62788758315546067</v>
      </c>
      <c r="X1350" s="564">
        <f>IF((O1350-MAX(O$470:O1350))/MAX(O$470:O1350)&gt;X1349,X1349,(O1350-MAX(O$470:O1350))/MAX(O$470:O1350))</f>
        <v>-0.62788758315546067</v>
      </c>
    </row>
    <row r="1351" spans="1:24">
      <c r="A1351" s="799">
        <v>41753</v>
      </c>
      <c r="B1351">
        <v>488.40499999999997</v>
      </c>
      <c r="C1351">
        <v>183.78882200000001</v>
      </c>
      <c r="D1351">
        <v>1.5394760000000001</v>
      </c>
      <c r="E1351">
        <f>LN(D1351/参数实验室!$E$53)/参数实验室!$E$55</f>
        <v>-0.18397307829838905</v>
      </c>
      <c r="F1351">
        <f t="shared" si="158"/>
        <v>0.37630413693553511</v>
      </c>
      <c r="G1351">
        <f>LN(F1351/参数实验室!$E$58)/参数实验室!$E$59</f>
        <v>-0.7035001061082119</v>
      </c>
      <c r="H1351" s="856">
        <f>INDEX(神经网络!$G$10:$BO$70,MATCH(ROUND(G1351*2,1)/2,神经网络!$E$10:$E$70,0),MATCH(ROUND(E1351*2,1)/2,神经网络!$G$8:$BO$8,0))</f>
        <v>-0.93549616063673213</v>
      </c>
      <c r="I1351">
        <f t="shared" si="150"/>
        <v>670.84915997974701</v>
      </c>
      <c r="J1351">
        <f t="shared" si="151"/>
        <v>194.88647699612935</v>
      </c>
      <c r="K1351">
        <f t="shared" si="152"/>
        <v>3.4422560781016673</v>
      </c>
      <c r="L1351" s="4">
        <f>MIN(MAX(L1350*(1+MAX(MIN(((B1351-B1350)/B1350)/($K$7*卓尔金历!$N$40),0),-卓尔金历!$M$43))+MIN(MAX(((B1351-B1350)/B1350)/($K$7*卓尔金历!$N$40),0),卓尔金历!$M$43),0),1)</f>
        <v>0.50982853190708555</v>
      </c>
      <c r="M1351" s="4">
        <f>MIN(MAX(M1350*(1+MAX(MIN(((B1351-B1350)/B1350)/($K$7*30),0),-卓尔金历!$M$43))+MIN(MAX(((B1351-B1350)/B1350)/($K$7*7),0),卓尔金历!$M$43),0),1)</f>
        <v>0.73043847909087489</v>
      </c>
      <c r="N1351">
        <f t="shared" si="153"/>
        <v>744.54871577410859</v>
      </c>
      <c r="O1351">
        <f t="shared" si="154"/>
        <v>1612.2263492861123</v>
      </c>
      <c r="P1351">
        <f t="shared" si="155"/>
        <v>-5.2344824074546563E-3</v>
      </c>
      <c r="Q1351">
        <f t="shared" si="156"/>
        <v>6.1865500863605594E-2</v>
      </c>
      <c r="R1351">
        <f t="shared" si="157"/>
        <v>1</v>
      </c>
      <c r="S1351">
        <f t="shared" si="149"/>
        <v>12.761267485829931</v>
      </c>
      <c r="T1351" s="564">
        <f>IF((I1351-MAX(I$470:I1351))/MAX(I$470:I1351)&gt;T1350,T1350,(I1351-MAX(I$470:I1351))/MAX(I$470:I1351))</f>
        <v>-0.91338805338419748</v>
      </c>
      <c r="U1351" s="564">
        <f>IF((J1351-MAX(J$470:J1351))/MAX(J$470:J1351)&gt;U1350,U1350,(J1351-MAX(J$470:J1351))/MAX(J$470:J1351))</f>
        <v>-0.70517826086956548</v>
      </c>
      <c r="V1351" s="564">
        <f>IF((K1351-MAX(K$470:K1351))/MAX(K$470:K1351)&gt;V1350,V1350,(K1351-MAX(K$470:K1351))/MAX(K$470:K1351))</f>
        <v>-0.84885940676762139</v>
      </c>
      <c r="W1351" s="564">
        <f>IF((N1351-MAX(N$470:N1351))/MAX(N$470:N1351)&gt;W1350,W1350,(N1351-MAX(N$470:N1351))/MAX(N$470:N1351))</f>
        <v>-0.62788758315546067</v>
      </c>
      <c r="X1351" s="564">
        <f>IF((O1351-MAX(O$470:O1351))/MAX(O$470:O1351)&gt;X1350,X1350,(O1351-MAX(O$470:O1351))/MAX(O$470:O1351))</f>
        <v>-0.62788758315546067</v>
      </c>
    </row>
    <row r="1352" spans="1:24">
      <c r="A1352" s="799">
        <v>41754</v>
      </c>
      <c r="B1352">
        <v>456.30700000000002</v>
      </c>
      <c r="C1352">
        <v>181.511674</v>
      </c>
      <c r="D1352">
        <v>1.428078</v>
      </c>
      <c r="E1352">
        <f>LN(D1352/参数实验室!$E$53)/参数实验室!$E$55</f>
        <v>-0.27258742892907079</v>
      </c>
      <c r="F1352">
        <f t="shared" si="158"/>
        <v>0.39778411025910188</v>
      </c>
      <c r="G1352">
        <f>LN(F1352/参数实验室!$E$58)/参数实验室!$E$59</f>
        <v>-0.67436455001020523</v>
      </c>
      <c r="H1352" s="856">
        <f>INDEX(神经网络!$G$10:$BO$70,MATCH(ROUND(G1352*2,1)/2,神经网络!$E$10:$E$70,0),MATCH(ROUND(E1352*2,1)/2,神经网络!$G$8:$BO$8,0))</f>
        <v>-0.91498787549703464</v>
      </c>
      <c r="I1352">
        <f t="shared" si="150"/>
        <v>712.09353823263848</v>
      </c>
      <c r="J1352">
        <f t="shared" si="151"/>
        <v>182.07852839072655</v>
      </c>
      <c r="K1352">
        <f t="shared" si="152"/>
        <v>3.9109143979049543</v>
      </c>
      <c r="L1352" s="4">
        <f>MIN(MAX(L1351*(1+MAX(MIN(((B1352-B1351)/B1351)/($K$7*卓尔金历!$N$40),0),-卓尔金历!$M$43))+MIN(MAX(((B1352-B1351)/B1351)/($K$7*卓尔金历!$N$40),0),卓尔金历!$M$43),0),1)</f>
        <v>0</v>
      </c>
      <c r="M1352" s="4">
        <f>MIN(MAX(M1351*(1+MAX(MIN(((B1352-B1351)/B1351)/($K$7*30),0),-卓尔金历!$M$43))+MIN(MAX(((B1352-B1351)/B1351)/($K$7*7),0),卓尔金历!$M$43),0),1)</f>
        <v>0.36370750023166348</v>
      </c>
      <c r="N1352">
        <f t="shared" si="153"/>
        <v>767.88636652180719</v>
      </c>
      <c r="O1352">
        <f t="shared" si="154"/>
        <v>1684.6281785666713</v>
      </c>
      <c r="P1352">
        <f t="shared" si="155"/>
        <v>-6.572004791105733E-2</v>
      </c>
      <c r="Q1352">
        <f t="shared" si="156"/>
        <v>6.3719724445417514E-2</v>
      </c>
      <c r="R1352">
        <f t="shared" si="157"/>
        <v>5.9953246793225681E-2</v>
      </c>
      <c r="S1352">
        <f t="shared" si="149"/>
        <v>13.545841089809377</v>
      </c>
      <c r="T1352" s="564">
        <f>IF((I1352-MAX(I$470:I1352))/MAX(I$470:I1352)&gt;T1351,T1351,(I1352-MAX(I$470:I1352))/MAX(I$470:I1352))</f>
        <v>-0.91338805338419748</v>
      </c>
      <c r="U1352" s="564">
        <f>IF((J1352-MAX(J$470:J1352))/MAX(J$470:J1352)&gt;U1351,U1351,(J1352-MAX(J$470:J1352))/MAX(J$470:J1352))</f>
        <v>-0.70517826086956548</v>
      </c>
      <c r="V1352" s="564">
        <f>IF((K1352-MAX(K$470:K1352))/MAX(K$470:K1352)&gt;V1351,V1351,(K1352-MAX(K$470:K1352))/MAX(K$470:K1352))</f>
        <v>-0.84885940676762139</v>
      </c>
      <c r="W1352" s="564">
        <f>IF((N1352-MAX(N$470:N1352))/MAX(N$470:N1352)&gt;W1351,W1351,(N1352-MAX(N$470:N1352))/MAX(N$470:N1352))</f>
        <v>-0.62788758315546067</v>
      </c>
      <c r="X1352" s="564">
        <f>IF((O1352-MAX(O$470:O1352))/MAX(O$470:O1352)&gt;X1351,X1351,(O1352-MAX(O$470:O1352))/MAX(O$470:O1352))</f>
        <v>-0.62788758315546067</v>
      </c>
    </row>
    <row r="1353" spans="1:24">
      <c r="A1353" s="799">
        <v>41755</v>
      </c>
      <c r="B1353">
        <v>451.65699999999998</v>
      </c>
      <c r="C1353">
        <v>182.78049999999999</v>
      </c>
      <c r="D1353">
        <v>1.4063300000000001</v>
      </c>
      <c r="E1353">
        <f>LN(D1353/参数实验室!$E$53)/参数实验室!$E$55</f>
        <v>-0.29069193404758309</v>
      </c>
      <c r="F1353">
        <f t="shared" si="158"/>
        <v>0.40468873503565761</v>
      </c>
      <c r="G1353">
        <f>LN(F1353/参数实验室!$E$58)/参数实验室!$E$59</f>
        <v>-0.6653324446029153</v>
      </c>
      <c r="H1353" s="856">
        <f>INDEX(神经网络!$G$10:$BO$70,MATCH(ROUND(G1353*2,1)/2,神经网络!$E$10:$E$70,0),MATCH(ROUND(E1353*2,1)/2,神经网络!$G$8:$BO$8,0))</f>
        <v>-0.93482114736766087</v>
      </c>
      <c r="I1353">
        <f t="shared" si="150"/>
        <v>718.73323439052638</v>
      </c>
      <c r="J1353">
        <f t="shared" si="151"/>
        <v>180.22305574398459</v>
      </c>
      <c r="K1353">
        <f t="shared" si="152"/>
        <v>3.9880204639939136</v>
      </c>
      <c r="L1353" s="4">
        <f>MIN(MAX(L1352*(1+MAX(MIN(((B1353-B1352)/B1352)/($K$7*卓尔金历!$N$40),0),-卓尔金历!$M$43))+MIN(MAX(((B1353-B1352)/B1352)/($K$7*卓尔金历!$N$40),0),卓尔金历!$M$43),0),1)</f>
        <v>0</v>
      </c>
      <c r="M1353" s="4">
        <f>MIN(MAX(M1352*(1+MAX(MIN(((B1353-B1352)/B1352)/($K$7*30),0),-卓尔金历!$M$43))+MIN(MAX(((B1353-B1352)/B1352)/($K$7*7),0),卓尔金历!$M$43),0),1)</f>
        <v>0.33539265699568244</v>
      </c>
      <c r="N1353">
        <f t="shared" si="153"/>
        <v>767.88636652180719</v>
      </c>
      <c r="O1353">
        <f t="shared" si="154"/>
        <v>1690.3412213821273</v>
      </c>
      <c r="P1353">
        <f t="shared" si="155"/>
        <v>-1.0190507706434558E-2</v>
      </c>
      <c r="Q1353">
        <f t="shared" si="156"/>
        <v>6.3408972018272891E-2</v>
      </c>
      <c r="R1353">
        <f t="shared" si="157"/>
        <v>1</v>
      </c>
      <c r="S1353">
        <f t="shared" si="149"/>
        <v>13.553413425263718</v>
      </c>
      <c r="T1353" s="564">
        <f>IF((I1353-MAX(I$470:I1353))/MAX(I$470:I1353)&gt;T1352,T1352,(I1353-MAX(I$470:I1353))/MAX(I$470:I1353))</f>
        <v>-0.91338805338419748</v>
      </c>
      <c r="U1353" s="564">
        <f>IF((J1353-MAX(J$470:J1353))/MAX(J$470:J1353)&gt;U1352,U1352,(J1353-MAX(J$470:J1353))/MAX(J$470:J1353))</f>
        <v>-0.70517826086956548</v>
      </c>
      <c r="V1353" s="564">
        <f>IF((K1353-MAX(K$470:K1353))/MAX(K$470:K1353)&gt;V1352,V1352,(K1353-MAX(K$470:K1353))/MAX(K$470:K1353))</f>
        <v>-0.84885940676762139</v>
      </c>
      <c r="W1353" s="564">
        <f>IF((N1353-MAX(N$470:N1353))/MAX(N$470:N1353)&gt;W1352,W1352,(N1353-MAX(N$470:N1353))/MAX(N$470:N1353))</f>
        <v>-0.62788758315546067</v>
      </c>
      <c r="X1353" s="564">
        <f>IF((O1353-MAX(O$470:O1353))/MAX(O$470:O1353)&gt;X1352,X1352,(O1353-MAX(O$470:O1353))/MAX(O$470:O1353))</f>
        <v>-0.62788758315546067</v>
      </c>
    </row>
    <row r="1354" spans="1:24">
      <c r="A1354" s="799">
        <v>41756</v>
      </c>
      <c r="B1354">
        <v>455.84500000000003</v>
      </c>
      <c r="C1354">
        <v>182.663062</v>
      </c>
      <c r="D1354">
        <v>1.343953</v>
      </c>
      <c r="E1354">
        <f>LN(D1354/参数实验室!$E$53)/参数实验室!$E$55</f>
        <v>-0.34421521869820376</v>
      </c>
      <c r="F1354">
        <f t="shared" si="158"/>
        <v>0.40071309765380775</v>
      </c>
      <c r="G1354">
        <f>LN(F1354/参数实验室!$E$58)/参数实验室!$E$59</f>
        <v>-0.67051407249847728</v>
      </c>
      <c r="H1354" s="856">
        <f>INDEX(神经网络!$G$10:$BO$70,MATCH(ROUND(G1354*2,1)/2,神经网络!$E$10:$E$70,0),MATCH(ROUND(E1354*2,1)/2,神经网络!$G$8:$BO$8,0))</f>
        <v>-0.95130252601950127</v>
      </c>
      <c r="I1354">
        <f t="shared" si="150"/>
        <v>712.50314636279757</v>
      </c>
      <c r="J1354">
        <f t="shared" si="151"/>
        <v>181.89417820517929</v>
      </c>
      <c r="K1354">
        <f t="shared" si="152"/>
        <v>3.9171300224852916</v>
      </c>
      <c r="L1354" s="4">
        <f>MIN(MAX(L1353*(1+MAX(MIN(((B1354-B1353)/B1353)/($K$7*卓尔金历!$N$40),0),-卓尔金历!$M$43))+MIN(MAX(((B1354-B1353)/B1353)/($K$7*卓尔金历!$N$40),0),卓尔金历!$M$43),0),1)</f>
        <v>0.14167525595097136</v>
      </c>
      <c r="M1354" s="4">
        <f>MIN(MAX(M1353*(1+MAX(MIN(((B1354-B1353)/B1353)/($K$7*30),0),-卓尔金历!$M$43))+MIN(MAX(((B1354-B1353)/B1353)/($K$7*7),0),卓尔金历!$M$43),0),1)</f>
        <v>0.63898249117633532</v>
      </c>
      <c r="N1354">
        <f t="shared" si="153"/>
        <v>767.88636652180719</v>
      </c>
      <c r="O1354">
        <f t="shared" si="154"/>
        <v>1685.4270037212561</v>
      </c>
      <c r="P1354">
        <f t="shared" si="155"/>
        <v>9.2725231757728663E-3</v>
      </c>
      <c r="Q1354">
        <f t="shared" si="156"/>
        <v>6.3178940458123029E-2</v>
      </c>
      <c r="R1354">
        <f t="shared" si="157"/>
        <v>1</v>
      </c>
      <c r="S1354">
        <f t="shared" si="149"/>
        <v>13.43593039445995</v>
      </c>
      <c r="T1354" s="564">
        <f>IF((I1354-MAX(I$470:I1354))/MAX(I$470:I1354)&gt;T1353,T1353,(I1354-MAX(I$470:I1354))/MAX(I$470:I1354))</f>
        <v>-0.91338805338419748</v>
      </c>
      <c r="U1354" s="564">
        <f>IF((J1354-MAX(J$470:J1354))/MAX(J$470:J1354)&gt;U1353,U1353,(J1354-MAX(J$470:J1354))/MAX(J$470:J1354))</f>
        <v>-0.70517826086956548</v>
      </c>
      <c r="V1354" s="564">
        <f>IF((K1354-MAX(K$470:K1354))/MAX(K$470:K1354)&gt;V1353,V1353,(K1354-MAX(K$470:K1354))/MAX(K$470:K1354))</f>
        <v>-0.84885940676762139</v>
      </c>
      <c r="W1354" s="564">
        <f>IF((N1354-MAX(N$470:N1354))/MAX(N$470:N1354)&gt;W1353,W1353,(N1354-MAX(N$470:N1354))/MAX(N$470:N1354))</f>
        <v>-0.62788758315546067</v>
      </c>
      <c r="X1354" s="564">
        <f>IF((O1354-MAX(O$470:O1354))/MAX(O$470:O1354)&gt;X1353,X1353,(O1354-MAX(O$470:O1354))/MAX(O$470:O1354))</f>
        <v>-0.62788758315546067</v>
      </c>
    </row>
    <row r="1355" spans="1:24">
      <c r="A1355" s="799">
        <v>41757</v>
      </c>
      <c r="B1355">
        <v>425.69600000000003</v>
      </c>
      <c r="C1355">
        <v>185.35470100000001</v>
      </c>
      <c r="D1355">
        <v>1.3542190000000001</v>
      </c>
      <c r="E1355">
        <f>LN(D1355/参数实验室!$E$53)/参数实验室!$E$55</f>
        <v>-0.33523772931176893</v>
      </c>
      <c r="F1355">
        <f t="shared" si="158"/>
        <v>0.43541565107494551</v>
      </c>
      <c r="G1355">
        <f>LN(F1355/参数实验室!$E$58)/参数实验室!$E$59</f>
        <v>-0.62692211497249495</v>
      </c>
      <c r="H1355" s="856">
        <f>INDEX(神经网络!$G$10:$BO$70,MATCH(ROUND(G1355*2,1)/2,神经网络!$E$10:$E$70,0),MATCH(ROUND(E1355*2,1)/2,神经网络!$G$8:$BO$8,0))</f>
        <v>-0.95130252601950127</v>
      </c>
      <c r="I1355">
        <f t="shared" si="150"/>
        <v>757.33236328598412</v>
      </c>
      <c r="J1355">
        <f t="shared" si="151"/>
        <v>169.86393200590553</v>
      </c>
      <c r="K1355">
        <f t="shared" si="152"/>
        <v>4.4584648097022415</v>
      </c>
      <c r="L1355" s="4">
        <f>MIN(MAX(L1354*(1+MAX(MIN(((B1355-B1354)/B1354)/($K$7*卓尔金历!$N$40),0),-卓尔金历!$M$43))+MIN(MAX(((B1355-B1354)/B1354)/($K$7*卓尔金历!$N$40),0),卓尔金历!$M$43),0),1)</f>
        <v>0</v>
      </c>
      <c r="M1355" s="4">
        <f>MIN(MAX(M1354*(1+MAX(MIN(((B1355-B1354)/B1354)/($K$7*30),0),-卓尔金历!$M$43))+MIN(MAX(((B1355-B1354)/B1354)/($K$7*7),0),卓尔金历!$M$43),0),1)</f>
        <v>0.31612508214572704</v>
      </c>
      <c r="N1355">
        <f t="shared" si="153"/>
        <v>774.73123848808928</v>
      </c>
      <c r="O1355">
        <f t="shared" si="154"/>
        <v>1753.186984200812</v>
      </c>
      <c r="P1355">
        <f t="shared" si="155"/>
        <v>-6.6138709429740372E-2</v>
      </c>
      <c r="Q1355">
        <f t="shared" si="156"/>
        <v>6.4670375612797038E-2</v>
      </c>
      <c r="R1355">
        <f t="shared" si="157"/>
        <v>6.1760511893572657E-2</v>
      </c>
      <c r="S1355">
        <f t="shared" si="149"/>
        <v>14.281291206258228</v>
      </c>
      <c r="T1355" s="564">
        <f>IF((I1355-MAX(I$470:I1355))/MAX(I$470:I1355)&gt;T1354,T1354,(I1355-MAX(I$470:I1355))/MAX(I$470:I1355))</f>
        <v>-0.91338805338419748</v>
      </c>
      <c r="U1355" s="564">
        <f>IF((J1355-MAX(J$470:J1355))/MAX(J$470:J1355)&gt;U1354,U1354,(J1355-MAX(J$470:J1355))/MAX(J$470:J1355))</f>
        <v>-0.70517826086956548</v>
      </c>
      <c r="V1355" s="564">
        <f>IF((K1355-MAX(K$470:K1355))/MAX(K$470:K1355)&gt;V1354,V1354,(K1355-MAX(K$470:K1355))/MAX(K$470:K1355))</f>
        <v>-0.84885940676762139</v>
      </c>
      <c r="W1355" s="564">
        <f>IF((N1355-MAX(N$470:N1355))/MAX(N$470:N1355)&gt;W1354,W1354,(N1355-MAX(N$470:N1355))/MAX(N$470:N1355))</f>
        <v>-0.62788758315546067</v>
      </c>
      <c r="X1355" s="564">
        <f>IF((O1355-MAX(O$470:O1355))/MAX(O$470:O1355)&gt;X1354,X1354,(O1355-MAX(O$470:O1355))/MAX(O$470:O1355))</f>
        <v>-0.62788758315546067</v>
      </c>
    </row>
    <row r="1356" spans="1:24">
      <c r="A1356" s="799">
        <v>41758</v>
      </c>
      <c r="B1356">
        <v>447.43799999999999</v>
      </c>
      <c r="C1356">
        <v>182.17689899999999</v>
      </c>
      <c r="D1356">
        <v>1.3736440000000001</v>
      </c>
      <c r="E1356">
        <f>LN(D1356/参数实验室!$E$53)/参数实验室!$E$55</f>
        <v>-0.31843549684641814</v>
      </c>
      <c r="F1356">
        <f t="shared" si="158"/>
        <v>0.40715562603086908</v>
      </c>
      <c r="G1356">
        <f>LN(F1356/参数实验室!$E$58)/参数实验室!$E$59</f>
        <v>-0.66214276500487534</v>
      </c>
      <c r="H1356" s="856">
        <f>INDEX(神经网络!$G$10:$BO$70,MATCH(ROUND(G1356*2,1)/2,神经网络!$E$10:$E$70,0),MATCH(ROUND(E1356*2,1)/2,神经网络!$G$8:$BO$8,0))</f>
        <v>-0.93482114736766087</v>
      </c>
      <c r="I1356">
        <f t="shared" si="150"/>
        <v>720.53598389790761</v>
      </c>
      <c r="J1356">
        <f t="shared" si="151"/>
        <v>178.53956346514497</v>
      </c>
      <c r="K1356">
        <f t="shared" si="152"/>
        <v>4.0357216625466483</v>
      </c>
      <c r="L1356" s="4">
        <f>MIN(MAX(L1355*(1+MAX(MIN(((B1356-B1355)/B1355)/($K$7*卓尔金历!$N$40),0),-卓尔金历!$M$43))+MIN(MAX(((B1356-B1355)/B1355)/($K$7*卓尔金历!$N$40),0),卓尔金历!$M$43),0),1)</f>
        <v>0.78036179753488177</v>
      </c>
      <c r="M1356" s="4">
        <f>MIN(MAX(M1355*(1+MAX(MIN(((B1356-B1355)/B1355)/($K$7*30),0),-卓尔金历!$M$43))+MIN(MAX(((B1356-B1355)/B1355)/($K$7*7),0),卓尔金历!$M$43),0),1)</f>
        <v>1</v>
      </c>
      <c r="N1356">
        <f t="shared" si="153"/>
        <v>774.73123848808928</v>
      </c>
      <c r="O1356">
        <f t="shared" si="154"/>
        <v>1726.2588808847227</v>
      </c>
      <c r="P1356">
        <f t="shared" si="155"/>
        <v>5.1074005863339003E-2</v>
      </c>
      <c r="Q1356">
        <f t="shared" si="156"/>
        <v>6.5608285153456541E-2</v>
      </c>
      <c r="R1356">
        <f t="shared" si="157"/>
        <v>0.33129184891348096</v>
      </c>
      <c r="S1356">
        <f t="shared" si="149"/>
        <v>14.238436656788979</v>
      </c>
      <c r="T1356" s="564">
        <f>IF((I1356-MAX(I$470:I1356))/MAX(I$470:I1356)&gt;T1355,T1355,(I1356-MAX(I$470:I1356))/MAX(I$470:I1356))</f>
        <v>-0.91338805338419748</v>
      </c>
      <c r="U1356" s="564">
        <f>IF((J1356-MAX(J$470:J1356))/MAX(J$470:J1356)&gt;U1355,U1355,(J1356-MAX(J$470:J1356))/MAX(J$470:J1356))</f>
        <v>-0.70517826086956548</v>
      </c>
      <c r="V1356" s="564">
        <f>IF((K1356-MAX(K$470:K1356))/MAX(K$470:K1356)&gt;V1355,V1355,(K1356-MAX(K$470:K1356))/MAX(K$470:K1356))</f>
        <v>-0.84885940676762139</v>
      </c>
      <c r="W1356" s="564">
        <f>IF((N1356-MAX(N$470:N1356))/MAX(N$470:N1356)&gt;W1355,W1355,(N1356-MAX(N$470:N1356))/MAX(N$470:N1356))</f>
        <v>-0.62788758315546067</v>
      </c>
      <c r="X1356" s="564">
        <f>IF((O1356-MAX(O$470:O1356))/MAX(O$470:O1356)&gt;X1355,X1355,(O1356-MAX(O$470:O1356))/MAX(O$470:O1356))</f>
        <v>-0.62788758315546067</v>
      </c>
    </row>
    <row r="1357" spans="1:24">
      <c r="A1357" s="799">
        <v>41759</v>
      </c>
      <c r="B1357">
        <v>446.29399999999998</v>
      </c>
      <c r="C1357">
        <v>187.05312900000001</v>
      </c>
      <c r="D1357">
        <v>1.377427</v>
      </c>
      <c r="E1357">
        <f>LN(D1357/参数实验室!$E$53)/参数实验室!$E$55</f>
        <v>-0.31519093548468935</v>
      </c>
      <c r="F1357">
        <f t="shared" si="158"/>
        <v>0.41912535010553587</v>
      </c>
      <c r="G1357">
        <f>LN(F1357/参数实验室!$E$58)/参数实验室!$E$59</f>
        <v>-0.6469353530790487</v>
      </c>
      <c r="H1357" s="856">
        <f>INDEX(神经网络!$G$10:$BO$70,MATCH(ROUND(G1357*2,1)/2,神经网络!$E$10:$E$70,0),MATCH(ROUND(E1357*2,1)/2,神经网络!$G$8:$BO$8,0))</f>
        <v>-0.93482114736766087</v>
      </c>
      <c r="I1357">
        <f t="shared" si="150"/>
        <v>722.25815922234165</v>
      </c>
      <c r="J1357">
        <f t="shared" si="151"/>
        <v>178.08307729140887</v>
      </c>
      <c r="K1357">
        <f t="shared" si="152"/>
        <v>4.0557371885508458</v>
      </c>
      <c r="L1357" s="4">
        <f>MIN(MAX(L1356*(1+MAX(MIN(((B1357-B1356)/B1356)/($K$7*卓尔金历!$N$40),0),-卓尔金历!$M$43))+MIN(MAX(((B1357-B1356)/B1356)/($K$7*卓尔金历!$N$40),0),卓尔金历!$M$43),0),1)</f>
        <v>0.74987686499886108</v>
      </c>
      <c r="M1357" s="4">
        <f>MIN(MAX(M1356*(1+MAX(MIN(((B1357-B1356)/B1356)/($K$7*30),0),-卓尔金历!$M$43))+MIN(MAX(((B1357-B1356)/B1356)/($K$7*7),0),卓尔金历!$M$43),0),1)</f>
        <v>0.98046743662214064</v>
      </c>
      <c r="N1357">
        <f t="shared" si="153"/>
        <v>776.17624151225732</v>
      </c>
      <c r="O1357">
        <f t="shared" si="154"/>
        <v>1730.3848655887232</v>
      </c>
      <c r="P1357">
        <f t="shared" si="155"/>
        <v>-2.5567788162829388E-3</v>
      </c>
      <c r="Q1357">
        <f t="shared" si="156"/>
        <v>6.5612434638476214E-2</v>
      </c>
      <c r="R1357">
        <f t="shared" si="157"/>
        <v>1</v>
      </c>
      <c r="S1357">
        <f t="shared" si="149"/>
        <v>14.249711090719176</v>
      </c>
      <c r="T1357" s="564">
        <f>IF((I1357-MAX(I$470:I1357))/MAX(I$470:I1357)&gt;T1356,T1356,(I1357-MAX(I$470:I1357))/MAX(I$470:I1357))</f>
        <v>-0.91338805338419748</v>
      </c>
      <c r="U1357" s="564">
        <f>IF((J1357-MAX(J$470:J1357))/MAX(J$470:J1357)&gt;U1356,U1356,(J1357-MAX(J$470:J1357))/MAX(J$470:J1357))</f>
        <v>-0.70517826086956548</v>
      </c>
      <c r="V1357" s="564">
        <f>IF((K1357-MAX(K$470:K1357))/MAX(K$470:K1357)&gt;V1356,V1356,(K1357-MAX(K$470:K1357))/MAX(K$470:K1357))</f>
        <v>-0.84885940676762139</v>
      </c>
      <c r="W1357" s="564">
        <f>IF((N1357-MAX(N$470:N1357))/MAX(N$470:N1357)&gt;W1356,W1356,(N1357-MAX(N$470:N1357))/MAX(N$470:N1357))</f>
        <v>-0.62788758315546067</v>
      </c>
      <c r="X1357" s="564">
        <f>IF((O1357-MAX(O$470:O1357))/MAX(O$470:O1357)&gt;X1356,X1356,(O1357-MAX(O$470:O1357))/MAX(O$470:O1357))</f>
        <v>-0.62788758315546067</v>
      </c>
    </row>
    <row r="1358" spans="1:24">
      <c r="A1358" s="799">
        <v>41760</v>
      </c>
      <c r="B1358">
        <v>450.762</v>
      </c>
      <c r="C1358">
        <v>186.706681</v>
      </c>
      <c r="D1358">
        <v>1.4120029999999999</v>
      </c>
      <c r="E1358">
        <f>LN(D1358/参数实验室!$E$53)/参数实验室!$E$55</f>
        <v>-0.28594249585689069</v>
      </c>
      <c r="F1358">
        <f t="shared" si="158"/>
        <v>0.41420235290463703</v>
      </c>
      <c r="G1358">
        <f>LN(F1358/参数实验室!$E$58)/参数实验室!$E$59</f>
        <v>-0.65313671908490589</v>
      </c>
      <c r="H1358" s="856">
        <f>INDEX(神经网络!$G$10:$BO$70,MATCH(ROUND(G1358*2,1)/2,神经网络!$E$10:$E$70,0),MATCH(ROUND(E1358*2,1)/2,神经网络!$G$8:$BO$8,0))</f>
        <v>-0.93482114736766087</v>
      </c>
      <c r="I1358">
        <f t="shared" si="150"/>
        <v>715.49868211865146</v>
      </c>
      <c r="J1358">
        <f t="shared" si="151"/>
        <v>179.86592713778373</v>
      </c>
      <c r="K1358">
        <f t="shared" si="152"/>
        <v>3.9779556556620861</v>
      </c>
      <c r="L1358" s="4">
        <f>MIN(MAX(L1357*(1+MAX(MIN(((B1358-B1357)/B1357)/($K$7*卓尔金历!$N$40),0),-卓尔金历!$M$43))+MIN(MAX(((B1358-B1357)/B1357)/($K$7*卓尔金历!$N$40),0),卓尔金历!$M$43),0),1)</f>
        <v>0.90284049969067415</v>
      </c>
      <c r="M1358" s="4">
        <f>MIN(MAX(M1357*(1+MAX(MIN(((B1358-B1357)/B1357)/($K$7*30),0),-卓尔金历!$M$43))+MIN(MAX(((B1358-B1357)/B1357)/($K$7*7),0),卓尔金历!$M$43),0),1)</f>
        <v>1</v>
      </c>
      <c r="N1358">
        <f t="shared" si="153"/>
        <v>770.72907131961642</v>
      </c>
      <c r="O1358">
        <f t="shared" si="154"/>
        <v>1714.5068389212661</v>
      </c>
      <c r="P1358">
        <f t="shared" si="155"/>
        <v>1.0011337817671799E-2</v>
      </c>
      <c r="Q1358">
        <f t="shared" si="156"/>
        <v>6.4218431554428898E-2</v>
      </c>
      <c r="R1358">
        <f t="shared" si="157"/>
        <v>1</v>
      </c>
      <c r="S1358">
        <f t="shared" si="149"/>
        <v>14.116350747714364</v>
      </c>
      <c r="T1358" s="564">
        <f>IF((I1358-MAX(I$470:I1358))/MAX(I$470:I1358)&gt;T1357,T1357,(I1358-MAX(I$470:I1358))/MAX(I$470:I1358))</f>
        <v>-0.91338805338419748</v>
      </c>
      <c r="U1358" s="564">
        <f>IF((J1358-MAX(J$470:J1358))/MAX(J$470:J1358)&gt;U1357,U1357,(J1358-MAX(J$470:J1358))/MAX(J$470:J1358))</f>
        <v>-0.70517826086956548</v>
      </c>
      <c r="V1358" s="564">
        <f>IF((K1358-MAX(K$470:K1358))/MAX(K$470:K1358)&gt;V1357,V1357,(K1358-MAX(K$470:K1358))/MAX(K$470:K1358))</f>
        <v>-0.84885940676762139</v>
      </c>
      <c r="W1358" s="564">
        <f>IF((N1358-MAX(N$470:N1358))/MAX(N$470:N1358)&gt;W1357,W1357,(N1358-MAX(N$470:N1358))/MAX(N$470:N1358))</f>
        <v>-0.62788758315546067</v>
      </c>
      <c r="X1358" s="564">
        <f>IF((O1358-MAX(O$470:O1358))/MAX(O$470:O1358)&gt;X1357,X1357,(O1358-MAX(O$470:O1358))/MAX(O$470:O1358))</f>
        <v>-0.62788758315546067</v>
      </c>
    </row>
    <row r="1359" spans="1:24">
      <c r="A1359" s="799">
        <v>41761</v>
      </c>
      <c r="B1359">
        <v>445.52499999999998</v>
      </c>
      <c r="C1359">
        <v>190.96613300000001</v>
      </c>
      <c r="D1359">
        <v>1.387572</v>
      </c>
      <c r="E1359">
        <f>LN(D1359/参数实验室!$E$53)/参数实验室!$E$55</f>
        <v>-0.30653368073112258</v>
      </c>
      <c r="F1359">
        <f t="shared" si="158"/>
        <v>0.42863168845743793</v>
      </c>
      <c r="G1359">
        <f>LN(F1359/参数实验室!$E$58)/参数实验室!$E$59</f>
        <v>-0.63516393972187402</v>
      </c>
      <c r="H1359" s="856">
        <f>INDEX(神经网络!$G$10:$BO$70,MATCH(ROUND(G1359*2,1)/2,神经网络!$E$10:$E$70,0),MATCH(ROUND(E1359*2,1)/2,神经网络!$G$8:$BO$8,0))</f>
        <v>-0.93482114736766087</v>
      </c>
      <c r="I1359">
        <f t="shared" si="150"/>
        <v>723.26960579155229</v>
      </c>
      <c r="J1359">
        <f t="shared" si="151"/>
        <v>177.77622600853906</v>
      </c>
      <c r="K1359">
        <f t="shared" si="152"/>
        <v>4.0684270446646327</v>
      </c>
      <c r="L1359" s="4">
        <f>MIN(MAX(L1358*(1+MAX(MIN(((B1359-B1358)/B1358)/($K$7*卓尔金历!$N$40),0),-卓尔金历!$M$43))+MIN(MAX(((B1359-B1358)/B1358)/($K$7*卓尔金历!$N$40),0),卓尔金历!$M$43),0),1)</f>
        <v>0.74257413438584252</v>
      </c>
      <c r="M1359" s="4">
        <f>MIN(MAX(M1358*(1+MAX(MIN(((B1359-B1358)/B1358)/($K$7*30),0),-卓尔金历!$M$43))+MIN(MAX(((B1359-B1358)/B1358)/($K$7*7),0),卓尔金历!$M$43),0),1)</f>
        <v>0.91124325650004556</v>
      </c>
      <c r="N1359">
        <f t="shared" si="153"/>
        <v>778.28654386447829</v>
      </c>
      <c r="O1359">
        <f t="shared" si="154"/>
        <v>1733.1278400703839</v>
      </c>
      <c r="P1359">
        <f t="shared" si="155"/>
        <v>-1.1618104454235324E-2</v>
      </c>
      <c r="Q1359">
        <f t="shared" si="156"/>
        <v>5.9340874972604422E-2</v>
      </c>
      <c r="R1359">
        <f t="shared" si="157"/>
        <v>1</v>
      </c>
      <c r="S1359">
        <f t="shared" si="149"/>
        <v>14.269666312008015</v>
      </c>
      <c r="T1359" s="564">
        <f>IF((I1359-MAX(I$470:I1359))/MAX(I$470:I1359)&gt;T1358,T1358,(I1359-MAX(I$470:I1359))/MAX(I$470:I1359))</f>
        <v>-0.91338805338419748</v>
      </c>
      <c r="U1359" s="564">
        <f>IF((J1359-MAX(J$470:J1359))/MAX(J$470:J1359)&gt;U1358,U1358,(J1359-MAX(J$470:J1359))/MAX(J$470:J1359))</f>
        <v>-0.70517826086956548</v>
      </c>
      <c r="V1359" s="564">
        <f>IF((K1359-MAX(K$470:K1359))/MAX(K$470:K1359)&gt;V1358,V1358,(K1359-MAX(K$470:K1359))/MAX(K$470:K1359))</f>
        <v>-0.84885940676762139</v>
      </c>
      <c r="W1359" s="564">
        <f>IF((N1359-MAX(N$470:N1359))/MAX(N$470:N1359)&gt;W1358,W1358,(N1359-MAX(N$470:N1359))/MAX(N$470:N1359))</f>
        <v>-0.62788758315546067</v>
      </c>
      <c r="X1359" s="564">
        <f>IF((O1359-MAX(O$470:O1359))/MAX(O$470:O1359)&gt;X1358,X1358,(O1359-MAX(O$470:O1359))/MAX(O$470:O1359))</f>
        <v>-0.62788758315546067</v>
      </c>
    </row>
    <row r="1360" spans="1:24">
      <c r="A1360" s="799">
        <v>41762</v>
      </c>
      <c r="B1360">
        <v>440.95699999999999</v>
      </c>
      <c r="C1360">
        <v>198.43164400000001</v>
      </c>
      <c r="D1360">
        <v>1.347377</v>
      </c>
      <c r="E1360">
        <f>LN(D1360/参数实验室!$E$53)/参数实验室!$E$55</f>
        <v>-0.34121337404387675</v>
      </c>
      <c r="F1360">
        <f t="shared" si="158"/>
        <v>0.45000225418805012</v>
      </c>
      <c r="G1360">
        <f>LN(F1360/参数实验室!$E$58)/参数实验室!$E$59</f>
        <v>-0.60962738829674834</v>
      </c>
      <c r="H1360" s="856">
        <f>INDEX(神经网络!$G$10:$BO$70,MATCH(ROUND(G1360*2,1)/2,神经网络!$E$10:$E$70,0),MATCH(ROUND(E1360*2,1)/2,神经网络!$G$8:$BO$8,0))</f>
        <v>-0.91385209379677512</v>
      </c>
      <c r="I1360">
        <f t="shared" si="150"/>
        <v>730.20199216153469</v>
      </c>
      <c r="J1360">
        <f t="shared" si="151"/>
        <v>175.95347352459987</v>
      </c>
      <c r="K1360">
        <f t="shared" si="152"/>
        <v>4.1499720212084696</v>
      </c>
      <c r="L1360" s="4">
        <f>MIN(MAX(L1359*(1+MAX(MIN(((B1360-B1359)/B1359)/($K$7*卓尔金历!$N$40),0),-卓尔金历!$M$43))+MIN(MAX(((B1360-B1359)/B1359)/($K$7*卓尔金历!$N$40),0),卓尔金历!$M$43),0),1)</f>
        <v>0.62624462072309428</v>
      </c>
      <c r="M1360" s="4">
        <f>MIN(MAX(M1359*(1+MAX(MIN(((B1360-B1359)/B1359)/($K$7*30),0),-卓尔金历!$M$43))+MIN(MAX(((B1360-B1359)/B1359)/($K$7*7),0),卓尔金历!$M$43),0),1)</f>
        <v>0.839866891536309</v>
      </c>
      <c r="N1360">
        <f t="shared" si="153"/>
        <v>783.82593311861126</v>
      </c>
      <c r="O1360">
        <f t="shared" si="154"/>
        <v>1748.2651070499435</v>
      </c>
      <c r="P1360">
        <f t="shared" si="155"/>
        <v>-1.0253072218169538E-2</v>
      </c>
      <c r="Q1360">
        <f t="shared" si="156"/>
        <v>5.0728871286205908E-2</v>
      </c>
      <c r="R1360">
        <f t="shared" si="157"/>
        <v>1</v>
      </c>
      <c r="S1360">
        <f t="shared" si="149"/>
        <v>14.406438048928024</v>
      </c>
      <c r="T1360" s="564">
        <f>IF((I1360-MAX(I$470:I1360))/MAX(I$470:I1360)&gt;T1359,T1359,(I1360-MAX(I$470:I1360))/MAX(I$470:I1360))</f>
        <v>-0.91338805338419748</v>
      </c>
      <c r="U1360" s="564">
        <f>IF((J1360-MAX(J$470:J1360))/MAX(J$470:J1360)&gt;U1359,U1359,(J1360-MAX(J$470:J1360))/MAX(J$470:J1360))</f>
        <v>-0.70517826086956548</v>
      </c>
      <c r="V1360" s="564">
        <f>IF((K1360-MAX(K$470:K1360))/MAX(K$470:K1360)&gt;V1359,V1359,(K1360-MAX(K$470:K1360))/MAX(K$470:K1360))</f>
        <v>-0.84885940676762139</v>
      </c>
      <c r="W1360" s="564">
        <f>IF((N1360-MAX(N$470:N1360))/MAX(N$470:N1360)&gt;W1359,W1359,(N1360-MAX(N$470:N1360))/MAX(N$470:N1360))</f>
        <v>-0.62788758315546067</v>
      </c>
      <c r="X1360" s="564">
        <f>IF((O1360-MAX(O$470:O1360))/MAX(O$470:O1360)&gt;X1359,X1359,(O1360-MAX(O$470:O1360))/MAX(O$470:O1360))</f>
        <v>-0.62788758315546067</v>
      </c>
    </row>
    <row r="1361" spans="1:24">
      <c r="A1361" s="799">
        <v>41763</v>
      </c>
      <c r="B1361">
        <v>433.529</v>
      </c>
      <c r="C1361">
        <v>204.03002699999999</v>
      </c>
      <c r="D1361">
        <v>1.3407929999999999</v>
      </c>
      <c r="E1361">
        <f>LN(D1361/参数实验室!$E$53)/参数实验室!$E$55</f>
        <v>-0.34699240653833763</v>
      </c>
      <c r="F1361">
        <f t="shared" si="158"/>
        <v>0.47062601809798188</v>
      </c>
      <c r="G1361">
        <f>LN(F1361/参数实验室!$E$58)/参数实验室!$E$59</f>
        <v>-0.58610806466122567</v>
      </c>
      <c r="H1361" s="856">
        <f>INDEX(神经网络!$G$10:$BO$70,MATCH(ROUND(G1361*2,1)/2,神经网络!$E$10:$E$70,0),MATCH(ROUND(E1361*2,1)/2,神经网络!$G$8:$BO$8,0))</f>
        <v>-0.91385209379677512</v>
      </c>
      <c r="I1361">
        <f t="shared" si="150"/>
        <v>741.44272377286268</v>
      </c>
      <c r="J1361">
        <f t="shared" si="151"/>
        <v>172.98950560632048</v>
      </c>
      <c r="K1361">
        <f t="shared" si="152"/>
        <v>4.2860560886288397</v>
      </c>
      <c r="L1361" s="4">
        <f>MIN(MAX(L1360*(1+MAX(MIN(((B1361-B1360)/B1360)/($K$7*卓尔金历!$N$40),0),-卓尔金历!$M$43))+MIN(MAX(((B1361-B1360)/B1360)/($K$7*卓尔金历!$N$40),0),卓尔金历!$M$43),0),1)</f>
        <v>0.46506291750225243</v>
      </c>
      <c r="M1361" s="4">
        <f>MIN(MAX(M1360*(1+MAX(MIN(((B1361-B1360)/B1360)/($K$7*30),0),-卓尔金历!$M$43))+MIN(MAX(((B1361-B1360)/B1360)/($K$7*7),0),卓尔金历!$M$43),0),1)</f>
        <v>0.7317851838640661</v>
      </c>
      <c r="N1361">
        <f t="shared" si="153"/>
        <v>791.3823376818932</v>
      </c>
      <c r="O1361">
        <f t="shared" si="154"/>
        <v>1770.8682752092645</v>
      </c>
      <c r="P1361">
        <f t="shared" si="155"/>
        <v>-1.6845179915501961E-2</v>
      </c>
      <c r="Q1361">
        <f t="shared" si="156"/>
        <v>5.0412582479002509E-2</v>
      </c>
      <c r="R1361">
        <f t="shared" si="157"/>
        <v>1</v>
      </c>
      <c r="S1361">
        <f t="shared" si="149"/>
        <v>14.628210798552898</v>
      </c>
      <c r="T1361" s="564">
        <f>IF((I1361-MAX(I$470:I1361))/MAX(I$470:I1361)&gt;T1360,T1360,(I1361-MAX(I$470:I1361))/MAX(I$470:I1361))</f>
        <v>-0.91338805338419748</v>
      </c>
      <c r="U1361" s="564">
        <f>IF((J1361-MAX(J$470:J1361))/MAX(J$470:J1361)&gt;U1360,U1360,(J1361-MAX(J$470:J1361))/MAX(J$470:J1361))</f>
        <v>-0.70517826086956548</v>
      </c>
      <c r="V1361" s="564">
        <f>IF((K1361-MAX(K$470:K1361))/MAX(K$470:K1361)&gt;V1360,V1360,(K1361-MAX(K$470:K1361))/MAX(K$470:K1361))</f>
        <v>-0.84885940676762139</v>
      </c>
      <c r="W1361" s="564">
        <f>IF((N1361-MAX(N$470:N1361))/MAX(N$470:N1361)&gt;W1360,W1360,(N1361-MAX(N$470:N1361))/MAX(N$470:N1361))</f>
        <v>-0.62788758315546067</v>
      </c>
      <c r="X1361" s="564">
        <f>IF((O1361-MAX(O$470:O1361))/MAX(O$470:O1361)&gt;X1360,X1360,(O1361-MAX(O$470:O1361))/MAX(O$470:O1361))</f>
        <v>-0.62788758315546067</v>
      </c>
    </row>
    <row r="1362" spans="1:24">
      <c r="A1362" s="799">
        <v>41764</v>
      </c>
      <c r="B1362">
        <v>429.98099999999999</v>
      </c>
      <c r="C1362">
        <v>210.06213500000001</v>
      </c>
      <c r="D1362">
        <v>1.3283670000000001</v>
      </c>
      <c r="E1362">
        <f>LN(D1362/参数实验室!$E$53)/参数实验室!$E$55</f>
        <v>-0.35797692579949819</v>
      </c>
      <c r="F1362">
        <f t="shared" si="158"/>
        <v>0.4885381795939821</v>
      </c>
      <c r="G1362">
        <f>LN(F1362/参数实验室!$E$58)/参数实验室!$E$59</f>
        <v>-0.56650273844048427</v>
      </c>
      <c r="H1362" s="856">
        <f>INDEX(神经网络!$G$10:$BO$70,MATCH(ROUND(G1362*2,1)/2,神经网络!$E$10:$E$70,0),MATCH(ROUND(E1362*2,1)/2,神经网络!$G$8:$BO$8,0))</f>
        <v>-0.87187597781086834</v>
      </c>
      <c r="I1362">
        <f t="shared" si="150"/>
        <v>746.98794626255108</v>
      </c>
      <c r="J1362">
        <f t="shared" si="151"/>
        <v>171.57376002553758</v>
      </c>
      <c r="K1362">
        <f t="shared" si="152"/>
        <v>4.3537423563566309</v>
      </c>
      <c r="L1362" s="4">
        <f>MIN(MAX(L1361*(1+MAX(MIN(((B1362-B1361)/B1361)/($K$7*卓尔金历!$N$40),0),-卓尔金历!$M$43))+MIN(MAX(((B1362-B1361)/B1361)/($K$7*卓尔金历!$N$40),0),卓尔金历!$M$43),0),1)</f>
        <v>0.40690976708740778</v>
      </c>
      <c r="M1362" s="4">
        <f>MIN(MAX(M1361*(1+MAX(MIN(((B1362-B1361)/B1361)/($K$7*30),0),-卓尔金历!$M$43))+MIN(MAX(((B1362-B1361)/B1361)/($K$7*7),0),卓尔金历!$M$43),0),1)</f>
        <v>0.68603264988741797</v>
      </c>
      <c r="N1362">
        <f t="shared" si="153"/>
        <v>794.13491440806592</v>
      </c>
      <c r="O1362">
        <f t="shared" si="154"/>
        <v>1780.5602268468558</v>
      </c>
      <c r="P1362">
        <f t="shared" si="155"/>
        <v>-8.1839969183145813E-3</v>
      </c>
      <c r="Q1362">
        <f t="shared" si="156"/>
        <v>4.9737947849843693E-2</v>
      </c>
      <c r="R1362">
        <f t="shared" si="157"/>
        <v>1</v>
      </c>
      <c r="S1362">
        <f t="shared" si="149"/>
        <v>14.737614641767209</v>
      </c>
      <c r="T1362" s="564">
        <f>IF((I1362-MAX(I$470:I1362))/MAX(I$470:I1362)&gt;T1361,T1361,(I1362-MAX(I$470:I1362))/MAX(I$470:I1362))</f>
        <v>-0.91338805338419748</v>
      </c>
      <c r="U1362" s="564">
        <f>IF((J1362-MAX(J$470:J1362))/MAX(J$470:J1362)&gt;U1361,U1361,(J1362-MAX(J$470:J1362))/MAX(J$470:J1362))</f>
        <v>-0.70517826086956548</v>
      </c>
      <c r="V1362" s="564">
        <f>IF((K1362-MAX(K$470:K1362))/MAX(K$470:K1362)&gt;V1361,V1361,(K1362-MAX(K$470:K1362))/MAX(K$470:K1362))</f>
        <v>-0.84885940676762139</v>
      </c>
      <c r="W1362" s="564">
        <f>IF((N1362-MAX(N$470:N1362))/MAX(N$470:N1362)&gt;W1361,W1361,(N1362-MAX(N$470:N1362))/MAX(N$470:N1362))</f>
        <v>-0.62788758315546067</v>
      </c>
      <c r="X1362" s="564">
        <f>IF((O1362-MAX(O$470:O1362))/MAX(O$470:O1362)&gt;X1361,X1361,(O1362-MAX(O$470:O1362))/MAX(O$470:O1362))</f>
        <v>-0.62788758315546067</v>
      </c>
    </row>
    <row r="1363" spans="1:24">
      <c r="A1363" s="799">
        <v>41765</v>
      </c>
      <c r="B1363">
        <v>427.34100000000001</v>
      </c>
      <c r="C1363">
        <v>204.823025</v>
      </c>
      <c r="D1363">
        <v>1.3226039999999999</v>
      </c>
      <c r="E1363">
        <f>LN(D1363/参数实验室!$E$53)/参数实验室!$E$55</f>
        <v>-0.36310631322429143</v>
      </c>
      <c r="F1363">
        <f t="shared" si="158"/>
        <v>0.47929645177972624</v>
      </c>
      <c r="G1363">
        <f>LN(F1363/参数实验室!$E$58)/参数实验室!$E$59</f>
        <v>-0.57652656996156504</v>
      </c>
      <c r="H1363" s="856">
        <f>INDEX(神经网络!$G$10:$BO$70,MATCH(ROUND(G1363*2,1)/2,神经网络!$E$10:$E$70,0),MATCH(ROUND(E1363*2,1)/2,神经网络!$G$8:$BO$8,0))</f>
        <v>-0.91385209379677512</v>
      </c>
      <c r="I1363">
        <f t="shared" si="150"/>
        <v>750.98668442446979</v>
      </c>
      <c r="J1363">
        <f t="shared" si="151"/>
        <v>170.52033039383895</v>
      </c>
      <c r="K1363">
        <f t="shared" si="152"/>
        <v>4.4040888420164803</v>
      </c>
      <c r="L1363" s="4">
        <f>MIN(MAX(L1362*(1+MAX(MIN(((B1363-B1362)/B1362)/($K$7*卓尔金历!$N$40),0),-卓尔金历!$M$43))+MIN(MAX(((B1363-B1362)/B1362)/($K$7*卓尔金历!$N$40),0),卓尔金历!$M$43),0),1)</f>
        <v>0.3687374208586941</v>
      </c>
      <c r="M1363" s="4">
        <f>MIN(MAX(M1362*(1+MAX(MIN(((B1363-B1362)/B1362)/($K$7*30),0),-卓尔金历!$M$43))+MIN(MAX(((B1363-B1362)/B1362)/($K$7*7),0),卓尔金历!$M$43),0),1)</f>
        <v>0.65385416960277154</v>
      </c>
      <c r="N1363">
        <f t="shared" si="153"/>
        <v>795.8647378500068</v>
      </c>
      <c r="O1363">
        <f t="shared" si="154"/>
        <v>1787.0992191608887</v>
      </c>
      <c r="P1363">
        <f t="shared" si="155"/>
        <v>-6.1398061774822288E-3</v>
      </c>
      <c r="Q1363">
        <f t="shared" si="156"/>
        <v>4.3415487758069818E-2</v>
      </c>
      <c r="R1363">
        <f t="shared" si="157"/>
        <v>1</v>
      </c>
      <c r="S1363">
        <f t="shared" si="149"/>
        <v>14.816507296432581</v>
      </c>
      <c r="T1363" s="564">
        <f>IF((I1363-MAX(I$470:I1363))/MAX(I$470:I1363)&gt;T1362,T1362,(I1363-MAX(I$470:I1363))/MAX(I$470:I1363))</f>
        <v>-0.91338805338419748</v>
      </c>
      <c r="U1363" s="564">
        <f>IF((J1363-MAX(J$470:J1363))/MAX(J$470:J1363)&gt;U1362,U1362,(J1363-MAX(J$470:J1363))/MAX(J$470:J1363))</f>
        <v>-0.70517826086956548</v>
      </c>
      <c r="V1363" s="564">
        <f>IF((K1363-MAX(K$470:K1363))/MAX(K$470:K1363)&gt;V1362,V1362,(K1363-MAX(K$470:K1363))/MAX(K$470:K1363))</f>
        <v>-0.84885940676762139</v>
      </c>
      <c r="W1363" s="564">
        <f>IF((N1363-MAX(N$470:N1363))/MAX(N$470:N1363)&gt;W1362,W1362,(N1363-MAX(N$470:N1363))/MAX(N$470:N1363))</f>
        <v>-0.62788758315546067</v>
      </c>
      <c r="X1363" s="564">
        <f>IF((O1363-MAX(O$470:O1363))/MAX(O$470:O1363)&gt;X1362,X1362,(O1363-MAX(O$470:O1363))/MAX(O$470:O1363))</f>
        <v>-0.62788758315546067</v>
      </c>
    </row>
    <row r="1364" spans="1:24">
      <c r="A1364" s="799">
        <v>41766</v>
      </c>
      <c r="B1364">
        <v>430.92599999999999</v>
      </c>
      <c r="C1364">
        <v>204.02820500000001</v>
      </c>
      <c r="D1364">
        <v>1.360026</v>
      </c>
      <c r="E1364">
        <f>LN(D1364/参数实验室!$E$53)/参数实验室!$E$55</f>
        <v>-0.33018966803473077</v>
      </c>
      <c r="F1364">
        <f t="shared" si="158"/>
        <v>0.47346459716981576</v>
      </c>
      <c r="G1364">
        <f>LN(F1364/参数实验室!$E$58)/参数实验室!$E$59</f>
        <v>-0.58295191806292845</v>
      </c>
      <c r="H1364" s="856">
        <f>INDEX(神经网络!$G$10:$BO$70,MATCH(ROUND(G1364*2,1)/2,神经网络!$E$10:$E$70,0),MATCH(ROUND(E1364*2,1)/2,神经网络!$G$8:$BO$8,0))</f>
        <v>-0.91385209379677512</v>
      </c>
      <c r="I1364">
        <f t="shared" si="150"/>
        <v>745.22933291127629</v>
      </c>
      <c r="J1364">
        <f t="shared" si="151"/>
        <v>171.95083995052062</v>
      </c>
      <c r="K1364">
        <f t="shared" si="152"/>
        <v>4.3339673893173094</v>
      </c>
      <c r="L1364" s="4">
        <f>MIN(MAX(L1363*(1+MAX(MIN(((B1364-B1363)/B1363)/($K$7*卓尔金历!$N$40),0),-卓尔金历!$M$43))+MIN(MAX(((B1364-B1363)/B1363)/($K$7*卓尔金历!$N$40),0),卓尔金历!$M$43),0),1)</f>
        <v>0.49691459022193996</v>
      </c>
      <c r="M1364" s="4">
        <f>MIN(MAX(M1363*(1+MAX(MIN(((B1364-B1363)/B1363)/($K$7*30),0),-卓尔金历!$M$43))+MIN(MAX(((B1364-B1363)/B1363)/($K$7*7),0),卓尔金历!$M$43),0),1)</f>
        <v>0.92851953252401254</v>
      </c>
      <c r="N1364">
        <f t="shared" si="153"/>
        <v>793.61492192823061</v>
      </c>
      <c r="O1364">
        <f t="shared" si="154"/>
        <v>1778.1410332354994</v>
      </c>
      <c r="P1364">
        <f t="shared" si="155"/>
        <v>8.389085063216447E-3</v>
      </c>
      <c r="Q1364">
        <f t="shared" si="156"/>
        <v>3.1534455435806741E-2</v>
      </c>
      <c r="R1364">
        <f t="shared" si="157"/>
        <v>1</v>
      </c>
      <c r="S1364">
        <f t="shared" si="149"/>
        <v>14.702918277515776</v>
      </c>
      <c r="T1364" s="564">
        <f>IF((I1364-MAX(I$470:I1364))/MAX(I$470:I1364)&gt;T1363,T1363,(I1364-MAX(I$470:I1364))/MAX(I$470:I1364))</f>
        <v>-0.91338805338419748</v>
      </c>
      <c r="U1364" s="564">
        <f>IF((J1364-MAX(J$470:J1364))/MAX(J$470:J1364)&gt;U1363,U1363,(J1364-MAX(J$470:J1364))/MAX(J$470:J1364))</f>
        <v>-0.70517826086956548</v>
      </c>
      <c r="V1364" s="564">
        <f>IF((K1364-MAX(K$470:K1364))/MAX(K$470:K1364)&gt;V1363,V1363,(K1364-MAX(K$470:K1364))/MAX(K$470:K1364))</f>
        <v>-0.84885940676762139</v>
      </c>
      <c r="W1364" s="564">
        <f>IF((N1364-MAX(N$470:N1364))/MAX(N$470:N1364)&gt;W1363,W1363,(N1364-MAX(N$470:N1364))/MAX(N$470:N1364))</f>
        <v>-0.62788758315546067</v>
      </c>
      <c r="X1364" s="564">
        <f>IF((O1364-MAX(O$470:O1364))/MAX(O$470:O1364)&gt;X1363,X1363,(O1364-MAX(O$470:O1364))/MAX(O$470:O1364))</f>
        <v>-0.62788758315546067</v>
      </c>
    </row>
    <row r="1365" spans="1:24">
      <c r="A1365" s="799">
        <v>41767</v>
      </c>
      <c r="B1365">
        <v>440.21100000000001</v>
      </c>
      <c r="C1365">
        <v>200.17266799999999</v>
      </c>
      <c r="D1365">
        <v>1.354714</v>
      </c>
      <c r="E1365">
        <f>LN(D1365/参数实验室!$E$53)/参数实验室!$E$55</f>
        <v>-0.33480657958435533</v>
      </c>
      <c r="F1365">
        <f t="shared" si="158"/>
        <v>0.45471982299397329</v>
      </c>
      <c r="G1365">
        <f>LN(F1365/参数实验室!$E$58)/参数实验室!$E$59</f>
        <v>-0.60415375707874175</v>
      </c>
      <c r="H1365" s="856">
        <f>INDEX(神经网络!$G$10:$BO$70,MATCH(ROUND(G1365*2,1)/2,神经网络!$E$10:$E$70,0),MATCH(ROUND(E1365*2,1)/2,神经网络!$G$8:$BO$8,0))</f>
        <v>-0.91385209379677512</v>
      </c>
      <c r="I1365">
        <f t="shared" si="150"/>
        <v>730.55544957345023</v>
      </c>
      <c r="J1365">
        <f t="shared" si="151"/>
        <v>175.65579984836987</v>
      </c>
      <c r="K1365">
        <f t="shared" si="152"/>
        <v>4.159016953633655</v>
      </c>
      <c r="L1365" s="4">
        <f>MIN(MAX(L1364*(1+MAX(MIN(((B1365-B1364)/B1364)/($K$7*卓尔金历!$N$40),0),-卓尔金历!$M$43))+MIN(MAX(((B1365-B1364)/B1364)/($K$7*卓尔金历!$N$40),0),卓尔金历!$M$43),0),1)</f>
        <v>0.8261263106845016</v>
      </c>
      <c r="M1365" s="4">
        <f>MIN(MAX(M1364*(1+MAX(MIN(((B1365-B1364)/B1364)/($K$7*30),0),-卓尔金历!$M$43))+MIN(MAX(((B1365-B1364)/B1364)/($K$7*7),0),卓尔金历!$M$43),0),1)</f>
        <v>1</v>
      </c>
      <c r="N1365">
        <f t="shared" si="153"/>
        <v>785.84982833388619</v>
      </c>
      <c r="O1365">
        <f t="shared" si="154"/>
        <v>1745.6313775893234</v>
      </c>
      <c r="P1365">
        <f t="shared" si="155"/>
        <v>2.1546622854039965E-2</v>
      </c>
      <c r="Q1365">
        <f t="shared" si="156"/>
        <v>3.200137657474264E-2</v>
      </c>
      <c r="R1365">
        <f t="shared" si="157"/>
        <v>0.43956804686940881</v>
      </c>
      <c r="S1365">
        <f t="shared" si="149"/>
        <v>14.413411547168726</v>
      </c>
      <c r="T1365" s="564">
        <f>IF((I1365-MAX(I$470:I1365))/MAX(I$470:I1365)&gt;T1364,T1364,(I1365-MAX(I$470:I1365))/MAX(I$470:I1365))</f>
        <v>-0.91338805338419748</v>
      </c>
      <c r="U1365" s="564">
        <f>IF((J1365-MAX(J$470:J1365))/MAX(J$470:J1365)&gt;U1364,U1364,(J1365-MAX(J$470:J1365))/MAX(J$470:J1365))</f>
        <v>-0.70517826086956548</v>
      </c>
      <c r="V1365" s="564">
        <f>IF((K1365-MAX(K$470:K1365))/MAX(K$470:K1365)&gt;V1364,V1364,(K1365-MAX(K$470:K1365))/MAX(K$470:K1365))</f>
        <v>-0.84885940676762139</v>
      </c>
      <c r="W1365" s="564">
        <f>IF((N1365-MAX(N$470:N1365))/MAX(N$470:N1365)&gt;W1364,W1364,(N1365-MAX(N$470:N1365))/MAX(N$470:N1365))</f>
        <v>-0.62788758315546067</v>
      </c>
      <c r="X1365" s="564">
        <f>IF((O1365-MAX(O$470:O1365))/MAX(O$470:O1365)&gt;X1364,X1364,(O1365-MAX(O$470:O1365))/MAX(O$470:O1365))</f>
        <v>-0.62788758315546067</v>
      </c>
    </row>
    <row r="1366" spans="1:24">
      <c r="A1366" s="799">
        <v>41768</v>
      </c>
      <c r="B1366">
        <v>441.51400000000001</v>
      </c>
      <c r="C1366">
        <v>199.29680099999999</v>
      </c>
      <c r="D1366">
        <v>1.3922460000000001</v>
      </c>
      <c r="E1366">
        <f>LN(D1366/参数实验室!$E$53)/参数实验室!$E$55</f>
        <v>-0.30256639088787091</v>
      </c>
      <c r="F1366">
        <f t="shared" si="158"/>
        <v>0.45139406904424317</v>
      </c>
      <c r="G1366">
        <f>LN(F1366/参数实验室!$E$58)/参数实验室!$E$59</f>
        <v>-0.60800656909390838</v>
      </c>
      <c r="H1366" s="856">
        <f>INDEX(神经网络!$G$10:$BO$70,MATCH(ROUND(G1366*2,1)/2,神经网络!$E$10:$E$70,0),MATCH(ROUND(E1366*2,1)/2,神经网络!$G$8:$BO$8,0))</f>
        <v>-0.89307109376254667</v>
      </c>
      <c r="I1366">
        <f t="shared" si="150"/>
        <v>728.57933272430921</v>
      </c>
      <c r="J1366">
        <f t="shared" si="151"/>
        <v>176.17573121583325</v>
      </c>
      <c r="K1366">
        <f t="shared" si="152"/>
        <v>4.1355260891849239</v>
      </c>
      <c r="L1366" s="4">
        <f>MIN(MAX(L1365*(1+MAX(MIN(((B1366-B1365)/B1365)/($K$7*卓尔金历!$N$40),0),-卓尔金历!$M$43))+MIN(MAX(((B1366-B1365)/B1365)/($K$7*卓尔金历!$N$40),0),卓尔金历!$M$43),0),1)</f>
        <v>0.87135141774552327</v>
      </c>
      <c r="M1366" s="4">
        <f>MIN(MAX(M1365*(1+MAX(MIN(((B1366-B1365)/B1365)/($K$7*30),0),-卓尔金历!$M$43))+MIN(MAX(((B1366-B1365)/B1365)/($K$7*7),0),卓尔金历!$M$43),0),1)</f>
        <v>1</v>
      </c>
      <c r="N1366">
        <f t="shared" si="153"/>
        <v>784.09374365869417</v>
      </c>
      <c r="O1366">
        <f t="shared" si="154"/>
        <v>1740.90952987789</v>
      </c>
      <c r="P1366">
        <f t="shared" si="155"/>
        <v>2.9599442085727007E-3</v>
      </c>
      <c r="Q1366">
        <f t="shared" si="156"/>
        <v>3.0635560863471328E-2</v>
      </c>
      <c r="R1366">
        <f t="shared" si="157"/>
        <v>1</v>
      </c>
      <c r="S1366">
        <f t="shared" si="149"/>
        <v>14.396273854955716</v>
      </c>
      <c r="T1366" s="564">
        <f>IF((I1366-MAX(I$470:I1366))/MAX(I$470:I1366)&gt;T1365,T1365,(I1366-MAX(I$470:I1366))/MAX(I$470:I1366))</f>
        <v>-0.91338805338419748</v>
      </c>
      <c r="U1366" s="564">
        <f>IF((J1366-MAX(J$470:J1366))/MAX(J$470:J1366)&gt;U1365,U1365,(J1366-MAX(J$470:J1366))/MAX(J$470:J1366))</f>
        <v>-0.70517826086956548</v>
      </c>
      <c r="V1366" s="564">
        <f>IF((K1366-MAX(K$470:K1366))/MAX(K$470:K1366)&gt;V1365,V1365,(K1366-MAX(K$470:K1366))/MAX(K$470:K1366))</f>
        <v>-0.84885940676762139</v>
      </c>
      <c r="W1366" s="564">
        <f>IF((N1366-MAX(N$470:N1366))/MAX(N$470:N1366)&gt;W1365,W1365,(N1366-MAX(N$470:N1366))/MAX(N$470:N1366))</f>
        <v>-0.62788758315546067</v>
      </c>
      <c r="X1366" s="564">
        <f>IF((O1366-MAX(O$470:O1366))/MAX(O$470:O1366)&gt;X1365,X1365,(O1366-MAX(O$470:O1366))/MAX(O$470:O1366))</f>
        <v>-0.62788758315546067</v>
      </c>
    </row>
    <row r="1367" spans="1:24">
      <c r="A1367" s="799">
        <v>41769</v>
      </c>
      <c r="B1367">
        <v>450.36900000000003</v>
      </c>
      <c r="C1367">
        <v>196.64459500000001</v>
      </c>
      <c r="D1367">
        <v>1.404598</v>
      </c>
      <c r="E1367">
        <f>LN(D1367/参数实验室!$E$53)/参数实验室!$E$55</f>
        <v>-0.29214578336506936</v>
      </c>
      <c r="F1367">
        <f t="shared" si="158"/>
        <v>0.43662995232797996</v>
      </c>
      <c r="G1367">
        <f>LN(F1367/参数实验室!$E$58)/参数实验室!$E$59</f>
        <v>-0.6254604223004312</v>
      </c>
      <c r="H1367" s="856">
        <f>INDEX(神经网络!$G$10:$BO$70,MATCH(ROUND(G1367*2,1)/2,神经网络!$E$10:$E$70,0),MATCH(ROUND(E1367*2,1)/2,神经网络!$G$8:$BO$8,0))</f>
        <v>-0.93482114736766087</v>
      </c>
      <c r="I1367">
        <f t="shared" si="150"/>
        <v>715.52943924733574</v>
      </c>
      <c r="J1367">
        <f t="shared" si="151"/>
        <v>179.70910977215581</v>
      </c>
      <c r="K1367">
        <f t="shared" si="152"/>
        <v>3.9815980400466047</v>
      </c>
      <c r="L1367" s="4">
        <f>MIN(MAX(L1366*(1+MAX(MIN(((B1367-B1366)/B1366)/($K$7*卓尔金历!$N$40),0),-卓尔金历!$M$43))+MIN(MAX(((B1367-B1366)/B1366)/($K$7*卓尔金历!$N$40),0),卓尔金历!$M$43),0),1)</f>
        <v>1</v>
      </c>
      <c r="M1367" s="4">
        <f>MIN(MAX(M1366*(1+MAX(MIN(((B1367-B1366)/B1366)/($K$7*30),0),-卓尔金历!$M$43))+MIN(MAX(((B1367-B1366)/B1366)/($K$7*7),0),卓尔金历!$M$43),0),1)</f>
        <v>1</v>
      </c>
      <c r="N1367">
        <f t="shared" si="153"/>
        <v>771.85627902323404</v>
      </c>
      <c r="O1367">
        <f t="shared" si="154"/>
        <v>1709.7273608297994</v>
      </c>
      <c r="P1367">
        <f t="shared" si="155"/>
        <v>2.0055989164556545E-2</v>
      </c>
      <c r="Q1367">
        <f t="shared" si="156"/>
        <v>2.9728456900324877E-2</v>
      </c>
      <c r="R1367">
        <f t="shared" si="157"/>
        <v>0.43626992155995398</v>
      </c>
      <c r="S1367">
        <f t="shared" ref="S1367:S1430" si="159">S1366*(1+(B1367-B1366)/B1366*H1366*R1366)</f>
        <v>14.138416087332763</v>
      </c>
      <c r="T1367" s="564">
        <f>IF((I1367-MAX(I$470:I1367))/MAX(I$470:I1367)&gt;T1366,T1366,(I1367-MAX(I$470:I1367))/MAX(I$470:I1367))</f>
        <v>-0.91338805338419748</v>
      </c>
      <c r="U1367" s="564">
        <f>IF((J1367-MAX(J$470:J1367))/MAX(J$470:J1367)&gt;U1366,U1366,(J1367-MAX(J$470:J1367))/MAX(J$470:J1367))</f>
        <v>-0.70517826086956548</v>
      </c>
      <c r="V1367" s="564">
        <f>IF((K1367-MAX(K$470:K1367))/MAX(K$470:K1367)&gt;V1366,V1366,(K1367-MAX(K$470:K1367))/MAX(K$470:K1367))</f>
        <v>-0.84885940676762139</v>
      </c>
      <c r="W1367" s="564">
        <f>IF((N1367-MAX(N$470:N1367))/MAX(N$470:N1367)&gt;W1366,W1366,(N1367-MAX(N$470:N1367))/MAX(N$470:N1367))</f>
        <v>-0.62788758315546067</v>
      </c>
      <c r="X1367" s="564">
        <f>IF((O1367-MAX(O$470:O1367))/MAX(O$470:O1367)&gt;X1366,X1366,(O1367-MAX(O$470:O1367))/MAX(O$470:O1367))</f>
        <v>-0.62788758315546067</v>
      </c>
    </row>
    <row r="1368" spans="1:24">
      <c r="A1368" s="799">
        <v>41770</v>
      </c>
      <c r="B1368">
        <v>451.27199999999999</v>
      </c>
      <c r="C1368">
        <v>198.871602</v>
      </c>
      <c r="D1368">
        <v>1.3505929999999999</v>
      </c>
      <c r="E1368">
        <f>LN(D1368/参数实验室!$E$53)/参数实验室!$E$55</f>
        <v>-0.33840082369706165</v>
      </c>
      <c r="F1368">
        <f t="shared" si="158"/>
        <v>0.44069120619050151</v>
      </c>
      <c r="G1368">
        <f>LN(F1368/参数实验室!$E$58)/参数实验室!$E$59</f>
        <v>-0.62060112826645675</v>
      </c>
      <c r="H1368" s="856">
        <f>INDEX(神经网络!$G$10:$BO$70,MATCH(ROUND(G1368*2,1)/2,神经网络!$E$10:$E$70,0),MATCH(ROUND(E1368*2,1)/2,神经网络!$G$8:$BO$8,0))</f>
        <v>-0.91385209379677512</v>
      </c>
      <c r="I1368">
        <f t="shared" ref="I1368:I1431" si="160">I1367*(1+(B1368-B1367)/B1367*H1367)</f>
        <v>714.18829560203744</v>
      </c>
      <c r="J1368">
        <f t="shared" ref="J1368:J1431" si="161">J1367*B1368/B1367</f>
        <v>180.06943058936182</v>
      </c>
      <c r="K1368">
        <f t="shared" ref="K1368:K1431" si="162">I1368/J1368</f>
        <v>3.9661828954782647</v>
      </c>
      <c r="L1368" s="4">
        <f>MIN(MAX(L1367*(1+MAX(MIN(((B1368-B1367)/B1367)/($K$7*卓尔金历!$N$40),0),-卓尔金历!$M$43))+MIN(MAX(((B1368-B1367)/B1367)/($K$7*卓尔金历!$N$40),0),卓尔金历!$M$43),0),1)</f>
        <v>1</v>
      </c>
      <c r="M1368" s="4">
        <f>MIN(MAX(M1367*(1+MAX(MIN(((B1368-B1367)/B1367)/($K$7*30),0),-卓尔金历!$M$43))+MIN(MAX(((B1368-B1367)/B1367)/($K$7*7),0),卓尔金历!$M$43),0),1)</f>
        <v>1</v>
      </c>
      <c r="N1368">
        <f t="shared" ref="N1368:N1431" si="163">N1367*(1+(B1368-B1367)/B1367*H1367*L1367)</f>
        <v>770.409559871071</v>
      </c>
      <c r="O1368">
        <f t="shared" ref="O1368:O1431" si="164">O1367*(1+(B1368-B1367)/B1367*H1367*M1367)</f>
        <v>1706.5227547585503</v>
      </c>
      <c r="P1368">
        <f t="shared" ref="P1368:P1431" si="165">(B1368-B1367)/B1367</f>
        <v>2.0050225481770797E-3</v>
      </c>
      <c r="Q1368">
        <f t="shared" si="156"/>
        <v>2.5150236481301602E-2</v>
      </c>
      <c r="R1368">
        <f t="shared" si="157"/>
        <v>1</v>
      </c>
      <c r="S1368">
        <f t="shared" si="159"/>
        <v>14.126854863227019</v>
      </c>
      <c r="T1368" s="564">
        <f>IF((I1368-MAX(I$470:I1368))/MAX(I$470:I1368)&gt;T1367,T1367,(I1368-MAX(I$470:I1368))/MAX(I$470:I1368))</f>
        <v>-0.91338805338419748</v>
      </c>
      <c r="U1368" s="564">
        <f>IF((J1368-MAX(J$470:J1368))/MAX(J$470:J1368)&gt;U1367,U1367,(J1368-MAX(J$470:J1368))/MAX(J$470:J1368))</f>
        <v>-0.70517826086956548</v>
      </c>
      <c r="V1368" s="564">
        <f>IF((K1368-MAX(K$470:K1368))/MAX(K$470:K1368)&gt;V1367,V1367,(K1368-MAX(K$470:K1368))/MAX(K$470:K1368))</f>
        <v>-0.84885940676762139</v>
      </c>
      <c r="W1368" s="564">
        <f>IF((N1368-MAX(N$470:N1368))/MAX(N$470:N1368)&gt;W1367,W1367,(N1368-MAX(N$470:N1368))/MAX(N$470:N1368))</f>
        <v>-0.62788758315546067</v>
      </c>
      <c r="X1368" s="564">
        <f>IF((O1368-MAX(O$470:O1368))/MAX(O$470:O1368)&gt;X1367,X1367,(O1368-MAX(O$470:O1368))/MAX(O$470:O1368))</f>
        <v>-0.62788758315546067</v>
      </c>
    </row>
    <row r="1369" spans="1:24">
      <c r="A1369" s="799">
        <v>41771</v>
      </c>
      <c r="B1369">
        <v>433.40100000000001</v>
      </c>
      <c r="C1369">
        <v>198.717986</v>
      </c>
      <c r="D1369">
        <v>1.3576710000000001</v>
      </c>
      <c r="E1369">
        <f>LN(D1369/参数实验室!$E$53)/参数实验室!$E$55</f>
        <v>-0.3322342812384575</v>
      </c>
      <c r="F1369">
        <f t="shared" si="158"/>
        <v>0.45850836984686233</v>
      </c>
      <c r="G1369">
        <f>LN(F1369/参数实验室!$E$58)/参数实验室!$E$59</f>
        <v>-0.59979899546278226</v>
      </c>
      <c r="H1369" s="856">
        <f>INDEX(神经网络!$G$10:$BO$70,MATCH(ROUND(G1369*2,1)/2,神经网络!$E$10:$E$70,0),MATCH(ROUND(E1369*2,1)/2,神经网络!$G$8:$BO$8,0))</f>
        <v>-0.91385209379677512</v>
      </c>
      <c r="I1369">
        <f t="shared" si="160"/>
        <v>740.03463880276661</v>
      </c>
      <c r="J1369">
        <f t="shared" si="161"/>
        <v>172.93843023023811</v>
      </c>
      <c r="K1369">
        <f t="shared" si="162"/>
        <v>4.2791798087766635</v>
      </c>
      <c r="L1369" s="4">
        <f>MIN(MAX(L1368*(1+MAX(MIN(((B1369-B1368)/B1368)/($K$7*卓尔金历!$N$40),0),-卓尔金历!$M$43))+MIN(MAX(((B1369-B1368)/B1368)/($K$7*卓尔金历!$N$40),0),卓尔金历!$M$43),0),1)</f>
        <v>0.39492871154377196</v>
      </c>
      <c r="M1369" s="4">
        <f>MIN(MAX(M1368*(1+MAX(MIN(((B1369-B1368)/B1368)/($K$7*30),0),-卓尔金历!$M$43))+MIN(MAX(((B1369-B1368)/B1368)/($K$7*7),0),卓尔金历!$M$43),0),1)</f>
        <v>0.69746435577188604</v>
      </c>
      <c r="N1369">
        <f t="shared" si="163"/>
        <v>798.29054029621932</v>
      </c>
      <c r="O1369">
        <f t="shared" si="164"/>
        <v>1768.2814997155258</v>
      </c>
      <c r="P1369">
        <f t="shared" si="165"/>
        <v>-3.9601393394671024E-2</v>
      </c>
      <c r="Q1369">
        <f t="shared" si="156"/>
        <v>2.6053304978357186E-2</v>
      </c>
      <c r="R1369">
        <f t="shared" si="157"/>
        <v>1.4619337669550347E-2</v>
      </c>
      <c r="S1369">
        <f t="shared" si="159"/>
        <v>14.638103145214146</v>
      </c>
      <c r="T1369" s="564">
        <f>IF((I1369-MAX(I$470:I1369))/MAX(I$470:I1369)&gt;T1368,T1368,(I1369-MAX(I$470:I1369))/MAX(I$470:I1369))</f>
        <v>-0.91338805338419748</v>
      </c>
      <c r="U1369" s="564">
        <f>IF((J1369-MAX(J$470:J1369))/MAX(J$470:J1369)&gt;U1368,U1368,(J1369-MAX(J$470:J1369))/MAX(J$470:J1369))</f>
        <v>-0.70517826086956548</v>
      </c>
      <c r="V1369" s="564">
        <f>IF((K1369-MAX(K$470:K1369))/MAX(K$470:K1369)&gt;V1368,V1368,(K1369-MAX(K$470:K1369))/MAX(K$470:K1369))</f>
        <v>-0.84885940676762139</v>
      </c>
      <c r="W1369" s="564">
        <f>IF((N1369-MAX(N$470:N1369))/MAX(N$470:N1369)&gt;W1368,W1368,(N1369-MAX(N$470:N1369))/MAX(N$470:N1369))</f>
        <v>-0.62788758315546067</v>
      </c>
      <c r="X1369" s="564">
        <f>IF((O1369-MAX(O$470:O1369))/MAX(O$470:O1369)&gt;X1368,X1368,(O1369-MAX(O$470:O1369))/MAX(O$470:O1369))</f>
        <v>-0.62788758315546067</v>
      </c>
    </row>
    <row r="1370" spans="1:24">
      <c r="A1370" s="799">
        <v>41772</v>
      </c>
      <c r="B1370">
        <v>441.28199999999998</v>
      </c>
      <c r="C1370">
        <v>201.96803600000001</v>
      </c>
      <c r="D1370">
        <v>1.351148</v>
      </c>
      <c r="E1370">
        <f>LN(D1370/参数实验室!$E$53)/参数实验室!$E$55</f>
        <v>-0.33791612656316555</v>
      </c>
      <c r="F1370">
        <f t="shared" si="158"/>
        <v>0.45768473674430415</v>
      </c>
      <c r="G1370">
        <f>LN(F1370/参数实验室!$E$58)/参数实验室!$E$59</f>
        <v>-0.60074265521580805</v>
      </c>
      <c r="H1370" s="856">
        <f>INDEX(神经网络!$G$10:$BO$70,MATCH(ROUND(G1370*2,1)/2,神经网络!$E$10:$E$70,0),MATCH(ROUND(E1370*2,1)/2,神经网络!$G$8:$BO$8,0))</f>
        <v>-0.91385209379677512</v>
      </c>
      <c r="I1370">
        <f t="shared" si="160"/>
        <v>727.737066690745</v>
      </c>
      <c r="J1370">
        <f t="shared" si="161"/>
        <v>176.08315709668398</v>
      </c>
      <c r="K1370">
        <f t="shared" si="162"/>
        <v>4.1329169620190198</v>
      </c>
      <c r="L1370" s="4">
        <f>MIN(MAX(L1369*(1+MAX(MIN(((B1370-B1369)/B1369)/($K$7*卓尔金历!$N$40),0),-卓尔金历!$M$43))+MIN(MAX(((B1370-B1369)/B1369)/($K$7*卓尔金历!$N$40),0),卓尔金历!$M$43),0),1)</f>
        <v>0.67276405841666564</v>
      </c>
      <c r="M1370" s="4">
        <f>MIN(MAX(M1369*(1+MAX(MIN(((B1370-B1369)/B1369)/($K$7*30),0),-卓尔金历!$M$43))+MIN(MAX(((B1370-B1369)/B1369)/($K$7*7),0),卓尔金历!$M$43),0),1)</f>
        <v>1</v>
      </c>
      <c r="N1370">
        <f t="shared" si="163"/>
        <v>793.05155691323262</v>
      </c>
      <c r="O1370">
        <f t="shared" si="164"/>
        <v>1747.78683817193</v>
      </c>
      <c r="P1370">
        <f t="shared" si="165"/>
        <v>1.818408356233597E-2</v>
      </c>
      <c r="Q1370">
        <f t="shared" si="156"/>
        <v>2.6474201496588246E-2</v>
      </c>
      <c r="R1370">
        <f t="shared" si="157"/>
        <v>0.41146360132828919</v>
      </c>
      <c r="S1370">
        <f t="shared" si="159"/>
        <v>14.634546997190819</v>
      </c>
      <c r="T1370" s="564">
        <f>IF((I1370-MAX(I$470:I1370))/MAX(I$470:I1370)&gt;T1369,T1369,(I1370-MAX(I$470:I1370))/MAX(I$470:I1370))</f>
        <v>-0.91338805338419748</v>
      </c>
      <c r="U1370" s="564">
        <f>IF((J1370-MAX(J$470:J1370))/MAX(J$470:J1370)&gt;U1369,U1369,(J1370-MAX(J$470:J1370))/MAX(J$470:J1370))</f>
        <v>-0.70517826086956548</v>
      </c>
      <c r="V1370" s="564">
        <f>IF((K1370-MAX(K$470:K1370))/MAX(K$470:K1370)&gt;V1369,V1369,(K1370-MAX(K$470:K1370))/MAX(K$470:K1370))</f>
        <v>-0.84885940676762139</v>
      </c>
      <c r="W1370" s="564">
        <f>IF((N1370-MAX(N$470:N1370))/MAX(N$470:N1370)&gt;W1369,W1369,(N1370-MAX(N$470:N1370))/MAX(N$470:N1370))</f>
        <v>-0.62788758315546067</v>
      </c>
      <c r="X1370" s="564">
        <f>IF((O1370-MAX(O$470:O1370))/MAX(O$470:O1370)&gt;X1369,X1369,(O1370-MAX(O$470:O1370))/MAX(O$470:O1370))</f>
        <v>-0.62788758315546067</v>
      </c>
    </row>
    <row r="1371" spans="1:24">
      <c r="A1371" s="799">
        <v>41773</v>
      </c>
      <c r="B1371">
        <v>439.85300000000001</v>
      </c>
      <c r="C1371">
        <v>207.55023499999999</v>
      </c>
      <c r="D1371">
        <v>1.3696740000000001</v>
      </c>
      <c r="E1371">
        <f>LN(D1371/参数实验室!$E$53)/参数实验室!$E$55</f>
        <v>-0.32185006537119898</v>
      </c>
      <c r="F1371">
        <f t="shared" si="158"/>
        <v>0.47186272459207956</v>
      </c>
      <c r="G1371">
        <f>LN(F1371/参数实验室!$E$58)/参数实验室!$E$59</f>
        <v>-0.58473066725229061</v>
      </c>
      <c r="H1371" s="856">
        <f>INDEX(神经网络!$G$10:$BO$70,MATCH(ROUND(G1371*2,1)/2,神经网络!$E$10:$E$70,0),MATCH(ROUND(E1371*2,1)/2,神经网络!$G$8:$BO$8,0))</f>
        <v>-0.89307109376254667</v>
      </c>
      <c r="I1371">
        <f t="shared" si="160"/>
        <v>729.89067353671214</v>
      </c>
      <c r="J1371">
        <f t="shared" si="161"/>
        <v>175.51294840588955</v>
      </c>
      <c r="K1371">
        <f t="shared" si="162"/>
        <v>4.1586143937869133</v>
      </c>
      <c r="L1371" s="4">
        <f>MIN(MAX(L1370*(1+MAX(MIN(((B1371-B1370)/B1370)/($K$7*卓尔金历!$N$40),0),-卓尔金历!$M$43))+MIN(MAX(((B1371-B1370)/B1370)/($K$7*卓尔金历!$N$40),0),卓尔金历!$M$43),0),1)</f>
        <v>0.63947704154310625</v>
      </c>
      <c r="M1371" s="4">
        <f>MIN(MAX(M1370*(1+MAX(MIN(((B1371-B1370)/B1370)/($K$7*30),0),-卓尔金历!$M$43))+MIN(MAX(((B1371-B1370)/B1370)/($K$7*7),0),卓尔金历!$M$43),0),1)</f>
        <v>0.97526100238477398</v>
      </c>
      <c r="N1371">
        <f t="shared" si="163"/>
        <v>794.63046238938318</v>
      </c>
      <c r="O1371">
        <f t="shared" si="164"/>
        <v>1752.9590986932949</v>
      </c>
      <c r="P1371">
        <f t="shared" si="165"/>
        <v>-3.2382920672041318E-3</v>
      </c>
      <c r="Q1371">
        <f t="shared" si="156"/>
        <v>2.6381838095625602E-2</v>
      </c>
      <c r="R1371">
        <f t="shared" si="157"/>
        <v>1</v>
      </c>
      <c r="S1371">
        <f t="shared" si="159"/>
        <v>14.6523667893268</v>
      </c>
      <c r="T1371" s="564">
        <f>IF((I1371-MAX(I$470:I1371))/MAX(I$470:I1371)&gt;T1370,T1370,(I1371-MAX(I$470:I1371))/MAX(I$470:I1371))</f>
        <v>-0.91338805338419748</v>
      </c>
      <c r="U1371" s="564">
        <f>IF((J1371-MAX(J$470:J1371))/MAX(J$470:J1371)&gt;U1370,U1370,(J1371-MAX(J$470:J1371))/MAX(J$470:J1371))</f>
        <v>-0.70517826086956548</v>
      </c>
      <c r="V1371" s="564">
        <f>IF((K1371-MAX(K$470:K1371))/MAX(K$470:K1371)&gt;V1370,V1370,(K1371-MAX(K$470:K1371))/MAX(K$470:K1371))</f>
        <v>-0.84885940676762139</v>
      </c>
      <c r="W1371" s="564">
        <f>IF((N1371-MAX(N$470:N1371))/MAX(N$470:N1371)&gt;W1370,W1370,(N1371-MAX(N$470:N1371))/MAX(N$470:N1371))</f>
        <v>-0.62788758315546067</v>
      </c>
      <c r="X1371" s="564">
        <f>IF((O1371-MAX(O$470:O1371))/MAX(O$470:O1371)&gt;X1370,X1370,(O1371-MAX(O$470:O1371))/MAX(O$470:O1371))</f>
        <v>-0.62788758315546067</v>
      </c>
    </row>
    <row r="1372" spans="1:24">
      <c r="A1372" s="799">
        <v>41774</v>
      </c>
      <c r="B1372">
        <v>444.36799999999999</v>
      </c>
      <c r="C1372">
        <v>209.18731299999999</v>
      </c>
      <c r="D1372">
        <v>1.376344</v>
      </c>
      <c r="E1372">
        <f>LN(D1372/参数实验室!$E$53)/参数实验室!$E$55</f>
        <v>-0.31611887962317703</v>
      </c>
      <c r="F1372">
        <f t="shared" si="158"/>
        <v>0.4707524236668707</v>
      </c>
      <c r="G1372">
        <f>LN(F1372/参数实验室!$E$58)/参数实验室!$E$59</f>
        <v>-0.58596711290079728</v>
      </c>
      <c r="H1372" s="856">
        <f>INDEX(神经网络!$G$10:$BO$70,MATCH(ROUND(G1372*2,1)/2,神经网络!$E$10:$E$70,0),MATCH(ROUND(E1372*2,1)/2,神经网络!$G$8:$BO$8,0))</f>
        <v>-0.89307109376254667</v>
      </c>
      <c r="I1372">
        <f t="shared" si="160"/>
        <v>723.19962711080746</v>
      </c>
      <c r="J1372">
        <f t="shared" si="161"/>
        <v>177.31455249191961</v>
      </c>
      <c r="K1372">
        <f t="shared" si="162"/>
        <v>4.0786253409390314</v>
      </c>
      <c r="L1372" s="4">
        <f>MIN(MAX(L1371*(1+MAX(MIN(((B1372-B1371)/B1371)/($K$7*卓尔金历!$N$40),0),-卓尔金历!$M$43))+MIN(MAX(((B1372-B1371)/B1371)/($K$7*卓尔金历!$N$40),0),卓尔金历!$M$43),0),1)</f>
        <v>0.79631322835693163</v>
      </c>
      <c r="M1372" s="4">
        <f>MIN(MAX(M1371*(1+MAX(MIN(((B1372-B1371)/B1371)/($K$7*30),0),-卓尔金历!$M$43))+MIN(MAX(((B1372-B1371)/B1371)/($K$7*7),0),卓尔金历!$M$43),0),1)</f>
        <v>1</v>
      </c>
      <c r="N1372">
        <f t="shared" si="163"/>
        <v>789.97217374100694</v>
      </c>
      <c r="O1372">
        <f t="shared" si="164"/>
        <v>1737.2869382039351</v>
      </c>
      <c r="P1372">
        <f t="shared" si="165"/>
        <v>1.0264793010392077E-2</v>
      </c>
      <c r="Q1372">
        <f t="shared" si="156"/>
        <v>2.6577333253781914E-2</v>
      </c>
      <c r="R1372">
        <f t="shared" si="157"/>
        <v>1</v>
      </c>
      <c r="S1372">
        <f t="shared" si="159"/>
        <v>14.518045760176346</v>
      </c>
      <c r="T1372" s="564">
        <f>IF((I1372-MAX(I$470:I1372))/MAX(I$470:I1372)&gt;T1371,T1371,(I1372-MAX(I$470:I1372))/MAX(I$470:I1372))</f>
        <v>-0.91338805338419748</v>
      </c>
      <c r="U1372" s="564">
        <f>IF((J1372-MAX(J$470:J1372))/MAX(J$470:J1372)&gt;U1371,U1371,(J1372-MAX(J$470:J1372))/MAX(J$470:J1372))</f>
        <v>-0.70517826086956548</v>
      </c>
      <c r="V1372" s="564">
        <f>IF((K1372-MAX(K$470:K1372))/MAX(K$470:K1372)&gt;V1371,V1371,(K1372-MAX(K$470:K1372))/MAX(K$470:K1372))</f>
        <v>-0.84885940676762139</v>
      </c>
      <c r="W1372" s="564">
        <f>IF((N1372-MAX(N$470:N1372))/MAX(N$470:N1372)&gt;W1371,W1371,(N1372-MAX(N$470:N1372))/MAX(N$470:N1372))</f>
        <v>-0.62788758315546067</v>
      </c>
      <c r="X1372" s="564">
        <f>IF((O1372-MAX(O$470:O1372))/MAX(O$470:O1372)&gt;X1371,X1371,(O1372-MAX(O$470:O1372))/MAX(O$470:O1372))</f>
        <v>-0.62788758315546067</v>
      </c>
    </row>
    <row r="1373" spans="1:24">
      <c r="A1373" s="799">
        <v>41775</v>
      </c>
      <c r="B1373">
        <v>448.209</v>
      </c>
      <c r="C1373">
        <v>206.616378</v>
      </c>
      <c r="D1373">
        <v>1.3823350000000001</v>
      </c>
      <c r="E1373">
        <f>LN(D1373/参数实验室!$E$53)/参数实验室!$E$55</f>
        <v>-0.31099475115735226</v>
      </c>
      <c r="F1373">
        <f t="shared" si="158"/>
        <v>0.4609822158858925</v>
      </c>
      <c r="G1373">
        <f>LN(F1373/参数实验室!$E$58)/参数实验室!$E$59</f>
        <v>-0.59697479856818658</v>
      </c>
      <c r="H1373" s="856">
        <f>INDEX(神经网络!$G$10:$BO$70,MATCH(ROUND(G1373*2,1)/2,神经网络!$E$10:$E$70,0),MATCH(ROUND(E1373*2,1)/2,神经网络!$G$8:$BO$8,0))</f>
        <v>-0.89307109376254667</v>
      </c>
      <c r="I1373">
        <f t="shared" si="160"/>
        <v>717.61690826621634</v>
      </c>
      <c r="J1373">
        <f t="shared" si="161"/>
        <v>178.84721280076604</v>
      </c>
      <c r="K1373">
        <f t="shared" si="162"/>
        <v>4.0124578797078279</v>
      </c>
      <c r="L1373" s="4">
        <f>MIN(MAX(L1372*(1+MAX(MIN(((B1373-B1372)/B1372)/($K$7*卓尔金历!$N$40),0),-卓尔金历!$M$43))+MIN(MAX(((B1373-B1372)/B1372)/($K$7*卓尔金历!$N$40),0),卓尔金历!$M$43),0),1)</f>
        <v>0.92838123070641887</v>
      </c>
      <c r="M1373" s="4">
        <f>MIN(MAX(M1372*(1+MAX(MIN(((B1373-B1372)/B1372)/($K$7*30),0),-卓尔金历!$M$43))+MIN(MAX(((B1373-B1372)/B1372)/($K$7*7),0),卓尔金历!$M$43),0),1)</f>
        <v>1</v>
      </c>
      <c r="N1373">
        <f t="shared" si="163"/>
        <v>785.11612220504787</v>
      </c>
      <c r="O1373">
        <f t="shared" si="164"/>
        <v>1723.876001354977</v>
      </c>
      <c r="P1373">
        <f t="shared" si="165"/>
        <v>8.6437367227163251E-3</v>
      </c>
      <c r="Q1373">
        <f t="shared" si="156"/>
        <v>2.2824273399230825E-2</v>
      </c>
      <c r="R1373">
        <f t="shared" si="157"/>
        <v>1</v>
      </c>
      <c r="S1373">
        <f t="shared" si="159"/>
        <v>14.405974121013907</v>
      </c>
      <c r="T1373" s="564">
        <f>IF((I1373-MAX(I$470:I1373))/MAX(I$470:I1373)&gt;T1372,T1372,(I1373-MAX(I$470:I1373))/MAX(I$470:I1373))</f>
        <v>-0.91338805338419748</v>
      </c>
      <c r="U1373" s="564">
        <f>IF((J1373-MAX(J$470:J1373))/MAX(J$470:J1373)&gt;U1372,U1372,(J1373-MAX(J$470:J1373))/MAX(J$470:J1373))</f>
        <v>-0.70517826086956548</v>
      </c>
      <c r="V1373" s="564">
        <f>IF((K1373-MAX(K$470:K1373))/MAX(K$470:K1373)&gt;V1372,V1372,(K1373-MAX(K$470:K1373))/MAX(K$470:K1373))</f>
        <v>-0.84885940676762139</v>
      </c>
      <c r="W1373" s="564">
        <f>IF((N1373-MAX(N$470:N1373))/MAX(N$470:N1373)&gt;W1372,W1372,(N1373-MAX(N$470:N1373))/MAX(N$470:N1373))</f>
        <v>-0.62788758315546067</v>
      </c>
      <c r="X1373" s="564">
        <f>IF((O1373-MAX(O$470:O1373))/MAX(O$470:O1373)&gt;X1372,X1372,(O1373-MAX(O$470:O1373))/MAX(O$470:O1373))</f>
        <v>-0.62788758315546067</v>
      </c>
    </row>
    <row r="1374" spans="1:24">
      <c r="A1374" s="799">
        <v>41776</v>
      </c>
      <c r="B1374">
        <v>448.52</v>
      </c>
      <c r="C1374">
        <v>206.337626</v>
      </c>
      <c r="D1374">
        <v>1.383796</v>
      </c>
      <c r="E1374">
        <f>LN(D1374/参数实验室!$E$53)/参数实验室!$E$55</f>
        <v>-0.30974851976070356</v>
      </c>
      <c r="F1374">
        <f t="shared" si="158"/>
        <v>0.46004108178007669</v>
      </c>
      <c r="G1374">
        <f>LN(F1374/参数实验室!$E$58)/参数实验室!$E$59</f>
        <v>-0.59804742770513242</v>
      </c>
      <c r="H1374" s="856">
        <f>INDEX(神经网络!$G$10:$BO$70,MATCH(ROUND(G1374*2,1)/2,神经网络!$E$10:$E$70,0),MATCH(ROUND(E1374*2,1)/2,神经网络!$G$8:$BO$8,0))</f>
        <v>-0.89307109376254667</v>
      </c>
      <c r="I1374">
        <f t="shared" si="160"/>
        <v>717.1722170903605</v>
      </c>
      <c r="J1374">
        <f t="shared" si="161"/>
        <v>178.97131000359116</v>
      </c>
      <c r="K1374">
        <f t="shared" si="162"/>
        <v>4.0071909686305034</v>
      </c>
      <c r="L1374" s="4">
        <f>MIN(MAX(L1373*(1+MAX(MIN(((B1374-B1373)/B1373)/($K$7*卓尔金历!$N$40),0),-卓尔金历!$M$43))+MIN(MAX(((B1374-B1373)/B1373)/($K$7*卓尔金历!$N$40),0),卓尔金历!$M$43),0),1)</f>
        <v>0.93898294007777394</v>
      </c>
      <c r="M1374" s="4">
        <f>MIN(MAX(M1373*(1+MAX(MIN(((B1374-B1373)/B1373)/($K$7*30),0),-卓尔金历!$M$43))+MIN(MAX(((B1374-B1373)/B1373)/($K$7*7),0),卓尔金历!$M$43),0),1)</f>
        <v>1</v>
      </c>
      <c r="N1374">
        <f t="shared" si="163"/>
        <v>784.66444716049079</v>
      </c>
      <c r="O1374">
        <f t="shared" si="164"/>
        <v>1722.8077538858304</v>
      </c>
      <c r="P1374">
        <f t="shared" si="165"/>
        <v>6.9387272455479171E-4</v>
      </c>
      <c r="Q1374">
        <f t="shared" si="156"/>
        <v>2.2723704108189604E-2</v>
      </c>
      <c r="R1374">
        <f t="shared" si="157"/>
        <v>1</v>
      </c>
      <c r="S1374">
        <f t="shared" si="159"/>
        <v>14.397047060492577</v>
      </c>
      <c r="T1374" s="564">
        <f>IF((I1374-MAX(I$470:I1374))/MAX(I$470:I1374)&gt;T1373,T1373,(I1374-MAX(I$470:I1374))/MAX(I$470:I1374))</f>
        <v>-0.91338805338419748</v>
      </c>
      <c r="U1374" s="564">
        <f>IF((J1374-MAX(J$470:J1374))/MAX(J$470:J1374)&gt;U1373,U1373,(J1374-MAX(J$470:J1374))/MAX(J$470:J1374))</f>
        <v>-0.70517826086956548</v>
      </c>
      <c r="V1374" s="564">
        <f>IF((K1374-MAX(K$470:K1374))/MAX(K$470:K1374)&gt;V1373,V1373,(K1374-MAX(K$470:K1374))/MAX(K$470:K1374))</f>
        <v>-0.84885940676762139</v>
      </c>
      <c r="W1374" s="564">
        <f>IF((N1374-MAX(N$470:N1374))/MAX(N$470:N1374)&gt;W1373,W1373,(N1374-MAX(N$470:N1374))/MAX(N$470:N1374))</f>
        <v>-0.62788758315546067</v>
      </c>
      <c r="X1374" s="564">
        <f>IF((O1374-MAX(O$470:O1374))/MAX(O$470:O1374)&gt;X1373,X1373,(O1374-MAX(O$470:O1374))/MAX(O$470:O1374))</f>
        <v>-0.62788758315546067</v>
      </c>
    </row>
    <row r="1375" spans="1:24">
      <c r="A1375" s="799">
        <v>41777</v>
      </c>
      <c r="B1375">
        <v>447.91199999999998</v>
      </c>
      <c r="C1375">
        <v>205.05249499999999</v>
      </c>
      <c r="D1375">
        <v>1.3766849999999999</v>
      </c>
      <c r="E1375">
        <f>LN(D1375/参数实验室!$E$53)/参数实验室!$E$55</f>
        <v>-0.31582662272486478</v>
      </c>
      <c r="F1375">
        <f t="shared" si="158"/>
        <v>0.45779638634374609</v>
      </c>
      <c r="G1375">
        <f>LN(F1375/参数实验室!$E$58)/参数实验室!$E$59</f>
        <v>-0.60061463565868511</v>
      </c>
      <c r="H1375" s="856">
        <f>INDEX(神经网络!$G$10:$BO$70,MATCH(ROUND(G1375*2,1)/2,神经网络!$E$10:$E$70,0),MATCH(ROUND(E1375*2,1)/2,神经网络!$G$8:$BO$8,0))</f>
        <v>-0.89307109376254667</v>
      </c>
      <c r="I1375">
        <f t="shared" si="160"/>
        <v>718.0404400280454</v>
      </c>
      <c r="J1375">
        <f t="shared" si="161"/>
        <v>178.72870196719992</v>
      </c>
      <c r="K1375">
        <f t="shared" si="162"/>
        <v>4.0174881377464446</v>
      </c>
      <c r="L1375" s="4">
        <f>MIN(MAX(L1374*(1+MAX(MIN(((B1375-B1374)/B1374)/($K$7*卓尔金历!$N$40),0),-卓尔金历!$M$43))+MIN(MAX(((B1375-B1374)/B1374)/($K$7*卓尔金历!$N$40),0),卓尔金历!$M$43),0),1)</f>
        <v>0.9195349131984375</v>
      </c>
      <c r="M1375" s="4">
        <f>MIN(MAX(M1374*(1+MAX(MIN(((B1375-B1374)/B1374)/($K$7*30),0),-卓尔金历!$M$43))+MIN(MAX(((B1375-B1374)/B1374)/($K$7*7),0),卓尔金历!$M$43),0),1)</f>
        <v>0.98964409998879976</v>
      </c>
      <c r="N1375">
        <f t="shared" si="163"/>
        <v>785.55641557463923</v>
      </c>
      <c r="O1375">
        <f t="shared" si="164"/>
        <v>1724.89341918839</v>
      </c>
      <c r="P1375">
        <f t="shared" si="165"/>
        <v>-1.355569428342112E-3</v>
      </c>
      <c r="Q1375">
        <f t="shared" si="156"/>
        <v>2.2628140931710398E-2</v>
      </c>
      <c r="R1375">
        <f t="shared" si="157"/>
        <v>1</v>
      </c>
      <c r="S1375">
        <f t="shared" si="159"/>
        <v>14.414476411762712</v>
      </c>
      <c r="T1375" s="564">
        <f>IF((I1375-MAX(I$470:I1375))/MAX(I$470:I1375)&gt;T1374,T1374,(I1375-MAX(I$470:I1375))/MAX(I$470:I1375))</f>
        <v>-0.91338805338419748</v>
      </c>
      <c r="U1375" s="564">
        <f>IF((J1375-MAX(J$470:J1375))/MAX(J$470:J1375)&gt;U1374,U1374,(J1375-MAX(J$470:J1375))/MAX(J$470:J1375))</f>
        <v>-0.70517826086956548</v>
      </c>
      <c r="V1375" s="564">
        <f>IF((K1375-MAX(K$470:K1375))/MAX(K$470:K1375)&gt;V1374,V1374,(K1375-MAX(K$470:K1375))/MAX(K$470:K1375))</f>
        <v>-0.84885940676762139</v>
      </c>
      <c r="W1375" s="564">
        <f>IF((N1375-MAX(N$470:N1375))/MAX(N$470:N1375)&gt;W1374,W1374,(N1375-MAX(N$470:N1375))/MAX(N$470:N1375))</f>
        <v>-0.62788758315546067</v>
      </c>
      <c r="X1375" s="564">
        <f>IF((O1375-MAX(O$470:O1375))/MAX(O$470:O1375)&gt;X1374,X1374,(O1375-MAX(O$470:O1375))/MAX(O$470:O1375))</f>
        <v>-0.62788758315546067</v>
      </c>
    </row>
    <row r="1376" spans="1:24">
      <c r="A1376" s="799">
        <v>41778</v>
      </c>
      <c r="B1376">
        <v>447.12200000000001</v>
      </c>
      <c r="C1376">
        <v>204.14689100000001</v>
      </c>
      <c r="D1376">
        <v>1.3783510000000001</v>
      </c>
      <c r="E1376">
        <f>LN(D1376/参数实验室!$E$53)/参数实验室!$E$55</f>
        <v>-0.31439980351521929</v>
      </c>
      <c r="F1376">
        <f t="shared" si="158"/>
        <v>0.45657983950689074</v>
      </c>
      <c r="G1376">
        <f>LN(F1376/参数实验室!$E$58)/参数实验室!$E$59</f>
        <v>-0.60201123781132448</v>
      </c>
      <c r="H1376" s="856">
        <f>INDEX(神经网络!$G$10:$BO$70,MATCH(ROUND(G1376*2,1)/2,神经网络!$E$10:$E$70,0),MATCH(ROUND(E1376*2,1)/2,神经网络!$G$8:$BO$8,0))</f>
        <v>-0.89307109376254667</v>
      </c>
      <c r="I1376">
        <f t="shared" si="160"/>
        <v>719.17145754332034</v>
      </c>
      <c r="J1376">
        <f t="shared" si="161"/>
        <v>178.41347113044162</v>
      </c>
      <c r="K1376">
        <f t="shared" si="162"/>
        <v>4.0309257646667263</v>
      </c>
      <c r="L1376" s="4">
        <f>MIN(MAX(L1375*(1+MAX(MIN(((B1376-B1375)/B1375)/($K$7*卓尔金历!$N$40),0),-卓尔金历!$M$43))+MIN(MAX(((B1376-B1375)/B1375)/($K$7*卓尔金历!$N$40),0),卓尔金历!$M$43),0),1)</f>
        <v>0.89475506193524068</v>
      </c>
      <c r="M1376" s="4">
        <f>MIN(MAX(M1375*(1+MAX(MIN(((B1376-B1375)/B1375)/($K$7*30),0),-卓尔金历!$M$43))+MIN(MAX(((B1376-B1375)/B1375)/($K$7*7),0),卓尔金历!$M$43),0),1)</f>
        <v>0.97630951461893967</v>
      </c>
      <c r="N1376">
        <f t="shared" si="163"/>
        <v>786.69421583638757</v>
      </c>
      <c r="O1376">
        <f t="shared" si="164"/>
        <v>1727.5822391975285</v>
      </c>
      <c r="P1376">
        <f t="shared" si="165"/>
        <v>-1.7637393059350133E-3</v>
      </c>
      <c r="Q1376">
        <f t="shared" si="156"/>
        <v>1.7263130693012572E-2</v>
      </c>
      <c r="R1376">
        <f t="shared" si="157"/>
        <v>1</v>
      </c>
      <c r="S1376">
        <f t="shared" si="159"/>
        <v>14.43718129631571</v>
      </c>
      <c r="T1376" s="564">
        <f>IF((I1376-MAX(I$470:I1376))/MAX(I$470:I1376)&gt;T1375,T1375,(I1376-MAX(I$470:I1376))/MAX(I$470:I1376))</f>
        <v>-0.91338805338419748</v>
      </c>
      <c r="U1376" s="564">
        <f>IF((J1376-MAX(J$470:J1376))/MAX(J$470:J1376)&gt;U1375,U1375,(J1376-MAX(J$470:J1376))/MAX(J$470:J1376))</f>
        <v>-0.70517826086956548</v>
      </c>
      <c r="V1376" s="564">
        <f>IF((K1376-MAX(K$470:K1376))/MAX(K$470:K1376)&gt;V1375,V1375,(K1376-MAX(K$470:K1376))/MAX(K$470:K1376))</f>
        <v>-0.84885940676762139</v>
      </c>
      <c r="W1376" s="564">
        <f>IF((N1376-MAX(N$470:N1376))/MAX(N$470:N1376)&gt;W1375,W1375,(N1376-MAX(N$470:N1376))/MAX(N$470:N1376))</f>
        <v>-0.62788758315546067</v>
      </c>
      <c r="X1376" s="564">
        <f>IF((O1376-MAX(O$470:O1376))/MAX(O$470:O1376)&gt;X1375,X1375,(O1376-MAX(O$470:O1376))/MAX(O$470:O1376))</f>
        <v>-0.62788758315546067</v>
      </c>
    </row>
    <row r="1377" spans="1:24">
      <c r="A1377" s="799">
        <v>41779</v>
      </c>
      <c r="B1377">
        <v>445.06</v>
      </c>
      <c r="C1377">
        <v>204.50154599999999</v>
      </c>
      <c r="D1377">
        <v>1.508675</v>
      </c>
      <c r="E1377">
        <f>LN(D1377/参数实验室!$E$53)/参数实验室!$E$55</f>
        <v>-0.20781626488620808</v>
      </c>
      <c r="F1377">
        <f t="shared" si="158"/>
        <v>0.4594920819664764</v>
      </c>
      <c r="G1377">
        <f>LN(F1377/参数实验室!$E$58)/参数实验室!$E$59</f>
        <v>-0.59867414747428671</v>
      </c>
      <c r="H1377" s="856">
        <f>INDEX(神经网络!$G$10:$BO$70,MATCH(ROUND(G1377*2,1)/2,神经网络!$E$10:$E$70,0),MATCH(ROUND(E1377*2,1)/2,神经网络!$G$8:$BO$8,0))</f>
        <v>-0.84969202084119766</v>
      </c>
      <c r="I1377">
        <f t="shared" si="160"/>
        <v>722.13343055577309</v>
      </c>
      <c r="J1377">
        <f t="shared" si="161"/>
        <v>177.59067874386486</v>
      </c>
      <c r="K1377">
        <f t="shared" si="162"/>
        <v>4.066280030368544</v>
      </c>
      <c r="L1377" s="4">
        <f>MIN(MAX(L1376*(1+MAX(MIN(((B1377-B1376)/B1376)/($K$7*卓尔金历!$N$40),0),-卓尔金历!$M$43))+MIN(MAX(((B1377-B1376)/B1376)/($K$7*卓尔金历!$N$40),0),卓尔金历!$M$43),0),1)</f>
        <v>0.83170828868628688</v>
      </c>
      <c r="M1377" s="4">
        <f>MIN(MAX(M1376*(1+MAX(MIN(((B1377-B1376)/B1376)/($K$7*30),0),-卓尔金历!$M$43))+MIN(MAX(((B1377-B1376)/B1376)/($K$7*7),0),卓尔金历!$M$43),0),1)</f>
        <v>0.9419128583676496</v>
      </c>
      <c r="N1377">
        <f t="shared" si="163"/>
        <v>789.59328632794995</v>
      </c>
      <c r="O1377">
        <f t="shared" si="164"/>
        <v>1734.5288810198952</v>
      </c>
      <c r="P1377">
        <f t="shared" si="165"/>
        <v>-4.6117167126645785E-3</v>
      </c>
      <c r="Q1377">
        <f t="shared" si="156"/>
        <v>1.3452922651235519E-2</v>
      </c>
      <c r="R1377">
        <f t="shared" si="157"/>
        <v>1</v>
      </c>
      <c r="S1377">
        <f t="shared" si="159"/>
        <v>14.496642139661262</v>
      </c>
      <c r="T1377" s="564">
        <f>IF((I1377-MAX(I$470:I1377))/MAX(I$470:I1377)&gt;T1376,T1376,(I1377-MAX(I$470:I1377))/MAX(I$470:I1377))</f>
        <v>-0.91338805338419748</v>
      </c>
      <c r="U1377" s="564">
        <f>IF((J1377-MAX(J$470:J1377))/MAX(J$470:J1377)&gt;U1376,U1376,(J1377-MAX(J$470:J1377))/MAX(J$470:J1377))</f>
        <v>-0.70517826086956548</v>
      </c>
      <c r="V1377" s="564">
        <f>IF((K1377-MAX(K$470:K1377))/MAX(K$470:K1377)&gt;V1376,V1376,(K1377-MAX(K$470:K1377))/MAX(K$470:K1377))</f>
        <v>-0.84885940676762139</v>
      </c>
      <c r="W1377" s="564">
        <f>IF((N1377-MAX(N$470:N1377))/MAX(N$470:N1377)&gt;W1376,W1376,(N1377-MAX(N$470:N1377))/MAX(N$470:N1377))</f>
        <v>-0.62788758315546067</v>
      </c>
      <c r="X1377" s="564">
        <f>IF((O1377-MAX(O$470:O1377))/MAX(O$470:O1377)&gt;X1376,X1376,(O1377-MAX(O$470:O1377))/MAX(O$470:O1377))</f>
        <v>-0.62788758315546067</v>
      </c>
    </row>
    <row r="1378" spans="1:24">
      <c r="A1378" s="799">
        <v>41780</v>
      </c>
      <c r="B1378">
        <v>483.30200000000002</v>
      </c>
      <c r="C1378">
        <v>204.230358</v>
      </c>
      <c r="D1378">
        <v>1.5185630000000001</v>
      </c>
      <c r="E1378">
        <f>LN(D1378/参数实验室!$E$53)/参数实验室!$E$55</f>
        <v>-0.20010927814600424</v>
      </c>
      <c r="F1378">
        <f t="shared" si="158"/>
        <v>0.42257296266102767</v>
      </c>
      <c r="G1378">
        <f>LN(F1378/参数实验室!$E$58)/参数实验室!$E$59</f>
        <v>-0.64263570442607953</v>
      </c>
      <c r="H1378" s="856">
        <f>INDEX(神经网络!$G$10:$BO$70,MATCH(ROUND(G1378*2,1)/2,神经网络!$E$10:$E$70,0),MATCH(ROUND(E1378*2,1)/2,神经网络!$G$8:$BO$8,0))</f>
        <v>-0.89395301091320889</v>
      </c>
      <c r="I1378">
        <f t="shared" si="160"/>
        <v>669.41032006605235</v>
      </c>
      <c r="J1378">
        <f t="shared" si="161"/>
        <v>192.85024540122089</v>
      </c>
      <c r="K1378">
        <f t="shared" si="162"/>
        <v>3.4711406183246396</v>
      </c>
      <c r="L1378" s="4">
        <f>MIN(MAX(L1377*(1+MAX(MIN(((B1378-B1377)/B1377)/($K$7*卓尔金历!$N$40),0),-卓尔金历!$M$43))+MIN(MAX(((B1378-B1377)/B1377)/($K$7*卓尔金历!$N$40),0),卓尔金历!$M$43),0),1)</f>
        <v>1</v>
      </c>
      <c r="M1378" s="4">
        <f>MIN(MAX(M1377*(1+MAX(MIN(((B1378-B1377)/B1377)/($K$7*30),0),-卓尔金历!$M$43))+MIN(MAX(((B1378-B1377)/B1377)/($K$7*7),0),卓尔金历!$M$43),0),1)</f>
        <v>1</v>
      </c>
      <c r="N1378">
        <f t="shared" si="163"/>
        <v>741.64666045623119</v>
      </c>
      <c r="O1378">
        <f t="shared" si="164"/>
        <v>1615.246627684332</v>
      </c>
      <c r="P1378">
        <f t="shared" si="165"/>
        <v>8.5925493191929214E-2</v>
      </c>
      <c r="Q1378">
        <f t="shared" si="156"/>
        <v>2.2712702952034147E-2</v>
      </c>
      <c r="R1378">
        <f t="shared" si="157"/>
        <v>0</v>
      </c>
      <c r="S1378">
        <f t="shared" si="159"/>
        <v>13.438239311431762</v>
      </c>
      <c r="T1378" s="564">
        <f>IF((I1378-MAX(I$470:I1378))/MAX(I$470:I1378)&gt;T1377,T1377,(I1378-MAX(I$470:I1378))/MAX(I$470:I1378))</f>
        <v>-0.91338805338419748</v>
      </c>
      <c r="U1378" s="564">
        <f>IF((J1378-MAX(J$470:J1378))/MAX(J$470:J1378)&gt;U1377,U1377,(J1378-MAX(J$470:J1378))/MAX(J$470:J1378))</f>
        <v>-0.70517826086956548</v>
      </c>
      <c r="V1378" s="564">
        <f>IF((K1378-MAX(K$470:K1378))/MAX(K$470:K1378)&gt;V1377,V1377,(K1378-MAX(K$470:K1378))/MAX(K$470:K1378))</f>
        <v>-0.84885940676762139</v>
      </c>
      <c r="W1378" s="564">
        <f>IF((N1378-MAX(N$470:N1378))/MAX(N$470:N1378)&gt;W1377,W1377,(N1378-MAX(N$470:N1378))/MAX(N$470:N1378))</f>
        <v>-0.62788758315546067</v>
      </c>
      <c r="X1378" s="564">
        <f>IF((O1378-MAX(O$470:O1378))/MAX(O$470:O1378)&gt;X1377,X1377,(O1378-MAX(O$470:O1378))/MAX(O$470:O1378))</f>
        <v>-0.62788758315546067</v>
      </c>
    </row>
    <row r="1379" spans="1:24">
      <c r="A1379" s="799">
        <v>41781</v>
      </c>
      <c r="B1379">
        <v>492.12599999999998</v>
      </c>
      <c r="C1379">
        <v>202.226484</v>
      </c>
      <c r="D1379">
        <v>1.6168629999999999</v>
      </c>
      <c r="E1379">
        <f>LN(D1379/参数实验室!$E$53)/参数实验室!$E$55</f>
        <v>-0.12611119159476389</v>
      </c>
      <c r="F1379">
        <f t="shared" si="158"/>
        <v>0.41092420233842553</v>
      </c>
      <c r="G1379">
        <f>LN(F1379/参数实验室!$E$58)/参数实验室!$E$59</f>
        <v>-0.6573071329930289</v>
      </c>
      <c r="H1379" s="856">
        <f>INDEX(神经网络!$G$10:$BO$70,MATCH(ROUND(G1379*2,1)/2,神经网络!$E$10:$E$70,0),MATCH(ROUND(E1379*2,1)/2,神经网络!$G$8:$BO$8,0))</f>
        <v>-0.87399963156729488</v>
      </c>
      <c r="I1379">
        <f t="shared" si="160"/>
        <v>658.48450105617712</v>
      </c>
      <c r="J1379">
        <f t="shared" si="161"/>
        <v>196.3712541398985</v>
      </c>
      <c r="K1379">
        <f t="shared" si="162"/>
        <v>3.3532632051484512</v>
      </c>
      <c r="L1379" s="4">
        <f>MIN(MAX(L1378*(1+MAX(MIN(((B1379-B1378)/B1378)/($K$7*卓尔金历!$N$40),0),-卓尔金历!$M$43))+MIN(MAX(((B1379-B1378)/B1378)/($K$7*卓尔金历!$N$40),0),卓尔金历!$M$43),0),1)</f>
        <v>1</v>
      </c>
      <c r="M1379" s="4">
        <f>MIN(MAX(M1378*(1+MAX(MIN(((B1379-B1378)/B1378)/($K$7*30),0),-卓尔金历!$M$43))+MIN(MAX(((B1379-B1378)/B1378)/($K$7*7),0),卓尔金历!$M$43),0),1)</f>
        <v>1</v>
      </c>
      <c r="N1379">
        <f t="shared" si="163"/>
        <v>729.54183186526529</v>
      </c>
      <c r="O1379">
        <f t="shared" si="164"/>
        <v>1588.8832870225851</v>
      </c>
      <c r="P1379">
        <f t="shared" si="165"/>
        <v>1.8257735329048824E-2</v>
      </c>
      <c r="Q1379">
        <f t="shared" si="156"/>
        <v>2.2883008176746825E-2</v>
      </c>
      <c r="R1379">
        <f t="shared" si="157"/>
        <v>0.25364715304220242</v>
      </c>
      <c r="S1379">
        <f t="shared" si="159"/>
        <v>13.438239311431762</v>
      </c>
      <c r="T1379" s="564">
        <f>IF((I1379-MAX(I$470:I1379))/MAX(I$470:I1379)&gt;T1378,T1378,(I1379-MAX(I$470:I1379))/MAX(I$470:I1379))</f>
        <v>-0.91338805338419748</v>
      </c>
      <c r="U1379" s="564">
        <f>IF((J1379-MAX(J$470:J1379))/MAX(J$470:J1379)&gt;U1378,U1378,(J1379-MAX(J$470:J1379))/MAX(J$470:J1379))</f>
        <v>-0.70517826086956548</v>
      </c>
      <c r="V1379" s="564">
        <f>IF((K1379-MAX(K$470:K1379))/MAX(K$470:K1379)&gt;V1378,V1378,(K1379-MAX(K$470:K1379))/MAX(K$470:K1379))</f>
        <v>-0.84885940676762139</v>
      </c>
      <c r="W1379" s="564">
        <f>IF((N1379-MAX(N$470:N1379))/MAX(N$470:N1379)&gt;W1378,W1378,(N1379-MAX(N$470:N1379))/MAX(N$470:N1379))</f>
        <v>-0.62788758315546067</v>
      </c>
      <c r="X1379" s="564">
        <f>IF((O1379-MAX(O$470:O1379))/MAX(O$470:O1379)&gt;X1378,X1378,(O1379-MAX(O$470:O1379))/MAX(O$470:O1379))</f>
        <v>-0.62788758315546067</v>
      </c>
    </row>
    <row r="1380" spans="1:24">
      <c r="A1380" s="799">
        <v>41782</v>
      </c>
      <c r="B1380">
        <v>516.29499999999996</v>
      </c>
      <c r="C1380">
        <v>202.43857199999999</v>
      </c>
      <c r="D1380">
        <v>1.606087</v>
      </c>
      <c r="E1380">
        <f>LN(D1380/参数实验室!$E$53)/参数实验室!$E$55</f>
        <v>-0.13400027974746231</v>
      </c>
      <c r="F1380">
        <f t="shared" si="158"/>
        <v>0.39209864902817188</v>
      </c>
      <c r="G1380">
        <f>LN(F1380/参数实验室!$E$58)/参数实验室!$E$59</f>
        <v>-0.68192032664614954</v>
      </c>
      <c r="H1380" s="856">
        <f>INDEX(神经网络!$G$10:$BO$70,MATCH(ROUND(G1380*2,1)/2,神经网络!$E$10:$E$70,0),MATCH(ROUND(E1380*2,1)/2,神经网络!$G$8:$BO$8,0))</f>
        <v>-0.91549094072519677</v>
      </c>
      <c r="I1380">
        <f t="shared" si="160"/>
        <v>630.22013960749666</v>
      </c>
      <c r="J1380">
        <f t="shared" si="161"/>
        <v>206.01532261282452</v>
      </c>
      <c r="K1380">
        <f t="shared" si="162"/>
        <v>3.0590935257369312</v>
      </c>
      <c r="L1380" s="4">
        <f>MIN(MAX(L1379*(1+MAX(MIN(((B1380-B1379)/B1379)/($K$7*卓尔金历!$N$40),0),-卓尔金历!$M$43))+MIN(MAX(((B1380-B1379)/B1379)/($K$7*卓尔金历!$N$40),0),卓尔金历!$M$43),0),1)</f>
        <v>1</v>
      </c>
      <c r="M1380" s="4">
        <f>MIN(MAX(M1379*(1+MAX(MIN(((B1380-B1379)/B1379)/($K$7*30),0),-卓尔金历!$M$43))+MIN(MAX(((B1380-B1379)/B1379)/($K$7*7),0),卓尔金历!$M$43),0),1)</f>
        <v>1</v>
      </c>
      <c r="N1380">
        <f t="shared" si="163"/>
        <v>698.22745165631761</v>
      </c>
      <c r="O1380">
        <f t="shared" si="164"/>
        <v>1520.6830917983355</v>
      </c>
      <c r="P1380">
        <f t="shared" si="165"/>
        <v>4.9111406428434964E-2</v>
      </c>
      <c r="Q1380">
        <f t="shared" si="156"/>
        <v>2.445392742320688E-2</v>
      </c>
      <c r="R1380">
        <f t="shared" si="157"/>
        <v>6.9266754964088023E-3</v>
      </c>
      <c r="S1380">
        <f t="shared" si="159"/>
        <v>13.29193201541845</v>
      </c>
      <c r="T1380" s="564">
        <f>IF((I1380-MAX(I$470:I1380))/MAX(I$470:I1380)&gt;T1379,T1379,(I1380-MAX(I$470:I1380))/MAX(I$470:I1380))</f>
        <v>-0.91338805338419748</v>
      </c>
      <c r="U1380" s="564">
        <f>IF((J1380-MAX(J$470:J1380))/MAX(J$470:J1380)&gt;U1379,U1379,(J1380-MAX(J$470:J1380))/MAX(J$470:J1380))</f>
        <v>-0.70517826086956548</v>
      </c>
      <c r="V1380" s="564">
        <f>IF((K1380-MAX(K$470:K1380))/MAX(K$470:K1380)&gt;V1379,V1379,(K1380-MAX(K$470:K1380))/MAX(K$470:K1380))</f>
        <v>-0.84885940676762139</v>
      </c>
      <c r="W1380" s="564">
        <f>IF((N1380-MAX(N$470:N1380))/MAX(N$470:N1380)&gt;W1379,W1379,(N1380-MAX(N$470:N1380))/MAX(N$470:N1380))</f>
        <v>-0.62788758315546067</v>
      </c>
      <c r="X1380" s="564">
        <f>IF((O1380-MAX(O$470:O1380))/MAX(O$470:O1380)&gt;X1379,X1379,(O1380-MAX(O$470:O1380))/MAX(O$470:O1380))</f>
        <v>-0.62788758315546067</v>
      </c>
    </row>
    <row r="1381" spans="1:24">
      <c r="A1381" s="799">
        <v>41783</v>
      </c>
      <c r="B1381">
        <v>523.19299999999998</v>
      </c>
      <c r="C1381">
        <v>202.26785100000001</v>
      </c>
      <c r="D1381">
        <v>1.6162270000000001</v>
      </c>
      <c r="E1381">
        <f>LN(D1381/参数实验室!$E$53)/参数实验室!$E$55</f>
        <v>-0.1265753438904591</v>
      </c>
      <c r="F1381">
        <f t="shared" si="158"/>
        <v>0.38660274697864844</v>
      </c>
      <c r="G1381">
        <f>LN(F1381/参数实验室!$E$58)/参数实验室!$E$59</f>
        <v>-0.68932905693104385</v>
      </c>
      <c r="H1381" s="856">
        <f>INDEX(神经网络!$G$10:$BO$70,MATCH(ROUND(G1381*2,1)/2,神经网络!$E$10:$E$70,0),MATCH(ROUND(E1381*2,1)/2,神经网络!$G$8:$BO$8,0))</f>
        <v>-0.91549094072519677</v>
      </c>
      <c r="I1381">
        <f t="shared" si="160"/>
        <v>622.51160902941945</v>
      </c>
      <c r="J1381">
        <f t="shared" si="161"/>
        <v>208.7678065520129</v>
      </c>
      <c r="K1381">
        <f t="shared" si="162"/>
        <v>2.9818371870201426</v>
      </c>
      <c r="L1381" s="4">
        <f>MIN(MAX(L1380*(1+MAX(MIN(((B1381-B1380)/B1380)/($K$7*卓尔金历!$N$40),0),-卓尔金历!$M$43))+MIN(MAX(((B1381-B1380)/B1380)/($K$7*卓尔金历!$N$40),0),卓尔金历!$M$43),0),1)</f>
        <v>1</v>
      </c>
      <c r="M1381" s="4">
        <f>MIN(MAX(M1380*(1+MAX(MIN(((B1381-B1380)/B1380)/($K$7*30),0),-卓尔金历!$M$43))+MIN(MAX(((B1381-B1380)/B1380)/($K$7*7),0),卓尔金历!$M$43),0),1)</f>
        <v>1</v>
      </c>
      <c r="N1381">
        <f t="shared" si="163"/>
        <v>689.68709040271222</v>
      </c>
      <c r="O1381">
        <f t="shared" si="164"/>
        <v>1502.0828735952277</v>
      </c>
      <c r="P1381">
        <f t="shared" si="165"/>
        <v>1.3360578738899322E-2</v>
      </c>
      <c r="Q1381">
        <f t="shared" si="156"/>
        <v>2.4160453798394248E-2</v>
      </c>
      <c r="R1381">
        <f t="shared" si="157"/>
        <v>0.63134931603010425</v>
      </c>
      <c r="S1381">
        <f t="shared" si="159"/>
        <v>13.290805875701981</v>
      </c>
      <c r="T1381" s="564">
        <f>IF((I1381-MAX(I$470:I1381))/MAX(I$470:I1381)&gt;T1380,T1380,(I1381-MAX(I$470:I1381))/MAX(I$470:I1381))</f>
        <v>-0.91338805338419748</v>
      </c>
      <c r="U1381" s="564">
        <f>IF((J1381-MAX(J$470:J1381))/MAX(J$470:J1381)&gt;U1380,U1380,(J1381-MAX(J$470:J1381))/MAX(J$470:J1381))</f>
        <v>-0.70517826086956548</v>
      </c>
      <c r="V1381" s="564">
        <f>IF((K1381-MAX(K$470:K1381))/MAX(K$470:K1381)&gt;V1380,V1380,(K1381-MAX(K$470:K1381))/MAX(K$470:K1381))</f>
        <v>-0.84885940676762139</v>
      </c>
      <c r="W1381" s="564">
        <f>IF((N1381-MAX(N$470:N1381))/MAX(N$470:N1381)&gt;W1380,W1380,(N1381-MAX(N$470:N1381))/MAX(N$470:N1381))</f>
        <v>-0.62788758315546067</v>
      </c>
      <c r="X1381" s="564">
        <f>IF((O1381-MAX(O$470:O1381))/MAX(O$470:O1381)&gt;X1380,X1380,(O1381-MAX(O$470:O1381))/MAX(O$470:O1381))</f>
        <v>-0.62788758315546067</v>
      </c>
    </row>
    <row r="1382" spans="1:24">
      <c r="A1382" s="799">
        <v>41784</v>
      </c>
      <c r="B1382">
        <v>555.32000000000005</v>
      </c>
      <c r="C1382">
        <v>205.077913</v>
      </c>
      <c r="D1382">
        <v>1.751096</v>
      </c>
      <c r="E1382">
        <f>LN(D1382/参数实验室!$E$53)/参数实验室!$E$55</f>
        <v>-3.202112139978007E-2</v>
      </c>
      <c r="F1382">
        <f t="shared" si="158"/>
        <v>0.36929682525390761</v>
      </c>
      <c r="G1382">
        <f>LN(F1382/参数实验室!$E$58)/参数实验室!$E$59</f>
        <v>-0.71336576975964983</v>
      </c>
      <c r="H1382" s="856">
        <f>INDEX(神经网络!$G$10:$BO$70,MATCH(ROUND(G1382*2,1)/2,神经网络!$E$10:$E$70,0),MATCH(ROUND(E1382*2,1)/2,神经网络!$G$8:$BO$8,0))</f>
        <v>-0.8741892559443023</v>
      </c>
      <c r="I1382">
        <f t="shared" si="160"/>
        <v>587.51630632314493</v>
      </c>
      <c r="J1382">
        <f t="shared" si="161"/>
        <v>221.58732692230942</v>
      </c>
      <c r="K1382">
        <f t="shared" si="162"/>
        <v>2.6513985004617777</v>
      </c>
      <c r="L1382" s="4">
        <f>MIN(MAX(L1381*(1+MAX(MIN(((B1382-B1381)/B1381)/($K$7*卓尔金历!$N$40),0),-卓尔金历!$M$43))+MIN(MAX(((B1382-B1381)/B1381)/($K$7*卓尔金历!$N$40),0),卓尔金历!$M$43),0),1)</f>
        <v>1</v>
      </c>
      <c r="M1382" s="4">
        <f>MIN(MAX(M1381*(1+MAX(MIN(((B1382-B1381)/B1381)/($K$7*30),0),-卓尔金历!$M$43))+MIN(MAX(((B1382-B1381)/B1381)/($K$7*7),0),卓尔金历!$M$43),0),1)</f>
        <v>1</v>
      </c>
      <c r="N1382">
        <f t="shared" si="163"/>
        <v>650.91543032253537</v>
      </c>
      <c r="O1382">
        <f t="shared" si="164"/>
        <v>1417.6413240900981</v>
      </c>
      <c r="P1382">
        <f t="shared" si="165"/>
        <v>6.1405638072374952E-2</v>
      </c>
      <c r="Q1382">
        <f t="shared" si="156"/>
        <v>2.5939119158197927E-2</v>
      </c>
      <c r="R1382">
        <f t="shared" si="157"/>
        <v>3.3401963930789658E-3</v>
      </c>
      <c r="S1382">
        <f t="shared" si="159"/>
        <v>12.819086919694232</v>
      </c>
      <c r="T1382" s="564">
        <f>IF((I1382-MAX(I$470:I1382))/MAX(I$470:I1382)&gt;T1381,T1381,(I1382-MAX(I$470:I1382))/MAX(I$470:I1382))</f>
        <v>-0.91338805338419748</v>
      </c>
      <c r="U1382" s="564">
        <f>IF((J1382-MAX(J$470:J1382))/MAX(J$470:J1382)&gt;U1381,U1381,(J1382-MAX(J$470:J1382))/MAX(J$470:J1382))</f>
        <v>-0.70517826086956548</v>
      </c>
      <c r="V1382" s="564">
        <f>IF((K1382-MAX(K$470:K1382))/MAX(K$470:K1382)&gt;V1381,V1381,(K1382-MAX(K$470:K1382))/MAX(K$470:K1382))</f>
        <v>-0.84885940676762139</v>
      </c>
      <c r="W1382" s="564">
        <f>IF((N1382-MAX(N$470:N1382))/MAX(N$470:N1382)&gt;W1381,W1381,(N1382-MAX(N$470:N1382))/MAX(N$470:N1382))</f>
        <v>-0.62788758315546067</v>
      </c>
      <c r="X1382" s="564">
        <f>IF((O1382-MAX(O$470:O1382))/MAX(O$470:O1382)&gt;X1381,X1381,(O1382-MAX(O$470:O1382))/MAX(O$470:O1382))</f>
        <v>-0.62788758315546067</v>
      </c>
    </row>
    <row r="1383" spans="1:24">
      <c r="A1383" s="799">
        <v>41785</v>
      </c>
      <c r="B1383">
        <v>586.827</v>
      </c>
      <c r="C1383">
        <v>205.91066499999999</v>
      </c>
      <c r="D1383">
        <v>1.7842039999999999</v>
      </c>
      <c r="E1383">
        <f>LN(D1383/参数实验室!$E$53)/参数实验室!$E$55</f>
        <v>-9.923753521322987E-3</v>
      </c>
      <c r="F1383">
        <f t="shared" si="158"/>
        <v>0.35088819192027632</v>
      </c>
      <c r="G1383">
        <f>LN(F1383/参数实验室!$E$58)/参数实验室!$E$59</f>
        <v>-0.74020318087017434</v>
      </c>
      <c r="H1383" s="856">
        <f>INDEX(神经网络!$G$10:$BO$70,MATCH(ROUND(G1383*2,1)/2,神经网络!$E$10:$E$70,0),MATCH(ROUND(E1383*2,1)/2,神经网络!$G$8:$BO$8,0))</f>
        <v>-0.89427009832422066</v>
      </c>
      <c r="I1383">
        <f t="shared" si="160"/>
        <v>558.37633450957503</v>
      </c>
      <c r="J1383">
        <f t="shared" si="161"/>
        <v>234.15945093970694</v>
      </c>
      <c r="K1383">
        <f t="shared" si="162"/>
        <v>2.3845987521270273</v>
      </c>
      <c r="L1383" s="4">
        <f>MIN(MAX(L1382*(1+MAX(MIN(((B1383-B1382)/B1382)/($K$7*卓尔金历!$N$40),0),-卓尔金历!$M$43))+MIN(MAX(((B1383-B1382)/B1382)/($K$7*卓尔金历!$N$40),0),卓尔金历!$M$43),0),1)</f>
        <v>1</v>
      </c>
      <c r="M1383" s="4">
        <f>MIN(MAX(M1382*(1+MAX(MIN(((B1383-B1382)/B1382)/($K$7*30),0),-卓尔金历!$M$43))+MIN(MAX(((B1383-B1382)/B1382)/($K$7*7),0),卓尔金历!$M$43),0),1)</f>
        <v>1</v>
      </c>
      <c r="N1383">
        <f t="shared" si="163"/>
        <v>618.63095227745475</v>
      </c>
      <c r="O1383">
        <f t="shared" si="164"/>
        <v>1347.328333997503</v>
      </c>
      <c r="P1383">
        <f t="shared" si="165"/>
        <v>5.6736656342289034E-2</v>
      </c>
      <c r="Q1383">
        <f t="shared" si="156"/>
        <v>2.7166768054712152E-2</v>
      </c>
      <c r="R1383">
        <f t="shared" si="157"/>
        <v>6.8368764972056122E-3</v>
      </c>
      <c r="S1383">
        <f t="shared" si="159"/>
        <v>12.816963194606021</v>
      </c>
      <c r="T1383" s="564">
        <f>IF((I1383-MAX(I$470:I1383))/MAX(I$470:I1383)&gt;T1382,T1382,(I1383-MAX(I$470:I1383))/MAX(I$470:I1383))</f>
        <v>-0.91338805338419748</v>
      </c>
      <c r="U1383" s="564">
        <f>IF((J1383-MAX(J$470:J1383))/MAX(J$470:J1383)&gt;U1382,U1382,(J1383-MAX(J$470:J1383))/MAX(J$470:J1383))</f>
        <v>-0.70517826086956548</v>
      </c>
      <c r="V1383" s="564">
        <f>IF((K1383-MAX(K$470:K1383))/MAX(K$470:K1383)&gt;V1382,V1382,(K1383-MAX(K$470:K1383))/MAX(K$470:K1383))</f>
        <v>-0.84885940676762139</v>
      </c>
      <c r="W1383" s="564">
        <f>IF((N1383-MAX(N$470:N1383))/MAX(N$470:N1383)&gt;W1382,W1382,(N1383-MAX(N$470:N1383))/MAX(N$470:N1383))</f>
        <v>-0.62788758315546067</v>
      </c>
      <c r="X1383" s="564">
        <f>IF((O1383-MAX(O$470:O1383))/MAX(O$470:O1383)&gt;X1382,X1382,(O1383-MAX(O$470:O1383))/MAX(O$470:O1383))</f>
        <v>-0.62788758315546067</v>
      </c>
    </row>
    <row r="1384" spans="1:24">
      <c r="A1384" s="799">
        <v>41786</v>
      </c>
      <c r="B1384">
        <v>584.79300000000001</v>
      </c>
      <c r="C1384">
        <v>211.332033</v>
      </c>
      <c r="D1384">
        <v>1.736065</v>
      </c>
      <c r="E1384">
        <f>LN(D1384/参数实验室!$E$53)/参数实验室!$E$55</f>
        <v>-4.2191561384295917E-2</v>
      </c>
      <c r="F1384">
        <f t="shared" si="158"/>
        <v>0.36137921110546806</v>
      </c>
      <c r="G1384">
        <f>LN(F1384/参数实验室!$E$58)/参数实验室!$E$59</f>
        <v>-0.72474086419472261</v>
      </c>
      <c r="H1384" s="856">
        <f>INDEX(神经网络!$G$10:$BO$70,MATCH(ROUND(G1384*2,1)/2,神经网络!$E$10:$E$70,0),MATCH(ROUND(E1384*2,1)/2,神经网络!$G$8:$BO$8,0))</f>
        <v>-0.8741892559443023</v>
      </c>
      <c r="I1384">
        <f t="shared" si="160"/>
        <v>560.10709341118115</v>
      </c>
      <c r="J1384">
        <f t="shared" si="161"/>
        <v>233.34783129164819</v>
      </c>
      <c r="K1384">
        <f t="shared" si="162"/>
        <v>2.400309830654201</v>
      </c>
      <c r="L1384" s="4">
        <f>MIN(MAX(L1383*(1+MAX(MIN(((B1384-B1383)/B1383)/($K$7*卓尔金历!$N$40),0),-卓尔金历!$M$43))+MIN(MAX(((B1384-B1383)/B1383)/($K$7*卓尔金历!$N$40),0),卓尔金历!$M$43),0),1)</f>
        <v>0.94704134588862443</v>
      </c>
      <c r="M1384" s="4">
        <f>MIN(MAX(M1383*(1+MAX(MIN(((B1384-B1383)/B1383)/($K$7*30),0),-卓尔金历!$M$43))+MIN(MAX(((B1384-B1383)/B1383)/($K$7*7),0),卓尔金历!$M$43),0),1)</f>
        <v>0.97352067294431222</v>
      </c>
      <c r="N1384">
        <f t="shared" si="163"/>
        <v>620.54847807733245</v>
      </c>
      <c r="O1384">
        <f t="shared" si="164"/>
        <v>1351.504550579999</v>
      </c>
      <c r="P1384">
        <f t="shared" si="165"/>
        <v>-3.4660981856662896E-3</v>
      </c>
      <c r="Q1384">
        <f t="shared" si="156"/>
        <v>2.7072195716280657E-2</v>
      </c>
      <c r="R1384">
        <f t="shared" si="157"/>
        <v>1</v>
      </c>
      <c r="S1384">
        <f t="shared" si="159"/>
        <v>12.817234808788101</v>
      </c>
      <c r="T1384" s="564">
        <f>IF((I1384-MAX(I$470:I1384))/MAX(I$470:I1384)&gt;T1383,T1383,(I1384-MAX(I$470:I1384))/MAX(I$470:I1384))</f>
        <v>-0.91338805338419748</v>
      </c>
      <c r="U1384" s="564">
        <f>IF((J1384-MAX(J$470:J1384))/MAX(J$470:J1384)&gt;U1383,U1383,(J1384-MAX(J$470:J1384))/MAX(J$470:J1384))</f>
        <v>-0.70517826086956548</v>
      </c>
      <c r="V1384" s="564">
        <f>IF((K1384-MAX(K$470:K1384))/MAX(K$470:K1384)&gt;V1383,V1383,(K1384-MAX(K$470:K1384))/MAX(K$470:K1384))</f>
        <v>-0.84885940676762139</v>
      </c>
      <c r="W1384" s="564">
        <f>IF((N1384-MAX(N$470:N1384))/MAX(N$470:N1384)&gt;W1383,W1383,(N1384-MAX(N$470:N1384))/MAX(N$470:N1384))</f>
        <v>-0.62788758315546067</v>
      </c>
      <c r="X1384" s="564">
        <f>IF((O1384-MAX(O$470:O1384))/MAX(O$470:O1384)&gt;X1383,X1383,(O1384-MAX(O$470:O1384))/MAX(O$470:O1384))</f>
        <v>-0.62788758315546067</v>
      </c>
    </row>
    <row r="1385" spans="1:24">
      <c r="A1385" s="799">
        <v>41787</v>
      </c>
      <c r="B1385">
        <v>575.61699999999996</v>
      </c>
      <c r="C1385">
        <v>209.36079100000001</v>
      </c>
      <c r="D1385">
        <v>1.7498389999999999</v>
      </c>
      <c r="E1385">
        <f>LN(D1385/参数实验室!$E$53)/参数实验室!$E$55</f>
        <v>-3.2868295021339936E-2</v>
      </c>
      <c r="F1385">
        <f t="shared" si="158"/>
        <v>0.363715440996357</v>
      </c>
      <c r="G1385">
        <f>LN(F1385/参数实验室!$E$58)/参数实验室!$E$59</f>
        <v>-0.72135872934297929</v>
      </c>
      <c r="H1385" s="856">
        <f>INDEX(神经网络!$G$10:$BO$70,MATCH(ROUND(G1385*2,1)/2,神经网络!$E$10:$E$70,0),MATCH(ROUND(E1385*2,1)/2,神经网络!$G$8:$BO$8,0))</f>
        <v>-0.8741892559443023</v>
      </c>
      <c r="I1385">
        <f t="shared" si="160"/>
        <v>567.79003934130378</v>
      </c>
      <c r="J1385">
        <f t="shared" si="161"/>
        <v>229.68636526874405</v>
      </c>
      <c r="K1385">
        <f t="shared" si="162"/>
        <v>2.4720232682378085</v>
      </c>
      <c r="L1385" s="4">
        <f>MIN(MAX(L1384*(1+MAX(MIN(((B1385-B1384)/B1384)/($K$7*卓尔金历!$N$40),0),-卓尔金历!$M$43))+MIN(MAX(((B1385-B1384)/B1384)/($K$7*卓尔金历!$N$40),0),卓尔金历!$M$43),0),1)</f>
        <v>0.71999408981887647</v>
      </c>
      <c r="M1385" s="4">
        <f>MIN(MAX(M1384*(1+MAX(MIN(((B1385-B1384)/B1384)/($K$7*30),0),-卓尔金历!$M$43))+MIN(MAX(((B1385-B1384)/B1384)/($K$7*7),0),卓尔金历!$M$43),0),1)</f>
        <v>0.85682291815316336</v>
      </c>
      <c r="N1385">
        <f t="shared" si="163"/>
        <v>628.60970893499245</v>
      </c>
      <c r="O1385">
        <f t="shared" si="164"/>
        <v>1369.5521479937122</v>
      </c>
      <c r="P1385">
        <f t="shared" si="165"/>
        <v>-1.5691022293358579E-2</v>
      </c>
      <c r="Q1385">
        <f t="shared" si="156"/>
        <v>2.7844042125398216E-2</v>
      </c>
      <c r="R1385">
        <f t="shared" si="157"/>
        <v>0.61612921599842518</v>
      </c>
      <c r="S1385">
        <f t="shared" si="159"/>
        <v>12.993047833061503</v>
      </c>
      <c r="T1385" s="564">
        <f>IF((I1385-MAX(I$470:I1385))/MAX(I$470:I1385)&gt;T1384,T1384,(I1385-MAX(I$470:I1385))/MAX(I$470:I1385))</f>
        <v>-0.91338805338419748</v>
      </c>
      <c r="U1385" s="564">
        <f>IF((J1385-MAX(J$470:J1385))/MAX(J$470:J1385)&gt;U1384,U1384,(J1385-MAX(J$470:J1385))/MAX(J$470:J1385))</f>
        <v>-0.70517826086956548</v>
      </c>
      <c r="V1385" s="564">
        <f>IF((K1385-MAX(K$470:K1385))/MAX(K$470:K1385)&gt;V1384,V1384,(K1385-MAX(K$470:K1385))/MAX(K$470:K1385))</f>
        <v>-0.84885940676762139</v>
      </c>
      <c r="W1385" s="564">
        <f>IF((N1385-MAX(N$470:N1385))/MAX(N$470:N1385)&gt;W1384,W1384,(N1385-MAX(N$470:N1385))/MAX(N$470:N1385))</f>
        <v>-0.62788758315546067</v>
      </c>
      <c r="X1385" s="564">
        <f>IF((O1385-MAX(O$470:O1385))/MAX(O$470:O1385)&gt;X1384,X1384,(O1385-MAX(O$470:O1385))/MAX(O$470:O1385))</f>
        <v>-0.62788758315546067</v>
      </c>
    </row>
    <row r="1386" spans="1:24">
      <c r="A1386" s="799">
        <v>41788</v>
      </c>
      <c r="B1386">
        <v>566.66999999999996</v>
      </c>
      <c r="C1386">
        <v>213.45094599999999</v>
      </c>
      <c r="D1386">
        <v>1.7222040000000001</v>
      </c>
      <c r="E1386">
        <f>LN(D1386/参数实验室!$E$53)/参数实验室!$E$55</f>
        <v>-5.1648689954488784E-2</v>
      </c>
      <c r="F1386">
        <f t="shared" si="158"/>
        <v>0.37667592425926905</v>
      </c>
      <c r="G1386">
        <f>LN(F1386/参数实验室!$E$58)/参数实验室!$E$59</f>
        <v>-0.70298180793288945</v>
      </c>
      <c r="H1386" s="856">
        <f>INDEX(神经网络!$G$10:$BO$70,MATCH(ROUND(G1386*2,1)/2,神经网络!$E$10:$E$70,0),MATCH(ROUND(E1386*2,1)/2,神经网络!$G$8:$BO$8,0))</f>
        <v>-0.8741892559443023</v>
      </c>
      <c r="I1386">
        <f t="shared" si="160"/>
        <v>575.5050594028412</v>
      </c>
      <c r="J1386">
        <f t="shared" si="161"/>
        <v>226.11627628586228</v>
      </c>
      <c r="K1386">
        <f t="shared" si="162"/>
        <v>2.5451730802221073</v>
      </c>
      <c r="L1386" s="4">
        <f>MIN(MAX(L1385*(1+MAX(MIN(((B1386-B1385)/B1385)/($K$7*卓尔金历!$N$40),0),-卓尔金历!$M$43))+MIN(MAX(((B1386-B1385)/B1385)/($K$7*卓尔金历!$N$40),0),卓尔金历!$M$43),0),1)</f>
        <v>0.54900482873462442</v>
      </c>
      <c r="M1386" s="4">
        <f>MIN(MAX(M1385*(1+MAX(MIN(((B1386-B1385)/B1385)/($K$7*30),0),-卓尔金历!$M$43))+MIN(MAX(((B1386-B1385)/B1385)/($K$7*7),0),卓尔金历!$M$43),0),1)</f>
        <v>0.75508075128904517</v>
      </c>
      <c r="N1386">
        <f t="shared" si="163"/>
        <v>634.75948506043005</v>
      </c>
      <c r="O1386">
        <f t="shared" si="164"/>
        <v>1385.4969429229457</v>
      </c>
      <c r="P1386">
        <f t="shared" si="165"/>
        <v>-1.5543321340405172E-2</v>
      </c>
      <c r="Q1386">
        <f t="shared" si="156"/>
        <v>2.8494453531772986E-2</v>
      </c>
      <c r="R1386">
        <f t="shared" si="157"/>
        <v>0.65079811960432565</v>
      </c>
      <c r="S1386">
        <f t="shared" si="159"/>
        <v>13.101823594087358</v>
      </c>
      <c r="T1386" s="564">
        <f>IF((I1386-MAX(I$470:I1386))/MAX(I$470:I1386)&gt;T1385,T1385,(I1386-MAX(I$470:I1386))/MAX(I$470:I1386))</f>
        <v>-0.91338805338419748</v>
      </c>
      <c r="U1386" s="564">
        <f>IF((J1386-MAX(J$470:J1386))/MAX(J$470:J1386)&gt;U1385,U1385,(J1386-MAX(J$470:J1386))/MAX(J$470:J1386))</f>
        <v>-0.70517826086956548</v>
      </c>
      <c r="V1386" s="564">
        <f>IF((K1386-MAX(K$470:K1386))/MAX(K$470:K1386)&gt;V1385,V1385,(K1386-MAX(K$470:K1386))/MAX(K$470:K1386))</f>
        <v>-0.84885940676762139</v>
      </c>
      <c r="W1386" s="564">
        <f>IF((N1386-MAX(N$470:N1386))/MAX(N$470:N1386)&gt;W1385,W1385,(N1386-MAX(N$470:N1386))/MAX(N$470:N1386))</f>
        <v>-0.62788758315546067</v>
      </c>
      <c r="X1386" s="564">
        <f>IF((O1386-MAX(O$470:O1386))/MAX(O$470:O1386)&gt;X1385,X1385,(O1386-MAX(O$470:O1386))/MAX(O$470:O1386))</f>
        <v>-0.62788758315546067</v>
      </c>
    </row>
    <row r="1387" spans="1:24">
      <c r="A1387" s="799">
        <v>41789</v>
      </c>
      <c r="B1387">
        <v>569.327</v>
      </c>
      <c r="C1387">
        <v>209.769961</v>
      </c>
      <c r="D1387">
        <v>1.862233</v>
      </c>
      <c r="E1387">
        <f>LN(D1387/参数实验室!$E$53)/参数实验室!$E$55</f>
        <v>4.0574319266734368E-2</v>
      </c>
      <c r="F1387">
        <f t="shared" si="158"/>
        <v>0.36845250796115414</v>
      </c>
      <c r="G1387">
        <f>LN(F1387/参数实验室!$E$58)/参数实验室!$E$59</f>
        <v>-0.71456710880061036</v>
      </c>
      <c r="H1387" s="856">
        <f>INDEX(神经网络!$G$10:$BO$70,MATCH(ROUND(G1387*2,1)/2,神经网络!$E$10:$E$70,0),MATCH(ROUND(E1387*2,1)/2,神经网络!$G$8:$BO$8,0))</f>
        <v>-0.82620958111911336</v>
      </c>
      <c r="I1387">
        <f t="shared" si="160"/>
        <v>573.14612456862142</v>
      </c>
      <c r="J1387">
        <f t="shared" si="161"/>
        <v>227.17648936594688</v>
      </c>
      <c r="K1387">
        <f t="shared" si="162"/>
        <v>2.5229112667788871</v>
      </c>
      <c r="L1387" s="4">
        <f>MIN(MAX(L1386*(1+MAX(MIN(((B1387-B1386)/B1386)/($K$7*卓尔金历!$N$40),0),-卓尔金历!$M$43))+MIN(MAX(((B1387-B1386)/B1386)/($K$7*卓尔金历!$N$40),0),卓尔金历!$M$43),0),1)</f>
        <v>0.62064513132315158</v>
      </c>
      <c r="M1387" s="4">
        <f>MIN(MAX(M1386*(1+MAX(MIN(((B1387-B1386)/B1386)/($K$7*30),0),-卓尔金历!$M$43))+MIN(MAX(((B1387-B1386)/B1386)/($K$7*7),0),卓尔金历!$M$43),0),1)</f>
        <v>0.90859568540731772</v>
      </c>
      <c r="N1387">
        <f t="shared" si="163"/>
        <v>633.33107743132666</v>
      </c>
      <c r="O1387">
        <f t="shared" si="164"/>
        <v>1381.2088343913058</v>
      </c>
      <c r="P1387">
        <f t="shared" si="165"/>
        <v>4.6887959482591977E-3</v>
      </c>
      <c r="Q1387">
        <f t="shared" si="156"/>
        <v>2.8469280690371614E-2</v>
      </c>
      <c r="R1387">
        <f t="shared" si="157"/>
        <v>1</v>
      </c>
      <c r="S1387">
        <f t="shared" si="159"/>
        <v>13.066873782825414</v>
      </c>
      <c r="T1387" s="564">
        <f>IF((I1387-MAX(I$470:I1387))/MAX(I$470:I1387)&gt;T1386,T1386,(I1387-MAX(I$470:I1387))/MAX(I$470:I1387))</f>
        <v>-0.91338805338419748</v>
      </c>
      <c r="U1387" s="564">
        <f>IF((J1387-MAX(J$470:J1387))/MAX(J$470:J1387)&gt;U1386,U1386,(J1387-MAX(J$470:J1387))/MAX(J$470:J1387))</f>
        <v>-0.70517826086956548</v>
      </c>
      <c r="V1387" s="564">
        <f>IF((K1387-MAX(K$470:K1387))/MAX(K$470:K1387)&gt;V1386,V1386,(K1387-MAX(K$470:K1387))/MAX(K$470:K1387))</f>
        <v>-0.84885940676762139</v>
      </c>
      <c r="W1387" s="564">
        <f>IF((N1387-MAX(N$470:N1387))/MAX(N$470:N1387)&gt;W1386,W1386,(N1387-MAX(N$470:N1387))/MAX(N$470:N1387))</f>
        <v>-0.62788758315546067</v>
      </c>
      <c r="X1387" s="564">
        <f>IF((O1387-MAX(O$470:O1387))/MAX(O$470:O1387)&gt;X1386,X1386,(O1387-MAX(O$470:O1387))/MAX(O$470:O1387))</f>
        <v>-0.62788758315546067</v>
      </c>
    </row>
    <row r="1388" spans="1:24">
      <c r="A1388" s="799">
        <v>41790</v>
      </c>
      <c r="B1388">
        <v>617.077</v>
      </c>
      <c r="C1388">
        <v>213.744202</v>
      </c>
      <c r="D1388">
        <v>1.8796390000000001</v>
      </c>
      <c r="E1388">
        <f>LN(D1388/参数实验室!$E$53)/参数实验室!$E$55</f>
        <v>5.1550073155740408E-2</v>
      </c>
      <c r="F1388">
        <f t="shared" si="158"/>
        <v>0.34638173518053661</v>
      </c>
      <c r="G1388">
        <f>LN(F1388/参数实验室!$E$58)/参数实验室!$E$59</f>
        <v>-0.74698754050176563</v>
      </c>
      <c r="H1388" s="856">
        <f>INDEX(神经网络!$G$10:$BO$70,MATCH(ROUND(G1388*2,1)/2,神经网络!$E$10:$E$70,0),MATCH(ROUND(E1388*2,1)/2,神经网络!$G$8:$BO$8,0))</f>
        <v>-0.8740063665594221</v>
      </c>
      <c r="I1388">
        <f t="shared" si="160"/>
        <v>533.42997087993376</v>
      </c>
      <c r="J1388">
        <f t="shared" si="161"/>
        <v>246.22999880292065</v>
      </c>
      <c r="K1388">
        <f t="shared" si="162"/>
        <v>2.1663890406257296</v>
      </c>
      <c r="L1388" s="4">
        <f>MIN(MAX(L1387*(1+MAX(MIN(((B1388-B1387)/B1387)/($K$7*卓尔金历!$N$40),0),-卓尔金历!$M$43))+MIN(MAX(((B1388-B1387)/B1387)/($K$7*卓尔金历!$N$40),0),卓尔金历!$M$43),0),1)</f>
        <v>1</v>
      </c>
      <c r="M1388" s="4">
        <f>MIN(MAX(M1387*(1+MAX(MIN(((B1388-B1387)/B1387)/($K$7*30),0),-卓尔金历!$M$43))+MIN(MAX(((B1388-B1387)/B1387)/($K$7*7),0),卓尔金历!$M$43),0),1)</f>
        <v>1</v>
      </c>
      <c r="N1388">
        <f t="shared" si="163"/>
        <v>606.09302982458678</v>
      </c>
      <c r="O1388">
        <f t="shared" si="164"/>
        <v>1294.2463696906432</v>
      </c>
      <c r="P1388">
        <f t="shared" si="165"/>
        <v>8.3870956409936651E-2</v>
      </c>
      <c r="Q1388">
        <f t="shared" ref="Q1388:Q1451" si="166">STDEVP(P1368:P1388)</f>
        <v>3.2259218423134631E-2</v>
      </c>
      <c r="R1388">
        <f t="shared" ref="R1388:R1451" si="167">MIN(Q1387*MAX(1-LN(MAX(ABS(P1388),0.0001)/Q1388),0)+MAX(-LN(MAX(ABS(P1388),0.0001)/Q1388),0),1)</f>
        <v>1.2675793653346141E-3</v>
      </c>
      <c r="S1388">
        <f t="shared" si="159"/>
        <v>12.161404923937157</v>
      </c>
      <c r="T1388" s="564">
        <f>IF((I1388-MAX(I$470:I1388))/MAX(I$470:I1388)&gt;T1387,T1387,(I1388-MAX(I$470:I1388))/MAX(I$470:I1388))</f>
        <v>-0.91338805338419748</v>
      </c>
      <c r="U1388" s="564">
        <f>IF((J1388-MAX(J$470:J1388))/MAX(J$470:J1388)&gt;U1387,U1387,(J1388-MAX(J$470:J1388))/MAX(J$470:J1388))</f>
        <v>-0.70517826086956548</v>
      </c>
      <c r="V1388" s="564">
        <f>IF((K1388-MAX(K$470:K1388))/MAX(K$470:K1388)&gt;V1387,V1387,(K1388-MAX(K$470:K1388))/MAX(K$470:K1388))</f>
        <v>-0.84885940676762139</v>
      </c>
      <c r="W1388" s="564">
        <f>IF((N1388-MAX(N$470:N1388))/MAX(N$470:N1388)&gt;W1387,W1387,(N1388-MAX(N$470:N1388))/MAX(N$470:N1388))</f>
        <v>-0.62788758315546067</v>
      </c>
      <c r="X1388" s="564">
        <f>IF((O1388-MAX(O$470:O1388))/MAX(O$470:O1388)&gt;X1387,X1387,(O1388-MAX(O$470:O1388))/MAX(O$470:O1388))</f>
        <v>-0.62788758315546067</v>
      </c>
    </row>
    <row r="1389" spans="1:24">
      <c r="A1389" s="799">
        <v>41791</v>
      </c>
      <c r="B1389">
        <v>648.41</v>
      </c>
      <c r="C1389">
        <v>212.14376799999999</v>
      </c>
      <c r="D1389">
        <v>1.8830070000000001</v>
      </c>
      <c r="E1389">
        <f>LN(D1389/参数实验室!$E$53)/参数实验室!$E$55</f>
        <v>5.366210282151531E-2</v>
      </c>
      <c r="F1389">
        <f t="shared" si="158"/>
        <v>0.32717534893046069</v>
      </c>
      <c r="G1389">
        <f>LN(F1389/参数实验室!$E$58)/参数实验室!$E$59</f>
        <v>-0.77692793665710103</v>
      </c>
      <c r="H1389" s="856">
        <f>INDEX(神经网络!$G$10:$BO$70,MATCH(ROUND(G1389*2,1)/2,神经网络!$E$10:$E$70,0),MATCH(ROUND(E1389*2,1)/2,神经网络!$G$8:$BO$8,0))</f>
        <v>-0.91536796704343837</v>
      </c>
      <c r="I1389">
        <f t="shared" si="160"/>
        <v>509.75689836704902</v>
      </c>
      <c r="J1389">
        <f t="shared" si="161"/>
        <v>258.73269223095622</v>
      </c>
      <c r="K1389">
        <f t="shared" si="162"/>
        <v>1.9702067565239012</v>
      </c>
      <c r="L1389" s="4">
        <f>MIN(MAX(L1388*(1+MAX(MIN(((B1389-B1388)/B1388)/($K$7*卓尔金历!$N$40),0),-卓尔金历!$M$43))+MIN(MAX(((B1389-B1388)/B1388)/($K$7*卓尔金历!$N$40),0),卓尔金历!$M$43),0),1)</f>
        <v>1</v>
      </c>
      <c r="M1389" s="4">
        <f>MIN(MAX(M1388*(1+MAX(MIN(((B1389-B1388)/B1388)/($K$7*30),0),-卓尔金历!$M$43))+MIN(MAX(((B1389-B1388)/B1388)/($K$7*7),0),卓尔金历!$M$43),0),1)</f>
        <v>1</v>
      </c>
      <c r="N1389">
        <f t="shared" si="163"/>
        <v>579.19524562074241</v>
      </c>
      <c r="O1389">
        <f t="shared" si="164"/>
        <v>1236.8090492703386</v>
      </c>
      <c r="P1389">
        <f t="shared" si="165"/>
        <v>5.0776483323799089E-2</v>
      </c>
      <c r="Q1389">
        <f t="shared" si="166"/>
        <v>3.2944255515924926E-2</v>
      </c>
      <c r="R1389">
        <f t="shared" si="167"/>
        <v>1.8303351018218839E-2</v>
      </c>
      <c r="S1389">
        <f t="shared" si="159"/>
        <v>12.160720797891249</v>
      </c>
      <c r="T1389" s="564">
        <f>IF((I1389-MAX(I$470:I1389))/MAX(I$470:I1389)&gt;T1388,T1388,(I1389-MAX(I$470:I1389))/MAX(I$470:I1389))</f>
        <v>-0.91338805338419748</v>
      </c>
      <c r="U1389" s="564">
        <f>IF((J1389-MAX(J$470:J1389))/MAX(J$470:J1389)&gt;U1388,U1388,(J1389-MAX(J$470:J1389))/MAX(J$470:J1389))</f>
        <v>-0.70517826086956548</v>
      </c>
      <c r="V1389" s="564">
        <f>IF((K1389-MAX(K$470:K1389))/MAX(K$470:K1389)&gt;V1388,V1388,(K1389-MAX(K$470:K1389))/MAX(K$470:K1389))</f>
        <v>-0.84885940676762139</v>
      </c>
      <c r="W1389" s="564">
        <f>IF((N1389-MAX(N$470:N1389))/MAX(N$470:N1389)&gt;W1388,W1388,(N1389-MAX(N$470:N1389))/MAX(N$470:N1389))</f>
        <v>-0.62788758315546067</v>
      </c>
      <c r="X1389" s="564">
        <f>IF((O1389-MAX(O$470:O1389))/MAX(O$470:O1389)&gt;X1388,X1388,(O1389-MAX(O$470:O1389))/MAX(O$470:O1389))</f>
        <v>-0.62788758315546067</v>
      </c>
    </row>
    <row r="1390" spans="1:24">
      <c r="A1390" s="799">
        <v>41792</v>
      </c>
      <c r="B1390">
        <v>623.16899999999998</v>
      </c>
      <c r="C1390">
        <v>205.876676</v>
      </c>
      <c r="D1390">
        <v>1.975433</v>
      </c>
      <c r="E1390">
        <f>LN(D1390/参数实验室!$E$53)/参数实验室!$E$55</f>
        <v>0.11019310312672341</v>
      </c>
      <c r="F1390">
        <f t="shared" si="158"/>
        <v>0.33037053511968667</v>
      </c>
      <c r="G1390">
        <f>LN(F1390/参数实验室!$E$58)/参数实验室!$E$59</f>
        <v>-0.77182709235082825</v>
      </c>
      <c r="H1390" s="856">
        <f>INDEX(神经网络!$G$10:$BO$70,MATCH(ROUND(G1390*2,1)/2,神经网络!$E$10:$E$70,0),MATCH(ROUND(E1390*2,1)/2,神经网络!$G$8:$BO$8,0))</f>
        <v>-0.84980719449148512</v>
      </c>
      <c r="I1390">
        <f t="shared" si="160"/>
        <v>527.92107325844461</v>
      </c>
      <c r="J1390">
        <f t="shared" si="161"/>
        <v>248.66086748334044</v>
      </c>
      <c r="K1390">
        <f t="shared" si="162"/>
        <v>2.1230565090577183</v>
      </c>
      <c r="L1390" s="4">
        <f>MIN(MAX(L1389*(1+MAX(MIN(((B1390-B1389)/B1389)/($K$7*卓尔金历!$N$40),0),-卓尔金历!$M$43))+MIN(MAX(((B1390-B1389)/B1389)/($K$7*卓尔金历!$N$40),0),卓尔金历!$M$43),0),1)</f>
        <v>0.40522469113015702</v>
      </c>
      <c r="M1390" s="4">
        <f>MIN(MAX(M1389*(1+MAX(MIN(((B1390-B1389)/B1389)/($K$7*30),0),-卓尔金历!$M$43))+MIN(MAX(((B1390-B1389)/B1389)/($K$7*7),0),卓尔金历!$M$43),0),1)</f>
        <v>0.70261234556507857</v>
      </c>
      <c r="N1390">
        <f t="shared" si="163"/>
        <v>599.83371813856729</v>
      </c>
      <c r="O1390">
        <f t="shared" si="164"/>
        <v>1280.8802839121322</v>
      </c>
      <c r="P1390">
        <f t="shared" si="165"/>
        <v>-3.8927530420567215E-2</v>
      </c>
      <c r="Q1390">
        <f t="shared" si="166"/>
        <v>3.2888477990820925E-2</v>
      </c>
      <c r="R1390">
        <f t="shared" si="167"/>
        <v>2.7390534670421185E-2</v>
      </c>
      <c r="S1390">
        <f t="shared" si="159"/>
        <v>12.168652063410516</v>
      </c>
      <c r="T1390" s="564">
        <f>IF((I1390-MAX(I$470:I1390))/MAX(I$470:I1390)&gt;T1389,T1389,(I1390-MAX(I$470:I1390))/MAX(I$470:I1390))</f>
        <v>-0.91338805338419748</v>
      </c>
      <c r="U1390" s="564">
        <f>IF((J1390-MAX(J$470:J1390))/MAX(J$470:J1390)&gt;U1389,U1389,(J1390-MAX(J$470:J1390))/MAX(J$470:J1390))</f>
        <v>-0.70517826086956548</v>
      </c>
      <c r="V1390" s="564">
        <f>IF((K1390-MAX(K$470:K1390))/MAX(K$470:K1390)&gt;V1389,V1389,(K1390-MAX(K$470:K1390))/MAX(K$470:K1390))</f>
        <v>-0.84885940676762139</v>
      </c>
      <c r="W1390" s="564">
        <f>IF((N1390-MAX(N$470:N1390))/MAX(N$470:N1390)&gt;W1389,W1389,(N1390-MAX(N$470:N1390))/MAX(N$470:N1390))</f>
        <v>-0.62788758315546067</v>
      </c>
      <c r="X1390" s="564">
        <f>IF((O1390-MAX(O$470:O1390))/MAX(O$470:O1390)&gt;X1389,X1389,(O1390-MAX(O$470:O1390))/MAX(O$470:O1390))</f>
        <v>-0.62788758315546067</v>
      </c>
    </row>
    <row r="1391" spans="1:24">
      <c r="A1391" s="799">
        <v>41793</v>
      </c>
      <c r="B1391">
        <v>657.14499999999998</v>
      </c>
      <c r="C1391">
        <v>202.75778299999999</v>
      </c>
      <c r="D1391">
        <v>1.996937</v>
      </c>
      <c r="E1391">
        <f>LN(D1391/参数实验室!$E$53)/参数实验室!$E$55</f>
        <v>0.12296616383261785</v>
      </c>
      <c r="F1391">
        <f t="shared" si="158"/>
        <v>0.30854344627137087</v>
      </c>
      <c r="G1391">
        <f>LN(F1391/参数实验室!$E$58)/参数实验室!$E$59</f>
        <v>-0.80770201778777528</v>
      </c>
      <c r="H1391" s="856">
        <f>INDEX(神经网络!$G$10:$BO$70,MATCH(ROUND(G1391*2,1)/2,神经网络!$E$10:$E$70,0),MATCH(ROUND(E1391*2,1)/2,神经网络!$G$8:$BO$8,0))</f>
        <v>-0.89383584035357722</v>
      </c>
      <c r="I1391">
        <f t="shared" si="160"/>
        <v>503.46110951980029</v>
      </c>
      <c r="J1391">
        <f t="shared" si="161"/>
        <v>262.21818762220158</v>
      </c>
      <c r="K1391">
        <f t="shared" si="162"/>
        <v>1.9200083490973419</v>
      </c>
      <c r="L1391" s="4">
        <f>MIN(MAX(L1390*(1+MAX(MIN(((B1391-B1390)/B1390)/($K$7*卓尔金历!$N$40),0),-卓尔金历!$M$43))+MIN(MAX(((B1391-B1390)/B1390)/($K$7*卓尔金历!$N$40),0),卓尔金历!$M$43),0),1)</f>
        <v>1</v>
      </c>
      <c r="M1391" s="4">
        <f>MIN(MAX(M1390*(1+MAX(MIN(((B1391-B1390)/B1390)/($K$7*30),0),-卓尔金历!$M$43))+MIN(MAX(((B1391-B1390)/B1390)/($K$7*7),0),卓尔金历!$M$43),0),1)</f>
        <v>1</v>
      </c>
      <c r="N1391">
        <f t="shared" si="163"/>
        <v>588.57176838442081</v>
      </c>
      <c r="O1391">
        <f t="shared" si="164"/>
        <v>1239.1826772896</v>
      </c>
      <c r="P1391">
        <f t="shared" si="165"/>
        <v>5.4521325675699527E-2</v>
      </c>
      <c r="Q1391">
        <f t="shared" si="166"/>
        <v>3.3797669792992382E-2</v>
      </c>
      <c r="R1391">
        <f t="shared" si="167"/>
        <v>1.7161205748316484E-2</v>
      </c>
      <c r="S1391">
        <f t="shared" si="159"/>
        <v>12.15320913016887</v>
      </c>
      <c r="T1391" s="564">
        <f>IF((I1391-MAX(I$470:I1391))/MAX(I$470:I1391)&gt;T1390,T1390,(I1391-MAX(I$470:I1391))/MAX(I$470:I1391))</f>
        <v>-0.91338805338419748</v>
      </c>
      <c r="U1391" s="564">
        <f>IF((J1391-MAX(J$470:J1391))/MAX(J$470:J1391)&gt;U1390,U1390,(J1391-MAX(J$470:J1391))/MAX(J$470:J1391))</f>
        <v>-0.70517826086956548</v>
      </c>
      <c r="V1391" s="564">
        <f>IF((K1391-MAX(K$470:K1391))/MAX(K$470:K1391)&gt;V1390,V1390,(K1391-MAX(K$470:K1391))/MAX(K$470:K1391))</f>
        <v>-0.84885940676762139</v>
      </c>
      <c r="W1391" s="564">
        <f>IF((N1391-MAX(N$470:N1391))/MAX(N$470:N1391)&gt;W1390,W1390,(N1391-MAX(N$470:N1391))/MAX(N$470:N1391))</f>
        <v>-0.62788758315546067</v>
      </c>
      <c r="X1391" s="564">
        <f>IF((O1391-MAX(O$470:O1391))/MAX(O$470:O1391)&gt;X1390,X1390,(O1391-MAX(O$470:O1391))/MAX(O$470:O1391))</f>
        <v>-0.62788758315546067</v>
      </c>
    </row>
    <row r="1392" spans="1:24">
      <c r="A1392" s="799">
        <v>41794</v>
      </c>
      <c r="B1392">
        <v>639.05999999999995</v>
      </c>
      <c r="C1392">
        <v>196.26037400000001</v>
      </c>
      <c r="D1392">
        <v>1.9099889999999999</v>
      </c>
      <c r="E1392">
        <f>LN(D1392/参数实验室!$E$53)/参数实验室!$E$55</f>
        <v>7.0447060668769032E-2</v>
      </c>
      <c r="F1392">
        <f t="shared" si="158"/>
        <v>0.3071078991018058</v>
      </c>
      <c r="G1392">
        <f>LN(F1392/参数实验室!$E$58)/参数实验室!$E$59</f>
        <v>-0.81014968271102661</v>
      </c>
      <c r="H1392" s="856">
        <f>INDEX(神经网络!$G$10:$BO$70,MATCH(ROUND(G1392*2,1)/2,神经网络!$E$10:$E$70,0),MATCH(ROUND(E1392*2,1)/2,神经网络!$G$8:$BO$8,0))</f>
        <v>-0.91536796704343837</v>
      </c>
      <c r="I1392">
        <f t="shared" si="160"/>
        <v>515.84568141042735</v>
      </c>
      <c r="J1392">
        <f t="shared" si="161"/>
        <v>255.00179561869015</v>
      </c>
      <c r="K1392">
        <f t="shared" si="162"/>
        <v>2.0229099962173711</v>
      </c>
      <c r="L1392" s="4">
        <f>MIN(MAX(L1391*(1+MAX(MIN(((B1392-B1391)/B1391)/($K$7*卓尔金历!$N$40),0),-卓尔金历!$M$43))+MIN(MAX(((B1392-B1391)/B1391)/($K$7*卓尔金历!$N$40),0),卓尔金历!$M$43),0),1)</f>
        <v>0.57951221553267196</v>
      </c>
      <c r="M1392" s="4">
        <f>MIN(MAX(M1391*(1+MAX(MIN(((B1392-B1391)/B1391)/($K$7*30),0),-卓尔金历!$M$43))+MIN(MAX(((B1392-B1391)/B1391)/($K$7*7),0),卓尔金历!$M$43),0),1)</f>
        <v>0.78975610776633598</v>
      </c>
      <c r="N1392">
        <f t="shared" si="163"/>
        <v>603.04996588671213</v>
      </c>
      <c r="O1392">
        <f t="shared" si="164"/>
        <v>1269.6651647396247</v>
      </c>
      <c r="P1392">
        <f t="shared" si="165"/>
        <v>-2.7520562432948644E-2</v>
      </c>
      <c r="Q1392">
        <f t="shared" si="166"/>
        <v>3.4958055675003964E-2</v>
      </c>
      <c r="R1392">
        <f t="shared" si="167"/>
        <v>0.28109807914866802</v>
      </c>
      <c r="S1392">
        <f t="shared" si="159"/>
        <v>12.158339561029994</v>
      </c>
      <c r="T1392" s="564">
        <f>IF((I1392-MAX(I$470:I1392))/MAX(I$470:I1392)&gt;T1391,T1391,(I1392-MAX(I$470:I1392))/MAX(I$470:I1392))</f>
        <v>-0.91338805338419748</v>
      </c>
      <c r="U1392" s="564">
        <f>IF((J1392-MAX(J$470:J1392))/MAX(J$470:J1392)&gt;U1391,U1391,(J1392-MAX(J$470:J1392))/MAX(J$470:J1392))</f>
        <v>-0.70517826086956548</v>
      </c>
      <c r="V1392" s="564">
        <f>IF((K1392-MAX(K$470:K1392))/MAX(K$470:K1392)&gt;V1391,V1391,(K1392-MAX(K$470:K1392))/MAX(K$470:K1392))</f>
        <v>-0.84885940676762139</v>
      </c>
      <c r="W1392" s="564">
        <f>IF((N1392-MAX(N$470:N1392))/MAX(N$470:N1392)&gt;W1391,W1391,(N1392-MAX(N$470:N1392))/MAX(N$470:N1392))</f>
        <v>-0.62788758315546067</v>
      </c>
      <c r="X1392" s="564">
        <f>IF((O1392-MAX(O$470:O1392))/MAX(O$470:O1392)&gt;X1391,X1391,(O1392-MAX(O$470:O1392))/MAX(O$470:O1392))</f>
        <v>-0.62788758315546067</v>
      </c>
    </row>
    <row r="1393" spans="1:24">
      <c r="A1393" s="799">
        <v>41795</v>
      </c>
      <c r="B1393">
        <v>645.99800000000005</v>
      </c>
      <c r="C1393">
        <v>201.472759</v>
      </c>
      <c r="D1393">
        <v>1.958636</v>
      </c>
      <c r="E1393">
        <f>LN(D1393/参数实验室!$E$53)/参数实验室!$E$55</f>
        <v>0.10011883363349754</v>
      </c>
      <c r="F1393">
        <f t="shared" si="158"/>
        <v>0.31187830148080953</v>
      </c>
      <c r="G1393">
        <f>LN(F1393/参数实验室!$E$58)/参数实验室!$E$59</f>
        <v>-0.8020596330610511</v>
      </c>
      <c r="H1393" s="856">
        <f>INDEX(神经网络!$G$10:$BO$70,MATCH(ROUND(G1393*2,1)/2,神经网络!$E$10:$E$70,0),MATCH(ROUND(E1393*2,1)/2,神经网络!$G$8:$BO$8,0))</f>
        <v>-0.89383584035357722</v>
      </c>
      <c r="I1393">
        <f t="shared" si="160"/>
        <v>510.71933240576703</v>
      </c>
      <c r="J1393">
        <f t="shared" si="161"/>
        <v>257.77024061290433</v>
      </c>
      <c r="K1393">
        <f t="shared" si="162"/>
        <v>1.981296720643243</v>
      </c>
      <c r="L1393" s="4">
        <f>MIN(MAX(L1392*(1+MAX(MIN(((B1393-B1392)/B1392)/($K$7*卓尔金历!$N$40),0),-卓尔金历!$M$43))+MIN(MAX(((B1393-B1392)/B1392)/($K$7*卓尔金历!$N$40),0),卓尔金历!$M$43),0),1)</f>
        <v>0.74539019584667232</v>
      </c>
      <c r="M1393" s="4">
        <f>MIN(MAX(M1392*(1+MAX(MIN(((B1393-B1392)/B1392)/($K$7*30),0),-卓尔金历!$M$43))+MIN(MAX(((B1393-B1392)/B1392)/($K$7*7),0),卓尔金历!$M$43),0),1)</f>
        <v>1</v>
      </c>
      <c r="N1393">
        <f t="shared" si="163"/>
        <v>599.57697004805277</v>
      </c>
      <c r="O1393">
        <f t="shared" si="164"/>
        <v>1259.7003192679365</v>
      </c>
      <c r="P1393">
        <f t="shared" si="165"/>
        <v>1.085657058805136E-2</v>
      </c>
      <c r="Q1393">
        <f t="shared" si="166"/>
        <v>3.4951610094388713E-2</v>
      </c>
      <c r="R1393">
        <f t="shared" si="167"/>
        <v>1</v>
      </c>
      <c r="S1393">
        <f t="shared" si="159"/>
        <v>12.124375429267676</v>
      </c>
      <c r="T1393" s="564">
        <f>IF((I1393-MAX(I$470:I1393))/MAX(I$470:I1393)&gt;T1392,T1392,(I1393-MAX(I$470:I1393))/MAX(I$470:I1393))</f>
        <v>-0.91338805338419748</v>
      </c>
      <c r="U1393" s="564">
        <f>IF((J1393-MAX(J$470:J1393))/MAX(J$470:J1393)&gt;U1392,U1392,(J1393-MAX(J$470:J1393))/MAX(J$470:J1393))</f>
        <v>-0.70517826086956548</v>
      </c>
      <c r="V1393" s="564">
        <f>IF((K1393-MAX(K$470:K1393))/MAX(K$470:K1393)&gt;V1392,V1392,(K1393-MAX(K$470:K1393))/MAX(K$470:K1393))</f>
        <v>-0.84885940676762139</v>
      </c>
      <c r="W1393" s="564">
        <f>IF((N1393-MAX(N$470:N1393))/MAX(N$470:N1393)&gt;W1392,W1392,(N1393-MAX(N$470:N1393))/MAX(N$470:N1393))</f>
        <v>-0.62788758315546067</v>
      </c>
      <c r="X1393" s="564">
        <f>IF((O1393-MAX(O$470:O1393))/MAX(O$470:O1393)&gt;X1392,X1392,(O1393-MAX(O$470:O1393))/MAX(O$470:O1393))</f>
        <v>-0.62788758315546067</v>
      </c>
    </row>
    <row r="1394" spans="1:24">
      <c r="A1394" s="799">
        <v>41796</v>
      </c>
      <c r="B1394">
        <v>657.27499999999998</v>
      </c>
      <c r="C1394">
        <v>204.104525</v>
      </c>
      <c r="D1394">
        <v>1.9240870000000001</v>
      </c>
      <c r="E1394">
        <f>LN(D1394/参数实验室!$E$53)/参数实验室!$E$55</f>
        <v>7.9123068234946761E-2</v>
      </c>
      <c r="F1394">
        <f t="shared" si="158"/>
        <v>0.31053139857745998</v>
      </c>
      <c r="G1394">
        <f>LN(F1394/参数实验室!$E$58)/参数实验室!$E$59</f>
        <v>-0.8043312189245142</v>
      </c>
      <c r="H1394" s="856">
        <f>INDEX(神经网络!$G$10:$BO$70,MATCH(ROUND(G1394*2,1)/2,神经网络!$E$10:$E$70,0),MATCH(ROUND(E1394*2,1)/2,神经网络!$G$8:$BO$8,0))</f>
        <v>-0.89383584035357722</v>
      </c>
      <c r="I1394">
        <f t="shared" si="160"/>
        <v>502.75035731479403</v>
      </c>
      <c r="J1394">
        <f t="shared" si="161"/>
        <v>262.27006105103527</v>
      </c>
      <c r="K1394">
        <f t="shared" si="162"/>
        <v>1.9169185964270758</v>
      </c>
      <c r="L1394" s="4">
        <f>MIN(MAX(L1393*(1+MAX(MIN(((B1394-B1393)/B1393)/($K$7*卓尔金历!$N$40),0),-卓尔金历!$M$43))+MIN(MAX(((B1394-B1393)/B1393)/($K$7*卓尔金历!$N$40),0),卓尔金历!$M$43),0),1)</f>
        <v>1</v>
      </c>
      <c r="M1394" s="4">
        <f>MIN(MAX(M1393*(1+MAX(MIN(((B1394-B1393)/B1393)/($K$7*30),0),-卓尔金历!$M$43))+MIN(MAX(((B1394-B1393)/B1393)/($K$7*7),0),卓尔金历!$M$43),0),1)</f>
        <v>1</v>
      </c>
      <c r="N1394">
        <f t="shared" si="163"/>
        <v>592.60350239156855</v>
      </c>
      <c r="O1394">
        <f t="shared" si="164"/>
        <v>1240.0446692281191</v>
      </c>
      <c r="P1394">
        <f t="shared" si="165"/>
        <v>1.7456710392292126E-2</v>
      </c>
      <c r="Q1394">
        <f t="shared" si="166"/>
        <v>3.4882746781575061E-2</v>
      </c>
      <c r="R1394">
        <f t="shared" si="167"/>
        <v>0.75141572001715662</v>
      </c>
      <c r="S1394">
        <f t="shared" si="159"/>
        <v>11.935193544700448</v>
      </c>
      <c r="T1394" s="564">
        <f>IF((I1394-MAX(I$470:I1394))/MAX(I$470:I1394)&gt;T1393,T1393,(I1394-MAX(I$470:I1394))/MAX(I$470:I1394))</f>
        <v>-0.91338805338419748</v>
      </c>
      <c r="U1394" s="564">
        <f>IF((J1394-MAX(J$470:J1394))/MAX(J$470:J1394)&gt;U1393,U1393,(J1394-MAX(J$470:J1394))/MAX(J$470:J1394))</f>
        <v>-0.70517826086956548</v>
      </c>
      <c r="V1394" s="564">
        <f>IF((K1394-MAX(K$470:K1394))/MAX(K$470:K1394)&gt;V1393,V1393,(K1394-MAX(K$470:K1394))/MAX(K$470:K1394))</f>
        <v>-0.84885940676762139</v>
      </c>
      <c r="W1394" s="564">
        <f>IF((N1394-MAX(N$470:N1394))/MAX(N$470:N1394)&gt;W1393,W1393,(N1394-MAX(N$470:N1394))/MAX(N$470:N1394))</f>
        <v>-0.62788758315546067</v>
      </c>
      <c r="X1394" s="564">
        <f>IF((O1394-MAX(O$470:O1394))/MAX(O$470:O1394)&gt;X1393,X1393,(O1394-MAX(O$470:O1394))/MAX(O$470:O1394))</f>
        <v>-0.62788758315546067</v>
      </c>
    </row>
    <row r="1395" spans="1:24">
      <c r="A1395" s="799">
        <v>41797</v>
      </c>
      <c r="B1395">
        <v>652.76499999999999</v>
      </c>
      <c r="C1395">
        <v>205.79796899999999</v>
      </c>
      <c r="D1395">
        <v>1.9419519999999999</v>
      </c>
      <c r="E1395">
        <f>LN(D1395/参数实验室!$E$53)/参数实验室!$E$55</f>
        <v>9.0026445942504835E-2</v>
      </c>
      <c r="F1395">
        <f t="shared" si="158"/>
        <v>0.315271145052201</v>
      </c>
      <c r="G1395">
        <f>LN(F1395/参数实验室!$E$58)/参数实验室!$E$59</f>
        <v>-0.79638071538420863</v>
      </c>
      <c r="H1395" s="856">
        <f>INDEX(神经网络!$G$10:$BO$70,MATCH(ROUND(G1395*2,1)/2,神经网络!$E$10:$E$70,0),MATCH(ROUND(E1395*2,1)/2,神经网络!$G$8:$BO$8,0))</f>
        <v>-0.89383584035357722</v>
      </c>
      <c r="I1395">
        <f t="shared" si="160"/>
        <v>505.83382627286272</v>
      </c>
      <c r="J1395">
        <f t="shared" si="161"/>
        <v>260.47045209688343</v>
      </c>
      <c r="K1395">
        <f t="shared" si="162"/>
        <v>1.9420007997095772</v>
      </c>
      <c r="L1395" s="4">
        <f>MIN(MAX(L1394*(1+MAX(MIN(((B1395-B1394)/B1394)/($K$7*卓尔金历!$N$40),0),-卓尔金历!$M$43))+MIN(MAX(((B1395-B1394)/B1394)/($K$7*卓尔金历!$N$40),0),卓尔金历!$M$43),0),1)</f>
        <v>0.89516036350574313</v>
      </c>
      <c r="M1395" s="4">
        <f>MIN(MAX(M1394*(1+MAX(MIN(((B1395-B1394)/B1394)/($K$7*30),0),-卓尔金历!$M$43))+MIN(MAX(((B1395-B1394)/B1394)/($K$7*7),0),卓尔金历!$M$43),0),1)</f>
        <v>0.94758018175287151</v>
      </c>
      <c r="N1395">
        <f t="shared" si="163"/>
        <v>596.23805874241179</v>
      </c>
      <c r="O1395">
        <f t="shared" si="164"/>
        <v>1247.6501123442724</v>
      </c>
      <c r="P1395">
        <f t="shared" si="165"/>
        <v>-6.8616636871933227E-3</v>
      </c>
      <c r="Q1395">
        <f t="shared" si="166"/>
        <v>3.5107835958210043E-2</v>
      </c>
      <c r="R1395">
        <f t="shared" si="167"/>
        <v>1</v>
      </c>
      <c r="S1395">
        <f t="shared" si="159"/>
        <v>11.990197881830412</v>
      </c>
      <c r="T1395" s="564">
        <f>IF((I1395-MAX(I$470:I1395))/MAX(I$470:I1395)&gt;T1394,T1394,(I1395-MAX(I$470:I1395))/MAX(I$470:I1395))</f>
        <v>-0.91338805338419748</v>
      </c>
      <c r="U1395" s="564">
        <f>IF((J1395-MAX(J$470:J1395))/MAX(J$470:J1395)&gt;U1394,U1394,(J1395-MAX(J$470:J1395))/MAX(J$470:J1395))</f>
        <v>-0.70517826086956548</v>
      </c>
      <c r="V1395" s="564">
        <f>IF((K1395-MAX(K$470:K1395))/MAX(K$470:K1395)&gt;V1394,V1394,(K1395-MAX(K$470:K1395))/MAX(K$470:K1395))</f>
        <v>-0.84885940676762139</v>
      </c>
      <c r="W1395" s="564">
        <f>IF((N1395-MAX(N$470:N1395))/MAX(N$470:N1395)&gt;W1394,W1394,(N1395-MAX(N$470:N1395))/MAX(N$470:N1395))</f>
        <v>-0.62788758315546067</v>
      </c>
      <c r="X1395" s="564">
        <f>IF((O1395-MAX(O$470:O1395))/MAX(O$470:O1395)&gt;X1394,X1394,(O1395-MAX(O$470:O1395))/MAX(O$470:O1395))</f>
        <v>-0.62788758315546067</v>
      </c>
    </row>
    <row r="1396" spans="1:24">
      <c r="A1396" s="799">
        <v>41798</v>
      </c>
      <c r="B1396">
        <v>657.53</v>
      </c>
      <c r="C1396">
        <v>210.289693</v>
      </c>
      <c r="D1396">
        <v>1.942769</v>
      </c>
      <c r="E1396">
        <f>LN(D1396/参数实验室!$E$53)/参数实验室!$E$55</f>
        <v>9.0522676387129422E-2</v>
      </c>
      <c r="F1396">
        <f t="shared" si="158"/>
        <v>0.31981764025976001</v>
      </c>
      <c r="G1396">
        <f>LN(F1396/参数实验室!$E$58)/参数实验室!$E$59</f>
        <v>-0.78886590103965637</v>
      </c>
      <c r="H1396" s="856">
        <f>INDEX(神经网络!$G$10:$BO$70,MATCH(ROUND(G1396*2,1)/2,神经网络!$E$10:$E$70,0),MATCH(ROUND(E1396*2,1)/2,神经网络!$G$8:$BO$8,0))</f>
        <v>-0.89383584035357722</v>
      </c>
      <c r="I1396">
        <f t="shared" si="160"/>
        <v>502.53338752204019</v>
      </c>
      <c r="J1396">
        <f t="shared" si="161"/>
        <v>262.37181277682441</v>
      </c>
      <c r="K1396">
        <f t="shared" si="162"/>
        <v>1.9153482312122421</v>
      </c>
      <c r="L1396" s="4">
        <f>MIN(MAX(L1395*(1+MAX(MIN(((B1396-B1395)/B1395)/($K$7*卓尔金历!$N$40),0),-卓尔金历!$M$43))+MIN(MAX(((B1396-B1395)/B1395)/($K$7*卓尔金历!$N$40),0),卓尔金历!$M$43),0),1)</f>
        <v>1</v>
      </c>
      <c r="M1396" s="4">
        <f>MIN(MAX(M1395*(1+MAX(MIN(((B1396-B1395)/B1395)/($K$7*30),0),-卓尔金历!$M$43))+MIN(MAX(((B1396-B1395)/B1395)/($K$7*7),0),卓尔金历!$M$43),0),1)</f>
        <v>1</v>
      </c>
      <c r="N1396">
        <f t="shared" si="163"/>
        <v>592.75561308966621</v>
      </c>
      <c r="O1396">
        <f t="shared" si="164"/>
        <v>1239.9362374973002</v>
      </c>
      <c r="P1396">
        <f t="shared" si="165"/>
        <v>7.2997173561695043E-3</v>
      </c>
      <c r="Q1396">
        <f t="shared" si="166"/>
        <v>3.4921101830502295E-2</v>
      </c>
      <c r="R1396">
        <f t="shared" si="167"/>
        <v>1</v>
      </c>
      <c r="S1396">
        <f t="shared" si="159"/>
        <v>11.911964850222367</v>
      </c>
      <c r="T1396" s="564">
        <f>IF((I1396-MAX(I$470:I1396))/MAX(I$470:I1396)&gt;T1395,T1395,(I1396-MAX(I$470:I1396))/MAX(I$470:I1396))</f>
        <v>-0.91338805338419748</v>
      </c>
      <c r="U1396" s="564">
        <f>IF((J1396-MAX(J$470:J1396))/MAX(J$470:J1396)&gt;U1395,U1395,(J1396-MAX(J$470:J1396))/MAX(J$470:J1396))</f>
        <v>-0.70517826086956548</v>
      </c>
      <c r="V1396" s="564">
        <f>IF((K1396-MAX(K$470:K1396))/MAX(K$470:K1396)&gt;V1395,V1395,(K1396-MAX(K$470:K1396))/MAX(K$470:K1396))</f>
        <v>-0.84885940676762139</v>
      </c>
      <c r="W1396" s="564">
        <f>IF((N1396-MAX(N$470:N1396))/MAX(N$470:N1396)&gt;W1395,W1395,(N1396-MAX(N$470:N1396))/MAX(N$470:N1396))</f>
        <v>-0.62788758315546067</v>
      </c>
      <c r="X1396" s="564">
        <f>IF((O1396-MAX(O$470:O1396))/MAX(O$470:O1396)&gt;X1395,X1395,(O1396-MAX(O$470:O1396))/MAX(O$470:O1396))</f>
        <v>-0.62788758315546067</v>
      </c>
    </row>
    <row r="1397" spans="1:24">
      <c r="A1397" s="799">
        <v>41799</v>
      </c>
      <c r="B1397">
        <v>647.33299999999997</v>
      </c>
      <c r="C1397">
        <v>213.48735400000001</v>
      </c>
      <c r="D1397">
        <v>1.910936</v>
      </c>
      <c r="E1397">
        <f>LN(D1397/参数实验室!$E$53)/参数实验室!$E$55</f>
        <v>7.1031854322095467E-2</v>
      </c>
      <c r="F1397">
        <f t="shared" si="158"/>
        <v>0.32979525839096729</v>
      </c>
      <c r="G1397">
        <f>LN(F1397/参数实验室!$E$58)/参数实验室!$E$59</f>
        <v>-0.77274182133664748</v>
      </c>
      <c r="H1397" s="856">
        <f>INDEX(神经网络!$G$10:$BO$70,MATCH(ROUND(G1397*2,1)/2,神经网络!$E$10:$E$70,0),MATCH(ROUND(E1397*2,1)/2,神经网络!$G$8:$BO$8,0))</f>
        <v>-0.8740063665594221</v>
      </c>
      <c r="I1397">
        <f t="shared" si="160"/>
        <v>509.49932436280028</v>
      </c>
      <c r="J1397">
        <f t="shared" si="161"/>
        <v>258.30294082438837</v>
      </c>
      <c r="K1397">
        <f t="shared" si="162"/>
        <v>1.9724875091886469</v>
      </c>
      <c r="L1397" s="4">
        <f>MIN(MAX(L1396*(1+MAX(MIN(((B1397-B1396)/B1396)/($K$7*卓尔金历!$N$40),0),-卓尔金历!$M$43))+MIN(MAX(((B1397-B1396)/B1396)/($K$7*卓尔金历!$N$40),0),卓尔金历!$M$43),0),1)</f>
        <v>0.76305206656560176</v>
      </c>
      <c r="M1397" s="4">
        <f>MIN(MAX(M1396*(1+MAX(MIN(((B1397-B1396)/B1396)/($K$7*30),0),-卓尔金历!$M$43))+MIN(MAX(((B1397-B1396)/B1396)/($K$7*7),0),卓尔金历!$M$43),0),1)</f>
        <v>0.88152603328280088</v>
      </c>
      <c r="N1397">
        <f t="shared" si="163"/>
        <v>600.97217792956462</v>
      </c>
      <c r="O1397">
        <f t="shared" si="164"/>
        <v>1257.1237870839375</v>
      </c>
      <c r="P1397">
        <f t="shared" si="165"/>
        <v>-1.5508037656076534E-2</v>
      </c>
      <c r="Q1397">
        <f t="shared" si="166"/>
        <v>3.5429999232569141E-2</v>
      </c>
      <c r="R1397">
        <f t="shared" si="167"/>
        <v>0.88997338109094459</v>
      </c>
      <c r="S1397">
        <f t="shared" si="159"/>
        <v>12.077084217126847</v>
      </c>
      <c r="T1397" s="564">
        <f>IF((I1397-MAX(I$470:I1397))/MAX(I$470:I1397)&gt;T1396,T1396,(I1397-MAX(I$470:I1397))/MAX(I$470:I1397))</f>
        <v>-0.91338805338419748</v>
      </c>
      <c r="U1397" s="564">
        <f>IF((J1397-MAX(J$470:J1397))/MAX(J$470:J1397)&gt;U1396,U1396,(J1397-MAX(J$470:J1397))/MAX(J$470:J1397))</f>
        <v>-0.70517826086956548</v>
      </c>
      <c r="V1397" s="564">
        <f>IF((K1397-MAX(K$470:K1397))/MAX(K$470:K1397)&gt;V1396,V1396,(K1397-MAX(K$470:K1397))/MAX(K$470:K1397))</f>
        <v>-0.84885940676762139</v>
      </c>
      <c r="W1397" s="564">
        <f>IF((N1397-MAX(N$470:N1397))/MAX(N$470:N1397)&gt;W1396,W1396,(N1397-MAX(N$470:N1397))/MAX(N$470:N1397))</f>
        <v>-0.62788758315546067</v>
      </c>
      <c r="X1397" s="564">
        <f>IF((O1397-MAX(O$470:O1397))/MAX(O$470:O1397)&gt;X1396,X1396,(O1397-MAX(O$470:O1397))/MAX(O$470:O1397))</f>
        <v>-0.62788758315546067</v>
      </c>
    </row>
    <row r="1398" spans="1:24">
      <c r="A1398" s="799">
        <v>41800</v>
      </c>
      <c r="B1398">
        <v>657.99400000000003</v>
      </c>
      <c r="C1398">
        <v>211.75394299999999</v>
      </c>
      <c r="D1398">
        <v>1.914685</v>
      </c>
      <c r="E1398">
        <f>LN(D1398/参数实验室!$E$53)/参数实验室!$E$55</f>
        <v>7.3344104452198078E-2</v>
      </c>
      <c r="F1398">
        <f t="shared" si="158"/>
        <v>0.32181743754502318</v>
      </c>
      <c r="G1398">
        <f>LN(F1398/参数实验室!$E$58)/参数实验室!$E$59</f>
        <v>-0.78559424359624874</v>
      </c>
      <c r="H1398" s="856">
        <f>INDEX(神经网络!$G$10:$BO$70,MATCH(ROUND(G1398*2,1)/2,神经网络!$E$10:$E$70,0),MATCH(ROUND(E1398*2,1)/2,神经网络!$G$8:$BO$8,0))</f>
        <v>-0.91536796704343837</v>
      </c>
      <c r="I1398">
        <f t="shared" si="160"/>
        <v>502.16553546387667</v>
      </c>
      <c r="J1398">
        <f t="shared" si="161"/>
        <v>262.55696101512302</v>
      </c>
      <c r="K1398">
        <f t="shared" si="162"/>
        <v>1.9125965410414407</v>
      </c>
      <c r="L1398" s="4">
        <f>MIN(MAX(L1397*(1+MAX(MIN(((B1398-B1397)/B1397)/($K$7*卓尔金历!$N$40),0),-卓尔金历!$M$43))+MIN(MAX(((B1398-B1397)/B1397)/($K$7*卓尔金历!$N$40),0),卓尔金历!$M$43),0),1)</f>
        <v>1</v>
      </c>
      <c r="M1398" s="4">
        <f>MIN(MAX(M1397*(1+MAX(MIN(((B1398-B1397)/B1397)/($K$7*30),0),-卓尔金历!$M$43))+MIN(MAX(((B1398-B1397)/B1397)/($K$7*7),0),卓尔金历!$M$43),0),1)</f>
        <v>1</v>
      </c>
      <c r="N1398">
        <f t="shared" si="163"/>
        <v>594.37142720634017</v>
      </c>
      <c r="O1398">
        <f t="shared" si="164"/>
        <v>1241.1724174494586</v>
      </c>
      <c r="P1398">
        <f t="shared" si="165"/>
        <v>1.6469112496968422E-2</v>
      </c>
      <c r="Q1398">
        <f t="shared" si="166"/>
        <v>3.5060855118758054E-2</v>
      </c>
      <c r="R1398">
        <f t="shared" si="167"/>
        <v>0.81779947014678434</v>
      </c>
      <c r="S1398">
        <f t="shared" si="159"/>
        <v>11.922372251363422</v>
      </c>
      <c r="T1398" s="564">
        <f>IF((I1398-MAX(I$470:I1398))/MAX(I$470:I1398)&gt;T1397,T1397,(I1398-MAX(I$470:I1398))/MAX(I$470:I1398))</f>
        <v>-0.91338805338419748</v>
      </c>
      <c r="U1398" s="564">
        <f>IF((J1398-MAX(J$470:J1398))/MAX(J$470:J1398)&gt;U1397,U1397,(J1398-MAX(J$470:J1398))/MAX(J$470:J1398))</f>
        <v>-0.70517826086956548</v>
      </c>
      <c r="V1398" s="564">
        <f>IF((K1398-MAX(K$470:K1398))/MAX(K$470:K1398)&gt;V1397,V1397,(K1398-MAX(K$470:K1398))/MAX(K$470:K1398))</f>
        <v>-0.84885940676762139</v>
      </c>
      <c r="W1398" s="564">
        <f>IF((N1398-MAX(N$470:N1398))/MAX(N$470:N1398)&gt;W1397,W1397,(N1398-MAX(N$470:N1398))/MAX(N$470:N1398))</f>
        <v>-0.62788758315546067</v>
      </c>
      <c r="X1398" s="564">
        <f>IF((O1398-MAX(O$470:O1398))/MAX(O$470:O1398)&gt;X1397,X1397,(O1398-MAX(O$470:O1398))/MAX(O$470:O1398))</f>
        <v>-0.62788758315546067</v>
      </c>
    </row>
    <row r="1399" spans="1:24">
      <c r="A1399" s="799">
        <v>41801</v>
      </c>
      <c r="B1399">
        <v>650.16600000000005</v>
      </c>
      <c r="C1399">
        <v>214.304643</v>
      </c>
      <c r="D1399">
        <v>1.8557790000000001</v>
      </c>
      <c r="E1399">
        <f>LN(D1399/参数实验室!$E$53)/参数实验室!$E$55</f>
        <v>3.6478509417606608E-2</v>
      </c>
      <c r="F1399">
        <f t="shared" si="158"/>
        <v>0.32961527209974067</v>
      </c>
      <c r="G1399">
        <f>LN(F1399/参数实验室!$E$58)/参数实验室!$E$59</f>
        <v>-0.77302833946345151</v>
      </c>
      <c r="H1399" s="856">
        <f>INDEX(神经网络!$G$10:$BO$70,MATCH(ROUND(G1399*2,1)/2,神经网络!$E$10:$E$70,0),MATCH(ROUND(E1399*2,1)/2,神经网络!$G$8:$BO$8,0))</f>
        <v>-0.8740063665594221</v>
      </c>
      <c r="I1399">
        <f t="shared" si="160"/>
        <v>507.63407677024156</v>
      </c>
      <c r="J1399">
        <f t="shared" si="161"/>
        <v>259.4333825465863</v>
      </c>
      <c r="K1399">
        <f t="shared" si="162"/>
        <v>1.9567029955332984</v>
      </c>
      <c r="L1399" s="4">
        <f>MIN(MAX(L1398*(1+MAX(MIN(((B1399-B1398)/B1398)/($K$7*卓尔金历!$N$40),0),-卓尔金历!$M$43))+MIN(MAX(((B1399-B1398)/B1398)/($K$7*卓尔金历!$N$40),0),卓尔金历!$M$43),0),1)</f>
        <v>0.81822884702542231</v>
      </c>
      <c r="M1399" s="4">
        <f>MIN(MAX(M1398*(1+MAX(MIN(((B1399-B1398)/B1398)/($K$7*30),0),-卓尔金历!$M$43))+MIN(MAX(((B1399-B1398)/B1398)/($K$7*7),0),卓尔金历!$M$43),0),1)</f>
        <v>0.90911442351271121</v>
      </c>
      <c r="N1399">
        <f t="shared" si="163"/>
        <v>600.84408307667661</v>
      </c>
      <c r="O1399">
        <f t="shared" si="164"/>
        <v>1254.6886828117824</v>
      </c>
      <c r="P1399">
        <f t="shared" si="165"/>
        <v>-1.1896765016094333E-2</v>
      </c>
      <c r="Q1399">
        <f t="shared" si="166"/>
        <v>3.2301421425314045E-2</v>
      </c>
      <c r="R1399">
        <f t="shared" si="167"/>
        <v>1</v>
      </c>
      <c r="S1399">
        <f t="shared" si="159"/>
        <v>12.028550142766877</v>
      </c>
      <c r="T1399" s="564">
        <f>IF((I1399-MAX(I$470:I1399))/MAX(I$470:I1399)&gt;T1398,T1398,(I1399-MAX(I$470:I1399))/MAX(I$470:I1399))</f>
        <v>-0.91338805338419748</v>
      </c>
      <c r="U1399" s="564">
        <f>IF((J1399-MAX(J$470:J1399))/MAX(J$470:J1399)&gt;U1398,U1398,(J1399-MAX(J$470:J1399))/MAX(J$470:J1399))</f>
        <v>-0.70517826086956548</v>
      </c>
      <c r="V1399" s="564">
        <f>IF((K1399-MAX(K$470:K1399))/MAX(K$470:K1399)&gt;V1398,V1398,(K1399-MAX(K$470:K1399))/MAX(K$470:K1399))</f>
        <v>-0.84885940676762139</v>
      </c>
      <c r="W1399" s="564">
        <f>IF((N1399-MAX(N$470:N1399))/MAX(N$470:N1399)&gt;W1398,W1398,(N1399-MAX(N$470:N1399))/MAX(N$470:N1399))</f>
        <v>-0.62788758315546067</v>
      </c>
      <c r="X1399" s="564">
        <f>IF((O1399-MAX(O$470:O1399))/MAX(O$470:O1399)&gt;X1398,X1398,(O1399-MAX(O$470:O1399))/MAX(O$470:O1399))</f>
        <v>-0.62788758315546067</v>
      </c>
    </row>
    <row r="1400" spans="1:24">
      <c r="A1400" s="799">
        <v>41802</v>
      </c>
      <c r="B1400">
        <v>636.62400000000002</v>
      </c>
      <c r="C1400">
        <v>213.22307499999999</v>
      </c>
      <c r="D1400">
        <v>1.715794</v>
      </c>
      <c r="E1400">
        <f>LN(D1400/参数实验室!$E$53)/参数实验室!$E$55</f>
        <v>-5.6047893826321131E-2</v>
      </c>
      <c r="F1400">
        <f t="shared" si="158"/>
        <v>0.33492779882630874</v>
      </c>
      <c r="G1400">
        <f>LN(F1400/参数实验室!$E$58)/参数实验室!$E$59</f>
        <v>-0.76463652664035131</v>
      </c>
      <c r="H1400" s="856">
        <f>INDEX(神经网络!$G$10:$BO$70,MATCH(ROUND(G1400*2,1)/2,神经网络!$E$10:$E$70,0),MATCH(ROUND(E1400*2,1)/2,神经网络!$G$8:$BO$8,0))</f>
        <v>-0.91560454467627084</v>
      </c>
      <c r="I1400">
        <f t="shared" si="160"/>
        <v>516.87518207204937</v>
      </c>
      <c r="J1400">
        <f t="shared" si="161"/>
        <v>254.02976736762298</v>
      </c>
      <c r="K1400">
        <f t="shared" si="162"/>
        <v>2.0347032059595036</v>
      </c>
      <c r="L1400" s="4">
        <f>MIN(MAX(L1399*(1+MAX(MIN(((B1400-B1399)/B1399)/($K$7*卓尔金历!$N$40),0),-卓尔金历!$M$43))+MIN(MAX(((B1400-B1399)/B1399)/($K$7*卓尔金历!$N$40),0),卓尔金历!$M$43),0),1)</f>
        <v>0.55783577819068697</v>
      </c>
      <c r="M1400" s="4">
        <f>MIN(MAX(M1399*(1+MAX(MIN(((B1400-B1399)/B1399)/($K$7*30),0),-卓尔金历!$M$43))+MIN(MAX(((B1400-B1399)/B1399)/($K$7*7),0),卓尔金历!$M$43),0),1)</f>
        <v>0.76445618057677067</v>
      </c>
      <c r="N1400">
        <f t="shared" si="163"/>
        <v>609.79380881010627</v>
      </c>
      <c r="O1400">
        <f t="shared" si="164"/>
        <v>1275.4534793393414</v>
      </c>
      <c r="P1400">
        <f t="shared" si="165"/>
        <v>-2.0828526868522851E-2</v>
      </c>
      <c r="Q1400">
        <f t="shared" si="166"/>
        <v>3.3159413786013184E-2</v>
      </c>
      <c r="R1400">
        <f t="shared" si="167"/>
        <v>0.51232480380668499</v>
      </c>
      <c r="S1400">
        <f t="shared" si="159"/>
        <v>12.247521058203853</v>
      </c>
      <c r="T1400" s="564">
        <f>IF((I1400-MAX(I$470:I1400))/MAX(I$470:I1400)&gt;T1399,T1399,(I1400-MAX(I$470:I1400))/MAX(I$470:I1400))</f>
        <v>-0.91338805338419748</v>
      </c>
      <c r="U1400" s="564">
        <f>IF((J1400-MAX(J$470:J1400))/MAX(J$470:J1400)&gt;U1399,U1399,(J1400-MAX(J$470:J1400))/MAX(J$470:J1400))</f>
        <v>-0.70517826086956548</v>
      </c>
      <c r="V1400" s="564">
        <f>IF((K1400-MAX(K$470:K1400))/MAX(K$470:K1400)&gt;V1399,V1399,(K1400-MAX(K$470:K1400))/MAX(K$470:K1400))</f>
        <v>-0.84885940676762139</v>
      </c>
      <c r="W1400" s="564">
        <f>IF((N1400-MAX(N$470:N1400))/MAX(N$470:N1400)&gt;W1399,W1399,(N1400-MAX(N$470:N1400))/MAX(N$470:N1400))</f>
        <v>-0.62788758315546067</v>
      </c>
      <c r="X1400" s="564">
        <f>IF((O1400-MAX(O$470:O1400))/MAX(O$470:O1400)&gt;X1399,X1399,(O1400-MAX(O$470:O1400))/MAX(O$470:O1400))</f>
        <v>-0.62788758315546067</v>
      </c>
    </row>
    <row r="1401" spans="1:24">
      <c r="A1401" s="799">
        <v>41803</v>
      </c>
      <c r="B1401">
        <v>610.96</v>
      </c>
      <c r="C1401">
        <v>211.74810400000001</v>
      </c>
      <c r="D1401">
        <v>1.7290019999999999</v>
      </c>
      <c r="E1401">
        <f>LN(D1401/参数实验室!$E$53)/参数实验室!$E$55</f>
        <v>-4.7001054939502553E-2</v>
      </c>
      <c r="F1401">
        <f t="shared" si="158"/>
        <v>0.34658259787874818</v>
      </c>
      <c r="G1401">
        <f>LN(F1401/参数实验室!$E$58)/参数实验室!$E$59</f>
        <v>-0.74668327202160389</v>
      </c>
      <c r="H1401" s="856">
        <f>INDEX(神经网络!$G$10:$BO$70,MATCH(ROUND(G1401*2,1)/2,神经网络!$E$10:$E$70,0),MATCH(ROUND(E1401*2,1)/2,神经网络!$G$8:$BO$8,0))</f>
        <v>-0.91560454467627084</v>
      </c>
      <c r="I1401">
        <f t="shared" si="160"/>
        <v>535.95327496807113</v>
      </c>
      <c r="J1401">
        <f t="shared" si="161"/>
        <v>243.78915446310998</v>
      </c>
      <c r="K1401">
        <f t="shared" si="162"/>
        <v>2.1984295246783474</v>
      </c>
      <c r="L1401" s="4">
        <f>MIN(MAX(L1400*(1+MAX(MIN(((B1401-B1400)/B1400)/($K$7*卓尔金历!$N$40),0),-卓尔金历!$M$43))+MIN(MAX(((B1401-B1400)/B1400)/($K$7*卓尔金历!$N$40),0),卓尔金历!$M$43),0),1)</f>
        <v>0.21424319273268982</v>
      </c>
      <c r="M1401" s="4">
        <f>MIN(MAX(M1400*(1+MAX(MIN(((B1401-B1400)/B1400)/($K$7*30),0),-卓尔金历!$M$43))+MIN(MAX(((B1401-B1400)/B1400)/($K$7*7),0),卓尔金历!$M$43),0),1)</f>
        <v>0.52902714767604153</v>
      </c>
      <c r="N1401">
        <f t="shared" si="163"/>
        <v>622.34944303931957</v>
      </c>
      <c r="O1401">
        <f t="shared" si="164"/>
        <v>1311.4422074492445</v>
      </c>
      <c r="P1401">
        <f t="shared" si="165"/>
        <v>-4.031264922466006E-2</v>
      </c>
      <c r="Q1401">
        <f t="shared" si="166"/>
        <v>3.3964257593365056E-2</v>
      </c>
      <c r="R1401">
        <f t="shared" si="167"/>
        <v>2.7477330315686752E-2</v>
      </c>
      <c r="S1401">
        <f t="shared" si="159"/>
        <v>12.479123352099643</v>
      </c>
      <c r="T1401" s="564">
        <f>IF((I1401-MAX(I$470:I1401))/MAX(I$470:I1401)&gt;T1400,T1400,(I1401-MAX(I$470:I1401))/MAX(I$470:I1401))</f>
        <v>-0.91338805338419748</v>
      </c>
      <c r="U1401" s="564">
        <f>IF((J1401-MAX(J$470:J1401))/MAX(J$470:J1401)&gt;U1400,U1400,(J1401-MAX(J$470:J1401))/MAX(J$470:J1401))</f>
        <v>-0.70517826086956548</v>
      </c>
      <c r="V1401" s="564">
        <f>IF((K1401-MAX(K$470:K1401))/MAX(K$470:K1401)&gt;V1400,V1400,(K1401-MAX(K$470:K1401))/MAX(K$470:K1401))</f>
        <v>-0.84885940676762139</v>
      </c>
      <c r="W1401" s="564">
        <f>IF((N1401-MAX(N$470:N1401))/MAX(N$470:N1401)&gt;W1400,W1400,(N1401-MAX(N$470:N1401))/MAX(N$470:N1401))</f>
        <v>-0.62788758315546067</v>
      </c>
      <c r="X1401" s="564">
        <f>IF((O1401-MAX(O$470:O1401))/MAX(O$470:O1401)&gt;X1400,X1400,(O1401-MAX(O$470:O1401))/MAX(O$470:O1401))</f>
        <v>-0.62788758315546067</v>
      </c>
    </row>
    <row r="1402" spans="1:24">
      <c r="A1402" s="799">
        <v>41804</v>
      </c>
      <c r="B1402">
        <v>584.82100000000003</v>
      </c>
      <c r="C1402">
        <v>211.07999000000001</v>
      </c>
      <c r="D1402">
        <v>1.667238</v>
      </c>
      <c r="E1402">
        <f>LN(D1402/参数实验室!$E$53)/参数实验室!$E$55</f>
        <v>-8.9915757072313404E-2</v>
      </c>
      <c r="F1402">
        <f t="shared" si="158"/>
        <v>0.36093093442266949</v>
      </c>
      <c r="G1402">
        <f>LN(F1402/参数实验室!$E$58)/参数实验室!$E$59</f>
        <v>-0.72539232911197371</v>
      </c>
      <c r="H1402" s="856">
        <f>INDEX(神经网络!$G$10:$BO$70,MATCH(ROUND(G1402*2,1)/2,神经网络!$E$10:$E$70,0),MATCH(ROUND(E1402*2,1)/2,神经网络!$G$8:$BO$8,0))</f>
        <v>-0.93573986365083472</v>
      </c>
      <c r="I1402">
        <f t="shared" si="160"/>
        <v>556.94804200030615</v>
      </c>
      <c r="J1402">
        <f t="shared" si="161"/>
        <v>233.35900403016635</v>
      </c>
      <c r="K1402">
        <f t="shared" si="162"/>
        <v>2.3866576064419154</v>
      </c>
      <c r="L1402" s="4">
        <f>MIN(MAX(L1401*(1+MAX(MIN(((B1402-B1401)/B1401)/($K$7*卓尔金历!$N$40),0),-卓尔金历!$M$43))+MIN(MAX(((B1402-B1401)/B1401)/($K$7*卓尔金历!$N$40),0),卓尔金历!$M$43),0),1)</f>
        <v>7.4194421955389611E-2</v>
      </c>
      <c r="M1402" s="4">
        <f>MIN(MAX(M1401*(1+MAX(MIN(((B1402-B1401)/B1401)/($K$7*30),0),-卓尔金历!$M$43))+MIN(MAX(((B1402-B1401)/B1401)/($K$7*7),0),卓尔金历!$M$43),0),1)</f>
        <v>0.35611709906532063</v>
      </c>
      <c r="N1402">
        <f t="shared" si="163"/>
        <v>627.57250848671151</v>
      </c>
      <c r="O1402">
        <f t="shared" si="164"/>
        <v>1338.6198164771556</v>
      </c>
      <c r="P1402">
        <f t="shared" si="165"/>
        <v>-4.2783488280738524E-2</v>
      </c>
      <c r="Q1402">
        <f t="shared" si="166"/>
        <v>3.5653100430476502E-2</v>
      </c>
      <c r="R1402">
        <f t="shared" si="167"/>
        <v>2.7772025636685477E-2</v>
      </c>
      <c r="S1402">
        <f t="shared" si="159"/>
        <v>12.492555415808472</v>
      </c>
      <c r="T1402" s="564">
        <f>IF((I1402-MAX(I$470:I1402))/MAX(I$470:I1402)&gt;T1401,T1401,(I1402-MAX(I$470:I1402))/MAX(I$470:I1402))</f>
        <v>-0.91338805338419748</v>
      </c>
      <c r="U1402" s="564">
        <f>IF((J1402-MAX(J$470:J1402))/MAX(J$470:J1402)&gt;U1401,U1401,(J1402-MAX(J$470:J1402))/MAX(J$470:J1402))</f>
        <v>-0.70517826086956548</v>
      </c>
      <c r="V1402" s="564">
        <f>IF((K1402-MAX(K$470:K1402))/MAX(K$470:K1402)&gt;V1401,V1401,(K1402-MAX(K$470:K1402))/MAX(K$470:K1402))</f>
        <v>-0.84885940676762139</v>
      </c>
      <c r="W1402" s="564">
        <f>IF((N1402-MAX(N$470:N1402))/MAX(N$470:N1402)&gt;W1401,W1401,(N1402-MAX(N$470:N1402))/MAX(N$470:N1402))</f>
        <v>-0.62788758315546067</v>
      </c>
      <c r="X1402" s="564">
        <f>IF((O1402-MAX(O$470:O1402))/MAX(O$470:O1402)&gt;X1401,X1401,(O1402-MAX(O$470:O1402))/MAX(O$470:O1402))</f>
        <v>-0.62788758315546067</v>
      </c>
    </row>
    <row r="1403" spans="1:24">
      <c r="A1403" s="799">
        <v>41805</v>
      </c>
      <c r="B1403">
        <v>559.43399999999997</v>
      </c>
      <c r="C1403">
        <v>210.17436699999999</v>
      </c>
      <c r="D1403">
        <v>1.70763</v>
      </c>
      <c r="E1403">
        <f>LN(D1403/参数实验室!$E$53)/参数实验室!$E$55</f>
        <v>-6.1674730433199793E-2</v>
      </c>
      <c r="F1403">
        <f t="shared" si="158"/>
        <v>0.37569108599048323</v>
      </c>
      <c r="G1403">
        <f>LN(F1403/参数实验室!$E$58)/参数实验室!$E$59</f>
        <v>-0.70435586244441584</v>
      </c>
      <c r="H1403" s="856">
        <f>INDEX(神经网络!$G$10:$BO$70,MATCH(ROUND(G1403*2,1)/2,神经网络!$E$10:$E$70,0),MATCH(ROUND(E1403*2,1)/2,神经网络!$G$8:$BO$8,0))</f>
        <v>-0.8741892559443023</v>
      </c>
      <c r="I1403">
        <f t="shared" si="160"/>
        <v>579.57146088522734</v>
      </c>
      <c r="J1403">
        <f t="shared" si="161"/>
        <v>223.22892143170657</v>
      </c>
      <c r="K1403">
        <f t="shared" si="162"/>
        <v>2.5963099098811813</v>
      </c>
      <c r="L1403" s="4">
        <f>MIN(MAX(L1402*(1+MAX(MIN(((B1403-B1402)/B1402)/($K$7*卓尔金历!$N$40),0),-卓尔金历!$M$43))+MIN(MAX(((B1403-B1402)/B1402)/($K$7*卓尔金历!$N$40),0),卓尔金历!$M$43),0),1)</f>
        <v>2.4984150806740477E-2</v>
      </c>
      <c r="M1403" s="4">
        <f>MIN(MAX(M1402*(1+MAX(MIN(((B1403-B1402)/B1402)/($K$7*30),0),-卓尔金历!$M$43))+MIN(MAX(((B1403-B1402)/B1402)/($K$7*7),0),卓尔金历!$M$43),0),1)</f>
        <v>0.23801779628881481</v>
      </c>
      <c r="N1403">
        <f t="shared" si="163"/>
        <v>629.46388817802904</v>
      </c>
      <c r="O1403">
        <f t="shared" si="164"/>
        <v>1357.9837521887837</v>
      </c>
      <c r="P1403">
        <f t="shared" si="165"/>
        <v>-4.3409863872877437E-2</v>
      </c>
      <c r="Q1403">
        <f t="shared" si="166"/>
        <v>3.4866994466108789E-2</v>
      </c>
      <c r="R1403">
        <f t="shared" si="167"/>
        <v>2.7839865048624943E-2</v>
      </c>
      <c r="S1403">
        <f t="shared" si="159"/>
        <v>12.506648381588475</v>
      </c>
      <c r="T1403" s="564">
        <f>IF((I1403-MAX(I$470:I1403))/MAX(I$470:I1403)&gt;T1402,T1402,(I1403-MAX(I$470:I1403))/MAX(I$470:I1403))</f>
        <v>-0.91338805338419748</v>
      </c>
      <c r="U1403" s="564">
        <f>IF((J1403-MAX(J$470:J1403))/MAX(J$470:J1403)&gt;U1402,U1402,(J1403-MAX(J$470:J1403))/MAX(J$470:J1403))</f>
        <v>-0.70517826086956548</v>
      </c>
      <c r="V1403" s="564">
        <f>IF((K1403-MAX(K$470:K1403))/MAX(K$470:K1403)&gt;V1402,V1402,(K1403-MAX(K$470:K1403))/MAX(K$470:K1403))</f>
        <v>-0.84885940676762139</v>
      </c>
      <c r="W1403" s="564">
        <f>IF((N1403-MAX(N$470:N1403))/MAX(N$470:N1403)&gt;W1402,W1402,(N1403-MAX(N$470:N1403))/MAX(N$470:N1403))</f>
        <v>-0.62788758315546067</v>
      </c>
      <c r="X1403" s="564">
        <f>IF((O1403-MAX(O$470:O1403))/MAX(O$470:O1403)&gt;X1402,X1402,(O1403-MAX(O$470:O1403))/MAX(O$470:O1403))</f>
        <v>-0.62788758315546067</v>
      </c>
    </row>
    <row r="1404" spans="1:24">
      <c r="A1404" s="799">
        <v>41806</v>
      </c>
      <c r="B1404">
        <v>599.72</v>
      </c>
      <c r="C1404">
        <v>208.509004</v>
      </c>
      <c r="D1404">
        <v>1.7089529999999999</v>
      </c>
      <c r="E1404">
        <f>LN(D1404/参数实验室!$E$53)/参数实验室!$E$55</f>
        <v>-6.0761061062493509E-2</v>
      </c>
      <c r="F1404">
        <f t="shared" si="158"/>
        <v>0.34767725605282462</v>
      </c>
      <c r="G1404">
        <f>LN(F1404/参数实验室!$E$58)/参数实验室!$E$59</f>
        <v>-0.74502816769340441</v>
      </c>
      <c r="H1404" s="856">
        <f>INDEX(神经网络!$G$10:$BO$70,MATCH(ROUND(G1404*2,1)/2,神经网络!$E$10:$E$70,0),MATCH(ROUND(E1404*2,1)/2,神经网络!$G$8:$BO$8,0))</f>
        <v>-0.91560454467627084</v>
      </c>
      <c r="I1404">
        <f t="shared" si="160"/>
        <v>543.08617551190082</v>
      </c>
      <c r="J1404">
        <f t="shared" si="161"/>
        <v>239.30409800087784</v>
      </c>
      <c r="K1404">
        <f t="shared" si="162"/>
        <v>2.2694395125231352</v>
      </c>
      <c r="L1404" s="4">
        <f>MIN(MAX(L1403*(1+MAX(MIN(((B1404-B1403)/B1403)/($K$7*卓尔金历!$N$40),0),-卓尔金历!$M$43))+MIN(MAX(((B1404-B1403)/B1403)/($K$7*卓尔金历!$N$40),0),卓尔金历!$M$43),0),1)</f>
        <v>1</v>
      </c>
      <c r="M1404" s="4">
        <f>MIN(MAX(M1403*(1+MAX(MIN(((B1404-B1403)/B1403)/($K$7*30),0),-卓尔金历!$M$43))+MIN(MAX(((B1404-B1403)/B1403)/($K$7*7),0),卓尔金历!$M$43),0),1)</f>
        <v>1</v>
      </c>
      <c r="N1404">
        <f t="shared" si="163"/>
        <v>628.47386316252403</v>
      </c>
      <c r="O1404">
        <f t="shared" si="164"/>
        <v>1337.6360787363371</v>
      </c>
      <c r="P1404">
        <f t="shared" si="165"/>
        <v>7.2012069341513135E-2</v>
      </c>
      <c r="Q1404">
        <f t="shared" si="166"/>
        <v>3.6158673099035019E-2</v>
      </c>
      <c r="R1404">
        <f t="shared" si="167"/>
        <v>1.0846532895989703E-2</v>
      </c>
      <c r="S1404">
        <f t="shared" si="159"/>
        <v>12.484729478254403</v>
      </c>
      <c r="T1404" s="564">
        <f>IF((I1404-MAX(I$470:I1404))/MAX(I$470:I1404)&gt;T1403,T1403,(I1404-MAX(I$470:I1404))/MAX(I$470:I1404))</f>
        <v>-0.91338805338419748</v>
      </c>
      <c r="U1404" s="564">
        <f>IF((J1404-MAX(J$470:J1404))/MAX(J$470:J1404)&gt;U1403,U1403,(J1404-MAX(J$470:J1404))/MAX(J$470:J1404))</f>
        <v>-0.70517826086956548</v>
      </c>
      <c r="V1404" s="564">
        <f>IF((K1404-MAX(K$470:K1404))/MAX(K$470:K1404)&gt;V1403,V1403,(K1404-MAX(K$470:K1404))/MAX(K$470:K1404))</f>
        <v>-0.84885940676762139</v>
      </c>
      <c r="W1404" s="564">
        <f>IF((N1404-MAX(N$470:N1404))/MAX(N$470:N1404)&gt;W1403,W1403,(N1404-MAX(N$470:N1404))/MAX(N$470:N1404))</f>
        <v>-0.62788758315546067</v>
      </c>
      <c r="X1404" s="564">
        <f>IF((O1404-MAX(O$470:O1404))/MAX(O$470:O1404)&gt;X1403,X1403,(O1404-MAX(O$470:O1404))/MAX(O$470:O1404))</f>
        <v>-0.62788758315546067</v>
      </c>
    </row>
    <row r="1405" spans="1:24">
      <c r="A1405" s="799">
        <v>41807</v>
      </c>
      <c r="B1405">
        <v>596.46299999999997</v>
      </c>
      <c r="C1405">
        <v>207.234138</v>
      </c>
      <c r="D1405">
        <v>1.7614399999999999</v>
      </c>
      <c r="E1405">
        <f>LN(D1405/参数实验室!$E$53)/参数实验室!$E$55</f>
        <v>-2.5072635842328217E-2</v>
      </c>
      <c r="F1405">
        <f t="shared" si="158"/>
        <v>0.34743837924565313</v>
      </c>
      <c r="G1405">
        <f>LN(F1405/参数实验室!$E$58)/参数实验室!$E$59</f>
        <v>-0.74538890037329575</v>
      </c>
      <c r="H1405" s="856">
        <f>INDEX(神经网络!$G$10:$BO$70,MATCH(ROUND(G1405*2,1)/2,神经网络!$E$10:$E$70,0),MATCH(ROUND(E1405*2,1)/2,神经网络!$G$8:$BO$8,0))</f>
        <v>-0.91560454467627084</v>
      </c>
      <c r="I1405">
        <f t="shared" si="160"/>
        <v>545.78668628218395</v>
      </c>
      <c r="J1405">
        <f t="shared" si="161"/>
        <v>238.00446909540716</v>
      </c>
      <c r="K1405">
        <f t="shared" si="162"/>
        <v>2.2931783102921415</v>
      </c>
      <c r="L1405" s="4">
        <f>MIN(MAX(L1404*(1+MAX(MIN(((B1405-B1404)/B1404)/($K$7*卓尔金历!$N$40),0),-卓尔金历!$M$43))+MIN(MAX(((B1405-B1404)/B1404)/($K$7*卓尔金历!$N$40),0),卓尔金历!$M$43),0),1)</f>
        <v>0.91702155257301121</v>
      </c>
      <c r="M1405" s="4">
        <f>MIN(MAX(M1404*(1+MAX(MIN(((B1405-B1404)/B1404)/($K$7*30),0),-卓尔金历!$M$43))+MIN(MAX(((B1405-B1404)/B1404)/($K$7*7),0),卓尔金历!$M$43),0),1)</f>
        <v>0.95851077628650561</v>
      </c>
      <c r="N1405">
        <f t="shared" si="163"/>
        <v>631.59896653071803</v>
      </c>
      <c r="O1405">
        <f t="shared" si="164"/>
        <v>1344.2875104984178</v>
      </c>
      <c r="P1405">
        <f t="shared" si="165"/>
        <v>-5.4308677382779655E-3</v>
      </c>
      <c r="Q1405">
        <f t="shared" si="166"/>
        <v>3.6174396482903451E-2</v>
      </c>
      <c r="R1405">
        <f t="shared" si="167"/>
        <v>1</v>
      </c>
      <c r="S1405">
        <f t="shared" si="159"/>
        <v>12.485402838139496</v>
      </c>
      <c r="T1405" s="564">
        <f>IF((I1405-MAX(I$470:I1405))/MAX(I$470:I1405)&gt;T1404,T1404,(I1405-MAX(I$470:I1405))/MAX(I$470:I1405))</f>
        <v>-0.91338805338419748</v>
      </c>
      <c r="U1405" s="564">
        <f>IF((J1405-MAX(J$470:J1405))/MAX(J$470:J1405)&gt;U1404,U1404,(J1405-MAX(J$470:J1405))/MAX(J$470:J1405))</f>
        <v>-0.70517826086956548</v>
      </c>
      <c r="V1405" s="564">
        <f>IF((K1405-MAX(K$470:K1405))/MAX(K$470:K1405)&gt;V1404,V1404,(K1405-MAX(K$470:K1405))/MAX(K$470:K1405))</f>
        <v>-0.84885940676762139</v>
      </c>
      <c r="W1405" s="564">
        <f>IF((N1405-MAX(N$470:N1405))/MAX(N$470:N1405)&gt;W1404,W1404,(N1405-MAX(N$470:N1405))/MAX(N$470:N1405))</f>
        <v>-0.62788758315546067</v>
      </c>
      <c r="X1405" s="564">
        <f>IF((O1405-MAX(O$470:O1405))/MAX(O$470:O1405)&gt;X1404,X1404,(O1405-MAX(O$470:O1405))/MAX(O$470:O1405))</f>
        <v>-0.62788758315546067</v>
      </c>
    </row>
    <row r="1406" spans="1:24">
      <c r="A1406" s="799">
        <v>41808</v>
      </c>
      <c r="B1406">
        <v>612.4</v>
      </c>
      <c r="C1406">
        <v>208.70450299999999</v>
      </c>
      <c r="D1406">
        <v>1.7563960000000001</v>
      </c>
      <c r="E1406">
        <f>LN(D1406/参数实验室!$E$53)/参数实验室!$E$55</f>
        <v>-2.8455783573245966E-2</v>
      </c>
      <c r="F1406">
        <f t="shared" si="158"/>
        <v>0.34079768615284128</v>
      </c>
      <c r="G1406">
        <f>LN(F1406/参数实验室!$E$58)/参数实验室!$E$59</f>
        <v>-0.75551770054488354</v>
      </c>
      <c r="H1406" s="856">
        <f>INDEX(神经网络!$G$10:$BO$70,MATCH(ROUND(G1406*2,1)/2,神经网络!$E$10:$E$70,0),MATCH(ROUND(E1406*2,1)/2,神经网络!$G$8:$BO$8,0))</f>
        <v>-0.91560454467627084</v>
      </c>
      <c r="I1406">
        <f t="shared" si="160"/>
        <v>532.43445208558478</v>
      </c>
      <c r="J1406">
        <f t="shared" si="161"/>
        <v>244.36375244403649</v>
      </c>
      <c r="K1406">
        <f t="shared" si="162"/>
        <v>2.178860190025611</v>
      </c>
      <c r="L1406" s="4">
        <f>MIN(MAX(L1405*(1+MAX(MIN(((B1406-B1405)/B1405)/($K$7*卓尔金历!$N$40),0),-卓尔金历!$M$43))+MIN(MAX(((B1406-B1405)/B1405)/($K$7*卓尔金历!$N$40),0),卓尔金历!$M$43),0),1)</f>
        <v>1</v>
      </c>
      <c r="M1406" s="4">
        <f>MIN(MAX(M1405*(1+MAX(MIN(((B1406-B1405)/B1405)/($K$7*30),0),-卓尔金历!$M$43))+MIN(MAX(((B1406-B1405)/B1405)/($K$7*7),0),卓尔金历!$M$43),0),1)</f>
        <v>1</v>
      </c>
      <c r="N1406">
        <f t="shared" si="163"/>
        <v>617.42955031976692</v>
      </c>
      <c r="O1406">
        <f t="shared" si="164"/>
        <v>1312.7650457752627</v>
      </c>
      <c r="P1406">
        <f t="shared" si="165"/>
        <v>2.6719176210427156E-2</v>
      </c>
      <c r="Q1406">
        <f t="shared" si="166"/>
        <v>3.6337135227260745E-2</v>
      </c>
      <c r="R1406">
        <f t="shared" si="167"/>
        <v>0.35475523937100595</v>
      </c>
      <c r="S1406">
        <f t="shared" si="159"/>
        <v>12.179957456411127</v>
      </c>
      <c r="T1406" s="564">
        <f>IF((I1406-MAX(I$470:I1406))/MAX(I$470:I1406)&gt;T1405,T1405,(I1406-MAX(I$470:I1406))/MAX(I$470:I1406))</f>
        <v>-0.91338805338419748</v>
      </c>
      <c r="U1406" s="564">
        <f>IF((J1406-MAX(J$470:J1406))/MAX(J$470:J1406)&gt;U1405,U1405,(J1406-MAX(J$470:J1406))/MAX(J$470:J1406))</f>
        <v>-0.70517826086956548</v>
      </c>
      <c r="V1406" s="564">
        <f>IF((K1406-MAX(K$470:K1406))/MAX(K$470:K1406)&gt;V1405,V1405,(K1406-MAX(K$470:K1406))/MAX(K$470:K1406))</f>
        <v>-0.84885940676762139</v>
      </c>
      <c r="W1406" s="564">
        <f>IF((N1406-MAX(N$470:N1406))/MAX(N$470:N1406)&gt;W1405,W1405,(N1406-MAX(N$470:N1406))/MAX(N$470:N1406))</f>
        <v>-0.62788758315546067</v>
      </c>
      <c r="X1406" s="564">
        <f>IF((O1406-MAX(O$470:O1406))/MAX(O$470:O1406)&gt;X1405,X1405,(O1406-MAX(O$470:O1406))/MAX(O$470:O1406))</f>
        <v>-0.62788758315546067</v>
      </c>
    </row>
    <row r="1407" spans="1:24">
      <c r="A1407" s="799">
        <v>41809</v>
      </c>
      <c r="B1407">
        <v>610.08299999999997</v>
      </c>
      <c r="C1407">
        <v>210.199726</v>
      </c>
      <c r="D1407">
        <v>1.721757</v>
      </c>
      <c r="E1407">
        <f>LN(D1407/参数实验室!$E$53)/参数实验室!$E$55</f>
        <v>-5.1954935990966407E-2</v>
      </c>
      <c r="F1407">
        <f t="shared" si="158"/>
        <v>0.34454283433565597</v>
      </c>
      <c r="G1407">
        <f>LN(F1407/参数实验室!$E$58)/参数实验室!$E$59</f>
        <v>-0.74978135292293113</v>
      </c>
      <c r="H1407" s="856">
        <f>INDEX(神经网络!$G$10:$BO$70,MATCH(ROUND(G1407*2,1)/2,神经网络!$E$10:$E$70,0),MATCH(ROUND(E1407*2,1)/2,神经网络!$G$8:$BO$8,0))</f>
        <v>-0.91560454467627084</v>
      </c>
      <c r="I1407">
        <f t="shared" si="160"/>
        <v>534.2788938217609</v>
      </c>
      <c r="J1407">
        <f t="shared" si="161"/>
        <v>243.43920833167064</v>
      </c>
      <c r="K1407">
        <f t="shared" si="162"/>
        <v>2.1947117618532488</v>
      </c>
      <c r="L1407" s="4">
        <f>MIN(MAX(L1406*(1+MAX(MIN(((B1407-B1406)/B1406)/($K$7*卓尔金历!$N$40),0),-卓尔金历!$M$43))+MIN(MAX(((B1407-B1406)/B1406)/($K$7*卓尔金历!$N$40),0),卓尔金历!$M$43),0),1)</f>
        <v>0.94219213497480014</v>
      </c>
      <c r="M1407" s="4">
        <f>MIN(MAX(M1406*(1+MAX(MIN(((B1407-B1406)/B1406)/($K$7*30),0),-卓尔金历!$M$43))+MIN(MAX(((B1407-B1406)/B1406)/($K$7*7),0),卓尔金历!$M$43),0),1)</f>
        <v>0.97109606748740007</v>
      </c>
      <c r="N1407">
        <f t="shared" si="163"/>
        <v>619.56842925086812</v>
      </c>
      <c r="O1407">
        <f t="shared" si="164"/>
        <v>1317.3126828237982</v>
      </c>
      <c r="P1407">
        <f t="shared" si="165"/>
        <v>-3.7834748530372426E-3</v>
      </c>
      <c r="Q1407">
        <f t="shared" si="166"/>
        <v>3.6127779504507504E-2</v>
      </c>
      <c r="R1407">
        <f t="shared" si="167"/>
        <v>1</v>
      </c>
      <c r="S1407">
        <f t="shared" si="159"/>
        <v>12.19492578750511</v>
      </c>
      <c r="T1407" s="564">
        <f>IF((I1407-MAX(I$470:I1407))/MAX(I$470:I1407)&gt;T1406,T1406,(I1407-MAX(I$470:I1407))/MAX(I$470:I1407))</f>
        <v>-0.91338805338419748</v>
      </c>
      <c r="U1407" s="564">
        <f>IF((J1407-MAX(J$470:J1407))/MAX(J$470:J1407)&gt;U1406,U1406,(J1407-MAX(J$470:J1407))/MAX(J$470:J1407))</f>
        <v>-0.70517826086956548</v>
      </c>
      <c r="V1407" s="564">
        <f>IF((K1407-MAX(K$470:K1407))/MAX(K$470:K1407)&gt;V1406,V1406,(K1407-MAX(K$470:K1407))/MAX(K$470:K1407))</f>
        <v>-0.84885940676762139</v>
      </c>
      <c r="W1407" s="564">
        <f>IF((N1407-MAX(N$470:N1407))/MAX(N$470:N1407)&gt;W1406,W1406,(N1407-MAX(N$470:N1407))/MAX(N$470:N1407))</f>
        <v>-0.62788758315546067</v>
      </c>
      <c r="X1407" s="564">
        <f>IF((O1407-MAX(O$470:O1407))/MAX(O$470:O1407)&gt;X1406,X1406,(O1407-MAX(O$470:O1407))/MAX(O$470:O1407))</f>
        <v>-0.62788758315546067</v>
      </c>
    </row>
    <row r="1408" spans="1:24">
      <c r="A1408" s="799">
        <v>41810</v>
      </c>
      <c r="B1408">
        <v>589.43899999999996</v>
      </c>
      <c r="C1408">
        <v>209.041472</v>
      </c>
      <c r="D1408">
        <v>1.708939</v>
      </c>
      <c r="E1408">
        <f>LN(D1408/参数实验室!$E$53)/参数实验室!$E$55</f>
        <v>-6.0770725818088789E-2</v>
      </c>
      <c r="F1408">
        <f t="shared" si="158"/>
        <v>0.35464479276057403</v>
      </c>
      <c r="G1408">
        <f>LN(F1408/参数实验室!$E$58)/参数实验室!$E$59</f>
        <v>-0.73461397153550356</v>
      </c>
      <c r="H1408" s="856">
        <f>INDEX(神经网络!$G$10:$BO$70,MATCH(ROUND(G1408*2,1)/2,神经网络!$E$10:$E$70,0),MATCH(ROUND(E1408*2,1)/2,神经网络!$G$8:$BO$8,0))</f>
        <v>-0.91560454467627084</v>
      </c>
      <c r="I1408">
        <f t="shared" si="160"/>
        <v>550.83205274637692</v>
      </c>
      <c r="J1408">
        <f t="shared" si="161"/>
        <v>235.20170783288768</v>
      </c>
      <c r="K1408">
        <f t="shared" si="162"/>
        <v>2.3419560079799533</v>
      </c>
      <c r="L1408" s="4">
        <f>MIN(MAX(L1407*(1+MAX(MIN(((B1408-B1407)/B1407)/($K$7*卓尔金历!$N$40),0),-卓尔金历!$M$43))+MIN(MAX(((B1408-B1407)/B1407)/($K$7*卓尔金历!$N$40),0),卓尔金历!$M$43),0),1)</f>
        <v>0.45506706641924666</v>
      </c>
      <c r="M1408" s="4">
        <f>MIN(MAX(M1407*(1+MAX(MIN(((B1408-B1407)/B1407)/($K$7*30),0),-卓尔金历!$M$43))+MIN(MAX(((B1408-B1407)/B1407)/($K$7*7),0),卓尔金历!$M$43),0),1)</f>
        <v>0.72006168665939618</v>
      </c>
      <c r="N1408">
        <f t="shared" si="163"/>
        <v>637.65439153648708</v>
      </c>
      <c r="O1408">
        <f t="shared" si="164"/>
        <v>1356.9463205268232</v>
      </c>
      <c r="P1408">
        <f t="shared" si="165"/>
        <v>-3.3838018761381657E-2</v>
      </c>
      <c r="Q1408">
        <f t="shared" si="166"/>
        <v>3.7021620356170098E-2</v>
      </c>
      <c r="R1408">
        <f t="shared" si="167"/>
        <v>0.12929337446589018</v>
      </c>
      <c r="S1408">
        <f t="shared" si="159"/>
        <v>12.572751950897993</v>
      </c>
      <c r="T1408" s="564">
        <f>IF((I1408-MAX(I$470:I1408))/MAX(I$470:I1408)&gt;T1407,T1407,(I1408-MAX(I$470:I1408))/MAX(I$470:I1408))</f>
        <v>-0.91338805338419748</v>
      </c>
      <c r="U1408" s="564">
        <f>IF((J1408-MAX(J$470:J1408))/MAX(J$470:J1408)&gt;U1407,U1407,(J1408-MAX(J$470:J1408))/MAX(J$470:J1408))</f>
        <v>-0.70517826086956548</v>
      </c>
      <c r="V1408" s="564">
        <f>IF((K1408-MAX(K$470:K1408))/MAX(K$470:K1408)&gt;V1407,V1407,(K1408-MAX(K$470:K1408))/MAX(K$470:K1408))</f>
        <v>-0.84885940676762139</v>
      </c>
      <c r="W1408" s="564">
        <f>IF((N1408-MAX(N$470:N1408))/MAX(N$470:N1408)&gt;W1407,W1407,(N1408-MAX(N$470:N1408))/MAX(N$470:N1408))</f>
        <v>-0.62788758315546067</v>
      </c>
      <c r="X1408" s="564">
        <f>IF((O1408-MAX(O$470:O1408))/MAX(O$470:O1408)&gt;X1407,X1407,(O1408-MAX(O$470:O1408))/MAX(O$470:O1408))</f>
        <v>-0.62788758315546067</v>
      </c>
    </row>
    <row r="1409" spans="1:24">
      <c r="A1409" s="799">
        <v>41811</v>
      </c>
      <c r="B1409">
        <v>591.76499999999999</v>
      </c>
      <c r="C1409">
        <v>207.51469399999999</v>
      </c>
      <c r="D1409">
        <v>1.7118599999999999</v>
      </c>
      <c r="E1409">
        <f>LN(D1409/参数实验室!$E$53)/参数实验室!$E$55</f>
        <v>-5.8755956716957332E-2</v>
      </c>
      <c r="F1409">
        <f t="shared" si="158"/>
        <v>0.35067077978589473</v>
      </c>
      <c r="G1409">
        <f>LN(F1409/参数实验室!$E$58)/参数实验室!$E$59</f>
        <v>-0.74052848393378012</v>
      </c>
      <c r="H1409" s="856">
        <f>INDEX(神经网络!$G$10:$BO$70,MATCH(ROUND(G1409*2,1)/2,神经网络!$E$10:$E$70,0),MATCH(ROUND(E1409*2,1)/2,神经网络!$G$8:$BO$8,0))</f>
        <v>-0.91560454467627084</v>
      </c>
      <c r="I1409">
        <f t="shared" si="160"/>
        <v>548.84184695145609</v>
      </c>
      <c r="J1409">
        <f t="shared" si="161"/>
        <v>236.12984318263429</v>
      </c>
      <c r="K1409">
        <f t="shared" si="162"/>
        <v>2.3243222438722206</v>
      </c>
      <c r="L1409" s="4">
        <f>MIN(MAX(L1408*(1+MAX(MIN(((B1409-B1408)/B1408)/($K$7*卓尔金历!$N$40),0),-卓尔金历!$M$43))+MIN(MAX(((B1409-B1408)/B1408)/($K$7*卓尔金历!$N$40),0),卓尔金历!$M$43),0),1)</f>
        <v>0.5153600702835629</v>
      </c>
      <c r="M1409" s="4">
        <f>MIN(MAX(M1408*(1+MAX(MIN(((B1409-B1408)/B1408)/($K$7*30),0),-卓尔金历!$M$43))+MIN(MAX(((B1409-B1408)/B1408)/($K$7*7),0),卓尔金历!$M$43),0),1)</f>
        <v>0.84926098065435951</v>
      </c>
      <c r="N1409">
        <f t="shared" si="163"/>
        <v>636.60596128387988</v>
      </c>
      <c r="O1409">
        <f t="shared" si="164"/>
        <v>1353.4160242570017</v>
      </c>
      <c r="P1409">
        <f t="shared" si="165"/>
        <v>3.9461250443218413E-3</v>
      </c>
      <c r="Q1409">
        <f t="shared" si="166"/>
        <v>3.2242922593994264E-2</v>
      </c>
      <c r="R1409">
        <f t="shared" si="167"/>
        <v>1</v>
      </c>
      <c r="S1409">
        <f t="shared" si="159"/>
        <v>12.566878607407011</v>
      </c>
      <c r="T1409" s="564">
        <f>IF((I1409-MAX(I$470:I1409))/MAX(I$470:I1409)&gt;T1408,T1408,(I1409-MAX(I$470:I1409))/MAX(I$470:I1409))</f>
        <v>-0.91338805338419748</v>
      </c>
      <c r="U1409" s="564">
        <f>IF((J1409-MAX(J$470:J1409))/MAX(J$470:J1409)&gt;U1408,U1408,(J1409-MAX(J$470:J1409))/MAX(J$470:J1409))</f>
        <v>-0.70517826086956548</v>
      </c>
      <c r="V1409" s="564">
        <f>IF((K1409-MAX(K$470:K1409))/MAX(K$470:K1409)&gt;V1408,V1408,(K1409-MAX(K$470:K1409))/MAX(K$470:K1409))</f>
        <v>-0.84885940676762139</v>
      </c>
      <c r="W1409" s="564">
        <f>IF((N1409-MAX(N$470:N1409))/MAX(N$470:N1409)&gt;W1408,W1408,(N1409-MAX(N$470:N1409))/MAX(N$470:N1409))</f>
        <v>-0.62788758315546067</v>
      </c>
      <c r="X1409" s="564">
        <f>IF((O1409-MAX(O$470:O1409))/MAX(O$470:O1409)&gt;X1408,X1408,(O1409-MAX(O$470:O1409))/MAX(O$470:O1409))</f>
        <v>-0.62788758315546067</v>
      </c>
    </row>
    <row r="1410" spans="1:24">
      <c r="A1410" s="799">
        <v>41812</v>
      </c>
      <c r="B1410">
        <v>604.54100000000005</v>
      </c>
      <c r="C1410">
        <v>205.871658</v>
      </c>
      <c r="D1410">
        <v>1.7307269999999999</v>
      </c>
      <c r="E1410">
        <f>LN(D1410/参数实验室!$E$53)/参数实验室!$E$55</f>
        <v>-4.5824619146705325E-2</v>
      </c>
      <c r="F1410">
        <f t="shared" si="158"/>
        <v>0.34054209391918822</v>
      </c>
      <c r="G1410">
        <f>LN(F1410/参数实验室!$E$58)/参数实验室!$E$59</f>
        <v>-0.75591147947113835</v>
      </c>
      <c r="H1410" s="856">
        <f>INDEX(神经网络!$G$10:$BO$70,MATCH(ROUND(G1410*2,1)/2,神经网络!$E$10:$E$70,0),MATCH(ROUND(E1410*2,1)/2,神经网络!$G$8:$BO$8,0))</f>
        <v>-0.91560454467627084</v>
      </c>
      <c r="I1410">
        <f t="shared" si="160"/>
        <v>537.99257027256488</v>
      </c>
      <c r="J1410">
        <f t="shared" si="161"/>
        <v>241.22780415785479</v>
      </c>
      <c r="K1410">
        <f t="shared" si="162"/>
        <v>2.2302262052699073</v>
      </c>
      <c r="L1410" s="4">
        <f>MIN(MAX(L1409*(1+MAX(MIN(((B1410-B1409)/B1409)/($K$7*卓尔金历!$N$40),0),-卓尔金历!$M$43))+MIN(MAX(((B1410-B1409)/B1409)/($K$7*卓尔金历!$N$40),0),卓尔金历!$M$43),0),1)</f>
        <v>0.84522922406920675</v>
      </c>
      <c r="M1410" s="4">
        <f>MIN(MAX(M1409*(1+MAX(MIN(((B1410-B1409)/B1409)/($K$7*30),0),-卓尔金历!$M$43))+MIN(MAX(((B1410-B1409)/B1409)/($K$7*7),0),卓尔金历!$M$43),0),1)</f>
        <v>1</v>
      </c>
      <c r="N1410">
        <f t="shared" si="163"/>
        <v>630.12058714530792</v>
      </c>
      <c r="O1410">
        <f t="shared" si="164"/>
        <v>1330.6950969289517</v>
      </c>
      <c r="P1410">
        <f t="shared" si="165"/>
        <v>2.1589651297390124E-2</v>
      </c>
      <c r="Q1410">
        <f t="shared" si="166"/>
        <v>3.0544838471640523E-2</v>
      </c>
      <c r="R1410">
        <f t="shared" si="167"/>
        <v>0.39041224885613496</v>
      </c>
      <c r="S1410">
        <f t="shared" si="159"/>
        <v>12.318461793421148</v>
      </c>
      <c r="T1410" s="564">
        <f>IF((I1410-MAX(I$470:I1410))/MAX(I$470:I1410)&gt;T1409,T1409,(I1410-MAX(I$470:I1410))/MAX(I$470:I1410))</f>
        <v>-0.91338805338419748</v>
      </c>
      <c r="U1410" s="564">
        <f>IF((J1410-MAX(J$470:J1410))/MAX(J$470:J1410)&gt;U1409,U1409,(J1410-MAX(J$470:J1410))/MAX(J$470:J1410))</f>
        <v>-0.70517826086956548</v>
      </c>
      <c r="V1410" s="564">
        <f>IF((K1410-MAX(K$470:K1410))/MAX(K$470:K1410)&gt;V1409,V1409,(K1410-MAX(K$470:K1410))/MAX(K$470:K1410))</f>
        <v>-0.84885940676762139</v>
      </c>
      <c r="W1410" s="564">
        <f>IF((N1410-MAX(N$470:N1410))/MAX(N$470:N1410)&gt;W1409,W1409,(N1410-MAX(N$470:N1410))/MAX(N$470:N1410))</f>
        <v>-0.62788758315546067</v>
      </c>
      <c r="X1410" s="564">
        <f>IF((O1410-MAX(O$470:O1410))/MAX(O$470:O1410)&gt;X1409,X1409,(O1410-MAX(O$470:O1410))/MAX(O$470:O1410))</f>
        <v>-0.62788758315546067</v>
      </c>
    </row>
    <row r="1411" spans="1:24">
      <c r="A1411" s="799">
        <v>41813</v>
      </c>
      <c r="B1411">
        <v>593.67100000000005</v>
      </c>
      <c r="C1411">
        <v>203.38281799999999</v>
      </c>
      <c r="D1411">
        <v>1.7003379999999999</v>
      </c>
      <c r="E1411">
        <f>LN(D1411/参数实验室!$E$53)/参数实验室!$E$55</f>
        <v>-6.6723354002256804E-2</v>
      </c>
      <c r="F1411">
        <f t="shared" si="158"/>
        <v>0.34258506479177858</v>
      </c>
      <c r="G1411">
        <f>LN(F1411/参数实验室!$E$58)/参数实验室!$E$59</f>
        <v>-0.7527721965267774</v>
      </c>
      <c r="H1411" s="856">
        <f>INDEX(神经网络!$G$10:$BO$70,MATCH(ROUND(G1411*2,1)/2,神经网络!$E$10:$E$70,0),MATCH(ROUND(E1411*2,1)/2,神经网络!$G$8:$BO$8,0))</f>
        <v>-0.91560454467627084</v>
      </c>
      <c r="I1411">
        <f t="shared" si="160"/>
        <v>546.8495979485624</v>
      </c>
      <c r="J1411">
        <f t="shared" si="161"/>
        <v>236.8903874546107</v>
      </c>
      <c r="K1411">
        <f t="shared" si="162"/>
        <v>2.3084499283591291</v>
      </c>
      <c r="L1411" s="4">
        <f>MIN(MAX(L1410*(1+MAX(MIN(((B1411-B1410)/B1410)/($K$7*卓尔金历!$N$40),0),-卓尔金历!$M$43))+MIN(MAX(((B1411-B1410)/B1410)/($K$7*卓尔金历!$N$40),0),卓尔金历!$M$43),0),1)</f>
        <v>0.61302272702315852</v>
      </c>
      <c r="M1411" s="4">
        <f>MIN(MAX(M1410*(1+MAX(MIN(((B1411-B1410)/B1410)/($K$7*30),0),-卓尔金历!$M$43))+MIN(MAX(((B1411-B1410)/B1410)/($K$7*7),0),卓尔金历!$M$43),0),1)</f>
        <v>0.86263696850889093</v>
      </c>
      <c r="N1411">
        <f t="shared" si="163"/>
        <v>638.88877603745914</v>
      </c>
      <c r="O1411">
        <f t="shared" si="164"/>
        <v>1352.6024688018435</v>
      </c>
      <c r="P1411">
        <f t="shared" si="165"/>
        <v>-1.7980583616330412E-2</v>
      </c>
      <c r="Q1411">
        <f t="shared" si="166"/>
        <v>2.9680796011907744E-2</v>
      </c>
      <c r="R1411">
        <f t="shared" si="167"/>
        <v>0.54706189827304086</v>
      </c>
      <c r="S1411">
        <f t="shared" si="159"/>
        <v>12.397637443772366</v>
      </c>
      <c r="T1411" s="564">
        <f>IF((I1411-MAX(I$470:I1411))/MAX(I$470:I1411)&gt;T1410,T1410,(I1411-MAX(I$470:I1411))/MAX(I$470:I1411))</f>
        <v>-0.91338805338419748</v>
      </c>
      <c r="U1411" s="564">
        <f>IF((J1411-MAX(J$470:J1411))/MAX(J$470:J1411)&gt;U1410,U1410,(J1411-MAX(J$470:J1411))/MAX(J$470:J1411))</f>
        <v>-0.70517826086956548</v>
      </c>
      <c r="V1411" s="564">
        <f>IF((K1411-MAX(K$470:K1411))/MAX(K$470:K1411)&gt;V1410,V1410,(K1411-MAX(K$470:K1411))/MAX(K$470:K1411))</f>
        <v>-0.84885940676762139</v>
      </c>
      <c r="W1411" s="564">
        <f>IF((N1411-MAX(N$470:N1411))/MAX(N$470:N1411)&gt;W1410,W1410,(N1411-MAX(N$470:N1411))/MAX(N$470:N1411))</f>
        <v>-0.62788758315546067</v>
      </c>
      <c r="X1411" s="564">
        <f>IF((O1411-MAX(O$470:O1411))/MAX(O$470:O1411)&gt;X1410,X1410,(O1411-MAX(O$470:O1411))/MAX(O$470:O1411))</f>
        <v>-0.62788758315546067</v>
      </c>
    </row>
    <row r="1412" spans="1:24">
      <c r="A1412" s="799">
        <v>41814</v>
      </c>
      <c r="B1412">
        <v>594.26700000000005</v>
      </c>
      <c r="C1412">
        <v>200.35006100000001</v>
      </c>
      <c r="D1412">
        <v>1.6716629999999999</v>
      </c>
      <c r="E1412">
        <f>LN(D1412/参数实验室!$E$53)/参数实验室!$E$55</f>
        <v>-8.6788733443324564E-2</v>
      </c>
      <c r="F1412">
        <f t="shared" si="158"/>
        <v>0.33713812309954949</v>
      </c>
      <c r="G1412">
        <f>LN(F1412/参数实验室!$E$58)/参数实验室!$E$59</f>
        <v>-0.76118418133832833</v>
      </c>
      <c r="H1412" s="856">
        <f>INDEX(神经网络!$G$10:$BO$70,MATCH(ROUND(G1412*2,1)/2,神经网络!$E$10:$E$70,0),MATCH(ROUND(E1412*2,1)/2,神经网络!$G$8:$BO$8,0))</f>
        <v>-0.93573986365083472</v>
      </c>
      <c r="I1412">
        <f t="shared" si="160"/>
        <v>546.34693570908451</v>
      </c>
      <c r="J1412">
        <f t="shared" si="161"/>
        <v>237.12820717449421</v>
      </c>
      <c r="K1412">
        <f t="shared" si="162"/>
        <v>2.3040149555343588</v>
      </c>
      <c r="L1412" s="4">
        <f>MIN(MAX(L1411*(1+MAX(MIN(((B1412-B1411)/B1411)/($K$7*卓尔金历!$N$40),0),-卓尔金历!$M$43))+MIN(MAX(((B1412-B1411)/B1411)/($K$7*卓尔金历!$N$40),0),卓尔金历!$M$43),0),1)</f>
        <v>0.6283617078081144</v>
      </c>
      <c r="M1412" s="4">
        <f>MIN(MAX(M1411*(1+MAX(MIN(((B1412-B1411)/B1411)/($K$7*30),0),-卓尔金历!$M$43))+MIN(MAX(((B1412-B1411)/B1411)/($K$7*7),0),卓尔金历!$M$43),0),1)</f>
        <v>0.8955062130480822</v>
      </c>
      <c r="N1412">
        <f t="shared" si="163"/>
        <v>638.52876965618577</v>
      </c>
      <c r="O1412">
        <f t="shared" si="164"/>
        <v>1351.5299458213153</v>
      </c>
      <c r="P1412">
        <f t="shared" si="165"/>
        <v>1.003923048287694E-3</v>
      </c>
      <c r="Q1412">
        <f t="shared" si="166"/>
        <v>2.6896417383438637E-2</v>
      </c>
      <c r="R1412">
        <f t="shared" si="167"/>
        <v>1</v>
      </c>
      <c r="S1412">
        <f t="shared" si="159"/>
        <v>12.391403200224804</v>
      </c>
      <c r="T1412" s="564">
        <f>IF((I1412-MAX(I$470:I1412))/MAX(I$470:I1412)&gt;T1411,T1411,(I1412-MAX(I$470:I1412))/MAX(I$470:I1412))</f>
        <v>-0.91338805338419748</v>
      </c>
      <c r="U1412" s="564">
        <f>IF((J1412-MAX(J$470:J1412))/MAX(J$470:J1412)&gt;U1411,U1411,(J1412-MAX(J$470:J1412))/MAX(J$470:J1412))</f>
        <v>-0.70517826086956548</v>
      </c>
      <c r="V1412" s="564">
        <f>IF((K1412-MAX(K$470:K1412))/MAX(K$470:K1412)&gt;V1411,V1411,(K1412-MAX(K$470:K1412))/MAX(K$470:K1412))</f>
        <v>-0.84885940676762139</v>
      </c>
      <c r="W1412" s="564">
        <f>IF((N1412-MAX(N$470:N1412))/MAX(N$470:N1412)&gt;W1411,W1411,(N1412-MAX(N$470:N1412))/MAX(N$470:N1412))</f>
        <v>-0.62788758315546067</v>
      </c>
      <c r="X1412" s="564">
        <f>IF((O1412-MAX(O$470:O1412))/MAX(O$470:O1412)&gt;X1411,X1411,(O1412-MAX(O$470:O1412))/MAX(O$470:O1412))</f>
        <v>-0.62788758315546067</v>
      </c>
    </row>
    <row r="1413" spans="1:24">
      <c r="A1413" s="799">
        <v>41815</v>
      </c>
      <c r="B1413">
        <v>571.57100000000003</v>
      </c>
      <c r="C1413">
        <v>197.14354499999999</v>
      </c>
      <c r="D1413">
        <v>1.620933</v>
      </c>
      <c r="E1413">
        <f>LN(D1413/参数实验室!$E$53)/参数实验室!$E$55</f>
        <v>-0.1231452244788613</v>
      </c>
      <c r="F1413">
        <f t="shared" ref="F1413:F1476" si="168">C1413/B1413</f>
        <v>0.34491523362801818</v>
      </c>
      <c r="G1413">
        <f>LN(F1413/参数实验室!$E$58)/参数实验室!$E$59</f>
        <v>-0.74921437052812945</v>
      </c>
      <c r="H1413" s="856">
        <f>INDEX(神经网络!$G$10:$BO$70,MATCH(ROUND(G1413*2,1)/2,神经网络!$E$10:$E$70,0),MATCH(ROUND(E1413*2,1)/2,神经网络!$G$8:$BO$8,0))</f>
        <v>-0.93573986365083472</v>
      </c>
      <c r="I1413">
        <f t="shared" si="160"/>
        <v>565.87194959567478</v>
      </c>
      <c r="J1413">
        <f t="shared" si="161"/>
        <v>228.07190455289094</v>
      </c>
      <c r="K1413">
        <f t="shared" si="162"/>
        <v>2.4811120453657036</v>
      </c>
      <c r="L1413" s="4">
        <f>MIN(MAX(L1412*(1+MAX(MIN(((B1413-B1412)/B1412)/($K$7*卓尔金历!$N$40),0),-卓尔金历!$M$43))+MIN(MAX(((B1413-B1412)/B1412)/($K$7*卓尔金历!$N$40),0),卓尔金历!$M$43),0),1)</f>
        <v>0.26169329527189983</v>
      </c>
      <c r="M1413" s="4">
        <f>MIN(MAX(M1412*(1+MAX(MIN(((B1413-B1412)/B1412)/($K$7*30),0),-卓尔金历!$M$43))+MIN(MAX(((B1413-B1412)/B1412)/($K$7*7),0),卓尔金历!$M$43),0),1)</f>
        <v>0.63422848282161826</v>
      </c>
      <c r="N1413">
        <f t="shared" si="163"/>
        <v>652.86757671261262</v>
      </c>
      <c r="O1413">
        <f t="shared" si="164"/>
        <v>1394.783033537781</v>
      </c>
      <c r="P1413">
        <f t="shared" si="165"/>
        <v>-3.8191587283157274E-2</v>
      </c>
      <c r="Q1413">
        <f t="shared" si="166"/>
        <v>2.7423697773086453E-2</v>
      </c>
      <c r="R1413">
        <f t="shared" si="167"/>
        <v>1.7988115731710268E-2</v>
      </c>
      <c r="S1413">
        <f t="shared" si="159"/>
        <v>12.834239617426853</v>
      </c>
      <c r="T1413" s="564">
        <f>IF((I1413-MAX(I$470:I1413))/MAX(I$470:I1413)&gt;T1412,T1412,(I1413-MAX(I$470:I1413))/MAX(I$470:I1413))</f>
        <v>-0.91338805338419748</v>
      </c>
      <c r="U1413" s="564">
        <f>IF((J1413-MAX(J$470:J1413))/MAX(J$470:J1413)&gt;U1412,U1412,(J1413-MAX(J$470:J1413))/MAX(J$470:J1413))</f>
        <v>-0.70517826086956548</v>
      </c>
      <c r="V1413" s="564">
        <f>IF((K1413-MAX(K$470:K1413))/MAX(K$470:K1413)&gt;V1412,V1412,(K1413-MAX(K$470:K1413))/MAX(K$470:K1413))</f>
        <v>-0.84885940676762139</v>
      </c>
      <c r="W1413" s="564">
        <f>IF((N1413-MAX(N$470:N1413))/MAX(N$470:N1413)&gt;W1412,W1412,(N1413-MAX(N$470:N1413))/MAX(N$470:N1413))</f>
        <v>-0.62788758315546067</v>
      </c>
      <c r="X1413" s="564">
        <f>IF((O1413-MAX(O$470:O1413))/MAX(O$470:O1413)&gt;X1412,X1412,(O1413-MAX(O$470:O1413))/MAX(O$470:O1413))</f>
        <v>-0.62788758315546067</v>
      </c>
    </row>
    <row r="1414" spans="1:24">
      <c r="A1414" s="799">
        <v>41816</v>
      </c>
      <c r="B1414">
        <v>569.83600000000001</v>
      </c>
      <c r="C1414">
        <v>193.300951</v>
      </c>
      <c r="D1414">
        <v>1.6721969999999999</v>
      </c>
      <c r="E1414">
        <f>LN(D1414/参数实验室!$E$53)/参数实验室!$E$55</f>
        <v>-8.641193044461247E-2</v>
      </c>
      <c r="F1414">
        <f t="shared" si="168"/>
        <v>0.33922207617630334</v>
      </c>
      <c r="G1414">
        <f>LN(F1414/参数实验室!$E$58)/参数实验室!$E$59</f>
        <v>-0.75794988499651517</v>
      </c>
      <c r="H1414" s="856">
        <f>INDEX(神经网络!$G$10:$BO$70,MATCH(ROUND(G1414*2,1)/2,神经网络!$E$10:$E$70,0),MATCH(ROUND(E1414*2,1)/2,神经网络!$G$8:$BO$8,0))</f>
        <v>-0.93573986365083472</v>
      </c>
      <c r="I1414">
        <f t="shared" si="160"/>
        <v>567.47927049292639</v>
      </c>
      <c r="J1414">
        <f t="shared" si="161"/>
        <v>227.3795937911496</v>
      </c>
      <c r="K1414">
        <f t="shared" si="162"/>
        <v>2.4957352637992734</v>
      </c>
      <c r="L1414" s="4">
        <f>MIN(MAX(L1413*(1+MAX(MIN(((B1414-B1413)/B1413)/($K$7*卓尔金历!$N$40),0),-卓尔金历!$M$43))+MIN(MAX(((B1414-B1413)/B1413)/($K$7*卓尔金历!$N$40),0),卓尔金历!$M$43),0),1)</f>
        <v>0.2495561103819256</v>
      </c>
      <c r="M1414" s="4">
        <f>MIN(MAX(M1413*(1+MAX(MIN(((B1414-B1413)/B1413)/($K$7*30),0),-卓尔金历!$M$43))+MIN(MAX(((B1414-B1413)/B1413)/($K$7*7),0),卓尔金历!$M$43),0),1)</f>
        <v>0.61952090624710987</v>
      </c>
      <c r="N1414">
        <f t="shared" si="163"/>
        <v>653.35286758336292</v>
      </c>
      <c r="O1414">
        <f t="shared" si="164"/>
        <v>1397.2957114532485</v>
      </c>
      <c r="P1414">
        <f t="shared" si="165"/>
        <v>-3.0354934032692589E-3</v>
      </c>
      <c r="Q1414">
        <f t="shared" si="166"/>
        <v>2.7201630444197517E-2</v>
      </c>
      <c r="R1414">
        <f t="shared" si="167"/>
        <v>1</v>
      </c>
      <c r="S1414">
        <f t="shared" si="159"/>
        <v>12.834895370359014</v>
      </c>
      <c r="T1414" s="564">
        <f>IF((I1414-MAX(I$470:I1414))/MAX(I$470:I1414)&gt;T1413,T1413,(I1414-MAX(I$470:I1414))/MAX(I$470:I1414))</f>
        <v>-0.91338805338419748</v>
      </c>
      <c r="U1414" s="564">
        <f>IF((J1414-MAX(J$470:J1414))/MAX(J$470:J1414)&gt;U1413,U1413,(J1414-MAX(J$470:J1414))/MAX(J$470:J1414))</f>
        <v>-0.70517826086956548</v>
      </c>
      <c r="V1414" s="564">
        <f>IF((K1414-MAX(K$470:K1414))/MAX(K$470:K1414)&gt;V1413,V1413,(K1414-MAX(K$470:K1414))/MAX(K$470:K1414))</f>
        <v>-0.84885940676762139</v>
      </c>
      <c r="W1414" s="564">
        <f>IF((N1414-MAX(N$470:N1414))/MAX(N$470:N1414)&gt;W1413,W1413,(N1414-MAX(N$470:N1414))/MAX(N$470:N1414))</f>
        <v>-0.62788758315546067</v>
      </c>
      <c r="X1414" s="564">
        <f>IF((O1414-MAX(O$470:O1414))/MAX(O$470:O1414)&gt;X1413,X1413,(O1414-MAX(O$470:O1414))/MAX(O$470:O1414))</f>
        <v>-0.62788758315546067</v>
      </c>
    </row>
    <row r="1415" spans="1:24">
      <c r="A1415" s="799">
        <v>41817</v>
      </c>
      <c r="B1415">
        <v>573.29899999999998</v>
      </c>
      <c r="C1415">
        <v>190.37226899999999</v>
      </c>
      <c r="D1415">
        <v>1.7278020000000001</v>
      </c>
      <c r="E1415">
        <f>LN(D1415/参数实验室!$E$53)/参数实验室!$E$55</f>
        <v>-4.7820137508045042E-2</v>
      </c>
      <c r="F1415">
        <f t="shared" si="168"/>
        <v>0.33206454049283185</v>
      </c>
      <c r="G1415">
        <f>LN(F1415/参数实验室!$E$58)/参数实验室!$E$59</f>
        <v>-0.76914273115097043</v>
      </c>
      <c r="H1415" s="856">
        <f>INDEX(神经网络!$G$10:$BO$70,MATCH(ROUND(G1415*2,1)/2,神经网络!$E$10:$E$70,0),MATCH(ROUND(E1415*2,1)/2,神经网络!$G$8:$BO$8,0))</f>
        <v>-0.91560454467627084</v>
      </c>
      <c r="I1415">
        <f t="shared" si="160"/>
        <v>564.25220527924603</v>
      </c>
      <c r="J1415">
        <f t="shared" si="161"/>
        <v>228.76142213000279</v>
      </c>
      <c r="K1415">
        <f t="shared" si="162"/>
        <v>2.4665531453051872</v>
      </c>
      <c r="L1415" s="4">
        <f>MIN(MAX(L1414*(1+MAX(MIN(((B1415-B1414)/B1414)/($K$7*卓尔金历!$N$40),0),-卓尔金历!$M$43))+MIN(MAX(((B1415-B1414)/B1414)/($K$7*卓尔金历!$N$40),0),卓尔金历!$M$43),0),1)</f>
        <v>0.34240969774302688</v>
      </c>
      <c r="M1415" s="4">
        <f>MIN(MAX(M1414*(1+MAX(MIN(((B1415-B1414)/B1414)/($K$7*30),0),-卓尔金历!$M$43))+MIN(MAX(((B1415-B1414)/B1414)/($K$7*7),0),卓尔金历!$M$43),0),1)</f>
        <v>0.81849287916375546</v>
      </c>
      <c r="N1415">
        <f t="shared" si="163"/>
        <v>652.42566688576471</v>
      </c>
      <c r="O1415">
        <f t="shared" si="164"/>
        <v>1392.3730266070636</v>
      </c>
      <c r="P1415">
        <f t="shared" si="165"/>
        <v>6.0771871205047862E-3</v>
      </c>
      <c r="Q1415">
        <f t="shared" si="166"/>
        <v>2.6848194325316769E-2</v>
      </c>
      <c r="R1415">
        <f t="shared" si="167"/>
        <v>1</v>
      </c>
      <c r="S1415">
        <f t="shared" si="159"/>
        <v>12.76190760406592</v>
      </c>
      <c r="T1415" s="564">
        <f>IF((I1415-MAX(I$470:I1415))/MAX(I$470:I1415)&gt;T1414,T1414,(I1415-MAX(I$470:I1415))/MAX(I$470:I1415))</f>
        <v>-0.91338805338419748</v>
      </c>
      <c r="U1415" s="564">
        <f>IF((J1415-MAX(J$470:J1415))/MAX(J$470:J1415)&gt;U1414,U1414,(J1415-MAX(J$470:J1415))/MAX(J$470:J1415))</f>
        <v>-0.70517826086956548</v>
      </c>
      <c r="V1415" s="564">
        <f>IF((K1415-MAX(K$470:K1415))/MAX(K$470:K1415)&gt;V1414,V1414,(K1415-MAX(K$470:K1415))/MAX(K$470:K1415))</f>
        <v>-0.84885940676762139</v>
      </c>
      <c r="W1415" s="564">
        <f>IF((N1415-MAX(N$470:N1415))/MAX(N$470:N1415)&gt;W1414,W1414,(N1415-MAX(N$470:N1415))/MAX(N$470:N1415))</f>
        <v>-0.62788758315546067</v>
      </c>
      <c r="X1415" s="564">
        <f>IF((O1415-MAX(O$470:O1415))/MAX(O$470:O1415)&gt;X1414,X1414,(O1415-MAX(O$470:O1415))/MAX(O$470:O1415))</f>
        <v>-0.62788758315546067</v>
      </c>
    </row>
    <row r="1416" spans="1:24">
      <c r="A1416" s="799">
        <v>41818</v>
      </c>
      <c r="B1416">
        <v>584.92999999999995</v>
      </c>
      <c r="C1416">
        <v>186.069558</v>
      </c>
      <c r="D1416">
        <v>1.7091810000000001</v>
      </c>
      <c r="E1416">
        <f>LN(D1416/参数实验室!$E$53)/参数实验室!$E$55</f>
        <v>-6.0603674757553627E-2</v>
      </c>
      <c r="F1416">
        <f t="shared" si="168"/>
        <v>0.31810568444087328</v>
      </c>
      <c r="G1416">
        <f>LN(F1416/参数实验室!$E$58)/参数实验室!$E$59</f>
        <v>-0.79168294520586469</v>
      </c>
      <c r="H1416" s="856">
        <f>INDEX(神经网络!$G$10:$BO$70,MATCH(ROUND(G1416*2,1)/2,神经网络!$E$10:$E$70,0),MATCH(ROUND(E1416*2,1)/2,神经网络!$G$8:$BO$8,0))</f>
        <v>-0.95257482651477821</v>
      </c>
      <c r="I1416">
        <f t="shared" si="160"/>
        <v>553.77085883183042</v>
      </c>
      <c r="J1416">
        <f t="shared" si="161"/>
        <v>233.40249790511149</v>
      </c>
      <c r="K1416">
        <f t="shared" si="162"/>
        <v>2.3726003954634751</v>
      </c>
      <c r="L1416" s="4">
        <f>MIN(MAX(L1415*(1+MAX(MIN(((B1416-B1415)/B1415)/($K$7*卓尔金历!$N$40),0),-卓尔金历!$M$43))+MIN(MAX(((B1416-B1415)/B1415)/($K$7*卓尔金历!$N$40),0),卓尔金历!$M$43),0),1)</f>
        <v>0.65238846722328603</v>
      </c>
      <c r="M1416" s="4">
        <f>MIN(MAX(M1415*(1+MAX(MIN(((B1416-B1415)/B1415)/($K$7*30),0),-卓尔金历!$M$43))+MIN(MAX(((B1416-B1415)/B1415)/($K$7*7),0),卓尔金历!$M$43),0),1)</f>
        <v>1</v>
      </c>
      <c r="N1416">
        <f t="shared" si="163"/>
        <v>648.27592670856984</v>
      </c>
      <c r="O1416">
        <f t="shared" si="164"/>
        <v>1371.2033454019524</v>
      </c>
      <c r="P1416">
        <f t="shared" si="165"/>
        <v>2.0287842818494314E-2</v>
      </c>
      <c r="Q1416">
        <f t="shared" si="166"/>
        <v>2.7429250941425461E-2</v>
      </c>
      <c r="R1416">
        <f t="shared" si="167"/>
        <v>0.33653345786654726</v>
      </c>
      <c r="S1416">
        <f t="shared" si="159"/>
        <v>12.52484698883638</v>
      </c>
      <c r="T1416" s="564">
        <f>IF((I1416-MAX(I$470:I1416))/MAX(I$470:I1416)&gt;T1415,T1415,(I1416-MAX(I$470:I1416))/MAX(I$470:I1416))</f>
        <v>-0.91338805338419748</v>
      </c>
      <c r="U1416" s="564">
        <f>IF((J1416-MAX(J$470:J1416))/MAX(J$470:J1416)&gt;U1415,U1415,(J1416-MAX(J$470:J1416))/MAX(J$470:J1416))</f>
        <v>-0.70517826086956548</v>
      </c>
      <c r="V1416" s="564">
        <f>IF((K1416-MAX(K$470:K1416))/MAX(K$470:K1416)&gt;V1415,V1415,(K1416-MAX(K$470:K1416))/MAX(K$470:K1416))</f>
        <v>-0.84885940676762139</v>
      </c>
      <c r="W1416" s="564">
        <f>IF((N1416-MAX(N$470:N1416))/MAX(N$470:N1416)&gt;W1415,W1415,(N1416-MAX(N$470:N1416))/MAX(N$470:N1416))</f>
        <v>-0.62788758315546067</v>
      </c>
      <c r="X1416" s="564">
        <f>IF((O1416-MAX(O$470:O1416))/MAX(O$470:O1416)&gt;X1415,X1415,(O1416-MAX(O$470:O1416))/MAX(O$470:O1416))</f>
        <v>-0.62788758315546067</v>
      </c>
    </row>
    <row r="1417" spans="1:24">
      <c r="A1417" s="799">
        <v>41819</v>
      </c>
      <c r="B1417">
        <v>600.89099999999996</v>
      </c>
      <c r="C1417">
        <v>187.343075</v>
      </c>
      <c r="D1417">
        <v>1.724113</v>
      </c>
      <c r="E1417">
        <f>LN(D1417/参数实验室!$E$53)/参数实验室!$E$55</f>
        <v>-5.0341700972867429E-2</v>
      </c>
      <c r="F1417">
        <f t="shared" si="168"/>
        <v>0.31177547175777304</v>
      </c>
      <c r="G1417">
        <f>LN(F1417/参数实验室!$E$58)/参数实验室!$E$59</f>
        <v>-0.80223271177456079</v>
      </c>
      <c r="H1417" s="856">
        <f>INDEX(神经网络!$G$10:$BO$70,MATCH(ROUND(G1417*2,1)/2,神经网络!$E$10:$E$70,0),MATCH(ROUND(E1417*2,1)/2,神经网络!$G$8:$BO$8,0))</f>
        <v>-0.95257482651477821</v>
      </c>
      <c r="I1417">
        <f t="shared" si="160"/>
        <v>539.37672952152093</v>
      </c>
      <c r="J1417">
        <f t="shared" si="161"/>
        <v>239.77135788675625</v>
      </c>
      <c r="K1417">
        <f t="shared" si="162"/>
        <v>2.2495461270910764</v>
      </c>
      <c r="L1417" s="4">
        <f>MIN(MAX(L1416*(1+MAX(MIN(((B1417-B1416)/B1416)/($K$7*卓尔金历!$N$40),0),-卓尔金历!$M$43))+MIN(MAX(((B1417-B1416)/B1416)/($K$7*卓尔金历!$N$40),0),卓尔金历!$M$43),0),1)</f>
        <v>1</v>
      </c>
      <c r="M1417" s="4">
        <f>MIN(MAX(M1416*(1+MAX(MIN(((B1417-B1416)/B1416)/($K$7*30),0),-卓尔金历!$M$43))+MIN(MAX(((B1417-B1416)/B1416)/($K$7*7),0),卓尔金历!$M$43),0),1)</f>
        <v>1</v>
      </c>
      <c r="N1417">
        <f t="shared" si="163"/>
        <v>637.28279398056918</v>
      </c>
      <c r="O1417">
        <f t="shared" si="164"/>
        <v>1335.5617475286372</v>
      </c>
      <c r="P1417">
        <f t="shared" si="165"/>
        <v>2.7287025797958754E-2</v>
      </c>
      <c r="Q1417">
        <f t="shared" si="166"/>
        <v>2.8170655988428595E-2</v>
      </c>
      <c r="R1417">
        <f t="shared" si="167"/>
        <v>6.0172932792107663E-2</v>
      </c>
      <c r="S1417">
        <f t="shared" si="159"/>
        <v>12.415285991078886</v>
      </c>
      <c r="T1417" s="564">
        <f>IF((I1417-MAX(I$470:I1417))/MAX(I$470:I1417)&gt;T1416,T1416,(I1417-MAX(I$470:I1417))/MAX(I$470:I1417))</f>
        <v>-0.91338805338419748</v>
      </c>
      <c r="U1417" s="564">
        <f>IF((J1417-MAX(J$470:J1417))/MAX(J$470:J1417)&gt;U1416,U1416,(J1417-MAX(J$470:J1417))/MAX(J$470:J1417))</f>
        <v>-0.70517826086956548</v>
      </c>
      <c r="V1417" s="564">
        <f>IF((K1417-MAX(K$470:K1417))/MAX(K$470:K1417)&gt;V1416,V1416,(K1417-MAX(K$470:K1417))/MAX(K$470:K1417))</f>
        <v>-0.84885940676762139</v>
      </c>
      <c r="W1417" s="564">
        <f>IF((N1417-MAX(N$470:N1417))/MAX(N$470:N1417)&gt;W1416,W1416,(N1417-MAX(N$470:N1417))/MAX(N$470:N1417))</f>
        <v>-0.62788758315546067</v>
      </c>
      <c r="X1417" s="564">
        <f>IF((O1417-MAX(O$470:O1417))/MAX(O$470:O1417)&gt;X1416,X1416,(O1417-MAX(O$470:O1417))/MAX(O$470:O1417))</f>
        <v>-0.62788758315546067</v>
      </c>
    </row>
    <row r="1418" spans="1:24">
      <c r="A1418" s="799">
        <v>41820</v>
      </c>
      <c r="B1418">
        <v>626.49400000000003</v>
      </c>
      <c r="C1418">
        <v>189.150914</v>
      </c>
      <c r="D1418">
        <v>1.8293839999999999</v>
      </c>
      <c r="E1418">
        <f>LN(D1418/参数实验室!$E$53)/参数实验室!$E$55</f>
        <v>1.957824237738159E-2</v>
      </c>
      <c r="F1418">
        <f t="shared" si="168"/>
        <v>0.30191975342142141</v>
      </c>
      <c r="G1418">
        <f>LN(F1418/参数实验室!$E$58)/参数实验室!$E$59</f>
        <v>-0.81909208490518992</v>
      </c>
      <c r="H1418" s="856">
        <f>INDEX(神经网络!$G$10:$BO$70,MATCH(ROUND(G1418*2,1)/2,神经网络!$E$10:$E$70,0),MATCH(ROUND(E1418*2,1)/2,神经网络!$G$8:$BO$8,0))</f>
        <v>-0.93565819066407163</v>
      </c>
      <c r="I1418">
        <f t="shared" si="160"/>
        <v>517.48467793385271</v>
      </c>
      <c r="J1418">
        <f t="shared" si="161"/>
        <v>249.98763018235502</v>
      </c>
      <c r="K1418">
        <f t="shared" si="162"/>
        <v>2.0700411358608837</v>
      </c>
      <c r="L1418" s="4">
        <f>MIN(MAX(L1417*(1+MAX(MIN(((B1418-B1417)/B1417)/($K$7*卓尔金历!$N$40),0),-卓尔金历!$M$43))+MIN(MAX(((B1418-B1417)/B1417)/($K$7*卓尔金历!$N$40),0),卓尔金历!$M$43),0),1)</f>
        <v>1</v>
      </c>
      <c r="M1418" s="4">
        <f>MIN(MAX(M1417*(1+MAX(MIN(((B1418-B1417)/B1417)/($K$7*30),0),-卓尔金历!$M$43))+MIN(MAX(((B1418-B1417)/B1417)/($K$7*7),0),卓尔金历!$M$43),0),1)</f>
        <v>1</v>
      </c>
      <c r="N1418">
        <f t="shared" si="163"/>
        <v>611.41696210804446</v>
      </c>
      <c r="O1418">
        <f t="shared" si="164"/>
        <v>1281.3543910092887</v>
      </c>
      <c r="P1418">
        <f t="shared" si="165"/>
        <v>4.2608393202760678E-2</v>
      </c>
      <c r="Q1418">
        <f t="shared" si="166"/>
        <v>2.97058055041644E-2</v>
      </c>
      <c r="R1418">
        <f t="shared" si="167"/>
        <v>1.8009253621543285E-2</v>
      </c>
      <c r="S1418">
        <f t="shared" si="159"/>
        <v>12.384964387562011</v>
      </c>
      <c r="T1418" s="564">
        <f>IF((I1418-MAX(I$470:I1418))/MAX(I$470:I1418)&gt;T1417,T1417,(I1418-MAX(I$470:I1418))/MAX(I$470:I1418))</f>
        <v>-0.91338805338419748</v>
      </c>
      <c r="U1418" s="564">
        <f>IF((J1418-MAX(J$470:J1418))/MAX(J$470:J1418)&gt;U1417,U1417,(J1418-MAX(J$470:J1418))/MAX(J$470:J1418))</f>
        <v>-0.70517826086956548</v>
      </c>
      <c r="V1418" s="564">
        <f>IF((K1418-MAX(K$470:K1418))/MAX(K$470:K1418)&gt;V1417,V1417,(K1418-MAX(K$470:K1418))/MAX(K$470:K1418))</f>
        <v>-0.84885940676762139</v>
      </c>
      <c r="W1418" s="564">
        <f>IF((N1418-MAX(N$470:N1418))/MAX(N$470:N1418)&gt;W1417,W1417,(N1418-MAX(N$470:N1418))/MAX(N$470:N1418))</f>
        <v>-0.62788758315546067</v>
      </c>
      <c r="X1418" s="564">
        <f>IF((O1418-MAX(O$470:O1418))/MAX(O$470:O1418)&gt;X1417,X1417,(O1418-MAX(O$470:O1418))/MAX(O$470:O1418))</f>
        <v>-0.62788758315546067</v>
      </c>
    </row>
    <row r="1419" spans="1:24">
      <c r="A1419" s="799">
        <v>41821</v>
      </c>
      <c r="B1419">
        <v>654.41999999999996</v>
      </c>
      <c r="C1419">
        <v>194.04488499999999</v>
      </c>
      <c r="D1419">
        <v>1.8376189999999999</v>
      </c>
      <c r="E1419">
        <f>LN(D1419/参数实验室!$E$53)/参数实验室!$E$55</f>
        <v>2.4877002316283682E-2</v>
      </c>
      <c r="F1419">
        <f t="shared" si="168"/>
        <v>0.29651429510100547</v>
      </c>
      <c r="G1419">
        <f>LN(F1419/参数实验室!$E$58)/参数实验室!$E$59</f>
        <v>-0.82857401135370834</v>
      </c>
      <c r="H1419" s="856">
        <f>INDEX(神经网络!$G$10:$BO$70,MATCH(ROUND(G1419*2,1)/2,神经网络!$E$10:$E$70,0),MATCH(ROUND(E1419*2,1)/2,神经网络!$G$8:$BO$8,0))</f>
        <v>-0.97115853591160983</v>
      </c>
      <c r="I1419">
        <f t="shared" si="160"/>
        <v>495.90194003193562</v>
      </c>
      <c r="J1419">
        <f t="shared" si="161"/>
        <v>261.13084074857341</v>
      </c>
      <c r="K1419">
        <f t="shared" si="162"/>
        <v>1.8990554260475447</v>
      </c>
      <c r="L1419" s="4">
        <f>MIN(MAX(L1418*(1+MAX(MIN(((B1419-B1418)/B1418)/($K$7*卓尔金历!$N$40),0),-卓尔金历!$M$43))+MIN(MAX(((B1419-B1418)/B1418)/($K$7*卓尔金历!$N$40),0),卓尔金历!$M$43),0),1)</f>
        <v>1</v>
      </c>
      <c r="M1419" s="4">
        <f>MIN(MAX(M1418*(1+MAX(MIN(((B1419-B1418)/B1418)/($K$7*30),0),-卓尔金历!$M$43))+MIN(MAX(((B1419-B1418)/B1418)/($K$7*7),0),卓尔金历!$M$43),0),1)</f>
        <v>1</v>
      </c>
      <c r="N1419">
        <f t="shared" si="163"/>
        <v>585.91658962426038</v>
      </c>
      <c r="O1419">
        <f t="shared" si="164"/>
        <v>1227.9129324311489</v>
      </c>
      <c r="P1419">
        <f t="shared" si="165"/>
        <v>4.4575047805725083E-2</v>
      </c>
      <c r="Q1419">
        <f t="shared" si="166"/>
        <v>3.1069889358414048E-2</v>
      </c>
      <c r="R1419">
        <f t="shared" si="167"/>
        <v>1.8983938400127891E-2</v>
      </c>
      <c r="S1419">
        <f t="shared" si="159"/>
        <v>12.375661891010788</v>
      </c>
      <c r="T1419" s="564">
        <f>IF((I1419-MAX(I$470:I1419))/MAX(I$470:I1419)&gt;T1418,T1418,(I1419-MAX(I$470:I1419))/MAX(I$470:I1419))</f>
        <v>-0.91338805338419748</v>
      </c>
      <c r="U1419" s="564">
        <f>IF((J1419-MAX(J$470:J1419))/MAX(J$470:J1419)&gt;U1418,U1418,(J1419-MAX(J$470:J1419))/MAX(J$470:J1419))</f>
        <v>-0.70517826086956548</v>
      </c>
      <c r="V1419" s="564">
        <f>IF((K1419-MAX(K$470:K1419))/MAX(K$470:K1419)&gt;V1418,V1418,(K1419-MAX(K$470:K1419))/MAX(K$470:K1419))</f>
        <v>-0.84885940676762139</v>
      </c>
      <c r="W1419" s="564">
        <f>IF((N1419-MAX(N$470:N1419))/MAX(N$470:N1419)&gt;W1418,W1418,(N1419-MAX(N$470:N1419))/MAX(N$470:N1419))</f>
        <v>-0.62788758315546067</v>
      </c>
      <c r="X1419" s="564">
        <f>IF((O1419-MAX(O$470:O1419))/MAX(O$470:O1419)&gt;X1418,X1418,(O1419-MAX(O$470:O1419))/MAX(O$470:O1419))</f>
        <v>-0.62788758315546067</v>
      </c>
    </row>
    <row r="1420" spans="1:24">
      <c r="A1420" s="799">
        <v>41822</v>
      </c>
      <c r="B1420">
        <v>645.44399999999996</v>
      </c>
      <c r="C1420">
        <v>200.781136</v>
      </c>
      <c r="D1420">
        <v>1.8556509999999999</v>
      </c>
      <c r="E1420">
        <f>LN(D1420/参数实验室!$E$53)/参数实验室!$E$55</f>
        <v>3.6397134629296751E-2</v>
      </c>
      <c r="F1420">
        <f t="shared" si="168"/>
        <v>0.31107444797689654</v>
      </c>
      <c r="G1420">
        <f>LN(F1420/参数实验室!$E$58)/参数实验室!$E$59</f>
        <v>-0.80341416916708841</v>
      </c>
      <c r="H1420" s="856">
        <f>INDEX(神经网络!$G$10:$BO$70,MATCH(ROUND(G1420*2,1)/2,神经网络!$E$10:$E$70,0),MATCH(ROUND(E1420*2,1)/2,神经网络!$G$8:$BO$8,0))</f>
        <v>-0.91536796704343837</v>
      </c>
      <c r="I1420">
        <f t="shared" si="160"/>
        <v>502.50753923838613</v>
      </c>
      <c r="J1420">
        <f t="shared" si="161"/>
        <v>257.54918000079795</v>
      </c>
      <c r="K1420">
        <f t="shared" si="162"/>
        <v>1.9511129456394667</v>
      </c>
      <c r="L1420" s="4">
        <f>MIN(MAX(L1419*(1+MAX(MIN(((B1420-B1419)/B1419)/($K$7*卓尔金历!$N$40),0),-卓尔金历!$M$43))+MIN(MAX(((B1420-B1419)/B1419)/($K$7*卓尔金历!$N$40),0),卓尔金历!$M$43),0),1)</f>
        <v>0.79043325940960396</v>
      </c>
      <c r="M1420" s="4">
        <f>MIN(MAX(M1419*(1+MAX(MIN(((B1420-B1419)/B1419)/($K$7*30),0),-卓尔金历!$M$43))+MIN(MAX(((B1420-B1419)/B1419)/($K$7*7),0),卓尔金历!$M$43),0),1)</f>
        <v>0.89521662970480198</v>
      </c>
      <c r="N1420">
        <f t="shared" si="163"/>
        <v>593.72121761022663</v>
      </c>
      <c r="O1420">
        <f t="shared" si="164"/>
        <v>1244.2691916777555</v>
      </c>
      <c r="P1420">
        <f t="shared" si="165"/>
        <v>-1.3715962226093333E-2</v>
      </c>
      <c r="Q1420">
        <f t="shared" si="166"/>
        <v>3.1106066725005353E-2</v>
      </c>
      <c r="R1420">
        <f t="shared" si="167"/>
        <v>0.87535382917720894</v>
      </c>
      <c r="S1420">
        <f t="shared" si="159"/>
        <v>12.378791363685485</v>
      </c>
      <c r="T1420" s="564">
        <f>IF((I1420-MAX(I$470:I1420))/MAX(I$470:I1420)&gt;T1419,T1419,(I1420-MAX(I$470:I1420))/MAX(I$470:I1420))</f>
        <v>-0.91338805338419748</v>
      </c>
      <c r="U1420" s="564">
        <f>IF((J1420-MAX(J$470:J1420))/MAX(J$470:J1420)&gt;U1419,U1419,(J1420-MAX(J$470:J1420))/MAX(J$470:J1420))</f>
        <v>-0.70517826086956548</v>
      </c>
      <c r="V1420" s="564">
        <f>IF((K1420-MAX(K$470:K1420))/MAX(K$470:K1420)&gt;V1419,V1419,(K1420-MAX(K$470:K1420))/MAX(K$470:K1420))</f>
        <v>-0.84885940676762139</v>
      </c>
      <c r="W1420" s="564">
        <f>IF((N1420-MAX(N$470:N1420))/MAX(N$470:N1420)&gt;W1419,W1419,(N1420-MAX(N$470:N1420))/MAX(N$470:N1420))</f>
        <v>-0.62788758315546067</v>
      </c>
      <c r="X1420" s="564">
        <f>IF((O1420-MAX(O$470:O1420))/MAX(O$470:O1420)&gt;X1419,X1419,(O1420-MAX(O$470:O1420))/MAX(O$470:O1420))</f>
        <v>-0.62788758315546067</v>
      </c>
    </row>
    <row r="1421" spans="1:24">
      <c r="A1421" s="799">
        <v>41823</v>
      </c>
      <c r="B1421">
        <v>643.64499999999998</v>
      </c>
      <c r="C1421">
        <v>205.71144100000001</v>
      </c>
      <c r="D1421">
        <v>1.8385499999999999</v>
      </c>
      <c r="E1421">
        <f>LN(D1421/参数实验室!$E$53)/参数实验室!$E$55</f>
        <v>2.5474553894364014E-2</v>
      </c>
      <c r="F1421">
        <f t="shared" si="168"/>
        <v>0.31960388257502198</v>
      </c>
      <c r="G1421">
        <f>LN(F1421/参数实验室!$E$58)/参数实验室!$E$59</f>
        <v>-0.78921681693862855</v>
      </c>
      <c r="H1421" s="856">
        <f>INDEX(神经网络!$G$10:$BO$70,MATCH(ROUND(G1421*2,1)/2,神经网络!$E$10:$E$70,0),MATCH(ROUND(E1421*2,1)/2,神经网络!$G$8:$BO$8,0))</f>
        <v>-0.91536796704343837</v>
      </c>
      <c r="I1421">
        <f t="shared" si="160"/>
        <v>503.78960672837025</v>
      </c>
      <c r="J1421">
        <f t="shared" si="161"/>
        <v>256.83133155101541</v>
      </c>
      <c r="K1421">
        <f t="shared" si="162"/>
        <v>1.9615582089847186</v>
      </c>
      <c r="L1421" s="4">
        <f>MIN(MAX(L1420*(1+MAX(MIN(((B1421-B1420)/B1420)/($K$7*卓尔金历!$N$40),0),-卓尔金历!$M$43))+MIN(MAX(((B1421-B1420)/B1420)/($K$7*卓尔金历!$N$40),0),卓尔金历!$M$43),0),1)</f>
        <v>0.75677172724659736</v>
      </c>
      <c r="M1421" s="4">
        <f>MIN(MAX(M1420*(1+MAX(MIN(((B1421-B1420)/B1420)/($K$7*30),0),-卓尔金历!$M$43))+MIN(MAX(((B1421-B1420)/B1420)/($K$7*7),0),卓尔金历!$M$43),0),1)</f>
        <v>0.87615470194876677</v>
      </c>
      <c r="N1421">
        <f t="shared" si="163"/>
        <v>594.91855372221823</v>
      </c>
      <c r="O1421">
        <f t="shared" si="164"/>
        <v>1247.1111047841734</v>
      </c>
      <c r="P1421">
        <f t="shared" si="165"/>
        <v>-2.7872286364114909E-3</v>
      </c>
      <c r="Q1421">
        <f t="shared" si="166"/>
        <v>3.0762510253766018E-2</v>
      </c>
      <c r="R1421">
        <f t="shared" si="167"/>
        <v>1</v>
      </c>
      <c r="S1421">
        <f t="shared" si="159"/>
        <v>12.406437228808205</v>
      </c>
      <c r="T1421" s="564">
        <f>IF((I1421-MAX(I$470:I1421))/MAX(I$470:I1421)&gt;T1420,T1420,(I1421-MAX(I$470:I1421))/MAX(I$470:I1421))</f>
        <v>-0.91338805338419748</v>
      </c>
      <c r="U1421" s="564">
        <f>IF((J1421-MAX(J$470:J1421))/MAX(J$470:J1421)&gt;U1420,U1420,(J1421-MAX(J$470:J1421))/MAX(J$470:J1421))</f>
        <v>-0.70517826086956548</v>
      </c>
      <c r="V1421" s="564">
        <f>IF((K1421-MAX(K$470:K1421))/MAX(K$470:K1421)&gt;V1420,V1420,(K1421-MAX(K$470:K1421))/MAX(K$470:K1421))</f>
        <v>-0.84885940676762139</v>
      </c>
      <c r="W1421" s="564">
        <f>IF((N1421-MAX(N$470:N1421))/MAX(N$470:N1421)&gt;W1420,W1420,(N1421-MAX(N$470:N1421))/MAX(N$470:N1421))</f>
        <v>-0.62788758315546067</v>
      </c>
      <c r="X1421" s="564">
        <f>IF((O1421-MAX(O$470:O1421))/MAX(O$470:O1421)&gt;X1420,X1420,(O1421-MAX(O$470:O1421))/MAX(O$470:O1421))</f>
        <v>-0.62788758315546067</v>
      </c>
    </row>
    <row r="1422" spans="1:24">
      <c r="A1422" s="799">
        <v>41824</v>
      </c>
      <c r="B1422">
        <v>645.17999999999995</v>
      </c>
      <c r="C1422">
        <v>207.796255</v>
      </c>
      <c r="D1422">
        <v>1.7927070000000001</v>
      </c>
      <c r="E1422">
        <f>LN(D1422/参数实验室!$E$53)/参数实验室!$E$55</f>
        <v>-4.3147457883524754E-3</v>
      </c>
      <c r="F1422">
        <f t="shared" si="168"/>
        <v>0.32207485507920275</v>
      </c>
      <c r="G1422">
        <f>LN(F1422/参数实验室!$E$58)/参数实验室!$E$59</f>
        <v>-0.78517458756892933</v>
      </c>
      <c r="H1422" s="856">
        <f>INDEX(神经网络!$G$10:$BO$70,MATCH(ROUND(G1422*2,1)/2,神经网络!$E$10:$E$70,0),MATCH(ROUND(E1422*2,1)/2,神经网络!$G$8:$BO$8,0))</f>
        <v>-0.93565819066407163</v>
      </c>
      <c r="I1422">
        <f t="shared" si="160"/>
        <v>502.68982400252395</v>
      </c>
      <c r="J1422">
        <f t="shared" si="161"/>
        <v>257.44383703762804</v>
      </c>
      <c r="K1422">
        <f t="shared" si="162"/>
        <v>1.9526193743338696</v>
      </c>
      <c r="L1422" s="4">
        <f>MIN(MAX(L1421*(1+MAX(MIN(((B1422-B1421)/B1421)/($K$7*卓尔金历!$N$40),0),-卓尔金历!$M$43))+MIN(MAX(((B1422-B1421)/B1421)/($K$7*卓尔金历!$N$40),0),卓尔金历!$M$43),0),1)</f>
        <v>0.79321002315613409</v>
      </c>
      <c r="M1422" s="4">
        <f>MIN(MAX(M1421*(1+MAX(MIN(((B1422-B1421)/B1421)/($K$7*30),0),-卓尔金历!$M$43))+MIN(MAX(((B1422-B1421)/B1421)/($K$7*7),0),卓尔金历!$M$43),0),1)</f>
        <v>0.95423676461205964</v>
      </c>
      <c r="N1422">
        <f t="shared" si="163"/>
        <v>593.93571987973644</v>
      </c>
      <c r="O1422">
        <f t="shared" si="164"/>
        <v>1244.7258013542826</v>
      </c>
      <c r="P1422">
        <f t="shared" si="165"/>
        <v>2.3848550054765718E-3</v>
      </c>
      <c r="Q1422">
        <f t="shared" si="166"/>
        <v>2.9343616447458584E-2</v>
      </c>
      <c r="R1422">
        <f t="shared" si="167"/>
        <v>1</v>
      </c>
      <c r="S1422">
        <f t="shared" si="159"/>
        <v>12.379353729721856</v>
      </c>
      <c r="T1422" s="564">
        <f>IF((I1422-MAX(I$470:I1422))/MAX(I$470:I1422)&gt;T1421,T1421,(I1422-MAX(I$470:I1422))/MAX(I$470:I1422))</f>
        <v>-0.91338805338419748</v>
      </c>
      <c r="U1422" s="564">
        <f>IF((J1422-MAX(J$470:J1422))/MAX(J$470:J1422)&gt;U1421,U1421,(J1422-MAX(J$470:J1422))/MAX(J$470:J1422))</f>
        <v>-0.70517826086956548</v>
      </c>
      <c r="V1422" s="564">
        <f>IF((K1422-MAX(K$470:K1422))/MAX(K$470:K1422)&gt;V1421,V1421,(K1422-MAX(K$470:K1422))/MAX(K$470:K1422))</f>
        <v>-0.84885940676762139</v>
      </c>
      <c r="W1422" s="564">
        <f>IF((N1422-MAX(N$470:N1422))/MAX(N$470:N1422)&gt;W1421,W1421,(N1422-MAX(N$470:N1422))/MAX(N$470:N1422))</f>
        <v>-0.62788758315546067</v>
      </c>
      <c r="X1422" s="564">
        <f>IF((O1422-MAX(O$470:O1422))/MAX(O$470:O1422)&gt;X1421,X1421,(O1422-MAX(O$470:O1422))/MAX(O$470:O1422))</f>
        <v>-0.62788758315546067</v>
      </c>
    </row>
    <row r="1423" spans="1:24">
      <c r="A1423" s="799">
        <v>41825</v>
      </c>
      <c r="B1423">
        <v>631.67499999999995</v>
      </c>
      <c r="C1423">
        <v>207.99403699999999</v>
      </c>
      <c r="D1423">
        <v>1.791212</v>
      </c>
      <c r="E1423">
        <f>LN(D1423/参数实验室!$E$53)/参数实验室!$E$55</f>
        <v>-5.2989930339173543E-3</v>
      </c>
      <c r="F1423">
        <f t="shared" si="168"/>
        <v>0.32927381485732377</v>
      </c>
      <c r="G1423">
        <f>LN(F1423/参数实验室!$E$58)/参数实验室!$E$59</f>
        <v>-0.77357233156717031</v>
      </c>
      <c r="H1423" s="856">
        <f>INDEX(神经网络!$G$10:$BO$70,MATCH(ROUND(G1423*2,1)/2,神经网络!$E$10:$E$70,0),MATCH(ROUND(E1423*2,1)/2,神经网络!$G$8:$BO$8,0))</f>
        <v>-0.89427009832422066</v>
      </c>
      <c r="I1423">
        <f t="shared" si="160"/>
        <v>512.5351706040002</v>
      </c>
      <c r="J1423">
        <f t="shared" si="161"/>
        <v>252.05498583456352</v>
      </c>
      <c r="K1423">
        <f t="shared" si="162"/>
        <v>2.0334260356206681</v>
      </c>
      <c r="L1423" s="4">
        <f>MIN(MAX(L1422*(1+MAX(MIN(((B1423-B1422)/B1422)/($K$7*卓尔金历!$N$40),0),-卓尔金历!$M$43))+MIN(MAX(((B1423-B1422)/B1422)/($K$7*卓尔金历!$N$40),0),卓尔金历!$M$43),0),1)</f>
        <v>0.53952316833141722</v>
      </c>
      <c r="M1423" s="4">
        <f>MIN(MAX(M1422*(1+MAX(MIN(((B1423-B1422)/B1422)/($K$7*30),0),-卓尔金历!$M$43))+MIN(MAX(((B1423-B1422)/B1422)/($K$7*7),0),卓尔金历!$M$43),0),1)</f>
        <v>0.80164330480595669</v>
      </c>
      <c r="N1423">
        <f t="shared" si="163"/>
        <v>603.16267810604586</v>
      </c>
      <c r="O1423">
        <f t="shared" si="164"/>
        <v>1267.9885352577494</v>
      </c>
      <c r="P1423">
        <f t="shared" si="165"/>
        <v>-2.0932142967853926E-2</v>
      </c>
      <c r="Q1423">
        <f t="shared" si="166"/>
        <v>2.8060117436850638E-2</v>
      </c>
      <c r="R1423">
        <f t="shared" si="167"/>
        <v>0.3310064960028935</v>
      </c>
      <c r="S1423">
        <f t="shared" si="159"/>
        <v>12.621807470282908</v>
      </c>
      <c r="T1423" s="564">
        <f>IF((I1423-MAX(I$470:I1423))/MAX(I$470:I1423)&gt;T1422,T1422,(I1423-MAX(I$470:I1423))/MAX(I$470:I1423))</f>
        <v>-0.91338805338419748</v>
      </c>
      <c r="U1423" s="564">
        <f>IF((J1423-MAX(J$470:J1423))/MAX(J$470:J1423)&gt;U1422,U1422,(J1423-MAX(J$470:J1423))/MAX(J$470:J1423))</f>
        <v>-0.70517826086956548</v>
      </c>
      <c r="V1423" s="564">
        <f>IF((K1423-MAX(K$470:K1423))/MAX(K$470:K1423)&gt;V1422,V1422,(K1423-MAX(K$470:K1423))/MAX(K$470:K1423))</f>
        <v>-0.84885940676762139</v>
      </c>
      <c r="W1423" s="564">
        <f>IF((N1423-MAX(N$470:N1423))/MAX(N$470:N1423)&gt;W1422,W1422,(N1423-MAX(N$470:N1423))/MAX(N$470:N1423))</f>
        <v>-0.62788758315546067</v>
      </c>
      <c r="X1423" s="564">
        <f>IF((O1423-MAX(O$470:O1423))/MAX(O$470:O1423)&gt;X1422,X1422,(O1423-MAX(O$470:O1423))/MAX(O$470:O1423))</f>
        <v>-0.62788758315546067</v>
      </c>
    </row>
    <row r="1424" spans="1:24">
      <c r="A1424" s="799">
        <v>41826</v>
      </c>
      <c r="B1424">
        <v>632.78700000000003</v>
      </c>
      <c r="C1424">
        <v>207.80223799999999</v>
      </c>
      <c r="D1424">
        <v>1.8021739999999999</v>
      </c>
      <c r="E1424">
        <f>LN(D1424/参数实验室!$E$53)/参数实验室!$E$55</f>
        <v>1.8989507316208634E-3</v>
      </c>
      <c r="F1424">
        <f t="shared" si="168"/>
        <v>0.32839207821905314</v>
      </c>
      <c r="G1424">
        <f>LN(F1424/参数实验室!$E$58)/参数实验室!$E$59</f>
        <v>-0.77497968238674264</v>
      </c>
      <c r="H1424" s="856">
        <f>INDEX(神经网络!$G$10:$BO$70,MATCH(ROUND(G1424*2,1)/2,神经网络!$E$10:$E$70,0),MATCH(ROUND(E1424*2,1)/2,神经网络!$G$8:$BO$8,0))</f>
        <v>-0.89427009832422066</v>
      </c>
      <c r="I1424">
        <f t="shared" si="160"/>
        <v>511.72830076796004</v>
      </c>
      <c r="J1424">
        <f t="shared" si="161"/>
        <v>252.49870316427902</v>
      </c>
      <c r="K1424">
        <f t="shared" si="162"/>
        <v>2.026657144591443</v>
      </c>
      <c r="L1424" s="4">
        <f>MIN(MAX(L1423*(1+MAX(MIN(((B1424-B1423)/B1423)/($K$7*卓尔金历!$N$40),0),-卓尔金历!$M$43))+MIN(MAX(((B1424-B1423)/B1423)/($K$7*卓尔金历!$N$40),0),卓尔金历!$M$43),0),1)</f>
        <v>0.56642037479586371</v>
      </c>
      <c r="M1424" s="4">
        <f>MIN(MAX(M1423*(1+MAX(MIN(((B1424-B1423)/B1423)/($K$7*30),0),-卓尔金历!$M$43))+MIN(MAX(((B1424-B1423)/B1423)/($K$7*7),0),卓尔金历!$M$43),0),1)</f>
        <v>0.85928017580119909</v>
      </c>
      <c r="N1424">
        <f t="shared" si="163"/>
        <v>602.65037809224145</v>
      </c>
      <c r="O1424">
        <f t="shared" si="164"/>
        <v>1266.3883277476734</v>
      </c>
      <c r="P1424">
        <f t="shared" si="165"/>
        <v>1.7603989393281041E-3</v>
      </c>
      <c r="Q1424">
        <f t="shared" si="166"/>
        <v>2.599356347308876E-2</v>
      </c>
      <c r="R1424">
        <f t="shared" si="167"/>
        <v>1</v>
      </c>
      <c r="S1424">
        <f t="shared" si="159"/>
        <v>12.615230318324727</v>
      </c>
      <c r="T1424" s="564">
        <f>IF((I1424-MAX(I$470:I1424))/MAX(I$470:I1424)&gt;T1423,T1423,(I1424-MAX(I$470:I1424))/MAX(I$470:I1424))</f>
        <v>-0.91338805338419748</v>
      </c>
      <c r="U1424" s="564">
        <f>IF((J1424-MAX(J$470:J1424))/MAX(J$470:J1424)&gt;U1423,U1423,(J1424-MAX(J$470:J1424))/MAX(J$470:J1424))</f>
        <v>-0.70517826086956548</v>
      </c>
      <c r="V1424" s="564">
        <f>IF((K1424-MAX(K$470:K1424))/MAX(K$470:K1424)&gt;V1423,V1423,(K1424-MAX(K$470:K1424))/MAX(K$470:K1424))</f>
        <v>-0.84885940676762139</v>
      </c>
      <c r="W1424" s="564">
        <f>IF((N1424-MAX(N$470:N1424))/MAX(N$470:N1424)&gt;W1423,W1423,(N1424-MAX(N$470:N1424))/MAX(N$470:N1424))</f>
        <v>-0.62788758315546067</v>
      </c>
      <c r="X1424" s="564">
        <f>IF((O1424-MAX(O$470:O1424))/MAX(O$470:O1424)&gt;X1423,X1423,(O1424-MAX(O$470:O1424))/MAX(O$470:O1424))</f>
        <v>-0.62788758315546067</v>
      </c>
    </row>
    <row r="1425" spans="1:24">
      <c r="A1425" s="799">
        <v>41827</v>
      </c>
      <c r="B1425">
        <v>634.79399999999998</v>
      </c>
      <c r="C1425">
        <v>208.62619900000001</v>
      </c>
      <c r="D1425">
        <v>1.7675689999999999</v>
      </c>
      <c r="E1425">
        <f>LN(D1425/参数实验室!$E$53)/参数实验室!$E$55</f>
        <v>-2.0974763095446738E-2</v>
      </c>
      <c r="F1425">
        <f t="shared" si="168"/>
        <v>0.32865181302910867</v>
      </c>
      <c r="G1425">
        <f>LN(F1425/参数实验室!$E$58)/参数实验室!$E$59</f>
        <v>-0.77456472419565836</v>
      </c>
      <c r="H1425" s="856">
        <f>INDEX(神经网络!$G$10:$BO$70,MATCH(ROUND(G1425*2,1)/2,神经网络!$E$10:$E$70,0),MATCH(ROUND(E1425*2,1)/2,神经网络!$G$8:$BO$8,0))</f>
        <v>-0.89427009832422066</v>
      </c>
      <c r="I1425">
        <f t="shared" si="160"/>
        <v>510.27686450439745</v>
      </c>
      <c r="J1425">
        <f t="shared" si="161"/>
        <v>253.29954910019538</v>
      </c>
      <c r="K1425">
        <f t="shared" si="162"/>
        <v>2.0145194348630757</v>
      </c>
      <c r="L1425" s="4">
        <f>MIN(MAX(L1424*(1+MAX(MIN(((B1425-B1424)/B1424)/($K$7*卓尔金历!$N$40),0),-卓尔金历!$M$43))+MIN(MAX(((B1425-B1424)/B1424)/($K$7*卓尔金历!$N$40),0),卓尔金历!$M$43),0),1)</f>
        <v>0.61488065294029026</v>
      </c>
      <c r="M1425" s="4">
        <f>MIN(MAX(M1424*(1+MAX(MIN(((B1425-B1424)/B1424)/($K$7*30),0),-卓尔金历!$M$43))+MIN(MAX(((B1425-B1424)/B1424)/($K$7*7),0),卓尔金历!$M$43),0),1)</f>
        <v>0.96312362896782744</v>
      </c>
      <c r="N1425">
        <f t="shared" si="163"/>
        <v>601.682183095646</v>
      </c>
      <c r="O1425">
        <f t="shared" si="164"/>
        <v>1263.3018707890822</v>
      </c>
      <c r="P1425">
        <f t="shared" si="165"/>
        <v>3.1716833626480125E-3</v>
      </c>
      <c r="Q1425">
        <f t="shared" si="166"/>
        <v>2.1429379062691399E-2</v>
      </c>
      <c r="R1425">
        <f t="shared" si="167"/>
        <v>1</v>
      </c>
      <c r="S1425">
        <f t="shared" si="159"/>
        <v>12.579449215873032</v>
      </c>
      <c r="T1425" s="564">
        <f>IF((I1425-MAX(I$470:I1425))/MAX(I$470:I1425)&gt;T1424,T1424,(I1425-MAX(I$470:I1425))/MAX(I$470:I1425))</f>
        <v>-0.91338805338419748</v>
      </c>
      <c r="U1425" s="564">
        <f>IF((J1425-MAX(J$470:J1425))/MAX(J$470:J1425)&gt;U1424,U1424,(J1425-MAX(J$470:J1425))/MAX(J$470:J1425))</f>
        <v>-0.70517826086956548</v>
      </c>
      <c r="V1425" s="564">
        <f>IF((K1425-MAX(K$470:K1425))/MAX(K$470:K1425)&gt;V1424,V1424,(K1425-MAX(K$470:K1425))/MAX(K$470:K1425))</f>
        <v>-0.84885940676762139</v>
      </c>
      <c r="W1425" s="564">
        <f>IF((N1425-MAX(N$470:N1425))/MAX(N$470:N1425)&gt;W1424,W1424,(N1425-MAX(N$470:N1425))/MAX(N$470:N1425))</f>
        <v>-0.62788758315546067</v>
      </c>
      <c r="X1425" s="564">
        <f>IF((O1425-MAX(O$470:O1425))/MAX(O$470:O1425)&gt;X1424,X1424,(O1425-MAX(O$470:O1425))/MAX(O$470:O1425))</f>
        <v>-0.62788758315546067</v>
      </c>
    </row>
    <row r="1426" spans="1:24">
      <c r="A1426" s="799">
        <v>41828</v>
      </c>
      <c r="B1426">
        <v>622.01700000000005</v>
      </c>
      <c r="C1426">
        <v>207.06577200000001</v>
      </c>
      <c r="D1426">
        <v>1.772737</v>
      </c>
      <c r="E1426">
        <f>LN(D1426/参数实验室!$E$53)/参数实验室!$E$55</f>
        <v>-1.7530445516383563E-2</v>
      </c>
      <c r="F1426">
        <f t="shared" si="168"/>
        <v>0.3328940720269703</v>
      </c>
      <c r="G1426">
        <f>LN(F1426/参数实验室!$E$58)/参数实验室!$E$59</f>
        <v>-0.76783322647740859</v>
      </c>
      <c r="H1426" s="856">
        <f>INDEX(神经网络!$G$10:$BO$70,MATCH(ROUND(G1426*2,1)/2,神经网络!$E$10:$E$70,0),MATCH(ROUND(E1426*2,1)/2,神经网络!$G$8:$BO$8,0))</f>
        <v>-0.89427009832422066</v>
      </c>
      <c r="I1426">
        <f t="shared" si="160"/>
        <v>519.4616849218686</v>
      </c>
      <c r="J1426">
        <f t="shared" si="161"/>
        <v>248.20118909859931</v>
      </c>
      <c r="K1426">
        <f t="shared" si="162"/>
        <v>2.0929057060863214</v>
      </c>
      <c r="L1426" s="4">
        <f>MIN(MAX(L1425*(1+MAX(MIN(((B1426-B1425)/B1425)/($K$7*卓尔金历!$N$40),0),-卓尔金历!$M$43))+MIN(MAX(((B1426-B1425)/B1425)/($K$7*卓尔金历!$N$40),0),卓尔金历!$M$43),0),1)</f>
        <v>0.42578437160809013</v>
      </c>
      <c r="M1426" s="4">
        <f>MIN(MAX(M1425*(1+MAX(MIN(((B1426-B1425)/B1425)/($K$7*30),0),-卓尔金历!$M$43))+MIN(MAX(((B1426-B1425)/B1425)/($K$7*7),0),卓尔金历!$M$43),0),1)</f>
        <v>0.81502733106831016</v>
      </c>
      <c r="N1426">
        <f t="shared" si="163"/>
        <v>608.34139401757034</v>
      </c>
      <c r="O1426">
        <f t="shared" si="164"/>
        <v>1285.2023676666861</v>
      </c>
      <c r="P1426">
        <f t="shared" si="165"/>
        <v>-2.0127789487613193E-2</v>
      </c>
      <c r="Q1426">
        <f t="shared" si="166"/>
        <v>2.1925540834726861E-2</v>
      </c>
      <c r="R1426">
        <f t="shared" si="167"/>
        <v>0.1088134628997839</v>
      </c>
      <c r="S1426">
        <f t="shared" si="159"/>
        <v>12.805875279909285</v>
      </c>
      <c r="T1426" s="564">
        <f>IF((I1426-MAX(I$470:I1426))/MAX(I$470:I1426)&gt;T1425,T1425,(I1426-MAX(I$470:I1426))/MAX(I$470:I1426))</f>
        <v>-0.91338805338419748</v>
      </c>
      <c r="U1426" s="564">
        <f>IF((J1426-MAX(J$470:J1426))/MAX(J$470:J1426)&gt;U1425,U1425,(J1426-MAX(J$470:J1426))/MAX(J$470:J1426))</f>
        <v>-0.70517826086956548</v>
      </c>
      <c r="V1426" s="564">
        <f>IF((K1426-MAX(K$470:K1426))/MAX(K$470:K1426)&gt;V1425,V1425,(K1426-MAX(K$470:K1426))/MAX(K$470:K1426))</f>
        <v>-0.84885940676762139</v>
      </c>
      <c r="W1426" s="564">
        <f>IF((N1426-MAX(N$470:N1426))/MAX(N$470:N1426)&gt;W1425,W1425,(N1426-MAX(N$470:N1426))/MAX(N$470:N1426))</f>
        <v>-0.62788758315546067</v>
      </c>
      <c r="X1426" s="564">
        <f>IF((O1426-MAX(O$470:O1426))/MAX(O$470:O1426)&gt;X1425,X1425,(O1426-MAX(O$470:O1426))/MAX(O$470:O1426))</f>
        <v>-0.62788758315546067</v>
      </c>
    </row>
    <row r="1427" spans="1:24">
      <c r="A1427" s="799">
        <v>41829</v>
      </c>
      <c r="B1427">
        <v>624.45000000000005</v>
      </c>
      <c r="C1427">
        <v>206.03707</v>
      </c>
      <c r="D1427">
        <v>1.7613669999999999</v>
      </c>
      <c r="E1427">
        <f>LN(D1427/参数实验室!$E$53)/参数实验室!$E$55</f>
        <v>-2.5121529799233829E-2</v>
      </c>
      <c r="F1427">
        <f t="shared" si="168"/>
        <v>0.32994966770758266</v>
      </c>
      <c r="G1427">
        <f>LN(F1427/参数实验室!$E$58)/参数实验室!$E$59</f>
        <v>-0.77249614349241136</v>
      </c>
      <c r="H1427" s="856">
        <f>INDEX(神经网络!$G$10:$BO$70,MATCH(ROUND(G1427*2,1)/2,神经网络!$E$10:$E$70,0),MATCH(ROUND(E1427*2,1)/2,神经网络!$G$8:$BO$8,0))</f>
        <v>-0.91560454467627084</v>
      </c>
      <c r="I1427">
        <f t="shared" si="160"/>
        <v>517.64465497953665</v>
      </c>
      <c r="J1427">
        <f t="shared" si="161"/>
        <v>249.17202027053975</v>
      </c>
      <c r="K1427">
        <f t="shared" si="162"/>
        <v>2.0774589956669347</v>
      </c>
      <c r="L1427" s="4">
        <f>MIN(MAX(L1426*(1+MAX(MIN(((B1427-B1426)/B1426)/($K$7*卓尔金历!$N$40),0),-卓尔金历!$M$43))+MIN(MAX(((B1427-B1426)/B1426)/($K$7*卓尔金历!$N$40),0),卓尔金历!$M$43),0),1)</f>
        <v>0.48554785914068088</v>
      </c>
      <c r="M1427" s="4">
        <f>MIN(MAX(M1426*(1+MAX(MIN(((B1427-B1426)/B1426)/($K$7*30),0),-卓尔金历!$M$43))+MIN(MAX(((B1427-B1426)/B1426)/($K$7*7),0),卓尔金历!$M$43),0),1)</f>
        <v>0.94309194720957612</v>
      </c>
      <c r="N1427">
        <f t="shared" si="163"/>
        <v>607.43535761008218</v>
      </c>
      <c r="O1427">
        <f t="shared" si="164"/>
        <v>1281.5383947595005</v>
      </c>
      <c r="P1427">
        <f t="shared" si="165"/>
        <v>3.9114686576090241E-3</v>
      </c>
      <c r="Q1427">
        <f t="shared" si="166"/>
        <v>2.1240194734672764E-2</v>
      </c>
      <c r="R1427">
        <f t="shared" si="167"/>
        <v>1</v>
      </c>
      <c r="S1427">
        <f t="shared" si="159"/>
        <v>12.801001112252884</v>
      </c>
      <c r="T1427" s="564">
        <f>IF((I1427-MAX(I$470:I1427))/MAX(I$470:I1427)&gt;T1426,T1426,(I1427-MAX(I$470:I1427))/MAX(I$470:I1427))</f>
        <v>-0.91338805338419748</v>
      </c>
      <c r="U1427" s="564">
        <f>IF((J1427-MAX(J$470:J1427))/MAX(J$470:J1427)&gt;U1426,U1426,(J1427-MAX(J$470:J1427))/MAX(J$470:J1427))</f>
        <v>-0.70517826086956548</v>
      </c>
      <c r="V1427" s="564">
        <f>IF((K1427-MAX(K$470:K1427))/MAX(K$470:K1427)&gt;V1426,V1426,(K1427-MAX(K$470:K1427))/MAX(K$470:K1427))</f>
        <v>-0.84885940676762139</v>
      </c>
      <c r="W1427" s="564">
        <f>IF((N1427-MAX(N$470:N1427))/MAX(N$470:N1427)&gt;W1426,W1426,(N1427-MAX(N$470:N1427))/MAX(N$470:N1427))</f>
        <v>-0.62788758315546067</v>
      </c>
      <c r="X1427" s="564">
        <f>IF((O1427-MAX(O$470:O1427))/MAX(O$470:O1427)&gt;X1426,X1426,(O1427-MAX(O$470:O1427))/MAX(O$470:O1427))</f>
        <v>-0.62788758315546067</v>
      </c>
    </row>
    <row r="1428" spans="1:24">
      <c r="A1428" s="799">
        <v>41830</v>
      </c>
      <c r="B1428">
        <v>614.26599999999996</v>
      </c>
      <c r="C1428">
        <v>208.476935</v>
      </c>
      <c r="D1428">
        <v>1.744956</v>
      </c>
      <c r="E1428">
        <f>LN(D1428/参数实验室!$E$53)/参数实验室!$E$55</f>
        <v>-3.6165048529956272E-2</v>
      </c>
      <c r="F1428">
        <f t="shared" si="168"/>
        <v>0.33939194909045922</v>
      </c>
      <c r="G1428">
        <f>LN(F1428/参数实验室!$E$58)/参数实验室!$E$59</f>
        <v>-0.75768711858041593</v>
      </c>
      <c r="H1428" s="856">
        <f>INDEX(神经网络!$G$10:$BO$70,MATCH(ROUND(G1428*2,1)/2,神经网络!$E$10:$E$70,0),MATCH(ROUND(E1428*2,1)/2,神经网络!$G$8:$BO$8,0))</f>
        <v>-0.91560454467627084</v>
      </c>
      <c r="I1428">
        <f t="shared" si="160"/>
        <v>525.37431503432686</v>
      </c>
      <c r="J1428">
        <f t="shared" si="161"/>
        <v>245.108335660987</v>
      </c>
      <c r="K1428">
        <f t="shared" si="162"/>
        <v>2.1434371606234555</v>
      </c>
      <c r="L1428" s="4">
        <f>MIN(MAX(L1427*(1+MAX(MIN(((B1428-B1427)/B1427)/($K$7*卓尔金历!$N$40),0),-卓尔金历!$M$43))+MIN(MAX(((B1428-B1427)/B1427)/($K$7*卓尔金历!$N$40),0),卓尔金历!$M$43),0),1)</f>
        <v>0.36455803576742501</v>
      </c>
      <c r="M1428" s="4">
        <f>MIN(MAX(M1427*(1+MAX(MIN(((B1428-B1427)/B1427)/($K$7*30),0),-卓尔金历!$M$43))+MIN(MAX(((B1428-B1427)/B1427)/($K$7*7),0),卓尔金历!$M$43),0),1)</f>
        <v>0.82559114273731671</v>
      </c>
      <c r="N1428">
        <f t="shared" si="163"/>
        <v>611.83949411861045</v>
      </c>
      <c r="O1428">
        <f t="shared" si="164"/>
        <v>1299.5857812527488</v>
      </c>
      <c r="P1428">
        <f t="shared" si="165"/>
        <v>-1.630875170149745E-2</v>
      </c>
      <c r="Q1428">
        <f t="shared" si="166"/>
        <v>2.1544123833812753E-2</v>
      </c>
      <c r="R1428">
        <f t="shared" si="167"/>
        <v>0.30555471649255184</v>
      </c>
      <c r="S1428">
        <f t="shared" si="159"/>
        <v>12.992150361079993</v>
      </c>
      <c r="T1428" s="564">
        <f>IF((I1428-MAX(I$470:I1428))/MAX(I$470:I1428)&gt;T1427,T1427,(I1428-MAX(I$470:I1428))/MAX(I$470:I1428))</f>
        <v>-0.91338805338419748</v>
      </c>
      <c r="U1428" s="564">
        <f>IF((J1428-MAX(J$470:J1428))/MAX(J$470:J1428)&gt;U1427,U1427,(J1428-MAX(J$470:J1428))/MAX(J$470:J1428))</f>
        <v>-0.70517826086956548</v>
      </c>
      <c r="V1428" s="564">
        <f>IF((K1428-MAX(K$470:K1428))/MAX(K$470:K1428)&gt;V1427,V1427,(K1428-MAX(K$470:K1428))/MAX(K$470:K1428))</f>
        <v>-0.84885940676762139</v>
      </c>
      <c r="W1428" s="564">
        <f>IF((N1428-MAX(N$470:N1428))/MAX(N$470:N1428)&gt;W1427,W1427,(N1428-MAX(N$470:N1428))/MAX(N$470:N1428))</f>
        <v>-0.62788758315546067</v>
      </c>
      <c r="X1428" s="564">
        <f>IF((O1428-MAX(O$470:O1428))/MAX(O$470:O1428)&gt;X1427,X1427,(O1428-MAX(O$470:O1428))/MAX(O$470:O1428))</f>
        <v>-0.62788758315546067</v>
      </c>
    </row>
    <row r="1429" spans="1:24">
      <c r="A1429" s="799">
        <v>41831</v>
      </c>
      <c r="B1429">
        <v>629.17399999999998</v>
      </c>
      <c r="C1429">
        <v>207.426117</v>
      </c>
      <c r="D1429">
        <v>1.7944610000000001</v>
      </c>
      <c r="E1429">
        <f>LN(D1429/参数实验室!$E$53)/参数实验室!$E$55</f>
        <v>-3.161029344160053E-3</v>
      </c>
      <c r="F1429">
        <f t="shared" si="168"/>
        <v>0.32968005194111649</v>
      </c>
      <c r="G1429">
        <f>LN(F1429/参数实验室!$E$58)/参数实验室!$E$59</f>
        <v>-0.77292519915431868</v>
      </c>
      <c r="H1429" s="856">
        <f>INDEX(神经网络!$G$10:$BO$70,MATCH(ROUND(G1429*2,1)/2,神经网络!$E$10:$E$70,0),MATCH(ROUND(E1429*2,1)/2,神经网络!$G$8:$BO$8,0))</f>
        <v>-0.89427009832422066</v>
      </c>
      <c r="I1429">
        <f t="shared" si="160"/>
        <v>513.69977757440222</v>
      </c>
      <c r="J1429">
        <f t="shared" si="161"/>
        <v>251.05702086907925</v>
      </c>
      <c r="K1429">
        <f t="shared" si="162"/>
        <v>2.0461478264823567</v>
      </c>
      <c r="L1429" s="4">
        <f>MIN(MAX(L1428*(1+MAX(MIN(((B1429-B1428)/B1428)/($K$7*卓尔金历!$N$40),0),-卓尔金历!$M$43))+MIN(MAX(((B1429-B1428)/B1428)/($K$7*卓尔金历!$N$40),0),卓尔金历!$M$43),0),1)</f>
        <v>0.73537447988546556</v>
      </c>
      <c r="M1429" s="4">
        <f>MIN(MAX(M1428*(1+MAX(MIN(((B1429-B1428)/B1428)/($K$7*30),0),-卓尔金历!$M$43))+MIN(MAX(((B1429-B1428)/B1428)/($K$7*7),0),卓尔金历!$M$43),0),1)</f>
        <v>1</v>
      </c>
      <c r="N1429">
        <f t="shared" si="163"/>
        <v>606.88299504877557</v>
      </c>
      <c r="O1429">
        <f t="shared" si="164"/>
        <v>1275.7438834344218</v>
      </c>
      <c r="P1429">
        <f t="shared" si="165"/>
        <v>2.4269616094656089E-2</v>
      </c>
      <c r="Q1429">
        <f t="shared" si="166"/>
        <v>2.0662458022677369E-2</v>
      </c>
      <c r="R1429">
        <f t="shared" si="167"/>
        <v>1.8077528456605381E-2</v>
      </c>
      <c r="S1429">
        <f t="shared" si="159"/>
        <v>12.903935678420099</v>
      </c>
      <c r="T1429" s="564">
        <f>IF((I1429-MAX(I$470:I1429))/MAX(I$470:I1429)&gt;T1428,T1428,(I1429-MAX(I$470:I1429))/MAX(I$470:I1429))</f>
        <v>-0.91338805338419748</v>
      </c>
      <c r="U1429" s="564">
        <f>IF((J1429-MAX(J$470:J1429))/MAX(J$470:J1429)&gt;U1428,U1428,(J1429-MAX(J$470:J1429))/MAX(J$470:J1429))</f>
        <v>-0.70517826086956548</v>
      </c>
      <c r="V1429" s="564">
        <f>IF((K1429-MAX(K$470:K1429))/MAX(K$470:K1429)&gt;V1428,V1428,(K1429-MAX(K$470:K1429))/MAX(K$470:K1429))</f>
        <v>-0.84885940676762139</v>
      </c>
      <c r="W1429" s="564">
        <f>IF((N1429-MAX(N$470:N1429))/MAX(N$470:N1429)&gt;W1428,W1428,(N1429-MAX(N$470:N1429))/MAX(N$470:N1429))</f>
        <v>-0.62788758315546067</v>
      </c>
      <c r="X1429" s="564">
        <f>IF((O1429-MAX(O$470:O1429))/MAX(O$470:O1429)&gt;X1428,X1428,(O1429-MAX(O$470:O1429))/MAX(O$470:O1429))</f>
        <v>-0.62788758315546067</v>
      </c>
    </row>
    <row r="1430" spans="1:24">
      <c r="A1430" s="799">
        <v>41832</v>
      </c>
      <c r="B1430">
        <v>628.54600000000005</v>
      </c>
      <c r="C1430">
        <v>209.516358</v>
      </c>
      <c r="D1430">
        <v>1.800303</v>
      </c>
      <c r="E1430">
        <f>LN(D1430/参数实验室!$E$53)/参数实验室!$E$55</f>
        <v>6.7350584026465508E-4</v>
      </c>
      <c r="F1430">
        <f t="shared" si="168"/>
        <v>0.33333496355079817</v>
      </c>
      <c r="G1430">
        <f>LN(F1430/参数实验室!$E$58)/参数实验室!$E$59</f>
        <v>-0.76713855926759167</v>
      </c>
      <c r="H1430" s="856">
        <f>INDEX(神经网络!$G$10:$BO$70,MATCH(ROUND(G1430*2,1)/2,神经网络!$E$10:$E$70,0),MATCH(ROUND(E1430*2,1)/2,神经网络!$G$8:$BO$8,0))</f>
        <v>-0.89427009832422066</v>
      </c>
      <c r="I1430">
        <f t="shared" si="160"/>
        <v>514.15830673831726</v>
      </c>
      <c r="J1430">
        <f t="shared" si="161"/>
        <v>250.80643230517521</v>
      </c>
      <c r="K1430">
        <f t="shared" si="162"/>
        <v>2.0500204161937199</v>
      </c>
      <c r="L1430" s="4">
        <f>MIN(MAX(L1429*(1+MAX(MIN(((B1430-B1429)/B1429)/($K$7*卓尔金历!$N$40),0),-卓尔金历!$M$43))+MIN(MAX(((B1430-B1429)/B1429)/($K$7*卓尔金历!$N$40),0),卓尔金历!$M$43),0),1)</f>
        <v>0.72415962886143381</v>
      </c>
      <c r="M1430" s="4">
        <f>MIN(MAX(M1429*(1+MAX(MIN(((B1430-B1429)/B1429)/($K$7*30),0),-卓尔金历!$M$43))+MIN(MAX(((B1430-B1429)/B1429)/($K$7*7),0),卓尔金历!$M$43),0),1)</f>
        <v>0.99237473468906723</v>
      </c>
      <c r="N1430">
        <f t="shared" si="163"/>
        <v>607.28135081557195</v>
      </c>
      <c r="O1430">
        <f t="shared" si="164"/>
        <v>1276.8826142686128</v>
      </c>
      <c r="P1430">
        <f t="shared" si="165"/>
        <v>-9.9813406148367397E-4</v>
      </c>
      <c r="Q1430">
        <f t="shared" si="166"/>
        <v>2.0682181731531961E-2</v>
      </c>
      <c r="R1430">
        <f t="shared" si="167"/>
        <v>1</v>
      </c>
      <c r="S1430">
        <f t="shared" si="159"/>
        <v>12.904143896687877</v>
      </c>
      <c r="T1430" s="564">
        <f>IF((I1430-MAX(I$470:I1430))/MAX(I$470:I1430)&gt;T1429,T1429,(I1430-MAX(I$470:I1430))/MAX(I$470:I1430))</f>
        <v>-0.91338805338419748</v>
      </c>
      <c r="U1430" s="564">
        <f>IF((J1430-MAX(J$470:J1430))/MAX(J$470:J1430)&gt;U1429,U1429,(J1430-MAX(J$470:J1430))/MAX(J$470:J1430))</f>
        <v>-0.70517826086956548</v>
      </c>
      <c r="V1430" s="564">
        <f>IF((K1430-MAX(K$470:K1430))/MAX(K$470:K1430)&gt;V1429,V1429,(K1430-MAX(K$470:K1430))/MAX(K$470:K1430))</f>
        <v>-0.84885940676762139</v>
      </c>
      <c r="W1430" s="564">
        <f>IF((N1430-MAX(N$470:N1430))/MAX(N$470:N1430)&gt;W1429,W1429,(N1430-MAX(N$470:N1430))/MAX(N$470:N1430))</f>
        <v>-0.62788758315546067</v>
      </c>
      <c r="X1430" s="564">
        <f>IF((O1430-MAX(O$470:O1430))/MAX(O$470:O1430)&gt;X1429,X1429,(O1430-MAX(O$470:O1430))/MAX(O$470:O1430))</f>
        <v>-0.62788758315546067</v>
      </c>
    </row>
    <row r="1431" spans="1:24">
      <c r="A1431" s="799">
        <v>41833</v>
      </c>
      <c r="B1431">
        <v>629.06700000000001</v>
      </c>
      <c r="C1431">
        <v>210.10621599999999</v>
      </c>
      <c r="D1431">
        <v>1.7795730000000001</v>
      </c>
      <c r="E1431">
        <f>LN(D1431/参数实验室!$E$53)/参数实验室!$E$55</f>
        <v>-1.2989849041911056E-2</v>
      </c>
      <c r="F1431">
        <f t="shared" si="168"/>
        <v>0.33399656316417803</v>
      </c>
      <c r="G1431">
        <f>LN(F1431/参数实验室!$E$58)/参数实验室!$E$59</f>
        <v>-0.76609786710230166</v>
      </c>
      <c r="H1431" s="856">
        <f>INDEX(神经网络!$G$10:$BO$70,MATCH(ROUND(G1431*2,1)/2,神经网络!$E$10:$E$70,0),MATCH(ROUND(E1431*2,1)/2,神经网络!$G$8:$BO$8,0))</f>
        <v>-0.89427009832422066</v>
      </c>
      <c r="I1431">
        <f t="shared" si="160"/>
        <v>513.77718280442787</v>
      </c>
      <c r="J1431">
        <f t="shared" si="161"/>
        <v>251.01432504688543</v>
      </c>
      <c r="K1431">
        <f t="shared" si="162"/>
        <v>2.0468042320232622</v>
      </c>
      <c r="L1431" s="4">
        <f>MIN(MAX(L1430*(1+MAX(MIN(((B1431-B1430)/B1430)/($K$7*卓尔金历!$N$40),0),-卓尔金历!$M$43))+MIN(MAX(((B1431-B1430)/B1430)/($K$7*卓尔金历!$N$40),0),卓尔金历!$M$43),0),1)</f>
        <v>0.73682438217097801</v>
      </c>
      <c r="M1431" s="4">
        <f>MIN(MAX(M1430*(1+MAX(MIN(((B1431-B1430)/B1430)/($K$7*30),0),-卓尔金历!$M$43))+MIN(MAX(((B1431-B1430)/B1430)/($K$7*7),0),卓尔金历!$M$43),0),1)</f>
        <v>1</v>
      </c>
      <c r="N1431">
        <f t="shared" si="163"/>
        <v>606.95536881552493</v>
      </c>
      <c r="O1431">
        <f t="shared" si="164"/>
        <v>1275.9433321849265</v>
      </c>
      <c r="P1431">
        <f t="shared" si="165"/>
        <v>8.2889716902177107E-4</v>
      </c>
      <c r="Q1431">
        <f t="shared" si="166"/>
        <v>2.0266176939786933E-2</v>
      </c>
      <c r="R1431">
        <f t="shared" si="167"/>
        <v>1</v>
      </c>
      <c r="S1431">
        <f t="shared" ref="S1431:S1494" si="169">S1430*(1+(B1431-B1430)/B1430*H1430*R1430)</f>
        <v>12.894578597399843</v>
      </c>
      <c r="T1431" s="564">
        <f>IF((I1431-MAX(I$470:I1431))/MAX(I$470:I1431)&gt;T1430,T1430,(I1431-MAX(I$470:I1431))/MAX(I$470:I1431))</f>
        <v>-0.91338805338419748</v>
      </c>
      <c r="U1431" s="564">
        <f>IF((J1431-MAX(J$470:J1431))/MAX(J$470:J1431)&gt;U1430,U1430,(J1431-MAX(J$470:J1431))/MAX(J$470:J1431))</f>
        <v>-0.70517826086956548</v>
      </c>
      <c r="V1431" s="564">
        <f>IF((K1431-MAX(K$470:K1431))/MAX(K$470:K1431)&gt;V1430,V1430,(K1431-MAX(K$470:K1431))/MAX(K$470:K1431))</f>
        <v>-0.84885940676762139</v>
      </c>
      <c r="W1431" s="564">
        <f>IF((N1431-MAX(N$470:N1431))/MAX(N$470:N1431)&gt;W1430,W1430,(N1431-MAX(N$470:N1431))/MAX(N$470:N1431))</f>
        <v>-0.62788758315546067</v>
      </c>
      <c r="X1431" s="564">
        <f>IF((O1431-MAX(O$470:O1431))/MAX(O$470:O1431)&gt;X1430,X1430,(O1431-MAX(O$470:O1431))/MAX(O$470:O1431))</f>
        <v>-0.62788758315546067</v>
      </c>
    </row>
    <row r="1432" spans="1:24">
      <c r="A1432" s="799">
        <v>41834</v>
      </c>
      <c r="B1432">
        <v>619.95100000000002</v>
      </c>
      <c r="C1432">
        <v>215.84402600000001</v>
      </c>
      <c r="D1432">
        <v>1.748985</v>
      </c>
      <c r="E1432">
        <f>LN(D1432/参数实验室!$E$53)/参数实验室!$E$55</f>
        <v>-3.3444208122633372E-2</v>
      </c>
      <c r="F1432">
        <f t="shared" si="168"/>
        <v>0.34816304191782899</v>
      </c>
      <c r="G1432">
        <f>LN(F1432/参数实验室!$E$58)/参数实验室!$E$59</f>
        <v>-0.7442953365610735</v>
      </c>
      <c r="H1432" s="856">
        <f>INDEX(神经网络!$G$10:$BO$70,MATCH(ROUND(G1432*2,1)/2,神经网络!$E$10:$E$70,0),MATCH(ROUND(E1432*2,1)/2,神经网络!$G$8:$BO$8,0))</f>
        <v>-0.91560454467627084</v>
      </c>
      <c r="I1432">
        <f t="shared" ref="I1432:I1495" si="170">I1431*(1+(B1432-B1431)/B1431*H1431)</f>
        <v>520.43529234184791</v>
      </c>
      <c r="J1432">
        <f t="shared" ref="J1432:J1495" si="171">J1431*B1432/B1431</f>
        <v>247.37680060651991</v>
      </c>
      <c r="K1432">
        <f t="shared" ref="K1432:K1495" si="172">I1432/J1432</f>
        <v>2.1038160856872659</v>
      </c>
      <c r="L1432" s="4">
        <f>MIN(MAX(L1431*(1+MAX(MIN(((B1432-B1431)/B1431)/($K$7*卓尔金历!$N$40),0),-卓尔金历!$M$43))+MIN(MAX(((B1432-B1431)/B1431)/($K$7*卓尔金历!$N$40),0),卓尔金历!$M$43),0),1)</f>
        <v>0.57368174426611906</v>
      </c>
      <c r="M1432" s="4">
        <f>MIN(MAX(M1431*(1+MAX(MIN(((B1432-B1431)/B1431)/($K$7*30),0),-卓尔金历!$M$43))+MIN(MAX(((B1432-B1431)/B1431)/($K$7*7),0),卓尔金历!$M$43),0),1)</f>
        <v>0.88929340433593151</v>
      </c>
      <c r="N1432">
        <f t="shared" ref="N1432:N1495" si="173">N1431*(1+(B1432-B1431)/B1431*H1431*L1431)</f>
        <v>612.75094833006085</v>
      </c>
      <c r="O1432">
        <f t="shared" ref="O1432:O1495" si="174">O1431*(1+(B1432-B1431)/B1431*H1431*M1431)</f>
        <v>1292.4784582153516</v>
      </c>
      <c r="P1432">
        <f t="shared" ref="P1432:P1495" si="175">(B1432-B1431)/B1431</f>
        <v>-1.4491302198334971E-2</v>
      </c>
      <c r="Q1432">
        <f t="shared" si="166"/>
        <v>2.0114602553653594E-2</v>
      </c>
      <c r="R1432">
        <f t="shared" si="167"/>
        <v>0.35480882962896027</v>
      </c>
      <c r="S1432">
        <f t="shared" si="169"/>
        <v>13.061681224012672</v>
      </c>
      <c r="T1432" s="564">
        <f>IF((I1432-MAX(I$470:I1432))/MAX(I$470:I1432)&gt;T1431,T1431,(I1432-MAX(I$470:I1432))/MAX(I$470:I1432))</f>
        <v>-0.91338805338419748</v>
      </c>
      <c r="U1432" s="564">
        <f>IF((J1432-MAX(J$470:J1432))/MAX(J$470:J1432)&gt;U1431,U1431,(J1432-MAX(J$470:J1432))/MAX(J$470:J1432))</f>
        <v>-0.70517826086956548</v>
      </c>
      <c r="V1432" s="564">
        <f>IF((K1432-MAX(K$470:K1432))/MAX(K$470:K1432)&gt;V1431,V1431,(K1432-MAX(K$470:K1432))/MAX(K$470:K1432))</f>
        <v>-0.84885940676762139</v>
      </c>
      <c r="W1432" s="564">
        <f>IF((N1432-MAX(N$470:N1432))/MAX(N$470:N1432)&gt;W1431,W1431,(N1432-MAX(N$470:N1432))/MAX(N$470:N1432))</f>
        <v>-0.62788758315546067</v>
      </c>
      <c r="X1432" s="564">
        <f>IF((O1432-MAX(O$470:O1432))/MAX(O$470:O1432)&gt;X1431,X1431,(O1432-MAX(O$470:O1432))/MAX(O$470:O1432))</f>
        <v>-0.62788758315546067</v>
      </c>
    </row>
    <row r="1433" spans="1:24">
      <c r="A1433" s="799">
        <v>41835</v>
      </c>
      <c r="B1433">
        <v>623.81500000000005</v>
      </c>
      <c r="C1433">
        <v>220.19344000000001</v>
      </c>
      <c r="D1433">
        <v>1.7557130000000001</v>
      </c>
      <c r="E1433">
        <f>LN(D1433/参数实验室!$E$53)/参数实验室!$E$55</f>
        <v>-2.8914636915093023E-2</v>
      </c>
      <c r="F1433">
        <f t="shared" si="168"/>
        <v>0.35297875171324833</v>
      </c>
      <c r="G1433">
        <f>LN(F1433/参数实验室!$E$58)/参数实验室!$E$59</f>
        <v>-0.73708542687979484</v>
      </c>
      <c r="H1433" s="856">
        <f>INDEX(神经网络!$G$10:$BO$70,MATCH(ROUND(G1433*2,1)/2,神经网络!$E$10:$E$70,0),MATCH(ROUND(E1433*2,1)/2,神经网络!$G$8:$BO$8,0))</f>
        <v>-0.91560454467627084</v>
      </c>
      <c r="I1433">
        <f t="shared" si="170"/>
        <v>517.46530613560731</v>
      </c>
      <c r="J1433">
        <f t="shared" si="171"/>
        <v>248.91863852200612</v>
      </c>
      <c r="K1433">
        <f t="shared" si="172"/>
        <v>2.0788531915815529</v>
      </c>
      <c r="L1433" s="4">
        <f>MIN(MAX(L1432*(1+MAX(MIN(((B1433-B1432)/B1432)/($K$7*卓尔金历!$N$40),0),-卓尔金历!$M$43))+MIN(MAX(((B1433-B1432)/B1432)/($K$7*卓尔金历!$N$40),0),卓尔金历!$M$43),0),1)</f>
        <v>0.66891219311867101</v>
      </c>
      <c r="M1433" s="4">
        <f>MIN(MAX(M1432*(1+MAX(MIN(((B1433-B1432)/B1432)/($K$7*30),0),-卓尔金历!$M$43))+MIN(MAX(((B1433-B1432)/B1432)/($K$7*7),0),卓尔金历!$M$43),0),1)</f>
        <v>1</v>
      </c>
      <c r="N1433">
        <f t="shared" si="173"/>
        <v>610.74489389052587</v>
      </c>
      <c r="O1433">
        <f t="shared" si="174"/>
        <v>1285.9191796207697</v>
      </c>
      <c r="P1433">
        <f t="shared" si="175"/>
        <v>6.2327506528742317E-3</v>
      </c>
      <c r="Q1433">
        <f t="shared" si="166"/>
        <v>2.0129800582499871E-2</v>
      </c>
      <c r="R1433">
        <f t="shared" si="167"/>
        <v>1</v>
      </c>
      <c r="S1433">
        <f t="shared" si="169"/>
        <v>13.035233933127264</v>
      </c>
      <c r="T1433" s="564">
        <f>IF((I1433-MAX(I$470:I1433))/MAX(I$470:I1433)&gt;T1432,T1432,(I1433-MAX(I$470:I1433))/MAX(I$470:I1433))</f>
        <v>-0.91338805338419748</v>
      </c>
      <c r="U1433" s="564">
        <f>IF((J1433-MAX(J$470:J1433))/MAX(J$470:J1433)&gt;U1432,U1432,(J1433-MAX(J$470:J1433))/MAX(J$470:J1433))</f>
        <v>-0.70517826086956548</v>
      </c>
      <c r="V1433" s="564">
        <f>IF((K1433-MAX(K$470:K1433))/MAX(K$470:K1433)&gt;V1432,V1432,(K1433-MAX(K$470:K1433))/MAX(K$470:K1433))</f>
        <v>-0.84885940676762139</v>
      </c>
      <c r="W1433" s="564">
        <f>IF((N1433-MAX(N$470:N1433))/MAX(N$470:N1433)&gt;W1432,W1432,(N1433-MAX(N$470:N1433))/MAX(N$470:N1433))</f>
        <v>-0.62788758315546067</v>
      </c>
      <c r="X1433" s="564">
        <f>IF((O1433-MAX(O$470:O1433))/MAX(O$470:O1433)&gt;X1432,X1432,(O1433-MAX(O$470:O1433))/MAX(O$470:O1433))</f>
        <v>-0.62788758315546067</v>
      </c>
    </row>
    <row r="1434" spans="1:24">
      <c r="A1434" s="799">
        <v>41836</v>
      </c>
      <c r="B1434">
        <v>616.68200000000002</v>
      </c>
      <c r="C1434">
        <v>226.449197</v>
      </c>
      <c r="D1434">
        <v>1.739466</v>
      </c>
      <c r="E1434">
        <f>LN(D1434/参数实验室!$E$53)/参数实验室!$E$55</f>
        <v>-3.9882652579597902E-2</v>
      </c>
      <c r="F1434">
        <f t="shared" si="168"/>
        <v>0.36720578353186895</v>
      </c>
      <c r="G1434">
        <f>LN(F1434/参数实验室!$E$58)/参数实验室!$E$59</f>
        <v>-0.71634605696532849</v>
      </c>
      <c r="H1434" s="856">
        <f>INDEX(神经网络!$G$10:$BO$70,MATCH(ROUND(G1434*2,1)/2,神经网络!$E$10:$E$70,0),MATCH(ROUND(E1434*2,1)/2,神经网络!$G$8:$BO$8,0))</f>
        <v>-0.8741892559443023</v>
      </c>
      <c r="I1434">
        <f t="shared" si="170"/>
        <v>522.88288931172497</v>
      </c>
      <c r="J1434">
        <f t="shared" si="171"/>
        <v>246.07238338454152</v>
      </c>
      <c r="K1434">
        <f t="shared" si="172"/>
        <v>2.1249149624994974</v>
      </c>
      <c r="L1434" s="4">
        <f>MIN(MAX(L1433*(1+MAX(MIN(((B1434-B1433)/B1433)/($K$7*卓尔金历!$N$40),0),-卓尔金历!$M$43))+MIN(MAX(((B1434-B1433)/B1433)/($K$7*卓尔金历!$N$40),0),卓尔金历!$M$43),0),1)</f>
        <v>0.55204796322903993</v>
      </c>
      <c r="M1434" s="4">
        <f>MIN(MAX(M1433*(1+MAX(MIN(((B1434-B1433)/B1433)/($K$7*30),0),-卓尔金历!$M$43))+MIN(MAX(((B1434-B1433)/B1433)/($K$7*7),0),卓尔金历!$M$43),0),1)</f>
        <v>0.91264606095399858</v>
      </c>
      <c r="N1434">
        <f t="shared" si="173"/>
        <v>615.02203233063983</v>
      </c>
      <c r="O1434">
        <f t="shared" si="174"/>
        <v>1299.3820611526473</v>
      </c>
      <c r="P1434">
        <f t="shared" si="175"/>
        <v>-1.1434479773650903E-2</v>
      </c>
      <c r="Q1434">
        <f t="shared" si="166"/>
        <v>1.827420310976104E-2</v>
      </c>
      <c r="R1434">
        <f t="shared" si="167"/>
        <v>0.4984248668176699</v>
      </c>
      <c r="S1434">
        <f t="shared" si="169"/>
        <v>13.171705814846733</v>
      </c>
      <c r="T1434" s="564">
        <f>IF((I1434-MAX(I$470:I1434))/MAX(I$470:I1434)&gt;T1433,T1433,(I1434-MAX(I$470:I1434))/MAX(I$470:I1434))</f>
        <v>-0.91338805338419748</v>
      </c>
      <c r="U1434" s="564">
        <f>IF((J1434-MAX(J$470:J1434))/MAX(J$470:J1434)&gt;U1433,U1433,(J1434-MAX(J$470:J1434))/MAX(J$470:J1434))</f>
        <v>-0.70517826086956548</v>
      </c>
      <c r="V1434" s="564">
        <f>IF((K1434-MAX(K$470:K1434))/MAX(K$470:K1434)&gt;V1433,V1433,(K1434-MAX(K$470:K1434))/MAX(K$470:K1434))</f>
        <v>-0.84885940676762139</v>
      </c>
      <c r="W1434" s="564">
        <f>IF((N1434-MAX(N$470:N1434))/MAX(N$470:N1434)&gt;W1433,W1433,(N1434-MAX(N$470:N1434))/MAX(N$470:N1434))</f>
        <v>-0.62788758315546067</v>
      </c>
      <c r="X1434" s="564">
        <f>IF((O1434-MAX(O$470:O1434))/MAX(O$470:O1434)&gt;X1433,X1433,(O1434-MAX(O$470:O1434))/MAX(O$470:O1434))</f>
        <v>-0.62788758315546067</v>
      </c>
    </row>
    <row r="1435" spans="1:24">
      <c r="A1435" s="799">
        <v>41837</v>
      </c>
      <c r="B1435">
        <v>620.05499999999995</v>
      </c>
      <c r="C1435">
        <v>228.38460599999999</v>
      </c>
      <c r="D1435">
        <v>1.7603690000000001</v>
      </c>
      <c r="E1435">
        <f>LN(D1435/参数实验室!$E$53)/参数实验室!$E$55</f>
        <v>-2.5790173768572306E-2</v>
      </c>
      <c r="F1435">
        <f t="shared" si="168"/>
        <v>0.36832959334252607</v>
      </c>
      <c r="G1435">
        <f>LN(F1435/参数实验室!$E$58)/参数实验室!$E$59</f>
        <v>-0.71474222769946816</v>
      </c>
      <c r="H1435" s="856">
        <f>INDEX(神经网络!$G$10:$BO$70,MATCH(ROUND(G1435*2,1)/2,神经网络!$E$10:$E$70,0),MATCH(ROUND(E1435*2,1)/2,神经网络!$G$8:$BO$8,0))</f>
        <v>-0.8741892559443023</v>
      </c>
      <c r="I1435">
        <f t="shared" si="170"/>
        <v>520.38274565399718</v>
      </c>
      <c r="J1435">
        <f t="shared" si="171"/>
        <v>247.41829934958679</v>
      </c>
      <c r="K1435">
        <f t="shared" si="172"/>
        <v>2.1032508388505593</v>
      </c>
      <c r="L1435" s="4">
        <f>MIN(MAX(L1434*(1+MAX(MIN(((B1435-B1434)/B1434)/($K$7*卓尔金历!$N$40),0),-卓尔金历!$M$43))+MIN(MAX(((B1435-B1434)/B1434)/($K$7*卓尔金历!$N$40),0),卓尔金历!$M$43),0),1)</f>
        <v>0.63561810663202412</v>
      </c>
      <c r="M1435" s="4">
        <f>MIN(MAX(M1434*(1+MAX(MIN(((B1435-B1434)/B1434)/($K$7*30),0),-卓尔金历!$M$43))+MIN(MAX(((B1435-B1434)/B1434)/($K$7*7),0),卓尔金历!$M$43),0),1)</f>
        <v>1</v>
      </c>
      <c r="N1435">
        <f t="shared" si="173"/>
        <v>613.39862306828979</v>
      </c>
      <c r="O1435">
        <f t="shared" si="174"/>
        <v>1293.7118427915036</v>
      </c>
      <c r="P1435">
        <f t="shared" si="175"/>
        <v>5.4695937290206841E-3</v>
      </c>
      <c r="Q1435">
        <f t="shared" si="166"/>
        <v>1.8212615617451917E-2</v>
      </c>
      <c r="R1435">
        <f t="shared" si="167"/>
        <v>1</v>
      </c>
      <c r="S1435">
        <f t="shared" si="169"/>
        <v>13.140315023992798</v>
      </c>
      <c r="T1435" s="564">
        <f>IF((I1435-MAX(I$470:I1435))/MAX(I$470:I1435)&gt;T1434,T1434,(I1435-MAX(I$470:I1435))/MAX(I$470:I1435))</f>
        <v>-0.91338805338419748</v>
      </c>
      <c r="U1435" s="564">
        <f>IF((J1435-MAX(J$470:J1435))/MAX(J$470:J1435)&gt;U1434,U1434,(J1435-MAX(J$470:J1435))/MAX(J$470:J1435))</f>
        <v>-0.70517826086956548</v>
      </c>
      <c r="V1435" s="564">
        <f>IF((K1435-MAX(K$470:K1435))/MAX(K$470:K1435)&gt;V1434,V1434,(K1435-MAX(K$470:K1435))/MAX(K$470:K1435))</f>
        <v>-0.84885940676762139</v>
      </c>
      <c r="W1435" s="564">
        <f>IF((N1435-MAX(N$470:N1435))/MAX(N$470:N1435)&gt;W1434,W1434,(N1435-MAX(N$470:N1435))/MAX(N$470:N1435))</f>
        <v>-0.62788758315546067</v>
      </c>
      <c r="X1435" s="564">
        <f>IF((O1435-MAX(O$470:O1435))/MAX(O$470:O1435)&gt;X1434,X1434,(O1435-MAX(O$470:O1435))/MAX(O$470:O1435))</f>
        <v>-0.62788758315546067</v>
      </c>
    </row>
    <row r="1436" spans="1:24">
      <c r="A1436" s="799">
        <v>41838</v>
      </c>
      <c r="B1436">
        <v>620.928</v>
      </c>
      <c r="C1436">
        <v>226.65459000000001</v>
      </c>
      <c r="D1436">
        <v>1.777385</v>
      </c>
      <c r="E1436">
        <f>LN(D1436/参数实验室!$E$53)/参数实验室!$E$55</f>
        <v>-1.4441258039930649E-2</v>
      </c>
      <c r="F1436">
        <f t="shared" si="168"/>
        <v>0.36502555851886209</v>
      </c>
      <c r="G1436">
        <f>LN(F1436/参数实验室!$E$58)/参数实验室!$E$59</f>
        <v>-0.71947158090516983</v>
      </c>
      <c r="H1436" s="856">
        <f>INDEX(神经网络!$G$10:$BO$70,MATCH(ROUND(G1436*2,1)/2,神经网络!$E$10:$E$70,0),MATCH(ROUND(E1436*2,1)/2,神经网络!$G$8:$BO$8,0))</f>
        <v>-0.85018132244333511</v>
      </c>
      <c r="I1436">
        <f t="shared" si="170"/>
        <v>519.74225561107301</v>
      </c>
      <c r="J1436">
        <f t="shared" si="171"/>
        <v>247.76664937552354</v>
      </c>
      <c r="K1436">
        <f t="shared" si="172"/>
        <v>2.0977086985719939</v>
      </c>
      <c r="L1436" s="4">
        <f>MIN(MAX(L1435*(1+MAX(MIN(((B1436-B1435)/B1435)/($K$7*卓尔金历!$N$40),0),-卓尔金历!$M$43))+MIN(MAX(((B1436-B1435)/B1435)/($K$7*卓尔金历!$N$40),0),卓尔金历!$M$43),0),1)</f>
        <v>0.65713007290045422</v>
      </c>
      <c r="M1436" s="4">
        <f>MIN(MAX(M1435*(1+MAX(MIN(((B1436-B1435)/B1435)/($K$7*30),0),-卓尔金历!$M$43))+MIN(MAX(((B1436-B1435)/B1435)/($K$7*7),0),卓尔金历!$M$43),0),1)</f>
        <v>1</v>
      </c>
      <c r="N1436">
        <f t="shared" si="173"/>
        <v>612.91874759723783</v>
      </c>
      <c r="O1436">
        <f t="shared" si="174"/>
        <v>1292.1195348976673</v>
      </c>
      <c r="P1436">
        <f t="shared" si="175"/>
        <v>1.407939618259747E-3</v>
      </c>
      <c r="Q1436">
        <f t="shared" si="166"/>
        <v>1.8216766266580794E-2</v>
      </c>
      <c r="R1436">
        <f t="shared" si="167"/>
        <v>1</v>
      </c>
      <c r="S1436">
        <f t="shared" si="169"/>
        <v>13.124141849528343</v>
      </c>
      <c r="T1436" s="564">
        <f>IF((I1436-MAX(I$470:I1436))/MAX(I$470:I1436)&gt;T1435,T1435,(I1436-MAX(I$470:I1436))/MAX(I$470:I1436))</f>
        <v>-0.91338805338419748</v>
      </c>
      <c r="U1436" s="564">
        <f>IF((J1436-MAX(J$470:J1436))/MAX(J$470:J1436)&gt;U1435,U1435,(J1436-MAX(J$470:J1436))/MAX(J$470:J1436))</f>
        <v>-0.70517826086956548</v>
      </c>
      <c r="V1436" s="564">
        <f>IF((K1436-MAX(K$470:K1436))/MAX(K$470:K1436)&gt;V1435,V1435,(K1436-MAX(K$470:K1436))/MAX(K$470:K1436))</f>
        <v>-0.84885940676762139</v>
      </c>
      <c r="W1436" s="564">
        <f>IF((N1436-MAX(N$470:N1436))/MAX(N$470:N1436)&gt;W1435,W1435,(N1436-MAX(N$470:N1436))/MAX(N$470:N1436))</f>
        <v>-0.62788758315546067</v>
      </c>
      <c r="X1436" s="564">
        <f>IF((O1436-MAX(O$470:O1436))/MAX(O$470:O1436)&gt;X1435,X1435,(O1436-MAX(O$470:O1436))/MAX(O$470:O1436))</f>
        <v>-0.62788758315546067</v>
      </c>
    </row>
    <row r="1437" spans="1:24">
      <c r="A1437" s="799">
        <v>41839</v>
      </c>
      <c r="B1437">
        <v>628.08600000000001</v>
      </c>
      <c r="C1437">
        <v>225.50634600000001</v>
      </c>
      <c r="D1437">
        <v>1.772745</v>
      </c>
      <c r="E1437">
        <f>LN(D1437/参数实验室!$E$53)/参数实验室!$E$55</f>
        <v>-1.7525121542970735E-2</v>
      </c>
      <c r="F1437">
        <f t="shared" si="168"/>
        <v>0.35903737067853764</v>
      </c>
      <c r="G1437">
        <f>LN(F1437/参数实验室!$E$58)/参数实验室!$E$59</f>
        <v>-0.72815313641824919</v>
      </c>
      <c r="H1437" s="856">
        <f>INDEX(神经网络!$G$10:$BO$70,MATCH(ROUND(G1437*2,1)/2,神经网络!$E$10:$E$70,0),MATCH(ROUND(E1437*2,1)/2,神经网络!$G$8:$BO$8,0))</f>
        <v>-0.89427009832422066</v>
      </c>
      <c r="I1437">
        <f t="shared" si="170"/>
        <v>514.64836005082748</v>
      </c>
      <c r="J1437">
        <f t="shared" si="171"/>
        <v>250.62288017237921</v>
      </c>
      <c r="K1437">
        <f t="shared" si="172"/>
        <v>2.0534771593752761</v>
      </c>
      <c r="L1437" s="4">
        <f>MIN(MAX(L1436*(1+MAX(MIN(((B1437-B1436)/B1436)/($K$7*卓尔金历!$N$40),0),-卓尔金历!$M$43))+MIN(MAX(((B1437-B1436)/B1436)/($K$7*卓尔金历!$N$40),0),卓尔金历!$M$43),0),1)</f>
        <v>0.8332654235067356</v>
      </c>
      <c r="M1437" s="4">
        <f>MIN(MAX(M1436*(1+MAX(MIN(((B1437-B1436)/B1436)/($K$7*30),0),-卓尔金历!$M$43))+MIN(MAX(((B1437-B1436)/B1436)/($K$7*7),0),卓尔金历!$M$43),0),1)</f>
        <v>1</v>
      </c>
      <c r="N1437">
        <f t="shared" si="173"/>
        <v>608.97130105144936</v>
      </c>
      <c r="O1437">
        <f t="shared" si="174"/>
        <v>1279.4557156852325</v>
      </c>
      <c r="P1437">
        <f t="shared" si="175"/>
        <v>1.1527906617192357E-2</v>
      </c>
      <c r="Q1437">
        <f t="shared" si="166"/>
        <v>1.7936505305039541E-2</v>
      </c>
      <c r="R1437">
        <f t="shared" si="167"/>
        <v>0.46833708305022997</v>
      </c>
      <c r="S1437">
        <f t="shared" si="169"/>
        <v>12.995514617130731</v>
      </c>
      <c r="T1437" s="564">
        <f>IF((I1437-MAX(I$470:I1437))/MAX(I$470:I1437)&gt;T1436,T1436,(I1437-MAX(I$470:I1437))/MAX(I$470:I1437))</f>
        <v>-0.91338805338419748</v>
      </c>
      <c r="U1437" s="564">
        <f>IF((J1437-MAX(J$470:J1437))/MAX(J$470:J1437)&gt;U1436,U1436,(J1437-MAX(J$470:J1437))/MAX(J$470:J1437))</f>
        <v>-0.70517826086956548</v>
      </c>
      <c r="V1437" s="564">
        <f>IF((K1437-MAX(K$470:K1437))/MAX(K$470:K1437)&gt;V1436,V1436,(K1437-MAX(K$470:K1437))/MAX(K$470:K1437))</f>
        <v>-0.84885940676762139</v>
      </c>
      <c r="W1437" s="564">
        <f>IF((N1437-MAX(N$470:N1437))/MAX(N$470:N1437)&gt;W1436,W1436,(N1437-MAX(N$470:N1437))/MAX(N$470:N1437))</f>
        <v>-0.62788758315546067</v>
      </c>
      <c r="X1437" s="564">
        <f>IF((O1437-MAX(O$470:O1437))/MAX(O$470:O1437)&gt;X1436,X1436,(O1437-MAX(O$470:O1437))/MAX(O$470:O1437))</f>
        <v>-0.62788758315546067</v>
      </c>
    </row>
    <row r="1438" spans="1:24">
      <c r="A1438" s="799">
        <v>41840</v>
      </c>
      <c r="B1438">
        <v>625.01599999999996</v>
      </c>
      <c r="C1438">
        <v>230.101089</v>
      </c>
      <c r="D1438">
        <v>1.7608029999999999</v>
      </c>
      <c r="E1438">
        <f>LN(D1438/参数实验室!$E$53)/参数实验室!$E$55</f>
        <v>-2.5499354171871925E-2</v>
      </c>
      <c r="F1438">
        <f t="shared" si="168"/>
        <v>0.36815231770066686</v>
      </c>
      <c r="G1438">
        <f>LN(F1438/参数实验室!$E$58)/参数实验室!$E$59</f>
        <v>-0.7149948987773902</v>
      </c>
      <c r="H1438" s="856">
        <f>INDEX(神经网络!$G$10:$BO$70,MATCH(ROUND(G1438*2,1)/2,神经网络!$E$10:$E$70,0),MATCH(ROUND(E1438*2,1)/2,神经网络!$G$8:$BO$8,0))</f>
        <v>-0.8741892559443023</v>
      </c>
      <c r="I1438">
        <f t="shared" si="170"/>
        <v>516.89792514765065</v>
      </c>
      <c r="J1438">
        <f t="shared" si="171"/>
        <v>249.39786919915389</v>
      </c>
      <c r="K1438">
        <f t="shared" si="172"/>
        <v>2.0725835662007506</v>
      </c>
      <c r="L1438" s="4">
        <f>MIN(MAX(L1437*(1+MAX(MIN(((B1438-B1437)/B1437)/($K$7*卓尔金历!$N$40),0),-卓尔金历!$M$43))+MIN(MAX(((B1438-B1437)/B1437)/($K$7*卓尔金历!$N$40),0),卓尔金历!$M$43),0),1)</f>
        <v>0.77103558099829639</v>
      </c>
      <c r="M1438" s="4">
        <f>MIN(MAX(M1437*(1+MAX(MIN(((B1438-B1437)/B1437)/($K$7*30),0),-卓尔金历!$M$43))+MIN(MAX(((B1438-B1437)/B1437)/($K$7*7),0),卓尔金历!$M$43),0),1)</f>
        <v>0.96265905151413245</v>
      </c>
      <c r="N1438">
        <f t="shared" si="173"/>
        <v>611.18933484704587</v>
      </c>
      <c r="O1438">
        <f t="shared" si="174"/>
        <v>1285.0483088893616</v>
      </c>
      <c r="P1438">
        <f t="shared" si="175"/>
        <v>-4.8878656744459357E-3</v>
      </c>
      <c r="Q1438">
        <f t="shared" si="166"/>
        <v>1.7203007241331749E-2</v>
      </c>
      <c r="R1438">
        <f t="shared" si="167"/>
        <v>1</v>
      </c>
      <c r="S1438">
        <f t="shared" si="169"/>
        <v>13.022118192093464</v>
      </c>
      <c r="T1438" s="564">
        <f>IF((I1438-MAX(I$470:I1438))/MAX(I$470:I1438)&gt;T1437,T1437,(I1438-MAX(I$470:I1438))/MAX(I$470:I1438))</f>
        <v>-0.91338805338419748</v>
      </c>
      <c r="U1438" s="564">
        <f>IF((J1438-MAX(J$470:J1438))/MAX(J$470:J1438)&gt;U1437,U1437,(J1438-MAX(J$470:J1438))/MAX(J$470:J1438))</f>
        <v>-0.70517826086956548</v>
      </c>
      <c r="V1438" s="564">
        <f>IF((K1438-MAX(K$470:K1438))/MAX(K$470:K1438)&gt;V1437,V1437,(K1438-MAX(K$470:K1438))/MAX(K$470:K1438))</f>
        <v>-0.84885940676762139</v>
      </c>
      <c r="W1438" s="564">
        <f>IF((N1438-MAX(N$470:N1438))/MAX(N$470:N1438)&gt;W1437,W1437,(N1438-MAX(N$470:N1438))/MAX(N$470:N1438))</f>
        <v>-0.62788758315546067</v>
      </c>
      <c r="X1438" s="564">
        <f>IF((O1438-MAX(O$470:O1438))/MAX(O$470:O1438)&gt;X1437,X1437,(O1438-MAX(O$470:O1438))/MAX(O$470:O1438))</f>
        <v>-0.62788758315546067</v>
      </c>
    </row>
    <row r="1439" spans="1:24">
      <c r="A1439" s="799">
        <v>41841</v>
      </c>
      <c r="B1439">
        <v>620.44500000000005</v>
      </c>
      <c r="C1439">
        <v>234.818432</v>
      </c>
      <c r="D1439">
        <v>1.7476229999999999</v>
      </c>
      <c r="E1439">
        <f>LN(D1439/参数实验室!$E$53)/参数实验室!$E$55</f>
        <v>-3.4363283981040132E-2</v>
      </c>
      <c r="F1439">
        <f t="shared" si="168"/>
        <v>0.37846776426597034</v>
      </c>
      <c r="G1439">
        <f>LN(F1439/参数实验室!$E$58)/参数实验室!$E$59</f>
        <v>-0.70049100717161916</v>
      </c>
      <c r="H1439" s="856">
        <f>INDEX(神经网络!$G$10:$BO$70,MATCH(ROUND(G1439*2,1)/2,神经网络!$E$10:$E$70,0),MATCH(ROUND(E1439*2,1)/2,神经网络!$G$8:$BO$8,0))</f>
        <v>-0.8741892559443023</v>
      </c>
      <c r="I1439">
        <f t="shared" si="170"/>
        <v>520.20261220545615</v>
      </c>
      <c r="J1439">
        <f t="shared" si="171"/>
        <v>247.57391963608779</v>
      </c>
      <c r="K1439">
        <f t="shared" si="172"/>
        <v>2.1012011805205852</v>
      </c>
      <c r="L1439" s="4">
        <f>MIN(MAX(L1438*(1+MAX(MIN(((B1439-B1438)/B1438)/($K$7*卓尔金历!$N$40),0),-卓尔金历!$M$43))+MIN(MAX(((B1439-B1438)/B1438)/($K$7*卓尔金历!$N$40),0),卓尔金历!$M$43),0),1)</f>
        <v>0.68487857779615391</v>
      </c>
      <c r="M1439" s="4">
        <f>MIN(MAX(M1438*(1+MAX(MIN(((B1439-B1438)/B1438)/($K$7*30),0),-卓尔金历!$M$43))+MIN(MAX(((B1439-B1438)/B1438)/($K$7*7),0),卓尔金历!$M$43),0),1)</f>
        <v>0.90887436178782399</v>
      </c>
      <c r="N1439">
        <f t="shared" si="173"/>
        <v>614.20217255269961</v>
      </c>
      <c r="O1439">
        <f t="shared" si="174"/>
        <v>1292.9572347393614</v>
      </c>
      <c r="P1439">
        <f t="shared" si="175"/>
        <v>-7.313412776632779E-3</v>
      </c>
      <c r="Q1439">
        <f t="shared" si="166"/>
        <v>1.4697012073777504E-2</v>
      </c>
      <c r="R1439">
        <f t="shared" si="167"/>
        <v>0.72714375797545794</v>
      </c>
      <c r="S1439">
        <f t="shared" si="169"/>
        <v>13.105372589840043</v>
      </c>
      <c r="T1439" s="564">
        <f>IF((I1439-MAX(I$470:I1439))/MAX(I$470:I1439)&gt;T1438,T1438,(I1439-MAX(I$470:I1439))/MAX(I$470:I1439))</f>
        <v>-0.91338805338419748</v>
      </c>
      <c r="U1439" s="564">
        <f>IF((J1439-MAX(J$470:J1439))/MAX(J$470:J1439)&gt;U1438,U1438,(J1439-MAX(J$470:J1439))/MAX(J$470:J1439))</f>
        <v>-0.70517826086956548</v>
      </c>
      <c r="V1439" s="564">
        <f>IF((K1439-MAX(K$470:K1439))/MAX(K$470:K1439)&gt;V1438,V1438,(K1439-MAX(K$470:K1439))/MAX(K$470:K1439))</f>
        <v>-0.84885940676762139</v>
      </c>
      <c r="W1439" s="564">
        <f>IF((N1439-MAX(N$470:N1439))/MAX(N$470:N1439)&gt;W1438,W1438,(N1439-MAX(N$470:N1439))/MAX(N$470:N1439))</f>
        <v>-0.62788758315546067</v>
      </c>
      <c r="X1439" s="564">
        <f>IF((O1439-MAX(O$470:O1439))/MAX(O$470:O1439)&gt;X1438,X1438,(O1439-MAX(O$470:O1439))/MAX(O$470:O1439))</f>
        <v>-0.62788758315546067</v>
      </c>
    </row>
    <row r="1440" spans="1:24">
      <c r="A1440" s="799">
        <v>41842</v>
      </c>
      <c r="B1440">
        <v>621.99599999999998</v>
      </c>
      <c r="C1440">
        <v>240.70231100000001</v>
      </c>
      <c r="D1440">
        <v>1.7427010000000001</v>
      </c>
      <c r="E1440">
        <f>LN(D1440/参数实验室!$E$53)/参数实验室!$E$55</f>
        <v>-3.7690625119554365E-2</v>
      </c>
      <c r="F1440">
        <f t="shared" si="168"/>
        <v>0.38698369603663046</v>
      </c>
      <c r="G1440">
        <f>LN(F1440/参数实验室!$E$58)/参数实验室!$E$59</f>
        <v>-0.688812133008042</v>
      </c>
      <c r="H1440" s="856">
        <f>INDEX(神经网络!$G$10:$BO$70,MATCH(ROUND(G1440*2,1)/2,神经网络!$E$10:$E$70,0),MATCH(ROUND(E1440*2,1)/2,神经网络!$G$8:$BO$8,0))</f>
        <v>-0.8741892559443023</v>
      </c>
      <c r="I1440">
        <f t="shared" si="170"/>
        <v>519.06580582613822</v>
      </c>
      <c r="J1440">
        <f t="shared" si="171"/>
        <v>248.19280954471074</v>
      </c>
      <c r="K1440">
        <f t="shared" si="172"/>
        <v>2.0913813207494676</v>
      </c>
      <c r="L1440" s="4">
        <f>MIN(MAX(L1439*(1+MAX(MIN(((B1440-B1439)/B1439)/($K$7*卓尔金历!$N$40),0),-卓尔金历!$M$43))+MIN(MAX(((B1440-B1439)/B1439)/($K$7*卓尔金历!$N$40),0),卓尔金历!$M$43),0),1)</f>
        <v>0.72307340830754774</v>
      </c>
      <c r="M1440" s="4">
        <f>MIN(MAX(M1439*(1+MAX(MIN(((B1440-B1439)/B1439)/($K$7*30),0),-卓尔金历!$M$43))+MIN(MAX(((B1440-B1439)/B1439)/($K$7*7),0),卓尔金历!$M$43),0),1)</f>
        <v>0.99072042716938225</v>
      </c>
      <c r="N1440">
        <f t="shared" si="173"/>
        <v>613.28291140785473</v>
      </c>
      <c r="O1440">
        <f t="shared" si="174"/>
        <v>1290.3891935415709</v>
      </c>
      <c r="P1440">
        <f t="shared" si="175"/>
        <v>2.4998186785290086E-3</v>
      </c>
      <c r="Q1440">
        <f t="shared" si="166"/>
        <v>1.0781768978858212E-2</v>
      </c>
      <c r="R1440">
        <f t="shared" si="167"/>
        <v>1</v>
      </c>
      <c r="S1440">
        <f t="shared" si="169"/>
        <v>13.084547656195028</v>
      </c>
      <c r="T1440" s="564">
        <f>IF((I1440-MAX(I$470:I1440))/MAX(I$470:I1440)&gt;T1439,T1439,(I1440-MAX(I$470:I1440))/MAX(I$470:I1440))</f>
        <v>-0.91338805338419748</v>
      </c>
      <c r="U1440" s="564">
        <f>IF((J1440-MAX(J$470:J1440))/MAX(J$470:J1440)&gt;U1439,U1439,(J1440-MAX(J$470:J1440))/MAX(J$470:J1440))</f>
        <v>-0.70517826086956548</v>
      </c>
      <c r="V1440" s="564">
        <f>IF((K1440-MAX(K$470:K1440))/MAX(K$470:K1440)&gt;V1439,V1439,(K1440-MAX(K$470:K1440))/MAX(K$470:K1440))</f>
        <v>-0.84885940676762139</v>
      </c>
      <c r="W1440" s="564">
        <f>IF((N1440-MAX(N$470:N1440))/MAX(N$470:N1440)&gt;W1439,W1439,(N1440-MAX(N$470:N1440))/MAX(N$470:N1440))</f>
        <v>-0.62788758315546067</v>
      </c>
      <c r="X1440" s="564">
        <f>IF((O1440-MAX(O$470:O1440))/MAX(O$470:O1440)&gt;X1439,X1439,(O1440-MAX(O$470:O1440))/MAX(O$470:O1440))</f>
        <v>-0.62788758315546067</v>
      </c>
    </row>
    <row r="1441" spans="1:24">
      <c r="A1441" s="799">
        <v>41843</v>
      </c>
      <c r="B1441">
        <v>622.90700000000004</v>
      </c>
      <c r="C1441">
        <v>245.53631300000001</v>
      </c>
      <c r="D1441">
        <v>1.7406630000000001</v>
      </c>
      <c r="E1441">
        <f>LN(D1441/参数实验室!$E$53)/参数实验室!$E$55</f>
        <v>-3.9071093761678777E-2</v>
      </c>
      <c r="F1441">
        <f t="shared" si="168"/>
        <v>0.39417812450333678</v>
      </c>
      <c r="G1441">
        <f>LN(F1441/参数实验室!$E$58)/参数实验室!$E$59</f>
        <v>-0.67914414479255991</v>
      </c>
      <c r="H1441" s="856">
        <f>INDEX(神经网络!$G$10:$BO$70,MATCH(ROUND(G1441*2,1)/2,神经网络!$E$10:$E$70,0),MATCH(ROUND(E1441*2,1)/2,神经网络!$G$8:$BO$8,0))</f>
        <v>-0.8741892559443023</v>
      </c>
      <c r="I1441">
        <f t="shared" si="170"/>
        <v>518.40120837731286</v>
      </c>
      <c r="J1441">
        <f t="shared" si="171"/>
        <v>248.55632257292191</v>
      </c>
      <c r="K1441">
        <f t="shared" si="172"/>
        <v>2.0856488501724728</v>
      </c>
      <c r="L1441" s="4">
        <f>MIN(MAX(L1440*(1+MAX(MIN(((B1441-B1440)/B1440)/($K$7*卓尔金历!$N$40),0),-卓尔金历!$M$43))+MIN(MAX(((B1441-B1440)/B1440)/($K$7*卓尔金历!$N$40),0),卓尔金历!$M$43),0),1)</f>
        <v>0.7454516965581145</v>
      </c>
      <c r="M1441" s="4">
        <f>MIN(MAX(M1440*(1+MAX(MIN(((B1441-B1440)/B1440)/($K$7*30),0),-卓尔金历!$M$43))+MIN(MAX(((B1441-B1440)/B1440)/($K$7*7),0),卓尔金历!$M$43),0),1)</f>
        <v>1</v>
      </c>
      <c r="N1441">
        <f t="shared" si="173"/>
        <v>612.71513217508323</v>
      </c>
      <c r="O1441">
        <f t="shared" si="174"/>
        <v>1288.7523465493355</v>
      </c>
      <c r="P1441">
        <f t="shared" si="175"/>
        <v>1.4646396439849424E-3</v>
      </c>
      <c r="Q1441">
        <f t="shared" si="166"/>
        <v>1.0501322500726992E-2</v>
      </c>
      <c r="R1441">
        <f t="shared" si="167"/>
        <v>1</v>
      </c>
      <c r="S1441">
        <f t="shared" si="169"/>
        <v>13.067794564595205</v>
      </c>
      <c r="T1441" s="564">
        <f>IF((I1441-MAX(I$470:I1441))/MAX(I$470:I1441)&gt;T1440,T1440,(I1441-MAX(I$470:I1441))/MAX(I$470:I1441))</f>
        <v>-0.91338805338419748</v>
      </c>
      <c r="U1441" s="564">
        <f>IF((J1441-MAX(J$470:J1441))/MAX(J$470:J1441)&gt;U1440,U1440,(J1441-MAX(J$470:J1441))/MAX(J$470:J1441))</f>
        <v>-0.70517826086956548</v>
      </c>
      <c r="V1441" s="564">
        <f>IF((K1441-MAX(K$470:K1441))/MAX(K$470:K1441)&gt;V1440,V1440,(K1441-MAX(K$470:K1441))/MAX(K$470:K1441))</f>
        <v>-0.84885940676762139</v>
      </c>
      <c r="W1441" s="564">
        <f>IF((N1441-MAX(N$470:N1441))/MAX(N$470:N1441)&gt;W1440,W1440,(N1441-MAX(N$470:N1441))/MAX(N$470:N1441))</f>
        <v>-0.62788758315546067</v>
      </c>
      <c r="X1441" s="564">
        <f>IF((O1441-MAX(O$470:O1441))/MAX(O$470:O1441)&gt;X1440,X1440,(O1441-MAX(O$470:O1441))/MAX(O$470:O1441))</f>
        <v>-0.62788758315546067</v>
      </c>
    </row>
    <row r="1442" spans="1:24">
      <c r="A1442" s="799">
        <v>41844</v>
      </c>
      <c r="B1442">
        <v>601.15800000000002</v>
      </c>
      <c r="C1442">
        <v>252.907668</v>
      </c>
      <c r="D1442">
        <v>1.6927989999999999</v>
      </c>
      <c r="E1442">
        <f>LN(D1442/参数实验室!$E$53)/参数实验室!$E$55</f>
        <v>-7.1965803300282141E-2</v>
      </c>
      <c r="F1442">
        <f t="shared" si="168"/>
        <v>0.42070082740311199</v>
      </c>
      <c r="G1442">
        <f>LN(F1442/参数实验室!$E$58)/参数实验室!$E$59</f>
        <v>-0.64496614416041687</v>
      </c>
      <c r="H1442" s="856">
        <f>INDEX(神经网络!$G$10:$BO$70,MATCH(ROUND(G1442*2,1)/2,神经网络!$E$10:$E$70,0),MATCH(ROUND(E1442*2,1)/2,神经网络!$G$8:$BO$8,0))</f>
        <v>-0.82633295353614711</v>
      </c>
      <c r="I1442">
        <f t="shared" si="170"/>
        <v>534.2241618735477</v>
      </c>
      <c r="J1442">
        <f t="shared" si="171"/>
        <v>239.87789792905295</v>
      </c>
      <c r="K1442">
        <f t="shared" si="172"/>
        <v>2.2270670473840468</v>
      </c>
      <c r="L1442" s="4">
        <f>MIN(MAX(L1441*(1+MAX(MIN(((B1442-B1441)/B1441)/($K$7*卓尔金历!$N$40),0),-卓尔金历!$M$43))+MIN(MAX(((B1442-B1441)/B1441)/($K$7*卓尔金历!$N$40),0),卓尔金历!$M$43),0),1)</f>
        <v>0.34777360328874751</v>
      </c>
      <c r="M1442" s="4">
        <f>MIN(MAX(M1441*(1+MAX(MIN(((B1442-B1441)/B1441)/($K$7*30),0),-卓尔金历!$M$43))+MIN(MAX(((B1442-B1441)/B1441)/($K$7*7),0),卓尔金历!$M$43),0),1)</f>
        <v>0.733263674155201</v>
      </c>
      <c r="N1442">
        <f t="shared" si="173"/>
        <v>626.65631620700276</v>
      </c>
      <c r="O1442">
        <f t="shared" si="174"/>
        <v>1328.0884208448485</v>
      </c>
      <c r="P1442">
        <f t="shared" si="175"/>
        <v>-3.4915324438479618E-2</v>
      </c>
      <c r="Q1442">
        <f t="shared" si="166"/>
        <v>1.267333523104533E-2</v>
      </c>
      <c r="R1442">
        <f t="shared" si="167"/>
        <v>0</v>
      </c>
      <c r="S1442">
        <f t="shared" si="169"/>
        <v>13.466657650468733</v>
      </c>
      <c r="T1442" s="564">
        <f>IF((I1442-MAX(I$470:I1442))/MAX(I$470:I1442)&gt;T1441,T1441,(I1442-MAX(I$470:I1442))/MAX(I$470:I1442))</f>
        <v>-0.91338805338419748</v>
      </c>
      <c r="U1442" s="564">
        <f>IF((J1442-MAX(J$470:J1442))/MAX(J$470:J1442)&gt;U1441,U1441,(J1442-MAX(J$470:J1442))/MAX(J$470:J1442))</f>
        <v>-0.70517826086956548</v>
      </c>
      <c r="V1442" s="564">
        <f>IF((K1442-MAX(K$470:K1442))/MAX(K$470:K1442)&gt;V1441,V1441,(K1442-MAX(K$470:K1442))/MAX(K$470:K1442))</f>
        <v>-0.84885940676762139</v>
      </c>
      <c r="W1442" s="564">
        <f>IF((N1442-MAX(N$470:N1442))/MAX(N$470:N1442)&gt;W1441,W1441,(N1442-MAX(N$470:N1442))/MAX(N$470:N1442))</f>
        <v>-0.62788758315546067</v>
      </c>
      <c r="X1442" s="564">
        <f>IF((O1442-MAX(O$470:O1442))/MAX(O$470:O1442)&gt;X1441,X1441,(O1442-MAX(O$470:O1442))/MAX(O$470:O1442))</f>
        <v>-0.62788758315546067</v>
      </c>
    </row>
    <row r="1443" spans="1:24">
      <c r="A1443" s="799">
        <v>41845</v>
      </c>
      <c r="B1443">
        <v>601.76</v>
      </c>
      <c r="C1443">
        <v>257.09674000000001</v>
      </c>
      <c r="D1443">
        <v>1.688631</v>
      </c>
      <c r="E1443">
        <f>LN(D1443/参数实验室!$E$53)/参数实验室!$E$55</f>
        <v>-7.4874166928203909E-2</v>
      </c>
      <c r="F1443">
        <f t="shared" si="168"/>
        <v>0.42724132544536031</v>
      </c>
      <c r="G1443">
        <f>LN(F1443/参数实验室!$E$58)/参数实验室!$E$59</f>
        <v>-0.6368691886976231</v>
      </c>
      <c r="H1443" s="856">
        <f>INDEX(神经网络!$G$10:$BO$70,MATCH(ROUND(G1443*2,1)/2,神经网络!$E$10:$E$70,0),MATCH(ROUND(E1443*2,1)/2,神经网络!$G$8:$BO$8,0))</f>
        <v>-0.82633295353614711</v>
      </c>
      <c r="I1443">
        <f t="shared" si="170"/>
        <v>533.78209654001171</v>
      </c>
      <c r="J1443">
        <f t="shared" si="171"/>
        <v>240.11811180719027</v>
      </c>
      <c r="K1443">
        <f t="shared" si="172"/>
        <v>2.2229980592577179</v>
      </c>
      <c r="L1443" s="4">
        <f>MIN(MAX(L1442*(1+MAX(MIN(((B1443-B1442)/B1442)/($K$7*卓尔金历!$N$40),0),-卓尔金历!$M$43))+MIN(MAX(((B1443-B1442)/B1442)/($K$7*卓尔金历!$N$40),0),卓尔金历!$M$43),0),1)</f>
        <v>0.36307404394464138</v>
      </c>
      <c r="M1443" s="4">
        <f>MIN(MAX(M1442*(1+MAX(MIN(((B1443-B1442)/B1442)/($K$7*30),0),-卓尔金历!$M$43))+MIN(MAX(((B1443-B1442)/B1442)/($K$7*7),0),卓尔金历!$M$43),0),1)</f>
        <v>0.76605033270354506</v>
      </c>
      <c r="N1443">
        <f t="shared" si="173"/>
        <v>626.47597749264298</v>
      </c>
      <c r="O1443">
        <f t="shared" si="174"/>
        <v>1327.2825784833631</v>
      </c>
      <c r="P1443">
        <f t="shared" si="175"/>
        <v>1.0014006301171663E-3</v>
      </c>
      <c r="Q1443">
        <f t="shared" si="166"/>
        <v>1.2647881205072294E-2</v>
      </c>
      <c r="R1443">
        <f t="shared" si="167"/>
        <v>1</v>
      </c>
      <c r="S1443">
        <f t="shared" si="169"/>
        <v>13.466657650468733</v>
      </c>
      <c r="T1443" s="564">
        <f>IF((I1443-MAX(I$470:I1443))/MAX(I$470:I1443)&gt;T1442,T1442,(I1443-MAX(I$470:I1443))/MAX(I$470:I1443))</f>
        <v>-0.91338805338419748</v>
      </c>
      <c r="U1443" s="564">
        <f>IF((J1443-MAX(J$470:J1443))/MAX(J$470:J1443)&gt;U1442,U1442,(J1443-MAX(J$470:J1443))/MAX(J$470:J1443))</f>
        <v>-0.70517826086956548</v>
      </c>
      <c r="V1443" s="564">
        <f>IF((K1443-MAX(K$470:K1443))/MAX(K$470:K1443)&gt;V1442,V1442,(K1443-MAX(K$470:K1443))/MAX(K$470:K1443))</f>
        <v>-0.84885940676762139</v>
      </c>
      <c r="W1443" s="564">
        <f>IF((N1443-MAX(N$470:N1443))/MAX(N$470:N1443)&gt;W1442,W1442,(N1443-MAX(N$470:N1443))/MAX(N$470:N1443))</f>
        <v>-0.62788758315546067</v>
      </c>
      <c r="X1443" s="564">
        <f>IF((O1443-MAX(O$470:O1443))/MAX(O$470:O1443)&gt;X1442,X1442,(O1443-MAX(O$470:O1443))/MAX(O$470:O1443))</f>
        <v>-0.62788758315546067</v>
      </c>
    </row>
    <row r="1444" spans="1:24">
      <c r="A1444" s="799">
        <v>41846</v>
      </c>
      <c r="B1444">
        <v>597.81500000000005</v>
      </c>
      <c r="C1444">
        <v>263.54007999999999</v>
      </c>
      <c r="D1444">
        <v>1.6691469999999999</v>
      </c>
      <c r="E1444">
        <f>LN(D1444/参数实验室!$E$53)/参数实验室!$E$55</f>
        <v>-8.8565703533218437E-2</v>
      </c>
      <c r="F1444">
        <f t="shared" si="168"/>
        <v>0.44083885482967133</v>
      </c>
      <c r="G1444">
        <f>LN(F1444/参数实验室!$E$58)/参数实验室!$E$59</f>
        <v>-0.62042531126514255</v>
      </c>
      <c r="H1444" s="856">
        <f>INDEX(神经网络!$G$10:$BO$70,MATCH(ROUND(G1444*2,1)/2,神经网络!$E$10:$E$70,0),MATCH(ROUND(E1444*2,1)/2,神经网络!$G$8:$BO$8,0))</f>
        <v>-0.80225187632605699</v>
      </c>
      <c r="I1444">
        <f t="shared" si="170"/>
        <v>536.67372684115105</v>
      </c>
      <c r="J1444">
        <f t="shared" si="171"/>
        <v>238.54395275527699</v>
      </c>
      <c r="K1444">
        <f t="shared" si="172"/>
        <v>2.2497896955355912</v>
      </c>
      <c r="L1444" s="4">
        <f>MIN(MAX(L1443*(1+MAX(MIN(((B1444-B1443)/B1443)/($K$7*卓尔金历!$N$40),0),-卓尔金历!$M$43))+MIN(MAX(((B1444-B1443)/B1443)/($K$7*卓尔金历!$N$40),0),卓尔金历!$M$43),0),1)</f>
        <v>0.32670641625608193</v>
      </c>
      <c r="M1444" s="4">
        <f>MIN(MAX(M1443*(1+MAX(MIN(((B1444-B1443)/B1443)/($K$7*30),0),-卓尔金历!$M$43))+MIN(MAX(((B1444-B1443)/B1443)/($K$7*7),0),卓尔金历!$M$43),0),1)</f>
        <v>0.72768428347047542</v>
      </c>
      <c r="N1444">
        <f t="shared" si="173"/>
        <v>627.70816950388587</v>
      </c>
      <c r="O1444">
        <f t="shared" si="174"/>
        <v>1332.7906486424133</v>
      </c>
      <c r="P1444">
        <f t="shared" si="175"/>
        <v>-6.5557697420897641E-3</v>
      </c>
      <c r="Q1444">
        <f t="shared" si="166"/>
        <v>1.2046033041009031E-2</v>
      </c>
      <c r="R1444">
        <f t="shared" si="167"/>
        <v>0.62873258283039757</v>
      </c>
      <c r="S1444">
        <f t="shared" si="169"/>
        <v>13.539609882418024</v>
      </c>
      <c r="T1444" s="564">
        <f>IF((I1444-MAX(I$470:I1444))/MAX(I$470:I1444)&gt;T1443,T1443,(I1444-MAX(I$470:I1444))/MAX(I$470:I1444))</f>
        <v>-0.91338805338419748</v>
      </c>
      <c r="U1444" s="564">
        <f>IF((J1444-MAX(J$470:J1444))/MAX(J$470:J1444)&gt;U1443,U1443,(J1444-MAX(J$470:J1444))/MAX(J$470:J1444))</f>
        <v>-0.70517826086956548</v>
      </c>
      <c r="V1444" s="564">
        <f>IF((K1444-MAX(K$470:K1444))/MAX(K$470:K1444)&gt;V1443,V1443,(K1444-MAX(K$470:K1444))/MAX(K$470:K1444))</f>
        <v>-0.84885940676762139</v>
      </c>
      <c r="W1444" s="564">
        <f>IF((N1444-MAX(N$470:N1444))/MAX(N$470:N1444)&gt;W1443,W1443,(N1444-MAX(N$470:N1444))/MAX(N$470:N1444))</f>
        <v>-0.62788758315546067</v>
      </c>
      <c r="X1444" s="564">
        <f>IF((O1444-MAX(O$470:O1444))/MAX(O$470:O1444)&gt;X1443,X1443,(O1444-MAX(O$470:O1444))/MAX(O$470:O1444))</f>
        <v>-0.62788758315546067</v>
      </c>
    </row>
    <row r="1445" spans="1:24">
      <c r="A1445" s="799">
        <v>41847</v>
      </c>
      <c r="B1445">
        <v>597.57600000000002</v>
      </c>
      <c r="C1445">
        <v>271.47016400000001</v>
      </c>
      <c r="D1445">
        <v>1.659951</v>
      </c>
      <c r="E1445">
        <f>LN(D1445/参数实验室!$E$53)/参数实验室!$E$55</f>
        <v>-9.5083407983871993E-2</v>
      </c>
      <c r="F1445">
        <f t="shared" si="168"/>
        <v>0.45428558710523848</v>
      </c>
      <c r="G1445">
        <f>LN(F1445/参数实验室!$E$58)/参数实验室!$E$59</f>
        <v>-0.60465520729379663</v>
      </c>
      <c r="H1445" s="856">
        <f>INDEX(神经网络!$G$10:$BO$70,MATCH(ROUND(G1445*2,1)/2,神经网络!$E$10:$E$70,0),MATCH(ROUND(E1445*2,1)/2,神经网络!$G$8:$BO$8,0))</f>
        <v>-0.80225187632605699</v>
      </c>
      <c r="I1445">
        <f t="shared" si="170"/>
        <v>536.84585509744375</v>
      </c>
      <c r="J1445">
        <f t="shared" si="171"/>
        <v>238.44858545149819</v>
      </c>
      <c r="K1445">
        <f t="shared" si="172"/>
        <v>2.2514113643447939</v>
      </c>
      <c r="L1445" s="4">
        <f>MIN(MAX(L1444*(1+MAX(MIN(((B1445-B1444)/B1444)/($K$7*卓尔金历!$N$40),0),-卓尔金历!$M$43))+MIN(MAX(((B1445-B1444)/B1444)/($K$7*卓尔金历!$N$40),0),卓尔金历!$M$43),0),1)</f>
        <v>0.32471076414771372</v>
      </c>
      <c r="M1445" s="4">
        <f>MIN(MAX(M1444*(1+MAX(MIN(((B1445-B1444)/B1444)/($K$7*30),0),-卓尔金历!$M$43))+MIN(MAX(((B1445-B1444)/B1444)/($K$7*7),0),卓尔金历!$M$43),0),1)</f>
        <v>0.72546179165171043</v>
      </c>
      <c r="N1445">
        <f t="shared" si="173"/>
        <v>627.77394396206978</v>
      </c>
      <c r="O1445">
        <f t="shared" si="174"/>
        <v>1333.1017105038866</v>
      </c>
      <c r="P1445">
        <f t="shared" si="175"/>
        <v>-3.9978923245491117E-4</v>
      </c>
      <c r="Q1445">
        <f t="shared" si="166"/>
        <v>1.2018002031198984E-2</v>
      </c>
      <c r="R1445">
        <f t="shared" si="167"/>
        <v>1</v>
      </c>
      <c r="S1445">
        <f t="shared" si="169"/>
        <v>13.542340204950143</v>
      </c>
      <c r="T1445" s="564">
        <f>IF((I1445-MAX(I$470:I1445))/MAX(I$470:I1445)&gt;T1444,T1444,(I1445-MAX(I$470:I1445))/MAX(I$470:I1445))</f>
        <v>-0.91338805338419748</v>
      </c>
      <c r="U1445" s="564">
        <f>IF((J1445-MAX(J$470:J1445))/MAX(J$470:J1445)&gt;U1444,U1444,(J1445-MAX(J$470:J1445))/MAX(J$470:J1445))</f>
        <v>-0.70517826086956548</v>
      </c>
      <c r="V1445" s="564">
        <f>IF((K1445-MAX(K$470:K1445))/MAX(K$470:K1445)&gt;V1444,V1444,(K1445-MAX(K$470:K1445))/MAX(K$470:K1445))</f>
        <v>-0.84885940676762139</v>
      </c>
      <c r="W1445" s="564">
        <f>IF((N1445-MAX(N$470:N1445))/MAX(N$470:N1445)&gt;W1444,W1444,(N1445-MAX(N$470:N1445))/MAX(N$470:N1445))</f>
        <v>-0.62788758315546067</v>
      </c>
      <c r="X1445" s="564">
        <f>IF((O1445-MAX(O$470:O1445))/MAX(O$470:O1445)&gt;X1444,X1444,(O1445-MAX(O$470:O1445))/MAX(O$470:O1445))</f>
        <v>-0.62788758315546067</v>
      </c>
    </row>
    <row r="1446" spans="1:24">
      <c r="A1446" s="799">
        <v>41848</v>
      </c>
      <c r="B1446">
        <v>582.346</v>
      </c>
      <c r="C1446">
        <v>277.50187599999998</v>
      </c>
      <c r="D1446">
        <v>1.648504</v>
      </c>
      <c r="E1446">
        <f>LN(D1446/参数实验室!$E$53)/参数实验室!$E$55</f>
        <v>-0.10324715164817481</v>
      </c>
      <c r="F1446">
        <f t="shared" si="168"/>
        <v>0.47652405271093129</v>
      </c>
      <c r="G1446">
        <f>LN(F1446/参数实验室!$E$58)/参数实验室!$E$59</f>
        <v>-0.5795713025952558</v>
      </c>
      <c r="H1446" s="856">
        <f>INDEX(神经网络!$G$10:$BO$70,MATCH(ROUND(G1446*2,1)/2,神经网络!$E$10:$E$70,0),MATCH(ROUND(E1446*2,1)/2,神经网络!$G$8:$BO$8,0))</f>
        <v>-0.80225187632605699</v>
      </c>
      <c r="I1446">
        <f t="shared" si="170"/>
        <v>547.82243649461054</v>
      </c>
      <c r="J1446">
        <f t="shared" si="171"/>
        <v>232.37141375044877</v>
      </c>
      <c r="K1446">
        <f t="shared" si="172"/>
        <v>2.357529386480107</v>
      </c>
      <c r="L1446" s="4">
        <f>MIN(MAX(L1445*(1+MAX(MIN(((B1446-B1445)/B1445)/($K$7*卓尔金历!$N$40),0),-卓尔金历!$M$43))+MIN(MAX(((B1446-B1445)/B1445)/($K$7*卓尔金历!$N$40),0),卓尔金历!$M$43),0),1)</f>
        <v>0.19826638726568516</v>
      </c>
      <c r="M1446" s="4">
        <f>MIN(MAX(M1445*(1+MAX(MIN(((B1446-B1445)/B1445)/($K$7*30),0),-卓尔金历!$M$43))+MIN(MAX(((B1446-B1445)/B1445)/($K$7*7),0),卓尔金历!$M$43),0),1)</f>
        <v>0.5842121406925086</v>
      </c>
      <c r="N1446">
        <f t="shared" si="173"/>
        <v>631.94184568335697</v>
      </c>
      <c r="O1446">
        <f t="shared" si="174"/>
        <v>1352.8757468331937</v>
      </c>
      <c r="P1446">
        <f t="shared" si="175"/>
        <v>-2.5486297977161093E-2</v>
      </c>
      <c r="Q1446">
        <f t="shared" si="166"/>
        <v>1.2875935879732139E-2</v>
      </c>
      <c r="R1446">
        <f t="shared" si="167"/>
        <v>3.8123405101326189E-3</v>
      </c>
      <c r="S1446">
        <f t="shared" si="169"/>
        <v>13.81923272103519</v>
      </c>
      <c r="T1446" s="564">
        <f>IF((I1446-MAX(I$470:I1446))/MAX(I$470:I1446)&gt;T1445,T1445,(I1446-MAX(I$470:I1446))/MAX(I$470:I1446))</f>
        <v>-0.91338805338419748</v>
      </c>
      <c r="U1446" s="564">
        <f>IF((J1446-MAX(J$470:J1446))/MAX(J$470:J1446)&gt;U1445,U1445,(J1446-MAX(J$470:J1446))/MAX(J$470:J1446))</f>
        <v>-0.70517826086956548</v>
      </c>
      <c r="V1446" s="564">
        <f>IF((K1446-MAX(K$470:K1446))/MAX(K$470:K1446)&gt;V1445,V1445,(K1446-MAX(K$470:K1446))/MAX(K$470:K1446))</f>
        <v>-0.84885940676762139</v>
      </c>
      <c r="W1446" s="564">
        <f>IF((N1446-MAX(N$470:N1446))/MAX(N$470:N1446)&gt;W1445,W1445,(N1446-MAX(N$470:N1446))/MAX(N$470:N1446))</f>
        <v>-0.62788758315546067</v>
      </c>
      <c r="X1446" s="564">
        <f>IF((O1446-MAX(O$470:O1446))/MAX(O$470:O1446)&gt;X1445,X1445,(O1446-MAX(O$470:O1446))/MAX(O$470:O1446))</f>
        <v>-0.62788758315546067</v>
      </c>
    </row>
    <row r="1447" spans="1:24">
      <c r="A1447" s="799">
        <v>41849</v>
      </c>
      <c r="B1447">
        <v>583.66200000000003</v>
      </c>
      <c r="C1447">
        <v>279.23038100000002</v>
      </c>
      <c r="D1447">
        <v>1.6393759999999999</v>
      </c>
      <c r="E1447">
        <f>LN(D1447/参数实验室!$E$53)/参数实验室!$E$55</f>
        <v>-0.10979776497851959</v>
      </c>
      <c r="F1447">
        <f t="shared" si="168"/>
        <v>0.4784111026587306</v>
      </c>
      <c r="G1447">
        <f>LN(F1447/参数实验室!$E$58)/参数实验室!$E$59</f>
        <v>-0.57749696890205904</v>
      </c>
      <c r="H1447" s="856">
        <f>INDEX(神经网络!$G$10:$BO$70,MATCH(ROUND(G1447*2,1)/2,神经网络!$E$10:$E$70,0),MATCH(ROUND(E1447*2,1)/2,神经网络!$G$8:$BO$8,0))</f>
        <v>-0.80225187632605699</v>
      </c>
      <c r="I1447">
        <f t="shared" si="170"/>
        <v>546.82926247764499</v>
      </c>
      <c r="J1447">
        <f t="shared" si="171"/>
        <v>232.89653246079556</v>
      </c>
      <c r="K1447">
        <f t="shared" si="172"/>
        <v>2.3479493520140537</v>
      </c>
      <c r="L1447" s="4">
        <f>MIN(MAX(L1446*(1+MAX(MIN(((B1447-B1446)/B1446)/($K$7*卓尔金历!$N$40),0),-卓尔金历!$M$43))+MIN(MAX(((B1447-B1446)/B1446)/($K$7*卓尔金历!$N$40),0),卓尔金历!$M$43),0),1)</f>
        <v>0.2327943433764392</v>
      </c>
      <c r="M1447" s="4">
        <f>MIN(MAX(M1446*(1+MAX(MIN(((B1447-B1446)/B1446)/($K$7*30),0),-卓尔金历!$M$43))+MIN(MAX(((B1447-B1446)/B1446)/($K$7*7),0),卓尔金历!$M$43),0),1)</f>
        <v>0.65820061807269581</v>
      </c>
      <c r="N1447">
        <f t="shared" si="173"/>
        <v>631.7146962062518</v>
      </c>
      <c r="O1447">
        <f t="shared" si="174"/>
        <v>1351.442852968373</v>
      </c>
      <c r="P1447">
        <f t="shared" si="175"/>
        <v>2.2598249150848995E-3</v>
      </c>
      <c r="Q1447">
        <f t="shared" si="166"/>
        <v>1.2416285732966915E-2</v>
      </c>
      <c r="R1447">
        <f t="shared" si="167"/>
        <v>1</v>
      </c>
      <c r="S1447">
        <f t="shared" si="169"/>
        <v>13.819137208329368</v>
      </c>
      <c r="T1447" s="564">
        <f>IF((I1447-MAX(I$470:I1447))/MAX(I$470:I1447)&gt;T1446,T1446,(I1447-MAX(I$470:I1447))/MAX(I$470:I1447))</f>
        <v>-0.91338805338419748</v>
      </c>
      <c r="U1447" s="564">
        <f>IF((J1447-MAX(J$470:J1447))/MAX(J$470:J1447)&gt;U1446,U1446,(J1447-MAX(J$470:J1447))/MAX(J$470:J1447))</f>
        <v>-0.70517826086956548</v>
      </c>
      <c r="V1447" s="564">
        <f>IF((K1447-MAX(K$470:K1447))/MAX(K$470:K1447)&gt;V1446,V1446,(K1447-MAX(K$470:K1447))/MAX(K$470:K1447))</f>
        <v>-0.84885940676762139</v>
      </c>
      <c r="W1447" s="564">
        <f>IF((N1447-MAX(N$470:N1447))/MAX(N$470:N1447)&gt;W1446,W1446,(N1447-MAX(N$470:N1447))/MAX(N$470:N1447))</f>
        <v>-0.62788758315546067</v>
      </c>
      <c r="X1447" s="564">
        <f>IF((O1447-MAX(O$470:O1447))/MAX(O$470:O1447)&gt;X1446,X1446,(O1447-MAX(O$470:O1447))/MAX(O$470:O1447))</f>
        <v>-0.62788758315546067</v>
      </c>
    </row>
    <row r="1448" spans="1:24">
      <c r="A1448" s="799">
        <v>41850</v>
      </c>
      <c r="B1448">
        <v>574.99400000000003</v>
      </c>
      <c r="C1448">
        <v>272.26548700000001</v>
      </c>
      <c r="D1448">
        <v>1.5807709999999999</v>
      </c>
      <c r="E1448">
        <f>LN(D1448/参数实验室!$E$53)/参数实验室!$E$55</f>
        <v>-0.1527442974565861</v>
      </c>
      <c r="F1448">
        <f t="shared" si="168"/>
        <v>0.47351013575793832</v>
      </c>
      <c r="G1448">
        <f>LN(F1448/参数实验室!$E$58)/参数实验室!$E$59</f>
        <v>-0.58290143918259574</v>
      </c>
      <c r="H1448" s="856">
        <f>INDEX(神经网络!$G$10:$BO$70,MATCH(ROUND(G1448*2,1)/2,神经网络!$E$10:$E$70,0),MATCH(ROUND(E1448*2,1)/2,神经网络!$G$8:$BO$8,0))</f>
        <v>-0.82606213000208983</v>
      </c>
      <c r="I1448">
        <f t="shared" si="170"/>
        <v>553.34434576636193</v>
      </c>
      <c r="J1448">
        <f t="shared" si="171"/>
        <v>229.4377718367183</v>
      </c>
      <c r="K1448">
        <f t="shared" si="172"/>
        <v>2.4117404093348456</v>
      </c>
      <c r="L1448" s="4">
        <f>MIN(MAX(L1447*(1+MAX(MIN(((B1448-B1447)/B1447)/($K$7*卓尔金历!$N$40),0),-卓尔金历!$M$43))+MIN(MAX(((B1448-B1447)/B1447)/($K$7*卓尔金历!$N$40),0),卓尔金历!$M$43),0),1)</f>
        <v>0.1799709878860089</v>
      </c>
      <c r="M1448" s="4">
        <f>MIN(MAX(M1447*(1+MAX(MIN(((B1448-B1447)/B1447)/($K$7*30),0),-卓尔金历!$M$43))+MIN(MAX(((B1448-B1447)/B1447)/($K$7*7),0),卓尔金历!$M$43),0),1)</f>
        <v>0.5835244796232042</v>
      </c>
      <c r="N1448">
        <f t="shared" si="173"/>
        <v>633.46680725744773</v>
      </c>
      <c r="O1448">
        <f t="shared" si="174"/>
        <v>1362.0408598413421</v>
      </c>
      <c r="P1448">
        <f t="shared" si="175"/>
        <v>-1.4851061059311735E-2</v>
      </c>
      <c r="Q1448">
        <f t="shared" si="166"/>
        <v>1.2564685415974405E-2</v>
      </c>
      <c r="R1448">
        <f t="shared" si="167"/>
        <v>1.0340516428546795E-2</v>
      </c>
      <c r="S1448">
        <f t="shared" si="169"/>
        <v>13.983782438693485</v>
      </c>
      <c r="T1448" s="564">
        <f>IF((I1448-MAX(I$470:I1448))/MAX(I$470:I1448)&gt;T1447,T1447,(I1448-MAX(I$470:I1448))/MAX(I$470:I1448))</f>
        <v>-0.91338805338419748</v>
      </c>
      <c r="U1448" s="564">
        <f>IF((J1448-MAX(J$470:J1448))/MAX(J$470:J1448)&gt;U1447,U1447,(J1448-MAX(J$470:J1448))/MAX(J$470:J1448))</f>
        <v>-0.70517826086956548</v>
      </c>
      <c r="V1448" s="564">
        <f>IF((K1448-MAX(K$470:K1448))/MAX(K$470:K1448)&gt;V1447,V1447,(K1448-MAX(K$470:K1448))/MAX(K$470:K1448))</f>
        <v>-0.84885940676762139</v>
      </c>
      <c r="W1448" s="564">
        <f>IF((N1448-MAX(N$470:N1448))/MAX(N$470:N1448)&gt;W1447,W1447,(N1448-MAX(N$470:N1448))/MAX(N$470:N1448))</f>
        <v>-0.62788758315546067</v>
      </c>
      <c r="X1448" s="564">
        <f>IF((O1448-MAX(O$470:O1448))/MAX(O$470:O1448)&gt;X1447,X1447,(O1448-MAX(O$470:O1448))/MAX(O$470:O1448))</f>
        <v>-0.62788758315546067</v>
      </c>
    </row>
    <row r="1449" spans="1:24">
      <c r="A1449" s="799">
        <v>41851</v>
      </c>
      <c r="B1449">
        <v>576.81100000000004</v>
      </c>
      <c r="C1449">
        <v>268.80965500000002</v>
      </c>
      <c r="D1449">
        <v>1.633108</v>
      </c>
      <c r="E1449">
        <f>LN(D1449/参数实验室!$E$53)/参数实验室!$E$55</f>
        <v>-0.11431708570003554</v>
      </c>
      <c r="F1449">
        <f t="shared" si="168"/>
        <v>0.46602726889743784</v>
      </c>
      <c r="G1449">
        <f>LN(F1449/参数实验室!$E$58)/参数实验室!$E$59</f>
        <v>-0.59126192797291921</v>
      </c>
      <c r="H1449" s="856">
        <f>INDEX(神经网络!$G$10:$BO$70,MATCH(ROUND(G1449*2,1)/2,神经网络!$E$10:$E$70,0),MATCH(ROUND(E1449*2,1)/2,神经网络!$G$8:$BO$8,0))</f>
        <v>-0.80225187632605699</v>
      </c>
      <c r="I1449">
        <f t="shared" si="170"/>
        <v>551.89990477784693</v>
      </c>
      <c r="J1449">
        <f t="shared" si="171"/>
        <v>230.16280276126241</v>
      </c>
      <c r="K1449">
        <f t="shared" si="172"/>
        <v>2.3978675014237987</v>
      </c>
      <c r="L1449" s="4">
        <f>MIN(MAX(L1448*(1+MAX(MIN(((B1449-B1448)/B1448)/($K$7*卓尔金历!$N$40),0),-卓尔金历!$M$43))+MIN(MAX(((B1449-B1448)/B1448)/($K$7*卓尔金历!$N$40),0),卓尔金历!$M$43),0),1)</f>
        <v>0.22825325927586426</v>
      </c>
      <c r="M1449" s="4">
        <f>MIN(MAX(M1448*(1+MAX(MIN(((B1449-B1448)/B1448)/($K$7*30),0),-卓尔金历!$M$43))+MIN(MAX(((B1449-B1448)/B1448)/($K$7*7),0),卓尔金历!$M$43),0),1)</f>
        <v>0.68698648974432275</v>
      </c>
      <c r="N1449">
        <f t="shared" si="173"/>
        <v>633.16920878942994</v>
      </c>
      <c r="O1449">
        <f t="shared" si="174"/>
        <v>1359.9661682661499</v>
      </c>
      <c r="P1449">
        <f t="shared" si="175"/>
        <v>3.1600329742571352E-3</v>
      </c>
      <c r="Q1449">
        <f t="shared" si="166"/>
        <v>1.2326612681059555E-2</v>
      </c>
      <c r="R1449">
        <f t="shared" si="167"/>
        <v>1</v>
      </c>
      <c r="S1449">
        <f t="shared" si="169"/>
        <v>13.983404978450876</v>
      </c>
      <c r="T1449" s="564">
        <f>IF((I1449-MAX(I$470:I1449))/MAX(I$470:I1449)&gt;T1448,T1448,(I1449-MAX(I$470:I1449))/MAX(I$470:I1449))</f>
        <v>-0.91338805338419748</v>
      </c>
      <c r="U1449" s="564">
        <f>IF((J1449-MAX(J$470:J1449))/MAX(J$470:J1449)&gt;U1448,U1448,(J1449-MAX(J$470:J1449))/MAX(J$470:J1449))</f>
        <v>-0.70517826086956548</v>
      </c>
      <c r="V1449" s="564">
        <f>IF((K1449-MAX(K$470:K1449))/MAX(K$470:K1449)&gt;V1448,V1448,(K1449-MAX(K$470:K1449))/MAX(K$470:K1449))</f>
        <v>-0.84885940676762139</v>
      </c>
      <c r="W1449" s="564">
        <f>IF((N1449-MAX(N$470:N1449))/MAX(N$470:N1449)&gt;W1448,W1448,(N1449-MAX(N$470:N1449))/MAX(N$470:N1449))</f>
        <v>-0.62788758315546067</v>
      </c>
      <c r="X1449" s="564">
        <f>IF((O1449-MAX(O$470:O1449))/MAX(O$470:O1449)&gt;X1448,X1448,(O1449-MAX(O$470:O1449))/MAX(O$470:O1449))</f>
        <v>-0.62788758315546067</v>
      </c>
    </row>
    <row r="1450" spans="1:24">
      <c r="A1450" s="799">
        <v>41852</v>
      </c>
      <c r="B1450">
        <v>585.46600000000001</v>
      </c>
      <c r="C1450">
        <v>265.59157299999998</v>
      </c>
      <c r="D1450">
        <v>1.6717219999999999</v>
      </c>
      <c r="E1450">
        <f>LN(D1450/参数实验室!$E$53)/参数实验室!$E$55</f>
        <v>-8.6747095736987065E-2</v>
      </c>
      <c r="F1450">
        <f t="shared" si="168"/>
        <v>0.45364132673801721</v>
      </c>
      <c r="G1450">
        <f>LN(F1450/参数实验室!$E$58)/参数实验室!$E$59</f>
        <v>-0.60540007499213677</v>
      </c>
      <c r="H1450" s="856">
        <f>INDEX(神经网络!$G$10:$BO$70,MATCH(ROUND(G1450*2,1)/2,神经网络!$E$10:$E$70,0),MATCH(ROUND(E1450*2,1)/2,神经网络!$G$8:$BO$8,0))</f>
        <v>-0.80225187632605699</v>
      </c>
      <c r="I1450">
        <f t="shared" si="170"/>
        <v>545.25628760673317</v>
      </c>
      <c r="J1450">
        <f t="shared" si="171"/>
        <v>233.61637604245627</v>
      </c>
      <c r="K1450">
        <f t="shared" si="172"/>
        <v>2.3339814478914827</v>
      </c>
      <c r="L1450" s="4">
        <f>MIN(MAX(L1449*(1+MAX(MIN(((B1450-B1449)/B1449)/($K$7*卓尔金历!$N$40),0),-卓尔金历!$M$43))+MIN(MAX(((B1450-B1449)/B1449)/($K$7*卓尔金历!$N$40),0),卓尔金历!$M$43),0),1)</f>
        <v>0.4575139606456764</v>
      </c>
      <c r="M1450" s="4">
        <f>MIN(MAX(M1449*(1+MAX(MIN(((B1450-B1449)/B1449)/($K$7*30),0),-卓尔金历!$M$43))+MIN(MAX(((B1450-B1449)/B1449)/($K$7*7),0),卓尔金历!$M$43),0),1)</f>
        <v>1</v>
      </c>
      <c r="N1450">
        <f t="shared" si="173"/>
        <v>631.42948198730096</v>
      </c>
      <c r="O1450">
        <f t="shared" si="174"/>
        <v>1348.719585576921</v>
      </c>
      <c r="P1450">
        <f t="shared" si="175"/>
        <v>1.500491495481184E-2</v>
      </c>
      <c r="Q1450">
        <f t="shared" si="166"/>
        <v>1.1482676668186339E-2</v>
      </c>
      <c r="R1450">
        <f t="shared" si="167"/>
        <v>9.028771826018387E-3</v>
      </c>
      <c r="S1450">
        <f t="shared" si="169"/>
        <v>13.815076648220654</v>
      </c>
      <c r="T1450" s="564">
        <f>IF((I1450-MAX(I$470:I1450))/MAX(I$470:I1450)&gt;T1449,T1449,(I1450-MAX(I$470:I1450))/MAX(I$470:I1450))</f>
        <v>-0.91338805338419748</v>
      </c>
      <c r="U1450" s="564">
        <f>IF((J1450-MAX(J$470:J1450))/MAX(J$470:J1450)&gt;U1449,U1449,(J1450-MAX(J$470:J1450))/MAX(J$470:J1450))</f>
        <v>-0.70517826086956548</v>
      </c>
      <c r="V1450" s="564">
        <f>IF((K1450-MAX(K$470:K1450))/MAX(K$470:K1450)&gt;V1449,V1449,(K1450-MAX(K$470:K1450))/MAX(K$470:K1450))</f>
        <v>-0.84885940676762139</v>
      </c>
      <c r="W1450" s="564">
        <f>IF((N1450-MAX(N$470:N1450))/MAX(N$470:N1450)&gt;W1449,W1449,(N1450-MAX(N$470:N1450))/MAX(N$470:N1450))</f>
        <v>-0.62788758315546067</v>
      </c>
      <c r="X1450" s="564">
        <f>IF((O1450-MAX(O$470:O1450))/MAX(O$470:O1450)&gt;X1449,X1449,(O1450-MAX(O$470:O1450))/MAX(O$470:O1450))</f>
        <v>-0.62788758315546067</v>
      </c>
    </row>
    <row r="1451" spans="1:24">
      <c r="A1451" s="799">
        <v>41853</v>
      </c>
      <c r="B1451">
        <v>597.11800000000005</v>
      </c>
      <c r="C1451">
        <v>261.75876699999998</v>
      </c>
      <c r="D1451">
        <v>1.652185</v>
      </c>
      <c r="E1451">
        <f>LN(D1451/参数实验室!$E$53)/参数实验室!$E$55</f>
        <v>-0.10061577771902354</v>
      </c>
      <c r="F1451">
        <f t="shared" si="168"/>
        <v>0.43837025010131991</v>
      </c>
      <c r="G1451">
        <f>LN(F1451/参数实验室!$E$58)/参数实验室!$E$59</f>
        <v>-0.62337264329335684</v>
      </c>
      <c r="H1451" s="856">
        <f>INDEX(神经网络!$G$10:$BO$70,MATCH(ROUND(G1451*2,1)/2,神经网络!$E$10:$E$70,0),MATCH(ROUND(E1451*2,1)/2,神经网络!$G$8:$BO$8,0))</f>
        <v>-0.80225187632605699</v>
      </c>
      <c r="I1451">
        <f t="shared" si="170"/>
        <v>536.55045684020058</v>
      </c>
      <c r="J1451">
        <f t="shared" si="171"/>
        <v>238.26583137145354</v>
      </c>
      <c r="K1451">
        <f t="shared" si="172"/>
        <v>2.2518984520433603</v>
      </c>
      <c r="L1451" s="4">
        <f>MIN(MAX(L1450*(1+MAX(MIN(((B1451-B1450)/B1450)/($K$7*卓尔金历!$N$40),0),-卓尔金历!$M$43))+MIN(MAX(((B1451-B1450)/B1450)/($K$7*卓尔金历!$N$40),0),卓尔金历!$M$43),0),1)</f>
        <v>0.761598874905551</v>
      </c>
      <c r="M1451" s="4">
        <f>MIN(MAX(M1450*(1+MAX(MIN(((B1451-B1450)/B1450)/($K$7*30),0),-卓尔金历!$M$43))+MIN(MAX(((B1451-B1450)/B1450)/($K$7*7),0),卓尔金历!$M$43),0),1)</f>
        <v>1</v>
      </c>
      <c r="N1451">
        <f t="shared" si="173"/>
        <v>626.8169568645302</v>
      </c>
      <c r="O1451">
        <f t="shared" si="174"/>
        <v>1327.1852635884889</v>
      </c>
      <c r="P1451">
        <f t="shared" si="175"/>
        <v>1.9902095083232919E-2</v>
      </c>
      <c r="Q1451">
        <f t="shared" si="166"/>
        <v>1.2504222321151495E-2</v>
      </c>
      <c r="R1451">
        <f t="shared" si="167"/>
        <v>6.1460035476314972E-3</v>
      </c>
      <c r="S1451">
        <f t="shared" si="169"/>
        <v>13.813085096842705</v>
      </c>
      <c r="T1451" s="564">
        <f>IF((I1451-MAX(I$470:I1451))/MAX(I$470:I1451)&gt;T1450,T1450,(I1451-MAX(I$470:I1451))/MAX(I$470:I1451))</f>
        <v>-0.91338805338419748</v>
      </c>
      <c r="U1451" s="564">
        <f>IF((J1451-MAX(J$470:J1451))/MAX(J$470:J1451)&gt;U1450,U1450,(J1451-MAX(J$470:J1451))/MAX(J$470:J1451))</f>
        <v>-0.70517826086956548</v>
      </c>
      <c r="V1451" s="564">
        <f>IF((K1451-MAX(K$470:K1451))/MAX(K$470:K1451)&gt;V1450,V1450,(K1451-MAX(K$470:K1451))/MAX(K$470:K1451))</f>
        <v>-0.84885940676762139</v>
      </c>
      <c r="W1451" s="564">
        <f>IF((N1451-MAX(N$470:N1451))/MAX(N$470:N1451)&gt;W1450,W1450,(N1451-MAX(N$470:N1451))/MAX(N$470:N1451))</f>
        <v>-0.62788758315546067</v>
      </c>
      <c r="X1451" s="564">
        <f>IF((O1451-MAX(O$470:O1451))/MAX(O$470:O1451)&gt;X1450,X1450,(O1451-MAX(O$470:O1451))/MAX(O$470:O1451))</f>
        <v>-0.62788758315546067</v>
      </c>
    </row>
    <row r="1452" spans="1:24">
      <c r="A1452" s="799">
        <v>41854</v>
      </c>
      <c r="B1452">
        <v>589.08100000000002</v>
      </c>
      <c r="C1452">
        <v>264.05091199999998</v>
      </c>
      <c r="D1452">
        <v>1.6436230000000001</v>
      </c>
      <c r="E1452">
        <f>LN(D1452/参数实验室!$E$53)/参数实验室!$E$55</f>
        <v>-0.10674542483335928</v>
      </c>
      <c r="F1452">
        <f t="shared" si="168"/>
        <v>0.44824211271455022</v>
      </c>
      <c r="G1452">
        <f>LN(F1452/参数实验室!$E$58)/参数实验室!$E$59</f>
        <v>-0.61168433089549423</v>
      </c>
      <c r="H1452" s="856">
        <f>INDEX(神经网络!$G$10:$BO$70,MATCH(ROUND(G1452*2,1)/2,神经网络!$E$10:$E$70,0),MATCH(ROUND(E1452*2,1)/2,神经网络!$G$8:$BO$8,0))</f>
        <v>-0.80225187632605699</v>
      </c>
      <c r="I1452">
        <f t="shared" si="170"/>
        <v>542.34414499655622</v>
      </c>
      <c r="J1452">
        <f t="shared" si="171"/>
        <v>235.05885639040727</v>
      </c>
      <c r="K1452">
        <f t="shared" si="172"/>
        <v>2.3072695635674387</v>
      </c>
      <c r="L1452" s="4">
        <f>MIN(MAX(L1451*(1+MAX(MIN(((B1452-B1451)/B1451)/($K$7*卓尔金历!$N$40),0),-卓尔金历!$M$43))+MIN(MAX(((B1452-B1451)/B1451)/($K$7*卓尔金历!$N$40),0),卓尔金历!$M$43),0),1)</f>
        <v>0.60497564440048823</v>
      </c>
      <c r="M1452" s="4">
        <f>MIN(MAX(M1451*(1+MAX(MIN(((B1452-B1451)/B1451)/($K$7*30),0),-卓尔金历!$M$43))+MIN(MAX(((B1452-B1451)/B1451)/($K$7*7),0),卓尔金历!$M$43),0),1)</f>
        <v>0.89717472302956969</v>
      </c>
      <c r="N1452">
        <f t="shared" si="173"/>
        <v>631.97175398420029</v>
      </c>
      <c r="O1452">
        <f t="shared" si="174"/>
        <v>1341.5162504414784</v>
      </c>
      <c r="P1452">
        <f t="shared" si="175"/>
        <v>-1.3459651191221892E-2</v>
      </c>
      <c r="Q1452">
        <f t="shared" ref="Q1452:Q1515" si="176">STDEVP(P1432:P1452)</f>
        <v>1.2699376022513817E-2</v>
      </c>
      <c r="R1452">
        <f t="shared" ref="R1452:R1515" si="177">MIN(Q1451*MAX(1-LN(MAX(ABS(P1452),0.0001)/Q1452),0)+MAX(-LN(MAX(ABS(P1452),0.0001)/Q1452),0),1)</f>
        <v>1.1777182454939819E-2</v>
      </c>
      <c r="S1452">
        <f t="shared" si="169"/>
        <v>13.814001798551018</v>
      </c>
      <c r="T1452" s="564">
        <f>IF((I1452-MAX(I$470:I1452))/MAX(I$470:I1452)&gt;T1451,T1451,(I1452-MAX(I$470:I1452))/MAX(I$470:I1452))</f>
        <v>-0.91338805338419748</v>
      </c>
      <c r="U1452" s="564">
        <f>IF((J1452-MAX(J$470:J1452))/MAX(J$470:J1452)&gt;U1451,U1451,(J1452-MAX(J$470:J1452))/MAX(J$470:J1452))</f>
        <v>-0.70517826086956548</v>
      </c>
      <c r="V1452" s="564">
        <f>IF((K1452-MAX(K$470:K1452))/MAX(K$470:K1452)&gt;V1451,V1451,(K1452-MAX(K$470:K1452))/MAX(K$470:K1452))</f>
        <v>-0.84885940676762139</v>
      </c>
      <c r="W1452" s="564">
        <f>IF((N1452-MAX(N$470:N1452))/MAX(N$470:N1452)&gt;W1451,W1451,(N1452-MAX(N$470:N1452))/MAX(N$470:N1452))</f>
        <v>-0.62788758315546067</v>
      </c>
      <c r="X1452" s="564">
        <f>IF((O1452-MAX(O$470:O1452))/MAX(O$470:O1452)&gt;X1451,X1451,(O1452-MAX(O$470:O1452))/MAX(O$470:O1452))</f>
        <v>-0.62788758315546067</v>
      </c>
    </row>
    <row r="1453" spans="1:24">
      <c r="A1453" s="799">
        <v>41855</v>
      </c>
      <c r="B1453">
        <v>586.59299999999996</v>
      </c>
      <c r="C1453">
        <v>268.412036</v>
      </c>
      <c r="D1453">
        <v>1.644172</v>
      </c>
      <c r="E1453">
        <f>LN(D1453/参数实验室!$E$53)/参数实验室!$E$55</f>
        <v>-0.10635143157224633</v>
      </c>
      <c r="F1453">
        <f t="shared" si="168"/>
        <v>0.45757797314321857</v>
      </c>
      <c r="G1453">
        <f>LN(F1453/参数实验室!$E$58)/参数实验室!$E$59</f>
        <v>-0.60086510160706286</v>
      </c>
      <c r="H1453" s="856">
        <f>INDEX(神经网络!$G$10:$BO$70,MATCH(ROUND(G1453*2,1)/2,神经网络!$E$10:$E$70,0),MATCH(ROUND(E1453*2,1)/2,神经网络!$G$8:$BO$8,0))</f>
        <v>-0.80225187632605699</v>
      </c>
      <c r="I1453">
        <f t="shared" si="170"/>
        <v>544.18178763067544</v>
      </c>
      <c r="J1453">
        <f t="shared" si="171"/>
        <v>234.06607876780637</v>
      </c>
      <c r="K1453">
        <f t="shared" si="172"/>
        <v>2.324906669498676</v>
      </c>
      <c r="L1453" s="4">
        <f>MIN(MAX(L1452*(1+MAX(MIN(((B1453-B1452)/B1452)/($K$7*卓尔金历!$N$40),0),-卓尔金历!$M$43))+MIN(MAX(((B1453-B1452)/B1452)/($K$7*卓尔金历!$N$40),0),卓尔金历!$M$43),0),1)</f>
        <v>0.56593568746872158</v>
      </c>
      <c r="M1453" s="4">
        <f>MIN(MAX(M1452*(1+MAX(MIN(((B1453-B1452)/B1452)/($K$7*30),0),-卓尔金历!$M$43))+MIN(MAX(((B1453-B1452)/B1452)/($K$7*7),0),卓尔金历!$M$43),0),1)</f>
        <v>0.86822672911317544</v>
      </c>
      <c r="N1453">
        <f t="shared" si="173"/>
        <v>633.26720698354461</v>
      </c>
      <c r="O1453">
        <f t="shared" si="174"/>
        <v>1345.5943616935374</v>
      </c>
      <c r="P1453">
        <f t="shared" si="175"/>
        <v>-4.223527834033106E-3</v>
      </c>
      <c r="Q1453">
        <f t="shared" si="176"/>
        <v>1.2444216015861558E-2</v>
      </c>
      <c r="R1453">
        <f t="shared" si="177"/>
        <v>1</v>
      </c>
      <c r="S1453">
        <f t="shared" si="169"/>
        <v>13.814553046534328</v>
      </c>
      <c r="T1453" s="564">
        <f>IF((I1453-MAX(I$470:I1453))/MAX(I$470:I1453)&gt;T1452,T1452,(I1453-MAX(I$470:I1453))/MAX(I$470:I1453))</f>
        <v>-0.91338805338419748</v>
      </c>
      <c r="U1453" s="564">
        <f>IF((J1453-MAX(J$470:J1453))/MAX(J$470:J1453)&gt;U1452,U1452,(J1453-MAX(J$470:J1453))/MAX(J$470:J1453))</f>
        <v>-0.70517826086956548</v>
      </c>
      <c r="V1453" s="564">
        <f>IF((K1453-MAX(K$470:K1453))/MAX(K$470:K1453)&gt;V1452,V1452,(K1453-MAX(K$470:K1453))/MAX(K$470:K1453))</f>
        <v>-0.84885940676762139</v>
      </c>
      <c r="W1453" s="564">
        <f>IF((N1453-MAX(N$470:N1453))/MAX(N$470:N1453)&gt;W1452,W1452,(N1453-MAX(N$470:N1453))/MAX(N$470:N1453))</f>
        <v>-0.62788758315546067</v>
      </c>
      <c r="X1453" s="564">
        <f>IF((O1453-MAX(O$470:O1453))/MAX(O$470:O1453)&gt;X1452,X1452,(O1453-MAX(O$470:O1453))/MAX(O$470:O1453))</f>
        <v>-0.62788758315546067</v>
      </c>
    </row>
    <row r="1454" spans="1:24">
      <c r="A1454" s="799">
        <v>41856</v>
      </c>
      <c r="B1454">
        <v>589.73</v>
      </c>
      <c r="C1454">
        <v>269.86495100000002</v>
      </c>
      <c r="D1454">
        <v>1.618598</v>
      </c>
      <c r="E1454">
        <f>LN(D1454/参数实验室!$E$53)/参数实验室!$E$55</f>
        <v>-0.12484591775929477</v>
      </c>
      <c r="F1454">
        <f t="shared" si="168"/>
        <v>0.45760763569769219</v>
      </c>
      <c r="G1454">
        <f>LN(F1454/参数实验室!$E$58)/参数实验室!$E$59</f>
        <v>-0.60083107897493515</v>
      </c>
      <c r="H1454" s="856">
        <f>INDEX(神经网络!$G$10:$BO$70,MATCH(ROUND(G1454*2,1)/2,神经网络!$E$10:$E$70,0),MATCH(ROUND(E1454*2,1)/2,神经网络!$G$8:$BO$8,0))</f>
        <v>-0.80225187632605699</v>
      </c>
      <c r="I1454">
        <f t="shared" si="170"/>
        <v>541.84708062187462</v>
      </c>
      <c r="J1454">
        <f t="shared" si="171"/>
        <v>235.31782450819983</v>
      </c>
      <c r="K1454">
        <f t="shared" si="172"/>
        <v>2.3026180942914229</v>
      </c>
      <c r="L1454" s="4">
        <f>MIN(MAX(L1453*(1+MAX(MIN(((B1454-B1453)/B1453)/($K$7*卓尔金历!$N$40),0),-卓尔金历!$M$43))+MIN(MAX(((B1454-B1453)/B1453)/($K$7*卓尔金历!$N$40),0),卓尔金历!$M$43),0),1)</f>
        <v>0.64764540723404285</v>
      </c>
      <c r="M1454" s="4">
        <f>MIN(MAX(M1453*(1+MAX(MIN(((B1454-B1453)/B1453)/($K$7*30),0),-卓尔金历!$M$43))+MIN(MAX(((B1454-B1453)/B1453)/($K$7*7),0),卓尔金历!$M$43),0),1)</f>
        <v>1</v>
      </c>
      <c r="N1454">
        <f t="shared" si="173"/>
        <v>631.72961019112017</v>
      </c>
      <c r="O1454">
        <f t="shared" si="174"/>
        <v>1340.5820774150293</v>
      </c>
      <c r="P1454">
        <f t="shared" si="175"/>
        <v>5.347830608275342E-3</v>
      </c>
      <c r="Q1454">
        <f t="shared" si="176"/>
        <v>1.24158627185129E-2</v>
      </c>
      <c r="R1454">
        <f t="shared" si="177"/>
        <v>0.86520970074992321</v>
      </c>
      <c r="S1454">
        <f t="shared" si="169"/>
        <v>13.75528437096615</v>
      </c>
      <c r="T1454" s="564">
        <f>IF((I1454-MAX(I$470:I1454))/MAX(I$470:I1454)&gt;T1453,T1453,(I1454-MAX(I$470:I1454))/MAX(I$470:I1454))</f>
        <v>-0.91338805338419748</v>
      </c>
      <c r="U1454" s="564">
        <f>IF((J1454-MAX(J$470:J1454))/MAX(J$470:J1454)&gt;U1453,U1453,(J1454-MAX(J$470:J1454))/MAX(J$470:J1454))</f>
        <v>-0.70517826086956548</v>
      </c>
      <c r="V1454" s="564">
        <f>IF((K1454-MAX(K$470:K1454))/MAX(K$470:K1454)&gt;V1453,V1453,(K1454-MAX(K$470:K1454))/MAX(K$470:K1454))</f>
        <v>-0.84885940676762139</v>
      </c>
      <c r="W1454" s="564">
        <f>IF((N1454-MAX(N$470:N1454))/MAX(N$470:N1454)&gt;W1453,W1453,(N1454-MAX(N$470:N1454))/MAX(N$470:N1454))</f>
        <v>-0.62788758315546067</v>
      </c>
      <c r="X1454" s="564">
        <f>IF((O1454-MAX(O$470:O1454))/MAX(O$470:O1454)&gt;X1453,X1453,(O1454-MAX(O$470:O1454))/MAX(O$470:O1454))</f>
        <v>-0.62788758315546067</v>
      </c>
    </row>
    <row r="1455" spans="1:24">
      <c r="A1455" s="799">
        <v>41857</v>
      </c>
      <c r="B1455">
        <v>586.44899999999996</v>
      </c>
      <c r="C1455">
        <v>267.68774100000002</v>
      </c>
      <c r="D1455">
        <v>1.619167</v>
      </c>
      <c r="E1455">
        <f>LN(D1455/参数实验室!$E$53)/参数实验室!$E$55</f>
        <v>-0.12443126159818932</v>
      </c>
      <c r="F1455">
        <f t="shared" si="168"/>
        <v>0.45645527744100517</v>
      </c>
      <c r="G1455">
        <f>LN(F1455/参数实验室!$E$58)/参数实验室!$E$59</f>
        <v>-0.60215444567504572</v>
      </c>
      <c r="H1455" s="856">
        <f>INDEX(神经网络!$G$10:$BO$70,MATCH(ROUND(G1455*2,1)/2,神经网络!$E$10:$E$70,0),MATCH(ROUND(E1455*2,1)/2,神经网络!$G$8:$BO$8,0))</f>
        <v>-0.80225187632605699</v>
      </c>
      <c r="I1455">
        <f t="shared" si="170"/>
        <v>544.26554941871416</v>
      </c>
      <c r="J1455">
        <f t="shared" si="171"/>
        <v>234.00861896971369</v>
      </c>
      <c r="K1455">
        <f t="shared" si="172"/>
        <v>2.3258354833894179</v>
      </c>
      <c r="L1455" s="4">
        <f>MIN(MAX(L1454*(1+MAX(MIN(((B1455-B1454)/B1454)/($K$7*卓尔金历!$N$40),0),-卓尔金历!$M$43))+MIN(MAX(((B1455-B1454)/B1454)/($K$7*卓尔金历!$N$40),0),卓尔金历!$M$43),0),1)</f>
        <v>0.59259172425680762</v>
      </c>
      <c r="M1455" s="4">
        <f>MIN(MAX(M1454*(1+MAX(MIN(((B1455-B1454)/B1454)/($K$7*30),0),-卓尔金历!$M$43))+MIN(MAX(((B1455-B1454)/B1454)/($K$7*7),0),卓尔金历!$M$43),0),1)</f>
        <v>0.95749704825951143</v>
      </c>
      <c r="N1455">
        <f t="shared" si="173"/>
        <v>633.5557426425778</v>
      </c>
      <c r="O1455">
        <f t="shared" si="174"/>
        <v>1346.5656030992677</v>
      </c>
      <c r="P1455">
        <f t="shared" si="175"/>
        <v>-5.5635629864515335E-3</v>
      </c>
      <c r="Q1455">
        <f t="shared" si="176"/>
        <v>1.2279005520771163E-2</v>
      </c>
      <c r="R1455">
        <f t="shared" si="177"/>
        <v>0.81389711571802326</v>
      </c>
      <c r="S1455">
        <f t="shared" si="169"/>
        <v>13.808403959709562</v>
      </c>
      <c r="T1455" s="564">
        <f>IF((I1455-MAX(I$470:I1455))/MAX(I$470:I1455)&gt;T1454,T1454,(I1455-MAX(I$470:I1455))/MAX(I$470:I1455))</f>
        <v>-0.91338805338419748</v>
      </c>
      <c r="U1455" s="564">
        <f>IF((J1455-MAX(J$470:J1455))/MAX(J$470:J1455)&gt;U1454,U1454,(J1455-MAX(J$470:J1455))/MAX(J$470:J1455))</f>
        <v>-0.70517826086956548</v>
      </c>
      <c r="V1455" s="564">
        <f>IF((K1455-MAX(K$470:K1455))/MAX(K$470:K1455)&gt;V1454,V1454,(K1455-MAX(K$470:K1455))/MAX(K$470:K1455))</f>
        <v>-0.84885940676762139</v>
      </c>
      <c r="W1455" s="564">
        <f>IF((N1455-MAX(N$470:N1455))/MAX(N$470:N1455)&gt;W1454,W1454,(N1455-MAX(N$470:N1455))/MAX(N$470:N1455))</f>
        <v>-0.62788758315546067</v>
      </c>
      <c r="X1455" s="564">
        <f>IF((O1455-MAX(O$470:O1455))/MAX(O$470:O1455)&gt;X1454,X1454,(O1455-MAX(O$470:O1455))/MAX(O$470:O1455))</f>
        <v>-0.62788758315546067</v>
      </c>
    </row>
    <row r="1456" spans="1:24">
      <c r="A1456" s="799">
        <v>41858</v>
      </c>
      <c r="B1456">
        <v>586.66200000000003</v>
      </c>
      <c r="C1456">
        <v>266.21844599999997</v>
      </c>
      <c r="D1456">
        <v>1.62893</v>
      </c>
      <c r="E1456">
        <f>LN(D1456/参数实验室!$E$53)/参数实验室!$E$55</f>
        <v>-0.11733913004688683</v>
      </c>
      <c r="F1456">
        <f t="shared" si="168"/>
        <v>0.4537850516992748</v>
      </c>
      <c r="G1456">
        <f>LN(F1456/参数实验室!$E$58)/参数实验室!$E$59</f>
        <v>-0.60523381439087787</v>
      </c>
      <c r="H1456" s="856">
        <f>INDEX(神经网络!$G$10:$BO$70,MATCH(ROUND(G1456*2,1)/2,神经网络!$E$10:$E$70,0),MATCH(ROUND(E1456*2,1)/2,神经网络!$G$8:$BO$8,0))</f>
        <v>-0.80225187632605699</v>
      </c>
      <c r="I1456">
        <f t="shared" si="170"/>
        <v>544.10696119295994</v>
      </c>
      <c r="J1456">
        <f t="shared" si="171"/>
        <v>234.09361158772577</v>
      </c>
      <c r="K1456">
        <f t="shared" si="172"/>
        <v>2.324313583367728</v>
      </c>
      <c r="L1456" s="4">
        <f>MIN(MAX(L1455*(1+MAX(MIN(((B1456-B1455)/B1455)/($K$7*卓尔金历!$N$40),0),-卓尔金历!$M$43))+MIN(MAX(((B1456-B1455)/B1455)/($K$7*卓尔金历!$N$40),0),卓尔金历!$M$43),0),1)</f>
        <v>0.59814111661520875</v>
      </c>
      <c r="M1456" s="4">
        <f>MIN(MAX(M1455*(1+MAX(MIN(((B1456-B1455)/B1455)/($K$7*30),0),-卓尔金历!$M$43))+MIN(MAX(((B1456-B1455)/B1455)/($K$7*7),0),卓尔金历!$M$43),0),1)</f>
        <v>0.96938860331322818</v>
      </c>
      <c r="N1456">
        <f t="shared" si="173"/>
        <v>633.44634687779467</v>
      </c>
      <c r="O1456">
        <f t="shared" si="174"/>
        <v>1346.1899170612407</v>
      </c>
      <c r="P1456">
        <f t="shared" si="175"/>
        <v>3.6320293836306165E-4</v>
      </c>
      <c r="Q1456">
        <f t="shared" si="176"/>
        <v>1.2172543273517354E-2</v>
      </c>
      <c r="R1456">
        <f t="shared" si="177"/>
        <v>1</v>
      </c>
      <c r="S1456">
        <f t="shared" si="169"/>
        <v>13.805129247885001</v>
      </c>
      <c r="T1456" s="564">
        <f>IF((I1456-MAX(I$470:I1456))/MAX(I$470:I1456)&gt;T1455,T1455,(I1456-MAX(I$470:I1456))/MAX(I$470:I1456))</f>
        <v>-0.91338805338419748</v>
      </c>
      <c r="U1456" s="564">
        <f>IF((J1456-MAX(J$470:J1456))/MAX(J$470:J1456)&gt;U1455,U1455,(J1456-MAX(J$470:J1456))/MAX(J$470:J1456))</f>
        <v>-0.70517826086956548</v>
      </c>
      <c r="V1456" s="564">
        <f>IF((K1456-MAX(K$470:K1456))/MAX(K$470:K1456)&gt;V1455,V1455,(K1456-MAX(K$470:K1456))/MAX(K$470:K1456))</f>
        <v>-0.84885940676762139</v>
      </c>
      <c r="W1456" s="564">
        <f>IF((N1456-MAX(N$470:N1456))/MAX(N$470:N1456)&gt;W1455,W1455,(N1456-MAX(N$470:N1456))/MAX(N$470:N1456))</f>
        <v>-0.62788758315546067</v>
      </c>
      <c r="X1456" s="564">
        <f>IF((O1456-MAX(O$470:O1456))/MAX(O$470:O1456)&gt;X1455,X1455,(O1456-MAX(O$470:O1456))/MAX(O$470:O1456))</f>
        <v>-0.62788758315546067</v>
      </c>
    </row>
    <row r="1457" spans="1:24">
      <c r="A1457" s="799">
        <v>41859</v>
      </c>
      <c r="B1457">
        <v>589.68299999999999</v>
      </c>
      <c r="C1457">
        <v>267.86691000000002</v>
      </c>
      <c r="D1457">
        <v>1.6366130000000001</v>
      </c>
      <c r="E1457">
        <f>LN(D1457/参数实验室!$E$53)/参数实验室!$E$55</f>
        <v>-0.11178779546152978</v>
      </c>
      <c r="F1457">
        <f t="shared" si="168"/>
        <v>0.45425577810450701</v>
      </c>
      <c r="G1457">
        <f>LN(F1457/参数实验室!$E$58)/参数实验室!$E$59</f>
        <v>-0.60468964793713742</v>
      </c>
      <c r="H1457" s="856">
        <f>INDEX(神经网络!$G$10:$BO$70,MATCH(ROUND(G1457*2,1)/2,神经网络!$E$10:$E$70,0),MATCH(ROUND(E1457*2,1)/2,神经网络!$G$8:$BO$8,0))</f>
        <v>-0.80225187632605699</v>
      </c>
      <c r="I1457">
        <f t="shared" si="170"/>
        <v>541.85916055296843</v>
      </c>
      <c r="J1457">
        <f t="shared" si="171"/>
        <v>235.29907026854454</v>
      </c>
      <c r="K1457">
        <f t="shared" si="172"/>
        <v>2.3028529604241523</v>
      </c>
      <c r="L1457" s="4">
        <f>MIN(MAX(L1456*(1+MAX(MIN(((B1457-B1456)/B1456)/($K$7*卓尔金历!$N$40),0),-卓尔金历!$M$43))+MIN(MAX(((B1457-B1456)/B1456)/($K$7*卓尔金历!$N$40),0),卓尔金历!$M$43),0),1)</f>
        <v>0.67682011911267781</v>
      </c>
      <c r="M1457" s="4">
        <f>MIN(MAX(M1456*(1+MAX(MIN(((B1457-B1456)/B1456)/($K$7*30),0),-卓尔金历!$M$43))+MIN(MAX(((B1457-B1456)/B1456)/($K$7*7),0),卓尔金历!$M$43),0),1)</f>
        <v>1</v>
      </c>
      <c r="N1457">
        <f t="shared" si="173"/>
        <v>631.88108502425814</v>
      </c>
      <c r="O1457">
        <f t="shared" si="174"/>
        <v>1340.7988125474371</v>
      </c>
      <c r="P1457">
        <f t="shared" si="175"/>
        <v>5.1494727798970415E-3</v>
      </c>
      <c r="Q1457">
        <f t="shared" si="176"/>
        <v>1.2256380967885366E-2</v>
      </c>
      <c r="R1457">
        <f t="shared" si="177"/>
        <v>0.88988035301145774</v>
      </c>
      <c r="S1457">
        <f t="shared" si="169"/>
        <v>13.748097854111753</v>
      </c>
      <c r="T1457" s="564">
        <f>IF((I1457-MAX(I$470:I1457))/MAX(I$470:I1457)&gt;T1456,T1456,(I1457-MAX(I$470:I1457))/MAX(I$470:I1457))</f>
        <v>-0.91338805338419748</v>
      </c>
      <c r="U1457" s="564">
        <f>IF((J1457-MAX(J$470:J1457))/MAX(J$470:J1457)&gt;U1456,U1456,(J1457-MAX(J$470:J1457))/MAX(J$470:J1457))</f>
        <v>-0.70517826086956548</v>
      </c>
      <c r="V1457" s="564">
        <f>IF((K1457-MAX(K$470:K1457))/MAX(K$470:K1457)&gt;V1456,V1456,(K1457-MAX(K$470:K1457))/MAX(K$470:K1457))</f>
        <v>-0.84885940676762139</v>
      </c>
      <c r="W1457" s="564">
        <f>IF((N1457-MAX(N$470:N1457))/MAX(N$470:N1457)&gt;W1456,W1456,(N1457-MAX(N$470:N1457))/MAX(N$470:N1457))</f>
        <v>-0.62788758315546067</v>
      </c>
      <c r="X1457" s="564">
        <f>IF((O1457-MAX(O$470:O1457))/MAX(O$470:O1457)&gt;X1456,X1456,(O1457-MAX(O$470:O1457))/MAX(O$470:O1457))</f>
        <v>-0.62788758315546067</v>
      </c>
    </row>
    <row r="1458" spans="1:24">
      <c r="A1458" s="799">
        <v>41860</v>
      </c>
      <c r="B1458">
        <v>593.09</v>
      </c>
      <c r="C1458">
        <v>262.49862899999999</v>
      </c>
      <c r="D1458">
        <v>1.6356269999999999</v>
      </c>
      <c r="E1458">
        <f>LN(D1458/参数实验室!$E$53)/参数实验室!$E$55</f>
        <v>-0.11249876821032716</v>
      </c>
      <c r="F1458">
        <f t="shared" si="168"/>
        <v>0.44259493331534838</v>
      </c>
      <c r="G1458">
        <f>LN(F1458/参数实验室!$E$58)/参数实验室!$E$59</f>
        <v>-0.61833871208929458</v>
      </c>
      <c r="H1458" s="856">
        <f>INDEX(神经网络!$G$10:$BO$70,MATCH(ROUND(G1458*2,1)/2,神经网络!$E$10:$E$70,0),MATCH(ROUND(E1458*2,1)/2,神经网络!$G$8:$BO$8,0))</f>
        <v>-0.80225187632605699</v>
      </c>
      <c r="I1458">
        <f t="shared" si="170"/>
        <v>539.34755932184032</v>
      </c>
      <c r="J1458">
        <f t="shared" si="171"/>
        <v>236.65855313036175</v>
      </c>
      <c r="K1458">
        <f t="shared" si="172"/>
        <v>2.279011479567123</v>
      </c>
      <c r="L1458" s="4">
        <f>MIN(MAX(L1457*(1+MAX(MIN(((B1458-B1457)/B1457)/($K$7*卓尔金历!$N$40),0),-卓尔金历!$M$43))+MIN(MAX(((B1458-B1457)/B1457)/($K$7*卓尔金历!$N$40),0),卓尔金历!$M$43),0),1)</f>
        <v>0.76509753349749388</v>
      </c>
      <c r="M1458" s="4">
        <f>MIN(MAX(M1457*(1+MAX(MIN(((B1458-B1457)/B1457)/($K$7*30),0),-卓尔金历!$M$43))+MIN(MAX(((B1458-B1457)/B1457)/($K$7*7),0),卓尔金历!$M$43),0),1)</f>
        <v>1</v>
      </c>
      <c r="N1458">
        <f t="shared" si="173"/>
        <v>629.89876904100458</v>
      </c>
      <c r="O1458">
        <f t="shared" si="174"/>
        <v>1334.5840021438396</v>
      </c>
      <c r="P1458">
        <f t="shared" si="175"/>
        <v>5.7776805503974831E-3</v>
      </c>
      <c r="Q1458">
        <f t="shared" si="176"/>
        <v>1.2004250022686163E-2</v>
      </c>
      <c r="R1458">
        <f t="shared" si="177"/>
        <v>0.75247740537786767</v>
      </c>
      <c r="S1458">
        <f t="shared" si="169"/>
        <v>13.691390615387972</v>
      </c>
      <c r="T1458" s="564">
        <f>IF((I1458-MAX(I$470:I1458))/MAX(I$470:I1458)&gt;T1457,T1457,(I1458-MAX(I$470:I1458))/MAX(I$470:I1458))</f>
        <v>-0.91338805338419748</v>
      </c>
      <c r="U1458" s="564">
        <f>IF((J1458-MAX(J$470:J1458))/MAX(J$470:J1458)&gt;U1457,U1457,(J1458-MAX(J$470:J1458))/MAX(J$470:J1458))</f>
        <v>-0.70517826086956548</v>
      </c>
      <c r="V1458" s="564">
        <f>IF((K1458-MAX(K$470:K1458))/MAX(K$470:K1458)&gt;V1457,V1457,(K1458-MAX(K$470:K1458))/MAX(K$470:K1458))</f>
        <v>-0.84885940676762139</v>
      </c>
      <c r="W1458" s="564">
        <f>IF((N1458-MAX(N$470:N1458))/MAX(N$470:N1458)&gt;W1457,W1457,(N1458-MAX(N$470:N1458))/MAX(N$470:N1458))</f>
        <v>-0.62788758315546067</v>
      </c>
      <c r="X1458" s="564">
        <f>IF((O1458-MAX(O$470:O1458))/MAX(O$470:O1458)&gt;X1457,X1457,(O1458-MAX(O$470:O1458))/MAX(O$470:O1458))</f>
        <v>-0.62788758315546067</v>
      </c>
    </row>
    <row r="1459" spans="1:24">
      <c r="A1459" s="799">
        <v>41861</v>
      </c>
      <c r="B1459">
        <v>589.51099999999997</v>
      </c>
      <c r="C1459">
        <v>259.25708300000002</v>
      </c>
      <c r="D1459">
        <v>1.636018</v>
      </c>
      <c r="E1459">
        <f>LN(D1459/参数实验室!$E$53)/参数实验室!$E$55</f>
        <v>-0.11221677947341395</v>
      </c>
      <c r="F1459">
        <f t="shared" si="168"/>
        <v>0.4397832830939542</v>
      </c>
      <c r="G1459">
        <f>LN(F1459/参数实验室!$E$58)/参数实验室!$E$59</f>
        <v>-0.6216835611653766</v>
      </c>
      <c r="H1459" s="856">
        <f>INDEX(神经网络!$G$10:$BO$70,MATCH(ROUND(G1459*2,1)/2,神经网络!$E$10:$E$70,0),MATCH(ROUND(E1459*2,1)/2,神经网络!$G$8:$BO$8,0))</f>
        <v>-0.80225187632605699</v>
      </c>
      <c r="I1459">
        <f t="shared" si="170"/>
        <v>541.9586415940546</v>
      </c>
      <c r="J1459">
        <f t="shared" si="171"/>
        <v>235.23043773193388</v>
      </c>
      <c r="K1459">
        <f t="shared" si="172"/>
        <v>2.3039477663671439</v>
      </c>
      <c r="L1459" s="4">
        <f>MIN(MAX(L1458*(1+MAX(MIN(((B1459-B1458)/B1458)/($K$7*卓尔金历!$N$40),0),-卓尔金历!$M$43))+MIN(MAX(((B1459-B1458)/B1458)/($K$7*卓尔金历!$N$40),0),卓尔金历!$M$43),0),1)</f>
        <v>0.69455452503093196</v>
      </c>
      <c r="M1459" s="4">
        <f>MIN(MAX(M1458*(1+MAX(MIN(((B1459-B1458)/B1458)/($K$7*30),0),-卓尔金历!$M$43))+MIN(MAX(((B1459-B1458)/B1458)/($K$7*7),0),卓尔金历!$M$43),0),1)</f>
        <v>0.95389933611203237</v>
      </c>
      <c r="N1459">
        <f t="shared" si="173"/>
        <v>632.23190152262691</v>
      </c>
      <c r="O1459">
        <f t="shared" si="174"/>
        <v>1341.0449725673643</v>
      </c>
      <c r="P1459">
        <f t="shared" si="175"/>
        <v>-6.0344972938340966E-3</v>
      </c>
      <c r="Q1459">
        <f t="shared" si="176"/>
        <v>1.2016889570096811E-2</v>
      </c>
      <c r="R1459">
        <f t="shared" si="177"/>
        <v>0.7090935961739655</v>
      </c>
      <c r="S1459">
        <f t="shared" si="169"/>
        <v>13.741266758607152</v>
      </c>
      <c r="T1459" s="564">
        <f>IF((I1459-MAX(I$470:I1459))/MAX(I$470:I1459)&gt;T1458,T1458,(I1459-MAX(I$470:I1459))/MAX(I$470:I1459))</f>
        <v>-0.91338805338419748</v>
      </c>
      <c r="U1459" s="564">
        <f>IF((J1459-MAX(J$470:J1459))/MAX(J$470:J1459)&gt;U1458,U1458,(J1459-MAX(J$470:J1459))/MAX(J$470:J1459))</f>
        <v>-0.70517826086956548</v>
      </c>
      <c r="V1459" s="564">
        <f>IF((K1459-MAX(K$470:K1459))/MAX(K$470:K1459)&gt;V1458,V1458,(K1459-MAX(K$470:K1459))/MAX(K$470:K1459))</f>
        <v>-0.84885940676762139</v>
      </c>
      <c r="W1459" s="564">
        <f>IF((N1459-MAX(N$470:N1459))/MAX(N$470:N1459)&gt;W1458,W1458,(N1459-MAX(N$470:N1459))/MAX(N$470:N1459))</f>
        <v>-0.62788758315546067</v>
      </c>
      <c r="X1459" s="564">
        <f>IF((O1459-MAX(O$470:O1459))/MAX(O$470:O1459)&gt;X1458,X1458,(O1459-MAX(O$470:O1459))/MAX(O$470:O1459))</f>
        <v>-0.62788758315546067</v>
      </c>
    </row>
    <row r="1460" spans="1:24">
      <c r="A1460" s="799">
        <v>41862</v>
      </c>
      <c r="B1460">
        <v>590.39200000000005</v>
      </c>
      <c r="C1460">
        <v>255.424958</v>
      </c>
      <c r="D1460">
        <v>1.5918159999999999</v>
      </c>
      <c r="E1460">
        <f>LN(D1460/参数实验室!$E$53)/参数实验室!$E$55</f>
        <v>-0.1445299113905899</v>
      </c>
      <c r="F1460">
        <f t="shared" si="168"/>
        <v>0.43263621119527362</v>
      </c>
      <c r="G1460">
        <f>LN(F1460/参数实验室!$E$58)/参数实验室!$E$59</f>
        <v>-0.63028321655446296</v>
      </c>
      <c r="H1460" s="856">
        <f>INDEX(神经网络!$G$10:$BO$70,MATCH(ROUND(G1460*2,1)/2,神经网络!$E$10:$E$70,0),MATCH(ROUND(E1460*2,1)/2,神经网络!$G$8:$BO$8,0))</f>
        <v>-0.87399963156729488</v>
      </c>
      <c r="I1460">
        <f t="shared" si="170"/>
        <v>541.3088697594427</v>
      </c>
      <c r="J1460">
        <f t="shared" si="171"/>
        <v>235.58197996887577</v>
      </c>
      <c r="K1460">
        <f t="shared" si="172"/>
        <v>2.2977515930164034</v>
      </c>
      <c r="L1460" s="4">
        <f>MIN(MAX(L1459*(1+MAX(MIN(((B1460-B1459)/B1459)/($K$7*卓尔金历!$N$40),0),-卓尔金历!$M$43))+MIN(MAX(((B1460-B1459)/B1459)/($K$7*卓尔金历!$N$40),0),卓尔金历!$M$43),0),1)</f>
        <v>0.71738842391924162</v>
      </c>
      <c r="M1460" s="4">
        <f>MIN(MAX(M1459*(1+MAX(MIN(((B1460-B1459)/B1459)/($K$7*30),0),-卓尔金历!$M$43))+MIN(MAX(((B1460-B1459)/B1459)/($K$7*7),0),卓尔金历!$M$43),0),1)</f>
        <v>1</v>
      </c>
      <c r="N1460">
        <f t="shared" si="173"/>
        <v>631.70542684454142</v>
      </c>
      <c r="O1460">
        <f t="shared" si="174"/>
        <v>1339.5112718328205</v>
      </c>
      <c r="P1460">
        <f t="shared" si="175"/>
        <v>1.4944589668387622E-3</v>
      </c>
      <c r="Q1460">
        <f t="shared" si="176"/>
        <v>1.2002536018228625E-2</v>
      </c>
      <c r="R1460">
        <f t="shared" si="177"/>
        <v>1</v>
      </c>
      <c r="S1460">
        <f t="shared" si="169"/>
        <v>13.729584546946921</v>
      </c>
      <c r="T1460" s="564">
        <f>IF((I1460-MAX(I$470:I1460))/MAX(I$470:I1460)&gt;T1459,T1459,(I1460-MAX(I$470:I1460))/MAX(I$470:I1460))</f>
        <v>-0.91338805338419748</v>
      </c>
      <c r="U1460" s="564">
        <f>IF((J1460-MAX(J$470:J1460))/MAX(J$470:J1460)&gt;U1459,U1459,(J1460-MAX(J$470:J1460))/MAX(J$470:J1460))</f>
        <v>-0.70517826086956548</v>
      </c>
      <c r="V1460" s="564">
        <f>IF((K1460-MAX(K$470:K1460))/MAX(K$470:K1460)&gt;V1459,V1459,(K1460-MAX(K$470:K1460))/MAX(K$470:K1460))</f>
        <v>-0.84885940676762139</v>
      </c>
      <c r="W1460" s="564">
        <f>IF((N1460-MAX(N$470:N1460))/MAX(N$470:N1460)&gt;W1459,W1459,(N1460-MAX(N$470:N1460))/MAX(N$470:N1460))</f>
        <v>-0.62788758315546067</v>
      </c>
      <c r="X1460" s="564">
        <f>IF((O1460-MAX(O$470:O1460))/MAX(O$470:O1460)&gt;X1459,X1459,(O1460-MAX(O$470:O1460))/MAX(O$470:O1460))</f>
        <v>-0.62788758315546067</v>
      </c>
    </row>
    <row r="1461" spans="1:24">
      <c r="A1461" s="799">
        <v>41863</v>
      </c>
      <c r="B1461">
        <v>580.49900000000002</v>
      </c>
      <c r="C1461">
        <v>253.42604</v>
      </c>
      <c r="D1461">
        <v>1.5774760000000001</v>
      </c>
      <c r="E1461">
        <f>LN(D1461/参数实验室!$E$53)/参数实验室!$E$55</f>
        <v>-0.15520597214466123</v>
      </c>
      <c r="F1461">
        <f t="shared" si="168"/>
        <v>0.43656585110396401</v>
      </c>
      <c r="G1461">
        <f>LN(F1461/参数实验室!$E$58)/参数实验室!$E$59</f>
        <v>-0.62553748127510655</v>
      </c>
      <c r="H1461" s="856">
        <f>INDEX(神经网络!$G$10:$BO$70,MATCH(ROUND(G1461*2,1)/2,神经网络!$E$10:$E$70,0),MATCH(ROUND(E1461*2,1)/2,神经网络!$G$8:$BO$8,0))</f>
        <v>-0.87399963156729488</v>
      </c>
      <c r="I1461">
        <f t="shared" si="170"/>
        <v>549.23651008281445</v>
      </c>
      <c r="J1461">
        <f t="shared" si="171"/>
        <v>231.63441203463529</v>
      </c>
      <c r="K1461">
        <f t="shared" si="172"/>
        <v>2.3711352093949216</v>
      </c>
      <c r="L1461" s="4">
        <f>MIN(MAX(L1460*(1+MAX(MIN(((B1461-B1460)/B1460)/($K$7*卓尔金历!$N$40),0),-卓尔金历!$M$43))+MIN(MAX(((B1461-B1460)/B1460)/($K$7*卓尔金历!$N$40),0),卓尔金历!$M$43),0),1)</f>
        <v>0.53371852460288494</v>
      </c>
      <c r="M1461" s="4">
        <f>MIN(MAX(M1460*(1+MAX(MIN(((B1461-B1460)/B1460)/($K$7*30),0),-卓尔金历!$M$43))+MIN(MAX(((B1461-B1460)/B1460)/($K$7*7),0),卓尔金历!$M$43),0),1)</f>
        <v>0.87198713194106903</v>
      </c>
      <c r="N1461">
        <f t="shared" si="173"/>
        <v>638.3423649401733</v>
      </c>
      <c r="O1461">
        <f t="shared" si="174"/>
        <v>1359.1288398525576</v>
      </c>
      <c r="P1461">
        <f t="shared" si="175"/>
        <v>-1.6756663369422397E-2</v>
      </c>
      <c r="Q1461">
        <f t="shared" si="176"/>
        <v>1.2332709195252912E-2</v>
      </c>
      <c r="R1461">
        <f t="shared" si="177"/>
        <v>8.3232669204196079E-3</v>
      </c>
      <c r="S1461">
        <f t="shared" si="169"/>
        <v>13.9306586733064</v>
      </c>
      <c r="T1461" s="564">
        <f>IF((I1461-MAX(I$470:I1461))/MAX(I$470:I1461)&gt;T1460,T1460,(I1461-MAX(I$470:I1461))/MAX(I$470:I1461))</f>
        <v>-0.91338805338419748</v>
      </c>
      <c r="U1461" s="564">
        <f>IF((J1461-MAX(J$470:J1461))/MAX(J$470:J1461)&gt;U1460,U1460,(J1461-MAX(J$470:J1461))/MAX(J$470:J1461))</f>
        <v>-0.70517826086956548</v>
      </c>
      <c r="V1461" s="564">
        <f>IF((K1461-MAX(K$470:K1461))/MAX(K$470:K1461)&gt;V1460,V1460,(K1461-MAX(K$470:K1461))/MAX(K$470:K1461))</f>
        <v>-0.84885940676762139</v>
      </c>
      <c r="W1461" s="564">
        <f>IF((N1461-MAX(N$470:N1461))/MAX(N$470:N1461)&gt;W1460,W1460,(N1461-MAX(N$470:N1461))/MAX(N$470:N1461))</f>
        <v>-0.62788758315546067</v>
      </c>
      <c r="X1461" s="564">
        <f>IF((O1461-MAX(O$470:O1461))/MAX(O$470:O1461)&gt;X1460,X1460,(O1461-MAX(O$470:O1461))/MAX(O$470:O1461))</f>
        <v>-0.62788758315546067</v>
      </c>
    </row>
    <row r="1462" spans="1:24">
      <c r="A1462" s="799">
        <v>41864</v>
      </c>
      <c r="B1462">
        <v>569.529</v>
      </c>
      <c r="C1462">
        <v>252.04412099999999</v>
      </c>
      <c r="D1462">
        <v>1.5224770000000001</v>
      </c>
      <c r="E1462">
        <f>LN(D1462/参数实验室!$E$53)/参数实验室!$E$55</f>
        <v>-0.19707245077996885</v>
      </c>
      <c r="F1462">
        <f t="shared" si="168"/>
        <v>0.4425483531128353</v>
      </c>
      <c r="G1462">
        <f>LN(F1462/参数实验室!$E$58)/参数实验室!$E$59</f>
        <v>-0.61839395242837636</v>
      </c>
      <c r="H1462" s="856">
        <f>INDEX(神经网络!$G$10:$BO$70,MATCH(ROUND(G1462*2,1)/2,神经网络!$E$10:$E$70,0),MATCH(ROUND(E1462*2,1)/2,神经网络!$G$8:$BO$8,0))</f>
        <v>-0.84969202084119766</v>
      </c>
      <c r="I1462">
        <f t="shared" si="170"/>
        <v>558.30794105304676</v>
      </c>
      <c r="J1462">
        <f t="shared" si="171"/>
        <v>227.25709269382688</v>
      </c>
      <c r="K1462">
        <f t="shared" si="172"/>
        <v>2.4567239439484938</v>
      </c>
      <c r="L1462" s="4">
        <f>MIN(MAX(L1461*(1+MAX(MIN(((B1462-B1461)/B1461)/($K$7*卓尔金历!$N$40),0),-卓尔金历!$M$43))+MIN(MAX(((B1462-B1461)/B1461)/($K$7*卓尔金历!$N$40),0),卓尔金历!$M$43),0),1)</f>
        <v>0.37961466822444817</v>
      </c>
      <c r="M1462" s="4">
        <f>MIN(MAX(M1461*(1+MAX(MIN(((B1462-B1461)/B1461)/($K$7*30),0),-卓尔金历!$M$43))+MIN(MAX(((B1462-B1461)/B1461)/($K$7*7),0),卓尔金历!$M$43),0),1)</f>
        <v>0.74610000834490486</v>
      </c>
      <c r="N1462">
        <f t="shared" si="173"/>
        <v>643.96943530950489</v>
      </c>
      <c r="O1462">
        <f t="shared" si="174"/>
        <v>1378.7031788448328</v>
      </c>
      <c r="P1462">
        <f t="shared" si="175"/>
        <v>-1.8897534707208844E-2</v>
      </c>
      <c r="Q1462">
        <f t="shared" si="176"/>
        <v>1.2721721568301815E-2</v>
      </c>
      <c r="R1462">
        <f t="shared" si="177"/>
        <v>7.4524023273247171E-3</v>
      </c>
      <c r="S1462">
        <f t="shared" si="169"/>
        <v>13.932573731055923</v>
      </c>
      <c r="T1462" s="564">
        <f>IF((I1462-MAX(I$470:I1462))/MAX(I$470:I1462)&gt;T1461,T1461,(I1462-MAX(I$470:I1462))/MAX(I$470:I1462))</f>
        <v>-0.91338805338419748</v>
      </c>
      <c r="U1462" s="564">
        <f>IF((J1462-MAX(J$470:J1462))/MAX(J$470:J1462)&gt;U1461,U1461,(J1462-MAX(J$470:J1462))/MAX(J$470:J1462))</f>
        <v>-0.70517826086956548</v>
      </c>
      <c r="V1462" s="564">
        <f>IF((K1462-MAX(K$470:K1462))/MAX(K$470:K1462)&gt;V1461,V1461,(K1462-MAX(K$470:K1462))/MAX(K$470:K1462))</f>
        <v>-0.84885940676762139</v>
      </c>
      <c r="W1462" s="564">
        <f>IF((N1462-MAX(N$470:N1462))/MAX(N$470:N1462)&gt;W1461,W1461,(N1462-MAX(N$470:N1462))/MAX(N$470:N1462))</f>
        <v>-0.62788758315546067</v>
      </c>
      <c r="X1462" s="564">
        <f>IF((O1462-MAX(O$470:O1462))/MAX(O$470:O1462)&gt;X1461,X1461,(O1462-MAX(O$470:O1462))/MAX(O$470:O1462))</f>
        <v>-0.62788758315546067</v>
      </c>
    </row>
    <row r="1463" spans="1:24">
      <c r="A1463" s="799">
        <v>41865</v>
      </c>
      <c r="B1463">
        <v>539.67999999999995</v>
      </c>
      <c r="C1463">
        <v>248.98572999999999</v>
      </c>
      <c r="D1463">
        <v>1.4053</v>
      </c>
      <c r="E1463">
        <f>LN(D1463/参数实验室!$E$53)/参数实验室!$E$55</f>
        <v>-0.29155630517440262</v>
      </c>
      <c r="F1463">
        <f t="shared" si="168"/>
        <v>0.46135808256744743</v>
      </c>
      <c r="G1463">
        <f>LN(F1463/参数实验室!$E$58)/参数实验室!$E$59</f>
        <v>-0.5965470276928927</v>
      </c>
      <c r="H1463" s="856">
        <f>INDEX(神经网络!$G$10:$BO$70,MATCH(ROUND(G1463*2,1)/2,神经网络!$E$10:$E$70,0),MATCH(ROUND(E1463*2,1)/2,神经网络!$G$8:$BO$8,0))</f>
        <v>-0.89307109376254667</v>
      </c>
      <c r="I1463">
        <f t="shared" si="170"/>
        <v>583.17069820912866</v>
      </c>
      <c r="J1463">
        <f t="shared" si="171"/>
        <v>215.34655440724615</v>
      </c>
      <c r="K1463">
        <f t="shared" si="172"/>
        <v>2.7080567869513388</v>
      </c>
      <c r="L1463" s="4">
        <f>MIN(MAX(L1462*(1+MAX(MIN(((B1463-B1462)/B1462)/($K$7*卓尔金历!$N$40),0),-卓尔金历!$M$43))+MIN(MAX(((B1463-B1462)/B1462)/($K$7*卓尔金历!$N$40),0),卓尔金历!$M$43),0),1)</f>
        <v>7.562907149161277E-2</v>
      </c>
      <c r="M1463" s="4">
        <f>MIN(MAX(M1462*(1+MAX(MIN(((B1463-B1462)/B1462)/($K$7*30),0),-卓尔金历!$M$43))+MIN(MAX(((B1463-B1462)/B1462)/($K$7*7),0),卓尔金历!$M$43),0),1)</f>
        <v>0.4473712246022794</v>
      </c>
      <c r="N1463">
        <f t="shared" si="173"/>
        <v>654.8558211591876</v>
      </c>
      <c r="O1463">
        <f t="shared" si="174"/>
        <v>1424.5113870698369</v>
      </c>
      <c r="P1463">
        <f t="shared" si="175"/>
        <v>-5.2409973855589528E-2</v>
      </c>
      <c r="Q1463">
        <f t="shared" si="176"/>
        <v>1.5064534183796727E-2</v>
      </c>
      <c r="R1463">
        <f t="shared" si="177"/>
        <v>0</v>
      </c>
      <c r="S1463">
        <f t="shared" si="169"/>
        <v>13.937197574549876</v>
      </c>
      <c r="T1463" s="564">
        <f>IF((I1463-MAX(I$470:I1463))/MAX(I$470:I1463)&gt;T1462,T1462,(I1463-MAX(I$470:I1463))/MAX(I$470:I1463))</f>
        <v>-0.91338805338419748</v>
      </c>
      <c r="U1463" s="564">
        <f>IF((J1463-MAX(J$470:J1463))/MAX(J$470:J1463)&gt;U1462,U1462,(J1463-MAX(J$470:J1463))/MAX(J$470:J1463))</f>
        <v>-0.70517826086956548</v>
      </c>
      <c r="V1463" s="564">
        <f>IF((K1463-MAX(K$470:K1463))/MAX(K$470:K1463)&gt;V1462,V1462,(K1463-MAX(K$470:K1463))/MAX(K$470:K1463))</f>
        <v>-0.84885940676762139</v>
      </c>
      <c r="W1463" s="564">
        <f>IF((N1463-MAX(N$470:N1463))/MAX(N$470:N1463)&gt;W1462,W1462,(N1463-MAX(N$470:N1463))/MAX(N$470:N1463))</f>
        <v>-0.62788758315546067</v>
      </c>
      <c r="X1463" s="564">
        <f>IF((O1463-MAX(O$470:O1463))/MAX(O$470:O1463)&gt;X1462,X1462,(O1463-MAX(O$470:O1463))/MAX(O$470:O1463))</f>
        <v>-0.62788758315546067</v>
      </c>
    </row>
    <row r="1464" spans="1:24">
      <c r="A1464" s="799">
        <v>41866</v>
      </c>
      <c r="B1464">
        <v>516.59900000000005</v>
      </c>
      <c r="C1464">
        <v>245.956051</v>
      </c>
      <c r="D1464">
        <v>1.392728</v>
      </c>
      <c r="E1464">
        <f>LN(D1464/参数实验室!$E$53)/参数实验室!$E$55</f>
        <v>-0.30215802724119267</v>
      </c>
      <c r="F1464">
        <f t="shared" si="168"/>
        <v>0.47610632424762722</v>
      </c>
      <c r="G1464">
        <f>LN(F1464/参数实验室!$E$58)/参数实验室!$E$59</f>
        <v>-0.58003159966793116</v>
      </c>
      <c r="H1464" s="856">
        <f>INDEX(神经网络!$G$10:$BO$70,MATCH(ROUND(G1464*2,1)/2,神经网络!$E$10:$E$70,0),MATCH(ROUND(E1464*2,1)/2,神经网络!$G$8:$BO$8,0))</f>
        <v>-0.89307109376254667</v>
      </c>
      <c r="I1464">
        <f t="shared" si="170"/>
        <v>605.44479098680222</v>
      </c>
      <c r="J1464">
        <f t="shared" si="171"/>
        <v>206.13662663102019</v>
      </c>
      <c r="K1464">
        <f t="shared" si="172"/>
        <v>2.9371043898498175</v>
      </c>
      <c r="L1464" s="4">
        <f>MIN(MAX(L1463*(1+MAX(MIN(((B1464-B1463)/B1463)/($K$7*卓尔金历!$N$40),0),-卓尔金历!$M$43))+MIN(MAX(((B1464-B1463)/B1463)/($K$7*卓尔金历!$N$40),0),卓尔金历!$M$43),0),1)</f>
        <v>2.6209025626671309E-2</v>
      </c>
      <c r="M1464" s="4">
        <f>MIN(MAX(M1463*(1+MAX(MIN(((B1464-B1463)/B1463)/($K$7*30),0),-卓尔金历!$M$43))+MIN(MAX(((B1464-B1463)/B1463)/($K$7*7),0),卓尔金历!$M$43),0),1)</f>
        <v>0.30120318364628557</v>
      </c>
      <c r="N1464">
        <f t="shared" si="173"/>
        <v>656.74746247411429</v>
      </c>
      <c r="O1464">
        <f t="shared" si="174"/>
        <v>1448.8523806268072</v>
      </c>
      <c r="P1464">
        <f t="shared" si="175"/>
        <v>-4.2767936554995375E-2</v>
      </c>
      <c r="Q1464">
        <f t="shared" si="176"/>
        <v>1.6993245489732245E-2</v>
      </c>
      <c r="R1464">
        <f t="shared" si="177"/>
        <v>1.1603798673135715E-3</v>
      </c>
      <c r="S1464">
        <f t="shared" si="169"/>
        <v>13.937197574549876</v>
      </c>
      <c r="T1464" s="564">
        <f>IF((I1464-MAX(I$470:I1464))/MAX(I$470:I1464)&gt;T1463,T1463,(I1464-MAX(I$470:I1464))/MAX(I$470:I1464))</f>
        <v>-0.91338805338419748</v>
      </c>
      <c r="U1464" s="564">
        <f>IF((J1464-MAX(J$470:J1464))/MAX(J$470:J1464)&gt;U1463,U1463,(J1464-MAX(J$470:J1464))/MAX(J$470:J1464))</f>
        <v>-0.70517826086956548</v>
      </c>
      <c r="V1464" s="564">
        <f>IF((K1464-MAX(K$470:K1464))/MAX(K$470:K1464)&gt;V1463,V1463,(K1464-MAX(K$470:K1464))/MAX(K$470:K1464))</f>
        <v>-0.84885940676762139</v>
      </c>
      <c r="W1464" s="564">
        <f>IF((N1464-MAX(N$470:N1464))/MAX(N$470:N1464)&gt;W1463,W1463,(N1464-MAX(N$470:N1464))/MAX(N$470:N1464))</f>
        <v>-0.62788758315546067</v>
      </c>
      <c r="X1464" s="564">
        <f>IF((O1464-MAX(O$470:O1464))/MAX(O$470:O1464)&gt;X1463,X1463,(O1464-MAX(O$470:O1464))/MAX(O$470:O1464))</f>
        <v>-0.62788758315546067</v>
      </c>
    </row>
    <row r="1465" spans="1:24">
      <c r="A1465" s="799">
        <v>41867</v>
      </c>
      <c r="B1465">
        <v>493.48399999999998</v>
      </c>
      <c r="C1465">
        <v>248.380797</v>
      </c>
      <c r="D1465">
        <v>1.4519709999999999</v>
      </c>
      <c r="E1465">
        <f>LN(D1465/参数实验室!$E$53)/参数实验室!$E$55</f>
        <v>-0.25301242103566329</v>
      </c>
      <c r="F1465">
        <f t="shared" si="168"/>
        <v>0.50332087159867389</v>
      </c>
      <c r="G1465">
        <f>LN(F1465/参数实验室!$E$58)/参数实验室!$E$59</f>
        <v>-0.55085670442473311</v>
      </c>
      <c r="H1465" s="856">
        <f>INDEX(神经网络!$G$10:$BO$70,MATCH(ROUND(G1465*2,1)/2,神经网络!$E$10:$E$70,0),MATCH(ROUND(E1465*2,1)/2,神经网络!$G$8:$BO$8,0))</f>
        <v>-0.82524288690868841</v>
      </c>
      <c r="I1465">
        <f t="shared" si="170"/>
        <v>629.63841440047929</v>
      </c>
      <c r="J1465">
        <f t="shared" si="171"/>
        <v>196.91313195802229</v>
      </c>
      <c r="K1465">
        <f t="shared" si="172"/>
        <v>3.1975440547799772</v>
      </c>
      <c r="L1465" s="4">
        <f>MIN(MAX(L1464*(1+MAX(MIN(((B1465-B1464)/B1464)/($K$7*卓尔金历!$N$40),0),-卓尔金历!$M$43))+MIN(MAX(((B1465-B1464)/B1464)/($K$7*卓尔金历!$N$40),0),卓尔金历!$M$43),0),1)</f>
        <v>8.2911181151519645E-3</v>
      </c>
      <c r="M1465" s="4">
        <f>MIN(MAX(M1464*(1+MAX(MIN(((B1465-B1464)/B1464)/($K$7*30),0),-卓尔金历!$M$43))+MIN(MAX(((B1465-B1464)/B1464)/($K$7*7),0),卓尔金历!$M$43),0),1)</f>
        <v>0.19824378974082887</v>
      </c>
      <c r="N1465">
        <f t="shared" si="173"/>
        <v>657.43528381779083</v>
      </c>
      <c r="O1465">
        <f t="shared" si="174"/>
        <v>1466.2909183825493</v>
      </c>
      <c r="P1465">
        <f t="shared" si="175"/>
        <v>-4.4744569772686482E-2</v>
      </c>
      <c r="Q1465">
        <f t="shared" si="176"/>
        <v>1.8787161489303091E-2</v>
      </c>
      <c r="R1465">
        <f t="shared" si="177"/>
        <v>2.2465690035122898E-3</v>
      </c>
      <c r="S1465">
        <f t="shared" si="169"/>
        <v>13.937843826715016</v>
      </c>
      <c r="T1465" s="564">
        <f>IF((I1465-MAX(I$470:I1465))/MAX(I$470:I1465)&gt;T1464,T1464,(I1465-MAX(I$470:I1465))/MAX(I$470:I1465))</f>
        <v>-0.91338805338419748</v>
      </c>
      <c r="U1465" s="564">
        <f>IF((J1465-MAX(J$470:J1465))/MAX(J$470:J1465)&gt;U1464,U1464,(J1465-MAX(J$470:J1465))/MAX(J$470:J1465))</f>
        <v>-0.70517826086956548</v>
      </c>
      <c r="V1465" s="564">
        <f>IF((K1465-MAX(K$470:K1465))/MAX(K$470:K1465)&gt;V1464,V1464,(K1465-MAX(K$470:K1465))/MAX(K$470:K1465))</f>
        <v>-0.84885940676762139</v>
      </c>
      <c r="W1465" s="564">
        <f>IF((N1465-MAX(N$470:N1465))/MAX(N$470:N1465)&gt;W1464,W1464,(N1465-MAX(N$470:N1465))/MAX(N$470:N1465))</f>
        <v>-0.62788758315546067</v>
      </c>
      <c r="X1465" s="564">
        <f>IF((O1465-MAX(O$470:O1465))/MAX(O$470:O1465)&gt;X1464,X1464,(O1465-MAX(O$470:O1465))/MAX(O$470:O1465))</f>
        <v>-0.62788758315546067</v>
      </c>
    </row>
    <row r="1466" spans="1:24">
      <c r="A1466" s="799">
        <v>41868</v>
      </c>
      <c r="B1466">
        <v>506.34699999999998</v>
      </c>
      <c r="C1466">
        <v>248.95608200000001</v>
      </c>
      <c r="D1466">
        <v>1.385219</v>
      </c>
      <c r="E1466">
        <f>LN(D1466/参数实验室!$E$53)/参数实验室!$E$55</f>
        <v>-0.30853596655029558</v>
      </c>
      <c r="F1466">
        <f t="shared" si="168"/>
        <v>0.49167089367568095</v>
      </c>
      <c r="G1466">
        <f>LN(F1466/参数实验室!$E$58)/参数实验室!$E$59</f>
        <v>-0.56314789651014552</v>
      </c>
      <c r="H1466" s="856">
        <f>INDEX(神经网络!$G$10:$BO$70,MATCH(ROUND(G1466*2,1)/2,神经网络!$E$10:$E$70,0),MATCH(ROUND(E1466*2,1)/2,神经网络!$G$8:$BO$8,0))</f>
        <v>-0.84857328350349959</v>
      </c>
      <c r="I1466">
        <f t="shared" si="170"/>
        <v>616.09456239477038</v>
      </c>
      <c r="J1466">
        <f t="shared" si="171"/>
        <v>202.04580822792371</v>
      </c>
      <c r="K1466">
        <f t="shared" si="172"/>
        <v>3.0492815851926349</v>
      </c>
      <c r="L1466" s="4">
        <f>MIN(MAX(L1465*(1+MAX(MIN(((B1466-B1465)/B1465)/($K$7*卓尔金历!$N$40),0),-卓尔金历!$M$43))+MIN(MAX(((B1466-B1465)/B1465)/($K$7*卓尔金历!$N$40),0),卓尔金历!$M$43),0),1)</f>
        <v>0.40654981809793977</v>
      </c>
      <c r="M1466" s="4">
        <f>MIN(MAX(M1465*(1+MAX(MIN(((B1466-B1465)/B1465)/($K$7*30),0),-卓尔金历!$M$43))+MIN(MAX(((B1466-B1465)/B1465)/($K$7*7),0),卓尔金历!$M$43),0),1)</f>
        <v>1</v>
      </c>
      <c r="N1466">
        <f t="shared" si="173"/>
        <v>657.31803267247858</v>
      </c>
      <c r="O1466">
        <f t="shared" si="174"/>
        <v>1460.0381733616064</v>
      </c>
      <c r="P1466">
        <f t="shared" si="175"/>
        <v>2.6065688046623597E-2</v>
      </c>
      <c r="Q1466">
        <f t="shared" si="176"/>
        <v>2.0153804131881885E-2</v>
      </c>
      <c r="R1466">
        <f t="shared" si="177"/>
        <v>1.3954600923063656E-2</v>
      </c>
      <c r="S1466">
        <f t="shared" si="169"/>
        <v>13.937170282144733</v>
      </c>
      <c r="T1466" s="564">
        <f>IF((I1466-MAX(I$470:I1466))/MAX(I$470:I1466)&gt;T1465,T1465,(I1466-MAX(I$470:I1466))/MAX(I$470:I1466))</f>
        <v>-0.91338805338419748</v>
      </c>
      <c r="U1466" s="564">
        <f>IF((J1466-MAX(J$470:J1466))/MAX(J$470:J1466)&gt;U1465,U1465,(J1466-MAX(J$470:J1466))/MAX(J$470:J1466))</f>
        <v>-0.70517826086956548</v>
      </c>
      <c r="V1466" s="564">
        <f>IF((K1466-MAX(K$470:K1466))/MAX(K$470:K1466)&gt;V1465,V1465,(K1466-MAX(K$470:K1466))/MAX(K$470:K1466))</f>
        <v>-0.84885940676762139</v>
      </c>
      <c r="W1466" s="564">
        <f>IF((N1466-MAX(N$470:N1466))/MAX(N$470:N1466)&gt;W1465,W1465,(N1466-MAX(N$470:N1466))/MAX(N$470:N1466))</f>
        <v>-0.62788758315546067</v>
      </c>
      <c r="X1466" s="564">
        <f>IF((O1466-MAX(O$470:O1466))/MAX(O$470:O1466)&gt;X1465,X1465,(O1466-MAX(O$470:O1466))/MAX(O$470:O1466))</f>
        <v>-0.62788758315546067</v>
      </c>
    </row>
    <row r="1467" spans="1:24">
      <c r="A1467" s="799">
        <v>41869</v>
      </c>
      <c r="B1467">
        <v>492.12700000000001</v>
      </c>
      <c r="C1467">
        <v>245.980006</v>
      </c>
      <c r="D1467">
        <v>1.308492</v>
      </c>
      <c r="E1467">
        <f>LN(D1467/参数实验室!$E$53)/参数实验室!$E$55</f>
        <v>-0.37576175219667024</v>
      </c>
      <c r="F1467">
        <f t="shared" si="168"/>
        <v>0.49983034054217712</v>
      </c>
      <c r="G1467">
        <f>LN(F1467/参数实验室!$E$58)/参数实验室!$E$59</f>
        <v>-0.55450924794765855</v>
      </c>
      <c r="H1467" s="856">
        <f>INDEX(神经网络!$G$10:$BO$70,MATCH(ROUND(G1467*2,1)/2,神经网络!$E$10:$E$70,0),MATCH(ROUND(E1467*2,1)/2,神经网络!$G$8:$BO$8,0))</f>
        <v>-0.89121529592281112</v>
      </c>
      <c r="I1467">
        <f t="shared" si="170"/>
        <v>630.77665926807447</v>
      </c>
      <c r="J1467">
        <f t="shared" si="171"/>
        <v>196.37165316627417</v>
      </c>
      <c r="K1467">
        <f t="shared" si="172"/>
        <v>3.2121574020359023</v>
      </c>
      <c r="L1467" s="4">
        <f>MIN(MAX(L1466*(1+MAX(MIN(((B1467-B1466)/B1466)/($K$7*卓尔金历!$N$40),0),-卓尔金历!$M$43))+MIN(MAX(((B1467-B1466)/B1466)/($K$7*卓尔金历!$N$40),0),卓尔金历!$M$43),0),1)</f>
        <v>0.23210374216086727</v>
      </c>
      <c r="M1467" s="4">
        <f>MIN(MAX(M1466*(1+MAX(MIN(((B1467-B1466)/B1466)/($K$7*30),0),-卓尔金历!$M$43))+MIN(MAX(((B1467-B1466)/B1466)/($K$7*7),0),卓尔金历!$M$43),0),1)</f>
        <v>0.78545547412464023</v>
      </c>
      <c r="N1467">
        <f t="shared" si="173"/>
        <v>663.68642818016758</v>
      </c>
      <c r="O1467">
        <f t="shared" si="174"/>
        <v>1494.8322183158311</v>
      </c>
      <c r="P1467">
        <f t="shared" si="175"/>
        <v>-2.8083507950081608E-2</v>
      </c>
      <c r="Q1467">
        <f t="shared" si="176"/>
        <v>2.0270504941785502E-2</v>
      </c>
      <c r="R1467">
        <f t="shared" si="177"/>
        <v>1.3583349033231166E-2</v>
      </c>
      <c r="S1467">
        <f t="shared" si="169"/>
        <v>13.941805100696532</v>
      </c>
      <c r="T1467" s="564">
        <f>IF((I1467-MAX(I$470:I1467))/MAX(I$470:I1467)&gt;T1466,T1466,(I1467-MAX(I$470:I1467))/MAX(I$470:I1467))</f>
        <v>-0.91338805338419748</v>
      </c>
      <c r="U1467" s="564">
        <f>IF((J1467-MAX(J$470:J1467))/MAX(J$470:J1467)&gt;U1466,U1466,(J1467-MAX(J$470:J1467))/MAX(J$470:J1467))</f>
        <v>-0.70517826086956548</v>
      </c>
      <c r="V1467" s="564">
        <f>IF((K1467-MAX(K$470:K1467))/MAX(K$470:K1467)&gt;V1466,V1466,(K1467-MAX(K$470:K1467))/MAX(K$470:K1467))</f>
        <v>-0.84885940676762139</v>
      </c>
      <c r="W1467" s="564">
        <f>IF((N1467-MAX(N$470:N1467))/MAX(N$470:N1467)&gt;W1466,W1466,(N1467-MAX(N$470:N1467))/MAX(N$470:N1467))</f>
        <v>-0.62788758315546067</v>
      </c>
      <c r="X1467" s="564">
        <f>IF((O1467-MAX(O$470:O1467))/MAX(O$470:O1467)&gt;X1466,X1466,(O1467-MAX(O$470:O1467))/MAX(O$470:O1467))</f>
        <v>-0.62788758315546067</v>
      </c>
    </row>
    <row r="1468" spans="1:24">
      <c r="A1468" s="799">
        <v>41870</v>
      </c>
      <c r="B1468">
        <v>460.03100000000001</v>
      </c>
      <c r="C1468">
        <v>241.51880199999999</v>
      </c>
      <c r="D1468">
        <v>1.3585400000000001</v>
      </c>
      <c r="E1468">
        <f>LN(D1468/参数实验室!$E$53)/参数实验室!$E$55</f>
        <v>-0.33147940203062681</v>
      </c>
      <c r="F1468">
        <f t="shared" si="168"/>
        <v>0.5250054931080731</v>
      </c>
      <c r="G1468">
        <f>LN(F1468/参数实验室!$E$58)/参数实验室!$E$59</f>
        <v>-0.52871791834177595</v>
      </c>
      <c r="H1468" s="856">
        <f>INDEX(神经网络!$G$10:$BO$70,MATCH(ROUND(G1468*2,1)/2,神经网络!$E$10:$E$70,0),MATCH(ROUND(E1468*2,1)/2,神经网络!$G$8:$BO$8,0))</f>
        <v>-0.87187597781086834</v>
      </c>
      <c r="I1468">
        <f t="shared" si="170"/>
        <v>667.43999408835964</v>
      </c>
      <c r="J1468">
        <f t="shared" si="171"/>
        <v>183.56450261362264</v>
      </c>
      <c r="K1468">
        <f t="shared" si="172"/>
        <v>3.6359970723382538</v>
      </c>
      <c r="L1468" s="4">
        <f>MIN(MAX(L1467*(1+MAX(MIN(((B1468-B1467)/B1467)/($K$7*卓尔金历!$N$40),0),-卓尔金历!$M$43))+MIN(MAX(((B1468-B1467)/B1467)/($K$7*卓尔金历!$N$40),0),卓尔金历!$M$43),0),1)</f>
        <v>8.1636053720235879E-4</v>
      </c>
      <c r="M1468" s="4">
        <f>MIN(MAX(M1467*(1+MAX(MIN(((B1468-B1467)/B1467)/($K$7*30),0),-卓尔金历!$M$43))+MIN(MAX(((B1468-B1467)/B1467)/($K$7*7),0),卓尔金历!$M$43),0),1)</f>
        <v>0.39410904795122537</v>
      </c>
      <c r="N1468">
        <f t="shared" si="173"/>
        <v>672.64010530893779</v>
      </c>
      <c r="O1468">
        <f t="shared" si="174"/>
        <v>1563.0771448751548</v>
      </c>
      <c r="P1468">
        <f t="shared" si="175"/>
        <v>-6.5218937388113241E-2</v>
      </c>
      <c r="Q1468">
        <f t="shared" si="176"/>
        <v>2.3514018936341079E-2</v>
      </c>
      <c r="R1468">
        <f t="shared" si="177"/>
        <v>0</v>
      </c>
      <c r="S1468">
        <f t="shared" si="169"/>
        <v>13.952812436550751</v>
      </c>
      <c r="T1468" s="564">
        <f>IF((I1468-MAX(I$470:I1468))/MAX(I$470:I1468)&gt;T1467,T1467,(I1468-MAX(I$470:I1468))/MAX(I$470:I1468))</f>
        <v>-0.91338805338419748</v>
      </c>
      <c r="U1468" s="564">
        <f>IF((J1468-MAX(J$470:J1468))/MAX(J$470:J1468)&gt;U1467,U1467,(J1468-MAX(J$470:J1468))/MAX(J$470:J1468))</f>
        <v>-0.70517826086956548</v>
      </c>
      <c r="V1468" s="564">
        <f>IF((K1468-MAX(K$470:K1468))/MAX(K$470:K1468)&gt;V1467,V1467,(K1468-MAX(K$470:K1468))/MAX(K$470:K1468))</f>
        <v>-0.84885940676762139</v>
      </c>
      <c r="W1468" s="564">
        <f>IF((N1468-MAX(N$470:N1468))/MAX(N$470:N1468)&gt;W1467,W1467,(N1468-MAX(N$470:N1468))/MAX(N$470:N1468))</f>
        <v>-0.62788758315546067</v>
      </c>
      <c r="X1468" s="564">
        <f>IF((O1468-MAX(O$470:O1468))/MAX(O$470:O1468)&gt;X1467,X1467,(O1468-MAX(O$470:O1468))/MAX(O$470:O1468))</f>
        <v>-0.62788758315546067</v>
      </c>
    </row>
    <row r="1469" spans="1:24">
      <c r="A1469" s="799">
        <v>41871</v>
      </c>
      <c r="B1469">
        <v>477.45</v>
      </c>
      <c r="C1469">
        <v>239.66604799999999</v>
      </c>
      <c r="D1469">
        <v>1.43685</v>
      </c>
      <c r="E1469">
        <f>LN(D1469/参数实验室!$E$53)/参数实验室!$E$55</f>
        <v>-0.26536293477341755</v>
      </c>
      <c r="F1469">
        <f t="shared" si="168"/>
        <v>0.5019709875379621</v>
      </c>
      <c r="G1469">
        <f>LN(F1469/参数实验室!$E$58)/参数实验室!$E$59</f>
        <v>-0.55226623047696088</v>
      </c>
      <c r="H1469" s="856">
        <f>INDEX(神经网络!$G$10:$BO$70,MATCH(ROUND(G1469*2,1)/2,神经网络!$E$10:$E$70,0),MATCH(ROUND(E1469*2,1)/2,神经网络!$G$8:$BO$8,0))</f>
        <v>-0.82524288690868841</v>
      </c>
      <c r="I1469">
        <f t="shared" si="170"/>
        <v>645.4055012191136</v>
      </c>
      <c r="J1469">
        <f t="shared" si="171"/>
        <v>190.51514305095554</v>
      </c>
      <c r="K1469">
        <f t="shared" si="172"/>
        <v>3.3876860961466577</v>
      </c>
      <c r="L1469" s="4">
        <f>MIN(MAX(L1468*(1+MAX(MIN(((B1469-B1468)/B1468)/($K$7*卓尔金历!$N$40),0),-卓尔金历!$M$43))+MIN(MAX(((B1469-B1468)/B1468)/($K$7*卓尔金历!$N$40),0),卓尔金历!$M$43),0),1)</f>
        <v>0.57935477259241352</v>
      </c>
      <c r="M1469" s="4">
        <f>MIN(MAX(M1468*(1+MAX(MIN(((B1469-B1468)/B1468)/($K$7*30),0),-卓尔金历!$M$43))+MIN(MAX(((B1469-B1468)/B1468)/($K$7*7),0),卓尔金历!$M$43),0),1)</f>
        <v>1</v>
      </c>
      <c r="N1469">
        <f t="shared" si="173"/>
        <v>672.62197707096561</v>
      </c>
      <c r="O1469">
        <f t="shared" si="174"/>
        <v>1542.7401091634968</v>
      </c>
      <c r="P1469">
        <f t="shared" si="175"/>
        <v>3.7864839543422034E-2</v>
      </c>
      <c r="Q1469">
        <f t="shared" si="176"/>
        <v>2.5681590572013722E-2</v>
      </c>
      <c r="R1469">
        <f t="shared" si="177"/>
        <v>1.4384735182115681E-2</v>
      </c>
      <c r="S1469">
        <f t="shared" si="169"/>
        <v>13.952812436550751</v>
      </c>
      <c r="T1469" s="564">
        <f>IF((I1469-MAX(I$470:I1469))/MAX(I$470:I1469)&gt;T1468,T1468,(I1469-MAX(I$470:I1469))/MAX(I$470:I1469))</f>
        <v>-0.91338805338419748</v>
      </c>
      <c r="U1469" s="564">
        <f>IF((J1469-MAX(J$470:J1469))/MAX(J$470:J1469)&gt;U1468,U1468,(J1469-MAX(J$470:J1469))/MAX(J$470:J1469))</f>
        <v>-0.70517826086956548</v>
      </c>
      <c r="V1469" s="564">
        <f>IF((K1469-MAX(K$470:K1469))/MAX(K$470:K1469)&gt;V1468,V1468,(K1469-MAX(K$470:K1469))/MAX(K$470:K1469))</f>
        <v>-0.84885940676762139</v>
      </c>
      <c r="W1469" s="564">
        <f>IF((N1469-MAX(N$470:N1469))/MAX(N$470:N1469)&gt;W1468,W1468,(N1469-MAX(N$470:N1469))/MAX(N$470:N1469))</f>
        <v>-0.62788758315546067</v>
      </c>
      <c r="X1469" s="564">
        <f>IF((O1469-MAX(O$470:O1469))/MAX(O$470:O1469)&gt;X1468,X1468,(O1469-MAX(O$470:O1469))/MAX(O$470:O1469))</f>
        <v>-0.62788758315546067</v>
      </c>
    </row>
    <row r="1470" spans="1:24">
      <c r="A1470" s="799">
        <v>41872</v>
      </c>
      <c r="B1470">
        <v>504.065</v>
      </c>
      <c r="C1470">
        <v>236.501701</v>
      </c>
      <c r="D1470">
        <v>1.448839</v>
      </c>
      <c r="E1470">
        <f>LN(D1470/参数实验室!$E$53)/参数实验室!$E$55</f>
        <v>-0.25555997747398967</v>
      </c>
      <c r="F1470">
        <f t="shared" si="168"/>
        <v>0.46918889627329807</v>
      </c>
      <c r="G1470">
        <f>LN(F1470/参数实验室!$E$58)/参数实验室!$E$59</f>
        <v>-0.58771323133067566</v>
      </c>
      <c r="H1470" s="856">
        <f>INDEX(神经网络!$G$10:$BO$70,MATCH(ROUND(G1470*2,1)/2,神经网络!$E$10:$E$70,0),MATCH(ROUND(E1470*2,1)/2,神经网络!$G$8:$BO$8,0))</f>
        <v>-0.87334457778134311</v>
      </c>
      <c r="I1470">
        <f t="shared" si="170"/>
        <v>615.71530790192742</v>
      </c>
      <c r="J1470">
        <f t="shared" si="171"/>
        <v>201.13523003870543</v>
      </c>
      <c r="K1470">
        <f t="shared" si="172"/>
        <v>3.0612007045381473</v>
      </c>
      <c r="L1470" s="4">
        <f>MIN(MAX(L1469*(1+MAX(MIN(((B1470-B1469)/B1469)/($K$7*卓尔金历!$N$40),0),-卓尔金历!$M$43))+MIN(MAX(((B1470-B1469)/B1469)/($K$7*卓尔金历!$N$40),0),卓尔金历!$M$43),0),1)</f>
        <v>1</v>
      </c>
      <c r="M1470" s="4">
        <f>MIN(MAX(M1469*(1+MAX(MIN(((B1470-B1469)/B1469)/($K$7*30),0),-卓尔金历!$M$43))+MIN(MAX(((B1470-B1469)/B1469)/($K$7*7),0),卓尔金历!$M$43),0),1)</f>
        <v>1</v>
      </c>
      <c r="N1470">
        <f t="shared" si="173"/>
        <v>654.69545646493623</v>
      </c>
      <c r="O1470">
        <f t="shared" si="174"/>
        <v>1471.7703823906058</v>
      </c>
      <c r="P1470">
        <f t="shared" si="175"/>
        <v>5.5744056969316176E-2</v>
      </c>
      <c r="Q1470">
        <f t="shared" si="176"/>
        <v>2.9038353114470002E-2</v>
      </c>
      <c r="R1470">
        <f t="shared" si="177"/>
        <v>8.9332558687333589E-3</v>
      </c>
      <c r="S1470">
        <f t="shared" si="169"/>
        <v>13.943579412012507</v>
      </c>
      <c r="T1470" s="564">
        <f>IF((I1470-MAX(I$470:I1470))/MAX(I$470:I1470)&gt;T1469,T1469,(I1470-MAX(I$470:I1470))/MAX(I$470:I1470))</f>
        <v>-0.91338805338419748</v>
      </c>
      <c r="U1470" s="564">
        <f>IF((J1470-MAX(J$470:J1470))/MAX(J$470:J1470)&gt;U1469,U1469,(J1470-MAX(J$470:J1470))/MAX(J$470:J1470))</f>
        <v>-0.70517826086956548</v>
      </c>
      <c r="V1470" s="564">
        <f>IF((K1470-MAX(K$470:K1470))/MAX(K$470:K1470)&gt;V1469,V1469,(K1470-MAX(K$470:K1470))/MAX(K$470:K1470))</f>
        <v>-0.84885940676762139</v>
      </c>
      <c r="W1470" s="564">
        <f>IF((N1470-MAX(N$470:N1470))/MAX(N$470:N1470)&gt;W1469,W1469,(N1470-MAX(N$470:N1470))/MAX(N$470:N1470))</f>
        <v>-0.62788758315546067</v>
      </c>
      <c r="X1470" s="564">
        <f>IF((O1470-MAX(O$470:O1470))/MAX(O$470:O1470)&gt;X1469,X1469,(O1470-MAX(O$470:O1470))/MAX(O$470:O1470))</f>
        <v>-0.62788758315546067</v>
      </c>
    </row>
    <row r="1471" spans="1:24">
      <c r="A1471" s="799">
        <v>41873</v>
      </c>
      <c r="B1471">
        <v>525.04</v>
      </c>
      <c r="C1471">
        <v>235.12181899999999</v>
      </c>
      <c r="D1471">
        <v>1.4399820000000001</v>
      </c>
      <c r="E1471">
        <f>LN(D1471/参数实验室!$E$53)/参数实验室!$E$55</f>
        <v>-0.26279414478501001</v>
      </c>
      <c r="F1471">
        <f t="shared" si="168"/>
        <v>0.44781696442175833</v>
      </c>
      <c r="G1471">
        <f>LN(F1471/参数实验室!$E$58)/参数实验室!$E$59</f>
        <v>-0.61218238023804072</v>
      </c>
      <c r="H1471" s="856">
        <f>INDEX(神经网络!$G$10:$BO$70,MATCH(ROUND(G1471*2,1)/2,神经网络!$E$10:$E$70,0),MATCH(ROUND(E1471*2,1)/2,神经网络!$G$8:$BO$8,0))</f>
        <v>-0.87334457778134311</v>
      </c>
      <c r="I1471">
        <f t="shared" si="170"/>
        <v>593.33938248112815</v>
      </c>
      <c r="J1471">
        <f t="shared" si="171"/>
        <v>209.50480826782638</v>
      </c>
      <c r="K1471">
        <f t="shared" si="172"/>
        <v>2.8321038900578168</v>
      </c>
      <c r="L1471" s="4">
        <f>MIN(MAX(L1470*(1+MAX(MIN(((B1471-B1470)/B1470)/($K$7*卓尔金历!$N$40),0),-卓尔金历!$M$43))+MIN(MAX(((B1471-B1470)/B1470)/($K$7*卓尔金历!$N$40),0),卓尔金历!$M$43),0),1)</f>
        <v>1</v>
      </c>
      <c r="M1471" s="4">
        <f>MIN(MAX(M1470*(1+MAX(MIN(((B1471-B1470)/B1470)/($K$7*30),0),-卓尔金历!$M$43))+MIN(MAX(((B1471-B1470)/B1470)/($K$7*7),0),卓尔金历!$M$43),0),1)</f>
        <v>1</v>
      </c>
      <c r="N1471">
        <f t="shared" si="173"/>
        <v>630.90293982747608</v>
      </c>
      <c r="O1471">
        <f t="shared" si="174"/>
        <v>1418.2842600053575</v>
      </c>
      <c r="P1471">
        <f t="shared" si="175"/>
        <v>4.1611696904169035E-2</v>
      </c>
      <c r="Q1471">
        <f t="shared" si="176"/>
        <v>3.0471140274981337E-2</v>
      </c>
      <c r="R1471">
        <f t="shared" si="177"/>
        <v>1.9989964878130061E-2</v>
      </c>
      <c r="S1471">
        <f t="shared" si="169"/>
        <v>13.939052676686021</v>
      </c>
      <c r="T1471" s="564">
        <f>IF((I1471-MAX(I$470:I1471))/MAX(I$470:I1471)&gt;T1470,T1470,(I1471-MAX(I$470:I1471))/MAX(I$470:I1471))</f>
        <v>-0.91338805338419748</v>
      </c>
      <c r="U1471" s="564">
        <f>IF((J1471-MAX(J$470:J1471))/MAX(J$470:J1471)&gt;U1470,U1470,(J1471-MAX(J$470:J1471))/MAX(J$470:J1471))</f>
        <v>-0.70517826086956548</v>
      </c>
      <c r="V1471" s="564">
        <f>IF((K1471-MAX(K$470:K1471))/MAX(K$470:K1471)&gt;V1470,V1470,(K1471-MAX(K$470:K1471))/MAX(K$470:K1471))</f>
        <v>-0.84885940676762139</v>
      </c>
      <c r="W1471" s="564">
        <f>IF((N1471-MAX(N$470:N1471))/MAX(N$470:N1471)&gt;W1470,W1470,(N1471-MAX(N$470:N1471))/MAX(N$470:N1471))</f>
        <v>-0.62788758315546067</v>
      </c>
      <c r="X1471" s="564">
        <f>IF((O1471-MAX(O$470:O1471))/MAX(O$470:O1471)&gt;X1470,X1470,(O1471-MAX(O$470:O1471))/MAX(O$470:O1471))</f>
        <v>-0.62788758315546067</v>
      </c>
    </row>
    <row r="1472" spans="1:24">
      <c r="A1472" s="799">
        <v>41874</v>
      </c>
      <c r="B1472">
        <v>517.64300000000003</v>
      </c>
      <c r="C1472">
        <v>232.60919899999999</v>
      </c>
      <c r="D1472">
        <v>1.3879429999999999</v>
      </c>
      <c r="E1472">
        <f>LN(D1472/参数实验室!$E$53)/参数实验室!$E$55</f>
        <v>-0.3062182881238979</v>
      </c>
      <c r="F1472">
        <f t="shared" si="168"/>
        <v>0.44936220329454851</v>
      </c>
      <c r="G1472">
        <f>LN(F1472/参数实验室!$E$58)/参数实验室!$E$59</f>
        <v>-0.61037443439836214</v>
      </c>
      <c r="H1472" s="856">
        <f>INDEX(神经网络!$G$10:$BO$70,MATCH(ROUND(G1472*2,1)/2,神经网络!$E$10:$E$70,0),MATCH(ROUND(E1472*2,1)/2,神经网络!$G$8:$BO$8,0))</f>
        <v>-0.89307109376254667</v>
      </c>
      <c r="I1472">
        <f t="shared" si="170"/>
        <v>600.6398728268357</v>
      </c>
      <c r="J1472">
        <f t="shared" si="171"/>
        <v>206.55321016719193</v>
      </c>
      <c r="K1472">
        <f t="shared" si="172"/>
        <v>2.907918363218152</v>
      </c>
      <c r="L1472" s="4">
        <f>MIN(MAX(L1471*(1+MAX(MIN(((B1472-B1471)/B1471)/($K$7*卓尔金历!$N$40),0),-卓尔金历!$M$43))+MIN(MAX(((B1472-B1471)/B1471)/($K$7*卓尔金历!$N$40),0),卓尔金历!$M$43),0),1)</f>
        <v>0.7847419975047365</v>
      </c>
      <c r="M1472" s="4">
        <f>MIN(MAX(M1471*(1+MAX(MIN(((B1472-B1471)/B1471)/($K$7*30),0),-卓尔金历!$M$43))+MIN(MAX(((B1472-B1471)/B1471)/($K$7*7),0),卓尔金历!$M$43),0),1)</f>
        <v>0.89237099875236825</v>
      </c>
      <c r="N1472">
        <f t="shared" si="173"/>
        <v>638.66561487869012</v>
      </c>
      <c r="O1472">
        <f t="shared" si="174"/>
        <v>1435.7349313299892</v>
      </c>
      <c r="P1472">
        <f t="shared" si="175"/>
        <v>-1.4088450403778636E-2</v>
      </c>
      <c r="Q1472">
        <f t="shared" si="176"/>
        <v>3.0020397843428987E-2</v>
      </c>
      <c r="R1472">
        <f t="shared" si="177"/>
        <v>0.81004495756122297</v>
      </c>
      <c r="S1472">
        <f t="shared" si="169"/>
        <v>13.942481097681977</v>
      </c>
      <c r="T1472" s="564">
        <f>IF((I1472-MAX(I$470:I1472))/MAX(I$470:I1472)&gt;T1471,T1471,(I1472-MAX(I$470:I1472))/MAX(I$470:I1472))</f>
        <v>-0.91338805338419748</v>
      </c>
      <c r="U1472" s="564">
        <f>IF((J1472-MAX(J$470:J1472))/MAX(J$470:J1472)&gt;U1471,U1471,(J1472-MAX(J$470:J1472))/MAX(J$470:J1472))</f>
        <v>-0.70517826086956548</v>
      </c>
      <c r="V1472" s="564">
        <f>IF((K1472-MAX(K$470:K1472))/MAX(K$470:K1472)&gt;V1471,V1471,(K1472-MAX(K$470:K1472))/MAX(K$470:K1472))</f>
        <v>-0.84885940676762139</v>
      </c>
      <c r="W1472" s="564">
        <f>IF((N1472-MAX(N$470:N1472))/MAX(N$470:N1472)&gt;W1471,W1471,(N1472-MAX(N$470:N1472))/MAX(N$470:N1472))</f>
        <v>-0.62788758315546067</v>
      </c>
      <c r="X1472" s="564">
        <f>IF((O1472-MAX(O$470:O1472))/MAX(O$470:O1472)&gt;X1471,X1471,(O1472-MAX(O$470:O1472))/MAX(O$470:O1472))</f>
        <v>-0.62788758315546067</v>
      </c>
    </row>
    <row r="1473" spans="1:24">
      <c r="A1473" s="799">
        <v>41875</v>
      </c>
      <c r="B1473">
        <v>501.23500000000001</v>
      </c>
      <c r="C1473">
        <v>235.27669599999999</v>
      </c>
      <c r="D1473">
        <v>1.419367</v>
      </c>
      <c r="E1473">
        <f>LN(D1473/参数实验室!$E$53)/参数实验室!$E$55</f>
        <v>-0.27980573345709803</v>
      </c>
      <c r="F1473">
        <f t="shared" si="168"/>
        <v>0.46939398884754652</v>
      </c>
      <c r="G1473">
        <f>LN(F1473/参数实验室!$E$58)/参数实验室!$E$59</f>
        <v>-0.58748385645026813</v>
      </c>
      <c r="H1473" s="856">
        <f>INDEX(神经网络!$G$10:$BO$70,MATCH(ROUND(G1473*2,1)/2,神经网络!$E$10:$E$70,0),MATCH(ROUND(E1473*2,1)/2,神经网络!$G$8:$BO$8,0))</f>
        <v>-0.89307109376254667</v>
      </c>
      <c r="I1473">
        <f t="shared" si="170"/>
        <v>617.64287042762294</v>
      </c>
      <c r="J1473">
        <f t="shared" si="171"/>
        <v>200.00598539563453</v>
      </c>
      <c r="K1473">
        <f t="shared" si="172"/>
        <v>3.088121933980402</v>
      </c>
      <c r="L1473" s="4">
        <f>MIN(MAX(L1472*(1+MAX(MIN(((B1473-B1472)/B1472)/($K$7*卓尔金历!$N$40),0),-卓尔金历!$M$43))+MIN(MAX(((B1473-B1472)/B1472)/($K$7*卓尔金历!$N$40),0),卓尔金历!$M$43),0),1)</f>
        <v>0.40468540003734782</v>
      </c>
      <c r="M1473" s="4">
        <f>MIN(MAX(M1472*(1+MAX(MIN(((B1473-B1472)/B1472)/($K$7*30),0),-卓尔金历!$M$43))+MIN(MAX(((B1473-B1472)/B1472)/($K$7*7),0),卓尔金历!$M$43),0),1)</f>
        <v>0.67627992261345327</v>
      </c>
      <c r="N1473">
        <f t="shared" si="173"/>
        <v>652.85330730860858</v>
      </c>
      <c r="O1473">
        <f t="shared" si="174"/>
        <v>1472.0035528197275</v>
      </c>
      <c r="P1473">
        <f t="shared" si="175"/>
        <v>-3.1697521264655401E-2</v>
      </c>
      <c r="Q1473">
        <f t="shared" si="176"/>
        <v>3.0474598382573617E-2</v>
      </c>
      <c r="R1473">
        <f t="shared" si="177"/>
        <v>2.8839245662890603E-2</v>
      </c>
      <c r="S1473">
        <f t="shared" si="169"/>
        <v>14.262194264180804</v>
      </c>
      <c r="T1473" s="564">
        <f>IF((I1473-MAX(I$470:I1473))/MAX(I$470:I1473)&gt;T1472,T1472,(I1473-MAX(I$470:I1473))/MAX(I$470:I1473))</f>
        <v>-0.91338805338419748</v>
      </c>
      <c r="U1473" s="564">
        <f>IF((J1473-MAX(J$470:J1473))/MAX(J$470:J1473)&gt;U1472,U1472,(J1473-MAX(J$470:J1473))/MAX(J$470:J1473))</f>
        <v>-0.70517826086956548</v>
      </c>
      <c r="V1473" s="564">
        <f>IF((K1473-MAX(K$470:K1473))/MAX(K$470:K1473)&gt;V1472,V1472,(K1473-MAX(K$470:K1473))/MAX(K$470:K1473))</f>
        <v>-0.84885940676762139</v>
      </c>
      <c r="W1473" s="564">
        <f>IF((N1473-MAX(N$470:N1473))/MAX(N$470:N1473)&gt;W1472,W1472,(N1473-MAX(N$470:N1473))/MAX(N$470:N1473))</f>
        <v>-0.62788758315546067</v>
      </c>
      <c r="X1473" s="564">
        <f>IF((O1473-MAX(O$470:O1473))/MAX(O$470:O1473)&gt;X1472,X1472,(O1473-MAX(O$470:O1473))/MAX(O$470:O1473))</f>
        <v>-0.62788758315546067</v>
      </c>
    </row>
    <row r="1474" spans="1:24">
      <c r="A1474" s="799">
        <v>41876</v>
      </c>
      <c r="B1474">
        <v>511.39499999999998</v>
      </c>
      <c r="C1474">
        <v>235.03848199999999</v>
      </c>
      <c r="D1474">
        <v>1.4004920000000001</v>
      </c>
      <c r="E1474">
        <f>LN(D1474/参数实验室!$E$53)/参数实验室!$E$55</f>
        <v>-0.29559955510102948</v>
      </c>
      <c r="F1474">
        <f t="shared" si="168"/>
        <v>0.45960262028373372</v>
      </c>
      <c r="G1474">
        <f>LN(F1474/参数实验室!$E$58)/参数实验室!$E$59</f>
        <v>-0.59854790045563755</v>
      </c>
      <c r="H1474" s="856">
        <f>INDEX(神经网络!$G$10:$BO$70,MATCH(ROUND(G1474*2,1)/2,神经网络!$E$10:$E$70,0),MATCH(ROUND(E1474*2,1)/2,神经网络!$G$8:$BO$8,0))</f>
        <v>-0.89307109376254667</v>
      </c>
      <c r="I1474">
        <f t="shared" si="170"/>
        <v>606.46199563338484</v>
      </c>
      <c r="J1474">
        <f t="shared" si="171"/>
        <v>204.06009337217176</v>
      </c>
      <c r="K1474">
        <f t="shared" si="172"/>
        <v>2.9719774484631776</v>
      </c>
      <c r="L1474" s="4">
        <f>MIN(MAX(L1473*(1+MAX(MIN(((B1474-B1473)/B1473)/($K$7*卓尔金历!$N$40),0),-卓尔金历!$M$43))+MIN(MAX(((B1474-B1473)/B1473)/($K$7*卓尔金历!$N$40),0),卓尔金历!$M$43),0),1)</f>
        <v>0.71439052872421771</v>
      </c>
      <c r="M1474" s="4">
        <f>MIN(MAX(M1473*(1+MAX(MIN(((B1474-B1473)/B1473)/($K$7*30),0),-卓尔金历!$M$43))+MIN(MAX(((B1474-B1473)/B1473)/($K$7*7),0),卓尔金历!$M$43),0),1)</f>
        <v>1</v>
      </c>
      <c r="N1474">
        <f t="shared" si="173"/>
        <v>648.07062540818936</v>
      </c>
      <c r="O1474">
        <f t="shared" si="174"/>
        <v>1453.9827678707336</v>
      </c>
      <c r="P1474">
        <f t="shared" si="175"/>
        <v>2.0269933264835793E-2</v>
      </c>
      <c r="Q1474">
        <f t="shared" si="176"/>
        <v>3.1029621301528872E-2</v>
      </c>
      <c r="R1474">
        <f t="shared" si="177"/>
        <v>0.46925439823456161</v>
      </c>
      <c r="S1474">
        <f t="shared" si="169"/>
        <v>14.254748511685648</v>
      </c>
      <c r="T1474" s="564">
        <f>IF((I1474-MAX(I$470:I1474))/MAX(I$470:I1474)&gt;T1473,T1473,(I1474-MAX(I$470:I1474))/MAX(I$470:I1474))</f>
        <v>-0.91338805338419748</v>
      </c>
      <c r="U1474" s="564">
        <f>IF((J1474-MAX(J$470:J1474))/MAX(J$470:J1474)&gt;U1473,U1473,(J1474-MAX(J$470:J1474))/MAX(J$470:J1474))</f>
        <v>-0.70517826086956548</v>
      </c>
      <c r="V1474" s="564">
        <f>IF((K1474-MAX(K$470:K1474))/MAX(K$470:K1474)&gt;V1473,V1473,(K1474-MAX(K$470:K1474))/MAX(K$470:K1474))</f>
        <v>-0.84885940676762139</v>
      </c>
      <c r="W1474" s="564">
        <f>IF((N1474-MAX(N$470:N1474))/MAX(N$470:N1474)&gt;W1473,W1473,(N1474-MAX(N$470:N1474))/MAX(N$470:N1474))</f>
        <v>-0.62788758315546067</v>
      </c>
      <c r="X1474" s="564">
        <f>IF((O1474-MAX(O$470:O1474))/MAX(O$470:O1474)&gt;X1473,X1473,(O1474-MAX(O$470:O1474))/MAX(O$470:O1474))</f>
        <v>-0.62788758315546067</v>
      </c>
    </row>
    <row r="1475" spans="1:24">
      <c r="A1475" s="799">
        <v>41877</v>
      </c>
      <c r="B1475">
        <v>502.38600000000002</v>
      </c>
      <c r="C1475">
        <v>232.40186399999999</v>
      </c>
      <c r="D1475">
        <v>1.42869</v>
      </c>
      <c r="E1475">
        <f>LN(D1475/参数实验室!$E$53)/参数实验室!$E$55</f>
        <v>-0.27208195631361431</v>
      </c>
      <c r="F1475">
        <f t="shared" si="168"/>
        <v>0.46259621884367791</v>
      </c>
      <c r="G1475">
        <f>LN(F1475/参数实验室!$E$58)/参数实验室!$E$59</f>
        <v>-0.59514037539753906</v>
      </c>
      <c r="H1475" s="856">
        <f>INDEX(神经网络!$G$10:$BO$70,MATCH(ROUND(G1475*2,1)/2,神经网络!$E$10:$E$70,0),MATCH(ROUND(E1475*2,1)/2,神经网络!$G$8:$BO$8,0))</f>
        <v>-0.87334457778134311</v>
      </c>
      <c r="I1475">
        <f t="shared" si="170"/>
        <v>616.0033435601174</v>
      </c>
      <c r="J1475">
        <f t="shared" si="171"/>
        <v>200.46526475400015</v>
      </c>
      <c r="K1475">
        <f t="shared" si="172"/>
        <v>3.0728682313918201</v>
      </c>
      <c r="L1475" s="4">
        <f>MIN(MAX(L1474*(1+MAX(MIN(((B1475-B1474)/B1474)/($K$7*卓尔金历!$N$40),0),-卓尔金历!$M$43))+MIN(MAX(((B1475-B1474)/B1474)/($K$7*卓尔金历!$N$40),0),卓尔金历!$M$43),0),1)</f>
        <v>0.52210266438849462</v>
      </c>
      <c r="M1475" s="4">
        <f>MIN(MAX(M1474*(1+MAX(MIN(((B1475-B1474)/B1474)/($K$7*30),0),-卓尔金历!$M$43))+MIN(MAX(((B1475-B1474)/B1474)/($K$7*7),0),卓尔金历!$M$43),0),1)</f>
        <v>0.86541824352072727</v>
      </c>
      <c r="N1475">
        <f t="shared" si="173"/>
        <v>655.3545286346781</v>
      </c>
      <c r="O1475">
        <f t="shared" si="174"/>
        <v>1476.8579942948386</v>
      </c>
      <c r="P1475">
        <f t="shared" si="175"/>
        <v>-1.7616519520136015E-2</v>
      </c>
      <c r="Q1475">
        <f t="shared" si="176"/>
        <v>3.101411902018892E-2</v>
      </c>
      <c r="R1475">
        <f t="shared" si="177"/>
        <v>0.61418562735607229</v>
      </c>
      <c r="S1475">
        <f t="shared" si="169"/>
        <v>14.35998686734389</v>
      </c>
      <c r="T1475" s="564">
        <f>IF((I1475-MAX(I$470:I1475))/MAX(I$470:I1475)&gt;T1474,T1474,(I1475-MAX(I$470:I1475))/MAX(I$470:I1475))</f>
        <v>-0.91338805338419748</v>
      </c>
      <c r="U1475" s="564">
        <f>IF((J1475-MAX(J$470:J1475))/MAX(J$470:J1475)&gt;U1474,U1474,(J1475-MAX(J$470:J1475))/MAX(J$470:J1475))</f>
        <v>-0.70517826086956548</v>
      </c>
      <c r="V1475" s="564">
        <f>IF((K1475-MAX(K$470:K1475))/MAX(K$470:K1475)&gt;V1474,V1474,(K1475-MAX(K$470:K1475))/MAX(K$470:K1475))</f>
        <v>-0.84885940676762139</v>
      </c>
      <c r="W1475" s="564">
        <f>IF((N1475-MAX(N$470:N1475))/MAX(N$470:N1475)&gt;W1474,W1474,(N1475-MAX(N$470:N1475))/MAX(N$470:N1475))</f>
        <v>-0.62788758315546067</v>
      </c>
      <c r="X1475" s="564">
        <f>IF((O1475-MAX(O$470:O1475))/MAX(O$470:O1475)&gt;X1474,X1474,(O1475-MAX(O$470:O1475))/MAX(O$470:O1475))</f>
        <v>-0.62788758315546067</v>
      </c>
    </row>
    <row r="1476" spans="1:24">
      <c r="A1476" s="799">
        <v>41878</v>
      </c>
      <c r="B1476">
        <v>511.83600000000001</v>
      </c>
      <c r="C1476">
        <v>229.94175000000001</v>
      </c>
      <c r="D1476">
        <v>1.424126</v>
      </c>
      <c r="E1476">
        <f>LN(D1476/参数实验室!$E$53)/参数实验室!$E$55</f>
        <v>-0.27585675174322583</v>
      </c>
      <c r="F1476">
        <f t="shared" si="168"/>
        <v>0.44924888050078543</v>
      </c>
      <c r="G1476">
        <f>LN(F1476/参数实验室!$E$58)/参数实验室!$E$59</f>
        <v>-0.61050681185924094</v>
      </c>
      <c r="H1476" s="856">
        <f>INDEX(神经网络!$G$10:$BO$70,MATCH(ROUND(G1476*2,1)/2,神经网络!$E$10:$E$70,0),MATCH(ROUND(E1476*2,1)/2,神经网络!$G$8:$BO$8,0))</f>
        <v>-0.89307109376254667</v>
      </c>
      <c r="I1476">
        <f t="shared" si="170"/>
        <v>605.88375214845848</v>
      </c>
      <c r="J1476">
        <f t="shared" si="171"/>
        <v>204.23606400383053</v>
      </c>
      <c r="K1476">
        <f t="shared" si="172"/>
        <v>2.96658552985576</v>
      </c>
      <c r="L1476" s="4">
        <f>MIN(MAX(L1475*(1+MAX(MIN(((B1476-B1475)/B1475)/($K$7*卓尔金历!$N$40),0),-卓尔金历!$M$43))+MIN(MAX(((B1476-B1475)/B1475)/($K$7*卓尔金历!$N$40),0),卓尔金历!$M$43),0),1)</f>
        <v>0.80950504326329253</v>
      </c>
      <c r="M1476" s="4">
        <f>MIN(MAX(M1475*(1+MAX(MIN(((B1476-B1475)/B1475)/($K$7*30),0),-卓尔金历!$M$43))+MIN(MAX(((B1476-B1475)/B1475)/($K$7*7),0),卓尔金历!$M$43),0),1)</f>
        <v>1</v>
      </c>
      <c r="N1476">
        <f t="shared" si="173"/>
        <v>649.7335475648382</v>
      </c>
      <c r="O1476">
        <f t="shared" si="174"/>
        <v>1455.861601313858</v>
      </c>
      <c r="P1476">
        <f t="shared" si="175"/>
        <v>1.881023754642842E-2</v>
      </c>
      <c r="Q1476">
        <f t="shared" si="176"/>
        <v>3.1502906538954351E-2</v>
      </c>
      <c r="R1476">
        <f t="shared" si="177"/>
        <v>0.56268597534594678</v>
      </c>
      <c r="S1476">
        <f t="shared" si="169"/>
        <v>14.215098472756303</v>
      </c>
      <c r="T1476" s="564">
        <f>IF((I1476-MAX(I$470:I1476))/MAX(I$470:I1476)&gt;T1475,T1475,(I1476-MAX(I$470:I1476))/MAX(I$470:I1476))</f>
        <v>-0.91338805338419748</v>
      </c>
      <c r="U1476" s="564">
        <f>IF((J1476-MAX(J$470:J1476))/MAX(J$470:J1476)&gt;U1475,U1475,(J1476-MAX(J$470:J1476))/MAX(J$470:J1476))</f>
        <v>-0.70517826086956548</v>
      </c>
      <c r="V1476" s="564">
        <f>IF((K1476-MAX(K$470:K1476))/MAX(K$470:K1476)&gt;V1475,V1475,(K1476-MAX(K$470:K1476))/MAX(K$470:K1476))</f>
        <v>-0.84885940676762139</v>
      </c>
      <c r="W1476" s="564">
        <f>IF((N1476-MAX(N$470:N1476))/MAX(N$470:N1476)&gt;W1475,W1475,(N1476-MAX(N$470:N1476))/MAX(N$470:N1476))</f>
        <v>-0.62788758315546067</v>
      </c>
      <c r="X1476" s="564">
        <f>IF((O1476-MAX(O$470:O1476))/MAX(O$470:O1476)&gt;X1475,X1475,(O1476-MAX(O$470:O1476))/MAX(O$470:O1476))</f>
        <v>-0.62788758315546067</v>
      </c>
    </row>
    <row r="1477" spans="1:24">
      <c r="A1477" s="799">
        <v>41879</v>
      </c>
      <c r="B1477">
        <v>512.21799999999996</v>
      </c>
      <c r="C1477">
        <v>226.82954899999999</v>
      </c>
      <c r="D1477">
        <v>1.419627</v>
      </c>
      <c r="E1477">
        <f>LN(D1477/参数实验室!$E$53)/参数实验室!$E$55</f>
        <v>-0.27958964575540501</v>
      </c>
      <c r="F1477">
        <f t="shared" ref="F1477:F1540" si="178">C1477/B1477</f>
        <v>0.44283791081141233</v>
      </c>
      <c r="G1477">
        <f>LN(F1477/参数实验室!$E$58)/参数实验室!$E$59</f>
        <v>-0.61805065472789422</v>
      </c>
      <c r="H1477" s="856">
        <f>INDEX(神经网络!$G$10:$BO$70,MATCH(ROUND(G1477*2,1)/2,神经网络!$E$10:$E$70,0),MATCH(ROUND(E1477*2,1)/2,神经网络!$G$8:$BO$8,0))</f>
        <v>-0.89307109376254667</v>
      </c>
      <c r="I1477">
        <f t="shared" si="170"/>
        <v>605.47991350616758</v>
      </c>
      <c r="J1477">
        <f t="shared" si="171"/>
        <v>204.38849207932628</v>
      </c>
      <c r="K1477">
        <f t="shared" si="172"/>
        <v>2.9623972824809117</v>
      </c>
      <c r="L1477" s="4">
        <f>MIN(MAX(L1476*(1+MAX(MIN(((B1477-B1476)/B1476)/($K$7*卓尔金历!$N$40),0),-卓尔金历!$M$43))+MIN(MAX(((B1477-B1476)/B1476)/($K$7*卓尔金历!$N$40),0),卓尔金历!$M$43),0),1)</f>
        <v>0.82090829239391672</v>
      </c>
      <c r="M1477" s="4">
        <f>MIN(MAX(M1476*(1+MAX(MIN(((B1477-B1476)/B1476)/($K$7*30),0),-卓尔金历!$M$43))+MIN(MAX(((B1477-B1476)/B1476)/($K$7*7),0),卓尔金历!$M$43),0),1)</f>
        <v>1</v>
      </c>
      <c r="N1477">
        <f t="shared" si="173"/>
        <v>649.38297863989862</v>
      </c>
      <c r="O1477">
        <f t="shared" si="174"/>
        <v>1454.8912284158339</v>
      </c>
      <c r="P1477">
        <f t="shared" si="175"/>
        <v>7.4633280972801472E-4</v>
      </c>
      <c r="Q1477">
        <f t="shared" si="176"/>
        <v>3.1506674062159283E-2</v>
      </c>
      <c r="R1477">
        <f t="shared" si="177"/>
        <v>1</v>
      </c>
      <c r="S1477">
        <f t="shared" si="169"/>
        <v>14.209767155465512</v>
      </c>
      <c r="T1477" s="564">
        <f>IF((I1477-MAX(I$470:I1477))/MAX(I$470:I1477)&gt;T1476,T1476,(I1477-MAX(I$470:I1477))/MAX(I$470:I1477))</f>
        <v>-0.91338805338419748</v>
      </c>
      <c r="U1477" s="564">
        <f>IF((J1477-MAX(J$470:J1477))/MAX(J$470:J1477)&gt;U1476,U1476,(J1477-MAX(J$470:J1477))/MAX(J$470:J1477))</f>
        <v>-0.70517826086956548</v>
      </c>
      <c r="V1477" s="564">
        <f>IF((K1477-MAX(K$470:K1477))/MAX(K$470:K1477)&gt;V1476,V1476,(K1477-MAX(K$470:K1477))/MAX(K$470:K1477))</f>
        <v>-0.84885940676762139</v>
      </c>
      <c r="W1477" s="564">
        <f>IF((N1477-MAX(N$470:N1477))/MAX(N$470:N1477)&gt;W1476,W1476,(N1477-MAX(N$470:N1477))/MAX(N$470:N1477))</f>
        <v>-0.62788758315546067</v>
      </c>
      <c r="X1477" s="564">
        <f>IF((O1477-MAX(O$470:O1477))/MAX(O$470:O1477)&gt;X1476,X1476,(O1477-MAX(O$470:O1477))/MAX(O$470:O1477))</f>
        <v>-0.62788758315546067</v>
      </c>
    </row>
    <row r="1478" spans="1:24">
      <c r="A1478" s="799">
        <v>41880</v>
      </c>
      <c r="B1478">
        <v>508.08300000000003</v>
      </c>
      <c r="C1478">
        <v>227.34422499999999</v>
      </c>
      <c r="D1478">
        <v>1.4275500000000001</v>
      </c>
      <c r="E1478">
        <f>LN(D1478/参数实验室!$E$53)/参数实验室!$E$55</f>
        <v>-0.27302369704236545</v>
      </c>
      <c r="F1478">
        <f t="shared" si="178"/>
        <v>0.44745489418067519</v>
      </c>
      <c r="G1478">
        <f>LN(F1478/参数实验室!$E$58)/参数实验室!$E$59</f>
        <v>-0.61260690835974296</v>
      </c>
      <c r="H1478" s="856">
        <f>INDEX(神经网络!$G$10:$BO$70,MATCH(ROUND(G1478*2,1)/2,神经网络!$E$10:$E$70,0),MATCH(ROUND(E1478*2,1)/2,神经网络!$G$8:$BO$8,0))</f>
        <v>-0.87334457778134311</v>
      </c>
      <c r="I1478">
        <f t="shared" si="170"/>
        <v>609.84513666620228</v>
      </c>
      <c r="J1478">
        <f t="shared" si="171"/>
        <v>202.73851801604073</v>
      </c>
      <c r="K1478">
        <f t="shared" si="172"/>
        <v>3.0080378540497725</v>
      </c>
      <c r="L1478" s="4">
        <f>MIN(MAX(L1477*(1+MAX(MIN(((B1478-B1477)/B1477)/($K$7*卓尔金历!$N$40),0),-卓尔金历!$M$43))+MIN(MAX(((B1478-B1477)/B1477)/($K$7*卓尔金历!$N$40),0),卓尔金历!$M$43),0),1)</f>
        <v>0.71965447655549408</v>
      </c>
      <c r="M1478" s="4">
        <f>MIN(MAX(M1477*(1+MAX(MIN(((B1478-B1477)/B1477)/($K$7*30),0),-卓尔金历!$M$43))+MIN(MAX(((B1478-B1477)/B1477)/($K$7*7),0),卓尔金历!$M$43),0),1)</f>
        <v>0.9383281806405267</v>
      </c>
      <c r="N1478">
        <f t="shared" si="173"/>
        <v>653.22626065940995</v>
      </c>
      <c r="O1478">
        <f t="shared" si="174"/>
        <v>1465.3803045089378</v>
      </c>
      <c r="P1478">
        <f t="shared" si="175"/>
        <v>-8.0727346559471436E-3</v>
      </c>
      <c r="Q1478">
        <f t="shared" si="176"/>
        <v>3.1410701282627615E-2</v>
      </c>
      <c r="R1478">
        <f t="shared" si="177"/>
        <v>1</v>
      </c>
      <c r="S1478">
        <f t="shared" si="169"/>
        <v>14.312212840784033</v>
      </c>
      <c r="T1478" s="564">
        <f>IF((I1478-MAX(I$470:I1478))/MAX(I$470:I1478)&gt;T1477,T1477,(I1478-MAX(I$470:I1478))/MAX(I$470:I1478))</f>
        <v>-0.91338805338419748</v>
      </c>
      <c r="U1478" s="564">
        <f>IF((J1478-MAX(J$470:J1478))/MAX(J$470:J1478)&gt;U1477,U1477,(J1478-MAX(J$470:J1478))/MAX(J$470:J1478))</f>
        <v>-0.70517826086956548</v>
      </c>
      <c r="V1478" s="564">
        <f>IF((K1478-MAX(K$470:K1478))/MAX(K$470:K1478)&gt;V1477,V1477,(K1478-MAX(K$470:K1478))/MAX(K$470:K1478))</f>
        <v>-0.84885940676762139</v>
      </c>
      <c r="W1478" s="564">
        <f>IF((N1478-MAX(N$470:N1478))/MAX(N$470:N1478)&gt;W1477,W1477,(N1478-MAX(N$470:N1478))/MAX(N$470:N1478))</f>
        <v>-0.62788758315546067</v>
      </c>
      <c r="X1478" s="564">
        <f>IF((O1478-MAX(O$470:O1478))/MAX(O$470:O1478)&gt;X1477,X1477,(O1478-MAX(O$470:O1478))/MAX(O$470:O1478))</f>
        <v>-0.62788758315546067</v>
      </c>
    </row>
    <row r="1479" spans="1:24">
      <c r="A1479" s="799">
        <v>41881</v>
      </c>
      <c r="B1479">
        <v>510.36099999999999</v>
      </c>
      <c r="C1479">
        <v>223.74962400000001</v>
      </c>
      <c r="D1479">
        <v>1.406342</v>
      </c>
      <c r="E1479">
        <f>LN(D1479/参数实验室!$E$53)/参数实验室!$E$55</f>
        <v>-0.29068186743553048</v>
      </c>
      <c r="F1479">
        <f t="shared" si="178"/>
        <v>0.43841442429966243</v>
      </c>
      <c r="G1479">
        <f>LN(F1479/参数实验室!$E$58)/参数实验室!$E$59</f>
        <v>-0.62331975686115404</v>
      </c>
      <c r="H1479" s="856">
        <f>INDEX(神经网络!$G$10:$BO$70,MATCH(ROUND(G1479*2,1)/2,神经网络!$E$10:$E$70,0),MATCH(ROUND(E1479*2,1)/2,神经网络!$G$8:$BO$8,0))</f>
        <v>-0.89307109376254667</v>
      </c>
      <c r="I1479">
        <f t="shared" si="170"/>
        <v>607.4571920566583</v>
      </c>
      <c r="J1479">
        <f t="shared" si="171"/>
        <v>203.64750009975643</v>
      </c>
      <c r="K1479">
        <f t="shared" si="172"/>
        <v>2.9828855829759573</v>
      </c>
      <c r="L1479" s="4">
        <f>MIN(MAX(L1478*(1+MAX(MIN(((B1479-B1478)/B1478)/($K$7*卓尔金历!$N$40),0),-卓尔金历!$M$43))+MIN(MAX(((B1479-B1478)/B1478)/($K$7*卓尔金历!$N$40),0),卓尔金历!$M$43),0),1)</f>
        <v>0.7881583508573935</v>
      </c>
      <c r="M1479" s="4">
        <f>MIN(MAX(M1478*(1+MAX(MIN(((B1479-B1478)/B1478)/($K$7*30),0),-卓尔金历!$M$43))+MIN(MAX(((B1479-B1478)/B1478)/($K$7*7),0),卓尔金历!$M$43),0),1)</f>
        <v>1</v>
      </c>
      <c r="N1479">
        <f t="shared" si="173"/>
        <v>651.38552107877615</v>
      </c>
      <c r="O1479">
        <f t="shared" si="174"/>
        <v>1459.9962457162223</v>
      </c>
      <c r="P1479">
        <f t="shared" si="175"/>
        <v>4.4835194249757682E-3</v>
      </c>
      <c r="Q1479">
        <f t="shared" si="176"/>
        <v>3.1387673040750325E-2</v>
      </c>
      <c r="R1479">
        <f t="shared" si="177"/>
        <v>1</v>
      </c>
      <c r="S1479">
        <f t="shared" si="169"/>
        <v>14.256171118961625</v>
      </c>
      <c r="T1479" s="564">
        <f>IF((I1479-MAX(I$470:I1479))/MAX(I$470:I1479)&gt;T1478,T1478,(I1479-MAX(I$470:I1479))/MAX(I$470:I1479))</f>
        <v>-0.91338805338419748</v>
      </c>
      <c r="U1479" s="564">
        <f>IF((J1479-MAX(J$470:J1479))/MAX(J$470:J1479)&gt;U1478,U1478,(J1479-MAX(J$470:J1479))/MAX(J$470:J1479))</f>
        <v>-0.70517826086956548</v>
      </c>
      <c r="V1479" s="564">
        <f>IF((K1479-MAX(K$470:K1479))/MAX(K$470:K1479)&gt;V1478,V1478,(K1479-MAX(K$470:K1479))/MAX(K$470:K1479))</f>
        <v>-0.84885940676762139</v>
      </c>
      <c r="W1479" s="564">
        <f>IF((N1479-MAX(N$470:N1479))/MAX(N$470:N1479)&gt;W1478,W1478,(N1479-MAX(N$470:N1479))/MAX(N$470:N1479))</f>
        <v>-0.62788758315546067</v>
      </c>
      <c r="X1479" s="564">
        <f>IF((O1479-MAX(O$470:O1479))/MAX(O$470:O1479)&gt;X1478,X1478,(O1479-MAX(O$470:O1479))/MAX(O$470:O1479))</f>
        <v>-0.62788758315546067</v>
      </c>
    </row>
    <row r="1480" spans="1:24">
      <c r="A1480" s="799">
        <v>41882</v>
      </c>
      <c r="B1480">
        <v>504.55599999999998</v>
      </c>
      <c r="C1480">
        <v>219.84253000000001</v>
      </c>
      <c r="D1480">
        <v>1.342662</v>
      </c>
      <c r="E1480">
        <f>LN(D1480/参数实验室!$E$53)/参数实验室!$E$55</f>
        <v>-0.34534903322332006</v>
      </c>
      <c r="F1480">
        <f t="shared" si="178"/>
        <v>0.43571482650092364</v>
      </c>
      <c r="G1480">
        <f>LN(F1480/参数实验室!$E$58)/参数实验室!$E$59</f>
        <v>-0.62656160999159782</v>
      </c>
      <c r="H1480" s="856">
        <f>INDEX(神经网络!$G$10:$BO$70,MATCH(ROUND(G1480*2,1)/2,神经网络!$E$10:$E$70,0),MATCH(ROUND(E1480*2,1)/2,神经网络!$G$8:$BO$8,0))</f>
        <v>-0.95130252601950127</v>
      </c>
      <c r="I1480">
        <f t="shared" si="170"/>
        <v>613.62777870817285</v>
      </c>
      <c r="J1480">
        <f t="shared" si="171"/>
        <v>201.33115198914632</v>
      </c>
      <c r="K1480">
        <f t="shared" si="172"/>
        <v>3.0478531148585155</v>
      </c>
      <c r="L1480" s="4">
        <f>MIN(MAX(L1479*(1+MAX(MIN(((B1480-B1479)/B1479)/($K$7*卓尔金历!$N$40),0),-卓尔金历!$M$43))+MIN(MAX(((B1480-B1479)/B1479)/($K$7*卓尔金历!$N$40),0),卓尔金历!$M$43),0),1)</f>
        <v>0.65118556015324691</v>
      </c>
      <c r="M1480" s="4">
        <f>MIN(MAX(M1479*(1+MAX(MIN(((B1480-B1479)/B1479)/($K$7*30),0),-卓尔金历!$M$43))+MIN(MAX(((B1480-B1479)/B1479)/($K$7*7),0),卓尔金历!$M$43),0),1)</f>
        <v>0.91310579241142242</v>
      </c>
      <c r="N1480">
        <f t="shared" si="173"/>
        <v>656.60061770321238</v>
      </c>
      <c r="O1480">
        <f t="shared" si="174"/>
        <v>1474.8269752933572</v>
      </c>
      <c r="P1480">
        <f t="shared" si="175"/>
        <v>-1.1374301719763084E-2</v>
      </c>
      <c r="Q1480">
        <f t="shared" si="176"/>
        <v>3.1403417892782656E-2</v>
      </c>
      <c r="R1480">
        <f t="shared" si="177"/>
        <v>1</v>
      </c>
      <c r="S1480">
        <f t="shared" si="169"/>
        <v>14.400986161665355</v>
      </c>
      <c r="T1480" s="564">
        <f>IF((I1480-MAX(I$470:I1480))/MAX(I$470:I1480)&gt;T1479,T1479,(I1480-MAX(I$470:I1480))/MAX(I$470:I1480))</f>
        <v>-0.91338805338419748</v>
      </c>
      <c r="U1480" s="564">
        <f>IF((J1480-MAX(J$470:J1480))/MAX(J$470:J1480)&gt;U1479,U1479,(J1480-MAX(J$470:J1480))/MAX(J$470:J1480))</f>
        <v>-0.70517826086956548</v>
      </c>
      <c r="V1480" s="564">
        <f>IF((K1480-MAX(K$470:K1480))/MAX(K$470:K1480)&gt;V1479,V1479,(K1480-MAX(K$470:K1480))/MAX(K$470:K1480))</f>
        <v>-0.84885940676762139</v>
      </c>
      <c r="W1480" s="564">
        <f>IF((N1480-MAX(N$470:N1480))/MAX(N$470:N1480)&gt;W1479,W1479,(N1480-MAX(N$470:N1480))/MAX(N$470:N1480))</f>
        <v>-0.62788758315546067</v>
      </c>
      <c r="X1480" s="564">
        <f>IF((O1480-MAX(O$470:O1480))/MAX(O$470:O1480)&gt;X1479,X1479,(O1480-MAX(O$470:O1480))/MAX(O$470:O1480))</f>
        <v>-0.62788758315546067</v>
      </c>
    </row>
    <row r="1481" spans="1:24">
      <c r="A1481" s="799">
        <v>41883</v>
      </c>
      <c r="B1481">
        <v>475.19200000000001</v>
      </c>
      <c r="C1481">
        <v>223.651443</v>
      </c>
      <c r="D1481">
        <v>1.331367</v>
      </c>
      <c r="E1481">
        <f>LN(D1481/参数实验室!$E$53)/参数实验室!$E$55</f>
        <v>-0.35531556099171141</v>
      </c>
      <c r="F1481">
        <f t="shared" si="178"/>
        <v>0.47065489949325745</v>
      </c>
      <c r="G1481">
        <f>LN(F1481/参数实验室!$E$58)/参数实验室!$E$59</f>
        <v>-0.58607585638673154</v>
      </c>
      <c r="H1481" s="856">
        <f>INDEX(神经网络!$G$10:$BO$70,MATCH(ROUND(G1481*2,1)/2,神经网络!$E$10:$E$70,0),MATCH(ROUND(E1481*2,1)/2,神经网络!$G$8:$BO$8,0))</f>
        <v>-0.91385209379677512</v>
      </c>
      <c r="I1481">
        <f t="shared" si="170"/>
        <v>647.60043474726263</v>
      </c>
      <c r="J1481">
        <f t="shared" si="171"/>
        <v>189.61414149475266</v>
      </c>
      <c r="K1481">
        <f t="shared" si="172"/>
        <v>3.4153593695182498</v>
      </c>
      <c r="L1481" s="4">
        <f>MIN(MAX(L1480*(1+MAX(MIN(((B1481-B1480)/B1480)/($K$7*卓尔金历!$N$40),0),-卓尔金历!$M$43))+MIN(MAX(((B1481-B1480)/B1480)/($K$7*卓尔金历!$N$40),0),卓尔金历!$M$43),0),1)</f>
        <v>7.2148073811463917E-2</v>
      </c>
      <c r="M1481" s="4">
        <f>MIN(MAX(M1480*(1+MAX(MIN(((B1481-B1480)/B1480)/($K$7*30),0),-卓尔金历!$M$43))+MIN(MAX(((B1481-B1480)/B1480)/($K$7*7),0),卓尔金历!$M$43),0),1)</f>
        <v>0.50713665307915212</v>
      </c>
      <c r="N1481">
        <f t="shared" si="173"/>
        <v>680.2723771534271</v>
      </c>
      <c r="O1481">
        <f t="shared" si="174"/>
        <v>1549.3836724414195</v>
      </c>
      <c r="P1481">
        <f t="shared" si="175"/>
        <v>-5.8197702534505541E-2</v>
      </c>
      <c r="Q1481">
        <f t="shared" si="176"/>
        <v>3.316802189104421E-2</v>
      </c>
      <c r="R1481">
        <f t="shared" si="177"/>
        <v>1.3746542734229992E-2</v>
      </c>
      <c r="S1481">
        <f t="shared" si="169"/>
        <v>15.198276907732801</v>
      </c>
      <c r="T1481" s="564">
        <f>IF((I1481-MAX(I$470:I1481))/MAX(I$470:I1481)&gt;T1480,T1480,(I1481-MAX(I$470:I1481))/MAX(I$470:I1481))</f>
        <v>-0.91338805338419748</v>
      </c>
      <c r="U1481" s="564">
        <f>IF((J1481-MAX(J$470:J1481))/MAX(J$470:J1481)&gt;U1480,U1480,(J1481-MAX(J$470:J1481))/MAX(J$470:J1481))</f>
        <v>-0.70517826086956548</v>
      </c>
      <c r="V1481" s="564">
        <f>IF((K1481-MAX(K$470:K1481))/MAX(K$470:K1481)&gt;V1480,V1480,(K1481-MAX(K$470:K1481))/MAX(K$470:K1481))</f>
        <v>-0.84885940676762139</v>
      </c>
      <c r="W1481" s="564">
        <f>IF((N1481-MAX(N$470:N1481))/MAX(N$470:N1481)&gt;W1480,W1480,(N1481-MAX(N$470:N1481))/MAX(N$470:N1481))</f>
        <v>-0.62788758315546067</v>
      </c>
      <c r="X1481" s="564">
        <f>IF((O1481-MAX(O$470:O1481))/MAX(O$470:O1481)&gt;X1480,X1480,(O1481-MAX(O$470:O1481))/MAX(O$470:O1481))</f>
        <v>-0.62788758315546067</v>
      </c>
    </row>
    <row r="1482" spans="1:24">
      <c r="A1482" s="799">
        <v>41884</v>
      </c>
      <c r="B1482">
        <v>481.846</v>
      </c>
      <c r="C1482">
        <v>224.80706699999999</v>
      </c>
      <c r="D1482">
        <v>1.33209</v>
      </c>
      <c r="E1482">
        <f>LN(D1482/参数实验室!$E$53)/参数实验室!$E$55</f>
        <v>-0.35467506886712119</v>
      </c>
      <c r="F1482">
        <f t="shared" si="178"/>
        <v>0.46655376821640104</v>
      </c>
      <c r="G1482">
        <f>LN(F1482/参数实验室!$E$58)/参数实验室!$E$59</f>
        <v>-0.59066930317228739</v>
      </c>
      <c r="H1482" s="856">
        <f>INDEX(神经网络!$G$10:$BO$70,MATCH(ROUND(G1482*2,1)/2,神经网络!$E$10:$E$70,0),MATCH(ROUND(E1482*2,1)/2,神经网络!$G$8:$BO$8,0))</f>
        <v>-0.91385209379677512</v>
      </c>
      <c r="I1482">
        <f t="shared" si="170"/>
        <v>639.31344657809689</v>
      </c>
      <c r="J1482">
        <f t="shared" si="171"/>
        <v>192.26926299828403</v>
      </c>
      <c r="K1482">
        <f t="shared" si="172"/>
        <v>3.3250943838267202</v>
      </c>
      <c r="L1482" s="4">
        <f>MIN(MAX(L1481*(1+MAX(MIN(((B1482-B1481)/B1481)/($K$7*卓尔金历!$N$40),0),-卓尔金历!$M$43))+MIN(MAX(((B1482-B1481)/B1481)/($K$7*卓尔金历!$N$40),0),卓尔金历!$M$43),0),1)</f>
        <v>0.28609682428259081</v>
      </c>
      <c r="M1482" s="4">
        <f>MIN(MAX(M1481*(1+MAX(MIN(((B1482-B1481)/B1481)/($K$7*30),0),-卓尔金历!$M$43))+MIN(MAX(((B1482-B1481)/B1481)/($K$7*7),0),卓尔金历!$M$43),0),1)</f>
        <v>0.965598261231567</v>
      </c>
      <c r="N1482">
        <f t="shared" si="173"/>
        <v>679.6443228949563</v>
      </c>
      <c r="O1482">
        <f t="shared" si="174"/>
        <v>1539.3288695272813</v>
      </c>
      <c r="P1482">
        <f t="shared" si="175"/>
        <v>1.4002760989242235E-2</v>
      </c>
      <c r="Q1482">
        <f t="shared" si="176"/>
        <v>3.3502869031207805E-2</v>
      </c>
      <c r="R1482">
        <f t="shared" si="177"/>
        <v>0.9344795807358981</v>
      </c>
      <c r="S1482">
        <f t="shared" si="169"/>
        <v>15.195603424734129</v>
      </c>
      <c r="T1482" s="564">
        <f>IF((I1482-MAX(I$470:I1482))/MAX(I$470:I1482)&gt;T1481,T1481,(I1482-MAX(I$470:I1482))/MAX(I$470:I1482))</f>
        <v>-0.91338805338419748</v>
      </c>
      <c r="U1482" s="564">
        <f>IF((J1482-MAX(J$470:J1482))/MAX(J$470:J1482)&gt;U1481,U1481,(J1482-MAX(J$470:J1482))/MAX(J$470:J1482))</f>
        <v>-0.70517826086956548</v>
      </c>
      <c r="V1482" s="564">
        <f>IF((K1482-MAX(K$470:K1482))/MAX(K$470:K1482)&gt;V1481,V1481,(K1482-MAX(K$470:K1482))/MAX(K$470:K1482))</f>
        <v>-0.84885940676762139</v>
      </c>
      <c r="W1482" s="564">
        <f>IF((N1482-MAX(N$470:N1482))/MAX(N$470:N1482)&gt;W1481,W1481,(N1482-MAX(N$470:N1482))/MAX(N$470:N1482))</f>
        <v>-0.62788758315546067</v>
      </c>
      <c r="X1482" s="564">
        <f>IF((O1482-MAX(O$470:O1482))/MAX(O$470:O1482)&gt;X1481,X1481,(O1482-MAX(O$470:O1482))/MAX(O$470:O1482))</f>
        <v>-0.62788758315546067</v>
      </c>
    </row>
    <row r="1483" spans="1:24">
      <c r="A1483" s="799">
        <v>41885</v>
      </c>
      <c r="B1483">
        <v>482.65100000000001</v>
      </c>
      <c r="C1483">
        <v>219.52443500000001</v>
      </c>
      <c r="D1483">
        <v>1.3309930000000001</v>
      </c>
      <c r="E1483">
        <f>LN(D1483/参数实验室!$E$53)/参数实验室!$E$55</f>
        <v>-0.35564701708040547</v>
      </c>
      <c r="F1483">
        <f t="shared" si="178"/>
        <v>0.454830581517494</v>
      </c>
      <c r="G1483">
        <f>LN(F1483/参数实验室!$E$58)/参数实验室!$E$59</f>
        <v>-0.60402593115755132</v>
      </c>
      <c r="H1483" s="856">
        <f>INDEX(神经网络!$G$10:$BO$70,MATCH(ROUND(G1483*2,1)/2,神经网络!$E$10:$E$70,0),MATCH(ROUND(E1483*2,1)/2,神经网络!$G$8:$BO$8,0))</f>
        <v>-0.91385209379677512</v>
      </c>
      <c r="I1483">
        <f t="shared" si="170"/>
        <v>638.33738465155398</v>
      </c>
      <c r="J1483">
        <f t="shared" si="171"/>
        <v>192.59047923067698</v>
      </c>
      <c r="K1483">
        <f t="shared" si="172"/>
        <v>3.3144804831550352</v>
      </c>
      <c r="L1483" s="4">
        <f>MIN(MAX(L1482*(1+MAX(MIN(((B1483-B1482)/B1482)/($K$7*卓尔金历!$N$40),0),-卓尔金历!$M$43))+MIN(MAX(((B1483-B1482)/B1482)/($K$7*卓尔金历!$N$40),0),卓尔金历!$M$43),0),1)</f>
        <v>0.31162287928624188</v>
      </c>
      <c r="M1483" s="4">
        <f>MIN(MAX(M1482*(1+MAX(MIN(((B1483-B1482)/B1482)/($K$7*30),0),-卓尔金历!$M$43))+MIN(MAX(((B1483-B1482)/B1482)/($K$7*7),0),卓尔金历!$M$43),0),1)</f>
        <v>1</v>
      </c>
      <c r="N1483">
        <f t="shared" si="173"/>
        <v>679.34745839647053</v>
      </c>
      <c r="O1483">
        <f t="shared" si="174"/>
        <v>1537.0595720881518</v>
      </c>
      <c r="P1483">
        <f t="shared" si="175"/>
        <v>1.6706582601080154E-3</v>
      </c>
      <c r="Q1483">
        <f t="shared" si="176"/>
        <v>3.3478364843165534E-2</v>
      </c>
      <c r="R1483">
        <f t="shared" si="177"/>
        <v>1</v>
      </c>
      <c r="S1483">
        <f t="shared" si="169"/>
        <v>15.173923822966822</v>
      </c>
      <c r="T1483" s="564">
        <f>IF((I1483-MAX(I$470:I1483))/MAX(I$470:I1483)&gt;T1482,T1482,(I1483-MAX(I$470:I1483))/MAX(I$470:I1483))</f>
        <v>-0.91338805338419748</v>
      </c>
      <c r="U1483" s="564">
        <f>IF((J1483-MAX(J$470:J1483))/MAX(J$470:J1483)&gt;U1482,U1482,(J1483-MAX(J$470:J1483))/MAX(J$470:J1483))</f>
        <v>-0.70517826086956548</v>
      </c>
      <c r="V1483" s="564">
        <f>IF((K1483-MAX(K$470:K1483))/MAX(K$470:K1483)&gt;V1482,V1482,(K1483-MAX(K$470:K1483))/MAX(K$470:K1483))</f>
        <v>-0.84885940676762139</v>
      </c>
      <c r="W1483" s="564">
        <f>IF((N1483-MAX(N$470:N1483))/MAX(N$470:N1483)&gt;W1482,W1482,(N1483-MAX(N$470:N1483))/MAX(N$470:N1483))</f>
        <v>-0.62788758315546067</v>
      </c>
      <c r="X1483" s="564">
        <f>IF((O1483-MAX(O$470:O1483))/MAX(O$470:O1483)&gt;X1482,X1482,(O1483-MAX(O$470:O1483))/MAX(O$470:O1483))</f>
        <v>-0.62788758315546067</v>
      </c>
    </row>
    <row r="1484" spans="1:24">
      <c r="A1484" s="799">
        <v>41886</v>
      </c>
      <c r="B1484">
        <v>477.17099999999999</v>
      </c>
      <c r="C1484">
        <v>216.71885599999999</v>
      </c>
      <c r="D1484">
        <v>1.3742890000000001</v>
      </c>
      <c r="E1484">
        <f>LN(D1484/参数实验室!$E$53)/参数实验室!$E$55</f>
        <v>-0.31788166903741644</v>
      </c>
      <c r="F1484">
        <f t="shared" si="178"/>
        <v>0.45417440707838486</v>
      </c>
      <c r="G1484">
        <f>LN(F1484/参数实验室!$E$58)/参数实验室!$E$59</f>
        <v>-0.60478367368146146</v>
      </c>
      <c r="H1484" s="856">
        <f>INDEX(神经网络!$G$10:$BO$70,MATCH(ROUND(G1484*2,1)/2,神经网络!$E$10:$E$70,0),MATCH(ROUND(E1484*2,1)/2,神经网络!$G$8:$BO$8,0))</f>
        <v>-0.89307109376254667</v>
      </c>
      <c r="I1484">
        <f t="shared" si="170"/>
        <v>644.96067111777688</v>
      </c>
      <c r="J1484">
        <f t="shared" si="171"/>
        <v>190.403814692151</v>
      </c>
      <c r="K1484">
        <f t="shared" si="172"/>
        <v>3.3873306170916964</v>
      </c>
      <c r="L1484" s="4">
        <f>MIN(MAX(L1483*(1+MAX(MIN(((B1484-B1483)/B1483)/($K$7*卓尔金历!$N$40),0),-卓尔金历!$M$43))+MIN(MAX(((B1484-B1483)/B1483)/($K$7*卓尔金历!$N$40),0),卓尔金历!$M$43),0),1)</f>
        <v>0.25756328742263418</v>
      </c>
      <c r="M1484" s="4">
        <f>MIN(MAX(M1483*(1+MAX(MIN(((B1484-B1483)/B1483)/($K$7*30),0),-卓尔金历!$M$43))+MIN(MAX(((B1484-B1483)/B1483)/($K$7*7),0),卓尔金历!$M$43),0),1)</f>
        <v>0.91326119573211573</v>
      </c>
      <c r="N1484">
        <f t="shared" si="173"/>
        <v>681.54402587985442</v>
      </c>
      <c r="O1484">
        <f t="shared" si="174"/>
        <v>1553.0078560307363</v>
      </c>
      <c r="P1484">
        <f t="shared" si="175"/>
        <v>-1.1353959693443126E-2</v>
      </c>
      <c r="Q1484">
        <f t="shared" si="176"/>
        <v>3.1950045831528474E-2</v>
      </c>
      <c r="R1484">
        <f t="shared" si="177"/>
        <v>1</v>
      </c>
      <c r="S1484">
        <f t="shared" si="169"/>
        <v>15.331366026279126</v>
      </c>
      <c r="T1484" s="564">
        <f>IF((I1484-MAX(I$470:I1484))/MAX(I$470:I1484)&gt;T1483,T1483,(I1484-MAX(I$470:I1484))/MAX(I$470:I1484))</f>
        <v>-0.91338805338419748</v>
      </c>
      <c r="U1484" s="564">
        <f>IF((J1484-MAX(J$470:J1484))/MAX(J$470:J1484)&gt;U1483,U1483,(J1484-MAX(J$470:J1484))/MAX(J$470:J1484))</f>
        <v>-0.70517826086956548</v>
      </c>
      <c r="V1484" s="564">
        <f>IF((K1484-MAX(K$470:K1484))/MAX(K$470:K1484)&gt;V1483,V1483,(K1484-MAX(K$470:K1484))/MAX(K$470:K1484))</f>
        <v>-0.84885940676762139</v>
      </c>
      <c r="W1484" s="564">
        <f>IF((N1484-MAX(N$470:N1484))/MAX(N$470:N1484)&gt;W1483,W1483,(N1484-MAX(N$470:N1484))/MAX(N$470:N1484))</f>
        <v>-0.62788758315546067</v>
      </c>
      <c r="X1484" s="564">
        <f>IF((O1484-MAX(O$470:O1484))/MAX(O$470:O1484)&gt;X1483,X1483,(O1484-MAX(O$470:O1484))/MAX(O$470:O1484))</f>
        <v>-0.62788758315546067</v>
      </c>
    </row>
    <row r="1485" spans="1:24">
      <c r="A1485" s="799">
        <v>41887</v>
      </c>
      <c r="B1485">
        <v>488.17599999999999</v>
      </c>
      <c r="C1485">
        <v>219.40335200000001</v>
      </c>
      <c r="D1485">
        <v>1.343655</v>
      </c>
      <c r="E1485">
        <f>LN(D1485/参数实验室!$E$53)/参数实验室!$E$55</f>
        <v>-0.34447683904473064</v>
      </c>
      <c r="F1485">
        <f t="shared" si="178"/>
        <v>0.44943494149650948</v>
      </c>
      <c r="G1485">
        <f>LN(F1485/参数实验室!$E$58)/参数实验室!$E$59</f>
        <v>-0.61028948321735244</v>
      </c>
      <c r="H1485" s="856">
        <f>INDEX(神经网络!$G$10:$BO$70,MATCH(ROUND(G1485*2,1)/2,神经网络!$E$10:$E$70,0),MATCH(ROUND(E1485*2,1)/2,神经网络!$G$8:$BO$8,0))</f>
        <v>-0.91385209379677512</v>
      </c>
      <c r="I1485">
        <f t="shared" si="170"/>
        <v>631.67647524137476</v>
      </c>
      <c r="J1485">
        <f t="shared" si="171"/>
        <v>194.79509995610695</v>
      </c>
      <c r="K1485">
        <f t="shared" si="172"/>
        <v>3.2427739475156714</v>
      </c>
      <c r="L1485" s="4">
        <f>MIN(MAX(L1484*(1+MAX(MIN(((B1485-B1484)/B1484)/($K$7*卓尔金历!$N$40),0),-卓尔金历!$M$43))+MIN(MAX(((B1485-B1484)/B1484)/($K$7*卓尔金历!$N$40),0),卓尔金历!$M$43),0),1)</f>
        <v>0.60994396288598862</v>
      </c>
      <c r="M1485" s="4">
        <f>MIN(MAX(M1484*(1+MAX(MIN(((B1485-B1484)/B1484)/($K$7*30),0),-卓尔金历!$M$43))+MIN(MAX(((B1485-B1484)/B1484)/($K$7*7),0),卓尔金历!$M$43),0),1)</f>
        <v>1</v>
      </c>
      <c r="N1485">
        <f t="shared" si="173"/>
        <v>677.92842974986104</v>
      </c>
      <c r="O1485">
        <f t="shared" si="174"/>
        <v>1523.7952235081491</v>
      </c>
      <c r="P1485">
        <f t="shared" si="175"/>
        <v>2.3063010954144311E-2</v>
      </c>
      <c r="Q1485">
        <f t="shared" si="176"/>
        <v>3.1346917213729057E-2</v>
      </c>
      <c r="R1485">
        <f t="shared" si="177"/>
        <v>0.3486409138410857</v>
      </c>
      <c r="S1485">
        <f t="shared" si="169"/>
        <v>15.015587284308799</v>
      </c>
      <c r="T1485" s="564">
        <f>IF((I1485-MAX(I$470:I1485))/MAX(I$470:I1485)&gt;T1484,T1484,(I1485-MAX(I$470:I1485))/MAX(I$470:I1485))</f>
        <v>-0.91338805338419748</v>
      </c>
      <c r="U1485" s="564">
        <f>IF((J1485-MAX(J$470:J1485))/MAX(J$470:J1485)&gt;U1484,U1484,(J1485-MAX(J$470:J1485))/MAX(J$470:J1485))</f>
        <v>-0.70517826086956548</v>
      </c>
      <c r="V1485" s="564">
        <f>IF((K1485-MAX(K$470:K1485))/MAX(K$470:K1485)&gt;V1484,V1484,(K1485-MAX(K$470:K1485))/MAX(K$470:K1485))</f>
        <v>-0.84885940676762139</v>
      </c>
      <c r="W1485" s="564">
        <f>IF((N1485-MAX(N$470:N1485))/MAX(N$470:N1485)&gt;W1484,W1484,(N1485-MAX(N$470:N1485))/MAX(N$470:N1485))</f>
        <v>-0.62788758315546067</v>
      </c>
      <c r="X1485" s="564">
        <f>IF((O1485-MAX(O$470:O1485))/MAX(O$470:O1485)&gt;X1484,X1484,(O1485-MAX(O$470:O1485))/MAX(O$470:O1485))</f>
        <v>-0.62788758315546067</v>
      </c>
    </row>
    <row r="1486" spans="1:24">
      <c r="A1486" s="799">
        <v>41888</v>
      </c>
      <c r="B1486">
        <v>484.69499999999999</v>
      </c>
      <c r="C1486">
        <v>217.1498</v>
      </c>
      <c r="D1486">
        <v>1.3486590000000001</v>
      </c>
      <c r="E1486">
        <f>LN(D1486/参数实验室!$E$53)/参数实验室!$E$55</f>
        <v>-0.34009139809639938</v>
      </c>
      <c r="F1486">
        <f t="shared" si="178"/>
        <v>0.44801328670607288</v>
      </c>
      <c r="G1486">
        <f>LN(F1486/参数实验室!$E$58)/参数实验室!$E$59</f>
        <v>-0.61195233543616145</v>
      </c>
      <c r="H1486" s="856">
        <f>INDEX(神经网络!$G$10:$BO$70,MATCH(ROUND(G1486*2,1)/2,神经网络!$E$10:$E$70,0),MATCH(ROUND(E1486*2,1)/2,神经网络!$G$8:$BO$8,0))</f>
        <v>-0.91385209379677512</v>
      </c>
      <c r="I1486">
        <f t="shared" si="170"/>
        <v>635.7926917795387</v>
      </c>
      <c r="J1486">
        <f t="shared" si="171"/>
        <v>193.40608914249216</v>
      </c>
      <c r="K1486">
        <f t="shared" si="172"/>
        <v>3.2873457841915084</v>
      </c>
      <c r="L1486" s="4">
        <f>MIN(MAX(L1485*(1+MAX(MIN(((B1486-B1485)/B1485)/($K$7*卓尔金历!$N$40),0),-卓尔金历!$M$43))+MIN(MAX(((B1486-B1485)/B1485)/($K$7*卓尔金历!$N$40),0),卓尔金历!$M$43),0),1)</f>
        <v>0.54349111246547332</v>
      </c>
      <c r="M1486" s="4">
        <f>MIN(MAX(M1485*(1+MAX(MIN(((B1486-B1485)/B1485)/($K$7*30),0),-卓尔金历!$M$43))+MIN(MAX(((B1486-B1485)/B1485)/($K$7*7),0),卓尔金历!$M$43),0),1)</f>
        <v>0.94552544621796941</v>
      </c>
      <c r="N1486">
        <f t="shared" si="173"/>
        <v>680.62292420360802</v>
      </c>
      <c r="O1486">
        <f t="shared" si="174"/>
        <v>1533.7247861016947</v>
      </c>
      <c r="P1486">
        <f t="shared" si="175"/>
        <v>-7.1306250204844048E-3</v>
      </c>
      <c r="Q1486">
        <f t="shared" si="176"/>
        <v>2.9906050973834034E-2</v>
      </c>
      <c r="R1486">
        <f t="shared" si="177"/>
        <v>1</v>
      </c>
      <c r="S1486">
        <f t="shared" si="169"/>
        <v>15.04970061969388</v>
      </c>
      <c r="T1486" s="564">
        <f>IF((I1486-MAX(I$470:I1486))/MAX(I$470:I1486)&gt;T1485,T1485,(I1486-MAX(I$470:I1486))/MAX(I$470:I1486))</f>
        <v>-0.91338805338419748</v>
      </c>
      <c r="U1486" s="564">
        <f>IF((J1486-MAX(J$470:J1486))/MAX(J$470:J1486)&gt;U1485,U1485,(J1486-MAX(J$470:J1486))/MAX(J$470:J1486))</f>
        <v>-0.70517826086956548</v>
      </c>
      <c r="V1486" s="564">
        <f>IF((K1486-MAX(K$470:K1486))/MAX(K$470:K1486)&gt;V1485,V1485,(K1486-MAX(K$470:K1486))/MAX(K$470:K1486))</f>
        <v>-0.84885940676762139</v>
      </c>
      <c r="W1486" s="564">
        <f>IF((N1486-MAX(N$470:N1486))/MAX(N$470:N1486)&gt;W1485,W1485,(N1486-MAX(N$470:N1486))/MAX(N$470:N1486))</f>
        <v>-0.62788758315546067</v>
      </c>
      <c r="X1486" s="564">
        <f>IF((O1486-MAX(O$470:O1486))/MAX(O$470:O1486)&gt;X1485,X1485,(O1486-MAX(O$470:O1486))/MAX(O$470:O1486))</f>
        <v>-0.62788758315546067</v>
      </c>
    </row>
    <row r="1487" spans="1:24">
      <c r="A1487" s="799">
        <v>41889</v>
      </c>
      <c r="B1487">
        <v>487.596</v>
      </c>
      <c r="C1487">
        <v>217.747874</v>
      </c>
      <c r="D1487">
        <v>1.34317</v>
      </c>
      <c r="E1487">
        <f>LN(D1487/参数实验室!$E$53)/参数实验室!$E$55</f>
        <v>-0.34490275463621223</v>
      </c>
      <c r="F1487">
        <f t="shared" si="178"/>
        <v>0.44657436484302576</v>
      </c>
      <c r="G1487">
        <f>LN(F1487/参数实验室!$E$58)/参数实验室!$E$59</f>
        <v>-0.61364076609467799</v>
      </c>
      <c r="H1487" s="856">
        <f>INDEX(神经网络!$G$10:$BO$70,MATCH(ROUND(G1487*2,1)/2,神经网络!$E$10:$E$70,0),MATCH(ROUND(E1487*2,1)/2,神经网络!$G$8:$BO$8,0))</f>
        <v>-0.91385209379677512</v>
      </c>
      <c r="I1487">
        <f t="shared" si="170"/>
        <v>632.31516380827316</v>
      </c>
      <c r="J1487">
        <f t="shared" si="171"/>
        <v>194.56366465823373</v>
      </c>
      <c r="K1487">
        <f t="shared" si="172"/>
        <v>3.2499139287851313</v>
      </c>
      <c r="L1487" s="4">
        <f>MIN(MAX(L1486*(1+MAX(MIN(((B1487-B1486)/B1486)/($K$7*卓尔金历!$N$40),0),-卓尔金历!$M$43))+MIN(MAX(((B1487-B1486)/B1486)/($K$7*卓尔金历!$N$40),0),卓尔金历!$M$43),0),1)</f>
        <v>0.63493933478787501</v>
      </c>
      <c r="M1487" s="4">
        <f>MIN(MAX(M1486*(1+MAX(MIN(((B1487-B1486)/B1486)/($K$7*30),0),-卓尔金历!$M$43))+MIN(MAX(((B1487-B1486)/B1486)/($K$7*7),0),卓尔金历!$M$43),0),1)</f>
        <v>1</v>
      </c>
      <c r="N1487">
        <f t="shared" si="173"/>
        <v>678.59965291104686</v>
      </c>
      <c r="O1487">
        <f t="shared" si="174"/>
        <v>1525.7929129969712</v>
      </c>
      <c r="P1487">
        <f t="shared" si="175"/>
        <v>5.9852071921517869E-3</v>
      </c>
      <c r="Q1487">
        <f t="shared" si="176"/>
        <v>2.9360446688435189E-2</v>
      </c>
      <c r="R1487">
        <f t="shared" si="177"/>
        <v>1</v>
      </c>
      <c r="S1487">
        <f t="shared" si="169"/>
        <v>14.967384865611093</v>
      </c>
      <c r="T1487" s="564">
        <f>IF((I1487-MAX(I$470:I1487))/MAX(I$470:I1487)&gt;T1486,T1486,(I1487-MAX(I$470:I1487))/MAX(I$470:I1487))</f>
        <v>-0.91338805338419748</v>
      </c>
      <c r="U1487" s="564">
        <f>IF((J1487-MAX(J$470:J1487))/MAX(J$470:J1487)&gt;U1486,U1486,(J1487-MAX(J$470:J1487))/MAX(J$470:J1487))</f>
        <v>-0.70517826086956548</v>
      </c>
      <c r="V1487" s="564">
        <f>IF((K1487-MAX(K$470:K1487))/MAX(K$470:K1487)&gt;V1486,V1486,(K1487-MAX(K$470:K1487))/MAX(K$470:K1487))</f>
        <v>-0.84885940676762139</v>
      </c>
      <c r="W1487" s="564">
        <f>IF((N1487-MAX(N$470:N1487))/MAX(N$470:N1487)&gt;W1486,W1486,(N1487-MAX(N$470:N1487))/MAX(N$470:N1487))</f>
        <v>-0.62788758315546067</v>
      </c>
      <c r="X1487" s="564">
        <f>IF((O1487-MAX(O$470:O1487))/MAX(O$470:O1487)&gt;X1486,X1486,(O1487-MAX(O$470:O1487))/MAX(O$470:O1487))</f>
        <v>-0.62788758315546067</v>
      </c>
    </row>
    <row r="1488" spans="1:24">
      <c r="A1488" s="799">
        <v>41890</v>
      </c>
      <c r="B1488">
        <v>485.55099999999999</v>
      </c>
      <c r="C1488">
        <v>222.98866100000001</v>
      </c>
      <c r="D1488">
        <v>1.31734</v>
      </c>
      <c r="E1488">
        <f>LN(D1488/参数实验室!$E$53)/参数实验室!$E$55</f>
        <v>-0.36781113219531941</v>
      </c>
      <c r="F1488">
        <f t="shared" si="178"/>
        <v>0.45924869066277285</v>
      </c>
      <c r="G1488">
        <f>LN(F1488/参数实验室!$E$58)/参数实验室!$E$59</f>
        <v>-0.59895223443111689</v>
      </c>
      <c r="H1488" s="856">
        <f>INDEX(神经网络!$G$10:$BO$70,MATCH(ROUND(G1488*2,1)/2,神经网络!$E$10:$E$70,0),MATCH(ROUND(E1488*2,1)/2,神经网络!$G$8:$BO$8,0))</f>
        <v>-0.91385209379677512</v>
      </c>
      <c r="I1488">
        <f t="shared" si="170"/>
        <v>634.73866192332866</v>
      </c>
      <c r="J1488">
        <f t="shared" si="171"/>
        <v>193.7476557200429</v>
      </c>
      <c r="K1488">
        <f t="shared" si="172"/>
        <v>3.2761101524784331</v>
      </c>
      <c r="L1488" s="4">
        <f>MIN(MAX(L1487*(1+MAX(MIN(((B1488-B1487)/B1487)/($K$7*卓尔金历!$N$40),0),-卓尔金历!$M$43))+MIN(MAX(((B1488-B1487)/B1487)/($K$7*卓尔金历!$N$40),0),卓尔金历!$M$43),0),1)</f>
        <v>0.59425178950948088</v>
      </c>
      <c r="M1488" s="4">
        <f>MIN(MAX(M1487*(1+MAX(MIN(((B1488-B1487)/B1487)/($K$7*30),0),-卓尔金历!$M$43))+MIN(MAX(((B1488-B1487)/B1487)/($K$7*7),0),卓尔金历!$M$43),0),1)</f>
        <v>0.96795950175933942</v>
      </c>
      <c r="N1488">
        <f t="shared" si="173"/>
        <v>680.25106308240584</v>
      </c>
      <c r="O1488">
        <f t="shared" si="174"/>
        <v>1531.640876892606</v>
      </c>
      <c r="P1488">
        <f t="shared" si="175"/>
        <v>-4.1940458904503233E-3</v>
      </c>
      <c r="Q1488">
        <f t="shared" si="176"/>
        <v>2.8759687342572317E-2</v>
      </c>
      <c r="R1488">
        <f t="shared" si="177"/>
        <v>1</v>
      </c>
      <c r="S1488">
        <f t="shared" si="169"/>
        <v>15.024750924635605</v>
      </c>
      <c r="T1488" s="564">
        <f>IF((I1488-MAX(I$470:I1488))/MAX(I$470:I1488)&gt;T1487,T1487,(I1488-MAX(I$470:I1488))/MAX(I$470:I1488))</f>
        <v>-0.91338805338419748</v>
      </c>
      <c r="U1488" s="564">
        <f>IF((J1488-MAX(J$470:J1488))/MAX(J$470:J1488)&gt;U1487,U1487,(J1488-MAX(J$470:J1488))/MAX(J$470:J1488))</f>
        <v>-0.70517826086956548</v>
      </c>
      <c r="V1488" s="564">
        <f>IF((K1488-MAX(K$470:K1488))/MAX(K$470:K1488)&gt;V1487,V1487,(K1488-MAX(K$470:K1488))/MAX(K$470:K1488))</f>
        <v>-0.84885940676762139</v>
      </c>
      <c r="W1488" s="564">
        <f>IF((N1488-MAX(N$470:N1488))/MAX(N$470:N1488)&gt;W1487,W1487,(N1488-MAX(N$470:N1488))/MAX(N$470:N1488))</f>
        <v>-0.62788758315546067</v>
      </c>
      <c r="X1488" s="564">
        <f>IF((O1488-MAX(O$470:O1488))/MAX(O$470:O1488)&gt;X1487,X1487,(O1488-MAX(O$470:O1488))/MAX(O$470:O1488))</f>
        <v>-0.62788758315546067</v>
      </c>
    </row>
    <row r="1489" spans="1:24">
      <c r="A1489" s="799">
        <v>41891</v>
      </c>
      <c r="B1489">
        <v>479.012</v>
      </c>
      <c r="C1489">
        <v>227.42664600000001</v>
      </c>
      <c r="D1489">
        <v>1.331124</v>
      </c>
      <c r="E1489">
        <f>LN(D1489/参数实验室!$E$53)/参数实验室!$E$55</f>
        <v>-0.3555309082278757</v>
      </c>
      <c r="F1489">
        <f t="shared" si="178"/>
        <v>0.47478277370921818</v>
      </c>
      <c r="G1489">
        <f>LN(F1489/参数实验室!$E$58)/参数实验室!$E$59</f>
        <v>-0.58149269813129656</v>
      </c>
      <c r="H1489" s="856">
        <f>INDEX(神经网络!$G$10:$BO$70,MATCH(ROUND(G1489*2,1)/2,神经网络!$E$10:$E$70,0),MATCH(ROUND(E1489*2,1)/2,神经网络!$G$8:$BO$8,0))</f>
        <v>-0.91385209379677512</v>
      </c>
      <c r="I1489">
        <f t="shared" si="170"/>
        <v>642.55039414473049</v>
      </c>
      <c r="J1489">
        <f t="shared" si="171"/>
        <v>191.13842224971052</v>
      </c>
      <c r="K1489">
        <f t="shared" si="172"/>
        <v>3.3617018838068997</v>
      </c>
      <c r="L1489" s="4">
        <f>MIN(MAX(L1488*(1+MAX(MIN(((B1489-B1488)/B1488)/($K$7*卓尔金历!$N$40),0),-卓尔金历!$M$43))+MIN(MAX(((B1489-B1488)/B1488)/($K$7*卓尔金历!$N$40),0),卓尔金历!$M$43),0),1)</f>
        <v>0.47197527205769929</v>
      </c>
      <c r="M1489" s="4">
        <f>MIN(MAX(M1488*(1+MAX(MIN(((B1489-B1488)/B1488)/($K$7*30),0),-卓尔金历!$M$43))+MIN(MAX(((B1489-B1488)/B1488)/($K$7*7),0),卓尔金历!$M$43),0),1)</f>
        <v>0.86837316563135591</v>
      </c>
      <c r="N1489">
        <f t="shared" si="173"/>
        <v>685.22605206219851</v>
      </c>
      <c r="O1489">
        <f t="shared" si="174"/>
        <v>1549.886829036134</v>
      </c>
      <c r="P1489">
        <f t="shared" si="175"/>
        <v>-1.3467174405984104E-2</v>
      </c>
      <c r="Q1489">
        <f t="shared" si="176"/>
        <v>2.5064640035049865E-2</v>
      </c>
      <c r="R1489">
        <f t="shared" si="177"/>
        <v>0.66782817859607102</v>
      </c>
      <c r="S1489">
        <f t="shared" si="169"/>
        <v>15.209660617328453</v>
      </c>
      <c r="T1489" s="564">
        <f>IF((I1489-MAX(I$470:I1489))/MAX(I$470:I1489)&gt;T1488,T1488,(I1489-MAX(I$470:I1489))/MAX(I$470:I1489))</f>
        <v>-0.91338805338419748</v>
      </c>
      <c r="U1489" s="564">
        <f>IF((J1489-MAX(J$470:J1489))/MAX(J$470:J1489)&gt;U1488,U1488,(J1489-MAX(J$470:J1489))/MAX(J$470:J1489))</f>
        <v>-0.70517826086956548</v>
      </c>
      <c r="V1489" s="564">
        <f>IF((K1489-MAX(K$470:K1489))/MAX(K$470:K1489)&gt;V1488,V1488,(K1489-MAX(K$470:K1489))/MAX(K$470:K1489))</f>
        <v>-0.84885940676762139</v>
      </c>
      <c r="W1489" s="564">
        <f>IF((N1489-MAX(N$470:N1489))/MAX(N$470:N1489)&gt;W1488,W1488,(N1489-MAX(N$470:N1489))/MAX(N$470:N1489))</f>
        <v>-0.62788758315546067</v>
      </c>
      <c r="X1489" s="564">
        <f>IF((O1489-MAX(O$470:O1489))/MAX(O$470:O1489)&gt;X1488,X1488,(O1489-MAX(O$470:O1489))/MAX(O$470:O1489))</f>
        <v>-0.62788758315546067</v>
      </c>
    </row>
    <row r="1490" spans="1:24">
      <c r="A1490" s="799">
        <v>41892</v>
      </c>
      <c r="B1490">
        <v>472.04300000000001</v>
      </c>
      <c r="C1490">
        <v>231.145388</v>
      </c>
      <c r="D1490">
        <v>1.343736</v>
      </c>
      <c r="E1490">
        <f>LN(D1490/参数实验室!$E$53)/参数实验室!$E$55</f>
        <v>-0.34440572173222156</v>
      </c>
      <c r="F1490">
        <f t="shared" si="178"/>
        <v>0.48967019530000444</v>
      </c>
      <c r="G1490">
        <f>LN(F1490/参数实验室!$E$58)/参数实验室!$E$59</f>
        <v>-0.56528798031612093</v>
      </c>
      <c r="H1490" s="856">
        <f>INDEX(神经网络!$G$10:$BO$70,MATCH(ROUND(G1490*2,1)/2,神经网络!$E$10:$E$70,0),MATCH(ROUND(E1490*2,1)/2,神经网络!$G$8:$BO$8,0))</f>
        <v>-0.87187597781086834</v>
      </c>
      <c r="I1490">
        <f t="shared" si="170"/>
        <v>651.09333061542213</v>
      </c>
      <c r="J1490">
        <f t="shared" si="171"/>
        <v>188.35760743785144</v>
      </c>
      <c r="K1490">
        <f t="shared" si="172"/>
        <v>3.4566871998002537</v>
      </c>
      <c r="L1490" s="4">
        <f>MIN(MAX(L1489*(1+MAX(MIN(((B1490-B1489)/B1489)/($K$7*卓尔金历!$N$40),0),-卓尔金历!$M$43))+MIN(MAX(((B1490-B1489)/B1489)/($K$7*卓尔金历!$N$40),0),卓尔金历!$M$43),0),1)</f>
        <v>0.36705983476706405</v>
      </c>
      <c r="M1490" s="4">
        <f>MIN(MAX(M1489*(1+MAX(MIN(((B1490-B1489)/B1489)/($K$7*30),0),-卓尔金历!$M$43))+MIN(MAX(((B1490-B1489)/B1489)/($K$7*7),0),卓尔金历!$M$43),0),1)</f>
        <v>0.77185778040103692</v>
      </c>
      <c r="N1490">
        <f t="shared" si="173"/>
        <v>689.52589997054281</v>
      </c>
      <c r="O1490">
        <f t="shared" si="174"/>
        <v>1567.7807850129323</v>
      </c>
      <c r="P1490">
        <f t="shared" si="175"/>
        <v>-1.4548696066069313E-2</v>
      </c>
      <c r="Q1490">
        <f t="shared" si="176"/>
        <v>2.3979126643572029E-2</v>
      </c>
      <c r="R1490">
        <f t="shared" si="177"/>
        <v>0.53727135502019652</v>
      </c>
      <c r="S1490">
        <f t="shared" si="169"/>
        <v>15.344707401151126</v>
      </c>
      <c r="T1490" s="564">
        <f>IF((I1490-MAX(I$470:I1490))/MAX(I$470:I1490)&gt;T1489,T1489,(I1490-MAX(I$470:I1490))/MAX(I$470:I1490))</f>
        <v>-0.91338805338419748</v>
      </c>
      <c r="U1490" s="564">
        <f>IF((J1490-MAX(J$470:J1490))/MAX(J$470:J1490)&gt;U1489,U1489,(J1490-MAX(J$470:J1490))/MAX(J$470:J1490))</f>
        <v>-0.70517826086956548</v>
      </c>
      <c r="V1490" s="564">
        <f>IF((K1490-MAX(K$470:K1490))/MAX(K$470:K1490)&gt;V1489,V1489,(K1490-MAX(K$470:K1490))/MAX(K$470:K1490))</f>
        <v>-0.84885940676762139</v>
      </c>
      <c r="W1490" s="564">
        <f>IF((N1490-MAX(N$470:N1490))/MAX(N$470:N1490)&gt;W1489,W1489,(N1490-MAX(N$470:N1490))/MAX(N$470:N1490))</f>
        <v>-0.62788758315546067</v>
      </c>
      <c r="X1490" s="564">
        <f>IF((O1490-MAX(O$470:O1490))/MAX(O$470:O1490)&gt;X1489,X1489,(O1490-MAX(O$470:O1490))/MAX(O$470:O1490))</f>
        <v>-0.62788758315546067</v>
      </c>
    </row>
    <row r="1491" spans="1:24">
      <c r="A1491" s="799">
        <v>41893</v>
      </c>
      <c r="B1491">
        <v>484.654</v>
      </c>
      <c r="C1491">
        <v>231.953259</v>
      </c>
      <c r="D1491">
        <v>1.3425609999999999</v>
      </c>
      <c r="E1491">
        <f>LN(D1491/参数实验室!$E$53)/参数实验室!$E$55</f>
        <v>-0.34543778196239883</v>
      </c>
      <c r="F1491">
        <f t="shared" si="178"/>
        <v>0.47859557333685476</v>
      </c>
      <c r="G1491">
        <f>LN(F1491/参数实验室!$E$58)/参数实验室!$E$59</f>
        <v>-0.57729462928443431</v>
      </c>
      <c r="H1491" s="856">
        <f>INDEX(神经网络!$G$10:$BO$70,MATCH(ROUND(G1491*2,1)/2,神经网络!$E$10:$E$70,0),MATCH(ROUND(E1491*2,1)/2,神经网络!$G$8:$BO$8,0))</f>
        <v>-0.91385209379677512</v>
      </c>
      <c r="I1491">
        <f t="shared" si="170"/>
        <v>635.92750972440081</v>
      </c>
      <c r="J1491">
        <f t="shared" si="171"/>
        <v>193.38972906109072</v>
      </c>
      <c r="K1491">
        <f t="shared" si="172"/>
        <v>3.2883210127644107</v>
      </c>
      <c r="L1491" s="4">
        <f>MIN(MAX(L1490*(1+MAX(MIN(((B1491-B1490)/B1490)/($K$7*卓尔金历!$N$40),0),-卓尔金历!$M$43))+MIN(MAX(((B1491-B1490)/B1490)/($K$7*卓尔金历!$N$40),0),卓尔金历!$M$43),0),1)</f>
        <v>0.77525141504389339</v>
      </c>
      <c r="M1491" s="4">
        <f>MIN(MAX(M1490*(1+MAX(MIN(((B1491-B1490)/B1490)/($K$7*30),0),-卓尔金历!$M$43))+MIN(MAX(((B1491-B1490)/B1490)/($K$7*7),0),卓尔金历!$M$43),0),1)</f>
        <v>1</v>
      </c>
      <c r="N1491">
        <f t="shared" si="173"/>
        <v>683.63054276624655</v>
      </c>
      <c r="O1491">
        <f t="shared" si="174"/>
        <v>1539.5940158048809</v>
      </c>
      <c r="P1491">
        <f t="shared" si="175"/>
        <v>2.67157864855532E-2</v>
      </c>
      <c r="Q1491">
        <f t="shared" si="176"/>
        <v>2.1410248880552856E-2</v>
      </c>
      <c r="R1491">
        <f t="shared" si="177"/>
        <v>1.8670509662896462E-2</v>
      </c>
      <c r="S1491">
        <f t="shared" si="169"/>
        <v>15.152674795880422</v>
      </c>
      <c r="T1491" s="564">
        <f>IF((I1491-MAX(I$470:I1491))/MAX(I$470:I1491)&gt;T1490,T1490,(I1491-MAX(I$470:I1491))/MAX(I$470:I1491))</f>
        <v>-0.91338805338419748</v>
      </c>
      <c r="U1491" s="564">
        <f>IF((J1491-MAX(J$470:J1491))/MAX(J$470:J1491)&gt;U1490,U1490,(J1491-MAX(J$470:J1491))/MAX(J$470:J1491))</f>
        <v>-0.70517826086956548</v>
      </c>
      <c r="V1491" s="564">
        <f>IF((K1491-MAX(K$470:K1491))/MAX(K$470:K1491)&gt;V1490,V1490,(K1491-MAX(K$470:K1491))/MAX(K$470:K1491))</f>
        <v>-0.84885940676762139</v>
      </c>
      <c r="W1491" s="564">
        <f>IF((N1491-MAX(N$470:N1491))/MAX(N$470:N1491)&gt;W1490,W1490,(N1491-MAX(N$470:N1491))/MAX(N$470:N1491))</f>
        <v>-0.62788758315546067</v>
      </c>
      <c r="X1491" s="564">
        <f>IF((O1491-MAX(O$470:O1491))/MAX(O$470:O1491)&gt;X1490,X1490,(O1491-MAX(O$470:O1491))/MAX(O$470:O1491))</f>
        <v>-0.62788758315546067</v>
      </c>
    </row>
    <row r="1492" spans="1:24">
      <c r="A1492" s="799">
        <v>41894</v>
      </c>
      <c r="B1492">
        <v>474.61</v>
      </c>
      <c r="C1492">
        <v>230.89703299999999</v>
      </c>
      <c r="D1492">
        <v>1.33422</v>
      </c>
      <c r="E1492">
        <f>LN(D1492/参数实验室!$E$53)/参数实验室!$E$55</f>
        <v>-0.35279016055247664</v>
      </c>
      <c r="F1492">
        <f t="shared" si="178"/>
        <v>0.48649845768104333</v>
      </c>
      <c r="G1492">
        <f>LN(F1492/参数实验室!$E$58)/参数实验室!$E$59</f>
        <v>-0.56869867203623237</v>
      </c>
      <c r="H1492" s="856">
        <f>INDEX(神经网络!$G$10:$BO$70,MATCH(ROUND(G1492*2,1)/2,神经网络!$E$10:$E$70,0),MATCH(ROUND(E1492*2,1)/2,神经网络!$G$8:$BO$8,0))</f>
        <v>-0.87187597781086834</v>
      </c>
      <c r="I1492">
        <f t="shared" si="170"/>
        <v>647.97116805558505</v>
      </c>
      <c r="J1492">
        <f t="shared" si="171"/>
        <v>189.38190814412812</v>
      </c>
      <c r="K1492">
        <f t="shared" si="172"/>
        <v>3.4215051184427288</v>
      </c>
      <c r="L1492" s="4">
        <f>MIN(MAX(L1491*(1+MAX(MIN(((B1492-B1491)/B1491)/($K$7*卓尔金历!$N$40),0),-卓尔金历!$M$43))+MIN(MAX(((B1492-B1491)/B1491)/($K$7*卓尔金历!$N$40),0),卓尔金历!$M$43),0),1)</f>
        <v>0.52977286542945334</v>
      </c>
      <c r="M1492" s="4">
        <f>MIN(MAX(M1491*(1+MAX(MIN(((B1492-B1491)/B1491)/($K$7*30),0),-卓尔金历!$M$43))+MIN(MAX(((B1492-B1491)/B1491)/($K$7*7),0),卓尔金历!$M$43),0),1)</f>
        <v>0.84167810283806999</v>
      </c>
      <c r="N1492">
        <f t="shared" si="173"/>
        <v>693.66779502319321</v>
      </c>
      <c r="O1492">
        <f t="shared" si="174"/>
        <v>1568.7519685770858</v>
      </c>
      <c r="P1492">
        <f t="shared" si="175"/>
        <v>-2.0724062939746671E-2</v>
      </c>
      <c r="Q1492">
        <f t="shared" si="176"/>
        <v>1.9438757734564979E-2</v>
      </c>
      <c r="R1492">
        <f t="shared" si="177"/>
        <v>2.0039423620564416E-2</v>
      </c>
      <c r="S1492">
        <f t="shared" si="169"/>
        <v>15.158032716681827</v>
      </c>
      <c r="T1492" s="564">
        <f>IF((I1492-MAX(I$470:I1492))/MAX(I$470:I1492)&gt;T1491,T1491,(I1492-MAX(I$470:I1492))/MAX(I$470:I1492))</f>
        <v>-0.91338805338419748</v>
      </c>
      <c r="U1492" s="564">
        <f>IF((J1492-MAX(J$470:J1492))/MAX(J$470:J1492)&gt;U1491,U1491,(J1492-MAX(J$470:J1492))/MAX(J$470:J1492))</f>
        <v>-0.70517826086956548</v>
      </c>
      <c r="V1492" s="564">
        <f>IF((K1492-MAX(K$470:K1492))/MAX(K$470:K1492)&gt;V1491,V1491,(K1492-MAX(K$470:K1492))/MAX(K$470:K1492))</f>
        <v>-0.84885940676762139</v>
      </c>
      <c r="W1492" s="564">
        <f>IF((N1492-MAX(N$470:N1492))/MAX(N$470:N1492)&gt;W1491,W1491,(N1492-MAX(N$470:N1492))/MAX(N$470:N1492))</f>
        <v>-0.62788758315546067</v>
      </c>
      <c r="X1492" s="564">
        <f>IF((O1492-MAX(O$470:O1492))/MAX(O$470:O1492)&gt;X1491,X1491,(O1492-MAX(O$470:O1492))/MAX(O$470:O1492))</f>
        <v>-0.62788758315546067</v>
      </c>
    </row>
    <row r="1493" spans="1:24">
      <c r="A1493" s="799">
        <v>41895</v>
      </c>
      <c r="B1493">
        <v>476.11900000000003</v>
      </c>
      <c r="C1493">
        <v>231.01156399999999</v>
      </c>
      <c r="D1493">
        <v>1.345297</v>
      </c>
      <c r="E1493">
        <f>LN(D1493/参数实验室!$E$53)/参数实验室!$E$55</f>
        <v>-0.34303601372141973</v>
      </c>
      <c r="F1493">
        <f t="shared" si="178"/>
        <v>0.4851971124865842</v>
      </c>
      <c r="G1493">
        <f>LN(F1493/参数实验室!$E$58)/参数实验室!$E$59</f>
        <v>-0.57010449648594341</v>
      </c>
      <c r="H1493" s="856">
        <f>INDEX(神经网络!$G$10:$BO$70,MATCH(ROUND(G1493*2,1)/2,神经网络!$E$10:$E$70,0),MATCH(ROUND(E1493*2,1)/2,神经网络!$G$8:$BO$8,0))</f>
        <v>-0.87187597781086834</v>
      </c>
      <c r="I1493">
        <f t="shared" si="170"/>
        <v>646.17493473122556</v>
      </c>
      <c r="J1493">
        <f t="shared" si="171"/>
        <v>189.98403894497406</v>
      </c>
      <c r="K1493">
        <f t="shared" si="172"/>
        <v>3.4012064293378885</v>
      </c>
      <c r="L1493" s="4">
        <f>MIN(MAX(L1492*(1+MAX(MIN(((B1493-B1492)/B1492)/($K$7*卓尔金历!$N$40),0),-卓尔金历!$M$43))+MIN(MAX(((B1493-B1492)/B1492)/($K$7*卓尔金历!$N$40),0),卓尔金历!$M$43),0),1)</f>
        <v>0.57835185011377932</v>
      </c>
      <c r="M1493" s="4">
        <f>MIN(MAX(M1492*(1+MAX(MIN(((B1493-B1492)/B1492)/($K$7*30),0),-卓尔金历!$M$43))+MIN(MAX(((B1493-B1492)/B1492)/($K$7*7),0),卓尔金历!$M$43),0),1)</f>
        <v>0.94577592716162573</v>
      </c>
      <c r="N1493">
        <f t="shared" si="173"/>
        <v>692.64909032408093</v>
      </c>
      <c r="O1493">
        <f t="shared" si="174"/>
        <v>1565.0917469756971</v>
      </c>
      <c r="P1493">
        <f t="shared" si="175"/>
        <v>3.179452603190018E-3</v>
      </c>
      <c r="Q1493">
        <f t="shared" si="176"/>
        <v>1.9385384895368653E-2</v>
      </c>
      <c r="R1493">
        <f t="shared" si="177"/>
        <v>1</v>
      </c>
      <c r="S1493">
        <f t="shared" si="169"/>
        <v>15.157190672007474</v>
      </c>
      <c r="T1493" s="564">
        <f>IF((I1493-MAX(I$470:I1493))/MAX(I$470:I1493)&gt;T1492,T1492,(I1493-MAX(I$470:I1493))/MAX(I$470:I1493))</f>
        <v>-0.91338805338419748</v>
      </c>
      <c r="U1493" s="564">
        <f>IF((J1493-MAX(J$470:J1493))/MAX(J$470:J1493)&gt;U1492,U1492,(J1493-MAX(J$470:J1493))/MAX(J$470:J1493))</f>
        <v>-0.70517826086956548</v>
      </c>
      <c r="V1493" s="564">
        <f>IF((K1493-MAX(K$470:K1493))/MAX(K$470:K1493)&gt;V1492,V1492,(K1493-MAX(K$470:K1493))/MAX(K$470:K1493))</f>
        <v>-0.84885940676762139</v>
      </c>
      <c r="W1493" s="564">
        <f>IF((N1493-MAX(N$470:N1493))/MAX(N$470:N1493)&gt;W1492,W1492,(N1493-MAX(N$470:N1493))/MAX(N$470:N1493))</f>
        <v>-0.62788758315546067</v>
      </c>
      <c r="X1493" s="564">
        <f>IF((O1493-MAX(O$470:O1493))/MAX(O$470:O1493)&gt;X1492,X1492,(O1493-MAX(O$470:O1493))/MAX(O$470:O1493))</f>
        <v>-0.62788758315546067</v>
      </c>
    </row>
    <row r="1494" spans="1:24">
      <c r="A1494" s="799">
        <v>41896</v>
      </c>
      <c r="B1494">
        <v>480.77</v>
      </c>
      <c r="C1494">
        <v>232.22686300000001</v>
      </c>
      <c r="D1494">
        <v>1.338708</v>
      </c>
      <c r="E1494">
        <f>LN(D1494/参数实验室!$E$53)/参数实验室!$E$55</f>
        <v>-0.34882840959274036</v>
      </c>
      <c r="F1494">
        <f t="shared" si="178"/>
        <v>0.48303110219023654</v>
      </c>
      <c r="G1494">
        <f>LN(F1494/参数实验室!$E$58)/参数实验室!$E$59</f>
        <v>-0.57245278822259416</v>
      </c>
      <c r="H1494" s="856">
        <f>INDEX(神经网络!$G$10:$BO$70,MATCH(ROUND(G1494*2,1)/2,神经网络!$E$10:$E$70,0),MATCH(ROUND(E1494*2,1)/2,神经网络!$G$8:$BO$8,0))</f>
        <v>-0.87187597781086834</v>
      </c>
      <c r="I1494">
        <f t="shared" si="170"/>
        <v>640.67147685911402</v>
      </c>
      <c r="J1494">
        <f t="shared" si="171"/>
        <v>191.83991061809164</v>
      </c>
      <c r="K1494">
        <f t="shared" si="172"/>
        <v>3.3396151759815038</v>
      </c>
      <c r="L1494" s="4">
        <f>MIN(MAX(L1493*(1+MAX(MIN(((B1494-B1493)/B1493)/($K$7*卓尔金历!$N$40),0),-卓尔金历!$M$43))+MIN(MAX(((B1494-B1493)/B1493)/($K$7*卓尔金历!$N$40),0),卓尔金历!$M$43),0),1)</f>
        <v>0.72760616840224124</v>
      </c>
      <c r="M1494" s="4">
        <f>MIN(MAX(M1493*(1+MAX(MIN(((B1494-B1493)/B1493)/($K$7*30),0),-卓尔金历!$M$43))+MIN(MAX(((B1494-B1493)/B1493)/($K$7*7),0),卓尔金历!$M$43),0),1)</f>
        <v>1</v>
      </c>
      <c r="N1494">
        <f t="shared" si="173"/>
        <v>689.23723241509595</v>
      </c>
      <c r="O1494">
        <f t="shared" si="174"/>
        <v>1552.4846934764448</v>
      </c>
      <c r="P1494">
        <f t="shared" si="175"/>
        <v>9.7685662617957979E-3</v>
      </c>
      <c r="Q1494">
        <f t="shared" si="176"/>
        <v>1.8534693367497024E-2</v>
      </c>
      <c r="R1494">
        <f t="shared" si="177"/>
        <v>0.67227581807301351</v>
      </c>
      <c r="S1494">
        <f t="shared" si="169"/>
        <v>15.028097208551403</v>
      </c>
      <c r="T1494" s="564">
        <f>IF((I1494-MAX(I$470:I1494))/MAX(I$470:I1494)&gt;T1493,T1493,(I1494-MAX(I$470:I1494))/MAX(I$470:I1494))</f>
        <v>-0.91338805338419748</v>
      </c>
      <c r="U1494" s="564">
        <f>IF((J1494-MAX(J$470:J1494))/MAX(J$470:J1494)&gt;U1493,U1493,(J1494-MAX(J$470:J1494))/MAX(J$470:J1494))</f>
        <v>-0.70517826086956548</v>
      </c>
      <c r="V1494" s="564">
        <f>IF((K1494-MAX(K$470:K1494))/MAX(K$470:K1494)&gt;V1493,V1493,(K1494-MAX(K$470:K1494))/MAX(K$470:K1494))</f>
        <v>-0.84885940676762139</v>
      </c>
      <c r="W1494" s="564">
        <f>IF((N1494-MAX(N$470:N1494))/MAX(N$470:N1494)&gt;W1493,W1493,(N1494-MAX(N$470:N1494))/MAX(N$470:N1494))</f>
        <v>-0.62788758315546067</v>
      </c>
      <c r="X1494" s="564">
        <f>IF((O1494-MAX(O$470:O1494))/MAX(O$470:O1494)&gt;X1493,X1493,(O1494-MAX(O$470:O1494))/MAX(O$470:O1494))</f>
        <v>-0.62788758315546067</v>
      </c>
    </row>
    <row r="1495" spans="1:24">
      <c r="A1495" s="799">
        <v>41897</v>
      </c>
      <c r="B1495">
        <v>477.70600000000002</v>
      </c>
      <c r="C1495">
        <v>232.451247</v>
      </c>
      <c r="D1495">
        <v>1.3307819999999999</v>
      </c>
      <c r="E1495">
        <f>LN(D1495/参数实验室!$E$53)/参数实验室!$E$55</f>
        <v>-0.35583405613141456</v>
      </c>
      <c r="F1495">
        <f t="shared" si="178"/>
        <v>0.48659896882182763</v>
      </c>
      <c r="G1495">
        <f>LN(F1495/参数实验室!$E$58)/参数实验室!$E$59</f>
        <v>-0.5685902477873005</v>
      </c>
      <c r="H1495" s="856">
        <f>INDEX(神经网络!$G$10:$BO$70,MATCH(ROUND(G1495*2,1)/2,神经网络!$E$10:$E$70,0),MATCH(ROUND(E1495*2,1)/2,神经网络!$G$8:$BO$8,0))</f>
        <v>-0.87187597781086834</v>
      </c>
      <c r="I1495">
        <f t="shared" si="170"/>
        <v>644.23140721984396</v>
      </c>
      <c r="J1495">
        <f t="shared" si="171"/>
        <v>190.61729380312019</v>
      </c>
      <c r="K1495">
        <f t="shared" si="172"/>
        <v>3.379711223291423</v>
      </c>
      <c r="L1495" s="4">
        <f>MIN(MAX(L1494*(1+MAX(MIN(((B1495-B1494)/B1494)/($K$7*卓尔金历!$N$40),0),-卓尔金历!$M$43))+MIN(MAX(((B1495-B1494)/B1494)/($K$7*卓尔金历!$N$40),0),卓尔金历!$M$43),0),1)</f>
        <v>0.6567555163176011</v>
      </c>
      <c r="M1495" s="4">
        <f>MIN(MAX(M1494*(1+MAX(MIN(((B1495-B1494)/B1494)/($K$7*30),0),-卓尔金历!$M$43))+MIN(MAX(((B1495-B1494)/B1494)/($K$7*7),0),卓尔金历!$M$43),0),1)</f>
        <v>0.95131249901287807</v>
      </c>
      <c r="N1495">
        <f t="shared" si="173"/>
        <v>692.02381048647726</v>
      </c>
      <c r="O1495">
        <f t="shared" si="174"/>
        <v>1561.1111699070329</v>
      </c>
      <c r="P1495">
        <f t="shared" si="175"/>
        <v>-6.3731098030242418E-3</v>
      </c>
      <c r="Q1495">
        <f t="shared" si="176"/>
        <v>1.7880280632094861E-2</v>
      </c>
      <c r="R1495">
        <f t="shared" si="177"/>
        <v>1</v>
      </c>
      <c r="S1495">
        <f t="shared" ref="S1495:S1558" si="179">S1494*(1+(B1495-B1494)/B1494*H1494*R1494)</f>
        <v>15.084235294169011</v>
      </c>
      <c r="T1495" s="564">
        <f>IF((I1495-MAX(I$470:I1495))/MAX(I$470:I1495)&gt;T1494,T1494,(I1495-MAX(I$470:I1495))/MAX(I$470:I1495))</f>
        <v>-0.91338805338419748</v>
      </c>
      <c r="U1495" s="564">
        <f>IF((J1495-MAX(J$470:J1495))/MAX(J$470:J1495)&gt;U1494,U1494,(J1495-MAX(J$470:J1495))/MAX(J$470:J1495))</f>
        <v>-0.70517826086956548</v>
      </c>
      <c r="V1495" s="564">
        <f>IF((K1495-MAX(K$470:K1495))/MAX(K$470:K1495)&gt;V1494,V1494,(K1495-MAX(K$470:K1495))/MAX(K$470:K1495))</f>
        <v>-0.84885940676762139</v>
      </c>
      <c r="W1495" s="564">
        <f>IF((N1495-MAX(N$470:N1495))/MAX(N$470:N1495)&gt;W1494,W1494,(N1495-MAX(N$470:N1495))/MAX(N$470:N1495))</f>
        <v>-0.62788758315546067</v>
      </c>
      <c r="X1495" s="564">
        <f>IF((O1495-MAX(O$470:O1495))/MAX(O$470:O1495)&gt;X1494,X1494,(O1495-MAX(O$470:O1495))/MAX(O$470:O1495))</f>
        <v>-0.62788758315546067</v>
      </c>
    </row>
    <row r="1496" spans="1:24">
      <c r="A1496" s="799">
        <v>41898</v>
      </c>
      <c r="B1496">
        <v>476.80700000000002</v>
      </c>
      <c r="C1496">
        <v>232.551906</v>
      </c>
      <c r="D1496">
        <v>1.307412</v>
      </c>
      <c r="E1496">
        <f>LN(D1496/参数实验室!$E$53)/参数实验室!$E$55</f>
        <v>-0.37673589618351622</v>
      </c>
      <c r="F1496">
        <f t="shared" si="178"/>
        <v>0.48772754175169408</v>
      </c>
      <c r="G1496">
        <f>LN(F1496/参数实验室!$E$58)/参数实验室!$E$59</f>
        <v>-0.56737435901975863</v>
      </c>
      <c r="H1496" s="856">
        <f>INDEX(神经网络!$G$10:$BO$70,MATCH(ROUND(G1496*2,1)/2,神经网络!$E$10:$E$70,0),MATCH(ROUND(E1496*2,1)/2,神经网络!$G$8:$BO$8,0))</f>
        <v>-0.89121529592281112</v>
      </c>
      <c r="I1496">
        <f t="shared" ref="I1496:I1559" si="180">I1495*(1+(B1496-B1495)/B1495*H1495)</f>
        <v>645.28845739172277</v>
      </c>
      <c r="J1496">
        <f t="shared" ref="J1496:J1559" si="181">J1495*B1496/B1495</f>
        <v>190.25856909141675</v>
      </c>
      <c r="K1496">
        <f t="shared" ref="K1496:K1559" si="182">I1496/J1496</f>
        <v>3.3916393909263038</v>
      </c>
      <c r="L1496" s="4">
        <f>MIN(MAX(L1495*(1+MAX(MIN(((B1496-B1495)/B1495)/($K$7*卓尔金历!$N$40),0),-卓尔金历!$M$43))+MIN(MAX(((B1496-B1495)/B1495)/($K$7*卓尔金历!$N$40),0),卓尔金历!$M$43),0),1)</f>
        <v>0.63787130709824513</v>
      </c>
      <c r="M1496" s="4">
        <f>MIN(MAX(M1495*(1+MAX(MIN(((B1496-B1495)/B1495)/($K$7*30),0),-卓尔金历!$M$43))+MIN(MAX(((B1496-B1495)/B1495)/($K$7*7),0),卓尔金历!$M$43),0),1)</f>
        <v>0.93763557981083212</v>
      </c>
      <c r="N1496">
        <f t="shared" ref="N1496:N1559" si="183">N1495*(1+(B1496-B1495)/B1495*H1495*L1495)</f>
        <v>692.76953509435702</v>
      </c>
      <c r="O1496">
        <f t="shared" ref="O1496:O1559" si="184">O1495*(1+(B1496-B1495)/B1495*H1495*M1495)</f>
        <v>1563.5479185994541</v>
      </c>
      <c r="P1496">
        <f t="shared" ref="P1496:P1559" si="185">(B1496-B1495)/B1495</f>
        <v>-1.8819106312250649E-3</v>
      </c>
      <c r="Q1496">
        <f t="shared" si="176"/>
        <v>1.7582526384887148E-2</v>
      </c>
      <c r="R1496">
        <f t="shared" si="177"/>
        <v>1</v>
      </c>
      <c r="S1496">
        <f t="shared" si="179"/>
        <v>15.108985396898667</v>
      </c>
      <c r="T1496" s="564">
        <f>IF((I1496-MAX(I$470:I1496))/MAX(I$470:I1496)&gt;T1495,T1495,(I1496-MAX(I$470:I1496))/MAX(I$470:I1496))</f>
        <v>-0.91338805338419748</v>
      </c>
      <c r="U1496" s="564">
        <f>IF((J1496-MAX(J$470:J1496))/MAX(J$470:J1496)&gt;U1495,U1495,(J1496-MAX(J$470:J1496))/MAX(J$470:J1496))</f>
        <v>-0.70517826086956548</v>
      </c>
      <c r="V1496" s="564">
        <f>IF((K1496-MAX(K$470:K1496))/MAX(K$470:K1496)&gt;V1495,V1495,(K1496-MAX(K$470:K1496))/MAX(K$470:K1496))</f>
        <v>-0.84885940676762139</v>
      </c>
      <c r="W1496" s="564">
        <f>IF((N1496-MAX(N$470:N1496))/MAX(N$470:N1496)&gt;W1495,W1495,(N1496-MAX(N$470:N1496))/MAX(N$470:N1496))</f>
        <v>-0.62788758315546067</v>
      </c>
      <c r="X1496" s="564">
        <f>IF((O1496-MAX(O$470:O1496))/MAX(O$470:O1496)&gt;X1495,X1495,(O1496-MAX(O$470:O1496))/MAX(O$470:O1496))</f>
        <v>-0.62788758315546067</v>
      </c>
    </row>
    <row r="1497" spans="1:24">
      <c r="A1497" s="799">
        <v>41899</v>
      </c>
      <c r="B1497">
        <v>469.81299999999999</v>
      </c>
      <c r="C1497">
        <v>234.53410400000001</v>
      </c>
      <c r="D1497">
        <v>1.285606</v>
      </c>
      <c r="E1497">
        <f>LN(D1497/参数实验室!$E$53)/参数实验室!$E$55</f>
        <v>-0.39657864752767236</v>
      </c>
      <c r="F1497">
        <f t="shared" si="178"/>
        <v>0.49920735271267508</v>
      </c>
      <c r="G1497">
        <f>LN(F1497/参数实验室!$E$58)/参数实验室!$E$59</f>
        <v>-0.55516383330654029</v>
      </c>
      <c r="H1497" s="856">
        <f>INDEX(神经网络!$G$10:$BO$70,MATCH(ROUND(G1497*2,1)/2,神经网络!$E$10:$E$70,0),MATCH(ROUND(E1497*2,1)/2,神经网络!$G$8:$BO$8,0))</f>
        <v>-0.89121529592281112</v>
      </c>
      <c r="I1497">
        <f t="shared" si="180"/>
        <v>653.7241264546949</v>
      </c>
      <c r="J1497">
        <f t="shared" si="181"/>
        <v>187.4677786201666</v>
      </c>
      <c r="K1497">
        <f t="shared" si="182"/>
        <v>3.4871279281503758</v>
      </c>
      <c r="L1497" s="4">
        <f>MIN(MAX(L1496*(1+MAX(MIN(((B1497-B1496)/B1496)/($K$7*卓尔金历!$N$40),0),-卓尔金历!$M$43))+MIN(MAX(((B1497-B1496)/B1496)/($K$7*卓尔金历!$N$40),0),卓尔金历!$M$43),0),1)</f>
        <v>0.49491209340508385</v>
      </c>
      <c r="M1497" s="4">
        <f>MIN(MAX(M1496*(1+MAX(MIN(((B1497-B1496)/B1496)/($K$7*30),0),-卓尔金历!$M$43))+MIN(MAX(((B1497-B1496)/B1496)/($K$7*7),0),卓尔金历!$M$43),0),1)</f>
        <v>0.8325645069087847</v>
      </c>
      <c r="N1497">
        <f t="shared" si="183"/>
        <v>698.54633713159558</v>
      </c>
      <c r="O1497">
        <f t="shared" si="184"/>
        <v>1582.7130107426481</v>
      </c>
      <c r="P1497">
        <f t="shared" si="185"/>
        <v>-1.4668408811112312E-2</v>
      </c>
      <c r="Q1497">
        <f t="shared" si="176"/>
        <v>1.7104890519998663E-2</v>
      </c>
      <c r="R1497">
        <f t="shared" si="177"/>
        <v>0.17395270044379679</v>
      </c>
      <c r="S1497">
        <f t="shared" si="179"/>
        <v>15.306500785908863</v>
      </c>
      <c r="T1497" s="564">
        <f>IF((I1497-MAX(I$470:I1497))/MAX(I$470:I1497)&gt;T1496,T1496,(I1497-MAX(I$470:I1497))/MAX(I$470:I1497))</f>
        <v>-0.91338805338419748</v>
      </c>
      <c r="U1497" s="564">
        <f>IF((J1497-MAX(J$470:J1497))/MAX(J$470:J1497)&gt;U1496,U1496,(J1497-MAX(J$470:J1497))/MAX(J$470:J1497))</f>
        <v>-0.70517826086956548</v>
      </c>
      <c r="V1497" s="564">
        <f>IF((K1497-MAX(K$470:K1497))/MAX(K$470:K1497)&gt;V1496,V1496,(K1497-MAX(K$470:K1497))/MAX(K$470:K1497))</f>
        <v>-0.84885940676762139</v>
      </c>
      <c r="W1497" s="564">
        <f>IF((N1497-MAX(N$470:N1497))/MAX(N$470:N1497)&gt;W1496,W1496,(N1497-MAX(N$470:N1497))/MAX(N$470:N1497))</f>
        <v>-0.62788758315546067</v>
      </c>
      <c r="X1497" s="564">
        <f>IF((O1497-MAX(O$470:O1497))/MAX(O$470:O1497)&gt;X1496,X1496,(O1497-MAX(O$470:O1497))/MAX(O$470:O1497))</f>
        <v>-0.62788758315546067</v>
      </c>
    </row>
    <row r="1498" spans="1:24">
      <c r="A1498" s="799">
        <v>41900</v>
      </c>
      <c r="B1498">
        <v>453.85700000000003</v>
      </c>
      <c r="C1498">
        <v>235.801568</v>
      </c>
      <c r="D1498">
        <v>1.205033</v>
      </c>
      <c r="E1498">
        <f>LN(D1498/参数实验室!$E$53)/参数实验室!$E$55</f>
        <v>-0.47293611173699851</v>
      </c>
      <c r="F1498">
        <f t="shared" si="178"/>
        <v>0.51955036057612858</v>
      </c>
      <c r="G1498">
        <f>LN(F1498/参数实验室!$E$58)/参数实验室!$E$59</f>
        <v>-0.53420000794954048</v>
      </c>
      <c r="H1498" s="856">
        <f>INDEX(神经网络!$G$10:$BO$70,MATCH(ROUND(G1498*2,1)/2,神经网络!$E$10:$E$70,0),MATCH(ROUND(E1498*2,1)/2,神经网络!$G$8:$BO$8,0))</f>
        <v>-0.91157835879075588</v>
      </c>
      <c r="I1498">
        <f t="shared" si="180"/>
        <v>673.51095282937501</v>
      </c>
      <c r="J1498">
        <f t="shared" si="181"/>
        <v>181.10091377040004</v>
      </c>
      <c r="K1498">
        <f t="shared" si="182"/>
        <v>3.7189815269692841</v>
      </c>
      <c r="L1498" s="4">
        <f>MIN(MAX(L1497*(1+MAX(MIN(((B1498-B1497)/B1497)/($K$7*卓尔金历!$N$40),0),-卓尔金历!$M$43))+MIN(MAX(((B1498-B1497)/B1497)/($K$7*卓尔金历!$N$40),0),卓尔金历!$M$43),0),1)</f>
        <v>0.23809546362193879</v>
      </c>
      <c r="M1498" s="4">
        <f>MIN(MAX(M1497*(1+MAX(MIN(((B1498-B1497)/B1497)/($K$7*30),0),-卓尔金历!$M$43))+MIN(MAX(((B1498-B1497)/B1497)/($K$7*7),0),卓尔金历!$M$43),0),1)</f>
        <v>0.61654997262019529</v>
      </c>
      <c r="N1498">
        <f t="shared" si="183"/>
        <v>709.01051023642776</v>
      </c>
      <c r="O1498">
        <f t="shared" si="184"/>
        <v>1622.5972850565338</v>
      </c>
      <c r="P1498">
        <f t="shared" si="185"/>
        <v>-3.3962448889238828E-2</v>
      </c>
      <c r="Q1498">
        <f t="shared" si="176"/>
        <v>1.8214803336405794E-2</v>
      </c>
      <c r="R1498">
        <f t="shared" si="177"/>
        <v>6.4481873246901647E-3</v>
      </c>
      <c r="S1498">
        <f t="shared" si="179"/>
        <v>15.387092190097464</v>
      </c>
      <c r="T1498" s="564">
        <f>IF((I1498-MAX(I$470:I1498))/MAX(I$470:I1498)&gt;T1497,T1497,(I1498-MAX(I$470:I1498))/MAX(I$470:I1498))</f>
        <v>-0.91338805338419748</v>
      </c>
      <c r="U1498" s="564">
        <f>IF((J1498-MAX(J$470:J1498))/MAX(J$470:J1498)&gt;U1497,U1497,(J1498-MAX(J$470:J1498))/MAX(J$470:J1498))</f>
        <v>-0.70517826086956548</v>
      </c>
      <c r="V1498" s="564">
        <f>IF((K1498-MAX(K$470:K1498))/MAX(K$470:K1498)&gt;V1497,V1497,(K1498-MAX(K$470:K1498))/MAX(K$470:K1498))</f>
        <v>-0.84885940676762139</v>
      </c>
      <c r="W1498" s="564">
        <f>IF((N1498-MAX(N$470:N1498))/MAX(N$470:N1498)&gt;W1497,W1497,(N1498-MAX(N$470:N1498))/MAX(N$470:N1498))</f>
        <v>-0.62788758315546067</v>
      </c>
      <c r="X1498" s="564">
        <f>IF((O1498-MAX(O$470:O1498))/MAX(O$470:O1498)&gt;X1497,X1497,(O1498-MAX(O$470:O1498))/MAX(O$470:O1498))</f>
        <v>-0.62788758315546067</v>
      </c>
    </row>
    <row r="1499" spans="1:24">
      <c r="A1499" s="799">
        <v>41901</v>
      </c>
      <c r="B1499">
        <v>425.23099999999999</v>
      </c>
      <c r="C1499">
        <v>235.75806299999999</v>
      </c>
      <c r="D1499">
        <v>1.1151230000000001</v>
      </c>
      <c r="E1499">
        <f>LN(D1499/参数实验室!$E$53)/参数实验室!$E$55</f>
        <v>-0.56441682060387044</v>
      </c>
      <c r="F1499">
        <f t="shared" si="178"/>
        <v>0.55442350863413059</v>
      </c>
      <c r="G1499">
        <f>LN(F1499/参数实验室!$E$58)/参数实验室!$E$59</f>
        <v>-0.50010281024427095</v>
      </c>
      <c r="H1499" s="856">
        <f>INDEX(神经网络!$G$10:$BO$70,MATCH(ROUND(G1499*2,1)/2,神经网络!$E$10:$E$70,0),MATCH(ROUND(E1499*2,1)/2,神经网络!$G$8:$BO$8,0))</f>
        <v>-0.90732179898216858</v>
      </c>
      <c r="I1499">
        <f t="shared" si="180"/>
        <v>712.23496053633403</v>
      </c>
      <c r="J1499">
        <f t="shared" si="181"/>
        <v>169.67838474123118</v>
      </c>
      <c r="K1499">
        <f t="shared" si="182"/>
        <v>4.1975585848635424</v>
      </c>
      <c r="L1499" s="4">
        <f>MIN(MAX(L1498*(1+MAX(MIN(((B1499-B1498)/B1498)/($K$7*卓尔金历!$N$40),0),-卓尔金历!$M$43))+MIN(MAX(((B1499-B1498)/B1498)/($K$7*卓尔金历!$N$40),0),卓尔金历!$M$43),0),1)</f>
        <v>8.645058815196385E-3</v>
      </c>
      <c r="M1499" s="4">
        <f>MIN(MAX(M1498*(1+MAX(MIN(((B1499-B1498)/B1498)/($K$7*30),0),-卓尔金历!$M$43))+MIN(MAX(((B1499-B1498)/B1498)/($K$7*7),0),卓尔金历!$M$43),0),1)</f>
        <v>0.31946820833694134</v>
      </c>
      <c r="N1499">
        <f t="shared" si="183"/>
        <v>718.71649106709606</v>
      </c>
      <c r="O1499">
        <f t="shared" si="184"/>
        <v>1680.1167268780862</v>
      </c>
      <c r="P1499">
        <f t="shared" si="185"/>
        <v>-6.3072729956792625E-2</v>
      </c>
      <c r="Q1499">
        <f t="shared" si="176"/>
        <v>2.1955621487080329E-2</v>
      </c>
      <c r="R1499">
        <f t="shared" si="177"/>
        <v>0</v>
      </c>
      <c r="S1499">
        <f t="shared" si="179"/>
        <v>15.39279685103177</v>
      </c>
      <c r="T1499" s="564">
        <f>IF((I1499-MAX(I$470:I1499))/MAX(I$470:I1499)&gt;T1498,T1498,(I1499-MAX(I$470:I1499))/MAX(I$470:I1499))</f>
        <v>-0.91338805338419748</v>
      </c>
      <c r="U1499" s="564">
        <f>IF((J1499-MAX(J$470:J1499))/MAX(J$470:J1499)&gt;U1498,U1498,(J1499-MAX(J$470:J1499))/MAX(J$470:J1499))</f>
        <v>-0.70517826086956548</v>
      </c>
      <c r="V1499" s="564">
        <f>IF((K1499-MAX(K$470:K1499))/MAX(K$470:K1499)&gt;V1498,V1498,(K1499-MAX(K$470:K1499))/MAX(K$470:K1499))</f>
        <v>-0.84885940676762139</v>
      </c>
      <c r="W1499" s="564">
        <f>IF((N1499-MAX(N$470:N1499))/MAX(N$470:N1499)&gt;W1498,W1498,(N1499-MAX(N$470:N1499))/MAX(N$470:N1499))</f>
        <v>-0.62788758315546067</v>
      </c>
      <c r="X1499" s="564">
        <f>IF((O1499-MAX(O$470:O1499))/MAX(O$470:O1499)&gt;X1498,X1498,(O1499-MAX(O$470:O1499))/MAX(O$470:O1499))</f>
        <v>-0.62788758315546067</v>
      </c>
    </row>
    <row r="1500" spans="1:24">
      <c r="A1500" s="799">
        <v>41902</v>
      </c>
      <c r="B1500">
        <v>398.95499999999998</v>
      </c>
      <c r="C1500">
        <v>234.42450400000001</v>
      </c>
      <c r="D1500">
        <v>1.1662079999999999</v>
      </c>
      <c r="E1500">
        <f>LN(D1500/参数实验室!$E$53)/参数实验室!$E$55</f>
        <v>-0.51157243209509062</v>
      </c>
      <c r="F1500">
        <f t="shared" si="178"/>
        <v>0.58759635547868816</v>
      </c>
      <c r="G1500">
        <f>LN(F1500/参数实验室!$E$58)/参数实验室!$E$59</f>
        <v>-0.46960281163551365</v>
      </c>
      <c r="H1500" s="856">
        <f>INDEX(神经网络!$G$10:$BO$70,MATCH(ROUND(G1500*2,1)/2,神经网络!$E$10:$E$70,0),MATCH(ROUND(E1500*2,1)/2,神经网络!$G$8:$BO$8,0))</f>
        <v>-0.84139572320850475</v>
      </c>
      <c r="I1500">
        <f t="shared" si="180"/>
        <v>752.16676797360526</v>
      </c>
      <c r="J1500">
        <f t="shared" si="181"/>
        <v>159.19356769482442</v>
      </c>
      <c r="K1500">
        <f t="shared" si="182"/>
        <v>4.7248565307331765</v>
      </c>
      <c r="L1500" s="4">
        <f>MIN(MAX(L1499*(1+MAX(MIN(((B1500-B1499)/B1499)/($K$7*卓尔金历!$N$40),0),-卓尔金历!$M$43))+MIN(MAX(((B1500-B1499)/B1499)/($K$7*卓尔金历!$N$40),0),卓尔金历!$M$43),0),1)</f>
        <v>4.8302544290469989E-4</v>
      </c>
      <c r="M1500" s="4">
        <f>MIN(MAX(M1499*(1+MAX(MIN(((B1500-B1499)/B1499)/($K$7*30),0),-卓尔金历!$M$43))+MIN(MAX(((B1500-B1499)/B1499)/($K$7*7),0),卓尔金历!$M$43),0),1)</f>
        <v>0.16865892909590041</v>
      </c>
      <c r="N1500">
        <f t="shared" si="183"/>
        <v>719.06484542093506</v>
      </c>
      <c r="O1500">
        <f t="shared" si="184"/>
        <v>1710.2095395987992</v>
      </c>
      <c r="P1500">
        <f t="shared" si="185"/>
        <v>-6.1792296422415134E-2</v>
      </c>
      <c r="Q1500">
        <f t="shared" si="176"/>
        <v>2.4520048527572127E-2</v>
      </c>
      <c r="R1500">
        <f t="shared" si="177"/>
        <v>1.6623125071865044E-3</v>
      </c>
      <c r="S1500">
        <f t="shared" si="179"/>
        <v>15.39279685103177</v>
      </c>
      <c r="T1500" s="564">
        <f>IF((I1500-MAX(I$470:I1500))/MAX(I$470:I1500)&gt;T1499,T1499,(I1500-MAX(I$470:I1500))/MAX(I$470:I1500))</f>
        <v>-0.91338805338419748</v>
      </c>
      <c r="U1500" s="564">
        <f>IF((J1500-MAX(J$470:J1500))/MAX(J$470:J1500)&gt;U1499,U1499,(J1500-MAX(J$470:J1500))/MAX(J$470:J1500))</f>
        <v>-0.70517826086956548</v>
      </c>
      <c r="V1500" s="564">
        <f>IF((K1500-MAX(K$470:K1500))/MAX(K$470:K1500)&gt;V1499,V1499,(K1500-MAX(K$470:K1500))/MAX(K$470:K1500))</f>
        <v>-0.84885940676762139</v>
      </c>
      <c r="W1500" s="564">
        <f>IF((N1500-MAX(N$470:N1500))/MAX(N$470:N1500)&gt;W1499,W1499,(N1500-MAX(N$470:N1500))/MAX(N$470:N1500))</f>
        <v>-0.62788758315546067</v>
      </c>
      <c r="X1500" s="564">
        <f>IF((O1500-MAX(O$470:O1500))/MAX(O$470:O1500)&gt;X1499,X1499,(O1500-MAX(O$470:O1500))/MAX(O$470:O1500))</f>
        <v>-0.62788758315546067</v>
      </c>
    </row>
    <row r="1501" spans="1:24">
      <c r="A1501" s="799">
        <v>41903</v>
      </c>
      <c r="B1501">
        <v>412.86799999999999</v>
      </c>
      <c r="C1501">
        <v>233.65568999999999</v>
      </c>
      <c r="D1501">
        <v>1.1367130000000001</v>
      </c>
      <c r="E1501">
        <f>LN(D1501/参数实验室!$E$53)/参数实验室!$E$55</f>
        <v>-0.54179381160407147</v>
      </c>
      <c r="F1501">
        <f t="shared" si="178"/>
        <v>0.56593315539106925</v>
      </c>
      <c r="G1501">
        <f>LN(F1501/参数实验室!$E$58)/参数实验室!$E$59</f>
        <v>-0.48931857097870574</v>
      </c>
      <c r="H1501" s="856">
        <f>INDEX(神经网络!$G$10:$BO$70,MATCH(ROUND(G1501*2,1)/2,神经网络!$E$10:$E$70,0),MATCH(ROUND(E1501*2,1)/2,神经网络!$G$8:$BO$8,0))</f>
        <v>-0.90732179898216858</v>
      </c>
      <c r="I1501">
        <f t="shared" si="180"/>
        <v>730.09631154988131</v>
      </c>
      <c r="J1501">
        <f t="shared" si="181"/>
        <v>164.74522165915147</v>
      </c>
      <c r="K1501">
        <f t="shared" si="182"/>
        <v>4.4316691203366689</v>
      </c>
      <c r="L1501" s="4">
        <f>MIN(MAX(L1500*(1+MAX(MIN(((B1501-B1500)/B1500)/($K$7*卓尔金历!$N$40),0),-卓尔金历!$M$43))+MIN(MAX(((B1501-B1500)/B1500)/($K$7*卓尔金历!$N$40),0),卓尔金历!$M$43),0),1)</f>
        <v>0.53331827927525022</v>
      </c>
      <c r="M1501" s="4">
        <f>MIN(MAX(M1500*(1+MAX(MIN(((B1501-B1500)/B1500)/($K$7*30),0),-卓尔金历!$M$43))+MIN(MAX(((B1501-B1500)/B1500)/($K$7*7),0),卓尔金历!$M$43),0),1)</f>
        <v>1</v>
      </c>
      <c r="N1501">
        <f t="shared" si="183"/>
        <v>719.05465398832041</v>
      </c>
      <c r="O1501">
        <f t="shared" si="184"/>
        <v>1701.7459258377726</v>
      </c>
      <c r="P1501">
        <f t="shared" si="185"/>
        <v>3.4873607299068847E-2</v>
      </c>
      <c r="Q1501">
        <f t="shared" si="176"/>
        <v>2.6422109525699081E-2</v>
      </c>
      <c r="R1501">
        <f t="shared" si="177"/>
        <v>1.7715019968937266E-2</v>
      </c>
      <c r="S1501">
        <f t="shared" si="179"/>
        <v>15.392046045639223</v>
      </c>
      <c r="T1501" s="564">
        <f>IF((I1501-MAX(I$470:I1501))/MAX(I$470:I1501)&gt;T1500,T1500,(I1501-MAX(I$470:I1501))/MAX(I$470:I1501))</f>
        <v>-0.91338805338419748</v>
      </c>
      <c r="U1501" s="564">
        <f>IF((J1501-MAX(J$470:J1501))/MAX(J$470:J1501)&gt;U1500,U1500,(J1501-MAX(J$470:J1501))/MAX(J$470:J1501))</f>
        <v>-0.70517826086956548</v>
      </c>
      <c r="V1501" s="564">
        <f>IF((K1501-MAX(K$470:K1501))/MAX(K$470:K1501)&gt;V1500,V1500,(K1501-MAX(K$470:K1501))/MAX(K$470:K1501))</f>
        <v>-0.84885940676762139</v>
      </c>
      <c r="W1501" s="564">
        <f>IF((N1501-MAX(N$470:N1501))/MAX(N$470:N1501)&gt;W1500,W1500,(N1501-MAX(N$470:N1501))/MAX(N$470:N1501))</f>
        <v>-0.62788758315546067</v>
      </c>
      <c r="X1501" s="564">
        <f>IF((O1501-MAX(O$470:O1501))/MAX(O$470:O1501)&gt;X1500,X1500,(O1501-MAX(O$470:O1501))/MAX(O$470:O1501))</f>
        <v>-0.62788758315546067</v>
      </c>
    </row>
    <row r="1502" spans="1:24">
      <c r="A1502" s="799">
        <v>41904</v>
      </c>
      <c r="B1502">
        <v>402.31700000000001</v>
      </c>
      <c r="C1502">
        <v>233.03875099999999</v>
      </c>
      <c r="D1502">
        <v>1.1388480000000001</v>
      </c>
      <c r="E1502">
        <f>LN(D1502/参数实验室!$E$53)/参数实验室!$E$55</f>
        <v>-0.53958005076447813</v>
      </c>
      <c r="F1502">
        <f t="shared" si="178"/>
        <v>0.57924162041375327</v>
      </c>
      <c r="G1502">
        <f>LN(F1502/参数实验室!$E$58)/参数实验室!$E$59</f>
        <v>-0.47711900755517495</v>
      </c>
      <c r="H1502" s="856">
        <f>INDEX(神经网络!$G$10:$BO$70,MATCH(ROUND(G1502*2,1)/2,神经网络!$E$10:$E$70,0),MATCH(ROUND(E1502*2,1)/2,神经网络!$G$8:$BO$8,0))</f>
        <v>-0.90732179898216858</v>
      </c>
      <c r="I1502">
        <f t="shared" si="180"/>
        <v>747.02502286901904</v>
      </c>
      <c r="J1502">
        <f t="shared" si="181"/>
        <v>160.53509436973766</v>
      </c>
      <c r="K1502">
        <f t="shared" si="182"/>
        <v>4.65334402924075</v>
      </c>
      <c r="L1502" s="4">
        <f>MIN(MAX(L1501*(1+MAX(MIN(((B1502-B1501)/B1501)/($K$7*卓尔金历!$N$40),0),-卓尔金历!$M$43))+MIN(MAX(((B1502-B1501)/B1501)/($K$7*卓尔金历!$N$40),0),卓尔金历!$M$43),0),1)</f>
        <v>0.32507789947313021</v>
      </c>
      <c r="M1502" s="4">
        <f>MIN(MAX(M1501*(1+MAX(MIN(((B1502-B1501)/B1501)/($K$7*30),0),-卓尔金历!$M$43))+MIN(MAX(((B1502-B1501)/B1501)/($K$7*7),0),卓尔金历!$M$43),0),1)</f>
        <v>0.8047691332789989</v>
      </c>
      <c r="N1502">
        <f t="shared" si="183"/>
        <v>727.94650373645118</v>
      </c>
      <c r="O1502">
        <f t="shared" si="184"/>
        <v>1741.2042343667813</v>
      </c>
      <c r="P1502">
        <f t="shared" si="185"/>
        <v>-2.5555383318639342E-2</v>
      </c>
      <c r="Q1502">
        <f t="shared" si="176"/>
        <v>2.4371407424621835E-2</v>
      </c>
      <c r="R1502">
        <f t="shared" si="177"/>
        <v>2.5168714046271183E-2</v>
      </c>
      <c r="S1502">
        <f t="shared" si="179"/>
        <v>15.398368442377398</v>
      </c>
      <c r="T1502" s="564">
        <f>IF((I1502-MAX(I$470:I1502))/MAX(I$470:I1502)&gt;T1501,T1501,(I1502-MAX(I$470:I1502))/MAX(I$470:I1502))</f>
        <v>-0.91338805338419748</v>
      </c>
      <c r="U1502" s="564">
        <f>IF((J1502-MAX(J$470:J1502))/MAX(J$470:J1502)&gt;U1501,U1501,(J1502-MAX(J$470:J1502))/MAX(J$470:J1502))</f>
        <v>-0.70517826086956548</v>
      </c>
      <c r="V1502" s="564">
        <f>IF((K1502-MAX(K$470:K1502))/MAX(K$470:K1502)&gt;V1501,V1501,(K1502-MAX(K$470:K1502))/MAX(K$470:K1502))</f>
        <v>-0.84885940676762139</v>
      </c>
      <c r="W1502" s="564">
        <f>IF((N1502-MAX(N$470:N1502))/MAX(N$470:N1502)&gt;W1501,W1501,(N1502-MAX(N$470:N1502))/MAX(N$470:N1502))</f>
        <v>-0.62788758315546067</v>
      </c>
      <c r="X1502" s="564">
        <f>IF((O1502-MAX(O$470:O1502))/MAX(O$470:O1502)&gt;X1501,X1501,(O1502-MAX(O$470:O1502))/MAX(O$470:O1502))</f>
        <v>-0.62788758315546067</v>
      </c>
    </row>
    <row r="1503" spans="1:24">
      <c r="A1503" s="799">
        <v>41905</v>
      </c>
      <c r="B1503">
        <v>402.17500000000001</v>
      </c>
      <c r="C1503">
        <v>232.68278000000001</v>
      </c>
      <c r="D1503">
        <v>1.2456199999999999</v>
      </c>
      <c r="E1503">
        <f>LN(D1503/参数实验室!$E$53)/参数实验室!$E$55</f>
        <v>-0.43385508023492042</v>
      </c>
      <c r="F1503">
        <f t="shared" si="178"/>
        <v>0.57856102442966373</v>
      </c>
      <c r="G1503">
        <f>LN(F1503/参数实验室!$E$58)/参数实验室!$E$59</f>
        <v>-0.47773606193260337</v>
      </c>
      <c r="H1503" s="856">
        <f>INDEX(神经网络!$G$10:$BO$70,MATCH(ROUND(G1503*2,1)/2,神经网络!$E$10:$E$70,0),MATCH(ROUND(E1503*2,1)/2,神经网络!$G$8:$BO$8,0))</f>
        <v>-0.86887689851784555</v>
      </c>
      <c r="I1503">
        <f t="shared" si="180"/>
        <v>747.26425331775488</v>
      </c>
      <c r="J1503">
        <f t="shared" si="181"/>
        <v>160.47843262439631</v>
      </c>
      <c r="K1503">
        <f t="shared" si="182"/>
        <v>4.6564777652505187</v>
      </c>
      <c r="L1503" s="4">
        <f>MIN(MAX(L1502*(1+MAX(MIN(((B1503-B1502)/B1502)/($K$7*卓尔金历!$N$40),0),-卓尔金历!$M$43))+MIN(MAX(((B1503-B1502)/B1502)/($K$7*卓尔金历!$N$40),0),卓尔金历!$M$43),0),1)</f>
        <v>0.32332481241565147</v>
      </c>
      <c r="M1503" s="4">
        <f>MIN(MAX(M1502*(1+MAX(MIN(((B1503-B1502)/B1502)/($K$7*30),0),-卓尔金历!$M$43))+MIN(MAX(((B1503-B1502)/B1502)/($K$7*7),0),卓尔金历!$M$43),0),1)</f>
        <v>0.80259914517138475</v>
      </c>
      <c r="N1503">
        <f t="shared" si="183"/>
        <v>728.0222861119621</v>
      </c>
      <c r="O1503">
        <f t="shared" si="184"/>
        <v>1741.6529821650931</v>
      </c>
      <c r="P1503">
        <f t="shared" si="185"/>
        <v>-3.5295550523591074E-4</v>
      </c>
      <c r="Q1503">
        <f t="shared" si="176"/>
        <v>2.395381041204226E-2</v>
      </c>
      <c r="R1503">
        <f t="shared" si="177"/>
        <v>1</v>
      </c>
      <c r="S1503">
        <f t="shared" si="179"/>
        <v>15.398492555310414</v>
      </c>
      <c r="T1503" s="564">
        <f>IF((I1503-MAX(I$470:I1503))/MAX(I$470:I1503)&gt;T1502,T1502,(I1503-MAX(I$470:I1503))/MAX(I$470:I1503))</f>
        <v>-0.91338805338419748</v>
      </c>
      <c r="U1503" s="564">
        <f>IF((J1503-MAX(J$470:J1503))/MAX(J$470:J1503)&gt;U1502,U1502,(J1503-MAX(J$470:J1503))/MAX(J$470:J1503))</f>
        <v>-0.70517826086956548</v>
      </c>
      <c r="V1503" s="564">
        <f>IF((K1503-MAX(K$470:K1503))/MAX(K$470:K1503)&gt;V1502,V1502,(K1503-MAX(K$470:K1503))/MAX(K$470:K1503))</f>
        <v>-0.84885940676762139</v>
      </c>
      <c r="W1503" s="564">
        <f>IF((N1503-MAX(N$470:N1503))/MAX(N$470:N1503)&gt;W1502,W1502,(N1503-MAX(N$470:N1503))/MAX(N$470:N1503))</f>
        <v>-0.62788758315546067</v>
      </c>
      <c r="X1503" s="564">
        <f>IF((O1503-MAX(O$470:O1503))/MAX(O$470:O1503)&gt;X1502,X1502,(O1503-MAX(O$470:O1503))/MAX(O$470:O1503))</f>
        <v>-0.62788758315546067</v>
      </c>
    </row>
    <row r="1504" spans="1:24">
      <c r="A1504" s="799">
        <v>41906</v>
      </c>
      <c r="B1504">
        <v>434.90300000000002</v>
      </c>
      <c r="C1504">
        <v>230.22325499999999</v>
      </c>
      <c r="D1504">
        <v>1.204315</v>
      </c>
      <c r="E1504">
        <f>LN(D1504/参数实验室!$E$53)/参数实验室!$E$55</f>
        <v>-0.47363925869148343</v>
      </c>
      <c r="F1504">
        <f t="shared" si="178"/>
        <v>0.52936690480405968</v>
      </c>
      <c r="G1504">
        <f>LN(F1504/参数实验室!$E$58)/参数实验室!$E$59</f>
        <v>-0.52437577580682471</v>
      </c>
      <c r="H1504" s="856">
        <f>INDEX(神经网络!$G$10:$BO$70,MATCH(ROUND(G1504*2,1)/2,神经网络!$E$10:$E$70,0),MATCH(ROUND(E1504*2,1)/2,神经网络!$G$8:$BO$8,0))</f>
        <v>-0.86887689851784555</v>
      </c>
      <c r="I1504">
        <f t="shared" si="180"/>
        <v>694.42741112632325</v>
      </c>
      <c r="J1504">
        <f t="shared" si="181"/>
        <v>173.53776784645447</v>
      </c>
      <c r="K1504">
        <f t="shared" si="182"/>
        <v>4.0015923896217789</v>
      </c>
      <c r="L1504" s="4">
        <f>MIN(MAX(L1503*(1+MAX(MIN(((B1504-B1503)/B1503)/($K$7*卓尔金历!$N$40),0),-卓尔金历!$M$43))+MIN(MAX(((B1504-B1503)/B1503)/($K$7*卓尔金历!$N$40),0),卓尔金历!$M$43),0),1)</f>
        <v>1</v>
      </c>
      <c r="M1504" s="4">
        <f>MIN(MAX(M1503*(1+MAX(MIN(((B1504-B1503)/B1503)/($K$7*30),0),-卓尔金历!$M$43))+MIN(MAX(((B1504-B1503)/B1503)/($K$7*7),0),卓尔金历!$M$43),0),1)</f>
        <v>1</v>
      </c>
      <c r="N1504">
        <f t="shared" si="183"/>
        <v>711.37872117441736</v>
      </c>
      <c r="O1504">
        <f t="shared" si="184"/>
        <v>1642.8152055976657</v>
      </c>
      <c r="P1504">
        <f t="shared" si="185"/>
        <v>8.1377509790514099E-2</v>
      </c>
      <c r="Q1504">
        <f t="shared" si="176"/>
        <v>3.0617426358725146E-2</v>
      </c>
      <c r="R1504">
        <f t="shared" si="177"/>
        <v>5.3825154279987699E-4</v>
      </c>
      <c r="S1504">
        <f t="shared" si="179"/>
        <v>14.309710752195171</v>
      </c>
      <c r="T1504" s="564">
        <f>IF((I1504-MAX(I$470:I1504))/MAX(I$470:I1504)&gt;T1503,T1503,(I1504-MAX(I$470:I1504))/MAX(I$470:I1504))</f>
        <v>-0.91338805338419748</v>
      </c>
      <c r="U1504" s="564">
        <f>IF((J1504-MAX(J$470:J1504))/MAX(J$470:J1504)&gt;U1503,U1503,(J1504-MAX(J$470:J1504))/MAX(J$470:J1504))</f>
        <v>-0.70517826086956548</v>
      </c>
      <c r="V1504" s="564">
        <f>IF((K1504-MAX(K$470:K1504))/MAX(K$470:K1504)&gt;V1503,V1503,(K1504-MAX(K$470:K1504))/MAX(K$470:K1504))</f>
        <v>-0.84885940676762139</v>
      </c>
      <c r="W1504" s="564">
        <f>IF((N1504-MAX(N$470:N1504))/MAX(N$470:N1504)&gt;W1503,W1503,(N1504-MAX(N$470:N1504))/MAX(N$470:N1504))</f>
        <v>-0.62788758315546067</v>
      </c>
      <c r="X1504" s="564">
        <f>IF((O1504-MAX(O$470:O1504))/MAX(O$470:O1504)&gt;X1503,X1503,(O1504-MAX(O$470:O1504))/MAX(O$470:O1504))</f>
        <v>-0.62788758315546067</v>
      </c>
    </row>
    <row r="1505" spans="1:24">
      <c r="A1505" s="799">
        <v>41907</v>
      </c>
      <c r="B1505">
        <v>428.88900000000001</v>
      </c>
      <c r="C1505">
        <v>230.60480799999999</v>
      </c>
      <c r="D1505">
        <v>1.164855</v>
      </c>
      <c r="E1505">
        <f>LN(D1505/参数实验室!$E$53)/参数实验室!$E$55</f>
        <v>-0.51294194147200822</v>
      </c>
      <c r="F1505">
        <f t="shared" si="178"/>
        <v>0.5376794648498795</v>
      </c>
      <c r="G1505">
        <f>LN(F1505/参数实验室!$E$58)/参数实验室!$E$59</f>
        <v>-0.51619811992624354</v>
      </c>
      <c r="H1505" s="856">
        <f>INDEX(神经网络!$G$10:$BO$70,MATCH(ROUND(G1505*2,1)/2,神经网络!$E$10:$E$70,0),MATCH(ROUND(E1505*2,1)/2,神经网络!$G$8:$BO$8,0))</f>
        <v>-0.88758274336556187</v>
      </c>
      <c r="I1505">
        <f t="shared" si="180"/>
        <v>702.77106205180417</v>
      </c>
      <c r="J1505">
        <f t="shared" si="181"/>
        <v>171.13802322333487</v>
      </c>
      <c r="K1505">
        <f t="shared" si="182"/>
        <v>4.1064577515581613</v>
      </c>
      <c r="L1505" s="4">
        <f>MIN(MAX(L1504*(1+MAX(MIN(((B1505-B1504)/B1504)/($K$7*卓尔金历!$N$40),0),-卓尔金历!$M$43))+MIN(MAX(((B1505-B1504)/B1504)/($K$7*卓尔金历!$N$40),0),卓尔金历!$M$43),0),1)</f>
        <v>0.78871576237475538</v>
      </c>
      <c r="M1505" s="4">
        <f>MIN(MAX(M1504*(1+MAX(MIN(((B1505-B1504)/B1504)/($K$7*30),0),-卓尔金历!$M$43))+MIN(MAX(((B1505-B1504)/B1504)/($K$7*7),0),卓尔金历!$M$43),0),1)</f>
        <v>0.89435788118737769</v>
      </c>
      <c r="N1505">
        <f t="shared" si="183"/>
        <v>719.92604466740465</v>
      </c>
      <c r="O1505">
        <f t="shared" si="184"/>
        <v>1662.5538800666748</v>
      </c>
      <c r="P1505">
        <f t="shared" si="185"/>
        <v>-1.3828370924091142E-2</v>
      </c>
      <c r="Q1505">
        <f t="shared" si="176"/>
        <v>3.064839289142195E-2</v>
      </c>
      <c r="R1505">
        <f t="shared" si="177"/>
        <v>0.85084242738615223</v>
      </c>
      <c r="S1505">
        <f t="shared" si="179"/>
        <v>14.309803295586248</v>
      </c>
      <c r="T1505" s="564">
        <f>IF((I1505-MAX(I$470:I1505))/MAX(I$470:I1505)&gt;T1504,T1504,(I1505-MAX(I$470:I1505))/MAX(I$470:I1505))</f>
        <v>-0.91338805338419748</v>
      </c>
      <c r="U1505" s="564">
        <f>IF((J1505-MAX(J$470:J1505))/MAX(J$470:J1505)&gt;U1504,U1504,(J1505-MAX(J$470:J1505))/MAX(J$470:J1505))</f>
        <v>-0.70517826086956548</v>
      </c>
      <c r="V1505" s="564">
        <f>IF((K1505-MAX(K$470:K1505))/MAX(K$470:K1505)&gt;V1504,V1504,(K1505-MAX(K$470:K1505))/MAX(K$470:K1505))</f>
        <v>-0.84885940676762139</v>
      </c>
      <c r="W1505" s="564">
        <f>IF((N1505-MAX(N$470:N1505))/MAX(N$470:N1505)&gt;W1504,W1504,(N1505-MAX(N$470:N1505))/MAX(N$470:N1505))</f>
        <v>-0.62788758315546067</v>
      </c>
      <c r="X1505" s="564">
        <f>IF((O1505-MAX(O$470:O1505))/MAX(O$470:O1505)&gt;X1504,X1504,(O1505-MAX(O$470:O1505))/MAX(O$470:O1505))</f>
        <v>-0.62788758315546067</v>
      </c>
    </row>
    <row r="1506" spans="1:24">
      <c r="A1506" s="799">
        <v>41908</v>
      </c>
      <c r="B1506">
        <v>410.60500000000002</v>
      </c>
      <c r="C1506">
        <v>235.777108</v>
      </c>
      <c r="D1506">
        <v>1.1545339999999999</v>
      </c>
      <c r="E1506">
        <f>LN(D1506/参数实验室!$E$53)/参数实验室!$E$55</f>
        <v>-0.52344152873477545</v>
      </c>
      <c r="F1506">
        <f t="shared" si="178"/>
        <v>0.57421879421828759</v>
      </c>
      <c r="G1506">
        <f>LN(F1506/参数实验室!$E$58)/参数实验室!$E$59</f>
        <v>-0.48169006567950279</v>
      </c>
      <c r="H1506" s="856">
        <f>INDEX(神经网络!$G$10:$BO$70,MATCH(ROUND(G1506*2,1)/2,神经网络!$E$10:$E$70,0),MATCH(ROUND(E1506*2,1)/2,神经网络!$G$8:$BO$8,0))</f>
        <v>-0.88758274336556187</v>
      </c>
      <c r="I1506">
        <f t="shared" si="180"/>
        <v>729.36294100075929</v>
      </c>
      <c r="J1506">
        <f t="shared" si="181"/>
        <v>163.84222497107041</v>
      </c>
      <c r="K1506">
        <f t="shared" si="182"/>
        <v>4.4516176530777871</v>
      </c>
      <c r="L1506" s="4">
        <f>MIN(MAX(L1505*(1+MAX(MIN(((B1506-B1505)/B1505)/($K$7*卓尔金历!$N$40),0),-卓尔金历!$M$43))+MIN(MAX(((B1506-B1505)/B1505)/($K$7*卓尔金历!$N$40),0),卓尔金历!$M$43),0),1)</f>
        <v>0.27497632763439078</v>
      </c>
      <c r="M1506" s="4">
        <f>MIN(MAX(M1505*(1+MAX(MIN(((B1506-B1505)/B1505)/($K$7*30),0),-卓尔金历!$M$43))+MIN(MAX(((B1506-B1505)/B1505)/($K$7*7),0),卓尔金历!$M$43),0),1)</f>
        <v>0.60308253571096793</v>
      </c>
      <c r="N1506">
        <f t="shared" si="183"/>
        <v>741.41145044795701</v>
      </c>
      <c r="O1506">
        <f t="shared" si="184"/>
        <v>1718.8167941222175</v>
      </c>
      <c r="P1506">
        <f t="shared" si="185"/>
        <v>-4.2631077038581058E-2</v>
      </c>
      <c r="Q1506">
        <f t="shared" si="176"/>
        <v>3.1015727616470423E-2</v>
      </c>
      <c r="R1506">
        <f t="shared" si="177"/>
        <v>2.0899473886147393E-2</v>
      </c>
      <c r="S1506">
        <f t="shared" si="179"/>
        <v>14.770503024498423</v>
      </c>
      <c r="T1506" s="564">
        <f>IF((I1506-MAX(I$470:I1506))/MAX(I$470:I1506)&gt;T1505,T1505,(I1506-MAX(I$470:I1506))/MAX(I$470:I1506))</f>
        <v>-0.91338805338419748</v>
      </c>
      <c r="U1506" s="564">
        <f>IF((J1506-MAX(J$470:J1506))/MAX(J$470:J1506)&gt;U1505,U1505,(J1506-MAX(J$470:J1506))/MAX(J$470:J1506))</f>
        <v>-0.70517826086956548</v>
      </c>
      <c r="V1506" s="564">
        <f>IF((K1506-MAX(K$470:K1506))/MAX(K$470:K1506)&gt;V1505,V1505,(K1506-MAX(K$470:K1506))/MAX(K$470:K1506))</f>
        <v>-0.84885940676762139</v>
      </c>
      <c r="W1506" s="564">
        <f>IF((N1506-MAX(N$470:N1506))/MAX(N$470:N1506)&gt;W1505,W1505,(N1506-MAX(N$470:N1506))/MAX(N$470:N1506))</f>
        <v>-0.62788758315546067</v>
      </c>
      <c r="X1506" s="564">
        <f>IF((O1506-MAX(O$470:O1506))/MAX(O$470:O1506)&gt;X1505,X1505,(O1506-MAX(O$470:O1506))/MAX(O$470:O1506))</f>
        <v>-0.62788758315546067</v>
      </c>
    </row>
    <row r="1507" spans="1:24">
      <c r="A1507" s="799">
        <v>41909</v>
      </c>
      <c r="B1507">
        <v>404.68599999999998</v>
      </c>
      <c r="C1507">
        <v>241.698363</v>
      </c>
      <c r="D1507">
        <v>1.14181</v>
      </c>
      <c r="E1507">
        <f>LN(D1507/参数实验室!$E$53)/参数实验室!$E$55</f>
        <v>-0.53651564472605762</v>
      </c>
      <c r="F1507">
        <f t="shared" si="178"/>
        <v>0.59724913389640366</v>
      </c>
      <c r="G1507">
        <f>LN(F1507/参数实验室!$E$58)/参数实验室!$E$59</f>
        <v>-0.46105079043903857</v>
      </c>
      <c r="H1507" s="856">
        <f>INDEX(神经网络!$G$10:$BO$70,MATCH(ROUND(G1507*2,1)/2,神经网络!$E$10:$E$70,0),MATCH(ROUND(E1507*2,1)/2,神经网络!$G$8:$BO$8,0))</f>
        <v>-0.86310628589995186</v>
      </c>
      <c r="I1507">
        <f t="shared" si="180"/>
        <v>738.69498224168206</v>
      </c>
      <c r="J1507">
        <f t="shared" si="181"/>
        <v>161.48038785363693</v>
      </c>
      <c r="K1507">
        <f t="shared" si="182"/>
        <v>4.5745182561192665</v>
      </c>
      <c r="L1507" s="4">
        <f>MIN(MAX(L1506*(1+MAX(MIN(((B1507-B1506)/B1506)/($K$7*卓尔金历!$N$40),0),-卓尔金历!$M$43))+MIN(MAX(((B1507-B1506)/B1506)/($K$7*卓尔金历!$N$40),0),卓尔金历!$M$43),0),1)</f>
        <v>0.21441219631606104</v>
      </c>
      <c r="M1507" s="4">
        <f>MIN(MAX(M1506*(1+MAX(MIN(((B1507-B1506)/B1506)/($K$7*30),0),-卓尔金历!$M$43))+MIN(MAX(((B1507-B1506)/B1506)/($K$7*7),0),卓尔金历!$M$43),0),1)</f>
        <v>0.53666741881197011</v>
      </c>
      <c r="N1507">
        <f t="shared" si="183"/>
        <v>744.0199306990919</v>
      </c>
      <c r="O1507">
        <f t="shared" si="184"/>
        <v>1732.0797186106372</v>
      </c>
      <c r="P1507">
        <f t="shared" si="185"/>
        <v>-1.4415313987896005E-2</v>
      </c>
      <c r="Q1507">
        <f t="shared" si="176"/>
        <v>3.1047829638899058E-2</v>
      </c>
      <c r="R1507">
        <f t="shared" si="177"/>
        <v>0.8220499602065493</v>
      </c>
      <c r="S1507">
        <f t="shared" si="179"/>
        <v>14.774452719822374</v>
      </c>
      <c r="T1507" s="564">
        <f>IF((I1507-MAX(I$470:I1507))/MAX(I$470:I1507)&gt;T1506,T1506,(I1507-MAX(I$470:I1507))/MAX(I$470:I1507))</f>
        <v>-0.91338805338419748</v>
      </c>
      <c r="U1507" s="564">
        <f>IF((J1507-MAX(J$470:J1507))/MAX(J$470:J1507)&gt;U1506,U1506,(J1507-MAX(J$470:J1507))/MAX(J$470:J1507))</f>
        <v>-0.70517826086956548</v>
      </c>
      <c r="V1507" s="564">
        <f>IF((K1507-MAX(K$470:K1507))/MAX(K$470:K1507)&gt;V1506,V1506,(K1507-MAX(K$470:K1507))/MAX(K$470:K1507))</f>
        <v>-0.84885940676762139</v>
      </c>
      <c r="W1507" s="564">
        <f>IF((N1507-MAX(N$470:N1507))/MAX(N$470:N1507)&gt;W1506,W1506,(N1507-MAX(N$470:N1507))/MAX(N$470:N1507))</f>
        <v>-0.62788758315546067</v>
      </c>
      <c r="X1507" s="564">
        <f>IF((O1507-MAX(O$470:O1507))/MAX(O$470:O1507)&gt;X1506,X1506,(O1507-MAX(O$470:O1507))/MAX(O$470:O1507))</f>
        <v>-0.62788758315546067</v>
      </c>
    </row>
    <row r="1508" spans="1:24">
      <c r="A1508" s="799">
        <v>41910</v>
      </c>
      <c r="B1508">
        <v>398.39299999999997</v>
      </c>
      <c r="C1508">
        <v>247.96448100000001</v>
      </c>
      <c r="D1508">
        <v>1.0710390000000001</v>
      </c>
      <c r="E1508">
        <f>LN(D1508/参数实验室!$E$53)/参数实验室!$E$55</f>
        <v>-0.61200276626010164</v>
      </c>
      <c r="F1508">
        <f t="shared" si="178"/>
        <v>0.62241174167216795</v>
      </c>
      <c r="G1508">
        <f>LN(F1508/参数实验室!$E$58)/参数实验室!$E$59</f>
        <v>-0.43939137527751537</v>
      </c>
      <c r="H1508" s="856">
        <f>INDEX(神经网络!$G$10:$BO$70,MATCH(ROUND(G1508*2,1)/2,神经网络!$E$10:$E$70,0),MATCH(ROUND(E1508*2,1)/2,神经网络!$G$8:$BO$8,0))</f>
        <v>-0.88092167534408816</v>
      </c>
      <c r="I1508">
        <f t="shared" si="180"/>
        <v>748.60944030051337</v>
      </c>
      <c r="J1508">
        <f t="shared" si="181"/>
        <v>158.96931487171284</v>
      </c>
      <c r="K1508">
        <f t="shared" si="182"/>
        <v>4.7091442829997483</v>
      </c>
      <c r="L1508" s="4">
        <f>MIN(MAX(L1507*(1+MAX(MIN(((B1508-B1507)/B1507)/($K$7*卓尔金历!$N$40),0),-卓尔金历!$M$43))+MIN(MAX(((B1508-B1507)/B1507)/($K$7*卓尔金历!$N$40),0),卓尔金历!$M$43),0),1)</f>
        <v>0.16346912609571804</v>
      </c>
      <c r="M1508" s="4">
        <f>MIN(MAX(M1507*(1+MAX(MIN(((B1508-B1507)/B1507)/($K$7*30),0),-卓尔金历!$M$43))+MIN(MAX(((B1508-B1507)/B1507)/($K$7*7),0),卓尔金历!$M$43),0),1)</f>
        <v>0.47291291587033757</v>
      </c>
      <c r="N1508">
        <f t="shared" si="183"/>
        <v>746.16103530614964</v>
      </c>
      <c r="O1508">
        <f t="shared" si="184"/>
        <v>1744.5557637489776</v>
      </c>
      <c r="P1508">
        <f t="shared" si="185"/>
        <v>-1.5550327908551338E-2</v>
      </c>
      <c r="Q1508">
        <f t="shared" si="176"/>
        <v>3.0921901052971653E-2</v>
      </c>
      <c r="R1508">
        <f t="shared" si="177"/>
        <v>0.73977255828279576</v>
      </c>
      <c r="S1508">
        <f t="shared" si="179"/>
        <v>14.937462419071743</v>
      </c>
      <c r="T1508" s="564">
        <f>IF((I1508-MAX(I$470:I1508))/MAX(I$470:I1508)&gt;T1507,T1507,(I1508-MAX(I$470:I1508))/MAX(I$470:I1508))</f>
        <v>-0.91338805338419748</v>
      </c>
      <c r="U1508" s="564">
        <f>IF((J1508-MAX(J$470:J1508))/MAX(J$470:J1508)&gt;U1507,U1507,(J1508-MAX(J$470:J1508))/MAX(J$470:J1508))</f>
        <v>-0.70517826086956548</v>
      </c>
      <c r="V1508" s="564">
        <f>IF((K1508-MAX(K$470:K1508))/MAX(K$470:K1508)&gt;V1507,V1507,(K1508-MAX(K$470:K1508))/MAX(K$470:K1508))</f>
        <v>-0.84885940676762139</v>
      </c>
      <c r="W1508" s="564">
        <f>IF((N1508-MAX(N$470:N1508))/MAX(N$470:N1508)&gt;W1507,W1507,(N1508-MAX(N$470:N1508))/MAX(N$470:N1508))</f>
        <v>-0.62788758315546067</v>
      </c>
      <c r="X1508" s="564">
        <f>IF((O1508-MAX(O$470:O1508))/MAX(O$470:O1508)&gt;X1507,X1507,(O1508-MAX(O$470:O1508))/MAX(O$470:O1508))</f>
        <v>-0.62788758315546067</v>
      </c>
    </row>
    <row r="1509" spans="1:24">
      <c r="A1509" s="799">
        <v>41911</v>
      </c>
      <c r="B1509">
        <v>381.14</v>
      </c>
      <c r="C1509">
        <v>255.256956</v>
      </c>
      <c r="D1509">
        <v>1.0668789999999999</v>
      </c>
      <c r="E1509">
        <f>LN(D1509/参数实验室!$E$53)/参数实验室!$E$55</f>
        <v>-0.61659394299268988</v>
      </c>
      <c r="F1509">
        <f t="shared" si="178"/>
        <v>0.66971967256126363</v>
      </c>
      <c r="G1509">
        <f>LN(F1509/参数实验室!$E$58)/参数实验室!$E$59</f>
        <v>-0.40094193909006759</v>
      </c>
      <c r="H1509" s="856">
        <f>INDEX(神经网络!$G$10:$BO$70,MATCH(ROUND(G1509*2,1)/2,神经网络!$E$10:$E$70,0),MATCH(ROUND(E1509*2,1)/2,神经网络!$G$8:$BO$8,0))</f>
        <v>-0.83233761270719864</v>
      </c>
      <c r="I1509">
        <f t="shared" si="180"/>
        <v>777.16860617191105</v>
      </c>
      <c r="J1509">
        <f t="shared" si="181"/>
        <v>152.08491281273675</v>
      </c>
      <c r="K1509">
        <f t="shared" si="182"/>
        <v>5.110096667700657</v>
      </c>
      <c r="L1509" s="4">
        <f>MIN(MAX(L1508*(1+MAX(MIN(((B1509-B1508)/B1508)/($K$7*卓尔金历!$N$40),0),-卓尔金历!$M$43))+MIN(MAX(((B1509-B1508)/B1508)/($K$7*卓尔金历!$N$40),0),卓尔金历!$M$43),0),1)</f>
        <v>5.5304627196150091E-2</v>
      </c>
      <c r="M1509" s="4">
        <f>MIN(MAX(M1508*(1+MAX(MIN(((B1509-B1508)/B1508)/($K$7*30),0),-卓尔金历!$M$43))+MIN(MAX(((B1509-B1508)/B1508)/($K$7*7),0),卓尔金历!$M$43),0),1)</f>
        <v>0.31645404871307165</v>
      </c>
      <c r="N1509">
        <f t="shared" si="183"/>
        <v>750.81430824162123</v>
      </c>
      <c r="O1509">
        <f t="shared" si="184"/>
        <v>1776.0300761177548</v>
      </c>
      <c r="P1509">
        <f t="shared" si="185"/>
        <v>-4.3306483798661088E-2</v>
      </c>
      <c r="Q1509">
        <f t="shared" si="176"/>
        <v>3.173746395152436E-2</v>
      </c>
      <c r="R1509">
        <f t="shared" si="177"/>
        <v>2.1311233390184887E-2</v>
      </c>
      <c r="S1509">
        <f t="shared" si="179"/>
        <v>15.359028113497002</v>
      </c>
      <c r="T1509" s="564">
        <f>IF((I1509-MAX(I$470:I1509))/MAX(I$470:I1509)&gt;T1508,T1508,(I1509-MAX(I$470:I1509))/MAX(I$470:I1509))</f>
        <v>-0.91338805338419748</v>
      </c>
      <c r="U1509" s="564">
        <f>IF((J1509-MAX(J$470:J1509))/MAX(J$470:J1509)&gt;U1508,U1508,(J1509-MAX(J$470:J1509))/MAX(J$470:J1509))</f>
        <v>-0.70517826086956548</v>
      </c>
      <c r="V1509" s="564">
        <f>IF((K1509-MAX(K$470:K1509))/MAX(K$470:K1509)&gt;V1508,V1508,(K1509-MAX(K$470:K1509))/MAX(K$470:K1509))</f>
        <v>-0.84885940676762139</v>
      </c>
      <c r="W1509" s="564">
        <f>IF((N1509-MAX(N$470:N1509))/MAX(N$470:N1509)&gt;W1508,W1508,(N1509-MAX(N$470:N1509))/MAX(N$470:N1509))</f>
        <v>-0.62788758315546067</v>
      </c>
      <c r="X1509" s="564">
        <f>IF((O1509-MAX(O$470:O1509))/MAX(O$470:O1509)&gt;X1508,X1508,(O1509-MAX(O$470:O1509))/MAX(O$470:O1509))</f>
        <v>-0.62788758315546067</v>
      </c>
    </row>
    <row r="1510" spans="1:24">
      <c r="A1510" s="799">
        <v>41912</v>
      </c>
      <c r="B1510">
        <v>381.27</v>
      </c>
      <c r="C1510">
        <v>261.19863900000001</v>
      </c>
      <c r="D1510">
        <v>1.1140300000000001</v>
      </c>
      <c r="E1510">
        <f>LN(D1510/参数实验室!$E$53)/参数实验室!$E$55</f>
        <v>-0.56557373571826342</v>
      </c>
      <c r="F1510">
        <f t="shared" si="178"/>
        <v>0.68507524588874036</v>
      </c>
      <c r="G1510">
        <f>LN(F1510/参数实验室!$E$58)/参数实验室!$E$59</f>
        <v>-0.38904378420309588</v>
      </c>
      <c r="H1510" s="856">
        <f>INDEX(神经网络!$G$10:$BO$70,MATCH(ROUND(G1510*2,1)/2,神经网络!$E$10:$E$70,0),MATCH(ROUND(E1510*2,1)/2,神经网络!$G$8:$BO$8,0))</f>
        <v>-0.81195130455649678</v>
      </c>
      <c r="I1510">
        <f t="shared" si="180"/>
        <v>776.94797158592382</v>
      </c>
      <c r="J1510">
        <f t="shared" si="181"/>
        <v>152.13678624157038</v>
      </c>
      <c r="K1510">
        <f t="shared" si="182"/>
        <v>5.1069040616662367</v>
      </c>
      <c r="L1510" s="4">
        <f>MIN(MAX(L1509*(1+MAX(MIN(((B1510-B1509)/B1509)/($K$7*卓尔金历!$N$40),0),-卓尔金历!$M$43))+MIN(MAX(((B1510-B1509)/B1509)/($K$7*卓尔金历!$N$40),0),卓尔金历!$M$43),0),1)</f>
        <v>6.0516033105612071E-2</v>
      </c>
      <c r="M1510" s="4">
        <f>MIN(MAX(M1509*(1+MAX(MIN(((B1510-B1509)/B1509)/($K$7*30),0),-卓尔金历!$M$43))+MIN(MAX(((B1510-B1509)/B1509)/($K$7*7),0),卓尔金历!$M$43),0),1)</f>
        <v>0.32762134709049018</v>
      </c>
      <c r="N1510">
        <f t="shared" si="183"/>
        <v>750.80251990978138</v>
      </c>
      <c r="O1510">
        <f t="shared" si="184"/>
        <v>1775.8705178489342</v>
      </c>
      <c r="P1510">
        <f t="shared" si="185"/>
        <v>3.4108201710656311E-4</v>
      </c>
      <c r="Q1510">
        <f t="shared" si="176"/>
        <v>3.182169183991207E-2</v>
      </c>
      <c r="R1510">
        <f t="shared" si="177"/>
        <v>1</v>
      </c>
      <c r="S1510">
        <f t="shared" si="179"/>
        <v>15.358935188904816</v>
      </c>
      <c r="T1510" s="564">
        <f>IF((I1510-MAX(I$470:I1510))/MAX(I$470:I1510)&gt;T1509,T1509,(I1510-MAX(I$470:I1510))/MAX(I$470:I1510))</f>
        <v>-0.91338805338419748</v>
      </c>
      <c r="U1510" s="564">
        <f>IF((J1510-MAX(J$470:J1510))/MAX(J$470:J1510)&gt;U1509,U1509,(J1510-MAX(J$470:J1510))/MAX(J$470:J1510))</f>
        <v>-0.70517826086956548</v>
      </c>
      <c r="V1510" s="564">
        <f>IF((K1510-MAX(K$470:K1510))/MAX(K$470:K1510)&gt;V1509,V1509,(K1510-MAX(K$470:K1510))/MAX(K$470:K1510))</f>
        <v>-0.84885940676762139</v>
      </c>
      <c r="W1510" s="564">
        <f>IF((N1510-MAX(N$470:N1510))/MAX(N$470:N1510)&gt;W1509,W1509,(N1510-MAX(N$470:N1510))/MAX(N$470:N1510))</f>
        <v>-0.62788758315546067</v>
      </c>
      <c r="X1510" s="564">
        <f>IF((O1510-MAX(O$470:O1510))/MAX(O$470:O1510)&gt;X1509,X1509,(O1510-MAX(O$470:O1510))/MAX(O$470:O1510))</f>
        <v>-0.62788758315546067</v>
      </c>
    </row>
    <row r="1511" spans="1:24">
      <c r="A1511" s="799">
        <v>41913</v>
      </c>
      <c r="B1511">
        <v>384.02499999999998</v>
      </c>
      <c r="C1511">
        <v>258.32472100000001</v>
      </c>
      <c r="D1511">
        <v>1.0970899999999999</v>
      </c>
      <c r="E1511">
        <f>LN(D1511/参数实验室!$E$53)/参数实验室!$E$55</f>
        <v>-0.58365091920405132</v>
      </c>
      <c r="F1511">
        <f t="shared" si="178"/>
        <v>0.67267683353948315</v>
      </c>
      <c r="G1511">
        <f>LN(F1511/参数实验室!$E$58)/参数实验室!$E$59</f>
        <v>-0.39862953675732471</v>
      </c>
      <c r="H1511" s="856">
        <f>INDEX(神经网络!$G$10:$BO$70,MATCH(ROUND(G1511*2,1)/2,神经网络!$E$10:$E$70,0),MATCH(ROUND(E1511*2,1)/2,神经网络!$G$8:$BO$8,0))</f>
        <v>-0.83233761270719864</v>
      </c>
      <c r="I1511">
        <f t="shared" si="180"/>
        <v>772.38958777097582</v>
      </c>
      <c r="J1511">
        <f t="shared" si="181"/>
        <v>153.23610390646803</v>
      </c>
      <c r="K1511">
        <f t="shared" si="182"/>
        <v>5.0405196169854696</v>
      </c>
      <c r="L1511" s="4">
        <f>MIN(MAX(L1510*(1+MAX(MIN(((B1511-B1510)/B1510)/($K$7*卓尔金历!$N$40),0),-卓尔金历!$M$43))+MIN(MAX(((B1511-B1510)/B1510)/($K$7*卓尔金历!$N$40),0),卓尔金历!$M$43),0),1)</f>
        <v>0.17092009380872333</v>
      </c>
      <c r="M1511" s="4">
        <f>MIN(MAX(M1510*(1+MAX(MIN(((B1511-B1510)/B1510)/($K$7*30),0),-卓尔金历!$M$43))+MIN(MAX(((B1511-B1510)/B1510)/($K$7*7),0),卓尔金历!$M$43),0),1)</f>
        <v>0.56420147716858571</v>
      </c>
      <c r="N1511">
        <f t="shared" si="183"/>
        <v>750.53594754414087</v>
      </c>
      <c r="O1511">
        <f t="shared" si="184"/>
        <v>1772.4569979276891</v>
      </c>
      <c r="P1511">
        <f t="shared" si="185"/>
        <v>7.2258504471896436E-3</v>
      </c>
      <c r="Q1511">
        <f t="shared" si="176"/>
        <v>3.2020656231763117E-2</v>
      </c>
      <c r="R1511">
        <f t="shared" si="177"/>
        <v>1</v>
      </c>
      <c r="S1511">
        <f t="shared" si="179"/>
        <v>15.268823721804864</v>
      </c>
      <c r="T1511" s="564">
        <f>IF((I1511-MAX(I$470:I1511))/MAX(I$470:I1511)&gt;T1510,T1510,(I1511-MAX(I$470:I1511))/MAX(I$470:I1511))</f>
        <v>-0.91338805338419748</v>
      </c>
      <c r="U1511" s="564">
        <f>IF((J1511-MAX(J$470:J1511))/MAX(J$470:J1511)&gt;U1510,U1510,(J1511-MAX(J$470:J1511))/MAX(J$470:J1511))</f>
        <v>-0.70517826086956548</v>
      </c>
      <c r="V1511" s="564">
        <f>IF((K1511-MAX(K$470:K1511))/MAX(K$470:K1511)&gt;V1510,V1510,(K1511-MAX(K$470:K1511))/MAX(K$470:K1511))</f>
        <v>-0.84885940676762139</v>
      </c>
      <c r="W1511" s="564">
        <f>IF((N1511-MAX(N$470:N1511))/MAX(N$470:N1511)&gt;W1510,W1510,(N1511-MAX(N$470:N1511))/MAX(N$470:N1511))</f>
        <v>-0.62788758315546067</v>
      </c>
      <c r="X1511" s="564">
        <f>IF((O1511-MAX(O$470:O1511))/MAX(O$470:O1511)&gt;X1510,X1510,(O1511-MAX(O$470:O1511))/MAX(O$470:O1511))</f>
        <v>-0.62788758315546067</v>
      </c>
    </row>
    <row r="1512" spans="1:24">
      <c r="A1512" s="799">
        <v>41914</v>
      </c>
      <c r="B1512">
        <v>384.46100000000001</v>
      </c>
      <c r="C1512">
        <v>260.01453900000001</v>
      </c>
      <c r="D1512">
        <v>1.068432</v>
      </c>
      <c r="E1512">
        <f>LN(D1512/参数实验室!$E$53)/参数实验室!$E$55</f>
        <v>-0.61487788653914888</v>
      </c>
      <c r="F1512">
        <f t="shared" si="178"/>
        <v>0.67630927194175738</v>
      </c>
      <c r="G1512">
        <f>LN(F1512/参数实验室!$E$58)/参数实验室!$E$59</f>
        <v>-0.39580296266321208</v>
      </c>
      <c r="H1512" s="856">
        <f>INDEX(神经网络!$G$10:$BO$70,MATCH(ROUND(G1512*2,1)/2,神经网络!$E$10:$E$70,0),MATCH(ROUND(E1512*2,1)/2,神经网络!$G$8:$BO$8,0))</f>
        <v>-0.83233761270719864</v>
      </c>
      <c r="I1512">
        <f t="shared" si="180"/>
        <v>771.65968851226501</v>
      </c>
      <c r="J1512">
        <f t="shared" si="181"/>
        <v>153.41007940624857</v>
      </c>
      <c r="K1512">
        <f t="shared" si="182"/>
        <v>5.0300455582766253</v>
      </c>
      <c r="L1512" s="4">
        <f>MIN(MAX(L1511*(1+MAX(MIN(((B1512-B1511)/B1511)/($K$7*卓尔金历!$N$40),0),-卓尔金历!$M$43))+MIN(MAX(((B1512-B1511)/B1511)/($K$7*卓尔金历!$N$40),0),卓尔金历!$M$43),0),1)</f>
        <v>0.18826704153894924</v>
      </c>
      <c r="M1512" s="4">
        <f>MIN(MAX(M1511*(1+MAX(MIN(((B1512-B1511)/B1511)/($K$7*30),0),-卓尔金历!$M$43))+MIN(MAX(((B1512-B1511)/B1511)/($K$7*7),0),卓尔金历!$M$43),0),1)</f>
        <v>0.60137350801906986</v>
      </c>
      <c r="N1512">
        <f t="shared" si="183"/>
        <v>750.41472284011741</v>
      </c>
      <c r="O1512">
        <f t="shared" si="184"/>
        <v>1771.5119878535343</v>
      </c>
      <c r="P1512">
        <f t="shared" si="185"/>
        <v>1.1353427511230662E-3</v>
      </c>
      <c r="Q1512">
        <f t="shared" si="176"/>
        <v>3.1101979256388516E-2</v>
      </c>
      <c r="R1512">
        <f t="shared" si="177"/>
        <v>1</v>
      </c>
      <c r="S1512">
        <f t="shared" si="179"/>
        <v>15.254394859359818</v>
      </c>
      <c r="T1512" s="564">
        <f>IF((I1512-MAX(I$470:I1512))/MAX(I$470:I1512)&gt;T1511,T1511,(I1512-MAX(I$470:I1512))/MAX(I$470:I1512))</f>
        <v>-0.91338805338419748</v>
      </c>
      <c r="U1512" s="564">
        <f>IF((J1512-MAX(J$470:J1512))/MAX(J$470:J1512)&gt;U1511,U1511,(J1512-MAX(J$470:J1512))/MAX(J$470:J1512))</f>
        <v>-0.70517826086956548</v>
      </c>
      <c r="V1512" s="564">
        <f>IF((K1512-MAX(K$470:K1512))/MAX(K$470:K1512)&gt;V1511,V1511,(K1512-MAX(K$470:K1512))/MAX(K$470:K1512))</f>
        <v>-0.84885940676762139</v>
      </c>
      <c r="W1512" s="564">
        <f>IF((N1512-MAX(N$470:N1512))/MAX(N$470:N1512)&gt;W1511,W1511,(N1512-MAX(N$470:N1512))/MAX(N$470:N1512))</f>
        <v>-0.62788758315546067</v>
      </c>
      <c r="X1512" s="564">
        <f>IF((O1512-MAX(O$470:O1512))/MAX(O$470:O1512)&gt;X1511,X1511,(O1512-MAX(O$470:O1512))/MAX(O$470:O1512))</f>
        <v>-0.62788758315546067</v>
      </c>
    </row>
    <row r="1513" spans="1:24">
      <c r="A1513" s="799">
        <v>41915</v>
      </c>
      <c r="B1513">
        <v>376.26499999999999</v>
      </c>
      <c r="C1513">
        <v>264.06429100000003</v>
      </c>
      <c r="D1513">
        <v>1.029412</v>
      </c>
      <c r="E1513">
        <f>LN(D1513/参数实验室!$E$53)/参数实验室!$E$55</f>
        <v>-0.65876988360592204</v>
      </c>
      <c r="F1513">
        <f t="shared" si="178"/>
        <v>0.70180402375985018</v>
      </c>
      <c r="G1513">
        <f>LN(F1513/参数实验室!$E$58)/参数实验室!$E$59</f>
        <v>-0.37638140939190201</v>
      </c>
      <c r="H1513" s="856">
        <f>INDEX(神经网络!$G$10:$BO$70,MATCH(ROUND(G1513*2,1)/2,神经网络!$E$10:$E$70,0),MATCH(ROUND(E1513*2,1)/2,神经网络!$G$8:$BO$8,0))</f>
        <v>-0.85277713330581439</v>
      </c>
      <c r="I1513">
        <f t="shared" si="180"/>
        <v>785.3519439418908</v>
      </c>
      <c r="J1513">
        <f t="shared" si="181"/>
        <v>150.13965923147501</v>
      </c>
      <c r="K1513">
        <f t="shared" si="182"/>
        <v>5.2308094207879421</v>
      </c>
      <c r="L1513" s="4">
        <f>MIN(MAX(L1512*(1+MAX(MIN(((B1513-B1512)/B1512)/($K$7*卓尔金历!$N$40),0),-卓尔金历!$M$43))+MIN(MAX(((B1513-B1512)/B1512)/($K$7*卓尔金历!$N$40),0),卓尔金历!$M$43),0),1)</f>
        <v>0.12694451568180898</v>
      </c>
      <c r="M1513" s="4">
        <f>MIN(MAX(M1512*(1+MAX(MIN(((B1513-B1512)/B1512)/($K$7*30),0),-卓尔金历!$M$43))+MIN(MAX(((B1513-B1512)/B1512)/($K$7*7),0),卓尔金历!$M$43),0),1)</f>
        <v>0.50343352289514898</v>
      </c>
      <c r="N1513">
        <f t="shared" si="183"/>
        <v>752.92155249288851</v>
      </c>
      <c r="O1513">
        <f t="shared" si="184"/>
        <v>1790.415285253797</v>
      </c>
      <c r="P1513">
        <f t="shared" si="185"/>
        <v>-2.1318157108263326E-2</v>
      </c>
      <c r="Q1513">
        <f t="shared" si="176"/>
        <v>3.1111547276115589E-2</v>
      </c>
      <c r="R1513">
        <f t="shared" si="177"/>
        <v>0.42087903535061605</v>
      </c>
      <c r="S1513">
        <f t="shared" si="179"/>
        <v>15.525067377243206</v>
      </c>
      <c r="T1513" s="564">
        <f>IF((I1513-MAX(I$470:I1513))/MAX(I$470:I1513)&gt;T1512,T1512,(I1513-MAX(I$470:I1513))/MAX(I$470:I1513))</f>
        <v>-0.91338805338419748</v>
      </c>
      <c r="U1513" s="564">
        <f>IF((J1513-MAX(J$470:J1513))/MAX(J$470:J1513)&gt;U1512,U1512,(J1513-MAX(J$470:J1513))/MAX(J$470:J1513))</f>
        <v>-0.70517826086956548</v>
      </c>
      <c r="V1513" s="564">
        <f>IF((K1513-MAX(K$470:K1513))/MAX(K$470:K1513)&gt;V1512,V1512,(K1513-MAX(K$470:K1513))/MAX(K$470:K1513))</f>
        <v>-0.84885940676762139</v>
      </c>
      <c r="W1513" s="564">
        <f>IF((N1513-MAX(N$470:N1513))/MAX(N$470:N1513)&gt;W1512,W1512,(N1513-MAX(N$470:N1513))/MAX(N$470:N1513))</f>
        <v>-0.62788758315546067</v>
      </c>
      <c r="X1513" s="564">
        <f>IF((O1513-MAX(O$470:O1513))/MAX(O$470:O1513)&gt;X1512,X1512,(O1513-MAX(O$470:O1513))/MAX(O$470:O1513))</f>
        <v>-0.62788758315546067</v>
      </c>
    </row>
    <row r="1514" spans="1:24">
      <c r="A1514" s="799">
        <v>41916</v>
      </c>
      <c r="B1514">
        <v>358.61399999999998</v>
      </c>
      <c r="C1514">
        <v>264.98388</v>
      </c>
      <c r="D1514">
        <v>0.94845500000000005</v>
      </c>
      <c r="E1514">
        <f>LN(D1514/参数实验室!$E$53)/参数实验室!$E$55</f>
        <v>-0.75540193756093876</v>
      </c>
      <c r="F1514">
        <f t="shared" si="178"/>
        <v>0.73891114122705759</v>
      </c>
      <c r="G1514">
        <f>LN(F1514/参数实验室!$E$58)/参数实验室!$E$59</f>
        <v>-0.34933910512544014</v>
      </c>
      <c r="H1514" s="856">
        <f>INDEX(神经网络!$G$10:$BO$70,MATCH(ROUND(G1514*2,1)/2,神经网络!$E$10:$E$70,0),MATCH(ROUND(E1514*2,1)/2,神经网络!$G$8:$BO$8,0))</f>
        <v>-0.83603690893540472</v>
      </c>
      <c r="I1514">
        <f t="shared" si="180"/>
        <v>816.76971438673422</v>
      </c>
      <c r="J1514">
        <f t="shared" si="181"/>
        <v>143.09644467499282</v>
      </c>
      <c r="K1514">
        <f t="shared" si="182"/>
        <v>5.7078267474906097</v>
      </c>
      <c r="L1514" s="4">
        <f>MIN(MAX(L1513*(1+MAX(MIN(((B1514-B1513)/B1513)/($K$7*卓尔金历!$N$40),0),-卓尔金历!$M$43))+MIN(MAX(((B1514-B1513)/B1513)/($K$7*卓尔金历!$N$40),0),卓尔金历!$M$43),0),1)</f>
        <v>3.5956223391052221E-2</v>
      </c>
      <c r="M1514" s="4">
        <f>MIN(MAX(M1513*(1+MAX(MIN(((B1514-B1513)/B1513)/($K$7*30),0),-卓尔金历!$M$43))+MIN(MAX(((B1514-B1513)/B1513)/($K$7*7),0),卓尔金历!$M$43),0),1)</f>
        <v>0.32301392664821466</v>
      </c>
      <c r="N1514">
        <f t="shared" si="183"/>
        <v>756.74517237509701</v>
      </c>
      <c r="O1514">
        <f t="shared" si="184"/>
        <v>1826.473726362146</v>
      </c>
      <c r="P1514">
        <f t="shared" si="185"/>
        <v>-4.6911086601198651E-2</v>
      </c>
      <c r="Q1514">
        <f t="shared" si="176"/>
        <v>3.1880871463142613E-2</v>
      </c>
      <c r="R1514">
        <f t="shared" si="177"/>
        <v>1.9094779144982393E-2</v>
      </c>
      <c r="S1514">
        <f t="shared" si="179"/>
        <v>15.78646511588191</v>
      </c>
      <c r="T1514" s="564">
        <f>IF((I1514-MAX(I$470:I1514))/MAX(I$470:I1514)&gt;T1513,T1513,(I1514-MAX(I$470:I1514))/MAX(I$470:I1514))</f>
        <v>-0.91338805338419748</v>
      </c>
      <c r="U1514" s="564">
        <f>IF((J1514-MAX(J$470:J1514))/MAX(J$470:J1514)&gt;U1513,U1513,(J1514-MAX(J$470:J1514))/MAX(J$470:J1514))</f>
        <v>-0.70517826086956548</v>
      </c>
      <c r="V1514" s="564">
        <f>IF((K1514-MAX(K$470:K1514))/MAX(K$470:K1514)&gt;V1513,V1513,(K1514-MAX(K$470:K1514))/MAX(K$470:K1514))</f>
        <v>-0.84885940676762139</v>
      </c>
      <c r="W1514" s="564">
        <f>IF((N1514-MAX(N$470:N1514))/MAX(N$470:N1514)&gt;W1513,W1513,(N1514-MAX(N$470:N1514))/MAX(N$470:N1514))</f>
        <v>-0.62788758315546067</v>
      </c>
      <c r="X1514" s="564">
        <f>IF((O1514-MAX(O$470:O1514))/MAX(O$470:O1514)&gt;X1513,X1513,(O1514-MAX(O$470:O1514))/MAX(O$470:O1514))</f>
        <v>-0.62788758315546067</v>
      </c>
    </row>
    <row r="1515" spans="1:24">
      <c r="A1515" s="799">
        <v>41917</v>
      </c>
      <c r="B1515">
        <v>328.07799999999997</v>
      </c>
      <c r="C1515">
        <v>261.251373</v>
      </c>
      <c r="D1515">
        <v>0.93172900000000003</v>
      </c>
      <c r="E1515">
        <f>LN(D1515/参数实验室!$E$53)/参数实验室!$E$55</f>
        <v>-0.77639251434818646</v>
      </c>
      <c r="F1515">
        <f t="shared" si="178"/>
        <v>0.79630872231603467</v>
      </c>
      <c r="G1515">
        <f>LN(F1515/参数实验室!$E$58)/参数实验室!$E$59</f>
        <v>-0.31007515155773002</v>
      </c>
      <c r="H1515" s="856">
        <f>INDEX(神经网络!$G$10:$BO$70,MATCH(ROUND(G1515*2,1)/2,神经网络!$E$10:$E$70,0),MATCH(ROUND(E1515*2,1)/2,神经网络!$G$8:$BO$8,0))</f>
        <v>-0.78891875382622489</v>
      </c>
      <c r="I1515">
        <f t="shared" si="180"/>
        <v>874.91439423773261</v>
      </c>
      <c r="J1515">
        <f t="shared" si="181"/>
        <v>130.91177526834505</v>
      </c>
      <c r="K1515">
        <f t="shared" si="182"/>
        <v>6.6832368016117654</v>
      </c>
      <c r="L1515" s="4">
        <f>MIN(MAX(L1514*(1+MAX(MIN(((B1515-B1514)/B1514)/($K$7*卓尔金历!$N$40),0),-卓尔金历!$M$43))+MIN(MAX(((B1515-B1514)/B1514)/($K$7*卓尔金历!$N$40),0),卓尔金历!$M$43),0),1)</f>
        <v>0</v>
      </c>
      <c r="M1515" s="4">
        <f>MIN(MAX(M1514*(1+MAX(MIN(((B1515-B1514)/B1514)/($K$7*30),0),-卓尔金历!$M$43))+MIN(MAX(((B1515-B1514)/B1514)/($K$7*7),0),卓尔金历!$M$43),0),1)</f>
        <v>0.11289158266287178</v>
      </c>
      <c r="N1515">
        <f t="shared" si="183"/>
        <v>758.68219229441797</v>
      </c>
      <c r="O1515">
        <f t="shared" si="184"/>
        <v>1868.4733147607592</v>
      </c>
      <c r="P1515">
        <f t="shared" si="185"/>
        <v>-8.5150049914392636E-2</v>
      </c>
      <c r="Q1515">
        <f t="shared" si="176"/>
        <v>3.4929443407969829E-2</v>
      </c>
      <c r="R1515">
        <f t="shared" si="177"/>
        <v>3.4723092883317918E-3</v>
      </c>
      <c r="S1515">
        <f t="shared" si="179"/>
        <v>15.807924136230724</v>
      </c>
      <c r="T1515" s="564">
        <f>IF((I1515-MAX(I$470:I1515))/MAX(I$470:I1515)&gt;T1514,T1514,(I1515-MAX(I$470:I1515))/MAX(I$470:I1515))</f>
        <v>-0.91338805338419748</v>
      </c>
      <c r="U1515" s="564">
        <f>IF((J1515-MAX(J$470:J1515))/MAX(J$470:J1515)&gt;U1514,U1514,(J1515-MAX(J$470:J1515))/MAX(J$470:J1515))</f>
        <v>-0.71450127921750217</v>
      </c>
      <c r="V1515" s="564">
        <f>IF((K1515-MAX(K$470:K1515))/MAX(K$470:K1515)&gt;V1514,V1514,(K1515-MAX(K$470:K1515))/MAX(K$470:K1515))</f>
        <v>-0.84885940676762139</v>
      </c>
      <c r="W1515" s="564">
        <f>IF((N1515-MAX(N$470:N1515))/MAX(N$470:N1515)&gt;W1514,W1514,(N1515-MAX(N$470:N1515))/MAX(N$470:N1515))</f>
        <v>-0.62788758315546067</v>
      </c>
      <c r="X1515" s="564">
        <f>IF((O1515-MAX(O$470:O1515))/MAX(O$470:O1515)&gt;X1514,X1514,(O1515-MAX(O$470:O1515))/MAX(O$470:O1515))</f>
        <v>-0.62788758315546067</v>
      </c>
    </row>
    <row r="1516" spans="1:24">
      <c r="A1516" s="799">
        <v>41918</v>
      </c>
      <c r="B1516">
        <v>321.39999999999998</v>
      </c>
      <c r="C1516">
        <v>264.505653</v>
      </c>
      <c r="D1516">
        <v>0.95087200000000005</v>
      </c>
      <c r="E1516">
        <f>LN(D1516/参数实验室!$E$53)/参数实验室!$E$55</f>
        <v>-0.75239933176435803</v>
      </c>
      <c r="F1516">
        <f t="shared" si="178"/>
        <v>0.82297962974486627</v>
      </c>
      <c r="G1516">
        <f>LN(F1516/参数实验室!$E$58)/参数实验室!$E$59</f>
        <v>-0.29278409942972961</v>
      </c>
      <c r="H1516" s="856">
        <f>INDEX(神经网络!$G$10:$BO$70,MATCH(ROUND(G1516*2,1)/2,神经网络!$E$10:$E$70,0),MATCH(ROUND(E1516*2,1)/2,神经网络!$G$8:$BO$8,0))</f>
        <v>-0.77441485430199053</v>
      </c>
      <c r="I1516">
        <f t="shared" si="180"/>
        <v>888.96409736609019</v>
      </c>
      <c r="J1516">
        <f t="shared" si="181"/>
        <v>128.24707713179825</v>
      </c>
      <c r="K1516">
        <f t="shared" si="182"/>
        <v>6.931651911665095</v>
      </c>
      <c r="L1516" s="4">
        <f>MIN(MAX(L1515*(1+MAX(MIN(((B1516-B1515)/B1515)/($K$7*卓尔金历!$N$40),0),-卓尔金历!$M$43))+MIN(MAX(((B1516-B1515)/B1515)/($K$7*卓尔金历!$N$40),0),卓尔金历!$M$43),0),1)</f>
        <v>0</v>
      </c>
      <c r="M1516" s="4">
        <f>MIN(MAX(M1515*(1+MAX(MIN(((B1516-B1515)/B1515)/($K$7*30),0),-卓尔金历!$M$43))+MIN(MAX(((B1516-B1515)/B1515)/($K$7*7),0),卓尔金历!$M$43),0),1)</f>
        <v>9.5336739640535906E-2</v>
      </c>
      <c r="N1516">
        <f t="shared" si="183"/>
        <v>758.68219229441797</v>
      </c>
      <c r="O1516">
        <f t="shared" si="184"/>
        <v>1871.8605865667121</v>
      </c>
      <c r="P1516">
        <f t="shared" si="185"/>
        <v>-2.0354915599339173E-2</v>
      </c>
      <c r="Q1516">
        <f t="shared" ref="Q1516:Q1579" si="186">STDEVP(P1496:P1516)</f>
        <v>3.4845688111258537E-2</v>
      </c>
      <c r="R1516">
        <f t="shared" ref="R1516:R1579" si="187">MIN(Q1515*MAX(1-LN(MAX(ABS(P1516),0.0001)/Q1516),0)+MAX(-LN(MAX(ABS(P1516),0.0001)/Q1516),0),1)</f>
        <v>0.5913147224951999</v>
      </c>
      <c r="S1516">
        <f t="shared" si="179"/>
        <v>15.808805580444226</v>
      </c>
      <c r="T1516" s="564">
        <f>IF((I1516-MAX(I$470:I1516))/MAX(I$470:I1516)&gt;T1515,T1515,(I1516-MAX(I$470:I1516))/MAX(I$470:I1516))</f>
        <v>-0.91338805338419748</v>
      </c>
      <c r="U1516" s="564">
        <f>IF((J1516-MAX(J$470:J1516))/MAX(J$470:J1516)&gt;U1515,U1515,(J1516-MAX(J$470:J1516))/MAX(J$470:J1516))</f>
        <v>-0.72031258158274925</v>
      </c>
      <c r="V1516" s="564">
        <f>IF((K1516-MAX(K$470:K1516))/MAX(K$470:K1516)&gt;V1515,V1515,(K1516-MAX(K$470:K1516))/MAX(K$470:K1516))</f>
        <v>-0.84885940676762139</v>
      </c>
      <c r="W1516" s="564">
        <f>IF((N1516-MAX(N$470:N1516))/MAX(N$470:N1516)&gt;W1515,W1515,(N1516-MAX(N$470:N1516))/MAX(N$470:N1516))</f>
        <v>-0.62788758315546067</v>
      </c>
      <c r="X1516" s="564">
        <f>IF((O1516-MAX(O$470:O1516))/MAX(O$470:O1516)&gt;X1515,X1515,(O1516-MAX(O$470:O1516))/MAX(O$470:O1516))</f>
        <v>-0.62788758315546067</v>
      </c>
    </row>
    <row r="1517" spans="1:24">
      <c r="A1517" s="799">
        <v>41919</v>
      </c>
      <c r="B1517">
        <v>326.92099999999999</v>
      </c>
      <c r="C1517">
        <v>268.280574</v>
      </c>
      <c r="D1517">
        <v>0.97154700000000005</v>
      </c>
      <c r="E1517">
        <f>LN(D1517/参数实验室!$E$53)/参数实验室!$E$55</f>
        <v>-0.72702261755216913</v>
      </c>
      <c r="F1517">
        <f t="shared" si="178"/>
        <v>0.82062814563763109</v>
      </c>
      <c r="G1517">
        <f>LN(F1517/参数实验室!$E$58)/参数实验室!$E$59</f>
        <v>-0.29428590150377504</v>
      </c>
      <c r="H1517" s="856">
        <f>INDEX(神经网络!$G$10:$BO$70,MATCH(ROUND(G1517*2,1)/2,神经网络!$E$10:$E$70,0),MATCH(ROUND(E1517*2,1)/2,神经网络!$G$8:$BO$8,0))</f>
        <v>-0.77441485430199053</v>
      </c>
      <c r="I1517">
        <f t="shared" si="180"/>
        <v>877.13831803280198</v>
      </c>
      <c r="J1517">
        <f t="shared" si="181"/>
        <v>130.45010175172564</v>
      </c>
      <c r="K1517">
        <f t="shared" si="182"/>
        <v>6.7239374002343304</v>
      </c>
      <c r="L1517" s="4">
        <f>MIN(MAX(L1516*(1+MAX(MIN(((B1517-B1516)/B1516)/($K$7*卓尔金历!$N$40),0),-卓尔金历!$M$43))+MIN(MAX(((B1517-B1516)/B1516)/($K$7*卓尔金历!$N$40),0),卓尔金历!$M$43),0),1)</f>
        <v>0.26246291814760581</v>
      </c>
      <c r="M1517" s="4">
        <f>MIN(MAX(M1516*(1+MAX(MIN(((B1517-B1516)/B1516)/($K$7*30),0),-卓尔金历!$M$43))+MIN(MAX(((B1517-B1516)/B1516)/($K$7*7),0),卓尔金历!$M$43),0),1)</f>
        <v>0.6577572785282626</v>
      </c>
      <c r="N1517">
        <f t="shared" si="183"/>
        <v>758.68219229441797</v>
      </c>
      <c r="O1517">
        <f t="shared" si="184"/>
        <v>1869.4865940528678</v>
      </c>
      <c r="P1517">
        <f t="shared" si="185"/>
        <v>1.7177971375233404E-2</v>
      </c>
      <c r="Q1517">
        <f t="shared" si="186"/>
        <v>3.5498037617440852E-2</v>
      </c>
      <c r="R1517">
        <f t="shared" si="187"/>
        <v>0.78598800404701696</v>
      </c>
      <c r="S1517">
        <f t="shared" si="179"/>
        <v>15.684450566640335</v>
      </c>
      <c r="T1517" s="564">
        <f>IF((I1517-MAX(I$470:I1517))/MAX(I$470:I1517)&gt;T1516,T1516,(I1517-MAX(I$470:I1517))/MAX(I$470:I1517))</f>
        <v>-0.91338805338419748</v>
      </c>
      <c r="U1517" s="564">
        <f>IF((J1517-MAX(J$470:J1517))/MAX(J$470:J1517)&gt;U1516,U1516,(J1517-MAX(J$470:J1517))/MAX(J$470:J1517))</f>
        <v>-0.72031258158274925</v>
      </c>
      <c r="V1517" s="564">
        <f>IF((K1517-MAX(K$470:K1517))/MAX(K$470:K1517)&gt;V1516,V1516,(K1517-MAX(K$470:K1517))/MAX(K$470:K1517))</f>
        <v>-0.84885940676762139</v>
      </c>
      <c r="W1517" s="564">
        <f>IF((N1517-MAX(N$470:N1517))/MAX(N$470:N1517)&gt;W1516,W1516,(N1517-MAX(N$470:N1517))/MAX(N$470:N1517))</f>
        <v>-0.62788758315546067</v>
      </c>
      <c r="X1517" s="564">
        <f>IF((O1517-MAX(O$470:O1517))/MAX(O$470:O1517)&gt;X1516,X1516,(O1517-MAX(O$470:O1517))/MAX(O$470:O1517))</f>
        <v>-0.62788758315546067</v>
      </c>
    </row>
    <row r="1518" spans="1:24">
      <c r="A1518" s="799">
        <v>41920</v>
      </c>
      <c r="B1518">
        <v>333.21300000000002</v>
      </c>
      <c r="C1518">
        <v>268.51510000000002</v>
      </c>
      <c r="D1518">
        <v>1.0319499999999999</v>
      </c>
      <c r="E1518">
        <f>LN(D1518/参数实验室!$E$53)/参数实验室!$E$55</f>
        <v>-0.65586479925276764</v>
      </c>
      <c r="F1518">
        <f t="shared" si="178"/>
        <v>0.80583620687068036</v>
      </c>
      <c r="G1518">
        <f>LN(F1518/参数实验室!$E$58)/参数实验室!$E$59</f>
        <v>-0.30383277280127929</v>
      </c>
      <c r="H1518" s="856">
        <f>INDEX(神经网络!$G$10:$BO$70,MATCH(ROUND(G1518*2,1)/2,神经网络!$E$10:$E$70,0),MATCH(ROUND(E1518*2,1)/2,神经网络!$G$8:$BO$8,0))</f>
        <v>-0.73722998208688451</v>
      </c>
      <c r="I1518">
        <f t="shared" si="180"/>
        <v>864.06494499203995</v>
      </c>
      <c r="J1518">
        <f t="shared" si="181"/>
        <v>132.96077570727411</v>
      </c>
      <c r="K1518">
        <f t="shared" si="182"/>
        <v>6.4986454869544517</v>
      </c>
      <c r="L1518" s="4">
        <f>MIN(MAX(L1517*(1+MAX(MIN(((B1518-B1517)/B1517)/($K$7*卓尔金历!$N$40),0),-卓尔金历!$M$43))+MIN(MAX(((B1518-B1517)/B1517)/($K$7*卓尔金历!$N$40),0),卓尔金历!$M$43),0),1)</f>
        <v>0.55652699484897739</v>
      </c>
      <c r="M1518" s="4">
        <f>MIN(MAX(M1517*(1+MAX(MIN(((B1518-B1517)/B1517)/($K$7*30),0),-卓尔金历!$M$43))+MIN(MAX(((B1518-B1517)/B1517)/($K$7*7),0),卓尔金历!$M$43),0),1)</f>
        <v>1</v>
      </c>
      <c r="N1518">
        <f t="shared" si="183"/>
        <v>755.71430493831849</v>
      </c>
      <c r="O1518">
        <f t="shared" si="184"/>
        <v>1851.1589100756307</v>
      </c>
      <c r="P1518">
        <f t="shared" si="185"/>
        <v>1.9246239917288979E-2</v>
      </c>
      <c r="Q1518">
        <f t="shared" si="186"/>
        <v>3.6337034667957617E-2</v>
      </c>
      <c r="R1518">
        <f t="shared" si="187"/>
        <v>0.69357955979430208</v>
      </c>
      <c r="S1518">
        <f t="shared" si="179"/>
        <v>15.500710107393136</v>
      </c>
      <c r="T1518" s="564">
        <f>IF((I1518-MAX(I$470:I1518))/MAX(I$470:I1518)&gt;T1517,T1517,(I1518-MAX(I$470:I1518))/MAX(I$470:I1518))</f>
        <v>-0.91338805338419748</v>
      </c>
      <c r="U1518" s="564">
        <f>IF((J1518-MAX(J$470:J1518))/MAX(J$470:J1518)&gt;U1517,U1517,(J1518-MAX(J$470:J1518))/MAX(J$470:J1518))</f>
        <v>-0.72031258158274925</v>
      </c>
      <c r="V1518" s="564">
        <f>IF((K1518-MAX(K$470:K1518))/MAX(K$470:K1518)&gt;V1517,V1517,(K1518-MAX(K$470:K1518))/MAX(K$470:K1518))</f>
        <v>-0.84885940676762139</v>
      </c>
      <c r="W1518" s="564">
        <f>IF((N1518-MAX(N$470:N1518))/MAX(N$470:N1518)&gt;W1517,W1517,(N1518-MAX(N$470:N1518))/MAX(N$470:N1518))</f>
        <v>-0.62788758315546067</v>
      </c>
      <c r="X1518" s="564">
        <f>IF((O1518-MAX(O$470:O1518))/MAX(O$470:O1518)&gt;X1517,X1517,(O1518-MAX(O$470:O1518))/MAX(O$470:O1518))</f>
        <v>-0.62788758315546067</v>
      </c>
    </row>
    <row r="1519" spans="1:24">
      <c r="A1519" s="799">
        <v>41921</v>
      </c>
      <c r="B1519">
        <v>357.08100000000002</v>
      </c>
      <c r="C1519">
        <v>268.41391800000002</v>
      </c>
      <c r="D1519">
        <v>1.0546279999999999</v>
      </c>
      <c r="E1519">
        <f>LN(D1519/参数实验室!$E$53)/参数实验室!$E$55</f>
        <v>-0.63021946263568074</v>
      </c>
      <c r="F1519">
        <f t="shared" si="178"/>
        <v>0.75168916296302524</v>
      </c>
      <c r="G1519">
        <f>LN(F1519/参数实验室!$E$58)/参数实验室!$E$59</f>
        <v>-0.34034036731558281</v>
      </c>
      <c r="H1519" s="856">
        <f>INDEX(神经网络!$G$10:$BO$70,MATCH(ROUND(G1519*2,1)/2,神经网络!$E$10:$E$70,0),MATCH(ROUND(E1519*2,1)/2,神经网络!$G$8:$BO$8,0))</f>
        <v>-0.79787265451637845</v>
      </c>
      <c r="I1519">
        <f t="shared" si="180"/>
        <v>818.43568056068818</v>
      </c>
      <c r="J1519">
        <f t="shared" si="181"/>
        <v>142.48473724113148</v>
      </c>
      <c r="K1519">
        <f t="shared" si="182"/>
        <v>5.74402351022077</v>
      </c>
      <c r="L1519" s="4">
        <f>MIN(MAX(L1518*(1+MAX(MIN(((B1519-B1518)/B1518)/($K$7*卓尔金历!$N$40),0),-卓尔金历!$M$43))+MIN(MAX(((B1519-B1518)/B1518)/($K$7*卓尔金历!$N$40),0),卓尔金历!$M$43),0),1)</f>
        <v>1</v>
      </c>
      <c r="M1519" s="4">
        <f>MIN(MAX(M1518*(1+MAX(MIN(((B1519-B1518)/B1518)/($K$7*30),0),-卓尔金历!$M$43))+MIN(MAX(((B1519-B1518)/B1518)/($K$7*7),0),卓尔金历!$M$43),0),1)</f>
        <v>1</v>
      </c>
      <c r="N1519">
        <f t="shared" si="183"/>
        <v>733.50469354596567</v>
      </c>
      <c r="O1519">
        <f t="shared" si="184"/>
        <v>1753.4035041864679</v>
      </c>
      <c r="P1519">
        <f t="shared" si="185"/>
        <v>7.1629858378874756E-2</v>
      </c>
      <c r="Q1519">
        <f t="shared" si="186"/>
        <v>4.0509321032937175E-2</v>
      </c>
      <c r="R1519">
        <f t="shared" si="187"/>
        <v>1.5625655030513878E-2</v>
      </c>
      <c r="S1519">
        <f t="shared" si="179"/>
        <v>14.932976031818951</v>
      </c>
      <c r="T1519" s="564">
        <f>IF((I1519-MAX(I$470:I1519))/MAX(I$470:I1519)&gt;T1518,T1518,(I1519-MAX(I$470:I1519))/MAX(I$470:I1519))</f>
        <v>-0.91338805338419748</v>
      </c>
      <c r="U1519" s="564">
        <f>IF((J1519-MAX(J$470:J1519))/MAX(J$470:J1519)&gt;U1518,U1518,(J1519-MAX(J$470:J1519))/MAX(J$470:J1519))</f>
        <v>-0.72031258158274925</v>
      </c>
      <c r="V1519" s="564">
        <f>IF((K1519-MAX(K$470:K1519))/MAX(K$470:K1519)&gt;V1518,V1518,(K1519-MAX(K$470:K1519))/MAX(K$470:K1519))</f>
        <v>-0.84885940676762139</v>
      </c>
      <c r="W1519" s="564">
        <f>IF((N1519-MAX(N$470:N1519))/MAX(N$470:N1519)&gt;W1518,W1518,(N1519-MAX(N$470:N1519))/MAX(N$470:N1519))</f>
        <v>-0.62788758315546067</v>
      </c>
      <c r="X1519" s="564">
        <f>IF((O1519-MAX(O$470:O1519))/MAX(O$470:O1519)&gt;X1518,X1518,(O1519-MAX(O$470:O1519))/MAX(O$470:O1519))</f>
        <v>-0.62788758315546067</v>
      </c>
    </row>
    <row r="1520" spans="1:24">
      <c r="A1520" s="799">
        <v>41922</v>
      </c>
      <c r="B1520">
        <v>371.21100000000001</v>
      </c>
      <c r="C1520">
        <v>269.009027</v>
      </c>
      <c r="D1520">
        <v>1.047437</v>
      </c>
      <c r="E1520">
        <f>LN(D1520/参数实验室!$E$53)/参数实验室!$E$55</f>
        <v>-0.6382911813231148</v>
      </c>
      <c r="F1520">
        <f t="shared" si="178"/>
        <v>0.72467956768522479</v>
      </c>
      <c r="G1520">
        <f>LN(F1520/参数实验室!$E$58)/参数实验室!$E$59</f>
        <v>-0.35954651392783876</v>
      </c>
      <c r="H1520" s="856">
        <f>INDEX(神经网络!$G$10:$BO$70,MATCH(ROUND(G1520*2,1)/2,神经网络!$E$10:$E$70,0),MATCH(ROUND(E1520*2,1)/2,神经网络!$G$8:$BO$8,0))</f>
        <v>-0.79787265451637845</v>
      </c>
      <c r="I1520">
        <f t="shared" si="180"/>
        <v>792.59561834968224</v>
      </c>
      <c r="J1520">
        <f t="shared" si="181"/>
        <v>148.12297992897314</v>
      </c>
      <c r="K1520">
        <f t="shared" si="182"/>
        <v>5.3509294690786131</v>
      </c>
      <c r="L1520" s="4">
        <f>MIN(MAX(L1519*(1+MAX(MIN(((B1520-B1519)/B1519)/($K$7*卓尔金历!$N$40),0),-卓尔金历!$M$43))+MIN(MAX(((B1520-B1519)/B1519)/($K$7*卓尔金历!$N$40),0),卓尔金历!$M$43),0),1)</f>
        <v>1</v>
      </c>
      <c r="M1520" s="4">
        <f>MIN(MAX(M1519*(1+MAX(MIN(((B1520-B1519)/B1519)/($K$7*30),0),-卓尔金历!$M$43))+MIN(MAX(((B1520-B1519)/B1519)/($K$7*7),0),卓尔金历!$M$43),0),1)</f>
        <v>1</v>
      </c>
      <c r="N1520">
        <f t="shared" si="183"/>
        <v>710.34611509749448</v>
      </c>
      <c r="O1520">
        <f t="shared" si="184"/>
        <v>1698.0441684374023</v>
      </c>
      <c r="P1520">
        <f t="shared" si="185"/>
        <v>3.9570853671855949E-2</v>
      </c>
      <c r="Q1520">
        <f t="shared" si="186"/>
        <v>4.006527873300042E-2</v>
      </c>
      <c r="R1520">
        <f t="shared" si="187"/>
        <v>5.3429599287462298E-2</v>
      </c>
      <c r="S1520">
        <f t="shared" si="179"/>
        <v>14.925608982107409</v>
      </c>
      <c r="T1520" s="564">
        <f>IF((I1520-MAX(I$470:I1520))/MAX(I$470:I1520)&gt;T1519,T1519,(I1520-MAX(I$470:I1520))/MAX(I$470:I1520))</f>
        <v>-0.91338805338419748</v>
      </c>
      <c r="U1520" s="564">
        <f>IF((J1520-MAX(J$470:J1520))/MAX(J$470:J1520)&gt;U1519,U1519,(J1520-MAX(J$470:J1520))/MAX(J$470:J1520))</f>
        <v>-0.72031258158274925</v>
      </c>
      <c r="V1520" s="564">
        <f>IF((K1520-MAX(K$470:K1520))/MAX(K$470:K1520)&gt;V1519,V1519,(K1520-MAX(K$470:K1520))/MAX(K$470:K1520))</f>
        <v>-0.84885940676762139</v>
      </c>
      <c r="W1520" s="564">
        <f>IF((N1520-MAX(N$470:N1520))/MAX(N$470:N1520)&gt;W1519,W1519,(N1520-MAX(N$470:N1520))/MAX(N$470:N1520))</f>
        <v>-0.62788758315546067</v>
      </c>
      <c r="X1520" s="564">
        <f>IF((O1520-MAX(O$470:O1520))/MAX(O$470:O1520)&gt;X1519,X1519,(O1520-MAX(O$470:O1520))/MAX(O$470:O1520))</f>
        <v>-0.62788758315546067</v>
      </c>
    </row>
    <row r="1521" spans="1:24">
      <c r="A1521" s="799">
        <v>41923</v>
      </c>
      <c r="B1521">
        <v>362.101</v>
      </c>
      <c r="C1521">
        <v>273.75635199999999</v>
      </c>
      <c r="D1521">
        <v>1.056945</v>
      </c>
      <c r="E1521">
        <f>LN(D1521/参数实验室!$E$53)/参数实验室!$E$55</f>
        <v>-0.62763040759154232</v>
      </c>
      <c r="F1521">
        <f t="shared" si="178"/>
        <v>0.75602208223672396</v>
      </c>
      <c r="G1521">
        <f>LN(F1521/参数实验室!$E$58)/参数实验室!$E$59</f>
        <v>-0.33732366704606348</v>
      </c>
      <c r="H1521" s="856">
        <f>INDEX(神经网络!$G$10:$BO$70,MATCH(ROUND(G1521*2,1)/2,神经网络!$E$10:$E$70,0),MATCH(ROUND(E1521*2,1)/2,神经网络!$G$8:$BO$8,0))</f>
        <v>-0.79787265451637845</v>
      </c>
      <c r="I1521">
        <f t="shared" si="180"/>
        <v>808.1152992600895</v>
      </c>
      <c r="J1521">
        <f t="shared" si="181"/>
        <v>144.48784964686149</v>
      </c>
      <c r="K1521">
        <f t="shared" si="182"/>
        <v>5.5929637075725074</v>
      </c>
      <c r="L1521" s="4">
        <f>MIN(MAX(L1520*(1+MAX(MIN(((B1521-B1520)/B1520)/($K$7*卓尔金历!$N$40),0),-卓尔金历!$M$43))+MIN(MAX(((B1521-B1520)/B1520)/($K$7*卓尔金历!$N$40),0),卓尔金历!$M$43),0),1)</f>
        <v>0.62503250769242624</v>
      </c>
      <c r="M1521" s="4">
        <f>MIN(MAX(M1520*(1+MAX(MIN(((B1521-B1520)/B1520)/($K$7*30),0),-卓尔金历!$M$43))+MIN(MAX(((B1521-B1520)/B1520)/($K$7*7),0),卓尔金历!$M$43),0),1)</f>
        <v>0.81251625384621318</v>
      </c>
      <c r="N1521">
        <f t="shared" si="183"/>
        <v>724.2552823790586</v>
      </c>
      <c r="O1521">
        <f t="shared" si="184"/>
        <v>1731.2932844504303</v>
      </c>
      <c r="P1521">
        <f t="shared" si="185"/>
        <v>-2.4541298614534628E-2</v>
      </c>
      <c r="Q1521">
        <f t="shared" si="186"/>
        <v>3.8327153084872577E-2</v>
      </c>
      <c r="R1521">
        <f t="shared" si="187"/>
        <v>0.50372767660405848</v>
      </c>
      <c r="S1521">
        <f t="shared" si="179"/>
        <v>14.941224093892663</v>
      </c>
      <c r="T1521" s="564">
        <f>IF((I1521-MAX(I$470:I1521))/MAX(I$470:I1521)&gt;T1520,T1520,(I1521-MAX(I$470:I1521))/MAX(I$470:I1521))</f>
        <v>-0.91338805338419748</v>
      </c>
      <c r="U1521" s="564">
        <f>IF((J1521-MAX(J$470:J1521))/MAX(J$470:J1521)&gt;U1520,U1520,(J1521-MAX(J$470:J1521))/MAX(J$470:J1521))</f>
        <v>-0.72031258158274925</v>
      </c>
      <c r="V1521" s="564">
        <f>IF((K1521-MAX(K$470:K1521))/MAX(K$470:K1521)&gt;V1520,V1520,(K1521-MAX(K$470:K1521))/MAX(K$470:K1521))</f>
        <v>-0.84885940676762139</v>
      </c>
      <c r="W1521" s="564">
        <f>IF((N1521-MAX(N$470:N1521))/MAX(N$470:N1521)&gt;W1520,W1520,(N1521-MAX(N$470:N1521))/MAX(N$470:N1521))</f>
        <v>-0.62788758315546067</v>
      </c>
      <c r="X1521" s="564">
        <f>IF((O1521-MAX(O$470:O1521))/MAX(O$470:O1521)&gt;X1520,X1520,(O1521-MAX(O$470:O1521))/MAX(O$470:O1521))</f>
        <v>-0.62788758315546067</v>
      </c>
    </row>
    <row r="1522" spans="1:24">
      <c r="A1522" s="799">
        <v>41924</v>
      </c>
      <c r="B1522">
        <v>361.012</v>
      </c>
      <c r="C1522">
        <v>275.058582</v>
      </c>
      <c r="D1522">
        <v>1.1039350000000001</v>
      </c>
      <c r="E1522">
        <f>LN(D1522/参数实验室!$E$53)/参数实验室!$E$55</f>
        <v>-0.57631303163884218</v>
      </c>
      <c r="F1522">
        <f t="shared" si="178"/>
        <v>0.76190980355223648</v>
      </c>
      <c r="G1522">
        <f>LN(F1522/参数实验室!$E$58)/参数实验室!$E$59</f>
        <v>-0.33325206164229149</v>
      </c>
      <c r="H1522" s="856">
        <f>INDEX(神经网络!$G$10:$BO$70,MATCH(ROUND(G1522*2,1)/2,神经网络!$E$10:$E$70,0),MATCH(ROUND(E1522*2,1)/2,神经网络!$G$8:$BO$8,0))</f>
        <v>-0.77917893997989673</v>
      </c>
      <c r="I1522">
        <f t="shared" si="180"/>
        <v>810.05442095482317</v>
      </c>
      <c r="J1522">
        <f t="shared" si="181"/>
        <v>144.0533099237858</v>
      </c>
      <c r="K1522">
        <f t="shared" si="182"/>
        <v>5.6232961351835522</v>
      </c>
      <c r="L1522" s="4">
        <f>MIN(MAX(L1521*(1+MAX(MIN(((B1522-B1521)/B1521)/($K$7*卓尔金历!$N$40),0),-卓尔金历!$M$43))+MIN(MAX(((B1522-B1521)/B1521)/($K$7*卓尔金历!$N$40),0),卓尔金历!$M$43),0),1)</f>
        <v>0.59631168741168217</v>
      </c>
      <c r="M1522" s="4">
        <f>MIN(MAX(M1521*(1+MAX(MIN(((B1522-B1521)/B1521)/($K$7*30),0),-卓尔金历!$M$43))+MIN(MAX(((B1522-B1521)/B1521)/($K$7*7),0),卓尔金历!$M$43),0),1)</f>
        <v>0.79384831816711077</v>
      </c>
      <c r="N1522">
        <f t="shared" si="183"/>
        <v>725.34152293389729</v>
      </c>
      <c r="O1522">
        <f t="shared" si="184"/>
        <v>1734.6687558943918</v>
      </c>
      <c r="P1522">
        <f t="shared" si="185"/>
        <v>-3.0074481981546548E-3</v>
      </c>
      <c r="Q1522">
        <f t="shared" si="186"/>
        <v>3.7339808080334588E-2</v>
      </c>
      <c r="R1522">
        <f t="shared" si="187"/>
        <v>1</v>
      </c>
      <c r="S1522">
        <f t="shared" si="179"/>
        <v>14.959283926850031</v>
      </c>
      <c r="T1522" s="564">
        <f>IF((I1522-MAX(I$470:I1522))/MAX(I$470:I1522)&gt;T1521,T1521,(I1522-MAX(I$470:I1522))/MAX(I$470:I1522))</f>
        <v>-0.91338805338419748</v>
      </c>
      <c r="U1522" s="564">
        <f>IF((J1522-MAX(J$470:J1522))/MAX(J$470:J1522)&gt;U1521,U1521,(J1522-MAX(J$470:J1522))/MAX(J$470:J1522))</f>
        <v>-0.72031258158274925</v>
      </c>
      <c r="V1522" s="564">
        <f>IF((K1522-MAX(K$470:K1522))/MAX(K$470:K1522)&gt;V1521,V1521,(K1522-MAX(K$470:K1522))/MAX(K$470:K1522))</f>
        <v>-0.84885940676762139</v>
      </c>
      <c r="W1522" s="564">
        <f>IF((N1522-MAX(N$470:N1522))/MAX(N$470:N1522)&gt;W1521,W1521,(N1522-MAX(N$470:N1522))/MAX(N$470:N1522))</f>
        <v>-0.62788758315546067</v>
      </c>
      <c r="X1522" s="564">
        <f>IF((O1522-MAX(O$470:O1522))/MAX(O$470:O1522)&gt;X1521,X1521,(O1522-MAX(O$470:O1522))/MAX(O$470:O1522))</f>
        <v>-0.62788758315546067</v>
      </c>
    </row>
    <row r="1523" spans="1:24">
      <c r="A1523" s="799">
        <v>41925</v>
      </c>
      <c r="B1523">
        <v>372.68299999999999</v>
      </c>
      <c r="C1523">
        <v>279.963121</v>
      </c>
      <c r="D1523">
        <v>1.143356</v>
      </c>
      <c r="E1523">
        <f>LN(D1523/参数实验室!$E$53)/参数实验室!$E$55</f>
        <v>-0.53491935037068128</v>
      </c>
      <c r="F1523">
        <f t="shared" si="178"/>
        <v>0.7512097976027885</v>
      </c>
      <c r="G1523">
        <f>LN(F1523/参数实验室!$E$58)/参数实验室!$E$59</f>
        <v>-0.3406751827124489</v>
      </c>
      <c r="H1523" s="856">
        <f>INDEX(神经网络!$G$10:$BO$70,MATCH(ROUND(G1523*2,1)/2,神经网络!$E$10:$E$70,0),MATCH(ROUND(E1523*2,1)/2,神经网络!$G$8:$BO$8,0))</f>
        <v>-0.75588600533484152</v>
      </c>
      <c r="I1523">
        <f t="shared" si="180"/>
        <v>789.64936296775545</v>
      </c>
      <c r="J1523">
        <f t="shared" si="181"/>
        <v>148.71034675392028</v>
      </c>
      <c r="K1523">
        <f t="shared" si="182"/>
        <v>5.3099826622987738</v>
      </c>
      <c r="L1523" s="4">
        <f>MIN(MAX(L1522*(1+MAX(MIN(((B1523-B1522)/B1522)/($K$7*卓尔金历!$N$40),0),-卓尔金历!$M$43))+MIN(MAX(((B1523-B1522)/B1522)/($K$7*卓尔金历!$N$40),0),卓尔金历!$M$43),0),1)</f>
        <v>1</v>
      </c>
      <c r="M1523" s="4">
        <f>MIN(MAX(M1522*(1+MAX(MIN(((B1523-B1522)/B1522)/($K$7*30),0),-卓尔金历!$M$43))+MIN(MAX(((B1523-B1522)/B1522)/($K$7*7),0),卓尔金历!$M$43),0),1)</f>
        <v>1</v>
      </c>
      <c r="N1523">
        <f t="shared" si="183"/>
        <v>714.44621528325229</v>
      </c>
      <c r="O1523">
        <f t="shared" si="184"/>
        <v>1699.9808787801592</v>
      </c>
      <c r="P1523">
        <f t="shared" si="185"/>
        <v>3.2328565255448548E-2</v>
      </c>
      <c r="Q1523">
        <f t="shared" si="186"/>
        <v>3.7902893348662203E-2</v>
      </c>
      <c r="R1523">
        <f t="shared" si="187"/>
        <v>0.20235592247775774</v>
      </c>
      <c r="S1523">
        <f t="shared" si="179"/>
        <v>14.582463495930602</v>
      </c>
      <c r="T1523" s="564">
        <f>IF((I1523-MAX(I$470:I1523))/MAX(I$470:I1523)&gt;T1522,T1522,(I1523-MAX(I$470:I1523))/MAX(I$470:I1523))</f>
        <v>-0.91338805338419748</v>
      </c>
      <c r="U1523" s="564">
        <f>IF((J1523-MAX(J$470:J1523))/MAX(J$470:J1523)&gt;U1522,U1522,(J1523-MAX(J$470:J1523))/MAX(J$470:J1523))</f>
        <v>-0.72031258158274925</v>
      </c>
      <c r="V1523" s="564">
        <f>IF((K1523-MAX(K$470:K1523))/MAX(K$470:K1523)&gt;V1522,V1522,(K1523-MAX(K$470:K1523))/MAX(K$470:K1523))</f>
        <v>-0.84885940676762139</v>
      </c>
      <c r="W1523" s="564">
        <f>IF((N1523-MAX(N$470:N1523))/MAX(N$470:N1523)&gt;W1522,W1522,(N1523-MAX(N$470:N1523))/MAX(N$470:N1523))</f>
        <v>-0.62788758315546067</v>
      </c>
      <c r="X1523" s="564">
        <f>IF((O1523-MAX(O$470:O1523))/MAX(O$470:O1523)&gt;X1522,X1522,(O1523-MAX(O$470:O1523))/MAX(O$470:O1523))</f>
        <v>-0.62788758315546067</v>
      </c>
    </row>
    <row r="1524" spans="1:24">
      <c r="A1524" s="799">
        <v>41926</v>
      </c>
      <c r="B1524">
        <v>404.96300000000002</v>
      </c>
      <c r="C1524">
        <v>284.94208500000002</v>
      </c>
      <c r="D1524">
        <v>1.1688449999999999</v>
      </c>
      <c r="E1524">
        <f>LN(D1524/参数实验室!$E$53)/参数实验室!$E$55</f>
        <v>-0.5089078153802753</v>
      </c>
      <c r="F1524">
        <f t="shared" si="178"/>
        <v>0.70362498549250174</v>
      </c>
      <c r="G1524">
        <f>LN(F1524/参数实验室!$E$58)/参数实验室!$E$59</f>
        <v>-0.37502134117614633</v>
      </c>
      <c r="H1524" s="856">
        <f>INDEX(神经网络!$G$10:$BO$70,MATCH(ROUND(G1524*2,1)/2,神经网络!$E$10:$E$70,0),MATCH(ROUND(E1524*2,1)/2,神经网络!$G$8:$BO$8,0))</f>
        <v>-0.79118678824115807</v>
      </c>
      <c r="I1524">
        <f t="shared" si="180"/>
        <v>737.95007790358648</v>
      </c>
      <c r="J1524">
        <f t="shared" si="181"/>
        <v>161.5909181596902</v>
      </c>
      <c r="K1524">
        <f t="shared" si="182"/>
        <v>4.5667794100551893</v>
      </c>
      <c r="L1524" s="4">
        <f>MIN(MAX(L1523*(1+MAX(MIN(((B1524-B1523)/B1523)/($K$7*卓尔金历!$N$40),0),-卓尔金历!$M$43))+MIN(MAX(((B1524-B1523)/B1523)/($K$7*卓尔金历!$N$40),0),卓尔金历!$M$43),0),1)</f>
        <v>1</v>
      </c>
      <c r="M1524" s="4">
        <f>MIN(MAX(M1523*(1+MAX(MIN(((B1524-B1523)/B1523)/($K$7*30),0),-卓尔金历!$M$43))+MIN(MAX(((B1524-B1523)/B1523)/($K$7*7),0),卓尔金历!$M$43),0),1)</f>
        <v>1</v>
      </c>
      <c r="N1524">
        <f t="shared" si="183"/>
        <v>667.67056994096163</v>
      </c>
      <c r="O1524">
        <f t="shared" si="184"/>
        <v>1588.6811042506372</v>
      </c>
      <c r="P1524">
        <f t="shared" si="185"/>
        <v>8.6615166240477909E-2</v>
      </c>
      <c r="Q1524">
        <f t="shared" si="186"/>
        <v>4.2437138558007959E-2</v>
      </c>
      <c r="R1524">
        <f t="shared" si="187"/>
        <v>1.0861034602109111E-2</v>
      </c>
      <c r="S1524">
        <f t="shared" si="179"/>
        <v>14.389267969570314</v>
      </c>
      <c r="T1524" s="564">
        <f>IF((I1524-MAX(I$470:I1524))/MAX(I$470:I1524)&gt;T1523,T1523,(I1524-MAX(I$470:I1524))/MAX(I$470:I1524))</f>
        <v>-0.91338805338419748</v>
      </c>
      <c r="U1524" s="564">
        <f>IF((J1524-MAX(J$470:J1524))/MAX(J$470:J1524)&gt;U1523,U1523,(J1524-MAX(J$470:J1524))/MAX(J$470:J1524))</f>
        <v>-0.72031258158274925</v>
      </c>
      <c r="V1524" s="564">
        <f>IF((K1524-MAX(K$470:K1524))/MAX(K$470:K1524)&gt;V1523,V1523,(K1524-MAX(K$470:K1524))/MAX(K$470:K1524))</f>
        <v>-0.84885940676762139</v>
      </c>
      <c r="W1524" s="564">
        <f>IF((N1524-MAX(N$470:N1524))/MAX(N$470:N1524)&gt;W1523,W1523,(N1524-MAX(N$470:N1524))/MAX(N$470:N1524))</f>
        <v>-0.62788758315546067</v>
      </c>
      <c r="X1524" s="564">
        <f>IF((O1524-MAX(O$470:O1524))/MAX(O$470:O1524)&gt;X1523,X1523,(O1524-MAX(O$470:O1524))/MAX(O$470:O1524))</f>
        <v>-0.62788758315546067</v>
      </c>
    </row>
    <row r="1525" spans="1:24">
      <c r="A1525" s="799">
        <v>41927</v>
      </c>
      <c r="B1525">
        <v>398.12</v>
      </c>
      <c r="C1525">
        <v>286.50249700000001</v>
      </c>
      <c r="D1525">
        <v>1.1530879999999999</v>
      </c>
      <c r="E1525">
        <f>LN(D1525/参数实验室!$E$53)/参数实验室!$E$55</f>
        <v>-0.52492004073896148</v>
      </c>
      <c r="F1525">
        <f t="shared" si="178"/>
        <v>0.71963854365517932</v>
      </c>
      <c r="G1525">
        <f>LN(F1525/参数实验室!$E$58)/参数实验室!$E$59</f>
        <v>-0.36321026717762078</v>
      </c>
      <c r="H1525" s="856">
        <f>INDEX(神经网络!$G$10:$BO$70,MATCH(ROUND(G1525*2,1)/2,神经网络!$E$10:$E$70,0),MATCH(ROUND(E1525*2,1)/2,神经网络!$G$8:$BO$8,0))</f>
        <v>-0.73401713105440403</v>
      </c>
      <c r="I1525">
        <f t="shared" si="180"/>
        <v>747.81598915193513</v>
      </c>
      <c r="J1525">
        <f t="shared" si="181"/>
        <v>158.8603806711622</v>
      </c>
      <c r="K1525">
        <f t="shared" si="182"/>
        <v>4.7073788064243605</v>
      </c>
      <c r="L1525" s="4">
        <f>MIN(MAX(L1524*(1+MAX(MIN(((B1525-B1524)/B1524)/($K$7*卓尔金历!$N$40),0),-卓尔金历!$M$43))+MIN(MAX(((B1525-B1524)/B1524)/($K$7*卓尔金历!$N$40),0),卓尔金历!$M$43),0),1)</f>
        <v>0.74181721968638126</v>
      </c>
      <c r="M1525" s="4">
        <f>MIN(MAX(M1524*(1+MAX(MIN(((B1525-B1524)/B1524)/($K$7*30),0),-卓尔金历!$M$43))+MIN(MAX(((B1525-B1524)/B1524)/($K$7*7),0),卓尔金历!$M$43),0),1)</f>
        <v>0.87090860984319063</v>
      </c>
      <c r="N1525">
        <f t="shared" si="183"/>
        <v>676.59689000435276</v>
      </c>
      <c r="O1525">
        <f t="shared" si="184"/>
        <v>1609.9207344719555</v>
      </c>
      <c r="P1525">
        <f t="shared" si="185"/>
        <v>-1.689784004958482E-2</v>
      </c>
      <c r="Q1525">
        <f t="shared" si="186"/>
        <v>3.8583476835108821E-2</v>
      </c>
      <c r="R1525">
        <f t="shared" si="187"/>
        <v>0.90311318375296967</v>
      </c>
      <c r="S1525">
        <f t="shared" si="179"/>
        <v>14.391357362492434</v>
      </c>
      <c r="T1525" s="564">
        <f>IF((I1525-MAX(I$470:I1525))/MAX(I$470:I1525)&gt;T1524,T1524,(I1525-MAX(I$470:I1525))/MAX(I$470:I1525))</f>
        <v>-0.91338805338419748</v>
      </c>
      <c r="U1525" s="564">
        <f>IF((J1525-MAX(J$470:J1525))/MAX(J$470:J1525)&gt;U1524,U1524,(J1525-MAX(J$470:J1525))/MAX(J$470:J1525))</f>
        <v>-0.72031258158274925</v>
      </c>
      <c r="V1525" s="564">
        <f>IF((K1525-MAX(K$470:K1525))/MAX(K$470:K1525)&gt;V1524,V1524,(K1525-MAX(K$470:K1525))/MAX(K$470:K1525))</f>
        <v>-0.84885940676762139</v>
      </c>
      <c r="W1525" s="564">
        <f>IF((N1525-MAX(N$470:N1525))/MAX(N$470:N1525)&gt;W1524,W1524,(N1525-MAX(N$470:N1525))/MAX(N$470:N1525))</f>
        <v>-0.62788758315546067</v>
      </c>
      <c r="X1525" s="564">
        <f>IF((O1525-MAX(O$470:O1525))/MAX(O$470:O1525)&gt;X1524,X1524,(O1525-MAX(O$470:O1525))/MAX(O$470:O1525))</f>
        <v>-0.62788758315546067</v>
      </c>
    </row>
    <row r="1526" spans="1:24">
      <c r="A1526" s="799">
        <v>41928</v>
      </c>
      <c r="B1526">
        <v>393.28800000000001</v>
      </c>
      <c r="C1526">
        <v>291.08980000000003</v>
      </c>
      <c r="D1526">
        <v>1.117292</v>
      </c>
      <c r="E1526">
        <f>LN(D1526/参数实验室!$E$53)/参数实验室!$E$55</f>
        <v>-0.56212433861341005</v>
      </c>
      <c r="F1526">
        <f t="shared" si="178"/>
        <v>0.74014411830516069</v>
      </c>
      <c r="G1526">
        <f>LN(F1526/参数实验室!$E$58)/参数实验室!$E$59</f>
        <v>-0.34846404227676986</v>
      </c>
      <c r="H1526" s="856">
        <f>INDEX(神经网络!$G$10:$BO$70,MATCH(ROUND(G1526*2,1)/2,神经网络!$E$10:$E$70,0),MATCH(ROUND(E1526*2,1)/2,神经网络!$G$8:$BO$8,0))</f>
        <v>-0.75588600533484152</v>
      </c>
      <c r="I1526">
        <f t="shared" si="180"/>
        <v>754.47813096115863</v>
      </c>
      <c r="J1526">
        <f t="shared" si="181"/>
        <v>156.93228522405315</v>
      </c>
      <c r="K1526">
        <f t="shared" si="182"/>
        <v>4.8076667582071195</v>
      </c>
      <c r="L1526" s="4">
        <f>MIN(MAX(L1525*(1+MAX(MIN(((B1526-B1525)/B1525)/($K$7*卓尔金历!$N$40),0),-卓尔金历!$M$43))+MIN(MAX(((B1526-B1525)/B1525)/($K$7*卓尔金历!$N$40),0),卓尔金历!$M$43),0),1)</f>
        <v>0.60425286381704268</v>
      </c>
      <c r="M1526" s="4">
        <f>MIN(MAX(M1525*(1+MAX(MIN(((B1526-B1525)/B1525)/($K$7*30),0),-卓尔金历!$M$43))+MIN(MAX(((B1526-B1525)/B1525)/($K$7*7),0),卓尔金历!$M$43),0),1)</f>
        <v>0.79015692414843808</v>
      </c>
      <c r="N1526">
        <f t="shared" si="183"/>
        <v>681.06831585917007</v>
      </c>
      <c r="O1526">
        <f t="shared" si="184"/>
        <v>1622.4117055837219</v>
      </c>
      <c r="P1526">
        <f t="shared" si="185"/>
        <v>-1.2137044107304314E-2</v>
      </c>
      <c r="Q1526">
        <f t="shared" si="186"/>
        <v>3.8563508008986086E-2</v>
      </c>
      <c r="R1526">
        <f t="shared" si="187"/>
        <v>1</v>
      </c>
      <c r="S1526">
        <f t="shared" si="179"/>
        <v>14.507145232789194</v>
      </c>
      <c r="T1526" s="564">
        <f>IF((I1526-MAX(I$470:I1526))/MAX(I$470:I1526)&gt;T1525,T1525,(I1526-MAX(I$470:I1526))/MAX(I$470:I1526))</f>
        <v>-0.91338805338419748</v>
      </c>
      <c r="U1526" s="564">
        <f>IF((J1526-MAX(J$470:J1526))/MAX(J$470:J1526)&gt;U1525,U1525,(J1526-MAX(J$470:J1526))/MAX(J$470:J1526))</f>
        <v>-0.72031258158274925</v>
      </c>
      <c r="V1526" s="564">
        <f>IF((K1526-MAX(K$470:K1526))/MAX(K$470:K1526)&gt;V1525,V1525,(K1526-MAX(K$470:K1526))/MAX(K$470:K1526))</f>
        <v>-0.84885940676762139</v>
      </c>
      <c r="W1526" s="564">
        <f>IF((N1526-MAX(N$470:N1526))/MAX(N$470:N1526)&gt;W1525,W1525,(N1526-MAX(N$470:N1526))/MAX(N$470:N1526))</f>
        <v>-0.62788758315546067</v>
      </c>
      <c r="X1526" s="564">
        <f>IF((O1526-MAX(O$470:O1526))/MAX(O$470:O1526)&gt;X1525,X1525,(O1526-MAX(O$470:O1526))/MAX(O$470:O1526))</f>
        <v>-0.62788758315546067</v>
      </c>
    </row>
    <row r="1527" spans="1:24">
      <c r="A1527" s="799">
        <v>41929</v>
      </c>
      <c r="B1527">
        <v>383.64499999999998</v>
      </c>
      <c r="C1527">
        <v>299.87790899999999</v>
      </c>
      <c r="D1527">
        <v>1.1181350000000001</v>
      </c>
      <c r="E1527">
        <f>LN(D1527/参数实验室!$E$53)/参数实验室!$E$55</f>
        <v>-0.56123454705965925</v>
      </c>
      <c r="F1527">
        <f t="shared" si="178"/>
        <v>0.78165467815297995</v>
      </c>
      <c r="G1527">
        <f>LN(F1527/参数实验室!$E$58)/参数实验室!$E$59</f>
        <v>-0.31982373690424676</v>
      </c>
      <c r="H1527" s="856">
        <f>INDEX(神经网络!$G$10:$BO$70,MATCH(ROUND(G1527*2,1)/2,神经网络!$E$10:$E$70,0),MATCH(ROUND(E1527*2,1)/2,神经网络!$G$8:$BO$8,0))</f>
        <v>-0.69734249383370006</v>
      </c>
      <c r="I1527">
        <f t="shared" si="180"/>
        <v>768.46126214705794</v>
      </c>
      <c r="J1527">
        <f t="shared" si="181"/>
        <v>153.08447388372355</v>
      </c>
      <c r="K1527">
        <f t="shared" si="182"/>
        <v>5.0198510838581081</v>
      </c>
      <c r="L1527" s="4">
        <f>MIN(MAX(L1526*(1+MAX(MIN(((B1527-B1526)/B1526)/($K$7*卓尔金历!$N$40),0),-卓尔金历!$M$43))+MIN(MAX(((B1527-B1526)/B1526)/($K$7*卓尔金历!$N$40),0),卓尔金历!$M$43),0),1)</f>
        <v>0.37788422094560337</v>
      </c>
      <c r="M1527" s="4">
        <f>MIN(MAX(M1526*(1+MAX(MIN(((B1527-B1526)/B1526)/($K$7*30),0),-卓尔金历!$M$43))+MIN(MAX(((B1527-B1526)/B1526)/($K$7*7),0),卓尔金历!$M$43),0),1)</f>
        <v>0.64215038476270958</v>
      </c>
      <c r="N1527">
        <f t="shared" si="183"/>
        <v>688.69555161191408</v>
      </c>
      <c r="O1527">
        <f t="shared" si="184"/>
        <v>1646.1709265921534</v>
      </c>
      <c r="P1527">
        <f t="shared" si="185"/>
        <v>-2.4518927605215589E-2</v>
      </c>
      <c r="Q1527">
        <f t="shared" si="186"/>
        <v>3.7872317682749526E-2</v>
      </c>
      <c r="R1527">
        <f t="shared" si="187"/>
        <v>0.49010502623261742</v>
      </c>
      <c r="S1527">
        <f t="shared" si="179"/>
        <v>14.776013615580569</v>
      </c>
      <c r="T1527" s="564">
        <f>IF((I1527-MAX(I$470:I1527))/MAX(I$470:I1527)&gt;T1526,T1526,(I1527-MAX(I$470:I1527))/MAX(I$470:I1527))</f>
        <v>-0.91338805338419748</v>
      </c>
      <c r="U1527" s="564">
        <f>IF((J1527-MAX(J$470:J1527))/MAX(J$470:J1527)&gt;U1526,U1526,(J1527-MAX(J$470:J1527))/MAX(J$470:J1527))</f>
        <v>-0.72031258158274925</v>
      </c>
      <c r="V1527" s="564">
        <f>IF((K1527-MAX(K$470:K1527))/MAX(K$470:K1527)&gt;V1526,V1526,(K1527-MAX(K$470:K1527))/MAX(K$470:K1527))</f>
        <v>-0.84885940676762139</v>
      </c>
      <c r="W1527" s="564">
        <f>IF((N1527-MAX(N$470:N1527))/MAX(N$470:N1527)&gt;W1526,W1526,(N1527-MAX(N$470:N1527))/MAX(N$470:N1527))</f>
        <v>-0.62788758315546067</v>
      </c>
      <c r="X1527" s="564">
        <f>IF((O1527-MAX(O$470:O1527))/MAX(O$470:O1527)&gt;X1526,X1526,(O1527-MAX(O$470:O1527))/MAX(O$470:O1527))</f>
        <v>-0.62788758315546067</v>
      </c>
    </row>
    <row r="1528" spans="1:24">
      <c r="A1528" s="799">
        <v>41930</v>
      </c>
      <c r="B1528">
        <v>381.08499999999998</v>
      </c>
      <c r="C1528">
        <v>303.165369</v>
      </c>
      <c r="D1528">
        <v>1.144496</v>
      </c>
      <c r="E1528">
        <f>LN(D1528/参数实验室!$E$53)/参数实验室!$E$55</f>
        <v>-0.53374364598994606</v>
      </c>
      <c r="F1528">
        <f t="shared" si="178"/>
        <v>0.79553214899563096</v>
      </c>
      <c r="G1528">
        <f>LN(F1528/参数实验室!$E$58)/参数实验室!$E$59</f>
        <v>-0.31058724756763051</v>
      </c>
      <c r="H1528" s="856">
        <f>INDEX(神经网络!$G$10:$BO$70,MATCH(ROUND(G1528*2,1)/2,神经网络!$E$10:$E$70,0),MATCH(ROUND(E1528*2,1)/2,神经网络!$G$8:$BO$8,0))</f>
        <v>-0.69734249383370006</v>
      </c>
      <c r="I1528">
        <f t="shared" si="180"/>
        <v>772.03710589317257</v>
      </c>
      <c r="J1528">
        <f t="shared" si="181"/>
        <v>152.06296636207637</v>
      </c>
      <c r="K1528">
        <f t="shared" si="182"/>
        <v>5.0770882902210319</v>
      </c>
      <c r="L1528" s="4">
        <f>MIN(MAX(L1527*(1+MAX(MIN(((B1528-B1527)/B1527)/($K$7*卓尔金历!$N$40),0),-卓尔金历!$M$43))+MIN(MAX(((B1528-B1527)/B1527)/($K$7*卓尔金历!$N$40),0),卓尔金历!$M$43),0),1)</f>
        <v>0.33935721508006367</v>
      </c>
      <c r="M1528" s="4">
        <f>MIN(MAX(M1527*(1+MAX(MIN(((B1528-B1527)/B1527)/($K$7*30),0),-卓尔金历!$M$43))+MIN(MAX(((B1528-B1527)/B1527)/($K$7*7),0),卓尔金历!$M$43),0),1)</f>
        <v>0.60941531636212554</v>
      </c>
      <c r="N1528">
        <f t="shared" si="183"/>
        <v>689.90654727819049</v>
      </c>
      <c r="O1528">
        <f t="shared" si="184"/>
        <v>1651.089829244582</v>
      </c>
      <c r="P1528">
        <f t="shared" si="185"/>
        <v>-6.6728355641283016E-3</v>
      </c>
      <c r="Q1528">
        <f t="shared" si="186"/>
        <v>3.7792285598635768E-2</v>
      </c>
      <c r="R1528">
        <f t="shared" si="187"/>
        <v>1</v>
      </c>
      <c r="S1528">
        <f t="shared" si="179"/>
        <v>14.809711527626199</v>
      </c>
      <c r="T1528" s="564">
        <f>IF((I1528-MAX(I$470:I1528))/MAX(I$470:I1528)&gt;T1527,T1527,(I1528-MAX(I$470:I1528))/MAX(I$470:I1528))</f>
        <v>-0.91338805338419748</v>
      </c>
      <c r="U1528" s="564">
        <f>IF((J1528-MAX(J$470:J1528))/MAX(J$470:J1528)&gt;U1527,U1527,(J1528-MAX(J$470:J1528))/MAX(J$470:J1528))</f>
        <v>-0.72031258158274925</v>
      </c>
      <c r="V1528" s="564">
        <f>IF((K1528-MAX(K$470:K1528))/MAX(K$470:K1528)&gt;V1527,V1527,(K1528-MAX(K$470:K1528))/MAX(K$470:K1528))</f>
        <v>-0.84885940676762139</v>
      </c>
      <c r="W1528" s="564">
        <f>IF((N1528-MAX(N$470:N1528))/MAX(N$470:N1528)&gt;W1527,W1527,(N1528-MAX(N$470:N1528))/MAX(N$470:N1528))</f>
        <v>-0.62788758315546067</v>
      </c>
      <c r="X1528" s="564">
        <f>IF((O1528-MAX(O$470:O1528))/MAX(O$470:O1528)&gt;X1527,X1527,(O1528-MAX(O$470:O1528))/MAX(O$470:O1528))</f>
        <v>-0.62788758315546067</v>
      </c>
    </row>
    <row r="1529" spans="1:24">
      <c r="A1529" s="799">
        <v>41931</v>
      </c>
      <c r="B1529">
        <v>392.84899999999999</v>
      </c>
      <c r="C1529">
        <v>311.169489</v>
      </c>
      <c r="D1529">
        <v>1.1368879999999999</v>
      </c>
      <c r="E1529">
        <f>LN(D1529/参数实验室!$E$53)/参数实验室!$E$55</f>
        <v>-0.54161219942312788</v>
      </c>
      <c r="F1529">
        <f t="shared" si="178"/>
        <v>0.7920842079272189</v>
      </c>
      <c r="G1529">
        <f>LN(F1529/参数实验室!$E$58)/参数实验室!$E$59</f>
        <v>-0.31286697799158764</v>
      </c>
      <c r="H1529" s="856">
        <f>INDEX(神经网络!$G$10:$BO$70,MATCH(ROUND(G1529*2,1)/2,神经网络!$E$10:$E$70,0),MATCH(ROUND(E1529*2,1)/2,神经网络!$G$8:$BO$8,0))</f>
        <v>-0.69734249383370006</v>
      </c>
      <c r="I1529">
        <f t="shared" si="180"/>
        <v>755.41762457323068</v>
      </c>
      <c r="J1529">
        <f t="shared" si="181"/>
        <v>156.75711264514567</v>
      </c>
      <c r="K1529">
        <f t="shared" si="182"/>
        <v>4.8190325263472111</v>
      </c>
      <c r="L1529" s="4">
        <f>MIN(MAX(L1528*(1+MAX(MIN(((B1529-B1528)/B1528)/($K$7*卓尔金历!$N$40),0),-卓尔金历!$M$43))+MIN(MAX(((B1529-B1528)/B1528)/($K$7*卓尔金历!$N$40),0),卓尔金历!$M$43),0),1)</f>
        <v>0.81101742457062742</v>
      </c>
      <c r="M1529" s="4">
        <f>MIN(MAX(M1528*(1+MAX(MIN(((B1529-B1528)/B1528)/($K$7*30),0),-卓尔金历!$M$43))+MIN(MAX(((B1529-B1528)/B1528)/($K$7*7),0),卓尔金历!$M$43),0),1)</f>
        <v>1</v>
      </c>
      <c r="N1529">
        <f t="shared" si="183"/>
        <v>684.86659243499662</v>
      </c>
      <c r="O1529">
        <f t="shared" si="184"/>
        <v>1629.4295845311262</v>
      </c>
      <c r="P1529">
        <f t="shared" si="185"/>
        <v>3.0869753467074303E-2</v>
      </c>
      <c r="Q1529">
        <f t="shared" si="186"/>
        <v>3.8297878546255916E-2</v>
      </c>
      <c r="R1529">
        <f t="shared" si="187"/>
        <v>0.26155862137781821</v>
      </c>
      <c r="S1529">
        <f t="shared" si="179"/>
        <v>14.490905964773928</v>
      </c>
      <c r="T1529" s="564">
        <f>IF((I1529-MAX(I$470:I1529))/MAX(I$470:I1529)&gt;T1528,T1528,(I1529-MAX(I$470:I1529))/MAX(I$470:I1529))</f>
        <v>-0.91338805338419748</v>
      </c>
      <c r="U1529" s="564">
        <f>IF((J1529-MAX(J$470:J1529))/MAX(J$470:J1529)&gt;U1528,U1528,(J1529-MAX(J$470:J1529))/MAX(J$470:J1529))</f>
        <v>-0.72031258158274925</v>
      </c>
      <c r="V1529" s="564">
        <f>IF((K1529-MAX(K$470:K1529))/MAX(K$470:K1529)&gt;V1528,V1528,(K1529-MAX(K$470:K1529))/MAX(K$470:K1529))</f>
        <v>-0.84885940676762139</v>
      </c>
      <c r="W1529" s="564">
        <f>IF((N1529-MAX(N$470:N1529))/MAX(N$470:N1529)&gt;W1528,W1528,(N1529-MAX(N$470:N1529))/MAX(N$470:N1529))</f>
        <v>-0.62788758315546067</v>
      </c>
      <c r="X1529" s="564">
        <f>IF((O1529-MAX(O$470:O1529))/MAX(O$470:O1529)&gt;X1528,X1528,(O1529-MAX(O$470:O1529))/MAX(O$470:O1529))</f>
        <v>-0.62788758315546067</v>
      </c>
    </row>
    <row r="1530" spans="1:24">
      <c r="A1530" s="799">
        <v>41932</v>
      </c>
      <c r="B1530">
        <v>383.05500000000001</v>
      </c>
      <c r="C1530">
        <v>319.67620099999999</v>
      </c>
      <c r="D1530">
        <v>1.1154010000000001</v>
      </c>
      <c r="E1530">
        <f>LN(D1530/参数实验室!$E$53)/参数实验室!$E$55</f>
        <v>-0.56412274494853343</v>
      </c>
      <c r="F1530">
        <f t="shared" si="178"/>
        <v>0.83454386706869765</v>
      </c>
      <c r="G1530">
        <f>LN(F1530/参数实验室!$E$58)/参数实验室!$E$59</f>
        <v>-0.28546035987574309</v>
      </c>
      <c r="H1530" s="856">
        <f>INDEX(神经网络!$G$10:$BO$70,MATCH(ROUND(G1530*2,1)/2,神经网络!$E$10:$E$70,0),MATCH(ROUND(E1530*2,1)/2,神经网络!$G$8:$BO$8,0))</f>
        <v>-0.69734249383370006</v>
      </c>
      <c r="I1530">
        <f t="shared" si="180"/>
        <v>768.5507378843397</v>
      </c>
      <c r="J1530">
        <f t="shared" si="181"/>
        <v>152.84904832209392</v>
      </c>
      <c r="K1530">
        <f t="shared" si="182"/>
        <v>5.0281682897023821</v>
      </c>
      <c r="L1530" s="4">
        <f>MIN(MAX(L1529*(1+MAX(MIN(((B1530-B1529)/B1529)/($K$7*卓尔金历!$N$40),0),-卓尔金历!$M$43))+MIN(MAX(((B1530-B1529)/B1529)/($K$7*卓尔金历!$N$40),0),卓尔金历!$M$43),0),1)</f>
        <v>0.50208697872477226</v>
      </c>
      <c r="M1530" s="4">
        <f>MIN(MAX(M1529*(1+MAX(MIN(((B1530-B1529)/B1529)/($K$7*30),0),-卓尔金历!$M$43))+MIN(MAX(((B1530-B1529)/B1529)/($K$7*7),0),卓尔金历!$M$43),0),1)</f>
        <v>0.80954142507516991</v>
      </c>
      <c r="N1530">
        <f t="shared" si="183"/>
        <v>694.52302574040311</v>
      </c>
      <c r="O1530">
        <f t="shared" si="184"/>
        <v>1657.7576016040798</v>
      </c>
      <c r="P1530">
        <f t="shared" si="185"/>
        <v>-2.4930698563570185E-2</v>
      </c>
      <c r="Q1530">
        <f t="shared" si="186"/>
        <v>3.7498551130106673E-2</v>
      </c>
      <c r="R1530">
        <f t="shared" si="187"/>
        <v>0.46213354117911798</v>
      </c>
      <c r="S1530">
        <f t="shared" si="179"/>
        <v>14.556799856213567</v>
      </c>
      <c r="T1530" s="564">
        <f>IF((I1530-MAX(I$470:I1530))/MAX(I$470:I1530)&gt;T1529,T1529,(I1530-MAX(I$470:I1530))/MAX(I$470:I1530))</f>
        <v>-0.91338805338419748</v>
      </c>
      <c r="U1530" s="564">
        <f>IF((J1530-MAX(J$470:J1530))/MAX(J$470:J1530)&gt;U1529,U1529,(J1530-MAX(J$470:J1530))/MAX(J$470:J1530))</f>
        <v>-0.72031258158274925</v>
      </c>
      <c r="V1530" s="564">
        <f>IF((K1530-MAX(K$470:K1530))/MAX(K$470:K1530)&gt;V1529,V1529,(K1530-MAX(K$470:K1530))/MAX(K$470:K1530))</f>
        <v>-0.84885940676762139</v>
      </c>
      <c r="W1530" s="564">
        <f>IF((N1530-MAX(N$470:N1530))/MAX(N$470:N1530)&gt;W1529,W1529,(N1530-MAX(N$470:N1530))/MAX(N$470:N1530))</f>
        <v>-0.62788758315546067</v>
      </c>
      <c r="X1530" s="564">
        <f>IF((O1530-MAX(O$470:O1530))/MAX(O$470:O1530)&gt;X1529,X1529,(O1530-MAX(O$470:O1530))/MAX(O$470:O1530))</f>
        <v>-0.62788758315546067</v>
      </c>
    </row>
    <row r="1531" spans="1:24">
      <c r="A1531" s="799">
        <v>41933</v>
      </c>
      <c r="B1531">
        <v>384.58</v>
      </c>
      <c r="C1531">
        <v>322.35336799999999</v>
      </c>
      <c r="D1531">
        <v>1.1273599999999999</v>
      </c>
      <c r="E1531">
        <f>LN(D1531/参数实验室!$E$53)/参数实验室!$E$55</f>
        <v>-0.55154110761443287</v>
      </c>
      <c r="F1531">
        <f t="shared" si="178"/>
        <v>0.83819587082011549</v>
      </c>
      <c r="G1531">
        <f>LN(F1531/参数实验室!$E$58)/参数实验室!$E$59</f>
        <v>-0.28316858436955733</v>
      </c>
      <c r="H1531" s="856">
        <f>INDEX(神经网络!$G$10:$BO$70,MATCH(ROUND(G1531*2,1)/2,神经网络!$E$10:$E$70,0),MATCH(ROUND(E1531*2,1)/2,神经网络!$G$8:$BO$8,0))</f>
        <v>-0.69734249383370006</v>
      </c>
      <c r="I1531">
        <f t="shared" si="180"/>
        <v>766.41706723783761</v>
      </c>
      <c r="J1531">
        <f t="shared" si="181"/>
        <v>153.45756354495015</v>
      </c>
      <c r="K1531">
        <f t="shared" si="182"/>
        <v>4.9943257897049955</v>
      </c>
      <c r="L1531" s="4">
        <f>MIN(MAX(L1530*(1+MAX(MIN(((B1531-B1530)/B1530)/($K$7*卓尔金历!$N$40),0),-卓尔金历!$M$43))+MIN(MAX(((B1531-B1530)/B1530)/($K$7*卓尔金历!$N$40),0),卓尔金历!$M$43),0),1)</f>
        <v>0.56291515370480383</v>
      </c>
      <c r="M1531" s="4">
        <f>MIN(MAX(M1530*(1+MAX(MIN(((B1531-B1530)/B1530)/($K$7*30),0),-卓尔金历!$M$43))+MIN(MAX(((B1531-B1530)/B1530)/($K$7*7),0),卓尔金历!$M$43),0),1)</f>
        <v>0.9398875143180947</v>
      </c>
      <c r="N1531">
        <f t="shared" si="183"/>
        <v>693.55492523758699</v>
      </c>
      <c r="O1531">
        <f t="shared" si="184"/>
        <v>1654.0318410216453</v>
      </c>
      <c r="P1531">
        <f t="shared" si="185"/>
        <v>3.9811515317643084E-3</v>
      </c>
      <c r="Q1531">
        <f t="shared" si="186"/>
        <v>3.7503803458608737E-2</v>
      </c>
      <c r="R1531">
        <f t="shared" si="187"/>
        <v>1</v>
      </c>
      <c r="S1531">
        <f t="shared" si="179"/>
        <v>14.538123668091702</v>
      </c>
      <c r="T1531" s="564">
        <f>IF((I1531-MAX(I$470:I1531))/MAX(I$470:I1531)&gt;T1530,T1530,(I1531-MAX(I$470:I1531))/MAX(I$470:I1531))</f>
        <v>-0.91338805338419748</v>
      </c>
      <c r="U1531" s="564">
        <f>IF((J1531-MAX(J$470:J1531))/MAX(J$470:J1531)&gt;U1530,U1530,(J1531-MAX(J$470:J1531))/MAX(J$470:J1531))</f>
        <v>-0.72031258158274925</v>
      </c>
      <c r="V1531" s="564">
        <f>IF((K1531-MAX(K$470:K1531))/MAX(K$470:K1531)&gt;V1530,V1530,(K1531-MAX(K$470:K1531))/MAX(K$470:K1531))</f>
        <v>-0.84885940676762139</v>
      </c>
      <c r="W1531" s="564">
        <f>IF((N1531-MAX(N$470:N1531))/MAX(N$470:N1531)&gt;W1530,W1530,(N1531-MAX(N$470:N1531))/MAX(N$470:N1531))</f>
        <v>-0.62788758315546067</v>
      </c>
      <c r="X1531" s="564">
        <f>IF((O1531-MAX(O$470:O1531))/MAX(O$470:O1531)&gt;X1530,X1530,(O1531-MAX(O$470:O1531))/MAX(O$470:O1531))</f>
        <v>-0.62788758315546067</v>
      </c>
    </row>
    <row r="1532" spans="1:24">
      <c r="A1532" s="799">
        <v>41934</v>
      </c>
      <c r="B1532">
        <v>386.88299999999998</v>
      </c>
      <c r="C1532">
        <v>324.63113499999997</v>
      </c>
      <c r="D1532">
        <v>1.114978</v>
      </c>
      <c r="E1532">
        <f>LN(D1532/参数实验室!$E$53)/参数实验室!$E$55</f>
        <v>-0.56457023448119437</v>
      </c>
      <c r="F1532">
        <f t="shared" si="178"/>
        <v>0.8390938216463375</v>
      </c>
      <c r="G1532">
        <f>LN(F1532/参数实验室!$E$58)/参数实验室!$E$59</f>
        <v>-0.28260661446206492</v>
      </c>
      <c r="H1532" s="856">
        <f>INDEX(神经网络!$G$10:$BO$70,MATCH(ROUND(G1532*2,1)/2,神经网络!$E$10:$E$70,0),MATCH(ROUND(E1532*2,1)/2,神经网络!$G$8:$BO$8,0))</f>
        <v>-0.69734249383370006</v>
      </c>
      <c r="I1532">
        <f t="shared" si="180"/>
        <v>763.21656201075632</v>
      </c>
      <c r="J1532">
        <f t="shared" si="181"/>
        <v>154.37652128805698</v>
      </c>
      <c r="K1532">
        <f t="shared" si="182"/>
        <v>4.9438642329984992</v>
      </c>
      <c r="L1532" s="4">
        <f>MIN(MAX(L1531*(1+MAX(MIN(((B1532-B1531)/B1531)/($K$7*卓尔金历!$N$40),0),-卓尔金历!$M$43))+MIN(MAX(((B1532-B1531)/B1531)/($K$7*卓尔金历!$N$40),0),卓尔金历!$M$43),0),1)</f>
        <v>0.65441140929850916</v>
      </c>
      <c r="M1532" s="4">
        <f>MIN(MAX(M1531*(1+MAX(MIN(((B1532-B1531)/B1531)/($K$7*30),0),-卓尔金历!$M$43))+MIN(MAX(((B1532-B1531)/B1531)/($K$7*7),0),卓尔金历!$M$43),0),1)</f>
        <v>1</v>
      </c>
      <c r="N1532">
        <f t="shared" si="183"/>
        <v>691.92458903042586</v>
      </c>
      <c r="O1532">
        <f t="shared" si="184"/>
        <v>1647.5399216179908</v>
      </c>
      <c r="P1532">
        <f t="shared" si="185"/>
        <v>5.9883509282853955E-3</v>
      </c>
      <c r="Q1532">
        <f t="shared" si="186"/>
        <v>3.7495121014046097E-2</v>
      </c>
      <c r="R1532">
        <f t="shared" si="187"/>
        <v>1</v>
      </c>
      <c r="S1532">
        <f t="shared" si="179"/>
        <v>14.477413458493455</v>
      </c>
      <c r="T1532" s="564">
        <f>IF((I1532-MAX(I$470:I1532))/MAX(I$470:I1532)&gt;T1531,T1531,(I1532-MAX(I$470:I1532))/MAX(I$470:I1532))</f>
        <v>-0.91338805338419748</v>
      </c>
      <c r="U1532" s="564">
        <f>IF((J1532-MAX(J$470:J1532))/MAX(J$470:J1532)&gt;U1531,U1531,(J1532-MAX(J$470:J1532))/MAX(J$470:J1532))</f>
        <v>-0.72031258158274925</v>
      </c>
      <c r="V1532" s="564">
        <f>IF((K1532-MAX(K$470:K1532))/MAX(K$470:K1532)&gt;V1531,V1531,(K1532-MAX(K$470:K1532))/MAX(K$470:K1532))</f>
        <v>-0.84885940676762139</v>
      </c>
      <c r="W1532" s="564">
        <f>IF((N1532-MAX(N$470:N1532))/MAX(N$470:N1532)&gt;W1531,W1531,(N1532-MAX(N$470:N1532))/MAX(N$470:N1532))</f>
        <v>-0.62788758315546067</v>
      </c>
      <c r="X1532" s="564">
        <f>IF((O1532-MAX(O$470:O1532))/MAX(O$470:O1532)&gt;X1531,X1531,(O1532-MAX(O$470:O1532))/MAX(O$470:O1532))</f>
        <v>-0.62788758315546067</v>
      </c>
    </row>
    <row r="1533" spans="1:24">
      <c r="A1533" s="799">
        <v>41935</v>
      </c>
      <c r="B1533">
        <v>372.73399999999998</v>
      </c>
      <c r="C1533">
        <v>324.70774899999998</v>
      </c>
      <c r="D1533">
        <v>1.047693</v>
      </c>
      <c r="E1533">
        <f>LN(D1533/参数实验室!$E$53)/参数实验室!$E$55</f>
        <v>-0.63800287765512287</v>
      </c>
      <c r="F1533">
        <f t="shared" si="178"/>
        <v>0.87115140824287562</v>
      </c>
      <c r="G1533">
        <f>LN(F1533/参数实验室!$E$58)/参数实验室!$E$59</f>
        <v>-0.26292812083651657</v>
      </c>
      <c r="H1533" s="856">
        <f>INDEX(神经网络!$G$10:$BO$70,MATCH(ROUND(G1533*2,1)/2,神经网络!$E$10:$E$70,0),MATCH(ROUND(E1533*2,1)/2,神经网络!$G$8:$BO$8,0))</f>
        <v>-0.67346362458161046</v>
      </c>
      <c r="I1533">
        <f t="shared" si="180"/>
        <v>782.68091698988746</v>
      </c>
      <c r="J1533">
        <f t="shared" si="181"/>
        <v>148.7306970990781</v>
      </c>
      <c r="K1533">
        <f t="shared" si="182"/>
        <v>5.2624033387572879</v>
      </c>
      <c r="L1533" s="4">
        <f>MIN(MAX(L1532*(1+MAX(MIN(((B1533-B1532)/B1532)/($K$7*卓尔金历!$N$40),0),-卓尔金历!$M$43))+MIN(MAX(((B1533-B1532)/B1532)/($K$7*卓尔金历!$N$40),0),卓尔金历!$M$43),0),1)</f>
        <v>0.2887382865015693</v>
      </c>
      <c r="M1533" s="4">
        <f>MIN(MAX(M1532*(1+MAX(MIN(((B1533-B1532)/B1532)/($K$7*30),0),-卓尔金历!$M$43))+MIN(MAX(((B1533-B1532)/B1532)/($K$7*7),0),卓尔金历!$M$43),0),1)</f>
        <v>0.72060914770043505</v>
      </c>
      <c r="N1533">
        <f t="shared" si="183"/>
        <v>703.4724582591524</v>
      </c>
      <c r="O1533">
        <f t="shared" si="184"/>
        <v>1689.5572250582829</v>
      </c>
      <c r="P1533">
        <f t="shared" si="185"/>
        <v>-3.6571780098892955E-2</v>
      </c>
      <c r="Q1533">
        <f t="shared" si="186"/>
        <v>3.8341474035654195E-2</v>
      </c>
      <c r="R1533">
        <f t="shared" si="187"/>
        <v>8.6522239139166152E-2</v>
      </c>
      <c r="S1533">
        <f t="shared" si="179"/>
        <v>14.846631749555378</v>
      </c>
      <c r="T1533" s="564">
        <f>IF((I1533-MAX(I$470:I1533))/MAX(I$470:I1533)&gt;T1532,T1532,(I1533-MAX(I$470:I1533))/MAX(I$470:I1533))</f>
        <v>-0.91338805338419748</v>
      </c>
      <c r="U1533" s="564">
        <f>IF((J1533-MAX(J$470:J1533))/MAX(J$470:J1533)&gt;U1532,U1532,(J1533-MAX(J$470:J1533))/MAX(J$470:J1533))</f>
        <v>-0.72031258158274925</v>
      </c>
      <c r="V1533" s="564">
        <f>IF((K1533-MAX(K$470:K1533))/MAX(K$470:K1533)&gt;V1532,V1532,(K1533-MAX(K$470:K1533))/MAX(K$470:K1533))</f>
        <v>-0.84885940676762139</v>
      </c>
      <c r="W1533" s="564">
        <f>IF((N1533-MAX(N$470:N1533))/MAX(N$470:N1533)&gt;W1532,W1532,(N1533-MAX(N$470:N1533))/MAX(N$470:N1533))</f>
        <v>-0.62788758315546067</v>
      </c>
      <c r="X1533" s="564">
        <f>IF((O1533-MAX(O$470:O1533))/MAX(O$470:O1533)&gt;X1532,X1532,(O1533-MAX(O$470:O1533))/MAX(O$470:O1533))</f>
        <v>-0.62788758315546067</v>
      </c>
    </row>
    <row r="1534" spans="1:24">
      <c r="A1534" s="799">
        <v>41936</v>
      </c>
      <c r="B1534">
        <v>359.32400000000001</v>
      </c>
      <c r="C1534">
        <v>324.36130900000001</v>
      </c>
      <c r="D1534">
        <v>1.049558</v>
      </c>
      <c r="E1534">
        <f>LN(D1534/参数实验室!$E$53)/参数实验室!$E$55</f>
        <v>-0.6359046639649365</v>
      </c>
      <c r="F1534">
        <f t="shared" si="178"/>
        <v>0.90269870367690441</v>
      </c>
      <c r="G1534">
        <f>LN(F1534/参数实验室!$E$58)/参数实验室!$E$59</f>
        <v>-0.24425746599607037</v>
      </c>
      <c r="H1534" s="856">
        <f>INDEX(神经网络!$G$10:$BO$70,MATCH(ROUND(G1534*2,1)/2,神经网络!$E$10:$E$70,0),MATCH(ROUND(E1534*2,1)/2,神经网络!$G$8:$BO$8,0))</f>
        <v>-0.67346362458161046</v>
      </c>
      <c r="I1534">
        <f t="shared" si="180"/>
        <v>801.64486065046162</v>
      </c>
      <c r="J1534">
        <f t="shared" si="181"/>
        <v>143.37975340169973</v>
      </c>
      <c r="K1534">
        <f t="shared" si="182"/>
        <v>5.591060394730448</v>
      </c>
      <c r="L1534" s="4">
        <f>MIN(MAX(L1533*(1+MAX(MIN(((B1534-B1533)/B1533)/($K$7*卓尔金历!$N$40),0),-卓尔金历!$M$43))+MIN(MAX(((B1534-B1533)/B1533)/($K$7*卓尔金历!$N$40),0),卓尔金历!$M$43),0),1)</f>
        <v>0.13001881045082944</v>
      </c>
      <c r="M1534" s="4">
        <f>MIN(MAX(M1533*(1+MAX(MIN(((B1534-B1533)/B1533)/($K$7*30),0),-卓尔金历!$M$43))+MIN(MAX(((B1534-B1533)/B1533)/($K$7*7),0),卓尔金历!$M$43),0),1)</f>
        <v>0.52254967358950577</v>
      </c>
      <c r="N1534">
        <f t="shared" si="183"/>
        <v>708.39393441242305</v>
      </c>
      <c r="O1534">
        <f t="shared" si="184"/>
        <v>1719.0568563610595</v>
      </c>
      <c r="P1534">
        <f t="shared" si="185"/>
        <v>-3.5977399432302846E-2</v>
      </c>
      <c r="Q1534">
        <f t="shared" si="186"/>
        <v>3.8839923259888144E-2</v>
      </c>
      <c r="R1534">
        <f t="shared" si="187"/>
        <v>0.11783452971980767</v>
      </c>
      <c r="S1534">
        <f t="shared" si="179"/>
        <v>14.877756049934085</v>
      </c>
      <c r="T1534" s="564">
        <f>IF((I1534-MAX(I$470:I1534))/MAX(I$470:I1534)&gt;T1533,T1533,(I1534-MAX(I$470:I1534))/MAX(I$470:I1534))</f>
        <v>-0.91338805338419748</v>
      </c>
      <c r="U1534" s="564">
        <f>IF((J1534-MAX(J$470:J1534))/MAX(J$470:J1534)&gt;U1533,U1533,(J1534-MAX(J$470:J1534))/MAX(J$470:J1534))</f>
        <v>-0.72031258158274925</v>
      </c>
      <c r="V1534" s="564">
        <f>IF((K1534-MAX(K$470:K1534))/MAX(K$470:K1534)&gt;V1533,V1533,(K1534-MAX(K$470:K1534))/MAX(K$470:K1534))</f>
        <v>-0.84885940676762139</v>
      </c>
      <c r="W1534" s="564">
        <f>IF((N1534-MAX(N$470:N1534))/MAX(N$470:N1534)&gt;W1533,W1533,(N1534-MAX(N$470:N1534))/MAX(N$470:N1534))</f>
        <v>-0.62788758315546067</v>
      </c>
      <c r="X1534" s="564">
        <f>IF((O1534-MAX(O$470:O1534))/MAX(O$470:O1534)&gt;X1533,X1533,(O1534-MAX(O$470:O1534))/MAX(O$470:O1534))</f>
        <v>-0.62788758315546067</v>
      </c>
    </row>
    <row r="1535" spans="1:24">
      <c r="A1535" s="799">
        <v>41937</v>
      </c>
      <c r="B1535">
        <v>353.77800000000002</v>
      </c>
      <c r="C1535">
        <v>328.42297600000001</v>
      </c>
      <c r="D1535">
        <v>1.0161340000000001</v>
      </c>
      <c r="E1535">
        <f>LN(D1535/参数实验室!$E$53)/参数实验室!$E$55</f>
        <v>-0.67408607164820511</v>
      </c>
      <c r="F1535">
        <f t="shared" si="178"/>
        <v>0.9283306932596147</v>
      </c>
      <c r="G1535">
        <f>LN(F1535/参数实验室!$E$58)/参数实验室!$E$59</f>
        <v>-0.22956198130609121</v>
      </c>
      <c r="H1535" s="856">
        <f>INDEX(神经网络!$G$10:$BO$70,MATCH(ROUND(G1535*2,1)/2,神经网络!$E$10:$E$70,0),MATCH(ROUND(E1535*2,1)/2,神经网络!$G$8:$BO$8,0))</f>
        <v>-0.67346362458161046</v>
      </c>
      <c r="I1535">
        <f t="shared" si="180"/>
        <v>809.97763834470118</v>
      </c>
      <c r="J1535">
        <f t="shared" si="181"/>
        <v>141.16675312238127</v>
      </c>
      <c r="K1535">
        <f t="shared" si="182"/>
        <v>5.7377365451092421</v>
      </c>
      <c r="L1535" s="4">
        <f>MIN(MAX(L1534*(1+MAX(MIN(((B1535-B1534)/B1534)/($K$7*卓尔金历!$N$40),0),-卓尔金历!$M$43))+MIN(MAX(((B1535-B1534)/B1534)/($K$7*卓尔金历!$N$40),0),卓尔金历!$M$43),0),1)</f>
        <v>9.9357133304527362E-2</v>
      </c>
      <c r="M1535" s="4">
        <f>MIN(MAX(M1534*(1+MAX(MIN(((B1535-B1534)/B1534)/($K$7*30),0),-卓尔金历!$M$43))+MIN(MAX(((B1535-B1534)/B1534)/($K$7*7),0),卓尔金历!$M$43),0),1)</f>
        <v>0.46093455294291957</v>
      </c>
      <c r="N1535">
        <f t="shared" si="183"/>
        <v>709.35132423238235</v>
      </c>
      <c r="O1535">
        <f t="shared" si="184"/>
        <v>1728.3942486412493</v>
      </c>
      <c r="P1535">
        <f t="shared" si="185"/>
        <v>-1.5434538188375929E-2</v>
      </c>
      <c r="Q1535">
        <f t="shared" si="186"/>
        <v>3.7645242736791762E-2</v>
      </c>
      <c r="R1535">
        <f t="shared" si="187"/>
        <v>0.96506840790375814</v>
      </c>
      <c r="S1535">
        <f t="shared" si="179"/>
        <v>14.895978962407318</v>
      </c>
      <c r="T1535" s="564">
        <f>IF((I1535-MAX(I$470:I1535))/MAX(I$470:I1535)&gt;T1534,T1534,(I1535-MAX(I$470:I1535))/MAX(I$470:I1535))</f>
        <v>-0.91338805338419748</v>
      </c>
      <c r="U1535" s="564">
        <f>IF((J1535-MAX(J$470:J1535))/MAX(J$470:J1535)&gt;U1534,U1534,(J1535-MAX(J$470:J1535))/MAX(J$470:J1535))</f>
        <v>-0.72031258158274925</v>
      </c>
      <c r="V1535" s="564">
        <f>IF((K1535-MAX(K$470:K1535))/MAX(K$470:K1535)&gt;V1534,V1534,(K1535-MAX(K$470:K1535))/MAX(K$470:K1535))</f>
        <v>-0.84885940676762139</v>
      </c>
      <c r="W1535" s="564">
        <f>IF((N1535-MAX(N$470:N1535))/MAX(N$470:N1535)&gt;W1534,W1534,(N1535-MAX(N$470:N1535))/MAX(N$470:N1535))</f>
        <v>-0.62788758315546067</v>
      </c>
      <c r="X1535" s="564">
        <f>IF((O1535-MAX(O$470:O1535))/MAX(O$470:O1535)&gt;X1534,X1534,(O1535-MAX(O$470:O1535))/MAX(O$470:O1535))</f>
        <v>-0.62788758315546067</v>
      </c>
    </row>
    <row r="1536" spans="1:24">
      <c r="A1536" s="799">
        <v>41938</v>
      </c>
      <c r="B1536">
        <v>353.11900000000003</v>
      </c>
      <c r="C1536">
        <v>330.68539099999998</v>
      </c>
      <c r="D1536">
        <v>1.0378579999999999</v>
      </c>
      <c r="E1536">
        <f>LN(D1536/参数实验室!$E$53)/参数实验室!$E$55</f>
        <v>-0.64912987398951894</v>
      </c>
      <c r="F1536">
        <f t="shared" si="178"/>
        <v>0.93647011630640087</v>
      </c>
      <c r="G1536">
        <f>LN(F1536/参数实验室!$E$58)/参数实验室!$E$59</f>
        <v>-0.22498021986345354</v>
      </c>
      <c r="H1536" s="856">
        <f>INDEX(神经网络!$G$10:$BO$70,MATCH(ROUND(G1536*2,1)/2,神经网络!$E$10:$E$70,0),MATCH(ROUND(E1536*2,1)/2,神经网络!$G$8:$BO$8,0))</f>
        <v>-0.60315993799135481</v>
      </c>
      <c r="I1536">
        <f t="shared" si="180"/>
        <v>810.99375077617685</v>
      </c>
      <c r="J1536">
        <f t="shared" si="181"/>
        <v>140.90379474083224</v>
      </c>
      <c r="K1536">
        <f t="shared" si="182"/>
        <v>5.7556558520503813</v>
      </c>
      <c r="L1536" s="4">
        <f>MIN(MAX(L1535*(1+MAX(MIN(((B1536-B1535)/B1535)/($K$7*卓尔金历!$N$40),0),-卓尔金历!$M$43))+MIN(MAX(((B1536-B1535)/B1535)/($K$7*卓尔金历!$N$40),0),卓尔金历!$M$43),0),1)</f>
        <v>9.6529326578277883E-2</v>
      </c>
      <c r="M1536" s="4">
        <f>MIN(MAX(M1535*(1+MAX(MIN(((B1536-B1535)/B1535)/($K$7*30),0),-卓尔金历!$M$43))+MIN(MAX(((B1536-B1535)/B1535)/($K$7*7),0),卓尔金历!$M$43),0),1)</f>
        <v>0.45437521600443431</v>
      </c>
      <c r="N1536">
        <f t="shared" si="183"/>
        <v>709.43973988805885</v>
      </c>
      <c r="O1536">
        <f t="shared" si="184"/>
        <v>1729.3936750322978</v>
      </c>
      <c r="P1536">
        <f t="shared" si="185"/>
        <v>-1.8627500862122342E-3</v>
      </c>
      <c r="Q1536">
        <f t="shared" si="186"/>
        <v>3.2494280691223627E-2</v>
      </c>
      <c r="R1536">
        <f t="shared" si="187"/>
        <v>1</v>
      </c>
      <c r="S1536">
        <f t="shared" si="179"/>
        <v>14.914013121010472</v>
      </c>
      <c r="T1536" s="564">
        <f>IF((I1536-MAX(I$470:I1536))/MAX(I$470:I1536)&gt;T1535,T1535,(I1536-MAX(I$470:I1536))/MAX(I$470:I1536))</f>
        <v>-0.91338805338419748</v>
      </c>
      <c r="U1536" s="564">
        <f>IF((J1536-MAX(J$470:J1536))/MAX(J$470:J1536)&gt;U1535,U1535,(J1536-MAX(J$470:J1536))/MAX(J$470:J1536))</f>
        <v>-0.72031258158274925</v>
      </c>
      <c r="V1536" s="564">
        <f>IF((K1536-MAX(K$470:K1536))/MAX(K$470:K1536)&gt;V1535,V1535,(K1536-MAX(K$470:K1536))/MAX(K$470:K1536))</f>
        <v>-0.84885940676762139</v>
      </c>
      <c r="W1536" s="564">
        <f>IF((N1536-MAX(N$470:N1536))/MAX(N$470:N1536)&gt;W1535,W1535,(N1536-MAX(N$470:N1536))/MAX(N$470:N1536))</f>
        <v>-0.62788758315546067</v>
      </c>
      <c r="X1536" s="564">
        <f>IF((O1536-MAX(O$470:O1536))/MAX(O$470:O1536)&gt;X1535,X1535,(O1536-MAX(O$470:O1536))/MAX(O$470:O1536))</f>
        <v>-0.62788758315546067</v>
      </c>
    </row>
    <row r="1537" spans="1:24">
      <c r="A1537" s="799">
        <v>41939</v>
      </c>
      <c r="B1537">
        <v>352.45</v>
      </c>
      <c r="C1537">
        <v>325.44170600000001</v>
      </c>
      <c r="D1537">
        <v>1.029882</v>
      </c>
      <c r="E1537">
        <f>LN(D1537/参数实验室!$E$53)/参数实验室!$E$55</f>
        <v>-0.65823136503179447</v>
      </c>
      <c r="F1537">
        <f t="shared" si="178"/>
        <v>0.9233698567172649</v>
      </c>
      <c r="G1537">
        <f>LN(F1537/参数实验室!$E$58)/参数实验室!$E$59</f>
        <v>-0.23237423012860955</v>
      </c>
      <c r="H1537" s="856">
        <f>INDEX(神经网络!$G$10:$BO$70,MATCH(ROUND(G1537*2,1)/2,神经网络!$E$10:$E$70,0),MATCH(ROUND(E1537*2,1)/2,神经网络!$G$8:$BO$8,0))</f>
        <v>-0.67346362458161046</v>
      </c>
      <c r="I1537">
        <f t="shared" si="180"/>
        <v>811.92048462835533</v>
      </c>
      <c r="J1537">
        <f t="shared" si="181"/>
        <v>140.63684609552678</v>
      </c>
      <c r="K1537">
        <f t="shared" si="182"/>
        <v>5.7731704540420576</v>
      </c>
      <c r="L1537" s="4">
        <f>MIN(MAX(L1536*(1+MAX(MIN(((B1537-B1536)/B1536)/($K$7*卓尔金历!$N$40),0),-卓尔金历!$M$43))+MIN(MAX(((B1537-B1536)/B1536)/($K$7*卓尔金历!$N$40),0),卓尔金历!$M$43),0),1)</f>
        <v>9.3735107930506531E-2</v>
      </c>
      <c r="M1537" s="4">
        <f>MIN(MAX(M1536*(1+MAX(MIN(((B1537-B1536)/B1536)/($K$7*30),0),-卓尔金历!$M$43))+MIN(MAX(((B1537-B1536)/B1536)/($K$7*7),0),卓尔金历!$M$43),0),1)</f>
        <v>0.44779885342815984</v>
      </c>
      <c r="N1537">
        <f t="shared" si="183"/>
        <v>709.51799492635939</v>
      </c>
      <c r="O1537">
        <f t="shared" si="184"/>
        <v>1730.2916123494372</v>
      </c>
      <c r="P1537">
        <f t="shared" si="185"/>
        <v>-1.8945454648434084E-3</v>
      </c>
      <c r="Q1537">
        <f t="shared" si="186"/>
        <v>3.2069804729838752E-2</v>
      </c>
      <c r="R1537">
        <f t="shared" si="187"/>
        <v>1</v>
      </c>
      <c r="S1537">
        <f t="shared" si="179"/>
        <v>14.931055571482927</v>
      </c>
      <c r="T1537" s="564">
        <f>IF((I1537-MAX(I$470:I1537))/MAX(I$470:I1537)&gt;T1536,T1536,(I1537-MAX(I$470:I1537))/MAX(I$470:I1537))</f>
        <v>-0.91338805338419748</v>
      </c>
      <c r="U1537" s="564">
        <f>IF((J1537-MAX(J$470:J1537))/MAX(J$470:J1537)&gt;U1536,U1536,(J1537-MAX(J$470:J1537))/MAX(J$470:J1537))</f>
        <v>-0.72031258158274925</v>
      </c>
      <c r="V1537" s="564">
        <f>IF((K1537-MAX(K$470:K1537))/MAX(K$470:K1537)&gt;V1536,V1536,(K1537-MAX(K$470:K1537))/MAX(K$470:K1537))</f>
        <v>-0.84885940676762139</v>
      </c>
      <c r="W1537" s="564">
        <f>IF((N1537-MAX(N$470:N1537))/MAX(N$470:N1537)&gt;W1536,W1536,(N1537-MAX(N$470:N1537))/MAX(N$470:N1537))</f>
        <v>-0.62788758315546067</v>
      </c>
      <c r="X1537" s="564">
        <f>IF((O1537-MAX(O$470:O1537))/MAX(O$470:O1537)&gt;X1536,X1536,(O1537-MAX(O$470:O1537))/MAX(O$470:O1537))</f>
        <v>-0.62788758315546067</v>
      </c>
    </row>
    <row r="1538" spans="1:24">
      <c r="A1538" s="799">
        <v>41940</v>
      </c>
      <c r="B1538">
        <v>357.40499999999997</v>
      </c>
      <c r="C1538">
        <v>323.95804099999998</v>
      </c>
      <c r="D1538">
        <v>1.0438879999999999</v>
      </c>
      <c r="E1538">
        <f>LN(D1538/参数实验室!$E$53)/参数实验室!$E$55</f>
        <v>-0.64229529190574841</v>
      </c>
      <c r="F1538">
        <f t="shared" si="178"/>
        <v>0.90641720457184427</v>
      </c>
      <c r="G1538">
        <f>LN(F1538/参数实验室!$E$58)/参数实验室!$E$59</f>
        <v>-0.24209986739393316</v>
      </c>
      <c r="H1538" s="856">
        <f>INDEX(神经网络!$G$10:$BO$70,MATCH(ROUND(G1538*2,1)/2,神经网络!$E$10:$E$70,0),MATCH(ROUND(E1538*2,1)/2,神经网络!$G$8:$BO$8,0))</f>
        <v>-0.67346362458161046</v>
      </c>
      <c r="I1538">
        <f t="shared" si="180"/>
        <v>804.23318540523405</v>
      </c>
      <c r="J1538">
        <f t="shared" si="181"/>
        <v>142.61402178683997</v>
      </c>
      <c r="K1538">
        <f t="shared" si="182"/>
        <v>5.6392294062591715</v>
      </c>
      <c r="L1538" s="4">
        <f>MIN(MAX(L1537*(1+MAX(MIN(((B1538-B1537)/B1537)/($K$7*卓尔金历!$N$40),0),-卓尔金历!$M$43))+MIN(MAX(((B1538-B1537)/B1537)/($K$7*卓尔金历!$N$40),0),卓尔金历!$M$43),0),1)</f>
        <v>0.30853903768567226</v>
      </c>
      <c r="M1538" s="4">
        <f>MIN(MAX(M1537*(1+MAX(MIN(((B1538-B1537)/B1537)/($K$7*30),0),-卓尔金历!$M$43))+MIN(MAX(((B1538-B1537)/B1537)/($K$7*7),0),卓尔金历!$M$43),0),1)</f>
        <v>0.90809298861780063</v>
      </c>
      <c r="N1538">
        <f t="shared" si="183"/>
        <v>708.88830610183265</v>
      </c>
      <c r="O1538">
        <f t="shared" si="184"/>
        <v>1722.9555575452755</v>
      </c>
      <c r="P1538">
        <f t="shared" si="185"/>
        <v>1.4058731734997828E-2</v>
      </c>
      <c r="Q1538">
        <f t="shared" si="186"/>
        <v>3.2019791807917454E-2</v>
      </c>
      <c r="R1538">
        <f t="shared" si="187"/>
        <v>0.88157732566823011</v>
      </c>
      <c r="S1538">
        <f t="shared" si="179"/>
        <v>14.789687673926334</v>
      </c>
      <c r="T1538" s="564">
        <f>IF((I1538-MAX(I$470:I1538))/MAX(I$470:I1538)&gt;T1537,T1537,(I1538-MAX(I$470:I1538))/MAX(I$470:I1538))</f>
        <v>-0.91338805338419748</v>
      </c>
      <c r="U1538" s="564">
        <f>IF((J1538-MAX(J$470:J1538))/MAX(J$470:J1538)&gt;U1537,U1537,(J1538-MAX(J$470:J1538))/MAX(J$470:J1538))</f>
        <v>-0.72031258158274925</v>
      </c>
      <c r="V1538" s="564">
        <f>IF((K1538-MAX(K$470:K1538))/MAX(K$470:K1538)&gt;V1537,V1537,(K1538-MAX(K$470:K1538))/MAX(K$470:K1538))</f>
        <v>-0.84885940676762139</v>
      </c>
      <c r="W1538" s="564">
        <f>IF((N1538-MAX(N$470:N1538))/MAX(N$470:N1538)&gt;W1537,W1537,(N1538-MAX(N$470:N1538))/MAX(N$470:N1538))</f>
        <v>-0.62788758315546067</v>
      </c>
      <c r="X1538" s="564">
        <f>IF((O1538-MAX(O$470:O1538))/MAX(O$470:O1538)&gt;X1537,X1537,(O1538-MAX(O$470:O1538))/MAX(O$470:O1538))</f>
        <v>-0.62788758315546067</v>
      </c>
    </row>
    <row r="1539" spans="1:24">
      <c r="A1539" s="799">
        <v>41941</v>
      </c>
      <c r="B1539">
        <v>357.23700000000002</v>
      </c>
      <c r="C1539">
        <v>320.35513300000002</v>
      </c>
      <c r="D1539">
        <v>0.98355400000000004</v>
      </c>
      <c r="E1539">
        <f>LN(D1539/参数实验室!$E$53)/参数实验室!$E$55</f>
        <v>-0.71253183135486187</v>
      </c>
      <c r="F1539">
        <f t="shared" si="178"/>
        <v>0.89675798699462828</v>
      </c>
      <c r="G1539">
        <f>LN(F1539/参数实验室!$E$58)/参数实验室!$E$59</f>
        <v>-0.24772297924090156</v>
      </c>
      <c r="H1539" s="856">
        <f>INDEX(神经网络!$G$10:$BO$70,MATCH(ROUND(G1539*2,1)/2,神经网络!$E$10:$E$70,0),MATCH(ROUND(E1539*2,1)/2,神经网络!$G$8:$BO$8,0))</f>
        <v>-0.69003157576404506</v>
      </c>
      <c r="I1539">
        <f t="shared" si="180"/>
        <v>804.48777742755237</v>
      </c>
      <c r="J1539">
        <f t="shared" si="181"/>
        <v>142.54698535573189</v>
      </c>
      <c r="K1539">
        <f t="shared" si="182"/>
        <v>5.6436674224987637</v>
      </c>
      <c r="L1539" s="4">
        <f>MIN(MAX(L1538*(1+MAX(MIN(((B1539-B1538)/B1538)/($K$7*卓尔金历!$N$40),0),-卓尔金历!$M$43))+MIN(MAX(((B1539-B1538)/B1538)/($K$7*卓尔金历!$N$40),0),卓尔金历!$M$43),0),1)</f>
        <v>0.30632311370756382</v>
      </c>
      <c r="M1539" s="4">
        <f>MIN(MAX(M1538*(1+MAX(MIN(((B1539-B1538)/B1538)/($K$7*30),0),-卓尔金历!$M$43))+MIN(MAX(((B1539-B1538)/B1538)/($K$7*7),0),卓尔金历!$M$43),0),1)</f>
        <v>0.90483203168521242</v>
      </c>
      <c r="N1539">
        <f t="shared" si="183"/>
        <v>708.95754509342703</v>
      </c>
      <c r="O1539">
        <f t="shared" si="184"/>
        <v>1723.4508562577098</v>
      </c>
      <c r="P1539">
        <f t="shared" si="185"/>
        <v>-4.7005497964479944E-4</v>
      </c>
      <c r="Q1539">
        <f t="shared" si="186"/>
        <v>3.1869807545494004E-2</v>
      </c>
      <c r="R1539">
        <f t="shared" si="187"/>
        <v>1</v>
      </c>
      <c r="S1539">
        <f t="shared" si="179"/>
        <v>14.793815127676289</v>
      </c>
      <c r="T1539" s="564">
        <f>IF((I1539-MAX(I$470:I1539))/MAX(I$470:I1539)&gt;T1538,T1538,(I1539-MAX(I$470:I1539))/MAX(I$470:I1539))</f>
        <v>-0.91338805338419748</v>
      </c>
      <c r="U1539" s="564">
        <f>IF((J1539-MAX(J$470:J1539))/MAX(J$470:J1539)&gt;U1538,U1538,(J1539-MAX(J$470:J1539))/MAX(J$470:J1539))</f>
        <v>-0.72031258158274925</v>
      </c>
      <c r="V1539" s="564">
        <f>IF((K1539-MAX(K$470:K1539))/MAX(K$470:K1539)&gt;V1538,V1538,(K1539-MAX(K$470:K1539))/MAX(K$470:K1539))</f>
        <v>-0.84885940676762139</v>
      </c>
      <c r="W1539" s="564">
        <f>IF((N1539-MAX(N$470:N1539))/MAX(N$470:N1539)&gt;W1538,W1538,(N1539-MAX(N$470:N1539))/MAX(N$470:N1539))</f>
        <v>-0.62788758315546067</v>
      </c>
      <c r="X1539" s="564">
        <f>IF((O1539-MAX(O$470:O1539))/MAX(O$470:O1539)&gt;X1538,X1538,(O1539-MAX(O$470:O1539))/MAX(O$470:O1539))</f>
        <v>-0.62788758315546067</v>
      </c>
    </row>
    <row r="1540" spans="1:24">
      <c r="A1540" s="799">
        <v>41942</v>
      </c>
      <c r="B1540">
        <v>339.98899999999998</v>
      </c>
      <c r="C1540">
        <v>317.04841199999998</v>
      </c>
      <c r="D1540">
        <v>1.016729</v>
      </c>
      <c r="E1540">
        <f>LN(D1540/参数实验室!$E$53)/参数实验室!$E$55</f>
        <v>-0.67339546613252765</v>
      </c>
      <c r="F1540">
        <f t="shared" si="178"/>
        <v>0.93252549935439089</v>
      </c>
      <c r="G1540">
        <f>LN(F1540/参数实验室!$E$58)/参数实验室!$E$59</f>
        <v>-0.22719568919084135</v>
      </c>
      <c r="H1540" s="856">
        <f>INDEX(神经网络!$G$10:$BO$70,MATCH(ROUND(G1540*2,1)/2,神经网络!$E$10:$E$70,0),MATCH(ROUND(E1540*2,1)/2,神经网络!$G$8:$BO$8,0))</f>
        <v>-0.67346362458161046</v>
      </c>
      <c r="I1540">
        <f t="shared" si="180"/>
        <v>831.28999477023831</v>
      </c>
      <c r="J1540">
        <f t="shared" si="181"/>
        <v>135.664578428634</v>
      </c>
      <c r="K1540">
        <f t="shared" si="182"/>
        <v>6.12753899653723</v>
      </c>
      <c r="L1540" s="4">
        <f>MIN(MAX(L1539*(1+MAX(MIN(((B1540-B1539)/B1539)/($K$7*卓尔金历!$N$40),0),-卓尔金历!$M$43))+MIN(MAX(((B1540-B1539)/B1539)/($K$7*卓尔金历!$N$40),0),卓尔金历!$M$43),0),1)</f>
        <v>8.0349278638999933E-2</v>
      </c>
      <c r="M1540" s="4">
        <f>MIN(MAX(M1539*(1+MAX(MIN(((B1540-B1539)/B1539)/($K$7*30),0),-卓尔金历!$M$43))+MIN(MAX(((B1540-B1539)/B1539)/($K$7*7),0),卓尔金历!$M$43),0),1)</f>
        <v>0.57108580891733685</v>
      </c>
      <c r="N1540">
        <f t="shared" si="183"/>
        <v>716.19275726216006</v>
      </c>
      <c r="O1540">
        <f t="shared" si="184"/>
        <v>1775.4047551699264</v>
      </c>
      <c r="P1540">
        <f t="shared" si="185"/>
        <v>-4.828167295101024E-2</v>
      </c>
      <c r="Q1540">
        <f t="shared" si="186"/>
        <v>2.9888681810904684E-2</v>
      </c>
      <c r="R1540">
        <f t="shared" si="187"/>
        <v>1.6585934698575312E-2</v>
      </c>
      <c r="S1540">
        <f t="shared" si="179"/>
        <v>15.286684080449412</v>
      </c>
      <c r="T1540" s="564">
        <f>IF((I1540-MAX(I$470:I1540))/MAX(I$470:I1540)&gt;T1539,T1539,(I1540-MAX(I$470:I1540))/MAX(I$470:I1540))</f>
        <v>-0.91338805338419748</v>
      </c>
      <c r="U1540" s="564">
        <f>IF((J1540-MAX(J$470:J1540))/MAX(J$470:J1540)&gt;U1539,U1539,(J1540-MAX(J$470:J1540))/MAX(J$470:J1540))</f>
        <v>-0.72031258158274925</v>
      </c>
      <c r="V1540" s="564">
        <f>IF((K1540-MAX(K$470:K1540))/MAX(K$470:K1540)&gt;V1539,V1539,(K1540-MAX(K$470:K1540))/MAX(K$470:K1540))</f>
        <v>-0.84885940676762139</v>
      </c>
      <c r="W1540" s="564">
        <f>IF((N1540-MAX(N$470:N1540))/MAX(N$470:N1540)&gt;W1539,W1539,(N1540-MAX(N$470:N1540))/MAX(N$470:N1540))</f>
        <v>-0.62788758315546067</v>
      </c>
      <c r="X1540" s="564">
        <f>IF((O1540-MAX(O$470:O1540))/MAX(O$470:O1540)&gt;X1539,X1539,(O1540-MAX(O$470:O1540))/MAX(O$470:O1540))</f>
        <v>-0.62788758315546067</v>
      </c>
    </row>
    <row r="1541" spans="1:24">
      <c r="A1541" s="799">
        <v>41943</v>
      </c>
      <c r="B1541">
        <v>345.47399999999999</v>
      </c>
      <c r="C1541">
        <v>310.49876999999998</v>
      </c>
      <c r="D1541">
        <v>0.996757</v>
      </c>
      <c r="E1541">
        <f>LN(D1541/参数实验室!$E$53)/参数实验室!$E$55</f>
        <v>-0.69680045090153797</v>
      </c>
      <c r="F1541">
        <f t="shared" ref="F1541:F1604" si="188">C1541/B1541</f>
        <v>0.89876161447750047</v>
      </c>
      <c r="G1541">
        <f>LN(F1541/参数实验室!$E$58)/参数实验室!$E$59</f>
        <v>-0.24655160531565259</v>
      </c>
      <c r="H1541" s="856">
        <f>INDEX(神经网络!$G$10:$BO$70,MATCH(ROUND(G1541*2,1)/2,神经网络!$E$10:$E$70,0),MATCH(ROUND(E1541*2,1)/2,神经网络!$G$8:$BO$8,0))</f>
        <v>-0.69003157576404506</v>
      </c>
      <c r="I1541">
        <f t="shared" si="180"/>
        <v>822.25810845136959</v>
      </c>
      <c r="J1541">
        <f t="shared" si="181"/>
        <v>137.85323809903821</v>
      </c>
      <c r="K1541">
        <f t="shared" si="182"/>
        <v>5.9647355389695882</v>
      </c>
      <c r="L1541" s="4">
        <f>MIN(MAX(L1540*(1+MAX(MIN(((B1541-B1540)/B1540)/($K$7*卓尔金历!$N$40),0),-卓尔金历!$M$43))+MIN(MAX(((B1541-B1540)/B1540)/($K$7*卓尔金历!$N$40),0),卓尔金历!$M$43),0),1)</f>
        <v>0.32684412535244101</v>
      </c>
      <c r="M1541" s="4">
        <f>MIN(MAX(M1540*(1+MAX(MIN(((B1541-B1540)/B1540)/($K$7*30),0),-卓尔金历!$M$43))+MIN(MAX(((B1541-B1540)/B1540)/($K$7*7),0),卓尔金历!$M$43),0),1)</f>
        <v>1</v>
      </c>
      <c r="N1541">
        <f t="shared" si="183"/>
        <v>715.56753013032676</v>
      </c>
      <c r="O1541">
        <f t="shared" si="184"/>
        <v>1764.3887366770398</v>
      </c>
      <c r="P1541">
        <f t="shared" si="185"/>
        <v>1.6132874887128744E-2</v>
      </c>
      <c r="Q1541">
        <f t="shared" si="186"/>
        <v>2.873478651272526E-2</v>
      </c>
      <c r="R1541">
        <f t="shared" si="187"/>
        <v>0.62439125792143779</v>
      </c>
      <c r="S1541">
        <f t="shared" si="179"/>
        <v>15.283929349738475</v>
      </c>
      <c r="T1541" s="564">
        <f>IF((I1541-MAX(I$470:I1541))/MAX(I$470:I1541)&gt;T1540,T1540,(I1541-MAX(I$470:I1541))/MAX(I$470:I1541))</f>
        <v>-0.91338805338419748</v>
      </c>
      <c r="U1541" s="564">
        <f>IF((J1541-MAX(J$470:J1541))/MAX(J$470:J1541)&gt;U1540,U1540,(J1541-MAX(J$470:J1541))/MAX(J$470:J1541))</f>
        <v>-0.72031258158274925</v>
      </c>
      <c r="V1541" s="564">
        <f>IF((K1541-MAX(K$470:K1541))/MAX(K$470:K1541)&gt;V1540,V1540,(K1541-MAX(K$470:K1541))/MAX(K$470:K1541))</f>
        <v>-0.84885940676762139</v>
      </c>
      <c r="W1541" s="564">
        <f>IF((N1541-MAX(N$470:N1541))/MAX(N$470:N1541)&gt;W1540,W1540,(N1541-MAX(N$470:N1541))/MAX(N$470:N1541))</f>
        <v>-0.62788758315546067</v>
      </c>
      <c r="X1541" s="564">
        <f>IF((O1541-MAX(O$470:O1541))/MAX(O$470:O1541)&gt;X1540,X1540,(O1541-MAX(O$470:O1541))/MAX(O$470:O1541))</f>
        <v>-0.62788758315546067</v>
      </c>
    </row>
    <row r="1542" spans="1:24">
      <c r="A1542" s="799">
        <v>41944</v>
      </c>
      <c r="B1542">
        <v>329.19900000000001</v>
      </c>
      <c r="C1542">
        <v>306.49964799999998</v>
      </c>
      <c r="D1542">
        <v>0.95963399999999999</v>
      </c>
      <c r="E1542">
        <f>LN(D1542/参数实验室!$E$53)/参数实验室!$E$55</f>
        <v>-0.74157804107099823</v>
      </c>
      <c r="F1542">
        <f t="shared" si="188"/>
        <v>0.93104671642380432</v>
      </c>
      <c r="G1542">
        <f>LN(F1542/参数实验室!$E$58)/参数实验室!$E$59</f>
        <v>-0.22802865434914701</v>
      </c>
      <c r="H1542" s="856">
        <f>INDEX(神经网络!$G$10:$BO$70,MATCH(ROUND(G1542*2,1)/2,神经网络!$E$10:$E$70,0),MATCH(ROUND(E1542*2,1)/2,神经网络!$G$8:$BO$8,0))</f>
        <v>-0.70291787134611394</v>
      </c>
      <c r="I1542">
        <f t="shared" si="180"/>
        <v>848.98711135223266</v>
      </c>
      <c r="J1542">
        <f t="shared" si="181"/>
        <v>131.3590838354414</v>
      </c>
      <c r="K1542">
        <f t="shared" si="182"/>
        <v>6.4631016490324464</v>
      </c>
      <c r="L1542" s="4">
        <f>MIN(MAX(L1541*(1+MAX(MIN(((B1542-B1541)/B1541)/($K$7*卓尔金历!$N$40),0),-卓尔金历!$M$43))+MIN(MAX(((B1542-B1541)/B1541)/($K$7*卓尔金历!$N$40),0),卓尔金历!$M$43),0),1)</f>
        <v>9.1587214134912179E-2</v>
      </c>
      <c r="M1542" s="4">
        <f>MIN(MAX(M1541*(1+MAX(MIN(((B1542-B1541)/B1541)/($K$7*30),0),-卓尔金历!$M$43))+MIN(MAX(((B1542-B1541)/B1541)/($K$7*7),0),卓尔金历!$M$43),0),1)</f>
        <v>0.64010839882184256</v>
      </c>
      <c r="N1542">
        <f t="shared" si="183"/>
        <v>723.17019597009005</v>
      </c>
      <c r="O1542">
        <f t="shared" si="184"/>
        <v>1821.7434178606791</v>
      </c>
      <c r="P1542">
        <f t="shared" si="185"/>
        <v>-4.7109189114086666E-2</v>
      </c>
      <c r="Q1542">
        <f t="shared" si="186"/>
        <v>2.9917589417014626E-2</v>
      </c>
      <c r="R1542">
        <f t="shared" si="187"/>
        <v>1.5688575703855619E-2</v>
      </c>
      <c r="S1542">
        <f t="shared" si="179"/>
        <v>15.594146946215897</v>
      </c>
      <c r="T1542" s="564">
        <f>IF((I1542-MAX(I$470:I1542))/MAX(I$470:I1542)&gt;T1541,T1541,(I1542-MAX(I$470:I1542))/MAX(I$470:I1542))</f>
        <v>-0.91338805338419748</v>
      </c>
      <c r="U1542" s="564">
        <f>IF((J1542-MAX(J$470:J1542))/MAX(J$470:J1542)&gt;U1541,U1541,(J1542-MAX(J$470:J1542))/MAX(J$470:J1542))</f>
        <v>-0.72031258158274925</v>
      </c>
      <c r="V1542" s="564">
        <f>IF((K1542-MAX(K$470:K1542))/MAX(K$470:K1542)&gt;V1541,V1541,(K1542-MAX(K$470:K1542))/MAX(K$470:K1542))</f>
        <v>-0.84885940676762139</v>
      </c>
      <c r="W1542" s="564">
        <f>IF((N1542-MAX(N$470:N1542))/MAX(N$470:N1542)&gt;W1541,W1541,(N1542-MAX(N$470:N1542))/MAX(N$470:N1542))</f>
        <v>-0.62788758315546067</v>
      </c>
      <c r="X1542" s="564">
        <f>IF((O1542-MAX(O$470:O1542))/MAX(O$470:O1542)&gt;X1541,X1541,(O1542-MAX(O$470:O1542))/MAX(O$470:O1542))</f>
        <v>-0.62788758315546067</v>
      </c>
    </row>
    <row r="1543" spans="1:24">
      <c r="A1543" s="799">
        <v>41945</v>
      </c>
      <c r="B1543">
        <v>324.96800000000002</v>
      </c>
      <c r="C1543">
        <v>304.96698800000001</v>
      </c>
      <c r="D1543">
        <v>0.95980600000000005</v>
      </c>
      <c r="E1543">
        <f>LN(D1543/参数实验室!$E$53)/参数实验室!$E$55</f>
        <v>-0.74136660694593415</v>
      </c>
      <c r="F1543">
        <f t="shared" si="188"/>
        <v>0.93845236454050862</v>
      </c>
      <c r="G1543">
        <f>LN(F1543/参数实验室!$E$58)/参数实验室!$E$59</f>
        <v>-0.22387042316697381</v>
      </c>
      <c r="H1543" s="856">
        <f>INDEX(神经网络!$G$10:$BO$70,MATCH(ROUND(G1543*2,1)/2,神经网络!$E$10:$E$70,0),MATCH(ROUND(E1543*2,1)/2,神经网络!$G$8:$BO$8,0))</f>
        <v>-0.62222686136931071</v>
      </c>
      <c r="I1543">
        <f t="shared" si="180"/>
        <v>856.65702016020862</v>
      </c>
      <c r="J1543">
        <f t="shared" si="181"/>
        <v>129.67080324009405</v>
      </c>
      <c r="K1543">
        <f t="shared" si="182"/>
        <v>6.6063986553245266</v>
      </c>
      <c r="L1543" s="4">
        <f>MIN(MAX(L1542*(1+MAX(MIN(((B1543-B1542)/B1542)/($K$7*卓尔金历!$N$40),0),-卓尔金历!$M$43))+MIN(MAX(((B1543-B1542)/B1542)/($K$7*卓尔金历!$N$40),0),卓尔金历!$M$43),0),1)</f>
        <v>7.3602006935921713E-2</v>
      </c>
      <c r="M1543" s="4">
        <f>MIN(MAX(M1542*(1+MAX(MIN(((B1543-B1542)/B1542)/($K$7*30),0),-卓尔金历!$M$43))+MIN(MAX(((B1543-B1542)/B1542)/($K$7*7),0),卓尔金历!$M$43),0),1)</f>
        <v>0.57725856606207304</v>
      </c>
      <c r="N1543">
        <f t="shared" si="183"/>
        <v>723.76855861263323</v>
      </c>
      <c r="O1543">
        <f t="shared" si="184"/>
        <v>1832.2783037992237</v>
      </c>
      <c r="P1543">
        <f t="shared" si="185"/>
        <v>-1.2852408421653755E-2</v>
      </c>
      <c r="Q1543">
        <f t="shared" si="186"/>
        <v>2.9974107510104545E-2</v>
      </c>
      <c r="R1543">
        <f t="shared" si="187"/>
        <v>0.90205459151072109</v>
      </c>
      <c r="S1543">
        <f t="shared" si="179"/>
        <v>15.596357159797339</v>
      </c>
      <c r="T1543" s="564">
        <f>IF((I1543-MAX(I$470:I1543))/MAX(I$470:I1543)&gt;T1542,T1542,(I1543-MAX(I$470:I1543))/MAX(I$470:I1543))</f>
        <v>-0.91338805338419748</v>
      </c>
      <c r="U1543" s="564">
        <f>IF((J1543-MAX(J$470:J1543))/MAX(J$470:J1543)&gt;U1542,U1542,(J1543-MAX(J$470:J1543))/MAX(J$470:J1543))</f>
        <v>-0.72031258158274925</v>
      </c>
      <c r="V1543" s="564">
        <f>IF((K1543-MAX(K$470:K1543))/MAX(K$470:K1543)&gt;V1542,V1542,(K1543-MAX(K$470:K1543))/MAX(K$470:K1543))</f>
        <v>-0.84885940676762139</v>
      </c>
      <c r="W1543" s="564">
        <f>IF((N1543-MAX(N$470:N1543))/MAX(N$470:N1543)&gt;W1542,W1542,(N1543-MAX(N$470:N1543))/MAX(N$470:N1543))</f>
        <v>-0.62788758315546067</v>
      </c>
      <c r="X1543" s="564">
        <f>IF((O1543-MAX(O$470:O1543))/MAX(O$470:O1543)&gt;X1542,X1542,(O1543-MAX(O$470:O1543))/MAX(O$470:O1543))</f>
        <v>-0.62788758315546067</v>
      </c>
    </row>
    <row r="1544" spans="1:24">
      <c r="A1544" s="799">
        <v>41946</v>
      </c>
      <c r="B1544">
        <v>330.59500000000003</v>
      </c>
      <c r="C1544">
        <v>302.27471000000003</v>
      </c>
      <c r="D1544">
        <v>0.96404699999999999</v>
      </c>
      <c r="E1544">
        <f>LN(D1544/参数实验室!$E$53)/参数实验室!$E$55</f>
        <v>-0.73616523073652695</v>
      </c>
      <c r="F1544">
        <f t="shared" si="188"/>
        <v>0.91433539527216079</v>
      </c>
      <c r="G1544">
        <f>LN(F1544/参数实验室!$E$58)/参数实验室!$E$59</f>
        <v>-0.2375348094029433</v>
      </c>
      <c r="H1544" s="856">
        <f>INDEX(神经网络!$G$10:$BO$70,MATCH(ROUND(G1544*2,1)/2,神经网络!$E$10:$E$70,0),MATCH(ROUND(E1544*2,1)/2,神经网络!$G$8:$BO$8,0))</f>
        <v>-0.70291787134611394</v>
      </c>
      <c r="I1544">
        <f t="shared" si="180"/>
        <v>847.42722524127225</v>
      </c>
      <c r="J1544">
        <f t="shared" si="181"/>
        <v>131.91612465583964</v>
      </c>
      <c r="K1544">
        <f t="shared" si="182"/>
        <v>6.4239851455017591</v>
      </c>
      <c r="L1544" s="4">
        <f>MIN(MAX(L1543*(1+MAX(MIN(((B1544-B1543)/B1543)/($K$7*卓尔金历!$N$40),0),-卓尔金历!$M$43))+MIN(MAX(((B1544-B1543)/B1543)/($K$7*卓尔金历!$N$40),0),卓尔金历!$M$43),0),1)</f>
        <v>0.33816701078876238</v>
      </c>
      <c r="M1544" s="4">
        <f>MIN(MAX(M1543*(1+MAX(MIN(((B1544-B1543)/B1543)/($K$7*30),0),-卓尔金历!$M$43))+MIN(MAX(((B1544-B1543)/B1543)/($K$7*7),0),卓尔金历!$M$43),0),1)</f>
        <v>1</v>
      </c>
      <c r="N1544">
        <f t="shared" si="183"/>
        <v>723.19460810726139</v>
      </c>
      <c r="O1544">
        <f t="shared" si="184"/>
        <v>1820.8824492244064</v>
      </c>
      <c r="P1544">
        <f t="shared" si="185"/>
        <v>1.731555106964381E-2</v>
      </c>
      <c r="Q1544">
        <f t="shared" si="186"/>
        <v>2.925634313095361E-2</v>
      </c>
      <c r="R1544">
        <f t="shared" si="187"/>
        <v>0.57018667515289856</v>
      </c>
      <c r="S1544">
        <f t="shared" si="179"/>
        <v>15.444777451614007</v>
      </c>
      <c r="T1544" s="564">
        <f>IF((I1544-MAX(I$470:I1544))/MAX(I$470:I1544)&gt;T1543,T1543,(I1544-MAX(I$470:I1544))/MAX(I$470:I1544))</f>
        <v>-0.91338805338419748</v>
      </c>
      <c r="U1544" s="564">
        <f>IF((J1544-MAX(J$470:J1544))/MAX(J$470:J1544)&gt;U1543,U1543,(J1544-MAX(J$470:J1544))/MAX(J$470:J1544))</f>
        <v>-0.72031258158274925</v>
      </c>
      <c r="V1544" s="564">
        <f>IF((K1544-MAX(K$470:K1544))/MAX(K$470:K1544)&gt;V1543,V1543,(K1544-MAX(K$470:K1544))/MAX(K$470:K1544))</f>
        <v>-0.84885940676762139</v>
      </c>
      <c r="W1544" s="564">
        <f>IF((N1544-MAX(N$470:N1544))/MAX(N$470:N1544)&gt;W1543,W1543,(N1544-MAX(N$470:N1544))/MAX(N$470:N1544))</f>
        <v>-0.62788758315546067</v>
      </c>
      <c r="X1544" s="564">
        <f>IF((O1544-MAX(O$470:O1544))/MAX(O$470:O1544)&gt;X1543,X1543,(O1544-MAX(O$470:O1544))/MAX(O$470:O1544))</f>
        <v>-0.62788758315546067</v>
      </c>
    </row>
    <row r="1545" spans="1:24">
      <c r="A1545" s="799">
        <v>41947</v>
      </c>
      <c r="B1545">
        <v>326.202</v>
      </c>
      <c r="C1545">
        <v>303.96725099999998</v>
      </c>
      <c r="D1545">
        <v>0.97805200000000003</v>
      </c>
      <c r="E1545">
        <f>LN(D1545/参数实验室!$E$53)/参数实验室!$E$55</f>
        <v>-0.7191498977456855</v>
      </c>
      <c r="F1545">
        <f t="shared" si="188"/>
        <v>0.93183748413559686</v>
      </c>
      <c r="G1545">
        <f>LN(F1545/参数实验室!$E$58)/参数实验室!$E$59</f>
        <v>-0.22758306824618221</v>
      </c>
      <c r="H1545" s="856">
        <f>INDEX(神经网络!$G$10:$BO$70,MATCH(ROUND(G1545*2,1)/2,神经网络!$E$10:$E$70,0),MATCH(ROUND(E1545*2,1)/2,神经网络!$G$8:$BO$8,0))</f>
        <v>-0.69003157576404506</v>
      </c>
      <c r="I1545">
        <f t="shared" si="180"/>
        <v>855.34260798897037</v>
      </c>
      <c r="J1545">
        <f t="shared" si="181"/>
        <v>130.16320178763803</v>
      </c>
      <c r="K1545">
        <f t="shared" si="182"/>
        <v>6.5713089125178898</v>
      </c>
      <c r="L1545" s="4">
        <f>MIN(MAX(L1544*(1+MAX(MIN(((B1545-B1544)/B1544)/($K$7*卓尔金历!$N$40),0),-卓尔金历!$M$43))+MIN(MAX(((B1545-B1544)/B1544)/($K$7*卓尔金历!$N$40),0),卓尔金历!$M$43),0),1)</f>
        <v>0.26950883830212197</v>
      </c>
      <c r="M1545" s="4">
        <f>MIN(MAX(M1544*(1+MAX(MIN(((B1545-B1544)/B1544)/($K$7*30),0),-卓尔金历!$M$43))+MIN(MAX(((B1545-B1544)/B1544)/($K$7*7),0),卓尔金历!$M$43),0),1)</f>
        <v>0.89848481623547827</v>
      </c>
      <c r="N1545">
        <f t="shared" si="183"/>
        <v>725.47892276056473</v>
      </c>
      <c r="O1545">
        <f t="shared" si="184"/>
        <v>1837.8903775690187</v>
      </c>
      <c r="P1545">
        <f t="shared" si="185"/>
        <v>-1.3288162252907723E-2</v>
      </c>
      <c r="Q1545">
        <f t="shared" si="186"/>
        <v>2.0840587789023708E-2</v>
      </c>
      <c r="R1545">
        <f t="shared" si="187"/>
        <v>0.49245137986712711</v>
      </c>
      <c r="S1545">
        <f t="shared" si="179"/>
        <v>15.52703357278711</v>
      </c>
      <c r="T1545" s="564">
        <f>IF((I1545-MAX(I$470:I1545))/MAX(I$470:I1545)&gt;T1544,T1544,(I1545-MAX(I$470:I1545))/MAX(I$470:I1545))</f>
        <v>-0.91338805338419748</v>
      </c>
      <c r="U1545" s="564">
        <f>IF((J1545-MAX(J$470:J1545))/MAX(J$470:J1545)&gt;U1544,U1544,(J1545-MAX(J$470:J1545))/MAX(J$470:J1545))</f>
        <v>-0.72031258158274925</v>
      </c>
      <c r="V1545" s="564">
        <f>IF((K1545-MAX(K$470:K1545))/MAX(K$470:K1545)&gt;V1544,V1544,(K1545-MAX(K$470:K1545))/MAX(K$470:K1545))</f>
        <v>-0.84885940676762139</v>
      </c>
      <c r="W1545" s="564">
        <f>IF((N1545-MAX(N$470:N1545))/MAX(N$470:N1545)&gt;W1544,W1544,(N1545-MAX(N$470:N1545))/MAX(N$470:N1545))</f>
        <v>-0.62788758315546067</v>
      </c>
      <c r="X1545" s="564">
        <f>IF((O1545-MAX(O$470:O1545))/MAX(O$470:O1545)&gt;X1544,X1544,(O1545-MAX(O$470:O1545))/MAX(O$470:O1545))</f>
        <v>-0.62788758315546067</v>
      </c>
    </row>
    <row r="1546" spans="1:24">
      <c r="A1546" s="799">
        <v>41948</v>
      </c>
      <c r="B1546">
        <v>336.67</v>
      </c>
      <c r="C1546">
        <v>308.87709999999998</v>
      </c>
      <c r="D1546">
        <v>1.0055940000000001</v>
      </c>
      <c r="E1546">
        <f>LN(D1546/参数实验室!$E$53)/参数实验室!$E$55</f>
        <v>-0.68638714463846273</v>
      </c>
      <c r="F1546">
        <f t="shared" si="188"/>
        <v>0.91744764903317777</v>
      </c>
      <c r="G1546">
        <f>LN(F1546/参数实验室!$E$58)/参数实验室!$E$59</f>
        <v>-0.23575132249226843</v>
      </c>
      <c r="H1546" s="856">
        <f>INDEX(神经网络!$G$10:$BO$70,MATCH(ROUND(G1546*2,1)/2,神经网络!$E$10:$E$70,0),MATCH(ROUND(E1546*2,1)/2,神经网络!$G$8:$BO$8,0))</f>
        <v>-0.69003157576404506</v>
      </c>
      <c r="I1546">
        <f t="shared" si="180"/>
        <v>836.40233800028705</v>
      </c>
      <c r="J1546">
        <f t="shared" si="181"/>
        <v>134.34020988787344</v>
      </c>
      <c r="K1546">
        <f t="shared" si="182"/>
        <v>6.2260014235379497</v>
      </c>
      <c r="L1546" s="4">
        <f>MIN(MAX(L1545*(1+MAX(MIN(((B1546-B1545)/B1545)/($K$7*卓尔金历!$N$40),0),-卓尔金历!$M$43))+MIN(MAX(((B1546-B1545)/B1545)/($K$7*卓尔金历!$N$40),0),卓尔金历!$M$43),0),1)</f>
        <v>0.7598215727791473</v>
      </c>
      <c r="M1546" s="4">
        <f>MIN(MAX(M1545*(1+MAX(MIN(((B1546-B1545)/B1545)/($K$7*30),0),-卓尔金历!$M$43))+MIN(MAX(((B1546-B1545)/B1545)/($K$7*7),0),卓尔金历!$M$43),0),1)</f>
        <v>1</v>
      </c>
      <c r="N1546">
        <f t="shared" si="183"/>
        <v>721.14936168464715</v>
      </c>
      <c r="O1546">
        <f t="shared" si="184"/>
        <v>1801.324465952257</v>
      </c>
      <c r="P1546">
        <f t="shared" si="185"/>
        <v>3.2090545122347554E-2</v>
      </c>
      <c r="Q1546">
        <f t="shared" si="186"/>
        <v>2.2607698665245583E-2</v>
      </c>
      <c r="R1546">
        <f t="shared" si="187"/>
        <v>1.3540735407747336E-2</v>
      </c>
      <c r="S1546">
        <f t="shared" si="179"/>
        <v>15.357717607964521</v>
      </c>
      <c r="T1546" s="564">
        <f>IF((I1546-MAX(I$470:I1546))/MAX(I$470:I1546)&gt;T1545,T1545,(I1546-MAX(I$470:I1546))/MAX(I$470:I1546))</f>
        <v>-0.91338805338419748</v>
      </c>
      <c r="U1546" s="564">
        <f>IF((J1546-MAX(J$470:J1546))/MAX(J$470:J1546)&gt;U1545,U1545,(J1546-MAX(J$470:J1546))/MAX(J$470:J1546))</f>
        <v>-0.72031258158274925</v>
      </c>
      <c r="V1546" s="564">
        <f>IF((K1546-MAX(K$470:K1546))/MAX(K$470:K1546)&gt;V1545,V1545,(K1546-MAX(K$470:K1546))/MAX(K$470:K1546))</f>
        <v>-0.84885940676762139</v>
      </c>
      <c r="W1546" s="564">
        <f>IF((N1546-MAX(N$470:N1546))/MAX(N$470:N1546)&gt;W1545,W1545,(N1546-MAX(N$470:N1546))/MAX(N$470:N1546))</f>
        <v>-0.62788758315546067</v>
      </c>
      <c r="X1546" s="564">
        <f>IF((O1546-MAX(O$470:O1546))/MAX(O$470:O1546)&gt;X1545,X1545,(O1546-MAX(O$470:O1546))/MAX(O$470:O1546))</f>
        <v>-0.62788758315546067</v>
      </c>
    </row>
    <row r="1547" spans="1:24">
      <c r="A1547" s="799">
        <v>41949</v>
      </c>
      <c r="B1547">
        <v>340.38400000000001</v>
      </c>
      <c r="C1547">
        <v>305.10433999999998</v>
      </c>
      <c r="D1547">
        <v>1.0363450000000001</v>
      </c>
      <c r="E1547">
        <f>LN(D1547/参数实验室!$E$53)/参数实验室!$E$55</f>
        <v>-0.65085098515820439</v>
      </c>
      <c r="F1547">
        <f t="shared" si="188"/>
        <v>0.8963533538591707</v>
      </c>
      <c r="G1547">
        <f>LN(F1547/参数实验室!$E$58)/参数实验室!$E$59</f>
        <v>-0.24795985615520783</v>
      </c>
      <c r="H1547" s="856">
        <f>INDEX(神经网络!$G$10:$BO$70,MATCH(ROUND(G1547*2,1)/2,神经网络!$E$10:$E$70,0),MATCH(ROUND(E1547*2,1)/2,神经网络!$G$8:$BO$8,0))</f>
        <v>-0.67346362458161046</v>
      </c>
      <c r="I1547">
        <f t="shared" si="180"/>
        <v>830.03553103085403</v>
      </c>
      <c r="J1547">
        <f t="shared" si="181"/>
        <v>135.82219384701312</v>
      </c>
      <c r="K1547">
        <f t="shared" si="182"/>
        <v>6.1111921956273676</v>
      </c>
      <c r="L1547" s="4">
        <f>MIN(MAX(L1546*(1+MAX(MIN(((B1547-B1546)/B1546)/($K$7*卓尔金历!$N$40),0),-卓尔金历!$M$43))+MIN(MAX(((B1547-B1546)/B1546)/($K$7*卓尔金历!$N$40),0),卓尔金历!$M$43),0),1)</f>
        <v>0.92837343644629833</v>
      </c>
      <c r="M1547" s="4">
        <f>MIN(MAX(M1546*(1+MAX(MIN(((B1547-B1546)/B1546)/($K$7*30),0),-卓尔金历!$M$43))+MIN(MAX(((B1547-B1546)/B1546)/($K$7*7),0),卓尔金历!$M$43),0),1)</f>
        <v>1</v>
      </c>
      <c r="N1547">
        <f t="shared" si="183"/>
        <v>716.97833192814312</v>
      </c>
      <c r="O1547">
        <f t="shared" si="184"/>
        <v>1787.6125421053498</v>
      </c>
      <c r="P1547">
        <f t="shared" si="185"/>
        <v>1.1031573944812424E-2</v>
      </c>
      <c r="Q1547">
        <f t="shared" si="186"/>
        <v>2.2927000468049841E-2</v>
      </c>
      <c r="R1547">
        <f t="shared" si="187"/>
        <v>0.7707002014881551</v>
      </c>
      <c r="S1547">
        <f t="shared" si="179"/>
        <v>15.356134628159298</v>
      </c>
      <c r="T1547" s="564">
        <f>IF((I1547-MAX(I$470:I1547))/MAX(I$470:I1547)&gt;T1546,T1546,(I1547-MAX(I$470:I1547))/MAX(I$470:I1547))</f>
        <v>-0.91338805338419748</v>
      </c>
      <c r="U1547" s="564">
        <f>IF((J1547-MAX(J$470:J1547))/MAX(J$470:J1547)&gt;U1546,U1546,(J1547-MAX(J$470:J1547))/MAX(J$470:J1547))</f>
        <v>-0.72031258158274925</v>
      </c>
      <c r="V1547" s="564">
        <f>IF((K1547-MAX(K$470:K1547))/MAX(K$470:K1547)&gt;V1546,V1546,(K1547-MAX(K$470:K1547))/MAX(K$470:K1547))</f>
        <v>-0.84885940676762139</v>
      </c>
      <c r="W1547" s="564">
        <f>IF((N1547-MAX(N$470:N1547))/MAX(N$470:N1547)&gt;W1546,W1546,(N1547-MAX(N$470:N1547))/MAX(N$470:N1547))</f>
        <v>-0.62788758315546067</v>
      </c>
      <c r="X1547" s="564">
        <f>IF((O1547-MAX(O$470:O1547))/MAX(O$470:O1547)&gt;X1546,X1546,(O1547-MAX(O$470:O1547))/MAX(O$470:O1547))</f>
        <v>-0.62788758315546067</v>
      </c>
    </row>
    <row r="1548" spans="1:24">
      <c r="A1548" s="799">
        <v>41950</v>
      </c>
      <c r="B1548">
        <v>347.63499999999999</v>
      </c>
      <c r="C1548">
        <v>304.17472199999997</v>
      </c>
      <c r="D1548">
        <v>1.0147619999999999</v>
      </c>
      <c r="E1548">
        <f>LN(D1548/参数实验室!$E$53)/参数实验室!$E$55</f>
        <v>-0.67568006926991409</v>
      </c>
      <c r="F1548">
        <f t="shared" si="188"/>
        <v>0.87498301954636326</v>
      </c>
      <c r="G1548">
        <f>LN(F1548/参数实验室!$E$58)/参数实验室!$E$59</f>
        <v>-0.26062470148923794</v>
      </c>
      <c r="H1548" s="856">
        <f>INDEX(神经网络!$G$10:$BO$70,MATCH(ROUND(G1548*2,1)/2,神经网络!$E$10:$E$70,0),MATCH(ROUND(E1548*2,1)/2,神经网络!$G$8:$BO$8,0))</f>
        <v>-0.69003157576404506</v>
      </c>
      <c r="I1548">
        <f t="shared" si="180"/>
        <v>818.12750996091813</v>
      </c>
      <c r="J1548">
        <f t="shared" si="181"/>
        <v>138.71553409680362</v>
      </c>
      <c r="K1548">
        <f t="shared" si="182"/>
        <v>5.8978795366204766</v>
      </c>
      <c r="L1548" s="4">
        <f>MIN(MAX(L1547*(1+MAX(MIN(((B1548-B1547)/B1547)/($K$7*卓尔金历!$N$40),0),-卓尔金历!$M$43))+MIN(MAX(((B1548-B1547)/B1547)/($K$7*卓尔金历!$N$40),0),卓尔金历!$M$43),0),1)</f>
        <v>1</v>
      </c>
      <c r="M1548" s="4">
        <f>MIN(MAX(M1547*(1+MAX(MIN(((B1548-B1547)/B1547)/($K$7*30),0),-卓尔金历!$M$43))+MIN(MAX(((B1548-B1547)/B1547)/($K$7*7),0),卓尔金历!$M$43),0),1)</f>
        <v>1</v>
      </c>
      <c r="N1548">
        <f t="shared" si="183"/>
        <v>707.4290295090583</v>
      </c>
      <c r="O1548">
        <f t="shared" si="184"/>
        <v>1761.9667389795063</v>
      </c>
      <c r="P1548">
        <f t="shared" si="185"/>
        <v>2.1302411394190021E-2</v>
      </c>
      <c r="Q1548">
        <f t="shared" si="186"/>
        <v>2.3294370737187563E-2</v>
      </c>
      <c r="R1548">
        <f t="shared" si="187"/>
        <v>0.11436793321166311</v>
      </c>
      <c r="S1548">
        <f t="shared" si="179"/>
        <v>15.186345337314851</v>
      </c>
      <c r="T1548" s="564">
        <f>IF((I1548-MAX(I$470:I1548))/MAX(I$470:I1548)&gt;T1547,T1547,(I1548-MAX(I$470:I1548))/MAX(I$470:I1548))</f>
        <v>-0.91338805338419748</v>
      </c>
      <c r="U1548" s="564">
        <f>IF((J1548-MAX(J$470:J1548))/MAX(J$470:J1548)&gt;U1547,U1547,(J1548-MAX(J$470:J1548))/MAX(J$470:J1548))</f>
        <v>-0.72031258158274925</v>
      </c>
      <c r="V1548" s="564">
        <f>IF((K1548-MAX(K$470:K1548))/MAX(K$470:K1548)&gt;V1547,V1547,(K1548-MAX(K$470:K1548))/MAX(K$470:K1548))</f>
        <v>-0.84885940676762139</v>
      </c>
      <c r="W1548" s="564">
        <f>IF((N1548-MAX(N$470:N1548))/MAX(N$470:N1548)&gt;W1547,W1547,(N1548-MAX(N$470:N1548))/MAX(N$470:N1548))</f>
        <v>-0.62788758315546067</v>
      </c>
      <c r="X1548" s="564">
        <f>IF((O1548-MAX(O$470:O1548))/MAX(O$470:O1548)&gt;X1547,X1547,(O1548-MAX(O$470:O1548))/MAX(O$470:O1548))</f>
        <v>-0.62788758315546067</v>
      </c>
    </row>
    <row r="1549" spans="1:24">
      <c r="A1549" s="799">
        <v>41951</v>
      </c>
      <c r="B1549">
        <v>343.49200000000002</v>
      </c>
      <c r="C1549">
        <v>303.454409</v>
      </c>
      <c r="D1549">
        <v>1.02535</v>
      </c>
      <c r="E1549">
        <f>LN(D1549/参数实验室!$E$53)/参数实验室!$E$55</f>
        <v>-0.66343433031035381</v>
      </c>
      <c r="F1549">
        <f t="shared" si="188"/>
        <v>0.88343952406460702</v>
      </c>
      <c r="G1549">
        <f>LN(F1549/参数实验室!$E$58)/参数实验室!$E$59</f>
        <v>-0.25557646684226948</v>
      </c>
      <c r="H1549" s="856">
        <f>INDEX(神经网络!$G$10:$BO$70,MATCH(ROUND(G1549*2,1)/2,神经网络!$E$10:$E$70,0),MATCH(ROUND(E1549*2,1)/2,神经网络!$G$8:$BO$8,0))</f>
        <v>-0.67346362458161046</v>
      </c>
      <c r="I1549">
        <f t="shared" si="180"/>
        <v>824.85543895260196</v>
      </c>
      <c r="J1549">
        <f t="shared" si="181"/>
        <v>137.0623678225129</v>
      </c>
      <c r="K1549">
        <f t="shared" si="182"/>
        <v>6.018102941434206</v>
      </c>
      <c r="L1549" s="4">
        <f>MIN(MAX(L1548*(1+MAX(MIN(((B1549-B1548)/B1548)/($K$7*卓尔金历!$N$40),0),-卓尔金历!$M$43))+MIN(MAX(((B1549-B1548)/B1548)/($K$7*卓尔金历!$N$40),0),卓尔金历!$M$43),0),1)</f>
        <v>0.81790940423053982</v>
      </c>
      <c r="M1549" s="4">
        <f>MIN(MAX(M1548*(1+MAX(MIN(((B1549-B1548)/B1548)/($K$7*30),0),-卓尔金历!$M$43))+MIN(MAX(((B1549-B1548)/B1548)/($K$7*7),0),卓尔金历!$M$43),0),1)</f>
        <v>0.90895470211526996</v>
      </c>
      <c r="N1549">
        <f t="shared" si="183"/>
        <v>713.24662177828793</v>
      </c>
      <c r="O1549">
        <f t="shared" si="184"/>
        <v>1776.456396106583</v>
      </c>
      <c r="P1549">
        <f t="shared" si="185"/>
        <v>-1.1917672271203912E-2</v>
      </c>
      <c r="Q1549">
        <f t="shared" si="186"/>
        <v>2.334537183122979E-2</v>
      </c>
      <c r="R1549">
        <f t="shared" si="187"/>
        <v>0.71133334835256146</v>
      </c>
      <c r="S1549">
        <f t="shared" si="179"/>
        <v>15.20062828834681</v>
      </c>
      <c r="T1549" s="564">
        <f>IF((I1549-MAX(I$470:I1549))/MAX(I$470:I1549)&gt;T1548,T1548,(I1549-MAX(I$470:I1549))/MAX(I$470:I1549))</f>
        <v>-0.91338805338419748</v>
      </c>
      <c r="U1549" s="564">
        <f>IF((J1549-MAX(J$470:J1549))/MAX(J$470:J1549)&gt;U1548,U1548,(J1549-MAX(J$470:J1549))/MAX(J$470:J1549))</f>
        <v>-0.72031258158274925</v>
      </c>
      <c r="V1549" s="564">
        <f>IF((K1549-MAX(K$470:K1549))/MAX(K$470:K1549)&gt;V1548,V1548,(K1549-MAX(K$470:K1549))/MAX(K$470:K1549))</f>
        <v>-0.84885940676762139</v>
      </c>
      <c r="W1549" s="564">
        <f>IF((N1549-MAX(N$470:N1549))/MAX(N$470:N1549)&gt;W1548,W1548,(N1549-MAX(N$470:N1549))/MAX(N$470:N1549))</f>
        <v>-0.62788758315546067</v>
      </c>
      <c r="X1549" s="564">
        <f>IF((O1549-MAX(O$470:O1549))/MAX(O$470:O1549)&gt;X1548,X1548,(O1549-MAX(O$470:O1549))/MAX(O$470:O1549))</f>
        <v>-0.62788758315546067</v>
      </c>
    </row>
    <row r="1550" spans="1:24">
      <c r="A1550" s="799">
        <v>41952</v>
      </c>
      <c r="B1550">
        <v>349.13499999999999</v>
      </c>
      <c r="C1550">
        <v>304.72913199999999</v>
      </c>
      <c r="D1550">
        <v>1.07918</v>
      </c>
      <c r="E1550">
        <f>LN(D1550/参数实验室!$E$53)/参数实验室!$E$55</f>
        <v>-0.60306933478018399</v>
      </c>
      <c r="F1550">
        <f t="shared" si="188"/>
        <v>0.87281175476534867</v>
      </c>
      <c r="G1550">
        <f>LN(F1550/参数实验室!$E$58)/参数实验室!$E$59</f>
        <v>-0.2619287421030505</v>
      </c>
      <c r="H1550" s="856">
        <f>INDEX(神经网络!$G$10:$BO$70,MATCH(ROUND(G1550*2,1)/2,神经网络!$E$10:$E$70,0),MATCH(ROUND(E1550*2,1)/2,神经网络!$G$8:$BO$8,0))</f>
        <v>-0.65125173423581451</v>
      </c>
      <c r="I1550">
        <f t="shared" si="180"/>
        <v>815.72933504242064</v>
      </c>
      <c r="J1550">
        <f t="shared" si="181"/>
        <v>139.31407366026878</v>
      </c>
      <c r="K1550">
        <f t="shared" si="182"/>
        <v>5.8553261247076716</v>
      </c>
      <c r="L1550" s="4">
        <f>MIN(MAX(L1549*(1+MAX(MIN(((B1550-B1549)/B1549)/($K$7*卓尔金历!$N$40),0),-卓尔金历!$M$43))+MIN(MAX(((B1550-B1549)/B1549)/($K$7*卓尔金历!$N$40),0),卓尔金历!$M$43),0),1)</f>
        <v>1</v>
      </c>
      <c r="M1550" s="4">
        <f>MIN(MAX(M1549*(1+MAX(MIN(((B1550-B1549)/B1549)/($K$7*30),0),-卓尔金历!$M$43))+MIN(MAX(((B1550-B1549)/B1549)/($K$7*7),0),卓尔金历!$M$43),0),1)</f>
        <v>1</v>
      </c>
      <c r="N1550">
        <f t="shared" si="183"/>
        <v>706.79227207865119</v>
      </c>
      <c r="O1550">
        <f t="shared" si="184"/>
        <v>1758.5913410235071</v>
      </c>
      <c r="P1550">
        <f t="shared" si="185"/>
        <v>1.6428330208563727E-2</v>
      </c>
      <c r="Q1550">
        <f t="shared" si="186"/>
        <v>2.2485563974333756E-2</v>
      </c>
      <c r="R1550">
        <f t="shared" si="187"/>
        <v>0.34453890102592122</v>
      </c>
      <c r="S1550">
        <f t="shared" si="179"/>
        <v>15.080997689833621</v>
      </c>
      <c r="T1550" s="564">
        <f>IF((I1550-MAX(I$470:I1550))/MAX(I$470:I1550)&gt;T1549,T1549,(I1550-MAX(I$470:I1550))/MAX(I$470:I1550))</f>
        <v>-0.91338805338419748</v>
      </c>
      <c r="U1550" s="564">
        <f>IF((J1550-MAX(J$470:J1550))/MAX(J$470:J1550)&gt;U1549,U1549,(J1550-MAX(J$470:J1550))/MAX(J$470:J1550))</f>
        <v>-0.72031258158274925</v>
      </c>
      <c r="V1550" s="564">
        <f>IF((K1550-MAX(K$470:K1550))/MAX(K$470:K1550)&gt;V1549,V1549,(K1550-MAX(K$470:K1550))/MAX(K$470:K1550))</f>
        <v>-0.84885940676762139</v>
      </c>
      <c r="W1550" s="564">
        <f>IF((N1550-MAX(N$470:N1550))/MAX(N$470:N1550)&gt;W1549,W1549,(N1550-MAX(N$470:N1550))/MAX(N$470:N1550))</f>
        <v>-0.62788758315546067</v>
      </c>
      <c r="X1550" s="564">
        <f>IF((O1550-MAX(O$470:O1550))/MAX(O$470:O1550)&gt;X1549,X1549,(O1550-MAX(O$470:O1550))/MAX(O$470:O1550))</f>
        <v>-0.62788758315546067</v>
      </c>
    </row>
    <row r="1551" spans="1:24">
      <c r="A1551" s="799">
        <v>41953</v>
      </c>
      <c r="B1551">
        <v>359.94400000000002</v>
      </c>
      <c r="C1551">
        <v>304.39663999999999</v>
      </c>
      <c r="D1551">
        <v>1.0847230000000001</v>
      </c>
      <c r="E1551">
        <f>LN(D1551/参数实验室!$E$53)/参数实验室!$E$55</f>
        <v>-0.59702526854019533</v>
      </c>
      <c r="F1551">
        <f t="shared" si="188"/>
        <v>0.84567777209788186</v>
      </c>
      <c r="G1551">
        <f>LN(F1551/参数实验室!$E$58)/参数实验室!$E$59</f>
        <v>-0.27850441969796619</v>
      </c>
      <c r="H1551" s="856">
        <f>INDEX(神经网络!$G$10:$BO$70,MATCH(ROUND(G1551*2,1)/2,神经网络!$E$10:$E$70,0),MATCH(ROUND(E1551*2,1)/2,神经网络!$G$8:$BO$8,0))</f>
        <v>-0.7186796146723039</v>
      </c>
      <c r="I1551">
        <f t="shared" si="180"/>
        <v>799.28231952486499</v>
      </c>
      <c r="J1551">
        <f t="shared" si="181"/>
        <v>143.62714975459861</v>
      </c>
      <c r="K1551">
        <f t="shared" si="182"/>
        <v>5.5649807218935905</v>
      </c>
      <c r="L1551" s="4">
        <f>MIN(MAX(L1550*(1+MAX(MIN(((B1551-B1550)/B1550)/($K$7*卓尔金历!$N$40),0),-卓尔金历!$M$43))+MIN(MAX(((B1551-B1550)/B1550)/($K$7*卓尔金历!$N$40),0),卓尔金历!$M$43),0),1)</f>
        <v>1</v>
      </c>
      <c r="M1551" s="4">
        <f>MIN(MAX(M1550*(1+MAX(MIN(((B1551-B1550)/B1550)/($K$7*30),0),-卓尔金历!$M$43))+MIN(MAX(((B1551-B1550)/B1550)/($K$7*7),0),卓尔金历!$M$43),0),1)</f>
        <v>1</v>
      </c>
      <c r="N1551">
        <f t="shared" si="183"/>
        <v>692.54168310607065</v>
      </c>
      <c r="O1551">
        <f t="shared" si="184"/>
        <v>1723.1340173349474</v>
      </c>
      <c r="P1551">
        <f t="shared" si="185"/>
        <v>3.0959371016941947E-2</v>
      </c>
      <c r="Q1551">
        <f t="shared" si="186"/>
        <v>2.3302727737092768E-2</v>
      </c>
      <c r="R1551">
        <f t="shared" si="187"/>
        <v>1.6097295883620983E-2</v>
      </c>
      <c r="S1551">
        <f t="shared" si="179"/>
        <v>14.976234344223299</v>
      </c>
      <c r="T1551" s="564">
        <f>IF((I1551-MAX(I$470:I1551))/MAX(I$470:I1551)&gt;T1550,T1550,(I1551-MAX(I$470:I1551))/MAX(I$470:I1551))</f>
        <v>-0.91338805338419748</v>
      </c>
      <c r="U1551" s="564">
        <f>IF((J1551-MAX(J$470:J1551))/MAX(J$470:J1551)&gt;U1550,U1550,(J1551-MAX(J$470:J1551))/MAX(J$470:J1551))</f>
        <v>-0.72031258158274925</v>
      </c>
      <c r="V1551" s="564">
        <f>IF((K1551-MAX(K$470:K1551))/MAX(K$470:K1551)&gt;V1550,V1550,(K1551-MAX(K$470:K1551))/MAX(K$470:K1551))</f>
        <v>-0.84885940676762139</v>
      </c>
      <c r="W1551" s="564">
        <f>IF((N1551-MAX(N$470:N1551))/MAX(N$470:N1551)&gt;W1550,W1550,(N1551-MAX(N$470:N1551))/MAX(N$470:N1551))</f>
        <v>-0.62788758315546067</v>
      </c>
      <c r="X1551" s="564">
        <f>IF((O1551-MAX(O$470:O1551))/MAX(O$470:O1551)&gt;X1550,X1550,(O1551-MAX(O$470:O1551))/MAX(O$470:O1551))</f>
        <v>-0.62788758315546067</v>
      </c>
    </row>
    <row r="1552" spans="1:24">
      <c r="A1552" s="799">
        <v>41954</v>
      </c>
      <c r="B1552">
        <v>367.83300000000003</v>
      </c>
      <c r="C1552">
        <v>308.47326299999997</v>
      </c>
      <c r="D1552">
        <v>1.0919399999999999</v>
      </c>
      <c r="E1552">
        <f>LN(D1552/参数实验室!$E$53)/参数实验室!$E$55</f>
        <v>-0.58920199928613726</v>
      </c>
      <c r="F1552">
        <f t="shared" si="188"/>
        <v>0.83862313332408989</v>
      </c>
      <c r="G1552">
        <f>LN(F1552/参数实验室!$E$58)/参数实验室!$E$59</f>
        <v>-0.28290111309571425</v>
      </c>
      <c r="H1552" s="856">
        <f>INDEX(神经网络!$G$10:$BO$70,MATCH(ROUND(G1552*2,1)/2,神经网络!$E$10:$E$70,0),MATCH(ROUND(E1552*2,1)/2,神经网络!$G$8:$BO$8,0))</f>
        <v>-0.7186796146723039</v>
      </c>
      <c r="I1552">
        <f t="shared" si="180"/>
        <v>786.69241171326212</v>
      </c>
      <c r="J1552">
        <f t="shared" si="181"/>
        <v>146.77506883204964</v>
      </c>
      <c r="K1552">
        <f t="shared" si="182"/>
        <v>5.3598504022059146</v>
      </c>
      <c r="L1552" s="4">
        <f>MIN(MAX(L1551*(1+MAX(MIN(((B1552-B1551)/B1551)/($K$7*卓尔金历!$N$40),0),-卓尔金历!$M$43))+MIN(MAX(((B1552-B1551)/B1551)/($K$7*卓尔金历!$N$40),0),卓尔金历!$M$43),0),1)</f>
        <v>1</v>
      </c>
      <c r="M1552" s="4">
        <f>MIN(MAX(M1551*(1+MAX(MIN(((B1552-B1551)/B1551)/($K$7*30),0),-卓尔金历!$M$43))+MIN(MAX(((B1552-B1551)/B1551)/($K$7*7),0),卓尔金历!$M$43),0),1)</f>
        <v>1</v>
      </c>
      <c r="N1552">
        <f t="shared" si="183"/>
        <v>681.63310207905533</v>
      </c>
      <c r="O1552">
        <f t="shared" si="184"/>
        <v>1695.9920452240417</v>
      </c>
      <c r="P1552">
        <f t="shared" si="185"/>
        <v>2.191729824639391E-2</v>
      </c>
      <c r="Q1552">
        <f t="shared" si="186"/>
        <v>2.3853573442575667E-2</v>
      </c>
      <c r="R1552">
        <f t="shared" si="187"/>
        <v>0.10993332294409167</v>
      </c>
      <c r="S1552">
        <f t="shared" si="179"/>
        <v>14.972437018092812</v>
      </c>
      <c r="T1552" s="564">
        <f>IF((I1552-MAX(I$470:I1552))/MAX(I$470:I1552)&gt;T1551,T1551,(I1552-MAX(I$470:I1552))/MAX(I$470:I1552))</f>
        <v>-0.91338805338419748</v>
      </c>
      <c r="U1552" s="564">
        <f>IF((J1552-MAX(J$470:J1552))/MAX(J$470:J1552)&gt;U1551,U1551,(J1552-MAX(J$470:J1552))/MAX(J$470:J1552))</f>
        <v>-0.72031258158274925</v>
      </c>
      <c r="V1552" s="564">
        <f>IF((K1552-MAX(K$470:K1552))/MAX(K$470:K1552)&gt;V1551,V1551,(K1552-MAX(K$470:K1552))/MAX(K$470:K1552))</f>
        <v>-0.84885940676762139</v>
      </c>
      <c r="W1552" s="564">
        <f>IF((N1552-MAX(N$470:N1552))/MAX(N$470:N1552)&gt;W1551,W1551,(N1552-MAX(N$470:N1552))/MAX(N$470:N1552))</f>
        <v>-0.62788758315546067</v>
      </c>
      <c r="X1552" s="564">
        <f>IF((O1552-MAX(O$470:O1552))/MAX(O$470:O1552)&gt;X1551,X1551,(O1552-MAX(O$470:O1552))/MAX(O$470:O1552))</f>
        <v>-0.62788758315546067</v>
      </c>
    </row>
    <row r="1553" spans="1:24">
      <c r="A1553" s="799">
        <v>41955</v>
      </c>
      <c r="B1553">
        <v>378.62900000000002</v>
      </c>
      <c r="C1553">
        <v>310.38353899999998</v>
      </c>
      <c r="D1553">
        <v>1.25193</v>
      </c>
      <c r="E1553">
        <f>LN(D1553/参数实验室!$E$53)/参数实验室!$E$55</f>
        <v>-0.42789383116395624</v>
      </c>
      <c r="F1553">
        <f t="shared" si="188"/>
        <v>0.8197563815766884</v>
      </c>
      <c r="G1553">
        <f>LN(F1553/参数实验室!$E$58)/参数实验室!$E$59</f>
        <v>-0.29484375721075468</v>
      </c>
      <c r="H1553" s="856">
        <f>INDEX(神经网络!$G$10:$BO$70,MATCH(ROUND(G1553*2,1)/2,神经网络!$E$10:$E$70,0),MATCH(ROUND(E1553*2,1)/2,神经网络!$G$8:$BO$8,0))</f>
        <v>-0.64617113922746461</v>
      </c>
      <c r="I1553">
        <f t="shared" si="180"/>
        <v>770.09835866904803</v>
      </c>
      <c r="J1553">
        <f t="shared" si="181"/>
        <v>151.0829575834961</v>
      </c>
      <c r="K1553">
        <f t="shared" si="182"/>
        <v>5.097188796052345</v>
      </c>
      <c r="L1553" s="4">
        <f>MIN(MAX(L1552*(1+MAX(MIN(((B1553-B1552)/B1552)/($K$7*卓尔金历!$N$40),0),-卓尔金历!$M$43))+MIN(MAX(((B1553-B1552)/B1552)/($K$7*卓尔金历!$N$40),0),卓尔金历!$M$43),0),1)</f>
        <v>1</v>
      </c>
      <c r="M1553" s="4">
        <f>MIN(MAX(M1552*(1+MAX(MIN(((B1553-B1552)/B1552)/($K$7*30),0),-卓尔金历!$M$43))+MIN(MAX(((B1553-B1552)/B1552)/($K$7*7),0),卓尔金历!$M$43),0),1)</f>
        <v>1</v>
      </c>
      <c r="N1553">
        <f t="shared" si="183"/>
        <v>667.25511179444231</v>
      </c>
      <c r="O1553">
        <f t="shared" si="184"/>
        <v>1660.2177304575853</v>
      </c>
      <c r="P1553">
        <f t="shared" si="185"/>
        <v>2.935027580450909E-2</v>
      </c>
      <c r="Q1553">
        <f t="shared" si="186"/>
        <v>2.4721262485506115E-2</v>
      </c>
      <c r="R1553">
        <f t="shared" si="187"/>
        <v>1.9759388064592258E-2</v>
      </c>
      <c r="S1553">
        <f t="shared" si="179"/>
        <v>14.93771784577098</v>
      </c>
      <c r="T1553" s="564">
        <f>IF((I1553-MAX(I$470:I1553))/MAX(I$470:I1553)&gt;T1552,T1552,(I1553-MAX(I$470:I1553))/MAX(I$470:I1553))</f>
        <v>-0.91338805338419748</v>
      </c>
      <c r="U1553" s="564">
        <f>IF((J1553-MAX(J$470:J1553))/MAX(J$470:J1553)&gt;U1552,U1552,(J1553-MAX(J$470:J1553))/MAX(J$470:J1553))</f>
        <v>-0.72031258158274925</v>
      </c>
      <c r="V1553" s="564">
        <f>IF((K1553-MAX(K$470:K1553))/MAX(K$470:K1553)&gt;V1552,V1552,(K1553-MAX(K$470:K1553))/MAX(K$470:K1553))</f>
        <v>-0.84885940676762139</v>
      </c>
      <c r="W1553" s="564">
        <f>IF((N1553-MAX(N$470:N1553))/MAX(N$470:N1553)&gt;W1552,W1552,(N1553-MAX(N$470:N1553))/MAX(N$470:N1553))</f>
        <v>-0.62788758315546067</v>
      </c>
      <c r="X1553" s="564">
        <f>IF((O1553-MAX(O$470:O1553))/MAX(O$470:O1553)&gt;X1552,X1552,(O1553-MAX(O$470:O1553))/MAX(O$470:O1553))</f>
        <v>-0.62788758315546067</v>
      </c>
    </row>
    <row r="1554" spans="1:24">
      <c r="A1554" s="799">
        <v>41956</v>
      </c>
      <c r="B1554">
        <v>438.286</v>
      </c>
      <c r="C1554">
        <v>307.99572899999998</v>
      </c>
      <c r="D1554">
        <v>1.2459739999999999</v>
      </c>
      <c r="E1554">
        <f>LN(D1554/参数实验室!$E$53)/参数实验室!$E$55</f>
        <v>-0.43351984692549983</v>
      </c>
      <c r="F1554">
        <f t="shared" si="188"/>
        <v>0.70272773713967585</v>
      </c>
      <c r="G1554">
        <f>LN(F1554/参数实验室!$E$58)/参数实验室!$E$59</f>
        <v>-0.37569105152966642</v>
      </c>
      <c r="H1554" s="856">
        <f>INDEX(神经网络!$G$10:$BO$70,MATCH(ROUND(G1554*2,1)/2,神经网络!$E$10:$E$70,0),MATCH(ROUND(E1554*2,1)/2,神经网络!$G$8:$BO$8,0))</f>
        <v>-0.76561457365229413</v>
      </c>
      <c r="I1554">
        <f t="shared" si="180"/>
        <v>691.69380443566786</v>
      </c>
      <c r="J1554">
        <f t="shared" si="181"/>
        <v>174.88767407525614</v>
      </c>
      <c r="K1554">
        <f t="shared" si="182"/>
        <v>3.9550746391539531</v>
      </c>
      <c r="L1554" s="4">
        <f>MIN(MAX(L1553*(1+MAX(MIN(((B1554-B1553)/B1553)/($K$7*卓尔金历!$N$40),0),-卓尔金历!$M$43))+MIN(MAX(((B1554-B1553)/B1553)/($K$7*卓尔金历!$N$40),0),卓尔金历!$M$43),0),1)</f>
        <v>1</v>
      </c>
      <c r="M1554" s="4">
        <f>MIN(MAX(M1553*(1+MAX(MIN(((B1554-B1553)/B1553)/($K$7*30),0),-卓尔金历!$M$43))+MIN(MAX(((B1554-B1553)/B1553)/($K$7*7),0),卓尔金历!$M$43),0),1)</f>
        <v>1</v>
      </c>
      <c r="N1554">
        <f t="shared" si="183"/>
        <v>599.32114074871208</v>
      </c>
      <c r="O1554">
        <f t="shared" si="184"/>
        <v>1491.1891516772721</v>
      </c>
      <c r="P1554">
        <f t="shared" si="185"/>
        <v>0.15756056720430811</v>
      </c>
      <c r="Q1554">
        <f t="shared" si="186"/>
        <v>4.0711437106373968E-2</v>
      </c>
      <c r="R1554">
        <f t="shared" si="187"/>
        <v>0</v>
      </c>
      <c r="S1554">
        <f t="shared" si="179"/>
        <v>14.907667267422207</v>
      </c>
      <c r="T1554" s="564">
        <f>IF((I1554-MAX(I$470:I1554))/MAX(I$470:I1554)&gt;T1553,T1553,(I1554-MAX(I$470:I1554))/MAX(I$470:I1554))</f>
        <v>-0.91338805338419748</v>
      </c>
      <c r="U1554" s="564">
        <f>IF((J1554-MAX(J$470:J1554))/MAX(J$470:J1554)&gt;U1553,U1553,(J1554-MAX(J$470:J1554))/MAX(J$470:J1554))</f>
        <v>-0.72031258158274925</v>
      </c>
      <c r="V1554" s="564">
        <f>IF((K1554-MAX(K$470:K1554))/MAX(K$470:K1554)&gt;V1553,V1553,(K1554-MAX(K$470:K1554))/MAX(K$470:K1554))</f>
        <v>-0.84885940676762139</v>
      </c>
      <c r="W1554" s="564">
        <f>IF((N1554-MAX(N$470:N1554))/MAX(N$470:N1554)&gt;W1553,W1553,(N1554-MAX(N$470:N1554))/MAX(N$470:N1554))</f>
        <v>-0.62788758315546067</v>
      </c>
      <c r="X1554" s="564">
        <f>IF((O1554-MAX(O$470:O1554))/MAX(O$470:O1554)&gt;X1553,X1553,(O1554-MAX(O$470:O1554))/MAX(O$470:O1554))</f>
        <v>-0.62788758315546067</v>
      </c>
    </row>
    <row r="1555" spans="1:24">
      <c r="A1555" s="799">
        <v>41957</v>
      </c>
      <c r="B1555">
        <v>384.976</v>
      </c>
      <c r="C1555">
        <v>307.67081400000001</v>
      </c>
      <c r="D1555">
        <v>1.1770510000000001</v>
      </c>
      <c r="E1555">
        <f>LN(D1555/参数实验室!$E$53)/参数实验室!$E$55</f>
        <v>-0.5006541719053107</v>
      </c>
      <c r="F1555">
        <f t="shared" si="188"/>
        <v>0.79919479136361748</v>
      </c>
      <c r="G1555">
        <f>LN(F1555/参数实验室!$E$58)/参数实验室!$E$59</f>
        <v>-0.30817635704255208</v>
      </c>
      <c r="H1555" s="856">
        <f>INDEX(神经网络!$G$10:$BO$70,MATCH(ROUND(G1555*2,1)/2,神经网络!$E$10:$E$70,0),MATCH(ROUND(E1555*2,1)/2,神经网络!$G$8:$BO$8,0))</f>
        <v>-0.669927870239578</v>
      </c>
      <c r="I1555">
        <f t="shared" si="180"/>
        <v>756.10704692188983</v>
      </c>
      <c r="J1555">
        <f t="shared" si="181"/>
        <v>153.61557798970492</v>
      </c>
      <c r="K1555">
        <f t="shared" si="182"/>
        <v>4.9220727273672917</v>
      </c>
      <c r="L1555" s="4">
        <f>MIN(MAX(L1554*(1+MAX(MIN(((B1555-B1554)/B1554)/($K$7*卓尔金历!$N$40),0),-卓尔金历!$M$43))+MIN(MAX(((B1555-B1554)/B1554)/($K$7*卓尔金历!$N$40),0),卓尔金历!$M$43),0),1)</f>
        <v>0</v>
      </c>
      <c r="M1555" s="4">
        <f>MIN(MAX(M1554*(1+MAX(MIN(((B1555-B1554)/B1554)/($K$7*30),0),-卓尔金历!$M$43))+MIN(MAX(((B1555-B1554)/B1554)/($K$7*7),0),卓尔金历!$M$43),0),1)</f>
        <v>7.0782956539786945E-2</v>
      </c>
      <c r="N1555">
        <f t="shared" si="183"/>
        <v>655.13227816039091</v>
      </c>
      <c r="O1555">
        <f t="shared" si="184"/>
        <v>1630.0545395177458</v>
      </c>
      <c r="P1555">
        <f t="shared" si="185"/>
        <v>-0.12163290636707538</v>
      </c>
      <c r="Q1555">
        <f t="shared" si="186"/>
        <v>4.850987346146831E-2</v>
      </c>
      <c r="R1555">
        <f t="shared" si="187"/>
        <v>3.2878478952062685E-3</v>
      </c>
      <c r="S1555">
        <f t="shared" si="179"/>
        <v>14.907667267422207</v>
      </c>
      <c r="T1555" s="564">
        <f>IF((I1555-MAX(I$470:I1555))/MAX(I$470:I1555)&gt;T1554,T1554,(I1555-MAX(I$470:I1555))/MAX(I$470:I1555))</f>
        <v>-0.91338805338419748</v>
      </c>
      <c r="U1555" s="564">
        <f>IF((J1555-MAX(J$470:J1555))/MAX(J$470:J1555)&gt;U1554,U1554,(J1555-MAX(J$470:J1555))/MAX(J$470:J1555))</f>
        <v>-0.72031258158274925</v>
      </c>
      <c r="V1555" s="564">
        <f>IF((K1555-MAX(K$470:K1555))/MAX(K$470:K1555)&gt;V1554,V1554,(K1555-MAX(K$470:K1555))/MAX(K$470:K1555))</f>
        <v>-0.84885940676762139</v>
      </c>
      <c r="W1555" s="564">
        <f>IF((N1555-MAX(N$470:N1555))/MAX(N$470:N1555)&gt;W1554,W1554,(N1555-MAX(N$470:N1555))/MAX(N$470:N1555))</f>
        <v>-0.62788758315546067</v>
      </c>
      <c r="X1555" s="564">
        <f>IF((O1555-MAX(O$470:O1555))/MAX(O$470:O1555)&gt;X1554,X1554,(O1555-MAX(O$470:O1555))/MAX(O$470:O1555))</f>
        <v>-0.62788758315546067</v>
      </c>
    </row>
    <row r="1556" spans="1:24">
      <c r="A1556" s="799">
        <v>41958</v>
      </c>
      <c r="B1556">
        <v>395.15899999999999</v>
      </c>
      <c r="C1556">
        <v>309.55999600000001</v>
      </c>
      <c r="D1556">
        <v>1.1173649999999999</v>
      </c>
      <c r="E1556">
        <f>LN(D1556/参数实验室!$E$53)/参数实验室!$E$55</f>
        <v>-0.56204726012947226</v>
      </c>
      <c r="F1556">
        <f t="shared" si="188"/>
        <v>0.78338085681965997</v>
      </c>
      <c r="G1556">
        <f>LN(F1556/参数实验室!$E$58)/参数实验室!$E$59</f>
        <v>-0.31866594565998169</v>
      </c>
      <c r="H1556" s="856">
        <f>INDEX(神经网络!$G$10:$BO$70,MATCH(ROUND(G1556*2,1)/2,神经网络!$E$10:$E$70,0),MATCH(ROUND(E1556*2,1)/2,神经网络!$G$8:$BO$8,0))</f>
        <v>-0.69734249383370006</v>
      </c>
      <c r="I1556">
        <f t="shared" si="180"/>
        <v>742.70863210959715</v>
      </c>
      <c r="J1556">
        <f t="shared" si="181"/>
        <v>157.67886357288197</v>
      </c>
      <c r="K1556">
        <f t="shared" si="182"/>
        <v>4.7102611934180008</v>
      </c>
      <c r="L1556" s="4">
        <f>MIN(MAX(L1555*(1+MAX(MIN(((B1556-B1555)/B1555)/($K$7*卓尔金历!$N$40),0),-卓尔金历!$M$43))+MIN(MAX(((B1556-B1555)/B1555)/($K$7*卓尔金历!$N$40),0),卓尔金历!$M$43),0),1)</f>
        <v>0.40414588988901834</v>
      </c>
      <c r="M1556" s="4">
        <f>MIN(MAX(M1555*(1+MAX(MIN(((B1556-B1555)/B1555)/($K$7*30),0),-卓尔金历!$M$43))+MIN(MAX(((B1556-B1555)/B1555)/($K$7*7),0),卓尔金历!$M$43),0),1)</f>
        <v>0.93680986344482631</v>
      </c>
      <c r="N1556">
        <f t="shared" si="183"/>
        <v>655.13227816039091</v>
      </c>
      <c r="O1556">
        <f t="shared" si="184"/>
        <v>1628.0099743014489</v>
      </c>
      <c r="P1556">
        <f t="shared" si="185"/>
        <v>2.6450999542828625E-2</v>
      </c>
      <c r="Q1556">
        <f t="shared" si="186"/>
        <v>4.8512470467312836E-2</v>
      </c>
      <c r="R1556">
        <f t="shared" si="187"/>
        <v>0.68445935903429744</v>
      </c>
      <c r="S1556">
        <f t="shared" si="179"/>
        <v>14.90679872398665</v>
      </c>
      <c r="T1556" s="564">
        <f>IF((I1556-MAX(I$470:I1556))/MAX(I$470:I1556)&gt;T1555,T1555,(I1556-MAX(I$470:I1556))/MAX(I$470:I1556))</f>
        <v>-0.91338805338419748</v>
      </c>
      <c r="U1556" s="564">
        <f>IF((J1556-MAX(J$470:J1556))/MAX(J$470:J1556)&gt;U1555,U1555,(J1556-MAX(J$470:J1556))/MAX(J$470:J1556))</f>
        <v>-0.72031258158274925</v>
      </c>
      <c r="V1556" s="564">
        <f>IF((K1556-MAX(K$470:K1556))/MAX(K$470:K1556)&gt;V1555,V1555,(K1556-MAX(K$470:K1556))/MAX(K$470:K1556))</f>
        <v>-0.84885940676762139</v>
      </c>
      <c r="W1556" s="564">
        <f>IF((N1556-MAX(N$470:N1556))/MAX(N$470:N1556)&gt;W1555,W1555,(N1556-MAX(N$470:N1556))/MAX(N$470:N1556))</f>
        <v>-0.62788758315546067</v>
      </c>
      <c r="X1556" s="564">
        <f>IF((O1556-MAX(O$470:O1556))/MAX(O$470:O1556)&gt;X1555,X1555,(O1556-MAX(O$470:O1556))/MAX(O$470:O1556))</f>
        <v>-0.62788758315546067</v>
      </c>
    </row>
    <row r="1557" spans="1:24">
      <c r="A1557" s="799">
        <v>41959</v>
      </c>
      <c r="B1557">
        <v>386.85399999999998</v>
      </c>
      <c r="C1557">
        <v>308.20642199999998</v>
      </c>
      <c r="D1557">
        <v>1.153278</v>
      </c>
      <c r="E1557">
        <f>LN(D1557/参数实验室!$E$53)/参数实验室!$E$55</f>
        <v>-0.52472566298897561</v>
      </c>
      <c r="F1557">
        <f t="shared" si="188"/>
        <v>0.79669958692426601</v>
      </c>
      <c r="G1557">
        <f>LN(F1557/参数实验室!$E$58)/参数实验室!$E$59</f>
        <v>-0.3098175924817923</v>
      </c>
      <c r="H1557" s="856">
        <f>INDEX(神经网络!$G$10:$BO$70,MATCH(ROUND(G1557*2,1)/2,神经网络!$E$10:$E$70,0),MATCH(ROUND(E1557*2,1)/2,神经网络!$G$8:$BO$8,0))</f>
        <v>-0.669927870239578</v>
      </c>
      <c r="I1557">
        <f t="shared" si="180"/>
        <v>753.59373055355934</v>
      </c>
      <c r="J1557">
        <f t="shared" si="181"/>
        <v>154.36494952316326</v>
      </c>
      <c r="K1557">
        <f t="shared" si="182"/>
        <v>4.8818966538804762</v>
      </c>
      <c r="L1557" s="4">
        <f>MIN(MAX(L1556*(1+MAX(MIN(((B1557-B1556)/B1556)/($K$7*卓尔金历!$N$40),0),-卓尔金历!$M$43))+MIN(MAX(((B1557-B1556)/B1556)/($K$7*卓尔金历!$N$40),0),卓尔金历!$M$43),0),1)</f>
        <v>0.27436761289469019</v>
      </c>
      <c r="M1557" s="4">
        <f>MIN(MAX(M1556*(1+MAX(MIN(((B1557-B1556)/B1556)/($K$7*30),0),-卓尔金历!$M$43))+MIN(MAX(((B1557-B1556)/B1556)/($K$7*7),0),卓尔金历!$M$43),0),1)</f>
        <v>0.78639689007208269</v>
      </c>
      <c r="N1557">
        <f t="shared" si="183"/>
        <v>659.01271888285851</v>
      </c>
      <c r="O1557">
        <f t="shared" si="184"/>
        <v>1650.3622839748853</v>
      </c>
      <c r="P1557">
        <f t="shared" si="185"/>
        <v>-2.1016856505862214E-2</v>
      </c>
      <c r="Q1557">
        <f t="shared" si="186"/>
        <v>4.8839005754248155E-2</v>
      </c>
      <c r="R1557">
        <f t="shared" si="187"/>
        <v>0.93262288849852859</v>
      </c>
      <c r="S1557">
        <f t="shared" si="179"/>
        <v>15.056334787352499</v>
      </c>
      <c r="T1557" s="564">
        <f>IF((I1557-MAX(I$470:I1557))/MAX(I$470:I1557)&gt;T1556,T1556,(I1557-MAX(I$470:I1557))/MAX(I$470:I1557))</f>
        <v>-0.91338805338419748</v>
      </c>
      <c r="U1557" s="564">
        <f>IF((J1557-MAX(J$470:J1557))/MAX(J$470:J1557)&gt;U1556,U1556,(J1557-MAX(J$470:J1557))/MAX(J$470:J1557))</f>
        <v>-0.72031258158274925</v>
      </c>
      <c r="V1557" s="564">
        <f>IF((K1557-MAX(K$470:K1557))/MAX(K$470:K1557)&gt;V1556,V1556,(K1557-MAX(K$470:K1557))/MAX(K$470:K1557))</f>
        <v>-0.84885940676762139</v>
      </c>
      <c r="W1557" s="564">
        <f>IF((N1557-MAX(N$470:N1557))/MAX(N$470:N1557)&gt;W1556,W1556,(N1557-MAX(N$470:N1557))/MAX(N$470:N1557))</f>
        <v>-0.62788758315546067</v>
      </c>
      <c r="X1557" s="564">
        <f>IF((O1557-MAX(O$470:O1557))/MAX(O$470:O1557)&gt;X1556,X1556,(O1557-MAX(O$470:O1557))/MAX(O$470:O1557))</f>
        <v>-0.62788758315546067</v>
      </c>
    </row>
    <row r="1558" spans="1:24">
      <c r="A1558" s="799">
        <v>41960</v>
      </c>
      <c r="B1558">
        <v>409.74700000000001</v>
      </c>
      <c r="C1558">
        <v>312.57822499999997</v>
      </c>
      <c r="D1558">
        <v>1.1462429999999999</v>
      </c>
      <c r="E1558">
        <f>LN(D1558/参数实验室!$E$53)/参数实验室!$E$55</f>
        <v>-0.53194420107999019</v>
      </c>
      <c r="F1558">
        <f t="shared" si="188"/>
        <v>0.76285665300783156</v>
      </c>
      <c r="G1558">
        <f>LN(F1558/参数实验室!$E$58)/参数实验室!$E$59</f>
        <v>-0.33260021384396282</v>
      </c>
      <c r="H1558" s="856">
        <f>INDEX(神经网络!$G$10:$BO$70,MATCH(ROUND(G1558*2,1)/2,神经网络!$E$10:$E$70,0),MATCH(ROUND(E1558*2,1)/2,神经网络!$G$8:$BO$8,0))</f>
        <v>-0.75588600533484152</v>
      </c>
      <c r="I1558">
        <f t="shared" si="180"/>
        <v>723.71783455887987</v>
      </c>
      <c r="J1558">
        <f t="shared" si="181"/>
        <v>163.49986034076829</v>
      </c>
      <c r="K1558">
        <f t="shared" si="182"/>
        <v>4.426412555035208</v>
      </c>
      <c r="L1558" s="4">
        <f>MIN(MAX(L1557*(1+MAX(MIN(((B1558-B1557)/B1557)/($K$7*卓尔金历!$N$40),0),-卓尔金历!$M$43))+MIN(MAX(((B1558-B1557)/B1557)/($K$7*卓尔金历!$N$40),0),卓尔金历!$M$43),0),1)</f>
        <v>1</v>
      </c>
      <c r="M1558" s="4">
        <f>MIN(MAX(M1557*(1+MAX(MIN(((B1558-B1557)/B1557)/($K$7*30),0),-卓尔金历!$M$43))+MIN(MAX(((B1558-B1557)/B1557)/($K$7*7),0),卓尔金历!$M$43),0),1)</f>
        <v>1</v>
      </c>
      <c r="N1558">
        <f t="shared" si="183"/>
        <v>651.84451575769401</v>
      </c>
      <c r="O1558">
        <f t="shared" si="184"/>
        <v>1598.9099903280196</v>
      </c>
      <c r="P1558">
        <f t="shared" si="185"/>
        <v>5.9177364070166084E-2</v>
      </c>
      <c r="Q1558">
        <f t="shared" si="186"/>
        <v>5.01120154855349E-2</v>
      </c>
      <c r="R1558">
        <f t="shared" si="187"/>
        <v>4.0718139113558073E-2</v>
      </c>
      <c r="S1558">
        <f t="shared" si="179"/>
        <v>14.499650459543274</v>
      </c>
      <c r="T1558" s="564">
        <f>IF((I1558-MAX(I$470:I1558))/MAX(I$470:I1558)&gt;T1557,T1557,(I1558-MAX(I$470:I1558))/MAX(I$470:I1558))</f>
        <v>-0.91338805338419748</v>
      </c>
      <c r="U1558" s="564">
        <f>IF((J1558-MAX(J$470:J1558))/MAX(J$470:J1558)&gt;U1557,U1557,(J1558-MAX(J$470:J1558))/MAX(J$470:J1558))</f>
        <v>-0.72031258158274925</v>
      </c>
      <c r="V1558" s="564">
        <f>IF((K1558-MAX(K$470:K1558))/MAX(K$470:K1558)&gt;V1557,V1557,(K1558-MAX(K$470:K1558))/MAX(K$470:K1558))</f>
        <v>-0.84885940676762139</v>
      </c>
      <c r="W1558" s="564">
        <f>IF((N1558-MAX(N$470:N1558))/MAX(N$470:N1558)&gt;W1557,W1557,(N1558-MAX(N$470:N1558))/MAX(N$470:N1558))</f>
        <v>-0.62788758315546067</v>
      </c>
      <c r="X1558" s="564">
        <f>IF((O1558-MAX(O$470:O1558))/MAX(O$470:O1558)&gt;X1557,X1557,(O1558-MAX(O$470:O1558))/MAX(O$470:O1558))</f>
        <v>-0.62788758315546067</v>
      </c>
    </row>
    <row r="1559" spans="1:24">
      <c r="A1559" s="799">
        <v>41961</v>
      </c>
      <c r="B1559">
        <v>383.82299999999998</v>
      </c>
      <c r="C1559">
        <v>308.553876</v>
      </c>
      <c r="D1559">
        <v>1.106708</v>
      </c>
      <c r="E1559">
        <f>LN(D1559/参数实验室!$E$53)/参数实验室!$E$55</f>
        <v>-0.57335329778638544</v>
      </c>
      <c r="F1559">
        <f t="shared" si="188"/>
        <v>0.80389626468450304</v>
      </c>
      <c r="G1559">
        <f>LN(F1559/参数实验室!$E$58)/参数实验室!$E$59</f>
        <v>-0.30509781157097782</v>
      </c>
      <c r="H1559" s="856">
        <f>INDEX(神经网络!$G$10:$BO$70,MATCH(ROUND(G1559*2,1)/2,神经网络!$E$10:$E$70,0),MATCH(ROUND(E1559*2,1)/2,神经网络!$G$8:$BO$8,0))</f>
        <v>-0.69734249383370006</v>
      </c>
      <c r="I1559">
        <f t="shared" si="180"/>
        <v>758.32864829249388</v>
      </c>
      <c r="J1559">
        <f t="shared" si="181"/>
        <v>153.155500578588</v>
      </c>
      <c r="K1559">
        <f t="shared" si="182"/>
        <v>4.9513641065955447</v>
      </c>
      <c r="L1559" s="4">
        <f>MIN(MAX(L1558*(1+MAX(MIN(((B1559-B1558)/B1558)/($K$7*卓尔金历!$N$40),0),-卓尔金历!$M$43))+MIN(MAX(((B1559-B1558)/B1558)/($K$7*卓尔金历!$N$40),0),卓尔金历!$M$43),0),1)</f>
        <v>3.3320945368174426E-2</v>
      </c>
      <c r="M1559" s="4">
        <f>MIN(MAX(M1558*(1+MAX(MIN(((B1559-B1558)/B1558)/($K$7*30),0),-卓尔金历!$M$43))+MIN(MAX(((B1559-B1558)/B1558)/($K$7*7),0),卓尔金历!$M$43),0),1)</f>
        <v>0.51666047268408721</v>
      </c>
      <c r="N1559">
        <f t="shared" si="183"/>
        <v>683.01808650701605</v>
      </c>
      <c r="O1559">
        <f t="shared" si="184"/>
        <v>1675.3756696432022</v>
      </c>
      <c r="P1559">
        <f t="shared" si="185"/>
        <v>-6.3268309469013892E-2</v>
      </c>
      <c r="Q1559">
        <f t="shared" si="186"/>
        <v>5.2354572979799181E-2</v>
      </c>
      <c r="R1559">
        <f t="shared" si="187"/>
        <v>4.0623542081171339E-2</v>
      </c>
      <c r="S1559">
        <f t="shared" ref="S1559:S1622" si="189">S1558*(1+(B1559-B1558)/B1558*H1558*R1558)</f>
        <v>14.527885472394201</v>
      </c>
      <c r="T1559" s="564">
        <f>IF((I1559-MAX(I$470:I1559))/MAX(I$470:I1559)&gt;T1558,T1558,(I1559-MAX(I$470:I1559))/MAX(I$470:I1559))</f>
        <v>-0.91338805338419748</v>
      </c>
      <c r="U1559" s="564">
        <f>IF((J1559-MAX(J$470:J1559))/MAX(J$470:J1559)&gt;U1558,U1558,(J1559-MAX(J$470:J1559))/MAX(J$470:J1559))</f>
        <v>-0.72031258158274925</v>
      </c>
      <c r="V1559" s="564">
        <f>IF((K1559-MAX(K$470:K1559))/MAX(K$470:K1559)&gt;V1558,V1558,(K1559-MAX(K$470:K1559))/MAX(K$470:K1559))</f>
        <v>-0.84885940676762139</v>
      </c>
      <c r="W1559" s="564">
        <f>IF((N1559-MAX(N$470:N1559))/MAX(N$470:N1559)&gt;W1558,W1558,(N1559-MAX(N$470:N1559))/MAX(N$470:N1559))</f>
        <v>-0.62788758315546067</v>
      </c>
      <c r="X1559" s="564">
        <f>IF((O1559-MAX(O$470:O1559))/MAX(O$470:O1559)&gt;X1558,X1558,(O1559-MAX(O$470:O1559))/MAX(O$470:O1559))</f>
        <v>-0.62788758315546067</v>
      </c>
    </row>
    <row r="1560" spans="1:24">
      <c r="A1560" s="799">
        <v>41962</v>
      </c>
      <c r="B1560">
        <v>383.49200000000002</v>
      </c>
      <c r="C1560">
        <v>308.00144999999998</v>
      </c>
      <c r="D1560">
        <v>1.1187720000000001</v>
      </c>
      <c r="E1560">
        <f>LN(D1560/参数实验室!$E$53)/参数实验室!$E$55</f>
        <v>-0.56056263460489542</v>
      </c>
      <c r="F1560">
        <f t="shared" si="188"/>
        <v>0.80314960937907431</v>
      </c>
      <c r="G1560">
        <f>LN(F1560/参数实验室!$E$58)/参数实验室!$E$59</f>
        <v>-0.30558552021746455</v>
      </c>
      <c r="H1560" s="856">
        <f>INDEX(神经网络!$G$10:$BO$70,MATCH(ROUND(G1560*2,1)/2,神经网络!$E$10:$E$70,0),MATCH(ROUND(E1560*2,1)/2,神经网络!$G$8:$BO$8,0))</f>
        <v>-0.69734249383370006</v>
      </c>
      <c r="I1560">
        <f t="shared" ref="I1560:I1623" si="190">I1559*(1+(B1560-B1559)/B1559*H1559)</f>
        <v>758.78468582994435</v>
      </c>
      <c r="J1560">
        <f t="shared" ref="J1560:J1623" si="191">J1559*B1560/B1559</f>
        <v>153.02342284825005</v>
      </c>
      <c r="K1560">
        <f t="shared" ref="K1560:K1623" si="192">I1560/J1560</f>
        <v>4.9586179142157496</v>
      </c>
      <c r="L1560" s="4">
        <f>MIN(MAX(L1559*(1+MAX(MIN(((B1560-B1559)/B1559)/($K$7*卓尔金历!$N$40),0),-卓尔金历!$M$43))+MIN(MAX(((B1560-B1559)/B1559)/($K$7*卓尔金历!$N$40),0),卓尔金历!$M$43),0),1)</f>
        <v>3.2881898997825017E-2</v>
      </c>
      <c r="M1560" s="4">
        <f>MIN(MAX(M1559*(1+MAX(MIN(((B1560-B1559)/B1559)/($K$7*30),0),-卓尔金历!$M$43))+MIN(MAX(((B1560-B1559)/B1559)/($K$7*7),0),卓尔金历!$M$43),0),1)</f>
        <v>0.51325663910841057</v>
      </c>
      <c r="N1560">
        <f t="shared" ref="N1560:N1623" si="193">N1559*(1+(B1560-B1559)/B1559*H1559*L1559)</f>
        <v>683.03177301475478</v>
      </c>
      <c r="O1560">
        <f t="shared" ref="O1560:O1623" si="194">O1559*(1+(B1560-B1559)/B1559*H1559*M1559)</f>
        <v>1675.8962173886466</v>
      </c>
      <c r="P1560">
        <f t="shared" ref="P1560:P1623" si="195">(B1560-B1559)/B1559</f>
        <v>-8.6237666841215992E-4</v>
      </c>
      <c r="Q1560">
        <f t="shared" si="186"/>
        <v>5.2356504518393847E-2</v>
      </c>
      <c r="R1560">
        <f t="shared" si="187"/>
        <v>1</v>
      </c>
      <c r="S1560">
        <f t="shared" si="189"/>
        <v>14.528240386552222</v>
      </c>
      <c r="T1560" s="564">
        <f>IF((I1560-MAX(I$470:I1560))/MAX(I$470:I1560)&gt;T1559,T1559,(I1560-MAX(I$470:I1560))/MAX(I$470:I1560))</f>
        <v>-0.91338805338419748</v>
      </c>
      <c r="U1560" s="564">
        <f>IF((J1560-MAX(J$470:J1560))/MAX(J$470:J1560)&gt;U1559,U1559,(J1560-MAX(J$470:J1560))/MAX(J$470:J1560))</f>
        <v>-0.72031258158274925</v>
      </c>
      <c r="V1560" s="564">
        <f>IF((K1560-MAX(K$470:K1560))/MAX(K$470:K1560)&gt;V1559,V1559,(K1560-MAX(K$470:K1560))/MAX(K$470:K1560))</f>
        <v>-0.84885940676762139</v>
      </c>
      <c r="W1560" s="564">
        <f>IF((N1560-MAX(N$470:N1560))/MAX(N$470:N1560)&gt;W1559,W1559,(N1560-MAX(N$470:N1560))/MAX(N$470:N1560))</f>
        <v>-0.62788758315546067</v>
      </c>
      <c r="X1560" s="564">
        <f>IF((O1560-MAX(O$470:O1560))/MAX(O$470:O1560)&gt;X1559,X1559,(O1560-MAX(O$470:O1560))/MAX(O$470:O1560))</f>
        <v>-0.62788758315546067</v>
      </c>
    </row>
    <row r="1561" spans="1:24">
      <c r="A1561" s="799">
        <v>41963</v>
      </c>
      <c r="B1561">
        <v>364.92899999999997</v>
      </c>
      <c r="C1561">
        <v>311.323015</v>
      </c>
      <c r="D1561">
        <v>1.056915</v>
      </c>
      <c r="E1561">
        <f>LN(D1561/参数实验室!$E$53)/参数实验室!$E$55</f>
        <v>-0.62766389381799192</v>
      </c>
      <c r="F1561">
        <f t="shared" si="188"/>
        <v>0.85310571371417454</v>
      </c>
      <c r="G1561">
        <f>LN(F1561/参数实验室!$E$58)/参数实验室!$E$59</f>
        <v>-0.27391453515132447</v>
      </c>
      <c r="H1561" s="856">
        <f>INDEX(神经网络!$G$10:$BO$70,MATCH(ROUND(G1561*2,1)/2,神经网络!$E$10:$E$70,0),MATCH(ROUND(E1561*2,1)/2,神经网络!$G$8:$BO$8,0))</f>
        <v>-0.67346362458161046</v>
      </c>
      <c r="I1561">
        <f t="shared" si="190"/>
        <v>784.39745548631663</v>
      </c>
      <c r="J1561">
        <f t="shared" si="191"/>
        <v>145.61629623718105</v>
      </c>
      <c r="K1561">
        <f t="shared" si="192"/>
        <v>5.3867422517647574</v>
      </c>
      <c r="L1561" s="4">
        <f>MIN(MAX(L1560*(1+MAX(MIN(((B1561-B1560)/B1560)/($K$7*卓尔金历!$N$40),0),-卓尔金历!$M$43))+MIN(MAX(((B1561-B1560)/B1560)/($K$7*卓尔金历!$N$40),0),卓尔金历!$M$43),0),1)</f>
        <v>8.5629486789987625E-3</v>
      </c>
      <c r="M1561" s="4">
        <f>MIN(MAX(M1560*(1+MAX(MIN(((B1561-B1560)/B1560)/($K$7*30),0),-卓尔金历!$M$43))+MIN(MAX(((B1561-B1560)/B1560)/($K$7*7),0),卓尔金历!$M$43),0),1)</f>
        <v>0.32345825325315947</v>
      </c>
      <c r="N1561">
        <f t="shared" si="193"/>
        <v>683.78988922704548</v>
      </c>
      <c r="O1561">
        <f t="shared" si="194"/>
        <v>1704.9310738346392</v>
      </c>
      <c r="P1561">
        <f t="shared" si="195"/>
        <v>-4.8405181855162675E-2</v>
      </c>
      <c r="Q1561">
        <f t="shared" si="186"/>
        <v>5.2362466602337995E-2</v>
      </c>
      <c r="R1561">
        <f t="shared" si="187"/>
        <v>0.13505402233954983</v>
      </c>
      <c r="S1561">
        <f t="shared" si="189"/>
        <v>15.01864099884998</v>
      </c>
      <c r="T1561" s="564">
        <f>IF((I1561-MAX(I$470:I1561))/MAX(I$470:I1561)&gt;T1560,T1560,(I1561-MAX(I$470:I1561))/MAX(I$470:I1561))</f>
        <v>-0.91338805338419748</v>
      </c>
      <c r="U1561" s="564">
        <f>IF((J1561-MAX(J$470:J1561))/MAX(J$470:J1561)&gt;U1560,U1560,(J1561-MAX(J$470:J1561))/MAX(J$470:J1561))</f>
        <v>-0.72031258158274925</v>
      </c>
      <c r="V1561" s="564">
        <f>IF((K1561-MAX(K$470:K1561))/MAX(K$470:K1561)&gt;V1560,V1560,(K1561-MAX(K$470:K1561))/MAX(K$470:K1561))</f>
        <v>-0.84885940676762139</v>
      </c>
      <c r="W1561" s="564">
        <f>IF((N1561-MAX(N$470:N1561))/MAX(N$470:N1561)&gt;W1560,W1560,(N1561-MAX(N$470:N1561))/MAX(N$470:N1561))</f>
        <v>-0.62788758315546067</v>
      </c>
      <c r="X1561" s="564">
        <f>IF((O1561-MAX(O$470:O1561))/MAX(O$470:O1561)&gt;X1560,X1560,(O1561-MAX(O$470:O1561))/MAX(O$470:O1561))</f>
        <v>-0.62788758315546067</v>
      </c>
    </row>
    <row r="1562" spans="1:24">
      <c r="A1562" s="799">
        <v>41964</v>
      </c>
      <c r="B1562">
        <v>353.10300000000001</v>
      </c>
      <c r="C1562">
        <v>318.24488100000002</v>
      </c>
      <c r="D1562">
        <v>1.041714</v>
      </c>
      <c r="E1562">
        <f>LN(D1562/参数实验室!$E$53)/参数实验室!$E$55</f>
        <v>-0.64475480669460239</v>
      </c>
      <c r="F1562">
        <f t="shared" si="188"/>
        <v>0.90128059234840829</v>
      </c>
      <c r="G1562">
        <f>LN(F1562/参数实验室!$E$58)/参数实验室!$E$59</f>
        <v>-0.24508264355687301</v>
      </c>
      <c r="H1562" s="856">
        <f>INDEX(神经网络!$G$10:$BO$70,MATCH(ROUND(G1562*2,1)/2,神经网络!$E$10:$E$70,0),MATCH(ROUND(E1562*2,1)/2,神经网络!$G$8:$BO$8,0))</f>
        <v>-0.67346362458161046</v>
      </c>
      <c r="I1562">
        <f t="shared" si="190"/>
        <v>801.5165116674001</v>
      </c>
      <c r="J1562">
        <f t="shared" si="191"/>
        <v>140.89741031882187</v>
      </c>
      <c r="K1562">
        <f t="shared" si="192"/>
        <v>5.6886532538371926</v>
      </c>
      <c r="L1562" s="4">
        <f>MIN(MAX(L1561*(1+MAX(MIN(((B1562-B1561)/B1561)/($K$7*卓尔金历!$N$40),0),-卓尔金历!$M$43))+MIN(MAX(((B1562-B1561)/B1561)/($K$7*卓尔金历!$N$40),0),卓尔金历!$M$43),0),1)</f>
        <v>4.3231140544422193E-3</v>
      </c>
      <c r="M1562" s="4">
        <f>MIN(MAX(M1561*(1+MAX(MIN(((B1562-B1561)/B1561)/($K$7*30),0),-卓尔金历!$M$43))+MIN(MAX(((B1562-B1561)/B1561)/($K$7*7),0),卓尔金历!$M$43),0),1)</f>
        <v>0.2433801427125227</v>
      </c>
      <c r="N1562">
        <f t="shared" si="193"/>
        <v>683.91767710462045</v>
      </c>
      <c r="O1562">
        <f t="shared" si="194"/>
        <v>1716.9667003982011</v>
      </c>
      <c r="P1562">
        <f t="shared" si="195"/>
        <v>-3.2406303691950945E-2</v>
      </c>
      <c r="Q1562">
        <f t="shared" si="186"/>
        <v>5.2876959726277116E-2</v>
      </c>
      <c r="R1562">
        <f t="shared" si="187"/>
        <v>0.56761463975097093</v>
      </c>
      <c r="S1562">
        <f t="shared" si="189"/>
        <v>15.062908173146143</v>
      </c>
      <c r="T1562" s="564">
        <f>IF((I1562-MAX(I$470:I1562))/MAX(I$470:I1562)&gt;T1561,T1561,(I1562-MAX(I$470:I1562))/MAX(I$470:I1562))</f>
        <v>-0.91338805338419748</v>
      </c>
      <c r="U1562" s="564">
        <f>IF((J1562-MAX(J$470:J1562))/MAX(J$470:J1562)&gt;U1561,U1561,(J1562-MAX(J$470:J1562))/MAX(J$470:J1562))</f>
        <v>-0.72031258158274925</v>
      </c>
      <c r="V1562" s="564">
        <f>IF((K1562-MAX(K$470:K1562))/MAX(K$470:K1562)&gt;V1561,V1561,(K1562-MAX(K$470:K1562))/MAX(K$470:K1562))</f>
        <v>-0.84885940676762139</v>
      </c>
      <c r="W1562" s="564">
        <f>IF((N1562-MAX(N$470:N1562))/MAX(N$470:N1562)&gt;W1561,W1561,(N1562-MAX(N$470:N1562))/MAX(N$470:N1562))</f>
        <v>-0.62788758315546067</v>
      </c>
      <c r="X1562" s="564">
        <f>IF((O1562-MAX(O$470:O1562))/MAX(O$470:O1562)&gt;X1561,X1561,(O1562-MAX(O$470:O1562))/MAX(O$470:O1562))</f>
        <v>-0.62788758315546067</v>
      </c>
    </row>
    <row r="1563" spans="1:24">
      <c r="A1563" s="799">
        <v>41965</v>
      </c>
      <c r="B1563">
        <v>358.654</v>
      </c>
      <c r="C1563">
        <v>317.90303599999999</v>
      </c>
      <c r="D1563">
        <v>1.0470470000000001</v>
      </c>
      <c r="E1563">
        <f>LN(D1563/参数实验室!$E$53)/参数实验室!$E$55</f>
        <v>-0.6387305294112039</v>
      </c>
      <c r="F1563">
        <f t="shared" si="188"/>
        <v>0.88637805796115476</v>
      </c>
      <c r="G1563">
        <f>LN(F1563/参数实验室!$E$58)/参数实验室!$E$59</f>
        <v>-0.25383357217417402</v>
      </c>
      <c r="H1563" s="856">
        <f>INDEX(神经网络!$G$10:$BO$70,MATCH(ROUND(G1563*2,1)/2,神经网络!$E$10:$E$70,0),MATCH(ROUND(E1563*2,1)/2,神经网络!$G$8:$BO$8,0))</f>
        <v>-0.67346362458161046</v>
      </c>
      <c r="I1563">
        <f t="shared" si="190"/>
        <v>793.03064044548182</v>
      </c>
      <c r="J1563">
        <f t="shared" si="191"/>
        <v>143.11240573001854</v>
      </c>
      <c r="K1563">
        <f t="shared" si="192"/>
        <v>5.5413130427108719</v>
      </c>
      <c r="L1563" s="4">
        <f>MIN(MAX(L1562*(1+MAX(MIN(((B1563-B1562)/B1562)/($K$7*卓尔金历!$N$40),0),-卓尔金历!$M$43))+MIN(MAX(((B1563-B1562)/B1562)/($K$7*卓尔金历!$N$40),0),卓尔金历!$M$43),0),1)</f>
        <v>0.24451918461683822</v>
      </c>
      <c r="M1563" s="4">
        <f>MIN(MAX(M1562*(1+MAX(MIN(((B1563-B1562)/B1562)/($K$7*30),0),-卓尔金历!$M$43))+MIN(MAX(((B1563-B1562)/B1562)/($K$7*7),0),卓尔金历!$M$43),0),1)</f>
        <v>0.75808600820337135</v>
      </c>
      <c r="N1563">
        <f t="shared" si="193"/>
        <v>683.88637421096632</v>
      </c>
      <c r="O1563">
        <f t="shared" si="194"/>
        <v>1712.5425388473814</v>
      </c>
      <c r="P1563">
        <f t="shared" si="195"/>
        <v>1.5720625426575215E-2</v>
      </c>
      <c r="Q1563">
        <f t="shared" si="186"/>
        <v>5.1755462843709014E-2</v>
      </c>
      <c r="R1563">
        <f t="shared" si="187"/>
        <v>1</v>
      </c>
      <c r="S1563">
        <f t="shared" si="189"/>
        <v>14.972387790735475</v>
      </c>
      <c r="T1563" s="564">
        <f>IF((I1563-MAX(I$470:I1563))/MAX(I$470:I1563)&gt;T1562,T1562,(I1563-MAX(I$470:I1563))/MAX(I$470:I1563))</f>
        <v>-0.91338805338419748</v>
      </c>
      <c r="U1563" s="564">
        <f>IF((J1563-MAX(J$470:J1563))/MAX(J$470:J1563)&gt;U1562,U1562,(J1563-MAX(J$470:J1563))/MAX(J$470:J1563))</f>
        <v>-0.72031258158274925</v>
      </c>
      <c r="V1563" s="564">
        <f>IF((K1563-MAX(K$470:K1563))/MAX(K$470:K1563)&gt;V1562,V1562,(K1563-MAX(K$470:K1563))/MAX(K$470:K1563))</f>
        <v>-0.84885940676762139</v>
      </c>
      <c r="W1563" s="564">
        <f>IF((N1563-MAX(N$470:N1563))/MAX(N$470:N1563)&gt;W1562,W1562,(N1563-MAX(N$470:N1563))/MAX(N$470:N1563))</f>
        <v>-0.62788758315546067</v>
      </c>
      <c r="X1563" s="564">
        <f>IF((O1563-MAX(O$470:O1563))/MAX(O$470:O1563)&gt;X1562,X1562,(O1563-MAX(O$470:O1563))/MAX(O$470:O1563))</f>
        <v>-0.62788758315546067</v>
      </c>
    </row>
    <row r="1564" spans="1:24">
      <c r="A1564" s="799">
        <v>41966</v>
      </c>
      <c r="B1564">
        <v>357.05900000000003</v>
      </c>
      <c r="C1564">
        <v>321.799396</v>
      </c>
      <c r="D1564">
        <v>1.0925210000000001</v>
      </c>
      <c r="E1564">
        <f>LN(D1564/参数实验室!$E$53)/参数实验室!$E$55</f>
        <v>-0.58857444251042879</v>
      </c>
      <c r="F1564">
        <f t="shared" si="188"/>
        <v>0.90124992228175171</v>
      </c>
      <c r="G1564">
        <f>LN(F1564/参数实验室!$E$58)/参数实验室!$E$59</f>
        <v>-0.24510050434575525</v>
      </c>
      <c r="H1564" s="856">
        <f>INDEX(神经网络!$G$10:$BO$70,MATCH(ROUND(G1564*2,1)/2,神经网络!$E$10:$E$70,0),MATCH(ROUND(E1564*2,1)/2,神经网络!$G$8:$BO$8,0))</f>
        <v>-0.65125173423581451</v>
      </c>
      <c r="I1564">
        <f t="shared" si="190"/>
        <v>795.4057799302841</v>
      </c>
      <c r="J1564">
        <f t="shared" si="191"/>
        <v>142.47595866086726</v>
      </c>
      <c r="K1564">
        <f t="shared" si="192"/>
        <v>5.5827368168377998</v>
      </c>
      <c r="L1564" s="4">
        <f>MIN(MAX(L1563*(1+MAX(MIN(((B1564-B1563)/B1563)/($K$7*卓尔金历!$N$40),0),-卓尔金历!$M$43))+MIN(MAX(((B1564-B1563)/B1563)/($K$7*卓尔金历!$N$40),0),卓尔金历!$M$43),0),1)</f>
        <v>0.22790442639015632</v>
      </c>
      <c r="M1564" s="4">
        <f>MIN(MAX(M1563*(1+MAX(MIN(((B1564-B1563)/B1563)/($K$7*30),0),-卓尔金历!$M$43))+MIN(MAX(((B1564-B1563)/B1563)/($K$7*7),0),卓尔金历!$M$43),0),1)</f>
        <v>0.73233053269525028</v>
      </c>
      <c r="N1564">
        <f t="shared" si="193"/>
        <v>684.38721079156642</v>
      </c>
      <c r="O1564">
        <f t="shared" si="194"/>
        <v>1716.4308320043574</v>
      </c>
      <c r="P1564">
        <f t="shared" si="195"/>
        <v>-4.4471830789562378E-3</v>
      </c>
      <c r="Q1564">
        <f t="shared" si="186"/>
        <v>5.1645050065724361E-2</v>
      </c>
      <c r="R1564">
        <f t="shared" si="187"/>
        <v>1</v>
      </c>
      <c r="S1564">
        <f t="shared" si="189"/>
        <v>15.017230332258929</v>
      </c>
      <c r="T1564" s="564">
        <f>IF((I1564-MAX(I$470:I1564))/MAX(I$470:I1564)&gt;T1563,T1563,(I1564-MAX(I$470:I1564))/MAX(I$470:I1564))</f>
        <v>-0.91338805338419748</v>
      </c>
      <c r="U1564" s="564">
        <f>IF((J1564-MAX(J$470:J1564))/MAX(J$470:J1564)&gt;U1563,U1563,(J1564-MAX(J$470:J1564))/MAX(J$470:J1564))</f>
        <v>-0.72031258158274925</v>
      </c>
      <c r="V1564" s="564">
        <f>IF((K1564-MAX(K$470:K1564))/MAX(K$470:K1564)&gt;V1563,V1563,(K1564-MAX(K$470:K1564))/MAX(K$470:K1564))</f>
        <v>-0.84885940676762139</v>
      </c>
      <c r="W1564" s="564">
        <f>IF((N1564-MAX(N$470:N1564))/MAX(N$470:N1564)&gt;W1563,W1563,(N1564-MAX(N$470:N1564))/MAX(N$470:N1564))</f>
        <v>-0.62788758315546067</v>
      </c>
      <c r="X1564" s="564">
        <f>IF((O1564-MAX(O$470:O1564))/MAX(O$470:O1564)&gt;X1563,X1563,(O1564-MAX(O$470:O1564))/MAX(O$470:O1564))</f>
        <v>-0.62788758315546067</v>
      </c>
    </row>
    <row r="1565" spans="1:24">
      <c r="A1565" s="799">
        <v>41967</v>
      </c>
      <c r="B1565">
        <v>374.572</v>
      </c>
      <c r="C1565">
        <v>323.809529</v>
      </c>
      <c r="D1565">
        <v>1.1197569999999999</v>
      </c>
      <c r="E1565">
        <f>LN(D1565/参数实验室!$E$53)/参数实验室!$E$55</f>
        <v>-0.55952440189018759</v>
      </c>
      <c r="F1565">
        <f t="shared" si="188"/>
        <v>0.86447873573038025</v>
      </c>
      <c r="G1565">
        <f>LN(F1565/参数实验室!$E$58)/参数实验室!$E$59</f>
        <v>-0.26696376911464276</v>
      </c>
      <c r="H1565" s="856">
        <f>INDEX(神经网络!$G$10:$BO$70,MATCH(ROUND(G1565*2,1)/2,神经网络!$E$10:$E$70,0),MATCH(ROUND(E1565*2,1)/2,神经网络!$G$8:$BO$8,0))</f>
        <v>-0.63213635726071538</v>
      </c>
      <c r="I1565">
        <f t="shared" si="190"/>
        <v>769.99849847223209</v>
      </c>
      <c r="J1565">
        <f t="shared" si="191"/>
        <v>149.46410757751065</v>
      </c>
      <c r="K1565">
        <f t="shared" si="192"/>
        <v>5.1517284714854918</v>
      </c>
      <c r="L1565" s="4">
        <f>MIN(MAX(L1564*(1+MAX(MIN(((B1565-B1564)/B1564)/($K$7*卓尔金历!$N$40),0),-卓尔金历!$M$43))+MIN(MAX(((B1565-B1564)/B1564)/($K$7*卓尔金历!$N$40),0),卓尔金历!$M$43),0),1)</f>
        <v>0.97730952199373666</v>
      </c>
      <c r="M1565" s="4">
        <f>MIN(MAX(M1564*(1+MAX(MIN(((B1565-B1564)/B1564)/($K$7*30),0),-卓尔金历!$M$43))+MIN(MAX(((B1565-B1564)/B1564)/($K$7*7),0),卓尔金历!$M$43),0),1)</f>
        <v>1</v>
      </c>
      <c r="N1565">
        <f t="shared" si="193"/>
        <v>679.40497701606932</v>
      </c>
      <c r="O1565">
        <f t="shared" si="194"/>
        <v>1676.2792275269028</v>
      </c>
      <c r="P1565">
        <f t="shared" si="195"/>
        <v>4.9047916450782575E-2</v>
      </c>
      <c r="Q1565">
        <f t="shared" si="186"/>
        <v>5.2417951387143745E-2</v>
      </c>
      <c r="R1565">
        <f t="shared" si="187"/>
        <v>0.12152834576927665</v>
      </c>
      <c r="S1565">
        <f t="shared" si="189"/>
        <v>14.537541841931965</v>
      </c>
      <c r="T1565" s="564">
        <f>IF((I1565-MAX(I$470:I1565))/MAX(I$470:I1565)&gt;T1564,T1564,(I1565-MAX(I$470:I1565))/MAX(I$470:I1565))</f>
        <v>-0.91338805338419748</v>
      </c>
      <c r="U1565" s="564">
        <f>IF((J1565-MAX(J$470:J1565))/MAX(J$470:J1565)&gt;U1564,U1564,(J1565-MAX(J$470:J1565))/MAX(J$470:J1565))</f>
        <v>-0.72031258158274925</v>
      </c>
      <c r="V1565" s="564">
        <f>IF((K1565-MAX(K$470:K1565))/MAX(K$470:K1565)&gt;V1564,V1564,(K1565-MAX(K$470:K1565))/MAX(K$470:K1565))</f>
        <v>-0.84885940676762139</v>
      </c>
      <c r="W1565" s="564">
        <f>IF((N1565-MAX(N$470:N1565))/MAX(N$470:N1565)&gt;W1564,W1564,(N1565-MAX(N$470:N1565))/MAX(N$470:N1565))</f>
        <v>-0.62788758315546067</v>
      </c>
      <c r="X1565" s="564">
        <f>IF((O1565-MAX(O$470:O1565))/MAX(O$470:O1565)&gt;X1564,X1564,(O1565-MAX(O$470:O1565))/MAX(O$470:O1565))</f>
        <v>-0.62788758315546067</v>
      </c>
    </row>
    <row r="1566" spans="1:24">
      <c r="A1566" s="799">
        <v>41968</v>
      </c>
      <c r="B1566">
        <v>393.17599999999999</v>
      </c>
      <c r="C1566">
        <v>322.55232000000001</v>
      </c>
      <c r="D1566">
        <v>1.119402</v>
      </c>
      <c r="E1566">
        <f>LN(D1566/参数实验室!$E$53)/参数实验室!$E$55</f>
        <v>-0.55989848198465086</v>
      </c>
      <c r="F1566">
        <f t="shared" si="188"/>
        <v>0.8203764217551428</v>
      </c>
      <c r="G1566">
        <f>LN(F1566/参数实验室!$E$58)/参数实验室!$E$59</f>
        <v>-0.29444692274786627</v>
      </c>
      <c r="H1566" s="856">
        <f>INDEX(神经网络!$G$10:$BO$70,MATCH(ROUND(G1566*2,1)/2,神经网络!$E$10:$E$70,0),MATCH(ROUND(E1566*2,1)/2,神经网络!$G$8:$BO$8,0))</f>
        <v>-0.69734249383370006</v>
      </c>
      <c r="I1566">
        <f t="shared" si="190"/>
        <v>745.82320979527765</v>
      </c>
      <c r="J1566">
        <f t="shared" si="191"/>
        <v>156.88759426998101</v>
      </c>
      <c r="K1566">
        <f t="shared" si="192"/>
        <v>4.7538698854150514</v>
      </c>
      <c r="L1566" s="4">
        <f>MIN(MAX(L1565*(1+MAX(MIN(((B1566-B1565)/B1565)/($K$7*卓尔金历!$N$40),0),-卓尔金历!$M$43))+MIN(MAX(((B1566-B1565)/B1565)/($K$7*卓尔金历!$N$40),0),卓尔金历!$M$43),0),1)</f>
        <v>1</v>
      </c>
      <c r="M1566" s="4">
        <f>MIN(MAX(M1565*(1+MAX(MIN(((B1566-B1565)/B1565)/($K$7*30),0),-卓尔金历!$M$43))+MIN(MAX(((B1566-B1565)/B1565)/($K$7*7),0),卓尔金历!$M$43),0),1)</f>
        <v>1</v>
      </c>
      <c r="N1566">
        <f t="shared" si="193"/>
        <v>658.55802126634228</v>
      </c>
      <c r="O1566">
        <f t="shared" si="194"/>
        <v>1623.6498596657309</v>
      </c>
      <c r="P1566">
        <f t="shared" si="195"/>
        <v>4.9667353672992069E-2</v>
      </c>
      <c r="Q1566">
        <f t="shared" si="186"/>
        <v>5.2950969841734911E-2</v>
      </c>
      <c r="R1566">
        <f t="shared" si="187"/>
        <v>0.11979221056394135</v>
      </c>
      <c r="S1566">
        <f t="shared" si="189"/>
        <v>14.482072839625406</v>
      </c>
      <c r="T1566" s="564">
        <f>IF((I1566-MAX(I$470:I1566))/MAX(I$470:I1566)&gt;T1565,T1565,(I1566-MAX(I$470:I1566))/MAX(I$470:I1566))</f>
        <v>-0.91338805338419748</v>
      </c>
      <c r="U1566" s="564">
        <f>IF((J1566-MAX(J$470:J1566))/MAX(J$470:J1566)&gt;U1565,U1565,(J1566-MAX(J$470:J1566))/MAX(J$470:J1566))</f>
        <v>-0.72031258158274925</v>
      </c>
      <c r="V1566" s="564">
        <f>IF((K1566-MAX(K$470:K1566))/MAX(K$470:K1566)&gt;V1565,V1565,(K1566-MAX(K$470:K1566))/MAX(K$470:K1566))</f>
        <v>-0.84885940676762139</v>
      </c>
      <c r="W1566" s="564">
        <f>IF((N1566-MAX(N$470:N1566))/MAX(N$470:N1566)&gt;W1565,W1565,(N1566-MAX(N$470:N1566))/MAX(N$470:N1566))</f>
        <v>-0.62788758315546067</v>
      </c>
      <c r="X1566" s="564">
        <f>IF((O1566-MAX(O$470:O1566))/MAX(O$470:O1566)&gt;X1565,X1565,(O1566-MAX(O$470:O1566))/MAX(O$470:O1566))</f>
        <v>-0.62788758315546067</v>
      </c>
    </row>
    <row r="1567" spans="1:24">
      <c r="A1567" s="799">
        <v>41969</v>
      </c>
      <c r="B1567">
        <v>369.096</v>
      </c>
      <c r="C1567">
        <v>327.60767199999998</v>
      </c>
      <c r="D1567">
        <v>1.0926260000000001</v>
      </c>
      <c r="E1567">
        <f>LN(D1567/参数实验室!$E$53)/参数实验室!$E$55</f>
        <v>-0.58846106424277655</v>
      </c>
      <c r="F1567">
        <f t="shared" si="188"/>
        <v>0.88759475041723557</v>
      </c>
      <c r="G1567">
        <f>LN(F1567/参数实验室!$E$58)/参数实验室!$E$59</f>
        <v>-0.25311362195636311</v>
      </c>
      <c r="H1567" s="856">
        <f>INDEX(神经网络!$G$10:$BO$70,MATCH(ROUND(G1567*2,1)/2,神经网络!$E$10:$E$70,0),MATCH(ROUND(E1567*2,1)/2,神经网络!$G$8:$BO$8,0))</f>
        <v>-0.65125173423581451</v>
      </c>
      <c r="I1567">
        <f t="shared" si="190"/>
        <v>777.67629530210115</v>
      </c>
      <c r="J1567">
        <f t="shared" si="191"/>
        <v>147.27903914448723</v>
      </c>
      <c r="K1567">
        <f t="shared" si="192"/>
        <v>5.2802917497252713</v>
      </c>
      <c r="L1567" s="4">
        <f>MIN(MAX(L1566*(1+MAX(MIN(((B1567-B1566)/B1566)/($K$7*卓尔金历!$N$40),0),-卓尔金历!$M$43))+MIN(MAX(((B1567-B1566)/B1566)/($K$7*卓尔金历!$N$40),0),卓尔金历!$M$43),0),1)</f>
        <v>6.4237664169101816E-2</v>
      </c>
      <c r="M1567" s="4">
        <f>MIN(MAX(M1566*(1+MAX(MIN(((B1567-B1566)/B1566)/($K$7*30),0),-卓尔金历!$M$43))+MIN(MAX(((B1567-B1566)/B1566)/($K$7*7),0),卓尔金历!$M$43),0),1)</f>
        <v>0.53211883208455091</v>
      </c>
      <c r="N1567">
        <f t="shared" si="193"/>
        <v>686.68413035908475</v>
      </c>
      <c r="O1567">
        <f t="shared" si="194"/>
        <v>1692.9937164052801</v>
      </c>
      <c r="P1567">
        <f t="shared" si="195"/>
        <v>-6.1244836917817937E-2</v>
      </c>
      <c r="Q1567">
        <f t="shared" si="186"/>
        <v>5.4821308450546509E-2</v>
      </c>
      <c r="R1567">
        <f t="shared" si="187"/>
        <v>4.7083971039531901E-2</v>
      </c>
      <c r="S1567">
        <f t="shared" si="189"/>
        <v>14.556165454086555</v>
      </c>
      <c r="T1567" s="564">
        <f>IF((I1567-MAX(I$470:I1567))/MAX(I$470:I1567)&gt;T1566,T1566,(I1567-MAX(I$470:I1567))/MAX(I$470:I1567))</f>
        <v>-0.91338805338419748</v>
      </c>
      <c r="U1567" s="564">
        <f>IF((J1567-MAX(J$470:J1567))/MAX(J$470:J1567)&gt;U1566,U1566,(J1567-MAX(J$470:J1567))/MAX(J$470:J1567))</f>
        <v>-0.72031258158274925</v>
      </c>
      <c r="V1567" s="564">
        <f>IF((K1567-MAX(K$470:K1567))/MAX(K$470:K1567)&gt;V1566,V1566,(K1567-MAX(K$470:K1567))/MAX(K$470:K1567))</f>
        <v>-0.84885940676762139</v>
      </c>
      <c r="W1567" s="564">
        <f>IF((N1567-MAX(N$470:N1567))/MAX(N$470:N1567)&gt;W1566,W1566,(N1567-MAX(N$470:N1567))/MAX(N$470:N1567))</f>
        <v>-0.62788758315546067</v>
      </c>
      <c r="X1567" s="564">
        <f>IF((O1567-MAX(O$470:O1567))/MAX(O$470:O1567)&gt;X1566,X1566,(O1567-MAX(O$470:O1567))/MAX(O$470:O1567))</f>
        <v>-0.62788758315546067</v>
      </c>
    </row>
    <row r="1568" spans="1:24">
      <c r="A1568" s="799">
        <v>41970</v>
      </c>
      <c r="B1568">
        <v>372.33499999999998</v>
      </c>
      <c r="C1568">
        <v>327.22450600000002</v>
      </c>
      <c r="D1568">
        <v>1.09877</v>
      </c>
      <c r="E1568">
        <f>LN(D1568/参数实验室!$E$53)/参数实验室!$E$55</f>
        <v>-0.58184571683542463</v>
      </c>
      <c r="F1568">
        <f t="shared" si="188"/>
        <v>0.87884433641747361</v>
      </c>
      <c r="G1568">
        <f>LN(F1568/参数实验室!$E$58)/参数实验室!$E$59</f>
        <v>-0.25831360622769267</v>
      </c>
      <c r="H1568" s="856">
        <f>INDEX(神经网络!$G$10:$BO$70,MATCH(ROUND(G1568*2,1)/2,神经网络!$E$10:$E$70,0),MATCH(ROUND(E1568*2,1)/2,神经网络!$G$8:$BO$8,0))</f>
        <v>-0.65125173423581451</v>
      </c>
      <c r="I1568">
        <f t="shared" si="190"/>
        <v>773.23183160276494</v>
      </c>
      <c r="J1568">
        <f t="shared" si="191"/>
        <v>148.57148557519628</v>
      </c>
      <c r="K1568">
        <f t="shared" si="192"/>
        <v>5.2044430235666601</v>
      </c>
      <c r="L1568" s="4">
        <f>MIN(MAX(L1567*(1+MAX(MIN(((B1568-B1567)/B1567)/($K$7*卓尔金历!$N$40),0),-卓尔金历!$M$43))+MIN(MAX(((B1568-B1567)/B1567)/($K$7*卓尔金历!$N$40),0),卓尔金历!$M$43),0),1)</f>
        <v>0.19831880231262061</v>
      </c>
      <c r="M1568" s="4">
        <f>MIN(MAX(M1567*(1+MAX(MIN(((B1568-B1567)/B1567)/($K$7*30),0),-卓尔金历!$M$43))+MIN(MAX(((B1568-B1567)/B1567)/($K$7*7),0),卓尔金历!$M$43),0),1)</f>
        <v>0.81943555667780543</v>
      </c>
      <c r="N1568">
        <f t="shared" si="193"/>
        <v>686.43203360522125</v>
      </c>
      <c r="O1568">
        <f t="shared" si="194"/>
        <v>1687.8451718247788</v>
      </c>
      <c r="P1568">
        <f t="shared" si="195"/>
        <v>8.775494722240219E-3</v>
      </c>
      <c r="Q1568">
        <f t="shared" si="186"/>
        <v>5.4813311449214655E-2</v>
      </c>
      <c r="R1568">
        <f t="shared" si="187"/>
        <v>1</v>
      </c>
      <c r="S1568">
        <f t="shared" si="189"/>
        <v>14.552248571353521</v>
      </c>
      <c r="T1568" s="564">
        <f>IF((I1568-MAX(I$470:I1568))/MAX(I$470:I1568)&gt;T1567,T1567,(I1568-MAX(I$470:I1568))/MAX(I$470:I1568))</f>
        <v>-0.91338805338419748</v>
      </c>
      <c r="U1568" s="564">
        <f>IF((J1568-MAX(J$470:J1568))/MAX(J$470:J1568)&gt;U1567,U1567,(J1568-MAX(J$470:J1568))/MAX(J$470:J1568))</f>
        <v>-0.72031258158274925</v>
      </c>
      <c r="V1568" s="564">
        <f>IF((K1568-MAX(K$470:K1568))/MAX(K$470:K1568)&gt;V1567,V1567,(K1568-MAX(K$470:K1568))/MAX(K$470:K1568))</f>
        <v>-0.84885940676762139</v>
      </c>
      <c r="W1568" s="564">
        <f>IF((N1568-MAX(N$470:N1568))/MAX(N$470:N1568)&gt;W1567,W1567,(N1568-MAX(N$470:N1568))/MAX(N$470:N1568))</f>
        <v>-0.62788758315546067</v>
      </c>
      <c r="X1568" s="564">
        <f>IF((O1568-MAX(O$470:O1568))/MAX(O$470:O1568)&gt;X1567,X1567,(O1568-MAX(O$470:O1568))/MAX(O$470:O1568))</f>
        <v>-0.62788758315546067</v>
      </c>
    </row>
    <row r="1569" spans="1:24">
      <c r="A1569" s="799">
        <v>41971</v>
      </c>
      <c r="B1569">
        <v>363.23</v>
      </c>
      <c r="C1569">
        <v>329.05686700000001</v>
      </c>
      <c r="D1569">
        <v>1.1342989999999999</v>
      </c>
      <c r="E1569">
        <f>LN(D1569/参数实验室!$E$53)/参数实验室!$E$55</f>
        <v>-0.54430187884771641</v>
      </c>
      <c r="F1569">
        <f t="shared" si="188"/>
        <v>0.90591874845139442</v>
      </c>
      <c r="G1569">
        <f>LN(F1569/参数实验室!$E$58)/参数实验室!$E$59</f>
        <v>-0.2423885740393838</v>
      </c>
      <c r="H1569" s="856">
        <f>INDEX(神经网络!$G$10:$BO$70,MATCH(ROUND(G1569*2,1)/2,神经网络!$E$10:$E$70,0),MATCH(ROUND(E1569*2,1)/2,神经网络!$G$8:$BO$8,0))</f>
        <v>-0.63213635726071538</v>
      </c>
      <c r="I1569">
        <f t="shared" si="190"/>
        <v>785.54598912667473</v>
      </c>
      <c r="J1569">
        <f t="shared" si="191"/>
        <v>144.93835042496286</v>
      </c>
      <c r="K1569">
        <f t="shared" si="192"/>
        <v>5.4198629060109642</v>
      </c>
      <c r="L1569" s="4">
        <f>MIN(MAX(L1568*(1+MAX(MIN(((B1569-B1568)/B1568)/($K$7*卓尔金历!$N$40),0),-卓尔金历!$M$43))+MIN(MAX(((B1569-B1568)/B1568)/($K$7*卓尔金历!$N$40),0),卓尔金历!$M$43),0),1)</f>
        <v>0.12422087548111393</v>
      </c>
      <c r="M1569" s="4">
        <f>MIN(MAX(M1568*(1+MAX(MIN(((B1569-B1568)/B1568)/($K$7*30),0),-卓尔金历!$M$43))+MIN(MAX(((B1569-B1568)/B1568)/($K$7*7),0),卓尔金历!$M$43),0),1)</f>
        <v>0.66635255291366113</v>
      </c>
      <c r="N1569">
        <f t="shared" si="193"/>
        <v>688.6000193086137</v>
      </c>
      <c r="O1569">
        <f t="shared" si="194"/>
        <v>1709.8715144776706</v>
      </c>
      <c r="P1569">
        <f t="shared" si="195"/>
        <v>-2.445378489800841E-2</v>
      </c>
      <c r="Q1569">
        <f t="shared" si="186"/>
        <v>5.5061414512895632E-2</v>
      </c>
      <c r="R1569">
        <f t="shared" si="187"/>
        <v>0.91096749745430561</v>
      </c>
      <c r="S1569">
        <f t="shared" si="189"/>
        <v>14.784001422064922</v>
      </c>
      <c r="T1569" s="564">
        <f>IF((I1569-MAX(I$470:I1569))/MAX(I$470:I1569)&gt;T1568,T1568,(I1569-MAX(I$470:I1569))/MAX(I$470:I1569))</f>
        <v>-0.91338805338419748</v>
      </c>
      <c r="U1569" s="564">
        <f>IF((J1569-MAX(J$470:J1569))/MAX(J$470:J1569)&gt;U1568,U1568,(J1569-MAX(J$470:J1569))/MAX(J$470:J1569))</f>
        <v>-0.72031258158274925</v>
      </c>
      <c r="V1569" s="564">
        <f>IF((K1569-MAX(K$470:K1569))/MAX(K$470:K1569)&gt;V1568,V1568,(K1569-MAX(K$470:K1569))/MAX(K$470:K1569))</f>
        <v>-0.84885940676762139</v>
      </c>
      <c r="W1569" s="564">
        <f>IF((N1569-MAX(N$470:N1569))/MAX(N$470:N1569)&gt;W1568,W1568,(N1569-MAX(N$470:N1569))/MAX(N$470:N1569))</f>
        <v>-0.62788758315546067</v>
      </c>
      <c r="X1569" s="564">
        <f>IF((O1569-MAX(O$470:O1569))/MAX(O$470:O1569)&gt;X1568,X1568,(O1569-MAX(O$470:O1569))/MAX(O$470:O1569))</f>
        <v>-0.62788758315546067</v>
      </c>
    </row>
    <row r="1570" spans="1:24">
      <c r="A1570" s="799">
        <v>41972</v>
      </c>
      <c r="B1570">
        <v>378.91199999999998</v>
      </c>
      <c r="C1570">
        <v>332.25938600000001</v>
      </c>
      <c r="D1570">
        <v>1.129062</v>
      </c>
      <c r="E1570">
        <f>LN(D1570/参数实验室!$E$53)/参数实验室!$E$55</f>
        <v>-0.54976135152089112</v>
      </c>
      <c r="F1570">
        <f t="shared" si="188"/>
        <v>0.87687744383920285</v>
      </c>
      <c r="G1570">
        <f>LN(F1570/参数实验室!$E$58)/参数实验室!$E$59</f>
        <v>-0.25948956925951966</v>
      </c>
      <c r="H1570" s="856">
        <f>INDEX(神经网络!$G$10:$BO$70,MATCH(ROUND(G1570*2,1)/2,神经网络!$E$10:$E$70,0),MATCH(ROUND(E1570*2,1)/2,神经网络!$G$8:$BO$8,0))</f>
        <v>-0.63213635726071538</v>
      </c>
      <c r="I1570">
        <f t="shared" si="190"/>
        <v>764.10710762683129</v>
      </c>
      <c r="J1570">
        <f t="shared" si="191"/>
        <v>151.19588204780311</v>
      </c>
      <c r="K1570">
        <f t="shared" si="192"/>
        <v>5.0537560764072005</v>
      </c>
      <c r="L1570" s="4">
        <f>MIN(MAX(L1569*(1+MAX(MIN(((B1570-B1569)/B1569)/($K$7*卓尔金历!$N$40),0),-卓尔金历!$M$43))+MIN(MAX(((B1570-B1569)/B1569)/($K$7*卓尔金历!$N$40),0),卓尔金历!$M$43),0),1)</f>
        <v>0.78387429372953821</v>
      </c>
      <c r="M1570" s="4">
        <f>MIN(MAX(M1569*(1+MAX(MIN(((B1570-B1569)/B1569)/($K$7*30),0),-卓尔金历!$M$43))+MIN(MAX(((B1570-B1569)/B1569)/($K$7*7),0),卓尔金历!$M$43),0),1)</f>
        <v>1</v>
      </c>
      <c r="N1570">
        <f t="shared" si="193"/>
        <v>686.2655287355542</v>
      </c>
      <c r="O1570">
        <f t="shared" si="194"/>
        <v>1678.775978176395</v>
      </c>
      <c r="P1570">
        <f t="shared" si="195"/>
        <v>4.3173746661894552E-2</v>
      </c>
      <c r="Q1570">
        <f t="shared" si="186"/>
        <v>5.5570097953160348E-2</v>
      </c>
      <c r="R1570">
        <f t="shared" si="187"/>
        <v>0.32137226800596064</v>
      </c>
      <c r="S1570">
        <f t="shared" si="189"/>
        <v>14.416443840003046</v>
      </c>
      <c r="T1570" s="564">
        <f>IF((I1570-MAX(I$470:I1570))/MAX(I$470:I1570)&gt;T1569,T1569,(I1570-MAX(I$470:I1570))/MAX(I$470:I1570))</f>
        <v>-0.91338805338419748</v>
      </c>
      <c r="U1570" s="564">
        <f>IF((J1570-MAX(J$470:J1570))/MAX(J$470:J1570)&gt;U1569,U1569,(J1570-MAX(J$470:J1570))/MAX(J$470:J1570))</f>
        <v>-0.72031258158274925</v>
      </c>
      <c r="V1570" s="564">
        <f>IF((K1570-MAX(K$470:K1570))/MAX(K$470:K1570)&gt;V1569,V1569,(K1570-MAX(K$470:K1570))/MAX(K$470:K1570))</f>
        <v>-0.84885940676762139</v>
      </c>
      <c r="W1570" s="564">
        <f>IF((N1570-MAX(N$470:N1570))/MAX(N$470:N1570)&gt;W1569,W1569,(N1570-MAX(N$470:N1570))/MAX(N$470:N1570))</f>
        <v>-0.62788758315546067</v>
      </c>
      <c r="X1570" s="564">
        <f>IF((O1570-MAX(O$470:O1570))/MAX(O$470:O1570)&gt;X1569,X1569,(O1570-MAX(O$470:O1570))/MAX(O$470:O1570))</f>
        <v>-0.62788758315546067</v>
      </c>
    </row>
    <row r="1571" spans="1:24">
      <c r="A1571" s="799">
        <v>41973</v>
      </c>
      <c r="B1571">
        <v>381.01499999999999</v>
      </c>
      <c r="C1571">
        <v>338.93186600000001</v>
      </c>
      <c r="D1571">
        <v>1.1367780000000001</v>
      </c>
      <c r="E1571">
        <f>LN(D1571/参数实验室!$E$53)/参数实验室!$E$55</f>
        <v>-0.54172635238749289</v>
      </c>
      <c r="F1571">
        <f t="shared" si="188"/>
        <v>0.88954992848050607</v>
      </c>
      <c r="G1571">
        <f>LN(F1571/参数实验室!$E$58)/参数实验室!$E$59</f>
        <v>-0.25195875422086994</v>
      </c>
      <c r="H1571" s="856">
        <f>INDEX(神经网络!$G$10:$BO$70,MATCH(ROUND(G1571*2,1)/2,神经网络!$E$10:$E$70,0),MATCH(ROUND(E1571*2,1)/2,神经网络!$G$8:$BO$8,0))</f>
        <v>-0.63213635726071538</v>
      </c>
      <c r="I1571">
        <f t="shared" si="190"/>
        <v>761.42629832242176</v>
      </c>
      <c r="J1571">
        <f t="shared" si="191"/>
        <v>152.03503451578123</v>
      </c>
      <c r="K1571">
        <f t="shared" si="192"/>
        <v>5.0082291936690799</v>
      </c>
      <c r="L1571" s="4">
        <f>MIN(MAX(L1570*(1+MAX(MIN(((B1571-B1570)/B1570)/($K$7*卓尔金历!$N$40),0),-卓尔金历!$M$43))+MIN(MAX(((B1571-B1570)/B1570)/($K$7*卓尔金历!$N$40),0),卓尔金历!$M$43),0),1)</f>
        <v>0.86867451621357095</v>
      </c>
      <c r="M1571" s="4">
        <f>MIN(MAX(M1570*(1+MAX(MIN(((B1571-B1570)/B1570)/($K$7*30),0),-卓尔金历!$M$43))+MIN(MAX(((B1571-B1570)/B1570)/($K$7*7),0),卓尔金历!$M$43),0),1)</f>
        <v>1</v>
      </c>
      <c r="N1571">
        <f t="shared" si="193"/>
        <v>684.378188103046</v>
      </c>
      <c r="O1571">
        <f t="shared" si="194"/>
        <v>1672.8861255400386</v>
      </c>
      <c r="P1571">
        <f t="shared" si="195"/>
        <v>5.550101342792017E-3</v>
      </c>
      <c r="Q1571">
        <f t="shared" si="186"/>
        <v>5.5523149274687149E-2</v>
      </c>
      <c r="R1571">
        <f t="shared" si="187"/>
        <v>1</v>
      </c>
      <c r="S1571">
        <f t="shared" si="189"/>
        <v>14.400189167458834</v>
      </c>
      <c r="T1571" s="564">
        <f>IF((I1571-MAX(I$470:I1571))/MAX(I$470:I1571)&gt;T1570,T1570,(I1571-MAX(I$470:I1571))/MAX(I$470:I1571))</f>
        <v>-0.91338805338419748</v>
      </c>
      <c r="U1571" s="564">
        <f>IF((J1571-MAX(J$470:J1571))/MAX(J$470:J1571)&gt;U1570,U1570,(J1571-MAX(J$470:J1571))/MAX(J$470:J1571))</f>
        <v>-0.72031258158274925</v>
      </c>
      <c r="V1571" s="564">
        <f>IF((K1571-MAX(K$470:K1571))/MAX(K$470:K1571)&gt;V1570,V1570,(K1571-MAX(K$470:K1571))/MAX(K$470:K1571))</f>
        <v>-0.84885940676762139</v>
      </c>
      <c r="W1571" s="564">
        <f>IF((N1571-MAX(N$470:N1571))/MAX(N$470:N1571)&gt;W1570,W1570,(N1571-MAX(N$470:N1571))/MAX(N$470:N1571))</f>
        <v>-0.62788758315546067</v>
      </c>
      <c r="X1571" s="564">
        <f>IF((O1571-MAX(O$470:O1571))/MAX(O$470:O1571)&gt;X1570,X1570,(O1571-MAX(O$470:O1571))/MAX(O$470:O1571))</f>
        <v>-0.62788758315546067</v>
      </c>
    </row>
    <row r="1572" spans="1:24">
      <c r="A1572" s="799">
        <v>41974</v>
      </c>
      <c r="B1572">
        <v>379.96800000000002</v>
      </c>
      <c r="C1572">
        <v>345.95390300000003</v>
      </c>
      <c r="D1572">
        <v>1.138258</v>
      </c>
      <c r="E1572">
        <f>LN(D1572/参数实验室!$E$53)/参数实验室!$E$55</f>
        <v>-0.54019140081100192</v>
      </c>
      <c r="F1572">
        <f t="shared" si="188"/>
        <v>0.91048168003621355</v>
      </c>
      <c r="G1572">
        <f>LN(F1572/参数实验室!$E$58)/参数实验室!$E$59</f>
        <v>-0.23975162450922233</v>
      </c>
      <c r="H1572" s="856">
        <f>INDEX(神经网络!$G$10:$BO$70,MATCH(ROUND(G1572*2,1)/2,神经网络!$E$10:$E$70,0),MATCH(ROUND(E1572*2,1)/2,神经网络!$G$8:$BO$8,0))</f>
        <v>-0.63213635726071538</v>
      </c>
      <c r="I1572">
        <f t="shared" si="190"/>
        <v>762.74894318714246</v>
      </c>
      <c r="J1572">
        <f t="shared" si="191"/>
        <v>151.61725390048258</v>
      </c>
      <c r="K1572">
        <f t="shared" si="192"/>
        <v>5.0307529226705956</v>
      </c>
      <c r="L1572" s="4">
        <f>MIN(MAX(L1571*(1+MAX(MIN(((B1572-B1571)/B1571)/($K$7*卓尔金历!$N$40),0),-卓尔金历!$M$43))+MIN(MAX(((B1572-B1571)/B1571)/($K$7*卓尔金历!$N$40),0),卓尔金历!$M$43),0),1)</f>
        <v>0.83220266834847656</v>
      </c>
      <c r="M1572" s="4">
        <f>MIN(MAX(M1571*(1+MAX(MIN(((B1572-B1571)/B1571)/($K$7*30),0),-卓尔金历!$M$43))+MIN(MAX(((B1572-B1571)/B1571)/($K$7*7),0),卓尔金历!$M$43),0),1)</f>
        <v>0.97900718440315826</v>
      </c>
      <c r="N1572">
        <f t="shared" si="193"/>
        <v>685.41087488512255</v>
      </c>
      <c r="O1572">
        <f t="shared" si="194"/>
        <v>1675.79203284595</v>
      </c>
      <c r="P1572">
        <f t="shared" si="195"/>
        <v>-2.7479233101058193E-3</v>
      </c>
      <c r="Q1572">
        <f t="shared" si="186"/>
        <v>5.5256187682335763E-2</v>
      </c>
      <c r="R1572">
        <f t="shared" si="187"/>
        <v>1</v>
      </c>
      <c r="S1572">
        <f t="shared" si="189"/>
        <v>14.425203192184943</v>
      </c>
      <c r="T1572" s="564">
        <f>IF((I1572-MAX(I$470:I1572))/MAX(I$470:I1572)&gt;T1571,T1571,(I1572-MAX(I$470:I1572))/MAX(I$470:I1572))</f>
        <v>-0.91338805338419748</v>
      </c>
      <c r="U1572" s="564">
        <f>IF((J1572-MAX(J$470:J1572))/MAX(J$470:J1572)&gt;U1571,U1571,(J1572-MAX(J$470:J1572))/MAX(J$470:J1572))</f>
        <v>-0.72031258158274925</v>
      </c>
      <c r="V1572" s="564">
        <f>IF((K1572-MAX(K$470:K1572))/MAX(K$470:K1572)&gt;V1571,V1571,(K1572-MAX(K$470:K1572))/MAX(K$470:K1572))</f>
        <v>-0.84885940676762139</v>
      </c>
      <c r="W1572" s="564">
        <f>IF((N1572-MAX(N$470:N1572))/MAX(N$470:N1572)&gt;W1571,W1571,(N1572-MAX(N$470:N1572))/MAX(N$470:N1572))</f>
        <v>-0.62788758315546067</v>
      </c>
      <c r="X1572" s="564">
        <f>IF((O1572-MAX(O$470:O1572))/MAX(O$470:O1572)&gt;X1571,X1571,(O1572-MAX(O$470:O1572))/MAX(O$470:O1572))</f>
        <v>-0.62788758315546067</v>
      </c>
    </row>
    <row r="1573" spans="1:24">
      <c r="A1573" s="799">
        <v>41975</v>
      </c>
      <c r="B1573">
        <v>380.97500000000002</v>
      </c>
      <c r="C1573">
        <v>347.44829399999998</v>
      </c>
      <c r="D1573">
        <v>1.1510640000000001</v>
      </c>
      <c r="E1573">
        <f>LN(D1573/参数实验室!$E$53)/参数实验室!$E$55</f>
        <v>-0.52699266544423806</v>
      </c>
      <c r="F1573">
        <f t="shared" si="188"/>
        <v>0.91199762189120004</v>
      </c>
      <c r="G1573">
        <f>LN(F1573/参数实验室!$E$58)/参数实验室!$E$59</f>
        <v>-0.23887847506458784</v>
      </c>
      <c r="H1573" s="856">
        <f>INDEX(神经网络!$G$10:$BO$70,MATCH(ROUND(G1573*2,1)/2,神经网络!$E$10:$E$70,0),MATCH(ROUND(E1573*2,1)/2,神经网络!$G$8:$BO$8,0))</f>
        <v>-0.63213635726071538</v>
      </c>
      <c r="I1573">
        <f t="shared" si="190"/>
        <v>761.47110803307703</v>
      </c>
      <c r="J1573">
        <f t="shared" si="191"/>
        <v>152.01907346075552</v>
      </c>
      <c r="K1573">
        <f t="shared" si="192"/>
        <v>5.009049790253159</v>
      </c>
      <c r="L1573" s="4">
        <f>MIN(MAX(L1572*(1+MAX(MIN(((B1573-B1572)/B1572)/($K$7*卓尔金历!$N$40),0),-卓尔金历!$M$43))+MIN(MAX(((B1573-B1572)/B1572)/($K$7*卓尔金历!$N$40),0),卓尔金历!$M$43),0),1)</f>
        <v>0.87269553525934895</v>
      </c>
      <c r="M1573" s="4">
        <f>MIN(MAX(M1572*(1+MAX(MIN(((B1573-B1572)/B1572)/($K$7*30),0),-卓尔金历!$M$43))+MIN(MAX(((B1573-B1572)/B1572)/($K$7*7),0),卓尔金历!$M$43),0),1)</f>
        <v>1</v>
      </c>
      <c r="N1573">
        <f t="shared" si="193"/>
        <v>684.45528111044871</v>
      </c>
      <c r="O1573">
        <f t="shared" si="194"/>
        <v>1673.0435108474617</v>
      </c>
      <c r="P1573">
        <f t="shared" si="195"/>
        <v>2.6502231766885763E-3</v>
      </c>
      <c r="Q1573">
        <f t="shared" si="186"/>
        <v>5.511234611088759E-2</v>
      </c>
      <c r="R1573">
        <f t="shared" si="187"/>
        <v>1</v>
      </c>
      <c r="S1573">
        <f t="shared" si="189"/>
        <v>14.401036614298269</v>
      </c>
      <c r="T1573" s="564">
        <f>IF((I1573-MAX(I$470:I1573))/MAX(I$470:I1573)&gt;T1572,T1572,(I1573-MAX(I$470:I1573))/MAX(I$470:I1573))</f>
        <v>-0.91338805338419748</v>
      </c>
      <c r="U1573" s="564">
        <f>IF((J1573-MAX(J$470:J1573))/MAX(J$470:J1573)&gt;U1572,U1572,(J1573-MAX(J$470:J1573))/MAX(J$470:J1573))</f>
        <v>-0.72031258158274925</v>
      </c>
      <c r="V1573" s="564">
        <f>IF((K1573-MAX(K$470:K1573))/MAX(K$470:K1573)&gt;V1572,V1572,(K1573-MAX(K$470:K1573))/MAX(K$470:K1573))</f>
        <v>-0.84885940676762139</v>
      </c>
      <c r="W1573" s="564">
        <f>IF((N1573-MAX(N$470:N1573))/MAX(N$470:N1573)&gt;W1572,W1572,(N1573-MAX(N$470:N1573))/MAX(N$470:N1573))</f>
        <v>-0.62788758315546067</v>
      </c>
      <c r="X1573" s="564">
        <f>IF((O1573-MAX(O$470:O1573))/MAX(O$470:O1573)&gt;X1572,X1572,(O1573-MAX(O$470:O1573))/MAX(O$470:O1573))</f>
        <v>-0.62788758315546067</v>
      </c>
    </row>
    <row r="1574" spans="1:24">
      <c r="A1574" s="799">
        <v>41976</v>
      </c>
      <c r="B1574">
        <v>376.298</v>
      </c>
      <c r="C1574">
        <v>360.59203100000002</v>
      </c>
      <c r="D1574">
        <v>1.1301190000000001</v>
      </c>
      <c r="E1574">
        <f>LN(D1574/参数实验室!$E$53)/参数实验室!$E$55</f>
        <v>-0.54865741228816167</v>
      </c>
      <c r="F1574">
        <f t="shared" si="188"/>
        <v>0.95826188552689628</v>
      </c>
      <c r="G1574">
        <f>LN(F1574/参数实验室!$E$58)/参数实验室!$E$59</f>
        <v>-0.21290674190234435</v>
      </c>
      <c r="H1574" s="856">
        <f>INDEX(神经网络!$G$10:$BO$70,MATCH(ROUND(G1574*2,1)/2,神经网络!$E$10:$E$70,0),MATCH(ROUND(E1574*2,1)/2,神经网络!$G$8:$BO$8,0))</f>
        <v>-0.5609215502102598</v>
      </c>
      <c r="I1574">
        <f t="shared" si="190"/>
        <v>767.38039514659943</v>
      </c>
      <c r="J1574">
        <f t="shared" si="191"/>
        <v>150.1528271018712</v>
      </c>
      <c r="K1574">
        <f t="shared" si="192"/>
        <v>5.1106623162411067</v>
      </c>
      <c r="L1574" s="4">
        <f>MIN(MAX(L1573*(1+MAX(MIN(((B1574-B1573)/B1573)/($K$7*卓尔金历!$N$40),0),-卓尔金历!$M$43))+MIN(MAX(((B1574-B1573)/B1573)/($K$7*卓尔金历!$N$40),0),卓尔金历!$M$43),0),1)</f>
        <v>0.70900267975538067</v>
      </c>
      <c r="M1574" s="4">
        <f>MIN(MAX(M1573*(1+MAX(MIN(((B1574-B1573)/B1573)/($K$7*30),0),-卓尔金历!$M$43))+MIN(MAX(((B1574-B1573)/B1573)/($K$7*7),0),卓尔金历!$M$43),0),1)</f>
        <v>0.9062142242681912</v>
      </c>
      <c r="N1574">
        <f t="shared" si="193"/>
        <v>689.09070542530173</v>
      </c>
      <c r="O1574">
        <f t="shared" si="194"/>
        <v>1686.0269246036978</v>
      </c>
      <c r="P1574">
        <f t="shared" si="195"/>
        <v>-1.2276396088982271E-2</v>
      </c>
      <c r="Q1574">
        <f t="shared" si="186"/>
        <v>5.4883308732102884E-2</v>
      </c>
      <c r="R1574">
        <f t="shared" si="187"/>
        <v>1</v>
      </c>
      <c r="S1574">
        <f t="shared" si="189"/>
        <v>14.512793789571869</v>
      </c>
      <c r="T1574" s="564">
        <f>IF((I1574-MAX(I$470:I1574))/MAX(I$470:I1574)&gt;T1573,T1573,(I1574-MAX(I$470:I1574))/MAX(I$470:I1574))</f>
        <v>-0.91338805338419748</v>
      </c>
      <c r="U1574" s="564">
        <f>IF((J1574-MAX(J$470:J1574))/MAX(J$470:J1574)&gt;U1573,U1573,(J1574-MAX(J$470:J1574))/MAX(J$470:J1574))</f>
        <v>-0.72031258158274925</v>
      </c>
      <c r="V1574" s="564">
        <f>IF((K1574-MAX(K$470:K1574))/MAX(K$470:K1574)&gt;V1573,V1573,(K1574-MAX(K$470:K1574))/MAX(K$470:K1574))</f>
        <v>-0.84885940676762139</v>
      </c>
      <c r="W1574" s="564">
        <f>IF((N1574-MAX(N$470:N1574))/MAX(N$470:N1574)&gt;W1573,W1573,(N1574-MAX(N$470:N1574))/MAX(N$470:N1574))</f>
        <v>-0.62788758315546067</v>
      </c>
      <c r="X1574" s="564">
        <f>IF((O1574-MAX(O$470:O1574))/MAX(O$470:O1574)&gt;X1573,X1573,(O1574-MAX(O$470:O1574))/MAX(O$470:O1574))</f>
        <v>-0.62788758315546067</v>
      </c>
    </row>
    <row r="1575" spans="1:24">
      <c r="A1575" s="799">
        <v>41977</v>
      </c>
      <c r="B1575">
        <v>375.68299999999999</v>
      </c>
      <c r="C1575">
        <v>364.93027599999999</v>
      </c>
      <c r="D1575">
        <v>1.1122970000000001</v>
      </c>
      <c r="E1575">
        <f>LN(D1575/参数实验室!$E$53)/参数实验室!$E$55</f>
        <v>-0.56741040462156911</v>
      </c>
      <c r="F1575">
        <f t="shared" si="188"/>
        <v>0.97137819917323909</v>
      </c>
      <c r="G1575">
        <f>LN(F1575/参数实验室!$E$58)/参数实验室!$E$59</f>
        <v>-0.20577146695845916</v>
      </c>
      <c r="H1575" s="856">
        <f>INDEX(神经网络!$G$10:$BO$70,MATCH(ROUND(G1575*2,1)/2,神经网络!$E$10:$E$70,0),MATCH(ROUND(E1575*2,1)/2,神经网络!$G$8:$BO$8,0))</f>
        <v>-0.5609215502102598</v>
      </c>
      <c r="I1575">
        <f t="shared" si="190"/>
        <v>768.08388207323912</v>
      </c>
      <c r="J1575">
        <f t="shared" si="191"/>
        <v>149.9074258808505</v>
      </c>
      <c r="K1575">
        <f t="shared" si="192"/>
        <v>5.1237213737745586</v>
      </c>
      <c r="L1575" s="4">
        <f>MIN(MAX(L1574*(1+MAX(MIN(((B1575-B1574)/B1574)/($K$7*卓尔金历!$N$40),0),-卓尔金历!$M$43))+MIN(MAX(((B1575-B1574)/B1574)/($K$7*卓尔金历!$N$40),0),卓尔金历!$M$43),0),1)</f>
        <v>0.69129803729347994</v>
      </c>
      <c r="M1575" s="4">
        <f>MIN(MAX(M1574*(1+MAX(MIN(((B1575-B1574)/B1574)/($K$7*30),0),-卓尔金历!$M$43))+MIN(MAX(((B1575-B1574)/B1574)/($K$7*7),0),卓尔金历!$M$43),0),1)</f>
        <v>0.89489959930789298</v>
      </c>
      <c r="N1575">
        <f t="shared" si="193"/>
        <v>689.53859360400247</v>
      </c>
      <c r="O1575">
        <f t="shared" si="194"/>
        <v>1687.4276103582833</v>
      </c>
      <c r="P1575">
        <f t="shared" si="195"/>
        <v>-1.6343429941163895E-3</v>
      </c>
      <c r="Q1575">
        <f t="shared" si="186"/>
        <v>4.2317102198343767E-2</v>
      </c>
      <c r="R1575">
        <f t="shared" si="187"/>
        <v>1</v>
      </c>
      <c r="S1575">
        <f t="shared" si="189"/>
        <v>14.526098222112175</v>
      </c>
      <c r="T1575" s="564">
        <f>IF((I1575-MAX(I$470:I1575))/MAX(I$470:I1575)&gt;T1574,T1574,(I1575-MAX(I$470:I1575))/MAX(I$470:I1575))</f>
        <v>-0.91338805338419748</v>
      </c>
      <c r="U1575" s="564">
        <f>IF((J1575-MAX(J$470:J1575))/MAX(J$470:J1575)&gt;U1574,U1574,(J1575-MAX(J$470:J1575))/MAX(J$470:J1575))</f>
        <v>-0.72031258158274925</v>
      </c>
      <c r="V1575" s="564">
        <f>IF((K1575-MAX(K$470:K1575))/MAX(K$470:K1575)&gt;V1574,V1574,(K1575-MAX(K$470:K1575))/MAX(K$470:K1575))</f>
        <v>-0.84885940676762139</v>
      </c>
      <c r="W1575" s="564">
        <f>IF((N1575-MAX(N$470:N1575))/MAX(N$470:N1575)&gt;W1574,W1574,(N1575-MAX(N$470:N1575))/MAX(N$470:N1575))</f>
        <v>-0.62788758315546067</v>
      </c>
      <c r="X1575" s="564">
        <f>IF((O1575-MAX(O$470:O1575))/MAX(O$470:O1575)&gt;X1574,X1574,(O1575-MAX(O$470:O1575))/MAX(O$470:O1575))</f>
        <v>-0.62788758315546067</v>
      </c>
    </row>
    <row r="1576" spans="1:24">
      <c r="A1576" s="799">
        <v>41978</v>
      </c>
      <c r="B1576">
        <v>372.94299999999998</v>
      </c>
      <c r="C1576">
        <v>360.74293599999999</v>
      </c>
      <c r="D1576">
        <v>1.1410960000000001</v>
      </c>
      <c r="E1576">
        <f>LN(D1576/参数实验室!$E$53)/参数实验室!$E$55</f>
        <v>-0.53725360226233954</v>
      </c>
      <c r="F1576">
        <f t="shared" si="188"/>
        <v>0.96728705459011166</v>
      </c>
      <c r="G1576">
        <f>LN(F1576/参数实验室!$E$58)/参数实验室!$E$59</f>
        <v>-0.20798665801178429</v>
      </c>
      <c r="H1576" s="856">
        <f>INDEX(神经网络!$G$10:$BO$70,MATCH(ROUND(G1576*2,1)/2,神经网络!$E$10:$E$70,0),MATCH(ROUND(E1576*2,1)/2,神经网络!$G$8:$BO$8,0))</f>
        <v>-0.5609215502102598</v>
      </c>
      <c r="I1576">
        <f t="shared" si="190"/>
        <v>771.22612528626155</v>
      </c>
      <c r="J1576">
        <f t="shared" si="191"/>
        <v>148.81409361158751</v>
      </c>
      <c r="K1576">
        <f t="shared" si="192"/>
        <v>5.1824804127705919</v>
      </c>
      <c r="L1576" s="4">
        <f>MIN(MAX(L1575*(1+MAX(MIN(((B1576-B1575)/B1575)/($K$7*卓尔金历!$N$40),0),-卓尔金历!$M$43))+MIN(MAX(((B1576-B1575)/B1575)/($K$7*卓尔金历!$N$40),0),卓尔金历!$M$43),0),1)</f>
        <v>0.614262623125576</v>
      </c>
      <c r="M1576" s="4">
        <f>MIN(MAX(M1575*(1+MAX(MIN(((B1576-B1575)/B1575)/($K$7*30),0),-卓尔金历!$M$43))+MIN(MAX(((B1576-B1575)/B1575)/($K$7*7),0),卓尔金历!$M$43),0),1)</f>
        <v>0.845037631276507</v>
      </c>
      <c r="N1576">
        <f t="shared" si="193"/>
        <v>691.48868536633711</v>
      </c>
      <c r="O1576">
        <f t="shared" si="194"/>
        <v>1693.6053643459418</v>
      </c>
      <c r="P1576">
        <f t="shared" si="195"/>
        <v>-7.2933829851231204E-3</v>
      </c>
      <c r="Q1576">
        <f t="shared" si="186"/>
        <v>3.359615824096121E-2</v>
      </c>
      <c r="R1576">
        <f t="shared" si="187"/>
        <v>1</v>
      </c>
      <c r="S1576">
        <f t="shared" si="189"/>
        <v>14.585524717857565</v>
      </c>
      <c r="T1576" s="564">
        <f>IF((I1576-MAX(I$470:I1576))/MAX(I$470:I1576)&gt;T1575,T1575,(I1576-MAX(I$470:I1576))/MAX(I$470:I1576))</f>
        <v>-0.91338805338419748</v>
      </c>
      <c r="U1576" s="564">
        <f>IF((J1576-MAX(J$470:J1576))/MAX(J$470:J1576)&gt;U1575,U1575,(J1576-MAX(J$470:J1576))/MAX(J$470:J1576))</f>
        <v>-0.72031258158274925</v>
      </c>
      <c r="V1576" s="564">
        <f>IF((K1576-MAX(K$470:K1576))/MAX(K$470:K1576)&gt;V1575,V1575,(K1576-MAX(K$470:K1576))/MAX(K$470:K1576))</f>
        <v>-0.84885940676762139</v>
      </c>
      <c r="W1576" s="564">
        <f>IF((N1576-MAX(N$470:N1576))/MAX(N$470:N1576)&gt;W1575,W1575,(N1576-MAX(N$470:N1576))/MAX(N$470:N1576))</f>
        <v>-0.62788758315546067</v>
      </c>
      <c r="X1576" s="564">
        <f>IF((O1576-MAX(O$470:O1576))/MAX(O$470:O1576)&gt;X1575,X1575,(O1576-MAX(O$470:O1576))/MAX(O$470:O1576))</f>
        <v>-0.62788758315546067</v>
      </c>
    </row>
    <row r="1577" spans="1:24">
      <c r="A1577" s="799">
        <v>41979</v>
      </c>
      <c r="B1577">
        <v>374.45400000000001</v>
      </c>
      <c r="C1577">
        <v>365.31480399999998</v>
      </c>
      <c r="D1577">
        <v>1.1312930000000001</v>
      </c>
      <c r="E1577">
        <f>LN(D1577/参数实验室!$E$53)/参数实验室!$E$55</f>
        <v>-0.54743248694695856</v>
      </c>
      <c r="F1577">
        <f t="shared" si="188"/>
        <v>0.97559327447430122</v>
      </c>
      <c r="G1577">
        <f>LN(F1577/参数实验室!$E$58)/参数实验室!$E$59</f>
        <v>-0.20349890898836986</v>
      </c>
      <c r="H1577" s="856">
        <f>INDEX(神经网络!$G$10:$BO$70,MATCH(ROUND(G1577*2,1)/2,神经网络!$E$10:$E$70,0),MATCH(ROUND(E1577*2,1)/2,神经网络!$G$8:$BO$8,0))</f>
        <v>-0.5609215502102598</v>
      </c>
      <c r="I1577">
        <f t="shared" si="190"/>
        <v>769.47343224327994</v>
      </c>
      <c r="J1577">
        <f t="shared" si="191"/>
        <v>149.41702246518474</v>
      </c>
      <c r="K1577">
        <f t="shared" si="192"/>
        <v>5.1498378133092091</v>
      </c>
      <c r="L1577" s="4">
        <f>MIN(MAX(L1576*(1+MAX(MIN(((B1577-B1576)/B1576)/($K$7*卓尔金历!$N$40),0),-卓尔金历!$M$43))+MIN(MAX(((B1577-B1576)/B1576)/($K$7*卓尔金历!$N$40),0),卓尔金历!$M$43),0),1)</f>
        <v>0.67616653337934585</v>
      </c>
      <c r="M1577" s="4">
        <f>MIN(MAX(M1576*(1+MAX(MIN(((B1577-B1576)/B1576)/($K$7*30),0),-卓尔金历!$M$43))+MIN(MAX(((B1577-B1576)/B1576)/($K$7*7),0),卓尔金历!$M$43),0),1)</f>
        <v>0.97768886753458517</v>
      </c>
      <c r="N1577">
        <f t="shared" si="193"/>
        <v>690.52338316136866</v>
      </c>
      <c r="O1577">
        <f t="shared" si="194"/>
        <v>1690.352901082156</v>
      </c>
      <c r="P1577">
        <f t="shared" si="195"/>
        <v>4.0515574766117725E-3</v>
      </c>
      <c r="Q1577">
        <f t="shared" si="186"/>
        <v>3.3060749008319741E-2</v>
      </c>
      <c r="R1577">
        <f t="shared" si="187"/>
        <v>1</v>
      </c>
      <c r="S1577">
        <f t="shared" si="189"/>
        <v>14.552377568321187</v>
      </c>
      <c r="T1577" s="564">
        <f>IF((I1577-MAX(I$470:I1577))/MAX(I$470:I1577)&gt;T1576,T1576,(I1577-MAX(I$470:I1577))/MAX(I$470:I1577))</f>
        <v>-0.91338805338419748</v>
      </c>
      <c r="U1577" s="564">
        <f>IF((J1577-MAX(J$470:J1577))/MAX(J$470:J1577)&gt;U1576,U1576,(J1577-MAX(J$470:J1577))/MAX(J$470:J1577))</f>
        <v>-0.72031258158274925</v>
      </c>
      <c r="V1577" s="564">
        <f>IF((K1577-MAX(K$470:K1577))/MAX(K$470:K1577)&gt;V1576,V1576,(K1577-MAX(K$470:K1577))/MAX(K$470:K1577))</f>
        <v>-0.84885940676762139</v>
      </c>
      <c r="W1577" s="564">
        <f>IF((N1577-MAX(N$470:N1577))/MAX(N$470:N1577)&gt;W1576,W1576,(N1577-MAX(N$470:N1577))/MAX(N$470:N1577))</f>
        <v>-0.62788758315546067</v>
      </c>
      <c r="X1577" s="564">
        <f>IF((O1577-MAX(O$470:O1577))/MAX(O$470:O1577)&gt;X1576,X1576,(O1577-MAX(O$470:O1577))/MAX(O$470:O1577))</f>
        <v>-0.62788758315546067</v>
      </c>
    </row>
    <row r="1578" spans="1:24">
      <c r="A1578" s="799">
        <v>41980</v>
      </c>
      <c r="B1578">
        <v>374.86200000000002</v>
      </c>
      <c r="C1578">
        <v>371.74790300000001</v>
      </c>
      <c r="D1578">
        <v>1.135977</v>
      </c>
      <c r="E1578">
        <f>LN(D1578/参数实验室!$E$53)/参数实验室!$E$55</f>
        <v>-0.5425579267433277</v>
      </c>
      <c r="F1578">
        <f t="shared" si="188"/>
        <v>0.99169268424113399</v>
      </c>
      <c r="G1578">
        <f>LN(F1578/参数实验室!$E$58)/参数实验室!$E$59</f>
        <v>-0.19490836432646622</v>
      </c>
      <c r="H1578" s="856">
        <f>INDEX(神经网络!$G$10:$BO$70,MATCH(ROUND(G1578*2,1)/2,神经网络!$E$10:$E$70,0),MATCH(ROUND(E1578*2,1)/2,神经网络!$G$8:$BO$8,0))</f>
        <v>-0.5609215502102598</v>
      </c>
      <c r="I1578">
        <f t="shared" si="190"/>
        <v>769.0031512313866</v>
      </c>
      <c r="J1578">
        <f t="shared" si="191"/>
        <v>149.57982522644727</v>
      </c>
      <c r="K1578">
        <f t="shared" si="192"/>
        <v>5.1410887134491636</v>
      </c>
      <c r="L1578" s="4">
        <f>MIN(MAX(L1577*(1+MAX(MIN(((B1578-B1577)/B1577)/($K$7*卓尔金历!$N$40),0),-卓尔金历!$M$43))+MIN(MAX(((B1578-B1577)/B1577)/($K$7*卓尔金历!$N$40),0),卓尔金历!$M$43),0),1)</f>
        <v>0.69281436855186274</v>
      </c>
      <c r="M1578" s="4">
        <f>MIN(MAX(M1577*(1+MAX(MIN(((B1578-B1577)/B1577)/($K$7*30),0),-卓尔金历!$M$43))+MIN(MAX(((B1578-B1577)/B1577)/($K$7*7),0),卓尔金历!$M$43),0),1)</f>
        <v>1</v>
      </c>
      <c r="N1578">
        <f t="shared" si="193"/>
        <v>690.23802133500271</v>
      </c>
      <c r="O1578">
        <f t="shared" si="194"/>
        <v>1689.3428534195652</v>
      </c>
      <c r="P1578">
        <f t="shared" si="195"/>
        <v>1.089586437853556E-3</v>
      </c>
      <c r="Q1578">
        <f t="shared" si="186"/>
        <v>3.2789675857711552E-2</v>
      </c>
      <c r="R1578">
        <f t="shared" si="187"/>
        <v>1</v>
      </c>
      <c r="S1578">
        <f t="shared" si="189"/>
        <v>14.54348355514086</v>
      </c>
      <c r="T1578" s="564">
        <f>IF((I1578-MAX(I$470:I1578))/MAX(I$470:I1578)&gt;T1577,T1577,(I1578-MAX(I$470:I1578))/MAX(I$470:I1578))</f>
        <v>-0.91338805338419748</v>
      </c>
      <c r="U1578" s="564">
        <f>IF((J1578-MAX(J$470:J1578))/MAX(J$470:J1578)&gt;U1577,U1577,(J1578-MAX(J$470:J1578))/MAX(J$470:J1578))</f>
        <v>-0.72031258158274925</v>
      </c>
      <c r="V1578" s="564">
        <f>IF((K1578-MAX(K$470:K1578))/MAX(K$470:K1578)&gt;V1577,V1577,(K1578-MAX(K$470:K1578))/MAX(K$470:K1578))</f>
        <v>-0.84885940676762139</v>
      </c>
      <c r="W1578" s="564">
        <f>IF((N1578-MAX(N$470:N1578))/MAX(N$470:N1578)&gt;W1577,W1577,(N1578-MAX(N$470:N1578))/MAX(N$470:N1578))</f>
        <v>-0.62788758315546067</v>
      </c>
      <c r="X1578" s="564">
        <f>IF((O1578-MAX(O$470:O1578))/MAX(O$470:O1578)&gt;X1577,X1577,(O1578-MAX(O$470:O1578))/MAX(O$470:O1578))</f>
        <v>-0.62788758315546067</v>
      </c>
    </row>
    <row r="1579" spans="1:24">
      <c r="A1579" s="799">
        <v>41981</v>
      </c>
      <c r="B1579">
        <v>366.65899999999999</v>
      </c>
      <c r="C1579">
        <v>369.52391299999999</v>
      </c>
      <c r="D1579">
        <v>1.1041810000000001</v>
      </c>
      <c r="E1579">
        <f>LN(D1579/参数实验室!$E$53)/参数实验室!$E$55</f>
        <v>-0.57605016564881473</v>
      </c>
      <c r="F1579">
        <f t="shared" si="188"/>
        <v>1.007813562465397</v>
      </c>
      <c r="G1579">
        <f>LN(F1579/参数实验室!$E$58)/参数实验室!$E$59</f>
        <v>-0.18644498346237542</v>
      </c>
      <c r="H1579" s="856">
        <f>INDEX(神经网络!$G$10:$BO$70,MATCH(ROUND(G1579*2,1)/2,神经网络!$E$10:$E$70,0),MATCH(ROUND(E1579*2,1)/2,神经网络!$G$8:$BO$8,0))</f>
        <v>-0.58456738149375054</v>
      </c>
      <c r="I1579">
        <f t="shared" si="190"/>
        <v>778.44227191287052</v>
      </c>
      <c r="J1579">
        <f t="shared" si="191"/>
        <v>146.30661186704421</v>
      </c>
      <c r="K1579">
        <f t="shared" si="192"/>
        <v>5.3206226429484822</v>
      </c>
      <c r="L1579" s="4">
        <f>MIN(MAX(L1578*(1+MAX(MIN(((B1579-B1578)/B1578)/($K$7*卓尔金历!$N$40),0),-卓尔金历!$M$43))+MIN(MAX(((B1579-B1578)/B1578)/($K$7*卓尔金历!$N$40),0),卓尔金历!$M$43),0),1)</f>
        <v>0.46117399418571647</v>
      </c>
      <c r="M1579" s="4">
        <f>MIN(MAX(M1578*(1+MAX(MIN(((B1579-B1578)/B1578)/($K$7*30),0),-卓尔金历!$M$43))+MIN(MAX(((B1579-B1578)/B1578)/($K$7*7),0),卓尔金历!$M$43),0),1)</f>
        <v>0.83282652260061629</v>
      </c>
      <c r="N1579">
        <f t="shared" si="193"/>
        <v>696.1077656489158</v>
      </c>
      <c r="O1579">
        <f t="shared" si="194"/>
        <v>1710.0786736048219</v>
      </c>
      <c r="P1579">
        <f t="shared" si="195"/>
        <v>-2.188271950744549E-2</v>
      </c>
      <c r="Q1579">
        <f t="shared" si="186"/>
        <v>3.0148023676625019E-2</v>
      </c>
      <c r="R1579">
        <f t="shared" si="187"/>
        <v>0.36371832253445208</v>
      </c>
      <c r="S1579">
        <f t="shared" si="189"/>
        <v>14.721997383317419</v>
      </c>
      <c r="T1579" s="564">
        <f>IF((I1579-MAX(I$470:I1579))/MAX(I$470:I1579)&gt;T1578,T1578,(I1579-MAX(I$470:I1579))/MAX(I$470:I1579))</f>
        <v>-0.91338805338419748</v>
      </c>
      <c r="U1579" s="564">
        <f>IF((J1579-MAX(J$470:J1579))/MAX(J$470:J1579)&gt;U1578,U1578,(J1579-MAX(J$470:J1579))/MAX(J$470:J1579))</f>
        <v>-0.72031258158274925</v>
      </c>
      <c r="V1579" s="564">
        <f>IF((K1579-MAX(K$470:K1579))/MAX(K$470:K1579)&gt;V1578,V1578,(K1579-MAX(K$470:K1579))/MAX(K$470:K1579))</f>
        <v>-0.84885940676762139</v>
      </c>
      <c r="W1579" s="564">
        <f>IF((N1579-MAX(N$470:N1579))/MAX(N$470:N1579)&gt;W1578,W1578,(N1579-MAX(N$470:N1579))/MAX(N$470:N1579))</f>
        <v>-0.62788758315546067</v>
      </c>
      <c r="X1579" s="564">
        <f>IF((O1579-MAX(O$470:O1579))/MAX(O$470:O1579)&gt;X1578,X1578,(O1579-MAX(O$470:O1579))/MAX(O$470:O1579))</f>
        <v>-0.62788758315546067</v>
      </c>
    </row>
    <row r="1580" spans="1:24">
      <c r="A1580" s="799">
        <v>41982</v>
      </c>
      <c r="B1580">
        <v>350.73399999999998</v>
      </c>
      <c r="C1580">
        <v>371.90470499999998</v>
      </c>
      <c r="D1580">
        <v>1.0676129999999999</v>
      </c>
      <c r="E1580">
        <f>LN(D1580/参数实验室!$E$53)/参数实验室!$E$55</f>
        <v>-0.61578256593884462</v>
      </c>
      <c r="F1580">
        <f t="shared" si="188"/>
        <v>1.0603611426323083</v>
      </c>
      <c r="G1580">
        <f>LN(F1580/参数实验室!$E$58)/参数实验室!$E$59</f>
        <v>-0.15976856500781467</v>
      </c>
      <c r="H1580" s="856">
        <f>INDEX(神经网络!$G$10:$BO$70,MATCH(ROUND(G1580*2,1)/2,神经网络!$E$10:$E$70,0),MATCH(ROUND(E1580*2,1)/2,神经网络!$G$8:$BO$8,0))</f>
        <v>-0.51289953380314779</v>
      </c>
      <c r="I1580">
        <f t="shared" si="190"/>
        <v>798.20641917650846</v>
      </c>
      <c r="J1580">
        <f t="shared" si="191"/>
        <v>139.95211683492261</v>
      </c>
      <c r="K1580">
        <f t="shared" si="192"/>
        <v>5.7034251230227193</v>
      </c>
      <c r="L1580" s="4">
        <f>MIN(MAX(L1579*(1+MAX(MIN(((B1580-B1579)/B1579)/($K$7*卓尔金历!$N$40),0),-卓尔金历!$M$43))+MIN(MAX(((B1580-B1579)/B1579)/($K$7*卓尔金历!$N$40),0),卓尔金历!$M$43),0),1)</f>
        <v>0.15513414516074697</v>
      </c>
      <c r="M1580" s="4">
        <f>MIN(MAX(M1579*(1+MAX(MIN(((B1580-B1579)/B1579)/($K$7*30),0),-卓尔金历!$M$43))+MIN(MAX(((B1580-B1579)/B1579)/($K$7*7),0),卓尔金历!$M$43),0),1)</f>
        <v>0.55649036048601686</v>
      </c>
      <c r="N1580">
        <f t="shared" si="193"/>
        <v>704.25842903575574</v>
      </c>
      <c r="O1580">
        <f t="shared" si="194"/>
        <v>1746.2381645729167</v>
      </c>
      <c r="P1580">
        <f t="shared" si="195"/>
        <v>-4.3432726320641282E-2</v>
      </c>
      <c r="Q1580">
        <f t="shared" ref="Q1580:Q1643" si="196">STDEVP(P1560:P1580)</f>
        <v>2.8571486706581845E-2</v>
      </c>
      <c r="R1580">
        <f t="shared" ref="R1580:R1643" si="197">MIN(Q1579*MAX(1-LN(MAX(ABS(P1580),0.0001)/Q1580),0)+MAX(-LN(MAX(ABS(P1580),0.0001)/Q1580),0),1)</f>
        <v>1.7521911751268712E-2</v>
      </c>
      <c r="S1580">
        <f t="shared" si="189"/>
        <v>14.85794875236828</v>
      </c>
      <c r="T1580" s="564">
        <f>IF((I1580-MAX(I$470:I1580))/MAX(I$470:I1580)&gt;T1579,T1579,(I1580-MAX(I$470:I1580))/MAX(I$470:I1580))</f>
        <v>-0.91338805338419748</v>
      </c>
      <c r="U1580" s="564">
        <f>IF((J1580-MAX(J$470:J1580))/MAX(J$470:J1580)&gt;U1579,U1579,(J1580-MAX(J$470:J1580))/MAX(J$470:J1580))</f>
        <v>-0.72031258158274925</v>
      </c>
      <c r="V1580" s="564">
        <f>IF((K1580-MAX(K$470:K1580))/MAX(K$470:K1580)&gt;V1579,V1579,(K1580-MAX(K$470:K1580))/MAX(K$470:K1580))</f>
        <v>-0.84885940676762139</v>
      </c>
      <c r="W1580" s="564">
        <f>IF((N1580-MAX(N$470:N1580))/MAX(N$470:N1580)&gt;W1579,W1579,(N1580-MAX(N$470:N1580))/MAX(N$470:N1580))</f>
        <v>-0.62788758315546067</v>
      </c>
      <c r="X1580" s="564">
        <f>IF((O1580-MAX(O$470:O1580))/MAX(O$470:O1580)&gt;X1579,X1579,(O1580-MAX(O$470:O1580))/MAX(O$470:O1580))</f>
        <v>-0.62788758315546067</v>
      </c>
    </row>
    <row r="1581" spans="1:24">
      <c r="A1581" s="799">
        <v>41983</v>
      </c>
      <c r="B1581">
        <v>350.03699999999998</v>
      </c>
      <c r="C1581">
        <v>373.26228600000002</v>
      </c>
      <c r="D1581">
        <v>1.060413</v>
      </c>
      <c r="E1581">
        <f>LN(D1581/参数实验室!$E$53)/参数实验室!$E$55</f>
        <v>-0.623765791490975</v>
      </c>
      <c r="F1581">
        <f t="shared" si="188"/>
        <v>1.0663509457571629</v>
      </c>
      <c r="G1581">
        <f>LN(F1581/参数实验室!$E$58)/参数实验室!$E$59</f>
        <v>-0.15681209457897011</v>
      </c>
      <c r="H1581" s="856">
        <f>INDEX(神经网络!$G$10:$BO$70,MATCH(ROUND(G1581*2,1)/2,神经网络!$E$10:$E$70,0),MATCH(ROUND(E1581*2,1)/2,神经网络!$G$8:$BO$8,0))</f>
        <v>-0.51289953380314779</v>
      </c>
      <c r="I1581">
        <f t="shared" si="190"/>
        <v>799.0200032347725</v>
      </c>
      <c r="J1581">
        <f t="shared" si="191"/>
        <v>139.67399545109913</v>
      </c>
      <c r="K1581">
        <f t="shared" si="192"/>
        <v>5.7206067647324881</v>
      </c>
      <c r="L1581" s="4">
        <f>MIN(MAX(L1580*(1+MAX(MIN(((B1581-B1580)/B1580)/($K$7*卓尔金历!$N$40),0),-卓尔金历!$M$43))+MIN(MAX(((B1581-B1580)/B1580)/($K$7*卓尔金历!$N$40),0),卓尔金历!$M$43),0),1)</f>
        <v>0.15042373868670444</v>
      </c>
      <c r="M1581" s="4">
        <f>MIN(MAX(M1580*(1+MAX(MIN(((B1581-B1580)/B1580)/($K$7*30),0),-卓尔金历!$M$43))+MIN(MAX(((B1581-B1580)/B1580)/($K$7*7),0),卓尔金历!$M$43),0),1)</f>
        <v>0.54804187935357673</v>
      </c>
      <c r="N1581">
        <f t="shared" si="193"/>
        <v>704.36978837996242</v>
      </c>
      <c r="O1581">
        <f t="shared" si="194"/>
        <v>1747.2286505599309</v>
      </c>
      <c r="P1581">
        <f t="shared" si="195"/>
        <v>-1.9872610012146037E-3</v>
      </c>
      <c r="Q1581">
        <f t="shared" si="196"/>
        <v>2.856684379834171E-2</v>
      </c>
      <c r="R1581">
        <f t="shared" si="197"/>
        <v>1</v>
      </c>
      <c r="S1581">
        <f t="shared" si="189"/>
        <v>14.858214107541563</v>
      </c>
      <c r="T1581" s="564">
        <f>IF((I1581-MAX(I$470:I1581))/MAX(I$470:I1581)&gt;T1580,T1580,(I1581-MAX(I$470:I1581))/MAX(I$470:I1581))</f>
        <v>-0.91338805338419748</v>
      </c>
      <c r="U1581" s="564">
        <f>IF((J1581-MAX(J$470:J1581))/MAX(J$470:J1581)&gt;U1580,U1580,(J1581-MAX(J$470:J1581))/MAX(J$470:J1581))</f>
        <v>-0.72031258158274925</v>
      </c>
      <c r="V1581" s="564">
        <f>IF((K1581-MAX(K$470:K1581))/MAX(K$470:K1581)&gt;V1580,V1580,(K1581-MAX(K$470:K1581))/MAX(K$470:K1581))</f>
        <v>-0.84885940676762139</v>
      </c>
      <c r="W1581" s="564">
        <f>IF((N1581-MAX(N$470:N1581))/MAX(N$470:N1581)&gt;W1580,W1580,(N1581-MAX(N$470:N1581))/MAX(N$470:N1581))</f>
        <v>-0.62788758315546067</v>
      </c>
      <c r="X1581" s="564">
        <f>IF((O1581-MAX(O$470:O1581))/MAX(O$470:O1581)&gt;X1580,X1580,(O1581-MAX(O$470:O1581))/MAX(O$470:O1581))</f>
        <v>-0.62788758315546067</v>
      </c>
    </row>
    <row r="1582" spans="1:24">
      <c r="A1582" s="799">
        <v>41984</v>
      </c>
      <c r="B1582">
        <v>351.87200000000001</v>
      </c>
      <c r="C1582">
        <v>368.67801700000001</v>
      </c>
      <c r="D1582">
        <v>1.0632809999999999</v>
      </c>
      <c r="E1582">
        <f>LN(D1582/参数实验室!$E$53)/参数实验室!$E$55</f>
        <v>-0.62057933020167133</v>
      </c>
      <c r="F1582">
        <f t="shared" si="188"/>
        <v>1.047761734380684</v>
      </c>
      <c r="G1582">
        <f>LN(F1582/参数实验室!$E$58)/参数实验室!$E$59</f>
        <v>-0.16604232558558524</v>
      </c>
      <c r="H1582" s="856">
        <f>INDEX(神经网络!$G$10:$BO$70,MATCH(ROUND(G1582*2,1)/2,神经网络!$E$10:$E$70,0),MATCH(ROUND(E1582*2,1)/2,神经网络!$G$8:$BO$8,0))</f>
        <v>-0.51289953380314779</v>
      </c>
      <c r="I1582">
        <f t="shared" si="190"/>
        <v>796.87161843134925</v>
      </c>
      <c r="J1582">
        <f t="shared" si="191"/>
        <v>140.40620885040482</v>
      </c>
      <c r="K1582">
        <f t="shared" si="192"/>
        <v>5.675472793944409</v>
      </c>
      <c r="L1582" s="4">
        <f>MIN(MAX(L1581*(1+MAX(MIN(((B1582-B1581)/B1581)/($K$7*卓尔金历!$N$40),0),-卓尔金历!$M$43))+MIN(MAX(((B1582-B1581)/B1581)/($K$7*卓尔金历!$N$40),0),卓尔金历!$M$43),0),1)</f>
        <v>0.23052109720089325</v>
      </c>
      <c r="M1582" s="4">
        <f>MIN(MAX(M1581*(1+MAX(MIN(((B1582-B1581)/B1581)/($K$7*30),0),-卓尔金历!$M$43))+MIN(MAX(((B1582-B1581)/B1581)/($K$7*7),0),卓尔金历!$M$43),0),1)</f>
        <v>0.71967907616969562</v>
      </c>
      <c r="N1582">
        <f t="shared" si="193"/>
        <v>704.08490211032938</v>
      </c>
      <c r="O1582">
        <f t="shared" si="194"/>
        <v>1744.65400227755</v>
      </c>
      <c r="P1582">
        <f t="shared" si="195"/>
        <v>5.2423029565446984E-3</v>
      </c>
      <c r="Q1582">
        <f t="shared" si="196"/>
        <v>2.6820538850075768E-2</v>
      </c>
      <c r="R1582">
        <f t="shared" si="197"/>
        <v>1</v>
      </c>
      <c r="S1582">
        <f t="shared" si="189"/>
        <v>14.818263716731044</v>
      </c>
      <c r="T1582" s="564">
        <f>IF((I1582-MAX(I$470:I1582))/MAX(I$470:I1582)&gt;T1581,T1581,(I1582-MAX(I$470:I1582))/MAX(I$470:I1582))</f>
        <v>-0.91338805338419748</v>
      </c>
      <c r="U1582" s="564">
        <f>IF((J1582-MAX(J$470:J1582))/MAX(J$470:J1582)&gt;U1581,U1581,(J1582-MAX(J$470:J1582))/MAX(J$470:J1582))</f>
        <v>-0.72031258158274925</v>
      </c>
      <c r="V1582" s="564">
        <f>IF((K1582-MAX(K$470:K1582))/MAX(K$470:K1582)&gt;V1581,V1581,(K1582-MAX(K$470:K1582))/MAX(K$470:K1582))</f>
        <v>-0.84885940676762139</v>
      </c>
      <c r="W1582" s="564">
        <f>IF((N1582-MAX(N$470:N1582))/MAX(N$470:N1582)&gt;W1581,W1581,(N1582-MAX(N$470:N1582))/MAX(N$470:N1582))</f>
        <v>-0.62788758315546067</v>
      </c>
      <c r="X1582" s="564">
        <f>IF((O1582-MAX(O$470:O1582))/MAX(O$470:O1582)&gt;X1581,X1581,(O1582-MAX(O$470:O1582))/MAX(O$470:O1582))</f>
        <v>-0.62788758315546067</v>
      </c>
    </row>
    <row r="1583" spans="1:24">
      <c r="A1583" s="799">
        <v>41985</v>
      </c>
      <c r="B1583">
        <v>356.59699999999998</v>
      </c>
      <c r="C1583">
        <v>370.53110099999998</v>
      </c>
      <c r="D1583">
        <v>1.077677</v>
      </c>
      <c r="E1583">
        <f>LN(D1583/参数实验室!$E$53)/参数实验室!$E$55</f>
        <v>-0.60471355079701317</v>
      </c>
      <c r="F1583">
        <f t="shared" si="188"/>
        <v>1.0390752053438475</v>
      </c>
      <c r="G1583">
        <f>LN(F1583/参数实验室!$E$58)/参数实验室!$E$59</f>
        <v>-0.17041179607992726</v>
      </c>
      <c r="H1583" s="856">
        <f>INDEX(神经网络!$G$10:$BO$70,MATCH(ROUND(G1583*2,1)/2,神经网络!$E$10:$E$70,0),MATCH(ROUND(E1583*2,1)/2,神经网络!$G$8:$BO$8,0))</f>
        <v>-0.51289953380314779</v>
      </c>
      <c r="I1583">
        <f t="shared" si="190"/>
        <v>791.38331938927286</v>
      </c>
      <c r="J1583">
        <f t="shared" si="191"/>
        <v>142.29160847532</v>
      </c>
      <c r="K1583">
        <f t="shared" si="192"/>
        <v>5.5617005659651086</v>
      </c>
      <c r="L1583" s="4">
        <f>MIN(MAX(L1582*(1+MAX(MIN(((B1583-B1582)/B1582)/($K$7*卓尔金历!$N$40),0),-卓尔金历!$M$43))+MIN(MAX(((B1583-B1582)/B1582)/($K$7*卓尔金历!$N$40),0),卓尔金历!$M$43),0),1)</f>
        <v>0.43569077752981022</v>
      </c>
      <c r="M1583" s="4">
        <f>MIN(MAX(M1582*(1+MAX(MIN(((B1583-B1582)/B1582)/($K$7*30),0),-卓尔金历!$M$43))+MIN(MAX(((B1583-B1582)/B1582)/($K$7*7),0),卓尔金历!$M$43),0),1)</f>
        <v>1</v>
      </c>
      <c r="N1583">
        <f t="shared" si="193"/>
        <v>702.9670480274126</v>
      </c>
      <c r="O1583">
        <f t="shared" si="194"/>
        <v>1736.0063624110385</v>
      </c>
      <c r="P1583">
        <f t="shared" si="195"/>
        <v>1.3428178428519365E-2</v>
      </c>
      <c r="Q1583">
        <f t="shared" si="196"/>
        <v>2.6060515534391742E-2</v>
      </c>
      <c r="R1583">
        <f t="shared" si="197"/>
        <v>0.70767031319141716</v>
      </c>
      <c r="S1583">
        <f t="shared" si="189"/>
        <v>14.716205793370863</v>
      </c>
      <c r="T1583" s="564">
        <f>IF((I1583-MAX(I$470:I1583))/MAX(I$470:I1583)&gt;T1582,T1582,(I1583-MAX(I$470:I1583))/MAX(I$470:I1583))</f>
        <v>-0.91338805338419748</v>
      </c>
      <c r="U1583" s="564">
        <f>IF((J1583-MAX(J$470:J1583))/MAX(J$470:J1583)&gt;U1582,U1582,(J1583-MAX(J$470:J1583))/MAX(J$470:J1583))</f>
        <v>-0.72031258158274925</v>
      </c>
      <c r="V1583" s="564">
        <f>IF((K1583-MAX(K$470:K1583))/MAX(K$470:K1583)&gt;V1582,V1582,(K1583-MAX(K$470:K1583))/MAX(K$470:K1583))</f>
        <v>-0.84885940676762139</v>
      </c>
      <c r="W1583" s="564">
        <f>IF((N1583-MAX(N$470:N1583))/MAX(N$470:N1583)&gt;W1582,W1582,(N1583-MAX(N$470:N1583))/MAX(N$470:N1583))</f>
        <v>-0.62788758315546067</v>
      </c>
      <c r="X1583" s="564">
        <f>IF((O1583-MAX(O$470:O1583))/MAX(O$470:O1583)&gt;X1582,X1582,(O1583-MAX(O$470:O1583))/MAX(O$470:O1583))</f>
        <v>-0.62788758315546067</v>
      </c>
    </row>
    <row r="1584" spans="1:24">
      <c r="A1584" s="799">
        <v>41986</v>
      </c>
      <c r="B1584">
        <v>347.5</v>
      </c>
      <c r="C1584">
        <v>370.59509300000002</v>
      </c>
      <c r="D1584">
        <v>1.0659149999999999</v>
      </c>
      <c r="E1584">
        <f>LN(D1584/参数实验室!$E$53)/参数实验室!$E$55</f>
        <v>-0.61766041467690869</v>
      </c>
      <c r="F1584">
        <f t="shared" si="188"/>
        <v>1.0664606992805756</v>
      </c>
      <c r="G1584">
        <f>LN(F1584/参数实验室!$E$58)/参数实验室!$E$59</f>
        <v>-0.15675807707518305</v>
      </c>
      <c r="H1584" s="856">
        <f>INDEX(神经网络!$G$10:$BO$70,MATCH(ROUND(G1584*2,1)/2,神经网络!$E$10:$E$70,0),MATCH(ROUND(E1584*2,1)/2,神经网络!$G$8:$BO$8,0))</f>
        <v>-0.51289953380314779</v>
      </c>
      <c r="I1584">
        <f t="shared" si="190"/>
        <v>801.73807148567255</v>
      </c>
      <c r="J1584">
        <f t="shared" si="191"/>
        <v>138.66166553609173</v>
      </c>
      <c r="K1584">
        <f t="shared" si="192"/>
        <v>5.7819734703604224</v>
      </c>
      <c r="L1584" s="4">
        <f>MIN(MAX(L1583*(1+MAX(MIN(((B1584-B1583)/B1583)/($K$7*卓尔金历!$N$40),0),-卓尔金历!$M$43))+MIN(MAX(((B1584-B1583)/B1583)/($K$7*卓尔金历!$N$40),0),卓尔金历!$M$43),0),1)</f>
        <v>0.2658683850182274</v>
      </c>
      <c r="M1584" s="4">
        <f>MIN(MAX(M1583*(1+MAX(MIN(((B1584-B1583)/B1583)/($K$7*30),0),-卓尔金历!$M$43))+MIN(MAX(((B1584-B1583)/B1583)/($K$7*7),0),卓尔金历!$M$43),0),1)</f>
        <v>0.80511132978943589</v>
      </c>
      <c r="N1584">
        <f t="shared" si="193"/>
        <v>706.97447990630815</v>
      </c>
      <c r="O1584">
        <f t="shared" si="194"/>
        <v>1758.7209118337016</v>
      </c>
      <c r="P1584">
        <f t="shared" si="195"/>
        <v>-2.5510590386346437E-2</v>
      </c>
      <c r="Q1584">
        <f t="shared" si="196"/>
        <v>2.6413921918394898E-2</v>
      </c>
      <c r="R1584">
        <f t="shared" si="197"/>
        <v>6.1764898733299378E-2</v>
      </c>
      <c r="S1584">
        <f t="shared" si="189"/>
        <v>14.852469325921346</v>
      </c>
      <c r="T1584" s="564">
        <f>IF((I1584-MAX(I$470:I1584))/MAX(I$470:I1584)&gt;T1583,T1583,(I1584-MAX(I$470:I1584))/MAX(I$470:I1584))</f>
        <v>-0.91338805338419748</v>
      </c>
      <c r="U1584" s="564">
        <f>IF((J1584-MAX(J$470:J1584))/MAX(J$470:J1584)&gt;U1583,U1583,(J1584-MAX(J$470:J1584))/MAX(J$470:J1584))</f>
        <v>-0.72031258158274925</v>
      </c>
      <c r="V1584" s="564">
        <f>IF((K1584-MAX(K$470:K1584))/MAX(K$470:K1584)&gt;V1583,V1583,(K1584-MAX(K$470:K1584))/MAX(K$470:K1584))</f>
        <v>-0.84885940676762139</v>
      </c>
      <c r="W1584" s="564">
        <f>IF((N1584-MAX(N$470:N1584))/MAX(N$470:N1584)&gt;W1583,W1583,(N1584-MAX(N$470:N1584))/MAX(N$470:N1584))</f>
        <v>-0.62788758315546067</v>
      </c>
      <c r="X1584" s="564">
        <f>IF((O1584-MAX(O$470:O1584))/MAX(O$470:O1584)&gt;X1583,X1583,(O1584-MAX(O$470:O1584))/MAX(O$470:O1584))</f>
        <v>-0.62788758315546067</v>
      </c>
    </row>
    <row r="1585" spans="1:24">
      <c r="A1585" s="799">
        <v>41987</v>
      </c>
      <c r="B1585">
        <v>346.56700000000001</v>
      </c>
      <c r="C1585">
        <v>374.28266600000001</v>
      </c>
      <c r="D1585">
        <v>1.0868910000000001</v>
      </c>
      <c r="E1585">
        <f>LN(D1585/参数实验室!$E$53)/参数实验室!$E$55</f>
        <v>-0.59466968796034525</v>
      </c>
      <c r="F1585">
        <f t="shared" si="188"/>
        <v>1.0799720284966543</v>
      </c>
      <c r="G1585">
        <f>LN(F1585/参数实验室!$E$58)/参数实验室!$E$59</f>
        <v>-0.1501503047077217</v>
      </c>
      <c r="H1585" s="856">
        <f>INDEX(神经网络!$G$10:$BO$70,MATCH(ROUND(G1585*2,1)/2,神经网络!$E$10:$E$70,0),MATCH(ROUND(E1585*2,1)/2,神经网络!$G$8:$BO$8,0))</f>
        <v>-0.51289953380314779</v>
      </c>
      <c r="I1585">
        <f t="shared" si="190"/>
        <v>802.84212886849184</v>
      </c>
      <c r="J1585">
        <f t="shared" si="191"/>
        <v>138.28937392761642</v>
      </c>
      <c r="K1585">
        <f t="shared" si="192"/>
        <v>5.8055229123295931</v>
      </c>
      <c r="L1585" s="4">
        <f>MIN(MAX(L1584*(1+MAX(MIN(((B1585-B1584)/B1584)/($K$7*卓尔金历!$N$40),0),-卓尔金历!$M$43))+MIN(MAX(((B1585-B1584)/B1584)/($K$7*卓尔金历!$N$40),0),卓尔金历!$M$43),0),1)</f>
        <v>0.25496177936510217</v>
      </c>
      <c r="M1585" s="4">
        <f>MIN(MAX(M1584*(1+MAX(MIN(((B1585-B1584)/B1584)/($K$7*30),0),-卓尔金历!$M$43))+MIN(MAX(((B1585-B1584)/B1584)/($K$7*7),0),卓尔金历!$M$43),0),1)</f>
        <v>0.78859746000331099</v>
      </c>
      <c r="N1585">
        <f t="shared" si="193"/>
        <v>707.23331882312698</v>
      </c>
      <c r="O1585">
        <f t="shared" si="194"/>
        <v>1760.6708103323726</v>
      </c>
      <c r="P1585">
        <f t="shared" si="195"/>
        <v>-2.6848920863309141E-3</v>
      </c>
      <c r="Q1585">
        <f t="shared" si="196"/>
        <v>2.6406124375532962E-2</v>
      </c>
      <c r="R1585">
        <f t="shared" si="197"/>
        <v>1</v>
      </c>
      <c r="S1585">
        <f t="shared" si="189"/>
        <v>14.853732605678282</v>
      </c>
      <c r="T1585" s="564">
        <f>IF((I1585-MAX(I$470:I1585))/MAX(I$470:I1585)&gt;T1584,T1584,(I1585-MAX(I$470:I1585))/MAX(I$470:I1585))</f>
        <v>-0.91338805338419748</v>
      </c>
      <c r="U1585" s="564">
        <f>IF((J1585-MAX(J$470:J1585))/MAX(J$470:J1585)&gt;U1584,U1584,(J1585-MAX(J$470:J1585))/MAX(J$470:J1585))</f>
        <v>-0.72031258158274925</v>
      </c>
      <c r="V1585" s="564">
        <f>IF((K1585-MAX(K$470:K1585))/MAX(K$470:K1585)&gt;V1584,V1584,(K1585-MAX(K$470:K1585))/MAX(K$470:K1585))</f>
        <v>-0.84885940676762139</v>
      </c>
      <c r="W1585" s="564">
        <f>IF((N1585-MAX(N$470:N1585))/MAX(N$470:N1585)&gt;W1584,W1584,(N1585-MAX(N$470:N1585))/MAX(N$470:N1585))</f>
        <v>-0.62788758315546067</v>
      </c>
      <c r="X1585" s="564">
        <f>IF((O1585-MAX(O$470:O1585))/MAX(O$470:O1585)&gt;X1584,X1584,(O1585-MAX(O$470:O1585))/MAX(O$470:O1585))</f>
        <v>-0.62788758315546067</v>
      </c>
    </row>
    <row r="1586" spans="1:24">
      <c r="A1586" s="799">
        <v>41988</v>
      </c>
      <c r="B1586">
        <v>351.142</v>
      </c>
      <c r="C1586">
        <v>374.335262</v>
      </c>
      <c r="D1586">
        <v>1.06029</v>
      </c>
      <c r="E1586">
        <f>LN(D1586/参数实验室!$E$53)/参数实验室!$E$55</f>
        <v>-0.62390264200627232</v>
      </c>
      <c r="F1586">
        <f t="shared" si="188"/>
        <v>1.0660509480495071</v>
      </c>
      <c r="G1586">
        <f>LN(F1586/参数实验室!$E$58)/参数实验室!$E$59</f>
        <v>-0.1569597731298798</v>
      </c>
      <c r="H1586" s="856">
        <f>INDEX(神经网络!$G$10:$BO$70,MATCH(ROUND(G1586*2,1)/2,神经网络!$E$10:$E$70,0),MATCH(ROUND(E1586*2,1)/2,神经网络!$G$8:$BO$8,0))</f>
        <v>-0.51289953380314779</v>
      </c>
      <c r="I1586">
        <f t="shared" si="190"/>
        <v>797.40629281720931</v>
      </c>
      <c r="J1586">
        <f t="shared" si="191"/>
        <v>140.1149195961851</v>
      </c>
      <c r="K1586">
        <f t="shared" si="192"/>
        <v>5.6910876808505142</v>
      </c>
      <c r="L1586" s="4">
        <f>MIN(MAX(L1585*(1+MAX(MIN(((B1586-B1585)/B1585)/($K$7*卓尔金历!$N$40),0),-卓尔金历!$M$43))+MIN(MAX(((B1586-B1585)/B1585)/($K$7*卓尔金历!$N$40),0),卓尔金历!$M$43),0),1)</f>
        <v>0.45665902607621101</v>
      </c>
      <c r="M1586" s="4">
        <f>MIN(MAX(M1585*(1+MAX(MIN(((B1586-B1585)/B1585)/($K$7*30),0),-卓尔金历!$M$43))+MIN(MAX(((B1586-B1585)/B1585)/($K$7*7),0),卓尔金历!$M$43),0),1)</f>
        <v>1</v>
      </c>
      <c r="N1586">
        <f t="shared" si="193"/>
        <v>706.01243598225892</v>
      </c>
      <c r="O1586">
        <f t="shared" si="194"/>
        <v>1751.2699038184378</v>
      </c>
      <c r="P1586">
        <f t="shared" si="195"/>
        <v>1.3200910646426199E-2</v>
      </c>
      <c r="Q1586">
        <f t="shared" si="196"/>
        <v>2.4175554172644654E-2</v>
      </c>
      <c r="R1586">
        <f t="shared" si="197"/>
        <v>0.64743946117241824</v>
      </c>
      <c r="S1586">
        <f t="shared" si="189"/>
        <v>14.753161830564805</v>
      </c>
      <c r="T1586" s="564">
        <f>IF((I1586-MAX(I$470:I1586))/MAX(I$470:I1586)&gt;T1585,T1585,(I1586-MAX(I$470:I1586))/MAX(I$470:I1586))</f>
        <v>-0.91338805338419748</v>
      </c>
      <c r="U1586" s="564">
        <f>IF((J1586-MAX(J$470:J1586))/MAX(J$470:J1586)&gt;U1585,U1585,(J1586-MAX(J$470:J1586))/MAX(J$470:J1586))</f>
        <v>-0.72031258158274925</v>
      </c>
      <c r="V1586" s="564">
        <f>IF((K1586-MAX(K$470:K1586))/MAX(K$470:K1586)&gt;V1585,V1585,(K1586-MAX(K$470:K1586))/MAX(K$470:K1586))</f>
        <v>-0.84885940676762139</v>
      </c>
      <c r="W1586" s="564">
        <f>IF((N1586-MAX(N$470:N1586))/MAX(N$470:N1586)&gt;W1585,W1585,(N1586-MAX(N$470:N1586))/MAX(N$470:N1586))</f>
        <v>-0.62788758315546067</v>
      </c>
      <c r="X1586" s="564">
        <f>IF((O1586-MAX(O$470:O1586))/MAX(O$470:O1586)&gt;X1585,X1585,(O1586-MAX(O$470:O1586))/MAX(O$470:O1586))</f>
        <v>-0.62788758315546067</v>
      </c>
    </row>
    <row r="1587" spans="1:24">
      <c r="A1587" s="799">
        <v>41989</v>
      </c>
      <c r="B1587">
        <v>345.42</v>
      </c>
      <c r="C1587">
        <v>376.49021099999999</v>
      </c>
      <c r="D1587">
        <v>1.0046949999999999</v>
      </c>
      <c r="E1587">
        <f>LN(D1587/参数实验室!$E$53)/参数实验室!$E$55</f>
        <v>-0.68744231455386617</v>
      </c>
      <c r="F1587">
        <f t="shared" si="188"/>
        <v>1.0899490793816222</v>
      </c>
      <c r="G1587">
        <f>LN(F1587/参数实验室!$E$58)/参数实验室!$E$59</f>
        <v>-0.14532383209793151</v>
      </c>
      <c r="H1587" s="856">
        <f>INDEX(神经网络!$G$10:$BO$70,MATCH(ROUND(G1587*2,1)/2,神经网络!$E$10:$E$70,0),MATCH(ROUND(E1587*2,1)/2,神经网络!$G$8:$BO$8,0))</f>
        <v>-0.53449298171615722</v>
      </c>
      <c r="I1587">
        <f t="shared" si="190"/>
        <v>804.07093807531851</v>
      </c>
      <c r="J1587">
        <f t="shared" si="191"/>
        <v>137.83169067475342</v>
      </c>
      <c r="K1587">
        <f t="shared" si="192"/>
        <v>5.8337159918665922</v>
      </c>
      <c r="L1587" s="4">
        <f>MIN(MAX(L1586*(1+MAX(MIN(((B1587-B1586)/B1586)/($K$7*卓尔金历!$N$40),0),-卓尔金历!$M$43))+MIN(MAX(((B1587-B1586)/B1586)/($K$7*卓尔金历!$N$40),0),卓尔金历!$M$43),0),1)</f>
        <v>0.34296092809308015</v>
      </c>
      <c r="M1587" s="4">
        <f>MIN(MAX(M1586*(1+MAX(MIN(((B1587-B1586)/B1586)/($K$7*30),0),-卓尔金历!$M$43))+MIN(MAX(((B1587-B1586)/B1586)/($K$7*7),0),卓尔金历!$M$43),0),1)</f>
        <v>0.87551094855162681</v>
      </c>
      <c r="N1587">
        <f t="shared" si="193"/>
        <v>708.70708233666255</v>
      </c>
      <c r="O1587">
        <f t="shared" si="194"/>
        <v>1765.9068495828328</v>
      </c>
      <c r="P1587">
        <f t="shared" si="195"/>
        <v>-1.6295401860216038E-2</v>
      </c>
      <c r="Q1587">
        <f t="shared" si="196"/>
        <v>2.1267830787585391E-2</v>
      </c>
      <c r="R1587">
        <f t="shared" si="197"/>
        <v>0.29692647631437269</v>
      </c>
      <c r="S1587">
        <f t="shared" si="189"/>
        <v>14.832994683862369</v>
      </c>
      <c r="T1587" s="564">
        <f>IF((I1587-MAX(I$470:I1587))/MAX(I$470:I1587)&gt;T1586,T1586,(I1587-MAX(I$470:I1587))/MAX(I$470:I1587))</f>
        <v>-0.91338805338419748</v>
      </c>
      <c r="U1587" s="564">
        <f>IF((J1587-MAX(J$470:J1587))/MAX(J$470:J1587)&gt;U1586,U1586,(J1587-MAX(J$470:J1587))/MAX(J$470:J1587))</f>
        <v>-0.72031258158274925</v>
      </c>
      <c r="V1587" s="564">
        <f>IF((K1587-MAX(K$470:K1587))/MAX(K$470:K1587)&gt;V1586,V1586,(K1587-MAX(K$470:K1587))/MAX(K$470:K1587))</f>
        <v>-0.84885940676762139</v>
      </c>
      <c r="W1587" s="564">
        <f>IF((N1587-MAX(N$470:N1587))/MAX(N$470:N1587)&gt;W1586,W1586,(N1587-MAX(N$470:N1587))/MAX(N$470:N1587))</f>
        <v>-0.62788758315546067</v>
      </c>
      <c r="X1587" s="564">
        <f>IF((O1587-MAX(O$470:O1587))/MAX(O$470:O1587)&gt;X1586,X1586,(O1587-MAX(O$470:O1587))/MAX(O$470:O1587))</f>
        <v>-0.62788758315546067</v>
      </c>
    </row>
    <row r="1588" spans="1:24">
      <c r="A1588" s="799">
        <v>41990</v>
      </c>
      <c r="B1588">
        <v>333.95400000000001</v>
      </c>
      <c r="C1588">
        <v>381.02310599999998</v>
      </c>
      <c r="D1588">
        <v>0.98028899999999997</v>
      </c>
      <c r="E1588">
        <f>LN(D1588/参数实验室!$E$53)/参数实验室!$E$55</f>
        <v>-0.71645464788405977</v>
      </c>
      <c r="F1588">
        <f t="shared" si="188"/>
        <v>1.1409448786359797</v>
      </c>
      <c r="G1588">
        <f>LN(F1588/参数实验室!$E$58)/参数实验室!$E$59</f>
        <v>-0.12132447105124883</v>
      </c>
      <c r="H1588" s="856">
        <f>INDEX(神经网络!$G$10:$BO$70,MATCH(ROUND(G1588*2,1)/2,神经网络!$E$10:$E$70,0),MATCH(ROUND(E1588*2,1)/2,神经网络!$G$8:$BO$8,0))</f>
        <v>-0.4523391859566136</v>
      </c>
      <c r="I1588">
        <f t="shared" si="190"/>
        <v>818.33689242812886</v>
      </c>
      <c r="J1588">
        <f t="shared" si="191"/>
        <v>133.25645425162585</v>
      </c>
      <c r="K1588">
        <f t="shared" si="192"/>
        <v>6.1410675904889187</v>
      </c>
      <c r="L1588" s="4">
        <f>MIN(MAX(L1587*(1+MAX(MIN(((B1588-B1587)/B1587)/($K$7*卓尔金历!$N$40),0),-卓尔金历!$M$43))+MIN(MAX(((B1588-B1587)/B1587)/($K$7*卓尔金历!$N$40),0),卓尔金历!$M$43),0),1)</f>
        <v>0.16901863873297879</v>
      </c>
      <c r="M1588" s="4">
        <f>MIN(MAX(M1587*(1+MAX(MIN(((B1588-B1587)/B1587)/($K$7*30),0),-卓尔金历!$M$43))+MIN(MAX(((B1588-B1587)/B1587)/($K$7*7),0),卓尔金历!$M$43),0),1)</f>
        <v>0.65349093653793677</v>
      </c>
      <c r="N1588">
        <f t="shared" si="193"/>
        <v>713.01947087579174</v>
      </c>
      <c r="O1588">
        <f t="shared" si="194"/>
        <v>1793.3374830537875</v>
      </c>
      <c r="P1588">
        <f t="shared" si="195"/>
        <v>-3.3194372068785845E-2</v>
      </c>
      <c r="Q1588">
        <f t="shared" si="196"/>
        <v>1.8444534383311156E-2</v>
      </c>
      <c r="R1588">
        <f t="shared" si="197"/>
        <v>8.7705927084886538E-3</v>
      </c>
      <c r="S1588">
        <f t="shared" si="189"/>
        <v>14.911136631243437</v>
      </c>
      <c r="T1588" s="564">
        <f>IF((I1588-MAX(I$470:I1588))/MAX(I$470:I1588)&gt;T1587,T1587,(I1588-MAX(I$470:I1588))/MAX(I$470:I1588))</f>
        <v>-0.91338805338419748</v>
      </c>
      <c r="U1588" s="564">
        <f>IF((J1588-MAX(J$470:J1588))/MAX(J$470:J1588)&gt;U1587,U1587,(J1588-MAX(J$470:J1588))/MAX(J$470:J1588))</f>
        <v>-0.72031258158274925</v>
      </c>
      <c r="V1588" s="564">
        <f>IF((K1588-MAX(K$470:K1588))/MAX(K$470:K1588)&gt;V1587,V1587,(K1588-MAX(K$470:K1588))/MAX(K$470:K1588))</f>
        <v>-0.84885940676762139</v>
      </c>
      <c r="W1588" s="564">
        <f>IF((N1588-MAX(N$470:N1588))/MAX(N$470:N1588)&gt;W1587,W1587,(N1588-MAX(N$470:N1588))/MAX(N$470:N1588))</f>
        <v>-0.62788758315546067</v>
      </c>
      <c r="X1588" s="564">
        <f>IF((O1588-MAX(O$470:O1588))/MAX(O$470:O1588)&gt;X1587,X1587,(O1588-MAX(O$470:O1588))/MAX(O$470:O1588))</f>
        <v>-0.62788758315546067</v>
      </c>
    </row>
    <row r="1589" spans="1:24">
      <c r="A1589" s="799">
        <v>41991</v>
      </c>
      <c r="B1589">
        <v>321.41699999999997</v>
      </c>
      <c r="C1589">
        <v>388.084069</v>
      </c>
      <c r="D1589">
        <v>0.96077299999999999</v>
      </c>
      <c r="E1589">
        <f>LN(D1589/参数实验室!$E$53)/参数实验室!$E$55</f>
        <v>-0.74017860948962255</v>
      </c>
      <c r="F1589">
        <f t="shared" si="188"/>
        <v>1.2074161260916505</v>
      </c>
      <c r="G1589">
        <f>LN(F1589/参数实验室!$E$58)/参数实验室!$E$59</f>
        <v>-9.1604147246523965E-2</v>
      </c>
      <c r="H1589" s="856">
        <f>INDEX(神经网络!$G$10:$BO$70,MATCH(ROUND(G1589*2,1)/2,神经网络!$E$10:$E$70,0),MATCH(ROUND(E1589*2,1)/2,神经网络!$G$8:$BO$8,0))</f>
        <v>-0.44511266916919301</v>
      </c>
      <c r="I1589">
        <f t="shared" si="190"/>
        <v>832.23332482064143</v>
      </c>
      <c r="J1589">
        <f t="shared" si="191"/>
        <v>128.25386058018418</v>
      </c>
      <c r="K1589">
        <f t="shared" si="192"/>
        <v>6.4889534011362571</v>
      </c>
      <c r="L1589" s="4">
        <f>MIN(MAX(L1588*(1+MAX(MIN(((B1589-B1588)/B1588)/($K$7*卓尔金历!$N$40),0),-卓尔金历!$M$43))+MIN(MAX(((B1589-B1588)/B1588)/($K$7*卓尔金历!$N$40),0),卓尔金历!$M$43),0),1)</f>
        <v>7.20709066016086E-2</v>
      </c>
      <c r="M1589" s="4">
        <f>MIN(MAX(M1588*(1+MAX(MIN(((B1589-B1588)/B1588)/($K$7*30),0),-卓尔金历!$M$43))+MIN(MAX(((B1589-B1588)/B1588)/($K$7*7),0),卓尔金历!$M$43),0),1)</f>
        <v>0.46607236323535678</v>
      </c>
      <c r="N1589">
        <f t="shared" si="193"/>
        <v>715.06594933388624</v>
      </c>
      <c r="O1589">
        <f t="shared" si="194"/>
        <v>1813.2383860494456</v>
      </c>
      <c r="P1589">
        <f t="shared" si="195"/>
        <v>-3.7541098474640322E-2</v>
      </c>
      <c r="Q1589">
        <f t="shared" si="196"/>
        <v>1.9456790857174923E-2</v>
      </c>
      <c r="R1589">
        <f t="shared" si="197"/>
        <v>6.322046046605208E-3</v>
      </c>
      <c r="S1589">
        <f t="shared" si="189"/>
        <v>14.913357438570143</v>
      </c>
      <c r="T1589" s="564">
        <f>IF((I1589-MAX(I$470:I1589))/MAX(I$470:I1589)&gt;T1588,T1588,(I1589-MAX(I$470:I1589))/MAX(I$470:I1589))</f>
        <v>-0.91338805338419748</v>
      </c>
      <c r="U1589" s="564">
        <f>IF((J1589-MAX(J$470:J1589))/MAX(J$470:J1589)&gt;U1588,U1588,(J1589-MAX(J$470:J1589))/MAX(J$470:J1589))</f>
        <v>-0.72031258158274925</v>
      </c>
      <c r="V1589" s="564">
        <f>IF((K1589-MAX(K$470:K1589))/MAX(K$470:K1589)&gt;V1588,V1588,(K1589-MAX(K$470:K1589))/MAX(K$470:K1589))</f>
        <v>-0.84885940676762139</v>
      </c>
      <c r="W1589" s="564">
        <f>IF((N1589-MAX(N$470:N1589))/MAX(N$470:N1589)&gt;W1588,W1588,(N1589-MAX(N$470:N1589))/MAX(N$470:N1589))</f>
        <v>-0.62788758315546067</v>
      </c>
      <c r="X1589" s="564">
        <f>IF((O1589-MAX(O$470:O1589))/MAX(O$470:O1589)&gt;X1588,X1588,(O1589-MAX(O$470:O1589))/MAX(O$470:O1589))</f>
        <v>-0.62788758315546067</v>
      </c>
    </row>
    <row r="1590" spans="1:24">
      <c r="A1590" s="799">
        <v>41992</v>
      </c>
      <c r="B1590">
        <v>311.41800000000001</v>
      </c>
      <c r="C1590">
        <v>389.49880000000002</v>
      </c>
      <c r="D1590">
        <v>0.97619199999999995</v>
      </c>
      <c r="E1590">
        <f>LN(D1590/参数实验室!$E$53)/参数实验室!$E$55</f>
        <v>-0.72139561700734189</v>
      </c>
      <c r="F1590">
        <f t="shared" si="188"/>
        <v>1.2507266760431317</v>
      </c>
      <c r="G1590">
        <f>LN(F1590/参数实验室!$E$58)/参数实验室!$E$59</f>
        <v>-7.3107199125884384E-2</v>
      </c>
      <c r="H1590" s="856">
        <f>INDEX(神经网络!$G$10:$BO$70,MATCH(ROUND(G1590*2,1)/2,神经网络!$E$10:$E$70,0),MATCH(ROUND(E1590*2,1)/2,神经网络!$G$8:$BO$8,0))</f>
        <v>-0.3718974915499435</v>
      </c>
      <c r="I1590">
        <f t="shared" si="190"/>
        <v>843.75731243868302</v>
      </c>
      <c r="J1590">
        <f t="shared" si="191"/>
        <v>124.26399585012555</v>
      </c>
      <c r="K1590">
        <f t="shared" si="192"/>
        <v>6.7900384714518296</v>
      </c>
      <c r="L1590" s="4">
        <f>MIN(MAX(L1589*(1+MAX(MIN(((B1590-B1589)/B1589)/($K$7*卓尔金历!$N$40),0),-卓尔金历!$M$43))+MIN(MAX(((B1590-B1589)/B1589)/($K$7*卓尔金历!$N$40),0),卓尔金历!$M$43),0),1)</f>
        <v>3.7814343502327596E-2</v>
      </c>
      <c r="M1590" s="4">
        <f>MIN(MAX(M1589*(1+MAX(MIN(((B1590-B1589)/B1589)/($K$7*30),0),-卓尔金历!$M$43))+MIN(MAX(((B1590-B1589)/B1589)/($K$7*7),0),卓尔金历!$M$43),0),1)</f>
        <v>0.35530618813879805</v>
      </c>
      <c r="N1590">
        <f t="shared" si="193"/>
        <v>715.77956399502125</v>
      </c>
      <c r="O1590">
        <f t="shared" si="194"/>
        <v>1824.940543484428</v>
      </c>
      <c r="P1590">
        <f t="shared" si="195"/>
        <v>-3.110911992831732E-2</v>
      </c>
      <c r="Q1590">
        <f t="shared" si="196"/>
        <v>1.9793250946998218E-2</v>
      </c>
      <c r="R1590">
        <f t="shared" si="197"/>
        <v>1.0659208241918646E-2</v>
      </c>
      <c r="S1590">
        <f t="shared" si="189"/>
        <v>14.914662980313764</v>
      </c>
      <c r="T1590" s="564">
        <f>IF((I1590-MAX(I$470:I1590))/MAX(I$470:I1590)&gt;T1589,T1589,(I1590-MAX(I$470:I1590))/MAX(I$470:I1590))</f>
        <v>-0.91338805338419748</v>
      </c>
      <c r="U1590" s="564">
        <f>IF((J1590-MAX(J$470:J1590))/MAX(J$470:J1590)&gt;U1589,U1589,(J1590-MAX(J$470:J1590))/MAX(J$470:J1590))</f>
        <v>-0.72899907757105331</v>
      </c>
      <c r="V1590" s="564">
        <f>IF((K1590-MAX(K$470:K1590))/MAX(K$470:K1590)&gt;V1589,V1589,(K1590-MAX(K$470:K1590))/MAX(K$470:K1590))</f>
        <v>-0.84885940676762139</v>
      </c>
      <c r="W1590" s="564">
        <f>IF((N1590-MAX(N$470:N1590))/MAX(N$470:N1590)&gt;W1589,W1589,(N1590-MAX(N$470:N1590))/MAX(N$470:N1590))</f>
        <v>-0.62788758315546067</v>
      </c>
      <c r="X1590" s="564">
        <f>IF((O1590-MAX(O$470:O1590))/MAX(O$470:O1590)&gt;X1589,X1589,(O1590-MAX(O$470:O1590))/MAX(O$470:O1590))</f>
        <v>-0.62788758315546067</v>
      </c>
    </row>
    <row r="1591" spans="1:24">
      <c r="A1591" s="799">
        <v>41993</v>
      </c>
      <c r="B1591">
        <v>316.63200000000001</v>
      </c>
      <c r="C1591">
        <v>390.91267800000003</v>
      </c>
      <c r="D1591">
        <v>1.0130619999999999</v>
      </c>
      <c r="E1591">
        <f>LN(D1591/参数实验室!$E$53)/参数实验室!$E$55</f>
        <v>-0.67765813145341691</v>
      </c>
      <c r="F1591">
        <f t="shared" si="188"/>
        <v>1.2345962442204199</v>
      </c>
      <c r="G1591">
        <f>LN(F1591/参数实验室!$E$58)/参数实验室!$E$59</f>
        <v>-7.9920190039484723E-2</v>
      </c>
      <c r="H1591" s="856">
        <f>INDEX(神经网络!$G$10:$BO$70,MATCH(ROUND(G1591*2,1)/2,神经网络!$E$10:$E$70,0),MATCH(ROUND(E1591*2,1)/2,神经网络!$G$8:$BO$8,0))</f>
        <v>-0.4523391859566136</v>
      </c>
      <c r="I1591">
        <f t="shared" si="190"/>
        <v>838.50357802817837</v>
      </c>
      <c r="J1591">
        <f t="shared" si="191"/>
        <v>126.34451937273039</v>
      </c>
      <c r="K1591">
        <f t="shared" si="192"/>
        <v>6.6366438543685424</v>
      </c>
      <c r="L1591" s="4">
        <f>MIN(MAX(L1590*(1+MAX(MIN(((B1591-B1590)/B1590)/($K$7*卓尔金历!$N$40),0),-卓尔金历!$M$43))+MIN(MAX(((B1591-B1590)/B1590)/($K$7*卓尔金历!$N$40),0),卓尔金历!$M$43),0),1)</f>
        <v>0.29362780482601925</v>
      </c>
      <c r="M1591" s="4">
        <f>MIN(MAX(M1590*(1+MAX(MIN(((B1591-B1590)/B1590)/($K$7*30),0),-卓尔金历!$M$43))+MIN(MAX(((B1591-B1590)/B1590)/($K$7*7),0),卓尔金历!$M$43),0),1)</f>
        <v>0.90347789097528008</v>
      </c>
      <c r="N1591">
        <f t="shared" si="193"/>
        <v>715.6110304234586</v>
      </c>
      <c r="O1591">
        <f t="shared" si="194"/>
        <v>1820.9031409087022</v>
      </c>
      <c r="P1591">
        <f t="shared" si="195"/>
        <v>1.6742770167427697E-2</v>
      </c>
      <c r="Q1591">
        <f t="shared" si="196"/>
        <v>1.7230550378590087E-2</v>
      </c>
      <c r="R1591">
        <f t="shared" si="197"/>
        <v>4.9079122609278623E-2</v>
      </c>
      <c r="S1591">
        <f t="shared" si="189"/>
        <v>14.913673085712402</v>
      </c>
      <c r="T1591" s="564">
        <f>IF((I1591-MAX(I$470:I1591))/MAX(I$470:I1591)&gt;T1590,T1590,(I1591-MAX(I$470:I1591))/MAX(I$470:I1591))</f>
        <v>-0.91338805338419748</v>
      </c>
      <c r="U1591" s="564">
        <f>IF((J1591-MAX(J$470:J1591))/MAX(J$470:J1591)&gt;U1590,U1590,(J1591-MAX(J$470:J1591))/MAX(J$470:J1591))</f>
        <v>-0.72899907757105331</v>
      </c>
      <c r="V1591" s="564">
        <f>IF((K1591-MAX(K$470:K1591))/MAX(K$470:K1591)&gt;V1590,V1590,(K1591-MAX(K$470:K1591))/MAX(K$470:K1591))</f>
        <v>-0.84885940676762139</v>
      </c>
      <c r="W1591" s="564">
        <f>IF((N1591-MAX(N$470:N1591))/MAX(N$470:N1591)&gt;W1590,W1590,(N1591-MAX(N$470:N1591))/MAX(N$470:N1591))</f>
        <v>-0.62788758315546067</v>
      </c>
      <c r="X1591" s="564">
        <f>IF((O1591-MAX(O$470:O1591))/MAX(O$470:O1591)&gt;X1590,X1590,(O1591-MAX(O$470:O1591))/MAX(O$470:O1591))</f>
        <v>-0.62788758315546067</v>
      </c>
    </row>
    <row r="1592" spans="1:24">
      <c r="A1592" s="799">
        <v>41994</v>
      </c>
      <c r="B1592">
        <v>328.89100000000002</v>
      </c>
      <c r="C1592">
        <v>389.83907799999997</v>
      </c>
      <c r="D1592">
        <v>0.98778600000000005</v>
      </c>
      <c r="E1592">
        <f>LN(D1592/参数实验室!$E$53)/参数实验室!$E$55</f>
        <v>-0.70746652207456717</v>
      </c>
      <c r="F1592">
        <f t="shared" si="188"/>
        <v>1.185313912512048</v>
      </c>
      <c r="G1592">
        <f>LN(F1592/参数实验室!$E$58)/参数实验室!$E$59</f>
        <v>-0.10130082504112065</v>
      </c>
      <c r="H1592" s="856">
        <f>INDEX(神经网络!$G$10:$BO$70,MATCH(ROUND(G1592*2,1)/2,神经网络!$E$10:$E$70,0),MATCH(ROUND(E1592*2,1)/2,神经网络!$G$8:$BO$8,0))</f>
        <v>-0.4523391859566136</v>
      </c>
      <c r="I1592">
        <f t="shared" si="190"/>
        <v>823.81873281482785</v>
      </c>
      <c r="J1592">
        <f t="shared" si="191"/>
        <v>131.23618371174319</v>
      </c>
      <c r="K1592">
        <f t="shared" si="192"/>
        <v>6.2773749549462963</v>
      </c>
      <c r="L1592" s="4">
        <f>MIN(MAX(L1591*(1+MAX(MIN(((B1592-B1591)/B1591)/($K$7*卓尔金历!$N$40),0),-卓尔金历!$M$43))+MIN(MAX(((B1592-B1591)/B1591)/($K$7*卓尔金历!$N$40),0),卓尔金历!$M$43),0),1)</f>
        <v>0.88518442550158727</v>
      </c>
      <c r="M1592" s="4">
        <f>MIN(MAX(M1591*(1+MAX(MIN(((B1592-B1591)/B1591)/($K$7*30),0),-卓尔金历!$M$43))+MIN(MAX(((B1592-B1591)/B1591)/($K$7*7),0),卓尔金历!$M$43),0),1)</f>
        <v>1</v>
      </c>
      <c r="N1592">
        <f t="shared" si="193"/>
        <v>711.93110804992295</v>
      </c>
      <c r="O1592">
        <f t="shared" si="194"/>
        <v>1792.0914446643926</v>
      </c>
      <c r="P1592">
        <f t="shared" si="195"/>
        <v>3.8716870057353692E-2</v>
      </c>
      <c r="Q1592">
        <f t="shared" si="196"/>
        <v>1.9766883080939018E-2</v>
      </c>
      <c r="R1592">
        <f t="shared" si="197"/>
        <v>5.6470120734927664E-3</v>
      </c>
      <c r="S1592">
        <f t="shared" si="189"/>
        <v>14.900854330267986</v>
      </c>
      <c r="T1592" s="564">
        <f>IF((I1592-MAX(I$470:I1592))/MAX(I$470:I1592)&gt;T1591,T1591,(I1592-MAX(I$470:I1592))/MAX(I$470:I1592))</f>
        <v>-0.91338805338419748</v>
      </c>
      <c r="U1592" s="564">
        <f>IF((J1592-MAX(J$470:J1592))/MAX(J$470:J1592)&gt;U1591,U1591,(J1592-MAX(J$470:J1592))/MAX(J$470:J1592))</f>
        <v>-0.72899907757105331</v>
      </c>
      <c r="V1592" s="564">
        <f>IF((K1592-MAX(K$470:K1592))/MAX(K$470:K1592)&gt;V1591,V1591,(K1592-MAX(K$470:K1592))/MAX(K$470:K1592))</f>
        <v>-0.84885940676762139</v>
      </c>
      <c r="W1592" s="564">
        <f>IF((N1592-MAX(N$470:N1592))/MAX(N$470:N1592)&gt;W1591,W1591,(N1592-MAX(N$470:N1592))/MAX(N$470:N1592))</f>
        <v>-0.62788758315546067</v>
      </c>
      <c r="X1592" s="564">
        <f>IF((O1592-MAX(O$470:O1592))/MAX(O$470:O1592)&gt;X1591,X1591,(O1592-MAX(O$470:O1592))/MAX(O$470:O1592))</f>
        <v>-0.62788758315546067</v>
      </c>
    </row>
    <row r="1593" spans="1:24">
      <c r="A1593" s="799">
        <v>41995</v>
      </c>
      <c r="B1593">
        <v>322.02199999999999</v>
      </c>
      <c r="C1593">
        <v>387.47528699999998</v>
      </c>
      <c r="D1593">
        <v>1.0214970000000001</v>
      </c>
      <c r="E1593">
        <f>LN(D1593/参数实验室!$E$53)/参数实验室!$E$55</f>
        <v>-0.66787588809954934</v>
      </c>
      <c r="F1593">
        <f t="shared" si="188"/>
        <v>1.2032571905025122</v>
      </c>
      <c r="G1593">
        <f>LN(F1593/参数实验室!$E$58)/参数实验室!$E$59</f>
        <v>-9.3415123714797529E-2</v>
      </c>
      <c r="H1593" s="856">
        <f>INDEX(神经网络!$G$10:$BO$70,MATCH(ROUND(G1593*2,1)/2,神经网络!$E$10:$E$70,0),MATCH(ROUND(E1593*2,1)/2,神经网络!$G$8:$BO$8,0))</f>
        <v>-0.45045686809574403</v>
      </c>
      <c r="I1593">
        <f t="shared" si="190"/>
        <v>831.60156027133735</v>
      </c>
      <c r="J1593">
        <f t="shared" si="191"/>
        <v>128.49527153744847</v>
      </c>
      <c r="K1593">
        <f t="shared" si="192"/>
        <v>6.4718456198520631</v>
      </c>
      <c r="L1593" s="4">
        <f>MIN(MAX(L1592*(1+MAX(MIN(((B1593-B1592)/B1592)/($K$7*卓尔金历!$N$40),0),-卓尔金历!$M$43))+MIN(MAX(((B1593-B1592)/B1592)/($K$7*卓尔金历!$N$40),0),卓尔金历!$M$43),0),1)</f>
        <v>0.60271505013753324</v>
      </c>
      <c r="M1593" s="4">
        <f>MIN(MAX(M1592*(1+MAX(MIN(((B1593-B1592)/B1592)/($K$7*30),0),-卓尔金历!$M$43))+MIN(MAX(((B1593-B1592)/B1592)/($K$7*7),0),卓尔金历!$M$43),0),1)</f>
        <v>0.84044603179501631</v>
      </c>
      <c r="N1593">
        <f t="shared" si="193"/>
        <v>717.88467817285971</v>
      </c>
      <c r="O1593">
        <f t="shared" si="194"/>
        <v>1809.0217934711668</v>
      </c>
      <c r="P1593">
        <f t="shared" si="195"/>
        <v>-2.0885338911675988E-2</v>
      </c>
      <c r="Q1593">
        <f t="shared" si="196"/>
        <v>1.9966888296892749E-2</v>
      </c>
      <c r="R1593">
        <f t="shared" si="197"/>
        <v>1.8877924661803231E-2</v>
      </c>
      <c r="S1593">
        <f t="shared" si="189"/>
        <v>14.901649272600107</v>
      </c>
      <c r="T1593" s="564">
        <f>IF((I1593-MAX(I$470:I1593))/MAX(I$470:I1593)&gt;T1592,T1592,(I1593-MAX(I$470:I1593))/MAX(I$470:I1593))</f>
        <v>-0.91338805338419748</v>
      </c>
      <c r="U1593" s="564">
        <f>IF((J1593-MAX(J$470:J1593))/MAX(J$470:J1593)&gt;U1592,U1592,(J1593-MAX(J$470:J1593))/MAX(J$470:J1593))</f>
        <v>-0.72899907757105331</v>
      </c>
      <c r="V1593" s="564">
        <f>IF((K1593-MAX(K$470:K1593))/MAX(K$470:K1593)&gt;V1592,V1592,(K1593-MAX(K$470:K1593))/MAX(K$470:K1593))</f>
        <v>-0.84885940676762139</v>
      </c>
      <c r="W1593" s="564">
        <f>IF((N1593-MAX(N$470:N1593))/MAX(N$470:N1593)&gt;W1592,W1592,(N1593-MAX(N$470:N1593))/MAX(N$470:N1593))</f>
        <v>-0.62788758315546067</v>
      </c>
      <c r="X1593" s="564">
        <f>IF((O1593-MAX(O$470:O1593))/MAX(O$470:O1593)&gt;X1592,X1592,(O1593-MAX(O$470:O1593))/MAX(O$470:O1593))</f>
        <v>-0.62788758315546067</v>
      </c>
    </row>
    <row r="1594" spans="1:24">
      <c r="A1594" s="799">
        <v>41996</v>
      </c>
      <c r="B1594">
        <v>333.14</v>
      </c>
      <c r="C1594">
        <v>385.64210500000002</v>
      </c>
      <c r="D1594">
        <v>1.039544</v>
      </c>
      <c r="E1594">
        <f>LN(D1594/参数实验室!$E$53)/参数实验室!$E$55</f>
        <v>-0.64721492020969607</v>
      </c>
      <c r="F1594">
        <f t="shared" si="188"/>
        <v>1.1575977216785736</v>
      </c>
      <c r="G1594">
        <f>LN(F1594/参数实验室!$E$58)/参数实验室!$E$59</f>
        <v>-0.1137192476997862</v>
      </c>
      <c r="H1594" s="856">
        <f>INDEX(神经网络!$G$10:$BO$70,MATCH(ROUND(G1594*2,1)/2,神经网络!$E$10:$E$70,0),MATCH(ROUND(E1594*2,1)/2,神经网络!$G$8:$BO$8,0))</f>
        <v>-0.45045686809574403</v>
      </c>
      <c r="I1594">
        <f t="shared" si="190"/>
        <v>818.66825182461798</v>
      </c>
      <c r="J1594">
        <f t="shared" si="191"/>
        <v>132.93164678185212</v>
      </c>
      <c r="K1594">
        <f t="shared" si="192"/>
        <v>6.1585654856747238</v>
      </c>
      <c r="L1594" s="4">
        <f>MIN(MAX(L1593*(1+MAX(MIN(((B1594-B1593)/B1593)/($K$7*卓尔金历!$N$40),0),-卓尔金历!$M$43))+MIN(MAX(((B1594-B1593)/B1593)/($K$7*卓尔金历!$N$40),0),卓尔金历!$M$43),0),1)</f>
        <v>1</v>
      </c>
      <c r="M1594" s="4">
        <f>MIN(MAX(M1593*(1+MAX(MIN(((B1594-B1593)/B1593)/($K$7*30),0),-卓尔金历!$M$43))+MIN(MAX(((B1594-B1593)/B1593)/($K$7*7),0),卓尔金历!$M$43),0),1)</f>
        <v>1</v>
      </c>
      <c r="N1594">
        <f t="shared" si="193"/>
        <v>711.1555149892838</v>
      </c>
      <c r="O1594">
        <f t="shared" si="194"/>
        <v>1785.3763224542242</v>
      </c>
      <c r="P1594">
        <f t="shared" si="195"/>
        <v>3.4525591419219792E-2</v>
      </c>
      <c r="Q1594">
        <f t="shared" si="196"/>
        <v>2.1817835018740413E-2</v>
      </c>
      <c r="R1594">
        <f t="shared" si="197"/>
        <v>1.0802624199476207E-2</v>
      </c>
      <c r="S1594">
        <f t="shared" si="189"/>
        <v>14.897274223555732</v>
      </c>
      <c r="T1594" s="564">
        <f>IF((I1594-MAX(I$470:I1594))/MAX(I$470:I1594)&gt;T1593,T1593,(I1594-MAX(I$470:I1594))/MAX(I$470:I1594))</f>
        <v>-0.91338805338419748</v>
      </c>
      <c r="U1594" s="564">
        <f>IF((J1594-MAX(J$470:J1594))/MAX(J$470:J1594)&gt;U1593,U1593,(J1594-MAX(J$470:J1594))/MAX(J$470:J1594))</f>
        <v>-0.72899907757105331</v>
      </c>
      <c r="V1594" s="564">
        <f>IF((K1594-MAX(K$470:K1594))/MAX(K$470:K1594)&gt;V1593,V1593,(K1594-MAX(K$470:K1594))/MAX(K$470:K1594))</f>
        <v>-0.84885940676762139</v>
      </c>
      <c r="W1594" s="564">
        <f>IF((N1594-MAX(N$470:N1594))/MAX(N$470:N1594)&gt;W1593,W1593,(N1594-MAX(N$470:N1594))/MAX(N$470:N1594))</f>
        <v>-0.62788758315546067</v>
      </c>
      <c r="X1594" s="564">
        <f>IF((O1594-MAX(O$470:O1594))/MAX(O$470:O1594)&gt;X1593,X1593,(O1594-MAX(O$470:O1594))/MAX(O$470:O1594))</f>
        <v>-0.62788758315546067</v>
      </c>
    </row>
    <row r="1595" spans="1:24">
      <c r="A1595" s="799">
        <v>41997</v>
      </c>
      <c r="B1595">
        <v>334.25</v>
      </c>
      <c r="C1595">
        <v>384.36784</v>
      </c>
      <c r="D1595">
        <v>0.99961199999999995</v>
      </c>
      <c r="E1595">
        <f>LN(D1595/参数实验室!$E$53)/参数实验室!$E$55</f>
        <v>-0.6934261270087837</v>
      </c>
      <c r="F1595">
        <f t="shared" si="188"/>
        <v>1.149941181750187</v>
      </c>
      <c r="G1595">
        <f>LN(F1595/参数实验室!$E$58)/参数实验室!$E$59</f>
        <v>-0.11720224915991677</v>
      </c>
      <c r="H1595" s="856">
        <f>INDEX(神经网络!$G$10:$BO$70,MATCH(ROUND(G1595*2,1)/2,神经网络!$E$10:$E$70,0),MATCH(ROUND(E1595*2,1)/2,神经网络!$G$8:$BO$8,0))</f>
        <v>-0.4523391859566136</v>
      </c>
      <c r="I1595">
        <f t="shared" si="190"/>
        <v>817.43951928644708</v>
      </c>
      <c r="J1595">
        <f t="shared" si="191"/>
        <v>133.37456605881633</v>
      </c>
      <c r="K1595">
        <f t="shared" si="192"/>
        <v>6.128901059936477</v>
      </c>
      <c r="L1595" s="4">
        <f>MIN(MAX(L1594*(1+MAX(MIN(((B1595-B1594)/B1594)/($K$7*卓尔金历!$N$40),0),-卓尔金历!$M$43))+MIN(MAX(((B1595-B1594)/B1594)/($K$7*卓尔金历!$N$40),0),卓尔金历!$M$43),0),1)</f>
        <v>1</v>
      </c>
      <c r="M1595" s="4">
        <f>MIN(MAX(M1594*(1+MAX(MIN(((B1595-B1594)/B1594)/($K$7*30),0),-卓尔金历!$M$43))+MIN(MAX(((B1595-B1594)/B1594)/($K$7*7),0),卓尔金历!$M$43),0),1)</f>
        <v>1</v>
      </c>
      <c r="N1595">
        <f t="shared" si="193"/>
        <v>710.08814744569156</v>
      </c>
      <c r="O1595">
        <f t="shared" si="194"/>
        <v>1782.6966656147292</v>
      </c>
      <c r="P1595">
        <f t="shared" si="195"/>
        <v>3.3319325208621413E-3</v>
      </c>
      <c r="Q1595">
        <f t="shared" si="196"/>
        <v>2.1861605037040786E-2</v>
      </c>
      <c r="R1595">
        <f t="shared" si="197"/>
        <v>1</v>
      </c>
      <c r="S1595">
        <f t="shared" si="189"/>
        <v>14.897032685541944</v>
      </c>
      <c r="T1595" s="564">
        <f>IF((I1595-MAX(I$470:I1595))/MAX(I$470:I1595)&gt;T1594,T1594,(I1595-MAX(I$470:I1595))/MAX(I$470:I1595))</f>
        <v>-0.91338805338419748</v>
      </c>
      <c r="U1595" s="564">
        <f>IF((J1595-MAX(J$470:J1595))/MAX(J$470:J1595)&gt;U1594,U1594,(J1595-MAX(J$470:J1595))/MAX(J$470:J1595))</f>
        <v>-0.72899907757105331</v>
      </c>
      <c r="V1595" s="564">
        <f>IF((K1595-MAX(K$470:K1595))/MAX(K$470:K1595)&gt;V1594,V1594,(K1595-MAX(K$470:K1595))/MAX(K$470:K1595))</f>
        <v>-0.84885940676762139</v>
      </c>
      <c r="W1595" s="564">
        <f>IF((N1595-MAX(N$470:N1595))/MAX(N$470:N1595)&gt;W1594,W1594,(N1595-MAX(N$470:N1595))/MAX(N$470:N1595))</f>
        <v>-0.62788758315546067</v>
      </c>
      <c r="X1595" s="564">
        <f>IF((O1595-MAX(O$470:O1595))/MAX(O$470:O1595)&gt;X1594,X1594,(O1595-MAX(O$470:O1595))/MAX(O$470:O1595))</f>
        <v>-0.62788758315546067</v>
      </c>
    </row>
    <row r="1596" spans="1:24">
      <c r="A1596" s="799">
        <v>41998</v>
      </c>
      <c r="B1596">
        <v>318.07499999999999</v>
      </c>
      <c r="C1596">
        <v>377.78669600000001</v>
      </c>
      <c r="D1596">
        <v>0.98749500000000001</v>
      </c>
      <c r="E1596">
        <f>LN(D1596/参数实验室!$E$53)/参数实验室!$E$55</f>
        <v>-0.70781412648779185</v>
      </c>
      <c r="F1596">
        <f t="shared" si="188"/>
        <v>1.1877283533757763</v>
      </c>
      <c r="G1596">
        <f>LN(F1596/参数实验室!$E$58)/参数实验室!$E$59</f>
        <v>-0.10023280404157739</v>
      </c>
      <c r="H1596" s="856">
        <f>INDEX(神经网络!$G$10:$BO$70,MATCH(ROUND(G1596*2,1)/2,神经网络!$E$10:$E$70,0),MATCH(ROUND(E1596*2,1)/2,神经网络!$G$8:$BO$8,0))</f>
        <v>-0.4523391859566136</v>
      </c>
      <c r="I1596">
        <f t="shared" si="190"/>
        <v>835.33291289823842</v>
      </c>
      <c r="J1596">
        <f t="shared" si="191"/>
        <v>126.92031443278384</v>
      </c>
      <c r="K1596">
        <f t="shared" si="192"/>
        <v>6.5815540769135517</v>
      </c>
      <c r="L1596" s="4">
        <f>MIN(MAX(L1595*(1+MAX(MIN(((B1596-B1595)/B1595)/($K$7*卓尔金历!$N$40),0),-卓尔金历!$M$43))+MIN(MAX(((B1596-B1595)/B1595)/($K$7*卓尔金历!$N$40),0),卓尔金历!$M$43),0),1)</f>
        <v>0.26061786682522869</v>
      </c>
      <c r="M1596" s="4">
        <f>MIN(MAX(M1595*(1+MAX(MIN(((B1596-B1595)/B1595)/($K$7*30),0),-卓尔金历!$M$43))+MIN(MAX(((B1596-B1595)/B1595)/($K$7*7),0),卓尔金历!$M$43),0),1)</f>
        <v>0.6303089334126144</v>
      </c>
      <c r="N1596">
        <f t="shared" si="193"/>
        <v>725.63166647252376</v>
      </c>
      <c r="O1596">
        <f t="shared" si="194"/>
        <v>1821.7191160537743</v>
      </c>
      <c r="P1596">
        <f t="shared" si="195"/>
        <v>-4.8391922213911774E-2</v>
      </c>
      <c r="Q1596">
        <f t="shared" si="196"/>
        <v>2.3672147892804855E-2</v>
      </c>
      <c r="R1596">
        <f t="shared" si="197"/>
        <v>6.2298198091571893E-3</v>
      </c>
      <c r="S1596">
        <f t="shared" si="189"/>
        <v>15.223122216572699</v>
      </c>
      <c r="T1596" s="564">
        <f>IF((I1596-MAX(I$470:I1596))/MAX(I$470:I1596)&gt;T1595,T1595,(I1596-MAX(I$470:I1596))/MAX(I$470:I1596))</f>
        <v>-0.91338805338419748</v>
      </c>
      <c r="U1596" s="564">
        <f>IF((J1596-MAX(J$470:J1596))/MAX(J$470:J1596)&gt;U1595,U1595,(J1596-MAX(J$470:J1596))/MAX(J$470:J1596))</f>
        <v>-0.72899907757105331</v>
      </c>
      <c r="V1596" s="564">
        <f>IF((K1596-MAX(K$470:K1596))/MAX(K$470:K1596)&gt;V1595,V1595,(K1596-MAX(K$470:K1596))/MAX(K$470:K1596))</f>
        <v>-0.84885940676762139</v>
      </c>
      <c r="W1596" s="564">
        <f>IF((N1596-MAX(N$470:N1596))/MAX(N$470:N1596)&gt;W1595,W1595,(N1596-MAX(N$470:N1596))/MAX(N$470:N1596))</f>
        <v>-0.62788758315546067</v>
      </c>
      <c r="X1596" s="564">
        <f>IF((O1596-MAX(O$470:O1596))/MAX(O$470:O1596)&gt;X1595,X1595,(O1596-MAX(O$470:O1596))/MAX(O$470:O1596))</f>
        <v>-0.62788758315546067</v>
      </c>
    </row>
    <row r="1597" spans="1:24">
      <c r="A1597" s="799">
        <v>41999</v>
      </c>
      <c r="B1597">
        <v>317.81099999999998</v>
      </c>
      <c r="C1597">
        <v>374.19488999999999</v>
      </c>
      <c r="D1597">
        <v>1.019299</v>
      </c>
      <c r="E1597">
        <f>LN(D1597/参数实验室!$E$53)/参数实验室!$E$55</f>
        <v>-0.67041715007077229</v>
      </c>
      <c r="F1597">
        <f t="shared" si="188"/>
        <v>1.1774132739269567</v>
      </c>
      <c r="G1597">
        <f>LN(F1597/参数实验室!$E$58)/参数实验室!$E$59</f>
        <v>-0.10481091929448179</v>
      </c>
      <c r="H1597" s="856">
        <f>INDEX(神经网络!$G$10:$BO$70,MATCH(ROUND(G1597*2,1)/2,神经网络!$E$10:$E$70,0),MATCH(ROUND(E1597*2,1)/2,神经网络!$G$8:$BO$8,0))</f>
        <v>-0.45045686809574403</v>
      </c>
      <c r="I1597">
        <f t="shared" si="190"/>
        <v>835.64652888752812</v>
      </c>
      <c r="J1597">
        <f t="shared" si="191"/>
        <v>126.81497146961398</v>
      </c>
      <c r="K1597">
        <f t="shared" si="192"/>
        <v>6.5894942781874661</v>
      </c>
      <c r="L1597" s="4">
        <f>MIN(MAX(L1596*(1+MAX(MIN(((B1597-B1596)/B1596)/($K$7*卓尔金历!$N$40),0),-卓尔金历!$M$43))+MIN(MAX(((B1597-B1596)/B1596)/($K$7*卓尔金历!$N$40),0),卓尔金历!$M$43),0),1)</f>
        <v>0.25731284253871872</v>
      </c>
      <c r="M1597" s="4">
        <f>MIN(MAX(M1596*(1+MAX(MIN(((B1597-B1596)/B1596)/($K$7*30),0),-卓尔金历!$M$43))+MIN(MAX(((B1597-B1596)/B1596)/($K$7*7),0),卓尔金历!$M$43),0),1)</f>
        <v>0.62631230348407263</v>
      </c>
      <c r="N1597">
        <f t="shared" si="193"/>
        <v>725.70266658159699</v>
      </c>
      <c r="O1597">
        <f t="shared" si="194"/>
        <v>1822.1502115455348</v>
      </c>
      <c r="P1597">
        <f t="shared" si="195"/>
        <v>-8.2999292619668325E-4</v>
      </c>
      <c r="Q1597">
        <f t="shared" si="196"/>
        <v>2.3716283132837492E-2</v>
      </c>
      <c r="R1597">
        <f t="shared" si="197"/>
        <v>1</v>
      </c>
      <c r="S1597">
        <f t="shared" si="189"/>
        <v>15.223157822132851</v>
      </c>
      <c r="T1597" s="564">
        <f>IF((I1597-MAX(I$470:I1597))/MAX(I$470:I1597)&gt;T1596,T1596,(I1597-MAX(I$470:I1597))/MAX(I$470:I1597))</f>
        <v>-0.91338805338419748</v>
      </c>
      <c r="U1597" s="564">
        <f>IF((J1597-MAX(J$470:J1597))/MAX(J$470:J1597)&gt;U1596,U1596,(J1597-MAX(J$470:J1597))/MAX(J$470:J1597))</f>
        <v>-0.72899907757105331</v>
      </c>
      <c r="V1597" s="564">
        <f>IF((K1597-MAX(K$470:K1597))/MAX(K$470:K1597)&gt;V1596,V1596,(K1597-MAX(K$470:K1597))/MAX(K$470:K1597))</f>
        <v>-0.84885940676762139</v>
      </c>
      <c r="W1597" s="564">
        <f>IF((N1597-MAX(N$470:N1597))/MAX(N$470:N1597)&gt;W1596,W1596,(N1597-MAX(N$470:N1597))/MAX(N$470:N1597))</f>
        <v>-0.62788758315546067</v>
      </c>
      <c r="X1597" s="564">
        <f>IF((O1597-MAX(O$470:O1597))/MAX(O$470:O1597)&gt;X1596,X1596,(O1597-MAX(O$470:O1597))/MAX(O$470:O1597))</f>
        <v>-0.62788758315546067</v>
      </c>
    </row>
    <row r="1598" spans="1:24">
      <c r="A1598" s="799">
        <v>42000</v>
      </c>
      <c r="B1598">
        <v>324.88499999999999</v>
      </c>
      <c r="C1598">
        <v>371.68041199999999</v>
      </c>
      <c r="D1598">
        <v>0.978765</v>
      </c>
      <c r="E1598">
        <f>LN(D1598/参数实验室!$E$53)/参数实验室!$E$55</f>
        <v>-0.71829017085228897</v>
      </c>
      <c r="F1598">
        <f t="shared" si="188"/>
        <v>1.1440368499622944</v>
      </c>
      <c r="G1598">
        <f>LN(F1598/参数实验室!$E$58)/参数实验室!$E$59</f>
        <v>-0.11990403549860768</v>
      </c>
      <c r="H1598" s="856">
        <f>INDEX(神经网络!$G$10:$BO$70,MATCH(ROUND(G1598*2,1)/2,神经网络!$E$10:$E$70,0),MATCH(ROUND(E1598*2,1)/2,神经网络!$G$8:$BO$8,0))</f>
        <v>-0.4523391859566136</v>
      </c>
      <c r="I1598">
        <f t="shared" si="190"/>
        <v>827.26791924590498</v>
      </c>
      <c r="J1598">
        <f t="shared" si="191"/>
        <v>129.6376840509156</v>
      </c>
      <c r="K1598">
        <f t="shared" si="192"/>
        <v>6.3813845896922459</v>
      </c>
      <c r="L1598" s="4">
        <f>MIN(MAX(L1597*(1+MAX(MIN(((B1598-B1597)/B1597)/($K$7*卓尔金历!$N$40),0),-卓尔金历!$M$43))+MIN(MAX(((B1598-B1597)/B1597)/($K$7*卓尔金历!$N$40),0),卓尔金历!$M$43),0),1)</f>
        <v>0.59740154805875068</v>
      </c>
      <c r="M1598" s="4">
        <f>MIN(MAX(M1597*(1+MAX(MIN(((B1598-B1597)/B1597)/($K$7*30),0),-卓尔金历!$M$43))+MIN(MAX(((B1598-B1597)/B1597)/($K$7*7),0),卓尔金历!$M$43),0),1)</f>
        <v>1</v>
      </c>
      <c r="N1598">
        <f t="shared" si="193"/>
        <v>723.83039207014156</v>
      </c>
      <c r="O1598">
        <f t="shared" si="194"/>
        <v>1810.7076182353717</v>
      </c>
      <c r="P1598">
        <f t="shared" si="195"/>
        <v>2.2258512134570588E-2</v>
      </c>
      <c r="Q1598">
        <f t="shared" si="196"/>
        <v>2.4437448697254633E-2</v>
      </c>
      <c r="R1598">
        <f t="shared" si="197"/>
        <v>0.11932343492349523</v>
      </c>
      <c r="S1598">
        <f t="shared" si="189"/>
        <v>15.070522835334934</v>
      </c>
      <c r="T1598" s="564">
        <f>IF((I1598-MAX(I$470:I1598))/MAX(I$470:I1598)&gt;T1597,T1597,(I1598-MAX(I$470:I1598))/MAX(I$470:I1598))</f>
        <v>-0.91338805338419748</v>
      </c>
      <c r="U1598" s="564">
        <f>IF((J1598-MAX(J$470:J1598))/MAX(J$470:J1598)&gt;U1597,U1597,(J1598-MAX(J$470:J1598))/MAX(J$470:J1598))</f>
        <v>-0.72899907757105331</v>
      </c>
      <c r="V1598" s="564">
        <f>IF((K1598-MAX(K$470:K1598))/MAX(K$470:K1598)&gt;V1597,V1597,(K1598-MAX(K$470:K1598))/MAX(K$470:K1598))</f>
        <v>-0.84885940676762139</v>
      </c>
      <c r="W1598" s="564">
        <f>IF((N1598-MAX(N$470:N1598))/MAX(N$470:N1598)&gt;W1597,W1597,(N1598-MAX(N$470:N1598))/MAX(N$470:N1598))</f>
        <v>-0.62788758315546067</v>
      </c>
      <c r="X1598" s="564">
        <f>IF((O1598-MAX(O$470:O1598))/MAX(O$470:O1598)&gt;X1597,X1597,(O1598-MAX(O$470:O1598))/MAX(O$470:O1598))</f>
        <v>-0.62788758315546067</v>
      </c>
    </row>
    <row r="1599" spans="1:24">
      <c r="A1599" s="799">
        <v>42001</v>
      </c>
      <c r="B1599">
        <v>316.56099999999998</v>
      </c>
      <c r="C1599">
        <v>366.683041</v>
      </c>
      <c r="D1599">
        <v>0.98275999999999997</v>
      </c>
      <c r="E1599">
        <f>LN(D1599/参数实验室!$E$53)/参数实验室!$E$55</f>
        <v>-0.71348460301455274</v>
      </c>
      <c r="F1599">
        <f t="shared" si="188"/>
        <v>1.1583329626833376</v>
      </c>
      <c r="G1599">
        <f>LN(F1599/参数实验室!$E$58)/参数实验室!$E$59</f>
        <v>-0.11338599573368892</v>
      </c>
      <c r="H1599" s="856">
        <f>INDEX(神经网络!$G$10:$BO$70,MATCH(ROUND(G1599*2,1)/2,神经网络!$E$10:$E$70,0),MATCH(ROUND(E1599*2,1)/2,神经网络!$G$8:$BO$8,0))</f>
        <v>-0.4523391859566136</v>
      </c>
      <c r="I1599">
        <f t="shared" si="190"/>
        <v>836.8555832598098</v>
      </c>
      <c r="J1599">
        <f t="shared" si="191"/>
        <v>126.31618850005968</v>
      </c>
      <c r="K1599">
        <f t="shared" si="192"/>
        <v>6.6250857724337875</v>
      </c>
      <c r="L1599" s="4">
        <f>MIN(MAX(L1598*(1+MAX(MIN(((B1599-B1598)/B1598)/($K$7*卓尔金历!$N$40),0),-卓尔金历!$M$43))+MIN(MAX(((B1599-B1598)/B1598)/($K$7*卓尔金历!$N$40),0),卓尔金历!$M$43),0),1)</f>
        <v>0.36353676200874568</v>
      </c>
      <c r="M1599" s="4">
        <f>MIN(MAX(M1598*(1+MAX(MIN(((B1599-B1598)/B1598)/($K$7*30),0),-卓尔金历!$M$43))+MIN(MAX(((B1599-B1598)/B1598)/($K$7*7),0),卓尔金历!$M$43),0),1)</f>
        <v>0.80426499829976517</v>
      </c>
      <c r="N1599">
        <f t="shared" si="193"/>
        <v>728.84191568588903</v>
      </c>
      <c r="O1599">
        <f t="shared" si="194"/>
        <v>1831.6929071208438</v>
      </c>
      <c r="P1599">
        <f t="shared" si="195"/>
        <v>-2.5621373716853694E-2</v>
      </c>
      <c r="Q1599">
        <f t="shared" si="196"/>
        <v>2.4706179775186961E-2</v>
      </c>
      <c r="R1599">
        <f t="shared" si="197"/>
        <v>2.3548572954533584E-2</v>
      </c>
      <c r="S1599">
        <f t="shared" si="189"/>
        <v>15.09136393783082</v>
      </c>
      <c r="T1599" s="564">
        <f>IF((I1599-MAX(I$470:I1599))/MAX(I$470:I1599)&gt;T1598,T1598,(I1599-MAX(I$470:I1599))/MAX(I$470:I1599))</f>
        <v>-0.91338805338419748</v>
      </c>
      <c r="U1599" s="564">
        <f>IF((J1599-MAX(J$470:J1599))/MAX(J$470:J1599)&gt;U1598,U1598,(J1599-MAX(J$470:J1599))/MAX(J$470:J1599))</f>
        <v>-0.72899907757105331</v>
      </c>
      <c r="V1599" s="564">
        <f>IF((K1599-MAX(K$470:K1599))/MAX(K$470:K1599)&gt;V1598,V1598,(K1599-MAX(K$470:K1599))/MAX(K$470:K1599))</f>
        <v>-0.84885940676762139</v>
      </c>
      <c r="W1599" s="564">
        <f>IF((N1599-MAX(N$470:N1599))/MAX(N$470:N1599)&gt;W1598,W1598,(N1599-MAX(N$470:N1599))/MAX(N$470:N1599))</f>
        <v>-0.62788758315546067</v>
      </c>
      <c r="X1599" s="564">
        <f>IF((O1599-MAX(O$470:O1599))/MAX(O$470:O1599)&gt;X1598,X1598,(O1599-MAX(O$470:O1599))/MAX(O$470:O1599))</f>
        <v>-0.62788758315546067</v>
      </c>
    </row>
    <row r="1600" spans="1:24">
      <c r="A1600" s="799">
        <v>42002</v>
      </c>
      <c r="B1600">
        <v>319.85399999999998</v>
      </c>
      <c r="C1600">
        <v>365.27076399999999</v>
      </c>
      <c r="D1600">
        <v>0.97130499999999997</v>
      </c>
      <c r="E1600">
        <f>LN(D1600/参数实验室!$E$53)/参数实验室!$E$55</f>
        <v>-0.72731651568390299</v>
      </c>
      <c r="F1600">
        <f t="shared" si="188"/>
        <v>1.1419921714282142</v>
      </c>
      <c r="G1600">
        <f>LN(F1600/参数实验室!$E$58)/参数实验室!$E$59</f>
        <v>-0.12084291953861399</v>
      </c>
      <c r="H1600" s="856">
        <f>INDEX(神经网络!$G$10:$BO$70,MATCH(ROUND(G1600*2,1)/2,神经网络!$E$10:$E$70,0),MATCH(ROUND(E1600*2,1)/2,神经网络!$G$8:$BO$8,0))</f>
        <v>-0.44511266916919301</v>
      </c>
      <c r="I1600">
        <f t="shared" si="190"/>
        <v>832.9178249956509</v>
      </c>
      <c r="J1600">
        <f t="shared" si="191"/>
        <v>127.63018235505351</v>
      </c>
      <c r="K1600">
        <f t="shared" si="192"/>
        <v>6.5260255029532326</v>
      </c>
      <c r="L1600" s="4">
        <f>MIN(MAX(L1599*(1+MAX(MIN(((B1600-B1599)/B1599)/($K$7*卓尔金历!$N$40),0),-卓尔金历!$M$43))+MIN(MAX(((B1600-B1599)/B1599)/($K$7*卓尔金历!$N$40),0),卓尔金历!$M$43),0),1)</f>
        <v>0.52247573410037162</v>
      </c>
      <c r="M1600" s="4">
        <f>MIN(MAX(M1599*(1+MAX(MIN(((B1600-B1599)/B1599)/($K$7*30),0),-卓尔金历!$M$43))+MIN(MAX(((B1600-B1599)/B1599)/($K$7*7),0),卓尔金历!$M$43),0),1)</f>
        <v>1</v>
      </c>
      <c r="N1600">
        <f t="shared" si="193"/>
        <v>727.59516329627991</v>
      </c>
      <c r="O1600">
        <f t="shared" si="194"/>
        <v>1824.7610378142763</v>
      </c>
      <c r="P1600">
        <f t="shared" si="195"/>
        <v>1.0402418491222882E-2</v>
      </c>
      <c r="Q1600">
        <f t="shared" si="196"/>
        <v>2.4780839957869089E-2</v>
      </c>
      <c r="R1600">
        <f t="shared" si="197"/>
        <v>0.91418439131996865</v>
      </c>
      <c r="S1600">
        <f t="shared" si="189"/>
        <v>15.089691724735355</v>
      </c>
      <c r="T1600" s="564">
        <f>IF((I1600-MAX(I$470:I1600))/MAX(I$470:I1600)&gt;T1599,T1599,(I1600-MAX(I$470:I1600))/MAX(I$470:I1600))</f>
        <v>-0.91338805338419748</v>
      </c>
      <c r="U1600" s="564">
        <f>IF((J1600-MAX(J$470:J1600))/MAX(J$470:J1600)&gt;U1599,U1599,(J1600-MAX(J$470:J1600))/MAX(J$470:J1600))</f>
        <v>-0.72899907757105331</v>
      </c>
      <c r="V1600" s="564">
        <f>IF((K1600-MAX(K$470:K1600))/MAX(K$470:K1600)&gt;V1599,V1599,(K1600-MAX(K$470:K1600))/MAX(K$470:K1600))</f>
        <v>-0.84885940676762139</v>
      </c>
      <c r="W1600" s="564">
        <f>IF((N1600-MAX(N$470:N1600))/MAX(N$470:N1600)&gt;W1599,W1599,(N1600-MAX(N$470:N1600))/MAX(N$470:N1600))</f>
        <v>-0.62788758315546067</v>
      </c>
      <c r="X1600" s="564">
        <f>IF((O1600-MAX(O$470:O1600))/MAX(O$470:O1600)&gt;X1599,X1599,(O1600-MAX(O$470:O1600))/MAX(O$470:O1600))</f>
        <v>-0.62788758315546067</v>
      </c>
    </row>
    <row r="1601" spans="1:24">
      <c r="A1601" s="799">
        <v>42003</v>
      </c>
      <c r="B1601">
        <v>314.02199999999999</v>
      </c>
      <c r="C1601">
        <v>366.86950000000002</v>
      </c>
      <c r="D1601">
        <v>0.96770199999999995</v>
      </c>
      <c r="E1601">
        <f>LN(D1601/参数实验室!$E$53)/参数实验室!$E$55</f>
        <v>-0.73170087925787608</v>
      </c>
      <c r="F1601">
        <f t="shared" si="188"/>
        <v>1.1682923489437047</v>
      </c>
      <c r="G1601">
        <f>LN(F1601/参数实验室!$E$58)/参数实验室!$E$59</f>
        <v>-0.10889257253667614</v>
      </c>
      <c r="H1601" s="856">
        <f>INDEX(神经网络!$G$10:$BO$70,MATCH(ROUND(G1601*2,1)/2,神经网络!$E$10:$E$70,0),MATCH(ROUND(E1601*2,1)/2,神经网络!$G$8:$BO$8,0))</f>
        <v>-0.44511266916919301</v>
      </c>
      <c r="I1601">
        <f t="shared" si="190"/>
        <v>839.67768716801402</v>
      </c>
      <c r="J1601">
        <f t="shared" si="191"/>
        <v>125.30306053230102</v>
      </c>
      <c r="K1601">
        <f t="shared" si="192"/>
        <v>6.7011746050014418</v>
      </c>
      <c r="L1601" s="4">
        <f>MIN(MAX(L1600*(1+MAX(MIN(((B1601-B1600)/B1600)/($K$7*卓尔金历!$N$40),0),-卓尔金历!$M$43))+MIN(MAX(((B1601-B1600)/B1600)/($K$7*卓尔金历!$N$40),0),卓尔金历!$M$43),0),1)</f>
        <v>0.37692046472315116</v>
      </c>
      <c r="M1601" s="4">
        <f>MIN(MAX(M1600*(1+MAX(MIN(((B1601-B1600)/B1600)/($K$7*30),0),-卓尔金历!$M$43))+MIN(MAX(((B1601-B1600)/B1600)/($K$7*7),0),卓尔金历!$M$43),0),1)</f>
        <v>0.8607061918120984</v>
      </c>
      <c r="N1601">
        <f t="shared" si="193"/>
        <v>730.68042219096776</v>
      </c>
      <c r="O1601">
        <f t="shared" si="194"/>
        <v>1839.5705817367962</v>
      </c>
      <c r="P1601">
        <f t="shared" si="195"/>
        <v>-1.8233318951771726E-2</v>
      </c>
      <c r="Q1601">
        <f t="shared" si="196"/>
        <v>2.3525892490210695E-2</v>
      </c>
      <c r="R1601">
        <f t="shared" si="197"/>
        <v>0.2859472522619963</v>
      </c>
      <c r="S1601">
        <f t="shared" si="189"/>
        <v>15.201648364225699</v>
      </c>
      <c r="T1601" s="564">
        <f>IF((I1601-MAX(I$470:I1601))/MAX(I$470:I1601)&gt;T1600,T1600,(I1601-MAX(I$470:I1601))/MAX(I$470:I1601))</f>
        <v>-0.91338805338419748</v>
      </c>
      <c r="U1601" s="564">
        <f>IF((J1601-MAX(J$470:J1601))/MAX(J$470:J1601)&gt;U1600,U1600,(J1601-MAX(J$470:J1601))/MAX(J$470:J1601))</f>
        <v>-0.72899907757105331</v>
      </c>
      <c r="V1601" s="564">
        <f>IF((K1601-MAX(K$470:K1601))/MAX(K$470:K1601)&gt;V1600,V1600,(K1601-MAX(K$470:K1601))/MAX(K$470:K1601))</f>
        <v>-0.84885940676762139</v>
      </c>
      <c r="W1601" s="564">
        <f>IF((N1601-MAX(N$470:N1601))/MAX(N$470:N1601)&gt;W1600,W1600,(N1601-MAX(N$470:N1601))/MAX(N$470:N1601))</f>
        <v>-0.62788758315546067</v>
      </c>
      <c r="X1601" s="564">
        <f>IF((O1601-MAX(O$470:O1601))/MAX(O$470:O1601)&gt;X1600,X1600,(O1601-MAX(O$470:O1601))/MAX(O$470:O1601))</f>
        <v>-0.62788758315546067</v>
      </c>
    </row>
    <row r="1602" spans="1:24">
      <c r="A1602" s="799">
        <v>42004</v>
      </c>
      <c r="B1602">
        <v>310.60000000000002</v>
      </c>
      <c r="C1602">
        <v>361.67930699999999</v>
      </c>
      <c r="D1602">
        <v>1.000936</v>
      </c>
      <c r="E1602">
        <f>LN(D1602/参数实验室!$E$53)/参数实验室!$E$55</f>
        <v>-0.69186456135470042</v>
      </c>
      <c r="F1602">
        <f t="shared" si="188"/>
        <v>1.1644536606567932</v>
      </c>
      <c r="G1602">
        <f>LN(F1602/参数实验室!$E$58)/参数实验室!$E$59</f>
        <v>-0.11061993837744957</v>
      </c>
      <c r="H1602" s="856">
        <f>INDEX(神经网络!$G$10:$BO$70,MATCH(ROUND(G1602*2,1)/2,神经网络!$E$10:$E$70,0),MATCH(ROUND(E1602*2,1)/2,神经网络!$G$8:$BO$8,0))</f>
        <v>-0.4523391859566136</v>
      </c>
      <c r="I1602">
        <f t="shared" si="190"/>
        <v>843.75057545688264</v>
      </c>
      <c r="J1602">
        <f t="shared" si="191"/>
        <v>123.93759227484921</v>
      </c>
      <c r="K1602">
        <f t="shared" si="192"/>
        <v>6.8078664428605808</v>
      </c>
      <c r="L1602" s="4">
        <f>MIN(MAX(L1601*(1+MAX(MIN(((B1602-B1601)/B1601)/($K$7*卓尔金历!$N$40),0),-卓尔金历!$M$43))+MIN(MAX(((B1602-B1601)/B1601)/($K$7*卓尔金历!$N$40),0),卓尔金历!$M$43),0),1)</f>
        <v>0.31416295150018841</v>
      </c>
      <c r="M1602" s="4">
        <f>MIN(MAX(M1601*(1+MAX(MIN(((B1602-B1601)/B1601)/($K$7*30),0),-卓尔金历!$M$43))+MIN(MAX(((B1602-B1601)/B1601)/($K$7*7),0),卓尔金历!$M$43),0),1)</f>
        <v>0.78905210922811297</v>
      </c>
      <c r="N1602">
        <f t="shared" si="193"/>
        <v>732.01630104264677</v>
      </c>
      <c r="O1602">
        <f t="shared" si="194"/>
        <v>1847.2505825961266</v>
      </c>
      <c r="P1602">
        <f t="shared" si="195"/>
        <v>-1.0897325665080691E-2</v>
      </c>
      <c r="Q1602">
        <f t="shared" si="196"/>
        <v>2.3548552336543366E-2</v>
      </c>
      <c r="R1602">
        <f t="shared" si="197"/>
        <v>0.81220063630426531</v>
      </c>
      <c r="S1602">
        <f t="shared" si="189"/>
        <v>15.222733019057623</v>
      </c>
      <c r="T1602" s="564">
        <f>IF((I1602-MAX(I$470:I1602))/MAX(I$470:I1602)&gt;T1601,T1601,(I1602-MAX(I$470:I1602))/MAX(I$470:I1602))</f>
        <v>-0.91338805338419748</v>
      </c>
      <c r="U1602" s="564">
        <f>IF((J1602-MAX(J$470:J1602))/MAX(J$470:J1602)&gt;U1601,U1601,(J1602-MAX(J$470:J1602))/MAX(J$470:J1602))</f>
        <v>-0.72971091424891688</v>
      </c>
      <c r="V1602" s="564">
        <f>IF((K1602-MAX(K$470:K1602))/MAX(K$470:K1602)&gt;V1601,V1601,(K1602-MAX(K$470:K1602))/MAX(K$470:K1602))</f>
        <v>-0.84885940676762139</v>
      </c>
      <c r="W1602" s="564">
        <f>IF((N1602-MAX(N$470:N1602))/MAX(N$470:N1602)&gt;W1601,W1601,(N1602-MAX(N$470:N1602))/MAX(N$470:N1602))</f>
        <v>-0.62788758315546067</v>
      </c>
      <c r="X1602" s="564">
        <f>IF((O1602-MAX(O$470:O1602))/MAX(O$470:O1602)&gt;X1601,X1601,(O1602-MAX(O$470:O1602))/MAX(O$470:O1602))</f>
        <v>-0.62788758315546067</v>
      </c>
    </row>
    <row r="1603" spans="1:24">
      <c r="A1603" s="799">
        <v>42005</v>
      </c>
      <c r="B1603">
        <v>317.84800000000001</v>
      </c>
      <c r="C1603">
        <v>358.32837899999998</v>
      </c>
      <c r="D1603">
        <v>0.98274700000000004</v>
      </c>
      <c r="E1603">
        <f>LN(D1603/参数实验室!$E$53)/参数实验室!$E$55</f>
        <v>-0.71350020895456878</v>
      </c>
      <c r="F1603">
        <f t="shared" si="188"/>
        <v>1.1273576646699051</v>
      </c>
      <c r="G1603">
        <f>LN(F1603/参数实验室!$E$58)/参数实验室!$E$59</f>
        <v>-0.12761233551523146</v>
      </c>
      <c r="H1603" s="856">
        <f>INDEX(神经网络!$G$10:$BO$70,MATCH(ROUND(G1603*2,1)/2,神经网络!$E$10:$E$70,0),MATCH(ROUND(E1603*2,1)/2,神经网络!$G$8:$BO$8,0))</f>
        <v>-0.53449298171615722</v>
      </c>
      <c r="I1603">
        <f t="shared" si="190"/>
        <v>834.84432246787958</v>
      </c>
      <c r="J1603">
        <f t="shared" si="191"/>
        <v>126.8297354455128</v>
      </c>
      <c r="K1603">
        <f t="shared" si="192"/>
        <v>6.5824021435930238</v>
      </c>
      <c r="L1603" s="4">
        <f>MIN(MAX(L1602*(1+MAX(MIN(((B1603-B1602)/B1602)/($K$7*卓尔金历!$N$40),0),-卓尔金历!$M$43))+MIN(MAX(((B1603-B1602)/B1602)/($K$7*卓尔金历!$N$40),0),卓尔金历!$M$43),0),1)</f>
        <v>0.67070668818633639</v>
      </c>
      <c r="M1603" s="4">
        <f>MIN(MAX(M1602*(1+MAX(MIN(((B1603-B1602)/B1602)/($K$7*30),0),-卓尔金历!$M$43))+MIN(MAX(((B1603-B1602)/B1602)/($K$7*7),0),卓尔金历!$M$43),0),1)</f>
        <v>1</v>
      </c>
      <c r="N1603">
        <f t="shared" si="193"/>
        <v>729.58881542136851</v>
      </c>
      <c r="O1603">
        <f t="shared" si="194"/>
        <v>1831.8650532587255</v>
      </c>
      <c r="P1603">
        <f t="shared" si="195"/>
        <v>2.3335479716677366E-2</v>
      </c>
      <c r="Q1603">
        <f t="shared" si="196"/>
        <v>2.4242825940142581E-2</v>
      </c>
      <c r="R1603">
        <f t="shared" si="197"/>
        <v>6.2592629769578481E-2</v>
      </c>
      <c r="S1603">
        <f t="shared" si="189"/>
        <v>15.092225089021479</v>
      </c>
      <c r="T1603" s="564">
        <f>IF((I1603-MAX(I$470:I1603))/MAX(I$470:I1603)&gt;T1602,T1602,(I1603-MAX(I$470:I1603))/MAX(I$470:I1603))</f>
        <v>-0.91338805338419748</v>
      </c>
      <c r="U1603" s="564">
        <f>IF((J1603-MAX(J$470:J1603))/MAX(J$470:J1603)&gt;U1602,U1602,(J1603-MAX(J$470:J1603))/MAX(J$470:J1603))</f>
        <v>-0.72971091424891688</v>
      </c>
      <c r="V1603" s="564">
        <f>IF((K1603-MAX(K$470:K1603))/MAX(K$470:K1603)&gt;V1602,V1602,(K1603-MAX(K$470:K1603))/MAX(K$470:K1603))</f>
        <v>-0.84885940676762139</v>
      </c>
      <c r="W1603" s="564">
        <f>IF((N1603-MAX(N$470:N1603))/MAX(N$470:N1603)&gt;W1602,W1602,(N1603-MAX(N$470:N1603))/MAX(N$470:N1603))</f>
        <v>-0.62788758315546067</v>
      </c>
      <c r="X1603" s="564">
        <f>IF((O1603-MAX(O$470:O1603))/MAX(O$470:O1603)&gt;X1602,X1602,(O1603-MAX(O$470:O1603))/MAX(O$470:O1603))</f>
        <v>-0.62788758315546067</v>
      </c>
    </row>
    <row r="1604" spans="1:24">
      <c r="A1604" s="799">
        <v>42006</v>
      </c>
      <c r="B1604">
        <v>313.63900000000001</v>
      </c>
      <c r="C1604">
        <v>346.91277300000002</v>
      </c>
      <c r="D1604">
        <v>0.98668699999999998</v>
      </c>
      <c r="E1604">
        <f>LN(D1604/参数实验室!$E$53)/参数实验室!$E$55</f>
        <v>-0.7087798334736285</v>
      </c>
      <c r="F1604">
        <f t="shared" si="188"/>
        <v>1.1060893989586755</v>
      </c>
      <c r="G1604">
        <f>LN(F1604/参数实验室!$E$58)/参数实验室!$E$59</f>
        <v>-0.13760860796898389</v>
      </c>
      <c r="H1604" s="856">
        <f>INDEX(神经网络!$G$10:$BO$70,MATCH(ROUND(G1604*2,1)/2,神经网络!$E$10:$E$70,0),MATCH(ROUND(E1604*2,1)/2,神经网络!$G$8:$BO$8,0))</f>
        <v>-0.53449298171615722</v>
      </c>
      <c r="I1604">
        <f t="shared" si="190"/>
        <v>840.75322665118802</v>
      </c>
      <c r="J1604">
        <f t="shared" si="191"/>
        <v>125.15023343042959</v>
      </c>
      <c r="K1604">
        <f t="shared" si="192"/>
        <v>6.7179517257437533</v>
      </c>
      <c r="L1604" s="4">
        <f>MIN(MAX(L1603*(1+MAX(MIN(((B1604-B1603)/B1603)/($K$7*卓尔金历!$N$40),0),-卓尔金历!$M$43))+MIN(MAX(((B1604-B1603)/B1603)/($K$7*卓尔金历!$N$40),0),卓尔金历!$M$43),0),1)</f>
        <v>0.53500409144169203</v>
      </c>
      <c r="M1604" s="4">
        <f>MIN(MAX(M1603*(1+MAX(MIN(((B1604-B1603)/B1603)/($K$7*30),0),-卓尔金历!$M$43))+MIN(MAX(((B1604-B1603)/B1603)/($K$7*7),0),卓尔金历!$M$43),0),1)</f>
        <v>0.89883610888718068</v>
      </c>
      <c r="N1604">
        <f t="shared" si="193"/>
        <v>733.0522919942797</v>
      </c>
      <c r="O1604">
        <f t="shared" si="194"/>
        <v>1844.83072216866</v>
      </c>
      <c r="P1604">
        <f t="shared" si="195"/>
        <v>-1.3242178651430882E-2</v>
      </c>
      <c r="Q1604">
        <f t="shared" si="196"/>
        <v>2.3965481905007528E-2</v>
      </c>
      <c r="R1604">
        <f t="shared" si="197"/>
        <v>0.63183130440567636</v>
      </c>
      <c r="S1604">
        <f t="shared" si="189"/>
        <v>15.098911266830369</v>
      </c>
      <c r="T1604" s="564">
        <f>IF((I1604-MAX(I$470:I1604))/MAX(I$470:I1604)&gt;T1603,T1603,(I1604-MAX(I$470:I1604))/MAX(I$470:I1604))</f>
        <v>-0.91338805338419748</v>
      </c>
      <c r="U1604" s="564">
        <f>IF((J1604-MAX(J$470:J1604))/MAX(J$470:J1604)&gt;U1603,U1603,(J1604-MAX(J$470:J1604))/MAX(J$470:J1604))</f>
        <v>-0.72971091424891688</v>
      </c>
      <c r="V1604" s="564">
        <f>IF((K1604-MAX(K$470:K1604))/MAX(K$470:K1604)&gt;V1603,V1603,(K1604-MAX(K$470:K1604))/MAX(K$470:K1604))</f>
        <v>-0.84885940676762139</v>
      </c>
      <c r="W1604" s="564">
        <f>IF((N1604-MAX(N$470:N1604))/MAX(N$470:N1604)&gt;W1603,W1603,(N1604-MAX(N$470:N1604))/MAX(N$470:N1604))</f>
        <v>-0.62788758315546067</v>
      </c>
      <c r="X1604" s="564">
        <f>IF((O1604-MAX(O$470:O1604))/MAX(O$470:O1604)&gt;X1603,X1603,(O1604-MAX(O$470:O1604))/MAX(O$470:O1604))</f>
        <v>-0.62788758315546067</v>
      </c>
    </row>
    <row r="1605" spans="1:24">
      <c r="A1605" s="799">
        <v>42007</v>
      </c>
      <c r="B1605">
        <v>314.87</v>
      </c>
      <c r="C1605">
        <v>343.51151199999998</v>
      </c>
      <c r="D1605">
        <v>0.89443600000000001</v>
      </c>
      <c r="E1605">
        <f>LN(D1605/参数实验室!$E$53)/参数实验室!$E$55</f>
        <v>-0.82458383914085664</v>
      </c>
      <c r="F1605">
        <f t="shared" ref="F1605:F1668" si="198">C1605/B1605</f>
        <v>1.0909629751961125</v>
      </c>
      <c r="G1605">
        <f>LN(F1605/参数实验室!$E$58)/参数实验室!$E$59</f>
        <v>-0.14483582768278874</v>
      </c>
      <c r="H1605" s="856">
        <f>INDEX(神经网络!$G$10:$BO$70,MATCH(ROUND(G1605*2,1)/2,神经网络!$E$10:$E$70,0),MATCH(ROUND(E1605*2,1)/2,神经网络!$G$8:$BO$8,0))</f>
        <v>-0.53307182885439031</v>
      </c>
      <c r="I1605">
        <f t="shared" si="190"/>
        <v>838.98947049691719</v>
      </c>
      <c r="J1605">
        <f t="shared" si="191"/>
        <v>125.64143489884665</v>
      </c>
      <c r="K1605">
        <f t="shared" si="192"/>
        <v>6.6776495442955088</v>
      </c>
      <c r="L1605" s="4">
        <f>MIN(MAX(L1604*(1+MAX(MIN(((B1605-B1604)/B1604)/($K$7*卓尔金历!$N$40),0),-卓尔金历!$M$43))+MIN(MAX(((B1605-B1604)/B1604)/($K$7*卓尔金历!$N$40),0),卓尔金历!$M$43),0),1)</f>
        <v>0.59497271364004956</v>
      </c>
      <c r="M1605" s="4">
        <f>MIN(MAX(M1604*(1+MAX(MIN(((B1605-B1604)/B1604)/($K$7*30),0),-卓尔金历!$M$43))+MIN(MAX(((B1605-B1604)/B1604)/($K$7*7),0),卓尔金历!$M$43),0),1)</f>
        <v>1</v>
      </c>
      <c r="N1605">
        <f t="shared" si="193"/>
        <v>732.229553043176</v>
      </c>
      <c r="O1605">
        <f t="shared" si="194"/>
        <v>1841.3521018226295</v>
      </c>
      <c r="P1605">
        <f t="shared" si="195"/>
        <v>3.9248945443646818E-3</v>
      </c>
      <c r="Q1605">
        <f t="shared" si="196"/>
        <v>2.3630469447197953E-2</v>
      </c>
      <c r="R1605">
        <f t="shared" si="197"/>
        <v>1</v>
      </c>
      <c r="S1605">
        <f t="shared" si="189"/>
        <v>15.078898055943263</v>
      </c>
      <c r="T1605" s="564">
        <f>IF((I1605-MAX(I$470:I1605))/MAX(I$470:I1605)&gt;T1604,T1604,(I1605-MAX(I$470:I1605))/MAX(I$470:I1605))</f>
        <v>-0.91338805338419748</v>
      </c>
      <c r="U1605" s="564">
        <f>IF((J1605-MAX(J$470:J1605))/MAX(J$470:J1605)&gt;U1604,U1604,(J1605-MAX(J$470:J1605))/MAX(J$470:J1605))</f>
        <v>-0.72971091424891688</v>
      </c>
      <c r="V1605" s="564">
        <f>IF((K1605-MAX(K$470:K1605))/MAX(K$470:K1605)&gt;V1604,V1604,(K1605-MAX(K$470:K1605))/MAX(K$470:K1605))</f>
        <v>-0.84885940676762139</v>
      </c>
      <c r="W1605" s="564">
        <f>IF((N1605-MAX(N$470:N1605))/MAX(N$470:N1605)&gt;W1604,W1604,(N1605-MAX(N$470:N1605))/MAX(N$470:N1605))</f>
        <v>-0.62788758315546067</v>
      </c>
      <c r="X1605" s="564">
        <f>IF((O1605-MAX(O$470:O1605))/MAX(O$470:O1605)&gt;X1604,X1604,(O1605-MAX(O$470:O1605))/MAX(O$470:O1605))</f>
        <v>-0.62788758315546067</v>
      </c>
    </row>
    <row r="1606" spans="1:24">
      <c r="A1606" s="799">
        <v>42008</v>
      </c>
      <c r="B1606">
        <v>281.24599999999998</v>
      </c>
      <c r="C1606">
        <v>340.176806</v>
      </c>
      <c r="D1606">
        <v>0.82630300000000001</v>
      </c>
      <c r="E1606">
        <f>LN(D1606/参数实验室!$E$53)/参数实验室!$E$55</f>
        <v>-0.91805783309218669</v>
      </c>
      <c r="F1606">
        <f t="shared" si="198"/>
        <v>1.2095347347162271</v>
      </c>
      <c r="G1606">
        <f>LN(F1606/参数实验室!$E$58)/参数实验室!$E$59</f>
        <v>-9.0684012207666809E-2</v>
      </c>
      <c r="H1606" s="856">
        <f>INDEX(神经网络!$G$10:$BO$70,MATCH(ROUND(G1606*2,1)/2,神经网络!$E$10:$E$70,0),MATCH(ROUND(E1606*2,1)/2,神经网络!$G$8:$BO$8,0))</f>
        <v>-0.4234586507597124</v>
      </c>
      <c r="I1606">
        <f t="shared" si="190"/>
        <v>886.74903249899376</v>
      </c>
      <c r="J1606">
        <f t="shared" si="191"/>
        <v>112.22457204421197</v>
      </c>
      <c r="K1606">
        <f t="shared" si="192"/>
        <v>7.901558601173817</v>
      </c>
      <c r="L1606" s="4">
        <f>MIN(MAX(L1605*(1+MAX(MIN(((B1606-B1605)/B1605)/($K$7*卓尔金历!$N$40),0),-卓尔金历!$M$43))+MIN(MAX(((B1606-B1605)/B1605)/($K$7*卓尔金历!$N$40),0),卓尔金历!$M$43),0),1)</f>
        <v>0</v>
      </c>
      <c r="M1606" s="4">
        <f>MIN(MAX(M1605*(1+MAX(MIN(((B1606-B1605)/B1605)/($K$7*30),0),-卓尔金历!$M$43))+MIN(MAX(((B1606-B1605)/B1605)/($K$7*7),0),卓尔金历!$M$43),0),1)</f>
        <v>0.18419910842412379</v>
      </c>
      <c r="N1606">
        <f t="shared" si="193"/>
        <v>757.02935009748103</v>
      </c>
      <c r="O1606">
        <f t="shared" si="194"/>
        <v>1946.1712598301376</v>
      </c>
      <c r="P1606">
        <f t="shared" si="195"/>
        <v>-0.10678692793851438</v>
      </c>
      <c r="Q1606">
        <f t="shared" si="196"/>
        <v>3.2137799546120255E-2</v>
      </c>
      <c r="R1606">
        <f t="shared" si="197"/>
        <v>0</v>
      </c>
      <c r="S1606">
        <f t="shared" si="189"/>
        <v>15.937265880511164</v>
      </c>
      <c r="T1606" s="564">
        <f>IF((I1606-MAX(I$470:I1606))/MAX(I$470:I1606)&gt;T1605,T1605,(I1606-MAX(I$470:I1606))/MAX(I$470:I1606))</f>
        <v>-0.91338805338419748</v>
      </c>
      <c r="U1606" s="564">
        <f>IF((J1606-MAX(J$470:J1606))/MAX(J$470:J1606)&gt;U1605,U1605,(J1606-MAX(J$470:J1606))/MAX(J$470:J1606))</f>
        <v>-0.75525523434916575</v>
      </c>
      <c r="V1606" s="564">
        <f>IF((K1606-MAX(K$470:K1606))/MAX(K$470:K1606)&gt;V1605,V1605,(K1606-MAX(K$470:K1606))/MAX(K$470:K1606))</f>
        <v>-0.84885940676762139</v>
      </c>
      <c r="W1606" s="564">
        <f>IF((N1606-MAX(N$470:N1606))/MAX(N$470:N1606)&gt;W1605,W1605,(N1606-MAX(N$470:N1606))/MAX(N$470:N1606))</f>
        <v>-0.62788758315546067</v>
      </c>
      <c r="X1606" s="564">
        <f>IF((O1606-MAX(O$470:O1606))/MAX(O$470:O1606)&gt;X1605,X1605,(O1606-MAX(O$470:O1606))/MAX(O$470:O1606))</f>
        <v>-0.62788758315546067</v>
      </c>
    </row>
    <row r="1607" spans="1:24">
      <c r="A1607" s="799">
        <v>42009</v>
      </c>
      <c r="B1607">
        <v>266.72300000000001</v>
      </c>
      <c r="C1607">
        <v>336.17967700000003</v>
      </c>
      <c r="D1607">
        <v>0.86470899999999995</v>
      </c>
      <c r="E1607">
        <f>LN(D1607/参数实验室!$E$53)/参数实验室!$E$55</f>
        <v>-0.86445987382093592</v>
      </c>
      <c r="F1607">
        <f t="shared" si="198"/>
        <v>1.2604075276597819</v>
      </c>
      <c r="G1607">
        <f>LN(F1607/参数实验室!$E$58)/参数实验室!$E$59</f>
        <v>-6.906037496473208E-2</v>
      </c>
      <c r="H1607" s="856">
        <f>INDEX(神经网络!$G$10:$BO$70,MATCH(ROUND(G1607*2,1)/2,神经网络!$E$10:$E$70,0),MATCH(ROUND(E1607*2,1)/2,神经网络!$G$8:$BO$8,0))</f>
        <v>-0.31582604648782181</v>
      </c>
      <c r="I1607">
        <f t="shared" si="190"/>
        <v>906.13920691626254</v>
      </c>
      <c r="J1607">
        <f t="shared" si="191"/>
        <v>106.42951199074245</v>
      </c>
      <c r="K1607">
        <f t="shared" si="192"/>
        <v>8.513984419989459</v>
      </c>
      <c r="L1607" s="4">
        <f>MIN(MAX(L1606*(1+MAX(MIN(((B1607-B1606)/B1606)/($K$7*卓尔金历!$N$40),0),-卓尔金历!$M$43))+MIN(MAX(((B1607-B1606)/B1606)/($K$7*卓尔金历!$N$40),0),卓尔金历!$M$43),0),1)</f>
        <v>0</v>
      </c>
      <c r="M1607" s="4">
        <f>MIN(MAX(M1606*(1+MAX(MIN(((B1607-B1606)/B1606)/($K$7*30),0),-卓尔金历!$M$43))+MIN(MAX(((B1607-B1606)/B1606)/($K$7*7),0),卓尔金历!$M$43),0),1)</f>
        <v>0.11153439092949982</v>
      </c>
      <c r="N1607">
        <f t="shared" si="193"/>
        <v>757.02935009748103</v>
      </c>
      <c r="O1607">
        <f t="shared" si="194"/>
        <v>1954.0100595945039</v>
      </c>
      <c r="P1607">
        <f t="shared" si="195"/>
        <v>-5.1638067741407764E-2</v>
      </c>
      <c r="Q1607">
        <f t="shared" si="196"/>
        <v>3.292680753116467E-2</v>
      </c>
      <c r="R1607">
        <f t="shared" si="197"/>
        <v>1.7676689517186088E-2</v>
      </c>
      <c r="S1607">
        <f t="shared" si="189"/>
        <v>15.937265880511164</v>
      </c>
      <c r="T1607" s="564">
        <f>IF((I1607-MAX(I$470:I1607))/MAX(I$470:I1607)&gt;T1606,T1606,(I1607-MAX(I$470:I1607))/MAX(I$470:I1607))</f>
        <v>-0.91338805338419748</v>
      </c>
      <c r="U1607" s="564">
        <f>IF((J1607-MAX(J$470:J1607))/MAX(J$470:J1607)&gt;U1606,U1606,(J1607-MAX(J$470:J1607))/MAX(J$470:J1607))</f>
        <v>-0.76789338113719852</v>
      </c>
      <c r="V1607" s="564">
        <f>IF((K1607-MAX(K$470:K1607))/MAX(K$470:K1607)&gt;V1606,V1606,(K1607-MAX(K$470:K1607))/MAX(K$470:K1607))</f>
        <v>-0.84885940676762139</v>
      </c>
      <c r="W1607" s="564">
        <f>IF((N1607-MAX(N$470:N1607))/MAX(N$470:N1607)&gt;W1606,W1606,(N1607-MAX(N$470:N1607))/MAX(N$470:N1607))</f>
        <v>-0.62788758315546067</v>
      </c>
      <c r="X1607" s="564">
        <f>IF((O1607-MAX(O$470:O1607))/MAX(O$470:O1607)&gt;X1606,X1606,(O1607-MAX(O$470:O1607))/MAX(O$470:O1607))</f>
        <v>-0.62788758315546067</v>
      </c>
    </row>
    <row r="1608" spans="1:24">
      <c r="A1608" s="799">
        <v>42010</v>
      </c>
      <c r="B1608">
        <v>274.16800000000001</v>
      </c>
      <c r="C1608">
        <v>329.38956000000002</v>
      </c>
      <c r="D1608">
        <v>0.90423399999999998</v>
      </c>
      <c r="E1608">
        <f>LN(D1608/参数实验室!$E$53)/参数实验室!$E$55</f>
        <v>-0.81173063469369355</v>
      </c>
      <c r="F1608">
        <f t="shared" si="198"/>
        <v>1.2014150447900558</v>
      </c>
      <c r="G1608">
        <f>LN(F1608/参数实验室!$E$58)/参数实验室!$E$59</f>
        <v>-9.421927307043565E-2</v>
      </c>
      <c r="H1608" s="856">
        <f>INDEX(神经网络!$G$10:$BO$70,MATCH(ROUND(G1608*2,1)/2,神经网络!$E$10:$E$70,0),MATCH(ROUND(E1608*2,1)/2,神经网络!$G$8:$BO$8,0))</f>
        <v>-0.43356755541399628</v>
      </c>
      <c r="I1608">
        <f t="shared" si="190"/>
        <v>898.15104056135885</v>
      </c>
      <c r="J1608">
        <f t="shared" si="191"/>
        <v>109.40026335740778</v>
      </c>
      <c r="K1608">
        <f t="shared" si="192"/>
        <v>8.2097703698127589</v>
      </c>
      <c r="L1608" s="4">
        <f>MIN(MAX(L1607*(1+MAX(MIN(((B1608-B1607)/B1607)/($K$7*卓尔金历!$N$40),0),-卓尔金历!$M$43))+MIN(MAX(((B1608-B1607)/B1607)/($K$7*卓尔金历!$N$40),0),卓尔金历!$M$43),0),1)</f>
        <v>0.42648161413886249</v>
      </c>
      <c r="M1608" s="4">
        <f>MIN(MAX(M1607*(1+MAX(MIN(((B1608-B1607)/B1607)/($K$7*30),0),-卓尔金历!$M$43))+MIN(MAX(((B1608-B1607)/B1607)/($K$7*7),0),卓尔金历!$M$43),0),1)</f>
        <v>1</v>
      </c>
      <c r="N1608">
        <f t="shared" si="193"/>
        <v>757.02935009748103</v>
      </c>
      <c r="O1608">
        <f t="shared" si="194"/>
        <v>1952.0887923708142</v>
      </c>
      <c r="P1608">
        <f t="shared" si="195"/>
        <v>2.7912853409717171E-2</v>
      </c>
      <c r="Q1608">
        <f t="shared" si="196"/>
        <v>3.4009020214290413E-2</v>
      </c>
      <c r="R1608">
        <f t="shared" si="197"/>
        <v>0.23696963149885719</v>
      </c>
      <c r="S1608">
        <f t="shared" si="189"/>
        <v>15.934782364693083</v>
      </c>
      <c r="T1608" s="564">
        <f>IF((I1608-MAX(I$470:I1608))/MAX(I$470:I1608)&gt;T1607,T1607,(I1608-MAX(I$470:I1608))/MAX(I$470:I1608))</f>
        <v>-0.91338805338419748</v>
      </c>
      <c r="U1608" s="564">
        <f>IF((J1608-MAX(J$470:J1608))/MAX(J$470:J1608)&gt;U1607,U1607,(J1608-MAX(J$470:J1608))/MAX(J$470:J1608))</f>
        <v>-0.76789338113719852</v>
      </c>
      <c r="V1608" s="564">
        <f>IF((K1608-MAX(K$470:K1608))/MAX(K$470:K1608)&gt;V1607,V1607,(K1608-MAX(K$470:K1608))/MAX(K$470:K1608))</f>
        <v>-0.84885940676762139</v>
      </c>
      <c r="W1608" s="564">
        <f>IF((N1608-MAX(N$470:N1608))/MAX(N$470:N1608)&gt;W1607,W1607,(N1608-MAX(N$470:N1608))/MAX(N$470:N1608))</f>
        <v>-0.62788758315546067</v>
      </c>
      <c r="X1608" s="564">
        <f>IF((O1608-MAX(O$470:O1608))/MAX(O$470:O1608)&gt;X1607,X1607,(O1608-MAX(O$470:O1608))/MAX(O$470:O1608))</f>
        <v>-0.62788758315546067</v>
      </c>
    </row>
    <row r="1609" spans="1:24">
      <c r="A1609" s="799">
        <v>42011</v>
      </c>
      <c r="B1609">
        <v>283.238</v>
      </c>
      <c r="C1609">
        <v>334.751846</v>
      </c>
      <c r="D1609">
        <v>0.935778</v>
      </c>
      <c r="E1609">
        <f>LN(D1609/参数实验室!$E$53)/参数实验室!$E$55</f>
        <v>-0.77127678694281376</v>
      </c>
      <c r="F1609">
        <f t="shared" si="198"/>
        <v>1.1818747696283691</v>
      </c>
      <c r="G1609">
        <f>LN(F1609/参数实验室!$E$58)/参数实验室!$E$59</f>
        <v>-0.10282588244854217</v>
      </c>
      <c r="H1609" s="856">
        <f>INDEX(神经网络!$G$10:$BO$70,MATCH(ROUND(G1609*2,1)/2,神经网络!$E$10:$E$70,0),MATCH(ROUND(E1609*2,1)/2,神经网络!$G$8:$BO$8,0))</f>
        <v>-0.44511266916919301</v>
      </c>
      <c r="I1609">
        <f t="shared" si="190"/>
        <v>885.26864363680193</v>
      </c>
      <c r="J1609">
        <f t="shared" si="191"/>
        <v>113.01943258449369</v>
      </c>
      <c r="K1609">
        <f t="shared" si="192"/>
        <v>7.8328887642837195</v>
      </c>
      <c r="L1609" s="4">
        <f>MIN(MAX(L1608*(1+MAX(MIN(((B1609-B1608)/B1608)/($K$7*卓尔金历!$N$40),0),-卓尔金历!$M$43))+MIN(MAX(((B1609-B1608)/B1608)/($K$7*卓尔金历!$N$40),0),卓尔金历!$M$43),0),1)</f>
        <v>0.93194139125404352</v>
      </c>
      <c r="M1609" s="4">
        <f>MIN(MAX(M1608*(1+MAX(MIN(((B1609-B1608)/B1608)/($K$7*30),0),-卓尔金历!$M$43))+MIN(MAX(((B1609-B1608)/B1608)/($K$7*7),0),卓尔金历!$M$43),0),1)</f>
        <v>1</v>
      </c>
      <c r="N1609">
        <f t="shared" si="193"/>
        <v>752.39850419461038</v>
      </c>
      <c r="O1609">
        <f t="shared" si="194"/>
        <v>1924.0895121611265</v>
      </c>
      <c r="P1609">
        <f t="shared" si="195"/>
        <v>3.3081905984651723E-2</v>
      </c>
      <c r="Q1609">
        <f t="shared" si="196"/>
        <v>3.480787850180829E-2</v>
      </c>
      <c r="R1609">
        <f t="shared" si="197"/>
        <v>8.6595895062036243E-2</v>
      </c>
      <c r="S1609">
        <f t="shared" si="189"/>
        <v>15.880621432781853</v>
      </c>
      <c r="T1609" s="564">
        <f>IF((I1609-MAX(I$470:I1609))/MAX(I$470:I1609)&gt;T1608,T1608,(I1609-MAX(I$470:I1609))/MAX(I$470:I1609))</f>
        <v>-0.91338805338419748</v>
      </c>
      <c r="U1609" s="564">
        <f>IF((J1609-MAX(J$470:J1609))/MAX(J$470:J1609)&gt;U1608,U1608,(J1609-MAX(J$470:J1609))/MAX(J$470:J1609))</f>
        <v>-0.76789338113719852</v>
      </c>
      <c r="V1609" s="564">
        <f>IF((K1609-MAX(K$470:K1609))/MAX(K$470:K1609)&gt;V1608,V1608,(K1609-MAX(K$470:K1609))/MAX(K$470:K1609))</f>
        <v>-0.84885940676762139</v>
      </c>
      <c r="W1609" s="564">
        <f>IF((N1609-MAX(N$470:N1609))/MAX(N$470:N1609)&gt;W1608,W1608,(N1609-MAX(N$470:N1609))/MAX(N$470:N1609))</f>
        <v>-0.62788758315546067</v>
      </c>
      <c r="X1609" s="564">
        <f>IF((O1609-MAX(O$470:O1609))/MAX(O$470:O1609)&gt;X1608,X1608,(O1609-MAX(O$470:O1609))/MAX(O$470:O1609))</f>
        <v>-0.62788758315546067</v>
      </c>
    </row>
    <row r="1610" spans="1:24">
      <c r="A1610" s="799">
        <v>42012</v>
      </c>
      <c r="B1610">
        <v>293.75400000000002</v>
      </c>
      <c r="C1610">
        <v>333.92623500000002</v>
      </c>
      <c r="D1610">
        <v>0.89651800000000004</v>
      </c>
      <c r="E1610">
        <f>LN(D1610/参数实验室!$E$53)/参数实验室!$E$55</f>
        <v>-0.82184089056659926</v>
      </c>
      <c r="F1610">
        <f t="shared" si="198"/>
        <v>1.1367546824894299</v>
      </c>
      <c r="G1610">
        <f>LN(F1610/参数实验室!$E$58)/参数实验室!$E$59</f>
        <v>-0.12325558076156032</v>
      </c>
      <c r="H1610" s="856">
        <f>INDEX(神经网络!$G$10:$BO$70,MATCH(ROUND(G1610*2,1)/2,神经网络!$E$10:$E$70,0),MATCH(ROUND(E1610*2,1)/2,神经网络!$G$8:$BO$8,0))</f>
        <v>-0.43356755541399628</v>
      </c>
      <c r="I1610">
        <f t="shared" si="190"/>
        <v>870.63865139676852</v>
      </c>
      <c r="J1610">
        <f t="shared" si="191"/>
        <v>117.21559395076</v>
      </c>
      <c r="K1610">
        <f t="shared" si="192"/>
        <v>7.4276691526428387</v>
      </c>
      <c r="L1610" s="4">
        <f>MIN(MAX(L1609*(1+MAX(MIN(((B1610-B1609)/B1609)/($K$7*卓尔金历!$N$40),0),-卓尔金历!$M$43))+MIN(MAX(((B1610-B1609)/B1609)/($K$7*卓尔金历!$N$40),0),卓尔金历!$M$43),0),1)</f>
        <v>1</v>
      </c>
      <c r="M1610" s="4">
        <f>MIN(MAX(M1609*(1+MAX(MIN(((B1610-B1609)/B1609)/($K$7*30),0),-卓尔金历!$M$43))+MIN(MAX(((B1610-B1609)/B1609)/($K$7*7),0),卓尔金历!$M$43),0),1)</f>
        <v>1</v>
      </c>
      <c r="N1610">
        <f t="shared" si="193"/>
        <v>740.81058285579809</v>
      </c>
      <c r="O1610">
        <f t="shared" si="194"/>
        <v>1892.2919162173625</v>
      </c>
      <c r="P1610">
        <f t="shared" si="195"/>
        <v>3.7127786525819342E-2</v>
      </c>
      <c r="Q1610">
        <f t="shared" si="196"/>
        <v>3.5335403238316007E-2</v>
      </c>
      <c r="R1610">
        <f t="shared" si="197"/>
        <v>3.308557540433623E-2</v>
      </c>
      <c r="S1610">
        <f t="shared" si="189"/>
        <v>15.857894867091542</v>
      </c>
      <c r="T1610" s="564">
        <f>IF((I1610-MAX(I$470:I1610))/MAX(I$470:I1610)&gt;T1609,T1609,(I1610-MAX(I$470:I1610))/MAX(I$470:I1610))</f>
        <v>-0.91338805338419748</v>
      </c>
      <c r="U1610" s="564">
        <f>IF((J1610-MAX(J$470:J1610))/MAX(J$470:J1610)&gt;U1609,U1609,(J1610-MAX(J$470:J1610))/MAX(J$470:J1610))</f>
        <v>-0.76789338113719852</v>
      </c>
      <c r="V1610" s="564">
        <f>IF((K1610-MAX(K$470:K1610))/MAX(K$470:K1610)&gt;V1609,V1609,(K1610-MAX(K$470:K1610))/MAX(K$470:K1610))</f>
        <v>-0.84885940676762139</v>
      </c>
      <c r="W1610" s="564">
        <f>IF((N1610-MAX(N$470:N1610))/MAX(N$470:N1610)&gt;W1609,W1609,(N1610-MAX(N$470:N1610))/MAX(N$470:N1610))</f>
        <v>-0.62788758315546067</v>
      </c>
      <c r="X1610" s="564">
        <f>IF((O1610-MAX(O$470:O1610))/MAX(O$470:O1610)&gt;X1609,X1609,(O1610-MAX(O$470:O1610))/MAX(O$470:O1610))</f>
        <v>-0.62788758315546067</v>
      </c>
    </row>
    <row r="1611" spans="1:24">
      <c r="A1611" s="799">
        <v>42013</v>
      </c>
      <c r="B1611">
        <v>282.50700000000001</v>
      </c>
      <c r="C1611">
        <v>334.87207000000001</v>
      </c>
      <c r="D1611">
        <v>0.92410300000000001</v>
      </c>
      <c r="E1611">
        <f>LN(D1611/参数实验室!$E$53)/参数实验室!$E$55</f>
        <v>-0.78608827223769273</v>
      </c>
      <c r="F1611">
        <f t="shared" si="198"/>
        <v>1.1853584866923652</v>
      </c>
      <c r="G1611">
        <f>LN(F1611/参数实验室!$E$58)/参数实验室!$E$59</f>
        <v>-0.10128108807639517</v>
      </c>
      <c r="H1611" s="856">
        <f>INDEX(神经网络!$G$10:$BO$70,MATCH(ROUND(G1611*2,1)/2,神经网络!$E$10:$E$70,0),MATCH(ROUND(E1611*2,1)/2,神经网络!$G$8:$BO$8,0))</f>
        <v>-0.43356755541399628</v>
      </c>
      <c r="I1611">
        <f t="shared" si="190"/>
        <v>885.0913060499953</v>
      </c>
      <c r="J1611">
        <f t="shared" si="191"/>
        <v>112.72774430389833</v>
      </c>
      <c r="K1611">
        <f t="shared" si="192"/>
        <v>7.8515835787852915</v>
      </c>
      <c r="L1611" s="4">
        <f>MIN(MAX(L1610*(1+MAX(MIN(((B1611-B1610)/B1610)/($K$7*卓尔金历!$N$40),0),-卓尔金历!$M$43))+MIN(MAX(((B1611-B1610)/B1610)/($K$7*卓尔金历!$N$40),0),卓尔金历!$M$43),0),1)</f>
        <v>0.4150092694516595</v>
      </c>
      <c r="M1611" s="4">
        <f>MIN(MAX(M1610*(1+MAX(MIN(((B1611-B1610)/B1610)/($K$7*30),0),-卓尔金历!$M$43))+MIN(MAX(((B1611-B1610)/B1610)/($K$7*7),0),卓尔金历!$M$43),0),1)</f>
        <v>0.70750463472582981</v>
      </c>
      <c r="N1611">
        <f t="shared" si="193"/>
        <v>753.10808366200934</v>
      </c>
      <c r="O1611">
        <f t="shared" si="194"/>
        <v>1923.7040773065889</v>
      </c>
      <c r="P1611">
        <f t="shared" si="195"/>
        <v>-3.8287138217692397E-2</v>
      </c>
      <c r="Q1611">
        <f t="shared" si="196"/>
        <v>3.5633007960111464E-2</v>
      </c>
      <c r="R1611">
        <f t="shared" si="197"/>
        <v>3.2796850455179792E-2</v>
      </c>
      <c r="S1611">
        <f t="shared" si="189"/>
        <v>15.866604380822627</v>
      </c>
      <c r="T1611" s="564">
        <f>IF((I1611-MAX(I$470:I1611))/MAX(I$470:I1611)&gt;T1610,T1610,(I1611-MAX(I$470:I1611))/MAX(I$470:I1611))</f>
        <v>-0.91338805338419748</v>
      </c>
      <c r="U1611" s="564">
        <f>IF((J1611-MAX(J$470:J1611))/MAX(J$470:J1611)&gt;U1610,U1610,(J1611-MAX(J$470:J1611))/MAX(J$470:J1611))</f>
        <v>-0.76789338113719852</v>
      </c>
      <c r="V1611" s="564">
        <f>IF((K1611-MAX(K$470:K1611))/MAX(K$470:K1611)&gt;V1610,V1610,(K1611-MAX(K$470:K1611))/MAX(K$470:K1611))</f>
        <v>-0.84885940676762139</v>
      </c>
      <c r="W1611" s="564">
        <f>IF((N1611-MAX(N$470:N1611))/MAX(N$470:N1611)&gt;W1610,W1610,(N1611-MAX(N$470:N1611))/MAX(N$470:N1611))</f>
        <v>-0.62788758315546067</v>
      </c>
      <c r="X1611" s="564">
        <f>IF((O1611-MAX(O$470:O1611))/MAX(O$470:O1611)&gt;X1610,X1610,(O1611-MAX(O$470:O1611))/MAX(O$470:O1611))</f>
        <v>-0.62788758315546067</v>
      </c>
    </row>
    <row r="1612" spans="1:24">
      <c r="A1612" s="799">
        <v>42014</v>
      </c>
      <c r="B1612">
        <v>277.86099999999999</v>
      </c>
      <c r="C1612">
        <v>335.38655</v>
      </c>
      <c r="D1612">
        <v>0.87375400000000003</v>
      </c>
      <c r="E1612">
        <f>LN(D1612/参数实验室!$E$53)/参数实验室!$E$55</f>
        <v>-0.85218355343948937</v>
      </c>
      <c r="F1612">
        <f t="shared" si="198"/>
        <v>1.2070299538258338</v>
      </c>
      <c r="G1612">
        <f>LN(F1612/参数实验室!$E$58)/参数实验室!$E$59</f>
        <v>-9.177204006339329E-2</v>
      </c>
      <c r="H1612" s="856">
        <f>INDEX(神经网络!$G$10:$BO$70,MATCH(ROUND(G1612*2,1)/2,神经网络!$E$10:$E$70,0),MATCH(ROUND(E1612*2,1)/2,神经网络!$G$8:$BO$8,0))</f>
        <v>-0.42466935445445991</v>
      </c>
      <c r="I1612">
        <f t="shared" si="190"/>
        <v>891.40225755228391</v>
      </c>
      <c r="J1612">
        <f t="shared" si="191"/>
        <v>110.87386776265896</v>
      </c>
      <c r="K1612">
        <f t="shared" si="192"/>
        <v>8.0397867914237047</v>
      </c>
      <c r="L1612" s="4">
        <f>MIN(MAX(L1611*(1+MAX(MIN(((B1612-B1611)/B1611)/($K$7*卓尔金历!$N$40),0),-卓尔金历!$M$43))+MIN(MAX(((B1612-B1611)/B1611)/($K$7*卓尔金历!$N$40),0),卓尔金历!$M$43),0),1)</f>
        <v>0.31072858629816746</v>
      </c>
      <c r="M1612" s="4">
        <f>MIN(MAX(M1611*(1+MAX(MIN(((B1612-B1611)/B1611)/($K$7*30),0),-卓尔金历!$M$43))+MIN(MAX(((B1612-B1611)/B1611)/($K$7*7),0),卓尔金历!$M$43),0),1)</f>
        <v>0.61861617840176542</v>
      </c>
      <c r="N1612">
        <f t="shared" si="193"/>
        <v>755.33663105401376</v>
      </c>
      <c r="O1612">
        <f t="shared" si="194"/>
        <v>1933.4086031875895</v>
      </c>
      <c r="P1612">
        <f t="shared" si="195"/>
        <v>-1.6445610197269502E-2</v>
      </c>
      <c r="Q1612">
        <f t="shared" si="196"/>
        <v>3.5414448565722276E-2</v>
      </c>
      <c r="R1612">
        <f t="shared" si="197"/>
        <v>0.83002701366970189</v>
      </c>
      <c r="S1612">
        <f t="shared" si="189"/>
        <v>15.870314799356539</v>
      </c>
      <c r="T1612" s="564">
        <f>IF((I1612-MAX(I$470:I1612))/MAX(I$470:I1612)&gt;T1611,T1611,(I1612-MAX(I$470:I1612))/MAX(I$470:I1612))</f>
        <v>-0.91338805338419748</v>
      </c>
      <c r="U1612" s="564">
        <f>IF((J1612-MAX(J$470:J1612))/MAX(J$470:J1612)&gt;U1611,U1611,(J1612-MAX(J$470:J1612))/MAX(J$470:J1612))</f>
        <v>-0.76789338113719852</v>
      </c>
      <c r="V1612" s="564">
        <f>IF((K1612-MAX(K$470:K1612))/MAX(K$470:K1612)&gt;V1611,V1611,(K1612-MAX(K$470:K1612))/MAX(K$470:K1612))</f>
        <v>-0.84885940676762139</v>
      </c>
      <c r="W1612" s="564">
        <f>IF((N1612-MAX(N$470:N1612))/MAX(N$470:N1612)&gt;W1611,W1611,(N1612-MAX(N$470:N1612))/MAX(N$470:N1612))</f>
        <v>-0.62788758315546067</v>
      </c>
      <c r="X1612" s="564">
        <f>IF((O1612-MAX(O$470:O1612))/MAX(O$470:O1612)&gt;X1611,X1611,(O1612-MAX(O$470:O1612))/MAX(O$470:O1612))</f>
        <v>-0.62788758315546067</v>
      </c>
    </row>
    <row r="1613" spans="1:24">
      <c r="A1613" s="799">
        <v>42015</v>
      </c>
      <c r="B1613">
        <v>274.70499999999998</v>
      </c>
      <c r="C1613">
        <v>332.57482900000002</v>
      </c>
      <c r="D1613">
        <v>0.85069700000000004</v>
      </c>
      <c r="E1613">
        <f>LN(D1613/参数实验室!$E$53)/参数实验室!$E$55</f>
        <v>-0.88373352696294294</v>
      </c>
      <c r="F1613">
        <f t="shared" si="198"/>
        <v>1.2106617243952604</v>
      </c>
      <c r="G1613">
        <f>LN(F1613/参数实验室!$E$58)/参数实验室!$E$59</f>
        <v>-9.0195204672990081E-2</v>
      </c>
      <c r="H1613" s="856">
        <f>INDEX(神经网络!$G$10:$BO$70,MATCH(ROUND(G1613*2,1)/2,神经网络!$E$10:$E$70,0),MATCH(ROUND(E1613*2,1)/2,神经网络!$G$8:$BO$8,0))</f>
        <v>-0.4234586507597124</v>
      </c>
      <c r="I1613">
        <f t="shared" si="190"/>
        <v>895.7019169299607</v>
      </c>
      <c r="J1613">
        <f t="shared" si="191"/>
        <v>109.61454052112829</v>
      </c>
      <c r="K1613">
        <f t="shared" si="192"/>
        <v>8.1713786571710667</v>
      </c>
      <c r="L1613" s="4">
        <f>MIN(MAX(L1612*(1+MAX(MIN(((B1613-B1612)/B1612)/($K$7*卓尔金历!$N$40),0),-卓尔金历!$M$43))+MIN(MAX(((B1613-B1612)/B1612)/($K$7*卓尔金历!$N$40),0),卓尔金历!$M$43),0),1)</f>
        <v>0.256804016660648</v>
      </c>
      <c r="M1613" s="4">
        <f>MIN(MAX(M1612*(1+MAX(MIN(((B1613-B1612)/B1612)/($K$7*30),0),-卓尔金历!$M$43))+MIN(MAX(((B1613-B1612)/B1612)/($K$7*7),0),卓尔金历!$M$43),0),1)</f>
        <v>0.5649381251712331</v>
      </c>
      <c r="N1613">
        <f t="shared" si="193"/>
        <v>756.46872398405299</v>
      </c>
      <c r="O1613">
        <f t="shared" si="194"/>
        <v>1939.1776656700238</v>
      </c>
      <c r="P1613">
        <f t="shared" si="195"/>
        <v>-1.135819708415361E-2</v>
      </c>
      <c r="Q1613">
        <f t="shared" si="196"/>
        <v>3.4011333393447418E-2</v>
      </c>
      <c r="R1613">
        <f t="shared" si="197"/>
        <v>1</v>
      </c>
      <c r="S1613">
        <f t="shared" si="189"/>
        <v>15.933853465058933</v>
      </c>
      <c r="T1613" s="564">
        <f>IF((I1613-MAX(I$470:I1613))/MAX(I$470:I1613)&gt;T1612,T1612,(I1613-MAX(I$470:I1613))/MAX(I$470:I1613))</f>
        <v>-0.91338805338419748</v>
      </c>
      <c r="U1613" s="564">
        <f>IF((J1613-MAX(J$470:J1613))/MAX(J$470:J1613)&gt;U1612,U1612,(J1613-MAX(J$470:J1613))/MAX(J$470:J1613))</f>
        <v>-0.76789338113719852</v>
      </c>
      <c r="V1613" s="564">
        <f>IF((K1613-MAX(K$470:K1613))/MAX(K$470:K1613)&gt;V1612,V1612,(K1613-MAX(K$470:K1613))/MAX(K$470:K1613))</f>
        <v>-0.84885940676762139</v>
      </c>
      <c r="W1613" s="564">
        <f>IF((N1613-MAX(N$470:N1613))/MAX(N$470:N1613)&gt;W1612,W1612,(N1613-MAX(N$470:N1613))/MAX(N$470:N1613))</f>
        <v>-0.62788758315546067</v>
      </c>
      <c r="X1613" s="564">
        <f>IF((O1613-MAX(O$470:O1613))/MAX(O$470:O1613)&gt;X1612,X1612,(O1613-MAX(O$470:O1613))/MAX(O$470:O1613))</f>
        <v>-0.62788758315546067</v>
      </c>
    </row>
    <row r="1614" spans="1:24">
      <c r="A1614" s="799">
        <v>42016</v>
      </c>
      <c r="B1614">
        <v>267.988</v>
      </c>
      <c r="C1614">
        <v>333.74129599999998</v>
      </c>
      <c r="D1614">
        <v>0.851468</v>
      </c>
      <c r="E1614">
        <f>LN(D1614/参数实验室!$E$53)/参数实验室!$E$55</f>
        <v>-0.88266478237789003</v>
      </c>
      <c r="F1614">
        <f t="shared" si="198"/>
        <v>1.2453591056315954</v>
      </c>
      <c r="G1614">
        <f>LN(F1614/参数实验室!$E$58)/参数实验室!$E$59</f>
        <v>-7.5364489636596657E-2</v>
      </c>
      <c r="H1614" s="856">
        <f>INDEX(神经网络!$G$10:$BO$70,MATCH(ROUND(G1614*2,1)/2,神经网络!$E$10:$E$70,0),MATCH(ROUND(E1614*2,1)/2,神经网络!$G$8:$BO$8,0))</f>
        <v>-0.4234586507597124</v>
      </c>
      <c r="I1614">
        <f t="shared" si="190"/>
        <v>904.97626299335002</v>
      </c>
      <c r="J1614">
        <f t="shared" si="191"/>
        <v>106.93428035593138</v>
      </c>
      <c r="K1614">
        <f t="shared" si="192"/>
        <v>8.4629200288357591</v>
      </c>
      <c r="L1614" s="4">
        <f>MIN(MAX(L1613*(1+MAX(MIN(((B1614-B1613)/B1613)/($K$7*卓尔金历!$N$40),0),-卓尔金历!$M$43))+MIN(MAX(((B1614-B1613)/B1613)/($K$7*卓尔金历!$N$40),0),卓尔金历!$M$43),0),1)</f>
        <v>0.16086247898256509</v>
      </c>
      <c r="M1614" s="4">
        <f>MIN(MAX(M1613*(1+MAX(MIN(((B1614-B1613)/B1613)/($K$7*30),0),-卓尔金历!$M$43))+MIN(MAX(((B1614-B1613)/B1613)/($K$7*7),0),卓尔金历!$M$43),0),1)</f>
        <v>0.45940817060372918</v>
      </c>
      <c r="N1614">
        <f t="shared" si="193"/>
        <v>758.48018945879812</v>
      </c>
      <c r="O1614">
        <f t="shared" si="194"/>
        <v>1950.5209359000717</v>
      </c>
      <c r="P1614">
        <f t="shared" si="195"/>
        <v>-2.4451684534318577E-2</v>
      </c>
      <c r="Q1614">
        <f t="shared" si="196"/>
        <v>3.4084379327803629E-2</v>
      </c>
      <c r="R1614">
        <f t="shared" si="197"/>
        <v>0.37744794499053158</v>
      </c>
      <c r="S1614">
        <f t="shared" si="189"/>
        <v>16.098837002958234</v>
      </c>
      <c r="T1614" s="564">
        <f>IF((I1614-MAX(I$470:I1614))/MAX(I$470:I1614)&gt;T1613,T1613,(I1614-MAX(I$470:I1614))/MAX(I$470:I1614))</f>
        <v>-0.91338805338419748</v>
      </c>
      <c r="U1614" s="564">
        <f>IF((J1614-MAX(J$470:J1614))/MAX(J$470:J1614)&gt;U1613,U1613,(J1614-MAX(J$470:J1614))/MAX(J$470:J1614))</f>
        <v>-0.76789338113719852</v>
      </c>
      <c r="V1614" s="564">
        <f>IF((K1614-MAX(K$470:K1614))/MAX(K$470:K1614)&gt;V1613,V1613,(K1614-MAX(K$470:K1614))/MAX(K$470:K1614))</f>
        <v>-0.84885940676762139</v>
      </c>
      <c r="W1614" s="564">
        <f>IF((N1614-MAX(N$470:N1614))/MAX(N$470:N1614)&gt;W1613,W1613,(N1614-MAX(N$470:N1614))/MAX(N$470:N1614))</f>
        <v>-0.62788758315546067</v>
      </c>
      <c r="X1614" s="564">
        <f>IF((O1614-MAX(O$470:O1614))/MAX(O$470:O1614)&gt;X1613,X1613,(O1614-MAX(O$470:O1614))/MAX(O$470:O1614))</f>
        <v>-0.62788758315546067</v>
      </c>
    </row>
    <row r="1615" spans="1:24">
      <c r="A1615" s="799">
        <v>42017</v>
      </c>
      <c r="B1615">
        <v>244.566</v>
      </c>
      <c r="C1615">
        <v>337.12596400000001</v>
      </c>
      <c r="D1615">
        <v>0.71350599999999997</v>
      </c>
      <c r="E1615">
        <f>LN(D1615/参数实验室!$E$53)/参数实验室!$E$55</f>
        <v>-1.0912110286296961</v>
      </c>
      <c r="F1615">
        <f t="shared" si="198"/>
        <v>1.3784661972637244</v>
      </c>
      <c r="G1615">
        <f>LN(F1615/参数实验室!$E$58)/参数实验室!$E$59</f>
        <v>-2.2066872013937706E-2</v>
      </c>
      <c r="H1615" s="856">
        <f>INDEX(神经网络!$G$10:$BO$70,MATCH(ROUND(G1615*2,1)/2,神经网络!$E$10:$E$70,0),MATCH(ROUND(E1615*2,1)/2,神经网络!$G$8:$BO$8,0))</f>
        <v>-0.26777487844951736</v>
      </c>
      <c r="I1615">
        <f t="shared" si="190"/>
        <v>938.46947716467128</v>
      </c>
      <c r="J1615">
        <f t="shared" si="191"/>
        <v>97.588284585610978</v>
      </c>
      <c r="K1615">
        <f t="shared" si="192"/>
        <v>9.616620285413287</v>
      </c>
      <c r="L1615" s="4">
        <f>MIN(MAX(L1614*(1+MAX(MIN(((B1615-B1614)/B1614)/($K$7*卓尔金历!$N$40),0),-卓尔金历!$M$43))+MIN(MAX(((B1615-B1614)/B1614)/($K$7*卓尔金历!$N$40),0),卓尔金历!$M$43),0),1)</f>
        <v>0</v>
      </c>
      <c r="M1615" s="4">
        <f>MIN(MAX(M1614*(1+MAX(MIN(((B1615-B1614)/B1614)/($K$7*30),0),-卓尔金历!$M$43))+MIN(MAX(((B1615-B1614)/B1614)/($K$7*7),0),卓尔金历!$M$43),0),1)</f>
        <v>0.15266604218935606</v>
      </c>
      <c r="N1615">
        <f t="shared" si="193"/>
        <v>762.99582245358602</v>
      </c>
      <c r="O1615">
        <f t="shared" si="194"/>
        <v>1983.6850934420518</v>
      </c>
      <c r="P1615">
        <f t="shared" si="195"/>
        <v>-8.7399435795632627E-2</v>
      </c>
      <c r="Q1615">
        <f t="shared" si="196"/>
        <v>3.6617777381559212E-2</v>
      </c>
      <c r="R1615">
        <f t="shared" si="197"/>
        <v>4.4325036576817146E-3</v>
      </c>
      <c r="S1615">
        <f t="shared" si="189"/>
        <v>16.323727553158793</v>
      </c>
      <c r="T1615" s="564">
        <f>IF((I1615-MAX(I$470:I1615))/MAX(I$470:I1615)&gt;T1614,T1614,(I1615-MAX(I$470:I1615))/MAX(I$470:I1615))</f>
        <v>-0.91338805338419748</v>
      </c>
      <c r="U1615" s="564">
        <f>IF((J1615-MAX(J$470:J1615))/MAX(J$470:J1615)&gt;U1614,U1614,(J1615-MAX(J$470:J1615))/MAX(J$470:J1615))</f>
        <v>-0.78717475677463167</v>
      </c>
      <c r="V1615" s="564">
        <f>IF((K1615-MAX(K$470:K1615))/MAX(K$470:K1615)&gt;V1614,V1614,(K1615-MAX(K$470:K1615))/MAX(K$470:K1615))</f>
        <v>-0.84885940676762139</v>
      </c>
      <c r="W1615" s="564">
        <f>IF((N1615-MAX(N$470:N1615))/MAX(N$470:N1615)&gt;W1614,W1614,(N1615-MAX(N$470:N1615))/MAX(N$470:N1615))</f>
        <v>-0.62788758315546067</v>
      </c>
      <c r="X1615" s="564">
        <f>IF((O1615-MAX(O$470:O1615))/MAX(O$470:O1615)&gt;X1614,X1614,(O1615-MAX(O$470:O1615))/MAX(O$470:O1615))</f>
        <v>-0.62788758315546067</v>
      </c>
    </row>
    <row r="1616" spans="1:24">
      <c r="A1616" s="799">
        <v>42018</v>
      </c>
      <c r="B1616">
        <v>207.809</v>
      </c>
      <c r="C1616">
        <v>336.51388300000002</v>
      </c>
      <c r="D1616">
        <v>0.56357999999999997</v>
      </c>
      <c r="E1616">
        <f>LN(D1616/参数实验室!$E$53)/参数实验室!$E$55</f>
        <v>-1.3694930558534084</v>
      </c>
      <c r="F1616">
        <f t="shared" si="198"/>
        <v>1.6193421988460559</v>
      </c>
      <c r="G1616">
        <f>LN(F1616/参数实验室!$E$58)/参数实验室!$E$59</f>
        <v>6.2460129951878648E-2</v>
      </c>
      <c r="H1616" s="856">
        <f>INDEX(神经网络!$G$10:$BO$70,MATCH(ROUND(G1616*2,1)/2,神经网络!$E$10:$E$70,0),MATCH(ROUND(E1616*2,1)/2,神经网络!$G$8:$BO$8,0))</f>
        <v>-0.37507662143125009</v>
      </c>
      <c r="I1616">
        <f t="shared" si="190"/>
        <v>976.23834450040954</v>
      </c>
      <c r="J1616">
        <f t="shared" si="191"/>
        <v>82.921272096085445</v>
      </c>
      <c r="K1616">
        <f t="shared" si="192"/>
        <v>11.773074867558574</v>
      </c>
      <c r="L1616" s="4">
        <f>MIN(MAX(L1615*(1+MAX(MIN(((B1616-B1615)/B1615)/($K$7*卓尔金历!$N$40),0),-卓尔金历!$M$43))+MIN(MAX(((B1616-B1615)/B1615)/($K$7*卓尔金历!$N$40),0),卓尔金历!$M$43),0),1)</f>
        <v>0</v>
      </c>
      <c r="M1616" s="4">
        <f>MIN(MAX(M1615*(1+MAX(MIN(((B1616-B1615)/B1615)/($K$7*30),0),-卓尔金历!$M$43))+MIN(MAX(((B1616-B1615)/B1615)/($K$7*7),0),卓尔金历!$M$43),0),1)</f>
        <v>0</v>
      </c>
      <c r="N1616">
        <f t="shared" si="193"/>
        <v>762.99582245358602</v>
      </c>
      <c r="O1616">
        <f t="shared" si="194"/>
        <v>1995.8729963329195</v>
      </c>
      <c r="P1616">
        <f t="shared" si="195"/>
        <v>-0.15029480794550348</v>
      </c>
      <c r="Q1616">
        <f t="shared" si="196"/>
        <v>4.6463675113078244E-2</v>
      </c>
      <c r="R1616">
        <f t="shared" si="197"/>
        <v>0</v>
      </c>
      <c r="S1616">
        <f t="shared" si="189"/>
        <v>16.326639491997504</v>
      </c>
      <c r="T1616" s="564">
        <f>IF((I1616-MAX(I$470:I1616))/MAX(I$470:I1616)&gt;T1615,T1615,(I1616-MAX(I$470:I1616))/MAX(I$470:I1616))</f>
        <v>-0.91338805338419748</v>
      </c>
      <c r="U1616" s="564">
        <f>IF((J1616-MAX(J$470:J1616))/MAX(J$470:J1616)&gt;U1615,U1615,(J1616-MAX(J$470:J1616))/MAX(J$470:J1616))</f>
        <v>-0.81916128583114356</v>
      </c>
      <c r="V1616" s="564">
        <f>IF((K1616-MAX(K$470:K1616))/MAX(K$470:K1616)&gt;V1615,V1615,(K1616-MAX(K$470:K1616))/MAX(K$470:K1616))</f>
        <v>-0.84885940676762139</v>
      </c>
      <c r="W1616" s="564">
        <f>IF((N1616-MAX(N$470:N1616))/MAX(N$470:N1616)&gt;W1615,W1615,(N1616-MAX(N$470:N1616))/MAX(N$470:N1616))</f>
        <v>-0.62788758315546067</v>
      </c>
      <c r="X1616" s="564">
        <f>IF((O1616-MAX(O$470:O1616))/MAX(O$470:O1616)&gt;X1615,X1615,(O1616-MAX(O$470:O1616))/MAX(O$470:O1616))</f>
        <v>-0.62788758315546067</v>
      </c>
    </row>
    <row r="1617" spans="1:24">
      <c r="A1617" s="799">
        <v>42019</v>
      </c>
      <c r="B1617">
        <v>204.946</v>
      </c>
      <c r="C1617">
        <v>335.02072600000002</v>
      </c>
      <c r="D1617">
        <v>0.68179900000000004</v>
      </c>
      <c r="E1617">
        <f>LN(D1617/参数实验室!$E$53)/参数实验室!$E$55</f>
        <v>-1.144837836798279</v>
      </c>
      <c r="F1617">
        <f t="shared" si="198"/>
        <v>1.6346780420208251</v>
      </c>
      <c r="G1617">
        <f>LN(F1617/参数实验室!$E$58)/参数实验室!$E$59</f>
        <v>6.7407326522858232E-2</v>
      </c>
      <c r="H1617" s="856">
        <f>INDEX(神经网络!$G$10:$BO$70,MATCH(ROUND(G1617*2,1)/2,神经网络!$E$10:$E$70,0),MATCH(ROUND(E1617*2,1)/2,神经网络!$G$8:$BO$8,0))</f>
        <v>-0.25291917163505034</v>
      </c>
      <c r="I1617">
        <f t="shared" si="190"/>
        <v>981.28301555529686</v>
      </c>
      <c r="J1617">
        <f t="shared" si="191"/>
        <v>81.77885958261831</v>
      </c>
      <c r="K1617">
        <f t="shared" si="192"/>
        <v>11.999225968221543</v>
      </c>
      <c r="L1617" s="4">
        <f>MIN(MAX(L1616*(1+MAX(MIN(((B1617-B1616)/B1616)/($K$7*卓尔金历!$N$40),0),-卓尔金历!$M$43))+MIN(MAX(((B1617-B1616)/B1616)/($K$7*卓尔金历!$N$40),0),卓尔金历!$M$43),0),1)</f>
        <v>0</v>
      </c>
      <c r="M1617" s="4">
        <f>MIN(MAX(M1616*(1+MAX(MIN(((B1617-B1616)/B1616)/($K$7*30),0),-卓尔金历!$M$43))+MIN(MAX(((B1617-B1616)/B1616)/($K$7*7),0),卓尔金历!$M$43),0),1)</f>
        <v>0</v>
      </c>
      <c r="N1617">
        <f t="shared" si="193"/>
        <v>762.99582245358602</v>
      </c>
      <c r="O1617">
        <f t="shared" si="194"/>
        <v>1995.8729963329195</v>
      </c>
      <c r="P1617">
        <f t="shared" si="195"/>
        <v>-1.3777074140196043E-2</v>
      </c>
      <c r="Q1617">
        <f t="shared" si="196"/>
        <v>4.608329330113204E-2</v>
      </c>
      <c r="R1617">
        <f t="shared" si="197"/>
        <v>1</v>
      </c>
      <c r="S1617">
        <f t="shared" si="189"/>
        <v>16.326639491997504</v>
      </c>
      <c r="T1617" s="564">
        <f>IF((I1617-MAX(I$470:I1617))/MAX(I$470:I1617)&gt;T1616,T1616,(I1617-MAX(I$470:I1617))/MAX(I$470:I1617))</f>
        <v>-0.91338805338419748</v>
      </c>
      <c r="U1617" s="564">
        <f>IF((J1617-MAX(J$470:J1617))/MAX(J$470:J1617)&gt;U1616,U1616,(J1617-MAX(J$470:J1617))/MAX(J$470:J1617))</f>
        <v>-0.82165271420366559</v>
      </c>
      <c r="V1617" s="564">
        <f>IF((K1617-MAX(K$470:K1617))/MAX(K$470:K1617)&gt;V1616,V1616,(K1617-MAX(K$470:K1617))/MAX(K$470:K1617))</f>
        <v>-0.84885940676762139</v>
      </c>
      <c r="W1617" s="564">
        <f>IF((N1617-MAX(N$470:N1617))/MAX(N$470:N1617)&gt;W1616,W1616,(N1617-MAX(N$470:N1617))/MAX(N$470:N1617))</f>
        <v>-0.62788758315546067</v>
      </c>
      <c r="X1617" s="564">
        <f>IF((O1617-MAX(O$470:O1617))/MAX(O$470:O1617)&gt;X1616,X1616,(O1617-MAX(O$470:O1617))/MAX(O$470:O1617))</f>
        <v>-0.62788758315546067</v>
      </c>
    </row>
    <row r="1618" spans="1:24">
      <c r="A1618" s="799">
        <v>42020</v>
      </c>
      <c r="B1618">
        <v>218.09100000000001</v>
      </c>
      <c r="C1618">
        <v>332.84888100000001</v>
      </c>
      <c r="D1618">
        <v>0.66753499999999999</v>
      </c>
      <c r="E1618">
        <f>LN(D1618/参数实验室!$E$53)/参数实验室!$E$55</f>
        <v>-1.1697814417938981</v>
      </c>
      <c r="F1618">
        <f t="shared" si="198"/>
        <v>1.5261926489401212</v>
      </c>
      <c r="G1618">
        <f>LN(F1618/参数实验室!$E$58)/参数实验室!$E$59</f>
        <v>3.1365757114259554E-2</v>
      </c>
      <c r="H1618" s="856">
        <f>INDEX(神经网络!$G$10:$BO$70,MATCH(ROUND(G1618*2,1)/2,神经网络!$E$10:$E$70,0),MATCH(ROUND(E1618*2,1)/2,神经网络!$G$8:$BO$8,0))</f>
        <v>-0.25291917163505034</v>
      </c>
      <c r="I1618">
        <f t="shared" si="190"/>
        <v>965.36469754315135</v>
      </c>
      <c r="J1618">
        <f t="shared" si="191"/>
        <v>87.024061290451201</v>
      </c>
      <c r="K1618">
        <f t="shared" si="192"/>
        <v>11.093077974390939</v>
      </c>
      <c r="L1618" s="4">
        <f>MIN(MAX(L1617*(1+MAX(MIN(((B1618-B1617)/B1617)/($K$7*卓尔金历!$N$40),0),-卓尔金历!$M$43))+MIN(MAX(((B1618-B1617)/B1617)/($K$7*卓尔金历!$N$40),0),卓尔金历!$M$43),0),1)</f>
        <v>0.97998002247982563</v>
      </c>
      <c r="M1618" s="4">
        <f>MIN(MAX(M1617*(1+MAX(MIN(((B1618-B1617)/B1617)/($K$7*30),0),-卓尔金历!$M$43))+MIN(MAX(((B1618-B1617)/B1617)/($K$7*7),0),卓尔金历!$M$43),0),1)</f>
        <v>1</v>
      </c>
      <c r="N1618">
        <f t="shared" si="193"/>
        <v>762.99582245358602</v>
      </c>
      <c r="O1618">
        <f t="shared" si="194"/>
        <v>1995.8729963329195</v>
      </c>
      <c r="P1618">
        <f t="shared" si="195"/>
        <v>6.4138846330252894E-2</v>
      </c>
      <c r="Q1618">
        <f t="shared" si="196"/>
        <v>4.9306425861568338E-2</v>
      </c>
      <c r="R1618">
        <f t="shared" si="197"/>
        <v>3.3963581045259636E-2</v>
      </c>
      <c r="S1618">
        <f t="shared" si="189"/>
        <v>16.061789662352588</v>
      </c>
      <c r="T1618" s="564">
        <f>IF((I1618-MAX(I$470:I1618))/MAX(I$470:I1618)&gt;T1617,T1617,(I1618-MAX(I$470:I1618))/MAX(I$470:I1618))</f>
        <v>-0.91338805338419748</v>
      </c>
      <c r="U1618" s="564">
        <f>IF((J1618-MAX(J$470:J1618))/MAX(J$470:J1618)&gt;U1617,U1617,(J1618-MAX(J$470:J1618))/MAX(J$470:J1618))</f>
        <v>-0.82165271420366559</v>
      </c>
      <c r="V1618" s="564">
        <f>IF((K1618-MAX(K$470:K1618))/MAX(K$470:K1618)&gt;V1617,V1617,(K1618-MAX(K$470:K1618))/MAX(K$470:K1618))</f>
        <v>-0.84885940676762139</v>
      </c>
      <c r="W1618" s="564">
        <f>IF((N1618-MAX(N$470:N1618))/MAX(N$470:N1618)&gt;W1617,W1617,(N1618-MAX(N$470:N1618))/MAX(N$470:N1618))</f>
        <v>-0.62788758315546067</v>
      </c>
      <c r="X1618" s="564">
        <f>IF((O1618-MAX(O$470:O1618))/MAX(O$470:O1618)&gt;X1617,X1617,(O1618-MAX(O$470:O1618))/MAX(O$470:O1618))</f>
        <v>-0.62788758315546067</v>
      </c>
    </row>
    <row r="1619" spans="1:24">
      <c r="A1619" s="799">
        <v>42021</v>
      </c>
      <c r="B1619">
        <v>197.244</v>
      </c>
      <c r="C1619">
        <v>331.13406199999997</v>
      </c>
      <c r="D1619">
        <v>0.64325100000000002</v>
      </c>
      <c r="E1619">
        <f>LN(D1619/参数实验室!$E$53)/参数实验室!$E$55</f>
        <v>-1.2134993425576144</v>
      </c>
      <c r="F1619">
        <f t="shared" si="198"/>
        <v>1.6788042323213885</v>
      </c>
      <c r="G1619">
        <f>LN(F1619/参数实验室!$E$58)/参数实验室!$E$59</f>
        <v>8.1387288822201462E-2</v>
      </c>
      <c r="H1619" s="856">
        <f>INDEX(神经网络!$G$10:$BO$70,MATCH(ROUND(G1619*2,1)/2,神经网络!$E$10:$E$70,0),MATCH(ROUND(E1619*2,1)/2,神经网络!$G$8:$BO$8,0))</f>
        <v>-0.22741099410329782</v>
      </c>
      <c r="I1619">
        <f t="shared" si="190"/>
        <v>988.7035224764677</v>
      </c>
      <c r="J1619">
        <f t="shared" si="191"/>
        <v>78.70555843741262</v>
      </c>
      <c r="K1619">
        <f t="shared" si="192"/>
        <v>12.562054600790283</v>
      </c>
      <c r="L1619" s="4">
        <f>MIN(MAX(L1618*(1+MAX(MIN(((B1619-B1618)/B1618)/($K$7*卓尔金历!$N$40),0),-卓尔金历!$M$43))+MIN(MAX(((B1619-B1618)/B1618)/($K$7*卓尔金历!$N$40),0),卓尔金历!$M$43),0),1)</f>
        <v>0</v>
      </c>
      <c r="M1619" s="4">
        <f>MIN(MAX(M1618*(1+MAX(MIN(((B1619-B1618)/B1618)/($K$7*30),0),-卓尔金历!$M$43))+MIN(MAX(((B1619-B1618)/B1618)/($K$7*7),0),卓尔金历!$M$43),0),1)</f>
        <v>0.26974942883782527</v>
      </c>
      <c r="N1619">
        <f t="shared" si="193"/>
        <v>781.07284733630229</v>
      </c>
      <c r="O1619">
        <f t="shared" si="194"/>
        <v>2044.12556924044</v>
      </c>
      <c r="P1619">
        <f t="shared" si="195"/>
        <v>-9.5588538729246081E-2</v>
      </c>
      <c r="Q1619">
        <f t="shared" si="196"/>
        <v>5.124536772591174E-2</v>
      </c>
      <c r="R1619">
        <f t="shared" si="197"/>
        <v>1.8567434339229458E-2</v>
      </c>
      <c r="S1619">
        <f t="shared" si="189"/>
        <v>16.074978149566274</v>
      </c>
      <c r="T1619" s="564">
        <f>IF((I1619-MAX(I$470:I1619))/MAX(I$470:I1619)&gt;T1618,T1618,(I1619-MAX(I$470:I1619))/MAX(I$470:I1619))</f>
        <v>-0.91338805338419748</v>
      </c>
      <c r="U1619" s="564">
        <f>IF((J1619-MAX(J$470:J1619))/MAX(J$470:J1619)&gt;U1618,U1618,(J1619-MAX(J$470:J1619))/MAX(J$470:J1619))</f>
        <v>-0.8283551177402233</v>
      </c>
      <c r="V1619" s="564">
        <f>IF((K1619-MAX(K$470:K1619))/MAX(K$470:K1619)&gt;V1618,V1618,(K1619-MAX(K$470:K1619))/MAX(K$470:K1619))</f>
        <v>-0.84885940676762139</v>
      </c>
      <c r="W1619" s="564">
        <f>IF((N1619-MAX(N$470:N1619))/MAX(N$470:N1619)&gt;W1618,W1618,(N1619-MAX(N$470:N1619))/MAX(N$470:N1619))</f>
        <v>-0.62788758315546067</v>
      </c>
      <c r="X1619" s="564">
        <f>IF((O1619-MAX(O$470:O1619))/MAX(O$470:O1619)&gt;X1618,X1618,(O1619-MAX(O$470:O1619))/MAX(O$470:O1619))</f>
        <v>-0.62788758315546067</v>
      </c>
    </row>
    <row r="1620" spans="1:24">
      <c r="A1620" s="799">
        <v>42022</v>
      </c>
      <c r="B1620">
        <v>210.52</v>
      </c>
      <c r="C1620">
        <v>327.938422</v>
      </c>
      <c r="D1620">
        <v>0.68000499999999997</v>
      </c>
      <c r="E1620">
        <f>LN(D1620/参数实验室!$E$53)/参数实验室!$E$55</f>
        <v>-1.14794618211676</v>
      </c>
      <c r="F1620">
        <f t="shared" si="198"/>
        <v>1.5577542371271138</v>
      </c>
      <c r="G1620">
        <f>LN(F1620/参数实验室!$E$58)/参数实验室!$E$59</f>
        <v>4.2109006690304811E-2</v>
      </c>
      <c r="H1620" s="856">
        <f>INDEX(神经网络!$G$10:$BO$70,MATCH(ROUND(G1620*2,1)/2,神经网络!$E$10:$E$70,0),MATCH(ROUND(E1620*2,1)/2,神经网络!$G$8:$BO$8,0))</f>
        <v>-0.25291917163505034</v>
      </c>
      <c r="I1620">
        <f t="shared" si="190"/>
        <v>973.56996673833953</v>
      </c>
      <c r="J1620">
        <f t="shared" si="191"/>
        <v>84.003032600454802</v>
      </c>
      <c r="K1620">
        <f t="shared" si="192"/>
        <v>11.589700235811112</v>
      </c>
      <c r="L1620" s="4">
        <f>MIN(MAX(L1619*(1+MAX(MIN(((B1620-B1619)/B1619)/($K$7*卓尔金历!$N$40),0),-卓尔金历!$M$43))+MIN(MAX(((B1620-B1619)/B1619)/($K$7*卓尔金历!$N$40),0),卓尔金历!$M$43),0),1)</f>
        <v>1</v>
      </c>
      <c r="M1620" s="4">
        <f>MIN(MAX(M1619*(1+MAX(MIN(((B1620-B1619)/B1619)/($K$7*30),0),-卓尔金历!$M$43))+MIN(MAX(((B1620-B1619)/B1619)/($K$7*7),0),卓尔金历!$M$43),0),1)</f>
        <v>1</v>
      </c>
      <c r="N1620">
        <f t="shared" si="193"/>
        <v>781.07284733630229</v>
      </c>
      <c r="O1620">
        <f t="shared" si="194"/>
        <v>2035.6855584145292</v>
      </c>
      <c r="P1620">
        <f t="shared" si="195"/>
        <v>6.7307497312972822E-2</v>
      </c>
      <c r="Q1620">
        <f t="shared" si="196"/>
        <v>5.4649486087819256E-2</v>
      </c>
      <c r="R1620">
        <f t="shared" si="197"/>
        <v>4.0569326952386749E-2</v>
      </c>
      <c r="S1620">
        <f t="shared" si="189"/>
        <v>16.07040961213821</v>
      </c>
      <c r="T1620" s="564">
        <f>IF((I1620-MAX(I$470:I1620))/MAX(I$470:I1620)&gt;T1619,T1619,(I1620-MAX(I$470:I1620))/MAX(I$470:I1620))</f>
        <v>-0.91338805338419748</v>
      </c>
      <c r="U1620" s="564">
        <f>IF((J1620-MAX(J$470:J1620))/MAX(J$470:J1620)&gt;U1619,U1619,(J1620-MAX(J$470:J1620))/MAX(J$470:J1620))</f>
        <v>-0.8283551177402233</v>
      </c>
      <c r="V1620" s="564">
        <f>IF((K1620-MAX(K$470:K1620))/MAX(K$470:K1620)&gt;V1619,V1619,(K1620-MAX(K$470:K1620))/MAX(K$470:K1620))</f>
        <v>-0.84885940676762139</v>
      </c>
      <c r="W1620" s="564">
        <f>IF((N1620-MAX(N$470:N1620))/MAX(N$470:N1620)&gt;W1619,W1619,(N1620-MAX(N$470:N1620))/MAX(N$470:N1620))</f>
        <v>-0.62788758315546067</v>
      </c>
      <c r="X1620" s="564">
        <f>IF((O1620-MAX(O$470:O1620))/MAX(O$470:O1620)&gt;X1619,X1619,(O1620-MAX(O$470:O1620))/MAX(O$470:O1620))</f>
        <v>-0.62788758315546067</v>
      </c>
    </row>
    <row r="1621" spans="1:24">
      <c r="A1621" s="799">
        <v>42023</v>
      </c>
      <c r="B1621">
        <v>208.27699999999999</v>
      </c>
      <c r="C1621">
        <v>326.05579</v>
      </c>
      <c r="D1621">
        <v>0.69895099999999999</v>
      </c>
      <c r="E1621">
        <f>LN(D1621/参数实验室!$E$53)/参数实验室!$E$55</f>
        <v>-1.1155259866047549</v>
      </c>
      <c r="F1621">
        <f t="shared" si="198"/>
        <v>1.5654911007936547</v>
      </c>
      <c r="G1621">
        <f>LN(F1621/参数实验室!$E$58)/参数实验室!$E$59</f>
        <v>4.4709335542499368E-2</v>
      </c>
      <c r="H1621" s="856">
        <f>INDEX(神经网络!$G$10:$BO$70,MATCH(ROUND(G1621*2,1)/2,神经网络!$E$10:$E$70,0),MATCH(ROUND(E1621*2,1)/2,神经网络!$G$8:$BO$8,0))</f>
        <v>-0.19880162922596381</v>
      </c>
      <c r="I1621">
        <f t="shared" si="190"/>
        <v>976.19348946703462</v>
      </c>
      <c r="J1621">
        <f t="shared" si="191"/>
        <v>83.108016439886583</v>
      </c>
      <c r="K1621">
        <f t="shared" si="192"/>
        <v>11.74608095926741</v>
      </c>
      <c r="L1621" s="4">
        <f>MIN(MAX(L1620*(1+MAX(MIN(((B1621-B1620)/B1620)/($K$7*卓尔金历!$N$40),0),-卓尔金历!$M$43))+MIN(MAX(((B1621-B1620)/B1620)/($K$7*卓尔金历!$N$40),0),卓尔金历!$M$43),0),1)</f>
        <v>0.83720840037088962</v>
      </c>
      <c r="M1621" s="4">
        <f>MIN(MAX(M1620*(1+MAX(MIN(((B1621-B1620)/B1620)/($K$7*30),0),-卓尔金历!$M$43))+MIN(MAX(((B1621-B1620)/B1620)/($K$7*7),0),卓尔金历!$M$43),0),1)</f>
        <v>0.91860420018544486</v>
      </c>
      <c r="N1621">
        <f t="shared" si="193"/>
        <v>783.17763942907652</v>
      </c>
      <c r="O1621">
        <f t="shared" si="194"/>
        <v>2041.1712117455056</v>
      </c>
      <c r="P1621">
        <f t="shared" si="195"/>
        <v>-1.0654569637089223E-2</v>
      </c>
      <c r="Q1621">
        <f t="shared" si="196"/>
        <v>5.431729383180204E-2</v>
      </c>
      <c r="R1621">
        <f t="shared" si="197"/>
        <v>1</v>
      </c>
      <c r="S1621">
        <f t="shared" si="189"/>
        <v>16.072166493405579</v>
      </c>
      <c r="T1621" s="564">
        <f>IF((I1621-MAX(I$470:I1621))/MAX(I$470:I1621)&gt;T1620,T1620,(I1621-MAX(I$470:I1621))/MAX(I$470:I1621))</f>
        <v>-0.91338805338419748</v>
      </c>
      <c r="U1621" s="564">
        <f>IF((J1621-MAX(J$470:J1621))/MAX(J$470:J1621)&gt;U1620,U1620,(J1621-MAX(J$470:J1621))/MAX(J$470:J1621))</f>
        <v>-0.8283551177402233</v>
      </c>
      <c r="V1621" s="564">
        <f>IF((K1621-MAX(K$470:K1621))/MAX(K$470:K1621)&gt;V1620,V1620,(K1621-MAX(K$470:K1621))/MAX(K$470:K1621))</f>
        <v>-0.84885940676762139</v>
      </c>
      <c r="W1621" s="564">
        <f>IF((N1621-MAX(N$470:N1621))/MAX(N$470:N1621)&gt;W1620,W1620,(N1621-MAX(N$470:N1621))/MAX(N$470:N1621))</f>
        <v>-0.62788758315546067</v>
      </c>
      <c r="X1621" s="564">
        <f>IF((O1621-MAX(O$470:O1621))/MAX(O$470:O1621)&gt;X1620,X1620,(O1621-MAX(O$470:O1621))/MAX(O$470:O1621))</f>
        <v>-0.62788758315546067</v>
      </c>
    </row>
    <row r="1622" spans="1:24">
      <c r="A1622" s="799">
        <v>42024</v>
      </c>
      <c r="B1622">
        <v>209.398</v>
      </c>
      <c r="C1622">
        <v>329.314774</v>
      </c>
      <c r="D1622">
        <v>0.68366099999999996</v>
      </c>
      <c r="E1622">
        <f>LN(D1622/参数实验室!$E$53)/参数实验室!$E$55</f>
        <v>-1.1416203102476921</v>
      </c>
      <c r="F1622">
        <f t="shared" si="198"/>
        <v>1.5726739223870334</v>
      </c>
      <c r="G1622">
        <f>LN(F1622/参数实验室!$E$58)/参数实验室!$E$59</f>
        <v>4.7111974989184374E-2</v>
      </c>
      <c r="H1622" s="856">
        <f>INDEX(神经网络!$G$10:$BO$70,MATCH(ROUND(G1622*2,1)/2,神经网络!$E$10:$E$70,0),MATCH(ROUND(E1622*2,1)/2,神经网络!$G$8:$BO$8,0))</f>
        <v>-0.25291917163505034</v>
      </c>
      <c r="I1622">
        <f t="shared" si="190"/>
        <v>975.14896132547574</v>
      </c>
      <c r="J1622">
        <f t="shared" si="191"/>
        <v>83.555325006982869</v>
      </c>
      <c r="K1622">
        <f t="shared" si="192"/>
        <v>11.670697962625132</v>
      </c>
      <c r="L1622" s="4">
        <f>MIN(MAX(L1621*(1+MAX(MIN(((B1622-B1621)/B1621)/($K$7*卓尔金历!$N$40),0),-卓尔金历!$M$43))+MIN(MAX(((B1622-B1621)/B1621)/($K$7*卓尔金历!$N$40),0),卓尔金历!$M$43),0),1)</f>
        <v>0.9194440973358653</v>
      </c>
      <c r="M1622" s="4">
        <f>MIN(MAX(M1621*(1+MAX(MIN(((B1622-B1621)/B1621)/($K$7*30),0),-卓尔金历!$M$43))+MIN(MAX(((B1622-B1621)/B1621)/($K$7*7),0),卓尔金历!$M$43),0),1)</f>
        <v>1</v>
      </c>
      <c r="N1622">
        <f t="shared" si="193"/>
        <v>782.47605798335496</v>
      </c>
      <c r="O1622">
        <f t="shared" si="194"/>
        <v>2039.1649291778417</v>
      </c>
      <c r="P1622">
        <f t="shared" si="195"/>
        <v>5.3822553618498893E-3</v>
      </c>
      <c r="Q1622">
        <f t="shared" si="196"/>
        <v>5.4558771262698758E-2</v>
      </c>
      <c r="R1622">
        <f t="shared" si="197"/>
        <v>1</v>
      </c>
      <c r="S1622">
        <f t="shared" si="189"/>
        <v>16.054969257018204</v>
      </c>
      <c r="T1622" s="564">
        <f>IF((I1622-MAX(I$470:I1622))/MAX(I$470:I1622)&gt;T1621,T1621,(I1622-MAX(I$470:I1622))/MAX(I$470:I1622))</f>
        <v>-0.91338805338419748</v>
      </c>
      <c r="U1622" s="564">
        <f>IF((J1622-MAX(J$470:J1622))/MAX(J$470:J1622)&gt;U1621,U1621,(J1622-MAX(J$470:J1622))/MAX(J$470:J1622))</f>
        <v>-0.8283551177402233</v>
      </c>
      <c r="V1622" s="564">
        <f>IF((K1622-MAX(K$470:K1622))/MAX(K$470:K1622)&gt;V1621,V1621,(K1622-MAX(K$470:K1622))/MAX(K$470:K1622))</f>
        <v>-0.84885940676762139</v>
      </c>
      <c r="W1622" s="564">
        <f>IF((N1622-MAX(N$470:N1622))/MAX(N$470:N1622)&gt;W1621,W1621,(N1622-MAX(N$470:N1622))/MAX(N$470:N1622))</f>
        <v>-0.62788758315546067</v>
      </c>
      <c r="X1622" s="564">
        <f>IF((O1622-MAX(O$470:O1622))/MAX(O$470:O1622)&gt;X1621,X1621,(O1622-MAX(O$470:O1622))/MAX(O$470:O1622))</f>
        <v>-0.62788758315546067</v>
      </c>
    </row>
    <row r="1623" spans="1:24">
      <c r="A1623" s="799">
        <v>42025</v>
      </c>
      <c r="B1623">
        <v>213.69300000000001</v>
      </c>
      <c r="C1623">
        <v>332.89741099999998</v>
      </c>
      <c r="D1623">
        <v>0.73912699999999998</v>
      </c>
      <c r="E1623">
        <f>LN(D1623/参数实验室!$E$53)/参数实验室!$E$55</f>
        <v>-1.0495906155030652</v>
      </c>
      <c r="F1623">
        <f t="shared" si="198"/>
        <v>1.557830209693345</v>
      </c>
      <c r="G1623">
        <f>LN(F1623/参数实验室!$E$58)/参数实验室!$E$59</f>
        <v>4.2134603498376159E-2</v>
      </c>
      <c r="H1623" s="856">
        <f>INDEX(神经网络!$G$10:$BO$70,MATCH(ROUND(G1623*2,1)/2,神经网络!$E$10:$E$70,0),MATCH(ROUND(E1623*2,1)/2,神经网络!$G$8:$BO$8,0))</f>
        <v>-0.1390777721659314</v>
      </c>
      <c r="I1623">
        <f t="shared" si="190"/>
        <v>970.09020975671649</v>
      </c>
      <c r="J1623">
        <f t="shared" si="191"/>
        <v>85.269143290371403</v>
      </c>
      <c r="K1623">
        <f t="shared" si="192"/>
        <v>11.376802584414603</v>
      </c>
      <c r="L1623" s="4">
        <f>MIN(MAX(L1622*(1+MAX(MIN(((B1623-B1622)/B1622)/($K$7*卓尔金历!$N$40),0),-卓尔金历!$M$43))+MIN(MAX(((B1623-B1622)/B1622)/($K$7*卓尔金历!$N$40),0),卓尔金历!$M$43),0),1)</f>
        <v>1</v>
      </c>
      <c r="M1623" s="4">
        <f>MIN(MAX(M1622*(1+MAX(MIN(((B1623-B1622)/B1622)/($K$7*30),0),-卓尔金历!$M$43))+MIN(MAX(((B1623-B1622)/B1622)/($K$7*7),0),卓尔金历!$M$43),0),1)</f>
        <v>1</v>
      </c>
      <c r="N1623">
        <f t="shared" si="193"/>
        <v>778.74382474217794</v>
      </c>
      <c r="O1623">
        <f t="shared" si="194"/>
        <v>2028.5864132858535</v>
      </c>
      <c r="P1623">
        <f t="shared" si="195"/>
        <v>2.0511179667427656E-2</v>
      </c>
      <c r="Q1623">
        <f t="shared" si="196"/>
        <v>5.5148047045233503E-2</v>
      </c>
      <c r="R1623">
        <f t="shared" si="197"/>
        <v>1</v>
      </c>
      <c r="S1623">
        <f t="shared" ref="S1623:S1686" si="199">S1622*(1+(B1623-B1622)/B1622*H1622*R1622)</f>
        <v>15.971681365489378</v>
      </c>
      <c r="T1623" s="564">
        <f>IF((I1623-MAX(I$470:I1623))/MAX(I$470:I1623)&gt;T1622,T1622,(I1623-MAX(I$470:I1623))/MAX(I$470:I1623))</f>
        <v>-0.91338805338419748</v>
      </c>
      <c r="U1623" s="564">
        <f>IF((J1623-MAX(J$470:J1623))/MAX(J$470:J1623)&gt;U1622,U1622,(J1623-MAX(J$470:J1623))/MAX(J$470:J1623))</f>
        <v>-0.8283551177402233</v>
      </c>
      <c r="V1623" s="564">
        <f>IF((K1623-MAX(K$470:K1623))/MAX(K$470:K1623)&gt;V1622,V1622,(K1623-MAX(K$470:K1623))/MAX(K$470:K1623))</f>
        <v>-0.84885940676762139</v>
      </c>
      <c r="W1623" s="564">
        <f>IF((N1623-MAX(N$470:N1623))/MAX(N$470:N1623)&gt;W1622,W1622,(N1623-MAX(N$470:N1623))/MAX(N$470:N1623))</f>
        <v>-0.62788758315546067</v>
      </c>
      <c r="X1623" s="564">
        <f>IF((O1623-MAX(O$470:O1623))/MAX(O$470:O1623)&gt;X1622,X1622,(O1623-MAX(O$470:O1623))/MAX(O$470:O1623))</f>
        <v>-0.62788758315546067</v>
      </c>
    </row>
    <row r="1624" spans="1:24">
      <c r="A1624" s="799">
        <v>42026</v>
      </c>
      <c r="B1624">
        <v>230.92500000000001</v>
      </c>
      <c r="C1624">
        <v>336.50235800000002</v>
      </c>
      <c r="D1624">
        <v>0.75789200000000001</v>
      </c>
      <c r="E1624">
        <f>LN(D1624/参数实验室!$E$53)/参数实验室!$E$55</f>
        <v>-1.0200128623730924</v>
      </c>
      <c r="F1624">
        <f t="shared" si="198"/>
        <v>1.4571932792032045</v>
      </c>
      <c r="G1624">
        <f>LN(F1624/参数实验室!$E$58)/参数实验室!$E$59</f>
        <v>7.0839121457084361E-3</v>
      </c>
      <c r="H1624" s="856">
        <f>INDEX(神经网络!$G$10:$BO$70,MATCH(ROUND(G1624*2,1)/2,神经网络!$E$10:$E$70,0),MATCH(ROUND(E1624*2,1)/2,神经网络!$G$8:$BO$8,0))</f>
        <v>-0.19362289817399783</v>
      </c>
      <c r="I1624">
        <f t="shared" ref="I1624:I1687" si="200">I1623*(1+(B1624-B1623)/B1623*H1623)</f>
        <v>959.21055192749338</v>
      </c>
      <c r="J1624">
        <f t="shared" ref="J1624:J1687" si="201">J1623*B1624/B1623</f>
        <v>92.145165795458979</v>
      </c>
      <c r="K1624">
        <f t="shared" ref="K1624:K1687" si="202">I1624/J1624</f>
        <v>10.409776179216168</v>
      </c>
      <c r="L1624" s="4">
        <f>MIN(MAX(L1623*(1+MAX(MIN(((B1624-B1623)/B1623)/($K$7*卓尔金历!$N$40),0),-卓尔金历!$M$43))+MIN(MAX(((B1624-B1623)/B1623)/($K$7*卓尔金历!$N$40),0),卓尔金历!$M$43),0),1)</f>
        <v>1</v>
      </c>
      <c r="M1624" s="4">
        <f>MIN(MAX(M1623*(1+MAX(MIN(((B1624-B1623)/B1623)/($K$7*30),0),-卓尔金历!$M$43))+MIN(MAX(((B1624-B1623)/B1623)/($K$7*7),0),卓尔金历!$M$43),0),1)</f>
        <v>1</v>
      </c>
      <c r="N1624">
        <f t="shared" ref="N1624:N1687" si="203">N1623*(1+(B1624-B1623)/B1623*H1623*L1623)</f>
        <v>770.01013558151715</v>
      </c>
      <c r="O1624">
        <f t="shared" ref="O1624:O1687" si="204">O1623*(1+(B1624-B1623)/B1623*H1623*M1623)</f>
        <v>2005.8356156470484</v>
      </c>
      <c r="P1624">
        <f t="shared" ref="P1624:P1687" si="205">(B1624-B1623)/B1623</f>
        <v>8.0639047605677291E-2</v>
      </c>
      <c r="Q1624">
        <f t="shared" si="196"/>
        <v>5.8354199764537686E-2</v>
      </c>
      <c r="R1624">
        <f t="shared" si="197"/>
        <v>3.7310319557713668E-2</v>
      </c>
      <c r="S1624">
        <f t="shared" si="199"/>
        <v>15.792557376332244</v>
      </c>
      <c r="T1624" s="564">
        <f>IF((I1624-MAX(I$470:I1624))/MAX(I$470:I1624)&gt;T1623,T1623,(I1624-MAX(I$470:I1624))/MAX(I$470:I1624))</f>
        <v>-0.91338805338419748</v>
      </c>
      <c r="U1624" s="564">
        <f>IF((J1624-MAX(J$470:J1624))/MAX(J$470:J1624)&gt;U1623,U1623,(J1624-MAX(J$470:J1624))/MAX(J$470:J1624))</f>
        <v>-0.8283551177402233</v>
      </c>
      <c r="V1624" s="564">
        <f>IF((K1624-MAX(K$470:K1624))/MAX(K$470:K1624)&gt;V1623,V1623,(K1624-MAX(K$470:K1624))/MAX(K$470:K1624))</f>
        <v>-0.84885940676762139</v>
      </c>
      <c r="W1624" s="564">
        <f>IF((N1624-MAX(N$470:N1624))/MAX(N$470:N1624)&gt;W1623,W1623,(N1624-MAX(N$470:N1624))/MAX(N$470:N1624))</f>
        <v>-0.62788758315546067</v>
      </c>
      <c r="X1624" s="564">
        <f>IF((O1624-MAX(O$470:O1624))/MAX(O$470:O1624)&gt;X1623,X1623,(O1624-MAX(O$470:O1624))/MAX(O$470:O1624))</f>
        <v>-0.62788758315546067</v>
      </c>
    </row>
    <row r="1625" spans="1:24">
      <c r="A1625" s="799">
        <v>42027</v>
      </c>
      <c r="B1625">
        <v>226.64599999999999</v>
      </c>
      <c r="C1625">
        <v>343.33864599999998</v>
      </c>
      <c r="D1625">
        <v>0.75661400000000001</v>
      </c>
      <c r="E1625">
        <f>LN(D1625/参数实验室!$E$53)/参数实验室!$E$55</f>
        <v>-1.0220039076428538</v>
      </c>
      <c r="F1625">
        <f t="shared" si="198"/>
        <v>1.5148674408549014</v>
      </c>
      <c r="G1625">
        <f>LN(F1625/参数实验室!$E$58)/参数实验室!$E$59</f>
        <v>2.7456522468251823E-2</v>
      </c>
      <c r="H1625" s="856">
        <f>INDEX(神经网络!$G$10:$BO$70,MATCH(ROUND(G1625*2,1)/2,神经网络!$E$10:$E$70,0),MATCH(ROUND(E1625*2,1)/2,神经网络!$G$8:$BO$8,0))</f>
        <v>-9.3012473748848107E-2</v>
      </c>
      <c r="I1625">
        <f t="shared" si="200"/>
        <v>962.65200615952813</v>
      </c>
      <c r="J1625">
        <f t="shared" si="201"/>
        <v>90.43773193408073</v>
      </c>
      <c r="K1625">
        <f t="shared" si="202"/>
        <v>10.644362541745261</v>
      </c>
      <c r="L1625" s="4">
        <f>MIN(MAX(L1624*(1+MAX(MIN(((B1625-B1624)/B1624)/($K$7*卓尔金历!$N$40),0),-卓尔金历!$M$43))+MIN(MAX(((B1625-B1624)/B1624)/($K$7*卓尔金历!$N$40),0),卓尔金历!$M$43),0),1)</f>
        <v>0.71688204503245545</v>
      </c>
      <c r="M1625" s="4">
        <f>MIN(MAX(M1624*(1+MAX(MIN(((B1625-B1624)/B1624)/($K$7*30),0),-卓尔金历!$M$43))+MIN(MAX(((B1625-B1624)/B1624)/($K$7*7),0),卓尔金历!$M$43),0),1)</f>
        <v>0.85844102251622778</v>
      </c>
      <c r="N1625">
        <f t="shared" si="203"/>
        <v>772.77277683320233</v>
      </c>
      <c r="O1625">
        <f t="shared" si="204"/>
        <v>2013.0321497702012</v>
      </c>
      <c r="P1625">
        <f t="shared" si="205"/>
        <v>-1.8529825700985273E-2</v>
      </c>
      <c r="Q1625">
        <f t="shared" si="196"/>
        <v>5.8364691075045577E-2</v>
      </c>
      <c r="R1625">
        <f t="shared" si="197"/>
        <v>1</v>
      </c>
      <c r="S1625">
        <f t="shared" si="199"/>
        <v>15.794671398235765</v>
      </c>
      <c r="T1625" s="564">
        <f>IF((I1625-MAX(I$470:I1625))/MAX(I$470:I1625)&gt;T1624,T1624,(I1625-MAX(I$470:I1625))/MAX(I$470:I1625))</f>
        <v>-0.91338805338419748</v>
      </c>
      <c r="U1625" s="564">
        <f>IF((J1625-MAX(J$470:J1625))/MAX(J$470:J1625)&gt;U1624,U1624,(J1625-MAX(J$470:J1625))/MAX(J$470:J1625))</f>
        <v>-0.8283551177402233</v>
      </c>
      <c r="V1625" s="564">
        <f>IF((K1625-MAX(K$470:K1625))/MAX(K$470:K1625)&gt;V1624,V1624,(K1625-MAX(K$470:K1625))/MAX(K$470:K1625))</f>
        <v>-0.84885940676762139</v>
      </c>
      <c r="W1625" s="564">
        <f>IF((N1625-MAX(N$470:N1625))/MAX(N$470:N1625)&gt;W1624,W1624,(N1625-MAX(N$470:N1625))/MAX(N$470:N1625))</f>
        <v>-0.62788758315546067</v>
      </c>
      <c r="X1625" s="564">
        <f>IF((O1625-MAX(O$470:O1625))/MAX(O$470:O1625)&gt;X1624,X1624,(O1625-MAX(O$470:O1625))/MAX(O$470:O1625))</f>
        <v>-0.62788758315546067</v>
      </c>
    </row>
    <row r="1626" spans="1:24">
      <c r="A1626" s="799">
        <v>42028</v>
      </c>
      <c r="B1626">
        <v>232.92599999999999</v>
      </c>
      <c r="C1626">
        <v>351.07238599999999</v>
      </c>
      <c r="D1626">
        <v>0.80814699999999995</v>
      </c>
      <c r="E1626">
        <f>LN(D1626/参数实验室!$E$53)/参数实验室!$E$55</f>
        <v>-0.94426907355305933</v>
      </c>
      <c r="F1626">
        <f t="shared" si="198"/>
        <v>1.5072271279290419</v>
      </c>
      <c r="G1626">
        <f>LN(F1626/参数实验室!$E$58)/参数实验室!$E$59</f>
        <v>2.4802695738621049E-2</v>
      </c>
      <c r="H1626" s="856">
        <f>INDEX(神经网络!$G$10:$BO$70,MATCH(ROUND(G1626*2,1)/2,神经网络!$E$10:$E$70,0),MATCH(ROUND(E1626*2,1)/2,神经网络!$G$8:$BO$8,0))</f>
        <v>-0.18770289180533153</v>
      </c>
      <c r="I1626">
        <f t="shared" si="200"/>
        <v>960.17103280389972</v>
      </c>
      <c r="J1626">
        <f t="shared" si="201"/>
        <v>92.943617573121472</v>
      </c>
      <c r="K1626">
        <f t="shared" si="202"/>
        <v>10.330682814755999</v>
      </c>
      <c r="L1626" s="4">
        <f>MIN(MAX(L1625*(1+MAX(MIN(((B1626-B1625)/B1625)/($K$7*卓尔金历!$N$40),0),-卓尔金历!$M$43))+MIN(MAX(((B1626-B1625)/B1625)/($K$7*卓尔金历!$N$40),0),卓尔金历!$M$43),0),1)</f>
        <v>1</v>
      </c>
      <c r="M1626" s="4">
        <f>MIN(MAX(M1625*(1+MAX(MIN(((B1626-B1625)/B1625)/($K$7*30),0),-卓尔金历!$M$43))+MIN(MAX(((B1626-B1625)/B1625)/($K$7*7),0),卓尔金历!$M$43),0),1)</f>
        <v>1</v>
      </c>
      <c r="N1626">
        <f t="shared" si="203"/>
        <v>771.34502640996243</v>
      </c>
      <c r="O1626">
        <f t="shared" si="204"/>
        <v>2008.5785216121556</v>
      </c>
      <c r="P1626">
        <f t="shared" si="205"/>
        <v>2.770840870785278E-2</v>
      </c>
      <c r="Q1626">
        <f t="shared" si="196"/>
        <v>5.8921484698872095E-2</v>
      </c>
      <c r="R1626">
        <f t="shared" si="197"/>
        <v>0.85686895057981483</v>
      </c>
      <c r="S1626">
        <f t="shared" si="199"/>
        <v>15.753964934582029</v>
      </c>
      <c r="T1626" s="564">
        <f>IF((I1626-MAX(I$470:I1626))/MAX(I$470:I1626)&gt;T1625,T1625,(I1626-MAX(I$470:I1626))/MAX(I$470:I1626))</f>
        <v>-0.91338805338419748</v>
      </c>
      <c r="U1626" s="564">
        <f>IF((J1626-MAX(J$470:J1626))/MAX(J$470:J1626)&gt;U1625,U1625,(J1626-MAX(J$470:J1626))/MAX(J$470:J1626))</f>
        <v>-0.8283551177402233</v>
      </c>
      <c r="V1626" s="564">
        <f>IF((K1626-MAX(K$470:K1626))/MAX(K$470:K1626)&gt;V1625,V1625,(K1626-MAX(K$470:K1626))/MAX(K$470:K1626))</f>
        <v>-0.84885940676762139</v>
      </c>
      <c r="W1626" s="564">
        <f>IF((N1626-MAX(N$470:N1626))/MAX(N$470:N1626)&gt;W1625,W1625,(N1626-MAX(N$470:N1626))/MAX(N$470:N1626))</f>
        <v>-0.62788758315546067</v>
      </c>
      <c r="X1626" s="564">
        <f>IF((O1626-MAX(O$470:O1626))/MAX(O$470:O1626)&gt;X1625,X1625,(O1626-MAX(O$470:O1626))/MAX(O$470:O1626))</f>
        <v>-0.62788758315546067</v>
      </c>
    </row>
    <row r="1627" spans="1:24">
      <c r="A1627" s="799">
        <v>42029</v>
      </c>
      <c r="B1627">
        <v>246.34800000000001</v>
      </c>
      <c r="C1627">
        <v>357.81560999999999</v>
      </c>
      <c r="D1627">
        <v>0.82582900000000004</v>
      </c>
      <c r="E1627">
        <f>LN(D1627/参数实验室!$E$53)/参数实验室!$E$55</f>
        <v>-0.91873478027677746</v>
      </c>
      <c r="F1627">
        <f t="shared" si="198"/>
        <v>1.4524802718106093</v>
      </c>
      <c r="G1627">
        <f>LN(F1627/参数实验室!$E$58)/参数实验室!$E$59</f>
        <v>5.3836230204556378E-3</v>
      </c>
      <c r="H1627" s="856">
        <f>INDEX(神经网络!$G$10:$BO$70,MATCH(ROUND(G1627*2,1)/2,神经网络!$E$10:$E$70,0),MATCH(ROUND(E1627*2,1)/2,神经网络!$G$8:$BO$8,0))</f>
        <v>-0.1929019821248841</v>
      </c>
      <c r="I1627">
        <f t="shared" si="200"/>
        <v>949.78573800448817</v>
      </c>
      <c r="J1627">
        <f t="shared" si="201"/>
        <v>98.299349587007598</v>
      </c>
      <c r="K1627">
        <f t="shared" si="202"/>
        <v>9.6621772371322283</v>
      </c>
      <c r="L1627" s="4">
        <f>MIN(MAX(L1626*(1+MAX(MIN(((B1627-B1626)/B1626)/($K$7*卓尔金历!$N$40),0),-卓尔金历!$M$43))+MIN(MAX(((B1627-B1626)/B1626)/($K$7*卓尔金历!$N$40),0),卓尔金历!$M$43),0),1)</f>
        <v>1</v>
      </c>
      <c r="M1627" s="4">
        <f>MIN(MAX(M1626*(1+MAX(MIN(((B1627-B1626)/B1626)/($K$7*30),0),-卓尔金历!$M$43))+MIN(MAX(((B1627-B1626)/B1626)/($K$7*7),0),卓尔金历!$M$43),0),1)</f>
        <v>1</v>
      </c>
      <c r="N1627">
        <f t="shared" si="203"/>
        <v>763.00209039372521</v>
      </c>
      <c r="O1627">
        <f t="shared" si="204"/>
        <v>1986.8535587023771</v>
      </c>
      <c r="P1627">
        <f t="shared" si="205"/>
        <v>5.7623451224852643E-2</v>
      </c>
      <c r="Q1627">
        <f t="shared" si="196"/>
        <v>5.6749017782090565E-2</v>
      </c>
      <c r="R1627">
        <f t="shared" si="197"/>
        <v>5.8020500028369774E-2</v>
      </c>
      <c r="S1627">
        <f t="shared" si="199"/>
        <v>15.607957654783668</v>
      </c>
      <c r="T1627" s="564">
        <f>IF((I1627-MAX(I$470:I1627))/MAX(I$470:I1627)&gt;T1626,T1626,(I1627-MAX(I$470:I1627))/MAX(I$470:I1627))</f>
        <v>-0.91338805338419748</v>
      </c>
      <c r="U1627" s="564">
        <f>IF((J1627-MAX(J$470:J1627))/MAX(J$470:J1627)&gt;U1626,U1626,(J1627-MAX(J$470:J1627))/MAX(J$470:J1627))</f>
        <v>-0.8283551177402233</v>
      </c>
      <c r="V1627" s="564">
        <f>IF((K1627-MAX(K$470:K1627))/MAX(K$470:K1627)&gt;V1626,V1626,(K1627-MAX(K$470:K1627))/MAX(K$470:K1627))</f>
        <v>-0.84885940676762139</v>
      </c>
      <c r="W1627" s="564">
        <f>IF((N1627-MAX(N$470:N1627))/MAX(N$470:N1627)&gt;W1626,W1626,(N1627-MAX(N$470:N1627))/MAX(N$470:N1627))</f>
        <v>-0.62788758315546067</v>
      </c>
      <c r="X1627" s="564">
        <f>IF((O1627-MAX(O$470:O1627))/MAX(O$470:O1627)&gt;X1626,X1626,(O1627-MAX(O$470:O1627))/MAX(O$470:O1627))</f>
        <v>-0.62788758315546067</v>
      </c>
    </row>
    <row r="1628" spans="1:24">
      <c r="A1628" s="799">
        <v>42030</v>
      </c>
      <c r="B1628">
        <v>299.41300000000001</v>
      </c>
      <c r="C1628">
        <v>364.23522600000001</v>
      </c>
      <c r="D1628">
        <v>0.89147200000000004</v>
      </c>
      <c r="E1628">
        <f>LN(D1628/参数实验室!$E$53)/参数实验室!$E$55</f>
        <v>-0.82849982117995402</v>
      </c>
      <c r="F1628">
        <f t="shared" si="198"/>
        <v>1.2164977005006463</v>
      </c>
      <c r="G1628">
        <f>LN(F1628/参数实验室!$E$58)/参数实验室!$E$59</f>
        <v>-8.7671232390259687E-2</v>
      </c>
      <c r="H1628" s="856">
        <f>INDEX(神经网络!$G$10:$BO$70,MATCH(ROUND(G1628*2,1)/2,神经网络!$E$10:$E$70,0),MATCH(ROUND(E1628*2,1)/2,神经网络!$G$8:$BO$8,0))</f>
        <v>-0.42466935445445991</v>
      </c>
      <c r="I1628">
        <f t="shared" si="200"/>
        <v>910.31988791453341</v>
      </c>
      <c r="J1628">
        <f t="shared" si="201"/>
        <v>119.47368421052619</v>
      </c>
      <c r="K1628">
        <f t="shared" si="202"/>
        <v>7.619417564042358</v>
      </c>
      <c r="L1628" s="4">
        <f>MIN(MAX(L1627*(1+MAX(MIN(((B1628-B1627)/B1627)/($K$7*卓尔金历!$N$40),0),-卓尔金历!$M$43))+MIN(MAX(((B1628-B1627)/B1627)/($K$7*卓尔金历!$N$40),0),卓尔金历!$M$43),0),1)</f>
        <v>1</v>
      </c>
      <c r="M1628" s="4">
        <f>MIN(MAX(M1627*(1+MAX(MIN(((B1628-B1627)/B1627)/($K$7*30),0),-卓尔金历!$M$43))+MIN(MAX(((B1628-B1627)/B1627)/($K$7*7),0),卓尔金历!$M$43),0),1)</f>
        <v>1</v>
      </c>
      <c r="N1628">
        <f t="shared" si="203"/>
        <v>731.29754387035064</v>
      </c>
      <c r="O1628">
        <f t="shared" si="204"/>
        <v>1904.2950809732972</v>
      </c>
      <c r="P1628">
        <f t="shared" si="205"/>
        <v>0.21540666049653334</v>
      </c>
      <c r="Q1628">
        <f t="shared" si="196"/>
        <v>7.2517299407704267E-2</v>
      </c>
      <c r="R1628">
        <f t="shared" si="197"/>
        <v>0</v>
      </c>
      <c r="S1628">
        <f t="shared" si="199"/>
        <v>15.570328595311393</v>
      </c>
      <c r="T1628" s="564">
        <f>IF((I1628-MAX(I$470:I1628))/MAX(I$470:I1628)&gt;T1627,T1627,(I1628-MAX(I$470:I1628))/MAX(I$470:I1628))</f>
        <v>-0.91338805338419748</v>
      </c>
      <c r="U1628" s="564">
        <f>IF((J1628-MAX(J$470:J1628))/MAX(J$470:J1628)&gt;U1627,U1627,(J1628-MAX(J$470:J1628))/MAX(J$470:J1628))</f>
        <v>-0.8283551177402233</v>
      </c>
      <c r="V1628" s="564">
        <f>IF((K1628-MAX(K$470:K1628))/MAX(K$470:K1628)&gt;V1627,V1627,(K1628-MAX(K$470:K1628))/MAX(K$470:K1628))</f>
        <v>-0.84885940676762139</v>
      </c>
      <c r="W1628" s="564">
        <f>IF((N1628-MAX(N$470:N1628))/MAX(N$470:N1628)&gt;W1627,W1627,(N1628-MAX(N$470:N1628))/MAX(N$470:N1628))</f>
        <v>-0.62788758315546067</v>
      </c>
      <c r="X1628" s="564">
        <f>IF((O1628-MAX(O$470:O1628))/MAX(O$470:O1628)&gt;X1627,X1627,(O1628-MAX(O$470:O1628))/MAX(O$470:O1628))</f>
        <v>-0.62788758315546067</v>
      </c>
    </row>
    <row r="1629" spans="1:24">
      <c r="A1629" s="799">
        <v>42031</v>
      </c>
      <c r="B1629">
        <v>258.22300000000001</v>
      </c>
      <c r="C1629">
        <v>369.58244400000001</v>
      </c>
      <c r="D1629">
        <v>0.86202299999999998</v>
      </c>
      <c r="E1629">
        <f>LN(D1629/参数实验室!$E$53)/参数实验室!$E$55</f>
        <v>-0.86813018255347707</v>
      </c>
      <c r="F1629">
        <f t="shared" si="198"/>
        <v>1.4312530022499932</v>
      </c>
      <c r="G1629">
        <f>LN(F1629/参数实验室!$E$58)/参数实验室!$E$59</f>
        <v>-2.3434574191583358E-3</v>
      </c>
      <c r="H1629" s="856">
        <f>INDEX(神经网络!$G$10:$BO$70,MATCH(ROUND(G1629*2,1)/2,神经网络!$E$10:$E$70,0),MATCH(ROUND(E1629*2,1)/2,神经网络!$G$8:$BO$8,0))</f>
        <v>-0.22003120115745864</v>
      </c>
      <c r="I1629">
        <f t="shared" si="200"/>
        <v>963.50206259397169</v>
      </c>
      <c r="J1629">
        <f t="shared" si="201"/>
        <v>103.03778779777332</v>
      </c>
      <c r="K1629">
        <f t="shared" si="202"/>
        <v>9.3509583540844741</v>
      </c>
      <c r="L1629" s="4">
        <f>MIN(MAX(L1628*(1+MAX(MIN(((B1629-B1628)/B1628)/($K$7*卓尔金历!$N$40),0),-卓尔金历!$M$43))+MIN(MAX(((B1629-B1628)/B1628)/($K$7*卓尔金历!$N$40),0),卓尔金历!$M$43),0),1)</f>
        <v>0</v>
      </c>
      <c r="M1629" s="4">
        <f>MIN(MAX(M1628*(1+MAX(MIN(((B1629-B1628)/B1628)/($K$7*30),0),-卓尔金历!$M$43))+MIN(MAX(((B1629-B1628)/B1628)/($K$7*7),0),卓尔金历!$M$43),0),1)</f>
        <v>0</v>
      </c>
      <c r="N1629">
        <f t="shared" si="203"/>
        <v>774.02098014488422</v>
      </c>
      <c r="O1629">
        <f t="shared" si="204"/>
        <v>2015.5466915137727</v>
      </c>
      <c r="P1629">
        <f t="shared" si="205"/>
        <v>-0.13756917702304175</v>
      </c>
      <c r="Q1629">
        <f t="shared" si="196"/>
        <v>7.8666304880420507E-2</v>
      </c>
      <c r="R1629">
        <f t="shared" si="197"/>
        <v>3.1986512095297757E-2</v>
      </c>
      <c r="S1629">
        <f t="shared" si="199"/>
        <v>15.570328595311393</v>
      </c>
      <c r="T1629" s="564">
        <f>IF((I1629-MAX(I$470:I1629))/MAX(I$470:I1629)&gt;T1628,T1628,(I1629-MAX(I$470:I1629))/MAX(I$470:I1629))</f>
        <v>-0.91338805338419748</v>
      </c>
      <c r="U1629" s="564">
        <f>IF((J1629-MAX(J$470:J1629))/MAX(J$470:J1629)&gt;U1628,U1628,(J1629-MAX(J$470:J1629))/MAX(J$470:J1629))</f>
        <v>-0.8283551177402233</v>
      </c>
      <c r="V1629" s="564">
        <f>IF((K1629-MAX(K$470:K1629))/MAX(K$470:K1629)&gt;V1628,V1628,(K1629-MAX(K$470:K1629))/MAX(K$470:K1629))</f>
        <v>-0.84885940676762139</v>
      </c>
      <c r="W1629" s="564">
        <f>IF((N1629-MAX(N$470:N1629))/MAX(N$470:N1629)&gt;W1628,W1628,(N1629-MAX(N$470:N1629))/MAX(N$470:N1629))</f>
        <v>-0.62788758315546067</v>
      </c>
      <c r="X1629" s="564">
        <f>IF((O1629-MAX(O$470:O1629))/MAX(O$470:O1629)&gt;X1628,X1628,(O1629-MAX(O$470:O1629))/MAX(O$470:O1629))</f>
        <v>-0.62788758315546067</v>
      </c>
    </row>
    <row r="1630" spans="1:24">
      <c r="A1630" s="799">
        <v>42032</v>
      </c>
      <c r="B1630">
        <v>262.19099999999997</v>
      </c>
      <c r="C1630">
        <v>369.93856899999997</v>
      </c>
      <c r="D1630">
        <v>0.76846800000000004</v>
      </c>
      <c r="E1630">
        <f>LN(D1630/参数实验室!$E$53)/参数实验室!$E$55</f>
        <v>-1.003663809741417</v>
      </c>
      <c r="F1630">
        <f t="shared" si="198"/>
        <v>1.4109506771780878</v>
      </c>
      <c r="G1630">
        <f>LN(F1630/参数实验室!$E$58)/参数实验室!$E$59</f>
        <v>-9.8418212531956126E-3</v>
      </c>
      <c r="H1630" s="856">
        <f>INDEX(神经网络!$G$10:$BO$70,MATCH(ROUND(G1630*2,1)/2,神经网络!$E$10:$E$70,0),MATCH(ROUND(E1630*2,1)/2,神经网络!$G$8:$BO$8,0))</f>
        <v>-0.19362289817399783</v>
      </c>
      <c r="I1630">
        <f t="shared" si="200"/>
        <v>960.24434330450424</v>
      </c>
      <c r="J1630">
        <f t="shared" si="201"/>
        <v>104.62112445632643</v>
      </c>
      <c r="K1630">
        <f t="shared" si="202"/>
        <v>9.1783026448483014</v>
      </c>
      <c r="L1630" s="4">
        <f>MIN(MAX(L1629*(1+MAX(MIN(((B1630-B1629)/B1629)/($K$7*卓尔金历!$N$40),0),-卓尔金历!$M$43))+MIN(MAX(((B1630-B1629)/B1629)/($K$7*卓尔金历!$N$40),0),卓尔金历!$M$43),0),1)</f>
        <v>0.23478633659764336</v>
      </c>
      <c r="M1630" s="4">
        <f>MIN(MAX(M1629*(1+MAX(MIN(((B1630-B1629)/B1629)/($K$7*30),0),-卓尔金历!$M$43))+MIN(MAX(((B1630-B1629)/B1629)/($K$7*7),0),卓尔金历!$M$43),0),1)</f>
        <v>0.50311357842352145</v>
      </c>
      <c r="N1630">
        <f t="shared" si="203"/>
        <v>774.02098014488422</v>
      </c>
      <c r="O1630">
        <f t="shared" si="204"/>
        <v>2015.5466915137727</v>
      </c>
      <c r="P1630">
        <f t="shared" si="205"/>
        <v>1.5366563009491643E-2</v>
      </c>
      <c r="Q1630">
        <f t="shared" si="196"/>
        <v>7.8403906714156479E-2</v>
      </c>
      <c r="R1630">
        <f t="shared" si="197"/>
        <v>1</v>
      </c>
      <c r="S1630">
        <f t="shared" si="199"/>
        <v>15.568644658950884</v>
      </c>
      <c r="T1630" s="564">
        <f>IF((I1630-MAX(I$470:I1630))/MAX(I$470:I1630)&gt;T1629,T1629,(I1630-MAX(I$470:I1630))/MAX(I$470:I1630))</f>
        <v>-0.91338805338419748</v>
      </c>
      <c r="U1630" s="564">
        <f>IF((J1630-MAX(J$470:J1630))/MAX(J$470:J1630)&gt;U1629,U1629,(J1630-MAX(J$470:J1630))/MAX(J$470:J1630))</f>
        <v>-0.8283551177402233</v>
      </c>
      <c r="V1630" s="564">
        <f>IF((K1630-MAX(K$470:K1630))/MAX(K$470:K1630)&gt;V1629,V1629,(K1630-MAX(K$470:K1630))/MAX(K$470:K1630))</f>
        <v>-0.84885940676762139</v>
      </c>
      <c r="W1630" s="564">
        <f>IF((N1630-MAX(N$470:N1630))/MAX(N$470:N1630)&gt;W1629,W1629,(N1630-MAX(N$470:N1630))/MAX(N$470:N1630))</f>
        <v>-0.62788758315546067</v>
      </c>
      <c r="X1630" s="564">
        <f>IF((O1630-MAX(O$470:O1630))/MAX(O$470:O1630)&gt;X1629,X1629,(O1630-MAX(O$470:O1630))/MAX(O$470:O1630))</f>
        <v>-0.62788758315546067</v>
      </c>
    </row>
    <row r="1631" spans="1:24">
      <c r="A1631" s="799">
        <v>42033</v>
      </c>
      <c r="B1631">
        <v>230.43299999999999</v>
      </c>
      <c r="C1631">
        <v>368.01645100000002</v>
      </c>
      <c r="D1631">
        <v>0.763571</v>
      </c>
      <c r="E1631">
        <f>LN(D1631/参数实验室!$E$53)/参数实验室!$E$55</f>
        <v>-1.0112057473958995</v>
      </c>
      <c r="F1631">
        <f t="shared" si="198"/>
        <v>1.597064877860376</v>
      </c>
      <c r="G1631">
        <f>LN(F1631/参数实验室!$E$58)/参数实验室!$E$59</f>
        <v>5.5189577014050799E-2</v>
      </c>
      <c r="H1631" s="856">
        <f>INDEX(神经网络!$G$10:$BO$70,MATCH(ROUND(G1631*2,1)/2,神经网络!$E$10:$E$70,0),MATCH(ROUND(E1631*2,1)/2,神经网络!$G$8:$BO$8,0))</f>
        <v>-9.3012473748848107E-2</v>
      </c>
      <c r="I1631">
        <f t="shared" si="200"/>
        <v>982.7646260211153</v>
      </c>
      <c r="J1631">
        <f t="shared" si="201"/>
        <v>91.948844818642399</v>
      </c>
      <c r="K1631">
        <f t="shared" si="202"/>
        <v>10.688167186433889</v>
      </c>
      <c r="L1631" s="4">
        <f>MIN(MAX(L1630*(1+MAX(MIN(((B1631-B1630)/B1630)/($K$7*卓尔金历!$N$40),0),-卓尔金历!$M$43))+MIN(MAX(((B1631-B1630)/B1630)/($K$7*卓尔金历!$N$40),0),卓尔金历!$M$43),0),1)</f>
        <v>0</v>
      </c>
      <c r="M1631" s="4">
        <f>MIN(MAX(M1630*(1+MAX(MIN(((B1631-B1630)/B1630)/($K$7*30),0),-卓尔金历!$M$43))+MIN(MAX(((B1631-B1630)/B1630)/($K$7*7),0),卓尔金历!$M$43),0),1)</f>
        <v>3.756234055721093E-2</v>
      </c>
      <c r="N1631">
        <f t="shared" si="203"/>
        <v>778.28302123995559</v>
      </c>
      <c r="O1631">
        <f t="shared" si="204"/>
        <v>2039.3288343255838</v>
      </c>
      <c r="P1631">
        <f t="shared" si="205"/>
        <v>-0.12112543908829816</v>
      </c>
      <c r="Q1631">
        <f t="shared" si="196"/>
        <v>8.1938664647240742E-2</v>
      </c>
      <c r="R1631">
        <f t="shared" si="197"/>
        <v>4.7759291303281402E-2</v>
      </c>
      <c r="S1631">
        <f t="shared" si="199"/>
        <v>15.933770766361702</v>
      </c>
      <c r="T1631" s="564">
        <f>IF((I1631-MAX(I$470:I1631))/MAX(I$470:I1631)&gt;T1630,T1630,(I1631-MAX(I$470:I1631))/MAX(I$470:I1631))</f>
        <v>-0.91338805338419748</v>
      </c>
      <c r="U1631" s="564">
        <f>IF((J1631-MAX(J$470:J1631))/MAX(J$470:J1631)&gt;U1630,U1630,(J1631-MAX(J$470:J1631))/MAX(J$470:J1631))</f>
        <v>-0.8283551177402233</v>
      </c>
      <c r="V1631" s="564">
        <f>IF((K1631-MAX(K$470:K1631))/MAX(K$470:K1631)&gt;V1630,V1630,(K1631-MAX(K$470:K1631))/MAX(K$470:K1631))</f>
        <v>-0.84885940676762139</v>
      </c>
      <c r="W1631" s="564">
        <f>IF((N1631-MAX(N$470:N1631))/MAX(N$470:N1631)&gt;W1630,W1630,(N1631-MAX(N$470:N1631))/MAX(N$470:N1631))</f>
        <v>-0.62788758315546067</v>
      </c>
      <c r="X1631" s="564">
        <f>IF((O1631-MAX(O$470:O1631))/MAX(O$470:O1631)&gt;X1630,X1630,(O1631-MAX(O$470:O1631))/MAX(O$470:O1631))</f>
        <v>-0.62788758315546067</v>
      </c>
    </row>
    <row r="1632" spans="1:24">
      <c r="A1632" s="799">
        <v>42034</v>
      </c>
      <c r="B1632">
        <v>232.815</v>
      </c>
      <c r="C1632">
        <v>371.86994099999998</v>
      </c>
      <c r="D1632">
        <v>0.74804499999999996</v>
      </c>
      <c r="E1632">
        <f>LN(D1632/参数实验室!$E$53)/参数实验室!$E$55</f>
        <v>-1.0354413906083222</v>
      </c>
      <c r="F1632">
        <f t="shared" si="198"/>
        <v>1.597276554345725</v>
      </c>
      <c r="G1632">
        <f>LN(F1632/参数实验室!$E$58)/参数实验室!$E$59</f>
        <v>5.5259137054316475E-2</v>
      </c>
      <c r="H1632" s="856">
        <f>INDEX(神经网络!$G$10:$BO$70,MATCH(ROUND(G1632*2,1)/2,神经网络!$E$10:$E$70,0),MATCH(ROUND(E1632*2,1)/2,神经网络!$G$8:$BO$8,0))</f>
        <v>-0.1390777721659314</v>
      </c>
      <c r="I1632">
        <f t="shared" si="200"/>
        <v>981.81972178904709</v>
      </c>
      <c r="J1632">
        <f t="shared" si="201"/>
        <v>92.899325645425051</v>
      </c>
      <c r="K1632">
        <f t="shared" si="202"/>
        <v>10.568642075362558</v>
      </c>
      <c r="L1632" s="4">
        <f>MIN(MAX(L1631*(1+MAX(MIN(((B1632-B1631)/B1631)/($K$7*卓尔金历!$N$40),0),-卓尔金历!$M$43))+MIN(MAX(((B1632-B1631)/B1631)/($K$7*卓尔金历!$N$40),0),卓尔金历!$M$43),0),1)</f>
        <v>0.15794037384228188</v>
      </c>
      <c r="M1632" s="4">
        <f>MIN(MAX(M1631*(1+MAX(MIN(((B1632-B1631)/B1631)/($K$7*30),0),-卓尔金历!$M$43))+MIN(MAX(((B1632-B1631)/B1631)/($K$7*7),0),卓尔金历!$M$43),0),1)</f>
        <v>0.37600599879067209</v>
      </c>
      <c r="N1632">
        <f t="shared" si="203"/>
        <v>778.28302123995559</v>
      </c>
      <c r="O1632">
        <f t="shared" si="204"/>
        <v>2039.2551834042697</v>
      </c>
      <c r="P1632">
        <f t="shared" si="205"/>
        <v>1.0337061098019837E-2</v>
      </c>
      <c r="Q1632">
        <f t="shared" si="196"/>
        <v>8.1741440386298395E-2</v>
      </c>
      <c r="R1632">
        <f t="shared" si="197"/>
        <v>1</v>
      </c>
      <c r="S1632">
        <f t="shared" si="199"/>
        <v>15.933039097257465</v>
      </c>
      <c r="T1632" s="564">
        <f>IF((I1632-MAX(I$470:I1632))/MAX(I$470:I1632)&gt;T1631,T1631,(I1632-MAX(I$470:I1632))/MAX(I$470:I1632))</f>
        <v>-0.91338805338419748</v>
      </c>
      <c r="U1632" s="564">
        <f>IF((J1632-MAX(J$470:J1632))/MAX(J$470:J1632)&gt;U1631,U1631,(J1632-MAX(J$470:J1632))/MAX(J$470:J1632))</f>
        <v>-0.8283551177402233</v>
      </c>
      <c r="V1632" s="564">
        <f>IF((K1632-MAX(K$470:K1632))/MAX(K$470:K1632)&gt;V1631,V1631,(K1632-MAX(K$470:K1632))/MAX(K$470:K1632))</f>
        <v>-0.84885940676762139</v>
      </c>
      <c r="W1632" s="564">
        <f>IF((N1632-MAX(N$470:N1632))/MAX(N$470:N1632)&gt;W1631,W1631,(N1632-MAX(N$470:N1632))/MAX(N$470:N1632))</f>
        <v>-0.62788758315546067</v>
      </c>
      <c r="X1632" s="564">
        <f>IF((O1632-MAX(O$470:O1632))/MAX(O$470:O1632)&gt;X1631,X1631,(O1632-MAX(O$470:O1632))/MAX(O$470:O1632))</f>
        <v>-0.62788758315546067</v>
      </c>
    </row>
    <row r="1633" spans="1:24">
      <c r="A1633" s="799">
        <v>42035</v>
      </c>
      <c r="B1633">
        <v>232.02500000000001</v>
      </c>
      <c r="C1633">
        <v>371.97659800000002</v>
      </c>
      <c r="D1633">
        <v>0.71163600000000005</v>
      </c>
      <c r="E1633">
        <f>LN(D1633/参数实验室!$E$53)/参数实验室!$E$55</f>
        <v>-1.0943070567200335</v>
      </c>
      <c r="F1633">
        <f t="shared" si="198"/>
        <v>1.6031746492834824</v>
      </c>
      <c r="G1633">
        <f>LN(F1633/参数实验室!$E$58)/参数实验室!$E$59</f>
        <v>5.7193640836527469E-2</v>
      </c>
      <c r="H1633" s="856">
        <f>INDEX(神经网络!$G$10:$BO$70,MATCH(ROUND(G1633*2,1)/2,神经网络!$E$10:$E$70,0),MATCH(ROUND(E1633*2,1)/2,神经网络!$G$8:$BO$8,0))</f>
        <v>-0.19880162922596381</v>
      </c>
      <c r="I1633">
        <f t="shared" si="200"/>
        <v>982.28306799382017</v>
      </c>
      <c r="J1633">
        <f t="shared" si="201"/>
        <v>92.584094808666748</v>
      </c>
      <c r="K1633">
        <f t="shared" si="202"/>
        <v>10.609630844518115</v>
      </c>
      <c r="L1633" s="4">
        <f>MIN(MAX(L1632*(1+MAX(MIN(((B1633-B1632)/B1632)/($K$7*卓尔金历!$N$40),0),-卓尔金历!$M$43))+MIN(MAX(((B1633-B1632)/B1632)/($K$7*卓尔金历!$N$40),0),卓尔金历!$M$43),0),1)</f>
        <v>0.14975185460969614</v>
      </c>
      <c r="M1633" s="4">
        <f>MIN(MAX(M1632*(1+MAX(MIN(((B1633-B1632)/B1632)/($K$7*30),0),-卓尔金历!$M$43))+MIN(MAX(((B1633-B1632)/B1632)/($K$7*7),0),卓尔金历!$M$43),0),1)</f>
        <v>0.36625886359729959</v>
      </c>
      <c r="N1633">
        <f t="shared" si="203"/>
        <v>778.34103146848588</v>
      </c>
      <c r="O1633">
        <f t="shared" si="204"/>
        <v>2039.6170430945795</v>
      </c>
      <c r="P1633">
        <f t="shared" si="205"/>
        <v>-3.3932521529969808E-3</v>
      </c>
      <c r="Q1633">
        <f t="shared" si="196"/>
        <v>8.1708099922544103E-2</v>
      </c>
      <c r="R1633">
        <f t="shared" si="197"/>
        <v>1</v>
      </c>
      <c r="S1633">
        <f t="shared" si="199"/>
        <v>15.940558311867212</v>
      </c>
      <c r="T1633" s="564">
        <f>IF((I1633-MAX(I$470:I1633))/MAX(I$470:I1633)&gt;T1632,T1632,(I1633-MAX(I$470:I1633))/MAX(I$470:I1633))</f>
        <v>-0.91338805338419748</v>
      </c>
      <c r="U1633" s="564">
        <f>IF((J1633-MAX(J$470:J1633))/MAX(J$470:J1633)&gt;U1632,U1632,(J1633-MAX(J$470:J1633))/MAX(J$470:J1633))</f>
        <v>-0.8283551177402233</v>
      </c>
      <c r="V1633" s="564">
        <f>IF((K1633-MAX(K$470:K1633))/MAX(K$470:K1633)&gt;V1632,V1632,(K1633-MAX(K$470:K1633))/MAX(K$470:K1633))</f>
        <v>-0.84885940676762139</v>
      </c>
      <c r="W1633" s="564">
        <f>IF((N1633-MAX(N$470:N1633))/MAX(N$470:N1633)&gt;W1632,W1632,(N1633-MAX(N$470:N1633))/MAX(N$470:N1633))</f>
        <v>-0.62788758315546067</v>
      </c>
      <c r="X1633" s="564">
        <f>IF((O1633-MAX(O$470:O1633))/MAX(O$470:O1633)&gt;X1632,X1632,(O1633-MAX(O$470:O1633))/MAX(O$470:O1633))</f>
        <v>-0.62788758315546067</v>
      </c>
    </row>
    <row r="1634" spans="1:24">
      <c r="A1634" s="799">
        <v>42036</v>
      </c>
      <c r="B1634">
        <v>212.72499999999999</v>
      </c>
      <c r="C1634">
        <v>374.88497899999999</v>
      </c>
      <c r="D1634">
        <v>0.74387300000000001</v>
      </c>
      <c r="E1634">
        <f>LN(D1634/参数实验室!$E$53)/参数实验室!$E$55</f>
        <v>-1.0420395325484375</v>
      </c>
      <c r="F1634">
        <f t="shared" si="198"/>
        <v>1.7622986437889294</v>
      </c>
      <c r="G1634">
        <f>LN(F1634/参数实验室!$E$58)/参数实验室!$E$59</f>
        <v>0.10686225075532962</v>
      </c>
      <c r="H1634" s="856">
        <f>INDEX(神经网络!$G$10:$BO$70,MATCH(ROUND(G1634*2,1)/2,神经网络!$E$10:$E$70,0),MATCH(ROUND(E1634*2,1)/2,神经网络!$G$8:$BO$8,0))</f>
        <v>-9.700328458672082E-2</v>
      </c>
      <c r="I1634">
        <f t="shared" si="200"/>
        <v>998.52654974608924</v>
      </c>
      <c r="J1634">
        <f t="shared" si="201"/>
        <v>84.882885758748557</v>
      </c>
      <c r="K1634">
        <f t="shared" si="202"/>
        <v>11.763579204694686</v>
      </c>
      <c r="L1634" s="4">
        <f>MIN(MAX(L1633*(1+MAX(MIN(((B1634-B1633)/B1633)/($K$7*卓尔金历!$N$40),0),-卓尔金历!$M$43))+MIN(MAX(((B1634-B1633)/B1633)/($K$7*卓尔金历!$N$40),0),卓尔金历!$M$43),0),1)</f>
        <v>0</v>
      </c>
      <c r="M1634" s="4">
        <f>MIN(MAX(M1633*(1+MAX(MIN(((B1634-B1633)/B1633)/($K$7*30),0),-卓尔金历!$M$43))+MIN(MAX(((B1634-B1633)/B1633)/($K$7*7),0),卓尔金历!$M$43),0),1)</f>
        <v>0.13351579605249778</v>
      </c>
      <c r="N1634">
        <f t="shared" si="203"/>
        <v>780.26848804249369</v>
      </c>
      <c r="O1634">
        <f t="shared" si="204"/>
        <v>2051.9702365518606</v>
      </c>
      <c r="P1634">
        <f t="shared" si="205"/>
        <v>-8.3180691735804377E-2</v>
      </c>
      <c r="Q1634">
        <f t="shared" si="196"/>
        <v>8.3379323948592932E-2</v>
      </c>
      <c r="R1634">
        <f t="shared" si="197"/>
        <v>8.4288096981915347E-2</v>
      </c>
      <c r="S1634">
        <f t="shared" si="199"/>
        <v>16.204158669540714</v>
      </c>
      <c r="T1634" s="564">
        <f>IF((I1634-MAX(I$470:I1634))/MAX(I$470:I1634)&gt;T1633,T1633,(I1634-MAX(I$470:I1634))/MAX(I$470:I1634))</f>
        <v>-0.91338805338419748</v>
      </c>
      <c r="U1634" s="564">
        <f>IF((J1634-MAX(J$470:J1634))/MAX(J$470:J1634)&gt;U1633,U1633,(J1634-MAX(J$470:J1634))/MAX(J$470:J1634))</f>
        <v>-0.8283551177402233</v>
      </c>
      <c r="V1634" s="564">
        <f>IF((K1634-MAX(K$470:K1634))/MAX(K$470:K1634)&gt;V1633,V1633,(K1634-MAX(K$470:K1634))/MAX(K$470:K1634))</f>
        <v>-0.84885940676762139</v>
      </c>
      <c r="W1634" s="564">
        <f>IF((N1634-MAX(N$470:N1634))/MAX(N$470:N1634)&gt;W1633,W1633,(N1634-MAX(N$470:N1634))/MAX(N$470:N1634))</f>
        <v>-0.62788758315546067</v>
      </c>
      <c r="X1634" s="564">
        <f>IF((O1634-MAX(O$470:O1634))/MAX(O$470:O1634)&gt;X1633,X1633,(O1634-MAX(O$470:O1634))/MAX(O$470:O1634))</f>
        <v>-0.62788758315546067</v>
      </c>
    </row>
    <row r="1635" spans="1:24">
      <c r="A1635" s="799">
        <v>42037</v>
      </c>
      <c r="B1635">
        <v>224.714</v>
      </c>
      <c r="C1635">
        <v>376.01100500000001</v>
      </c>
      <c r="D1635">
        <v>0.78676000000000001</v>
      </c>
      <c r="E1635">
        <f>LN(D1635/参数实验室!$E$53)/参数实验室!$E$55</f>
        <v>-0.97591091239358652</v>
      </c>
      <c r="F1635">
        <f t="shared" si="198"/>
        <v>1.6732869558638981</v>
      </c>
      <c r="G1635">
        <f>LN(F1635/参数实验室!$E$58)/参数实验室!$E$59</f>
        <v>7.9659550936876503E-2</v>
      </c>
      <c r="H1635" s="856">
        <f>INDEX(神经网络!$G$10:$BO$70,MATCH(ROUND(G1635*2,1)/2,神经网络!$E$10:$E$70,0),MATCH(ROUND(E1635*2,1)/2,神经网络!$G$8:$BO$8,0))</f>
        <v>-4.1170039005268881E-2</v>
      </c>
      <c r="I1635">
        <f t="shared" si="200"/>
        <v>993.06758254917679</v>
      </c>
      <c r="J1635">
        <f t="shared" si="201"/>
        <v>89.666812976337638</v>
      </c>
      <c r="K1635">
        <f t="shared" si="202"/>
        <v>11.075085079819214</v>
      </c>
      <c r="L1635" s="4">
        <f>MIN(MAX(L1634*(1+MAX(MIN(((B1635-B1634)/B1634)/($K$7*卓尔金历!$N$40),0),-卓尔金历!$M$43))+MIN(MAX(((B1635-B1634)/B1634)/($K$7*卓尔金历!$N$40),0),卓尔金历!$M$43),0),1)</f>
        <v>0.86111371497174105</v>
      </c>
      <c r="M1635" s="4">
        <f>MIN(MAX(M1634*(1+MAX(MIN(((B1635-B1634)/B1634)/($K$7*30),0),-卓尔金历!$M$43))+MIN(MAX(((B1635-B1634)/B1634)/($K$7*7),0),卓尔金历!$M$43),0),1)</f>
        <v>1</v>
      </c>
      <c r="N1635">
        <f t="shared" si="203"/>
        <v>780.26848804249369</v>
      </c>
      <c r="O1635">
        <f t="shared" si="204"/>
        <v>2050.4724339715176</v>
      </c>
      <c r="P1635">
        <f t="shared" si="205"/>
        <v>5.6359149136208743E-2</v>
      </c>
      <c r="Q1635">
        <f t="shared" si="196"/>
        <v>8.4419319244105187E-2</v>
      </c>
      <c r="R1635">
        <f t="shared" si="197"/>
        <v>0.52112056683617713</v>
      </c>
      <c r="S1635">
        <f t="shared" si="199"/>
        <v>16.196691713344876</v>
      </c>
      <c r="T1635" s="564">
        <f>IF((I1635-MAX(I$470:I1635))/MAX(I$470:I1635)&gt;T1634,T1634,(I1635-MAX(I$470:I1635))/MAX(I$470:I1635))</f>
        <v>-0.91338805338419748</v>
      </c>
      <c r="U1635" s="564">
        <f>IF((J1635-MAX(J$470:J1635))/MAX(J$470:J1635)&gt;U1634,U1634,(J1635-MAX(J$470:J1635))/MAX(J$470:J1635))</f>
        <v>-0.8283551177402233</v>
      </c>
      <c r="V1635" s="564">
        <f>IF((K1635-MAX(K$470:K1635))/MAX(K$470:K1635)&gt;V1634,V1634,(K1635-MAX(K$470:K1635))/MAX(K$470:K1635))</f>
        <v>-0.84885940676762139</v>
      </c>
      <c r="W1635" s="564">
        <f>IF((N1635-MAX(N$470:N1635))/MAX(N$470:N1635)&gt;W1634,W1634,(N1635-MAX(N$470:N1635))/MAX(N$470:N1635))</f>
        <v>-0.62788758315546067</v>
      </c>
      <c r="X1635" s="564">
        <f>IF((O1635-MAX(O$470:O1635))/MAX(O$470:O1635)&gt;X1634,X1634,(O1635-MAX(O$470:O1635))/MAX(O$470:O1635))</f>
        <v>-0.62788758315546067</v>
      </c>
    </row>
    <row r="1636" spans="1:24">
      <c r="A1636" s="799">
        <v>42038</v>
      </c>
      <c r="B1636">
        <v>239.54499999999999</v>
      </c>
      <c r="C1636">
        <v>388.20649600000002</v>
      </c>
      <c r="D1636">
        <v>0.74694300000000002</v>
      </c>
      <c r="E1636">
        <f>LN(D1636/参数实验室!$E$53)/参数实验室!$E$55</f>
        <v>-1.0371806531446495</v>
      </c>
      <c r="F1636">
        <f t="shared" si="198"/>
        <v>1.6205994531298922</v>
      </c>
      <c r="G1636">
        <f>LN(F1636/参数实验室!$E$58)/参数实验室!$E$59</f>
        <v>6.2867467551166789E-2</v>
      </c>
      <c r="H1636" s="856">
        <f>INDEX(神经网络!$G$10:$BO$70,MATCH(ROUND(G1636*2,1)/2,神经网络!$E$10:$E$70,0),MATCH(ROUND(E1636*2,1)/2,神经网络!$G$8:$BO$8,0))</f>
        <v>-0.1390777721659314</v>
      </c>
      <c r="I1636">
        <f t="shared" si="200"/>
        <v>990.36921945667279</v>
      </c>
      <c r="J1636">
        <f t="shared" si="201"/>
        <v>95.584773153505338</v>
      </c>
      <c r="K1636">
        <f t="shared" si="202"/>
        <v>10.361160954644724</v>
      </c>
      <c r="L1636" s="4">
        <f>MIN(MAX(L1635*(1+MAX(MIN(((B1636-B1635)/B1635)/($K$7*卓尔金历!$N$40),0),-卓尔金历!$M$43))+MIN(MAX(((B1636-B1635)/B1635)/($K$7*卓尔金历!$N$40),0),卓尔金历!$M$43),0),1)</f>
        <v>1</v>
      </c>
      <c r="M1636" s="4">
        <f>MIN(MAX(M1635*(1+MAX(MIN(((B1636-B1635)/B1635)/($K$7*30),0),-卓尔金历!$M$43))+MIN(MAX(((B1636-B1635)/B1635)/($K$7*7),0),卓尔金历!$M$43),0),1)</f>
        <v>1</v>
      </c>
      <c r="N1636">
        <f t="shared" si="203"/>
        <v>778.44280174057462</v>
      </c>
      <c r="O1636">
        <f t="shared" si="204"/>
        <v>2044.9008905687788</v>
      </c>
      <c r="P1636">
        <f t="shared" si="205"/>
        <v>6.5999448187473803E-2</v>
      </c>
      <c r="Q1636">
        <f t="shared" si="196"/>
        <v>8.3588398677206466E-2</v>
      </c>
      <c r="R1636">
        <f t="shared" si="197"/>
        <v>0.34062244640832806</v>
      </c>
      <c r="S1636">
        <f t="shared" si="199"/>
        <v>16.173757380427279</v>
      </c>
      <c r="T1636" s="564">
        <f>IF((I1636-MAX(I$470:I1636))/MAX(I$470:I1636)&gt;T1635,T1635,(I1636-MAX(I$470:I1636))/MAX(I$470:I1636))</f>
        <v>-0.91338805338419748</v>
      </c>
      <c r="U1636" s="564">
        <f>IF((J1636-MAX(J$470:J1636))/MAX(J$470:J1636)&gt;U1635,U1635,(J1636-MAX(J$470:J1636))/MAX(J$470:J1636))</f>
        <v>-0.8283551177402233</v>
      </c>
      <c r="V1636" s="564">
        <f>IF((K1636-MAX(K$470:K1636))/MAX(K$470:K1636)&gt;V1635,V1635,(K1636-MAX(K$470:K1636))/MAX(K$470:K1636))</f>
        <v>-0.84885940676762139</v>
      </c>
      <c r="W1636" s="564">
        <f>IF((N1636-MAX(N$470:N1636))/MAX(N$470:N1636)&gt;W1635,W1635,(N1636-MAX(N$470:N1636))/MAX(N$470:N1636))</f>
        <v>-0.62788758315546067</v>
      </c>
      <c r="X1636" s="564">
        <f>IF((O1636-MAX(O$470:O1636))/MAX(O$470:O1636)&gt;X1635,X1635,(O1636-MAX(O$470:O1636))/MAX(O$470:O1636))</f>
        <v>-0.62788758315546067</v>
      </c>
    </row>
    <row r="1637" spans="1:24">
      <c r="A1637" s="799">
        <v>42039</v>
      </c>
      <c r="B1637">
        <v>223.529</v>
      </c>
      <c r="C1637">
        <v>387.75775499999997</v>
      </c>
      <c r="D1637">
        <v>0.74438800000000005</v>
      </c>
      <c r="E1637">
        <f>LN(D1637/参数实验室!$E$53)/参数实验室!$E$55</f>
        <v>-1.0412230454606255</v>
      </c>
      <c r="F1637">
        <f t="shared" si="198"/>
        <v>1.7347089415691028</v>
      </c>
      <c r="G1637">
        <f>LN(F1637/参数实验室!$E$58)/参数实验室!$E$59</f>
        <v>9.8580388700190924E-2</v>
      </c>
      <c r="H1637" s="856">
        <f>INDEX(神经网络!$G$10:$BO$70,MATCH(ROUND(G1637*2,1)/2,神经网络!$E$10:$E$70,0),MATCH(ROUND(E1637*2,1)/2,神经网络!$G$8:$BO$8,0))</f>
        <v>-9.700328458672082E-2</v>
      </c>
      <c r="I1637">
        <f t="shared" si="200"/>
        <v>999.57841742838821</v>
      </c>
      <c r="J1637">
        <f t="shared" si="201"/>
        <v>89.193966721200169</v>
      </c>
      <c r="K1637">
        <f t="shared" si="202"/>
        <v>11.206794071092729</v>
      </c>
      <c r="L1637" s="4">
        <f>MIN(MAX(L1636*(1+MAX(MIN(((B1637-B1636)/B1636)/($K$7*卓尔金历!$N$40),0),-卓尔金历!$M$43))+MIN(MAX(((B1637-B1636)/B1636)/($K$7*卓尔金历!$N$40),0),卓尔金历!$M$43),0),1)</f>
        <v>0</v>
      </c>
      <c r="M1637" s="4">
        <f>MIN(MAX(M1636*(1+MAX(MIN(((B1637-B1636)/B1636)/($K$7*30),0),-卓尔金历!$M$43))+MIN(MAX(((B1637-B1636)/B1636)/($K$7*7),0),卓尔金历!$M$43),0),1)</f>
        <v>0.48922100107588806</v>
      </c>
      <c r="N1637">
        <f t="shared" si="203"/>
        <v>785.68134846642965</v>
      </c>
      <c r="O1637">
        <f t="shared" si="204"/>
        <v>2063.915917251571</v>
      </c>
      <c r="P1637">
        <f t="shared" si="205"/>
        <v>-6.686008891857477E-2</v>
      </c>
      <c r="Q1637">
        <f t="shared" si="196"/>
        <v>7.8029049323296934E-2</v>
      </c>
      <c r="R1637">
        <f t="shared" si="197"/>
        <v>0.25098002237975819</v>
      </c>
      <c r="S1637">
        <f t="shared" si="199"/>
        <v>16.224985552892161</v>
      </c>
      <c r="T1637" s="564">
        <f>IF((I1637-MAX(I$470:I1637))/MAX(I$470:I1637)&gt;T1636,T1636,(I1637-MAX(I$470:I1637))/MAX(I$470:I1637))</f>
        <v>-0.91338805338419748</v>
      </c>
      <c r="U1637" s="564">
        <f>IF((J1637-MAX(J$470:J1637))/MAX(J$470:J1637)&gt;U1636,U1636,(J1637-MAX(J$470:J1637))/MAX(J$470:J1637))</f>
        <v>-0.8283551177402233</v>
      </c>
      <c r="V1637" s="564">
        <f>IF((K1637-MAX(K$470:K1637))/MAX(K$470:K1637)&gt;V1636,V1636,(K1637-MAX(K$470:K1637))/MAX(K$470:K1637))</f>
        <v>-0.84885940676762139</v>
      </c>
      <c r="W1637" s="564">
        <f>IF((N1637-MAX(N$470:N1637))/MAX(N$470:N1637)&gt;W1636,W1636,(N1637-MAX(N$470:N1637))/MAX(N$470:N1637))</f>
        <v>-0.62788758315546067</v>
      </c>
      <c r="X1637" s="564">
        <f>IF((O1637-MAX(O$470:O1637))/MAX(O$470:O1637)&gt;X1636,X1636,(O1637-MAX(O$470:O1637))/MAX(O$470:O1637))</f>
        <v>-0.62788758315546067</v>
      </c>
    </row>
    <row r="1638" spans="1:24">
      <c r="A1638" s="799">
        <v>42040</v>
      </c>
      <c r="B1638">
        <v>225.92400000000001</v>
      </c>
      <c r="C1638">
        <v>387.84916299999998</v>
      </c>
      <c r="D1638">
        <v>0.71333899999999995</v>
      </c>
      <c r="E1638">
        <f>LN(D1638/参数实验室!$E$53)/参数实验室!$E$55</f>
        <v>-1.0914871886788156</v>
      </c>
      <c r="F1638">
        <f t="shared" si="198"/>
        <v>1.7167240443689027</v>
      </c>
      <c r="G1638">
        <f>LN(F1638/参数实验室!$E$58)/参数实验室!$E$59</f>
        <v>9.3110468533087326E-2</v>
      </c>
      <c r="H1638" s="856">
        <f>INDEX(神经网络!$G$10:$BO$70,MATCH(ROUND(G1638*2,1)/2,神经网络!$E$10:$E$70,0),MATCH(ROUND(E1638*2,1)/2,神经网络!$G$8:$BO$8,0))</f>
        <v>-0.14833418391889461</v>
      </c>
      <c r="I1638">
        <f t="shared" si="200"/>
        <v>998.53951454190076</v>
      </c>
      <c r="J1638">
        <f t="shared" si="201"/>
        <v>90.149634890866182</v>
      </c>
      <c r="K1638">
        <f t="shared" si="202"/>
        <v>11.076467650154301</v>
      </c>
      <c r="L1638" s="4">
        <f>MIN(MAX(L1637*(1+MAX(MIN(((B1638-B1637)/B1637)/($K$7*卓尔金历!$N$40),0),-卓尔金历!$M$43))+MIN(MAX(((B1638-B1637)/B1637)/($K$7*卓尔金历!$N$40),0),卓尔金历!$M$43),0),1)</f>
        <v>0.16370717754936434</v>
      </c>
      <c r="M1638" s="4">
        <f>MIN(MAX(M1637*(1+MAX(MIN(((B1638-B1637)/B1637)/($K$7*30),0),-卓尔金历!$M$43))+MIN(MAX(((B1638-B1637)/B1637)/($K$7*7),0),卓尔金历!$M$43),0),1)</f>
        <v>0.84002209582452592</v>
      </c>
      <c r="N1638">
        <f t="shared" si="203"/>
        <v>785.68134846642965</v>
      </c>
      <c r="O1638">
        <f t="shared" si="204"/>
        <v>2062.8664831444144</v>
      </c>
      <c r="P1638">
        <f t="shared" si="205"/>
        <v>1.0714493421435297E-2</v>
      </c>
      <c r="Q1638">
        <f t="shared" si="196"/>
        <v>7.7900471527842366E-2</v>
      </c>
      <c r="R1638">
        <f t="shared" si="197"/>
        <v>1</v>
      </c>
      <c r="S1638">
        <f t="shared" si="199"/>
        <v>16.220753203088343</v>
      </c>
      <c r="T1638" s="564">
        <f>IF((I1638-MAX(I$470:I1638))/MAX(I$470:I1638)&gt;T1637,T1637,(I1638-MAX(I$470:I1638))/MAX(I$470:I1638))</f>
        <v>-0.91338805338419748</v>
      </c>
      <c r="U1638" s="564">
        <f>IF((J1638-MAX(J$470:J1638))/MAX(J$470:J1638)&gt;U1637,U1637,(J1638-MAX(J$470:J1638))/MAX(J$470:J1638))</f>
        <v>-0.8283551177402233</v>
      </c>
      <c r="V1638" s="564">
        <f>IF((K1638-MAX(K$470:K1638))/MAX(K$470:K1638)&gt;V1637,V1637,(K1638-MAX(K$470:K1638))/MAX(K$470:K1638))</f>
        <v>-0.84885940676762139</v>
      </c>
      <c r="W1638" s="564">
        <f>IF((N1638-MAX(N$470:N1638))/MAX(N$470:N1638)&gt;W1637,W1637,(N1638-MAX(N$470:N1638))/MAX(N$470:N1638))</f>
        <v>-0.62788758315546067</v>
      </c>
      <c r="X1638" s="564">
        <f>IF((O1638-MAX(O$470:O1638))/MAX(O$470:O1638)&gt;X1637,X1637,(O1638-MAX(O$470:O1638))/MAX(O$470:O1638))</f>
        <v>-0.62788758315546067</v>
      </c>
    </row>
    <row r="1639" spans="1:24">
      <c r="A1639" s="799">
        <v>42041</v>
      </c>
      <c r="B1639">
        <v>218.892</v>
      </c>
      <c r="C1639">
        <v>378.42611199999999</v>
      </c>
      <c r="D1639">
        <v>0.73237399999999997</v>
      </c>
      <c r="E1639">
        <f>LN(D1639/参数实验室!$E$53)/参数实验室!$E$55</f>
        <v>-1.0604189188294082</v>
      </c>
      <c r="F1639">
        <f t="shared" si="198"/>
        <v>1.7288256857262942</v>
      </c>
      <c r="G1639">
        <f>LN(F1639/参数实验室!$E$58)/参数实验室!$E$59</f>
        <v>9.6797323757758458E-2</v>
      </c>
      <c r="H1639" s="856">
        <f>INDEX(神经网络!$G$10:$BO$70,MATCH(ROUND(G1639*2,1)/2,神经网络!$E$10:$E$70,0),MATCH(ROUND(E1639*2,1)/2,神经网络!$G$8:$BO$8,0))</f>
        <v>-9.700328458672082E-2</v>
      </c>
      <c r="I1639">
        <f t="shared" si="200"/>
        <v>1003.149748821616</v>
      </c>
      <c r="J1639">
        <f t="shared" si="201"/>
        <v>87.343681417341571</v>
      </c>
      <c r="K1639">
        <f t="shared" si="202"/>
        <v>11.48508664328461</v>
      </c>
      <c r="L1639" s="4">
        <f>MIN(MAX(L1638*(1+MAX(MIN(((B1639-B1638)/B1638)/($K$7*卓尔金历!$N$40),0),-卓尔金历!$M$43))+MIN(MAX(((B1639-B1638)/B1638)/($K$7*卓尔金历!$N$40),0),卓尔金历!$M$43),0),1)</f>
        <v>8.5853291911296273E-2</v>
      </c>
      <c r="M1639" s="4">
        <f>MIN(MAX(M1638*(1+MAX(MIN(((B1639-B1638)/B1638)/($K$7*30),0),-卓尔金历!$M$43))+MIN(MAX(((B1639-B1638)/B1638)/($K$7*7),0),卓尔金历!$M$43),0),1)</f>
        <v>0.64027830584301315</v>
      </c>
      <c r="N1639">
        <f t="shared" si="203"/>
        <v>786.27519182587923</v>
      </c>
      <c r="O1639">
        <f t="shared" si="204"/>
        <v>2070.8670280928964</v>
      </c>
      <c r="P1639">
        <f t="shared" si="205"/>
        <v>-3.1125511233866303E-2</v>
      </c>
      <c r="Q1639">
        <f t="shared" si="196"/>
        <v>7.7249757078329567E-2</v>
      </c>
      <c r="R1639">
        <f t="shared" si="197"/>
        <v>1</v>
      </c>
      <c r="S1639">
        <f t="shared" si="199"/>
        <v>16.295644052544596</v>
      </c>
      <c r="T1639" s="564">
        <f>IF((I1639-MAX(I$470:I1639))/MAX(I$470:I1639)&gt;T1638,T1638,(I1639-MAX(I$470:I1639))/MAX(I$470:I1639))</f>
        <v>-0.91338805338419748</v>
      </c>
      <c r="U1639" s="564">
        <f>IF((J1639-MAX(J$470:J1639))/MAX(J$470:J1639)&gt;U1638,U1638,(J1639-MAX(J$470:J1639))/MAX(J$470:J1639))</f>
        <v>-0.8283551177402233</v>
      </c>
      <c r="V1639" s="564">
        <f>IF((K1639-MAX(K$470:K1639))/MAX(K$470:K1639)&gt;V1638,V1638,(K1639-MAX(K$470:K1639))/MAX(K$470:K1639))</f>
        <v>-0.84885940676762139</v>
      </c>
      <c r="W1639" s="564">
        <f>IF((N1639-MAX(N$470:N1639))/MAX(N$470:N1639)&gt;W1638,W1638,(N1639-MAX(N$470:N1639))/MAX(N$470:N1639))</f>
        <v>-0.62788758315546067</v>
      </c>
      <c r="X1639" s="564">
        <f>IF((O1639-MAX(O$470:O1639))/MAX(O$470:O1639)&gt;X1638,X1638,(O1639-MAX(O$470:O1639))/MAX(O$470:O1639))</f>
        <v>-0.62788758315546067</v>
      </c>
    </row>
    <row r="1640" spans="1:24">
      <c r="A1640" s="799">
        <v>42042</v>
      </c>
      <c r="B1640">
        <v>228.917</v>
      </c>
      <c r="C1640">
        <v>375.66034000000002</v>
      </c>
      <c r="D1640">
        <v>0.75214599999999998</v>
      </c>
      <c r="E1640">
        <f>LN(D1640/参数实验室!$E$53)/参数实验室!$E$55</f>
        <v>-1.0289913051122443</v>
      </c>
      <c r="F1640">
        <f t="shared" si="198"/>
        <v>1.6410329508074979</v>
      </c>
      <c r="G1640">
        <f>LN(F1640/参数实验室!$E$58)/参数实验室!$E$59</f>
        <v>6.9443772205533286E-2</v>
      </c>
      <c r="H1640" s="856">
        <f>INDEX(神经网络!$G$10:$BO$70,MATCH(ROUND(G1640*2,1)/2,神经网络!$E$10:$E$70,0),MATCH(ROUND(E1640*2,1)/2,神经网络!$G$8:$BO$8,0))</f>
        <v>-0.1390777721659314</v>
      </c>
      <c r="I1640">
        <f t="shared" si="200"/>
        <v>998.69311757792218</v>
      </c>
      <c r="J1640">
        <f t="shared" si="201"/>
        <v>91.343920833166948</v>
      </c>
      <c r="K1640">
        <f t="shared" si="202"/>
        <v>10.933328769650284</v>
      </c>
      <c r="L1640" s="4">
        <f>MIN(MAX(L1639*(1+MAX(MIN(((B1640-B1639)/B1639)/($K$7*卓尔金历!$N$40),0),-卓尔金历!$M$43))+MIN(MAX(((B1640-B1639)/B1639)/($K$7*卓尔金历!$N$40),0),卓尔金历!$M$43),0),1)</f>
        <v>0.78561563922034572</v>
      </c>
      <c r="M1640" s="4">
        <f>MIN(MAX(M1639*(1+MAX(MIN(((B1640-B1639)/B1639)/($K$7*30),0),-卓尔金历!$M$43))+MIN(MAX(((B1640-B1639)/B1639)/($K$7*7),0),卓尔金历!$M$43),0),1)</f>
        <v>1</v>
      </c>
      <c r="N1640">
        <f t="shared" si="203"/>
        <v>785.97529459390796</v>
      </c>
      <c r="O1640">
        <f t="shared" si="204"/>
        <v>2064.9763955486264</v>
      </c>
      <c r="P1640">
        <f t="shared" si="205"/>
        <v>4.5798841437786696E-2</v>
      </c>
      <c r="Q1640">
        <f t="shared" si="196"/>
        <v>7.4465329924557719E-2</v>
      </c>
      <c r="R1640">
        <f t="shared" si="197"/>
        <v>0.60087377358121175</v>
      </c>
      <c r="S1640">
        <f t="shared" si="199"/>
        <v>16.223248404231875</v>
      </c>
      <c r="T1640" s="564">
        <f>IF((I1640-MAX(I$470:I1640))/MAX(I$470:I1640)&gt;T1639,T1639,(I1640-MAX(I$470:I1640))/MAX(I$470:I1640))</f>
        <v>-0.91338805338419748</v>
      </c>
      <c r="U1640" s="564">
        <f>IF((J1640-MAX(J$470:J1640))/MAX(J$470:J1640)&gt;U1639,U1639,(J1640-MAX(J$470:J1640))/MAX(J$470:J1640))</f>
        <v>-0.8283551177402233</v>
      </c>
      <c r="V1640" s="564">
        <f>IF((K1640-MAX(K$470:K1640))/MAX(K$470:K1640)&gt;V1639,V1639,(K1640-MAX(K$470:K1640))/MAX(K$470:K1640))</f>
        <v>-0.84885940676762139</v>
      </c>
      <c r="W1640" s="564">
        <f>IF((N1640-MAX(N$470:N1640))/MAX(N$470:N1640)&gt;W1639,W1639,(N1640-MAX(N$470:N1640))/MAX(N$470:N1640))</f>
        <v>-0.62788758315546067</v>
      </c>
      <c r="X1640" s="564">
        <f>IF((O1640-MAX(O$470:O1640))/MAX(O$470:O1640)&gt;X1639,X1639,(O1640-MAX(O$470:O1640))/MAX(O$470:O1640))</f>
        <v>-0.62788758315546067</v>
      </c>
    </row>
    <row r="1641" spans="1:24">
      <c r="A1641" s="799">
        <v>42043</v>
      </c>
      <c r="B1641">
        <v>227.45699999999999</v>
      </c>
      <c r="C1641">
        <v>378.02728400000001</v>
      </c>
      <c r="D1641">
        <v>0.73731100000000005</v>
      </c>
      <c r="E1641">
        <f>LN(D1641/参数实验室!$E$53)/参数实验室!$E$55</f>
        <v>-1.0524927799982362</v>
      </c>
      <c r="F1641">
        <f t="shared" si="198"/>
        <v>1.6619725222789363</v>
      </c>
      <c r="G1641">
        <f>LN(F1641/参数实验室!$E$58)/参数实验室!$E$59</f>
        <v>7.6098539248601549E-2</v>
      </c>
      <c r="H1641" s="856">
        <f>INDEX(神经网络!$G$10:$BO$70,MATCH(ROUND(G1641*2,1)/2,神经网络!$E$10:$E$70,0),MATCH(ROUND(E1641*2,1)/2,神经网络!$G$8:$BO$8,0))</f>
        <v>-9.700328458672082E-2</v>
      </c>
      <c r="I1641">
        <f t="shared" si="200"/>
        <v>999.57897655847171</v>
      </c>
      <c r="J1641">
        <f t="shared" si="201"/>
        <v>90.761342324727536</v>
      </c>
      <c r="K1641">
        <f t="shared" si="202"/>
        <v>11.013267884273464</v>
      </c>
      <c r="L1641" s="4">
        <f>MIN(MAX(L1640*(1+MAX(MIN(((B1641-B1640)/B1640)/($K$7*卓尔金历!$N$40),0),-卓尔金历!$M$43))+MIN(MAX(((B1641-B1640)/B1640)/($K$7*卓尔金历!$N$40),0),卓尔金历!$M$43),0),1)</f>
        <v>0.70905932632178792</v>
      </c>
      <c r="M1641" s="4">
        <f>MIN(MAX(M1640*(1+MAX(MIN(((B1641-B1640)/B1640)/($K$7*30),0),-卓尔金历!$M$43))+MIN(MAX(((B1641-B1640)/B1640)/($K$7*7),0),卓尔金历!$M$43),0),1)</f>
        <v>0.95127622906378673</v>
      </c>
      <c r="N1641">
        <f t="shared" si="203"/>
        <v>786.52300570437603</v>
      </c>
      <c r="O1641">
        <f t="shared" si="204"/>
        <v>2066.8080672127467</v>
      </c>
      <c r="P1641">
        <f t="shared" si="205"/>
        <v>-6.3778574767274073E-3</v>
      </c>
      <c r="Q1641">
        <f t="shared" si="196"/>
        <v>7.3403412062726339E-2</v>
      </c>
      <c r="R1641">
        <f t="shared" si="197"/>
        <v>1</v>
      </c>
      <c r="S1641">
        <f t="shared" si="199"/>
        <v>16.231895168157216</v>
      </c>
      <c r="T1641" s="564">
        <f>IF((I1641-MAX(I$470:I1641))/MAX(I$470:I1641)&gt;T1640,T1640,(I1641-MAX(I$470:I1641))/MAX(I$470:I1641))</f>
        <v>-0.91338805338419748</v>
      </c>
      <c r="U1641" s="564">
        <f>IF((J1641-MAX(J$470:J1641))/MAX(J$470:J1641)&gt;U1640,U1640,(J1641-MAX(J$470:J1641))/MAX(J$470:J1641))</f>
        <v>-0.8283551177402233</v>
      </c>
      <c r="V1641" s="564">
        <f>IF((K1641-MAX(K$470:K1641))/MAX(K$470:K1641)&gt;V1640,V1640,(K1641-MAX(K$470:K1641))/MAX(K$470:K1641))</f>
        <v>-0.84885940676762139</v>
      </c>
      <c r="W1641" s="564">
        <f>IF((N1641-MAX(N$470:N1641))/MAX(N$470:N1641)&gt;W1640,W1640,(N1641-MAX(N$470:N1641))/MAX(N$470:N1641))</f>
        <v>-0.62788758315546067</v>
      </c>
      <c r="X1641" s="564">
        <f>IF((O1641-MAX(O$470:O1641))/MAX(O$470:O1641)&gt;X1640,X1640,(O1641-MAX(O$470:O1641))/MAX(O$470:O1641))</f>
        <v>-0.62788758315546067</v>
      </c>
    </row>
    <row r="1642" spans="1:24">
      <c r="A1642" s="799">
        <v>42044</v>
      </c>
      <c r="B1642">
        <v>222.52699999999999</v>
      </c>
      <c r="C1642">
        <v>374.756101</v>
      </c>
      <c r="D1642">
        <v>0.72729200000000005</v>
      </c>
      <c r="E1642">
        <f>LN(D1642/参数实验室!$E$53)/参数实验室!$E$55</f>
        <v>-1.0686338532201769</v>
      </c>
      <c r="F1642">
        <f t="shared" si="198"/>
        <v>1.6840927213326924</v>
      </c>
      <c r="G1642">
        <f>LN(F1642/参数实验室!$E$58)/参数实验室!$E$59</f>
        <v>8.3038060264671962E-2</v>
      </c>
      <c r="H1642" s="856">
        <f>INDEX(神经网络!$G$10:$BO$70,MATCH(ROUND(G1642*2,1)/2,神经网络!$E$10:$E$70,0),MATCH(ROUND(E1642*2,1)/2,神经网络!$G$8:$BO$8,0))</f>
        <v>-9.700328458672082E-2</v>
      </c>
      <c r="I1642">
        <f t="shared" si="200"/>
        <v>1001.6805819105817</v>
      </c>
      <c r="J1642">
        <f t="shared" si="201"/>
        <v>88.794142292805418</v>
      </c>
      <c r="K1642">
        <f t="shared" si="202"/>
        <v>11.280930881763169</v>
      </c>
      <c r="L1642" s="4">
        <f>MIN(MAX(L1641*(1+MAX(MIN(((B1642-B1641)/B1641)/($K$7*卓尔金历!$N$40),0),-卓尔金历!$M$43))+MIN(MAX(((B1642-B1641)/B1641)/($K$7*卓尔金历!$N$40),0),卓尔金历!$M$43),0),1)</f>
        <v>0.474244094699038</v>
      </c>
      <c r="M1642" s="4">
        <f>MIN(MAX(M1641*(1+MAX(MIN(((B1642-B1641)/B1641)/($K$7*30),0),-卓尔金历!$M$43))+MIN(MAX(((B1642-B1641)/B1641)/($K$7*7),0),卓尔金历!$M$43),0),1)</f>
        <v>0.79376180130527174</v>
      </c>
      <c r="N1642">
        <f t="shared" si="203"/>
        <v>787.69554675520567</v>
      </c>
      <c r="O1642">
        <f t="shared" si="204"/>
        <v>2070.9417852035403</v>
      </c>
      <c r="P1642">
        <f t="shared" si="205"/>
        <v>-2.1674426375095104E-2</v>
      </c>
      <c r="Q1642">
        <f t="shared" si="196"/>
        <v>7.3562210025682875E-2</v>
      </c>
      <c r="R1642">
        <f t="shared" si="197"/>
        <v>1</v>
      </c>
      <c r="S1642">
        <f t="shared" si="199"/>
        <v>16.266022574355514</v>
      </c>
      <c r="T1642" s="564">
        <f>IF((I1642-MAX(I$470:I1642))/MAX(I$470:I1642)&gt;T1641,T1641,(I1642-MAX(I$470:I1642))/MAX(I$470:I1642))</f>
        <v>-0.91338805338419748</v>
      </c>
      <c r="U1642" s="564">
        <f>IF((J1642-MAX(J$470:J1642))/MAX(J$470:J1642)&gt;U1641,U1641,(J1642-MAX(J$470:J1642))/MAX(J$470:J1642))</f>
        <v>-0.8283551177402233</v>
      </c>
      <c r="V1642" s="564">
        <f>IF((K1642-MAX(K$470:K1642))/MAX(K$470:K1642)&gt;V1641,V1641,(K1642-MAX(K$470:K1642))/MAX(K$470:K1642))</f>
        <v>-0.84885940676762139</v>
      </c>
      <c r="W1642" s="564">
        <f>IF((N1642-MAX(N$470:N1642))/MAX(N$470:N1642)&gt;W1641,W1641,(N1642-MAX(N$470:N1642))/MAX(N$470:N1642))</f>
        <v>-0.62788758315546067</v>
      </c>
      <c r="X1642" s="564">
        <f>IF((O1642-MAX(O$470:O1642))/MAX(O$470:O1642)&gt;X1641,X1641,(O1642-MAX(O$470:O1642))/MAX(O$470:O1642))</f>
        <v>-0.62788758315546067</v>
      </c>
    </row>
    <row r="1643" spans="1:24">
      <c r="A1643" s="799">
        <v>42045</v>
      </c>
      <c r="B1643">
        <v>216.42500000000001</v>
      </c>
      <c r="C1643">
        <v>377.920547</v>
      </c>
      <c r="D1643">
        <v>0.72810399999999997</v>
      </c>
      <c r="E1643">
        <f>LN(D1643/参数实验室!$E$53)/参数实验室!$E$55</f>
        <v>-1.0673174283660438</v>
      </c>
      <c r="F1643">
        <f t="shared" si="198"/>
        <v>1.7461963590158252</v>
      </c>
      <c r="G1643">
        <f>LN(F1643/参数实验室!$E$58)/参数实验室!$E$59</f>
        <v>0.10204456761842012</v>
      </c>
      <c r="H1643" s="856">
        <f>INDEX(神经网络!$G$10:$BO$70,MATCH(ROUND(G1643*2,1)/2,神经网络!$E$10:$E$70,0),MATCH(ROUND(E1643*2,1)/2,神经网络!$G$8:$BO$8,0))</f>
        <v>-9.700328458672082E-2</v>
      </c>
      <c r="I1643">
        <f t="shared" si="200"/>
        <v>1004.345017249128</v>
      </c>
      <c r="J1643">
        <f t="shared" si="201"/>
        <v>86.359283348629219</v>
      </c>
      <c r="K1643">
        <f t="shared" si="202"/>
        <v>11.629844277361872</v>
      </c>
      <c r="L1643" s="4">
        <f>MIN(MAX(L1642*(1+MAX(MIN(((B1643-B1642)/B1642)/($K$7*卓尔金历!$N$40),0),-卓尔金历!$M$43))+MIN(MAX(((B1643-B1642)/B1642)/($K$7*卓尔金历!$N$40),0),卓尔金历!$M$43),0),1)</f>
        <v>0.2755488376283548</v>
      </c>
      <c r="M1643" s="4">
        <f>MIN(MAX(M1642*(1+MAX(MIN(((B1643-B1642)/B1642)/($K$7*30),0),-卓尔金历!$M$43))+MIN(MAX(((B1643-B1642)/B1642)/($K$7*7),0),卓尔金历!$M$43),0),1)</f>
        <v>0.62747959882120208</v>
      </c>
      <c r="N1643">
        <f t="shared" si="203"/>
        <v>788.68920319657002</v>
      </c>
      <c r="O1643">
        <f t="shared" si="204"/>
        <v>2075.314327472187</v>
      </c>
      <c r="P1643">
        <f t="shared" si="205"/>
        <v>-2.7421391561473329E-2</v>
      </c>
      <c r="Q1643">
        <f t="shared" si="196"/>
        <v>7.3902211796446876E-2</v>
      </c>
      <c r="R1643">
        <f t="shared" si="197"/>
        <v>1</v>
      </c>
      <c r="S1643">
        <f t="shared" si="199"/>
        <v>16.309289625896074</v>
      </c>
      <c r="T1643" s="564">
        <f>IF((I1643-MAX(I$470:I1643))/MAX(I$470:I1643)&gt;T1642,T1642,(I1643-MAX(I$470:I1643))/MAX(I$470:I1643))</f>
        <v>-0.91338805338419748</v>
      </c>
      <c r="U1643" s="564">
        <f>IF((J1643-MAX(J$470:J1643))/MAX(J$470:J1643)&gt;U1642,U1642,(J1643-MAX(J$470:J1643))/MAX(J$470:J1643))</f>
        <v>-0.8283551177402233</v>
      </c>
      <c r="V1643" s="564">
        <f>IF((K1643-MAX(K$470:K1643))/MAX(K$470:K1643)&gt;V1642,V1642,(K1643-MAX(K$470:K1643))/MAX(K$470:K1643))</f>
        <v>-0.84885940676762139</v>
      </c>
      <c r="W1643" s="564">
        <f>IF((N1643-MAX(N$470:N1643))/MAX(N$470:N1643)&gt;W1642,W1642,(N1643-MAX(N$470:N1643))/MAX(N$470:N1643))</f>
        <v>-0.62788758315546067</v>
      </c>
      <c r="X1643" s="564">
        <f>IF((O1643-MAX(O$470:O1643))/MAX(O$470:O1643)&gt;X1642,X1642,(O1643-MAX(O$470:O1643))/MAX(O$470:O1643))</f>
        <v>-0.62788758315546067</v>
      </c>
    </row>
    <row r="1644" spans="1:24">
      <c r="A1644" s="799">
        <v>42046</v>
      </c>
      <c r="B1644">
        <v>220.58500000000001</v>
      </c>
      <c r="C1644">
        <v>374.13207</v>
      </c>
      <c r="D1644">
        <v>0.72438999999999998</v>
      </c>
      <c r="E1644">
        <f>LN(D1644/参数实验室!$E$53)/参数实验室!$E$55</f>
        <v>-1.0733506554876002</v>
      </c>
      <c r="F1644">
        <f t="shared" si="198"/>
        <v>1.6960902599904797</v>
      </c>
      <c r="G1644">
        <f>LN(F1644/参数实验室!$E$58)/参数实验室!$E$59</f>
        <v>8.6763884073453992E-2</v>
      </c>
      <c r="H1644" s="856">
        <f>INDEX(神经网络!$G$10:$BO$70,MATCH(ROUND(G1644*2,1)/2,神经网络!$E$10:$E$70,0),MATCH(ROUND(E1644*2,1)/2,神经网络!$G$8:$BO$8,0))</f>
        <v>-9.700328458672082E-2</v>
      </c>
      <c r="I1644">
        <f t="shared" si="200"/>
        <v>1002.4723730323742</v>
      </c>
      <c r="J1644">
        <f t="shared" si="201"/>
        <v>88.019233071305877</v>
      </c>
      <c r="K1644">
        <f t="shared" si="202"/>
        <v>11.389242305943002</v>
      </c>
      <c r="L1644" s="4">
        <f>MIN(MAX(L1643*(1+MAX(MIN(((B1644-B1643)/B1643)/($K$7*卓尔金历!$N$40),0),-卓尔金历!$M$43))+MIN(MAX(((B1644-B1643)/B1643)/($K$7*卓尔金历!$N$40),0),卓尔金历!$M$43),0),1)</f>
        <v>0.56923398466144737</v>
      </c>
      <c r="M1644" s="4">
        <f>MIN(MAX(M1643*(1+MAX(MIN(((B1644-B1643)/B1643)/($K$7*30),0),-卓尔金历!$M$43))+MIN(MAX(((B1644-B1643)/B1643)/($K$7*7),0),卓尔金历!$M$43),0),1)</f>
        <v>1</v>
      </c>
      <c r="N1644">
        <f t="shared" si="203"/>
        <v>788.28399630472472</v>
      </c>
      <c r="O1644">
        <f t="shared" si="204"/>
        <v>2072.8862874617948</v>
      </c>
      <c r="P1644">
        <f t="shared" si="205"/>
        <v>1.9221439297678163E-2</v>
      </c>
      <c r="Q1644">
        <f t="shared" ref="Q1644:Q1707" si="206">STDEVP(P1624:P1644)</f>
        <v>7.3889205529814553E-2</v>
      </c>
      <c r="R1644">
        <f t="shared" ref="R1644:R1707" si="207">MIN(Q1643*MAX(1-LN(MAX(ABS(P1644),0.0001)/Q1644),0)+MAX(-LN(MAX(ABS(P1644),0.0001)/Q1644),0),1)</f>
        <v>1</v>
      </c>
      <c r="S1644">
        <f t="shared" si="199"/>
        <v>16.27888025822584</v>
      </c>
      <c r="T1644" s="564">
        <f>IF((I1644-MAX(I$470:I1644))/MAX(I$470:I1644)&gt;T1643,T1643,(I1644-MAX(I$470:I1644))/MAX(I$470:I1644))</f>
        <v>-0.91338805338419748</v>
      </c>
      <c r="U1644" s="564">
        <f>IF((J1644-MAX(J$470:J1644))/MAX(J$470:J1644)&gt;U1643,U1643,(J1644-MAX(J$470:J1644))/MAX(J$470:J1644))</f>
        <v>-0.8283551177402233</v>
      </c>
      <c r="V1644" s="564">
        <f>IF((K1644-MAX(K$470:K1644))/MAX(K$470:K1644)&gt;V1643,V1643,(K1644-MAX(K$470:K1644))/MAX(K$470:K1644))</f>
        <v>-0.84885940676762139</v>
      </c>
      <c r="W1644" s="564">
        <f>IF((N1644-MAX(N$470:N1644))/MAX(N$470:N1644)&gt;W1643,W1643,(N1644-MAX(N$470:N1644))/MAX(N$470:N1644))</f>
        <v>-0.62788758315546067</v>
      </c>
      <c r="X1644" s="564">
        <f>IF((O1644-MAX(O$470:O1644))/MAX(O$470:O1644)&gt;X1643,X1643,(O1644-MAX(O$470:O1644))/MAX(O$470:O1644))</f>
        <v>-0.62788758315546067</v>
      </c>
    </row>
    <row r="1645" spans="1:24">
      <c r="A1645" s="799">
        <v>42047</v>
      </c>
      <c r="B1645">
        <v>219.13900000000001</v>
      </c>
      <c r="C1645">
        <v>376.45521600000001</v>
      </c>
      <c r="D1645">
        <v>0.73482599999999998</v>
      </c>
      <c r="E1645">
        <f>LN(D1645/参数实验室!$E$53)/参数实验室!$E$55</f>
        <v>-1.0564756832141879</v>
      </c>
      <c r="F1645">
        <f t="shared" si="198"/>
        <v>1.7178832430557773</v>
      </c>
      <c r="G1645">
        <f>LN(F1645/参数实验室!$E$58)/参数实验室!$E$59</f>
        <v>9.3464750749205641E-2</v>
      </c>
      <c r="H1645" s="856">
        <f>INDEX(神经网络!$G$10:$BO$70,MATCH(ROUND(G1645*2,1)/2,神经网络!$E$10:$E$70,0),MATCH(ROUND(E1645*2,1)/2,神经网络!$G$8:$BO$8,0))</f>
        <v>-9.700328458672082E-2</v>
      </c>
      <c r="I1645">
        <f t="shared" si="200"/>
        <v>1003.1098304353764</v>
      </c>
      <c r="J1645">
        <f t="shared" si="201"/>
        <v>87.442240932125472</v>
      </c>
      <c r="K1645">
        <f t="shared" si="202"/>
        <v>11.471684848676414</v>
      </c>
      <c r="L1645" s="4">
        <f>MIN(MAX(L1644*(1+MAX(MIN(((B1645-B1644)/B1644)/($K$7*卓尔金历!$N$40),0),-卓尔金历!$M$43))+MIN(MAX(((B1645-B1644)/B1644)/($K$7*卓尔金历!$N$40),0),卓尔金历!$M$43),0),1)</f>
        <v>0.51222028608180026</v>
      </c>
      <c r="M1645" s="4">
        <f>MIN(MAX(M1644*(1+MAX(MIN(((B1645-B1644)/B1644)/($K$7*30),0),-卓尔金历!$M$43))+MIN(MAX(((B1645-B1644)/B1644)/($K$7*7),0),卓尔金历!$M$43),0),1)</f>
        <v>0.9499206827807759</v>
      </c>
      <c r="N1645">
        <f t="shared" si="203"/>
        <v>788.56932949127429</v>
      </c>
      <c r="O1645">
        <f t="shared" si="204"/>
        <v>2074.2044052923411</v>
      </c>
      <c r="P1645">
        <f t="shared" si="205"/>
        <v>-6.5552961443434412E-3</v>
      </c>
      <c r="Q1645">
        <f t="shared" si="206"/>
        <v>7.1899488511947315E-2</v>
      </c>
      <c r="R1645">
        <f t="shared" si="207"/>
        <v>1</v>
      </c>
      <c r="S1645">
        <f t="shared" si="199"/>
        <v>16.289231758189676</v>
      </c>
      <c r="T1645" s="564">
        <f>IF((I1645-MAX(I$470:I1645))/MAX(I$470:I1645)&gt;T1644,T1644,(I1645-MAX(I$470:I1645))/MAX(I$470:I1645))</f>
        <v>-0.91338805338419748</v>
      </c>
      <c r="U1645" s="564">
        <f>IF((J1645-MAX(J$470:J1645))/MAX(J$470:J1645)&gt;U1644,U1644,(J1645-MAX(J$470:J1645))/MAX(J$470:J1645))</f>
        <v>-0.8283551177402233</v>
      </c>
      <c r="V1645" s="564">
        <f>IF((K1645-MAX(K$470:K1645))/MAX(K$470:K1645)&gt;V1644,V1644,(K1645-MAX(K$470:K1645))/MAX(K$470:K1645))</f>
        <v>-0.84885940676762139</v>
      </c>
      <c r="W1645" s="564">
        <f>IF((N1645-MAX(N$470:N1645))/MAX(N$470:N1645)&gt;W1644,W1644,(N1645-MAX(N$470:N1645))/MAX(N$470:N1645))</f>
        <v>-0.62788758315546067</v>
      </c>
      <c r="X1645" s="564">
        <f>IF((O1645-MAX(O$470:O1645))/MAX(O$470:O1645)&gt;X1644,X1644,(O1645-MAX(O$470:O1645))/MAX(O$470:O1645))</f>
        <v>-0.62788758315546067</v>
      </c>
    </row>
    <row r="1646" spans="1:24">
      <c r="A1646" s="799">
        <v>42048</v>
      </c>
      <c r="B1646">
        <v>234.84700000000001</v>
      </c>
      <c r="C1646">
        <v>376.51770800000003</v>
      </c>
      <c r="D1646">
        <v>0.78098800000000002</v>
      </c>
      <c r="E1646">
        <f>LN(D1646/参数实验室!$E$53)/参数实验室!$E$55</f>
        <v>-0.98459798007570587</v>
      </c>
      <c r="F1646">
        <f t="shared" si="198"/>
        <v>1.6032468287864015</v>
      </c>
      <c r="G1646">
        <f>LN(F1646/参数实验室!$E$58)/参数实验室!$E$59</f>
        <v>5.7217270733096147E-2</v>
      </c>
      <c r="H1646" s="856">
        <f>INDEX(神经网络!$G$10:$BO$70,MATCH(ROUND(G1646*2,1)/2,神经网络!$E$10:$E$70,0),MATCH(ROUND(E1646*2,1)/2,神经网络!$G$8:$BO$8,0))</f>
        <v>-9.3012473748848107E-2</v>
      </c>
      <c r="I1646">
        <f t="shared" si="200"/>
        <v>996.13496001643614</v>
      </c>
      <c r="J1646">
        <f t="shared" si="201"/>
        <v>93.710147240732454</v>
      </c>
      <c r="K1646">
        <f t="shared" si="202"/>
        <v>10.629958327324577</v>
      </c>
      <c r="L1646" s="4">
        <f>MIN(MAX(L1645*(1+MAX(MIN(((B1646-B1645)/B1645)/($K$7*卓尔金历!$N$40),0),-卓尔金历!$M$43))+MIN(MAX(((B1646-B1645)/B1645)/($K$7*卓尔金历!$N$40),0),卓尔金历!$M$43),0),1)</f>
        <v>1</v>
      </c>
      <c r="M1646" s="4">
        <f>MIN(MAX(M1645*(1+MAX(MIN(((B1646-B1645)/B1645)/($K$7*30),0),-卓尔金历!$M$43))+MIN(MAX(((B1646-B1645)/B1645)/($K$7*7),0),卓尔金历!$M$43),0),1)</f>
        <v>1</v>
      </c>
      <c r="N1646">
        <f t="shared" si="203"/>
        <v>785.76076556674184</v>
      </c>
      <c r="O1646">
        <f t="shared" si="204"/>
        <v>2060.5042164612519</v>
      </c>
      <c r="P1646">
        <f t="shared" si="205"/>
        <v>7.1680531534779282E-2</v>
      </c>
      <c r="Q1646">
        <f t="shared" si="206"/>
        <v>7.3342407106715093E-2</v>
      </c>
      <c r="R1646">
        <f t="shared" si="207"/>
        <v>9.6467209636303286E-2</v>
      </c>
      <c r="S1646">
        <f t="shared" si="199"/>
        <v>16.175968706338068</v>
      </c>
      <c r="T1646" s="564">
        <f>IF((I1646-MAX(I$470:I1646))/MAX(I$470:I1646)&gt;T1645,T1645,(I1646-MAX(I$470:I1646))/MAX(I$470:I1646))</f>
        <v>-0.91338805338419748</v>
      </c>
      <c r="U1646" s="564">
        <f>IF((J1646-MAX(J$470:J1646))/MAX(J$470:J1646)&gt;U1645,U1645,(J1646-MAX(J$470:J1646))/MAX(J$470:J1646))</f>
        <v>-0.8283551177402233</v>
      </c>
      <c r="V1646" s="564">
        <f>IF((K1646-MAX(K$470:K1646))/MAX(K$470:K1646)&gt;V1645,V1645,(K1646-MAX(K$470:K1646))/MAX(K$470:K1646))</f>
        <v>-0.84885940676762139</v>
      </c>
      <c r="W1646" s="564">
        <f>IF((N1646-MAX(N$470:N1646))/MAX(N$470:N1646)&gt;W1645,W1645,(N1646-MAX(N$470:N1646))/MAX(N$470:N1646))</f>
        <v>-0.62788758315546067</v>
      </c>
      <c r="X1646" s="564">
        <f>IF((O1646-MAX(O$470:O1646))/MAX(O$470:O1646)&gt;X1645,X1645,(O1646-MAX(O$470:O1646))/MAX(O$470:O1646))</f>
        <v>-0.62788758315546067</v>
      </c>
    </row>
    <row r="1647" spans="1:24">
      <c r="A1647" s="799">
        <v>42049</v>
      </c>
      <c r="B1647">
        <v>247.851</v>
      </c>
      <c r="C1647">
        <v>374.54830600000003</v>
      </c>
      <c r="D1647">
        <v>0.85038000000000002</v>
      </c>
      <c r="E1647">
        <f>LN(D1647/参数实验室!$E$53)/参数实验室!$E$55</f>
        <v>-0.88417322696790246</v>
      </c>
      <c r="F1647">
        <f t="shared" si="198"/>
        <v>1.5111833561292876</v>
      </c>
      <c r="G1647">
        <f>LN(F1647/参数实验室!$E$58)/参数实验室!$E$59</f>
        <v>2.61785480730089E-2</v>
      </c>
      <c r="H1647" s="856">
        <f>INDEX(神经网络!$G$10:$BO$70,MATCH(ROUND(G1647*2,1)/2,神经网络!$E$10:$E$70,0),MATCH(ROUND(E1647*2,1)/2,神经网络!$G$8:$BO$8,0))</f>
        <v>-0.10645589364307358</v>
      </c>
      <c r="I1647">
        <f t="shared" si="200"/>
        <v>991.00455890187141</v>
      </c>
      <c r="J1647">
        <f t="shared" si="201"/>
        <v>98.899086229599604</v>
      </c>
      <c r="K1647">
        <f t="shared" si="202"/>
        <v>10.020361124481985</v>
      </c>
      <c r="L1647" s="4">
        <f>MIN(MAX(L1646*(1+MAX(MIN(((B1647-B1646)/B1646)/($K$7*卓尔金历!$N$40),0),-卓尔金历!$M$43))+MIN(MAX(((B1647-B1646)/B1646)/($K$7*卓尔金历!$N$40),0),卓尔金历!$M$43),0),1)</f>
        <v>1</v>
      </c>
      <c r="M1647" s="4">
        <f>MIN(MAX(M1646*(1+MAX(MIN(((B1647-B1646)/B1646)/($K$7*30),0),-卓尔金历!$M$43))+MIN(MAX(((B1647-B1646)/B1646)/($K$7*7),0),卓尔金历!$M$43),0),1)</f>
        <v>1</v>
      </c>
      <c r="N1647">
        <f t="shared" si="203"/>
        <v>781.71385619275668</v>
      </c>
      <c r="O1647">
        <f t="shared" si="204"/>
        <v>2049.8919866399797</v>
      </c>
      <c r="P1647">
        <f t="shared" si="205"/>
        <v>5.5372221063075065E-2</v>
      </c>
      <c r="Q1647">
        <f t="shared" si="206"/>
        <v>7.399600720390169E-2</v>
      </c>
      <c r="R1647">
        <f t="shared" si="207"/>
        <v>0.38453988986752785</v>
      </c>
      <c r="S1647">
        <f t="shared" si="199"/>
        <v>16.167931906471114</v>
      </c>
      <c r="T1647" s="564">
        <f>IF((I1647-MAX(I$470:I1647))/MAX(I$470:I1647)&gt;T1646,T1646,(I1647-MAX(I$470:I1647))/MAX(I$470:I1647))</f>
        <v>-0.91338805338419748</v>
      </c>
      <c r="U1647" s="564">
        <f>IF((J1647-MAX(J$470:J1647))/MAX(J$470:J1647)&gt;U1646,U1646,(J1647-MAX(J$470:J1647))/MAX(J$470:J1647))</f>
        <v>-0.8283551177402233</v>
      </c>
      <c r="V1647" s="564">
        <f>IF((K1647-MAX(K$470:K1647))/MAX(K$470:K1647)&gt;V1646,V1646,(K1647-MAX(K$470:K1647))/MAX(K$470:K1647))</f>
        <v>-0.84885940676762139</v>
      </c>
      <c r="W1647" s="564">
        <f>IF((N1647-MAX(N$470:N1647))/MAX(N$470:N1647)&gt;W1646,W1646,(N1647-MAX(N$470:N1647))/MAX(N$470:N1647))</f>
        <v>-0.62788758315546067</v>
      </c>
      <c r="X1647" s="564">
        <f>IF((O1647-MAX(O$470:O1647))/MAX(O$470:O1647)&gt;X1646,X1646,(O1647-MAX(O$470:O1647))/MAX(O$470:O1647))</f>
        <v>-0.62788758315546067</v>
      </c>
    </row>
    <row r="1648" spans="1:24">
      <c r="A1648" s="799">
        <v>42050</v>
      </c>
      <c r="B1648">
        <v>262.74200000000002</v>
      </c>
      <c r="C1648">
        <v>374.59775300000001</v>
      </c>
      <c r="D1648">
        <v>0.77437100000000003</v>
      </c>
      <c r="E1648">
        <f>LN(D1648/参数实验室!$E$53)/参数实验室!$E$55</f>
        <v>-0.99463614401437805</v>
      </c>
      <c r="F1648">
        <f t="shared" si="198"/>
        <v>1.4257246766790235</v>
      </c>
      <c r="G1648">
        <f>LN(F1648/参数实验室!$E$58)/参数实验室!$E$59</f>
        <v>-4.3746722027172358E-3</v>
      </c>
      <c r="H1648" s="856">
        <f>INDEX(神经网络!$G$10:$BO$70,MATCH(ROUND(G1648*2,1)/2,神经网络!$E$10:$E$70,0),MATCH(ROUND(E1648*2,1)/2,神经网络!$G$8:$BO$8,0))</f>
        <v>-0.19362289817399783</v>
      </c>
      <c r="I1648">
        <f t="shared" si="200"/>
        <v>984.66617484548942</v>
      </c>
      <c r="J1648">
        <f t="shared" si="201"/>
        <v>104.84098798930592</v>
      </c>
      <c r="K1648">
        <f t="shared" si="202"/>
        <v>9.3919963339712922</v>
      </c>
      <c r="L1648" s="4">
        <f>MIN(MAX(L1647*(1+MAX(MIN(((B1648-B1647)/B1647)/($K$7*卓尔金历!$N$40),0),-卓尔金历!$M$43))+MIN(MAX(((B1648-B1647)/B1647)/($K$7*卓尔金历!$N$40),0),卓尔金历!$M$43),0),1)</f>
        <v>1</v>
      </c>
      <c r="M1648" s="4">
        <f>MIN(MAX(M1647*(1+MAX(MIN(((B1648-B1647)/B1647)/($K$7*30),0),-卓尔金历!$M$43))+MIN(MAX(((B1648-B1647)/B1647)/($K$7*7),0),卓尔金历!$M$43),0),1)</f>
        <v>1</v>
      </c>
      <c r="N1648">
        <f t="shared" si="203"/>
        <v>776.71407834285912</v>
      </c>
      <c r="O1648">
        <f t="shared" si="204"/>
        <v>2036.7810452535732</v>
      </c>
      <c r="P1648">
        <f t="shared" si="205"/>
        <v>6.0080451561623796E-2</v>
      </c>
      <c r="Q1648">
        <f t="shared" si="206"/>
        <v>7.4079992204701781E-2</v>
      </c>
      <c r="R1648">
        <f t="shared" si="207"/>
        <v>0.2989562437095028</v>
      </c>
      <c r="S1648">
        <f t="shared" si="199"/>
        <v>16.128167109707757</v>
      </c>
      <c r="T1648" s="564">
        <f>IF((I1648-MAX(I$470:I1648))/MAX(I$470:I1648)&gt;T1647,T1647,(I1648-MAX(I$470:I1648))/MAX(I$470:I1648))</f>
        <v>-0.91338805338419748</v>
      </c>
      <c r="U1648" s="564">
        <f>IF((J1648-MAX(J$470:J1648))/MAX(J$470:J1648)&gt;U1647,U1647,(J1648-MAX(J$470:J1648))/MAX(J$470:J1648))</f>
        <v>-0.8283551177402233</v>
      </c>
      <c r="V1648" s="564">
        <f>IF((K1648-MAX(K$470:K1648))/MAX(K$470:K1648)&gt;V1647,V1647,(K1648-MAX(K$470:K1648))/MAX(K$470:K1648))</f>
        <v>-0.84885940676762139</v>
      </c>
      <c r="W1648" s="564">
        <f>IF((N1648-MAX(N$470:N1648))/MAX(N$470:N1648)&gt;W1647,W1647,(N1648-MAX(N$470:N1648))/MAX(N$470:N1648))</f>
        <v>-0.62788758315546067</v>
      </c>
      <c r="X1648" s="564">
        <f>IF((O1648-MAX(O$470:O1648))/MAX(O$470:O1648)&gt;X1647,X1647,(O1648-MAX(O$470:O1648))/MAX(O$470:O1648))</f>
        <v>-0.62788758315546067</v>
      </c>
    </row>
    <row r="1649" spans="1:24">
      <c r="A1649" s="799">
        <v>42051</v>
      </c>
      <c r="B1649">
        <v>237.53299999999999</v>
      </c>
      <c r="C1649">
        <v>370.09853099999998</v>
      </c>
      <c r="D1649">
        <v>0.77684600000000004</v>
      </c>
      <c r="E1649">
        <f>LN(D1649/参数实验室!$E$53)/参数实验室!$E$55</f>
        <v>-0.99087149760250304</v>
      </c>
      <c r="F1649">
        <f t="shared" si="198"/>
        <v>1.5580931112729599</v>
      </c>
      <c r="G1649">
        <f>LN(F1649/参数实验室!$E$58)/参数实验室!$E$59</f>
        <v>4.2223171119018452E-2</v>
      </c>
      <c r="H1649" s="856">
        <f>INDEX(神经网络!$G$10:$BO$70,MATCH(ROUND(G1649*2,1)/2,神经网络!$E$10:$E$70,0),MATCH(ROUND(E1649*2,1)/2,神经网络!$G$8:$BO$8,0))</f>
        <v>-9.3012473748848107E-2</v>
      </c>
      <c r="I1649">
        <f t="shared" si="200"/>
        <v>1002.958623832158</v>
      </c>
      <c r="J1649">
        <f t="shared" si="201"/>
        <v>94.781932085710693</v>
      </c>
      <c r="K1649">
        <f t="shared" si="202"/>
        <v>10.581749092487257</v>
      </c>
      <c r="L1649" s="4">
        <f>MIN(MAX(L1648*(1+MAX(MIN(((B1649-B1648)/B1648)/($K$7*卓尔金历!$N$40),0),-卓尔金历!$M$43))+MIN(MAX(((B1649-B1648)/B1648)/($K$7*卓尔金历!$N$40),0),卓尔金历!$M$43),0),1)</f>
        <v>0</v>
      </c>
      <c r="M1649" s="4">
        <f>MIN(MAX(M1648*(1+MAX(MIN(((B1649-B1648)/B1648)/($K$7*30),0),-卓尔金历!$M$43))+MIN(MAX(((B1649-B1648)/B1648)/($K$7*7),0),卓尔金历!$M$43),0),1)</f>
        <v>0.26701987361670709</v>
      </c>
      <c r="N1649">
        <f t="shared" si="203"/>
        <v>791.1433367232878</v>
      </c>
      <c r="O1649">
        <f t="shared" si="204"/>
        <v>2074.6189585678603</v>
      </c>
      <c r="P1649">
        <f t="shared" si="205"/>
        <v>-9.5945832794147978E-2</v>
      </c>
      <c r="Q1649">
        <f t="shared" si="206"/>
        <v>6.0562315515434138E-2</v>
      </c>
      <c r="R1649">
        <f t="shared" si="207"/>
        <v>3.9994976835096972E-2</v>
      </c>
      <c r="S1649">
        <f t="shared" si="199"/>
        <v>16.217739770644329</v>
      </c>
      <c r="T1649" s="564">
        <f>IF((I1649-MAX(I$470:I1649))/MAX(I$470:I1649)&gt;T1648,T1648,(I1649-MAX(I$470:I1649))/MAX(I$470:I1649))</f>
        <v>-0.91338805338419748</v>
      </c>
      <c r="U1649" s="564">
        <f>IF((J1649-MAX(J$470:J1649))/MAX(J$470:J1649)&gt;U1648,U1648,(J1649-MAX(J$470:J1649))/MAX(J$470:J1649))</f>
        <v>-0.8283551177402233</v>
      </c>
      <c r="V1649" s="564">
        <f>IF((K1649-MAX(K$470:K1649))/MAX(K$470:K1649)&gt;V1648,V1648,(K1649-MAX(K$470:K1649))/MAX(K$470:K1649))</f>
        <v>-0.84885940676762139</v>
      </c>
      <c r="W1649" s="564">
        <f>IF((N1649-MAX(N$470:N1649))/MAX(N$470:N1649)&gt;W1648,W1648,(N1649-MAX(N$470:N1649))/MAX(N$470:N1649))</f>
        <v>-0.62788758315546067</v>
      </c>
      <c r="X1649" s="564">
        <f>IF((O1649-MAX(O$470:O1649))/MAX(O$470:O1649)&gt;X1648,X1648,(O1649-MAX(O$470:O1649))/MAX(O$470:O1649))</f>
        <v>-0.62788758315546067</v>
      </c>
    </row>
    <row r="1650" spans="1:24">
      <c r="A1650" s="799">
        <v>42052</v>
      </c>
      <c r="B1650">
        <v>237.71</v>
      </c>
      <c r="C1650">
        <v>371.43406800000002</v>
      </c>
      <c r="D1650">
        <v>0.80607399999999996</v>
      </c>
      <c r="E1650">
        <f>LN(D1650/参数实验室!$E$53)/参数实验室!$E$55</f>
        <v>-0.94729917887221571</v>
      </c>
      <c r="F1650">
        <f t="shared" si="198"/>
        <v>1.5625512935930337</v>
      </c>
      <c r="G1650">
        <f>LN(F1650/参数实验室!$E$58)/参数实验室!$E$59</f>
        <v>4.3722795109300217E-2</v>
      </c>
      <c r="H1650" s="856">
        <f>INDEX(神经网络!$G$10:$BO$70,MATCH(ROUND(G1650*2,1)/2,神经网络!$E$10:$E$70,0),MATCH(ROUND(E1650*2,1)/2,神经网络!$G$8:$BO$8,0))</f>
        <v>-8.4970844332659848E-2</v>
      </c>
      <c r="I1650">
        <f t="shared" si="200"/>
        <v>1002.8891096328987</v>
      </c>
      <c r="J1650">
        <f t="shared" si="201"/>
        <v>94.852559754199589</v>
      </c>
      <c r="K1650">
        <f t="shared" si="202"/>
        <v>10.573137005809649</v>
      </c>
      <c r="L1650" s="4">
        <f>MIN(MAX(L1649*(1+MAX(MIN(((B1650-B1649)/B1649)/($K$7*卓尔金历!$N$40),0),-卓尔金历!$M$43))+MIN(MAX(((B1650-B1649)/B1649)/($K$7*卓尔金历!$N$40),0),卓尔金历!$M$43),0),1)</f>
        <v>1.1385323916284284E-2</v>
      </c>
      <c r="M1650" s="4">
        <f>MIN(MAX(M1649*(1+MAX(MIN(((B1650-B1649)/B1649)/($K$7*30),0),-卓尔金历!$M$43))+MIN(MAX(((B1650-B1649)/B1649)/($K$7*7),0),卓尔金历!$M$43),0),1)</f>
        <v>0.29141699629445911</v>
      </c>
      <c r="N1650">
        <f t="shared" si="203"/>
        <v>791.1433367232878</v>
      </c>
      <c r="O1650">
        <f t="shared" si="204"/>
        <v>2074.5805637655499</v>
      </c>
      <c r="P1650">
        <f t="shared" si="205"/>
        <v>7.4515961992658252E-4</v>
      </c>
      <c r="Q1650">
        <f t="shared" si="206"/>
        <v>5.3316094844591683E-2</v>
      </c>
      <c r="R1650">
        <f t="shared" si="207"/>
        <v>1</v>
      </c>
      <c r="S1650">
        <f t="shared" si="199"/>
        <v>16.217694814786974</v>
      </c>
      <c r="T1650" s="564">
        <f>IF((I1650-MAX(I$470:I1650))/MAX(I$470:I1650)&gt;T1649,T1649,(I1650-MAX(I$470:I1650))/MAX(I$470:I1650))</f>
        <v>-0.91338805338419748</v>
      </c>
      <c r="U1650" s="564">
        <f>IF((J1650-MAX(J$470:J1650))/MAX(J$470:J1650)&gt;U1649,U1649,(J1650-MAX(J$470:J1650))/MAX(J$470:J1650))</f>
        <v>-0.8283551177402233</v>
      </c>
      <c r="V1650" s="564">
        <f>IF((K1650-MAX(K$470:K1650))/MAX(K$470:K1650)&gt;V1649,V1649,(K1650-MAX(K$470:K1650))/MAX(K$470:K1650))</f>
        <v>-0.84885940676762139</v>
      </c>
      <c r="W1650" s="564">
        <f>IF((N1650-MAX(N$470:N1650))/MAX(N$470:N1650)&gt;W1649,W1649,(N1650-MAX(N$470:N1650))/MAX(N$470:N1650))</f>
        <v>-0.62788758315546067</v>
      </c>
      <c r="X1650" s="564">
        <f>IF((O1650-MAX(O$470:O1650))/MAX(O$470:O1650)&gt;X1649,X1649,(O1650-MAX(O$470:O1650))/MAX(O$470:O1650))</f>
        <v>-0.62788758315546067</v>
      </c>
    </row>
    <row r="1651" spans="1:24">
      <c r="A1651" s="799">
        <v>42053</v>
      </c>
      <c r="B1651">
        <v>241.63300000000001</v>
      </c>
      <c r="C1651">
        <v>366.01324099999999</v>
      </c>
      <c r="D1651">
        <v>0.78023399999999998</v>
      </c>
      <c r="E1651">
        <f>LN(D1651/参数实验室!$E$53)/参数实验室!$E$55</f>
        <v>-0.98573751566400147</v>
      </c>
      <c r="F1651">
        <f t="shared" si="198"/>
        <v>1.5147485691110072</v>
      </c>
      <c r="G1651">
        <f>LN(F1651/参数实验室!$E$58)/参数实验室!$E$59</f>
        <v>2.7415335522303672E-2</v>
      </c>
      <c r="H1651" s="856">
        <f>INDEX(神经网络!$G$10:$BO$70,MATCH(ROUND(G1651*2,1)/2,神经网络!$E$10:$E$70,0),MATCH(ROUND(E1651*2,1)/2,神经网络!$G$8:$BO$8,0))</f>
        <v>-9.3012473748848107E-2</v>
      </c>
      <c r="I1651">
        <f t="shared" si="200"/>
        <v>1001.4827587014277</v>
      </c>
      <c r="J1651">
        <f t="shared" si="201"/>
        <v>96.417940225848767</v>
      </c>
      <c r="K1651">
        <f t="shared" si="202"/>
        <v>10.386892277055088</v>
      </c>
      <c r="L1651" s="4">
        <f>MIN(MAX(L1650*(1+MAX(MIN(((B1651-B1650)/B1650)/($K$7*卓尔金历!$N$40),0),-卓尔金历!$M$43))+MIN(MAX(((B1651-B1650)/B1650)/($K$7*卓尔金历!$N$40),0),卓尔金历!$M$43),0),1)</f>
        <v>0.26353994668572367</v>
      </c>
      <c r="M1651" s="4">
        <f>MIN(MAX(M1650*(1+MAX(MIN(((B1651-B1650)/B1650)/($K$7*30),0),-卓尔金历!$M$43))+MIN(MAX(((B1651-B1650)/B1650)/($K$7*7),0),卓尔金历!$M$43),0),1)</f>
        <v>0.83174833080040078</v>
      </c>
      <c r="N1651">
        <f t="shared" si="203"/>
        <v>791.13070561799475</v>
      </c>
      <c r="O1651">
        <f t="shared" si="204"/>
        <v>2073.7327782895172</v>
      </c>
      <c r="P1651">
        <f t="shared" si="205"/>
        <v>1.6503302343191292E-2</v>
      </c>
      <c r="Q1651">
        <f t="shared" si="206"/>
        <v>5.3334755681952985E-2</v>
      </c>
      <c r="R1651">
        <f t="shared" si="207"/>
        <v>1</v>
      </c>
      <c r="S1651">
        <f t="shared" si="199"/>
        <v>16.19495274889951</v>
      </c>
      <c r="T1651" s="564">
        <f>IF((I1651-MAX(I$470:I1651))/MAX(I$470:I1651)&gt;T1650,T1650,(I1651-MAX(I$470:I1651))/MAX(I$470:I1651))</f>
        <v>-0.91338805338419748</v>
      </c>
      <c r="U1651" s="564">
        <f>IF((J1651-MAX(J$470:J1651))/MAX(J$470:J1651)&gt;U1650,U1650,(J1651-MAX(J$470:J1651))/MAX(J$470:J1651))</f>
        <v>-0.8283551177402233</v>
      </c>
      <c r="V1651" s="564">
        <f>IF((K1651-MAX(K$470:K1651))/MAX(K$470:K1651)&gt;V1650,V1650,(K1651-MAX(K$470:K1651))/MAX(K$470:K1651))</f>
        <v>-0.84885940676762139</v>
      </c>
      <c r="W1651" s="564">
        <f>IF((N1651-MAX(N$470:N1651))/MAX(N$470:N1651)&gt;W1650,W1650,(N1651-MAX(N$470:N1651))/MAX(N$470:N1651))</f>
        <v>-0.62788758315546067</v>
      </c>
      <c r="X1651" s="564">
        <f>IF((O1651-MAX(O$470:O1651))/MAX(O$470:O1651)&gt;X1650,X1650,(O1651-MAX(O$470:O1651))/MAX(O$470:O1651))</f>
        <v>-0.62788758315546067</v>
      </c>
    </row>
    <row r="1652" spans="1:24">
      <c r="A1652" s="799">
        <v>42054</v>
      </c>
      <c r="B1652">
        <v>236.82900000000001</v>
      </c>
      <c r="C1652">
        <v>354.66842200000002</v>
      </c>
      <c r="D1652">
        <v>0.80139099999999996</v>
      </c>
      <c r="E1652">
        <f>LN(D1652/参数实验室!$E$53)/参数实验室!$E$55</f>
        <v>-0.9541731077871406</v>
      </c>
      <c r="F1652">
        <f t="shared" si="198"/>
        <v>1.4975717585261941</v>
      </c>
      <c r="G1652">
        <f>LN(F1652/参数实验室!$E$58)/参数实验室!$E$59</f>
        <v>2.1429639968827432E-2</v>
      </c>
      <c r="H1652" s="856">
        <f>INDEX(神经网络!$G$10:$BO$70,MATCH(ROUND(G1652*2,1)/2,神经网络!$E$10:$E$70,0),MATCH(ROUND(E1652*2,1)/2,神经网络!$G$8:$BO$8,0))</f>
        <v>-0.18770289180533153</v>
      </c>
      <c r="I1652">
        <f t="shared" si="200"/>
        <v>1003.3347179446299</v>
      </c>
      <c r="J1652">
        <f t="shared" si="201"/>
        <v>94.501017517257722</v>
      </c>
      <c r="K1652">
        <f t="shared" si="202"/>
        <v>10.617184283348076</v>
      </c>
      <c r="L1652" s="4">
        <f>MIN(MAX(L1651*(1+MAX(MIN(((B1652-B1651)/B1651)/($K$7*卓尔金历!$N$40),0),-卓尔金历!$M$43))+MIN(MAX(((B1652-B1651)/B1651)/($K$7*卓尔金历!$N$40),0),卓尔金历!$M$43),0),1)</f>
        <v>0.18348479495606831</v>
      </c>
      <c r="M1652" s="4">
        <f>MIN(MAX(M1651*(1+MAX(MIN(((B1652-B1651)/B1651)/($K$7*30),0),-卓尔金历!$M$43))+MIN(MAX(((B1652-B1651)/B1651)/($K$7*7),0),卓尔金历!$M$43),0),1)</f>
        <v>0.70541883187529397</v>
      </c>
      <c r="N1652">
        <f t="shared" si="203"/>
        <v>791.51625733571154</v>
      </c>
      <c r="O1652">
        <f t="shared" si="204"/>
        <v>2076.9223522574289</v>
      </c>
      <c r="P1652">
        <f t="shared" si="205"/>
        <v>-1.9881390373003696E-2</v>
      </c>
      <c r="Q1652">
        <f t="shared" si="206"/>
        <v>4.6528328824614634E-2</v>
      </c>
      <c r="R1652">
        <f t="shared" si="207"/>
        <v>0.94896129511426919</v>
      </c>
      <c r="S1652">
        <f t="shared" si="199"/>
        <v>16.224900735698043</v>
      </c>
      <c r="T1652" s="564">
        <f>IF((I1652-MAX(I$470:I1652))/MAX(I$470:I1652)&gt;T1651,T1651,(I1652-MAX(I$470:I1652))/MAX(I$470:I1652))</f>
        <v>-0.91338805338419748</v>
      </c>
      <c r="U1652" s="564">
        <f>IF((J1652-MAX(J$470:J1652))/MAX(J$470:J1652)&gt;U1651,U1651,(J1652-MAX(J$470:J1652))/MAX(J$470:J1652))</f>
        <v>-0.8283551177402233</v>
      </c>
      <c r="V1652" s="564">
        <f>IF((K1652-MAX(K$470:K1652))/MAX(K$470:K1652)&gt;V1651,V1651,(K1652-MAX(K$470:K1652))/MAX(K$470:K1652))</f>
        <v>-0.84885940676762139</v>
      </c>
      <c r="W1652" s="564">
        <f>IF((N1652-MAX(N$470:N1652))/MAX(N$470:N1652)&gt;W1651,W1651,(N1652-MAX(N$470:N1652))/MAX(N$470:N1652))</f>
        <v>-0.62788758315546067</v>
      </c>
      <c r="X1652" s="564">
        <f>IF((O1652-MAX(O$470:O1652))/MAX(O$470:O1652)&gt;X1651,X1651,(O1652-MAX(O$470:O1652))/MAX(O$470:O1652))</f>
        <v>-0.62788758315546067</v>
      </c>
    </row>
    <row r="1653" spans="1:24">
      <c r="A1653" s="799">
        <v>42055</v>
      </c>
      <c r="B1653">
        <v>246.17500000000001</v>
      </c>
      <c r="C1653">
        <v>352.855458</v>
      </c>
      <c r="D1653">
        <v>0.81237000000000004</v>
      </c>
      <c r="E1653">
        <f>LN(D1653/参数实验室!$E$53)/参数实验室!$E$55</f>
        <v>-0.93812028371971312</v>
      </c>
      <c r="F1653">
        <f t="shared" si="198"/>
        <v>1.4333521194272367</v>
      </c>
      <c r="G1653">
        <f>LN(F1653/参数实验室!$E$58)/参数实验室!$E$59</f>
        <v>-1.5742551816581845E-3</v>
      </c>
      <c r="H1653" s="856">
        <f>INDEX(神经网络!$G$10:$BO$70,MATCH(ROUND(G1653*2,1)/2,神经网络!$E$10:$E$70,0),MATCH(ROUND(E1653*2,1)/2,神经网络!$G$8:$BO$8,0))</f>
        <v>-0.18770289180533153</v>
      </c>
      <c r="I1653">
        <f t="shared" si="200"/>
        <v>995.90268374884977</v>
      </c>
      <c r="J1653">
        <f t="shared" si="201"/>
        <v>98.230318024021201</v>
      </c>
      <c r="K1653">
        <f t="shared" si="202"/>
        <v>10.138445072582501</v>
      </c>
      <c r="L1653" s="4">
        <f>MIN(MAX(L1652*(1+MAX(MIN(((B1653-B1652)/B1652)/($K$7*卓尔金历!$N$40),0),-卓尔金历!$M$43))+MIN(MAX(((B1653-B1652)/B1652)/($K$7*卓尔金历!$N$40),0),卓尔金历!$M$43),0),1)</f>
        <v>0.78644267306528859</v>
      </c>
      <c r="M1653" s="4">
        <f>MIN(MAX(M1652*(1+MAX(MIN(((B1653-B1652)/B1652)/($K$7*30),0),-卓尔金历!$M$43))+MIN(MAX(((B1653-B1652)/B1652)/($K$7*7),0),卓尔金历!$M$43),0),1)</f>
        <v>1</v>
      </c>
      <c r="N1653">
        <f t="shared" si="203"/>
        <v>790.44048151347033</v>
      </c>
      <c r="O1653">
        <f t="shared" si="204"/>
        <v>2066.0698678938438</v>
      </c>
      <c r="P1653">
        <f t="shared" si="205"/>
        <v>3.9463072512234583E-2</v>
      </c>
      <c r="Q1653">
        <f t="shared" si="206"/>
        <v>4.7173883585397723E-2</v>
      </c>
      <c r="R1653">
        <f t="shared" si="207"/>
        <v>0.23330753934751292</v>
      </c>
      <c r="S1653">
        <f t="shared" si="199"/>
        <v>16.110851492726539</v>
      </c>
      <c r="T1653" s="564">
        <f>IF((I1653-MAX(I$470:I1653))/MAX(I$470:I1653)&gt;T1652,T1652,(I1653-MAX(I$470:I1653))/MAX(I$470:I1653))</f>
        <v>-0.91338805338419748</v>
      </c>
      <c r="U1653" s="564">
        <f>IF((J1653-MAX(J$470:J1653))/MAX(J$470:J1653)&gt;U1652,U1652,(J1653-MAX(J$470:J1653))/MAX(J$470:J1653))</f>
        <v>-0.8283551177402233</v>
      </c>
      <c r="V1653" s="564">
        <f>IF((K1653-MAX(K$470:K1653))/MAX(K$470:K1653)&gt;V1652,V1652,(K1653-MAX(K$470:K1653))/MAX(K$470:K1653))</f>
        <v>-0.84885940676762139</v>
      </c>
      <c r="W1653" s="564">
        <f>IF((N1653-MAX(N$470:N1653))/MAX(N$470:N1653)&gt;W1652,W1652,(N1653-MAX(N$470:N1653))/MAX(N$470:N1653))</f>
        <v>-0.62788758315546067</v>
      </c>
      <c r="X1653" s="564">
        <f>IF((O1653-MAX(O$470:O1653))/MAX(O$470:O1653)&gt;X1652,X1652,(O1653-MAX(O$470:O1653))/MAX(O$470:O1653))</f>
        <v>-0.62788758315546067</v>
      </c>
    </row>
    <row r="1654" spans="1:24">
      <c r="A1654" s="799">
        <v>42056</v>
      </c>
      <c r="B1654">
        <v>243.83</v>
      </c>
      <c r="C1654">
        <v>351.493832</v>
      </c>
      <c r="D1654">
        <v>0.812697</v>
      </c>
      <c r="E1654">
        <f>LN(D1654/参数实验室!$E$53)/参数实验室!$E$55</f>
        <v>-0.93764549798351182</v>
      </c>
      <c r="F1654">
        <f t="shared" si="198"/>
        <v>1.4415528523971619</v>
      </c>
      <c r="G1654">
        <f>LN(F1654/参数实验室!$E$58)/参数实验室!$E$59</f>
        <v>1.4200695504426638E-3</v>
      </c>
      <c r="H1654" s="856">
        <f>INDEX(神经网络!$G$10:$BO$70,MATCH(ROUND(G1654*2,1)/2,神经网络!$E$10:$E$70,0),MATCH(ROUND(E1654*2,1)/2,神经网络!$G$8:$BO$8,0))</f>
        <v>-0.18770289180533153</v>
      </c>
      <c r="I1654">
        <f t="shared" si="200"/>
        <v>997.6833673808917</v>
      </c>
      <c r="J1654">
        <f t="shared" si="201"/>
        <v>97.294601173137366</v>
      </c>
      <c r="K1654">
        <f t="shared" si="202"/>
        <v>10.254252089542948</v>
      </c>
      <c r="L1654" s="4">
        <f>MIN(MAX(L1653*(1+MAX(MIN(((B1654-B1653)/B1653)/($K$7*卓尔金历!$N$40),0),-卓尔金历!$M$43))+MIN(MAX(((B1654-B1653)/B1653)/($K$7*卓尔金历!$N$40),0),卓尔金历!$M$43),0),1)</f>
        <v>0.67198048344361883</v>
      </c>
      <c r="M1654" s="4">
        <f>MIN(MAX(M1653*(1+MAX(MIN(((B1654-B1653)/B1653)/($K$7*30),0),-卓尔金历!$M$43))+MIN(MAX(((B1654-B1653)/B1653)/($K$7*7),0),卓尔金历!$M$43),0),1)</f>
        <v>0.92722788733250272</v>
      </c>
      <c r="N1654">
        <f t="shared" si="203"/>
        <v>791.55197291846196</v>
      </c>
      <c r="O1654">
        <f t="shared" si="204"/>
        <v>2069.7640208030061</v>
      </c>
      <c r="P1654">
        <f t="shared" si="205"/>
        <v>-9.5257438813851885E-3</v>
      </c>
      <c r="Q1654">
        <f t="shared" si="206"/>
        <v>4.7236366507396516E-2</v>
      </c>
      <c r="R1654">
        <f t="shared" si="207"/>
        <v>1</v>
      </c>
      <c r="S1654">
        <f t="shared" si="199"/>
        <v>16.117572233301736</v>
      </c>
      <c r="T1654" s="564">
        <f>IF((I1654-MAX(I$470:I1654))/MAX(I$470:I1654)&gt;T1653,T1653,(I1654-MAX(I$470:I1654))/MAX(I$470:I1654))</f>
        <v>-0.91338805338419748</v>
      </c>
      <c r="U1654" s="564">
        <f>IF((J1654-MAX(J$470:J1654))/MAX(J$470:J1654)&gt;U1653,U1653,(J1654-MAX(J$470:J1654))/MAX(J$470:J1654))</f>
        <v>-0.8283551177402233</v>
      </c>
      <c r="V1654" s="564">
        <f>IF((K1654-MAX(K$470:K1654))/MAX(K$470:K1654)&gt;V1653,V1653,(K1654-MAX(K$470:K1654))/MAX(K$470:K1654))</f>
        <v>-0.84885940676762139</v>
      </c>
      <c r="W1654" s="564">
        <f>IF((N1654-MAX(N$470:N1654))/MAX(N$470:N1654)&gt;W1653,W1653,(N1654-MAX(N$470:N1654))/MAX(N$470:N1654))</f>
        <v>-0.62788758315546067</v>
      </c>
      <c r="X1654" s="564">
        <f>IF((O1654-MAX(O$470:O1654))/MAX(O$470:O1654)&gt;X1653,X1653,(O1654-MAX(O$470:O1654))/MAX(O$470:O1654))</f>
        <v>-0.62788758315546067</v>
      </c>
    </row>
    <row r="1655" spans="1:24">
      <c r="A1655" s="799">
        <v>42057</v>
      </c>
      <c r="B1655">
        <v>245.21100000000001</v>
      </c>
      <c r="C1655">
        <v>345.51436799999999</v>
      </c>
      <c r="D1655">
        <v>0.78366899999999995</v>
      </c>
      <c r="E1655">
        <f>LN(D1655/参数实验室!$E$53)/参数实验室!$E$55</f>
        <v>-0.98055502172440878</v>
      </c>
      <c r="F1655">
        <f t="shared" si="198"/>
        <v>1.4090492188360226</v>
      </c>
      <c r="G1655">
        <f>LN(F1655/参数实验室!$E$58)/参数实验室!$E$59</f>
        <v>-1.0549614364279964E-2</v>
      </c>
      <c r="H1655" s="856">
        <f>INDEX(神经网络!$G$10:$BO$70,MATCH(ROUND(G1655*2,1)/2,神经网络!$E$10:$E$70,0),MATCH(ROUND(E1655*2,1)/2,神经网络!$G$8:$BO$8,0))</f>
        <v>-0.19362289817399783</v>
      </c>
      <c r="I1655">
        <f t="shared" si="200"/>
        <v>996.62272192537444</v>
      </c>
      <c r="J1655">
        <f t="shared" si="201"/>
        <v>97.845656597900941</v>
      </c>
      <c r="K1655">
        <f t="shared" si="202"/>
        <v>10.185661342342657</v>
      </c>
      <c r="L1655" s="4">
        <f>MIN(MAX(L1654*(1+MAX(MIN(((B1655-B1654)/B1654)/($K$7*卓尔金历!$N$40),0),-卓尔金历!$M$43))+MIN(MAX(((B1655-B1654)/B1654)/($K$7*卓尔金历!$N$40),0),卓尔金历!$M$43),0),1)</f>
        <v>0.75851763946805761</v>
      </c>
      <c r="M1655" s="4">
        <f>MIN(MAX(M1654*(1+MAX(MIN(((B1655-B1654)/B1654)/($K$7*30),0),-卓尔金历!$M$43))+MIN(MAX(((B1655-B1654)/B1654)/($K$7*7),0),卓尔金历!$M$43),0),1)</f>
        <v>1</v>
      </c>
      <c r="N1655">
        <f t="shared" si="203"/>
        <v>790.98649767136487</v>
      </c>
      <c r="O1655">
        <f t="shared" si="204"/>
        <v>2067.7237640607964</v>
      </c>
      <c r="P1655">
        <f t="shared" si="205"/>
        <v>5.6637821432965595E-3</v>
      </c>
      <c r="Q1655">
        <f t="shared" si="206"/>
        <v>4.307963765036376E-2</v>
      </c>
      <c r="R1655">
        <f t="shared" si="207"/>
        <v>1</v>
      </c>
      <c r="S1655">
        <f t="shared" si="199"/>
        <v>16.100437508696576</v>
      </c>
      <c r="T1655" s="564">
        <f>IF((I1655-MAX(I$470:I1655))/MAX(I$470:I1655)&gt;T1654,T1654,(I1655-MAX(I$470:I1655))/MAX(I$470:I1655))</f>
        <v>-0.91338805338419748</v>
      </c>
      <c r="U1655" s="564">
        <f>IF((J1655-MAX(J$470:J1655))/MAX(J$470:J1655)&gt;U1654,U1654,(J1655-MAX(J$470:J1655))/MAX(J$470:J1655))</f>
        <v>-0.8283551177402233</v>
      </c>
      <c r="V1655" s="564">
        <f>IF((K1655-MAX(K$470:K1655))/MAX(K$470:K1655)&gt;V1654,V1654,(K1655-MAX(K$470:K1655))/MAX(K$470:K1655))</f>
        <v>-0.84885940676762139</v>
      </c>
      <c r="W1655" s="564">
        <f>IF((N1655-MAX(N$470:N1655))/MAX(N$470:N1655)&gt;W1654,W1654,(N1655-MAX(N$470:N1655))/MAX(N$470:N1655))</f>
        <v>-0.62788758315546067</v>
      </c>
      <c r="X1655" s="564">
        <f>IF((O1655-MAX(O$470:O1655))/MAX(O$470:O1655)&gt;X1654,X1654,(O1655-MAX(O$470:O1655))/MAX(O$470:O1655))</f>
        <v>-0.62788758315546067</v>
      </c>
    </row>
    <row r="1656" spans="1:24">
      <c r="A1656" s="799">
        <v>42058</v>
      </c>
      <c r="B1656">
        <v>234.566</v>
      </c>
      <c r="C1656">
        <v>342.141166</v>
      </c>
      <c r="D1656">
        <v>0.79211399999999998</v>
      </c>
      <c r="E1656">
        <f>LN(D1656/参数实验室!$E$53)/参数实验室!$E$55</f>
        <v>-0.967909738038639</v>
      </c>
      <c r="F1656">
        <f t="shared" si="198"/>
        <v>1.458613635394729</v>
      </c>
      <c r="G1656">
        <f>LN(F1656/参数实验室!$E$58)/参数实验室!$E$59</f>
        <v>7.5952489869581287E-3</v>
      </c>
      <c r="H1656" s="856">
        <f>INDEX(神经网络!$G$10:$BO$70,MATCH(ROUND(G1656*2,1)/2,神经网络!$E$10:$E$70,0),MATCH(ROUND(E1656*2,1)/2,神经网络!$G$8:$BO$8,0))</f>
        <v>-0.18770289180533153</v>
      </c>
      <c r="I1656">
        <f t="shared" si="200"/>
        <v>1004.9998126351178</v>
      </c>
      <c r="J1656">
        <f t="shared" si="201"/>
        <v>93.598020829176633</v>
      </c>
      <c r="K1656">
        <f t="shared" si="202"/>
        <v>10.737404527701685</v>
      </c>
      <c r="L1656" s="4">
        <f>MIN(MAX(L1655*(1+MAX(MIN(((B1656-B1655)/B1655)/($K$7*卓尔金历!$N$40),0),-卓尔金历!$M$43))+MIN(MAX(((B1656-B1655)/B1655)/($K$7*卓尔金历!$N$40),0),卓尔金历!$M$43),0),1)</f>
        <v>0.25540239049158381</v>
      </c>
      <c r="M1656" s="4">
        <f>MIN(MAX(M1655*(1+MAX(MIN(((B1656-B1655)/B1655)/($K$7*30),0),-卓尔金历!$M$43))+MIN(MAX(((B1656-B1655)/B1655)/($K$7*7),0),卓尔金历!$M$43),0),1)</f>
        <v>0.66835626305981188</v>
      </c>
      <c r="N1656">
        <f t="shared" si="203"/>
        <v>796.02959312794724</v>
      </c>
      <c r="O1656">
        <f t="shared" si="204"/>
        <v>2085.1039713881646</v>
      </c>
      <c r="P1656">
        <f t="shared" si="205"/>
        <v>-4.3411592465264645E-2</v>
      </c>
      <c r="Q1656">
        <f t="shared" si="206"/>
        <v>4.2955518920103242E-2</v>
      </c>
      <c r="R1656">
        <f t="shared" si="207"/>
        <v>4.2624657383461211E-2</v>
      </c>
      <c r="S1656">
        <f t="shared" si="199"/>
        <v>16.235769387560765</v>
      </c>
      <c r="T1656" s="564">
        <f>IF((I1656-MAX(I$470:I1656))/MAX(I$470:I1656)&gt;T1655,T1655,(I1656-MAX(I$470:I1656))/MAX(I$470:I1656))</f>
        <v>-0.91338805338419748</v>
      </c>
      <c r="U1656" s="564">
        <f>IF((J1656-MAX(J$470:J1656))/MAX(J$470:J1656)&gt;U1655,U1655,(J1656-MAX(J$470:J1656))/MAX(J$470:J1656))</f>
        <v>-0.8283551177402233</v>
      </c>
      <c r="V1656" s="564">
        <f>IF((K1656-MAX(K$470:K1656))/MAX(K$470:K1656)&gt;V1655,V1655,(K1656-MAX(K$470:K1656))/MAX(K$470:K1656))</f>
        <v>-0.84885940676762139</v>
      </c>
      <c r="W1656" s="564">
        <f>IF((N1656-MAX(N$470:N1656))/MAX(N$470:N1656)&gt;W1655,W1655,(N1656-MAX(N$470:N1656))/MAX(N$470:N1656))</f>
        <v>-0.62788758315546067</v>
      </c>
      <c r="X1656" s="564">
        <f>IF((O1656-MAX(O$470:O1656))/MAX(O$470:O1656)&gt;X1655,X1655,(O1656-MAX(O$470:O1656))/MAX(O$470:O1656))</f>
        <v>-0.62788758315546067</v>
      </c>
    </row>
    <row r="1657" spans="1:24">
      <c r="A1657" s="799">
        <v>42059</v>
      </c>
      <c r="B1657">
        <v>236.6</v>
      </c>
      <c r="C1657">
        <v>341.49098199999997</v>
      </c>
      <c r="D1657">
        <v>0.79522400000000004</v>
      </c>
      <c r="E1657">
        <f>LN(D1657/参数实验室!$E$53)/参数实验室!$E$55</f>
        <v>-0.96328685711030215</v>
      </c>
      <c r="F1657">
        <f t="shared" si="198"/>
        <v>1.4433262130177513</v>
      </c>
      <c r="G1657">
        <f>LN(F1657/参数实验室!$E$58)/参数实验室!$E$59</f>
        <v>2.0653344559635211E-3</v>
      </c>
      <c r="H1657" s="856">
        <f>INDEX(神经网络!$G$10:$BO$70,MATCH(ROUND(G1657*2,1)/2,神经网络!$E$10:$E$70,0),MATCH(ROUND(E1657*2,1)/2,神经网络!$G$8:$BO$8,0))</f>
        <v>-0.18770289180533153</v>
      </c>
      <c r="I1657">
        <f t="shared" si="200"/>
        <v>1003.3640404055188</v>
      </c>
      <c r="J1657">
        <f t="shared" si="201"/>
        <v>94.409640477235371</v>
      </c>
      <c r="K1657">
        <f t="shared" si="202"/>
        <v>10.627771012934385</v>
      </c>
      <c r="L1657" s="4">
        <f>MIN(MAX(L1656*(1+MAX(MIN(((B1657-B1656)/B1656)/($K$7*卓尔金历!$N$40),0),-卓尔金历!$M$43))+MIN(MAX(((B1657-B1656)/B1656)/($K$7*卓尔金历!$N$40),0),卓尔金历!$M$43),0),1)</f>
        <v>0.38789204421896201</v>
      </c>
      <c r="M1657" s="4">
        <f>MIN(MAX(M1656*(1+MAX(MIN(((B1657-B1656)/B1656)/($K$7*30),0),-卓尔金历!$M$43))+MIN(MAX(((B1657-B1656)/B1656)/($K$7*7),0),卓尔金历!$M$43),0),1)</f>
        <v>0.95226266390419378</v>
      </c>
      <c r="N1657">
        <f t="shared" si="203"/>
        <v>795.69868226718847</v>
      </c>
      <c r="O1657">
        <f t="shared" si="204"/>
        <v>2082.8357126756164</v>
      </c>
      <c r="P1657">
        <f t="shared" si="205"/>
        <v>8.6713334413341739E-3</v>
      </c>
      <c r="Q1657">
        <f t="shared" si="206"/>
        <v>4.0621665038949935E-2</v>
      </c>
      <c r="R1657">
        <f t="shared" si="207"/>
        <v>1</v>
      </c>
      <c r="S1657">
        <f t="shared" si="199"/>
        <v>16.23464299279086</v>
      </c>
      <c r="T1657" s="564">
        <f>IF((I1657-MAX(I$470:I1657))/MAX(I$470:I1657)&gt;T1656,T1656,(I1657-MAX(I$470:I1657))/MAX(I$470:I1657))</f>
        <v>-0.91338805338419748</v>
      </c>
      <c r="U1657" s="564">
        <f>IF((J1657-MAX(J$470:J1657))/MAX(J$470:J1657)&gt;U1656,U1656,(J1657-MAX(J$470:J1657))/MAX(J$470:J1657))</f>
        <v>-0.8283551177402233</v>
      </c>
      <c r="V1657" s="564">
        <f>IF((K1657-MAX(K$470:K1657))/MAX(K$470:K1657)&gt;V1656,V1656,(K1657-MAX(K$470:K1657))/MAX(K$470:K1657))</f>
        <v>-0.84885940676762139</v>
      </c>
      <c r="W1657" s="564">
        <f>IF((N1657-MAX(N$470:N1657))/MAX(N$470:N1657)&gt;W1656,W1656,(N1657-MAX(N$470:N1657))/MAX(N$470:N1657))</f>
        <v>-0.62788758315546067</v>
      </c>
      <c r="X1657" s="564">
        <f>IF((O1657-MAX(O$470:O1657))/MAX(O$470:O1657)&gt;X1656,X1656,(O1657-MAX(O$470:O1657))/MAX(O$470:O1657))</f>
        <v>-0.62788758315546067</v>
      </c>
    </row>
    <row r="1658" spans="1:24">
      <c r="A1658" s="799">
        <v>42060</v>
      </c>
      <c r="B1658">
        <v>235.821</v>
      </c>
      <c r="C1658">
        <v>334.655576</v>
      </c>
      <c r="D1658">
        <v>0.79086400000000001</v>
      </c>
      <c r="E1658">
        <f>LN(D1658/参数实验室!$E$53)/参数实验室!$E$55</f>
        <v>-0.96977292484411504</v>
      </c>
      <c r="F1658">
        <f t="shared" si="198"/>
        <v>1.4191084593823282</v>
      </c>
      <c r="G1658">
        <f>LN(F1658/参数实验室!$E$58)/参数实验室!$E$59</f>
        <v>-6.8159785942410577E-3</v>
      </c>
      <c r="H1658" s="856">
        <f>INDEX(神经网络!$G$10:$BO$70,MATCH(ROUND(G1658*2,1)/2,神经网络!$E$10:$E$70,0),MATCH(ROUND(E1658*2,1)/2,神经网络!$G$8:$BO$8,0))</f>
        <v>-0.18770289180533153</v>
      </c>
      <c r="I1658">
        <f t="shared" si="200"/>
        <v>1003.9841268153406</v>
      </c>
      <c r="J1658">
        <f t="shared" si="201"/>
        <v>94.098798930609135</v>
      </c>
      <c r="K1658">
        <f t="shared" si="202"/>
        <v>10.669468029615386</v>
      </c>
      <c r="L1658" s="4">
        <f>MIN(MAX(L1657*(1+MAX(MIN(((B1658-B1657)/B1657)/($K$7*卓尔金历!$N$40),0),-卓尔金历!$M$43))+MIN(MAX(((B1658-B1657)/B1657)/($K$7*卓尔金历!$N$40),0),卓尔金历!$M$43),0),1)</f>
        <v>0.36837879155395958</v>
      </c>
      <c r="M1658" s="4">
        <f>MIN(MAX(M1657*(1+MAX(MIN(((B1658-B1657)/B1657)/($K$7*30),0),-卓尔金历!$M$43))+MIN(MAX(((B1658-B1657)/B1657)/($K$7*7),0),卓尔金历!$M$43),0),1)</f>
        <v>0.92831045575614324</v>
      </c>
      <c r="N1658">
        <f t="shared" si="203"/>
        <v>795.88942728007066</v>
      </c>
      <c r="O1658">
        <f t="shared" si="204"/>
        <v>2084.0614726994077</v>
      </c>
      <c r="P1658">
        <f t="shared" si="205"/>
        <v>-3.2924767540152004E-3</v>
      </c>
      <c r="Q1658">
        <f t="shared" si="206"/>
        <v>3.7777273578811527E-2</v>
      </c>
      <c r="R1658">
        <f t="shared" si="207"/>
        <v>1</v>
      </c>
      <c r="S1658">
        <f t="shared" si="199"/>
        <v>16.244676122425513</v>
      </c>
      <c r="T1658" s="564">
        <f>IF((I1658-MAX(I$470:I1658))/MAX(I$470:I1658)&gt;T1657,T1657,(I1658-MAX(I$470:I1658))/MAX(I$470:I1658))</f>
        <v>-0.91338805338419748</v>
      </c>
      <c r="U1658" s="564">
        <f>IF((J1658-MAX(J$470:J1658))/MAX(J$470:J1658)&gt;U1657,U1657,(J1658-MAX(J$470:J1658))/MAX(J$470:J1658))</f>
        <v>-0.8283551177402233</v>
      </c>
      <c r="V1658" s="564">
        <f>IF((K1658-MAX(K$470:K1658))/MAX(K$470:K1658)&gt;V1657,V1657,(K1658-MAX(K$470:K1658))/MAX(K$470:K1658))</f>
        <v>-0.84885940676762139</v>
      </c>
      <c r="W1658" s="564">
        <f>IF((N1658-MAX(N$470:N1658))/MAX(N$470:N1658)&gt;W1657,W1657,(N1658-MAX(N$470:N1658))/MAX(N$470:N1658))</f>
        <v>-0.62788758315546067</v>
      </c>
      <c r="X1658" s="564">
        <f>IF((O1658-MAX(O$470:O1658))/MAX(O$470:O1658)&gt;X1657,X1657,(O1658-MAX(O$470:O1658))/MAX(O$470:O1658))</f>
        <v>-0.62788758315546067</v>
      </c>
    </row>
    <row r="1659" spans="1:24">
      <c r="A1659" s="799">
        <v>42061</v>
      </c>
      <c r="B1659">
        <v>236.16</v>
      </c>
      <c r="C1659">
        <v>334.72753</v>
      </c>
      <c r="D1659">
        <v>0.78722000000000003</v>
      </c>
      <c r="E1659">
        <f>LN(D1659/参数实验室!$E$53)/参数实验室!$E$55</f>
        <v>-0.97522134008939243</v>
      </c>
      <c r="F1659">
        <f t="shared" si="198"/>
        <v>1.417376058604336</v>
      </c>
      <c r="G1659">
        <f>LN(F1659/参数实验室!$E$58)/参数实验室!$E$59</f>
        <v>-7.4570944965908197E-3</v>
      </c>
      <c r="H1659" s="856">
        <f>INDEX(神经网络!$G$10:$BO$70,MATCH(ROUND(G1659*2,1)/2,神经网络!$E$10:$E$70,0),MATCH(ROUND(E1659*2,1)/2,神经网络!$G$8:$BO$8,0))</f>
        <v>-0.19362289817399783</v>
      </c>
      <c r="I1659">
        <f t="shared" si="200"/>
        <v>1003.7132230560816</v>
      </c>
      <c r="J1659">
        <f t="shared" si="201"/>
        <v>94.234068871952246</v>
      </c>
      <c r="K1659">
        <f t="shared" si="202"/>
        <v>10.651277558862006</v>
      </c>
      <c r="L1659" s="4">
        <f>MIN(MAX(L1658*(1+MAX(MIN(((B1659-B1658)/B1658)/($K$7*卓尔金历!$N$40),0),-卓尔金历!$M$43))+MIN(MAX(((B1659-B1658)/B1658)/($K$7*卓尔金历!$N$40),0),卓尔金历!$M$43),0),1)</f>
        <v>0.39034288587141236</v>
      </c>
      <c r="M1659" s="4">
        <f>MIN(MAX(M1658*(1+MAX(MIN(((B1659-B1658)/B1658)/($K$7*30),0),-卓尔金历!$M$43))+MIN(MAX(((B1659-B1658)/B1658)/($K$7*7),0),卓尔金历!$M$43),0),1)</f>
        <v>0.97537637215068496</v>
      </c>
      <c r="N1659">
        <f t="shared" si="203"/>
        <v>795.81031652321235</v>
      </c>
      <c r="O1659">
        <f t="shared" si="204"/>
        <v>2083.539446918001</v>
      </c>
      <c r="P1659">
        <f t="shared" si="205"/>
        <v>1.4375310086887879E-3</v>
      </c>
      <c r="Q1659">
        <f t="shared" si="206"/>
        <v>3.774187954355733E-2</v>
      </c>
      <c r="R1659">
        <f t="shared" si="207"/>
        <v>1</v>
      </c>
      <c r="S1659">
        <f t="shared" si="199"/>
        <v>16.240292842140526</v>
      </c>
      <c r="T1659" s="564">
        <f>IF((I1659-MAX(I$470:I1659))/MAX(I$470:I1659)&gt;T1658,T1658,(I1659-MAX(I$470:I1659))/MAX(I$470:I1659))</f>
        <v>-0.91338805338419748</v>
      </c>
      <c r="U1659" s="564">
        <f>IF((J1659-MAX(J$470:J1659))/MAX(J$470:J1659)&gt;U1658,U1658,(J1659-MAX(J$470:J1659))/MAX(J$470:J1659))</f>
        <v>-0.8283551177402233</v>
      </c>
      <c r="V1659" s="564">
        <f>IF((K1659-MAX(K$470:K1659))/MAX(K$470:K1659)&gt;V1658,V1658,(K1659-MAX(K$470:K1659))/MAX(K$470:K1659))</f>
        <v>-0.84885940676762139</v>
      </c>
      <c r="W1659" s="564">
        <f>IF((N1659-MAX(N$470:N1659))/MAX(N$470:N1659)&gt;W1658,W1658,(N1659-MAX(N$470:N1659))/MAX(N$470:N1659))</f>
        <v>-0.62788758315546067</v>
      </c>
      <c r="X1659" s="564">
        <f>IF((O1659-MAX(O$470:O1659))/MAX(O$470:O1659)&gt;X1658,X1658,(O1659-MAX(O$470:O1659))/MAX(O$470:O1659))</f>
        <v>-0.62788758315546067</v>
      </c>
    </row>
    <row r="1660" spans="1:24">
      <c r="A1660" s="799">
        <v>42062</v>
      </c>
      <c r="B1660">
        <v>251.80199999999999</v>
      </c>
      <c r="C1660">
        <v>337.684484</v>
      </c>
      <c r="D1660">
        <v>0.84700500000000001</v>
      </c>
      <c r="E1660">
        <f>LN(D1660/参数实验室!$E$53)/参数实验室!$E$55</f>
        <v>-0.88886476418032523</v>
      </c>
      <c r="F1660">
        <f t="shared" si="198"/>
        <v>1.3410714926807572</v>
      </c>
      <c r="G1660">
        <f>LN(F1660/参数实验室!$E$58)/参数实验室!$E$59</f>
        <v>-3.6501677656262402E-2</v>
      </c>
      <c r="H1660" s="856">
        <f>INDEX(神经网络!$G$10:$BO$70,MATCH(ROUND(G1660*2,1)/2,神经网络!$E$10:$E$70,0),MATCH(ROUND(E1660*2,1)/2,神经网络!$G$8:$BO$8,0))</f>
        <v>-0.30464368943932713</v>
      </c>
      <c r="I1660">
        <f t="shared" si="200"/>
        <v>990.84103714856474</v>
      </c>
      <c r="J1660">
        <f t="shared" si="201"/>
        <v>100.47563943976677</v>
      </c>
      <c r="K1660">
        <f t="shared" si="202"/>
        <v>9.8615051635730584</v>
      </c>
      <c r="L1660" s="4">
        <f>MIN(MAX(L1659*(1+MAX(MIN(((B1660-B1659)/B1659)/($K$7*卓尔金历!$N$40),0),-卓尔金历!$M$43))+MIN(MAX(((B1660-B1659)/B1659)/($K$7*卓尔金历!$N$40),0),卓尔金历!$M$43),0),1)</f>
        <v>1</v>
      </c>
      <c r="M1660" s="4">
        <f>MIN(MAX(M1659*(1+MAX(MIN(((B1660-B1659)/B1659)/($K$7*30),0),-卓尔金历!$M$43))+MIN(MAX(((B1660-B1659)/B1659)/($K$7*7),0),卓尔金历!$M$43),0),1)</f>
        <v>1</v>
      </c>
      <c r="N1660">
        <f t="shared" si="203"/>
        <v>791.82650768033159</v>
      </c>
      <c r="O1660">
        <f t="shared" si="204"/>
        <v>2057.4769142954765</v>
      </c>
      <c r="P1660">
        <f t="shared" si="205"/>
        <v>6.6234756097560965E-2</v>
      </c>
      <c r="Q1660">
        <f t="shared" si="206"/>
        <v>3.9236328524438736E-2</v>
      </c>
      <c r="R1660">
        <f t="shared" si="207"/>
        <v>1.7980145512278698E-2</v>
      </c>
      <c r="S1660">
        <f t="shared" si="199"/>
        <v>16.032018143895503</v>
      </c>
      <c r="T1660" s="564">
        <f>IF((I1660-MAX(I$470:I1660))/MAX(I$470:I1660)&gt;T1659,T1659,(I1660-MAX(I$470:I1660))/MAX(I$470:I1660))</f>
        <v>-0.91338805338419748</v>
      </c>
      <c r="U1660" s="564">
        <f>IF((J1660-MAX(J$470:J1660))/MAX(J$470:J1660)&gt;U1659,U1659,(J1660-MAX(J$470:J1660))/MAX(J$470:J1660))</f>
        <v>-0.8283551177402233</v>
      </c>
      <c r="V1660" s="564">
        <f>IF((K1660-MAX(K$470:K1660))/MAX(K$470:K1660)&gt;V1659,V1659,(K1660-MAX(K$470:K1660))/MAX(K$470:K1660))</f>
        <v>-0.84885940676762139</v>
      </c>
      <c r="W1660" s="564">
        <f>IF((N1660-MAX(N$470:N1660))/MAX(N$470:N1660)&gt;W1659,W1659,(N1660-MAX(N$470:N1660))/MAX(N$470:N1660))</f>
        <v>-0.62788758315546067</v>
      </c>
      <c r="X1660" s="564">
        <f>IF((O1660-MAX(O$470:O1660))/MAX(O$470:O1660)&gt;X1659,X1659,(O1660-MAX(O$470:O1660))/MAX(O$470:O1660))</f>
        <v>-0.62788758315546067</v>
      </c>
    </row>
    <row r="1661" spans="1:24">
      <c r="A1661" s="799">
        <v>42063</v>
      </c>
      <c r="B1661">
        <v>252.86</v>
      </c>
      <c r="C1661">
        <v>342.91925700000002</v>
      </c>
      <c r="D1661">
        <v>0.84675699999999998</v>
      </c>
      <c r="E1661">
        <f>LN(D1661/参数实验室!$E$53)/参数实验室!$E$55</f>
        <v>-0.88921024224229128</v>
      </c>
      <c r="F1661">
        <f t="shared" si="198"/>
        <v>1.3561625286719925</v>
      </c>
      <c r="G1661">
        <f>LN(F1661/参数实验室!$E$58)/参数实验室!$E$59</f>
        <v>-3.0628495098085278E-2</v>
      </c>
      <c r="H1661" s="856">
        <f>INDEX(神经网络!$G$10:$BO$70,MATCH(ROUND(G1661*2,1)/2,神经网络!$E$10:$E$70,0),MATCH(ROUND(E1661*2,1)/2,神经网络!$G$8:$BO$8,0))</f>
        <v>-0.30464368943932713</v>
      </c>
      <c r="I1661">
        <f t="shared" si="200"/>
        <v>989.57273518742579</v>
      </c>
      <c r="J1661">
        <f t="shared" si="201"/>
        <v>100.89780934519752</v>
      </c>
      <c r="K1661">
        <f t="shared" si="202"/>
        <v>9.8076731458246176</v>
      </c>
      <c r="L1661" s="4">
        <f>MIN(MAX(L1660*(1+MAX(MIN(((B1661-B1660)/B1660)/($K$7*卓尔金历!$N$40),0),-卓尔金历!$M$43))+MIN(MAX(((B1661-B1660)/B1660)/($K$7*卓尔金历!$N$40),0),卓尔金历!$M$43),0),1)</f>
        <v>1</v>
      </c>
      <c r="M1661" s="4">
        <f>MIN(MAX(M1660*(1+MAX(MIN(((B1661-B1660)/B1660)/($K$7*30),0),-卓尔金历!$M$43))+MIN(MAX(((B1661-B1660)/B1660)/($K$7*7),0),卓尔金历!$M$43),0),1)</f>
        <v>1</v>
      </c>
      <c r="N1661">
        <f t="shared" si="203"/>
        <v>790.81294942535374</v>
      </c>
      <c r="O1661">
        <f t="shared" si="204"/>
        <v>2054.8432910324468</v>
      </c>
      <c r="P1661">
        <f t="shared" si="205"/>
        <v>4.201714045162553E-3</v>
      </c>
      <c r="Q1661">
        <f t="shared" si="206"/>
        <v>3.8289705958612592E-2</v>
      </c>
      <c r="R1661">
        <f t="shared" si="207"/>
        <v>1</v>
      </c>
      <c r="S1661">
        <f t="shared" si="199"/>
        <v>16.031649166231873</v>
      </c>
      <c r="T1661" s="564">
        <f>IF((I1661-MAX(I$470:I1661))/MAX(I$470:I1661)&gt;T1660,T1660,(I1661-MAX(I$470:I1661))/MAX(I$470:I1661))</f>
        <v>-0.91338805338419748</v>
      </c>
      <c r="U1661" s="564">
        <f>IF((J1661-MAX(J$470:J1661))/MAX(J$470:J1661)&gt;U1660,U1660,(J1661-MAX(J$470:J1661))/MAX(J$470:J1661))</f>
        <v>-0.8283551177402233</v>
      </c>
      <c r="V1661" s="564">
        <f>IF((K1661-MAX(K$470:K1661))/MAX(K$470:K1661)&gt;V1660,V1660,(K1661-MAX(K$470:K1661))/MAX(K$470:K1661))</f>
        <v>-0.84885940676762139</v>
      </c>
      <c r="W1661" s="564">
        <f>IF((N1661-MAX(N$470:N1661))/MAX(N$470:N1661)&gt;W1660,W1660,(N1661-MAX(N$470:N1661))/MAX(N$470:N1661))</f>
        <v>-0.62788758315546067</v>
      </c>
      <c r="X1661" s="564">
        <f>IF((O1661-MAX(O$470:O1661))/MAX(O$470:O1661)&gt;X1660,X1660,(O1661-MAX(O$470:O1661))/MAX(O$470:O1661))</f>
        <v>-0.62788758315546067</v>
      </c>
    </row>
    <row r="1662" spans="1:24">
      <c r="A1662" s="799">
        <v>42064</v>
      </c>
      <c r="B1662">
        <v>246.09800000000001</v>
      </c>
      <c r="C1662">
        <v>342.74379699999997</v>
      </c>
      <c r="D1662">
        <v>0.86514899999999995</v>
      </c>
      <c r="E1662">
        <f>LN(D1662/参数实验室!$E$53)/参数实验室!$E$55</f>
        <v>-0.86385971885036339</v>
      </c>
      <c r="F1662">
        <f t="shared" si="198"/>
        <v>1.3927126469942865</v>
      </c>
      <c r="G1662">
        <f>LN(F1662/参数实验室!$E$58)/参数实验室!$E$59</f>
        <v>-1.6670343651802536E-2</v>
      </c>
      <c r="H1662" s="856">
        <f>INDEX(神经网络!$G$10:$BO$70,MATCH(ROUND(G1662*2,1)/2,神经网络!$E$10:$E$70,0),MATCH(ROUND(E1662*2,1)/2,神经网络!$G$8:$BO$8,0))</f>
        <v>-0.22003120115745864</v>
      </c>
      <c r="I1662">
        <f t="shared" si="200"/>
        <v>997.63458939895236</v>
      </c>
      <c r="J1662">
        <f t="shared" si="201"/>
        <v>98.199592993096644</v>
      </c>
      <c r="K1662">
        <f t="shared" si="202"/>
        <v>10.159253811460148</v>
      </c>
      <c r="L1662" s="4">
        <f>MIN(MAX(L1661*(1+MAX(MIN(((B1662-B1661)/B1661)/($K$7*卓尔金历!$N$40),0),-卓尔金历!$M$43))+MIN(MAX(((B1662-B1661)/B1661)/($K$7*卓尔金历!$N$40),0),卓尔金历!$M$43),0),1)</f>
        <v>0.59140682198042838</v>
      </c>
      <c r="M1662" s="4">
        <f>MIN(MAX(M1661*(1+MAX(MIN(((B1662-B1661)/B1661)/($K$7*30),0),-卓尔金历!$M$43))+MIN(MAX(((B1662-B1661)/B1661)/($K$7*7),0),卓尔金历!$M$43),0),1)</f>
        <v>0.79570341099021413</v>
      </c>
      <c r="N1662">
        <f t="shared" si="203"/>
        <v>797.25554680112623</v>
      </c>
      <c r="O1662">
        <f t="shared" si="204"/>
        <v>2071.5836946943359</v>
      </c>
      <c r="P1662">
        <f t="shared" si="205"/>
        <v>-2.6742070711065411E-2</v>
      </c>
      <c r="Q1662">
        <f t="shared" si="206"/>
        <v>3.8831903040255536E-2</v>
      </c>
      <c r="R1662">
        <f t="shared" si="207"/>
        <v>0.42557606967414857</v>
      </c>
      <c r="S1662">
        <f t="shared" si="199"/>
        <v>16.162255855111617</v>
      </c>
      <c r="T1662" s="564">
        <f>IF((I1662-MAX(I$470:I1662))/MAX(I$470:I1662)&gt;T1661,T1661,(I1662-MAX(I$470:I1662))/MAX(I$470:I1662))</f>
        <v>-0.91338805338419748</v>
      </c>
      <c r="U1662" s="564">
        <f>IF((J1662-MAX(J$470:J1662))/MAX(J$470:J1662)&gt;U1661,U1661,(J1662-MAX(J$470:J1662))/MAX(J$470:J1662))</f>
        <v>-0.8283551177402233</v>
      </c>
      <c r="V1662" s="564">
        <f>IF((K1662-MAX(K$470:K1662))/MAX(K$470:K1662)&gt;V1661,V1661,(K1662-MAX(K$470:K1662))/MAX(K$470:K1662))</f>
        <v>-0.84885940676762139</v>
      </c>
      <c r="W1662" s="564">
        <f>IF((N1662-MAX(N$470:N1662))/MAX(N$470:N1662)&gt;W1661,W1661,(N1662-MAX(N$470:N1662))/MAX(N$470:N1662))</f>
        <v>-0.62788758315546067</v>
      </c>
      <c r="X1662" s="564">
        <f>IF((O1662-MAX(O$470:O1662))/MAX(O$470:O1662)&gt;X1661,X1661,(O1662-MAX(O$470:O1662))/MAX(O$470:O1662))</f>
        <v>-0.62788758315546067</v>
      </c>
    </row>
    <row r="1663" spans="1:24">
      <c r="A1663" s="799">
        <v>42065</v>
      </c>
      <c r="B1663">
        <v>258.834</v>
      </c>
      <c r="C1663">
        <v>344.88488599999999</v>
      </c>
      <c r="D1663">
        <v>0.91679699999999997</v>
      </c>
      <c r="E1663">
        <f>LN(D1663/参数实验室!$E$53)/参数实验室!$E$55</f>
        <v>-0.79545252065315175</v>
      </c>
      <c r="F1663">
        <f t="shared" si="198"/>
        <v>1.3324558829211</v>
      </c>
      <c r="G1663">
        <f>LN(F1663/参数实验室!$E$58)/参数实验室!$E$59</f>
        <v>-3.9884439554000707E-2</v>
      </c>
      <c r="H1663" s="856">
        <f>INDEX(神经网络!$G$10:$BO$70,MATCH(ROUND(G1663*2,1)/2,神经网络!$E$10:$E$70,0),MATCH(ROUND(E1663*2,1)/2,神经网络!$G$8:$BO$8,0))</f>
        <v>-0.33769751404220244</v>
      </c>
      <c r="I1663">
        <f t="shared" si="200"/>
        <v>986.27452655119203</v>
      </c>
      <c r="J1663">
        <f t="shared" si="201"/>
        <v>103.28159291329135</v>
      </c>
      <c r="K1663">
        <f t="shared" si="202"/>
        <v>9.5493736950707699</v>
      </c>
      <c r="L1663" s="4">
        <f>MIN(MAX(L1662*(1+MAX(MIN(((B1663-B1662)/B1662)/($K$7*卓尔金历!$N$40),0),-卓尔金历!$M$43))+MIN(MAX(((B1663-B1662)/B1662)/($K$7*卓尔金历!$N$40),0),卓尔金历!$M$43),0),1)</f>
        <v>1</v>
      </c>
      <c r="M1663" s="4">
        <f>MIN(MAX(M1662*(1+MAX(MIN(((B1663-B1662)/B1662)/($K$7*30),0),-卓尔金历!$M$43))+MIN(MAX(((B1663-B1662)/B1662)/($K$7*7),0),卓尔金历!$M$43),0),1)</f>
        <v>1</v>
      </c>
      <c r="N1663">
        <f t="shared" si="203"/>
        <v>791.8865503726239</v>
      </c>
      <c r="O1663">
        <f t="shared" si="204"/>
        <v>2052.8137523089649</v>
      </c>
      <c r="P1663">
        <f t="shared" si="205"/>
        <v>5.1751741176279328E-2</v>
      </c>
      <c r="Q1663">
        <f t="shared" si="206"/>
        <v>3.9614133092762481E-2</v>
      </c>
      <c r="R1663">
        <f t="shared" si="207"/>
        <v>2.8453217733677188E-2</v>
      </c>
      <c r="S1663">
        <f t="shared" si="199"/>
        <v>16.083933017638383</v>
      </c>
      <c r="T1663" s="564">
        <f>IF((I1663-MAX(I$470:I1663))/MAX(I$470:I1663)&gt;T1662,T1662,(I1663-MAX(I$470:I1663))/MAX(I$470:I1663))</f>
        <v>-0.91338805338419748</v>
      </c>
      <c r="U1663" s="564">
        <f>IF((J1663-MAX(J$470:J1663))/MAX(J$470:J1663)&gt;U1662,U1662,(J1663-MAX(J$470:J1663))/MAX(J$470:J1663))</f>
        <v>-0.8283551177402233</v>
      </c>
      <c r="V1663" s="564">
        <f>IF((K1663-MAX(K$470:K1663))/MAX(K$470:K1663)&gt;V1662,V1662,(K1663-MAX(K$470:K1663))/MAX(K$470:K1663))</f>
        <v>-0.84885940676762139</v>
      </c>
      <c r="W1663" s="564">
        <f>IF((N1663-MAX(N$470:N1663))/MAX(N$470:N1663)&gt;W1662,W1662,(N1663-MAX(N$470:N1663))/MAX(N$470:N1663))</f>
        <v>-0.62788758315546067</v>
      </c>
      <c r="X1663" s="564">
        <f>IF((O1663-MAX(O$470:O1663))/MAX(O$470:O1663)&gt;X1662,X1662,(O1663-MAX(O$470:O1663))/MAX(O$470:O1663))</f>
        <v>-0.62788758315546067</v>
      </c>
    </row>
    <row r="1664" spans="1:24">
      <c r="A1664" s="799">
        <v>42066</v>
      </c>
      <c r="B1664">
        <v>270.29500000000002</v>
      </c>
      <c r="C1664">
        <v>344.51496200000003</v>
      </c>
      <c r="D1664">
        <v>0.93914500000000001</v>
      </c>
      <c r="E1664">
        <f>LN(D1664/参数实验室!$E$53)/参数实验室!$E$55</f>
        <v>-0.76703956392884765</v>
      </c>
      <c r="F1664">
        <f t="shared" si="198"/>
        <v>1.2745887345307905</v>
      </c>
      <c r="G1664">
        <f>LN(F1664/参数实验室!$E$58)/参数实验室!$E$59</f>
        <v>-6.3188065393721904E-2</v>
      </c>
      <c r="H1664" s="856">
        <f>INDEX(神经网络!$G$10:$BO$70,MATCH(ROUND(G1664*2,1)/2,神经网络!$E$10:$E$70,0),MATCH(ROUND(E1664*2,1)/2,神经网络!$G$8:$BO$8,0))</f>
        <v>-0.35928109788115664</v>
      </c>
      <c r="I1664">
        <f t="shared" si="200"/>
        <v>971.52673914424884</v>
      </c>
      <c r="J1664">
        <f t="shared" si="201"/>
        <v>107.85483420454069</v>
      </c>
      <c r="K1664">
        <f t="shared" si="202"/>
        <v>9.0077254887045903</v>
      </c>
      <c r="L1664" s="4">
        <f>MIN(MAX(L1663*(1+MAX(MIN(((B1664-B1663)/B1663)/($K$7*卓尔金历!$N$40),0),-卓尔金历!$M$43))+MIN(MAX(((B1664-B1663)/B1663)/($K$7*卓尔金历!$N$40),0),卓尔金历!$M$43),0),1)</f>
        <v>1</v>
      </c>
      <c r="M1664" s="4">
        <f>MIN(MAX(M1663*(1+MAX(MIN(((B1664-B1663)/B1663)/($K$7*30),0),-卓尔金历!$M$43))+MIN(MAX(((B1664-B1663)/B1663)/($K$7*7),0),卓尔金历!$M$43),0),1)</f>
        <v>1</v>
      </c>
      <c r="N1664">
        <f t="shared" si="203"/>
        <v>780.04545118480371</v>
      </c>
      <c r="O1664">
        <f t="shared" si="204"/>
        <v>2022.1179774611994</v>
      </c>
      <c r="P1664">
        <f t="shared" si="205"/>
        <v>4.4279345062858869E-2</v>
      </c>
      <c r="Q1664">
        <f t="shared" si="206"/>
        <v>3.9502779468747432E-2</v>
      </c>
      <c r="R1664">
        <f t="shared" si="207"/>
        <v>3.509228750350564E-2</v>
      </c>
      <c r="S1664">
        <f t="shared" si="199"/>
        <v>16.07708992065227</v>
      </c>
      <c r="T1664" s="564">
        <f>IF((I1664-MAX(I$470:I1664))/MAX(I$470:I1664)&gt;T1663,T1663,(I1664-MAX(I$470:I1664))/MAX(I$470:I1664))</f>
        <v>-0.91338805338419748</v>
      </c>
      <c r="U1664" s="564">
        <f>IF((J1664-MAX(J$470:J1664))/MAX(J$470:J1664)&gt;U1663,U1663,(J1664-MAX(J$470:J1664))/MAX(J$470:J1664))</f>
        <v>-0.8283551177402233</v>
      </c>
      <c r="V1664" s="564">
        <f>IF((K1664-MAX(K$470:K1664))/MAX(K$470:K1664)&gt;V1663,V1663,(K1664-MAX(K$470:K1664))/MAX(K$470:K1664))</f>
        <v>-0.84885940676762139</v>
      </c>
      <c r="W1664" s="564">
        <f>IF((N1664-MAX(N$470:N1664))/MAX(N$470:N1664)&gt;W1663,W1663,(N1664-MAX(N$470:N1664))/MAX(N$470:N1664))</f>
        <v>-0.62788758315546067</v>
      </c>
      <c r="X1664" s="564">
        <f>IF((O1664-MAX(O$470:O1664))/MAX(O$470:O1664)&gt;X1663,X1663,(O1664-MAX(O$470:O1664))/MAX(O$470:O1664))</f>
        <v>-0.62788758315546067</v>
      </c>
    </row>
    <row r="1665" spans="1:24">
      <c r="A1665" s="799">
        <v>42067</v>
      </c>
      <c r="B1665">
        <v>278.93400000000003</v>
      </c>
      <c r="C1665">
        <v>349.180319</v>
      </c>
      <c r="D1665">
        <v>0.90841300000000003</v>
      </c>
      <c r="E1665">
        <f>LN(D1665/参数实验室!$E$53)/参数实验室!$E$55</f>
        <v>-0.80629085790147681</v>
      </c>
      <c r="F1665">
        <f t="shared" si="198"/>
        <v>1.2518384958448951</v>
      </c>
      <c r="G1665">
        <f>LN(F1665/参数实验室!$E$58)/参数实验室!$E$59</f>
        <v>-7.2640843113995712E-2</v>
      </c>
      <c r="H1665" s="856">
        <f>INDEX(神经网络!$G$10:$BO$70,MATCH(ROUND(G1665*2,1)/2,神经网络!$E$10:$E$70,0),MATCH(ROUND(E1665*2,1)/2,神经网络!$G$8:$BO$8,0))</f>
        <v>-0.33769751404220244</v>
      </c>
      <c r="I1665">
        <f t="shared" si="200"/>
        <v>960.37058286941385</v>
      </c>
      <c r="J1665">
        <f t="shared" si="201"/>
        <v>111.30202306372429</v>
      </c>
      <c r="K1665">
        <f t="shared" si="202"/>
        <v>8.6285096751526993</v>
      </c>
      <c r="L1665" s="4">
        <f>MIN(MAX(L1664*(1+MAX(MIN(((B1665-B1664)/B1664)/($K$7*卓尔金历!$N$40),0),-卓尔金历!$M$43))+MIN(MAX(((B1665-B1664)/B1664)/($K$7*卓尔金历!$N$40),0),卓尔金历!$M$43),0),1)</f>
        <v>1</v>
      </c>
      <c r="M1665" s="4">
        <f>MIN(MAX(M1664*(1+MAX(MIN(((B1665-B1664)/B1664)/($K$7*30),0),-卓尔金历!$M$43))+MIN(MAX(((B1665-B1664)/B1664)/($K$7*7),0),卓尔金历!$M$43),0),1)</f>
        <v>1</v>
      </c>
      <c r="N1665">
        <f t="shared" si="203"/>
        <v>771.0880971519573</v>
      </c>
      <c r="O1665">
        <f t="shared" si="204"/>
        <v>1998.8977579306684</v>
      </c>
      <c r="P1665">
        <f t="shared" si="205"/>
        <v>3.1961375534138664E-2</v>
      </c>
      <c r="Q1665">
        <f t="shared" si="206"/>
        <v>3.9715091270072958E-2</v>
      </c>
      <c r="R1665">
        <f t="shared" si="207"/>
        <v>0.26528599418890197</v>
      </c>
      <c r="S1665">
        <f t="shared" si="199"/>
        <v>16.070611353709001</v>
      </c>
      <c r="T1665" s="564">
        <f>IF((I1665-MAX(I$470:I1665))/MAX(I$470:I1665)&gt;T1664,T1664,(I1665-MAX(I$470:I1665))/MAX(I$470:I1665))</f>
        <v>-0.91338805338419748</v>
      </c>
      <c r="U1665" s="564">
        <f>IF((J1665-MAX(J$470:J1665))/MAX(J$470:J1665)&gt;U1664,U1664,(J1665-MAX(J$470:J1665))/MAX(J$470:J1665))</f>
        <v>-0.8283551177402233</v>
      </c>
      <c r="V1665" s="564">
        <f>IF((K1665-MAX(K$470:K1665))/MAX(K$470:K1665)&gt;V1664,V1664,(K1665-MAX(K$470:K1665))/MAX(K$470:K1665))</f>
        <v>-0.84885940676762139</v>
      </c>
      <c r="W1665" s="564">
        <f>IF((N1665-MAX(N$470:N1665))/MAX(N$470:N1665)&gt;W1664,W1664,(N1665-MAX(N$470:N1665))/MAX(N$470:N1665))</f>
        <v>-0.62788758315546067</v>
      </c>
      <c r="X1665" s="564">
        <f>IF((O1665-MAX(O$470:O1665))/MAX(O$470:O1665)&gt;X1664,X1664,(O1665-MAX(O$470:O1665))/MAX(O$470:O1665))</f>
        <v>-0.62788758315546067</v>
      </c>
    </row>
    <row r="1666" spans="1:24">
      <c r="A1666" s="799">
        <v>42068</v>
      </c>
      <c r="B1666">
        <v>282.029</v>
      </c>
      <c r="C1666">
        <v>348.286272</v>
      </c>
      <c r="D1666">
        <v>0.91835100000000003</v>
      </c>
      <c r="E1666">
        <f>LN(D1666/参数实验室!$E$53)/参数实验室!$E$55</f>
        <v>-0.79345449435844262</v>
      </c>
      <c r="F1666">
        <f t="shared" si="198"/>
        <v>1.2349307057075691</v>
      </c>
      <c r="G1666">
        <f>LN(F1666/参数实验室!$E$58)/参数实验室!$E$59</f>
        <v>-7.977802235440333E-2</v>
      </c>
      <c r="H1666" s="856">
        <f>INDEX(神经网络!$G$10:$BO$70,MATCH(ROUND(G1666*2,1)/2,神经网络!$E$10:$E$70,0),MATCH(ROUND(E1666*2,1)/2,神经网络!$G$8:$BO$8,0))</f>
        <v>-0.43356755541399628</v>
      </c>
      <c r="I1666">
        <f t="shared" si="200"/>
        <v>956.77204637966997</v>
      </c>
      <c r="J1666">
        <f t="shared" si="201"/>
        <v>112.53700969634069</v>
      </c>
      <c r="K1666">
        <f t="shared" si="202"/>
        <v>8.5018435176244154</v>
      </c>
      <c r="L1666" s="4">
        <f>MIN(MAX(L1665*(1+MAX(MIN(((B1666-B1665)/B1665)/($K$7*卓尔金历!$N$40),0),-卓尔金历!$M$43))+MIN(MAX(((B1666-B1665)/B1665)/($K$7*卓尔金历!$N$40),0),卓尔金历!$M$43),0),1)</f>
        <v>1</v>
      </c>
      <c r="M1666" s="4">
        <f>MIN(MAX(M1665*(1+MAX(MIN(((B1666-B1665)/B1665)/($K$7*30),0),-卓尔金历!$M$43))+MIN(MAX(((B1666-B1665)/B1665)/($K$7*7),0),卓尔金历!$M$43),0),1)</f>
        <v>1</v>
      </c>
      <c r="N1666">
        <f t="shared" si="203"/>
        <v>768.19880763819697</v>
      </c>
      <c r="O1666">
        <f t="shared" si="204"/>
        <v>1991.4078299284081</v>
      </c>
      <c r="P1666">
        <f t="shared" si="205"/>
        <v>1.10958147805573E-2</v>
      </c>
      <c r="Q1666">
        <f t="shared" si="206"/>
        <v>3.9498991597943081E-2</v>
      </c>
      <c r="R1666">
        <f t="shared" si="207"/>
        <v>1</v>
      </c>
      <c r="S1666">
        <f t="shared" si="199"/>
        <v>16.054636614295692</v>
      </c>
      <c r="T1666" s="564">
        <f>IF((I1666-MAX(I$470:I1666))/MAX(I$470:I1666)&gt;T1665,T1665,(I1666-MAX(I$470:I1666))/MAX(I$470:I1666))</f>
        <v>-0.91338805338419748</v>
      </c>
      <c r="U1666" s="564">
        <f>IF((J1666-MAX(J$470:J1666))/MAX(J$470:J1666)&gt;U1665,U1665,(J1666-MAX(J$470:J1666))/MAX(J$470:J1666))</f>
        <v>-0.8283551177402233</v>
      </c>
      <c r="V1666" s="564">
        <f>IF((K1666-MAX(K$470:K1666))/MAX(K$470:K1666)&gt;V1665,V1665,(K1666-MAX(K$470:K1666))/MAX(K$470:K1666))</f>
        <v>-0.84885940676762139</v>
      </c>
      <c r="W1666" s="564">
        <f>IF((N1666-MAX(N$470:N1666))/MAX(N$470:N1666)&gt;W1665,W1665,(N1666-MAX(N$470:N1666))/MAX(N$470:N1666))</f>
        <v>-0.62788758315546067</v>
      </c>
      <c r="X1666" s="564">
        <f>IF((O1666-MAX(O$470:O1666))/MAX(O$470:O1666)&gt;X1665,X1665,(O1666-MAX(O$470:O1666))/MAX(O$470:O1666))</f>
        <v>-0.62788758315546067</v>
      </c>
    </row>
    <row r="1667" spans="1:24">
      <c r="A1667" s="799">
        <v>42069</v>
      </c>
      <c r="B1667">
        <v>267.15499999999997</v>
      </c>
      <c r="C1667">
        <v>351.15125899999998</v>
      </c>
      <c r="D1667">
        <v>0.90849999999999997</v>
      </c>
      <c r="E1667">
        <f>LN(D1667/参数实验室!$E$53)/参数实验室!$E$55</f>
        <v>-0.80617787667199159</v>
      </c>
      <c r="F1667">
        <f t="shared" si="198"/>
        <v>1.3144102075574104</v>
      </c>
      <c r="G1667">
        <f>LN(F1667/参数实验室!$E$58)/参数实验室!$E$59</f>
        <v>-4.7041199362237003E-2</v>
      </c>
      <c r="H1667" s="856">
        <f>INDEX(神经网络!$G$10:$BO$70,MATCH(ROUND(G1667*2,1)/2,神经网络!$E$10:$E$70,0),MATCH(ROUND(E1667*2,1)/2,神经网络!$G$8:$BO$8,0))</f>
        <v>-0.33769751404220244</v>
      </c>
      <c r="I1667">
        <f t="shared" si="200"/>
        <v>978.64962552432291</v>
      </c>
      <c r="J1667">
        <f t="shared" si="201"/>
        <v>106.60189138502031</v>
      </c>
      <c r="K1667">
        <f t="shared" si="202"/>
        <v>9.1804152141135713</v>
      </c>
      <c r="L1667" s="4">
        <f>MIN(MAX(L1666*(1+MAX(MIN(((B1667-B1666)/B1666)/($K$7*卓尔金历!$N$40),0),-卓尔金历!$M$43))+MIN(MAX(((B1667-B1666)/B1666)/($K$7*卓尔金历!$N$40),0),卓尔金历!$M$43),0),1)</f>
        <v>0.1941947583760123</v>
      </c>
      <c r="M1667" s="4">
        <f>MIN(MAX(M1666*(1+MAX(MIN(((B1667-B1666)/B1666)/($K$7*30),0),-卓尔金历!$M$43))+MIN(MAX(((B1667-B1666)/B1666)/($K$7*7),0),卓尔金历!$M$43),0),1)</f>
        <v>0.59709737918800609</v>
      </c>
      <c r="N1667">
        <f t="shared" si="203"/>
        <v>785.76446528520512</v>
      </c>
      <c r="O1667">
        <f t="shared" si="204"/>
        <v>2036.9434228351972</v>
      </c>
      <c r="P1667">
        <f t="shared" si="205"/>
        <v>-5.2739257310418515E-2</v>
      </c>
      <c r="Q1667">
        <f t="shared" si="206"/>
        <v>3.9565005005638601E-2</v>
      </c>
      <c r="R1667">
        <f t="shared" si="207"/>
        <v>2.814638564327902E-2</v>
      </c>
      <c r="S1667">
        <f t="shared" si="199"/>
        <v>16.421742430667461</v>
      </c>
      <c r="T1667" s="564">
        <f>IF((I1667-MAX(I$470:I1667))/MAX(I$470:I1667)&gt;T1666,T1666,(I1667-MAX(I$470:I1667))/MAX(I$470:I1667))</f>
        <v>-0.91338805338419748</v>
      </c>
      <c r="U1667" s="564">
        <f>IF((J1667-MAX(J$470:J1667))/MAX(J$470:J1667)&gt;U1666,U1666,(J1667-MAX(J$470:J1667))/MAX(J$470:J1667))</f>
        <v>-0.8283551177402233</v>
      </c>
      <c r="V1667" s="564">
        <f>IF((K1667-MAX(K$470:K1667))/MAX(K$470:K1667)&gt;V1666,V1666,(K1667-MAX(K$470:K1667))/MAX(K$470:K1667))</f>
        <v>-0.84885940676762139</v>
      </c>
      <c r="W1667" s="564">
        <f>IF((N1667-MAX(N$470:N1667))/MAX(N$470:N1667)&gt;W1666,W1666,(N1667-MAX(N$470:N1667))/MAX(N$470:N1667))</f>
        <v>-0.62788758315546067</v>
      </c>
      <c r="X1667" s="564">
        <f>IF((O1667-MAX(O$470:O1667))/MAX(O$470:O1667)&gt;X1666,X1666,(O1667-MAX(O$470:O1667))/MAX(O$470:O1667))</f>
        <v>-0.62788758315546067</v>
      </c>
    </row>
    <row r="1668" spans="1:24">
      <c r="A1668" s="799">
        <v>42070</v>
      </c>
      <c r="B1668">
        <v>271.08100000000002</v>
      </c>
      <c r="C1668">
        <v>355.93131699999998</v>
      </c>
      <c r="D1668">
        <v>0.91980300000000004</v>
      </c>
      <c r="E1668">
        <f>LN(D1668/参数实验室!$E$53)/参数实验室!$E$55</f>
        <v>-0.79159066568408798</v>
      </c>
      <c r="F1668">
        <f t="shared" si="198"/>
        <v>1.3130072450669725</v>
      </c>
      <c r="G1668">
        <f>LN(F1668/参数实验室!$E$58)/参数实验室!$E$59</f>
        <v>-4.7601712199393076E-2</v>
      </c>
      <c r="H1668" s="856">
        <f>INDEX(神经网络!$G$10:$BO$70,MATCH(ROUND(G1668*2,1)/2,神经网络!$E$10:$E$70,0),MATCH(ROUND(E1668*2,1)/2,神经网络!$G$8:$BO$8,0))</f>
        <v>-0.33769751404220244</v>
      </c>
      <c r="I1668">
        <f t="shared" si="200"/>
        <v>973.79291648180867</v>
      </c>
      <c r="J1668">
        <f t="shared" si="201"/>
        <v>108.16846893579644</v>
      </c>
      <c r="K1668">
        <f t="shared" si="202"/>
        <v>9.0025580103181913</v>
      </c>
      <c r="L1668" s="4">
        <f>MIN(MAX(L1667*(1+MAX(MIN(((B1668-B1667)/B1667)/($K$7*卓尔金历!$N$40),0),-卓尔金历!$M$43))+MIN(MAX(((B1668-B1667)/B1667)/($K$7*卓尔金历!$N$40),0),卓尔金历!$M$43),0),1)</f>
        <v>0.4187292514592017</v>
      </c>
      <c r="M1668" s="4">
        <f>MIN(MAX(M1667*(1+MAX(MIN(((B1668-B1667)/B1667)/($K$7*30),0),-卓尔金历!$M$43))+MIN(MAX(((B1668-B1667)/B1667)/($K$7*7),0),卓尔金历!$M$43),0),1)</f>
        <v>1</v>
      </c>
      <c r="N1668">
        <f t="shared" si="203"/>
        <v>785.00720576783226</v>
      </c>
      <c r="O1668">
        <f t="shared" si="204"/>
        <v>2030.907565258944</v>
      </c>
      <c r="P1668">
        <f t="shared" si="205"/>
        <v>1.4695588703187457E-2</v>
      </c>
      <c r="Q1668">
        <f t="shared" si="206"/>
        <v>3.8116095267660181E-2</v>
      </c>
      <c r="R1668">
        <f t="shared" si="207"/>
        <v>1</v>
      </c>
      <c r="S1668">
        <f t="shared" si="199"/>
        <v>16.419448624468892</v>
      </c>
      <c r="T1668" s="564">
        <f>IF((I1668-MAX(I$470:I1668))/MAX(I$470:I1668)&gt;T1667,T1667,(I1668-MAX(I$470:I1668))/MAX(I$470:I1668))</f>
        <v>-0.91338805338419748</v>
      </c>
      <c r="U1668" s="564">
        <f>IF((J1668-MAX(J$470:J1668))/MAX(J$470:J1668)&gt;U1667,U1667,(J1668-MAX(J$470:J1668))/MAX(J$470:J1668))</f>
        <v>-0.8283551177402233</v>
      </c>
      <c r="V1668" s="564">
        <f>IF((K1668-MAX(K$470:K1668))/MAX(K$470:K1668)&gt;V1667,V1667,(K1668-MAX(K$470:K1668))/MAX(K$470:K1668))</f>
        <v>-0.84885940676762139</v>
      </c>
      <c r="W1668" s="564">
        <f>IF((N1668-MAX(N$470:N1668))/MAX(N$470:N1668)&gt;W1667,W1667,(N1668-MAX(N$470:N1668))/MAX(N$470:N1668))</f>
        <v>-0.62788758315546067</v>
      </c>
      <c r="X1668" s="564">
        <f>IF((O1668-MAX(O$470:O1668))/MAX(O$470:O1668)&gt;X1667,X1667,(O1668-MAX(O$470:O1668))/MAX(O$470:O1668))</f>
        <v>-0.62788758315546067</v>
      </c>
    </row>
    <row r="1669" spans="1:24">
      <c r="A1669" s="799">
        <v>42071</v>
      </c>
      <c r="B1669">
        <v>276.149</v>
      </c>
      <c r="C1669">
        <v>361.31556499999999</v>
      </c>
      <c r="D1669">
        <v>0.917493</v>
      </c>
      <c r="E1669">
        <f>LN(D1669/参数实验室!$E$53)/参数实验室!$E$55</f>
        <v>-0.79455723332431016</v>
      </c>
      <c r="F1669">
        <f t="shared" ref="F1669:F1732" si="208">C1669/B1669</f>
        <v>1.3084080152381503</v>
      </c>
      <c r="G1669">
        <f>LN(F1669/参数实验室!$E$58)/参数实验室!$E$59</f>
        <v>-4.9443409609287454E-2</v>
      </c>
      <c r="H1669" s="856">
        <f>INDEX(神经网络!$G$10:$BO$70,MATCH(ROUND(G1669*2,1)/2,神经网络!$E$10:$E$70,0),MATCH(ROUND(E1669*2,1)/2,神经网络!$G$8:$BO$8,0))</f>
        <v>-0.33769751404220244</v>
      </c>
      <c r="I1669">
        <f t="shared" si="200"/>
        <v>967.64494276974096</v>
      </c>
      <c r="J1669">
        <f t="shared" si="201"/>
        <v>110.19073460755733</v>
      </c>
      <c r="K1669">
        <f t="shared" si="202"/>
        <v>8.7815454376994051</v>
      </c>
      <c r="L1669" s="4">
        <f>MIN(MAX(L1668*(1+MAX(MIN(((B1669-B1668)/B1668)/($K$7*卓尔金历!$N$40),0),-卓尔金历!$M$43))+MIN(MAX(((B1669-B1668)/B1668)/($K$7*卓尔金历!$N$40),0),卓尔金历!$M$43),0),1)</f>
        <v>0.70437884181861521</v>
      </c>
      <c r="M1669" s="4">
        <f>MIN(MAX(M1668*(1+MAX(MIN(((B1669-B1668)/B1668)/($K$7*30),0),-卓尔金历!$M$43))+MIN(MAX(((B1669-B1668)/B1668)/($K$7*7),0),卓尔金历!$M$43),0),1)</f>
        <v>1</v>
      </c>
      <c r="N1669">
        <f t="shared" si="203"/>
        <v>782.93194663032375</v>
      </c>
      <c r="O1669">
        <f t="shared" si="204"/>
        <v>2018.0855718848684</v>
      </c>
      <c r="P1669">
        <f t="shared" si="205"/>
        <v>1.8695519051501151E-2</v>
      </c>
      <c r="Q1669">
        <f t="shared" si="206"/>
        <v>3.6241712622542749E-2</v>
      </c>
      <c r="R1669">
        <f t="shared" si="207"/>
        <v>0.72527302836054575</v>
      </c>
      <c r="S1669">
        <f t="shared" si="199"/>
        <v>16.315785579892033</v>
      </c>
      <c r="T1669" s="564">
        <f>IF((I1669-MAX(I$470:I1669))/MAX(I$470:I1669)&gt;T1668,T1668,(I1669-MAX(I$470:I1669))/MAX(I$470:I1669))</f>
        <v>-0.91338805338419748</v>
      </c>
      <c r="U1669" s="564">
        <f>IF((J1669-MAX(J$470:J1669))/MAX(J$470:J1669)&gt;U1668,U1668,(J1669-MAX(J$470:J1669))/MAX(J$470:J1669))</f>
        <v>-0.8283551177402233</v>
      </c>
      <c r="V1669" s="564">
        <f>IF((K1669-MAX(K$470:K1669))/MAX(K$470:K1669)&gt;V1668,V1668,(K1669-MAX(K$470:K1669))/MAX(K$470:K1669))</f>
        <v>-0.84885940676762139</v>
      </c>
      <c r="W1669" s="564">
        <f>IF((N1669-MAX(N$470:N1669))/MAX(N$470:N1669)&gt;W1668,W1668,(N1669-MAX(N$470:N1669))/MAX(N$470:N1669))</f>
        <v>-0.62788758315546067</v>
      </c>
      <c r="X1669" s="564">
        <f>IF((O1669-MAX(O$470:O1669))/MAX(O$470:O1669)&gt;X1668,X1668,(O1669-MAX(O$470:O1669))/MAX(O$470:O1669))</f>
        <v>-0.62788758315546067</v>
      </c>
    </row>
    <row r="1670" spans="1:24">
      <c r="A1670" s="799">
        <v>42072</v>
      </c>
      <c r="B1670">
        <v>274.75900000000001</v>
      </c>
      <c r="C1670">
        <v>365.29513100000003</v>
      </c>
      <c r="D1670">
        <v>0.96777199999999997</v>
      </c>
      <c r="E1670">
        <f>LN(D1670/参数实验室!$E$53)/参数实验室!$E$55</f>
        <v>-0.73161554333797829</v>
      </c>
      <c r="F1670">
        <f t="shared" si="208"/>
        <v>1.3295110660615304</v>
      </c>
      <c r="G1670">
        <f>LN(F1670/参数实验室!$E$58)/参数实验室!$E$59</f>
        <v>-4.104568587674242E-2</v>
      </c>
      <c r="H1670" s="856">
        <f>INDEX(神经网络!$G$10:$BO$70,MATCH(ROUND(G1670*2,1)/2,神经网络!$E$10:$E$70,0),MATCH(ROUND(E1670*2,1)/2,神经网络!$G$8:$BO$8,0))</f>
        <v>-0.35928109788115664</v>
      </c>
      <c r="I1670">
        <f t="shared" si="200"/>
        <v>969.28975080957423</v>
      </c>
      <c r="J1670">
        <f t="shared" si="201"/>
        <v>109.63608794541297</v>
      </c>
      <c r="K1670">
        <f t="shared" si="202"/>
        <v>8.840973524084303</v>
      </c>
      <c r="L1670" s="4">
        <f>MIN(MAX(L1669*(1+MAX(MIN(((B1670-B1669)/B1669)/($K$7*卓尔金历!$N$40),0),-卓尔金历!$M$43))+MIN(MAX(((B1670-B1669)/B1669)/($K$7*卓尔金历!$N$40),0),卓尔金历!$M$43),0),1)</f>
        <v>0.65020698699372104</v>
      </c>
      <c r="M1670" s="4">
        <f>MIN(MAX(M1669*(1+MAX(MIN(((B1670-B1669)/B1669)/($K$7*30),0),-卓尔金历!$M$43))+MIN(MAX(((B1670-B1669)/B1669)/($K$7*7),0),卓尔金历!$M$43),0),1)</f>
        <v>0.96154636425121076</v>
      </c>
      <c r="N1670">
        <f t="shared" si="203"/>
        <v>783.86935646470147</v>
      </c>
      <c r="O1670">
        <f t="shared" si="204"/>
        <v>2021.5159245142188</v>
      </c>
      <c r="P1670">
        <f t="shared" si="205"/>
        <v>-5.0335145157142935E-3</v>
      </c>
      <c r="Q1670">
        <f t="shared" si="206"/>
        <v>2.8831135224710588E-2</v>
      </c>
      <c r="R1670">
        <f t="shared" si="207"/>
        <v>1</v>
      </c>
      <c r="S1670">
        <f t="shared" si="199"/>
        <v>16.335900055058893</v>
      </c>
      <c r="T1670" s="564">
        <f>IF((I1670-MAX(I$470:I1670))/MAX(I$470:I1670)&gt;T1669,T1669,(I1670-MAX(I$470:I1670))/MAX(I$470:I1670))</f>
        <v>-0.91338805338419748</v>
      </c>
      <c r="U1670" s="564">
        <f>IF((J1670-MAX(J$470:J1670))/MAX(J$470:J1670)&gt;U1669,U1669,(J1670-MAX(J$470:J1670))/MAX(J$470:J1670))</f>
        <v>-0.8283551177402233</v>
      </c>
      <c r="V1670" s="564">
        <f>IF((K1670-MAX(K$470:K1670))/MAX(K$470:K1670)&gt;V1669,V1669,(K1670-MAX(K$470:K1670))/MAX(K$470:K1670))</f>
        <v>-0.84885940676762139</v>
      </c>
      <c r="W1670" s="564">
        <f>IF((N1670-MAX(N$470:N1670))/MAX(N$470:N1670)&gt;W1669,W1669,(N1670-MAX(N$470:N1670))/MAX(N$470:N1670))</f>
        <v>-0.62788758315546067</v>
      </c>
      <c r="X1670" s="564">
        <f>IF((O1670-MAX(O$470:O1670))/MAX(O$470:O1670)&gt;X1669,X1669,(O1670-MAX(O$470:O1670))/MAX(O$470:O1670))</f>
        <v>-0.62788758315546067</v>
      </c>
    </row>
    <row r="1671" spans="1:24">
      <c r="A1671" s="799">
        <v>42073</v>
      </c>
      <c r="B1671">
        <v>286.625</v>
      </c>
      <c r="C1671">
        <v>360.72087099999999</v>
      </c>
      <c r="D1671">
        <v>0.97310399999999997</v>
      </c>
      <c r="E1671">
        <f>LN(D1671/参数实验室!$E$53)/参数实验室!$E$55</f>
        <v>-0.7251334598643614</v>
      </c>
      <c r="F1671">
        <f t="shared" si="208"/>
        <v>1.258511542956825</v>
      </c>
      <c r="G1671">
        <f>LN(F1671/参数实验室!$E$58)/参数实验室!$E$59</f>
        <v>-6.9850488022753551E-2</v>
      </c>
      <c r="H1671" s="856">
        <f>INDEX(神经网络!$G$10:$BO$70,MATCH(ROUND(G1671*2,1)/2,神经网络!$E$10:$E$70,0),MATCH(ROUND(E1671*2,1)/2,神经网络!$G$8:$BO$8,0))</f>
        <v>-0.35928109788115664</v>
      </c>
      <c r="I1671">
        <f t="shared" si="200"/>
        <v>954.25000810077199</v>
      </c>
      <c r="J1671">
        <f t="shared" si="201"/>
        <v>114.3709349187979</v>
      </c>
      <c r="K1671">
        <f t="shared" si="202"/>
        <v>8.3434660106457894</v>
      </c>
      <c r="L1671" s="4">
        <f>MIN(MAX(L1670*(1+MAX(MIN(((B1671-B1670)/B1670)/($K$7*卓尔金历!$N$40),0),-卓尔金历!$M$43))+MIN(MAX(((B1671-B1670)/B1670)/($K$7*卓尔金历!$N$40),0),卓尔金历!$M$43),0),1)</f>
        <v>1</v>
      </c>
      <c r="M1671" s="4">
        <f>MIN(MAX(M1670*(1+MAX(MIN(((B1671-B1670)/B1670)/($K$7*30),0),-卓尔金历!$M$43))+MIN(MAX(((B1671-B1670)/B1670)/($K$7*7),0),卓尔金历!$M$43),0),1)</f>
        <v>1</v>
      </c>
      <c r="N1671">
        <f t="shared" si="203"/>
        <v>775.96107523263527</v>
      </c>
      <c r="O1671">
        <f t="shared" si="204"/>
        <v>1991.3557268832669</v>
      </c>
      <c r="P1671">
        <f t="shared" si="205"/>
        <v>4.3186938371445466E-2</v>
      </c>
      <c r="Q1671">
        <f t="shared" si="206"/>
        <v>2.9768226553431552E-2</v>
      </c>
      <c r="R1671">
        <f t="shared" si="207"/>
        <v>1.8103170850129607E-2</v>
      </c>
      <c r="S1671">
        <f t="shared" si="199"/>
        <v>16.082428135501722</v>
      </c>
      <c r="T1671" s="564">
        <f>IF((I1671-MAX(I$470:I1671))/MAX(I$470:I1671)&gt;T1670,T1670,(I1671-MAX(I$470:I1671))/MAX(I$470:I1671))</f>
        <v>-0.91338805338419748</v>
      </c>
      <c r="U1671" s="564">
        <f>IF((J1671-MAX(J$470:J1671))/MAX(J$470:J1671)&gt;U1670,U1670,(J1671-MAX(J$470:J1671))/MAX(J$470:J1671))</f>
        <v>-0.8283551177402233</v>
      </c>
      <c r="V1671" s="564">
        <f>IF((K1671-MAX(K$470:K1671))/MAX(K$470:K1671)&gt;V1670,V1670,(K1671-MAX(K$470:K1671))/MAX(K$470:K1671))</f>
        <v>-0.84885940676762139</v>
      </c>
      <c r="W1671" s="564">
        <f>IF((N1671-MAX(N$470:N1671))/MAX(N$470:N1671)&gt;W1670,W1670,(N1671-MAX(N$470:N1671))/MAX(N$470:N1671))</f>
        <v>-0.62788758315546067</v>
      </c>
      <c r="X1671" s="564">
        <f>IF((O1671-MAX(O$470:O1671))/MAX(O$470:O1671)&gt;X1670,X1670,(O1671-MAX(O$470:O1671))/MAX(O$470:O1671))</f>
        <v>-0.62788758315546067</v>
      </c>
    </row>
    <row r="1672" spans="1:24">
      <c r="A1672" s="799">
        <v>42074</v>
      </c>
      <c r="B1672">
        <v>295.15800000000002</v>
      </c>
      <c r="C1672">
        <v>362.74859700000002</v>
      </c>
      <c r="D1672">
        <v>0.98702500000000004</v>
      </c>
      <c r="E1672">
        <f>LN(D1672/参数实验室!$E$53)/参数实验室!$E$55</f>
        <v>-0.70837576580786898</v>
      </c>
      <c r="F1672">
        <f t="shared" si="208"/>
        <v>1.2289980180106925</v>
      </c>
      <c r="G1672">
        <f>LN(F1672/参数实验室!$E$58)/参数实验室!$E$59</f>
        <v>-8.2305531459341649E-2</v>
      </c>
      <c r="H1672" s="856">
        <f>INDEX(神经网络!$G$10:$BO$70,MATCH(ROUND(G1672*2,1)/2,神经网络!$E$10:$E$70,0),MATCH(ROUND(E1672*2,1)/2,神经网络!$G$8:$BO$8,0))</f>
        <v>-0.4523391859566136</v>
      </c>
      <c r="I1672">
        <f t="shared" si="200"/>
        <v>944.04333467215008</v>
      </c>
      <c r="J1672">
        <f t="shared" si="201"/>
        <v>117.7758269821633</v>
      </c>
      <c r="K1672">
        <f t="shared" si="202"/>
        <v>8.0155950406964394</v>
      </c>
      <c r="L1672" s="4">
        <f>MIN(MAX(L1671*(1+MAX(MIN(((B1672-B1671)/B1671)/($K$7*卓尔金历!$N$40),0),-卓尔金历!$M$43))+MIN(MAX(((B1672-B1671)/B1671)/($K$7*卓尔金历!$N$40),0),卓尔金历!$M$43),0),1)</f>
        <v>1</v>
      </c>
      <c r="M1672" s="4">
        <f>MIN(MAX(M1671*(1+MAX(MIN(((B1672-B1671)/B1671)/($K$7*30),0),-卓尔金历!$M$43))+MIN(MAX(((B1672-B1671)/B1671)/($K$7*7),0),卓尔金历!$M$43),0),1)</f>
        <v>1</v>
      </c>
      <c r="N1672">
        <f t="shared" si="203"/>
        <v>767.66138309641531</v>
      </c>
      <c r="O1672">
        <f t="shared" si="204"/>
        <v>1970.0561540124568</v>
      </c>
      <c r="P1672">
        <f t="shared" si="205"/>
        <v>2.9770606192760628E-2</v>
      </c>
      <c r="Q1672">
        <f t="shared" si="206"/>
        <v>3.0051898810740916E-2</v>
      </c>
      <c r="R1672">
        <f t="shared" si="207"/>
        <v>3.9452486188001942E-2</v>
      </c>
      <c r="S1672">
        <f t="shared" si="199"/>
        <v>16.079314065889466</v>
      </c>
      <c r="T1672" s="564">
        <f>IF((I1672-MAX(I$470:I1672))/MAX(I$470:I1672)&gt;T1671,T1671,(I1672-MAX(I$470:I1672))/MAX(I$470:I1672))</f>
        <v>-0.91338805338419748</v>
      </c>
      <c r="U1672" s="564">
        <f>IF((J1672-MAX(J$470:J1672))/MAX(J$470:J1672)&gt;U1671,U1671,(J1672-MAX(J$470:J1672))/MAX(J$470:J1672))</f>
        <v>-0.8283551177402233</v>
      </c>
      <c r="V1672" s="564">
        <f>IF((K1672-MAX(K$470:K1672))/MAX(K$470:K1672)&gt;V1671,V1671,(K1672-MAX(K$470:K1672))/MAX(K$470:K1672))</f>
        <v>-0.84885940676762139</v>
      </c>
      <c r="W1672" s="564">
        <f>IF((N1672-MAX(N$470:N1672))/MAX(N$470:N1672)&gt;W1671,W1671,(N1672-MAX(N$470:N1672))/MAX(N$470:N1672))</f>
        <v>-0.62788758315546067</v>
      </c>
      <c r="X1672" s="564">
        <f>IF((O1672-MAX(O$470:O1672))/MAX(O$470:O1672)&gt;X1671,X1671,(O1672-MAX(O$470:O1672))/MAX(O$470:O1672))</f>
        <v>-0.62788758315546067</v>
      </c>
    </row>
    <row r="1673" spans="1:24">
      <c r="A1673" s="799">
        <v>42075</v>
      </c>
      <c r="B1673">
        <v>296.14499999999998</v>
      </c>
      <c r="C1673">
        <v>366.22236199999998</v>
      </c>
      <c r="D1673">
        <v>0.98143899999999995</v>
      </c>
      <c r="E1673">
        <f>LN(D1673/参数实验室!$E$53)/参数实验室!$E$55</f>
        <v>-0.71507146286964329</v>
      </c>
      <c r="F1673">
        <f t="shared" si="208"/>
        <v>1.2366319269276875</v>
      </c>
      <c r="G1673">
        <f>LN(F1673/参数实验室!$E$58)/参数实验室!$E$59</f>
        <v>-7.9055489196815057E-2</v>
      </c>
      <c r="H1673" s="856">
        <f>INDEX(神经网络!$G$10:$BO$70,MATCH(ROUND(G1673*2,1)/2,神经网络!$E$10:$E$70,0),MATCH(ROUND(E1673*2,1)/2,神经网络!$G$8:$BO$8,0))</f>
        <v>-0.4523391859566136</v>
      </c>
      <c r="I1673">
        <f t="shared" si="200"/>
        <v>942.61536581412258</v>
      </c>
      <c r="J1673">
        <f t="shared" si="201"/>
        <v>118.16966601492335</v>
      </c>
      <c r="K1673">
        <f t="shared" si="202"/>
        <v>7.9767963945593454</v>
      </c>
      <c r="L1673" s="4">
        <f>MIN(MAX(L1672*(1+MAX(MIN(((B1673-B1672)/B1672)/($K$7*卓尔金历!$N$40),0),-卓尔金历!$M$43))+MIN(MAX(((B1673-B1672)/B1672)/($K$7*卓尔金历!$N$40),0),卓尔金历!$M$43),0),1)</f>
        <v>1</v>
      </c>
      <c r="M1673" s="4">
        <f>MIN(MAX(M1672*(1+MAX(MIN(((B1673-B1672)/B1672)/($K$7*30),0),-卓尔金历!$M$43))+MIN(MAX(((B1673-B1672)/B1672)/($K$7*7),0),卓尔金历!$M$43),0),1)</f>
        <v>1</v>
      </c>
      <c r="N1673">
        <f t="shared" si="203"/>
        <v>766.50021124305681</v>
      </c>
      <c r="O1673">
        <f t="shared" si="204"/>
        <v>1967.0762284802543</v>
      </c>
      <c r="P1673">
        <f t="shared" si="205"/>
        <v>3.3439717032910043E-3</v>
      </c>
      <c r="Q1673">
        <f t="shared" si="206"/>
        <v>2.93501839174274E-2</v>
      </c>
      <c r="R1673">
        <f t="shared" si="207"/>
        <v>1</v>
      </c>
      <c r="S1673">
        <f t="shared" si="199"/>
        <v>16.078354513479724</v>
      </c>
      <c r="T1673" s="564">
        <f>IF((I1673-MAX(I$470:I1673))/MAX(I$470:I1673)&gt;T1672,T1672,(I1673-MAX(I$470:I1673))/MAX(I$470:I1673))</f>
        <v>-0.91338805338419748</v>
      </c>
      <c r="U1673" s="564">
        <f>IF((J1673-MAX(J$470:J1673))/MAX(J$470:J1673)&gt;U1672,U1672,(J1673-MAX(J$470:J1673))/MAX(J$470:J1673))</f>
        <v>-0.8283551177402233</v>
      </c>
      <c r="V1673" s="564">
        <f>IF((K1673-MAX(K$470:K1673))/MAX(K$470:K1673)&gt;V1672,V1672,(K1673-MAX(K$470:K1673))/MAX(K$470:K1673))</f>
        <v>-0.84885940676762139</v>
      </c>
      <c r="W1673" s="564">
        <f>IF((N1673-MAX(N$470:N1673))/MAX(N$470:N1673)&gt;W1672,W1672,(N1673-MAX(N$470:N1673))/MAX(N$470:N1673))</f>
        <v>-0.62788758315546067</v>
      </c>
      <c r="X1673" s="564">
        <f>IF((O1673-MAX(O$470:O1673))/MAX(O$470:O1673)&gt;X1672,X1672,(O1673-MAX(O$470:O1673))/MAX(O$470:O1673))</f>
        <v>-0.62788758315546067</v>
      </c>
    </row>
    <row r="1674" spans="1:24">
      <c r="A1674" s="799">
        <v>42076</v>
      </c>
      <c r="B1674">
        <v>296.53199999999998</v>
      </c>
      <c r="C1674">
        <v>369.52051799999998</v>
      </c>
      <c r="D1674">
        <v>0.95005899999999999</v>
      </c>
      <c r="E1674">
        <f>LN(D1674/参数实验室!$E$53)/参数实验室!$E$55</f>
        <v>-0.75340845776191345</v>
      </c>
      <c r="F1674">
        <f t="shared" si="208"/>
        <v>1.2461404435271741</v>
      </c>
      <c r="G1674">
        <f>LN(F1674/参数实验室!$E$58)/参数实验室!$E$59</f>
        <v>-7.5035299637674663E-2</v>
      </c>
      <c r="H1674" s="856">
        <f>INDEX(神经网络!$G$10:$BO$70,MATCH(ROUND(G1674*2,1)/2,神经网络!$E$10:$E$70,0),MATCH(ROUND(E1674*2,1)/2,神经网络!$G$8:$BO$8,0))</f>
        <v>-0.44511266916919301</v>
      </c>
      <c r="I1674">
        <f t="shared" si="200"/>
        <v>942.05817328133332</v>
      </c>
      <c r="J1674">
        <f t="shared" si="201"/>
        <v>118.32408922229736</v>
      </c>
      <c r="K1674">
        <f t="shared" si="202"/>
        <v>7.9616769456933962</v>
      </c>
      <c r="L1674" s="4">
        <f>MIN(MAX(L1673*(1+MAX(MIN(((B1674-B1673)/B1673)/($K$7*卓尔金历!$N$40),0),-卓尔金历!$M$43))+MIN(MAX(((B1674-B1673)/B1673)/($K$7*卓尔金历!$N$40),0),卓尔金历!$M$43),0),1)</f>
        <v>1</v>
      </c>
      <c r="M1674" s="4">
        <f>MIN(MAX(M1673*(1+MAX(MIN(((B1674-B1673)/B1673)/($K$7*30),0),-卓尔金历!$M$43))+MIN(MAX(((B1674-B1673)/B1673)/($K$7*7),0),卓尔金历!$M$43),0),1)</f>
        <v>1</v>
      </c>
      <c r="N1674">
        <f t="shared" si="203"/>
        <v>766.04712273041923</v>
      </c>
      <c r="O1674">
        <f t="shared" si="204"/>
        <v>1965.913463448316</v>
      </c>
      <c r="P1674">
        <f t="shared" si="205"/>
        <v>1.3067922808083893E-3</v>
      </c>
      <c r="Q1674">
        <f t="shared" si="206"/>
        <v>2.8714045514148221E-2</v>
      </c>
      <c r="R1674">
        <f t="shared" si="207"/>
        <v>1</v>
      </c>
      <c r="S1674">
        <f t="shared" si="199"/>
        <v>16.068850383376017</v>
      </c>
      <c r="T1674" s="564">
        <f>IF((I1674-MAX(I$470:I1674))/MAX(I$470:I1674)&gt;T1673,T1673,(I1674-MAX(I$470:I1674))/MAX(I$470:I1674))</f>
        <v>-0.91338805338419748</v>
      </c>
      <c r="U1674" s="564">
        <f>IF((J1674-MAX(J$470:J1674))/MAX(J$470:J1674)&gt;U1673,U1673,(J1674-MAX(J$470:J1674))/MAX(J$470:J1674))</f>
        <v>-0.8283551177402233</v>
      </c>
      <c r="V1674" s="564">
        <f>IF((K1674-MAX(K$470:K1674))/MAX(K$470:K1674)&gt;V1673,V1673,(K1674-MAX(K$470:K1674))/MAX(K$470:K1674))</f>
        <v>-0.84885940676762139</v>
      </c>
      <c r="W1674" s="564">
        <f>IF((N1674-MAX(N$470:N1674))/MAX(N$470:N1674)&gt;W1673,W1673,(N1674-MAX(N$470:N1674))/MAX(N$470:N1674))</f>
        <v>-0.62788758315546067</v>
      </c>
      <c r="X1674" s="564">
        <f>IF((O1674-MAX(O$470:O1674))/MAX(O$470:O1674)&gt;X1673,X1673,(O1674-MAX(O$470:O1674))/MAX(O$470:O1674))</f>
        <v>-0.62788758315546067</v>
      </c>
    </row>
    <row r="1675" spans="1:24">
      <c r="A1675" s="799">
        <v>42077</v>
      </c>
      <c r="B1675">
        <v>287.69099999999997</v>
      </c>
      <c r="C1675">
        <v>366.81091500000002</v>
      </c>
      <c r="D1675">
        <v>0.94250500000000004</v>
      </c>
      <c r="E1675">
        <f>LN(D1675/参数实验室!$E$53)/参数实验室!$E$55</f>
        <v>-0.76282626696827027</v>
      </c>
      <c r="F1675">
        <f t="shared" si="208"/>
        <v>1.2750169974034644</v>
      </c>
      <c r="G1675">
        <f>LN(F1675/参数实验室!$E$58)/参数实验室!$E$59</f>
        <v>-6.301174362010549E-2</v>
      </c>
      <c r="H1675" s="856">
        <f>INDEX(神经网络!$G$10:$BO$70,MATCH(ROUND(G1675*2,1)/2,神经网络!$E$10:$E$70,0),MATCH(ROUND(E1675*2,1)/2,神经网络!$G$8:$BO$8,0))</f>
        <v>-0.35928109788115664</v>
      </c>
      <c r="I1675">
        <f t="shared" si="200"/>
        <v>954.56011590385526</v>
      </c>
      <c r="J1675">
        <f t="shared" si="201"/>
        <v>114.79629703523379</v>
      </c>
      <c r="K1675">
        <f t="shared" si="202"/>
        <v>8.3152518030340072</v>
      </c>
      <c r="L1675" s="4">
        <f>MIN(MAX(L1674*(1+MAX(MIN(((B1675-B1674)/B1674)/($K$7*卓尔金历!$N$40),0),-卓尔金历!$M$43))+MIN(MAX(((B1675-B1674)/B1674)/($K$7*卓尔金历!$N$40),0),卓尔金历!$M$43),0),1)</f>
        <v>0.54446064530311811</v>
      </c>
      <c r="M1675" s="4">
        <f>MIN(MAX(M1674*(1+MAX(MIN(((B1675-B1674)/B1674)/($K$7*30),0),-卓尔金历!$M$43))+MIN(MAX(((B1675-B1674)/B1674)/($K$7*7),0),卓尔金历!$M$43),0),1)</f>
        <v>0.772230322651559</v>
      </c>
      <c r="N1675">
        <f t="shared" si="203"/>
        <v>776.21324351377302</v>
      </c>
      <c r="O1675">
        <f t="shared" si="204"/>
        <v>1992.0028685593254</v>
      </c>
      <c r="P1675">
        <f t="shared" si="205"/>
        <v>-2.9814657440006505E-2</v>
      </c>
      <c r="Q1675">
        <f t="shared" si="206"/>
        <v>2.9657455278508483E-2</v>
      </c>
      <c r="R1675">
        <f t="shared" si="207"/>
        <v>2.8562245945349618E-2</v>
      </c>
      <c r="S1675">
        <f t="shared" si="199"/>
        <v>16.282098196728263</v>
      </c>
      <c r="T1675" s="564">
        <f>IF((I1675-MAX(I$470:I1675))/MAX(I$470:I1675)&gt;T1674,T1674,(I1675-MAX(I$470:I1675))/MAX(I$470:I1675))</f>
        <v>-0.91338805338419748</v>
      </c>
      <c r="U1675" s="564">
        <f>IF((J1675-MAX(J$470:J1675))/MAX(J$470:J1675)&gt;U1674,U1674,(J1675-MAX(J$470:J1675))/MAX(J$470:J1675))</f>
        <v>-0.8283551177402233</v>
      </c>
      <c r="V1675" s="564">
        <f>IF((K1675-MAX(K$470:K1675))/MAX(K$470:K1675)&gt;V1674,V1674,(K1675-MAX(K$470:K1675))/MAX(K$470:K1675))</f>
        <v>-0.84885940676762139</v>
      </c>
      <c r="W1675" s="564">
        <f>IF((N1675-MAX(N$470:N1675))/MAX(N$470:N1675)&gt;W1674,W1674,(N1675-MAX(N$470:N1675))/MAX(N$470:N1675))</f>
        <v>-0.62788758315546067</v>
      </c>
      <c r="X1675" s="564">
        <f>IF((O1675-MAX(O$470:O1675))/MAX(O$470:O1675)&gt;X1674,X1674,(O1675-MAX(O$470:O1675))/MAX(O$470:O1675))</f>
        <v>-0.62788758315546067</v>
      </c>
    </row>
    <row r="1676" spans="1:24">
      <c r="A1676" s="799">
        <v>42078</v>
      </c>
      <c r="B1676">
        <v>282.98500000000001</v>
      </c>
      <c r="C1676">
        <v>367.86015900000001</v>
      </c>
      <c r="D1676">
        <v>0.95476799999999995</v>
      </c>
      <c r="E1676">
        <f>LN(D1676/参数实验室!$E$53)/参数实验室!$E$55</f>
        <v>-0.74757541429574992</v>
      </c>
      <c r="F1676">
        <f t="shared" si="208"/>
        <v>1.2999281198650106</v>
      </c>
      <c r="G1676">
        <f>LN(F1676/参数实验室!$E$58)/参数实验室!$E$59</f>
        <v>-5.2856100935582365E-2</v>
      </c>
      <c r="H1676" s="856">
        <f>INDEX(神经网络!$G$10:$BO$70,MATCH(ROUND(G1676*2,1)/2,神经网络!$E$10:$E$70,0),MATCH(ROUND(E1676*2,1)/2,神经网络!$G$8:$BO$8,0))</f>
        <v>-0.35928109788115664</v>
      </c>
      <c r="I1676">
        <f t="shared" si="200"/>
        <v>960.17012157899092</v>
      </c>
      <c r="J1676">
        <f t="shared" si="201"/>
        <v>112.91847891145584</v>
      </c>
      <c r="K1676">
        <f t="shared" si="202"/>
        <v>8.5032151587155287</v>
      </c>
      <c r="L1676" s="4">
        <f>MIN(MAX(L1675*(1+MAX(MIN(((B1676-B1675)/B1675)/($K$7*卓尔金历!$N$40),0),-卓尔金历!$M$43))+MIN(MAX(((B1676-B1675)/B1675)/($K$7*卓尔金历!$N$40),0),卓尔金历!$M$43),0),1)</f>
        <v>0.40838255087148378</v>
      </c>
      <c r="M1676" s="4">
        <f>MIN(MAX(M1675*(1+MAX(MIN(((B1676-B1675)/B1675)/($K$7*30),0),-卓尔金历!$M$43))+MIN(MAX(((B1676-B1675)/B1675)/($K$7*7),0),卓尔金历!$M$43),0),1)</f>
        <v>0.67572781904980928</v>
      </c>
      <c r="N1676">
        <f t="shared" si="203"/>
        <v>778.69699167159035</v>
      </c>
      <c r="O1676">
        <f t="shared" si="204"/>
        <v>2001.0434596511523</v>
      </c>
      <c r="P1676">
        <f t="shared" si="205"/>
        <v>-1.6357828364460345E-2</v>
      </c>
      <c r="Q1676">
        <f t="shared" si="206"/>
        <v>3.0119479427463611E-2</v>
      </c>
      <c r="R1676">
        <f t="shared" si="207"/>
        <v>0.65822784735415285</v>
      </c>
      <c r="S1676">
        <f t="shared" si="199"/>
        <v>16.284831342153712</v>
      </c>
      <c r="T1676" s="564">
        <f>IF((I1676-MAX(I$470:I1676))/MAX(I$470:I1676)&gt;T1675,T1675,(I1676-MAX(I$470:I1676))/MAX(I$470:I1676))</f>
        <v>-0.91338805338419748</v>
      </c>
      <c r="U1676" s="564">
        <f>IF((J1676-MAX(J$470:J1676))/MAX(J$470:J1676)&gt;U1675,U1675,(J1676-MAX(J$470:J1676))/MAX(J$470:J1676))</f>
        <v>-0.8283551177402233</v>
      </c>
      <c r="V1676" s="564">
        <f>IF((K1676-MAX(K$470:K1676))/MAX(K$470:K1676)&gt;V1675,V1675,(K1676-MAX(K$470:K1676))/MAX(K$470:K1676))</f>
        <v>-0.84885940676762139</v>
      </c>
      <c r="W1676" s="564">
        <f>IF((N1676-MAX(N$470:N1676))/MAX(N$470:N1676)&gt;W1675,W1675,(N1676-MAX(N$470:N1676))/MAX(N$470:N1676))</f>
        <v>-0.62788758315546067</v>
      </c>
      <c r="X1676" s="564">
        <f>IF((O1676-MAX(O$470:O1676))/MAX(O$470:O1676)&gt;X1675,X1675,(O1676-MAX(O$470:O1676))/MAX(O$470:O1676))</f>
        <v>-0.62788758315546067</v>
      </c>
    </row>
    <row r="1677" spans="1:24">
      <c r="A1677" s="799">
        <v>42079</v>
      </c>
      <c r="B1677">
        <v>284.19900000000001</v>
      </c>
      <c r="C1677">
        <v>373.43374799999998</v>
      </c>
      <c r="D1677">
        <v>0.968835</v>
      </c>
      <c r="E1677">
        <f>LN(D1677/参数实验室!$E$53)/参数实验室!$E$55</f>
        <v>-0.73032041446124774</v>
      </c>
      <c r="F1677">
        <f t="shared" si="208"/>
        <v>1.3139868472443603</v>
      </c>
      <c r="G1677">
        <f>LN(F1677/参数实验室!$E$58)/参数实验室!$E$59</f>
        <v>-4.7210277602147771E-2</v>
      </c>
      <c r="H1677" s="856">
        <f>INDEX(神经网络!$G$10:$BO$70,MATCH(ROUND(G1677*2,1)/2,神经网络!$E$10:$E$70,0),MATCH(ROUND(E1677*2,1)/2,神经网络!$G$8:$BO$8,0))</f>
        <v>-0.35928109788115664</v>
      </c>
      <c r="I1677">
        <f t="shared" si="200"/>
        <v>958.69020298197563</v>
      </c>
      <c r="J1677">
        <f t="shared" si="201"/>
        <v>113.40289693148695</v>
      </c>
      <c r="K1677">
        <f t="shared" si="202"/>
        <v>8.4538422643750817</v>
      </c>
      <c r="L1677" s="4">
        <f>MIN(MAX(L1676*(1+MAX(MIN(((B1677-B1676)/B1676)/($K$7*卓尔金历!$N$40),0),-卓尔金历!$M$43))+MIN(MAX(((B1677-B1676)/B1676)/($K$7*卓尔金历!$N$40),0),卓尔金历!$M$43),0),1)</f>
        <v>0.47392932900937212</v>
      </c>
      <c r="M1677" s="4">
        <f>MIN(MAX(M1676*(1+MAX(MIN(((B1677-B1676)/B1676)/($K$7*30),0),-卓尔金历!$M$43))+MIN(MAX(((B1677-B1676)/B1676)/($K$7*7),0),卓尔金历!$M$43),0),1)</f>
        <v>0.8161852007738557</v>
      </c>
      <c r="N1677">
        <f t="shared" si="203"/>
        <v>778.20684583887805</v>
      </c>
      <c r="O1677">
        <f t="shared" si="204"/>
        <v>1998.959362500374</v>
      </c>
      <c r="P1677">
        <f t="shared" si="205"/>
        <v>4.2899800342774304E-3</v>
      </c>
      <c r="Q1677">
        <f t="shared" si="206"/>
        <v>2.7928607418988654E-2</v>
      </c>
      <c r="R1677">
        <f t="shared" si="207"/>
        <v>1</v>
      </c>
      <c r="S1677">
        <f t="shared" si="199"/>
        <v>16.268309854239146</v>
      </c>
      <c r="T1677" s="564">
        <f>IF((I1677-MAX(I$470:I1677))/MAX(I$470:I1677)&gt;T1676,T1676,(I1677-MAX(I$470:I1677))/MAX(I$470:I1677))</f>
        <v>-0.91338805338419748</v>
      </c>
      <c r="U1677" s="564">
        <f>IF((J1677-MAX(J$470:J1677))/MAX(J$470:J1677)&gt;U1676,U1676,(J1677-MAX(J$470:J1677))/MAX(J$470:J1677))</f>
        <v>-0.8283551177402233</v>
      </c>
      <c r="V1677" s="564">
        <f>IF((K1677-MAX(K$470:K1677))/MAX(K$470:K1677)&gt;V1676,V1676,(K1677-MAX(K$470:K1677))/MAX(K$470:K1677))</f>
        <v>-0.84885940676762139</v>
      </c>
      <c r="W1677" s="564">
        <f>IF((N1677-MAX(N$470:N1677))/MAX(N$470:N1677)&gt;W1676,W1676,(N1677-MAX(N$470:N1677))/MAX(N$470:N1677))</f>
        <v>-0.62788758315546067</v>
      </c>
      <c r="X1677" s="564">
        <f>IF((O1677-MAX(O$470:O1677))/MAX(O$470:O1677)&gt;X1676,X1676,(O1677-MAX(O$470:O1677))/MAX(O$470:O1677))</f>
        <v>-0.62788758315546067</v>
      </c>
    </row>
    <row r="1678" spans="1:24">
      <c r="A1678" s="799">
        <v>42080</v>
      </c>
      <c r="B1678">
        <v>291.01799999999997</v>
      </c>
      <c r="C1678">
        <v>376.77387800000002</v>
      </c>
      <c r="D1678">
        <v>0.94842599999999999</v>
      </c>
      <c r="E1678">
        <f>LN(D1678/参数实验室!$E$53)/参数实验室!$E$55</f>
        <v>-0.75543801029726543</v>
      </c>
      <c r="F1678">
        <f t="shared" si="208"/>
        <v>1.2946755114803898</v>
      </c>
      <c r="G1678">
        <f>LN(F1678/参数实验室!$E$58)/参数实验室!$E$59</f>
        <v>-5.498117043002821E-2</v>
      </c>
      <c r="H1678" s="856">
        <f>INDEX(神经网络!$G$10:$BO$70,MATCH(ROUND(G1678*2,1)/2,神经网络!$E$10:$E$70,0),MATCH(ROUND(E1678*2,1)/2,神经网络!$G$8:$BO$8,0))</f>
        <v>-0.35928109788115664</v>
      </c>
      <c r="I1678">
        <f t="shared" si="200"/>
        <v>950.42581298426171</v>
      </c>
      <c r="J1678">
        <f t="shared" si="201"/>
        <v>116.12385778699948</v>
      </c>
      <c r="K1678">
        <f t="shared" si="202"/>
        <v>8.1845869668538143</v>
      </c>
      <c r="L1678" s="4">
        <f>MIN(MAX(L1677*(1+MAX(MIN(((B1678-B1677)/B1677)/($K$7*卓尔金历!$N$40),0),-卓尔金历!$M$43))+MIN(MAX(((B1678-B1677)/B1677)/($K$7*卓尔金历!$N$40),0),卓尔金历!$M$43),0),1)</f>
        <v>0.84053081703438337</v>
      </c>
      <c r="M1678" s="4">
        <f>MIN(MAX(M1677*(1+MAX(MIN(((B1678-B1677)/B1677)/($K$7*30),0),-卓尔金历!$M$43))+MIN(MAX(((B1678-B1677)/B1677)/($K$7*7),0),卓尔金历!$M$43),0),1)</f>
        <v>1</v>
      </c>
      <c r="N1678">
        <f t="shared" si="203"/>
        <v>775.02747529089311</v>
      </c>
      <c r="O1678">
        <f t="shared" si="204"/>
        <v>1984.8948334237816</v>
      </c>
      <c r="P1678">
        <f t="shared" si="205"/>
        <v>2.3993750857673531E-2</v>
      </c>
      <c r="Q1678">
        <f t="shared" si="206"/>
        <v>2.8095284827122501E-2</v>
      </c>
      <c r="R1678">
        <f t="shared" si="207"/>
        <v>0.19014432179034757</v>
      </c>
      <c r="S1678">
        <f t="shared" si="199"/>
        <v>16.128068870425093</v>
      </c>
      <c r="T1678" s="564">
        <f>IF((I1678-MAX(I$470:I1678))/MAX(I$470:I1678)&gt;T1677,T1677,(I1678-MAX(I$470:I1678))/MAX(I$470:I1678))</f>
        <v>-0.91338805338419748</v>
      </c>
      <c r="U1678" s="564">
        <f>IF((J1678-MAX(J$470:J1678))/MAX(J$470:J1678)&gt;U1677,U1677,(J1678-MAX(J$470:J1678))/MAX(J$470:J1678))</f>
        <v>-0.8283551177402233</v>
      </c>
      <c r="V1678" s="564">
        <f>IF((K1678-MAX(K$470:K1678))/MAX(K$470:K1678)&gt;V1677,V1677,(K1678-MAX(K$470:K1678))/MAX(K$470:K1678))</f>
        <v>-0.84885940676762139</v>
      </c>
      <c r="W1678" s="564">
        <f>IF((N1678-MAX(N$470:N1678))/MAX(N$470:N1678)&gt;W1677,W1677,(N1678-MAX(N$470:N1678))/MAX(N$470:N1678))</f>
        <v>-0.62788758315546067</v>
      </c>
      <c r="X1678" s="564">
        <f>IF((O1678-MAX(O$470:O1678))/MAX(O$470:O1678)&gt;X1677,X1677,(O1678-MAX(O$470:O1678))/MAX(O$470:O1678))</f>
        <v>-0.62788758315546067</v>
      </c>
    </row>
    <row r="1679" spans="1:24">
      <c r="A1679" s="799">
        <v>42081</v>
      </c>
      <c r="B1679">
        <v>287.96300000000002</v>
      </c>
      <c r="C1679">
        <v>378.13721700000002</v>
      </c>
      <c r="D1679">
        <v>0.85686600000000002</v>
      </c>
      <c r="E1679">
        <f>LN(D1679/参数实验室!$E$53)/参数实验室!$E$55</f>
        <v>-0.87520918036378714</v>
      </c>
      <c r="F1679">
        <f t="shared" si="208"/>
        <v>1.3131451505922636</v>
      </c>
      <c r="G1679">
        <f>LN(F1679/参数实验室!$E$58)/参数实验室!$E$59</f>
        <v>-4.7546589524335506E-2</v>
      </c>
      <c r="H1679" s="856">
        <f>INDEX(神经网络!$G$10:$BO$70,MATCH(ROUND(G1679*2,1)/2,神经网络!$E$10:$E$70,0),MATCH(ROUND(E1679*2,1)/2,神经网络!$G$8:$BO$8,0))</f>
        <v>-0.30464368943932713</v>
      </c>
      <c r="I1679">
        <f t="shared" si="200"/>
        <v>954.01043984670878</v>
      </c>
      <c r="J1679">
        <f t="shared" si="201"/>
        <v>114.90483220940884</v>
      </c>
      <c r="K1679">
        <f t="shared" si="202"/>
        <v>8.3026137500298347</v>
      </c>
      <c r="L1679" s="4">
        <f>MIN(MAX(L1678*(1+MAX(MIN(((B1679-B1678)/B1678)/($K$7*卓尔金历!$N$40),0),-卓尔金历!$M$43))+MIN(MAX(((B1679-B1678)/B1678)/($K$7*卓尔金历!$N$40),0),卓尔金历!$M$43),0),1)</f>
        <v>0.70571492730455343</v>
      </c>
      <c r="M1679" s="4">
        <f>MIN(MAX(M1678*(1+MAX(MIN(((B1679-B1678)/B1678)/($K$7*30),0),-卓尔金历!$M$43))+MIN(MAX(((B1679-B1678)/B1678)/($K$7*7),0),卓尔金历!$M$43),0),1)</f>
        <v>0.91980312500290207</v>
      </c>
      <c r="N1679">
        <f t="shared" si="203"/>
        <v>777.48442615816271</v>
      </c>
      <c r="O1679">
        <f t="shared" si="204"/>
        <v>1992.3810645865092</v>
      </c>
      <c r="P1679">
        <f t="shared" si="205"/>
        <v>-1.0497632448851791E-2</v>
      </c>
      <c r="Q1679">
        <f t="shared" si="206"/>
        <v>2.8302394321672784E-2</v>
      </c>
      <c r="R1679">
        <f t="shared" si="207"/>
        <v>1</v>
      </c>
      <c r="S1679">
        <f t="shared" si="199"/>
        <v>16.139635090780796</v>
      </c>
      <c r="T1679" s="564">
        <f>IF((I1679-MAX(I$470:I1679))/MAX(I$470:I1679)&gt;T1678,T1678,(I1679-MAX(I$470:I1679))/MAX(I$470:I1679))</f>
        <v>-0.91338805338419748</v>
      </c>
      <c r="U1679" s="564">
        <f>IF((J1679-MAX(J$470:J1679))/MAX(J$470:J1679)&gt;U1678,U1678,(J1679-MAX(J$470:J1679))/MAX(J$470:J1679))</f>
        <v>-0.8283551177402233</v>
      </c>
      <c r="V1679" s="564">
        <f>IF((K1679-MAX(K$470:K1679))/MAX(K$470:K1679)&gt;V1678,V1678,(K1679-MAX(K$470:K1679))/MAX(K$470:K1679))</f>
        <v>-0.84885940676762139</v>
      </c>
      <c r="W1679" s="564">
        <f>IF((N1679-MAX(N$470:N1679))/MAX(N$470:N1679)&gt;W1678,W1678,(N1679-MAX(N$470:N1679))/MAX(N$470:N1679))</f>
        <v>-0.62788758315546067</v>
      </c>
      <c r="X1679" s="564">
        <f>IF((O1679-MAX(O$470:O1679))/MAX(O$470:O1679)&gt;X1678,X1678,(O1679-MAX(O$470:O1679))/MAX(O$470:O1679))</f>
        <v>-0.62788758315546067</v>
      </c>
    </row>
    <row r="1680" spans="1:24">
      <c r="A1680" s="799">
        <v>42082</v>
      </c>
      <c r="B1680">
        <v>266.851</v>
      </c>
      <c r="C1680">
        <v>381.550479</v>
      </c>
      <c r="D1680">
        <v>0.87346900000000005</v>
      </c>
      <c r="E1680">
        <f>LN(D1680/参数实验室!$E$53)/参数实验室!$E$55</f>
        <v>-0.85256842666690702</v>
      </c>
      <c r="F1680">
        <f t="shared" si="208"/>
        <v>1.4298259290765258</v>
      </c>
      <c r="G1680">
        <f>LN(F1680/参数实验室!$E$58)/参数实验室!$E$59</f>
        <v>-2.8670397494335786E-3</v>
      </c>
      <c r="H1680" s="856">
        <f>INDEX(神经网络!$G$10:$BO$70,MATCH(ROUND(G1680*2,1)/2,神经网络!$E$10:$E$70,0),MATCH(ROUND(E1680*2,1)/2,神经网络!$G$8:$BO$8,0))</f>
        <v>-0.22003120115745864</v>
      </c>
      <c r="I1680">
        <f t="shared" si="200"/>
        <v>975.31820990212225</v>
      </c>
      <c r="J1680">
        <f t="shared" si="201"/>
        <v>106.48058736682475</v>
      </c>
      <c r="K1680">
        <f t="shared" si="202"/>
        <v>9.159587057330544</v>
      </c>
      <c r="L1680" s="4">
        <f>MIN(MAX(L1679*(1+MAX(MIN(((B1680-B1679)/B1679)/($K$7*卓尔金历!$N$40),0),-卓尔金历!$M$43))+MIN(MAX(((B1680-B1679)/B1679)/($K$7*卓尔金历!$N$40),0),卓尔金历!$M$43),0),1)</f>
        <v>0</v>
      </c>
      <c r="M1680" s="4">
        <f>MIN(MAX(M1679*(1+MAX(MIN(((B1680-B1679)/B1679)/($K$7*30),0),-卓尔金历!$M$43))+MIN(MAX(((B1680-B1679)/B1679)/($K$7*7),0),卓尔金历!$M$43),0),1)</f>
        <v>0.40462946359777746</v>
      </c>
      <c r="N1680">
        <f t="shared" si="203"/>
        <v>789.73921623663011</v>
      </c>
      <c r="O1680">
        <f t="shared" si="204"/>
        <v>2033.312046236075</v>
      </c>
      <c r="P1680">
        <f t="shared" si="205"/>
        <v>-7.3314974493250945E-2</v>
      </c>
      <c r="Q1680">
        <f t="shared" si="206"/>
        <v>3.3392916303233308E-2</v>
      </c>
      <c r="R1680">
        <f t="shared" si="207"/>
        <v>6.0447945929210465E-3</v>
      </c>
      <c r="S1680">
        <f t="shared" si="199"/>
        <v>16.500112941890997</v>
      </c>
      <c r="T1680" s="564">
        <f>IF((I1680-MAX(I$470:I1680))/MAX(I$470:I1680)&gt;T1679,T1679,(I1680-MAX(I$470:I1680))/MAX(I$470:I1680))</f>
        <v>-0.91338805338419748</v>
      </c>
      <c r="U1680" s="564">
        <f>IF((J1680-MAX(J$470:J1680))/MAX(J$470:J1680)&gt;U1679,U1679,(J1680-MAX(J$470:J1680))/MAX(J$470:J1680))</f>
        <v>-0.8283551177402233</v>
      </c>
      <c r="V1680" s="564">
        <f>IF((K1680-MAX(K$470:K1680))/MAX(K$470:K1680)&gt;V1679,V1679,(K1680-MAX(K$470:K1680))/MAX(K$470:K1680))</f>
        <v>-0.84885940676762139</v>
      </c>
      <c r="W1680" s="564">
        <f>IF((N1680-MAX(N$470:N1680))/MAX(N$470:N1680)&gt;W1679,W1679,(N1680-MAX(N$470:N1680))/MAX(N$470:N1680))</f>
        <v>-0.62788758315546067</v>
      </c>
      <c r="X1680" s="564">
        <f>IF((O1680-MAX(O$470:O1680))/MAX(O$470:O1680)&gt;X1679,X1679,(O1680-MAX(O$470:O1680))/MAX(O$470:O1680))</f>
        <v>-0.62788758315546067</v>
      </c>
    </row>
    <row r="1681" spans="1:24">
      <c r="A1681" s="799">
        <v>42083</v>
      </c>
      <c r="B1681">
        <v>259.81599999999997</v>
      </c>
      <c r="C1681">
        <v>390.05961100000002</v>
      </c>
      <c r="D1681">
        <v>0.87674799999999997</v>
      </c>
      <c r="E1681">
        <f>LN(D1681/参数实验室!$E$53)/参数实验室!$E$55</f>
        <v>-0.84814792862243482</v>
      </c>
      <c r="F1681">
        <f t="shared" si="208"/>
        <v>1.5012917256827911</v>
      </c>
      <c r="G1681">
        <f>LN(F1681/参数实验室!$E$58)/参数实验室!$E$59</f>
        <v>2.2731760464798061E-2</v>
      </c>
      <c r="H1681" s="856">
        <f>INDEX(神经网络!$G$10:$BO$70,MATCH(ROUND(G1681*2,1)/2,神经网络!$E$10:$E$70,0),MATCH(ROUND(E1681*2,1)/2,神经网络!$G$8:$BO$8,0))</f>
        <v>-0.22003120115745864</v>
      </c>
      <c r="I1681">
        <f t="shared" si="200"/>
        <v>980.97572692829704</v>
      </c>
      <c r="J1681">
        <f t="shared" si="201"/>
        <v>103.67343681417321</v>
      </c>
      <c r="K1681">
        <f t="shared" si="202"/>
        <v>9.4621704177379762</v>
      </c>
      <c r="L1681" s="4">
        <f>MIN(MAX(L1680*(1+MAX(MIN(((B1681-B1680)/B1680)/($K$7*卓尔金历!$N$40),0),-卓尔金历!$M$43))+MIN(MAX(((B1681-B1680)/B1680)/($K$7*卓尔金历!$N$40),0),卓尔金历!$M$43),0),1)</f>
        <v>0</v>
      </c>
      <c r="M1681" s="4">
        <f>MIN(MAX(M1680*(1+MAX(MIN(((B1681-B1680)/B1680)/($K$7*30),0),-卓尔金历!$M$43))+MIN(MAX(((B1681-B1680)/B1680)/($K$7*7),0),卓尔金历!$M$43),0),1)</f>
        <v>0.32313673616500704</v>
      </c>
      <c r="N1681">
        <f t="shared" si="203"/>
        <v>789.73921623663011</v>
      </c>
      <c r="O1681">
        <f t="shared" si="204"/>
        <v>2038.0844927916776</v>
      </c>
      <c r="P1681">
        <f t="shared" si="205"/>
        <v>-2.6363026557891953E-2</v>
      </c>
      <c r="Q1681">
        <f t="shared" si="206"/>
        <v>3.1244754125631786E-2</v>
      </c>
      <c r="R1681">
        <f t="shared" si="207"/>
        <v>0.20895497937751967</v>
      </c>
      <c r="S1681">
        <f t="shared" si="199"/>
        <v>16.500691501354101</v>
      </c>
      <c r="T1681" s="564">
        <f>IF((I1681-MAX(I$470:I1681))/MAX(I$470:I1681)&gt;T1680,T1680,(I1681-MAX(I$470:I1681))/MAX(I$470:I1681))</f>
        <v>-0.91338805338419748</v>
      </c>
      <c r="U1681" s="564">
        <f>IF((J1681-MAX(J$470:J1681))/MAX(J$470:J1681)&gt;U1680,U1680,(J1681-MAX(J$470:J1681))/MAX(J$470:J1681))</f>
        <v>-0.8283551177402233</v>
      </c>
      <c r="V1681" s="564">
        <f>IF((K1681-MAX(K$470:K1681))/MAX(K$470:K1681)&gt;V1680,V1680,(K1681-MAX(K$470:K1681))/MAX(K$470:K1681))</f>
        <v>-0.84885940676762139</v>
      </c>
      <c r="W1681" s="564">
        <f>IF((N1681-MAX(N$470:N1681))/MAX(N$470:N1681)&gt;W1680,W1680,(N1681-MAX(N$470:N1681))/MAX(N$470:N1681))</f>
        <v>-0.62788758315546067</v>
      </c>
      <c r="X1681" s="564">
        <f>IF((O1681-MAX(O$470:O1681))/MAX(O$470:O1681)&gt;X1680,X1680,(O1681-MAX(O$470:O1681))/MAX(O$470:O1681))</f>
        <v>-0.62788758315546067</v>
      </c>
    </row>
    <row r="1682" spans="1:24">
      <c r="A1682" s="799">
        <v>42084</v>
      </c>
      <c r="B1682">
        <v>260.65800000000002</v>
      </c>
      <c r="C1682">
        <v>394.46057400000001</v>
      </c>
      <c r="D1682">
        <v>0.87101300000000004</v>
      </c>
      <c r="E1682">
        <f>LN(D1682/参数实验室!$E$53)/参数实验室!$E$55</f>
        <v>-0.85589030202194194</v>
      </c>
      <c r="F1682">
        <f t="shared" si="208"/>
        <v>1.5133261745275417</v>
      </c>
      <c r="G1682">
        <f>LN(F1682/参数实验室!$E$58)/参数实验室!$E$59</f>
        <v>2.6922250201694087E-2</v>
      </c>
      <c r="H1682" s="856">
        <f>INDEX(神经网络!$G$10:$BO$70,MATCH(ROUND(G1682*2,1)/2,神经网络!$E$10:$E$70,0),MATCH(ROUND(E1682*2,1)/2,神经网络!$G$8:$BO$8,0))</f>
        <v>-0.15101802788283913</v>
      </c>
      <c r="I1682">
        <f t="shared" si="200"/>
        <v>980.27622529930966</v>
      </c>
      <c r="J1682">
        <f t="shared" si="201"/>
        <v>104.009417022465</v>
      </c>
      <c r="K1682">
        <f t="shared" si="202"/>
        <v>9.4248795288178542</v>
      </c>
      <c r="L1682" s="4">
        <f>MIN(MAX(L1681*(1+MAX(MIN(((B1682-B1681)/B1681)/($K$7*卓尔金历!$N$40),0),-卓尔金历!$M$43))+MIN(MAX(((B1682-B1681)/B1681)/($K$7*卓尔金历!$N$40),0),卓尔金历!$M$43),0),1)</f>
        <v>4.951562641656377E-2</v>
      </c>
      <c r="M1682" s="4">
        <f>MIN(MAX(M1681*(1+MAX(MIN(((B1682-B1681)/B1681)/($K$7*30),0),-卓尔金历!$M$43))+MIN(MAX(((B1682-B1681)/B1681)/($K$7*7),0),卓尔金历!$M$43),0),1)</f>
        <v>0.42924164991478653</v>
      </c>
      <c r="N1682">
        <f t="shared" si="203"/>
        <v>789.73921623663011</v>
      </c>
      <c r="O1682">
        <f t="shared" si="204"/>
        <v>2037.6148810062812</v>
      </c>
      <c r="P1682">
        <f t="shared" si="205"/>
        <v>3.2407549958433715E-3</v>
      </c>
      <c r="Q1682">
        <f t="shared" si="206"/>
        <v>3.1242179438872395E-2</v>
      </c>
      <c r="R1682">
        <f t="shared" si="207"/>
        <v>1</v>
      </c>
      <c r="S1682">
        <f t="shared" si="199"/>
        <v>16.498232915727339</v>
      </c>
      <c r="T1682" s="564">
        <f>IF((I1682-MAX(I$470:I1682))/MAX(I$470:I1682)&gt;T1681,T1681,(I1682-MAX(I$470:I1682))/MAX(I$470:I1682))</f>
        <v>-0.91338805338419748</v>
      </c>
      <c r="U1682" s="564">
        <f>IF((J1682-MAX(J$470:J1682))/MAX(J$470:J1682)&gt;U1681,U1681,(J1682-MAX(J$470:J1682))/MAX(J$470:J1682))</f>
        <v>-0.8283551177402233</v>
      </c>
      <c r="V1682" s="564">
        <f>IF((K1682-MAX(K$470:K1682))/MAX(K$470:K1682)&gt;V1681,V1681,(K1682-MAX(K$470:K1682))/MAX(K$470:K1682))</f>
        <v>-0.84885940676762139</v>
      </c>
      <c r="W1682" s="564">
        <f>IF((N1682-MAX(N$470:N1682))/MAX(N$470:N1682)&gt;W1681,W1681,(N1682-MAX(N$470:N1682))/MAX(N$470:N1682))</f>
        <v>-0.62788758315546067</v>
      </c>
      <c r="X1682" s="564">
        <f>IF((O1682-MAX(O$470:O1682))/MAX(O$470:O1682)&gt;X1681,X1681,(O1682-MAX(O$470:O1682))/MAX(O$470:O1682))</f>
        <v>-0.62788758315546067</v>
      </c>
    </row>
    <row r="1683" spans="1:24">
      <c r="A1683" s="799">
        <v>42085</v>
      </c>
      <c r="B1683">
        <v>260.47500000000002</v>
      </c>
      <c r="C1683">
        <v>399.181308</v>
      </c>
      <c r="D1683">
        <v>0.89689600000000003</v>
      </c>
      <c r="E1683">
        <f>LN(D1683/参数实验室!$E$53)/参数实验室!$E$55</f>
        <v>-0.8213435745728298</v>
      </c>
      <c r="F1683">
        <f t="shared" si="208"/>
        <v>1.5325129398214798</v>
      </c>
      <c r="G1683">
        <f>LN(F1683/参数实验室!$E$58)/参数实验室!$E$59</f>
        <v>3.353480205663089E-2</v>
      </c>
      <c r="H1683" s="856">
        <f>INDEX(神经网络!$G$10:$BO$70,MATCH(ROUND(G1683*2,1)/2,神经网络!$E$10:$E$70,0),MATCH(ROUND(E1683*2,1)/2,神经网络!$G$8:$BO$8,0))</f>
        <v>-0.18892090073293136</v>
      </c>
      <c r="I1683">
        <f t="shared" si="200"/>
        <v>980.3801592164175</v>
      </c>
      <c r="J1683">
        <f t="shared" si="201"/>
        <v>103.93639519572226</v>
      </c>
      <c r="K1683">
        <f t="shared" si="202"/>
        <v>9.4325010730867387</v>
      </c>
      <c r="L1683" s="4">
        <f>MIN(MAX(L1682*(1+MAX(MIN(((B1683-B1682)/B1682)/($K$7*卓尔金历!$N$40),0),-卓尔金历!$M$43))+MIN(MAX(((B1683-B1682)/B1682)/($K$7*卓尔金历!$N$40),0),卓尔金历!$M$43),0),1)</f>
        <v>4.8984474947302514E-2</v>
      </c>
      <c r="M1683" s="4">
        <f>MIN(MAX(M1682*(1+MAX(MIN(((B1683-B1682)/B1682)/($K$7*30),0),-卓尔金历!$M$43))+MIN(MAX(((B1683-B1682)/B1682)/($K$7*7),0),卓尔金历!$M$43),0),1)</f>
        <v>0.42693942383465661</v>
      </c>
      <c r="N1683">
        <f t="shared" si="203"/>
        <v>789.7433622892313</v>
      </c>
      <c r="O1683">
        <f t="shared" si="204"/>
        <v>2037.7076136806681</v>
      </c>
      <c r="P1683">
        <f t="shared" si="205"/>
        <v>-7.0206937826574559E-4</v>
      </c>
      <c r="Q1683">
        <f t="shared" si="206"/>
        <v>3.0589101846279977E-2</v>
      </c>
      <c r="R1683">
        <f t="shared" si="207"/>
        <v>1</v>
      </c>
      <c r="S1683">
        <f t="shared" si="199"/>
        <v>16.499982143065548</v>
      </c>
      <c r="T1683" s="564">
        <f>IF((I1683-MAX(I$470:I1683))/MAX(I$470:I1683)&gt;T1682,T1682,(I1683-MAX(I$470:I1683))/MAX(I$470:I1683))</f>
        <v>-0.91338805338419748</v>
      </c>
      <c r="U1683" s="564">
        <f>IF((J1683-MAX(J$470:J1683))/MAX(J$470:J1683)&gt;U1682,U1682,(J1683-MAX(J$470:J1683))/MAX(J$470:J1683))</f>
        <v>-0.8283551177402233</v>
      </c>
      <c r="V1683" s="564">
        <f>IF((K1683-MAX(K$470:K1683))/MAX(K$470:K1683)&gt;V1682,V1682,(K1683-MAX(K$470:K1683))/MAX(K$470:K1683))</f>
        <v>-0.84885940676762139</v>
      </c>
      <c r="W1683" s="564">
        <f>IF((N1683-MAX(N$470:N1683))/MAX(N$470:N1683)&gt;W1682,W1682,(N1683-MAX(N$470:N1683))/MAX(N$470:N1683))</f>
        <v>-0.62788758315546067</v>
      </c>
      <c r="X1683" s="564">
        <f>IF((O1683-MAX(O$470:O1683))/MAX(O$470:O1683)&gt;X1682,X1682,(O1683-MAX(O$470:O1683))/MAX(O$470:O1683))</f>
        <v>-0.62788758315546067</v>
      </c>
    </row>
    <row r="1684" spans="1:24">
      <c r="A1684" s="799">
        <v>42086</v>
      </c>
      <c r="B1684">
        <v>262.73599999999999</v>
      </c>
      <c r="C1684">
        <v>398.68610799999999</v>
      </c>
      <c r="D1684">
        <v>0.89015599999999995</v>
      </c>
      <c r="E1684">
        <f>LN(D1684/参数实验室!$E$53)/参数实验室!$E$55</f>
        <v>-0.83024267159701948</v>
      </c>
      <c r="F1684">
        <f t="shared" si="208"/>
        <v>1.5174399701601609</v>
      </c>
      <c r="G1684">
        <f>LN(F1684/参数实验室!$E$58)/参数实验室!$E$59</f>
        <v>2.8347067223600305E-2</v>
      </c>
      <c r="H1684" s="856">
        <f>INDEX(神经网络!$G$10:$BO$70,MATCH(ROUND(G1684*2,1)/2,神经网络!$E$10:$E$70,0),MATCH(ROUND(E1684*2,1)/2,神经网络!$G$8:$BO$8,0))</f>
        <v>-0.15101802788283913</v>
      </c>
      <c r="I1684">
        <f t="shared" si="200"/>
        <v>978.77244431673489</v>
      </c>
      <c r="J1684">
        <f t="shared" si="201"/>
        <v>104.83859383105204</v>
      </c>
      <c r="K1684">
        <f t="shared" si="202"/>
        <v>9.3359936312578942</v>
      </c>
      <c r="L1684" s="4">
        <f>MIN(MAX(L1683*(1+MAX(MIN(((B1684-B1683)/B1683)/($K$7*卓尔金历!$N$40),0),-卓尔金历!$M$43))+MIN(MAX(((B1684-B1683)/B1683)/($K$7*卓尔金历!$N$40),0),卓尔金历!$M$43),0),1)</f>
        <v>0.18161106206933589</v>
      </c>
      <c r="M1684" s="4">
        <f>MIN(MAX(M1683*(1+MAX(MIN(((B1684-B1683)/B1683)/($K$7*30),0),-卓尔金历!$M$43))+MIN(MAX(((B1684-B1683)/B1683)/($K$7*7),0),卓尔金历!$M$43),0),1)</f>
        <v>0.71113925338187101</v>
      </c>
      <c r="N1684">
        <f t="shared" si="203"/>
        <v>789.67992290412531</v>
      </c>
      <c r="O1684">
        <f t="shared" si="204"/>
        <v>2036.280946564968</v>
      </c>
      <c r="P1684">
        <f t="shared" si="205"/>
        <v>8.6802956137823871E-3</v>
      </c>
      <c r="Q1684">
        <f t="shared" si="206"/>
        <v>2.8645861300697566E-2</v>
      </c>
      <c r="R1684">
        <f t="shared" si="207"/>
        <v>1</v>
      </c>
      <c r="S1684">
        <f t="shared" si="199"/>
        <v>16.47292399946021</v>
      </c>
      <c r="T1684" s="564">
        <f>IF((I1684-MAX(I$470:I1684))/MAX(I$470:I1684)&gt;T1683,T1683,(I1684-MAX(I$470:I1684))/MAX(I$470:I1684))</f>
        <v>-0.91338805338419748</v>
      </c>
      <c r="U1684" s="564">
        <f>IF((J1684-MAX(J$470:J1684))/MAX(J$470:J1684)&gt;U1683,U1683,(J1684-MAX(J$470:J1684))/MAX(J$470:J1684))</f>
        <v>-0.8283551177402233</v>
      </c>
      <c r="V1684" s="564">
        <f>IF((K1684-MAX(K$470:K1684))/MAX(K$470:K1684)&gt;V1683,V1683,(K1684-MAX(K$470:K1684))/MAX(K$470:K1684))</f>
        <v>-0.84885940676762139</v>
      </c>
      <c r="W1684" s="564">
        <f>IF((N1684-MAX(N$470:N1684))/MAX(N$470:N1684)&gt;W1683,W1683,(N1684-MAX(N$470:N1684))/MAX(N$470:N1684))</f>
        <v>-0.62788758315546067</v>
      </c>
      <c r="X1684" s="564">
        <f>IF((O1684-MAX(O$470:O1684))/MAX(O$470:O1684)&gt;X1683,X1683,(O1684-MAX(O$470:O1684))/MAX(O$470:O1684))</f>
        <v>-0.62788758315546067</v>
      </c>
    </row>
    <row r="1685" spans="1:24">
      <c r="A1685" s="799">
        <v>42087</v>
      </c>
      <c r="B1685">
        <v>263.101</v>
      </c>
      <c r="C1685">
        <v>393.06186200000002</v>
      </c>
      <c r="D1685">
        <v>0.824546</v>
      </c>
      <c r="E1685">
        <f>LN(D1685/参数实验室!$E$53)/参数实验室!$E$55</f>
        <v>-0.92056905880975992</v>
      </c>
      <c r="F1685">
        <f t="shared" si="208"/>
        <v>1.4939580693345902</v>
      </c>
      <c r="G1685">
        <f>LN(F1685/参数实验室!$E$58)/参数实验室!$E$59</f>
        <v>2.0161619648571445E-2</v>
      </c>
      <c r="H1685" s="856">
        <f>INDEX(神经网络!$G$10:$BO$70,MATCH(ROUND(G1685*2,1)/2,神经网络!$E$10:$E$70,0),MATCH(ROUND(E1685*2,1)/2,神经网络!$G$8:$BO$8,0))</f>
        <v>-0.1929019821248841</v>
      </c>
      <c r="I1685">
        <f t="shared" si="200"/>
        <v>978.56709946957017</v>
      </c>
      <c r="J1685">
        <f t="shared" si="201"/>
        <v>104.9842384581619</v>
      </c>
      <c r="K1685">
        <f t="shared" si="202"/>
        <v>9.3210858490872113</v>
      </c>
      <c r="L1685" s="4">
        <f>MIN(MAX(L1684*(1+MAX(MIN(((B1685-B1684)/B1684)/($K$7*卓尔金历!$N$40),0),-卓尔金历!$M$43))+MIN(MAX(((B1685-B1684)/B1684)/($K$7*卓尔金历!$N$40),0),卓尔金历!$M$43),0),1)</f>
        <v>0.20283712068217416</v>
      </c>
      <c r="M1685" s="4">
        <f>MIN(MAX(M1684*(1+MAX(MIN(((B1685-B1684)/B1684)/($K$7*30),0),-卓尔金历!$M$43))+MIN(MAX(((B1685-B1684)/B1684)/($K$7*7),0),卓尔金历!$M$43),0),1)</f>
        <v>0.7566236646950959</v>
      </c>
      <c r="N1685">
        <f t="shared" si="203"/>
        <v>789.64983475520103</v>
      </c>
      <c r="O1685">
        <f t="shared" si="204"/>
        <v>2035.9771419097235</v>
      </c>
      <c r="P1685">
        <f t="shared" si="205"/>
        <v>1.3892272090616023E-3</v>
      </c>
      <c r="Q1685">
        <f t="shared" si="206"/>
        <v>2.6976926504239954E-2</v>
      </c>
      <c r="R1685">
        <f t="shared" si="207"/>
        <v>1</v>
      </c>
      <c r="S1685">
        <f t="shared" si="199"/>
        <v>16.469468007129546</v>
      </c>
      <c r="T1685" s="564">
        <f>IF((I1685-MAX(I$470:I1685))/MAX(I$470:I1685)&gt;T1684,T1684,(I1685-MAX(I$470:I1685))/MAX(I$470:I1685))</f>
        <v>-0.91338805338419748</v>
      </c>
      <c r="U1685" s="564">
        <f>IF((J1685-MAX(J$470:J1685))/MAX(J$470:J1685)&gt;U1684,U1684,(J1685-MAX(J$470:J1685))/MAX(J$470:J1685))</f>
        <v>-0.8283551177402233</v>
      </c>
      <c r="V1685" s="564">
        <f>IF((K1685-MAX(K$470:K1685))/MAX(K$470:K1685)&gt;V1684,V1684,(K1685-MAX(K$470:K1685))/MAX(K$470:K1685))</f>
        <v>-0.84885940676762139</v>
      </c>
      <c r="W1685" s="564">
        <f>IF((N1685-MAX(N$470:N1685))/MAX(N$470:N1685)&gt;W1684,W1684,(N1685-MAX(N$470:N1685))/MAX(N$470:N1685))</f>
        <v>-0.62788758315546067</v>
      </c>
      <c r="X1685" s="564">
        <f>IF((O1685-MAX(O$470:O1685))/MAX(O$470:O1685)&gt;X1684,X1684,(O1685-MAX(O$470:O1685))/MAX(O$470:O1685))</f>
        <v>-0.62788758315546067</v>
      </c>
    </row>
    <row r="1686" spans="1:24">
      <c r="A1686" s="799">
        <v>42088</v>
      </c>
      <c r="B1686">
        <v>246.76499999999999</v>
      </c>
      <c r="C1686">
        <v>388.05411099999998</v>
      </c>
      <c r="D1686">
        <v>0.82488499999999998</v>
      </c>
      <c r="E1686">
        <f>LN(D1686/参数实验室!$E$53)/参数实验室!$E$55</f>
        <v>-0.9200841202396256</v>
      </c>
      <c r="F1686">
        <f t="shared" si="208"/>
        <v>1.5725654408040037</v>
      </c>
      <c r="G1686">
        <f>LN(F1686/参数实验室!$E$58)/参数实验室!$E$59</f>
        <v>4.7075769797209469E-2</v>
      </c>
      <c r="H1686" s="856">
        <f>INDEX(神经网络!$G$10:$BO$70,MATCH(ROUND(G1686*2,1)/2,神经网络!$E$10:$E$70,0),MATCH(ROUND(E1686*2,1)/2,神经网络!$G$8:$BO$8,0))</f>
        <v>-0.10645589364307358</v>
      </c>
      <c r="I1686">
        <f t="shared" si="200"/>
        <v>990.2877178678649</v>
      </c>
      <c r="J1686">
        <f t="shared" si="201"/>
        <v>98.465743585650841</v>
      </c>
      <c r="K1686">
        <f t="shared" si="202"/>
        <v>10.057180109613034</v>
      </c>
      <c r="L1686" s="4">
        <f>MIN(MAX(L1685*(1+MAX(MIN(((B1686-B1685)/B1685)/($K$7*卓尔金历!$N$40),0),-卓尔金历!$M$43))+MIN(MAX(((B1686-B1685)/B1685)/($K$7*卓尔金历!$N$40),0),卓尔金历!$M$43),0),1)</f>
        <v>1.0409796211530152E-2</v>
      </c>
      <c r="M1686" s="4">
        <f>MIN(MAX(M1685*(1+MAX(MIN(((B1686-B1685)/B1685)/($K$7*30),0),-卓尔金历!$M$43))+MIN(MAX(((B1686-B1685)/B1685)/($K$7*7),0),卓尔金历!$M$43),0),1)</f>
        <v>0.39772715961064409</v>
      </c>
      <c r="N1686">
        <f t="shared" si="203"/>
        <v>791.56824684194703</v>
      </c>
      <c r="O1686">
        <f t="shared" si="204"/>
        <v>2054.4278371076925</v>
      </c>
      <c r="P1686">
        <f t="shared" si="205"/>
        <v>-6.2090223906408615E-2</v>
      </c>
      <c r="Q1686">
        <f t="shared" si="206"/>
        <v>2.8886935496591139E-2</v>
      </c>
      <c r="R1686">
        <f t="shared" si="207"/>
        <v>6.3342061486664405E-3</v>
      </c>
      <c r="S1686">
        <f t="shared" si="199"/>
        <v>16.666728215284021</v>
      </c>
      <c r="T1686" s="564">
        <f>IF((I1686-MAX(I$470:I1686))/MAX(I$470:I1686)&gt;T1685,T1685,(I1686-MAX(I$470:I1686))/MAX(I$470:I1686))</f>
        <v>-0.91338805338419748</v>
      </c>
      <c r="U1686" s="564">
        <f>IF((J1686-MAX(J$470:J1686))/MAX(J$470:J1686)&gt;U1685,U1685,(J1686-MAX(J$470:J1686))/MAX(J$470:J1686))</f>
        <v>-0.8283551177402233</v>
      </c>
      <c r="V1686" s="564">
        <f>IF((K1686-MAX(K$470:K1686))/MAX(K$470:K1686)&gt;V1685,V1685,(K1686-MAX(K$470:K1686))/MAX(K$470:K1686))</f>
        <v>-0.84885940676762139</v>
      </c>
      <c r="W1686" s="564">
        <f>IF((N1686-MAX(N$470:N1686))/MAX(N$470:N1686)&gt;W1685,W1685,(N1686-MAX(N$470:N1686))/MAX(N$470:N1686))</f>
        <v>-0.62788758315546067</v>
      </c>
      <c r="X1686" s="564">
        <f>IF((O1686-MAX(O$470:O1686))/MAX(O$470:O1686)&gt;X1685,X1685,(O1686-MAX(O$470:O1686))/MAX(O$470:O1686))</f>
        <v>-0.62788758315546067</v>
      </c>
    </row>
    <row r="1687" spans="1:24">
      <c r="A1687" s="799">
        <v>42089</v>
      </c>
      <c r="B1687">
        <v>245.08699999999999</v>
      </c>
      <c r="C1687">
        <v>383.36499400000002</v>
      </c>
      <c r="D1687">
        <v>0.83480900000000002</v>
      </c>
      <c r="E1687">
        <f>LN(D1687/参数实验室!$E$53)/参数实验室!$E$55</f>
        <v>-0.90597548246871329</v>
      </c>
      <c r="F1687">
        <f t="shared" si="208"/>
        <v>1.5641996270712035</v>
      </c>
      <c r="G1687">
        <f>LN(F1687/参数实验室!$E$58)/参数实验室!$E$59</f>
        <v>4.4276171180793321E-2</v>
      </c>
      <c r="H1687" s="856">
        <f>INDEX(神经网络!$G$10:$BO$70,MATCH(ROUND(G1687*2,1)/2,神经网络!$E$10:$E$70,0),MATCH(ROUND(E1687*2,1)/2,神经网络!$G$8:$BO$8,0))</f>
        <v>-0.10645589364307358</v>
      </c>
      <c r="I1687">
        <f t="shared" si="200"/>
        <v>991.00458636842461</v>
      </c>
      <c r="J1687">
        <f t="shared" si="201"/>
        <v>97.796177327321175</v>
      </c>
      <c r="K1687">
        <f t="shared" si="202"/>
        <v>10.133367309967126</v>
      </c>
      <c r="L1687" s="4">
        <f>MIN(MAX(L1686*(1+MAX(MIN(((B1687-B1686)/B1686)/($K$7*卓尔金历!$N$40),0),-卓尔金历!$M$43))+MIN(MAX(((B1687-B1686)/B1686)/($K$7*卓尔金历!$N$40),0),卓尔金历!$M$43),0),1)</f>
        <v>9.3282459638938508E-3</v>
      </c>
      <c r="M1687" s="4">
        <f>MIN(MAX(M1686*(1+MAX(MIN(((B1687-B1686)/B1686)/($K$7*30),0),-卓尔金历!$M$43))+MIN(MAX(((B1687-B1686)/B1686)/($K$7*7),0),卓尔金历!$M$43),0),1)</f>
        <v>0.37706576051946322</v>
      </c>
      <c r="N1687">
        <f t="shared" si="203"/>
        <v>791.5742118178988</v>
      </c>
      <c r="O1687">
        <f t="shared" si="204"/>
        <v>2055.0193364209972</v>
      </c>
      <c r="P1687">
        <f t="shared" si="205"/>
        <v>-6.7999918951228795E-3</v>
      </c>
      <c r="Q1687">
        <f t="shared" si="206"/>
        <v>2.8650981494887422E-2</v>
      </c>
      <c r="R1687">
        <f t="shared" si="207"/>
        <v>1</v>
      </c>
      <c r="S1687">
        <f t="shared" ref="S1687:S1750" si="209">S1686*(1+(B1687-B1686)/B1686*H1686*R1686)</f>
        <v>16.666804637680443</v>
      </c>
      <c r="T1687" s="564">
        <f>IF((I1687-MAX(I$470:I1687))/MAX(I$470:I1687)&gt;T1686,T1686,(I1687-MAX(I$470:I1687))/MAX(I$470:I1687))</f>
        <v>-0.91338805338419748</v>
      </c>
      <c r="U1687" s="564">
        <f>IF((J1687-MAX(J$470:J1687))/MAX(J$470:J1687)&gt;U1686,U1686,(J1687-MAX(J$470:J1687))/MAX(J$470:J1687))</f>
        <v>-0.8283551177402233</v>
      </c>
      <c r="V1687" s="564">
        <f>IF((K1687-MAX(K$470:K1687))/MAX(K$470:K1687)&gt;V1686,V1686,(K1687-MAX(K$470:K1687))/MAX(K$470:K1687))</f>
        <v>-0.84885940676762139</v>
      </c>
      <c r="W1687" s="564">
        <f>IF((N1687-MAX(N$470:N1687))/MAX(N$470:N1687)&gt;W1686,W1686,(N1687-MAX(N$470:N1687))/MAX(N$470:N1687))</f>
        <v>-0.62788758315546067</v>
      </c>
      <c r="X1687" s="564">
        <f>IF((O1687-MAX(O$470:O1687))/MAX(O$470:O1687)&gt;X1686,X1686,(O1687-MAX(O$470:O1687))/MAX(O$470:O1687))</f>
        <v>-0.62788758315546067</v>
      </c>
    </row>
    <row r="1688" spans="1:24">
      <c r="A1688" s="799">
        <v>42090</v>
      </c>
      <c r="B1688">
        <v>253.24600000000001</v>
      </c>
      <c r="C1688">
        <v>380.61401699999999</v>
      </c>
      <c r="D1688">
        <v>0.82811599999999996</v>
      </c>
      <c r="E1688">
        <f>LN(D1688/参数实验室!$E$53)/参数实验室!$E$55</f>
        <v>-0.9154721598286224</v>
      </c>
      <c r="F1688">
        <f t="shared" si="208"/>
        <v>1.5029418707501796</v>
      </c>
      <c r="G1688">
        <f>LN(F1688/参数实验室!$E$58)/参数实验室!$E$59</f>
        <v>2.3308337065511157E-2</v>
      </c>
      <c r="H1688" s="856">
        <f>INDEX(神经网络!$G$10:$BO$70,MATCH(ROUND(G1688*2,1)/2,神经网络!$E$10:$E$70,0),MATCH(ROUND(E1688*2,1)/2,神经网络!$G$8:$BO$8,0))</f>
        <v>-0.1929019821248841</v>
      </c>
      <c r="I1688">
        <f t="shared" ref="I1688:I1751" si="210">I1687*(1+(B1688-B1687)/B1687*H1687)</f>
        <v>987.49252552020982</v>
      </c>
      <c r="J1688">
        <f t="shared" ref="J1688:J1751" si="211">J1687*B1688/B1687</f>
        <v>101.05183352619592</v>
      </c>
      <c r="K1688">
        <f t="shared" ref="K1688:K1751" si="212">I1688/J1688</f>
        <v>9.7721386249188598</v>
      </c>
      <c r="L1688" s="4">
        <f>MIN(MAX(L1687*(1+MAX(MIN(((B1688-B1687)/B1687)/($K$7*卓尔金历!$N$40),0),-卓尔金历!$M$43))+MIN(MAX(((B1688-B1687)/B1687)/($K$7*卓尔金历!$N$40),0),卓尔金历!$M$43),0),1)</f>
        <v>0.51797085203201132</v>
      </c>
      <c r="M1688" s="4">
        <f>MIN(MAX(M1687*(1+MAX(MIN(((B1688-B1687)/B1687)/($K$7*30),0),-卓尔金历!$M$43))+MIN(MAX(((B1688-B1687)/B1687)/($K$7*7),0),卓尔金历!$M$43),0),1)</f>
        <v>1</v>
      </c>
      <c r="N1688">
        <f t="shared" ref="N1688:N1751" si="213">N1687*(1+(B1688-B1687)/B1687*H1687*L1687)</f>
        <v>791.54804336826703</v>
      </c>
      <c r="O1688">
        <f t="shared" ref="O1688:O1751" si="214">O1687*(1+(B1688-B1687)/B1687*H1687*M1687)</f>
        <v>2052.2732172628375</v>
      </c>
      <c r="P1688">
        <f t="shared" ref="P1688:P1751" si="215">(B1688-B1687)/B1687</f>
        <v>3.3290219391481475E-2</v>
      </c>
      <c r="Q1688">
        <f t="shared" si="206"/>
        <v>2.784919623268543E-2</v>
      </c>
      <c r="R1688">
        <f t="shared" si="207"/>
        <v>2.3537940616866385E-2</v>
      </c>
      <c r="S1688">
        <f t="shared" si="209"/>
        <v>16.607738481137872</v>
      </c>
      <c r="T1688" s="564">
        <f>IF((I1688-MAX(I$470:I1688))/MAX(I$470:I1688)&gt;T1687,T1687,(I1688-MAX(I$470:I1688))/MAX(I$470:I1688))</f>
        <v>-0.91338805338419748</v>
      </c>
      <c r="U1688" s="564">
        <f>IF((J1688-MAX(J$470:J1688))/MAX(J$470:J1688)&gt;U1687,U1687,(J1688-MAX(J$470:J1688))/MAX(J$470:J1688))</f>
        <v>-0.8283551177402233</v>
      </c>
      <c r="V1688" s="564">
        <f>IF((K1688-MAX(K$470:K1688))/MAX(K$470:K1688)&gt;V1687,V1687,(K1688-MAX(K$470:K1688))/MAX(K$470:K1688))</f>
        <v>-0.84885940676762139</v>
      </c>
      <c r="W1688" s="564">
        <f>IF((N1688-MAX(N$470:N1688))/MAX(N$470:N1688)&gt;W1687,W1687,(N1688-MAX(N$470:N1688))/MAX(N$470:N1688))</f>
        <v>-0.62788758315546067</v>
      </c>
      <c r="X1688" s="564">
        <f>IF((O1688-MAX(O$470:O1688))/MAX(O$470:O1688)&gt;X1687,X1687,(O1688-MAX(O$470:O1688))/MAX(O$470:O1688))</f>
        <v>-0.62788758315546067</v>
      </c>
    </row>
    <row r="1689" spans="1:24">
      <c r="A1689" s="799">
        <v>42091</v>
      </c>
      <c r="B1689">
        <v>248.411</v>
      </c>
      <c r="C1689">
        <v>381.459067</v>
      </c>
      <c r="D1689">
        <v>0.84785500000000003</v>
      </c>
      <c r="E1689">
        <f>LN(D1689/参数实验室!$E$53)/参数实验室!$E$55</f>
        <v>-0.88768143300081781</v>
      </c>
      <c r="F1689">
        <f t="shared" si="208"/>
        <v>1.535596519477801</v>
      </c>
      <c r="G1689">
        <f>LN(F1689/参数实验室!$E$58)/参数实验室!$E$59</f>
        <v>3.4589803396175532E-2</v>
      </c>
      <c r="H1689" s="856">
        <f>INDEX(神经网络!$G$10:$BO$70,MATCH(ROUND(G1689*2,1)/2,神经网络!$E$10:$E$70,0),MATCH(ROUND(E1689*2,1)/2,神经网络!$G$8:$BO$8,0))</f>
        <v>-0.10645589364307358</v>
      </c>
      <c r="I1689">
        <f t="shared" si="210"/>
        <v>991.12936716320996</v>
      </c>
      <c r="J1689">
        <f t="shared" si="211"/>
        <v>99.122540999959938</v>
      </c>
      <c r="K1689">
        <f t="shared" si="212"/>
        <v>9.9990310696697193</v>
      </c>
      <c r="L1689" s="4">
        <f>MIN(MAX(L1688*(1+MAX(MIN(((B1689-B1688)/B1688)/($K$7*卓尔金历!$N$40),0),-卓尔金历!$M$43))+MIN(MAX(((B1689-B1688)/B1688)/($K$7*卓尔金历!$N$40),0),卓尔金历!$M$43),0),1)</f>
        <v>0.3668740461567081</v>
      </c>
      <c r="M1689" s="4">
        <f>MIN(MAX(M1688*(1+MAX(MIN(((B1689-B1688)/B1688)/($K$7*30),0),-卓尔金历!$M$43))+MIN(MAX(((B1689-B1688)/B1688)/($K$7*7),0),卓尔金历!$M$43),0),1)</f>
        <v>0.854145455016873</v>
      </c>
      <c r="N1689">
        <f t="shared" si="213"/>
        <v>793.05803025265254</v>
      </c>
      <c r="O1689">
        <f t="shared" si="214"/>
        <v>2059.8315455604857</v>
      </c>
      <c r="P1689">
        <f t="shared" si="215"/>
        <v>-1.9092108068834285E-2</v>
      </c>
      <c r="Q1689">
        <f t="shared" si="206"/>
        <v>2.7805637828159015E-2</v>
      </c>
      <c r="R1689">
        <f t="shared" si="207"/>
        <v>0.41428322436565412</v>
      </c>
      <c r="S1689">
        <f t="shared" si="209"/>
        <v>16.609178172949154</v>
      </c>
      <c r="T1689" s="564">
        <f>IF((I1689-MAX(I$470:I1689))/MAX(I$470:I1689)&gt;T1688,T1688,(I1689-MAX(I$470:I1689))/MAX(I$470:I1689))</f>
        <v>-0.91338805338419748</v>
      </c>
      <c r="U1689" s="564">
        <f>IF((J1689-MAX(J$470:J1689))/MAX(J$470:J1689)&gt;U1688,U1688,(J1689-MAX(J$470:J1689))/MAX(J$470:J1689))</f>
        <v>-0.8283551177402233</v>
      </c>
      <c r="V1689" s="564">
        <f>IF((K1689-MAX(K$470:K1689))/MAX(K$470:K1689)&gt;V1688,V1688,(K1689-MAX(K$470:K1689))/MAX(K$470:K1689))</f>
        <v>-0.84885940676762139</v>
      </c>
      <c r="W1689" s="564">
        <f>IF((N1689-MAX(N$470:N1689))/MAX(N$470:N1689)&gt;W1688,W1688,(N1689-MAX(N$470:N1689))/MAX(N$470:N1689))</f>
        <v>-0.62788758315546067</v>
      </c>
      <c r="X1689" s="564">
        <f>IF((O1689-MAX(O$470:O1689))/MAX(O$470:O1689)&gt;X1688,X1688,(O1689-MAX(O$470:O1689))/MAX(O$470:O1689))</f>
        <v>-0.62788758315546067</v>
      </c>
    </row>
    <row r="1690" spans="1:24">
      <c r="A1690" s="799">
        <v>42092</v>
      </c>
      <c r="B1690">
        <v>251.68700000000001</v>
      </c>
      <c r="C1690">
        <v>381.535866</v>
      </c>
      <c r="D1690">
        <v>0.813836</v>
      </c>
      <c r="E1690">
        <f>LN(D1690/参数实验室!$E$53)/参数实验室!$E$55</f>
        <v>-0.93599322389558814</v>
      </c>
      <c r="F1690">
        <f t="shared" si="208"/>
        <v>1.5159140758163909</v>
      </c>
      <c r="G1690">
        <f>LN(F1690/参数实验室!$E$58)/参数实验室!$E$59</f>
        <v>2.7819023433751106E-2</v>
      </c>
      <c r="H1690" s="856">
        <f>INDEX(神经网络!$G$10:$BO$70,MATCH(ROUND(G1690*2,1)/2,神经网络!$E$10:$E$70,0),MATCH(ROUND(E1690*2,1)/2,神经网络!$G$8:$BO$8,0))</f>
        <v>-8.4970844332659848E-2</v>
      </c>
      <c r="I1690">
        <f t="shared" si="210"/>
        <v>989.73789947964929</v>
      </c>
      <c r="J1690">
        <f t="shared" si="211"/>
        <v>100.42975140656782</v>
      </c>
      <c r="K1690">
        <f t="shared" si="212"/>
        <v>9.8550268781699213</v>
      </c>
      <c r="L1690" s="4">
        <f>MIN(MAX(L1689*(1+MAX(MIN(((B1690-B1689)/B1689)/($K$7*卓尔金历!$N$40),0),-卓尔金历!$M$43))+MIN(MAX(((B1690-B1689)/B1689)/($K$7*卓尔金历!$N$40),0),卓尔金历!$M$43),0),1)</f>
        <v>0.56837130778351563</v>
      </c>
      <c r="M1690" s="4">
        <f>MIN(MAX(M1689*(1+MAX(MIN(((B1690-B1689)/B1689)/($K$7*30),0),-卓尔金历!$M$43))+MIN(MAX(((B1690-B1689)/B1689)/($K$7*7),0),卓尔金历!$M$43),0),1)</f>
        <v>1</v>
      </c>
      <c r="N1690">
        <f t="shared" si="213"/>
        <v>792.64955595338347</v>
      </c>
      <c r="O1690">
        <f t="shared" si="214"/>
        <v>2057.3614922923234</v>
      </c>
      <c r="P1690">
        <f t="shared" si="215"/>
        <v>1.3187821795331166E-2</v>
      </c>
      <c r="Q1690">
        <f t="shared" si="206"/>
        <v>2.7617972271334244E-2</v>
      </c>
      <c r="R1690">
        <f t="shared" si="207"/>
        <v>0.78753172984201081</v>
      </c>
      <c r="S1690">
        <f t="shared" si="209"/>
        <v>16.599517925043653</v>
      </c>
      <c r="T1690" s="564">
        <f>IF((I1690-MAX(I$470:I1690))/MAX(I$470:I1690)&gt;T1689,T1689,(I1690-MAX(I$470:I1690))/MAX(I$470:I1690))</f>
        <v>-0.91338805338419748</v>
      </c>
      <c r="U1690" s="564">
        <f>IF((J1690-MAX(J$470:J1690))/MAX(J$470:J1690)&gt;U1689,U1689,(J1690-MAX(J$470:J1690))/MAX(J$470:J1690))</f>
        <v>-0.8283551177402233</v>
      </c>
      <c r="V1690" s="564">
        <f>IF((K1690-MAX(K$470:K1690))/MAX(K$470:K1690)&gt;V1689,V1689,(K1690-MAX(K$470:K1690))/MAX(K$470:K1690))</f>
        <v>-0.84885940676762139</v>
      </c>
      <c r="W1690" s="564">
        <f>IF((N1690-MAX(N$470:N1690))/MAX(N$470:N1690)&gt;W1689,W1689,(N1690-MAX(N$470:N1690))/MAX(N$470:N1690))</f>
        <v>-0.62788758315546067</v>
      </c>
      <c r="X1690" s="564">
        <f>IF((O1690-MAX(O$470:O1690))/MAX(O$470:O1690)&gt;X1689,X1689,(O1690-MAX(O$470:O1690))/MAX(O$470:O1690))</f>
        <v>-0.62788758315546067</v>
      </c>
    </row>
    <row r="1691" spans="1:24">
      <c r="A1691" s="799">
        <v>42093</v>
      </c>
      <c r="B1691">
        <v>244.8</v>
      </c>
      <c r="C1691">
        <v>381.84859799999998</v>
      </c>
      <c r="D1691">
        <v>0.83226699999999998</v>
      </c>
      <c r="E1691">
        <f>LN(D1691/参数实验室!$E$53)/参数实验室!$E$55</f>
        <v>-0.90957332092412424</v>
      </c>
      <c r="F1691">
        <f t="shared" si="208"/>
        <v>1.5598390441176468</v>
      </c>
      <c r="G1691">
        <f>LN(F1691/参数实验室!$E$58)/参数实验室!$E$59</f>
        <v>4.2810970957239215E-2</v>
      </c>
      <c r="H1691" s="856">
        <f>INDEX(神经网络!$G$10:$BO$70,MATCH(ROUND(G1691*2,1)/2,神经网络!$E$10:$E$70,0),MATCH(ROUND(E1691*2,1)/2,神经网络!$G$8:$BO$8,0))</f>
        <v>-0.10645589364307358</v>
      </c>
      <c r="I1691">
        <f t="shared" si="210"/>
        <v>992.03912633349637</v>
      </c>
      <c r="J1691">
        <f t="shared" si="211"/>
        <v>97.681656757511519</v>
      </c>
      <c r="K1691">
        <f t="shared" si="212"/>
        <v>10.155838457942725</v>
      </c>
      <c r="L1691" s="4">
        <f>MIN(MAX(L1690*(1+MAX(MIN(((B1691-B1690)/B1690)/($K$7*卓尔金历!$N$40),0),-卓尔金历!$M$43))+MIN(MAX(((B1691-B1690)/B1690)/($K$7*卓尔金历!$N$40),0),卓尔金历!$M$43),0),1)</f>
        <v>0.33074335678604361</v>
      </c>
      <c r="M1691" s="4">
        <f>MIN(MAX(M1690*(1+MAX(MIN(((B1691-B1690)/B1690)/($K$7*30),0),-卓尔金历!$M$43))+MIN(MAX(((B1691-B1690)/B1690)/($K$7*7),0),卓尔金历!$M$43),0),1)</f>
        <v>0.79095711927810664</v>
      </c>
      <c r="N1691">
        <f t="shared" si="213"/>
        <v>793.69705249839808</v>
      </c>
      <c r="O1691">
        <f t="shared" si="214"/>
        <v>2062.1450370233306</v>
      </c>
      <c r="P1691">
        <f t="shared" si="215"/>
        <v>-2.7363352100029006E-2</v>
      </c>
      <c r="Q1691">
        <f t="shared" si="206"/>
        <v>2.806286670224693E-2</v>
      </c>
      <c r="R1691">
        <f t="shared" si="207"/>
        <v>5.3557751737756815E-2</v>
      </c>
      <c r="S1691">
        <f t="shared" si="209"/>
        <v>16.629912968514336</v>
      </c>
      <c r="T1691" s="564">
        <f>IF((I1691-MAX(I$470:I1691))/MAX(I$470:I1691)&gt;T1690,T1690,(I1691-MAX(I$470:I1691))/MAX(I$470:I1691))</f>
        <v>-0.91338805338419748</v>
      </c>
      <c r="U1691" s="564">
        <f>IF((J1691-MAX(J$470:J1691))/MAX(J$470:J1691)&gt;U1690,U1690,(J1691-MAX(J$470:J1691))/MAX(J$470:J1691))</f>
        <v>-0.8283551177402233</v>
      </c>
      <c r="V1691" s="564">
        <f>IF((K1691-MAX(K$470:K1691))/MAX(K$470:K1691)&gt;V1690,V1690,(K1691-MAX(K$470:K1691))/MAX(K$470:K1691))</f>
        <v>-0.84885940676762139</v>
      </c>
      <c r="W1691" s="564">
        <f>IF((N1691-MAX(N$470:N1691))/MAX(N$470:N1691)&gt;W1690,W1690,(N1691-MAX(N$470:N1691))/MAX(N$470:N1691))</f>
        <v>-0.62788758315546067</v>
      </c>
      <c r="X1691" s="564">
        <f>IF((O1691-MAX(O$470:O1691))/MAX(O$470:O1691)&gt;X1690,X1690,(O1691-MAX(O$470:O1691))/MAX(O$470:O1691))</f>
        <v>-0.62788758315546067</v>
      </c>
    </row>
    <row r="1692" spans="1:24">
      <c r="A1692" s="799">
        <v>42094</v>
      </c>
      <c r="B1692">
        <v>247.83799999999999</v>
      </c>
      <c r="C1692">
        <v>379.58575400000001</v>
      </c>
      <c r="D1692">
        <v>0.82051799999999997</v>
      </c>
      <c r="E1692">
        <f>LN(D1692/参数实验室!$E$53)/参数实验室!$E$55</f>
        <v>-0.92634640919060141</v>
      </c>
      <c r="F1692">
        <f t="shared" si="208"/>
        <v>1.5315881906729396</v>
      </c>
      <c r="G1692">
        <f>LN(F1692/参数实验室!$E$58)/参数实验室!$E$59</f>
        <v>3.3217998972455011E-2</v>
      </c>
      <c r="H1692" s="856">
        <f>INDEX(神经网络!$G$10:$BO$70,MATCH(ROUND(G1692*2,1)/2,神经网络!$E$10:$E$70,0),MATCH(ROUND(E1692*2,1)/2,神经网络!$G$8:$BO$8,0))</f>
        <v>-8.4970844332659848E-2</v>
      </c>
      <c r="I1692">
        <f t="shared" si="210"/>
        <v>990.72851213899617</v>
      </c>
      <c r="J1692">
        <f t="shared" si="211"/>
        <v>98.893898886716258</v>
      </c>
      <c r="K1692">
        <f t="shared" si="212"/>
        <v>10.018095385984159</v>
      </c>
      <c r="L1692" s="4">
        <f>MIN(MAX(L1691*(1+MAX(MIN(((B1692-B1691)/B1691)/($K$7*卓尔金历!$N$40),0),-卓尔金历!$M$43))+MIN(MAX(((B1692-B1691)/B1691)/($K$7*卓尔金历!$N$40),0),卓尔金历!$M$43),0),1)</f>
        <v>0.52035824506010808</v>
      </c>
      <c r="M1692" s="4">
        <f>MIN(MAX(M1691*(1+MAX(MIN(((B1692-B1691)/B1691)/($K$7*30),0),-卓尔金历!$M$43))+MIN(MAX(((B1692-B1691)/B1691)/($K$7*7),0),卓尔金历!$M$43),0),1)</f>
        <v>1</v>
      </c>
      <c r="N1692">
        <f t="shared" si="213"/>
        <v>793.35024221743697</v>
      </c>
      <c r="O1692">
        <f t="shared" si="214"/>
        <v>2059.9901812249691</v>
      </c>
      <c r="P1692">
        <f t="shared" si="215"/>
        <v>1.2410130718954176E-2</v>
      </c>
      <c r="Q1692">
        <f t="shared" si="206"/>
        <v>2.6248820535993162E-2</v>
      </c>
      <c r="R1692">
        <f t="shared" si="207"/>
        <v>0.79819290605483961</v>
      </c>
      <c r="S1692">
        <f t="shared" si="209"/>
        <v>16.628736288491648</v>
      </c>
      <c r="T1692" s="564">
        <f>IF((I1692-MAX(I$470:I1692))/MAX(I$470:I1692)&gt;T1691,T1691,(I1692-MAX(I$470:I1692))/MAX(I$470:I1692))</f>
        <v>-0.91338805338419748</v>
      </c>
      <c r="U1692" s="564">
        <f>IF((J1692-MAX(J$470:J1692))/MAX(J$470:J1692)&gt;U1691,U1691,(J1692-MAX(J$470:J1692))/MAX(J$470:J1692))</f>
        <v>-0.8283551177402233</v>
      </c>
      <c r="V1692" s="564">
        <f>IF((K1692-MAX(K$470:K1692))/MAX(K$470:K1692)&gt;V1691,V1691,(K1692-MAX(K$470:K1692))/MAX(K$470:K1692))</f>
        <v>-0.84885940676762139</v>
      </c>
      <c r="W1692" s="564">
        <f>IF((N1692-MAX(N$470:N1692))/MAX(N$470:N1692)&gt;W1691,W1691,(N1692-MAX(N$470:N1692))/MAX(N$470:N1692))</f>
        <v>-0.62788758315546067</v>
      </c>
      <c r="X1692" s="564">
        <f>IF((O1692-MAX(O$470:O1692))/MAX(O$470:O1692)&gt;X1691,X1691,(O1692-MAX(O$470:O1692))/MAX(O$470:O1692))</f>
        <v>-0.62788758315546067</v>
      </c>
    </row>
    <row r="1693" spans="1:24">
      <c r="A1693" s="799">
        <v>42095</v>
      </c>
      <c r="B1693">
        <v>245.58</v>
      </c>
      <c r="C1693">
        <v>386.67213400000003</v>
      </c>
      <c r="D1693">
        <v>0.83080900000000002</v>
      </c>
      <c r="E1693">
        <f>LN(D1693/参数实验室!$E$53)/参数实验室!$E$55</f>
        <v>-0.91164187421980836</v>
      </c>
      <c r="F1693">
        <f t="shared" si="208"/>
        <v>1.5745261584819612</v>
      </c>
      <c r="G1693">
        <f>LN(F1693/参数实验室!$E$58)/参数实验室!$E$59</f>
        <v>4.7729764573848206E-2</v>
      </c>
      <c r="H1693" s="856">
        <f>INDEX(神经网络!$G$10:$BO$70,MATCH(ROUND(G1693*2,1)/2,神经网络!$E$10:$E$70,0),MATCH(ROUND(E1693*2,1)/2,神经网络!$G$8:$BO$8,0))</f>
        <v>-0.10645589364307358</v>
      </c>
      <c r="I1693">
        <f t="shared" si="210"/>
        <v>991.49548613092827</v>
      </c>
      <c r="J1693">
        <f t="shared" si="211"/>
        <v>97.992897330513401</v>
      </c>
      <c r="K1693">
        <f t="shared" si="212"/>
        <v>10.118034195751784</v>
      </c>
      <c r="L1693" s="4">
        <f>MIN(MAX(L1692*(1+MAX(MIN(((B1693-B1692)/B1692)/($K$7*卓尔金历!$N$40),0),-卓尔金历!$M$43))+MIN(MAX(((B1693-B1692)/B1692)/($K$7*卓尔金历!$N$40),0),卓尔金历!$M$43),0),1)</f>
        <v>0.44792222829221562</v>
      </c>
      <c r="M1693" s="4">
        <f>MIN(MAX(M1692*(1+MAX(MIN(((B1693-B1692)/B1692)/($K$7*30),0),-卓尔金历!$M$43))+MIN(MAX(((B1693-B1692)/B1692)/($K$7*7),0),卓尔金历!$M$43),0),1)</f>
        <v>0.93039793502308665</v>
      </c>
      <c r="N1693">
        <f t="shared" si="213"/>
        <v>793.66983235933719</v>
      </c>
      <c r="O1693">
        <f t="shared" si="214"/>
        <v>2061.5849257723162</v>
      </c>
      <c r="P1693">
        <f t="shared" si="215"/>
        <v>-9.1107901128962519E-3</v>
      </c>
      <c r="Q1693">
        <f t="shared" si="206"/>
        <v>2.4961502053281886E-2</v>
      </c>
      <c r="R1693">
        <f t="shared" si="207"/>
        <v>1</v>
      </c>
      <c r="S1693">
        <f t="shared" si="209"/>
        <v>16.639011554770125</v>
      </c>
      <c r="T1693" s="564">
        <f>IF((I1693-MAX(I$470:I1693))/MAX(I$470:I1693)&gt;T1692,T1692,(I1693-MAX(I$470:I1693))/MAX(I$470:I1693))</f>
        <v>-0.91338805338419748</v>
      </c>
      <c r="U1693" s="564">
        <f>IF((J1693-MAX(J$470:J1693))/MAX(J$470:J1693)&gt;U1692,U1692,(J1693-MAX(J$470:J1693))/MAX(J$470:J1693))</f>
        <v>-0.8283551177402233</v>
      </c>
      <c r="V1693" s="564">
        <f>IF((K1693-MAX(K$470:K1693))/MAX(K$470:K1693)&gt;V1692,V1692,(K1693-MAX(K$470:K1693))/MAX(K$470:K1693))</f>
        <v>-0.84885940676762139</v>
      </c>
      <c r="W1693" s="564">
        <f>IF((N1693-MAX(N$470:N1693))/MAX(N$470:N1693)&gt;W1692,W1692,(N1693-MAX(N$470:N1693))/MAX(N$470:N1693))</f>
        <v>-0.62788758315546067</v>
      </c>
      <c r="X1693" s="564">
        <f>IF((O1693-MAX(O$470:O1693))/MAX(O$470:O1693)&gt;X1692,X1692,(O1693-MAX(O$470:O1693))/MAX(O$470:O1693))</f>
        <v>-0.62788758315546067</v>
      </c>
    </row>
    <row r="1694" spans="1:24">
      <c r="A1694" s="799">
        <v>42096</v>
      </c>
      <c r="B1694">
        <v>247.91800000000001</v>
      </c>
      <c r="C1694">
        <v>384.93170300000003</v>
      </c>
      <c r="D1694">
        <v>0.85233599999999998</v>
      </c>
      <c r="E1694">
        <f>LN(D1694/参数实验室!$E$53)/参数实验室!$E$55</f>
        <v>-0.88146273577586431</v>
      </c>
      <c r="F1694">
        <f t="shared" si="208"/>
        <v>1.5526573423470664</v>
      </c>
      <c r="G1694">
        <f>LN(F1694/参数实验室!$E$58)/参数实验室!$E$59</f>
        <v>4.0388894635336257E-2</v>
      </c>
      <c r="H1694" s="856">
        <f>INDEX(神经网络!$G$10:$BO$70,MATCH(ROUND(G1694*2,1)/2,神经网络!$E$10:$E$70,0),MATCH(ROUND(E1694*2,1)/2,神经网络!$G$8:$BO$8,0))</f>
        <v>-0.10645589364307358</v>
      </c>
      <c r="I1694">
        <f t="shared" si="210"/>
        <v>990.49061131258497</v>
      </c>
      <c r="J1694">
        <f t="shared" si="211"/>
        <v>98.925820996767726</v>
      </c>
      <c r="K1694">
        <f t="shared" si="212"/>
        <v>10.012457832874068</v>
      </c>
      <c r="L1694" s="4">
        <f>MIN(MAX(L1693*(1+MAX(MIN(((B1694-B1693)/B1693)/($K$7*卓尔金历!$N$40),0),-卓尔金历!$M$43))+MIN(MAX(((B1694-B1693)/B1693)/($K$7*卓尔金历!$N$40),0),卓尔金历!$M$43),0),1)</f>
        <v>0.59338357037723766</v>
      </c>
      <c r="M1694" s="4">
        <f>MIN(MAX(M1693*(1+MAX(MIN(((B1694-B1693)/B1693)/($K$7*30),0),-卓尔金历!$M$43))+MIN(MAX(((B1694-B1693)/B1693)/($K$7*7),0),卓尔金历!$M$43),0),1)</f>
        <v>1</v>
      </c>
      <c r="N1694">
        <f t="shared" si="213"/>
        <v>793.30953281762413</v>
      </c>
      <c r="O1694">
        <f t="shared" si="214"/>
        <v>2059.6409484710234</v>
      </c>
      <c r="P1694">
        <f t="shared" si="215"/>
        <v>9.5203192442381047E-3</v>
      </c>
      <c r="Q1694">
        <f t="shared" si="206"/>
        <v>2.5133920590657183E-2</v>
      </c>
      <c r="R1694">
        <f t="shared" si="207"/>
        <v>1</v>
      </c>
      <c r="S1694">
        <f t="shared" si="209"/>
        <v>16.622148014847458</v>
      </c>
      <c r="T1694" s="564">
        <f>IF((I1694-MAX(I$470:I1694))/MAX(I$470:I1694)&gt;T1693,T1693,(I1694-MAX(I$470:I1694))/MAX(I$470:I1694))</f>
        <v>-0.91338805338419748</v>
      </c>
      <c r="U1694" s="564">
        <f>IF((J1694-MAX(J$470:J1694))/MAX(J$470:J1694)&gt;U1693,U1693,(J1694-MAX(J$470:J1694))/MAX(J$470:J1694))</f>
        <v>-0.8283551177402233</v>
      </c>
      <c r="V1694" s="564">
        <f>IF((K1694-MAX(K$470:K1694))/MAX(K$470:K1694)&gt;V1693,V1693,(K1694-MAX(K$470:K1694))/MAX(K$470:K1694))</f>
        <v>-0.84885940676762139</v>
      </c>
      <c r="W1694" s="564">
        <f>IF((N1694-MAX(N$470:N1694))/MAX(N$470:N1694)&gt;W1693,W1693,(N1694-MAX(N$470:N1694))/MAX(N$470:N1694))</f>
        <v>-0.62788758315546067</v>
      </c>
      <c r="X1694" s="564">
        <f>IF((O1694-MAX(O$470:O1694))/MAX(O$470:O1694)&gt;X1693,X1693,(O1694-MAX(O$470:O1694))/MAX(O$470:O1694))</f>
        <v>-0.62788758315546067</v>
      </c>
    </row>
    <row r="1695" spans="1:24">
      <c r="A1695" s="799">
        <v>42097</v>
      </c>
      <c r="B1695">
        <v>253.18299999999999</v>
      </c>
      <c r="C1695">
        <v>383.68148600000001</v>
      </c>
      <c r="D1695">
        <v>0.85676300000000005</v>
      </c>
      <c r="E1695">
        <f>LN(D1695/参数实验室!$E$53)/参数实验室!$E$55</f>
        <v>-0.8753510017081686</v>
      </c>
      <c r="F1695">
        <f t="shared" si="208"/>
        <v>1.5154314705173728</v>
      </c>
      <c r="G1695">
        <f>LN(F1695/参数实验室!$E$58)/参数实验室!$E$59</f>
        <v>2.7651904680266414E-2</v>
      </c>
      <c r="H1695" s="856">
        <f>INDEX(神经网络!$G$10:$BO$70,MATCH(ROUND(G1695*2,1)/2,神经网络!$E$10:$E$70,0),MATCH(ROUND(E1695*2,1)/2,神经网络!$G$8:$BO$8,0))</f>
        <v>-0.10645589364307358</v>
      </c>
      <c r="I1695">
        <f t="shared" si="210"/>
        <v>988.25132106297644</v>
      </c>
      <c r="J1695">
        <f t="shared" si="211"/>
        <v>101.02669486453037</v>
      </c>
      <c r="K1695">
        <f t="shared" si="212"/>
        <v>9.7820810864707717</v>
      </c>
      <c r="L1695" s="4">
        <f>MIN(MAX(L1694*(1+MAX(MIN(((B1695-B1694)/B1694)/($K$7*卓尔金历!$N$40),0),-卓尔金历!$M$43))+MIN(MAX(((B1695-B1694)/B1694)/($K$7*卓尔金历!$N$40),0),卓尔金历!$M$43),0),1)</f>
        <v>0.91786242047066535</v>
      </c>
      <c r="M1695" s="4">
        <f>MIN(MAX(M1694*(1+MAX(MIN(((B1695-B1694)/B1694)/($K$7*30),0),-卓尔金历!$M$43))+MIN(MAX(((B1695-B1694)/B1694)/($K$7*7),0),卓尔金历!$M$43),0),1)</f>
        <v>1</v>
      </c>
      <c r="N1695">
        <f t="shared" si="213"/>
        <v>792.24529615488666</v>
      </c>
      <c r="O1695">
        <f t="shared" si="214"/>
        <v>2054.9845349311781</v>
      </c>
      <c r="P1695">
        <f t="shared" si="215"/>
        <v>2.1236860574867442E-2</v>
      </c>
      <c r="Q1695">
        <f t="shared" si="206"/>
        <v>2.5837797204752714E-2</v>
      </c>
      <c r="R1695">
        <f t="shared" si="207"/>
        <v>0.22616273321078706</v>
      </c>
      <c r="S1695">
        <f t="shared" si="209"/>
        <v>16.584568845946631</v>
      </c>
      <c r="T1695" s="564">
        <f>IF((I1695-MAX(I$470:I1695))/MAX(I$470:I1695)&gt;T1694,T1694,(I1695-MAX(I$470:I1695))/MAX(I$470:I1695))</f>
        <v>-0.91338805338419748</v>
      </c>
      <c r="U1695" s="564">
        <f>IF((J1695-MAX(J$470:J1695))/MAX(J$470:J1695)&gt;U1694,U1694,(J1695-MAX(J$470:J1695))/MAX(J$470:J1695))</f>
        <v>-0.8283551177402233</v>
      </c>
      <c r="V1695" s="564">
        <f>IF((K1695-MAX(K$470:K1695))/MAX(K$470:K1695)&gt;V1694,V1694,(K1695-MAX(K$470:K1695))/MAX(K$470:K1695))</f>
        <v>-0.84885940676762139</v>
      </c>
      <c r="W1695" s="564">
        <f>IF((N1695-MAX(N$470:N1695))/MAX(N$470:N1695)&gt;W1694,W1694,(N1695-MAX(N$470:N1695))/MAX(N$470:N1695))</f>
        <v>-0.62788758315546067</v>
      </c>
      <c r="X1695" s="564">
        <f>IF((O1695-MAX(O$470:O1695))/MAX(O$470:O1695)&gt;X1694,X1694,(O1695-MAX(O$470:O1695))/MAX(O$470:O1695))</f>
        <v>-0.62788758315546067</v>
      </c>
    </row>
    <row r="1696" spans="1:24">
      <c r="A1696" s="799">
        <v>42098</v>
      </c>
      <c r="B1696">
        <v>255.06899999999999</v>
      </c>
      <c r="C1696">
        <v>378.57224500000001</v>
      </c>
      <c r="D1696">
        <v>0.85381700000000005</v>
      </c>
      <c r="E1696">
        <f>LN(D1696/参数实验室!$E$53)/参数实验室!$E$55</f>
        <v>-0.87941460176542585</v>
      </c>
      <c r="F1696">
        <f t="shared" si="208"/>
        <v>1.4841954333925331</v>
      </c>
      <c r="G1696">
        <f>LN(F1696/参数实验室!$E$58)/参数实验室!$E$59</f>
        <v>1.6720576536131352E-2</v>
      </c>
      <c r="H1696" s="856">
        <f>INDEX(神经网络!$G$10:$BO$70,MATCH(ROUND(G1696*2,1)/2,神经网络!$E$10:$E$70,0),MATCH(ROUND(E1696*2,1)/2,神经网络!$G$8:$BO$8,0))</f>
        <v>-0.1929019821248841</v>
      </c>
      <c r="I1696">
        <f t="shared" si="210"/>
        <v>987.46763114375892</v>
      </c>
      <c r="J1696">
        <f t="shared" si="211"/>
        <v>101.77925860899389</v>
      </c>
      <c r="K1696">
        <f t="shared" si="212"/>
        <v>9.7020517209436594</v>
      </c>
      <c r="L1696" s="4">
        <f>MIN(MAX(L1695*(1+MAX(MIN(((B1696-B1695)/B1695)/($K$7*卓尔金历!$N$40),0),-卓尔金历!$M$43))+MIN(MAX(((B1696-B1695)/B1695)/($K$7*卓尔金历!$N$40),0),卓尔金历!$M$43),0),1)</f>
        <v>1</v>
      </c>
      <c r="M1696" s="4">
        <f>MIN(MAX(M1695*(1+MAX(MIN(((B1696-B1695)/B1695)/($K$7*30),0),-卓尔金历!$M$43))+MIN(MAX(((B1696-B1695)/B1695)/($K$7*7),0),卓尔金历!$M$43),0),1)</f>
        <v>1</v>
      </c>
      <c r="N1696">
        <f t="shared" si="213"/>
        <v>791.66864373977739</v>
      </c>
      <c r="O1696">
        <f t="shared" si="214"/>
        <v>2053.3549184258936</v>
      </c>
      <c r="P1696">
        <f t="shared" si="215"/>
        <v>7.449157328888574E-3</v>
      </c>
      <c r="Q1696">
        <f t="shared" si="206"/>
        <v>2.5498056505443366E-2</v>
      </c>
      <c r="R1696">
        <f t="shared" si="207"/>
        <v>1</v>
      </c>
      <c r="S1696">
        <f t="shared" si="209"/>
        <v>16.581594427359416</v>
      </c>
      <c r="T1696" s="564">
        <f>IF((I1696-MAX(I$470:I1696))/MAX(I$470:I1696)&gt;T1695,T1695,(I1696-MAX(I$470:I1696))/MAX(I$470:I1696))</f>
        <v>-0.91338805338419748</v>
      </c>
      <c r="U1696" s="564">
        <f>IF((J1696-MAX(J$470:J1696))/MAX(J$470:J1696)&gt;U1695,U1695,(J1696-MAX(J$470:J1696))/MAX(J$470:J1696))</f>
        <v>-0.8283551177402233</v>
      </c>
      <c r="V1696" s="564">
        <f>IF((K1696-MAX(K$470:K1696))/MAX(K$470:K1696)&gt;V1695,V1695,(K1696-MAX(K$470:K1696))/MAX(K$470:K1696))</f>
        <v>-0.84885940676762139</v>
      </c>
      <c r="W1696" s="564">
        <f>IF((N1696-MAX(N$470:N1696))/MAX(N$470:N1696)&gt;W1695,W1695,(N1696-MAX(N$470:N1696))/MAX(N$470:N1696))</f>
        <v>-0.62788758315546067</v>
      </c>
      <c r="X1696" s="564">
        <f>IF((O1696-MAX(O$470:O1696))/MAX(O$470:O1696)&gt;X1695,X1695,(O1696-MAX(O$470:O1696))/MAX(O$470:O1696))</f>
        <v>-0.62788758315546067</v>
      </c>
    </row>
    <row r="1697" spans="1:24">
      <c r="A1697" s="799">
        <v>42099</v>
      </c>
      <c r="B1697">
        <v>253.20400000000001</v>
      </c>
      <c r="C1697">
        <v>378.89510999999999</v>
      </c>
      <c r="D1697">
        <v>0.87790900000000005</v>
      </c>
      <c r="E1697">
        <f>LN(D1697/参数实验室!$E$53)/参数实验室!$E$55</f>
        <v>-0.84658671897731586</v>
      </c>
      <c r="F1697">
        <f t="shared" si="208"/>
        <v>1.4964025449834915</v>
      </c>
      <c r="G1697">
        <f>LN(F1697/参数实验室!$E$58)/参数实验室!$E$59</f>
        <v>2.1019705597921084E-2</v>
      </c>
      <c r="H1697" s="856">
        <f>INDEX(神经网络!$G$10:$BO$70,MATCH(ROUND(G1697*2,1)/2,神经网络!$E$10:$E$70,0),MATCH(ROUND(E1697*2,1)/2,神经网络!$G$8:$BO$8,0))</f>
        <v>-0.22003120115745864</v>
      </c>
      <c r="I1697">
        <f t="shared" si="210"/>
        <v>988.86040535040024</v>
      </c>
      <c r="J1697">
        <f t="shared" si="211"/>
        <v>101.0350744184189</v>
      </c>
      <c r="K1697">
        <f t="shared" si="212"/>
        <v>9.7872982332373972</v>
      </c>
      <c r="L1697" s="4">
        <f>MIN(MAX(L1696*(1+MAX(MIN(((B1697-B1696)/B1696)/($K$7*卓尔金历!$N$40),0),-卓尔金历!$M$43))+MIN(MAX(((B1697-B1696)/B1696)/($K$7*卓尔金历!$N$40),0),卓尔金历!$M$43),0),1)</f>
        <v>0.88828352213172168</v>
      </c>
      <c r="M1697" s="4">
        <f>MIN(MAX(M1696*(1+MAX(MIN(((B1697-B1696)/B1696)/($K$7*30),0),-卓尔金历!$M$43))+MIN(MAX(((B1697-B1696)/B1696)/($K$7*7),0),卓尔金历!$M$43),0),1)</f>
        <v>0.94414176106586079</v>
      </c>
      <c r="N1697">
        <f t="shared" si="213"/>
        <v>792.78525316821037</v>
      </c>
      <c r="O1697">
        <f t="shared" si="214"/>
        <v>2056.2510738817955</v>
      </c>
      <c r="P1697">
        <f t="shared" si="215"/>
        <v>-7.311747017473628E-3</v>
      </c>
      <c r="Q1697">
        <f t="shared" si="206"/>
        <v>2.538513908503736E-2</v>
      </c>
      <c r="R1697">
        <f t="shared" si="207"/>
        <v>1</v>
      </c>
      <c r="S1697">
        <f t="shared" si="209"/>
        <v>16.604981945385362</v>
      </c>
      <c r="T1697" s="564">
        <f>IF((I1697-MAX(I$470:I1697))/MAX(I$470:I1697)&gt;T1696,T1696,(I1697-MAX(I$470:I1697))/MAX(I$470:I1697))</f>
        <v>-0.91338805338419748</v>
      </c>
      <c r="U1697" s="564">
        <f>IF((J1697-MAX(J$470:J1697))/MAX(J$470:J1697)&gt;U1696,U1696,(J1697-MAX(J$470:J1697))/MAX(J$470:J1697))</f>
        <v>-0.8283551177402233</v>
      </c>
      <c r="V1697" s="564">
        <f>IF((K1697-MAX(K$470:K1697))/MAX(K$470:K1697)&gt;V1696,V1696,(K1697-MAX(K$470:K1697))/MAX(K$470:K1697))</f>
        <v>-0.84885940676762139</v>
      </c>
      <c r="W1697" s="564">
        <f>IF((N1697-MAX(N$470:N1697))/MAX(N$470:N1697)&gt;W1696,W1696,(N1697-MAX(N$470:N1697))/MAX(N$470:N1697))</f>
        <v>-0.62788758315546067</v>
      </c>
      <c r="X1697" s="564">
        <f>IF((O1697-MAX(O$470:O1697))/MAX(O$470:O1697)&gt;X1696,X1696,(O1697-MAX(O$470:O1697))/MAX(O$470:O1697))</f>
        <v>-0.62788758315546067</v>
      </c>
    </row>
    <row r="1698" spans="1:24">
      <c r="A1698" s="799">
        <v>42100</v>
      </c>
      <c r="B1698">
        <v>261.58</v>
      </c>
      <c r="C1698">
        <v>382.79604699999999</v>
      </c>
      <c r="D1698">
        <v>0.86213099999999998</v>
      </c>
      <c r="E1698">
        <f>LN(D1698/参数实验室!$E$53)/参数实验室!$E$55</f>
        <v>-0.86798238444435716</v>
      </c>
      <c r="F1698">
        <f t="shared" si="208"/>
        <v>1.4633995221347198</v>
      </c>
      <c r="G1698">
        <f>LN(F1698/参数实验室!$E$58)/参数实验室!$E$59</f>
        <v>9.3145391584643425E-3</v>
      </c>
      <c r="H1698" s="856">
        <f>INDEX(神经网络!$G$10:$BO$70,MATCH(ROUND(G1698*2,1)/2,神经网络!$E$10:$E$70,0),MATCH(ROUND(E1698*2,1)/2,神经网络!$G$8:$BO$8,0))</f>
        <v>-0.22003120115745864</v>
      </c>
      <c r="I1698">
        <f t="shared" si="210"/>
        <v>981.66284419097735</v>
      </c>
      <c r="J1698">
        <f t="shared" si="211"/>
        <v>104.37731934080826</v>
      </c>
      <c r="K1698">
        <f t="shared" si="212"/>
        <v>9.4049440088195286</v>
      </c>
      <c r="L1698" s="4">
        <f>MIN(MAX(L1697*(1+MAX(MIN(((B1698-B1697)/B1697)/($K$7*卓尔金历!$N$40),0),-卓尔金历!$M$43))+MIN(MAX(((B1698-B1697)/B1697)/($K$7*卓尔金历!$N$40),0),卓尔金历!$M$43),0),1)</f>
        <v>1</v>
      </c>
      <c r="M1698" s="4">
        <f>MIN(MAX(M1697*(1+MAX(MIN(((B1698-B1697)/B1697)/($K$7*30),0),-卓尔金历!$M$43))+MIN(MAX(((B1698-B1697)/B1697)/($K$7*7),0),卓尔金历!$M$43),0),1)</f>
        <v>1</v>
      </c>
      <c r="N1698">
        <f t="shared" si="213"/>
        <v>787.65950169591156</v>
      </c>
      <c r="O1698">
        <f t="shared" si="214"/>
        <v>2042.1203722678961</v>
      </c>
      <c r="P1698">
        <f t="shared" si="215"/>
        <v>3.3080046128813038E-2</v>
      </c>
      <c r="Q1698">
        <f t="shared" si="206"/>
        <v>2.6595710875287903E-2</v>
      </c>
      <c r="R1698">
        <f t="shared" si="207"/>
        <v>1.9846601643166855E-2</v>
      </c>
      <c r="S1698">
        <f t="shared" si="209"/>
        <v>16.484120221671514</v>
      </c>
      <c r="T1698" s="564">
        <f>IF((I1698-MAX(I$470:I1698))/MAX(I$470:I1698)&gt;T1697,T1697,(I1698-MAX(I$470:I1698))/MAX(I$470:I1698))</f>
        <v>-0.91338805338419748</v>
      </c>
      <c r="U1698" s="564">
        <f>IF((J1698-MAX(J$470:J1698))/MAX(J$470:J1698)&gt;U1697,U1697,(J1698-MAX(J$470:J1698))/MAX(J$470:J1698))</f>
        <v>-0.8283551177402233</v>
      </c>
      <c r="V1698" s="564">
        <f>IF((K1698-MAX(K$470:K1698))/MAX(K$470:K1698)&gt;V1697,V1697,(K1698-MAX(K$470:K1698))/MAX(K$470:K1698))</f>
        <v>-0.84885940676762139</v>
      </c>
      <c r="W1698" s="564">
        <f>IF((N1698-MAX(N$470:N1698))/MAX(N$470:N1698)&gt;W1697,W1697,(N1698-MAX(N$470:N1698))/MAX(N$470:N1698))</f>
        <v>-0.62788758315546067</v>
      </c>
      <c r="X1698" s="564">
        <f>IF((O1698-MAX(O$470:O1698))/MAX(O$470:O1698)&gt;X1697,X1697,(O1698-MAX(O$470:O1698))/MAX(O$470:O1698))</f>
        <v>-0.62788758315546067</v>
      </c>
    </row>
    <row r="1699" spans="1:24">
      <c r="A1699" s="799">
        <v>42101</v>
      </c>
      <c r="B1699">
        <v>252.68799999999999</v>
      </c>
      <c r="C1699">
        <v>384.17654199999998</v>
      </c>
      <c r="D1699">
        <v>0.85722500000000001</v>
      </c>
      <c r="E1699">
        <f>LN(D1699/参数实验室!$E$53)/参数实验室!$E$55</f>
        <v>-0.87471500424270743</v>
      </c>
      <c r="F1699">
        <f t="shared" si="208"/>
        <v>1.5203592651807762</v>
      </c>
      <c r="G1699">
        <f>LN(F1699/参数实验室!$E$58)/参数实验室!$E$59</f>
        <v>2.9355826623074437E-2</v>
      </c>
      <c r="H1699" s="856">
        <f>INDEX(神经网络!$G$10:$BO$70,MATCH(ROUND(G1699*2,1)/2,神经网络!$E$10:$E$70,0),MATCH(ROUND(E1699*2,1)/2,神经网络!$G$8:$BO$8,0))</f>
        <v>-0.15101802788283913</v>
      </c>
      <c r="I1699">
        <f t="shared" si="210"/>
        <v>989.00530338334318</v>
      </c>
      <c r="J1699">
        <f t="shared" si="211"/>
        <v>100.82917680858688</v>
      </c>
      <c r="K1699">
        <f t="shared" si="212"/>
        <v>9.8087213908416722</v>
      </c>
      <c r="L1699" s="4">
        <f>MIN(MAX(L1698*(1+MAX(MIN(((B1699-B1698)/B1698)/($K$7*卓尔金历!$N$40),0),-卓尔金历!$M$43))+MIN(MAX(((B1699-B1698)/B1698)/($K$7*卓尔金历!$N$40),0),卓尔金历!$M$43),0),1)</f>
        <v>0.48061309356244064</v>
      </c>
      <c r="M1699" s="4">
        <f>MIN(MAX(M1698*(1+MAX(MIN(((B1699-B1698)/B1698)/($K$7*30),0),-卓尔金历!$M$43))+MIN(MAX(((B1699-B1698)/B1698)/($K$7*7),0),卓尔金历!$M$43),0),1)</f>
        <v>0.74030654678122032</v>
      </c>
      <c r="N1699">
        <f t="shared" si="213"/>
        <v>793.55089076386366</v>
      </c>
      <c r="O1699">
        <f t="shared" si="214"/>
        <v>2057.3946444765311</v>
      </c>
      <c r="P1699">
        <f t="shared" si="215"/>
        <v>-3.3993424573744158E-2</v>
      </c>
      <c r="Q1699">
        <f t="shared" si="206"/>
        <v>2.6599842060108306E-2</v>
      </c>
      <c r="R1699">
        <f t="shared" si="207"/>
        <v>2.0072798080253137E-2</v>
      </c>
      <c r="S1699">
        <f t="shared" si="209"/>
        <v>16.486567205584116</v>
      </c>
      <c r="T1699" s="564">
        <f>IF((I1699-MAX(I$470:I1699))/MAX(I$470:I1699)&gt;T1698,T1698,(I1699-MAX(I$470:I1699))/MAX(I$470:I1699))</f>
        <v>-0.91338805338419748</v>
      </c>
      <c r="U1699" s="564">
        <f>IF((J1699-MAX(J$470:J1699))/MAX(J$470:J1699)&gt;U1698,U1698,(J1699-MAX(J$470:J1699))/MAX(J$470:J1699))</f>
        <v>-0.8283551177402233</v>
      </c>
      <c r="V1699" s="564">
        <f>IF((K1699-MAX(K$470:K1699))/MAX(K$470:K1699)&gt;V1698,V1698,(K1699-MAX(K$470:K1699))/MAX(K$470:K1699))</f>
        <v>-0.84885940676762139</v>
      </c>
      <c r="W1699" s="564">
        <f>IF((N1699-MAX(N$470:N1699))/MAX(N$470:N1699)&gt;W1698,W1698,(N1699-MAX(N$470:N1699))/MAX(N$470:N1699))</f>
        <v>-0.62788758315546067</v>
      </c>
      <c r="X1699" s="564">
        <f>IF((O1699-MAX(O$470:O1699))/MAX(O$470:O1699)&gt;X1698,X1698,(O1699-MAX(O$470:O1699))/MAX(O$470:O1699))</f>
        <v>-0.62788758315546067</v>
      </c>
    </row>
    <row r="1700" spans="1:24">
      <c r="A1700" s="799">
        <v>42102</v>
      </c>
      <c r="B1700">
        <v>253.04300000000001</v>
      </c>
      <c r="C1700">
        <v>389.474468</v>
      </c>
      <c r="D1700">
        <v>0.82735700000000001</v>
      </c>
      <c r="E1700">
        <f>LN(D1700/参数实验室!$E$53)/参数实验室!$E$55</f>
        <v>-0.91655394464168294</v>
      </c>
      <c r="F1700">
        <f t="shared" si="208"/>
        <v>1.5391631777998205</v>
      </c>
      <c r="G1700">
        <f>LN(F1700/参数实验室!$E$58)/参数实验室!$E$59</f>
        <v>3.5807443839345268E-2</v>
      </c>
      <c r="H1700" s="856">
        <f>INDEX(神经网络!$G$10:$BO$70,MATCH(ROUND(G1700*2,1)/2,神经网络!$E$10:$E$70,0),MATCH(ROUND(E1700*2,1)/2,神经网络!$G$8:$BO$8,0))</f>
        <v>-0.10645589364307358</v>
      </c>
      <c r="I1700">
        <f t="shared" si="210"/>
        <v>988.79547165876056</v>
      </c>
      <c r="J1700">
        <f t="shared" si="211"/>
        <v>100.9708311719403</v>
      </c>
      <c r="K1700">
        <f t="shared" si="212"/>
        <v>9.7928823619860008</v>
      </c>
      <c r="L1700" s="4">
        <f>MIN(MAX(L1699*(1+MAX(MIN(((B1700-B1699)/B1699)/($K$7*卓尔金历!$N$40),0),-卓尔金历!$M$43))+MIN(MAX(((B1700-B1699)/B1699)/($K$7*卓尔金历!$N$40),0),卓尔金历!$M$43),0),1)</f>
        <v>0.50207853446974504</v>
      </c>
      <c r="M1700" s="4">
        <f>MIN(MAX(M1699*(1+MAX(MIN(((B1700-B1699)/B1699)/($K$7*30),0),-卓尔金历!$M$43))+MIN(MAX(((B1700-B1699)/B1699)/($K$7*7),0),卓尔金历!$M$43),0),1)</f>
        <v>0.78630392015401551</v>
      </c>
      <c r="N1700">
        <f t="shared" si="213"/>
        <v>793.46997317910234</v>
      </c>
      <c r="O1700">
        <f t="shared" si="214"/>
        <v>2057.0714962888219</v>
      </c>
      <c r="P1700">
        <f t="shared" si="215"/>
        <v>1.4048945735453135E-3</v>
      </c>
      <c r="Q1700">
        <f t="shared" si="206"/>
        <v>2.6632017324515807E-2</v>
      </c>
      <c r="R1700">
        <f t="shared" si="207"/>
        <v>1</v>
      </c>
      <c r="S1700">
        <f t="shared" si="209"/>
        <v>16.486496993691038</v>
      </c>
      <c r="T1700" s="564">
        <f>IF((I1700-MAX(I$470:I1700))/MAX(I$470:I1700)&gt;T1699,T1699,(I1700-MAX(I$470:I1700))/MAX(I$470:I1700))</f>
        <v>-0.91338805338419748</v>
      </c>
      <c r="U1700" s="564">
        <f>IF((J1700-MAX(J$470:J1700))/MAX(J$470:J1700)&gt;U1699,U1699,(J1700-MAX(J$470:J1700))/MAX(J$470:J1700))</f>
        <v>-0.8283551177402233</v>
      </c>
      <c r="V1700" s="564">
        <f>IF((K1700-MAX(K$470:K1700))/MAX(K$470:K1700)&gt;V1699,V1699,(K1700-MAX(K$470:K1700))/MAX(K$470:K1700))</f>
        <v>-0.84885940676762139</v>
      </c>
      <c r="W1700" s="564">
        <f>IF((N1700-MAX(N$470:N1700))/MAX(N$470:N1700)&gt;W1699,W1699,(N1700-MAX(N$470:N1700))/MAX(N$470:N1700))</f>
        <v>-0.62788758315546067</v>
      </c>
      <c r="X1700" s="564">
        <f>IF((O1700-MAX(O$470:O1700))/MAX(O$470:O1700)&gt;X1699,X1699,(O1700-MAX(O$470:O1700))/MAX(O$470:O1700))</f>
        <v>-0.62788758315546067</v>
      </c>
    </row>
    <row r="1701" spans="1:24">
      <c r="A1701" s="799">
        <v>42103</v>
      </c>
      <c r="B1701">
        <v>244.84800000000001</v>
      </c>
      <c r="C1701">
        <v>394.88582000000002</v>
      </c>
      <c r="D1701">
        <v>0.82153100000000001</v>
      </c>
      <c r="E1701">
        <f>LN(D1701/参数实验室!$E$53)/参数实验室!$E$55</f>
        <v>-0.92489080075534369</v>
      </c>
      <c r="F1701">
        <f t="shared" si="208"/>
        <v>1.6127794386721559</v>
      </c>
      <c r="G1701">
        <f>LN(F1701/参数实验室!$E$58)/参数实验室!$E$59</f>
        <v>6.0328715153139E-2</v>
      </c>
      <c r="H1701" s="856">
        <f>INDEX(神经网络!$G$10:$BO$70,MATCH(ROUND(G1701*2,1)/2,神经网络!$E$10:$E$70,0),MATCH(ROUND(E1701*2,1)/2,神经网络!$G$8:$BO$8,0))</f>
        <v>-0.10645589364307358</v>
      </c>
      <c r="I1701">
        <f t="shared" si="210"/>
        <v>992.20450154739842</v>
      </c>
      <c r="J1701">
        <f t="shared" si="211"/>
        <v>97.700810023542402</v>
      </c>
      <c r="K1701">
        <f t="shared" si="212"/>
        <v>10.155540177285252</v>
      </c>
      <c r="L1701" s="4">
        <f>MIN(MAX(L1700*(1+MAX(MIN(((B1701-B1700)/B1700)/($K$7*卓尔金历!$N$40),0),-卓尔金历!$M$43))+MIN(MAX(((B1701-B1700)/B1700)/($K$7*卓尔金历!$N$40),0),卓尔金历!$M$43),0),1)</f>
        <v>0.25363805268453654</v>
      </c>
      <c r="M1701" s="4">
        <f>MIN(MAX(M1700*(1+MAX(MIN(((B1701-B1700)/B1700)/($K$7*30),0),-卓尔金历!$M$43))+MIN(MAX(((B1701-B1700)/B1700)/($K$7*7),0),卓尔金历!$M$43),0),1)</f>
        <v>0.59176291576814344</v>
      </c>
      <c r="N1701">
        <f t="shared" si="213"/>
        <v>794.84346630746973</v>
      </c>
      <c r="O1701">
        <f t="shared" si="214"/>
        <v>2062.6480278873064</v>
      </c>
      <c r="P1701">
        <f t="shared" si="215"/>
        <v>-3.2385800041890088E-2</v>
      </c>
      <c r="Q1701">
        <f t="shared" si="206"/>
        <v>2.2846461407015427E-2</v>
      </c>
      <c r="R1701">
        <f t="shared" si="207"/>
        <v>1.7339472294233445E-2</v>
      </c>
      <c r="S1701">
        <f t="shared" si="209"/>
        <v>16.543336818125251</v>
      </c>
      <c r="T1701" s="564">
        <f>IF((I1701-MAX(I$470:I1701))/MAX(I$470:I1701)&gt;T1700,T1700,(I1701-MAX(I$470:I1701))/MAX(I$470:I1701))</f>
        <v>-0.91338805338419748</v>
      </c>
      <c r="U1701" s="564">
        <f>IF((J1701-MAX(J$470:J1701))/MAX(J$470:J1701)&gt;U1700,U1700,(J1701-MAX(J$470:J1701))/MAX(J$470:J1701))</f>
        <v>-0.8283551177402233</v>
      </c>
      <c r="V1701" s="564">
        <f>IF((K1701-MAX(K$470:K1701))/MAX(K$470:K1701)&gt;V1700,V1700,(K1701-MAX(K$470:K1701))/MAX(K$470:K1701))</f>
        <v>-0.84885940676762139</v>
      </c>
      <c r="W1701" s="564">
        <f>IF((N1701-MAX(N$470:N1701))/MAX(N$470:N1701)&gt;W1700,W1700,(N1701-MAX(N$470:N1701))/MAX(N$470:N1701))</f>
        <v>-0.62788758315546067</v>
      </c>
      <c r="X1701" s="564">
        <f>IF((O1701-MAX(O$470:O1701))/MAX(O$470:O1701)&gt;X1700,X1700,(O1701-MAX(O$470:O1701))/MAX(O$470:O1701))</f>
        <v>-0.62788758315546067</v>
      </c>
    </row>
    <row r="1702" spans="1:24">
      <c r="A1702" s="799">
        <v>42104</v>
      </c>
      <c r="B1702">
        <v>242.767</v>
      </c>
      <c r="C1702">
        <v>395.77514600000001</v>
      </c>
      <c r="D1702">
        <v>0.796732</v>
      </c>
      <c r="E1702">
        <f>LN(D1702/参数实验室!$E$53)/参数实验室!$E$55</f>
        <v>-0.96105178475398934</v>
      </c>
      <c r="F1702">
        <f t="shared" si="208"/>
        <v>1.6302674828127381</v>
      </c>
      <c r="G1702">
        <f>LN(F1702/参数实验室!$E$58)/参数实验室!$E$59</f>
        <v>6.5989292915160272E-2</v>
      </c>
      <c r="H1702" s="856">
        <f>INDEX(神经网络!$G$10:$BO$70,MATCH(ROUND(G1702*2,1)/2,神经网络!$E$10:$E$70,0),MATCH(ROUND(E1702*2,1)/2,神经网络!$G$8:$BO$8,0))</f>
        <v>-8.4970844332659848E-2</v>
      </c>
      <c r="I1702">
        <f t="shared" si="210"/>
        <v>993.10223296095228</v>
      </c>
      <c r="J1702">
        <f t="shared" si="211"/>
        <v>96.870436135828427</v>
      </c>
      <c r="K1702">
        <f t="shared" si="212"/>
        <v>10.25186086256965</v>
      </c>
      <c r="L1702" s="4">
        <f>MIN(MAX(L1701*(1+MAX(MIN(((B1702-B1701)/B1701)/($K$7*卓尔金历!$N$40),0),-卓尔金历!$M$43))+MIN(MAX(((B1702-B1701)/B1701)/($K$7*卓尔金历!$N$40),0),卓尔金历!$M$43),0),1)</f>
        <v>0.22070090341900331</v>
      </c>
      <c r="M1702" s="4">
        <f>MIN(MAX(M1701*(1+MAX(MIN(((B1702-B1701)/B1701)/($K$7*30),0),-卓尔金历!$M$43))+MIN(MAX(((B1702-B1701)/B1701)/($K$7*7),0),卓尔金历!$M$43),0),1)</f>
        <v>0.55334008591243455</v>
      </c>
      <c r="N1702">
        <f t="shared" si="213"/>
        <v>795.02587320140401</v>
      </c>
      <c r="O1702">
        <f t="shared" si="214"/>
        <v>2063.752406787919</v>
      </c>
      <c r="P1702">
        <f t="shared" si="215"/>
        <v>-8.4991504933673839E-3</v>
      </c>
      <c r="Q1702">
        <f t="shared" si="206"/>
        <v>2.2317900125163128E-2</v>
      </c>
      <c r="R1702">
        <f t="shared" si="207"/>
        <v>1</v>
      </c>
      <c r="S1702">
        <f t="shared" si="209"/>
        <v>16.543596358075689</v>
      </c>
      <c r="T1702" s="564">
        <f>IF((I1702-MAX(I$470:I1702))/MAX(I$470:I1702)&gt;T1701,T1701,(I1702-MAX(I$470:I1702))/MAX(I$470:I1702))</f>
        <v>-0.91338805338419748</v>
      </c>
      <c r="U1702" s="564">
        <f>IF((J1702-MAX(J$470:J1702))/MAX(J$470:J1702)&gt;U1701,U1701,(J1702-MAX(J$470:J1702))/MAX(J$470:J1702))</f>
        <v>-0.8283551177402233</v>
      </c>
      <c r="V1702" s="564">
        <f>IF((K1702-MAX(K$470:K1702))/MAX(K$470:K1702)&gt;V1701,V1701,(K1702-MAX(K$470:K1702))/MAX(K$470:K1702))</f>
        <v>-0.84885940676762139</v>
      </c>
      <c r="W1702" s="564">
        <f>IF((N1702-MAX(N$470:N1702))/MAX(N$470:N1702)&gt;W1701,W1701,(N1702-MAX(N$470:N1702))/MAX(N$470:N1702))</f>
        <v>-0.62788758315546067</v>
      </c>
      <c r="X1702" s="564">
        <f>IF((O1702-MAX(O$470:O1702))/MAX(O$470:O1702)&gt;X1701,X1701,(O1702-MAX(O$470:O1702))/MAX(O$470:O1702))</f>
        <v>-0.62788758315546067</v>
      </c>
    </row>
    <row r="1703" spans="1:24">
      <c r="A1703" s="799">
        <v>42105</v>
      </c>
      <c r="B1703">
        <v>236.26599999999999</v>
      </c>
      <c r="C1703">
        <v>393.65225299999997</v>
      </c>
      <c r="D1703">
        <v>0.80216900000000002</v>
      </c>
      <c r="E1703">
        <f>LN(D1703/参数实验室!$E$53)/参数实验室!$E$55</f>
        <v>-0.95302834476507958</v>
      </c>
      <c r="F1703">
        <f t="shared" si="208"/>
        <v>1.6661400836345475</v>
      </c>
      <c r="G1703">
        <f>LN(F1703/参数实验室!$E$58)/参数实验室!$E$59</f>
        <v>7.7413015547700498E-2</v>
      </c>
      <c r="H1703" s="856">
        <f>INDEX(神经网络!$G$10:$BO$70,MATCH(ROUND(G1703*2,1)/2,神经网络!$E$10:$E$70,0),MATCH(ROUND(E1703*2,1)/2,神经网络!$G$8:$BO$8,0))</f>
        <v>-1.6113682648580298E-2</v>
      </c>
      <c r="I1703">
        <f t="shared" si="210"/>
        <v>995.36195180172115</v>
      </c>
      <c r="J1703">
        <f t="shared" si="211"/>
        <v>94.276365667770477</v>
      </c>
      <c r="K1703">
        <f t="shared" si="212"/>
        <v>10.557916024355166</v>
      </c>
      <c r="L1703" s="4">
        <f>MIN(MAX(L1702*(1+MAX(MIN(((B1703-B1702)/B1702)/($K$7*卓尔金历!$N$40),0),-卓尔金历!$M$43))+MIN(MAX(((B1703-B1702)/B1702)/($K$7*卓尔金历!$N$40),0),卓尔金历!$M$43),0),1)</f>
        <v>0.13040028931040601</v>
      </c>
      <c r="M1703" s="4">
        <f>MIN(MAX(M1702*(1+MAX(MIN(((B1703-B1702)/B1702)/($K$7*30),0),-卓尔金历!$M$43))+MIN(MAX(((B1703-B1702)/B1702)/($K$7*7),0),卓尔金历!$M$43),0),1)</f>
        <v>0.44013948547371773</v>
      </c>
      <c r="N1703">
        <f t="shared" si="213"/>
        <v>795.42512402587215</v>
      </c>
      <c r="O1703">
        <f t="shared" si="214"/>
        <v>2066.3508317170222</v>
      </c>
      <c r="P1703">
        <f t="shared" si="215"/>
        <v>-2.6778763176214249E-2</v>
      </c>
      <c r="Q1703">
        <f t="shared" si="206"/>
        <v>2.2829574109066861E-2</v>
      </c>
      <c r="R1703">
        <f t="shared" si="207"/>
        <v>1.8757026733160678E-2</v>
      </c>
      <c r="S1703">
        <f t="shared" si="209"/>
        <v>16.581239890779223</v>
      </c>
      <c r="T1703" s="564">
        <f>IF((I1703-MAX(I$470:I1703))/MAX(I$470:I1703)&gt;T1702,T1702,(I1703-MAX(I$470:I1703))/MAX(I$470:I1703))</f>
        <v>-0.91338805338419748</v>
      </c>
      <c r="U1703" s="564">
        <f>IF((J1703-MAX(J$470:J1703))/MAX(J$470:J1703)&gt;U1702,U1702,(J1703-MAX(J$470:J1703))/MAX(J$470:J1703))</f>
        <v>-0.8283551177402233</v>
      </c>
      <c r="V1703" s="564">
        <f>IF((K1703-MAX(K$470:K1703))/MAX(K$470:K1703)&gt;V1702,V1702,(K1703-MAX(K$470:K1703))/MAX(K$470:K1703))</f>
        <v>-0.84885940676762139</v>
      </c>
      <c r="W1703" s="564">
        <f>IF((N1703-MAX(N$470:N1703))/MAX(N$470:N1703)&gt;W1702,W1702,(N1703-MAX(N$470:N1703))/MAX(N$470:N1703))</f>
        <v>-0.62788758315546067</v>
      </c>
      <c r="X1703" s="564">
        <f>IF((O1703-MAX(O$470:O1703))/MAX(O$470:O1703)&gt;X1702,X1702,(O1703-MAX(O$470:O1703))/MAX(O$470:O1703))</f>
        <v>-0.62788758315546067</v>
      </c>
    </row>
    <row r="1704" spans="1:24">
      <c r="A1704" s="799">
        <v>42106</v>
      </c>
      <c r="B1704">
        <v>237.31800000000001</v>
      </c>
      <c r="C1704">
        <v>398.84923800000001</v>
      </c>
      <c r="D1704">
        <v>0.80176199999999997</v>
      </c>
      <c r="E1704">
        <f>LN(D1704/参数实验室!$E$53)/参数实验室!$E$55</f>
        <v>-0.95362707323981144</v>
      </c>
      <c r="F1704">
        <f t="shared" si="208"/>
        <v>1.6806531236568654</v>
      </c>
      <c r="G1704">
        <f>LN(F1704/参数实验室!$E$58)/参数实验室!$E$59</f>
        <v>8.1965000093869381E-2</v>
      </c>
      <c r="H1704" s="856">
        <f>INDEX(神经网络!$G$10:$BO$70,MATCH(ROUND(G1704*2,1)/2,神经网络!$E$10:$E$70,0),MATCH(ROUND(E1704*2,1)/2,神经网络!$G$8:$BO$8,0))</f>
        <v>-1.6113682648580298E-2</v>
      </c>
      <c r="I1704">
        <f t="shared" si="210"/>
        <v>995.29053665169693</v>
      </c>
      <c r="J1704">
        <f t="shared" si="211"/>
        <v>94.696141414947377</v>
      </c>
      <c r="K1704">
        <f t="shared" si="212"/>
        <v>10.510359997567912</v>
      </c>
      <c r="L1704" s="4">
        <f>MIN(MAX(L1703*(1+MAX(MIN(((B1704-B1703)/B1703)/($K$7*卓尔金历!$N$40),0),-卓尔金历!$M$43))+MIN(MAX(((B1704-B1703)/B1703)/($K$7*卓尔金历!$N$40),0),卓尔金历!$M$43),0),1)</f>
        <v>0.1984318743506617</v>
      </c>
      <c r="M1704" s="4">
        <f>MIN(MAX(M1703*(1+MAX(MIN(((B1704-B1703)/B1703)/($K$7*30),0),-卓尔金历!$M$43))+MIN(MAX(((B1704-B1703)/B1703)/($K$7*7),0),卓尔金历!$M$43),0),1)</f>
        <v>0.58592145341712276</v>
      </c>
      <c r="N1704">
        <f t="shared" si="213"/>
        <v>795.41768206852566</v>
      </c>
      <c r="O1704">
        <f t="shared" si="214"/>
        <v>2066.2855782324723</v>
      </c>
      <c r="P1704">
        <f t="shared" si="215"/>
        <v>4.4526085005884087E-3</v>
      </c>
      <c r="Q1704">
        <f t="shared" si="206"/>
        <v>2.2895669959422063E-2</v>
      </c>
      <c r="R1704">
        <f t="shared" si="207"/>
        <v>1</v>
      </c>
      <c r="S1704">
        <f t="shared" si="209"/>
        <v>16.581217576117005</v>
      </c>
      <c r="T1704" s="564">
        <f>IF((I1704-MAX(I$470:I1704))/MAX(I$470:I1704)&gt;T1703,T1703,(I1704-MAX(I$470:I1704))/MAX(I$470:I1704))</f>
        <v>-0.91338805338419748</v>
      </c>
      <c r="U1704" s="564">
        <f>IF((J1704-MAX(J$470:J1704))/MAX(J$470:J1704)&gt;U1703,U1703,(J1704-MAX(J$470:J1704))/MAX(J$470:J1704))</f>
        <v>-0.8283551177402233</v>
      </c>
      <c r="V1704" s="564">
        <f>IF((K1704-MAX(K$470:K1704))/MAX(K$470:K1704)&gt;V1703,V1703,(K1704-MAX(K$470:K1704))/MAX(K$470:K1704))</f>
        <v>-0.84885940676762139</v>
      </c>
      <c r="W1704" s="564">
        <f>IF((N1704-MAX(N$470:N1704))/MAX(N$470:N1704)&gt;W1703,W1703,(N1704-MAX(N$470:N1704))/MAX(N$470:N1704))</f>
        <v>-0.62788758315546067</v>
      </c>
      <c r="X1704" s="564">
        <f>IF((O1704-MAX(O$470:O1704))/MAX(O$470:O1704)&gt;X1703,X1703,(O1704-MAX(O$470:O1704))/MAX(O$470:O1704))</f>
        <v>-0.62788758315546067</v>
      </c>
    </row>
    <row r="1705" spans="1:24">
      <c r="A1705" s="799">
        <v>42107</v>
      </c>
      <c r="B1705">
        <v>235.82300000000001</v>
      </c>
      <c r="C1705">
        <v>392.407149</v>
      </c>
      <c r="D1705">
        <v>0.76356999999999997</v>
      </c>
      <c r="E1705">
        <f>LN(D1705/参数实验室!$E$53)/参数实验室!$E$55</f>
        <v>-1.0112072924441224</v>
      </c>
      <c r="F1705">
        <f t="shared" si="208"/>
        <v>1.6639901493917049</v>
      </c>
      <c r="G1705">
        <f>LN(F1705/参数实验室!$E$58)/参数实验室!$E$59</f>
        <v>7.6735323230867097E-2</v>
      </c>
      <c r="H1705" s="856">
        <f>INDEX(神经网络!$G$10:$BO$70,MATCH(ROUND(G1705*2,1)/2,神经网络!$E$10:$E$70,0),MATCH(ROUND(E1705*2,1)/2,神经网络!$G$8:$BO$8,0))</f>
        <v>-4.1170039005268881E-2</v>
      </c>
      <c r="I1705">
        <f t="shared" si="210"/>
        <v>995.39156777785183</v>
      </c>
      <c r="J1705">
        <f t="shared" si="211"/>
        <v>94.099596983360456</v>
      </c>
      <c r="K1705">
        <f t="shared" si="212"/>
        <v>10.578064090474967</v>
      </c>
      <c r="L1705" s="4">
        <f>MIN(MAX(L1704*(1+MAX(MIN(((B1705-B1704)/B1704)/($K$7*卓尔金历!$N$40),0),-卓尔金历!$M$43))+MIN(MAX(((B1705-B1704)/B1704)/($K$7*卓尔金历!$N$40),0),卓尔金历!$M$43),0),1)</f>
        <v>0.17933254903280268</v>
      </c>
      <c r="M1705" s="4">
        <f>MIN(MAX(M1704*(1+MAX(MIN(((B1705-B1704)/B1704)/($K$7*30),0),-卓尔金历!$M$43))+MIN(MAX(((B1705-B1704)/B1704)/($K$7*7),0),卓尔金历!$M$43),0),1)</f>
        <v>0.55772360343423499</v>
      </c>
      <c r="N1705">
        <f t="shared" si="213"/>
        <v>795.43370389393579</v>
      </c>
      <c r="O1705">
        <f t="shared" si="214"/>
        <v>2066.4084734729149</v>
      </c>
      <c r="P1705">
        <f t="shared" si="215"/>
        <v>-6.2995642976934095E-3</v>
      </c>
      <c r="Q1705">
        <f t="shared" si="206"/>
        <v>2.2717222812301954E-2</v>
      </c>
      <c r="R1705">
        <f t="shared" si="207"/>
        <v>1</v>
      </c>
      <c r="S1705">
        <f t="shared" si="209"/>
        <v>16.582900721915188</v>
      </c>
      <c r="T1705" s="564">
        <f>IF((I1705-MAX(I$470:I1705))/MAX(I$470:I1705)&gt;T1704,T1704,(I1705-MAX(I$470:I1705))/MAX(I$470:I1705))</f>
        <v>-0.91338805338419748</v>
      </c>
      <c r="U1705" s="564">
        <f>IF((J1705-MAX(J$470:J1705))/MAX(J$470:J1705)&gt;U1704,U1704,(J1705-MAX(J$470:J1705))/MAX(J$470:J1705))</f>
        <v>-0.8283551177402233</v>
      </c>
      <c r="V1705" s="564">
        <f>IF((K1705-MAX(K$470:K1705))/MAX(K$470:K1705)&gt;V1704,V1704,(K1705-MAX(K$470:K1705))/MAX(K$470:K1705))</f>
        <v>-0.84885940676762139</v>
      </c>
      <c r="W1705" s="564">
        <f>IF((N1705-MAX(N$470:N1705))/MAX(N$470:N1705)&gt;W1704,W1704,(N1705-MAX(N$470:N1705))/MAX(N$470:N1705))</f>
        <v>-0.62788758315546067</v>
      </c>
      <c r="X1705" s="564">
        <f>IF((O1705-MAX(O$470:O1705))/MAX(O$470:O1705)&gt;X1704,X1704,(O1705-MAX(O$470:O1705))/MAX(O$470:O1705))</f>
        <v>-0.62788758315546067</v>
      </c>
    </row>
    <row r="1706" spans="1:24">
      <c r="A1706" s="799">
        <v>42108</v>
      </c>
      <c r="B1706">
        <v>224.20500000000001</v>
      </c>
      <c r="C1706">
        <v>391.13292799999999</v>
      </c>
      <c r="D1706">
        <v>0.744892</v>
      </c>
      <c r="E1706">
        <f>LN(D1706/参数实验室!$E$53)/参数实验室!$E$55</f>
        <v>-1.0404245446311495</v>
      </c>
      <c r="F1706">
        <f t="shared" si="208"/>
        <v>1.7445325840190895</v>
      </c>
      <c r="G1706">
        <f>LN(F1706/参数实验室!$E$58)/参数实验室!$E$59</f>
        <v>0.10154424856518478</v>
      </c>
      <c r="H1706" s="856">
        <f>INDEX(神经网络!$G$10:$BO$70,MATCH(ROUND(G1706*2,1)/2,神经网络!$E$10:$E$70,0),MATCH(ROUND(E1706*2,1)/2,神经网络!$G$8:$BO$8,0))</f>
        <v>-9.700328458672082E-2</v>
      </c>
      <c r="I1706">
        <f t="shared" si="210"/>
        <v>997.41049399690962</v>
      </c>
      <c r="J1706">
        <f t="shared" si="211"/>
        <v>89.463708551135099</v>
      </c>
      <c r="K1706">
        <f t="shared" si="212"/>
        <v>11.148772056848237</v>
      </c>
      <c r="L1706" s="4">
        <f>MIN(MAX(L1705*(1+MAX(MIN(((B1706-B1705)/B1705)/($K$7*卓尔金历!$N$40),0),-卓尔金历!$M$43))+MIN(MAX(((B1706-B1705)/B1705)/($K$7*卓尔金历!$N$40),0),卓尔金历!$M$43),0),1)</f>
        <v>4.4342917386465633E-2</v>
      </c>
      <c r="M1706" s="4">
        <f>MIN(MAX(M1705*(1+MAX(MIN(((B1706-B1705)/B1705)/($K$7*30),0),-卓尔金历!$M$43))+MIN(MAX(((B1706-B1705)/B1705)/($K$7*7),0),卓尔金历!$M$43),0),1)</f>
        <v>0.34781496109880483</v>
      </c>
      <c r="N1706">
        <f t="shared" si="213"/>
        <v>795.72303131845251</v>
      </c>
      <c r="O1706">
        <f t="shared" si="214"/>
        <v>2068.7460276724005</v>
      </c>
      <c r="P1706">
        <f t="shared" si="215"/>
        <v>-4.926576288148312E-2</v>
      </c>
      <c r="Q1706">
        <f t="shared" si="206"/>
        <v>2.454051364055039E-2</v>
      </c>
      <c r="R1706">
        <f t="shared" si="207"/>
        <v>6.8854992495215993E-3</v>
      </c>
      <c r="S1706">
        <f t="shared" si="209"/>
        <v>16.616535378003594</v>
      </c>
      <c r="T1706" s="564">
        <f>IF((I1706-MAX(I$470:I1706))/MAX(I$470:I1706)&gt;T1705,T1705,(I1706-MAX(I$470:I1706))/MAX(I$470:I1706))</f>
        <v>-0.91338805338419748</v>
      </c>
      <c r="U1706" s="564">
        <f>IF((J1706-MAX(J$470:J1706))/MAX(J$470:J1706)&gt;U1705,U1705,(J1706-MAX(J$470:J1706))/MAX(J$470:J1706))</f>
        <v>-0.8283551177402233</v>
      </c>
      <c r="V1706" s="564">
        <f>IF((K1706-MAX(K$470:K1706))/MAX(K$470:K1706)&gt;V1705,V1705,(K1706-MAX(K$470:K1706))/MAX(K$470:K1706))</f>
        <v>-0.84885940676762139</v>
      </c>
      <c r="W1706" s="564">
        <f>IF((N1706-MAX(N$470:N1706))/MAX(N$470:N1706)&gt;W1705,W1705,(N1706-MAX(N$470:N1706))/MAX(N$470:N1706))</f>
        <v>-0.62788758315546067</v>
      </c>
      <c r="X1706" s="564">
        <f>IF((O1706-MAX(O$470:O1706))/MAX(O$470:O1706)&gt;X1705,X1705,(O1706-MAX(O$470:O1706))/MAX(O$470:O1706))</f>
        <v>-0.62788758315546067</v>
      </c>
    </row>
    <row r="1707" spans="1:24">
      <c r="A1707" s="799">
        <v>42109</v>
      </c>
      <c r="B1707">
        <v>222.072</v>
      </c>
      <c r="C1707">
        <v>395.996013</v>
      </c>
      <c r="D1707">
        <v>0.75926800000000005</v>
      </c>
      <c r="E1707">
        <f>LN(D1707/参数实验室!$E$53)/参数实验室!$E$55</f>
        <v>-1.0178728891220032</v>
      </c>
      <c r="F1707">
        <f t="shared" si="208"/>
        <v>1.7831874932454339</v>
      </c>
      <c r="G1707">
        <f>LN(F1707/参数实验室!$E$58)/参数实验室!$E$59</f>
        <v>0.11304686044040535</v>
      </c>
      <c r="H1707" s="856">
        <f>INDEX(神经网络!$G$10:$BO$70,MATCH(ROUND(G1707*2,1)/2,神经网络!$E$10:$E$70,0),MATCH(ROUND(E1707*2,1)/2,神经网络!$G$8:$BO$8,0))</f>
        <v>-4.1170039005268881E-2</v>
      </c>
      <c r="I1707">
        <f t="shared" si="210"/>
        <v>998.33095614761896</v>
      </c>
      <c r="J1707">
        <f t="shared" si="211"/>
        <v>88.612585291887655</v>
      </c>
      <c r="K1707">
        <f t="shared" si="212"/>
        <v>11.266243421960228</v>
      </c>
      <c r="L1707" s="4">
        <f>MIN(MAX(L1706*(1+MAX(MIN(((B1707-B1706)/B1706)/($K$7*卓尔金历!$N$40),0),-卓尔金历!$M$43))+MIN(MAX(((B1707-B1706)/B1706)/($K$7*卓尔金历!$N$40),0),卓尔金历!$M$43),0),1)</f>
        <v>3.7897279506758398E-2</v>
      </c>
      <c r="M1707" s="4">
        <f>MIN(MAX(M1706*(1+MAX(MIN(((B1707-B1706)/B1706)/($K$7*30),0),-卓尔金历!$M$43))+MIN(MAX(((B1707-B1706)/B1706)/($K$7*7),0),卓尔金历!$M$43),0),1)</f>
        <v>0.32253596029639453</v>
      </c>
      <c r="N1707">
        <f t="shared" si="213"/>
        <v>795.75559385235874</v>
      </c>
      <c r="O1707">
        <f t="shared" si="214"/>
        <v>2069.410057270939</v>
      </c>
      <c r="P1707">
        <f t="shared" si="215"/>
        <v>-9.5136147721951326E-3</v>
      </c>
      <c r="Q1707">
        <f t="shared" si="206"/>
        <v>2.1287780694547287E-2</v>
      </c>
      <c r="R1707">
        <f t="shared" si="207"/>
        <v>0.8497149973947582</v>
      </c>
      <c r="S1707">
        <f t="shared" si="209"/>
        <v>16.616640964386807</v>
      </c>
      <c r="T1707" s="564">
        <f>IF((I1707-MAX(I$470:I1707))/MAX(I$470:I1707)&gt;T1706,T1706,(I1707-MAX(I$470:I1707))/MAX(I$470:I1707))</f>
        <v>-0.91338805338419748</v>
      </c>
      <c r="U1707" s="564">
        <f>IF((J1707-MAX(J$470:J1707))/MAX(J$470:J1707)&gt;U1706,U1706,(J1707-MAX(J$470:J1707))/MAX(J$470:J1707))</f>
        <v>-0.8283551177402233</v>
      </c>
      <c r="V1707" s="564">
        <f>IF((K1707-MAX(K$470:K1707))/MAX(K$470:K1707)&gt;V1706,V1706,(K1707-MAX(K$470:K1707))/MAX(K$470:K1707))</f>
        <v>-0.84885940676762139</v>
      </c>
      <c r="W1707" s="564">
        <f>IF((N1707-MAX(N$470:N1707))/MAX(N$470:N1707)&gt;W1706,W1706,(N1707-MAX(N$470:N1707))/MAX(N$470:N1707))</f>
        <v>-0.62788758315546067</v>
      </c>
      <c r="X1707" s="564">
        <f>IF((O1707-MAX(O$470:O1707))/MAX(O$470:O1707)&gt;X1706,X1706,(O1707-MAX(O$470:O1707))/MAX(O$470:O1707))</f>
        <v>-0.62788758315546067</v>
      </c>
    </row>
    <row r="1708" spans="1:24">
      <c r="A1708" s="799">
        <v>42110</v>
      </c>
      <c r="B1708">
        <v>225.96600000000001</v>
      </c>
      <c r="C1708">
        <v>393.59987899999999</v>
      </c>
      <c r="D1708">
        <v>0.77719899999999997</v>
      </c>
      <c r="E1708">
        <f>LN(D1708/参数实验室!$E$53)/参数实验室!$E$55</f>
        <v>-0.99033553770136173</v>
      </c>
      <c r="F1708">
        <f t="shared" si="208"/>
        <v>1.7418544338528803</v>
      </c>
      <c r="G1708">
        <f>LN(F1708/参数实验室!$E$58)/参数实验室!$E$59</f>
        <v>0.10073789045749694</v>
      </c>
      <c r="H1708" s="856">
        <f>INDEX(神经网络!$G$10:$BO$70,MATCH(ROUND(G1708*2,1)/2,神经网络!$E$10:$E$70,0),MATCH(ROUND(E1708*2,1)/2,神经网络!$G$8:$BO$8,0))</f>
        <v>-4.1170039005268881E-2</v>
      </c>
      <c r="I1708">
        <f t="shared" si="210"/>
        <v>997.610250443018</v>
      </c>
      <c r="J1708">
        <f t="shared" si="211"/>
        <v>90.166393998643173</v>
      </c>
      <c r="K1708">
        <f t="shared" si="212"/>
        <v>11.064102779335171</v>
      </c>
      <c r="L1708" s="4">
        <f>MIN(MAX(L1707*(1+MAX(MIN(((B1708-B1707)/B1707)/($K$7*卓尔金历!$N$40),0),-卓尔金历!$M$43))+MIN(MAX(((B1708-B1707)/B1707)/($K$7*卓尔金历!$N$40),0),卓尔金历!$M$43),0),1)</f>
        <v>0.30581301497877489</v>
      </c>
      <c r="M1708" s="4">
        <f>MIN(MAX(M1707*(1+MAX(MIN(((B1708-B1707)/B1707)/($K$7*30),0),-卓尔金历!$M$43))+MIN(MAX(((B1708-B1707)/B1707)/($K$7*7),0),卓尔金历!$M$43),0),1)</f>
        <v>0.89664110773642991</v>
      </c>
      <c r="N1708">
        <f t="shared" si="213"/>
        <v>795.73382321434053</v>
      </c>
      <c r="O1708">
        <f t="shared" si="214"/>
        <v>2068.9282114248417</v>
      </c>
      <c r="P1708">
        <f t="shared" si="215"/>
        <v>1.7534853561007264E-2</v>
      </c>
      <c r="Q1708">
        <f t="shared" ref="Q1708:Q1771" si="216">STDEVP(P1688:P1708)</f>
        <v>2.180240207014298E-2</v>
      </c>
      <c r="R1708">
        <f t="shared" ref="R1708:R1771" si="217">MIN(Q1707*MAX(1-LN(MAX(ABS(P1708),0.0001)/Q1708),0)+MAX(-LN(MAX(ABS(P1708),0.0001)/Q1708),0),1)</f>
        <v>0.24375450794511375</v>
      </c>
      <c r="S1708">
        <f t="shared" si="209"/>
        <v>16.606448013268178</v>
      </c>
      <c r="T1708" s="564">
        <f>IF((I1708-MAX(I$470:I1708))/MAX(I$470:I1708)&gt;T1707,T1707,(I1708-MAX(I$470:I1708))/MAX(I$470:I1708))</f>
        <v>-0.91338805338419748</v>
      </c>
      <c r="U1708" s="564">
        <f>IF((J1708-MAX(J$470:J1708))/MAX(J$470:J1708)&gt;U1707,U1707,(J1708-MAX(J$470:J1708))/MAX(J$470:J1708))</f>
        <v>-0.8283551177402233</v>
      </c>
      <c r="V1708" s="564">
        <f>IF((K1708-MAX(K$470:K1708))/MAX(K$470:K1708)&gt;V1707,V1707,(K1708-MAX(K$470:K1708))/MAX(K$470:K1708))</f>
        <v>-0.84885940676762139</v>
      </c>
      <c r="W1708" s="564">
        <f>IF((N1708-MAX(N$470:N1708))/MAX(N$470:N1708)&gt;W1707,W1707,(N1708-MAX(N$470:N1708))/MAX(N$470:N1708))</f>
        <v>-0.62788758315546067</v>
      </c>
      <c r="X1708" s="564">
        <f>IF((O1708-MAX(O$470:O1708))/MAX(O$470:O1708)&gt;X1707,X1707,(O1708-MAX(O$470:O1708))/MAX(O$470:O1708))</f>
        <v>-0.62788758315546067</v>
      </c>
    </row>
    <row r="1709" spans="1:24">
      <c r="A1709" s="799">
        <v>42111</v>
      </c>
      <c r="B1709">
        <v>228.548</v>
      </c>
      <c r="C1709">
        <v>401.26476100000002</v>
      </c>
      <c r="D1709">
        <v>0.75827900000000004</v>
      </c>
      <c r="E1709">
        <f>LN(D1709/参数实验室!$E$53)/参数实验室!$E$55</f>
        <v>-1.0194106024494654</v>
      </c>
      <c r="F1709">
        <f t="shared" si="208"/>
        <v>1.7557132899872239</v>
      </c>
      <c r="G1709">
        <f>LN(F1709/参数实验室!$E$58)/参数实验室!$E$59</f>
        <v>0.1048973036943012</v>
      </c>
      <c r="H1709" s="856">
        <f>INDEX(神经网络!$G$10:$BO$70,MATCH(ROUND(G1709*2,1)/2,神经网络!$E$10:$E$70,0),MATCH(ROUND(E1709*2,1)/2,神经网络!$G$8:$BO$8,0))</f>
        <v>-4.1170039005268881E-2</v>
      </c>
      <c r="I1709">
        <f t="shared" si="210"/>
        <v>997.14094529159411</v>
      </c>
      <c r="J1709">
        <f t="shared" si="211"/>
        <v>91.196680100554502</v>
      </c>
      <c r="K1709">
        <f t="shared" si="212"/>
        <v>10.933961019108756</v>
      </c>
      <c r="L1709" s="4">
        <f>MIN(MAX(L1708*(1+MAX(MIN(((B1709-B1708)/B1708)/($K$7*卓尔金历!$N$40),0),-卓尔金历!$M$43))+MIN(MAX(((B1709-B1708)/B1708)/($K$7*卓尔金历!$N$40),0),卓尔金历!$M$43),0),1)</f>
        <v>0.48039893604635109</v>
      </c>
      <c r="M1709" s="4">
        <f>MIN(MAX(M1708*(1+MAX(MIN(((B1709-B1708)/B1708)/($K$7*30),0),-卓尔金历!$M$43))+MIN(MAX(((B1709-B1708)/B1708)/($K$7*7),0),卓尔金历!$M$43),0),1)</f>
        <v>1</v>
      </c>
      <c r="N1709">
        <f t="shared" si="213"/>
        <v>795.61934622444824</v>
      </c>
      <c r="O1709">
        <f t="shared" si="214"/>
        <v>2068.0555244663328</v>
      </c>
      <c r="P1709">
        <f t="shared" si="215"/>
        <v>1.1426497791703148E-2</v>
      </c>
      <c r="Q1709">
        <f t="shared" si="216"/>
        <v>2.0497912464060703E-2</v>
      </c>
      <c r="R1709">
        <f t="shared" si="217"/>
        <v>0.61893148874256487</v>
      </c>
      <c r="S1709">
        <f t="shared" si="209"/>
        <v>16.604543763879036</v>
      </c>
      <c r="T1709" s="564">
        <f>IF((I1709-MAX(I$470:I1709))/MAX(I$470:I1709)&gt;T1708,T1708,(I1709-MAX(I$470:I1709))/MAX(I$470:I1709))</f>
        <v>-0.91338805338419748</v>
      </c>
      <c r="U1709" s="564">
        <f>IF((J1709-MAX(J$470:J1709))/MAX(J$470:J1709)&gt;U1708,U1708,(J1709-MAX(J$470:J1709))/MAX(J$470:J1709))</f>
        <v>-0.8283551177402233</v>
      </c>
      <c r="V1709" s="564">
        <f>IF((K1709-MAX(K$470:K1709))/MAX(K$470:K1709)&gt;V1708,V1708,(K1709-MAX(K$470:K1709))/MAX(K$470:K1709))</f>
        <v>-0.84885940676762139</v>
      </c>
      <c r="W1709" s="564">
        <f>IF((N1709-MAX(N$470:N1709))/MAX(N$470:N1709)&gt;W1708,W1708,(N1709-MAX(N$470:N1709))/MAX(N$470:N1709))</f>
        <v>-0.62788758315546067</v>
      </c>
      <c r="X1709" s="564">
        <f>IF((O1709-MAX(O$470:O1709))/MAX(O$470:O1709)&gt;X1708,X1708,(O1709-MAX(O$470:O1709))/MAX(O$470:O1709))</f>
        <v>-0.62788758315546067</v>
      </c>
    </row>
    <row r="1710" spans="1:24">
      <c r="A1710" s="799">
        <v>42112</v>
      </c>
      <c r="B1710">
        <v>223.35599999999999</v>
      </c>
      <c r="C1710">
        <v>399.11877600000003</v>
      </c>
      <c r="D1710">
        <v>0.76055600000000001</v>
      </c>
      <c r="E1710">
        <f>LN(D1710/参数实验室!$E$53)/参数实验室!$E$55</f>
        <v>-1.0158732858231876</v>
      </c>
      <c r="F1710">
        <f t="shared" si="208"/>
        <v>1.7869176382098535</v>
      </c>
      <c r="G1710">
        <f>LN(F1710/参数实验室!$E$58)/参数实验室!$E$59</f>
        <v>0.11414362499281078</v>
      </c>
      <c r="H1710" s="856">
        <f>INDEX(神经网络!$G$10:$BO$70,MATCH(ROUND(G1710*2,1)/2,神经网络!$E$10:$E$70,0),MATCH(ROUND(E1710*2,1)/2,神经网络!$G$8:$BO$8,0))</f>
        <v>-4.1170039005268881E-2</v>
      </c>
      <c r="I1710">
        <f t="shared" si="210"/>
        <v>998.07354459557575</v>
      </c>
      <c r="J1710">
        <f t="shared" si="211"/>
        <v>89.124935158213816</v>
      </c>
      <c r="K1710">
        <f t="shared" si="212"/>
        <v>11.198589292926881</v>
      </c>
      <c r="L1710" s="4">
        <f>MIN(MAX(L1709*(1+MAX(MIN(((B1710-B1709)/B1709)/($K$7*卓尔金历!$N$40),0),-卓尔金历!$M$43))+MIN(MAX(((B1710-B1709)/B1709)/($K$7*卓尔金历!$N$40),0),卓尔金历!$M$43),0),1)</f>
        <v>0.31365295550022343</v>
      </c>
      <c r="M1710" s="4">
        <f>MIN(MAX(M1709*(1+MAX(MIN(((B1710-B1709)/B1709)/($K$7*30),0),-卓尔金历!$M$43))+MIN(MAX(((B1710-B1709)/B1709)/($K$7*7),0),卓尔金历!$M$43),0),1)</f>
        <v>0.82645051015471105</v>
      </c>
      <c r="N1710">
        <f t="shared" si="213"/>
        <v>795.97682141704422</v>
      </c>
      <c r="O1710">
        <f t="shared" si="214"/>
        <v>2069.989721584423</v>
      </c>
      <c r="P1710">
        <f t="shared" si="215"/>
        <v>-2.2717328526173964E-2</v>
      </c>
      <c r="Q1710">
        <f t="shared" si="216"/>
        <v>2.0633526467046564E-2</v>
      </c>
      <c r="R1710">
        <f t="shared" si="217"/>
        <v>1.8525792866674606E-2</v>
      </c>
      <c r="S1710">
        <f t="shared" si="209"/>
        <v>16.614155637736445</v>
      </c>
      <c r="T1710" s="564">
        <f>IF((I1710-MAX(I$470:I1710))/MAX(I$470:I1710)&gt;T1709,T1709,(I1710-MAX(I$470:I1710))/MAX(I$470:I1710))</f>
        <v>-0.91338805338419748</v>
      </c>
      <c r="U1710" s="564">
        <f>IF((J1710-MAX(J$470:J1710))/MAX(J$470:J1710)&gt;U1709,U1709,(J1710-MAX(J$470:J1710))/MAX(J$470:J1710))</f>
        <v>-0.8283551177402233</v>
      </c>
      <c r="V1710" s="564">
        <f>IF((K1710-MAX(K$470:K1710))/MAX(K$470:K1710)&gt;V1709,V1709,(K1710-MAX(K$470:K1710))/MAX(K$470:K1710))</f>
        <v>-0.84885940676762139</v>
      </c>
      <c r="W1710" s="564">
        <f>IF((N1710-MAX(N$470:N1710))/MAX(N$470:N1710)&gt;W1709,W1709,(N1710-MAX(N$470:N1710))/MAX(N$470:N1710))</f>
        <v>-0.62788758315546067</v>
      </c>
      <c r="X1710" s="564">
        <f>IF((O1710-MAX(O$470:O1710))/MAX(O$470:O1710)&gt;X1709,X1709,(O1710-MAX(O$470:O1710))/MAX(O$470:O1710))</f>
        <v>-0.62788758315546067</v>
      </c>
    </row>
    <row r="1711" spans="1:24">
      <c r="A1711" s="799">
        <v>42113</v>
      </c>
      <c r="B1711">
        <v>223.678</v>
      </c>
      <c r="C1711">
        <v>396.98697499999997</v>
      </c>
      <c r="D1711">
        <v>0.76035299999999995</v>
      </c>
      <c r="E1711">
        <f>LN(D1711/参数实验室!$E$53)/参数实验室!$E$55</f>
        <v>-1.016188215789344</v>
      </c>
      <c r="F1711">
        <f t="shared" si="208"/>
        <v>1.7748145772047317</v>
      </c>
      <c r="G1711">
        <f>LN(F1711/参数实验室!$E$58)/参数实验室!$E$59</f>
        <v>0.11057661626320046</v>
      </c>
      <c r="H1711" s="856">
        <f>INDEX(神经网络!$G$10:$BO$70,MATCH(ROUND(G1711*2,1)/2,神经网络!$E$10:$E$70,0),MATCH(ROUND(E1711*2,1)/2,神经网络!$G$8:$BO$8,0))</f>
        <v>-4.1170039005268881E-2</v>
      </c>
      <c r="I1711">
        <f t="shared" si="210"/>
        <v>998.01430636594637</v>
      </c>
      <c r="J1711">
        <f t="shared" si="211"/>
        <v>89.253421651170996</v>
      </c>
      <c r="K1711">
        <f t="shared" si="212"/>
        <v>11.181804438450373</v>
      </c>
      <c r="L1711" s="4">
        <f>MIN(MAX(L1710*(1+MAX(MIN(((B1711-B1710)/B1710)/($K$7*卓尔金历!$N$40),0),-卓尔金历!$M$43))+MIN(MAX(((B1711-B1710)/B1710)/($K$7*卓尔金历!$N$40),0),卓尔金历!$M$43),0),1)</f>
        <v>0.33567990351019722</v>
      </c>
      <c r="M1711" s="4">
        <f>MIN(MAX(M1710*(1+MAX(MIN(((B1711-B1710)/B1710)/($K$7*30),0),-卓尔金历!$M$43))+MIN(MAX(((B1711-B1710)/B1710)/($K$7*7),0),卓尔金历!$M$43),0),1)</f>
        <v>0.87365111303322629</v>
      </c>
      <c r="N1711">
        <f t="shared" si="213"/>
        <v>795.96200342585053</v>
      </c>
      <c r="O1711">
        <f t="shared" si="214"/>
        <v>2069.8881845282654</v>
      </c>
      <c r="P1711">
        <f t="shared" si="215"/>
        <v>1.4416447285947221E-3</v>
      </c>
      <c r="Q1711">
        <f t="shared" si="216"/>
        <v>2.029378687549923E-2</v>
      </c>
      <c r="R1711">
        <f t="shared" si="217"/>
        <v>1</v>
      </c>
      <c r="S1711">
        <f t="shared" si="209"/>
        <v>16.614137369584917</v>
      </c>
      <c r="T1711" s="564">
        <f>IF((I1711-MAX(I$470:I1711))/MAX(I$470:I1711)&gt;T1710,T1710,(I1711-MAX(I$470:I1711))/MAX(I$470:I1711))</f>
        <v>-0.91338805338419748</v>
      </c>
      <c r="U1711" s="564">
        <f>IF((J1711-MAX(J$470:J1711))/MAX(J$470:J1711)&gt;U1710,U1710,(J1711-MAX(J$470:J1711))/MAX(J$470:J1711))</f>
        <v>-0.8283551177402233</v>
      </c>
      <c r="V1711" s="564">
        <f>IF((K1711-MAX(K$470:K1711))/MAX(K$470:K1711)&gt;V1710,V1710,(K1711-MAX(K$470:K1711))/MAX(K$470:K1711))</f>
        <v>-0.84885940676762139</v>
      </c>
      <c r="W1711" s="564">
        <f>IF((N1711-MAX(N$470:N1711))/MAX(N$470:N1711)&gt;W1710,W1710,(N1711-MAX(N$470:N1711))/MAX(N$470:N1711))</f>
        <v>-0.62788758315546067</v>
      </c>
      <c r="X1711" s="564">
        <f>IF((O1711-MAX(O$470:O1711))/MAX(O$470:O1711)&gt;X1710,X1710,(O1711-MAX(O$470:O1711))/MAX(O$470:O1711))</f>
        <v>-0.62788758315546067</v>
      </c>
    </row>
    <row r="1712" spans="1:24">
      <c r="A1712" s="799">
        <v>42114</v>
      </c>
      <c r="B1712">
        <v>223.602</v>
      </c>
      <c r="C1712">
        <v>396.52030200000002</v>
      </c>
      <c r="D1712">
        <v>0.76631899999999997</v>
      </c>
      <c r="E1712">
        <f>LN(D1712/参数实验室!$E$53)/参数实验室!$E$55</f>
        <v>-1.0069675794217017</v>
      </c>
      <c r="F1712">
        <f t="shared" si="208"/>
        <v>1.7733307483832883</v>
      </c>
      <c r="G1712">
        <f>LN(F1712/参数实验室!$E$58)/参数实验室!$E$59</f>
        <v>0.11013762995902608</v>
      </c>
      <c r="H1712" s="856">
        <f>INDEX(神经网络!$G$10:$BO$70,MATCH(ROUND(G1712*2,1)/2,神经网络!$E$10:$E$70,0),MATCH(ROUND(E1712*2,1)/2,神经网络!$G$8:$BO$8,0))</f>
        <v>-4.1170039005268881E-2</v>
      </c>
      <c r="I1712">
        <f t="shared" si="210"/>
        <v>998.02826710362274</v>
      </c>
      <c r="J1712">
        <f t="shared" si="211"/>
        <v>89.223095646622099</v>
      </c>
      <c r="K1712">
        <f t="shared" si="212"/>
        <v>11.185761487770202</v>
      </c>
      <c r="L1712" s="4">
        <f>MIN(MAX(L1711*(1+MAX(MIN(((B1712-B1711)/B1711)/($K$7*卓尔金历!$N$40),0),-卓尔金历!$M$43))+MIN(MAX(((B1712-B1711)/B1711)/($K$7*卓尔金历!$N$40),0),卓尔金历!$M$43),0),1)</f>
        <v>0.33393724720681711</v>
      </c>
      <c r="M1712" s="4">
        <f>MIN(MAX(M1711*(1+MAX(MIN(((B1712-B1711)/B1711)/($K$7*30),0),-卓尔金历!$M$43))+MIN(MAX(((B1712-B1711)/B1711)/($K$7*7),0),卓尔金历!$M$43),0),1)</f>
        <v>0.87138336688107076</v>
      </c>
      <c r="N1712">
        <f t="shared" si="213"/>
        <v>795.96574099535826</v>
      </c>
      <c r="O1712">
        <f t="shared" si="214"/>
        <v>2069.913480800119</v>
      </c>
      <c r="P1712">
        <f t="shared" si="215"/>
        <v>-3.3977413961137621E-4</v>
      </c>
      <c r="Q1712">
        <f t="shared" si="216"/>
        <v>1.9708268326867534E-2</v>
      </c>
      <c r="R1712">
        <f t="shared" si="217"/>
        <v>1</v>
      </c>
      <c r="S1712">
        <f t="shared" si="209"/>
        <v>16.614369776687756</v>
      </c>
      <c r="T1712" s="564">
        <f>IF((I1712-MAX(I$470:I1712))/MAX(I$470:I1712)&gt;T1711,T1711,(I1712-MAX(I$470:I1712))/MAX(I$470:I1712))</f>
        <v>-0.91338805338419748</v>
      </c>
      <c r="U1712" s="564">
        <f>IF((J1712-MAX(J$470:J1712))/MAX(J$470:J1712)&gt;U1711,U1711,(J1712-MAX(J$470:J1712))/MAX(J$470:J1712))</f>
        <v>-0.8283551177402233</v>
      </c>
      <c r="V1712" s="564">
        <f>IF((K1712-MAX(K$470:K1712))/MAX(K$470:K1712)&gt;V1711,V1711,(K1712-MAX(K$470:K1712))/MAX(K$470:K1712))</f>
        <v>-0.84885940676762139</v>
      </c>
      <c r="W1712" s="564">
        <f>IF((N1712-MAX(N$470:N1712))/MAX(N$470:N1712)&gt;W1711,W1711,(N1712-MAX(N$470:N1712))/MAX(N$470:N1712))</f>
        <v>-0.62788758315546067</v>
      </c>
      <c r="X1712" s="564">
        <f>IF((O1712-MAX(O$470:O1712))/MAX(O$470:O1712)&gt;X1711,X1711,(O1712-MAX(O$470:O1712))/MAX(O$470:O1712))</f>
        <v>-0.62788758315546067</v>
      </c>
    </row>
    <row r="1713" spans="1:24">
      <c r="A1713" s="799">
        <v>42115</v>
      </c>
      <c r="B1713">
        <v>225.39</v>
      </c>
      <c r="C1713">
        <v>393.88716199999999</v>
      </c>
      <c r="D1713">
        <v>0.80085200000000001</v>
      </c>
      <c r="E1713">
        <f>LN(D1713/参数实验室!$E$53)/参数实验室!$E$55</f>
        <v>-0.95496685383251345</v>
      </c>
      <c r="F1713">
        <f t="shared" si="208"/>
        <v>1.7475804694085808</v>
      </c>
      <c r="G1713">
        <f>LN(F1713/参数实验室!$E$58)/参数实验室!$E$59</f>
        <v>0.10246042473201925</v>
      </c>
      <c r="H1713" s="856">
        <f>INDEX(神经网络!$G$10:$BO$70,MATCH(ROUND(G1713*2,1)/2,神经网络!$E$10:$E$70,0),MATCH(ROUND(E1713*2,1)/2,神经网络!$G$8:$BO$8,0))</f>
        <v>-1.6113682648580298E-2</v>
      </c>
      <c r="I1713">
        <f t="shared" si="210"/>
        <v>997.69970614942372</v>
      </c>
      <c r="J1713">
        <f t="shared" si="211"/>
        <v>89.93655480627254</v>
      </c>
      <c r="K1713">
        <f t="shared" si="212"/>
        <v>11.093372525760127</v>
      </c>
      <c r="L1713" s="4">
        <f>MIN(MAX(L1712*(1+MAX(MIN(((B1713-B1712)/B1712)/($K$7*卓尔金历!$N$40),0),-卓尔金历!$M$43))+MIN(MAX(((B1713-B1712)/B1712)/($K$7*卓尔金历!$N$40),0),卓尔金历!$M$43),0),1)</f>
        <v>0.45611381174897803</v>
      </c>
      <c r="M1713" s="4">
        <f>MIN(MAX(M1712*(1+MAX(MIN(((B1713-B1712)/B1712)/($K$7*30),0),-卓尔金历!$M$43))+MIN(MAX(((B1713-B1712)/B1712)/($K$7*7),0),卓尔金历!$M$43),0),1)</f>
        <v>1</v>
      </c>
      <c r="N1713">
        <f t="shared" si="213"/>
        <v>795.87823610042767</v>
      </c>
      <c r="O1713">
        <f t="shared" si="214"/>
        <v>2069.3196884914323</v>
      </c>
      <c r="P1713">
        <f t="shared" si="215"/>
        <v>7.9963506587596815E-3</v>
      </c>
      <c r="Q1713">
        <f t="shared" si="216"/>
        <v>1.9553924864688311E-2</v>
      </c>
      <c r="R1713">
        <f t="shared" si="217"/>
        <v>0.93152197636997391</v>
      </c>
      <c r="S1713">
        <f t="shared" si="209"/>
        <v>16.608900158875141</v>
      </c>
      <c r="T1713" s="564">
        <f>IF((I1713-MAX(I$470:I1713))/MAX(I$470:I1713)&gt;T1712,T1712,(I1713-MAX(I$470:I1713))/MAX(I$470:I1713))</f>
        <v>-0.91338805338419748</v>
      </c>
      <c r="U1713" s="564">
        <f>IF((J1713-MAX(J$470:J1713))/MAX(J$470:J1713)&gt;U1712,U1712,(J1713-MAX(J$470:J1713))/MAX(J$470:J1713))</f>
        <v>-0.8283551177402233</v>
      </c>
      <c r="V1713" s="564">
        <f>IF((K1713-MAX(K$470:K1713))/MAX(K$470:K1713)&gt;V1712,V1712,(K1713-MAX(K$470:K1713))/MAX(K$470:K1713))</f>
        <v>-0.84885940676762139</v>
      </c>
      <c r="W1713" s="564">
        <f>IF((N1713-MAX(N$470:N1713))/MAX(N$470:N1713)&gt;W1712,W1712,(N1713-MAX(N$470:N1713))/MAX(N$470:N1713))</f>
        <v>-0.62788758315546067</v>
      </c>
      <c r="X1713" s="564">
        <f>IF((O1713-MAX(O$470:O1713))/MAX(O$470:O1713)&gt;X1712,X1712,(O1713-MAX(O$470:O1713))/MAX(O$470:O1713))</f>
        <v>-0.62788758315546067</v>
      </c>
    </row>
    <row r="1714" spans="1:24">
      <c r="A1714" s="799">
        <v>42116</v>
      </c>
      <c r="B1714">
        <v>234.59899999999999</v>
      </c>
      <c r="C1714">
        <v>392.347328</v>
      </c>
      <c r="D1714">
        <v>0.79730599999999996</v>
      </c>
      <c r="E1714">
        <f>LN(D1714/参数实验室!$E$53)/参数实验室!$E$55</f>
        <v>-0.96020214579769214</v>
      </c>
      <c r="F1714">
        <f t="shared" si="208"/>
        <v>1.6724168815723852</v>
      </c>
      <c r="G1714">
        <f>LN(F1714/参数实验室!$E$58)/参数实验室!$E$59</f>
        <v>7.9386566810267983E-2</v>
      </c>
      <c r="H1714" s="856">
        <f>INDEX(神经网络!$G$10:$BO$70,MATCH(ROUND(G1714*2,1)/2,神经网络!$E$10:$E$70,0),MATCH(ROUND(E1714*2,1)/2,神经网络!$G$8:$BO$8,0))</f>
        <v>-1.6113682648580298E-2</v>
      </c>
      <c r="I1714">
        <f t="shared" si="210"/>
        <v>997.04284665775174</v>
      </c>
      <c r="J1714">
        <f t="shared" si="211"/>
        <v>93.611188699572892</v>
      </c>
      <c r="K1714">
        <f t="shared" si="212"/>
        <v>10.650893985093694</v>
      </c>
      <c r="L1714" s="4">
        <f>MIN(MAX(L1713*(1+MAX(MIN(((B1714-B1713)/B1713)/($K$7*卓尔金历!$N$40),0),-卓尔金历!$M$43))+MIN(MAX(((B1714-B1713)/B1713)/($K$7*卓尔金历!$N$40),0),卓尔金历!$M$43),0),1)</f>
        <v>1</v>
      </c>
      <c r="M1714" s="4">
        <f>MIN(MAX(M1713*(1+MAX(MIN(((B1714-B1713)/B1713)/($K$7*30),0),-卓尔金历!$M$43))+MIN(MAX(((B1714-B1713)/B1713)/($K$7*7),0),卓尔金历!$M$43),0),1)</f>
        <v>1</v>
      </c>
      <c r="N1714">
        <f t="shared" si="213"/>
        <v>795.63923907936339</v>
      </c>
      <c r="O1714">
        <f t="shared" si="214"/>
        <v>2067.9573023242206</v>
      </c>
      <c r="P1714">
        <f t="shared" si="215"/>
        <v>4.0858068237277625E-2</v>
      </c>
      <c r="Q1714">
        <f t="shared" si="216"/>
        <v>2.1743588246214019E-2</v>
      </c>
      <c r="R1714">
        <f t="shared" si="217"/>
        <v>7.2195947453276513E-3</v>
      </c>
      <c r="S1714">
        <f t="shared" si="209"/>
        <v>16.598714089841206</v>
      </c>
      <c r="T1714" s="564">
        <f>IF((I1714-MAX(I$470:I1714))/MAX(I$470:I1714)&gt;T1713,T1713,(I1714-MAX(I$470:I1714))/MAX(I$470:I1714))</f>
        <v>-0.91338805338419748</v>
      </c>
      <c r="U1714" s="564">
        <f>IF((J1714-MAX(J$470:J1714))/MAX(J$470:J1714)&gt;U1713,U1713,(J1714-MAX(J$470:J1714))/MAX(J$470:J1714))</f>
        <v>-0.8283551177402233</v>
      </c>
      <c r="V1714" s="564">
        <f>IF((K1714-MAX(K$470:K1714))/MAX(K$470:K1714)&gt;V1713,V1713,(K1714-MAX(K$470:K1714))/MAX(K$470:K1714))</f>
        <v>-0.84885940676762139</v>
      </c>
      <c r="W1714" s="564">
        <f>IF((N1714-MAX(N$470:N1714))/MAX(N$470:N1714)&gt;W1713,W1713,(N1714-MAX(N$470:N1714))/MAX(N$470:N1714))</f>
        <v>-0.62788758315546067</v>
      </c>
      <c r="X1714" s="564">
        <f>IF((O1714-MAX(O$470:O1714))/MAX(O$470:O1714)&gt;X1713,X1713,(O1714-MAX(O$470:O1714))/MAX(O$470:O1714))</f>
        <v>-0.62788758315546067</v>
      </c>
    </row>
    <row r="1715" spans="1:24">
      <c r="A1715" s="799">
        <v>42117</v>
      </c>
      <c r="B1715">
        <v>233.85300000000001</v>
      </c>
      <c r="C1715">
        <v>404.41001599999998</v>
      </c>
      <c r="D1715">
        <v>0.80445</v>
      </c>
      <c r="E1715">
        <f>LN(D1715/参数实验室!$E$53)/参数实验室!$E$55</f>
        <v>-0.94967842924983603</v>
      </c>
      <c r="F1715">
        <f t="shared" si="208"/>
        <v>1.7293343083047896</v>
      </c>
      <c r="G1715">
        <f>LN(F1715/参数实验室!$E$58)/参数实验室!$E$59</f>
        <v>9.6951713733416933E-2</v>
      </c>
      <c r="H1715" s="856">
        <f>INDEX(神经网络!$G$10:$BO$70,MATCH(ROUND(G1715*2,1)/2,神经网络!$E$10:$E$70,0),MATCH(ROUND(E1715*2,1)/2,神经网络!$G$8:$BO$8,0))</f>
        <v>-1.6113682648580298E-2</v>
      </c>
      <c r="I1715">
        <f t="shared" si="210"/>
        <v>997.09393493982247</v>
      </c>
      <c r="J1715">
        <f t="shared" si="211"/>
        <v>93.313515023342902</v>
      </c>
      <c r="K1715">
        <f t="shared" si="212"/>
        <v>10.685418234329655</v>
      </c>
      <c r="L1715" s="4">
        <f>MIN(MAX(L1714*(1+MAX(MIN(((B1715-B1714)/B1714)/($K$7*卓尔金历!$N$40),0),-卓尔金历!$M$43))+MIN(MAX(((B1715-B1714)/B1714)/($K$7*卓尔金历!$N$40),0),卓尔金历!$M$43),0),1)</f>
        <v>0.95141426810279084</v>
      </c>
      <c r="M1715" s="4">
        <f>MIN(MAX(M1714*(1+MAX(MIN(((B1715-B1714)/B1714)/($K$7*30),0),-卓尔金历!$M$43))+MIN(MAX(((B1715-B1714)/B1714)/($K$7*7),0),卓尔金历!$M$43),0),1)</f>
        <v>0.97570713405139542</v>
      </c>
      <c r="N1715">
        <f t="shared" si="213"/>
        <v>795.6800074796472</v>
      </c>
      <c r="O1715">
        <f t="shared" si="214"/>
        <v>2068.063264055279</v>
      </c>
      <c r="P1715">
        <f t="shared" si="215"/>
        <v>-3.1798942024474997E-3</v>
      </c>
      <c r="Q1715">
        <f t="shared" si="216"/>
        <v>2.1592566958666692E-2</v>
      </c>
      <c r="R1715">
        <f t="shared" si="217"/>
        <v>1</v>
      </c>
      <c r="S1715">
        <f t="shared" si="209"/>
        <v>16.598720230214038</v>
      </c>
      <c r="T1715" s="564">
        <f>IF((I1715-MAX(I$470:I1715))/MAX(I$470:I1715)&gt;T1714,T1714,(I1715-MAX(I$470:I1715))/MAX(I$470:I1715))</f>
        <v>-0.91338805338419748</v>
      </c>
      <c r="U1715" s="564">
        <f>IF((J1715-MAX(J$470:J1715))/MAX(J$470:J1715)&gt;U1714,U1714,(J1715-MAX(J$470:J1715))/MAX(J$470:J1715))</f>
        <v>-0.8283551177402233</v>
      </c>
      <c r="V1715" s="564">
        <f>IF((K1715-MAX(K$470:K1715))/MAX(K$470:K1715)&gt;V1714,V1714,(K1715-MAX(K$470:K1715))/MAX(K$470:K1715))</f>
        <v>-0.84885940676762139</v>
      </c>
      <c r="W1715" s="564">
        <f>IF((N1715-MAX(N$470:N1715))/MAX(N$470:N1715)&gt;W1714,W1714,(N1715-MAX(N$470:N1715))/MAX(N$470:N1715))</f>
        <v>-0.62788758315546067</v>
      </c>
      <c r="X1715" s="564">
        <f>IF((O1715-MAX(O$470:O1715))/MAX(O$470:O1715)&gt;X1714,X1714,(O1715-MAX(O$470:O1715))/MAX(O$470:O1715))</f>
        <v>-0.62788758315546067</v>
      </c>
    </row>
    <row r="1716" spans="1:24">
      <c r="A1716" s="799">
        <v>42118</v>
      </c>
      <c r="B1716">
        <v>231.78899999999999</v>
      </c>
      <c r="C1716">
        <v>415.50150400000001</v>
      </c>
      <c r="D1716">
        <v>0.78956800000000005</v>
      </c>
      <c r="E1716">
        <f>LN(D1716/参数实验室!$E$53)/参数实验室!$E$55</f>
        <v>-0.97170778891533494</v>
      </c>
      <c r="F1716">
        <f t="shared" si="208"/>
        <v>1.7925850838478099</v>
      </c>
      <c r="G1716">
        <f>LN(F1716/参数实验室!$E$58)/参数实验室!$E$59</f>
        <v>0.11580563475987485</v>
      </c>
      <c r="H1716" s="856">
        <f>INDEX(神经网络!$G$10:$BO$70,MATCH(ROUND(G1716*2,1)/2,神经网络!$E$10:$E$70,0),MATCH(ROUND(E1716*2,1)/2,神经网络!$G$8:$BO$8,0))</f>
        <v>-1.6113682648580298E-2</v>
      </c>
      <c r="I1716">
        <f t="shared" si="210"/>
        <v>997.23574192631474</v>
      </c>
      <c r="J1716">
        <f t="shared" si="211"/>
        <v>92.489924584014858</v>
      </c>
      <c r="K1716">
        <f t="shared" si="212"/>
        <v>10.782101363056665</v>
      </c>
      <c r="L1716" s="4">
        <f>MIN(MAX(L1715*(1+MAX(MIN(((B1716-B1715)/B1715)/($K$7*卓尔金历!$N$40),0),-卓尔金历!$M$43))+MIN(MAX(((B1716-B1715)/B1715)/($K$7*卓尔金历!$N$40),0),卓尔金历!$M$43),0),1)</f>
        <v>0.82311254593508709</v>
      </c>
      <c r="M1716" s="4">
        <f>MIN(MAX(M1715*(1+MAX(MIN(((B1716-B1715)/B1715)/($K$7*30),0),-卓尔金历!$M$43))+MIN(MAX(((B1716-B1715)/B1715)/($K$7*7),0),卓尔金历!$M$43),0),1)</f>
        <v>0.90991828169387345</v>
      </c>
      <c r="N1716">
        <f t="shared" si="213"/>
        <v>795.78767126858179</v>
      </c>
      <c r="O1716">
        <f t="shared" si="214"/>
        <v>2068.3502395769292</v>
      </c>
      <c r="P1716">
        <f t="shared" si="215"/>
        <v>-8.8260573950303019E-3</v>
      </c>
      <c r="Q1716">
        <f t="shared" si="216"/>
        <v>2.0955705483529419E-2</v>
      </c>
      <c r="R1716">
        <f t="shared" si="217"/>
        <v>0.90496624794675984</v>
      </c>
      <c r="S1716">
        <f t="shared" si="209"/>
        <v>16.601080904983981</v>
      </c>
      <c r="T1716" s="564">
        <f>IF((I1716-MAX(I$470:I1716))/MAX(I$470:I1716)&gt;T1715,T1715,(I1716-MAX(I$470:I1716))/MAX(I$470:I1716))</f>
        <v>-0.91338805338419748</v>
      </c>
      <c r="U1716" s="564">
        <f>IF((J1716-MAX(J$470:J1716))/MAX(J$470:J1716)&gt;U1715,U1715,(J1716-MAX(J$470:J1716))/MAX(J$470:J1716))</f>
        <v>-0.8283551177402233</v>
      </c>
      <c r="V1716" s="564">
        <f>IF((K1716-MAX(K$470:K1716))/MAX(K$470:K1716)&gt;V1715,V1715,(K1716-MAX(K$470:K1716))/MAX(K$470:K1716))</f>
        <v>-0.84885940676762139</v>
      </c>
      <c r="W1716" s="564">
        <f>IF((N1716-MAX(N$470:N1716))/MAX(N$470:N1716)&gt;W1715,W1715,(N1716-MAX(N$470:N1716))/MAX(N$470:N1716))</f>
        <v>-0.62788758315546067</v>
      </c>
      <c r="X1716" s="564">
        <f>IF((O1716-MAX(O$470:O1716))/MAX(O$470:O1716)&gt;X1715,X1715,(O1716-MAX(O$470:O1716))/MAX(O$470:O1716))</f>
        <v>-0.62788758315546067</v>
      </c>
    </row>
    <row r="1717" spans="1:24">
      <c r="A1717" s="799">
        <v>42119</v>
      </c>
      <c r="B1717">
        <v>229.881</v>
      </c>
      <c r="C1717">
        <v>411.57553000000001</v>
      </c>
      <c r="D1717">
        <v>0.77276800000000001</v>
      </c>
      <c r="E1717">
        <f>LN(D1717/参数实验室!$E$53)/参数实验室!$E$55</f>
        <v>-0.9970808437172648</v>
      </c>
      <c r="F1717">
        <f t="shared" si="208"/>
        <v>1.7903851557979999</v>
      </c>
      <c r="G1717">
        <f>LN(F1717/参数实验室!$E$58)/参数实验室!$E$59</f>
        <v>0.11516111850698971</v>
      </c>
      <c r="H1717" s="856">
        <f>INDEX(神经网络!$G$10:$BO$70,MATCH(ROUND(G1717*2,1)/2,神经网络!$E$10:$E$70,0),MATCH(ROUND(E1717*2,1)/2,神经网络!$G$8:$BO$8,0))</f>
        <v>-4.1170039005268881E-2</v>
      </c>
      <c r="I1717">
        <f t="shared" si="210"/>
        <v>997.36801705428672</v>
      </c>
      <c r="J1717">
        <f t="shared" si="211"/>
        <v>91.728582259287208</v>
      </c>
      <c r="K1717">
        <f t="shared" si="212"/>
        <v>10.873034254852517</v>
      </c>
      <c r="L1717" s="4">
        <f>MIN(MAX(L1716*(1+MAX(MIN(((B1717-B1716)/B1716)/($K$7*卓尔金历!$N$40),0),-卓尔金历!$M$43))+MIN(MAX(((B1717-B1716)/B1716)/($K$7*卓尔金历!$N$40),0),卓尔金历!$M$43),0),1)</f>
        <v>0.71958859261415098</v>
      </c>
      <c r="M1717" s="4">
        <f>MIN(MAX(M1716*(1+MAX(MIN(((B1717-B1716)/B1716)/($K$7*30),0),-卓尔金历!$M$43))+MIN(MAX(((B1717-B1716)/B1716)/($K$7*7),0),卓尔金历!$M$43),0),1)</f>
        <v>0.85269746894770759</v>
      </c>
      <c r="N1717">
        <f t="shared" si="213"/>
        <v>795.87455466353481</v>
      </c>
      <c r="O1717">
        <f t="shared" si="214"/>
        <v>2068.5998753535173</v>
      </c>
      <c r="P1717">
        <f t="shared" si="215"/>
        <v>-8.2316244515485519E-3</v>
      </c>
      <c r="Q1717">
        <f t="shared" si="216"/>
        <v>2.0814240002430155E-2</v>
      </c>
      <c r="R1717">
        <f t="shared" si="217"/>
        <v>0.96804934034581114</v>
      </c>
      <c r="S1717">
        <f t="shared" si="209"/>
        <v>16.603073637937229</v>
      </c>
      <c r="T1717" s="564">
        <f>IF((I1717-MAX(I$470:I1717))/MAX(I$470:I1717)&gt;T1716,T1716,(I1717-MAX(I$470:I1717))/MAX(I$470:I1717))</f>
        <v>-0.91338805338419748</v>
      </c>
      <c r="U1717" s="564">
        <f>IF((J1717-MAX(J$470:J1717))/MAX(J$470:J1717)&gt;U1716,U1716,(J1717-MAX(J$470:J1717))/MAX(J$470:J1717))</f>
        <v>-0.8283551177402233</v>
      </c>
      <c r="V1717" s="564">
        <f>IF((K1717-MAX(K$470:K1717))/MAX(K$470:K1717)&gt;V1716,V1716,(K1717-MAX(K$470:K1717))/MAX(K$470:K1717))</f>
        <v>-0.84885940676762139</v>
      </c>
      <c r="W1717" s="564">
        <f>IF((N1717-MAX(N$470:N1717))/MAX(N$470:N1717)&gt;W1716,W1716,(N1717-MAX(N$470:N1717))/MAX(N$470:N1717))</f>
        <v>-0.62788758315546067</v>
      </c>
      <c r="X1717" s="564">
        <f>IF((O1717-MAX(O$470:O1717))/MAX(O$470:O1717)&gt;X1716,X1716,(O1717-MAX(O$470:O1717))/MAX(O$470:O1717))</f>
        <v>-0.62788758315546067</v>
      </c>
    </row>
    <row r="1718" spans="1:24">
      <c r="A1718" s="799">
        <v>42120</v>
      </c>
      <c r="B1718">
        <v>218.727</v>
      </c>
      <c r="C1718">
        <v>419.730592</v>
      </c>
      <c r="D1718">
        <v>0.752946</v>
      </c>
      <c r="E1718">
        <f>LN(D1718/参数实验室!$E$53)/参数实验室!$E$55</f>
        <v>-1.0277371589416981</v>
      </c>
      <c r="F1718">
        <f t="shared" si="208"/>
        <v>1.9189701865796174</v>
      </c>
      <c r="G1718">
        <f>LN(F1718/参数实验室!$E$58)/参数实验室!$E$59</f>
        <v>0.15156389979910551</v>
      </c>
      <c r="H1718" s="856">
        <f>INDEX(神经网络!$G$10:$BO$70,MATCH(ROUND(G1718*2,1)/2,神经网络!$E$10:$E$70,0),MATCH(ROUND(E1718*2,1)/2,神经网络!$G$8:$BO$8,0))</f>
        <v>-6.8024401657245451E-2</v>
      </c>
      <c r="I1718">
        <f t="shared" si="210"/>
        <v>999.3603608345793</v>
      </c>
      <c r="J1718">
        <f t="shared" si="211"/>
        <v>87.277842065360389</v>
      </c>
      <c r="K1718">
        <f t="shared" si="212"/>
        <v>11.450333064905307</v>
      </c>
      <c r="L1718" s="4">
        <f>MIN(MAX(L1717*(1+MAX(MIN(((B1718-B1717)/B1717)/($K$7*卓尔金历!$N$40),0),-卓尔金历!$M$43))+MIN(MAX(((B1718-B1717)/B1717)/($K$7*卓尔金历!$N$40),0),卓尔金历!$M$43),0),1)</f>
        <v>0.18612116076810889</v>
      </c>
      <c r="M1718" s="4">
        <f>MIN(MAX(M1717*(1+MAX(MIN(((B1718-B1717)/B1717)/($K$7*30),0),-卓尔金历!$M$43))+MIN(MAX(((B1718-B1717)/B1717)/($K$7*7),0),卓尔金历!$M$43),0),1)</f>
        <v>0.53662358063840021</v>
      </c>
      <c r="N1718">
        <f t="shared" si="213"/>
        <v>797.01858550030386</v>
      </c>
      <c r="O1718">
        <f t="shared" si="214"/>
        <v>2072.1234243017711</v>
      </c>
      <c r="P1718">
        <f t="shared" si="215"/>
        <v>-4.8520756391350291E-2</v>
      </c>
      <c r="Q1718">
        <f t="shared" si="216"/>
        <v>2.2812589995980605E-2</v>
      </c>
      <c r="R1718">
        <f t="shared" si="217"/>
        <v>5.1061681555792477E-3</v>
      </c>
      <c r="S1718">
        <f t="shared" si="209"/>
        <v>16.635180275711502</v>
      </c>
      <c r="T1718" s="564">
        <f>IF((I1718-MAX(I$470:I1718))/MAX(I$470:I1718)&gt;T1717,T1717,(I1718-MAX(I$470:I1718))/MAX(I$470:I1718))</f>
        <v>-0.91338805338419748</v>
      </c>
      <c r="U1718" s="564">
        <f>IF((J1718-MAX(J$470:J1718))/MAX(J$470:J1718)&gt;U1717,U1717,(J1718-MAX(J$470:J1718))/MAX(J$470:J1718))</f>
        <v>-0.8283551177402233</v>
      </c>
      <c r="V1718" s="564">
        <f>IF((K1718-MAX(K$470:K1718))/MAX(K$470:K1718)&gt;V1717,V1717,(K1718-MAX(K$470:K1718))/MAX(K$470:K1718))</f>
        <v>-0.84885940676762139</v>
      </c>
      <c r="W1718" s="564">
        <f>IF((N1718-MAX(N$470:N1718))/MAX(N$470:N1718)&gt;W1717,W1717,(N1718-MAX(N$470:N1718))/MAX(N$470:N1718))</f>
        <v>-0.62788758315546067</v>
      </c>
      <c r="X1718" s="564">
        <f>IF((O1718-MAX(O$470:O1718))/MAX(O$470:O1718)&gt;X1717,X1717,(O1718-MAX(O$470:O1718))/MAX(O$470:O1718))</f>
        <v>-0.62788758315546067</v>
      </c>
    </row>
    <row r="1719" spans="1:24">
      <c r="A1719" s="799">
        <v>42121</v>
      </c>
      <c r="B1719">
        <v>220.45400000000001</v>
      </c>
      <c r="C1719">
        <v>423.30329399999999</v>
      </c>
      <c r="D1719">
        <v>0.77666000000000002</v>
      </c>
      <c r="E1719">
        <f>LN(D1719/参数实验室!$E$53)/参数实验室!$E$55</f>
        <v>-0.99115399938161086</v>
      </c>
      <c r="F1719">
        <f t="shared" si="208"/>
        <v>1.9201434040661542</v>
      </c>
      <c r="G1719">
        <f>LN(F1719/参数实验室!$E$58)/参数实验室!$E$59</f>
        <v>0.15188468632748117</v>
      </c>
      <c r="H1719" s="856">
        <f>INDEX(神经网络!$G$10:$BO$70,MATCH(ROUND(G1719*2,1)/2,神经网络!$E$10:$E$70,0),MATCH(ROUND(E1719*2,1)/2,神经网络!$G$8:$BO$8,0))</f>
        <v>-3.6945941366045107E-2</v>
      </c>
      <c r="I1719">
        <f t="shared" si="210"/>
        <v>998.82360497891648</v>
      </c>
      <c r="J1719">
        <f t="shared" si="211"/>
        <v>87.9669606160966</v>
      </c>
      <c r="K1719">
        <f t="shared" si="212"/>
        <v>11.354531269279152</v>
      </c>
      <c r="L1719" s="4">
        <f>MIN(MAX(L1718*(1+MAX(MIN(((B1719-B1718)/B1718)/($K$7*卓尔金历!$N$40),0),-卓尔金历!$M$43))+MIN(MAX(((B1719-B1718)/B1718)/($K$7*卓尔金历!$N$40),0),卓尔金历!$M$43),0),1)</f>
        <v>0.30675968606255144</v>
      </c>
      <c r="M1719" s="4">
        <f>MIN(MAX(M1718*(1+MAX(MIN(((B1719-B1718)/B1718)/($K$7*30),0),-卓尔金历!$M$43))+MIN(MAX(((B1719-B1718)/B1718)/($K$7*7),0),卓尔金历!$M$43),0),1)</f>
        <v>0.79513470626934857</v>
      </c>
      <c r="N1719">
        <f t="shared" si="213"/>
        <v>796.93891108725177</v>
      </c>
      <c r="O1719">
        <f t="shared" si="214"/>
        <v>2071.5261964612992</v>
      </c>
      <c r="P1719">
        <f t="shared" si="215"/>
        <v>7.8956873179808797E-3</v>
      </c>
      <c r="Q1719">
        <f t="shared" si="216"/>
        <v>2.1302696922816527E-2</v>
      </c>
      <c r="R1719">
        <f t="shared" si="217"/>
        <v>1</v>
      </c>
      <c r="S1719">
        <f t="shared" si="209"/>
        <v>16.635134653398879</v>
      </c>
      <c r="T1719" s="564">
        <f>IF((I1719-MAX(I$470:I1719))/MAX(I$470:I1719)&gt;T1718,T1718,(I1719-MAX(I$470:I1719))/MAX(I$470:I1719))</f>
        <v>-0.91338805338419748</v>
      </c>
      <c r="U1719" s="564">
        <f>IF((J1719-MAX(J$470:J1719))/MAX(J$470:J1719)&gt;U1718,U1718,(J1719-MAX(J$470:J1719))/MAX(J$470:J1719))</f>
        <v>-0.8283551177402233</v>
      </c>
      <c r="V1719" s="564">
        <f>IF((K1719-MAX(K$470:K1719))/MAX(K$470:K1719)&gt;V1718,V1718,(K1719-MAX(K$470:K1719))/MAX(K$470:K1719))</f>
        <v>-0.84885940676762139</v>
      </c>
      <c r="W1719" s="564">
        <f>IF((N1719-MAX(N$470:N1719))/MAX(N$470:N1719)&gt;W1718,W1718,(N1719-MAX(N$470:N1719))/MAX(N$470:N1719))</f>
        <v>-0.62788758315546067</v>
      </c>
      <c r="X1719" s="564">
        <f>IF((O1719-MAX(O$470:O1719))/MAX(O$470:O1719)&gt;X1718,X1718,(O1719-MAX(O$470:O1719))/MAX(O$470:O1719))</f>
        <v>-0.62788758315546067</v>
      </c>
    </row>
    <row r="1720" spans="1:24">
      <c r="A1720" s="799">
        <v>42122</v>
      </c>
      <c r="B1720">
        <v>224.947</v>
      </c>
      <c r="C1720">
        <v>423.67419899999999</v>
      </c>
      <c r="D1720">
        <v>0.77087899999999998</v>
      </c>
      <c r="E1720">
        <f>LN(D1720/参数实验室!$E$53)/参数实验室!$E$55</f>
        <v>-0.99996823311430605</v>
      </c>
      <c r="F1720">
        <f t="shared" si="208"/>
        <v>1.8834400947778809</v>
      </c>
      <c r="G1720">
        <f>LN(F1720/参数实验室!$E$58)/参数实验室!$E$59</f>
        <v>0.14175503977750667</v>
      </c>
      <c r="H1720" s="856">
        <f>INDEX(神经网络!$G$10:$BO$70,MATCH(ROUND(G1720*2,1)/2,神经网络!$E$10:$E$70,0),MATCH(ROUND(E1720*2,1)/2,神经网络!$G$8:$BO$8,0))</f>
        <v>-3.6945941366045107E-2</v>
      </c>
      <c r="I1720">
        <f t="shared" si="210"/>
        <v>998.07150778311973</v>
      </c>
      <c r="J1720">
        <f t="shared" si="211"/>
        <v>89.759786121862533</v>
      </c>
      <c r="K1720">
        <f t="shared" si="212"/>
        <v>11.119361474726402</v>
      </c>
      <c r="L1720" s="4">
        <f>MIN(MAX(L1719*(1+MAX(MIN(((B1720-B1719)/B1719)/($K$7*卓尔金历!$N$40),0),-卓尔金历!$M$43))+MIN(MAX(((B1720-B1719)/B1719)/($K$7*卓尔金历!$N$40),0),卓尔金历!$M$43),0),1)</f>
        <v>0.61815675025935612</v>
      </c>
      <c r="M1720" s="4">
        <f>MIN(MAX(M1719*(1+MAX(MIN(((B1720-B1719)/B1719)/($K$7*30),0),-卓尔金历!$M$43))+MIN(MAX(((B1720-B1719)/B1719)/($K$7*7),0),卓尔金历!$M$43),0),1)</f>
        <v>1</v>
      </c>
      <c r="N1720">
        <f t="shared" si="213"/>
        <v>796.75483028909184</v>
      </c>
      <c r="O1720">
        <f t="shared" si="214"/>
        <v>2070.2859262532247</v>
      </c>
      <c r="P1720">
        <f t="shared" si="215"/>
        <v>2.0380668983098493E-2</v>
      </c>
      <c r="Q1720">
        <f t="shared" si="216"/>
        <v>2.1276171550769173E-2</v>
      </c>
      <c r="R1720">
        <f t="shared" si="217"/>
        <v>6.5219619023618142E-2</v>
      </c>
      <c r="S1720">
        <f t="shared" si="209"/>
        <v>16.622608679781358</v>
      </c>
      <c r="T1720" s="564">
        <f>IF((I1720-MAX(I$470:I1720))/MAX(I$470:I1720)&gt;T1719,T1719,(I1720-MAX(I$470:I1720))/MAX(I$470:I1720))</f>
        <v>-0.91338805338419748</v>
      </c>
      <c r="U1720" s="564">
        <f>IF((J1720-MAX(J$470:J1720))/MAX(J$470:J1720)&gt;U1719,U1719,(J1720-MAX(J$470:J1720))/MAX(J$470:J1720))</f>
        <v>-0.8283551177402233</v>
      </c>
      <c r="V1720" s="564">
        <f>IF((K1720-MAX(K$470:K1720))/MAX(K$470:K1720)&gt;V1719,V1719,(K1720-MAX(K$470:K1720))/MAX(K$470:K1720))</f>
        <v>-0.84885940676762139</v>
      </c>
      <c r="W1720" s="564">
        <f>IF((N1720-MAX(N$470:N1720))/MAX(N$470:N1720)&gt;W1719,W1719,(N1720-MAX(N$470:N1720))/MAX(N$470:N1720))</f>
        <v>-0.62788758315546067</v>
      </c>
      <c r="X1720" s="564">
        <f>IF((O1720-MAX(O$470:O1720))/MAX(O$470:O1720)&gt;X1719,X1719,(O1720-MAX(O$470:O1720))/MAX(O$470:O1720))</f>
        <v>-0.62788758315546067</v>
      </c>
    </row>
    <row r="1721" spans="1:24">
      <c r="A1721" s="799">
        <v>42123</v>
      </c>
      <c r="B1721">
        <v>224.66499999999999</v>
      </c>
      <c r="C1721">
        <v>428.46614899999997</v>
      </c>
      <c r="D1721">
        <v>0.77154199999999995</v>
      </c>
      <c r="E1721">
        <f>LN(D1721/参数实验室!$E$53)/参数实验室!$E$55</f>
        <v>-0.9989540139757872</v>
      </c>
      <c r="F1721">
        <f t="shared" si="208"/>
        <v>1.9071335054414349</v>
      </c>
      <c r="G1721">
        <f>LN(F1721/参数实验室!$E$58)/参数实验室!$E$59</f>
        <v>0.14831644480479539</v>
      </c>
      <c r="H1721" s="856">
        <f>INDEX(神经网络!$G$10:$BO$70,MATCH(ROUND(G1721*2,1)/2,神经网络!$E$10:$E$70,0),MATCH(ROUND(E1721*2,1)/2,神经网络!$G$8:$BO$8,0))</f>
        <v>-3.6945941366045107E-2</v>
      </c>
      <c r="I1721">
        <f t="shared" si="210"/>
        <v>998.11773495208138</v>
      </c>
      <c r="J1721">
        <f t="shared" si="211"/>
        <v>89.64726068393108</v>
      </c>
      <c r="K1721">
        <f t="shared" si="212"/>
        <v>11.13383417783551</v>
      </c>
      <c r="L1721" s="4">
        <f>MIN(MAX(L1720*(1+MAX(MIN(((B1721-B1720)/B1720)/($K$7*卓尔金历!$N$40),0),-卓尔金历!$M$43))+MIN(MAX(((B1721-B1720)/B1720)/($K$7*卓尔金历!$N$40),0),卓尔金历!$M$43),0),1)</f>
        <v>0.60631642596957969</v>
      </c>
      <c r="M1721" s="4">
        <f>MIN(MAX(M1720*(1+MAX(MIN(((B1721-B1720)/B1720)/($K$7*30),0),-卓尔金历!$M$43))+MIN(MAX(((B1721-B1720)/B1720)/($K$7*7),0),卓尔金历!$M$43),0),1)</f>
        <v>0.99042287875623081</v>
      </c>
      <c r="N1721">
        <f t="shared" si="213"/>
        <v>796.77764205785138</v>
      </c>
      <c r="O1721">
        <f t="shared" si="214"/>
        <v>2070.3818146305257</v>
      </c>
      <c r="P1721">
        <f t="shared" si="215"/>
        <v>-1.2536286325223749E-3</v>
      </c>
      <c r="Q1721">
        <f t="shared" si="216"/>
        <v>2.1243822255857026E-2</v>
      </c>
      <c r="R1721">
        <f t="shared" si="217"/>
        <v>1</v>
      </c>
      <c r="S1721">
        <f t="shared" si="209"/>
        <v>16.622658892423949</v>
      </c>
      <c r="T1721" s="564">
        <f>IF((I1721-MAX(I$470:I1721))/MAX(I$470:I1721)&gt;T1720,T1720,(I1721-MAX(I$470:I1721))/MAX(I$470:I1721))</f>
        <v>-0.91338805338419748</v>
      </c>
      <c r="U1721" s="564">
        <f>IF((J1721-MAX(J$470:J1721))/MAX(J$470:J1721)&gt;U1720,U1720,(J1721-MAX(J$470:J1721))/MAX(J$470:J1721))</f>
        <v>-0.8283551177402233</v>
      </c>
      <c r="V1721" s="564">
        <f>IF((K1721-MAX(K$470:K1721))/MAX(K$470:K1721)&gt;V1720,V1720,(K1721-MAX(K$470:K1721))/MAX(K$470:K1721))</f>
        <v>-0.84885940676762139</v>
      </c>
      <c r="W1721" s="564">
        <f>IF((N1721-MAX(N$470:N1721))/MAX(N$470:N1721)&gt;W1720,W1720,(N1721-MAX(N$470:N1721))/MAX(N$470:N1721))</f>
        <v>-0.62788758315546067</v>
      </c>
      <c r="X1721" s="564">
        <f>IF((O1721-MAX(O$470:O1721))/MAX(O$470:O1721)&gt;X1720,X1720,(O1721-MAX(O$470:O1721))/MAX(O$470:O1721))</f>
        <v>-0.62788758315546067</v>
      </c>
    </row>
    <row r="1722" spans="1:24">
      <c r="A1722" s="799">
        <v>42124</v>
      </c>
      <c r="B1722">
        <v>234.167</v>
      </c>
      <c r="C1722">
        <v>433.65129300000001</v>
      </c>
      <c r="D1722">
        <v>0.80792299999999995</v>
      </c>
      <c r="E1722">
        <f>LN(D1722/参数实验室!$E$53)/参数实验室!$E$55</f>
        <v>-0.94459611969381074</v>
      </c>
      <c r="F1722">
        <f t="shared" si="208"/>
        <v>1.8518890065636917</v>
      </c>
      <c r="G1722">
        <f>LN(F1722/参数实验室!$E$58)/参数实验室!$E$59</f>
        <v>0.13288829224079529</v>
      </c>
      <c r="H1722" s="856">
        <f>INDEX(神经网络!$G$10:$BO$70,MATCH(ROUND(G1722*2,1)/2,神经网络!$E$10:$E$70,0),MATCH(ROUND(E1722*2,1)/2,神经网络!$G$8:$BO$8,0))</f>
        <v>-2.996477770490634E-2</v>
      </c>
      <c r="I1722">
        <f t="shared" si="210"/>
        <v>996.55808148464246</v>
      </c>
      <c r="J1722">
        <f t="shared" si="211"/>
        <v>93.438809305294953</v>
      </c>
      <c r="K1722">
        <f t="shared" si="212"/>
        <v>10.665355101310885</v>
      </c>
      <c r="L1722" s="4">
        <f>MIN(MAX(L1721*(1+MAX(MIN(((B1722-B1721)/B1721)/($K$7*卓尔金历!$N$40),0),-卓尔金历!$M$43))+MIN(MAX(((B1722-B1721)/B1721)/($K$7*卓尔金历!$N$40),0),卓尔金历!$M$43),0),1)</f>
        <v>1</v>
      </c>
      <c r="M1722" s="4">
        <f>MIN(MAX(M1721*(1+MAX(MIN(((B1722-B1721)/B1721)/($K$7*30),0),-卓尔金历!$M$43))+MIN(MAX(((B1722-B1721)/B1721)/($K$7*7),0),卓尔金历!$M$43),0),1)</f>
        <v>1</v>
      </c>
      <c r="N1722">
        <f t="shared" si="213"/>
        <v>796.02275354658332</v>
      </c>
      <c r="O1722">
        <f t="shared" si="214"/>
        <v>2067.1776306040128</v>
      </c>
      <c r="P1722">
        <f t="shared" si="215"/>
        <v>4.2294082300313847E-2</v>
      </c>
      <c r="Q1722">
        <f t="shared" si="216"/>
        <v>2.2637139155551066E-2</v>
      </c>
      <c r="R1722">
        <f t="shared" si="217"/>
        <v>7.9652586695478349E-3</v>
      </c>
      <c r="S1722">
        <f t="shared" si="209"/>
        <v>16.596684413991436</v>
      </c>
      <c r="T1722" s="564">
        <f>IF((I1722-MAX(I$470:I1722))/MAX(I$470:I1722)&gt;T1721,T1721,(I1722-MAX(I$470:I1722))/MAX(I$470:I1722))</f>
        <v>-0.91338805338419748</v>
      </c>
      <c r="U1722" s="564">
        <f>IF((J1722-MAX(J$470:J1722))/MAX(J$470:J1722)&gt;U1721,U1721,(J1722-MAX(J$470:J1722))/MAX(J$470:J1722))</f>
        <v>-0.8283551177402233</v>
      </c>
      <c r="V1722" s="564">
        <f>IF((K1722-MAX(K$470:K1722))/MAX(K$470:K1722)&gt;V1721,V1721,(K1722-MAX(K$470:K1722))/MAX(K$470:K1722))</f>
        <v>-0.84885940676762139</v>
      </c>
      <c r="W1722" s="564">
        <f>IF((N1722-MAX(N$470:N1722))/MAX(N$470:N1722)&gt;W1721,W1721,(N1722-MAX(N$470:N1722))/MAX(N$470:N1722))</f>
        <v>-0.62788758315546067</v>
      </c>
      <c r="X1722" s="564">
        <f>IF((O1722-MAX(O$470:O1722))/MAX(O$470:O1722)&gt;X1721,X1721,(O1722-MAX(O$470:O1722))/MAX(O$470:O1722))</f>
        <v>-0.62788758315546067</v>
      </c>
    </row>
    <row r="1723" spans="1:24">
      <c r="A1723" s="799">
        <v>42125</v>
      </c>
      <c r="B1723">
        <v>235.142</v>
      </c>
      <c r="C1723">
        <v>429.157915</v>
      </c>
      <c r="D1723">
        <v>0.79595300000000002</v>
      </c>
      <c r="E1723">
        <f>LN(D1723/参数实验室!$E$53)/参数实验室!$E$55</f>
        <v>-0.96220584578971269</v>
      </c>
      <c r="F1723">
        <f t="shared" si="208"/>
        <v>1.8251010665895502</v>
      </c>
      <c r="G1723">
        <f>LN(F1723/参数实验室!$E$58)/参数实验室!$E$59</f>
        <v>0.12524072884130469</v>
      </c>
      <c r="H1723" s="856">
        <f>INDEX(神经网络!$G$10:$BO$70,MATCH(ROUND(G1723*2,1)/2,神经网络!$E$10:$E$70,0),MATCH(ROUND(E1723*2,1)/2,神经网络!$G$8:$BO$8,0))</f>
        <v>-2.996477770490634E-2</v>
      </c>
      <c r="I1723">
        <f t="shared" si="210"/>
        <v>996.43374671352967</v>
      </c>
      <c r="J1723">
        <f t="shared" si="211"/>
        <v>93.827860021547295</v>
      </c>
      <c r="K1723">
        <f t="shared" si="212"/>
        <v>10.619806808816715</v>
      </c>
      <c r="L1723" s="4">
        <f>MIN(MAX(L1722*(1+MAX(MIN(((B1723-B1722)/B1722)/($K$7*卓尔金历!$N$40),0),-卓尔金历!$M$43))+MIN(MAX(((B1723-B1722)/B1722)/($K$7*卓尔金历!$N$40),0),卓尔金历!$M$43),0),1)</f>
        <v>1</v>
      </c>
      <c r="M1723" s="4">
        <f>MIN(MAX(M1722*(1+MAX(MIN(((B1723-B1722)/B1722)/($K$7*30),0),-卓尔金历!$M$43))+MIN(MAX(((B1723-B1722)/B1722)/($K$7*7),0),卓尔金历!$M$43),0),1)</f>
        <v>1</v>
      </c>
      <c r="N1723">
        <f t="shared" si="213"/>
        <v>795.92343840509614</v>
      </c>
      <c r="O1723">
        <f t="shared" si="214"/>
        <v>2066.9197208420774</v>
      </c>
      <c r="P1723">
        <f t="shared" si="215"/>
        <v>4.1636951406474627E-3</v>
      </c>
      <c r="Q1723">
        <f t="shared" si="216"/>
        <v>2.262101371709108E-2</v>
      </c>
      <c r="R1723">
        <f t="shared" si="217"/>
        <v>1</v>
      </c>
      <c r="S1723">
        <f t="shared" si="209"/>
        <v>16.596667920552999</v>
      </c>
      <c r="T1723" s="564">
        <f>IF((I1723-MAX(I$470:I1723))/MAX(I$470:I1723)&gt;T1722,T1722,(I1723-MAX(I$470:I1723))/MAX(I$470:I1723))</f>
        <v>-0.91338805338419748</v>
      </c>
      <c r="U1723" s="564">
        <f>IF((J1723-MAX(J$470:J1723))/MAX(J$470:J1723)&gt;U1722,U1722,(J1723-MAX(J$470:J1723))/MAX(J$470:J1723))</f>
        <v>-0.8283551177402233</v>
      </c>
      <c r="V1723" s="564">
        <f>IF((K1723-MAX(K$470:K1723))/MAX(K$470:K1723)&gt;V1722,V1722,(K1723-MAX(K$470:K1723))/MAX(K$470:K1723))</f>
        <v>-0.84885940676762139</v>
      </c>
      <c r="W1723" s="564">
        <f>IF((N1723-MAX(N$470:N1723))/MAX(N$470:N1723)&gt;W1722,W1722,(N1723-MAX(N$470:N1723))/MAX(N$470:N1723))</f>
        <v>-0.62788758315546067</v>
      </c>
      <c r="X1723" s="564">
        <f>IF((O1723-MAX(O$470:O1723))/MAX(O$470:O1723)&gt;X1722,X1722,(O1723-MAX(O$470:O1723))/MAX(O$470:O1723))</f>
        <v>-0.62788758315546067</v>
      </c>
    </row>
    <row r="1724" spans="1:24">
      <c r="A1724" s="799">
        <v>42126</v>
      </c>
      <c r="B1724">
        <v>234.81399999999999</v>
      </c>
      <c r="C1724">
        <v>435.30384099999998</v>
      </c>
      <c r="D1724">
        <v>0.80559499999999995</v>
      </c>
      <c r="E1724">
        <f>LN(D1724/参数实验室!$E$53)/参数实验室!$E$55</f>
        <v>-0.94800044175001708</v>
      </c>
      <c r="F1724">
        <f t="shared" si="208"/>
        <v>1.8538240522285723</v>
      </c>
      <c r="G1724">
        <f>LN(F1724/参数实验室!$E$58)/参数实验室!$E$59</f>
        <v>0.13343642784490531</v>
      </c>
      <c r="H1724" s="856">
        <f>INDEX(神经网络!$G$10:$BO$70,MATCH(ROUND(G1724*2,1)/2,神经网络!$E$10:$E$70,0),MATCH(ROUND(E1724*2,1)/2,神经网络!$G$8:$BO$8,0))</f>
        <v>-2.996477770490634E-2</v>
      </c>
      <c r="I1724">
        <f t="shared" si="210"/>
        <v>996.47539557402888</v>
      </c>
      <c r="J1724">
        <f t="shared" si="211"/>
        <v>93.696979370336251</v>
      </c>
      <c r="K1724">
        <f t="shared" si="212"/>
        <v>10.635085594760437</v>
      </c>
      <c r="L1724" s="4">
        <f>MIN(MAX(L1723*(1+MAX(MIN(((B1724-B1723)/B1723)/($K$7*卓尔金历!$N$40),0),-卓尔金历!$M$43))+MIN(MAX(((B1724-B1723)/B1723)/($K$7*卓尔金历!$N$40),0),卓尔金历!$M$43),0),1)</f>
        <v>0.97868723902175525</v>
      </c>
      <c r="M1724" s="4">
        <f>MIN(MAX(M1723*(1+MAX(MIN(((B1724-B1723)/B1723)/($K$7*30),0),-卓尔金历!$M$43))+MIN(MAX(((B1724-B1723)/B1723)/($K$7*7),0),卓尔金历!$M$43),0),1)</f>
        <v>0.98934361951087757</v>
      </c>
      <c r="N1724">
        <f t="shared" si="213"/>
        <v>795.95670635127271</v>
      </c>
      <c r="O1724">
        <f t="shared" si="214"/>
        <v>2067.0061137923367</v>
      </c>
      <c r="P1724">
        <f t="shared" si="215"/>
        <v>-1.3949018040163091E-3</v>
      </c>
      <c r="Q1724">
        <f t="shared" si="216"/>
        <v>2.189161418558179E-2</v>
      </c>
      <c r="R1724">
        <f t="shared" si="217"/>
        <v>1</v>
      </c>
      <c r="S1724">
        <f t="shared" si="209"/>
        <v>16.597361626792129</v>
      </c>
      <c r="T1724" s="564">
        <f>IF((I1724-MAX(I$470:I1724))/MAX(I$470:I1724)&gt;T1723,T1723,(I1724-MAX(I$470:I1724))/MAX(I$470:I1724))</f>
        <v>-0.91338805338419748</v>
      </c>
      <c r="U1724" s="564">
        <f>IF((J1724-MAX(J$470:J1724))/MAX(J$470:J1724)&gt;U1723,U1723,(J1724-MAX(J$470:J1724))/MAX(J$470:J1724))</f>
        <v>-0.8283551177402233</v>
      </c>
      <c r="V1724" s="564">
        <f>IF((K1724-MAX(K$470:K1724))/MAX(K$470:K1724)&gt;V1723,V1723,(K1724-MAX(K$470:K1724))/MAX(K$470:K1724))</f>
        <v>-0.84885940676762139</v>
      </c>
      <c r="W1724" s="564">
        <f>IF((N1724-MAX(N$470:N1724))/MAX(N$470:N1724)&gt;W1723,W1723,(N1724-MAX(N$470:N1724))/MAX(N$470:N1724))</f>
        <v>-0.62788758315546067</v>
      </c>
      <c r="X1724" s="564">
        <f>IF((O1724-MAX(O$470:O1724))/MAX(O$470:O1724)&gt;X1723,X1723,(O1724-MAX(O$470:O1724))/MAX(O$470:O1724))</f>
        <v>-0.62788758315546067</v>
      </c>
    </row>
    <row r="1725" spans="1:24">
      <c r="A1725" s="799">
        <v>42127</v>
      </c>
      <c r="B1725">
        <v>241.893</v>
      </c>
      <c r="C1725">
        <v>437.19572899999997</v>
      </c>
      <c r="D1725">
        <v>0.82237300000000002</v>
      </c>
      <c r="E1725">
        <f>LN(D1725/参数实验室!$E$53)/参数实验室!$E$55</f>
        <v>-0.92368227237620293</v>
      </c>
      <c r="F1725">
        <f t="shared" si="208"/>
        <v>1.8073930580876667</v>
      </c>
      <c r="G1725">
        <f>LN(F1725/参数实验室!$E$58)/参数实验室!$E$59</f>
        <v>0.12012347707834996</v>
      </c>
      <c r="H1725" s="856">
        <f>INDEX(神经网络!$G$10:$BO$70,MATCH(ROUND(G1725*2,1)/2,神经网络!$E$10:$E$70,0),MATCH(ROUND(E1725*2,1)/2,神经网络!$G$8:$BO$8,0))</f>
        <v>-6.5486849937294242E-2</v>
      </c>
      <c r="I1725">
        <f t="shared" si="210"/>
        <v>995.57522343799303</v>
      </c>
      <c r="J1725">
        <f t="shared" si="211"/>
        <v>96.521687083516085</v>
      </c>
      <c r="K1725">
        <f t="shared" si="212"/>
        <v>10.314523642511183</v>
      </c>
      <c r="L1725" s="4">
        <f>MIN(MAX(L1724*(1+MAX(MIN(((B1725-B1724)/B1724)/($K$7*卓尔金历!$N$40),0),-卓尔金历!$M$43))+MIN(MAX(((B1725-B1724)/B1724)/($K$7*卓尔金历!$N$40),0),卓尔金历!$M$43),0),1)</f>
        <v>1</v>
      </c>
      <c r="M1725" s="4">
        <f>MIN(MAX(M1724*(1+MAX(MIN(((B1725-B1724)/B1724)/($K$7*30),0),-卓尔金历!$M$43))+MIN(MAX(((B1725-B1724)/B1724)/($K$7*7),0),卓尔金历!$M$43),0),1)</f>
        <v>1</v>
      </c>
      <c r="N1725">
        <f t="shared" si="213"/>
        <v>795.25299856278866</v>
      </c>
      <c r="O1725">
        <f t="shared" si="214"/>
        <v>2065.1587692397652</v>
      </c>
      <c r="P1725">
        <f t="shared" si="215"/>
        <v>3.0147265495243079E-2</v>
      </c>
      <c r="Q1725">
        <f t="shared" si="216"/>
        <v>2.2808081309620188E-2</v>
      </c>
      <c r="R1725">
        <f t="shared" si="217"/>
        <v>1.5784306856803459E-2</v>
      </c>
      <c r="S1725">
        <f t="shared" si="209"/>
        <v>16.582368298773687</v>
      </c>
      <c r="T1725" s="564">
        <f>IF((I1725-MAX(I$470:I1725))/MAX(I$470:I1725)&gt;T1724,T1724,(I1725-MAX(I$470:I1725))/MAX(I$470:I1725))</f>
        <v>-0.91338805338419748</v>
      </c>
      <c r="U1725" s="564">
        <f>IF((J1725-MAX(J$470:J1725))/MAX(J$470:J1725)&gt;U1724,U1724,(J1725-MAX(J$470:J1725))/MAX(J$470:J1725))</f>
        <v>-0.8283551177402233</v>
      </c>
      <c r="V1725" s="564">
        <f>IF((K1725-MAX(K$470:K1725))/MAX(K$470:K1725)&gt;V1724,V1724,(K1725-MAX(K$470:K1725))/MAX(K$470:K1725))</f>
        <v>-0.84885940676762139</v>
      </c>
      <c r="W1725" s="564">
        <f>IF((N1725-MAX(N$470:N1725))/MAX(N$470:N1725)&gt;W1724,W1724,(N1725-MAX(N$470:N1725))/MAX(N$470:N1725))</f>
        <v>-0.62788758315546067</v>
      </c>
      <c r="X1725" s="564">
        <f>IF((O1725-MAX(O$470:O1725))/MAX(O$470:O1725)&gt;X1724,X1724,(O1725-MAX(O$470:O1725))/MAX(O$470:O1725))</f>
        <v>-0.62788758315546067</v>
      </c>
    </row>
    <row r="1726" spans="1:24">
      <c r="A1726" s="799">
        <v>42128</v>
      </c>
      <c r="B1726">
        <v>241.94499999999999</v>
      </c>
      <c r="C1726">
        <v>445.33572199999998</v>
      </c>
      <c r="D1726">
        <v>0.81741799999999998</v>
      </c>
      <c r="E1726">
        <f>LN(D1726/参数实验室!$E$53)/参数实验室!$E$55</f>
        <v>-0.93081207747446792</v>
      </c>
      <c r="F1726">
        <f t="shared" si="208"/>
        <v>1.8406485854223067</v>
      </c>
      <c r="G1726">
        <f>LN(F1726/参数实验室!$E$58)/参数实验室!$E$59</f>
        <v>0.1296928752366707</v>
      </c>
      <c r="H1726" s="856">
        <f>INDEX(神经网络!$G$10:$BO$70,MATCH(ROUND(G1726*2,1)/2,神经网络!$E$10:$E$70,0),MATCH(ROUND(E1726*2,1)/2,神经网络!$G$8:$BO$8,0))</f>
        <v>-2.996477770490634E-2</v>
      </c>
      <c r="I1726">
        <f t="shared" si="210"/>
        <v>995.56120795001505</v>
      </c>
      <c r="J1726">
        <f t="shared" si="211"/>
        <v>96.54243645504954</v>
      </c>
      <c r="K1726">
        <f t="shared" si="212"/>
        <v>10.312161620382881</v>
      </c>
      <c r="L1726" s="4">
        <f>MIN(MAX(L1725*(1+MAX(MIN(((B1726-B1725)/B1725)/($K$7*卓尔金历!$N$40),0),-卓尔金历!$M$43))+MIN(MAX(((B1726-B1725)/B1725)/($K$7*卓尔金历!$N$40),0),卓尔金历!$M$43),0),1)</f>
        <v>1</v>
      </c>
      <c r="M1726" s="4">
        <f>MIN(MAX(M1725*(1+MAX(MIN(((B1726-B1725)/B1725)/($K$7*30),0),-卓尔金历!$M$43))+MIN(MAX(((B1726-B1725)/B1725)/($K$7*7),0),卓尔金历!$M$43),0),1)</f>
        <v>1</v>
      </c>
      <c r="N1726">
        <f t="shared" si="213"/>
        <v>795.24180316682225</v>
      </c>
      <c r="O1726">
        <f t="shared" si="214"/>
        <v>2065.1296963910027</v>
      </c>
      <c r="P1726">
        <f t="shared" si="215"/>
        <v>2.1497108225534636E-4</v>
      </c>
      <c r="Q1726">
        <f t="shared" si="216"/>
        <v>2.2748585237763401E-2</v>
      </c>
      <c r="R1726">
        <f t="shared" si="217"/>
        <v>1</v>
      </c>
      <c r="S1726">
        <f t="shared" si="209"/>
        <v>16.582364614039061</v>
      </c>
      <c r="T1726" s="564">
        <f>IF((I1726-MAX(I$470:I1726))/MAX(I$470:I1726)&gt;T1725,T1725,(I1726-MAX(I$470:I1726))/MAX(I$470:I1726))</f>
        <v>-0.91338805338419748</v>
      </c>
      <c r="U1726" s="564">
        <f>IF((J1726-MAX(J$470:J1726))/MAX(J$470:J1726)&gt;U1725,U1725,(J1726-MAX(J$470:J1726))/MAX(J$470:J1726))</f>
        <v>-0.8283551177402233</v>
      </c>
      <c r="V1726" s="564">
        <f>IF((K1726-MAX(K$470:K1726))/MAX(K$470:K1726)&gt;V1725,V1725,(K1726-MAX(K$470:K1726))/MAX(K$470:K1726))</f>
        <v>-0.84885940676762139</v>
      </c>
      <c r="W1726" s="564">
        <f>IF((N1726-MAX(N$470:N1726))/MAX(N$470:N1726)&gt;W1725,W1725,(N1726-MAX(N$470:N1726))/MAX(N$470:N1726))</f>
        <v>-0.62788758315546067</v>
      </c>
      <c r="X1726" s="564">
        <f>IF((O1726-MAX(O$470:O1726))/MAX(O$470:O1726)&gt;X1725,X1725,(O1726-MAX(O$470:O1726))/MAX(O$470:O1726))</f>
        <v>-0.62788758315546067</v>
      </c>
    </row>
    <row r="1727" spans="1:24">
      <c r="A1727" s="799">
        <v>42129</v>
      </c>
      <c r="B1727">
        <v>234.923</v>
      </c>
      <c r="C1727">
        <v>443.83238399999999</v>
      </c>
      <c r="D1727">
        <v>0.80767999999999995</v>
      </c>
      <c r="E1727">
        <f>LN(D1727/参数实验室!$E$53)/参数实验室!$E$55</f>
        <v>-0.94495100890910322</v>
      </c>
      <c r="F1727">
        <f t="shared" si="208"/>
        <v>1.8892674791314601</v>
      </c>
      <c r="G1727">
        <f>LN(F1727/参数实验室!$E$58)/参数实验室!$E$59</f>
        <v>0.14337643693646215</v>
      </c>
      <c r="H1727" s="856">
        <f>INDEX(神经网络!$G$10:$BO$70,MATCH(ROUND(G1727*2,1)/2,神经网络!$E$10:$E$70,0),MATCH(ROUND(E1727*2,1)/2,神经网络!$G$8:$BO$8,0))</f>
        <v>-2.996477770490634E-2</v>
      </c>
      <c r="I1727">
        <f t="shared" si="210"/>
        <v>996.4270191507477</v>
      </c>
      <c r="J1727">
        <f t="shared" si="211"/>
        <v>93.740473245281379</v>
      </c>
      <c r="K1727">
        <f t="shared" si="212"/>
        <v>10.62963504081632</v>
      </c>
      <c r="L1727" s="4">
        <f>MIN(MAX(L1726*(1+MAX(MIN(((B1727-B1726)/B1726)/($K$7*卓尔金历!$N$40),0),-卓尔金历!$M$43))+MIN(MAX(((B1727-B1726)/B1726)/($K$7*卓尔金历!$N$40),0),卓尔金历!$M$43),0),1)</f>
        <v>0.55655450002813212</v>
      </c>
      <c r="M1727" s="4">
        <f>MIN(MAX(M1726*(1+MAX(MIN(((B1727-B1726)/B1726)/($K$7*30),0),-卓尔金历!$M$43))+MIN(MAX(((B1727-B1726)/B1726)/($K$7*7),0),卓尔金历!$M$43),0),1)</f>
        <v>0.778277250014066</v>
      </c>
      <c r="N1727">
        <f t="shared" si="213"/>
        <v>795.9334022919935</v>
      </c>
      <c r="O1727">
        <f t="shared" si="214"/>
        <v>2066.9256808144846</v>
      </c>
      <c r="P1727">
        <f t="shared" si="215"/>
        <v>-2.9023125090413077E-2</v>
      </c>
      <c r="Q1727">
        <f t="shared" si="216"/>
        <v>2.093436187388625E-2</v>
      </c>
      <c r="R1727">
        <f t="shared" si="217"/>
        <v>1.5316599432042005E-2</v>
      </c>
      <c r="S1727">
        <f t="shared" si="209"/>
        <v>16.596785823807803</v>
      </c>
      <c r="T1727" s="564">
        <f>IF((I1727-MAX(I$470:I1727))/MAX(I$470:I1727)&gt;T1726,T1726,(I1727-MAX(I$470:I1727))/MAX(I$470:I1727))</f>
        <v>-0.91338805338419748</v>
      </c>
      <c r="U1727" s="564">
        <f>IF((J1727-MAX(J$470:J1727))/MAX(J$470:J1727)&gt;U1726,U1726,(J1727-MAX(J$470:J1727))/MAX(J$470:J1727))</f>
        <v>-0.8283551177402233</v>
      </c>
      <c r="V1727" s="564">
        <f>IF((K1727-MAX(K$470:K1727))/MAX(K$470:K1727)&gt;V1726,V1726,(K1727-MAX(K$470:K1727))/MAX(K$470:K1727))</f>
        <v>-0.84885940676762139</v>
      </c>
      <c r="W1727" s="564">
        <f>IF((N1727-MAX(N$470:N1727))/MAX(N$470:N1727)&gt;W1726,W1726,(N1727-MAX(N$470:N1727))/MAX(N$470:N1727))</f>
        <v>-0.62788758315546067</v>
      </c>
      <c r="X1727" s="564">
        <f>IF((O1727-MAX(O$470:O1727))/MAX(O$470:O1727)&gt;X1726,X1726,(O1727-MAX(O$470:O1727))/MAX(O$470:O1727))</f>
        <v>-0.62788758315546067</v>
      </c>
    </row>
    <row r="1728" spans="1:24">
      <c r="A1728" s="799">
        <v>42130</v>
      </c>
      <c r="B1728">
        <v>234.619</v>
      </c>
      <c r="C1728">
        <v>433.38590699999997</v>
      </c>
      <c r="D1728">
        <v>0.78562799999999999</v>
      </c>
      <c r="E1728">
        <f>LN(D1728/参数实验室!$E$53)/参数实验室!$E$55</f>
        <v>-0.97760957824819628</v>
      </c>
      <c r="F1728">
        <f t="shared" si="208"/>
        <v>1.8471901551025278</v>
      </c>
      <c r="G1728">
        <f>LN(F1728/参数实验室!$E$58)/参数实验室!$E$59</f>
        <v>0.13155487254040918</v>
      </c>
      <c r="H1728" s="856">
        <f>INDEX(神经网络!$G$10:$BO$70,MATCH(ROUND(G1728*2,1)/2,神经网络!$E$10:$E$70,0),MATCH(ROUND(E1728*2,1)/2,神经网络!$G$8:$BO$8,0))</f>
        <v>-3.6945941366045107E-2</v>
      </c>
      <c r="I1728">
        <f t="shared" si="210"/>
        <v>996.46565625777805</v>
      </c>
      <c r="J1728">
        <f t="shared" si="211"/>
        <v>93.619169227085777</v>
      </c>
      <c r="K1728">
        <f t="shared" si="212"/>
        <v>10.643820752571706</v>
      </c>
      <c r="L1728" s="4">
        <f>MIN(MAX(L1727*(1+MAX(MIN(((B1728-B1727)/B1727)/($K$7*卓尔金历!$N$40),0),-卓尔金历!$M$43))+MIN(MAX(((B1728-B1727)/B1727)/($K$7*卓尔金历!$N$40),0),卓尔金历!$M$43),0),1)</f>
        <v>0.54555046859140977</v>
      </c>
      <c r="M1728" s="4">
        <f>MIN(MAX(M1727*(1+MAX(MIN(((B1728-B1727)/B1727)/($K$7*30),0),-卓尔金历!$M$43))+MIN(MAX(((B1728-B1727)/B1727)/($K$7*7),0),卓尔金历!$M$43),0),1)</f>
        <v>0.77058331588433771</v>
      </c>
      <c r="N1728">
        <f t="shared" si="213"/>
        <v>795.95057914246263</v>
      </c>
      <c r="O1728">
        <f t="shared" si="214"/>
        <v>2066.9880569267034</v>
      </c>
      <c r="P1728">
        <f t="shared" si="215"/>
        <v>-1.2940410262085962E-3</v>
      </c>
      <c r="Q1728">
        <f t="shared" si="216"/>
        <v>2.0783402346110518E-2</v>
      </c>
      <c r="R1728">
        <f t="shared" si="217"/>
        <v>1</v>
      </c>
      <c r="S1728">
        <f t="shared" si="209"/>
        <v>16.59679568082354</v>
      </c>
      <c r="T1728" s="564">
        <f>IF((I1728-MAX(I$470:I1728))/MAX(I$470:I1728)&gt;T1727,T1727,(I1728-MAX(I$470:I1728))/MAX(I$470:I1728))</f>
        <v>-0.91338805338419748</v>
      </c>
      <c r="U1728" s="564">
        <f>IF((J1728-MAX(J$470:J1728))/MAX(J$470:J1728)&gt;U1727,U1727,(J1728-MAX(J$470:J1728))/MAX(J$470:J1728))</f>
        <v>-0.8283551177402233</v>
      </c>
      <c r="V1728" s="564">
        <f>IF((K1728-MAX(K$470:K1728))/MAX(K$470:K1728)&gt;V1727,V1727,(K1728-MAX(K$470:K1728))/MAX(K$470:K1728))</f>
        <v>-0.84885940676762139</v>
      </c>
      <c r="W1728" s="564">
        <f>IF((N1728-MAX(N$470:N1728))/MAX(N$470:N1728)&gt;W1727,W1727,(N1728-MAX(N$470:N1728))/MAX(N$470:N1728))</f>
        <v>-0.62788758315546067</v>
      </c>
      <c r="X1728" s="564">
        <f>IF((O1728-MAX(O$470:O1728))/MAX(O$470:O1728)&gt;X1727,X1727,(O1728-MAX(O$470:O1728))/MAX(O$470:O1728))</f>
        <v>-0.62788758315546067</v>
      </c>
    </row>
    <row r="1729" spans="1:24">
      <c r="A1729" s="799">
        <v>42131</v>
      </c>
      <c r="B1729">
        <v>234.96600000000001</v>
      </c>
      <c r="C1729">
        <v>437.11074600000001</v>
      </c>
      <c r="D1729">
        <v>0.81201999999999996</v>
      </c>
      <c r="E1729">
        <f>LN(D1729/参数实验室!$E$53)/参数实验室!$E$55</f>
        <v>-0.93862867596760957</v>
      </c>
      <c r="F1729">
        <f t="shared" si="208"/>
        <v>1.8603148795996016</v>
      </c>
      <c r="G1729">
        <f>LN(F1729/参数实验室!$E$58)/参数实验室!$E$59</f>
        <v>0.1352708990477019</v>
      </c>
      <c r="H1729" s="856">
        <f>INDEX(神经网络!$G$10:$BO$70,MATCH(ROUND(G1729*2,1)/2,神经网络!$E$10:$E$70,0),MATCH(ROUND(E1729*2,1)/2,神经网络!$G$8:$BO$8,0))</f>
        <v>-2.996477770490634E-2</v>
      </c>
      <c r="I1729">
        <f t="shared" si="210"/>
        <v>996.41120657334</v>
      </c>
      <c r="J1729">
        <f t="shared" si="211"/>
        <v>93.757631379434045</v>
      </c>
      <c r="K1729">
        <f t="shared" si="212"/>
        <v>10.627521108558051</v>
      </c>
      <c r="L1729" s="4">
        <f>MIN(MAX(L1728*(1+MAX(MIN(((B1729-B1728)/B1728)/($K$7*卓尔金历!$N$40),0),-卓尔金历!$M$43))+MIN(MAX(((B1729-B1728)/B1728)/($K$7*卓尔金历!$N$40),0),卓尔金历!$M$43),0),1)</f>
        <v>0.56814807155199898</v>
      </c>
      <c r="M1729" s="4">
        <f>MIN(MAX(M1728*(1+MAX(MIN(((B1729-B1728)/B1728)/($K$7*30),0),-卓尔金历!$M$43))+MIN(MAX(((B1729-B1728)/B1728)/($K$7*7),0),卓尔金历!$M$43),0),1)</f>
        <v>0.81900675079988605</v>
      </c>
      <c r="N1729">
        <f t="shared" si="213"/>
        <v>795.92685152848333</v>
      </c>
      <c r="O1729">
        <f t="shared" si="214"/>
        <v>2066.9010225945663</v>
      </c>
      <c r="P1729">
        <f t="shared" si="215"/>
        <v>1.478993602393704E-3</v>
      </c>
      <c r="Q1729">
        <f t="shared" si="216"/>
        <v>2.0522323462043749E-2</v>
      </c>
      <c r="R1729">
        <f t="shared" si="217"/>
        <v>1</v>
      </c>
      <c r="S1729">
        <f t="shared" si="209"/>
        <v>16.595888785255362</v>
      </c>
      <c r="T1729" s="564">
        <f>IF((I1729-MAX(I$470:I1729))/MAX(I$470:I1729)&gt;T1728,T1728,(I1729-MAX(I$470:I1729))/MAX(I$470:I1729))</f>
        <v>-0.91338805338419748</v>
      </c>
      <c r="U1729" s="564">
        <f>IF((J1729-MAX(J$470:J1729))/MAX(J$470:J1729)&gt;U1728,U1728,(J1729-MAX(J$470:J1729))/MAX(J$470:J1729))</f>
        <v>-0.8283551177402233</v>
      </c>
      <c r="V1729" s="564">
        <f>IF((K1729-MAX(K$470:K1729))/MAX(K$470:K1729)&gt;V1728,V1728,(K1729-MAX(K$470:K1729))/MAX(K$470:K1729))</f>
        <v>-0.84885940676762139</v>
      </c>
      <c r="W1729" s="564">
        <f>IF((N1729-MAX(N$470:N1729))/MAX(N$470:N1729)&gt;W1728,W1728,(N1729-MAX(N$470:N1729))/MAX(N$470:N1729))</f>
        <v>-0.62788758315546067</v>
      </c>
      <c r="X1729" s="564">
        <f>IF((O1729-MAX(O$470:O1729))/MAX(O$470:O1729)&gt;X1728,X1728,(O1729-MAX(O$470:O1729))/MAX(O$470:O1729))</f>
        <v>-0.62788758315546067</v>
      </c>
    </row>
    <row r="1730" spans="1:24">
      <c r="A1730" s="799">
        <v>42132</v>
      </c>
      <c r="B1730">
        <v>232.01499999999999</v>
      </c>
      <c r="C1730">
        <v>429.85660300000001</v>
      </c>
      <c r="D1730">
        <v>0.83681700000000003</v>
      </c>
      <c r="E1730">
        <f>LN(D1730/参数实验室!$E$53)/参数实验室!$E$55</f>
        <v>-0.90314118143090383</v>
      </c>
      <c r="F1730">
        <f t="shared" si="208"/>
        <v>1.85271039803461</v>
      </c>
      <c r="G1730">
        <f>LN(F1730/参数实验室!$E$58)/参数实验室!$E$59</f>
        <v>0.13312103570071901</v>
      </c>
      <c r="H1730" s="856">
        <f>INDEX(神经网络!$G$10:$BO$70,MATCH(ROUND(G1730*2,1)/2,神经网络!$E$10:$E$70,0),MATCH(ROUND(E1730*2,1)/2,神经网络!$G$8:$BO$8,0))</f>
        <v>-4.5496982226918441E-2</v>
      </c>
      <c r="I1730">
        <f t="shared" si="210"/>
        <v>996.78619153349541</v>
      </c>
      <c r="J1730">
        <f t="shared" si="211"/>
        <v>92.580104544910284</v>
      </c>
      <c r="K1730">
        <f t="shared" si="212"/>
        <v>10.766742989039917</v>
      </c>
      <c r="L1730" s="4">
        <f>MIN(MAX(L1729*(1+MAX(MIN(((B1730-B1729)/B1729)/($K$7*卓尔金历!$N$40),0),-卓尔金历!$M$43))+MIN(MAX(((B1730-B1729)/B1729)/($K$7*卓尔金历!$N$40),0),卓尔金历!$M$43),0),1)</f>
        <v>0.4591241495445943</v>
      </c>
      <c r="M1730" s="4">
        <f>MIN(MAX(M1729*(1+MAX(MIN(((B1730-B1729)/B1729)/($K$7*30),0),-卓尔金历!$M$43))+MIN(MAX(((B1730-B1729)/B1729)/($K$7*7),0),卓尔金历!$M$43),0),1)</f>
        <v>0.74042571480443742</v>
      </c>
      <c r="N1730">
        <f t="shared" si="213"/>
        <v>796.09703208493522</v>
      </c>
      <c r="O1730">
        <f t="shared" si="214"/>
        <v>2067.538085631696</v>
      </c>
      <c r="P1730">
        <f t="shared" si="215"/>
        <v>-1.2559263893499577E-2</v>
      </c>
      <c r="Q1730">
        <f t="shared" si="216"/>
        <v>2.0637071514053439E-2</v>
      </c>
      <c r="R1730">
        <f t="shared" si="217"/>
        <v>0.52734482953035944</v>
      </c>
      <c r="S1730">
        <f t="shared" si="209"/>
        <v>16.602134408200818</v>
      </c>
      <c r="T1730" s="564">
        <f>IF((I1730-MAX(I$470:I1730))/MAX(I$470:I1730)&gt;T1729,T1729,(I1730-MAX(I$470:I1730))/MAX(I$470:I1730))</f>
        <v>-0.91338805338419748</v>
      </c>
      <c r="U1730" s="564">
        <f>IF((J1730-MAX(J$470:J1730))/MAX(J$470:J1730)&gt;U1729,U1729,(J1730-MAX(J$470:J1730))/MAX(J$470:J1730))</f>
        <v>-0.8283551177402233</v>
      </c>
      <c r="V1730" s="564">
        <f>IF((K1730-MAX(K$470:K1730))/MAX(K$470:K1730)&gt;V1729,V1729,(K1730-MAX(K$470:K1730))/MAX(K$470:K1730))</f>
        <v>-0.84885940676762139</v>
      </c>
      <c r="W1730" s="564">
        <f>IF((N1730-MAX(N$470:N1730))/MAX(N$470:N1730)&gt;W1729,W1729,(N1730-MAX(N$470:N1730))/MAX(N$470:N1730))</f>
        <v>-0.62788758315546067</v>
      </c>
      <c r="X1730" s="564">
        <f>IF((O1730-MAX(O$470:O1730))/MAX(O$470:O1730)&gt;X1729,X1729,(O1730-MAX(O$470:O1730))/MAX(O$470:O1730))</f>
        <v>-0.62788758315546067</v>
      </c>
    </row>
    <row r="1731" spans="1:24">
      <c r="A1731" s="799">
        <v>42133</v>
      </c>
      <c r="B1731">
        <v>245.90600000000001</v>
      </c>
      <c r="C1731">
        <v>431.382679</v>
      </c>
      <c r="D1731">
        <v>0.83113700000000001</v>
      </c>
      <c r="E1731">
        <f>LN(D1731/参数实验室!$E$53)/参数实验室!$E$55</f>
        <v>-0.91117620437367974</v>
      </c>
      <c r="F1731">
        <f t="shared" si="208"/>
        <v>1.754258452416777</v>
      </c>
      <c r="G1731">
        <f>LN(F1731/参数实验室!$E$58)/参数实验室!$E$59</f>
        <v>0.10446221333993809</v>
      </c>
      <c r="H1731" s="856">
        <f>INDEX(神经网络!$G$10:$BO$70,MATCH(ROUND(G1731*2,1)/2,神经网络!$E$10:$E$70,0),MATCH(ROUND(E1731*2,1)/2,神经网络!$G$8:$BO$8,0))</f>
        <v>-6.5486849937294242E-2</v>
      </c>
      <c r="I1731">
        <f t="shared" si="210"/>
        <v>994.07099011235221</v>
      </c>
      <c r="J1731">
        <f t="shared" si="211"/>
        <v>98.122979928973166</v>
      </c>
      <c r="K1731">
        <f t="shared" si="212"/>
        <v>10.130868333105209</v>
      </c>
      <c r="L1731" s="4">
        <f>MIN(MAX(L1730*(1+MAX(MIN(((B1731-B1730)/B1730)/($K$7*卓尔金历!$N$40),0),-卓尔金历!$M$43))+MIN(MAX(((B1731-B1730)/B1730)/($K$7*卓尔金历!$N$40),0),卓尔金历!$M$43),0),1)</f>
        <v>1</v>
      </c>
      <c r="M1731" s="4">
        <f>MIN(MAX(M1730*(1+MAX(MIN(((B1731-B1730)/B1730)/($K$7*30),0),-卓尔金历!$M$43))+MIN(MAX(((B1731-B1730)/B1730)/($K$7*7),0),卓尔金历!$M$43),0),1)</f>
        <v>1</v>
      </c>
      <c r="N1731">
        <f t="shared" si="213"/>
        <v>795.10140619592903</v>
      </c>
      <c r="O1731">
        <f t="shared" si="214"/>
        <v>2063.3680952733253</v>
      </c>
      <c r="P1731">
        <f t="shared" si="215"/>
        <v>5.9871129021830574E-2</v>
      </c>
      <c r="Q1731">
        <f t="shared" si="216"/>
        <v>2.343553774959959E-2</v>
      </c>
      <c r="R1731">
        <f t="shared" si="217"/>
        <v>1.2807196303744643E-3</v>
      </c>
      <c r="S1731">
        <f t="shared" si="209"/>
        <v>16.578286040620764</v>
      </c>
      <c r="T1731" s="564">
        <f>IF((I1731-MAX(I$470:I1731))/MAX(I$470:I1731)&gt;T1730,T1730,(I1731-MAX(I$470:I1731))/MAX(I$470:I1731))</f>
        <v>-0.91338805338419748</v>
      </c>
      <c r="U1731" s="564">
        <f>IF((J1731-MAX(J$470:J1731))/MAX(J$470:J1731)&gt;U1730,U1730,(J1731-MAX(J$470:J1731))/MAX(J$470:J1731))</f>
        <v>-0.8283551177402233</v>
      </c>
      <c r="V1731" s="564">
        <f>IF((K1731-MAX(K$470:K1731))/MAX(K$470:K1731)&gt;V1730,V1730,(K1731-MAX(K$470:K1731))/MAX(K$470:K1731))</f>
        <v>-0.84885940676762139</v>
      </c>
      <c r="W1731" s="564">
        <f>IF((N1731-MAX(N$470:N1731))/MAX(N$470:N1731)&gt;W1730,W1730,(N1731-MAX(N$470:N1731))/MAX(N$470:N1731))</f>
        <v>-0.62788758315546067</v>
      </c>
      <c r="X1731" s="564">
        <f>IF((O1731-MAX(O$470:O1731))/MAX(O$470:O1731)&gt;X1730,X1730,(O1731-MAX(O$470:O1731))/MAX(O$470:O1731))</f>
        <v>-0.62788758315546067</v>
      </c>
    </row>
    <row r="1732" spans="1:24">
      <c r="A1732" s="799">
        <v>42134</v>
      </c>
      <c r="B1732">
        <v>241.203</v>
      </c>
      <c r="C1732">
        <v>438.74876499999999</v>
      </c>
      <c r="D1732">
        <v>0.82457400000000003</v>
      </c>
      <c r="E1732">
        <f>LN(D1732/参数实验室!$E$53)/参数实验室!$E$55</f>
        <v>-0.92052899733353699</v>
      </c>
      <c r="F1732">
        <f t="shared" si="208"/>
        <v>1.8190021061097912</v>
      </c>
      <c r="G1732">
        <f>LN(F1732/参数实验室!$E$58)/参数实验室!$E$59</f>
        <v>0.12348388118713934</v>
      </c>
      <c r="H1732" s="856">
        <f>INDEX(神经网络!$G$10:$BO$70,MATCH(ROUND(G1732*2,1)/2,神经网络!$E$10:$E$70,0),MATCH(ROUND(E1732*2,1)/2,神经网络!$G$8:$BO$8,0))</f>
        <v>-6.5486849937294242E-2</v>
      </c>
      <c r="I1732">
        <f t="shared" si="210"/>
        <v>995.31601305278014</v>
      </c>
      <c r="J1732">
        <f t="shared" si="211"/>
        <v>96.24635888432212</v>
      </c>
      <c r="K1732">
        <f t="shared" si="212"/>
        <v>10.341336800585298</v>
      </c>
      <c r="L1732" s="4">
        <f>MIN(MAX(L1731*(1+MAX(MIN(((B1732-B1731)/B1731)/($K$7*卓尔金历!$N$40),0),-卓尔金历!$M$43))+MIN(MAX(((B1732-B1731)/B1731)/($K$7*卓尔金历!$N$40),0),卓尔金历!$M$43),0),1)</f>
        <v>0.70778538600718188</v>
      </c>
      <c r="M1732" s="4">
        <f>MIN(MAX(M1731*(1+MAX(MIN(((B1732-B1731)/B1731)/($K$7*30),0),-卓尔金历!$M$43))+MIN(MAX(((B1732-B1731)/B1731)/($K$7*7),0),卓尔金历!$M$43),0),1)</f>
        <v>0.85389269300359094</v>
      </c>
      <c r="N1732">
        <f t="shared" si="213"/>
        <v>796.0972299354072</v>
      </c>
      <c r="O1732">
        <f t="shared" si="214"/>
        <v>2065.9523580057808</v>
      </c>
      <c r="P1732">
        <f t="shared" si="215"/>
        <v>-1.9125194179889889E-2</v>
      </c>
      <c r="Q1732">
        <f t="shared" si="216"/>
        <v>2.3981432620718234E-2</v>
      </c>
      <c r="R1732">
        <f t="shared" si="217"/>
        <v>0.25501173282782263</v>
      </c>
      <c r="S1732">
        <f t="shared" si="209"/>
        <v>16.578312632782811</v>
      </c>
      <c r="T1732" s="564">
        <f>IF((I1732-MAX(I$470:I1732))/MAX(I$470:I1732)&gt;T1731,T1731,(I1732-MAX(I$470:I1732))/MAX(I$470:I1732))</f>
        <v>-0.91338805338419748</v>
      </c>
      <c r="U1732" s="564">
        <f>IF((J1732-MAX(J$470:J1732))/MAX(J$470:J1732)&gt;U1731,U1731,(J1732-MAX(J$470:J1732))/MAX(J$470:J1732))</f>
        <v>-0.8283551177402233</v>
      </c>
      <c r="V1732" s="564">
        <f>IF((K1732-MAX(K$470:K1732))/MAX(K$470:K1732)&gt;V1731,V1731,(K1732-MAX(K$470:K1732))/MAX(K$470:K1732))</f>
        <v>-0.84885940676762139</v>
      </c>
      <c r="W1732" s="564">
        <f>IF((N1732-MAX(N$470:N1732))/MAX(N$470:N1732)&gt;W1731,W1731,(N1732-MAX(N$470:N1732))/MAX(N$470:N1732))</f>
        <v>-0.62788758315546067</v>
      </c>
      <c r="X1732" s="564">
        <f>IF((O1732-MAX(O$470:O1732))/MAX(O$470:O1732)&gt;X1731,X1731,(O1732-MAX(O$470:O1732))/MAX(O$470:O1732))</f>
        <v>-0.62788758315546067</v>
      </c>
    </row>
    <row r="1733" spans="1:24">
      <c r="A1733" s="799">
        <v>42135</v>
      </c>
      <c r="B1733">
        <v>240.50700000000001</v>
      </c>
      <c r="C1733">
        <v>433.61030299999999</v>
      </c>
      <c r="D1733">
        <v>0.83050299999999999</v>
      </c>
      <c r="E1733">
        <f>LN(D1733/参数实验室!$E$53)/参数实验室!$E$55</f>
        <v>-0.91207647590418572</v>
      </c>
      <c r="F1733">
        <f t="shared" ref="F1733:F1796" si="218">C1733/B1733</f>
        <v>1.8029009675394063</v>
      </c>
      <c r="G1733">
        <f>LN(F1733/参数实验室!$E$58)/参数实验室!$E$59</f>
        <v>0.1188173822915586</v>
      </c>
      <c r="H1733" s="856">
        <f>INDEX(神经网络!$G$10:$BO$70,MATCH(ROUND(G1733*2,1)/2,神经网络!$E$10:$E$70,0),MATCH(ROUND(E1733*2,1)/2,神经网络!$G$8:$BO$8,0))</f>
        <v>-6.5486849937294242E-2</v>
      </c>
      <c r="I1733">
        <f t="shared" si="210"/>
        <v>995.5040926240514</v>
      </c>
      <c r="J1733">
        <f t="shared" si="211"/>
        <v>95.968636526874292</v>
      </c>
      <c r="K1733">
        <f t="shared" si="212"/>
        <v>10.373223259718589</v>
      </c>
      <c r="L1733" s="4">
        <f>MIN(MAX(L1732*(1+MAX(MIN(((B1733-B1732)/B1732)/($K$7*卓尔金历!$N$40),0),-卓尔金历!$M$43))+MIN(MAX(((B1733-B1732)/B1732)/($K$7*卓尔金历!$N$40),0),卓尔金历!$M$43),0),1)</f>
        <v>0.67658038476256177</v>
      </c>
      <c r="M1733" s="4">
        <f>MIN(MAX(M1732*(1+MAX(MIN(((B1733-B1732)/B1732)/($K$7*30),0),-卓尔金历!$M$43))+MIN(MAX(((B1733-B1732)/B1732)/($K$7*7),0),卓尔金历!$M$43),0),1)</f>
        <v>0.83506938647965645</v>
      </c>
      <c r="N1733">
        <f t="shared" si="213"/>
        <v>796.20370510463022</v>
      </c>
      <c r="O1733">
        <f t="shared" si="214"/>
        <v>2066.285710903258</v>
      </c>
      <c r="P1733">
        <f t="shared" si="215"/>
        <v>-2.8855362495491263E-3</v>
      </c>
      <c r="Q1733">
        <f t="shared" si="216"/>
        <v>2.4008893499255012E-2</v>
      </c>
      <c r="R1733">
        <f t="shared" si="217"/>
        <v>1</v>
      </c>
      <c r="S1733">
        <f t="shared" si="209"/>
        <v>16.579111511998835</v>
      </c>
      <c r="T1733" s="564">
        <f>IF((I1733-MAX(I$470:I1733))/MAX(I$470:I1733)&gt;T1732,T1732,(I1733-MAX(I$470:I1733))/MAX(I$470:I1733))</f>
        <v>-0.91338805338419748</v>
      </c>
      <c r="U1733" s="564">
        <f>IF((J1733-MAX(J$470:J1733))/MAX(J$470:J1733)&gt;U1732,U1732,(J1733-MAX(J$470:J1733))/MAX(J$470:J1733))</f>
        <v>-0.8283551177402233</v>
      </c>
      <c r="V1733" s="564">
        <f>IF((K1733-MAX(K$470:K1733))/MAX(K$470:K1733)&gt;V1732,V1732,(K1733-MAX(K$470:K1733))/MAX(K$470:K1733))</f>
        <v>-0.84885940676762139</v>
      </c>
      <c r="W1733" s="564">
        <f>IF((N1733-MAX(N$470:N1733))/MAX(N$470:N1733)&gt;W1732,W1732,(N1733-MAX(N$470:N1733))/MAX(N$470:N1733))</f>
        <v>-0.62788758315546067</v>
      </c>
      <c r="X1733" s="564">
        <f>IF((O1733-MAX(O$470:O1733))/MAX(O$470:O1733)&gt;X1732,X1732,(O1733-MAX(O$470:O1733))/MAX(O$470:O1733))</f>
        <v>-0.62788758315546067</v>
      </c>
    </row>
    <row r="1734" spans="1:24">
      <c r="A1734" s="799">
        <v>42136</v>
      </c>
      <c r="B1734">
        <v>243.66300000000001</v>
      </c>
      <c r="C1734">
        <v>427.33737300000001</v>
      </c>
      <c r="D1734">
        <v>0.83069400000000004</v>
      </c>
      <c r="E1734">
        <f>LN(D1734/参数实验室!$E$53)/参数实验室!$E$55</f>
        <v>-0.91180518614073003</v>
      </c>
      <c r="F1734">
        <f t="shared" si="218"/>
        <v>1.7538049396092144</v>
      </c>
      <c r="G1734">
        <f>LN(F1734/参数实验室!$E$58)/参数实验室!$E$59</f>
        <v>0.10432650995869046</v>
      </c>
      <c r="H1734" s="856">
        <f>INDEX(神经网络!$G$10:$BO$70,MATCH(ROUND(G1734*2,1)/2,神经网络!$E$10:$E$70,0),MATCH(ROUND(E1734*2,1)/2,神经网络!$G$8:$BO$8,0))</f>
        <v>-6.5486849937294242E-2</v>
      </c>
      <c r="I1734">
        <f t="shared" si="210"/>
        <v>994.64861939454659</v>
      </c>
      <c r="J1734">
        <f t="shared" si="211"/>
        <v>97.227963768404962</v>
      </c>
      <c r="K1734">
        <f t="shared" si="212"/>
        <v>10.230067367900242</v>
      </c>
      <c r="L1734" s="4">
        <f>MIN(MAX(L1733*(1+MAX(MIN(((B1734-B1733)/B1733)/($K$7*卓尔金历!$N$40),0),-卓尔金历!$M$43))+MIN(MAX(((B1734-B1733)/B1733)/($K$7*卓尔金历!$N$40),0),卓尔金历!$M$43),0),1)</f>
        <v>0.87707621820342752</v>
      </c>
      <c r="M1734" s="4">
        <f>MIN(MAX(M1733*(1+MAX(MIN(((B1734-B1733)/B1733)/($K$7*30),0),-卓尔金历!$M$43))+MIN(MAX(((B1734-B1733)/B1733)/($K$7*7),0),卓尔金历!$M$43),0),1)</f>
        <v>1</v>
      </c>
      <c r="N1734">
        <f t="shared" si="213"/>
        <v>795.74078401069607</v>
      </c>
      <c r="O1734">
        <f t="shared" si="214"/>
        <v>2064.8029323048581</v>
      </c>
      <c r="P1734">
        <f t="shared" si="215"/>
        <v>1.3122279185221245E-2</v>
      </c>
      <c r="Q1734">
        <f t="shared" si="216"/>
        <v>2.4076661120914656E-2</v>
      </c>
      <c r="R1734">
        <f t="shared" si="217"/>
        <v>0.645512112676631</v>
      </c>
      <c r="S1734">
        <f t="shared" si="209"/>
        <v>16.564864472561656</v>
      </c>
      <c r="T1734" s="564">
        <f>IF((I1734-MAX(I$470:I1734))/MAX(I$470:I1734)&gt;T1733,T1733,(I1734-MAX(I$470:I1734))/MAX(I$470:I1734))</f>
        <v>-0.91338805338419748</v>
      </c>
      <c r="U1734" s="564">
        <f>IF((J1734-MAX(J$470:J1734))/MAX(J$470:J1734)&gt;U1733,U1733,(J1734-MAX(J$470:J1734))/MAX(J$470:J1734))</f>
        <v>-0.8283551177402233</v>
      </c>
      <c r="V1734" s="564">
        <f>IF((K1734-MAX(K$470:K1734))/MAX(K$470:K1734)&gt;V1733,V1733,(K1734-MAX(K$470:K1734))/MAX(K$470:K1734))</f>
        <v>-0.84885940676762139</v>
      </c>
      <c r="W1734" s="564">
        <f>IF((N1734-MAX(N$470:N1734))/MAX(N$470:N1734)&gt;W1733,W1733,(N1734-MAX(N$470:N1734))/MAX(N$470:N1734))</f>
        <v>-0.62788758315546067</v>
      </c>
      <c r="X1734" s="564">
        <f>IF((O1734-MAX(O$470:O1734))/MAX(O$470:O1734)&gt;X1733,X1733,(O1734-MAX(O$470:O1734))/MAX(O$470:O1734))</f>
        <v>-0.62788758315546067</v>
      </c>
    </row>
    <row r="1735" spans="1:24">
      <c r="A1735" s="799">
        <v>42137</v>
      </c>
      <c r="B1735">
        <v>242.089</v>
      </c>
      <c r="C1735">
        <v>425.942136</v>
      </c>
      <c r="D1735">
        <v>0.81161899999999998</v>
      </c>
      <c r="E1735">
        <f>LN(D1735/参数实验室!$E$53)/参数实验室!$E$55</f>
        <v>-0.93921141764904459</v>
      </c>
      <c r="F1735">
        <f t="shared" si="218"/>
        <v>1.7594444026783538</v>
      </c>
      <c r="G1735">
        <f>LN(F1735/参数实验室!$E$58)/参数实验室!$E$59</f>
        <v>0.10601150139908785</v>
      </c>
      <c r="H1735" s="856">
        <f>INDEX(神经网络!$G$10:$BO$70,MATCH(ROUND(G1735*2,1)/2,神经网络!$E$10:$E$70,0),MATCH(ROUND(E1735*2,1)/2,神经网络!$G$8:$BO$8,0))</f>
        <v>-1.6113682648580298E-2</v>
      </c>
      <c r="I1735">
        <f t="shared" si="210"/>
        <v>995.06938373414243</v>
      </c>
      <c r="J1735">
        <f t="shared" si="211"/>
        <v>96.599896253142205</v>
      </c>
      <c r="K1735">
        <f t="shared" si="212"/>
        <v>10.300936360496088</v>
      </c>
      <c r="L1735" s="4">
        <f>MIN(MAX(L1734*(1+MAX(MIN(((B1735-B1734)/B1734)/($K$7*卓尔金历!$N$40),0),-卓尔金历!$M$43))+MIN(MAX(((B1735-B1734)/B1734)/($K$7*卓尔金历!$N$40),0),卓尔金历!$M$43),0),1)</f>
        <v>0.79050997811494206</v>
      </c>
      <c r="M1735" s="4">
        <f>MIN(MAX(M1734*(1+MAX(MIN(((B1735-B1734)/B1734)/($K$7*30),0),-卓尔金历!$M$43))+MIN(MAX(((B1735-B1734)/B1734)/($K$7*7),0),卓尔金历!$M$43),0),1)</f>
        <v>0.95065067419921334</v>
      </c>
      <c r="N1735">
        <f t="shared" si="213"/>
        <v>796.03602604852085</v>
      </c>
      <c r="O1735">
        <f t="shared" si="214"/>
        <v>2065.6764020159362</v>
      </c>
      <c r="P1735">
        <f t="shared" si="215"/>
        <v>-6.4597415282583413E-3</v>
      </c>
      <c r="Q1735">
        <f t="shared" si="216"/>
        <v>2.2697039344974683E-2</v>
      </c>
      <c r="R1735">
        <f t="shared" si="217"/>
        <v>1</v>
      </c>
      <c r="S1735">
        <f t="shared" si="209"/>
        <v>16.569387836427538</v>
      </c>
      <c r="T1735" s="564">
        <f>IF((I1735-MAX(I$470:I1735))/MAX(I$470:I1735)&gt;T1734,T1734,(I1735-MAX(I$470:I1735))/MAX(I$470:I1735))</f>
        <v>-0.91338805338419748</v>
      </c>
      <c r="U1735" s="564">
        <f>IF((J1735-MAX(J$470:J1735))/MAX(J$470:J1735)&gt;U1734,U1734,(J1735-MAX(J$470:J1735))/MAX(J$470:J1735))</f>
        <v>-0.8283551177402233</v>
      </c>
      <c r="V1735" s="564">
        <f>IF((K1735-MAX(K$470:K1735))/MAX(K$470:K1735)&gt;V1734,V1734,(K1735-MAX(K$470:K1735))/MAX(K$470:K1735))</f>
        <v>-0.84885940676762139</v>
      </c>
      <c r="W1735" s="564">
        <f>IF((N1735-MAX(N$470:N1735))/MAX(N$470:N1735)&gt;W1734,W1734,(N1735-MAX(N$470:N1735))/MAX(N$470:N1735))</f>
        <v>-0.62788758315546067</v>
      </c>
      <c r="X1735" s="564">
        <f>IF((O1735-MAX(O$470:O1735))/MAX(O$470:O1735)&gt;X1734,X1734,(O1735-MAX(O$470:O1735))/MAX(O$470:O1735))</f>
        <v>-0.62788758315546067</v>
      </c>
    </row>
    <row r="1736" spans="1:24">
      <c r="A1736" s="799">
        <v>42138</v>
      </c>
      <c r="B1736">
        <v>242.87299999999999</v>
      </c>
      <c r="C1736">
        <v>424.83072099999998</v>
      </c>
      <c r="D1736">
        <v>0.81336299999999995</v>
      </c>
      <c r="E1736">
        <f>LN(D1736/参数实验室!$E$53)/参数实验室!$E$55</f>
        <v>-0.93667909366334978</v>
      </c>
      <c r="F1736">
        <f t="shared" si="218"/>
        <v>1.7491887570870372</v>
      </c>
      <c r="G1736">
        <f>LN(F1736/参数实验室!$E$58)/参数实验室!$E$59</f>
        <v>0.10294322259217069</v>
      </c>
      <c r="H1736" s="856">
        <f>INDEX(神经网络!$G$10:$BO$70,MATCH(ROUND(G1736*2,1)/2,神经网络!$E$10:$E$70,0),MATCH(ROUND(E1736*2,1)/2,神经网络!$G$8:$BO$8,0))</f>
        <v>-1.6113682648580298E-2</v>
      </c>
      <c r="I1736">
        <f t="shared" si="210"/>
        <v>995.01745721912505</v>
      </c>
      <c r="J1736">
        <f t="shared" si="211"/>
        <v>96.912732931646644</v>
      </c>
      <c r="K1736">
        <f t="shared" si="212"/>
        <v>10.267148878372041</v>
      </c>
      <c r="L1736" s="4">
        <f>MIN(MAX(L1735*(1+MAX(MIN(((B1736-B1735)/B1735)/($K$7*卓尔金历!$N$40),0),-卓尔金历!$M$43))+MIN(MAX(((B1736-B1735)/B1735)/($K$7*卓尔金历!$N$40),0),卓尔金历!$M$43),0),1)</f>
        <v>0.83999082049721252</v>
      </c>
      <c r="M1736" s="4">
        <f>MIN(MAX(M1735*(1+MAX(MIN(((B1736-B1735)/B1735)/($K$7*30),0),-卓尔金历!$M$43))+MIN(MAX(((B1736-B1735)/B1735)/($K$7*7),0),卓尔金历!$M$43),0),1)</f>
        <v>1</v>
      </c>
      <c r="N1736">
        <f t="shared" si="213"/>
        <v>796.00318810954514</v>
      </c>
      <c r="O1736">
        <f t="shared" si="214"/>
        <v>2065.5739267483282</v>
      </c>
      <c r="P1736">
        <f t="shared" si="215"/>
        <v>3.2384784108323459E-3</v>
      </c>
      <c r="Q1736">
        <f t="shared" si="216"/>
        <v>2.2671754798659054E-2</v>
      </c>
      <c r="R1736">
        <f t="shared" si="217"/>
        <v>1</v>
      </c>
      <c r="S1736">
        <f t="shared" si="209"/>
        <v>16.568523182584919</v>
      </c>
      <c r="T1736" s="564">
        <f>IF((I1736-MAX(I$470:I1736))/MAX(I$470:I1736)&gt;T1735,T1735,(I1736-MAX(I$470:I1736))/MAX(I$470:I1736))</f>
        <v>-0.91338805338419748</v>
      </c>
      <c r="U1736" s="564">
        <f>IF((J1736-MAX(J$470:J1736))/MAX(J$470:J1736)&gt;U1735,U1735,(J1736-MAX(J$470:J1736))/MAX(J$470:J1736))</f>
        <v>-0.8283551177402233</v>
      </c>
      <c r="V1736" s="564">
        <f>IF((K1736-MAX(K$470:K1736))/MAX(K$470:K1736)&gt;V1735,V1735,(K1736-MAX(K$470:K1736))/MAX(K$470:K1736))</f>
        <v>-0.84885940676762139</v>
      </c>
      <c r="W1736" s="564">
        <f>IF((N1736-MAX(N$470:N1736))/MAX(N$470:N1736)&gt;W1735,W1735,(N1736-MAX(N$470:N1736))/MAX(N$470:N1736))</f>
        <v>-0.62788758315546067</v>
      </c>
      <c r="X1736" s="564">
        <f>IF((O1736-MAX(O$470:O1736))/MAX(O$470:O1736)&gt;X1735,X1735,(O1736-MAX(O$470:O1736))/MAX(O$470:O1736))</f>
        <v>-0.62788758315546067</v>
      </c>
    </row>
    <row r="1737" spans="1:24">
      <c r="A1737" s="799">
        <v>42139</v>
      </c>
      <c r="B1737">
        <v>236.41800000000001</v>
      </c>
      <c r="C1737">
        <v>417.856044</v>
      </c>
      <c r="D1737">
        <v>0.81536200000000003</v>
      </c>
      <c r="E1737">
        <f>LN(D1737/参数实验室!$E$53)/参数实验室!$E$55</f>
        <v>-0.93378317456237447</v>
      </c>
      <c r="F1737">
        <f t="shared" si="218"/>
        <v>1.7674459812704615</v>
      </c>
      <c r="G1737">
        <f>LN(F1737/参数实验室!$E$58)/参数实验室!$E$59</f>
        <v>0.10839301464354614</v>
      </c>
      <c r="H1737" s="856">
        <f>INDEX(神经网络!$G$10:$BO$70,MATCH(ROUND(G1737*2,1)/2,神经网络!$E$10:$E$70,0),MATCH(ROUND(E1737*2,1)/2,神经网络!$G$8:$BO$8,0))</f>
        <v>-1.6113682648580298E-2</v>
      </c>
      <c r="I1737">
        <f t="shared" si="210"/>
        <v>995.44358761723913</v>
      </c>
      <c r="J1737">
        <f t="shared" si="211"/>
        <v>94.337017676868314</v>
      </c>
      <c r="K1737">
        <f t="shared" si="212"/>
        <v>10.551993396981475</v>
      </c>
      <c r="L1737" s="4">
        <f>MIN(MAX(L1736*(1+MAX(MIN(((B1737-B1736)/B1736)/($K$7*卓尔金历!$N$40),0),-卓尔金历!$M$43))+MIN(MAX(((B1737-B1736)/B1736)/($K$7*卓尔金历!$N$40),0),卓尔金历!$M$43),0),1)</f>
        <v>0.49888617994689116</v>
      </c>
      <c r="M1737" s="4">
        <f>MIN(MAX(M1736*(1+MAX(MIN(((B1737-B1736)/B1736)/($K$7*30),0),-卓尔金历!$M$43))+MIN(MAX(((B1737-B1736)/B1736)/($K$7*7),0),卓尔金历!$M$43),0),1)</f>
        <v>0.7969593046573934</v>
      </c>
      <c r="N1737">
        <f t="shared" si="213"/>
        <v>796.28954073060936</v>
      </c>
      <c r="O1737">
        <f t="shared" si="214"/>
        <v>2066.458538202482</v>
      </c>
      <c r="P1737">
        <f t="shared" si="215"/>
        <v>-2.657767639877625E-2</v>
      </c>
      <c r="Q1737">
        <f t="shared" si="216"/>
        <v>2.3381654718234494E-2</v>
      </c>
      <c r="R1737">
        <f t="shared" si="217"/>
        <v>1.9767051799760918E-2</v>
      </c>
      <c r="S1737">
        <f t="shared" si="209"/>
        <v>16.575618888623776</v>
      </c>
      <c r="T1737" s="564">
        <f>IF((I1737-MAX(I$470:I1737))/MAX(I$470:I1737)&gt;T1736,T1736,(I1737-MAX(I$470:I1737))/MAX(I$470:I1737))</f>
        <v>-0.91338805338419748</v>
      </c>
      <c r="U1737" s="564">
        <f>IF((J1737-MAX(J$470:J1737))/MAX(J$470:J1737)&gt;U1736,U1736,(J1737-MAX(J$470:J1737))/MAX(J$470:J1737))</f>
        <v>-0.8283551177402233</v>
      </c>
      <c r="V1737" s="564">
        <f>IF((K1737-MAX(K$470:K1737))/MAX(K$470:K1737)&gt;V1736,V1736,(K1737-MAX(K$470:K1737))/MAX(K$470:K1737))</f>
        <v>-0.84885940676762139</v>
      </c>
      <c r="W1737" s="564">
        <f>IF((N1737-MAX(N$470:N1737))/MAX(N$470:N1737)&gt;W1736,W1736,(N1737-MAX(N$470:N1737))/MAX(N$470:N1737))</f>
        <v>-0.62788758315546067</v>
      </c>
      <c r="X1737" s="564">
        <f>IF((O1737-MAX(O$470:O1737))/MAX(O$470:O1737)&gt;X1736,X1736,(O1737-MAX(O$470:O1737))/MAX(O$470:O1737))</f>
        <v>-0.62788758315546067</v>
      </c>
    </row>
    <row r="1738" spans="1:24">
      <c r="A1738" s="799">
        <v>42140</v>
      </c>
      <c r="B1738">
        <v>237.49799999999999</v>
      </c>
      <c r="C1738">
        <v>419.91554400000001</v>
      </c>
      <c r="D1738">
        <v>0.80981999999999998</v>
      </c>
      <c r="E1738">
        <f>LN(D1738/参数实验室!$E$53)/参数实验室!$E$55</f>
        <v>-0.94182931071414844</v>
      </c>
      <c r="F1738">
        <f t="shared" si="218"/>
        <v>1.7680803375186318</v>
      </c>
      <c r="G1738">
        <f>LN(F1738/参数实验室!$E$58)/参数实验室!$E$59</f>
        <v>0.10858135686767816</v>
      </c>
      <c r="H1738" s="856">
        <f>INDEX(神经网络!$G$10:$BO$70,MATCH(ROUND(G1738*2,1)/2,神经网络!$E$10:$E$70,0),MATCH(ROUND(E1738*2,1)/2,神经网络!$G$8:$BO$8,0))</f>
        <v>-1.6113682648580298E-2</v>
      </c>
      <c r="I1738">
        <f t="shared" si="210"/>
        <v>995.37031281146858</v>
      </c>
      <c r="J1738">
        <f t="shared" si="211"/>
        <v>94.767966162563212</v>
      </c>
      <c r="K1738">
        <f t="shared" si="212"/>
        <v>10.503235989089697</v>
      </c>
      <c r="L1738" s="4">
        <f>MIN(MAX(L1737*(1+MAX(MIN(((B1738-B1737)/B1737)/($K$7*卓尔金历!$N$40),0),-卓尔金历!$M$43))+MIN(MAX(((B1738-B1737)/B1737)/($K$7*卓尔金历!$N$40),0),卓尔金历!$M$43),0),1)</f>
        <v>0.56868358793414486</v>
      </c>
      <c r="M1738" s="4">
        <f>MIN(MAX(M1737*(1+MAX(MIN(((B1738-B1737)/B1737)/($K$7*30),0),-卓尔金历!$M$43))+MIN(MAX(((B1738-B1737)/B1737)/($K$7*7),0),卓尔金历!$M$43),0),1)</f>
        <v>0.94652517891579424</v>
      </c>
      <c r="N1738">
        <f t="shared" si="213"/>
        <v>796.26029849935719</v>
      </c>
      <c r="O1738">
        <f t="shared" si="214"/>
        <v>2066.337310782053</v>
      </c>
      <c r="P1738">
        <f t="shared" si="215"/>
        <v>4.5681800878105052E-3</v>
      </c>
      <c r="Q1738">
        <f t="shared" si="216"/>
        <v>2.329416571215983E-2</v>
      </c>
      <c r="R1738">
        <f t="shared" si="217"/>
        <v>1</v>
      </c>
      <c r="S1738">
        <f t="shared" si="209"/>
        <v>16.575594770158126</v>
      </c>
      <c r="T1738" s="564">
        <f>IF((I1738-MAX(I$470:I1738))/MAX(I$470:I1738)&gt;T1737,T1737,(I1738-MAX(I$470:I1738))/MAX(I$470:I1738))</f>
        <v>-0.91338805338419748</v>
      </c>
      <c r="U1738" s="564">
        <f>IF((J1738-MAX(J$470:J1738))/MAX(J$470:J1738)&gt;U1737,U1737,(J1738-MAX(J$470:J1738))/MAX(J$470:J1738))</f>
        <v>-0.8283551177402233</v>
      </c>
      <c r="V1738" s="564">
        <f>IF((K1738-MAX(K$470:K1738))/MAX(K$470:K1738)&gt;V1737,V1737,(K1738-MAX(K$470:K1738))/MAX(K$470:K1738))</f>
        <v>-0.84885940676762139</v>
      </c>
      <c r="W1738" s="564">
        <f>IF((N1738-MAX(N$470:N1738))/MAX(N$470:N1738)&gt;W1737,W1737,(N1738-MAX(N$470:N1738))/MAX(N$470:N1738))</f>
        <v>-0.62788758315546067</v>
      </c>
      <c r="X1738" s="564">
        <f>IF((O1738-MAX(O$470:O1738))/MAX(O$470:O1738)&gt;X1737,X1737,(O1738-MAX(O$470:O1738))/MAX(O$470:O1738))</f>
        <v>-0.62788758315546067</v>
      </c>
    </row>
    <row r="1739" spans="1:24">
      <c r="A1739" s="799">
        <v>42141</v>
      </c>
      <c r="B1739">
        <v>237.38399999999999</v>
      </c>
      <c r="C1739">
        <v>407.45554499999997</v>
      </c>
      <c r="D1739">
        <v>0.81389800000000001</v>
      </c>
      <c r="E1739">
        <f>LN(D1739/参数实验室!$E$53)/参数实验室!$E$55</f>
        <v>-0.93590335085593701</v>
      </c>
      <c r="F1739">
        <f t="shared" si="218"/>
        <v>1.7164406404812456</v>
      </c>
      <c r="G1739">
        <f>LN(F1739/参数实验室!$E$58)/参数实验室!$E$59</f>
        <v>9.3023816309699373E-2</v>
      </c>
      <c r="H1739" s="856">
        <f>INDEX(神经网络!$G$10:$BO$70,MATCH(ROUND(G1739*2,1)/2,神经网络!$E$10:$E$70,0),MATCH(ROUND(E1739*2,1)/2,神经网络!$G$8:$BO$8,0))</f>
        <v>-1.6113682648580298E-2</v>
      </c>
      <c r="I1739">
        <f t="shared" si="210"/>
        <v>995.37801163534334</v>
      </c>
      <c r="J1739">
        <f t="shared" si="211"/>
        <v>94.722477155739853</v>
      </c>
      <c r="K1739">
        <f t="shared" si="212"/>
        <v>10.508361283655756</v>
      </c>
      <c r="L1739" s="4">
        <f>MIN(MAX(L1738*(1+MAX(MIN(((B1739-B1738)/B1738)/($K$7*卓尔金历!$N$40),0),-卓尔金历!$M$43))+MIN(MAX(((B1739-B1738)/B1738)/($K$7*卓尔金历!$N$40),0),卓尔金历!$M$43),0),1)</f>
        <v>0.5645128618528078</v>
      </c>
      <c r="M1739" s="4">
        <f>MIN(MAX(M1738*(1+MAX(MIN(((B1739-B1738)/B1738)/($K$7*30),0),-卓尔金历!$M$43))+MIN(MAX(((B1739-B1738)/B1738)/($K$7*7),0),卓尔金历!$M$43),0),1)</f>
        <v>0.94305427054591573</v>
      </c>
      <c r="N1739">
        <f t="shared" si="213"/>
        <v>796.26380089704855</v>
      </c>
      <c r="O1739">
        <f t="shared" si="214"/>
        <v>2066.3524384885427</v>
      </c>
      <c r="P1739">
        <f t="shared" si="215"/>
        <v>-4.8000404213932043E-4</v>
      </c>
      <c r="Q1739">
        <f t="shared" si="216"/>
        <v>2.0419292001974249E-2</v>
      </c>
      <c r="R1739">
        <f t="shared" si="217"/>
        <v>1</v>
      </c>
      <c r="S1739">
        <f t="shared" si="209"/>
        <v>16.5757229762972</v>
      </c>
      <c r="T1739" s="564">
        <f>IF((I1739-MAX(I$470:I1739))/MAX(I$470:I1739)&gt;T1738,T1738,(I1739-MAX(I$470:I1739))/MAX(I$470:I1739))</f>
        <v>-0.91338805338419748</v>
      </c>
      <c r="U1739" s="564">
        <f>IF((J1739-MAX(J$470:J1739))/MAX(J$470:J1739)&gt;U1738,U1738,(J1739-MAX(J$470:J1739))/MAX(J$470:J1739))</f>
        <v>-0.8283551177402233</v>
      </c>
      <c r="V1739" s="564">
        <f>IF((K1739-MAX(K$470:K1739))/MAX(K$470:K1739)&gt;V1738,V1738,(K1739-MAX(K$470:K1739))/MAX(K$470:K1739))</f>
        <v>-0.84885940676762139</v>
      </c>
      <c r="W1739" s="564">
        <f>IF((N1739-MAX(N$470:N1739))/MAX(N$470:N1739)&gt;W1738,W1738,(N1739-MAX(N$470:N1739))/MAX(N$470:N1739))</f>
        <v>-0.62788758315546067</v>
      </c>
      <c r="X1739" s="564">
        <f>IF((O1739-MAX(O$470:O1739))/MAX(O$470:O1739)&gt;X1738,X1738,(O1739-MAX(O$470:O1739))/MAX(O$470:O1739))</f>
        <v>-0.62788758315546067</v>
      </c>
    </row>
    <row r="1740" spans="1:24">
      <c r="A1740" s="799">
        <v>42142</v>
      </c>
      <c r="B1740">
        <v>237.37799999999999</v>
      </c>
      <c r="C1740">
        <v>408.35087499999997</v>
      </c>
      <c r="D1740">
        <v>0.80026600000000003</v>
      </c>
      <c r="E1740">
        <f>LN(D1740/参数实验室!$E$53)/参数实验室!$E$55</f>
        <v>-0.95583041970565485</v>
      </c>
      <c r="F1740">
        <f t="shared" si="218"/>
        <v>1.7202557734920676</v>
      </c>
      <c r="G1740">
        <f>LN(F1740/参数实验室!$E$58)/参数实验室!$E$59</f>
        <v>9.4189114937786658E-2</v>
      </c>
      <c r="H1740" s="856">
        <f>INDEX(神经网络!$G$10:$BO$70,MATCH(ROUND(G1740*2,1)/2,神经网络!$E$10:$E$70,0),MATCH(ROUND(E1740*2,1)/2,神经网络!$G$8:$BO$8,0))</f>
        <v>-1.6113682648580298E-2</v>
      </c>
      <c r="I1740">
        <f t="shared" si="210"/>
        <v>995.37841703432719</v>
      </c>
      <c r="J1740">
        <f t="shared" si="211"/>
        <v>94.720082997485989</v>
      </c>
      <c r="K1740">
        <f t="shared" si="212"/>
        <v>10.508631174454798</v>
      </c>
      <c r="L1740" s="4">
        <f>MIN(MAX(L1739*(1+MAX(MIN(((B1740-B1739)/B1739)/($K$7*卓尔金历!$N$40),0),-卓尔金历!$M$43))+MIN(MAX(((B1740-B1739)/B1739)/($K$7*卓尔金历!$N$40),0),卓尔金历!$M$43),0),1)</f>
        <v>0.5642948552102377</v>
      </c>
      <c r="M1740" s="4">
        <f>MIN(MAX(M1739*(1+MAX(MIN(((B1740-B1739)/B1739)/($K$7*30),0),-卓尔金历!$M$43))+MIN(MAX(((B1740-B1739)/B1739)/($K$7*7),0),卓尔金历!$M$43),0),1)</f>
        <v>0.94287217363619402</v>
      </c>
      <c r="N1740">
        <f t="shared" si="213"/>
        <v>796.26398397052435</v>
      </c>
      <c r="O1740">
        <f t="shared" si="214"/>
        <v>2066.3532321507419</v>
      </c>
      <c r="P1740">
        <f t="shared" si="215"/>
        <v>-2.5275502982510312E-5</v>
      </c>
      <c r="Q1740">
        <f t="shared" si="216"/>
        <v>2.0419047914768302E-2</v>
      </c>
      <c r="R1740">
        <f t="shared" si="217"/>
        <v>1</v>
      </c>
      <c r="S1740">
        <f t="shared" si="209"/>
        <v>16.575729727281423</v>
      </c>
      <c r="T1740" s="564">
        <f>IF((I1740-MAX(I$470:I1740))/MAX(I$470:I1740)&gt;T1739,T1739,(I1740-MAX(I$470:I1740))/MAX(I$470:I1740))</f>
        <v>-0.91338805338419748</v>
      </c>
      <c r="U1740" s="564">
        <f>IF((J1740-MAX(J$470:J1740))/MAX(J$470:J1740)&gt;U1739,U1739,(J1740-MAX(J$470:J1740))/MAX(J$470:J1740))</f>
        <v>-0.8283551177402233</v>
      </c>
      <c r="V1740" s="564">
        <f>IF((K1740-MAX(K$470:K1740))/MAX(K$470:K1740)&gt;V1739,V1739,(K1740-MAX(K$470:K1740))/MAX(K$470:K1740))</f>
        <v>-0.84885940676762139</v>
      </c>
      <c r="W1740" s="564">
        <f>IF((N1740-MAX(N$470:N1740))/MAX(N$470:N1740)&gt;W1739,W1739,(N1740-MAX(N$470:N1740))/MAX(N$470:N1740))</f>
        <v>-0.62788758315546067</v>
      </c>
      <c r="X1740" s="564">
        <f>IF((O1740-MAX(O$470:O1740))/MAX(O$470:O1740)&gt;X1739,X1739,(O1740-MAX(O$470:O1740))/MAX(O$470:O1740))</f>
        <v>-0.62788758315546067</v>
      </c>
    </row>
    <row r="1741" spans="1:24">
      <c r="A1741" s="799">
        <v>42143</v>
      </c>
      <c r="B1741">
        <v>236.75800000000001</v>
      </c>
      <c r="C1741">
        <v>412.89808900000003</v>
      </c>
      <c r="D1741">
        <v>0.79745600000000005</v>
      </c>
      <c r="E1741">
        <f>LN(D1741/参数实验室!$E$53)/参数实验室!$E$55</f>
        <v>-0.95998021551954682</v>
      </c>
      <c r="F1741">
        <f t="shared" si="218"/>
        <v>1.7439667888730266</v>
      </c>
      <c r="G1741">
        <f>LN(F1741/参数实验室!$E$58)/参数实验室!$E$59</f>
        <v>0.10137399778349993</v>
      </c>
      <c r="H1741" s="856">
        <f>INDEX(神经网络!$G$10:$BO$70,MATCH(ROUND(G1741*2,1)/2,神经网络!$E$10:$E$70,0),MATCH(ROUND(E1741*2,1)/2,神经网络!$G$8:$BO$8,0))</f>
        <v>-1.6113682648580298E-2</v>
      </c>
      <c r="I1741">
        <f t="shared" si="210"/>
        <v>995.42030933856313</v>
      </c>
      <c r="J1741">
        <f t="shared" si="211"/>
        <v>94.472686644587085</v>
      </c>
      <c r="K1741">
        <f t="shared" si="212"/>
        <v>10.536593640904959</v>
      </c>
      <c r="L1741" s="4">
        <f>MIN(MAX(L1740*(1+MAX(MIN(((B1741-B1740)/B1740)/($K$7*卓尔金历!$N$40),0),-卓尔金历!$M$43))+MIN(MAX(((B1741-B1740)/B1740)/($K$7*卓尔金历!$N$40),0),卓尔金历!$M$43),0),1)</f>
        <v>0.54177563269552953</v>
      </c>
      <c r="M1741" s="4">
        <f>MIN(MAX(M1740*(1+MAX(MIN(((B1741-B1740)/B1740)/($K$7*30),0),-卓尔金历!$M$43))+MIN(MAX(((B1741-B1740)/B1740)/($K$7*7),0),卓尔金历!$M$43),0),1)</f>
        <v>0.92405865080766381</v>
      </c>
      <c r="N1741">
        <f t="shared" si="213"/>
        <v>796.28289473964708</v>
      </c>
      <c r="O1741">
        <f t="shared" si="214"/>
        <v>2066.4352301794952</v>
      </c>
      <c r="P1741">
        <f t="shared" si="215"/>
        <v>-2.611867991136399E-3</v>
      </c>
      <c r="Q1741">
        <f t="shared" si="216"/>
        <v>2.0111172568944222E-2</v>
      </c>
      <c r="R1741">
        <f t="shared" si="217"/>
        <v>1</v>
      </c>
      <c r="S1741">
        <f t="shared" si="209"/>
        <v>16.576427346901042</v>
      </c>
      <c r="T1741" s="564">
        <f>IF((I1741-MAX(I$470:I1741))/MAX(I$470:I1741)&gt;T1740,T1740,(I1741-MAX(I$470:I1741))/MAX(I$470:I1741))</f>
        <v>-0.91338805338419748</v>
      </c>
      <c r="U1741" s="564">
        <f>IF((J1741-MAX(J$470:J1741))/MAX(J$470:J1741)&gt;U1740,U1740,(J1741-MAX(J$470:J1741))/MAX(J$470:J1741))</f>
        <v>-0.8283551177402233</v>
      </c>
      <c r="V1741" s="564">
        <f>IF((K1741-MAX(K$470:K1741))/MAX(K$470:K1741)&gt;V1740,V1740,(K1741-MAX(K$470:K1741))/MAX(K$470:K1741))</f>
        <v>-0.84885940676762139</v>
      </c>
      <c r="W1741" s="564">
        <f>IF((N1741-MAX(N$470:N1741))/MAX(N$470:N1741)&gt;W1740,W1740,(N1741-MAX(N$470:N1741))/MAX(N$470:N1741))</f>
        <v>-0.62788758315546067</v>
      </c>
      <c r="X1741" s="564">
        <f>IF((O1741-MAX(O$470:O1741))/MAX(O$470:O1741)&gt;X1740,X1740,(O1741-MAX(O$470:O1741))/MAX(O$470:O1741))</f>
        <v>-0.62788758315546067</v>
      </c>
    </row>
    <row r="1742" spans="1:24">
      <c r="A1742" s="799">
        <v>42144</v>
      </c>
      <c r="B1742">
        <v>233.33199999999999</v>
      </c>
      <c r="C1742">
        <v>415.81624499999998</v>
      </c>
      <c r="D1742">
        <v>0.80520000000000003</v>
      </c>
      <c r="E1742">
        <f>LN(D1742/参数实验室!$E$53)/参数实验室!$E$55</f>
        <v>-0.94857904118782221</v>
      </c>
      <c r="F1742">
        <f t="shared" si="218"/>
        <v>1.7820798047417414</v>
      </c>
      <c r="G1742">
        <f>LN(F1742/参数实验室!$E$58)/参数实验室!$E$59</f>
        <v>0.11272072791807106</v>
      </c>
      <c r="H1742" s="856">
        <f>INDEX(神经网络!$G$10:$BO$70,MATCH(ROUND(G1742*2,1)/2,神经网络!$E$10:$E$70,0),MATCH(ROUND(E1742*2,1)/2,神经网络!$G$8:$BO$8,0))</f>
        <v>-1.6113682648580298E-2</v>
      </c>
      <c r="I1742">
        <f t="shared" si="210"/>
        <v>995.65241407313476</v>
      </c>
      <c r="J1742">
        <f t="shared" si="211"/>
        <v>93.105622281632691</v>
      </c>
      <c r="K1742">
        <f t="shared" si="212"/>
        <v>10.693794742721472</v>
      </c>
      <c r="L1742" s="4">
        <f>MIN(MAX(L1741*(1+MAX(MIN(((B1742-B1741)/B1741)/($K$7*卓尔金历!$N$40),0),-卓尔金历!$M$43))+MIN(MAX(((B1742-B1741)/B1741)/($K$7*卓尔金历!$N$40),0),卓尔金历!$M$43),0),1)</f>
        <v>0.42199178967922346</v>
      </c>
      <c r="M1742" s="4">
        <f>MIN(MAX(M1741*(1+MAX(MIN(((B1742-B1741)/B1741)/($K$7*30),0),-卓尔金历!$M$43))+MIN(MAX(((B1742-B1741)/B1741)/($K$7*7),0),卓尔金历!$M$43),0),1)</f>
        <v>0.82190631164145256</v>
      </c>
      <c r="N1742">
        <f t="shared" si="213"/>
        <v>796.38348695128366</v>
      </c>
      <c r="O1742">
        <f t="shared" si="214"/>
        <v>2066.880474959672</v>
      </c>
      <c r="P1742">
        <f t="shared" si="215"/>
        <v>-1.447047195870896E-2</v>
      </c>
      <c r="Q1742">
        <f t="shared" si="216"/>
        <v>2.0427449820649649E-2</v>
      </c>
      <c r="R1742">
        <f t="shared" si="217"/>
        <v>0.37181430920079067</v>
      </c>
      <c r="S1742">
        <f t="shared" si="209"/>
        <v>16.580292515446835</v>
      </c>
      <c r="T1742" s="564">
        <f>IF((I1742-MAX(I$470:I1742))/MAX(I$470:I1742)&gt;T1741,T1741,(I1742-MAX(I$470:I1742))/MAX(I$470:I1742))</f>
        <v>-0.91338805338419748</v>
      </c>
      <c r="U1742" s="564">
        <f>IF((J1742-MAX(J$470:J1742))/MAX(J$470:J1742)&gt;U1741,U1741,(J1742-MAX(J$470:J1742))/MAX(J$470:J1742))</f>
        <v>-0.8283551177402233</v>
      </c>
      <c r="V1742" s="564">
        <f>IF((K1742-MAX(K$470:K1742))/MAX(K$470:K1742)&gt;V1741,V1741,(K1742-MAX(K$470:K1742))/MAX(K$470:K1742))</f>
        <v>-0.84885940676762139</v>
      </c>
      <c r="W1742" s="564">
        <f>IF((N1742-MAX(N$470:N1742))/MAX(N$470:N1742)&gt;W1741,W1741,(N1742-MAX(N$470:N1742))/MAX(N$470:N1742))</f>
        <v>-0.62788758315546067</v>
      </c>
      <c r="X1742" s="564">
        <f>IF((O1742-MAX(O$470:O1742))/MAX(O$470:O1742)&gt;X1741,X1741,(O1742-MAX(O$470:O1742))/MAX(O$470:O1742))</f>
        <v>-0.62788758315546067</v>
      </c>
    </row>
    <row r="1743" spans="1:24">
      <c r="A1743" s="799">
        <v>42145</v>
      </c>
      <c r="B1743">
        <v>234.654</v>
      </c>
      <c r="C1743">
        <v>415.60791499999999</v>
      </c>
      <c r="D1743">
        <v>0.81004500000000002</v>
      </c>
      <c r="E1743">
        <f>LN(D1743/参数实验室!$E$53)/参数实验室!$E$55</f>
        <v>-0.94150157416622493</v>
      </c>
      <c r="F1743">
        <f t="shared" si="218"/>
        <v>1.7711520579235811</v>
      </c>
      <c r="G1743">
        <f>LN(F1743/参数实验室!$E$58)/参数实验室!$E$59</f>
        <v>0.1094924048568601</v>
      </c>
      <c r="H1743" s="856">
        <f>INDEX(神经网络!$G$10:$BO$70,MATCH(ROUND(G1743*2,1)/2,神经网络!$E$10:$E$70,0),MATCH(ROUND(E1743*2,1)/2,神经网络!$G$8:$BO$8,0))</f>
        <v>-1.6113682648580298E-2</v>
      </c>
      <c r="I1743">
        <f t="shared" si="210"/>
        <v>995.56151494686026</v>
      </c>
      <c r="J1743">
        <f t="shared" si="211"/>
        <v>93.633135150233301</v>
      </c>
      <c r="K1743">
        <f t="shared" si="212"/>
        <v>10.632576954189274</v>
      </c>
      <c r="L1743" s="4">
        <f>MIN(MAX(L1742*(1+MAX(MIN(((B1743-B1742)/B1742)/($K$7*卓尔金历!$N$40),0),-卓尔金历!$M$43))+MIN(MAX(((B1743-B1742)/B1742)/($K$7*卓尔金历!$N$40),0),卓尔金历!$M$43),0),1)</f>
        <v>0.50855896165522108</v>
      </c>
      <c r="M1743" s="4">
        <f>MIN(MAX(M1742*(1+MAX(MIN(((B1743-B1742)/B1742)/($K$7*30),0),-卓尔金历!$M$43))+MIN(MAX(((B1743-B1742)/B1742)/($K$7*7),0),卓尔金历!$M$43),0),1)</f>
        <v>1</v>
      </c>
      <c r="N1743">
        <f t="shared" si="213"/>
        <v>796.35280533703258</v>
      </c>
      <c r="O1743">
        <f t="shared" si="214"/>
        <v>2066.7253828741759</v>
      </c>
      <c r="P1743">
        <f t="shared" si="215"/>
        <v>5.6657466614095054E-3</v>
      </c>
      <c r="Q1743">
        <f t="shared" si="216"/>
        <v>1.8373767230591528E-2</v>
      </c>
      <c r="R1743">
        <f t="shared" si="217"/>
        <v>1</v>
      </c>
      <c r="S1743">
        <f t="shared" si="209"/>
        <v>16.579729694509055</v>
      </c>
      <c r="T1743" s="564">
        <f>IF((I1743-MAX(I$470:I1743))/MAX(I$470:I1743)&gt;T1742,T1742,(I1743-MAX(I$470:I1743))/MAX(I$470:I1743))</f>
        <v>-0.91338805338419748</v>
      </c>
      <c r="U1743" s="564">
        <f>IF((J1743-MAX(J$470:J1743))/MAX(J$470:J1743)&gt;U1742,U1742,(J1743-MAX(J$470:J1743))/MAX(J$470:J1743))</f>
        <v>-0.8283551177402233</v>
      </c>
      <c r="V1743" s="564">
        <f>IF((K1743-MAX(K$470:K1743))/MAX(K$470:K1743)&gt;V1742,V1742,(K1743-MAX(K$470:K1743))/MAX(K$470:K1743))</f>
        <v>-0.84885940676762139</v>
      </c>
      <c r="W1743" s="564">
        <f>IF((N1743-MAX(N$470:N1743))/MAX(N$470:N1743)&gt;W1742,W1742,(N1743-MAX(N$470:N1743))/MAX(N$470:N1743))</f>
        <v>-0.62788758315546067</v>
      </c>
      <c r="X1743" s="564">
        <f>IF((O1743-MAX(O$470:O1743))/MAX(O$470:O1743)&gt;X1742,X1742,(O1743-MAX(O$470:O1743))/MAX(O$470:O1743))</f>
        <v>-0.62788758315546067</v>
      </c>
    </row>
    <row r="1744" spans="1:24">
      <c r="A1744" s="799">
        <v>42146</v>
      </c>
      <c r="B1744">
        <v>236.18600000000001</v>
      </c>
      <c r="C1744">
        <v>419.98547000000002</v>
      </c>
      <c r="D1744">
        <v>0.82662500000000005</v>
      </c>
      <c r="E1744">
        <f>LN(D1744/参数实验室!$E$53)/参数实验室!$E$55</f>
        <v>-0.91759818748225752</v>
      </c>
      <c r="F1744">
        <f t="shared" si="218"/>
        <v>1.7781979880263861</v>
      </c>
      <c r="G1744">
        <f>LN(F1744/参数实验室!$E$58)/参数实验室!$E$59</f>
        <v>0.11157621722341025</v>
      </c>
      <c r="H1744" s="856">
        <f>INDEX(神经网络!$G$10:$BO$70,MATCH(ROUND(G1744*2,1)/2,神经网络!$E$10:$E$70,0),MATCH(ROUND(E1744*2,1)/2,神经网络!$G$8:$BO$8,0))</f>
        <v>-6.5486849937294242E-2</v>
      </c>
      <c r="I1744">
        <f t="shared" si="210"/>
        <v>995.45677949527044</v>
      </c>
      <c r="J1744">
        <f t="shared" si="211"/>
        <v>94.244443557719038</v>
      </c>
      <c r="K1744">
        <f t="shared" si="212"/>
        <v>10.562498349153213</v>
      </c>
      <c r="L1744" s="4">
        <f>MIN(MAX(L1743*(1+MAX(MIN(((B1744-B1743)/B1743)/($K$7*卓尔金历!$N$40),0),-卓尔金历!$M$43))+MIN(MAX(((B1744-B1743)/B1743)/($K$7*卓尔金历!$N$40),0),卓尔金历!$M$43),0),1)</f>
        <v>0.60831217212501498</v>
      </c>
      <c r="M1744" s="4">
        <f>MIN(MAX(M1743*(1+MAX(MIN(((B1744-B1743)/B1743)/($K$7*30),0),-卓尔金历!$M$43))+MIN(MAX(((B1744-B1743)/B1743)/($K$7*7),0),卓尔金历!$M$43),0),1)</f>
        <v>1</v>
      </c>
      <c r="N1744">
        <f t="shared" si="213"/>
        <v>796.31019917293554</v>
      </c>
      <c r="O1744">
        <f t="shared" si="214"/>
        <v>2066.5079584227105</v>
      </c>
      <c r="P1744">
        <f t="shared" si="215"/>
        <v>6.5287614956489586E-3</v>
      </c>
      <c r="Q1744">
        <f t="shared" si="216"/>
        <v>1.8404542139887747E-2</v>
      </c>
      <c r="R1744">
        <f t="shared" si="217"/>
        <v>1</v>
      </c>
      <c r="S1744">
        <f t="shared" si="209"/>
        <v>16.577985467305894</v>
      </c>
      <c r="T1744" s="564">
        <f>IF((I1744-MAX(I$470:I1744))/MAX(I$470:I1744)&gt;T1743,T1743,(I1744-MAX(I$470:I1744))/MAX(I$470:I1744))</f>
        <v>-0.91338805338419748</v>
      </c>
      <c r="U1744" s="564">
        <f>IF((J1744-MAX(J$470:J1744))/MAX(J$470:J1744)&gt;U1743,U1743,(J1744-MAX(J$470:J1744))/MAX(J$470:J1744))</f>
        <v>-0.8283551177402233</v>
      </c>
      <c r="V1744" s="564">
        <f>IF((K1744-MAX(K$470:K1744))/MAX(K$470:K1744)&gt;V1743,V1743,(K1744-MAX(K$470:K1744))/MAX(K$470:K1744))</f>
        <v>-0.84885940676762139</v>
      </c>
      <c r="W1744" s="564">
        <f>IF((N1744-MAX(N$470:N1744))/MAX(N$470:N1744)&gt;W1743,W1743,(N1744-MAX(N$470:N1744))/MAX(N$470:N1744))</f>
        <v>-0.62788758315546067</v>
      </c>
      <c r="X1744" s="564">
        <f>IF((O1744-MAX(O$470:O1744))/MAX(O$470:O1744)&gt;X1743,X1743,(O1744-MAX(O$470:O1744))/MAX(O$470:O1744))</f>
        <v>-0.62788758315546067</v>
      </c>
    </row>
    <row r="1745" spans="1:24">
      <c r="A1745" s="799">
        <v>42147</v>
      </c>
      <c r="B1745">
        <v>236.846</v>
      </c>
      <c r="C1745">
        <v>425.54281600000002</v>
      </c>
      <c r="D1745">
        <v>0.82219799999999998</v>
      </c>
      <c r="E1745">
        <f>LN(D1745/参数实验室!$E$53)/参数实验室!$E$55</f>
        <v>-0.92393334918404468</v>
      </c>
      <c r="F1745">
        <f t="shared" si="218"/>
        <v>1.7967067883772578</v>
      </c>
      <c r="G1745">
        <f>LN(F1745/参数实验室!$E$58)/参数实验室!$E$59</f>
        <v>0.11701105037642003</v>
      </c>
      <c r="H1745" s="856">
        <f>INDEX(神经网络!$G$10:$BO$70,MATCH(ROUND(G1745*2,1)/2,神经网络!$E$10:$E$70,0),MATCH(ROUND(E1745*2,1)/2,神经网络!$G$8:$BO$8,0))</f>
        <v>-6.5486849937294242E-2</v>
      </c>
      <c r="I1745">
        <f t="shared" si="210"/>
        <v>995.2746139267482</v>
      </c>
      <c r="J1745">
        <f t="shared" si="211"/>
        <v>94.50780096564371</v>
      </c>
      <c r="K1745">
        <f t="shared" si="212"/>
        <v>10.531137152250098</v>
      </c>
      <c r="L1745" s="4">
        <f>MIN(MAX(L1744*(1+MAX(MIN(((B1745-B1744)/B1744)/($K$7*卓尔金历!$N$40),0),-卓尔金历!$M$43))+MIN(MAX(((B1745-B1744)/B1744)/($K$7*卓尔金历!$N$40),0),卓尔金历!$M$43),0),1)</f>
        <v>0.65100804167435267</v>
      </c>
      <c r="M1745" s="4">
        <f>MIN(MAX(M1744*(1+MAX(MIN(((B1745-B1744)/B1744)/($K$7*30),0),-卓尔金历!$M$43))+MIN(MAX(((B1745-B1744)/B1744)/($K$7*7),0),卓尔金历!$M$43),0),1)</f>
        <v>1</v>
      </c>
      <c r="N1745">
        <f t="shared" si="213"/>
        <v>796.22155449433933</v>
      </c>
      <c r="O1745">
        <f t="shared" si="214"/>
        <v>2066.1297937400686</v>
      </c>
      <c r="P1745">
        <f t="shared" si="215"/>
        <v>2.79440779724453E-3</v>
      </c>
      <c r="Q1745">
        <f t="shared" si="216"/>
        <v>1.8406953168502414E-2</v>
      </c>
      <c r="R1745">
        <f t="shared" si="217"/>
        <v>1</v>
      </c>
      <c r="S1745">
        <f t="shared" si="209"/>
        <v>16.574951746294786</v>
      </c>
      <c r="T1745" s="564">
        <f>IF((I1745-MAX(I$470:I1745))/MAX(I$470:I1745)&gt;T1744,T1744,(I1745-MAX(I$470:I1745))/MAX(I$470:I1745))</f>
        <v>-0.91338805338419748</v>
      </c>
      <c r="U1745" s="564">
        <f>IF((J1745-MAX(J$470:J1745))/MAX(J$470:J1745)&gt;U1744,U1744,(J1745-MAX(J$470:J1745))/MAX(J$470:J1745))</f>
        <v>-0.8283551177402233</v>
      </c>
      <c r="V1745" s="564">
        <f>IF((K1745-MAX(K$470:K1745))/MAX(K$470:K1745)&gt;V1744,V1744,(K1745-MAX(K$470:K1745))/MAX(K$470:K1745))</f>
        <v>-0.84885940676762139</v>
      </c>
      <c r="W1745" s="564">
        <f>IF((N1745-MAX(N$470:N1745))/MAX(N$470:N1745)&gt;W1744,W1744,(N1745-MAX(N$470:N1745))/MAX(N$470:N1745))</f>
        <v>-0.62788758315546067</v>
      </c>
      <c r="X1745" s="564">
        <f>IF((O1745-MAX(O$470:O1745))/MAX(O$470:O1745)&gt;X1744,X1744,(O1745-MAX(O$470:O1745))/MAX(O$470:O1745))</f>
        <v>-0.62788758315546067</v>
      </c>
    </row>
    <row r="1746" spans="1:24">
      <c r="A1746" s="799">
        <v>42148</v>
      </c>
      <c r="B1746">
        <v>240.20099999999999</v>
      </c>
      <c r="C1746">
        <v>419.43730499999998</v>
      </c>
      <c r="D1746">
        <v>0.82826900000000003</v>
      </c>
      <c r="E1746">
        <f>LN(D1746/参数实验室!$E$53)/参数实验室!$E$55</f>
        <v>-0.91525421261605866</v>
      </c>
      <c r="F1746">
        <f t="shared" si="218"/>
        <v>1.7461930008617783</v>
      </c>
      <c r="G1746">
        <f>LN(F1746/参数实验室!$E$58)/参数实验室!$E$59</f>
        <v>0.10204355825746568</v>
      </c>
      <c r="H1746" s="856">
        <f>INDEX(神经网络!$G$10:$BO$70,MATCH(ROUND(G1746*2,1)/2,神经网络!$E$10:$E$70,0),MATCH(ROUND(E1746*2,1)/2,神经网络!$G$8:$BO$8,0))</f>
        <v>-6.5486849937294242E-2</v>
      </c>
      <c r="I1746">
        <f t="shared" si="210"/>
        <v>994.35135503863819</v>
      </c>
      <c r="J1746">
        <f t="shared" si="211"/>
        <v>95.846534455927411</v>
      </c>
      <c r="K1746">
        <f t="shared" si="212"/>
        <v>10.37441114259447</v>
      </c>
      <c r="L1746" s="4">
        <f>MIN(MAX(L1745*(1+MAX(MIN(((B1746-B1745)/B1745)/($K$7*卓尔金历!$N$40),0),-卓尔金历!$M$43))+MIN(MAX(((B1746-B1745)/B1745)/($K$7*卓尔金历!$N$40),0),卓尔金历!$M$43),0),1)</f>
        <v>0.86744057778367178</v>
      </c>
      <c r="M1746" s="4">
        <f>MIN(MAX(M1745*(1+MAX(MIN(((B1746-B1745)/B1745)/($K$7*30),0),-卓尔金历!$M$43))+MIN(MAX(((B1746-B1745)/B1745)/($K$7*7),0),卓尔金历!$M$43),0),1)</f>
        <v>1</v>
      </c>
      <c r="N1746">
        <f t="shared" si="213"/>
        <v>795.74071420048995</v>
      </c>
      <c r="O1746">
        <f t="shared" si="214"/>
        <v>2064.2131642296126</v>
      </c>
      <c r="P1746">
        <f t="shared" si="215"/>
        <v>1.4165322614694737E-2</v>
      </c>
      <c r="Q1746">
        <f t="shared" si="216"/>
        <v>1.7475445225883238E-2</v>
      </c>
      <c r="R1746">
        <f t="shared" si="217"/>
        <v>0.23227226787151703</v>
      </c>
      <c r="S1746">
        <f t="shared" si="209"/>
        <v>16.559576118999939</v>
      </c>
      <c r="T1746" s="564">
        <f>IF((I1746-MAX(I$470:I1746))/MAX(I$470:I1746)&gt;T1745,T1745,(I1746-MAX(I$470:I1746))/MAX(I$470:I1746))</f>
        <v>-0.91338805338419748</v>
      </c>
      <c r="U1746" s="564">
        <f>IF((J1746-MAX(J$470:J1746))/MAX(J$470:J1746)&gt;U1745,U1745,(J1746-MAX(J$470:J1746))/MAX(J$470:J1746))</f>
        <v>-0.8283551177402233</v>
      </c>
      <c r="V1746" s="564">
        <f>IF((K1746-MAX(K$470:K1746))/MAX(K$470:K1746)&gt;V1745,V1745,(K1746-MAX(K$470:K1746))/MAX(K$470:K1746))</f>
        <v>-0.84885940676762139</v>
      </c>
      <c r="W1746" s="564">
        <f>IF((N1746-MAX(N$470:N1746))/MAX(N$470:N1746)&gt;W1745,W1745,(N1746-MAX(N$470:N1746))/MAX(N$470:N1746))</f>
        <v>-0.62788758315546067</v>
      </c>
      <c r="X1746" s="564">
        <f>IF((O1746-MAX(O$470:O1746))/MAX(O$470:O1746)&gt;X1745,X1745,(O1746-MAX(O$470:O1746))/MAX(O$470:O1746))</f>
        <v>-0.62788758315546067</v>
      </c>
    </row>
    <row r="1747" spans="1:24">
      <c r="A1747" s="799">
        <v>42149</v>
      </c>
      <c r="B1747">
        <v>241.613</v>
      </c>
      <c r="C1747">
        <v>426.23746299999999</v>
      </c>
      <c r="D1747">
        <v>0.81597799999999998</v>
      </c>
      <c r="E1747">
        <f>LN(D1747/参数实验室!$E$53)/参数实验室!$E$55</f>
        <v>-0.93289221616887341</v>
      </c>
      <c r="F1747">
        <f t="shared" si="218"/>
        <v>1.7641329853939978</v>
      </c>
      <c r="G1747">
        <f>LN(F1747/参数实验室!$E$58)/参数实验室!$E$59</f>
        <v>0.10740827676455617</v>
      </c>
      <c r="H1747" s="856">
        <f>INDEX(神经网络!$G$10:$BO$70,MATCH(ROUND(G1747*2,1)/2,神经网络!$E$10:$E$70,0),MATCH(ROUND(E1747*2,1)/2,神经网络!$G$8:$BO$8,0))</f>
        <v>-1.6113682648580298E-2</v>
      </c>
      <c r="I1747">
        <f t="shared" si="210"/>
        <v>993.96857096855956</v>
      </c>
      <c r="J1747">
        <f t="shared" si="211"/>
        <v>96.409959698335939</v>
      </c>
      <c r="K1747">
        <f t="shared" si="212"/>
        <v>10.309812119812719</v>
      </c>
      <c r="L1747" s="4">
        <f>MIN(MAX(L1746*(1+MAX(MIN(((B1747-B1746)/B1746)/($K$7*卓尔金历!$N$40),0),-卓尔金历!$M$43))+MIN(MAX(((B1747-B1746)/B1746)/($K$7*卓尔金历!$N$40),0),卓尔金历!$M$43),0),1)</f>
        <v>0.95725704401388911</v>
      </c>
      <c r="M1747" s="4">
        <f>MIN(MAX(M1746*(1+MAX(MIN(((B1747-B1746)/B1746)/($K$7*30),0),-卓尔金历!$M$43))+MIN(MAX(((B1747-B1746)/B1746)/($K$7*7),0),卓尔金历!$M$43),0),1)</f>
        <v>1</v>
      </c>
      <c r="N1747">
        <f t="shared" si="213"/>
        <v>795.47499355459797</v>
      </c>
      <c r="O1747">
        <f t="shared" si="214"/>
        <v>2063.4185276934327</v>
      </c>
      <c r="P1747">
        <f t="shared" si="215"/>
        <v>5.878410164820322E-3</v>
      </c>
      <c r="Q1747">
        <f t="shared" si="216"/>
        <v>1.7523156303724106E-2</v>
      </c>
      <c r="R1747">
        <f t="shared" si="217"/>
        <v>1</v>
      </c>
      <c r="S1747">
        <f t="shared" si="209"/>
        <v>16.558095441209641</v>
      </c>
      <c r="T1747" s="564">
        <f>IF((I1747-MAX(I$470:I1747))/MAX(I$470:I1747)&gt;T1746,T1746,(I1747-MAX(I$470:I1747))/MAX(I$470:I1747))</f>
        <v>-0.91338805338419748</v>
      </c>
      <c r="U1747" s="564">
        <f>IF((J1747-MAX(J$470:J1747))/MAX(J$470:J1747)&gt;U1746,U1746,(J1747-MAX(J$470:J1747))/MAX(J$470:J1747))</f>
        <v>-0.8283551177402233</v>
      </c>
      <c r="V1747" s="564">
        <f>IF((K1747-MAX(K$470:K1747))/MAX(K$470:K1747)&gt;V1746,V1746,(K1747-MAX(K$470:K1747))/MAX(K$470:K1747))</f>
        <v>-0.84885940676762139</v>
      </c>
      <c r="W1747" s="564">
        <f>IF((N1747-MAX(N$470:N1747))/MAX(N$470:N1747)&gt;W1746,W1746,(N1747-MAX(N$470:N1747))/MAX(N$470:N1747))</f>
        <v>-0.62788758315546067</v>
      </c>
      <c r="X1747" s="564">
        <f>IF((O1747-MAX(O$470:O1747))/MAX(O$470:O1747)&gt;X1746,X1746,(O1747-MAX(O$470:O1747))/MAX(O$470:O1747))</f>
        <v>-0.62788758315546067</v>
      </c>
    </row>
    <row r="1748" spans="1:24">
      <c r="A1748" s="799">
        <v>42150</v>
      </c>
      <c r="B1748">
        <v>237.31299999999999</v>
      </c>
      <c r="C1748">
        <v>426.58628199999998</v>
      </c>
      <c r="D1748">
        <v>0.81552800000000003</v>
      </c>
      <c r="E1748">
        <f>LN(D1748/参数实验室!$E$53)/参数实验室!$E$55</f>
        <v>-0.93354301239426274</v>
      </c>
      <c r="F1748">
        <f t="shared" si="218"/>
        <v>1.7975681146839828</v>
      </c>
      <c r="G1748">
        <f>LN(F1748/参数实验室!$E$58)/参数实验室!$E$59</f>
        <v>0.11726260075325166</v>
      </c>
      <c r="H1748" s="856">
        <f>INDEX(神经网络!$G$10:$BO$70,MATCH(ROUND(G1748*2,1)/2,神经网络!$E$10:$E$70,0),MATCH(ROUND(E1748*2,1)/2,神经网络!$G$8:$BO$8,0))</f>
        <v>-1.6113682648580298E-2</v>
      </c>
      <c r="I1748">
        <f t="shared" si="210"/>
        <v>994.25361740519816</v>
      </c>
      <c r="J1748">
        <f t="shared" si="211"/>
        <v>94.694146283069188</v>
      </c>
      <c r="K1748">
        <f t="shared" si="212"/>
        <v>10.499631248937776</v>
      </c>
      <c r="L1748" s="4">
        <f>MIN(MAX(L1747*(1+MAX(MIN(((B1748-B1747)/B1747)/($K$7*卓尔金历!$N$40),0),-卓尔金历!$M$43))+MIN(MAX(((B1748-B1747)/B1747)/($K$7*卓尔金历!$N$40),0),卓尔金历!$M$43),0),1)</f>
        <v>0.69695785980953828</v>
      </c>
      <c r="M1748" s="4">
        <f>MIN(MAX(M1747*(1+MAX(MIN(((B1748-B1747)/B1747)/($K$7*30),0),-卓尔金历!$M$43))+MIN(MAX(((B1748-B1747)/B1747)/($K$7*7),0),卓尔金历!$M$43),0),1)</f>
        <v>0.86403903432620022</v>
      </c>
      <c r="N1748">
        <f t="shared" si="213"/>
        <v>795.69336611515564</v>
      </c>
      <c r="O1748">
        <f t="shared" si="214"/>
        <v>2064.0102668246204</v>
      </c>
      <c r="P1748">
        <f t="shared" si="215"/>
        <v>-1.7797055622007139E-2</v>
      </c>
      <c r="Q1748">
        <f t="shared" si="216"/>
        <v>1.6782572342390872E-2</v>
      </c>
      <c r="R1748">
        <f t="shared" si="217"/>
        <v>1.6494686482963858E-2</v>
      </c>
      <c r="S1748">
        <f t="shared" si="209"/>
        <v>16.562843907349208</v>
      </c>
      <c r="T1748" s="564">
        <f>IF((I1748-MAX(I$470:I1748))/MAX(I$470:I1748)&gt;T1747,T1747,(I1748-MAX(I$470:I1748))/MAX(I$470:I1748))</f>
        <v>-0.91338805338419748</v>
      </c>
      <c r="U1748" s="564">
        <f>IF((J1748-MAX(J$470:J1748))/MAX(J$470:J1748)&gt;U1747,U1747,(J1748-MAX(J$470:J1748))/MAX(J$470:J1748))</f>
        <v>-0.8283551177402233</v>
      </c>
      <c r="V1748" s="564">
        <f>IF((K1748-MAX(K$470:K1748))/MAX(K$470:K1748)&gt;V1747,V1747,(K1748-MAX(K$470:K1748))/MAX(K$470:K1748))</f>
        <v>-0.84885940676762139</v>
      </c>
      <c r="W1748" s="564">
        <f>IF((N1748-MAX(N$470:N1748))/MAX(N$470:N1748)&gt;W1747,W1747,(N1748-MAX(N$470:N1748))/MAX(N$470:N1748))</f>
        <v>-0.62788758315546067</v>
      </c>
      <c r="X1748" s="564">
        <f>IF((O1748-MAX(O$470:O1748))/MAX(O$470:O1748)&gt;X1747,X1747,(O1748-MAX(O$470:O1748))/MAX(O$470:O1748))</f>
        <v>-0.62788758315546067</v>
      </c>
    </row>
    <row r="1749" spans="1:24">
      <c r="A1749" s="799">
        <v>42151</v>
      </c>
      <c r="B1749">
        <v>237.48400000000001</v>
      </c>
      <c r="C1749">
        <v>426.62358399999999</v>
      </c>
      <c r="D1749">
        <v>0.81731799999999999</v>
      </c>
      <c r="E1749">
        <f>LN(D1749/参数实验室!$E$53)/参数实验室!$E$55</f>
        <v>-0.93095641310363919</v>
      </c>
      <c r="F1749">
        <f t="shared" si="218"/>
        <v>1.796430850078321</v>
      </c>
      <c r="G1749">
        <f>LN(F1749/参数实验室!$E$58)/参数实验室!$E$59</f>
        <v>0.11693043708146979</v>
      </c>
      <c r="H1749" s="856">
        <f>INDEX(神经网络!$G$10:$BO$70,MATCH(ROUND(G1749*2,1)/2,神经网络!$E$10:$E$70,0),MATCH(ROUND(E1749*2,1)/2,神经网络!$G$8:$BO$8,0))</f>
        <v>-1.6113682648580298E-2</v>
      </c>
      <c r="I1749">
        <f t="shared" si="210"/>
        <v>994.24207313277327</v>
      </c>
      <c r="J1749">
        <f t="shared" si="211"/>
        <v>94.76237979330422</v>
      </c>
      <c r="K1749">
        <f t="shared" si="212"/>
        <v>10.491949181747176</v>
      </c>
      <c r="L1749" s="4">
        <f>MIN(MAX(L1748*(1+MAX(MIN(((B1749-B1748)/B1748)/($K$7*卓尔金历!$N$40),0),-卓尔金历!$M$43))+MIN(MAX(((B1749-B1748)/B1748)/($K$7*卓尔金历!$N$40),0),卓尔金历!$M$43),0),1)</f>
        <v>0.70796743747100654</v>
      </c>
      <c r="M1749" s="4">
        <f>MIN(MAX(M1748*(1+MAX(MIN(((B1749-B1748)/B1748)/($K$7*30),0),-卓尔金历!$M$43))+MIN(MAX(((B1749-B1748)/B1748)/($K$7*7),0),卓尔金历!$M$43),0),1)</f>
        <v>0.88763098645791794</v>
      </c>
      <c r="N1749">
        <f t="shared" si="213"/>
        <v>795.68692706742434</v>
      </c>
      <c r="O1749">
        <f t="shared" si="214"/>
        <v>2063.9895599476504</v>
      </c>
      <c r="P1749">
        <f t="shared" si="215"/>
        <v>7.2056735197827636E-4</v>
      </c>
      <c r="Q1749">
        <f t="shared" si="216"/>
        <v>1.6777112590095782E-2</v>
      </c>
      <c r="R1749">
        <f t="shared" si="217"/>
        <v>1</v>
      </c>
      <c r="S1749">
        <f t="shared" si="209"/>
        <v>16.562840735238314</v>
      </c>
      <c r="T1749" s="564">
        <f>IF((I1749-MAX(I$470:I1749))/MAX(I$470:I1749)&gt;T1748,T1748,(I1749-MAX(I$470:I1749))/MAX(I$470:I1749))</f>
        <v>-0.91338805338419748</v>
      </c>
      <c r="U1749" s="564">
        <f>IF((J1749-MAX(J$470:J1749))/MAX(J$470:J1749)&gt;U1748,U1748,(J1749-MAX(J$470:J1749))/MAX(J$470:J1749))</f>
        <v>-0.8283551177402233</v>
      </c>
      <c r="V1749" s="564">
        <f>IF((K1749-MAX(K$470:K1749))/MAX(K$470:K1749)&gt;V1748,V1748,(K1749-MAX(K$470:K1749))/MAX(K$470:K1749))</f>
        <v>-0.84885940676762139</v>
      </c>
      <c r="W1749" s="564">
        <f>IF((N1749-MAX(N$470:N1749))/MAX(N$470:N1749)&gt;W1748,W1748,(N1749-MAX(N$470:N1749))/MAX(N$470:N1749))</f>
        <v>-0.62788758315546067</v>
      </c>
      <c r="X1749" s="564">
        <f>IF((O1749-MAX(O$470:O1749))/MAX(O$470:O1749)&gt;X1748,X1748,(O1749-MAX(O$470:O1749))/MAX(O$470:O1749))</f>
        <v>-0.62788758315546067</v>
      </c>
    </row>
    <row r="1750" spans="1:24">
      <c r="A1750" s="799">
        <v>42152</v>
      </c>
      <c r="B1750">
        <v>236.773</v>
      </c>
      <c r="C1750">
        <v>433.24694</v>
      </c>
      <c r="D1750">
        <v>0.81693400000000005</v>
      </c>
      <c r="E1750">
        <f>LN(D1750/参数实验室!$E$53)/参数实验室!$E$55</f>
        <v>-0.93151082607547264</v>
      </c>
      <c r="F1750">
        <f t="shared" si="218"/>
        <v>1.8297987523915311</v>
      </c>
      <c r="G1750">
        <f>LN(F1750/参数实验室!$E$58)/参数实验室!$E$59</f>
        <v>0.12658993175583519</v>
      </c>
      <c r="H1750" s="856">
        <f>INDEX(神经网络!$G$10:$BO$70,MATCH(ROUND(G1750*2,1)/2,神经网络!$E$10:$E$70,0),MATCH(ROUND(E1750*2,1)/2,神经网络!$G$8:$BO$8,0))</f>
        <v>-2.996477770490634E-2</v>
      </c>
      <c r="I1750">
        <f t="shared" si="210"/>
        <v>994.29003788317027</v>
      </c>
      <c r="J1750">
        <f t="shared" si="211"/>
        <v>94.478672040221738</v>
      </c>
      <c r="K1750">
        <f t="shared" si="212"/>
        <v>10.523962884024007</v>
      </c>
      <c r="L1750" s="4">
        <f>MIN(MAX(L1749*(1+MAX(MIN(((B1750-B1749)/B1749)/($K$7*卓尔金历!$N$40),0),-卓尔金历!$M$43))+MIN(MAX(((B1750-B1749)/B1749)/($K$7*卓尔金历!$N$40),0),卓尔金历!$M$43),0),1)</f>
        <v>0.67558238485705813</v>
      </c>
      <c r="M1750" s="4">
        <f>MIN(MAX(M1749*(1+MAX(MIN(((B1750-B1749)/B1749)/($K$7*30),0),-卓尔金历!$M$43))+MIN(MAX(((B1750-B1749)/B1749)/($K$7*7),0),卓尔金历!$M$43),0),1)</f>
        <v>0.86732922208518304</v>
      </c>
      <c r="N1750">
        <f t="shared" si="213"/>
        <v>795.71410306890141</v>
      </c>
      <c r="O1750">
        <f t="shared" si="214"/>
        <v>2064.0779432048344</v>
      </c>
      <c r="P1750">
        <f t="shared" si="215"/>
        <v>-2.9938859038925263E-3</v>
      </c>
      <c r="Q1750">
        <f t="shared" si="216"/>
        <v>1.6794460289979125E-2</v>
      </c>
      <c r="R1750">
        <f t="shared" si="217"/>
        <v>1</v>
      </c>
      <c r="S1750">
        <f t="shared" si="209"/>
        <v>16.563639768535335</v>
      </c>
      <c r="T1750" s="564">
        <f>IF((I1750-MAX(I$470:I1750))/MAX(I$470:I1750)&gt;T1749,T1749,(I1750-MAX(I$470:I1750))/MAX(I$470:I1750))</f>
        <v>-0.91338805338419748</v>
      </c>
      <c r="U1750" s="564">
        <f>IF((J1750-MAX(J$470:J1750))/MAX(J$470:J1750)&gt;U1749,U1749,(J1750-MAX(J$470:J1750))/MAX(J$470:J1750))</f>
        <v>-0.8283551177402233</v>
      </c>
      <c r="V1750" s="564">
        <f>IF((K1750-MAX(K$470:K1750))/MAX(K$470:K1750)&gt;V1749,V1749,(K1750-MAX(K$470:K1750))/MAX(K$470:K1750))</f>
        <v>-0.84885940676762139</v>
      </c>
      <c r="W1750" s="564">
        <f>IF((N1750-MAX(N$470:N1750))/MAX(N$470:N1750)&gt;W1749,W1749,(N1750-MAX(N$470:N1750))/MAX(N$470:N1750))</f>
        <v>-0.62788758315546067</v>
      </c>
      <c r="X1750" s="564">
        <f>IF((O1750-MAX(O$470:O1750))/MAX(O$470:O1750)&gt;X1749,X1749,(O1750-MAX(O$470:O1750))/MAX(O$470:O1750))</f>
        <v>-0.62788758315546067</v>
      </c>
    </row>
    <row r="1751" spans="1:24">
      <c r="A1751" s="799">
        <v>42153</v>
      </c>
      <c r="B1751">
        <v>237.40600000000001</v>
      </c>
      <c r="C1751">
        <v>425.53674799999999</v>
      </c>
      <c r="D1751">
        <v>0.81601000000000001</v>
      </c>
      <c r="E1751">
        <f>LN(D1751/参数实验室!$E$53)/参数实验室!$E$55</f>
        <v>-0.93284595099558543</v>
      </c>
      <c r="F1751">
        <f t="shared" si="218"/>
        <v>1.7924431059029677</v>
      </c>
      <c r="G1751">
        <f>LN(F1751/参数实验室!$E$58)/参数实验室!$E$59</f>
        <v>0.11576406314901236</v>
      </c>
      <c r="H1751" s="856">
        <f>INDEX(神经网络!$G$10:$BO$70,MATCH(ROUND(G1751*2,1)/2,神经网络!$E$10:$E$70,0),MATCH(ROUND(E1751*2,1)/2,神经网络!$G$8:$BO$8,0))</f>
        <v>-1.6113682648580298E-2</v>
      </c>
      <c r="I1751">
        <f t="shared" si="210"/>
        <v>994.21038606723562</v>
      </c>
      <c r="J1751">
        <f t="shared" si="211"/>
        <v>94.73125573600403</v>
      </c>
      <c r="K1751">
        <f t="shared" si="212"/>
        <v>10.495061828778979</v>
      </c>
      <c r="L1751" s="4">
        <f>MIN(MAX(L1750*(1+MAX(MIN(((B1751-B1750)/B1750)/($K$7*卓尔金历!$N$40),0),-卓尔金历!$M$43))+MIN(MAX(((B1751-B1750)/B1750)/($K$7*卓尔金历!$N$40),0),卓尔金历!$M$43),0),1)</f>
        <v>0.71643008520862606</v>
      </c>
      <c r="M1751" s="4">
        <f>MIN(MAX(M1750*(1+MAX(MIN(((B1751-B1750)/B1750)/($K$7*30),0),-卓尔金历!$M$43))+MIN(MAX(((B1751-B1750)/B1750)/($K$7*7),0),卓尔金历!$M$43),0),1)</f>
        <v>0.95486000855282871</v>
      </c>
      <c r="N1751">
        <f t="shared" si="213"/>
        <v>795.67103871199993</v>
      </c>
      <c r="O1751">
        <f t="shared" si="214"/>
        <v>2063.9345288362192</v>
      </c>
      <c r="P1751">
        <f t="shared" si="215"/>
        <v>2.6734467190093879E-3</v>
      </c>
      <c r="Q1751">
        <f t="shared" si="216"/>
        <v>1.6541670851595722E-2</v>
      </c>
      <c r="R1751">
        <f t="shared" si="217"/>
        <v>1</v>
      </c>
      <c r="S1751">
        <f t="shared" ref="S1751:S1814" si="219">S1750*(1+(B1751-B1750)/B1750*H1750*R1750)</f>
        <v>16.56231286799748</v>
      </c>
      <c r="T1751" s="564">
        <f>IF((I1751-MAX(I$470:I1751))/MAX(I$470:I1751)&gt;T1750,T1750,(I1751-MAX(I$470:I1751))/MAX(I$470:I1751))</f>
        <v>-0.91338805338419748</v>
      </c>
      <c r="U1751" s="564">
        <f>IF((J1751-MAX(J$470:J1751))/MAX(J$470:J1751)&gt;U1750,U1750,(J1751-MAX(J$470:J1751))/MAX(J$470:J1751))</f>
        <v>-0.8283551177402233</v>
      </c>
      <c r="V1751" s="564">
        <f>IF((K1751-MAX(K$470:K1751))/MAX(K$470:K1751)&gt;V1750,V1750,(K1751-MAX(K$470:K1751))/MAX(K$470:K1751))</f>
        <v>-0.84885940676762139</v>
      </c>
      <c r="W1751" s="564">
        <f>IF((N1751-MAX(N$470:N1751))/MAX(N$470:N1751)&gt;W1750,W1750,(N1751-MAX(N$470:N1751))/MAX(N$470:N1751))</f>
        <v>-0.62788758315546067</v>
      </c>
      <c r="X1751" s="564">
        <f>IF((O1751-MAX(O$470:O1751))/MAX(O$470:O1751)&gt;X1750,X1750,(O1751-MAX(O$470:O1751))/MAX(O$470:O1751))</f>
        <v>-0.62788758315546067</v>
      </c>
    </row>
    <row r="1752" spans="1:24">
      <c r="A1752" s="799">
        <v>42154</v>
      </c>
      <c r="B1752">
        <v>237.09399999999999</v>
      </c>
      <c r="C1752">
        <v>425.27367099999998</v>
      </c>
      <c r="D1752">
        <v>0.80519399999999997</v>
      </c>
      <c r="E1752">
        <f>LN(D1752/参数实验室!$E$53)/参数实验室!$E$55</f>
        <v>-0.94858783222835497</v>
      </c>
      <c r="F1752">
        <f t="shared" si="218"/>
        <v>1.7936922528617341</v>
      </c>
      <c r="G1752">
        <f>LN(F1752/参数实验室!$E$58)/参数实验室!$E$59</f>
        <v>0.11612970459454508</v>
      </c>
      <c r="H1752" s="856">
        <f>INDEX(神经网络!$G$10:$BO$70,MATCH(ROUND(G1752*2,1)/2,神经网络!$E$10:$E$70,0),MATCH(ROUND(E1752*2,1)/2,神经网络!$G$8:$BO$8,0))</f>
        <v>-1.6113682648580298E-2</v>
      </c>
      <c r="I1752">
        <f t="shared" ref="I1752:I1815" si="220">I1751*(1+(B1752-B1751)/B1751*H1751)</f>
        <v>994.23144013445312</v>
      </c>
      <c r="J1752">
        <f t="shared" ref="J1752:J1815" si="221">J1751*B1752/B1751</f>
        <v>94.606759506803272</v>
      </c>
      <c r="K1752">
        <f t="shared" ref="K1752:K1815" si="222">I1752/J1752</f>
        <v>10.509095177950334</v>
      </c>
      <c r="L1752" s="4">
        <f>MIN(MAX(L1751*(1+MAX(MIN(((B1752-B1751)/B1751)/($K$7*卓尔金历!$N$40),0),-卓尔金历!$M$43))+MIN(MAX(((B1752-B1751)/B1751)/($K$7*卓尔金历!$N$40),0),卓尔金历!$M$43),0),1)</f>
        <v>0.70204432567017505</v>
      </c>
      <c r="M1752" s="4">
        <f>MIN(MAX(M1751*(1+MAX(MIN(((B1752-B1751)/B1751)/($K$7*30),0),-卓尔金历!$M$43))+MIN(MAX(((B1752-B1751)/B1751)/($K$7*7),0),卓尔金历!$M$43),0),1)</f>
        <v>0.94527331840711526</v>
      </c>
      <c r="N1752">
        <f t="shared" ref="N1752:N1815" si="223">N1751*(1+(B1752-B1751)/B1751*H1751*L1751)</f>
        <v>795.68311031863436</v>
      </c>
      <c r="O1752">
        <f t="shared" ref="O1752:O1815" si="224">O1751*(1+(B1752-B1751)/B1751*H1751*M1751)</f>
        <v>2063.9762631551639</v>
      </c>
      <c r="P1752">
        <f t="shared" ref="P1752:P1815" si="225">(B1752-B1751)/B1751</f>
        <v>-1.3142043587778397E-3</v>
      </c>
      <c r="Q1752">
        <f t="shared" si="216"/>
        <v>1.0083961382030066E-2</v>
      </c>
      <c r="R1752">
        <f t="shared" si="217"/>
        <v>1</v>
      </c>
      <c r="S1752">
        <f t="shared" si="219"/>
        <v>16.562663602664195</v>
      </c>
      <c r="T1752" s="564">
        <f>IF((I1752-MAX(I$470:I1752))/MAX(I$470:I1752)&gt;T1751,T1751,(I1752-MAX(I$470:I1752))/MAX(I$470:I1752))</f>
        <v>-0.91338805338419748</v>
      </c>
      <c r="U1752" s="564">
        <f>IF((J1752-MAX(J$470:J1752))/MAX(J$470:J1752)&gt;U1751,U1751,(J1752-MAX(J$470:J1752))/MAX(J$470:J1752))</f>
        <v>-0.8283551177402233</v>
      </c>
      <c r="V1752" s="564">
        <f>IF((K1752-MAX(K$470:K1752))/MAX(K$470:K1752)&gt;V1751,V1751,(K1752-MAX(K$470:K1752))/MAX(K$470:K1752))</f>
        <v>-0.84885940676762139</v>
      </c>
      <c r="W1752" s="564">
        <f>IF((N1752-MAX(N$470:N1752))/MAX(N$470:N1752)&gt;W1751,W1751,(N1752-MAX(N$470:N1752))/MAX(N$470:N1752))</f>
        <v>-0.62788758315546067</v>
      </c>
      <c r="X1752" s="564">
        <f>IF((O1752-MAX(O$470:O1752))/MAX(O$470:O1752)&gt;X1751,X1751,(O1752-MAX(O$470:O1752))/MAX(O$470:O1752))</f>
        <v>-0.62788758315546067</v>
      </c>
    </row>
    <row r="1753" spans="1:24">
      <c r="A1753" s="799">
        <v>42155</v>
      </c>
      <c r="B1753">
        <v>232.60300000000001</v>
      </c>
      <c r="C1753">
        <v>425.63089500000001</v>
      </c>
      <c r="D1753">
        <v>0.79414399999999996</v>
      </c>
      <c r="E1753">
        <f>LN(D1753/参数实验室!$E$53)/参数实验室!$E$55</f>
        <v>-0.96489017830413104</v>
      </c>
      <c r="F1753">
        <f t="shared" si="218"/>
        <v>1.8298598685313603</v>
      </c>
      <c r="G1753">
        <f>LN(F1753/参数实验室!$E$58)/参数实验室!$E$59</f>
        <v>0.12660746183522925</v>
      </c>
      <c r="H1753" s="856">
        <f>INDEX(神经网络!$G$10:$BO$70,MATCH(ROUND(G1753*2,1)/2,神经网络!$E$10:$E$70,0),MATCH(ROUND(E1753*2,1)/2,神经网络!$G$8:$BO$8,0))</f>
        <v>-2.996477770490634E-2</v>
      </c>
      <c r="I1753">
        <f t="shared" si="220"/>
        <v>994.5349024658741</v>
      </c>
      <c r="J1753">
        <f t="shared" si="221"/>
        <v>92.814732053788632</v>
      </c>
      <c r="K1753">
        <f t="shared" si="222"/>
        <v>10.715269876440676</v>
      </c>
      <c r="L1753" s="4">
        <f>MIN(MAX(L1752*(1+MAX(MIN(((B1753-B1752)/B1752)/($K$7*卓尔金历!$N$40),0),-卓尔金历!$M$43))+MIN(MAX(((B1753-B1752)/B1752)/($K$7*卓尔金历!$N$40),0),卓尔金历!$M$43),0),1)</f>
        <v>0.49886332107371284</v>
      </c>
      <c r="M1753" s="4">
        <f>MIN(MAX(M1752*(1+MAX(MIN(((B1753-B1752)/B1752)/($K$7*30),0),-卓尔金历!$M$43))+MIN(MAX(((B1753-B1752)/B1752)/($K$7*7),0),卓尔金历!$M$43),0),1)</f>
        <v>0.8084859565344541</v>
      </c>
      <c r="N1753">
        <f t="shared" si="223"/>
        <v>795.85360937141115</v>
      </c>
      <c r="O1753">
        <f t="shared" si="224"/>
        <v>2064.5717599049358</v>
      </c>
      <c r="P1753">
        <f t="shared" si="225"/>
        <v>-1.8941854285641921E-2</v>
      </c>
      <c r="Q1753">
        <f t="shared" si="216"/>
        <v>1.006892643794877E-2</v>
      </c>
      <c r="R1753">
        <f t="shared" si="217"/>
        <v>3.7117055642826098E-3</v>
      </c>
      <c r="S1753">
        <f t="shared" si="219"/>
        <v>16.56771890901291</v>
      </c>
      <c r="T1753" s="564">
        <f>IF((I1753-MAX(I$470:I1753))/MAX(I$470:I1753)&gt;T1752,T1752,(I1753-MAX(I$470:I1753))/MAX(I$470:I1753))</f>
        <v>-0.91338805338419748</v>
      </c>
      <c r="U1753" s="564">
        <f>IF((J1753-MAX(J$470:J1753))/MAX(J$470:J1753)&gt;U1752,U1752,(J1753-MAX(J$470:J1753))/MAX(J$470:J1753))</f>
        <v>-0.8283551177402233</v>
      </c>
      <c r="V1753" s="564">
        <f>IF((K1753-MAX(K$470:K1753))/MAX(K$470:K1753)&gt;V1752,V1752,(K1753-MAX(K$470:K1753))/MAX(K$470:K1753))</f>
        <v>-0.84885940676762139</v>
      </c>
      <c r="W1753" s="564">
        <f>IF((N1753-MAX(N$470:N1753))/MAX(N$470:N1753)&gt;W1752,W1752,(N1753-MAX(N$470:N1753))/MAX(N$470:N1753))</f>
        <v>-0.62788758315546067</v>
      </c>
      <c r="X1753" s="564">
        <f>IF((O1753-MAX(O$470:O1753))/MAX(O$470:O1753)&gt;X1752,X1752,(O1753-MAX(O$470:O1753))/MAX(O$470:O1753))</f>
        <v>-0.62788758315546067</v>
      </c>
    </row>
    <row r="1754" spans="1:24">
      <c r="A1754" s="799">
        <v>42156</v>
      </c>
      <c r="B1754">
        <v>231.89500000000001</v>
      </c>
      <c r="C1754">
        <v>430.42076300000002</v>
      </c>
      <c r="D1754">
        <v>0.77376500000000004</v>
      </c>
      <c r="E1754">
        <f>LN(D1754/参数实验室!$E$53)/参数实验室!$E$55</f>
        <v>-0.99555974569066741</v>
      </c>
      <c r="F1754">
        <f t="shared" si="218"/>
        <v>1.8561019556264688</v>
      </c>
      <c r="G1754">
        <f>LN(F1754/参数实验室!$E$58)/参数实验室!$E$59</f>
        <v>0.13408095118895391</v>
      </c>
      <c r="H1754" s="856">
        <f>INDEX(神经网络!$G$10:$BO$70,MATCH(ROUND(G1754*2,1)/2,神经网络!$E$10:$E$70,0),MATCH(ROUND(E1754*2,1)/2,神经网络!$G$8:$BO$8,0))</f>
        <v>-3.6945941366045107E-2</v>
      </c>
      <c r="I1754">
        <f t="shared" si="220"/>
        <v>994.62561118514554</v>
      </c>
      <c r="J1754">
        <f t="shared" si="221"/>
        <v>92.532221379833089</v>
      </c>
      <c r="K1754">
        <f t="shared" si="222"/>
        <v>10.748965023787044</v>
      </c>
      <c r="L1754" s="4">
        <f>MIN(MAX(L1753*(1+MAX(MIN(((B1754-B1753)/B1753)/($K$7*卓尔金历!$N$40),0),-卓尔金历!$M$43))+MIN(MAX(((B1754-B1753)/B1753)/($K$7*卓尔金历!$N$40),0),卓尔金历!$M$43),0),1)</f>
        <v>0.47566291437876879</v>
      </c>
      <c r="M1754" s="4">
        <f>MIN(MAX(M1753*(1+MAX(MIN(((B1754-B1753)/B1753)/($K$7*30),0),-卓尔金历!$M$43))+MIN(MAX(((B1754-B1753)/B1753)/($K$7*7),0),卓尔金历!$M$43),0),1)</f>
        <v>0.78968601453994269</v>
      </c>
      <c r="N1754">
        <f t="shared" si="223"/>
        <v>795.88982064252536</v>
      </c>
      <c r="O1754">
        <f t="shared" si="224"/>
        <v>2064.72400084932</v>
      </c>
      <c r="P1754">
        <f t="shared" si="225"/>
        <v>-3.0438128485015172E-3</v>
      </c>
      <c r="Q1754">
        <f t="shared" si="216"/>
        <v>1.0069887981003299E-2</v>
      </c>
      <c r="R1754">
        <f t="shared" si="217"/>
        <v>1</v>
      </c>
      <c r="S1754">
        <f t="shared" si="219"/>
        <v>16.567724517752055</v>
      </c>
      <c r="T1754" s="564">
        <f>IF((I1754-MAX(I$470:I1754))/MAX(I$470:I1754)&gt;T1753,T1753,(I1754-MAX(I$470:I1754))/MAX(I$470:I1754))</f>
        <v>-0.91338805338419748</v>
      </c>
      <c r="U1754" s="564">
        <f>IF((J1754-MAX(J$470:J1754))/MAX(J$470:J1754)&gt;U1753,U1753,(J1754-MAX(J$470:J1754))/MAX(J$470:J1754))</f>
        <v>-0.8283551177402233</v>
      </c>
      <c r="V1754" s="564">
        <f>IF((K1754-MAX(K$470:K1754))/MAX(K$470:K1754)&gt;V1753,V1753,(K1754-MAX(K$470:K1754))/MAX(K$470:K1754))</f>
        <v>-0.84885940676762139</v>
      </c>
      <c r="W1754" s="564">
        <f>IF((N1754-MAX(N$470:N1754))/MAX(N$470:N1754)&gt;W1753,W1753,(N1754-MAX(N$470:N1754))/MAX(N$470:N1754))</f>
        <v>-0.62788758315546067</v>
      </c>
      <c r="X1754" s="564">
        <f>IF((O1754-MAX(O$470:O1754))/MAX(O$470:O1754)&gt;X1753,X1753,(O1754-MAX(O$470:O1754))/MAX(O$470:O1754))</f>
        <v>-0.62788758315546067</v>
      </c>
    </row>
    <row r="1755" spans="1:24">
      <c r="A1755" s="799">
        <v>42157</v>
      </c>
      <c r="B1755">
        <v>222.59700000000001</v>
      </c>
      <c r="C1755">
        <v>428.09459199999998</v>
      </c>
      <c r="D1755">
        <v>0.781412</v>
      </c>
      <c r="E1755">
        <f>LN(D1755/参数实验室!$E$53)/参数实验室!$E$55</f>
        <v>-0.98395766339915203</v>
      </c>
      <c r="F1755">
        <f t="shared" si="218"/>
        <v>1.9231822171907076</v>
      </c>
      <c r="G1755">
        <f>LN(F1755/参数实验室!$E$58)/参数实验室!$E$59</f>
        <v>0.15271466215785826</v>
      </c>
      <c r="H1755" s="856">
        <f>INDEX(神经网络!$G$10:$BO$70,MATCH(ROUND(G1755*2,1)/2,神经网络!$E$10:$E$70,0),MATCH(ROUND(E1755*2,1)/2,神经网络!$G$8:$BO$8,0))</f>
        <v>-3.6945941366045107E-2</v>
      </c>
      <c r="I1755">
        <f t="shared" si="220"/>
        <v>996.09902430186946</v>
      </c>
      <c r="J1755">
        <f t="shared" si="221"/>
        <v>88.822074139100479</v>
      </c>
      <c r="K1755">
        <f t="shared" si="222"/>
        <v>11.214543613808445</v>
      </c>
      <c r="L1755" s="4">
        <f>MIN(MAX(L1754*(1+MAX(MIN(((B1755-B1754)/B1754)/($K$7*卓尔金历!$N$40),0),-卓尔金历!$M$43))+MIN(MAX(((B1755-B1754)/B1754)/($K$7*卓尔金历!$N$40),0),卓尔金历!$M$43),0),1)</f>
        <v>0.18426024349193956</v>
      </c>
      <c r="M1755" s="4">
        <f>MIN(MAX(M1754*(1+MAX(MIN(((B1755-B1754)/B1754)/($K$7*30),0),-卓尔金历!$M$43))+MIN(MAX(((B1755-B1754)/B1754)/($K$7*7),0),卓尔金历!$M$43),0),1)</f>
        <v>0.54779558452875032</v>
      </c>
      <c r="N1755">
        <f t="shared" si="223"/>
        <v>796.45063243400398</v>
      </c>
      <c r="O1755">
        <f t="shared" si="224"/>
        <v>2067.1393579395358</v>
      </c>
      <c r="P1755">
        <f t="shared" si="225"/>
        <v>-4.0095732982599892E-2</v>
      </c>
      <c r="Q1755">
        <f t="shared" si="216"/>
        <v>1.2441951398407928E-2</v>
      </c>
      <c r="R1755">
        <f t="shared" si="217"/>
        <v>0</v>
      </c>
      <c r="S1755">
        <f t="shared" si="219"/>
        <v>16.592267524029197</v>
      </c>
      <c r="T1755" s="564">
        <f>IF((I1755-MAX(I$470:I1755))/MAX(I$470:I1755)&gt;T1754,T1754,(I1755-MAX(I$470:I1755))/MAX(I$470:I1755))</f>
        <v>-0.91338805338419748</v>
      </c>
      <c r="U1755" s="564">
        <f>IF((J1755-MAX(J$470:J1755))/MAX(J$470:J1755)&gt;U1754,U1754,(J1755-MAX(J$470:J1755))/MAX(J$470:J1755))</f>
        <v>-0.8283551177402233</v>
      </c>
      <c r="V1755" s="564">
        <f>IF((K1755-MAX(K$470:K1755))/MAX(K$470:K1755)&gt;V1754,V1754,(K1755-MAX(K$470:K1755))/MAX(K$470:K1755))</f>
        <v>-0.84885940676762139</v>
      </c>
      <c r="W1755" s="564">
        <f>IF((N1755-MAX(N$470:N1755))/MAX(N$470:N1755)&gt;W1754,W1754,(N1755-MAX(N$470:N1755))/MAX(N$470:N1755))</f>
        <v>-0.62788758315546067</v>
      </c>
      <c r="X1755" s="564">
        <f>IF((O1755-MAX(O$470:O1755))/MAX(O$470:O1755)&gt;X1754,X1754,(O1755-MAX(O$470:O1755))/MAX(O$470:O1755))</f>
        <v>-0.62788758315546067</v>
      </c>
    </row>
    <row r="1756" spans="1:24">
      <c r="A1756" s="799">
        <v>42158</v>
      </c>
      <c r="B1756">
        <v>225.69499999999999</v>
      </c>
      <c r="C1756">
        <v>424.29220900000001</v>
      </c>
      <c r="D1756">
        <v>0.781559</v>
      </c>
      <c r="E1756">
        <f>LN(D1756/参数实验室!$E$53)/参数实验室!$E$55</f>
        <v>-0.98373574792231311</v>
      </c>
      <c r="F1756">
        <f t="shared" si="218"/>
        <v>1.8799362369569552</v>
      </c>
      <c r="G1756">
        <f>LN(F1756/参数实验室!$E$58)/参数实验室!$E$59</f>
        <v>0.14077771818489102</v>
      </c>
      <c r="H1756" s="856">
        <f>INDEX(神经网络!$G$10:$BO$70,MATCH(ROUND(G1756*2,1)/2,神经网络!$E$10:$E$70,0),MATCH(ROUND(E1756*2,1)/2,神经网络!$G$8:$BO$8,0))</f>
        <v>-3.6945941366045107E-2</v>
      </c>
      <c r="I1756">
        <f t="shared" si="220"/>
        <v>995.58683399192694</v>
      </c>
      <c r="J1756">
        <f t="shared" si="221"/>
        <v>90.058257850843816</v>
      </c>
      <c r="K1756">
        <f t="shared" si="222"/>
        <v>11.054919979029981</v>
      </c>
      <c r="L1756" s="4">
        <f>MIN(MAX(L1755*(1+MAX(MIN(((B1756-B1755)/B1755)/($K$7*卓尔金历!$N$40),0),-卓尔金历!$M$43))+MIN(MAX(((B1756-B1755)/B1755)/($K$7*卓尔金历!$N$40),0),卓尔金历!$M$43),0),1)</f>
        <v>0.39690671703739738</v>
      </c>
      <c r="M1756" s="4">
        <f>MIN(MAX(M1755*(1+MAX(MIN(((B1756-B1755)/B1755)/($K$7*30),0),-卓尔金历!$M$43))+MIN(MAX(((B1756-B1755)/B1755)/($K$7*7),0),卓尔金历!$M$43),0),1)</f>
        <v>1</v>
      </c>
      <c r="N1756">
        <f t="shared" si="223"/>
        <v>796.37517199189176</v>
      </c>
      <c r="O1756">
        <f t="shared" si="224"/>
        <v>2066.5570977111038</v>
      </c>
      <c r="P1756">
        <f t="shared" si="225"/>
        <v>1.3917528088878039E-2</v>
      </c>
      <c r="Q1756">
        <f t="shared" si="216"/>
        <v>1.3010883216809677E-2</v>
      </c>
      <c r="R1756">
        <f t="shared" si="217"/>
        <v>1.1603825699962295E-2</v>
      </c>
      <c r="S1756">
        <f t="shared" si="219"/>
        <v>16.592267524029197</v>
      </c>
      <c r="T1756" s="564">
        <f>IF((I1756-MAX(I$470:I1756))/MAX(I$470:I1756)&gt;T1755,T1755,(I1756-MAX(I$470:I1756))/MAX(I$470:I1756))</f>
        <v>-0.91338805338419748</v>
      </c>
      <c r="U1756" s="564">
        <f>IF((J1756-MAX(J$470:J1756))/MAX(J$470:J1756)&gt;U1755,U1755,(J1756-MAX(J$470:J1756))/MAX(J$470:J1756))</f>
        <v>-0.8283551177402233</v>
      </c>
      <c r="V1756" s="564">
        <f>IF((K1756-MAX(K$470:K1756))/MAX(K$470:K1756)&gt;V1755,V1755,(K1756-MAX(K$470:K1756))/MAX(K$470:K1756))</f>
        <v>-0.84885940676762139</v>
      </c>
      <c r="W1756" s="564">
        <f>IF((N1756-MAX(N$470:N1756))/MAX(N$470:N1756)&gt;W1755,W1755,(N1756-MAX(N$470:N1756))/MAX(N$470:N1756))</f>
        <v>-0.62788758315546067</v>
      </c>
      <c r="X1756" s="564">
        <f>IF((O1756-MAX(O$470:O1756))/MAX(O$470:O1756)&gt;X1755,X1755,(O1756-MAX(O$470:O1756))/MAX(O$470:O1756))</f>
        <v>-0.62788758315546067</v>
      </c>
    </row>
    <row r="1757" spans="1:24">
      <c r="A1757" s="799">
        <v>42159</v>
      </c>
      <c r="B1757">
        <v>226.09200000000001</v>
      </c>
      <c r="C1757">
        <v>428.48356000000001</v>
      </c>
      <c r="D1757">
        <v>0.77606900000000001</v>
      </c>
      <c r="E1757">
        <f>LN(D1757/参数实验室!$E$53)/参数实验室!$E$55</f>
        <v>-0.99205207522209238</v>
      </c>
      <c r="F1757">
        <f t="shared" si="218"/>
        <v>1.8951734692072253</v>
      </c>
      <c r="G1757">
        <f>LN(F1757/参数实验室!$E$58)/参数实验室!$E$59</f>
        <v>0.14501461035676663</v>
      </c>
      <c r="H1757" s="856">
        <f>INDEX(神经网络!$G$10:$BO$70,MATCH(ROUND(G1757*2,1)/2,神经网络!$E$10:$E$70,0),MATCH(ROUND(E1757*2,1)/2,神经网络!$G$8:$BO$8,0))</f>
        <v>-3.6945941366045107E-2</v>
      </c>
      <c r="I1757">
        <f t="shared" si="220"/>
        <v>995.52213247687791</v>
      </c>
      <c r="J1757">
        <f t="shared" si="221"/>
        <v>90.21667132197426</v>
      </c>
      <c r="K1757">
        <f t="shared" si="222"/>
        <v>11.034791218620327</v>
      </c>
      <c r="L1757" s="4">
        <f>MIN(MAX(L1756*(1+MAX(MIN(((B1757-B1756)/B1756)/($K$7*卓尔金历!$N$40),0),-卓尔金历!$M$43))+MIN(MAX(((B1757-B1756)/B1756)/($K$7*卓尔金历!$N$40),0),卓尔金历!$M$43),0),1)</f>
        <v>0.423782717957223</v>
      </c>
      <c r="M1757" s="4">
        <f>MIN(MAX(M1756*(1+MAX(MIN(((B1757-B1756)/B1756)/($K$7*30),0),-卓尔金历!$M$43))+MIN(MAX(((B1757-B1756)/B1756)/($K$7*7),0),卓尔金历!$M$43),0),1)</f>
        <v>1</v>
      </c>
      <c r="N1757">
        <f t="shared" si="223"/>
        <v>796.35463005143015</v>
      </c>
      <c r="O1757">
        <f t="shared" si="224"/>
        <v>2066.4227956386053</v>
      </c>
      <c r="P1757">
        <f t="shared" si="225"/>
        <v>1.7590110547421069E-3</v>
      </c>
      <c r="Q1757">
        <f t="shared" si="216"/>
        <v>1.2979539281038987E-2</v>
      </c>
      <c r="R1757">
        <f t="shared" si="217"/>
        <v>1</v>
      </c>
      <c r="S1757">
        <f t="shared" si="219"/>
        <v>16.592255011582406</v>
      </c>
      <c r="T1757" s="564">
        <f>IF((I1757-MAX(I$470:I1757))/MAX(I$470:I1757)&gt;T1756,T1756,(I1757-MAX(I$470:I1757))/MAX(I$470:I1757))</f>
        <v>-0.91338805338419748</v>
      </c>
      <c r="U1757" s="564">
        <f>IF((J1757-MAX(J$470:J1757))/MAX(J$470:J1757)&gt;U1756,U1756,(J1757-MAX(J$470:J1757))/MAX(J$470:J1757))</f>
        <v>-0.8283551177402233</v>
      </c>
      <c r="V1757" s="564">
        <f>IF((K1757-MAX(K$470:K1757))/MAX(K$470:K1757)&gt;V1756,V1756,(K1757-MAX(K$470:K1757))/MAX(K$470:K1757))</f>
        <v>-0.84885940676762139</v>
      </c>
      <c r="W1757" s="564">
        <f>IF((N1757-MAX(N$470:N1757))/MAX(N$470:N1757)&gt;W1756,W1756,(N1757-MAX(N$470:N1757))/MAX(N$470:N1757))</f>
        <v>-0.62788758315546067</v>
      </c>
      <c r="X1757" s="564">
        <f>IF((O1757-MAX(O$470:O1757))/MAX(O$470:O1757)&gt;X1756,X1756,(O1757-MAX(O$470:O1757))/MAX(O$470:O1757))</f>
        <v>-0.62788758315546067</v>
      </c>
    </row>
    <row r="1758" spans="1:24">
      <c r="A1758" s="799">
        <v>42160</v>
      </c>
      <c r="B1758">
        <v>224.56700000000001</v>
      </c>
      <c r="C1758">
        <v>435.754456</v>
      </c>
      <c r="D1758">
        <v>0.78040200000000004</v>
      </c>
      <c r="E1758">
        <f>LN(D1758/参数实验室!$E$53)/参数实验室!$E$55</f>
        <v>-0.98548351851700111</v>
      </c>
      <c r="F1758">
        <f t="shared" si="218"/>
        <v>1.9404207029527936</v>
      </c>
      <c r="G1758">
        <f>LN(F1758/参数实验室!$E$58)/参数实验室!$E$59</f>
        <v>0.15739824335139013</v>
      </c>
      <c r="H1758" s="856">
        <f>INDEX(神经网络!$G$10:$BO$70,MATCH(ROUND(G1758*2,1)/2,神经网络!$E$10:$E$70,0),MATCH(ROUND(E1758*2,1)/2,神经网络!$G$8:$BO$8,0))</f>
        <v>-3.6945941366045107E-2</v>
      </c>
      <c r="I1758">
        <f t="shared" si="220"/>
        <v>995.77021850407493</v>
      </c>
      <c r="J1758">
        <f t="shared" si="221"/>
        <v>89.608156099118034</v>
      </c>
      <c r="K1758">
        <f t="shared" si="222"/>
        <v>11.112495355920796</v>
      </c>
      <c r="L1758" s="4">
        <f>MIN(MAX(L1757*(1+MAX(MIN(((B1758-B1757)/B1757)/($K$7*卓尔金历!$N$40),0),-卓尔金历!$M$43))+MIN(MAX(((B1758-B1757)/B1757)/($K$7*卓尔金历!$N$40),0),卓尔金历!$M$43),0),1)</f>
        <v>0.3801086175192821</v>
      </c>
      <c r="M1758" s="4">
        <f>MIN(MAX(M1757*(1+MAX(MIN(((B1758-B1757)/B1757)/($K$7*30),0),-卓尔金历!$M$43))+MIN(MAX(((B1758-B1757)/B1757)/($K$7*7),0),卓尔金历!$M$43),0),1)</f>
        <v>0.9484711166981219</v>
      </c>
      <c r="N1758">
        <f t="shared" si="223"/>
        <v>796.43873104685508</v>
      </c>
      <c r="O1758">
        <f t="shared" si="224"/>
        <v>2066.9377521676015</v>
      </c>
      <c r="P1758">
        <f t="shared" si="225"/>
        <v>-6.7450418413743324E-3</v>
      </c>
      <c r="Q1758">
        <f t="shared" si="216"/>
        <v>1.1932037292929984E-2</v>
      </c>
      <c r="R1758">
        <f t="shared" si="217"/>
        <v>0.59080261812599832</v>
      </c>
      <c r="S1758">
        <f t="shared" si="219"/>
        <v>16.596389833394777</v>
      </c>
      <c r="T1758" s="564">
        <f>IF((I1758-MAX(I$470:I1758))/MAX(I$470:I1758)&gt;T1757,T1757,(I1758-MAX(I$470:I1758))/MAX(I$470:I1758))</f>
        <v>-0.91338805338419748</v>
      </c>
      <c r="U1758" s="564">
        <f>IF((J1758-MAX(J$470:J1758))/MAX(J$470:J1758)&gt;U1757,U1757,(J1758-MAX(J$470:J1758))/MAX(J$470:J1758))</f>
        <v>-0.8283551177402233</v>
      </c>
      <c r="V1758" s="564">
        <f>IF((K1758-MAX(K$470:K1758))/MAX(K$470:K1758)&gt;V1757,V1757,(K1758-MAX(K$470:K1758))/MAX(K$470:K1758))</f>
        <v>-0.84885940676762139</v>
      </c>
      <c r="W1758" s="564">
        <f>IF((N1758-MAX(N$470:N1758))/MAX(N$470:N1758)&gt;W1757,W1757,(N1758-MAX(N$470:N1758))/MAX(N$470:N1758))</f>
        <v>-0.62788758315546067</v>
      </c>
      <c r="X1758" s="564">
        <f>IF((O1758-MAX(O$470:O1758))/MAX(O$470:O1758)&gt;X1757,X1757,(O1758-MAX(O$470:O1758))/MAX(O$470:O1758))</f>
        <v>-0.62788758315546067</v>
      </c>
    </row>
    <row r="1759" spans="1:24">
      <c r="A1759" s="799">
        <v>42161</v>
      </c>
      <c r="B1759">
        <v>225.226</v>
      </c>
      <c r="C1759">
        <v>425.09723100000002</v>
      </c>
      <c r="D1759">
        <v>0.78204300000000004</v>
      </c>
      <c r="E1759">
        <f>LN(D1759/参数实验室!$E$53)/参数实验室!$E$55</f>
        <v>-0.98300538228154299</v>
      </c>
      <c r="F1759">
        <f t="shared" si="218"/>
        <v>1.8874252128972677</v>
      </c>
      <c r="G1759">
        <f>LN(F1759/参数实验室!$E$58)/参数实验室!$E$59</f>
        <v>0.14286439053131961</v>
      </c>
      <c r="H1759" s="856">
        <f>INDEX(神经网络!$G$10:$BO$70,MATCH(ROUND(G1759*2,1)/2,神经网络!$E$10:$E$70,0),MATCH(ROUND(E1759*2,1)/2,神经网络!$G$8:$BO$8,0))</f>
        <v>-3.6945941366045107E-2</v>
      </c>
      <c r="I1759">
        <f t="shared" si="220"/>
        <v>995.66225788972622</v>
      </c>
      <c r="J1759">
        <f t="shared" si="221"/>
        <v>89.871114480667046</v>
      </c>
      <c r="K1759">
        <f t="shared" si="222"/>
        <v>11.078779468167291</v>
      </c>
      <c r="L1759" s="4">
        <f>MIN(MAX(L1758*(1+MAX(MIN(((B1759-B1758)/B1758)/($K$7*卓尔金历!$N$40),0),-卓尔金历!$M$43))+MIN(MAX(((B1759-B1758)/B1758)/($K$7*卓尔金历!$N$40),0),卓尔金历!$M$43),0),1)</f>
        <v>0.42494551521577362</v>
      </c>
      <c r="M1759" s="4">
        <f>MIN(MAX(M1758*(1+MAX(MIN(((B1759-B1758)/B1758)/($K$7*30),0),-卓尔金历!$M$43))+MIN(MAX(((B1759-B1758)/B1758)/($K$7*7),0),卓尔金历!$M$43),0),1)</f>
        <v>1</v>
      </c>
      <c r="N1759">
        <f t="shared" si="223"/>
        <v>796.40590895160949</v>
      </c>
      <c r="O1759">
        <f t="shared" si="224"/>
        <v>2066.7252038255415</v>
      </c>
      <c r="P1759">
        <f t="shared" si="225"/>
        <v>2.934536240854586E-3</v>
      </c>
      <c r="Q1759">
        <f t="shared" si="216"/>
        <v>1.1891782599268748E-2</v>
      </c>
      <c r="R1759">
        <f t="shared" si="217"/>
        <v>1</v>
      </c>
      <c r="S1759">
        <f t="shared" si="219"/>
        <v>16.595326762439718</v>
      </c>
      <c r="T1759" s="564">
        <f>IF((I1759-MAX(I$470:I1759))/MAX(I$470:I1759)&gt;T1758,T1758,(I1759-MAX(I$470:I1759))/MAX(I$470:I1759))</f>
        <v>-0.91338805338419748</v>
      </c>
      <c r="U1759" s="564">
        <f>IF((J1759-MAX(J$470:J1759))/MAX(J$470:J1759)&gt;U1758,U1758,(J1759-MAX(J$470:J1759))/MAX(J$470:J1759))</f>
        <v>-0.8283551177402233</v>
      </c>
      <c r="V1759" s="564">
        <f>IF((K1759-MAX(K$470:K1759))/MAX(K$470:K1759)&gt;V1758,V1758,(K1759-MAX(K$470:K1759))/MAX(K$470:K1759))</f>
        <v>-0.84885940676762139</v>
      </c>
      <c r="W1759" s="564">
        <f>IF((N1759-MAX(N$470:N1759))/MAX(N$470:N1759)&gt;W1758,W1758,(N1759-MAX(N$470:N1759))/MAX(N$470:N1759))</f>
        <v>-0.62788758315546067</v>
      </c>
      <c r="X1759" s="564">
        <f>IF((O1759-MAX(O$470:O1759))/MAX(O$470:O1759)&gt;X1758,X1758,(O1759-MAX(O$470:O1759))/MAX(O$470:O1759))</f>
        <v>-0.62788758315546067</v>
      </c>
    </row>
    <row r="1760" spans="1:24">
      <c r="A1760" s="799">
        <v>42162</v>
      </c>
      <c r="B1760">
        <v>225.02600000000001</v>
      </c>
      <c r="C1760">
        <v>425.75120399999997</v>
      </c>
      <c r="D1760">
        <v>0.77660799999999997</v>
      </c>
      <c r="E1760">
        <f>LN(D1760/参数实验室!$E$53)/参数实验室!$E$55</f>
        <v>-0.9912329904748538</v>
      </c>
      <c r="F1760">
        <f t="shared" si="218"/>
        <v>1.892008941189018</v>
      </c>
      <c r="G1760">
        <f>LN(F1760/参数实验室!$E$58)/参数实验室!$E$59</f>
        <v>0.14413748560735012</v>
      </c>
      <c r="H1760" s="856">
        <f>INDEX(神经网络!$G$10:$BO$70,MATCH(ROUND(G1760*2,1)/2,神经网络!$E$10:$E$70,0),MATCH(ROUND(E1760*2,1)/2,神经网络!$G$8:$BO$8,0))</f>
        <v>-3.6945941366045107E-2</v>
      </c>
      <c r="I1760">
        <f t="shared" si="220"/>
        <v>995.69492346066431</v>
      </c>
      <c r="J1760">
        <f t="shared" si="221"/>
        <v>89.791309205538354</v>
      </c>
      <c r="K1760">
        <f t="shared" si="222"/>
        <v>11.088989928651687</v>
      </c>
      <c r="L1760" s="4">
        <f>MIN(MAX(L1759*(1+MAX(MIN(((B1760-B1759)/B1759)/($K$7*卓尔金历!$N$40),0),-卓尔金历!$M$43))+MIN(MAX(((B1760-B1759)/B1759)/($K$7*卓尔金历!$N$40),0),卓尔金历!$M$43),0),1)</f>
        <v>0.41917996445094929</v>
      </c>
      <c r="M1760" s="4">
        <f>MIN(MAX(M1759*(1+MAX(MIN(((B1760-B1759)/B1759)/($K$7*30),0),-卓尔金历!$M$43))+MIN(MAX(((B1760-B1759)/B1759)/($K$7*7),0),卓尔金历!$M$43),0),1)</f>
        <v>0.99321612941144144</v>
      </c>
      <c r="N1760">
        <f t="shared" si="223"/>
        <v>796.41701209458438</v>
      </c>
      <c r="O1760">
        <f t="shared" si="224"/>
        <v>2066.7930087043746</v>
      </c>
      <c r="P1760">
        <f t="shared" si="225"/>
        <v>-8.8799694529045773E-4</v>
      </c>
      <c r="Q1760">
        <f t="shared" si="216"/>
        <v>1.1888878719329241E-2</v>
      </c>
      <c r="R1760">
        <f t="shared" si="217"/>
        <v>1</v>
      </c>
      <c r="S1760">
        <f t="shared" si="219"/>
        <v>16.595871219979717</v>
      </c>
      <c r="T1760" s="564">
        <f>IF((I1760-MAX(I$470:I1760))/MAX(I$470:I1760)&gt;T1759,T1759,(I1760-MAX(I$470:I1760))/MAX(I$470:I1760))</f>
        <v>-0.91338805338419748</v>
      </c>
      <c r="U1760" s="564">
        <f>IF((J1760-MAX(J$470:J1760))/MAX(J$470:J1760)&gt;U1759,U1759,(J1760-MAX(J$470:J1760))/MAX(J$470:J1760))</f>
        <v>-0.8283551177402233</v>
      </c>
      <c r="V1760" s="564">
        <f>IF((K1760-MAX(K$470:K1760))/MAX(K$470:K1760)&gt;V1759,V1759,(K1760-MAX(K$470:K1760))/MAX(K$470:K1760))</f>
        <v>-0.84885940676762139</v>
      </c>
      <c r="W1760" s="564">
        <f>IF((N1760-MAX(N$470:N1760))/MAX(N$470:N1760)&gt;W1759,W1759,(N1760-MAX(N$470:N1760))/MAX(N$470:N1760))</f>
        <v>-0.62788758315546067</v>
      </c>
      <c r="X1760" s="564">
        <f>IF((O1760-MAX(O$470:O1760))/MAX(O$470:O1760)&gt;X1759,X1759,(O1760-MAX(O$470:O1760))/MAX(O$470:O1760))</f>
        <v>-0.62788758315546067</v>
      </c>
    </row>
    <row r="1761" spans="1:24">
      <c r="A1761" s="799">
        <v>42163</v>
      </c>
      <c r="B1761">
        <v>223.46899999999999</v>
      </c>
      <c r="C1761">
        <v>417.95947799999999</v>
      </c>
      <c r="D1761">
        <v>0.79532599999999998</v>
      </c>
      <c r="E1761">
        <f>LN(D1761/参数实验室!$E$53)/参数实验室!$E$55</f>
        <v>-0.96313554488365094</v>
      </c>
      <c r="F1761">
        <f t="shared" si="218"/>
        <v>1.8703241970922142</v>
      </c>
      <c r="G1761">
        <f>LN(F1761/参数实验室!$E$58)/参数实验室!$E$59</f>
        <v>0.13808727621641934</v>
      </c>
      <c r="H1761" s="856">
        <f>INDEX(神经网络!$G$10:$BO$70,MATCH(ROUND(G1761*2,1)/2,神经网络!$E$10:$E$70,0),MATCH(ROUND(E1761*2,1)/2,神经网络!$G$8:$BO$8,0))</f>
        <v>-2.996477770490634E-2</v>
      </c>
      <c r="I1761">
        <f t="shared" si="220"/>
        <v>995.94945930055758</v>
      </c>
      <c r="J1761">
        <f t="shared" si="221"/>
        <v>89.170025138661515</v>
      </c>
      <c r="K1761">
        <f t="shared" si="222"/>
        <v>11.169105960796045</v>
      </c>
      <c r="L1761" s="4">
        <f>MIN(MAX(L1760*(1+MAX(MIN(((B1761-B1760)/B1760)/($K$7*卓尔金历!$N$40),0),-卓尔金历!$M$43))+MIN(MAX(((B1761-B1760)/B1760)/($K$7*卓尔金历!$N$40),0),卓尔金历!$M$43),0),1)</f>
        <v>0.37486478552482616</v>
      </c>
      <c r="M1761" s="4">
        <f>MIN(MAX(M1760*(1+MAX(MIN(((B1761-B1760)/B1760)/($K$7*30),0),-卓尔金历!$M$43))+MIN(MAX(((B1761-B1760)/B1760)/($K$7*7),0),卓尔金历!$M$43),0),1)</f>
        <v>0.94071534905469101</v>
      </c>
      <c r="N1761">
        <f t="shared" si="223"/>
        <v>796.50235426698339</v>
      </c>
      <c r="O1761">
        <f t="shared" si="224"/>
        <v>2067.3177719341647</v>
      </c>
      <c r="P1761">
        <f t="shared" si="225"/>
        <v>-6.9192004479483099E-3</v>
      </c>
      <c r="Q1761">
        <f t="shared" si="216"/>
        <v>1.1911972683572108E-2</v>
      </c>
      <c r="R1761">
        <f t="shared" si="217"/>
        <v>0.56159121959526925</v>
      </c>
      <c r="S1761">
        <f t="shared" si="219"/>
        <v>16.60011372832259</v>
      </c>
      <c r="T1761" s="564">
        <f>IF((I1761-MAX(I$470:I1761))/MAX(I$470:I1761)&gt;T1760,T1760,(I1761-MAX(I$470:I1761))/MAX(I$470:I1761))</f>
        <v>-0.91338805338419748</v>
      </c>
      <c r="U1761" s="564">
        <f>IF((J1761-MAX(J$470:J1761))/MAX(J$470:J1761)&gt;U1760,U1760,(J1761-MAX(J$470:J1761))/MAX(J$470:J1761))</f>
        <v>-0.8283551177402233</v>
      </c>
      <c r="V1761" s="564">
        <f>IF((K1761-MAX(K$470:K1761))/MAX(K$470:K1761)&gt;V1760,V1760,(K1761-MAX(K$470:K1761))/MAX(K$470:K1761))</f>
        <v>-0.84885940676762139</v>
      </c>
      <c r="W1761" s="564">
        <f>IF((N1761-MAX(N$470:N1761))/MAX(N$470:N1761)&gt;W1760,W1760,(N1761-MAX(N$470:N1761))/MAX(N$470:N1761))</f>
        <v>-0.62788758315546067</v>
      </c>
      <c r="X1761" s="564">
        <f>IF((O1761-MAX(O$470:O1761))/MAX(O$470:O1761)&gt;X1760,X1760,(O1761-MAX(O$470:O1761))/MAX(O$470:O1761))</f>
        <v>-0.62788758315546067</v>
      </c>
    </row>
    <row r="1762" spans="1:24">
      <c r="A1762" s="799">
        <v>42164</v>
      </c>
      <c r="B1762">
        <v>228.46199999999999</v>
      </c>
      <c r="C1762">
        <v>412.037846</v>
      </c>
      <c r="D1762">
        <v>0.797512</v>
      </c>
      <c r="E1762">
        <f>LN(D1762/参数实验室!$E$53)/参数实验室!$E$55</f>
        <v>-0.95989737225035332</v>
      </c>
      <c r="F1762">
        <f t="shared" si="218"/>
        <v>1.8035290157662982</v>
      </c>
      <c r="G1762">
        <f>LN(F1762/参数实验室!$E$58)/参数实验室!$E$59</f>
        <v>0.11900018559343471</v>
      </c>
      <c r="H1762" s="856">
        <f>INDEX(神经网络!$G$10:$BO$70,MATCH(ROUND(G1762*2,1)/2,神经网络!$E$10:$E$70,0),MATCH(ROUND(E1762*2,1)/2,神经网络!$G$8:$BO$8,0))</f>
        <v>-1.6113682648580298E-2</v>
      </c>
      <c r="I1762">
        <f t="shared" si="220"/>
        <v>995.28266383032576</v>
      </c>
      <c r="J1762">
        <f t="shared" si="221"/>
        <v>91.16236383224917</v>
      </c>
      <c r="K1762">
        <f t="shared" si="222"/>
        <v>10.917692587061232</v>
      </c>
      <c r="L1762" s="4">
        <f>MIN(MAX(L1761*(1+MAX(MIN(((B1762-B1761)/B1761)/($K$7*卓尔金历!$N$40),0),-卓尔金历!$M$43))+MIN(MAX(((B1762-B1761)/B1761)/($K$7*卓尔金历!$N$40),0),卓尔金历!$M$43),0),1)</f>
        <v>0.71624658155173027</v>
      </c>
      <c r="M1762" s="4">
        <f>MIN(MAX(M1761*(1+MAX(MIN(((B1762-B1761)/B1761)/($K$7*30),0),-卓尔金历!$M$43))+MIN(MAX(((B1762-B1761)/B1761)/($K$7*7),0),卓尔金历!$M$43),0),1)</f>
        <v>1</v>
      </c>
      <c r="N1762">
        <f t="shared" si="223"/>
        <v>796.3024523082388</v>
      </c>
      <c r="O1762">
        <f t="shared" si="224"/>
        <v>2066.0157424795384</v>
      </c>
      <c r="P1762">
        <f t="shared" si="225"/>
        <v>2.234314379175633E-2</v>
      </c>
      <c r="Q1762">
        <f t="shared" si="216"/>
        <v>1.3060746120396137E-2</v>
      </c>
      <c r="R1762">
        <f t="shared" si="217"/>
        <v>5.516336203173192E-3</v>
      </c>
      <c r="S1762">
        <f t="shared" si="219"/>
        <v>16.59387226082665</v>
      </c>
      <c r="T1762" s="564">
        <f>IF((I1762-MAX(I$470:I1762))/MAX(I$470:I1762)&gt;T1761,T1761,(I1762-MAX(I$470:I1762))/MAX(I$470:I1762))</f>
        <v>-0.91338805338419748</v>
      </c>
      <c r="U1762" s="564">
        <f>IF((J1762-MAX(J$470:J1762))/MAX(J$470:J1762)&gt;U1761,U1761,(J1762-MAX(J$470:J1762))/MAX(J$470:J1762))</f>
        <v>-0.8283551177402233</v>
      </c>
      <c r="V1762" s="564">
        <f>IF((K1762-MAX(K$470:K1762))/MAX(K$470:K1762)&gt;V1761,V1761,(K1762-MAX(K$470:K1762))/MAX(K$470:K1762))</f>
        <v>-0.84885940676762139</v>
      </c>
      <c r="W1762" s="564">
        <f>IF((N1762-MAX(N$470:N1762))/MAX(N$470:N1762)&gt;W1761,W1761,(N1762-MAX(N$470:N1762))/MAX(N$470:N1762))</f>
        <v>-0.62788758315546067</v>
      </c>
      <c r="X1762" s="564">
        <f>IF((O1762-MAX(O$470:O1762))/MAX(O$470:O1762)&gt;X1761,X1761,(O1762-MAX(O$470:O1762))/MAX(O$470:O1762))</f>
        <v>-0.62788758315546067</v>
      </c>
    </row>
    <row r="1763" spans="1:24">
      <c r="A1763" s="799">
        <v>42165</v>
      </c>
      <c r="B1763">
        <v>229.27699999999999</v>
      </c>
      <c r="C1763">
        <v>409.33663200000001</v>
      </c>
      <c r="D1763">
        <v>0.79522300000000001</v>
      </c>
      <c r="E1763">
        <f>LN(D1763/参数实验室!$E$53)/参数实验室!$E$55</f>
        <v>-0.96328834065957336</v>
      </c>
      <c r="F1763">
        <f t="shared" si="218"/>
        <v>1.7853366539164419</v>
      </c>
      <c r="G1763">
        <f>LN(F1763/参数实验室!$E$58)/参数实验室!$E$59</f>
        <v>0.11367905221340281</v>
      </c>
      <c r="H1763" s="856">
        <f>INDEX(神经网络!$G$10:$BO$70,MATCH(ROUND(G1763*2,1)/2,神经网络!$E$10:$E$70,0),MATCH(ROUND(E1763*2,1)/2,神经网络!$G$8:$BO$8,0))</f>
        <v>-1.6113682648580298E-2</v>
      </c>
      <c r="I1763">
        <f t="shared" si="220"/>
        <v>995.22545212672799</v>
      </c>
      <c r="J1763">
        <f t="shared" si="221"/>
        <v>91.487570328398576</v>
      </c>
      <c r="K1763">
        <f t="shared" si="222"/>
        <v>10.878258637258847</v>
      </c>
      <c r="L1763" s="4">
        <f>MIN(MAX(L1762*(1+MAX(MIN(((B1763-B1762)/B1762)/($K$7*卓尔金历!$N$40),0),-卓尔金历!$M$43))+MIN(MAX(((B1763-B1762)/B1762)/($K$7*卓尔金历!$N$40),0),卓尔金历!$M$43),0),1)</f>
        <v>0.77075200434854985</v>
      </c>
      <c r="M1763" s="4">
        <f>MIN(MAX(M1762*(1+MAX(MIN(((B1763-B1762)/B1762)/($K$7*30),0),-卓尔金历!$M$43))+MIN(MAX(((B1763-B1762)/B1762)/($K$7*7),0),卓尔金历!$M$43),0),1)</f>
        <v>1</v>
      </c>
      <c r="N1763">
        <f t="shared" si="223"/>
        <v>796.26966701624622</v>
      </c>
      <c r="O1763">
        <f t="shared" si="224"/>
        <v>2065.8969819659851</v>
      </c>
      <c r="P1763">
        <f t="shared" si="225"/>
        <v>3.5673328606070057E-3</v>
      </c>
      <c r="Q1763">
        <f t="shared" si="216"/>
        <v>1.2776831765006815E-2</v>
      </c>
      <c r="R1763">
        <f t="shared" si="217"/>
        <v>1</v>
      </c>
      <c r="S1763">
        <f t="shared" si="219"/>
        <v>16.59386699899547</v>
      </c>
      <c r="T1763" s="564">
        <f>IF((I1763-MAX(I$470:I1763))/MAX(I$470:I1763)&gt;T1762,T1762,(I1763-MAX(I$470:I1763))/MAX(I$470:I1763))</f>
        <v>-0.91338805338419748</v>
      </c>
      <c r="U1763" s="564">
        <f>IF((J1763-MAX(J$470:J1763))/MAX(J$470:J1763)&gt;U1762,U1762,(J1763-MAX(J$470:J1763))/MAX(J$470:J1763))</f>
        <v>-0.8283551177402233</v>
      </c>
      <c r="V1763" s="564">
        <f>IF((K1763-MAX(K$470:K1763))/MAX(K$470:K1763)&gt;V1762,V1762,(K1763-MAX(K$470:K1763))/MAX(K$470:K1763))</f>
        <v>-0.84885940676762139</v>
      </c>
      <c r="W1763" s="564">
        <f>IF((N1763-MAX(N$470:N1763))/MAX(N$470:N1763)&gt;W1762,W1762,(N1763-MAX(N$470:N1763))/MAX(N$470:N1763))</f>
        <v>-0.62788758315546067</v>
      </c>
      <c r="X1763" s="564">
        <f>IF((O1763-MAX(O$470:O1763))/MAX(O$470:O1763)&gt;X1762,X1762,(O1763-MAX(O$470:O1763))/MAX(O$470:O1763))</f>
        <v>-0.62788758315546067</v>
      </c>
    </row>
    <row r="1764" spans="1:24">
      <c r="A1764" s="799">
        <v>42166</v>
      </c>
      <c r="B1764">
        <v>228.785</v>
      </c>
      <c r="C1764">
        <v>413.88116100000002</v>
      </c>
      <c r="D1764">
        <v>0.79912899999999998</v>
      </c>
      <c r="E1764">
        <f>LN(D1764/参数实验室!$E$53)/参数实验室!$E$55</f>
        <v>-0.9575077785374142</v>
      </c>
      <c r="F1764">
        <f t="shared" si="218"/>
        <v>1.8090397578512578</v>
      </c>
      <c r="G1764">
        <f>LN(F1764/参数实验室!$E$58)/参数实验室!$E$59</f>
        <v>0.12060144923067873</v>
      </c>
      <c r="H1764" s="856">
        <f>INDEX(神经网络!$G$10:$BO$70,MATCH(ROUND(G1764*2,1)/2,神经网络!$E$10:$E$70,0),MATCH(ROUND(E1764*2,1)/2,神经网络!$G$8:$BO$8,0))</f>
        <v>-1.6113682648580298E-2</v>
      </c>
      <c r="I1764">
        <f t="shared" si="220"/>
        <v>995.25986499663156</v>
      </c>
      <c r="J1764">
        <f t="shared" si="221"/>
        <v>91.29124935158201</v>
      </c>
      <c r="K1764">
        <f t="shared" si="222"/>
        <v>10.902029187525676</v>
      </c>
      <c r="L1764" s="4">
        <f>MIN(MAX(L1763*(1+MAX(MIN(((B1764-B1763)/B1763)/($K$7*卓尔金历!$N$40),0),-卓尔金历!$M$43))+MIN(MAX(((B1764-B1763)/B1763)/($K$7*卓尔金历!$N$40),0),卓尔金历!$M$43),0),1)</f>
        <v>0.74548141598770168</v>
      </c>
      <c r="M1764" s="4">
        <f>MIN(MAX(M1763*(1+MAX(MIN(((B1764-B1763)/B1763)/($K$7*30),0),-卓尔金历!$M$43))+MIN(MAX(((B1764-B1763)/B1763)/($K$7*7),0),卓尔金历!$M$43),0),1)</f>
        <v>0.98360653736982029</v>
      </c>
      <c r="N1764">
        <f t="shared" si="223"/>
        <v>796.29088842708825</v>
      </c>
      <c r="O1764">
        <f t="shared" si="224"/>
        <v>2065.9684164775549</v>
      </c>
      <c r="P1764">
        <f t="shared" si="225"/>
        <v>-2.1458759491793343E-3</v>
      </c>
      <c r="Q1764">
        <f t="shared" si="216"/>
        <v>1.2698043957492839E-2</v>
      </c>
      <c r="R1764">
        <f t="shared" si="217"/>
        <v>1</v>
      </c>
      <c r="S1764">
        <f t="shared" si="219"/>
        <v>16.594440781131983</v>
      </c>
      <c r="T1764" s="564">
        <f>IF((I1764-MAX(I$470:I1764))/MAX(I$470:I1764)&gt;T1763,T1763,(I1764-MAX(I$470:I1764))/MAX(I$470:I1764))</f>
        <v>-0.91338805338419748</v>
      </c>
      <c r="U1764" s="564">
        <f>IF((J1764-MAX(J$470:J1764))/MAX(J$470:J1764)&gt;U1763,U1763,(J1764-MAX(J$470:J1764))/MAX(J$470:J1764))</f>
        <v>-0.8283551177402233</v>
      </c>
      <c r="V1764" s="564">
        <f>IF((K1764-MAX(K$470:K1764))/MAX(K$470:K1764)&gt;V1763,V1763,(K1764-MAX(K$470:K1764))/MAX(K$470:K1764))</f>
        <v>-0.84885940676762139</v>
      </c>
      <c r="W1764" s="564">
        <f>IF((N1764-MAX(N$470:N1764))/MAX(N$470:N1764)&gt;W1763,W1763,(N1764-MAX(N$470:N1764))/MAX(N$470:N1764))</f>
        <v>-0.62788758315546067</v>
      </c>
      <c r="X1764" s="564">
        <f>IF((O1764-MAX(O$470:O1764))/MAX(O$470:O1764)&gt;X1763,X1763,(O1764-MAX(O$470:O1764))/MAX(O$470:O1764))</f>
        <v>-0.62788758315546067</v>
      </c>
    </row>
    <row r="1765" spans="1:24">
      <c r="A1765" s="799">
        <v>42167</v>
      </c>
      <c r="B1765">
        <v>229.66900000000001</v>
      </c>
      <c r="C1765">
        <v>419.951866</v>
      </c>
      <c r="D1765">
        <v>0.79991699999999999</v>
      </c>
      <c r="E1765">
        <f>LN(D1765/参数实验室!$E$53)/参数实验室!$E$55</f>
        <v>-0.9563450282081507</v>
      </c>
      <c r="F1765">
        <f t="shared" si="218"/>
        <v>1.8285091414165602</v>
      </c>
      <c r="G1765">
        <f>LN(F1765/参数实验室!$E$58)/参数实验室!$E$59</f>
        <v>0.12621989315771795</v>
      </c>
      <c r="H1765" s="856">
        <f>INDEX(神经网络!$G$10:$BO$70,MATCH(ROUND(G1765*2,1)/2,神经网络!$E$10:$E$70,0),MATCH(ROUND(E1765*2,1)/2,神经网络!$G$8:$BO$8,0))</f>
        <v>-2.996477770490634E-2</v>
      </c>
      <c r="I1765">
        <f t="shared" si="220"/>
        <v>995.19789863244762</v>
      </c>
      <c r="J1765">
        <f t="shared" si="221"/>
        <v>91.643988667650802</v>
      </c>
      <c r="K1765">
        <f t="shared" si="222"/>
        <v>10.859390922426538</v>
      </c>
      <c r="L1765" s="4">
        <f>MIN(MAX(L1764*(1+MAX(MIN(((B1765-B1764)/B1764)/($K$7*卓尔金历!$N$40),0),-卓尔金历!$M$43))+MIN(MAX(((B1765-B1764)/B1764)/($K$7*卓尔金历!$N$40),0),卓尔金历!$M$43),0),1)</f>
        <v>0.80451794237125218</v>
      </c>
      <c r="M1765" s="4">
        <f>MIN(MAX(M1764*(1+MAX(MIN(((B1765-B1764)/B1764)/($K$7*30),0),-卓尔金历!$M$43))+MIN(MAX(((B1765-B1764)/B1764)/($K$7*7),0),卓尔金历!$M$43),0),1)</f>
        <v>1</v>
      </c>
      <c r="N1765">
        <f t="shared" si="223"/>
        <v>796.25392875649447</v>
      </c>
      <c r="O1765">
        <f t="shared" si="224"/>
        <v>2065.8418948970179</v>
      </c>
      <c r="P1765">
        <f t="shared" si="225"/>
        <v>3.8638896780821058E-3</v>
      </c>
      <c r="Q1765">
        <f t="shared" si="216"/>
        <v>1.2634087115644175E-2</v>
      </c>
      <c r="R1765">
        <f t="shared" si="217"/>
        <v>1</v>
      </c>
      <c r="S1765">
        <f t="shared" si="219"/>
        <v>16.593407586489018</v>
      </c>
      <c r="T1765" s="564">
        <f>IF((I1765-MAX(I$470:I1765))/MAX(I$470:I1765)&gt;T1764,T1764,(I1765-MAX(I$470:I1765))/MAX(I$470:I1765))</f>
        <v>-0.91338805338419748</v>
      </c>
      <c r="U1765" s="564">
        <f>IF((J1765-MAX(J$470:J1765))/MAX(J$470:J1765)&gt;U1764,U1764,(J1765-MAX(J$470:J1765))/MAX(J$470:J1765))</f>
        <v>-0.8283551177402233</v>
      </c>
      <c r="V1765" s="564">
        <f>IF((K1765-MAX(K$470:K1765))/MAX(K$470:K1765)&gt;V1764,V1764,(K1765-MAX(K$470:K1765))/MAX(K$470:K1765))</f>
        <v>-0.84885940676762139</v>
      </c>
      <c r="W1765" s="564">
        <f>IF((N1765-MAX(N$470:N1765))/MAX(N$470:N1765)&gt;W1764,W1764,(N1765-MAX(N$470:N1765))/MAX(N$470:N1765))</f>
        <v>-0.62788758315546067</v>
      </c>
      <c r="X1765" s="564">
        <f>IF((O1765-MAX(O$470:O1765))/MAX(O$470:O1765)&gt;X1764,X1764,(O1765-MAX(O$470:O1765))/MAX(O$470:O1765))</f>
        <v>-0.62788758315546067</v>
      </c>
    </row>
    <row r="1766" spans="1:24">
      <c r="A1766" s="799">
        <v>42168</v>
      </c>
      <c r="B1766">
        <v>230.25899999999999</v>
      </c>
      <c r="C1766">
        <v>418.88371000000001</v>
      </c>
      <c r="D1766">
        <v>0.81144099999999997</v>
      </c>
      <c r="E1766">
        <f>LN(D1766/参数实验室!$E$53)/参数实验室!$E$55</f>
        <v>-0.93947018328712206</v>
      </c>
      <c r="F1766">
        <f t="shared" si="218"/>
        <v>1.8191849612827296</v>
      </c>
      <c r="G1766">
        <f>LN(F1766/参数实验室!$E$58)/参数实验室!$E$59</f>
        <v>0.12353663948412522</v>
      </c>
      <c r="H1766" s="856">
        <f>INDEX(神经网络!$G$10:$BO$70,MATCH(ROUND(G1766*2,1)/2,神经网络!$E$10:$E$70,0),MATCH(ROUND(E1766*2,1)/2,神经网络!$G$8:$BO$8,0))</f>
        <v>-1.6113682648580298E-2</v>
      </c>
      <c r="I1766">
        <f t="shared" si="220"/>
        <v>995.12129133479357</v>
      </c>
      <c r="J1766">
        <f t="shared" si="221"/>
        <v>91.879414229280414</v>
      </c>
      <c r="K1766">
        <f t="shared" si="222"/>
        <v>10.830731776886592</v>
      </c>
      <c r="L1766" s="4">
        <f>MIN(MAX(L1765*(1+MAX(MIN(((B1766-B1765)/B1765)/($K$7*卓尔金历!$N$40),0),-卓尔金历!$M$43))+MIN(MAX(((B1766-B1765)/B1765)/($K$7*卓尔金历!$N$40),0),卓尔金历!$M$43),0),1)</f>
        <v>0.84376848911179791</v>
      </c>
      <c r="M1766" s="4">
        <f>MIN(MAX(M1765*(1+MAX(MIN(((B1766-B1765)/B1765)/($K$7*30),0),-卓尔金历!$M$43))+MIN(MAX(((B1766-B1765)/B1765)/($K$7*7),0),卓尔金历!$M$43),0),1)</f>
        <v>1</v>
      </c>
      <c r="N1766">
        <f t="shared" si="223"/>
        <v>796.20461727905649</v>
      </c>
      <c r="O1766">
        <f t="shared" si="224"/>
        <v>2065.6828726913182</v>
      </c>
      <c r="P1766">
        <f t="shared" si="225"/>
        <v>2.5689143941932738E-3</v>
      </c>
      <c r="Q1766">
        <f t="shared" si="216"/>
        <v>1.2630739877856786E-2</v>
      </c>
      <c r="R1766">
        <f t="shared" si="217"/>
        <v>1</v>
      </c>
      <c r="S1766">
        <f t="shared" si="219"/>
        <v>16.592130276603395</v>
      </c>
      <c r="T1766" s="564">
        <f>IF((I1766-MAX(I$470:I1766))/MAX(I$470:I1766)&gt;T1765,T1765,(I1766-MAX(I$470:I1766))/MAX(I$470:I1766))</f>
        <v>-0.91338805338419748</v>
      </c>
      <c r="U1766" s="564">
        <f>IF((J1766-MAX(J$470:J1766))/MAX(J$470:J1766)&gt;U1765,U1765,(J1766-MAX(J$470:J1766))/MAX(J$470:J1766))</f>
        <v>-0.8283551177402233</v>
      </c>
      <c r="V1766" s="564">
        <f>IF((K1766-MAX(K$470:K1766))/MAX(K$470:K1766)&gt;V1765,V1765,(K1766-MAX(K$470:K1766))/MAX(K$470:K1766))</f>
        <v>-0.84885940676762139</v>
      </c>
      <c r="W1766" s="564">
        <f>IF((N1766-MAX(N$470:N1766))/MAX(N$470:N1766)&gt;W1765,W1765,(N1766-MAX(N$470:N1766))/MAX(N$470:N1766))</f>
        <v>-0.62788758315546067</v>
      </c>
      <c r="X1766" s="564">
        <f>IF((O1766-MAX(O$470:O1766))/MAX(O$470:O1766)&gt;X1765,X1765,(O1766-MAX(O$470:O1766))/MAX(O$470:O1766))</f>
        <v>-0.62788758315546067</v>
      </c>
    </row>
    <row r="1767" spans="1:24">
      <c r="A1767" s="799">
        <v>42169</v>
      </c>
      <c r="B1767">
        <v>232.483</v>
      </c>
      <c r="C1767">
        <v>418.945584</v>
      </c>
      <c r="D1767">
        <v>0.80992399999999998</v>
      </c>
      <c r="E1767">
        <f>LN(D1767/参数实验室!$E$53)/参数实验室!$E$55</f>
        <v>-0.94167781228286329</v>
      </c>
      <c r="F1767">
        <f t="shared" si="218"/>
        <v>1.8020482529905413</v>
      </c>
      <c r="G1767">
        <f>LN(F1767/参数实验室!$E$58)/参数实验室!$E$59</f>
        <v>0.11856908437692247</v>
      </c>
      <c r="H1767" s="856">
        <f>INDEX(神经网络!$G$10:$BO$70,MATCH(ROUND(G1767*2,1)/2,神经网络!$E$10:$E$70,0),MATCH(ROUND(E1767*2,1)/2,神经网络!$G$8:$BO$8,0))</f>
        <v>-1.6113682648580298E-2</v>
      </c>
      <c r="I1767">
        <f t="shared" si="220"/>
        <v>994.96641359817363</v>
      </c>
      <c r="J1767">
        <f t="shared" si="221"/>
        <v>92.766848888711408</v>
      </c>
      <c r="K1767">
        <f t="shared" si="222"/>
        <v>10.725452308850052</v>
      </c>
      <c r="L1767" s="4">
        <f>MIN(MAX(L1766*(1+MAX(MIN(((B1767-B1766)/B1766)/($K$7*卓尔金历!$N$40),0),-卓尔金历!$M$43))+MIN(MAX(((B1767-B1766)/B1766)/($K$7*卓尔金历!$N$40),0),卓尔金历!$M$43),0),1)</f>
        <v>0.99134398360650289</v>
      </c>
      <c r="M1767" s="4">
        <f>MIN(MAX(M1766*(1+MAX(MIN(((B1767-B1766)/B1766)/($K$7*30),0),-卓尔金历!$M$43))+MIN(MAX(((B1767-B1766)/B1766)/($K$7*7),0),卓尔金历!$M$43),0),1)</f>
        <v>1</v>
      </c>
      <c r="N1767">
        <f t="shared" si="223"/>
        <v>796.10005838786219</v>
      </c>
      <c r="O1767">
        <f t="shared" si="224"/>
        <v>2065.3613759143095</v>
      </c>
      <c r="P1767">
        <f t="shared" si="225"/>
        <v>9.6586886940359246E-3</v>
      </c>
      <c r="Q1767">
        <f t="shared" si="216"/>
        <v>1.2403040078793205E-2</v>
      </c>
      <c r="R1767">
        <f t="shared" si="217"/>
        <v>0.26587319941277238</v>
      </c>
      <c r="S1767">
        <f t="shared" si="219"/>
        <v>16.58954792648656</v>
      </c>
      <c r="T1767" s="564">
        <f>IF((I1767-MAX(I$470:I1767))/MAX(I$470:I1767)&gt;T1766,T1766,(I1767-MAX(I$470:I1767))/MAX(I$470:I1767))</f>
        <v>-0.91338805338419748</v>
      </c>
      <c r="U1767" s="564">
        <f>IF((J1767-MAX(J$470:J1767))/MAX(J$470:J1767)&gt;U1766,U1766,(J1767-MAX(J$470:J1767))/MAX(J$470:J1767))</f>
        <v>-0.8283551177402233</v>
      </c>
      <c r="V1767" s="564">
        <f>IF((K1767-MAX(K$470:K1767))/MAX(K$470:K1767)&gt;V1766,V1766,(K1767-MAX(K$470:K1767))/MAX(K$470:K1767))</f>
        <v>-0.84885940676762139</v>
      </c>
      <c r="W1767" s="564">
        <f>IF((N1767-MAX(N$470:N1767))/MAX(N$470:N1767)&gt;W1766,W1766,(N1767-MAX(N$470:N1767))/MAX(N$470:N1767))</f>
        <v>-0.62788758315546067</v>
      </c>
      <c r="X1767" s="564">
        <f>IF((O1767-MAX(O$470:O1767))/MAX(O$470:O1767)&gt;X1766,X1766,(O1767-MAX(O$470:O1767))/MAX(O$470:O1767))</f>
        <v>-0.62788758315546067</v>
      </c>
    </row>
    <row r="1768" spans="1:24">
      <c r="A1768" s="799">
        <v>42170</v>
      </c>
      <c r="B1768">
        <v>233.49299999999999</v>
      </c>
      <c r="C1768">
        <v>415.84114699999998</v>
      </c>
      <c r="D1768">
        <v>0.82488799999999995</v>
      </c>
      <c r="E1768">
        <f>LN(D1768/参数实验室!$E$53)/参数实验室!$E$55</f>
        <v>-0.92007982963754642</v>
      </c>
      <c r="F1768">
        <f t="shared" si="218"/>
        <v>1.780957660400954</v>
      </c>
      <c r="G1768">
        <f>LN(F1768/参数实验室!$E$58)/参数实验室!$E$59</f>
        <v>0.11239013245315224</v>
      </c>
      <c r="H1768" s="856">
        <f>INDEX(神经网络!$G$10:$BO$70,MATCH(ROUND(G1768*2,1)/2,神经网络!$E$10:$E$70,0),MATCH(ROUND(E1768*2,1)/2,神经网络!$G$8:$BO$8,0))</f>
        <v>-6.5486849937294242E-2</v>
      </c>
      <c r="I1768">
        <f t="shared" si="220"/>
        <v>994.89676162893261</v>
      </c>
      <c r="J1768">
        <f t="shared" si="221"/>
        <v>93.169865528111274</v>
      </c>
      <c r="K1768">
        <f t="shared" si="222"/>
        <v>10.67831058883252</v>
      </c>
      <c r="L1768" s="4">
        <f>MIN(MAX(L1767*(1+MAX(MIN(((B1768-B1767)/B1767)/($K$7*卓尔金历!$N$40),0),-卓尔金历!$M$43))+MIN(MAX(((B1768-B1767)/B1767)/($K$7*卓尔金历!$N$40),0),卓尔金历!$M$43),0),1)</f>
        <v>1</v>
      </c>
      <c r="M1768" s="4">
        <f>MIN(MAX(M1767*(1+MAX(MIN(((B1768-B1767)/B1767)/($K$7*30),0),-卓尔金历!$M$43))+MIN(MAX(((B1768-B1767)/B1767)/($K$7*7),0),卓尔金历!$M$43),0),1)</f>
        <v>1</v>
      </c>
      <c r="N1768">
        <f t="shared" si="223"/>
        <v>796.04481033077548</v>
      </c>
      <c r="O1768">
        <f t="shared" si="224"/>
        <v>2065.2167916498952</v>
      </c>
      <c r="P1768">
        <f t="shared" si="225"/>
        <v>4.3444036768279437E-3</v>
      </c>
      <c r="Q1768">
        <f t="shared" si="216"/>
        <v>1.2363965874098186E-2</v>
      </c>
      <c r="R1768">
        <f t="shared" si="217"/>
        <v>1</v>
      </c>
      <c r="S1768">
        <f t="shared" si="219"/>
        <v>16.589239157201707</v>
      </c>
      <c r="T1768" s="564">
        <f>IF((I1768-MAX(I$470:I1768))/MAX(I$470:I1768)&gt;T1767,T1767,(I1768-MAX(I$470:I1768))/MAX(I$470:I1768))</f>
        <v>-0.91338805338419748</v>
      </c>
      <c r="U1768" s="564">
        <f>IF((J1768-MAX(J$470:J1768))/MAX(J$470:J1768)&gt;U1767,U1767,(J1768-MAX(J$470:J1768))/MAX(J$470:J1768))</f>
        <v>-0.8283551177402233</v>
      </c>
      <c r="V1768" s="564">
        <f>IF((K1768-MAX(K$470:K1768))/MAX(K$470:K1768)&gt;V1767,V1767,(K1768-MAX(K$470:K1768))/MAX(K$470:K1768))</f>
        <v>-0.84885940676762139</v>
      </c>
      <c r="W1768" s="564">
        <f>IF((N1768-MAX(N$470:N1768))/MAX(N$470:N1768)&gt;W1767,W1767,(N1768-MAX(N$470:N1768))/MAX(N$470:N1768))</f>
        <v>-0.62788758315546067</v>
      </c>
      <c r="X1768" s="564">
        <f>IF((O1768-MAX(O$470:O1768))/MAX(O$470:O1768)&gt;X1767,X1767,(O1768-MAX(O$470:O1768))/MAX(O$470:O1768))</f>
        <v>-0.62788758315546067</v>
      </c>
    </row>
    <row r="1769" spans="1:24">
      <c r="A1769" s="799">
        <v>42171</v>
      </c>
      <c r="B1769">
        <v>236.59399999999999</v>
      </c>
      <c r="C1769">
        <v>431.63705700000003</v>
      </c>
      <c r="D1769">
        <v>0.87513200000000002</v>
      </c>
      <c r="E1769">
        <f>LN(D1769/参数实验室!$E$53)/参数实验室!$E$55</f>
        <v>-0.85032442676499642</v>
      </c>
      <c r="F1769">
        <f t="shared" si="218"/>
        <v>1.8243787120552508</v>
      </c>
      <c r="G1769">
        <f>LN(F1769/参数实验室!$E$58)/参数实验室!$E$59</f>
        <v>0.12503295637738529</v>
      </c>
      <c r="H1769" s="856">
        <f>INDEX(神经网络!$G$10:$BO$70,MATCH(ROUND(G1769*2,1)/2,神经网络!$E$10:$E$70,0),MATCH(ROUND(E1769*2,1)/2,神经网络!$G$8:$BO$8,0))</f>
        <v>-6.6879706399616448E-2</v>
      </c>
      <c r="I1769">
        <f t="shared" si="220"/>
        <v>994.03147494820212</v>
      </c>
      <c r="J1769">
        <f t="shared" si="221"/>
        <v>94.407246318981549</v>
      </c>
      <c r="K1769">
        <f t="shared" si="222"/>
        <v>10.529186198160955</v>
      </c>
      <c r="L1769" s="4">
        <f>MIN(MAX(L1768*(1+MAX(MIN(((B1769-B1768)/B1768)/($K$7*卓尔金历!$N$40),0),-卓尔金历!$M$43))+MIN(MAX(((B1769-B1768)/B1768)/($K$7*卓尔金历!$N$40),0),卓尔金历!$M$43),0),1)</f>
        <v>1</v>
      </c>
      <c r="M1769" s="4">
        <f>MIN(MAX(M1768*(1+MAX(MIN(((B1769-B1768)/B1768)/($K$7*30),0),-卓尔金历!$M$43))+MIN(MAX(((B1769-B1768)/B1768)/($K$7*7),0),卓尔金历!$M$43),0),1)</f>
        <v>1</v>
      </c>
      <c r="N1769">
        <f t="shared" si="223"/>
        <v>795.35247018232019</v>
      </c>
      <c r="O1769">
        <f t="shared" si="224"/>
        <v>2063.4206207791508</v>
      </c>
      <c r="P1769">
        <f t="shared" si="225"/>
        <v>1.3280912061603556E-2</v>
      </c>
      <c r="Q1769">
        <f t="shared" si="216"/>
        <v>1.2189315613658106E-2</v>
      </c>
      <c r="R1769">
        <f t="shared" si="217"/>
        <v>1.1303532972417917E-2</v>
      </c>
      <c r="S1769">
        <f t="shared" si="219"/>
        <v>16.57481107959627</v>
      </c>
      <c r="T1769" s="564">
        <f>IF((I1769-MAX(I$470:I1769))/MAX(I$470:I1769)&gt;T1768,T1768,(I1769-MAX(I$470:I1769))/MAX(I$470:I1769))</f>
        <v>-0.91338805338419748</v>
      </c>
      <c r="U1769" s="564">
        <f>IF((J1769-MAX(J$470:J1769))/MAX(J$470:J1769)&gt;U1768,U1768,(J1769-MAX(J$470:J1769))/MAX(J$470:J1769))</f>
        <v>-0.8283551177402233</v>
      </c>
      <c r="V1769" s="564">
        <f>IF((K1769-MAX(K$470:K1769))/MAX(K$470:K1769)&gt;V1768,V1768,(K1769-MAX(K$470:K1769))/MAX(K$470:K1769))</f>
        <v>-0.84885940676762139</v>
      </c>
      <c r="W1769" s="564">
        <f>IF((N1769-MAX(N$470:N1769))/MAX(N$470:N1769)&gt;W1768,W1768,(N1769-MAX(N$470:N1769))/MAX(N$470:N1769))</f>
        <v>-0.62788758315546067</v>
      </c>
      <c r="X1769" s="564">
        <f>IF((O1769-MAX(O$470:O1769))/MAX(O$470:O1769)&gt;X1768,X1768,(O1769-MAX(O$470:O1769))/MAX(O$470:O1769))</f>
        <v>-0.62788758315546067</v>
      </c>
    </row>
    <row r="1770" spans="1:24">
      <c r="A1770" s="799">
        <v>42172</v>
      </c>
      <c r="B1770">
        <v>252.393</v>
      </c>
      <c r="C1770">
        <v>427.845326</v>
      </c>
      <c r="D1770">
        <v>0.863259</v>
      </c>
      <c r="E1770">
        <f>LN(D1770/参数实验室!$E$53)/参数实验室!$E$55</f>
        <v>-0.86643982090939531</v>
      </c>
      <c r="F1770">
        <f t="shared" si="218"/>
        <v>1.6951552776820276</v>
      </c>
      <c r="G1770">
        <f>LN(F1770/参数实验室!$E$58)/参数实验室!$E$59</f>
        <v>8.647447462091902E-2</v>
      </c>
      <c r="H1770" s="856">
        <f>INDEX(神经网络!$G$10:$BO$70,MATCH(ROUND(G1770*2,1)/2,神经网络!$E$10:$E$70,0),MATCH(ROUND(E1770*2,1)/2,神经网络!$G$8:$BO$8,0))</f>
        <v>-0.1058115802451777</v>
      </c>
      <c r="I1770">
        <f t="shared" si="220"/>
        <v>989.59211493073883</v>
      </c>
      <c r="J1770">
        <f t="shared" si="221"/>
        <v>100.7114640277721</v>
      </c>
      <c r="K1770">
        <f t="shared" si="222"/>
        <v>9.8260126042637008</v>
      </c>
      <c r="L1770" s="4">
        <f>MIN(MAX(L1769*(1+MAX(MIN(((B1770-B1769)/B1769)/($K$7*卓尔金历!$N$40),0),-卓尔金历!$M$43))+MIN(MAX(((B1770-B1769)/B1769)/($K$7*卓尔金历!$N$40),0),卓尔金历!$M$43),0),1)</f>
        <v>1</v>
      </c>
      <c r="M1770" s="4">
        <f>MIN(MAX(M1769*(1+MAX(MIN(((B1770-B1769)/B1769)/($K$7*30),0),-卓尔金历!$M$43))+MIN(MAX(((B1770-B1769)/B1769)/($K$7*7),0),卓尔金历!$M$43),0),1)</f>
        <v>1</v>
      </c>
      <c r="N1770">
        <f t="shared" si="223"/>
        <v>791.80041368823174</v>
      </c>
      <c r="O1770">
        <f t="shared" si="224"/>
        <v>2054.2053522147689</v>
      </c>
      <c r="P1770">
        <f t="shared" si="225"/>
        <v>6.6776841340017101E-2</v>
      </c>
      <c r="Q1770">
        <f t="shared" si="216"/>
        <v>1.8746641045798897E-2</v>
      </c>
      <c r="R1770">
        <f t="shared" si="217"/>
        <v>0</v>
      </c>
      <c r="S1770">
        <f t="shared" si="219"/>
        <v>16.573974354061633</v>
      </c>
      <c r="T1770" s="564">
        <f>IF((I1770-MAX(I$470:I1770))/MAX(I$470:I1770)&gt;T1769,T1769,(I1770-MAX(I$470:I1770))/MAX(I$470:I1770))</f>
        <v>-0.91338805338419748</v>
      </c>
      <c r="U1770" s="564">
        <f>IF((J1770-MAX(J$470:J1770))/MAX(J$470:J1770)&gt;U1769,U1769,(J1770-MAX(J$470:J1770))/MAX(J$470:J1770))</f>
        <v>-0.8283551177402233</v>
      </c>
      <c r="V1770" s="564">
        <f>IF((K1770-MAX(K$470:K1770))/MAX(K$470:K1770)&gt;V1769,V1769,(K1770-MAX(K$470:K1770))/MAX(K$470:K1770))</f>
        <v>-0.84885940676762139</v>
      </c>
      <c r="W1770" s="564">
        <f>IF((N1770-MAX(N$470:N1770))/MAX(N$470:N1770)&gt;W1769,W1769,(N1770-MAX(N$470:N1770))/MAX(N$470:N1770))</f>
        <v>-0.62788758315546067</v>
      </c>
      <c r="X1770" s="564">
        <f>IF((O1770-MAX(O$470:O1770))/MAX(O$470:O1770)&gt;X1769,X1769,(O1770-MAX(O$470:O1770))/MAX(O$470:O1770))</f>
        <v>-0.62788758315546067</v>
      </c>
    </row>
    <row r="1771" spans="1:24">
      <c r="A1771" s="799">
        <v>42173</v>
      </c>
      <c r="B1771">
        <v>248.93799999999999</v>
      </c>
      <c r="C1771">
        <v>420.600031</v>
      </c>
      <c r="D1771">
        <v>0.86709800000000004</v>
      </c>
      <c r="E1771">
        <f>LN(D1771/参数实验室!$E$53)/参数实验室!$E$55</f>
        <v>-0.86120497037308785</v>
      </c>
      <c r="F1771">
        <f t="shared" si="218"/>
        <v>1.6895774490033664</v>
      </c>
      <c r="G1771">
        <f>LN(F1771/参数实验室!$E$58)/参数实验室!$E$59</f>
        <v>8.4744619521492051E-2</v>
      </c>
      <c r="H1771" s="856">
        <f>INDEX(神经网络!$G$10:$BO$70,MATCH(ROUND(G1771*2,1)/2,神经网络!$E$10:$E$70,0),MATCH(ROUND(E1771*2,1)/2,神经网络!$G$8:$BO$8,0))</f>
        <v>-0.1058115802451777</v>
      </c>
      <c r="I1771">
        <f t="shared" si="220"/>
        <v>991.02549107599611</v>
      </c>
      <c r="J1771">
        <f t="shared" si="221"/>
        <v>99.332827899924041</v>
      </c>
      <c r="K1771">
        <f t="shared" si="222"/>
        <v>9.976817453283779</v>
      </c>
      <c r="L1771" s="4">
        <f>MIN(MAX(L1770*(1+MAX(MIN(((B1771-B1770)/B1770)/($K$7*卓尔金历!$N$40),0),-卓尔金历!$M$43))+MIN(MAX(((B1771-B1770)/B1770)/($K$7*卓尔金历!$N$40),0),卓尔金历!$M$43),0),1)</f>
        <v>0.79084568714454473</v>
      </c>
      <c r="M1771" s="4">
        <f>MIN(MAX(M1770*(1+MAX(MIN(((B1771-B1770)/B1770)/($K$7*30),0),-卓尔金历!$M$43))+MIN(MAX(((B1771-B1770)/B1770)/($K$7*7),0),卓尔金历!$M$43),0),1)</f>
        <v>0.89542284357227231</v>
      </c>
      <c r="N1771">
        <f t="shared" si="223"/>
        <v>792.94729815473238</v>
      </c>
      <c r="O1771">
        <f t="shared" si="224"/>
        <v>2057.1807689596067</v>
      </c>
      <c r="P1771">
        <f t="shared" si="225"/>
        <v>-1.3688969186942635E-2</v>
      </c>
      <c r="Q1771">
        <f t="shared" si="216"/>
        <v>1.9047492621693699E-2</v>
      </c>
      <c r="R1771">
        <f t="shared" si="217"/>
        <v>0.35528463498894958</v>
      </c>
      <c r="S1771">
        <f t="shared" si="219"/>
        <v>16.573974354061633</v>
      </c>
      <c r="T1771" s="564">
        <f>IF((I1771-MAX(I$470:I1771))/MAX(I$470:I1771)&gt;T1770,T1770,(I1771-MAX(I$470:I1771))/MAX(I$470:I1771))</f>
        <v>-0.91338805338419748</v>
      </c>
      <c r="U1771" s="564">
        <f>IF((J1771-MAX(J$470:J1771))/MAX(J$470:J1771)&gt;U1770,U1770,(J1771-MAX(J$470:J1771))/MAX(J$470:J1771))</f>
        <v>-0.8283551177402233</v>
      </c>
      <c r="V1771" s="564">
        <f>IF((K1771-MAX(K$470:K1771))/MAX(K$470:K1771)&gt;V1770,V1770,(K1771-MAX(K$470:K1771))/MAX(K$470:K1771))</f>
        <v>-0.84885940676762139</v>
      </c>
      <c r="W1771" s="564">
        <f>IF((N1771-MAX(N$470:N1771))/MAX(N$470:N1771)&gt;W1770,W1770,(N1771-MAX(N$470:N1771))/MAX(N$470:N1771))</f>
        <v>-0.62788758315546067</v>
      </c>
      <c r="X1771" s="564">
        <f>IF((O1771-MAX(O$470:O1771))/MAX(O$470:O1771)&gt;X1770,X1770,(O1771-MAX(O$470:O1771))/MAX(O$470:O1771))</f>
        <v>-0.62788758315546067</v>
      </c>
    </row>
    <row r="1772" spans="1:24">
      <c r="A1772" s="799">
        <v>42174</v>
      </c>
      <c r="B1772">
        <v>249.827</v>
      </c>
      <c r="C1772">
        <v>420.36979500000001</v>
      </c>
      <c r="D1772">
        <v>0.85251699999999997</v>
      </c>
      <c r="E1772">
        <f>LN(D1772/参数实验室!$E$53)/参数实验室!$E$55</f>
        <v>-0.881212232843399</v>
      </c>
      <c r="F1772">
        <f t="shared" si="218"/>
        <v>1.6826435693499902</v>
      </c>
      <c r="G1772">
        <f>LN(F1772/参数实验室!$E$58)/参数实验室!$E$59</f>
        <v>8.2586231990364842E-2</v>
      </c>
      <c r="H1772" s="856">
        <f>INDEX(神经网络!$G$10:$BO$70,MATCH(ROUND(G1772*2,1)/2,神经网络!$E$10:$E$70,0),MATCH(ROUND(E1772*2,1)/2,神经网络!$G$8:$BO$8,0))</f>
        <v>-6.5486849937294242E-2</v>
      </c>
      <c r="I1772">
        <f t="shared" si="220"/>
        <v>990.65101110813021</v>
      </c>
      <c r="J1772">
        <f t="shared" si="221"/>
        <v>99.687562347871051</v>
      </c>
      <c r="K1772">
        <f t="shared" si="222"/>
        <v>9.9375587864325663</v>
      </c>
      <c r="L1772" s="4">
        <f>MIN(MAX(L1771*(1+MAX(MIN(((B1772-B1771)/B1771)/($K$7*卓尔金历!$N$40),0),-卓尔金历!$M$43))+MIN(MAX(((B1772-B1771)/B1771)/($K$7*卓尔金历!$N$40),0),卓尔金历!$M$43),0),1)</f>
        <v>0.84540974281511116</v>
      </c>
      <c r="M1772" s="4">
        <f>MIN(MAX(M1771*(1+MAX(MIN(((B1772-B1771)/B1771)/($K$7*30),0),-卓尔金历!$M$43))+MIN(MAX(((B1772-B1771)/B1771)/($K$7*7),0),卓尔金历!$M$43),0),1)</f>
        <v>1</v>
      </c>
      <c r="N1772">
        <f t="shared" si="223"/>
        <v>792.71033553662778</v>
      </c>
      <c r="O1772">
        <f t="shared" si="224"/>
        <v>2056.4847126240579</v>
      </c>
      <c r="P1772">
        <f t="shared" si="225"/>
        <v>3.5711703315685433E-3</v>
      </c>
      <c r="Q1772">
        <f t="shared" ref="Q1772:Q1835" si="226">STDEVP(P1752:P1772)</f>
        <v>1.9048691016364937E-2</v>
      </c>
      <c r="R1772">
        <f t="shared" ref="R1772:R1835" si="227">MIN(Q1771*MAX(1-LN(MAX(ABS(P1772),0.0001)/Q1772),0)+MAX(-LN(MAX(ABS(P1772),0.0001)/Q1772),0),1)</f>
        <v>1</v>
      </c>
      <c r="S1772">
        <f t="shared" si="219"/>
        <v>16.571749267792292</v>
      </c>
      <c r="T1772" s="564">
        <f>IF((I1772-MAX(I$470:I1772))/MAX(I$470:I1772)&gt;T1771,T1771,(I1772-MAX(I$470:I1772))/MAX(I$470:I1772))</f>
        <v>-0.91338805338419748</v>
      </c>
      <c r="U1772" s="564">
        <f>IF((J1772-MAX(J$470:J1772))/MAX(J$470:J1772)&gt;U1771,U1771,(J1772-MAX(J$470:J1772))/MAX(J$470:J1772))</f>
        <v>-0.8283551177402233</v>
      </c>
      <c r="V1772" s="564">
        <f>IF((K1772-MAX(K$470:K1772))/MAX(K$470:K1772)&gt;V1771,V1771,(K1772-MAX(K$470:K1772))/MAX(K$470:K1772))</f>
        <v>-0.84885940676762139</v>
      </c>
      <c r="W1772" s="564">
        <f>IF((N1772-MAX(N$470:N1772))/MAX(N$470:N1772)&gt;W1771,W1771,(N1772-MAX(N$470:N1772))/MAX(N$470:N1772))</f>
        <v>-0.62788758315546067</v>
      </c>
      <c r="X1772" s="564">
        <f>IF((O1772-MAX(O$470:O1772))/MAX(O$470:O1772)&gt;X1771,X1771,(O1772-MAX(O$470:O1772))/MAX(O$470:O1772))</f>
        <v>-0.62788758315546067</v>
      </c>
    </row>
    <row r="1773" spans="1:24">
      <c r="A1773" s="799">
        <v>42175</v>
      </c>
      <c r="B1773">
        <v>243.995</v>
      </c>
      <c r="C1773">
        <v>426.828327</v>
      </c>
      <c r="D1773">
        <v>0.85520700000000005</v>
      </c>
      <c r="E1773">
        <f>LN(D1773/参数实验室!$E$53)/参数实验室!$E$55</f>
        <v>-0.87749554460682189</v>
      </c>
      <c r="F1773">
        <f t="shared" si="218"/>
        <v>1.7493322691038751</v>
      </c>
      <c r="G1773">
        <f>LN(F1773/参数实验室!$E$58)/参数实验室!$E$59</f>
        <v>0.10298628242330878</v>
      </c>
      <c r="H1773" s="856">
        <f>INDEX(神经网络!$G$10:$BO$70,MATCH(ROUND(G1773*2,1)/2,神经网络!$E$10:$E$70,0),MATCH(ROUND(E1773*2,1)/2,神经网络!$G$8:$BO$8,0))</f>
        <v>-6.5486849937294242E-2</v>
      </c>
      <c r="I1773">
        <f t="shared" si="220"/>
        <v>992.16545410051469</v>
      </c>
      <c r="J1773">
        <f t="shared" si="221"/>
        <v>97.360440525118577</v>
      </c>
      <c r="K1773">
        <f t="shared" si="222"/>
        <v>10.190642613665457</v>
      </c>
      <c r="L1773" s="4">
        <f>MIN(MAX(L1772*(1+MAX(MIN(((B1773-B1772)/B1772)/($K$7*卓尔金历!$N$40),0),-卓尔金历!$M$43))+MIN(MAX(((B1773-B1772)/B1772)/($K$7*卓尔金历!$N$40),0),卓尔金历!$M$43),0),1)</f>
        <v>0.54387214593514488</v>
      </c>
      <c r="M1773" s="4">
        <f>MIN(MAX(M1772*(1+MAX(MIN(((B1773-B1772)/B1772)/($K$7*30),0),-卓尔金历!$M$43))+MIN(MAX(((B1773-B1772)/B1772)/($K$7*7),0),卓尔金历!$M$43),0),1)</f>
        <v>0.8216618631127417</v>
      </c>
      <c r="N1773">
        <f t="shared" si="223"/>
        <v>793.73484037086394</v>
      </c>
      <c r="O1773">
        <f t="shared" si="224"/>
        <v>2059.6285330280725</v>
      </c>
      <c r="P1773">
        <f t="shared" si="225"/>
        <v>-2.3344154154675011E-2</v>
      </c>
      <c r="Q1773">
        <f t="shared" si="226"/>
        <v>1.9826629867102399E-2</v>
      </c>
      <c r="R1773">
        <f t="shared" si="227"/>
        <v>1.5937647017752198E-2</v>
      </c>
      <c r="S1773">
        <f t="shared" si="219"/>
        <v>16.597083082898468</v>
      </c>
      <c r="T1773" s="564">
        <f>IF((I1773-MAX(I$470:I1773))/MAX(I$470:I1773)&gt;T1772,T1772,(I1773-MAX(I$470:I1773))/MAX(I$470:I1773))</f>
        <v>-0.91338805338419748</v>
      </c>
      <c r="U1773" s="564">
        <f>IF((J1773-MAX(J$470:J1773))/MAX(J$470:J1773)&gt;U1772,U1772,(J1773-MAX(J$470:J1773))/MAX(J$470:J1773))</f>
        <v>-0.8283551177402233</v>
      </c>
      <c r="V1773" s="564">
        <f>IF((K1773-MAX(K$470:K1773))/MAX(K$470:K1773)&gt;V1772,V1772,(K1773-MAX(K$470:K1773))/MAX(K$470:K1773))</f>
        <v>-0.84885940676762139</v>
      </c>
      <c r="W1773" s="564">
        <f>IF((N1773-MAX(N$470:N1773))/MAX(N$470:N1773)&gt;W1772,W1772,(N1773-MAX(N$470:N1773))/MAX(N$470:N1773))</f>
        <v>-0.62788758315546067</v>
      </c>
      <c r="X1773" s="564">
        <f>IF((O1773-MAX(O$470:O1773))/MAX(O$470:O1773)&gt;X1772,X1772,(O1773-MAX(O$470:O1773))/MAX(O$470:O1773))</f>
        <v>-0.62788758315546067</v>
      </c>
    </row>
    <row r="1774" spans="1:24">
      <c r="A1774" s="799">
        <v>42176</v>
      </c>
      <c r="B1774">
        <v>244.76499999999999</v>
      </c>
      <c r="C1774">
        <v>431.29014799999999</v>
      </c>
      <c r="D1774">
        <v>0.85070299999999999</v>
      </c>
      <c r="E1774">
        <f>LN(D1774/参数实验室!$E$53)/参数实验室!$E$55</f>
        <v>-0.88372520614542349</v>
      </c>
      <c r="F1774">
        <f t="shared" si="218"/>
        <v>1.7620580883704779</v>
      </c>
      <c r="G1774">
        <f>LN(F1774/参数实验室!$E$58)/参数实验室!$E$59</f>
        <v>0.10679060279585754</v>
      </c>
      <c r="H1774" s="856">
        <f>INDEX(神经网络!$G$10:$BO$70,MATCH(ROUND(G1774*2,1)/2,神经网络!$E$10:$E$70,0),MATCH(ROUND(E1774*2,1)/2,神经网络!$G$8:$BO$8,0))</f>
        <v>-6.5486849937294242E-2</v>
      </c>
      <c r="I1774">
        <f t="shared" si="220"/>
        <v>991.96040965920088</v>
      </c>
      <c r="J1774">
        <f t="shared" si="221"/>
        <v>97.667690834364009</v>
      </c>
      <c r="K1774">
        <f t="shared" si="222"/>
        <v>10.156484720637865</v>
      </c>
      <c r="L1774" s="4">
        <f>MIN(MAX(L1773*(1+MAX(MIN(((B1774-B1773)/B1773)/($K$7*卓尔金历!$N$40),0),-卓尔金历!$M$43))+MIN(MAX(((B1774-B1773)/B1773)/($K$7*卓尔金历!$N$40),0),卓尔金历!$M$43),0),1)</f>
        <v>0.59208977779758598</v>
      </c>
      <c r="M1774" s="4">
        <f>MIN(MAX(M1773*(1+MAX(MIN(((B1774-B1773)/B1773)/($K$7*30),0),-卓尔金历!$M$43))+MIN(MAX(((B1774-B1773)/B1773)/($K$7*7),0),卓尔金历!$M$43),0),1)</f>
        <v>0.92498535996082965</v>
      </c>
      <c r="N1774">
        <f t="shared" si="223"/>
        <v>793.64562572419504</v>
      </c>
      <c r="O1774">
        <f t="shared" si="224"/>
        <v>2059.2787925265734</v>
      </c>
      <c r="P1774">
        <f t="shared" si="225"/>
        <v>3.1558023729993719E-3</v>
      </c>
      <c r="Q1774">
        <f t="shared" si="226"/>
        <v>1.9289695319284088E-2</v>
      </c>
      <c r="R1774">
        <f t="shared" si="227"/>
        <v>1</v>
      </c>
      <c r="S1774">
        <f t="shared" si="219"/>
        <v>16.597028416574499</v>
      </c>
      <c r="T1774" s="564">
        <f>IF((I1774-MAX(I$470:I1774))/MAX(I$470:I1774)&gt;T1773,T1773,(I1774-MAX(I$470:I1774))/MAX(I$470:I1774))</f>
        <v>-0.91338805338419748</v>
      </c>
      <c r="U1774" s="564">
        <f>IF((J1774-MAX(J$470:J1774))/MAX(J$470:J1774)&gt;U1773,U1773,(J1774-MAX(J$470:J1774))/MAX(J$470:J1774))</f>
        <v>-0.8283551177402233</v>
      </c>
      <c r="V1774" s="564">
        <f>IF((K1774-MAX(K$470:K1774))/MAX(K$470:K1774)&gt;V1773,V1773,(K1774-MAX(K$470:K1774))/MAX(K$470:K1774))</f>
        <v>-0.84885940676762139</v>
      </c>
      <c r="W1774" s="564">
        <f>IF((N1774-MAX(N$470:N1774))/MAX(N$470:N1774)&gt;W1773,W1773,(N1774-MAX(N$470:N1774))/MAX(N$470:N1774))</f>
        <v>-0.62788758315546067</v>
      </c>
      <c r="X1774" s="564">
        <f>IF((O1774-MAX(O$470:O1774))/MAX(O$470:O1774)&gt;X1773,X1773,(O1774-MAX(O$470:O1774))/MAX(O$470:O1774))</f>
        <v>-0.62788758315546067</v>
      </c>
    </row>
    <row r="1775" spans="1:24">
      <c r="A1775" s="799">
        <v>42177</v>
      </c>
      <c r="B1775">
        <v>243.89099999999999</v>
      </c>
      <c r="C1775">
        <v>419.60987699999998</v>
      </c>
      <c r="D1775">
        <v>0.86017500000000002</v>
      </c>
      <c r="E1775">
        <f>LN(D1775/参数实验室!$E$53)/参数实验室!$E$55</f>
        <v>-0.87066204570932559</v>
      </c>
      <c r="F1775">
        <f t="shared" si="218"/>
        <v>1.7204811862676359</v>
      </c>
      <c r="G1775">
        <f>LN(F1775/参数实验室!$E$58)/参数实验室!$E$59</f>
        <v>9.4257884395128055E-2</v>
      </c>
      <c r="H1775" s="856">
        <f>INDEX(神经网络!$G$10:$BO$70,MATCH(ROUND(G1775*2,1)/2,神经网络!$E$10:$E$70,0),MATCH(ROUND(E1775*2,1)/2,神经网络!$G$8:$BO$8,0))</f>
        <v>-0.1058115802451777</v>
      </c>
      <c r="I1775">
        <f t="shared" si="220"/>
        <v>992.19236830041677</v>
      </c>
      <c r="J1775">
        <f t="shared" si="221"/>
        <v>97.318941782051652</v>
      </c>
      <c r="K1775">
        <f t="shared" si="222"/>
        <v>10.195264664123227</v>
      </c>
      <c r="L1775" s="4">
        <f>MIN(MAX(L1774*(1+MAX(MIN(((B1775-B1774)/B1774)/($K$7*卓尔金历!$N$40),0),-卓尔金历!$M$43))+MIN(MAX(((B1775-B1774)/B1774)/($K$7*卓尔金历!$N$40),0),卓尔金历!$M$43),0),1)</f>
        <v>0.55978656204886001</v>
      </c>
      <c r="M1775" s="4">
        <f>MIN(MAX(M1774*(1+MAX(MIN(((B1775-B1774)/B1774)/($K$7*30),0),-卓尔金历!$M$43))+MIN(MAX(((B1775-B1774)/B1774)/($K$7*7),0),卓尔金历!$M$43),0),1)</f>
        <v>0.89975269865870988</v>
      </c>
      <c r="N1775">
        <f t="shared" si="223"/>
        <v>793.75550869863798</v>
      </c>
      <c r="O1775">
        <f t="shared" si="224"/>
        <v>2059.7242089463525</v>
      </c>
      <c r="P1775">
        <f t="shared" si="225"/>
        <v>-3.5707719649459495E-3</v>
      </c>
      <c r="Q1775">
        <f t="shared" si="226"/>
        <v>1.9297378869521604E-2</v>
      </c>
      <c r="R1775">
        <f t="shared" si="227"/>
        <v>1</v>
      </c>
      <c r="S1775">
        <f t="shared" si="219"/>
        <v>16.600909442593522</v>
      </c>
      <c r="T1775" s="564">
        <f>IF((I1775-MAX(I$470:I1775))/MAX(I$470:I1775)&gt;T1774,T1774,(I1775-MAX(I$470:I1775))/MAX(I$470:I1775))</f>
        <v>-0.91338805338419748</v>
      </c>
      <c r="U1775" s="564">
        <f>IF((J1775-MAX(J$470:J1775))/MAX(J$470:J1775)&gt;U1774,U1774,(J1775-MAX(J$470:J1775))/MAX(J$470:J1775))</f>
        <v>-0.8283551177402233</v>
      </c>
      <c r="V1775" s="564">
        <f>IF((K1775-MAX(K$470:K1775))/MAX(K$470:K1775)&gt;V1774,V1774,(K1775-MAX(K$470:K1775))/MAX(K$470:K1775))</f>
        <v>-0.84885940676762139</v>
      </c>
      <c r="W1775" s="564">
        <f>IF((N1775-MAX(N$470:N1775))/MAX(N$470:N1775)&gt;W1774,W1774,(N1775-MAX(N$470:N1775))/MAX(N$470:N1775))</f>
        <v>-0.62788758315546067</v>
      </c>
      <c r="X1775" s="564">
        <f>IF((O1775-MAX(O$470:O1775))/MAX(O$470:O1775)&gt;X1774,X1774,(O1775-MAX(O$470:O1775))/MAX(O$470:O1775))</f>
        <v>-0.62788758315546067</v>
      </c>
    </row>
    <row r="1776" spans="1:24">
      <c r="A1776" s="799">
        <v>42178</v>
      </c>
      <c r="B1776">
        <v>246.69800000000001</v>
      </c>
      <c r="C1776">
        <v>421.67805900000002</v>
      </c>
      <c r="D1776">
        <v>0.85051100000000002</v>
      </c>
      <c r="E1776">
        <f>LN(D1776/参数实验室!$E$53)/参数实验室!$E$55</f>
        <v>-0.88399150141903904</v>
      </c>
      <c r="F1776">
        <f t="shared" si="218"/>
        <v>1.7092885187557256</v>
      </c>
      <c r="G1776">
        <f>LN(F1776/参数实验室!$E$58)/参数实验室!$E$59</f>
        <v>9.083226800930104E-2</v>
      </c>
      <c r="H1776" s="856">
        <f>INDEX(神经网络!$G$10:$BO$70,MATCH(ROUND(G1776*2,1)/2,神经网络!$E$10:$E$70,0),MATCH(ROUND(E1776*2,1)/2,神经网络!$G$8:$BO$8,0))</f>
        <v>-6.5486849937294242E-2</v>
      </c>
      <c r="I1776">
        <f t="shared" si="220"/>
        <v>990.98406567010818</v>
      </c>
      <c r="J1776">
        <f t="shared" si="221"/>
        <v>98.439008818482762</v>
      </c>
      <c r="K1776">
        <f t="shared" si="222"/>
        <v>10.066985411214771</v>
      </c>
      <c r="L1776" s="4">
        <f>MIN(MAX(L1775*(1+MAX(MIN(((B1776-B1775)/B1775)/($K$7*卓尔金历!$N$40),0),-卓尔金历!$M$43))+MIN(MAX(((B1776-B1775)/B1775)/($K$7*卓尔金历!$N$40),0),卓尔金历!$M$43),0),1)</f>
        <v>0.73563670134718806</v>
      </c>
      <c r="M1776" s="4">
        <f>MIN(MAX(M1775*(1+MAX(MIN(((B1776-B1775)/B1775)/($K$7*30),0),-卓尔金历!$M$43))+MIN(MAX(((B1776-B1775)/B1775)/($K$7*7),0),卓尔金历!$M$43),0),1)</f>
        <v>1</v>
      </c>
      <c r="N1776">
        <f t="shared" si="223"/>
        <v>793.21439433804358</v>
      </c>
      <c r="O1776">
        <f t="shared" si="224"/>
        <v>2057.4673102271313</v>
      </c>
      <c r="P1776">
        <f t="shared" si="225"/>
        <v>1.1509239783345906E-2</v>
      </c>
      <c r="Q1776">
        <f t="shared" si="226"/>
        <v>1.6834003914800548E-2</v>
      </c>
      <c r="R1776">
        <f t="shared" si="227"/>
        <v>0.40688593206074353</v>
      </c>
      <c r="S1776">
        <f t="shared" si="219"/>
        <v>16.580692674972784</v>
      </c>
      <c r="T1776" s="564">
        <f>IF((I1776-MAX(I$470:I1776))/MAX(I$470:I1776)&gt;T1775,T1775,(I1776-MAX(I$470:I1776))/MAX(I$470:I1776))</f>
        <v>-0.91338805338419748</v>
      </c>
      <c r="U1776" s="564">
        <f>IF((J1776-MAX(J$470:J1776))/MAX(J$470:J1776)&gt;U1775,U1775,(J1776-MAX(J$470:J1776))/MAX(J$470:J1776))</f>
        <v>-0.8283551177402233</v>
      </c>
      <c r="V1776" s="564">
        <f>IF((K1776-MAX(K$470:K1776))/MAX(K$470:K1776)&gt;V1775,V1775,(K1776-MAX(K$470:K1776))/MAX(K$470:K1776))</f>
        <v>-0.84885940676762139</v>
      </c>
      <c r="W1776" s="564">
        <f>IF((N1776-MAX(N$470:N1776))/MAX(N$470:N1776)&gt;W1775,W1775,(N1776-MAX(N$470:N1776))/MAX(N$470:N1776))</f>
        <v>-0.62788758315546067</v>
      </c>
      <c r="X1776" s="564">
        <f>IF((O1776-MAX(O$470:O1776))/MAX(O$470:O1776)&gt;X1775,X1775,(O1776-MAX(O$470:O1776))/MAX(O$470:O1776))</f>
        <v>-0.62788758315546067</v>
      </c>
    </row>
    <row r="1777" spans="1:24">
      <c r="A1777" s="799">
        <v>42179</v>
      </c>
      <c r="B1777">
        <v>244.15700000000001</v>
      </c>
      <c r="C1777">
        <v>417.72076900000002</v>
      </c>
      <c r="D1777">
        <v>0.83795600000000003</v>
      </c>
      <c r="E1777">
        <f>LN(D1777/参数实验室!$E$53)/参数实验室!$E$55</f>
        <v>-0.9015364993013788</v>
      </c>
      <c r="F1777">
        <f t="shared" si="218"/>
        <v>1.7108695183836631</v>
      </c>
      <c r="G1777">
        <f>LN(F1777/参数实验室!$E$58)/参数实验室!$E$59</f>
        <v>9.1317505297711279E-2</v>
      </c>
      <c r="H1777" s="856">
        <f>INDEX(神经网络!$G$10:$BO$70,MATCH(ROUND(G1777*2,1)/2,神经网络!$E$10:$E$70,0),MATCH(ROUND(E1777*2,1)/2,神经网络!$G$8:$BO$8,0))</f>
        <v>-6.5486849937294242E-2</v>
      </c>
      <c r="I1777">
        <f t="shared" si="220"/>
        <v>991.65250163397377</v>
      </c>
      <c r="J1777">
        <f t="shared" si="221"/>
        <v>97.425082797972806</v>
      </c>
      <c r="K1777">
        <f t="shared" si="222"/>
        <v>10.178615949347778</v>
      </c>
      <c r="L1777" s="4">
        <f>MIN(MAX(L1776*(1+MAX(MIN(((B1777-B1776)/B1776)/($K$7*卓尔金历!$N$40),0),-卓尔金历!$M$43))+MIN(MAX(((B1777-B1776)/B1776)/($K$7*卓尔金历!$N$40),0),卓尔金历!$M$43),0),1)</f>
        <v>0.61986604295375125</v>
      </c>
      <c r="M1777" s="4">
        <f>MIN(MAX(M1776*(1+MAX(MIN(((B1777-B1776)/B1776)/($K$7*30),0),-卓尔金历!$M$43))+MIN(MAX(((B1777-B1776)/B1776)/($K$7*7),0),卓尔金历!$M$43),0),1)</f>
        <v>0.92131261383409535</v>
      </c>
      <c r="N1777">
        <f t="shared" si="223"/>
        <v>793.60798710770712</v>
      </c>
      <c r="O1777">
        <f t="shared" si="224"/>
        <v>2058.8551076623035</v>
      </c>
      <c r="P1777">
        <f t="shared" si="225"/>
        <v>-1.0300042967514925E-2</v>
      </c>
      <c r="Q1777">
        <f t="shared" si="226"/>
        <v>1.7015242549342918E-2</v>
      </c>
      <c r="R1777">
        <f t="shared" si="227"/>
        <v>0.52724552175583561</v>
      </c>
      <c r="S1777">
        <f t="shared" si="219"/>
        <v>16.585243273071388</v>
      </c>
      <c r="T1777" s="564">
        <f>IF((I1777-MAX(I$470:I1777))/MAX(I$470:I1777)&gt;T1776,T1776,(I1777-MAX(I$470:I1777))/MAX(I$470:I1777))</f>
        <v>-0.91338805338419748</v>
      </c>
      <c r="U1777" s="564">
        <f>IF((J1777-MAX(J$470:J1777))/MAX(J$470:J1777)&gt;U1776,U1776,(J1777-MAX(J$470:J1777))/MAX(J$470:J1777))</f>
        <v>-0.8283551177402233</v>
      </c>
      <c r="V1777" s="564">
        <f>IF((K1777-MAX(K$470:K1777))/MAX(K$470:K1777)&gt;V1776,V1776,(K1777-MAX(K$470:K1777))/MAX(K$470:K1777))</f>
        <v>-0.84885940676762139</v>
      </c>
      <c r="W1777" s="564">
        <f>IF((N1777-MAX(N$470:N1777))/MAX(N$470:N1777)&gt;W1776,W1776,(N1777-MAX(N$470:N1777))/MAX(N$470:N1777))</f>
        <v>-0.62788758315546067</v>
      </c>
      <c r="X1777" s="564">
        <f>IF((O1777-MAX(O$470:O1777))/MAX(O$470:O1777)&gt;X1776,X1776,(O1777-MAX(O$470:O1777))/MAX(O$470:O1777))</f>
        <v>-0.62788758315546067</v>
      </c>
    </row>
    <row r="1778" spans="1:24">
      <c r="A1778" s="799">
        <v>42180</v>
      </c>
      <c r="B1778">
        <v>240.82300000000001</v>
      </c>
      <c r="C1778">
        <v>415.79251099999999</v>
      </c>
      <c r="D1778">
        <v>0.84484899999999996</v>
      </c>
      <c r="E1778">
        <f>LN(D1778/参数实验室!$E$53)/参数实验室!$E$55</f>
        <v>-0.89187158317400617</v>
      </c>
      <c r="F1778">
        <f t="shared" si="218"/>
        <v>1.7265481743853368</v>
      </c>
      <c r="G1778">
        <f>LN(F1778/参数实验室!$E$58)/参数实验室!$E$59</f>
        <v>9.6105438446956307E-2</v>
      </c>
      <c r="H1778" s="856">
        <f>INDEX(神经网络!$G$10:$BO$70,MATCH(ROUND(G1778*2,1)/2,神经网络!$E$10:$E$70,0),MATCH(ROUND(E1778*2,1)/2,神经网络!$G$8:$BO$8,0))</f>
        <v>-6.5486849937294242E-2</v>
      </c>
      <c r="I1778">
        <f t="shared" si="220"/>
        <v>992.53926966443714</v>
      </c>
      <c r="J1778">
        <f t="shared" si="221"/>
        <v>96.094728861577607</v>
      </c>
      <c r="K1778">
        <f t="shared" si="222"/>
        <v>10.328758730295901</v>
      </c>
      <c r="L1778" s="4">
        <f>MIN(MAX(L1777*(1+MAX(MIN(((B1778-B1777)/B1777)/($K$7*卓尔金历!$N$40),0),-卓尔金历!$M$43))+MIN(MAX(((B1778-B1777)/B1777)/($K$7*卓尔金历!$N$40),0),卓尔金历!$M$43),0),1)</f>
        <v>0.49053870457380477</v>
      </c>
      <c r="M1778" s="4">
        <f>MIN(MAX(M1777*(1+MAX(MIN(((B1778-B1777)/B1777)/($K$7*30),0),-卓尔金历!$M$43))+MIN(MAX(((B1778-B1777)/B1777)/($K$7*7),0),卓尔金历!$M$43),0),1)</f>
        <v>0.82520240621950836</v>
      </c>
      <c r="N1778">
        <f t="shared" si="223"/>
        <v>794.0478875429568</v>
      </c>
      <c r="O1778">
        <f t="shared" si="224"/>
        <v>2060.5513321051649</v>
      </c>
      <c r="P1778">
        <f t="shared" si="225"/>
        <v>-1.3655148121905179E-2</v>
      </c>
      <c r="Q1778">
        <f t="shared" si="226"/>
        <v>1.7419100722445336E-2</v>
      </c>
      <c r="R1778">
        <f t="shared" si="227"/>
        <v>0.26460836051157133</v>
      </c>
      <c r="S1778">
        <f t="shared" si="219"/>
        <v>16.593062886102381</v>
      </c>
      <c r="T1778" s="564">
        <f>IF((I1778-MAX(I$470:I1778))/MAX(I$470:I1778)&gt;T1777,T1777,(I1778-MAX(I$470:I1778))/MAX(I$470:I1778))</f>
        <v>-0.91338805338419748</v>
      </c>
      <c r="U1778" s="564">
        <f>IF((J1778-MAX(J$470:J1778))/MAX(J$470:J1778)&gt;U1777,U1777,(J1778-MAX(J$470:J1778))/MAX(J$470:J1778))</f>
        <v>-0.8283551177402233</v>
      </c>
      <c r="V1778" s="564">
        <f>IF((K1778-MAX(K$470:K1778))/MAX(K$470:K1778)&gt;V1777,V1777,(K1778-MAX(K$470:K1778))/MAX(K$470:K1778))</f>
        <v>-0.84885940676762139</v>
      </c>
      <c r="W1778" s="564">
        <f>IF((N1778-MAX(N$470:N1778))/MAX(N$470:N1778)&gt;W1777,W1777,(N1778-MAX(N$470:N1778))/MAX(N$470:N1778))</f>
        <v>-0.62788758315546067</v>
      </c>
      <c r="X1778" s="564">
        <f>IF((O1778-MAX(O$470:O1778))/MAX(O$470:O1778)&gt;X1777,X1777,(O1778-MAX(O$470:O1778))/MAX(O$470:O1778))</f>
        <v>-0.62788758315546067</v>
      </c>
    </row>
    <row r="1779" spans="1:24">
      <c r="A1779" s="799">
        <v>42181</v>
      </c>
      <c r="B1779">
        <v>242.67599999999999</v>
      </c>
      <c r="C1779">
        <v>411.62688500000002</v>
      </c>
      <c r="D1779">
        <v>0.84717299999999995</v>
      </c>
      <c r="E1779">
        <f>LN(D1779/参数实验室!$E$53)/参数实验室!$E$55</f>
        <v>-0.88863078812156759</v>
      </c>
      <c r="F1779">
        <f t="shared" si="218"/>
        <v>1.6961993975506438</v>
      </c>
      <c r="G1779">
        <f>LN(F1779/参数实验室!$E$58)/参数实验室!$E$59</f>
        <v>8.6797655534919041E-2</v>
      </c>
      <c r="H1779" s="856">
        <f>INDEX(神经网络!$G$10:$BO$70,MATCH(ROUND(G1779*2,1)/2,神经网络!$E$10:$E$70,0),MATCH(ROUND(E1779*2,1)/2,神经网络!$G$8:$BO$8,0))</f>
        <v>-6.5486849937294242E-2</v>
      </c>
      <c r="I1779">
        <f t="shared" si="220"/>
        <v>992.0391438679062</v>
      </c>
      <c r="J1779">
        <f t="shared" si="221"/>
        <v>96.834124735644878</v>
      </c>
      <c r="K1779">
        <f t="shared" si="222"/>
        <v>10.244726707409729</v>
      </c>
      <c r="L1779" s="4">
        <f>MIN(MAX(L1778*(1+MAX(MIN(((B1779-B1778)/B1778)/($K$7*卓尔金历!$N$40),0),-卓尔金历!$M$43))+MIN(MAX(((B1779-B1778)/B1778)/($K$7*卓尔金历!$N$40),0),卓尔金历!$M$43),0),1)</f>
        <v>0.60810248298750458</v>
      </c>
      <c r="M1779" s="4">
        <f>MIN(MAX(M1778*(1+MAX(MIN(((B1779-B1778)/B1778)/($K$7*30),0),-卓尔金历!$M$43))+MIN(MAX(((B1779-B1778)/B1778)/($K$7*7),0),卓尔金历!$M$43),0),1)</f>
        <v>1</v>
      </c>
      <c r="N1779">
        <f t="shared" si="223"/>
        <v>793.8516186232506</v>
      </c>
      <c r="O1779">
        <f t="shared" si="224"/>
        <v>2059.6945399503597</v>
      </c>
      <c r="P1779">
        <f t="shared" si="225"/>
        <v>7.6944477894552435E-3</v>
      </c>
      <c r="Q1779">
        <f t="shared" si="226"/>
        <v>1.72991983326569E-2</v>
      </c>
      <c r="R1779">
        <f t="shared" si="227"/>
        <v>0.84169253836474711</v>
      </c>
      <c r="S1779">
        <f t="shared" si="219"/>
        <v>16.590850496144231</v>
      </c>
      <c r="T1779" s="564">
        <f>IF((I1779-MAX(I$470:I1779))/MAX(I$470:I1779)&gt;T1778,T1778,(I1779-MAX(I$470:I1779))/MAX(I$470:I1779))</f>
        <v>-0.91338805338419748</v>
      </c>
      <c r="U1779" s="564">
        <f>IF((J1779-MAX(J$470:J1779))/MAX(J$470:J1779)&gt;U1778,U1778,(J1779-MAX(J$470:J1779))/MAX(J$470:J1779))</f>
        <v>-0.8283551177402233</v>
      </c>
      <c r="V1779" s="564">
        <f>IF((K1779-MAX(K$470:K1779))/MAX(K$470:K1779)&gt;V1778,V1778,(K1779-MAX(K$470:K1779))/MAX(K$470:K1779))</f>
        <v>-0.84885940676762139</v>
      </c>
      <c r="W1779" s="564">
        <f>IF((N1779-MAX(N$470:N1779))/MAX(N$470:N1779)&gt;W1778,W1778,(N1779-MAX(N$470:N1779))/MAX(N$470:N1779))</f>
        <v>-0.62788758315546067</v>
      </c>
      <c r="X1779" s="564">
        <f>IF((O1779-MAX(O$470:O1779))/MAX(O$470:O1779)&gt;X1778,X1778,(O1779-MAX(O$470:O1779))/MAX(O$470:O1779))</f>
        <v>-0.62788758315546067</v>
      </c>
    </row>
    <row r="1780" spans="1:24">
      <c r="A1780" s="799">
        <v>42182</v>
      </c>
      <c r="B1780">
        <v>243.489</v>
      </c>
      <c r="C1780">
        <v>412.77030000000002</v>
      </c>
      <c r="D1780">
        <v>0.876861</v>
      </c>
      <c r="E1780">
        <f>LN(D1780/参数实验室!$E$53)/参数实验室!$E$55</f>
        <v>-0.84799588547398674</v>
      </c>
      <c r="F1780">
        <f t="shared" si="218"/>
        <v>1.6952318174537659</v>
      </c>
      <c r="G1780">
        <f>LN(F1780/参数实验室!$E$58)/参数实验室!$E$59</f>
        <v>8.6498172333028617E-2</v>
      </c>
      <c r="H1780" s="856">
        <f>INDEX(神经网络!$G$10:$BO$70,MATCH(ROUND(G1780*2,1)/2,神经网络!$E$10:$E$70,0),MATCH(ROUND(E1780*2,1)/2,神经网络!$G$8:$BO$8,0))</f>
        <v>-0.1058115802451777</v>
      </c>
      <c r="I1780">
        <f t="shared" si="220"/>
        <v>991.82149990402752</v>
      </c>
      <c r="J1780">
        <f t="shared" si="221"/>
        <v>97.158533179043005</v>
      </c>
      <c r="K1780">
        <f t="shared" si="222"/>
        <v>10.208279884961895</v>
      </c>
      <c r="L1780" s="4">
        <f>MIN(MAX(L1779*(1+MAX(MIN(((B1780-B1779)/B1779)/($K$7*卓尔金历!$N$40),0),-卓尔金历!$M$43))+MIN(MAX(((B1780-B1779)/B1779)/($K$7*卓尔金历!$N$40),0),卓尔金历!$M$43),0),1)</f>
        <v>0.65928949704024864</v>
      </c>
      <c r="M1780" s="4">
        <f>MIN(MAX(M1779*(1+MAX(MIN(((B1780-B1779)/B1779)/($K$7*30),0),-卓尔金历!$M$43))+MIN(MAX(((B1780-B1779)/B1779)/($K$7*7),0),卓尔金历!$M$43),0),1)</f>
        <v>1</v>
      </c>
      <c r="N1780">
        <f t="shared" si="223"/>
        <v>793.74570936426301</v>
      </c>
      <c r="O1780">
        <f t="shared" si="224"/>
        <v>2059.2426625352145</v>
      </c>
      <c r="P1780">
        <f t="shared" si="225"/>
        <v>3.3501458735104282E-3</v>
      </c>
      <c r="Q1780">
        <f t="shared" si="226"/>
        <v>1.7298382461685812E-2</v>
      </c>
      <c r="R1780">
        <f t="shared" si="227"/>
        <v>1</v>
      </c>
      <c r="S1780">
        <f t="shared" si="219"/>
        <v>16.587786840526913</v>
      </c>
      <c r="T1780" s="564">
        <f>IF((I1780-MAX(I$470:I1780))/MAX(I$470:I1780)&gt;T1779,T1779,(I1780-MAX(I$470:I1780))/MAX(I$470:I1780))</f>
        <v>-0.91338805338419748</v>
      </c>
      <c r="U1780" s="564">
        <f>IF((J1780-MAX(J$470:J1780))/MAX(J$470:J1780)&gt;U1779,U1779,(J1780-MAX(J$470:J1780))/MAX(J$470:J1780))</f>
        <v>-0.8283551177402233</v>
      </c>
      <c r="V1780" s="564">
        <f>IF((K1780-MAX(K$470:K1780))/MAX(K$470:K1780)&gt;V1779,V1779,(K1780-MAX(K$470:K1780))/MAX(K$470:K1780))</f>
        <v>-0.84885940676762139</v>
      </c>
      <c r="W1780" s="564">
        <f>IF((N1780-MAX(N$470:N1780))/MAX(N$470:N1780)&gt;W1779,W1779,(N1780-MAX(N$470:N1780))/MAX(N$470:N1780))</f>
        <v>-0.62788758315546067</v>
      </c>
      <c r="X1780" s="564">
        <f>IF((O1780-MAX(O$470:O1780))/MAX(O$470:O1780)&gt;X1779,X1779,(O1780-MAX(O$470:O1780))/MAX(O$470:O1780))</f>
        <v>-0.62788758315546067</v>
      </c>
    </row>
    <row r="1781" spans="1:24">
      <c r="A1781" s="799">
        <v>42183</v>
      </c>
      <c r="B1781">
        <v>250.655</v>
      </c>
      <c r="C1781">
        <v>416.78642600000001</v>
      </c>
      <c r="D1781">
        <v>0.86825799999999997</v>
      </c>
      <c r="E1781">
        <f>LN(D1781/参数实验室!$E$53)/参数实验室!$E$55</f>
        <v>-0.85962775628348653</v>
      </c>
      <c r="F1781">
        <f t="shared" si="218"/>
        <v>1.6627891963056791</v>
      </c>
      <c r="G1781">
        <f>LN(F1781/参数实验室!$E$58)/参数实验室!$E$59</f>
        <v>7.6356383094096009E-2</v>
      </c>
      <c r="H1781" s="856">
        <f>INDEX(神经网络!$G$10:$BO$70,MATCH(ROUND(G1781*2,1)/2,神经网络!$E$10:$E$70,0),MATCH(ROUND(E1781*2,1)/2,神经网络!$G$8:$BO$8,0))</f>
        <v>-0.1058115802451777</v>
      </c>
      <c r="I1781">
        <f t="shared" si="220"/>
        <v>988.73288205755637</v>
      </c>
      <c r="J1781">
        <f t="shared" si="221"/>
        <v>100.01795618690382</v>
      </c>
      <c r="K1781">
        <f t="shared" si="222"/>
        <v>9.8855537520673646</v>
      </c>
      <c r="L1781" s="4">
        <f>MIN(MAX(L1780*(1+MAX(MIN(((B1781-B1780)/B1780)/($K$7*卓尔金历!$N$40),0),-卓尔金历!$M$43))+MIN(MAX(((B1781-B1780)/B1780)/($K$7*卓尔金历!$N$40),0),卓尔金历!$M$43),0),1)</f>
        <v>1</v>
      </c>
      <c r="M1781" s="4">
        <f>MIN(MAX(M1780*(1+MAX(MIN(((B1781-B1780)/B1780)/($K$7*30),0),-卓尔金历!$M$43))+MIN(MAX(((B1781-B1780)/B1780)/($K$7*7),0),卓尔金历!$M$43),0),1)</f>
        <v>1</v>
      </c>
      <c r="N1781">
        <f t="shared" si="223"/>
        <v>792.11608238477402</v>
      </c>
      <c r="O1781">
        <f t="shared" si="224"/>
        <v>2052.8300029605466</v>
      </c>
      <c r="P1781">
        <f t="shared" si="225"/>
        <v>2.9430487619563909E-2</v>
      </c>
      <c r="Q1781">
        <f t="shared" si="226"/>
        <v>1.8088569866234038E-2</v>
      </c>
      <c r="R1781">
        <f t="shared" si="227"/>
        <v>8.8783793819429049E-3</v>
      </c>
      <c r="S1781">
        <f t="shared" si="219"/>
        <v>16.536131039080718</v>
      </c>
      <c r="T1781" s="564">
        <f>IF((I1781-MAX(I$470:I1781))/MAX(I$470:I1781)&gt;T1780,T1780,(I1781-MAX(I$470:I1781))/MAX(I$470:I1781))</f>
        <v>-0.91338805338419748</v>
      </c>
      <c r="U1781" s="564">
        <f>IF((J1781-MAX(J$470:J1781))/MAX(J$470:J1781)&gt;U1780,U1780,(J1781-MAX(J$470:J1781))/MAX(J$470:J1781))</f>
        <v>-0.8283551177402233</v>
      </c>
      <c r="V1781" s="564">
        <f>IF((K1781-MAX(K$470:K1781))/MAX(K$470:K1781)&gt;V1780,V1780,(K1781-MAX(K$470:K1781))/MAX(K$470:K1781))</f>
        <v>-0.84885940676762139</v>
      </c>
      <c r="W1781" s="564">
        <f>IF((N1781-MAX(N$470:N1781))/MAX(N$470:N1781)&gt;W1780,W1780,(N1781-MAX(N$470:N1781))/MAX(N$470:N1781))</f>
        <v>-0.62788758315546067</v>
      </c>
      <c r="X1781" s="564">
        <f>IF((O1781-MAX(O$470:O1781))/MAX(O$470:O1781)&gt;X1780,X1780,(O1781-MAX(O$470:O1781))/MAX(O$470:O1781))</f>
        <v>-0.62788758315546067</v>
      </c>
    </row>
    <row r="1782" spans="1:24">
      <c r="A1782" s="799">
        <v>42184</v>
      </c>
      <c r="B1782">
        <v>248.75800000000001</v>
      </c>
      <c r="C1782">
        <v>415.97451699999999</v>
      </c>
      <c r="D1782">
        <v>0.894478</v>
      </c>
      <c r="E1782">
        <f>LN(D1782/参数实验室!$E$53)/参数实验室!$E$55</f>
        <v>-0.82452844280961224</v>
      </c>
      <c r="F1782">
        <f t="shared" si="218"/>
        <v>1.6722055853480089</v>
      </c>
      <c r="G1782">
        <f>LN(F1782/参数实验室!$E$58)/参数实验室!$E$59</f>
        <v>7.9320251595982258E-2</v>
      </c>
      <c r="H1782" s="856">
        <f>INDEX(神经网络!$G$10:$BO$70,MATCH(ROUND(G1782*2,1)/2,神经网络!$E$10:$E$70,0),MATCH(ROUND(E1782*2,1)/2,神经网络!$G$8:$BO$8,0))</f>
        <v>-0.13319218732003643</v>
      </c>
      <c r="I1782">
        <f t="shared" si="220"/>
        <v>989.52465952198588</v>
      </c>
      <c r="J1782">
        <f t="shared" si="221"/>
        <v>99.261003152308234</v>
      </c>
      <c r="K1782">
        <f t="shared" si="222"/>
        <v>9.9689165744540968</v>
      </c>
      <c r="L1782" s="4">
        <f>MIN(MAX(L1781*(1+MAX(MIN(((B1782-B1781)/B1781)/($K$7*卓尔金历!$N$40),0),-卓尔金历!$M$43))+MIN(MAX(((B1782-B1781)/B1781)/($K$7*卓尔金历!$N$40),0),卓尔金历!$M$43),0),1)</f>
        <v>0.88436560377697926</v>
      </c>
      <c r="M1782" s="4">
        <f>MIN(MAX(M1781*(1+MAX(MIN(((B1782-B1781)/B1781)/($K$7*30),0),-卓尔金历!$M$43))+MIN(MAX(((B1782-B1781)/B1781)/($K$7*7),0),卓尔金历!$M$43),0),1)</f>
        <v>0.94218280188848968</v>
      </c>
      <c r="N1782">
        <f t="shared" si="223"/>
        <v>792.75040908172707</v>
      </c>
      <c r="O1782">
        <f t="shared" si="224"/>
        <v>2054.47390958502</v>
      </c>
      <c r="P1782">
        <f t="shared" si="225"/>
        <v>-7.5681713909556613E-3</v>
      </c>
      <c r="Q1782">
        <f t="shared" si="226"/>
        <v>1.8109976593931567E-2</v>
      </c>
      <c r="R1782">
        <f t="shared" si="227"/>
        <v>0.90638255628014786</v>
      </c>
      <c r="S1782">
        <f t="shared" si="219"/>
        <v>16.536248607793464</v>
      </c>
      <c r="T1782" s="564">
        <f>IF((I1782-MAX(I$470:I1782))/MAX(I$470:I1782)&gt;T1781,T1781,(I1782-MAX(I$470:I1782))/MAX(I$470:I1782))</f>
        <v>-0.91338805338419748</v>
      </c>
      <c r="U1782" s="564">
        <f>IF((J1782-MAX(J$470:J1782))/MAX(J$470:J1782)&gt;U1781,U1781,(J1782-MAX(J$470:J1782))/MAX(J$470:J1782))</f>
        <v>-0.8283551177402233</v>
      </c>
      <c r="V1782" s="564">
        <f>IF((K1782-MAX(K$470:K1782))/MAX(K$470:K1782)&gt;V1781,V1781,(K1782-MAX(K$470:K1782))/MAX(K$470:K1782))</f>
        <v>-0.84885940676762139</v>
      </c>
      <c r="W1782" s="564">
        <f>IF((N1782-MAX(N$470:N1782))/MAX(N$470:N1782)&gt;W1781,W1781,(N1782-MAX(N$470:N1782))/MAX(N$470:N1782))</f>
        <v>-0.62788758315546067</v>
      </c>
      <c r="X1782" s="564">
        <f>IF((O1782-MAX(O$470:O1782))/MAX(O$470:O1782)&gt;X1781,X1781,(O1782-MAX(O$470:O1782))/MAX(O$470:O1782))</f>
        <v>-0.62788758315546067</v>
      </c>
    </row>
    <row r="1783" spans="1:24">
      <c r="A1783" s="799">
        <v>42185</v>
      </c>
      <c r="B1783">
        <v>256.93900000000002</v>
      </c>
      <c r="C1783">
        <v>417.16966300000001</v>
      </c>
      <c r="D1783">
        <v>0.91895099999999996</v>
      </c>
      <c r="E1783">
        <f>LN(D1783/参数实验室!$E$53)/参数实验室!$E$55</f>
        <v>-0.79268396020396359</v>
      </c>
      <c r="F1783">
        <f t="shared" si="218"/>
        <v>1.6236136320293921</v>
      </c>
      <c r="G1783">
        <f>LN(F1783/参数实验室!$E$58)/参数实验室!$E$59</f>
        <v>6.3842745312306812E-2</v>
      </c>
      <c r="H1783" s="856">
        <f>INDEX(神经网络!$G$10:$BO$70,MATCH(ROUND(G1783*2,1)/2,神经网络!$E$10:$E$70,0),MATCH(ROUND(E1783*2,1)/2,神经网络!$G$8:$BO$8,0))</f>
        <v>-0.18892090073293136</v>
      </c>
      <c r="I1783">
        <f t="shared" si="220"/>
        <v>985.19020242267572</v>
      </c>
      <c r="J1783">
        <f t="shared" si="221"/>
        <v>102.52543793144713</v>
      </c>
      <c r="K1783">
        <f t="shared" si="222"/>
        <v>9.6092269616191821</v>
      </c>
      <c r="L1783" s="4">
        <f>MIN(MAX(L1782*(1+MAX(MIN(((B1783-B1782)/B1782)/($K$7*卓尔金历!$N$40),0),-卓尔金历!$M$43))+MIN(MAX(((B1783-B1782)/B1782)/($K$7*卓尔金历!$N$40),0),卓尔金历!$M$43),0),1)</f>
        <v>1</v>
      </c>
      <c r="M1783" s="4">
        <f>MIN(MAX(M1782*(1+MAX(MIN(((B1783-B1782)/B1782)/($K$7*30),0),-卓尔金历!$M$43))+MIN(MAX(((B1783-B1782)/B1782)/($K$7*7),0),卓尔金历!$M$43),0),1)</f>
        <v>1</v>
      </c>
      <c r="N1783">
        <f t="shared" si="223"/>
        <v>789.67943320454208</v>
      </c>
      <c r="O1783">
        <f t="shared" si="224"/>
        <v>2045.9949241299184</v>
      </c>
      <c r="P1783">
        <f t="shared" si="225"/>
        <v>3.2887384526326835E-2</v>
      </c>
      <c r="Q1783">
        <f t="shared" si="226"/>
        <v>1.8712303871349381E-2</v>
      </c>
      <c r="R1783">
        <f t="shared" si="227"/>
        <v>7.897618327687957E-3</v>
      </c>
      <c r="S1783">
        <f t="shared" si="219"/>
        <v>16.470595298938111</v>
      </c>
      <c r="T1783" s="564">
        <f>IF((I1783-MAX(I$470:I1783))/MAX(I$470:I1783)&gt;T1782,T1782,(I1783-MAX(I$470:I1783))/MAX(I$470:I1783))</f>
        <v>-0.91338805338419748</v>
      </c>
      <c r="U1783" s="564">
        <f>IF((J1783-MAX(J$470:J1783))/MAX(J$470:J1783)&gt;U1782,U1782,(J1783-MAX(J$470:J1783))/MAX(J$470:J1783))</f>
        <v>-0.8283551177402233</v>
      </c>
      <c r="V1783" s="564">
        <f>IF((K1783-MAX(K$470:K1783))/MAX(K$470:K1783)&gt;V1782,V1782,(K1783-MAX(K$470:K1783))/MAX(K$470:K1783))</f>
        <v>-0.84885940676762139</v>
      </c>
      <c r="W1783" s="564">
        <f>IF((N1783-MAX(N$470:N1783))/MAX(N$470:N1783)&gt;W1782,W1782,(N1783-MAX(N$470:N1783))/MAX(N$470:N1783))</f>
        <v>-0.62788758315546067</v>
      </c>
      <c r="X1783" s="564">
        <f>IF((O1783-MAX(O$470:O1783))/MAX(O$470:O1783)&gt;X1782,X1782,(O1783-MAX(O$470:O1783))/MAX(O$470:O1783))</f>
        <v>-0.62788758315546067</v>
      </c>
    </row>
    <row r="1784" spans="1:24">
      <c r="A1784" s="799">
        <v>42186</v>
      </c>
      <c r="B1784">
        <v>264.05700000000002</v>
      </c>
      <c r="C1784">
        <v>416.630291</v>
      </c>
      <c r="D1784">
        <v>0.89877499999999999</v>
      </c>
      <c r="E1784">
        <f>LN(D1784/参数实验室!$E$53)/参数实验室!$E$55</f>
        <v>-0.81887457311931833</v>
      </c>
      <c r="F1784">
        <f t="shared" si="218"/>
        <v>1.5778043793574872</v>
      </c>
      <c r="G1784">
        <f>LN(F1784/参数实验室!$E$58)/参数实验室!$E$59</f>
        <v>4.8821393817821065E-2</v>
      </c>
      <c r="H1784" s="856">
        <f>INDEX(神经网络!$G$10:$BO$70,MATCH(ROUND(G1784*2,1)/2,神经网络!$E$10:$E$70,0),MATCH(ROUND(E1784*2,1)/2,神经网络!$G$8:$BO$8,0))</f>
        <v>-0.18892090073293136</v>
      </c>
      <c r="I1784">
        <f t="shared" si="220"/>
        <v>980.03402270898493</v>
      </c>
      <c r="J1784">
        <f t="shared" si="221"/>
        <v>105.36570767327706</v>
      </c>
      <c r="K1784">
        <f t="shared" si="222"/>
        <v>9.3012617136110407</v>
      </c>
      <c r="L1784" s="4">
        <f>MIN(MAX(L1783*(1+MAX(MIN(((B1784-B1783)/B1783)/($K$7*卓尔金历!$N$40),0),-卓尔金历!$M$43))+MIN(MAX(((B1784-B1783)/B1783)/($K$7*卓尔金历!$N$40),0),卓尔金历!$M$43),0),1)</f>
        <v>1</v>
      </c>
      <c r="M1784" s="4">
        <f>MIN(MAX(M1783*(1+MAX(MIN(((B1784-B1783)/B1783)/($K$7*30),0),-卓尔金历!$M$43))+MIN(MAX(((B1784-B1783)/B1783)/($K$7*7),0),卓尔金历!$M$43),0),1)</f>
        <v>1</v>
      </c>
      <c r="N1784">
        <f t="shared" si="223"/>
        <v>785.54649616985046</v>
      </c>
      <c r="O1784">
        <f t="shared" si="224"/>
        <v>2035.2868217795594</v>
      </c>
      <c r="P1784">
        <f t="shared" si="225"/>
        <v>2.7703073492151811E-2</v>
      </c>
      <c r="Q1784">
        <f t="shared" si="226"/>
        <v>1.9273874716257876E-2</v>
      </c>
      <c r="R1784">
        <f t="shared" si="227"/>
        <v>1.1923614265752612E-2</v>
      </c>
      <c r="S1784">
        <f t="shared" si="219"/>
        <v>16.469914508575108</v>
      </c>
      <c r="T1784" s="564">
        <f>IF((I1784-MAX(I$470:I1784))/MAX(I$470:I1784)&gt;T1783,T1783,(I1784-MAX(I$470:I1784))/MAX(I$470:I1784))</f>
        <v>-0.91338805338419748</v>
      </c>
      <c r="U1784" s="564">
        <f>IF((J1784-MAX(J$470:J1784))/MAX(J$470:J1784)&gt;U1783,U1783,(J1784-MAX(J$470:J1784))/MAX(J$470:J1784))</f>
        <v>-0.8283551177402233</v>
      </c>
      <c r="V1784" s="564">
        <f>IF((K1784-MAX(K$470:K1784))/MAX(K$470:K1784)&gt;V1783,V1783,(K1784-MAX(K$470:K1784))/MAX(K$470:K1784))</f>
        <v>-0.84885940676762139</v>
      </c>
      <c r="W1784" s="564">
        <f>IF((N1784-MAX(N$470:N1784))/MAX(N$470:N1784)&gt;W1783,W1783,(N1784-MAX(N$470:N1784))/MAX(N$470:N1784))</f>
        <v>-0.62788758315546067</v>
      </c>
      <c r="X1784" s="564">
        <f>IF((O1784-MAX(O$470:O1784))/MAX(O$470:O1784)&gt;X1783,X1783,(O1784-MAX(O$470:O1784))/MAX(O$470:O1784))</f>
        <v>-0.62788758315546067</v>
      </c>
    </row>
    <row r="1785" spans="1:24">
      <c r="A1785" s="799">
        <v>42187</v>
      </c>
      <c r="B1785">
        <v>259.08999999999997</v>
      </c>
      <c r="C1785">
        <v>415.85219999999998</v>
      </c>
      <c r="D1785">
        <v>0.88759900000000003</v>
      </c>
      <c r="E1785">
        <f>LN(D1785/参数实验室!$E$53)/参数实验室!$E$55</f>
        <v>-0.83363642509522684</v>
      </c>
      <c r="F1785">
        <f t="shared" si="218"/>
        <v>1.6050492106989851</v>
      </c>
      <c r="G1785">
        <f>LN(F1785/参数实验室!$E$58)/参数实验室!$E$59</f>
        <v>5.7806984102357482E-2</v>
      </c>
      <c r="H1785" s="856">
        <f>INDEX(神经网络!$G$10:$BO$70,MATCH(ROUND(G1785*2,1)/2,神经网络!$E$10:$E$70,0),MATCH(ROUND(E1785*2,1)/2,神经网络!$G$8:$BO$8,0))</f>
        <v>-0.15101802788283913</v>
      </c>
      <c r="I1785">
        <f t="shared" si="220"/>
        <v>983.51673529586958</v>
      </c>
      <c r="J1785">
        <f t="shared" si="221"/>
        <v>103.38374366545612</v>
      </c>
      <c r="K1785">
        <f t="shared" si="222"/>
        <v>9.5132629214750963</v>
      </c>
      <c r="L1785" s="4">
        <f>MIN(MAX(L1784*(1+MAX(MIN(((B1785-B1784)/B1784)/($K$7*卓尔金历!$N$40),0),-卓尔金历!$M$43))+MIN(MAX(((B1785-B1784)/B1784)/($K$7*卓尔金历!$N$40),0),卓尔金历!$M$43),0),1)</f>
        <v>0.71259616852925523</v>
      </c>
      <c r="M1785" s="4">
        <f>MIN(MAX(M1784*(1+MAX(MIN(((B1785-B1784)/B1784)/($K$7*30),0),-卓尔金历!$M$43))+MIN(MAX(((B1785-B1784)/B1784)/($K$7*7),0),卓尔金历!$M$43),0),1)</f>
        <v>0.85629808426462761</v>
      </c>
      <c r="N1785">
        <f t="shared" si="223"/>
        <v>788.33806524439296</v>
      </c>
      <c r="O1785">
        <f t="shared" si="224"/>
        <v>2042.5195492848136</v>
      </c>
      <c r="P1785">
        <f t="shared" si="225"/>
        <v>-1.8810332617578935E-2</v>
      </c>
      <c r="Q1785">
        <f t="shared" si="226"/>
        <v>1.99619687215935E-2</v>
      </c>
      <c r="R1785">
        <f t="shared" si="227"/>
        <v>7.9841751137841227E-2</v>
      </c>
      <c r="S1785">
        <f t="shared" si="219"/>
        <v>16.470612380529385</v>
      </c>
      <c r="T1785" s="564">
        <f>IF((I1785-MAX(I$470:I1785))/MAX(I$470:I1785)&gt;T1784,T1784,(I1785-MAX(I$470:I1785))/MAX(I$470:I1785))</f>
        <v>-0.91338805338419748</v>
      </c>
      <c r="U1785" s="564">
        <f>IF((J1785-MAX(J$470:J1785))/MAX(J$470:J1785)&gt;U1784,U1784,(J1785-MAX(J$470:J1785))/MAX(J$470:J1785))</f>
        <v>-0.8283551177402233</v>
      </c>
      <c r="V1785" s="564">
        <f>IF((K1785-MAX(K$470:K1785))/MAX(K$470:K1785)&gt;V1784,V1784,(K1785-MAX(K$470:K1785))/MAX(K$470:K1785))</f>
        <v>-0.84885940676762139</v>
      </c>
      <c r="W1785" s="564">
        <f>IF((N1785-MAX(N$470:N1785))/MAX(N$470:N1785)&gt;W1784,W1784,(N1785-MAX(N$470:N1785))/MAX(N$470:N1785))</f>
        <v>-0.62788758315546067</v>
      </c>
      <c r="X1785" s="564">
        <f>IF((O1785-MAX(O$470:O1785))/MAX(O$470:O1785)&gt;X1784,X1784,(O1785-MAX(O$470:O1785))/MAX(O$470:O1785))</f>
        <v>-0.62788758315546067</v>
      </c>
    </row>
    <row r="1786" spans="1:24">
      <c r="A1786" s="799">
        <v>42188</v>
      </c>
      <c r="B1786">
        <v>255.81100000000001</v>
      </c>
      <c r="C1786">
        <v>410.869666</v>
      </c>
      <c r="D1786">
        <v>0.89360600000000001</v>
      </c>
      <c r="E1786">
        <f>LN(D1786/参数实验室!$E$53)/参数实验室!$E$55</f>
        <v>-0.82567911012758777</v>
      </c>
      <c r="F1786">
        <f t="shared" si="218"/>
        <v>1.6061454198607565</v>
      </c>
      <c r="G1786">
        <f>LN(F1786/参数实验室!$E$58)/参数实验室!$E$59</f>
        <v>5.8165324159040917E-2</v>
      </c>
      <c r="H1786" s="856">
        <f>INDEX(神经网络!$G$10:$BO$70,MATCH(ROUND(G1786*2,1)/2,神经网络!$E$10:$E$70,0),MATCH(ROUND(E1786*2,1)/2,神经网络!$G$8:$BO$8,0))</f>
        <v>-0.15101802788283913</v>
      </c>
      <c r="I1786">
        <f t="shared" si="220"/>
        <v>985.39649058042653</v>
      </c>
      <c r="J1786">
        <f t="shared" si="221"/>
        <v>102.07533617972133</v>
      </c>
      <c r="K1786">
        <f t="shared" si="222"/>
        <v>9.6536198405995464</v>
      </c>
      <c r="L1786" s="4">
        <f>MIN(MAX(L1785*(1+MAX(MIN(((B1786-B1785)/B1785)/($K$7*卓尔金历!$N$40),0),-卓尔金历!$M$43))+MIN(MAX(((B1786-B1785)/B1785)/($K$7*卓尔金历!$N$40),0),卓尔金历!$M$43),0),1)</f>
        <v>0.57480216230223613</v>
      </c>
      <c r="M1786" s="4">
        <f>MIN(MAX(M1785*(1+MAX(MIN(((B1786-B1785)/B1785)/($K$7*30),0),-卓尔金历!$M$43))+MIN(MAX(((B1786-B1785)/B1785)/($K$7*7),0),卓尔金历!$M$43),0),1)</f>
        <v>0.77350733350962941</v>
      </c>
      <c r="N1786">
        <f t="shared" si="223"/>
        <v>789.41174691806702</v>
      </c>
      <c r="O1786">
        <f t="shared" si="224"/>
        <v>2045.8623520642016</v>
      </c>
      <c r="P1786">
        <f t="shared" si="225"/>
        <v>-1.2655833880118756E-2</v>
      </c>
      <c r="Q1786">
        <f t="shared" si="226"/>
        <v>2.0357591524867026E-2</v>
      </c>
      <c r="R1786">
        <f t="shared" si="227"/>
        <v>0.50478620827241305</v>
      </c>
      <c r="S1786">
        <f t="shared" si="219"/>
        <v>16.473125767506389</v>
      </c>
      <c r="T1786" s="564">
        <f>IF((I1786-MAX(I$470:I1786))/MAX(I$470:I1786)&gt;T1785,T1785,(I1786-MAX(I$470:I1786))/MAX(I$470:I1786))</f>
        <v>-0.91338805338419748</v>
      </c>
      <c r="U1786" s="564">
        <f>IF((J1786-MAX(J$470:J1786))/MAX(J$470:J1786)&gt;U1785,U1785,(J1786-MAX(J$470:J1786))/MAX(J$470:J1786))</f>
        <v>-0.8283551177402233</v>
      </c>
      <c r="V1786" s="564">
        <f>IF((K1786-MAX(K$470:K1786))/MAX(K$470:K1786)&gt;V1785,V1785,(K1786-MAX(K$470:K1786))/MAX(K$470:K1786))</f>
        <v>-0.84885940676762139</v>
      </c>
      <c r="W1786" s="564">
        <f>IF((N1786-MAX(N$470:N1786))/MAX(N$470:N1786)&gt;W1785,W1785,(N1786-MAX(N$470:N1786))/MAX(N$470:N1786))</f>
        <v>-0.62788758315546067</v>
      </c>
      <c r="X1786" s="564">
        <f>IF((O1786-MAX(O$470:O1786))/MAX(O$470:O1786)&gt;X1785,X1785,(O1786-MAX(O$470:O1786))/MAX(O$470:O1786))</f>
        <v>-0.62788758315546067</v>
      </c>
    </row>
    <row r="1787" spans="1:24">
      <c r="A1787" s="799">
        <v>42189</v>
      </c>
      <c r="B1787">
        <v>256.65600000000001</v>
      </c>
      <c r="C1787">
        <v>408.157555</v>
      </c>
      <c r="D1787">
        <v>0.90895599999999999</v>
      </c>
      <c r="E1787">
        <f>LN(D1787/参数实验室!$E$53)/参数实验室!$E$55</f>
        <v>-0.8055858761057717</v>
      </c>
      <c r="F1787">
        <f t="shared" si="218"/>
        <v>1.5902903302474907</v>
      </c>
      <c r="G1787">
        <f>LN(F1787/参数实验室!$E$58)/参数实验室!$E$59</f>
        <v>5.2958477041337132E-2</v>
      </c>
      <c r="H1787" s="856">
        <f>INDEX(神经网络!$G$10:$BO$70,MATCH(ROUND(G1787*2,1)/2,神经网络!$E$10:$E$70,0),MATCH(ROUND(E1787*2,1)/2,神经网络!$G$8:$BO$8,0))</f>
        <v>-0.18892090073293136</v>
      </c>
      <c r="I1787">
        <f t="shared" si="220"/>
        <v>984.90492971590868</v>
      </c>
      <c r="J1787">
        <f t="shared" si="221"/>
        <v>102.41251346714003</v>
      </c>
      <c r="K1787">
        <f t="shared" si="222"/>
        <v>9.6170369847618691</v>
      </c>
      <c r="L1787" s="4">
        <f>MIN(MAX(L1786*(1+MAX(MIN(((B1787-B1786)/B1786)/($K$7*卓尔金历!$N$40),0),-卓尔金历!$M$43))+MIN(MAX(((B1787-B1786)/B1786)/($K$7*卓尔金历!$N$40),0),卓尔金历!$M$43),0),1)</f>
        <v>0.62527219335704087</v>
      </c>
      <c r="M1787" s="4">
        <f>MIN(MAX(M1786*(1+MAX(MIN(((B1787-B1786)/B1786)/($K$7*30),0),-卓尔金历!$M$43))+MIN(MAX(((B1787-B1786)/B1786)/($K$7*7),0),卓尔金历!$M$43),0),1)</f>
        <v>0.88165740005563953</v>
      </c>
      <c r="N1787">
        <f t="shared" si="223"/>
        <v>789.18539286986186</v>
      </c>
      <c r="O1787">
        <f t="shared" si="224"/>
        <v>2045.0729338653273</v>
      </c>
      <c r="P1787">
        <f t="shared" si="225"/>
        <v>3.3032199553576619E-3</v>
      </c>
      <c r="Q1787">
        <f t="shared" si="226"/>
        <v>2.0353415782857532E-2</v>
      </c>
      <c r="R1787">
        <f t="shared" si="227"/>
        <v>1</v>
      </c>
      <c r="S1787">
        <f t="shared" si="219"/>
        <v>16.468977662106507</v>
      </c>
      <c r="T1787" s="564">
        <f>IF((I1787-MAX(I$470:I1787))/MAX(I$470:I1787)&gt;T1786,T1786,(I1787-MAX(I$470:I1787))/MAX(I$470:I1787))</f>
        <v>-0.91338805338419748</v>
      </c>
      <c r="U1787" s="564">
        <f>IF((J1787-MAX(J$470:J1787))/MAX(J$470:J1787)&gt;U1786,U1786,(J1787-MAX(J$470:J1787))/MAX(J$470:J1787))</f>
        <v>-0.8283551177402233</v>
      </c>
      <c r="V1787" s="564">
        <f>IF((K1787-MAX(K$470:K1787))/MAX(K$470:K1787)&gt;V1786,V1786,(K1787-MAX(K$470:K1787))/MAX(K$470:K1787))</f>
        <v>-0.84885940676762139</v>
      </c>
      <c r="W1787" s="564">
        <f>IF((N1787-MAX(N$470:N1787))/MAX(N$470:N1787)&gt;W1786,W1786,(N1787-MAX(N$470:N1787))/MAX(N$470:N1787))</f>
        <v>-0.62788758315546067</v>
      </c>
      <c r="X1787" s="564">
        <f>IF((O1787-MAX(O$470:O1787))/MAX(O$470:O1787)&gt;X1786,X1786,(O1787-MAX(O$470:O1787))/MAX(O$470:O1787))</f>
        <v>-0.62788758315546067</v>
      </c>
    </row>
    <row r="1788" spans="1:24">
      <c r="A1788" s="799">
        <v>42190</v>
      </c>
      <c r="B1788">
        <v>260.83699999999999</v>
      </c>
      <c r="C1788">
        <v>407.37608499999999</v>
      </c>
      <c r="D1788">
        <v>0.94652700000000001</v>
      </c>
      <c r="E1788">
        <f>LN(D1788/参数实验室!$E$53)/参数实验室!$E$55</f>
        <v>-0.75780255671111385</v>
      </c>
      <c r="F1788">
        <f t="shared" si="218"/>
        <v>1.5618032909441528</v>
      </c>
      <c r="G1788">
        <f>LN(F1788/参数实验室!$E$58)/参数实验室!$E$59</f>
        <v>4.3471484183232711E-2</v>
      </c>
      <c r="H1788" s="856">
        <f>INDEX(神经网络!$G$10:$BO$70,MATCH(ROUND(G1788*2,1)/2,神经网络!$E$10:$E$70,0),MATCH(ROUND(E1788*2,1)/2,神经网络!$G$8:$BO$8,0))</f>
        <v>-0.21232817533669729</v>
      </c>
      <c r="I1788">
        <f t="shared" si="220"/>
        <v>981.87381017176449</v>
      </c>
      <c r="J1788">
        <f t="shared" si="221"/>
        <v>104.08084274370519</v>
      </c>
      <c r="K1788">
        <f t="shared" si="222"/>
        <v>9.4337611445901572</v>
      </c>
      <c r="L1788" s="4">
        <f>MIN(MAX(L1787*(1+MAX(MIN(((B1788-B1787)/B1787)/($K$7*卓尔金历!$N$40),0),-卓尔金历!$M$43))+MIN(MAX(((B1788-B1787)/B1787)/($K$7*卓尔金历!$N$40),0),卓尔金历!$M$43),0),1)</f>
        <v>0.87417215203497711</v>
      </c>
      <c r="M1788" s="4">
        <f>MIN(MAX(M1787*(1+MAX(MIN(((B1788-B1787)/B1787)/($K$7*30),0),-卓尔金历!$M$43))+MIN(MAX(((B1788-B1787)/B1787)/($K$7*7),0),卓尔金历!$M$43),0),1)</f>
        <v>1</v>
      </c>
      <c r="N1788">
        <f t="shared" si="223"/>
        <v>787.66674562236324</v>
      </c>
      <c r="O1788">
        <f t="shared" si="224"/>
        <v>2039.5238995359596</v>
      </c>
      <c r="P1788">
        <f t="shared" si="225"/>
        <v>1.6290287388566731E-2</v>
      </c>
      <c r="Q1788">
        <f t="shared" si="226"/>
        <v>2.0468404059377252E-2</v>
      </c>
      <c r="R1788">
        <f t="shared" si="227"/>
        <v>0.25331373997089818</v>
      </c>
      <c r="S1788">
        <f t="shared" si="219"/>
        <v>16.418293135552169</v>
      </c>
      <c r="T1788" s="564">
        <f>IF((I1788-MAX(I$470:I1788))/MAX(I$470:I1788)&gt;T1787,T1787,(I1788-MAX(I$470:I1788))/MAX(I$470:I1788))</f>
        <v>-0.91338805338419748</v>
      </c>
      <c r="U1788" s="564">
        <f>IF((J1788-MAX(J$470:J1788))/MAX(J$470:J1788)&gt;U1787,U1787,(J1788-MAX(J$470:J1788))/MAX(J$470:J1788))</f>
        <v>-0.8283551177402233</v>
      </c>
      <c r="V1788" s="564">
        <f>IF((K1788-MAX(K$470:K1788))/MAX(K$470:K1788)&gt;V1787,V1787,(K1788-MAX(K$470:K1788))/MAX(K$470:K1788))</f>
        <v>-0.84885940676762139</v>
      </c>
      <c r="W1788" s="564">
        <f>IF((N1788-MAX(N$470:N1788))/MAX(N$470:N1788)&gt;W1787,W1787,(N1788-MAX(N$470:N1788))/MAX(N$470:N1788))</f>
        <v>-0.62788758315546067</v>
      </c>
      <c r="X1788" s="564">
        <f>IF((O1788-MAX(O$470:O1788))/MAX(O$470:O1788)&gt;X1787,X1787,(O1788-MAX(O$470:O1788))/MAX(O$470:O1788))</f>
        <v>-0.62788758315546067</v>
      </c>
    </row>
    <row r="1789" spans="1:24">
      <c r="A1789" s="799">
        <v>42191</v>
      </c>
      <c r="B1789">
        <v>270.94900000000001</v>
      </c>
      <c r="C1789">
        <v>406.96181100000001</v>
      </c>
      <c r="D1789">
        <v>0.93879699999999999</v>
      </c>
      <c r="E1789">
        <f>LN(D1789/参数实验室!$E$53)/参数实验室!$E$55</f>
        <v>-0.76747680228189785</v>
      </c>
      <c r="F1789">
        <f t="shared" si="218"/>
        <v>1.5019867613462312</v>
      </c>
      <c r="G1789">
        <f>LN(F1789/参数实验室!$E$58)/参数实验室!$E$59</f>
        <v>2.2974689840898493E-2</v>
      </c>
      <c r="H1789" s="856">
        <f>INDEX(神经网络!$G$10:$BO$70,MATCH(ROUND(G1789*2,1)/2,神经网络!$E$10:$E$70,0),MATCH(ROUND(E1789*2,1)/2,神经网络!$G$8:$BO$8,0))</f>
        <v>-0.28178409436167429</v>
      </c>
      <c r="I1789">
        <f t="shared" si="220"/>
        <v>973.79158086229779</v>
      </c>
      <c r="J1789">
        <f t="shared" si="221"/>
        <v>108.11579745421156</v>
      </c>
      <c r="K1789">
        <f t="shared" si="222"/>
        <v>9.0069314919007208</v>
      </c>
      <c r="L1789" s="4">
        <f>MIN(MAX(L1788*(1+MAX(MIN(((B1789-B1788)/B1788)/($K$7*卓尔金历!$N$40),0),-卓尔金历!$M$43))+MIN(MAX(((B1789-B1788)/B1788)/($K$7*卓尔金历!$N$40),0),卓尔金历!$M$43),0),1)</f>
        <v>1</v>
      </c>
      <c r="M1789" s="4">
        <f>MIN(MAX(M1788*(1+MAX(MIN(((B1789-B1788)/B1788)/($K$7*30),0),-卓尔金历!$M$43))+MIN(MAX(((B1789-B1788)/B1788)/($K$7*7),0),卓尔金历!$M$43),0),1)</f>
        <v>1</v>
      </c>
      <c r="N1789">
        <f t="shared" si="223"/>
        <v>781.99893971177903</v>
      </c>
      <c r="O1789">
        <f t="shared" si="224"/>
        <v>2022.7356934880727</v>
      </c>
      <c r="P1789">
        <f t="shared" si="225"/>
        <v>3.8767506143683697E-2</v>
      </c>
      <c r="Q1789">
        <f t="shared" si="226"/>
        <v>2.1639084902626508E-2</v>
      </c>
      <c r="R1789">
        <f t="shared" si="227"/>
        <v>8.5336612413725622E-3</v>
      </c>
      <c r="S1789">
        <f t="shared" si="219"/>
        <v>16.384058773104108</v>
      </c>
      <c r="T1789" s="564">
        <f>IF((I1789-MAX(I$470:I1789))/MAX(I$470:I1789)&gt;T1788,T1788,(I1789-MAX(I$470:I1789))/MAX(I$470:I1789))</f>
        <v>-0.91338805338419748</v>
      </c>
      <c r="U1789" s="564">
        <f>IF((J1789-MAX(J$470:J1789))/MAX(J$470:J1789)&gt;U1788,U1788,(J1789-MAX(J$470:J1789))/MAX(J$470:J1789))</f>
        <v>-0.8283551177402233</v>
      </c>
      <c r="V1789" s="564">
        <f>IF((K1789-MAX(K$470:K1789))/MAX(K$470:K1789)&gt;V1788,V1788,(K1789-MAX(K$470:K1789))/MAX(K$470:K1789))</f>
        <v>-0.84885940676762139</v>
      </c>
      <c r="W1789" s="564">
        <f>IF((N1789-MAX(N$470:N1789))/MAX(N$470:N1789)&gt;W1788,W1788,(N1789-MAX(N$470:N1789))/MAX(N$470:N1789))</f>
        <v>-0.62788758315546067</v>
      </c>
      <c r="X1789" s="564">
        <f>IF((O1789-MAX(O$470:O1789))/MAX(O$470:O1789)&gt;X1788,X1788,(O1789-MAX(O$470:O1789))/MAX(O$470:O1789))</f>
        <v>-0.62788758315546067</v>
      </c>
    </row>
    <row r="1790" spans="1:24">
      <c r="A1790" s="799">
        <v>42192</v>
      </c>
      <c r="B1790">
        <v>269.47800000000001</v>
      </c>
      <c r="C1790">
        <v>411.43714699999998</v>
      </c>
      <c r="D1790">
        <v>0.92913400000000002</v>
      </c>
      <c r="E1790">
        <f>LN(D1790/参数实验室!$E$53)/参数实验室!$E$55</f>
        <v>-0.77968288193851398</v>
      </c>
      <c r="F1790">
        <f t="shared" si="218"/>
        <v>1.5267930851498079</v>
      </c>
      <c r="G1790">
        <f>LN(F1790/参数实验室!$E$58)/参数实验室!$E$59</f>
        <v>3.1572205099136171E-2</v>
      </c>
      <c r="H1790" s="856">
        <f>INDEX(神经网络!$G$10:$BO$70,MATCH(ROUND(G1790*2,1)/2,神经网络!$E$10:$E$70,0),MATCH(ROUND(E1790*2,1)/2,神经网络!$G$8:$BO$8,0))</f>
        <v>-0.18892090073293136</v>
      </c>
      <c r="I1790">
        <f t="shared" si="220"/>
        <v>975.28131102436828</v>
      </c>
      <c r="J1790">
        <f t="shared" si="221"/>
        <v>107.52882965564008</v>
      </c>
      <c r="K1790">
        <f t="shared" si="222"/>
        <v>9.0699518831154045</v>
      </c>
      <c r="L1790" s="4">
        <f>MIN(MAX(L1789*(1+MAX(MIN(((B1790-B1789)/B1789)/($K$7*卓尔金历!$N$40),0),-卓尔金历!$M$43))+MIN(MAX(((B1790-B1789)/B1789)/($K$7*卓尔金历!$N$40),0),卓尔金历!$M$43),0),1)</f>
        <v>0.91704908160982379</v>
      </c>
      <c r="M1790" s="4">
        <f>MIN(MAX(M1789*(1+MAX(MIN(((B1790-B1789)/B1789)/($K$7*30),0),-卓尔金历!$M$43))+MIN(MAX(((B1790-B1789)/B1789)/($K$7*7),0),卓尔金历!$M$43),0),1)</f>
        <v>0.9585245408049119</v>
      </c>
      <c r="N1790">
        <f t="shared" si="223"/>
        <v>783.19526080357184</v>
      </c>
      <c r="O1790">
        <f t="shared" si="224"/>
        <v>2025.8301239922032</v>
      </c>
      <c r="P1790">
        <f t="shared" si="225"/>
        <v>-5.429065986587895E-3</v>
      </c>
      <c r="Q1790">
        <f t="shared" si="226"/>
        <v>2.1760943429154921E-2</v>
      </c>
      <c r="R1790">
        <f t="shared" si="227"/>
        <v>1</v>
      </c>
      <c r="S1790">
        <f t="shared" si="219"/>
        <v>16.38427266704954</v>
      </c>
      <c r="T1790" s="564">
        <f>IF((I1790-MAX(I$470:I1790))/MAX(I$470:I1790)&gt;T1789,T1789,(I1790-MAX(I$470:I1790))/MAX(I$470:I1790))</f>
        <v>-0.91338805338419748</v>
      </c>
      <c r="U1790" s="564">
        <f>IF((J1790-MAX(J$470:J1790))/MAX(J$470:J1790)&gt;U1789,U1789,(J1790-MAX(J$470:J1790))/MAX(J$470:J1790))</f>
        <v>-0.8283551177402233</v>
      </c>
      <c r="V1790" s="564">
        <f>IF((K1790-MAX(K$470:K1790))/MAX(K$470:K1790)&gt;V1789,V1789,(K1790-MAX(K$470:K1790))/MAX(K$470:K1790))</f>
        <v>-0.84885940676762139</v>
      </c>
      <c r="W1790" s="564">
        <f>IF((N1790-MAX(N$470:N1790))/MAX(N$470:N1790)&gt;W1789,W1789,(N1790-MAX(N$470:N1790))/MAX(N$470:N1790))</f>
        <v>-0.62788758315546067</v>
      </c>
      <c r="X1790" s="564">
        <f>IF((O1790-MAX(O$470:O1790))/MAX(O$470:O1790)&gt;X1789,X1789,(O1790-MAX(O$470:O1790))/MAX(O$470:O1790))</f>
        <v>-0.62788758315546067</v>
      </c>
    </row>
    <row r="1791" spans="1:24">
      <c r="A1791" s="799">
        <v>42193</v>
      </c>
      <c r="B1791">
        <v>266.34100000000001</v>
      </c>
      <c r="C1791">
        <v>410.69089400000001</v>
      </c>
      <c r="D1791">
        <v>0.94328000000000001</v>
      </c>
      <c r="E1791">
        <f>LN(D1791/参数实验室!$E$53)/参数实验室!$E$55</f>
        <v>-0.76185658186042093</v>
      </c>
      <c r="F1791">
        <f t="shared" si="218"/>
        <v>1.5419739882331298</v>
      </c>
      <c r="G1791">
        <f>LN(F1791/参数实验室!$E$58)/参数实验室!$E$59</f>
        <v>3.676505497446339E-2</v>
      </c>
      <c r="H1791" s="856">
        <f>INDEX(神经网络!$G$10:$BO$70,MATCH(ROUND(G1791*2,1)/2,神经网络!$E$10:$E$70,0),MATCH(ROUND(E1791*2,1)/2,神经网络!$G$8:$BO$8,0))</f>
        <v>-0.21232817533669729</v>
      </c>
      <c r="I1791">
        <f t="shared" si="220"/>
        <v>977.42618170580965</v>
      </c>
      <c r="J1791">
        <f t="shared" si="221"/>
        <v>106.27708391524664</v>
      </c>
      <c r="K1791">
        <f t="shared" si="222"/>
        <v>9.1969608658559263</v>
      </c>
      <c r="L1791" s="4">
        <f>MIN(MAX(L1790*(1+MAX(MIN(((B1791-B1790)/B1790)/($K$7*卓尔金历!$N$40),0),-卓尔金历!$M$43))+MIN(MAX(((B1791-B1790)/B1790)/($K$7*卓尔金历!$N$40),0),卓尔金历!$M$43),0),1)</f>
        <v>0.7539393541946896</v>
      </c>
      <c r="M1791" s="4">
        <f>MIN(MAX(M1790*(1+MAX(MIN(((B1791-B1790)/B1790)/($K$7*30),0),-卓尔金历!$M$43))+MIN(MAX(((B1791-B1790)/B1790)/($K$7*7),0),卓尔金历!$M$43),0),1)</f>
        <v>0.8732811881280016</v>
      </c>
      <c r="N1791">
        <f t="shared" si="223"/>
        <v>784.77481249119046</v>
      </c>
      <c r="O1791">
        <f t="shared" si="224"/>
        <v>2030.1006116594799</v>
      </c>
      <c r="P1791">
        <f t="shared" si="225"/>
        <v>-1.1641024499217006E-2</v>
      </c>
      <c r="Q1791">
        <f t="shared" si="226"/>
        <v>1.737430626884072E-2</v>
      </c>
      <c r="R1791">
        <f t="shared" si="227"/>
        <v>0.43093227562013381</v>
      </c>
      <c r="S1791">
        <f t="shared" si="219"/>
        <v>16.420305497457605</v>
      </c>
      <c r="T1791" s="564">
        <f>IF((I1791-MAX(I$470:I1791))/MAX(I$470:I1791)&gt;T1790,T1790,(I1791-MAX(I$470:I1791))/MAX(I$470:I1791))</f>
        <v>-0.91338805338419748</v>
      </c>
      <c r="U1791" s="564">
        <f>IF((J1791-MAX(J$470:J1791))/MAX(J$470:J1791)&gt;U1790,U1790,(J1791-MAX(J$470:J1791))/MAX(J$470:J1791))</f>
        <v>-0.8283551177402233</v>
      </c>
      <c r="V1791" s="564">
        <f>IF((K1791-MAX(K$470:K1791))/MAX(K$470:K1791)&gt;V1790,V1790,(K1791-MAX(K$470:K1791))/MAX(K$470:K1791))</f>
        <v>-0.84885940676762139</v>
      </c>
      <c r="W1791" s="564">
        <f>IF((N1791-MAX(N$470:N1791))/MAX(N$470:N1791)&gt;W1790,W1790,(N1791-MAX(N$470:N1791))/MAX(N$470:N1791))</f>
        <v>-0.62788758315546067</v>
      </c>
      <c r="X1791" s="564">
        <f>IF((O1791-MAX(O$470:O1791))/MAX(O$470:O1791)&gt;X1790,X1790,(O1791-MAX(O$470:O1791))/MAX(O$470:O1791))</f>
        <v>-0.62788758315546067</v>
      </c>
    </row>
    <row r="1792" spans="1:24">
      <c r="A1792" s="799">
        <v>42194</v>
      </c>
      <c r="B1792">
        <v>267.70400000000001</v>
      </c>
      <c r="C1792">
        <v>416.06575400000003</v>
      </c>
      <c r="D1792">
        <v>0.94097699999999995</v>
      </c>
      <c r="E1792">
        <f>LN(D1792/参数实验室!$E$53)/参数实验室!$E$55</f>
        <v>-0.76474044862996171</v>
      </c>
      <c r="F1792">
        <f t="shared" si="218"/>
        <v>1.5542007366344919</v>
      </c>
      <c r="G1792">
        <f>LN(F1792/参数实验室!$E$58)/参数实验室!$E$59</f>
        <v>4.0910358299183679E-2</v>
      </c>
      <c r="H1792" s="856">
        <f>INDEX(神经网络!$G$10:$BO$70,MATCH(ROUND(G1792*2,1)/2,神经网络!$E$10:$E$70,0),MATCH(ROUND(E1792*2,1)/2,神经网络!$G$8:$BO$8,0))</f>
        <v>-0.21232817533669729</v>
      </c>
      <c r="I1792">
        <f t="shared" si="220"/>
        <v>976.36412079363834</v>
      </c>
      <c r="J1792">
        <f t="shared" si="221"/>
        <v>106.82095686524863</v>
      </c>
      <c r="K1792">
        <f t="shared" si="222"/>
        <v>9.1401926124411315</v>
      </c>
      <c r="L1792" s="4">
        <f>MIN(MAX(L1791*(1+MAX(MIN(((B1792-B1791)/B1791)/($K$7*卓尔金历!$N$40),0),-卓尔金历!$M$43))+MIN(MAX(((B1792-B1791)/B1791)/($K$7*卓尔金历!$N$40),0),卓尔金历!$M$43),0),1)</f>
        <v>0.83212983942507746</v>
      </c>
      <c r="M1792" s="4">
        <f>MIN(MAX(M1791*(1+MAX(MIN(((B1792-B1791)/B1791)/($K$7*30),0),-卓尔金历!$M$43))+MIN(MAX(((B1792-B1791)/B1791)/($K$7*7),0),卓尔金历!$M$43),0),1)</f>
        <v>1</v>
      </c>
      <c r="N1792">
        <f t="shared" si="223"/>
        <v>784.13190730889357</v>
      </c>
      <c r="O1792">
        <f t="shared" si="224"/>
        <v>2028.1742531116211</v>
      </c>
      <c r="P1792">
        <f t="shared" si="225"/>
        <v>5.117499746565491E-3</v>
      </c>
      <c r="Q1792">
        <f t="shared" si="226"/>
        <v>1.698607950069346E-2</v>
      </c>
      <c r="R1792">
        <f t="shared" si="227"/>
        <v>1</v>
      </c>
      <c r="S1792">
        <f t="shared" si="219"/>
        <v>16.412616747935559</v>
      </c>
      <c r="T1792" s="564">
        <f>IF((I1792-MAX(I$470:I1792))/MAX(I$470:I1792)&gt;T1791,T1791,(I1792-MAX(I$470:I1792))/MAX(I$470:I1792))</f>
        <v>-0.91338805338419748</v>
      </c>
      <c r="U1792" s="564">
        <f>IF((J1792-MAX(J$470:J1792))/MAX(J$470:J1792)&gt;U1791,U1791,(J1792-MAX(J$470:J1792))/MAX(J$470:J1792))</f>
        <v>-0.8283551177402233</v>
      </c>
      <c r="V1792" s="564">
        <f>IF((K1792-MAX(K$470:K1792))/MAX(K$470:K1792)&gt;V1791,V1791,(K1792-MAX(K$470:K1792))/MAX(K$470:K1792))</f>
        <v>-0.84885940676762139</v>
      </c>
      <c r="W1792" s="564">
        <f>IF((N1792-MAX(N$470:N1792))/MAX(N$470:N1792)&gt;W1791,W1791,(N1792-MAX(N$470:N1792))/MAX(N$470:N1792))</f>
        <v>-0.62788758315546067</v>
      </c>
      <c r="X1792" s="564">
        <f>IF((O1792-MAX(O$470:O1792))/MAX(O$470:O1792)&gt;X1791,X1791,(O1792-MAX(O$470:O1792))/MAX(O$470:O1792))</f>
        <v>-0.62788758315546067</v>
      </c>
    </row>
    <row r="1793" spans="1:24">
      <c r="A1793" s="799">
        <v>42195</v>
      </c>
      <c r="B1793">
        <v>269.19099999999997</v>
      </c>
      <c r="C1793">
        <v>420.71645799999999</v>
      </c>
      <c r="D1793">
        <v>0.99548700000000001</v>
      </c>
      <c r="E1793">
        <f>LN(D1793/参数实验室!$E$53)/参数实验室!$E$55</f>
        <v>-0.69830457070091823</v>
      </c>
      <c r="F1793">
        <f t="shared" si="218"/>
        <v>1.5628919911884127</v>
      </c>
      <c r="G1793">
        <f>LN(F1793/参数实验室!$E$58)/参数实验室!$E$59</f>
        <v>4.3837221444906253E-2</v>
      </c>
      <c r="H1793" s="856">
        <f>INDEX(神经网络!$G$10:$BO$70,MATCH(ROUND(G1793*2,1)/2,神经网络!$E$10:$E$70,0),MATCH(ROUND(E1793*2,1)/2,神经网络!$G$8:$BO$8,0))</f>
        <v>-0.22051734516424332</v>
      </c>
      <c r="I1793">
        <f t="shared" si="220"/>
        <v>975.21259002312513</v>
      </c>
      <c r="J1793">
        <f t="shared" si="221"/>
        <v>107.4143090858304</v>
      </c>
      <c r="K1793">
        <f t="shared" si="222"/>
        <v>9.0789821051110842</v>
      </c>
      <c r="L1793" s="4">
        <f>MIN(MAX(L1792*(1+MAX(MIN(((B1793-B1792)/B1792)/($K$7*卓尔金历!$N$40),0),-卓尔金历!$M$43))+MIN(MAX(((B1793-B1792)/B1792)/($K$7*卓尔金历!$N$40),0),卓尔金历!$M$43),0),1)</f>
        <v>0.91699944553050694</v>
      </c>
      <c r="M1793" s="4">
        <f>MIN(MAX(M1792*(1+MAX(MIN(((B1793-B1792)/B1792)/($K$7*30),0),-卓尔金历!$M$43))+MIN(MAX(((B1793-B1792)/B1792)/($K$7*7),0),卓尔金历!$M$43),0),1)</f>
        <v>1</v>
      </c>
      <c r="N1793">
        <f t="shared" si="223"/>
        <v>783.36234470113686</v>
      </c>
      <c r="O1793">
        <f t="shared" si="224"/>
        <v>2025.7822100093792</v>
      </c>
      <c r="P1793">
        <f t="shared" si="225"/>
        <v>5.5546424409047539E-3</v>
      </c>
      <c r="Q1793">
        <f t="shared" si="226"/>
        <v>1.6991115923635988E-2</v>
      </c>
      <c r="R1793">
        <f t="shared" si="227"/>
        <v>1</v>
      </c>
      <c r="S1793">
        <f t="shared" si="219"/>
        <v>16.393259591309885</v>
      </c>
      <c r="T1793" s="564">
        <f>IF((I1793-MAX(I$470:I1793))/MAX(I$470:I1793)&gt;T1792,T1792,(I1793-MAX(I$470:I1793))/MAX(I$470:I1793))</f>
        <v>-0.91338805338419748</v>
      </c>
      <c r="U1793" s="564">
        <f>IF((J1793-MAX(J$470:J1793))/MAX(J$470:J1793)&gt;U1792,U1792,(J1793-MAX(J$470:J1793))/MAX(J$470:J1793))</f>
        <v>-0.8283551177402233</v>
      </c>
      <c r="V1793" s="564">
        <f>IF((K1793-MAX(K$470:K1793))/MAX(K$470:K1793)&gt;V1792,V1792,(K1793-MAX(K$470:K1793))/MAX(K$470:K1793))</f>
        <v>-0.84885940676762139</v>
      </c>
      <c r="W1793" s="564">
        <f>IF((N1793-MAX(N$470:N1793))/MAX(N$470:N1793)&gt;W1792,W1792,(N1793-MAX(N$470:N1793))/MAX(N$470:N1793))</f>
        <v>-0.62788758315546067</v>
      </c>
      <c r="X1793" s="564">
        <f>IF((O1793-MAX(O$470:O1793))/MAX(O$470:O1793)&gt;X1792,X1792,(O1793-MAX(O$470:O1793))/MAX(O$470:O1793))</f>
        <v>-0.62788758315546067</v>
      </c>
    </row>
    <row r="1794" spans="1:24">
      <c r="A1794" s="799">
        <v>42196</v>
      </c>
      <c r="B1794">
        <v>286.05200000000002</v>
      </c>
      <c r="C1794">
        <v>417.340484</v>
      </c>
      <c r="D1794">
        <v>1.0241579999999999</v>
      </c>
      <c r="E1794">
        <f>LN(D1794/参数实验室!$E$53)/参数实验室!$E$55</f>
        <v>-0.66480662651546973</v>
      </c>
      <c r="F1794">
        <f t="shared" si="218"/>
        <v>1.458967194775775</v>
      </c>
      <c r="G1794">
        <f>LN(F1794/参数实验室!$E$58)/参数实验室!$E$59</f>
        <v>7.7224551089622694E-3</v>
      </c>
      <c r="H1794" s="856">
        <f>INDEX(神经网络!$G$10:$BO$70,MATCH(ROUND(G1794*2,1)/2,神经网络!$E$10:$E$70,0),MATCH(ROUND(E1794*2,1)/2,神经网络!$G$8:$BO$8,0))</f>
        <v>-0.29351875486040024</v>
      </c>
      <c r="I1794">
        <f t="shared" si="220"/>
        <v>961.74267526746416</v>
      </c>
      <c r="J1794">
        <f t="shared" si="221"/>
        <v>114.14229280555428</v>
      </c>
      <c r="K1794">
        <f t="shared" si="222"/>
        <v>8.4258222927572461</v>
      </c>
      <c r="L1794" s="4">
        <f>MIN(MAX(L1793*(1+MAX(MIN(((B1794-B1793)/B1793)/($K$7*卓尔金历!$N$40),0),-卓尔金历!$M$43))+MIN(MAX(((B1794-B1793)/B1793)/($K$7*卓尔金历!$N$40),0),卓尔金历!$M$43),0),1)</f>
        <v>1</v>
      </c>
      <c r="M1794" s="4">
        <f>MIN(MAX(M1793*(1+MAX(MIN(((B1794-B1793)/B1793)/($K$7*30),0),-卓尔金历!$M$43))+MIN(MAX(((B1794-B1793)/B1793)/($K$7*7),0),卓尔金历!$M$43),0),1)</f>
        <v>1</v>
      </c>
      <c r="N1794">
        <f t="shared" si="223"/>
        <v>773.44038833823367</v>
      </c>
      <c r="O1794">
        <f t="shared" si="224"/>
        <v>1997.8015276827557</v>
      </c>
      <c r="P1794">
        <f t="shared" si="225"/>
        <v>6.2635823634519902E-2</v>
      </c>
      <c r="Q1794">
        <f t="shared" si="226"/>
        <v>2.0061745883119896E-2</v>
      </c>
      <c r="R1794">
        <f t="shared" si="227"/>
        <v>0</v>
      </c>
      <c r="S1794">
        <f t="shared" si="219"/>
        <v>16.166831208902384</v>
      </c>
      <c r="T1794" s="564">
        <f>IF((I1794-MAX(I$470:I1794))/MAX(I$470:I1794)&gt;T1793,T1793,(I1794-MAX(I$470:I1794))/MAX(I$470:I1794))</f>
        <v>-0.91338805338419748</v>
      </c>
      <c r="U1794" s="564">
        <f>IF((J1794-MAX(J$470:J1794))/MAX(J$470:J1794)&gt;U1793,U1793,(J1794-MAX(J$470:J1794))/MAX(J$470:J1794))</f>
        <v>-0.8283551177402233</v>
      </c>
      <c r="V1794" s="564">
        <f>IF((K1794-MAX(K$470:K1794))/MAX(K$470:K1794)&gt;V1793,V1793,(K1794-MAX(K$470:K1794))/MAX(K$470:K1794))</f>
        <v>-0.84885940676762139</v>
      </c>
      <c r="W1794" s="564">
        <f>IF((N1794-MAX(N$470:N1794))/MAX(N$470:N1794)&gt;W1793,W1793,(N1794-MAX(N$470:N1794))/MAX(N$470:N1794))</f>
        <v>-0.62788758315546067</v>
      </c>
      <c r="X1794" s="564">
        <f>IF((O1794-MAX(O$470:O1794))/MAX(O$470:O1794)&gt;X1793,X1793,(O1794-MAX(O$470:O1794))/MAX(O$470:O1794))</f>
        <v>-0.62788758315546067</v>
      </c>
    </row>
    <row r="1795" spans="1:24">
      <c r="A1795" s="799">
        <v>42197</v>
      </c>
      <c r="B1795">
        <v>293.11399999999998</v>
      </c>
      <c r="C1795">
        <v>419.658548</v>
      </c>
      <c r="D1795">
        <v>1.0836790000000001</v>
      </c>
      <c r="E1795">
        <f>LN(D1795/参数实验室!$E$53)/参数实验室!$E$55</f>
        <v>-0.59816127789812357</v>
      </c>
      <c r="F1795">
        <f t="shared" si="218"/>
        <v>1.4317246804997374</v>
      </c>
      <c r="G1795">
        <f>LN(F1795/参数实验室!$E$58)/参数实验室!$E$59</f>
        <v>-2.1705170290579104E-3</v>
      </c>
      <c r="H1795" s="856">
        <f>INDEX(神经网络!$G$10:$BO$70,MATCH(ROUND(G1795*2,1)/2,神经网络!$E$10:$E$70,0),MATCH(ROUND(E1795*2,1)/2,神经网络!$G$8:$BO$8,0))</f>
        <v>-0.27883851114542579</v>
      </c>
      <c r="I1795">
        <f t="shared" si="220"/>
        <v>954.77356287684358</v>
      </c>
      <c r="J1795">
        <f t="shared" si="221"/>
        <v>116.96021707034815</v>
      </c>
      <c r="K1795">
        <f t="shared" si="222"/>
        <v>8.1632335061636834</v>
      </c>
      <c r="L1795" s="4">
        <f>MIN(MAX(L1794*(1+MAX(MIN(((B1795-B1794)/B1794)/($K$7*卓尔金历!$N$40),0),-卓尔金历!$M$43))+MIN(MAX(((B1795-B1794)/B1794)/($K$7*卓尔金历!$N$40),0),卓尔金历!$M$43),0),1)</f>
        <v>1</v>
      </c>
      <c r="M1795" s="4">
        <f>MIN(MAX(M1794*(1+MAX(MIN(((B1795-B1794)/B1794)/($K$7*30),0),-卓尔金历!$M$43))+MIN(MAX(((B1795-B1794)/B1794)/($K$7*7),0),卓尔金历!$M$43),0),1)</f>
        <v>1</v>
      </c>
      <c r="N1795">
        <f t="shared" si="223"/>
        <v>767.8357779446319</v>
      </c>
      <c r="O1795">
        <f t="shared" si="224"/>
        <v>1983.3247827710227</v>
      </c>
      <c r="P1795">
        <f t="shared" si="225"/>
        <v>2.4687818997944269E-2</v>
      </c>
      <c r="Q1795">
        <f t="shared" si="226"/>
        <v>2.0346477613019279E-2</v>
      </c>
      <c r="R1795">
        <f t="shared" si="227"/>
        <v>1.6181760948592507E-2</v>
      </c>
      <c r="S1795">
        <f t="shared" si="219"/>
        <v>16.166831208902384</v>
      </c>
      <c r="T1795" s="564">
        <f>IF((I1795-MAX(I$470:I1795))/MAX(I$470:I1795)&gt;T1794,T1794,(I1795-MAX(I$470:I1795))/MAX(I$470:I1795))</f>
        <v>-0.91338805338419748</v>
      </c>
      <c r="U1795" s="564">
        <f>IF((J1795-MAX(J$470:J1795))/MAX(J$470:J1795)&gt;U1794,U1794,(J1795-MAX(J$470:J1795))/MAX(J$470:J1795))</f>
        <v>-0.8283551177402233</v>
      </c>
      <c r="V1795" s="564">
        <f>IF((K1795-MAX(K$470:K1795))/MAX(K$470:K1795)&gt;V1794,V1794,(K1795-MAX(K$470:K1795))/MAX(K$470:K1795))</f>
        <v>-0.84885940676762139</v>
      </c>
      <c r="W1795" s="564">
        <f>IF((N1795-MAX(N$470:N1795))/MAX(N$470:N1795)&gt;W1794,W1794,(N1795-MAX(N$470:N1795))/MAX(N$470:N1795))</f>
        <v>-0.62788758315546067</v>
      </c>
      <c r="X1795" s="564">
        <f>IF((O1795-MAX(O$470:O1795))/MAX(O$470:O1795)&gt;X1794,X1794,(O1795-MAX(O$470:O1795))/MAX(O$470:O1795))</f>
        <v>-0.62788758315546067</v>
      </c>
    </row>
    <row r="1796" spans="1:24">
      <c r="A1796" s="799">
        <v>42198</v>
      </c>
      <c r="B1796">
        <v>309.85899999999998</v>
      </c>
      <c r="C1796">
        <v>423.18145900000002</v>
      </c>
      <c r="D1796">
        <v>1.018332</v>
      </c>
      <c r="E1796">
        <f>LN(D1796/参数实验室!$E$53)/参数实验室!$E$55</f>
        <v>-0.67153690283519862</v>
      </c>
      <c r="F1796">
        <f t="shared" si="218"/>
        <v>1.3657226641795142</v>
      </c>
      <c r="G1796">
        <f>LN(F1796/参数实验室!$E$58)/参数实验室!$E$59</f>
        <v>-2.6941567802095299E-2</v>
      </c>
      <c r="H1796" s="856">
        <f>INDEX(神经网络!$G$10:$BO$70,MATCH(ROUND(G1796*2,1)/2,神经网络!$E$10:$E$70,0),MATCH(ROUND(E1796*2,1)/2,神经网络!$G$8:$BO$8,0))</f>
        <v>-0.37202955763857187</v>
      </c>
      <c r="I1796">
        <f t="shared" si="220"/>
        <v>939.56452540020007</v>
      </c>
      <c r="J1796">
        <f t="shared" si="221"/>
        <v>123.64191373049739</v>
      </c>
      <c r="K1796">
        <f t="shared" si="222"/>
        <v>7.5990778292883059</v>
      </c>
      <c r="L1796" s="4">
        <f>MIN(MAX(L1795*(1+MAX(MIN(((B1796-B1795)/B1795)/($K$7*卓尔金历!$N$40),0),-卓尔金历!$M$43))+MIN(MAX(((B1796-B1795)/B1795)/($K$7*卓尔金历!$N$40),0),卓尔金历!$M$43),0),1)</f>
        <v>1</v>
      </c>
      <c r="M1796" s="4">
        <f>MIN(MAX(M1795*(1+MAX(MIN(((B1796-B1795)/B1795)/($K$7*30),0),-卓尔金历!$M$43))+MIN(MAX(((B1796-B1795)/B1795)/($K$7*7),0),卓尔金历!$M$43),0),1)</f>
        <v>1</v>
      </c>
      <c r="N1796">
        <f t="shared" si="223"/>
        <v>755.60456043219847</v>
      </c>
      <c r="O1796">
        <f t="shared" si="224"/>
        <v>1951.7314687933801</v>
      </c>
      <c r="P1796">
        <f t="shared" si="225"/>
        <v>5.7127943394037838E-2</v>
      </c>
      <c r="Q1796">
        <f t="shared" si="226"/>
        <v>2.2570286557274947E-2</v>
      </c>
      <c r="R1796">
        <f t="shared" si="227"/>
        <v>1.4515363043750844E-3</v>
      </c>
      <c r="S1796">
        <f t="shared" si="219"/>
        <v>16.162663935155571</v>
      </c>
      <c r="T1796" s="564">
        <f>IF((I1796-MAX(I$470:I1796))/MAX(I$470:I1796)&gt;T1795,T1795,(I1796-MAX(I$470:I1796))/MAX(I$470:I1796))</f>
        <v>-0.91338805338419748</v>
      </c>
      <c r="U1796" s="564">
        <f>IF((J1796-MAX(J$470:J1796))/MAX(J$470:J1796)&gt;U1795,U1795,(J1796-MAX(J$470:J1796))/MAX(J$470:J1796))</f>
        <v>-0.8283551177402233</v>
      </c>
      <c r="V1796" s="564">
        <f>IF((K1796-MAX(K$470:K1796))/MAX(K$470:K1796)&gt;V1795,V1795,(K1796-MAX(K$470:K1796))/MAX(K$470:K1796))</f>
        <v>-0.84885940676762139</v>
      </c>
      <c r="W1796" s="564">
        <f>IF((N1796-MAX(N$470:N1796))/MAX(N$470:N1796)&gt;W1795,W1795,(N1796-MAX(N$470:N1796))/MAX(N$470:N1796))</f>
        <v>-0.62788758315546067</v>
      </c>
      <c r="X1796" s="564">
        <f>IF((O1796-MAX(O$470:O1796))/MAX(O$470:O1796)&gt;X1795,X1795,(O1796-MAX(O$470:O1796))/MAX(O$470:O1796))</f>
        <v>-0.62788758315546067</v>
      </c>
    </row>
    <row r="1797" spans="1:24">
      <c r="A1797" s="799">
        <v>42199</v>
      </c>
      <c r="B1797">
        <v>291.53100000000001</v>
      </c>
      <c r="C1797">
        <v>424.68639300000001</v>
      </c>
      <c r="D1797">
        <v>1.001301</v>
      </c>
      <c r="E1797">
        <f>LN(D1797/参数实验室!$E$53)/参数实验室!$E$55</f>
        <v>-0.69143443251498782</v>
      </c>
      <c r="F1797">
        <f t="shared" ref="F1797:F1860" si="228">C1797/B1797</f>
        <v>1.456745227780236</v>
      </c>
      <c r="G1797">
        <f>LN(F1797/参数实验室!$E$58)/参数实验室!$E$59</f>
        <v>6.9225075023755765E-3</v>
      </c>
      <c r="H1797" s="856">
        <f>INDEX(神经网络!$G$10:$BO$70,MATCH(ROUND(G1797*2,1)/2,神经网络!$E$10:$E$70,0),MATCH(ROUND(E1797*2,1)/2,神经网络!$G$8:$BO$8,0))</f>
        <v>-0.29487647096998976</v>
      </c>
      <c r="I1797">
        <f t="shared" si="220"/>
        <v>960.23997765350236</v>
      </c>
      <c r="J1797">
        <f t="shared" si="221"/>
        <v>116.32855831770463</v>
      </c>
      <c r="K1797">
        <f t="shared" si="222"/>
        <v>8.2545506584117838</v>
      </c>
      <c r="L1797" s="4">
        <f>MIN(MAX(L1796*(1+MAX(MIN(((B1797-B1796)/B1796)/($K$7*卓尔金历!$N$40),0),-卓尔金历!$M$43))+MIN(MAX(((B1797-B1796)/B1796)/($K$7*卓尔金历!$N$40),0),卓尔金历!$M$43),0),1)</f>
        <v>9.6252644157097778E-2</v>
      </c>
      <c r="M1797" s="4">
        <f>MIN(MAX(M1796*(1+MAX(MIN(((B1797-B1796)/B1796)/($K$7*30),0),-卓尔金历!$M$43))+MIN(MAX(((B1797-B1796)/B1796)/($K$7*7),0),卓尔金历!$M$43),0),1)</f>
        <v>0.54812632207854883</v>
      </c>
      <c r="N1797">
        <f t="shared" si="223"/>
        <v>772.23190809088021</v>
      </c>
      <c r="O1797">
        <f t="shared" si="224"/>
        <v>1994.6800153842778</v>
      </c>
      <c r="P1797">
        <f t="shared" si="225"/>
        <v>-5.9149484120196529E-2</v>
      </c>
      <c r="Q1797">
        <f t="shared" si="226"/>
        <v>2.7151830789240227E-2</v>
      </c>
      <c r="R1797">
        <f t="shared" si="227"/>
        <v>4.9965334718892482E-3</v>
      </c>
      <c r="S1797">
        <f t="shared" si="219"/>
        <v>16.163180196077207</v>
      </c>
      <c r="T1797" s="564">
        <f>IF((I1797-MAX(I$470:I1797))/MAX(I$470:I1797)&gt;T1796,T1796,(I1797-MAX(I$470:I1797))/MAX(I$470:I1797))</f>
        <v>-0.91338805338419748</v>
      </c>
      <c r="U1797" s="564">
        <f>IF((J1797-MAX(J$470:J1797))/MAX(J$470:J1797)&gt;U1796,U1796,(J1797-MAX(J$470:J1797))/MAX(J$470:J1797))</f>
        <v>-0.8283551177402233</v>
      </c>
      <c r="V1797" s="564">
        <f>IF((K1797-MAX(K$470:K1797))/MAX(K$470:K1797)&gt;V1796,V1796,(K1797-MAX(K$470:K1797))/MAX(K$470:K1797))</f>
        <v>-0.84885940676762139</v>
      </c>
      <c r="W1797" s="564">
        <f>IF((N1797-MAX(N$470:N1797))/MAX(N$470:N1797)&gt;W1796,W1796,(N1797-MAX(N$470:N1797))/MAX(N$470:N1797))</f>
        <v>-0.62788758315546067</v>
      </c>
      <c r="X1797" s="564">
        <f>IF((O1797-MAX(O$470:O1797))/MAX(O$470:O1797)&gt;X1796,X1796,(O1797-MAX(O$470:O1797))/MAX(O$470:O1797))</f>
        <v>-0.62788758315546067</v>
      </c>
    </row>
    <row r="1798" spans="1:24">
      <c r="A1798" s="799">
        <v>42200</v>
      </c>
      <c r="B1798">
        <v>290.50799999999998</v>
      </c>
      <c r="C1798">
        <v>422.43701800000002</v>
      </c>
      <c r="D1798">
        <v>0.99492599999999998</v>
      </c>
      <c r="E1798">
        <f>LN(D1798/参数实验室!$E$53)/参数实验室!$E$55</f>
        <v>-0.69896960010676901</v>
      </c>
      <c r="F1798">
        <f t="shared" si="228"/>
        <v>1.4541321340548283</v>
      </c>
      <c r="G1798">
        <f>LN(F1798/参数实验室!$E$58)/参数实验室!$E$59</f>
        <v>5.9801846184740458E-3</v>
      </c>
      <c r="H1798" s="856">
        <f>INDEX(神经网络!$G$10:$BO$70,MATCH(ROUND(G1798*2,1)/2,神经网络!$E$10:$E$70,0),MATCH(ROUND(E1798*2,1)/2,神经网络!$G$8:$BO$8,0))</f>
        <v>-0.29487647096998976</v>
      </c>
      <c r="I1798">
        <f t="shared" si="220"/>
        <v>961.23357585040208</v>
      </c>
      <c r="J1798">
        <f t="shared" si="221"/>
        <v>115.92035433542141</v>
      </c>
      <c r="K1798">
        <f t="shared" si="222"/>
        <v>8.2921897656474037</v>
      </c>
      <c r="L1798" s="4">
        <f>MIN(MAX(L1797*(1+MAX(MIN(((B1798-B1797)/B1797)/($K$7*卓尔金历!$N$40),0),-卓尔金历!$M$43))+MIN(MAX(((B1798-B1797)/B1797)/($K$7*卓尔金历!$N$40),0),卓尔金历!$M$43),0),1)</f>
        <v>9.1092050804092745E-2</v>
      </c>
      <c r="M1798" s="4">
        <f>MIN(MAX(M1797*(1+MAX(MIN(((B1798-B1797)/B1797)/($K$7*30),0),-卓尔金历!$M$43))+MIN(MAX(((B1798-B1797)/B1797)/($K$7*7),0),卓尔金历!$M$43),0),1)</f>
        <v>0.53343240338625353</v>
      </c>
      <c r="N1798">
        <f t="shared" si="223"/>
        <v>772.30881961594491</v>
      </c>
      <c r="O1798">
        <f t="shared" si="224"/>
        <v>1995.8113339297142</v>
      </c>
      <c r="P1798">
        <f t="shared" si="225"/>
        <v>-3.5090607859885382E-3</v>
      </c>
      <c r="Q1798">
        <f t="shared" si="226"/>
        <v>2.6967602323780617E-2</v>
      </c>
      <c r="R1798">
        <f t="shared" si="227"/>
        <v>1</v>
      </c>
      <c r="S1798">
        <f t="shared" si="219"/>
        <v>16.163263761502453</v>
      </c>
      <c r="T1798" s="564">
        <f>IF((I1798-MAX(I$470:I1798))/MAX(I$470:I1798)&gt;T1797,T1797,(I1798-MAX(I$470:I1798))/MAX(I$470:I1798))</f>
        <v>-0.91338805338419748</v>
      </c>
      <c r="U1798" s="564">
        <f>IF((J1798-MAX(J$470:J1798))/MAX(J$470:J1798)&gt;U1797,U1797,(J1798-MAX(J$470:J1798))/MAX(J$470:J1798))</f>
        <v>-0.8283551177402233</v>
      </c>
      <c r="V1798" s="564">
        <f>IF((K1798-MAX(K$470:K1798))/MAX(K$470:K1798)&gt;V1797,V1797,(K1798-MAX(K$470:K1798))/MAX(K$470:K1798))</f>
        <v>-0.84885940676762139</v>
      </c>
      <c r="W1798" s="564">
        <f>IF((N1798-MAX(N$470:N1798))/MAX(N$470:N1798)&gt;W1797,W1797,(N1798-MAX(N$470:N1798))/MAX(N$470:N1798))</f>
        <v>-0.62788758315546067</v>
      </c>
      <c r="X1798" s="564">
        <f>IF((O1798-MAX(O$470:O1798))/MAX(O$470:O1798)&gt;X1797,X1797,(O1798-MAX(O$470:O1798))/MAX(O$470:O1798))</f>
        <v>-0.62788758315546067</v>
      </c>
    </row>
    <row r="1799" spans="1:24">
      <c r="A1799" s="799">
        <v>42201</v>
      </c>
      <c r="B1799">
        <v>291.18299999999999</v>
      </c>
      <c r="C1799">
        <v>418.15702900000002</v>
      </c>
      <c r="D1799">
        <v>0.96964499999999998</v>
      </c>
      <c r="E1799">
        <f>LN(D1799/参数实验室!$E$53)/参数实验室!$E$55</f>
        <v>-0.72933448715404436</v>
      </c>
      <c r="F1799">
        <f t="shared" si="228"/>
        <v>1.4360626444538316</v>
      </c>
      <c r="G1799">
        <f>LN(F1799/参数实验室!$E$58)/参数实验室!$E$59</f>
        <v>-5.8267288401580035E-4</v>
      </c>
      <c r="H1799" s="856">
        <f>INDEX(神经网络!$G$10:$BO$70,MATCH(ROUND(G1799*2,1)/2,神经网络!$E$10:$E$70,0),MATCH(ROUND(E1799*2,1)/2,神经网络!$G$8:$BO$8,0))</f>
        <v>-0.28178409436167429</v>
      </c>
      <c r="I1799">
        <f t="shared" si="220"/>
        <v>960.5749864617394</v>
      </c>
      <c r="J1799">
        <f t="shared" si="221"/>
        <v>116.18969713898073</v>
      </c>
      <c r="K1799">
        <f t="shared" si="222"/>
        <v>8.2672991677802905</v>
      </c>
      <c r="L1799" s="4">
        <f>MIN(MAX(L1798*(1+MAX(MIN(((B1799-B1798)/B1798)/($K$7*卓尔金历!$N$40),0),-卓尔金历!$M$43))+MIN(MAX(((B1799-B1798)/B1798)/($K$7*卓尔金历!$N$40),0),卓尔金历!$M$43),0),1)</f>
        <v>0.12659314630217514</v>
      </c>
      <c r="M1799" s="4">
        <f>MIN(MAX(M1798*(1+MAX(MIN(((B1799-B1798)/B1798)/($K$7*30),0),-卓尔金历!$M$43))+MIN(MAX(((B1799-B1798)/B1798)/($K$7*7),0),卓尔金历!$M$43),0),1)</f>
        <v>0.60950617945357288</v>
      </c>
      <c r="N1799">
        <f t="shared" si="223"/>
        <v>772.26061848027348</v>
      </c>
      <c r="O1799">
        <f t="shared" si="224"/>
        <v>1995.0819021599721</v>
      </c>
      <c r="P1799">
        <f t="shared" si="225"/>
        <v>2.3235160477508756E-3</v>
      </c>
      <c r="Q1799">
        <f t="shared" si="226"/>
        <v>2.6549052639942342E-2</v>
      </c>
      <c r="R1799">
        <f t="shared" si="227"/>
        <v>1</v>
      </c>
      <c r="S1799">
        <f t="shared" si="219"/>
        <v>16.152189497903134</v>
      </c>
      <c r="T1799" s="564">
        <f>IF((I1799-MAX(I$470:I1799))/MAX(I$470:I1799)&gt;T1798,T1798,(I1799-MAX(I$470:I1799))/MAX(I$470:I1799))</f>
        <v>-0.91338805338419748</v>
      </c>
      <c r="U1799" s="564">
        <f>IF((J1799-MAX(J$470:J1799))/MAX(J$470:J1799)&gt;U1798,U1798,(J1799-MAX(J$470:J1799))/MAX(J$470:J1799))</f>
        <v>-0.8283551177402233</v>
      </c>
      <c r="V1799" s="564">
        <f>IF((K1799-MAX(K$470:K1799))/MAX(K$470:K1799)&gt;V1798,V1798,(K1799-MAX(K$470:K1799))/MAX(K$470:K1799))</f>
        <v>-0.84885940676762139</v>
      </c>
      <c r="W1799" s="564">
        <f>IF((N1799-MAX(N$470:N1799))/MAX(N$470:N1799)&gt;W1798,W1798,(N1799-MAX(N$470:N1799))/MAX(N$470:N1799))</f>
        <v>-0.62788758315546067</v>
      </c>
      <c r="X1799" s="564">
        <f>IF((O1799-MAX(O$470:O1799))/MAX(O$470:O1799)&gt;X1798,X1798,(O1799-MAX(O$470:O1799))/MAX(O$470:O1799))</f>
        <v>-0.62788758315546067</v>
      </c>
    </row>
    <row r="1800" spans="1:24">
      <c r="A1800" s="799">
        <v>42202</v>
      </c>
      <c r="B1800">
        <v>278.09300000000002</v>
      </c>
      <c r="C1800">
        <v>421.65736700000002</v>
      </c>
      <c r="D1800">
        <v>0.97483500000000001</v>
      </c>
      <c r="E1800">
        <f>LN(D1800/参数实验室!$E$53)/参数实验室!$E$55</f>
        <v>-0.72303672746888514</v>
      </c>
      <c r="F1800">
        <f t="shared" si="228"/>
        <v>1.5162458853692828</v>
      </c>
      <c r="G1800">
        <f>LN(F1800/参数实验室!$E$58)/参数实验室!$E$59</f>
        <v>2.7933893089899076E-2</v>
      </c>
      <c r="H1800" s="856">
        <f>INDEX(神经网络!$G$10:$BO$70,MATCH(ROUND(G1800*2,1)/2,神经网络!$E$10:$E$70,0),MATCH(ROUND(E1800*2,1)/2,神经网络!$G$8:$BO$8,0))</f>
        <v>-0.22051734516424332</v>
      </c>
      <c r="I1800">
        <f t="shared" si="220"/>
        <v>972.74304748138059</v>
      </c>
      <c r="J1800">
        <f t="shared" si="221"/>
        <v>110.96644188180825</v>
      </c>
      <c r="K1800">
        <f t="shared" si="222"/>
        <v>8.7661010931346386</v>
      </c>
      <c r="L1800" s="4">
        <f>MIN(MAX(L1799*(1+MAX(MIN(((B1800-B1799)/B1799)/($K$7*卓尔金历!$N$40),0),-卓尔金历!$M$43))+MIN(MAX(((B1800-B1799)/B1799)/($K$7*卓尔金历!$N$40),0),卓尔金历!$M$43),0),1)</f>
        <v>3.9641080857983062E-2</v>
      </c>
      <c r="M1800" s="4">
        <f>MIN(MAX(M1799*(1+MAX(MIN(((B1800-B1799)/B1799)/($K$7*30),0),-卓尔金历!$M$43))+MIN(MAX(((B1800-B1799)/B1799)/($K$7*7),0),卓尔金历!$M$43),0),1)</f>
        <v>0.40018275732303399</v>
      </c>
      <c r="N1800">
        <f t="shared" si="223"/>
        <v>773.4990277322031</v>
      </c>
      <c r="O1800">
        <f t="shared" si="224"/>
        <v>2010.4857403418519</v>
      </c>
      <c r="P1800">
        <f t="shared" si="225"/>
        <v>-4.4954547483884617E-2</v>
      </c>
      <c r="Q1800">
        <f t="shared" si="226"/>
        <v>2.8970405435833638E-2</v>
      </c>
      <c r="R1800">
        <f t="shared" si="227"/>
        <v>1.4884006439901457E-2</v>
      </c>
      <c r="S1800">
        <f t="shared" si="219"/>
        <v>16.35679697798675</v>
      </c>
      <c r="T1800" s="564">
        <f>IF((I1800-MAX(I$470:I1800))/MAX(I$470:I1800)&gt;T1799,T1799,(I1800-MAX(I$470:I1800))/MAX(I$470:I1800))</f>
        <v>-0.91338805338419748</v>
      </c>
      <c r="U1800" s="564">
        <f>IF((J1800-MAX(J$470:J1800))/MAX(J$470:J1800)&gt;U1799,U1799,(J1800-MAX(J$470:J1800))/MAX(J$470:J1800))</f>
        <v>-0.8283551177402233</v>
      </c>
      <c r="V1800" s="564">
        <f>IF((K1800-MAX(K$470:K1800))/MAX(K$470:K1800)&gt;V1799,V1799,(K1800-MAX(K$470:K1800))/MAX(K$470:K1800))</f>
        <v>-0.84885940676762139</v>
      </c>
      <c r="W1800" s="564">
        <f>IF((N1800-MAX(N$470:N1800))/MAX(N$470:N1800)&gt;W1799,W1799,(N1800-MAX(N$470:N1800))/MAX(N$470:N1800))</f>
        <v>-0.62788758315546067</v>
      </c>
      <c r="X1800" s="564">
        <f>IF((O1800-MAX(O$470:O1800))/MAX(O$470:O1800)&gt;X1799,X1799,(O1800-MAX(O$470:O1800))/MAX(O$470:O1800))</f>
        <v>-0.62788758315546067</v>
      </c>
    </row>
    <row r="1801" spans="1:24">
      <c r="A1801" s="799">
        <v>42203</v>
      </c>
      <c r="B1801">
        <v>279.505</v>
      </c>
      <c r="C1801">
        <v>424.03582399999999</v>
      </c>
      <c r="D1801">
        <v>0.96571499999999999</v>
      </c>
      <c r="E1801">
        <f>LN(D1801/参数实验室!$E$53)/参数实验室!$E$55</f>
        <v>-0.73412577830559766</v>
      </c>
      <c r="F1801">
        <f t="shared" si="228"/>
        <v>1.5170956655516001</v>
      </c>
      <c r="G1801">
        <f>LN(F1801/参数实验室!$E$58)/参数实验室!$E$59</f>
        <v>2.8227965200540533E-2</v>
      </c>
      <c r="H1801" s="856">
        <f>INDEX(神经网络!$G$10:$BO$70,MATCH(ROUND(G1801*2,1)/2,神经网络!$E$10:$E$70,0),MATCH(ROUND(E1801*2,1)/2,神经网络!$G$8:$BO$8,0))</f>
        <v>-0.21232817533669729</v>
      </c>
      <c r="I1801">
        <f t="shared" si="220"/>
        <v>971.65390291221536</v>
      </c>
      <c r="J1801">
        <f t="shared" si="221"/>
        <v>111.52986712421676</v>
      </c>
      <c r="K1801">
        <f t="shared" si="222"/>
        <v>8.7120511121028468</v>
      </c>
      <c r="L1801" s="4">
        <f>MIN(MAX(L1800*(1+MAX(MIN(((B1801-B1800)/B1800)/($K$7*卓尔金历!$N$40),0),-卓尔金历!$M$43))+MIN(MAX(((B1801-B1800)/B1800)/($K$7*卓尔金历!$N$40),0),卓尔金历!$M$43),0),1)</f>
        <v>0.11721946292788049</v>
      </c>
      <c r="M1801" s="4">
        <f>MIN(MAX(M1800*(1+MAX(MIN(((B1801-B1800)/B1800)/($K$7*30),0),-卓尔金历!$M$43))+MIN(MAX(((B1801-B1800)/B1800)/($K$7*7),0),卓尔金历!$M$43),0),1)</f>
        <v>0.56642214747281416</v>
      </c>
      <c r="N1801">
        <f t="shared" si="223"/>
        <v>773.46469624203758</v>
      </c>
      <c r="O1801">
        <f t="shared" si="224"/>
        <v>2009.5849022038367</v>
      </c>
      <c r="P1801">
        <f t="shared" si="225"/>
        <v>5.0774381232176922E-3</v>
      </c>
      <c r="Q1801">
        <f t="shared" si="226"/>
        <v>2.8962585046929019E-2</v>
      </c>
      <c r="R1801">
        <f t="shared" si="227"/>
        <v>1</v>
      </c>
      <c r="S1801">
        <f t="shared" si="219"/>
        <v>16.356524390756185</v>
      </c>
      <c r="T1801" s="564">
        <f>IF((I1801-MAX(I$470:I1801))/MAX(I$470:I1801)&gt;T1800,T1800,(I1801-MAX(I$470:I1801))/MAX(I$470:I1801))</f>
        <v>-0.91338805338419748</v>
      </c>
      <c r="U1801" s="564">
        <f>IF((J1801-MAX(J$470:J1801))/MAX(J$470:J1801)&gt;U1800,U1800,(J1801-MAX(J$470:J1801))/MAX(J$470:J1801))</f>
        <v>-0.8283551177402233</v>
      </c>
      <c r="V1801" s="564">
        <f>IF((K1801-MAX(K$470:K1801))/MAX(K$470:K1801)&gt;V1800,V1800,(K1801-MAX(K$470:K1801))/MAX(K$470:K1801))</f>
        <v>-0.84885940676762139</v>
      </c>
      <c r="W1801" s="564">
        <f>IF((N1801-MAX(N$470:N1801))/MAX(N$470:N1801)&gt;W1800,W1800,(N1801-MAX(N$470:N1801))/MAX(N$470:N1801))</f>
        <v>-0.62788758315546067</v>
      </c>
      <c r="X1801" s="564">
        <f>IF((O1801-MAX(O$470:O1801))/MAX(O$470:O1801)&gt;X1800,X1800,(O1801-MAX(O$470:O1801))/MAX(O$470:O1801))</f>
        <v>-0.62788758315546067</v>
      </c>
    </row>
    <row r="1802" spans="1:24">
      <c r="A1802" s="799">
        <v>42204</v>
      </c>
      <c r="B1802">
        <v>274.517</v>
      </c>
      <c r="C1802">
        <v>422.94662299999999</v>
      </c>
      <c r="D1802">
        <v>0.95860699999999999</v>
      </c>
      <c r="E1802">
        <f>LN(D1802/参数实验室!$E$53)/参数实验室!$E$55</f>
        <v>-0.74284128869976207</v>
      </c>
      <c r="F1802">
        <f t="shared" si="228"/>
        <v>1.540693738456999</v>
      </c>
      <c r="G1802">
        <f>LN(F1802/参数实验室!$E$58)/参数实验室!$E$59</f>
        <v>3.6329105096394594E-2</v>
      </c>
      <c r="H1802" s="856">
        <f>INDEX(神经网络!$G$10:$BO$70,MATCH(ROUND(G1802*2,1)/2,神经网络!$E$10:$E$70,0),MATCH(ROUND(E1802*2,1)/2,神经网络!$G$8:$BO$8,0))</f>
        <v>-0.21232817533669729</v>
      </c>
      <c r="I1802">
        <f t="shared" si="220"/>
        <v>975.33566813043149</v>
      </c>
      <c r="J1802">
        <f t="shared" si="221"/>
        <v>109.53952356250733</v>
      </c>
      <c r="K1802">
        <f t="shared" si="222"/>
        <v>8.9039612042302583</v>
      </c>
      <c r="L1802" s="4">
        <f>MIN(MAX(L1801*(1+MAX(MIN(((B1802-B1801)/B1801)/($K$7*卓尔金历!$N$40),0),-卓尔金历!$M$43))+MIN(MAX(((B1802-B1801)/B1801)/($K$7*卓尔金历!$N$40),0),卓尔金历!$M$43),0),1)</f>
        <v>8.5257556982388946E-2</v>
      </c>
      <c r="M1802" s="4">
        <f>MIN(MAX(M1801*(1+MAX(MIN(((B1802-B1801)/B1801)/($K$7*30),0),-卓尔金历!$M$43))+MIN(MAX(((B1802-B1801)/B1801)/($K$7*7),0),卓尔金历!$M$43),0),1)</f>
        <v>0.48919976924835534</v>
      </c>
      <c r="N1802">
        <f t="shared" si="223"/>
        <v>773.80824209787284</v>
      </c>
      <c r="O1802">
        <f t="shared" si="224"/>
        <v>2013.8980175888996</v>
      </c>
      <c r="P1802">
        <f t="shared" si="225"/>
        <v>-1.7845834600454372E-2</v>
      </c>
      <c r="Q1802">
        <f t="shared" si="226"/>
        <v>2.8969661668743509E-2</v>
      </c>
      <c r="R1802">
        <f t="shared" si="227"/>
        <v>0.52747335727211286</v>
      </c>
      <c r="S1802">
        <f t="shared" si="219"/>
        <v>16.418502099498255</v>
      </c>
      <c r="T1802" s="564">
        <f>IF((I1802-MAX(I$470:I1802))/MAX(I$470:I1802)&gt;T1801,T1801,(I1802-MAX(I$470:I1802))/MAX(I$470:I1802))</f>
        <v>-0.91338805338419748</v>
      </c>
      <c r="U1802" s="564">
        <f>IF((J1802-MAX(J$470:J1802))/MAX(J$470:J1802)&gt;U1801,U1801,(J1802-MAX(J$470:J1802))/MAX(J$470:J1802))</f>
        <v>-0.8283551177402233</v>
      </c>
      <c r="V1802" s="564">
        <f>IF((K1802-MAX(K$470:K1802))/MAX(K$470:K1802)&gt;V1801,V1801,(K1802-MAX(K$470:K1802))/MAX(K$470:K1802))</f>
        <v>-0.84885940676762139</v>
      </c>
      <c r="W1802" s="564">
        <f>IF((N1802-MAX(N$470:N1802))/MAX(N$470:N1802)&gt;W1801,W1801,(N1802-MAX(N$470:N1802))/MAX(N$470:N1802))</f>
        <v>-0.62788758315546067</v>
      </c>
      <c r="X1802" s="564">
        <f>IF((O1802-MAX(O$470:O1802))/MAX(O$470:O1802)&gt;X1801,X1801,(O1802-MAX(O$470:O1802))/MAX(O$470:O1802))</f>
        <v>-0.62788758315546067</v>
      </c>
    </row>
    <row r="1803" spans="1:24">
      <c r="A1803" s="799">
        <v>42205</v>
      </c>
      <c r="B1803">
        <v>273.60199999999998</v>
      </c>
      <c r="C1803">
        <v>417.00790899999998</v>
      </c>
      <c r="D1803">
        <v>0.97272000000000003</v>
      </c>
      <c r="E1803">
        <f>LN(D1803/参数实验室!$E$53)/参数实验室!$E$55</f>
        <v>-0.72559909833070391</v>
      </c>
      <c r="F1803">
        <f t="shared" si="228"/>
        <v>1.5241405728028306</v>
      </c>
      <c r="G1803">
        <f>LN(F1803/参数实验室!$E$58)/参数实验室!$E$59</f>
        <v>3.0659578122290844E-2</v>
      </c>
      <c r="H1803" s="856">
        <f>INDEX(神经网络!$G$10:$BO$70,MATCH(ROUND(G1803*2,1)/2,神经网络!$E$10:$E$70,0),MATCH(ROUND(E1803*2,1)/2,神经网络!$G$8:$BO$8,0))</f>
        <v>-0.21232817533669729</v>
      </c>
      <c r="I1803">
        <f t="shared" si="220"/>
        <v>976.02592952451914</v>
      </c>
      <c r="J1803">
        <f t="shared" si="221"/>
        <v>109.17441442879358</v>
      </c>
      <c r="K1803">
        <f t="shared" si="222"/>
        <v>8.9400610448074254</v>
      </c>
      <c r="L1803" s="4">
        <f>MIN(MAX(L1802*(1+MAX(MIN(((B1803-B1802)/B1802)/($K$7*卓尔金历!$N$40),0),-卓尔金历!$M$43))+MIN(MAX(((B1803-B1802)/B1802)/($K$7*卓尔金历!$N$40),0),卓尔金历!$M$43),0),1)</f>
        <v>8.0915647029826593E-2</v>
      </c>
      <c r="M1803" s="4">
        <f>MIN(MAX(M1802*(1+MAX(MIN(((B1803-B1802)/B1802)/($K$7*30),0),-卓尔金历!$M$43))+MIN(MAX(((B1803-B1802)/B1802)/($K$7*7),0),卓尔金历!$M$43),0),1)</f>
        <v>0.47674303566326454</v>
      </c>
      <c r="N1803">
        <f t="shared" si="223"/>
        <v>773.85493229555891</v>
      </c>
      <c r="O1803">
        <f t="shared" si="224"/>
        <v>2014.5952590357783</v>
      </c>
      <c r="P1803">
        <f t="shared" si="225"/>
        <v>-3.3331269101732151E-3</v>
      </c>
      <c r="Q1803">
        <f t="shared" si="226"/>
        <v>2.8897806059765309E-2</v>
      </c>
      <c r="R1803">
        <f t="shared" si="227"/>
        <v>1</v>
      </c>
      <c r="S1803">
        <f t="shared" si="219"/>
        <v>16.424631154781306</v>
      </c>
      <c r="T1803" s="564">
        <f>IF((I1803-MAX(I$470:I1803))/MAX(I$470:I1803)&gt;T1802,T1802,(I1803-MAX(I$470:I1803))/MAX(I$470:I1803))</f>
        <v>-0.91338805338419748</v>
      </c>
      <c r="U1803" s="564">
        <f>IF((J1803-MAX(J$470:J1803))/MAX(J$470:J1803)&gt;U1802,U1802,(J1803-MAX(J$470:J1803))/MAX(J$470:J1803))</f>
        <v>-0.8283551177402233</v>
      </c>
      <c r="V1803" s="564">
        <f>IF((K1803-MAX(K$470:K1803))/MAX(K$470:K1803)&gt;V1802,V1802,(K1803-MAX(K$470:K1803))/MAX(K$470:K1803))</f>
        <v>-0.84885940676762139</v>
      </c>
      <c r="W1803" s="564">
        <f>IF((N1803-MAX(N$470:N1803))/MAX(N$470:N1803)&gt;W1802,W1802,(N1803-MAX(N$470:N1803))/MAX(N$470:N1803))</f>
        <v>-0.62788758315546067</v>
      </c>
      <c r="X1803" s="564">
        <f>IF((O1803-MAX(O$470:O1803))/MAX(O$470:O1803)&gt;X1802,X1802,(O1803-MAX(O$470:O1803))/MAX(O$470:O1803))</f>
        <v>-0.62788758315546067</v>
      </c>
    </row>
    <row r="1804" spans="1:24">
      <c r="A1804" s="799">
        <v>42206</v>
      </c>
      <c r="B1804">
        <v>279.36599999999999</v>
      </c>
      <c r="C1804">
        <v>416.45320700000002</v>
      </c>
      <c r="D1804">
        <v>0.96438500000000005</v>
      </c>
      <c r="E1804">
        <f>LN(D1804/参数实验室!$E$53)/参数实验室!$E$55</f>
        <v>-0.73575167547448395</v>
      </c>
      <c r="F1804">
        <f t="shared" si="228"/>
        <v>1.490708271586378</v>
      </c>
      <c r="G1804">
        <f>LN(F1804/参数实验室!$E$58)/参数实验室!$E$59</f>
        <v>1.9018664311811873E-2</v>
      </c>
      <c r="H1804" s="856">
        <f>INDEX(神经网络!$G$10:$BO$70,MATCH(ROUND(G1804*2,1)/2,神经网络!$E$10:$E$70,0),MATCH(ROUND(E1804*2,1)/2,神经网络!$G$8:$BO$8,0))</f>
        <v>-0.28178409436167429</v>
      </c>
      <c r="I1804">
        <f t="shared" si="220"/>
        <v>971.66003049499841</v>
      </c>
      <c r="J1804">
        <f t="shared" si="221"/>
        <v>111.47440245800232</v>
      </c>
      <c r="K1804">
        <f t="shared" si="222"/>
        <v>8.716440806767892</v>
      </c>
      <c r="L1804" s="4">
        <f>MIN(MAX(L1803*(1+MAX(MIN(((B1804-B1803)/B1803)/($K$7*卓尔金历!$N$40),0),-卓尔金历!$M$43))+MIN(MAX(((B1804-B1803)/B1803)/($K$7*卓尔金历!$N$40),0),卓尔金历!$M$43),0),1)</f>
        <v>0.40280067967938638</v>
      </c>
      <c r="M1804" s="4">
        <f>MIN(MAX(M1803*(1+MAX(MIN(((B1804-B1803)/B1803)/($K$7*30),0),-卓尔金历!$M$43))+MIN(MAX(((B1804-B1803)/B1803)/($K$7*7),0),卓尔金历!$M$43),0),1)</f>
        <v>1</v>
      </c>
      <c r="N1804">
        <f t="shared" si="223"/>
        <v>773.57483791339655</v>
      </c>
      <c r="O1804">
        <f t="shared" si="224"/>
        <v>2010.2990589725512</v>
      </c>
      <c r="P1804">
        <f t="shared" si="225"/>
        <v>2.1067097462737883E-2</v>
      </c>
      <c r="Q1804">
        <f t="shared" si="226"/>
        <v>2.8460147490163845E-2</v>
      </c>
      <c r="R1804">
        <f t="shared" si="227"/>
        <v>0.33838235756028978</v>
      </c>
      <c r="S1804">
        <f t="shared" si="219"/>
        <v>16.351161507049888</v>
      </c>
      <c r="T1804" s="564">
        <f>IF((I1804-MAX(I$470:I1804))/MAX(I$470:I1804)&gt;T1803,T1803,(I1804-MAX(I$470:I1804))/MAX(I$470:I1804))</f>
        <v>-0.91338805338419748</v>
      </c>
      <c r="U1804" s="564">
        <f>IF((J1804-MAX(J$470:J1804))/MAX(J$470:J1804)&gt;U1803,U1803,(J1804-MAX(J$470:J1804))/MAX(J$470:J1804))</f>
        <v>-0.8283551177402233</v>
      </c>
      <c r="V1804" s="564">
        <f>IF((K1804-MAX(K$470:K1804))/MAX(K$470:K1804)&gt;V1803,V1803,(K1804-MAX(K$470:K1804))/MAX(K$470:K1804))</f>
        <v>-0.84885940676762139</v>
      </c>
      <c r="W1804" s="564">
        <f>IF((N1804-MAX(N$470:N1804))/MAX(N$470:N1804)&gt;W1803,W1803,(N1804-MAX(N$470:N1804))/MAX(N$470:N1804))</f>
        <v>-0.62788758315546067</v>
      </c>
      <c r="X1804" s="564">
        <f>IF((O1804-MAX(O$470:O1804))/MAX(O$470:O1804)&gt;X1803,X1803,(O1804-MAX(O$470:O1804))/MAX(O$470:O1804))</f>
        <v>-0.62788758315546067</v>
      </c>
    </row>
    <row r="1805" spans="1:24">
      <c r="A1805" s="799">
        <v>42207</v>
      </c>
      <c r="B1805">
        <v>276.13900000000001</v>
      </c>
      <c r="C1805">
        <v>416.52861100000001</v>
      </c>
      <c r="D1805">
        <v>0.968306</v>
      </c>
      <c r="E1805">
        <f>LN(D1805/参数实验室!$E$53)/参数实验室!$E$55</f>
        <v>-0.73096475525169613</v>
      </c>
      <c r="F1805">
        <f t="shared" si="228"/>
        <v>1.5084019678495251</v>
      </c>
      <c r="G1805">
        <f>LN(F1805/参数实验室!$E$58)/参数实验室!$E$59</f>
        <v>2.5211644912309848E-2</v>
      </c>
      <c r="H1805" s="856">
        <f>INDEX(神经网络!$G$10:$BO$70,MATCH(ROUND(G1805*2,1)/2,神经网络!$E$10:$E$70,0),MATCH(ROUND(E1805*2,1)/2,神经网络!$G$8:$BO$8,0))</f>
        <v>-0.21232817533669729</v>
      </c>
      <c r="I1805">
        <f t="shared" si="220"/>
        <v>974.82271761058144</v>
      </c>
      <c r="J1805">
        <f t="shared" si="221"/>
        <v>110.18674434380098</v>
      </c>
      <c r="K1805">
        <f t="shared" si="222"/>
        <v>8.8470053581851218</v>
      </c>
      <c r="L1805" s="4">
        <f>MIN(MAX(L1804*(1+MAX(MIN(((B1805-B1804)/B1804)/($K$7*卓尔金历!$N$40),0),-卓尔金历!$M$43))+MIN(MAX(((B1805-B1804)/B1804)/($K$7*卓尔金历!$N$40),0),卓尔金历!$M$43),0),1)</f>
        <v>0.33171015999913234</v>
      </c>
      <c r="M1805" s="4">
        <f>MIN(MAX(M1804*(1+MAX(MIN(((B1805-B1804)/B1804)/($K$7*30),0),-卓尔金历!$M$43))+MIN(MAX(((B1805-B1804)/B1804)/($K$7*7),0),卓尔金历!$M$43),0),1)</f>
        <v>0.91175471732465874</v>
      </c>
      <c r="N1805">
        <f t="shared" si="223"/>
        <v>774.58906316869673</v>
      </c>
      <c r="O1805">
        <f t="shared" si="224"/>
        <v>2016.8424452730478</v>
      </c>
      <c r="P1805">
        <f t="shared" si="225"/>
        <v>-1.1551155115511464E-2</v>
      </c>
      <c r="Q1805">
        <f t="shared" si="226"/>
        <v>2.8155469108354904E-2</v>
      </c>
      <c r="R1805">
        <f t="shared" si="227"/>
        <v>0.9447730699654292</v>
      </c>
      <c r="S1805">
        <f t="shared" si="219"/>
        <v>16.369170864215928</v>
      </c>
      <c r="T1805" s="564">
        <f>IF((I1805-MAX(I$470:I1805))/MAX(I$470:I1805)&gt;T1804,T1804,(I1805-MAX(I$470:I1805))/MAX(I$470:I1805))</f>
        <v>-0.91338805338419748</v>
      </c>
      <c r="U1805" s="564">
        <f>IF((J1805-MAX(J$470:J1805))/MAX(J$470:J1805)&gt;U1804,U1804,(J1805-MAX(J$470:J1805))/MAX(J$470:J1805))</f>
        <v>-0.8283551177402233</v>
      </c>
      <c r="V1805" s="564">
        <f>IF((K1805-MAX(K$470:K1805))/MAX(K$470:K1805)&gt;V1804,V1804,(K1805-MAX(K$470:K1805))/MAX(K$470:K1805))</f>
        <v>-0.84885940676762139</v>
      </c>
      <c r="W1805" s="564">
        <f>IF((N1805-MAX(N$470:N1805))/MAX(N$470:N1805)&gt;W1804,W1804,(N1805-MAX(N$470:N1805))/MAX(N$470:N1805))</f>
        <v>-0.62788758315546067</v>
      </c>
      <c r="X1805" s="564">
        <f>IF((O1805-MAX(O$470:O1805))/MAX(O$470:O1805)&gt;X1804,X1804,(O1805-MAX(O$470:O1805))/MAX(O$470:O1805))</f>
        <v>-0.62788758315546067</v>
      </c>
    </row>
    <row r="1806" spans="1:24">
      <c r="A1806" s="799">
        <v>42208</v>
      </c>
      <c r="B1806">
        <v>277.41899999999998</v>
      </c>
      <c r="C1806">
        <v>416.85476899999998</v>
      </c>
      <c r="D1806">
        <v>0.96492100000000003</v>
      </c>
      <c r="E1806">
        <f>LN(D1806/参数实验室!$E$53)/参数实验室!$E$55</f>
        <v>-0.73509615711188303</v>
      </c>
      <c r="F1806">
        <f t="shared" si="228"/>
        <v>1.5026179497438892</v>
      </c>
      <c r="G1806">
        <f>LN(F1806/参数实验室!$E$58)/参数实验室!$E$59</f>
        <v>2.3195205894878855E-2</v>
      </c>
      <c r="H1806" s="856">
        <f>INDEX(神经网络!$G$10:$BO$70,MATCH(ROUND(G1806*2,1)/2,神经网络!$E$10:$E$70,0),MATCH(ROUND(E1806*2,1)/2,神经网络!$G$8:$BO$8,0))</f>
        <v>-0.28178409436167429</v>
      </c>
      <c r="I1806">
        <f t="shared" si="220"/>
        <v>973.86328275711639</v>
      </c>
      <c r="J1806">
        <f t="shared" si="221"/>
        <v>110.69749810462456</v>
      </c>
      <c r="K1806">
        <f t="shared" si="222"/>
        <v>8.7975184573429104</v>
      </c>
      <c r="L1806" s="4">
        <f>MIN(MAX(L1805*(1+MAX(MIN(((B1806-B1805)/B1805)/($K$7*卓尔金历!$N$40),0),-卓尔金历!$M$43))+MIN(MAX(((B1806-B1805)/B1805)/($K$7*卓尔金历!$N$40),0),卓尔金历!$M$43),0),1)</f>
        <v>0.40253380923335108</v>
      </c>
      <c r="M1806" s="4">
        <f>MIN(MAX(M1805*(1+MAX(MIN(((B1806-B1805)/B1805)/($K$7*30),0),-卓尔金历!$M$43))+MIN(MAX(((B1806-B1805)/B1805)/($K$7*7),0),卓尔金历!$M$43),0),1)</f>
        <v>1</v>
      </c>
      <c r="N1806">
        <f t="shared" si="223"/>
        <v>774.33617996550481</v>
      </c>
      <c r="O1806">
        <f t="shared" si="224"/>
        <v>2015.0326066955988</v>
      </c>
      <c r="P1806">
        <f t="shared" si="225"/>
        <v>4.6353466913401321E-3</v>
      </c>
      <c r="Q1806">
        <f t="shared" si="226"/>
        <v>2.7749141818008641E-2</v>
      </c>
      <c r="R1806">
        <f t="shared" si="227"/>
        <v>1</v>
      </c>
      <c r="S1806">
        <f t="shared" si="219"/>
        <v>16.353949834388906</v>
      </c>
      <c r="T1806" s="564">
        <f>IF((I1806-MAX(I$470:I1806))/MAX(I$470:I1806)&gt;T1805,T1805,(I1806-MAX(I$470:I1806))/MAX(I$470:I1806))</f>
        <v>-0.91338805338419748</v>
      </c>
      <c r="U1806" s="564">
        <f>IF((J1806-MAX(J$470:J1806))/MAX(J$470:J1806)&gt;U1805,U1805,(J1806-MAX(J$470:J1806))/MAX(J$470:J1806))</f>
        <v>-0.8283551177402233</v>
      </c>
      <c r="V1806" s="564">
        <f>IF((K1806-MAX(K$470:K1806))/MAX(K$470:K1806)&gt;V1805,V1805,(K1806-MAX(K$470:K1806))/MAX(K$470:K1806))</f>
        <v>-0.84885940676762139</v>
      </c>
      <c r="W1806" s="564">
        <f>IF((N1806-MAX(N$470:N1806))/MAX(N$470:N1806)&gt;W1805,W1805,(N1806-MAX(N$470:N1806))/MAX(N$470:N1806))</f>
        <v>-0.62788758315546067</v>
      </c>
      <c r="X1806" s="564">
        <f>IF((O1806-MAX(O$470:O1806))/MAX(O$470:O1806)&gt;X1805,X1805,(O1806-MAX(O$470:O1806))/MAX(O$470:O1806))</f>
        <v>-0.62788758315546067</v>
      </c>
    </row>
    <row r="1807" spans="1:24">
      <c r="A1807" s="799">
        <v>42209</v>
      </c>
      <c r="B1807">
        <v>275.74099999999999</v>
      </c>
      <c r="C1807">
        <v>413.58123499999999</v>
      </c>
      <c r="D1807">
        <v>1.0079659999999999</v>
      </c>
      <c r="E1807">
        <f>LN(D1807/参数实验室!$E$53)/参数实验室!$E$55</f>
        <v>-0.68360761386793512</v>
      </c>
      <c r="F1807">
        <f t="shared" si="228"/>
        <v>1.4998902412046087</v>
      </c>
      <c r="G1807">
        <f>LN(F1807/参数实验室!$E$58)/参数实验室!$E$59</f>
        <v>2.2241570362182241E-2</v>
      </c>
      <c r="H1807" s="856">
        <f>INDEX(神经网络!$G$10:$BO$70,MATCH(ROUND(G1807*2,1)/2,神经网络!$E$10:$E$70,0),MATCH(ROUND(E1807*2,1)/2,神经网络!$G$8:$BO$8,0))</f>
        <v>-0.29487647096998976</v>
      </c>
      <c r="I1807">
        <f t="shared" si="220"/>
        <v>975.52313802783999</v>
      </c>
      <c r="J1807">
        <f t="shared" si="221"/>
        <v>110.02793184629488</v>
      </c>
      <c r="K1807">
        <f t="shared" si="222"/>
        <v>8.8661408213199113</v>
      </c>
      <c r="L1807" s="4">
        <f>MIN(MAX(L1806*(1+MAX(MIN(((B1807-B1806)/B1806)/($K$7*卓尔金历!$N$40),0),-卓尔金历!$M$43))+MIN(MAX(((B1807-B1806)/B1806)/($K$7*卓尔金历!$N$40),0),卓尔金历!$M$43),0),1)</f>
        <v>0.36533284505715657</v>
      </c>
      <c r="M1807" s="4">
        <f>MIN(MAX(M1806*(1+MAX(MIN(((B1807-B1806)/B1806)/($K$7*30),0),-卓尔金历!$M$43))+MIN(MAX(((B1807-B1806)/B1806)/($K$7*7),0),卓尔金历!$M$43),0),1)</f>
        <v>0.95379150356705955</v>
      </c>
      <c r="N1807">
        <f t="shared" si="223"/>
        <v>774.86743632819912</v>
      </c>
      <c r="O1807">
        <f t="shared" si="224"/>
        <v>2018.4670338396579</v>
      </c>
      <c r="P1807">
        <f t="shared" si="225"/>
        <v>-6.0486123877600212E-3</v>
      </c>
      <c r="Q1807">
        <f t="shared" si="226"/>
        <v>2.7599602110165444E-2</v>
      </c>
      <c r="R1807">
        <f t="shared" si="227"/>
        <v>1</v>
      </c>
      <c r="S1807">
        <f t="shared" si="219"/>
        <v>16.381823551686171</v>
      </c>
      <c r="T1807" s="564">
        <f>IF((I1807-MAX(I$470:I1807))/MAX(I$470:I1807)&gt;T1806,T1806,(I1807-MAX(I$470:I1807))/MAX(I$470:I1807))</f>
        <v>-0.91338805338419748</v>
      </c>
      <c r="U1807" s="564">
        <f>IF((J1807-MAX(J$470:J1807))/MAX(J$470:J1807)&gt;U1806,U1806,(J1807-MAX(J$470:J1807))/MAX(J$470:J1807))</f>
        <v>-0.8283551177402233</v>
      </c>
      <c r="V1807" s="564">
        <f>IF((K1807-MAX(K$470:K1807))/MAX(K$470:K1807)&gt;V1806,V1806,(K1807-MAX(K$470:K1807))/MAX(K$470:K1807))</f>
        <v>-0.84885940676762139</v>
      </c>
      <c r="W1807" s="564">
        <f>IF((N1807-MAX(N$470:N1807))/MAX(N$470:N1807)&gt;W1806,W1806,(N1807-MAX(N$470:N1807))/MAX(N$470:N1807))</f>
        <v>-0.62788758315546067</v>
      </c>
      <c r="X1807" s="564">
        <f>IF((O1807-MAX(O$470:O1807))/MAX(O$470:O1807)&gt;X1806,X1806,(O1807-MAX(O$470:O1807))/MAX(O$470:O1807))</f>
        <v>-0.62788758315546067</v>
      </c>
    </row>
    <row r="1808" spans="1:24">
      <c r="A1808" s="799">
        <v>42210</v>
      </c>
      <c r="B1808">
        <v>287.267</v>
      </c>
      <c r="C1808">
        <v>413.37638299999998</v>
      </c>
      <c r="D1808">
        <v>1.0082850000000001</v>
      </c>
      <c r="E1808">
        <f>LN(D1808/参数实验室!$E$53)/参数实验室!$E$55</f>
        <v>-0.68323430589391065</v>
      </c>
      <c r="F1808">
        <f t="shared" si="228"/>
        <v>1.4389971107018904</v>
      </c>
      <c r="G1808">
        <f>LN(F1808/参数实验室!$E$58)/参数实验室!$E$59</f>
        <v>4.8872537589352612E-4</v>
      </c>
      <c r="H1808" s="856">
        <f>INDEX(神经网络!$G$10:$BO$70,MATCH(ROUND(G1808*2,1)/2,神经网络!$E$10:$E$70,0),MATCH(ROUND(E1808*2,1)/2,神经网络!$G$8:$BO$8,0))</f>
        <v>-0.29487647096998976</v>
      </c>
      <c r="I1808">
        <f t="shared" si="220"/>
        <v>963.49897200727503</v>
      </c>
      <c r="J1808">
        <f t="shared" si="221"/>
        <v>114.62710985196105</v>
      </c>
      <c r="K1808">
        <f t="shared" si="222"/>
        <v>8.4055069804308715</v>
      </c>
      <c r="L1808" s="4">
        <f>MIN(MAX(L1807*(1+MAX(MIN(((B1808-B1807)/B1807)/($K$7*卓尔金历!$N$40),0),-卓尔金历!$M$43))+MIN(MAX(((B1808-B1807)/B1807)/($K$7*卓尔金历!$N$40),0),卓尔金历!$M$43),0),1)</f>
        <v>1</v>
      </c>
      <c r="M1808" s="4">
        <f>MIN(MAX(M1807*(1+MAX(MIN(((B1808-B1807)/B1807)/($K$7*30),0),-卓尔金历!$M$43))+MIN(MAX(((B1808-B1807)/B1807)/($K$7*7),0),卓尔金历!$M$43),0),1)</f>
        <v>1</v>
      </c>
      <c r="N1808">
        <f t="shared" si="223"/>
        <v>771.37817482897253</v>
      </c>
      <c r="O1808">
        <f t="shared" si="224"/>
        <v>1994.7373200829018</v>
      </c>
      <c r="P1808">
        <f t="shared" si="225"/>
        <v>4.1800095016700498E-2</v>
      </c>
      <c r="Q1808">
        <f t="shared" si="226"/>
        <v>2.8749734694178183E-2</v>
      </c>
      <c r="R1808">
        <f t="shared" si="227"/>
        <v>1.7269897000299513E-2</v>
      </c>
      <c r="S1808">
        <f t="shared" si="219"/>
        <v>16.179903414247612</v>
      </c>
      <c r="T1808" s="564">
        <f>IF((I1808-MAX(I$470:I1808))/MAX(I$470:I1808)&gt;T1807,T1807,(I1808-MAX(I$470:I1808))/MAX(I$470:I1808))</f>
        <v>-0.91338805338419748</v>
      </c>
      <c r="U1808" s="564">
        <f>IF((J1808-MAX(J$470:J1808))/MAX(J$470:J1808)&gt;U1807,U1807,(J1808-MAX(J$470:J1808))/MAX(J$470:J1808))</f>
        <v>-0.8283551177402233</v>
      </c>
      <c r="V1808" s="564">
        <f>IF((K1808-MAX(K$470:K1808))/MAX(K$470:K1808)&gt;V1807,V1807,(K1808-MAX(K$470:K1808))/MAX(K$470:K1808))</f>
        <v>-0.84885940676762139</v>
      </c>
      <c r="W1808" s="564">
        <f>IF((N1808-MAX(N$470:N1808))/MAX(N$470:N1808)&gt;W1807,W1807,(N1808-MAX(N$470:N1808))/MAX(N$470:N1808))</f>
        <v>-0.62788758315546067</v>
      </c>
      <c r="X1808" s="564">
        <f>IF((O1808-MAX(O$470:O1808))/MAX(O$470:O1808)&gt;X1807,X1807,(O1808-MAX(O$470:O1808))/MAX(O$470:O1808))</f>
        <v>-0.62788758315546067</v>
      </c>
    </row>
    <row r="1809" spans="1:24">
      <c r="A1809" s="799">
        <v>42211</v>
      </c>
      <c r="B1809">
        <v>288.697</v>
      </c>
      <c r="C1809">
        <v>416.52592900000002</v>
      </c>
      <c r="D1809">
        <v>1.0212699999999999</v>
      </c>
      <c r="E1809">
        <f>LN(D1809/参数实验室!$E$53)/参数实验室!$E$55</f>
        <v>-0.66813808539124664</v>
      </c>
      <c r="F1809">
        <f t="shared" si="228"/>
        <v>1.442778861574592</v>
      </c>
      <c r="G1809">
        <f>LN(F1809/参数实验室!$E$58)/参数实验室!$E$59</f>
        <v>1.866256727365227E-3</v>
      </c>
      <c r="H1809" s="856">
        <f>INDEX(神经网络!$G$10:$BO$70,MATCH(ROUND(G1809*2,1)/2,神经网络!$E$10:$E$70,0),MATCH(ROUND(E1809*2,1)/2,神经网络!$G$8:$BO$8,0))</f>
        <v>-0.29351875486040024</v>
      </c>
      <c r="I1809">
        <f t="shared" si="220"/>
        <v>962.0846715738536</v>
      </c>
      <c r="J1809">
        <f t="shared" si="221"/>
        <v>115.19771756913116</v>
      </c>
      <c r="K1809">
        <f t="shared" si="222"/>
        <v>8.3515949089572725</v>
      </c>
      <c r="L1809" s="4">
        <f>MIN(MAX(L1808*(1+MAX(MIN(((B1809-B1808)/B1808)/($K$7*卓尔金历!$N$40),0),-卓尔金历!$M$43))+MIN(MAX(((B1809-B1808)/B1808)/($K$7*卓尔金历!$N$40),0),卓尔金历!$M$43),0),1)</f>
        <v>1</v>
      </c>
      <c r="M1809" s="4">
        <f>MIN(MAX(M1808*(1+MAX(MIN(((B1809-B1808)/B1808)/($K$7*30),0),-卓尔金历!$M$43))+MIN(MAX(((B1809-B1808)/B1808)/($K$7*7),0),卓尔金历!$M$43),0),1)</f>
        <v>1</v>
      </c>
      <c r="N1809">
        <f t="shared" si="223"/>
        <v>770.24588458405447</v>
      </c>
      <c r="O1809">
        <f t="shared" si="224"/>
        <v>1991.809285971482</v>
      </c>
      <c r="P1809">
        <f t="shared" si="225"/>
        <v>4.9779473451527908E-3</v>
      </c>
      <c r="Q1809">
        <f t="shared" si="226"/>
        <v>2.8653793432518296E-2</v>
      </c>
      <c r="R1809">
        <f t="shared" si="227"/>
        <v>1</v>
      </c>
      <c r="S1809">
        <f t="shared" si="219"/>
        <v>16.179493251615892</v>
      </c>
      <c r="T1809" s="564">
        <f>IF((I1809-MAX(I$470:I1809))/MAX(I$470:I1809)&gt;T1808,T1808,(I1809-MAX(I$470:I1809))/MAX(I$470:I1809))</f>
        <v>-0.91338805338419748</v>
      </c>
      <c r="U1809" s="564">
        <f>IF((J1809-MAX(J$470:J1809))/MAX(J$470:J1809)&gt;U1808,U1808,(J1809-MAX(J$470:J1809))/MAX(J$470:J1809))</f>
        <v>-0.8283551177402233</v>
      </c>
      <c r="V1809" s="564">
        <f>IF((K1809-MAX(K$470:K1809))/MAX(K$470:K1809)&gt;V1808,V1808,(K1809-MAX(K$470:K1809))/MAX(K$470:K1809))</f>
        <v>-0.84885940676762139</v>
      </c>
      <c r="W1809" s="564">
        <f>IF((N1809-MAX(N$470:N1809))/MAX(N$470:N1809)&gt;W1808,W1808,(N1809-MAX(N$470:N1809))/MAX(N$470:N1809))</f>
        <v>-0.62788758315546067</v>
      </c>
      <c r="X1809" s="564">
        <f>IF((O1809-MAX(O$470:O1809))/MAX(O$470:O1809)&gt;X1808,X1808,(O1809-MAX(O$470:O1809))/MAX(O$470:O1809))</f>
        <v>-0.62788758315546067</v>
      </c>
    </row>
    <row r="1810" spans="1:24">
      <c r="A1810" s="799">
        <v>42212</v>
      </c>
      <c r="B1810">
        <v>292.16399999999999</v>
      </c>
      <c r="C1810">
        <v>411.25955399999998</v>
      </c>
      <c r="D1810">
        <v>1.0249269999999999</v>
      </c>
      <c r="E1810">
        <f>LN(D1810/参数实验室!$E$53)/参数实验室!$E$55</f>
        <v>-0.66392112856179097</v>
      </c>
      <c r="F1810">
        <f t="shared" si="228"/>
        <v>1.4076325419969606</v>
      </c>
      <c r="G1810">
        <f>LN(F1810/参数实验室!$E$58)/参数实验室!$E$59</f>
        <v>-1.1077575058852667E-2</v>
      </c>
      <c r="H1810" s="856">
        <f>INDEX(神经网络!$G$10:$BO$70,MATCH(ROUND(G1810*2,1)/2,神经网络!$E$10:$E$70,0),MATCH(ROUND(E1810*2,1)/2,神经网络!$G$8:$BO$8,0))</f>
        <v>-0.29351875486040024</v>
      </c>
      <c r="I1810">
        <f t="shared" si="220"/>
        <v>958.69341442356631</v>
      </c>
      <c r="J1810">
        <f t="shared" si="221"/>
        <v>116.58114201348691</v>
      </c>
      <c r="K1810">
        <f t="shared" si="222"/>
        <v>8.2234004390920958</v>
      </c>
      <c r="L1810" s="4">
        <f>MIN(MAX(L1809*(1+MAX(MIN(((B1810-B1809)/B1809)/($K$7*卓尔金历!$N$40),0),-卓尔金历!$M$43))+MIN(MAX(((B1810-B1809)/B1809)/($K$7*卓尔金历!$N$40),0),卓尔金历!$M$43),0),1)</f>
        <v>1</v>
      </c>
      <c r="M1810" s="4">
        <f>MIN(MAX(M1809*(1+MAX(MIN(((B1810-B1809)/B1809)/($K$7*30),0),-卓尔金历!$M$43))+MIN(MAX(((B1810-B1809)/B1809)/($K$7*7),0),卓尔金历!$M$43),0),1)</f>
        <v>1</v>
      </c>
      <c r="N1810">
        <f t="shared" si="223"/>
        <v>767.53084094937935</v>
      </c>
      <c r="O1810">
        <f t="shared" si="224"/>
        <v>1984.7883472925512</v>
      </c>
      <c r="P1810">
        <f t="shared" si="225"/>
        <v>1.2009130680263337E-2</v>
      </c>
      <c r="Q1810">
        <f t="shared" si="226"/>
        <v>2.7714667917436622E-2</v>
      </c>
      <c r="R1810">
        <f t="shared" si="227"/>
        <v>0.88891135499302476</v>
      </c>
      <c r="S1810">
        <f t="shared" si="219"/>
        <v>16.122462073593059</v>
      </c>
      <c r="T1810" s="564">
        <f>IF((I1810-MAX(I$470:I1810))/MAX(I$470:I1810)&gt;T1809,T1809,(I1810-MAX(I$470:I1810))/MAX(I$470:I1810))</f>
        <v>-0.91338805338419748</v>
      </c>
      <c r="U1810" s="564">
        <f>IF((J1810-MAX(J$470:J1810))/MAX(J$470:J1810)&gt;U1809,U1809,(J1810-MAX(J$470:J1810))/MAX(J$470:J1810))</f>
        <v>-0.8283551177402233</v>
      </c>
      <c r="V1810" s="564">
        <f>IF((K1810-MAX(K$470:K1810))/MAX(K$470:K1810)&gt;V1809,V1809,(K1810-MAX(K$470:K1810))/MAX(K$470:K1810))</f>
        <v>-0.84885940676762139</v>
      </c>
      <c r="W1810" s="564">
        <f>IF((N1810-MAX(N$470:N1810))/MAX(N$470:N1810)&gt;W1809,W1809,(N1810-MAX(N$470:N1810))/MAX(N$470:N1810))</f>
        <v>-0.62788758315546067</v>
      </c>
      <c r="X1810" s="564">
        <f>IF((O1810-MAX(O$470:O1810))/MAX(O$470:O1810)&gt;X1809,X1809,(O1810-MAX(O$470:O1810))/MAX(O$470:O1810))</f>
        <v>-0.62788758315546067</v>
      </c>
    </row>
    <row r="1811" spans="1:24">
      <c r="A1811" s="799">
        <v>42213</v>
      </c>
      <c r="B1811">
        <v>294.90699999999998</v>
      </c>
      <c r="C1811">
        <v>412.96678500000002</v>
      </c>
      <c r="D1811">
        <v>1.0281579999999999</v>
      </c>
      <c r="E1811">
        <f>LN(D1811/参数实验室!$E$53)/参数实验室!$E$55</f>
        <v>-0.66020790102560722</v>
      </c>
      <c r="F1811">
        <f t="shared" si="228"/>
        <v>1.4003288663883871</v>
      </c>
      <c r="G1811">
        <f>LN(F1811/参数实验室!$E$58)/参数实验室!$E$59</f>
        <v>-1.3807934746840939E-2</v>
      </c>
      <c r="H1811" s="856">
        <f>INDEX(神经网络!$G$10:$BO$70,MATCH(ROUND(G1811*2,1)/2,神经网络!$E$10:$E$70,0),MATCH(ROUND(E1811*2,1)/2,神经网络!$G$8:$BO$8,0))</f>
        <v>-0.29351875486040024</v>
      </c>
      <c r="I1811">
        <f t="shared" si="220"/>
        <v>956.05152457376028</v>
      </c>
      <c r="J1811">
        <f t="shared" si="221"/>
        <v>117.67567136187684</v>
      </c>
      <c r="K1811">
        <f t="shared" si="222"/>
        <v>8.1244620362836564</v>
      </c>
      <c r="L1811" s="4">
        <f>MIN(MAX(L1810*(1+MAX(MIN(((B1811-B1810)/B1810)/($K$7*卓尔金历!$N$40),0),-卓尔金历!$M$43))+MIN(MAX(((B1811-B1810)/B1810)/($K$7*卓尔金历!$N$40),0),卓尔金历!$M$43),0),1)</f>
        <v>1</v>
      </c>
      <c r="M1811" s="4">
        <f>MIN(MAX(M1810*(1+MAX(MIN(((B1811-B1810)/B1810)/($K$7*30),0),-卓尔金历!$M$43))+MIN(MAX(((B1811-B1810)/B1810)/($K$7*7),0),卓尔金历!$M$43),0),1)</f>
        <v>1</v>
      </c>
      <c r="N1811">
        <f t="shared" si="223"/>
        <v>765.41574147377014</v>
      </c>
      <c r="O1811">
        <f t="shared" si="224"/>
        <v>1979.318827934396</v>
      </c>
      <c r="P1811">
        <f t="shared" si="225"/>
        <v>9.3885625881354132E-3</v>
      </c>
      <c r="Q1811">
        <f t="shared" si="226"/>
        <v>2.7654729060376797E-2</v>
      </c>
      <c r="R1811">
        <f t="shared" si="227"/>
        <v>1</v>
      </c>
      <c r="S1811">
        <f t="shared" si="219"/>
        <v>16.082968650291143</v>
      </c>
      <c r="T1811" s="564">
        <f>IF((I1811-MAX(I$470:I1811))/MAX(I$470:I1811)&gt;T1810,T1810,(I1811-MAX(I$470:I1811))/MAX(I$470:I1811))</f>
        <v>-0.91338805338419748</v>
      </c>
      <c r="U1811" s="564">
        <f>IF((J1811-MAX(J$470:J1811))/MAX(J$470:J1811)&gt;U1810,U1810,(J1811-MAX(J$470:J1811))/MAX(J$470:J1811))</f>
        <v>-0.8283551177402233</v>
      </c>
      <c r="V1811" s="564">
        <f>IF((K1811-MAX(K$470:K1811))/MAX(K$470:K1811)&gt;V1810,V1810,(K1811-MAX(K$470:K1811))/MAX(K$470:K1811))</f>
        <v>-0.84885940676762139</v>
      </c>
      <c r="W1811" s="564">
        <f>IF((N1811-MAX(N$470:N1811))/MAX(N$470:N1811)&gt;W1810,W1810,(N1811-MAX(N$470:N1811))/MAX(N$470:N1811))</f>
        <v>-0.62788758315546067</v>
      </c>
      <c r="X1811" s="564">
        <f>IF((O1811-MAX(O$470:O1811))/MAX(O$470:O1811)&gt;X1810,X1810,(O1811-MAX(O$470:O1811))/MAX(O$470:O1811))</f>
        <v>-0.62788758315546067</v>
      </c>
    </row>
    <row r="1812" spans="1:24">
      <c r="A1812" s="799">
        <v>42214</v>
      </c>
      <c r="B1812">
        <v>293.80200000000002</v>
      </c>
      <c r="C1812">
        <v>409.977374</v>
      </c>
      <c r="D1812">
        <v>1.0091019999999999</v>
      </c>
      <c r="E1812">
        <f>LN(D1812/参数实验室!$E$53)/参数实验室!$E$55</f>
        <v>-0.68227875452670272</v>
      </c>
      <c r="F1812">
        <f t="shared" si="228"/>
        <v>1.3954206370276581</v>
      </c>
      <c r="G1812">
        <f>LN(F1812/参数实验室!$E$58)/参数实验室!$E$59</f>
        <v>-1.565080848631617E-2</v>
      </c>
      <c r="H1812" s="856">
        <f>INDEX(神经网络!$G$10:$BO$70,MATCH(ROUND(G1812*2,1)/2,神经网络!$E$10:$E$70,0),MATCH(ROUND(E1812*2,1)/2,神经网络!$G$8:$BO$8,0))</f>
        <v>-0.29487647096998976</v>
      </c>
      <c r="I1812">
        <f t="shared" si="220"/>
        <v>957.10298843744681</v>
      </c>
      <c r="J1812">
        <f t="shared" si="221"/>
        <v>117.23474721679086</v>
      </c>
      <c r="K1812">
        <f t="shared" si="222"/>
        <v>8.1639873088783901</v>
      </c>
      <c r="L1812" s="4">
        <f>MIN(MAX(L1811*(1+MAX(MIN(((B1812-B1811)/B1811)/($K$7*卓尔金历!$N$40),0),-卓尔金历!$M$43))+MIN(MAX(((B1812-B1811)/B1811)/($K$7*卓尔金历!$N$40),0),卓尔金历!$M$43),0),1)</f>
        <v>0.94275029208928618</v>
      </c>
      <c r="M1812" s="4">
        <f>MIN(MAX(M1811*(1+MAX(MIN(((B1812-B1811)/B1811)/($K$7*30),0),-卓尔金历!$M$43))+MIN(MAX(((B1812-B1811)/B1811)/($K$7*7),0),卓尔金历!$M$43),0),1)</f>
        <v>0.97137514604464303</v>
      </c>
      <c r="N1812">
        <f t="shared" si="223"/>
        <v>766.2575444228479</v>
      </c>
      <c r="O1812">
        <f t="shared" si="224"/>
        <v>1981.4956794625762</v>
      </c>
      <c r="P1812">
        <f t="shared" si="225"/>
        <v>-3.7469439518219689E-3</v>
      </c>
      <c r="Q1812">
        <f t="shared" si="226"/>
        <v>2.7483386533720067E-2</v>
      </c>
      <c r="R1812">
        <f t="shared" si="227"/>
        <v>1</v>
      </c>
      <c r="S1812">
        <f t="shared" si="219"/>
        <v>16.100656672245947</v>
      </c>
      <c r="T1812" s="564">
        <f>IF((I1812-MAX(I$470:I1812))/MAX(I$470:I1812)&gt;T1811,T1811,(I1812-MAX(I$470:I1812))/MAX(I$470:I1812))</f>
        <v>-0.91338805338419748</v>
      </c>
      <c r="U1812" s="564">
        <f>IF((J1812-MAX(J$470:J1812))/MAX(J$470:J1812)&gt;U1811,U1811,(J1812-MAX(J$470:J1812))/MAX(J$470:J1812))</f>
        <v>-0.8283551177402233</v>
      </c>
      <c r="V1812" s="564">
        <f>IF((K1812-MAX(K$470:K1812))/MAX(K$470:K1812)&gt;V1811,V1811,(K1812-MAX(K$470:K1812))/MAX(K$470:K1812))</f>
        <v>-0.84885940676762139</v>
      </c>
      <c r="W1812" s="564">
        <f>IF((N1812-MAX(N$470:N1812))/MAX(N$470:N1812)&gt;W1811,W1811,(N1812-MAX(N$470:N1812))/MAX(N$470:N1812))</f>
        <v>-0.62788758315546067</v>
      </c>
      <c r="X1812" s="564">
        <f>IF((O1812-MAX(O$470:O1812))/MAX(O$470:O1812)&gt;X1811,X1811,(O1812-MAX(O$470:O1812))/MAX(O$470:O1812))</f>
        <v>-0.62788758315546067</v>
      </c>
    </row>
    <row r="1813" spans="1:24">
      <c r="A1813" s="799">
        <v>42215</v>
      </c>
      <c r="B1813">
        <v>288.471</v>
      </c>
      <c r="C1813">
        <v>413.34654399999999</v>
      </c>
      <c r="D1813">
        <v>1.003757</v>
      </c>
      <c r="E1813">
        <f>LN(D1813/参数实验室!$E$53)/参数实验室!$E$55</f>
        <v>-0.68854426632896604</v>
      </c>
      <c r="F1813">
        <f t="shared" si="228"/>
        <v>1.4328876871505281</v>
      </c>
      <c r="G1813">
        <f>LN(F1813/参数实验室!$E$58)/参数实验室!$E$59</f>
        <v>-1.7443450392772546E-3</v>
      </c>
      <c r="H1813" s="856">
        <f>INDEX(神经网络!$G$10:$BO$70,MATCH(ROUND(G1813*2,1)/2,神经网络!$E$10:$E$70,0),MATCH(ROUND(E1813*2,1)/2,神经网络!$G$8:$BO$8,0))</f>
        <v>-0.29487647096998976</v>
      </c>
      <c r="I1813">
        <f t="shared" si="220"/>
        <v>962.22396428206685</v>
      </c>
      <c r="J1813">
        <f t="shared" si="221"/>
        <v>115.10753760823573</v>
      </c>
      <c r="K1813">
        <f t="shared" si="222"/>
        <v>8.3593479999282128</v>
      </c>
      <c r="L1813" s="4">
        <f>MIN(MAX(L1812*(1+MAX(MIN(((B1813-B1812)/B1812)/($K$7*卓尔金历!$N$40),0),-卓尔金历!$M$43))+MIN(MAX(((B1813-B1812)/B1812)/($K$7*卓尔金历!$N$40),0),卓尔金历!$M$43),0),1)</f>
        <v>0.68138573803004676</v>
      </c>
      <c r="M1813" s="4">
        <f>MIN(MAX(M1812*(1+MAX(MIN(((B1813-B1812)/B1812)/($K$7*30),0),-卓尔金历!$M$43))+MIN(MAX(((B1813-B1812)/B1812)/($K$7*7),0),卓尔金历!$M$43),0),1)</f>
        <v>0.83672494545571452</v>
      </c>
      <c r="N1813">
        <f t="shared" si="223"/>
        <v>770.12268678117414</v>
      </c>
      <c r="O1813">
        <f t="shared" si="224"/>
        <v>1991.7941841739514</v>
      </c>
      <c r="P1813">
        <f t="shared" si="225"/>
        <v>-1.814487307778714E-2</v>
      </c>
      <c r="Q1813">
        <f t="shared" si="226"/>
        <v>2.7924021636603073E-2</v>
      </c>
      <c r="R1813">
        <f t="shared" si="227"/>
        <v>0.47043071741104009</v>
      </c>
      <c r="S1813">
        <f t="shared" si="219"/>
        <v>16.186803173612219</v>
      </c>
      <c r="T1813" s="564">
        <f>IF((I1813-MAX(I$470:I1813))/MAX(I$470:I1813)&gt;T1812,T1812,(I1813-MAX(I$470:I1813))/MAX(I$470:I1813))</f>
        <v>-0.91338805338419748</v>
      </c>
      <c r="U1813" s="564">
        <f>IF((J1813-MAX(J$470:J1813))/MAX(J$470:J1813)&gt;U1812,U1812,(J1813-MAX(J$470:J1813))/MAX(J$470:J1813))</f>
        <v>-0.8283551177402233</v>
      </c>
      <c r="V1813" s="564">
        <f>IF((K1813-MAX(K$470:K1813))/MAX(K$470:K1813)&gt;V1812,V1812,(K1813-MAX(K$470:K1813))/MAX(K$470:K1813))</f>
        <v>-0.84885940676762139</v>
      </c>
      <c r="W1813" s="564">
        <f>IF((N1813-MAX(N$470:N1813))/MAX(N$470:N1813)&gt;W1812,W1812,(N1813-MAX(N$470:N1813))/MAX(N$470:N1813))</f>
        <v>-0.62788758315546067</v>
      </c>
      <c r="X1813" s="564">
        <f>IF((O1813-MAX(O$470:O1813))/MAX(O$470:O1813)&gt;X1812,X1812,(O1813-MAX(O$470:O1813))/MAX(O$470:O1813))</f>
        <v>-0.62788758315546067</v>
      </c>
    </row>
    <row r="1814" spans="1:24">
      <c r="A1814" s="799">
        <v>42216</v>
      </c>
      <c r="B1814">
        <v>287.82299999999998</v>
      </c>
      <c r="C1814">
        <v>409.24659000000003</v>
      </c>
      <c r="D1814">
        <v>0.99098699999999995</v>
      </c>
      <c r="E1814">
        <f>LN(D1814/参数实验室!$E$53)/参数实验室!$E$55</f>
        <v>-0.70364961793442904</v>
      </c>
      <c r="F1814">
        <f t="shared" si="228"/>
        <v>1.4218689611323627</v>
      </c>
      <c r="G1814">
        <f>LN(F1814/参数实验室!$E$58)/参数实验室!$E$59</f>
        <v>-5.796005010531808E-3</v>
      </c>
      <c r="H1814" s="856">
        <f>INDEX(神经网络!$G$10:$BO$70,MATCH(ROUND(G1814*2,1)/2,神经网络!$E$10:$E$70,0),MATCH(ROUND(E1814*2,1)/2,神经网络!$G$8:$BO$8,0))</f>
        <v>-0.29487647096998976</v>
      </c>
      <c r="I1814">
        <f t="shared" si="220"/>
        <v>962.86133063796365</v>
      </c>
      <c r="J1814">
        <f t="shared" si="221"/>
        <v>114.84896851681877</v>
      </c>
      <c r="K1814">
        <f t="shared" si="222"/>
        <v>8.3837177039771138</v>
      </c>
      <c r="L1814" s="4">
        <f>MIN(MAX(L1813*(1+MAX(MIN(((B1814-B1813)/B1813)/($K$7*卓尔金历!$N$40),0),-卓尔金历!$M$43))+MIN(MAX(((B1814-B1813)/B1813)/($K$7*卓尔金历!$N$40),0),卓尔金历!$M$43),0),1)</f>
        <v>0.65799941396392236</v>
      </c>
      <c r="M1814" s="4">
        <f>MIN(MAX(M1813*(1+MAX(MIN(((B1814-B1813)/B1813)/($K$7*30),0),-卓尔金历!$M$43))+MIN(MAX(((B1814-B1813)/B1813)/($K$7*7),0),卓尔金历!$M$43),0),1)</f>
        <v>0.82236602976633544</v>
      </c>
      <c r="N1814">
        <f t="shared" si="223"/>
        <v>770.4702757000199</v>
      </c>
      <c r="O1814">
        <f t="shared" si="224"/>
        <v>1992.8981106337915</v>
      </c>
      <c r="P1814">
        <f t="shared" si="225"/>
        <v>-2.2463263204967727E-3</v>
      </c>
      <c r="Q1814">
        <f t="shared" si="226"/>
        <v>2.7952111105085362E-2</v>
      </c>
      <c r="R1814">
        <f t="shared" si="227"/>
        <v>1</v>
      </c>
      <c r="S1814">
        <f t="shared" si="219"/>
        <v>16.191847111429681</v>
      </c>
      <c r="T1814" s="564">
        <f>IF((I1814-MAX(I$470:I1814))/MAX(I$470:I1814)&gt;T1813,T1813,(I1814-MAX(I$470:I1814))/MAX(I$470:I1814))</f>
        <v>-0.91338805338419748</v>
      </c>
      <c r="U1814" s="564">
        <f>IF((J1814-MAX(J$470:J1814))/MAX(J$470:J1814)&gt;U1813,U1813,(J1814-MAX(J$470:J1814))/MAX(J$470:J1814))</f>
        <v>-0.8283551177402233</v>
      </c>
      <c r="V1814" s="564">
        <f>IF((K1814-MAX(K$470:K1814))/MAX(K$470:K1814)&gt;V1813,V1813,(K1814-MAX(K$470:K1814))/MAX(K$470:K1814))</f>
        <v>-0.84885940676762139</v>
      </c>
      <c r="W1814" s="564">
        <f>IF((N1814-MAX(N$470:N1814))/MAX(N$470:N1814)&gt;W1813,W1813,(N1814-MAX(N$470:N1814))/MAX(N$470:N1814))</f>
        <v>-0.62788758315546067</v>
      </c>
      <c r="X1814" s="564">
        <f>IF((O1814-MAX(O$470:O1814))/MAX(O$470:O1814)&gt;X1813,X1813,(O1814-MAX(O$470:O1814))/MAX(O$470:O1814))</f>
        <v>-0.62788758315546067</v>
      </c>
    </row>
    <row r="1815" spans="1:24">
      <c r="A1815" s="799">
        <v>42217</v>
      </c>
      <c r="B1815">
        <v>284.67599999999999</v>
      </c>
      <c r="C1815">
        <v>409.32437700000003</v>
      </c>
      <c r="D1815">
        <v>0.98089199999999999</v>
      </c>
      <c r="E1815">
        <f>LN(D1815/参数实验室!$E$53)/参数实验室!$E$55</f>
        <v>-0.71572917560125404</v>
      </c>
      <c r="F1815">
        <f t="shared" si="228"/>
        <v>1.4378605045736208</v>
      </c>
      <c r="G1815">
        <f>LN(F1815/参数实验室!$E$58)/参数实验室!$E$59</f>
        <v>7.400039980475092E-5</v>
      </c>
      <c r="H1815" s="856">
        <f>INDEX(神经网络!$G$10:$BO$70,MATCH(ROUND(G1815*2,1)/2,神经网络!$E$10:$E$70,0),MATCH(ROUND(E1815*2,1)/2,神经网络!$G$8:$BO$8,0))</f>
        <v>-0.29487647096998976</v>
      </c>
      <c r="I1815">
        <f t="shared" si="220"/>
        <v>965.96571232693259</v>
      </c>
      <c r="J1815">
        <f t="shared" si="221"/>
        <v>113.59323251266891</v>
      </c>
      <c r="K1815">
        <f t="shared" si="222"/>
        <v>8.5037258907056774</v>
      </c>
      <c r="L1815" s="4">
        <f>MIN(MAX(L1814*(1+MAX(MIN(((B1815-B1814)/B1814)/($K$7*卓尔金历!$N$40),0),-卓尔金历!$M$43))+MIN(MAX(((B1815-B1814)/B1814)/($K$7*卓尔金历!$N$40),0),卓尔金历!$M$43),0),1)</f>
        <v>0.54807533571285938</v>
      </c>
      <c r="M1815" s="4">
        <f>MIN(MAX(M1814*(1+MAX(MIN(((B1815-B1814)/B1814)/($K$7*30),0),-卓尔金历!$M$43))+MIN(MAX(((B1815-B1814)/B1814)/($K$7*7),0),卓尔金历!$M$43),0),1)</f>
        <v>0.75367461007153991</v>
      </c>
      <c r="N1815">
        <f t="shared" si="223"/>
        <v>772.1048051997542</v>
      </c>
      <c r="O1815">
        <f t="shared" si="224"/>
        <v>1998.1820962332049</v>
      </c>
      <c r="P1815">
        <f t="shared" si="225"/>
        <v>-1.0933803066467905E-2</v>
      </c>
      <c r="Q1815">
        <f t="shared" si="226"/>
        <v>2.4759027983669392E-2</v>
      </c>
      <c r="R1815">
        <f t="shared" si="227"/>
        <v>0.8681292383605812</v>
      </c>
      <c r="S1815">
        <f t="shared" ref="S1815:S1878" si="229">S1814*(1+(B1815-B1814)/B1814*H1814*R1814)</f>
        <v>16.244051589981126</v>
      </c>
      <c r="T1815" s="564">
        <f>IF((I1815-MAX(I$470:I1815))/MAX(I$470:I1815)&gt;T1814,T1814,(I1815-MAX(I$470:I1815))/MAX(I$470:I1815))</f>
        <v>-0.91338805338419748</v>
      </c>
      <c r="U1815" s="564">
        <f>IF((J1815-MAX(J$470:J1815))/MAX(J$470:J1815)&gt;U1814,U1814,(J1815-MAX(J$470:J1815))/MAX(J$470:J1815))</f>
        <v>-0.8283551177402233</v>
      </c>
      <c r="V1815" s="564">
        <f>IF((K1815-MAX(K$470:K1815))/MAX(K$470:K1815)&gt;V1814,V1814,(K1815-MAX(K$470:K1815))/MAX(K$470:K1815))</f>
        <v>-0.84885940676762139</v>
      </c>
      <c r="W1815" s="564">
        <f>IF((N1815-MAX(N$470:N1815))/MAX(N$470:N1815)&gt;W1814,W1814,(N1815-MAX(N$470:N1815))/MAX(N$470:N1815))</f>
        <v>-0.62788758315546067</v>
      </c>
      <c r="X1815" s="564">
        <f>IF((O1815-MAX(O$470:O1815))/MAX(O$470:O1815)&gt;X1814,X1814,(O1815-MAX(O$470:O1815))/MAX(O$470:O1815))</f>
        <v>-0.62788758315546067</v>
      </c>
    </row>
    <row r="1816" spans="1:24">
      <c r="A1816" s="799">
        <v>42218</v>
      </c>
      <c r="B1816">
        <v>279.73</v>
      </c>
      <c r="C1816">
        <v>412.444031</v>
      </c>
      <c r="D1816">
        <v>0.98353000000000002</v>
      </c>
      <c r="E1816">
        <f>LN(D1816/参数实验室!$E$53)/参数实验室!$E$55</f>
        <v>-0.71256061922346003</v>
      </c>
      <c r="F1816">
        <f t="shared" si="228"/>
        <v>1.4744361741679475</v>
      </c>
      <c r="G1816">
        <f>LN(F1816/参数实验室!$E$58)/参数实验室!$E$59</f>
        <v>1.3258026331512528E-2</v>
      </c>
      <c r="H1816" s="856">
        <f>INDEX(神经网络!$G$10:$BO$70,MATCH(ROUND(G1816*2,1)/2,神经网络!$E$10:$E$70,0),MATCH(ROUND(E1816*2,1)/2,神经网络!$G$8:$BO$8,0))</f>
        <v>-0.29487647096998976</v>
      </c>
      <c r="I1816">
        <f t="shared" ref="I1816:I1879" si="230">I1815*(1+(B1816-B1815)/B1815*H1815)</f>
        <v>970.91457142073432</v>
      </c>
      <c r="J1816">
        <f t="shared" ref="J1816:J1879" si="231">J1815*B1816/B1815</f>
        <v>111.61964805873652</v>
      </c>
      <c r="K1816">
        <f t="shared" ref="K1816:K1879" si="232">I1816/J1816</f>
        <v>8.6984199314964634</v>
      </c>
      <c r="L1816" s="4">
        <f>MIN(MAX(L1815*(1+MAX(MIN(((B1816-B1815)/B1815)/($K$7*卓尔金历!$N$40),0),-卓尔金历!$M$43))+MIN(MAX(((B1816-B1815)/B1815)/($K$7*卓尔金历!$N$40),0),卓尔金历!$M$43),0),1)</f>
        <v>0.40258317484960476</v>
      </c>
      <c r="M1816" s="4">
        <f>MIN(MAX(M1815*(1+MAX(MIN(((B1816-B1815)/B1815)/($K$7*30),0),-卓尔金历!$M$43))+MIN(MAX(((B1816-B1815)/B1815)/($K$7*7),0),卓尔金历!$M$43),0),1)</f>
        <v>0.65363932252803369</v>
      </c>
      <c r="N1816">
        <f t="shared" ref="N1816:N1879" si="233">N1815*(1+(B1816-B1815)/B1815*H1815*L1815)</f>
        <v>774.27280826211393</v>
      </c>
      <c r="O1816">
        <f t="shared" ref="O1816:O1879" si="234">O1815*(1+(B1816-B1815)/B1815*H1815*M1815)</f>
        <v>2005.8975651463654</v>
      </c>
      <c r="P1816">
        <f t="shared" ref="P1816:P1879" si="235">(B1816-B1815)/B1815</f>
        <v>-1.7374137616096789E-2</v>
      </c>
      <c r="Q1816">
        <f t="shared" si="226"/>
        <v>2.4385648766662361E-2</v>
      </c>
      <c r="R1816">
        <f t="shared" si="227"/>
        <v>0.37216467385141772</v>
      </c>
      <c r="S1816">
        <f t="shared" si="229"/>
        <v>16.316298973081615</v>
      </c>
      <c r="T1816" s="564">
        <f>IF((I1816-MAX(I$470:I1816))/MAX(I$470:I1816)&gt;T1815,T1815,(I1816-MAX(I$470:I1816))/MAX(I$470:I1816))</f>
        <v>-0.91338805338419748</v>
      </c>
      <c r="U1816" s="564">
        <f>IF((J1816-MAX(J$470:J1816))/MAX(J$470:J1816)&gt;U1815,U1815,(J1816-MAX(J$470:J1816))/MAX(J$470:J1816))</f>
        <v>-0.8283551177402233</v>
      </c>
      <c r="V1816" s="564">
        <f>IF((K1816-MAX(K$470:K1816))/MAX(K$470:K1816)&gt;V1815,V1815,(K1816-MAX(K$470:K1816))/MAX(K$470:K1816))</f>
        <v>-0.84885940676762139</v>
      </c>
      <c r="W1816" s="564">
        <f>IF((N1816-MAX(N$470:N1816))/MAX(N$470:N1816)&gt;W1815,W1815,(N1816-MAX(N$470:N1816))/MAX(N$470:N1816))</f>
        <v>-0.62788758315546067</v>
      </c>
      <c r="X1816" s="564">
        <f>IF((O1816-MAX(O$470:O1816))/MAX(O$470:O1816)&gt;X1815,X1815,(O1816-MAX(O$470:O1816))/MAX(O$470:O1816))</f>
        <v>-0.62788758315546067</v>
      </c>
    </row>
    <row r="1817" spans="1:24">
      <c r="A1817" s="799">
        <v>42219</v>
      </c>
      <c r="B1817">
        <v>282.16800000000001</v>
      </c>
      <c r="C1817">
        <v>411.41332799999998</v>
      </c>
      <c r="D1817">
        <v>0.98277599999999998</v>
      </c>
      <c r="E1817">
        <f>LN(D1817/参数实验室!$E$53)/参数实验室!$E$55</f>
        <v>-0.71346539598715242</v>
      </c>
      <c r="F1817">
        <f t="shared" si="228"/>
        <v>1.4580438887471292</v>
      </c>
      <c r="G1817">
        <f>LN(F1817/参数实验室!$E$58)/参数实验室!$E$59</f>
        <v>7.3901965714083069E-3</v>
      </c>
      <c r="H1817" s="856">
        <f>INDEX(神经网络!$G$10:$BO$70,MATCH(ROUND(G1817*2,1)/2,神经网络!$E$10:$E$70,0),MATCH(ROUND(E1817*2,1)/2,神经网络!$G$8:$BO$8,0))</f>
        <v>-0.29487647096998976</v>
      </c>
      <c r="I1817">
        <f t="shared" si="230"/>
        <v>968.41931147502305</v>
      </c>
      <c r="J1817">
        <f t="shared" si="231"/>
        <v>112.59247436255519</v>
      </c>
      <c r="K1817">
        <f t="shared" si="232"/>
        <v>8.6011016007752783</v>
      </c>
      <c r="L1817" s="4">
        <f>MIN(MAX(L1816*(1+MAX(MIN(((B1817-B1816)/B1816)/($K$7*卓尔金历!$N$40),0),-卓尔金历!$M$43))+MIN(MAX(((B1817-B1816)/B1816)/($K$7*卓尔金历!$N$40),0),卓尔金历!$M$43),0),1)</f>
        <v>0.53574837138347098</v>
      </c>
      <c r="M1817" s="4">
        <f>MIN(MAX(M1816*(1+MAX(MIN(((B1817-B1816)/B1816)/($K$7*30),0),-卓尔金历!$M$43))+MIN(MAX(((B1817-B1816)/B1816)/($K$7*7),0),卓尔金历!$M$43),0),1)</f>
        <v>0.93899331510060413</v>
      </c>
      <c r="N1817">
        <f t="shared" si="233"/>
        <v>773.47171255532999</v>
      </c>
      <c r="O1817">
        <f t="shared" si="234"/>
        <v>2002.5279391606527</v>
      </c>
      <c r="P1817">
        <f t="shared" si="235"/>
        <v>8.7155471347370242E-3</v>
      </c>
      <c r="Q1817">
        <f t="shared" si="226"/>
        <v>2.0704489742071487E-2</v>
      </c>
      <c r="R1817">
        <f t="shared" si="227"/>
        <v>0.91072725377004293</v>
      </c>
      <c r="S1817">
        <f t="shared" si="229"/>
        <v>16.300692973963475</v>
      </c>
      <c r="T1817" s="564">
        <f>IF((I1817-MAX(I$470:I1817))/MAX(I$470:I1817)&gt;T1816,T1816,(I1817-MAX(I$470:I1817))/MAX(I$470:I1817))</f>
        <v>-0.91338805338419748</v>
      </c>
      <c r="U1817" s="564">
        <f>IF((J1817-MAX(J$470:J1817))/MAX(J$470:J1817)&gt;U1816,U1816,(J1817-MAX(J$470:J1817))/MAX(J$470:J1817))</f>
        <v>-0.8283551177402233</v>
      </c>
      <c r="V1817" s="564">
        <f>IF((K1817-MAX(K$470:K1817))/MAX(K$470:K1817)&gt;V1816,V1816,(K1817-MAX(K$470:K1817))/MAX(K$470:K1817))</f>
        <v>-0.84885940676762139</v>
      </c>
      <c r="W1817" s="564">
        <f>IF((N1817-MAX(N$470:N1817))/MAX(N$470:N1817)&gt;W1816,W1816,(N1817-MAX(N$470:N1817))/MAX(N$470:N1817))</f>
        <v>-0.62788758315546067</v>
      </c>
      <c r="X1817" s="564">
        <f>IF((O1817-MAX(O$470:O1817))/MAX(O$470:O1817)&gt;X1816,X1816,(O1817-MAX(O$470:O1817))/MAX(O$470:O1817))</f>
        <v>-0.62788758315546067</v>
      </c>
    </row>
    <row r="1818" spans="1:24">
      <c r="A1818" s="799">
        <v>42220</v>
      </c>
      <c r="B1818">
        <v>282.13499999999999</v>
      </c>
      <c r="C1818">
        <v>413.39739800000001</v>
      </c>
      <c r="D1818">
        <v>0.99397000000000002</v>
      </c>
      <c r="E1818">
        <f>LN(D1818/参数实验室!$E$53)/参数实验室!$E$55</f>
        <v>-0.70010374104535744</v>
      </c>
      <c r="F1818">
        <f t="shared" si="228"/>
        <v>1.465246771935421</v>
      </c>
      <c r="G1818">
        <f>LN(F1818/参数实验室!$E$58)/参数实验室!$E$59</f>
        <v>9.9766448262050781E-3</v>
      </c>
      <c r="H1818" s="856">
        <f>INDEX(神经网络!$G$10:$BO$70,MATCH(ROUND(G1818*2,1)/2,神经网络!$E$10:$E$70,0),MATCH(ROUND(E1818*2,1)/2,神经网络!$G$8:$BO$8,0))</f>
        <v>-0.29487647096998976</v>
      </c>
      <c r="I1818">
        <f t="shared" si="230"/>
        <v>968.4527086507361</v>
      </c>
      <c r="J1818">
        <f t="shared" si="231"/>
        <v>112.57930649215895</v>
      </c>
      <c r="K1818">
        <f t="shared" si="232"/>
        <v>8.6024042857129164</v>
      </c>
      <c r="L1818" s="4">
        <f>MIN(MAX(L1817*(1+MAX(MIN(((B1818-B1817)/B1817)/($K$7*卓尔金历!$N$40),0),-卓尔金历!$M$43))+MIN(MAX(((B1818-B1817)/B1817)/($K$7*卓尔金历!$N$40),0),卓尔金历!$M$43),0),1)</f>
        <v>0.53479103818888041</v>
      </c>
      <c r="M1818" s="4">
        <f>MIN(MAX(M1817*(1+MAX(MIN(((B1818-B1817)/B1817)/($K$7*30),0),-卓尔金历!$M$43))+MIN(MAX(((B1818-B1817)/B1817)/($K$7*7),0),卓尔金历!$M$43),0),1)</f>
        <v>0.93815436764125582</v>
      </c>
      <c r="N1818">
        <f t="shared" si="233"/>
        <v>773.48600319257241</v>
      </c>
      <c r="O1818">
        <f t="shared" si="234"/>
        <v>2002.5927857867039</v>
      </c>
      <c r="P1818">
        <f t="shared" si="235"/>
        <v>-1.169516033002164E-4</v>
      </c>
      <c r="Q1818">
        <f t="shared" si="226"/>
        <v>1.6672033652683462E-2</v>
      </c>
      <c r="R1818">
        <f t="shared" si="227"/>
        <v>1</v>
      </c>
      <c r="S1818">
        <f t="shared" si="229"/>
        <v>16.301204939469319</v>
      </c>
      <c r="T1818" s="564">
        <f>IF((I1818-MAX(I$470:I1818))/MAX(I$470:I1818)&gt;T1817,T1817,(I1818-MAX(I$470:I1818))/MAX(I$470:I1818))</f>
        <v>-0.91338805338419748</v>
      </c>
      <c r="U1818" s="564">
        <f>IF((J1818-MAX(J$470:J1818))/MAX(J$470:J1818)&gt;U1817,U1817,(J1818-MAX(J$470:J1818))/MAX(J$470:J1818))</f>
        <v>-0.8283551177402233</v>
      </c>
      <c r="V1818" s="564">
        <f>IF((K1818-MAX(K$470:K1818))/MAX(K$470:K1818)&gt;V1817,V1817,(K1818-MAX(K$470:K1818))/MAX(K$470:K1818))</f>
        <v>-0.84885940676762139</v>
      </c>
      <c r="W1818" s="564">
        <f>IF((N1818-MAX(N$470:N1818))/MAX(N$470:N1818)&gt;W1817,W1817,(N1818-MAX(N$470:N1818))/MAX(N$470:N1818))</f>
        <v>-0.62788758315546067</v>
      </c>
      <c r="X1818" s="564">
        <f>IF((O1818-MAX(O$470:O1818))/MAX(O$470:O1818)&gt;X1817,X1817,(O1818-MAX(O$470:O1818))/MAX(O$470:O1818))</f>
        <v>-0.62788758315546067</v>
      </c>
    </row>
    <row r="1819" spans="1:24">
      <c r="A1819" s="799">
        <v>42221</v>
      </c>
      <c r="B1819">
        <v>284.73399999999998</v>
      </c>
      <c r="C1819">
        <v>427.42296900000002</v>
      </c>
      <c r="D1819">
        <v>0.98382400000000003</v>
      </c>
      <c r="E1819">
        <f>LN(D1819/参数实验室!$E$53)/参数实验室!$E$55</f>
        <v>-0.71220801622846275</v>
      </c>
      <c r="F1819">
        <f t="shared" si="228"/>
        <v>1.5011307711759048</v>
      </c>
      <c r="G1819">
        <f>LN(F1819/参数实验室!$E$58)/参数实验室!$E$59</f>
        <v>2.2675487489318559E-2</v>
      </c>
      <c r="H1819" s="856">
        <f>INDEX(神经网络!$G$10:$BO$70,MATCH(ROUND(G1819*2,1)/2,神经网络!$E$10:$E$70,0),MATCH(ROUND(E1819*2,1)/2,神经网络!$G$8:$BO$8,0))</f>
        <v>-0.29487647096998976</v>
      </c>
      <c r="I1819">
        <f t="shared" si="230"/>
        <v>965.8220296837294</v>
      </c>
      <c r="J1819">
        <f t="shared" si="231"/>
        <v>113.61637604245621</v>
      </c>
      <c r="K1819">
        <f t="shared" si="232"/>
        <v>8.5007290614763189</v>
      </c>
      <c r="L1819" s="4">
        <f>MIN(MAX(L1818*(1+MAX(MIN(((B1819-B1818)/B1818)/($K$7*卓尔金历!$N$40),0),-卓尔金历!$M$43))+MIN(MAX(((B1819-B1818)/B1818)/($K$7*卓尔金历!$N$40),0),卓尔金历!$M$43),0),1)</f>
        <v>0.67554006233078501</v>
      </c>
      <c r="M1819" s="4">
        <f>MIN(MAX(M1818*(1+MAX(MIN(((B1819-B1818)/B1818)/($K$7*30),0),-卓尔金历!$M$43))+MIN(MAX(((B1819-B1818)/B1818)/($K$7*7),0),卓尔金历!$M$43),0),1)</f>
        <v>1</v>
      </c>
      <c r="N1819">
        <f t="shared" si="233"/>
        <v>772.36236623672949</v>
      </c>
      <c r="O1819">
        <f t="shared" si="234"/>
        <v>1997.489423658106</v>
      </c>
      <c r="P1819">
        <f t="shared" si="235"/>
        <v>9.2119021036028478E-3</v>
      </c>
      <c r="Q1819">
        <f t="shared" si="226"/>
        <v>1.6815592065169492E-2</v>
      </c>
      <c r="R1819">
        <f t="shared" si="227"/>
        <v>0.62851563382205888</v>
      </c>
      <c r="S1819">
        <f t="shared" si="229"/>
        <v>16.256924783517384</v>
      </c>
      <c r="T1819" s="564">
        <f>IF((I1819-MAX(I$470:I1819))/MAX(I$470:I1819)&gt;T1818,T1818,(I1819-MAX(I$470:I1819))/MAX(I$470:I1819))</f>
        <v>-0.91338805338419748</v>
      </c>
      <c r="U1819" s="564">
        <f>IF((J1819-MAX(J$470:J1819))/MAX(J$470:J1819)&gt;U1818,U1818,(J1819-MAX(J$470:J1819))/MAX(J$470:J1819))</f>
        <v>-0.8283551177402233</v>
      </c>
      <c r="V1819" s="564">
        <f>IF((K1819-MAX(K$470:K1819))/MAX(K$470:K1819)&gt;V1818,V1818,(K1819-MAX(K$470:K1819))/MAX(K$470:K1819))</f>
        <v>-0.84885940676762139</v>
      </c>
      <c r="W1819" s="564">
        <f>IF((N1819-MAX(N$470:N1819))/MAX(N$470:N1819)&gt;W1818,W1818,(N1819-MAX(N$470:N1819))/MAX(N$470:N1819))</f>
        <v>-0.62788758315546067</v>
      </c>
      <c r="X1819" s="564">
        <f>IF((O1819-MAX(O$470:O1819))/MAX(O$470:O1819)&gt;X1818,X1818,(O1819-MAX(O$470:O1819))/MAX(O$470:O1819))</f>
        <v>-0.62788758315546067</v>
      </c>
    </row>
    <row r="1820" spans="1:24">
      <c r="A1820" s="799">
        <v>42222</v>
      </c>
      <c r="B1820">
        <v>281.459</v>
      </c>
      <c r="C1820">
        <v>425.14338099999998</v>
      </c>
      <c r="D1820">
        <v>0.972329</v>
      </c>
      <c r="E1820">
        <f>LN(D1820/参数实验室!$E$53)/参数实验室!$E$55</f>
        <v>-0.72607341391309466</v>
      </c>
      <c r="F1820">
        <f t="shared" si="228"/>
        <v>1.5104984420466212</v>
      </c>
      <c r="G1820">
        <f>LN(F1820/参数实验室!$E$58)/参数实验室!$E$59</f>
        <v>2.5940614395263965E-2</v>
      </c>
      <c r="H1820" s="856">
        <f>INDEX(神经网络!$G$10:$BO$70,MATCH(ROUND(G1820*2,1)/2,神经网络!$E$10:$E$70,0),MATCH(ROUND(E1820*2,1)/2,神经网络!$G$8:$BO$8,0))</f>
        <v>-0.21232817533669729</v>
      </c>
      <c r="I1820">
        <f t="shared" si="230"/>
        <v>969.09776801428234</v>
      </c>
      <c r="J1820">
        <f t="shared" si="231"/>
        <v>112.30956466222399</v>
      </c>
      <c r="K1820">
        <f t="shared" si="232"/>
        <v>8.6288088724133782</v>
      </c>
      <c r="L1820" s="4">
        <f>MIN(MAX(L1819*(1+MAX(MIN(((B1820-B1819)/B1819)/($K$7*卓尔金历!$N$40),0),-卓尔金历!$M$43))+MIN(MAX(((B1820-B1819)/B1819)/($K$7*卓尔金历!$N$40),0),卓尔金历!$M$43),0),1)</f>
        <v>0.55682135390909371</v>
      </c>
      <c r="M1820" s="4">
        <f>MIN(MAX(M1819*(1+MAX(MIN(((B1820-B1819)/B1819)/($K$7*30),0),-卓尔金历!$M$43))+MIN(MAX(((B1820-B1819)/B1819)/($K$7*7),0),卓尔金历!$M$43),0),1)</f>
        <v>0.9121305196822217</v>
      </c>
      <c r="N1820">
        <f t="shared" si="233"/>
        <v>774.13200372320432</v>
      </c>
      <c r="O1820">
        <f t="shared" si="234"/>
        <v>2004.2642252973826</v>
      </c>
      <c r="P1820">
        <f t="shared" si="235"/>
        <v>-1.1501963235862164E-2</v>
      </c>
      <c r="Q1820">
        <f t="shared" si="226"/>
        <v>1.6949980969343682E-2</v>
      </c>
      <c r="R1820">
        <f t="shared" si="227"/>
        <v>0.41108479474999038</v>
      </c>
      <c r="S1820">
        <f t="shared" si="229"/>
        <v>16.291579837262471</v>
      </c>
      <c r="T1820" s="564">
        <f>IF((I1820-MAX(I$470:I1820))/MAX(I$470:I1820)&gt;T1819,T1819,(I1820-MAX(I$470:I1820))/MAX(I$470:I1820))</f>
        <v>-0.91338805338419748</v>
      </c>
      <c r="U1820" s="564">
        <f>IF((J1820-MAX(J$470:J1820))/MAX(J$470:J1820)&gt;U1819,U1819,(J1820-MAX(J$470:J1820))/MAX(J$470:J1820))</f>
        <v>-0.8283551177402233</v>
      </c>
      <c r="V1820" s="564">
        <f>IF((K1820-MAX(K$470:K1820))/MAX(K$470:K1820)&gt;V1819,V1819,(K1820-MAX(K$470:K1820))/MAX(K$470:K1820))</f>
        <v>-0.84885940676762139</v>
      </c>
      <c r="W1820" s="564">
        <f>IF((N1820-MAX(N$470:N1820))/MAX(N$470:N1820)&gt;W1819,W1819,(N1820-MAX(N$470:N1820))/MAX(N$470:N1820))</f>
        <v>-0.62788758315546067</v>
      </c>
      <c r="X1820" s="564">
        <f>IF((O1820-MAX(O$470:O1820))/MAX(O$470:O1820)&gt;X1819,X1819,(O1820-MAX(O$470:O1820))/MAX(O$470:O1820))</f>
        <v>-0.62788758315546067</v>
      </c>
    </row>
    <row r="1821" spans="1:24">
      <c r="A1821" s="799">
        <v>42223</v>
      </c>
      <c r="B1821">
        <v>278.80900000000003</v>
      </c>
      <c r="C1821">
        <v>432.50828200000001</v>
      </c>
      <c r="D1821">
        <v>0.97419699999999998</v>
      </c>
      <c r="E1821">
        <f>LN(D1821/参数实验室!$E$53)/参数实验室!$E$55</f>
        <v>-0.7238090930293668</v>
      </c>
      <c r="F1821">
        <f t="shared" si="228"/>
        <v>1.5512708771954993</v>
      </c>
      <c r="G1821">
        <f>LN(F1821/参数实验室!$E$58)/参数实验室!$E$59</f>
        <v>3.9920010152629921E-2</v>
      </c>
      <c r="H1821" s="856">
        <f>INDEX(神经网络!$G$10:$BO$70,MATCH(ROUND(G1821*2,1)/2,神经网络!$E$10:$E$70,0),MATCH(ROUND(E1821*2,1)/2,神经网络!$G$8:$BO$8,0))</f>
        <v>-0.22051734516424332</v>
      </c>
      <c r="I1821">
        <f t="shared" si="230"/>
        <v>971.0351085012951</v>
      </c>
      <c r="J1821">
        <f t="shared" si="231"/>
        <v>111.25214476676891</v>
      </c>
      <c r="K1821">
        <f t="shared" si="232"/>
        <v>8.7282371997141386</v>
      </c>
      <c r="L1821" s="4">
        <f>MIN(MAX(L1820*(1+MAX(MIN(((B1821-B1820)/B1820)/($K$7*卓尔金历!$N$40),0),-卓尔金历!$M$43))+MIN(MAX(((B1821-B1820)/B1820)/($K$7*卓尔金历!$N$40),0),卓尔金历!$M$43),0),1)</f>
        <v>0.47671947669939774</v>
      </c>
      <c r="M1821" s="4">
        <f>MIN(MAX(M1820*(1+MAX(MIN(((B1821-B1820)/B1820)/($K$7*30),0),-卓尔金历!$M$43))+MIN(MAX(((B1821-B1820)/B1820)/($K$7*7),0),卓尔金历!$M$43),0),1)</f>
        <v>0.84652297215026251</v>
      </c>
      <c r="N1821">
        <f t="shared" si="233"/>
        <v>774.99372985952243</v>
      </c>
      <c r="O1821">
        <f t="shared" si="234"/>
        <v>2007.9189134324231</v>
      </c>
      <c r="P1821">
        <f t="shared" si="235"/>
        <v>-9.4152256634180368E-3</v>
      </c>
      <c r="Q1821">
        <f t="shared" si="226"/>
        <v>1.4050195364864484E-2</v>
      </c>
      <c r="R1821">
        <f t="shared" si="227"/>
        <v>0.42404336717316277</v>
      </c>
      <c r="S1821">
        <f t="shared" si="229"/>
        <v>16.30496836971458</v>
      </c>
      <c r="T1821" s="564">
        <f>IF((I1821-MAX(I$470:I1821))/MAX(I$470:I1821)&gt;T1820,T1820,(I1821-MAX(I$470:I1821))/MAX(I$470:I1821))</f>
        <v>-0.91338805338419748</v>
      </c>
      <c r="U1821" s="564">
        <f>IF((J1821-MAX(J$470:J1821))/MAX(J$470:J1821)&gt;U1820,U1820,(J1821-MAX(J$470:J1821))/MAX(J$470:J1821))</f>
        <v>-0.8283551177402233</v>
      </c>
      <c r="V1821" s="564">
        <f>IF((K1821-MAX(K$470:K1821))/MAX(K$470:K1821)&gt;V1820,V1820,(K1821-MAX(K$470:K1821))/MAX(K$470:K1821))</f>
        <v>-0.84885940676762139</v>
      </c>
      <c r="W1821" s="564">
        <f>IF((N1821-MAX(N$470:N1821))/MAX(N$470:N1821)&gt;W1820,W1820,(N1821-MAX(N$470:N1821))/MAX(N$470:N1821))</f>
        <v>-0.62788758315546067</v>
      </c>
      <c r="X1821" s="564">
        <f>IF((O1821-MAX(O$470:O1821))/MAX(O$470:O1821)&gt;X1820,X1820,(O1821-MAX(O$470:O1821))/MAX(O$470:O1821))</f>
        <v>-0.62788758315546067</v>
      </c>
    </row>
    <row r="1822" spans="1:24">
      <c r="A1822" s="799">
        <v>42224</v>
      </c>
      <c r="B1822">
        <v>279.59800000000001</v>
      </c>
      <c r="C1822">
        <v>424.68973499999998</v>
      </c>
      <c r="D1822">
        <v>0.91166100000000005</v>
      </c>
      <c r="E1822">
        <f>LN(D1822/参数实验室!$E$53)/参数实验室!$E$55</f>
        <v>-0.8020802130551189</v>
      </c>
      <c r="F1822">
        <f t="shared" si="228"/>
        <v>1.5189298027882887</v>
      </c>
      <c r="G1822">
        <f>LN(F1822/参数实验室!$E$58)/参数实验室!$E$59</f>
        <v>2.8862119604970538E-2</v>
      </c>
      <c r="H1822" s="856">
        <f>INDEX(神经网络!$G$10:$BO$70,MATCH(ROUND(G1822*2,1)/2,神经网络!$E$10:$E$70,0),MATCH(ROUND(E1822*2,1)/2,神经网络!$G$8:$BO$8,0))</f>
        <v>-0.18892090073293136</v>
      </c>
      <c r="I1822">
        <f t="shared" si="230"/>
        <v>970.42914299650761</v>
      </c>
      <c r="J1822">
        <f t="shared" si="231"/>
        <v>111.56697657715156</v>
      </c>
      <c r="K1822">
        <f t="shared" si="232"/>
        <v>8.6981755064898589</v>
      </c>
      <c r="L1822" s="4">
        <f>MIN(MAX(L1821*(1+MAX(MIN(((B1822-B1821)/B1821)/($K$7*卓尔金历!$N$40),0),-卓尔金历!$M$43))+MIN(MAX(((B1822-B1821)/B1821)/($K$7*卓尔金历!$N$40),0),卓尔金历!$M$43),0),1)</f>
        <v>0.51995754596308852</v>
      </c>
      <c r="M1822" s="4">
        <f>MIN(MAX(M1821*(1+MAX(MIN(((B1822-B1821)/B1821)/($K$7*30),0),-卓尔金历!$M$43))+MIN(MAX(((B1822-B1821)/B1821)/($K$7*7),0),卓尔金历!$M$43),0),1)</f>
        <v>0.93917597771531414</v>
      </c>
      <c r="N1822">
        <f t="shared" si="233"/>
        <v>774.76317512008688</v>
      </c>
      <c r="O1822">
        <f t="shared" si="234"/>
        <v>2006.8582004401296</v>
      </c>
      <c r="P1822">
        <f t="shared" si="235"/>
        <v>2.8298943003991521E-3</v>
      </c>
      <c r="Q1822">
        <f t="shared" si="226"/>
        <v>1.402131874084026E-2</v>
      </c>
      <c r="R1822">
        <f t="shared" si="227"/>
        <v>1</v>
      </c>
      <c r="S1822">
        <f t="shared" si="229"/>
        <v>16.300653743231383</v>
      </c>
      <c r="T1822" s="564">
        <f>IF((I1822-MAX(I$470:I1822))/MAX(I$470:I1822)&gt;T1821,T1821,(I1822-MAX(I$470:I1822))/MAX(I$470:I1822))</f>
        <v>-0.91338805338419748</v>
      </c>
      <c r="U1822" s="564">
        <f>IF((J1822-MAX(J$470:J1822))/MAX(J$470:J1822)&gt;U1821,U1821,(J1822-MAX(J$470:J1822))/MAX(J$470:J1822))</f>
        <v>-0.8283551177402233</v>
      </c>
      <c r="V1822" s="564">
        <f>IF((K1822-MAX(K$470:K1822))/MAX(K$470:K1822)&gt;V1821,V1821,(K1822-MAX(K$470:K1822))/MAX(K$470:K1822))</f>
        <v>-0.84885940676762139</v>
      </c>
      <c r="W1822" s="564">
        <f>IF((N1822-MAX(N$470:N1822))/MAX(N$470:N1822)&gt;W1821,W1821,(N1822-MAX(N$470:N1822))/MAX(N$470:N1822))</f>
        <v>-0.62788758315546067</v>
      </c>
      <c r="X1822" s="564">
        <f>IF((O1822-MAX(O$470:O1822))/MAX(O$470:O1822)&gt;X1821,X1821,(O1822-MAX(O$470:O1822))/MAX(O$470:O1822))</f>
        <v>-0.62788758315546067</v>
      </c>
    </row>
    <row r="1823" spans="1:24">
      <c r="A1823" s="799">
        <v>42225</v>
      </c>
      <c r="B1823">
        <v>261.80099999999999</v>
      </c>
      <c r="C1823">
        <v>428.51961</v>
      </c>
      <c r="D1823">
        <v>0.93317700000000003</v>
      </c>
      <c r="E1823">
        <f>LN(D1823/参数实验室!$E$53)/参数实验室!$E$55</f>
        <v>-0.77456048309238867</v>
      </c>
      <c r="F1823">
        <f t="shared" si="228"/>
        <v>1.636814259685792</v>
      </c>
      <c r="G1823">
        <f>LN(F1823/参数实验室!$E$58)/参数实验室!$E$59</f>
        <v>6.8092764564163716E-2</v>
      </c>
      <c r="H1823" s="856">
        <f>INDEX(神经网络!$G$10:$BO$70,MATCH(ROUND(G1823*2,1)/2,神经网络!$E$10:$E$70,0),MATCH(ROUND(E1823*2,1)/2,神经网络!$G$8:$BO$8,0))</f>
        <v>-0.21232817533669729</v>
      </c>
      <c r="I1823">
        <f t="shared" si="230"/>
        <v>982.09875933017622</v>
      </c>
      <c r="J1823">
        <f t="shared" si="231"/>
        <v>104.46550416982545</v>
      </c>
      <c r="K1823">
        <f t="shared" si="232"/>
        <v>9.4011776148958894</v>
      </c>
      <c r="L1823" s="4">
        <f>MIN(MAX(L1822*(1+MAX(MIN(((B1823-B1822)/B1822)/($K$7*卓尔金历!$N$40),0),-卓尔金历!$M$43))+MIN(MAX(((B1823-B1822)/B1822)/($K$7*卓尔金历!$N$40),0),卓尔金历!$M$43),0),1)</f>
        <v>1.4276467304954582E-2</v>
      </c>
      <c r="M1823" s="4">
        <f>MIN(MAX(M1822*(1+MAX(MIN(((B1823-B1822)/B1822)/($K$7*30),0),-卓尔金历!$M$43))+MIN(MAX(((B1823-B1822)/B1822)/($K$7*7),0),卓尔金历!$M$43),0),1)</f>
        <v>0.48248145991462221</v>
      </c>
      <c r="N1823">
        <f t="shared" si="233"/>
        <v>779.60745919849751</v>
      </c>
      <c r="O1823">
        <f t="shared" si="234"/>
        <v>2029.5232362991514</v>
      </c>
      <c r="P1823">
        <f t="shared" si="235"/>
        <v>-6.3652100515740551E-2</v>
      </c>
      <c r="Q1823">
        <f t="shared" si="226"/>
        <v>1.9238000450935655E-2</v>
      </c>
      <c r="R1823">
        <f t="shared" si="227"/>
        <v>0</v>
      </c>
      <c r="S1823">
        <f t="shared" si="229"/>
        <v>16.496672562888961</v>
      </c>
      <c r="T1823" s="564">
        <f>IF((I1823-MAX(I$470:I1823))/MAX(I$470:I1823)&gt;T1822,T1822,(I1823-MAX(I$470:I1823))/MAX(I$470:I1823))</f>
        <v>-0.91338805338419748</v>
      </c>
      <c r="U1823" s="564">
        <f>IF((J1823-MAX(J$470:J1823))/MAX(J$470:J1823)&gt;U1822,U1822,(J1823-MAX(J$470:J1823))/MAX(J$470:J1823))</f>
        <v>-0.8283551177402233</v>
      </c>
      <c r="V1823" s="564">
        <f>IF((K1823-MAX(K$470:K1823))/MAX(K$470:K1823)&gt;V1822,V1822,(K1823-MAX(K$470:K1823))/MAX(K$470:K1823))</f>
        <v>-0.84885940676762139</v>
      </c>
      <c r="W1823" s="564">
        <f>IF((N1823-MAX(N$470:N1823))/MAX(N$470:N1823)&gt;W1822,W1822,(N1823-MAX(N$470:N1823))/MAX(N$470:N1823))</f>
        <v>-0.62788758315546067</v>
      </c>
      <c r="X1823" s="564">
        <f>IF((O1823-MAX(O$470:O1823))/MAX(O$470:O1823)&gt;X1822,X1822,(O1823-MAX(O$470:O1823))/MAX(O$470:O1823))</f>
        <v>-0.62788758315546067</v>
      </c>
    </row>
    <row r="1824" spans="1:24">
      <c r="A1824" s="799">
        <v>42226</v>
      </c>
      <c r="B1824">
        <v>265.99099999999999</v>
      </c>
      <c r="C1824">
        <v>423.39793900000001</v>
      </c>
      <c r="D1824">
        <v>0.92856099999999997</v>
      </c>
      <c r="E1824">
        <f>LN(D1824/参数实验室!$E$53)/参数实验室!$E$55</f>
        <v>-0.78041066408815007</v>
      </c>
      <c r="F1824">
        <f t="shared" si="228"/>
        <v>1.5917754322514672</v>
      </c>
      <c r="G1824">
        <f>LN(F1824/参数实验室!$E$58)/参数实验室!$E$59</f>
        <v>5.3448386368136924E-2</v>
      </c>
      <c r="H1824" s="856">
        <f>INDEX(神经网络!$G$10:$BO$70,MATCH(ROUND(G1824*2,1)/2,神经网络!$E$10:$E$70,0),MATCH(ROUND(E1824*2,1)/2,神经网络!$G$8:$BO$8,0))</f>
        <v>-0.18892090073293136</v>
      </c>
      <c r="I1824">
        <f t="shared" si="230"/>
        <v>978.76138046067547</v>
      </c>
      <c r="J1824">
        <f t="shared" si="231"/>
        <v>106.13742468377141</v>
      </c>
      <c r="K1824">
        <f t="shared" si="232"/>
        <v>9.2216424449417573</v>
      </c>
      <c r="L1824" s="4">
        <f>MIN(MAX(L1823*(1+MAX(MIN(((B1824-B1823)/B1823)/($K$7*卓尔金历!$N$40),0),-卓尔金历!$M$43))+MIN(MAX(((B1824-B1823)/B1823)/($K$7*卓尔金历!$N$40),0),卓尔金历!$M$43),0),1)</f>
        <v>0.25881021300413343</v>
      </c>
      <c r="M1824" s="4">
        <f>MIN(MAX(M1823*(1+MAX(MIN(((B1824-B1823)/B1823)/($K$7*30),0),-卓尔金历!$M$43))+MIN(MAX(((B1824-B1823)/B1823)/($K$7*7),0),卓尔金历!$M$43),0),1)</f>
        <v>1</v>
      </c>
      <c r="N1824">
        <f t="shared" si="233"/>
        <v>779.56963697206538</v>
      </c>
      <c r="O1824">
        <f t="shared" si="234"/>
        <v>2026.1956831032644</v>
      </c>
      <c r="P1824">
        <f t="shared" si="235"/>
        <v>1.6004522519012524E-2</v>
      </c>
      <c r="Q1824">
        <f t="shared" si="226"/>
        <v>1.9614530141883021E-2</v>
      </c>
      <c r="R1824">
        <f t="shared" si="227"/>
        <v>0.22655028161522323</v>
      </c>
      <c r="S1824">
        <f t="shared" si="229"/>
        <v>16.496672562888961</v>
      </c>
      <c r="T1824" s="564">
        <f>IF((I1824-MAX(I$470:I1824))/MAX(I$470:I1824)&gt;T1823,T1823,(I1824-MAX(I$470:I1824))/MAX(I$470:I1824))</f>
        <v>-0.91338805338419748</v>
      </c>
      <c r="U1824" s="564">
        <f>IF((J1824-MAX(J$470:J1824))/MAX(J$470:J1824)&gt;U1823,U1823,(J1824-MAX(J$470:J1824))/MAX(J$470:J1824))</f>
        <v>-0.8283551177402233</v>
      </c>
      <c r="V1824" s="564">
        <f>IF((K1824-MAX(K$470:K1824))/MAX(K$470:K1824)&gt;V1823,V1823,(K1824-MAX(K$470:K1824))/MAX(K$470:K1824))</f>
        <v>-0.84885940676762139</v>
      </c>
      <c r="W1824" s="564">
        <f>IF((N1824-MAX(N$470:N1824))/MAX(N$470:N1824)&gt;W1823,W1823,(N1824-MAX(N$470:N1824))/MAX(N$470:N1824))</f>
        <v>-0.62788758315546067</v>
      </c>
      <c r="X1824" s="564">
        <f>IF((O1824-MAX(O$470:O1824))/MAX(O$470:O1824)&gt;X1823,X1823,(O1824-MAX(O$470:O1824))/MAX(O$470:O1824))</f>
        <v>-0.62788758315546067</v>
      </c>
    </row>
    <row r="1825" spans="1:24">
      <c r="A1825" s="799">
        <v>42227</v>
      </c>
      <c r="B1825">
        <v>264.52199999999999</v>
      </c>
      <c r="C1825">
        <v>416.09023000000002</v>
      </c>
      <c r="D1825">
        <v>0.95127600000000001</v>
      </c>
      <c r="E1825">
        <f>LN(D1825/参数实验室!$E$53)/参数实验室!$E$55</f>
        <v>-0.75189819271762603</v>
      </c>
      <c r="F1825">
        <f t="shared" si="228"/>
        <v>1.5729891275583885</v>
      </c>
      <c r="G1825">
        <f>LN(F1825/参数实验室!$E$58)/参数实验室!$E$59</f>
        <v>4.721715898792346E-2</v>
      </c>
      <c r="H1825" s="856">
        <f>INDEX(神经网络!$G$10:$BO$70,MATCH(ROUND(G1825*2,1)/2,神经网络!$E$10:$E$70,0),MATCH(ROUND(E1825*2,1)/2,神经网络!$G$8:$BO$8,0))</f>
        <v>-0.21232817533669729</v>
      </c>
      <c r="I1825">
        <f t="shared" si="230"/>
        <v>979.78258252942703</v>
      </c>
      <c r="J1825">
        <f t="shared" si="231"/>
        <v>105.55125493795123</v>
      </c>
      <c r="K1825">
        <f t="shared" si="232"/>
        <v>9.2825289770869759</v>
      </c>
      <c r="L1825" s="4">
        <f>MIN(MAX(L1824*(1+MAX(MIN(((B1825-B1824)/B1824)/($K$7*卓尔金历!$N$40),0),-卓尔金历!$M$43))+MIN(MAX(((B1825-B1824)/B1824)/($K$7*卓尔金历!$N$40),0),卓尔金历!$M$43),0),1)</f>
        <v>0.23697123342514412</v>
      </c>
      <c r="M1825" s="4">
        <f>MIN(MAX(M1824*(1+MAX(MIN(((B1825-B1824)/B1824)/($K$7*30),0),-卓尔金历!$M$43))+MIN(MAX(((B1825-B1824)/B1824)/($K$7*7),0),卓尔金历!$M$43),0),1)</f>
        <v>0.95780889145468051</v>
      </c>
      <c r="N1825">
        <f t="shared" si="233"/>
        <v>779.78014622353214</v>
      </c>
      <c r="O1825">
        <f t="shared" si="234"/>
        <v>2028.3097379327537</v>
      </c>
      <c r="P1825">
        <f t="shared" si="235"/>
        <v>-5.5227432507114682E-3</v>
      </c>
      <c r="Q1825">
        <f t="shared" si="226"/>
        <v>1.8987873658915386E-2</v>
      </c>
      <c r="R1825">
        <f t="shared" si="227"/>
        <v>1</v>
      </c>
      <c r="S1825">
        <f t="shared" si="229"/>
        <v>16.500571945240878</v>
      </c>
      <c r="T1825" s="564">
        <f>IF((I1825-MAX(I$470:I1825))/MAX(I$470:I1825)&gt;T1824,T1824,(I1825-MAX(I$470:I1825))/MAX(I$470:I1825))</f>
        <v>-0.91338805338419748</v>
      </c>
      <c r="U1825" s="564">
        <f>IF((J1825-MAX(J$470:J1825))/MAX(J$470:J1825)&gt;U1824,U1824,(J1825-MAX(J$470:J1825))/MAX(J$470:J1825))</f>
        <v>-0.8283551177402233</v>
      </c>
      <c r="V1825" s="564">
        <f>IF((K1825-MAX(K$470:K1825))/MAX(K$470:K1825)&gt;V1824,V1824,(K1825-MAX(K$470:K1825))/MAX(K$470:K1825))</f>
        <v>-0.84885940676762139</v>
      </c>
      <c r="W1825" s="564">
        <f>IF((N1825-MAX(N$470:N1825))/MAX(N$470:N1825)&gt;W1824,W1824,(N1825-MAX(N$470:N1825))/MAX(N$470:N1825))</f>
        <v>-0.62788758315546067</v>
      </c>
      <c r="X1825" s="564">
        <f>IF((O1825-MAX(O$470:O1825))/MAX(O$470:O1825)&gt;X1824,X1824,(O1825-MAX(O$470:O1825))/MAX(O$470:O1825))</f>
        <v>-0.62788758315546067</v>
      </c>
    </row>
    <row r="1826" spans="1:24">
      <c r="A1826" s="799">
        <v>42228</v>
      </c>
      <c r="B1826">
        <v>268.24299999999999</v>
      </c>
      <c r="C1826">
        <v>422.63741499999998</v>
      </c>
      <c r="D1826">
        <v>0.93998099999999996</v>
      </c>
      <c r="E1826">
        <f>LN(D1826/参数实验室!$E$53)/参数实验室!$E$55</f>
        <v>-0.76598984850047291</v>
      </c>
      <c r="F1826">
        <f t="shared" si="228"/>
        <v>1.575576678608575</v>
      </c>
      <c r="G1826">
        <f>LN(F1826/参数实验室!$E$58)/参数实验室!$E$59</f>
        <v>4.8079829181098384E-2</v>
      </c>
      <c r="H1826" s="856">
        <f>INDEX(神经网络!$G$10:$BO$70,MATCH(ROUND(G1826*2,1)/2,神经网络!$E$10:$E$70,0),MATCH(ROUND(E1826*2,1)/2,神经网络!$G$8:$BO$8,0))</f>
        <v>-0.21232817533669729</v>
      </c>
      <c r="I1826">
        <f t="shared" si="230"/>
        <v>976.85617224251121</v>
      </c>
      <c r="J1826">
        <f t="shared" si="231"/>
        <v>107.03603208172042</v>
      </c>
      <c r="K1826">
        <f t="shared" si="232"/>
        <v>9.1264236280423408</v>
      </c>
      <c r="L1826" s="4">
        <f>MIN(MAX(L1825*(1+MAX(MIN(((B1826-B1825)/B1825)/($K$7*卓尔金历!$N$40),0),-卓尔金历!$M$43))+MIN(MAX(((B1826-B1825)/B1825)/($K$7*卓尔金历!$N$40),0),卓尔金历!$M$43),0),1)</f>
        <v>0.45189970524761008</v>
      </c>
      <c r="M1826" s="4">
        <f>MIN(MAX(M1825*(1+MAX(MIN(((B1826-B1825)/B1825)/($K$7*30),0),-卓尔金历!$M$43))+MIN(MAX(((B1826-B1825)/B1825)/($K$7*7),0),卓尔金历!$M$43),0),1)</f>
        <v>1</v>
      </c>
      <c r="N1826">
        <f t="shared" si="233"/>
        <v>779.22822981923252</v>
      </c>
      <c r="O1826">
        <f t="shared" si="234"/>
        <v>2022.507191291616</v>
      </c>
      <c r="P1826">
        <f t="shared" si="235"/>
        <v>1.4066882905769667E-2</v>
      </c>
      <c r="Q1826">
        <f t="shared" si="226"/>
        <v>1.9183545777071521E-2</v>
      </c>
      <c r="R1826">
        <f t="shared" si="227"/>
        <v>0.33510809054106433</v>
      </c>
      <c r="S1826">
        <f t="shared" si="229"/>
        <v>16.45128810988642</v>
      </c>
      <c r="T1826" s="564">
        <f>IF((I1826-MAX(I$470:I1826))/MAX(I$470:I1826)&gt;T1825,T1825,(I1826-MAX(I$470:I1826))/MAX(I$470:I1826))</f>
        <v>-0.91338805338419748</v>
      </c>
      <c r="U1826" s="564">
        <f>IF((J1826-MAX(J$470:J1826))/MAX(J$470:J1826)&gt;U1825,U1825,(J1826-MAX(J$470:J1826))/MAX(J$470:J1826))</f>
        <v>-0.8283551177402233</v>
      </c>
      <c r="V1826" s="564">
        <f>IF((K1826-MAX(K$470:K1826))/MAX(K$470:K1826)&gt;V1825,V1825,(K1826-MAX(K$470:K1826))/MAX(K$470:K1826))</f>
        <v>-0.84885940676762139</v>
      </c>
      <c r="W1826" s="564">
        <f>IF((N1826-MAX(N$470:N1826))/MAX(N$470:N1826)&gt;W1825,W1825,(N1826-MAX(N$470:N1826))/MAX(N$470:N1826))</f>
        <v>-0.62788758315546067</v>
      </c>
      <c r="X1826" s="564">
        <f>IF((O1826-MAX(O$470:O1826))/MAX(O$470:O1826)&gt;X1825,X1825,(O1826-MAX(O$470:O1826))/MAX(O$470:O1826))</f>
        <v>-0.62788758315546067</v>
      </c>
    </row>
    <row r="1827" spans="1:24">
      <c r="A1827" s="799">
        <v>42229</v>
      </c>
      <c r="B1827">
        <v>265.80500000000001</v>
      </c>
      <c r="C1827">
        <v>422.12182899999999</v>
      </c>
      <c r="D1827">
        <v>0.92823</v>
      </c>
      <c r="E1827">
        <f>LN(D1827/参数实验室!$E$53)/参数实验室!$E$55</f>
        <v>-0.78083128043957695</v>
      </c>
      <c r="F1827">
        <f t="shared" si="228"/>
        <v>1.5880883692932788</v>
      </c>
      <c r="G1827">
        <f>LN(F1827/参数实验室!$E$58)/参数实验室!$E$59</f>
        <v>5.2231245705063559E-2</v>
      </c>
      <c r="H1827" s="856">
        <f>INDEX(神经网络!$G$10:$BO$70,MATCH(ROUND(G1827*2,1)/2,神经网络!$E$10:$E$70,0),MATCH(ROUND(E1827*2,1)/2,神经网络!$G$8:$BO$8,0))</f>
        <v>-0.18892090073293136</v>
      </c>
      <c r="I1827">
        <f t="shared" si="230"/>
        <v>978.74131201522562</v>
      </c>
      <c r="J1827">
        <f t="shared" si="231"/>
        <v>106.06320577790174</v>
      </c>
      <c r="K1827">
        <f t="shared" si="232"/>
        <v>9.2279061794976052</v>
      </c>
      <c r="L1827" s="4">
        <f>MIN(MAX(L1826*(1+MAX(MIN(((B1827-B1826)/B1826)/($K$7*卓尔金历!$N$40),0),-卓尔金历!$M$43))+MIN(MAX(((B1827-B1826)/B1826)/($K$7*卓尔金历!$N$40),0),卓尔金历!$M$43),0),1)</f>
        <v>0.38914541237479178</v>
      </c>
      <c r="M1827" s="4">
        <f>MIN(MAX(M1826*(1+MAX(MIN(((B1827-B1826)/B1826)/($K$7*30),0),-卓尔金历!$M$43))+MIN(MAX(((B1827-B1826)/B1826)/($K$7*7),0),卓尔金历!$M$43),0),1)</f>
        <v>0.93056612767822755</v>
      </c>
      <c r="N1827">
        <f t="shared" si="233"/>
        <v>779.9077770815137</v>
      </c>
      <c r="O1827">
        <f t="shared" si="234"/>
        <v>2026.4102313247788</v>
      </c>
      <c r="P1827">
        <f t="shared" si="235"/>
        <v>-9.0887739847824115E-3</v>
      </c>
      <c r="Q1827">
        <f t="shared" si="226"/>
        <v>1.9207596863345042E-2</v>
      </c>
      <c r="R1827">
        <f t="shared" si="227"/>
        <v>0.78180378471423828</v>
      </c>
      <c r="S1827">
        <f t="shared" si="229"/>
        <v>16.461927035018718</v>
      </c>
      <c r="T1827" s="564">
        <f>IF((I1827-MAX(I$470:I1827))/MAX(I$470:I1827)&gt;T1826,T1826,(I1827-MAX(I$470:I1827))/MAX(I$470:I1827))</f>
        <v>-0.91338805338419748</v>
      </c>
      <c r="U1827" s="564">
        <f>IF((J1827-MAX(J$470:J1827))/MAX(J$470:J1827)&gt;U1826,U1826,(J1827-MAX(J$470:J1827))/MAX(J$470:J1827))</f>
        <v>-0.8283551177402233</v>
      </c>
      <c r="V1827" s="564">
        <f>IF((K1827-MAX(K$470:K1827))/MAX(K$470:K1827)&gt;V1826,V1826,(K1827-MAX(K$470:K1827))/MAX(K$470:K1827))</f>
        <v>-0.84885940676762139</v>
      </c>
      <c r="W1827" s="564">
        <f>IF((N1827-MAX(N$470:N1827))/MAX(N$470:N1827)&gt;W1826,W1826,(N1827-MAX(N$470:N1827))/MAX(N$470:N1827))</f>
        <v>-0.62788758315546067</v>
      </c>
      <c r="X1827" s="564">
        <f>IF((O1827-MAX(O$470:O1827))/MAX(O$470:O1827)&gt;X1826,X1826,(O1827-MAX(O$470:O1827))/MAX(O$470:O1827))</f>
        <v>-0.62788758315546067</v>
      </c>
    </row>
    <row r="1828" spans="1:24">
      <c r="A1828" s="799">
        <v>42230</v>
      </c>
      <c r="B1828">
        <v>263.99</v>
      </c>
      <c r="C1828">
        <v>425.62635599999999</v>
      </c>
      <c r="D1828">
        <v>0.93435599999999996</v>
      </c>
      <c r="E1828">
        <f>LN(D1828/参数实验室!$E$53)/参数实验室!$E$55</f>
        <v>-0.77307089307236576</v>
      </c>
      <c r="F1828">
        <f t="shared" si="228"/>
        <v>1.6122821167468464</v>
      </c>
      <c r="G1828">
        <f>LN(F1828/参数实验室!$E$58)/参数实验室!$E$59</f>
        <v>6.0166844490644376E-2</v>
      </c>
      <c r="H1828" s="856">
        <f>INDEX(神经网络!$G$10:$BO$70,MATCH(ROUND(G1828*2,1)/2,神经网络!$E$10:$E$70,0),MATCH(ROUND(E1828*2,1)/2,神经网络!$G$8:$BO$8,0))</f>
        <v>-0.21232817533669729</v>
      </c>
      <c r="I1828">
        <f t="shared" si="230"/>
        <v>980.00389929840151</v>
      </c>
      <c r="J1828">
        <f t="shared" si="231"/>
        <v>105.33897290610891</v>
      </c>
      <c r="K1828">
        <f t="shared" si="232"/>
        <v>9.3033363840741252</v>
      </c>
      <c r="L1828" s="4">
        <f>MIN(MAX(L1827*(1+MAX(MIN(((B1828-B1827)/B1827)/($K$7*卓尔金历!$N$40),0),-卓尔金历!$M$43))+MIN(MAX(((B1828-B1827)/B1827)/($K$7*卓尔金历!$N$40),0),卓尔金历!$M$43),0),1)</f>
        <v>0.34854583837844355</v>
      </c>
      <c r="M1828" s="4">
        <f>MIN(MAX(M1827*(1+MAX(MIN(((B1828-B1827)/B1827)/($K$7*30),0),-卓尔金历!$M$43))+MIN(MAX(((B1828-B1827)/B1827)/($K$7*7),0),卓尔金历!$M$43),0),1)</f>
        <v>0.88202310602392064</v>
      </c>
      <c r="N1828">
        <f t="shared" si="233"/>
        <v>780.29929230785797</v>
      </c>
      <c r="O1828">
        <f t="shared" si="234"/>
        <v>2028.8428167515999</v>
      </c>
      <c r="P1828">
        <f t="shared" si="235"/>
        <v>-6.8283139895788181E-3</v>
      </c>
      <c r="Q1828">
        <f t="shared" si="226"/>
        <v>1.9216434240940976E-2</v>
      </c>
      <c r="R1828">
        <f t="shared" si="227"/>
        <v>1</v>
      </c>
      <c r="S1828">
        <f t="shared" si="229"/>
        <v>16.47852947549001</v>
      </c>
      <c r="T1828" s="564">
        <f>IF((I1828-MAX(I$470:I1828))/MAX(I$470:I1828)&gt;T1827,T1827,(I1828-MAX(I$470:I1828))/MAX(I$470:I1828))</f>
        <v>-0.91338805338419748</v>
      </c>
      <c r="U1828" s="564">
        <f>IF((J1828-MAX(J$470:J1828))/MAX(J$470:J1828)&gt;U1827,U1827,(J1828-MAX(J$470:J1828))/MAX(J$470:J1828))</f>
        <v>-0.8283551177402233</v>
      </c>
      <c r="V1828" s="564">
        <f>IF((K1828-MAX(K$470:K1828))/MAX(K$470:K1828)&gt;V1827,V1827,(K1828-MAX(K$470:K1828))/MAX(K$470:K1828))</f>
        <v>-0.84885940676762139</v>
      </c>
      <c r="W1828" s="564">
        <f>IF((N1828-MAX(N$470:N1828))/MAX(N$470:N1828)&gt;W1827,W1827,(N1828-MAX(N$470:N1828))/MAX(N$470:N1828))</f>
        <v>-0.62788758315546067</v>
      </c>
      <c r="X1828" s="564">
        <f>IF((O1828-MAX(O$470:O1828))/MAX(O$470:O1828)&gt;X1827,X1827,(O1828-MAX(O$470:O1828))/MAX(O$470:O1828))</f>
        <v>-0.62788758315546067</v>
      </c>
    </row>
    <row r="1829" spans="1:24">
      <c r="A1829" s="799">
        <v>42231</v>
      </c>
      <c r="B1829">
        <v>266.17399999999998</v>
      </c>
      <c r="C1829">
        <v>425.081751</v>
      </c>
      <c r="D1829">
        <v>0.91934000000000005</v>
      </c>
      <c r="E1829">
        <f>LN(D1829/参数实验室!$E$53)/参数实验室!$E$55</f>
        <v>-0.7921846660021693</v>
      </c>
      <c r="F1829">
        <f t="shared" si="228"/>
        <v>1.5970070367503966</v>
      </c>
      <c r="G1829">
        <f>LN(F1829/参数实验室!$E$58)/参数实验室!$E$59</f>
        <v>5.5170567961503457E-2</v>
      </c>
      <c r="H1829" s="856">
        <f>INDEX(神经网络!$G$10:$BO$70,MATCH(ROUND(G1829*2,1)/2,神经网络!$E$10:$E$70,0),MATCH(ROUND(E1829*2,1)/2,神经网络!$G$8:$BO$8,0))</f>
        <v>-0.18892090073293136</v>
      </c>
      <c r="I1829">
        <f t="shared" si="230"/>
        <v>978.28242481664938</v>
      </c>
      <c r="J1829">
        <f t="shared" si="231"/>
        <v>106.21044651051415</v>
      </c>
      <c r="K1829">
        <f t="shared" si="232"/>
        <v>9.2107928829750829</v>
      </c>
      <c r="L1829" s="4">
        <f>MIN(MAX(L1828*(1+MAX(MIN(((B1829-B1828)/B1828)/($K$7*卓尔金历!$N$40),0),-卓尔金历!$M$43))+MIN(MAX(((B1829-B1828)/B1828)/($K$7*卓尔金历!$N$40),0),卓尔金历!$M$43),0),1)</f>
        <v>0.47494996039815646</v>
      </c>
      <c r="M1829" s="4">
        <f>MIN(MAX(M1828*(1+MAX(MIN(((B1829-B1828)/B1828)/($K$7*30),0),-卓尔金历!$M$43))+MIN(MAX(((B1829-B1828)/B1828)/($K$7*7),0),卓尔金历!$M$43),0),1)</f>
        <v>1</v>
      </c>
      <c r="N1829">
        <f t="shared" si="233"/>
        <v>779.82154978315725</v>
      </c>
      <c r="O1829">
        <f t="shared" si="234"/>
        <v>2025.6994058889034</v>
      </c>
      <c r="P1829">
        <f t="shared" si="235"/>
        <v>8.2730406454788775E-3</v>
      </c>
      <c r="Q1829">
        <f t="shared" si="226"/>
        <v>1.6755986861365074E-2</v>
      </c>
      <c r="R1829">
        <f t="shared" si="227"/>
        <v>0.7385320058198922</v>
      </c>
      <c r="S1829">
        <f t="shared" si="229"/>
        <v>16.449583296797083</v>
      </c>
      <c r="T1829" s="564">
        <f>IF((I1829-MAX(I$470:I1829))/MAX(I$470:I1829)&gt;T1828,T1828,(I1829-MAX(I$470:I1829))/MAX(I$470:I1829))</f>
        <v>-0.91338805338419748</v>
      </c>
      <c r="U1829" s="564">
        <f>IF((J1829-MAX(J$470:J1829))/MAX(J$470:J1829)&gt;U1828,U1828,(J1829-MAX(J$470:J1829))/MAX(J$470:J1829))</f>
        <v>-0.8283551177402233</v>
      </c>
      <c r="V1829" s="564">
        <f>IF((K1829-MAX(K$470:K1829))/MAX(K$470:K1829)&gt;V1828,V1828,(K1829-MAX(K$470:K1829))/MAX(K$470:K1829))</f>
        <v>-0.84885940676762139</v>
      </c>
      <c r="W1829" s="564">
        <f>IF((N1829-MAX(N$470:N1829))/MAX(N$470:N1829)&gt;W1828,W1828,(N1829-MAX(N$470:N1829))/MAX(N$470:N1829))</f>
        <v>-0.62788758315546067</v>
      </c>
      <c r="X1829" s="564">
        <f>IF((O1829-MAX(O$470:O1829))/MAX(O$470:O1829)&gt;X1828,X1828,(O1829-MAX(O$470:O1829))/MAX(O$470:O1829))</f>
        <v>-0.62788758315546067</v>
      </c>
    </row>
    <row r="1830" spans="1:24">
      <c r="A1830" s="799">
        <v>42232</v>
      </c>
      <c r="B1830">
        <v>261.60000000000002</v>
      </c>
      <c r="C1830">
        <v>428.02291200000002</v>
      </c>
      <c r="D1830">
        <v>0.90950500000000001</v>
      </c>
      <c r="E1830">
        <f>LN(D1830/参数实验室!$E$53)/参数实验室!$E$55</f>
        <v>-0.80487353248045468</v>
      </c>
      <c r="F1830">
        <f t="shared" si="228"/>
        <v>1.6361732110091742</v>
      </c>
      <c r="G1830">
        <f>LN(F1830/参数实验室!$E$58)/参数实验室!$E$59</f>
        <v>6.7887168302613932E-2</v>
      </c>
      <c r="H1830" s="856">
        <f>INDEX(神经网络!$G$10:$BO$70,MATCH(ROUND(G1830*2,1)/2,神经网络!$E$10:$E$70,0),MATCH(ROUND(E1830*2,1)/2,神经网络!$G$8:$BO$8,0))</f>
        <v>-0.18892090073293136</v>
      </c>
      <c r="I1830">
        <f t="shared" si="230"/>
        <v>981.45838309083172</v>
      </c>
      <c r="J1830">
        <f t="shared" si="231"/>
        <v>104.38529986832111</v>
      </c>
      <c r="K1830">
        <f t="shared" si="232"/>
        <v>9.4022662609477745</v>
      </c>
      <c r="L1830" s="4">
        <f>MIN(MAX(L1829*(1+MAX(MIN(((B1830-B1829)/B1829)/($K$7*卓尔金历!$N$40),0),-卓尔金历!$M$43))+MIN(MAX(((B1830-B1829)/B1829)/($K$7*卓尔金历!$N$40),0),卓尔金历!$M$43),0),1)</f>
        <v>0.35024766047553513</v>
      </c>
      <c r="M1830" s="4">
        <f>MIN(MAX(M1829*(1+MAX(MIN(((B1830-B1829)/B1829)/($K$7*30),0),-卓尔金历!$M$43))+MIN(MAX(((B1830-B1829)/B1829)/($K$7*7),0),卓尔金历!$M$43),0),1)</f>
        <v>0.86872059130389034</v>
      </c>
      <c r="N1830">
        <f t="shared" si="233"/>
        <v>781.02396267760162</v>
      </c>
      <c r="O1830">
        <f t="shared" si="234"/>
        <v>2032.2757652570529</v>
      </c>
      <c r="P1830">
        <f t="shared" si="235"/>
        <v>-1.7184247897991372E-2</v>
      </c>
      <c r="Q1830">
        <f t="shared" si="226"/>
        <v>1.6887406910429403E-2</v>
      </c>
      <c r="R1830">
        <f t="shared" si="227"/>
        <v>1.6464014571459837E-2</v>
      </c>
      <c r="S1830">
        <f t="shared" si="229"/>
        <v>16.489023101759386</v>
      </c>
      <c r="T1830" s="564">
        <f>IF((I1830-MAX(I$470:I1830))/MAX(I$470:I1830)&gt;T1829,T1829,(I1830-MAX(I$470:I1830))/MAX(I$470:I1830))</f>
        <v>-0.91338805338419748</v>
      </c>
      <c r="U1830" s="564">
        <f>IF((J1830-MAX(J$470:J1830))/MAX(J$470:J1830)&gt;U1829,U1829,(J1830-MAX(J$470:J1830))/MAX(J$470:J1830))</f>
        <v>-0.8283551177402233</v>
      </c>
      <c r="V1830" s="564">
        <f>IF((K1830-MAX(K$470:K1830))/MAX(K$470:K1830)&gt;V1829,V1829,(K1830-MAX(K$470:K1830))/MAX(K$470:K1830))</f>
        <v>-0.84885940676762139</v>
      </c>
      <c r="W1830" s="564">
        <f>IF((N1830-MAX(N$470:N1830))/MAX(N$470:N1830)&gt;W1829,W1829,(N1830-MAX(N$470:N1830))/MAX(N$470:N1830))</f>
        <v>-0.62788758315546067</v>
      </c>
      <c r="X1830" s="564">
        <f>IF((O1830-MAX(O$470:O1830))/MAX(O$470:O1830)&gt;X1829,X1829,(O1830-MAX(O$470:O1830))/MAX(O$470:O1830))</f>
        <v>-0.62788758315546067</v>
      </c>
    </row>
    <row r="1831" spans="1:24">
      <c r="A1831" s="799">
        <v>42233</v>
      </c>
      <c r="B1831">
        <v>258.24099999999999</v>
      </c>
      <c r="C1831">
        <v>428.95698800000002</v>
      </c>
      <c r="D1831">
        <v>0.90668499999999996</v>
      </c>
      <c r="E1831">
        <f>LN(D1831/参数实验室!$E$53)/参数实验室!$E$55</f>
        <v>-0.80853714347004813</v>
      </c>
      <c r="F1831">
        <f t="shared" si="228"/>
        <v>1.6610723626380011</v>
      </c>
      <c r="G1831">
        <f>LN(F1831/参数实验室!$E$58)/参数实验室!$E$59</f>
        <v>7.5814190132124606E-2</v>
      </c>
      <c r="H1831" s="856">
        <f>INDEX(神经网络!$G$10:$BO$70,MATCH(ROUND(G1831*2,1)/2,神经网络!$E$10:$E$70,0),MATCH(ROUND(E1831*2,1)/2,神经网络!$G$8:$BO$8,0))</f>
        <v>-0.13319218732003643</v>
      </c>
      <c r="I1831">
        <f t="shared" si="230"/>
        <v>983.83918992542647</v>
      </c>
      <c r="J1831">
        <f t="shared" si="231"/>
        <v>103.04497027253481</v>
      </c>
      <c r="K1831">
        <f t="shared" si="232"/>
        <v>9.5476682396370673</v>
      </c>
      <c r="L1831" s="4">
        <f>MIN(MAX(L1830*(1+MAX(MIN(((B1831-B1830)/B1830)/($K$7*卓尔金历!$N$40),0),-卓尔金历!$M$43))+MIN(MAX(((B1831-B1830)/B1830)/($K$7*卓尔金历!$N$40),0),卓尔金历!$M$43),0),1)</f>
        <v>0.28153392072983102</v>
      </c>
      <c r="M1831" s="4">
        <f>MIN(MAX(M1830*(1+MAX(MIN(((B1831-B1830)/B1830)/($K$7*30),0),-卓尔金历!$M$43))+MIN(MAX(((B1831-B1830)/B1830)/($K$7*7),0),卓尔金历!$M$43),0),1)</f>
        <v>0.78350511757089836</v>
      </c>
      <c r="N1831">
        <f t="shared" si="233"/>
        <v>781.68754051611472</v>
      </c>
      <c r="O1831">
        <f t="shared" si="234"/>
        <v>2036.5584393441843</v>
      </c>
      <c r="P1831">
        <f t="shared" si="235"/>
        <v>-1.2840214067278428E-2</v>
      </c>
      <c r="Q1831">
        <f t="shared" si="226"/>
        <v>1.6553933375831408E-2</v>
      </c>
      <c r="R1831">
        <f t="shared" si="227"/>
        <v>0.27521928341781443</v>
      </c>
      <c r="S1831">
        <f t="shared" si="229"/>
        <v>16.489681642943122</v>
      </c>
      <c r="T1831" s="564">
        <f>IF((I1831-MAX(I$470:I1831))/MAX(I$470:I1831)&gt;T1830,T1830,(I1831-MAX(I$470:I1831))/MAX(I$470:I1831))</f>
        <v>-0.91338805338419748</v>
      </c>
      <c r="U1831" s="564">
        <f>IF((J1831-MAX(J$470:J1831))/MAX(J$470:J1831)&gt;U1830,U1830,(J1831-MAX(J$470:J1831))/MAX(J$470:J1831))</f>
        <v>-0.8283551177402233</v>
      </c>
      <c r="V1831" s="564">
        <f>IF((K1831-MAX(K$470:K1831))/MAX(K$470:K1831)&gt;V1830,V1830,(K1831-MAX(K$470:K1831))/MAX(K$470:K1831))</f>
        <v>-0.84885940676762139</v>
      </c>
      <c r="W1831" s="564">
        <f>IF((N1831-MAX(N$470:N1831))/MAX(N$470:N1831)&gt;W1830,W1830,(N1831-MAX(N$470:N1831))/MAX(N$470:N1831))</f>
        <v>-0.62788758315546067</v>
      </c>
      <c r="X1831" s="564">
        <f>IF((O1831-MAX(O$470:O1831))/MAX(O$470:O1831)&gt;X1830,X1830,(O1831-MAX(O$470:O1831))/MAX(O$470:O1831))</f>
        <v>-0.62788758315546067</v>
      </c>
    </row>
    <row r="1832" spans="1:24">
      <c r="A1832" s="799">
        <v>42234</v>
      </c>
      <c r="B1832">
        <v>257.90899999999999</v>
      </c>
      <c r="C1832">
        <v>432.529493</v>
      </c>
      <c r="D1832">
        <v>0.76798</v>
      </c>
      <c r="E1832">
        <f>LN(D1832/参数实验室!$E$53)/参数实验室!$E$55</f>
        <v>-1.0044132260606391</v>
      </c>
      <c r="F1832">
        <f t="shared" si="228"/>
        <v>1.6770624251189374</v>
      </c>
      <c r="G1832">
        <f>LN(F1832/参数实验室!$E$58)/参数实验室!$E$59</f>
        <v>8.0842455115807524E-2</v>
      </c>
      <c r="H1832" s="856">
        <f>INDEX(神经网络!$G$10:$BO$70,MATCH(ROUND(G1832*2,1)/2,神经网络!$E$10:$E$70,0),MATCH(ROUND(E1832*2,1)/2,神经网络!$G$8:$BO$8,0))</f>
        <v>-4.1170039005268881E-2</v>
      </c>
      <c r="I1832">
        <f t="shared" si="230"/>
        <v>984.00765728072975</v>
      </c>
      <c r="J1832">
        <f t="shared" si="231"/>
        <v>102.9124935158212</v>
      </c>
      <c r="K1832">
        <f t="shared" si="232"/>
        <v>9.5615957175253357</v>
      </c>
      <c r="L1832" s="4">
        <f>MIN(MAX(L1831*(1+MAX(MIN(((B1832-B1831)/B1831)/($K$7*卓尔金历!$N$40),0),-卓尔金历!$M$43))+MIN(MAX(((B1832-B1831)/B1831)/($K$7*卓尔金历!$N$40),0),卓尔金历!$M$43),0),1)</f>
        <v>0.27600373527219618</v>
      </c>
      <c r="M1832" s="4">
        <f>MIN(MAX(M1831*(1+MAX(MIN(((B1832-B1831)/B1831)/($K$7*30),0),-卓尔金历!$M$43))+MIN(MAX(((B1832-B1831)/B1831)/($K$7*7),0),卓尔金历!$M$43),0),1)</f>
        <v>0.77580990166948816</v>
      </c>
      <c r="N1832">
        <f t="shared" si="233"/>
        <v>781.72522439143165</v>
      </c>
      <c r="O1832">
        <f t="shared" si="234"/>
        <v>2036.8316705849011</v>
      </c>
      <c r="P1832">
        <f t="shared" si="235"/>
        <v>-1.2856207960780575E-3</v>
      </c>
      <c r="Q1832">
        <f t="shared" si="226"/>
        <v>1.6243196822836075E-2</v>
      </c>
      <c r="R1832">
        <f t="shared" si="227"/>
        <v>1</v>
      </c>
      <c r="S1832">
        <f t="shared" si="229"/>
        <v>16.490458753432016</v>
      </c>
      <c r="T1832" s="564">
        <f>IF((I1832-MAX(I$470:I1832))/MAX(I$470:I1832)&gt;T1831,T1831,(I1832-MAX(I$470:I1832))/MAX(I$470:I1832))</f>
        <v>-0.91338805338419748</v>
      </c>
      <c r="U1832" s="564">
        <f>IF((J1832-MAX(J$470:J1832))/MAX(J$470:J1832)&gt;U1831,U1831,(J1832-MAX(J$470:J1832))/MAX(J$470:J1832))</f>
        <v>-0.8283551177402233</v>
      </c>
      <c r="V1832" s="564">
        <f>IF((K1832-MAX(K$470:K1832))/MAX(K$470:K1832)&gt;V1831,V1831,(K1832-MAX(K$470:K1832))/MAX(K$470:K1832))</f>
        <v>-0.84885940676762139</v>
      </c>
      <c r="W1832" s="564">
        <f>IF((N1832-MAX(N$470:N1832))/MAX(N$470:N1832)&gt;W1831,W1831,(N1832-MAX(N$470:N1832))/MAX(N$470:N1832))</f>
        <v>-0.62788758315546067</v>
      </c>
      <c r="X1832" s="564">
        <f>IF((O1832-MAX(O$470:O1832))/MAX(O$470:O1832)&gt;X1831,X1831,(O1832-MAX(O$470:O1832))/MAX(O$470:O1832))</f>
        <v>-0.62788758315546067</v>
      </c>
    </row>
    <row r="1833" spans="1:24">
      <c r="A1833" s="799">
        <v>42235</v>
      </c>
      <c r="B1833">
        <v>231.601</v>
      </c>
      <c r="C1833">
        <v>432.90413899999999</v>
      </c>
      <c r="D1833">
        <v>0.80186199999999996</v>
      </c>
      <c r="E1833">
        <f>LN(D1833/参数实验室!$E$53)/参数实验室!$E$55</f>
        <v>-0.95347993734692105</v>
      </c>
      <c r="F1833">
        <f t="shared" si="228"/>
        <v>1.8691807850570592</v>
      </c>
      <c r="G1833">
        <f>LN(F1833/参数实验室!$E$58)/参数实验室!$E$59</f>
        <v>0.13776631156942648</v>
      </c>
      <c r="H1833" s="856">
        <f>INDEX(神经网络!$G$10:$BO$70,MATCH(ROUND(G1833*2,1)/2,神经网络!$E$10:$E$70,0),MATCH(ROUND(E1833*2,1)/2,神经网络!$G$8:$BO$8,0))</f>
        <v>-2.996477770490634E-2</v>
      </c>
      <c r="I1833">
        <f t="shared" si="230"/>
        <v>988.14004528418673</v>
      </c>
      <c r="J1833">
        <f t="shared" si="231"/>
        <v>92.414907625393866</v>
      </c>
      <c r="K1833">
        <f t="shared" si="232"/>
        <v>10.692431239445016</v>
      </c>
      <c r="L1833" s="4">
        <f>MIN(MAX(L1832*(1+MAX(MIN(((B1833-B1832)/B1832)/($K$7*卓尔金历!$N$40),0),-卓尔金历!$M$43))+MIN(MAX(((B1833-B1832)/B1832)/($K$7*卓尔金历!$N$40),0),卓尔金历!$M$43),0),1)</f>
        <v>0</v>
      </c>
      <c r="M1833" s="4">
        <f>MIN(MAX(M1832*(1+MAX(MIN(((B1833-B1832)/B1832)/($K$7*30),0),-卓尔金历!$M$43))+MIN(MAX(((B1833-B1832)/B1832)/($K$7*7),0),卓尔金历!$M$43),0),1)</f>
        <v>0.17124526974803381</v>
      </c>
      <c r="N1833">
        <f t="shared" si="233"/>
        <v>782.63131514696192</v>
      </c>
      <c r="O1833">
        <f t="shared" si="234"/>
        <v>2043.4677728715944</v>
      </c>
      <c r="P1833">
        <f t="shared" si="235"/>
        <v>-0.10200497074549549</v>
      </c>
      <c r="Q1833">
        <f t="shared" si="226"/>
        <v>2.6047638311161924E-2</v>
      </c>
      <c r="R1833">
        <f t="shared" si="227"/>
        <v>0</v>
      </c>
      <c r="S1833">
        <f t="shared" si="229"/>
        <v>16.559711236804453</v>
      </c>
      <c r="T1833" s="564">
        <f>IF((I1833-MAX(I$470:I1833))/MAX(I$470:I1833)&gt;T1832,T1832,(I1833-MAX(I$470:I1833))/MAX(I$470:I1833))</f>
        <v>-0.91338805338419748</v>
      </c>
      <c r="U1833" s="564">
        <f>IF((J1833-MAX(J$470:J1833))/MAX(J$470:J1833)&gt;U1832,U1832,(J1833-MAX(J$470:J1833))/MAX(J$470:J1833))</f>
        <v>-0.8283551177402233</v>
      </c>
      <c r="V1833" s="564">
        <f>IF((K1833-MAX(K$470:K1833))/MAX(K$470:K1833)&gt;V1832,V1832,(K1833-MAX(K$470:K1833))/MAX(K$470:K1833))</f>
        <v>-0.84885940676762139</v>
      </c>
      <c r="W1833" s="564">
        <f>IF((N1833-MAX(N$470:N1833))/MAX(N$470:N1833)&gt;W1832,W1832,(N1833-MAX(N$470:N1833))/MAX(N$470:N1833))</f>
        <v>-0.62788758315546067</v>
      </c>
      <c r="X1833" s="564">
        <f>IF((O1833-MAX(O$470:O1833))/MAX(O$470:O1833)&gt;X1832,X1832,(O1833-MAX(O$470:O1833))/MAX(O$470:O1833))</f>
        <v>-0.62788758315546067</v>
      </c>
    </row>
    <row r="1834" spans="1:24">
      <c r="A1834" s="799">
        <v>42236</v>
      </c>
      <c r="B1834">
        <v>229.29599999999999</v>
      </c>
      <c r="C1834">
        <v>426.522424</v>
      </c>
      <c r="D1834">
        <v>0.83203899999999997</v>
      </c>
      <c r="E1834">
        <f>LN(D1834/参数实验室!$E$53)/参数实验室!$E$55</f>
        <v>-0.90989655924845692</v>
      </c>
      <c r="F1834">
        <f t="shared" si="228"/>
        <v>1.8601389644825903</v>
      </c>
      <c r="G1834">
        <f>LN(F1834/参数实验室!$E$58)/参数实验室!$E$59</f>
        <v>0.13522126544688831</v>
      </c>
      <c r="H1834" s="856">
        <f>INDEX(神经网络!$G$10:$BO$70,MATCH(ROUND(G1834*2,1)/2,神经网络!$E$10:$E$70,0),MATCH(ROUND(E1834*2,1)/2,神经网络!$G$8:$BO$8,0))</f>
        <v>-4.5496982226918441E-2</v>
      </c>
      <c r="I1834">
        <f t="shared" si="230"/>
        <v>988.43473166127478</v>
      </c>
      <c r="J1834">
        <f t="shared" si="231"/>
        <v>91.495151829535757</v>
      </c>
      <c r="K1834">
        <f t="shared" si="232"/>
        <v>10.803137782675343</v>
      </c>
      <c r="L1834" s="4">
        <f>MIN(MAX(L1833*(1+MAX(MIN(((B1834-B1833)/B1833)/($K$7*卓尔金历!$N$40),0),-卓尔金历!$M$43))+MIN(MAX(((B1834-B1833)/B1833)/($K$7*卓尔金历!$N$40),0),卓尔金历!$M$43),0),1)</f>
        <v>0</v>
      </c>
      <c r="M1834" s="4">
        <f>MIN(MAX(M1833*(1+MAX(MIN(((B1834-B1833)/B1833)/($K$7*30),0),-卓尔金历!$M$43))+MIN(MAX(((B1834-B1833)/B1833)/($K$7*7),0),卓尔金历!$M$43),0),1)</f>
        <v>0.15822514437324492</v>
      </c>
      <c r="N1834">
        <f t="shared" si="233"/>
        <v>782.63131514696192</v>
      </c>
      <c r="O1834">
        <f t="shared" si="234"/>
        <v>2043.5721313976539</v>
      </c>
      <c r="P1834">
        <f t="shared" si="235"/>
        <v>-9.952461345158297E-3</v>
      </c>
      <c r="Q1834">
        <f t="shared" si="226"/>
        <v>2.5997610145469082E-2</v>
      </c>
      <c r="R1834">
        <f t="shared" si="227"/>
        <v>1</v>
      </c>
      <c r="S1834">
        <f t="shared" si="229"/>
        <v>16.559711236804453</v>
      </c>
      <c r="T1834" s="564">
        <f>IF((I1834-MAX(I$470:I1834))/MAX(I$470:I1834)&gt;T1833,T1833,(I1834-MAX(I$470:I1834))/MAX(I$470:I1834))</f>
        <v>-0.91338805338419748</v>
      </c>
      <c r="U1834" s="564">
        <f>IF((J1834-MAX(J$470:J1834))/MAX(J$470:J1834)&gt;U1833,U1833,(J1834-MAX(J$470:J1834))/MAX(J$470:J1834))</f>
        <v>-0.8283551177402233</v>
      </c>
      <c r="V1834" s="564">
        <f>IF((K1834-MAX(K$470:K1834))/MAX(K$470:K1834)&gt;V1833,V1833,(K1834-MAX(K$470:K1834))/MAX(K$470:K1834))</f>
        <v>-0.84885940676762139</v>
      </c>
      <c r="W1834" s="564">
        <f>IF((N1834-MAX(N$470:N1834))/MAX(N$470:N1834)&gt;W1833,W1833,(N1834-MAX(N$470:N1834))/MAX(N$470:N1834))</f>
        <v>-0.62788758315546067</v>
      </c>
      <c r="X1834" s="564">
        <f>IF((O1834-MAX(O$470:O1834))/MAX(O$470:O1834)&gt;X1833,X1833,(O1834-MAX(O$470:O1834))/MAX(O$470:O1834))</f>
        <v>-0.62788758315546067</v>
      </c>
    </row>
    <row r="1835" spans="1:24">
      <c r="A1835" s="799">
        <v>42237</v>
      </c>
      <c r="B1835">
        <v>233.494</v>
      </c>
      <c r="C1835">
        <v>423.73496599999999</v>
      </c>
      <c r="D1835">
        <v>0.82326299999999997</v>
      </c>
      <c r="E1835">
        <f>LN(D1835/参数实验室!$E$53)/参数实验室!$E$55</f>
        <v>-0.92240619371785437</v>
      </c>
      <c r="F1835">
        <f t="shared" si="228"/>
        <v>1.8147574070425792</v>
      </c>
      <c r="G1835">
        <f>LN(F1835/参数实验室!$E$58)/参数实验室!$E$59</f>
        <v>0.12225768640328208</v>
      </c>
      <c r="H1835" s="856">
        <f>INDEX(神经网络!$G$10:$BO$70,MATCH(ROUND(G1835*2,1)/2,神经网络!$E$10:$E$70,0),MATCH(ROUND(E1835*2,1)/2,神经网络!$G$8:$BO$8,0))</f>
        <v>-6.5486849937294242E-2</v>
      </c>
      <c r="I1835">
        <f t="shared" si="230"/>
        <v>987.6113967249288</v>
      </c>
      <c r="J1835">
        <f t="shared" si="231"/>
        <v>93.170264554486877</v>
      </c>
      <c r="K1835">
        <f t="shared" si="232"/>
        <v>10.600070756988824</v>
      </c>
      <c r="L1835" s="4">
        <f>MIN(MAX(L1834*(1+MAX(MIN(((B1835-B1834)/B1834)/($K$7*卓尔金历!$N$40),0),-卓尔金历!$M$43))+MIN(MAX(((B1835-B1834)/B1834)/($K$7*卓尔金历!$N$40),0),卓尔金历!$M$43),0),1)</f>
        <v>0.27973192502601513</v>
      </c>
      <c r="M1835" s="4">
        <f>MIN(MAX(M1834*(1+MAX(MIN(((B1835-B1834)/B1834)/($K$7*30),0),-卓尔金历!$M$43))+MIN(MAX(((B1835-B1834)/B1834)/($K$7*7),0),卓尔金历!$M$43),0),1)</f>
        <v>0.75765069800042006</v>
      </c>
      <c r="N1835">
        <f t="shared" si="233"/>
        <v>782.63131514696192</v>
      </c>
      <c r="O1835">
        <f t="shared" si="234"/>
        <v>2043.3027956376734</v>
      </c>
      <c r="P1835">
        <f t="shared" si="235"/>
        <v>1.8308212964901295E-2</v>
      </c>
      <c r="Q1835">
        <f t="shared" si="226"/>
        <v>2.6668814785383226E-2</v>
      </c>
      <c r="R1835">
        <f t="shared" si="227"/>
        <v>0.41192162705759933</v>
      </c>
      <c r="S1835">
        <f t="shared" si="229"/>
        <v>16.545917519970821</v>
      </c>
      <c r="T1835" s="564">
        <f>IF((I1835-MAX(I$470:I1835))/MAX(I$470:I1835)&gt;T1834,T1834,(I1835-MAX(I$470:I1835))/MAX(I$470:I1835))</f>
        <v>-0.91338805338419748</v>
      </c>
      <c r="U1835" s="564">
        <f>IF((J1835-MAX(J$470:J1835))/MAX(J$470:J1835)&gt;U1834,U1834,(J1835-MAX(J$470:J1835))/MAX(J$470:J1835))</f>
        <v>-0.8283551177402233</v>
      </c>
      <c r="V1835" s="564">
        <f>IF((K1835-MAX(K$470:K1835))/MAX(K$470:K1835)&gt;V1834,V1834,(K1835-MAX(K$470:K1835))/MAX(K$470:K1835))</f>
        <v>-0.84885940676762139</v>
      </c>
      <c r="W1835" s="564">
        <f>IF((N1835-MAX(N$470:N1835))/MAX(N$470:N1835)&gt;W1834,W1834,(N1835-MAX(N$470:N1835))/MAX(N$470:N1835))</f>
        <v>-0.62788758315546067</v>
      </c>
      <c r="X1835" s="564">
        <f>IF((O1835-MAX(O$470:O1835))/MAX(O$470:O1835)&gt;X1834,X1834,(O1835-MAX(O$470:O1835))/MAX(O$470:O1835))</f>
        <v>-0.62788758315546067</v>
      </c>
    </row>
    <row r="1836" spans="1:24">
      <c r="A1836" s="799">
        <v>42238</v>
      </c>
      <c r="B1836">
        <v>233.69499999999999</v>
      </c>
      <c r="C1836">
        <v>418.96920999999998</v>
      </c>
      <c r="D1836">
        <v>0.81611699999999998</v>
      </c>
      <c r="E1836">
        <f>LN(D1836/参数实验室!$E$53)/参数实验室!$E$55</f>
        <v>-0.93269126499714794</v>
      </c>
      <c r="F1836">
        <f t="shared" si="228"/>
        <v>1.792803483172511</v>
      </c>
      <c r="G1836">
        <f>LN(F1836/参数实验室!$E$58)/参数实验室!$E$59</f>
        <v>0.11586957637544856</v>
      </c>
      <c r="H1836" s="856">
        <f>INDEX(神经网络!$G$10:$BO$70,MATCH(ROUND(G1836*2,1)/2,神经网络!$E$10:$E$70,0),MATCH(ROUND(E1836*2,1)/2,神经网络!$G$8:$BO$8,0))</f>
        <v>-1.6113682648580298E-2</v>
      </c>
      <c r="I1836">
        <f t="shared" si="230"/>
        <v>987.55572168648644</v>
      </c>
      <c r="J1836">
        <f t="shared" si="231"/>
        <v>93.250468855991201</v>
      </c>
      <c r="K1836">
        <f t="shared" si="232"/>
        <v>10.590356636293068</v>
      </c>
      <c r="L1836" s="4">
        <f>MIN(MAX(L1835*(1+MAX(MIN(((B1836-B1835)/B1835)/($K$7*卓尔金历!$N$40),0),-卓尔金历!$M$43))+MIN(MAX(((B1836-B1835)/B1835)/($K$7*卓尔金历!$N$40),0),卓尔金历!$M$43),0),1)</f>
        <v>0.29288467034165167</v>
      </c>
      <c r="M1836" s="4">
        <f>MIN(MAX(M1835*(1+MAX(MIN(((B1836-B1835)/B1835)/($K$7*30),0),-卓尔金历!$M$43))+MIN(MAX(((B1836-B1835)/B1835)/($K$7*7),0),卓尔金历!$M$43),0),1)</f>
        <v>0.78583515224821265</v>
      </c>
      <c r="N1836">
        <f t="shared" si="233"/>
        <v>782.61897348383616</v>
      </c>
      <c r="O1836">
        <f t="shared" si="234"/>
        <v>2043.215523384315</v>
      </c>
      <c r="P1836">
        <f t="shared" si="235"/>
        <v>8.6083582447511883E-4</v>
      </c>
      <c r="Q1836">
        <f t="shared" ref="Q1836:Q1899" si="236">STDEVP(P1816:P1836)</f>
        <v>2.6757549106282464E-2</v>
      </c>
      <c r="R1836">
        <f t="shared" ref="R1836:R1899" si="237">MIN(Q1835*MAX(1-LN(MAX(ABS(P1836),0.0001)/Q1836),0)+MAX(-LN(MAX(ABS(P1836),0.0001)/Q1836),0),1)</f>
        <v>1</v>
      </c>
      <c r="S1836">
        <f t="shared" si="229"/>
        <v>16.545533300046618</v>
      </c>
      <c r="T1836" s="564">
        <f>IF((I1836-MAX(I$470:I1836))/MAX(I$470:I1836)&gt;T1835,T1835,(I1836-MAX(I$470:I1836))/MAX(I$470:I1836))</f>
        <v>-0.91338805338419748</v>
      </c>
      <c r="U1836" s="564">
        <f>IF((J1836-MAX(J$470:J1836))/MAX(J$470:J1836)&gt;U1835,U1835,(J1836-MAX(J$470:J1836))/MAX(J$470:J1836))</f>
        <v>-0.8283551177402233</v>
      </c>
      <c r="V1836" s="564">
        <f>IF((K1836-MAX(K$470:K1836))/MAX(K$470:K1836)&gt;V1835,V1835,(K1836-MAX(K$470:K1836))/MAX(K$470:K1836))</f>
        <v>-0.84885940676762139</v>
      </c>
      <c r="W1836" s="564">
        <f>IF((N1836-MAX(N$470:N1836))/MAX(N$470:N1836)&gt;W1835,W1835,(N1836-MAX(N$470:N1836))/MAX(N$470:N1836))</f>
        <v>-0.62788758315546067</v>
      </c>
      <c r="X1836" s="564">
        <f>IF((O1836-MAX(O$470:O1836))/MAX(O$470:O1836)&gt;X1835,X1835,(O1836-MAX(O$470:O1836))/MAX(O$470:O1836))</f>
        <v>-0.62788758315546067</v>
      </c>
    </row>
    <row r="1837" spans="1:24">
      <c r="A1837" s="799">
        <v>42239</v>
      </c>
      <c r="B1837">
        <v>230.173</v>
      </c>
      <c r="C1837">
        <v>429.354377</v>
      </c>
      <c r="D1837">
        <v>0.80923199999999995</v>
      </c>
      <c r="E1837">
        <f>LN(D1837/参数实验室!$E$53)/参数实验室!$E$55</f>
        <v>-0.94268622567173399</v>
      </c>
      <c r="F1837">
        <f t="shared" si="228"/>
        <v>1.8653550894327311</v>
      </c>
      <c r="G1837">
        <f>LN(F1837/参数实验室!$E$58)/参数实验室!$E$59</f>
        <v>0.13669097980885642</v>
      </c>
      <c r="H1837" s="856">
        <f>INDEX(神经网络!$G$10:$BO$70,MATCH(ROUND(G1837*2,1)/2,神经网络!$E$10:$E$70,0),MATCH(ROUND(E1837*2,1)/2,神经网络!$G$8:$BO$8,0))</f>
        <v>-2.996477770490634E-2</v>
      </c>
      <c r="I1837">
        <f t="shared" si="230"/>
        <v>987.79554773218092</v>
      </c>
      <c r="J1837">
        <f t="shared" si="231"/>
        <v>91.845097960975039</v>
      </c>
      <c r="K1837">
        <f t="shared" si="232"/>
        <v>10.755016540478785</v>
      </c>
      <c r="L1837" s="4">
        <f>MIN(MAX(L1836*(1+MAX(MIN(((B1837-B1836)/B1836)/($K$7*卓尔金历!$N$40),0),-卓尔金历!$M$43))+MIN(MAX(((B1837-B1836)/B1836)/($K$7*卓尔金历!$N$40),0),卓尔金历!$M$43),0),1)</f>
        <v>0.2254423271766253</v>
      </c>
      <c r="M1837" s="4">
        <f>MIN(MAX(M1836*(1+MAX(MIN(((B1837-B1836)/B1836)/($K$7*30),0),-卓尔金历!$M$43))+MIN(MAX(((B1837-B1836)/B1836)/($K$7*7),0),卓尔金历!$M$43),0),1)</f>
        <v>0.6953583035499834</v>
      </c>
      <c r="N1837">
        <f t="shared" si="233"/>
        <v>782.67463842456198</v>
      </c>
      <c r="O1837">
        <f t="shared" si="234"/>
        <v>2043.6054477448813</v>
      </c>
      <c r="P1837">
        <f t="shared" si="235"/>
        <v>-1.5070925779327719E-2</v>
      </c>
      <c r="Q1837">
        <f t="shared" si="236"/>
        <v>2.6727604873837515E-2</v>
      </c>
      <c r="R1837">
        <f t="shared" si="237"/>
        <v>0.61501721680023158</v>
      </c>
      <c r="S1837">
        <f t="shared" si="229"/>
        <v>16.549551351623982</v>
      </c>
      <c r="T1837" s="564">
        <f>IF((I1837-MAX(I$470:I1837))/MAX(I$470:I1837)&gt;T1836,T1836,(I1837-MAX(I$470:I1837))/MAX(I$470:I1837))</f>
        <v>-0.91338805338419748</v>
      </c>
      <c r="U1837" s="564">
        <f>IF((J1837-MAX(J$470:J1837))/MAX(J$470:J1837)&gt;U1836,U1836,(J1837-MAX(J$470:J1837))/MAX(J$470:J1837))</f>
        <v>-0.8283551177402233</v>
      </c>
      <c r="V1837" s="564">
        <f>IF((K1837-MAX(K$470:K1837))/MAX(K$470:K1837)&gt;V1836,V1836,(K1837-MAX(K$470:K1837))/MAX(K$470:K1837))</f>
        <v>-0.84885940676762139</v>
      </c>
      <c r="W1837" s="564">
        <f>IF((N1837-MAX(N$470:N1837))/MAX(N$470:N1837)&gt;W1836,W1836,(N1837-MAX(N$470:N1837))/MAX(N$470:N1837))</f>
        <v>-0.62788758315546067</v>
      </c>
      <c r="X1837" s="564">
        <f>IF((O1837-MAX(O$470:O1837))/MAX(O$470:O1837)&gt;X1836,X1836,(O1837-MAX(O$470:O1837))/MAX(O$470:O1837))</f>
        <v>-0.62788758315546067</v>
      </c>
    </row>
    <row r="1838" spans="1:24">
      <c r="A1838" s="799">
        <v>42240</v>
      </c>
      <c r="B1838">
        <v>226.995</v>
      </c>
      <c r="C1838">
        <v>429.43083899999999</v>
      </c>
      <c r="D1838">
        <v>0.75213200000000002</v>
      </c>
      <c r="E1838">
        <f>LN(D1838/参数实验室!$E$53)/参数实验室!$E$55</f>
        <v>-1.0290132645444983</v>
      </c>
      <c r="F1838">
        <f t="shared" si="228"/>
        <v>1.8918074803409766</v>
      </c>
      <c r="G1838">
        <f>LN(F1838/参数实验室!$E$58)/参数实验室!$E$59</f>
        <v>0.14408159624648392</v>
      </c>
      <c r="H1838" s="856">
        <f>INDEX(神经网络!$G$10:$BO$70,MATCH(ROUND(G1838*2,1)/2,神经网络!$E$10:$E$70,0),MATCH(ROUND(E1838*2,1)/2,神经网络!$G$8:$BO$8,0))</f>
        <v>-6.8024401657245451E-2</v>
      </c>
      <c r="I1838">
        <f t="shared" si="230"/>
        <v>988.20422232559588</v>
      </c>
      <c r="J1838">
        <f t="shared" si="231"/>
        <v>90.57699213918022</v>
      </c>
      <c r="K1838">
        <f t="shared" si="232"/>
        <v>10.91010199154246</v>
      </c>
      <c r="L1838" s="4">
        <f>MIN(MAX(L1837*(1+MAX(MIN(((B1838-B1837)/B1837)/($K$7*卓尔金历!$N$40),0),-卓尔金历!$M$43))+MIN(MAX(((B1838-B1837)/B1837)/($K$7*卓尔金历!$N$40),0),卓尔金历!$M$43),0),1)</f>
        <v>0.17788350921879834</v>
      </c>
      <c r="M1838" s="4">
        <f>MIN(MAX(M1837*(1+MAX(MIN(((B1838-B1837)/B1837)/($K$7*30),0),-卓尔金历!$M$43))+MIN(MAX(((B1838-B1837)/B1837)/($K$7*7),0),卓尔金历!$M$43),0),1)</f>
        <v>0.6220126736761229</v>
      </c>
      <c r="N1838">
        <f t="shared" si="233"/>
        <v>782.7476391700277</v>
      </c>
      <c r="O1838">
        <f t="shared" si="234"/>
        <v>2044.1933650879669</v>
      </c>
      <c r="P1838">
        <f t="shared" si="235"/>
        <v>-1.3807006034591361E-2</v>
      </c>
      <c r="Q1838">
        <f t="shared" si="236"/>
        <v>2.6451026527947254E-2</v>
      </c>
      <c r="R1838">
        <f t="shared" si="237"/>
        <v>0.69422254451411813</v>
      </c>
      <c r="S1838">
        <f t="shared" si="229"/>
        <v>16.553762340297475</v>
      </c>
      <c r="T1838" s="564">
        <f>IF((I1838-MAX(I$470:I1838))/MAX(I$470:I1838)&gt;T1837,T1837,(I1838-MAX(I$470:I1838))/MAX(I$470:I1838))</f>
        <v>-0.91338805338419748</v>
      </c>
      <c r="U1838" s="564">
        <f>IF((J1838-MAX(J$470:J1838))/MAX(J$470:J1838)&gt;U1837,U1837,(J1838-MAX(J$470:J1838))/MAX(J$470:J1838))</f>
        <v>-0.8283551177402233</v>
      </c>
      <c r="V1838" s="564">
        <f>IF((K1838-MAX(K$470:K1838))/MAX(K$470:K1838)&gt;V1837,V1837,(K1838-MAX(K$470:K1838))/MAX(K$470:K1838))</f>
        <v>-0.84885940676762139</v>
      </c>
      <c r="W1838" s="564">
        <f>IF((N1838-MAX(N$470:N1838))/MAX(N$470:N1838)&gt;W1837,W1837,(N1838-MAX(N$470:N1838))/MAX(N$470:N1838))</f>
        <v>-0.62788758315546067</v>
      </c>
      <c r="X1838" s="564">
        <f>IF((O1838-MAX(O$470:O1838))/MAX(O$470:O1838)&gt;X1837,X1837,(O1838-MAX(O$470:O1838))/MAX(O$470:O1838))</f>
        <v>-0.62788758315546067</v>
      </c>
    </row>
    <row r="1839" spans="1:24">
      <c r="A1839" s="799">
        <v>42241</v>
      </c>
      <c r="B1839">
        <v>203.863</v>
      </c>
      <c r="C1839">
        <v>432.39648999999997</v>
      </c>
      <c r="D1839">
        <v>0.79407499999999998</v>
      </c>
      <c r="E1839">
        <f>LN(D1839/参数实验室!$E$53)/参数实验室!$E$55</f>
        <v>-0.96499268680438866</v>
      </c>
      <c r="F1839">
        <f t="shared" si="228"/>
        <v>2.1210150444170841</v>
      </c>
      <c r="G1839">
        <f>LN(F1839/参数实验室!$E$58)/参数实验室!$E$59</f>
        <v>0.20410498463646115</v>
      </c>
      <c r="H1839" s="856">
        <f>INDEX(神经网络!$G$10:$BO$70,MATCH(ROUND(G1839*2,1)/2,神经网络!$E$10:$E$70,0),MATCH(ROUND(E1839*2,1)/2,神经网络!$G$8:$BO$8,0))</f>
        <v>-3.1040164896446166E-2</v>
      </c>
      <c r="I1839">
        <f t="shared" si="230"/>
        <v>995.05450240100618</v>
      </c>
      <c r="J1839">
        <f t="shared" si="231"/>
        <v>81.346714017796401</v>
      </c>
      <c r="K1839">
        <f t="shared" si="232"/>
        <v>12.232264258188916</v>
      </c>
      <c r="L1839" s="4">
        <f>MIN(MAX(L1838*(1+MAX(MIN(((B1839-B1838)/B1838)/($K$7*卓尔金历!$N$40),0),-卓尔金历!$M$43))+MIN(MAX(((B1839-B1838)/B1838)/($K$7*卓尔金历!$N$40),0),卓尔金历!$M$43),0),1)</f>
        <v>0</v>
      </c>
      <c r="M1839" s="4">
        <f>MIN(MAX(M1838*(1+MAX(MIN(((B1839-B1838)/B1838)/($K$7*30),0),-卓尔金历!$M$43))+MIN(MAX(((B1839-B1838)/B1838)/($K$7*7),0),卓尔金历!$M$43),0),1)</f>
        <v>0.1377709476310916</v>
      </c>
      <c r="N1839">
        <f t="shared" si="233"/>
        <v>783.71284309169403</v>
      </c>
      <c r="O1839">
        <f t="shared" si="234"/>
        <v>2053.0075636713159</v>
      </c>
      <c r="P1839">
        <f t="shared" si="235"/>
        <v>-0.10190532831119631</v>
      </c>
      <c r="Q1839">
        <f t="shared" si="236"/>
        <v>3.2776863022151784E-2</v>
      </c>
      <c r="R1839">
        <f t="shared" si="237"/>
        <v>0</v>
      </c>
      <c r="S1839">
        <f t="shared" si="229"/>
        <v>16.633425412653228</v>
      </c>
      <c r="T1839" s="564">
        <f>IF((I1839-MAX(I$470:I1839))/MAX(I$470:I1839)&gt;T1838,T1838,(I1839-MAX(I$470:I1839))/MAX(I$470:I1839))</f>
        <v>-0.91338805338419748</v>
      </c>
      <c r="U1839" s="564">
        <f>IF((J1839-MAX(J$470:J1839))/MAX(J$470:J1839)&gt;U1838,U1838,(J1839-MAX(J$470:J1839))/MAX(J$470:J1839))</f>
        <v>-0.8283551177402233</v>
      </c>
      <c r="V1839" s="564">
        <f>IF((K1839-MAX(K$470:K1839))/MAX(K$470:K1839)&gt;V1838,V1838,(K1839-MAX(K$470:K1839))/MAX(K$470:K1839))</f>
        <v>-0.84885940676762139</v>
      </c>
      <c r="W1839" s="564">
        <f>IF((N1839-MAX(N$470:N1839))/MAX(N$470:N1839)&gt;W1838,W1838,(N1839-MAX(N$470:N1839))/MAX(N$470:N1839))</f>
        <v>-0.62788758315546067</v>
      </c>
      <c r="X1839" s="564">
        <f>IF((O1839-MAX(O$470:O1839))/MAX(O$470:O1839)&gt;X1838,X1838,(O1839-MAX(O$470:O1839))/MAX(O$470:O1839))</f>
        <v>-0.62788758315546067</v>
      </c>
    </row>
    <row r="1840" spans="1:24">
      <c r="A1840" s="799">
        <v>42242</v>
      </c>
      <c r="B1840">
        <v>224.63900000000001</v>
      </c>
      <c r="C1840">
        <v>429.25816800000001</v>
      </c>
      <c r="D1840">
        <v>0.808145</v>
      </c>
      <c r="E1840">
        <f>LN(D1840/参数实验室!$E$53)/参数实验室!$E$55</f>
        <v>-0.94427199320679489</v>
      </c>
      <c r="F1840">
        <f t="shared" si="228"/>
        <v>1.9108799807691452</v>
      </c>
      <c r="G1840">
        <f>LN(F1840/参数实验室!$E$58)/参数实验室!$E$59</f>
        <v>0.14934648483020391</v>
      </c>
      <c r="H1840" s="856">
        <f>INDEX(神经网络!$G$10:$BO$70,MATCH(ROUND(G1840*2,1)/2,神经网络!$E$10:$E$70,0),MATCH(ROUND(E1840*2,1)/2,神经网络!$G$8:$BO$8,0))</f>
        <v>-2.996477770490634E-2</v>
      </c>
      <c r="I1840">
        <f t="shared" si="230"/>
        <v>991.90679456958071</v>
      </c>
      <c r="J1840">
        <f t="shared" si="231"/>
        <v>89.636885998164288</v>
      </c>
      <c r="K1840">
        <f t="shared" si="232"/>
        <v>11.065832815632332</v>
      </c>
      <c r="L1840" s="4">
        <f>MIN(MAX(L1839*(1+MAX(MIN(((B1840-B1839)/B1839)/($K$7*卓尔金历!$N$40),0),-卓尔金历!$M$43))+MIN(MAX(((B1840-B1839)/B1839)/($K$7*卓尔金历!$N$40),0),卓尔金历!$M$43),0),1)</f>
        <v>1</v>
      </c>
      <c r="M1840" s="4">
        <f>MIN(MAX(M1839*(1+MAX(MIN(((B1840-B1839)/B1839)/($K$7*30),0),-卓尔金历!$M$43))+MIN(MAX(((B1840-B1839)/B1839)/($K$7*7),0),卓尔金历!$M$43),0),1)</f>
        <v>1</v>
      </c>
      <c r="N1840">
        <f t="shared" si="233"/>
        <v>783.71284309169403</v>
      </c>
      <c r="O1840">
        <f t="shared" si="234"/>
        <v>2052.1128259638344</v>
      </c>
      <c r="P1840">
        <f t="shared" si="235"/>
        <v>0.10191157787337581</v>
      </c>
      <c r="Q1840">
        <f t="shared" si="236"/>
        <v>4.0937809612013501E-2</v>
      </c>
      <c r="R1840">
        <f t="shared" si="237"/>
        <v>2.8826766808626816E-3</v>
      </c>
      <c r="S1840">
        <f t="shared" si="229"/>
        <v>16.633425412653228</v>
      </c>
      <c r="T1840" s="564">
        <f>IF((I1840-MAX(I$470:I1840))/MAX(I$470:I1840)&gt;T1839,T1839,(I1840-MAX(I$470:I1840))/MAX(I$470:I1840))</f>
        <v>-0.91338805338419748</v>
      </c>
      <c r="U1840" s="564">
        <f>IF((J1840-MAX(J$470:J1840))/MAX(J$470:J1840)&gt;U1839,U1839,(J1840-MAX(J$470:J1840))/MAX(J$470:J1840))</f>
        <v>-0.8283551177402233</v>
      </c>
      <c r="V1840" s="564">
        <f>IF((K1840-MAX(K$470:K1840))/MAX(K$470:K1840)&gt;V1839,V1839,(K1840-MAX(K$470:K1840))/MAX(K$470:K1840))</f>
        <v>-0.84885940676762139</v>
      </c>
      <c r="W1840" s="564">
        <f>IF((N1840-MAX(N$470:N1840))/MAX(N$470:N1840)&gt;W1839,W1839,(N1840-MAX(N$470:N1840))/MAX(N$470:N1840))</f>
        <v>-0.62788758315546067</v>
      </c>
      <c r="X1840" s="564">
        <f>IF((O1840-MAX(O$470:O1840))/MAX(O$470:O1840)&gt;X1839,X1839,(O1840-MAX(O$470:O1840))/MAX(O$470:O1840))</f>
        <v>-0.62788758315546067</v>
      </c>
    </row>
    <row r="1841" spans="1:24">
      <c r="A1841" s="799">
        <v>42243</v>
      </c>
      <c r="B1841">
        <v>227.369</v>
      </c>
      <c r="C1841">
        <v>429.29178400000001</v>
      </c>
      <c r="D1841">
        <v>0.80418100000000003</v>
      </c>
      <c r="E1841">
        <f>LN(D1841/参数实验室!$E$53)/参数实验室!$E$55</f>
        <v>-0.9500729928577567</v>
      </c>
      <c r="F1841">
        <f t="shared" si="228"/>
        <v>1.888084057193373</v>
      </c>
      <c r="G1841">
        <f>LN(F1841/参数实验室!$E$58)/参数实验室!$E$59</f>
        <v>0.14304756957888359</v>
      </c>
      <c r="H1841" s="856">
        <f>INDEX(神经网络!$G$10:$BO$70,MATCH(ROUND(G1841*2,1)/2,神经网络!$E$10:$E$70,0),MATCH(ROUND(E1841*2,1)/2,神经网络!$G$8:$BO$8,0))</f>
        <v>-2.996477770490634E-2</v>
      </c>
      <c r="I1841">
        <f t="shared" si="230"/>
        <v>991.54558486055021</v>
      </c>
      <c r="J1841">
        <f t="shared" si="231"/>
        <v>90.726228003670855</v>
      </c>
      <c r="K1841">
        <f t="shared" si="232"/>
        <v>10.928984998918191</v>
      </c>
      <c r="L1841" s="4">
        <f>MIN(MAX(L1840*(1+MAX(MIN(((B1841-B1840)/B1840)/($K$7*卓尔金历!$N$40),0),-卓尔金历!$M$43))+MIN(MAX(((B1841-B1840)/B1840)/($K$7*卓尔金历!$N$40),0),卓尔金历!$M$43),0),1)</f>
        <v>1</v>
      </c>
      <c r="M1841" s="4">
        <f>MIN(MAX(M1840*(1+MAX(MIN(((B1841-B1840)/B1840)/($K$7*30),0),-卓尔金历!$M$43))+MIN(MAX(((B1841-B1840)/B1840)/($K$7*7),0),卓尔金历!$M$43),0),1)</f>
        <v>1</v>
      </c>
      <c r="N1841">
        <f t="shared" si="233"/>
        <v>783.42744864781434</v>
      </c>
      <c r="O1841">
        <f t="shared" si="234"/>
        <v>2051.3655349070314</v>
      </c>
      <c r="P1841">
        <f t="shared" si="235"/>
        <v>1.2152831876922484E-2</v>
      </c>
      <c r="Q1841">
        <f t="shared" si="236"/>
        <v>4.1215704051430935E-2</v>
      </c>
      <c r="R1841">
        <f t="shared" si="237"/>
        <v>1</v>
      </c>
      <c r="S1841">
        <f t="shared" si="229"/>
        <v>16.633407951771119</v>
      </c>
      <c r="T1841" s="564">
        <f>IF((I1841-MAX(I$470:I1841))/MAX(I$470:I1841)&gt;T1840,T1840,(I1841-MAX(I$470:I1841))/MAX(I$470:I1841))</f>
        <v>-0.91338805338419748</v>
      </c>
      <c r="U1841" s="564">
        <f>IF((J1841-MAX(J$470:J1841))/MAX(J$470:J1841)&gt;U1840,U1840,(J1841-MAX(J$470:J1841))/MAX(J$470:J1841))</f>
        <v>-0.8283551177402233</v>
      </c>
      <c r="V1841" s="564">
        <f>IF((K1841-MAX(K$470:K1841))/MAX(K$470:K1841)&gt;V1840,V1840,(K1841-MAX(K$470:K1841))/MAX(K$470:K1841))</f>
        <v>-0.84885940676762139</v>
      </c>
      <c r="W1841" s="564">
        <f>IF((N1841-MAX(N$470:N1841))/MAX(N$470:N1841)&gt;W1840,W1840,(N1841-MAX(N$470:N1841))/MAX(N$470:N1841))</f>
        <v>-0.62788758315546067</v>
      </c>
      <c r="X1841" s="564">
        <f>IF((O1841-MAX(O$470:O1841))/MAX(O$470:O1841)&gt;X1840,X1840,(O1841-MAX(O$470:O1841))/MAX(O$470:O1841))</f>
        <v>-0.62788758315546067</v>
      </c>
    </row>
    <row r="1842" spans="1:24">
      <c r="A1842" s="799">
        <v>42244</v>
      </c>
      <c r="B1842">
        <v>221.51499999999999</v>
      </c>
      <c r="C1842">
        <v>428.78465299999999</v>
      </c>
      <c r="D1842">
        <v>0.82998899999999998</v>
      </c>
      <c r="E1842">
        <f>LN(D1842/参数实验室!$E$53)/参数实验室!$E$55</f>
        <v>-0.91280685363171432</v>
      </c>
      <c r="F1842">
        <f t="shared" si="228"/>
        <v>1.9356912759858249</v>
      </c>
      <c r="G1842">
        <f>LN(F1842/参数实验室!$E$58)/参数实验室!$E$59</f>
        <v>0.15611744439078731</v>
      </c>
      <c r="H1842" s="856">
        <f>INDEX(神经网络!$G$10:$BO$70,MATCH(ROUND(G1842*2,1)/2,神经网络!$E$10:$E$70,0),MATCH(ROUND(E1842*2,1)/2,神经网络!$G$8:$BO$8,0))</f>
        <v>-4.5496982226918441E-2</v>
      </c>
      <c r="I1842">
        <f t="shared" si="230"/>
        <v>992.31055628376396</v>
      </c>
      <c r="J1842">
        <f t="shared" si="231"/>
        <v>88.390327600654217</v>
      </c>
      <c r="K1842">
        <f t="shared" si="232"/>
        <v>11.226460894759931</v>
      </c>
      <c r="L1842" s="4">
        <f>MIN(MAX(L1841*(1+MAX(MIN(((B1842-B1841)/B1841)/($K$7*卓尔金历!$N$40),0),-卓尔金历!$M$43))+MIN(MAX(((B1842-B1841)/B1841)/($K$7*卓尔金历!$N$40),0),卓尔金历!$M$43),0),1)</f>
        <v>0.60661522750926555</v>
      </c>
      <c r="M1842" s="4">
        <f>MIN(MAX(M1841*(1+MAX(MIN(((B1842-B1841)/B1841)/($K$7*30),0),-卓尔金历!$M$43))+MIN(MAX(((B1842-B1841)/B1841)/($K$7*7),0),卓尔金历!$M$43),0),1)</f>
        <v>0.80330761375463278</v>
      </c>
      <c r="N1842">
        <f t="shared" si="233"/>
        <v>784.03185818735267</v>
      </c>
      <c r="O1842">
        <f t="shared" si="234"/>
        <v>2052.9481510133701</v>
      </c>
      <c r="P1842">
        <f t="shared" si="235"/>
        <v>-2.5746693700548506E-2</v>
      </c>
      <c r="Q1842">
        <f t="shared" si="236"/>
        <v>4.1365379820157214E-2</v>
      </c>
      <c r="R1842">
        <f t="shared" si="237"/>
        <v>0.53489571454179052</v>
      </c>
      <c r="S1842">
        <f t="shared" si="229"/>
        <v>16.646240525429899</v>
      </c>
      <c r="T1842" s="564">
        <f>IF((I1842-MAX(I$470:I1842))/MAX(I$470:I1842)&gt;T1841,T1841,(I1842-MAX(I$470:I1842))/MAX(I$470:I1842))</f>
        <v>-0.91338805338419748</v>
      </c>
      <c r="U1842" s="564">
        <f>IF((J1842-MAX(J$470:J1842))/MAX(J$470:J1842)&gt;U1841,U1841,(J1842-MAX(J$470:J1842))/MAX(J$470:J1842))</f>
        <v>-0.8283551177402233</v>
      </c>
      <c r="V1842" s="564">
        <f>IF((K1842-MAX(K$470:K1842))/MAX(K$470:K1842)&gt;V1841,V1841,(K1842-MAX(K$470:K1842))/MAX(K$470:K1842))</f>
        <v>-0.84885940676762139</v>
      </c>
      <c r="W1842" s="564">
        <f>IF((N1842-MAX(N$470:N1842))/MAX(N$470:N1842)&gt;W1841,W1841,(N1842-MAX(N$470:N1842))/MAX(N$470:N1842))</f>
        <v>-0.62788758315546067</v>
      </c>
      <c r="X1842" s="564">
        <f>IF((O1842-MAX(O$470:O1842))/MAX(O$470:O1842)&gt;X1841,X1841,(O1842-MAX(O$470:O1842))/MAX(O$470:O1842))</f>
        <v>-0.62788758315546067</v>
      </c>
    </row>
    <row r="1843" spans="1:24">
      <c r="A1843" s="799">
        <v>42245</v>
      </c>
      <c r="B1843">
        <v>232.35300000000001</v>
      </c>
      <c r="C1843">
        <v>421.66753</v>
      </c>
      <c r="D1843">
        <v>0.82198800000000005</v>
      </c>
      <c r="E1843">
        <f>LN(D1843/参数实验室!$E$53)/参数实验室!$E$55</f>
        <v>-0.92423471190405471</v>
      </c>
      <c r="F1843">
        <f t="shared" si="228"/>
        <v>1.8147711886655218</v>
      </c>
      <c r="G1843">
        <f>LN(F1843/参数实验室!$E$58)/参数实验室!$E$59</f>
        <v>0.12226167223247775</v>
      </c>
      <c r="H1843" s="856">
        <f>INDEX(神经网络!$G$10:$BO$70,MATCH(ROUND(G1843*2,1)/2,神经网络!$E$10:$E$70,0),MATCH(ROUND(E1843*2,1)/2,神经网络!$G$8:$BO$8,0))</f>
        <v>-6.5486849937294242E-2</v>
      </c>
      <c r="I1843">
        <f t="shared" si="230"/>
        <v>990.10165549970532</v>
      </c>
      <c r="J1843">
        <f t="shared" si="231"/>
        <v>92.714975459877721</v>
      </c>
      <c r="K1843">
        <f t="shared" si="232"/>
        <v>10.678983094032857</v>
      </c>
      <c r="L1843" s="4">
        <f>MIN(MAX(L1842*(1+MAX(MIN(((B1843-B1842)/B1842)/($K$7*卓尔金历!$N$40),0),-卓尔金历!$M$43))+MIN(MAX(((B1843-B1842)/B1842)/($K$7*卓尔金历!$N$40),0),卓尔金历!$M$43),0),1)</f>
        <v>1</v>
      </c>
      <c r="M1843" s="4">
        <f>MIN(MAX(M1842*(1+MAX(MIN(((B1843-B1842)/B1842)/($K$7*30),0),-卓尔金历!$M$43))+MIN(MAX(((B1843-B1842)/B1842)/($K$7*7),0),卓尔金历!$M$43),0),1)</f>
        <v>1</v>
      </c>
      <c r="N1843">
        <f t="shared" si="233"/>
        <v>782.97315159844925</v>
      </c>
      <c r="O1843">
        <f t="shared" si="234"/>
        <v>2049.2771165456097</v>
      </c>
      <c r="P1843">
        <f t="shared" si="235"/>
        <v>4.8926709252195215E-2</v>
      </c>
      <c r="Q1843">
        <f t="shared" si="236"/>
        <v>4.3172779286417523E-2</v>
      </c>
      <c r="R1843">
        <f t="shared" si="237"/>
        <v>3.6190022245683622E-2</v>
      </c>
      <c r="S1843">
        <f t="shared" si="229"/>
        <v>16.626420058474721</v>
      </c>
      <c r="T1843" s="564">
        <f>IF((I1843-MAX(I$470:I1843))/MAX(I$470:I1843)&gt;T1842,T1842,(I1843-MAX(I$470:I1843))/MAX(I$470:I1843))</f>
        <v>-0.91338805338419748</v>
      </c>
      <c r="U1843" s="564">
        <f>IF((J1843-MAX(J$470:J1843))/MAX(J$470:J1843)&gt;U1842,U1842,(J1843-MAX(J$470:J1843))/MAX(J$470:J1843))</f>
        <v>-0.8283551177402233</v>
      </c>
      <c r="V1843" s="564">
        <f>IF((K1843-MAX(K$470:K1843))/MAX(K$470:K1843)&gt;V1842,V1842,(K1843-MAX(K$470:K1843))/MAX(K$470:K1843))</f>
        <v>-0.84885940676762139</v>
      </c>
      <c r="W1843" s="564">
        <f>IF((N1843-MAX(N$470:N1843))/MAX(N$470:N1843)&gt;W1842,W1842,(N1843-MAX(N$470:N1843))/MAX(N$470:N1843))</f>
        <v>-0.62788758315546067</v>
      </c>
      <c r="X1843" s="564">
        <f>IF((O1843-MAX(O$470:O1843))/MAX(O$470:O1843)&gt;X1842,X1842,(O1843-MAX(O$470:O1843))/MAX(O$470:O1843))</f>
        <v>-0.62788758315546067</v>
      </c>
    </row>
    <row r="1844" spans="1:24">
      <c r="A1844" s="799">
        <v>42246</v>
      </c>
      <c r="B1844">
        <v>230.46199999999999</v>
      </c>
      <c r="C1844">
        <v>422.302976</v>
      </c>
      <c r="D1844">
        <v>0.819272</v>
      </c>
      <c r="E1844">
        <f>LN(D1844/参数实验室!$E$53)/参数实验室!$E$55</f>
        <v>-0.92813928855307948</v>
      </c>
      <c r="F1844">
        <f t="shared" si="228"/>
        <v>1.8324191233261884</v>
      </c>
      <c r="G1844">
        <f>LN(F1844/参数实验室!$E$58)/参数实验室!$E$59</f>
        <v>0.12734101351055527</v>
      </c>
      <c r="H1844" s="856">
        <f>INDEX(神经网络!$G$10:$BO$70,MATCH(ROUND(G1844*2,1)/2,神经网络!$E$10:$E$70,0),MATCH(ROUND(E1844*2,1)/2,神经网络!$G$8:$BO$8,0))</f>
        <v>-2.996477770490634E-2</v>
      </c>
      <c r="I1844">
        <f t="shared" si="230"/>
        <v>990.62934339472838</v>
      </c>
      <c r="J1844">
        <f t="shared" si="231"/>
        <v>91.960416583535988</v>
      </c>
      <c r="K1844">
        <f t="shared" si="232"/>
        <v>10.772345104535818</v>
      </c>
      <c r="L1844" s="4">
        <f>MIN(MAX(L1843*(1+MAX(MIN(((B1844-B1843)/B1843)/($K$7*卓尔金历!$N$40),0),-卓尔金历!$M$43))+MIN(MAX(((B1844-B1843)/B1843)/($K$7*卓尔金历!$N$40),0),卓尔金历!$M$43),0),1)</f>
        <v>0.87565185152310943</v>
      </c>
      <c r="M1844" s="4">
        <f>MIN(MAX(M1843*(1+MAX(MIN(((B1844-B1843)/B1843)/($K$7*30),0),-卓尔金历!$M$43))+MIN(MAX(((B1844-B1843)/B1843)/($K$7*7),0),卓尔金历!$M$43),0),1)</f>
        <v>0.93782592576155466</v>
      </c>
      <c r="N1844">
        <f t="shared" si="233"/>
        <v>783.39044759218041</v>
      </c>
      <c r="O1844">
        <f t="shared" si="234"/>
        <v>2050.3693061424478</v>
      </c>
      <c r="P1844">
        <f t="shared" si="235"/>
        <v>-8.1384789522838934E-3</v>
      </c>
      <c r="Q1844">
        <f t="shared" si="236"/>
        <v>4.1334100373205042E-2</v>
      </c>
      <c r="R1844">
        <f t="shared" si="237"/>
        <v>1</v>
      </c>
      <c r="S1844">
        <f t="shared" si="229"/>
        <v>16.626740748124732</v>
      </c>
      <c r="T1844" s="564">
        <f>IF((I1844-MAX(I$470:I1844))/MAX(I$470:I1844)&gt;T1843,T1843,(I1844-MAX(I$470:I1844))/MAX(I$470:I1844))</f>
        <v>-0.91338805338419748</v>
      </c>
      <c r="U1844" s="564">
        <f>IF((J1844-MAX(J$470:J1844))/MAX(J$470:J1844)&gt;U1843,U1843,(J1844-MAX(J$470:J1844))/MAX(J$470:J1844))</f>
        <v>-0.8283551177402233</v>
      </c>
      <c r="V1844" s="564">
        <f>IF((K1844-MAX(K$470:K1844))/MAX(K$470:K1844)&gt;V1843,V1843,(K1844-MAX(K$470:K1844))/MAX(K$470:K1844))</f>
        <v>-0.84885940676762139</v>
      </c>
      <c r="W1844" s="564">
        <f>IF((N1844-MAX(N$470:N1844))/MAX(N$470:N1844)&gt;W1843,W1843,(N1844-MAX(N$470:N1844))/MAX(N$470:N1844))</f>
        <v>-0.62788758315546067</v>
      </c>
      <c r="X1844" s="564">
        <f>IF((O1844-MAX(O$470:O1844))/MAX(O$470:O1844)&gt;X1843,X1843,(O1844-MAX(O$470:O1844))/MAX(O$470:O1844))</f>
        <v>-0.62788758315546067</v>
      </c>
    </row>
    <row r="1845" spans="1:24">
      <c r="A1845" s="799">
        <v>42247</v>
      </c>
      <c r="B1845">
        <v>227.65700000000001</v>
      </c>
      <c r="C1845">
        <v>422.09895699999998</v>
      </c>
      <c r="D1845">
        <v>0.82540199999999997</v>
      </c>
      <c r="E1845">
        <f>LN(D1845/参数实验室!$E$53)/参数实验室!$E$55</f>
        <v>-0.9193449367556773</v>
      </c>
      <c r="F1845">
        <f t="shared" si="228"/>
        <v>1.8541004976785249</v>
      </c>
      <c r="G1845">
        <f>LN(F1845/参数实验室!$E$58)/参数实验室!$E$59</f>
        <v>0.13351468915276912</v>
      </c>
      <c r="H1845" s="856">
        <f>INDEX(神经网络!$G$10:$BO$70,MATCH(ROUND(G1845*2,1)/2,神经网络!$E$10:$E$70,0),MATCH(ROUND(E1845*2,1)/2,神经网络!$G$8:$BO$8,0))</f>
        <v>-4.5496982226918441E-2</v>
      </c>
      <c r="I1845">
        <f t="shared" si="230"/>
        <v>990.99063326688122</v>
      </c>
      <c r="J1845">
        <f t="shared" si="231"/>
        <v>90.841147599856171</v>
      </c>
      <c r="K1845">
        <f t="shared" si="232"/>
        <v>10.909050132568451</v>
      </c>
      <c r="L1845" s="4">
        <f>MIN(MAX(L1844*(1+MAX(MIN(((B1845-B1844)/B1844)/($K$7*卓尔金历!$N$40),0),-卓尔金历!$M$43))+MIN(MAX(((B1845-B1844)/B1844)/($K$7*卓尔金历!$N$40),0),卓尔金历!$M$43),0),1)</f>
        <v>0.71281185371478784</v>
      </c>
      <c r="M1845" s="4">
        <f>MIN(MAX(M1844*(1+MAX(MIN(((B1845-B1844)/B1844)/($K$7*30),0),-卓尔金历!$M$43))+MIN(MAX(((B1845-B1844)/B1844)/($K$7*7),0),卓尔金历!$M$43),0),1)</f>
        <v>0.85062484725645859</v>
      </c>
      <c r="N1845">
        <f t="shared" si="233"/>
        <v>783.64062860204842</v>
      </c>
      <c r="O1845">
        <f t="shared" si="234"/>
        <v>2051.070598208556</v>
      </c>
      <c r="P1845">
        <f t="shared" si="235"/>
        <v>-1.2171203929498045E-2</v>
      </c>
      <c r="Q1845">
        <f t="shared" si="236"/>
        <v>4.1081052187165963E-2</v>
      </c>
      <c r="R1845">
        <f t="shared" si="237"/>
        <v>1</v>
      </c>
      <c r="S1845">
        <f t="shared" si="229"/>
        <v>16.632804643848459</v>
      </c>
      <c r="T1845" s="564">
        <f>IF((I1845-MAX(I$470:I1845))/MAX(I$470:I1845)&gt;T1844,T1844,(I1845-MAX(I$470:I1845))/MAX(I$470:I1845))</f>
        <v>-0.91338805338419748</v>
      </c>
      <c r="U1845" s="564">
        <f>IF((J1845-MAX(J$470:J1845))/MAX(J$470:J1845)&gt;U1844,U1844,(J1845-MAX(J$470:J1845))/MAX(J$470:J1845))</f>
        <v>-0.8283551177402233</v>
      </c>
      <c r="V1845" s="564">
        <f>IF((K1845-MAX(K$470:K1845))/MAX(K$470:K1845)&gt;V1844,V1844,(K1845-MAX(K$470:K1845))/MAX(K$470:K1845))</f>
        <v>-0.84885940676762139</v>
      </c>
      <c r="W1845" s="564">
        <f>IF((N1845-MAX(N$470:N1845))/MAX(N$470:N1845)&gt;W1844,W1844,(N1845-MAX(N$470:N1845))/MAX(N$470:N1845))</f>
        <v>-0.62788758315546067</v>
      </c>
      <c r="X1845" s="564">
        <f>IF((O1845-MAX(O$470:O1845))/MAX(O$470:O1845)&gt;X1844,X1844,(O1845-MAX(O$470:O1845))/MAX(O$470:O1845))</f>
        <v>-0.62788758315546067</v>
      </c>
    </row>
    <row r="1846" spans="1:24">
      <c r="A1846" s="799">
        <v>42248</v>
      </c>
      <c r="B1846">
        <v>230.863</v>
      </c>
      <c r="C1846">
        <v>421.603387</v>
      </c>
      <c r="D1846">
        <v>0.81598499999999996</v>
      </c>
      <c r="E1846">
        <f>LN(D1846/参数实验室!$E$53)/参数实验室!$E$55</f>
        <v>-0.93288209550718215</v>
      </c>
      <c r="F1846">
        <f t="shared" si="228"/>
        <v>1.8262059619774498</v>
      </c>
      <c r="G1846">
        <f>LN(F1846/参数实验室!$E$58)/参数实验室!$E$59</f>
        <v>0.12555837335856096</v>
      </c>
      <c r="H1846" s="856">
        <f>INDEX(神经网络!$G$10:$BO$70,MATCH(ROUND(G1846*2,1)/2,神经网络!$E$10:$E$70,0),MATCH(ROUND(E1846*2,1)/2,神经网络!$G$8:$BO$8,0))</f>
        <v>-2.996477770490634E-2</v>
      </c>
      <c r="I1846">
        <f t="shared" si="230"/>
        <v>990.35569039742632</v>
      </c>
      <c r="J1846">
        <f t="shared" si="231"/>
        <v>92.120426160169004</v>
      </c>
      <c r="K1846">
        <f t="shared" si="232"/>
        <v>10.750663361842284</v>
      </c>
      <c r="L1846" s="4">
        <f>MIN(MAX(L1845*(1+MAX(MIN(((B1846-B1845)/B1845)/($K$7*卓尔金历!$N$40),0),-卓尔金历!$M$43))+MIN(MAX(((B1846-B1845)/B1845)/($K$7*卓尔金历!$N$40),0),卓尔金历!$M$43),0),1)</f>
        <v>0.92798030200300829</v>
      </c>
      <c r="M1846" s="4">
        <f>MIN(MAX(M1845*(1+MAX(MIN(((B1846-B1845)/B1845)/($K$7*30),0),-卓尔金历!$M$43))+MIN(MAX(((B1846-B1845)/B1845)/($K$7*7),0),卓尔金历!$M$43),0),1)</f>
        <v>1</v>
      </c>
      <c r="N1846">
        <f t="shared" si="233"/>
        <v>783.28273250835252</v>
      </c>
      <c r="O1846">
        <f t="shared" si="234"/>
        <v>2049.9527475824061</v>
      </c>
      <c r="P1846">
        <f t="shared" si="235"/>
        <v>1.4082589158251179E-2</v>
      </c>
      <c r="Q1846">
        <f t="shared" si="236"/>
        <v>4.1315346868322292E-2</v>
      </c>
      <c r="R1846">
        <f t="shared" si="237"/>
        <v>1</v>
      </c>
      <c r="S1846">
        <f t="shared" si="229"/>
        <v>16.622147751287493</v>
      </c>
      <c r="T1846" s="564">
        <f>IF((I1846-MAX(I$470:I1846))/MAX(I$470:I1846)&gt;T1845,T1845,(I1846-MAX(I$470:I1846))/MAX(I$470:I1846))</f>
        <v>-0.91338805338419748</v>
      </c>
      <c r="U1846" s="564">
        <f>IF((J1846-MAX(J$470:J1846))/MAX(J$470:J1846)&gt;U1845,U1845,(J1846-MAX(J$470:J1846))/MAX(J$470:J1846))</f>
        <v>-0.8283551177402233</v>
      </c>
      <c r="V1846" s="564">
        <f>IF((K1846-MAX(K$470:K1846))/MAX(K$470:K1846)&gt;V1845,V1845,(K1846-MAX(K$470:K1846))/MAX(K$470:K1846))</f>
        <v>-0.84885940676762139</v>
      </c>
      <c r="W1846" s="564">
        <f>IF((N1846-MAX(N$470:N1846))/MAX(N$470:N1846)&gt;W1845,W1845,(N1846-MAX(N$470:N1846))/MAX(N$470:N1846))</f>
        <v>-0.62788758315546067</v>
      </c>
      <c r="X1846" s="564">
        <f>IF((O1846-MAX(O$470:O1846))/MAX(O$470:O1846)&gt;X1845,X1845,(O1846-MAX(O$470:O1846))/MAX(O$470:O1846))</f>
        <v>-0.62788758315546067</v>
      </c>
    </row>
    <row r="1847" spans="1:24">
      <c r="A1847" s="799">
        <v>42249</v>
      </c>
      <c r="B1847">
        <v>226.67500000000001</v>
      </c>
      <c r="C1847">
        <v>421.122839</v>
      </c>
      <c r="D1847">
        <v>0.82188399999999995</v>
      </c>
      <c r="E1847">
        <f>LN(D1847/参数实验室!$E$53)/参数实验室!$E$55</f>
        <v>-0.92438398671077571</v>
      </c>
      <c r="F1847">
        <f t="shared" si="228"/>
        <v>1.8578265754935479</v>
      </c>
      <c r="G1847">
        <f>LN(F1847/参数实验室!$E$58)/参数实验室!$E$59</f>
        <v>0.13456839932776066</v>
      </c>
      <c r="H1847" s="856">
        <f>INDEX(神经网络!$G$10:$BO$70,MATCH(ROUND(G1847*2,1)/2,神经网络!$E$10:$E$70,0),MATCH(ROUND(E1847*2,1)/2,神经网络!$G$8:$BO$8,0))</f>
        <v>-4.5496982226918441E-2</v>
      </c>
      <c r="I1847">
        <f t="shared" si="230"/>
        <v>990.89402785562095</v>
      </c>
      <c r="J1847">
        <f t="shared" si="231"/>
        <v>90.449303698974333</v>
      </c>
      <c r="K1847">
        <f t="shared" si="232"/>
        <v>10.955242189076767</v>
      </c>
      <c r="L1847" s="4">
        <f>MIN(MAX(L1846*(1+MAX(MIN(((B1847-B1846)/B1846)/($K$7*卓尔金历!$N$40),0),-卓尔金历!$M$43))+MIN(MAX(((B1847-B1846)/B1846)/($K$7*卓尔金历!$N$40),0),卓尔金历!$M$43),0),1)</f>
        <v>0.67077070188590793</v>
      </c>
      <c r="M1847" s="4">
        <f>MIN(MAX(M1846*(1+MAX(MIN(((B1847-B1846)/B1846)/($K$7*30),0),-卓尔金历!$M$43))+MIN(MAX(((B1847-B1846)/B1846)/($K$7*7),0),卓尔金历!$M$43),0),1)</f>
        <v>0.86141429965597127</v>
      </c>
      <c r="N1847">
        <f t="shared" si="233"/>
        <v>783.67784495296019</v>
      </c>
      <c r="O1847">
        <f t="shared" si="234"/>
        <v>2051.0670607148018</v>
      </c>
      <c r="P1847">
        <f t="shared" si="235"/>
        <v>-1.8140628857807393E-2</v>
      </c>
      <c r="Q1847">
        <f t="shared" si="236"/>
        <v>4.1154578718622825E-2</v>
      </c>
      <c r="R1847">
        <f t="shared" si="237"/>
        <v>0.89434117620776499</v>
      </c>
      <c r="S1847">
        <f t="shared" si="229"/>
        <v>16.631183216885283</v>
      </c>
      <c r="T1847" s="564">
        <f>IF((I1847-MAX(I$470:I1847))/MAX(I$470:I1847)&gt;T1846,T1846,(I1847-MAX(I$470:I1847))/MAX(I$470:I1847))</f>
        <v>-0.91338805338419748</v>
      </c>
      <c r="U1847" s="564">
        <f>IF((J1847-MAX(J$470:J1847))/MAX(J$470:J1847)&gt;U1846,U1846,(J1847-MAX(J$470:J1847))/MAX(J$470:J1847))</f>
        <v>-0.8283551177402233</v>
      </c>
      <c r="V1847" s="564">
        <f>IF((K1847-MAX(K$470:K1847))/MAX(K$470:K1847)&gt;V1846,V1846,(K1847-MAX(K$470:K1847))/MAX(K$470:K1847))</f>
        <v>-0.84885940676762139</v>
      </c>
      <c r="W1847" s="564">
        <f>IF((N1847-MAX(N$470:N1847))/MAX(N$470:N1847)&gt;W1846,W1846,(N1847-MAX(N$470:N1847))/MAX(N$470:N1847))</f>
        <v>-0.62788758315546067</v>
      </c>
      <c r="X1847" s="564">
        <f>IF((O1847-MAX(O$470:O1847))/MAX(O$470:O1847)&gt;X1846,X1846,(O1847-MAX(O$470:O1847))/MAX(O$470:O1847))</f>
        <v>-0.62788758315546067</v>
      </c>
    </row>
    <row r="1848" spans="1:24">
      <c r="A1848" s="799">
        <v>42250</v>
      </c>
      <c r="B1848">
        <v>229.589</v>
      </c>
      <c r="C1848">
        <v>418.63164399999999</v>
      </c>
      <c r="D1848">
        <v>0.813975</v>
      </c>
      <c r="E1848">
        <f>LN(D1848/参数实验室!$E$53)/参数实验室!$E$55</f>
        <v>-0.93579174386957675</v>
      </c>
      <c r="F1848">
        <f t="shared" si="228"/>
        <v>1.8233959118250438</v>
      </c>
      <c r="G1848">
        <f>LN(F1848/参数实验室!$E$58)/参数实验室!$E$59</f>
        <v>0.12475013918606541</v>
      </c>
      <c r="H1848" s="856">
        <f>INDEX(神经网络!$G$10:$BO$70,MATCH(ROUND(G1848*2,1)/2,神经网络!$E$10:$E$70,0),MATCH(ROUND(E1848*2,1)/2,神经网络!$G$8:$BO$8,0))</f>
        <v>-1.6113682648580298E-2</v>
      </c>
      <c r="I1848">
        <f t="shared" si="230"/>
        <v>990.31447143009291</v>
      </c>
      <c r="J1848">
        <f t="shared" si="231"/>
        <v>91.612066557599277</v>
      </c>
      <c r="K1848">
        <f t="shared" si="232"/>
        <v>10.809869361558963</v>
      </c>
      <c r="L1848" s="4">
        <f>MIN(MAX(L1847*(1+MAX(MIN(((B1848-B1847)/B1847)/($K$7*卓尔金历!$N$40),0),-卓尔金历!$M$43))+MIN(MAX(((B1848-B1847)/B1847)/($K$7*卓尔金历!$N$40),0),卓尔金历!$M$43),0),1)</f>
        <v>0.86718902610952919</v>
      </c>
      <c r="M1848" s="4">
        <f>MIN(MAX(M1847*(1+MAX(MIN(((B1848-B1847)/B1847)/($K$7*30),0),-卓尔金历!$M$43))+MIN(MAX(((B1848-B1847)/B1847)/($K$7*7),0),卓尔金历!$M$43),0),1)</f>
        <v>1</v>
      </c>
      <c r="N1848">
        <f t="shared" si="233"/>
        <v>783.37039093812757</v>
      </c>
      <c r="O1848">
        <f t="shared" si="234"/>
        <v>2050.0336797647587</v>
      </c>
      <c r="P1848">
        <f t="shared" si="235"/>
        <v>1.2855409727583488E-2</v>
      </c>
      <c r="Q1848">
        <f t="shared" si="236"/>
        <v>4.136951154296533E-2</v>
      </c>
      <c r="R1848">
        <f t="shared" si="237"/>
        <v>1</v>
      </c>
      <c r="S1848">
        <f t="shared" si="229"/>
        <v>16.622483704940482</v>
      </c>
      <c r="T1848" s="564">
        <f>IF((I1848-MAX(I$470:I1848))/MAX(I$470:I1848)&gt;T1847,T1847,(I1848-MAX(I$470:I1848))/MAX(I$470:I1848))</f>
        <v>-0.91338805338419748</v>
      </c>
      <c r="U1848" s="564">
        <f>IF((J1848-MAX(J$470:J1848))/MAX(J$470:J1848)&gt;U1847,U1847,(J1848-MAX(J$470:J1848))/MAX(J$470:J1848))</f>
        <v>-0.8283551177402233</v>
      </c>
      <c r="V1848" s="564">
        <f>IF((K1848-MAX(K$470:K1848))/MAX(K$470:K1848)&gt;V1847,V1847,(K1848-MAX(K$470:K1848))/MAX(K$470:K1848))</f>
        <v>-0.84885940676762139</v>
      </c>
      <c r="W1848" s="564">
        <f>IF((N1848-MAX(N$470:N1848))/MAX(N$470:N1848)&gt;W1847,W1847,(N1848-MAX(N$470:N1848))/MAX(N$470:N1848))</f>
        <v>-0.62788758315546067</v>
      </c>
      <c r="X1848" s="564">
        <f>IF((O1848-MAX(O$470:O1848))/MAX(O$470:O1848)&gt;X1847,X1847,(O1848-MAX(O$470:O1848))/MAX(O$470:O1848))</f>
        <v>-0.62788758315546067</v>
      </c>
    </row>
    <row r="1849" spans="1:24">
      <c r="A1849" s="799">
        <v>42251</v>
      </c>
      <c r="B1849">
        <v>227.93</v>
      </c>
      <c r="C1849">
        <v>412.57103899999998</v>
      </c>
      <c r="D1849">
        <v>0.82872400000000002</v>
      </c>
      <c r="E1849">
        <f>LN(D1849/参数实验室!$E$53)/参数实验室!$E$55</f>
        <v>-0.91460630675345223</v>
      </c>
      <c r="F1849">
        <f t="shared" si="228"/>
        <v>1.8100778265256876</v>
      </c>
      <c r="G1849">
        <f>LN(F1849/参数实验室!$E$58)/参数实验室!$E$59</f>
        <v>0.12090253619069581</v>
      </c>
      <c r="H1849" s="856">
        <f>INDEX(神经网络!$G$10:$BO$70,MATCH(ROUND(G1849*2,1)/2,神经网络!$E$10:$E$70,0),MATCH(ROUND(E1849*2,1)/2,神经网络!$G$8:$BO$8,0))</f>
        <v>-6.5486849937294242E-2</v>
      </c>
      <c r="I1849">
        <f t="shared" si="230"/>
        <v>990.42978043948642</v>
      </c>
      <c r="J1849">
        <f t="shared" si="231"/>
        <v>90.950081800406835</v>
      </c>
      <c r="K1849">
        <f t="shared" si="232"/>
        <v>10.889817368312208</v>
      </c>
      <c r="L1849" s="4">
        <f>MIN(MAX(L1848*(1+MAX(MIN(((B1849-B1848)/B1848)/($K$7*卓尔金历!$N$40),0),-卓尔金历!$M$43))+MIN(MAX(((B1849-B1848)/B1848)/($K$7*卓尔金历!$N$40),0),卓尔金历!$M$43),0),1)</f>
        <v>0.77144643837191096</v>
      </c>
      <c r="M1849" s="4">
        <f>MIN(MAX(M1848*(1+MAX(MIN(((B1849-B1848)/B1848)/($K$7*30),0),-卓尔金历!$M$43))+MIN(MAX(((B1849-B1848)/B1848)/($K$7*7),0),卓尔金历!$M$43),0),1)</f>
        <v>0.94479716367771149</v>
      </c>
      <c r="N1849">
        <f t="shared" si="233"/>
        <v>783.44948994698893</v>
      </c>
      <c r="O1849">
        <f t="shared" si="234"/>
        <v>2050.2723790463069</v>
      </c>
      <c r="P1849">
        <f t="shared" si="235"/>
        <v>-7.2259559473667806E-3</v>
      </c>
      <c r="Q1849">
        <f t="shared" si="236"/>
        <v>4.1369940180101157E-2</v>
      </c>
      <c r="R1849">
        <f t="shared" si="237"/>
        <v>1</v>
      </c>
      <c r="S1849">
        <f t="shared" si="229"/>
        <v>16.624419173102336</v>
      </c>
      <c r="T1849" s="564">
        <f>IF((I1849-MAX(I$470:I1849))/MAX(I$470:I1849)&gt;T1848,T1848,(I1849-MAX(I$470:I1849))/MAX(I$470:I1849))</f>
        <v>-0.91338805338419748</v>
      </c>
      <c r="U1849" s="564">
        <f>IF((J1849-MAX(J$470:J1849))/MAX(J$470:J1849)&gt;U1848,U1848,(J1849-MAX(J$470:J1849))/MAX(J$470:J1849))</f>
        <v>-0.8283551177402233</v>
      </c>
      <c r="V1849" s="564">
        <f>IF((K1849-MAX(K$470:K1849))/MAX(K$470:K1849)&gt;V1848,V1848,(K1849-MAX(K$470:K1849))/MAX(K$470:K1849))</f>
        <v>-0.84885940676762139</v>
      </c>
      <c r="W1849" s="564">
        <f>IF((N1849-MAX(N$470:N1849))/MAX(N$470:N1849)&gt;W1848,W1848,(N1849-MAX(N$470:N1849))/MAX(N$470:N1849))</f>
        <v>-0.62788758315546067</v>
      </c>
      <c r="X1849" s="564">
        <f>IF((O1849-MAX(O$470:O1849))/MAX(O$470:O1849)&gt;X1848,X1848,(O1849-MAX(O$470:O1849))/MAX(O$470:O1849))</f>
        <v>-0.62788758315546067</v>
      </c>
    </row>
    <row r="1850" spans="1:24">
      <c r="A1850" s="799">
        <v>42252</v>
      </c>
      <c r="B1850">
        <v>229.577</v>
      </c>
      <c r="C1850">
        <v>411.801896</v>
      </c>
      <c r="D1850">
        <v>0.84566300000000005</v>
      </c>
      <c r="E1850">
        <f>LN(D1850/参数实验室!$E$53)/参数实验室!$E$55</f>
        <v>-0.89073545493024198</v>
      </c>
      <c r="F1850">
        <f t="shared" si="228"/>
        <v>1.7937419515021105</v>
      </c>
      <c r="G1850">
        <f>LN(F1850/参数实验室!$E$58)/参数实验室!$E$59</f>
        <v>0.11614424676081372</v>
      </c>
      <c r="H1850" s="856">
        <f>INDEX(神经网络!$G$10:$BO$70,MATCH(ROUND(G1850*2,1)/2,神经网络!$E$10:$E$70,0),MATCH(ROUND(E1850*2,1)/2,神经网络!$G$8:$BO$8,0))</f>
        <v>-6.5486849937294242E-2</v>
      </c>
      <c r="I1850">
        <f t="shared" si="230"/>
        <v>989.96110747765977</v>
      </c>
      <c r="J1850">
        <f t="shared" si="231"/>
        <v>91.607278241091564</v>
      </c>
      <c r="K1850">
        <f t="shared" si="232"/>
        <v>10.806577015335892</v>
      </c>
      <c r="L1850" s="4">
        <f>MIN(MAX(L1849*(1+MAX(MIN(((B1850-B1849)/B1849)/($K$7*卓尔金历!$N$40),0),-卓尔金历!$M$43))+MIN(MAX(((B1850-B1849)/B1849)/($K$7*卓尔金历!$N$40),0),卓尔金历!$M$43),0),1)</f>
        <v>0.88185129728620182</v>
      </c>
      <c r="M1850" s="4">
        <f>MIN(MAX(M1849*(1+MAX(MIN(((B1850-B1849)/B1849)/($K$7*30),0),-卓尔金历!$M$43))+MIN(MAX(((B1850-B1849)/B1849)/($K$7*7),0),卓尔金历!$M$43),0),1)</f>
        <v>1</v>
      </c>
      <c r="N1850">
        <f t="shared" si="233"/>
        <v>783.16349195130181</v>
      </c>
      <c r="O1850">
        <f t="shared" si="234"/>
        <v>2049.3557442258316</v>
      </c>
      <c r="P1850">
        <f t="shared" si="235"/>
        <v>7.2259026894221532E-3</v>
      </c>
      <c r="Q1850">
        <f t="shared" si="236"/>
        <v>4.1353213659480199E-2</v>
      </c>
      <c r="R1850">
        <f t="shared" si="237"/>
        <v>1</v>
      </c>
      <c r="S1850">
        <f t="shared" si="229"/>
        <v>16.61655247126604</v>
      </c>
      <c r="T1850" s="564">
        <f>IF((I1850-MAX(I$470:I1850))/MAX(I$470:I1850)&gt;T1849,T1849,(I1850-MAX(I$470:I1850))/MAX(I$470:I1850))</f>
        <v>-0.91338805338419748</v>
      </c>
      <c r="U1850" s="564">
        <f>IF((J1850-MAX(J$470:J1850))/MAX(J$470:J1850)&gt;U1849,U1849,(J1850-MAX(J$470:J1850))/MAX(J$470:J1850))</f>
        <v>-0.8283551177402233</v>
      </c>
      <c r="V1850" s="564">
        <f>IF((K1850-MAX(K$470:K1850))/MAX(K$470:K1850)&gt;V1849,V1849,(K1850-MAX(K$470:K1850))/MAX(K$470:K1850))</f>
        <v>-0.84885940676762139</v>
      </c>
      <c r="W1850" s="564">
        <f>IF((N1850-MAX(N$470:N1850))/MAX(N$470:N1850)&gt;W1849,W1849,(N1850-MAX(N$470:N1850))/MAX(N$470:N1850))</f>
        <v>-0.62788758315546067</v>
      </c>
      <c r="X1850" s="564">
        <f>IF((O1850-MAX(O$470:O1850))/MAX(O$470:O1850)&gt;X1849,X1849,(O1850-MAX(O$470:O1850))/MAX(O$470:O1850))</f>
        <v>-0.62788758315546067</v>
      </c>
    </row>
    <row r="1851" spans="1:24">
      <c r="A1851" s="799">
        <v>42253</v>
      </c>
      <c r="B1851">
        <v>236.142</v>
      </c>
      <c r="C1851">
        <v>410.20493299999998</v>
      </c>
      <c r="D1851">
        <v>0.86322399999999999</v>
      </c>
      <c r="E1851">
        <f>LN(D1851/参数实验室!$E$53)/参数实验室!$E$55</f>
        <v>-0.8664876538316364</v>
      </c>
      <c r="F1851">
        <f t="shared" si="228"/>
        <v>1.7371112847354557</v>
      </c>
      <c r="G1851">
        <f>LN(F1851/参数实验室!$E$58)/参数实验室!$E$59</f>
        <v>9.9306739514909773E-2</v>
      </c>
      <c r="H1851" s="856">
        <f>INDEX(神经网络!$G$10:$BO$70,MATCH(ROUND(G1851*2,1)/2,神经网络!$E$10:$E$70,0),MATCH(ROUND(E1851*2,1)/2,神经网络!$G$8:$BO$8,0))</f>
        <v>-0.1058115802451777</v>
      </c>
      <c r="I1851">
        <f t="shared" si="230"/>
        <v>988.10724042032723</v>
      </c>
      <c r="J1851">
        <f t="shared" si="231"/>
        <v>94.226886397190668</v>
      </c>
      <c r="K1851">
        <f t="shared" si="232"/>
        <v>10.486468121796999</v>
      </c>
      <c r="L1851" s="4">
        <f>MIN(MAX(L1850*(1+MAX(MIN(((B1851-B1850)/B1850)/($K$7*卓尔金历!$N$40),0),-卓尔金历!$M$43))+MIN(MAX(((B1851-B1850)/B1850)/($K$7*卓尔金历!$N$40),0),卓尔金历!$M$43),0),1)</f>
        <v>1</v>
      </c>
      <c r="M1851" s="4">
        <f>MIN(MAX(M1850*(1+MAX(MIN(((B1851-B1850)/B1850)/($K$7*30),0),-卓尔金历!$M$43))+MIN(MAX(((B1851-B1850)/B1850)/($K$7*7),0),卓尔金历!$M$43),0),1)</f>
        <v>1</v>
      </c>
      <c r="N1851">
        <f t="shared" si="233"/>
        <v>781.87016524166961</v>
      </c>
      <c r="O1851">
        <f t="shared" si="234"/>
        <v>2045.5179842630632</v>
      </c>
      <c r="P1851">
        <f t="shared" si="235"/>
        <v>2.8596070163823022E-2</v>
      </c>
      <c r="Q1851">
        <f t="shared" si="236"/>
        <v>4.191691635207203E-2</v>
      </c>
      <c r="R1851">
        <f t="shared" si="237"/>
        <v>0.43958769236191048</v>
      </c>
      <c r="S1851">
        <f t="shared" si="229"/>
        <v>16.585435209183487</v>
      </c>
      <c r="T1851" s="564">
        <f>IF((I1851-MAX(I$470:I1851))/MAX(I$470:I1851)&gt;T1850,T1850,(I1851-MAX(I$470:I1851))/MAX(I$470:I1851))</f>
        <v>-0.91338805338419748</v>
      </c>
      <c r="U1851" s="564">
        <f>IF((J1851-MAX(J$470:J1851))/MAX(J$470:J1851)&gt;U1850,U1850,(J1851-MAX(J$470:J1851))/MAX(J$470:J1851))</f>
        <v>-0.8283551177402233</v>
      </c>
      <c r="V1851" s="564">
        <f>IF((K1851-MAX(K$470:K1851))/MAX(K$470:K1851)&gt;V1850,V1850,(K1851-MAX(K$470:K1851))/MAX(K$470:K1851))</f>
        <v>-0.84885940676762139</v>
      </c>
      <c r="W1851" s="564">
        <f>IF((N1851-MAX(N$470:N1851))/MAX(N$470:N1851)&gt;W1850,W1850,(N1851-MAX(N$470:N1851))/MAX(N$470:N1851))</f>
        <v>-0.62788758315546067</v>
      </c>
      <c r="X1851" s="564">
        <f>IF((O1851-MAX(O$470:O1851))/MAX(O$470:O1851)&gt;X1850,X1850,(O1851-MAX(O$470:O1851))/MAX(O$470:O1851))</f>
        <v>-0.62788758315546067</v>
      </c>
    </row>
    <row r="1852" spans="1:24">
      <c r="A1852" s="799">
        <v>42254</v>
      </c>
      <c r="B1852">
        <v>241.16200000000001</v>
      </c>
      <c r="C1852">
        <v>413.02800500000001</v>
      </c>
      <c r="D1852">
        <v>0.86259399999999997</v>
      </c>
      <c r="E1852">
        <f>LN(D1852/参数实验室!$E$53)/参数实验室!$E$55</f>
        <v>-0.86734897823167945</v>
      </c>
      <c r="F1852">
        <f t="shared" si="228"/>
        <v>1.7126579021570563</v>
      </c>
      <c r="G1852">
        <f>LN(F1852/参数实验室!$E$58)/参数实验室!$E$59</f>
        <v>9.1865852323527078E-2</v>
      </c>
      <c r="H1852" s="856">
        <f>INDEX(神经网络!$G$10:$BO$70,MATCH(ROUND(G1852*2,1)/2,神经网络!$E$10:$E$70,0),MATCH(ROUND(E1852*2,1)/2,神经网络!$G$8:$BO$8,0))</f>
        <v>-0.1058115802451777</v>
      </c>
      <c r="I1852">
        <f t="shared" si="230"/>
        <v>985.88460740047435</v>
      </c>
      <c r="J1852">
        <f t="shared" si="231"/>
        <v>96.22999880292069</v>
      </c>
      <c r="K1852">
        <f t="shared" si="232"/>
        <v>10.245085936450741</v>
      </c>
      <c r="L1852" s="4">
        <f>MIN(MAX(L1851*(1+MAX(MIN(((B1852-B1851)/B1851)/($K$7*卓尔金历!$N$40),0),-卓尔金历!$M$43))+MIN(MAX(((B1852-B1851)/B1851)/($K$7*卓尔金历!$N$40),0),卓尔金历!$M$43),0),1)</f>
        <v>1</v>
      </c>
      <c r="M1852" s="4">
        <f>MIN(MAX(M1851*(1+MAX(MIN(((B1852-B1851)/B1851)/($K$7*30),0),-卓尔金历!$M$43))+MIN(MAX(((B1852-B1851)/B1851)/($K$7*7),0),卓尔金历!$M$43),0),1)</f>
        <v>1</v>
      </c>
      <c r="N1852">
        <f t="shared" si="233"/>
        <v>780.11143868303748</v>
      </c>
      <c r="O1852">
        <f t="shared" si="234"/>
        <v>2040.9168280033521</v>
      </c>
      <c r="P1852">
        <f t="shared" si="235"/>
        <v>2.1258395372276046E-2</v>
      </c>
      <c r="Q1852">
        <f t="shared" si="236"/>
        <v>4.2201335534098661E-2</v>
      </c>
      <c r="R1852">
        <f t="shared" si="237"/>
        <v>0.75635931940699774</v>
      </c>
      <c r="S1852">
        <f t="shared" si="229"/>
        <v>16.569035502635703</v>
      </c>
      <c r="T1852" s="564">
        <f>IF((I1852-MAX(I$470:I1852))/MAX(I$470:I1852)&gt;T1851,T1851,(I1852-MAX(I$470:I1852))/MAX(I$470:I1852))</f>
        <v>-0.91338805338419748</v>
      </c>
      <c r="U1852" s="564">
        <f>IF((J1852-MAX(J$470:J1852))/MAX(J$470:J1852)&gt;U1851,U1851,(J1852-MAX(J$470:J1852))/MAX(J$470:J1852))</f>
        <v>-0.8283551177402233</v>
      </c>
      <c r="V1852" s="564">
        <f>IF((K1852-MAX(K$470:K1852))/MAX(K$470:K1852)&gt;V1851,V1851,(K1852-MAX(K$470:K1852))/MAX(K$470:K1852))</f>
        <v>-0.84885940676762139</v>
      </c>
      <c r="W1852" s="564">
        <f>IF((N1852-MAX(N$470:N1852))/MAX(N$470:N1852)&gt;W1851,W1851,(N1852-MAX(N$470:N1852))/MAX(N$470:N1852))</f>
        <v>-0.62788758315546067</v>
      </c>
      <c r="X1852" s="564">
        <f>IF((O1852-MAX(O$470:O1852))/MAX(O$470:O1852)&gt;X1851,X1851,(O1852-MAX(O$470:O1852))/MAX(O$470:O1852))</f>
        <v>-0.62788758315546067</v>
      </c>
    </row>
    <row r="1853" spans="1:24">
      <c r="A1853" s="799">
        <v>42255</v>
      </c>
      <c r="B1853">
        <v>241.852</v>
      </c>
      <c r="C1853">
        <v>415.00296100000003</v>
      </c>
      <c r="D1853">
        <v>0.87516300000000002</v>
      </c>
      <c r="E1853">
        <f>LN(D1853/参数实验室!$E$53)/参数实验室!$E$55</f>
        <v>-0.8502826368375076</v>
      </c>
      <c r="F1853">
        <f t="shared" si="228"/>
        <v>1.7159376850305146</v>
      </c>
      <c r="G1853">
        <f>LN(F1853/参数实验室!$E$58)/参数实验室!$E$59</f>
        <v>9.2869999813578616E-2</v>
      </c>
      <c r="H1853" s="856">
        <f>INDEX(神经网络!$G$10:$BO$70,MATCH(ROUND(G1853*2,1)/2,神经网络!$E$10:$E$70,0),MATCH(ROUND(E1853*2,1)/2,神经网络!$G$8:$BO$8,0))</f>
        <v>-0.1058115802451777</v>
      </c>
      <c r="I1853">
        <f t="shared" si="230"/>
        <v>985.58613821506617</v>
      </c>
      <c r="J1853">
        <f t="shared" si="231"/>
        <v>96.505327002114655</v>
      </c>
      <c r="K1853">
        <f t="shared" si="232"/>
        <v>10.212764091182963</v>
      </c>
      <c r="L1853" s="4">
        <f>MIN(MAX(L1852*(1+MAX(MIN(((B1853-B1852)/B1852)/($K$7*卓尔金历!$N$40),0),-卓尔金历!$M$43))+MIN(MAX(((B1853-B1852)/B1852)/($K$7*卓尔金历!$N$40),0),卓尔金历!$M$43),0),1)</f>
        <v>1</v>
      </c>
      <c r="M1853" s="4">
        <f>MIN(MAX(M1852*(1+MAX(MIN(((B1853-B1852)/B1852)/($K$7*30),0),-卓尔金历!$M$43))+MIN(MAX(((B1853-B1852)/B1852)/($K$7*7),0),卓尔金历!$M$43),0),1)</f>
        <v>1</v>
      </c>
      <c r="N1853">
        <f t="shared" si="233"/>
        <v>779.87526578421796</v>
      </c>
      <c r="O1853">
        <f t="shared" si="234"/>
        <v>2040.298955710218</v>
      </c>
      <c r="P1853">
        <f t="shared" si="235"/>
        <v>2.8611472785928034E-3</v>
      </c>
      <c r="Q1853">
        <f t="shared" si="236"/>
        <v>4.2215535476219888E-2</v>
      </c>
      <c r="R1853">
        <f t="shared" si="237"/>
        <v>1</v>
      </c>
      <c r="S1853">
        <f t="shared" si="229"/>
        <v>16.565241489718588</v>
      </c>
      <c r="T1853" s="564">
        <f>IF((I1853-MAX(I$470:I1853))/MAX(I$470:I1853)&gt;T1852,T1852,(I1853-MAX(I$470:I1853))/MAX(I$470:I1853))</f>
        <v>-0.91338805338419748</v>
      </c>
      <c r="U1853" s="564">
        <f>IF((J1853-MAX(J$470:J1853))/MAX(J$470:J1853)&gt;U1852,U1852,(J1853-MAX(J$470:J1853))/MAX(J$470:J1853))</f>
        <v>-0.8283551177402233</v>
      </c>
      <c r="V1853" s="564">
        <f>IF((K1853-MAX(K$470:K1853))/MAX(K$470:K1853)&gt;V1852,V1852,(K1853-MAX(K$470:K1853))/MAX(K$470:K1853))</f>
        <v>-0.84885940676762139</v>
      </c>
      <c r="W1853" s="564">
        <f>IF((N1853-MAX(N$470:N1853))/MAX(N$470:N1853)&gt;W1852,W1852,(N1853-MAX(N$470:N1853))/MAX(N$470:N1853))</f>
        <v>-0.62788758315546067</v>
      </c>
      <c r="X1853" s="564">
        <f>IF((O1853-MAX(O$470:O1853))/MAX(O$470:O1853)&gt;X1852,X1852,(O1853-MAX(O$470:O1853))/MAX(O$470:O1853))</f>
        <v>-0.62788758315546067</v>
      </c>
    </row>
    <row r="1854" spans="1:24">
      <c r="A1854" s="799">
        <v>42256</v>
      </c>
      <c r="B1854">
        <v>243.64500000000001</v>
      </c>
      <c r="C1854">
        <v>420.39685700000001</v>
      </c>
      <c r="D1854">
        <v>0.85581799999999997</v>
      </c>
      <c r="E1854">
        <f>LN(D1854/参数实验室!$E$53)/参数实验室!$E$55</f>
        <v>-0.87665297449509783</v>
      </c>
      <c r="F1854">
        <f t="shared" si="228"/>
        <v>1.7254483244064109</v>
      </c>
      <c r="G1854">
        <f>LN(F1854/参数实验室!$E$58)/参数实验室!$E$59</f>
        <v>9.5770988091657364E-2</v>
      </c>
      <c r="H1854" s="856">
        <f>INDEX(神经网络!$G$10:$BO$70,MATCH(ROUND(G1854*2,1)/2,神经网络!$E$10:$E$70,0),MATCH(ROUND(E1854*2,1)/2,神经网络!$G$8:$BO$8,0))</f>
        <v>-6.5486849937294242E-2</v>
      </c>
      <c r="I1854">
        <f t="shared" si="230"/>
        <v>984.81299776898004</v>
      </c>
      <c r="J1854">
        <f t="shared" si="231"/>
        <v>97.220781293643313</v>
      </c>
      <c r="K1854">
        <f t="shared" si="232"/>
        <v>10.12965525132404</v>
      </c>
      <c r="L1854" s="4">
        <f>MIN(MAX(L1853*(1+MAX(MIN(((B1854-B1853)/B1853)/($K$7*卓尔金历!$N$40),0),-卓尔金历!$M$43))+MIN(MAX(((B1854-B1853)/B1853)/($K$7*卓尔金历!$N$40),0),卓尔金历!$M$43),0),1)</f>
        <v>1</v>
      </c>
      <c r="M1854" s="4">
        <f>MIN(MAX(M1853*(1+MAX(MIN(((B1854-B1853)/B1853)/($K$7*30),0),-卓尔金历!$M$43))+MIN(MAX(((B1854-B1853)/B1853)/($K$7*7),0),卓尔金历!$M$43),0),1)</f>
        <v>1</v>
      </c>
      <c r="N1854">
        <f t="shared" si="233"/>
        <v>779.26349468933222</v>
      </c>
      <c r="O1854">
        <f t="shared" si="234"/>
        <v>2038.6984485768448</v>
      </c>
      <c r="P1854">
        <f t="shared" si="235"/>
        <v>7.4136248614855632E-3</v>
      </c>
      <c r="Q1854">
        <f t="shared" si="236"/>
        <v>3.5840414123545349E-2</v>
      </c>
      <c r="R1854">
        <f t="shared" si="237"/>
        <v>1</v>
      </c>
      <c r="S1854">
        <f t="shared" si="229"/>
        <v>16.5522469297321</v>
      </c>
      <c r="T1854" s="564">
        <f>IF((I1854-MAX(I$470:I1854))/MAX(I$470:I1854)&gt;T1853,T1853,(I1854-MAX(I$470:I1854))/MAX(I$470:I1854))</f>
        <v>-0.91338805338419748</v>
      </c>
      <c r="U1854" s="564">
        <f>IF((J1854-MAX(J$470:J1854))/MAX(J$470:J1854)&gt;U1853,U1853,(J1854-MAX(J$470:J1854))/MAX(J$470:J1854))</f>
        <v>-0.8283551177402233</v>
      </c>
      <c r="V1854" s="564">
        <f>IF((K1854-MAX(K$470:K1854))/MAX(K$470:K1854)&gt;V1853,V1853,(K1854-MAX(K$470:K1854))/MAX(K$470:K1854))</f>
        <v>-0.84885940676762139</v>
      </c>
      <c r="W1854" s="564">
        <f>IF((N1854-MAX(N$470:N1854))/MAX(N$470:N1854)&gt;W1853,W1853,(N1854-MAX(N$470:N1854))/MAX(N$470:N1854))</f>
        <v>-0.62788758315546067</v>
      </c>
      <c r="X1854" s="564">
        <f>IF((O1854-MAX(O$470:O1854))/MAX(O$470:O1854)&gt;X1853,X1853,(O1854-MAX(O$470:O1854))/MAX(O$470:O1854))</f>
        <v>-0.62788758315546067</v>
      </c>
    </row>
    <row r="1855" spans="1:24">
      <c r="A1855" s="799">
        <v>42257</v>
      </c>
      <c r="B1855">
        <v>238.50399999999999</v>
      </c>
      <c r="C1855">
        <v>418.25472300000001</v>
      </c>
      <c r="D1855">
        <v>0.85661900000000002</v>
      </c>
      <c r="E1855">
        <f>LN(D1855/参数实验室!$E$53)/参数实验室!$E$55</f>
        <v>-0.87554930479239834</v>
      </c>
      <c r="F1855">
        <f t="shared" si="228"/>
        <v>1.7536591545634457</v>
      </c>
      <c r="G1855">
        <f>LN(F1855/参数实验室!$E$58)/参数实验室!$E$59</f>
        <v>0.10428287964990768</v>
      </c>
      <c r="H1855" s="856">
        <f>INDEX(神经网络!$G$10:$BO$70,MATCH(ROUND(G1855*2,1)/2,神经网络!$E$10:$E$70,0),MATCH(ROUND(E1855*2,1)/2,神经网络!$G$8:$BO$8,0))</f>
        <v>-6.5486849937294242E-2</v>
      </c>
      <c r="I1855">
        <f t="shared" si="230"/>
        <v>986.17380927525824</v>
      </c>
      <c r="J1855">
        <f t="shared" si="231"/>
        <v>95.169386696460435</v>
      </c>
      <c r="K1855">
        <f t="shared" si="232"/>
        <v>10.362300772417779</v>
      </c>
      <c r="L1855" s="4">
        <f>MIN(MAX(L1854*(1+MAX(MIN(((B1855-B1854)/B1854)/($K$7*卓尔金历!$N$40),0),-卓尔金历!$M$43))+MIN(MAX(((B1855-B1854)/B1854)/($K$7*卓尔金历!$N$40),0),卓尔金历!$M$43),0),1)</f>
        <v>0.67760657287709081</v>
      </c>
      <c r="M1855" s="4">
        <f>MIN(MAX(M1854*(1+MAX(MIN(((B1855-B1854)/B1854)/($K$7*30),0),-卓尔金历!$M$43))+MIN(MAX(((B1855-B1854)/B1854)/($K$7*7),0),卓尔金历!$M$43),0),1)</f>
        <v>0.8388032864385454</v>
      </c>
      <c r="N1855">
        <f t="shared" si="233"/>
        <v>780.34027853804071</v>
      </c>
      <c r="O1855">
        <f t="shared" si="234"/>
        <v>2041.5155156880019</v>
      </c>
      <c r="P1855">
        <f t="shared" si="235"/>
        <v>-2.1100371442057172E-2</v>
      </c>
      <c r="Q1855">
        <f t="shared" si="236"/>
        <v>3.6110781422733502E-2</v>
      </c>
      <c r="R1855">
        <f t="shared" si="237"/>
        <v>0.59239832931586867</v>
      </c>
      <c r="S1855">
        <f t="shared" si="229"/>
        <v>16.575118772536538</v>
      </c>
      <c r="T1855" s="564">
        <f>IF((I1855-MAX(I$470:I1855))/MAX(I$470:I1855)&gt;T1854,T1854,(I1855-MAX(I$470:I1855))/MAX(I$470:I1855))</f>
        <v>-0.91338805338419748</v>
      </c>
      <c r="U1855" s="564">
        <f>IF((J1855-MAX(J$470:J1855))/MAX(J$470:J1855)&gt;U1854,U1854,(J1855-MAX(J$470:J1855))/MAX(J$470:J1855))</f>
        <v>-0.8283551177402233</v>
      </c>
      <c r="V1855" s="564">
        <f>IF((K1855-MAX(K$470:K1855))/MAX(K$470:K1855)&gt;V1854,V1854,(K1855-MAX(K$470:K1855))/MAX(K$470:K1855))</f>
        <v>-0.84885940676762139</v>
      </c>
      <c r="W1855" s="564">
        <f>IF((N1855-MAX(N$470:N1855))/MAX(N$470:N1855)&gt;W1854,W1854,(N1855-MAX(N$470:N1855))/MAX(N$470:N1855))</f>
        <v>-0.62788758315546067</v>
      </c>
      <c r="X1855" s="564">
        <f>IF((O1855-MAX(O$470:O1855))/MAX(O$470:O1855)&gt;X1854,X1854,(O1855-MAX(O$470:O1855))/MAX(O$470:O1855))</f>
        <v>-0.62788758315546067</v>
      </c>
    </row>
    <row r="1856" spans="1:24">
      <c r="A1856" s="799">
        <v>42258</v>
      </c>
      <c r="B1856">
        <v>239.65299999999999</v>
      </c>
      <c r="C1856">
        <v>409.74819200000002</v>
      </c>
      <c r="D1856">
        <v>0.86421400000000004</v>
      </c>
      <c r="E1856">
        <f>LN(D1856/参数实验室!$E$53)/参数实验室!$E$55</f>
        <v>-0.86513541330039512</v>
      </c>
      <c r="F1856">
        <f t="shared" si="228"/>
        <v>1.7097561557752252</v>
      </c>
      <c r="G1856">
        <f>LN(F1856/参数实验室!$E$58)/参数实验室!$E$59</f>
        <v>9.0975840969161961E-2</v>
      </c>
      <c r="H1856" s="856">
        <f>INDEX(神经网络!$G$10:$BO$70,MATCH(ROUND(G1856*2,1)/2,神经网络!$E$10:$E$70,0),MATCH(ROUND(E1856*2,1)/2,神经网络!$G$8:$BO$8,0))</f>
        <v>-0.1058115802451777</v>
      </c>
      <c r="I1856">
        <f t="shared" si="230"/>
        <v>985.86268641240122</v>
      </c>
      <c r="J1856">
        <f t="shared" si="231"/>
        <v>95.627868002074734</v>
      </c>
      <c r="K1856">
        <f t="shared" si="232"/>
        <v>10.309365951680654</v>
      </c>
      <c r="L1856" s="4">
        <f>MIN(MAX(L1855*(1+MAX(MIN(((B1856-B1855)/B1855)/($K$7*卓尔金历!$N$40),0),-卓尔金历!$M$43))+MIN(MAX(((B1856-B1855)/B1855)/($K$7*卓尔金历!$N$40),0),卓尔金历!$M$43),0),1)</f>
        <v>0.75121379702085422</v>
      </c>
      <c r="M1856" s="4">
        <f>MIN(MAX(M1855*(1+MAX(MIN(((B1856-B1855)/B1855)/($K$7*30),0),-卓尔金历!$M$43))+MIN(MAX(((B1856-B1855)/B1855)/($K$7*7),0),卓尔金历!$M$43),0),1)</f>
        <v>0.99653305246089563</v>
      </c>
      <c r="N1856">
        <f t="shared" si="233"/>
        <v>780.17346161881483</v>
      </c>
      <c r="O1856">
        <f t="shared" si="234"/>
        <v>2040.9752700483925</v>
      </c>
      <c r="P1856">
        <f t="shared" si="235"/>
        <v>4.8175292657565531E-3</v>
      </c>
      <c r="Q1856">
        <f t="shared" si="236"/>
        <v>3.5944000689695353E-2</v>
      </c>
      <c r="R1856">
        <f t="shared" si="237"/>
        <v>1</v>
      </c>
      <c r="S1856">
        <f t="shared" si="229"/>
        <v>16.572021004201314</v>
      </c>
      <c r="T1856" s="564">
        <f>IF((I1856-MAX(I$470:I1856))/MAX(I$470:I1856)&gt;T1855,T1855,(I1856-MAX(I$470:I1856))/MAX(I$470:I1856))</f>
        <v>-0.91338805338419748</v>
      </c>
      <c r="U1856" s="564">
        <f>IF((J1856-MAX(J$470:J1856))/MAX(J$470:J1856)&gt;U1855,U1855,(J1856-MAX(J$470:J1856))/MAX(J$470:J1856))</f>
        <v>-0.8283551177402233</v>
      </c>
      <c r="V1856" s="564">
        <f>IF((K1856-MAX(K$470:K1856))/MAX(K$470:K1856)&gt;V1855,V1855,(K1856-MAX(K$470:K1856))/MAX(K$470:K1856))</f>
        <v>-0.84885940676762139</v>
      </c>
      <c r="W1856" s="564">
        <f>IF((N1856-MAX(N$470:N1856))/MAX(N$470:N1856)&gt;W1855,W1855,(N1856-MAX(N$470:N1856))/MAX(N$470:N1856))</f>
        <v>-0.62788758315546067</v>
      </c>
      <c r="X1856" s="564">
        <f>IF((O1856-MAX(O$470:O1856))/MAX(O$470:O1856)&gt;X1855,X1855,(O1856-MAX(O$470:O1856))/MAX(O$470:O1856))</f>
        <v>-0.62788758315546067</v>
      </c>
    </row>
    <row r="1857" spans="1:24">
      <c r="A1857" s="799">
        <v>42259</v>
      </c>
      <c r="B1857">
        <v>239.852</v>
      </c>
      <c r="C1857">
        <v>413.352732</v>
      </c>
      <c r="D1857">
        <v>0.84831199999999995</v>
      </c>
      <c r="E1857">
        <f>LN(D1857/参数实验室!$E$53)/参数实验室!$E$55</f>
        <v>-0.88704570875250821</v>
      </c>
      <c r="F1857">
        <f t="shared" si="228"/>
        <v>1.723365792238547</v>
      </c>
      <c r="G1857">
        <f>LN(F1857/参数实验室!$E$58)/参数实验室!$E$59</f>
        <v>9.5137132207269146E-2</v>
      </c>
      <c r="H1857" s="856">
        <f>INDEX(神经网络!$G$10:$BO$70,MATCH(ROUND(G1857*2,1)/2,神经网络!$E$10:$E$70,0),MATCH(ROUND(E1857*2,1)/2,神经网络!$G$8:$BO$8,0))</f>
        <v>-6.5486849937294242E-2</v>
      </c>
      <c r="I1857">
        <f t="shared" si="230"/>
        <v>985.77606608191479</v>
      </c>
      <c r="J1857">
        <f t="shared" si="231"/>
        <v>95.70727425082778</v>
      </c>
      <c r="K1857">
        <f t="shared" si="232"/>
        <v>10.299907439620648</v>
      </c>
      <c r="L1857" s="4">
        <f>MIN(MAX(L1856*(1+MAX(MIN(((B1857-B1856)/B1856)/($K$7*卓尔金历!$N$40),0),-卓尔金历!$M$43))+MIN(MAX(((B1857-B1856)/B1856)/($K$7*卓尔金历!$N$40),0),卓尔金历!$M$43),0),1)</f>
        <v>0.76390101159353208</v>
      </c>
      <c r="M1857" s="4">
        <f>MIN(MAX(M1856*(1+MAX(MIN(((B1857-B1856)/B1856)/($K$7*30),0),-卓尔金历!$M$43))+MIN(MAX(((B1857-B1856)/B1856)/($K$7*7),0),卓尔金历!$M$43),0),1)</f>
        <v>1</v>
      </c>
      <c r="N1857">
        <f t="shared" si="233"/>
        <v>780.12196744010396</v>
      </c>
      <c r="O1857">
        <f t="shared" si="234"/>
        <v>2040.7965666312291</v>
      </c>
      <c r="P1857">
        <f t="shared" si="235"/>
        <v>8.303672393002061E-4</v>
      </c>
      <c r="Q1857">
        <f t="shared" si="236"/>
        <v>3.5944042752395121E-2</v>
      </c>
      <c r="R1857">
        <f t="shared" si="237"/>
        <v>1</v>
      </c>
      <c r="S1857">
        <f t="shared" si="229"/>
        <v>16.570564945506735</v>
      </c>
      <c r="T1857" s="564">
        <f>IF((I1857-MAX(I$470:I1857))/MAX(I$470:I1857)&gt;T1856,T1856,(I1857-MAX(I$470:I1857))/MAX(I$470:I1857))</f>
        <v>-0.91338805338419748</v>
      </c>
      <c r="U1857" s="564">
        <f>IF((J1857-MAX(J$470:J1857))/MAX(J$470:J1857)&gt;U1856,U1856,(J1857-MAX(J$470:J1857))/MAX(J$470:J1857))</f>
        <v>-0.8283551177402233</v>
      </c>
      <c r="V1857" s="564">
        <f>IF((K1857-MAX(K$470:K1857))/MAX(K$470:K1857)&gt;V1856,V1856,(K1857-MAX(K$470:K1857))/MAX(K$470:K1857))</f>
        <v>-0.84885940676762139</v>
      </c>
      <c r="W1857" s="564">
        <f>IF((N1857-MAX(N$470:N1857))/MAX(N$470:N1857)&gt;W1856,W1856,(N1857-MAX(N$470:N1857))/MAX(N$470:N1857))</f>
        <v>-0.62788758315546067</v>
      </c>
      <c r="X1857" s="564">
        <f>IF((O1857-MAX(O$470:O1857))/MAX(O$470:O1857)&gt;X1856,X1856,(O1857-MAX(O$470:O1857))/MAX(O$470:O1857))</f>
        <v>-0.62788758315546067</v>
      </c>
    </row>
    <row r="1858" spans="1:24">
      <c r="A1858" s="799">
        <v>42260</v>
      </c>
      <c r="B1858">
        <v>235.22399999999999</v>
      </c>
      <c r="C1858">
        <v>411.21690999999998</v>
      </c>
      <c r="D1858">
        <v>0.82782900000000004</v>
      </c>
      <c r="E1858">
        <f>LN(D1858/参数实验室!$E$53)/参数实验室!$E$55</f>
        <v>-0.91588109754625213</v>
      </c>
      <c r="F1858">
        <f t="shared" si="228"/>
        <v>1.7481928289630311</v>
      </c>
      <c r="G1858">
        <f>LN(F1858/参数实验室!$E$58)/参数实验室!$E$59</f>
        <v>0.10264430358446654</v>
      </c>
      <c r="H1858" s="856">
        <f>INDEX(神经网络!$G$10:$BO$70,MATCH(ROUND(G1858*2,1)/2,神经网络!$E$10:$E$70,0),MATCH(ROUND(E1858*2,1)/2,神经网络!$G$8:$BO$8,0))</f>
        <v>-6.5486849937294242E-2</v>
      </c>
      <c r="I1858">
        <f t="shared" si="230"/>
        <v>987.02167691348018</v>
      </c>
      <c r="J1858">
        <f t="shared" si="231"/>
        <v>93.860580184349985</v>
      </c>
      <c r="K1858">
        <f t="shared" si="232"/>
        <v>10.515827570795828</v>
      </c>
      <c r="L1858" s="4">
        <f>MIN(MAX(L1857*(1+MAX(MIN(((B1858-B1857)/B1857)/($K$7*卓尔金历!$N$40),0),-卓尔金历!$M$43))+MIN(MAX(((B1858-B1857)/B1857)/($K$7*卓尔金历!$N$40),0),卓尔金历!$M$43),0),1)</f>
        <v>0.5386933455930234</v>
      </c>
      <c r="M1858" s="4">
        <f>MIN(MAX(M1857*(1+MAX(MIN(((B1858-B1857)/B1857)/($K$7*30),0),-卓尔金历!$M$43))+MIN(MAX(((B1858-B1857)/B1857)/($K$7*7),0),卓尔金历!$M$43),0),1)</f>
        <v>0.85259368518787837</v>
      </c>
      <c r="N1858">
        <f t="shared" si="233"/>
        <v>780.87498256428171</v>
      </c>
      <c r="O1858">
        <f t="shared" si="234"/>
        <v>2043.3752844515157</v>
      </c>
      <c r="P1858">
        <f t="shared" si="235"/>
        <v>-1.929523205977025E-2</v>
      </c>
      <c r="Q1858">
        <f t="shared" si="236"/>
        <v>3.6050047074898346E-2</v>
      </c>
      <c r="R1858">
        <f t="shared" si="237"/>
        <v>0.68346101968080331</v>
      </c>
      <c r="S1858">
        <f t="shared" si="229"/>
        <v>16.591503245686123</v>
      </c>
      <c r="T1858" s="564">
        <f>IF((I1858-MAX(I$470:I1858))/MAX(I$470:I1858)&gt;T1857,T1857,(I1858-MAX(I$470:I1858))/MAX(I$470:I1858))</f>
        <v>-0.91338805338419748</v>
      </c>
      <c r="U1858" s="564">
        <f>IF((J1858-MAX(J$470:J1858))/MAX(J$470:J1858)&gt;U1857,U1857,(J1858-MAX(J$470:J1858))/MAX(J$470:J1858))</f>
        <v>-0.8283551177402233</v>
      </c>
      <c r="V1858" s="564">
        <f>IF((K1858-MAX(K$470:K1858))/MAX(K$470:K1858)&gt;V1857,V1857,(K1858-MAX(K$470:K1858))/MAX(K$470:K1858))</f>
        <v>-0.84885940676762139</v>
      </c>
      <c r="W1858" s="564">
        <f>IF((N1858-MAX(N$470:N1858))/MAX(N$470:N1858)&gt;W1857,W1857,(N1858-MAX(N$470:N1858))/MAX(N$470:N1858))</f>
        <v>-0.62788758315546067</v>
      </c>
      <c r="X1858" s="564">
        <f>IF((O1858-MAX(O$470:O1858))/MAX(O$470:O1858)&gt;X1857,X1857,(O1858-MAX(O$470:O1858))/MAX(O$470:O1858))</f>
        <v>-0.62788758315546067</v>
      </c>
    </row>
    <row r="1859" spans="1:24">
      <c r="A1859" s="799">
        <v>42261</v>
      </c>
      <c r="B1859">
        <v>227.96100000000001</v>
      </c>
      <c r="C1859">
        <v>407.46860600000002</v>
      </c>
      <c r="D1859">
        <v>0.82963799999999999</v>
      </c>
      <c r="E1859">
        <f>LN(D1859/参数实验室!$E$53)/参数实验室!$E$55</f>
        <v>-0.913305873465458</v>
      </c>
      <c r="F1859">
        <f t="shared" si="228"/>
        <v>1.7874487565855564</v>
      </c>
      <c r="G1859">
        <f>LN(F1859/参数实验室!$E$58)/参数实验室!$E$59</f>
        <v>0.11429960207971497</v>
      </c>
      <c r="H1859" s="856">
        <f>INDEX(神经网络!$G$10:$BO$70,MATCH(ROUND(G1859*2,1)/2,神经网络!$E$10:$E$70,0),MATCH(ROUND(E1859*2,1)/2,神经网络!$G$8:$BO$8,0))</f>
        <v>-6.5486849937294242E-2</v>
      </c>
      <c r="I1859">
        <f t="shared" si="230"/>
        <v>989.01746857769035</v>
      </c>
      <c r="J1859">
        <f t="shared" si="231"/>
        <v>90.962451618051773</v>
      </c>
      <c r="K1859">
        <f t="shared" si="232"/>
        <v>10.872810164907834</v>
      </c>
      <c r="L1859" s="4">
        <f>MIN(MAX(L1858*(1+MAX(MIN(((B1859-B1858)/B1858)/($K$7*卓尔金历!$N$40),0),-卓尔金历!$M$43))+MIN(MAX(((B1859-B1858)/B1858)/($K$7*卓尔金历!$N$40),0),卓尔金历!$M$43),0),1)</f>
        <v>0.28455388577167878</v>
      </c>
      <c r="M1859" s="4">
        <f>MIN(MAX(M1858*(1+MAX(MIN(((B1859-B1858)/B1858)/($K$7*30),0),-卓尔金历!$M$43))+MIN(MAX(((B1859-B1858)/B1858)/($K$7*7),0),卓尔金历!$M$43),0),1)</f>
        <v>0.6514795444867284</v>
      </c>
      <c r="N1859">
        <f t="shared" si="233"/>
        <v>781.72555564469633</v>
      </c>
      <c r="O1859">
        <f t="shared" si="234"/>
        <v>2046.8980096132116</v>
      </c>
      <c r="P1859">
        <f t="shared" si="235"/>
        <v>-3.0876951331496687E-2</v>
      </c>
      <c r="Q1859">
        <f t="shared" si="236"/>
        <v>3.657878206461633E-2</v>
      </c>
      <c r="R1859">
        <f t="shared" si="237"/>
        <v>0.2116173820094685</v>
      </c>
      <c r="S1859">
        <f t="shared" si="229"/>
        <v>16.61443239804931</v>
      </c>
      <c r="T1859" s="564">
        <f>IF((I1859-MAX(I$470:I1859))/MAX(I$470:I1859)&gt;T1858,T1858,(I1859-MAX(I$470:I1859))/MAX(I$470:I1859))</f>
        <v>-0.91338805338419748</v>
      </c>
      <c r="U1859" s="564">
        <f>IF((J1859-MAX(J$470:J1859))/MAX(J$470:J1859)&gt;U1858,U1858,(J1859-MAX(J$470:J1859))/MAX(J$470:J1859))</f>
        <v>-0.8283551177402233</v>
      </c>
      <c r="V1859" s="564">
        <f>IF((K1859-MAX(K$470:K1859))/MAX(K$470:K1859)&gt;V1858,V1858,(K1859-MAX(K$470:K1859))/MAX(K$470:K1859))</f>
        <v>-0.84885940676762139</v>
      </c>
      <c r="W1859" s="564">
        <f>IF((N1859-MAX(N$470:N1859))/MAX(N$470:N1859)&gt;W1858,W1858,(N1859-MAX(N$470:N1859))/MAX(N$470:N1859))</f>
        <v>-0.62788758315546067</v>
      </c>
      <c r="X1859" s="564">
        <f>IF((O1859-MAX(O$470:O1859))/MAX(O$470:O1859)&gt;X1858,X1858,(O1859-MAX(O$470:O1859))/MAX(O$470:O1859))</f>
        <v>-0.62788758315546067</v>
      </c>
    </row>
    <row r="1860" spans="1:24">
      <c r="A1860" s="799">
        <v>42262</v>
      </c>
      <c r="B1860">
        <v>231.71</v>
      </c>
      <c r="C1860">
        <v>401.91742499999998</v>
      </c>
      <c r="D1860">
        <v>0.82794800000000002</v>
      </c>
      <c r="E1860">
        <f>LN(D1860/参数实验室!$E$53)/参数实验室!$E$55</f>
        <v>-0.91571152080219254</v>
      </c>
      <c r="F1860">
        <f t="shared" si="228"/>
        <v>1.7345709076000171</v>
      </c>
      <c r="G1860">
        <f>LN(F1860/参数实验室!$E$58)/参数实验室!$E$59</f>
        <v>9.8538623440572071E-2</v>
      </c>
      <c r="H1860" s="856">
        <f>INDEX(神经网络!$G$10:$BO$70,MATCH(ROUND(G1860*2,1)/2,神经网络!$E$10:$E$70,0),MATCH(ROUND(E1860*2,1)/2,神经网络!$G$8:$BO$8,0))</f>
        <v>-6.5486849937294242E-2</v>
      </c>
      <c r="I1860">
        <f t="shared" si="230"/>
        <v>987.95231323566099</v>
      </c>
      <c r="J1860">
        <f t="shared" si="231"/>
        <v>92.458401500338994</v>
      </c>
      <c r="K1860">
        <f t="shared" si="232"/>
        <v>10.685370904146971</v>
      </c>
      <c r="L1860" s="4">
        <f>MIN(MAX(L1859*(1+MAX(MIN(((B1860-B1859)/B1859)/($K$7*卓尔金历!$N$40),0),-卓尔金历!$M$43))+MIN(MAX(((B1860-B1859)/B1859)/($K$7*卓尔金历!$N$40),0),卓尔金历!$M$43),0),1)</f>
        <v>0.53582985996828381</v>
      </c>
      <c r="M1860" s="4">
        <f>MIN(MAX(M1859*(1+MAX(MIN(((B1860-B1859)/B1859)/($K$7*30),0),-卓尔金历!$M$43))+MIN(MAX(((B1860-B1859)/B1859)/($K$7*7),0),卓尔金历!$M$43),0),1)</f>
        <v>1</v>
      </c>
      <c r="N1860">
        <f t="shared" si="233"/>
        <v>781.48598819049289</v>
      </c>
      <c r="O1860">
        <f t="shared" si="234"/>
        <v>2045.4618392012426</v>
      </c>
      <c r="P1860">
        <f t="shared" si="235"/>
        <v>1.6445795552748037E-2</v>
      </c>
      <c r="Q1860">
        <f t="shared" si="236"/>
        <v>2.8544284748471819E-2</v>
      </c>
      <c r="R1860">
        <f t="shared" si="237"/>
        <v>0.6081347195513791</v>
      </c>
      <c r="S1860">
        <f t="shared" si="229"/>
        <v>16.610645829410448</v>
      </c>
      <c r="T1860" s="564">
        <f>IF((I1860-MAX(I$470:I1860))/MAX(I$470:I1860)&gt;T1859,T1859,(I1860-MAX(I$470:I1860))/MAX(I$470:I1860))</f>
        <v>-0.91338805338419748</v>
      </c>
      <c r="U1860" s="564">
        <f>IF((J1860-MAX(J$470:J1860))/MAX(J$470:J1860)&gt;U1859,U1859,(J1860-MAX(J$470:J1860))/MAX(J$470:J1860))</f>
        <v>-0.8283551177402233</v>
      </c>
      <c r="V1860" s="564">
        <f>IF((K1860-MAX(K$470:K1860))/MAX(K$470:K1860)&gt;V1859,V1859,(K1860-MAX(K$470:K1860))/MAX(K$470:K1860))</f>
        <v>-0.84885940676762139</v>
      </c>
      <c r="W1860" s="564">
        <f>IF((N1860-MAX(N$470:N1860))/MAX(N$470:N1860)&gt;W1859,W1859,(N1860-MAX(N$470:N1860))/MAX(N$470:N1860))</f>
        <v>-0.62788758315546067</v>
      </c>
      <c r="X1860" s="564">
        <f>IF((O1860-MAX(O$470:O1860))/MAX(O$470:O1860)&gt;X1859,X1859,(O1860-MAX(O$470:O1860))/MAX(O$470:O1860))</f>
        <v>-0.62788758315546067</v>
      </c>
    </row>
    <row r="1861" spans="1:24">
      <c r="A1861" s="799">
        <v>42263</v>
      </c>
      <c r="B1861">
        <v>230.9</v>
      </c>
      <c r="C1861">
        <v>403.56608299999999</v>
      </c>
      <c r="D1861">
        <v>0.82333699999999999</v>
      </c>
      <c r="E1861">
        <f>LN(D1861/参数实验室!$E$53)/参数实验室!$E$55</f>
        <v>-0.92230015492262452</v>
      </c>
      <c r="F1861">
        <f t="shared" ref="F1861:F1924" si="238">C1861/B1861</f>
        <v>1.747795941966219</v>
      </c>
      <c r="G1861">
        <f>LN(F1861/参数实验室!$E$58)/参数实验室!$E$59</f>
        <v>0.10252513401072508</v>
      </c>
      <c r="H1861" s="856">
        <f>INDEX(神经网络!$G$10:$BO$70,MATCH(ROUND(G1861*2,1)/2,神经网络!$E$10:$E$70,0),MATCH(ROUND(E1861*2,1)/2,神经网络!$G$8:$BO$8,0))</f>
        <v>-6.5486849937294242E-2</v>
      </c>
      <c r="I1861">
        <f t="shared" si="230"/>
        <v>988.17848080181898</v>
      </c>
      <c r="J1861">
        <f t="shared" si="231"/>
        <v>92.13519013606782</v>
      </c>
      <c r="K1861">
        <f t="shared" si="232"/>
        <v>10.725310050833448</v>
      </c>
      <c r="L1861" s="4">
        <f>MIN(MAX(L1860*(1+MAX(MIN(((B1861-B1860)/B1860)/($K$7*卓尔金历!$N$40),0),-卓尔金历!$M$43))+MIN(MAX(((B1861-B1860)/B1860)/($K$7*卓尔金历!$N$40),0),卓尔金历!$M$43),0),1)</f>
        <v>0.50721028156890313</v>
      </c>
      <c r="M1861" s="4">
        <f>MIN(MAX(M1860*(1+MAX(MIN(((B1861-B1860)/B1860)/($K$7*30),0),-卓尔金历!$M$43))+MIN(MAX(((B1861-B1860)/B1860)/($K$7*7),0),卓尔金历!$M$43),0),1)</f>
        <v>0.97329415497572802</v>
      </c>
      <c r="N1861">
        <f t="shared" si="233"/>
        <v>781.5818492995943</v>
      </c>
      <c r="O1861">
        <f t="shared" si="234"/>
        <v>2045.9300977595185</v>
      </c>
      <c r="P1861">
        <f t="shared" si="235"/>
        <v>-3.4957489965905756E-3</v>
      </c>
      <c r="Q1861">
        <f t="shared" si="236"/>
        <v>1.8998240623069394E-2</v>
      </c>
      <c r="R1861">
        <f t="shared" si="237"/>
        <v>1</v>
      </c>
      <c r="S1861">
        <f t="shared" si="229"/>
        <v>16.612958323648087</v>
      </c>
      <c r="T1861" s="564">
        <f>IF((I1861-MAX(I$470:I1861))/MAX(I$470:I1861)&gt;T1860,T1860,(I1861-MAX(I$470:I1861))/MAX(I$470:I1861))</f>
        <v>-0.91338805338419748</v>
      </c>
      <c r="U1861" s="564">
        <f>IF((J1861-MAX(J$470:J1861))/MAX(J$470:J1861)&gt;U1860,U1860,(J1861-MAX(J$470:J1861))/MAX(J$470:J1861))</f>
        <v>-0.8283551177402233</v>
      </c>
      <c r="V1861" s="564">
        <f>IF((K1861-MAX(K$470:K1861))/MAX(K$470:K1861)&gt;V1860,V1860,(K1861-MAX(K$470:K1861))/MAX(K$470:K1861))</f>
        <v>-0.84885940676762139</v>
      </c>
      <c r="W1861" s="564">
        <f>IF((N1861-MAX(N$470:N1861))/MAX(N$470:N1861)&gt;W1860,W1860,(N1861-MAX(N$470:N1861))/MAX(N$470:N1861))</f>
        <v>-0.62788758315546067</v>
      </c>
      <c r="X1861" s="564">
        <f>IF((O1861-MAX(O$470:O1861))/MAX(O$470:O1861)&gt;X1860,X1860,(O1861-MAX(O$470:O1861))/MAX(O$470:O1861))</f>
        <v>-0.62788758315546067</v>
      </c>
    </row>
    <row r="1862" spans="1:24">
      <c r="A1862" s="799">
        <v>42264</v>
      </c>
      <c r="B1862">
        <v>230.04900000000001</v>
      </c>
      <c r="C1862">
        <v>403.08425599999998</v>
      </c>
      <c r="D1862">
        <v>0.838341</v>
      </c>
      <c r="E1862">
        <f>LN(D1862/参数实验室!$E$53)/参数实验室!$E$55</f>
        <v>-0.90099458458469617</v>
      </c>
      <c r="F1862">
        <f t="shared" si="238"/>
        <v>1.7521669557355171</v>
      </c>
      <c r="G1862">
        <f>LN(F1862/参数实验室!$E$58)/参数实验室!$E$59</f>
        <v>0.1038360881602132</v>
      </c>
      <c r="H1862" s="856">
        <f>INDEX(神经网络!$G$10:$BO$70,MATCH(ROUND(G1862*2,1)/2,神经网络!$E$10:$E$70,0),MATCH(ROUND(E1862*2,1)/2,神经网络!$G$8:$BO$8,0))</f>
        <v>-6.5486849937294242E-2</v>
      </c>
      <c r="I1862">
        <f t="shared" si="230"/>
        <v>988.4169845012425</v>
      </c>
      <c r="J1862">
        <f t="shared" si="231"/>
        <v>91.795618690395258</v>
      </c>
      <c r="K1862">
        <f t="shared" si="232"/>
        <v>10.767583448998121</v>
      </c>
      <c r="L1862" s="4">
        <f>MIN(MAX(L1861*(1+MAX(MIN(((B1862-B1861)/B1861)/($K$7*卓尔金历!$N$40),0),-卓尔金历!$M$43))+MIN(MAX(((B1862-B1861)/B1861)/($K$7*卓尔金历!$N$40),0),卓尔金历!$M$43),0),1)</f>
        <v>0.47864820664432711</v>
      </c>
      <c r="M1862" s="4">
        <f>MIN(MAX(M1861*(1+MAX(MIN(((B1862-B1861)/B1861)/($K$7*30),0),-卓尔金历!$M$43))+MIN(MAX(((B1862-B1861)/B1861)/($K$7*7),0),卓尔金历!$M$43),0),1)</f>
        <v>0.94589003720816245</v>
      </c>
      <c r="N1862">
        <f t="shared" si="233"/>
        <v>781.67752953633862</v>
      </c>
      <c r="O1862">
        <f t="shared" si="234"/>
        <v>2046.4107097860938</v>
      </c>
      <c r="P1862">
        <f t="shared" si="235"/>
        <v>-3.6855781723689868E-3</v>
      </c>
      <c r="Q1862">
        <f t="shared" si="236"/>
        <v>1.8873915933737252E-2</v>
      </c>
      <c r="R1862">
        <f t="shared" si="237"/>
        <v>1</v>
      </c>
      <c r="S1862">
        <f t="shared" si="229"/>
        <v>16.616967975847096</v>
      </c>
      <c r="T1862" s="564">
        <f>IF((I1862-MAX(I$470:I1862))/MAX(I$470:I1862)&gt;T1861,T1861,(I1862-MAX(I$470:I1862))/MAX(I$470:I1862))</f>
        <v>-0.91338805338419748</v>
      </c>
      <c r="U1862" s="564">
        <f>IF((J1862-MAX(J$470:J1862))/MAX(J$470:J1862)&gt;U1861,U1861,(J1862-MAX(J$470:J1862))/MAX(J$470:J1862))</f>
        <v>-0.8283551177402233</v>
      </c>
      <c r="V1862" s="564">
        <f>IF((K1862-MAX(K$470:K1862))/MAX(K$470:K1862)&gt;V1861,V1861,(K1862-MAX(K$470:K1862))/MAX(K$470:K1862))</f>
        <v>-0.84885940676762139</v>
      </c>
      <c r="W1862" s="564">
        <f>IF((N1862-MAX(N$470:N1862))/MAX(N$470:N1862)&gt;W1861,W1861,(N1862-MAX(N$470:N1862))/MAX(N$470:N1862))</f>
        <v>-0.62788758315546067</v>
      </c>
      <c r="X1862" s="564">
        <f>IF((O1862-MAX(O$470:O1862))/MAX(O$470:O1862)&gt;X1861,X1861,(O1862-MAX(O$470:O1862))/MAX(O$470:O1862))</f>
        <v>-0.62788758315546067</v>
      </c>
    </row>
    <row r="1863" spans="1:24">
      <c r="A1863" s="799">
        <v>42265</v>
      </c>
      <c r="B1863">
        <v>233.04300000000001</v>
      </c>
      <c r="C1863">
        <v>405.82453199999998</v>
      </c>
      <c r="D1863">
        <v>0.83835700000000002</v>
      </c>
      <c r="E1863">
        <f>LN(D1863/参数实验室!$E$53)/参数实验室!$E$55</f>
        <v>-0.90097206884017422</v>
      </c>
      <c r="F1863">
        <f t="shared" si="238"/>
        <v>1.7414148118587556</v>
      </c>
      <c r="G1863">
        <f>LN(F1863/参数实验室!$E$58)/参数实验室!$E$59</f>
        <v>0.10060540722637543</v>
      </c>
      <c r="H1863" s="856">
        <f>INDEX(神经网络!$G$10:$BO$70,MATCH(ROUND(G1863*2,1)/2,神经网络!$E$10:$E$70,0),MATCH(ROUND(E1863*2,1)/2,神经网络!$G$8:$BO$8,0))</f>
        <v>-6.5486849937294242E-2</v>
      </c>
      <c r="I1863">
        <f t="shared" si="230"/>
        <v>987.57457017068657</v>
      </c>
      <c r="J1863">
        <f t="shared" si="231"/>
        <v>92.990303659071685</v>
      </c>
      <c r="K1863">
        <f t="shared" si="232"/>
        <v>10.620188678933769</v>
      </c>
      <c r="L1863" s="4">
        <f>MIN(MAX(L1862*(1+MAX(MIN(((B1863-B1862)/B1862)/($K$7*卓尔金历!$N$40),0),-卓尔金历!$M$43))+MIN(MAX(((B1863-B1862)/B1862)/($K$7*卓尔金历!$N$40),0),卓尔金历!$M$43),0),1)</f>
        <v>0.67749909003496378</v>
      </c>
      <c r="M1863" s="4">
        <f>MIN(MAX(M1862*(1+MAX(MIN(((B1863-B1862)/B1862)/($K$7*30),0),-卓尔金历!$M$43))+MIN(MAX(((B1863-B1862)/B1862)/($K$7*7),0),卓尔金历!$M$43),0),1)</f>
        <v>1</v>
      </c>
      <c r="N1863">
        <f t="shared" si="233"/>
        <v>781.35864782622002</v>
      </c>
      <c r="O1863">
        <f t="shared" si="234"/>
        <v>2044.7609565161949</v>
      </c>
      <c r="P1863">
        <f t="shared" si="235"/>
        <v>1.3014618624727773E-2</v>
      </c>
      <c r="Q1863">
        <f t="shared" si="236"/>
        <v>1.8072178951449042E-2</v>
      </c>
      <c r="R1863">
        <f t="shared" si="237"/>
        <v>0.35337067693893187</v>
      </c>
      <c r="S1863">
        <f t="shared" si="229"/>
        <v>16.602805560416421</v>
      </c>
      <c r="T1863" s="564">
        <f>IF((I1863-MAX(I$470:I1863))/MAX(I$470:I1863)&gt;T1862,T1862,(I1863-MAX(I$470:I1863))/MAX(I$470:I1863))</f>
        <v>-0.91338805338419748</v>
      </c>
      <c r="U1863" s="564">
        <f>IF((J1863-MAX(J$470:J1863))/MAX(J$470:J1863)&gt;U1862,U1862,(J1863-MAX(J$470:J1863))/MAX(J$470:J1863))</f>
        <v>-0.8283551177402233</v>
      </c>
      <c r="V1863" s="564">
        <f>IF((K1863-MAX(K$470:K1863))/MAX(K$470:K1863)&gt;V1862,V1862,(K1863-MAX(K$470:K1863))/MAX(K$470:K1863))</f>
        <v>-0.84885940676762139</v>
      </c>
      <c r="W1863" s="564">
        <f>IF((N1863-MAX(N$470:N1863))/MAX(N$470:N1863)&gt;W1862,W1862,(N1863-MAX(N$470:N1863))/MAX(N$470:N1863))</f>
        <v>-0.62788758315546067</v>
      </c>
      <c r="X1863" s="564">
        <f>IF((O1863-MAX(O$470:O1863))/MAX(O$470:O1863)&gt;X1862,X1862,(O1863-MAX(O$470:O1863))/MAX(O$470:O1863))</f>
        <v>-0.62788758315546067</v>
      </c>
    </row>
    <row r="1864" spans="1:24">
      <c r="A1864" s="799">
        <v>42266</v>
      </c>
      <c r="B1864">
        <v>232.42400000000001</v>
      </c>
      <c r="C1864">
        <v>412.91591799999998</v>
      </c>
      <c r="D1864">
        <v>0.83518400000000004</v>
      </c>
      <c r="E1864">
        <f>LN(D1864/参数实验室!$E$53)/参数实验室!$E$55</f>
        <v>-0.90544565093777218</v>
      </c>
      <c r="F1864">
        <f t="shared" si="238"/>
        <v>1.7765631690358998</v>
      </c>
      <c r="G1864">
        <f>LN(F1864/参数实验室!$E$58)/参数实验室!$E$59</f>
        <v>0.11109346106655761</v>
      </c>
      <c r="H1864" s="856">
        <f>INDEX(神经网络!$G$10:$BO$70,MATCH(ROUND(G1864*2,1)/2,神经网络!$E$10:$E$70,0),MATCH(ROUND(E1864*2,1)/2,神经网络!$G$8:$BO$8,0))</f>
        <v>-6.5486849937294242E-2</v>
      </c>
      <c r="I1864">
        <f t="shared" si="230"/>
        <v>987.74635253880354</v>
      </c>
      <c r="J1864">
        <f t="shared" si="231"/>
        <v>92.7433063325484</v>
      </c>
      <c r="K1864">
        <f t="shared" si="232"/>
        <v>10.650324984070064</v>
      </c>
      <c r="L1864" s="4">
        <f>MIN(MAX(L1863*(1+MAX(MIN(((B1864-B1863)/B1863)/($K$7*卓尔金历!$N$40),0),-卓尔金历!$M$43))+MIN(MAX(((B1864-B1863)/B1863)/($K$7*卓尔金历!$N$40),0),卓尔金历!$M$43),0),1)</f>
        <v>0.6500037318730898</v>
      </c>
      <c r="M1864" s="4">
        <f>MIN(MAX(M1863*(1+MAX(MIN(((B1864-B1863)/B1863)/($K$7*30),0),-卓尔金历!$M$43))+MIN(MAX(((B1864-B1863)/B1863)/($K$7*7),0),卓尔金历!$M$43),0),1)</f>
        <v>0.97970819550439914</v>
      </c>
      <c r="N1864">
        <f t="shared" si="233"/>
        <v>781.45072835962367</v>
      </c>
      <c r="O1864">
        <f t="shared" si="234"/>
        <v>2045.1166297888296</v>
      </c>
      <c r="P1864">
        <f t="shared" si="235"/>
        <v>-2.6561621674969843E-3</v>
      </c>
      <c r="Q1864">
        <f t="shared" si="236"/>
        <v>1.4818683015556996E-2</v>
      </c>
      <c r="R1864">
        <f t="shared" si="237"/>
        <v>1</v>
      </c>
      <c r="S1864">
        <f t="shared" si="229"/>
        <v>16.603826078435322</v>
      </c>
      <c r="T1864" s="564">
        <f>IF((I1864-MAX(I$470:I1864))/MAX(I$470:I1864)&gt;T1863,T1863,(I1864-MAX(I$470:I1864))/MAX(I$470:I1864))</f>
        <v>-0.91338805338419748</v>
      </c>
      <c r="U1864" s="564">
        <f>IF((J1864-MAX(J$470:J1864))/MAX(J$470:J1864)&gt;U1863,U1863,(J1864-MAX(J$470:J1864))/MAX(J$470:J1864))</f>
        <v>-0.8283551177402233</v>
      </c>
      <c r="V1864" s="564">
        <f>IF((K1864-MAX(K$470:K1864))/MAX(K$470:K1864)&gt;V1863,V1863,(K1864-MAX(K$470:K1864))/MAX(K$470:K1864))</f>
        <v>-0.84885940676762139</v>
      </c>
      <c r="W1864" s="564">
        <f>IF((N1864-MAX(N$470:N1864))/MAX(N$470:N1864)&gt;W1863,W1863,(N1864-MAX(N$470:N1864))/MAX(N$470:N1864))</f>
        <v>-0.62788758315546067</v>
      </c>
      <c r="X1864" s="564">
        <f>IF((O1864-MAX(O$470:O1864))/MAX(O$470:O1864)&gt;X1863,X1863,(O1864-MAX(O$470:O1864))/MAX(O$470:O1864))</f>
        <v>-0.62788758315546067</v>
      </c>
    </row>
    <row r="1865" spans="1:24">
      <c r="A1865" s="799">
        <v>42267</v>
      </c>
      <c r="B1865">
        <v>231.00399999999999</v>
      </c>
      <c r="C1865">
        <v>423.57852100000002</v>
      </c>
      <c r="D1865">
        <v>0.83222399999999996</v>
      </c>
      <c r="E1865">
        <f>LN(D1865/参数实验室!$E$53)/参数实验室!$E$55</f>
        <v>-0.9096342757619722</v>
      </c>
      <c r="F1865">
        <f t="shared" si="238"/>
        <v>1.8336414997142909</v>
      </c>
      <c r="G1865">
        <f>LN(F1865/参数实验室!$E$58)/参数实验室!$E$59</f>
        <v>0.12769101820453477</v>
      </c>
      <c r="H1865" s="856">
        <f>INDEX(神经网络!$G$10:$BO$70,MATCH(ROUND(G1865*2,1)/2,神经网络!$E$10:$E$70,0),MATCH(ROUND(E1865*2,1)/2,神经网络!$G$8:$BO$8,0))</f>
        <v>-4.5496982226918441E-2</v>
      </c>
      <c r="I1865">
        <f t="shared" si="230"/>
        <v>988.14154341398876</v>
      </c>
      <c r="J1865">
        <f t="shared" si="231"/>
        <v>92.17668887913473</v>
      </c>
      <c r="K1865">
        <f t="shared" si="232"/>
        <v>10.720080699683997</v>
      </c>
      <c r="L1865" s="4">
        <f>MIN(MAX(L1864*(1+MAX(MIN(((B1865-B1864)/B1864)/($K$7*卓尔金历!$N$40),0),-卓尔金历!$M$43))+MIN(MAX(((B1865-B1864)/B1864)/($K$7*卓尔金历!$N$40),0),卓尔金历!$M$43),0),1)</f>
        <v>0.58932740227388958</v>
      </c>
      <c r="M1865" s="4">
        <f>MIN(MAX(M1864*(1+MAX(MIN(((B1865-B1864)/B1864)/($K$7*30),0),-卓尔金历!$M$43))+MIN(MAX(((B1865-B1864)/B1864)/($K$7*7),0),卓尔金历!$M$43),0),1)</f>
        <v>0.93398146005154103</v>
      </c>
      <c r="N1865">
        <f t="shared" si="233"/>
        <v>781.65395419810409</v>
      </c>
      <c r="O1865">
        <f t="shared" si="234"/>
        <v>2045.9182640954534</v>
      </c>
      <c r="P1865">
        <f t="shared" si="235"/>
        <v>-6.1095239734279419E-3</v>
      </c>
      <c r="Q1865">
        <f t="shared" si="236"/>
        <v>1.4771031449486468E-2</v>
      </c>
      <c r="R1865">
        <f t="shared" si="237"/>
        <v>0.91071996640409403</v>
      </c>
      <c r="S1865">
        <f t="shared" si="229"/>
        <v>16.610469160986316</v>
      </c>
      <c r="T1865" s="564">
        <f>IF((I1865-MAX(I$470:I1865))/MAX(I$470:I1865)&gt;T1864,T1864,(I1865-MAX(I$470:I1865))/MAX(I$470:I1865))</f>
        <v>-0.91338805338419748</v>
      </c>
      <c r="U1865" s="564">
        <f>IF((J1865-MAX(J$470:J1865))/MAX(J$470:J1865)&gt;U1864,U1864,(J1865-MAX(J$470:J1865))/MAX(J$470:J1865))</f>
        <v>-0.8283551177402233</v>
      </c>
      <c r="V1865" s="564">
        <f>IF((K1865-MAX(K$470:K1865))/MAX(K$470:K1865)&gt;V1864,V1864,(K1865-MAX(K$470:K1865))/MAX(K$470:K1865))</f>
        <v>-0.84885940676762139</v>
      </c>
      <c r="W1865" s="564">
        <f>IF((N1865-MAX(N$470:N1865))/MAX(N$470:N1865)&gt;W1864,W1864,(N1865-MAX(N$470:N1865))/MAX(N$470:N1865))</f>
        <v>-0.62788758315546067</v>
      </c>
      <c r="X1865" s="564">
        <f>IF((O1865-MAX(O$470:O1865))/MAX(O$470:O1865)&gt;X1864,X1864,(O1865-MAX(O$470:O1865))/MAX(O$470:O1865))</f>
        <v>-0.62788758315546067</v>
      </c>
    </row>
    <row r="1866" spans="1:24">
      <c r="A1866" s="799">
        <v>42268</v>
      </c>
      <c r="B1866">
        <v>227.71899999999999</v>
      </c>
      <c r="C1866">
        <v>431.38838500000003</v>
      </c>
      <c r="D1866">
        <v>0.81584999999999996</v>
      </c>
      <c r="E1866">
        <f>LN(D1866/参数实验室!$E$53)/参数实验室!$E$55</f>
        <v>-0.9330772950074987</v>
      </c>
      <c r="F1866">
        <f t="shared" si="238"/>
        <v>1.8943890716189691</v>
      </c>
      <c r="G1866">
        <f>LN(F1866/参数实验室!$E$58)/参数实验室!$E$59</f>
        <v>0.14479733237440107</v>
      </c>
      <c r="H1866" s="856">
        <f>INDEX(神经网络!$G$10:$BO$70,MATCH(ROUND(G1866*2,1)/2,神经网络!$E$10:$E$70,0),MATCH(ROUND(E1866*2,1)/2,神经网络!$G$8:$BO$8,0))</f>
        <v>-2.996477770490634E-2</v>
      </c>
      <c r="I1866">
        <f t="shared" si="230"/>
        <v>988.78086243146504</v>
      </c>
      <c r="J1866">
        <f t="shared" si="231"/>
        <v>90.865887235146062</v>
      </c>
      <c r="K1866">
        <f t="shared" si="232"/>
        <v>10.881760939313361</v>
      </c>
      <c r="L1866" s="4">
        <f>MIN(MAX(L1865*(1+MAX(MIN(((B1866-B1865)/B1865)/($K$7*卓尔金历!$N$40),0),-卓尔金历!$M$43))+MIN(MAX(((B1866-B1865)/B1865)/($K$7*卓尔金历!$N$40),0),卓尔金历!$M$43),0),1)</f>
        <v>0.4612806441722091</v>
      </c>
      <c r="M1866" s="4">
        <f>MIN(MAX(M1865*(1+MAX(MIN(((B1866-B1865)/B1865)/($K$7*30),0),-卓尔金历!$M$43))+MIN(MAX(((B1866-B1865)/B1865)/($K$7*7),0),卓尔金历!$M$43),0),1)</f>
        <v>0.83251553667412015</v>
      </c>
      <c r="N1866">
        <f t="shared" si="233"/>
        <v>781.95199081811472</v>
      </c>
      <c r="O1866">
        <f t="shared" si="234"/>
        <v>2047.1545673137907</v>
      </c>
      <c r="P1866">
        <f t="shared" si="235"/>
        <v>-1.4220532977783921E-2</v>
      </c>
      <c r="Q1866">
        <f t="shared" si="236"/>
        <v>1.4859088198401307E-2</v>
      </c>
      <c r="R1866">
        <f t="shared" si="237"/>
        <v>5.934461907499481E-2</v>
      </c>
      <c r="S1866">
        <f t="shared" si="229"/>
        <v>16.620256513311823</v>
      </c>
      <c r="T1866" s="564">
        <f>IF((I1866-MAX(I$470:I1866))/MAX(I$470:I1866)&gt;T1865,T1865,(I1866-MAX(I$470:I1866))/MAX(I$470:I1866))</f>
        <v>-0.91338805338419748</v>
      </c>
      <c r="U1866" s="564">
        <f>IF((J1866-MAX(J$470:J1866))/MAX(J$470:J1866)&gt;U1865,U1865,(J1866-MAX(J$470:J1866))/MAX(J$470:J1866))</f>
        <v>-0.8283551177402233</v>
      </c>
      <c r="V1866" s="564">
        <f>IF((K1866-MAX(K$470:K1866))/MAX(K$470:K1866)&gt;V1865,V1865,(K1866-MAX(K$470:K1866))/MAX(K$470:K1866))</f>
        <v>-0.84885940676762139</v>
      </c>
      <c r="W1866" s="564">
        <f>IF((N1866-MAX(N$470:N1866))/MAX(N$470:N1866)&gt;W1865,W1865,(N1866-MAX(N$470:N1866))/MAX(N$470:N1866))</f>
        <v>-0.62788758315546067</v>
      </c>
      <c r="X1866" s="564">
        <f>IF((O1866-MAX(O$470:O1866))/MAX(O$470:O1866)&gt;X1865,X1865,(O1866-MAX(O$470:O1866))/MAX(O$470:O1866))</f>
        <v>-0.62788758315546067</v>
      </c>
    </row>
    <row r="1867" spans="1:24">
      <c r="A1867" s="799">
        <v>42269</v>
      </c>
      <c r="B1867">
        <v>231.566</v>
      </c>
      <c r="C1867">
        <v>425.109691</v>
      </c>
      <c r="D1867">
        <v>0.82986400000000005</v>
      </c>
      <c r="E1867">
        <f>LN(D1867/参数实验室!$E$53)/参数实验室!$E$55</f>
        <v>-0.91298454304851828</v>
      </c>
      <c r="F1867">
        <f t="shared" si="238"/>
        <v>1.8358035765181417</v>
      </c>
      <c r="G1867">
        <f>LN(F1867/参数实验室!$E$58)/参数实验室!$E$59</f>
        <v>0.12830951765592266</v>
      </c>
      <c r="H1867" s="856">
        <f>INDEX(神经网络!$G$10:$BO$70,MATCH(ROUND(G1867*2,1)/2,神经网络!$E$10:$E$70,0),MATCH(ROUND(E1867*2,1)/2,神经网络!$G$8:$BO$8,0))</f>
        <v>-4.5496982226918441E-2</v>
      </c>
      <c r="I1867">
        <f t="shared" si="230"/>
        <v>988.28032791586008</v>
      </c>
      <c r="J1867">
        <f t="shared" si="231"/>
        <v>92.400941702246342</v>
      </c>
      <c r="K1867">
        <f t="shared" si="232"/>
        <v>10.695565539802656</v>
      </c>
      <c r="L1867" s="4">
        <f>MIN(MAX(L1866*(1+MAX(MIN(((B1867-B1866)/B1866)/($K$7*卓尔金历!$N$40),0),-卓尔金历!$M$43))+MIN(MAX(((B1867-B1866)/B1866)/($K$7*卓尔金历!$N$40),0),卓尔金历!$M$43),0),1)</f>
        <v>0.71939906340937276</v>
      </c>
      <c r="M1867" s="4">
        <f>MIN(MAX(M1866*(1+MAX(MIN(((B1867-B1866)/B1866)/($K$7*30),0),-卓尔金历!$M$43))+MIN(MAX(((B1867-B1866)/B1866)/($K$7*7),0),卓尔金历!$M$43),0),1)</f>
        <v>1</v>
      </c>
      <c r="N1867">
        <f t="shared" si="233"/>
        <v>781.76939984645253</v>
      </c>
      <c r="O1867">
        <f t="shared" si="234"/>
        <v>2046.2918332211671</v>
      </c>
      <c r="P1867">
        <f t="shared" si="235"/>
        <v>1.689362767270192E-2</v>
      </c>
      <c r="Q1867">
        <f t="shared" si="236"/>
        <v>1.4996264510646633E-2</v>
      </c>
      <c r="R1867">
        <f t="shared" si="237"/>
        <v>1.3088845486986522E-2</v>
      </c>
      <c r="S1867">
        <f t="shared" si="229"/>
        <v>16.61975722310553</v>
      </c>
      <c r="T1867" s="564">
        <f>IF((I1867-MAX(I$470:I1867))/MAX(I$470:I1867)&gt;T1866,T1866,(I1867-MAX(I$470:I1867))/MAX(I$470:I1867))</f>
        <v>-0.91338805338419748</v>
      </c>
      <c r="U1867" s="564">
        <f>IF((J1867-MAX(J$470:J1867))/MAX(J$470:J1867)&gt;U1866,U1866,(J1867-MAX(J$470:J1867))/MAX(J$470:J1867))</f>
        <v>-0.8283551177402233</v>
      </c>
      <c r="V1867" s="564">
        <f>IF((K1867-MAX(K$470:K1867))/MAX(K$470:K1867)&gt;V1866,V1866,(K1867-MAX(K$470:K1867))/MAX(K$470:K1867))</f>
        <v>-0.84885940676762139</v>
      </c>
      <c r="W1867" s="564">
        <f>IF((N1867-MAX(N$470:N1867))/MAX(N$470:N1867)&gt;W1866,W1866,(N1867-MAX(N$470:N1867))/MAX(N$470:N1867))</f>
        <v>-0.62788758315546067</v>
      </c>
      <c r="X1867" s="564">
        <f>IF((O1867-MAX(O$470:O1867))/MAX(O$470:O1867)&gt;X1866,X1866,(O1867-MAX(O$470:O1867))/MAX(O$470:O1867))</f>
        <v>-0.62788758315546067</v>
      </c>
    </row>
    <row r="1868" spans="1:24">
      <c r="A1868" s="799">
        <v>42270</v>
      </c>
      <c r="B1868">
        <v>230.202</v>
      </c>
      <c r="C1868">
        <v>424.620859</v>
      </c>
      <c r="D1868">
        <v>0.82892500000000002</v>
      </c>
      <c r="E1868">
        <f>LN(D1868/参数实验室!$E$53)/参数实验室!$E$55</f>
        <v>-0.91432020227270794</v>
      </c>
      <c r="F1868">
        <f t="shared" si="238"/>
        <v>1.8445576450248042</v>
      </c>
      <c r="G1868">
        <f>LN(F1868/参数实验室!$E$58)/参数实验室!$E$59</f>
        <v>0.13080634698192653</v>
      </c>
      <c r="H1868" s="856">
        <f>INDEX(神经网络!$G$10:$BO$70,MATCH(ROUND(G1868*2,1)/2,神经网络!$E$10:$E$70,0),MATCH(ROUND(E1868*2,1)/2,神经网络!$G$8:$BO$8,0))</f>
        <v>-4.5496982226918441E-2</v>
      </c>
      <c r="I1868">
        <f t="shared" si="230"/>
        <v>988.5451793435725</v>
      </c>
      <c r="J1868">
        <f t="shared" si="231"/>
        <v>91.856669725868699</v>
      </c>
      <c r="K1868">
        <f t="shared" si="232"/>
        <v>10.761822546949775</v>
      </c>
      <c r="L1868" s="4">
        <f>MIN(MAX(L1867*(1+MAX(MIN(((B1868-B1867)/B1867)/($K$7*卓尔金历!$N$40),0),-卓尔金历!$M$43))+MIN(MAX(((B1868-B1867)/B1867)/($K$7*卓尔金历!$N$40),0),卓尔金历!$M$43),0),1)</f>
        <v>0.65465416958832767</v>
      </c>
      <c r="M1868" s="4">
        <f>MIN(MAX(M1867*(1+MAX(MIN(((B1868-B1867)/B1867)/($K$7*30),0),-卓尔金历!$M$43))+MIN(MAX(((B1868-B1867)/B1867)/($K$7*7),0),卓尔金历!$M$43),0),1)</f>
        <v>0.95500071023570265</v>
      </c>
      <c r="N1868">
        <f t="shared" si="233"/>
        <v>781.92011978313599</v>
      </c>
      <c r="O1868">
        <f t="shared" si="234"/>
        <v>2046.8402234888231</v>
      </c>
      <c r="P1868">
        <f t="shared" si="235"/>
        <v>-5.8903293229576204E-3</v>
      </c>
      <c r="Q1868">
        <f t="shared" si="236"/>
        <v>1.4499273203950613E-2</v>
      </c>
      <c r="R1868">
        <f t="shared" si="237"/>
        <v>0.92929131485907623</v>
      </c>
      <c r="S1868">
        <f t="shared" si="229"/>
        <v>16.61981552037102</v>
      </c>
      <c r="T1868" s="564">
        <f>IF((I1868-MAX(I$470:I1868))/MAX(I$470:I1868)&gt;T1867,T1867,(I1868-MAX(I$470:I1868))/MAX(I$470:I1868))</f>
        <v>-0.91338805338419748</v>
      </c>
      <c r="U1868" s="564">
        <f>IF((J1868-MAX(J$470:J1868))/MAX(J$470:J1868)&gt;U1867,U1867,(J1868-MAX(J$470:J1868))/MAX(J$470:J1868))</f>
        <v>-0.8283551177402233</v>
      </c>
      <c r="V1868" s="564">
        <f>IF((K1868-MAX(K$470:K1868))/MAX(K$470:K1868)&gt;V1867,V1867,(K1868-MAX(K$470:K1868))/MAX(K$470:K1868))</f>
        <v>-0.84885940676762139</v>
      </c>
      <c r="W1868" s="564">
        <f>IF((N1868-MAX(N$470:N1868))/MAX(N$470:N1868)&gt;W1867,W1867,(N1868-MAX(N$470:N1868))/MAX(N$470:N1868))</f>
        <v>-0.62788758315546067</v>
      </c>
      <c r="X1868" s="564">
        <f>IF((O1868-MAX(O$470:O1868))/MAX(O$470:O1868)&gt;X1867,X1867,(O1868-MAX(O$470:O1868))/MAX(O$470:O1868))</f>
        <v>-0.62788758315546067</v>
      </c>
    </row>
    <row r="1869" spans="1:24">
      <c r="A1869" s="799">
        <v>42271</v>
      </c>
      <c r="B1869">
        <v>231.13900000000001</v>
      </c>
      <c r="C1869">
        <v>423.52135299999998</v>
      </c>
      <c r="D1869">
        <v>0.84398099999999998</v>
      </c>
      <c r="E1869">
        <f>LN(D1869/参数实验室!$E$53)/参数实验室!$E$55</f>
        <v>-0.89308428771612924</v>
      </c>
      <c r="F1869">
        <f t="shared" si="238"/>
        <v>1.8323232037864661</v>
      </c>
      <c r="G1869">
        <f>LN(F1869/参数实验室!$E$58)/参数实验室!$E$59</f>
        <v>0.12731353885954211</v>
      </c>
      <c r="H1869" s="856">
        <f>INDEX(神经网络!$G$10:$BO$70,MATCH(ROUND(G1869*2,1)/2,神经网络!$E$10:$E$70,0),MATCH(ROUND(E1869*2,1)/2,神经网络!$G$8:$BO$8,0))</f>
        <v>-4.5496982226918441E-2</v>
      </c>
      <c r="I1869">
        <f t="shared" si="230"/>
        <v>988.36211253424665</v>
      </c>
      <c r="J1869">
        <f t="shared" si="231"/>
        <v>92.230557439846592</v>
      </c>
      <c r="K1869">
        <f t="shared" si="232"/>
        <v>10.71621098223182</v>
      </c>
      <c r="L1869" s="4">
        <f>MIN(MAX(L1868*(1+MAX(MIN(((B1869-B1868)/B1868)/($K$7*卓尔金历!$N$40),0),-卓尔金历!$M$43))+MIN(MAX(((B1869-B1868)/B1868)/($K$7*卓尔金历!$N$40),0),卓尔金历!$M$43),0),1)</f>
        <v>0.71684503165019209</v>
      </c>
      <c r="M1869" s="4">
        <f>MIN(MAX(M1868*(1+MAX(MIN(((B1869-B1868)/B1868)/($K$7*30),0),-卓尔金历!$M$43))+MIN(MAX(((B1869-B1868)/B1868)/($K$7*7),0),卓尔金历!$M$43),0),1)</f>
        <v>1</v>
      </c>
      <c r="N1869">
        <f t="shared" si="233"/>
        <v>781.82532434979862</v>
      </c>
      <c r="O1869">
        <f t="shared" si="234"/>
        <v>2046.478230026489</v>
      </c>
      <c r="P1869">
        <f t="shared" si="235"/>
        <v>4.070338224689672E-3</v>
      </c>
      <c r="Q1869">
        <f t="shared" si="236"/>
        <v>1.4271534706456462E-2</v>
      </c>
      <c r="R1869">
        <f t="shared" si="237"/>
        <v>1</v>
      </c>
      <c r="S1869">
        <f t="shared" si="229"/>
        <v>16.616955354851449</v>
      </c>
      <c r="T1869" s="564">
        <f>IF((I1869-MAX(I$470:I1869))/MAX(I$470:I1869)&gt;T1868,T1868,(I1869-MAX(I$470:I1869))/MAX(I$470:I1869))</f>
        <v>-0.91338805338419748</v>
      </c>
      <c r="U1869" s="564">
        <f>IF((J1869-MAX(J$470:J1869))/MAX(J$470:J1869)&gt;U1868,U1868,(J1869-MAX(J$470:J1869))/MAX(J$470:J1869))</f>
        <v>-0.8283551177402233</v>
      </c>
      <c r="V1869" s="564">
        <f>IF((K1869-MAX(K$470:K1869))/MAX(K$470:K1869)&gt;V1868,V1868,(K1869-MAX(K$470:K1869))/MAX(K$470:K1869))</f>
        <v>-0.84885940676762139</v>
      </c>
      <c r="W1869" s="564">
        <f>IF((N1869-MAX(N$470:N1869))/MAX(N$470:N1869)&gt;W1868,W1868,(N1869-MAX(N$470:N1869))/MAX(N$470:N1869))</f>
        <v>-0.62788758315546067</v>
      </c>
      <c r="X1869" s="564">
        <f>IF((O1869-MAX(O$470:O1869))/MAX(O$470:O1869)&gt;X1868,X1868,(O1869-MAX(O$470:O1869))/MAX(O$470:O1869))</f>
        <v>-0.62788758315546067</v>
      </c>
    </row>
    <row r="1870" spans="1:24">
      <c r="A1870" s="799">
        <v>42272</v>
      </c>
      <c r="B1870">
        <v>236.82</v>
      </c>
      <c r="C1870">
        <v>423.04961900000001</v>
      </c>
      <c r="D1870">
        <v>0.84847799999999995</v>
      </c>
      <c r="E1870">
        <f>LN(D1870/参数实验室!$E$53)/参数实验室!$E$55</f>
        <v>-0.88681487401264736</v>
      </c>
      <c r="F1870">
        <f t="shared" si="238"/>
        <v>1.7863762308926612</v>
      </c>
      <c r="G1870">
        <f>LN(F1870/参数实验室!$E$58)/参数实验室!$E$59</f>
        <v>0.11398457856004253</v>
      </c>
      <c r="H1870" s="856">
        <f>INDEX(神经网络!$G$10:$BO$70,MATCH(ROUND(G1870*2,1)/2,神经网络!$E$10:$E$70,0),MATCH(ROUND(E1870*2,1)/2,神经网络!$G$8:$BO$8,0))</f>
        <v>-6.5486849937294242E-2</v>
      </c>
      <c r="I1870">
        <f t="shared" si="230"/>
        <v>987.25688870620309</v>
      </c>
      <c r="J1870">
        <f t="shared" si="231"/>
        <v>94.497426279876905</v>
      </c>
      <c r="K1870">
        <f t="shared" si="232"/>
        <v>10.447447381076854</v>
      </c>
      <c r="L1870" s="4">
        <f>MIN(MAX(L1869*(1+MAX(MIN(((B1870-B1869)/B1869)/($K$7*卓尔金历!$N$40),0),-卓尔金历!$M$43))+MIN(MAX(((B1870-B1869)/B1869)/($K$7*卓尔金历!$N$40),0),卓尔金历!$M$43),0),1)</f>
        <v>1</v>
      </c>
      <c r="M1870" s="4">
        <f>MIN(MAX(M1869*(1+MAX(MIN(((B1870-B1869)/B1869)/($K$7*30),0),-卓尔金历!$M$43))+MIN(MAX(((B1870-B1869)/B1869)/($K$7*7),0),卓尔金历!$M$43),0),1)</f>
        <v>1</v>
      </c>
      <c r="N1870">
        <f t="shared" si="233"/>
        <v>781.19861068549733</v>
      </c>
      <c r="O1870">
        <f t="shared" si="234"/>
        <v>2044.1897808086226</v>
      </c>
      <c r="P1870">
        <f t="shared" si="235"/>
        <v>2.4578284062836575E-2</v>
      </c>
      <c r="Q1870">
        <f t="shared" si="236"/>
        <v>1.5046042208456581E-2</v>
      </c>
      <c r="R1870">
        <f t="shared" si="237"/>
        <v>7.267803154268E-3</v>
      </c>
      <c r="S1870">
        <f t="shared" si="229"/>
        <v>16.598373648030829</v>
      </c>
      <c r="T1870" s="564">
        <f>IF((I1870-MAX(I$470:I1870))/MAX(I$470:I1870)&gt;T1869,T1869,(I1870-MAX(I$470:I1870))/MAX(I$470:I1870))</f>
        <v>-0.91338805338419748</v>
      </c>
      <c r="U1870" s="564">
        <f>IF((J1870-MAX(J$470:J1870))/MAX(J$470:J1870)&gt;U1869,U1869,(J1870-MAX(J$470:J1870))/MAX(J$470:J1870))</f>
        <v>-0.8283551177402233</v>
      </c>
      <c r="V1870" s="564">
        <f>IF((K1870-MAX(K$470:K1870))/MAX(K$470:K1870)&gt;V1869,V1869,(K1870-MAX(K$470:K1870))/MAX(K$470:K1870))</f>
        <v>-0.84885940676762139</v>
      </c>
      <c r="W1870" s="564">
        <f>IF((N1870-MAX(N$470:N1870))/MAX(N$470:N1870)&gt;W1869,W1869,(N1870-MAX(N$470:N1870))/MAX(N$470:N1870))</f>
        <v>-0.62788758315546067</v>
      </c>
      <c r="X1870" s="564">
        <f>IF((O1870-MAX(O$470:O1870))/MAX(O$470:O1870)&gt;X1869,X1869,(O1870-MAX(O$470:O1870))/MAX(O$470:O1870))</f>
        <v>-0.62788758315546067</v>
      </c>
    </row>
    <row r="1871" spans="1:24">
      <c r="A1871" s="799">
        <v>42273</v>
      </c>
      <c r="B1871">
        <v>233.93299999999999</v>
      </c>
      <c r="C1871">
        <v>420.56053800000001</v>
      </c>
      <c r="D1871">
        <v>0.84518800000000005</v>
      </c>
      <c r="E1871">
        <f>LN(D1871/参数实验室!$E$53)/参数实验室!$E$55</f>
        <v>-0.89139829607429122</v>
      </c>
      <c r="F1871">
        <f t="shared" si="238"/>
        <v>1.7977820059589713</v>
      </c>
      <c r="G1871">
        <f>LN(F1871/参数实验室!$E$58)/参数实验室!$E$59</f>
        <v>0.11732504902494878</v>
      </c>
      <c r="H1871" s="856">
        <f>INDEX(神经网络!$G$10:$BO$70,MATCH(ROUND(G1871*2,1)/2,神经网络!$E$10:$E$70,0),MATCH(ROUND(E1871*2,1)/2,神经网络!$G$8:$BO$8,0))</f>
        <v>-6.5486849937294242E-2</v>
      </c>
      <c r="I1871">
        <f t="shared" si="230"/>
        <v>988.0450456030884</v>
      </c>
      <c r="J1871">
        <f t="shared" si="231"/>
        <v>93.345437133394313</v>
      </c>
      <c r="K1871">
        <f t="shared" si="232"/>
        <v>10.584824239358728</v>
      </c>
      <c r="L1871" s="4">
        <f>MIN(MAX(L1870*(1+MAX(MIN(((B1871-B1870)/B1870)/($K$7*卓尔金历!$N$40),0),-卓尔金历!$M$43))+MIN(MAX(((B1871-B1870)/B1870)/($K$7*卓尔金历!$N$40),0),卓尔金历!$M$43),0),1)</f>
        <v>0.81373790409023183</v>
      </c>
      <c r="M1871" s="4">
        <f>MIN(MAX(M1870*(1+MAX(MIN(((B1871-B1870)/B1870)/($K$7*30),0),-卓尔金历!$M$43))+MIN(MAX(((B1871-B1870)/B1870)/($K$7*7),0),卓尔金历!$M$43),0),1)</f>
        <v>0.90686895204511597</v>
      </c>
      <c r="N1871">
        <f t="shared" si="233"/>
        <v>781.82226505539074</v>
      </c>
      <c r="O1871">
        <f t="shared" si="234"/>
        <v>2045.8217190535897</v>
      </c>
      <c r="P1871">
        <f t="shared" si="235"/>
        <v>-1.2190693353601893E-2</v>
      </c>
      <c r="Q1871">
        <f t="shared" si="236"/>
        <v>1.5287272262264485E-2</v>
      </c>
      <c r="R1871">
        <f t="shared" si="237"/>
        <v>0.24479946365970121</v>
      </c>
      <c r="S1871">
        <f t="shared" si="229"/>
        <v>16.598469953555234</v>
      </c>
      <c r="T1871" s="564">
        <f>IF((I1871-MAX(I$470:I1871))/MAX(I$470:I1871)&gt;T1870,T1870,(I1871-MAX(I$470:I1871))/MAX(I$470:I1871))</f>
        <v>-0.91338805338419748</v>
      </c>
      <c r="U1871" s="564">
        <f>IF((J1871-MAX(J$470:J1871))/MAX(J$470:J1871)&gt;U1870,U1870,(J1871-MAX(J$470:J1871))/MAX(J$470:J1871))</f>
        <v>-0.8283551177402233</v>
      </c>
      <c r="V1871" s="564">
        <f>IF((K1871-MAX(K$470:K1871))/MAX(K$470:K1871)&gt;V1870,V1870,(K1871-MAX(K$470:K1871))/MAX(K$470:K1871))</f>
        <v>-0.84885940676762139</v>
      </c>
      <c r="W1871" s="564">
        <f>IF((N1871-MAX(N$470:N1871))/MAX(N$470:N1871)&gt;W1870,W1870,(N1871-MAX(N$470:N1871))/MAX(N$470:N1871))</f>
        <v>-0.62788758315546067</v>
      </c>
      <c r="X1871" s="564">
        <f>IF((O1871-MAX(O$470:O1871))/MAX(O$470:O1871)&gt;X1870,X1870,(O1871-MAX(O$470:O1871))/MAX(O$470:O1871))</f>
        <v>-0.62788758315546067</v>
      </c>
    </row>
    <row r="1872" spans="1:24">
      <c r="A1872" s="799">
        <v>42274</v>
      </c>
      <c r="B1872">
        <v>233.24100000000001</v>
      </c>
      <c r="C1872">
        <v>422.60156699999999</v>
      </c>
      <c r="D1872">
        <v>0.84045000000000003</v>
      </c>
      <c r="E1872">
        <f>LN(D1872/参数实验室!$E$53)/参数实验室!$E$55</f>
        <v>-0.89803042656807763</v>
      </c>
      <c r="F1872">
        <f t="shared" si="238"/>
        <v>1.8118665543365016</v>
      </c>
      <c r="G1872">
        <f>LN(F1872/参数实验室!$E$58)/参数实验室!$E$59</f>
        <v>0.12142094343337119</v>
      </c>
      <c r="H1872" s="856">
        <f>INDEX(神经网络!$G$10:$BO$70,MATCH(ROUND(G1872*2,1)/2,神经网络!$E$10:$E$70,0),MATCH(ROUND(E1872*2,1)/2,神经网络!$G$8:$BO$8,0))</f>
        <v>-6.5486849937294242E-2</v>
      </c>
      <c r="I1872">
        <f t="shared" si="230"/>
        <v>988.23644715259968</v>
      </c>
      <c r="J1872">
        <f t="shared" si="231"/>
        <v>93.06931088144907</v>
      </c>
      <c r="K1872">
        <f t="shared" si="232"/>
        <v>10.618284779301817</v>
      </c>
      <c r="L1872" s="4">
        <f>MIN(MAX(L1871*(1+MAX(MIN(((B1872-B1871)/B1871)/($K$7*卓尔金历!$N$40),0),-卓尔金历!$M$43))+MIN(MAX(((B1872-B1871)/B1871)/($K$7*卓尔金历!$N$40),0),卓尔金历!$M$43),0),1)</f>
        <v>0.77695930112380729</v>
      </c>
      <c r="M1872" s="4">
        <f>MIN(MAX(M1871*(1+MAX(MIN(((B1872-B1871)/B1871)/($K$7*30),0),-卓尔金历!$M$43))+MIN(MAX(((B1872-B1871)/B1871)/($K$7*7),0),卓尔金历!$M$43),0),1)</f>
        <v>0.8863750233721398</v>
      </c>
      <c r="N1872">
        <f t="shared" si="233"/>
        <v>781.94550777824895</v>
      </c>
      <c r="O1872">
        <f t="shared" si="234"/>
        <v>2046.1811214949619</v>
      </c>
      <c r="P1872">
        <f t="shared" si="235"/>
        <v>-2.9581119380334493E-3</v>
      </c>
      <c r="Q1872">
        <f t="shared" si="236"/>
        <v>1.3998644137636088E-2</v>
      </c>
      <c r="R1872">
        <f t="shared" si="237"/>
        <v>1</v>
      </c>
      <c r="S1872">
        <f t="shared" si="229"/>
        <v>16.599257084929214</v>
      </c>
      <c r="T1872" s="564">
        <f>IF((I1872-MAX(I$470:I1872))/MAX(I$470:I1872)&gt;T1871,T1871,(I1872-MAX(I$470:I1872))/MAX(I$470:I1872))</f>
        <v>-0.91338805338419748</v>
      </c>
      <c r="U1872" s="564">
        <f>IF((J1872-MAX(J$470:J1872))/MAX(J$470:J1872)&gt;U1871,U1871,(J1872-MAX(J$470:J1872))/MAX(J$470:J1872))</f>
        <v>-0.8283551177402233</v>
      </c>
      <c r="V1872" s="564">
        <f>IF((K1872-MAX(K$470:K1872))/MAX(K$470:K1872)&gt;V1871,V1871,(K1872-MAX(K$470:K1872))/MAX(K$470:K1872))</f>
        <v>-0.84885940676762139</v>
      </c>
      <c r="W1872" s="564">
        <f>IF((N1872-MAX(N$470:N1872))/MAX(N$470:N1872)&gt;W1871,W1871,(N1872-MAX(N$470:N1872))/MAX(N$470:N1872))</f>
        <v>-0.62788758315546067</v>
      </c>
      <c r="X1872" s="564">
        <f>IF((O1872-MAX(O$470:O1872))/MAX(O$470:O1872)&gt;X1871,X1871,(O1872-MAX(O$470:O1872))/MAX(O$470:O1872))</f>
        <v>-0.62788758315546067</v>
      </c>
    </row>
    <row r="1873" spans="1:24">
      <c r="A1873" s="799">
        <v>42275</v>
      </c>
      <c r="B1873">
        <v>237.11</v>
      </c>
      <c r="C1873">
        <v>427.79468700000001</v>
      </c>
      <c r="D1873">
        <v>0.86502800000000002</v>
      </c>
      <c r="E1873">
        <f>LN(D1873/参数实验室!$E$53)/参数实验室!$E$55</f>
        <v>-0.86402473103438071</v>
      </c>
      <c r="F1873">
        <f t="shared" si="238"/>
        <v>1.8042034793977477</v>
      </c>
      <c r="G1873">
        <f>LN(F1873/参数实验室!$E$58)/参数实验室!$E$59</f>
        <v>0.11919642795257655</v>
      </c>
      <c r="H1873" s="856">
        <f>INDEX(神经网络!$G$10:$BO$70,MATCH(ROUND(G1873*2,1)/2,神经网络!$E$10:$E$70,0),MATCH(ROUND(E1873*2,1)/2,神经网络!$G$8:$BO$8,0))</f>
        <v>-0.1058115802451777</v>
      </c>
      <c r="I1873">
        <f t="shared" si="230"/>
        <v>987.16293045858868</v>
      </c>
      <c r="J1873">
        <f t="shared" si="231"/>
        <v>94.6131439288135</v>
      </c>
      <c r="K1873">
        <f t="shared" si="232"/>
        <v>10.433676437190647</v>
      </c>
      <c r="L1873" s="4">
        <f>MIN(MAX(L1872*(1+MAX(MIN(((B1873-B1872)/B1872)/($K$7*卓尔金历!$N$40),0),-卓尔金历!$M$43))+MIN(MAX(((B1873-B1872)/B1872)/($K$7*卓尔金历!$N$40),0),卓尔金历!$M$43),0),1)</f>
        <v>1</v>
      </c>
      <c r="M1873" s="4">
        <f>MIN(MAX(M1872*(1+MAX(MIN(((B1873-B1872)/B1872)/($K$7*30),0),-卓尔金历!$M$43))+MIN(MAX(((B1873-B1872)/B1872)/($K$7*7),0),卓尔金历!$M$43),0),1)</f>
        <v>1</v>
      </c>
      <c r="N1873">
        <f t="shared" si="233"/>
        <v>781.28554005768331</v>
      </c>
      <c r="O1873">
        <f t="shared" si="234"/>
        <v>2044.2109251063832</v>
      </c>
      <c r="P1873">
        <f t="shared" si="235"/>
        <v>1.6587992677102224E-2</v>
      </c>
      <c r="Q1873">
        <f t="shared" si="236"/>
        <v>1.3684935715376854E-2</v>
      </c>
      <c r="R1873">
        <f t="shared" si="237"/>
        <v>1.1305536600574677E-2</v>
      </c>
      <c r="S1873">
        <f t="shared" si="229"/>
        <v>16.581225388526803</v>
      </c>
      <c r="T1873" s="564">
        <f>IF((I1873-MAX(I$470:I1873))/MAX(I$470:I1873)&gt;T1872,T1872,(I1873-MAX(I$470:I1873))/MAX(I$470:I1873))</f>
        <v>-0.91338805338419748</v>
      </c>
      <c r="U1873" s="564">
        <f>IF((J1873-MAX(J$470:J1873))/MAX(J$470:J1873)&gt;U1872,U1872,(J1873-MAX(J$470:J1873))/MAX(J$470:J1873))</f>
        <v>-0.8283551177402233</v>
      </c>
      <c r="V1873" s="564">
        <f>IF((K1873-MAX(K$470:K1873))/MAX(K$470:K1873)&gt;V1872,V1872,(K1873-MAX(K$470:K1873))/MAX(K$470:K1873))</f>
        <v>-0.84885940676762139</v>
      </c>
      <c r="W1873" s="564">
        <f>IF((N1873-MAX(N$470:N1873))/MAX(N$470:N1873)&gt;W1872,W1872,(N1873-MAX(N$470:N1873))/MAX(N$470:N1873))</f>
        <v>-0.62788758315546067</v>
      </c>
      <c r="X1873" s="564">
        <f>IF((O1873-MAX(O$470:O1873))/MAX(O$470:O1873)&gt;X1872,X1872,(O1873-MAX(O$470:O1873))/MAX(O$470:O1873))</f>
        <v>-0.62788758315546067</v>
      </c>
    </row>
    <row r="1874" spans="1:24">
      <c r="A1874" s="799">
        <v>42276</v>
      </c>
      <c r="B1874">
        <v>236.25899999999999</v>
      </c>
      <c r="C1874">
        <v>421.35529100000002</v>
      </c>
      <c r="D1874">
        <v>0.85547200000000001</v>
      </c>
      <c r="E1874">
        <f>LN(D1874/参数实验室!$E$53)/参数实验室!$E$55</f>
        <v>-0.87713003522469535</v>
      </c>
      <c r="F1874">
        <f t="shared" si="238"/>
        <v>1.7834465184395094</v>
      </c>
      <c r="G1874">
        <f>LN(F1874/参数实验室!$E$58)/参数实验室!$E$59</f>
        <v>0.1131230950190944</v>
      </c>
      <c r="H1874" s="856">
        <f>INDEX(神经网络!$G$10:$BO$70,MATCH(ROUND(G1874*2,1)/2,神经网络!$E$10:$E$70,0),MATCH(ROUND(E1874*2,1)/2,神经网络!$G$8:$BO$8,0))</f>
        <v>-6.5486849937294242E-2</v>
      </c>
      <c r="I1874">
        <f t="shared" si="230"/>
        <v>987.53781862212554</v>
      </c>
      <c r="J1874">
        <f t="shared" si="231"/>
        <v>94.273572483140939</v>
      </c>
      <c r="K1874">
        <f t="shared" si="232"/>
        <v>10.475234921204754</v>
      </c>
      <c r="L1874" s="4">
        <f>MIN(MAX(L1873*(1+MAX(MIN(((B1874-B1873)/B1873)/($K$7*卓尔金历!$N$40),0),-卓尔金历!$M$43))+MIN(MAX(((B1874-B1873)/B1873)/($K$7*卓尔金历!$N$40),0),卓尔金历!$M$43),0),1)</f>
        <v>0.94516273731014377</v>
      </c>
      <c r="M1874" s="4">
        <f>MIN(MAX(M1873*(1+MAX(MIN(((B1874-B1873)/B1873)/($K$7*30),0),-卓尔金历!$M$43))+MIN(MAX(((B1874-B1873)/B1873)/($K$7*7),0),卓尔金历!$M$43),0),1)</f>
        <v>0.97258136865507194</v>
      </c>
      <c r="N1874">
        <f t="shared" si="233"/>
        <v>781.58224356251822</v>
      </c>
      <c r="O1874">
        <f t="shared" si="234"/>
        <v>2044.9872412097839</v>
      </c>
      <c r="P1874">
        <f t="shared" si="235"/>
        <v>-3.5890514950867843E-3</v>
      </c>
      <c r="Q1874">
        <f t="shared" si="236"/>
        <v>1.3673657471077761E-2</v>
      </c>
      <c r="R1874">
        <f t="shared" si="237"/>
        <v>1</v>
      </c>
      <c r="S1874">
        <f t="shared" si="229"/>
        <v>16.581296578805478</v>
      </c>
      <c r="T1874" s="564">
        <f>IF((I1874-MAX(I$470:I1874))/MAX(I$470:I1874)&gt;T1873,T1873,(I1874-MAX(I$470:I1874))/MAX(I$470:I1874))</f>
        <v>-0.91338805338419748</v>
      </c>
      <c r="U1874" s="564">
        <f>IF((J1874-MAX(J$470:J1874))/MAX(J$470:J1874)&gt;U1873,U1873,(J1874-MAX(J$470:J1874))/MAX(J$470:J1874))</f>
        <v>-0.8283551177402233</v>
      </c>
      <c r="V1874" s="564">
        <f>IF((K1874-MAX(K$470:K1874))/MAX(K$470:K1874)&gt;V1873,V1873,(K1874-MAX(K$470:K1874))/MAX(K$470:K1874))</f>
        <v>-0.84885940676762139</v>
      </c>
      <c r="W1874" s="564">
        <f>IF((N1874-MAX(N$470:N1874))/MAX(N$470:N1874)&gt;W1873,W1873,(N1874-MAX(N$470:N1874))/MAX(N$470:N1874))</f>
        <v>-0.62788758315546067</v>
      </c>
      <c r="X1874" s="564">
        <f>IF((O1874-MAX(O$470:O1874))/MAX(O$470:O1874)&gt;X1873,X1873,(O1874-MAX(O$470:O1874))/MAX(O$470:O1874))</f>
        <v>-0.62788758315546067</v>
      </c>
    </row>
    <row r="1875" spans="1:24">
      <c r="A1875" s="799">
        <v>42277</v>
      </c>
      <c r="B1875">
        <v>236.202</v>
      </c>
      <c r="C1875">
        <v>424.25042000000002</v>
      </c>
      <c r="D1875">
        <v>0.85345400000000005</v>
      </c>
      <c r="E1875">
        <f>LN(D1875/参数实验室!$E$53)/参数实验室!$E$55</f>
        <v>-0.87991628009770606</v>
      </c>
      <c r="F1875">
        <f t="shared" si="238"/>
        <v>1.7961339023378295</v>
      </c>
      <c r="G1875">
        <f>LN(F1875/参数实验室!$E$58)/参数实验室!$E$59</f>
        <v>0.11684367220274024</v>
      </c>
      <c r="H1875" s="856">
        <f>INDEX(神经网络!$G$10:$BO$70,MATCH(ROUND(G1875*2,1)/2,神经网络!$E$10:$E$70,0),MATCH(ROUND(E1875*2,1)/2,神经网络!$G$8:$BO$8,0))</f>
        <v>-6.5486849937294242E-2</v>
      </c>
      <c r="I1875">
        <f t="shared" si="230"/>
        <v>987.55342112714459</v>
      </c>
      <c r="J1875">
        <f t="shared" si="231"/>
        <v>94.250827979729266</v>
      </c>
      <c r="K1875">
        <f t="shared" si="232"/>
        <v>10.477928335436372</v>
      </c>
      <c r="L1875" s="4">
        <f>MIN(MAX(L1874*(1+MAX(MIN(((B1875-B1874)/B1874)/($K$7*卓尔金历!$N$40),0),-卓尔金历!$M$43))+MIN(MAX(((B1875-B1874)/B1874)/($K$7*卓尔金历!$N$40),0),卓尔金历!$M$43),0),1)</f>
        <v>0.94167864892234776</v>
      </c>
      <c r="M1875" s="4">
        <f>MIN(MAX(M1874*(1+MAX(MIN(((B1875-B1874)/B1874)/($K$7*30),0),-卓尔金历!$M$43))+MIN(MAX(((B1875-B1874)/B1874)/($K$7*7),0),卓尔金历!$M$43),0),1)</f>
        <v>0.97078878875377295</v>
      </c>
      <c r="N1875">
        <f t="shared" si="233"/>
        <v>781.59391493341207</v>
      </c>
      <c r="O1875">
        <f t="shared" si="234"/>
        <v>2045.0186648969902</v>
      </c>
      <c r="P1875">
        <f t="shared" si="235"/>
        <v>-2.4126065038787073E-4</v>
      </c>
      <c r="Q1875">
        <f t="shared" si="236"/>
        <v>1.3545408602504057E-2</v>
      </c>
      <c r="R1875">
        <f t="shared" si="237"/>
        <v>1</v>
      </c>
      <c r="S1875">
        <f t="shared" si="229"/>
        <v>16.58155855334277</v>
      </c>
      <c r="T1875" s="564">
        <f>IF((I1875-MAX(I$470:I1875))/MAX(I$470:I1875)&gt;T1874,T1874,(I1875-MAX(I$470:I1875))/MAX(I$470:I1875))</f>
        <v>-0.91338805338419748</v>
      </c>
      <c r="U1875" s="564">
        <f>IF((J1875-MAX(J$470:J1875))/MAX(J$470:J1875)&gt;U1874,U1874,(J1875-MAX(J$470:J1875))/MAX(J$470:J1875))</f>
        <v>-0.8283551177402233</v>
      </c>
      <c r="V1875" s="564">
        <f>IF((K1875-MAX(K$470:K1875))/MAX(K$470:K1875)&gt;V1874,V1874,(K1875-MAX(K$470:K1875))/MAX(K$470:K1875))</f>
        <v>-0.84885940676762139</v>
      </c>
      <c r="W1875" s="564">
        <f>IF((N1875-MAX(N$470:N1875))/MAX(N$470:N1875)&gt;W1874,W1874,(N1875-MAX(N$470:N1875))/MAX(N$470:N1875))</f>
        <v>-0.62788758315546067</v>
      </c>
      <c r="X1875" s="564">
        <f>IF((O1875-MAX(O$470:O1875))/MAX(O$470:O1875)&gt;X1874,X1874,(O1875-MAX(O$470:O1875))/MAX(O$470:O1875))</f>
        <v>-0.62788758315546067</v>
      </c>
    </row>
    <row r="1876" spans="1:24">
      <c r="A1876" s="799">
        <v>42278</v>
      </c>
      <c r="B1876">
        <v>236.03800000000001</v>
      </c>
      <c r="C1876">
        <v>426.02560199999999</v>
      </c>
      <c r="D1876">
        <v>0.85908099999999998</v>
      </c>
      <c r="E1876">
        <f>LN(D1876/参数实验室!$E$53)/参数实验室!$E$55</f>
        <v>-0.87216345122787864</v>
      </c>
      <c r="F1876">
        <f t="shared" si="238"/>
        <v>1.8049026089019564</v>
      </c>
      <c r="G1876">
        <f>LN(F1876/参数实验室!$E$58)/参数实验室!$E$59</f>
        <v>0.11939976969013368</v>
      </c>
      <c r="H1876" s="856">
        <f>INDEX(神经网络!$G$10:$BO$70,MATCH(ROUND(G1876*2,1)/2,神经网络!$E$10:$E$70,0),MATCH(ROUND(E1876*2,1)/2,神经网络!$G$8:$BO$8,0))</f>
        <v>-0.1058115802451777</v>
      </c>
      <c r="I1876">
        <f t="shared" si="230"/>
        <v>987.59832408766943</v>
      </c>
      <c r="J1876">
        <f t="shared" si="231"/>
        <v>94.185387654123744</v>
      </c>
      <c r="K1876">
        <f t="shared" si="232"/>
        <v>10.485685186267098</v>
      </c>
      <c r="L1876" s="4">
        <f>MIN(MAX(L1875*(1+MAX(MIN(((B1876-B1875)/B1875)/($K$7*卓尔金历!$N$40),0),-卓尔金历!$M$43))+MIN(MAX(((B1876-B1875)/B1875)/($K$7*卓尔金历!$N$40),0),卓尔金历!$M$43),0),1)</f>
        <v>0.93168879634092172</v>
      </c>
      <c r="M1876" s="4">
        <f>MIN(MAX(M1875*(1+MAX(MIN(((B1876-B1875)/B1875)/($K$7*30),0),-卓尔金历!$M$43))+MIN(MAX(((B1876-B1875)/B1875)/($K$7*7),0),卓尔金历!$M$43),0),1)</f>
        <v>0.96563945415940278</v>
      </c>
      <c r="N1876">
        <f t="shared" si="233"/>
        <v>781.6273805068397</v>
      </c>
      <c r="O1876">
        <f t="shared" si="234"/>
        <v>2045.1089334344872</v>
      </c>
      <c r="P1876">
        <f t="shared" si="235"/>
        <v>-6.943209625658854E-4</v>
      </c>
      <c r="Q1876">
        <f t="shared" si="236"/>
        <v>1.2808042537264896E-2</v>
      </c>
      <c r="R1876">
        <f t="shared" si="237"/>
        <v>1</v>
      </c>
      <c r="S1876">
        <f t="shared" si="229"/>
        <v>16.582312498449163</v>
      </c>
      <c r="T1876" s="564">
        <f>IF((I1876-MAX(I$470:I1876))/MAX(I$470:I1876)&gt;T1875,T1875,(I1876-MAX(I$470:I1876))/MAX(I$470:I1876))</f>
        <v>-0.91338805338419748</v>
      </c>
      <c r="U1876" s="564">
        <f>IF((J1876-MAX(J$470:J1876))/MAX(J$470:J1876)&gt;U1875,U1875,(J1876-MAX(J$470:J1876))/MAX(J$470:J1876))</f>
        <v>-0.8283551177402233</v>
      </c>
      <c r="V1876" s="564">
        <f>IF((K1876-MAX(K$470:K1876))/MAX(K$470:K1876)&gt;V1875,V1875,(K1876-MAX(K$470:K1876))/MAX(K$470:K1876))</f>
        <v>-0.84885940676762139</v>
      </c>
      <c r="W1876" s="564">
        <f>IF((N1876-MAX(N$470:N1876))/MAX(N$470:N1876)&gt;W1875,W1875,(N1876-MAX(N$470:N1876))/MAX(N$470:N1876))</f>
        <v>-0.62788758315546067</v>
      </c>
      <c r="X1876" s="564">
        <f>IF((O1876-MAX(O$470:O1876))/MAX(O$470:O1876)&gt;X1875,X1875,(O1876-MAX(O$470:O1876))/MAX(O$470:O1876))</f>
        <v>-0.62788758315546067</v>
      </c>
    </row>
    <row r="1877" spans="1:24">
      <c r="A1877" s="799">
        <v>42279</v>
      </c>
      <c r="B1877">
        <v>237.17</v>
      </c>
      <c r="C1877">
        <v>432.714271</v>
      </c>
      <c r="D1877">
        <v>0.85804100000000005</v>
      </c>
      <c r="E1877">
        <f>LN(D1877/参数实验室!$E$53)/参数实验室!$E$55</f>
        <v>-0.87359252094308515</v>
      </c>
      <c r="F1877">
        <f t="shared" si="238"/>
        <v>1.8244899059746174</v>
      </c>
      <c r="G1877">
        <f>LN(F1877/参数实验室!$E$58)/参数实验室!$E$59</f>
        <v>0.12506494469172211</v>
      </c>
      <c r="H1877" s="856">
        <f>INDEX(神经网络!$G$10:$BO$70,MATCH(ROUND(G1877*2,1)/2,神经网络!$E$10:$E$70,0),MATCH(ROUND(E1877*2,1)/2,神经网络!$G$8:$BO$8,0))</f>
        <v>-6.6879706399616448E-2</v>
      </c>
      <c r="I1877">
        <f t="shared" si="230"/>
        <v>987.09716218954566</v>
      </c>
      <c r="J1877">
        <f t="shared" si="231"/>
        <v>94.637085511352097</v>
      </c>
      <c r="K1877">
        <f t="shared" si="232"/>
        <v>10.430341941068541</v>
      </c>
      <c r="L1877" s="4">
        <f>MIN(MAX(L1876*(1+MAX(MIN(((B1877-B1876)/B1876)/($K$7*卓尔金历!$N$40),0),-卓尔金历!$M$43))+MIN(MAX(((B1877-B1876)/B1876)/($K$7*卓尔金历!$N$40),0),卓尔金历!$M$43),0),1)</f>
        <v>1</v>
      </c>
      <c r="M1877" s="4">
        <f>MIN(MAX(M1876*(1+MAX(MIN(((B1877-B1876)/B1876)/($K$7*30),0),-卓尔金历!$M$43))+MIN(MAX(((B1877-B1876)/B1876)/($K$7*7),0),卓尔金历!$M$43),0),1)</f>
        <v>1</v>
      </c>
      <c r="N1877">
        <f t="shared" si="233"/>
        <v>781.25783464910523</v>
      </c>
      <c r="O1877">
        <f t="shared" si="234"/>
        <v>2044.1067916999675</v>
      </c>
      <c r="P1877">
        <f t="shared" si="235"/>
        <v>4.7958379582947516E-3</v>
      </c>
      <c r="Q1877">
        <f t="shared" si="236"/>
        <v>1.2807621572212047E-2</v>
      </c>
      <c r="R1877">
        <f t="shared" si="237"/>
        <v>1</v>
      </c>
      <c r="S1877">
        <f t="shared" si="229"/>
        <v>16.573897717860422</v>
      </c>
      <c r="T1877" s="564">
        <f>IF((I1877-MAX(I$470:I1877))/MAX(I$470:I1877)&gt;T1876,T1876,(I1877-MAX(I$470:I1877))/MAX(I$470:I1877))</f>
        <v>-0.91338805338419748</v>
      </c>
      <c r="U1877" s="564">
        <f>IF((J1877-MAX(J$470:J1877))/MAX(J$470:J1877)&gt;U1876,U1876,(J1877-MAX(J$470:J1877))/MAX(J$470:J1877))</f>
        <v>-0.8283551177402233</v>
      </c>
      <c r="V1877" s="564">
        <f>IF((K1877-MAX(K$470:K1877))/MAX(K$470:K1877)&gt;V1876,V1876,(K1877-MAX(K$470:K1877))/MAX(K$470:K1877))</f>
        <v>-0.84885940676762139</v>
      </c>
      <c r="W1877" s="564">
        <f>IF((N1877-MAX(N$470:N1877))/MAX(N$470:N1877)&gt;W1876,W1876,(N1877-MAX(N$470:N1877))/MAX(N$470:N1877))</f>
        <v>-0.62788758315546067</v>
      </c>
      <c r="X1877" s="564">
        <f>IF((O1877-MAX(O$470:O1877))/MAX(O$470:O1877)&gt;X1876,X1876,(O1877-MAX(O$470:O1877))/MAX(O$470:O1877))</f>
        <v>-0.62788758315546067</v>
      </c>
    </row>
    <row r="1878" spans="1:24">
      <c r="A1878" s="799">
        <v>42280</v>
      </c>
      <c r="B1878">
        <v>237.73099999999999</v>
      </c>
      <c r="C1878">
        <v>433.35096199999998</v>
      </c>
      <c r="D1878">
        <v>0.86449900000000002</v>
      </c>
      <c r="E1878">
        <f>LN(D1878/参数实验室!$E$53)/参数实验室!$E$55</f>
        <v>-0.86474641908611172</v>
      </c>
      <c r="F1878">
        <f t="shared" si="238"/>
        <v>1.8228626556906755</v>
      </c>
      <c r="G1878">
        <f>LN(F1878/参数实验室!$E$58)/参数实验室!$E$59</f>
        <v>0.12459662202049183</v>
      </c>
      <c r="H1878" s="856">
        <f>INDEX(神经网络!$G$10:$BO$70,MATCH(ROUND(G1878*2,1)/2,神经网络!$E$10:$E$70,0),MATCH(ROUND(E1878*2,1)/2,神经网络!$G$8:$BO$8,0))</f>
        <v>-0.1058115802451777</v>
      </c>
      <c r="I1878">
        <f t="shared" si="230"/>
        <v>986.94100665946314</v>
      </c>
      <c r="J1878">
        <f t="shared" si="231"/>
        <v>94.860939308088064</v>
      </c>
      <c r="K1878">
        <f t="shared" si="232"/>
        <v>10.404082163408583</v>
      </c>
      <c r="L1878" s="4">
        <f>MIN(MAX(L1877*(1+MAX(MIN(((B1878-B1877)/B1877)/($K$7*卓尔金历!$N$40),0),-卓尔金历!$M$43))+MIN(MAX(((B1878-B1877)/B1877)/($K$7*卓尔金历!$N$40),0),卓尔金历!$M$43),0),1)</f>
        <v>1</v>
      </c>
      <c r="M1878" s="4">
        <f>MIN(MAX(M1877*(1+MAX(MIN(((B1878-B1877)/B1877)/($K$7*30),0),-卓尔金历!$M$43))+MIN(MAX(((B1878-B1877)/B1877)/($K$7*7),0),卓尔金历!$M$43),0),1)</f>
        <v>1</v>
      </c>
      <c r="N1878">
        <f t="shared" si="233"/>
        <v>781.1342422247991</v>
      </c>
      <c r="O1878">
        <f t="shared" si="234"/>
        <v>2043.7834207170188</v>
      </c>
      <c r="P1878">
        <f t="shared" si="235"/>
        <v>2.3653919129738459E-3</v>
      </c>
      <c r="Q1878">
        <f t="shared" si="236"/>
        <v>1.2818888342720134E-2</v>
      </c>
      <c r="R1878">
        <f t="shared" si="237"/>
        <v>1</v>
      </c>
      <c r="S1878">
        <f t="shared" si="229"/>
        <v>16.571275781659203</v>
      </c>
      <c r="T1878" s="564">
        <f>IF((I1878-MAX(I$470:I1878))/MAX(I$470:I1878)&gt;T1877,T1877,(I1878-MAX(I$470:I1878))/MAX(I$470:I1878))</f>
        <v>-0.91338805338419748</v>
      </c>
      <c r="U1878" s="564">
        <f>IF((J1878-MAX(J$470:J1878))/MAX(J$470:J1878)&gt;U1877,U1877,(J1878-MAX(J$470:J1878))/MAX(J$470:J1878))</f>
        <v>-0.8283551177402233</v>
      </c>
      <c r="V1878" s="564">
        <f>IF((K1878-MAX(K$470:K1878))/MAX(K$470:K1878)&gt;V1877,V1877,(K1878-MAX(K$470:K1878))/MAX(K$470:K1878))</f>
        <v>-0.84885940676762139</v>
      </c>
      <c r="W1878" s="564">
        <f>IF((N1878-MAX(N$470:N1878))/MAX(N$470:N1878)&gt;W1877,W1877,(N1878-MAX(N$470:N1878))/MAX(N$470:N1878))</f>
        <v>-0.62788758315546067</v>
      </c>
      <c r="X1878" s="564">
        <f>IF((O1878-MAX(O$470:O1878))/MAX(O$470:O1878)&gt;X1877,X1877,(O1878-MAX(O$470:O1878))/MAX(O$470:O1878))</f>
        <v>-0.62788758315546067</v>
      </c>
    </row>
    <row r="1879" spans="1:24">
      <c r="A1879" s="799">
        <v>42281</v>
      </c>
      <c r="B1879">
        <v>238.46700000000001</v>
      </c>
      <c r="C1879">
        <v>434.59461599999997</v>
      </c>
      <c r="D1879">
        <v>0.86381699999999995</v>
      </c>
      <c r="E1879">
        <f>LN(D1879/参数实验室!$E$53)/参数实验室!$E$55</f>
        <v>-0.86567748927715382</v>
      </c>
      <c r="F1879">
        <f t="shared" si="238"/>
        <v>1.8224518109423944</v>
      </c>
      <c r="G1879">
        <f>LN(F1879/参数实验室!$E$58)/参数实验室!$E$59</f>
        <v>0.12447831479070352</v>
      </c>
      <c r="H1879" s="856">
        <f>INDEX(神经网络!$G$10:$BO$70,MATCH(ROUND(G1879*2,1)/2,神经网络!$E$10:$E$70,0),MATCH(ROUND(E1879*2,1)/2,神经网络!$G$8:$BO$8,0))</f>
        <v>-0.1058115802451777</v>
      </c>
      <c r="I1879">
        <f t="shared" si="230"/>
        <v>986.6176987037602</v>
      </c>
      <c r="J1879">
        <f t="shared" si="231"/>
        <v>95.154622720561633</v>
      </c>
      <c r="K1879">
        <f t="shared" si="232"/>
        <v>10.368573491181163</v>
      </c>
      <c r="L1879" s="4">
        <f>MIN(MAX(L1878*(1+MAX(MIN(((B1879-B1878)/B1878)/($K$7*卓尔金历!$N$40),0),-卓尔金历!$M$43))+MIN(MAX(((B1879-B1878)/B1878)/($K$7*卓尔金历!$N$40),0),卓尔金历!$M$43),0),1)</f>
        <v>1</v>
      </c>
      <c r="M1879" s="4">
        <f>MIN(MAX(M1878*(1+MAX(MIN(((B1879-B1878)/B1878)/($K$7*30),0),-卓尔金历!$M$43))+MIN(MAX(((B1879-B1878)/B1878)/($K$7*7),0),卓尔金历!$M$43),0),1)</f>
        <v>1</v>
      </c>
      <c r="N1879">
        <f t="shared" si="233"/>
        <v>780.87835366278864</v>
      </c>
      <c r="O1879">
        <f t="shared" si="234"/>
        <v>2043.1139060903156</v>
      </c>
      <c r="P1879">
        <f t="shared" si="235"/>
        <v>3.0959361631424528E-3</v>
      </c>
      <c r="Q1879">
        <f t="shared" si="236"/>
        <v>1.2109533756744213E-2</v>
      </c>
      <c r="R1879">
        <f t="shared" si="237"/>
        <v>1</v>
      </c>
      <c r="S1879">
        <f t="shared" ref="S1879:S1942" si="239">S1878*(1+(B1879-B1878)/B1878*H1878*R1878)</f>
        <v>16.565847265405235</v>
      </c>
      <c r="T1879" s="564">
        <f>IF((I1879-MAX(I$470:I1879))/MAX(I$470:I1879)&gt;T1878,T1878,(I1879-MAX(I$470:I1879))/MAX(I$470:I1879))</f>
        <v>-0.91338805338419748</v>
      </c>
      <c r="U1879" s="564">
        <f>IF((J1879-MAX(J$470:J1879))/MAX(J$470:J1879)&gt;U1878,U1878,(J1879-MAX(J$470:J1879))/MAX(J$470:J1879))</f>
        <v>-0.8283551177402233</v>
      </c>
      <c r="V1879" s="564">
        <f>IF((K1879-MAX(K$470:K1879))/MAX(K$470:K1879)&gt;V1878,V1878,(K1879-MAX(K$470:K1879))/MAX(K$470:K1879))</f>
        <v>-0.84885940676762139</v>
      </c>
      <c r="W1879" s="564">
        <f>IF((N1879-MAX(N$470:N1879))/MAX(N$470:N1879)&gt;W1878,W1878,(N1879-MAX(N$470:N1879))/MAX(N$470:N1879))</f>
        <v>-0.62788758315546067</v>
      </c>
      <c r="X1879" s="564">
        <f>IF((O1879-MAX(O$470:O1879))/MAX(O$470:O1879)&gt;X1878,X1878,(O1879-MAX(O$470:O1879))/MAX(O$470:O1879))</f>
        <v>-0.62788758315546067</v>
      </c>
    </row>
    <row r="1880" spans="1:24">
      <c r="A1880" s="799">
        <v>42282</v>
      </c>
      <c r="B1880">
        <v>237.90899999999999</v>
      </c>
      <c r="C1880">
        <v>433.19968599999999</v>
      </c>
      <c r="D1880">
        <v>0.86904199999999998</v>
      </c>
      <c r="E1880">
        <f>LN(D1880/参数实验室!$E$53)/参数实验室!$E$55</f>
        <v>-0.85856296999895176</v>
      </c>
      <c r="F1880">
        <f t="shared" si="238"/>
        <v>1.8208629602074742</v>
      </c>
      <c r="G1880">
        <f>LN(F1880/参数实验室!$E$58)/参数实验室!$E$59</f>
        <v>0.12402053673016095</v>
      </c>
      <c r="H1880" s="856">
        <f>INDEX(神经网络!$G$10:$BO$70,MATCH(ROUND(G1880*2,1)/2,神经网络!$E$10:$E$70,0),MATCH(ROUND(E1880*2,1)/2,神经网络!$G$8:$BO$8,0))</f>
        <v>-0.1058115802451777</v>
      </c>
      <c r="I1880">
        <f t="shared" ref="I1880:I1943" si="240">I1879*(1+(B1880-B1879)/B1879*H1879)</f>
        <v>986.8619787610055</v>
      </c>
      <c r="J1880">
        <f t="shared" ref="J1880:J1943" si="241">J1879*B1880/B1879</f>
        <v>94.931966002952592</v>
      </c>
      <c r="K1880">
        <f t="shared" ref="K1880:K1943" si="242">I1880/J1880</f>
        <v>10.395465514011496</v>
      </c>
      <c r="L1880" s="4">
        <f>MIN(MAX(L1879*(1+MAX(MIN(((B1880-B1879)/B1879)/($K$7*卓尔金历!$N$40),0),-卓尔金历!$M$43))+MIN(MAX(((B1880-B1879)/B1879)/($K$7*卓尔金历!$N$40),0),卓尔金历!$M$43),0),1)</f>
        <v>0.9642478643692507</v>
      </c>
      <c r="M1880" s="4">
        <f>MIN(MAX(M1879*(1+MAX(MIN(((B1880-B1879)/B1879)/($K$7*30),0),-卓尔金历!$M$43))+MIN(MAX(((B1880-B1879)/B1879)/($K$7*7),0),卓尔金历!$M$43),0),1)</f>
        <v>0.98212393218462535</v>
      </c>
      <c r="N1880">
        <f t="shared" ref="N1880:N1943" si="243">N1879*(1+(B1880-B1879)/B1879*H1879*L1879)</f>
        <v>781.07169401050896</v>
      </c>
      <c r="O1880">
        <f t="shared" ref="O1880:O1943" si="244">O1879*(1+(B1880-B1879)/B1879*H1879*M1879)</f>
        <v>2043.6197676642507</v>
      </c>
      <c r="P1880">
        <f t="shared" ref="P1880:P1943" si="245">(B1880-B1879)/B1879</f>
        <v>-2.3399464076791386E-3</v>
      </c>
      <c r="Q1880">
        <f t="shared" si="236"/>
        <v>9.8834852377284819E-3</v>
      </c>
      <c r="R1880">
        <f t="shared" si="237"/>
        <v>1</v>
      </c>
      <c r="S1880">
        <f t="shared" si="239"/>
        <v>16.569948860302254</v>
      </c>
      <c r="T1880" s="564">
        <f>IF((I1880-MAX(I$470:I1880))/MAX(I$470:I1880)&gt;T1879,T1879,(I1880-MAX(I$470:I1880))/MAX(I$470:I1880))</f>
        <v>-0.91338805338419748</v>
      </c>
      <c r="U1880" s="564">
        <f>IF((J1880-MAX(J$470:J1880))/MAX(J$470:J1880)&gt;U1879,U1879,(J1880-MAX(J$470:J1880))/MAX(J$470:J1880))</f>
        <v>-0.8283551177402233</v>
      </c>
      <c r="V1880" s="564">
        <f>IF((K1880-MAX(K$470:K1880))/MAX(K$470:K1880)&gt;V1879,V1879,(K1880-MAX(K$470:K1880))/MAX(K$470:K1880))</f>
        <v>-0.84885940676762139</v>
      </c>
      <c r="W1880" s="564">
        <f>IF((N1880-MAX(N$470:N1880))/MAX(N$470:N1880)&gt;W1879,W1879,(N1880-MAX(N$470:N1880))/MAX(N$470:N1880))</f>
        <v>-0.62788758315546067</v>
      </c>
      <c r="X1880" s="564">
        <f>IF((O1880-MAX(O$470:O1880))/MAX(O$470:O1880)&gt;X1879,X1879,(O1880-MAX(O$470:O1880))/MAX(O$470:O1880))</f>
        <v>-0.62788758315546067</v>
      </c>
    </row>
    <row r="1881" spans="1:24">
      <c r="A1881" s="799">
        <v>42283</v>
      </c>
      <c r="B1881">
        <v>240.79900000000001</v>
      </c>
      <c r="C1881">
        <v>434.12261100000001</v>
      </c>
      <c r="D1881">
        <v>0.89045600000000003</v>
      </c>
      <c r="E1881">
        <f>LN(D1881/参数实验室!$E$53)/参数实验室!$E$55</f>
        <v>-0.82984513864032772</v>
      </c>
      <c r="F1881">
        <f t="shared" si="238"/>
        <v>1.8028422501754575</v>
      </c>
      <c r="G1881">
        <f>LN(F1881/参数实验室!$E$58)/参数实验室!$E$59</f>
        <v>0.11880028842546241</v>
      </c>
      <c r="H1881" s="856">
        <f>INDEX(神经网络!$G$10:$BO$70,MATCH(ROUND(G1881*2,1)/2,神经网络!$E$10:$E$70,0),MATCH(ROUND(E1881*2,1)/2,神经网络!$G$8:$BO$8,0))</f>
        <v>-0.1058115802451777</v>
      </c>
      <c r="I1881">
        <f t="shared" si="240"/>
        <v>985.59351930983075</v>
      </c>
      <c r="J1881">
        <f t="shared" si="241"/>
        <v>96.085152228562094</v>
      </c>
      <c r="K1881">
        <f t="shared" si="242"/>
        <v>10.257500731906578</v>
      </c>
      <c r="L1881" s="4">
        <f>MIN(MAX(L1880*(1+MAX(MIN(((B1881-B1880)/B1880)/($K$7*卓尔金历!$N$40),0),-卓尔金历!$M$43))+MIN(MAX(((B1881-B1880)/B1880)/($K$7*卓尔金历!$N$40),0),卓尔金历!$M$43),0),1)</f>
        <v>1</v>
      </c>
      <c r="M1881" s="4">
        <f>MIN(MAX(M1880*(1+MAX(MIN(((B1881-B1880)/B1880)/($K$7*30),0),-卓尔金历!$M$43))+MIN(MAX(((B1881-B1880)/B1880)/($K$7*7),0),卓尔金历!$M$43),0),1)</f>
        <v>1</v>
      </c>
      <c r="N1881">
        <f t="shared" si="243"/>
        <v>780.1036396253769</v>
      </c>
      <c r="O1881">
        <f t="shared" si="244"/>
        <v>2041.0399645629138</v>
      </c>
      <c r="P1881">
        <f t="shared" si="245"/>
        <v>1.2147501775889163E-2</v>
      </c>
      <c r="Q1881">
        <f t="shared" si="236"/>
        <v>9.6250841698483063E-3</v>
      </c>
      <c r="R1881">
        <f t="shared" si="237"/>
        <v>7.5830950701255492E-3</v>
      </c>
      <c r="S1881">
        <f t="shared" si="239"/>
        <v>16.548650736866875</v>
      </c>
      <c r="T1881" s="564">
        <f>IF((I1881-MAX(I$470:I1881))/MAX(I$470:I1881)&gt;T1880,T1880,(I1881-MAX(I$470:I1881))/MAX(I$470:I1881))</f>
        <v>-0.91338805338419748</v>
      </c>
      <c r="U1881" s="564">
        <f>IF((J1881-MAX(J$470:J1881))/MAX(J$470:J1881)&gt;U1880,U1880,(J1881-MAX(J$470:J1881))/MAX(J$470:J1881))</f>
        <v>-0.8283551177402233</v>
      </c>
      <c r="V1881" s="564">
        <f>IF((K1881-MAX(K$470:K1881))/MAX(K$470:K1881)&gt;V1880,V1880,(K1881-MAX(K$470:K1881))/MAX(K$470:K1881))</f>
        <v>-0.84885940676762139</v>
      </c>
      <c r="W1881" s="564">
        <f>IF((N1881-MAX(N$470:N1881))/MAX(N$470:N1881)&gt;W1880,W1880,(N1881-MAX(N$470:N1881))/MAX(N$470:N1881))</f>
        <v>-0.62788758315546067</v>
      </c>
      <c r="X1881" s="564">
        <f>IF((O1881-MAX(O$470:O1881))/MAX(O$470:O1881)&gt;X1880,X1880,(O1881-MAX(O$470:O1881))/MAX(O$470:O1881))</f>
        <v>-0.62788758315546067</v>
      </c>
    </row>
    <row r="1882" spans="1:24">
      <c r="A1882" s="799">
        <v>42284</v>
      </c>
      <c r="B1882">
        <v>244.57400000000001</v>
      </c>
      <c r="C1882">
        <v>440.06167399999998</v>
      </c>
      <c r="D1882">
        <v>0.87953099999999995</v>
      </c>
      <c r="E1882">
        <f>LN(D1882/参数实验室!$E$53)/参数实验室!$E$55</f>
        <v>-0.8444090511137754</v>
      </c>
      <c r="F1882">
        <f t="shared" si="238"/>
        <v>1.7992986744298247</v>
      </c>
      <c r="G1882">
        <f>LN(F1882/参数实验室!$E$58)/参数实验室!$E$59</f>
        <v>0.11776764661829947</v>
      </c>
      <c r="H1882" s="856">
        <f>INDEX(神经网络!$G$10:$BO$70,MATCH(ROUND(G1882*2,1)/2,神经网络!$E$10:$E$70,0),MATCH(ROUND(E1882*2,1)/2,神经网络!$G$8:$BO$8,0))</f>
        <v>-0.1058115802451777</v>
      </c>
      <c r="I1882">
        <f t="shared" si="240"/>
        <v>983.95861131899665</v>
      </c>
      <c r="J1882">
        <f t="shared" si="241"/>
        <v>97.591476796616035</v>
      </c>
      <c r="K1882">
        <f t="shared" si="242"/>
        <v>10.082423625677885</v>
      </c>
      <c r="L1882" s="4">
        <f>MIN(MAX(L1881*(1+MAX(MIN(((B1882-B1881)/B1881)/($K$7*卓尔金历!$N$40),0),-卓尔金历!$M$43))+MIN(MAX(((B1882-B1881)/B1881)/($K$7*卓尔金历!$N$40),0),卓尔金历!$M$43),0),1)</f>
        <v>1</v>
      </c>
      <c r="M1882" s="4">
        <f>MIN(MAX(M1881*(1+MAX(MIN(((B1882-B1881)/B1881)/($K$7*30),0),-卓尔金历!$M$43))+MIN(MAX(((B1882-B1881)/B1881)/($K$7*7),0),卓尔金历!$M$43),0),1)</f>
        <v>1</v>
      </c>
      <c r="N1882">
        <f t="shared" si="243"/>
        <v>778.80959938554724</v>
      </c>
      <c r="O1882">
        <f t="shared" si="244"/>
        <v>2037.6542761606481</v>
      </c>
      <c r="P1882">
        <f t="shared" si="245"/>
        <v>1.5676975402721796E-2</v>
      </c>
      <c r="Q1882">
        <f t="shared" si="236"/>
        <v>9.9748343331124614E-3</v>
      </c>
      <c r="R1882">
        <f t="shared" si="237"/>
        <v>5.2733165527963418E-3</v>
      </c>
      <c r="S1882">
        <f t="shared" si="239"/>
        <v>16.548442573373126</v>
      </c>
      <c r="T1882" s="564">
        <f>IF((I1882-MAX(I$470:I1882))/MAX(I$470:I1882)&gt;T1881,T1881,(I1882-MAX(I$470:I1882))/MAX(I$470:I1882))</f>
        <v>-0.91338805338419748</v>
      </c>
      <c r="U1882" s="564">
        <f>IF((J1882-MAX(J$470:J1882))/MAX(J$470:J1882)&gt;U1881,U1881,(J1882-MAX(J$470:J1882))/MAX(J$470:J1882))</f>
        <v>-0.8283551177402233</v>
      </c>
      <c r="V1882" s="564">
        <f>IF((K1882-MAX(K$470:K1882))/MAX(K$470:K1882)&gt;V1881,V1881,(K1882-MAX(K$470:K1882))/MAX(K$470:K1882))</f>
        <v>-0.84885940676762139</v>
      </c>
      <c r="W1882" s="564">
        <f>IF((N1882-MAX(N$470:N1882))/MAX(N$470:N1882)&gt;W1881,W1881,(N1882-MAX(N$470:N1882))/MAX(N$470:N1882))</f>
        <v>-0.62788758315546067</v>
      </c>
      <c r="X1882" s="564">
        <f>IF((O1882-MAX(O$470:O1882))/MAX(O$470:O1882)&gt;X1881,X1881,(O1882-MAX(O$470:O1882))/MAX(O$470:O1882))</f>
        <v>-0.62788758315546067</v>
      </c>
    </row>
    <row r="1883" spans="1:24">
      <c r="A1883" s="799">
        <v>42285</v>
      </c>
      <c r="B1883">
        <v>243.066</v>
      </c>
      <c r="C1883">
        <v>439.20639899999998</v>
      </c>
      <c r="D1883">
        <v>0.877386</v>
      </c>
      <c r="E1883">
        <f>LN(D1883/参数实验室!$E$53)/参数实验室!$E$55</f>
        <v>-0.84728974720317696</v>
      </c>
      <c r="F1883">
        <f t="shared" si="238"/>
        <v>1.8069429661079706</v>
      </c>
      <c r="G1883">
        <f>LN(F1883/参数实验室!$E$58)/参数实验室!$E$59</f>
        <v>0.11999275730302096</v>
      </c>
      <c r="H1883" s="856">
        <f>INDEX(神经网络!$G$10:$BO$70,MATCH(ROUND(G1883*2,1)/2,神经网络!$E$10:$E$70,0),MATCH(ROUND(E1883*2,1)/2,神经网络!$G$8:$BO$8,0))</f>
        <v>-0.1058115802451777</v>
      </c>
      <c r="I1883">
        <f t="shared" si="240"/>
        <v>984.60056114630356</v>
      </c>
      <c r="J1883">
        <f t="shared" si="241"/>
        <v>96.98974502214574</v>
      </c>
      <c r="K1883">
        <f t="shared" si="242"/>
        <v>10.151594489927662</v>
      </c>
      <c r="L1883" s="4">
        <f>MIN(MAX(L1882*(1+MAX(MIN(((B1883-B1882)/B1882)/($K$7*卓尔金历!$N$40),0),-卓尔金历!$M$43))+MIN(MAX(((B1883-B1882)/B1882)/($K$7*卓尔金历!$N$40),0),卓尔金历!$M$43),0),1)</f>
        <v>0.90579214110798323</v>
      </c>
      <c r="M1883" s="4">
        <f>MIN(MAX(M1882*(1+MAX(MIN(((B1883-B1882)/B1882)/($K$7*30),0),-卓尔金历!$M$43))+MIN(MAX(((B1883-B1882)/B1882)/($K$7*7),0),卓尔金历!$M$43),0),1)</f>
        <v>0.95289607055399161</v>
      </c>
      <c r="N1883">
        <f t="shared" si="243"/>
        <v>779.31770682226181</v>
      </c>
      <c r="O1883">
        <f t="shared" si="244"/>
        <v>2038.9836733483398</v>
      </c>
      <c r="P1883">
        <f t="shared" si="245"/>
        <v>-6.1658230228888175E-3</v>
      </c>
      <c r="Q1883">
        <f t="shared" si="236"/>
        <v>1.0065118564723257E-2</v>
      </c>
      <c r="R1883">
        <f t="shared" si="237"/>
        <v>0.5049172558789442</v>
      </c>
      <c r="S1883">
        <f t="shared" si="239"/>
        <v>16.548499506524696</v>
      </c>
      <c r="T1883" s="564">
        <f>IF((I1883-MAX(I$470:I1883))/MAX(I$470:I1883)&gt;T1882,T1882,(I1883-MAX(I$470:I1883))/MAX(I$470:I1883))</f>
        <v>-0.91338805338419748</v>
      </c>
      <c r="U1883" s="564">
        <f>IF((J1883-MAX(J$470:J1883))/MAX(J$470:J1883)&gt;U1882,U1882,(J1883-MAX(J$470:J1883))/MAX(J$470:J1883))</f>
        <v>-0.8283551177402233</v>
      </c>
      <c r="V1883" s="564">
        <f>IF((K1883-MAX(K$470:K1883))/MAX(K$470:K1883)&gt;V1882,V1882,(K1883-MAX(K$470:K1883))/MAX(K$470:K1883))</f>
        <v>-0.84885940676762139</v>
      </c>
      <c r="W1883" s="564">
        <f>IF((N1883-MAX(N$470:N1883))/MAX(N$470:N1883)&gt;W1882,W1882,(N1883-MAX(N$470:N1883))/MAX(N$470:N1883))</f>
        <v>-0.62788758315546067</v>
      </c>
      <c r="X1883" s="564">
        <f>IF((O1883-MAX(O$470:O1883))/MAX(O$470:O1883)&gt;X1882,X1882,(O1883-MAX(O$470:O1883))/MAX(O$470:O1883))</f>
        <v>-0.62788758315546067</v>
      </c>
    </row>
    <row r="1884" spans="1:24">
      <c r="A1884" s="799">
        <v>42286</v>
      </c>
      <c r="B1884">
        <v>243.47900000000001</v>
      </c>
      <c r="C1884">
        <v>446.43146400000001</v>
      </c>
      <c r="D1884">
        <v>0.88249200000000005</v>
      </c>
      <c r="E1884">
        <f>LN(D1884/参数实验室!$E$53)/参数实验室!$E$55</f>
        <v>-0.84044400338893177</v>
      </c>
      <c r="F1884">
        <f t="shared" si="238"/>
        <v>1.833552232430723</v>
      </c>
      <c r="G1884">
        <f>LN(F1884/参数实验室!$E$58)/参数实验室!$E$59</f>
        <v>0.12766546608041651</v>
      </c>
      <c r="H1884" s="856">
        <f>INDEX(神经网络!$G$10:$BO$70,MATCH(ROUND(G1884*2,1)/2,神经网络!$E$10:$E$70,0),MATCH(ROUND(E1884*2,1)/2,神经网络!$G$8:$BO$8,0))</f>
        <v>-6.6879706399616448E-2</v>
      </c>
      <c r="I1884">
        <f t="shared" si="240"/>
        <v>984.42354245857769</v>
      </c>
      <c r="J1884">
        <f t="shared" si="241"/>
        <v>97.15454291528647</v>
      </c>
      <c r="K1884">
        <f t="shared" si="242"/>
        <v>10.132552868031524</v>
      </c>
      <c r="L1884" s="4">
        <f>MIN(MAX(L1883*(1+MAX(MIN(((B1884-B1883)/B1883)/($K$7*卓尔金历!$N$40),0),-卓尔金历!$M$43))+MIN(MAX(((B1884-B1883)/B1883)/($K$7*卓尔金历!$N$40),0),卓尔金历!$M$43),0),1)</f>
        <v>0.93175317092518728</v>
      </c>
      <c r="M1884" s="4">
        <f>MIN(MAX(M1883*(1+MAX(MIN(((B1884-B1883)/B1883)/($K$7*30),0),-卓尔金历!$M$43))+MIN(MAX(((B1884-B1883)/B1883)/($K$7*7),0),卓尔金历!$M$43),0),1)</f>
        <v>1</v>
      </c>
      <c r="N1884">
        <f t="shared" si="243"/>
        <v>779.19079498532096</v>
      </c>
      <c r="O1884">
        <f t="shared" si="244"/>
        <v>2038.634357473914</v>
      </c>
      <c r="P1884">
        <f t="shared" si="245"/>
        <v>1.6991269860861286E-3</v>
      </c>
      <c r="Q1884">
        <f t="shared" si="236"/>
        <v>9.7964564035656933E-3</v>
      </c>
      <c r="R1884">
        <f t="shared" si="237"/>
        <v>1</v>
      </c>
      <c r="S1884">
        <f t="shared" si="239"/>
        <v>16.5469972715374</v>
      </c>
      <c r="T1884" s="564">
        <f>IF((I1884-MAX(I$470:I1884))/MAX(I$470:I1884)&gt;T1883,T1883,(I1884-MAX(I$470:I1884))/MAX(I$470:I1884))</f>
        <v>-0.91338805338419748</v>
      </c>
      <c r="U1884" s="564">
        <f>IF((J1884-MAX(J$470:J1884))/MAX(J$470:J1884)&gt;U1883,U1883,(J1884-MAX(J$470:J1884))/MAX(J$470:J1884))</f>
        <v>-0.8283551177402233</v>
      </c>
      <c r="V1884" s="564">
        <f>IF((K1884-MAX(K$470:K1884))/MAX(K$470:K1884)&gt;V1883,V1883,(K1884-MAX(K$470:K1884))/MAX(K$470:K1884))</f>
        <v>-0.84885940676762139</v>
      </c>
      <c r="W1884" s="564">
        <f>IF((N1884-MAX(N$470:N1884))/MAX(N$470:N1884)&gt;W1883,W1883,(N1884-MAX(N$470:N1884))/MAX(N$470:N1884))</f>
        <v>-0.62788758315546067</v>
      </c>
      <c r="X1884" s="564">
        <f>IF((O1884-MAX(O$470:O1884))/MAX(O$470:O1884)&gt;X1883,X1883,(O1884-MAX(O$470:O1884))/MAX(O$470:O1884))</f>
        <v>-0.62788758315546067</v>
      </c>
    </row>
    <row r="1885" spans="1:24">
      <c r="A1885" s="799">
        <v>42287</v>
      </c>
      <c r="B1885">
        <v>243.42599999999999</v>
      </c>
      <c r="C1885">
        <v>450.18740200000002</v>
      </c>
      <c r="D1885">
        <v>0.88802899999999996</v>
      </c>
      <c r="E1885">
        <f>LN(D1885/参数实验室!$E$53)/参数实验室!$E$55</f>
        <v>-0.83306502849095521</v>
      </c>
      <c r="F1885">
        <f t="shared" si="238"/>
        <v>1.8493809289065262</v>
      </c>
      <c r="G1885">
        <f>LN(F1885/参数实验室!$E$58)/参数实验室!$E$59</f>
        <v>0.13217698238058001</v>
      </c>
      <c r="H1885" s="856">
        <f>INDEX(神经网络!$G$10:$BO$70,MATCH(ROUND(G1885*2,1)/2,神经网络!$E$10:$E$70,0),MATCH(ROUND(E1885*2,1)/2,神经网络!$G$8:$BO$8,0))</f>
        <v>-6.6879706399616448E-2</v>
      </c>
      <c r="I1885">
        <f t="shared" si="240"/>
        <v>984.43787392760419</v>
      </c>
      <c r="J1885">
        <f t="shared" si="241"/>
        <v>97.133394517377354</v>
      </c>
      <c r="K1885">
        <f t="shared" si="242"/>
        <v>10.134906525391598</v>
      </c>
      <c r="L1885" s="4">
        <f>MIN(MAX(L1884*(1+MAX(MIN(((B1885-B1884)/B1884)/($K$7*卓尔金历!$N$40),0),-卓尔金历!$M$43))+MIN(MAX(((B1885-B1884)/B1884)/($K$7*卓尔金历!$N$40),0),卓尔金历!$M$43),0),1)</f>
        <v>0.92865424412369291</v>
      </c>
      <c r="M1885" s="4">
        <f>MIN(MAX(M1884*(1+MAX(MIN(((B1885-B1884)/B1884)/($K$7*30),0),-卓尔金历!$M$43))+MIN(MAX(((B1885-B1884)/B1884)/($K$7*7),0),卓尔金历!$M$43),0),1)</f>
        <v>0.99833704520778965</v>
      </c>
      <c r="N1885">
        <f t="shared" si="243"/>
        <v>779.20136446019944</v>
      </c>
      <c r="O1885">
        <f t="shared" si="244"/>
        <v>2038.6640363914635</v>
      </c>
      <c r="P1885">
        <f t="shared" si="245"/>
        <v>-2.1767791062073398E-4</v>
      </c>
      <c r="Q1885">
        <f t="shared" si="236"/>
        <v>9.7533235382685959E-3</v>
      </c>
      <c r="R1885">
        <f t="shared" si="237"/>
        <v>1</v>
      </c>
      <c r="S1885">
        <f t="shared" si="239"/>
        <v>16.547238166608118</v>
      </c>
      <c r="T1885" s="564">
        <f>IF((I1885-MAX(I$470:I1885))/MAX(I$470:I1885)&gt;T1884,T1884,(I1885-MAX(I$470:I1885))/MAX(I$470:I1885))</f>
        <v>-0.91338805338419748</v>
      </c>
      <c r="U1885" s="564">
        <f>IF((J1885-MAX(J$470:J1885))/MAX(J$470:J1885)&gt;U1884,U1884,(J1885-MAX(J$470:J1885))/MAX(J$470:J1885))</f>
        <v>-0.8283551177402233</v>
      </c>
      <c r="V1885" s="564">
        <f>IF((K1885-MAX(K$470:K1885))/MAX(K$470:K1885)&gt;V1884,V1884,(K1885-MAX(K$470:K1885))/MAX(K$470:K1885))</f>
        <v>-0.84885940676762139</v>
      </c>
      <c r="W1885" s="564">
        <f>IF((N1885-MAX(N$470:N1885))/MAX(N$470:N1885)&gt;W1884,W1884,(N1885-MAX(N$470:N1885))/MAX(N$470:N1885))</f>
        <v>-0.62788758315546067</v>
      </c>
      <c r="X1885" s="564">
        <f>IF((O1885-MAX(O$470:O1885))/MAX(O$470:O1885)&gt;X1884,X1884,(O1885-MAX(O$470:O1885))/MAX(O$470:O1885))</f>
        <v>-0.62788758315546067</v>
      </c>
    </row>
    <row r="1886" spans="1:24">
      <c r="A1886" s="799">
        <v>42288</v>
      </c>
      <c r="B1886">
        <v>244.64599999999999</v>
      </c>
      <c r="C1886">
        <v>454.259525</v>
      </c>
      <c r="D1886">
        <v>0.89734000000000003</v>
      </c>
      <c r="E1886">
        <f>LN(D1886/参数实验室!$E$53)/参数实验室!$E$55</f>
        <v>-0.82075969324282005</v>
      </c>
      <c r="F1886">
        <f t="shared" si="238"/>
        <v>1.8568034016497308</v>
      </c>
      <c r="G1886">
        <f>LN(F1886/参数实验室!$E$58)/参数实验室!$E$59</f>
        <v>0.13427926315775812</v>
      </c>
      <c r="H1886" s="856">
        <f>INDEX(神经网络!$G$10:$BO$70,MATCH(ROUND(G1886*2,1)/2,神经网络!$E$10:$E$70,0),MATCH(ROUND(E1886*2,1)/2,神经网络!$G$8:$BO$8,0))</f>
        <v>-7.9731667079953231E-2</v>
      </c>
      <c r="I1886">
        <f t="shared" si="240"/>
        <v>984.10790310488233</v>
      </c>
      <c r="J1886">
        <f t="shared" si="241"/>
        <v>97.620206695662333</v>
      </c>
      <c r="K1886">
        <f t="shared" si="242"/>
        <v>10.080985652621141</v>
      </c>
      <c r="L1886" s="4">
        <f>MIN(MAX(L1885*(1+MAX(MIN(((B1886-B1885)/B1885)/($K$7*卓尔金历!$N$40),0),-卓尔金历!$M$43))+MIN(MAX(((B1886-B1885)/B1885)/($K$7*卓尔金历!$N$40),0),卓尔金历!$M$43),0),1)</f>
        <v>1</v>
      </c>
      <c r="M1886" s="4">
        <f>MIN(MAX(M1885*(1+MAX(MIN(((B1886-B1885)/B1885)/($K$7*30),0),-卓尔金历!$M$43))+MIN(MAX(((B1886-B1885)/B1885)/($K$7*7),0),卓尔金历!$M$43),0),1)</f>
        <v>1</v>
      </c>
      <c r="N1886">
        <f t="shared" si="243"/>
        <v>778.95882021311536</v>
      </c>
      <c r="O1886">
        <f t="shared" si="244"/>
        <v>2037.9818389689319</v>
      </c>
      <c r="P1886">
        <f t="shared" si="245"/>
        <v>5.0117900306458595E-3</v>
      </c>
      <c r="Q1886">
        <f t="shared" si="236"/>
        <v>9.5854143623887167E-3</v>
      </c>
      <c r="R1886">
        <f t="shared" si="237"/>
        <v>0.66452732397935566</v>
      </c>
      <c r="S1886">
        <f t="shared" si="239"/>
        <v>16.541691746731132</v>
      </c>
      <c r="T1886" s="564">
        <f>IF((I1886-MAX(I$470:I1886))/MAX(I$470:I1886)&gt;T1885,T1885,(I1886-MAX(I$470:I1886))/MAX(I$470:I1886))</f>
        <v>-0.91338805338419748</v>
      </c>
      <c r="U1886" s="564">
        <f>IF((J1886-MAX(J$470:J1886))/MAX(J$470:J1886)&gt;U1885,U1885,(J1886-MAX(J$470:J1886))/MAX(J$470:J1886))</f>
        <v>-0.8283551177402233</v>
      </c>
      <c r="V1886" s="564">
        <f>IF((K1886-MAX(K$470:K1886))/MAX(K$470:K1886)&gt;V1885,V1885,(K1886-MAX(K$470:K1886))/MAX(K$470:K1886))</f>
        <v>-0.84885940676762139</v>
      </c>
      <c r="W1886" s="564">
        <f>IF((N1886-MAX(N$470:N1886))/MAX(N$470:N1886)&gt;W1885,W1885,(N1886-MAX(N$470:N1886))/MAX(N$470:N1886))</f>
        <v>-0.62788758315546067</v>
      </c>
      <c r="X1886" s="564">
        <f>IF((O1886-MAX(O$470:O1886))/MAX(O$470:O1886)&gt;X1885,X1885,(O1886-MAX(O$470:O1886))/MAX(O$470:O1886))</f>
        <v>-0.62788758315546067</v>
      </c>
    </row>
    <row r="1887" spans="1:24">
      <c r="A1887" s="799">
        <v>42289</v>
      </c>
      <c r="B1887">
        <v>246.63200000000001</v>
      </c>
      <c r="C1887">
        <v>452.440223</v>
      </c>
      <c r="D1887">
        <v>0.88965499999999997</v>
      </c>
      <c r="E1887">
        <f>LN(D1887/参数实验室!$E$53)/参数实验室!$E$55</f>
        <v>-0.83090685042369417</v>
      </c>
      <c r="F1887">
        <f t="shared" si="238"/>
        <v>1.8344749383697168</v>
      </c>
      <c r="G1887">
        <f>LN(F1887/参数实验室!$E$58)/参数实验室!$E$59</f>
        <v>0.12792952407689301</v>
      </c>
      <c r="H1887" s="856">
        <f>INDEX(神经网络!$G$10:$BO$70,MATCH(ROUND(G1887*2,1)/2,神经网络!$E$10:$E$70,0),MATCH(ROUND(E1887*2,1)/2,神经网络!$G$8:$BO$8,0))</f>
        <v>-6.6879706399616448E-2</v>
      </c>
      <c r="I1887">
        <f t="shared" si="240"/>
        <v>983.47093939605236</v>
      </c>
      <c r="J1887">
        <f t="shared" si="241"/>
        <v>98.412673077690187</v>
      </c>
      <c r="K1887">
        <f t="shared" si="242"/>
        <v>9.9933363116726657</v>
      </c>
      <c r="L1887" s="4">
        <f>MIN(MAX(L1886*(1+MAX(MIN(((B1887-B1886)/B1886)/($K$7*卓尔金历!$N$40),0),-卓尔金历!$M$43))+MIN(MAX(((B1887-B1886)/B1886)/($K$7*卓尔金历!$N$40),0),卓尔金历!$M$43),0),1)</f>
        <v>1</v>
      </c>
      <c r="M1887" s="4">
        <f>MIN(MAX(M1886*(1+MAX(MIN(((B1887-B1886)/B1886)/($K$7*30),0),-卓尔金历!$M$43))+MIN(MAX(((B1887-B1886)/B1886)/($K$7*7),0),卓尔金历!$M$43),0),1)</f>
        <v>1</v>
      </c>
      <c r="N1887">
        <f t="shared" si="243"/>
        <v>778.45463922078375</v>
      </c>
      <c r="O1887">
        <f t="shared" si="244"/>
        <v>2036.6627554958877</v>
      </c>
      <c r="P1887">
        <f t="shared" si="245"/>
        <v>8.1178519166469863E-3</v>
      </c>
      <c r="Q1887">
        <f t="shared" si="236"/>
        <v>8.8509387006844506E-3</v>
      </c>
      <c r="R1887">
        <f t="shared" si="237"/>
        <v>9.6872093961907796E-2</v>
      </c>
      <c r="S1887">
        <f t="shared" si="239"/>
        <v>16.534576913318531</v>
      </c>
      <c r="T1887" s="564">
        <f>IF((I1887-MAX(I$470:I1887))/MAX(I$470:I1887)&gt;T1886,T1886,(I1887-MAX(I$470:I1887))/MAX(I$470:I1887))</f>
        <v>-0.91338805338419748</v>
      </c>
      <c r="U1887" s="564">
        <f>IF((J1887-MAX(J$470:J1887))/MAX(J$470:J1887)&gt;U1886,U1886,(J1887-MAX(J$470:J1887))/MAX(J$470:J1887))</f>
        <v>-0.8283551177402233</v>
      </c>
      <c r="V1887" s="564">
        <f>IF((K1887-MAX(K$470:K1887))/MAX(K$470:K1887)&gt;V1886,V1886,(K1887-MAX(K$470:K1887))/MAX(K$470:K1887))</f>
        <v>-0.84885940676762139</v>
      </c>
      <c r="W1887" s="564">
        <f>IF((N1887-MAX(N$470:N1887))/MAX(N$470:N1887)&gt;W1886,W1886,(N1887-MAX(N$470:N1887))/MAX(N$470:N1887))</f>
        <v>-0.62788758315546067</v>
      </c>
      <c r="X1887" s="564">
        <f>IF((O1887-MAX(O$470:O1887))/MAX(O$470:O1887)&gt;X1886,X1886,(O1887-MAX(O$470:O1887))/MAX(O$470:O1887))</f>
        <v>-0.62788758315546067</v>
      </c>
    </row>
    <row r="1888" spans="1:24">
      <c r="A1888" s="799">
        <v>42290</v>
      </c>
      <c r="B1888">
        <v>250.07900000000001</v>
      </c>
      <c r="C1888">
        <v>457.140852</v>
      </c>
      <c r="D1888">
        <v>0.90522599999999998</v>
      </c>
      <c r="E1888">
        <f>LN(D1888/参数实验室!$E$53)/参数实验室!$E$55</f>
        <v>-0.81043708265577208</v>
      </c>
      <c r="F1888">
        <f t="shared" si="238"/>
        <v>1.8279857644984183</v>
      </c>
      <c r="G1888">
        <f>LN(F1888/参数实验室!$E$58)/参数实验室!$E$59</f>
        <v>0.12606964189223749</v>
      </c>
      <c r="H1888" s="856">
        <f>INDEX(神经网络!$G$10:$BO$70,MATCH(ROUND(G1888*2,1)/2,神经网络!$E$10:$E$70,0),MATCH(ROUND(E1888*2,1)/2,神经网络!$G$8:$BO$8,0))</f>
        <v>-7.9731667079953231E-2</v>
      </c>
      <c r="I1888">
        <f t="shared" si="240"/>
        <v>982.55165953070332</v>
      </c>
      <c r="J1888">
        <f t="shared" si="241"/>
        <v>99.788116994533084</v>
      </c>
      <c r="K1888">
        <f t="shared" si="242"/>
        <v>9.8463793999092371</v>
      </c>
      <c r="L1888" s="4">
        <f>MIN(MAX(L1887*(1+MAX(MIN(((B1888-B1887)/B1887)/($K$7*卓尔金历!$N$40),0),-卓尔金历!$M$43))+MIN(MAX(((B1888-B1887)/B1887)/($K$7*卓尔金历!$N$40),0),卓尔金历!$M$43),0),1)</f>
        <v>1</v>
      </c>
      <c r="M1888" s="4">
        <f>MIN(MAX(M1887*(1+MAX(MIN(((B1888-B1887)/B1887)/($K$7*30),0),-卓尔金历!$M$43))+MIN(MAX(((B1888-B1887)/B1887)/($K$7*7),0),卓尔金历!$M$43),0),1)</f>
        <v>1</v>
      </c>
      <c r="N1888">
        <f t="shared" si="243"/>
        <v>777.72699425715859</v>
      </c>
      <c r="O1888">
        <f t="shared" si="244"/>
        <v>2034.7590255648504</v>
      </c>
      <c r="P1888">
        <f t="shared" si="245"/>
        <v>1.3976288559473233E-2</v>
      </c>
      <c r="Q1888">
        <f t="shared" si="236"/>
        <v>8.6660113931369426E-3</v>
      </c>
      <c r="R1888">
        <f t="shared" si="237"/>
        <v>4.6206008499994015E-3</v>
      </c>
      <c r="S1888">
        <f t="shared" si="239"/>
        <v>16.533079719619668</v>
      </c>
      <c r="T1888" s="564">
        <f>IF((I1888-MAX(I$470:I1888))/MAX(I$470:I1888)&gt;T1887,T1887,(I1888-MAX(I$470:I1888))/MAX(I$470:I1888))</f>
        <v>-0.91338805338419748</v>
      </c>
      <c r="U1888" s="564">
        <f>IF((J1888-MAX(J$470:J1888))/MAX(J$470:J1888)&gt;U1887,U1887,(J1888-MAX(J$470:J1888))/MAX(J$470:J1888))</f>
        <v>-0.8283551177402233</v>
      </c>
      <c r="V1888" s="564">
        <f>IF((K1888-MAX(K$470:K1888))/MAX(K$470:K1888)&gt;V1887,V1887,(K1888-MAX(K$470:K1888))/MAX(K$470:K1888))</f>
        <v>-0.84885940676762139</v>
      </c>
      <c r="W1888" s="564">
        <f>IF((N1888-MAX(N$470:N1888))/MAX(N$470:N1888)&gt;W1887,W1887,(N1888-MAX(N$470:N1888))/MAX(N$470:N1888))</f>
        <v>-0.62788758315546067</v>
      </c>
      <c r="X1888" s="564">
        <f>IF((O1888-MAX(O$470:O1888))/MAX(O$470:O1888)&gt;X1887,X1887,(O1888-MAX(O$470:O1888))/MAX(O$470:O1888))</f>
        <v>-0.62788758315546067</v>
      </c>
    </row>
    <row r="1889" spans="1:24">
      <c r="A1889" s="799">
        <v>42291</v>
      </c>
      <c r="B1889">
        <v>250.13</v>
      </c>
      <c r="C1889">
        <v>457.52081800000002</v>
      </c>
      <c r="D1889">
        <v>0.91550900000000002</v>
      </c>
      <c r="E1889">
        <f>LN(D1889/参数实验室!$E$53)/参数实验室!$E$55</f>
        <v>-0.79711111089791831</v>
      </c>
      <c r="F1889">
        <f t="shared" si="238"/>
        <v>1.8291321232958861</v>
      </c>
      <c r="G1889">
        <f>LN(F1889/参数实验室!$E$58)/参数实验室!$E$59</f>
        <v>0.12639868300485094</v>
      </c>
      <c r="H1889" s="856">
        <f>INDEX(神经网络!$G$10:$BO$70,MATCH(ROUND(G1889*2,1)/2,神经网络!$E$10:$E$70,0),MATCH(ROUND(E1889*2,1)/2,神经网络!$G$8:$BO$8,0))</f>
        <v>-7.9731667079953231E-2</v>
      </c>
      <c r="I1889">
        <f t="shared" si="240"/>
        <v>982.53568312096024</v>
      </c>
      <c r="J1889">
        <f t="shared" si="241"/>
        <v>99.808467339690893</v>
      </c>
      <c r="K1889">
        <f t="shared" si="242"/>
        <v>9.8442117117876506</v>
      </c>
      <c r="L1889" s="4">
        <f>MIN(MAX(L1888*(1+MAX(MIN(((B1889-B1888)/B1888)/($K$7*卓尔金历!$N$40),0),-卓尔金历!$M$43))+MIN(MAX(((B1889-B1888)/B1888)/($K$7*卓尔金历!$N$40),0),卓尔金历!$M$43),0),1)</f>
        <v>1</v>
      </c>
      <c r="M1889" s="4">
        <f>MIN(MAX(M1888*(1+MAX(MIN(((B1889-B1888)/B1888)/($K$7*30),0),-卓尔金历!$M$43))+MIN(MAX(((B1889-B1888)/B1888)/($K$7*7),0),卓尔金历!$M$43),0),1)</f>
        <v>1</v>
      </c>
      <c r="N1889">
        <f t="shared" si="243"/>
        <v>777.71434832143802</v>
      </c>
      <c r="O1889">
        <f t="shared" si="244"/>
        <v>2034.7259401350864</v>
      </c>
      <c r="P1889">
        <f t="shared" si="245"/>
        <v>2.0393555636413982E-4</v>
      </c>
      <c r="Q1889">
        <f t="shared" si="236"/>
        <v>8.4388424638623099E-3</v>
      </c>
      <c r="R1889">
        <f t="shared" si="237"/>
        <v>1</v>
      </c>
      <c r="S1889">
        <f t="shared" si="239"/>
        <v>16.533078477464045</v>
      </c>
      <c r="T1889" s="564">
        <f>IF((I1889-MAX(I$470:I1889))/MAX(I$470:I1889)&gt;T1888,T1888,(I1889-MAX(I$470:I1889))/MAX(I$470:I1889))</f>
        <v>-0.91338805338419748</v>
      </c>
      <c r="U1889" s="564">
        <f>IF((J1889-MAX(J$470:J1889))/MAX(J$470:J1889)&gt;U1888,U1888,(J1889-MAX(J$470:J1889))/MAX(J$470:J1889))</f>
        <v>-0.8283551177402233</v>
      </c>
      <c r="V1889" s="564">
        <f>IF((K1889-MAX(K$470:K1889))/MAX(K$470:K1889)&gt;V1888,V1888,(K1889-MAX(K$470:K1889))/MAX(K$470:K1889))</f>
        <v>-0.84885940676762139</v>
      </c>
      <c r="W1889" s="564">
        <f>IF((N1889-MAX(N$470:N1889))/MAX(N$470:N1889)&gt;W1888,W1888,(N1889-MAX(N$470:N1889))/MAX(N$470:N1889))</f>
        <v>-0.62788758315546067</v>
      </c>
      <c r="X1889" s="564">
        <f>IF((O1889-MAX(O$470:O1889))/MAX(O$470:O1889)&gt;X1888,X1888,(O1889-MAX(O$470:O1889))/MAX(O$470:O1889))</f>
        <v>-0.62788758315546067</v>
      </c>
    </row>
    <row r="1890" spans="1:24">
      <c r="A1890" s="799">
        <v>42292</v>
      </c>
      <c r="B1890">
        <v>254.37700000000001</v>
      </c>
      <c r="C1890">
        <v>456.05667</v>
      </c>
      <c r="D1890">
        <v>0.92101200000000005</v>
      </c>
      <c r="E1890">
        <f>LN(D1890/参数实验室!$E$53)/参数实验室!$E$55</f>
        <v>-0.79004100221758566</v>
      </c>
      <c r="F1890">
        <f t="shared" si="238"/>
        <v>1.7928376779347188</v>
      </c>
      <c r="G1890">
        <f>LN(F1890/参数实验室!$E$58)/参数实验室!$E$59</f>
        <v>0.11587958700305534</v>
      </c>
      <c r="H1890" s="856">
        <f>INDEX(神经网络!$G$10:$BO$70,MATCH(ROUND(G1890*2,1)/2,神经网络!$E$10:$E$70,0),MATCH(ROUND(E1890*2,1)/2,神经网络!$G$8:$BO$8,0))</f>
        <v>-0.13319218732003643</v>
      </c>
      <c r="I1890">
        <f t="shared" si="240"/>
        <v>981.20554832587629</v>
      </c>
      <c r="J1890">
        <f t="shared" si="241"/>
        <v>101.50313235704853</v>
      </c>
      <c r="K1890">
        <f t="shared" si="242"/>
        <v>9.6667514148664591</v>
      </c>
      <c r="L1890" s="4">
        <f>MIN(MAX(L1889*(1+MAX(MIN(((B1890-B1889)/B1889)/($K$7*卓尔金历!$N$40),0),-卓尔金历!$M$43))+MIN(MAX(((B1890-B1889)/B1889)/($K$7*卓尔金历!$N$40),0),卓尔金历!$M$43),0),1)</f>
        <v>1</v>
      </c>
      <c r="M1890" s="4">
        <f>MIN(MAX(M1889*(1+MAX(MIN(((B1890-B1889)/B1889)/($K$7*30),0),-卓尔金历!$M$43))+MIN(MAX(((B1890-B1889)/B1889)/($K$7*7),0),卓尔金历!$M$43),0),1)</f>
        <v>1</v>
      </c>
      <c r="N1890">
        <f t="shared" si="243"/>
        <v>776.66149606058934</v>
      </c>
      <c r="O1890">
        <f t="shared" si="244"/>
        <v>2031.9713737433226</v>
      </c>
      <c r="P1890">
        <f t="shared" si="245"/>
        <v>1.6979170831167848E-2</v>
      </c>
      <c r="Q1890">
        <f t="shared" si="236"/>
        <v>8.8804217546778821E-3</v>
      </c>
      <c r="R1890">
        <f t="shared" si="237"/>
        <v>2.9693054821028292E-3</v>
      </c>
      <c r="S1890">
        <f t="shared" si="239"/>
        <v>16.510696366228274</v>
      </c>
      <c r="T1890" s="564">
        <f>IF((I1890-MAX(I$470:I1890))/MAX(I$470:I1890)&gt;T1889,T1889,(I1890-MAX(I$470:I1890))/MAX(I$470:I1890))</f>
        <v>-0.91338805338419748</v>
      </c>
      <c r="U1890" s="564">
        <f>IF((J1890-MAX(J$470:J1890))/MAX(J$470:J1890)&gt;U1889,U1889,(J1890-MAX(J$470:J1890))/MAX(J$470:J1890))</f>
        <v>-0.8283551177402233</v>
      </c>
      <c r="V1890" s="564">
        <f>IF((K1890-MAX(K$470:K1890))/MAX(K$470:K1890)&gt;V1889,V1889,(K1890-MAX(K$470:K1890))/MAX(K$470:K1890))</f>
        <v>-0.84885940676762139</v>
      </c>
      <c r="W1890" s="564">
        <f>IF((N1890-MAX(N$470:N1890))/MAX(N$470:N1890)&gt;W1889,W1889,(N1890-MAX(N$470:N1890))/MAX(N$470:N1890))</f>
        <v>-0.62788758315546067</v>
      </c>
      <c r="X1890" s="564">
        <f>IF((O1890-MAX(O$470:O1890))/MAX(O$470:O1890)&gt;X1889,X1889,(O1890-MAX(O$470:O1890))/MAX(O$470:O1890))</f>
        <v>-0.62788758315546067</v>
      </c>
    </row>
    <row r="1891" spans="1:24">
      <c r="A1891" s="799">
        <v>42293</v>
      </c>
      <c r="B1891">
        <v>259.286</v>
      </c>
      <c r="C1891">
        <v>455.79091399999999</v>
      </c>
      <c r="D1891">
        <v>0.94954700000000003</v>
      </c>
      <c r="E1891">
        <f>LN(D1891/参数实验室!$E$53)/参数实验室!$E$55</f>
        <v>-0.75404441456089244</v>
      </c>
      <c r="F1891">
        <f t="shared" si="238"/>
        <v>1.7578693566177888</v>
      </c>
      <c r="G1891">
        <f>LN(F1891/参数实验室!$E$58)/参数实验室!$E$59</f>
        <v>0.10554144418795738</v>
      </c>
      <c r="H1891" s="856">
        <f>INDEX(神经网络!$G$10:$BO$70,MATCH(ROUND(G1891*2,1)/2,神经网络!$E$10:$E$70,0),MATCH(ROUND(E1891*2,1)/2,神经网络!$G$8:$BO$8,0))</f>
        <v>-0.14674409267063451</v>
      </c>
      <c r="I1891">
        <f t="shared" si="240"/>
        <v>978.68349690275261</v>
      </c>
      <c r="J1891">
        <f t="shared" si="241"/>
        <v>103.46195283508213</v>
      </c>
      <c r="K1891">
        <f t="shared" si="242"/>
        <v>9.4593565082109894</v>
      </c>
      <c r="L1891" s="4">
        <f>MIN(MAX(L1890*(1+MAX(MIN(((B1891-B1890)/B1890)/($K$7*卓尔金历!$N$40),0),-卓尔金历!$M$43))+MIN(MAX(((B1891-B1890)/B1890)/($K$7*卓尔金历!$N$40),0),卓尔金历!$M$43),0),1)</f>
        <v>1</v>
      </c>
      <c r="M1891" s="4">
        <f>MIN(MAX(M1890*(1+MAX(MIN(((B1891-B1890)/B1890)/($K$7*30),0),-卓尔金历!$M$43))+MIN(MAX(((B1891-B1890)/B1890)/($K$7*7),0),卓尔金历!$M$43),0),1)</f>
        <v>1</v>
      </c>
      <c r="N1891">
        <f t="shared" si="243"/>
        <v>774.66519647303915</v>
      </c>
      <c r="O1891">
        <f t="shared" si="244"/>
        <v>2026.7484759482177</v>
      </c>
      <c r="P1891">
        <f t="shared" si="245"/>
        <v>1.9298128368523852E-2</v>
      </c>
      <c r="Q1891">
        <f t="shared" si="236"/>
        <v>8.3717083358410462E-3</v>
      </c>
      <c r="R1891">
        <f t="shared" si="237"/>
        <v>1.4639361981217474E-3</v>
      </c>
      <c r="S1891">
        <f t="shared" si="239"/>
        <v>16.510570353558496</v>
      </c>
      <c r="T1891" s="564">
        <f>IF((I1891-MAX(I$470:I1891))/MAX(I$470:I1891)&gt;T1890,T1890,(I1891-MAX(I$470:I1891))/MAX(I$470:I1891))</f>
        <v>-0.91338805338419748</v>
      </c>
      <c r="U1891" s="564">
        <f>IF((J1891-MAX(J$470:J1891))/MAX(J$470:J1891)&gt;U1890,U1890,(J1891-MAX(J$470:J1891))/MAX(J$470:J1891))</f>
        <v>-0.8283551177402233</v>
      </c>
      <c r="V1891" s="564">
        <f>IF((K1891-MAX(K$470:K1891))/MAX(K$470:K1891)&gt;V1890,V1890,(K1891-MAX(K$470:K1891))/MAX(K$470:K1891))</f>
        <v>-0.84885940676762139</v>
      </c>
      <c r="W1891" s="564">
        <f>IF((N1891-MAX(N$470:N1891))/MAX(N$470:N1891)&gt;W1890,W1890,(N1891-MAX(N$470:N1891))/MAX(N$470:N1891))</f>
        <v>-0.62788758315546067</v>
      </c>
      <c r="X1891" s="564">
        <f>IF((O1891-MAX(O$470:O1891))/MAX(O$470:O1891)&gt;X1890,X1890,(O1891-MAX(O$470:O1891))/MAX(O$470:O1891))</f>
        <v>-0.62788758315546067</v>
      </c>
    </row>
    <row r="1892" spans="1:24">
      <c r="A1892" s="799">
        <v>42294</v>
      </c>
      <c r="B1892">
        <v>269.65100000000001</v>
      </c>
      <c r="C1892">
        <v>458.636934</v>
      </c>
      <c r="D1892">
        <v>0.98206400000000005</v>
      </c>
      <c r="E1892">
        <f>LN(D1892/参数实验室!$E$53)/参数实验室!$E$55</f>
        <v>-0.71432041150645686</v>
      </c>
      <c r="F1892">
        <f t="shared" si="238"/>
        <v>1.7008538221627214</v>
      </c>
      <c r="G1892">
        <f>LN(F1892/参数实验室!$E$58)/参数实验室!$E$59</f>
        <v>8.8235899181119126E-2</v>
      </c>
      <c r="H1892" s="856">
        <f>INDEX(神经网络!$G$10:$BO$70,MATCH(ROUND(G1892*2,1)/2,神经网络!$E$10:$E$70,0),MATCH(ROUND(E1892*2,1)/2,神经网络!$G$8:$BO$8,0))</f>
        <v>-0.14703295761765681</v>
      </c>
      <c r="I1892">
        <f t="shared" si="240"/>
        <v>972.94242308622836</v>
      </c>
      <c r="J1892">
        <f t="shared" si="241"/>
        <v>107.59786121862628</v>
      </c>
      <c r="K1892">
        <f t="shared" si="242"/>
        <v>9.0423955649947647</v>
      </c>
      <c r="L1892" s="4">
        <f>MIN(MAX(L1891*(1+MAX(MIN(((B1892-B1891)/B1891)/($K$7*卓尔金历!$N$40),0),-卓尔金历!$M$43))+MIN(MAX(((B1892-B1891)/B1891)/($K$7*卓尔金历!$N$40),0),卓尔金历!$M$43),0),1)</f>
        <v>1</v>
      </c>
      <c r="M1892" s="4">
        <f>MIN(MAX(M1891*(1+MAX(MIN(((B1892-B1891)/B1891)/($K$7*30),0),-卓尔金历!$M$43))+MIN(MAX(((B1892-B1891)/B1891)/($K$7*7),0),卓尔金历!$M$43),0),1)</f>
        <v>1</v>
      </c>
      <c r="N1892">
        <f t="shared" si="243"/>
        <v>770.12091827674919</v>
      </c>
      <c r="O1892">
        <f t="shared" si="244"/>
        <v>2014.8593282873342</v>
      </c>
      <c r="P1892">
        <f t="shared" si="245"/>
        <v>3.9975162561804375E-2</v>
      </c>
      <c r="Q1892">
        <f t="shared" si="236"/>
        <v>1.0548595087386653E-2</v>
      </c>
      <c r="R1892">
        <f t="shared" si="237"/>
        <v>0</v>
      </c>
      <c r="S1892">
        <f t="shared" si="239"/>
        <v>16.510428566990132</v>
      </c>
      <c r="T1892" s="564">
        <f>IF((I1892-MAX(I$470:I1892))/MAX(I$470:I1892)&gt;T1891,T1891,(I1892-MAX(I$470:I1892))/MAX(I$470:I1892))</f>
        <v>-0.91338805338419748</v>
      </c>
      <c r="U1892" s="564">
        <f>IF((J1892-MAX(J$470:J1892))/MAX(J$470:J1892)&gt;U1891,U1891,(J1892-MAX(J$470:J1892))/MAX(J$470:J1892))</f>
        <v>-0.8283551177402233</v>
      </c>
      <c r="V1892" s="564">
        <f>IF((K1892-MAX(K$470:K1892))/MAX(K$470:K1892)&gt;V1891,V1891,(K1892-MAX(K$470:K1892))/MAX(K$470:K1892))</f>
        <v>-0.84885940676762139</v>
      </c>
      <c r="W1892" s="564">
        <f>IF((N1892-MAX(N$470:N1892))/MAX(N$470:N1892)&gt;W1891,W1891,(N1892-MAX(N$470:N1892))/MAX(N$470:N1892))</f>
        <v>-0.62788758315546067</v>
      </c>
      <c r="X1892" s="564">
        <f>IF((O1892-MAX(O$470:O1892))/MAX(O$470:O1892)&gt;X1891,X1891,(O1892-MAX(O$470:O1892))/MAX(O$470:O1892))</f>
        <v>-0.62788758315546067</v>
      </c>
    </row>
    <row r="1893" spans="1:24">
      <c r="A1893" s="799">
        <v>42295</v>
      </c>
      <c r="B1893">
        <v>265.33</v>
      </c>
      <c r="C1893">
        <v>459.63039400000002</v>
      </c>
      <c r="D1893">
        <v>0.95160800000000001</v>
      </c>
      <c r="E1893">
        <f>LN(D1893/参数实验室!$E$53)/参数实验室!$E$55</f>
        <v>-0.75148652486927248</v>
      </c>
      <c r="F1893">
        <f t="shared" si="238"/>
        <v>1.73229711679795</v>
      </c>
      <c r="G1893">
        <f>LN(F1893/参数实验室!$E$58)/参数实验室!$E$59</f>
        <v>9.785015854470315E-2</v>
      </c>
      <c r="H1893" s="856">
        <f>INDEX(神经网络!$G$10:$BO$70,MATCH(ROUND(G1893*2,1)/2,神经网络!$E$10:$E$70,0),MATCH(ROUND(E1893*2,1)/2,神经网络!$G$8:$BO$8,0))</f>
        <v>-0.14674409267063451</v>
      </c>
      <c r="I1893">
        <f t="shared" si="240"/>
        <v>975.23478964705282</v>
      </c>
      <c r="J1893">
        <f t="shared" si="241"/>
        <v>105.87366824947101</v>
      </c>
      <c r="K1893">
        <f t="shared" si="242"/>
        <v>9.2113063216918007</v>
      </c>
      <c r="L1893" s="4">
        <f>MIN(MAX(L1892*(1+MAX(MIN(((B1893-B1892)/B1892)/($K$7*卓尔金历!$N$40),0),-卓尔金历!$M$43))+MIN(MAX(((B1893-B1892)/B1892)/($K$7*卓尔金历!$N$40),0),卓尔金历!$M$43),0),1)</f>
        <v>0.75516228960213261</v>
      </c>
      <c r="M1893" s="4">
        <f>MIN(MAX(M1892*(1+MAX(MIN(((B1893-B1892)/B1892)/($K$7*30),0),-卓尔金历!$M$43))+MIN(MAX(((B1893-B1892)/B1892)/($K$7*7),0),卓尔金历!$M$43),0),1)</f>
        <v>0.8775811448010663</v>
      </c>
      <c r="N1893">
        <f t="shared" si="243"/>
        <v>771.93541356337585</v>
      </c>
      <c r="O1893">
        <f t="shared" si="244"/>
        <v>2019.6065733856412</v>
      </c>
      <c r="P1893">
        <f t="shared" si="245"/>
        <v>-1.6024416746090415E-2</v>
      </c>
      <c r="Q1893">
        <f t="shared" si="236"/>
        <v>1.1454847816544819E-2</v>
      </c>
      <c r="R1893">
        <f t="shared" si="237"/>
        <v>7.0074256494490452E-3</v>
      </c>
      <c r="S1893">
        <f t="shared" si="239"/>
        <v>16.510428566990132</v>
      </c>
      <c r="T1893" s="564">
        <f>IF((I1893-MAX(I$470:I1893))/MAX(I$470:I1893)&gt;T1892,T1892,(I1893-MAX(I$470:I1893))/MAX(I$470:I1893))</f>
        <v>-0.91338805338419748</v>
      </c>
      <c r="U1893" s="564">
        <f>IF((J1893-MAX(J$470:J1893))/MAX(J$470:J1893)&gt;U1892,U1892,(J1893-MAX(J$470:J1893))/MAX(J$470:J1893))</f>
        <v>-0.8283551177402233</v>
      </c>
      <c r="V1893" s="564">
        <f>IF((K1893-MAX(K$470:K1893))/MAX(K$470:K1893)&gt;V1892,V1892,(K1893-MAX(K$470:K1893))/MAX(K$470:K1893))</f>
        <v>-0.84885940676762139</v>
      </c>
      <c r="W1893" s="564">
        <f>IF((N1893-MAX(N$470:N1893))/MAX(N$470:N1893)&gt;W1892,W1892,(N1893-MAX(N$470:N1893))/MAX(N$470:N1893))</f>
        <v>-0.62788758315546067</v>
      </c>
      <c r="X1893" s="564">
        <f>IF((O1893-MAX(O$470:O1893))/MAX(O$470:O1893)&gt;X1892,X1892,(O1893-MAX(O$470:O1893))/MAX(O$470:O1893))</f>
        <v>-0.62788758315546067</v>
      </c>
    </row>
    <row r="1894" spans="1:24">
      <c r="A1894" s="799">
        <v>42296</v>
      </c>
      <c r="B1894">
        <v>263.06200000000001</v>
      </c>
      <c r="C1894">
        <v>447.645106</v>
      </c>
      <c r="D1894">
        <v>0.95474499999999995</v>
      </c>
      <c r="E1894">
        <f>LN(D1894/参数实验室!$E$53)/参数实验室!$E$55</f>
        <v>-0.74760383444749812</v>
      </c>
      <c r="F1894">
        <f t="shared" si="238"/>
        <v>1.7016714918916451</v>
      </c>
      <c r="G1894">
        <f>LN(F1894/参数实验室!$E$58)/参数实验室!$E$59</f>
        <v>8.84881572728487E-2</v>
      </c>
      <c r="H1894" s="856">
        <f>INDEX(神经网络!$G$10:$BO$70,MATCH(ROUND(G1894*2,1)/2,神经网络!$E$10:$E$70,0),MATCH(ROUND(E1894*2,1)/2,神经网络!$G$8:$BO$8,0))</f>
        <v>-0.14674409267063451</v>
      </c>
      <c r="I1894">
        <f t="shared" si="240"/>
        <v>976.45807142363424</v>
      </c>
      <c r="J1894">
        <f t="shared" si="241"/>
        <v>104.96867642951172</v>
      </c>
      <c r="K1894">
        <f t="shared" si="242"/>
        <v>9.3023757623479497</v>
      </c>
      <c r="L1894" s="4">
        <f>MIN(MAX(L1893*(1+MAX(MIN(((B1894-B1893)/B1893)/($K$7*卓尔金历!$N$40),0),-卓尔金历!$M$43))+MIN(MAX(((B1894-B1893)/B1893)/($K$7*卓尔金历!$N$40),0),卓尔金历!$M$43),0),1)</f>
        <v>0.65653591569165448</v>
      </c>
      <c r="M1894" s="4">
        <f>MIN(MAX(M1893*(1+MAX(MIN(((B1894-B1893)/B1893)/($K$7*30),0),-卓尔金历!$M$43))+MIN(MAX(((B1894-B1893)/B1893)/($K$7*7),0),卓尔金历!$M$43),0),1)</f>
        <v>0.82027382999226084</v>
      </c>
      <c r="N1894">
        <f t="shared" si="243"/>
        <v>772.66661760004035</v>
      </c>
      <c r="O1894">
        <f t="shared" si="244"/>
        <v>2021.8297367637108</v>
      </c>
      <c r="P1894">
        <f t="shared" si="245"/>
        <v>-8.5478460784682176E-3</v>
      </c>
      <c r="Q1894">
        <f t="shared" si="236"/>
        <v>1.1621172167925799E-2</v>
      </c>
      <c r="R1894">
        <f t="shared" si="237"/>
        <v>0.32212248700824025</v>
      </c>
      <c r="S1894">
        <f t="shared" si="239"/>
        <v>16.510573689294397</v>
      </c>
      <c r="T1894" s="564">
        <f>IF((I1894-MAX(I$470:I1894))/MAX(I$470:I1894)&gt;T1893,T1893,(I1894-MAX(I$470:I1894))/MAX(I$470:I1894))</f>
        <v>-0.91338805338419748</v>
      </c>
      <c r="U1894" s="564">
        <f>IF((J1894-MAX(J$470:J1894))/MAX(J$470:J1894)&gt;U1893,U1893,(J1894-MAX(J$470:J1894))/MAX(J$470:J1894))</f>
        <v>-0.8283551177402233</v>
      </c>
      <c r="V1894" s="564">
        <f>IF((K1894-MAX(K$470:K1894))/MAX(K$470:K1894)&gt;V1893,V1893,(K1894-MAX(K$470:K1894))/MAX(K$470:K1894))</f>
        <v>-0.84885940676762139</v>
      </c>
      <c r="W1894" s="564">
        <f>IF((N1894-MAX(N$470:N1894))/MAX(N$470:N1894)&gt;W1893,W1893,(N1894-MAX(N$470:N1894))/MAX(N$470:N1894))</f>
        <v>-0.62788758315546067</v>
      </c>
      <c r="X1894" s="564">
        <f>IF((O1894-MAX(O$470:O1894))/MAX(O$470:O1894)&gt;X1893,X1893,(O1894-MAX(O$470:O1894))/MAX(O$470:O1894))</f>
        <v>-0.62788758315546067</v>
      </c>
    </row>
    <row r="1895" spans="1:24">
      <c r="A1895" s="799">
        <v>42297</v>
      </c>
      <c r="B1895">
        <v>265.75799999999998</v>
      </c>
      <c r="C1895">
        <v>447.9579</v>
      </c>
      <c r="D1895">
        <v>0.97727200000000003</v>
      </c>
      <c r="E1895">
        <f>LN(D1895/参数实验室!$E$53)/参数实验室!$E$55</f>
        <v>-0.72009113058393526</v>
      </c>
      <c r="F1895">
        <f t="shared" si="238"/>
        <v>1.6855857584719933</v>
      </c>
      <c r="G1895">
        <f>LN(F1895/参数实验室!$E$58)/参数实验室!$E$59</f>
        <v>8.350316495344863E-2</v>
      </c>
      <c r="H1895" s="856">
        <f>INDEX(神经网络!$G$10:$BO$70,MATCH(ROUND(G1895*2,1)/2,神经网络!$E$10:$E$70,0),MATCH(ROUND(E1895*2,1)/2,神经网络!$G$8:$BO$8,0))</f>
        <v>-0.14703295761765681</v>
      </c>
      <c r="I1895">
        <f t="shared" si="240"/>
        <v>974.9895645042219</v>
      </c>
      <c r="J1895">
        <f t="shared" si="241"/>
        <v>106.04445153824639</v>
      </c>
      <c r="K1895">
        <f t="shared" si="242"/>
        <v>9.1941591508215641</v>
      </c>
      <c r="L1895" s="4">
        <f>MIN(MAX(L1894*(1+MAX(MIN(((B1895-B1894)/B1894)/($K$7*卓尔金历!$N$40),0),-卓尔金历!$M$43))+MIN(MAX(((B1895-B1894)/B1894)/($K$7*卓尔金历!$N$40),0),卓尔金历!$M$43),0),1)</f>
        <v>0.8131236890771657</v>
      </c>
      <c r="M1895" s="4">
        <f>MIN(MAX(M1894*(1+MAX(MIN(((B1895-B1894)/B1894)/($K$7*30),0),-卓尔金历!$M$43))+MIN(MAX(((B1895-B1894)/B1894)/($K$7*7),0),卓尔金历!$M$43),0),1)</f>
        <v>1</v>
      </c>
      <c r="N1895">
        <f t="shared" si="243"/>
        <v>771.90370807711008</v>
      </c>
      <c r="O1895">
        <f t="shared" si="244"/>
        <v>2019.3355680146708</v>
      </c>
      <c r="P1895">
        <f t="shared" si="245"/>
        <v>1.0248534565995733E-2</v>
      </c>
      <c r="Q1895">
        <f t="shared" si="236"/>
        <v>1.1505801528967274E-2</v>
      </c>
      <c r="R1895">
        <f t="shared" si="237"/>
        <v>0.12868259817754751</v>
      </c>
      <c r="S1895">
        <f t="shared" si="239"/>
        <v>16.5025752435191</v>
      </c>
      <c r="T1895" s="564">
        <f>IF((I1895-MAX(I$470:I1895))/MAX(I$470:I1895)&gt;T1894,T1894,(I1895-MAX(I$470:I1895))/MAX(I$470:I1895))</f>
        <v>-0.91338805338419748</v>
      </c>
      <c r="U1895" s="564">
        <f>IF((J1895-MAX(J$470:J1895))/MAX(J$470:J1895)&gt;U1894,U1894,(J1895-MAX(J$470:J1895))/MAX(J$470:J1895))</f>
        <v>-0.8283551177402233</v>
      </c>
      <c r="V1895" s="564">
        <f>IF((K1895-MAX(K$470:K1895))/MAX(K$470:K1895)&gt;V1894,V1894,(K1895-MAX(K$470:K1895))/MAX(K$470:K1895))</f>
        <v>-0.84885940676762139</v>
      </c>
      <c r="W1895" s="564">
        <f>IF((N1895-MAX(N$470:N1895))/MAX(N$470:N1895)&gt;W1894,W1894,(N1895-MAX(N$470:N1895))/MAX(N$470:N1895))</f>
        <v>-0.62788758315546067</v>
      </c>
      <c r="X1895" s="564">
        <f>IF((O1895-MAX(O$470:O1895))/MAX(O$470:O1895)&gt;X1894,X1894,(O1895-MAX(O$470:O1895))/MAX(O$470:O1895))</f>
        <v>-0.62788758315546067</v>
      </c>
    </row>
    <row r="1896" spans="1:24">
      <c r="A1896" s="799">
        <v>42298</v>
      </c>
      <c r="B1896">
        <v>264.68799999999999</v>
      </c>
      <c r="C1896">
        <v>444.671762</v>
      </c>
      <c r="D1896">
        <v>0.96713300000000002</v>
      </c>
      <c r="E1896">
        <f>LN(D1896/参数实验室!$E$53)/参数实验室!$E$55</f>
        <v>-0.73239476748624877</v>
      </c>
      <c r="F1896">
        <f t="shared" si="238"/>
        <v>1.6799845931814061</v>
      </c>
      <c r="G1896">
        <f>LN(F1896/参数实验室!$E$58)/参数实验室!$E$59</f>
        <v>8.1756182031845939E-2</v>
      </c>
      <c r="H1896" s="856">
        <f>INDEX(神经网络!$G$10:$BO$70,MATCH(ROUND(G1896*2,1)/2,神经网络!$E$10:$E$70,0),MATCH(ROUND(E1896*2,1)/2,神经网络!$G$8:$BO$8,0))</f>
        <v>-0.14674409267063451</v>
      </c>
      <c r="I1896">
        <f t="shared" si="240"/>
        <v>975.56674559102828</v>
      </c>
      <c r="J1896">
        <f t="shared" si="241"/>
        <v>105.61749331630793</v>
      </c>
      <c r="K1896">
        <f t="shared" si="242"/>
        <v>9.2367913208218067</v>
      </c>
      <c r="L1896" s="4">
        <f>MIN(MAX(L1895*(1+MAX(MIN(((B1896-B1895)/B1895)/($K$7*卓尔金历!$N$40),0),-卓尔金历!$M$43))+MIN(MAX(((B1896-B1895)/B1895)/($K$7*卓尔金历!$N$40),0),卓尔金历!$M$43),0),1)</f>
        <v>0.76310294783982335</v>
      </c>
      <c r="M1896" s="4">
        <f>MIN(MAX(M1895*(1+MAX(MIN(((B1896-B1895)/B1895)/($K$7*30),0),-卓尔金历!$M$43))+MIN(MAX(((B1896-B1895)/B1895)/($K$7*7),0),卓尔金历!$M$43),0),1)</f>
        <v>0.96924161606082826</v>
      </c>
      <c r="N1896">
        <f t="shared" si="243"/>
        <v>772.27527056757003</v>
      </c>
      <c r="O1896">
        <f t="shared" si="244"/>
        <v>2020.5309882942367</v>
      </c>
      <c r="P1896">
        <f t="shared" si="245"/>
        <v>-4.0262193424092339E-3</v>
      </c>
      <c r="Q1896">
        <f t="shared" si="236"/>
        <v>1.1626220337115344E-2</v>
      </c>
      <c r="R1896">
        <f t="shared" si="237"/>
        <v>1</v>
      </c>
      <c r="S1896">
        <f t="shared" si="239"/>
        <v>16.503832383581869</v>
      </c>
      <c r="T1896" s="564">
        <f>IF((I1896-MAX(I$470:I1896))/MAX(I$470:I1896)&gt;T1895,T1895,(I1896-MAX(I$470:I1896))/MAX(I$470:I1896))</f>
        <v>-0.91338805338419748</v>
      </c>
      <c r="U1896" s="564">
        <f>IF((J1896-MAX(J$470:J1896))/MAX(J$470:J1896)&gt;U1895,U1895,(J1896-MAX(J$470:J1896))/MAX(J$470:J1896))</f>
        <v>-0.8283551177402233</v>
      </c>
      <c r="V1896" s="564">
        <f>IF((K1896-MAX(K$470:K1896))/MAX(K$470:K1896)&gt;V1895,V1895,(K1896-MAX(K$470:K1896))/MAX(K$470:K1896))</f>
        <v>-0.84885940676762139</v>
      </c>
      <c r="W1896" s="564">
        <f>IF((N1896-MAX(N$470:N1896))/MAX(N$470:N1896)&gt;W1895,W1895,(N1896-MAX(N$470:N1896))/MAX(N$470:N1896))</f>
        <v>-0.62788758315546067</v>
      </c>
      <c r="X1896" s="564">
        <f>IF((O1896-MAX(O$470:O1896))/MAX(O$470:O1896)&gt;X1895,X1895,(O1896-MAX(O$470:O1896))/MAX(O$470:O1896))</f>
        <v>-0.62788758315546067</v>
      </c>
    </row>
    <row r="1897" spans="1:24">
      <c r="A1897" s="799">
        <v>42299</v>
      </c>
      <c r="B1897">
        <v>274.63</v>
      </c>
      <c r="C1897">
        <v>447.75800700000002</v>
      </c>
      <c r="D1897">
        <v>0.99332399999999998</v>
      </c>
      <c r="E1897">
        <f>LN(D1897/参数实验室!$E$53)/参数实验室!$E$55</f>
        <v>-0.70087073437643965</v>
      </c>
      <c r="F1897">
        <f t="shared" si="238"/>
        <v>1.6304045697848015</v>
      </c>
      <c r="G1897">
        <f>LN(F1897/参数实验室!$E$58)/参数实验室!$E$59</f>
        <v>6.6033425321255126E-2</v>
      </c>
      <c r="H1897" s="856">
        <f>INDEX(神经网络!$G$10:$BO$70,MATCH(ROUND(G1897*2,1)/2,神经网络!$E$10:$E$70,0),MATCH(ROUND(E1897*2,1)/2,神经网络!$G$8:$BO$8,0))</f>
        <v>-0.22051734516424332</v>
      </c>
      <c r="I1897">
        <f t="shared" si="240"/>
        <v>970.18953405475702</v>
      </c>
      <c r="J1897">
        <f t="shared" si="241"/>
        <v>109.5846135429549</v>
      </c>
      <c r="K1897">
        <f t="shared" si="242"/>
        <v>8.8533371856484475</v>
      </c>
      <c r="L1897" s="4">
        <f>MIN(MAX(L1896*(1+MAX(MIN(((B1897-B1896)/B1896)/($K$7*卓尔金历!$N$40),0),-卓尔金历!$M$43))+MIN(MAX(((B1897-B1896)/B1896)/($K$7*卓尔金历!$N$40),0),卓尔金历!$M$43),0),1)</f>
        <v>1</v>
      </c>
      <c r="M1897" s="4">
        <f>MIN(MAX(M1896*(1+MAX(MIN(((B1897-B1896)/B1896)/($K$7*30),0),-卓尔金历!$M$43))+MIN(MAX(((B1897-B1896)/B1896)/($K$7*7),0),卓尔金历!$M$43),0),1)</f>
        <v>1</v>
      </c>
      <c r="N1897">
        <f t="shared" si="243"/>
        <v>769.02697609412041</v>
      </c>
      <c r="O1897">
        <f t="shared" si="244"/>
        <v>2009.7366083052345</v>
      </c>
      <c r="P1897">
        <f t="shared" si="245"/>
        <v>3.7561204134679352E-2</v>
      </c>
      <c r="Q1897">
        <f t="shared" si="236"/>
        <v>1.3377550076155589E-2</v>
      </c>
      <c r="R1897">
        <f t="shared" si="237"/>
        <v>0</v>
      </c>
      <c r="S1897">
        <f t="shared" si="239"/>
        <v>16.412865160389039</v>
      </c>
      <c r="T1897" s="564">
        <f>IF((I1897-MAX(I$470:I1897))/MAX(I$470:I1897)&gt;T1896,T1896,(I1897-MAX(I$470:I1897))/MAX(I$470:I1897))</f>
        <v>-0.91338805338419748</v>
      </c>
      <c r="U1897" s="564">
        <f>IF((J1897-MAX(J$470:J1897))/MAX(J$470:J1897)&gt;U1896,U1896,(J1897-MAX(J$470:J1897))/MAX(J$470:J1897))</f>
        <v>-0.8283551177402233</v>
      </c>
      <c r="V1897" s="564">
        <f>IF((K1897-MAX(K$470:K1897))/MAX(K$470:K1897)&gt;V1896,V1896,(K1897-MAX(K$470:K1897))/MAX(K$470:K1897))</f>
        <v>-0.84885940676762139</v>
      </c>
      <c r="W1897" s="564">
        <f>IF((N1897-MAX(N$470:N1897))/MAX(N$470:N1897)&gt;W1896,W1896,(N1897-MAX(N$470:N1897))/MAX(N$470:N1897))</f>
        <v>-0.62788758315546067</v>
      </c>
      <c r="X1897" s="564">
        <f>IF((O1897-MAX(O$470:O1897))/MAX(O$470:O1897)&gt;X1896,X1896,(O1897-MAX(O$470:O1897))/MAX(O$470:O1897))</f>
        <v>-0.62788758315546067</v>
      </c>
    </row>
    <row r="1898" spans="1:24">
      <c r="A1898" s="799">
        <v>42300</v>
      </c>
      <c r="B1898">
        <v>274.98500000000001</v>
      </c>
      <c r="C1898">
        <v>450.87365399999999</v>
      </c>
      <c r="D1898">
        <v>1.004284</v>
      </c>
      <c r="E1898">
        <f>LN(D1898/参数实验室!$E$53)/参数实验室!$E$55</f>
        <v>-0.6879250260108174</v>
      </c>
      <c r="F1898">
        <f t="shared" si="238"/>
        <v>1.6396299943633288</v>
      </c>
      <c r="G1898">
        <f>LN(F1898/参数实验室!$E$58)/参数实验室!$E$59</f>
        <v>6.899487061510258E-2</v>
      </c>
      <c r="H1898" s="856">
        <f>INDEX(神经网络!$G$10:$BO$70,MATCH(ROUND(G1898*2,1)/2,神经网络!$E$10:$E$70,0),MATCH(ROUND(E1898*2,1)/2,神经网络!$G$8:$BO$8,0))</f>
        <v>-0.22051734516424332</v>
      </c>
      <c r="I1898">
        <f t="shared" si="240"/>
        <v>969.9129801996562</v>
      </c>
      <c r="J1898">
        <f t="shared" si="241"/>
        <v>109.72626790630832</v>
      </c>
      <c r="K1898">
        <f t="shared" si="242"/>
        <v>8.8393873108655558</v>
      </c>
      <c r="L1898" s="4">
        <f>MIN(MAX(L1897*(1+MAX(MIN(((B1898-B1897)/B1897)/($K$7*卓尔金历!$N$40),0),-卓尔金历!$M$43))+MIN(MAX(((B1898-B1897)/B1897)/($K$7*卓尔金历!$N$40),0),卓尔金历!$M$43),0),1)</f>
        <v>1</v>
      </c>
      <c r="M1898" s="4">
        <f>MIN(MAX(M1897*(1+MAX(MIN(((B1898-B1897)/B1897)/($K$7*30),0),-卓尔金历!$M$43))+MIN(MAX(((B1898-B1897)/B1897)/($K$7*7),0),卓尔金历!$M$43),0),1)</f>
        <v>1</v>
      </c>
      <c r="N1898">
        <f t="shared" si="243"/>
        <v>768.80776390160531</v>
      </c>
      <c r="O1898">
        <f t="shared" si="244"/>
        <v>2009.1637301332332</v>
      </c>
      <c r="P1898">
        <f t="shared" si="245"/>
        <v>1.2926482904271864E-3</v>
      </c>
      <c r="Q1898">
        <f t="shared" si="236"/>
        <v>1.3429792657304483E-2</v>
      </c>
      <c r="R1898">
        <f t="shared" si="237"/>
        <v>1</v>
      </c>
      <c r="S1898">
        <f t="shared" si="239"/>
        <v>16.412865160389039</v>
      </c>
      <c r="T1898" s="564">
        <f>IF((I1898-MAX(I$470:I1898))/MAX(I$470:I1898)&gt;T1897,T1897,(I1898-MAX(I$470:I1898))/MAX(I$470:I1898))</f>
        <v>-0.91338805338419748</v>
      </c>
      <c r="U1898" s="564">
        <f>IF((J1898-MAX(J$470:J1898))/MAX(J$470:J1898)&gt;U1897,U1897,(J1898-MAX(J$470:J1898))/MAX(J$470:J1898))</f>
        <v>-0.8283551177402233</v>
      </c>
      <c r="V1898" s="564">
        <f>IF((K1898-MAX(K$470:K1898))/MAX(K$470:K1898)&gt;V1897,V1897,(K1898-MAX(K$470:K1898))/MAX(K$470:K1898))</f>
        <v>-0.84885940676762139</v>
      </c>
      <c r="W1898" s="564">
        <f>IF((N1898-MAX(N$470:N1898))/MAX(N$470:N1898)&gt;W1897,W1897,(N1898-MAX(N$470:N1898))/MAX(N$470:N1898))</f>
        <v>-0.62788758315546067</v>
      </c>
      <c r="X1898" s="564">
        <f>IF((O1898-MAX(O$470:O1898))/MAX(O$470:O1898)&gt;X1897,X1897,(O1898-MAX(O$470:O1898))/MAX(O$470:O1898))</f>
        <v>-0.62788758315546067</v>
      </c>
    </row>
    <row r="1899" spans="1:24">
      <c r="A1899" s="799">
        <v>42301</v>
      </c>
      <c r="B1899">
        <v>277.90800000000002</v>
      </c>
      <c r="C1899">
        <v>449.69747899999999</v>
      </c>
      <c r="D1899">
        <v>1.021665</v>
      </c>
      <c r="E1899">
        <f>LN(D1899/参数实验室!$E$53)/参数实验室!$E$55</f>
        <v>-0.66768187651805577</v>
      </c>
      <c r="F1899">
        <f t="shared" si="238"/>
        <v>1.6181523345855462</v>
      </c>
      <c r="G1899">
        <f>LN(F1899/参数实验室!$E$58)/参数实验室!$E$59</f>
        <v>6.2074334646579132E-2</v>
      </c>
      <c r="H1899" s="856">
        <f>INDEX(神经网络!$G$10:$BO$70,MATCH(ROUND(G1899*2,1)/2,神经网络!$E$10:$E$70,0),MATCH(ROUND(E1899*2,1)/2,神经网络!$G$8:$BO$8,0))</f>
        <v>-0.21469515319361568</v>
      </c>
      <c r="I1899">
        <f t="shared" si="240"/>
        <v>967.63947821455338</v>
      </c>
      <c r="J1899">
        <f t="shared" si="241"/>
        <v>110.89262200231407</v>
      </c>
      <c r="K1899">
        <f t="shared" si="242"/>
        <v>8.7259139584088921</v>
      </c>
      <c r="L1899" s="4">
        <f>MIN(MAX(L1898*(1+MAX(MIN(((B1899-B1898)/B1898)/($K$7*卓尔金历!$N$40),0),-卓尔金历!$M$43))+MIN(MAX(((B1899-B1898)/B1898)/($K$7*卓尔金历!$N$40),0),卓尔金历!$M$43),0),1)</f>
        <v>1</v>
      </c>
      <c r="M1899" s="4">
        <f>MIN(MAX(M1898*(1+MAX(MIN(((B1899-B1898)/B1898)/($K$7*30),0),-卓尔金历!$M$43))+MIN(MAX(((B1899-B1898)/B1898)/($K$7*7),0),卓尔金历!$M$43),0),1)</f>
        <v>1</v>
      </c>
      <c r="N1899">
        <f t="shared" si="243"/>
        <v>767.00565792604357</v>
      </c>
      <c r="O1899">
        <f t="shared" si="244"/>
        <v>2004.4541965749606</v>
      </c>
      <c r="P1899">
        <f t="shared" si="245"/>
        <v>1.0629670709311423E-2</v>
      </c>
      <c r="Q1899">
        <f t="shared" si="236"/>
        <v>1.3404635665458102E-2</v>
      </c>
      <c r="R1899">
        <f t="shared" si="237"/>
        <v>0.24849622949764633</v>
      </c>
      <c r="S1899">
        <f t="shared" si="239"/>
        <v>16.374392965166237</v>
      </c>
      <c r="T1899" s="564">
        <f>IF((I1899-MAX(I$470:I1899))/MAX(I$470:I1899)&gt;T1898,T1898,(I1899-MAX(I$470:I1899))/MAX(I$470:I1899))</f>
        <v>-0.91338805338419748</v>
      </c>
      <c r="U1899" s="564">
        <f>IF((J1899-MAX(J$470:J1899))/MAX(J$470:J1899)&gt;U1898,U1898,(J1899-MAX(J$470:J1899))/MAX(J$470:J1899))</f>
        <v>-0.8283551177402233</v>
      </c>
      <c r="V1899" s="564">
        <f>IF((K1899-MAX(K$470:K1899))/MAX(K$470:K1899)&gt;V1898,V1898,(K1899-MAX(K$470:K1899))/MAX(K$470:K1899))</f>
        <v>-0.84885940676762139</v>
      </c>
      <c r="W1899" s="564">
        <f>IF((N1899-MAX(N$470:N1899))/MAX(N$470:N1899)&gt;W1898,W1898,(N1899-MAX(N$470:N1899))/MAX(N$470:N1899))</f>
        <v>-0.62788758315546067</v>
      </c>
      <c r="X1899" s="564">
        <f>IF((O1899-MAX(O$470:O1899))/MAX(O$470:O1899)&gt;X1898,X1898,(O1899-MAX(O$470:O1899))/MAX(O$470:O1899))</f>
        <v>-0.62788758315546067</v>
      </c>
    </row>
    <row r="1900" spans="1:24">
      <c r="A1900" s="799">
        <v>42302</v>
      </c>
      <c r="B1900">
        <v>288.51100000000002</v>
      </c>
      <c r="C1900">
        <v>452.84374600000001</v>
      </c>
      <c r="D1900">
        <v>1.029814</v>
      </c>
      <c r="E1900">
        <f>LN(D1900/参数实验室!$E$53)/参数实验室!$E$55</f>
        <v>-0.65830926314939919</v>
      </c>
      <c r="F1900">
        <f t="shared" si="238"/>
        <v>1.5695891872406944</v>
      </c>
      <c r="G1900">
        <f>LN(F1900/参数实验室!$E$58)/参数实验室!$E$59</f>
        <v>4.608148443062457E-2</v>
      </c>
      <c r="H1900" s="856">
        <f>INDEX(神经网络!$G$10:$BO$70,MATCH(ROUND(G1900*2,1)/2,神经网络!$E$10:$E$70,0),MATCH(ROUND(E1900*2,1)/2,神经网络!$G$8:$BO$8,0))</f>
        <v>-0.21469515319361568</v>
      </c>
      <c r="I1900">
        <f t="shared" si="240"/>
        <v>959.71330550185871</v>
      </c>
      <c r="J1900">
        <f t="shared" si="241"/>
        <v>115.12349866326136</v>
      </c>
      <c r="K1900">
        <f t="shared" si="242"/>
        <v>8.3363806403160154</v>
      </c>
      <c r="L1900" s="4">
        <f>MIN(MAX(L1899*(1+MAX(MIN(((B1900-B1899)/B1899)/($K$7*卓尔金历!$N$40),0),-卓尔金历!$M$43))+MIN(MAX(((B1900-B1899)/B1899)/($K$7*卓尔金历!$N$40),0),卓尔金历!$M$43),0),1)</f>
        <v>1</v>
      </c>
      <c r="M1900" s="4">
        <f>MIN(MAX(M1899*(1+MAX(MIN(((B1900-B1899)/B1899)/($K$7*30),0),-卓尔金历!$M$43))+MIN(MAX(((B1900-B1899)/B1899)/($K$7*7),0),卓尔金历!$M$43),0),1)</f>
        <v>1</v>
      </c>
      <c r="N1900">
        <f t="shared" si="243"/>
        <v>760.72292613056811</v>
      </c>
      <c r="O1900">
        <f t="shared" si="244"/>
        <v>1988.0352197613504</v>
      </c>
      <c r="P1900">
        <f t="shared" si="245"/>
        <v>3.8152913913957164E-2</v>
      </c>
      <c r="Q1900">
        <f t="shared" ref="Q1900:Q1963" si="246">STDEVP(P1880:P1900)</f>
        <v>1.4850694115074295E-2</v>
      </c>
      <c r="R1900">
        <f t="shared" ref="R1900:R1963" si="247">MIN(Q1899*MAX(1-LN(MAX(ABS(P1900),0.0001)/Q1900),0)+MAX(-LN(MAX(ABS(P1900),0.0001)/Q1900),0),1)</f>
        <v>7.5661756444753907E-4</v>
      </c>
      <c r="S1900">
        <f t="shared" si="239"/>
        <v>16.341062991923636</v>
      </c>
      <c r="T1900" s="564">
        <f>IF((I1900-MAX(I$470:I1900))/MAX(I$470:I1900)&gt;T1899,T1899,(I1900-MAX(I$470:I1900))/MAX(I$470:I1900))</f>
        <v>-0.91338805338419748</v>
      </c>
      <c r="U1900" s="564">
        <f>IF((J1900-MAX(J$470:J1900))/MAX(J$470:J1900)&gt;U1899,U1899,(J1900-MAX(J$470:J1900))/MAX(J$470:J1900))</f>
        <v>-0.8283551177402233</v>
      </c>
      <c r="V1900" s="564">
        <f>IF((K1900-MAX(K$470:K1900))/MAX(K$470:K1900)&gt;V1899,V1899,(K1900-MAX(K$470:K1900))/MAX(K$470:K1900))</f>
        <v>-0.84885940676762139</v>
      </c>
      <c r="W1900" s="564">
        <f>IF((N1900-MAX(N$470:N1900))/MAX(N$470:N1900)&gt;W1899,W1899,(N1900-MAX(N$470:N1900))/MAX(N$470:N1900))</f>
        <v>-0.62788758315546067</v>
      </c>
      <c r="X1900" s="564">
        <f>IF((O1900-MAX(O$470:O1900))/MAX(O$470:O1900)&gt;X1899,X1899,(O1900-MAX(O$470:O1900))/MAX(O$470:O1900))</f>
        <v>-0.62788758315546067</v>
      </c>
    </row>
    <row r="1901" spans="1:24">
      <c r="A1901" s="799">
        <v>42303</v>
      </c>
      <c r="B1901">
        <v>283.62599999999998</v>
      </c>
      <c r="C1901">
        <v>448.03767699999997</v>
      </c>
      <c r="D1901">
        <v>1.0317080000000001</v>
      </c>
      <c r="E1901">
        <f>LN(D1901/参数实验室!$E$53)/参数实验室!$E$55</f>
        <v>-0.65614149266451505</v>
      </c>
      <c r="F1901">
        <f t="shared" si="238"/>
        <v>1.5796777340582318</v>
      </c>
      <c r="G1901">
        <f>LN(F1901/参数实验室!$E$58)/参数实验室!$E$59</f>
        <v>4.9444192534561129E-2</v>
      </c>
      <c r="H1901" s="856">
        <f>INDEX(神经网络!$G$10:$BO$70,MATCH(ROUND(G1901*2,1)/2,神经网络!$E$10:$E$70,0),MATCH(ROUND(E1901*2,1)/2,神经网络!$G$8:$BO$8,0))</f>
        <v>-0.21469515319361568</v>
      </c>
      <c r="I1901">
        <f t="shared" si="240"/>
        <v>963.20202416177631</v>
      </c>
      <c r="J1901">
        <f t="shared" si="241"/>
        <v>113.17425481824318</v>
      </c>
      <c r="K1901">
        <f t="shared" si="242"/>
        <v>8.5107874198833464</v>
      </c>
      <c r="L1901" s="4">
        <f>MIN(MAX(L1900*(1+MAX(MIN(((B1901-B1900)/B1900)/($K$7*卓尔金历!$N$40),0),-卓尔金历!$M$43))+MIN(MAX(((B1901-B1900)/B1900)/($K$7*卓尔金历!$N$40),0),卓尔金历!$M$43),0),1)</f>
        <v>0.74129890293200618</v>
      </c>
      <c r="M1901" s="4">
        <f>MIN(MAX(M1900*(1+MAX(MIN(((B1901-B1900)/B1900)/($K$7*30),0),-卓尔金历!$M$43))+MIN(MAX(((B1901-B1900)/B1900)/($K$7*7),0),卓尔金历!$M$43),0),1)</f>
        <v>0.87064945146600303</v>
      </c>
      <c r="N1901">
        <f t="shared" si="243"/>
        <v>763.48828142178297</v>
      </c>
      <c r="O1901">
        <f t="shared" si="244"/>
        <v>1995.2620608689956</v>
      </c>
      <c r="P1901">
        <f t="shared" si="245"/>
        <v>-1.6931763433630079E-2</v>
      </c>
      <c r="Q1901">
        <f t="shared" si="246"/>
        <v>1.5692869116850718E-2</v>
      </c>
      <c r="R1901">
        <f t="shared" si="247"/>
        <v>1.3722265040377737E-2</v>
      </c>
      <c r="S1901">
        <f t="shared" si="239"/>
        <v>16.341107936899888</v>
      </c>
      <c r="T1901" s="564">
        <f>IF((I1901-MAX(I$470:I1901))/MAX(I$470:I1901)&gt;T1900,T1900,(I1901-MAX(I$470:I1901))/MAX(I$470:I1901))</f>
        <v>-0.91338805338419748</v>
      </c>
      <c r="U1901" s="564">
        <f>IF((J1901-MAX(J$470:J1901))/MAX(J$470:J1901)&gt;U1900,U1900,(J1901-MAX(J$470:J1901))/MAX(J$470:J1901))</f>
        <v>-0.8283551177402233</v>
      </c>
      <c r="V1901" s="564">
        <f>IF((K1901-MAX(K$470:K1901))/MAX(K$470:K1901)&gt;V1900,V1900,(K1901-MAX(K$470:K1901))/MAX(K$470:K1901))</f>
        <v>-0.84885940676762139</v>
      </c>
      <c r="W1901" s="564">
        <f>IF((N1901-MAX(N$470:N1901))/MAX(N$470:N1901)&gt;W1900,W1900,(N1901-MAX(N$470:N1901))/MAX(N$470:N1901))</f>
        <v>-0.62788758315546067</v>
      </c>
      <c r="X1901" s="564">
        <f>IF((O1901-MAX(O$470:O1901))/MAX(O$470:O1901)&gt;X1900,X1900,(O1901-MAX(O$470:O1901))/MAX(O$470:O1901))</f>
        <v>-0.62788758315546067</v>
      </c>
    </row>
    <row r="1902" spans="1:24">
      <c r="A1902" s="799">
        <v>42304</v>
      </c>
      <c r="B1902">
        <v>292.50099999999998</v>
      </c>
      <c r="C1902">
        <v>449.00592699999999</v>
      </c>
      <c r="D1902">
        <v>1.0622229999999999</v>
      </c>
      <c r="E1902">
        <f>LN(D1902/参数实验室!$E$53)/参数实验室!$E$55</f>
        <v>-0.62175380838210237</v>
      </c>
      <c r="F1902">
        <f t="shared" si="238"/>
        <v>1.5350577502299139</v>
      </c>
      <c r="G1902">
        <f>LN(F1902/参数实验室!$E$58)/参数实验室!$E$59</f>
        <v>3.4405624262931513E-2</v>
      </c>
      <c r="H1902" s="856">
        <f>INDEX(神经网络!$G$10:$BO$70,MATCH(ROUND(G1902*2,1)/2,神经网络!$E$10:$E$70,0),MATCH(ROUND(E1902*2,1)/2,神经网络!$G$8:$BO$8,0))</f>
        <v>-0.19647051036365884</v>
      </c>
      <c r="I1902">
        <f t="shared" si="240"/>
        <v>956.73116498653292</v>
      </c>
      <c r="J1902">
        <f t="shared" si="241"/>
        <v>116.71561390207862</v>
      </c>
      <c r="K1902">
        <f t="shared" si="242"/>
        <v>8.1971137622529717</v>
      </c>
      <c r="L1902" s="4">
        <f>MIN(MAX(L1901*(1+MAX(MIN(((B1902-B1901)/B1901)/($K$7*卓尔金历!$N$40),0),-卓尔金历!$M$43))+MIN(MAX(((B1902-B1901)/B1901)/($K$7*卓尔金历!$N$40),0),卓尔金历!$M$43),0),1)</f>
        <v>1</v>
      </c>
      <c r="M1902" s="4">
        <f>MIN(MAX(M1901*(1+MAX(MIN(((B1902-B1901)/B1901)/($K$7*30),0),-卓尔金历!$M$43))+MIN(MAX(((B1902-B1901)/B1901)/($K$7*7),0),卓尔金历!$M$43),0),1)</f>
        <v>1</v>
      </c>
      <c r="N1902">
        <f t="shared" si="243"/>
        <v>759.68603469409084</v>
      </c>
      <c r="O1902">
        <f t="shared" si="244"/>
        <v>1983.5916045549855</v>
      </c>
      <c r="P1902">
        <f t="shared" si="245"/>
        <v>3.1291207435143464E-2</v>
      </c>
      <c r="Q1902">
        <f t="shared" si="246"/>
        <v>1.6416102022481678E-2</v>
      </c>
      <c r="R1902">
        <f t="shared" si="247"/>
        <v>5.5698000191038528E-3</v>
      </c>
      <c r="S1902">
        <f t="shared" si="239"/>
        <v>16.339601496813458</v>
      </c>
      <c r="T1902" s="564">
        <f>IF((I1902-MAX(I$470:I1902))/MAX(I$470:I1902)&gt;T1901,T1901,(I1902-MAX(I$470:I1902))/MAX(I$470:I1902))</f>
        <v>-0.91338805338419748</v>
      </c>
      <c r="U1902" s="564">
        <f>IF((J1902-MAX(J$470:J1902))/MAX(J$470:J1902)&gt;U1901,U1901,(J1902-MAX(J$470:J1902))/MAX(J$470:J1902))</f>
        <v>-0.8283551177402233</v>
      </c>
      <c r="V1902" s="564">
        <f>IF((K1902-MAX(K$470:K1902))/MAX(K$470:K1902)&gt;V1901,V1901,(K1902-MAX(K$470:K1902))/MAX(K$470:K1902))</f>
        <v>-0.84885940676762139</v>
      </c>
      <c r="W1902" s="564">
        <f>IF((N1902-MAX(N$470:N1902))/MAX(N$470:N1902)&gt;W1901,W1901,(N1902-MAX(N$470:N1902))/MAX(N$470:N1902))</f>
        <v>-0.62788758315546067</v>
      </c>
      <c r="X1902" s="564">
        <f>IF((O1902-MAX(O$470:O1902))/MAX(O$470:O1902)&gt;X1901,X1901,(O1902-MAX(O$470:O1902))/MAX(O$470:O1902))</f>
        <v>-0.62788758315546067</v>
      </c>
    </row>
    <row r="1903" spans="1:24">
      <c r="A1903" s="799">
        <v>42305</v>
      </c>
      <c r="B1903">
        <v>301.82100000000003</v>
      </c>
      <c r="C1903">
        <v>450.56889699999999</v>
      </c>
      <c r="D1903">
        <v>1.0923099999999999</v>
      </c>
      <c r="E1903">
        <f>LN(D1903/参数实验室!$E$53)/参数实验室!$E$55</f>
        <v>-0.5888023117920822</v>
      </c>
      <c r="F1903">
        <f t="shared" si="238"/>
        <v>1.4928348160002118</v>
      </c>
      <c r="G1903">
        <f>LN(F1903/参数实验室!$E$58)/参数实验室!$E$59</f>
        <v>1.9766852348407159E-2</v>
      </c>
      <c r="H1903" s="856">
        <f>INDEX(神经网络!$G$10:$BO$70,MATCH(ROUND(G1903*2,1)/2,神经网络!$E$10:$E$70,0),MATCH(ROUND(E1903*2,1)/2,神经网络!$G$8:$BO$8,0))</f>
        <v>-0.27883851114542579</v>
      </c>
      <c r="I1903">
        <f t="shared" si="240"/>
        <v>950.7418679595944</v>
      </c>
      <c r="J1903">
        <f t="shared" si="241"/>
        <v>120.43453972307539</v>
      </c>
      <c r="K1903">
        <f t="shared" si="242"/>
        <v>7.8942624777386117</v>
      </c>
      <c r="L1903" s="4">
        <f>MIN(MAX(L1902*(1+MAX(MIN(((B1903-B1902)/B1902)/($K$7*卓尔金历!$N$40),0),-卓尔金历!$M$43))+MIN(MAX(((B1903-B1902)/B1902)/($K$7*卓尔金历!$N$40),0),卓尔金历!$M$43),0),1)</f>
        <v>1</v>
      </c>
      <c r="M1903" s="4">
        <f>MIN(MAX(M1902*(1+MAX(MIN(((B1903-B1902)/B1902)/($K$7*30),0),-卓尔金历!$M$43))+MIN(MAX(((B1903-B1902)/B1902)/($K$7*7),0),卓尔金历!$M$43),0),1)</f>
        <v>1</v>
      </c>
      <c r="N1903">
        <f t="shared" si="243"/>
        <v>754.93027312227662</v>
      </c>
      <c r="O1903">
        <f t="shared" si="244"/>
        <v>1971.1739895189073</v>
      </c>
      <c r="P1903">
        <f t="shared" si="245"/>
        <v>3.1863138929439733E-2</v>
      </c>
      <c r="Q1903">
        <f t="shared" si="246"/>
        <v>1.7058356899758965E-2</v>
      </c>
      <c r="R1903">
        <f t="shared" si="247"/>
        <v>6.1591639201733998E-3</v>
      </c>
      <c r="S1903">
        <f t="shared" si="239"/>
        <v>16.339031769562162</v>
      </c>
      <c r="T1903" s="564">
        <f>IF((I1903-MAX(I$470:I1903))/MAX(I$470:I1903)&gt;T1902,T1902,(I1903-MAX(I$470:I1903))/MAX(I$470:I1903))</f>
        <v>-0.91338805338419748</v>
      </c>
      <c r="U1903" s="564">
        <f>IF((J1903-MAX(J$470:J1903))/MAX(J$470:J1903)&gt;U1902,U1902,(J1903-MAX(J$470:J1903))/MAX(J$470:J1903))</f>
        <v>-0.8283551177402233</v>
      </c>
      <c r="V1903" s="564">
        <f>IF((K1903-MAX(K$470:K1903))/MAX(K$470:K1903)&gt;V1902,V1902,(K1903-MAX(K$470:K1903))/MAX(K$470:K1903))</f>
        <v>-0.84885940676762139</v>
      </c>
      <c r="W1903" s="564">
        <f>IF((N1903-MAX(N$470:N1903))/MAX(N$470:N1903)&gt;W1902,W1902,(N1903-MAX(N$470:N1903))/MAX(N$470:N1903))</f>
        <v>-0.62788758315546067</v>
      </c>
      <c r="X1903" s="564">
        <f>IF((O1903-MAX(O$470:O1903))/MAX(O$470:O1903)&gt;X1902,X1902,(O1903-MAX(O$470:O1903))/MAX(O$470:O1903))</f>
        <v>-0.62788758315546067</v>
      </c>
    </row>
    <row r="1904" spans="1:24">
      <c r="A1904" s="799">
        <v>42306</v>
      </c>
      <c r="B1904">
        <v>312.26400000000001</v>
      </c>
      <c r="C1904">
        <v>458.06428899999997</v>
      </c>
      <c r="D1904">
        <v>1.1270739999999999</v>
      </c>
      <c r="E1904">
        <f>LN(D1904/参数实验室!$E$53)/参数实验室!$E$55</f>
        <v>-0.5518404372285054</v>
      </c>
      <c r="F1904">
        <f t="shared" si="238"/>
        <v>1.4669135379038247</v>
      </c>
      <c r="G1904">
        <f>LN(F1904/参数实验室!$E$58)/参数实验室!$E$59</f>
        <v>1.0573344091710388E-2</v>
      </c>
      <c r="H1904" s="856">
        <f>INDEX(神经网络!$G$10:$BO$70,MATCH(ROUND(G1904*2,1)/2,神经网络!$E$10:$E$70,0),MATCH(ROUND(E1904*2,1)/2,神经网络!$G$8:$BO$8,0))</f>
        <v>-0.25226645536721976</v>
      </c>
      <c r="I1904">
        <f t="shared" si="240"/>
        <v>941.5692944923685</v>
      </c>
      <c r="J1904">
        <f t="shared" si="241"/>
        <v>124.60157216391973</v>
      </c>
      <c r="K1904">
        <f t="shared" si="242"/>
        <v>7.5566405635210288</v>
      </c>
      <c r="L1904" s="4">
        <f>MIN(MAX(L1903*(1+MAX(MIN(((B1904-B1903)/B1903)/($K$7*卓尔金历!$N$40),0),-卓尔金历!$M$43))+MIN(MAX(((B1904-B1903)/B1903)/($K$7*卓尔金历!$N$40),0),卓尔金历!$M$43),0),1)</f>
        <v>1</v>
      </c>
      <c r="M1904" s="4">
        <f>MIN(MAX(M1903*(1+MAX(MIN(((B1904-B1903)/B1903)/($K$7*30),0),-卓尔金历!$M$43))+MIN(MAX(((B1904-B1903)/B1903)/($K$7*7),0),卓尔金历!$M$43),0),1)</f>
        <v>1</v>
      </c>
      <c r="N1904">
        <f t="shared" si="243"/>
        <v>747.64685201060502</v>
      </c>
      <c r="O1904">
        <f t="shared" si="244"/>
        <v>1952.1564845105811</v>
      </c>
      <c r="P1904">
        <f t="shared" si="245"/>
        <v>3.4599978132734244E-2</v>
      </c>
      <c r="Q1904">
        <f t="shared" si="246"/>
        <v>1.7400595570740363E-2</v>
      </c>
      <c r="R1904">
        <f t="shared" si="247"/>
        <v>5.3333188896647942E-3</v>
      </c>
      <c r="S1904">
        <f t="shared" si="239"/>
        <v>16.338060864737376</v>
      </c>
      <c r="T1904" s="564">
        <f>IF((I1904-MAX(I$470:I1904))/MAX(I$470:I1904)&gt;T1903,T1903,(I1904-MAX(I$470:I1904))/MAX(I$470:I1904))</f>
        <v>-0.91338805338419748</v>
      </c>
      <c r="U1904" s="564">
        <f>IF((J1904-MAX(J$470:J1904))/MAX(J$470:J1904)&gt;U1903,U1903,(J1904-MAX(J$470:J1904))/MAX(J$470:J1904))</f>
        <v>-0.8283551177402233</v>
      </c>
      <c r="V1904" s="564">
        <f>IF((K1904-MAX(K$470:K1904))/MAX(K$470:K1904)&gt;V1903,V1903,(K1904-MAX(K$470:K1904))/MAX(K$470:K1904))</f>
        <v>-0.84885940676762139</v>
      </c>
      <c r="W1904" s="564">
        <f>IF((N1904-MAX(N$470:N1904))/MAX(N$470:N1904)&gt;W1903,W1903,(N1904-MAX(N$470:N1904))/MAX(N$470:N1904))</f>
        <v>-0.62788758315546067</v>
      </c>
      <c r="X1904" s="564">
        <f>IF((O1904-MAX(O$470:O1904))/MAX(O$470:O1904)&gt;X1903,X1903,(O1904-MAX(O$470:O1904))/MAX(O$470:O1904))</f>
        <v>-0.62788758315546067</v>
      </c>
    </row>
    <row r="1905" spans="1:24">
      <c r="A1905" s="799">
        <v>42307</v>
      </c>
      <c r="B1905">
        <v>319.69299999999998</v>
      </c>
      <c r="C1905">
        <v>451.35928999999999</v>
      </c>
      <c r="D1905">
        <v>1.171451</v>
      </c>
      <c r="E1905">
        <f>LN(D1905/参数实验室!$E$53)/参数实验室!$E$55</f>
        <v>-0.50628042275599394</v>
      </c>
      <c r="F1905">
        <f t="shared" si="238"/>
        <v>1.411852277028274</v>
      </c>
      <c r="G1905">
        <f>LN(F1905/参数实验室!$E$58)/参数实验室!$E$59</f>
        <v>-9.5065457484010824E-3</v>
      </c>
      <c r="H1905" s="856">
        <f>INDEX(神经网络!$G$10:$BO$70,MATCH(ROUND(G1905*2,1)/2,神经网络!$E$10:$E$70,0),MATCH(ROUND(E1905*2,1)/2,神经网络!$G$8:$BO$8,0))</f>
        <v>-0.21501812845740756</v>
      </c>
      <c r="I1905">
        <f t="shared" si="240"/>
        <v>935.918360531698</v>
      </c>
      <c r="J1905">
        <f t="shared" si="241"/>
        <v>127.56593910857474</v>
      </c>
      <c r="K1905">
        <f t="shared" si="242"/>
        <v>7.3367418220871103</v>
      </c>
      <c r="L1905" s="4">
        <f>MIN(MAX(L1904*(1+MAX(MIN(((B1905-B1904)/B1904)/($K$7*卓尔金历!$N$40),0),-卓尔金历!$M$43))+MIN(MAX(((B1905-B1904)/B1904)/($K$7*卓尔金历!$N$40),0),卓尔金历!$M$43),0),1)</f>
        <v>1</v>
      </c>
      <c r="M1905" s="4">
        <f>MIN(MAX(M1904*(1+MAX(MIN(((B1905-B1904)/B1904)/($K$7*30),0),-卓尔金历!$M$43))+MIN(MAX(((B1905-B1904)/B1904)/($K$7*7),0),卓尔金历!$M$43),0),1)</f>
        <v>1</v>
      </c>
      <c r="N1905">
        <f t="shared" si="243"/>
        <v>743.15976538689245</v>
      </c>
      <c r="O1905">
        <f t="shared" si="244"/>
        <v>1940.4403979310887</v>
      </c>
      <c r="P1905">
        <f t="shared" si="245"/>
        <v>2.3790766787077516E-2</v>
      </c>
      <c r="Q1905">
        <f t="shared" si="246"/>
        <v>1.7404755754377714E-2</v>
      </c>
      <c r="R1905">
        <f t="shared" si="247"/>
        <v>1.1961968653580341E-2</v>
      </c>
      <c r="S1905">
        <f t="shared" si="239"/>
        <v>16.337537907706679</v>
      </c>
      <c r="T1905" s="564">
        <f>IF((I1905-MAX(I$470:I1905))/MAX(I$470:I1905)&gt;T1904,T1904,(I1905-MAX(I$470:I1905))/MAX(I$470:I1905))</f>
        <v>-0.91338805338419748</v>
      </c>
      <c r="U1905" s="564">
        <f>IF((J1905-MAX(J$470:J1905))/MAX(J$470:J1905)&gt;U1904,U1904,(J1905-MAX(J$470:J1905))/MAX(J$470:J1905))</f>
        <v>-0.8283551177402233</v>
      </c>
      <c r="V1905" s="564">
        <f>IF((K1905-MAX(K$470:K1905))/MAX(K$470:K1905)&gt;V1904,V1904,(K1905-MAX(K$470:K1905))/MAX(K$470:K1905))</f>
        <v>-0.84885940676762139</v>
      </c>
      <c r="W1905" s="564">
        <f>IF((N1905-MAX(N$470:N1905))/MAX(N$470:N1905)&gt;W1904,W1904,(N1905-MAX(N$470:N1905))/MAX(N$470:N1905))</f>
        <v>-0.62788758315546067</v>
      </c>
      <c r="X1905" s="564">
        <f>IF((O1905-MAX(O$470:O1905))/MAX(O$470:O1905)&gt;X1904,X1904,(O1905-MAX(O$470:O1905))/MAX(O$470:O1905))</f>
        <v>-0.62788758315546067</v>
      </c>
    </row>
    <row r="1906" spans="1:24">
      <c r="A1906" s="799">
        <v>42308</v>
      </c>
      <c r="B1906">
        <v>324.76900000000001</v>
      </c>
      <c r="C1906">
        <v>452.33515399999999</v>
      </c>
      <c r="D1906">
        <v>1.1190089999999999</v>
      </c>
      <c r="E1906">
        <f>LN(D1906/参数实验室!$E$53)/参数实验室!$E$55</f>
        <v>-0.56031274284170085</v>
      </c>
      <c r="F1906">
        <f t="shared" si="238"/>
        <v>1.3927904264261675</v>
      </c>
      <c r="G1906">
        <f>LN(F1906/参数实验室!$E$58)/参数实验室!$E$59</f>
        <v>-1.664103271713405E-2</v>
      </c>
      <c r="H1906" s="856">
        <f>INDEX(神经网络!$G$10:$BO$70,MATCH(ROUND(G1906*2,1)/2,神经网络!$E$10:$E$70,0),MATCH(ROUND(E1906*2,1)/2,神经网络!$G$8:$BO$8,0))</f>
        <v>-0.25226645536721976</v>
      </c>
      <c r="I1906">
        <f t="shared" si="240"/>
        <v>932.72313490324564</v>
      </c>
      <c r="J1906">
        <f t="shared" si="241"/>
        <v>129.59139699134079</v>
      </c>
      <c r="K1906">
        <f t="shared" si="242"/>
        <v>7.1974155426811981</v>
      </c>
      <c r="L1906" s="4">
        <f>MIN(MAX(L1905*(1+MAX(MIN(((B1906-B1905)/B1905)/($K$7*卓尔金历!$N$40),0),-卓尔金历!$M$43))+MIN(MAX(((B1906-B1905)/B1905)/($K$7*卓尔金历!$N$40),0),卓尔金历!$M$43),0),1)</f>
        <v>1</v>
      </c>
      <c r="M1906" s="4">
        <f>MIN(MAX(M1905*(1+MAX(MIN(((B1906-B1905)/B1905)/($K$7*30),0),-卓尔金历!$M$43))+MIN(MAX(((B1906-B1905)/B1905)/($K$7*7),0),卓尔金历!$M$43),0),1)</f>
        <v>1</v>
      </c>
      <c r="N1906">
        <f t="shared" si="243"/>
        <v>740.62261767344251</v>
      </c>
      <c r="O1906">
        <f t="shared" si="244"/>
        <v>1933.8157336960251</v>
      </c>
      <c r="P1906">
        <f t="shared" si="245"/>
        <v>1.5877732699808949E-2</v>
      </c>
      <c r="Q1906">
        <f t="shared" si="246"/>
        <v>1.7149437990602416E-2</v>
      </c>
      <c r="R1906">
        <f t="shared" si="247"/>
        <v>9.5793487063989408E-2</v>
      </c>
      <c r="S1906">
        <f t="shared" si="239"/>
        <v>16.33687071263137</v>
      </c>
      <c r="T1906" s="564">
        <f>IF((I1906-MAX(I$470:I1906))/MAX(I$470:I1906)&gt;T1905,T1905,(I1906-MAX(I$470:I1906))/MAX(I$470:I1906))</f>
        <v>-0.91338805338419748</v>
      </c>
      <c r="U1906" s="564">
        <f>IF((J1906-MAX(J$470:J1906))/MAX(J$470:J1906)&gt;U1905,U1905,(J1906-MAX(J$470:J1906))/MAX(J$470:J1906))</f>
        <v>-0.8283551177402233</v>
      </c>
      <c r="V1906" s="564">
        <f>IF((K1906-MAX(K$470:K1906))/MAX(K$470:K1906)&gt;V1905,V1905,(K1906-MAX(K$470:K1906))/MAX(K$470:K1906))</f>
        <v>-0.84885940676762139</v>
      </c>
      <c r="W1906" s="564">
        <f>IF((N1906-MAX(N$470:N1906))/MAX(N$470:N1906)&gt;W1905,W1905,(N1906-MAX(N$470:N1906))/MAX(N$470:N1906))</f>
        <v>-0.62788758315546067</v>
      </c>
      <c r="X1906" s="564">
        <f>IF((O1906-MAX(O$470:O1906))/MAX(O$470:O1906)&gt;X1905,X1905,(O1906-MAX(O$470:O1906))/MAX(O$470:O1906))</f>
        <v>-0.62788758315546067</v>
      </c>
    </row>
    <row r="1907" spans="1:24">
      <c r="A1907" s="799">
        <v>42309</v>
      </c>
      <c r="B1907">
        <v>317.02300000000002</v>
      </c>
      <c r="C1907">
        <v>448.12452300000001</v>
      </c>
      <c r="D1907">
        <v>1.1730179999999999</v>
      </c>
      <c r="E1907">
        <f>LN(D1907/参数实验室!$E$53)/参数实验室!$E$55</f>
        <v>-0.50470337174052493</v>
      </c>
      <c r="F1907">
        <f t="shared" si="238"/>
        <v>1.4135394687451699</v>
      </c>
      <c r="G1907">
        <f>LN(F1907/参数实验室!$E$58)/参数实验室!$E$59</f>
        <v>-8.8797091331608465E-3</v>
      </c>
      <c r="H1907" s="856">
        <f>INDEX(神经网络!$G$10:$BO$70,MATCH(ROUND(G1907*2,1)/2,神经网络!$E$10:$E$70,0),MATCH(ROUND(E1907*2,1)/2,神经网络!$G$8:$BO$8,0))</f>
        <v>-0.21501812845740756</v>
      </c>
      <c r="I1907">
        <f t="shared" si="240"/>
        <v>938.3351028060988</v>
      </c>
      <c r="J1907">
        <f t="shared" si="241"/>
        <v>126.5005386856068</v>
      </c>
      <c r="K1907">
        <f t="shared" si="242"/>
        <v>7.4176372097367391</v>
      </c>
      <c r="L1907" s="4">
        <f>MIN(MAX(L1906*(1+MAX(MIN(((B1907-B1906)/B1906)/($K$7*卓尔金历!$N$40),0),-卓尔金历!$M$43))+MIN(MAX(((B1907-B1906)/B1906)/($K$7*卓尔金历!$N$40),0),卓尔金历!$M$43),0),1)</f>
        <v>0.63558268578630428</v>
      </c>
      <c r="M1907" s="4">
        <f>MIN(MAX(M1906*(1+MAX(MIN(((B1907-B1906)/B1906)/($K$7*30),0),-卓尔金历!$M$43))+MIN(MAX(((B1907-B1906)/B1906)/($K$7*7),0),卓尔金历!$M$43),0),1)</f>
        <v>0.81779134289315214</v>
      </c>
      <c r="N1907">
        <f t="shared" si="243"/>
        <v>745.07876355744224</v>
      </c>
      <c r="O1907">
        <f t="shared" si="244"/>
        <v>1945.4510319119961</v>
      </c>
      <c r="P1907">
        <f t="shared" si="245"/>
        <v>-2.3850798567597219E-2</v>
      </c>
      <c r="Q1907">
        <f t="shared" si="246"/>
        <v>1.888130742085407E-2</v>
      </c>
      <c r="R1907">
        <f t="shared" si="247"/>
        <v>1.3142552537028025E-2</v>
      </c>
      <c r="S1907">
        <f t="shared" si="239"/>
        <v>16.346286730723474</v>
      </c>
      <c r="T1907" s="564">
        <f>IF((I1907-MAX(I$470:I1907))/MAX(I$470:I1907)&gt;T1906,T1906,(I1907-MAX(I$470:I1907))/MAX(I$470:I1907))</f>
        <v>-0.91338805338419748</v>
      </c>
      <c r="U1907" s="564">
        <f>IF((J1907-MAX(J$470:J1907))/MAX(J$470:J1907)&gt;U1906,U1906,(J1907-MAX(J$470:J1907))/MAX(J$470:J1907))</f>
        <v>-0.8283551177402233</v>
      </c>
      <c r="V1907" s="564">
        <f>IF((K1907-MAX(K$470:K1907))/MAX(K$470:K1907)&gt;V1906,V1906,(K1907-MAX(K$470:K1907))/MAX(K$470:K1907))</f>
        <v>-0.84885940676762139</v>
      </c>
      <c r="W1907" s="564">
        <f>IF((N1907-MAX(N$470:N1907))/MAX(N$470:N1907)&gt;W1906,W1906,(N1907-MAX(N$470:N1907))/MAX(N$470:N1907))</f>
        <v>-0.62788758315546067</v>
      </c>
      <c r="X1907" s="564">
        <f>IF((O1907-MAX(O$470:O1907))/MAX(O$470:O1907)&gt;X1906,X1906,(O1907-MAX(O$470:O1907))/MAX(O$470:O1907))</f>
        <v>-0.62788758315546067</v>
      </c>
    </row>
    <row r="1908" spans="1:24">
      <c r="A1908" s="799">
        <v>42310</v>
      </c>
      <c r="B1908">
        <v>334.01799999999997</v>
      </c>
      <c r="C1908">
        <v>446.07429500000001</v>
      </c>
      <c r="D1908">
        <v>1.2904</v>
      </c>
      <c r="E1908">
        <f>LN(D1908/参数实验室!$E$53)/参数实验室!$E$55</f>
        <v>-0.39218755249064902</v>
      </c>
      <c r="F1908">
        <f t="shared" si="238"/>
        <v>1.335479809471346</v>
      </c>
      <c r="G1908">
        <f>LN(F1908/参数实验室!$E$58)/参数实验室!$E$59</f>
        <v>-3.8694665182716782E-2</v>
      </c>
      <c r="H1908" s="856">
        <f>INDEX(神经网络!$G$10:$BO$70,MATCH(ROUND(G1908*2,1)/2,神经网络!$E$10:$E$70,0),MATCH(ROUND(E1908*2,1)/2,神经网络!$G$8:$BO$8,0))</f>
        <v>-0.2208887469036292</v>
      </c>
      <c r="I1908">
        <f t="shared" si="240"/>
        <v>927.51918350332585</v>
      </c>
      <c r="J1908">
        <f t="shared" si="241"/>
        <v>133.28199193966685</v>
      </c>
      <c r="K1908">
        <f t="shared" si="242"/>
        <v>6.9590735402813353</v>
      </c>
      <c r="L1908" s="4">
        <f>MIN(MAX(L1907*(1+MAX(MIN(((B1908-B1907)/B1907)/($K$7*卓尔金历!$N$40),0),-卓尔金历!$M$43))+MIN(MAX(((B1908-B1907)/B1907)/($K$7*卓尔金历!$N$40),0),卓尔金历!$M$43),0),1)</f>
        <v>1</v>
      </c>
      <c r="M1908" s="4">
        <f>MIN(MAX(M1907*(1+MAX(MIN(((B1908-B1907)/B1907)/($K$7*30),0),-卓尔金历!$M$43))+MIN(MAX(((B1908-B1907)/B1907)/($K$7*7),0),卓尔金历!$M$43),0),1)</f>
        <v>1</v>
      </c>
      <c r="N1908">
        <f t="shared" si="243"/>
        <v>739.62018307555331</v>
      </c>
      <c r="O1908">
        <f t="shared" si="244"/>
        <v>1927.1123428249546</v>
      </c>
      <c r="P1908">
        <f t="shared" si="245"/>
        <v>5.3608097835172674E-2</v>
      </c>
      <c r="Q1908">
        <f t="shared" si="246"/>
        <v>2.0759557944965822E-2</v>
      </c>
      <c r="R1908">
        <f t="shared" si="247"/>
        <v>9.6873623102480268E-4</v>
      </c>
      <c r="S1908">
        <f t="shared" si="239"/>
        <v>16.343810424727057</v>
      </c>
      <c r="T1908" s="564">
        <f>IF((I1908-MAX(I$470:I1908))/MAX(I$470:I1908)&gt;T1907,T1907,(I1908-MAX(I$470:I1908))/MAX(I$470:I1908))</f>
        <v>-0.91338805338419748</v>
      </c>
      <c r="U1908" s="564">
        <f>IF((J1908-MAX(J$470:J1908))/MAX(J$470:J1908)&gt;U1907,U1907,(J1908-MAX(J$470:J1908))/MAX(J$470:J1908))</f>
        <v>-0.8283551177402233</v>
      </c>
      <c r="V1908" s="564">
        <f>IF((K1908-MAX(K$470:K1908))/MAX(K$470:K1908)&gt;V1907,V1907,(K1908-MAX(K$470:K1908))/MAX(K$470:K1908))</f>
        <v>-0.84885940676762139</v>
      </c>
      <c r="W1908" s="564">
        <f>IF((N1908-MAX(N$470:N1908))/MAX(N$470:N1908)&gt;W1907,W1907,(N1908-MAX(N$470:N1908))/MAX(N$470:N1908))</f>
        <v>-0.62788758315546067</v>
      </c>
      <c r="X1908" s="564">
        <f>IF((O1908-MAX(O$470:O1908))/MAX(O$470:O1908)&gt;X1907,X1907,(O1908-MAX(O$470:O1908))/MAX(O$470:O1908))</f>
        <v>-0.62788758315546067</v>
      </c>
    </row>
    <row r="1909" spans="1:24">
      <c r="A1909" s="799">
        <v>42311</v>
      </c>
      <c r="B1909">
        <v>392.089</v>
      </c>
      <c r="C1909">
        <v>445.846743</v>
      </c>
      <c r="D1909">
        <v>1.408496</v>
      </c>
      <c r="E1909">
        <f>LN(D1909/参数实验室!$E$53)/参数实验室!$E$55</f>
        <v>-0.28887630066150111</v>
      </c>
      <c r="F1909">
        <f t="shared" si="238"/>
        <v>1.1371059708382536</v>
      </c>
      <c r="G1909">
        <f>LN(F1909/参数实验室!$E$58)/参数实验室!$E$59</f>
        <v>-0.12309341153508233</v>
      </c>
      <c r="H1909" s="856">
        <f>INDEX(神经网络!$G$10:$BO$70,MATCH(ROUND(G1909*2,1)/2,神经网络!$E$10:$E$70,0),MATCH(ROUND(E1909*2,1)/2,神经网络!$G$8:$BO$8,0))</f>
        <v>-0.2235375171131401</v>
      </c>
      <c r="I1909">
        <f t="shared" si="240"/>
        <v>891.89983877608461</v>
      </c>
      <c r="J1909">
        <f t="shared" si="241"/>
        <v>156.45385259965644</v>
      </c>
      <c r="K1909">
        <f t="shared" si="242"/>
        <v>5.7007214840425293</v>
      </c>
      <c r="L1909" s="4">
        <f>MIN(MAX(L1908*(1+MAX(MIN(((B1909-B1908)/B1908)/($K$7*卓尔金历!$N$40),0),-卓尔金历!$M$43))+MIN(MAX(((B1909-B1908)/B1908)/($K$7*卓尔金历!$N$40),0),卓尔金历!$M$43),0),1)</f>
        <v>1</v>
      </c>
      <c r="M1909" s="4">
        <f>MIN(MAX(M1908*(1+MAX(MIN(((B1909-B1908)/B1908)/($K$7*30),0),-卓尔金历!$M$43))+MIN(MAX(((B1909-B1908)/B1908)/($K$7*7),0),卓尔金历!$M$43),0),1)</f>
        <v>1</v>
      </c>
      <c r="N1909">
        <f t="shared" si="243"/>
        <v>711.21668831581508</v>
      </c>
      <c r="O1909">
        <f t="shared" si="244"/>
        <v>1853.105810035051</v>
      </c>
      <c r="P1909">
        <f t="shared" si="245"/>
        <v>0.17385589998143822</v>
      </c>
      <c r="Q1909">
        <f t="shared" si="246"/>
        <v>3.9727468488942069E-2</v>
      </c>
      <c r="R1909">
        <f t="shared" si="247"/>
        <v>0</v>
      </c>
      <c r="S1909">
        <f t="shared" si="239"/>
        <v>16.343202399100509</v>
      </c>
      <c r="T1909" s="564">
        <f>IF((I1909-MAX(I$470:I1909))/MAX(I$470:I1909)&gt;T1908,T1908,(I1909-MAX(I$470:I1909))/MAX(I$470:I1909))</f>
        <v>-0.91338805338419748</v>
      </c>
      <c r="U1909" s="564">
        <f>IF((J1909-MAX(J$470:J1909))/MAX(J$470:J1909)&gt;U1908,U1908,(J1909-MAX(J$470:J1909))/MAX(J$470:J1909))</f>
        <v>-0.8283551177402233</v>
      </c>
      <c r="V1909" s="564">
        <f>IF((K1909-MAX(K$470:K1909))/MAX(K$470:K1909)&gt;V1908,V1908,(K1909-MAX(K$470:K1909))/MAX(K$470:K1909))</f>
        <v>-0.84885940676762139</v>
      </c>
      <c r="W1909" s="564">
        <f>IF((N1909-MAX(N$470:N1909))/MAX(N$470:N1909)&gt;W1908,W1908,(N1909-MAX(N$470:N1909))/MAX(N$470:N1909))</f>
        <v>-0.62788758315546067</v>
      </c>
      <c r="X1909" s="564">
        <f>IF((O1909-MAX(O$470:O1909))/MAX(O$470:O1909)&gt;X1908,X1908,(O1909-MAX(O$470:O1909))/MAX(O$470:O1909))</f>
        <v>-0.62788758315546067</v>
      </c>
    </row>
    <row r="1910" spans="1:24">
      <c r="A1910" s="799">
        <v>42312</v>
      </c>
      <c r="B1910">
        <v>486.53399999999999</v>
      </c>
      <c r="C1910">
        <v>445.61947199999997</v>
      </c>
      <c r="D1910">
        <v>1.4140090000000001</v>
      </c>
      <c r="E1910">
        <f>LN(D1910/参数实验室!$E$53)/参数实验室!$E$55</f>
        <v>-0.28426763714794817</v>
      </c>
      <c r="F1910">
        <f t="shared" si="238"/>
        <v>0.91590612783484804</v>
      </c>
      <c r="G1910">
        <f>LN(F1910/参数实验室!$E$58)/参数实验室!$E$59</f>
        <v>-0.23663393864013232</v>
      </c>
      <c r="H1910" s="856">
        <f>INDEX(神经网络!$G$10:$BO$70,MATCH(ROUND(G1910*2,1)/2,神经网络!$E$10:$E$70,0),MATCH(ROUND(E1910*2,1)/2,神经网络!$G$8:$BO$8,0))</f>
        <v>-0.47592550752609075</v>
      </c>
      <c r="I1910">
        <f t="shared" si="240"/>
        <v>843.87556338680918</v>
      </c>
      <c r="J1910">
        <f t="shared" si="241"/>
        <v>194.1398986473001</v>
      </c>
      <c r="K1910">
        <f t="shared" si="242"/>
        <v>4.3467394866621607</v>
      </c>
      <c r="L1910" s="4">
        <f>MIN(MAX(L1909*(1+MAX(MIN(((B1910-B1909)/B1909)/($K$7*卓尔金历!$N$40),0),-卓尔金历!$M$43))+MIN(MAX(((B1910-B1909)/B1909)/($K$7*卓尔金历!$N$40),0),卓尔金历!$M$43),0),1)</f>
        <v>1</v>
      </c>
      <c r="M1910" s="4">
        <f>MIN(MAX(M1909*(1+MAX(MIN(((B1910-B1909)/B1909)/($K$7*30),0),-卓尔金历!$M$43))+MIN(MAX(((B1910-B1909)/B1909)/($K$7*7),0),卓尔金历!$M$43),0),1)</f>
        <v>1</v>
      </c>
      <c r="N1910">
        <f t="shared" si="243"/>
        <v>672.92128269269313</v>
      </c>
      <c r="O1910">
        <f t="shared" si="244"/>
        <v>1753.3254761034827</v>
      </c>
      <c r="P1910">
        <f t="shared" si="245"/>
        <v>0.24087643366684602</v>
      </c>
      <c r="Q1910">
        <f t="shared" si="246"/>
        <v>6.0803123192417326E-2</v>
      </c>
      <c r="R1910">
        <f t="shared" si="247"/>
        <v>0</v>
      </c>
      <c r="S1910">
        <f t="shared" si="239"/>
        <v>16.343202399100509</v>
      </c>
      <c r="T1910" s="564">
        <f>IF((I1910-MAX(I$470:I1910))/MAX(I$470:I1910)&gt;T1909,T1909,(I1910-MAX(I$470:I1910))/MAX(I$470:I1910))</f>
        <v>-0.91338805338419748</v>
      </c>
      <c r="U1910" s="564">
        <f>IF((J1910-MAX(J$470:J1910))/MAX(J$470:J1910)&gt;U1909,U1909,(J1910-MAX(J$470:J1910))/MAX(J$470:J1910))</f>
        <v>-0.8283551177402233</v>
      </c>
      <c r="V1910" s="564">
        <f>IF((K1910-MAX(K$470:K1910))/MAX(K$470:K1910)&gt;V1909,V1909,(K1910-MAX(K$470:K1910))/MAX(K$470:K1910))</f>
        <v>-0.84885940676762139</v>
      </c>
      <c r="W1910" s="564">
        <f>IF((N1910-MAX(N$470:N1910))/MAX(N$470:N1910)&gt;W1909,W1909,(N1910-MAX(N$470:N1910))/MAX(N$470:N1910))</f>
        <v>-0.62788758315546067</v>
      </c>
      <c r="X1910" s="564">
        <f>IF((O1910-MAX(O$470:O1910))/MAX(O$470:O1910)&gt;X1909,X1909,(O1910-MAX(O$470:O1910))/MAX(O$470:O1910))</f>
        <v>-0.62788758315546067</v>
      </c>
    </row>
    <row r="1911" spans="1:24">
      <c r="A1911" s="799">
        <v>42313</v>
      </c>
      <c r="B1911">
        <v>393.21600000000001</v>
      </c>
      <c r="C1911">
        <v>444.76939700000003</v>
      </c>
      <c r="D1911">
        <v>1.335545</v>
      </c>
      <c r="E1911">
        <f>LN(D1911/参数实验室!$E$53)/参数实验室!$E$55</f>
        <v>-0.35161914124807642</v>
      </c>
      <c r="F1911">
        <f t="shared" si="238"/>
        <v>1.1311070683797202</v>
      </c>
      <c r="G1911">
        <f>LN(F1911/参数实验室!$E$58)/参数实验室!$E$59</f>
        <v>-0.12586965476812118</v>
      </c>
      <c r="H1911" s="856">
        <f>INDEX(神经网络!$G$10:$BO$70,MATCH(ROUND(G1911*2,1)/2,神经网络!$E$10:$E$70,0),MATCH(ROUND(E1911*2,1)/2,神经网络!$G$8:$BO$8,0))</f>
        <v>-0.35365214793145566</v>
      </c>
      <c r="I1911">
        <f t="shared" si="240"/>
        <v>920.90728779838059</v>
      </c>
      <c r="J1911">
        <f t="shared" si="241"/>
        <v>156.90355532500661</v>
      </c>
      <c r="K1911">
        <f t="shared" si="242"/>
        <v>5.8692569833158545</v>
      </c>
      <c r="L1911" s="4">
        <f>MIN(MAX(L1910*(1+MAX(MIN(((B1911-B1910)/B1910)/($K$7*卓尔金历!$N$40),0),-卓尔金历!$M$43))+MIN(MAX(((B1911-B1910)/B1910)/($K$7*卓尔金历!$N$40),0),卓尔金历!$M$43),0),1)</f>
        <v>0</v>
      </c>
      <c r="M1911" s="4">
        <f>MIN(MAX(M1910*(1+MAX(MIN(((B1911-B1910)/B1910)/($K$7*30),0),-卓尔金历!$M$43))+MIN(MAX(((B1911-B1910)/B1910)/($K$7*7),0),卓尔金历!$M$43),0),1)</f>
        <v>0</v>
      </c>
      <c r="N1911">
        <f t="shared" si="243"/>
        <v>734.34774063043108</v>
      </c>
      <c r="O1911">
        <f t="shared" si="244"/>
        <v>1913.3747662345233</v>
      </c>
      <c r="P1911">
        <f t="shared" si="245"/>
        <v>-0.19180160071033059</v>
      </c>
      <c r="Q1911">
        <f t="shared" si="246"/>
        <v>7.7517795392032088E-2</v>
      </c>
      <c r="R1911">
        <f t="shared" si="247"/>
        <v>5.718291728986709E-3</v>
      </c>
      <c r="S1911">
        <f t="shared" si="239"/>
        <v>16.343202399100509</v>
      </c>
      <c r="T1911" s="564">
        <f>IF((I1911-MAX(I$470:I1911))/MAX(I$470:I1911)&gt;T1910,T1910,(I1911-MAX(I$470:I1911))/MAX(I$470:I1911))</f>
        <v>-0.91338805338419748</v>
      </c>
      <c r="U1911" s="564">
        <f>IF((J1911-MAX(J$470:J1911))/MAX(J$470:J1911)&gt;U1910,U1910,(J1911-MAX(J$470:J1911))/MAX(J$470:J1911))</f>
        <v>-0.8283551177402233</v>
      </c>
      <c r="V1911" s="564">
        <f>IF((K1911-MAX(K$470:K1911))/MAX(K$470:K1911)&gt;V1910,V1910,(K1911-MAX(K$470:K1911))/MAX(K$470:K1911))</f>
        <v>-0.84885940676762139</v>
      </c>
      <c r="W1911" s="564">
        <f>IF((N1911-MAX(N$470:N1911))/MAX(N$470:N1911)&gt;W1910,W1910,(N1911-MAX(N$470:N1911))/MAX(N$470:N1911))</f>
        <v>-0.62788758315546067</v>
      </c>
      <c r="X1911" s="564">
        <f>IF((O1911-MAX(O$470:O1911))/MAX(O$470:O1911)&gt;X1910,X1910,(O1911-MAX(O$470:O1911))/MAX(O$470:O1911))</f>
        <v>-0.62788758315546067</v>
      </c>
    </row>
    <row r="1912" spans="1:24">
      <c r="A1912" s="799">
        <v>42314</v>
      </c>
      <c r="B1912">
        <v>375.49299999999999</v>
      </c>
      <c r="C1912">
        <v>441.531791</v>
      </c>
      <c r="D1912">
        <v>1.295855</v>
      </c>
      <c r="E1912">
        <f>LN(D1912/参数实验室!$E$53)/参数实验室!$E$55</f>
        <v>-0.38721080929287627</v>
      </c>
      <c r="F1912">
        <f t="shared" si="238"/>
        <v>1.1758722293092014</v>
      </c>
      <c r="G1912">
        <f>LN(F1912/参数实验室!$E$58)/参数实验室!$E$59</f>
        <v>-0.10549831877295612</v>
      </c>
      <c r="H1912" s="856">
        <f>INDEX(神经网络!$G$10:$BO$70,MATCH(ROUND(G1912*2,1)/2,神经网络!$E$10:$E$70,0),MATCH(ROUND(E1912*2,1)/2,神经网络!$G$8:$BO$8,0))</f>
        <v>-0.30661717938408184</v>
      </c>
      <c r="I1912">
        <f t="shared" si="240"/>
        <v>935.58634850287183</v>
      </c>
      <c r="J1912">
        <f t="shared" si="241"/>
        <v>149.83161086947811</v>
      </c>
      <c r="K1912">
        <f t="shared" si="242"/>
        <v>6.2442520845476555</v>
      </c>
      <c r="L1912" s="4">
        <f>MIN(MAX(L1911*(1+MAX(MIN(((B1912-B1911)/B1911)/($K$7*卓尔金历!$N$40),0),-卓尔金历!$M$43))+MIN(MAX(((B1912-B1911)/B1911)/($K$7*卓尔金历!$N$40),0),卓尔金历!$M$43),0),1)</f>
        <v>0</v>
      </c>
      <c r="M1912" s="4">
        <f>MIN(MAX(M1911*(1+MAX(MIN(((B1912-B1911)/B1911)/($K$7*30),0),-卓尔金历!$M$43))+MIN(MAX(((B1912-B1911)/B1911)/($K$7*7),0),卓尔金历!$M$43),0),1)</f>
        <v>0</v>
      </c>
      <c r="N1912">
        <f t="shared" si="243"/>
        <v>734.34774063043108</v>
      </c>
      <c r="O1912">
        <f t="shared" si="244"/>
        <v>1913.3747662345233</v>
      </c>
      <c r="P1912">
        <f t="shared" si="245"/>
        <v>-4.5071919759114613E-2</v>
      </c>
      <c r="Q1912">
        <f t="shared" si="246"/>
        <v>7.8899221943056652E-2</v>
      </c>
      <c r="R1912">
        <f t="shared" si="247"/>
        <v>0.68083286990555569</v>
      </c>
      <c r="S1912">
        <f t="shared" si="239"/>
        <v>16.344692054529425</v>
      </c>
      <c r="T1912" s="564">
        <f>IF((I1912-MAX(I$470:I1912))/MAX(I$470:I1912)&gt;T1911,T1911,(I1912-MAX(I$470:I1912))/MAX(I$470:I1912))</f>
        <v>-0.91338805338419748</v>
      </c>
      <c r="U1912" s="564">
        <f>IF((J1912-MAX(J$470:J1912))/MAX(J$470:J1912)&gt;U1911,U1911,(J1912-MAX(J$470:J1912))/MAX(J$470:J1912))</f>
        <v>-0.8283551177402233</v>
      </c>
      <c r="V1912" s="564">
        <f>IF((K1912-MAX(K$470:K1912))/MAX(K$470:K1912)&gt;V1911,V1911,(K1912-MAX(K$470:K1912))/MAX(K$470:K1912))</f>
        <v>-0.84885940676762139</v>
      </c>
      <c r="W1912" s="564">
        <f>IF((N1912-MAX(N$470:N1912))/MAX(N$470:N1912)&gt;W1911,W1911,(N1912-MAX(N$470:N1912))/MAX(N$470:N1912))</f>
        <v>-0.62788758315546067</v>
      </c>
      <c r="X1912" s="564">
        <f>IF((O1912-MAX(O$470:O1912))/MAX(O$470:O1912)&gt;X1911,X1911,(O1912-MAX(O$470:O1912))/MAX(O$470:O1912))</f>
        <v>-0.62788758315546067</v>
      </c>
    </row>
    <row r="1913" spans="1:24">
      <c r="A1913" s="799">
        <v>42315</v>
      </c>
      <c r="B1913">
        <v>388.14400000000001</v>
      </c>
      <c r="C1913">
        <v>438.34386699999999</v>
      </c>
      <c r="D1913">
        <v>1.339224</v>
      </c>
      <c r="E1913">
        <f>LN(D1913/参数实验室!$E$53)/参数实验室!$E$55</f>
        <v>-0.3483737657246932</v>
      </c>
      <c r="F1913">
        <f t="shared" si="238"/>
        <v>1.1293331006018386</v>
      </c>
      <c r="G1913">
        <f>LN(F1913/参数实验室!$E$58)/参数实验室!$E$59</f>
        <v>-0.12669345392409231</v>
      </c>
      <c r="H1913" s="856">
        <f>INDEX(神经网络!$G$10:$BO$70,MATCH(ROUND(G1913*2,1)/2,神经网络!$E$10:$E$70,0),MATCH(ROUND(E1913*2,1)/2,神经网络!$G$8:$BO$8,0))</f>
        <v>-0.35365214793145566</v>
      </c>
      <c r="I1913">
        <f t="shared" si="240"/>
        <v>925.92131484169295</v>
      </c>
      <c r="J1913">
        <f t="shared" si="241"/>
        <v>154.87969354774313</v>
      </c>
      <c r="K1913">
        <f t="shared" si="242"/>
        <v>5.9783261035202715</v>
      </c>
      <c r="L1913" s="4">
        <f>MIN(MAX(L1912*(1+MAX(MIN(((B1913-B1912)/B1912)/($K$7*卓尔金历!$N$40),0),-卓尔金历!$M$43))+MIN(MAX(((B1913-B1912)/B1912)/($K$7*卓尔金历!$N$40),0),卓尔金历!$M$43),0),1)</f>
        <v>0.51477694589110112</v>
      </c>
      <c r="M1913" s="4">
        <f>MIN(MAX(M1912*(1+MAX(MIN(((B1913-B1912)/B1912)/($K$7*30),0),-卓尔金历!$M$43))+MIN(MAX(((B1913-B1912)/B1912)/($K$7*7),0),卓尔金历!$M$43),0),1)</f>
        <v>1</v>
      </c>
      <c r="N1913">
        <f t="shared" si="243"/>
        <v>734.34774063043108</v>
      </c>
      <c r="O1913">
        <f t="shared" si="244"/>
        <v>1913.3747662345233</v>
      </c>
      <c r="P1913">
        <f t="shared" si="245"/>
        <v>3.369170663634212E-2</v>
      </c>
      <c r="Q1913">
        <f t="shared" si="246"/>
        <v>7.8837929365822595E-2</v>
      </c>
      <c r="R1913">
        <f t="shared" si="247"/>
        <v>0.99611730912055785</v>
      </c>
      <c r="S1913">
        <f t="shared" si="239"/>
        <v>16.229734702340426</v>
      </c>
      <c r="T1913" s="564">
        <f>IF((I1913-MAX(I$470:I1913))/MAX(I$470:I1913)&gt;T1912,T1912,(I1913-MAX(I$470:I1913))/MAX(I$470:I1913))</f>
        <v>-0.91338805338419748</v>
      </c>
      <c r="U1913" s="564">
        <f>IF((J1913-MAX(J$470:J1913))/MAX(J$470:J1913)&gt;U1912,U1912,(J1913-MAX(J$470:J1913))/MAX(J$470:J1913))</f>
        <v>-0.8283551177402233</v>
      </c>
      <c r="V1913" s="564">
        <f>IF((K1913-MAX(K$470:K1913))/MAX(K$470:K1913)&gt;V1912,V1912,(K1913-MAX(K$470:K1913))/MAX(K$470:K1913))</f>
        <v>-0.84885940676762139</v>
      </c>
      <c r="W1913" s="564">
        <f>IF((N1913-MAX(N$470:N1913))/MAX(N$470:N1913)&gt;W1912,W1912,(N1913-MAX(N$470:N1913))/MAX(N$470:N1913))</f>
        <v>-0.62788758315546067</v>
      </c>
      <c r="X1913" s="564">
        <f>IF((O1913-MAX(O$470:O1913))/MAX(O$470:O1913)&gt;X1912,X1912,(O1913-MAX(O$470:O1913))/MAX(O$470:O1913))</f>
        <v>-0.62788758315546067</v>
      </c>
    </row>
    <row r="1914" spans="1:24">
      <c r="A1914" s="799">
        <v>42316</v>
      </c>
      <c r="B1914">
        <v>385.58300000000003</v>
      </c>
      <c r="C1914">
        <v>434.86617899999999</v>
      </c>
      <c r="D1914">
        <v>1.2908489999999999</v>
      </c>
      <c r="E1914">
        <f>LN(D1914/参数实验室!$E$53)/参数实验室!$E$55</f>
        <v>-0.39177712388660035</v>
      </c>
      <c r="F1914">
        <f t="shared" si="238"/>
        <v>1.1278147091547084</v>
      </c>
      <c r="G1914">
        <f>LN(F1914/参数实验室!$E$58)/参数实验室!$E$59</f>
        <v>-0.12739959643436505</v>
      </c>
      <c r="H1914" s="856">
        <f>INDEX(神经网络!$G$10:$BO$70,MATCH(ROUND(G1914*2,1)/2,神经网络!$E$10:$E$70,0),MATCH(ROUND(E1914*2,1)/2,神经网络!$G$8:$BO$8,0))</f>
        <v>-0.38990896592980601</v>
      </c>
      <c r="I1914">
        <f t="shared" si="240"/>
        <v>928.08187858168003</v>
      </c>
      <c r="J1914">
        <f t="shared" si="241"/>
        <v>153.8577869997203</v>
      </c>
      <c r="K1914">
        <f t="shared" si="242"/>
        <v>6.0320760923421259</v>
      </c>
      <c r="L1914" s="4">
        <f>MIN(MAX(L1913*(1+MAX(MIN(((B1914-B1913)/B1913)/($K$7*卓尔金历!$N$40),0),-卓尔金历!$M$43))+MIN(MAX(((B1914-B1913)/B1913)/($K$7*卓尔金历!$N$40),0),卓尔金历!$M$43),0),1)</f>
        <v>0.46288118681997786</v>
      </c>
      <c r="M1914" s="4">
        <f>MIN(MAX(M1913*(1+MAX(MIN(((B1914-B1913)/B1913)/($K$7*30),0),-卓尔金历!$M$43))+MIN(MAX(((B1914-B1913)/B1913)/($K$7*7),0),卓尔金历!$M$43),0),1)</f>
        <v>0.94959393628118927</v>
      </c>
      <c r="N1914">
        <f t="shared" si="243"/>
        <v>735.22983256968053</v>
      </c>
      <c r="O1914">
        <f t="shared" si="244"/>
        <v>1917.839474060846</v>
      </c>
      <c r="P1914">
        <f t="shared" si="245"/>
        <v>-6.5980666968959425E-3</v>
      </c>
      <c r="Q1914">
        <f t="shared" si="246"/>
        <v>7.8655159575618624E-2</v>
      </c>
      <c r="R1914">
        <f t="shared" si="247"/>
        <v>1</v>
      </c>
      <c r="S1914">
        <f t="shared" si="239"/>
        <v>16.267458456757598</v>
      </c>
      <c r="T1914" s="564">
        <f>IF((I1914-MAX(I$470:I1914))/MAX(I$470:I1914)&gt;T1913,T1913,(I1914-MAX(I$470:I1914))/MAX(I$470:I1914))</f>
        <v>-0.91338805338419748</v>
      </c>
      <c r="U1914" s="564">
        <f>IF((J1914-MAX(J$470:J1914))/MAX(J$470:J1914)&gt;U1913,U1913,(J1914-MAX(J$470:J1914))/MAX(J$470:J1914))</f>
        <v>-0.8283551177402233</v>
      </c>
      <c r="V1914" s="564">
        <f>IF((K1914-MAX(K$470:K1914))/MAX(K$470:K1914)&gt;V1913,V1913,(K1914-MAX(K$470:K1914))/MAX(K$470:K1914))</f>
        <v>-0.84885940676762139</v>
      </c>
      <c r="W1914" s="564">
        <f>IF((N1914-MAX(N$470:N1914))/MAX(N$470:N1914)&gt;W1913,W1913,(N1914-MAX(N$470:N1914))/MAX(N$470:N1914))</f>
        <v>-0.62788758315546067</v>
      </c>
      <c r="X1914" s="564">
        <f>IF((O1914-MAX(O$470:O1914))/MAX(O$470:O1914)&gt;X1913,X1913,(O1914-MAX(O$470:O1914))/MAX(O$470:O1914))</f>
        <v>-0.62788758315546067</v>
      </c>
    </row>
    <row r="1915" spans="1:24">
      <c r="A1915" s="799">
        <v>42317</v>
      </c>
      <c r="B1915">
        <v>384.49099999999999</v>
      </c>
      <c r="C1915">
        <v>438.44037500000002</v>
      </c>
      <c r="D1915">
        <v>1.3163419999999999</v>
      </c>
      <c r="E1915">
        <f>LN(D1915/参数实验室!$E$53)/参数实验室!$E$55</f>
        <v>-0.36870523694588508</v>
      </c>
      <c r="F1915">
        <f t="shared" si="238"/>
        <v>1.1403137524675482</v>
      </c>
      <c r="G1915">
        <f>LN(F1915/参数实验室!$E$58)/参数实验室!$E$59</f>
        <v>-0.12161488014834171</v>
      </c>
      <c r="H1915" s="856">
        <f>INDEX(神经网络!$G$10:$BO$70,MATCH(ROUND(G1915*2,1)/2,神经网络!$E$10:$E$70,0),MATCH(ROUND(E1915*2,1)/2,神经网络!$G$8:$BO$8,0))</f>
        <v>-0.26728515199184727</v>
      </c>
      <c r="I1915">
        <f t="shared" si="240"/>
        <v>929.10671435132997</v>
      </c>
      <c r="J1915">
        <f t="shared" si="241"/>
        <v>153.42205019751768</v>
      </c>
      <c r="K1915">
        <f t="shared" si="242"/>
        <v>6.0558877498715802</v>
      </c>
      <c r="L1915" s="4">
        <f>MIN(MAX(L1914*(1+MAX(MIN(((B1915-B1914)/B1914)/($K$7*卓尔金历!$N$40),0),-卓尔金历!$M$43))+MIN(MAX(((B1915-B1914)/B1914)/($K$7*卓尔金历!$N$40),0),卓尔金历!$M$43),0),1)</f>
        <v>0.44285167480281418</v>
      </c>
      <c r="M1915" s="4">
        <f>MIN(MAX(M1914*(1+MAX(MIN(((B1915-B1914)/B1914)/($K$7*30),0),-卓尔金历!$M$43))+MIN(MAX(((B1915-B1914)/B1914)/($K$7*7),0),卓尔金历!$M$43),0),1)</f>
        <v>0.92904881185213462</v>
      </c>
      <c r="N1915">
        <f t="shared" si="243"/>
        <v>735.6056359071149</v>
      </c>
      <c r="O1915">
        <f t="shared" si="244"/>
        <v>1919.850502296184</v>
      </c>
      <c r="P1915">
        <f t="shared" si="245"/>
        <v>-2.8320750655501962E-3</v>
      </c>
      <c r="Q1915">
        <f t="shared" si="246"/>
        <v>7.8562355993212138E-2</v>
      </c>
      <c r="R1915">
        <f t="shared" si="247"/>
        <v>1</v>
      </c>
      <c r="S1915">
        <f t="shared" si="239"/>
        <v>16.285421821512934</v>
      </c>
      <c r="T1915" s="564">
        <f>IF((I1915-MAX(I$470:I1915))/MAX(I$470:I1915)&gt;T1914,T1914,(I1915-MAX(I$470:I1915))/MAX(I$470:I1915))</f>
        <v>-0.91338805338419748</v>
      </c>
      <c r="U1915" s="564">
        <f>IF((J1915-MAX(J$470:J1915))/MAX(J$470:J1915)&gt;U1914,U1914,(J1915-MAX(J$470:J1915))/MAX(J$470:J1915))</f>
        <v>-0.8283551177402233</v>
      </c>
      <c r="V1915" s="564">
        <f>IF((K1915-MAX(K$470:K1915))/MAX(K$470:K1915)&gt;V1914,V1914,(K1915-MAX(K$470:K1915))/MAX(K$470:K1915))</f>
        <v>-0.84885940676762139</v>
      </c>
      <c r="W1915" s="564">
        <f>IF((N1915-MAX(N$470:N1915))/MAX(N$470:N1915)&gt;W1914,W1914,(N1915-MAX(N$470:N1915))/MAX(N$470:N1915))</f>
        <v>-0.62788758315546067</v>
      </c>
      <c r="X1915" s="564">
        <f>IF((O1915-MAX(O$470:O1915))/MAX(O$470:O1915)&gt;X1914,X1914,(O1915-MAX(O$470:O1915))/MAX(O$470:O1915))</f>
        <v>-0.62788758315546067</v>
      </c>
    </row>
    <row r="1916" spans="1:24">
      <c r="A1916" s="799">
        <v>42318</v>
      </c>
      <c r="B1916">
        <v>358.04199999999997</v>
      </c>
      <c r="C1916">
        <v>438.787848</v>
      </c>
      <c r="D1916">
        <v>1.1732579999999999</v>
      </c>
      <c r="E1916">
        <f>LN(D1916/参数实验室!$E$53)/参数实验室!$E$55</f>
        <v>-0.5044620183962969</v>
      </c>
      <c r="F1916">
        <f t="shared" si="238"/>
        <v>1.2255206037280544</v>
      </c>
      <c r="G1916">
        <f>LN(F1916/参数实验室!$E$58)/参数实验室!$E$59</f>
        <v>-8.3792695704629411E-2</v>
      </c>
      <c r="H1916" s="856">
        <f>INDEX(神经网络!$G$10:$BO$70,MATCH(ROUND(G1916*2,1)/2,神经网络!$E$10:$E$70,0),MATCH(ROUND(E1916*2,1)/2,神经网络!$G$8:$BO$8,0))</f>
        <v>-0.38035935351566896</v>
      </c>
      <c r="I1916">
        <f t="shared" si="240"/>
        <v>946.18968955802313</v>
      </c>
      <c r="J1916">
        <f t="shared" si="241"/>
        <v>142.86820158812463</v>
      </c>
      <c r="K1916">
        <f t="shared" si="242"/>
        <v>6.6228151473887626</v>
      </c>
      <c r="L1916" s="4">
        <f>MIN(MAX(L1915*(1+MAX(MIN(((B1916-B1915)/B1915)/($K$7*卓尔金历!$N$40),0),-卓尔金历!$M$43))+MIN(MAX(((B1916-B1915)/B1915)/($K$7*卓尔金历!$N$40),0),卓尔金历!$M$43),0),1)</f>
        <v>0</v>
      </c>
      <c r="M1916" s="4">
        <f>MIN(MAX(M1915*(1+MAX(MIN(((B1916-B1915)/B1915)/($K$7*30),0),-卓尔金历!$M$43))+MIN(MAX(((B1916-B1915)/B1915)/($K$7*7),0),卓尔金历!$M$43),0),1)</f>
        <v>0.44081517913089413</v>
      </c>
      <c r="N1916">
        <f t="shared" si="243"/>
        <v>741.59528323008726</v>
      </c>
      <c r="O1916">
        <f t="shared" si="244"/>
        <v>1952.6452169133984</v>
      </c>
      <c r="P1916">
        <f t="shared" si="245"/>
        <v>-6.8789646571701321E-2</v>
      </c>
      <c r="Q1916">
        <f t="shared" si="246"/>
        <v>8.0858894678558418E-2</v>
      </c>
      <c r="R1916">
        <f t="shared" si="247"/>
        <v>0.25291449202078975</v>
      </c>
      <c r="S1916">
        <f t="shared" si="239"/>
        <v>16.58485293411842</v>
      </c>
      <c r="T1916" s="564">
        <f>IF((I1916-MAX(I$470:I1916))/MAX(I$470:I1916)&gt;T1915,T1915,(I1916-MAX(I$470:I1916))/MAX(I$470:I1916))</f>
        <v>-0.91338805338419748</v>
      </c>
      <c r="U1916" s="564">
        <f>IF((J1916-MAX(J$470:J1916))/MAX(J$470:J1916)&gt;U1915,U1915,(J1916-MAX(J$470:J1916))/MAX(J$470:J1916))</f>
        <v>-0.8283551177402233</v>
      </c>
      <c r="V1916" s="564">
        <f>IF((K1916-MAX(K$470:K1916))/MAX(K$470:K1916)&gt;V1915,V1915,(K1916-MAX(K$470:K1916))/MAX(K$470:K1916))</f>
        <v>-0.84885940676762139</v>
      </c>
      <c r="W1916" s="564">
        <f>IF((N1916-MAX(N$470:N1916))/MAX(N$470:N1916)&gt;W1915,W1915,(N1916-MAX(N$470:N1916))/MAX(N$470:N1916))</f>
        <v>-0.62788758315546067</v>
      </c>
      <c r="X1916" s="564">
        <f>IF((O1916-MAX(O$470:O1916))/MAX(O$470:O1916)&gt;X1915,X1915,(O1916-MAX(O$470:O1916))/MAX(O$470:O1916))</f>
        <v>-0.62788758315546067</v>
      </c>
    </row>
    <row r="1917" spans="1:24">
      <c r="A1917" s="799">
        <v>42319</v>
      </c>
      <c r="B1917">
        <v>312.185</v>
      </c>
      <c r="C1917">
        <v>431.60917000000001</v>
      </c>
      <c r="D1917">
        <v>1.0763780000000001</v>
      </c>
      <c r="E1917">
        <f>LN(D1917/参数实验室!$E$53)/参数实验室!$E$55</f>
        <v>-0.60613644821578239</v>
      </c>
      <c r="F1917">
        <f t="shared" si="238"/>
        <v>1.3825429472908692</v>
      </c>
      <c r="G1917">
        <f>LN(F1917/参数实验室!$E$58)/参数实验室!$E$59</f>
        <v>-2.0516931265948057E-2</v>
      </c>
      <c r="H1917" s="856">
        <f>INDEX(神经网络!$G$10:$BO$70,MATCH(ROUND(G1917*2,1)/2,神经网络!$E$10:$E$70,0),MATCH(ROUND(E1917*2,1)/2,神经网络!$G$8:$BO$8,0))</f>
        <v>-0.27883851114542579</v>
      </c>
      <c r="I1917">
        <f t="shared" si="240"/>
        <v>992.28364492241315</v>
      </c>
      <c r="J1917">
        <f t="shared" si="241"/>
        <v>124.57004908024392</v>
      </c>
      <c r="K1917">
        <f t="shared" si="242"/>
        <v>7.9656679294010448</v>
      </c>
      <c r="L1917" s="4">
        <f>MIN(MAX(L1916*(1+MAX(MIN(((B1917-B1916)/B1916)/($K$7*卓尔金历!$N$40),0),-卓尔金历!$M$43))+MIN(MAX(((B1917-B1916)/B1916)/($K$7*卓尔金历!$N$40),0),卓尔金历!$M$43),0),1)</f>
        <v>0</v>
      </c>
      <c r="M1917" s="4">
        <f>MIN(MAX(M1916*(1+MAX(MIN(((B1917-B1916)/B1916)/($K$7*30),0),-卓尔金历!$M$43))+MIN(MAX(((B1917-B1916)/B1916)/($K$7*7),0),卓尔金历!$M$43),0),1)</f>
        <v>9.5004507738836886E-3</v>
      </c>
      <c r="N1917">
        <f t="shared" si="243"/>
        <v>741.59528323008726</v>
      </c>
      <c r="O1917">
        <f t="shared" si="244"/>
        <v>1994.5772237805706</v>
      </c>
      <c r="P1917">
        <f t="shared" si="245"/>
        <v>-0.12807715295970856</v>
      </c>
      <c r="Q1917">
        <f t="shared" si="246"/>
        <v>8.6545953784207041E-2</v>
      </c>
      <c r="R1917">
        <f t="shared" si="247"/>
        <v>4.9165659884091668E-2</v>
      </c>
      <c r="S1917">
        <f t="shared" si="239"/>
        <v>16.789191859714748</v>
      </c>
      <c r="T1917" s="564">
        <f>IF((I1917-MAX(I$470:I1917))/MAX(I$470:I1917)&gt;T1916,T1916,(I1917-MAX(I$470:I1917))/MAX(I$470:I1917))</f>
        <v>-0.91338805338419748</v>
      </c>
      <c r="U1917" s="564">
        <f>IF((J1917-MAX(J$470:J1917))/MAX(J$470:J1917)&gt;U1916,U1916,(J1917-MAX(J$470:J1917))/MAX(J$470:J1917))</f>
        <v>-0.8283551177402233</v>
      </c>
      <c r="V1917" s="564">
        <f>IF((K1917-MAX(K$470:K1917))/MAX(K$470:K1917)&gt;V1916,V1916,(K1917-MAX(K$470:K1917))/MAX(K$470:K1917))</f>
        <v>-0.84885940676762139</v>
      </c>
      <c r="W1917" s="564">
        <f>IF((N1917-MAX(N$470:N1917))/MAX(N$470:N1917)&gt;W1916,W1916,(N1917-MAX(N$470:N1917))/MAX(N$470:N1917))</f>
        <v>-0.62788758315546067</v>
      </c>
      <c r="X1917" s="564">
        <f>IF((O1917-MAX(O$470:O1917))/MAX(O$470:O1917)&gt;X1916,X1916,(O1917-MAX(O$470:O1917))/MAX(O$470:O1917))</f>
        <v>-0.62788758315546067</v>
      </c>
    </row>
    <row r="1918" spans="1:24">
      <c r="A1918" s="799">
        <v>42320</v>
      </c>
      <c r="B1918">
        <v>329.99</v>
      </c>
      <c r="C1918">
        <v>425.13843200000002</v>
      </c>
      <c r="D1918">
        <v>1.1748419999999999</v>
      </c>
      <c r="E1918">
        <f>LN(D1918/参数实验室!$E$53)/参数实验室!$E$55</f>
        <v>-0.50287032347536609</v>
      </c>
      <c r="F1918">
        <f t="shared" si="238"/>
        <v>1.2883373193127066</v>
      </c>
      <c r="G1918">
        <f>LN(F1918/参数实验室!$E$58)/参数实验室!$E$59</f>
        <v>-5.7556947384815198E-2</v>
      </c>
      <c r="H1918" s="856">
        <f>INDEX(神经网络!$G$10:$BO$70,MATCH(ROUND(G1918*2,1)/2,神经网络!$E$10:$E$70,0),MATCH(ROUND(E1918*2,1)/2,神经网络!$G$8:$BO$8,0))</f>
        <v>-0.29867672432117554</v>
      </c>
      <c r="I1918">
        <f t="shared" si="240"/>
        <v>976.50322577687996</v>
      </c>
      <c r="J1918">
        <f t="shared" si="241"/>
        <v>131.67471369857518</v>
      </c>
      <c r="K1918">
        <f t="shared" si="242"/>
        <v>7.4160269526938523</v>
      </c>
      <c r="L1918" s="4">
        <f>MIN(MAX(L1917*(1+MAX(MIN(((B1918-B1917)/B1917)/($K$7*卓尔金历!$N$40),0),-卓尔金历!$M$43))+MIN(MAX(((B1918-B1917)/B1917)/($K$7*卓尔金历!$N$40),0),卓尔金历!$M$43),0),1)</f>
        <v>0.87141699255147198</v>
      </c>
      <c r="M1918" s="4">
        <f>MIN(MAX(M1917*(1+MAX(MIN(((B1918-B1917)/B1917)/($K$7*30),0),-卓尔金历!$M$43))+MIN(MAX(((B1918-B1917)/B1917)/($K$7*7),0),卓尔金历!$M$43),0),1)</f>
        <v>1</v>
      </c>
      <c r="N1918">
        <f t="shared" si="243"/>
        <v>741.59528323008726</v>
      </c>
      <c r="O1918">
        <f t="shared" si="244"/>
        <v>1994.2758692197585</v>
      </c>
      <c r="P1918">
        <f t="shared" si="245"/>
        <v>5.7033489757675755E-2</v>
      </c>
      <c r="Q1918">
        <f t="shared" si="246"/>
        <v>8.6922861996455672E-2</v>
      </c>
      <c r="R1918">
        <f t="shared" si="247"/>
        <v>0.54439734626956149</v>
      </c>
      <c r="S1918">
        <f t="shared" si="239"/>
        <v>16.776064591292027</v>
      </c>
      <c r="T1918" s="564">
        <f>IF((I1918-MAX(I$470:I1918))/MAX(I$470:I1918)&gt;T1917,T1917,(I1918-MAX(I$470:I1918))/MAX(I$470:I1918))</f>
        <v>-0.91338805338419748</v>
      </c>
      <c r="U1918" s="564">
        <f>IF((J1918-MAX(J$470:J1918))/MAX(J$470:J1918)&gt;U1917,U1917,(J1918-MAX(J$470:J1918))/MAX(J$470:J1918))</f>
        <v>-0.8283551177402233</v>
      </c>
      <c r="V1918" s="564">
        <f>IF((K1918-MAX(K$470:K1918))/MAX(K$470:K1918)&gt;V1917,V1917,(K1918-MAX(K$470:K1918))/MAX(K$470:K1918))</f>
        <v>-0.84885940676762139</v>
      </c>
      <c r="W1918" s="564">
        <f>IF((N1918-MAX(N$470:N1918))/MAX(N$470:N1918)&gt;W1917,W1917,(N1918-MAX(N$470:N1918))/MAX(N$470:N1918))</f>
        <v>-0.62788758315546067</v>
      </c>
      <c r="X1918" s="564">
        <f>IF((O1918-MAX(O$470:O1918))/MAX(O$470:O1918)&gt;X1917,X1917,(O1918-MAX(O$470:O1918))/MAX(O$470:O1918))</f>
        <v>-0.62788758315546067</v>
      </c>
    </row>
    <row r="1919" spans="1:24">
      <c r="A1919" s="799">
        <v>42321</v>
      </c>
      <c r="B1919">
        <v>330.58800000000002</v>
      </c>
      <c r="C1919">
        <v>423.25501400000002</v>
      </c>
      <c r="D1919">
        <v>1.1732020000000001</v>
      </c>
      <c r="E1919">
        <f>LN(D1919/参数实验室!$E$53)/参数实验室!$E$55</f>
        <v>-0.50451832976037292</v>
      </c>
      <c r="F1919">
        <f t="shared" si="238"/>
        <v>1.2803096724624003</v>
      </c>
      <c r="G1919">
        <f>LN(F1919/参数实验室!$E$58)/参数实验室!$E$59</f>
        <v>-6.0837551248897032E-2</v>
      </c>
      <c r="H1919" s="856">
        <f>INDEX(神经网络!$G$10:$BO$70,MATCH(ROUND(G1919*2,1)/2,神经网络!$E$10:$E$70,0),MATCH(ROUND(E1919*2,1)/2,神经网络!$G$8:$BO$8,0))</f>
        <v>-0.29867672432117554</v>
      </c>
      <c r="I1919">
        <f t="shared" si="240"/>
        <v>975.97468869003205</v>
      </c>
      <c r="J1919">
        <f t="shared" si="241"/>
        <v>131.91333147120997</v>
      </c>
      <c r="K1919">
        <f t="shared" si="242"/>
        <v>7.3986054161859913</v>
      </c>
      <c r="L1919" s="4">
        <f>MIN(MAX(L1918*(1+MAX(MIN(((B1919-B1918)/B1918)/($K$7*卓尔金历!$N$40),0),-卓尔金历!$M$43))+MIN(MAX(((B1919-B1918)/B1918)/($K$7*卓尔金历!$N$40),0),卓尔金历!$M$43),0),1)</f>
        <v>0.89910530474980921</v>
      </c>
      <c r="M1919" s="4">
        <f>MIN(MAX(M1918*(1+MAX(MIN(((B1919-B1918)/B1918)/($K$7*30),0),-卓尔金历!$M$43))+MIN(MAX(((B1919-B1918)/B1918)/($K$7*7),0),卓尔金历!$M$43),0),1)</f>
        <v>1</v>
      </c>
      <c r="N1919">
        <f t="shared" si="243"/>
        <v>741.24550339578911</v>
      </c>
      <c r="O1919">
        <f t="shared" si="244"/>
        <v>1993.1964577744457</v>
      </c>
      <c r="P1919">
        <f t="shared" si="245"/>
        <v>1.8121761265493294E-3</v>
      </c>
      <c r="Q1919">
        <f t="shared" si="246"/>
        <v>8.6919741088673813E-2</v>
      </c>
      <c r="R1919">
        <f t="shared" si="247"/>
        <v>1</v>
      </c>
      <c r="S1919">
        <f t="shared" si="239"/>
        <v>16.771121394805878</v>
      </c>
      <c r="T1919" s="564">
        <f>IF((I1919-MAX(I$470:I1919))/MAX(I$470:I1919)&gt;T1918,T1918,(I1919-MAX(I$470:I1919))/MAX(I$470:I1919))</f>
        <v>-0.91338805338419748</v>
      </c>
      <c r="U1919" s="564">
        <f>IF((J1919-MAX(J$470:J1919))/MAX(J$470:J1919)&gt;U1918,U1918,(J1919-MAX(J$470:J1919))/MAX(J$470:J1919))</f>
        <v>-0.8283551177402233</v>
      </c>
      <c r="V1919" s="564">
        <f>IF((K1919-MAX(K$470:K1919))/MAX(K$470:K1919)&gt;V1918,V1918,(K1919-MAX(K$470:K1919))/MAX(K$470:K1919))</f>
        <v>-0.84885940676762139</v>
      </c>
      <c r="W1919" s="564">
        <f>IF((N1919-MAX(N$470:N1919))/MAX(N$470:N1919)&gt;W1918,W1918,(N1919-MAX(N$470:N1919))/MAX(N$470:N1919))</f>
        <v>-0.62788758315546067</v>
      </c>
      <c r="X1919" s="564">
        <f>IF((O1919-MAX(O$470:O1919))/MAX(O$470:O1919)&gt;X1918,X1918,(O1919-MAX(O$470:O1919))/MAX(O$470:O1919))</f>
        <v>-0.62788758315546067</v>
      </c>
    </row>
    <row r="1920" spans="1:24">
      <c r="A1920" s="799">
        <v>42322</v>
      </c>
      <c r="B1920">
        <v>333.44799999999998</v>
      </c>
      <c r="C1920">
        <v>430.391346</v>
      </c>
      <c r="D1920">
        <v>1.1584650000000001</v>
      </c>
      <c r="E1920">
        <f>LN(D1920/参数实验室!$E$53)/参数实验室!$E$55</f>
        <v>-0.51943148422794116</v>
      </c>
      <c r="F1920">
        <f t="shared" si="238"/>
        <v>1.2907300268707564</v>
      </c>
      <c r="G1920">
        <f>LN(F1920/参数实验室!$E$58)/参数实验室!$E$59</f>
        <v>-5.6583089452869259E-2</v>
      </c>
      <c r="H1920" s="856">
        <f>INDEX(神经网络!$G$10:$BO$70,MATCH(ROUND(G1920*2,1)/2,神经网络!$E$10:$E$70,0),MATCH(ROUND(E1920*2,1)/2,神经网络!$G$8:$BO$8,0))</f>
        <v>-0.29867672432117554</v>
      </c>
      <c r="I1920">
        <f t="shared" si="240"/>
        <v>973.45284083139961</v>
      </c>
      <c r="J1920">
        <f t="shared" si="241"/>
        <v>133.05454690555015</v>
      </c>
      <c r="K1920">
        <f t="shared" si="242"/>
        <v>7.3161937225821605</v>
      </c>
      <c r="L1920" s="4">
        <f>MIN(MAX(L1919*(1+MAX(MIN(((B1920-B1919)/B1919)/($K$7*卓尔金历!$N$40),0),-卓尔金历!$M$43))+MIN(MAX(((B1920-B1919)/B1919)/($K$7*卓尔金历!$N$40),0),卓尔金历!$M$43),0),1)</f>
        <v>1</v>
      </c>
      <c r="M1920" s="4">
        <f>MIN(MAX(M1919*(1+MAX(MIN(((B1920-B1919)/B1919)/($K$7*30),0),-卓尔金历!$M$43))+MIN(MAX(((B1920-B1919)/B1919)/($K$7*7),0),卓尔金历!$M$43),0),1)</f>
        <v>1</v>
      </c>
      <c r="N1920">
        <f t="shared" si="243"/>
        <v>739.52342483672749</v>
      </c>
      <c r="O1920">
        <f t="shared" si="244"/>
        <v>1988.0461825909581</v>
      </c>
      <c r="P1920">
        <f t="shared" si="245"/>
        <v>8.6512517090758176E-3</v>
      </c>
      <c r="Q1920">
        <f t="shared" si="246"/>
        <v>8.6922821896136274E-2</v>
      </c>
      <c r="R1920">
        <f t="shared" si="247"/>
        <v>1</v>
      </c>
      <c r="S1920">
        <f t="shared" si="239"/>
        <v>16.727786032663317</v>
      </c>
      <c r="T1920" s="564">
        <f>IF((I1920-MAX(I$470:I1920))/MAX(I$470:I1920)&gt;T1919,T1919,(I1920-MAX(I$470:I1920))/MAX(I$470:I1920))</f>
        <v>-0.91338805338419748</v>
      </c>
      <c r="U1920" s="564">
        <f>IF((J1920-MAX(J$470:J1920))/MAX(J$470:J1920)&gt;U1919,U1919,(J1920-MAX(J$470:J1920))/MAX(J$470:J1920))</f>
        <v>-0.8283551177402233</v>
      </c>
      <c r="V1920" s="564">
        <f>IF((K1920-MAX(K$470:K1920))/MAX(K$470:K1920)&gt;V1919,V1919,(K1920-MAX(K$470:K1920))/MAX(K$470:K1920))</f>
        <v>-0.84885940676762139</v>
      </c>
      <c r="W1920" s="564">
        <f>IF((N1920-MAX(N$470:N1920))/MAX(N$470:N1920)&gt;W1919,W1919,(N1920-MAX(N$470:N1920))/MAX(N$470:N1920))</f>
        <v>-0.62788758315546067</v>
      </c>
      <c r="X1920" s="564">
        <f>IF((O1920-MAX(O$470:O1920))/MAX(O$470:O1920)&gt;X1919,X1919,(O1920-MAX(O$470:O1920))/MAX(O$470:O1920))</f>
        <v>-0.62788758315546067</v>
      </c>
    </row>
    <row r="1921" spans="1:24">
      <c r="A1921" s="799">
        <v>42323</v>
      </c>
      <c r="B1921">
        <v>332.63400000000001</v>
      </c>
      <c r="C1921">
        <v>426.20430399999998</v>
      </c>
      <c r="D1921">
        <v>1.1136919999999999</v>
      </c>
      <c r="E1921">
        <f>LN(D1921/参数实验室!$E$53)/参数实验室!$E$55</f>
        <v>-0.5659317306561622</v>
      </c>
      <c r="F1921">
        <f t="shared" si="238"/>
        <v>1.2813010816693422</v>
      </c>
      <c r="G1921">
        <f>LN(F1921/参数实验室!$E$58)/参数实验室!$E$59</f>
        <v>-6.0431287216976368E-2</v>
      </c>
      <c r="H1921" s="856">
        <f>INDEX(神经网络!$G$10:$BO$70,MATCH(ROUND(G1921*2,1)/2,神经网络!$E$10:$E$70,0),MATCH(ROUND(E1921*2,1)/2,神经网络!$G$8:$BO$8,0))</f>
        <v>-0.33449656962510349</v>
      </c>
      <c r="I1921">
        <f t="shared" si="240"/>
        <v>974.16260257087765</v>
      </c>
      <c r="J1921">
        <f t="shared" si="241"/>
        <v>132.72973943577642</v>
      </c>
      <c r="K1921">
        <f t="shared" si="242"/>
        <v>7.3394448502043739</v>
      </c>
      <c r="L1921" s="4">
        <f>MIN(MAX(L1920*(1+MAX(MIN(((B1921-B1920)/B1920)/($K$7*卓尔金历!$N$40),0),-卓尔金历!$M$43))+MIN(MAX(((B1921-B1920)/B1920)/($K$7*卓尔金历!$N$40),0),卓尔金历!$M$43),0),1)</f>
        <v>0.9627014141256367</v>
      </c>
      <c r="M1921" s="4">
        <f>MIN(MAX(M1920*(1+MAX(MIN(((B1921-B1920)/B1920)/($K$7*30),0),-卓尔金历!$M$43))+MIN(MAX(((B1921-B1920)/B1920)/($K$7*7),0),卓尔金历!$M$43),0),1)</f>
        <v>0.98135070706281835</v>
      </c>
      <c r="N1921">
        <f t="shared" si="243"/>
        <v>740.06262448809275</v>
      </c>
      <c r="O1921">
        <f t="shared" si="244"/>
        <v>1989.4957023391498</v>
      </c>
      <c r="P1921">
        <f t="shared" si="245"/>
        <v>-2.4411602408770322E-3</v>
      </c>
      <c r="Q1921">
        <f t="shared" si="246"/>
        <v>8.6780675859089634E-2</v>
      </c>
      <c r="R1921">
        <f t="shared" si="247"/>
        <v>1</v>
      </c>
      <c r="S1921">
        <f t="shared" si="239"/>
        <v>16.739982558282389</v>
      </c>
      <c r="T1921" s="564">
        <f>IF((I1921-MAX(I$470:I1921))/MAX(I$470:I1921)&gt;T1920,T1920,(I1921-MAX(I$470:I1921))/MAX(I$470:I1921))</f>
        <v>-0.91338805338419748</v>
      </c>
      <c r="U1921" s="564">
        <f>IF((J1921-MAX(J$470:J1921))/MAX(J$470:J1921)&gt;U1920,U1920,(J1921-MAX(J$470:J1921))/MAX(J$470:J1921))</f>
        <v>-0.8283551177402233</v>
      </c>
      <c r="V1921" s="564">
        <f>IF((K1921-MAX(K$470:K1921))/MAX(K$470:K1921)&gt;V1920,V1920,(K1921-MAX(K$470:K1921))/MAX(K$470:K1921))</f>
        <v>-0.84885940676762139</v>
      </c>
      <c r="W1921" s="564">
        <f>IF((N1921-MAX(N$470:N1921))/MAX(N$470:N1921)&gt;W1920,W1920,(N1921-MAX(N$470:N1921))/MAX(N$470:N1921))</f>
        <v>-0.62788758315546067</v>
      </c>
      <c r="X1921" s="564">
        <f>IF((O1921-MAX(O$470:O1921))/MAX(O$470:O1921)&gt;X1920,X1920,(O1921-MAX(O$470:O1921))/MAX(O$470:O1921))</f>
        <v>-0.62788758315546067</v>
      </c>
    </row>
    <row r="1922" spans="1:24">
      <c r="A1922" s="799">
        <v>42324</v>
      </c>
      <c r="B1922">
        <v>320.75799999999998</v>
      </c>
      <c r="C1922">
        <v>416.29226799999998</v>
      </c>
      <c r="D1922">
        <v>1.152574</v>
      </c>
      <c r="E1922">
        <f>LN(D1922/参数实验室!$E$53)/参数实验室!$E$55</f>
        <v>-0.52544604427065589</v>
      </c>
      <c r="F1922">
        <f t="shared" si="238"/>
        <v>1.2978390811764633</v>
      </c>
      <c r="G1922">
        <f>LN(F1922/参数实验室!$E$58)/参数实验室!$E$59</f>
        <v>-5.370024173291698E-2</v>
      </c>
      <c r="H1922" s="856">
        <f>INDEX(神经网络!$G$10:$BO$70,MATCH(ROUND(G1922*2,1)/2,神经网络!$E$10:$E$70,0),MATCH(ROUND(E1922*2,1)/2,神经网络!$G$8:$BO$8,0))</f>
        <v>-0.33449656962510349</v>
      </c>
      <c r="I1922">
        <f t="shared" si="240"/>
        <v>985.79653861996144</v>
      </c>
      <c r="J1922">
        <f t="shared" si="241"/>
        <v>127.99090219863504</v>
      </c>
      <c r="K1922">
        <f t="shared" si="242"/>
        <v>7.7020828956268934</v>
      </c>
      <c r="L1922" s="4">
        <f>MIN(MAX(L1921*(1+MAX(MIN(((B1922-B1921)/B1921)/($K$7*卓尔金历!$N$40),0),-卓尔金历!$M$43))+MIN(MAX(((B1922-B1921)/B1921)/($K$7*卓尔金历!$N$40),0),卓尔金历!$M$43),0),1)</f>
        <v>0.43754189885944067</v>
      </c>
      <c r="M1922" s="4">
        <f>MIN(MAX(M1921*(1+MAX(MIN(((B1922-B1921)/B1921)/($K$7*30),0),-卓尔金历!$M$43))+MIN(MAX(((B1922-B1921)/B1921)/($K$7*7),0),卓尔金历!$M$43),0),1)</f>
        <v>0.71368429769365593</v>
      </c>
      <c r="N1922">
        <f t="shared" si="243"/>
        <v>748.57116948938221</v>
      </c>
      <c r="O1922">
        <f t="shared" si="244"/>
        <v>2012.8121542433892</v>
      </c>
      <c r="P1922">
        <f t="shared" si="245"/>
        <v>-3.5702904694048208E-2</v>
      </c>
      <c r="Q1922">
        <f t="shared" si="246"/>
        <v>8.7154523640235224E-2</v>
      </c>
      <c r="R1922">
        <f t="shared" si="247"/>
        <v>1</v>
      </c>
      <c r="S1922">
        <f t="shared" si="239"/>
        <v>16.939899785685569</v>
      </c>
      <c r="T1922" s="564">
        <f>IF((I1922-MAX(I$470:I1922))/MAX(I$470:I1922)&gt;T1921,T1921,(I1922-MAX(I$470:I1922))/MAX(I$470:I1922))</f>
        <v>-0.91338805338419748</v>
      </c>
      <c r="U1922" s="564">
        <f>IF((J1922-MAX(J$470:J1922))/MAX(J$470:J1922)&gt;U1921,U1921,(J1922-MAX(J$470:J1922))/MAX(J$470:J1922))</f>
        <v>-0.8283551177402233</v>
      </c>
      <c r="V1922" s="564">
        <f>IF((K1922-MAX(K$470:K1922))/MAX(K$470:K1922)&gt;V1921,V1921,(K1922-MAX(K$470:K1922))/MAX(K$470:K1922))</f>
        <v>-0.84885940676762139</v>
      </c>
      <c r="W1922" s="564">
        <f>IF((N1922-MAX(N$470:N1922))/MAX(N$470:N1922)&gt;W1921,W1921,(N1922-MAX(N$470:N1922))/MAX(N$470:N1922))</f>
        <v>-0.62788758315546067</v>
      </c>
      <c r="X1922" s="564">
        <f>IF((O1922-MAX(O$470:O1922))/MAX(O$470:O1922)&gt;X1921,X1921,(O1922-MAX(O$470:O1922))/MAX(O$470:O1922))</f>
        <v>-0.62788758315546067</v>
      </c>
    </row>
    <row r="1923" spans="1:24">
      <c r="A1923" s="799">
        <v>42325</v>
      </c>
      <c r="B1923">
        <v>320.70600000000002</v>
      </c>
      <c r="C1923">
        <v>415.53262599999999</v>
      </c>
      <c r="D1923">
        <v>1.167089</v>
      </c>
      <c r="E1923">
        <f>LN(D1923/参数实验室!$E$53)/参数实验室!$E$55</f>
        <v>-0.51068153594485177</v>
      </c>
      <c r="F1923">
        <f t="shared" si="238"/>
        <v>1.2956808603518486</v>
      </c>
      <c r="G1923">
        <f>LN(F1923/参数实验室!$E$58)/参数实验室!$E$59</f>
        <v>-5.4573765910615663E-2</v>
      </c>
      <c r="H1923" s="856">
        <f>INDEX(神经网络!$G$10:$BO$70,MATCH(ROUND(G1923*2,1)/2,神经网络!$E$10:$E$70,0),MATCH(ROUND(E1923*2,1)/2,神经网络!$G$8:$BO$8,0))</f>
        <v>-0.29867672432117554</v>
      </c>
      <c r="I1923">
        <f t="shared" si="240"/>
        <v>985.84999564721215</v>
      </c>
      <c r="J1923">
        <f t="shared" si="241"/>
        <v>127.97015282710161</v>
      </c>
      <c r="K1923">
        <f t="shared" si="242"/>
        <v>7.7037494592913243</v>
      </c>
      <c r="L1923" s="4">
        <f>MIN(MAX(L1922*(1+MAX(MIN(((B1923-B1922)/B1922)/($K$7*卓尔金历!$N$40),0),-卓尔金历!$M$43))+MIN(MAX(((B1923-B1922)/B1922)/($K$7*卓尔金历!$N$40),0),卓尔金历!$M$43),0),1)</f>
        <v>0.4364581177611519</v>
      </c>
      <c r="M1923" s="4">
        <f>MIN(MAX(M1922*(1+MAX(MIN(((B1923-B1922)/B1922)/($K$7*30),0),-卓尔金历!$M$43))+MIN(MAX(((B1923-B1922)/B1922)/($K$7*7),0),卓尔金历!$M$43),0),1)</f>
        <v>0.7128004079976038</v>
      </c>
      <c r="N1923">
        <f t="shared" si="243"/>
        <v>748.58893060571847</v>
      </c>
      <c r="O1923">
        <f t="shared" si="244"/>
        <v>2012.890052350187</v>
      </c>
      <c r="P1923">
        <f t="shared" si="245"/>
        <v>-1.6211598775389571E-4</v>
      </c>
      <c r="Q1923">
        <f t="shared" si="246"/>
        <v>8.7039227609114977E-2</v>
      </c>
      <c r="R1923">
        <f t="shared" si="247"/>
        <v>1</v>
      </c>
      <c r="S1923">
        <f t="shared" si="239"/>
        <v>16.940818389727063</v>
      </c>
      <c r="T1923" s="564">
        <f>IF((I1923-MAX(I$470:I1923))/MAX(I$470:I1923)&gt;T1922,T1922,(I1923-MAX(I$470:I1923))/MAX(I$470:I1923))</f>
        <v>-0.91338805338419748</v>
      </c>
      <c r="U1923" s="564">
        <f>IF((J1923-MAX(J$470:J1923))/MAX(J$470:J1923)&gt;U1922,U1922,(J1923-MAX(J$470:J1923))/MAX(J$470:J1923))</f>
        <v>-0.8283551177402233</v>
      </c>
      <c r="V1923" s="564">
        <f>IF((K1923-MAX(K$470:K1923))/MAX(K$470:K1923)&gt;V1922,V1922,(K1923-MAX(K$470:K1923))/MAX(K$470:K1923))</f>
        <v>-0.84885940676762139</v>
      </c>
      <c r="W1923" s="564">
        <f>IF((N1923-MAX(N$470:N1923))/MAX(N$470:N1923)&gt;W1922,W1922,(N1923-MAX(N$470:N1923))/MAX(N$470:N1923))</f>
        <v>-0.62788758315546067</v>
      </c>
      <c r="X1923" s="564">
        <f>IF((O1923-MAX(O$470:O1923))/MAX(O$470:O1923)&gt;X1922,X1922,(O1923-MAX(O$470:O1923))/MAX(O$470:O1923))</f>
        <v>-0.62788758315546067</v>
      </c>
    </row>
    <row r="1924" spans="1:24">
      <c r="A1924" s="799">
        <v>42326</v>
      </c>
      <c r="B1924">
        <v>334.24599999999998</v>
      </c>
      <c r="C1924">
        <v>419.17827699999998</v>
      </c>
      <c r="D1924">
        <v>1.166371</v>
      </c>
      <c r="E1924">
        <f>LN(D1924/参数实验室!$E$53)/参数实验室!$E$55</f>
        <v>-0.51140755040912789</v>
      </c>
      <c r="F1924">
        <f t="shared" si="238"/>
        <v>1.254101102182225</v>
      </c>
      <c r="G1924">
        <f>LN(F1924/参数实验室!$E$58)/参数实验室!$E$59</f>
        <v>-7.1693064158997927E-2</v>
      </c>
      <c r="H1924" s="856">
        <f>INDEX(神经网络!$G$10:$BO$70,MATCH(ROUND(G1924*2,1)/2,神经网络!$E$10:$E$70,0),MATCH(ROUND(E1924*2,1)/2,神经网络!$G$8:$BO$8,0))</f>
        <v>-0.29867672432117554</v>
      </c>
      <c r="I1924">
        <f t="shared" si="240"/>
        <v>973.41848810629847</v>
      </c>
      <c r="J1924">
        <f t="shared" si="241"/>
        <v>133.37296995331363</v>
      </c>
      <c r="K1924">
        <f t="shared" si="242"/>
        <v>7.2984690109775432</v>
      </c>
      <c r="L1924" s="4">
        <f>MIN(MAX(L1923*(1+MAX(MIN(((B1924-B1923)/B1923)/($K$7*卓尔金历!$N$40),0),-卓尔金历!$M$43))+MIN(MAX(((B1924-B1923)/B1923)/($K$7*卓尔金历!$N$40),0),卓尔金历!$M$43),0),1)</f>
        <v>1</v>
      </c>
      <c r="M1924" s="4">
        <f>MIN(MAX(M1923*(1+MAX(MIN(((B1924-B1923)/B1923)/($K$7*30),0),-卓尔金历!$M$43))+MIN(MAX(((B1924-B1923)/B1923)/($K$7*7),0),卓尔金历!$M$43),0),1)</f>
        <v>1</v>
      </c>
      <c r="N1924">
        <f t="shared" si="243"/>
        <v>744.46891429633968</v>
      </c>
      <c r="O1924">
        <f t="shared" si="244"/>
        <v>1994.7974535834098</v>
      </c>
      <c r="P1924">
        <f t="shared" si="245"/>
        <v>4.2219353551227488E-2</v>
      </c>
      <c r="Q1924">
        <f t="shared" si="246"/>
        <v>8.7201593551762699E-2</v>
      </c>
      <c r="R1924">
        <f t="shared" si="247"/>
        <v>0.87551647275732647</v>
      </c>
      <c r="S1924">
        <f t="shared" si="239"/>
        <v>16.727195716408612</v>
      </c>
      <c r="T1924" s="564">
        <f>IF((I1924-MAX(I$470:I1924))/MAX(I$470:I1924)&gt;T1923,T1923,(I1924-MAX(I$470:I1924))/MAX(I$470:I1924))</f>
        <v>-0.91338805338419748</v>
      </c>
      <c r="U1924" s="564">
        <f>IF((J1924-MAX(J$470:J1924))/MAX(J$470:J1924)&gt;U1923,U1923,(J1924-MAX(J$470:J1924))/MAX(J$470:J1924))</f>
        <v>-0.8283551177402233</v>
      </c>
      <c r="V1924" s="564">
        <f>IF((K1924-MAX(K$470:K1924))/MAX(K$470:K1924)&gt;V1923,V1923,(K1924-MAX(K$470:K1924))/MAX(K$470:K1924))</f>
        <v>-0.84885940676762139</v>
      </c>
      <c r="W1924" s="564">
        <f>IF((N1924-MAX(N$470:N1924))/MAX(N$470:N1924)&gt;W1923,W1923,(N1924-MAX(N$470:N1924))/MAX(N$470:N1924))</f>
        <v>-0.62788758315546067</v>
      </c>
      <c r="X1924" s="564">
        <f>IF((O1924-MAX(O$470:O1924))/MAX(O$470:O1924)&gt;X1923,X1923,(O1924-MAX(O$470:O1924))/MAX(O$470:O1924))</f>
        <v>-0.62788758315546067</v>
      </c>
    </row>
    <row r="1925" spans="1:24">
      <c r="A1925" s="799">
        <v>42327</v>
      </c>
      <c r="B1925">
        <v>333.51799999999997</v>
      </c>
      <c r="C1925">
        <v>417.28056600000002</v>
      </c>
      <c r="D1925">
        <v>1.133813</v>
      </c>
      <c r="E1925">
        <f>LN(D1925/参数实验室!$E$53)/参数实验室!$E$55</f>
        <v>-0.54480746242149547</v>
      </c>
      <c r="F1925">
        <f t="shared" ref="F1925:F1988" si="248">C1925/B1925</f>
        <v>1.2511485616968201</v>
      </c>
      <c r="G1925">
        <f>LN(F1925/参数实验室!$E$58)/参数实验室!$E$59</f>
        <v>-7.2930189185648253E-2</v>
      </c>
      <c r="H1925" s="856">
        <f>INDEX(神经网络!$G$10:$BO$70,MATCH(ROUND(G1925*2,1)/2,神经网络!$E$10:$E$70,0),MATCH(ROUND(E1925*2,1)/2,神经网络!$G$8:$BO$8,0))</f>
        <v>-0.33449656962510349</v>
      </c>
      <c r="I1925">
        <f t="shared" si="240"/>
        <v>974.05172488479889</v>
      </c>
      <c r="J1925">
        <f t="shared" si="241"/>
        <v>133.0824787518452</v>
      </c>
      <c r="K1925">
        <f t="shared" si="242"/>
        <v>7.3191582695200852</v>
      </c>
      <c r="L1925" s="4">
        <f>MIN(MAX(L1924*(1+MAX(MIN(((B1925-B1924)/B1924)/($K$7*卓尔金历!$N$40),0),-卓尔金历!$M$43))+MIN(MAX(((B1925-B1924)/B1924)/($K$7*卓尔金历!$N$40),0),卓尔金历!$M$43),0),1)</f>
        <v>0.96672169183576884</v>
      </c>
      <c r="M1925" s="4">
        <f>MIN(MAX(M1924*(1+MAX(MIN(((B1925-B1924)/B1924)/($K$7*30),0),-卓尔金历!$M$43))+MIN(MAX(((B1925-B1924)/B1924)/($K$7*7),0),卓尔金历!$M$43),0),1)</f>
        <v>0.98336084591788442</v>
      </c>
      <c r="N1925">
        <f t="shared" si="243"/>
        <v>744.95321277920482</v>
      </c>
      <c r="O1925">
        <f t="shared" si="244"/>
        <v>1996.0951268130661</v>
      </c>
      <c r="P1925">
        <f t="shared" si="245"/>
        <v>-2.1780365359645552E-3</v>
      </c>
      <c r="Q1925">
        <f t="shared" si="246"/>
        <v>8.7031068944922033E-2</v>
      </c>
      <c r="R1925">
        <f t="shared" si="247"/>
        <v>1</v>
      </c>
      <c r="S1925">
        <f t="shared" si="239"/>
        <v>16.736722668919544</v>
      </c>
      <c r="T1925" s="564">
        <f>IF((I1925-MAX(I$470:I1925))/MAX(I$470:I1925)&gt;T1924,T1924,(I1925-MAX(I$470:I1925))/MAX(I$470:I1925))</f>
        <v>-0.91338805338419748</v>
      </c>
      <c r="U1925" s="564">
        <f>IF((J1925-MAX(J$470:J1925))/MAX(J$470:J1925)&gt;U1924,U1924,(J1925-MAX(J$470:J1925))/MAX(J$470:J1925))</f>
        <v>-0.8283551177402233</v>
      </c>
      <c r="V1925" s="564">
        <f>IF((K1925-MAX(K$470:K1925))/MAX(K$470:K1925)&gt;V1924,V1924,(K1925-MAX(K$470:K1925))/MAX(K$470:K1925))</f>
        <v>-0.84885940676762139</v>
      </c>
      <c r="W1925" s="564">
        <f>IF((N1925-MAX(N$470:N1925))/MAX(N$470:N1925)&gt;W1924,W1924,(N1925-MAX(N$470:N1925))/MAX(N$470:N1925))</f>
        <v>-0.62788758315546067</v>
      </c>
      <c r="X1925" s="564">
        <f>IF((O1925-MAX(O$470:O1925))/MAX(O$470:O1925)&gt;X1924,X1924,(O1925-MAX(O$470:O1925))/MAX(O$470:O1925))</f>
        <v>-0.62788758315546067</v>
      </c>
    </row>
    <row r="1926" spans="1:24">
      <c r="A1926" s="799">
        <v>42328</v>
      </c>
      <c r="B1926">
        <v>326.28699999999998</v>
      </c>
      <c r="C1926">
        <v>411.39439499999997</v>
      </c>
      <c r="D1926">
        <v>1.119229</v>
      </c>
      <c r="E1926">
        <f>LN(D1926/参数实验室!$E$53)/参数实验室!$E$55</f>
        <v>-0.56008082316692998</v>
      </c>
      <c r="F1926">
        <f t="shared" si="248"/>
        <v>1.2608359971436189</v>
      </c>
      <c r="G1926">
        <f>LN(F1926/参数实验室!$E$58)/参数实验室!$E$59</f>
        <v>-6.8881983674179206E-2</v>
      </c>
      <c r="H1926" s="856">
        <f>INDEX(神经网络!$G$10:$BO$70,MATCH(ROUND(G1926*2,1)/2,神经网络!$E$10:$E$70,0),MATCH(ROUND(E1926*2,1)/2,神经网络!$G$8:$BO$8,0))</f>
        <v>-0.33449656962510349</v>
      </c>
      <c r="I1926">
        <f t="shared" si="240"/>
        <v>981.11575873658774</v>
      </c>
      <c r="J1926">
        <f t="shared" si="241"/>
        <v>130.19711902956757</v>
      </c>
      <c r="K1926">
        <f t="shared" si="242"/>
        <v>7.5356180386278577</v>
      </c>
      <c r="L1926" s="4">
        <f>MIN(MAX(L1925*(1+MAX(MIN(((B1926-B1925)/B1925)/($K$7*卓尔金历!$N$40),0),-卓尔金历!$M$43))+MIN(MAX(((B1926-B1925)/B1925)/($K$7*卓尔金历!$N$40),0),卓尔金历!$M$43),0),1)</f>
        <v>0.64648091853731671</v>
      </c>
      <c r="M1926" s="4">
        <f>MIN(MAX(M1925*(1+MAX(MIN(((B1926-B1925)/B1925)/($K$7*30),0),-卓尔金历!$M$43))+MIN(MAX(((B1926-B1925)/B1925)/($K$7*7),0),卓尔金历!$M$43),0),1)</f>
        <v>0.82048447705821981</v>
      </c>
      <c r="N1926">
        <f t="shared" si="243"/>
        <v>750.17598653518337</v>
      </c>
      <c r="O1926">
        <f t="shared" si="244"/>
        <v>2010.3303702550547</v>
      </c>
      <c r="P1926">
        <f t="shared" si="245"/>
        <v>-2.1680988732242324E-2</v>
      </c>
      <c r="Q1926">
        <f t="shared" si="246"/>
        <v>8.7148307906785086E-2</v>
      </c>
      <c r="R1926">
        <f t="shared" si="247"/>
        <v>1</v>
      </c>
      <c r="S1926">
        <f t="shared" si="239"/>
        <v>16.858101002821918</v>
      </c>
      <c r="T1926" s="564">
        <f>IF((I1926-MAX(I$470:I1926))/MAX(I$470:I1926)&gt;T1925,T1925,(I1926-MAX(I$470:I1926))/MAX(I$470:I1926))</f>
        <v>-0.91338805338419748</v>
      </c>
      <c r="U1926" s="564">
        <f>IF((J1926-MAX(J$470:J1926))/MAX(J$470:J1926)&gt;U1925,U1925,(J1926-MAX(J$470:J1926))/MAX(J$470:J1926))</f>
        <v>-0.8283551177402233</v>
      </c>
      <c r="V1926" s="564">
        <f>IF((K1926-MAX(K$470:K1926))/MAX(K$470:K1926)&gt;V1925,V1925,(K1926-MAX(K$470:K1926))/MAX(K$470:K1926))</f>
        <v>-0.84885940676762139</v>
      </c>
      <c r="W1926" s="564">
        <f>IF((N1926-MAX(N$470:N1926))/MAX(N$470:N1926)&gt;W1925,W1925,(N1926-MAX(N$470:N1926))/MAX(N$470:N1926))</f>
        <v>-0.62788758315546067</v>
      </c>
      <c r="X1926" s="564">
        <f>IF((O1926-MAX(O$470:O1926))/MAX(O$470:O1926)&gt;X1925,X1925,(O1926-MAX(O$470:O1926))/MAX(O$470:O1926))</f>
        <v>-0.62788758315546067</v>
      </c>
    </row>
    <row r="1927" spans="1:24">
      <c r="A1927" s="799">
        <v>42329</v>
      </c>
      <c r="B1927">
        <v>321.71100000000001</v>
      </c>
      <c r="C1927">
        <v>404.84478100000001</v>
      </c>
      <c r="D1927">
        <v>1.1329210000000001</v>
      </c>
      <c r="E1927">
        <f>LN(D1927/参数实验室!$E$53)/参数实验室!$E$55</f>
        <v>-0.54573597008754149</v>
      </c>
      <c r="F1927">
        <f t="shared" si="248"/>
        <v>1.2584113723186339</v>
      </c>
      <c r="G1927">
        <f>LN(F1927/参数实验室!$E$58)/参数实验室!$E$59</f>
        <v>-6.9892265197701045E-2</v>
      </c>
      <c r="H1927" s="856">
        <f>INDEX(神经网络!$G$10:$BO$70,MATCH(ROUND(G1927*2,1)/2,神经网络!$E$10:$E$70,0),MATCH(ROUND(E1927*2,1)/2,神经网络!$G$8:$BO$8,0))</f>
        <v>-0.33449656962510349</v>
      </c>
      <c r="I1927">
        <f t="shared" si="240"/>
        <v>985.7183050215906</v>
      </c>
      <c r="J1927">
        <f t="shared" si="241"/>
        <v>128.37117433462325</v>
      </c>
      <c r="K1927">
        <f t="shared" si="242"/>
        <v>7.6786576903326695</v>
      </c>
      <c r="L1927" s="4">
        <f>MIN(MAX(L1926*(1+MAX(MIN(((B1927-B1926)/B1926)/($K$7*卓尔金历!$N$40),0),-卓尔金历!$M$43))+MIN(MAX(((B1927-B1926)/B1926)/($K$7*卓尔金历!$N$40),0),卓尔金历!$M$43),0),1)</f>
        <v>0.50795276861179961</v>
      </c>
      <c r="M1927" s="4">
        <f>MIN(MAX(M1926*(1+MAX(MIN(((B1927-B1926)/B1926)/($K$7*30),0),-卓尔金历!$M$43))+MIN(MAX(((B1927-B1926)/B1926)/($K$7*7),0),卓尔金历!$M$43),0),1)</f>
        <v>0.73257763140325416</v>
      </c>
      <c r="N1927">
        <f t="shared" si="243"/>
        <v>752.45106710868697</v>
      </c>
      <c r="O1927">
        <f t="shared" si="244"/>
        <v>2018.0681384611596</v>
      </c>
      <c r="P1927">
        <f t="shared" si="245"/>
        <v>-1.4024463126020851E-2</v>
      </c>
      <c r="Q1927">
        <f t="shared" si="246"/>
        <v>8.7198111405090206E-2</v>
      </c>
      <c r="R1927">
        <f t="shared" si="247"/>
        <v>1</v>
      </c>
      <c r="S1927">
        <f t="shared" si="239"/>
        <v>16.937184627207543</v>
      </c>
      <c r="T1927" s="564">
        <f>IF((I1927-MAX(I$470:I1927))/MAX(I$470:I1927)&gt;T1926,T1926,(I1927-MAX(I$470:I1927))/MAX(I$470:I1927))</f>
        <v>-0.91338805338419748</v>
      </c>
      <c r="U1927" s="564">
        <f>IF((J1927-MAX(J$470:J1927))/MAX(J$470:J1927)&gt;U1926,U1926,(J1927-MAX(J$470:J1927))/MAX(J$470:J1927))</f>
        <v>-0.8283551177402233</v>
      </c>
      <c r="V1927" s="564">
        <f>IF((K1927-MAX(K$470:K1927))/MAX(K$470:K1927)&gt;V1926,V1926,(K1927-MAX(K$470:K1927))/MAX(K$470:K1927))</f>
        <v>-0.84885940676762139</v>
      </c>
      <c r="W1927" s="564">
        <f>IF((N1927-MAX(N$470:N1927))/MAX(N$470:N1927)&gt;W1926,W1926,(N1927-MAX(N$470:N1927))/MAX(N$470:N1927))</f>
        <v>-0.62788758315546067</v>
      </c>
      <c r="X1927" s="564">
        <f>IF((O1927-MAX(O$470:O1927))/MAX(O$470:O1927)&gt;X1926,X1926,(O1927-MAX(O$470:O1927))/MAX(O$470:O1927))</f>
        <v>-0.62788758315546067</v>
      </c>
    </row>
    <row r="1928" spans="1:24">
      <c r="A1928" s="799">
        <v>42330</v>
      </c>
      <c r="B1928">
        <v>325.69</v>
      </c>
      <c r="C1928">
        <v>399.20863200000002</v>
      </c>
      <c r="D1928">
        <v>1.1250370000000001</v>
      </c>
      <c r="E1928">
        <f>LN(D1928/参数实验室!$E$53)/参数实验室!$E$55</f>
        <v>-0.55397457538893058</v>
      </c>
      <c r="F1928">
        <f t="shared" si="248"/>
        <v>1.2257319291350672</v>
      </c>
      <c r="G1928">
        <f>LN(F1928/参数实验室!$E$58)/参数实验室!$E$59</f>
        <v>-8.3702199117219989E-2</v>
      </c>
      <c r="H1928" s="856">
        <f>INDEX(神经网络!$G$10:$BO$70,MATCH(ROUND(G1928*2,1)/2,神经网络!$E$10:$E$70,0),MATCH(ROUND(E1928*2,1)/2,神经网络!$G$8:$BO$8,0))</f>
        <v>-0.41319986299426514</v>
      </c>
      <c r="I1928">
        <f t="shared" si="240"/>
        <v>981.64025528328204</v>
      </c>
      <c r="J1928">
        <f t="shared" si="241"/>
        <v>129.95890028330845</v>
      </c>
      <c r="K1928">
        <f t="shared" si="242"/>
        <v>7.5534669279543074</v>
      </c>
      <c r="L1928" s="4">
        <f>MIN(MAX(L1927*(1+MAX(MIN(((B1928-B1927)/B1927)/($K$7*卓尔金历!$N$40),0),-卓尔金历!$M$43))+MIN(MAX(((B1928-B1927)/B1927)/($K$7*卓尔金历!$N$40),0),卓尔金历!$M$43),0),1)</f>
        <v>0.69692766110644011</v>
      </c>
      <c r="M1928" s="4">
        <f>MIN(MAX(M1927*(1+MAX(MIN(((B1928-B1927)/B1927)/($K$7*30),0),-卓尔金历!$M$43))+MIN(MAX(((B1928-B1927)/B1927)/($K$7*7),0),卓尔金历!$M$43),0),1)</f>
        <v>1</v>
      </c>
      <c r="N1928">
        <f t="shared" si="243"/>
        <v>750.86981436876442</v>
      </c>
      <c r="O1928">
        <f t="shared" si="244"/>
        <v>2011.9518328670392</v>
      </c>
      <c r="P1928">
        <f t="shared" si="245"/>
        <v>1.2368243547780414E-2</v>
      </c>
      <c r="Q1928">
        <f t="shared" si="246"/>
        <v>8.7002723863696674E-2</v>
      </c>
      <c r="R1928">
        <f t="shared" si="247"/>
        <v>1</v>
      </c>
      <c r="S1928">
        <f t="shared" si="239"/>
        <v>16.867113207223966</v>
      </c>
      <c r="T1928" s="564">
        <f>IF((I1928-MAX(I$470:I1928))/MAX(I$470:I1928)&gt;T1927,T1927,(I1928-MAX(I$470:I1928))/MAX(I$470:I1928))</f>
        <v>-0.91338805338419748</v>
      </c>
      <c r="U1928" s="564">
        <f>IF((J1928-MAX(J$470:J1928))/MAX(J$470:J1928)&gt;U1927,U1927,(J1928-MAX(J$470:J1928))/MAX(J$470:J1928))</f>
        <v>-0.8283551177402233</v>
      </c>
      <c r="V1928" s="564">
        <f>IF((K1928-MAX(K$470:K1928))/MAX(K$470:K1928)&gt;V1927,V1927,(K1928-MAX(K$470:K1928))/MAX(K$470:K1928))</f>
        <v>-0.84885940676762139</v>
      </c>
      <c r="W1928" s="564">
        <f>IF((N1928-MAX(N$470:N1928))/MAX(N$470:N1928)&gt;W1927,W1927,(N1928-MAX(N$470:N1928))/MAX(N$470:N1928))</f>
        <v>-0.62788758315546067</v>
      </c>
      <c r="X1928" s="564">
        <f>IF((O1928-MAX(O$470:O1928))/MAX(O$470:O1928)&gt;X1927,X1927,(O1928-MAX(O$470:O1928))/MAX(O$470:O1928))</f>
        <v>-0.62788758315546067</v>
      </c>
    </row>
    <row r="1929" spans="1:24">
      <c r="A1929" s="799">
        <v>42331</v>
      </c>
      <c r="B1929">
        <v>322.65100000000001</v>
      </c>
      <c r="C1929">
        <v>394.93347499999999</v>
      </c>
      <c r="D1929">
        <v>1.122746</v>
      </c>
      <c r="E1929">
        <f>LN(D1929/参数实验室!$E$53)/参数实验室!$E$55</f>
        <v>-0.55637944776126902</v>
      </c>
      <c r="F1929">
        <f t="shared" si="248"/>
        <v>1.2240268122522477</v>
      </c>
      <c r="G1929">
        <f>LN(F1929/参数实验室!$E$58)/参数实验室!$E$59</f>
        <v>-8.4432832399001456E-2</v>
      </c>
      <c r="H1929" s="856">
        <f>INDEX(神经网络!$G$10:$BO$70,MATCH(ROUND(G1929*2,1)/2,神经网络!$E$10:$E$70,0),MATCH(ROUND(E1929*2,1)/2,神经网络!$G$8:$BO$8,0))</f>
        <v>-0.41319986299426514</v>
      </c>
      <c r="I1929">
        <f t="shared" si="240"/>
        <v>985.42501928622596</v>
      </c>
      <c r="J1929">
        <f t="shared" si="241"/>
        <v>128.74625912772808</v>
      </c>
      <c r="K1929">
        <f t="shared" si="242"/>
        <v>7.6540089472315778</v>
      </c>
      <c r="L1929" s="4">
        <f>MIN(MAX(L1928*(1+MAX(MIN(((B1929-B1928)/B1928)/($K$7*卓尔金历!$N$40),0),-卓尔金历!$M$43))+MIN(MAX(((B1929-B1928)/B1928)/($K$7*卓尔金历!$N$40),0),卓尔金历!$M$43),0),1)</f>
        <v>0.59756801033508455</v>
      </c>
      <c r="M1929" s="4">
        <f>MIN(MAX(M1928*(1+MAX(MIN(((B1929-B1928)/B1928)/($K$7*30),0),-卓尔金历!$M$43))+MIN(MAX(((B1929-B1928)/B1928)/($K$7*7),0),卓尔金历!$M$43),0),1)</f>
        <v>0.92871595122683714</v>
      </c>
      <c r="N1929">
        <f t="shared" si="243"/>
        <v>752.88743166579218</v>
      </c>
      <c r="O1929">
        <f t="shared" si="244"/>
        <v>2019.7090156350735</v>
      </c>
      <c r="P1929">
        <f t="shared" si="245"/>
        <v>-9.3309588872854173E-3</v>
      </c>
      <c r="Q1929">
        <f t="shared" si="246"/>
        <v>8.6357917547954147E-2</v>
      </c>
      <c r="R1929">
        <f t="shared" si="247"/>
        <v>1</v>
      </c>
      <c r="S1929">
        <f t="shared" si="239"/>
        <v>16.932145221301116</v>
      </c>
      <c r="T1929" s="564">
        <f>IF((I1929-MAX(I$470:I1929))/MAX(I$470:I1929)&gt;T1928,T1928,(I1929-MAX(I$470:I1929))/MAX(I$470:I1929))</f>
        <v>-0.91338805338419748</v>
      </c>
      <c r="U1929" s="564">
        <f>IF((J1929-MAX(J$470:J1929))/MAX(J$470:J1929)&gt;U1928,U1928,(J1929-MAX(J$470:J1929))/MAX(J$470:J1929))</f>
        <v>-0.8283551177402233</v>
      </c>
      <c r="V1929" s="564">
        <f>IF((K1929-MAX(K$470:K1929))/MAX(K$470:K1929)&gt;V1928,V1928,(K1929-MAX(K$470:K1929))/MAX(K$470:K1929))</f>
        <v>-0.84885940676762139</v>
      </c>
      <c r="W1929" s="564">
        <f>IF((N1929-MAX(N$470:N1929))/MAX(N$470:N1929)&gt;W1928,W1928,(N1929-MAX(N$470:N1929))/MAX(N$470:N1929))</f>
        <v>-0.62788758315546067</v>
      </c>
      <c r="X1929" s="564">
        <f>IF((O1929-MAX(O$470:O1929))/MAX(O$470:O1929)&gt;X1928,X1928,(O1929-MAX(O$470:O1929))/MAX(O$470:O1929))</f>
        <v>-0.62788758315546067</v>
      </c>
    </row>
    <row r="1930" spans="1:24">
      <c r="A1930" s="799">
        <v>42332</v>
      </c>
      <c r="B1930">
        <v>323.65499999999997</v>
      </c>
      <c r="C1930">
        <v>395.01139599999999</v>
      </c>
      <c r="D1930">
        <v>1.112328</v>
      </c>
      <c r="E1930">
        <f>LN(D1930/参数实验室!$E$53)/参数实验室!$E$55</f>
        <v>-0.56737752505708927</v>
      </c>
      <c r="F1930">
        <f t="shared" si="248"/>
        <v>1.220470550431787</v>
      </c>
      <c r="G1930">
        <f>LN(F1930/参数实验室!$E$58)/参数实验室!$E$59</f>
        <v>-8.5959951830602219E-2</v>
      </c>
      <c r="H1930" s="856">
        <f>INDEX(神经网络!$G$10:$BO$70,MATCH(ROUND(G1930*2,1)/2,神经网络!$E$10:$E$70,0),MATCH(ROUND(E1930*2,1)/2,神经网络!$G$8:$BO$8,0))</f>
        <v>-0.41319986299426514</v>
      </c>
      <c r="I1930">
        <f t="shared" si="240"/>
        <v>984.15799642594652</v>
      </c>
      <c r="J1930">
        <f t="shared" si="241"/>
        <v>129.14688160887405</v>
      </c>
      <c r="K1930">
        <f t="shared" si="242"/>
        <v>7.6204549747202117</v>
      </c>
      <c r="L1930" s="4">
        <f>MIN(MAX(L1929*(1+MAX(MIN(((B1930-B1929)/B1929)/($K$7*卓尔金历!$N$40),0),-卓尔金历!$M$43))+MIN(MAX(((B1930-B1929)/B1929)/($K$7*卓尔金历!$N$40),0),卓尔金历!$M$43),0),1)</f>
        <v>0.64511212621656122</v>
      </c>
      <c r="M1930" s="4">
        <f>MIN(MAX(M1929*(1+MAX(MIN(((B1930-B1929)/B1929)/($K$7*30),0),-卓尔金历!$M$43))+MIN(MAX(((B1930-B1929)/B1929)/($K$7*7),0),卓尔金历!$M$43),0),1)</f>
        <v>1</v>
      </c>
      <c r="N1930">
        <f t="shared" si="243"/>
        <v>752.30896511181083</v>
      </c>
      <c r="O1930">
        <f t="shared" si="244"/>
        <v>2017.297264035956</v>
      </c>
      <c r="P1930">
        <f t="shared" si="245"/>
        <v>3.1117213335770297E-3</v>
      </c>
      <c r="Q1930">
        <f t="shared" si="246"/>
        <v>7.7363409658472757E-2</v>
      </c>
      <c r="R1930">
        <f t="shared" si="247"/>
        <v>1</v>
      </c>
      <c r="S1930">
        <f t="shared" si="239"/>
        <v>16.91037449836524</v>
      </c>
      <c r="T1930" s="564">
        <f>IF((I1930-MAX(I$470:I1930))/MAX(I$470:I1930)&gt;T1929,T1929,(I1930-MAX(I$470:I1930))/MAX(I$470:I1930))</f>
        <v>-0.91338805338419748</v>
      </c>
      <c r="U1930" s="564">
        <f>IF((J1930-MAX(J$470:J1930))/MAX(J$470:J1930)&gt;U1929,U1929,(J1930-MAX(J$470:J1930))/MAX(J$470:J1930))</f>
        <v>-0.8283551177402233</v>
      </c>
      <c r="V1930" s="564">
        <f>IF((K1930-MAX(K$470:K1930))/MAX(K$470:K1930)&gt;V1929,V1929,(K1930-MAX(K$470:K1930))/MAX(K$470:K1930))</f>
        <v>-0.84885940676762139</v>
      </c>
      <c r="W1930" s="564">
        <f>IF((N1930-MAX(N$470:N1930))/MAX(N$470:N1930)&gt;W1929,W1929,(N1930-MAX(N$470:N1930))/MAX(N$470:N1930))</f>
        <v>-0.62788758315546067</v>
      </c>
      <c r="X1930" s="564">
        <f>IF((O1930-MAX(O$470:O1930))/MAX(O$470:O1930)&gt;X1929,X1929,(O1930-MAX(O$470:O1930))/MAX(O$470:O1930))</f>
        <v>-0.62788758315546067</v>
      </c>
    </row>
    <row r="1931" spans="1:24">
      <c r="A1931" s="799">
        <v>42333</v>
      </c>
      <c r="B1931">
        <v>321.58499999999998</v>
      </c>
      <c r="C1931">
        <v>399.43998499999998</v>
      </c>
      <c r="D1931">
        <v>1.1432310000000001</v>
      </c>
      <c r="E1931">
        <f>LN(D1931/参数实验室!$E$53)/参数实验室!$E$55</f>
        <v>-0.53504833663330187</v>
      </c>
      <c r="F1931">
        <f t="shared" si="248"/>
        <v>1.2420976880140553</v>
      </c>
      <c r="G1931">
        <f>LN(F1931/参数实验室!$E$58)/参数实验室!$E$59</f>
        <v>-7.6740810389599429E-2</v>
      </c>
      <c r="H1931" s="856">
        <f>INDEX(神经网络!$G$10:$BO$70,MATCH(ROUND(G1931*2,1)/2,神经网络!$E$10:$E$70,0),MATCH(ROUND(E1931*2,1)/2,神经网络!$G$8:$BO$8,0))</f>
        <v>-0.41319986299426514</v>
      </c>
      <c r="I1931">
        <f t="shared" si="240"/>
        <v>986.75883273320574</v>
      </c>
      <c r="J1931">
        <f t="shared" si="241"/>
        <v>128.32089701129215</v>
      </c>
      <c r="K1931">
        <f t="shared" si="242"/>
        <v>7.6897750539132508</v>
      </c>
      <c r="L1931" s="4">
        <f>MIN(MAX(L1930*(1+MAX(MIN(((B1931-B1930)/B1930)/($K$7*卓尔金历!$N$40),0),-卓尔金历!$M$43))+MIN(MAX(((B1931-B1930)/B1930)/($K$7*卓尔金历!$N$40),0),卓尔金历!$M$43),0),1)</f>
        <v>0.58207167562243844</v>
      </c>
      <c r="M1931" s="4">
        <f>MIN(MAX(M1930*(1+MAX(MIN(((B1931-B1930)/B1930)/($K$7*30),0),-卓尔金历!$M$43))+MIN(MAX(((B1931-B1930)/B1930)/($K$7*7),0),卓尔金历!$M$43),0),1)</f>
        <v>0.95113992743878428</v>
      </c>
      <c r="N1931">
        <f t="shared" si="243"/>
        <v>753.59153085634273</v>
      </c>
      <c r="O1931">
        <f t="shared" si="244"/>
        <v>2022.6283795538841</v>
      </c>
      <c r="P1931">
        <f t="shared" si="245"/>
        <v>-6.3956991240672733E-3</v>
      </c>
      <c r="Q1931">
        <f t="shared" si="246"/>
        <v>5.4229979585097773E-2</v>
      </c>
      <c r="R1931">
        <f t="shared" si="247"/>
        <v>1</v>
      </c>
      <c r="S1931">
        <f t="shared" si="239"/>
        <v>16.955063578903548</v>
      </c>
      <c r="T1931" s="564">
        <f>IF((I1931-MAX(I$470:I1931))/MAX(I$470:I1931)&gt;T1930,T1930,(I1931-MAX(I$470:I1931))/MAX(I$470:I1931))</f>
        <v>-0.91338805338419748</v>
      </c>
      <c r="U1931" s="564">
        <f>IF((J1931-MAX(J$470:J1931))/MAX(J$470:J1931)&gt;U1930,U1930,(J1931-MAX(J$470:J1931))/MAX(J$470:J1931))</f>
        <v>-0.8283551177402233</v>
      </c>
      <c r="V1931" s="564">
        <f>IF((K1931-MAX(K$470:K1931))/MAX(K$470:K1931)&gt;V1930,V1930,(K1931-MAX(K$470:K1931))/MAX(K$470:K1931))</f>
        <v>-0.84885940676762139</v>
      </c>
      <c r="W1931" s="564">
        <f>IF((N1931-MAX(N$470:N1931))/MAX(N$470:N1931)&gt;W1930,W1930,(N1931-MAX(N$470:N1931))/MAX(N$470:N1931))</f>
        <v>-0.62788758315546067</v>
      </c>
      <c r="X1931" s="564">
        <f>IF((O1931-MAX(O$470:O1931))/MAX(O$470:O1931)&gt;X1930,X1930,(O1931-MAX(O$470:O1931))/MAX(O$470:O1931))</f>
        <v>-0.62788758315546067</v>
      </c>
    </row>
    <row r="1932" spans="1:24">
      <c r="A1932" s="799">
        <v>42334</v>
      </c>
      <c r="B1932">
        <v>325.34399999999999</v>
      </c>
      <c r="C1932">
        <v>392.40020600000003</v>
      </c>
      <c r="D1932">
        <v>1.235719</v>
      </c>
      <c r="E1932">
        <f>LN(D1932/参数实验室!$E$53)/参数实验室!$E$55</f>
        <v>-0.4432699960211593</v>
      </c>
      <c r="F1932">
        <f t="shared" si="248"/>
        <v>1.206108629635094</v>
      </c>
      <c r="G1932">
        <f>LN(F1932/参数实验室!$E$58)/参数实验室!$E$59</f>
        <v>-9.2172813357814645E-2</v>
      </c>
      <c r="H1932" s="856">
        <f>INDEX(神经网络!$G$10:$BO$70,MATCH(ROUND(G1932*2,1)/2,神经网络!$E$10:$E$70,0),MATCH(ROUND(E1932*2,1)/2,神经网络!$G$8:$BO$8,0))</f>
        <v>-0.34771742471376055</v>
      </c>
      <c r="I1932">
        <f t="shared" si="240"/>
        <v>981.99290191590399</v>
      </c>
      <c r="J1932">
        <f t="shared" si="241"/>
        <v>129.8208371573358</v>
      </c>
      <c r="K1932">
        <f t="shared" si="242"/>
        <v>7.5642163724902032</v>
      </c>
      <c r="L1932" s="4">
        <f>MIN(MAX(L1931*(1+MAX(MIN(((B1932-B1931)/B1931)/($K$7*卓尔金历!$N$40),0),-卓尔金历!$M$43))+MIN(MAX(((B1932-B1931)/B1931)/($K$7*卓尔金历!$N$40),0),卓尔金历!$M$43),0),1)</f>
        <v>0.76066804285831835</v>
      </c>
      <c r="M1932" s="4">
        <f>MIN(MAX(M1931*(1+MAX(MIN(((B1932-B1931)/B1931)/($K$7*30),0),-卓尔金历!$M$43))+MIN(MAX(((B1932-B1931)/B1931)/($K$7*7),0),卓尔金历!$M$43),0),1)</f>
        <v>1</v>
      </c>
      <c r="N1932">
        <f t="shared" si="243"/>
        <v>751.47292978904568</v>
      </c>
      <c r="O1932">
        <f t="shared" si="244"/>
        <v>2013.3366358754492</v>
      </c>
      <c r="P1932">
        <f t="shared" si="245"/>
        <v>1.1688978030691776E-2</v>
      </c>
      <c r="Q1932">
        <f t="shared" si="246"/>
        <v>3.8064111104283128E-2</v>
      </c>
      <c r="R1932">
        <f t="shared" si="247"/>
        <v>1</v>
      </c>
      <c r="S1932">
        <f t="shared" si="239"/>
        <v>16.873172586556226</v>
      </c>
      <c r="T1932" s="564">
        <f>IF((I1932-MAX(I$470:I1932))/MAX(I$470:I1932)&gt;T1931,T1931,(I1932-MAX(I$470:I1932))/MAX(I$470:I1932))</f>
        <v>-0.91338805338419748</v>
      </c>
      <c r="U1932" s="564">
        <f>IF((J1932-MAX(J$470:J1932))/MAX(J$470:J1932)&gt;U1931,U1931,(J1932-MAX(J$470:J1932))/MAX(J$470:J1932))</f>
        <v>-0.8283551177402233</v>
      </c>
      <c r="V1932" s="564">
        <f>IF((K1932-MAX(K$470:K1932))/MAX(K$470:K1932)&gt;V1931,V1931,(K1932-MAX(K$470:K1932))/MAX(K$470:K1932))</f>
        <v>-0.84885940676762139</v>
      </c>
      <c r="W1932" s="564">
        <f>IF((N1932-MAX(N$470:N1932))/MAX(N$470:N1932)&gt;W1931,W1931,(N1932-MAX(N$470:N1932))/MAX(N$470:N1932))</f>
        <v>-0.62788758315546067</v>
      </c>
      <c r="X1932" s="564">
        <f>IF((O1932-MAX(O$470:O1932))/MAX(O$470:O1932)&gt;X1931,X1931,(O1932-MAX(O$470:O1932))/MAX(O$470:O1932))</f>
        <v>-0.62788758315546067</v>
      </c>
    </row>
    <row r="1933" spans="1:24">
      <c r="A1933" s="799">
        <v>42335</v>
      </c>
      <c r="B1933">
        <v>346.82499999999999</v>
      </c>
      <c r="C1933">
        <v>394.20315399999998</v>
      </c>
      <c r="D1933">
        <v>1.24472</v>
      </c>
      <c r="E1933">
        <f>LN(D1933/参数实验室!$E$53)/参数实验室!$E$55</f>
        <v>-0.43470779750710026</v>
      </c>
      <c r="F1933">
        <f t="shared" si="248"/>
        <v>1.1366053600518993</v>
      </c>
      <c r="G1933">
        <f>LN(F1933/参数实验室!$E$58)/参数实验室!$E$59</f>
        <v>-0.12332452935193479</v>
      </c>
      <c r="H1933" s="856">
        <f>INDEX(神经网络!$G$10:$BO$70,MATCH(ROUND(G1933*2,1)/2,神经网络!$E$10:$E$70,0),MATCH(ROUND(E1933*2,1)/2,神经网络!$G$8:$BO$8,0))</f>
        <v>-0.34771742471376055</v>
      </c>
      <c r="I1933">
        <f t="shared" si="240"/>
        <v>959.4480962381474</v>
      </c>
      <c r="J1933">
        <f t="shared" si="241"/>
        <v>138.39232273253231</v>
      </c>
      <c r="K1933">
        <f t="shared" si="242"/>
        <v>6.9328130151587306</v>
      </c>
      <c r="L1933" s="4">
        <f>MIN(MAX(L1932*(1+MAX(MIN(((B1933-B1932)/B1932)/($K$7*卓尔金历!$N$40),0),-卓尔金历!$M$43))+MIN(MAX(((B1933-B1932)/B1932)/($K$7*卓尔金历!$N$40),0),卓尔金历!$M$43),0),1)</f>
        <v>1</v>
      </c>
      <c r="M1933" s="4">
        <f>MIN(MAX(M1932*(1+MAX(MIN(((B1933-B1932)/B1932)/($K$7*30),0),-卓尔金历!$M$43))+MIN(MAX(((B1933-B1932)/B1932)/($K$7*7),0),卓尔金历!$M$43),0),1)</f>
        <v>1</v>
      </c>
      <c r="N1933">
        <f t="shared" si="243"/>
        <v>738.34952093018137</v>
      </c>
      <c r="O1933">
        <f t="shared" si="244"/>
        <v>1967.114017431709</v>
      </c>
      <c r="P1933">
        <f t="shared" si="245"/>
        <v>6.6025499163961818E-2</v>
      </c>
      <c r="Q1933">
        <f t="shared" si="246"/>
        <v>4.0233797172454899E-2</v>
      </c>
      <c r="R1933">
        <f t="shared" si="247"/>
        <v>1.9209676006138134E-2</v>
      </c>
      <c r="S1933">
        <f t="shared" si="239"/>
        <v>16.485794636686141</v>
      </c>
      <c r="T1933" s="564">
        <f>IF((I1933-MAX(I$470:I1933))/MAX(I$470:I1933)&gt;T1932,T1932,(I1933-MAX(I$470:I1933))/MAX(I$470:I1933))</f>
        <v>-0.91338805338419748</v>
      </c>
      <c r="U1933" s="564">
        <f>IF((J1933-MAX(J$470:J1933))/MAX(J$470:J1933)&gt;U1932,U1932,(J1933-MAX(J$470:J1933))/MAX(J$470:J1933))</f>
        <v>-0.8283551177402233</v>
      </c>
      <c r="V1933" s="564">
        <f>IF((K1933-MAX(K$470:K1933))/MAX(K$470:K1933)&gt;V1932,V1932,(K1933-MAX(K$470:K1933))/MAX(K$470:K1933))</f>
        <v>-0.84885940676762139</v>
      </c>
      <c r="W1933" s="564">
        <f>IF((N1933-MAX(N$470:N1933))/MAX(N$470:N1933)&gt;W1932,W1932,(N1933-MAX(N$470:N1933))/MAX(N$470:N1933))</f>
        <v>-0.62788758315546067</v>
      </c>
      <c r="X1933" s="564">
        <f>IF((O1933-MAX(O$470:O1933))/MAX(O$470:O1933)&gt;X1932,X1932,(O1933-MAX(O$470:O1933))/MAX(O$470:O1933))</f>
        <v>-0.62788758315546067</v>
      </c>
    </row>
    <row r="1934" spans="1:24">
      <c r="A1934" s="799">
        <v>42336</v>
      </c>
      <c r="B1934">
        <v>359.416</v>
      </c>
      <c r="C1934">
        <v>393.76887599999998</v>
      </c>
      <c r="D1934">
        <v>1.2349270000000001</v>
      </c>
      <c r="E1934">
        <f>LN(D1934/参数实验室!$E$53)/参数实验室!$E$55</f>
        <v>-0.44402636872791806</v>
      </c>
      <c r="F1934">
        <f t="shared" si="248"/>
        <v>1.0955797070803748</v>
      </c>
      <c r="G1934">
        <f>LN(F1934/参数实验室!$E$58)/参数实验室!$E$59</f>
        <v>-0.14261943921181855</v>
      </c>
      <c r="H1934" s="856">
        <f>INDEX(神经网络!$G$10:$BO$70,MATCH(ROUND(G1934*2,1)/2,神经网络!$E$10:$E$70,0),MATCH(ROUND(E1934*2,1)/2,神经网络!$G$8:$BO$8,0))</f>
        <v>-0.42837081028630275</v>
      </c>
      <c r="I1934">
        <f t="shared" si="240"/>
        <v>947.33660082877054</v>
      </c>
      <c r="J1934">
        <f t="shared" si="241"/>
        <v>143.41646382825871</v>
      </c>
      <c r="K1934">
        <f t="shared" si="242"/>
        <v>6.605494066310313</v>
      </c>
      <c r="L1934" s="4">
        <f>MIN(MAX(L1933*(1+MAX(MIN(((B1934-B1933)/B1933)/($K$7*卓尔金历!$N$40),0),-卓尔金历!$M$43))+MIN(MAX(((B1934-B1933)/B1933)/($K$7*卓尔金历!$N$40),0),卓尔金历!$M$43),0),1)</f>
        <v>1</v>
      </c>
      <c r="M1934" s="4">
        <f>MIN(MAX(M1933*(1+MAX(MIN(((B1934-B1933)/B1933)/($K$7*30),0),-卓尔金历!$M$43))+MIN(MAX(((B1934-B1933)/B1933)/($K$7*7),0),卓尔金历!$M$43),0),1)</f>
        <v>1</v>
      </c>
      <c r="N1934">
        <f t="shared" si="243"/>
        <v>729.02904088720277</v>
      </c>
      <c r="O1934">
        <f t="shared" si="244"/>
        <v>1942.2823538062789</v>
      </c>
      <c r="P1934">
        <f t="shared" si="245"/>
        <v>3.6303611331363103E-2</v>
      </c>
      <c r="Q1934">
        <f t="shared" si="246"/>
        <v>4.0350694362562972E-2</v>
      </c>
      <c r="R1934">
        <f t="shared" si="247"/>
        <v>0.15017754378217182</v>
      </c>
      <c r="S1934">
        <f t="shared" si="239"/>
        <v>16.481796973424725</v>
      </c>
      <c r="T1934" s="564">
        <f>IF((I1934-MAX(I$470:I1934))/MAX(I$470:I1934)&gt;T1933,T1933,(I1934-MAX(I$470:I1934))/MAX(I$470:I1934))</f>
        <v>-0.91338805338419748</v>
      </c>
      <c r="U1934" s="564">
        <f>IF((J1934-MAX(J$470:J1934))/MAX(J$470:J1934)&gt;U1933,U1933,(J1934-MAX(J$470:J1934))/MAX(J$470:J1934))</f>
        <v>-0.8283551177402233</v>
      </c>
      <c r="V1934" s="564">
        <f>IF((K1934-MAX(K$470:K1934))/MAX(K$470:K1934)&gt;V1933,V1933,(K1934-MAX(K$470:K1934))/MAX(K$470:K1934))</f>
        <v>-0.84885940676762139</v>
      </c>
      <c r="W1934" s="564">
        <f>IF((N1934-MAX(N$470:N1934))/MAX(N$470:N1934)&gt;W1933,W1933,(N1934-MAX(N$470:N1934))/MAX(N$470:N1934))</f>
        <v>-0.62788758315546067</v>
      </c>
      <c r="X1934" s="564">
        <f>IF((O1934-MAX(O$470:O1934))/MAX(O$470:O1934)&gt;X1933,X1933,(O1934-MAX(O$470:O1934))/MAX(O$470:O1934))</f>
        <v>-0.62788758315546067</v>
      </c>
    </row>
    <row r="1935" spans="1:24">
      <c r="A1935" s="799">
        <v>42337</v>
      </c>
      <c r="B1935">
        <v>355.642</v>
      </c>
      <c r="C1935">
        <v>399.725121</v>
      </c>
      <c r="D1935">
        <v>1.2859719999999999</v>
      </c>
      <c r="E1935">
        <f>LN(D1935/参数实验室!$E$53)/参数实验室!$E$55</f>
        <v>-0.396242830616648</v>
      </c>
      <c r="F1935">
        <f t="shared" si="248"/>
        <v>1.12395364158339</v>
      </c>
      <c r="G1935">
        <f>LN(F1935/参数实验室!$E$58)/参数实验室!$E$59</f>
        <v>-0.12919951418417774</v>
      </c>
      <c r="H1935" s="856">
        <f>INDEX(神经网络!$G$10:$BO$70,MATCH(ROUND(G1935*2,1)/2,神经网络!$E$10:$E$70,0),MATCH(ROUND(E1935*2,1)/2,神经网络!$G$8:$BO$8,0))</f>
        <v>-0.38990896592980601</v>
      </c>
      <c r="I1935">
        <f t="shared" si="240"/>
        <v>951.5977690148037</v>
      </c>
      <c r="J1935">
        <f t="shared" si="241"/>
        <v>141.91053828658039</v>
      </c>
      <c r="K1935">
        <f t="shared" si="242"/>
        <v>6.7056173593895139</v>
      </c>
      <c r="L1935" s="4">
        <f>MIN(MAX(L1934*(1+MAX(MIN(((B1935-B1934)/B1934)/($K$7*卓尔金历!$N$40),0),-卓尔金历!$M$43))+MIN(MAX(((B1935-B1934)/B1934)/($K$7*卓尔金历!$N$40),0),卓尔金历!$M$43),0),1)</f>
        <v>0.8395644646784588</v>
      </c>
      <c r="M1935" s="4">
        <f>MIN(MAX(M1934*(1+MAX(MIN(((B1935-B1934)/B1934)/($K$7*30),0),-卓尔金历!$M$43))+MIN(MAX(((B1935-B1934)/B1934)/($K$7*7),0),卓尔金历!$M$43),0),1)</f>
        <v>0.9197822323392294</v>
      </c>
      <c r="N1935">
        <f t="shared" si="243"/>
        <v>732.30825057149559</v>
      </c>
      <c r="O1935">
        <f t="shared" si="244"/>
        <v>1951.0188385648032</v>
      </c>
      <c r="P1935">
        <f t="shared" si="245"/>
        <v>-1.0500367262447973E-2</v>
      </c>
      <c r="Q1935">
        <f t="shared" si="246"/>
        <v>4.0376690891404207E-2</v>
      </c>
      <c r="R1935">
        <f t="shared" si="247"/>
        <v>1</v>
      </c>
      <c r="S1935">
        <f t="shared" si="239"/>
        <v>16.492930529893222</v>
      </c>
      <c r="T1935" s="564">
        <f>IF((I1935-MAX(I$470:I1935))/MAX(I$470:I1935)&gt;T1934,T1934,(I1935-MAX(I$470:I1935))/MAX(I$470:I1935))</f>
        <v>-0.91338805338419748</v>
      </c>
      <c r="U1935" s="564">
        <f>IF((J1935-MAX(J$470:J1935))/MAX(J$470:J1935)&gt;U1934,U1934,(J1935-MAX(J$470:J1935))/MAX(J$470:J1935))</f>
        <v>-0.8283551177402233</v>
      </c>
      <c r="V1935" s="564">
        <f>IF((K1935-MAX(K$470:K1935))/MAX(K$470:K1935)&gt;V1934,V1934,(K1935-MAX(K$470:K1935))/MAX(K$470:K1935))</f>
        <v>-0.84885940676762139</v>
      </c>
      <c r="W1935" s="564">
        <f>IF((N1935-MAX(N$470:N1935))/MAX(N$470:N1935)&gt;W1934,W1934,(N1935-MAX(N$470:N1935))/MAX(N$470:N1935))</f>
        <v>-0.62788758315546067</v>
      </c>
      <c r="X1935" s="564">
        <f>IF((O1935-MAX(O$470:O1935))/MAX(O$470:O1935)&gt;X1934,X1934,(O1935-MAX(O$470:O1935))/MAX(O$470:O1935))</f>
        <v>-0.62788758315546067</v>
      </c>
    </row>
    <row r="1936" spans="1:24">
      <c r="A1936" s="799">
        <v>42338</v>
      </c>
      <c r="B1936">
        <v>364.834</v>
      </c>
      <c r="C1936">
        <v>396.21461099999999</v>
      </c>
      <c r="D1936">
        <v>1.302856</v>
      </c>
      <c r="E1936">
        <f>LN(D1936/参数实验室!$E$53)/参数实验室!$E$55</f>
        <v>-0.38085421754957172</v>
      </c>
      <c r="F1936">
        <f t="shared" si="248"/>
        <v>1.086013395133129</v>
      </c>
      <c r="G1936">
        <f>LN(F1936/参数实验室!$E$58)/参数实验室!$E$59</f>
        <v>-0.14722245127621808</v>
      </c>
      <c r="H1936" s="856">
        <f>INDEX(神经网络!$G$10:$BO$70,MATCH(ROUND(G1936*2,1)/2,神经网络!$E$10:$E$70,0),MATCH(ROUND(E1936*2,1)/2,神经网络!$G$8:$BO$8,0))</f>
        <v>-0.38990896592980601</v>
      </c>
      <c r="I1936">
        <f t="shared" si="240"/>
        <v>942.00787938623955</v>
      </c>
      <c r="J1936">
        <f t="shared" si="241"/>
        <v>145.57838873149478</v>
      </c>
      <c r="K1936">
        <f t="shared" si="242"/>
        <v>6.4707947903152148</v>
      </c>
      <c r="L1936" s="4">
        <f>MIN(MAX(L1935*(1+MAX(MIN(((B1936-B1935)/B1935)/($K$7*卓尔金历!$N$40),0),-卓尔金历!$M$43))+MIN(MAX(((B1936-B1935)/B1935)/($K$7*卓尔金历!$N$40),0),卓尔金历!$M$43),0),1)</f>
        <v>1</v>
      </c>
      <c r="M1936" s="4">
        <f>MIN(MAX(M1935*(1+MAX(MIN(((B1936-B1935)/B1935)/($K$7*30),0),-卓尔金历!$M$43))+MIN(MAX(((B1936-B1935)/B1935)/($K$7*7),0),卓尔金历!$M$43),0),1)</f>
        <v>1</v>
      </c>
      <c r="N1936">
        <f t="shared" si="243"/>
        <v>726.11229679403505</v>
      </c>
      <c r="O1936">
        <f t="shared" si="244"/>
        <v>1932.934331628732</v>
      </c>
      <c r="P1936">
        <f t="shared" si="245"/>
        <v>2.5846216138701299E-2</v>
      </c>
      <c r="Q1936">
        <f t="shared" si="246"/>
        <v>4.0841425488930778E-2</v>
      </c>
      <c r="R1936">
        <f t="shared" si="247"/>
        <v>0.51638303095246829</v>
      </c>
      <c r="S1936">
        <f t="shared" si="239"/>
        <v>16.326720195460638</v>
      </c>
      <c r="T1936" s="564">
        <f>IF((I1936-MAX(I$470:I1936))/MAX(I$470:I1936)&gt;T1935,T1935,(I1936-MAX(I$470:I1936))/MAX(I$470:I1936))</f>
        <v>-0.91338805338419748</v>
      </c>
      <c r="U1936" s="564">
        <f>IF((J1936-MAX(J$470:J1936))/MAX(J$470:J1936)&gt;U1935,U1935,(J1936-MAX(J$470:J1936))/MAX(J$470:J1936))</f>
        <v>-0.8283551177402233</v>
      </c>
      <c r="V1936" s="564">
        <f>IF((K1936-MAX(K$470:K1936))/MAX(K$470:K1936)&gt;V1935,V1935,(K1936-MAX(K$470:K1936))/MAX(K$470:K1936))</f>
        <v>-0.84885940676762139</v>
      </c>
      <c r="W1936" s="564">
        <f>IF((N1936-MAX(N$470:N1936))/MAX(N$470:N1936)&gt;W1935,W1935,(N1936-MAX(N$470:N1936))/MAX(N$470:N1936))</f>
        <v>-0.62788758315546067</v>
      </c>
      <c r="X1936" s="564">
        <f>IF((O1936-MAX(O$470:O1936))/MAX(O$470:O1936)&gt;X1935,X1935,(O1936-MAX(O$470:O1936))/MAX(O$470:O1936))</f>
        <v>-0.62788758315546067</v>
      </c>
    </row>
    <row r="1937" spans="1:24">
      <c r="A1937" s="799">
        <v>42339</v>
      </c>
      <c r="B1937">
        <v>377.03399999999999</v>
      </c>
      <c r="C1937">
        <v>393.01042799999999</v>
      </c>
      <c r="D1937">
        <v>1.2517579999999999</v>
      </c>
      <c r="E1937">
        <f>LN(D1937/参数实验室!$E$53)/参数实验室!$E$55</f>
        <v>-0.42805592608815007</v>
      </c>
      <c r="F1937">
        <f t="shared" si="248"/>
        <v>1.0423739715781601</v>
      </c>
      <c r="G1937">
        <f>LN(F1937/参数实验室!$E$58)/参数实验室!$E$59</f>
        <v>-0.16874817415340368</v>
      </c>
      <c r="H1937" s="856">
        <f>INDEX(神经网络!$G$10:$BO$70,MATCH(ROUND(G1937*2,1)/2,神经网络!$E$10:$E$70,0),MATCH(ROUND(E1937*2,1)/2,神经网络!$G$8:$BO$8,0))</f>
        <v>-0.42837081028630275</v>
      </c>
      <c r="I1937">
        <f t="shared" si="240"/>
        <v>929.72550635790219</v>
      </c>
      <c r="J1937">
        <f t="shared" si="241"/>
        <v>150.44651051434462</v>
      </c>
      <c r="K1937">
        <f t="shared" si="242"/>
        <v>6.1797744805071808</v>
      </c>
      <c r="L1937" s="4">
        <f>MIN(MAX(L1936*(1+MAX(MIN(((B1937-B1936)/B1936)/($K$7*卓尔金历!$N$40),0),-卓尔金历!$M$43))+MIN(MAX(((B1937-B1936)/B1936)/($K$7*卓尔金历!$N$40),0),卓尔金历!$M$43),0),1)</f>
        <v>1</v>
      </c>
      <c r="M1937" s="4">
        <f>MIN(MAX(M1936*(1+MAX(MIN(((B1937-B1936)/B1936)/($K$7*30),0),-卓尔金历!$M$43))+MIN(MAX(((B1937-B1936)/B1936)/($K$7*7),0),卓尔金历!$M$43),0),1)</f>
        <v>1</v>
      </c>
      <c r="N1937">
        <f t="shared" si="243"/>
        <v>716.64487907402838</v>
      </c>
      <c r="O1937">
        <f t="shared" si="244"/>
        <v>1907.7317605888672</v>
      </c>
      <c r="P1937">
        <f t="shared" si="245"/>
        <v>3.343986580198114E-2</v>
      </c>
      <c r="Q1937">
        <f t="shared" si="246"/>
        <v>3.8575967648310748E-2</v>
      </c>
      <c r="R1937">
        <f t="shared" si="247"/>
        <v>0.18955758494603364</v>
      </c>
      <c r="S1937">
        <f t="shared" si="239"/>
        <v>16.216794642220005</v>
      </c>
      <c r="T1937" s="564">
        <f>IF((I1937-MAX(I$470:I1937))/MAX(I$470:I1937)&gt;T1936,T1936,(I1937-MAX(I$470:I1937))/MAX(I$470:I1937))</f>
        <v>-0.91338805338419748</v>
      </c>
      <c r="U1937" s="564">
        <f>IF((J1937-MAX(J$470:J1937))/MAX(J$470:J1937)&gt;U1936,U1936,(J1937-MAX(J$470:J1937))/MAX(J$470:J1937))</f>
        <v>-0.8283551177402233</v>
      </c>
      <c r="V1937" s="564">
        <f>IF((K1937-MAX(K$470:K1937))/MAX(K$470:K1937)&gt;V1936,V1936,(K1937-MAX(K$470:K1937))/MAX(K$470:K1937))</f>
        <v>-0.84885940676762139</v>
      </c>
      <c r="W1937" s="564">
        <f>IF((N1937-MAX(N$470:N1937))/MAX(N$470:N1937)&gt;W1936,W1936,(N1937-MAX(N$470:N1937))/MAX(N$470:N1937))</f>
        <v>-0.62788758315546067</v>
      </c>
      <c r="X1937" s="564">
        <f>IF((O1937-MAX(O$470:O1937))/MAX(O$470:O1937)&gt;X1936,X1936,(O1937-MAX(O$470:O1937))/MAX(O$470:O1937))</f>
        <v>-0.62788758315546067</v>
      </c>
    </row>
    <row r="1938" spans="1:24">
      <c r="A1938" s="799">
        <v>42340</v>
      </c>
      <c r="B1938">
        <v>361.48399999999998</v>
      </c>
      <c r="C1938">
        <v>391.33414800000003</v>
      </c>
      <c r="D1938">
        <v>1.2401</v>
      </c>
      <c r="E1938">
        <f>LN(D1938/参数实验室!$E$53)/参数实验室!$E$55</f>
        <v>-0.43909480845182458</v>
      </c>
      <c r="F1938">
        <f t="shared" si="248"/>
        <v>1.0825766783592083</v>
      </c>
      <c r="G1938">
        <f>LN(F1938/参数实验室!$E$58)/参数实验室!$E$59</f>
        <v>-0.14888599868965252</v>
      </c>
      <c r="H1938" s="856">
        <f>INDEX(神经网络!$G$10:$BO$70,MATCH(ROUND(G1938*2,1)/2,神经网络!$E$10:$E$70,0),MATCH(ROUND(E1938*2,1)/2,神经网络!$G$8:$BO$8,0))</f>
        <v>-0.42837081028630275</v>
      </c>
      <c r="I1938">
        <f t="shared" si="240"/>
        <v>946.1512293038752</v>
      </c>
      <c r="J1938">
        <f t="shared" si="241"/>
        <v>144.2416503730893</v>
      </c>
      <c r="K1938">
        <f t="shared" si="242"/>
        <v>6.5594869918404344</v>
      </c>
      <c r="L1938" s="4">
        <f>MIN(MAX(L1937*(1+MAX(MIN(((B1938-B1937)/B1937)/($K$7*卓尔金历!$N$40),0),-卓尔金历!$M$43))+MIN(MAX(((B1938-B1937)/B1937)/($K$7*卓尔金历!$N$40),0),卓尔金历!$M$43),0),1)</f>
        <v>0.36984707537967398</v>
      </c>
      <c r="M1938" s="4">
        <f>MIN(MAX(M1937*(1+MAX(MIN(((B1938-B1937)/B1937)/($K$7*30),0),-卓尔金历!$M$43))+MIN(MAX(((B1938-B1937)/B1937)/($K$7*7),0),卓尔金历!$M$43),0),1)</f>
        <v>0.68492353768983705</v>
      </c>
      <c r="N1938">
        <f t="shared" si="243"/>
        <v>729.30604643344986</v>
      </c>
      <c r="O1938">
        <f t="shared" si="244"/>
        <v>1941.4361960812535</v>
      </c>
      <c r="P1938">
        <f t="shared" si="245"/>
        <v>-4.1242964825453442E-2</v>
      </c>
      <c r="Q1938">
        <f t="shared" si="246"/>
        <v>2.7278083756844422E-2</v>
      </c>
      <c r="R1938">
        <f t="shared" si="247"/>
        <v>2.2628779833307567E-2</v>
      </c>
      <c r="S1938">
        <f t="shared" si="239"/>
        <v>16.27110415812712</v>
      </c>
      <c r="T1938" s="564">
        <f>IF((I1938-MAX(I$470:I1938))/MAX(I$470:I1938)&gt;T1937,T1937,(I1938-MAX(I$470:I1938))/MAX(I$470:I1938))</f>
        <v>-0.91338805338419748</v>
      </c>
      <c r="U1938" s="564">
        <f>IF((J1938-MAX(J$470:J1938))/MAX(J$470:J1938)&gt;U1937,U1937,(J1938-MAX(J$470:J1938))/MAX(J$470:J1938))</f>
        <v>-0.8283551177402233</v>
      </c>
      <c r="V1938" s="564">
        <f>IF((K1938-MAX(K$470:K1938))/MAX(K$470:K1938)&gt;V1937,V1937,(K1938-MAX(K$470:K1938))/MAX(K$470:K1938))</f>
        <v>-0.84885940676762139</v>
      </c>
      <c r="W1938" s="564">
        <f>IF((N1938-MAX(N$470:N1938))/MAX(N$470:N1938)&gt;W1937,W1937,(N1938-MAX(N$470:N1938))/MAX(N$470:N1938))</f>
        <v>-0.62788758315546067</v>
      </c>
      <c r="X1938" s="564">
        <f>IF((O1938-MAX(O$470:O1938))/MAX(O$470:O1938)&gt;X1937,X1937,(O1938-MAX(O$470:O1938))/MAX(O$470:O1938))</f>
        <v>-0.62788758315546067</v>
      </c>
    </row>
    <row r="1939" spans="1:24">
      <c r="A1939" s="799">
        <v>42341</v>
      </c>
      <c r="B1939">
        <v>359.77699999999999</v>
      </c>
      <c r="C1939">
        <v>394.922011</v>
      </c>
      <c r="D1939">
        <v>1.2466349999999999</v>
      </c>
      <c r="E1939">
        <f>LN(D1939/参数实验室!$E$53)/参数实验室!$E$55</f>
        <v>-0.43289414356605177</v>
      </c>
      <c r="F1939">
        <f t="shared" si="248"/>
        <v>1.0976855413214297</v>
      </c>
      <c r="G1939">
        <f>LN(F1939/参数实验室!$E$58)/参数实验室!$E$59</f>
        <v>-0.14161157574804994</v>
      </c>
      <c r="H1939" s="856">
        <f>INDEX(神经网络!$G$10:$BO$70,MATCH(ROUND(G1939*2,1)/2,神经网络!$E$10:$E$70,0),MATCH(ROUND(E1939*2,1)/2,神经网络!$G$8:$BO$8,0))</f>
        <v>-0.42837081028630275</v>
      </c>
      <c r="I1939">
        <f t="shared" si="240"/>
        <v>948.06515410236341</v>
      </c>
      <c r="J1939">
        <f t="shared" si="241"/>
        <v>143.56051234986597</v>
      </c>
      <c r="K1939">
        <f t="shared" si="242"/>
        <v>6.6039410042774795</v>
      </c>
      <c r="L1939" s="4">
        <f>MIN(MAX(L1938*(1+MAX(MIN(((B1939-B1938)/B1938)/($K$7*卓尔金历!$N$40),0),-卓尔金历!$M$43))+MIN(MAX(((B1939-B1938)/B1938)/($K$7*卓尔金历!$N$40),0),卓尔金历!$M$43),0),1)</f>
        <v>0.34316235176212523</v>
      </c>
      <c r="M1939" s="4">
        <f>MIN(MAX(M1938*(1+MAX(MIN(((B1939-B1938)/B1938)/($K$7*30),0),-卓尔金历!$M$43))+MIN(MAX(((B1939-B1938)/B1938)/($K$7*7),0),卓尔金历!$M$43),0),1)</f>
        <v>0.66021468297786667</v>
      </c>
      <c r="N1939">
        <f t="shared" si="243"/>
        <v>729.8516740133997</v>
      </c>
      <c r="O1939">
        <f t="shared" si="244"/>
        <v>1944.1260551422697</v>
      </c>
      <c r="P1939">
        <f t="shared" si="245"/>
        <v>-4.7222007059786707E-3</v>
      </c>
      <c r="Q1939">
        <f t="shared" si="246"/>
        <v>2.4999560236356834E-2</v>
      </c>
      <c r="R1939">
        <f t="shared" si="247"/>
        <v>1</v>
      </c>
      <c r="S1939">
        <f t="shared" si="239"/>
        <v>16.271848962938993</v>
      </c>
      <c r="T1939" s="564">
        <f>IF((I1939-MAX(I$470:I1939))/MAX(I$470:I1939)&gt;T1938,T1938,(I1939-MAX(I$470:I1939))/MAX(I$470:I1939))</f>
        <v>-0.91338805338419748</v>
      </c>
      <c r="U1939" s="564">
        <f>IF((J1939-MAX(J$470:J1939))/MAX(J$470:J1939)&gt;U1938,U1938,(J1939-MAX(J$470:J1939))/MAX(J$470:J1939))</f>
        <v>-0.8283551177402233</v>
      </c>
      <c r="V1939" s="564">
        <f>IF((K1939-MAX(K$470:K1939))/MAX(K$470:K1939)&gt;V1938,V1938,(K1939-MAX(K$470:K1939))/MAX(K$470:K1939))</f>
        <v>-0.84885940676762139</v>
      </c>
      <c r="W1939" s="564">
        <f>IF((N1939-MAX(N$470:N1939))/MAX(N$470:N1939)&gt;W1938,W1938,(N1939-MAX(N$470:N1939))/MAX(N$470:N1939))</f>
        <v>-0.62788758315546067</v>
      </c>
      <c r="X1939" s="564">
        <f>IF((O1939-MAX(O$470:O1939))/MAX(O$470:O1939)&gt;X1938,X1938,(O1939-MAX(O$470:O1939))/MAX(O$470:O1939))</f>
        <v>-0.62788758315546067</v>
      </c>
    </row>
    <row r="1940" spans="1:24">
      <c r="A1940" s="799">
        <v>42342</v>
      </c>
      <c r="B1940">
        <v>360.71199999999999</v>
      </c>
      <c r="C1940">
        <v>395.75734</v>
      </c>
      <c r="D1940">
        <v>1.2529619999999999</v>
      </c>
      <c r="E1940">
        <f>LN(D1940/参数实验室!$E$53)/参数实验室!$E$55</f>
        <v>-0.42692172904006015</v>
      </c>
      <c r="F1940">
        <f t="shared" si="248"/>
        <v>1.0971560136618688</v>
      </c>
      <c r="G1940">
        <f>LN(F1940/参数实验室!$E$58)/参数实验室!$E$59</f>
        <v>-0.14186482841479067</v>
      </c>
      <c r="H1940" s="856">
        <f>INDEX(神经网络!$G$10:$BO$70,MATCH(ROUND(G1940*2,1)/2,神经网络!$E$10:$E$70,0),MATCH(ROUND(E1940*2,1)/2,神经网络!$G$8:$BO$8,0))</f>
        <v>-0.42837081028630275</v>
      </c>
      <c r="I1940">
        <f t="shared" si="240"/>
        <v>947.00970749299233</v>
      </c>
      <c r="J1940">
        <f t="shared" si="241"/>
        <v>143.93360201109257</v>
      </c>
      <c r="K1940">
        <f t="shared" si="242"/>
        <v>6.5794900861301926</v>
      </c>
      <c r="L1940" s="4">
        <f>MIN(MAX(L1939*(1+MAX(MIN(((B1940-B1939)/B1939)/($K$7*卓尔金历!$N$40),0),-卓尔金历!$M$43))+MIN(MAX(((B1940-B1939)/B1939)/($K$7*卓尔金历!$N$40),0),卓尔金历!$M$43),0),1)</f>
        <v>0.38287001163927581</v>
      </c>
      <c r="M1940" s="4">
        <f>MIN(MAX(M1939*(1+MAX(MIN(((B1940-B1939)/B1939)/($K$7*30),0),-卓尔金历!$M$43))+MIN(MAX(((B1940-B1939)/B1939)/($K$7*7),0),卓尔金历!$M$43),0),1)</f>
        <v>0.74530252557176069</v>
      </c>
      <c r="N1940">
        <f t="shared" si="243"/>
        <v>729.57284861685821</v>
      </c>
      <c r="O1940">
        <f t="shared" si="244"/>
        <v>1942.6971359021286</v>
      </c>
      <c r="P1940">
        <f t="shared" si="245"/>
        <v>2.5988320543003092E-3</v>
      </c>
      <c r="Q1940">
        <f t="shared" si="246"/>
        <v>2.4996194790074474E-2</v>
      </c>
      <c r="R1940">
        <f t="shared" si="247"/>
        <v>1</v>
      </c>
      <c r="S1940">
        <f t="shared" si="239"/>
        <v>16.253734102645037</v>
      </c>
      <c r="T1940" s="564">
        <f>IF((I1940-MAX(I$470:I1940))/MAX(I$470:I1940)&gt;T1939,T1939,(I1940-MAX(I$470:I1940))/MAX(I$470:I1940))</f>
        <v>-0.91338805338419748</v>
      </c>
      <c r="U1940" s="564">
        <f>IF((J1940-MAX(J$470:J1940))/MAX(J$470:J1940)&gt;U1939,U1939,(J1940-MAX(J$470:J1940))/MAX(J$470:J1940))</f>
        <v>-0.8283551177402233</v>
      </c>
      <c r="V1940" s="564">
        <f>IF((K1940-MAX(K$470:K1940))/MAX(K$470:K1940)&gt;V1939,V1939,(K1940-MAX(K$470:K1940))/MAX(K$470:K1940))</f>
        <v>-0.84885940676762139</v>
      </c>
      <c r="W1940" s="564">
        <f>IF((N1940-MAX(N$470:N1940))/MAX(N$470:N1940)&gt;W1939,W1939,(N1940-MAX(N$470:N1940))/MAX(N$470:N1940))</f>
        <v>-0.62788758315546067</v>
      </c>
      <c r="X1940" s="564">
        <f>IF((O1940-MAX(O$470:O1940))/MAX(O$470:O1940)&gt;X1939,X1939,(O1940-MAX(O$470:O1940))/MAX(O$470:O1940))</f>
        <v>-0.62788758315546067</v>
      </c>
    </row>
    <row r="1941" spans="1:24">
      <c r="A1941" s="799">
        <v>42343</v>
      </c>
      <c r="B1941">
        <v>361.60599999999999</v>
      </c>
      <c r="C1941">
        <v>388.81998599999997</v>
      </c>
      <c r="D1941">
        <v>1.3403259999999999</v>
      </c>
      <c r="E1941">
        <f>LN(D1941/参数实验室!$E$53)/参数实验室!$E$55</f>
        <v>-0.34740338775215679</v>
      </c>
      <c r="F1941">
        <f t="shared" si="248"/>
        <v>1.0752586682743095</v>
      </c>
      <c r="G1941">
        <f>LN(F1941/参数实验室!$E$58)/参数实验室!$E$59</f>
        <v>-0.1524459569706344</v>
      </c>
      <c r="H1941" s="856">
        <f>INDEX(神经网络!$G$10:$BO$70,MATCH(ROUND(G1941*2,1)/2,神经网络!$E$10:$E$70,0),MATCH(ROUND(E1941*2,1)/2,神经网络!$G$8:$BO$8,0))</f>
        <v>-0.35365214793145566</v>
      </c>
      <c r="I1941">
        <f t="shared" si="240"/>
        <v>946.00427890653407</v>
      </c>
      <c r="J1941">
        <f t="shared" si="241"/>
        <v>144.29033159091779</v>
      </c>
      <c r="K1941">
        <f t="shared" si="242"/>
        <v>6.5562554917995586</v>
      </c>
      <c r="L1941" s="4">
        <f>MIN(MAX(L1940*(1+MAX(MIN(((B1941-B1940)/B1940)/($K$7*卓尔金历!$N$40),0),-卓尔金历!$M$43))+MIN(MAX(((B1941-B1940)/B1940)/($K$7*卓尔金历!$N$40),0),卓尔金历!$M$43),0),1)</f>
        <v>0.42073806729691499</v>
      </c>
      <c r="M1941" s="4">
        <f>MIN(MAX(M1940*(1+MAX(MIN(((B1941-B1940)/B1940)/($K$7*30),0),-卓尔金历!$M$43))+MIN(MAX(((B1941-B1940)/B1940)/($K$7*7),0),卓尔金历!$M$43),0),1)</f>
        <v>0.82644835912384462</v>
      </c>
      <c r="N1941">
        <f t="shared" si="243"/>
        <v>729.27628572170431</v>
      </c>
      <c r="O1941">
        <f t="shared" si="244"/>
        <v>1941.1599213363413</v>
      </c>
      <c r="P1941">
        <f t="shared" si="245"/>
        <v>2.4784315464969433E-3</v>
      </c>
      <c r="Q1941">
        <f t="shared" si="246"/>
        <v>2.4981588322259718E-2</v>
      </c>
      <c r="R1941">
        <f t="shared" si="247"/>
        <v>1</v>
      </c>
      <c r="S1941">
        <f t="shared" si="239"/>
        <v>16.23647771258463</v>
      </c>
      <c r="T1941" s="564">
        <f>IF((I1941-MAX(I$470:I1941))/MAX(I$470:I1941)&gt;T1940,T1940,(I1941-MAX(I$470:I1941))/MAX(I$470:I1941))</f>
        <v>-0.91338805338419748</v>
      </c>
      <c r="U1941" s="564">
        <f>IF((J1941-MAX(J$470:J1941))/MAX(J$470:J1941)&gt;U1940,U1940,(J1941-MAX(J$470:J1941))/MAX(J$470:J1941))</f>
        <v>-0.8283551177402233</v>
      </c>
      <c r="V1941" s="564">
        <f>IF((K1941-MAX(K$470:K1941))/MAX(K$470:K1941)&gt;V1940,V1940,(K1941-MAX(K$470:K1941))/MAX(K$470:K1941))</f>
        <v>-0.84885940676762139</v>
      </c>
      <c r="W1941" s="564">
        <f>IF((N1941-MAX(N$470:N1941))/MAX(N$470:N1941)&gt;W1940,W1940,(N1941-MAX(N$470:N1941))/MAX(N$470:N1941))</f>
        <v>-0.62788758315546067</v>
      </c>
      <c r="X1941" s="564">
        <f>IF((O1941-MAX(O$470:O1941))/MAX(O$470:O1941)&gt;X1940,X1940,(O1941-MAX(O$470:O1941))/MAX(O$470:O1941))</f>
        <v>-0.62788758315546067</v>
      </c>
    </row>
    <row r="1942" spans="1:24">
      <c r="A1942" s="799">
        <v>42344</v>
      </c>
      <c r="B1942">
        <v>378.43900000000002</v>
      </c>
      <c r="C1942">
        <v>385.68518299999999</v>
      </c>
      <c r="D1942">
        <v>1.351402</v>
      </c>
      <c r="E1942">
        <f>LN(D1942/参数实验室!$E$53)/参数实验室!$E$55</f>
        <v>-0.337694367613395</v>
      </c>
      <c r="F1942">
        <f t="shared" si="248"/>
        <v>1.0191475587875456</v>
      </c>
      <c r="G1942">
        <f>LN(F1942/参数实验室!$E$58)/参数实验室!$E$59</f>
        <v>-0.18057535357115287</v>
      </c>
      <c r="H1942" s="856">
        <f>INDEX(神经网络!$G$10:$BO$70,MATCH(ROUND(G1942*2,1)/2,神经网络!$E$10:$E$70,0),MATCH(ROUND(E1942*2,1)/2,神经网络!$G$8:$BO$8,0))</f>
        <v>-0.43513968992096197</v>
      </c>
      <c r="I1942">
        <f t="shared" si="240"/>
        <v>930.4304536883584</v>
      </c>
      <c r="J1942">
        <f t="shared" si="241"/>
        <v>151.00714257212366</v>
      </c>
      <c r="K1942">
        <f t="shared" si="242"/>
        <v>6.1614996339922694</v>
      </c>
      <c r="L1942" s="4">
        <f>MIN(MAX(L1941*(1+MAX(MIN(((B1942-B1941)/B1941)/($K$7*卓尔金历!$N$40),0),-卓尔金历!$M$43))+MIN(MAX(((B1942-B1941)/B1941)/($K$7*卓尔金历!$N$40),0),卓尔金历!$M$43),0),1)</f>
        <v>1</v>
      </c>
      <c r="M1942" s="4">
        <f>MIN(MAX(M1941*(1+MAX(MIN(((B1942-B1941)/B1941)/($K$7*30),0),-卓尔金历!$M$43))+MIN(MAX(((B1942-B1941)/B1941)/($K$7*7),0),卓尔金历!$M$43),0),1)</f>
        <v>1</v>
      </c>
      <c r="N1942">
        <f t="shared" si="243"/>
        <v>724.22495161306324</v>
      </c>
      <c r="O1942">
        <f t="shared" si="244"/>
        <v>1914.7492626144362</v>
      </c>
      <c r="P1942">
        <f t="shared" si="245"/>
        <v>4.6550665641610006E-2</v>
      </c>
      <c r="Q1942">
        <f t="shared" si="246"/>
        <v>2.6496353432482481E-2</v>
      </c>
      <c r="R1942">
        <f t="shared" si="247"/>
        <v>1.0903609284180774E-2</v>
      </c>
      <c r="S1942">
        <f t="shared" si="239"/>
        <v>15.969180754533999</v>
      </c>
      <c r="T1942" s="564">
        <f>IF((I1942-MAX(I$470:I1942))/MAX(I$470:I1942)&gt;T1941,T1941,(I1942-MAX(I$470:I1942))/MAX(I$470:I1942))</f>
        <v>-0.91338805338419748</v>
      </c>
      <c r="U1942" s="564">
        <f>IF((J1942-MAX(J$470:J1942))/MAX(J$470:J1942)&gt;U1941,U1941,(J1942-MAX(J$470:J1942))/MAX(J$470:J1942))</f>
        <v>-0.8283551177402233</v>
      </c>
      <c r="V1942" s="564">
        <f>IF((K1942-MAX(K$470:K1942))/MAX(K$470:K1942)&gt;V1941,V1941,(K1942-MAX(K$470:K1942))/MAX(K$470:K1942))</f>
        <v>-0.84885940676762139</v>
      </c>
      <c r="W1942" s="564">
        <f>IF((N1942-MAX(N$470:N1942))/MAX(N$470:N1942)&gt;W1941,W1941,(N1942-MAX(N$470:N1942))/MAX(N$470:N1942))</f>
        <v>-0.62788758315546067</v>
      </c>
      <c r="X1942" s="564">
        <f>IF((O1942-MAX(O$470:O1942))/MAX(O$470:O1942)&gt;X1941,X1941,(O1942-MAX(O$470:O1942))/MAX(O$470:O1942))</f>
        <v>-0.62788758315546067</v>
      </c>
    </row>
    <row r="1943" spans="1:24">
      <c r="A1943" s="799">
        <v>42345</v>
      </c>
      <c r="B1943">
        <v>395.49299999999999</v>
      </c>
      <c r="C1943">
        <v>387.22536100000002</v>
      </c>
      <c r="D1943">
        <v>1.3560430000000001</v>
      </c>
      <c r="E1943">
        <f>LN(D1943/参数实验室!$E$53)/参数实验室!$E$55</f>
        <v>-0.33364978671294659</v>
      </c>
      <c r="F1943">
        <f t="shared" si="248"/>
        <v>0.97909535946274651</v>
      </c>
      <c r="G1943">
        <f>LN(F1943/参数实验室!$E$58)/参数实验室!$E$59</f>
        <v>-0.2016182151528296</v>
      </c>
      <c r="H1943" s="856">
        <f>INDEX(神经网络!$G$10:$BO$70,MATCH(ROUND(G1943*2,1)/2,神经网络!$E$10:$E$70,0),MATCH(ROUND(E1943*2,1)/2,神经网络!$G$8:$BO$8,0))</f>
        <v>-0.43513968992096197</v>
      </c>
      <c r="I1943">
        <f t="shared" si="240"/>
        <v>912.1854906831752</v>
      </c>
      <c r="J1943">
        <f t="shared" si="241"/>
        <v>157.81213838234669</v>
      </c>
      <c r="K1943">
        <f t="shared" si="242"/>
        <v>5.7801985324673533</v>
      </c>
      <c r="L1943" s="4">
        <f>MIN(MAX(L1942*(1+MAX(MIN(((B1943-B1942)/B1942)/($K$7*卓尔金历!$N$40),0),-卓尔金历!$M$43))+MIN(MAX(((B1943-B1942)/B1942)/($K$7*卓尔金历!$N$40),0),卓尔金历!$M$43),0),1)</f>
        <v>1</v>
      </c>
      <c r="M1943" s="4">
        <f>MIN(MAX(M1942*(1+MAX(MIN(((B1943-B1942)/B1942)/($K$7*30),0),-卓尔金历!$M$43))+MIN(MAX(((B1943-B1942)/B1942)/($K$7*7),0),卓尔金历!$M$43),0),1)</f>
        <v>1</v>
      </c>
      <c r="N1943">
        <f t="shared" si="243"/>
        <v>710.02350603781269</v>
      </c>
      <c r="O1943">
        <f t="shared" si="244"/>
        <v>1877.2026310288977</v>
      </c>
      <c r="P1943">
        <f t="shared" si="245"/>
        <v>4.5064065807170962E-2</v>
      </c>
      <c r="Q1943">
        <f t="shared" si="246"/>
        <v>2.5946091670943579E-2</v>
      </c>
      <c r="R1943">
        <f t="shared" si="247"/>
        <v>1.1868665971103818E-2</v>
      </c>
      <c r="S1943">
        <f t="shared" ref="S1943:S2006" si="249">S1942*(1+(B1943-B1942)/B1942*H1942*R1942)</f>
        <v>15.965766373480802</v>
      </c>
      <c r="T1943" s="564">
        <f>IF((I1943-MAX(I$470:I1943))/MAX(I$470:I1943)&gt;T1942,T1942,(I1943-MAX(I$470:I1943))/MAX(I$470:I1943))</f>
        <v>-0.91338805338419748</v>
      </c>
      <c r="U1943" s="564">
        <f>IF((J1943-MAX(J$470:J1943))/MAX(J$470:J1943)&gt;U1942,U1942,(J1943-MAX(J$470:J1943))/MAX(J$470:J1943))</f>
        <v>-0.8283551177402233</v>
      </c>
      <c r="V1943" s="564">
        <f>IF((K1943-MAX(K$470:K1943))/MAX(K$470:K1943)&gt;V1942,V1942,(K1943-MAX(K$470:K1943))/MAX(K$470:K1943))</f>
        <v>-0.84885940676762139</v>
      </c>
      <c r="W1943" s="564">
        <f>IF((N1943-MAX(N$470:N1943))/MAX(N$470:N1943)&gt;W1942,W1942,(N1943-MAX(N$470:N1943))/MAX(N$470:N1943))</f>
        <v>-0.62788758315546067</v>
      </c>
      <c r="X1943" s="564">
        <f>IF((O1943-MAX(O$470:O1943))/MAX(O$470:O1943)&gt;X1942,X1942,(O1943-MAX(O$470:O1943))/MAX(O$470:O1943))</f>
        <v>-0.62788758315546067</v>
      </c>
    </row>
    <row r="1944" spans="1:24">
      <c r="A1944" s="799">
        <v>42346</v>
      </c>
      <c r="B1944">
        <v>394.61500000000001</v>
      </c>
      <c r="C1944">
        <v>378.80765400000001</v>
      </c>
      <c r="D1944">
        <v>1.415734</v>
      </c>
      <c r="E1944">
        <f>LN(D1944/参数实验室!$E$53)/参数实验室!$E$55</f>
        <v>-0.28282929126428663</v>
      </c>
      <c r="F1944">
        <f t="shared" si="248"/>
        <v>0.95994235900814717</v>
      </c>
      <c r="G1944">
        <f>LN(F1944/参数实验室!$E$58)/参数实验室!$E$59</f>
        <v>-0.21198712812390311</v>
      </c>
      <c r="H1944" s="856">
        <f>INDEX(神经网络!$G$10:$BO$70,MATCH(ROUND(G1944*2,1)/2,神经网络!$E$10:$E$70,0),MATCH(ROUND(E1944*2,1)/2,神经网络!$G$8:$BO$8,0))</f>
        <v>-0.3941382036686194</v>
      </c>
      <c r="I1944">
        <f t="shared" ref="I1944:I2007" si="250">I1943*(1+(B1944-B1943)/B1943*H1943)</f>
        <v>913.06667665095506</v>
      </c>
      <c r="J1944">
        <f t="shared" ref="J1944:J2007" si="251">J1943*B1944/B1943</f>
        <v>157.46179322453176</v>
      </c>
      <c r="K1944">
        <f t="shared" ref="K1944:K2007" si="252">I1944/J1944</f>
        <v>5.7986553941308969</v>
      </c>
      <c r="L1944" s="4">
        <f>MIN(MAX(L1943*(1+MAX(MIN(((B1944-B1943)/B1943)/($K$7*卓尔金历!$N$40),0),-卓尔金历!$M$43))+MIN(MAX(((B1944-B1943)/B1943)/($K$7*卓尔金历!$N$40),0),卓尔金历!$M$43),0),1)</f>
        <v>0.96608031634838176</v>
      </c>
      <c r="M1944" s="4">
        <f>MIN(MAX(M1943*(1+MAX(MIN(((B1944-B1943)/B1943)/($K$7*30),0),-卓尔金历!$M$43))+MIN(MAX(((B1944-B1943)/B1943)/($K$7*7),0),卓尔金历!$M$43),0),1)</f>
        <v>0.98304015817419088</v>
      </c>
      <c r="N1944">
        <f t="shared" ref="N1944:N2007" si="253">N1943*(1+(B1944-B1943)/B1943*H1943*L1943)</f>
        <v>710.70940025198809</v>
      </c>
      <c r="O1944">
        <f t="shared" ref="O1944:O2007" si="254">O1943*(1+(B1944-B1943)/B1943*H1943*M1943)</f>
        <v>1879.0160391942734</v>
      </c>
      <c r="P1944">
        <f t="shared" ref="P1944:P2007" si="255">(B1944-B1943)/B1943</f>
        <v>-2.2200140078332256E-3</v>
      </c>
      <c r="Q1944">
        <f t="shared" si="246"/>
        <v>2.5989478864389234E-2</v>
      </c>
      <c r="R1944">
        <f t="shared" si="247"/>
        <v>1</v>
      </c>
      <c r="S1944">
        <f t="shared" si="249"/>
        <v>15.965949426160126</v>
      </c>
      <c r="T1944" s="564">
        <f>IF((I1944-MAX(I$470:I1944))/MAX(I$470:I1944)&gt;T1943,T1943,(I1944-MAX(I$470:I1944))/MAX(I$470:I1944))</f>
        <v>-0.91338805338419748</v>
      </c>
      <c r="U1944" s="564">
        <f>IF((J1944-MAX(J$470:J1944))/MAX(J$470:J1944)&gt;U1943,U1943,(J1944-MAX(J$470:J1944))/MAX(J$470:J1944))</f>
        <v>-0.8283551177402233</v>
      </c>
      <c r="V1944" s="564">
        <f>IF((K1944-MAX(K$470:K1944))/MAX(K$470:K1944)&gt;V1943,V1943,(K1944-MAX(K$470:K1944))/MAX(K$470:K1944))</f>
        <v>-0.84885940676762139</v>
      </c>
      <c r="W1944" s="564">
        <f>IF((N1944-MAX(N$470:N1944))/MAX(N$470:N1944)&gt;W1943,W1943,(N1944-MAX(N$470:N1944))/MAX(N$470:N1944))</f>
        <v>-0.62788758315546067</v>
      </c>
      <c r="X1944" s="564">
        <f>IF((O1944-MAX(O$470:O1944))/MAX(O$470:O1944)&gt;X1943,X1943,(O1944-MAX(O$470:O1944))/MAX(O$470:O1944))</f>
        <v>-0.62788758315546067</v>
      </c>
    </row>
    <row r="1945" spans="1:24">
      <c r="A1945" s="799">
        <v>42347</v>
      </c>
      <c r="B1945">
        <v>395.69799999999998</v>
      </c>
      <c r="C1945">
        <v>374.61770000000001</v>
      </c>
      <c r="D1945">
        <v>1.4230959999999999</v>
      </c>
      <c r="E1945">
        <f>LN(D1945/参数实验室!$E$53)/参数实验室!$E$55</f>
        <v>-0.27671031770632881</v>
      </c>
      <c r="F1945">
        <f t="shared" si="248"/>
        <v>0.94672629126252861</v>
      </c>
      <c r="G1945">
        <f>LN(F1945/参数实验室!$E$58)/参数实验室!$E$59</f>
        <v>-0.21926329294866054</v>
      </c>
      <c r="H1945" s="856">
        <f>INDEX(神经网络!$G$10:$BO$70,MATCH(ROUND(G1945*2,1)/2,神经网络!$E$10:$E$70,0),MATCH(ROUND(E1945*2,1)/2,神经网络!$G$8:$BO$8,0))</f>
        <v>-0.3941382036686194</v>
      </c>
      <c r="I1945">
        <f t="shared" si="250"/>
        <v>912.07902022652786</v>
      </c>
      <c r="J1945">
        <f t="shared" si="251"/>
        <v>157.8939387893536</v>
      </c>
      <c r="K1945">
        <f t="shared" si="252"/>
        <v>5.7765296579454706</v>
      </c>
      <c r="L1945" s="4">
        <f>MIN(MAX(L1944*(1+MAX(MIN(((B1945-B1944)/B1944)/($K$7*卓尔金历!$N$40),0),-卓尔金历!$M$43))+MIN(MAX(((B1945-B1944)/B1944)/($K$7*卓尔金历!$N$40),0),卓尔金历!$M$43),0),1)</f>
        <v>1</v>
      </c>
      <c r="M1945" s="4">
        <f>MIN(MAX(M1944*(1+MAX(MIN(((B1945-B1944)/B1944)/($K$7*30),0),-卓尔金历!$M$43))+MIN(MAX(((B1945-B1944)/B1944)/($K$7*7),0),卓尔金历!$M$43),0),1)</f>
        <v>1</v>
      </c>
      <c r="N1945">
        <f t="shared" si="253"/>
        <v>709.96670834194276</v>
      </c>
      <c r="O1945">
        <f t="shared" si="254"/>
        <v>1877.0179947388881</v>
      </c>
      <c r="P1945">
        <f t="shared" si="255"/>
        <v>2.7444471193440946E-3</v>
      </c>
      <c r="Q1945">
        <f t="shared" si="246"/>
        <v>2.5019199192733672E-2</v>
      </c>
      <c r="R1945">
        <f t="shared" si="247"/>
        <v>1</v>
      </c>
      <c r="S1945">
        <f t="shared" si="249"/>
        <v>15.948679195052069</v>
      </c>
      <c r="T1945" s="564">
        <f>IF((I1945-MAX(I$470:I1945))/MAX(I$470:I1945)&gt;T1944,T1944,(I1945-MAX(I$470:I1945))/MAX(I$470:I1945))</f>
        <v>-0.91338805338419748</v>
      </c>
      <c r="U1945" s="564">
        <f>IF((J1945-MAX(J$470:J1945))/MAX(J$470:J1945)&gt;U1944,U1944,(J1945-MAX(J$470:J1945))/MAX(J$470:J1945))</f>
        <v>-0.8283551177402233</v>
      </c>
      <c r="V1945" s="564">
        <f>IF((K1945-MAX(K$470:K1945))/MAX(K$470:K1945)&gt;V1944,V1944,(K1945-MAX(K$470:K1945))/MAX(K$470:K1945))</f>
        <v>-0.84885940676762139</v>
      </c>
      <c r="W1945" s="564">
        <f>IF((N1945-MAX(N$470:N1945))/MAX(N$470:N1945)&gt;W1944,W1944,(N1945-MAX(N$470:N1945))/MAX(N$470:N1945))</f>
        <v>-0.62788758315546067</v>
      </c>
      <c r="X1945" s="564">
        <f>IF((O1945-MAX(O$470:O1945))/MAX(O$470:O1945)&gt;X1944,X1944,(O1945-MAX(O$470:O1945))/MAX(O$470:O1945))</f>
        <v>-0.62788758315546067</v>
      </c>
    </row>
    <row r="1946" spans="1:24">
      <c r="A1946" s="799">
        <v>42348</v>
      </c>
      <c r="B1946">
        <v>414.863</v>
      </c>
      <c r="C1946">
        <v>358.94562400000001</v>
      </c>
      <c r="D1946">
        <v>1.4147369999999999</v>
      </c>
      <c r="E1946">
        <f>LN(D1946/参数实验室!$E$53)/参数实验室!$E$55</f>
        <v>-0.28366039960836459</v>
      </c>
      <c r="F1946">
        <f t="shared" si="248"/>
        <v>0.86521483959765033</v>
      </c>
      <c r="G1946">
        <f>LN(F1946/参数实验室!$E$58)/参数实验室!$E$59</f>
        <v>-0.26651704592656006</v>
      </c>
      <c r="H1946" s="856">
        <f>INDEX(神经网络!$G$10:$BO$70,MATCH(ROUND(G1946*2,1)/2,神经网络!$E$10:$E$70,0),MATCH(ROUND(E1946*2,1)/2,神经网络!$G$8:$BO$8,0))</f>
        <v>-0.47592550752609075</v>
      </c>
      <c r="I1946">
        <f t="shared" si="250"/>
        <v>894.66792994586592</v>
      </c>
      <c r="J1946">
        <f t="shared" si="251"/>
        <v>165.54127927855993</v>
      </c>
      <c r="K1946">
        <f t="shared" si="252"/>
        <v>5.4045005200206813</v>
      </c>
      <c r="L1946" s="4">
        <f>MIN(MAX(L1945*(1+MAX(MIN(((B1946-B1945)/B1945)/($K$7*卓尔金历!$N$40),0),-卓尔金历!$M$43))+MIN(MAX(((B1946-B1945)/B1945)/($K$7*卓尔金历!$N$40),0),卓尔金历!$M$43),0),1)</f>
        <v>1</v>
      </c>
      <c r="M1946" s="4">
        <f>MIN(MAX(M1945*(1+MAX(MIN(((B1946-B1945)/B1945)/($K$7*30),0),-卓尔金历!$M$43))+MIN(MAX(((B1946-B1945)/B1945)/($K$7*7),0),卓尔金历!$M$43),0),1)</f>
        <v>1</v>
      </c>
      <c r="N1946">
        <f t="shared" si="253"/>
        <v>696.413831693014</v>
      </c>
      <c r="O1946">
        <f t="shared" si="254"/>
        <v>1841.1867465245512</v>
      </c>
      <c r="P1946">
        <f t="shared" si="255"/>
        <v>4.8433401230231189E-2</v>
      </c>
      <c r="Q1946">
        <f t="shared" si="246"/>
        <v>2.6291641205467103E-2</v>
      </c>
      <c r="R1946">
        <f t="shared" si="247"/>
        <v>9.7340041646540379E-3</v>
      </c>
      <c r="S1946">
        <f t="shared" si="249"/>
        <v>15.644227621049851</v>
      </c>
      <c r="T1946" s="564">
        <f>IF((I1946-MAX(I$470:I1946))/MAX(I$470:I1946)&gt;T1945,T1945,(I1946-MAX(I$470:I1946))/MAX(I$470:I1946))</f>
        <v>-0.91338805338419748</v>
      </c>
      <c r="U1946" s="564">
        <f>IF((J1946-MAX(J$470:J1946))/MAX(J$470:J1946)&gt;U1945,U1945,(J1946-MAX(J$470:J1946))/MAX(J$470:J1946))</f>
        <v>-0.8283551177402233</v>
      </c>
      <c r="V1946" s="564">
        <f>IF((K1946-MAX(K$470:K1946))/MAX(K$470:K1946)&gt;V1945,V1945,(K1946-MAX(K$470:K1946))/MAX(K$470:K1946))</f>
        <v>-0.84885940676762139</v>
      </c>
      <c r="W1946" s="564">
        <f>IF((N1946-MAX(N$470:N1946))/MAX(N$470:N1946)&gt;W1945,W1945,(N1946-MAX(N$470:N1946))/MAX(N$470:N1946))</f>
        <v>-0.62788758315546067</v>
      </c>
      <c r="X1946" s="564">
        <f>IF((O1946-MAX(O$470:O1946))/MAX(O$470:O1946)&gt;X1945,X1945,(O1946-MAX(O$470:O1946))/MAX(O$470:O1946))</f>
        <v>-0.62788758315546067</v>
      </c>
    </row>
    <row r="1947" spans="1:24">
      <c r="A1947" s="799">
        <v>42349</v>
      </c>
      <c r="B1947">
        <v>416.94799999999998</v>
      </c>
      <c r="C1947">
        <v>361.04975400000001</v>
      </c>
      <c r="D1947">
        <v>1.537669</v>
      </c>
      <c r="E1947">
        <f>LN(D1947/参数实验室!$E$53)/参数实验室!$E$55</f>
        <v>-0.185358657695463</v>
      </c>
      <c r="F1947">
        <f t="shared" si="248"/>
        <v>0.8659347304699867</v>
      </c>
      <c r="G1947">
        <f>LN(F1947/参数实验室!$E$58)/参数实验室!$E$59</f>
        <v>-0.26608052944845123</v>
      </c>
      <c r="H1947" s="856">
        <f>INDEX(神经网络!$G$10:$BO$70,MATCH(ROUND(G1947*2,1)/2,神经网络!$E$10:$E$70,0),MATCH(ROUND(E1947*2,1)/2,神经网络!$G$8:$BO$8,0))</f>
        <v>-0.39598595774924455</v>
      </c>
      <c r="I1947">
        <f t="shared" si="250"/>
        <v>892.52798693627744</v>
      </c>
      <c r="J1947">
        <f t="shared" si="251"/>
        <v>166.37324927177644</v>
      </c>
      <c r="K1947">
        <f t="shared" si="252"/>
        <v>5.3646123450910199</v>
      </c>
      <c r="L1947" s="4">
        <f>MIN(MAX(L1946*(1+MAX(MIN(((B1947-B1946)/B1946)/($K$7*卓尔金历!$N$40),0),-卓尔金历!$M$43))+MIN(MAX(((B1947-B1946)/B1946)/($K$7*卓尔金历!$N$40),0),卓尔金历!$M$43),0),1)</f>
        <v>1</v>
      </c>
      <c r="M1947" s="4">
        <f>MIN(MAX(M1946*(1+MAX(MIN(((B1947-B1946)/B1946)/($K$7*30),0),-卓尔金历!$M$43))+MIN(MAX(((B1947-B1946)/B1946)/($K$7*7),0),卓尔金历!$M$43),0),1)</f>
        <v>1</v>
      </c>
      <c r="N1947">
        <f t="shared" si="253"/>
        <v>694.74808973331017</v>
      </c>
      <c r="O1947">
        <f t="shared" si="254"/>
        <v>1836.7828391353476</v>
      </c>
      <c r="P1947">
        <f t="shared" si="255"/>
        <v>5.0257554903666499E-3</v>
      </c>
      <c r="Q1947">
        <f t="shared" si="246"/>
        <v>2.5318252387864289E-2</v>
      </c>
      <c r="R1947">
        <f t="shared" si="247"/>
        <v>1</v>
      </c>
      <c r="S1947">
        <f t="shared" si="249"/>
        <v>15.64386338243022</v>
      </c>
      <c r="T1947" s="564">
        <f>IF((I1947-MAX(I$470:I1947))/MAX(I$470:I1947)&gt;T1946,T1946,(I1947-MAX(I$470:I1947))/MAX(I$470:I1947))</f>
        <v>-0.91338805338419748</v>
      </c>
      <c r="U1947" s="564">
        <f>IF((J1947-MAX(J$470:J1947))/MAX(J$470:J1947)&gt;U1946,U1946,(J1947-MAX(J$470:J1947))/MAX(J$470:J1947))</f>
        <v>-0.8283551177402233</v>
      </c>
      <c r="V1947" s="564">
        <f>IF((K1947-MAX(K$470:K1947))/MAX(K$470:K1947)&gt;V1946,V1946,(K1947-MAX(K$470:K1947))/MAX(K$470:K1947))</f>
        <v>-0.84885940676762139</v>
      </c>
      <c r="W1947" s="564">
        <f>IF((N1947-MAX(N$470:N1947))/MAX(N$470:N1947)&gt;W1946,W1946,(N1947-MAX(N$470:N1947))/MAX(N$470:N1947))</f>
        <v>-0.62788758315546067</v>
      </c>
      <c r="X1947" s="564">
        <f>IF((O1947-MAX(O$470:O1947))/MAX(O$470:O1947)&gt;X1946,X1946,(O1947-MAX(O$470:O1947))/MAX(O$470:O1947))</f>
        <v>-0.62788758315546067</v>
      </c>
    </row>
    <row r="1948" spans="1:24">
      <c r="A1948" s="799">
        <v>42350</v>
      </c>
      <c r="B1948">
        <v>449.43799999999999</v>
      </c>
      <c r="C1948">
        <v>361.13910099999998</v>
      </c>
      <c r="D1948">
        <v>1.475292</v>
      </c>
      <c r="E1948">
        <f>LN(D1948/参数实验室!$E$53)/参数实验室!$E$55</f>
        <v>-0.23421424163606352</v>
      </c>
      <c r="F1948">
        <f t="shared" si="248"/>
        <v>0.80353486131568752</v>
      </c>
      <c r="G1948">
        <f>LN(F1948/参数实验室!$E$58)/参数实验室!$E$59</f>
        <v>-0.30533382046670482</v>
      </c>
      <c r="H1948" s="856">
        <f>INDEX(神经网络!$G$10:$BO$70,MATCH(ROUND(G1948*2,1)/2,神经网络!$E$10:$E$70,0),MATCH(ROUND(E1948*2,1)/2,神经网络!$G$8:$BO$8,0))</f>
        <v>-0.51388151638675161</v>
      </c>
      <c r="I1948">
        <f t="shared" si="250"/>
        <v>864.98763758680423</v>
      </c>
      <c r="J1948">
        <f t="shared" si="251"/>
        <v>179.33761621643146</v>
      </c>
      <c r="K1948">
        <f t="shared" si="252"/>
        <v>4.8232359492439345</v>
      </c>
      <c r="L1948" s="4">
        <f>MIN(MAX(L1947*(1+MAX(MIN(((B1948-B1947)/B1947)/($K$7*卓尔金历!$N$40),0),-卓尔金历!$M$43))+MIN(MAX(((B1948-B1947)/B1947)/($K$7*卓尔金历!$N$40),0),卓尔金历!$M$43),0),1)</f>
        <v>1</v>
      </c>
      <c r="M1948" s="4">
        <f>MIN(MAX(M1947*(1+MAX(MIN(((B1948-B1947)/B1947)/($K$7*30),0),-卓尔金历!$M$43))+MIN(MAX(((B1948-B1947)/B1947)/($K$7*7),0),卓尔金历!$M$43),0),1)</f>
        <v>1</v>
      </c>
      <c r="N1948">
        <f t="shared" si="253"/>
        <v>673.31054897135243</v>
      </c>
      <c r="O1948">
        <f t="shared" si="254"/>
        <v>1780.1060269688778</v>
      </c>
      <c r="P1948">
        <f t="shared" si="255"/>
        <v>7.792338612968526E-2</v>
      </c>
      <c r="Q1948">
        <f t="shared" si="246"/>
        <v>2.8213839797125446E-2</v>
      </c>
      <c r="R1948">
        <f t="shared" si="247"/>
        <v>0</v>
      </c>
      <c r="S1948">
        <f t="shared" si="249"/>
        <v>15.161147468718127</v>
      </c>
      <c r="T1948" s="564">
        <f>IF((I1948-MAX(I$470:I1948))/MAX(I$470:I1948)&gt;T1947,T1947,(I1948-MAX(I$470:I1948))/MAX(I$470:I1948))</f>
        <v>-0.91338805338419748</v>
      </c>
      <c r="U1948" s="564">
        <f>IF((J1948-MAX(J$470:J1948))/MAX(J$470:J1948)&gt;U1947,U1947,(J1948-MAX(J$470:J1948))/MAX(J$470:J1948))</f>
        <v>-0.8283551177402233</v>
      </c>
      <c r="V1948" s="564">
        <f>IF((K1948-MAX(K$470:K1948))/MAX(K$470:K1948)&gt;V1947,V1947,(K1948-MAX(K$470:K1948))/MAX(K$470:K1948))</f>
        <v>-0.84885940676762139</v>
      </c>
      <c r="W1948" s="564">
        <f>IF((N1948-MAX(N$470:N1948))/MAX(N$470:N1948)&gt;W1947,W1947,(N1948-MAX(N$470:N1948))/MAX(N$470:N1948))</f>
        <v>-0.62788758315546067</v>
      </c>
      <c r="X1948" s="564">
        <f>IF((O1948-MAX(O$470:O1948))/MAX(O$470:O1948)&gt;X1947,X1947,(O1948-MAX(O$470:O1948))/MAX(O$470:O1948))</f>
        <v>-0.62788758315546067</v>
      </c>
    </row>
    <row r="1949" spans="1:24">
      <c r="A1949" s="799">
        <v>42351</v>
      </c>
      <c r="B1949">
        <v>425.81400000000002</v>
      </c>
      <c r="C1949">
        <v>365.50114000000002</v>
      </c>
      <c r="D1949">
        <v>1.4691749999999999</v>
      </c>
      <c r="E1949">
        <f>LN(D1949/参数实验室!$E$53)/参数实验室!$E$55</f>
        <v>-0.23911601908861363</v>
      </c>
      <c r="F1949">
        <f t="shared" si="248"/>
        <v>0.85835867303564473</v>
      </c>
      <c r="G1949">
        <f>LN(F1949/参数实验室!$E$58)/参数实验室!$E$59</f>
        <v>-0.27069267950894682</v>
      </c>
      <c r="H1949" s="856">
        <f>INDEX(神经网络!$G$10:$BO$70,MATCH(ROUND(G1949*2,1)/2,神经网络!$E$10:$E$70,0),MATCH(ROUND(E1949*2,1)/2,神经网络!$G$8:$BO$8,0))</f>
        <v>-0.4381120976531464</v>
      </c>
      <c r="I1949">
        <f t="shared" si="250"/>
        <v>888.35214031439443</v>
      </c>
      <c r="J1949">
        <f t="shared" si="251"/>
        <v>169.91101711823111</v>
      </c>
      <c r="K1949">
        <f t="shared" si="252"/>
        <v>5.2283374873581163</v>
      </c>
      <c r="L1949" s="4">
        <f>MIN(MAX(L1948*(1+MAX(MIN(((B1949-B1948)/B1948)/($K$7*卓尔金历!$N$40),0),-卓尔金历!$M$43))+MIN(MAX(((B1949-B1948)/B1948)/($K$7*卓尔金历!$N$40),0),卓尔金历!$M$43),0),1)</f>
        <v>0.19688132791816948</v>
      </c>
      <c r="M1949" s="4">
        <f>MIN(MAX(M1948*(1+MAX(MIN(((B1949-B1948)/B1948)/($K$7*30),0),-卓尔金历!$M$43))+MIN(MAX(((B1949-B1948)/B1948)/($K$7*7),0),卓尔金历!$M$43),0),1)</f>
        <v>0.59844066395908468</v>
      </c>
      <c r="N1949">
        <f t="shared" si="253"/>
        <v>691.49759058254278</v>
      </c>
      <c r="O1949">
        <f t="shared" si="254"/>
        <v>1828.1891328020988</v>
      </c>
      <c r="P1949">
        <f t="shared" si="255"/>
        <v>-5.2563423653540574E-2</v>
      </c>
      <c r="Q1949">
        <f t="shared" si="246"/>
        <v>3.1818127455844371E-2</v>
      </c>
      <c r="R1949">
        <f t="shared" si="247"/>
        <v>1.4050934134967889E-2</v>
      </c>
      <c r="S1949">
        <f t="shared" si="249"/>
        <v>15.161147468718127</v>
      </c>
      <c r="T1949" s="564">
        <f>IF((I1949-MAX(I$470:I1949))/MAX(I$470:I1949)&gt;T1948,T1948,(I1949-MAX(I$470:I1949))/MAX(I$470:I1949))</f>
        <v>-0.91338805338419748</v>
      </c>
      <c r="U1949" s="564">
        <f>IF((J1949-MAX(J$470:J1949))/MAX(J$470:J1949)&gt;U1948,U1948,(J1949-MAX(J$470:J1949))/MAX(J$470:J1949))</f>
        <v>-0.8283551177402233</v>
      </c>
      <c r="V1949" s="564">
        <f>IF((K1949-MAX(K$470:K1949))/MAX(K$470:K1949)&gt;V1948,V1948,(K1949-MAX(K$470:K1949))/MAX(K$470:K1949))</f>
        <v>-0.84885940676762139</v>
      </c>
      <c r="W1949" s="564">
        <f>IF((N1949-MAX(N$470:N1949))/MAX(N$470:N1949)&gt;W1948,W1948,(N1949-MAX(N$470:N1949))/MAX(N$470:N1949))</f>
        <v>-0.62788758315546067</v>
      </c>
      <c r="X1949" s="564">
        <f>IF((O1949-MAX(O$470:O1949))/MAX(O$470:O1949)&gt;X1948,X1948,(O1949-MAX(O$470:O1949))/MAX(O$470:O1949))</f>
        <v>-0.62788758315546067</v>
      </c>
    </row>
    <row r="1950" spans="1:24">
      <c r="A1950" s="799">
        <v>42352</v>
      </c>
      <c r="B1950">
        <v>435.79700000000003</v>
      </c>
      <c r="C1950">
        <v>354.01266399999997</v>
      </c>
      <c r="D1950">
        <v>1.4934799999999999</v>
      </c>
      <c r="E1950">
        <f>LN(D1950/参数实验室!$E$53)/参数实验室!$E$55</f>
        <v>-0.2197586886585029</v>
      </c>
      <c r="F1950">
        <f t="shared" si="248"/>
        <v>0.81233387104546373</v>
      </c>
      <c r="G1950">
        <f>LN(F1950/参数实验室!$E$58)/参数实验室!$E$59</f>
        <v>-0.29961771075245686</v>
      </c>
      <c r="H1950" s="856">
        <f>INDEX(神经网络!$G$10:$BO$70,MATCH(ROUND(G1950*2,1)/2,神经网络!$E$10:$E$70,0),MATCH(ROUND(E1950*2,1)/2,神经网络!$G$8:$BO$8,0))</f>
        <v>-0.4779542486348563</v>
      </c>
      <c r="I1950">
        <f t="shared" si="250"/>
        <v>879.22758867085054</v>
      </c>
      <c r="J1950">
        <f t="shared" si="251"/>
        <v>173.89449742627946</v>
      </c>
      <c r="K1950">
        <f t="shared" si="252"/>
        <v>5.0560978161116843</v>
      </c>
      <c r="L1950" s="4">
        <f>MIN(MAX(L1949*(1+MAX(MIN(((B1950-B1949)/B1949)/($K$7*卓尔金历!$N$40),0),-卓尔金历!$M$43))+MIN(MAX(((B1950-B1949)/B1949)/($K$7*卓尔金历!$N$40),0),卓尔金历!$M$43),0),1)</f>
        <v>0.55509092185251019</v>
      </c>
      <c r="M1950" s="4">
        <f>MIN(MAX(M1949*(1+MAX(MIN(((B1950-B1949)/B1949)/($K$7*30),0),-卓尔金历!$M$43))+MIN(MAX(((B1950-B1949)/B1949)/($K$7*7),0),卓尔金历!$M$43),0),1)</f>
        <v>1</v>
      </c>
      <c r="N1950">
        <f t="shared" si="253"/>
        <v>690.09922224581055</v>
      </c>
      <c r="O1950">
        <f t="shared" si="254"/>
        <v>1816.9516613952248</v>
      </c>
      <c r="P1950">
        <f t="shared" si="255"/>
        <v>2.3444508635225719E-2</v>
      </c>
      <c r="Q1950">
        <f t="shared" si="246"/>
        <v>3.1469456505683821E-2</v>
      </c>
      <c r="R1950">
        <f t="shared" si="247"/>
        <v>0.33556593085770459</v>
      </c>
      <c r="S1950">
        <f t="shared" si="249"/>
        <v>15.158959386430501</v>
      </c>
      <c r="T1950" s="564">
        <f>IF((I1950-MAX(I$470:I1950))/MAX(I$470:I1950)&gt;T1949,T1949,(I1950-MAX(I$470:I1950))/MAX(I$470:I1950))</f>
        <v>-0.91338805338419748</v>
      </c>
      <c r="U1950" s="564">
        <f>IF((J1950-MAX(J$470:J1950))/MAX(J$470:J1950)&gt;U1949,U1949,(J1950-MAX(J$470:J1950))/MAX(J$470:J1950))</f>
        <v>-0.8283551177402233</v>
      </c>
      <c r="V1950" s="564">
        <f>IF((K1950-MAX(K$470:K1950))/MAX(K$470:K1950)&gt;V1949,V1949,(K1950-MAX(K$470:K1950))/MAX(K$470:K1950))</f>
        <v>-0.84885940676762139</v>
      </c>
      <c r="W1950" s="564">
        <f>IF((N1950-MAX(N$470:N1950))/MAX(N$470:N1950)&gt;W1949,W1949,(N1950-MAX(N$470:N1950))/MAX(N$470:N1950))</f>
        <v>-0.62788758315546067</v>
      </c>
      <c r="X1950" s="564">
        <f>IF((O1950-MAX(O$470:O1950))/MAX(O$470:O1950)&gt;X1949,X1949,(O1950-MAX(O$470:O1950))/MAX(O$470:O1950))</f>
        <v>-0.62788758315546067</v>
      </c>
    </row>
    <row r="1951" spans="1:24">
      <c r="A1951" s="799">
        <v>42353</v>
      </c>
      <c r="B1951">
        <v>443.90899999999999</v>
      </c>
      <c r="C1951">
        <v>349.363765</v>
      </c>
      <c r="D1951">
        <v>1.56073</v>
      </c>
      <c r="E1951">
        <f>LN(D1951/参数实验室!$E$53)/参数实验室!$E$55</f>
        <v>-0.16779681885364636</v>
      </c>
      <c r="F1951">
        <f t="shared" si="248"/>
        <v>0.78701662953443163</v>
      </c>
      <c r="G1951">
        <f>LN(F1951/参数实验室!$E$58)/参数实验室!$E$59</f>
        <v>-0.31623566487419663</v>
      </c>
      <c r="H1951" s="856">
        <f>INDEX(神经网络!$G$10:$BO$70,MATCH(ROUND(G1951*2,1)/2,神经网络!$E$10:$E$70,0),MATCH(ROUND(E1951*2,1)/2,神经网络!$G$8:$BO$8,0))</f>
        <v>-0.43939765390169994</v>
      </c>
      <c r="I1951">
        <f t="shared" si="250"/>
        <v>871.40534502284891</v>
      </c>
      <c r="J1951">
        <f t="shared" si="251"/>
        <v>177.13139938549895</v>
      </c>
      <c r="K1951">
        <f t="shared" si="252"/>
        <v>4.9195419222448002</v>
      </c>
      <c r="L1951" s="4">
        <f>MIN(MAX(L1950*(1+MAX(MIN(((B1951-B1950)/B1950)/($K$7*卓尔金历!$N$40),0),-卓尔金历!$M$43))+MIN(MAX(((B1951-B1950)/B1950)/($K$7*卓尔金历!$N$40),0),卓尔金历!$M$43),0),1)</f>
        <v>0.83949759628106713</v>
      </c>
      <c r="M1951" s="4">
        <f>MIN(MAX(M1950*(1+MAX(MIN(((B1951-B1950)/B1950)/($K$7*30),0),-卓尔金历!$M$43))+MIN(MAX(((B1951-B1950)/B1950)/($K$7*7),0),卓尔金历!$M$43),0),1)</f>
        <v>1</v>
      </c>
      <c r="N1951">
        <f t="shared" si="253"/>
        <v>686.69117430794654</v>
      </c>
      <c r="O1951">
        <f t="shared" si="254"/>
        <v>1800.7867471281916</v>
      </c>
      <c r="P1951">
        <f t="shared" si="255"/>
        <v>1.8614171276993569E-2</v>
      </c>
      <c r="Q1951">
        <f t="shared" si="246"/>
        <v>3.1365775336456708E-2</v>
      </c>
      <c r="R1951">
        <f t="shared" si="247"/>
        <v>0.56968418873888171</v>
      </c>
      <c r="S1951">
        <f t="shared" si="249"/>
        <v>15.113703269981244</v>
      </c>
      <c r="T1951" s="564">
        <f>IF((I1951-MAX(I$470:I1951))/MAX(I$470:I1951)&gt;T1950,T1950,(I1951-MAX(I$470:I1951))/MAX(I$470:I1951))</f>
        <v>-0.91338805338419748</v>
      </c>
      <c r="U1951" s="564">
        <f>IF((J1951-MAX(J$470:J1951))/MAX(J$470:J1951)&gt;U1950,U1950,(J1951-MAX(J$470:J1951))/MAX(J$470:J1951))</f>
        <v>-0.8283551177402233</v>
      </c>
      <c r="V1951" s="564">
        <f>IF((K1951-MAX(K$470:K1951))/MAX(K$470:K1951)&gt;V1950,V1950,(K1951-MAX(K$470:K1951))/MAX(K$470:K1951))</f>
        <v>-0.84885940676762139</v>
      </c>
      <c r="W1951" s="564">
        <f>IF((N1951-MAX(N$470:N1951))/MAX(N$470:N1951)&gt;W1950,W1950,(N1951-MAX(N$470:N1951))/MAX(N$470:N1951))</f>
        <v>-0.62788758315546067</v>
      </c>
      <c r="X1951" s="564">
        <f>IF((O1951-MAX(O$470:O1951))/MAX(O$470:O1951)&gt;X1950,X1950,(O1951-MAX(O$470:O1951))/MAX(O$470:O1951))</f>
        <v>-0.62788758315546067</v>
      </c>
    </row>
    <row r="1952" spans="1:24">
      <c r="A1952" s="799">
        <v>42354</v>
      </c>
      <c r="B1952">
        <v>461.43900000000002</v>
      </c>
      <c r="C1952">
        <v>351.83257700000001</v>
      </c>
      <c r="D1952">
        <v>1.5243040000000001</v>
      </c>
      <c r="E1952">
        <f>LN(D1952/参数实验室!$E$53)/参数实验室!$E$55</f>
        <v>-0.19565757426926186</v>
      </c>
      <c r="F1952">
        <f t="shared" si="248"/>
        <v>0.76246822873662612</v>
      </c>
      <c r="G1952">
        <f>LN(F1952/参数实验室!$E$58)/参数实验室!$E$59</f>
        <v>-0.33286752221350407</v>
      </c>
      <c r="H1952" s="856">
        <f>INDEX(神经网络!$G$10:$BO$70,MATCH(ROUND(G1952*2,1)/2,神经网络!$E$10:$E$70,0),MATCH(ROUND(E1952*2,1)/2,神经网络!$G$8:$BO$8,0))</f>
        <v>-0.55379843649671057</v>
      </c>
      <c r="I1952">
        <f t="shared" si="250"/>
        <v>856.28485314853742</v>
      </c>
      <c r="J1952">
        <f t="shared" si="251"/>
        <v>184.12633175052827</v>
      </c>
      <c r="K1952">
        <f t="shared" si="252"/>
        <v>4.6505290417055232</v>
      </c>
      <c r="L1952" s="4">
        <f>MIN(MAX(L1951*(1+MAX(MIN(((B1952-B1951)/B1951)/($K$7*卓尔金历!$N$40),0),-卓尔金历!$M$43))+MIN(MAX(((B1952-B1951)/B1951)/($K$7*卓尔金历!$N$40),0),卓尔金历!$M$43),0),1)</f>
        <v>1</v>
      </c>
      <c r="M1952" s="4">
        <f>MIN(MAX(M1951*(1+MAX(MIN(((B1952-B1951)/B1951)/($K$7*30),0),-卓尔金历!$M$43))+MIN(MAX(((B1952-B1951)/B1951)/($K$7*7),0),卓尔金历!$M$43),0),1)</f>
        <v>1</v>
      </c>
      <c r="N1952">
        <f t="shared" si="253"/>
        <v>676.68825829712512</v>
      </c>
      <c r="O1952">
        <f t="shared" si="254"/>
        <v>1769.5397717305302</v>
      </c>
      <c r="P1952">
        <f t="shared" si="255"/>
        <v>3.9490075668661889E-2</v>
      </c>
      <c r="Q1952">
        <f t="shared" si="246"/>
        <v>3.1352539543561438E-2</v>
      </c>
      <c r="R1952">
        <f t="shared" si="247"/>
        <v>2.4127993404409728E-2</v>
      </c>
      <c r="S1952">
        <f t="shared" si="249"/>
        <v>14.964303215084485</v>
      </c>
      <c r="T1952" s="564">
        <f>IF((I1952-MAX(I$470:I1952))/MAX(I$470:I1952)&gt;T1951,T1951,(I1952-MAX(I$470:I1952))/MAX(I$470:I1952))</f>
        <v>-0.91338805338419748</v>
      </c>
      <c r="U1952" s="564">
        <f>IF((J1952-MAX(J$470:J1952))/MAX(J$470:J1952)&gt;U1951,U1951,(J1952-MAX(J$470:J1952))/MAX(J$470:J1952))</f>
        <v>-0.8283551177402233</v>
      </c>
      <c r="V1952" s="564">
        <f>IF((K1952-MAX(K$470:K1952))/MAX(K$470:K1952)&gt;V1951,V1951,(K1952-MAX(K$470:K1952))/MAX(K$470:K1952))</f>
        <v>-0.84885940676762139</v>
      </c>
      <c r="W1952" s="564">
        <f>IF((N1952-MAX(N$470:N1952))/MAX(N$470:N1952)&gt;W1951,W1951,(N1952-MAX(N$470:N1952))/MAX(N$470:N1952))</f>
        <v>-0.62788758315546067</v>
      </c>
      <c r="X1952" s="564">
        <f>IF((O1952-MAX(O$470:O1952))/MAX(O$470:O1952)&gt;X1951,X1951,(O1952-MAX(O$470:O1952))/MAX(O$470:O1952))</f>
        <v>-0.62788758315546067</v>
      </c>
    </row>
    <row r="1953" spans="1:24">
      <c r="A1953" s="799">
        <v>42355</v>
      </c>
      <c r="B1953">
        <v>457.01100000000002</v>
      </c>
      <c r="C1953">
        <v>350.82448699999998</v>
      </c>
      <c r="D1953">
        <v>1.529139</v>
      </c>
      <c r="E1953">
        <f>LN(D1953/参数实验室!$E$53)/参数实验室!$E$55</f>
        <v>-0.19192139075315087</v>
      </c>
      <c r="F1953">
        <f t="shared" si="248"/>
        <v>0.76764998435486231</v>
      </c>
      <c r="G1953">
        <f>LN(F1953/参数实验室!$E$58)/参数实验室!$E$59</f>
        <v>-0.32931266513114726</v>
      </c>
      <c r="H1953" s="856">
        <f>INDEX(神经网络!$G$10:$BO$70,MATCH(ROUND(G1953*2,1)/2,神经网络!$E$10:$E$70,0),MATCH(ROUND(E1953*2,1)/2,神经网络!$G$8:$BO$8,0))</f>
        <v>-0.55379843649671057</v>
      </c>
      <c r="I1953">
        <f t="shared" si="250"/>
        <v>860.83539697900255</v>
      </c>
      <c r="J1953">
        <f t="shared" si="251"/>
        <v>182.35944295917915</v>
      </c>
      <c r="K1953">
        <f t="shared" si="252"/>
        <v>4.7205419308705556</v>
      </c>
      <c r="L1953" s="4">
        <f>MIN(MAX(L1952*(1+MAX(MIN(((B1953-B1952)/B1952)/($K$7*卓尔金历!$N$40),0),-卓尔金历!$M$43))+MIN(MAX(((B1953-B1952)/B1952)/($K$7*卓尔金历!$N$40),0),卓尔金历!$M$43),0),1)</f>
        <v>0.85338129034113674</v>
      </c>
      <c r="M1953" s="4">
        <f>MIN(MAX(M1952*(1+MAX(MIN(((B1953-B1952)/B1952)/($K$7*30),0),-卓尔金历!$M$43))+MIN(MAX(((B1953-B1952)/B1952)/($K$7*7),0),卓尔金历!$M$43),0),1)</f>
        <v>0.92669064517056843</v>
      </c>
      <c r="N1953">
        <f t="shared" si="253"/>
        <v>680.28437420133582</v>
      </c>
      <c r="O1953">
        <f t="shared" si="254"/>
        <v>1778.9436146940052</v>
      </c>
      <c r="P1953">
        <f t="shared" si="255"/>
        <v>-9.5960679526437883E-3</v>
      </c>
      <c r="Q1953">
        <f t="shared" si="246"/>
        <v>3.1874385322525865E-2</v>
      </c>
      <c r="R1953">
        <f t="shared" si="247"/>
        <v>1</v>
      </c>
      <c r="S1953">
        <f t="shared" si="249"/>
        <v>14.966221984312774</v>
      </c>
      <c r="T1953" s="564">
        <f>IF((I1953-MAX(I$470:I1953))/MAX(I$470:I1953)&gt;T1952,T1952,(I1953-MAX(I$470:I1953))/MAX(I$470:I1953))</f>
        <v>-0.91338805338419748</v>
      </c>
      <c r="U1953" s="564">
        <f>IF((J1953-MAX(J$470:J1953))/MAX(J$470:J1953)&gt;U1952,U1952,(J1953-MAX(J$470:J1953))/MAX(J$470:J1953))</f>
        <v>-0.8283551177402233</v>
      </c>
      <c r="V1953" s="564">
        <f>IF((K1953-MAX(K$470:K1953))/MAX(K$470:K1953)&gt;V1952,V1952,(K1953-MAX(K$470:K1953))/MAX(K$470:K1953))</f>
        <v>-0.84885940676762139</v>
      </c>
      <c r="W1953" s="564">
        <f>IF((N1953-MAX(N$470:N1953))/MAX(N$470:N1953)&gt;W1952,W1952,(N1953-MAX(N$470:N1953))/MAX(N$470:N1953))</f>
        <v>-0.62788758315546067</v>
      </c>
      <c r="X1953" s="564">
        <f>IF((O1953-MAX(O$470:O1953))/MAX(O$470:O1953)&gt;X1952,X1952,(O1953-MAX(O$470:O1953))/MAX(O$470:O1953))</f>
        <v>-0.62788758315546067</v>
      </c>
    </row>
    <row r="1954" spans="1:24">
      <c r="A1954" s="799">
        <v>42356</v>
      </c>
      <c r="B1954">
        <v>455.06700000000001</v>
      </c>
      <c r="C1954">
        <v>347.701662</v>
      </c>
      <c r="D1954">
        <v>1.5488729999999999</v>
      </c>
      <c r="E1954">
        <f>LN(D1954/参数实验室!$E$53)/参数实验室!$E$55</f>
        <v>-0.1767937242510966</v>
      </c>
      <c r="F1954">
        <f t="shared" si="248"/>
        <v>0.76406696596325374</v>
      </c>
      <c r="G1954">
        <f>LN(F1954/参数实验室!$E$58)/参数实验室!$E$59</f>
        <v>-0.33176816465277476</v>
      </c>
      <c r="H1954" s="856">
        <f>INDEX(神经网络!$G$10:$BO$70,MATCH(ROUND(G1954*2,1)/2,神经网络!$E$10:$E$70,0),MATCH(ROUND(E1954*2,1)/2,神经网络!$G$8:$BO$8,0))</f>
        <v>-0.55379843649671057</v>
      </c>
      <c r="I1954">
        <f t="shared" si="250"/>
        <v>862.863273229745</v>
      </c>
      <c r="J1954">
        <f t="shared" si="251"/>
        <v>181.58373568492834</v>
      </c>
      <c r="K1954">
        <f t="shared" si="252"/>
        <v>4.7518753261411373</v>
      </c>
      <c r="L1954" s="4">
        <f>MIN(MAX(L1953*(1+MAX(MIN(((B1954-B1953)/B1953)/($K$7*卓尔金历!$N$40),0),-卓尔金历!$M$43))+MIN(MAX(((B1954-B1953)/B1953)/($K$7*卓尔金历!$N$40),0),卓尔金历!$M$43),0),1)</f>
        <v>0.79791759486598868</v>
      </c>
      <c r="M1954" s="4">
        <f>MIN(MAX(M1953*(1+MAX(MIN(((B1954-B1953)/B1953)/($K$7*30),0),-卓尔金历!$M$43))+MIN(MAX(((B1954-B1953)/B1953)/($K$7*7),0),卓尔金历!$M$43),0),1)</f>
        <v>0.89657650491160934</v>
      </c>
      <c r="N1954">
        <f t="shared" si="253"/>
        <v>681.65196114234982</v>
      </c>
      <c r="O1954">
        <f t="shared" si="254"/>
        <v>1782.8270698478389</v>
      </c>
      <c r="P1954">
        <f t="shared" si="255"/>
        <v>-4.2537269343626664E-3</v>
      </c>
      <c r="Q1954">
        <f t="shared" si="246"/>
        <v>3.0176211023511153E-2</v>
      </c>
      <c r="R1954">
        <f t="shared" si="247"/>
        <v>1</v>
      </c>
      <c r="S1954">
        <f t="shared" si="249"/>
        <v>15.001478023076789</v>
      </c>
      <c r="T1954" s="564">
        <f>IF((I1954-MAX(I$470:I1954))/MAX(I$470:I1954)&gt;T1953,T1953,(I1954-MAX(I$470:I1954))/MAX(I$470:I1954))</f>
        <v>-0.91338805338419748</v>
      </c>
      <c r="U1954" s="564">
        <f>IF((J1954-MAX(J$470:J1954))/MAX(J$470:J1954)&gt;U1953,U1953,(J1954-MAX(J$470:J1954))/MAX(J$470:J1954))</f>
        <v>-0.8283551177402233</v>
      </c>
      <c r="V1954" s="564">
        <f>IF((K1954-MAX(K$470:K1954))/MAX(K$470:K1954)&gt;V1953,V1953,(K1954-MAX(K$470:K1954))/MAX(K$470:K1954))</f>
        <v>-0.84885940676762139</v>
      </c>
      <c r="W1954" s="564">
        <f>IF((N1954-MAX(N$470:N1954))/MAX(N$470:N1954)&gt;W1953,W1953,(N1954-MAX(N$470:N1954))/MAX(N$470:N1954))</f>
        <v>-0.62788758315546067</v>
      </c>
      <c r="X1954" s="564">
        <f>IF((O1954-MAX(O$470:O1954))/MAX(O$470:O1954)&gt;X1953,X1953,(O1954-MAX(O$470:O1954))/MAX(O$470:O1954))</f>
        <v>-0.62788758315546067</v>
      </c>
    </row>
    <row r="1955" spans="1:24">
      <c r="A1955" s="799">
        <v>42357</v>
      </c>
      <c r="B1955">
        <v>462.86700000000002</v>
      </c>
      <c r="C1955">
        <v>343.54229800000002</v>
      </c>
      <c r="D1955">
        <v>1.540799</v>
      </c>
      <c r="E1955">
        <f>LN(D1955/参数实验室!$E$53)/参数实验室!$E$55</f>
        <v>-0.18295965343356177</v>
      </c>
      <c r="F1955">
        <f t="shared" si="248"/>
        <v>0.74220520797550915</v>
      </c>
      <c r="G1955">
        <f>LN(F1955/参数实验室!$E$58)/参数实验室!$E$59</f>
        <v>-0.34700450514260456</v>
      </c>
      <c r="H1955" s="856">
        <f>INDEX(神经网络!$G$10:$BO$70,MATCH(ROUND(G1955*2,1)/2,神经网络!$E$10:$E$70,0),MATCH(ROUND(E1955*2,1)/2,神经网络!$G$8:$BO$8,0))</f>
        <v>-0.55379843649671057</v>
      </c>
      <c r="I1955">
        <f t="shared" si="250"/>
        <v>854.67272505403571</v>
      </c>
      <c r="J1955">
        <f t="shared" si="251"/>
        <v>184.69614141494708</v>
      </c>
      <c r="K1955">
        <f t="shared" si="252"/>
        <v>4.6274530615877216</v>
      </c>
      <c r="L1955" s="4">
        <f>MIN(MAX(L1954*(1+MAX(MIN(((B1955-B1954)/B1954)/($K$7*卓尔金历!$N$40),0),-卓尔金历!$M$43))+MIN(MAX(((B1955-B1954)/B1954)/($K$7*卓尔金历!$N$40),0),卓尔金历!$M$43),0),1)</f>
        <v>1</v>
      </c>
      <c r="M1955" s="4">
        <f>MIN(MAX(M1954*(1+MAX(MIN(((B1955-B1954)/B1954)/($K$7*30),0),-卓尔金历!$M$43))+MIN(MAX(((B1955-B1954)/B1954)/($K$7*7),0),卓尔金历!$M$43),0),1)</f>
        <v>1</v>
      </c>
      <c r="N1955">
        <f t="shared" si="253"/>
        <v>676.48908489436144</v>
      </c>
      <c r="O1955">
        <f t="shared" si="254"/>
        <v>1767.654206079266</v>
      </c>
      <c r="P1955">
        <f t="shared" si="255"/>
        <v>1.7140333181707334E-2</v>
      </c>
      <c r="Q1955">
        <f t="shared" si="246"/>
        <v>2.9758766298275775E-2</v>
      </c>
      <c r="R1955">
        <f t="shared" si="247"/>
        <v>0.59851350909982481</v>
      </c>
      <c r="S1955">
        <f t="shared" si="249"/>
        <v>14.859079647497603</v>
      </c>
      <c r="T1955" s="564">
        <f>IF((I1955-MAX(I$470:I1955))/MAX(I$470:I1955)&gt;T1954,T1954,(I1955-MAX(I$470:I1955))/MAX(I$470:I1955))</f>
        <v>-0.91338805338419748</v>
      </c>
      <c r="U1955" s="564">
        <f>IF((J1955-MAX(J$470:J1955))/MAX(J$470:J1955)&gt;U1954,U1954,(J1955-MAX(J$470:J1955))/MAX(J$470:J1955))</f>
        <v>-0.8283551177402233</v>
      </c>
      <c r="V1955" s="564">
        <f>IF((K1955-MAX(K$470:K1955))/MAX(K$470:K1955)&gt;V1954,V1954,(K1955-MAX(K$470:K1955))/MAX(K$470:K1955))</f>
        <v>-0.84885940676762139</v>
      </c>
      <c r="W1955" s="564">
        <f>IF((N1955-MAX(N$470:N1955))/MAX(N$470:N1955)&gt;W1954,W1954,(N1955-MAX(N$470:N1955))/MAX(N$470:N1955))</f>
        <v>-0.62788758315546067</v>
      </c>
      <c r="X1955" s="564">
        <f>IF((O1955-MAX(O$470:O1955))/MAX(O$470:O1955)&gt;X1954,X1954,(O1955-MAX(O$470:O1955))/MAX(O$470:O1955))</f>
        <v>-0.62788758315546067</v>
      </c>
    </row>
    <row r="1956" spans="1:24">
      <c r="A1956" s="799">
        <v>42358</v>
      </c>
      <c r="B1956">
        <v>462.06</v>
      </c>
      <c r="C1956">
        <v>344.26757700000002</v>
      </c>
      <c r="D1956">
        <v>1.4764679999999999</v>
      </c>
      <c r="E1956">
        <f>LN(D1956/参数实验室!$E$53)/参数实验室!$E$55</f>
        <v>-0.23327419916085082</v>
      </c>
      <c r="F1956">
        <f t="shared" si="248"/>
        <v>0.74507115309700045</v>
      </c>
      <c r="G1956">
        <f>LN(F1956/参数实验室!$E$58)/参数实验室!$E$59</f>
        <v>-0.34498174086629546</v>
      </c>
      <c r="H1956" s="856">
        <f>INDEX(神经网络!$G$10:$BO$70,MATCH(ROUND(G1956*2,1)/2,神经网络!$E$10:$E$70,0),MATCH(ROUND(E1956*2,1)/2,神经网络!$G$8:$BO$8,0))</f>
        <v>-0.5864484419700331</v>
      </c>
      <c r="I1956">
        <f t="shared" si="250"/>
        <v>855.49794342132691</v>
      </c>
      <c r="J1956">
        <f t="shared" si="251"/>
        <v>184.37412712980284</v>
      </c>
      <c r="K1956">
        <f t="shared" si="252"/>
        <v>4.64001081246633</v>
      </c>
      <c r="L1956" s="4">
        <f>MIN(MAX(L1955*(1+MAX(MIN(((B1956-B1955)/B1955)/($K$7*卓尔金历!$N$40),0),-卓尔金历!$M$43))+MIN(MAX(((B1956-B1955)/B1955)/($K$7*卓尔金历!$N$40),0),卓尔金历!$M$43),0),1)</f>
        <v>0.97336127747272327</v>
      </c>
      <c r="M1956" s="4">
        <f>MIN(MAX(M1955*(1+MAX(MIN(((B1956-B1955)/B1955)/($K$7*30),0),-卓尔金历!$M$43))+MIN(MAX(((B1956-B1955)/B1955)/($K$7*7),0),卓尔金历!$M$43),0),1)</f>
        <v>0.98668063873636169</v>
      </c>
      <c r="N1956">
        <f t="shared" si="253"/>
        <v>677.14226031667476</v>
      </c>
      <c r="O1956">
        <f t="shared" si="254"/>
        <v>1769.3609420907421</v>
      </c>
      <c r="P1956">
        <f t="shared" si="255"/>
        <v>-1.7434813888223104E-3</v>
      </c>
      <c r="Q1956">
        <f t="shared" si="246"/>
        <v>2.9492920018012153E-2</v>
      </c>
      <c r="R1956">
        <f t="shared" si="247"/>
        <v>1</v>
      </c>
      <c r="S1956">
        <f t="shared" si="249"/>
        <v>14.867666517913351</v>
      </c>
      <c r="T1956" s="564">
        <f>IF((I1956-MAX(I$470:I1956))/MAX(I$470:I1956)&gt;T1955,T1955,(I1956-MAX(I$470:I1956))/MAX(I$470:I1956))</f>
        <v>-0.91338805338419748</v>
      </c>
      <c r="U1956" s="564">
        <f>IF((J1956-MAX(J$470:J1956))/MAX(J$470:J1956)&gt;U1955,U1955,(J1956-MAX(J$470:J1956))/MAX(J$470:J1956))</f>
        <v>-0.8283551177402233</v>
      </c>
      <c r="V1956" s="564">
        <f>IF((K1956-MAX(K$470:K1956))/MAX(K$470:K1956)&gt;V1955,V1955,(K1956-MAX(K$470:K1956))/MAX(K$470:K1956))</f>
        <v>-0.84885940676762139</v>
      </c>
      <c r="W1956" s="564">
        <f>IF((N1956-MAX(N$470:N1956))/MAX(N$470:N1956)&gt;W1955,W1955,(N1956-MAX(N$470:N1956))/MAX(N$470:N1956))</f>
        <v>-0.62788758315546067</v>
      </c>
      <c r="X1956" s="564">
        <f>IF((O1956-MAX(O$470:O1956))/MAX(O$470:O1956)&gt;X1955,X1955,(O1956-MAX(O$470:O1956))/MAX(O$470:O1956))</f>
        <v>-0.62788758315546067</v>
      </c>
    </row>
    <row r="1957" spans="1:24">
      <c r="A1957" s="799">
        <v>42359</v>
      </c>
      <c r="B1957">
        <v>441.04500000000002</v>
      </c>
      <c r="C1957">
        <v>349.86951900000003</v>
      </c>
      <c r="D1957">
        <v>1.461155</v>
      </c>
      <c r="E1957">
        <f>LN(D1957/参数实验室!$E$53)/参数实验室!$E$55</f>
        <v>-0.2455737522730119</v>
      </c>
      <c r="F1957">
        <f t="shared" si="248"/>
        <v>0.79327397204366901</v>
      </c>
      <c r="G1957">
        <f>LN(F1957/参数实验室!$E$58)/参数实验室!$E$59</f>
        <v>-0.31207920317583537</v>
      </c>
      <c r="H1957" s="856">
        <f>INDEX(神经网络!$G$10:$BO$70,MATCH(ROUND(G1957*2,1)/2,神经网络!$E$10:$E$70,0),MATCH(ROUND(E1957*2,1)/2,神经网络!$G$8:$BO$8,0))</f>
        <v>-0.51388151638675161</v>
      </c>
      <c r="I1957">
        <f t="shared" si="250"/>
        <v>878.31606171360181</v>
      </c>
      <c r="J1957">
        <f t="shared" si="251"/>
        <v>175.98858784565618</v>
      </c>
      <c r="K1957">
        <f t="shared" si="252"/>
        <v>4.9907557783456626</v>
      </c>
      <c r="L1957" s="4">
        <f>MIN(MAX(L1956*(1+MAX(MIN(((B1957-B1956)/B1956)/($K$7*卓尔金历!$N$40),0),-卓尔金历!$M$43))+MIN(MAX(((B1957-B1956)/B1956)/($K$7*卓尔金历!$N$40),0),卓尔金历!$M$43),0),1)</f>
        <v>0.29696506973893078</v>
      </c>
      <c r="M1957" s="4">
        <f>MIN(MAX(M1956*(1+MAX(MIN(((B1957-B1956)/B1956)/($K$7*30),0),-卓尔金历!$M$43))+MIN(MAX(((B1957-B1956)/B1956)/($K$7*7),0),卓尔金历!$M$43),0),1)</f>
        <v>0.64385467178477751</v>
      </c>
      <c r="N1957">
        <f t="shared" si="253"/>
        <v>694.72209720782462</v>
      </c>
      <c r="O1957">
        <f t="shared" si="254"/>
        <v>1815.9253301435199</v>
      </c>
      <c r="P1957">
        <f t="shared" si="255"/>
        <v>-4.548110634982467E-2</v>
      </c>
      <c r="Q1957">
        <f t="shared" si="246"/>
        <v>3.1829536081941938E-2</v>
      </c>
      <c r="R1957">
        <f t="shared" si="247"/>
        <v>1.8966828194022942E-2</v>
      </c>
      <c r="S1957">
        <f t="shared" si="249"/>
        <v>15.264221735777577</v>
      </c>
      <c r="T1957" s="564">
        <f>IF((I1957-MAX(I$470:I1957))/MAX(I$470:I1957)&gt;T1956,T1956,(I1957-MAX(I$470:I1957))/MAX(I$470:I1957))</f>
        <v>-0.91338805338419748</v>
      </c>
      <c r="U1957" s="564">
        <f>IF((J1957-MAX(J$470:J1957))/MAX(J$470:J1957)&gt;U1956,U1956,(J1957-MAX(J$470:J1957))/MAX(J$470:J1957))</f>
        <v>-0.8283551177402233</v>
      </c>
      <c r="V1957" s="564">
        <f>IF((K1957-MAX(K$470:K1957))/MAX(K$470:K1957)&gt;V1956,V1956,(K1957-MAX(K$470:K1957))/MAX(K$470:K1957))</f>
        <v>-0.84885940676762139</v>
      </c>
      <c r="W1957" s="564">
        <f>IF((N1957-MAX(N$470:N1957))/MAX(N$470:N1957)&gt;W1956,W1956,(N1957-MAX(N$470:N1957))/MAX(N$470:N1957))</f>
        <v>-0.62788758315546067</v>
      </c>
      <c r="X1957" s="564">
        <f>IF((O1957-MAX(O$470:O1957))/MAX(O$470:O1957)&gt;X1956,X1956,(O1957-MAX(O$470:O1957))/MAX(O$470:O1957))</f>
        <v>-0.62788758315546067</v>
      </c>
    </row>
    <row r="1958" spans="1:24">
      <c r="A1958" s="799">
        <v>42360</v>
      </c>
      <c r="B1958">
        <v>436.03300000000002</v>
      </c>
      <c r="C1958">
        <v>354.93357700000001</v>
      </c>
      <c r="D1958">
        <v>1.45245</v>
      </c>
      <c r="E1958">
        <f>LN(D1958/参数实验室!$E$53)/参数实验室!$E$55</f>
        <v>-0.25262328887542473</v>
      </c>
      <c r="F1958">
        <f t="shared" si="248"/>
        <v>0.81400622659294142</v>
      </c>
      <c r="G1958">
        <f>LN(F1958/参数实验室!$E$58)/参数实验室!$E$59</f>
        <v>-0.29853830198523784</v>
      </c>
      <c r="H1958" s="856">
        <f>INDEX(神经网络!$G$10:$BO$70,MATCH(ROUND(G1958*2,1)/2,神经网络!$E$10:$E$70,0),MATCH(ROUND(E1958*2,1)/2,神经网络!$G$8:$BO$8,0))</f>
        <v>-0.51388151638675161</v>
      </c>
      <c r="I1958">
        <f t="shared" si="250"/>
        <v>883.44517133501699</v>
      </c>
      <c r="J1958">
        <f t="shared" si="251"/>
        <v>173.98866765093132</v>
      </c>
      <c r="K1958">
        <f t="shared" si="252"/>
        <v>5.0776017959252888</v>
      </c>
      <c r="L1958" s="4">
        <f>MIN(MAX(L1957*(1+MAX(MIN(((B1958-B1957)/B1957)/($K$7*卓尔金历!$N$40),0),-卓尔金历!$M$43))+MIN(MAX(((B1958-B1957)/B1957)/($K$7*卓尔金历!$N$40),0),卓尔金历!$M$43),0),1)</f>
        <v>0.24540308730350108</v>
      </c>
      <c r="M1958" s="4">
        <f>MIN(MAX(M1957*(1+MAX(MIN(((B1958-B1957)/B1957)/($K$7*30),0),-卓尔金历!$M$43))+MIN(MAX(((B1958-B1957)/B1957)/($K$7*7),0),卓尔金历!$M$43),0),1)</f>
        <v>0.58795849634111064</v>
      </c>
      <c r="N1958">
        <f t="shared" si="253"/>
        <v>695.92687689869626</v>
      </c>
      <c r="O1958">
        <f t="shared" si="254"/>
        <v>1822.7530704479227</v>
      </c>
      <c r="P1958">
        <f t="shared" si="255"/>
        <v>-1.13639197814282E-2</v>
      </c>
      <c r="Q1958">
        <f t="shared" si="246"/>
        <v>3.1659676111455821E-2</v>
      </c>
      <c r="R1958">
        <f t="shared" si="247"/>
        <v>1</v>
      </c>
      <c r="S1958">
        <f t="shared" si="249"/>
        <v>15.265912412342566</v>
      </c>
      <c r="T1958" s="564">
        <f>IF((I1958-MAX(I$470:I1958))/MAX(I$470:I1958)&gt;T1957,T1957,(I1958-MAX(I$470:I1958))/MAX(I$470:I1958))</f>
        <v>-0.91338805338419748</v>
      </c>
      <c r="U1958" s="564">
        <f>IF((J1958-MAX(J$470:J1958))/MAX(J$470:J1958)&gt;U1957,U1957,(J1958-MAX(J$470:J1958))/MAX(J$470:J1958))</f>
        <v>-0.8283551177402233</v>
      </c>
      <c r="V1958" s="564">
        <f>IF((K1958-MAX(K$470:K1958))/MAX(K$470:K1958)&gt;V1957,V1957,(K1958-MAX(K$470:K1958))/MAX(K$470:K1958))</f>
        <v>-0.84885940676762139</v>
      </c>
      <c r="W1958" s="564">
        <f>IF((N1958-MAX(N$470:N1958))/MAX(N$470:N1958)&gt;W1957,W1957,(N1958-MAX(N$470:N1958))/MAX(N$470:N1958))</f>
        <v>-0.62788758315546067</v>
      </c>
      <c r="X1958" s="564">
        <f>IF((O1958-MAX(O$470:O1958))/MAX(O$470:O1958)&gt;X1957,X1957,(O1958-MAX(O$470:O1958))/MAX(O$470:O1958))</f>
        <v>-0.62788758315546067</v>
      </c>
    </row>
    <row r="1959" spans="1:24">
      <c r="A1959" s="799">
        <v>42361</v>
      </c>
      <c r="B1959">
        <v>439.13600000000002</v>
      </c>
      <c r="C1959">
        <v>356.55289499999998</v>
      </c>
      <c r="D1959">
        <v>1.4749859999999999</v>
      </c>
      <c r="E1959">
        <f>LN(D1959/参数实验室!$E$53)/参数实验室!$E$55</f>
        <v>-0.23445896738323041</v>
      </c>
      <c r="F1959">
        <f t="shared" si="248"/>
        <v>0.81194184717262985</v>
      </c>
      <c r="G1959">
        <f>LN(F1959/参数实验室!$E$58)/参数实验室!$E$59</f>
        <v>-0.29987106098890842</v>
      </c>
      <c r="H1959" s="856">
        <f>INDEX(神经网络!$G$10:$BO$70,MATCH(ROUND(G1959*2,1)/2,神经网络!$E$10:$E$70,0),MATCH(ROUND(E1959*2,1)/2,神经网络!$G$8:$BO$8,0))</f>
        <v>-0.51388151638675161</v>
      </c>
      <c r="I1959">
        <f t="shared" si="250"/>
        <v>880.21440897131401</v>
      </c>
      <c r="J1959">
        <f t="shared" si="251"/>
        <v>175.22684649455286</v>
      </c>
      <c r="K1959">
        <f t="shared" si="252"/>
        <v>5.0232851105876435</v>
      </c>
      <c r="L1959" s="4">
        <f>MIN(MAX(L1958*(1+MAX(MIN(((B1959-B1958)/B1958)/($K$7*卓尔金历!$N$40),0),-卓尔金历!$M$43))+MIN(MAX(((B1959-B1958)/B1958)/($K$7*卓尔金历!$N$40),0),卓尔金历!$M$43),0),1)</f>
        <v>0.35413536736867407</v>
      </c>
      <c r="M1959" s="4">
        <f>MIN(MAX(M1958*(1+MAX(MIN(((B1959-B1958)/B1958)/($K$7*30),0),-卓尔金历!$M$43))+MIN(MAX(((B1959-B1958)/B1958)/($K$7*7),0),卓尔金历!$M$43),0),1)</f>
        <v>0.82095623933790984</v>
      </c>
      <c r="N1959">
        <f t="shared" si="253"/>
        <v>695.30232426351745</v>
      </c>
      <c r="O1959">
        <f t="shared" si="254"/>
        <v>1818.8338479211941</v>
      </c>
      <c r="P1959">
        <f t="shared" si="255"/>
        <v>7.1164338478968527E-3</v>
      </c>
      <c r="Q1959">
        <f t="shared" si="246"/>
        <v>2.9734838727591112E-2</v>
      </c>
      <c r="R1959">
        <f t="shared" si="247"/>
        <v>1</v>
      </c>
      <c r="S1959">
        <f t="shared" si="249"/>
        <v>15.210084912380285</v>
      </c>
      <c r="T1959" s="564">
        <f>IF((I1959-MAX(I$470:I1959))/MAX(I$470:I1959)&gt;T1958,T1958,(I1959-MAX(I$470:I1959))/MAX(I$470:I1959))</f>
        <v>-0.91338805338419748</v>
      </c>
      <c r="U1959" s="564">
        <f>IF((J1959-MAX(J$470:J1959))/MAX(J$470:J1959)&gt;U1958,U1958,(J1959-MAX(J$470:J1959))/MAX(J$470:J1959))</f>
        <v>-0.8283551177402233</v>
      </c>
      <c r="V1959" s="564">
        <f>IF((K1959-MAX(K$470:K1959))/MAX(K$470:K1959)&gt;V1958,V1958,(K1959-MAX(K$470:K1959))/MAX(K$470:K1959))</f>
        <v>-0.84885940676762139</v>
      </c>
      <c r="W1959" s="564">
        <f>IF((N1959-MAX(N$470:N1959))/MAX(N$470:N1959)&gt;W1958,W1958,(N1959-MAX(N$470:N1959))/MAX(N$470:N1959))</f>
        <v>-0.62788758315546067</v>
      </c>
      <c r="X1959" s="564">
        <f>IF((O1959-MAX(O$470:O1959))/MAX(O$470:O1959)&gt;X1958,X1958,(O1959-MAX(O$470:O1959))/MAX(O$470:O1959))</f>
        <v>-0.62788758315546067</v>
      </c>
    </row>
    <row r="1960" spans="1:24">
      <c r="A1960" s="799">
        <v>42362</v>
      </c>
      <c r="B1960">
        <v>442.98700000000002</v>
      </c>
      <c r="C1960">
        <v>360.82074899999998</v>
      </c>
      <c r="D1960">
        <v>1.516489</v>
      </c>
      <c r="E1960">
        <f>LN(D1960/参数实验室!$E$53)/参数实验室!$E$55</f>
        <v>-0.20172164499102518</v>
      </c>
      <c r="F1960">
        <f t="shared" si="248"/>
        <v>0.81451769239277894</v>
      </c>
      <c r="G1960">
        <f>LN(F1960/参数实验室!$E$58)/参数实验室!$E$59</f>
        <v>-0.29820862319005481</v>
      </c>
      <c r="H1960" s="856">
        <f>INDEX(神经网络!$G$10:$BO$70,MATCH(ROUND(G1960*2,1)/2,神经网络!$E$10:$E$70,0),MATCH(ROUND(E1960*2,1)/2,神经网络!$G$8:$BO$8,0))</f>
        <v>-0.4779542486348563</v>
      </c>
      <c r="I1960">
        <f t="shared" si="250"/>
        <v>876.24774010439876</v>
      </c>
      <c r="J1960">
        <f t="shared" si="251"/>
        <v>176.7634970671557</v>
      </c>
      <c r="K1960">
        <f t="shared" si="252"/>
        <v>4.9571758572500757</v>
      </c>
      <c r="L1960" s="4">
        <f>MIN(MAX(L1959*(1+MAX(MIN(((B1960-B1959)/B1959)/($K$7*卓尔金历!$N$40),0),-卓尔金历!$M$43))+MIN(MAX(((B1960-B1959)/B1959)/($K$7*卓尔金历!$N$40),0),卓尔金历!$M$43),0),1)</f>
        <v>0.48812480224022792</v>
      </c>
      <c r="M1960" s="4">
        <f>MIN(MAX(M1959*(1+MAX(MIN(((B1960-B1959)/B1959)/($K$7*30),0),-卓尔金历!$M$43))+MIN(MAX(((B1960-B1959)/B1959)/($K$7*7),0),卓尔金历!$M$43),0),1)</f>
        <v>1</v>
      </c>
      <c r="N1960">
        <f t="shared" si="253"/>
        <v>694.19268847119793</v>
      </c>
      <c r="O1960">
        <f t="shared" si="254"/>
        <v>1812.1048482120782</v>
      </c>
      <c r="P1960">
        <f t="shared" si="255"/>
        <v>8.7694928222691801E-3</v>
      </c>
      <c r="Q1960">
        <f t="shared" si="246"/>
        <v>2.95605201961587E-2</v>
      </c>
      <c r="R1960">
        <f t="shared" si="247"/>
        <v>1</v>
      </c>
      <c r="S1960">
        <f t="shared" si="249"/>
        <v>15.141540964825978</v>
      </c>
      <c r="T1960" s="564">
        <f>IF((I1960-MAX(I$470:I1960))/MAX(I$470:I1960)&gt;T1959,T1959,(I1960-MAX(I$470:I1960))/MAX(I$470:I1960))</f>
        <v>-0.91338805338419748</v>
      </c>
      <c r="U1960" s="564">
        <f>IF((J1960-MAX(J$470:J1960))/MAX(J$470:J1960)&gt;U1959,U1959,(J1960-MAX(J$470:J1960))/MAX(J$470:J1960))</f>
        <v>-0.8283551177402233</v>
      </c>
      <c r="V1960" s="564">
        <f>IF((K1960-MAX(K$470:K1960))/MAX(K$470:K1960)&gt;V1959,V1959,(K1960-MAX(K$470:K1960))/MAX(K$470:K1960))</f>
        <v>-0.84885940676762139</v>
      </c>
      <c r="W1960" s="564">
        <f>IF((N1960-MAX(N$470:N1960))/MAX(N$470:N1960)&gt;W1959,W1959,(N1960-MAX(N$470:N1960))/MAX(N$470:N1960))</f>
        <v>-0.62788758315546067</v>
      </c>
      <c r="X1960" s="564">
        <f>IF((O1960-MAX(O$470:O1960))/MAX(O$470:O1960)&gt;X1959,X1959,(O1960-MAX(O$470:O1960))/MAX(O$470:O1960))</f>
        <v>-0.62788758315546067</v>
      </c>
    </row>
    <row r="1961" spans="1:24">
      <c r="A1961" s="799">
        <v>42363</v>
      </c>
      <c r="B1961">
        <v>454.29300000000001</v>
      </c>
      <c r="C1961">
        <v>358.01178900000002</v>
      </c>
      <c r="D1961">
        <v>1.5132730000000001</v>
      </c>
      <c r="E1961">
        <f>LN(D1961/参数实验室!$E$53)/参数实验室!$E$55</f>
        <v>-0.20422619013851218</v>
      </c>
      <c r="F1961">
        <f t="shared" si="248"/>
        <v>0.78806362633806815</v>
      </c>
      <c r="G1961">
        <f>LN(F1961/参数实验室!$E$58)/参数实验室!$E$59</f>
        <v>-0.31553789651049513</v>
      </c>
      <c r="H1961" s="856">
        <f>INDEX(神经网络!$G$10:$BO$70,MATCH(ROUND(G1961*2,1)/2,神经网络!$E$10:$E$70,0),MATCH(ROUND(E1961*2,1)/2,神经网络!$G$8:$BO$8,0))</f>
        <v>-0.4779542486348563</v>
      </c>
      <c r="I1961">
        <f t="shared" si="250"/>
        <v>865.55888384069635</v>
      </c>
      <c r="J1961">
        <f t="shared" si="251"/>
        <v>181.2748892701803</v>
      </c>
      <c r="K1961">
        <f t="shared" si="252"/>
        <v>4.7748416083742757</v>
      </c>
      <c r="L1961" s="4">
        <f>MIN(MAX(L1960*(1+MAX(MIN(((B1961-B1960)/B1960)/($K$7*卓尔金历!$N$40),0),-卓尔金历!$M$43))+MIN(MAX(((B1961-B1960)/B1960)/($K$7*卓尔金历!$N$40),0),卓尔金历!$M$43),0),1)</f>
        <v>0.87807942944922557</v>
      </c>
      <c r="M1961" s="4">
        <f>MIN(MAX(M1960*(1+MAX(MIN(((B1961-B1960)/B1960)/($K$7*30),0),-卓尔金历!$M$43))+MIN(MAX(((B1961-B1960)/B1960)/($K$7*7),0),卓尔金历!$M$43),0),1)</f>
        <v>1</v>
      </c>
      <c r="N1961">
        <f t="shared" si="253"/>
        <v>690.0592142203044</v>
      </c>
      <c r="O1961">
        <f t="shared" si="254"/>
        <v>1789.999994332524</v>
      </c>
      <c r="P1961">
        <f t="shared" si="255"/>
        <v>2.5522193653538326E-2</v>
      </c>
      <c r="Q1961">
        <f t="shared" si="246"/>
        <v>2.9675714195978597E-2</v>
      </c>
      <c r="R1961">
        <f t="shared" si="247"/>
        <v>0.18479826747856429</v>
      </c>
      <c r="S1961">
        <f t="shared" si="249"/>
        <v>14.956837772365015</v>
      </c>
      <c r="T1961" s="564">
        <f>IF((I1961-MAX(I$470:I1961))/MAX(I$470:I1961)&gt;T1960,T1960,(I1961-MAX(I$470:I1961))/MAX(I$470:I1961))</f>
        <v>-0.91338805338419748</v>
      </c>
      <c r="U1961" s="564">
        <f>IF((J1961-MAX(J$470:J1961))/MAX(J$470:J1961)&gt;U1960,U1960,(J1961-MAX(J$470:J1961))/MAX(J$470:J1961))</f>
        <v>-0.8283551177402233</v>
      </c>
      <c r="V1961" s="564">
        <f>IF((K1961-MAX(K$470:K1961))/MAX(K$470:K1961)&gt;V1960,V1960,(K1961-MAX(K$470:K1961))/MAX(K$470:K1961))</f>
        <v>-0.84885940676762139</v>
      </c>
      <c r="W1961" s="564">
        <f>IF((N1961-MAX(N$470:N1961))/MAX(N$470:N1961)&gt;W1960,W1960,(N1961-MAX(N$470:N1961))/MAX(N$470:N1961))</f>
        <v>-0.62788758315546067</v>
      </c>
      <c r="X1961" s="564">
        <f>IF((O1961-MAX(O$470:O1961))/MAX(O$470:O1961)&gt;X1960,X1960,(O1961-MAX(O$470:O1961))/MAX(O$470:O1961))</f>
        <v>-0.62788758315546067</v>
      </c>
    </row>
    <row r="1962" spans="1:24">
      <c r="A1962" s="799">
        <v>42364</v>
      </c>
      <c r="B1962">
        <v>456.03</v>
      </c>
      <c r="C1962">
        <v>359.45168000000001</v>
      </c>
      <c r="D1962">
        <v>1.390468</v>
      </c>
      <c r="E1962">
        <f>LN(D1962/参数实验室!$E$53)/参数实验室!$E$55</f>
        <v>-0.30407398495124321</v>
      </c>
      <c r="F1962">
        <f t="shared" si="248"/>
        <v>0.78821937153257471</v>
      </c>
      <c r="G1962">
        <f>LN(F1962/参数实验室!$E$58)/参数实验室!$E$59</f>
        <v>-0.31543417973450538</v>
      </c>
      <c r="H1962" s="856">
        <f>INDEX(神经网络!$G$10:$BO$70,MATCH(ROUND(G1962*2,1)/2,神经网络!$E$10:$E$70,0),MATCH(ROUND(E1962*2,1)/2,神经网络!$G$8:$BO$8,0))</f>
        <v>-0.5517202076005665</v>
      </c>
      <c r="I1962">
        <f t="shared" si="250"/>
        <v>863.97710151660351</v>
      </c>
      <c r="J1962">
        <f t="shared" si="251"/>
        <v>181.96799808467293</v>
      </c>
      <c r="K1962">
        <f t="shared" si="252"/>
        <v>4.7479617878445843</v>
      </c>
      <c r="L1962" s="4">
        <f>MIN(MAX(L1961*(1+MAX(MIN(((B1962-B1961)/B1961)/($K$7*卓尔金历!$N$40),0),-卓尔金历!$M$43))+MIN(MAX(((B1962-B1961)/B1961)/($K$7*卓尔金历!$N$40),0),卓尔金历!$M$43),0),1)</f>
        <v>0.9364992006669085</v>
      </c>
      <c r="M1962" s="4">
        <f>MIN(MAX(M1961*(1+MAX(MIN(((B1962-B1961)/B1961)/($K$7*30),0),-卓尔金历!$M$43))+MIN(MAX(((B1962-B1961)/B1961)/($K$7*7),0),卓尔金历!$M$43),0),1)</f>
        <v>1</v>
      </c>
      <c r="N1962">
        <f t="shared" si="253"/>
        <v>688.95190156765727</v>
      </c>
      <c r="O1962">
        <f t="shared" si="254"/>
        <v>1786.7288242203326</v>
      </c>
      <c r="P1962">
        <f t="shared" si="255"/>
        <v>3.8235235849990346E-3</v>
      </c>
      <c r="Q1962">
        <f t="shared" si="246"/>
        <v>2.9657660628662791E-2</v>
      </c>
      <c r="R1962">
        <f t="shared" si="247"/>
        <v>1</v>
      </c>
      <c r="S1962">
        <f t="shared" si="249"/>
        <v>14.951786651293013</v>
      </c>
      <c r="T1962" s="564">
        <f>IF((I1962-MAX(I$470:I1962))/MAX(I$470:I1962)&gt;T1961,T1961,(I1962-MAX(I$470:I1962))/MAX(I$470:I1962))</f>
        <v>-0.91338805338419748</v>
      </c>
      <c r="U1962" s="564">
        <f>IF((J1962-MAX(J$470:J1962))/MAX(J$470:J1962)&gt;U1961,U1961,(J1962-MAX(J$470:J1962))/MAX(J$470:J1962))</f>
        <v>-0.8283551177402233</v>
      </c>
      <c r="V1962" s="564">
        <f>IF((K1962-MAX(K$470:K1962))/MAX(K$470:K1962)&gt;V1961,V1961,(K1962-MAX(K$470:K1962))/MAX(K$470:K1962))</f>
        <v>-0.84885940676762139</v>
      </c>
      <c r="W1962" s="564">
        <f>IF((N1962-MAX(N$470:N1962))/MAX(N$470:N1962)&gt;W1961,W1961,(N1962-MAX(N$470:N1962))/MAX(N$470:N1962))</f>
        <v>-0.62788758315546067</v>
      </c>
      <c r="X1962" s="564">
        <f>IF((O1962-MAX(O$470:O1962))/MAX(O$470:O1962)&gt;X1961,X1961,(O1962-MAX(O$470:O1962))/MAX(O$470:O1962))</f>
        <v>-0.62788758315546067</v>
      </c>
    </row>
    <row r="1963" spans="1:24">
      <c r="A1963" s="799">
        <v>42365</v>
      </c>
      <c r="B1963">
        <v>419.12700000000001</v>
      </c>
      <c r="C1963">
        <v>344.25015200000001</v>
      </c>
      <c r="D1963">
        <v>1.4052439999999999</v>
      </c>
      <c r="E1963">
        <f>LN(D1963/参数实验室!$E$53)/参数实验室!$E$55</f>
        <v>-0.29160331826629599</v>
      </c>
      <c r="F1963">
        <f t="shared" si="248"/>
        <v>0.82135045463546852</v>
      </c>
      <c r="G1963">
        <f>LN(F1963/参数实验室!$E$58)/参数实验室!$E$59</f>
        <v>-0.29382413321731843</v>
      </c>
      <c r="H1963" s="856">
        <f>INDEX(神经网络!$G$10:$BO$70,MATCH(ROUND(G1963*2,1)/2,神经网络!$E$10:$E$70,0),MATCH(ROUND(E1963*2,1)/2,神经网络!$G$8:$BO$8,0))</f>
        <v>-0.5517202076005665</v>
      </c>
      <c r="I1963">
        <f t="shared" si="250"/>
        <v>902.55063135740068</v>
      </c>
      <c r="J1963">
        <f t="shared" si="251"/>
        <v>167.24272774430349</v>
      </c>
      <c r="K1963">
        <f t="shared" si="252"/>
        <v>5.3966509846533084</v>
      </c>
      <c r="L1963" s="4">
        <f>MIN(MAX(L1962*(1+MAX(MIN(((B1963-B1962)/B1962)/($K$7*卓尔金历!$N$40),0),-卓尔金历!$M$43))+MIN(MAX(((B1963-B1962)/B1962)/($K$7*卓尔金历!$N$40),0),卓尔金历!$M$43),0),1)</f>
        <v>0</v>
      </c>
      <c r="M1963" s="4">
        <f>MIN(MAX(M1962*(1+MAX(MIN(((B1963-B1962)/B1962)/($K$7*30),0),-卓尔金历!$M$43))+MIN(MAX(((B1963-B1962)/B1962)/($K$7*7),0),卓尔金历!$M$43),0),1)</f>
        <v>0.38179239650891006</v>
      </c>
      <c r="N1963">
        <f t="shared" si="253"/>
        <v>717.75793528102304</v>
      </c>
      <c r="O1963">
        <f t="shared" si="254"/>
        <v>1866.499963406191</v>
      </c>
      <c r="P1963">
        <f t="shared" si="255"/>
        <v>-8.0922307742911578E-2</v>
      </c>
      <c r="Q1963">
        <f t="shared" si="246"/>
        <v>3.4518517361230405E-2</v>
      </c>
      <c r="R1963">
        <f t="shared" si="247"/>
        <v>4.3895231206508515E-3</v>
      </c>
      <c r="S1963">
        <f t="shared" si="249"/>
        <v>15.619331181760872</v>
      </c>
      <c r="T1963" s="564">
        <f>IF((I1963-MAX(I$470:I1963))/MAX(I$470:I1963)&gt;T1962,T1962,(I1963-MAX(I$470:I1963))/MAX(I$470:I1963))</f>
        <v>-0.91338805338419748</v>
      </c>
      <c r="U1963" s="564">
        <f>IF((J1963-MAX(J$470:J1963))/MAX(J$470:J1963)&gt;U1962,U1962,(J1963-MAX(J$470:J1963))/MAX(J$470:J1963))</f>
        <v>-0.8283551177402233</v>
      </c>
      <c r="V1963" s="564">
        <f>IF((K1963-MAX(K$470:K1963))/MAX(K$470:K1963)&gt;V1962,V1962,(K1963-MAX(K$470:K1963))/MAX(K$470:K1963))</f>
        <v>-0.84885940676762139</v>
      </c>
      <c r="W1963" s="564">
        <f>IF((N1963-MAX(N$470:N1963))/MAX(N$470:N1963)&gt;W1962,W1962,(N1963-MAX(N$470:N1963))/MAX(N$470:N1963))</f>
        <v>-0.62788758315546067</v>
      </c>
      <c r="X1963" s="564">
        <f>IF((O1963-MAX(O$470:O1963))/MAX(O$470:O1963)&gt;X1962,X1962,(O1963-MAX(O$470:O1963))/MAX(O$470:O1963))</f>
        <v>-0.62788758315546067</v>
      </c>
    </row>
    <row r="1964" spans="1:24">
      <c r="A1964" s="799">
        <v>42366</v>
      </c>
      <c r="B1964">
        <v>423.26</v>
      </c>
      <c r="C1964">
        <v>345.16058399999997</v>
      </c>
      <c r="D1964">
        <v>1.399842</v>
      </c>
      <c r="E1964">
        <f>LN(D1964/参数实验室!$E$53)/参数实验室!$E$55</f>
        <v>-0.29614723235835227</v>
      </c>
      <c r="F1964">
        <f t="shared" si="248"/>
        <v>0.81548122666918677</v>
      </c>
      <c r="G1964">
        <f>LN(F1964/参数实验室!$E$58)/参数实验室!$E$59</f>
        <v>-0.29758811367485177</v>
      </c>
      <c r="H1964" s="856">
        <f>INDEX(神经网络!$G$10:$BO$70,MATCH(ROUND(G1964*2,1)/2,神经网络!$E$10:$E$70,0),MATCH(ROUND(E1964*2,1)/2,神经网络!$G$8:$BO$8,0))</f>
        <v>-0.5517202076005665</v>
      </c>
      <c r="I1964">
        <f t="shared" si="250"/>
        <v>897.6403064251092</v>
      </c>
      <c r="J1964">
        <f t="shared" si="251"/>
        <v>168.89190375483778</v>
      </c>
      <c r="K1964">
        <f t="shared" si="252"/>
        <v>5.3148806216792792</v>
      </c>
      <c r="L1964" s="4">
        <f>MIN(MAX(L1963*(1+MAX(MIN(((B1964-B1963)/B1963)/($K$7*卓尔金历!$N$40),0),-卓尔金历!$M$43))+MIN(MAX(((B1964-B1963)/B1963)/($K$7*卓尔金历!$N$40),0),卓尔金历!$M$43),0),1)</f>
        <v>0.15066620345765974</v>
      </c>
      <c r="M1964" s="4">
        <f>MIN(MAX(M1963*(1+MAX(MIN(((B1964-B1963)/B1963)/($K$7*30),0),-卓尔金历!$M$43))+MIN(MAX(((B1964-B1963)/B1963)/($K$7*7),0),卓尔金历!$M$43),0),1)</f>
        <v>0.70464854677532385</v>
      </c>
      <c r="N1964">
        <f t="shared" si="253"/>
        <v>717.75793528102304</v>
      </c>
      <c r="O1964">
        <f t="shared" si="254"/>
        <v>1862.6229802139951</v>
      </c>
      <c r="P1964">
        <f t="shared" si="255"/>
        <v>9.8609729270602488E-3</v>
      </c>
      <c r="Q1964">
        <f t="shared" ref="Q1964:Q2027" si="256">STDEVP(P1944:P1964)</f>
        <v>3.3391612057793632E-2</v>
      </c>
      <c r="R1964">
        <f t="shared" ref="R1964:R2027" si="257">MIN(Q1963*MAX(1-LN(MAX(ABS(P1964),0.0001)/Q1964),0)+MAX(-LN(MAX(ABS(P1964),0.0001)/Q1964),0),1)</f>
        <v>1</v>
      </c>
      <c r="S1964">
        <f t="shared" si="249"/>
        <v>15.618958173515686</v>
      </c>
      <c r="T1964" s="564">
        <f>IF((I1964-MAX(I$470:I1964))/MAX(I$470:I1964)&gt;T1963,T1963,(I1964-MAX(I$470:I1964))/MAX(I$470:I1964))</f>
        <v>-0.91338805338419748</v>
      </c>
      <c r="U1964" s="564">
        <f>IF((J1964-MAX(J$470:J1964))/MAX(J$470:J1964)&gt;U1963,U1963,(J1964-MAX(J$470:J1964))/MAX(J$470:J1964))</f>
        <v>-0.8283551177402233</v>
      </c>
      <c r="V1964" s="564">
        <f>IF((K1964-MAX(K$470:K1964))/MAX(K$470:K1964)&gt;V1963,V1963,(K1964-MAX(K$470:K1964))/MAX(K$470:K1964))</f>
        <v>-0.84885940676762139</v>
      </c>
      <c r="W1964" s="564">
        <f>IF((N1964-MAX(N$470:N1964))/MAX(N$470:N1964)&gt;W1963,W1963,(N1964-MAX(N$470:N1964))/MAX(N$470:N1964))</f>
        <v>-0.62788758315546067</v>
      </c>
      <c r="X1964" s="564">
        <f>IF((O1964-MAX(O$470:O1964))/MAX(O$470:O1964)&gt;X1963,X1963,(O1964-MAX(O$470:O1964))/MAX(O$470:O1964))</f>
        <v>-0.62788758315546067</v>
      </c>
    </row>
    <row r="1965" spans="1:24">
      <c r="A1965" s="799">
        <v>42367</v>
      </c>
      <c r="B1965">
        <v>419.75900000000001</v>
      </c>
      <c r="C1965">
        <v>343.351294</v>
      </c>
      <c r="D1965">
        <v>1.433306</v>
      </c>
      <c r="E1965">
        <f>LN(D1965/参数实验室!$E$53)/参数实验室!$E$55</f>
        <v>-0.26827639844685347</v>
      </c>
      <c r="F1965">
        <f t="shared" si="248"/>
        <v>0.81797244132942948</v>
      </c>
      <c r="G1965">
        <f>LN(F1965/参数实验室!$E$58)/参数实验室!$E$59</f>
        <v>-0.29598718047913941</v>
      </c>
      <c r="H1965" s="856">
        <f>INDEX(神经网络!$G$10:$BO$70,MATCH(ROUND(G1965*2,1)/2,神经网络!$E$10:$E$70,0),MATCH(ROUND(E1965*2,1)/2,神经网络!$G$8:$BO$8,0))</f>
        <v>-0.51388151638675161</v>
      </c>
      <c r="I1965">
        <f t="shared" si="250"/>
        <v>901.73674190929501</v>
      </c>
      <c r="J1965">
        <f t="shared" si="251"/>
        <v>167.49491241371015</v>
      </c>
      <c r="K1965">
        <f t="shared" si="252"/>
        <v>5.3836664583698965</v>
      </c>
      <c r="L1965" s="4">
        <f>MIN(MAX(L1964*(1+MAX(MIN(((B1965-B1964)/B1964)/($K$7*卓尔金历!$N$40),0),-卓尔金历!$M$43))+MIN(MAX(((B1965-B1964)/B1964)/($K$7*卓尔金历!$N$40),0),卓尔金历!$M$43),0),1)</f>
        <v>0.13162489420676729</v>
      </c>
      <c r="M1965" s="4">
        <f>MIN(MAX(M1964*(1+MAX(MIN(((B1965-B1964)/B1964)/($K$7*30),0),-卓尔金历!$M$43))+MIN(MAX(((B1965-B1964)/B1964)/($K$7*7),0),卓尔金历!$M$43),0),1)</f>
        <v>0.66012153745132685</v>
      </c>
      <c r="N1965">
        <f t="shared" si="253"/>
        <v>718.25144717236799</v>
      </c>
      <c r="O1965">
        <f t="shared" si="254"/>
        <v>1868.6126280899375</v>
      </c>
      <c r="P1965">
        <f t="shared" si="255"/>
        <v>-8.271511600434666E-3</v>
      </c>
      <c r="Q1965">
        <f t="shared" si="256"/>
        <v>3.3468330077696735E-2</v>
      </c>
      <c r="R1965">
        <f t="shared" si="257"/>
        <v>1</v>
      </c>
      <c r="S1965">
        <f t="shared" si="249"/>
        <v>15.690236227798714</v>
      </c>
      <c r="T1965" s="564">
        <f>IF((I1965-MAX(I$470:I1965))/MAX(I$470:I1965)&gt;T1964,T1964,(I1965-MAX(I$470:I1965))/MAX(I$470:I1965))</f>
        <v>-0.91338805338419748</v>
      </c>
      <c r="U1965" s="564">
        <f>IF((J1965-MAX(J$470:J1965))/MAX(J$470:J1965)&gt;U1964,U1964,(J1965-MAX(J$470:J1965))/MAX(J$470:J1965))</f>
        <v>-0.8283551177402233</v>
      </c>
      <c r="V1965" s="564">
        <f>IF((K1965-MAX(K$470:K1965))/MAX(K$470:K1965)&gt;V1964,V1964,(K1965-MAX(K$470:K1965))/MAX(K$470:K1965))</f>
        <v>-0.84885940676762139</v>
      </c>
      <c r="W1965" s="564">
        <f>IF((N1965-MAX(N$470:N1965))/MAX(N$470:N1965)&gt;W1964,W1964,(N1965-MAX(N$470:N1965))/MAX(N$470:N1965))</f>
        <v>-0.62788758315546067</v>
      </c>
      <c r="X1965" s="564">
        <f>IF((O1965-MAX(O$470:O1965))/MAX(O$470:O1965)&gt;X1964,X1964,(O1965-MAX(O$470:O1965))/MAX(O$470:O1965))</f>
        <v>-0.62788758315546067</v>
      </c>
    </row>
    <row r="1966" spans="1:24">
      <c r="A1966" s="799">
        <v>42368</v>
      </c>
      <c r="B1966">
        <v>430.24400000000003</v>
      </c>
      <c r="C1966">
        <v>343.02628499999997</v>
      </c>
      <c r="D1966">
        <v>1.4154929999999999</v>
      </c>
      <c r="E1966">
        <f>LN(D1966/参数实验室!$E$53)/参数实验室!$E$55</f>
        <v>-0.28303013742214267</v>
      </c>
      <c r="F1966">
        <f t="shared" si="248"/>
        <v>0.79728313468636391</v>
      </c>
      <c r="G1966">
        <f>LN(F1966/参数实验室!$E$58)/参数实验室!$E$59</f>
        <v>-0.3094333004668301</v>
      </c>
      <c r="H1966" s="856">
        <f>INDEX(神经网络!$G$10:$BO$70,MATCH(ROUND(G1966*2,1)/2,神经网络!$E$10:$E$70,0),MATCH(ROUND(E1966*2,1)/2,神经网络!$G$8:$BO$8,0))</f>
        <v>-0.5517202076005665</v>
      </c>
      <c r="I1966">
        <f t="shared" si="250"/>
        <v>890.16200360080779</v>
      </c>
      <c r="J1966">
        <f t="shared" si="251"/>
        <v>171.67870396233153</v>
      </c>
      <c r="K1966">
        <f t="shared" si="252"/>
        <v>5.1850461534013013</v>
      </c>
      <c r="L1966" s="4">
        <f>MIN(MAX(L1965*(1+MAX(MIN(((B1966-B1965)/B1965)/($K$7*卓尔金历!$N$40),0),-卓尔金历!$M$43))+MIN(MAX(((B1966-B1965)/B1965)/($K$7*卓尔金历!$N$40),0),卓尔金历!$M$43),0),1)</f>
        <v>0.51327421750464763</v>
      </c>
      <c r="M1966" s="4">
        <f>MIN(MAX(M1965*(1+MAX(MIN(((B1966-B1965)/B1965)/($K$7*30),0),-卓尔金历!$M$43))+MIN(MAX(((B1966-B1965)/B1965)/($K$7*7),0),卓尔金历!$M$43),0),1)</f>
        <v>1</v>
      </c>
      <c r="N1966">
        <f t="shared" si="253"/>
        <v>717.03792990585998</v>
      </c>
      <c r="O1966">
        <f t="shared" si="254"/>
        <v>1852.7792130076637</v>
      </c>
      <c r="P1966">
        <f t="shared" si="255"/>
        <v>2.497861868357799E-2</v>
      </c>
      <c r="Q1966">
        <f t="shared" si="256"/>
        <v>3.3777619705860643E-2</v>
      </c>
      <c r="R1966">
        <f t="shared" si="257"/>
        <v>0.34534658178239924</v>
      </c>
      <c r="S1966">
        <f t="shared" si="249"/>
        <v>15.488835564063329</v>
      </c>
      <c r="T1966" s="564">
        <f>IF((I1966-MAX(I$470:I1966))/MAX(I$470:I1966)&gt;T1965,T1965,(I1966-MAX(I$470:I1966))/MAX(I$470:I1966))</f>
        <v>-0.91338805338419748</v>
      </c>
      <c r="U1966" s="564">
        <f>IF((J1966-MAX(J$470:J1966))/MAX(J$470:J1966)&gt;U1965,U1965,(J1966-MAX(J$470:J1966))/MAX(J$470:J1966))</f>
        <v>-0.8283551177402233</v>
      </c>
      <c r="V1966" s="564">
        <f>IF((K1966-MAX(K$470:K1966))/MAX(K$470:K1966)&gt;V1965,V1965,(K1966-MAX(K$470:K1966))/MAX(K$470:K1966))</f>
        <v>-0.84885940676762139</v>
      </c>
      <c r="W1966" s="564">
        <f>IF((N1966-MAX(N$470:N1966))/MAX(N$470:N1966)&gt;W1965,W1965,(N1966-MAX(N$470:N1966))/MAX(N$470:N1966))</f>
        <v>-0.62788758315546067</v>
      </c>
      <c r="X1966" s="564">
        <f>IF((O1966-MAX(O$470:O1966))/MAX(O$470:O1966)&gt;X1965,X1965,(O1966-MAX(O$470:O1966))/MAX(O$470:O1966))</f>
        <v>-0.62788758315546067</v>
      </c>
    </row>
    <row r="1967" spans="1:24">
      <c r="A1967" s="799">
        <v>42369</v>
      </c>
      <c r="B1967">
        <v>427.452</v>
      </c>
      <c r="C1967">
        <v>348.57239399999997</v>
      </c>
      <c r="D1967">
        <v>1.425975</v>
      </c>
      <c r="E1967">
        <f>LN(D1967/参数实验室!$E$53)/参数实验室!$E$55</f>
        <v>-0.27432602419768815</v>
      </c>
      <c r="F1967">
        <f t="shared" si="248"/>
        <v>0.81546558210044628</v>
      </c>
      <c r="G1967">
        <f>LN(F1967/参数实验室!$E$58)/参数实验室!$E$59</f>
        <v>-0.29759818281396999</v>
      </c>
      <c r="H1967" s="856">
        <f>INDEX(神经网络!$G$10:$BO$70,MATCH(ROUND(G1967*2,1)/2,神经网络!$E$10:$E$70,0),MATCH(ROUND(E1967*2,1)/2,神经网络!$G$8:$BO$8,0))</f>
        <v>-0.51388151638675161</v>
      </c>
      <c r="I1967">
        <f t="shared" si="250"/>
        <v>893.3490510907576</v>
      </c>
      <c r="J1967">
        <f t="shared" si="251"/>
        <v>170.56462232153507</v>
      </c>
      <c r="K1967">
        <f t="shared" si="252"/>
        <v>5.237598740767508</v>
      </c>
      <c r="L1967" s="4">
        <f>MIN(MAX(L1966*(1+MAX(MIN(((B1967-B1966)/B1966)/($K$7*卓尔金历!$N$40),0),-卓尔金历!$M$43))+MIN(MAX(((B1967-B1966)/B1966)/($K$7*卓尔金历!$N$40),0),卓尔金历!$M$43),0),1)</f>
        <v>0.4623826158204512</v>
      </c>
      <c r="M1967" s="4">
        <f>MIN(MAX(M1966*(1+MAX(MIN(((B1967-B1966)/B1966)/($K$7*30),0),-卓尔金历!$M$43))+MIN(MAX(((B1967-B1966)/B1966)/($K$7*7),0),卓尔金历!$M$43),0),1)</f>
        <v>0.95042454895590422</v>
      </c>
      <c r="N1967">
        <f t="shared" si="253"/>
        <v>718.35561326563743</v>
      </c>
      <c r="O1967">
        <f t="shared" si="254"/>
        <v>1859.4127193990412</v>
      </c>
      <c r="P1967">
        <f t="shared" si="255"/>
        <v>-6.489340932122307E-3</v>
      </c>
      <c r="Q1967">
        <f t="shared" si="256"/>
        <v>3.2377261762356203E-2</v>
      </c>
      <c r="R1967">
        <f t="shared" si="257"/>
        <v>1</v>
      </c>
      <c r="S1967">
        <f t="shared" si="249"/>
        <v>15.507986650359097</v>
      </c>
      <c r="T1967" s="564">
        <f>IF((I1967-MAX(I$470:I1967))/MAX(I$470:I1967)&gt;T1966,T1966,(I1967-MAX(I$470:I1967))/MAX(I$470:I1967))</f>
        <v>-0.91338805338419748</v>
      </c>
      <c r="U1967" s="564">
        <f>IF((J1967-MAX(J$470:J1967))/MAX(J$470:J1967)&gt;U1966,U1966,(J1967-MAX(J$470:J1967))/MAX(J$470:J1967))</f>
        <v>-0.8283551177402233</v>
      </c>
      <c r="V1967" s="564">
        <f>IF((K1967-MAX(K$470:K1967))/MAX(K$470:K1967)&gt;V1966,V1966,(K1967-MAX(K$470:K1967))/MAX(K$470:K1967))</f>
        <v>-0.84885940676762139</v>
      </c>
      <c r="W1967" s="564">
        <f>IF((N1967-MAX(N$470:N1967))/MAX(N$470:N1967)&gt;W1966,W1966,(N1967-MAX(N$470:N1967))/MAX(N$470:N1967))</f>
        <v>-0.62788758315546067</v>
      </c>
      <c r="X1967" s="564">
        <f>IF((O1967-MAX(O$470:O1967))/MAX(O$470:O1967)&gt;X1966,X1966,(O1967-MAX(O$470:O1967))/MAX(O$470:O1967))</f>
        <v>-0.62788758315546067</v>
      </c>
    </row>
    <row r="1968" spans="1:24">
      <c r="A1968" s="799">
        <v>42370</v>
      </c>
      <c r="B1968">
        <v>430.84</v>
      </c>
      <c r="C1968">
        <v>354.44081299999999</v>
      </c>
      <c r="D1968">
        <v>1.442021</v>
      </c>
      <c r="E1968">
        <f>LN(D1968/参数实验室!$E$53)/参数实验室!$E$55</f>
        <v>-0.26112480768451557</v>
      </c>
      <c r="F1968">
        <f t="shared" si="248"/>
        <v>0.82267387661312785</v>
      </c>
      <c r="G1968">
        <f>LN(F1968/参数实验室!$E$58)/参数实验室!$E$59</f>
        <v>-0.29297912926876224</v>
      </c>
      <c r="H1968" s="856">
        <f>INDEX(神经网络!$G$10:$BO$70,MATCH(ROUND(G1968*2,1)/2,神经网络!$E$10:$E$70,0),MATCH(ROUND(E1968*2,1)/2,神经网络!$G$8:$BO$8,0))</f>
        <v>-0.51388151638675161</v>
      </c>
      <c r="I1968">
        <f t="shared" si="250"/>
        <v>889.71040157140578</v>
      </c>
      <c r="J1968">
        <f t="shared" si="251"/>
        <v>171.91652368221497</v>
      </c>
      <c r="K1968">
        <f t="shared" si="252"/>
        <v>5.1752465819749922</v>
      </c>
      <c r="L1968" s="4">
        <f>MIN(MAX(L1967*(1+MAX(MIN(((B1968-B1967)/B1967)/($K$7*卓尔金历!$N$40),0),-卓尔金历!$M$43))+MIN(MAX(((B1968-B1967)/B1967)/($K$7*卓尔金历!$N$40),0),卓尔金历!$M$43),0),1)</f>
        <v>0.58348484198763861</v>
      </c>
      <c r="M1968" s="4">
        <f>MIN(MAX(M1967*(1+MAX(MIN(((B1968-B1967)/B1967)/($K$7*30),0),-卓尔金历!$M$43))+MIN(MAX(((B1968-B1967)/B1967)/($K$7*7),0),卓尔金历!$M$43),0),1)</f>
        <v>1</v>
      </c>
      <c r="N1968">
        <f t="shared" si="253"/>
        <v>717.00273091073791</v>
      </c>
      <c r="O1968">
        <f t="shared" si="254"/>
        <v>1852.2147086969671</v>
      </c>
      <c r="P1968">
        <f t="shared" si="255"/>
        <v>7.9260361397302543E-3</v>
      </c>
      <c r="Q1968">
        <f t="shared" si="256"/>
        <v>3.2396252168621742E-2</v>
      </c>
      <c r="R1968">
        <f t="shared" si="257"/>
        <v>1</v>
      </c>
      <c r="S1968">
        <f t="shared" si="249"/>
        <v>15.444821946593478</v>
      </c>
      <c r="T1968" s="564">
        <f>IF((I1968-MAX(I$470:I1968))/MAX(I$470:I1968)&gt;T1967,T1967,(I1968-MAX(I$470:I1968))/MAX(I$470:I1968))</f>
        <v>-0.91338805338419748</v>
      </c>
      <c r="U1968" s="564">
        <f>IF((J1968-MAX(J$470:J1968))/MAX(J$470:J1968)&gt;U1967,U1967,(J1968-MAX(J$470:J1968))/MAX(J$470:J1968))</f>
        <v>-0.8283551177402233</v>
      </c>
      <c r="V1968" s="564">
        <f>IF((K1968-MAX(K$470:K1968))/MAX(K$470:K1968)&gt;V1967,V1967,(K1968-MAX(K$470:K1968))/MAX(K$470:K1968))</f>
        <v>-0.84885940676762139</v>
      </c>
      <c r="W1968" s="564">
        <f>IF((N1968-MAX(N$470:N1968))/MAX(N$470:N1968)&gt;W1967,W1967,(N1968-MAX(N$470:N1968))/MAX(N$470:N1968))</f>
        <v>-0.62788758315546067</v>
      </c>
      <c r="X1968" s="564">
        <f>IF((O1968-MAX(O$470:O1968))/MAX(O$470:O1968)&gt;X1967,X1967,(O1968-MAX(O$470:O1968))/MAX(O$470:O1968))</f>
        <v>-0.62788758315546067</v>
      </c>
    </row>
    <row r="1969" spans="1:24">
      <c r="A1969" s="799">
        <v>42371</v>
      </c>
      <c r="B1969">
        <v>434.221</v>
      </c>
      <c r="C1969">
        <v>354.06083999999998</v>
      </c>
      <c r="D1969">
        <v>1.4408570000000001</v>
      </c>
      <c r="E1969">
        <f>LN(D1969/参数实验室!$E$53)/参数实验室!$E$55</f>
        <v>-0.26207748958822924</v>
      </c>
      <c r="F1969">
        <f t="shared" si="248"/>
        <v>0.81539317536461842</v>
      </c>
      <c r="G1969">
        <f>LN(F1969/参数实验室!$E$58)/参数实验室!$E$59</f>
        <v>-0.29764478766910729</v>
      </c>
      <c r="H1969" s="856">
        <f>INDEX(神经网络!$G$10:$BO$70,MATCH(ROUND(G1969*2,1)/2,神经网络!$E$10:$E$70,0),MATCH(ROUND(E1969*2,1)/2,神经网络!$G$8:$BO$8,0))</f>
        <v>-0.51388151638675161</v>
      </c>
      <c r="I1969">
        <f t="shared" si="250"/>
        <v>886.12249753705476</v>
      </c>
      <c r="J1969">
        <f t="shared" si="251"/>
        <v>173.26563185826544</v>
      </c>
      <c r="K1969">
        <f t="shared" si="252"/>
        <v>5.1142427268087403</v>
      </c>
      <c r="L1969" s="4">
        <f>MIN(MAX(L1968*(1+MAX(MIN(((B1969-B1968)/B1968)/($K$7*卓尔金历!$N$40),0),-卓尔金历!$M$43))+MIN(MAX(((B1969-B1968)/B1968)/($K$7*卓尔金历!$N$40),0),卓尔金历!$M$43),0),1)</f>
        <v>0.70338651197421109</v>
      </c>
      <c r="M1969" s="4">
        <f>MIN(MAX(M1968*(1+MAX(MIN(((B1969-B1968)/B1968)/($K$7*30),0),-卓尔金历!$M$43))+MIN(MAX(((B1969-B1968)/B1968)/($K$7*7),0),卓尔金历!$M$43),0),1)</f>
        <v>1</v>
      </c>
      <c r="N1969">
        <f t="shared" si="253"/>
        <v>715.31562425560935</v>
      </c>
      <c r="O1969">
        <f t="shared" si="254"/>
        <v>1844.745347190031</v>
      </c>
      <c r="P1969">
        <f t="shared" si="255"/>
        <v>7.8474607743014325E-3</v>
      </c>
      <c r="Q1969">
        <f t="shared" si="256"/>
        <v>2.7679026807603875E-2</v>
      </c>
      <c r="R1969">
        <f t="shared" si="257"/>
        <v>1</v>
      </c>
      <c r="S1969">
        <f t="shared" si="249"/>
        <v>15.382538153042068</v>
      </c>
      <c r="T1969" s="564">
        <f>IF((I1969-MAX(I$470:I1969))/MAX(I$470:I1969)&gt;T1968,T1968,(I1969-MAX(I$470:I1969))/MAX(I$470:I1969))</f>
        <v>-0.91338805338419748</v>
      </c>
      <c r="U1969" s="564">
        <f>IF((J1969-MAX(J$470:J1969))/MAX(J$470:J1969)&gt;U1968,U1968,(J1969-MAX(J$470:J1969))/MAX(J$470:J1969))</f>
        <v>-0.8283551177402233</v>
      </c>
      <c r="V1969" s="564">
        <f>IF((K1969-MAX(K$470:K1969))/MAX(K$470:K1969)&gt;V1968,V1968,(K1969-MAX(K$470:K1969))/MAX(K$470:K1969))</f>
        <v>-0.84885940676762139</v>
      </c>
      <c r="W1969" s="564">
        <f>IF((N1969-MAX(N$470:N1969))/MAX(N$470:N1969)&gt;W1968,W1968,(N1969-MAX(N$470:N1969))/MAX(N$470:N1969))</f>
        <v>-0.62788758315546067</v>
      </c>
      <c r="X1969" s="564">
        <f>IF((O1969-MAX(O$470:O1969))/MAX(O$470:O1969)&gt;X1968,X1968,(O1969-MAX(O$470:O1969))/MAX(O$470:O1969))</f>
        <v>-0.62788758315546067</v>
      </c>
    </row>
    <row r="1970" spans="1:24">
      <c r="A1970" s="799">
        <v>42372</v>
      </c>
      <c r="B1970">
        <v>433.44400000000002</v>
      </c>
      <c r="C1970">
        <v>356.08610700000003</v>
      </c>
      <c r="D1970">
        <v>1.425786</v>
      </c>
      <c r="E1970">
        <f>LN(D1970/参数实验室!$E$53)/参数实验室!$E$55</f>
        <v>-0.27448240010958075</v>
      </c>
      <c r="F1970">
        <f t="shared" si="248"/>
        <v>0.82152736454997655</v>
      </c>
      <c r="G1970">
        <f>LN(F1970/参数实验室!$E$58)/参数实验室!$E$59</f>
        <v>-0.29371109756346109</v>
      </c>
      <c r="H1970" s="856">
        <f>INDEX(神经网络!$G$10:$BO$70,MATCH(ROUND(G1970*2,1)/2,神经网络!$E$10:$E$70,0),MATCH(ROUND(E1970*2,1)/2,神经网络!$G$8:$BO$8,0))</f>
        <v>-0.51388151638675161</v>
      </c>
      <c r="I1970">
        <f t="shared" si="250"/>
        <v>886.9373274343144</v>
      </c>
      <c r="J1970">
        <f t="shared" si="251"/>
        <v>172.95558836439048</v>
      </c>
      <c r="K1970">
        <f t="shared" si="252"/>
        <v>5.1281218249258052</v>
      </c>
      <c r="L1970" s="4">
        <f>MIN(MAX(L1969*(1+MAX(MIN(((B1970-B1969)/B1969)/($K$7*卓尔金历!$N$40),0),-卓尔金历!$M$43))+MIN(MAX(((B1970-B1969)/B1969)/($K$7*卓尔金历!$N$40),0),卓尔金历!$M$43),0),1)</f>
        <v>0.6841555809512273</v>
      </c>
      <c r="M1970" s="4">
        <f>MIN(MAX(M1969*(1+MAX(MIN(((B1970-B1969)/B1969)/($K$7*30),0),-卓尔金历!$M$43))+MIN(MAX(((B1970-B1969)/B1969)/($K$7*7),0),卓尔金历!$M$43),0),1)</f>
        <v>0.98632975562112513</v>
      </c>
      <c r="N1970">
        <f t="shared" si="253"/>
        <v>715.77828743708608</v>
      </c>
      <c r="O1970">
        <f t="shared" si="254"/>
        <v>1846.4416743523579</v>
      </c>
      <c r="P1970">
        <f t="shared" si="255"/>
        <v>-1.7894113826829813E-3</v>
      </c>
      <c r="Q1970">
        <f t="shared" si="256"/>
        <v>2.5197016274061363E-2</v>
      </c>
      <c r="R1970">
        <f t="shared" si="257"/>
        <v>1</v>
      </c>
      <c r="S1970">
        <f t="shared" si="249"/>
        <v>15.396683095775916</v>
      </c>
      <c r="T1970" s="564">
        <f>IF((I1970-MAX(I$470:I1970))/MAX(I$470:I1970)&gt;T1969,T1969,(I1970-MAX(I$470:I1970))/MAX(I$470:I1970))</f>
        <v>-0.91338805338419748</v>
      </c>
      <c r="U1970" s="564">
        <f>IF((J1970-MAX(J$470:J1970))/MAX(J$470:J1970)&gt;U1969,U1969,(J1970-MAX(J$470:J1970))/MAX(J$470:J1970))</f>
        <v>-0.8283551177402233</v>
      </c>
      <c r="V1970" s="564">
        <f>IF((K1970-MAX(K$470:K1970))/MAX(K$470:K1970)&gt;V1969,V1969,(K1970-MAX(K$470:K1970))/MAX(K$470:K1970))</f>
        <v>-0.84885940676762139</v>
      </c>
      <c r="W1970" s="564">
        <f>IF((N1970-MAX(N$470:N1970))/MAX(N$470:N1970)&gt;W1969,W1969,(N1970-MAX(N$470:N1970))/MAX(N$470:N1970))</f>
        <v>-0.62788758315546067</v>
      </c>
      <c r="X1970" s="564">
        <f>IF((O1970-MAX(O$470:O1970))/MAX(O$470:O1970)&gt;X1969,X1969,(O1970-MAX(O$470:O1970))/MAX(O$470:O1970))</f>
        <v>-0.62788758315546067</v>
      </c>
    </row>
    <row r="1971" spans="1:24">
      <c r="A1971" s="799">
        <v>42373</v>
      </c>
      <c r="B1971">
        <v>427.50900000000001</v>
      </c>
      <c r="C1971">
        <v>355.11499900000001</v>
      </c>
      <c r="D1971">
        <v>1.4358759999999999</v>
      </c>
      <c r="E1971">
        <f>LN(D1971/参数实验室!$E$53)/参数实验室!$E$55</f>
        <v>-0.26616292732659519</v>
      </c>
      <c r="F1971">
        <f t="shared" si="248"/>
        <v>0.83066087263659949</v>
      </c>
      <c r="G1971">
        <f>LN(F1971/参数实验室!$E$58)/参数实验室!$E$59</f>
        <v>-0.28790811776670233</v>
      </c>
      <c r="H1971" s="856">
        <f>INDEX(神经网络!$G$10:$BO$70,MATCH(ROUND(G1971*2,1)/2,神经网络!$E$10:$E$70,0),MATCH(ROUND(E1971*2,1)/2,神经网络!$G$8:$BO$8,0))</f>
        <v>-0.51388151638675161</v>
      </c>
      <c r="I1971">
        <f t="shared" si="250"/>
        <v>893.17817618790718</v>
      </c>
      <c r="J1971">
        <f t="shared" si="251"/>
        <v>170.58736682494671</v>
      </c>
      <c r="K1971">
        <f t="shared" si="252"/>
        <v>5.2358987234058691</v>
      </c>
      <c r="L1971" s="4">
        <f>MIN(MAX(L1970*(1+MAX(MIN(((B1971-B1970)/B1970)/($K$7*卓尔金历!$N$40),0),-卓尔金历!$M$43))+MIN(MAX(((B1971-B1970)/B1970)/($K$7*卓尔金历!$N$40),0),卓尔金历!$M$43),0),1)</f>
        <v>0.54102294143285734</v>
      </c>
      <c r="M1971" s="4">
        <f>MIN(MAX(M1970*(1+MAX(MIN(((B1971-B1970)/B1970)/($K$7*30),0),-卓尔金历!$M$43))+MIN(MAX(((B1971-B1970)/B1970)/($K$7*7),0),卓尔金历!$M$43),0),1)</f>
        <v>0.88315440684937785</v>
      </c>
      <c r="N1971">
        <f t="shared" si="253"/>
        <v>719.22404024747277</v>
      </c>
      <c r="O1971">
        <f t="shared" si="254"/>
        <v>1859.2563746463809</v>
      </c>
      <c r="P1971">
        <f t="shared" si="255"/>
        <v>-1.3692656952224514E-2</v>
      </c>
      <c r="Q1971">
        <f t="shared" si="256"/>
        <v>2.4872952988676596E-2</v>
      </c>
      <c r="R1971">
        <f t="shared" si="257"/>
        <v>0.63715893916340915</v>
      </c>
      <c r="S1971">
        <f t="shared" si="249"/>
        <v>15.50502036779681</v>
      </c>
      <c r="T1971" s="564">
        <f>IF((I1971-MAX(I$470:I1971))/MAX(I$470:I1971)&gt;T1970,T1970,(I1971-MAX(I$470:I1971))/MAX(I$470:I1971))</f>
        <v>-0.91338805338419748</v>
      </c>
      <c r="U1971" s="564">
        <f>IF((J1971-MAX(J$470:J1971))/MAX(J$470:J1971)&gt;U1970,U1970,(J1971-MAX(J$470:J1971))/MAX(J$470:J1971))</f>
        <v>-0.8283551177402233</v>
      </c>
      <c r="V1971" s="564">
        <f>IF((K1971-MAX(K$470:K1971))/MAX(K$470:K1971)&gt;V1970,V1970,(K1971-MAX(K$470:K1971))/MAX(K$470:K1971))</f>
        <v>-0.84885940676762139</v>
      </c>
      <c r="W1971" s="564">
        <f>IF((N1971-MAX(N$470:N1971))/MAX(N$470:N1971)&gt;W1970,W1970,(N1971-MAX(N$470:N1971))/MAX(N$470:N1971))</f>
        <v>-0.62788758315546067</v>
      </c>
      <c r="X1971" s="564">
        <f>IF((O1971-MAX(O$470:O1971))/MAX(O$470:O1971)&gt;X1970,X1970,(O1971-MAX(O$470:O1971))/MAX(O$470:O1971))</f>
        <v>-0.62788758315546067</v>
      </c>
    </row>
    <row r="1972" spans="1:24">
      <c r="A1972" s="799">
        <v>42374</v>
      </c>
      <c r="B1972">
        <v>433.74599999999998</v>
      </c>
      <c r="C1972">
        <v>355.85096199999998</v>
      </c>
      <c r="D1972">
        <v>1.432572</v>
      </c>
      <c r="E1972">
        <f>LN(D1972/参数实验室!$E$53)/参数实验室!$E$55</f>
        <v>-0.26888070812089382</v>
      </c>
      <c r="F1972">
        <f t="shared" si="248"/>
        <v>0.82041324185122166</v>
      </c>
      <c r="G1972">
        <f>LN(F1972/参数实验室!$E$58)/参数实验室!$E$59</f>
        <v>-0.29442336680193909</v>
      </c>
      <c r="H1972" s="856">
        <f>INDEX(神经网络!$G$10:$BO$70,MATCH(ROUND(G1972*2,1)/2,神经网络!$E$10:$E$70,0),MATCH(ROUND(E1972*2,1)/2,神经网络!$G$8:$BO$8,0))</f>
        <v>-0.51388151638675161</v>
      </c>
      <c r="I1972">
        <f t="shared" si="250"/>
        <v>886.48192738011335</v>
      </c>
      <c r="J1972">
        <f t="shared" si="251"/>
        <v>173.07609432983477</v>
      </c>
      <c r="K1972">
        <f t="shared" si="252"/>
        <v>5.1219201057930395</v>
      </c>
      <c r="L1972" s="4">
        <f>MIN(MAX(L1971*(1+MAX(MIN(((B1972-B1971)/B1971)/($K$7*卓尔金历!$N$40),0),-卓尔金历!$M$43))+MIN(MAX(((B1972-B1971)/B1971)/($K$7*卓尔金历!$N$40),0),卓尔金历!$M$43),0),1)</f>
        <v>0.76393140604726262</v>
      </c>
      <c r="M1972" s="4">
        <f>MIN(MAX(M1971*(1+MAX(MIN(((B1972-B1971)/B1971)/($K$7*30),0),-卓尔金历!$M$43))+MIN(MAX(((B1972-B1971)/B1971)/($K$7*7),0),卓尔金历!$M$43),0),1)</f>
        <v>1</v>
      </c>
      <c r="N1972">
        <f t="shared" si="253"/>
        <v>716.30679221477578</v>
      </c>
      <c r="O1972">
        <f t="shared" si="254"/>
        <v>1846.9460530518834</v>
      </c>
      <c r="P1972">
        <f t="shared" si="255"/>
        <v>1.4589166543862156E-2</v>
      </c>
      <c r="Q1972">
        <f t="shared" si="256"/>
        <v>2.4739333847102925E-2</v>
      </c>
      <c r="R1972">
        <f t="shared" si="257"/>
        <v>0.56612394236282948</v>
      </c>
      <c r="S1972">
        <f t="shared" si="249"/>
        <v>15.430955270000084</v>
      </c>
      <c r="T1972" s="564">
        <f>IF((I1972-MAX(I$470:I1972))/MAX(I$470:I1972)&gt;T1971,T1971,(I1972-MAX(I$470:I1972))/MAX(I$470:I1972))</f>
        <v>-0.91338805338419748</v>
      </c>
      <c r="U1972" s="564">
        <f>IF((J1972-MAX(J$470:J1972))/MAX(J$470:J1972)&gt;U1971,U1971,(J1972-MAX(J$470:J1972))/MAX(J$470:J1972))</f>
        <v>-0.8283551177402233</v>
      </c>
      <c r="V1972" s="564">
        <f>IF((K1972-MAX(K$470:K1972))/MAX(K$470:K1972)&gt;V1971,V1971,(K1972-MAX(K$470:K1972))/MAX(K$470:K1972))</f>
        <v>-0.84885940676762139</v>
      </c>
      <c r="W1972" s="564">
        <f>IF((N1972-MAX(N$470:N1972))/MAX(N$470:N1972)&gt;W1971,W1971,(N1972-MAX(N$470:N1972))/MAX(N$470:N1972))</f>
        <v>-0.62788758315546067</v>
      </c>
      <c r="X1972" s="564">
        <f>IF((O1972-MAX(O$470:O1972))/MAX(O$470:O1972)&gt;X1971,X1971,(O1972-MAX(O$470:O1972))/MAX(O$470:O1972))</f>
        <v>-0.62788758315546067</v>
      </c>
    </row>
    <row r="1973" spans="1:24">
      <c r="A1973" s="799">
        <v>42375</v>
      </c>
      <c r="B1973">
        <v>432.19799999999998</v>
      </c>
      <c r="C1973">
        <v>357.43866700000001</v>
      </c>
      <c r="D1973">
        <v>1.425427</v>
      </c>
      <c r="E1973">
        <f>LN(D1973/参数实验室!$E$53)/参数实验室!$E$55</f>
        <v>-0.27477948869385993</v>
      </c>
      <c r="F1973">
        <f t="shared" si="248"/>
        <v>0.82702526851119174</v>
      </c>
      <c r="G1973">
        <f>LN(F1973/参数实验室!$E$58)/参数实验室!$E$59</f>
        <v>-0.29021032026010746</v>
      </c>
      <c r="H1973" s="856">
        <f>INDEX(神经网络!$G$10:$BO$70,MATCH(ROUND(G1973*2,1)/2,神经网络!$E$10:$E$70,0),MATCH(ROUND(E1973*2,1)/2,神经网络!$G$8:$BO$8,0))</f>
        <v>-0.51388151638675161</v>
      </c>
      <c r="I1973">
        <f t="shared" si="250"/>
        <v>888.10773201263498</v>
      </c>
      <c r="J1973">
        <f t="shared" si="251"/>
        <v>172.45840150033877</v>
      </c>
      <c r="K1973">
        <f t="shared" si="252"/>
        <v>5.1496924724243742</v>
      </c>
      <c r="L1973" s="4">
        <f>MIN(MAX(L1972*(1+MAX(MIN(((B1973-B1972)/B1972)/($K$7*卓尔金历!$N$40),0),-卓尔金历!$M$43))+MIN(MAX(((B1973-B1972)/B1972)/($K$7*卓尔金历!$N$40),0),卓尔金历!$M$43),0),1)</f>
        <v>0.72227460493893147</v>
      </c>
      <c r="M1973" s="4">
        <f>MIN(MAX(M1972*(1+MAX(MIN(((B1973-B1972)/B1972)/($K$7*30),0),-卓尔金历!$M$43))+MIN(MAX(((B1973-B1972)/B1972)/($K$7*7),0),卓尔金历!$M$43),0),1)</f>
        <v>0.97273524770772812</v>
      </c>
      <c r="N1973">
        <f t="shared" si="253"/>
        <v>717.31037199926834</v>
      </c>
      <c r="O1973">
        <f t="shared" si="254"/>
        <v>1850.333345399674</v>
      </c>
      <c r="P1973">
        <f t="shared" si="255"/>
        <v>-3.5689089928206876E-3</v>
      </c>
      <c r="Q1973">
        <f t="shared" si="256"/>
        <v>2.3042284267859994E-2</v>
      </c>
      <c r="R1973">
        <f t="shared" si="257"/>
        <v>1</v>
      </c>
      <c r="S1973">
        <f t="shared" si="249"/>
        <v>15.446976756393264</v>
      </c>
      <c r="T1973" s="564">
        <f>IF((I1973-MAX(I$470:I1973))/MAX(I$470:I1973)&gt;T1972,T1972,(I1973-MAX(I$470:I1973))/MAX(I$470:I1973))</f>
        <v>-0.91338805338419748</v>
      </c>
      <c r="U1973" s="564">
        <f>IF((J1973-MAX(J$470:J1973))/MAX(J$470:J1973)&gt;U1972,U1972,(J1973-MAX(J$470:J1973))/MAX(J$470:J1973))</f>
        <v>-0.8283551177402233</v>
      </c>
      <c r="V1973" s="564">
        <f>IF((K1973-MAX(K$470:K1973))/MAX(K$470:K1973)&gt;V1972,V1972,(K1973-MAX(K$470:K1973))/MAX(K$470:K1973))</f>
        <v>-0.84885940676762139</v>
      </c>
      <c r="W1973" s="564">
        <f>IF((N1973-MAX(N$470:N1973))/MAX(N$470:N1973)&gt;W1972,W1972,(N1973-MAX(N$470:N1973))/MAX(N$470:N1973))</f>
        <v>-0.62788758315546067</v>
      </c>
      <c r="X1973" s="564">
        <f>IF((O1973-MAX(O$470:O1973))/MAX(O$470:O1973)&gt;X1972,X1972,(O1973-MAX(O$470:O1973))/MAX(O$470:O1973))</f>
        <v>-0.62788758315546067</v>
      </c>
    </row>
    <row r="1974" spans="1:24">
      <c r="A1974" s="799">
        <v>42376</v>
      </c>
      <c r="B1974">
        <v>430.80500000000001</v>
      </c>
      <c r="C1974">
        <v>363.970011</v>
      </c>
      <c r="D1974">
        <v>1.5136510000000001</v>
      </c>
      <c r="E1974">
        <f>LN(D1974/参数实验室!$E$53)/参数实验室!$E$55</f>
        <v>-0.20393153673555939</v>
      </c>
      <c r="F1974">
        <f t="shared" si="248"/>
        <v>0.84486022910597602</v>
      </c>
      <c r="G1974">
        <f>LN(F1974/参数实验室!$E$58)/参数实验室!$E$59</f>
        <v>-0.27901205783190869</v>
      </c>
      <c r="H1974" s="856">
        <f>INDEX(神经网络!$G$10:$BO$70,MATCH(ROUND(G1974*2,1)/2,神经网络!$E$10:$E$70,0),MATCH(ROUND(E1974*2,1)/2,神经网络!$G$8:$BO$8,0))</f>
        <v>-0.4779542486348563</v>
      </c>
      <c r="I1974">
        <f t="shared" si="250"/>
        <v>889.57867896801588</v>
      </c>
      <c r="J1974">
        <f t="shared" si="251"/>
        <v>171.90255775906749</v>
      </c>
      <c r="K1974">
        <f t="shared" si="252"/>
        <v>5.1749007726506182</v>
      </c>
      <c r="L1974" s="4">
        <f>MIN(MAX(L1973*(1+MAX(MIN(((B1974-B1973)/B1973)/($K$7*卓尔金历!$N$40),0),-卓尔金历!$M$43))+MIN(MAX(((B1974-B1973)/B1973)/($K$7*卓尔金历!$N$40),0),卓尔金历!$M$43),0),1)</f>
        <v>0.68670600363167966</v>
      </c>
      <c r="M1974" s="4">
        <f>MIN(MAX(M1973*(1+MAX(MIN(((B1974-B1973)/B1973)/($K$7*30),0),-卓尔金历!$M$43))+MIN(MAX(((B1974-B1973)/B1973)/($K$7*7),0),卓尔金历!$M$43),0),1)</f>
        <v>0.94878394721437054</v>
      </c>
      <c r="N1974">
        <f t="shared" si="253"/>
        <v>718.16847775806855</v>
      </c>
      <c r="O1974">
        <f t="shared" si="254"/>
        <v>1853.3144415871216</v>
      </c>
      <c r="P1974">
        <f t="shared" si="255"/>
        <v>-3.2230598012947128E-3</v>
      </c>
      <c r="Q1974">
        <f t="shared" si="256"/>
        <v>2.2993194651526671E-2</v>
      </c>
      <c r="R1974">
        <f t="shared" si="257"/>
        <v>1</v>
      </c>
      <c r="S1974">
        <f t="shared" si="249"/>
        <v>15.472561133840541</v>
      </c>
      <c r="T1974" s="564">
        <f>IF((I1974-MAX(I$470:I1974))/MAX(I$470:I1974)&gt;T1973,T1973,(I1974-MAX(I$470:I1974))/MAX(I$470:I1974))</f>
        <v>-0.91338805338419748</v>
      </c>
      <c r="U1974" s="564">
        <f>IF((J1974-MAX(J$470:J1974))/MAX(J$470:J1974)&gt;U1973,U1973,(J1974-MAX(J$470:J1974))/MAX(J$470:J1974))</f>
        <v>-0.8283551177402233</v>
      </c>
      <c r="V1974" s="564">
        <f>IF((K1974-MAX(K$470:K1974))/MAX(K$470:K1974)&gt;V1973,V1973,(K1974-MAX(K$470:K1974))/MAX(K$470:K1974))</f>
        <v>-0.84885940676762139</v>
      </c>
      <c r="W1974" s="564">
        <f>IF((N1974-MAX(N$470:N1974))/MAX(N$470:N1974)&gt;W1973,W1973,(N1974-MAX(N$470:N1974))/MAX(N$470:N1974))</f>
        <v>-0.62788758315546067</v>
      </c>
      <c r="X1974" s="564">
        <f>IF((O1974-MAX(O$470:O1974))/MAX(O$470:O1974)&gt;X1973,X1973,(O1974-MAX(O$470:O1974))/MAX(O$470:O1974))</f>
        <v>-0.62788758315546067</v>
      </c>
    </row>
    <row r="1975" spans="1:24">
      <c r="A1975" s="799">
        <v>42377</v>
      </c>
      <c r="B1975">
        <v>454.24799999999999</v>
      </c>
      <c r="C1975">
        <v>363.17821700000002</v>
      </c>
      <c r="D1975">
        <v>1.4953110000000001</v>
      </c>
      <c r="E1975">
        <f>LN(D1975/参数实验室!$E$53)/参数实验室!$E$55</f>
        <v>-0.21831320219929601</v>
      </c>
      <c r="F1975">
        <f t="shared" si="248"/>
        <v>0.79951528019936247</v>
      </c>
      <c r="G1975">
        <f>LN(F1975/参数实验室!$E$58)/参数实验室!$E$59</f>
        <v>-0.30796592506185888</v>
      </c>
      <c r="H1975" s="856">
        <f>INDEX(神经网络!$G$10:$BO$70,MATCH(ROUND(G1975*2,1)/2,神经网络!$E$10:$E$70,0),MATCH(ROUND(E1975*2,1)/2,神经网络!$G$8:$BO$8,0))</f>
        <v>-0.4779542486348563</v>
      </c>
      <c r="I1975">
        <f t="shared" si="250"/>
        <v>866.44188686204484</v>
      </c>
      <c r="J1975">
        <f t="shared" si="251"/>
        <v>181.25693308327638</v>
      </c>
      <c r="K1975">
        <f t="shared" si="252"/>
        <v>4.7801861817002509</v>
      </c>
      <c r="L1975" s="4">
        <f>MIN(MAX(L1974*(1+MAX(MIN(((B1975-B1974)/B1974)/($K$7*卓尔金历!$N$40),0),-卓尔金历!$M$43))+MIN(MAX(((B1975-B1974)/B1974)/($K$7*卓尔金历!$N$40),0),卓尔金历!$M$43),0),1)</f>
        <v>1</v>
      </c>
      <c r="M1975" s="4">
        <f>MIN(MAX(M1974*(1+MAX(MIN(((B1975-B1974)/B1974)/($K$7*30),0),-卓尔金历!$M$43))+MIN(MAX(((B1975-B1974)/B1974)/($K$7*7),0),卓尔金历!$M$43),0),1)</f>
        <v>1</v>
      </c>
      <c r="N1975">
        <f t="shared" si="253"/>
        <v>705.34174748983116</v>
      </c>
      <c r="O1975">
        <f t="shared" si="254"/>
        <v>1807.5808597059645</v>
      </c>
      <c r="P1975">
        <f t="shared" si="255"/>
        <v>5.4416731467833435E-2</v>
      </c>
      <c r="Q1975">
        <f t="shared" si="256"/>
        <v>2.5984429929453781E-2</v>
      </c>
      <c r="R1975">
        <f t="shared" si="257"/>
        <v>5.9972192966657656E-3</v>
      </c>
      <c r="S1975">
        <f t="shared" si="249"/>
        <v>15.070139809269353</v>
      </c>
      <c r="T1975" s="564">
        <f>IF((I1975-MAX(I$470:I1975))/MAX(I$470:I1975)&gt;T1974,T1974,(I1975-MAX(I$470:I1975))/MAX(I$470:I1975))</f>
        <v>-0.91338805338419748</v>
      </c>
      <c r="U1975" s="564">
        <f>IF((J1975-MAX(J$470:J1975))/MAX(J$470:J1975)&gt;U1974,U1974,(J1975-MAX(J$470:J1975))/MAX(J$470:J1975))</f>
        <v>-0.8283551177402233</v>
      </c>
      <c r="V1975" s="564">
        <f>IF((K1975-MAX(K$470:K1975))/MAX(K$470:K1975)&gt;V1974,V1974,(K1975-MAX(K$470:K1975))/MAX(K$470:K1975))</f>
        <v>-0.84885940676762139</v>
      </c>
      <c r="W1975" s="564">
        <f>IF((N1975-MAX(N$470:N1975))/MAX(N$470:N1975)&gt;W1974,W1974,(N1975-MAX(N$470:N1975))/MAX(N$470:N1975))</f>
        <v>-0.62788758315546067</v>
      </c>
      <c r="X1975" s="564">
        <f>IF((O1975-MAX(O$470:O1975))/MAX(O$470:O1975)&gt;X1974,X1974,(O1975-MAX(O$470:O1975))/MAX(O$470:O1975))</f>
        <v>-0.62788758315546067</v>
      </c>
    </row>
    <row r="1976" spans="1:24">
      <c r="A1976" s="799">
        <v>42378</v>
      </c>
      <c r="B1976">
        <v>453.71600000000001</v>
      </c>
      <c r="C1976">
        <v>378.51711</v>
      </c>
      <c r="D1976">
        <v>1.4806330000000001</v>
      </c>
      <c r="E1976">
        <f>LN(D1976/参数实验室!$E$53)/参数实验室!$E$55</f>
        <v>-0.22995089332152061</v>
      </c>
      <c r="F1976">
        <f t="shared" si="248"/>
        <v>0.83425999964735653</v>
      </c>
      <c r="G1976">
        <f>LN(F1976/参数实验室!$E$58)/参数实验室!$E$59</f>
        <v>-0.28563891766578492</v>
      </c>
      <c r="H1976" s="856">
        <f>INDEX(神经网络!$G$10:$BO$70,MATCH(ROUND(G1976*2,1)/2,神经网络!$E$10:$E$70,0),MATCH(ROUND(E1976*2,1)/2,神经网络!$G$8:$BO$8,0))</f>
        <v>-0.51388151638675161</v>
      </c>
      <c r="I1976">
        <f t="shared" si="250"/>
        <v>866.92688980559797</v>
      </c>
      <c r="J1976">
        <f t="shared" si="251"/>
        <v>181.04465105143407</v>
      </c>
      <c r="K1976">
        <f t="shared" si="252"/>
        <v>4.7884700529446045</v>
      </c>
      <c r="L1976" s="4">
        <f>MIN(MAX(L1975*(1+MAX(MIN(((B1976-B1975)/B1975)/($K$7*卓尔金历!$N$40),0),-卓尔金历!$M$43))+MIN(MAX(((B1976-B1975)/B1975)/($K$7*卓尔金历!$N$40),0),卓尔金历!$M$43),0),1)</f>
        <v>0.98210570111967288</v>
      </c>
      <c r="M1976" s="4">
        <f>MIN(MAX(M1975*(1+MAX(MIN(((B1976-B1975)/B1975)/($K$7*30),0),-卓尔金历!$M$43))+MIN(MAX(((B1976-B1975)/B1975)/($K$7*7),0),卓尔金历!$M$43),0),1)</f>
        <v>0.9910528505598365</v>
      </c>
      <c r="N1976">
        <f t="shared" si="253"/>
        <v>705.73657238106819</v>
      </c>
      <c r="O1976">
        <f t="shared" si="254"/>
        <v>1808.5926783298803</v>
      </c>
      <c r="P1976">
        <f t="shared" si="255"/>
        <v>-1.1711664112995155E-3</v>
      </c>
      <c r="Q1976">
        <f t="shared" si="256"/>
        <v>2.5709098133392949E-2</v>
      </c>
      <c r="R1976">
        <f t="shared" si="257"/>
        <v>1</v>
      </c>
      <c r="S1976">
        <f t="shared" si="249"/>
        <v>15.070190400139133</v>
      </c>
      <c r="T1976" s="564">
        <f>IF((I1976-MAX(I$470:I1976))/MAX(I$470:I1976)&gt;T1975,T1975,(I1976-MAX(I$470:I1976))/MAX(I$470:I1976))</f>
        <v>-0.91338805338419748</v>
      </c>
      <c r="U1976" s="564">
        <f>IF((J1976-MAX(J$470:J1976))/MAX(J$470:J1976)&gt;U1975,U1975,(J1976-MAX(J$470:J1976))/MAX(J$470:J1976))</f>
        <v>-0.8283551177402233</v>
      </c>
      <c r="V1976" s="564">
        <f>IF((K1976-MAX(K$470:K1976))/MAX(K$470:K1976)&gt;V1975,V1975,(K1976-MAX(K$470:K1976))/MAX(K$470:K1976))</f>
        <v>-0.84885940676762139</v>
      </c>
      <c r="W1976" s="564">
        <f>IF((N1976-MAX(N$470:N1976))/MAX(N$470:N1976)&gt;W1975,W1975,(N1976-MAX(N$470:N1976))/MAX(N$470:N1976))</f>
        <v>-0.62788758315546067</v>
      </c>
      <c r="X1976" s="564">
        <f>IF((O1976-MAX(O$470:O1976))/MAX(O$470:O1976)&gt;X1975,X1975,(O1976-MAX(O$470:O1976))/MAX(O$470:O1976))</f>
        <v>-0.62788758315546067</v>
      </c>
    </row>
    <row r="1977" spans="1:24">
      <c r="A1977" s="799">
        <v>42379</v>
      </c>
      <c r="B1977">
        <v>449.55700000000002</v>
      </c>
      <c r="C1977">
        <v>375.32227799999998</v>
      </c>
      <c r="D1977">
        <v>1.4736210000000001</v>
      </c>
      <c r="E1977">
        <f>LN(D1977/参数实验室!$E$53)/参数实验室!$E$55</f>
        <v>-0.23555125488920056</v>
      </c>
      <c r="F1977">
        <f t="shared" si="248"/>
        <v>0.83487139116952902</v>
      </c>
      <c r="G1977">
        <f>LN(F1977/参数实验室!$E$58)/参数实验室!$E$59</f>
        <v>-0.28525441668709028</v>
      </c>
      <c r="H1977" s="856">
        <f>INDEX(神经网络!$G$10:$BO$70,MATCH(ROUND(G1977*2,1)/2,神经网络!$E$10:$E$70,0),MATCH(ROUND(E1977*2,1)/2,神经网络!$G$8:$BO$8,0))</f>
        <v>-0.51388151638675161</v>
      </c>
      <c r="I1977">
        <f t="shared" si="250"/>
        <v>871.01055657946313</v>
      </c>
      <c r="J1977">
        <f t="shared" si="251"/>
        <v>179.38510035513306</v>
      </c>
      <c r="K1977">
        <f t="shared" si="252"/>
        <v>4.8555345725765529</v>
      </c>
      <c r="L1977" s="4">
        <f>MIN(MAX(L1976*(1+MAX(MIN(((B1977-B1976)/B1976)/($K$7*卓尔金历!$N$40),0),-卓尔金历!$M$43))+MIN(MAX(((B1977-B1976)/B1976)/($K$7*卓尔金历!$N$40),0),卓尔金历!$M$43),0),1)</f>
        <v>0.84455616303966685</v>
      </c>
      <c r="M1977" s="4">
        <f>MIN(MAX(M1976*(1+MAX(MIN(((B1977-B1976)/B1976)/($K$7*30),0),-卓尔金历!$M$43))+MIN(MAX(((B1977-B1976)/B1976)/($K$7*7),0),卓尔金历!$M$43),0),1)</f>
        <v>0.92165153171403147</v>
      </c>
      <c r="N1977">
        <f t="shared" si="253"/>
        <v>709.00146332060717</v>
      </c>
      <c r="O1977">
        <f t="shared" si="254"/>
        <v>1817.0358458488665</v>
      </c>
      <c r="P1977">
        <f t="shared" si="255"/>
        <v>-9.1665270786130352E-3</v>
      </c>
      <c r="Q1977">
        <f t="shared" si="256"/>
        <v>2.5773166179400016E-2</v>
      </c>
      <c r="R1977">
        <f t="shared" si="257"/>
        <v>1</v>
      </c>
      <c r="S1977">
        <f t="shared" si="249"/>
        <v>15.141178665166498</v>
      </c>
      <c r="T1977" s="564">
        <f>IF((I1977-MAX(I$470:I1977))/MAX(I$470:I1977)&gt;T1976,T1976,(I1977-MAX(I$470:I1977))/MAX(I$470:I1977))</f>
        <v>-0.91338805338419748</v>
      </c>
      <c r="U1977" s="564">
        <f>IF((J1977-MAX(J$470:J1977))/MAX(J$470:J1977)&gt;U1976,U1976,(J1977-MAX(J$470:J1977))/MAX(J$470:J1977))</f>
        <v>-0.8283551177402233</v>
      </c>
      <c r="V1977" s="564">
        <f>IF((K1977-MAX(K$470:K1977))/MAX(K$470:K1977)&gt;V1976,V1976,(K1977-MAX(K$470:K1977))/MAX(K$470:K1977))</f>
        <v>-0.84885940676762139</v>
      </c>
      <c r="W1977" s="564">
        <f>IF((N1977-MAX(N$470:N1977))/MAX(N$470:N1977)&gt;W1976,W1976,(N1977-MAX(N$470:N1977))/MAX(N$470:N1977))</f>
        <v>-0.62788758315546067</v>
      </c>
      <c r="X1977" s="564">
        <f>IF((O1977-MAX(O$470:O1977))/MAX(O$470:O1977)&gt;X1976,X1976,(O1977-MAX(O$470:O1977))/MAX(O$470:O1977))</f>
        <v>-0.62788758315546067</v>
      </c>
    </row>
    <row r="1978" spans="1:24">
      <c r="A1978" s="799">
        <v>42380</v>
      </c>
      <c r="B1978">
        <v>445.916</v>
      </c>
      <c r="C1978">
        <v>373.78657099999998</v>
      </c>
      <c r="D1978">
        <v>1.473184</v>
      </c>
      <c r="E1978">
        <f>LN(D1978/参数实验室!$E$53)/参数实验室!$E$55</f>
        <v>-0.23590116075090181</v>
      </c>
      <c r="F1978">
        <f t="shared" si="248"/>
        <v>0.83824435768171579</v>
      </c>
      <c r="G1978">
        <f>LN(F1978/参数实验室!$E$58)/参数实验室!$E$59</f>
        <v>-0.28313822417547257</v>
      </c>
      <c r="H1978" s="856">
        <f>INDEX(神经网络!$G$10:$BO$70,MATCH(ROUND(G1978*2,1)/2,神经网络!$E$10:$E$70,0),MATCH(ROUND(E1978*2,1)/2,神经网络!$G$8:$BO$8,0))</f>
        <v>-0.51388151638675161</v>
      </c>
      <c r="I1978">
        <f t="shared" si="250"/>
        <v>874.63567610251334</v>
      </c>
      <c r="J1978">
        <f t="shared" si="251"/>
        <v>177.93224532141534</v>
      </c>
      <c r="K1978">
        <f t="shared" si="252"/>
        <v>4.9155546512807655</v>
      </c>
      <c r="L1978" s="4">
        <f>MIN(MAX(L1977*(1+MAX(MIN(((B1978-B1977)/B1977)/($K$7*卓尔金历!$N$40),0),-卓尔金历!$M$43))+MIN(MAX(((B1978-B1977)/B1977)/($K$7*卓尔金历!$N$40),0),卓尔金历!$M$43),0),1)</f>
        <v>0.74004551794475015</v>
      </c>
      <c r="M1978" s="4">
        <f>MIN(MAX(M1977*(1+MAX(MIN(((B1978-B1977)/B1977)/($K$7*30),0),-卓尔金历!$M$43))+MIN(MAX(((B1978-B1977)/B1977)/($K$7*7),0),卓尔金历!$M$43),0),1)</f>
        <v>0.8646260783768166</v>
      </c>
      <c r="N1978">
        <f t="shared" si="253"/>
        <v>711.49361561601631</v>
      </c>
      <c r="O1978">
        <f t="shared" si="254"/>
        <v>1824.0057877133531</v>
      </c>
      <c r="P1978">
        <f t="shared" si="255"/>
        <v>-8.0990842095663498E-3</v>
      </c>
      <c r="Q1978">
        <f t="shared" si="256"/>
        <v>2.385684716723872E-2</v>
      </c>
      <c r="R1978">
        <f t="shared" si="257"/>
        <v>1</v>
      </c>
      <c r="S1978">
        <f t="shared" si="249"/>
        <v>15.204195791614012</v>
      </c>
      <c r="T1978" s="564">
        <f>IF((I1978-MAX(I$470:I1978))/MAX(I$470:I1978)&gt;T1977,T1977,(I1978-MAX(I$470:I1978))/MAX(I$470:I1978))</f>
        <v>-0.91338805338419748</v>
      </c>
      <c r="U1978" s="564">
        <f>IF((J1978-MAX(J$470:J1978))/MAX(J$470:J1978)&gt;U1977,U1977,(J1978-MAX(J$470:J1978))/MAX(J$470:J1978))</f>
        <v>-0.8283551177402233</v>
      </c>
      <c r="V1978" s="564">
        <f>IF((K1978-MAX(K$470:K1978))/MAX(K$470:K1978)&gt;V1977,V1977,(K1978-MAX(K$470:K1978))/MAX(K$470:K1978))</f>
        <v>-0.84885940676762139</v>
      </c>
      <c r="W1978" s="564">
        <f>IF((N1978-MAX(N$470:N1978))/MAX(N$470:N1978)&gt;W1977,W1977,(N1978-MAX(N$470:N1978))/MAX(N$470:N1978))</f>
        <v>-0.62788758315546067</v>
      </c>
      <c r="X1978" s="564">
        <f>IF((O1978-MAX(O$470:O1978))/MAX(O$470:O1978)&gt;X1977,X1977,(O1978-MAX(O$470:O1978))/MAX(O$470:O1978))</f>
        <v>-0.62788758315546067</v>
      </c>
    </row>
    <row r="1979" spans="1:24">
      <c r="A1979" s="799">
        <v>42381</v>
      </c>
      <c r="B1979">
        <v>448.21</v>
      </c>
      <c r="C1979">
        <v>367.65112199999999</v>
      </c>
      <c r="D1979">
        <v>1.4485699999999999</v>
      </c>
      <c r="E1979">
        <f>LN(D1979/参数实验室!$E$53)/参数实验室!$E$55</f>
        <v>-0.25577903776098443</v>
      </c>
      <c r="F1979">
        <f t="shared" si="248"/>
        <v>0.82026532652105044</v>
      </c>
      <c r="G1979">
        <f>LN(F1979/参数实验室!$E$58)/参数实验室!$E$59</f>
        <v>-0.29451800320517002</v>
      </c>
      <c r="H1979" s="856">
        <f>INDEX(神经网络!$G$10:$BO$70,MATCH(ROUND(G1979*2,1)/2,神经网络!$E$10:$E$70,0),MATCH(ROUND(E1979*2,1)/2,神经网络!$G$8:$BO$8,0))</f>
        <v>-0.51388151638675161</v>
      </c>
      <c r="I1979">
        <f t="shared" si="250"/>
        <v>872.32344870395764</v>
      </c>
      <c r="J1979">
        <f t="shared" si="251"/>
        <v>178.84761182714135</v>
      </c>
      <c r="K1979">
        <f t="shared" si="252"/>
        <v>4.877467693262072</v>
      </c>
      <c r="L1979" s="4">
        <f>MIN(MAX(L1978*(1+MAX(MIN(((B1979-B1978)/B1978)/($K$7*卓尔金历!$N$40),0),-卓尔金历!$M$43))+MIN(MAX(((B1979-B1978)/B1978)/($K$7*卓尔金历!$N$40),0),卓尔金历!$M$43),0),1)</f>
        <v>0.81864803190002622</v>
      </c>
      <c r="M1979" s="4">
        <f>MIN(MAX(M1978*(1+MAX(MIN(((B1979-B1978)/B1978)/($K$7*30),0),-卓尔金历!$M$43))+MIN(MAX(((B1979-B1978)/B1978)/($K$7*7),0),卓尔金历!$M$43),0),1)</f>
        <v>1</v>
      </c>
      <c r="N1979">
        <f t="shared" si="253"/>
        <v>710.10163625814812</v>
      </c>
      <c r="O1979">
        <f t="shared" si="254"/>
        <v>1819.8365380984985</v>
      </c>
      <c r="P1979">
        <f t="shared" si="255"/>
        <v>5.1444666708527678E-3</v>
      </c>
      <c r="Q1979">
        <f t="shared" si="256"/>
        <v>2.3714179025154443E-2</v>
      </c>
      <c r="R1979">
        <f t="shared" si="257"/>
        <v>1</v>
      </c>
      <c r="S1979">
        <f t="shared" si="249"/>
        <v>15.164001275150845</v>
      </c>
      <c r="T1979" s="564">
        <f>IF((I1979-MAX(I$470:I1979))/MAX(I$470:I1979)&gt;T1978,T1978,(I1979-MAX(I$470:I1979))/MAX(I$470:I1979))</f>
        <v>-0.91338805338419748</v>
      </c>
      <c r="U1979" s="564">
        <f>IF((J1979-MAX(J$470:J1979))/MAX(J$470:J1979)&gt;U1978,U1978,(J1979-MAX(J$470:J1979))/MAX(J$470:J1979))</f>
        <v>-0.8283551177402233</v>
      </c>
      <c r="V1979" s="564">
        <f>IF((K1979-MAX(K$470:K1979))/MAX(K$470:K1979)&gt;V1978,V1978,(K1979-MAX(K$470:K1979))/MAX(K$470:K1979))</f>
        <v>-0.84885940676762139</v>
      </c>
      <c r="W1979" s="564">
        <f>IF((N1979-MAX(N$470:N1979))/MAX(N$470:N1979)&gt;W1978,W1978,(N1979-MAX(N$470:N1979))/MAX(N$470:N1979))</f>
        <v>-0.62788758315546067</v>
      </c>
      <c r="X1979" s="564">
        <f>IF((O1979-MAX(O$470:O1979))/MAX(O$470:O1979)&gt;X1978,X1978,(O1979-MAX(O$470:O1979))/MAX(O$470:O1979))</f>
        <v>-0.62788758315546067</v>
      </c>
    </row>
    <row r="1980" spans="1:24">
      <c r="A1980" s="799">
        <v>42382</v>
      </c>
      <c r="B1980">
        <v>445.93200000000002</v>
      </c>
      <c r="C1980">
        <v>378.90398199999998</v>
      </c>
      <c r="D1980">
        <v>1.417942</v>
      </c>
      <c r="E1980">
        <f>LN(D1980/参数实验室!$E$53)/参数实验室!$E$55</f>
        <v>-0.28099076371923187</v>
      </c>
      <c r="F1980">
        <f t="shared" si="248"/>
        <v>0.84969004691298222</v>
      </c>
      <c r="G1980">
        <f>LN(F1980/参数实验室!$E$58)/参数实验室!$E$59</f>
        <v>-0.27602016517031991</v>
      </c>
      <c r="H1980" s="856">
        <f>INDEX(神经网络!$G$10:$BO$70,MATCH(ROUND(G1980*2,1)/2,神经网络!$E$10:$E$70,0),MATCH(ROUND(E1980*2,1)/2,神经网络!$G$8:$BO$8,0))</f>
        <v>-0.5517202076005665</v>
      </c>
      <c r="I1980">
        <f t="shared" si="250"/>
        <v>874.60175820721304</v>
      </c>
      <c r="J1980">
        <f t="shared" si="251"/>
        <v>177.93862974342562</v>
      </c>
      <c r="K1980">
        <f t="shared" si="252"/>
        <v>4.915187665929114</v>
      </c>
      <c r="L1980" s="4">
        <f>MIN(MAX(L1979*(1+MAX(MIN(((B1980-B1979)/B1979)/($K$7*卓尔金历!$N$40),0),-卓尔金历!$M$43))+MIN(MAX(((B1980-B1979)/B1979)/($K$7*卓尔金历!$N$40),0),卓尔金历!$M$43),0),1)</f>
        <v>0.75507608991073061</v>
      </c>
      <c r="M1980" s="4">
        <f>MIN(MAX(M1979*(1+MAX(MIN(((B1980-B1979)/B1979)/($K$7*30),0),-卓尔金历!$M$43))+MIN(MAX(((B1980-B1979)/B1979)/($K$7*7),0),卓尔金历!$M$43),0),1)</f>
        <v>0.96117260439645258</v>
      </c>
      <c r="N1980">
        <f t="shared" si="253"/>
        <v>711.61991989102</v>
      </c>
      <c r="O1980">
        <f t="shared" si="254"/>
        <v>1824.5895352640352</v>
      </c>
      <c r="P1980">
        <f t="shared" si="255"/>
        <v>-5.0824390352735621E-3</v>
      </c>
      <c r="Q1980">
        <f t="shared" si="256"/>
        <v>2.3721345588073792E-2</v>
      </c>
      <c r="R1980">
        <f t="shared" si="257"/>
        <v>1</v>
      </c>
      <c r="S1980">
        <f t="shared" si="249"/>
        <v>15.203606181179547</v>
      </c>
      <c r="T1980" s="564">
        <f>IF((I1980-MAX(I$470:I1980))/MAX(I$470:I1980)&gt;T1979,T1979,(I1980-MAX(I$470:I1980))/MAX(I$470:I1980))</f>
        <v>-0.91338805338419748</v>
      </c>
      <c r="U1980" s="564">
        <f>IF((J1980-MAX(J$470:J1980))/MAX(J$470:J1980)&gt;U1979,U1979,(J1980-MAX(J$470:J1980))/MAX(J$470:J1980))</f>
        <v>-0.8283551177402233</v>
      </c>
      <c r="V1980" s="564">
        <f>IF((K1980-MAX(K$470:K1980))/MAX(K$470:K1980)&gt;V1979,V1979,(K1980-MAX(K$470:K1980))/MAX(K$470:K1980))</f>
        <v>-0.84885940676762139</v>
      </c>
      <c r="W1980" s="564">
        <f>IF((N1980-MAX(N$470:N1980))/MAX(N$470:N1980)&gt;W1979,W1979,(N1980-MAX(N$470:N1980))/MAX(N$470:N1980))</f>
        <v>-0.62788758315546067</v>
      </c>
      <c r="X1980" s="564">
        <f>IF((O1980-MAX(O$470:O1980))/MAX(O$470:O1980)&gt;X1979,X1979,(O1980-MAX(O$470:O1980))/MAX(O$470:O1980))</f>
        <v>-0.62788758315546067</v>
      </c>
    </row>
    <row r="1981" spans="1:24">
      <c r="A1981" s="799">
        <v>42383</v>
      </c>
      <c r="B1981">
        <v>432.28500000000003</v>
      </c>
      <c r="C1981">
        <v>391.32712400000003</v>
      </c>
      <c r="D1981">
        <v>1.4098900000000001</v>
      </c>
      <c r="E1981">
        <f>LN(D1981/参数实验室!$E$53)/参数实验室!$E$55</f>
        <v>-0.28770926665252855</v>
      </c>
      <c r="F1981">
        <f t="shared" si="248"/>
        <v>0.90525260881131664</v>
      </c>
      <c r="G1981">
        <f>LN(F1981/参数实验室!$E$58)/参数实验室!$E$59</f>
        <v>-0.24277465136742324</v>
      </c>
      <c r="H1981" s="856">
        <f>INDEX(神经网络!$G$10:$BO$70,MATCH(ROUND(G1981*2,1)/2,神经网络!$E$10:$E$70,0),MATCH(ROUND(E1981*2,1)/2,神经网络!$G$8:$BO$8,0))</f>
        <v>-0.47592550752609075</v>
      </c>
      <c r="I1981">
        <f t="shared" si="250"/>
        <v>889.36894574215046</v>
      </c>
      <c r="J1981">
        <f t="shared" si="251"/>
        <v>172.49311679501974</v>
      </c>
      <c r="K1981">
        <f t="shared" si="252"/>
        <v>5.1559677410143969</v>
      </c>
      <c r="L1981" s="4">
        <f>MIN(MAX(L1980*(1+MAX(MIN(((B1981-B1980)/B1980)/($K$7*卓尔金历!$N$40),0),-卓尔金历!$M$43))+MIN(MAX(((B1981-B1980)/B1980)/($K$7*卓尔金历!$N$40),0),卓尔金历!$M$43),0),1)</f>
        <v>0.40201053501551792</v>
      </c>
      <c r="M1981" s="4">
        <f>MIN(MAX(M1980*(1+MAX(MIN(((B1981-B1980)/B1980)/($K$7*30),0),-卓尔金历!$M$43))+MIN(MAX(((B1981-B1980)/B1980)/($K$7*7),0),卓尔金历!$M$43),0),1)</f>
        <v>0.73645555703144394</v>
      </c>
      <c r="N1981">
        <f t="shared" si="253"/>
        <v>720.69240489106494</v>
      </c>
      <c r="O1981">
        <f t="shared" si="254"/>
        <v>1854.2005989089241</v>
      </c>
      <c r="P1981">
        <f t="shared" si="255"/>
        <v>-3.0603320685665059E-2</v>
      </c>
      <c r="Q1981">
        <f t="shared" si="256"/>
        <v>2.4575287869183806E-2</v>
      </c>
      <c r="R1981">
        <f t="shared" si="257"/>
        <v>1.8517661793920483E-2</v>
      </c>
      <c r="S1981">
        <f t="shared" si="249"/>
        <v>15.460311020356899</v>
      </c>
      <c r="T1981" s="564">
        <f>IF((I1981-MAX(I$470:I1981))/MAX(I$470:I1981)&gt;T1980,T1980,(I1981-MAX(I$470:I1981))/MAX(I$470:I1981))</f>
        <v>-0.91338805338419748</v>
      </c>
      <c r="U1981" s="564">
        <f>IF((J1981-MAX(J$470:J1981))/MAX(J$470:J1981)&gt;U1980,U1980,(J1981-MAX(J$470:J1981))/MAX(J$470:J1981))</f>
        <v>-0.8283551177402233</v>
      </c>
      <c r="V1981" s="564">
        <f>IF((K1981-MAX(K$470:K1981))/MAX(K$470:K1981)&gt;V1980,V1980,(K1981-MAX(K$470:K1981))/MAX(K$470:K1981))</f>
        <v>-0.84885940676762139</v>
      </c>
      <c r="W1981" s="564">
        <f>IF((N1981-MAX(N$470:N1981))/MAX(N$470:N1981)&gt;W1980,W1980,(N1981-MAX(N$470:N1981))/MAX(N$470:N1981))</f>
        <v>-0.62788758315546067</v>
      </c>
      <c r="X1981" s="564">
        <f>IF((O1981-MAX(O$470:O1981))/MAX(O$470:O1981)&gt;X1980,X1980,(O1981-MAX(O$470:O1981))/MAX(O$470:O1981))</f>
        <v>-0.62788758315546067</v>
      </c>
    </row>
    <row r="1982" spans="1:24">
      <c r="A1982" s="799">
        <v>42384</v>
      </c>
      <c r="B1982">
        <v>430.63299999999998</v>
      </c>
      <c r="C1982">
        <v>401.94553500000001</v>
      </c>
      <c r="D1982">
        <v>1.2108509999999999</v>
      </c>
      <c r="E1982">
        <f>LN(D1982/参数实验室!$E$53)/参数实验室!$E$55</f>
        <v>-0.46725387066706409</v>
      </c>
      <c r="F1982">
        <f t="shared" si="248"/>
        <v>0.93338303149085189</v>
      </c>
      <c r="G1982">
        <f>LN(F1982/参数实验室!$E$58)/参数实验室!$E$59</f>
        <v>-0.22671326549949616</v>
      </c>
      <c r="H1982" s="856">
        <f>INDEX(神经网络!$G$10:$BO$70,MATCH(ROUND(G1982*2,1)/2,神经网络!$E$10:$E$70,0),MATCH(ROUND(E1982*2,1)/2,神经网络!$G$8:$BO$8,0))</f>
        <v>-0.57635827880181312</v>
      </c>
      <c r="I1982">
        <f t="shared" si="250"/>
        <v>890.98650730937175</v>
      </c>
      <c r="J1982">
        <f t="shared" si="251"/>
        <v>171.83392522245677</v>
      </c>
      <c r="K1982">
        <f t="shared" si="252"/>
        <v>5.1851606494811646</v>
      </c>
      <c r="L1982" s="4">
        <f>MIN(MAX(L1981*(1+MAX(MIN(((B1982-B1981)/B1981)/($K$7*卓尔金历!$N$40),0),-卓尔金历!$M$43))+MIN(MAX(((B1982-B1981)/B1981)/($K$7*卓尔金历!$N$40),0),卓尔金历!$M$43),0),1)</f>
        <v>0.37853727607494375</v>
      </c>
      <c r="M1982" s="4">
        <f>MIN(MAX(M1981*(1+MAX(MIN(((B1982-B1981)/B1981)/($K$7*30),0),-卓尔金历!$M$43))+MIN(MAX(((B1982-B1981)/B1981)/($K$7*7),0),卓尔金历!$M$43),0),1)</f>
        <v>0.71495486179747869</v>
      </c>
      <c r="N1982">
        <f t="shared" si="253"/>
        <v>721.21935104388137</v>
      </c>
      <c r="O1982">
        <f t="shared" si="254"/>
        <v>1856.6842015853854</v>
      </c>
      <c r="P1982">
        <f t="shared" si="255"/>
        <v>-3.8215529106955912E-3</v>
      </c>
      <c r="Q1982">
        <f t="shared" si="256"/>
        <v>2.3859547558986352E-2</v>
      </c>
      <c r="R1982">
        <f t="shared" si="257"/>
        <v>1</v>
      </c>
      <c r="S1982">
        <f t="shared" si="249"/>
        <v>15.460831715147895</v>
      </c>
      <c r="T1982" s="564">
        <f>IF((I1982-MAX(I$470:I1982))/MAX(I$470:I1982)&gt;T1981,T1981,(I1982-MAX(I$470:I1982))/MAX(I$470:I1982))</f>
        <v>-0.91338805338419748</v>
      </c>
      <c r="U1982" s="564">
        <f>IF((J1982-MAX(J$470:J1982))/MAX(J$470:J1982)&gt;U1981,U1981,(J1982-MAX(J$470:J1982))/MAX(J$470:J1982))</f>
        <v>-0.8283551177402233</v>
      </c>
      <c r="V1982" s="564">
        <f>IF((K1982-MAX(K$470:K1982))/MAX(K$470:K1982)&gt;V1981,V1981,(K1982-MAX(K$470:K1982))/MAX(K$470:K1982))</f>
        <v>-0.84885940676762139</v>
      </c>
      <c r="W1982" s="564">
        <f>IF((N1982-MAX(N$470:N1982))/MAX(N$470:N1982)&gt;W1981,W1981,(N1982-MAX(N$470:N1982))/MAX(N$470:N1982))</f>
        <v>-0.62788758315546067</v>
      </c>
      <c r="X1982" s="564">
        <f>IF((O1982-MAX(O$470:O1982))/MAX(O$470:O1982)&gt;X1981,X1981,(O1982-MAX(O$470:O1982))/MAX(O$470:O1982))</f>
        <v>-0.62788758315546067</v>
      </c>
    </row>
    <row r="1983" spans="1:24">
      <c r="A1983" s="799">
        <v>42385</v>
      </c>
      <c r="B1983">
        <v>375.46800000000002</v>
      </c>
      <c r="C1983">
        <v>405.61449800000003</v>
      </c>
      <c r="D1983">
        <v>1.277199</v>
      </c>
      <c r="E1983">
        <f>LN(D1983/参数实验室!$E$53)/参数实验室!$E$55</f>
        <v>-0.40431877687711543</v>
      </c>
      <c r="F1983">
        <f t="shared" si="248"/>
        <v>1.0802904588407001</v>
      </c>
      <c r="G1983">
        <f>LN(F1983/参数实验室!$E$58)/参数实验室!$E$59</f>
        <v>-0.14999557401577815</v>
      </c>
      <c r="H1983" s="856">
        <f>INDEX(神经网络!$G$10:$BO$70,MATCH(ROUND(G1983*2,1)/2,神经网络!$E$10:$E$70,0),MATCH(ROUND(E1983*2,1)/2,神经网络!$G$8:$BO$8,0))</f>
        <v>-0.38990896592980601</v>
      </c>
      <c r="I1983">
        <f t="shared" si="250"/>
        <v>956.77046201693202</v>
      </c>
      <c r="J1983">
        <f t="shared" si="251"/>
        <v>149.82163521008701</v>
      </c>
      <c r="K1983">
        <f t="shared" si="252"/>
        <v>6.3860634058312273</v>
      </c>
      <c r="L1983" s="4">
        <f>MIN(MAX(L1982*(1+MAX(MIN(((B1983-B1982)/B1982)/($K$7*卓尔金历!$N$40),0),-卓尔金历!$M$43))+MIN(MAX(((B1983-B1982)/B1982)/($K$7*卓尔金历!$N$40),0),卓尔金历!$M$43),0),1)</f>
        <v>0</v>
      </c>
      <c r="M1983" s="4">
        <f>MIN(MAX(M1982*(1+MAX(MIN(((B1983-B1982)/B1982)/($K$7*30),0),-卓尔金历!$M$43))+MIN(MAX(((B1983-B1982)/B1982)/($K$7*7),0),卓尔金历!$M$43),0),1)</f>
        <v>1.5272345768631177E-2</v>
      </c>
      <c r="N1983">
        <f t="shared" si="253"/>
        <v>741.37630363359301</v>
      </c>
      <c r="O1983">
        <f t="shared" si="254"/>
        <v>1954.6931019895078</v>
      </c>
      <c r="P1983">
        <f t="shared" si="255"/>
        <v>-0.12810211943812938</v>
      </c>
      <c r="Q1983">
        <f t="shared" si="256"/>
        <v>3.5808431224438074E-2</v>
      </c>
      <c r="R1983">
        <f t="shared" si="257"/>
        <v>0</v>
      </c>
      <c r="S1983">
        <f t="shared" si="249"/>
        <v>16.602346928842763</v>
      </c>
      <c r="T1983" s="564">
        <f>IF((I1983-MAX(I$470:I1983))/MAX(I$470:I1983)&gt;T1982,T1982,(I1983-MAX(I$470:I1983))/MAX(I$470:I1983))</f>
        <v>-0.91338805338419748</v>
      </c>
      <c r="U1983" s="564">
        <f>IF((J1983-MAX(J$470:J1983))/MAX(J$470:J1983)&gt;U1982,U1982,(J1983-MAX(J$470:J1983))/MAX(J$470:J1983))</f>
        <v>-0.8283551177402233</v>
      </c>
      <c r="V1983" s="564">
        <f>IF((K1983-MAX(K$470:K1983))/MAX(K$470:K1983)&gt;V1982,V1982,(K1983-MAX(K$470:K1983))/MAX(K$470:K1983))</f>
        <v>-0.84885940676762139</v>
      </c>
      <c r="W1983" s="564">
        <f>IF((N1983-MAX(N$470:N1983))/MAX(N$470:N1983)&gt;W1982,W1982,(N1983-MAX(N$470:N1983))/MAX(N$470:N1983))</f>
        <v>-0.62788758315546067</v>
      </c>
      <c r="X1983" s="564">
        <f>IF((O1983-MAX(O$470:O1983))/MAX(O$470:O1983)&gt;X1982,X1982,(O1983-MAX(O$470:O1983))/MAX(O$470:O1983))</f>
        <v>-0.62788758315546067</v>
      </c>
    </row>
    <row r="1984" spans="1:24">
      <c r="A1984" s="799">
        <v>42386</v>
      </c>
      <c r="B1984">
        <v>382.77499999999998</v>
      </c>
      <c r="C1984">
        <v>410.66587500000003</v>
      </c>
      <c r="D1984">
        <v>1.2590209999999999</v>
      </c>
      <c r="E1984">
        <f>LN(D1984/参数实验室!$E$53)/参数实验室!$E$55</f>
        <v>-0.4212304972381673</v>
      </c>
      <c r="F1984">
        <f t="shared" si="248"/>
        <v>1.072864933707792</v>
      </c>
      <c r="G1984">
        <f>LN(F1984/参数实验室!$E$58)/参数实验室!$E$59</f>
        <v>-0.15361568648170171</v>
      </c>
      <c r="H1984" s="856">
        <f>INDEX(神经网络!$G$10:$BO$70,MATCH(ROUND(G1984*2,1)/2,神经网络!$E$10:$E$70,0),MATCH(ROUND(E1984*2,1)/2,神经网络!$G$8:$BO$8,0))</f>
        <v>-0.38990896592980601</v>
      </c>
      <c r="I1984">
        <f t="shared" si="250"/>
        <v>949.51045301895101</v>
      </c>
      <c r="J1984">
        <f t="shared" si="251"/>
        <v>152.73732093691353</v>
      </c>
      <c r="K1984">
        <f t="shared" si="252"/>
        <v>6.2166237249318774</v>
      </c>
      <c r="L1984" s="4">
        <f>MIN(MAX(L1983*(1+MAX(MIN(((B1984-B1983)/B1983)/($K$7*卓尔金历!$N$40),0),-卓尔金历!$M$43))+MIN(MAX(((B1984-B1983)/B1983)/($K$7*卓尔金历!$N$40),0),卓尔金历!$M$43),0),1)</f>
        <v>0.29734610671655798</v>
      </c>
      <c r="M1984" s="4">
        <f>MIN(MAX(M1983*(1+MAX(MIN(((B1984-B1983)/B1983)/($K$7*30),0),-卓尔金历!$M$43))+MIN(MAX(((B1984-B1983)/B1983)/($K$7*7),0),卓尔金历!$M$43),0),1)</f>
        <v>0.65244257444696974</v>
      </c>
      <c r="N1984">
        <f t="shared" si="253"/>
        <v>741.37630363359301</v>
      </c>
      <c r="O1984">
        <f t="shared" si="254"/>
        <v>1954.4665782469644</v>
      </c>
      <c r="P1984">
        <f t="shared" si="255"/>
        <v>1.9461045947990134E-2</v>
      </c>
      <c r="Q1984">
        <f t="shared" si="256"/>
        <v>3.2360450470699208E-2</v>
      </c>
      <c r="R1984">
        <f t="shared" si="257"/>
        <v>0.56254000181761254</v>
      </c>
      <c r="S1984">
        <f t="shared" si="249"/>
        <v>16.602346928842763</v>
      </c>
      <c r="T1984" s="564">
        <f>IF((I1984-MAX(I$470:I1984))/MAX(I$470:I1984)&gt;T1983,T1983,(I1984-MAX(I$470:I1984))/MAX(I$470:I1984))</f>
        <v>-0.91338805338419748</v>
      </c>
      <c r="U1984" s="564">
        <f>IF((J1984-MAX(J$470:J1984))/MAX(J$470:J1984)&gt;U1983,U1983,(J1984-MAX(J$470:J1984))/MAX(J$470:J1984))</f>
        <v>-0.8283551177402233</v>
      </c>
      <c r="V1984" s="564">
        <f>IF((K1984-MAX(K$470:K1984))/MAX(K$470:K1984)&gt;V1983,V1983,(K1984-MAX(K$470:K1984))/MAX(K$470:K1984))</f>
        <v>-0.84885940676762139</v>
      </c>
      <c r="W1984" s="564">
        <f>IF((N1984-MAX(N$470:N1984))/MAX(N$470:N1984)&gt;W1983,W1983,(N1984-MAX(N$470:N1984))/MAX(N$470:N1984))</f>
        <v>-0.62788758315546067</v>
      </c>
      <c r="X1984" s="564">
        <f>IF((O1984-MAX(O$470:O1984))/MAX(O$470:O1984)&gt;X1983,X1983,(O1984-MAX(O$470:O1984))/MAX(O$470:O1984))</f>
        <v>-0.62788758315546067</v>
      </c>
    </row>
    <row r="1985" spans="1:24">
      <c r="A1985" s="799">
        <v>42387</v>
      </c>
      <c r="B1985">
        <v>387.31299999999999</v>
      </c>
      <c r="C1985">
        <v>406.83633800000001</v>
      </c>
      <c r="D1985">
        <v>1.267412</v>
      </c>
      <c r="E1985">
        <f>LN(D1985/参数实验室!$E$53)/参数实验室!$E$55</f>
        <v>-0.41339387867759586</v>
      </c>
      <c r="F1985">
        <f t="shared" si="248"/>
        <v>1.0504071332488194</v>
      </c>
      <c r="G1985">
        <f>LN(F1985/参数实验室!$E$58)/参数实验室!$E$59</f>
        <v>-0.16471883914115115</v>
      </c>
      <c r="H1985" s="856">
        <f>INDEX(神经网络!$G$10:$BO$70,MATCH(ROUND(G1985*2,1)/2,神经网络!$E$10:$E$70,0),MATCH(ROUND(E1985*2,1)/2,神经网络!$G$8:$BO$8,0))</f>
        <v>-0.38990896592980601</v>
      </c>
      <c r="I1985">
        <f t="shared" si="250"/>
        <v>945.12126789656838</v>
      </c>
      <c r="J1985">
        <f t="shared" si="251"/>
        <v>154.54810262958341</v>
      </c>
      <c r="K1985">
        <f t="shared" si="252"/>
        <v>6.1153857719095308</v>
      </c>
      <c r="L1985" s="4">
        <f>MIN(MAX(L1984*(1+MAX(MIN(((B1985-B1984)/B1984)/($K$7*卓尔金历!$N$40),0),-卓尔金历!$M$43))+MIN(MAX(((B1985-B1984)/B1984)/($K$7*卓尔金历!$N$40),0),卓尔金历!$M$43),0),1)</f>
        <v>0.47848720842689185</v>
      </c>
      <c r="M1985" s="4">
        <f>MIN(MAX(M1984*(1+MAX(MIN(((B1985-B1984)/B1984)/($K$7*30),0),-卓尔金历!$M$43))+MIN(MAX(((B1985-B1984)/B1984)/($K$7*7),0),卓尔金历!$M$43),0),1)</f>
        <v>1</v>
      </c>
      <c r="N1985">
        <f t="shared" si="253"/>
        <v>740.35727800796735</v>
      </c>
      <c r="O1985">
        <f t="shared" si="254"/>
        <v>1948.571973502907</v>
      </c>
      <c r="P1985">
        <f t="shared" si="255"/>
        <v>1.185552870485275E-2</v>
      </c>
      <c r="Q1985">
        <f t="shared" si="256"/>
        <v>3.2403173418274499E-2</v>
      </c>
      <c r="R1985">
        <f t="shared" si="257"/>
        <v>1</v>
      </c>
      <c r="S1985">
        <f t="shared" si="249"/>
        <v>16.559174444237691</v>
      </c>
      <c r="T1985" s="564">
        <f>IF((I1985-MAX(I$470:I1985))/MAX(I$470:I1985)&gt;T1984,T1984,(I1985-MAX(I$470:I1985))/MAX(I$470:I1985))</f>
        <v>-0.91338805338419748</v>
      </c>
      <c r="U1985" s="564">
        <f>IF((J1985-MAX(J$470:J1985))/MAX(J$470:J1985)&gt;U1984,U1984,(J1985-MAX(J$470:J1985))/MAX(J$470:J1985))</f>
        <v>-0.8283551177402233</v>
      </c>
      <c r="V1985" s="564">
        <f>IF((K1985-MAX(K$470:K1985))/MAX(K$470:K1985)&gt;V1984,V1984,(K1985-MAX(K$470:K1985))/MAX(K$470:K1985))</f>
        <v>-0.84885940676762139</v>
      </c>
      <c r="W1985" s="564">
        <f>IF((N1985-MAX(N$470:N1985))/MAX(N$470:N1985)&gt;W1984,W1984,(N1985-MAX(N$470:N1985))/MAX(N$470:N1985))</f>
        <v>-0.62788758315546067</v>
      </c>
      <c r="X1985" s="564">
        <f>IF((O1985-MAX(O$470:O1985))/MAX(O$470:O1985)&gt;X1984,X1984,(O1985-MAX(O$470:O1985))/MAX(O$470:O1985))</f>
        <v>-0.62788758315546067</v>
      </c>
    </row>
    <row r="1986" spans="1:24">
      <c r="A1986" s="799">
        <v>42388</v>
      </c>
      <c r="B1986">
        <v>387.03800000000001</v>
      </c>
      <c r="C1986">
        <v>415.60389900000001</v>
      </c>
      <c r="D1986">
        <v>1.245846</v>
      </c>
      <c r="E1986">
        <f>LN(D1986/参数实验室!$E$53)/参数实验室!$E$55</f>
        <v>-0.43364105023501748</v>
      </c>
      <c r="F1986">
        <f t="shared" si="248"/>
        <v>1.073806445361954</v>
      </c>
      <c r="G1986">
        <f>LN(F1986/参数实验室!$E$58)/参数实验室!$E$59</f>
        <v>-0.15315529348927709</v>
      </c>
      <c r="H1986" s="856">
        <f>INDEX(神经网络!$G$10:$BO$70,MATCH(ROUND(G1986*2,1)/2,神经网络!$E$10:$E$70,0),MATCH(ROUND(E1986*2,1)/2,神经网络!$G$8:$BO$8,0))</f>
        <v>-0.42837081028630275</v>
      </c>
      <c r="I1986">
        <f t="shared" si="250"/>
        <v>945.38291828131412</v>
      </c>
      <c r="J1986">
        <f t="shared" si="251"/>
        <v>154.43837037628148</v>
      </c>
      <c r="K1986">
        <f t="shared" si="252"/>
        <v>6.1214251094332015</v>
      </c>
      <c r="L1986" s="4">
        <f>MIN(MAX(L1985*(1+MAX(MIN(((B1986-B1985)/B1985)/($K$7*卓尔金历!$N$40),0),-卓尔金历!$M$43))+MIN(MAX(((B1986-B1985)/B1985)/($K$7*卓尔金历!$N$40),0),卓尔金历!$M$43),0),1)</f>
        <v>0.47329637574606803</v>
      </c>
      <c r="M1986" s="4">
        <f>MIN(MAX(M1985*(1+MAX(MIN(((B1986-B1985)/B1985)/($K$7*30),0),-卓尔金历!$M$43))+MIN(MAX(((B1986-B1985)/B1985)/($K$7*7),0),卓尔金历!$M$43),0),1)</f>
        <v>0.99457578740935459</v>
      </c>
      <c r="N1986">
        <f t="shared" si="253"/>
        <v>740.45535011899608</v>
      </c>
      <c r="O1986">
        <f t="shared" si="254"/>
        <v>1949.1114223798818</v>
      </c>
      <c r="P1986">
        <f t="shared" si="255"/>
        <v>-7.100200612940368E-4</v>
      </c>
      <c r="Q1986">
        <f t="shared" si="256"/>
        <v>3.2391940311326091E-2</v>
      </c>
      <c r="R1986">
        <f t="shared" si="257"/>
        <v>1</v>
      </c>
      <c r="S1986">
        <f t="shared" si="249"/>
        <v>16.563758738879635</v>
      </c>
      <c r="T1986" s="564">
        <f>IF((I1986-MAX(I$470:I1986))/MAX(I$470:I1986)&gt;T1985,T1985,(I1986-MAX(I$470:I1986))/MAX(I$470:I1986))</f>
        <v>-0.91338805338419748</v>
      </c>
      <c r="U1986" s="564">
        <f>IF((J1986-MAX(J$470:J1986))/MAX(J$470:J1986)&gt;U1985,U1985,(J1986-MAX(J$470:J1986))/MAX(J$470:J1986))</f>
        <v>-0.8283551177402233</v>
      </c>
      <c r="V1986" s="564">
        <f>IF((K1986-MAX(K$470:K1986))/MAX(K$470:K1986)&gt;V1985,V1985,(K1986-MAX(K$470:K1986))/MAX(K$470:K1986))</f>
        <v>-0.84885940676762139</v>
      </c>
      <c r="W1986" s="564">
        <f>IF((N1986-MAX(N$470:N1986))/MAX(N$470:N1986)&gt;W1985,W1985,(N1986-MAX(N$470:N1986))/MAX(N$470:N1986))</f>
        <v>-0.62788758315546067</v>
      </c>
      <c r="X1986" s="564">
        <f>IF((O1986-MAX(O$470:O1986))/MAX(O$470:O1986)&gt;X1985,X1985,(O1986-MAX(O$470:O1986))/MAX(O$470:O1986))</f>
        <v>-0.62788758315546067</v>
      </c>
    </row>
    <row r="1987" spans="1:24">
      <c r="A1987" s="799">
        <v>42389</v>
      </c>
      <c r="B1987">
        <v>382.21199999999999</v>
      </c>
      <c r="C1987">
        <v>415.13440300000002</v>
      </c>
      <c r="D1987">
        <v>1.38226</v>
      </c>
      <c r="E1987">
        <f>LN(D1987/参数实验室!$E$53)/参数实验室!$E$55</f>
        <v>-0.3110587616133646</v>
      </c>
      <c r="F1987">
        <f t="shared" si="248"/>
        <v>1.0861364975458647</v>
      </c>
      <c r="G1987">
        <f>LN(F1987/参数实验室!$E$58)/参数实验室!$E$59</f>
        <v>-0.14716296109156338</v>
      </c>
      <c r="H1987" s="856">
        <f>INDEX(神经网络!$G$10:$BO$70,MATCH(ROUND(G1987*2,1)/2,神经网络!$E$10:$E$70,0),MATCH(ROUND(E1987*2,1)/2,神经网络!$G$8:$BO$8,0))</f>
        <v>-0.31016069708053556</v>
      </c>
      <c r="I1987">
        <f t="shared" si="250"/>
        <v>950.43256890978762</v>
      </c>
      <c r="J1987">
        <f t="shared" si="251"/>
        <v>152.51266908742627</v>
      </c>
      <c r="K1987">
        <f t="shared" si="252"/>
        <v>6.2318269990079465</v>
      </c>
      <c r="L1987" s="4">
        <f>MIN(MAX(L1986*(1+MAX(MIN(((B1987-B1986)/B1986)/($K$7*卓尔金历!$N$40),0),-卓尔金历!$M$43))+MIN(MAX(((B1987-B1986)/B1986)/($K$7*卓尔金历!$N$40),0),卓尔金历!$M$43),0),1)</f>
        <v>0.38312618921939584</v>
      </c>
      <c r="M1987" s="4">
        <f>MIN(MAX(M1986*(1+MAX(MIN(((B1987-B1986)/B1986)/($K$7*30),0),-卓尔金历!$M$43))+MIN(MAX(((B1987-B1986)/B1986)/($K$7*7),0),卓尔金历!$M$43),0),1)</f>
        <v>0.89983485037571798</v>
      </c>
      <c r="N1987">
        <f t="shared" si="253"/>
        <v>742.32726300909064</v>
      </c>
      <c r="O1987">
        <f t="shared" si="254"/>
        <v>1959.4658984657729</v>
      </c>
      <c r="P1987">
        <f t="shared" si="255"/>
        <v>-1.2469059885592685E-2</v>
      </c>
      <c r="Q1987">
        <f t="shared" si="256"/>
        <v>3.1811652251516789E-2</v>
      </c>
      <c r="R1987">
        <f t="shared" si="257"/>
        <v>0.99931193649861172</v>
      </c>
      <c r="S1987">
        <f t="shared" si="249"/>
        <v>16.652232089844897</v>
      </c>
      <c r="T1987" s="564">
        <f>IF((I1987-MAX(I$470:I1987))/MAX(I$470:I1987)&gt;T1986,T1986,(I1987-MAX(I$470:I1987))/MAX(I$470:I1987))</f>
        <v>-0.91338805338419748</v>
      </c>
      <c r="U1987" s="564">
        <f>IF((J1987-MAX(J$470:J1987))/MAX(J$470:J1987)&gt;U1986,U1986,(J1987-MAX(J$470:J1987))/MAX(J$470:J1987))</f>
        <v>-0.8283551177402233</v>
      </c>
      <c r="V1987" s="564">
        <f>IF((K1987-MAX(K$470:K1987))/MAX(K$470:K1987)&gt;V1986,V1986,(K1987-MAX(K$470:K1987))/MAX(K$470:K1987))</f>
        <v>-0.84885940676762139</v>
      </c>
      <c r="W1987" s="564">
        <f>IF((N1987-MAX(N$470:N1987))/MAX(N$470:N1987)&gt;W1986,W1986,(N1987-MAX(N$470:N1987))/MAX(N$470:N1987))</f>
        <v>-0.62788758315546067</v>
      </c>
      <c r="X1987" s="564">
        <f>IF((O1987-MAX(O$470:O1987))/MAX(O$470:O1987)&gt;X1986,X1986,(O1987-MAX(O$470:O1987))/MAX(O$470:O1987))</f>
        <v>-0.62788758315546067</v>
      </c>
    </row>
    <row r="1988" spans="1:24">
      <c r="A1988" s="799">
        <v>42390</v>
      </c>
      <c r="B1988">
        <v>417.34</v>
      </c>
      <c r="C1988">
        <v>418.945311</v>
      </c>
      <c r="D1988">
        <v>1.3452440000000001</v>
      </c>
      <c r="E1988">
        <f>LN(D1988/参数实验室!$E$53)/参数实验室!$E$55</f>
        <v>-0.34308249279156838</v>
      </c>
      <c r="F1988">
        <f t="shared" si="248"/>
        <v>1.0038465304068627</v>
      </c>
      <c r="G1988">
        <f>LN(F1988/参数实验室!$E$58)/参数实验室!$E$59</f>
        <v>-0.1885150305059633</v>
      </c>
      <c r="H1988" s="856">
        <f>INDEX(神经网络!$G$10:$BO$70,MATCH(ROUND(G1988*2,1)/2,神经网络!$E$10:$E$70,0),MATCH(ROUND(E1988*2,1)/2,神经网络!$G$8:$BO$8,0))</f>
        <v>-0.43513968992096197</v>
      </c>
      <c r="I1988">
        <f t="shared" si="250"/>
        <v>923.33956372539888</v>
      </c>
      <c r="J1988">
        <f t="shared" si="251"/>
        <v>166.52966761102866</v>
      </c>
      <c r="K1988">
        <f t="shared" si="252"/>
        <v>5.5445950080323669</v>
      </c>
      <c r="L1988" s="4">
        <f>MIN(MAX(L1987*(1+MAX(MIN(((B1988-B1987)/B1987)/($K$7*卓尔金历!$N$40),0),-卓尔金历!$M$43))+MIN(MAX(((B1988-B1987)/B1987)/($K$7*卓尔金历!$N$40),0),卓尔金历!$M$43),0),1)</f>
        <v>1</v>
      </c>
      <c r="M1988" s="4">
        <f>MIN(MAX(M1987*(1+MAX(MIN(((B1988-B1987)/B1987)/($K$7*30),0),-卓尔金历!$M$43))+MIN(MAX(((B1988-B1987)/B1987)/($K$7*7),0),卓尔金历!$M$43),0),1)</f>
        <v>1</v>
      </c>
      <c r="N1988">
        <f t="shared" si="253"/>
        <v>734.22002130717919</v>
      </c>
      <c r="O1988">
        <f t="shared" si="254"/>
        <v>1909.204289278179</v>
      </c>
      <c r="P1988">
        <f t="shared" si="255"/>
        <v>9.1907109143616592E-2</v>
      </c>
      <c r="Q1988">
        <f t="shared" si="256"/>
        <v>3.7919537043801882E-2</v>
      </c>
      <c r="R1988">
        <f t="shared" si="257"/>
        <v>3.6484174709796946E-3</v>
      </c>
      <c r="S1988">
        <f t="shared" si="249"/>
        <v>16.177870626400281</v>
      </c>
      <c r="T1988" s="564">
        <f>IF((I1988-MAX(I$470:I1988))/MAX(I$470:I1988)&gt;T1987,T1987,(I1988-MAX(I$470:I1988))/MAX(I$470:I1988))</f>
        <v>-0.91338805338419748</v>
      </c>
      <c r="U1988" s="564">
        <f>IF((J1988-MAX(J$470:J1988))/MAX(J$470:J1988)&gt;U1987,U1987,(J1988-MAX(J$470:J1988))/MAX(J$470:J1988))</f>
        <v>-0.8283551177402233</v>
      </c>
      <c r="V1988" s="564">
        <f>IF((K1988-MAX(K$470:K1988))/MAX(K$470:K1988)&gt;V1987,V1987,(K1988-MAX(K$470:K1988))/MAX(K$470:K1988))</f>
        <v>-0.84885940676762139</v>
      </c>
      <c r="W1988" s="564">
        <f>IF((N1988-MAX(N$470:N1988))/MAX(N$470:N1988)&gt;W1987,W1987,(N1988-MAX(N$470:N1988))/MAX(N$470:N1988))</f>
        <v>-0.62788758315546067</v>
      </c>
      <c r="X1988" s="564">
        <f>IF((O1988-MAX(O$470:O1988))/MAX(O$470:O1988)&gt;X1987,X1987,(O1988-MAX(O$470:O1988))/MAX(O$470:O1988))</f>
        <v>-0.62788758315546067</v>
      </c>
    </row>
    <row r="1989" spans="1:24">
      <c r="A1989" s="799">
        <v>42391</v>
      </c>
      <c r="B1989">
        <v>410.27300000000002</v>
      </c>
      <c r="C1989">
        <v>414.218098</v>
      </c>
      <c r="D1989">
        <v>1.2597320000000001</v>
      </c>
      <c r="E1989">
        <f>LN(D1989/参数实验室!$E$53)/参数实验室!$E$55</f>
        <v>-0.42056444973073503</v>
      </c>
      <c r="F1989">
        <f t="shared" ref="F1989:F2052" si="258">C1989/B1989</f>
        <v>1.0096157875365914</v>
      </c>
      <c r="G1989">
        <f>LN(F1989/参数实验室!$E$58)/参数实验室!$E$59</f>
        <v>-0.18550725013676475</v>
      </c>
      <c r="H1989" s="856">
        <f>INDEX(神经网络!$G$10:$BO$70,MATCH(ROUND(G1989*2,1)/2,神经网络!$E$10:$E$70,0),MATCH(ROUND(E1989*2,1)/2,神经网络!$G$8:$BO$8,0))</f>
        <v>-0.47127462620209248</v>
      </c>
      <c r="I1989">
        <f t="shared" si="250"/>
        <v>930.14310811003929</v>
      </c>
      <c r="J1989">
        <f t="shared" si="251"/>
        <v>163.70974821435655</v>
      </c>
      <c r="K1989">
        <f t="shared" si="252"/>
        <v>5.6816598782629502</v>
      </c>
      <c r="L1989" s="4">
        <f>MIN(MAX(L1988*(1+MAX(MIN(((B1989-B1988)/B1988)/($K$7*卓尔金历!$N$40),0),-卓尔金历!$M$43))+MIN(MAX(((B1989-B1988)/B1988)/($K$7*卓尔金历!$N$40),0),卓尔金历!$M$43),0),1)</f>
        <v>0.74127335432160013</v>
      </c>
      <c r="M1989" s="4">
        <f>MIN(MAX(M1988*(1+MAX(MIN(((B1989-B1988)/B1988)/($K$7*30),0),-卓尔金历!$M$43))+MIN(MAX(((B1989-B1988)/B1988)/($K$7*7),0),卓尔金历!$M$43),0),1)</f>
        <v>0.87063667716080007</v>
      </c>
      <c r="N1989">
        <f t="shared" si="253"/>
        <v>739.63005538272614</v>
      </c>
      <c r="O1989">
        <f t="shared" si="254"/>
        <v>1923.2720890690184</v>
      </c>
      <c r="P1989">
        <f t="shared" si="255"/>
        <v>-1.6933435568121796E-2</v>
      </c>
      <c r="Q1989">
        <f t="shared" si="256"/>
        <v>3.8029083233113395E-2</v>
      </c>
      <c r="R1989">
        <f t="shared" si="257"/>
        <v>0.87765987169632487</v>
      </c>
      <c r="S1989">
        <f t="shared" si="249"/>
        <v>16.178305536669374</v>
      </c>
      <c r="T1989" s="564">
        <f>IF((I1989-MAX(I$470:I1989))/MAX(I$470:I1989)&gt;T1988,T1988,(I1989-MAX(I$470:I1989))/MAX(I$470:I1989))</f>
        <v>-0.91338805338419748</v>
      </c>
      <c r="U1989" s="564">
        <f>IF((J1989-MAX(J$470:J1989))/MAX(J$470:J1989)&gt;U1988,U1988,(J1989-MAX(J$470:J1989))/MAX(J$470:J1989))</f>
        <v>-0.8283551177402233</v>
      </c>
      <c r="V1989" s="564">
        <f>IF((K1989-MAX(K$470:K1989))/MAX(K$470:K1989)&gt;V1988,V1988,(K1989-MAX(K$470:K1989))/MAX(K$470:K1989))</f>
        <v>-0.84885940676762139</v>
      </c>
      <c r="W1989" s="564">
        <f>IF((N1989-MAX(N$470:N1989))/MAX(N$470:N1989)&gt;W1988,W1988,(N1989-MAX(N$470:N1989))/MAX(N$470:N1989))</f>
        <v>-0.62788758315546067</v>
      </c>
      <c r="X1989" s="564">
        <f>IF((O1989-MAX(O$470:O1989))/MAX(O$470:O1989)&gt;X1988,X1988,(O1989-MAX(O$470:O1989))/MAX(O$470:O1989))</f>
        <v>-0.62788758315546067</v>
      </c>
    </row>
    <row r="1990" spans="1:24">
      <c r="A1990" s="799">
        <v>42392</v>
      </c>
      <c r="B1990">
        <v>378.53800000000001</v>
      </c>
      <c r="C1990">
        <v>403.83566999999999</v>
      </c>
      <c r="D1990">
        <v>1.2770520000000001</v>
      </c>
      <c r="E1990">
        <f>LN(D1990/参数实验室!$E$53)/参数实验室!$E$55</f>
        <v>-0.40445456911292549</v>
      </c>
      <c r="F1990">
        <f t="shared" si="258"/>
        <v>1.0668299351716339</v>
      </c>
      <c r="G1990">
        <f>LN(F1990/参数实验室!$E$58)/参数实验室!$E$59</f>
        <v>-0.15657639067101642</v>
      </c>
      <c r="H1990" s="856">
        <f>INDEX(神经网络!$G$10:$BO$70,MATCH(ROUND(G1990*2,1)/2,神经网络!$E$10:$E$70,0),MATCH(ROUND(E1990*2,1)/2,神经网络!$G$8:$BO$8,0))</f>
        <v>-0.38990896592980601</v>
      </c>
      <c r="I1990">
        <f t="shared" si="250"/>
        <v>964.05011041037903</v>
      </c>
      <c r="J1990">
        <f t="shared" si="251"/>
        <v>151.04664618331233</v>
      </c>
      <c r="K1990">
        <f t="shared" si="252"/>
        <v>6.3824661769741926</v>
      </c>
      <c r="L1990" s="4">
        <f>MIN(MAX(L1989*(1+MAX(MIN(((B1990-B1989)/B1989)/($K$7*卓尔金历!$N$40),0),-卓尔金历!$M$43))+MIN(MAX(((B1990-B1989)/B1989)/($K$7*卓尔金历!$N$40),0),卓尔金历!$M$43),0),1)</f>
        <v>0</v>
      </c>
      <c r="M1990" s="4">
        <f>MIN(MAX(M1989*(1+MAX(MIN(((B1990-B1989)/B1989)/($K$7*30),0),-卓尔金历!$M$43))+MIN(MAX(((B1990-B1989)/B1989)/($K$7*7),0),卓尔金历!$M$43),0),1)</f>
        <v>0.35615654632718263</v>
      </c>
      <c r="N1990">
        <f t="shared" si="253"/>
        <v>759.61636280362507</v>
      </c>
      <c r="O1990">
        <f t="shared" si="254"/>
        <v>1984.3124806431492</v>
      </c>
      <c r="P1990">
        <f t="shared" si="255"/>
        <v>-7.7350934621581269E-2</v>
      </c>
      <c r="Q1990">
        <f t="shared" si="256"/>
        <v>4.1217704804125767E-2</v>
      </c>
      <c r="R1990">
        <f t="shared" si="257"/>
        <v>1.409035460973126E-2</v>
      </c>
      <c r="S1990">
        <f t="shared" si="249"/>
        <v>16.695911055593541</v>
      </c>
      <c r="T1990" s="564">
        <f>IF((I1990-MAX(I$470:I1990))/MAX(I$470:I1990)&gt;T1989,T1989,(I1990-MAX(I$470:I1990))/MAX(I$470:I1990))</f>
        <v>-0.91338805338419748</v>
      </c>
      <c r="U1990" s="564">
        <f>IF((J1990-MAX(J$470:J1990))/MAX(J$470:J1990)&gt;U1989,U1989,(J1990-MAX(J$470:J1990))/MAX(J$470:J1990))</f>
        <v>-0.8283551177402233</v>
      </c>
      <c r="V1990" s="564">
        <f>IF((K1990-MAX(K$470:K1990))/MAX(K$470:K1990)&gt;V1989,V1989,(K1990-MAX(K$470:K1990))/MAX(K$470:K1990))</f>
        <v>-0.84885940676762139</v>
      </c>
      <c r="W1990" s="564">
        <f>IF((N1990-MAX(N$470:N1990))/MAX(N$470:N1990)&gt;W1989,W1989,(N1990-MAX(N$470:N1990))/MAX(N$470:N1990))</f>
        <v>-0.62788758315546067</v>
      </c>
      <c r="X1990" s="564">
        <f>IF((O1990-MAX(O$470:O1990))/MAX(O$470:O1990)&gt;X1989,X1989,(O1990-MAX(O$470:O1990))/MAX(O$470:O1990))</f>
        <v>-0.62788758315546067</v>
      </c>
    </row>
    <row r="1991" spans="1:24">
      <c r="A1991" s="799">
        <v>42393</v>
      </c>
      <c r="B1991">
        <v>389.1</v>
      </c>
      <c r="C1991">
        <v>401.885064</v>
      </c>
      <c r="D1991">
        <v>1.332087</v>
      </c>
      <c r="E1991">
        <f>LN(D1991/参数实验室!$E$53)/参数实验室!$E$55</f>
        <v>-0.35467772579249213</v>
      </c>
      <c r="F1991">
        <f t="shared" si="258"/>
        <v>1.0328580416345412</v>
      </c>
      <c r="G1991">
        <f>LN(F1991/参数实验室!$E$58)/参数实验室!$E$59</f>
        <v>-0.17356162082234944</v>
      </c>
      <c r="H1991" s="856">
        <f>INDEX(神经网络!$G$10:$BO$70,MATCH(ROUND(G1991*2,1)/2,神经网络!$E$10:$E$70,0),MATCH(ROUND(E1991*2,1)/2,神经网络!$G$8:$BO$8,0))</f>
        <v>-0.35365214793145566</v>
      </c>
      <c r="I1991">
        <f t="shared" si="250"/>
        <v>953.56194542341291</v>
      </c>
      <c r="J1991">
        <f t="shared" si="251"/>
        <v>155.26116276285825</v>
      </c>
      <c r="K1991">
        <f t="shared" si="252"/>
        <v>6.1416643316001567</v>
      </c>
      <c r="L1991" s="4">
        <f>MIN(MAX(L1990*(1+MAX(MIN(((B1991-B1990)/B1990)/($K$7*卓尔金历!$N$40),0),-卓尔金历!$M$43))+MIN(MAX(((B1991-B1990)/B1990)/($K$7*卓尔金历!$N$40),0),卓尔金历!$M$43),0),1)</f>
        <v>0.4263171053020372</v>
      </c>
      <c r="M1991" s="4">
        <f>MIN(MAX(M1990*(1+MAX(MIN(((B1991-B1990)/B1990)/($K$7*30),0),-卓尔金历!$M$43))+MIN(MAX(((B1991-B1990)/B1990)/($K$7*7),0),卓尔金历!$M$43),0),1)</f>
        <v>1</v>
      </c>
      <c r="N1991">
        <f t="shared" si="253"/>
        <v>759.61636280362507</v>
      </c>
      <c r="O1991">
        <f t="shared" si="254"/>
        <v>1976.6238163825208</v>
      </c>
      <c r="P1991">
        <f t="shared" si="255"/>
        <v>2.7902086448388302E-2</v>
      </c>
      <c r="Q1991">
        <f t="shared" si="256"/>
        <v>4.1830190418562278E-2</v>
      </c>
      <c r="R1991">
        <f t="shared" si="257"/>
        <v>0.46282431727792739</v>
      </c>
      <c r="S1991">
        <f t="shared" si="249"/>
        <v>16.693351692239105</v>
      </c>
      <c r="T1991" s="564">
        <f>IF((I1991-MAX(I$470:I1991))/MAX(I$470:I1991)&gt;T1990,T1990,(I1991-MAX(I$470:I1991))/MAX(I$470:I1991))</f>
        <v>-0.91338805338419748</v>
      </c>
      <c r="U1991" s="564">
        <f>IF((J1991-MAX(J$470:J1991))/MAX(J$470:J1991)&gt;U1990,U1990,(J1991-MAX(J$470:J1991))/MAX(J$470:J1991))</f>
        <v>-0.8283551177402233</v>
      </c>
      <c r="V1991" s="564">
        <f>IF((K1991-MAX(K$470:K1991))/MAX(K$470:K1991)&gt;V1990,V1990,(K1991-MAX(K$470:K1991))/MAX(K$470:K1991))</f>
        <v>-0.84885940676762139</v>
      </c>
      <c r="W1991" s="564">
        <f>IF((N1991-MAX(N$470:N1991))/MAX(N$470:N1991)&gt;W1990,W1990,(N1991-MAX(N$470:N1991))/MAX(N$470:N1991))</f>
        <v>-0.62788758315546067</v>
      </c>
      <c r="X1991" s="564">
        <f>IF((O1991-MAX(O$470:O1991))/MAX(O$470:O1991)&gt;X1990,X1990,(O1991-MAX(O$470:O1991))/MAX(O$470:O1991))</f>
        <v>-0.62788758315546067</v>
      </c>
    </row>
    <row r="1992" spans="1:24">
      <c r="A1992" s="799">
        <v>42394</v>
      </c>
      <c r="B1992">
        <v>403.93400000000003</v>
      </c>
      <c r="C1992">
        <v>404.55049200000002</v>
      </c>
      <c r="D1992">
        <v>1.2937369999999999</v>
      </c>
      <c r="E1992">
        <f>LN(D1992/参数实验室!$E$53)/参数实验室!$E$55</f>
        <v>-0.38914062520820192</v>
      </c>
      <c r="F1992">
        <f t="shared" si="258"/>
        <v>1.0015262196299395</v>
      </c>
      <c r="G1992">
        <f>LN(F1992/参数实验室!$E$58)/参数实验室!$E$59</f>
        <v>-0.18972959277216489</v>
      </c>
      <c r="H1992" s="856">
        <f>INDEX(神经网络!$G$10:$BO$70,MATCH(ROUND(G1992*2,1)/2,神经网络!$E$10:$E$70,0),MATCH(ROUND(E1992*2,1)/2,神经网络!$G$8:$BO$8,0))</f>
        <v>-0.47127462620209248</v>
      </c>
      <c r="I1992">
        <f t="shared" si="250"/>
        <v>940.70546019966673</v>
      </c>
      <c r="J1992">
        <f t="shared" si="251"/>
        <v>161.18032001915287</v>
      </c>
      <c r="K1992">
        <f t="shared" si="252"/>
        <v>5.8363543395861468</v>
      </c>
      <c r="L1992" s="4">
        <f>MIN(MAX(L1991*(1+MAX(MIN(((B1992-B1991)/B1991)/($K$7*卓尔金历!$N$40),0),-卓尔金历!$M$43))+MIN(MAX(((B1992-B1991)/B1991)/($K$7*卓尔金历!$N$40),0),卓尔金历!$M$43),0),1)</f>
        <v>1</v>
      </c>
      <c r="M1992" s="4">
        <f>MIN(MAX(M1991*(1+MAX(MIN(((B1992-B1991)/B1991)/($K$7*30),0),-卓尔金历!$M$43))+MIN(MAX(((B1992-B1991)/B1991)/($K$7*7),0),卓尔金历!$M$43),0),1)</f>
        <v>1</v>
      </c>
      <c r="N1992">
        <f t="shared" si="253"/>
        <v>755.25019509207493</v>
      </c>
      <c r="O1992">
        <f t="shared" si="254"/>
        <v>1949.9738068994527</v>
      </c>
      <c r="P1992">
        <f t="shared" si="255"/>
        <v>3.812387561038294E-2</v>
      </c>
      <c r="Q1992">
        <f t="shared" si="256"/>
        <v>4.2717768952176521E-2</v>
      </c>
      <c r="R1992">
        <f t="shared" si="257"/>
        <v>0.16036361404015187</v>
      </c>
      <c r="S1992">
        <f t="shared" si="249"/>
        <v>16.589183996759274</v>
      </c>
      <c r="T1992" s="564">
        <f>IF((I1992-MAX(I$470:I1992))/MAX(I$470:I1992)&gt;T1991,T1991,(I1992-MAX(I$470:I1992))/MAX(I$470:I1992))</f>
        <v>-0.91338805338419748</v>
      </c>
      <c r="U1992" s="564">
        <f>IF((J1992-MAX(J$470:J1992))/MAX(J$470:J1992)&gt;U1991,U1991,(J1992-MAX(J$470:J1992))/MAX(J$470:J1992))</f>
        <v>-0.8283551177402233</v>
      </c>
      <c r="V1992" s="564">
        <f>IF((K1992-MAX(K$470:K1992))/MAX(K$470:K1992)&gt;V1991,V1991,(K1992-MAX(K$470:K1992))/MAX(K$470:K1992))</f>
        <v>-0.84885940676762139</v>
      </c>
      <c r="W1992" s="564">
        <f>IF((N1992-MAX(N$470:N1992))/MAX(N$470:N1992)&gt;W1991,W1991,(N1992-MAX(N$470:N1992))/MAX(N$470:N1992))</f>
        <v>-0.62788758315546067</v>
      </c>
      <c r="X1992" s="564">
        <f>IF((O1992-MAX(O$470:O1992))/MAX(O$470:O1992)&gt;X1991,X1991,(O1992-MAX(O$470:O1992))/MAX(O$470:O1992))</f>
        <v>-0.62788758315546067</v>
      </c>
    </row>
    <row r="1993" spans="1:24">
      <c r="A1993" s="799">
        <v>42395</v>
      </c>
      <c r="B1993">
        <v>392.51100000000002</v>
      </c>
      <c r="C1993">
        <v>416.773687</v>
      </c>
      <c r="D1993">
        <v>1.2907900000000001</v>
      </c>
      <c r="E1993">
        <f>LN(D1993/参数实验室!$E$53)/参数实验室!$E$55</f>
        <v>-0.3918310473370954</v>
      </c>
      <c r="F1993">
        <f t="shared" si="258"/>
        <v>1.0618140306895858</v>
      </c>
      <c r="G1993">
        <f>LN(F1993/参数实验室!$E$58)/参数实验室!$E$59</f>
        <v>-0.15904991152460413</v>
      </c>
      <c r="H1993" s="856">
        <f>INDEX(神经网络!$G$10:$BO$70,MATCH(ROUND(G1993*2,1)/2,神经网络!$E$10:$E$70,0),MATCH(ROUND(E1993*2,1)/2,神经网络!$G$8:$BO$8,0))</f>
        <v>-0.38990896592980601</v>
      </c>
      <c r="I1993">
        <f t="shared" si="250"/>
        <v>953.24257172064301</v>
      </c>
      <c r="J1993">
        <f t="shared" si="251"/>
        <v>156.62224173017799</v>
      </c>
      <c r="K1993">
        <f t="shared" si="252"/>
        <v>6.0862528922478836</v>
      </c>
      <c r="L1993" s="4">
        <f>MIN(MAX(L1992*(1+MAX(MIN(((B1993-B1992)/B1992)/($K$7*卓尔金历!$N$40),0),-卓尔金历!$M$43))+MIN(MAX(((B1993-B1992)/B1992)/($K$7*卓尔金历!$N$40),0),卓尔金历!$M$43),0),1)</f>
        <v>0.56791832782847773</v>
      </c>
      <c r="M1993" s="4">
        <f>MIN(MAX(M1992*(1+MAX(MIN(((B1993-B1992)/B1992)/($K$7*30),0),-卓尔金历!$M$43))+MIN(MAX(((B1993-B1992)/B1992)/($K$7*7),0),卓尔金历!$M$43),0),1)</f>
        <v>0.78395916391423892</v>
      </c>
      <c r="N1993">
        <f t="shared" si="253"/>
        <v>765.31567926615287</v>
      </c>
      <c r="O1993">
        <f t="shared" si="254"/>
        <v>1975.9617915709696</v>
      </c>
      <c r="P1993">
        <f t="shared" si="255"/>
        <v>-2.8279372372714356E-2</v>
      </c>
      <c r="Q1993">
        <f t="shared" si="256"/>
        <v>4.2911688724336788E-2</v>
      </c>
      <c r="R1993">
        <f t="shared" si="257"/>
        <v>0.47754318018315067</v>
      </c>
      <c r="S1993">
        <f t="shared" si="249"/>
        <v>16.624638767664983</v>
      </c>
      <c r="T1993" s="564">
        <f>IF((I1993-MAX(I$470:I1993))/MAX(I$470:I1993)&gt;T1992,T1992,(I1993-MAX(I$470:I1993))/MAX(I$470:I1993))</f>
        <v>-0.91338805338419748</v>
      </c>
      <c r="U1993" s="564">
        <f>IF((J1993-MAX(J$470:J1993))/MAX(J$470:J1993)&gt;U1992,U1992,(J1993-MAX(J$470:J1993))/MAX(J$470:J1993))</f>
        <v>-0.8283551177402233</v>
      </c>
      <c r="V1993" s="564">
        <f>IF((K1993-MAX(K$470:K1993))/MAX(K$470:K1993)&gt;V1992,V1992,(K1993-MAX(K$470:K1993))/MAX(K$470:K1993))</f>
        <v>-0.84885940676762139</v>
      </c>
      <c r="W1993" s="564">
        <f>IF((N1993-MAX(N$470:N1993))/MAX(N$470:N1993)&gt;W1992,W1992,(N1993-MAX(N$470:N1993))/MAX(N$470:N1993))</f>
        <v>-0.62788758315546067</v>
      </c>
      <c r="X1993" s="564">
        <f>IF((O1993-MAX(O$470:O1993))/MAX(O$470:O1993)&gt;X1992,X1992,(O1993-MAX(O$470:O1993))/MAX(O$470:O1993))</f>
        <v>-0.62788758315546067</v>
      </c>
    </row>
    <row r="1994" spans="1:24">
      <c r="A1994" s="799">
        <v>42396</v>
      </c>
      <c r="B1994">
        <v>391.59800000000001</v>
      </c>
      <c r="C1994">
        <v>416.04115999999999</v>
      </c>
      <c r="D1994">
        <v>1.302022</v>
      </c>
      <c r="E1994">
        <f>LN(D1994/参数实验室!$E$53)/参数实验室!$E$55</f>
        <v>-0.38160965733530638</v>
      </c>
      <c r="F1994">
        <f t="shared" si="258"/>
        <v>1.0624190113330507</v>
      </c>
      <c r="G1994">
        <f>LN(F1994/参数实验室!$E$58)/参数实验室!$E$59</f>
        <v>-0.15875095511161913</v>
      </c>
      <c r="H1994" s="856">
        <f>INDEX(神经网络!$G$10:$BO$70,MATCH(ROUND(G1994*2,1)/2,神经网络!$E$10:$E$70,0),MATCH(ROUND(E1994*2,1)/2,神经网络!$G$8:$BO$8,0))</f>
        <v>-0.38990896592980601</v>
      </c>
      <c r="I1994">
        <f t="shared" si="250"/>
        <v>954.10711272613923</v>
      </c>
      <c r="J1994">
        <f t="shared" si="251"/>
        <v>156.25793064921555</v>
      </c>
      <c r="K1994">
        <f t="shared" si="252"/>
        <v>6.1059756056031516</v>
      </c>
      <c r="L1994" s="4">
        <f>MIN(MAX(L1993*(1+MAX(MIN(((B1994-B1993)/B1993)/($K$7*卓尔金历!$N$40),0),-卓尔金历!$M$43))+MIN(MAX(((B1994-B1993)/B1993)/($K$7*卓尔金历!$N$40),0),卓尔金历!$M$43),0),1)</f>
        <v>0.547734621984166</v>
      </c>
      <c r="M1994" s="4">
        <f>MIN(MAX(M1993*(1+MAX(MIN(((B1994-B1993)/B1993)/($K$7*30),0),-卓尔金历!$M$43))+MIN(MAX(((B1994-B1993)/B1993)/($K$7*7),0),卓尔金历!$M$43),0),1)</f>
        <v>0.77002828654768163</v>
      </c>
      <c r="N1994">
        <f t="shared" si="253"/>
        <v>765.70987204348205</v>
      </c>
      <c r="O1994">
        <f t="shared" si="254"/>
        <v>1977.3667198387843</v>
      </c>
      <c r="P1994">
        <f t="shared" si="255"/>
        <v>-2.3260494610342409E-3</v>
      </c>
      <c r="Q1994">
        <f t="shared" si="256"/>
        <v>4.2912821732655052E-2</v>
      </c>
      <c r="R1994">
        <f t="shared" si="257"/>
        <v>1</v>
      </c>
      <c r="S1994">
        <f t="shared" si="249"/>
        <v>16.631839008646288</v>
      </c>
      <c r="T1994" s="564">
        <f>IF((I1994-MAX(I$470:I1994))/MAX(I$470:I1994)&gt;T1993,T1993,(I1994-MAX(I$470:I1994))/MAX(I$470:I1994))</f>
        <v>-0.91338805338419748</v>
      </c>
      <c r="U1994" s="564">
        <f>IF((J1994-MAX(J$470:J1994))/MAX(J$470:J1994)&gt;U1993,U1993,(J1994-MAX(J$470:J1994))/MAX(J$470:J1994))</f>
        <v>-0.8283551177402233</v>
      </c>
      <c r="V1994" s="564">
        <f>IF((K1994-MAX(K$470:K1994))/MAX(K$470:K1994)&gt;V1993,V1993,(K1994-MAX(K$470:K1994))/MAX(K$470:K1994))</f>
        <v>-0.84885940676762139</v>
      </c>
      <c r="W1994" s="564">
        <f>IF((N1994-MAX(N$470:N1994))/MAX(N$470:N1994)&gt;W1993,W1993,(N1994-MAX(N$470:N1994))/MAX(N$470:N1994))</f>
        <v>-0.62788758315546067</v>
      </c>
      <c r="X1994" s="564">
        <f>IF((O1994-MAX(O$470:O1994))/MAX(O$470:O1994)&gt;X1993,X1993,(O1994-MAX(O$470:O1994))/MAX(O$470:O1994))</f>
        <v>-0.62788758315546067</v>
      </c>
    </row>
    <row r="1995" spans="1:24">
      <c r="A1995" s="799">
        <v>42397</v>
      </c>
      <c r="B1995">
        <v>395.10599999999999</v>
      </c>
      <c r="C1995">
        <v>419.87525900000003</v>
      </c>
      <c r="D1995">
        <v>1.251652</v>
      </c>
      <c r="E1995">
        <f>LN(D1995/参数实验室!$E$53)/参数实验室!$E$55</f>
        <v>-0.42815583289042042</v>
      </c>
      <c r="F1995">
        <f t="shared" si="258"/>
        <v>1.0626901616275126</v>
      </c>
      <c r="G1995">
        <f>LN(F1995/参数实验室!$E$58)/参数实验室!$E$59</f>
        <v>-0.1586170190946708</v>
      </c>
      <c r="H1995" s="856">
        <f>INDEX(神经网络!$G$10:$BO$70,MATCH(ROUND(G1995*2,1)/2,神经网络!$E$10:$E$70,0),MATCH(ROUND(E1995*2,1)/2,神经网络!$G$8:$BO$8,0))</f>
        <v>-0.42837081028630275</v>
      </c>
      <c r="I1995">
        <f t="shared" si="250"/>
        <v>950.77454123362827</v>
      </c>
      <c r="J1995">
        <f t="shared" si="251"/>
        <v>157.65771517497268</v>
      </c>
      <c r="K1995">
        <f t="shared" si="252"/>
        <v>6.030624889993069</v>
      </c>
      <c r="L1995" s="4">
        <f>MIN(MAX(L1994*(1+MAX(MIN(((B1995-B1994)/B1994)/($K$7*卓尔金历!$N$40),0),-卓尔金历!$M$43))+MIN(MAX(((B1995-B1994)/B1994)/($K$7*卓尔金历!$N$40),0),卓尔金历!$M$43),0),1)</f>
        <v>0.68460680627578951</v>
      </c>
      <c r="M1995" s="4">
        <f>MIN(MAX(M1994*(1+MAX(MIN(((B1995-B1994)/B1994)/($K$7*30),0),-卓尔金历!$M$43))+MIN(MAX(((B1995-B1994)/B1994)/($K$7*7),0),卓尔金历!$M$43),0),1)</f>
        <v>1</v>
      </c>
      <c r="N1995">
        <f t="shared" si="253"/>
        <v>764.24494235309101</v>
      </c>
      <c r="O1995">
        <f t="shared" si="254"/>
        <v>1972.0483780903273</v>
      </c>
      <c r="P1995">
        <f t="shared" si="255"/>
        <v>8.9581662827695266E-3</v>
      </c>
      <c r="Q1995">
        <f t="shared" si="256"/>
        <v>4.2998123597680279E-2</v>
      </c>
      <c r="R1995">
        <f t="shared" si="257"/>
        <v>1</v>
      </c>
      <c r="S1995">
        <f t="shared" si="249"/>
        <v>16.573746167906556</v>
      </c>
      <c r="T1995" s="564">
        <f>IF((I1995-MAX(I$470:I1995))/MAX(I$470:I1995)&gt;T1994,T1994,(I1995-MAX(I$470:I1995))/MAX(I$470:I1995))</f>
        <v>-0.91338805338419748</v>
      </c>
      <c r="U1995" s="564">
        <f>IF((J1995-MAX(J$470:J1995))/MAX(J$470:J1995)&gt;U1994,U1994,(J1995-MAX(J$470:J1995))/MAX(J$470:J1995))</f>
        <v>-0.8283551177402233</v>
      </c>
      <c r="V1995" s="564">
        <f>IF((K1995-MAX(K$470:K1995))/MAX(K$470:K1995)&gt;V1994,V1994,(K1995-MAX(K$470:K1995))/MAX(K$470:K1995))</f>
        <v>-0.84885940676762139</v>
      </c>
      <c r="W1995" s="564">
        <f>IF((N1995-MAX(N$470:N1995))/MAX(N$470:N1995)&gt;W1994,W1994,(N1995-MAX(N$470:N1995))/MAX(N$470:N1995))</f>
        <v>-0.62788758315546067</v>
      </c>
      <c r="X1995" s="564">
        <f>IF((O1995-MAX(O$470:O1995))/MAX(O$470:O1995)&gt;X1994,X1994,(O1995-MAX(O$470:O1995))/MAX(O$470:O1995))</f>
        <v>-0.62788758315546067</v>
      </c>
    </row>
    <row r="1996" spans="1:24">
      <c r="A1996" s="799">
        <v>42398</v>
      </c>
      <c r="B1996">
        <v>380.31599999999997</v>
      </c>
      <c r="C1996">
        <v>419.16611899999998</v>
      </c>
      <c r="D1996">
        <v>1.253403</v>
      </c>
      <c r="E1996">
        <f>LN(D1996/参数实验室!$E$53)/参数实验室!$E$55</f>
        <v>-0.42650656908852785</v>
      </c>
      <c r="F1996">
        <f t="shared" si="258"/>
        <v>1.1021522076378591</v>
      </c>
      <c r="G1996">
        <f>LN(F1996/参数实验室!$E$58)/参数实验室!$E$59</f>
        <v>-0.13948019028737044</v>
      </c>
      <c r="H1996" s="856">
        <f>INDEX(神经网络!$G$10:$BO$70,MATCH(ROUND(G1996*2,1)/2,神经网络!$E$10:$E$70,0),MATCH(ROUND(E1996*2,1)/2,神经网络!$G$8:$BO$8,0))</f>
        <v>-0.42837081028630275</v>
      </c>
      <c r="I1996">
        <f t="shared" si="250"/>
        <v>966.02040248778724</v>
      </c>
      <c r="J1996">
        <f t="shared" si="251"/>
        <v>151.75611507920635</v>
      </c>
      <c r="K1996">
        <f t="shared" si="252"/>
        <v>6.3656110462737558</v>
      </c>
      <c r="L1996" s="4">
        <f>MIN(MAX(L1995*(1+MAX(MIN(((B1996-B1995)/B1995)/($K$7*卓尔金历!$N$40),0),-卓尔金历!$M$43))+MIN(MAX(((B1996-B1995)/B1995)/($K$7*卓尔金历!$N$40),0),卓尔金历!$M$43),0),1)</f>
        <v>0.2930526483494843</v>
      </c>
      <c r="M1996" s="4">
        <f>MIN(MAX(M1995*(1+MAX(MIN(((B1996-B1995)/B1995)/($K$7*30),0),-卓尔金历!$M$43))+MIN(MAX(((B1996-B1995)/B1995)/($K$7*7),0),卓尔金历!$M$43),0),1)</f>
        <v>0.71402989691533236</v>
      </c>
      <c r="N1996">
        <f t="shared" si="253"/>
        <v>772.63467660902597</v>
      </c>
      <c r="O1996">
        <f t="shared" si="254"/>
        <v>2003.6705710024812</v>
      </c>
      <c r="P1996">
        <f t="shared" si="255"/>
        <v>-3.7432992665259499E-2</v>
      </c>
      <c r="Q1996">
        <f t="shared" si="256"/>
        <v>4.1566675732603024E-2</v>
      </c>
      <c r="R1996">
        <f t="shared" si="257"/>
        <v>0.15224832812053357</v>
      </c>
      <c r="S1996">
        <f t="shared" si="249"/>
        <v>16.839509525652442</v>
      </c>
      <c r="T1996" s="564">
        <f>IF((I1996-MAX(I$470:I1996))/MAX(I$470:I1996)&gt;T1995,T1995,(I1996-MAX(I$470:I1996))/MAX(I$470:I1996))</f>
        <v>-0.91338805338419748</v>
      </c>
      <c r="U1996" s="564">
        <f>IF((J1996-MAX(J$470:J1996))/MAX(J$470:J1996)&gt;U1995,U1995,(J1996-MAX(J$470:J1996))/MAX(J$470:J1996))</f>
        <v>-0.8283551177402233</v>
      </c>
      <c r="V1996" s="564">
        <f>IF((K1996-MAX(K$470:K1996))/MAX(K$470:K1996)&gt;V1995,V1995,(K1996-MAX(K$470:K1996))/MAX(K$470:K1996))</f>
        <v>-0.84885940676762139</v>
      </c>
      <c r="W1996" s="564">
        <f>IF((N1996-MAX(N$470:N1996))/MAX(N$470:N1996)&gt;W1995,W1995,(N1996-MAX(N$470:N1996))/MAX(N$470:N1996))</f>
        <v>-0.62788758315546067</v>
      </c>
      <c r="X1996" s="564">
        <f>IF((O1996-MAX(O$470:O1996))/MAX(O$470:O1996)&gt;X1995,X1995,(O1996-MAX(O$470:O1996))/MAX(O$470:O1996))</f>
        <v>-0.62788758315546067</v>
      </c>
    </row>
    <row r="1997" spans="1:24">
      <c r="A1997" s="799">
        <v>42399</v>
      </c>
      <c r="B1997">
        <v>379.89</v>
      </c>
      <c r="C1997">
        <v>407.60983700000003</v>
      </c>
      <c r="D1997">
        <v>1.2472620000000001</v>
      </c>
      <c r="E1997">
        <f>LN(D1997/参数实验室!$E$53)/参数实验室!$E$55</f>
        <v>-0.43230093117632107</v>
      </c>
      <c r="F1997">
        <f t="shared" si="258"/>
        <v>1.0729680618073654</v>
      </c>
      <c r="G1997">
        <f>LN(F1997/参数实验室!$E$58)/参数实验室!$E$59</f>
        <v>-0.15356523782127826</v>
      </c>
      <c r="H1997" s="856">
        <f>INDEX(神经网络!$G$10:$BO$70,MATCH(ROUND(G1997*2,1)/2,神经网络!$E$10:$E$70,0),MATCH(ROUND(E1997*2,1)/2,神经网络!$G$8:$BO$8,0))</f>
        <v>-0.42837081028630275</v>
      </c>
      <c r="I1997">
        <f t="shared" si="250"/>
        <v>966.48392536227436</v>
      </c>
      <c r="J1997">
        <f t="shared" si="251"/>
        <v>151.58612984318225</v>
      </c>
      <c r="K1997">
        <f t="shared" si="252"/>
        <v>6.3758071161399403</v>
      </c>
      <c r="L1997" s="4">
        <f>MIN(MAX(L1996*(1+MAX(MIN(((B1997-B1996)/B1996)/($K$7*卓尔金历!$N$40),0),-卓尔金历!$M$43))+MIN(MAX(((B1997-B1996)/B1996)/($K$7*卓尔金历!$N$40),0),卓尔金历!$M$43),0),1)</f>
        <v>0.28803723500255346</v>
      </c>
      <c r="M1997" s="4">
        <f>MIN(MAX(M1996*(1+MAX(MIN(((B1997-B1996)/B1996)/($K$7*30),0),-卓尔金历!$M$43))+MIN(MAX(((B1997-B1996)/B1996)/($K$7*7),0),卓尔金历!$M$43),0),1)</f>
        <v>0.70791980868499826</v>
      </c>
      <c r="N1997">
        <f t="shared" si="253"/>
        <v>772.74332035177838</v>
      </c>
      <c r="O1997">
        <f t="shared" si="254"/>
        <v>2004.3570505269101</v>
      </c>
      <c r="P1997">
        <f t="shared" si="255"/>
        <v>-1.12012116240176E-3</v>
      </c>
      <c r="Q1997">
        <f t="shared" si="256"/>
        <v>4.1567049185929877E-2</v>
      </c>
      <c r="R1997">
        <f t="shared" si="257"/>
        <v>1</v>
      </c>
      <c r="S1997">
        <f t="shared" si="249"/>
        <v>16.840739700497938</v>
      </c>
      <c r="T1997" s="564">
        <f>IF((I1997-MAX(I$470:I1997))/MAX(I$470:I1997)&gt;T1996,T1996,(I1997-MAX(I$470:I1997))/MAX(I$470:I1997))</f>
        <v>-0.91338805338419748</v>
      </c>
      <c r="U1997" s="564">
        <f>IF((J1997-MAX(J$470:J1997))/MAX(J$470:J1997)&gt;U1996,U1996,(J1997-MAX(J$470:J1997))/MAX(J$470:J1997))</f>
        <v>-0.8283551177402233</v>
      </c>
      <c r="V1997" s="564">
        <f>IF((K1997-MAX(K$470:K1997))/MAX(K$470:K1997)&gt;V1996,V1996,(K1997-MAX(K$470:K1997))/MAX(K$470:K1997))</f>
        <v>-0.84885940676762139</v>
      </c>
      <c r="W1997" s="564">
        <f>IF((N1997-MAX(N$470:N1997))/MAX(N$470:N1997)&gt;W1996,W1996,(N1997-MAX(N$470:N1997))/MAX(N$470:N1997))</f>
        <v>-0.62788758315546067</v>
      </c>
      <c r="X1997" s="564">
        <f>IF((O1997-MAX(O$470:O1997))/MAX(O$470:O1997)&gt;X1996,X1996,(O1997-MAX(O$470:O1997))/MAX(O$470:O1997))</f>
        <v>-0.62788758315546067</v>
      </c>
    </row>
    <row r="1998" spans="1:24">
      <c r="A1998" s="799">
        <v>42400</v>
      </c>
      <c r="B1998">
        <v>378.17899999999997</v>
      </c>
      <c r="C1998">
        <v>396.21780000000001</v>
      </c>
      <c r="D1998">
        <v>1.2119</v>
      </c>
      <c r="E1998">
        <f>LN(D1998/参数实验室!$E$53)/参数实验室!$E$55</f>
        <v>-0.46623225414084052</v>
      </c>
      <c r="F1998">
        <f t="shared" si="258"/>
        <v>1.0476991054500648</v>
      </c>
      <c r="G1998">
        <f>LN(F1998/参数实验室!$E$58)/参数实验室!$E$59</f>
        <v>-0.16607369915920137</v>
      </c>
      <c r="H1998" s="856">
        <f>INDEX(神经网络!$G$10:$BO$70,MATCH(ROUND(G1998*2,1)/2,神经网络!$E$10:$E$70,0),MATCH(ROUND(E1998*2,1)/2,神经网络!$G$8:$BO$8,0))</f>
        <v>-0.42837081028630275</v>
      </c>
      <c r="I1998">
        <f t="shared" si="250"/>
        <v>968.34861541025157</v>
      </c>
      <c r="J1998">
        <f t="shared" si="251"/>
        <v>150.90339571445634</v>
      </c>
      <c r="K1998">
        <f t="shared" si="252"/>
        <v>6.4170101065358933</v>
      </c>
      <c r="L1998" s="4">
        <f>MIN(MAX(L1997*(1+MAX(MIN(((B1998-B1997)/B1997)/($K$7*卓尔金历!$N$40),0),-卓尔金历!$M$43))+MIN(MAX(((B1998-B1997)/B1997)/($K$7*卓尔金历!$N$40),0),卓尔金历!$M$43),0),1)</f>
        <v>0.26821571935414551</v>
      </c>
      <c r="M1998" s="4">
        <f>MIN(MAX(M1997*(1+MAX(MIN(((B1998-B1997)/B1997)/($K$7*30),0),-卓尔金历!$M$43))+MIN(MAX(((B1998-B1997)/B1997)/($K$7*7),0),卓尔金历!$M$43),0),1)</f>
        <v>0.68356177114595706</v>
      </c>
      <c r="N1998">
        <f t="shared" si="253"/>
        <v>773.17275384198126</v>
      </c>
      <c r="O1998">
        <f t="shared" si="254"/>
        <v>2007.0946579548361</v>
      </c>
      <c r="P1998">
        <f t="shared" si="255"/>
        <v>-4.5039353497065273E-3</v>
      </c>
      <c r="Q1998">
        <f t="shared" si="256"/>
        <v>4.1570170915124299E-2</v>
      </c>
      <c r="R1998">
        <f t="shared" si="257"/>
        <v>1</v>
      </c>
      <c r="S1998">
        <f t="shared" si="249"/>
        <v>16.873231456331666</v>
      </c>
      <c r="T1998" s="564">
        <f>IF((I1998-MAX(I$470:I1998))/MAX(I$470:I1998)&gt;T1997,T1997,(I1998-MAX(I$470:I1998))/MAX(I$470:I1998))</f>
        <v>-0.91338805338419748</v>
      </c>
      <c r="U1998" s="564">
        <f>IF((J1998-MAX(J$470:J1998))/MAX(J$470:J1998)&gt;U1997,U1997,(J1998-MAX(J$470:J1998))/MAX(J$470:J1998))</f>
        <v>-0.8283551177402233</v>
      </c>
      <c r="V1998" s="564">
        <f>IF((K1998-MAX(K$470:K1998))/MAX(K$470:K1998)&gt;V1997,V1997,(K1998-MAX(K$470:K1998))/MAX(K$470:K1998))</f>
        <v>-0.84885940676762139</v>
      </c>
      <c r="W1998" s="564">
        <f>IF((N1998-MAX(N$470:N1998))/MAX(N$470:N1998)&gt;W1997,W1997,(N1998-MAX(N$470:N1998))/MAX(N$470:N1998))</f>
        <v>-0.62788758315546067</v>
      </c>
      <c r="X1998" s="564">
        <f>IF((O1998-MAX(O$470:O1998))/MAX(O$470:O1998)&gt;X1997,X1997,(O1998-MAX(O$470:O1998))/MAX(O$470:O1998))</f>
        <v>-0.62788758315546067</v>
      </c>
    </row>
    <row r="1999" spans="1:24">
      <c r="A1999" s="799">
        <v>42401</v>
      </c>
      <c r="B1999">
        <v>368.661</v>
      </c>
      <c r="C1999">
        <v>392.56048800000002</v>
      </c>
      <c r="D1999">
        <v>1.230413</v>
      </c>
      <c r="E1999">
        <f>LN(D1999/参数实验室!$E$53)/参数实验室!$E$55</f>
        <v>-0.44834659400674637</v>
      </c>
      <c r="F1999">
        <f t="shared" si="258"/>
        <v>1.0648278174257653</v>
      </c>
      <c r="G1999">
        <f>LN(F1999/参数实验室!$E$58)/参数实验室!$E$59</f>
        <v>-0.15756230869782831</v>
      </c>
      <c r="H1999" s="856">
        <f>INDEX(神经网络!$G$10:$BO$70,MATCH(ROUND(G1999*2,1)/2,神经网络!$E$10:$E$70,0),MATCH(ROUND(E1999*2,1)/2,神经网络!$G$8:$BO$8,0))</f>
        <v>-0.42837081028630275</v>
      </c>
      <c r="I1999">
        <f t="shared" si="250"/>
        <v>978.78860094825359</v>
      </c>
      <c r="J1999">
        <f t="shared" si="251"/>
        <v>147.10546267108219</v>
      </c>
      <c r="K1999">
        <f t="shared" si="252"/>
        <v>6.6536523061469053</v>
      </c>
      <c r="L1999" s="4">
        <f>MIN(MAX(L1998*(1+MAX(MIN(((B1999-B1998)/B1998)/($K$7*卓尔金历!$N$40),0),-卓尔金历!$M$43))+MIN(MAX(((B1999-B1998)/B1998)/($K$7*卓尔金历!$N$40),0),卓尔金历!$M$43),0),1)</f>
        <v>0.16507537031334948</v>
      </c>
      <c r="M1999" s="4">
        <f>MIN(MAX(M1998*(1+MAX(MIN(((B1999-B1998)/B1998)/($K$7*30),0),-卓尔金历!$M$43))+MIN(MAX(((B1999-B1998)/B1998)/($K$7*7),0),卓尔金历!$M$43),0),1)</f>
        <v>0.55213248758885025</v>
      </c>
      <c r="N1999">
        <f t="shared" si="253"/>
        <v>775.40853313471064</v>
      </c>
      <c r="O1999">
        <f t="shared" si="254"/>
        <v>2021.8862112466431</v>
      </c>
      <c r="P1999">
        <f t="shared" si="255"/>
        <v>-2.516797601135963E-2</v>
      </c>
      <c r="Q1999">
        <f t="shared" si="256"/>
        <v>4.174418553798178E-2</v>
      </c>
      <c r="R1999">
        <f t="shared" si="257"/>
        <v>0.56859194927716705</v>
      </c>
      <c r="S1999">
        <f t="shared" si="249"/>
        <v>17.05514558269083</v>
      </c>
      <c r="T1999" s="564">
        <f>IF((I1999-MAX(I$470:I1999))/MAX(I$470:I1999)&gt;T1998,T1998,(I1999-MAX(I$470:I1999))/MAX(I$470:I1999))</f>
        <v>-0.91338805338419748</v>
      </c>
      <c r="U1999" s="564">
        <f>IF((J1999-MAX(J$470:J1999))/MAX(J$470:J1999)&gt;U1998,U1998,(J1999-MAX(J$470:J1999))/MAX(J$470:J1999))</f>
        <v>-0.8283551177402233</v>
      </c>
      <c r="V1999" s="564">
        <f>IF((K1999-MAX(K$470:K1999))/MAX(K$470:K1999)&gt;V1998,V1998,(K1999-MAX(K$470:K1999))/MAX(K$470:K1999))</f>
        <v>-0.84885940676762139</v>
      </c>
      <c r="W1999" s="564">
        <f>IF((N1999-MAX(N$470:N1999))/MAX(N$470:N1999)&gt;W1998,W1998,(N1999-MAX(N$470:N1999))/MAX(N$470:N1999))</f>
        <v>-0.62788758315546067</v>
      </c>
      <c r="X1999" s="564">
        <f>IF((O1999-MAX(O$470:O1999))/MAX(O$470:O1999)&gt;X1998,X1998,(O1999-MAX(O$470:O1999))/MAX(O$470:O1999))</f>
        <v>-0.62788758315546067</v>
      </c>
    </row>
    <row r="2000" spans="1:24">
      <c r="A2000" s="799">
        <v>42402</v>
      </c>
      <c r="B2000">
        <v>372.94200000000001</v>
      </c>
      <c r="C2000">
        <v>384.37196299999999</v>
      </c>
      <c r="D2000">
        <v>1.2363869999999999</v>
      </c>
      <c r="E2000">
        <f>LN(D2000/参数实验室!$E$53)/参数实验室!$E$55</f>
        <v>-0.44263242207719883</v>
      </c>
      <c r="F2000">
        <f t="shared" si="258"/>
        <v>1.0306480980956825</v>
      </c>
      <c r="G2000">
        <f>LN(F2000/参数实验室!$E$58)/参数实验室!$E$59</f>
        <v>-0.17468582222158416</v>
      </c>
      <c r="H2000" s="856">
        <f>INDEX(神经网络!$G$10:$BO$70,MATCH(ROUND(G2000*2,1)/2,神经网络!$E$10:$E$70,0),MATCH(ROUND(E2000*2,1)/2,神经网络!$G$8:$BO$8,0))</f>
        <v>-0.42837081028630275</v>
      </c>
      <c r="I2000">
        <f t="shared" si="250"/>
        <v>973.91974636553584</v>
      </c>
      <c r="J2000">
        <f t="shared" si="251"/>
        <v>148.81369458521172</v>
      </c>
      <c r="K2000">
        <f t="shared" si="252"/>
        <v>6.5445572672605268</v>
      </c>
      <c r="L2000" s="4">
        <f>MIN(MAX(L1999*(1+MAX(MIN(((B2000-B1999)/B1999)/($K$7*卓尔金历!$N$40),0),-卓尔金历!$M$43))+MIN(MAX(((B2000-B1999)/B1999)/($K$7*卓尔金历!$N$40),0),卓尔金历!$M$43),0),1)</f>
        <v>0.34250008253304054</v>
      </c>
      <c r="M2000" s="4">
        <f>MIN(MAX(M1999*(1+MAX(MIN(((B2000-B1999)/B1999)/($K$7*30),0),-卓尔金历!$M$43))+MIN(MAX(((B2000-B1999)/B1999)/($K$7*7),0),卓尔金历!$M$43),0),1)</f>
        <v>0.93232829948818818</v>
      </c>
      <c r="N2000">
        <f t="shared" si="253"/>
        <v>774.77180981348613</v>
      </c>
      <c r="O2000">
        <f t="shared" si="254"/>
        <v>2016.3330803170807</v>
      </c>
      <c r="P2000">
        <f t="shared" si="255"/>
        <v>1.1612294221520599E-2</v>
      </c>
      <c r="Q2000">
        <f t="shared" si="256"/>
        <v>4.1864612854600379E-2</v>
      </c>
      <c r="R2000">
        <f t="shared" si="257"/>
        <v>1</v>
      </c>
      <c r="S2000">
        <f t="shared" si="249"/>
        <v>17.006907055676397</v>
      </c>
      <c r="T2000" s="564">
        <f>IF((I2000-MAX(I$470:I2000))/MAX(I$470:I2000)&gt;T1999,T1999,(I2000-MAX(I$470:I2000))/MAX(I$470:I2000))</f>
        <v>-0.91338805338419748</v>
      </c>
      <c r="U2000" s="564">
        <f>IF((J2000-MAX(J$470:J2000))/MAX(J$470:J2000)&gt;U1999,U1999,(J2000-MAX(J$470:J2000))/MAX(J$470:J2000))</f>
        <v>-0.8283551177402233</v>
      </c>
      <c r="V2000" s="564">
        <f>IF((K2000-MAX(K$470:K2000))/MAX(K$470:K2000)&gt;V1999,V1999,(K2000-MAX(K$470:K2000))/MAX(K$470:K2000))</f>
        <v>-0.84885940676762139</v>
      </c>
      <c r="W2000" s="564">
        <f>IF((N2000-MAX(N$470:N2000))/MAX(N$470:N2000)&gt;W1999,W1999,(N2000-MAX(N$470:N2000))/MAX(N$470:N2000))</f>
        <v>-0.62788758315546067</v>
      </c>
      <c r="X2000" s="564">
        <f>IF((O2000-MAX(O$470:O2000))/MAX(O$470:O2000)&gt;X1999,X1999,(O2000-MAX(O$470:O2000))/MAX(O$470:O2000))</f>
        <v>-0.62788758315546067</v>
      </c>
    </row>
    <row r="2001" spans="1:24">
      <c r="A2001" s="799">
        <v>42403</v>
      </c>
      <c r="B2001">
        <v>374.44499999999999</v>
      </c>
      <c r="C2001">
        <v>385.21954199999999</v>
      </c>
      <c r="D2001">
        <v>1.2212970000000001</v>
      </c>
      <c r="E2001">
        <f>LN(D2001/参数实验室!$E$53)/参数实验室!$E$55</f>
        <v>-0.45711980138770791</v>
      </c>
      <c r="F2001">
        <f t="shared" si="258"/>
        <v>1.0287746985538597</v>
      </c>
      <c r="G2001">
        <f>LN(F2001/参数实验室!$E$58)/参数实验室!$E$59</f>
        <v>-0.1756407126856987</v>
      </c>
      <c r="H2001" s="856">
        <f>INDEX(神经网络!$G$10:$BO$70,MATCH(ROUND(G2001*2,1)/2,神经网络!$E$10:$E$70,0),MATCH(ROUND(E2001*2,1)/2,神经网络!$G$8:$BO$8,0))</f>
        <v>-0.50364904160200485</v>
      </c>
      <c r="I2001">
        <f t="shared" si="250"/>
        <v>972.23838630759292</v>
      </c>
      <c r="J2001">
        <f t="shared" si="251"/>
        <v>149.41343122780378</v>
      </c>
      <c r="K2001">
        <f t="shared" si="252"/>
        <v>6.5070347312034205</v>
      </c>
      <c r="L2001" s="4">
        <f>MIN(MAX(L2000*(1+MAX(MIN(((B2001-B2000)/B2000)/($K$7*卓尔金历!$N$40),0),-卓尔金历!$M$43))+MIN(MAX(((B2001-B2000)/B2000)/($K$7*卓尔金历!$N$40),0),卓尔金历!$M$43),0),1)</f>
        <v>0.40407640721300903</v>
      </c>
      <c r="M2001" s="4">
        <f>MIN(MAX(M2000*(1+MAX(MIN(((B2001-B2000)/B2000)/($K$7*30),0),-卓尔金历!$M$43))+MIN(MAX(((B2001-B2000)/B2000)/($K$7*7),0),卓尔金历!$M$43),0),1)</f>
        <v>1</v>
      </c>
      <c r="N2001">
        <f t="shared" si="253"/>
        <v>774.31369741497519</v>
      </c>
      <c r="O2001">
        <f t="shared" si="254"/>
        <v>2013.0876768410649</v>
      </c>
      <c r="P2001">
        <f t="shared" si="255"/>
        <v>4.030117283652648E-3</v>
      </c>
      <c r="Q2001">
        <f t="shared" si="256"/>
        <v>4.193783387442155E-2</v>
      </c>
      <c r="R2001">
        <f t="shared" si="257"/>
        <v>1</v>
      </c>
      <c r="S2001">
        <f t="shared" si="249"/>
        <v>16.977546593133901</v>
      </c>
      <c r="T2001" s="564">
        <f>IF((I2001-MAX(I$470:I2001))/MAX(I$470:I2001)&gt;T2000,T2000,(I2001-MAX(I$470:I2001))/MAX(I$470:I2001))</f>
        <v>-0.91338805338419748</v>
      </c>
      <c r="U2001" s="564">
        <f>IF((J2001-MAX(J$470:J2001))/MAX(J$470:J2001)&gt;U2000,U2000,(J2001-MAX(J$470:J2001))/MAX(J$470:J2001))</f>
        <v>-0.8283551177402233</v>
      </c>
      <c r="V2001" s="564">
        <f>IF((K2001-MAX(K$470:K2001))/MAX(K$470:K2001)&gt;V2000,V2000,(K2001-MAX(K$470:K2001))/MAX(K$470:K2001))</f>
        <v>-0.84885940676762139</v>
      </c>
      <c r="W2001" s="564">
        <f>IF((N2001-MAX(N$470:N2001))/MAX(N$470:N2001)&gt;W2000,W2000,(N2001-MAX(N$470:N2001))/MAX(N$470:N2001))</f>
        <v>-0.62788758315546067</v>
      </c>
      <c r="X2001" s="564">
        <f>IF((O2001-MAX(O$470:O2001))/MAX(O$470:O2001)&gt;X2000,X2000,(O2001-MAX(O$470:O2001))/MAX(O$470:O2001))</f>
        <v>-0.62788758315546067</v>
      </c>
    </row>
    <row r="2002" spans="1:24">
      <c r="A2002" s="799">
        <v>42404</v>
      </c>
      <c r="B2002">
        <v>369.98899999999998</v>
      </c>
      <c r="C2002">
        <v>382.91324800000001</v>
      </c>
      <c r="D2002">
        <v>1.291285</v>
      </c>
      <c r="E2002">
        <f>LN(D2002/参数实验室!$E$53)/参数实验室!$E$55</f>
        <v>-0.39137871511365485</v>
      </c>
      <c r="F2002">
        <f t="shared" si="258"/>
        <v>1.0349314385022259</v>
      </c>
      <c r="G2002">
        <f>LN(F2002/参数实验室!$E$58)/参数实验室!$E$59</f>
        <v>-0.17250906580735928</v>
      </c>
      <c r="H2002" s="856">
        <f>INDEX(神经网络!$G$10:$BO$70,MATCH(ROUND(G2002*2,1)/2,神经网络!$E$10:$E$70,0),MATCH(ROUND(E2002*2,1)/2,神经网络!$G$8:$BO$8,0))</f>
        <v>-0.38990896592980601</v>
      </c>
      <c r="I2002">
        <f t="shared" si="250"/>
        <v>978.06555944821821</v>
      </c>
      <c r="J2002">
        <f t="shared" si="251"/>
        <v>147.63536969793665</v>
      </c>
      <c r="K2002">
        <f t="shared" si="252"/>
        <v>6.6248728976623248</v>
      </c>
      <c r="L2002" s="4">
        <f>MIN(MAX(L2001*(1+MAX(MIN(((B2002-B2001)/B2001)/($K$7*卓尔金历!$N$40),0),-卓尔金历!$M$43))+MIN(MAX(((B2002-B2001)/B2001)/($K$7*卓尔金历!$N$40),0),卓尔金历!$M$43),0),1)</f>
        <v>0.33060527730766837</v>
      </c>
      <c r="M2002" s="4">
        <f>MIN(MAX(M2001*(1+MAX(MIN(((B2002-B2001)/B2001)/($K$7*30),0),-卓尔金历!$M$43))+MIN(MAX(((B2002-B2001)/B2001)/($K$7*7),0),卓尔金历!$M$43),0),1)</f>
        <v>0.90908757775282545</v>
      </c>
      <c r="N2002">
        <f t="shared" si="253"/>
        <v>776.18897513649176</v>
      </c>
      <c r="O2002">
        <f t="shared" si="254"/>
        <v>2025.1532469784083</v>
      </c>
      <c r="P2002">
        <f t="shared" si="255"/>
        <v>-1.1900279079704677E-2</v>
      </c>
      <c r="Q2002">
        <f t="shared" si="256"/>
        <v>4.1632666011454968E-2</v>
      </c>
      <c r="R2002">
        <f t="shared" si="257"/>
        <v>1</v>
      </c>
      <c r="S2002">
        <f t="shared" si="249"/>
        <v>17.07930260780531</v>
      </c>
      <c r="T2002" s="564">
        <f>IF((I2002-MAX(I$470:I2002))/MAX(I$470:I2002)&gt;T2001,T2001,(I2002-MAX(I$470:I2002))/MAX(I$470:I2002))</f>
        <v>-0.91338805338419748</v>
      </c>
      <c r="U2002" s="564">
        <f>IF((J2002-MAX(J$470:J2002))/MAX(J$470:J2002)&gt;U2001,U2001,(J2002-MAX(J$470:J2002))/MAX(J$470:J2002))</f>
        <v>-0.8283551177402233</v>
      </c>
      <c r="V2002" s="564">
        <f>IF((K2002-MAX(K$470:K2002))/MAX(K$470:K2002)&gt;V2001,V2001,(K2002-MAX(K$470:K2002))/MAX(K$470:K2002))</f>
        <v>-0.84885940676762139</v>
      </c>
      <c r="W2002" s="564">
        <f>IF((N2002-MAX(N$470:N2002))/MAX(N$470:N2002)&gt;W2001,W2001,(N2002-MAX(N$470:N2002))/MAX(N$470:N2002))</f>
        <v>-0.62788758315546067</v>
      </c>
      <c r="X2002" s="564">
        <f>IF((O2002-MAX(O$470:O2002))/MAX(O$470:O2002)&gt;X2001,X2001,(O2002-MAX(O$470:O2002))/MAX(O$470:O2002))</f>
        <v>-0.62788758315546067</v>
      </c>
    </row>
    <row r="2003" spans="1:24">
      <c r="A2003" s="799">
        <v>42405</v>
      </c>
      <c r="B2003">
        <v>389.58800000000002</v>
      </c>
      <c r="C2003">
        <v>372.234037</v>
      </c>
      <c r="D2003">
        <v>1.273876</v>
      </c>
      <c r="E2003">
        <f>LN(D2003/参数实验室!$E$53)/参数实验室!$E$55</f>
        <v>-0.40739224374654964</v>
      </c>
      <c r="F2003">
        <f t="shared" si="258"/>
        <v>0.95545560181525091</v>
      </c>
      <c r="G2003">
        <f>LN(F2003/参数实验室!$E$58)/参数实验室!$E$59</f>
        <v>-0.21444603954431407</v>
      </c>
      <c r="H2003" s="856">
        <f>INDEX(神经网络!$G$10:$BO$70,MATCH(ROUND(G2003*2,1)/2,神经网络!$E$10:$E$70,0),MATCH(ROUND(E2003*2,1)/2,神经网络!$G$8:$BO$8,0))</f>
        <v>-0.47127462620209248</v>
      </c>
      <c r="I2003">
        <f t="shared" si="250"/>
        <v>957.86440036232386</v>
      </c>
      <c r="J2003">
        <f t="shared" si="251"/>
        <v>155.45588763417226</v>
      </c>
      <c r="K2003">
        <f t="shared" si="252"/>
        <v>6.1616476219699408</v>
      </c>
      <c r="L2003" s="4">
        <f>MIN(MAX(L2002*(1+MAX(MIN(((B2003-B2002)/B2002)/($K$7*卓尔金历!$N$40),0),-卓尔金历!$M$43))+MIN(MAX(((B2003-B2002)/B2002)/($K$7*卓尔金历!$N$40),0),卓尔金历!$M$43),0),1)</f>
        <v>1</v>
      </c>
      <c r="M2003" s="4">
        <f>MIN(MAX(M2002*(1+MAX(MIN(((B2003-B2002)/B2002)/($K$7*30),0),-卓尔金历!$M$43))+MIN(MAX(((B2003-B2002)/B2002)/($K$7*7),0),卓尔金历!$M$43),0),1)</f>
        <v>1</v>
      </c>
      <c r="N2003">
        <f t="shared" si="253"/>
        <v>770.88885670669106</v>
      </c>
      <c r="O2003">
        <f t="shared" si="254"/>
        <v>1987.1280092061545</v>
      </c>
      <c r="P2003">
        <f t="shared" si="255"/>
        <v>5.2971845108908774E-2</v>
      </c>
      <c r="Q2003">
        <f t="shared" si="256"/>
        <v>4.3519963174284547E-2</v>
      </c>
      <c r="R2003">
        <f t="shared" si="257"/>
        <v>3.3450148874062148E-2</v>
      </c>
      <c r="S2003">
        <f t="shared" si="249"/>
        <v>16.7265433211466</v>
      </c>
      <c r="T2003" s="564">
        <f>IF((I2003-MAX(I$470:I2003))/MAX(I$470:I2003)&gt;T2002,T2002,(I2003-MAX(I$470:I2003))/MAX(I$470:I2003))</f>
        <v>-0.91338805338419748</v>
      </c>
      <c r="U2003" s="564">
        <f>IF((J2003-MAX(J$470:J2003))/MAX(J$470:J2003)&gt;U2002,U2002,(J2003-MAX(J$470:J2003))/MAX(J$470:J2003))</f>
        <v>-0.8283551177402233</v>
      </c>
      <c r="V2003" s="564">
        <f>IF((K2003-MAX(K$470:K2003))/MAX(K$470:K2003)&gt;V2002,V2002,(K2003-MAX(K$470:K2003))/MAX(K$470:K2003))</f>
        <v>-0.84885940676762139</v>
      </c>
      <c r="W2003" s="564">
        <f>IF((N2003-MAX(N$470:N2003))/MAX(N$470:N2003)&gt;W2002,W2002,(N2003-MAX(N$470:N2003))/MAX(N$470:N2003))</f>
        <v>-0.62788758315546067</v>
      </c>
      <c r="X2003" s="564">
        <f>IF((O2003-MAX(O$470:O2003))/MAX(O$470:O2003)&gt;X2002,X2002,(O2003-MAX(O$470:O2003))/MAX(O$470:O2003))</f>
        <v>-0.62788758315546067</v>
      </c>
    </row>
    <row r="2004" spans="1:24">
      <c r="A2004" s="799">
        <v>42406</v>
      </c>
      <c r="B2004">
        <v>386.36200000000002</v>
      </c>
      <c r="C2004">
        <v>360.647693</v>
      </c>
      <c r="D2004">
        <v>1.242181</v>
      </c>
      <c r="E2004">
        <f>LN(D2004/参数实验室!$E$53)/参数实验室!$E$55</f>
        <v>-0.43711673499772291</v>
      </c>
      <c r="F2004">
        <f t="shared" si="258"/>
        <v>0.93344504117899785</v>
      </c>
      <c r="G2004">
        <f>LN(F2004/参数实验室!$E$58)/参数实验室!$E$59</f>
        <v>-0.22667839776205201</v>
      </c>
      <c r="H2004" s="856">
        <f>INDEX(神经网络!$G$10:$BO$70,MATCH(ROUND(G2004*2,1)/2,神经网络!$E$10:$E$70,0),MATCH(ROUND(E2004*2,1)/2,神经网络!$G$8:$BO$8,0))</f>
        <v>-0.57635827880181312</v>
      </c>
      <c r="I2004">
        <f t="shared" si="250"/>
        <v>961.60237957629818</v>
      </c>
      <c r="J2004">
        <f t="shared" si="251"/>
        <v>154.16862854634655</v>
      </c>
      <c r="K2004">
        <f t="shared" si="252"/>
        <v>6.2373414659209923</v>
      </c>
      <c r="L2004" s="4">
        <f>MIN(MAX(L2003*(1+MAX(MIN(((B2004-B2003)/B2003)/($K$7*卓尔金历!$N$40),0),-卓尔金历!$M$43))+MIN(MAX(((B2004-B2003)/B2003)/($K$7*卓尔金历!$N$40),0),卓尔金历!$M$43),0),1)</f>
        <v>0.87348125650844655</v>
      </c>
      <c r="M2004" s="4">
        <f>MIN(MAX(M2003*(1+MAX(MIN(((B2004-B2003)/B2003)/($K$7*30),0),-卓尔金历!$M$43))+MIN(MAX(((B2004-B2003)/B2003)/($K$7*7),0),卓尔金历!$M$43),0),1)</f>
        <v>0.93674062825422322</v>
      </c>
      <c r="N2004">
        <f t="shared" si="253"/>
        <v>773.897180767554</v>
      </c>
      <c r="O2004">
        <f t="shared" si="254"/>
        <v>1994.8825965894093</v>
      </c>
      <c r="P2004">
        <f t="shared" si="255"/>
        <v>-8.2805425218435858E-3</v>
      </c>
      <c r="Q2004">
        <f t="shared" si="256"/>
        <v>3.3562589141276092E-2</v>
      </c>
      <c r="R2004">
        <f t="shared" si="257"/>
        <v>1</v>
      </c>
      <c r="S2004">
        <f t="shared" si="249"/>
        <v>16.728726740241044</v>
      </c>
      <c r="T2004" s="564">
        <f>IF((I2004-MAX(I$470:I2004))/MAX(I$470:I2004)&gt;T2003,T2003,(I2004-MAX(I$470:I2004))/MAX(I$470:I2004))</f>
        <v>-0.91338805338419748</v>
      </c>
      <c r="U2004" s="564">
        <f>IF((J2004-MAX(J$470:J2004))/MAX(J$470:J2004)&gt;U2003,U2003,(J2004-MAX(J$470:J2004))/MAX(J$470:J2004))</f>
        <v>-0.8283551177402233</v>
      </c>
      <c r="V2004" s="564">
        <f>IF((K2004-MAX(K$470:K2004))/MAX(K$470:K2004)&gt;V2003,V2003,(K2004-MAX(K$470:K2004))/MAX(K$470:K2004))</f>
        <v>-0.84885940676762139</v>
      </c>
      <c r="W2004" s="564">
        <f>IF((N2004-MAX(N$470:N2004))/MAX(N$470:N2004)&gt;W2003,W2003,(N2004-MAX(N$470:N2004))/MAX(N$470:N2004))</f>
        <v>-0.62788758315546067</v>
      </c>
      <c r="X2004" s="564">
        <f>IF((O2004-MAX(O$470:O2004))/MAX(O$470:O2004)&gt;X2003,X2003,(O2004-MAX(O$470:O2004))/MAX(O$470:O2004))</f>
        <v>-0.62788758315546067</v>
      </c>
    </row>
    <row r="2005" spans="1:24">
      <c r="A2005" s="799">
        <v>42407</v>
      </c>
      <c r="B2005">
        <v>377.14100000000002</v>
      </c>
      <c r="C2005">
        <v>360.32026500000001</v>
      </c>
      <c r="D2005">
        <v>1.243808</v>
      </c>
      <c r="E2005">
        <f>LN(D2005/参数实验室!$E$53)/参数实验室!$E$55</f>
        <v>-0.43557251352128373</v>
      </c>
      <c r="F2005">
        <f t="shared" si="258"/>
        <v>0.9553993466634495</v>
      </c>
      <c r="G2005">
        <f>LN(F2005/参数实验室!$E$58)/参数实验室!$E$59</f>
        <v>-0.21447694272082071</v>
      </c>
      <c r="H2005" s="856">
        <f>INDEX(神经网络!$G$10:$BO$70,MATCH(ROUND(G2005*2,1)/2,神经网络!$E$10:$E$70,0),MATCH(ROUND(E2005*2,1)/2,神经网络!$G$8:$BO$8,0))</f>
        <v>-0.50364904160200485</v>
      </c>
      <c r="I2005">
        <f t="shared" si="250"/>
        <v>974.82969413434432</v>
      </c>
      <c r="J2005">
        <f t="shared" si="251"/>
        <v>150.4892063365385</v>
      </c>
      <c r="K2005">
        <f t="shared" si="252"/>
        <v>6.4777382901092322</v>
      </c>
      <c r="L2005" s="4">
        <f>MIN(MAX(L2004*(1+MAX(MIN(((B2005-B2004)/B2004)/($K$7*卓尔金历!$N$40),0),-卓尔金历!$M$43))+MIN(MAX(((B2005-B2004)/B2004)/($K$7*卓尔金历!$N$40),0),卓尔金历!$M$43),0),1)</f>
        <v>0.55496376622939037</v>
      </c>
      <c r="M2005" s="4">
        <f>MIN(MAX(M2004*(1+MAX(MIN(((B2005-B2004)/B2004)/($K$7*30),0),-卓尔金历!$M$43))+MIN(MAX(((B2005-B2004)/B2004)/($K$7*7),0),卓尔金历!$M$43),0),1)</f>
        <v>0.7659480258195559</v>
      </c>
      <c r="N2005">
        <f t="shared" si="253"/>
        <v>783.19568315623496</v>
      </c>
      <c r="O2005">
        <f t="shared" si="254"/>
        <v>2020.5873149993579</v>
      </c>
      <c r="P2005">
        <f t="shared" si="255"/>
        <v>-2.386621872751462E-2</v>
      </c>
      <c r="Q2005">
        <f t="shared" si="256"/>
        <v>3.3752146938244618E-2</v>
      </c>
      <c r="R2005">
        <f t="shared" si="257"/>
        <v>0.39177472323199125</v>
      </c>
      <c r="S2005">
        <f t="shared" si="249"/>
        <v>16.958838619587958</v>
      </c>
      <c r="T2005" s="564">
        <f>IF((I2005-MAX(I$470:I2005))/MAX(I$470:I2005)&gt;T2004,T2004,(I2005-MAX(I$470:I2005))/MAX(I$470:I2005))</f>
        <v>-0.91338805338419748</v>
      </c>
      <c r="U2005" s="564">
        <f>IF((J2005-MAX(J$470:J2005))/MAX(J$470:J2005)&gt;U2004,U2004,(J2005-MAX(J$470:J2005))/MAX(J$470:J2005))</f>
        <v>-0.8283551177402233</v>
      </c>
      <c r="V2005" s="564">
        <f>IF((K2005-MAX(K$470:K2005))/MAX(K$470:K2005)&gt;V2004,V2004,(K2005-MAX(K$470:K2005))/MAX(K$470:K2005))</f>
        <v>-0.84885940676762139</v>
      </c>
      <c r="W2005" s="564">
        <f>IF((N2005-MAX(N$470:N2005))/MAX(N$470:N2005)&gt;W2004,W2004,(N2005-MAX(N$470:N2005))/MAX(N$470:N2005))</f>
        <v>-0.62788758315546067</v>
      </c>
      <c r="X2005" s="564">
        <f>IF((O2005-MAX(O$470:O2005))/MAX(O$470:O2005)&gt;X2004,X2004,(O2005-MAX(O$470:O2005))/MAX(O$470:O2005))</f>
        <v>-0.62788758315546067</v>
      </c>
    </row>
    <row r="2006" spans="1:24">
      <c r="A2006" s="799">
        <v>42408</v>
      </c>
      <c r="B2006">
        <v>377.15100000000001</v>
      </c>
      <c r="C2006">
        <v>361.26616799999999</v>
      </c>
      <c r="D2006">
        <v>1.2300679999999999</v>
      </c>
      <c r="E2006">
        <f>LN(D2006/参数实验室!$E$53)/参数实验室!$E$55</f>
        <v>-0.44867743571764596</v>
      </c>
      <c r="F2006">
        <f t="shared" si="258"/>
        <v>0.95788203663784532</v>
      </c>
      <c r="G2006">
        <f>LN(F2006/参数实验室!$E$58)/参数实验室!$E$59</f>
        <v>-0.2131148319372147</v>
      </c>
      <c r="H2006" s="856">
        <f>INDEX(神经网络!$G$10:$BO$70,MATCH(ROUND(G2006*2,1)/2,神经网络!$E$10:$E$70,0),MATCH(ROUND(E2006*2,1)/2,神经网络!$G$8:$BO$8,0))</f>
        <v>-0.50364904160200485</v>
      </c>
      <c r="I2006">
        <f t="shared" si="250"/>
        <v>974.81667587217771</v>
      </c>
      <c r="J2006">
        <f t="shared" si="251"/>
        <v>150.49319660029494</v>
      </c>
      <c r="K2006">
        <f t="shared" si="252"/>
        <v>6.4774800316140491</v>
      </c>
      <c r="L2006" s="4">
        <f>MIN(MAX(L2005*(1+MAX(MIN(((B2006-B2005)/B2005)/($K$7*卓尔金历!$N$40),0),-卓尔金历!$M$43))+MIN(MAX(((B2006-B2005)/B2005)/($K$7*卓尔金历!$N$40),0),卓尔金历!$M$43),0),1)</f>
        <v>0.55536889429480285</v>
      </c>
      <c r="M2006" s="4">
        <f>MIN(MAX(M2005*(1+MAX(MIN(((B2006-B2005)/B2005)/($K$7*30),0),-卓尔金历!$M$43))+MIN(MAX(((B2006-B2005)/B2005)/($K$7*7),0),卓尔金历!$M$43),0),1)</f>
        <v>0.766816157388297</v>
      </c>
      <c r="N2006">
        <f t="shared" si="253"/>
        <v>783.18987873158949</v>
      </c>
      <c r="O2006">
        <f t="shared" si="254"/>
        <v>2020.5666468692436</v>
      </c>
      <c r="P2006">
        <f t="shared" si="255"/>
        <v>2.6515282082804322E-5</v>
      </c>
      <c r="Q2006">
        <f t="shared" si="256"/>
        <v>3.3645761646021372E-2</v>
      </c>
      <c r="R2006">
        <f t="shared" si="257"/>
        <v>1</v>
      </c>
      <c r="S2006">
        <f t="shared" si="249"/>
        <v>16.958749892386532</v>
      </c>
      <c r="T2006" s="564">
        <f>IF((I2006-MAX(I$470:I2006))/MAX(I$470:I2006)&gt;T2005,T2005,(I2006-MAX(I$470:I2006))/MAX(I$470:I2006))</f>
        <v>-0.91338805338419748</v>
      </c>
      <c r="U2006" s="564">
        <f>IF((J2006-MAX(J$470:J2006))/MAX(J$470:J2006)&gt;U2005,U2005,(J2006-MAX(J$470:J2006))/MAX(J$470:J2006))</f>
        <v>-0.8283551177402233</v>
      </c>
      <c r="V2006" s="564">
        <f>IF((K2006-MAX(K$470:K2006))/MAX(K$470:K2006)&gt;V2005,V2005,(K2006-MAX(K$470:K2006))/MAX(K$470:K2006))</f>
        <v>-0.84885940676762139</v>
      </c>
      <c r="W2006" s="564">
        <f>IF((N2006-MAX(N$470:N2006))/MAX(N$470:N2006)&gt;W2005,W2005,(N2006-MAX(N$470:N2006))/MAX(N$470:N2006))</f>
        <v>-0.62788758315546067</v>
      </c>
      <c r="X2006" s="564">
        <f>IF((O2006-MAX(O$470:O2006))/MAX(O$470:O2006)&gt;X2005,X2005,(O2006-MAX(O$470:O2006))/MAX(O$470:O2006))</f>
        <v>-0.62788758315546067</v>
      </c>
    </row>
    <row r="2007" spans="1:24">
      <c r="A2007" s="799">
        <v>42409</v>
      </c>
      <c r="B2007">
        <v>373.45400000000001</v>
      </c>
      <c r="C2007">
        <v>361.380765</v>
      </c>
      <c r="D2007">
        <v>1.2395529999999999</v>
      </c>
      <c r="E2007">
        <f>LN(D2007/参数实验室!$E$53)/参数实验室!$E$55</f>
        <v>-0.4396153046945816</v>
      </c>
      <c r="F2007">
        <f t="shared" si="258"/>
        <v>0.96767142673528728</v>
      </c>
      <c r="G2007">
        <f>LN(F2007/参数实验室!$E$58)/参数实验室!$E$59</f>
        <v>-0.20777813748894733</v>
      </c>
      <c r="H2007" s="856">
        <f>INDEX(神经网络!$G$10:$BO$70,MATCH(ROUND(G2007*2,1)/2,神经网络!$E$10:$E$70,0),MATCH(ROUND(E2007*2,1)/2,神经网络!$G$8:$BO$8,0))</f>
        <v>-0.50364904160200485</v>
      </c>
      <c r="I2007">
        <f t="shared" si="250"/>
        <v>979.62933551340063</v>
      </c>
      <c r="J2007">
        <f t="shared" si="251"/>
        <v>149.01799608954119</v>
      </c>
      <c r="K2007">
        <f t="shared" si="252"/>
        <v>6.5738995371053432</v>
      </c>
      <c r="L2007" s="4">
        <f>MIN(MAX(L2006*(1+MAX(MIN(((B2007-B2006)/B2006)/($K$7*卓尔金历!$N$40),0),-卓尔金历!$M$43))+MIN(MAX(((B2007-B2006)/B2006)/($K$7*卓尔金历!$N$40),0),卓尔金历!$M$43),0),1)</f>
        <v>0.47219025393526359</v>
      </c>
      <c r="M2007" s="4">
        <f>MIN(MAX(M2006*(1+MAX(MIN(((B2007-B2006)/B2006)/($K$7*30),0),-卓尔金历!$M$43))+MIN(MAX(((B2007-B2006)/B2006)/($K$7*7),0),卓尔金历!$M$43),0),1)</f>
        <v>0.70939241072863291</v>
      </c>
      <c r="N2007">
        <f t="shared" si="253"/>
        <v>785.3372681904832</v>
      </c>
      <c r="O2007">
        <f t="shared" si="254"/>
        <v>2028.2160338788137</v>
      </c>
      <c r="P2007">
        <f t="shared" si="255"/>
        <v>-9.8024398715633853E-3</v>
      </c>
      <c r="Q2007">
        <f t="shared" si="256"/>
        <v>3.3701494972124692E-2</v>
      </c>
      <c r="R2007">
        <f t="shared" si="257"/>
        <v>1</v>
      </c>
      <c r="S2007">
        <f t="shared" ref="S2007:S2070" si="259">S2006*(1+(B2007-B2006)/B2006*H2006*R2006)</f>
        <v>17.042475061634033</v>
      </c>
      <c r="T2007" s="564">
        <f>IF((I2007-MAX(I$470:I2007))/MAX(I$470:I2007)&gt;T2006,T2006,(I2007-MAX(I$470:I2007))/MAX(I$470:I2007))</f>
        <v>-0.91338805338419748</v>
      </c>
      <c r="U2007" s="564">
        <f>IF((J2007-MAX(J$470:J2007))/MAX(J$470:J2007)&gt;U2006,U2006,(J2007-MAX(J$470:J2007))/MAX(J$470:J2007))</f>
        <v>-0.8283551177402233</v>
      </c>
      <c r="V2007" s="564">
        <f>IF((K2007-MAX(K$470:K2007))/MAX(K$470:K2007)&gt;V2006,V2006,(K2007-MAX(K$470:K2007))/MAX(K$470:K2007))</f>
        <v>-0.84885940676762139</v>
      </c>
      <c r="W2007" s="564">
        <f>IF((N2007-MAX(N$470:N2007))/MAX(N$470:N2007)&gt;W2006,W2006,(N2007-MAX(N$470:N2007))/MAX(N$470:N2007))</f>
        <v>-0.62788758315546067</v>
      </c>
      <c r="X2007" s="564">
        <f>IF((O2007-MAX(O$470:O2007))/MAX(O$470:O2007)&gt;X2006,X2006,(O2007-MAX(O$470:O2007))/MAX(O$470:O2007))</f>
        <v>-0.62788758315546067</v>
      </c>
    </row>
    <row r="2008" spans="1:24">
      <c r="A2008" s="799">
        <v>42410</v>
      </c>
      <c r="B2008">
        <v>376.20299999999997</v>
      </c>
      <c r="C2008">
        <v>363.02793500000001</v>
      </c>
      <c r="D2008">
        <v>1.2574380000000001</v>
      </c>
      <c r="E2008">
        <f>LN(D2008/参数实验室!$E$53)/参数实验室!$E$55</f>
        <v>-0.42271476511739509</v>
      </c>
      <c r="F2008">
        <f t="shared" si="258"/>
        <v>0.96497884121072941</v>
      </c>
      <c r="G2008">
        <f>LN(F2008/参数实验室!$E$58)/参数实验室!$E$59</f>
        <v>-0.20924060106728998</v>
      </c>
      <c r="H2008" s="856">
        <f>INDEX(神经网络!$G$10:$BO$70,MATCH(ROUND(G2008*2,1)/2,神经网络!$E$10:$E$70,0),MATCH(ROUND(E2008*2,1)/2,神经网络!$G$8:$BO$8,0))</f>
        <v>-0.47127462620209248</v>
      </c>
      <c r="I2008">
        <f t="shared" ref="I2008:I2071" si="260">I2007*(1+(B2008-B2007)/B2007*H2007)</f>
        <v>975.99748957118425</v>
      </c>
      <c r="J2008">
        <f t="shared" ref="J2008:J2071" si="261">J2007*B2008/B2007</f>
        <v>150.11491959618496</v>
      </c>
      <c r="K2008">
        <f t="shared" ref="K2008:K2071" si="262">I2008/J2008</f>
        <v>6.5016688027855984</v>
      </c>
      <c r="L2008" s="4">
        <f>MIN(MAX(L2007*(1+MAX(MIN(((B2008-B2007)/B2007)/($K$7*卓尔金历!$N$40),0),-卓尔金历!$M$43))+MIN(MAX(((B2008-B2007)/B2007)/($K$7*卓尔金历!$N$40),0),卓尔金历!$M$43),0),1)</f>
        <v>0.58465947901263338</v>
      </c>
      <c r="M2008" s="4">
        <f>MIN(MAX(M2007*(1+MAX(MIN(((B2008-B2007)/B2007)/($K$7*30),0),-卓尔金历!$M$43))+MIN(MAX(((B2008-B2007)/B2007)/($K$7*7),0),卓尔金历!$M$43),0),1)</f>
        <v>0.9503978930372825</v>
      </c>
      <c r="N2008">
        <f t="shared" ref="N2008:N2071" si="263">N2007*(1+(B2008-B2007)/B2007*H2007*L2007)</f>
        <v>783.96247028253526</v>
      </c>
      <c r="O2008">
        <f t="shared" ref="O2008:O2071" si="264">O2007*(1+(B2008-B2007)/B2007*H2007*M2007)</f>
        <v>2022.8818696104056</v>
      </c>
      <c r="P2008">
        <f t="shared" ref="P2008:P2071" si="265">(B2008-B2007)/B2007</f>
        <v>7.3610136723665214E-3</v>
      </c>
      <c r="Q2008">
        <f t="shared" si="256"/>
        <v>3.3648552890359146E-2</v>
      </c>
      <c r="R2008">
        <f t="shared" si="257"/>
        <v>1</v>
      </c>
      <c r="S2008">
        <f t="shared" si="259"/>
        <v>16.979292343789552</v>
      </c>
      <c r="T2008" s="564">
        <f>IF((I2008-MAX(I$470:I2008))/MAX(I$470:I2008)&gt;T2007,T2007,(I2008-MAX(I$470:I2008))/MAX(I$470:I2008))</f>
        <v>-0.91338805338419748</v>
      </c>
      <c r="U2008" s="564">
        <f>IF((J2008-MAX(J$470:J2008))/MAX(J$470:J2008)&gt;U2007,U2007,(J2008-MAX(J$470:J2008))/MAX(J$470:J2008))</f>
        <v>-0.8283551177402233</v>
      </c>
      <c r="V2008" s="564">
        <f>IF((K2008-MAX(K$470:K2008))/MAX(K$470:K2008)&gt;V2007,V2007,(K2008-MAX(K$470:K2008))/MAX(K$470:K2008))</f>
        <v>-0.84885940676762139</v>
      </c>
      <c r="W2008" s="564">
        <f>IF((N2008-MAX(N$470:N2008))/MAX(N$470:N2008)&gt;W2007,W2007,(N2008-MAX(N$470:N2008))/MAX(N$470:N2008))</f>
        <v>-0.62788758315546067</v>
      </c>
      <c r="X2008" s="564">
        <f>IF((O2008-MAX(O$470:O2008))/MAX(O$470:O2008)&gt;X2007,X2007,(O2008-MAX(O$470:O2008))/MAX(O$470:O2008))</f>
        <v>-0.62788758315546067</v>
      </c>
    </row>
    <row r="2009" spans="1:24">
      <c r="A2009" s="799">
        <v>42411</v>
      </c>
      <c r="B2009">
        <v>382.02</v>
      </c>
      <c r="C2009">
        <v>358.53245099999998</v>
      </c>
      <c r="D2009">
        <v>1.252391</v>
      </c>
      <c r="E2009">
        <f>LN(D2009/参数实验室!$E$53)/参数实验室!$E$55</f>
        <v>-0.42745948887986857</v>
      </c>
      <c r="F2009">
        <f t="shared" si="258"/>
        <v>0.93851748861316164</v>
      </c>
      <c r="G2009">
        <f>LN(F2009/参数实验室!$E$58)/参数实验室!$E$59</f>
        <v>-0.22383400208883003</v>
      </c>
      <c r="H2009" s="856">
        <f>INDEX(神经网络!$G$10:$BO$70,MATCH(ROUND(G2009*2,1)/2,神经网络!$E$10:$E$70,0),MATCH(ROUND(E2009*2,1)/2,神经网络!$G$8:$BO$8,0))</f>
        <v>-0.50364904160200485</v>
      </c>
      <c r="I2009">
        <f t="shared" si="260"/>
        <v>968.88536151664482</v>
      </c>
      <c r="J2009">
        <f t="shared" si="261"/>
        <v>152.4360560233028</v>
      </c>
      <c r="K2009">
        <f t="shared" si="262"/>
        <v>6.3560117389059974</v>
      </c>
      <c r="L2009" s="4">
        <f>MIN(MAX(L2008*(1+MAX(MIN(((B2009-B2008)/B2008)/($K$7*卓尔金历!$N$40),0),-卓尔金历!$M$43))+MIN(MAX(((B2009-B2008)/B2008)/($K$7*卓尔金历!$N$40),0),卓尔金历!$M$43),0),1)</f>
        <v>0.820910061391534</v>
      </c>
      <c r="M2009" s="4">
        <f>MIN(MAX(M2008*(1+MAX(MIN(((B2009-B2008)/B2008)/($K$7*30),0),-卓尔金历!$M$43))+MIN(MAX(((B2009-B2008)/B2008)/($K$7*7),0),卓尔金历!$M$43),0),1)</f>
        <v>1</v>
      </c>
      <c r="N2009">
        <f t="shared" si="263"/>
        <v>780.62244976314526</v>
      </c>
      <c r="O2009">
        <f t="shared" si="264"/>
        <v>2008.8722335383029</v>
      </c>
      <c r="P2009">
        <f t="shared" si="265"/>
        <v>1.5462396631605828E-2</v>
      </c>
      <c r="Q2009">
        <f t="shared" si="256"/>
        <v>2.6957620823439398E-2</v>
      </c>
      <c r="R2009">
        <f t="shared" si="257"/>
        <v>0.60820724979080742</v>
      </c>
      <c r="S2009">
        <f t="shared" si="259"/>
        <v>16.855563642932392</v>
      </c>
      <c r="T2009" s="564">
        <f>IF((I2009-MAX(I$470:I2009))/MAX(I$470:I2009)&gt;T2008,T2008,(I2009-MAX(I$470:I2009))/MAX(I$470:I2009))</f>
        <v>-0.91338805338419748</v>
      </c>
      <c r="U2009" s="564">
        <f>IF((J2009-MAX(J$470:J2009))/MAX(J$470:J2009)&gt;U2008,U2008,(J2009-MAX(J$470:J2009))/MAX(J$470:J2009))</f>
        <v>-0.8283551177402233</v>
      </c>
      <c r="V2009" s="564">
        <f>IF((K2009-MAX(K$470:K2009))/MAX(K$470:K2009)&gt;V2008,V2008,(K2009-MAX(K$470:K2009))/MAX(K$470:K2009))</f>
        <v>-0.84885940676762139</v>
      </c>
      <c r="W2009" s="564">
        <f>IF((N2009-MAX(N$470:N2009))/MAX(N$470:N2009)&gt;W2008,W2008,(N2009-MAX(N$470:N2009))/MAX(N$470:N2009))</f>
        <v>-0.62788758315546067</v>
      </c>
      <c r="X2009" s="564">
        <f>IF((O2009-MAX(O$470:O2009))/MAX(O$470:O2009)&gt;X2008,X2008,(O2009-MAX(O$470:O2009))/MAX(O$470:O2009))</f>
        <v>-0.62788758315546067</v>
      </c>
    </row>
    <row r="2010" spans="1:24">
      <c r="A2010" s="799">
        <v>42412</v>
      </c>
      <c r="B2010">
        <v>379.99900000000002</v>
      </c>
      <c r="C2010">
        <v>353.85925600000002</v>
      </c>
      <c r="D2010">
        <v>1.26736</v>
      </c>
      <c r="E2010">
        <f>LN(D2010/参数实验室!$E$53)/参数实验室!$E$55</f>
        <v>-0.41344228316422815</v>
      </c>
      <c r="F2010">
        <f t="shared" si="258"/>
        <v>0.93121101897636571</v>
      </c>
      <c r="G2010">
        <f>LN(F2010/参数实验室!$E$58)/参数实验室!$E$59</f>
        <v>-0.22793604111137125</v>
      </c>
      <c r="H2010" s="856">
        <f>INDEX(神经网络!$G$10:$BO$70,MATCH(ROUND(G2010*2,1)/2,神经网络!$E$10:$E$70,0),MATCH(ROUND(E2010*2,1)/2,神经网络!$G$8:$BO$8,0))</f>
        <v>-0.54697219397271091</v>
      </c>
      <c r="I2010">
        <f t="shared" si="260"/>
        <v>971.46691198352835</v>
      </c>
      <c r="J2010">
        <f t="shared" si="261"/>
        <v>151.62962371812745</v>
      </c>
      <c r="K2010">
        <f t="shared" si="262"/>
        <v>6.4068411446396585</v>
      </c>
      <c r="L2010" s="4">
        <f>MIN(MAX(L2009*(1+MAX(MIN(((B2010-B2009)/B2009)/($K$7*卓尔金历!$N$40),0),-卓尔金历!$M$43))+MIN(MAX(((B2010-B2009)/B2009)/($K$7*卓尔金历!$N$40),0),卓尔金历!$M$43),0),1)</f>
        <v>0.75455533384696227</v>
      </c>
      <c r="M2010" s="4">
        <f>MIN(MAX(M2009*(1+MAX(MIN(((B2010-B2009)/B2009)/($K$7*30),0),-卓尔金历!$M$43))+MIN(MAX(((B2010-B2009)/B2009)/($K$7*7),0),卓尔金历!$M$43),0),1)</f>
        <v>0.95958465447963137</v>
      </c>
      <c r="N2010">
        <f t="shared" si="263"/>
        <v>782.3298873619799</v>
      </c>
      <c r="O2010">
        <f t="shared" si="264"/>
        <v>2014.2247811753962</v>
      </c>
      <c r="P2010">
        <f t="shared" si="265"/>
        <v>-5.2902989372283077E-3</v>
      </c>
      <c r="Q2010">
        <f t="shared" si="256"/>
        <v>2.6801787577091375E-2</v>
      </c>
      <c r="R2010">
        <f t="shared" si="257"/>
        <v>1</v>
      </c>
      <c r="S2010">
        <f t="shared" si="259"/>
        <v>16.882878761968385</v>
      </c>
      <c r="T2010" s="564">
        <f>IF((I2010-MAX(I$470:I2010))/MAX(I$470:I2010)&gt;T2009,T2009,(I2010-MAX(I$470:I2010))/MAX(I$470:I2010))</f>
        <v>-0.91338805338419748</v>
      </c>
      <c r="U2010" s="564">
        <f>IF((J2010-MAX(J$470:J2010))/MAX(J$470:J2010)&gt;U2009,U2009,(J2010-MAX(J$470:J2010))/MAX(J$470:J2010))</f>
        <v>-0.8283551177402233</v>
      </c>
      <c r="V2010" s="564">
        <f>IF((K2010-MAX(K$470:K2010))/MAX(K$470:K2010)&gt;V2009,V2009,(K2010-MAX(K$470:K2010))/MAX(K$470:K2010))</f>
        <v>-0.84885940676762139</v>
      </c>
      <c r="W2010" s="564">
        <f>IF((N2010-MAX(N$470:N2010))/MAX(N$470:N2010)&gt;W2009,W2009,(N2010-MAX(N$470:N2010))/MAX(N$470:N2010))</f>
        <v>-0.62788758315546067</v>
      </c>
      <c r="X2010" s="564">
        <f>IF((O2010-MAX(O$470:O2010))/MAX(O$470:O2010)&gt;X2009,X2009,(O2010-MAX(O$470:O2010))/MAX(O$470:O2010))</f>
        <v>-0.62788758315546067</v>
      </c>
    </row>
    <row r="2011" spans="1:24">
      <c r="A2011" s="799">
        <v>42413</v>
      </c>
      <c r="B2011">
        <v>385.471</v>
      </c>
      <c r="C2011">
        <v>349.24201099999999</v>
      </c>
      <c r="D2011">
        <v>1.2909040000000001</v>
      </c>
      <c r="E2011">
        <f>LN(D2011/参数实验室!$E$53)/参数实验室!$E$55</f>
        <v>-0.39172685848287775</v>
      </c>
      <c r="F2011">
        <f t="shared" si="258"/>
        <v>0.90601371049962254</v>
      </c>
      <c r="G2011">
        <f>LN(F2011/参数实验室!$E$58)/参数实验室!$E$59</f>
        <v>-0.2423335596101745</v>
      </c>
      <c r="H2011" s="856">
        <f>INDEX(神经网络!$G$10:$BO$70,MATCH(ROUND(G2011*2,1)/2,神经网络!$E$10:$E$70,0),MATCH(ROUND(E2011*2,1)/2,神经网络!$G$8:$BO$8,0))</f>
        <v>-0.54697219397271091</v>
      </c>
      <c r="I2011">
        <f t="shared" si="260"/>
        <v>963.81523025716274</v>
      </c>
      <c r="J2011">
        <f t="shared" si="261"/>
        <v>153.81309604564828</v>
      </c>
      <c r="K2011">
        <f t="shared" si="262"/>
        <v>6.2661454390796738</v>
      </c>
      <c r="L2011" s="4">
        <f>MIN(MAX(L2010*(1+MAX(MIN(((B2011-B2010)/B2010)/($K$7*卓尔金历!$N$40),0),-卓尔金历!$M$43))+MIN(MAX(((B2011-B2010)/B2010)/($K$7*卓尔金历!$N$40),0),卓尔金历!$M$43),0),1)</f>
        <v>0.97457409419744301</v>
      </c>
      <c r="M2011" s="4">
        <f>MIN(MAX(M2010*(1+MAX(MIN(((B2011-B2010)/B2010)/($K$7*30),0),-卓尔金历!$M$43))+MIN(MAX(((B2011-B2010)/B2010)/($K$7*7),0),卓尔金历!$M$43),0),1)</f>
        <v>1</v>
      </c>
      <c r="N2011">
        <f t="shared" si="263"/>
        <v>777.68034831479235</v>
      </c>
      <c r="O2011">
        <f t="shared" si="264"/>
        <v>1999.0010848257557</v>
      </c>
      <c r="P2011">
        <f t="shared" si="265"/>
        <v>1.4400037894836511E-2</v>
      </c>
      <c r="Q2011">
        <f t="shared" si="256"/>
        <v>2.1280665778106229E-2</v>
      </c>
      <c r="R2011">
        <f t="shared" si="257"/>
        <v>0.42783782354442512</v>
      </c>
      <c r="S2011">
        <f t="shared" si="259"/>
        <v>16.749902112616905</v>
      </c>
      <c r="T2011" s="564">
        <f>IF((I2011-MAX(I$470:I2011))/MAX(I$470:I2011)&gt;T2010,T2010,(I2011-MAX(I$470:I2011))/MAX(I$470:I2011))</f>
        <v>-0.91338805338419748</v>
      </c>
      <c r="U2011" s="564">
        <f>IF((J2011-MAX(J$470:J2011))/MAX(J$470:J2011)&gt;U2010,U2010,(J2011-MAX(J$470:J2011))/MAX(J$470:J2011))</f>
        <v>-0.8283551177402233</v>
      </c>
      <c r="V2011" s="564">
        <f>IF((K2011-MAX(K$470:K2011))/MAX(K$470:K2011)&gt;V2010,V2010,(K2011-MAX(K$470:K2011))/MAX(K$470:K2011))</f>
        <v>-0.84885940676762139</v>
      </c>
      <c r="W2011" s="564">
        <f>IF((N2011-MAX(N$470:N2011))/MAX(N$470:N2011)&gt;W2010,W2010,(N2011-MAX(N$470:N2011))/MAX(N$470:N2011))</f>
        <v>-0.62788758315546067</v>
      </c>
      <c r="X2011" s="564">
        <f>IF((O2011-MAX(O$470:O2011))/MAX(O$470:O2011)&gt;X2010,X2010,(O2011-MAX(O$470:O2011))/MAX(O$470:O2011))</f>
        <v>-0.62788758315546067</v>
      </c>
    </row>
    <row r="2012" spans="1:24">
      <c r="A2012" s="799">
        <v>42414</v>
      </c>
      <c r="B2012">
        <v>394.577</v>
      </c>
      <c r="C2012">
        <v>340.39922300000001</v>
      </c>
      <c r="D2012">
        <v>1.343952</v>
      </c>
      <c r="E2012">
        <f>LN(D2012/参数实验室!$E$53)/参数实验室!$E$55</f>
        <v>-0.34421609652182017</v>
      </c>
      <c r="F2012">
        <f t="shared" si="258"/>
        <v>0.86269403183662507</v>
      </c>
      <c r="G2012">
        <f>LN(F2012/参数实验室!$E$58)/参数实验室!$E$59</f>
        <v>-0.26804844275623124</v>
      </c>
      <c r="H2012" s="856">
        <f>INDEX(神经网络!$G$10:$BO$70,MATCH(ROUND(G2012*2,1)/2,神经网络!$E$10:$E$70,0),MATCH(ROUND(E2012*2,1)/2,神经网络!$G$8:$BO$8,0))</f>
        <v>-0.51075529571207356</v>
      </c>
      <c r="I2012">
        <f t="shared" si="260"/>
        <v>951.36162862799495</v>
      </c>
      <c r="J2012">
        <f t="shared" si="261"/>
        <v>157.44663022225734</v>
      </c>
      <c r="K2012">
        <f t="shared" si="262"/>
        <v>6.042438807899658</v>
      </c>
      <c r="L2012" s="4">
        <f>MIN(MAX(L2011*(1+MAX(MIN(((B2012-B2011)/B2011)/($K$7*卓尔金历!$N$40),0),-卓尔金历!$M$43))+MIN(MAX(((B2012-B2011)/B2011)/($K$7*卓尔金历!$N$40),0),卓尔金历!$M$43),0),1)</f>
        <v>1</v>
      </c>
      <c r="M2012" s="4">
        <f>MIN(MAX(M2011*(1+MAX(MIN(((B2012-B2011)/B2011)/($K$7*30),0),-卓尔金历!$M$43))+MIN(MAX(((B2012-B2011)/B2011)/($K$7*7),0),卓尔金历!$M$43),0),1)</f>
        <v>1</v>
      </c>
      <c r="N2012">
        <f t="shared" si="263"/>
        <v>767.88731635082445</v>
      </c>
      <c r="O2012">
        <f t="shared" si="264"/>
        <v>1973.1716909905372</v>
      </c>
      <c r="P2012">
        <f t="shared" si="265"/>
        <v>2.3623048167047571E-2</v>
      </c>
      <c r="Q2012">
        <f t="shared" si="256"/>
        <v>2.1042106292635147E-2</v>
      </c>
      <c r="R2012">
        <f t="shared" si="257"/>
        <v>1.8818548909927169E-2</v>
      </c>
      <c r="S2012">
        <f t="shared" si="259"/>
        <v>16.657306025664099</v>
      </c>
      <c r="T2012" s="564">
        <f>IF((I2012-MAX(I$470:I2012))/MAX(I$470:I2012)&gt;T2011,T2011,(I2012-MAX(I$470:I2012))/MAX(I$470:I2012))</f>
        <v>-0.91338805338419748</v>
      </c>
      <c r="U2012" s="564">
        <f>IF((J2012-MAX(J$470:J2012))/MAX(J$470:J2012)&gt;U2011,U2011,(J2012-MAX(J$470:J2012))/MAX(J$470:J2012))</f>
        <v>-0.8283551177402233</v>
      </c>
      <c r="V2012" s="564">
        <f>IF((K2012-MAX(K$470:K2012))/MAX(K$470:K2012)&gt;V2011,V2011,(K2012-MAX(K$470:K2012))/MAX(K$470:K2012))</f>
        <v>-0.84885940676762139</v>
      </c>
      <c r="W2012" s="564">
        <f>IF((N2012-MAX(N$470:N2012))/MAX(N$470:N2012)&gt;W2011,W2011,(N2012-MAX(N$470:N2012))/MAX(N$470:N2012))</f>
        <v>-0.62788758315546067</v>
      </c>
      <c r="X2012" s="564">
        <f>IF((O2012-MAX(O$470:O2012))/MAX(O$470:O2012)&gt;X2011,X2011,(O2012-MAX(O$470:O2012))/MAX(O$470:O2012))</f>
        <v>-0.62788758315546067</v>
      </c>
    </row>
    <row r="2013" spans="1:24">
      <c r="A2013" s="799">
        <v>42415</v>
      </c>
      <c r="B2013">
        <v>410.38099999999997</v>
      </c>
      <c r="C2013">
        <v>338.63605699999999</v>
      </c>
      <c r="D2013">
        <v>1.3208089999999999</v>
      </c>
      <c r="E2013">
        <f>LN(D2013/参数实验室!$E$53)/参数实验室!$E$55</f>
        <v>-0.36470852778434459</v>
      </c>
      <c r="F2013">
        <f t="shared" si="258"/>
        <v>0.82517479366734814</v>
      </c>
      <c r="G2013">
        <f>LN(F2013/参数实验室!$E$58)/参数实验室!$E$59</f>
        <v>-0.2913860006534853</v>
      </c>
      <c r="H2013" s="856">
        <f>INDEX(神经网络!$G$10:$BO$70,MATCH(ROUND(G2013*2,1)/2,神经网络!$E$10:$E$70,0),MATCH(ROUND(E2013*2,1)/2,神经网络!$G$8:$BO$8,0))</f>
        <v>-0.58334816509486931</v>
      </c>
      <c r="I2013">
        <f t="shared" si="260"/>
        <v>931.89934650482962</v>
      </c>
      <c r="J2013">
        <f t="shared" si="261"/>
        <v>163.75284306292608</v>
      </c>
      <c r="K2013">
        <f t="shared" si="262"/>
        <v>5.6908895691461323</v>
      </c>
      <c r="L2013" s="4">
        <f>MIN(MAX(L2012*(1+MAX(MIN(((B2013-B2012)/B2012)/($K$7*卓尔金历!$N$40),0),-卓尔金历!$M$43))+MIN(MAX(((B2013-B2012)/B2012)/($K$7*卓尔金历!$N$40),0),卓尔金历!$M$43),0),1)</f>
        <v>1</v>
      </c>
      <c r="M2013" s="4">
        <f>MIN(MAX(M2012*(1+MAX(MIN(((B2013-B2012)/B2012)/($K$7*30),0),-卓尔金历!$M$43))+MIN(MAX(((B2013-B2012)/B2012)/($K$7*7),0),卓尔金历!$M$43),0),1)</f>
        <v>1</v>
      </c>
      <c r="N2013">
        <f t="shared" si="263"/>
        <v>752.17842170981112</v>
      </c>
      <c r="O2013">
        <f t="shared" si="264"/>
        <v>1932.8059426022162</v>
      </c>
      <c r="P2013">
        <f t="shared" si="265"/>
        <v>4.0053018802413659E-2</v>
      </c>
      <c r="Q2013">
        <f t="shared" si="256"/>
        <v>2.1208034209506139E-2</v>
      </c>
      <c r="R2013">
        <f t="shared" si="257"/>
        <v>7.6630308486082934E-3</v>
      </c>
      <c r="S2013">
        <f t="shared" si="259"/>
        <v>16.650893353625392</v>
      </c>
      <c r="T2013" s="564">
        <f>IF((I2013-MAX(I$470:I2013))/MAX(I$470:I2013)&gt;T2012,T2012,(I2013-MAX(I$470:I2013))/MAX(I$470:I2013))</f>
        <v>-0.91338805338419748</v>
      </c>
      <c r="U2013" s="564">
        <f>IF((J2013-MAX(J$470:J2013))/MAX(J$470:J2013)&gt;U2012,U2012,(J2013-MAX(J$470:J2013))/MAX(J$470:J2013))</f>
        <v>-0.8283551177402233</v>
      </c>
      <c r="V2013" s="564">
        <f>IF((K2013-MAX(K$470:K2013))/MAX(K$470:K2013)&gt;V2012,V2012,(K2013-MAX(K$470:K2013))/MAX(K$470:K2013))</f>
        <v>-0.84885940676762139</v>
      </c>
      <c r="W2013" s="564">
        <f>IF((N2013-MAX(N$470:N2013))/MAX(N$470:N2013)&gt;W2012,W2012,(N2013-MAX(N$470:N2013))/MAX(N$470:N2013))</f>
        <v>-0.62788758315546067</v>
      </c>
      <c r="X2013" s="564">
        <f>IF((O2013-MAX(O$470:O2013))/MAX(O$470:O2013)&gt;X2012,X2012,(O2013-MAX(O$470:O2013))/MAX(O$470:O2013))</f>
        <v>-0.62788758315546067</v>
      </c>
    </row>
    <row r="2014" spans="1:24">
      <c r="A2014" s="799">
        <v>42416</v>
      </c>
      <c r="B2014">
        <v>402.70699999999999</v>
      </c>
      <c r="C2014">
        <v>341.53496100000001</v>
      </c>
      <c r="D2014">
        <v>1.3443929999999999</v>
      </c>
      <c r="E2014">
        <f>LN(D2014/参数实验室!$E$53)/参数实验室!$E$55</f>
        <v>-0.3438290396632262</v>
      </c>
      <c r="F2014">
        <f t="shared" si="258"/>
        <v>0.84809789996200713</v>
      </c>
      <c r="G2014">
        <f>LN(F2014/参数实验室!$E$58)/参数实验室!$E$59</f>
        <v>-0.27700455784538897</v>
      </c>
      <c r="H2014" s="856">
        <f>INDEX(神经网络!$G$10:$BO$70,MATCH(ROUND(G2014*2,1)/2,神经网络!$E$10:$E$70,0),MATCH(ROUND(E2014*2,1)/2,神经网络!$G$8:$BO$8,0))</f>
        <v>-0.58334816509486931</v>
      </c>
      <c r="I2014">
        <f t="shared" si="260"/>
        <v>942.06490848850535</v>
      </c>
      <c r="J2014">
        <f t="shared" si="261"/>
        <v>160.69071465623841</v>
      </c>
      <c r="K2014">
        <f t="shared" si="262"/>
        <v>5.8625970424230234</v>
      </c>
      <c r="L2014" s="4">
        <f>MIN(MAX(L2013*(1+MAX(MIN(((B2014-B2013)/B2013)/($K$7*卓尔金历!$N$40),0),-卓尔金历!$M$43))+MIN(MAX(((B2014-B2013)/B2013)/($K$7*卓尔金历!$N$40),0),卓尔金历!$M$43),0),1)</f>
        <v>0.71428658779743948</v>
      </c>
      <c r="M2014" s="4">
        <f>MIN(MAX(M2013*(1+MAX(MIN(((B2014-B2013)/B2013)/($K$7*30),0),-卓尔金历!$M$43))+MIN(MAX(((B2014-B2013)/B2013)/($K$7*7),0),卓尔金历!$M$43),0),1)</f>
        <v>0.85714329389871979</v>
      </c>
      <c r="N2014">
        <f t="shared" si="263"/>
        <v>760.38350994960081</v>
      </c>
      <c r="O2014">
        <f t="shared" si="264"/>
        <v>1953.8898275578517</v>
      </c>
      <c r="P2014">
        <f t="shared" si="265"/>
        <v>-1.8699696136029637E-2</v>
      </c>
      <c r="Q2014">
        <f t="shared" si="256"/>
        <v>2.067002869303106E-2</v>
      </c>
      <c r="R2014">
        <f t="shared" si="257"/>
        <v>0.12351008931486637</v>
      </c>
      <c r="S2014">
        <f t="shared" si="259"/>
        <v>16.652285229472518</v>
      </c>
      <c r="T2014" s="564">
        <f>IF((I2014-MAX(I$470:I2014))/MAX(I$470:I2014)&gt;T2013,T2013,(I2014-MAX(I$470:I2014))/MAX(I$470:I2014))</f>
        <v>-0.91338805338419748</v>
      </c>
      <c r="U2014" s="564">
        <f>IF((J2014-MAX(J$470:J2014))/MAX(J$470:J2014)&gt;U2013,U2013,(J2014-MAX(J$470:J2014))/MAX(J$470:J2014))</f>
        <v>-0.8283551177402233</v>
      </c>
      <c r="V2014" s="564">
        <f>IF((K2014-MAX(K$470:K2014))/MAX(K$470:K2014)&gt;V2013,V2013,(K2014-MAX(K$470:K2014))/MAX(K$470:K2014))</f>
        <v>-0.84885940676762139</v>
      </c>
      <c r="W2014" s="564">
        <f>IF((N2014-MAX(N$470:N2014))/MAX(N$470:N2014)&gt;W2013,W2013,(N2014-MAX(N$470:N2014))/MAX(N$470:N2014))</f>
        <v>-0.62788758315546067</v>
      </c>
      <c r="X2014" s="564">
        <f>IF((O2014-MAX(O$470:O2014))/MAX(O$470:O2014)&gt;X2013,X2013,(O2014-MAX(O$470:O2014))/MAX(O$470:O2014))</f>
        <v>-0.62788758315546067</v>
      </c>
    </row>
    <row r="2015" spans="1:24">
      <c r="A2015" s="799">
        <v>42417</v>
      </c>
      <c r="B2015">
        <v>407.97699999999998</v>
      </c>
      <c r="C2015">
        <v>345.53559799999999</v>
      </c>
      <c r="D2015">
        <v>1.368916</v>
      </c>
      <c r="E2015">
        <f>LN(D2015/参数实验室!$E$53)/参数实验室!$E$55</f>
        <v>-0.32250314084563464</v>
      </c>
      <c r="F2015">
        <f t="shared" si="258"/>
        <v>0.8469487201484398</v>
      </c>
      <c r="G2015">
        <f>LN(F2015/参数实验室!$E$58)/参数实验室!$E$59</f>
        <v>-0.27771622176853117</v>
      </c>
      <c r="H2015" s="856">
        <f>INDEX(神经网络!$G$10:$BO$70,MATCH(ROUND(G2015*2,1)/2,神经网络!$E$10:$E$70,0),MATCH(ROUND(E2015*2,1)/2,神经网络!$G$8:$BO$8,0))</f>
        <v>-0.5517202076005665</v>
      </c>
      <c r="I2015">
        <f t="shared" si="260"/>
        <v>934.87323271805121</v>
      </c>
      <c r="J2015">
        <f t="shared" si="261"/>
        <v>162.7935836558793</v>
      </c>
      <c r="K2015">
        <f t="shared" si="262"/>
        <v>5.742690907856848</v>
      </c>
      <c r="L2015" s="4">
        <f>MIN(MAX(L2014*(1+MAX(MIN(((B2015-B2014)/B2014)/($K$7*卓尔金历!$N$40),0),-卓尔金历!$M$43))+MIN(MAX(((B2015-B2014)/B2014)/($K$7*卓尔金历!$N$40),0),卓尔金历!$M$43),0),1)</f>
        <v>0.91423479520213136</v>
      </c>
      <c r="M2015" s="4">
        <f>MIN(MAX(M2014*(1+MAX(MIN(((B2015-B2014)/B2014)/($K$7*30),0),-卓尔金历!$M$43))+MIN(MAX(((B2015-B2014)/B2014)/($K$7*7),0),卓尔金历!$M$43),0),1)</f>
        <v>1</v>
      </c>
      <c r="N2015">
        <f t="shared" si="263"/>
        <v>756.23726974977205</v>
      </c>
      <c r="O2015">
        <f t="shared" si="264"/>
        <v>1941.1047673919952</v>
      </c>
      <c r="P2015">
        <f t="shared" si="265"/>
        <v>1.3086437533988686E-2</v>
      </c>
      <c r="Q2015">
        <f t="shared" si="256"/>
        <v>2.0796737876060983E-2</v>
      </c>
      <c r="R2015">
        <f t="shared" si="257"/>
        <v>0.49346454458818401</v>
      </c>
      <c r="S2015">
        <f t="shared" si="259"/>
        <v>16.636584293249481</v>
      </c>
      <c r="T2015" s="564">
        <f>IF((I2015-MAX(I$470:I2015))/MAX(I$470:I2015)&gt;T2014,T2014,(I2015-MAX(I$470:I2015))/MAX(I$470:I2015))</f>
        <v>-0.91338805338419748</v>
      </c>
      <c r="U2015" s="564">
        <f>IF((J2015-MAX(J$470:J2015))/MAX(J$470:J2015)&gt;U2014,U2014,(J2015-MAX(J$470:J2015))/MAX(J$470:J2015))</f>
        <v>-0.8283551177402233</v>
      </c>
      <c r="V2015" s="564">
        <f>IF((K2015-MAX(K$470:K2015))/MAX(K$470:K2015)&gt;V2014,V2014,(K2015-MAX(K$470:K2015))/MAX(K$470:K2015))</f>
        <v>-0.84885940676762139</v>
      </c>
      <c r="W2015" s="564">
        <f>IF((N2015-MAX(N$470:N2015))/MAX(N$470:N2015)&gt;W2014,W2014,(N2015-MAX(N$470:N2015))/MAX(N$470:N2015))</f>
        <v>-0.62788758315546067</v>
      </c>
      <c r="X2015" s="564">
        <f>IF((O2015-MAX(O$470:O2015))/MAX(O$470:O2015)&gt;X2014,X2014,(O2015-MAX(O$470:O2015))/MAX(O$470:O2015))</f>
        <v>-0.62788758315546067</v>
      </c>
    </row>
    <row r="2016" spans="1:24">
      <c r="A2016" s="799">
        <v>42418</v>
      </c>
      <c r="B2016">
        <v>416.81700000000001</v>
      </c>
      <c r="C2016">
        <v>338.44761399999999</v>
      </c>
      <c r="D2016">
        <v>1.387065</v>
      </c>
      <c r="E2016">
        <f>LN(D2016/参数实验室!$E$53)/参数实验室!$E$55</f>
        <v>-0.30696482534668917</v>
      </c>
      <c r="F2016">
        <f t="shared" si="258"/>
        <v>0.81198131074308388</v>
      </c>
      <c r="G2016">
        <f>LN(F2016/参数实验室!$E$58)/参数实验室!$E$59</f>
        <v>-0.29984555163594384</v>
      </c>
      <c r="H2016" s="856">
        <f>INDEX(神经网络!$G$10:$BO$70,MATCH(ROUND(G2016*2,1)/2,神经网络!$E$10:$E$70,0),MATCH(ROUND(E2016*2,1)/2,神经网络!$G$8:$BO$8,0))</f>
        <v>-0.5517202076005665</v>
      </c>
      <c r="I2016">
        <f t="shared" si="260"/>
        <v>923.69718619171988</v>
      </c>
      <c r="J2016">
        <f t="shared" si="261"/>
        <v>166.32097681656722</v>
      </c>
      <c r="K2016">
        <f t="shared" si="262"/>
        <v>5.553702268177819</v>
      </c>
      <c r="L2016" s="4">
        <f>MIN(MAX(L2015*(1+MAX(MIN(((B2016-B2015)/B2015)/($K$7*卓尔金历!$N$40),0),-卓尔金历!$M$43))+MIN(MAX(((B2016-B2015)/B2015)/($K$7*卓尔金历!$N$40),0),卓尔金历!$M$43),0),1)</f>
        <v>1</v>
      </c>
      <c r="M2016" s="4">
        <f>MIN(MAX(M2015*(1+MAX(MIN(((B2016-B2015)/B2015)/($K$7*30),0),-卓尔金历!$M$43))+MIN(MAX(((B2016-B2015)/B2015)/($K$7*7),0),卓尔金历!$M$43),0),1)</f>
        <v>1</v>
      </c>
      <c r="N2016">
        <f t="shared" si="263"/>
        <v>747.97210910602803</v>
      </c>
      <c r="O2016">
        <f t="shared" si="264"/>
        <v>1917.8996135447899</v>
      </c>
      <c r="P2016">
        <f t="shared" si="265"/>
        <v>2.166788814075311E-2</v>
      </c>
      <c r="Q2016">
        <f t="shared" si="256"/>
        <v>2.1167187863313893E-2</v>
      </c>
      <c r="R2016">
        <f t="shared" si="257"/>
        <v>2.0310528550161806E-2</v>
      </c>
      <c r="S2016">
        <f t="shared" si="259"/>
        <v>16.538442137168918</v>
      </c>
      <c r="T2016" s="564">
        <f>IF((I2016-MAX(I$470:I2016))/MAX(I$470:I2016)&gt;T2015,T2015,(I2016-MAX(I$470:I2016))/MAX(I$470:I2016))</f>
        <v>-0.91338805338419748</v>
      </c>
      <c r="U2016" s="564">
        <f>IF((J2016-MAX(J$470:J2016))/MAX(J$470:J2016)&gt;U2015,U2015,(J2016-MAX(J$470:J2016))/MAX(J$470:J2016))</f>
        <v>-0.8283551177402233</v>
      </c>
      <c r="V2016" s="564">
        <f>IF((K2016-MAX(K$470:K2016))/MAX(K$470:K2016)&gt;V2015,V2015,(K2016-MAX(K$470:K2016))/MAX(K$470:K2016))</f>
        <v>-0.84885940676762139</v>
      </c>
      <c r="W2016" s="564">
        <f>IF((N2016-MAX(N$470:N2016))/MAX(N$470:N2016)&gt;W2015,W2015,(N2016-MAX(N$470:N2016))/MAX(N$470:N2016))</f>
        <v>-0.62788758315546067</v>
      </c>
      <c r="X2016" s="564">
        <f>IF((O2016-MAX(O$470:O2016))/MAX(O$470:O2016)&gt;X2015,X2015,(O2016-MAX(O$470:O2016))/MAX(O$470:O2016))</f>
        <v>-0.62788758315546067</v>
      </c>
    </row>
    <row r="2017" spans="1:24">
      <c r="A2017" s="799">
        <v>42419</v>
      </c>
      <c r="B2017">
        <v>422.59</v>
      </c>
      <c r="C2017">
        <v>340.12894999999997</v>
      </c>
      <c r="D2017">
        <v>1.379904</v>
      </c>
      <c r="E2017">
        <f>LN(D2017/参数实验室!$E$53)/参数实验室!$E$55</f>
        <v>-0.31307131359569168</v>
      </c>
      <c r="F2017">
        <f t="shared" si="258"/>
        <v>0.80486748384959417</v>
      </c>
      <c r="G2017">
        <f>LN(F2017/参数实验室!$E$58)/参数实验室!$E$59</f>
        <v>-0.30446409718263645</v>
      </c>
      <c r="H2017" s="856">
        <f>INDEX(神经网络!$G$10:$BO$70,MATCH(ROUND(G2017*2,1)/2,神经网络!$E$10:$E$70,0),MATCH(ROUND(E2017*2,1)/2,神经网络!$G$8:$BO$8,0))</f>
        <v>-0.5517202076005665</v>
      </c>
      <c r="I2017">
        <f t="shared" si="260"/>
        <v>916.63881253037789</v>
      </c>
      <c r="J2017">
        <f t="shared" si="261"/>
        <v>168.6245560831567</v>
      </c>
      <c r="K2017">
        <f t="shared" si="262"/>
        <v>5.4359746517484684</v>
      </c>
      <c r="L2017" s="4">
        <f>MIN(MAX(L2016*(1+MAX(MIN(((B2017-B2016)/B2016)/($K$7*卓尔金历!$N$40),0),-卓尔金历!$M$43))+MIN(MAX(((B2017-B2016)/B2016)/($K$7*卓尔金历!$N$40),0),卓尔金历!$M$43),0),1)</f>
        <v>1</v>
      </c>
      <c r="M2017" s="4">
        <f>MIN(MAX(M2016*(1+MAX(MIN(((B2017-B2016)/B2016)/($K$7*30),0),-卓尔金历!$M$43))+MIN(MAX(((B2017-B2016)/B2016)/($K$7*7),0),卓尔金历!$M$43),0),1)</f>
        <v>1</v>
      </c>
      <c r="N2017">
        <f t="shared" si="263"/>
        <v>742.25652751364612</v>
      </c>
      <c r="O2017">
        <f t="shared" si="264"/>
        <v>1903.244104878411</v>
      </c>
      <c r="P2017">
        <f t="shared" si="265"/>
        <v>1.3850202846812792E-2</v>
      </c>
      <c r="Q2017">
        <f t="shared" si="256"/>
        <v>1.9260132621544145E-2</v>
      </c>
      <c r="R2017">
        <f t="shared" si="257"/>
        <v>0.35788421533926384</v>
      </c>
      <c r="S2017">
        <f t="shared" si="259"/>
        <v>16.535875344155521</v>
      </c>
      <c r="T2017" s="564">
        <f>IF((I2017-MAX(I$470:I2017))/MAX(I$470:I2017)&gt;T2016,T2016,(I2017-MAX(I$470:I2017))/MAX(I$470:I2017))</f>
        <v>-0.91338805338419748</v>
      </c>
      <c r="U2017" s="564">
        <f>IF((J2017-MAX(J$470:J2017))/MAX(J$470:J2017)&gt;U2016,U2016,(J2017-MAX(J$470:J2017))/MAX(J$470:J2017))</f>
        <v>-0.8283551177402233</v>
      </c>
      <c r="V2017" s="564">
        <f>IF((K2017-MAX(K$470:K2017))/MAX(K$470:K2017)&gt;V2016,V2016,(K2017-MAX(K$470:K2017))/MAX(K$470:K2017))</f>
        <v>-0.84885940676762139</v>
      </c>
      <c r="W2017" s="564">
        <f>IF((N2017-MAX(N$470:N2017))/MAX(N$470:N2017)&gt;W2016,W2016,(N2017-MAX(N$470:N2017))/MAX(N$470:N2017))</f>
        <v>-0.62788758315546067</v>
      </c>
      <c r="X2017" s="564">
        <f>IF((O2017-MAX(O$470:O2017))/MAX(O$470:O2017)&gt;X2016,X2016,(O2017-MAX(O$470:O2017))/MAX(O$470:O2017))</f>
        <v>-0.62788758315546067</v>
      </c>
    </row>
    <row r="2018" spans="1:24">
      <c r="A2018" s="799">
        <v>42420</v>
      </c>
      <c r="B2018">
        <v>422.16300000000001</v>
      </c>
      <c r="C2018">
        <v>337.76022399999999</v>
      </c>
      <c r="D2018">
        <v>1.444798</v>
      </c>
      <c r="E2018">
        <f>LN(D2018/参数实验室!$E$53)/参数实验室!$E$55</f>
        <v>-0.25885505972382727</v>
      </c>
      <c r="F2018">
        <f t="shared" si="258"/>
        <v>0.80007064569846242</v>
      </c>
      <c r="G2018">
        <f>LN(F2018/参数实验室!$E$58)/参数实验室!$E$59</f>
        <v>-0.30760147344399502</v>
      </c>
      <c r="H2018" s="856">
        <f>INDEX(神经网络!$G$10:$BO$70,MATCH(ROUND(G2018*2,1)/2,神经网络!$E$10:$E$70,0),MATCH(ROUND(E2018*2,1)/2,神经网络!$G$8:$BO$8,0))</f>
        <v>-0.51388151638675161</v>
      </c>
      <c r="I2018">
        <f t="shared" si="260"/>
        <v>917.14981828675661</v>
      </c>
      <c r="J2018">
        <f t="shared" si="261"/>
        <v>168.45417182075695</v>
      </c>
      <c r="K2018">
        <f t="shared" si="262"/>
        <v>5.4445064101033163</v>
      </c>
      <c r="L2018" s="4">
        <f>MIN(MAX(L2017*(1+MAX(MIN(((B2018-B2017)/B2017)/($K$7*卓尔金历!$N$40),0),-卓尔金历!$M$43))+MIN(MAX(((B2018-B2017)/B2017)/($K$7*卓尔金历!$N$40),0),卓尔金历!$M$43),0),1)</f>
        <v>0.98456151295877137</v>
      </c>
      <c r="M2018" s="4">
        <f>MIN(MAX(M2017*(1+MAX(MIN(((B2018-B2017)/B2017)/($K$7*30),0),-卓尔金历!$M$43))+MIN(MAX(((B2018-B2017)/B2017)/($K$7*7),0),卓尔金历!$M$43),0),1)</f>
        <v>0.99228075647938563</v>
      </c>
      <c r="N2018">
        <f t="shared" si="263"/>
        <v>742.67031902354529</v>
      </c>
      <c r="O2018">
        <f t="shared" si="264"/>
        <v>1904.3051211479512</v>
      </c>
      <c r="P2018">
        <f t="shared" si="265"/>
        <v>-1.0104356468443741E-3</v>
      </c>
      <c r="Q2018">
        <f t="shared" si="256"/>
        <v>1.9258428722703155E-2</v>
      </c>
      <c r="R2018">
        <f t="shared" si="257"/>
        <v>1</v>
      </c>
      <c r="S2018">
        <f t="shared" si="259"/>
        <v>16.539174457860117</v>
      </c>
      <c r="T2018" s="564">
        <f>IF((I2018-MAX(I$470:I2018))/MAX(I$470:I2018)&gt;T2017,T2017,(I2018-MAX(I$470:I2018))/MAX(I$470:I2018))</f>
        <v>-0.91338805338419748</v>
      </c>
      <c r="U2018" s="564">
        <f>IF((J2018-MAX(J$470:J2018))/MAX(J$470:J2018)&gt;U2017,U2017,(J2018-MAX(J$470:J2018))/MAX(J$470:J2018))</f>
        <v>-0.8283551177402233</v>
      </c>
      <c r="V2018" s="564">
        <f>IF((K2018-MAX(K$470:K2018))/MAX(K$470:K2018)&gt;V2017,V2017,(K2018-MAX(K$470:K2018))/MAX(K$470:K2018))</f>
        <v>-0.84885940676762139</v>
      </c>
      <c r="W2018" s="564">
        <f>IF((N2018-MAX(N$470:N2018))/MAX(N$470:N2018)&gt;W2017,W2017,(N2018-MAX(N$470:N2018))/MAX(N$470:N2018))</f>
        <v>-0.62788758315546067</v>
      </c>
      <c r="X2018" s="564">
        <f>IF((O2018-MAX(O$470:O2018))/MAX(O$470:O2018)&gt;X2017,X2017,(O2018-MAX(O$470:O2018))/MAX(O$470:O2018))</f>
        <v>-0.62788758315546067</v>
      </c>
    </row>
    <row r="2019" spans="1:24">
      <c r="A2019" s="799">
        <v>42421</v>
      </c>
      <c r="B2019">
        <v>438.63299999999998</v>
      </c>
      <c r="C2019">
        <v>347.87174800000003</v>
      </c>
      <c r="D2019">
        <v>1.4389620000000001</v>
      </c>
      <c r="E2019">
        <f>LN(D2019/参数实验室!$E$53)/参数实验室!$E$55</f>
        <v>-0.26363010988832714</v>
      </c>
      <c r="F2019">
        <f t="shared" si="258"/>
        <v>0.79308156933016904</v>
      </c>
      <c r="G2019">
        <f>LN(F2019/参数实验室!$E$58)/参数实验室!$E$59</f>
        <v>-0.31220651806829386</v>
      </c>
      <c r="H2019" s="856">
        <f>INDEX(神经网络!$G$10:$BO$70,MATCH(ROUND(G2019*2,1)/2,神经网络!$E$10:$E$70,0),MATCH(ROUND(E2019*2,1)/2,神经网络!$G$8:$BO$8,0))</f>
        <v>-0.51388151638675161</v>
      </c>
      <c r="I2019">
        <f t="shared" si="260"/>
        <v>898.76257115826184</v>
      </c>
      <c r="J2019">
        <f t="shared" si="261"/>
        <v>175.02613622760424</v>
      </c>
      <c r="K2019">
        <f t="shared" si="262"/>
        <v>5.1350192064430287</v>
      </c>
      <c r="L2019" s="4">
        <f>MIN(MAX(L2018*(1+MAX(MIN(((B2019-B2018)/B2018)/($K$7*卓尔金历!$N$40),0),-卓尔金历!$M$43))+MIN(MAX(((B2019-B2018)/B2018)/($K$7*卓尔金历!$N$40),0),卓尔金历!$M$43),0),1)</f>
        <v>1</v>
      </c>
      <c r="M2019" s="4">
        <f>MIN(MAX(M2018*(1+MAX(MIN(((B2019-B2018)/B2018)/($K$7*30),0),-卓尔金历!$M$43))+MIN(MAX(((B2019-B2018)/B2018)/($K$7*7),0),卓尔金历!$M$43),0),1)</f>
        <v>1</v>
      </c>
      <c r="N2019">
        <f t="shared" si="263"/>
        <v>728.01094751049584</v>
      </c>
      <c r="O2019">
        <f t="shared" si="264"/>
        <v>1866.4218447027793</v>
      </c>
      <c r="P2019">
        <f t="shared" si="265"/>
        <v>3.9013366874880009E-2</v>
      </c>
      <c r="Q2019">
        <f t="shared" si="256"/>
        <v>2.0407601404459925E-2</v>
      </c>
      <c r="R2019">
        <f t="shared" si="257"/>
        <v>6.77902702599928E-3</v>
      </c>
      <c r="S2019">
        <f t="shared" si="259"/>
        <v>16.207592984479856</v>
      </c>
      <c r="T2019" s="564">
        <f>IF((I2019-MAX(I$470:I2019))/MAX(I$470:I2019)&gt;T2018,T2018,(I2019-MAX(I$470:I2019))/MAX(I$470:I2019))</f>
        <v>-0.91338805338419748</v>
      </c>
      <c r="U2019" s="564">
        <f>IF((J2019-MAX(J$470:J2019))/MAX(J$470:J2019)&gt;U2018,U2018,(J2019-MAX(J$470:J2019))/MAX(J$470:J2019))</f>
        <v>-0.8283551177402233</v>
      </c>
      <c r="V2019" s="564">
        <f>IF((K2019-MAX(K$470:K2019))/MAX(K$470:K2019)&gt;V2018,V2018,(K2019-MAX(K$470:K2019))/MAX(K$470:K2019))</f>
        <v>-0.84885940676762139</v>
      </c>
      <c r="W2019" s="564">
        <f>IF((N2019-MAX(N$470:N2019))/MAX(N$470:N2019)&gt;W2018,W2018,(N2019-MAX(N$470:N2019))/MAX(N$470:N2019))</f>
        <v>-0.62788758315546067</v>
      </c>
      <c r="X2019" s="564">
        <f>IF((O2019-MAX(O$470:O2019))/MAX(O$470:O2019)&gt;X2018,X2018,(O2019-MAX(O$470:O2019))/MAX(O$470:O2019))</f>
        <v>-0.62788758315546067</v>
      </c>
    </row>
    <row r="2020" spans="1:24">
      <c r="A2020" s="799">
        <v>42422</v>
      </c>
      <c r="B2020">
        <v>437.11200000000002</v>
      </c>
      <c r="C2020">
        <v>359.25905399999999</v>
      </c>
      <c r="D2020">
        <v>1.4338869999999999</v>
      </c>
      <c r="E2020">
        <f>LN(D2020/参数实验室!$E$53)/参数实验室!$E$55</f>
        <v>-0.26779827462042849</v>
      </c>
      <c r="F2020">
        <f t="shared" si="258"/>
        <v>0.82189245319277437</v>
      </c>
      <c r="G2020">
        <f>LN(F2020/参数实验室!$E$58)/参数实验室!$E$59</f>
        <v>-0.29347790303661037</v>
      </c>
      <c r="H2020" s="856">
        <f>INDEX(神经网络!$G$10:$BO$70,MATCH(ROUND(G2020*2,1)/2,神经网络!$E$10:$E$70,0),MATCH(ROUND(E2020*2,1)/2,神经网络!$G$8:$BO$8,0))</f>
        <v>-0.51388151638675161</v>
      </c>
      <c r="I2020">
        <f t="shared" si="260"/>
        <v>900.36410413991018</v>
      </c>
      <c r="J2020">
        <f t="shared" si="261"/>
        <v>174.4192171102506</v>
      </c>
      <c r="K2020">
        <f t="shared" si="262"/>
        <v>5.1620694041459254</v>
      </c>
      <c r="L2020" s="4">
        <f>MIN(MAX(L2019*(1+MAX(MIN(((B2020-B2019)/B2019)/($K$7*卓尔金历!$N$40),0),-卓尔金历!$M$43))+MIN(MAX(((B2020-B2019)/B2019)/($K$7*卓尔金历!$N$40),0),卓尔金历!$M$43),0),1)</f>
        <v>0.94701853165291128</v>
      </c>
      <c r="M2020" s="4">
        <f>MIN(MAX(M2019*(1+MAX(MIN(((B2020-B2019)/B2019)/($K$7*30),0),-卓尔金历!$M$43))+MIN(MAX(((B2020-B2019)/B2019)/($K$7*7),0),卓尔金历!$M$43),0),1)</f>
        <v>0.97350926582645569</v>
      </c>
      <c r="N2020">
        <f t="shared" si="263"/>
        <v>729.30821286271953</v>
      </c>
      <c r="O2020">
        <f t="shared" si="264"/>
        <v>1869.7476798430969</v>
      </c>
      <c r="P2020">
        <f t="shared" si="265"/>
        <v>-3.4675913576952904E-3</v>
      </c>
      <c r="Q2020">
        <f t="shared" si="256"/>
        <v>1.9254624166415515E-2</v>
      </c>
      <c r="R2020">
        <f t="shared" si="257"/>
        <v>1</v>
      </c>
      <c r="S2020">
        <f t="shared" si="259"/>
        <v>16.207788768299022</v>
      </c>
      <c r="T2020" s="564">
        <f>IF((I2020-MAX(I$470:I2020))/MAX(I$470:I2020)&gt;T2019,T2019,(I2020-MAX(I$470:I2020))/MAX(I$470:I2020))</f>
        <v>-0.91338805338419748</v>
      </c>
      <c r="U2020" s="564">
        <f>IF((J2020-MAX(J$470:J2020))/MAX(J$470:J2020)&gt;U2019,U2019,(J2020-MAX(J$470:J2020))/MAX(J$470:J2020))</f>
        <v>-0.8283551177402233</v>
      </c>
      <c r="V2020" s="564">
        <f>IF((K2020-MAX(K$470:K2020))/MAX(K$470:K2020)&gt;V2019,V2019,(K2020-MAX(K$470:K2020))/MAX(K$470:K2020))</f>
        <v>-0.84885940676762139</v>
      </c>
      <c r="W2020" s="564">
        <f>IF((N2020-MAX(N$470:N2020))/MAX(N$470:N2020)&gt;W2019,W2019,(N2020-MAX(N$470:N2020))/MAX(N$470:N2020))</f>
        <v>-0.62788758315546067</v>
      </c>
      <c r="X2020" s="564">
        <f>IF((O2020-MAX(O$470:O2020))/MAX(O$470:O2020)&gt;X2019,X2019,(O2020-MAX(O$470:O2020))/MAX(O$470:O2020))</f>
        <v>-0.62788758315546067</v>
      </c>
    </row>
    <row r="2021" spans="1:24">
      <c r="A2021" s="799">
        <v>42423</v>
      </c>
      <c r="B2021">
        <v>438.69200000000001</v>
      </c>
      <c r="C2021">
        <v>367.29951299999999</v>
      </c>
      <c r="D2021">
        <v>1.3770169999999999</v>
      </c>
      <c r="E2021">
        <f>LN(D2021/参数实验室!$E$53)/参数实验室!$E$55</f>
        <v>-0.3155421488937119</v>
      </c>
      <c r="F2021">
        <f t="shared" si="258"/>
        <v>0.83726056777876046</v>
      </c>
      <c r="G2021">
        <f>LN(F2021/参数实验室!$E$58)/参数实验室!$E$59</f>
        <v>-0.28375457111614788</v>
      </c>
      <c r="H2021" s="856">
        <f>INDEX(神经网络!$G$10:$BO$70,MATCH(ROUND(G2021*2,1)/2,神经网络!$E$10:$E$70,0),MATCH(ROUND(E2021*2,1)/2,神经网络!$G$8:$BO$8,0))</f>
        <v>-0.5517202076005665</v>
      </c>
      <c r="I2021">
        <f t="shared" si="260"/>
        <v>898.69168346879098</v>
      </c>
      <c r="J2021">
        <f t="shared" si="261"/>
        <v>175.04967878376723</v>
      </c>
      <c r="K2021">
        <f t="shared" si="262"/>
        <v>5.1339236364947203</v>
      </c>
      <c r="L2021" s="4">
        <f>MIN(MAX(L2020*(1+MAX(MIN(((B2021-B2020)/B2020)/($K$7*卓尔金历!$N$40),0),-卓尔金历!$M$43))+MIN(MAX(((B2021-B2020)/B2020)/($K$7*卓尔金历!$N$40),0),卓尔金历!$M$43),0),1)</f>
        <v>1</v>
      </c>
      <c r="M2021" s="4">
        <f>MIN(MAX(M2020*(1+MAX(MIN(((B2021-B2020)/B2020)/($K$7*30),0),-卓尔金历!$M$43))+MIN(MAX(((B2021-B2020)/B2020)/($K$7*7),0),卓尔金历!$M$43),0),1)</f>
        <v>1</v>
      </c>
      <c r="N2021">
        <f t="shared" si="263"/>
        <v>728.0253006588573</v>
      </c>
      <c r="O2021">
        <f t="shared" si="264"/>
        <v>1866.3666387663932</v>
      </c>
      <c r="P2021">
        <f t="shared" si="265"/>
        <v>3.6146342356192097E-3</v>
      </c>
      <c r="Q2021">
        <f t="shared" si="256"/>
        <v>1.926494341048663E-2</v>
      </c>
      <c r="R2021">
        <f t="shared" si="257"/>
        <v>1</v>
      </c>
      <c r="S2021">
        <f t="shared" si="259"/>
        <v>16.17768290241143</v>
      </c>
      <c r="T2021" s="564">
        <f>IF((I2021-MAX(I$470:I2021))/MAX(I$470:I2021)&gt;T2020,T2020,(I2021-MAX(I$470:I2021))/MAX(I$470:I2021))</f>
        <v>-0.91338805338419748</v>
      </c>
      <c r="U2021" s="564">
        <f>IF((J2021-MAX(J$470:J2021))/MAX(J$470:J2021)&gt;U2020,U2020,(J2021-MAX(J$470:J2021))/MAX(J$470:J2021))</f>
        <v>-0.8283551177402233</v>
      </c>
      <c r="V2021" s="564">
        <f>IF((K2021-MAX(K$470:K2021))/MAX(K$470:K2021)&gt;V2020,V2020,(K2021-MAX(K$470:K2021))/MAX(K$470:K2021))</f>
        <v>-0.84885940676762139</v>
      </c>
      <c r="W2021" s="564">
        <f>IF((N2021-MAX(N$470:N2021))/MAX(N$470:N2021)&gt;W2020,W2020,(N2021-MAX(N$470:N2021))/MAX(N$470:N2021))</f>
        <v>-0.62788758315546067</v>
      </c>
      <c r="X2021" s="564">
        <f>IF((O2021-MAX(O$470:O2021))/MAX(O$470:O2021)&gt;X2020,X2020,(O2021-MAX(O$470:O2021))/MAX(O$470:O2021))</f>
        <v>-0.62788758315546067</v>
      </c>
    </row>
    <row r="2022" spans="1:24">
      <c r="A2022" s="799">
        <v>42424</v>
      </c>
      <c r="B2022">
        <v>423.6</v>
      </c>
      <c r="C2022">
        <v>377.64053899999999</v>
      </c>
      <c r="D2022">
        <v>1.3888860000000001</v>
      </c>
      <c r="E2022">
        <f>LN(D2022/参数实验室!$E$53)/参数实验室!$E$55</f>
        <v>-0.30541700914573067</v>
      </c>
      <c r="F2022">
        <f t="shared" si="258"/>
        <v>0.89150268885741257</v>
      </c>
      <c r="G2022">
        <f>LN(F2022/参数实验室!$E$58)/参数实验室!$E$59</f>
        <v>-0.25080784539347339</v>
      </c>
      <c r="H2022" s="856">
        <f>INDEX(神经网络!$G$10:$BO$70,MATCH(ROUND(G2022*2,1)/2,神经网络!$E$10:$E$70,0),MATCH(ROUND(E2022*2,1)/2,神经网络!$G$8:$BO$8,0))</f>
        <v>-0.47592550752609075</v>
      </c>
      <c r="I2022">
        <f t="shared" si="260"/>
        <v>915.74923514036095</v>
      </c>
      <c r="J2022">
        <f t="shared" si="261"/>
        <v>169.02757272255661</v>
      </c>
      <c r="K2022">
        <f t="shared" si="262"/>
        <v>5.4177506095025105</v>
      </c>
      <c r="L2022" s="4">
        <f>MIN(MAX(L2021*(1+MAX(MIN(((B2022-B2021)/B2021)/($K$7*卓尔金历!$N$40),0),-卓尔金历!$M$43))+MIN(MAX(((B2022-B2021)/B2021)/($K$7*卓尔金历!$N$40),0),卓尔金历!$M$43),0),1)</f>
        <v>0.47436634976014891</v>
      </c>
      <c r="M2022" s="4">
        <f>MIN(MAX(M2021*(1+MAX(MIN(((B2022-B2021)/B2021)/($K$7*30),0),-卓尔金历!$M$43))+MIN(MAX(((B2022-B2021)/B2021)/($K$7*7),0),卓尔金历!$M$43),0),1)</f>
        <v>0.73718317488007445</v>
      </c>
      <c r="N2022">
        <f t="shared" si="263"/>
        <v>741.84353155231145</v>
      </c>
      <c r="O2022">
        <f t="shared" si="264"/>
        <v>1901.7910740476591</v>
      </c>
      <c r="P2022">
        <f t="shared" si="265"/>
        <v>-3.4402268561997906E-2</v>
      </c>
      <c r="Q2022">
        <f t="shared" si="256"/>
        <v>2.1270951470622215E-2</v>
      </c>
      <c r="R2022">
        <f t="shared" si="257"/>
        <v>1.0002741074538902E-2</v>
      </c>
      <c r="S2022">
        <f t="shared" si="259"/>
        <v>16.484742227773197</v>
      </c>
      <c r="T2022" s="564">
        <f>IF((I2022-MAX(I$470:I2022))/MAX(I$470:I2022)&gt;T2021,T2021,(I2022-MAX(I$470:I2022))/MAX(I$470:I2022))</f>
        <v>-0.91338805338419748</v>
      </c>
      <c r="U2022" s="564">
        <f>IF((J2022-MAX(J$470:J2022))/MAX(J$470:J2022)&gt;U2021,U2021,(J2022-MAX(J$470:J2022))/MAX(J$470:J2022))</f>
        <v>-0.8283551177402233</v>
      </c>
      <c r="V2022" s="564">
        <f>IF((K2022-MAX(K$470:K2022))/MAX(K$470:K2022)&gt;V2021,V2021,(K2022-MAX(K$470:K2022))/MAX(K$470:K2022))</f>
        <v>-0.84885940676762139</v>
      </c>
      <c r="W2022" s="564">
        <f>IF((N2022-MAX(N$470:N2022))/MAX(N$470:N2022)&gt;W2021,W2021,(N2022-MAX(N$470:N2022))/MAX(N$470:N2022))</f>
        <v>-0.62788758315546067</v>
      </c>
      <c r="X2022" s="564">
        <f>IF((O2022-MAX(O$470:O2022))/MAX(O$470:O2022)&gt;X2021,X2021,(O2022-MAX(O$470:O2022))/MAX(O$470:O2022))</f>
        <v>-0.62788758315546067</v>
      </c>
    </row>
    <row r="2023" spans="1:24">
      <c r="A2023" s="799">
        <v>42425</v>
      </c>
      <c r="B2023">
        <v>427.71899999999999</v>
      </c>
      <c r="C2023">
        <v>379.12226900000002</v>
      </c>
      <c r="D2023">
        <v>1.3886989999999999</v>
      </c>
      <c r="E2023">
        <f>LN(D2023/参数实验室!$E$53)/参数实验室!$E$55</f>
        <v>-0.30557586214713744</v>
      </c>
      <c r="F2023">
        <f t="shared" si="258"/>
        <v>0.88638164075011872</v>
      </c>
      <c r="G2023">
        <f>LN(F2023/参数实验室!$E$58)/参数实验室!$E$59</f>
        <v>-0.25383145068949159</v>
      </c>
      <c r="H2023" s="856">
        <f>INDEX(神经网络!$G$10:$BO$70,MATCH(ROUND(G2023*2,1)/2,神经网络!$E$10:$E$70,0),MATCH(ROUND(E2023*2,1)/2,神经网络!$G$8:$BO$8,0))</f>
        <v>-0.47592550752609075</v>
      </c>
      <c r="I2023">
        <f t="shared" si="260"/>
        <v>911.51132848331702</v>
      </c>
      <c r="J2023">
        <f t="shared" si="261"/>
        <v>170.67116236383188</v>
      </c>
      <c r="K2023">
        <f t="shared" si="262"/>
        <v>5.3407460045311188</v>
      </c>
      <c r="L2023" s="4">
        <f>MIN(MAX(L2022*(1+MAX(MIN(((B2023-B2022)/B2022)/($K$7*卓尔金历!$N$40),0),-卓尔金历!$M$43))+MIN(MAX(((B2023-B2022)/B2022)/($K$7*卓尔金历!$N$40),0),卓尔金历!$M$43),0),1)</f>
        <v>0.62293662193057708</v>
      </c>
      <c r="M2023" s="4">
        <f>MIN(MAX(M2022*(1+MAX(MIN(((B2023-B2022)/B2022)/($K$7*30),0),-卓尔金历!$M$43))+MIN(MAX(((B2023-B2022)/B2022)/($K$7*7),0),卓尔金历!$M$43),0),1)</f>
        <v>1</v>
      </c>
      <c r="N2023">
        <f t="shared" si="263"/>
        <v>740.21498187710984</v>
      </c>
      <c r="O2023">
        <f t="shared" si="264"/>
        <v>1895.3030411771599</v>
      </c>
      <c r="P2023">
        <f t="shared" si="265"/>
        <v>9.7237960339942656E-3</v>
      </c>
      <c r="Q2023">
        <f t="shared" si="256"/>
        <v>2.0893991308325581E-2</v>
      </c>
      <c r="R2023">
        <f t="shared" si="257"/>
        <v>0.80242633438392696</v>
      </c>
      <c r="S2023">
        <f t="shared" si="259"/>
        <v>16.483979137338491</v>
      </c>
      <c r="T2023" s="564">
        <f>IF((I2023-MAX(I$470:I2023))/MAX(I$470:I2023)&gt;T2022,T2022,(I2023-MAX(I$470:I2023))/MAX(I$470:I2023))</f>
        <v>-0.91338805338419748</v>
      </c>
      <c r="U2023" s="564">
        <f>IF((J2023-MAX(J$470:J2023))/MAX(J$470:J2023)&gt;U2022,U2022,(J2023-MAX(J$470:J2023))/MAX(J$470:J2023))</f>
        <v>-0.8283551177402233</v>
      </c>
      <c r="V2023" s="564">
        <f>IF((K2023-MAX(K$470:K2023))/MAX(K$470:K2023)&gt;V2022,V2022,(K2023-MAX(K$470:K2023))/MAX(K$470:K2023))</f>
        <v>-0.84885940676762139</v>
      </c>
      <c r="W2023" s="564">
        <f>IF((N2023-MAX(N$470:N2023))/MAX(N$470:N2023)&gt;W2022,W2022,(N2023-MAX(N$470:N2023))/MAX(N$470:N2023))</f>
        <v>-0.62788758315546067</v>
      </c>
      <c r="X2023" s="564">
        <f>IF((O2023-MAX(O$470:O2023))/MAX(O$470:O2023)&gt;X2022,X2022,(O2023-MAX(O$470:O2023))/MAX(O$470:O2023))</f>
        <v>-0.62788758315546067</v>
      </c>
    </row>
    <row r="2024" spans="1:24">
      <c r="A2024" s="799">
        <v>42426</v>
      </c>
      <c r="B2024">
        <v>423.06</v>
      </c>
      <c r="C2024">
        <v>382.95409699999999</v>
      </c>
      <c r="D2024">
        <v>1.4125490000000001</v>
      </c>
      <c r="E2024">
        <f>LN(D2024/参数实验室!$E$53)/参数实验室!$E$55</f>
        <v>-0.28548639146990656</v>
      </c>
      <c r="F2024">
        <f t="shared" si="258"/>
        <v>0.90520043729021882</v>
      </c>
      <c r="G2024">
        <f>LN(F2024/参数实验室!$E$58)/参数实验室!$E$59</f>
        <v>-0.24280490062889779</v>
      </c>
      <c r="H2024" s="856">
        <f>INDEX(神经网络!$G$10:$BO$70,MATCH(ROUND(G2024*2,1)/2,神经网络!$E$10:$E$70,0),MATCH(ROUND(E2024*2,1)/2,神经网络!$G$8:$BO$8,0))</f>
        <v>-0.47592550752609075</v>
      </c>
      <c r="I2024">
        <f t="shared" si="260"/>
        <v>916.23669195671221</v>
      </c>
      <c r="J2024">
        <f t="shared" si="261"/>
        <v>168.81209847970914</v>
      </c>
      <c r="K2024">
        <f t="shared" si="262"/>
        <v>5.4275534763691242</v>
      </c>
      <c r="L2024" s="4">
        <f>MIN(MAX(L2023*(1+MAX(MIN(((B2024-B2023)/B2023)/($K$7*卓尔金历!$N$40),0),-卓尔金历!$M$43))+MIN(MAX(((B2024-B2023)/B2023)/($K$7*卓尔金历!$N$40),0),卓尔金历!$M$43),0),1)</f>
        <v>0.51926160629313312</v>
      </c>
      <c r="M2024" s="4">
        <f>MIN(MAX(M2023*(1+MAX(MIN(((B2024-B2023)/B2023)/($K$7*30),0),-卓尔金历!$M$43))+MIN(MAX(((B2024-B2023)/B2023)/($K$7*7),0),卓尔金历!$M$43),0),1)</f>
        <v>0.91678526194515664</v>
      </c>
      <c r="N2024">
        <f t="shared" si="263"/>
        <v>742.60540556469948</v>
      </c>
      <c r="O2024">
        <f t="shared" si="264"/>
        <v>1905.1284766730582</v>
      </c>
      <c r="P2024">
        <f t="shared" si="265"/>
        <v>-1.0892665511702758E-2</v>
      </c>
      <c r="Q2024">
        <f t="shared" si="256"/>
        <v>1.8514741526246263E-2</v>
      </c>
      <c r="R2024">
        <f t="shared" si="257"/>
        <v>0.56245536538048957</v>
      </c>
      <c r="S2024">
        <f t="shared" si="259"/>
        <v>16.552550120866623</v>
      </c>
      <c r="T2024" s="564">
        <f>IF((I2024-MAX(I$470:I2024))/MAX(I$470:I2024)&gt;T2023,T2023,(I2024-MAX(I$470:I2024))/MAX(I$470:I2024))</f>
        <v>-0.91338805338419748</v>
      </c>
      <c r="U2024" s="564">
        <f>IF((J2024-MAX(J$470:J2024))/MAX(J$470:J2024)&gt;U2023,U2023,(J2024-MAX(J$470:J2024))/MAX(J$470:J2024))</f>
        <v>-0.8283551177402233</v>
      </c>
      <c r="V2024" s="564">
        <f>IF((K2024-MAX(K$470:K2024))/MAX(K$470:K2024)&gt;V2023,V2023,(K2024-MAX(K$470:K2024))/MAX(K$470:K2024))</f>
        <v>-0.84885940676762139</v>
      </c>
      <c r="W2024" s="564">
        <f>IF((N2024-MAX(N$470:N2024))/MAX(N$470:N2024)&gt;W2023,W2023,(N2024-MAX(N$470:N2024))/MAX(N$470:N2024))</f>
        <v>-0.62788758315546067</v>
      </c>
      <c r="X2024" s="564">
        <f>IF((O2024-MAX(O$470:O2024))/MAX(O$470:O2024)&gt;X2023,X2023,(O2024-MAX(O$470:O2024))/MAX(O$470:O2024))</f>
        <v>-0.62788758315546067</v>
      </c>
    </row>
    <row r="2025" spans="1:24">
      <c r="A2025" s="799">
        <v>42427</v>
      </c>
      <c r="B2025">
        <v>434.23099999999999</v>
      </c>
      <c r="C2025">
        <v>383.01197500000001</v>
      </c>
      <c r="D2025">
        <v>1.4157770000000001</v>
      </c>
      <c r="E2025">
        <f>LN(D2025/参数实验室!$E$53)/参数实验室!$E$55</f>
        <v>-0.2827934592371501</v>
      </c>
      <c r="F2025">
        <f t="shared" si="258"/>
        <v>0.88204659501509564</v>
      </c>
      <c r="G2025">
        <f>LN(F2025/参数实验室!$E$58)/参数实验室!$E$59</f>
        <v>-0.25640466320944288</v>
      </c>
      <c r="H2025" s="856">
        <f>INDEX(神经网络!$G$10:$BO$70,MATCH(ROUND(G2025*2,1)/2,神经网络!$E$10:$E$70,0),MATCH(ROUND(E2025*2,1)/2,神经网络!$G$8:$BO$8,0))</f>
        <v>-0.47592550752609075</v>
      </c>
      <c r="I2025">
        <f t="shared" si="260"/>
        <v>904.72241296666562</v>
      </c>
      <c r="J2025">
        <f t="shared" si="261"/>
        <v>173.26962212202187</v>
      </c>
      <c r="K2025">
        <f t="shared" si="262"/>
        <v>5.2214716110451942</v>
      </c>
      <c r="L2025" s="4">
        <f>MIN(MAX(L2024*(1+MAX(MIN(((B2025-B2024)/B2024)/($K$7*卓尔金历!$N$40),0),-卓尔金历!$M$43))+MIN(MAX(((B2025-B2024)/B2024)/($K$7*卓尔金历!$N$40),0),卓尔金历!$M$43),0),1)</f>
        <v>0.92270830414507143</v>
      </c>
      <c r="M2025" s="4">
        <f>MIN(MAX(M2024*(1+MAX(MIN(((B2025-B2024)/B2024)/($K$7*30),0),-卓尔金历!$M$43))+MIN(MAX(((B2025-B2024)/B2024)/($K$7*7),0),卓尔金历!$M$43),0),1)</f>
        <v>1</v>
      </c>
      <c r="N2025">
        <f t="shared" si="263"/>
        <v>737.75951739959555</v>
      </c>
      <c r="O2025">
        <f t="shared" si="264"/>
        <v>1883.1791622324927</v>
      </c>
      <c r="P2025">
        <f t="shared" si="265"/>
        <v>2.6405238027702907E-2</v>
      </c>
      <c r="Q2025">
        <f t="shared" si="256"/>
        <v>1.8879860783911871E-2</v>
      </c>
      <c r="R2025">
        <f t="shared" si="257"/>
        <v>1.2303663883735929E-2</v>
      </c>
      <c r="S2025">
        <f t="shared" si="259"/>
        <v>16.435551149369097</v>
      </c>
      <c r="T2025" s="564">
        <f>IF((I2025-MAX(I$470:I2025))/MAX(I$470:I2025)&gt;T2024,T2024,(I2025-MAX(I$470:I2025))/MAX(I$470:I2025))</f>
        <v>-0.91338805338419748</v>
      </c>
      <c r="U2025" s="564">
        <f>IF((J2025-MAX(J$470:J2025))/MAX(J$470:J2025)&gt;U2024,U2024,(J2025-MAX(J$470:J2025))/MAX(J$470:J2025))</f>
        <v>-0.8283551177402233</v>
      </c>
      <c r="V2025" s="564">
        <f>IF((K2025-MAX(K$470:K2025))/MAX(K$470:K2025)&gt;V2024,V2024,(K2025-MAX(K$470:K2025))/MAX(K$470:K2025))</f>
        <v>-0.84885940676762139</v>
      </c>
      <c r="W2025" s="564">
        <f>IF((N2025-MAX(N$470:N2025))/MAX(N$470:N2025)&gt;W2024,W2024,(N2025-MAX(N$470:N2025))/MAX(N$470:N2025))</f>
        <v>-0.62788758315546067</v>
      </c>
      <c r="X2025" s="564">
        <f>IF((O2025-MAX(O$470:O2025))/MAX(O$470:O2025)&gt;X2024,X2024,(O2025-MAX(O$470:O2025))/MAX(O$470:O2025))</f>
        <v>-0.62788758315546067</v>
      </c>
    </row>
    <row r="2026" spans="1:24">
      <c r="A2026" s="799">
        <v>42428</v>
      </c>
      <c r="B2026">
        <v>432.21199999999999</v>
      </c>
      <c r="C2026">
        <v>391.75068800000003</v>
      </c>
      <c r="D2026">
        <v>1.414898</v>
      </c>
      <c r="E2026">
        <f>LN(D2026/参数实验室!$E$53)/参数实验室!$E$55</f>
        <v>-0.2835261488852257</v>
      </c>
      <c r="F2026">
        <f t="shared" si="258"/>
        <v>0.90638549600658946</v>
      </c>
      <c r="G2026">
        <f>LN(F2026/参数实验室!$E$58)/参数实验室!$E$59</f>
        <v>-0.24211822832054769</v>
      </c>
      <c r="H2026" s="856">
        <f>INDEX(神经网络!$G$10:$BO$70,MATCH(ROUND(G2026*2,1)/2,神经网络!$E$10:$E$70,0),MATCH(ROUND(E2026*2,1)/2,神经网络!$G$8:$BO$8,0))</f>
        <v>-0.47592550752609075</v>
      </c>
      <c r="I2026">
        <f t="shared" si="260"/>
        <v>906.72443948278362</v>
      </c>
      <c r="J2026">
        <f t="shared" si="261"/>
        <v>172.46398786959779</v>
      </c>
      <c r="K2026">
        <f t="shared" si="262"/>
        <v>5.2574711432996057</v>
      </c>
      <c r="L2026" s="4">
        <f>MIN(MAX(L2025*(1+MAX(MIN(((B2026-B2025)/B2025)/($K$7*卓尔金历!$N$40),0),-卓尔金历!$M$43))+MIN(MAX(((B2026-B2025)/B2025)/($K$7*卓尔金历!$N$40),0),卓尔金历!$M$43),0),1)</f>
        <v>0.85715780518942175</v>
      </c>
      <c r="M2026" s="4">
        <f>MIN(MAX(M2025*(1+MAX(MIN(((B2026-B2025)/B2025)/($K$7*30),0),-卓尔金历!$M$43))+MIN(MAX(((B2026-B2025)/B2025)/($K$7*7),0),卓尔金历!$M$43),0),1)</f>
        <v>0.96447929499432372</v>
      </c>
      <c r="N2026">
        <f t="shared" si="263"/>
        <v>739.26589457226771</v>
      </c>
      <c r="O2026">
        <f t="shared" si="264"/>
        <v>1887.3463792300552</v>
      </c>
      <c r="P2026">
        <f t="shared" si="265"/>
        <v>-4.6495989461830351E-3</v>
      </c>
      <c r="Q2026">
        <f t="shared" si="256"/>
        <v>1.786015065016636E-2</v>
      </c>
      <c r="R2026">
        <f t="shared" si="257"/>
        <v>1</v>
      </c>
      <c r="S2026">
        <f t="shared" si="259"/>
        <v>16.435998628933422</v>
      </c>
      <c r="T2026" s="564">
        <f>IF((I2026-MAX(I$470:I2026))/MAX(I$470:I2026)&gt;T2025,T2025,(I2026-MAX(I$470:I2026))/MAX(I$470:I2026))</f>
        <v>-0.91338805338419748</v>
      </c>
      <c r="U2026" s="564">
        <f>IF((J2026-MAX(J$470:J2026))/MAX(J$470:J2026)&gt;U2025,U2025,(J2026-MAX(J$470:J2026))/MAX(J$470:J2026))</f>
        <v>-0.8283551177402233</v>
      </c>
      <c r="V2026" s="564">
        <f>IF((K2026-MAX(K$470:K2026))/MAX(K$470:K2026)&gt;V2025,V2025,(K2026-MAX(K$470:K2026))/MAX(K$470:K2026))</f>
        <v>-0.84885940676762139</v>
      </c>
      <c r="W2026" s="564">
        <f>IF((N2026-MAX(N$470:N2026))/MAX(N$470:N2026)&gt;W2025,W2025,(N2026-MAX(N$470:N2026))/MAX(N$470:N2026))</f>
        <v>-0.62788758315546067</v>
      </c>
      <c r="X2026" s="564">
        <f>IF((O2026-MAX(O$470:O2026))/MAX(O$470:O2026)&gt;X2025,X2025,(O2026-MAX(O$470:O2026))/MAX(O$470:O2026))</f>
        <v>-0.62788758315546067</v>
      </c>
    </row>
    <row r="2027" spans="1:24">
      <c r="A2027" s="799">
        <v>42429</v>
      </c>
      <c r="B2027">
        <v>432.37299999999999</v>
      </c>
      <c r="C2027">
        <v>405.59655700000002</v>
      </c>
      <c r="D2027">
        <v>1.427189</v>
      </c>
      <c r="E2027">
        <f>LN(D2027/参数实验室!$E$53)/参数实验室!$E$55</f>
        <v>-0.27332207172624678</v>
      </c>
      <c r="F2027">
        <f t="shared" si="258"/>
        <v>0.93807096419064107</v>
      </c>
      <c r="G2027">
        <f>LN(F2027/参数实验室!$E$58)/参数实验室!$E$59</f>
        <v>-0.2240837746509147</v>
      </c>
      <c r="H2027" s="856">
        <f>INDEX(神经网络!$G$10:$BO$70,MATCH(ROUND(G2027*2,1)/2,神经网络!$E$10:$E$70,0),MATCH(ROUND(E2027*2,1)/2,神经网络!$G$8:$BO$8,0))</f>
        <v>-0.35626883031991119</v>
      </c>
      <c r="I2027">
        <f t="shared" si="260"/>
        <v>906.56369230423104</v>
      </c>
      <c r="J2027">
        <f t="shared" si="261"/>
        <v>172.5282311160764</v>
      </c>
      <c r="K2027">
        <f t="shared" si="262"/>
        <v>5.2545817367958643</v>
      </c>
      <c r="L2027" s="4">
        <f>MIN(MAX(L2026*(1+MAX(MIN(((B2027-B2026)/B2026)/($K$7*卓尔金历!$N$40),0),-卓尔金历!$M$43))+MIN(MAX(((B2027-B2026)/B2026)/($K$7*卓尔金历!$N$40),0),卓尔金历!$M$43),0),1)</f>
        <v>0.86284928413923767</v>
      </c>
      <c r="M2027" s="4">
        <f>MIN(MAX(M2026*(1+MAX(MIN(((B2027-B2026)/B2026)/($K$7*30),0),-卓尔金历!$M$43))+MIN(MAX(((B2027-B2026)/B2026)/($K$7*7),0),卓尔金历!$M$43),0),1)</f>
        <v>0.97667532131535795</v>
      </c>
      <c r="N2027">
        <f t="shared" si="263"/>
        <v>739.153555846833</v>
      </c>
      <c r="O2027">
        <f t="shared" si="264"/>
        <v>1887.0236691297441</v>
      </c>
      <c r="P2027">
        <f t="shared" si="265"/>
        <v>3.7250238308978318E-4</v>
      </c>
      <c r="Q2027">
        <f t="shared" si="256"/>
        <v>1.7854173057932313E-2</v>
      </c>
      <c r="R2027">
        <f t="shared" si="257"/>
        <v>1</v>
      </c>
      <c r="S2027">
        <f t="shared" si="259"/>
        <v>16.433084799448686</v>
      </c>
      <c r="T2027" s="564">
        <f>IF((I2027-MAX(I$470:I2027))/MAX(I$470:I2027)&gt;T2026,T2026,(I2027-MAX(I$470:I2027))/MAX(I$470:I2027))</f>
        <v>-0.91338805338419748</v>
      </c>
      <c r="U2027" s="564">
        <f>IF((J2027-MAX(J$470:J2027))/MAX(J$470:J2027)&gt;U2026,U2026,(J2027-MAX(J$470:J2027))/MAX(J$470:J2027))</f>
        <v>-0.8283551177402233</v>
      </c>
      <c r="V2027" s="564">
        <f>IF((K2027-MAX(K$470:K2027))/MAX(K$470:K2027)&gt;V2026,V2026,(K2027-MAX(K$470:K2027))/MAX(K$470:K2027))</f>
        <v>-0.84885940676762139</v>
      </c>
      <c r="W2027" s="564">
        <f>IF((N2027-MAX(N$470:N2027))/MAX(N$470:N2027)&gt;W2026,W2026,(N2027-MAX(N$470:N2027))/MAX(N$470:N2027))</f>
        <v>-0.62788758315546067</v>
      </c>
      <c r="X2027" s="564">
        <f>IF((O2027-MAX(O$470:O2027))/MAX(O$470:O2027)&gt;X2026,X2026,(O2027-MAX(O$470:O2027))/MAX(O$470:O2027))</f>
        <v>-0.62788758315546067</v>
      </c>
    </row>
    <row r="2028" spans="1:24">
      <c r="A2028" s="799">
        <v>42430</v>
      </c>
      <c r="B2028">
        <v>438.97300000000001</v>
      </c>
      <c r="C2028">
        <v>416.36481900000001</v>
      </c>
      <c r="D2028">
        <v>1.4083669999999999</v>
      </c>
      <c r="E2028">
        <f>LN(D2028/参数实验室!$E$53)/参数实验室!$E$55</f>
        <v>-0.28898435573452308</v>
      </c>
      <c r="F2028">
        <f t="shared" si="258"/>
        <v>0.94849755907538735</v>
      </c>
      <c r="G2028">
        <f>LN(F2028/参数实验室!$E$58)/参数实验室!$E$59</f>
        <v>-0.21828224013691053</v>
      </c>
      <c r="H2028" s="856">
        <f>INDEX(神经网络!$G$10:$BO$70,MATCH(ROUND(G2028*2,1)/2,神经网络!$E$10:$E$70,0),MATCH(ROUND(E2028*2,1)/2,神经网络!$G$8:$BO$8,0))</f>
        <v>-0.3941382036686194</v>
      </c>
      <c r="I2028">
        <f t="shared" si="260"/>
        <v>901.63352656916663</v>
      </c>
      <c r="J2028">
        <f t="shared" si="261"/>
        <v>175.16180519532304</v>
      </c>
      <c r="K2028">
        <f t="shared" si="262"/>
        <v>5.1474322587835548</v>
      </c>
      <c r="L2028" s="4">
        <f>MIN(MAX(L2027*(1+MAX(MIN(((B2028-B2027)/B2027)/($K$7*卓尔金历!$N$40),0),-卓尔金历!$M$43))+MIN(MAX(((B2028-B2027)/B2027)/($K$7*卓尔金历!$N$40),0),卓尔金历!$M$43),0),1)</f>
        <v>1</v>
      </c>
      <c r="M2028" s="4">
        <f>MIN(MAX(M2027*(1+MAX(MIN(((B2028-B2027)/B2027)/($K$7*30),0),-卓尔金历!$M$43))+MIN(MAX(((B2028-B2027)/B2027)/($K$7*7),0),卓尔金历!$M$43),0),1)</f>
        <v>1</v>
      </c>
      <c r="N2028">
        <f t="shared" si="263"/>
        <v>735.68512682922585</v>
      </c>
      <c r="O2028">
        <f t="shared" si="264"/>
        <v>1877.0008300188006</v>
      </c>
      <c r="P2028">
        <f t="shared" si="265"/>
        <v>1.5264597928177807E-2</v>
      </c>
      <c r="Q2028">
        <f t="shared" ref="Q2028:Q2091" si="266">STDEVP(P2008:P2028)</f>
        <v>1.7547179016249553E-2</v>
      </c>
      <c r="R2028">
        <f t="shared" ref="R2028:R2091" si="267">MIN(Q2027*MAX(1-LN(MAX(ABS(P2028),0.0001)/Q2028),0)+MAX(-LN(MAX(ABS(P2028),0.0001)/Q2028),0),1)</f>
        <v>0.15969918625486193</v>
      </c>
      <c r="S2028">
        <f t="shared" si="259"/>
        <v>16.343716747002503</v>
      </c>
      <c r="T2028" s="564">
        <f>IF((I2028-MAX(I$470:I2028))/MAX(I$470:I2028)&gt;T2027,T2027,(I2028-MAX(I$470:I2028))/MAX(I$470:I2028))</f>
        <v>-0.91338805338419748</v>
      </c>
      <c r="U2028" s="564">
        <f>IF((J2028-MAX(J$470:J2028))/MAX(J$470:J2028)&gt;U2027,U2027,(J2028-MAX(J$470:J2028))/MAX(J$470:J2028))</f>
        <v>-0.8283551177402233</v>
      </c>
      <c r="V2028" s="564">
        <f>IF((K2028-MAX(K$470:K2028))/MAX(K$470:K2028)&gt;V2027,V2027,(K2028-MAX(K$470:K2028))/MAX(K$470:K2028))</f>
        <v>-0.84885940676762139</v>
      </c>
      <c r="W2028" s="564">
        <f>IF((N2028-MAX(N$470:N2028))/MAX(N$470:N2028)&gt;W2027,W2027,(N2028-MAX(N$470:N2028))/MAX(N$470:N2028))</f>
        <v>-0.62788758315546067</v>
      </c>
      <c r="X2028" s="564">
        <f>IF((O2028-MAX(O$470:O2028))/MAX(O$470:O2028)&gt;X2027,X2027,(O2028-MAX(O$470:O2028))/MAX(O$470:O2028))</f>
        <v>-0.62788758315546067</v>
      </c>
    </row>
    <row r="2029" spans="1:24">
      <c r="A2029" s="799">
        <v>42431</v>
      </c>
      <c r="B2029">
        <v>435.1</v>
      </c>
      <c r="C2029">
        <v>417.77586000000002</v>
      </c>
      <c r="D2029">
        <v>1.3766590000000001</v>
      </c>
      <c r="E2029">
        <f>LN(D2029/参数实验室!$E$53)/参数实验室!$E$55</f>
        <v>-0.31584890369254909</v>
      </c>
      <c r="F2029">
        <f t="shared" si="258"/>
        <v>0.96018354401287065</v>
      </c>
      <c r="G2029">
        <f>LN(F2029/参数实验室!$E$58)/参数实验室!$E$59</f>
        <v>-0.21185527538932317</v>
      </c>
      <c r="H2029" s="856">
        <f>INDEX(神经网络!$G$10:$BO$70,MATCH(ROUND(G2029*2,1)/2,神经网络!$E$10:$E$70,0),MATCH(ROUND(E2029*2,1)/2,神经网络!$G$8:$BO$8,0))</f>
        <v>-0.3941382036686194</v>
      </c>
      <c r="I2029">
        <f t="shared" si="260"/>
        <v>904.76889277702958</v>
      </c>
      <c r="J2029">
        <f t="shared" si="261"/>
        <v>173.61637604245604</v>
      </c>
      <c r="K2029">
        <f t="shared" si="262"/>
        <v>5.2113107841611548</v>
      </c>
      <c r="L2029" s="4">
        <f>MIN(MAX(L2028*(1+MAX(MIN(((B2029-B2028)/B2028)/($K$7*卓尔金历!$N$40),0),-卓尔金历!$M$43))+MIN(MAX(((B2029-B2028)/B2028)/($K$7*卓尔金历!$N$40),0),卓尔金历!$M$43),0),1)</f>
        <v>0.86519507268115836</v>
      </c>
      <c r="M2029" s="4">
        <f>MIN(MAX(M2028*(1+MAX(MIN(((B2029-B2028)/B2028)/($K$7*30),0),-卓尔金历!$M$43))+MIN(MAX(((B2029-B2028)/B2028)/($K$7*7),0),卓尔金历!$M$43),0),1)</f>
        <v>0.93259753634057918</v>
      </c>
      <c r="N2029">
        <f t="shared" si="263"/>
        <v>738.24341932647224</v>
      </c>
      <c r="O2029">
        <f t="shared" si="264"/>
        <v>1883.5279663786976</v>
      </c>
      <c r="P2029">
        <f t="shared" si="265"/>
        <v>-8.8228660988261022E-3</v>
      </c>
      <c r="Q2029">
        <f t="shared" si="266"/>
        <v>1.7904809268263756E-2</v>
      </c>
      <c r="R2029">
        <f t="shared" si="267"/>
        <v>0.73768829302470396</v>
      </c>
      <c r="S2029">
        <f t="shared" si="259"/>
        <v>16.352793107797019</v>
      </c>
      <c r="T2029" s="564">
        <f>IF((I2029-MAX(I$470:I2029))/MAX(I$470:I2029)&gt;T2028,T2028,(I2029-MAX(I$470:I2029))/MAX(I$470:I2029))</f>
        <v>-0.91338805338419748</v>
      </c>
      <c r="U2029" s="564">
        <f>IF((J2029-MAX(J$470:J2029))/MAX(J$470:J2029)&gt;U2028,U2028,(J2029-MAX(J$470:J2029))/MAX(J$470:J2029))</f>
        <v>-0.8283551177402233</v>
      </c>
      <c r="V2029" s="564">
        <f>IF((K2029-MAX(K$470:K2029))/MAX(K$470:K2029)&gt;V2028,V2028,(K2029-MAX(K$470:K2029))/MAX(K$470:K2029))</f>
        <v>-0.84885940676762139</v>
      </c>
      <c r="W2029" s="564">
        <f>IF((N2029-MAX(N$470:N2029))/MAX(N$470:N2029)&gt;W2028,W2028,(N2029-MAX(N$470:N2029))/MAX(N$470:N2029))</f>
        <v>-0.62788758315546067</v>
      </c>
      <c r="X2029" s="564">
        <f>IF((O2029-MAX(O$470:O2029))/MAX(O$470:O2029)&gt;X2028,X2028,(O2029-MAX(O$470:O2029))/MAX(O$470:O2029))</f>
        <v>-0.62788758315546067</v>
      </c>
    </row>
    <row r="2030" spans="1:24">
      <c r="A2030" s="799">
        <v>42432</v>
      </c>
      <c r="B2030">
        <v>420.77300000000002</v>
      </c>
      <c r="C2030">
        <v>430.34371499999997</v>
      </c>
      <c r="D2030">
        <v>1.363707</v>
      </c>
      <c r="E2030">
        <f>LN(D2030/参数实验室!$E$53)/参数实验室!$E$55</f>
        <v>-0.32700090148902028</v>
      </c>
      <c r="F2030">
        <f t="shared" si="258"/>
        <v>1.0227455540160608</v>
      </c>
      <c r="G2030">
        <f>LN(F2030/参数实验室!$E$58)/参数实验室!$E$59</f>
        <v>-0.1787256736977795</v>
      </c>
      <c r="H2030" s="856">
        <f>INDEX(神经网络!$G$10:$BO$70,MATCH(ROUND(G2030*2,1)/2,神经网络!$E$10:$E$70,0),MATCH(ROUND(E2030*2,1)/2,神经网络!$G$8:$BO$8,0))</f>
        <v>-0.43513968992096197</v>
      </c>
      <c r="I2030">
        <f t="shared" si="260"/>
        <v>916.51117112533404</v>
      </c>
      <c r="J2030">
        <f t="shared" si="261"/>
        <v>167.89952515861262</v>
      </c>
      <c r="K2030">
        <f t="shared" si="262"/>
        <v>5.4586882855059731</v>
      </c>
      <c r="L2030" s="4">
        <f>MIN(MAX(L2029*(1+MAX(MIN(((B2030-B2029)/B2029)/($K$7*卓尔金历!$N$40),0),-卓尔金历!$M$43))+MIN(MAX(((B2030-B2029)/B2029)/($K$7*卓尔金历!$N$40),0),卓尔金历!$M$43),0),1)</f>
        <v>0.42990747482998376</v>
      </c>
      <c r="M2030" s="4">
        <f>MIN(MAX(M2029*(1+MAX(MIN(((B2030-B2029)/B2029)/($K$7*30),0),-卓尔金历!$M$43))+MIN(MAX(((B2030-B2029)/B2029)/($K$7*7),0),卓尔金历!$M$43),0),1)</f>
        <v>0.69799833774735387</v>
      </c>
      <c r="N2030">
        <f t="shared" si="263"/>
        <v>746.53291925855592</v>
      </c>
      <c r="O2030">
        <f t="shared" si="264"/>
        <v>1906.3251421251382</v>
      </c>
      <c r="P2030">
        <f t="shared" si="265"/>
        <v>-3.292806251436451E-2</v>
      </c>
      <c r="Q2030">
        <f t="shared" si="266"/>
        <v>1.9704925012784119E-2</v>
      </c>
      <c r="R2030">
        <f t="shared" si="267"/>
        <v>8.7114658284408834E-3</v>
      </c>
      <c r="S2030">
        <f t="shared" si="259"/>
        <v>16.509352650466646</v>
      </c>
      <c r="T2030" s="564">
        <f>IF((I2030-MAX(I$470:I2030))/MAX(I$470:I2030)&gt;T2029,T2029,(I2030-MAX(I$470:I2030))/MAX(I$470:I2030))</f>
        <v>-0.91338805338419748</v>
      </c>
      <c r="U2030" s="564">
        <f>IF((J2030-MAX(J$470:J2030))/MAX(J$470:J2030)&gt;U2029,U2029,(J2030-MAX(J$470:J2030))/MAX(J$470:J2030))</f>
        <v>-0.8283551177402233</v>
      </c>
      <c r="V2030" s="564">
        <f>IF((K2030-MAX(K$470:K2030))/MAX(K$470:K2030)&gt;V2029,V2029,(K2030-MAX(K$470:K2030))/MAX(K$470:K2030))</f>
        <v>-0.84885940676762139</v>
      </c>
      <c r="W2030" s="564">
        <f>IF((N2030-MAX(N$470:N2030))/MAX(N$470:N2030)&gt;W2029,W2029,(N2030-MAX(N$470:N2030))/MAX(N$470:N2030))</f>
        <v>-0.62788758315546067</v>
      </c>
      <c r="X2030" s="564">
        <f>IF((O2030-MAX(O$470:O2030))/MAX(O$470:O2030)&gt;X2029,X2029,(O2030-MAX(O$470:O2030))/MAX(O$470:O2030))</f>
        <v>-0.62788758315546067</v>
      </c>
    </row>
    <row r="2031" spans="1:24">
      <c r="A2031" s="799">
        <v>42433</v>
      </c>
      <c r="B2031">
        <v>422.76299999999998</v>
      </c>
      <c r="C2031">
        <v>437.44129400000003</v>
      </c>
      <c r="D2031">
        <v>1.3276209999999999</v>
      </c>
      <c r="E2031">
        <f>LN(D2031/参数实验室!$E$53)/参数实验室!$E$55</f>
        <v>-0.35863965164249678</v>
      </c>
      <c r="F2031">
        <f t="shared" si="258"/>
        <v>1.0347199116289743</v>
      </c>
      <c r="G2031">
        <f>LN(F2031/参数实验室!$E$58)/参数实验室!$E$59</f>
        <v>-0.17261635028793237</v>
      </c>
      <c r="H2031" s="856">
        <f>INDEX(神经网络!$G$10:$BO$70,MATCH(ROUND(G2031*2,1)/2,神经网络!$E$10:$E$70,0),MATCH(ROUND(E2031*2,1)/2,神经网络!$G$8:$BO$8,0))</f>
        <v>-0.35365214793145566</v>
      </c>
      <c r="I2031">
        <f t="shared" si="260"/>
        <v>914.62504090843083</v>
      </c>
      <c r="J2031">
        <f t="shared" si="261"/>
        <v>168.69358764614302</v>
      </c>
      <c r="K2031">
        <f t="shared" si="262"/>
        <v>5.4218127296395942</v>
      </c>
      <c r="L2031" s="4">
        <f>MIN(MAX(L2030*(1+MAX(MIN(((B2031-B2030)/B2030)/($K$7*卓尔金历!$N$40),0),-卓尔金历!$M$43))+MIN(MAX(((B2031-B2030)/B2030)/($K$7*卓尔金历!$N$40),0),卓尔金历!$M$43),0),1)</f>
        <v>0.50216802942796634</v>
      </c>
      <c r="M2031" s="4">
        <f>MIN(MAX(M2030*(1+MAX(MIN(((B2031-B2030)/B2030)/($K$7*30),0),-卓尔金历!$M$43))+MIN(MAX(((B2031-B2030)/B2030)/($K$7*7),0),卓尔金历!$M$43),0),1)</f>
        <v>0.85284238331445938</v>
      </c>
      <c r="N2031">
        <f t="shared" si="263"/>
        <v>745.87244199879513</v>
      </c>
      <c r="O2031">
        <f t="shared" si="264"/>
        <v>1903.586815343026</v>
      </c>
      <c r="P2031">
        <f t="shared" si="265"/>
        <v>4.7293909067358218E-3</v>
      </c>
      <c r="Q2031">
        <f t="shared" si="266"/>
        <v>1.9575579354005619E-2</v>
      </c>
      <c r="R2031">
        <f t="shared" si="267"/>
        <v>1</v>
      </c>
      <c r="S2031">
        <f t="shared" si="259"/>
        <v>16.509056675355868</v>
      </c>
      <c r="T2031" s="564">
        <f>IF((I2031-MAX(I$470:I2031))/MAX(I$470:I2031)&gt;T2030,T2030,(I2031-MAX(I$470:I2031))/MAX(I$470:I2031))</f>
        <v>-0.91338805338419748</v>
      </c>
      <c r="U2031" s="564">
        <f>IF((J2031-MAX(J$470:J2031))/MAX(J$470:J2031)&gt;U2030,U2030,(J2031-MAX(J$470:J2031))/MAX(J$470:J2031))</f>
        <v>-0.8283551177402233</v>
      </c>
      <c r="V2031" s="564">
        <f>IF((K2031-MAX(K$470:K2031))/MAX(K$470:K2031)&gt;V2030,V2030,(K2031-MAX(K$470:K2031))/MAX(K$470:K2031))</f>
        <v>-0.84885940676762139</v>
      </c>
      <c r="W2031" s="564">
        <f>IF((N2031-MAX(N$470:N2031))/MAX(N$470:N2031)&gt;W2030,W2030,(N2031-MAX(N$470:N2031))/MAX(N$470:N2031))</f>
        <v>-0.62788758315546067</v>
      </c>
      <c r="X2031" s="564">
        <f>IF((O2031-MAX(O$470:O2031))/MAX(O$470:O2031)&gt;X2030,X2030,(O2031-MAX(O$470:O2031))/MAX(O$470:O2031))</f>
        <v>-0.62788758315546067</v>
      </c>
    </row>
    <row r="2032" spans="1:24">
      <c r="A2032" s="799">
        <v>42434</v>
      </c>
      <c r="B2032">
        <v>409.24799999999999</v>
      </c>
      <c r="C2032">
        <v>442.943129</v>
      </c>
      <c r="D2032">
        <v>1.2930090000000001</v>
      </c>
      <c r="E2032">
        <f>LN(D2032/参数实验室!$E$53)/参数实验室!$E$55</f>
        <v>-0.38980467214925218</v>
      </c>
      <c r="F2032">
        <f t="shared" si="258"/>
        <v>1.0823342545351473</v>
      </c>
      <c r="G2032">
        <f>LN(F2032/参数实验室!$E$58)/参数实验室!$E$59</f>
        <v>-0.14900354359443013</v>
      </c>
      <c r="H2032" s="856">
        <f>INDEX(神经网络!$G$10:$BO$70,MATCH(ROUND(G2032*2,1)/2,神经网络!$E$10:$E$70,0),MATCH(ROUND(E2032*2,1)/2,神经网络!$G$8:$BO$8,0))</f>
        <v>-0.38990896592980601</v>
      </c>
      <c r="I2032">
        <f t="shared" si="260"/>
        <v>924.96546775583158</v>
      </c>
      <c r="J2032">
        <f t="shared" si="261"/>
        <v>163.30074617932206</v>
      </c>
      <c r="K2032">
        <f t="shared" si="262"/>
        <v>5.6641839636183811</v>
      </c>
      <c r="L2032" s="4">
        <f>MIN(MAX(L2031*(1+MAX(MIN(((B2032-B2031)/B2031)/($K$7*卓尔金历!$N$40),0),-卓尔金历!$M$43))+MIN(MAX(((B2032-B2031)/B2031)/($K$7*卓尔金历!$N$40),0),卓尔金历!$M$43),0),1)</f>
        <v>0.25688685482868912</v>
      </c>
      <c r="M2032" s="4">
        <f>MIN(MAX(M2031*(1+MAX(MIN(((B2032-B2031)/B2031)/($K$7*30),0),-卓尔金历!$M$43))+MIN(MAX(((B2032-B2031)/B2031)/($K$7*7),0),卓尔金历!$M$43),0),1)</f>
        <v>0.64455932936764848</v>
      </c>
      <c r="N2032">
        <f t="shared" si="263"/>
        <v>750.10700891747695</v>
      </c>
      <c r="O2032">
        <f t="shared" si="264"/>
        <v>1921.9410737753376</v>
      </c>
      <c r="P2032">
        <f t="shared" si="265"/>
        <v>-3.1968265907849049E-2</v>
      </c>
      <c r="Q2032">
        <f t="shared" si="266"/>
        <v>2.0986810927876808E-2</v>
      </c>
      <c r="R2032">
        <f t="shared" si="267"/>
        <v>1.1337205963691593E-2</v>
      </c>
      <c r="S2032">
        <f t="shared" si="259"/>
        <v>16.695702224335761</v>
      </c>
      <c r="T2032" s="564">
        <f>IF((I2032-MAX(I$470:I2032))/MAX(I$470:I2032)&gt;T2031,T2031,(I2032-MAX(I$470:I2032))/MAX(I$470:I2032))</f>
        <v>-0.91338805338419748</v>
      </c>
      <c r="U2032" s="564">
        <f>IF((J2032-MAX(J$470:J2032))/MAX(J$470:J2032)&gt;U2031,U2031,(J2032-MAX(J$470:J2032))/MAX(J$470:J2032))</f>
        <v>-0.8283551177402233</v>
      </c>
      <c r="V2032" s="564">
        <f>IF((K2032-MAX(K$470:K2032))/MAX(K$470:K2032)&gt;V2031,V2031,(K2032-MAX(K$470:K2032))/MAX(K$470:K2032))</f>
        <v>-0.84885940676762139</v>
      </c>
      <c r="W2032" s="564">
        <f>IF((N2032-MAX(N$470:N2032))/MAX(N$470:N2032)&gt;W2031,W2031,(N2032-MAX(N$470:N2032))/MAX(N$470:N2032))</f>
        <v>-0.62788758315546067</v>
      </c>
      <c r="X2032" s="564">
        <f>IF((O2032-MAX(O$470:O2032))/MAX(O$470:O2032)&gt;X2031,X2031,(O2032-MAX(O$470:O2032))/MAX(O$470:O2032))</f>
        <v>-0.62788758315546067</v>
      </c>
    </row>
    <row r="2033" spans="1:24">
      <c r="A2033" s="799">
        <v>42435</v>
      </c>
      <c r="B2033">
        <v>396.18700000000001</v>
      </c>
      <c r="C2033">
        <v>455.05032399999999</v>
      </c>
      <c r="D2033">
        <v>1.31352</v>
      </c>
      <c r="E2033">
        <f>LN(D2033/参数实验室!$E$53)/参数实验室!$E$55</f>
        <v>-0.37123713020288956</v>
      </c>
      <c r="F2033">
        <f t="shared" si="258"/>
        <v>1.1485745973492314</v>
      </c>
      <c r="G2033">
        <f>LN(F2033/参数实验室!$E$58)/参数实验室!$E$59</f>
        <v>-0.11782635401844369</v>
      </c>
      <c r="H2033" s="856">
        <f>INDEX(神经网络!$G$10:$BO$70,MATCH(ROUND(G2033*2,1)/2,神经网络!$E$10:$E$70,0),MATCH(ROUND(E2033*2,1)/2,神经网络!$G$8:$BO$8,0))</f>
        <v>-0.26728515199184727</v>
      </c>
      <c r="I2033">
        <f t="shared" si="260"/>
        <v>936.4755547196462</v>
      </c>
      <c r="J2033">
        <f t="shared" si="261"/>
        <v>158.08906268704322</v>
      </c>
      <c r="K2033">
        <f t="shared" si="262"/>
        <v>5.9237213429085536</v>
      </c>
      <c r="L2033" s="4">
        <f>MIN(MAX(L2032*(1+MAX(MIN(((B2033-B2032)/B2032)/($K$7*卓尔金历!$N$40),0),-卓尔金历!$M$43))+MIN(MAX(((B2033-B2032)/B2032)/($K$7*卓尔金历!$N$40),0),卓尔金历!$M$43),0),1)</f>
        <v>0.13162240833414549</v>
      </c>
      <c r="M2033" s="4">
        <f>MIN(MAX(M2032*(1+MAX(MIN(((B2033-B2032)/B2032)/($K$7*30),0),-卓尔金历!$M$43))+MIN(MAX(((B2033-B2032)/B2032)/($K$7*7),0),卓尔金历!$M$43),0),1)</f>
        <v>0.48740771551808759</v>
      </c>
      <c r="N2033">
        <f t="shared" si="263"/>
        <v>752.5048378196592</v>
      </c>
      <c r="O2033">
        <f t="shared" si="264"/>
        <v>1937.3565182963814</v>
      </c>
      <c r="P2033">
        <f t="shared" si="265"/>
        <v>-3.1914633669559725E-2</v>
      </c>
      <c r="Q2033">
        <f t="shared" si="266"/>
        <v>2.1717318135533611E-2</v>
      </c>
      <c r="R2033">
        <f t="shared" si="267"/>
        <v>1.2907840948764794E-2</v>
      </c>
      <c r="S2033">
        <f t="shared" si="259"/>
        <v>16.698057619681133</v>
      </c>
      <c r="T2033" s="564">
        <f>IF((I2033-MAX(I$470:I2033))/MAX(I$470:I2033)&gt;T2032,T2032,(I2033-MAX(I$470:I2033))/MAX(I$470:I2033))</f>
        <v>-0.91338805338419748</v>
      </c>
      <c r="U2033" s="564">
        <f>IF((J2033-MAX(J$470:J2033))/MAX(J$470:J2033)&gt;U2032,U2032,(J2033-MAX(J$470:J2033))/MAX(J$470:J2033))</f>
        <v>-0.8283551177402233</v>
      </c>
      <c r="V2033" s="564">
        <f>IF((K2033-MAX(K$470:K2033))/MAX(K$470:K2033)&gt;V2032,V2032,(K2033-MAX(K$470:K2033))/MAX(K$470:K2033))</f>
        <v>-0.84885940676762139</v>
      </c>
      <c r="W2033" s="564">
        <f>IF((N2033-MAX(N$470:N2033))/MAX(N$470:N2033)&gt;W2032,W2032,(N2033-MAX(N$470:N2033))/MAX(N$470:N2033))</f>
        <v>-0.62788758315546067</v>
      </c>
      <c r="X2033" s="564">
        <f>IF((O2033-MAX(O$470:O2033))/MAX(O$470:O2033)&gt;X2032,X2032,(O2033-MAX(O$470:O2033))/MAX(O$470:O2033))</f>
        <v>-0.62788758315546067</v>
      </c>
    </row>
    <row r="2034" spans="1:24">
      <c r="A2034" s="799">
        <v>42436</v>
      </c>
      <c r="B2034">
        <v>407.05799999999999</v>
      </c>
      <c r="C2034">
        <v>476.035526</v>
      </c>
      <c r="D2034">
        <v>1.343092</v>
      </c>
      <c r="E2034">
        <f>LN(D2034/参数实验室!$E$53)/参数实验室!$E$55</f>
        <v>-0.34497126675681389</v>
      </c>
      <c r="F2034">
        <f t="shared" si="258"/>
        <v>1.1694538026522019</v>
      </c>
      <c r="G2034">
        <f>LN(F2034/参数实验室!$E$58)/参数实验室!$E$59</f>
        <v>-0.10837104993722933</v>
      </c>
      <c r="H2034" s="856">
        <f>INDEX(神经网络!$G$10:$BO$70,MATCH(ROUND(G2034*2,1)/2,神经网络!$E$10:$E$70,0),MATCH(ROUND(E2034*2,1)/2,神经网络!$G$8:$BO$8,0))</f>
        <v>-0.26728515199184727</v>
      </c>
      <c r="I2034">
        <f t="shared" si="260"/>
        <v>929.60739234843675</v>
      </c>
      <c r="J2034">
        <f t="shared" si="261"/>
        <v>162.42687841666293</v>
      </c>
      <c r="K2034">
        <f t="shared" si="262"/>
        <v>5.7232362119511793</v>
      </c>
      <c r="L2034" s="4">
        <f>MIN(MAX(L2033*(1+MAX(MIN(((B2034-B2033)/B2033)/($K$7*卓尔金历!$N$40),0),-卓尔金历!$M$43))+MIN(MAX(((B2034-B2033)/B2033)/($K$7*卓尔金历!$N$40),0),卓尔金历!$M$43),0),1)</f>
        <v>0.55086495763966159</v>
      </c>
      <c r="M2034" s="4">
        <f>MIN(MAX(M2033*(1+MAX(MIN(((B2034-B2033)/B2033)/($K$7*30),0),-卓尔金历!$M$43))+MIN(MAX(((B2034-B2033)/B2033)/($K$7*7),0),卓尔金历!$M$43),0),1)</f>
        <v>1</v>
      </c>
      <c r="N2034">
        <f t="shared" si="263"/>
        <v>751.77842543841018</v>
      </c>
      <c r="O2034">
        <f t="shared" si="264"/>
        <v>1930.4310992582091</v>
      </c>
      <c r="P2034">
        <f t="shared" si="265"/>
        <v>2.7439062866777508E-2</v>
      </c>
      <c r="Q2034">
        <f t="shared" si="266"/>
        <v>2.0766735223959807E-2</v>
      </c>
      <c r="R2034">
        <f t="shared" si="267"/>
        <v>1.5666542944451297E-2</v>
      </c>
      <c r="S2034">
        <f t="shared" si="259"/>
        <v>16.696476867938468</v>
      </c>
      <c r="T2034" s="564">
        <f>IF((I2034-MAX(I$470:I2034))/MAX(I$470:I2034)&gt;T2033,T2033,(I2034-MAX(I$470:I2034))/MAX(I$470:I2034))</f>
        <v>-0.91338805338419748</v>
      </c>
      <c r="U2034" s="564">
        <f>IF((J2034-MAX(J$470:J2034))/MAX(J$470:J2034)&gt;U2033,U2033,(J2034-MAX(J$470:J2034))/MAX(J$470:J2034))</f>
        <v>-0.8283551177402233</v>
      </c>
      <c r="V2034" s="564">
        <f>IF((K2034-MAX(K$470:K2034))/MAX(K$470:K2034)&gt;V2033,V2033,(K2034-MAX(K$470:K2034))/MAX(K$470:K2034))</f>
        <v>-0.84885940676762139</v>
      </c>
      <c r="W2034" s="564">
        <f>IF((N2034-MAX(N$470:N2034))/MAX(N$470:N2034)&gt;W2033,W2033,(N2034-MAX(N$470:N2034))/MAX(N$470:N2034))</f>
        <v>-0.62788758315546067</v>
      </c>
      <c r="X2034" s="564">
        <f>IF((O2034-MAX(O$470:O2034))/MAX(O$470:O2034)&gt;X2033,X2033,(O2034-MAX(O$470:O2034))/MAX(O$470:O2034))</f>
        <v>-0.62788758315546067</v>
      </c>
    </row>
    <row r="2035" spans="1:24">
      <c r="A2035" s="799">
        <v>42437</v>
      </c>
      <c r="B2035">
        <v>414.27100000000002</v>
      </c>
      <c r="C2035">
        <v>483.48468700000001</v>
      </c>
      <c r="D2035">
        <v>1.3371249999999999</v>
      </c>
      <c r="E2035">
        <f>LN(D2035/参数实验室!$E$53)/参数实验室!$E$55</f>
        <v>-0.35022427368670794</v>
      </c>
      <c r="F2035">
        <f t="shared" si="258"/>
        <v>1.1670734543330332</v>
      </c>
      <c r="G2035">
        <f>LN(F2035/参数实验室!$E$58)/参数实验室!$E$59</f>
        <v>-0.10944044544095032</v>
      </c>
      <c r="H2035" s="856">
        <f>INDEX(神经网络!$G$10:$BO$70,MATCH(ROUND(G2035*2,1)/2,神经网络!$E$10:$E$70,0),MATCH(ROUND(E2035*2,1)/2,神经网络!$G$8:$BO$8,0))</f>
        <v>-0.26728515199184727</v>
      </c>
      <c r="I2035">
        <f t="shared" si="260"/>
        <v>925.20454082354706</v>
      </c>
      <c r="J2035">
        <f t="shared" si="261"/>
        <v>165.30505566417901</v>
      </c>
      <c r="K2035">
        <f t="shared" si="262"/>
        <v>5.5969524773829136</v>
      </c>
      <c r="L2035" s="4">
        <f>MIN(MAX(L2034*(1+MAX(MIN(((B2035-B2034)/B2034)/($K$7*卓尔金历!$N$40),0),-卓尔金历!$M$43))+MIN(MAX(((B2035-B2034)/B2034)/($K$7*卓尔金历!$N$40),0),卓尔金历!$M$43),0),1)</f>
        <v>0.82160700963644218</v>
      </c>
      <c r="M2035" s="4">
        <f>MIN(MAX(M2034*(1+MAX(MIN(((B2035-B2034)/B2034)/($K$7*30),0),-卓尔金历!$M$43))+MIN(MAX(((B2035-B2034)/B2034)/($K$7*7),0),卓尔金历!$M$43),0),1)</f>
        <v>1</v>
      </c>
      <c r="N2035">
        <f t="shared" si="263"/>
        <v>749.81701051147604</v>
      </c>
      <c r="O2035">
        <f t="shared" si="264"/>
        <v>1921.2880980525156</v>
      </c>
      <c r="P2035">
        <f t="shared" si="265"/>
        <v>1.7719833537235535E-2</v>
      </c>
      <c r="Q2035">
        <f t="shared" si="266"/>
        <v>2.0667439731200086E-2</v>
      </c>
      <c r="R2035">
        <f t="shared" si="267"/>
        <v>0.17783716654218745</v>
      </c>
      <c r="S2035">
        <f t="shared" si="259"/>
        <v>16.695237978686514</v>
      </c>
      <c r="T2035" s="564">
        <f>IF((I2035-MAX(I$470:I2035))/MAX(I$470:I2035)&gt;T2034,T2034,(I2035-MAX(I$470:I2035))/MAX(I$470:I2035))</f>
        <v>-0.91338805338419748</v>
      </c>
      <c r="U2035" s="564">
        <f>IF((J2035-MAX(J$470:J2035))/MAX(J$470:J2035)&gt;U2034,U2034,(J2035-MAX(J$470:J2035))/MAX(J$470:J2035))</f>
        <v>-0.8283551177402233</v>
      </c>
      <c r="V2035" s="564">
        <f>IF((K2035-MAX(K$470:K2035))/MAX(K$470:K2035)&gt;V2034,V2034,(K2035-MAX(K$470:K2035))/MAX(K$470:K2035))</f>
        <v>-0.84885940676762139</v>
      </c>
      <c r="W2035" s="564">
        <f>IF((N2035-MAX(N$470:N2035))/MAX(N$470:N2035)&gt;W2034,W2034,(N2035-MAX(N$470:N2035))/MAX(N$470:N2035))</f>
        <v>-0.62788758315546067</v>
      </c>
      <c r="X2035" s="564">
        <f>IF((O2035-MAX(O$470:O2035))/MAX(O$470:O2035)&gt;X2034,X2034,(O2035-MAX(O$470:O2035))/MAX(O$470:O2035))</f>
        <v>-0.62788758315546067</v>
      </c>
    </row>
    <row r="2036" spans="1:24">
      <c r="A2036" s="799">
        <v>42438</v>
      </c>
      <c r="B2036">
        <v>411.899</v>
      </c>
      <c r="C2036">
        <v>477.47751499999998</v>
      </c>
      <c r="D2036">
        <v>1.3411660000000001</v>
      </c>
      <c r="E2036">
        <f>LN(D2036/参数实验室!$E$53)/参数实验室!$E$55</f>
        <v>-0.3466642524070932</v>
      </c>
      <c r="F2036">
        <f t="shared" si="258"/>
        <v>1.1592101825933057</v>
      </c>
      <c r="G2036">
        <f>LN(F2036/参数实验室!$E$58)/参数实验室!$E$59</f>
        <v>-0.11298866769313456</v>
      </c>
      <c r="H2036" s="856">
        <f>INDEX(神经网络!$G$10:$BO$70,MATCH(ROUND(G2036*2,1)/2,神经网络!$E$10:$E$70,0),MATCH(ROUND(E2036*2,1)/2,神经网络!$G$8:$BO$8,0))</f>
        <v>-0.26728515199184727</v>
      </c>
      <c r="I2036">
        <f t="shared" si="260"/>
        <v>926.62047394690171</v>
      </c>
      <c r="J2036">
        <f t="shared" si="261"/>
        <v>164.35856510115281</v>
      </c>
      <c r="K2036">
        <f t="shared" si="262"/>
        <v>5.6377985131266053</v>
      </c>
      <c r="L2036" s="4">
        <f>MIN(MAX(L2035*(1+MAX(MIN(((B2036-B2035)/B2035)/($K$7*卓尔金历!$N$40),0),-卓尔金历!$M$43))+MIN(MAX(((B2036-B2035)/B2035)/($K$7*卓尔金历!$N$40),0),卓尔金历!$M$43),0),1)</f>
        <v>0.74972993945486921</v>
      </c>
      <c r="M2036" s="4">
        <f>MIN(MAX(M2035*(1+MAX(MIN(((B2036-B2035)/B2035)/($K$7*30),0),-卓尔金历!$M$43))+MIN(MAX(((B2036-B2035)/B2035)/($K$7*7),0),卓尔金历!$M$43),0),1)</f>
        <v>0.95625824187321729</v>
      </c>
      <c r="N2036">
        <f t="shared" si="263"/>
        <v>750.75982101110833</v>
      </c>
      <c r="O2036">
        <f t="shared" si="264"/>
        <v>1924.228437553139</v>
      </c>
      <c r="P2036">
        <f t="shared" si="265"/>
        <v>-5.725720603180078E-3</v>
      </c>
      <c r="Q2036">
        <f t="shared" si="266"/>
        <v>2.0555964838824332E-2</v>
      </c>
      <c r="R2036">
        <f t="shared" si="267"/>
        <v>1</v>
      </c>
      <c r="S2036">
        <f t="shared" si="259"/>
        <v>16.699781788341763</v>
      </c>
      <c r="T2036" s="564">
        <f>IF((I2036-MAX(I$470:I2036))/MAX(I$470:I2036)&gt;T2035,T2035,(I2036-MAX(I$470:I2036))/MAX(I$470:I2036))</f>
        <v>-0.91338805338419748</v>
      </c>
      <c r="U2036" s="564">
        <f>IF((J2036-MAX(J$470:J2036))/MAX(J$470:J2036)&gt;U2035,U2035,(J2036-MAX(J$470:J2036))/MAX(J$470:J2036))</f>
        <v>-0.8283551177402233</v>
      </c>
      <c r="V2036" s="564">
        <f>IF((K2036-MAX(K$470:K2036))/MAX(K$470:K2036)&gt;V2035,V2035,(K2036-MAX(K$470:K2036))/MAX(K$470:K2036))</f>
        <v>-0.84885940676762139</v>
      </c>
      <c r="W2036" s="564">
        <f>IF((N2036-MAX(N$470:N2036))/MAX(N$470:N2036)&gt;W2035,W2035,(N2036-MAX(N$470:N2036))/MAX(N$470:N2036))</f>
        <v>-0.62788758315546067</v>
      </c>
      <c r="X2036" s="564">
        <f>IF((O2036-MAX(O$470:O2036))/MAX(O$470:O2036)&gt;X2035,X2035,(O2036-MAX(O$470:O2036))/MAX(O$470:O2036))</f>
        <v>-0.62788758315546067</v>
      </c>
    </row>
    <row r="2037" spans="1:24">
      <c r="A2037" s="799">
        <v>42439</v>
      </c>
      <c r="B2037">
        <v>413.95499999999998</v>
      </c>
      <c r="C2037">
        <v>484.62949400000002</v>
      </c>
      <c r="D2037">
        <v>1.3527009999999999</v>
      </c>
      <c r="E2037">
        <f>LN(D2037/参数实验室!$E$53)/参数实验室!$E$55</f>
        <v>-0.33656090518108184</v>
      </c>
      <c r="F2037">
        <f t="shared" si="258"/>
        <v>1.1707298957616168</v>
      </c>
      <c r="G2037">
        <f>LN(F2037/参数实验室!$E$58)/参数实验室!$E$59</f>
        <v>-0.10779864812564235</v>
      </c>
      <c r="H2037" s="856">
        <f>INDEX(神经网络!$G$10:$BO$70,MATCH(ROUND(G2037*2,1)/2,神经网络!$E$10:$E$70,0),MATCH(ROUND(E2037*2,1)/2,神经网络!$G$8:$BO$8,0))</f>
        <v>-0.26728515199184727</v>
      </c>
      <c r="I2037">
        <f t="shared" si="260"/>
        <v>925.38421599407468</v>
      </c>
      <c r="J2037">
        <f t="shared" si="261"/>
        <v>165.17896332947569</v>
      </c>
      <c r="K2037">
        <f t="shared" si="262"/>
        <v>5.602312772409455</v>
      </c>
      <c r="L2037" s="4">
        <f>MIN(MAX(L2036*(1+MAX(MIN(((B2037-B2036)/B2036)/($K$7*卓尔金历!$N$40),0),-卓尔金历!$M$43))+MIN(MAX(((B2037-B2036)/B2036)/($K$7*卓尔金历!$N$40),0),卓尔金历!$M$43),0),1)</f>
        <v>0.82599549728432597</v>
      </c>
      <c r="M2037" s="4">
        <f>MIN(MAX(M2036*(1+MAX(MIN(((B2037-B2036)/B2036)/($K$7*30),0),-卓尔金历!$M$43))+MIN(MAX(((B2037-B2036)/B2036)/($K$7*7),0),卓尔金历!$M$43),0),1)</f>
        <v>1</v>
      </c>
      <c r="N2037">
        <f t="shared" si="263"/>
        <v>750.00886744699449</v>
      </c>
      <c r="O2037">
        <f t="shared" si="264"/>
        <v>1921.7735080425771</v>
      </c>
      <c r="P2037">
        <f t="shared" si="265"/>
        <v>4.9915149102085299E-3</v>
      </c>
      <c r="Q2037">
        <f t="shared" si="266"/>
        <v>2.0045116748599233E-2</v>
      </c>
      <c r="R2037">
        <f t="shared" si="267"/>
        <v>1</v>
      </c>
      <c r="S2037">
        <f t="shared" si="259"/>
        <v>16.677501643852427</v>
      </c>
      <c r="T2037" s="564">
        <f>IF((I2037-MAX(I$470:I2037))/MAX(I$470:I2037)&gt;T2036,T2036,(I2037-MAX(I$470:I2037))/MAX(I$470:I2037))</f>
        <v>-0.91338805338419748</v>
      </c>
      <c r="U2037" s="564">
        <f>IF((J2037-MAX(J$470:J2037))/MAX(J$470:J2037)&gt;U2036,U2036,(J2037-MAX(J$470:J2037))/MAX(J$470:J2037))</f>
        <v>-0.8283551177402233</v>
      </c>
      <c r="V2037" s="564">
        <f>IF((K2037-MAX(K$470:K2037))/MAX(K$470:K2037)&gt;V2036,V2036,(K2037-MAX(K$470:K2037))/MAX(K$470:K2037))</f>
        <v>-0.84885940676762139</v>
      </c>
      <c r="W2037" s="564">
        <f>IF((N2037-MAX(N$470:N2037))/MAX(N$470:N2037)&gt;W2036,W2036,(N2037-MAX(N$470:N2037))/MAX(N$470:N2037))</f>
        <v>-0.62788758315546067</v>
      </c>
      <c r="X2037" s="564">
        <f>IF((O2037-MAX(O$470:O2037))/MAX(O$470:O2037)&gt;X2036,X2036,(O2037-MAX(O$470:O2037))/MAX(O$470:O2037))</f>
        <v>-0.62788758315546067</v>
      </c>
    </row>
    <row r="2038" spans="1:24">
      <c r="A2038" s="799">
        <v>42440</v>
      </c>
      <c r="B2038">
        <v>417.27</v>
      </c>
      <c r="C2038">
        <v>486.34008399999999</v>
      </c>
      <c r="D2038">
        <v>1.3622909999999999</v>
      </c>
      <c r="E2038">
        <f>LN(D2038/参数实验室!$E$53)/参数实验室!$E$55</f>
        <v>-0.32822653022661491</v>
      </c>
      <c r="F2038">
        <f t="shared" si="258"/>
        <v>1.1655285163083855</v>
      </c>
      <c r="G2038">
        <f>LN(F2038/参数实验室!$E$58)/参数实验室!$E$59</f>
        <v>-0.11013569229173852</v>
      </c>
      <c r="H2038" s="856">
        <f>INDEX(神经网络!$G$10:$BO$70,MATCH(ROUND(G2038*2,1)/2,神经网络!$E$10:$E$70,0),MATCH(ROUND(E2038*2,1)/2,神经网络!$G$8:$BO$8,0))</f>
        <v>-0.26728515199184727</v>
      </c>
      <c r="I2038">
        <f t="shared" si="260"/>
        <v>923.40347668031427</v>
      </c>
      <c r="J2038">
        <f t="shared" si="261"/>
        <v>166.50173576473367</v>
      </c>
      <c r="K2038">
        <f t="shared" si="262"/>
        <v>5.5459090107329567</v>
      </c>
      <c r="L2038" s="4">
        <f>MIN(MAX(L2037*(1+MAX(MIN(((B2038-B2037)/B2037)/($K$7*卓尔金历!$N$40),0),-卓尔金历!$M$43))+MIN(MAX(((B2038-B2037)/B2037)/($K$7*卓尔金历!$N$40),0),卓尔金历!$M$43),0),1)</f>
        <v>0.94835183754468377</v>
      </c>
      <c r="M2038" s="4">
        <f>MIN(MAX(M2037*(1+MAX(MIN(((B2038-B2037)/B2037)/($K$7*30),0),-卓尔金历!$M$43))+MIN(MAX(((B2038-B2037)/B2037)/($K$7*7),0),卓尔金历!$M$43),0),1)</f>
        <v>1</v>
      </c>
      <c r="N2038">
        <f t="shared" si="263"/>
        <v>748.68284977508597</v>
      </c>
      <c r="O2038">
        <f t="shared" si="264"/>
        <v>1917.6600465487109</v>
      </c>
      <c r="P2038">
        <f t="shared" si="265"/>
        <v>8.0081168242924911E-3</v>
      </c>
      <c r="Q2038">
        <f t="shared" si="266"/>
        <v>1.9889143400864333E-2</v>
      </c>
      <c r="R2038">
        <f t="shared" si="267"/>
        <v>0.94799892293944155</v>
      </c>
      <c r="S2038">
        <f t="shared" si="259"/>
        <v>16.641804273408521</v>
      </c>
      <c r="T2038" s="564">
        <f>IF((I2038-MAX(I$470:I2038))/MAX(I$470:I2038)&gt;T2037,T2037,(I2038-MAX(I$470:I2038))/MAX(I$470:I2038))</f>
        <v>-0.91338805338419748</v>
      </c>
      <c r="U2038" s="564">
        <f>IF((J2038-MAX(J$470:J2038))/MAX(J$470:J2038)&gt;U2037,U2037,(J2038-MAX(J$470:J2038))/MAX(J$470:J2038))</f>
        <v>-0.8283551177402233</v>
      </c>
      <c r="V2038" s="564">
        <f>IF((K2038-MAX(K$470:K2038))/MAX(K$470:K2038)&gt;V2037,V2037,(K2038-MAX(K$470:K2038))/MAX(K$470:K2038))</f>
        <v>-0.84885940676762139</v>
      </c>
      <c r="W2038" s="564">
        <f>IF((N2038-MAX(N$470:N2038))/MAX(N$470:N2038)&gt;W2037,W2037,(N2038-MAX(N$470:N2038))/MAX(N$470:N2038))</f>
        <v>-0.62788758315546067</v>
      </c>
      <c r="X2038" s="564">
        <f>IF((O2038-MAX(O$470:O2038))/MAX(O$470:O2038)&gt;X2037,X2037,(O2038-MAX(O$470:O2038))/MAX(O$470:O2038))</f>
        <v>-0.62788758315546067</v>
      </c>
    </row>
    <row r="2039" spans="1:24">
      <c r="A2039" s="799">
        <v>42441</v>
      </c>
      <c r="B2039">
        <v>421.65800000000002</v>
      </c>
      <c r="C2039">
        <v>502.73666900000001</v>
      </c>
      <c r="D2039">
        <v>1.3323160000000001</v>
      </c>
      <c r="E2039">
        <f>LN(D2039/参数实验室!$E$53)/参数实验室!$E$55</f>
        <v>-0.35447493102493255</v>
      </c>
      <c r="F2039">
        <f t="shared" si="258"/>
        <v>1.1922853805690867</v>
      </c>
      <c r="G2039">
        <f>LN(F2039/参数实验室!$E$58)/参数实验室!$E$59</f>
        <v>-9.8222918942543369E-2</v>
      </c>
      <c r="H2039" s="856">
        <f>INDEX(神经网络!$G$10:$BO$70,MATCH(ROUND(G2039*2,1)/2,神经网络!$E$10:$E$70,0),MATCH(ROUND(E2039*2,1)/2,神经网络!$G$8:$BO$8,0))</f>
        <v>-0.26728515199184727</v>
      </c>
      <c r="I2039">
        <f t="shared" si="260"/>
        <v>920.80800797794041</v>
      </c>
      <c r="J2039">
        <f t="shared" si="261"/>
        <v>168.25266350105704</v>
      </c>
      <c r="K2039">
        <f t="shared" si="262"/>
        <v>5.4727692793532237</v>
      </c>
      <c r="L2039" s="4">
        <f>MIN(MAX(L2038*(1+MAX(MIN(((B2039-B2038)/B2038)/($K$7*卓尔金历!$N$40),0),-卓尔金历!$M$43))+MIN(MAX(((B2039-B2038)/B2038)/($K$7*卓尔金历!$N$40),0),卓尔金历!$M$43),0),1)</f>
        <v>1</v>
      </c>
      <c r="M2039" s="4">
        <f>MIN(MAX(M2038*(1+MAX(MIN(((B2039-B2038)/B2038)/($K$7*30),0),-卓尔金历!$M$43))+MIN(MAX(((B2039-B2038)/B2038)/($K$7*7),0),卓尔金历!$M$43),0),1)</f>
        <v>1</v>
      </c>
      <c r="N2039">
        <f t="shared" si="263"/>
        <v>746.68716627941251</v>
      </c>
      <c r="O2039">
        <f t="shared" si="264"/>
        <v>1912.2699578623401</v>
      </c>
      <c r="P2039">
        <f t="shared" si="265"/>
        <v>1.0515972871282465E-2</v>
      </c>
      <c r="Q2039">
        <f t="shared" si="266"/>
        <v>2.0023447708354871E-2</v>
      </c>
      <c r="R2039">
        <f t="shared" si="267"/>
        <v>0.67670656885242297</v>
      </c>
      <c r="S2039">
        <f t="shared" si="259"/>
        <v>16.597460510380174</v>
      </c>
      <c r="T2039" s="564">
        <f>IF((I2039-MAX(I$470:I2039))/MAX(I$470:I2039)&gt;T2038,T2038,(I2039-MAX(I$470:I2039))/MAX(I$470:I2039))</f>
        <v>-0.91338805338419748</v>
      </c>
      <c r="U2039" s="564">
        <f>IF((J2039-MAX(J$470:J2039))/MAX(J$470:J2039)&gt;U2038,U2038,(J2039-MAX(J$470:J2039))/MAX(J$470:J2039))</f>
        <v>-0.8283551177402233</v>
      </c>
      <c r="V2039" s="564">
        <f>IF((K2039-MAX(K$470:K2039))/MAX(K$470:K2039)&gt;V2038,V2038,(K2039-MAX(K$470:K2039))/MAX(K$470:K2039))</f>
        <v>-0.84885940676762139</v>
      </c>
      <c r="W2039" s="564">
        <f>IF((N2039-MAX(N$470:N2039))/MAX(N$470:N2039)&gt;W2038,W2038,(N2039-MAX(N$470:N2039))/MAX(N$470:N2039))</f>
        <v>-0.62788758315546067</v>
      </c>
      <c r="X2039" s="564">
        <f>IF((O2039-MAX(O$470:O2039))/MAX(O$470:O2039)&gt;X2038,X2038,(O2039-MAX(O$470:O2039))/MAX(O$470:O2039))</f>
        <v>-0.62788758315546067</v>
      </c>
    </row>
    <row r="2040" spans="1:24">
      <c r="A2040" s="799">
        <v>42442</v>
      </c>
      <c r="B2040">
        <v>412.75</v>
      </c>
      <c r="C2040">
        <v>516.28909199999998</v>
      </c>
      <c r="D2040">
        <v>1.337</v>
      </c>
      <c r="E2040">
        <f>LN(D2040/参数实验室!$E$53)/参数实验室!$E$55</f>
        <v>-0.350334567076586</v>
      </c>
      <c r="F2040">
        <f t="shared" si="258"/>
        <v>1.2508518279830405</v>
      </c>
      <c r="G2040">
        <f>LN(F2040/参数实验室!$E$58)/参数实验室!$E$59</f>
        <v>-7.3054683083225908E-2</v>
      </c>
      <c r="H2040" s="856">
        <f>INDEX(神经网络!$G$10:$BO$70,MATCH(ROUND(G2040*2,1)/2,神经网络!$E$10:$E$70,0),MATCH(ROUND(E2040*2,1)/2,神经网络!$G$8:$BO$8,0))</f>
        <v>-0.17734524066155824</v>
      </c>
      <c r="I2040">
        <f t="shared" si="260"/>
        <v>926.0075343498803</v>
      </c>
      <c r="J2040">
        <f t="shared" si="261"/>
        <v>164.6981365468254</v>
      </c>
      <c r="K2040">
        <f t="shared" si="262"/>
        <v>5.6224530147407386</v>
      </c>
      <c r="L2040" s="4">
        <f>MIN(MAX(L2039*(1+MAX(MIN(((B2040-B2039)/B2039)/($K$7*卓尔金历!$N$40),0),-卓尔金历!$M$43))+MIN(MAX(((B2040-B2039)/B2039)/($K$7*卓尔金历!$N$40),0),卓尔金历!$M$43),0),1)</f>
        <v>0.67721306928390868</v>
      </c>
      <c r="M2040" s="4">
        <f>MIN(MAX(M2039*(1+MAX(MIN(((B2040-B2039)/B2039)/($K$7*30),0),-卓尔金历!$M$43))+MIN(MAX(((B2040-B2039)/B2039)/($K$7*7),0),卓尔金历!$M$43),0),1)</f>
        <v>0.83860653464195434</v>
      </c>
      <c r="N2040">
        <f t="shared" si="263"/>
        <v>750.90348453362117</v>
      </c>
      <c r="O2040">
        <f t="shared" si="264"/>
        <v>1923.0679722041223</v>
      </c>
      <c r="P2040">
        <f t="shared" si="265"/>
        <v>-2.1126125912469384E-2</v>
      </c>
      <c r="Q2040">
        <f t="shared" si="266"/>
        <v>1.8502361599780529E-2</v>
      </c>
      <c r="R2040">
        <f t="shared" si="267"/>
        <v>1.7368096429204231E-2</v>
      </c>
      <c r="S2040">
        <f t="shared" si="259"/>
        <v>16.66088204317208</v>
      </c>
      <c r="T2040" s="564">
        <f>IF((I2040-MAX(I$470:I2040))/MAX(I$470:I2040)&gt;T2039,T2039,(I2040-MAX(I$470:I2040))/MAX(I$470:I2040))</f>
        <v>-0.91338805338419748</v>
      </c>
      <c r="U2040" s="564">
        <f>IF((J2040-MAX(J$470:J2040))/MAX(J$470:J2040)&gt;U2039,U2039,(J2040-MAX(J$470:J2040))/MAX(J$470:J2040))</f>
        <v>-0.8283551177402233</v>
      </c>
      <c r="V2040" s="564">
        <f>IF((K2040-MAX(K$470:K2040))/MAX(K$470:K2040)&gt;V2039,V2039,(K2040-MAX(K$470:K2040))/MAX(K$470:K2040))</f>
        <v>-0.84885940676762139</v>
      </c>
      <c r="W2040" s="564">
        <f>IF((N2040-MAX(N$470:N2040))/MAX(N$470:N2040)&gt;W2039,W2039,(N2040-MAX(N$470:N2040))/MAX(N$470:N2040))</f>
        <v>-0.62788758315546067</v>
      </c>
      <c r="X2040" s="564">
        <f>IF((O2040-MAX(O$470:O2040))/MAX(O$470:O2040)&gt;X2039,X2039,(O2040-MAX(O$470:O2040))/MAX(O$470:O2040))</f>
        <v>-0.62788758315546067</v>
      </c>
    </row>
    <row r="2041" spans="1:24">
      <c r="A2041" s="799">
        <v>42443</v>
      </c>
      <c r="B2041">
        <v>414.49299999999999</v>
      </c>
      <c r="C2041">
        <v>518.11796700000002</v>
      </c>
      <c r="D2041">
        <v>1.3466769999999999</v>
      </c>
      <c r="E2041">
        <f>LN(D2041/参数实验室!$E$53)/参数实验室!$E$55</f>
        <v>-0.3418264480872073</v>
      </c>
      <c r="F2041">
        <f t="shared" si="258"/>
        <v>1.2500041424101251</v>
      </c>
      <c r="G2041">
        <f>LN(F2041/参数实验室!$E$58)/参数实验室!$E$59</f>
        <v>-7.3410490232868053E-2</v>
      </c>
      <c r="H2041" s="856">
        <f>INDEX(神经网络!$G$10:$BO$70,MATCH(ROUND(G2041*2,1)/2,神经网络!$E$10:$E$70,0),MATCH(ROUND(E2041*2,1)/2,神经网络!$G$8:$BO$8,0))</f>
        <v>-0.17734524066155824</v>
      </c>
      <c r="I2041">
        <f t="shared" si="260"/>
        <v>925.31403770637769</v>
      </c>
      <c r="J2041">
        <f t="shared" si="261"/>
        <v>165.39363951957188</v>
      </c>
      <c r="K2041">
        <f t="shared" si="262"/>
        <v>5.5946168207809501</v>
      </c>
      <c r="L2041" s="4">
        <f>MIN(MAX(L2040*(1+MAX(MIN(((B2041-B2040)/B2040)/($K$7*卓尔金历!$N$40),0),-卓尔金历!$M$43))+MIN(MAX(((B2041-B2040)/B2040)/($K$7*卓尔金历!$N$40),0),卓尔金历!$M$43),0),1)</f>
        <v>0.74173485576004683</v>
      </c>
      <c r="M2041" s="4">
        <f>MIN(MAX(M2040*(1+MAX(MIN(((B2041-B2040)/B2040)/($K$7*30),0),-卓尔金历!$M$43))+MIN(MAX(((B2041-B2040)/B2040)/($K$7*7),0),卓尔金历!$M$43),0),1)</f>
        <v>0.97686750566225022</v>
      </c>
      <c r="N2041">
        <f t="shared" si="263"/>
        <v>750.52264739486486</v>
      </c>
      <c r="O2041">
        <f t="shared" si="264"/>
        <v>1921.8602064244258</v>
      </c>
      <c r="P2041">
        <f t="shared" si="265"/>
        <v>4.2228952150211874E-3</v>
      </c>
      <c r="Q2041">
        <f t="shared" si="266"/>
        <v>1.855995252795874E-2</v>
      </c>
      <c r="R2041">
        <f t="shared" si="267"/>
        <v>1</v>
      </c>
      <c r="S2041">
        <f t="shared" si="259"/>
        <v>16.660665332622003</v>
      </c>
      <c r="T2041" s="564">
        <f>IF((I2041-MAX(I$470:I2041))/MAX(I$470:I2041)&gt;T2040,T2040,(I2041-MAX(I$470:I2041))/MAX(I$470:I2041))</f>
        <v>-0.91338805338419748</v>
      </c>
      <c r="U2041" s="564">
        <f>IF((J2041-MAX(J$470:J2041))/MAX(J$470:J2041)&gt;U2040,U2040,(J2041-MAX(J$470:J2041))/MAX(J$470:J2041))</f>
        <v>-0.8283551177402233</v>
      </c>
      <c r="V2041" s="564">
        <f>IF((K2041-MAX(K$470:K2041))/MAX(K$470:K2041)&gt;V2040,V2040,(K2041-MAX(K$470:K2041))/MAX(K$470:K2041))</f>
        <v>-0.84885940676762139</v>
      </c>
      <c r="W2041" s="564">
        <f>IF((N2041-MAX(N$470:N2041))/MAX(N$470:N2041)&gt;W2040,W2040,(N2041-MAX(N$470:N2041))/MAX(N$470:N2041))</f>
        <v>-0.62788758315546067</v>
      </c>
      <c r="X2041" s="564">
        <f>IF((O2041-MAX(O$470:O2041))/MAX(O$470:O2041)&gt;X2040,X2040,(O2041-MAX(O$470:O2041))/MAX(O$470:O2041))</f>
        <v>-0.62788758315546067</v>
      </c>
    </row>
    <row r="2042" spans="1:24">
      <c r="A2042" s="799">
        <v>42444</v>
      </c>
      <c r="B2042">
        <v>416.66</v>
      </c>
      <c r="C2042">
        <v>520.33582100000001</v>
      </c>
      <c r="D2042">
        <v>1.3470279999999999</v>
      </c>
      <c r="E2042">
        <f>LN(D2042/参数实验室!$E$53)/参数实验室!$E$55</f>
        <v>-0.34151899542184261</v>
      </c>
      <c r="F2042">
        <f t="shared" si="258"/>
        <v>1.2488259516152258</v>
      </c>
      <c r="G2042">
        <f>LN(F2042/参数实验室!$E$58)/参数实验室!$E$59</f>
        <v>-7.3905424441901943E-2</v>
      </c>
      <c r="H2042" s="856">
        <f>INDEX(神经网络!$G$10:$BO$70,MATCH(ROUND(G2042*2,1)/2,神经网络!$E$10:$E$70,0),MATCH(ROUND(E2042*2,1)/2,神经网络!$G$8:$BO$8,0))</f>
        <v>-0.17734524066155824</v>
      </c>
      <c r="I2042">
        <f t="shared" si="260"/>
        <v>924.45611058045097</v>
      </c>
      <c r="J2042">
        <f t="shared" si="261"/>
        <v>166.2583296755912</v>
      </c>
      <c r="K2042">
        <f t="shared" si="262"/>
        <v>5.5603596666962831</v>
      </c>
      <c r="L2042" s="4">
        <f>MIN(MAX(L2041*(1+MAX(MIN(((B2042-B2041)/B2041)/($K$7*卓尔金历!$N$40),0),-卓尔金历!$M$43))+MIN(MAX(((B2042-B2041)/B2041)/($K$7*卓尔金历!$N$40),0),卓尔金历!$M$43),0),1)</f>
        <v>0.82161480665346254</v>
      </c>
      <c r="M2042" s="4">
        <f>MIN(MAX(M2041*(1+MAX(MIN(((B2042-B2041)/B2041)/($K$7*30),0),-卓尔金历!$M$43))+MIN(MAX(((B2042-B2041)/B2041)/($K$7*7),0),卓尔金历!$M$43),0),1)</f>
        <v>1</v>
      </c>
      <c r="N2042">
        <f t="shared" si="263"/>
        <v>750.00650000134601</v>
      </c>
      <c r="O2042">
        <f t="shared" si="264"/>
        <v>1920.1195273567416</v>
      </c>
      <c r="P2042">
        <f t="shared" si="265"/>
        <v>5.2280738154806715E-3</v>
      </c>
      <c r="Q2042">
        <f t="shared" si="266"/>
        <v>1.8587817487987459E-2</v>
      </c>
      <c r="R2042">
        <f t="shared" si="267"/>
        <v>1</v>
      </c>
      <c r="S2042">
        <f t="shared" si="259"/>
        <v>16.645217996752901</v>
      </c>
      <c r="T2042" s="564">
        <f>IF((I2042-MAX(I$470:I2042))/MAX(I$470:I2042)&gt;T2041,T2041,(I2042-MAX(I$470:I2042))/MAX(I$470:I2042))</f>
        <v>-0.91338805338419748</v>
      </c>
      <c r="U2042" s="564">
        <f>IF((J2042-MAX(J$470:J2042))/MAX(J$470:J2042)&gt;U2041,U2041,(J2042-MAX(J$470:J2042))/MAX(J$470:J2042))</f>
        <v>-0.8283551177402233</v>
      </c>
      <c r="V2042" s="564">
        <f>IF((K2042-MAX(K$470:K2042))/MAX(K$470:K2042)&gt;V2041,V2041,(K2042-MAX(K$470:K2042))/MAX(K$470:K2042))</f>
        <v>-0.84885940676762139</v>
      </c>
      <c r="W2042" s="564">
        <f>IF((N2042-MAX(N$470:N2042))/MAX(N$470:N2042)&gt;W2041,W2041,(N2042-MAX(N$470:N2042))/MAX(N$470:N2042))</f>
        <v>-0.62788758315546067</v>
      </c>
      <c r="X2042" s="564">
        <f>IF((O2042-MAX(O$470:O2042))/MAX(O$470:O2042)&gt;X2041,X2041,(O2042-MAX(O$470:O2042))/MAX(O$470:O2042))</f>
        <v>-0.62788758315546067</v>
      </c>
    </row>
    <row r="2043" spans="1:24">
      <c r="A2043" s="799">
        <v>42445</v>
      </c>
      <c r="B2043">
        <v>416.81200000000001</v>
      </c>
      <c r="C2043">
        <v>520.750134</v>
      </c>
      <c r="D2043">
        <v>1.352006</v>
      </c>
      <c r="E2043">
        <f>LN(D2043/参数实验室!$E$53)/参数实验室!$E$55</f>
        <v>-0.33716720266366068</v>
      </c>
      <c r="F2043">
        <f t="shared" si="258"/>
        <v>1.2493645432473153</v>
      </c>
      <c r="G2043">
        <f>LN(F2043/参数实验室!$E$58)/参数实验室!$E$59</f>
        <v>-7.3679115038649365E-2</v>
      </c>
      <c r="H2043" s="856">
        <f>INDEX(神经网络!$G$10:$BO$70,MATCH(ROUND(G2043*2,1)/2,神经网络!$E$10:$E$70,0),MATCH(ROUND(E2043*2,1)/2,神经网络!$G$8:$BO$8,0))</f>
        <v>-0.17734524066155824</v>
      </c>
      <c r="I2043">
        <f t="shared" si="260"/>
        <v>924.39630143271756</v>
      </c>
      <c r="J2043">
        <f t="shared" si="261"/>
        <v>166.31898168468896</v>
      </c>
      <c r="K2043">
        <f t="shared" si="262"/>
        <v>5.5579723496937206</v>
      </c>
      <c r="L2043" s="4">
        <f>MIN(MAX(L2042*(1+MAX(MIN(((B2043-B2042)/B2042)/($K$7*卓尔金历!$N$40),0),-卓尔金历!$M$43))+MIN(MAX(((B2043-B2042)/B2042)/($K$7*卓尔金历!$N$40),0),卓尔金历!$M$43),0),1)</f>
        <v>0.82718868976322002</v>
      </c>
      <c r="M2043" s="4">
        <f>MIN(MAX(M2042*(1+MAX(MIN(((B2043-B2042)/B2042)/($K$7*30),0),-卓尔金历!$M$43))+MIN(MAX(((B2043-B2042)/B2042)/($K$7*7),0),卓尔金历!$M$43),0),1)</f>
        <v>1</v>
      </c>
      <c r="N2043">
        <f t="shared" si="263"/>
        <v>749.96663290543722</v>
      </c>
      <c r="O2043">
        <f t="shared" si="264"/>
        <v>1919.9953021921685</v>
      </c>
      <c r="P2043">
        <f t="shared" si="265"/>
        <v>3.648058368933586E-4</v>
      </c>
      <c r="Q2043">
        <f t="shared" si="266"/>
        <v>1.7145049420288709E-2</v>
      </c>
      <c r="R2043">
        <f t="shared" si="267"/>
        <v>1</v>
      </c>
      <c r="S2043">
        <f t="shared" si="259"/>
        <v>16.644141108092825</v>
      </c>
      <c r="T2043" s="564">
        <f>IF((I2043-MAX(I$470:I2043))/MAX(I$470:I2043)&gt;T2042,T2042,(I2043-MAX(I$470:I2043))/MAX(I$470:I2043))</f>
        <v>-0.91338805338419748</v>
      </c>
      <c r="U2043" s="564">
        <f>IF((J2043-MAX(J$470:J2043))/MAX(J$470:J2043)&gt;U2042,U2042,(J2043-MAX(J$470:J2043))/MAX(J$470:J2043))</f>
        <v>-0.8283551177402233</v>
      </c>
      <c r="V2043" s="564">
        <f>IF((K2043-MAX(K$470:K2043))/MAX(K$470:K2043)&gt;V2042,V2042,(K2043-MAX(K$470:K2043))/MAX(K$470:K2043))</f>
        <v>-0.84885940676762139</v>
      </c>
      <c r="W2043" s="564">
        <f>IF((N2043-MAX(N$470:N2043))/MAX(N$470:N2043)&gt;W2042,W2042,(N2043-MAX(N$470:N2043))/MAX(N$470:N2043))</f>
        <v>-0.62788758315546067</v>
      </c>
      <c r="X2043" s="564">
        <f>IF((O2043-MAX(O$470:O2043))/MAX(O$470:O2043)&gt;X2042,X2042,(O2043-MAX(O$470:O2043))/MAX(O$470:O2043))</f>
        <v>-0.62788758315546067</v>
      </c>
    </row>
    <row r="2044" spans="1:24">
      <c r="A2044" s="799">
        <v>42446</v>
      </c>
      <c r="B2044">
        <v>418.59500000000003</v>
      </c>
      <c r="C2044">
        <v>520.06359199999997</v>
      </c>
      <c r="D2044">
        <v>1.356387</v>
      </c>
      <c r="E2044">
        <f>LN(D2044/参数实验室!$E$53)/参数实验室!$E$55</f>
        <v>-0.33335054572379502</v>
      </c>
      <c r="F2044">
        <f t="shared" si="258"/>
        <v>1.2424027807307778</v>
      </c>
      <c r="G2044">
        <f>LN(F2044/参数实验室!$E$58)/参数实验室!$E$59</f>
        <v>-7.6611907900985793E-2</v>
      </c>
      <c r="H2044" s="856">
        <f>INDEX(神经网络!$G$10:$BO$70,MATCH(ROUND(G2044*2,1)/2,神经网络!$E$10:$E$70,0),MATCH(ROUND(E2044*2,1)/2,神经网络!$G$8:$BO$8,0))</f>
        <v>-0.26728515199184727</v>
      </c>
      <c r="I2044">
        <f t="shared" si="260"/>
        <v>923.69502560970284</v>
      </c>
      <c r="J2044">
        <f t="shared" si="261"/>
        <v>167.03044571246122</v>
      </c>
      <c r="K2044">
        <f t="shared" si="262"/>
        <v>5.5300997472030993</v>
      </c>
      <c r="L2044" s="4">
        <f>MIN(MAX(L2043*(1+MAX(MIN(((B2044-B2043)/B2043)/($K$7*卓尔金历!$N$40),0),-卓尔金历!$M$43))+MIN(MAX(((B2044-B2043)/B2043)/($K$7*卓尔金历!$N$40),0),卓尔金历!$M$43),0),1)</f>
        <v>0.89254796200801578</v>
      </c>
      <c r="M2044" s="4">
        <f>MIN(MAX(M2043*(1+MAX(MIN(((B2044-B2043)/B2043)/($K$7*30),0),-卓尔金历!$M$43))+MIN(MAX(((B2044-B2043)/B2043)/($K$7*7),0),卓尔金历!$M$43),0),1)</f>
        <v>1</v>
      </c>
      <c r="N2044">
        <f t="shared" si="263"/>
        <v>749.49600551824926</v>
      </c>
      <c r="O2044">
        <f t="shared" si="264"/>
        <v>1918.5387339609431</v>
      </c>
      <c r="P2044">
        <f t="shared" si="265"/>
        <v>4.2777079354721446E-3</v>
      </c>
      <c r="Q2044">
        <f t="shared" si="266"/>
        <v>1.702739624598807E-2</v>
      </c>
      <c r="R2044">
        <f t="shared" si="267"/>
        <v>1</v>
      </c>
      <c r="S2044">
        <f t="shared" si="259"/>
        <v>16.631514344294807</v>
      </c>
      <c r="T2044" s="564">
        <f>IF((I2044-MAX(I$470:I2044))/MAX(I$470:I2044)&gt;T2043,T2043,(I2044-MAX(I$470:I2044))/MAX(I$470:I2044))</f>
        <v>-0.91338805338419748</v>
      </c>
      <c r="U2044" s="564">
        <f>IF((J2044-MAX(J$470:J2044))/MAX(J$470:J2044)&gt;U2043,U2043,(J2044-MAX(J$470:J2044))/MAX(J$470:J2044))</f>
        <v>-0.8283551177402233</v>
      </c>
      <c r="V2044" s="564">
        <f>IF((K2044-MAX(K$470:K2044))/MAX(K$470:K2044)&gt;V2043,V2043,(K2044-MAX(K$470:K2044))/MAX(K$470:K2044))</f>
        <v>-0.84885940676762139</v>
      </c>
      <c r="W2044" s="564">
        <f>IF((N2044-MAX(N$470:N2044))/MAX(N$470:N2044)&gt;W2043,W2043,(N2044-MAX(N$470:N2044))/MAX(N$470:N2044))</f>
        <v>-0.62788758315546067</v>
      </c>
      <c r="X2044" s="564">
        <f>IF((O2044-MAX(O$470:O2044))/MAX(O$470:O2044)&gt;X2043,X2043,(O2044-MAX(O$470:O2044))/MAX(O$470:O2044))</f>
        <v>-0.62788758315546067</v>
      </c>
    </row>
    <row r="2045" spans="1:24">
      <c r="A2045" s="799">
        <v>42447</v>
      </c>
      <c r="B2045">
        <v>419.62700000000001</v>
      </c>
      <c r="C2045">
        <v>527.272155</v>
      </c>
      <c r="D2045">
        <v>1.325051</v>
      </c>
      <c r="E2045">
        <f>LN(D2045/参数实验室!$E$53)/参数实验室!$E$55</f>
        <v>-0.3609256235121065</v>
      </c>
      <c r="F2045">
        <f t="shared" si="258"/>
        <v>1.256525807443277</v>
      </c>
      <c r="G2045">
        <f>LN(F2045/参数实验室!$E$58)/参数实验室!$E$59</f>
        <v>-7.0679280111410073E-2</v>
      </c>
      <c r="H2045" s="856">
        <f>INDEX(神经网络!$G$10:$BO$70,MATCH(ROUND(G2045*2,1)/2,神经网络!$E$10:$E$70,0),MATCH(ROUND(E2045*2,1)/2,神经网络!$G$8:$BO$8,0))</f>
        <v>-0.17734524066155824</v>
      </c>
      <c r="I2045">
        <f t="shared" si="260"/>
        <v>923.08634551509056</v>
      </c>
      <c r="J2045">
        <f t="shared" si="261"/>
        <v>167.4422409321252</v>
      </c>
      <c r="K2045">
        <f t="shared" si="262"/>
        <v>5.5128642592001329</v>
      </c>
      <c r="L2045" s="4">
        <f>MIN(MAX(L2044*(1+MAX(MIN(((B2045-B2044)/B2044)/($K$7*卓尔金历!$N$40),0),-卓尔金历!$M$43))+MIN(MAX(((B2045-B2044)/B2044)/($K$7*卓尔金历!$N$40),0),卓尔金历!$M$43),0),1)</f>
        <v>0.93021675801294823</v>
      </c>
      <c r="M2045" s="4">
        <f>MIN(MAX(M2044*(1+MAX(MIN(((B2045-B2044)/B2044)/($K$7*30),0),-卓尔金历!$M$43))+MIN(MAX(((B2045-B2044)/B2044)/($K$7*7),0),卓尔金历!$M$43),0),1)</f>
        <v>1</v>
      </c>
      <c r="N2045">
        <f t="shared" si="263"/>
        <v>749.05518542721734</v>
      </c>
      <c r="O2045">
        <f t="shared" si="264"/>
        <v>1917.2744894801049</v>
      </c>
      <c r="P2045">
        <f t="shared" si="265"/>
        <v>2.4653901742734199E-3</v>
      </c>
      <c r="Q2045">
        <f t="shared" si="266"/>
        <v>1.6890442888308994E-2</v>
      </c>
      <c r="R2045">
        <f t="shared" si="267"/>
        <v>1</v>
      </c>
      <c r="S2045">
        <f t="shared" si="259"/>
        <v>16.620554805221886</v>
      </c>
      <c r="T2045" s="564">
        <f>IF((I2045-MAX(I$470:I2045))/MAX(I$470:I2045)&gt;T2044,T2044,(I2045-MAX(I$470:I2045))/MAX(I$470:I2045))</f>
        <v>-0.91338805338419748</v>
      </c>
      <c r="U2045" s="564">
        <f>IF((J2045-MAX(J$470:J2045))/MAX(J$470:J2045)&gt;U2044,U2044,(J2045-MAX(J$470:J2045))/MAX(J$470:J2045))</f>
        <v>-0.8283551177402233</v>
      </c>
      <c r="V2045" s="564">
        <f>IF((K2045-MAX(K$470:K2045))/MAX(K$470:K2045)&gt;V2044,V2044,(K2045-MAX(K$470:K2045))/MAX(K$470:K2045))</f>
        <v>-0.84885940676762139</v>
      </c>
      <c r="W2045" s="564">
        <f>IF((N2045-MAX(N$470:N2045))/MAX(N$470:N2045)&gt;W2044,W2044,(N2045-MAX(N$470:N2045))/MAX(N$470:N2045))</f>
        <v>-0.62788758315546067</v>
      </c>
      <c r="X2045" s="564">
        <f>IF((O2045-MAX(O$470:O2045))/MAX(O$470:O2045)&gt;X2044,X2044,(O2045-MAX(O$470:O2045))/MAX(O$470:O2045))</f>
        <v>-0.62788758315546067</v>
      </c>
    </row>
    <row r="2046" spans="1:24">
      <c r="A2046" s="799">
        <v>42448</v>
      </c>
      <c r="B2046">
        <v>409.13400000000001</v>
      </c>
      <c r="C2046">
        <v>539.82067500000005</v>
      </c>
      <c r="D2046">
        <v>1.3259840000000001</v>
      </c>
      <c r="E2046">
        <f>LN(D2046/参数实验室!$E$53)/参数实验室!$E$55</f>
        <v>-0.36009522344415507</v>
      </c>
      <c r="F2046">
        <f t="shared" si="258"/>
        <v>1.3194226708120078</v>
      </c>
      <c r="G2046">
        <f>LN(F2046/参数实验室!$E$58)/参数实验室!$E$59</f>
        <v>-4.5043491153270235E-2</v>
      </c>
      <c r="H2046" s="856">
        <f>INDEX(神经网络!$G$10:$BO$70,MATCH(ROUND(G2046*2,1)/2,神经网络!$E$10:$E$70,0),MATCH(ROUND(E2046*2,1)/2,神经网络!$G$8:$BO$8,0))</f>
        <v>-0.17734524066155824</v>
      </c>
      <c r="I2046">
        <f t="shared" si="260"/>
        <v>927.1798767969799</v>
      </c>
      <c r="J2046">
        <f t="shared" si="261"/>
        <v>163.25525717249869</v>
      </c>
      <c r="K2046">
        <f t="shared" si="262"/>
        <v>5.6793263068845832</v>
      </c>
      <c r="L2046" s="4">
        <f>MIN(MAX(L2045*(1+MAX(MIN(((B2046-B2045)/B2045)/($K$7*卓尔金历!$N$40),0),-卓尔金历!$M$43))+MIN(MAX(((B2046-B2045)/B2045)/($K$7*卓尔金历!$N$40),0),卓尔金历!$M$43),0),1)</f>
        <v>0.57481752496495808</v>
      </c>
      <c r="M2046" s="4">
        <f>MIN(MAX(M2045*(1+MAX(MIN(((B2046-B2045)/B2045)/($K$7*30),0),-卓尔金历!$M$43))+MIN(MAX(((B2046-B2045)/B2045)/($K$7*7),0),卓尔金历!$M$43),0),1)</f>
        <v>0.80896966756051336</v>
      </c>
      <c r="N2046">
        <f t="shared" si="263"/>
        <v>752.1451518532923</v>
      </c>
      <c r="O2046">
        <f t="shared" si="264"/>
        <v>1925.776861047822</v>
      </c>
      <c r="P2046">
        <f t="shared" si="265"/>
        <v>-2.5005540634897169E-2</v>
      </c>
      <c r="Q2046">
        <f t="shared" si="266"/>
        <v>1.6573199373107719E-2</v>
      </c>
      <c r="R2046">
        <f t="shared" si="267"/>
        <v>9.9432258610941977E-3</v>
      </c>
      <c r="S2046">
        <f t="shared" si="259"/>
        <v>16.694260543962468</v>
      </c>
      <c r="T2046" s="564">
        <f>IF((I2046-MAX(I$470:I2046))/MAX(I$470:I2046)&gt;T2045,T2045,(I2046-MAX(I$470:I2046))/MAX(I$470:I2046))</f>
        <v>-0.91338805338419748</v>
      </c>
      <c r="U2046" s="564">
        <f>IF((J2046-MAX(J$470:J2046))/MAX(J$470:J2046)&gt;U2045,U2045,(J2046-MAX(J$470:J2046))/MAX(J$470:J2046))</f>
        <v>-0.8283551177402233</v>
      </c>
      <c r="V2046" s="564">
        <f>IF((K2046-MAX(K$470:K2046))/MAX(K$470:K2046)&gt;V2045,V2045,(K2046-MAX(K$470:K2046))/MAX(K$470:K2046))</f>
        <v>-0.84885940676762139</v>
      </c>
      <c r="W2046" s="564">
        <f>IF((N2046-MAX(N$470:N2046))/MAX(N$470:N2046)&gt;W2045,W2045,(N2046-MAX(N$470:N2046))/MAX(N$470:N2046))</f>
        <v>-0.62788758315546067</v>
      </c>
      <c r="X2046" s="564">
        <f>IF((O2046-MAX(O$470:O2046))/MAX(O$470:O2046)&gt;X2045,X2045,(O2046-MAX(O$470:O2046))/MAX(O$470:O2046))</f>
        <v>-0.62788758315546067</v>
      </c>
    </row>
    <row r="2047" spans="1:24">
      <c r="A2047" s="799">
        <v>42449</v>
      </c>
      <c r="B2047">
        <v>412.65499999999997</v>
      </c>
      <c r="C2047">
        <v>539.85848299999998</v>
      </c>
      <c r="D2047">
        <v>1.335223</v>
      </c>
      <c r="E2047">
        <f>LN(D2047/参数实验室!$E$53)/参数实验室!$E$55</f>
        <v>-0.35190361413857046</v>
      </c>
      <c r="F2047">
        <f t="shared" si="258"/>
        <v>1.3082562503786457</v>
      </c>
      <c r="G2047">
        <f>LN(F2047/参数实验室!$E$58)/参数实验室!$E$59</f>
        <v>-4.9504292009253451E-2</v>
      </c>
      <c r="H2047" s="856">
        <f>INDEX(神经网络!$G$10:$BO$70,MATCH(ROUND(G2047*2,1)/2,神经网络!$E$10:$E$70,0),MATCH(ROUND(E2047*2,1)/2,神经网络!$G$8:$BO$8,0))</f>
        <v>-0.17734524066155824</v>
      </c>
      <c r="I2047">
        <f t="shared" si="260"/>
        <v>925.76478703650776</v>
      </c>
      <c r="J2047">
        <f t="shared" si="261"/>
        <v>164.66022904113919</v>
      </c>
      <c r="K2047">
        <f t="shared" si="262"/>
        <v>5.6222731647313084</v>
      </c>
      <c r="L2047" s="4">
        <f>MIN(MAX(L2046*(1+MAX(MIN(((B2047-B2046)/B2046)/($K$7*卓尔金历!$N$40),0),-卓尔金历!$M$43))+MIN(MAX(((B2047-B2046)/B2046)/($K$7*卓尔金历!$N$40),0),卓尔金历!$M$43),0),1)</f>
        <v>0.70630867737239456</v>
      </c>
      <c r="M2047" s="4">
        <f>MIN(MAX(M2046*(1+MAX(MIN(((B2047-B2046)/B2046)/($K$7*30),0),-卓尔金历!$M$43))+MIN(MAX(((B2047-B2046)/B2046)/($K$7*7),0),卓尔金历!$M$43),0),1)</f>
        <v>1</v>
      </c>
      <c r="N2047">
        <f t="shared" si="263"/>
        <v>751.48529208220157</v>
      </c>
      <c r="O2047">
        <f t="shared" si="264"/>
        <v>1923.3991548308497</v>
      </c>
      <c r="P2047">
        <f t="shared" si="265"/>
        <v>8.6059823920768205E-3</v>
      </c>
      <c r="Q2047">
        <f t="shared" si="266"/>
        <v>1.6738245389600594E-2</v>
      </c>
      <c r="R2047">
        <f t="shared" si="267"/>
        <v>0.69283698796803117</v>
      </c>
      <c r="S2047">
        <f t="shared" si="259"/>
        <v>16.69400719771096</v>
      </c>
      <c r="T2047" s="564">
        <f>IF((I2047-MAX(I$470:I2047))/MAX(I$470:I2047)&gt;T2046,T2046,(I2047-MAX(I$470:I2047))/MAX(I$470:I2047))</f>
        <v>-0.91338805338419748</v>
      </c>
      <c r="U2047" s="564">
        <f>IF((J2047-MAX(J$470:J2047))/MAX(J$470:J2047)&gt;U2046,U2046,(J2047-MAX(J$470:J2047))/MAX(J$470:J2047))</f>
        <v>-0.8283551177402233</v>
      </c>
      <c r="V2047" s="564">
        <f>IF((K2047-MAX(K$470:K2047))/MAX(K$470:K2047)&gt;V2046,V2046,(K2047-MAX(K$470:K2047))/MAX(K$470:K2047))</f>
        <v>-0.84885940676762139</v>
      </c>
      <c r="W2047" s="564">
        <f>IF((N2047-MAX(N$470:N2047))/MAX(N$470:N2047)&gt;W2046,W2046,(N2047-MAX(N$470:N2047))/MAX(N$470:N2047))</f>
        <v>-0.62788758315546067</v>
      </c>
      <c r="X2047" s="564">
        <f>IF((O2047-MAX(O$470:O2047))/MAX(O$470:O2047)&gt;X2046,X2046,(O2047-MAX(O$470:O2047))/MAX(O$470:O2047))</f>
        <v>-0.62788758315546067</v>
      </c>
    </row>
    <row r="2048" spans="1:24">
      <c r="A2048" s="799">
        <v>42450</v>
      </c>
      <c r="B2048">
        <v>412.154</v>
      </c>
      <c r="C2048">
        <v>544.39428399999997</v>
      </c>
      <c r="D2048">
        <v>1.333021</v>
      </c>
      <c r="E2048">
        <f>LN(D2048/参数实验室!$E$53)/参数实验室!$E$55</f>
        <v>-0.35385082528791145</v>
      </c>
      <c r="F2048">
        <f t="shared" si="258"/>
        <v>1.3208516331274232</v>
      </c>
      <c r="G2048">
        <f>LN(F2048/参数实验室!$E$58)/参数实验室!$E$59</f>
        <v>-4.4475370847916612E-2</v>
      </c>
      <c r="H2048" s="856">
        <f>INDEX(神经网络!$G$10:$BO$70,MATCH(ROUND(G2048*2,1)/2,神经网络!$E$10:$E$70,0),MATCH(ROUND(E2048*2,1)/2,神经网络!$G$8:$BO$8,0))</f>
        <v>-0.17734524066155824</v>
      </c>
      <c r="I2048">
        <f t="shared" si="260"/>
        <v>925.96411618423519</v>
      </c>
      <c r="J2048">
        <f t="shared" si="261"/>
        <v>164.46031682694186</v>
      </c>
      <c r="K2048">
        <f t="shared" si="262"/>
        <v>5.6303194232479061</v>
      </c>
      <c r="L2048" s="4">
        <f>MIN(MAX(L2047*(1+MAX(MIN(((B2048-B2047)/B2047)/($K$7*卓尔金历!$N$40),0),-卓尔金历!$M$43))+MIN(MAX(((B2048-B2047)/B2047)/($K$7*卓尔金历!$N$40),0),卓尔金历!$M$43),0),1)</f>
        <v>0.69320656757836641</v>
      </c>
      <c r="M2048" s="4">
        <f>MIN(MAX(M2047*(1+MAX(MIN(((B2048-B2047)/B2047)/($K$7*30),0),-卓尔金历!$M$43))+MIN(MAX(((B2048-B2047)/B2047)/($K$7*7),0),卓尔金历!$M$43),0),1)</f>
        <v>0.99072494065712846</v>
      </c>
      <c r="N2048">
        <f t="shared" si="263"/>
        <v>751.59957601551207</v>
      </c>
      <c r="O2048">
        <f t="shared" si="264"/>
        <v>1923.8132875777858</v>
      </c>
      <c r="P2048">
        <f t="shared" si="265"/>
        <v>-1.2140892513115712E-3</v>
      </c>
      <c r="Q2048">
        <f t="shared" si="266"/>
        <v>1.6730668769562279E-2</v>
      </c>
      <c r="R2048">
        <f t="shared" si="267"/>
        <v>1</v>
      </c>
      <c r="S2048">
        <f t="shared" si="259"/>
        <v>16.696497555884338</v>
      </c>
      <c r="T2048" s="564">
        <f>IF((I2048-MAX(I$470:I2048))/MAX(I$470:I2048)&gt;T2047,T2047,(I2048-MAX(I$470:I2048))/MAX(I$470:I2048))</f>
        <v>-0.91338805338419748</v>
      </c>
      <c r="U2048" s="564">
        <f>IF((J2048-MAX(J$470:J2048))/MAX(J$470:J2048)&gt;U2047,U2047,(J2048-MAX(J$470:J2048))/MAX(J$470:J2048))</f>
        <v>-0.8283551177402233</v>
      </c>
      <c r="V2048" s="564">
        <f>IF((K2048-MAX(K$470:K2048))/MAX(K$470:K2048)&gt;V2047,V2047,(K2048-MAX(K$470:K2048))/MAX(K$470:K2048))</f>
        <v>-0.84885940676762139</v>
      </c>
      <c r="W2048" s="564">
        <f>IF((N2048-MAX(N$470:N2048))/MAX(N$470:N2048)&gt;W2047,W2047,(N2048-MAX(N$470:N2048))/MAX(N$470:N2048))</f>
        <v>-0.62788758315546067</v>
      </c>
      <c r="X2048" s="564">
        <f>IF((O2048-MAX(O$470:O2048))/MAX(O$470:O2048)&gt;X2047,X2047,(O2048-MAX(O$470:O2048))/MAX(O$470:O2048))</f>
        <v>-0.62788758315546067</v>
      </c>
    </row>
    <row r="2049" spans="1:24">
      <c r="A2049" s="799">
        <v>42451</v>
      </c>
      <c r="B2049">
        <v>415.59800000000001</v>
      </c>
      <c r="C2049">
        <v>537.30802900000003</v>
      </c>
      <c r="D2049">
        <v>1.348071</v>
      </c>
      <c r="E2049">
        <f>LN(D2049/参数实验室!$E$53)/参数实验室!$E$55</f>
        <v>-0.34060586926588915</v>
      </c>
      <c r="F2049">
        <f t="shared" si="258"/>
        <v>1.2928551845774041</v>
      </c>
      <c r="G2049">
        <f>LN(F2049/参数实验室!$E$58)/参数实验室!$E$59</f>
        <v>-5.5719639808445083E-2</v>
      </c>
      <c r="H2049" s="856">
        <f>INDEX(神经网络!$G$10:$BO$70,MATCH(ROUND(G2049*2,1)/2,神经网络!$E$10:$E$70,0),MATCH(ROUND(E2049*2,1)/2,神经网络!$G$8:$BO$8,0))</f>
        <v>-0.17734524066155824</v>
      </c>
      <c r="I2049">
        <f t="shared" si="260"/>
        <v>924.59191648903709</v>
      </c>
      <c r="J2049">
        <f t="shared" si="261"/>
        <v>165.83456366465785</v>
      </c>
      <c r="K2049">
        <f t="shared" si="262"/>
        <v>5.5753872778819469</v>
      </c>
      <c r="L2049" s="4">
        <f>MIN(MAX(L2048*(1+MAX(MIN(((B2049-B2048)/B2048)/($K$7*卓尔金历!$N$40),0),-卓尔金历!$M$43))+MIN(MAX(((B2049-B2048)/B2048)/($K$7*卓尔金历!$N$40),0),卓尔金历!$M$43),0),1)</f>
        <v>0.82087975536845781</v>
      </c>
      <c r="M2049" s="4">
        <f>MIN(MAX(M2048*(1+MAX(MIN(((B2049-B2048)/B2048)/($K$7*30),0),-卓尔金历!$M$43))+MIN(MAX(((B2049-B2048)/B2048)/($K$7*7),0),卓尔金历!$M$43),0),1)</f>
        <v>1</v>
      </c>
      <c r="N2049">
        <f t="shared" si="263"/>
        <v>750.82747814119591</v>
      </c>
      <c r="O2049">
        <f t="shared" si="264"/>
        <v>1920.9888031944276</v>
      </c>
      <c r="P2049">
        <f t="shared" si="265"/>
        <v>8.3560999044047044E-3</v>
      </c>
      <c r="Q2049">
        <f t="shared" si="266"/>
        <v>1.6450851690123322E-2</v>
      </c>
      <c r="R2049">
        <f t="shared" si="267"/>
        <v>0.7054492310904481</v>
      </c>
      <c r="S2049">
        <f t="shared" si="259"/>
        <v>16.671754773246633</v>
      </c>
      <c r="T2049" s="564">
        <f>IF((I2049-MAX(I$470:I2049))/MAX(I$470:I2049)&gt;T2048,T2048,(I2049-MAX(I$470:I2049))/MAX(I$470:I2049))</f>
        <v>-0.91338805338419748</v>
      </c>
      <c r="U2049" s="564">
        <f>IF((J2049-MAX(J$470:J2049))/MAX(J$470:J2049)&gt;U2048,U2048,(J2049-MAX(J$470:J2049))/MAX(J$470:J2049))</f>
        <v>-0.8283551177402233</v>
      </c>
      <c r="V2049" s="564">
        <f>IF((K2049-MAX(K$470:K2049))/MAX(K$470:K2049)&gt;V2048,V2048,(K2049-MAX(K$470:K2049))/MAX(K$470:K2049))</f>
        <v>-0.84885940676762139</v>
      </c>
      <c r="W2049" s="564">
        <f>IF((N2049-MAX(N$470:N2049))/MAX(N$470:N2049)&gt;W2048,W2048,(N2049-MAX(N$470:N2049))/MAX(N$470:N2049))</f>
        <v>-0.62788758315546067</v>
      </c>
      <c r="X2049" s="564">
        <f>IF((O2049-MAX(O$470:O2049))/MAX(O$470:O2049)&gt;X2048,X2048,(O2049-MAX(O$470:O2049))/MAX(O$470:O2049))</f>
        <v>-0.62788758315546067</v>
      </c>
    </row>
    <row r="2050" spans="1:24">
      <c r="A2050" s="799">
        <v>42452</v>
      </c>
      <c r="B2050">
        <v>419.15199999999999</v>
      </c>
      <c r="C2050">
        <v>529.62038500000006</v>
      </c>
      <c r="D2050">
        <v>1.3502050000000001</v>
      </c>
      <c r="E2050">
        <f>LN(D2050/参数实验室!$E$53)/参数实验室!$E$55</f>
        <v>-0.33873979333626469</v>
      </c>
      <c r="F2050">
        <f t="shared" si="258"/>
        <v>1.2635520885025004</v>
      </c>
      <c r="G2050">
        <f>LN(F2050/参数实验室!$E$58)/参数实验室!$E$59</f>
        <v>-6.7752559803665971E-2</v>
      </c>
      <c r="H2050" s="856">
        <f>INDEX(神经网络!$G$10:$BO$70,MATCH(ROUND(G2050*2,1)/2,神经网络!$E$10:$E$70,0),MATCH(ROUND(E2050*2,1)/2,神经网络!$G$8:$BO$8,0))</f>
        <v>-0.17734524066155824</v>
      </c>
      <c r="I2050">
        <f t="shared" si="260"/>
        <v>923.18970473031084</v>
      </c>
      <c r="J2050">
        <f t="shared" si="261"/>
        <v>167.2527034036946</v>
      </c>
      <c r="K2050">
        <f t="shared" si="262"/>
        <v>5.5197296422888051</v>
      </c>
      <c r="L2050" s="4">
        <f>MIN(MAX(L2049*(1+MAX(MIN(((B2050-B2049)/B2049)/($K$7*卓尔金历!$N$40),0),-卓尔金历!$M$43))+MIN(MAX(((B2050-B2049)/B2049)/($K$7*卓尔金历!$N$40),0),卓尔金历!$M$43),0),1)</f>
        <v>0.95153897288474354</v>
      </c>
      <c r="M2050" s="4">
        <f>MIN(MAX(M2049*(1+MAX(MIN(((B2050-B2049)/B2049)/($K$7*30),0),-卓尔金历!$M$43))+MIN(MAX(((B2050-B2049)/B2049)/($K$7*7),0),卓尔金历!$M$43),0),1)</f>
        <v>1</v>
      </c>
      <c r="N2050">
        <f t="shared" si="263"/>
        <v>749.89275452407264</v>
      </c>
      <c r="O2050">
        <f t="shared" si="264"/>
        <v>1918.0754821495614</v>
      </c>
      <c r="P2050">
        <f t="shared" si="265"/>
        <v>8.5515329717659218E-3</v>
      </c>
      <c r="Q2050">
        <f t="shared" si="266"/>
        <v>1.6546950968010492E-2</v>
      </c>
      <c r="R2050">
        <f t="shared" si="267"/>
        <v>0.68740120711793185</v>
      </c>
      <c r="S2050">
        <f t="shared" si="259"/>
        <v>16.653918234131741</v>
      </c>
      <c r="T2050" s="564">
        <f>IF((I2050-MAX(I$470:I2050))/MAX(I$470:I2050)&gt;T2049,T2049,(I2050-MAX(I$470:I2050))/MAX(I$470:I2050))</f>
        <v>-0.91338805338419748</v>
      </c>
      <c r="U2050" s="564">
        <f>IF((J2050-MAX(J$470:J2050))/MAX(J$470:J2050)&gt;U2049,U2049,(J2050-MAX(J$470:J2050))/MAX(J$470:J2050))</f>
        <v>-0.8283551177402233</v>
      </c>
      <c r="V2050" s="564">
        <f>IF((K2050-MAX(K$470:K2050))/MAX(K$470:K2050)&gt;V2049,V2049,(K2050-MAX(K$470:K2050))/MAX(K$470:K2050))</f>
        <v>-0.84885940676762139</v>
      </c>
      <c r="W2050" s="564">
        <f>IF((N2050-MAX(N$470:N2050))/MAX(N$470:N2050)&gt;W2049,W2049,(N2050-MAX(N$470:N2050))/MAX(N$470:N2050))</f>
        <v>-0.62788758315546067</v>
      </c>
      <c r="X2050" s="564">
        <f>IF((O2050-MAX(O$470:O2050))/MAX(O$470:O2050)&gt;X2049,X2049,(O2050-MAX(O$470:O2050))/MAX(O$470:O2050))</f>
        <v>-0.62788758315546067</v>
      </c>
    </row>
    <row r="2051" spans="1:24">
      <c r="A2051" s="799">
        <v>42453</v>
      </c>
      <c r="B2051">
        <v>417.74599999999998</v>
      </c>
      <c r="C2051">
        <v>526.03223600000001</v>
      </c>
      <c r="D2051">
        <v>1.3372980000000001</v>
      </c>
      <c r="E2051">
        <f>LN(D2051/参数实验室!$E$53)/参数实验室!$E$55</f>
        <v>-0.35007164464373891</v>
      </c>
      <c r="F2051">
        <f t="shared" si="258"/>
        <v>1.2592154945828327</v>
      </c>
      <c r="G2051">
        <f>LN(F2051/参数实验室!$E$58)/参数实验室!$E$59</f>
        <v>-6.9556991657847456E-2</v>
      </c>
      <c r="H2051" s="856">
        <f>INDEX(神经网络!$G$10:$BO$70,MATCH(ROUND(G2051*2,1)/2,神经网络!$E$10:$E$70,0),MATCH(ROUND(E2051*2,1)/2,神经网络!$G$8:$BO$8,0))</f>
        <v>-0.17734524066155824</v>
      </c>
      <c r="I2051">
        <f t="shared" si="260"/>
        <v>923.73889681410981</v>
      </c>
      <c r="J2051">
        <f t="shared" si="261"/>
        <v>166.69167231953995</v>
      </c>
      <c r="K2051">
        <f t="shared" si="262"/>
        <v>5.5416019526359221</v>
      </c>
      <c r="L2051" s="4">
        <f>MIN(MAX(L2050*(1+MAX(MIN(((B2051-B2050)/B2050)/($K$7*卓尔金历!$N$40),0),-卓尔金历!$M$43))+MIN(MAX(((B2051-B2050)/B2050)/($K$7*卓尔金历!$N$40),0),卓尔金历!$M$43),0),1)</f>
        <v>0.90277080537238064</v>
      </c>
      <c r="M2051" s="4">
        <f>MIN(MAX(M2050*(1+MAX(MIN(((B2051-B2050)/B2050)/($K$7*30),0),-卓尔金历!$M$43))+MIN(MAX(((B2051-B2050)/B2050)/($K$7*7),0),卓尔金历!$M$43),0),1)</f>
        <v>0.97437405671124833</v>
      </c>
      <c r="N2051">
        <f t="shared" si="263"/>
        <v>750.31723630436318</v>
      </c>
      <c r="O2051">
        <f t="shared" si="264"/>
        <v>1919.2165172645848</v>
      </c>
      <c r="P2051">
        <f t="shared" si="265"/>
        <v>-3.3543917242432482E-3</v>
      </c>
      <c r="Q2051">
        <f t="shared" si="266"/>
        <v>1.501124385510934E-2</v>
      </c>
      <c r="R2051">
        <f t="shared" si="267"/>
        <v>1</v>
      </c>
      <c r="S2051">
        <f t="shared" si="259"/>
        <v>16.660728436767762</v>
      </c>
      <c r="T2051" s="564">
        <f>IF((I2051-MAX(I$470:I2051))/MAX(I$470:I2051)&gt;T2050,T2050,(I2051-MAX(I$470:I2051))/MAX(I$470:I2051))</f>
        <v>-0.91338805338419748</v>
      </c>
      <c r="U2051" s="564">
        <f>IF((J2051-MAX(J$470:J2051))/MAX(J$470:J2051)&gt;U2050,U2050,(J2051-MAX(J$470:J2051))/MAX(J$470:J2051))</f>
        <v>-0.8283551177402233</v>
      </c>
      <c r="V2051" s="564">
        <f>IF((K2051-MAX(K$470:K2051))/MAX(K$470:K2051)&gt;V2050,V2050,(K2051-MAX(K$470:K2051))/MAX(K$470:K2051))</f>
        <v>-0.84885940676762139</v>
      </c>
      <c r="W2051" s="564">
        <f>IF((N2051-MAX(N$470:N2051))/MAX(N$470:N2051)&gt;W2050,W2050,(N2051-MAX(N$470:N2051))/MAX(N$470:N2051))</f>
        <v>-0.62788758315546067</v>
      </c>
      <c r="X2051" s="564">
        <f>IF((O2051-MAX(O$470:O2051))/MAX(O$470:O2051)&gt;X2050,X2050,(O2051-MAX(O$470:O2051))/MAX(O$470:O2051))</f>
        <v>-0.62788758315546067</v>
      </c>
    </row>
    <row r="2052" spans="1:24">
      <c r="A2052" s="799">
        <v>42454</v>
      </c>
      <c r="B2052">
        <v>416.83199999999999</v>
      </c>
      <c r="C2052">
        <v>516.43607399999996</v>
      </c>
      <c r="D2052">
        <v>1.3455509999999999</v>
      </c>
      <c r="E2052">
        <f>LN(D2052/参数实验室!$E$53)/参数实验室!$E$55</f>
        <v>-0.34281329038300828</v>
      </c>
      <c r="F2052">
        <f t="shared" si="258"/>
        <v>1.238954960271764</v>
      </c>
      <c r="G2052">
        <f>LN(F2052/参数实验室!$E$58)/参数实验室!$E$59</f>
        <v>-7.8070467174741712E-2</v>
      </c>
      <c r="H2052" s="856">
        <f>INDEX(神经网络!$G$10:$BO$70,MATCH(ROUND(G2052*2,1)/2,神经网络!$E$10:$E$70,0),MATCH(ROUND(E2052*2,1)/2,神经网络!$G$8:$BO$8,0))</f>
        <v>-0.26728515199184727</v>
      </c>
      <c r="I2052">
        <f t="shared" si="260"/>
        <v>924.09732542150516</v>
      </c>
      <c r="J2052">
        <f t="shared" si="261"/>
        <v>166.32696221220186</v>
      </c>
      <c r="K2052">
        <f t="shared" si="262"/>
        <v>5.5559081530180965</v>
      </c>
      <c r="L2052" s="4">
        <f>MIN(MAX(L2051*(1+MAX(MIN(((B2052-B2051)/B2051)/($K$7*卓尔金历!$N$40),0),-卓尔金历!$M$43))+MIN(MAX(((B2052-B2051)/B2051)/($K$7*卓尔金历!$N$40),0),卓尔金历!$M$43),0),1)</f>
        <v>0.87259162226655851</v>
      </c>
      <c r="M2052" s="4">
        <f>MIN(MAX(M2051*(1+MAX(MIN(((B2052-B2051)/B2051)/($K$7*30),0),-卓尔金历!$M$43))+MIN(MAX(((B2052-B2051)/B2051)/($K$7*7),0),卓尔金历!$M$43),0),1)</f>
        <v>0.95808763445653111</v>
      </c>
      <c r="N2052">
        <f t="shared" si="263"/>
        <v>750.58006686582542</v>
      </c>
      <c r="O2052">
        <f t="shared" si="264"/>
        <v>1919.9421270289793</v>
      </c>
      <c r="P2052">
        <f t="shared" si="265"/>
        <v>-2.1879323799629136E-3</v>
      </c>
      <c r="Q2052">
        <f t="shared" si="266"/>
        <v>1.4974651773915904E-2</v>
      </c>
      <c r="R2052">
        <f t="shared" si="267"/>
        <v>1</v>
      </c>
      <c r="S2052">
        <f t="shared" si="259"/>
        <v>16.667193122527319</v>
      </c>
      <c r="T2052" s="564">
        <f>IF((I2052-MAX(I$470:I2052))/MAX(I$470:I2052)&gt;T2051,T2051,(I2052-MAX(I$470:I2052))/MAX(I$470:I2052))</f>
        <v>-0.91338805338419748</v>
      </c>
      <c r="U2052" s="564">
        <f>IF((J2052-MAX(J$470:J2052))/MAX(J$470:J2052)&gt;U2051,U2051,(J2052-MAX(J$470:J2052))/MAX(J$470:J2052))</f>
        <v>-0.8283551177402233</v>
      </c>
      <c r="V2052" s="564">
        <f>IF((K2052-MAX(K$470:K2052))/MAX(K$470:K2052)&gt;V2051,V2051,(K2052-MAX(K$470:K2052))/MAX(K$470:K2052))</f>
        <v>-0.84885940676762139</v>
      </c>
      <c r="W2052" s="564">
        <f>IF((N2052-MAX(N$470:N2052))/MAX(N$470:N2052)&gt;W2051,W2051,(N2052-MAX(N$470:N2052))/MAX(N$470:N2052))</f>
        <v>-0.62788758315546067</v>
      </c>
      <c r="X2052" s="564">
        <f>IF((O2052-MAX(O$470:O2052))/MAX(O$470:O2052)&gt;X2051,X2051,(O2052-MAX(O$470:O2052))/MAX(O$470:O2052))</f>
        <v>-0.62788758315546067</v>
      </c>
    </row>
    <row r="2053" spans="1:24">
      <c r="A2053" s="799">
        <v>42455</v>
      </c>
      <c r="B2053">
        <v>418.25799999999998</v>
      </c>
      <c r="C2053">
        <v>517.55518800000004</v>
      </c>
      <c r="D2053">
        <v>1.3462810000000001</v>
      </c>
      <c r="E2053">
        <f>LN(D2053/参数实验室!$E$53)/参数实验室!$E$55</f>
        <v>-0.34217341397971662</v>
      </c>
      <c r="F2053">
        <f t="shared" ref="F2053:F2116" si="268">C2053/B2053</f>
        <v>1.2374065481114529</v>
      </c>
      <c r="G2053">
        <f>LN(F2053/参数实验室!$E$58)/参数实验室!$E$59</f>
        <v>-7.872682569578783E-2</v>
      </c>
      <c r="H2053" s="856">
        <f>INDEX(神经网络!$G$10:$BO$70,MATCH(ROUND(G2053*2,1)/2,神经网络!$E$10:$E$70,0),MATCH(ROUND(E2053*2,1)/2,神经网络!$G$8:$BO$8,0))</f>
        <v>-0.26728515199184727</v>
      </c>
      <c r="I2053">
        <f t="shared" si="260"/>
        <v>923.25233648937217</v>
      </c>
      <c r="J2053">
        <f t="shared" si="261"/>
        <v>166.89597382386938</v>
      </c>
      <c r="K2053">
        <f t="shared" si="262"/>
        <v>5.5319029892459222</v>
      </c>
      <c r="L2053" s="4">
        <f>MIN(MAX(L2052*(1+MAX(MIN(((B2053-B2052)/B2052)/($K$7*卓尔金历!$N$40),0),-卓尔金历!$M$43))+MIN(MAX(((B2053-B2052)/B2052)/($K$7*卓尔金历!$N$40),0),卓尔金历!$M$43),0),1)</f>
        <v>0.9248618692009809</v>
      </c>
      <c r="M2053" s="4">
        <f>MIN(MAX(M2052*(1+MAX(MIN(((B2053-B2052)/B2052)/($K$7*30),0),-卓尔金历!$M$43))+MIN(MAX(((B2053-B2052)/B2052)/($K$7*7),0),卓尔金历!$M$43),0),1)</f>
        <v>1</v>
      </c>
      <c r="N2053">
        <f t="shared" si="263"/>
        <v>749.98118471029295</v>
      </c>
      <c r="O2053">
        <f t="shared" si="264"/>
        <v>1918.2601243618269</v>
      </c>
      <c r="P2053">
        <f t="shared" si="265"/>
        <v>3.421042530323938E-3</v>
      </c>
      <c r="Q2053">
        <f t="shared" si="266"/>
        <v>1.3235487504270688E-2</v>
      </c>
      <c r="R2053">
        <f t="shared" si="267"/>
        <v>1</v>
      </c>
      <c r="S2053">
        <f t="shared" si="259"/>
        <v>16.65195274326117</v>
      </c>
      <c r="T2053" s="564">
        <f>IF((I2053-MAX(I$470:I2053))/MAX(I$470:I2053)&gt;T2052,T2052,(I2053-MAX(I$470:I2053))/MAX(I$470:I2053))</f>
        <v>-0.91338805338419748</v>
      </c>
      <c r="U2053" s="564">
        <f>IF((J2053-MAX(J$470:J2053))/MAX(J$470:J2053)&gt;U2052,U2052,(J2053-MAX(J$470:J2053))/MAX(J$470:J2053))</f>
        <v>-0.8283551177402233</v>
      </c>
      <c r="V2053" s="564">
        <f>IF((K2053-MAX(K$470:K2053))/MAX(K$470:K2053)&gt;V2052,V2052,(K2053-MAX(K$470:K2053))/MAX(K$470:K2053))</f>
        <v>-0.84885940676762139</v>
      </c>
      <c r="W2053" s="564">
        <f>IF((N2053-MAX(N$470:N2053))/MAX(N$470:N2053)&gt;W2052,W2052,(N2053-MAX(N$470:N2053))/MAX(N$470:N2053))</f>
        <v>-0.62788758315546067</v>
      </c>
      <c r="X2053" s="564">
        <f>IF((O2053-MAX(O$470:O2053))/MAX(O$470:O2053)&gt;X2052,X2052,(O2053-MAX(O$470:O2053))/MAX(O$470:O2053))</f>
        <v>-0.62788758315546067</v>
      </c>
    </row>
    <row r="2054" spans="1:24">
      <c r="A2054" s="799">
        <v>42456</v>
      </c>
      <c r="B2054">
        <v>418.01900000000001</v>
      </c>
      <c r="C2054">
        <v>517.58285599999999</v>
      </c>
      <c r="D2054">
        <v>1.37287</v>
      </c>
      <c r="E2054">
        <f>LN(D2054/参数实验室!$E$53)/参数实验室!$E$55</f>
        <v>-0.31910043358805307</v>
      </c>
      <c r="F2054">
        <f t="shared" si="268"/>
        <v>1.238180216688715</v>
      </c>
      <c r="G2054">
        <f>LN(F2054/参数实验室!$E$58)/参数实验室!$E$59</f>
        <v>-7.8398771676615644E-2</v>
      </c>
      <c r="H2054" s="856">
        <f>INDEX(神经网络!$G$10:$BO$70,MATCH(ROUND(G2054*2,1)/2,神经网络!$E$10:$E$70,0),MATCH(ROUND(E2054*2,1)/2,神经网络!$G$8:$BO$8,0))</f>
        <v>-0.2235375171131401</v>
      </c>
      <c r="I2054">
        <f t="shared" si="260"/>
        <v>923.39334615857013</v>
      </c>
      <c r="J2054">
        <f t="shared" si="261"/>
        <v>166.80060652009061</v>
      </c>
      <c r="K2054">
        <f t="shared" si="262"/>
        <v>5.5359112021415235</v>
      </c>
      <c r="L2054" s="4">
        <f>MIN(MAX(L2053*(1+MAX(MIN(((B2054-B2053)/B2053)/($K$7*卓尔金历!$N$40),0),-卓尔金历!$M$43))+MIN(MAX(((B2054-B2053)/B2053)/($K$7*卓尔金历!$N$40),0),卓尔金历!$M$43),0),1)</f>
        <v>0.91678716545533701</v>
      </c>
      <c r="M2054" s="4">
        <f>MIN(MAX(M2053*(1+MAX(MIN(((B2054-B2053)/B2053)/($K$7*30),0),-卓尔金历!$M$43))+MIN(MAX(((B2054-B2053)/B2053)/($K$7*7),0),卓尔金历!$M$43),0),1)</f>
        <v>0.99563464339133156</v>
      </c>
      <c r="N2054">
        <f t="shared" si="263"/>
        <v>750.08712367412841</v>
      </c>
      <c r="O2054">
        <f t="shared" si="264"/>
        <v>1918.5531030144457</v>
      </c>
      <c r="P2054">
        <f t="shared" si="265"/>
        <v>-5.714176417425989E-4</v>
      </c>
      <c r="Q2054">
        <f t="shared" si="266"/>
        <v>1.1004710604593527E-2</v>
      </c>
      <c r="R2054">
        <f t="shared" si="267"/>
        <v>1</v>
      </c>
      <c r="S2054">
        <f t="shared" si="259"/>
        <v>16.654496020169361</v>
      </c>
      <c r="T2054" s="564">
        <f>IF((I2054-MAX(I$470:I2054))/MAX(I$470:I2054)&gt;T2053,T2053,(I2054-MAX(I$470:I2054))/MAX(I$470:I2054))</f>
        <v>-0.91338805338419748</v>
      </c>
      <c r="U2054" s="564">
        <f>IF((J2054-MAX(J$470:J2054))/MAX(J$470:J2054)&gt;U2053,U2053,(J2054-MAX(J$470:J2054))/MAX(J$470:J2054))</f>
        <v>-0.8283551177402233</v>
      </c>
      <c r="V2054" s="564">
        <f>IF((K2054-MAX(K$470:K2054))/MAX(K$470:K2054)&gt;V2053,V2053,(K2054-MAX(K$470:K2054))/MAX(K$470:K2054))</f>
        <v>-0.84885940676762139</v>
      </c>
      <c r="W2054" s="564">
        <f>IF((N2054-MAX(N$470:N2054))/MAX(N$470:N2054)&gt;W2053,W2053,(N2054-MAX(N$470:N2054))/MAX(N$470:N2054))</f>
        <v>-0.62788758315546067</v>
      </c>
      <c r="X2054" s="564">
        <f>IF((O2054-MAX(O$470:O2054))/MAX(O$470:O2054)&gt;X2053,X2053,(O2054-MAX(O$470:O2054))/MAX(O$470:O2054))</f>
        <v>-0.62788758315546067</v>
      </c>
    </row>
    <row r="2055" spans="1:24">
      <c r="A2055" s="799">
        <v>42457</v>
      </c>
      <c r="B2055">
        <v>425.553</v>
      </c>
      <c r="C2055">
        <v>509.99192399999998</v>
      </c>
      <c r="D2055">
        <v>1.3637570000000001</v>
      </c>
      <c r="E2055">
        <f>LN(D2055/参数实验室!$E$53)/参数实验室!$E$55</f>
        <v>-0.32695764690365803</v>
      </c>
      <c r="F2055">
        <f t="shared" si="268"/>
        <v>1.1984216396077574</v>
      </c>
      <c r="G2055">
        <f>LN(F2055/参数实验室!$E$58)/参数实验室!$E$59</f>
        <v>-9.552861352474637E-2</v>
      </c>
      <c r="H2055" s="856">
        <f>INDEX(神经网络!$G$10:$BO$70,MATCH(ROUND(G2055*2,1)/2,神经网络!$E$10:$E$70,0),MATCH(ROUND(E2055*2,1)/2,神经网络!$G$8:$BO$8,0))</f>
        <v>-0.26728515199184727</v>
      </c>
      <c r="I2055">
        <f t="shared" si="260"/>
        <v>919.67314214082364</v>
      </c>
      <c r="J2055">
        <f t="shared" si="261"/>
        <v>169.80687123418818</v>
      </c>
      <c r="K2055">
        <f t="shared" si="262"/>
        <v>5.4159948620245268</v>
      </c>
      <c r="L2055" s="4">
        <f>MIN(MAX(L2054*(1+MAX(MIN(((B2055-B2054)/B2054)/($K$7*卓尔金历!$N$40),0),-卓尔金历!$M$43))+MIN(MAX(((B2055-B2054)/B2054)/($K$7*卓尔金历!$N$40),0),卓尔金历!$M$43),0),1)</f>
        <v>1</v>
      </c>
      <c r="M2055" s="4">
        <f>MIN(MAX(M2054*(1+MAX(MIN(((B2055-B2054)/B2054)/($K$7*30),0),-卓尔金历!$M$43))+MIN(MAX(((B2055-B2054)/B2054)/($K$7*7),0),卓尔金历!$M$43),0),1)</f>
        <v>1</v>
      </c>
      <c r="N2055">
        <f t="shared" si="263"/>
        <v>747.31661029542602</v>
      </c>
      <c r="O2055">
        <f t="shared" si="264"/>
        <v>1910.8573018087345</v>
      </c>
      <c r="P2055">
        <f t="shared" si="265"/>
        <v>1.8023104212966375E-2</v>
      </c>
      <c r="Q2055">
        <f t="shared" si="266"/>
        <v>1.0142300006788393E-2</v>
      </c>
      <c r="R2055">
        <f t="shared" si="267"/>
        <v>4.6776655398778578E-3</v>
      </c>
      <c r="S2055">
        <f t="shared" si="259"/>
        <v>16.587397720982423</v>
      </c>
      <c r="T2055" s="564">
        <f>IF((I2055-MAX(I$470:I2055))/MAX(I$470:I2055)&gt;T2054,T2054,(I2055-MAX(I$470:I2055))/MAX(I$470:I2055))</f>
        <v>-0.91338805338419748</v>
      </c>
      <c r="U2055" s="564">
        <f>IF((J2055-MAX(J$470:J2055))/MAX(J$470:J2055)&gt;U2054,U2054,(J2055-MAX(J$470:J2055))/MAX(J$470:J2055))</f>
        <v>-0.8283551177402233</v>
      </c>
      <c r="V2055" s="564">
        <f>IF((K2055-MAX(K$470:K2055))/MAX(K$470:K2055)&gt;V2054,V2054,(K2055-MAX(K$470:K2055))/MAX(K$470:K2055))</f>
        <v>-0.84885940676762139</v>
      </c>
      <c r="W2055" s="564">
        <f>IF((N2055-MAX(N$470:N2055))/MAX(N$470:N2055)&gt;W2054,W2054,(N2055-MAX(N$470:N2055))/MAX(N$470:N2055))</f>
        <v>-0.62788758315546067</v>
      </c>
      <c r="X2055" s="564">
        <f>IF((O2055-MAX(O$470:O2055))/MAX(O$470:O2055)&gt;X2054,X2054,(O2055-MAX(O$470:O2055))/MAX(O$470:O2055))</f>
        <v>-0.62788758315546067</v>
      </c>
    </row>
    <row r="2056" spans="1:24">
      <c r="A2056" s="799">
        <v>42458</v>
      </c>
      <c r="B2056">
        <v>425.678</v>
      </c>
      <c r="C2056">
        <v>502.51894399999998</v>
      </c>
      <c r="D2056">
        <v>1.340889</v>
      </c>
      <c r="E2056">
        <f>LN(D2056/参数实验室!$E$53)/参数实验室!$E$55</f>
        <v>-0.3469079399151736</v>
      </c>
      <c r="F2056">
        <f t="shared" si="268"/>
        <v>1.1805142478587101</v>
      </c>
      <c r="G2056">
        <f>LN(F2056/参数实验室!$E$58)/参数实验室!$E$59</f>
        <v>-0.10343041914860847</v>
      </c>
      <c r="H2056" s="856">
        <f>INDEX(神经网络!$G$10:$BO$70,MATCH(ROUND(G2056*2,1)/2,神经网络!$E$10:$E$70,0),MATCH(ROUND(E2056*2,1)/2,神经网络!$G$8:$BO$8,0))</f>
        <v>-0.26728515199184727</v>
      </c>
      <c r="I2056">
        <f t="shared" si="260"/>
        <v>919.60093756948356</v>
      </c>
      <c r="J2056">
        <f t="shared" si="261"/>
        <v>169.85674953114361</v>
      </c>
      <c r="K2056">
        <f t="shared" si="262"/>
        <v>5.4139793685435667</v>
      </c>
      <c r="L2056" s="4">
        <f>MIN(MAX(L2055*(1+MAX(MIN(((B2056-B2055)/B2055)/($K$7*卓尔金历!$N$40),0),-卓尔金历!$M$43))+MIN(MAX(((B2056-B2055)/B2055)/($K$7*卓尔金历!$N$40),0),卓尔金历!$M$43),0),1)</f>
        <v>1</v>
      </c>
      <c r="M2056" s="4">
        <f>MIN(MAX(M2055*(1+MAX(MIN(((B2056-B2055)/B2055)/($K$7*30),0),-卓尔金历!$M$43))+MIN(MAX(((B2056-B2055)/B2055)/($K$7*7),0),卓尔金历!$M$43),0),1)</f>
        <v>1</v>
      </c>
      <c r="N2056">
        <f t="shared" si="263"/>
        <v>747.25793762898707</v>
      </c>
      <c r="O2056">
        <f t="shared" si="264"/>
        <v>1910.7072782557491</v>
      </c>
      <c r="P2056">
        <f t="shared" si="265"/>
        <v>2.9373544540867998E-4</v>
      </c>
      <c r="Q2056">
        <f t="shared" si="266"/>
        <v>9.5305239962607188E-3</v>
      </c>
      <c r="R2056">
        <f t="shared" si="267"/>
        <v>1</v>
      </c>
      <c r="S2056">
        <f t="shared" si="259"/>
        <v>16.587391629280923</v>
      </c>
      <c r="T2056" s="564">
        <f>IF((I2056-MAX(I$470:I2056))/MAX(I$470:I2056)&gt;T2055,T2055,(I2056-MAX(I$470:I2056))/MAX(I$470:I2056))</f>
        <v>-0.91338805338419748</v>
      </c>
      <c r="U2056" s="564">
        <f>IF((J2056-MAX(J$470:J2056))/MAX(J$470:J2056)&gt;U2055,U2055,(J2056-MAX(J$470:J2056))/MAX(J$470:J2056))</f>
        <v>-0.8283551177402233</v>
      </c>
      <c r="V2056" s="564">
        <f>IF((K2056-MAX(K$470:K2056))/MAX(K$470:K2056)&gt;V2055,V2055,(K2056-MAX(K$470:K2056))/MAX(K$470:K2056))</f>
        <v>-0.84885940676762139</v>
      </c>
      <c r="W2056" s="564">
        <f>IF((N2056-MAX(N$470:N2056))/MAX(N$470:N2056)&gt;W2055,W2055,(N2056-MAX(N$470:N2056))/MAX(N$470:N2056))</f>
        <v>-0.62788758315546067</v>
      </c>
      <c r="X2056" s="564">
        <f>IF((O2056-MAX(O$470:O2056))/MAX(O$470:O2056)&gt;X2055,X2055,(O2056-MAX(O$470:O2056))/MAX(O$470:O2056))</f>
        <v>-0.62788758315546067</v>
      </c>
    </row>
    <row r="2057" spans="1:24">
      <c r="A2057" s="799">
        <v>42459</v>
      </c>
      <c r="B2057">
        <v>416.22800000000001</v>
      </c>
      <c r="C2057">
        <v>498.17715600000002</v>
      </c>
      <c r="D2057">
        <v>1.330819</v>
      </c>
      <c r="E2057">
        <f>LN(D2057/参数实验室!$E$53)/参数实验室!$E$55</f>
        <v>-0.35580125567031634</v>
      </c>
      <c r="F2057">
        <f t="shared" si="268"/>
        <v>1.1968852551966711</v>
      </c>
      <c r="G2057">
        <f>LN(F2057/参数实验室!$E$58)/参数实验室!$E$59</f>
        <v>-9.6201911532796947E-2</v>
      </c>
      <c r="H2057" s="856">
        <f>INDEX(神经网络!$G$10:$BO$70,MATCH(ROUND(G2057*2,1)/2,神经网络!$E$10:$E$70,0),MATCH(ROUND(E2057*2,1)/2,神经网络!$G$8:$BO$8,0))</f>
        <v>-0.26728515199184727</v>
      </c>
      <c r="I2057">
        <f t="shared" si="260"/>
        <v>925.05757178994475</v>
      </c>
      <c r="J2057">
        <f t="shared" si="261"/>
        <v>166.08595028131322</v>
      </c>
      <c r="K2057">
        <f t="shared" si="262"/>
        <v>5.569752108610631</v>
      </c>
      <c r="L2057" s="4">
        <f>MIN(MAX(L2056*(1+MAX(MIN(((B2057-B2056)/B2056)/($K$7*卓尔金历!$N$40),0),-卓尔金历!$M$43))+MIN(MAX(((B2057-B2056)/B2056)/($K$7*卓尔金历!$N$40),0),卓尔金历!$M$43),0),1)</f>
        <v>0.66080715584692129</v>
      </c>
      <c r="M2057" s="4">
        <f>MIN(MAX(M2056*(1+MAX(MIN(((B2057-B2056)/B2056)/($K$7*30),0),-卓尔金历!$M$43))+MIN(MAX(((B2057-B2056)/B2056)/($K$7*7),0),卓尔金历!$M$43),0),1)</f>
        <v>0.83040357792346065</v>
      </c>
      <c r="N2057">
        <f t="shared" si="263"/>
        <v>751.69194053980891</v>
      </c>
      <c r="O2057">
        <f t="shared" si="264"/>
        <v>1922.0448381623</v>
      </c>
      <c r="P2057">
        <f t="shared" si="265"/>
        <v>-2.2199878781614245E-2</v>
      </c>
      <c r="Q2057">
        <f t="shared" si="266"/>
        <v>1.0687615450831061E-2</v>
      </c>
      <c r="R2057">
        <f t="shared" si="267"/>
        <v>2.563699595045976E-3</v>
      </c>
      <c r="S2057">
        <f t="shared" si="259"/>
        <v>16.685816201391241</v>
      </c>
      <c r="T2057" s="564">
        <f>IF((I2057-MAX(I$470:I2057))/MAX(I$470:I2057)&gt;T2056,T2056,(I2057-MAX(I$470:I2057))/MAX(I$470:I2057))</f>
        <v>-0.91338805338419748</v>
      </c>
      <c r="U2057" s="564">
        <f>IF((J2057-MAX(J$470:J2057))/MAX(J$470:J2057)&gt;U2056,U2056,(J2057-MAX(J$470:J2057))/MAX(J$470:J2057))</f>
        <v>-0.8283551177402233</v>
      </c>
      <c r="V2057" s="564">
        <f>IF((K2057-MAX(K$470:K2057))/MAX(K$470:K2057)&gt;V2056,V2056,(K2057-MAX(K$470:K2057))/MAX(K$470:K2057))</f>
        <v>-0.84885940676762139</v>
      </c>
      <c r="W2057" s="564">
        <f>IF((N2057-MAX(N$470:N2057))/MAX(N$470:N2057)&gt;W2056,W2056,(N2057-MAX(N$470:N2057))/MAX(N$470:N2057))</f>
        <v>-0.62788758315546067</v>
      </c>
      <c r="X2057" s="564">
        <f>IF((O2057-MAX(O$470:O2057))/MAX(O$470:O2057)&gt;X2056,X2056,(O2057-MAX(O$470:O2057))/MAX(O$470:O2057))</f>
        <v>-0.62788758315546067</v>
      </c>
    </row>
    <row r="2058" spans="1:24">
      <c r="A2058" s="799">
        <v>42460</v>
      </c>
      <c r="B2058">
        <v>416.803</v>
      </c>
      <c r="C2058">
        <v>504.25135699999998</v>
      </c>
      <c r="D2058">
        <v>1.3403929999999999</v>
      </c>
      <c r="E2058">
        <f>LN(D2058/参数实验室!$E$53)/参数实验室!$E$55</f>
        <v>-0.34734441591112258</v>
      </c>
      <c r="F2058">
        <f t="shared" si="268"/>
        <v>1.2098074078161625</v>
      </c>
      <c r="G2058">
        <f>LN(F2058/参数实验室!$E$58)/参数实验室!$E$59</f>
        <v>-9.0565704361057847E-2</v>
      </c>
      <c r="H2058" s="856">
        <f>INDEX(神经网络!$G$10:$BO$70,MATCH(ROUND(G2058*2,1)/2,神经网络!$E$10:$E$70,0),MATCH(ROUND(E2058*2,1)/2,神经网络!$G$8:$BO$8,0))</f>
        <v>-0.26728515199184727</v>
      </c>
      <c r="I2058">
        <f t="shared" si="260"/>
        <v>924.71600145261925</v>
      </c>
      <c r="J2058">
        <f t="shared" si="261"/>
        <v>166.31539044730818</v>
      </c>
      <c r="K2058">
        <f t="shared" si="262"/>
        <v>5.5600146141952305</v>
      </c>
      <c r="L2058" s="4">
        <f>MIN(MAX(L2057*(1+MAX(MIN(((B2058-B2057)/B2057)/($K$7*卓尔金历!$N$40),0),-卓尔金历!$M$43))+MIN(MAX(((B2058-B2057)/B2057)/($K$7*卓尔金历!$N$40),0),卓尔金历!$M$43),0),1)</f>
        <v>0.68191445332277056</v>
      </c>
      <c r="M2058" s="4">
        <f>MIN(MAX(M2057*(1+MAX(MIN(((B2058-B2057)/B2057)/($K$7*30),0),-卓尔金历!$M$43))+MIN(MAX(((B2058-B2057)/B2057)/($K$7*7),0),卓尔金历!$M$43),0),1)</f>
        <v>0.8756335010859948</v>
      </c>
      <c r="N2058">
        <f t="shared" si="263"/>
        <v>751.5085292700536</v>
      </c>
      <c r="O2058">
        <f t="shared" si="264"/>
        <v>1921.4555006128605</v>
      </c>
      <c r="P2058">
        <f t="shared" si="265"/>
        <v>1.3814543951872259E-3</v>
      </c>
      <c r="Q2058">
        <f t="shared" si="266"/>
        <v>1.0643825300679949E-2</v>
      </c>
      <c r="R2058">
        <f t="shared" si="267"/>
        <v>1</v>
      </c>
      <c r="S2058">
        <f t="shared" si="259"/>
        <v>16.685800406160428</v>
      </c>
      <c r="T2058" s="564">
        <f>IF((I2058-MAX(I$470:I2058))/MAX(I$470:I2058)&gt;T2057,T2057,(I2058-MAX(I$470:I2058))/MAX(I$470:I2058))</f>
        <v>-0.91338805338419748</v>
      </c>
      <c r="U2058" s="564">
        <f>IF((J2058-MAX(J$470:J2058))/MAX(J$470:J2058)&gt;U2057,U2057,(J2058-MAX(J$470:J2058))/MAX(J$470:J2058))</f>
        <v>-0.8283551177402233</v>
      </c>
      <c r="V2058" s="564">
        <f>IF((K2058-MAX(K$470:K2058))/MAX(K$470:K2058)&gt;V2057,V2057,(K2058-MAX(K$470:K2058))/MAX(K$470:K2058))</f>
        <v>-0.84885940676762139</v>
      </c>
      <c r="W2058" s="564">
        <f>IF((N2058-MAX(N$470:N2058))/MAX(N$470:N2058)&gt;W2057,W2057,(N2058-MAX(N$470:N2058))/MAX(N$470:N2058))</f>
        <v>-0.62788758315546067</v>
      </c>
      <c r="X2058" s="564">
        <f>IF((O2058-MAX(O$470:O2058))/MAX(O$470:O2058)&gt;X2057,X2057,(O2058-MAX(O$470:O2058))/MAX(O$470:O2058))</f>
        <v>-0.62788758315546067</v>
      </c>
    </row>
    <row r="2059" spans="1:24">
      <c r="A2059" s="799">
        <v>42461</v>
      </c>
      <c r="B2059">
        <v>417.40800000000002</v>
      </c>
      <c r="C2059">
        <v>506.02118200000001</v>
      </c>
      <c r="D2059">
        <v>1.3439179999999999</v>
      </c>
      <c r="E2059">
        <f>LN(D2059/参数实验室!$E$53)/参数实验室!$E$55</f>
        <v>-0.34424594291342192</v>
      </c>
      <c r="F2059">
        <f t="shared" si="268"/>
        <v>1.2122939234513952</v>
      </c>
      <c r="G2059">
        <f>LN(F2059/参数实验室!$E$58)/参数实验室!$E$59</f>
        <v>-8.9488079551595462E-2</v>
      </c>
      <c r="H2059" s="856">
        <f>INDEX(神经网络!$G$10:$BO$70,MATCH(ROUND(G2059*2,1)/2,神经网络!$E$10:$E$70,0),MATCH(ROUND(E2059*2,1)/2,神经网络!$G$8:$BO$8,0))</f>
        <v>-0.26728515199184727</v>
      </c>
      <c r="I2059">
        <f t="shared" si="260"/>
        <v>924.35723837153887</v>
      </c>
      <c r="J2059">
        <f t="shared" si="261"/>
        <v>166.55680140457244</v>
      </c>
      <c r="K2059">
        <f t="shared" si="262"/>
        <v>5.5498018128136479</v>
      </c>
      <c r="L2059" s="4">
        <f>MIN(MAX(L2058*(1+MAX(MIN(((B2059-B2058)/B2058)/($K$7*卓尔金历!$N$40),0),-卓尔金历!$M$43))+MIN(MAX(((B2059-B2058)/B2058)/($K$7*卓尔金历!$N$40),0),卓尔金历!$M$43),0),1)</f>
        <v>0.70409236333045255</v>
      </c>
      <c r="M2059" s="4">
        <f>MIN(MAX(M2058*(1+MAX(MIN(((B2059-B2058)/B2058)/($K$7*30),0),-卓尔金历!$M$43))+MIN(MAX(((B2059-B2058)/B2058)/($K$7*7),0),卓尔金历!$M$43),0),1)</f>
        <v>0.92315759395959907</v>
      </c>
      <c r="N2059">
        <f t="shared" si="263"/>
        <v>751.3097078452198</v>
      </c>
      <c r="O2059">
        <f t="shared" si="264"/>
        <v>1920.8027428094636</v>
      </c>
      <c r="P2059">
        <f t="shared" si="265"/>
        <v>1.4515250610000845E-3</v>
      </c>
      <c r="Q2059">
        <f t="shared" si="266"/>
        <v>1.051092868982245E-2</v>
      </c>
      <c r="R2059">
        <f t="shared" si="267"/>
        <v>1</v>
      </c>
      <c r="S2059">
        <f t="shared" si="259"/>
        <v>16.679326797880044</v>
      </c>
      <c r="T2059" s="564">
        <f>IF((I2059-MAX(I$470:I2059))/MAX(I$470:I2059)&gt;T2058,T2058,(I2059-MAX(I$470:I2059))/MAX(I$470:I2059))</f>
        <v>-0.91338805338419748</v>
      </c>
      <c r="U2059" s="564">
        <f>IF((J2059-MAX(J$470:J2059))/MAX(J$470:J2059)&gt;U2058,U2058,(J2059-MAX(J$470:J2059))/MAX(J$470:J2059))</f>
        <v>-0.8283551177402233</v>
      </c>
      <c r="V2059" s="564">
        <f>IF((K2059-MAX(K$470:K2059))/MAX(K$470:K2059)&gt;V2058,V2058,(K2059-MAX(K$470:K2059))/MAX(K$470:K2059))</f>
        <v>-0.84885940676762139</v>
      </c>
      <c r="W2059" s="564">
        <f>IF((N2059-MAX(N$470:N2059))/MAX(N$470:N2059)&gt;W2058,W2058,(N2059-MAX(N$470:N2059))/MAX(N$470:N2059))</f>
        <v>-0.62788758315546067</v>
      </c>
      <c r="X2059" s="564">
        <f>IF((O2059-MAX(O$470:O2059))/MAX(O$470:O2059)&gt;X2058,X2058,(O2059-MAX(O$470:O2059))/MAX(O$470:O2059))</f>
        <v>-0.62788758315546067</v>
      </c>
    </row>
    <row r="2060" spans="1:24">
      <c r="A2060" s="799">
        <v>42462</v>
      </c>
      <c r="B2060">
        <v>421.005</v>
      </c>
      <c r="C2060">
        <v>505.01972899999998</v>
      </c>
      <c r="D2060">
        <v>1.3516570000000001</v>
      </c>
      <c r="E2060">
        <f>LN(D2060/参数实验室!$E$53)/参数实验室!$E$55</f>
        <v>-0.33747177751964902</v>
      </c>
      <c r="F2060">
        <f t="shared" si="268"/>
        <v>1.199557556323559</v>
      </c>
      <c r="G2060">
        <f>LN(F2060/参数实验室!$E$58)/参数实验室!$E$59</f>
        <v>-9.5031369406451308E-2</v>
      </c>
      <c r="H2060" s="856">
        <f>INDEX(神经网络!$G$10:$BO$70,MATCH(ROUND(G2060*2,1)/2,神经网络!$E$10:$E$70,0),MATCH(ROUND(E2060*2,1)/2,神经网络!$G$8:$BO$8,0))</f>
        <v>-0.26728515199184727</v>
      </c>
      <c r="I2060">
        <f t="shared" si="260"/>
        <v>922.22814675629536</v>
      </c>
      <c r="J2060">
        <f t="shared" si="261"/>
        <v>167.99209927776187</v>
      </c>
      <c r="K2060">
        <f t="shared" si="262"/>
        <v>5.4897114252466297</v>
      </c>
      <c r="L2060" s="4">
        <f>MIN(MAX(L2059*(1+MAX(MIN(((B2060-B2059)/B2059)/($K$7*卓尔金历!$N$40),0),-卓尔金历!$M$43))+MIN(MAX(((B2060-B2059)/B2059)/($K$7*卓尔金历!$N$40),0),卓尔金历!$M$43),0),1)</f>
        <v>0.8357590017689116</v>
      </c>
      <c r="M2060" s="4">
        <f>MIN(MAX(M2059*(1+MAX(MIN(((B2060-B2059)/B2059)/($K$7*30),0),-卓尔金历!$M$43))+MIN(MAX(((B2060-B2059)/B2059)/($K$7*7),0),卓尔金历!$M$43),0),1)</f>
        <v>1</v>
      </c>
      <c r="N2060">
        <f t="shared" si="263"/>
        <v>750.09127067970655</v>
      </c>
      <c r="O2060">
        <f t="shared" si="264"/>
        <v>1916.7184852928031</v>
      </c>
      <c r="P2060">
        <f t="shared" si="265"/>
        <v>8.6174678012879008E-3</v>
      </c>
      <c r="Q2060">
        <f t="shared" si="266"/>
        <v>1.0428547580052188E-2</v>
      </c>
      <c r="R2060">
        <f t="shared" si="267"/>
        <v>0.20327167076118818</v>
      </c>
      <c r="S2060">
        <f t="shared" si="259"/>
        <v>16.640908951014005</v>
      </c>
      <c r="T2060" s="564">
        <f>IF((I2060-MAX(I$470:I2060))/MAX(I$470:I2060)&gt;T2059,T2059,(I2060-MAX(I$470:I2060))/MAX(I$470:I2060))</f>
        <v>-0.91338805338419748</v>
      </c>
      <c r="U2060" s="564">
        <f>IF((J2060-MAX(J$470:J2060))/MAX(J$470:J2060)&gt;U2059,U2059,(J2060-MAX(J$470:J2060))/MAX(J$470:J2060))</f>
        <v>-0.8283551177402233</v>
      </c>
      <c r="V2060" s="564">
        <f>IF((K2060-MAX(K$470:K2060))/MAX(K$470:K2060)&gt;V2059,V2059,(K2060-MAX(K$470:K2060))/MAX(K$470:K2060))</f>
        <v>-0.84885940676762139</v>
      </c>
      <c r="W2060" s="564">
        <f>IF((N2060-MAX(N$470:N2060))/MAX(N$470:N2060)&gt;W2059,W2059,(N2060-MAX(N$470:N2060))/MAX(N$470:N2060))</f>
        <v>-0.62788758315546067</v>
      </c>
      <c r="X2060" s="564">
        <f>IF((O2060-MAX(O$470:O2060))/MAX(O$470:O2060)&gt;X2059,X2059,(O2060-MAX(O$470:O2060))/MAX(O$470:O2060))</f>
        <v>-0.62788758315546067</v>
      </c>
    </row>
    <row r="2061" spans="1:24">
      <c r="A2061" s="799">
        <v>42463</v>
      </c>
      <c r="B2061">
        <v>420.97800000000001</v>
      </c>
      <c r="C2061">
        <v>509.862101</v>
      </c>
      <c r="D2061">
        <v>1.3522320000000001</v>
      </c>
      <c r="E2061">
        <f>LN(D2061/参数实验室!$E$53)/参数实验室!$E$55</f>
        <v>-0.33697001274638377</v>
      </c>
      <c r="F2061">
        <f t="shared" si="268"/>
        <v>1.2111371639373079</v>
      </c>
      <c r="G2061">
        <f>LN(F2061/参数实验室!$E$58)/参数实验室!$E$59</f>
        <v>-8.9989129453208264E-2</v>
      </c>
      <c r="H2061" s="856">
        <f>INDEX(神经网络!$G$10:$BO$70,MATCH(ROUND(G2061*2,1)/2,神经网络!$E$10:$E$70,0),MATCH(ROUND(E2061*2,1)/2,神经网络!$G$8:$BO$8,0))</f>
        <v>-0.26728515199184727</v>
      </c>
      <c r="I2061">
        <f t="shared" si="260"/>
        <v>922.24395522184841</v>
      </c>
      <c r="J2061">
        <f t="shared" si="261"/>
        <v>167.98132556561953</v>
      </c>
      <c r="K2061">
        <f t="shared" si="262"/>
        <v>5.4901576238698437</v>
      </c>
      <c r="L2061" s="4">
        <f>MIN(MAX(L2060*(1+MAX(MIN(((B2061-B2060)/B2060)/($K$7*卓尔金历!$N$40),0),-卓尔金历!$M$43))+MIN(MAX(((B2061-B2060)/B2060)/($K$7*卓尔金历!$N$40),0),卓尔金历!$M$43),0),1)</f>
        <v>0.83494005881268585</v>
      </c>
      <c r="M2061" s="4">
        <f>MIN(MAX(M2060*(1+MAX(MIN(((B2061-B2060)/B2060)/($K$7*30),0),-卓尔金历!$M$43))+MIN(MAX(((B2061-B2060)/B2060)/($K$7*7),0),卓尔金历!$M$43),0),1)</f>
        <v>0.99951006034365619</v>
      </c>
      <c r="N2061">
        <f t="shared" si="263"/>
        <v>750.1020166718472</v>
      </c>
      <c r="O2061">
        <f t="shared" si="264"/>
        <v>1916.7513409134608</v>
      </c>
      <c r="P2061">
        <f t="shared" si="265"/>
        <v>-6.413225496131118E-5</v>
      </c>
      <c r="Q2061">
        <f t="shared" si="266"/>
        <v>9.3023625114717658E-3</v>
      </c>
      <c r="R2061">
        <f t="shared" si="267"/>
        <v>1</v>
      </c>
      <c r="S2061">
        <f t="shared" si="259"/>
        <v>16.640966934623329</v>
      </c>
      <c r="T2061" s="564">
        <f>IF((I2061-MAX(I$470:I2061))/MAX(I$470:I2061)&gt;T2060,T2060,(I2061-MAX(I$470:I2061))/MAX(I$470:I2061))</f>
        <v>-0.91338805338419748</v>
      </c>
      <c r="U2061" s="564">
        <f>IF((J2061-MAX(J$470:J2061))/MAX(J$470:J2061)&gt;U2060,U2060,(J2061-MAX(J$470:J2061))/MAX(J$470:J2061))</f>
        <v>-0.8283551177402233</v>
      </c>
      <c r="V2061" s="564">
        <f>IF((K2061-MAX(K$470:K2061))/MAX(K$470:K2061)&gt;V2060,V2060,(K2061-MAX(K$470:K2061))/MAX(K$470:K2061))</f>
        <v>-0.84885940676762139</v>
      </c>
      <c r="W2061" s="564">
        <f>IF((N2061-MAX(N$470:N2061))/MAX(N$470:N2061)&gt;W2060,W2060,(N2061-MAX(N$470:N2061))/MAX(N$470:N2061))</f>
        <v>-0.62788758315546067</v>
      </c>
      <c r="X2061" s="564">
        <f>IF((O2061-MAX(O$470:O2061))/MAX(O$470:O2061)&gt;X2060,X2060,(O2061-MAX(O$470:O2061))/MAX(O$470:O2061))</f>
        <v>-0.62788758315546067</v>
      </c>
    </row>
    <row r="2062" spans="1:24">
      <c r="A2062" s="799">
        <v>42464</v>
      </c>
      <c r="B2062">
        <v>421.726</v>
      </c>
      <c r="C2062">
        <v>504.80641000000003</v>
      </c>
      <c r="D2062">
        <v>1.3501479999999999</v>
      </c>
      <c r="E2062">
        <f>LN(D2062/参数实验室!$E$53)/参数实验室!$E$55</f>
        <v>-0.33878959862832592</v>
      </c>
      <c r="F2062">
        <f t="shared" si="268"/>
        <v>1.1970009200286442</v>
      </c>
      <c r="G2062">
        <f>LN(F2062/参数实验室!$E$58)/参数实验室!$E$59</f>
        <v>-9.6151193035502458E-2</v>
      </c>
      <c r="H2062" s="856">
        <f>INDEX(神经网络!$G$10:$BO$70,MATCH(ROUND(G2062*2,1)/2,神经网络!$E$10:$E$70,0),MATCH(ROUND(E2062*2,1)/2,神经网络!$G$8:$BO$8,0))</f>
        <v>-0.26728515199184727</v>
      </c>
      <c r="I2062">
        <f t="shared" si="260"/>
        <v>921.80596657974058</v>
      </c>
      <c r="J2062">
        <f t="shared" si="261"/>
        <v>168.27979729460083</v>
      </c>
      <c r="K2062">
        <f t="shared" si="262"/>
        <v>5.4778171913647551</v>
      </c>
      <c r="L2062" s="4">
        <f>MIN(MAX(L2061*(1+MAX(MIN(((B2062-B2061)/B2061)/($K$7*卓尔金历!$N$40),0),-卓尔金历!$M$43))+MIN(MAX(((B2062-B2061)/B2061)/($K$7*卓尔金历!$N$40),0),卓尔金历!$M$43),0),1)</f>
        <v>0.86208808602098919</v>
      </c>
      <c r="M2062" s="4">
        <f>MIN(MAX(M2061*(1+MAX(MIN(((B2062-B2061)/B2061)/($K$7*30),0),-卓尔金历!$M$43))+MIN(MAX(((B2062-B2061)/B2061)/($K$7*7),0),卓尔金历!$M$43),0),1)</f>
        <v>1</v>
      </c>
      <c r="N2062">
        <f t="shared" si="263"/>
        <v>749.80458126735471</v>
      </c>
      <c r="O2062">
        <f t="shared" si="264"/>
        <v>1915.8414905420184</v>
      </c>
      <c r="P2062">
        <f t="shared" si="265"/>
        <v>1.7768149404481716E-3</v>
      </c>
      <c r="Q2062">
        <f t="shared" si="266"/>
        <v>9.2763549297278022E-3</v>
      </c>
      <c r="R2062">
        <f t="shared" si="267"/>
        <v>1</v>
      </c>
      <c r="S2062">
        <f t="shared" si="259"/>
        <v>16.633063868986749</v>
      </c>
      <c r="T2062" s="564">
        <f>IF((I2062-MAX(I$470:I2062))/MAX(I$470:I2062)&gt;T2061,T2061,(I2062-MAX(I$470:I2062))/MAX(I$470:I2062))</f>
        <v>-0.91338805338419748</v>
      </c>
      <c r="U2062" s="564">
        <f>IF((J2062-MAX(J$470:J2062))/MAX(J$470:J2062)&gt;U2061,U2061,(J2062-MAX(J$470:J2062))/MAX(J$470:J2062))</f>
        <v>-0.8283551177402233</v>
      </c>
      <c r="V2062" s="564">
        <f>IF((K2062-MAX(K$470:K2062))/MAX(K$470:K2062)&gt;V2061,V2061,(K2062-MAX(K$470:K2062))/MAX(K$470:K2062))</f>
        <v>-0.84885940676762139</v>
      </c>
      <c r="W2062" s="564">
        <f>IF((N2062-MAX(N$470:N2062))/MAX(N$470:N2062)&gt;W2061,W2061,(N2062-MAX(N$470:N2062))/MAX(N$470:N2062))</f>
        <v>-0.62788758315546067</v>
      </c>
      <c r="X2062" s="564">
        <f>IF((O2062-MAX(O$470:O2062))/MAX(O$470:O2062)&gt;X2061,X2061,(O2062-MAX(O$470:O2062))/MAX(O$470:O2062))</f>
        <v>-0.62788758315546067</v>
      </c>
    </row>
    <row r="2063" spans="1:24">
      <c r="A2063" s="799">
        <v>42465</v>
      </c>
      <c r="B2063">
        <v>423.233</v>
      </c>
      <c r="C2063">
        <v>502.83219300000002</v>
      </c>
      <c r="D2063">
        <v>1.3589020000000001</v>
      </c>
      <c r="E2063">
        <f>LN(D2063/参数实验室!$E$53)/参数实验室!$E$55</f>
        <v>-0.33116508387638904</v>
      </c>
      <c r="F2063">
        <f t="shared" si="268"/>
        <v>1.1880741648217412</v>
      </c>
      <c r="G2063">
        <f>LN(F2063/参数实验室!$E$58)/参数实验室!$E$59</f>
        <v>-0.10008001311265952</v>
      </c>
      <c r="H2063" s="856">
        <f>INDEX(神经网络!$G$10:$BO$70,MATCH(ROUND(G2063*2,1)/2,神经网络!$E$10:$E$70,0),MATCH(ROUND(E2063*2,1)/2,神经网络!$G$8:$BO$8,0))</f>
        <v>-0.26728515199184727</v>
      </c>
      <c r="I2063">
        <f t="shared" si="260"/>
        <v>920.92553173066426</v>
      </c>
      <c r="J2063">
        <f t="shared" si="261"/>
        <v>168.88113004269547</v>
      </c>
      <c r="K2063">
        <f t="shared" si="262"/>
        <v>5.453099061439497</v>
      </c>
      <c r="L2063" s="4">
        <f>MIN(MAX(L2062*(1+MAX(MIN(((B2063-B2062)/B2062)/($K$7*卓尔金历!$N$40),0),-卓尔金历!$M$43))+MIN(MAX(((B2063-B2062)/B2062)/($K$7*卓尔金历!$N$40),0),卓尔金历!$M$43),0),1)</f>
        <v>0.91668636509385704</v>
      </c>
      <c r="M2063" s="4">
        <f>MIN(MAX(M2062*(1+MAX(MIN(((B2063-B2062)/B2062)/($K$7*30),0),-卓尔金历!$M$43))+MIN(MAX(((B2063-B2062)/B2062)/($K$7*7),0),卓尔金历!$M$43),0),1)</f>
        <v>1</v>
      </c>
      <c r="N2063">
        <f t="shared" si="263"/>
        <v>749.18719432170349</v>
      </c>
      <c r="O2063">
        <f t="shared" si="264"/>
        <v>1914.0116329855109</v>
      </c>
      <c r="P2063">
        <f t="shared" si="265"/>
        <v>3.5734102236997601E-3</v>
      </c>
      <c r="Q2063">
        <f t="shared" si="266"/>
        <v>9.2459590219154137E-3</v>
      </c>
      <c r="R2063">
        <f t="shared" si="267"/>
        <v>0.96876128111119131</v>
      </c>
      <c r="S2063">
        <f t="shared" si="259"/>
        <v>16.617177305427713</v>
      </c>
      <c r="T2063" s="564">
        <f>IF((I2063-MAX(I$470:I2063))/MAX(I$470:I2063)&gt;T2062,T2062,(I2063-MAX(I$470:I2063))/MAX(I$470:I2063))</f>
        <v>-0.91338805338419748</v>
      </c>
      <c r="U2063" s="564">
        <f>IF((J2063-MAX(J$470:J2063))/MAX(J$470:J2063)&gt;U2062,U2062,(J2063-MAX(J$470:J2063))/MAX(J$470:J2063))</f>
        <v>-0.8283551177402233</v>
      </c>
      <c r="V2063" s="564">
        <f>IF((K2063-MAX(K$470:K2063))/MAX(K$470:K2063)&gt;V2062,V2062,(K2063-MAX(K$470:K2063))/MAX(K$470:K2063))</f>
        <v>-0.84885940676762139</v>
      </c>
      <c r="W2063" s="564">
        <f>IF((N2063-MAX(N$470:N2063))/MAX(N$470:N2063)&gt;W2062,W2062,(N2063-MAX(N$470:N2063))/MAX(N$470:N2063))</f>
        <v>-0.62788758315546067</v>
      </c>
      <c r="X2063" s="564">
        <f>IF((O2063-MAX(O$470:O2063))/MAX(O$470:O2063)&gt;X2062,X2062,(O2063-MAX(O$470:O2063))/MAX(O$470:O2063))</f>
        <v>-0.62788758315546067</v>
      </c>
    </row>
    <row r="2064" spans="1:24">
      <c r="A2064" s="799">
        <v>42466</v>
      </c>
      <c r="B2064">
        <v>424.19400000000002</v>
      </c>
      <c r="C2064">
        <v>495.18282699999997</v>
      </c>
      <c r="D2064">
        <v>1.355664</v>
      </c>
      <c r="E2064">
        <f>LN(D2064/参数实验室!$E$53)/参数实验室!$E$55</f>
        <v>-0.33397956163507275</v>
      </c>
      <c r="F2064">
        <f t="shared" si="268"/>
        <v>1.1673499082966754</v>
      </c>
      <c r="G2064">
        <f>LN(F2064/参数实验室!$E$58)/参数实验室!$E$59</f>
        <v>-0.10931613381560878</v>
      </c>
      <c r="H2064" s="856">
        <f>INDEX(神经网络!$G$10:$BO$70,MATCH(ROUND(G2064*2,1)/2,神经网络!$E$10:$E$70,0),MATCH(ROUND(E2064*2,1)/2,神经网络!$G$8:$BO$8,0))</f>
        <v>-0.26728515199184727</v>
      </c>
      <c r="I2064">
        <f t="shared" si="260"/>
        <v>920.36662001628088</v>
      </c>
      <c r="J2064">
        <f t="shared" si="261"/>
        <v>169.26459438968882</v>
      </c>
      <c r="K2064">
        <f t="shared" si="262"/>
        <v>5.4374432133005328</v>
      </c>
      <c r="L2064" s="4">
        <f>MIN(MAX(L2063*(1+MAX(MIN(((B2064-B2063)/B2063)/($K$7*卓尔金历!$N$40),0),-卓尔金历!$M$43))+MIN(MAX(((B2064-B2063)/B2063)/($K$7*卓尔金历!$N$40),0),卓尔金历!$M$43),0),1)</f>
        <v>0.95137921228981825</v>
      </c>
      <c r="M2064" s="4">
        <f>MIN(MAX(M2063*(1+MAX(MIN(((B2064-B2063)/B2063)/($K$7*30),0),-卓尔金历!$M$43))+MIN(MAX(((B2064-B2063)/B2063)/($K$7*7),0),卓尔金历!$M$43),0),1)</f>
        <v>1</v>
      </c>
      <c r="N2064">
        <f t="shared" si="263"/>
        <v>748.77039230098785</v>
      </c>
      <c r="O2064">
        <f t="shared" si="264"/>
        <v>1912.8500151496678</v>
      </c>
      <c r="P2064">
        <f t="shared" si="265"/>
        <v>2.2706168942403186E-3</v>
      </c>
      <c r="Q2064">
        <f t="shared" si="266"/>
        <v>9.2507048845047578E-3</v>
      </c>
      <c r="R2064">
        <f t="shared" si="267"/>
        <v>1</v>
      </c>
      <c r="S2064">
        <f t="shared" si="259"/>
        <v>16.60740734678372</v>
      </c>
      <c r="T2064" s="564">
        <f>IF((I2064-MAX(I$470:I2064))/MAX(I$470:I2064)&gt;T2063,T2063,(I2064-MAX(I$470:I2064))/MAX(I$470:I2064))</f>
        <v>-0.91338805338419748</v>
      </c>
      <c r="U2064" s="564">
        <f>IF((J2064-MAX(J$470:J2064))/MAX(J$470:J2064)&gt;U2063,U2063,(J2064-MAX(J$470:J2064))/MAX(J$470:J2064))</f>
        <v>-0.8283551177402233</v>
      </c>
      <c r="V2064" s="564">
        <f>IF((K2064-MAX(K$470:K2064))/MAX(K$470:K2064)&gt;V2063,V2063,(K2064-MAX(K$470:K2064))/MAX(K$470:K2064))</f>
        <v>-0.84885940676762139</v>
      </c>
      <c r="W2064" s="564">
        <f>IF((N2064-MAX(N$470:N2064))/MAX(N$470:N2064)&gt;W2063,W2063,(N2064-MAX(N$470:N2064))/MAX(N$470:N2064))</f>
        <v>-0.62788758315546067</v>
      </c>
      <c r="X2064" s="564">
        <f>IF((O2064-MAX(O$470:O2064))/MAX(O$470:O2064)&gt;X2063,X2063,(O2064-MAX(O$470:O2064))/MAX(O$470:O2064))</f>
        <v>-0.62788758315546067</v>
      </c>
    </row>
    <row r="2065" spans="1:24">
      <c r="A2065" s="799">
        <v>42467</v>
      </c>
      <c r="B2065">
        <v>422.15300000000002</v>
      </c>
      <c r="C2065">
        <v>500.56256100000002</v>
      </c>
      <c r="D2065">
        <v>1.3511789999999999</v>
      </c>
      <c r="E2065">
        <f>LN(D2065/参数实验室!$E$53)/参数实验室!$E$55</f>
        <v>-0.33788905926112223</v>
      </c>
      <c r="F2065">
        <f t="shared" si="268"/>
        <v>1.1857373061425596</v>
      </c>
      <c r="G2065">
        <f>LN(F2065/参数实验室!$E$58)/参数实验室!$E$59</f>
        <v>-0.10111338087340073</v>
      </c>
      <c r="H2065" s="856">
        <f>INDEX(神经网络!$G$10:$BO$70,MATCH(ROUND(G2065*2,1)/2,神经网络!$E$10:$E$70,0),MATCH(ROUND(E2065*2,1)/2,神经网络!$G$8:$BO$8,0))</f>
        <v>-0.26728515199184727</v>
      </c>
      <c r="I2065">
        <f t="shared" si="260"/>
        <v>921.55024514404613</v>
      </c>
      <c r="J2065">
        <f t="shared" si="261"/>
        <v>168.45018155700058</v>
      </c>
      <c r="K2065">
        <f t="shared" si="262"/>
        <v>5.4707583964948698</v>
      </c>
      <c r="L2065" s="4">
        <f>MIN(MAX(L2064*(1+MAX(MIN(((B2065-B2064)/B2064)/($K$7*卓尔金历!$N$40),0),-卓尔金历!$M$43))+MIN(MAX(((B2065-B2064)/B2064)/($K$7*卓尔金历!$N$40),0),卓尔金历!$M$43),0),1)</f>
        <v>0.88143879492407717</v>
      </c>
      <c r="M2065" s="4">
        <f>MIN(MAX(M2064*(1+MAX(MIN(((B2065-B2064)/B2064)/($K$7*30),0),-卓尔金历!$M$43))+MIN(MAX(((B2065-B2064)/B2064)/($K$7*7),0),卓尔金历!$M$43),0),1)</f>
        <v>0.96324261847312931</v>
      </c>
      <c r="N2065">
        <f t="shared" si="263"/>
        <v>749.68651920715536</v>
      </c>
      <c r="O2065">
        <f t="shared" si="264"/>
        <v>1915.3100102150443</v>
      </c>
      <c r="P2065">
        <f t="shared" si="265"/>
        <v>-4.8114777672479967E-3</v>
      </c>
      <c r="Q2065">
        <f t="shared" si="266"/>
        <v>9.2941121623343649E-3</v>
      </c>
      <c r="R2065">
        <f t="shared" si="267"/>
        <v>0.67371798846783448</v>
      </c>
      <c r="S2065">
        <f t="shared" si="259"/>
        <v>16.628765079903527</v>
      </c>
      <c r="T2065" s="564">
        <f>IF((I2065-MAX(I$470:I2065))/MAX(I$470:I2065)&gt;T2064,T2064,(I2065-MAX(I$470:I2065))/MAX(I$470:I2065))</f>
        <v>-0.91338805338419748</v>
      </c>
      <c r="U2065" s="564">
        <f>IF((J2065-MAX(J$470:J2065))/MAX(J$470:J2065)&gt;U2064,U2064,(J2065-MAX(J$470:J2065))/MAX(J$470:J2065))</f>
        <v>-0.8283551177402233</v>
      </c>
      <c r="V2065" s="564">
        <f>IF((K2065-MAX(K$470:K2065))/MAX(K$470:K2065)&gt;V2064,V2064,(K2065-MAX(K$470:K2065))/MAX(K$470:K2065))</f>
        <v>-0.84885940676762139</v>
      </c>
      <c r="W2065" s="564">
        <f>IF((N2065-MAX(N$470:N2065))/MAX(N$470:N2065)&gt;W2064,W2064,(N2065-MAX(N$470:N2065))/MAX(N$470:N2065))</f>
        <v>-0.62788758315546067</v>
      </c>
      <c r="X2065" s="564">
        <f>IF((O2065-MAX(O$470:O2065))/MAX(O$470:O2065)&gt;X2064,X2064,(O2065-MAX(O$470:O2065))/MAX(O$470:O2065))</f>
        <v>-0.62788758315546067</v>
      </c>
    </row>
    <row r="2066" spans="1:24">
      <c r="A2066" s="799">
        <v>42468</v>
      </c>
      <c r="B2066">
        <v>423.81099999999998</v>
      </c>
      <c r="C2066">
        <v>509.12005900000003</v>
      </c>
      <c r="D2066">
        <v>1.3421449999999999</v>
      </c>
      <c r="E2066">
        <f>LN(D2066/参数实验室!$E$53)/参数实验室!$E$55</f>
        <v>-0.34580339171886398</v>
      </c>
      <c r="F2066">
        <f t="shared" si="268"/>
        <v>1.2012903369662422</v>
      </c>
      <c r="G2066">
        <f>LN(F2066/参数实验室!$E$58)/参数实验室!$E$59</f>
        <v>-9.4273756159447081E-2</v>
      </c>
      <c r="H2066" s="856">
        <f>INDEX(神经网络!$G$10:$BO$70,MATCH(ROUND(G2066*2,1)/2,神经网络!$E$10:$E$70,0),MATCH(ROUND(E2066*2,1)/2,神经网络!$G$8:$BO$8,0))</f>
        <v>-0.26728515199184727</v>
      </c>
      <c r="I2066">
        <f t="shared" si="260"/>
        <v>920.58283976212988</v>
      </c>
      <c r="J2066">
        <f t="shared" si="261"/>
        <v>169.11176728781737</v>
      </c>
      <c r="K2066">
        <f t="shared" si="262"/>
        <v>5.4436356175934044</v>
      </c>
      <c r="L2066" s="4">
        <f>MIN(MAX(L2065*(1+MAX(MIN(((B2066-B2065)/B2065)/($K$7*卓尔金历!$N$40),0),-卓尔金历!$M$43))+MIN(MAX(((B2066-B2065)/B2065)/($K$7*卓尔金历!$N$40),0),卓尔金历!$M$43),0),1)</f>
        <v>0.94144701217332916</v>
      </c>
      <c r="M2066" s="4">
        <f>MIN(MAX(M2065*(1+MAX(MIN(((B2066-B2065)/B2065)/($K$7*30),0),-卓尔金历!$M$43))+MIN(MAX(((B2066-B2065)/B2065)/($K$7*7),0),卓尔金历!$M$43),0),1)</f>
        <v>1</v>
      </c>
      <c r="N2066">
        <f t="shared" si="263"/>
        <v>748.99283574158267</v>
      </c>
      <c r="O2066">
        <f t="shared" si="264"/>
        <v>1913.3733017613336</v>
      </c>
      <c r="P2066">
        <f t="shared" si="265"/>
        <v>3.927486006258296E-3</v>
      </c>
      <c r="Q2066">
        <f t="shared" si="266"/>
        <v>9.314428377686812E-3</v>
      </c>
      <c r="R2066">
        <f t="shared" si="267"/>
        <v>0.88088529139454508</v>
      </c>
      <c r="S2066">
        <f t="shared" si="259"/>
        <v>16.617004530208536</v>
      </c>
      <c r="T2066" s="564">
        <f>IF((I2066-MAX(I$470:I2066))/MAX(I$470:I2066)&gt;T2065,T2065,(I2066-MAX(I$470:I2066))/MAX(I$470:I2066))</f>
        <v>-0.91338805338419748</v>
      </c>
      <c r="U2066" s="564">
        <f>IF((J2066-MAX(J$470:J2066))/MAX(J$470:J2066)&gt;U2065,U2065,(J2066-MAX(J$470:J2066))/MAX(J$470:J2066))</f>
        <v>-0.8283551177402233</v>
      </c>
      <c r="V2066" s="564">
        <f>IF((K2066-MAX(K$470:K2066))/MAX(K$470:K2066)&gt;V2065,V2065,(K2066-MAX(K$470:K2066))/MAX(K$470:K2066))</f>
        <v>-0.84885940676762139</v>
      </c>
      <c r="W2066" s="564">
        <f>IF((N2066-MAX(N$470:N2066))/MAX(N$470:N2066)&gt;W2065,W2065,(N2066-MAX(N$470:N2066))/MAX(N$470:N2066))</f>
        <v>-0.62788758315546067</v>
      </c>
      <c r="X2066" s="564">
        <f>IF((O2066-MAX(O$470:O2066))/MAX(O$470:O2066)&gt;X2065,X2065,(O2066-MAX(O$470:O2066))/MAX(O$470:O2066))</f>
        <v>-0.62788758315546067</v>
      </c>
    </row>
    <row r="2067" spans="1:24">
      <c r="A2067" s="799">
        <v>42469</v>
      </c>
      <c r="B2067">
        <v>418.291</v>
      </c>
      <c r="C2067">
        <v>507.14269899999999</v>
      </c>
      <c r="D2067">
        <v>1.3423339999999999</v>
      </c>
      <c r="E2067">
        <f>LN(D2067/参数实验室!$E$53)/参数实验室!$E$55</f>
        <v>-0.34563727131823557</v>
      </c>
      <c r="F2067">
        <f t="shared" si="268"/>
        <v>1.2124159950847615</v>
      </c>
      <c r="G2067">
        <f>LN(F2067/参数实验室!$E$58)/参数实验室!$E$59</f>
        <v>-8.9435232165702233E-2</v>
      </c>
      <c r="H2067" s="856">
        <f>INDEX(神经网络!$G$10:$BO$70,MATCH(ROUND(G2067*2,1)/2,神经网络!$E$10:$E$70,0),MATCH(ROUND(E2067*2,1)/2,神经网络!$G$8:$BO$8,0))</f>
        <v>-0.26728515199184727</v>
      </c>
      <c r="I2067">
        <f t="shared" si="260"/>
        <v>923.78766655011532</v>
      </c>
      <c r="J2067">
        <f t="shared" si="261"/>
        <v>166.90914169426563</v>
      </c>
      <c r="K2067">
        <f t="shared" si="262"/>
        <v>5.534673878092641</v>
      </c>
      <c r="L2067" s="4">
        <f>MIN(MAX(L2066*(1+MAX(MIN(((B2067-B2066)/B2066)/($K$7*卓尔金历!$N$40),0),-卓尔金历!$M$43))+MIN(MAX(((B2067-B2066)/B2066)/($K$7*卓尔金历!$N$40),0),卓尔金历!$M$43),0),1)</f>
        <v>0.75409480534985918</v>
      </c>
      <c r="M2067" s="4">
        <f>MIN(MAX(M2066*(1+MAX(MIN(((B2067-B2066)/B2066)/($K$7*30),0),-卓尔金历!$M$43))+MIN(MAX(((B2067-B2066)/B2066)/($K$7*7),0),卓尔金历!$M$43),0),1)</f>
        <v>0.90049774209226729</v>
      </c>
      <c r="N2067">
        <f t="shared" si="263"/>
        <v>751.44763075299386</v>
      </c>
      <c r="O2067">
        <f t="shared" si="264"/>
        <v>1920.0343318696998</v>
      </c>
      <c r="P2067">
        <f t="shared" si="265"/>
        <v>-1.3024673734282457E-2</v>
      </c>
      <c r="Q2067">
        <f t="shared" si="266"/>
        <v>8.0091894700227428E-3</v>
      </c>
      <c r="R2067">
        <f t="shared" si="267"/>
        <v>4.7852319538846458E-3</v>
      </c>
      <c r="S2067">
        <f t="shared" si="259"/>
        <v>16.66796269555299</v>
      </c>
      <c r="T2067" s="564">
        <f>IF((I2067-MAX(I$470:I2067))/MAX(I$470:I2067)&gt;T2066,T2066,(I2067-MAX(I$470:I2067))/MAX(I$470:I2067))</f>
        <v>-0.91338805338419748</v>
      </c>
      <c r="U2067" s="564">
        <f>IF((J2067-MAX(J$470:J2067))/MAX(J$470:J2067)&gt;U2066,U2066,(J2067-MAX(J$470:J2067))/MAX(J$470:J2067))</f>
        <v>-0.8283551177402233</v>
      </c>
      <c r="V2067" s="564">
        <f>IF((K2067-MAX(K$470:K2067))/MAX(K$470:K2067)&gt;V2066,V2066,(K2067-MAX(K$470:K2067))/MAX(K$470:K2067))</f>
        <v>-0.84885940676762139</v>
      </c>
      <c r="W2067" s="564">
        <f>IF((N2067-MAX(N$470:N2067))/MAX(N$470:N2067)&gt;W2066,W2066,(N2067-MAX(N$470:N2067))/MAX(N$470:N2067))</f>
        <v>-0.62788758315546067</v>
      </c>
      <c r="X2067" s="564">
        <f>IF((O2067-MAX(O$470:O2067))/MAX(O$470:O2067)&gt;X2066,X2066,(O2067-MAX(O$470:O2067))/MAX(O$470:O2067))</f>
        <v>-0.62788758315546067</v>
      </c>
    </row>
    <row r="2068" spans="1:24">
      <c r="A2068" s="799">
        <v>42470</v>
      </c>
      <c r="B2068">
        <v>419.53800000000001</v>
      </c>
      <c r="C2068">
        <v>503.16571800000003</v>
      </c>
      <c r="D2068">
        <v>1.35084</v>
      </c>
      <c r="E2068">
        <f>LN(D2068/参数实验室!$E$53)/参数实验室!$E$55</f>
        <v>-0.3381850870476068</v>
      </c>
      <c r="F2068">
        <f t="shared" si="268"/>
        <v>1.199332880454214</v>
      </c>
      <c r="G2068">
        <f>LN(F2068/参数实验室!$E$58)/参数实验室!$E$59</f>
        <v>-9.5129683224327646E-2</v>
      </c>
      <c r="H2068" s="856">
        <f>INDEX(神经网络!$G$10:$BO$70,MATCH(ROUND(G2068*2,1)/2,神经网络!$E$10:$E$70,0),MATCH(ROUND(E2068*2,1)/2,神经网络!$G$8:$BO$8,0))</f>
        <v>-0.26728515199184727</v>
      </c>
      <c r="I2068">
        <f t="shared" si="260"/>
        <v>923.05156975530747</v>
      </c>
      <c r="J2068">
        <f t="shared" si="261"/>
        <v>167.40672758469299</v>
      </c>
      <c r="K2068">
        <f t="shared" si="262"/>
        <v>5.513826015673863</v>
      </c>
      <c r="L2068" s="4">
        <f>MIN(MAX(L2067*(1+MAX(MIN(((B2068-B2067)/B2067)/($K$7*卓尔金历!$N$40),0),-卓尔金历!$M$43))+MIN(MAX(((B2068-B2067)/B2067)/($K$7*卓尔金历!$N$40),0),卓尔金历!$M$43),0),1)</f>
        <v>0.79964434704121656</v>
      </c>
      <c r="M2068" s="4">
        <f>MIN(MAX(M2067*(1+MAX(MIN(((B2068-B2067)/B2067)/($K$7*30),0),-卓尔金历!$M$43))+MIN(MAX(((B2068-B2067)/B2067)/($K$7*7),0),卓尔金历!$M$43),0),1)</f>
        <v>0.9981039028594616</v>
      </c>
      <c r="N2068">
        <f t="shared" si="263"/>
        <v>750.99609989511305</v>
      </c>
      <c r="O2068">
        <f t="shared" si="264"/>
        <v>1918.6566327226765</v>
      </c>
      <c r="P2068">
        <f t="shared" si="265"/>
        <v>2.9811781750026037E-3</v>
      </c>
      <c r="Q2068">
        <f t="shared" si="266"/>
        <v>7.8456330880919585E-3</v>
      </c>
      <c r="R2068">
        <f t="shared" si="267"/>
        <v>0.98339768892254664</v>
      </c>
      <c r="S2068">
        <f t="shared" si="259"/>
        <v>16.667899140764039</v>
      </c>
      <c r="T2068" s="564">
        <f>IF((I2068-MAX(I$470:I2068))/MAX(I$470:I2068)&gt;T2067,T2067,(I2068-MAX(I$470:I2068))/MAX(I$470:I2068))</f>
        <v>-0.91338805338419748</v>
      </c>
      <c r="U2068" s="564">
        <f>IF((J2068-MAX(J$470:J2068))/MAX(J$470:J2068)&gt;U2067,U2067,(J2068-MAX(J$470:J2068))/MAX(J$470:J2068))</f>
        <v>-0.8283551177402233</v>
      </c>
      <c r="V2068" s="564">
        <f>IF((K2068-MAX(K$470:K2068))/MAX(K$470:K2068)&gt;V2067,V2067,(K2068-MAX(K$470:K2068))/MAX(K$470:K2068))</f>
        <v>-0.84885940676762139</v>
      </c>
      <c r="W2068" s="564">
        <f>IF((N2068-MAX(N$470:N2068))/MAX(N$470:N2068)&gt;W2067,W2067,(N2068-MAX(N$470:N2068))/MAX(N$470:N2068))</f>
        <v>-0.62788758315546067</v>
      </c>
      <c r="X2068" s="564">
        <f>IF((O2068-MAX(O$470:O2068))/MAX(O$470:O2068)&gt;X2067,X2067,(O2068-MAX(O$470:O2068))/MAX(O$470:O2068))</f>
        <v>-0.62788758315546067</v>
      </c>
    </row>
    <row r="2069" spans="1:24">
      <c r="A2069" s="799">
        <v>42471</v>
      </c>
      <c r="B2069">
        <v>422.00900000000001</v>
      </c>
      <c r="C2069">
        <v>500.52462700000001</v>
      </c>
      <c r="D2069">
        <v>1.354498</v>
      </c>
      <c r="E2069">
        <f>LN(D2069/参数实验室!$E$53)/参数实验室!$E$55</f>
        <v>-0.33499469827070233</v>
      </c>
      <c r="F2069">
        <f t="shared" si="268"/>
        <v>1.1860520202175784</v>
      </c>
      <c r="G2069">
        <f>LN(F2069/参数实验室!$E$58)/参数实验室!$E$59</f>
        <v>-0.10097409450945438</v>
      </c>
      <c r="H2069" s="856">
        <f>INDEX(神经网络!$G$10:$BO$70,MATCH(ROUND(G2069*2,1)/2,神经网络!$E$10:$E$70,0),MATCH(ROUND(E2069*2,1)/2,神经网络!$G$8:$BO$8,0))</f>
        <v>-0.26728515199184727</v>
      </c>
      <c r="I2069">
        <f t="shared" si="260"/>
        <v>921.59844721002787</v>
      </c>
      <c r="J2069">
        <f t="shared" si="261"/>
        <v>168.39272175890792</v>
      </c>
      <c r="K2069">
        <f t="shared" si="262"/>
        <v>5.4729114036739865</v>
      </c>
      <c r="L2069" s="4">
        <f>MIN(MAX(L2068*(1+MAX(MIN(((B2069-B2068)/B2068)/($K$7*卓尔金历!$N$40),0),-卓尔金历!$M$43))+MIN(MAX(((B2069-B2068)/B2068)/($K$7*卓尔金历!$N$40),0),卓尔金历!$M$43),0),1)</f>
        <v>0.88963502430689367</v>
      </c>
      <c r="M2069" s="4">
        <f>MIN(MAX(M2068*(1+MAX(MIN(((B2069-B2068)/B2068)/($K$7*30),0),-卓尔金历!$M$43))+MIN(MAX(((B2069-B2068)/B2068)/($K$7*7),0),卓尔金历!$M$43),0),1)</f>
        <v>1</v>
      </c>
      <c r="N2069">
        <f t="shared" si="263"/>
        <v>750.05071027697966</v>
      </c>
      <c r="O2069">
        <f t="shared" si="264"/>
        <v>1915.6418967099969</v>
      </c>
      <c r="P2069">
        <f t="shared" si="265"/>
        <v>5.8898121266726814E-3</v>
      </c>
      <c r="Q2069">
        <f t="shared" si="266"/>
        <v>7.903618008414522E-3</v>
      </c>
      <c r="R2069">
        <f t="shared" si="267"/>
        <v>0.30424953678427175</v>
      </c>
      <c r="S2069">
        <f t="shared" si="259"/>
        <v>16.642095182969616</v>
      </c>
      <c r="T2069" s="564">
        <f>IF((I2069-MAX(I$470:I2069))/MAX(I$470:I2069)&gt;T2068,T2068,(I2069-MAX(I$470:I2069))/MAX(I$470:I2069))</f>
        <v>-0.91338805338419748</v>
      </c>
      <c r="U2069" s="564">
        <f>IF((J2069-MAX(J$470:J2069))/MAX(J$470:J2069)&gt;U2068,U2068,(J2069-MAX(J$470:J2069))/MAX(J$470:J2069))</f>
        <v>-0.8283551177402233</v>
      </c>
      <c r="V2069" s="564">
        <f>IF((K2069-MAX(K$470:K2069))/MAX(K$470:K2069)&gt;V2068,V2068,(K2069-MAX(K$470:K2069))/MAX(K$470:K2069))</f>
        <v>-0.84885940676762139</v>
      </c>
      <c r="W2069" s="564">
        <f>IF((N2069-MAX(N$470:N2069))/MAX(N$470:N2069)&gt;W2068,W2068,(N2069-MAX(N$470:N2069))/MAX(N$470:N2069))</f>
        <v>-0.62788758315546067</v>
      </c>
      <c r="X2069" s="564">
        <f>IF((O2069-MAX(O$470:O2069))/MAX(O$470:O2069)&gt;X2068,X2068,(O2069-MAX(O$470:O2069))/MAX(O$470:O2069))</f>
        <v>-0.62788758315546067</v>
      </c>
    </row>
    <row r="2070" spans="1:24">
      <c r="A2070" s="799">
        <v>42472</v>
      </c>
      <c r="B2070">
        <v>426.94099999999997</v>
      </c>
      <c r="C2070">
        <v>495.890873</v>
      </c>
      <c r="D2070">
        <v>1.3665449999999999</v>
      </c>
      <c r="E2070">
        <f>LN(D2070/参数实验室!$E$53)/参数实验室!$E$55</f>
        <v>-0.32454827739991282</v>
      </c>
      <c r="F2070">
        <f t="shared" si="268"/>
        <v>1.1614974270449547</v>
      </c>
      <c r="G2070">
        <f>LN(F2070/参数实验室!$E$58)/参数实验室!$E$59</f>
        <v>-0.11195409540864842</v>
      </c>
      <c r="H2070" s="856">
        <f>INDEX(神经网络!$G$10:$BO$70,MATCH(ROUND(G2070*2,1)/2,神经网络!$E$10:$E$70,0),MATCH(ROUND(E2070*2,1)/2,神经网络!$G$8:$BO$8,0))</f>
        <v>-0.2235375171131401</v>
      </c>
      <c r="I2070">
        <f t="shared" si="260"/>
        <v>918.71960459368722</v>
      </c>
      <c r="J2070">
        <f t="shared" si="261"/>
        <v>170.36071984358128</v>
      </c>
      <c r="K2070">
        <f t="shared" si="262"/>
        <v>5.3927901069989641</v>
      </c>
      <c r="L2070" s="4">
        <f>MIN(MAX(L2069*(1+MAX(MIN(((B2070-B2069)/B2069)/($K$7*卓尔金历!$N$40),0),-卓尔金历!$M$43))+MIN(MAX(((B2070-B2069)/B2069)/($K$7*卓尔金历!$N$40),0),卓尔金历!$M$43),0),1)</f>
        <v>1</v>
      </c>
      <c r="M2070" s="4">
        <f>MIN(MAX(M2069*(1+MAX(MIN(((B2070-B2069)/B2069)/($K$7*30),0),-卓尔金历!$M$43))+MIN(MAX(((B2070-B2069)/B2069)/($K$7*7),0),卓尔金历!$M$43),0),1)</f>
        <v>1</v>
      </c>
      <c r="N2070">
        <f t="shared" si="263"/>
        <v>747.96632168387441</v>
      </c>
      <c r="O2070">
        <f t="shared" si="264"/>
        <v>1909.6579114433207</v>
      </c>
      <c r="P2070">
        <f t="shared" si="265"/>
        <v>1.168695454362338E-2</v>
      </c>
      <c r="Q2070">
        <f t="shared" si="266"/>
        <v>8.0779945976192213E-3</v>
      </c>
      <c r="R2070">
        <f t="shared" si="267"/>
        <v>4.9845781276343258E-3</v>
      </c>
      <c r="S2070">
        <f t="shared" si="259"/>
        <v>16.626278547115447</v>
      </c>
      <c r="T2070" s="564">
        <f>IF((I2070-MAX(I$470:I2070))/MAX(I$470:I2070)&gt;T2069,T2069,(I2070-MAX(I$470:I2070))/MAX(I$470:I2070))</f>
        <v>-0.91338805338419748</v>
      </c>
      <c r="U2070" s="564">
        <f>IF((J2070-MAX(J$470:J2070))/MAX(J$470:J2070)&gt;U2069,U2069,(J2070-MAX(J$470:J2070))/MAX(J$470:J2070))</f>
        <v>-0.8283551177402233</v>
      </c>
      <c r="V2070" s="564">
        <f>IF((K2070-MAX(K$470:K2070))/MAX(K$470:K2070)&gt;V2069,V2069,(K2070-MAX(K$470:K2070))/MAX(K$470:K2070))</f>
        <v>-0.84885940676762139</v>
      </c>
      <c r="W2070" s="564">
        <f>IF((N2070-MAX(N$470:N2070))/MAX(N$470:N2070)&gt;W2069,W2069,(N2070-MAX(N$470:N2070))/MAX(N$470:N2070))</f>
        <v>-0.62788758315546067</v>
      </c>
      <c r="X2070" s="564">
        <f>IF((O2070-MAX(O$470:O2070))/MAX(O$470:O2070)&gt;X2069,X2069,(O2070-MAX(O$470:O2070))/MAX(O$470:O2070))</f>
        <v>-0.62788758315546067</v>
      </c>
    </row>
    <row r="2071" spans="1:24">
      <c r="A2071" s="799">
        <v>42473</v>
      </c>
      <c r="B2071">
        <v>426.29399999999998</v>
      </c>
      <c r="C2071">
        <v>492.34333600000002</v>
      </c>
      <c r="D2071">
        <v>1.3580749999999999</v>
      </c>
      <c r="E2071">
        <f>LN(D2071/参数实验室!$E$53)/参数实验室!$E$55</f>
        <v>-0.33188327616354957</v>
      </c>
      <c r="F2071">
        <f t="shared" si="268"/>
        <v>1.1549384603114283</v>
      </c>
      <c r="G2071">
        <f>LN(F2071/参数实验室!$E$58)/参数实验室!$E$59</f>
        <v>-0.11492634206331412</v>
      </c>
      <c r="H2071" s="856">
        <f>INDEX(神经网络!$G$10:$BO$70,MATCH(ROUND(G2071*2,1)/2,神经网络!$E$10:$E$70,0),MATCH(ROUND(E2071*2,1)/2,神经网络!$G$8:$BO$8,0))</f>
        <v>-0.26728515199184727</v>
      </c>
      <c r="I2071">
        <f t="shared" si="260"/>
        <v>919.03082626054322</v>
      </c>
      <c r="J2071">
        <f t="shared" si="261"/>
        <v>170.10254977853998</v>
      </c>
      <c r="K2071">
        <f t="shared" si="262"/>
        <v>5.4028045285449773</v>
      </c>
      <c r="L2071" s="4">
        <f>MIN(MAX(L2070*(1+MAX(MIN(((B2071-B2070)/B2070)/($K$7*卓尔金历!$N$40),0),-卓尔金历!$M$43))+MIN(MAX(((B2071-B2070)/B2070)/($K$7*卓尔金历!$N$40),0),卓尔金历!$M$43),0),1)</f>
        <v>0.97684565520634803</v>
      </c>
      <c r="M2071" s="4">
        <f>MIN(MAX(M2070*(1+MAX(MIN(((B2071-B2070)/B2070)/($K$7*30),0),-卓尔金历!$M$43))+MIN(MAX(((B2071-B2070)/B2070)/($K$7*7),0),卓尔金历!$M$43),0),1)</f>
        <v>0.98842282760317401</v>
      </c>
      <c r="N2071">
        <f t="shared" si="263"/>
        <v>748.21969967235168</v>
      </c>
      <c r="O2071">
        <f t="shared" si="264"/>
        <v>1910.3048192869678</v>
      </c>
      <c r="P2071">
        <f t="shared" si="265"/>
        <v>-1.5154318746618185E-3</v>
      </c>
      <c r="Q2071">
        <f t="shared" si="266"/>
        <v>7.9317580238139028E-3</v>
      </c>
      <c r="R2071">
        <f t="shared" si="267"/>
        <v>1</v>
      </c>
      <c r="S2071">
        <f t="shared" ref="S2071:S2134" si="269">S2070*(1+(B2071-B2070)/B2070*H2070*R2070)</f>
        <v>16.626306621503602</v>
      </c>
      <c r="T2071" s="564">
        <f>IF((I2071-MAX(I$470:I2071))/MAX(I$470:I2071)&gt;T2070,T2070,(I2071-MAX(I$470:I2071))/MAX(I$470:I2071))</f>
        <v>-0.91338805338419748</v>
      </c>
      <c r="U2071" s="564">
        <f>IF((J2071-MAX(J$470:J2071))/MAX(J$470:J2071)&gt;U2070,U2070,(J2071-MAX(J$470:J2071))/MAX(J$470:J2071))</f>
        <v>-0.8283551177402233</v>
      </c>
      <c r="V2071" s="564">
        <f>IF((K2071-MAX(K$470:K2071))/MAX(K$470:K2071)&gt;V2070,V2070,(K2071-MAX(K$470:K2071))/MAX(K$470:K2071))</f>
        <v>-0.84885940676762139</v>
      </c>
      <c r="W2071" s="564">
        <f>IF((N2071-MAX(N$470:N2071))/MAX(N$470:N2071)&gt;W2070,W2070,(N2071-MAX(N$470:N2071))/MAX(N$470:N2071))</f>
        <v>-0.62788758315546067</v>
      </c>
      <c r="X2071" s="564">
        <f>IF((O2071-MAX(O$470:O2071))/MAX(O$470:O2071)&gt;X2070,X2070,(O2071-MAX(O$470:O2071))/MAX(O$470:O2071))</f>
        <v>-0.62788758315546067</v>
      </c>
    </row>
    <row r="2072" spans="1:24">
      <c r="A2072" s="799">
        <v>42474</v>
      </c>
      <c r="B2072">
        <v>424.55200000000002</v>
      </c>
      <c r="C2072">
        <v>491.77632799999998</v>
      </c>
      <c r="D2072">
        <v>1.3608469999999999</v>
      </c>
      <c r="E2072">
        <f>LN(D2072/参数实验室!$E$53)/参数实验室!$E$55</f>
        <v>-0.32947770724663311</v>
      </c>
      <c r="F2072">
        <f t="shared" si="268"/>
        <v>1.1583418002977255</v>
      </c>
      <c r="G2072">
        <f>LN(F2072/参数实验室!$E$58)/参数实验室!$E$59</f>
        <v>-0.1133819913238194</v>
      </c>
      <c r="H2072" s="856">
        <f>INDEX(神经网络!$G$10:$BO$70,MATCH(ROUND(G2072*2,1)/2,神经网络!$E$10:$E$70,0),MATCH(ROUND(E2072*2,1)/2,神经网络!$G$8:$BO$8,0))</f>
        <v>-0.26728515199184727</v>
      </c>
      <c r="I2072">
        <f t="shared" ref="I2072:I2135" si="270">I2071*(1+(B2072-B2071)/B2071*H2071)</f>
        <v>920.03461852196676</v>
      </c>
      <c r="J2072">
        <f t="shared" ref="J2072:J2135" si="271">J2071*B2072/B2071</f>
        <v>169.40744583216915</v>
      </c>
      <c r="K2072">
        <f t="shared" ref="K2072:K2135" si="272">I2072/J2072</f>
        <v>5.4308983527999066</v>
      </c>
      <c r="L2072" s="4">
        <f>MIN(MAX(L2071*(1+MAX(MIN(((B2072-B2071)/B2071)/($K$7*卓尔金历!$N$40),0),-卓尔金历!$M$43))+MIN(MAX(((B2072-B2071)/B2071)/($K$7*卓尔金历!$N$40),0),卓尔金历!$M$43),0),1)</f>
        <v>0.91585532871463826</v>
      </c>
      <c r="M2072" s="4">
        <f>MIN(MAX(M2071*(1+MAX(MIN(((B2072-B2071)/B2071)/($K$7*30),0),-卓尔金历!$M$43))+MIN(MAX(((B2072-B2071)/B2071)/($K$7*7),0),卓尔金历!$M$43),0),1)</f>
        <v>0.95756624824179981</v>
      </c>
      <c r="N2072">
        <f t="shared" ref="N2072:N2135" si="273">N2071*(1+(B2072-B2071)/B2071*H2071*L2071)</f>
        <v>749.01800467728856</v>
      </c>
      <c r="O2072">
        <f t="shared" ref="O2072:O2135" si="274">O2071*(1+(B2072-B2071)/B2071*H2071*M2071)</f>
        <v>1912.3671542411364</v>
      </c>
      <c r="P2072">
        <f t="shared" ref="P2072:P2135" si="275">(B2072-B2071)/B2071</f>
        <v>-4.0863816990151444E-3</v>
      </c>
      <c r="Q2072">
        <f t="shared" si="266"/>
        <v>7.9516817099728916E-3</v>
      </c>
      <c r="R2072">
        <f t="shared" si="267"/>
        <v>0.67893564981038868</v>
      </c>
      <c r="S2072">
        <f t="shared" si="269"/>
        <v>16.64446635831094</v>
      </c>
      <c r="T2072" s="564">
        <f>IF((I2072-MAX(I$470:I2072))/MAX(I$470:I2072)&gt;T2071,T2071,(I2072-MAX(I$470:I2072))/MAX(I$470:I2072))</f>
        <v>-0.91338805338419748</v>
      </c>
      <c r="U2072" s="564">
        <f>IF((J2072-MAX(J$470:J2072))/MAX(J$470:J2072)&gt;U2071,U2071,(J2072-MAX(J$470:J2072))/MAX(J$470:J2072))</f>
        <v>-0.8283551177402233</v>
      </c>
      <c r="V2072" s="564">
        <f>IF((K2072-MAX(K$470:K2072))/MAX(K$470:K2072)&gt;V2071,V2071,(K2072-MAX(K$470:K2072))/MAX(K$470:K2072))</f>
        <v>-0.84885940676762139</v>
      </c>
      <c r="W2072" s="564">
        <f>IF((N2072-MAX(N$470:N2072))/MAX(N$470:N2072)&gt;W2071,W2071,(N2072-MAX(N$470:N2072))/MAX(N$470:N2072))</f>
        <v>-0.62788758315546067</v>
      </c>
      <c r="X2072" s="564">
        <f>IF((O2072-MAX(O$470:O2072))/MAX(O$470:O2072)&gt;X2071,X2071,(O2072-MAX(O$470:O2072))/MAX(O$470:O2072))</f>
        <v>-0.62788758315546067</v>
      </c>
    </row>
    <row r="2073" spans="1:24">
      <c r="A2073" s="799">
        <v>42475</v>
      </c>
      <c r="B2073">
        <v>425.97699999999998</v>
      </c>
      <c r="C2073">
        <v>496.43016599999999</v>
      </c>
      <c r="D2073">
        <v>1.375556</v>
      </c>
      <c r="E2073">
        <f>LN(D2073/参数实验室!$E$53)/参数实验室!$E$55</f>
        <v>-0.31679451869556968</v>
      </c>
      <c r="F2073">
        <f t="shared" si="268"/>
        <v>1.1653919483915798</v>
      </c>
      <c r="G2073">
        <f>LN(F2073/参数实验室!$E$58)/参数实验室!$E$59</f>
        <v>-0.1101971943673848</v>
      </c>
      <c r="H2073" s="856">
        <f>INDEX(神经网络!$G$10:$BO$70,MATCH(ROUND(G2073*2,1)/2,神经网络!$E$10:$E$70,0),MATCH(ROUND(E2073*2,1)/2,神经网络!$G$8:$BO$8,0))</f>
        <v>-0.2235375171131401</v>
      </c>
      <c r="I2073">
        <f t="shared" si="270"/>
        <v>919.20922135080662</v>
      </c>
      <c r="J2073">
        <f t="shared" si="271"/>
        <v>169.97605841746102</v>
      </c>
      <c r="K2073">
        <f t="shared" si="272"/>
        <v>5.4078746731097258</v>
      </c>
      <c r="L2073" s="4">
        <f>MIN(MAX(L2072*(1+MAX(MIN(((B2073-B2072)/B2072)/($K$7*卓尔金历!$N$40),0),-卓尔金历!$M$43))+MIN(MAX(((B2073-B2072)/B2072)/($K$7*卓尔金历!$N$40),0),卓尔金历!$M$43),0),1)</f>
        <v>0.96713911145455445</v>
      </c>
      <c r="M2073" s="4">
        <f>MIN(MAX(M2072*(1+MAX(MIN(((B2073-B2072)/B2072)/($K$7*30),0),-卓尔金历!$M$43))+MIN(MAX(((B2073-B2072)/B2072)/($K$7*7),0),卓尔金历!$M$43),0),1)</f>
        <v>1</v>
      </c>
      <c r="N2073">
        <f t="shared" si="273"/>
        <v>748.40257570008134</v>
      </c>
      <c r="O2073">
        <f t="shared" si="274"/>
        <v>1910.7243004554298</v>
      </c>
      <c r="P2073">
        <f t="shared" si="275"/>
        <v>3.3564793005331607E-3</v>
      </c>
      <c r="Q2073">
        <f t="shared" si="266"/>
        <v>7.9400747397594396E-3</v>
      </c>
      <c r="R2073">
        <f t="shared" si="267"/>
        <v>0.87582840981996801</v>
      </c>
      <c r="S2073">
        <f t="shared" si="269"/>
        <v>16.63432824137573</v>
      </c>
      <c r="T2073" s="564">
        <f>IF((I2073-MAX(I$470:I2073))/MAX(I$470:I2073)&gt;T2072,T2072,(I2073-MAX(I$470:I2073))/MAX(I$470:I2073))</f>
        <v>-0.91338805338419748</v>
      </c>
      <c r="U2073" s="564">
        <f>IF((J2073-MAX(J$470:J2073))/MAX(J$470:J2073)&gt;U2072,U2072,(J2073-MAX(J$470:J2073))/MAX(J$470:J2073))</f>
        <v>-0.8283551177402233</v>
      </c>
      <c r="V2073" s="564">
        <f>IF((K2073-MAX(K$470:K2073))/MAX(K$470:K2073)&gt;V2072,V2072,(K2073-MAX(K$470:K2073))/MAX(K$470:K2073))</f>
        <v>-0.84885940676762139</v>
      </c>
      <c r="W2073" s="564">
        <f>IF((N2073-MAX(N$470:N2073))/MAX(N$470:N2073)&gt;W2072,W2072,(N2073-MAX(N$470:N2073))/MAX(N$470:N2073))</f>
        <v>-0.62788758315546067</v>
      </c>
      <c r="X2073" s="564">
        <f>IF((O2073-MAX(O$470:O2073))/MAX(O$470:O2073)&gt;X2072,X2072,(O2073-MAX(O$470:O2073))/MAX(O$470:O2073))</f>
        <v>-0.62788758315546067</v>
      </c>
    </row>
    <row r="2074" spans="1:24">
      <c r="A2074" s="799">
        <v>42476</v>
      </c>
      <c r="B2074">
        <v>429.53899999999999</v>
      </c>
      <c r="C2074">
        <v>497.78594399999997</v>
      </c>
      <c r="D2074">
        <v>1.379715</v>
      </c>
      <c r="E2074">
        <f>LN(D2074/参数实验室!$E$53)/参数实验室!$E$55</f>
        <v>-0.31323291080419002</v>
      </c>
      <c r="F2074">
        <f t="shared" si="268"/>
        <v>1.158884161857247</v>
      </c>
      <c r="G2074">
        <f>LN(F2074/参数实验室!$E$58)/参数实验室!$E$59</f>
        <v>-0.11313630042688128</v>
      </c>
      <c r="H2074" s="856">
        <f>INDEX(神经网络!$G$10:$BO$70,MATCH(ROUND(G2074*2,1)/2,神经网络!$E$10:$E$70,0),MATCH(ROUND(E2074*2,1)/2,神经网络!$G$8:$BO$8,0))</f>
        <v>-0.2235375171131401</v>
      </c>
      <c r="I2074">
        <f t="shared" si="270"/>
        <v>917.49102592010047</v>
      </c>
      <c r="J2074">
        <f t="shared" si="271"/>
        <v>171.39739036750291</v>
      </c>
      <c r="K2074">
        <f t="shared" si="272"/>
        <v>5.3530046399939675</v>
      </c>
      <c r="L2074" s="4">
        <f>MIN(MAX(L2073*(1+MAX(MIN(((B2074-B2073)/B2073)/($K$7*卓尔金历!$N$40),0),-卓尔金历!$M$43))+MIN(MAX(((B2074-B2073)/B2073)/($K$7*卓尔金历!$N$40),0),卓尔金历!$M$43),0),1)</f>
        <v>1</v>
      </c>
      <c r="M2074" s="4">
        <f>MIN(MAX(M2073*(1+MAX(MIN(((B2074-B2073)/B2073)/($K$7*30),0),-卓尔金历!$M$43))+MIN(MAX(((B2074-B2073)/B2073)/($K$7*7),0),卓尔金历!$M$43),0),1)</f>
        <v>1</v>
      </c>
      <c r="N2074">
        <f t="shared" si="273"/>
        <v>747.04962364253322</v>
      </c>
      <c r="O2074">
        <f t="shared" si="274"/>
        <v>1907.1527547331652</v>
      </c>
      <c r="P2074">
        <f t="shared" si="275"/>
        <v>8.3619538144078485E-3</v>
      </c>
      <c r="Q2074">
        <f t="shared" si="266"/>
        <v>8.0783857636470661E-3</v>
      </c>
      <c r="R2074">
        <f t="shared" si="267"/>
        <v>7.6661418531550124E-3</v>
      </c>
      <c r="S2074">
        <f t="shared" si="269"/>
        <v>16.607096056741518</v>
      </c>
      <c r="T2074" s="564">
        <f>IF((I2074-MAX(I$470:I2074))/MAX(I$470:I2074)&gt;T2073,T2073,(I2074-MAX(I$470:I2074))/MAX(I$470:I2074))</f>
        <v>-0.91338805338419748</v>
      </c>
      <c r="U2074" s="564">
        <f>IF((J2074-MAX(J$470:J2074))/MAX(J$470:J2074)&gt;U2073,U2073,(J2074-MAX(J$470:J2074))/MAX(J$470:J2074))</f>
        <v>-0.8283551177402233</v>
      </c>
      <c r="V2074" s="564">
        <f>IF((K2074-MAX(K$470:K2074))/MAX(K$470:K2074)&gt;V2073,V2073,(K2074-MAX(K$470:K2074))/MAX(K$470:K2074))</f>
        <v>-0.84885940676762139</v>
      </c>
      <c r="W2074" s="564">
        <f>IF((N2074-MAX(N$470:N2074))/MAX(N$470:N2074)&gt;W2073,W2073,(N2074-MAX(N$470:N2074))/MAX(N$470:N2074))</f>
        <v>-0.62788758315546067</v>
      </c>
      <c r="X2074" s="564">
        <f>IF((O2074-MAX(O$470:O2074))/MAX(O$470:O2074)&gt;X2073,X2073,(O2074-MAX(O$470:O2074))/MAX(O$470:O2074))</f>
        <v>-0.62788758315546067</v>
      </c>
    </row>
    <row r="2075" spans="1:24">
      <c r="A2075" s="799">
        <v>42477</v>
      </c>
      <c r="B2075">
        <v>430.38200000000001</v>
      </c>
      <c r="C2075">
        <v>490.91853300000002</v>
      </c>
      <c r="D2075">
        <v>1.370384</v>
      </c>
      <c r="E2075">
        <f>LN(D2075/参数实验室!$E$53)/参数实验室!$E$55</f>
        <v>-0.3212386733335364</v>
      </c>
      <c r="F2075">
        <f t="shared" si="268"/>
        <v>1.1406576785274478</v>
      </c>
      <c r="G2075">
        <f>LN(F2075/参数实验室!$E$58)/参数实验室!$E$59</f>
        <v>-0.12145660461540467</v>
      </c>
      <c r="H2075" s="856">
        <f>INDEX(神经网络!$G$10:$BO$70,MATCH(ROUND(G2075*2,1)/2,神经网络!$E$10:$E$70,0),MATCH(ROUND(E2075*2,1)/2,神经网络!$G$8:$BO$8,0))</f>
        <v>-0.2235375171131401</v>
      </c>
      <c r="I2075">
        <f t="shared" si="270"/>
        <v>917.08851541381284</v>
      </c>
      <c r="J2075">
        <f t="shared" si="271"/>
        <v>171.73376960217033</v>
      </c>
      <c r="K2075">
        <f t="shared" si="272"/>
        <v>5.3401757705446826</v>
      </c>
      <c r="L2075" s="4">
        <f>MIN(MAX(L2074*(1+MAX(MIN(((B2075-B2074)/B2074)/($K$7*卓尔金历!$N$40),0),-卓尔金历!$M$43))+MIN(MAX(((B2075-B2074)/B2074)/($K$7*卓尔金历!$N$40),0),卓尔金历!$M$43),0),1)</f>
        <v>1</v>
      </c>
      <c r="M2075" s="4">
        <f>MIN(MAX(M2074*(1+MAX(MIN(((B2075-B2074)/B2074)/($K$7*30),0),-卓尔金历!$M$43))+MIN(MAX(((B2075-B2074)/B2074)/($K$7*7),0),卓尔金历!$M$43),0),1)</f>
        <v>1</v>
      </c>
      <c r="N2075">
        <f t="shared" si="273"/>
        <v>746.72188711570152</v>
      </c>
      <c r="O2075">
        <f t="shared" si="274"/>
        <v>1906.3160718674058</v>
      </c>
      <c r="P2075">
        <f t="shared" si="275"/>
        <v>1.9625691729971383E-3</v>
      </c>
      <c r="Q2075">
        <f t="shared" si="266"/>
        <v>8.0684369958015385E-3</v>
      </c>
      <c r="R2075">
        <f t="shared" si="267"/>
        <v>1</v>
      </c>
      <c r="S2075">
        <f t="shared" si="269"/>
        <v>16.607040203813614</v>
      </c>
      <c r="T2075" s="564">
        <f>IF((I2075-MAX(I$470:I2075))/MAX(I$470:I2075)&gt;T2074,T2074,(I2075-MAX(I$470:I2075))/MAX(I$470:I2075))</f>
        <v>-0.91338805338419748</v>
      </c>
      <c r="U2075" s="564">
        <f>IF((J2075-MAX(J$470:J2075))/MAX(J$470:J2075)&gt;U2074,U2074,(J2075-MAX(J$470:J2075))/MAX(J$470:J2075))</f>
        <v>-0.8283551177402233</v>
      </c>
      <c r="V2075" s="564">
        <f>IF((K2075-MAX(K$470:K2075))/MAX(K$470:K2075)&gt;V2074,V2074,(K2075-MAX(K$470:K2075))/MAX(K$470:K2075))</f>
        <v>-0.84885940676762139</v>
      </c>
      <c r="W2075" s="564">
        <f>IF((N2075-MAX(N$470:N2075))/MAX(N$470:N2075)&gt;W2074,W2074,(N2075-MAX(N$470:N2075))/MAX(N$470:N2075))</f>
        <v>-0.62788758315546067</v>
      </c>
      <c r="X2075" s="564">
        <f>IF((O2075-MAX(O$470:O2075))/MAX(O$470:O2075)&gt;X2074,X2074,(O2075-MAX(O$470:O2075))/MAX(O$470:O2075))</f>
        <v>-0.62788758315546067</v>
      </c>
    </row>
    <row r="2076" spans="1:24">
      <c r="A2076" s="799">
        <v>42478</v>
      </c>
      <c r="B2076">
        <v>428.73399999999998</v>
      </c>
      <c r="C2076">
        <v>491.91621800000001</v>
      </c>
      <c r="D2076">
        <v>1.371014</v>
      </c>
      <c r="E2076">
        <f>LN(D2076/参数实验室!$E$53)/参数实验室!$E$55</f>
        <v>-0.32069643571843159</v>
      </c>
      <c r="F2076">
        <f t="shared" si="268"/>
        <v>1.1473692732556784</v>
      </c>
      <c r="G2076">
        <f>LN(F2076/参数实验室!$E$58)/参数实验室!$E$59</f>
        <v>-0.11837742958256517</v>
      </c>
      <c r="H2076" s="856">
        <f>INDEX(神经网络!$G$10:$BO$70,MATCH(ROUND(G2076*2,1)/2,神经网络!$E$10:$E$70,0),MATCH(ROUND(E2076*2,1)/2,神经网络!$G$8:$BO$8,0))</f>
        <v>-0.2235375171131401</v>
      </c>
      <c r="I2076">
        <f t="shared" si="270"/>
        <v>917.87350660916889</v>
      </c>
      <c r="J2076">
        <f t="shared" si="271"/>
        <v>171.07617413510994</v>
      </c>
      <c r="K2076">
        <f t="shared" si="272"/>
        <v>5.3652912876357917</v>
      </c>
      <c r="L2076" s="4">
        <f>MIN(MAX(L2075*(1+MAX(MIN(((B2076-B2075)/B2075)/($K$7*卓尔金历!$N$40),0),-卓尔金历!$M$43))+MIN(MAX(((B2076-B2075)/B2075)/($K$7*卓尔金历!$N$40),0),卓尔金历!$M$43),0),1)</f>
        <v>0.94149416441043865</v>
      </c>
      <c r="M2076" s="4">
        <f>MIN(MAX(M2075*(1+MAX(MIN(((B2076-B2075)/B2075)/($K$7*30),0),-卓尔金历!$M$43))+MIN(MAX(((B2076-B2075)/B2075)/($K$7*7),0),卓尔金历!$M$43),0),1)</f>
        <v>0.97074708220521932</v>
      </c>
      <c r="N2076">
        <f t="shared" si="273"/>
        <v>747.36105127152018</v>
      </c>
      <c r="O2076">
        <f t="shared" si="274"/>
        <v>1907.9478024003156</v>
      </c>
      <c r="P2076">
        <f t="shared" si="275"/>
        <v>-3.8291564238281911E-3</v>
      </c>
      <c r="Q2076">
        <f t="shared" si="266"/>
        <v>7.2253273709523003E-3</v>
      </c>
      <c r="R2076">
        <f t="shared" si="267"/>
        <v>0.6481394948616449</v>
      </c>
      <c r="S2076">
        <f t="shared" si="269"/>
        <v>16.621255167933011</v>
      </c>
      <c r="T2076" s="564">
        <f>IF((I2076-MAX(I$470:I2076))/MAX(I$470:I2076)&gt;T2075,T2075,(I2076-MAX(I$470:I2076))/MAX(I$470:I2076))</f>
        <v>-0.91338805338419748</v>
      </c>
      <c r="U2076" s="564">
        <f>IF((J2076-MAX(J$470:J2076))/MAX(J$470:J2076)&gt;U2075,U2075,(J2076-MAX(J$470:J2076))/MAX(J$470:J2076))</f>
        <v>-0.8283551177402233</v>
      </c>
      <c r="V2076" s="564">
        <f>IF((K2076-MAX(K$470:K2076))/MAX(K$470:K2076)&gt;V2075,V2075,(K2076-MAX(K$470:K2076))/MAX(K$470:K2076))</f>
        <v>-0.84885940676762139</v>
      </c>
      <c r="W2076" s="564">
        <f>IF((N2076-MAX(N$470:N2076))/MAX(N$470:N2076)&gt;W2075,W2075,(N2076-MAX(N$470:N2076))/MAX(N$470:N2076))</f>
        <v>-0.62788758315546067</v>
      </c>
      <c r="X2076" s="564">
        <f>IF((O2076-MAX(O$470:O2076))/MAX(O$470:O2076)&gt;X2075,X2075,(O2076-MAX(O$470:O2076))/MAX(O$470:O2076))</f>
        <v>-0.62788758315546067</v>
      </c>
    </row>
    <row r="2077" spans="1:24">
      <c r="A2077" s="799">
        <v>42479</v>
      </c>
      <c r="B2077">
        <v>428.27100000000002</v>
      </c>
      <c r="C2077">
        <v>490.98743899999999</v>
      </c>
      <c r="D2077">
        <v>1.3950769999999999</v>
      </c>
      <c r="E2077">
        <f>LN(D2077/参数实验室!$E$53)/参数实验室!$E$55</f>
        <v>-0.30016991040667551</v>
      </c>
      <c r="F2077">
        <f t="shared" si="268"/>
        <v>1.1464410128166511</v>
      </c>
      <c r="G2077">
        <f>LN(F2077/参数实验室!$E$58)/参数实验室!$E$59</f>
        <v>-0.11880222606552639</v>
      </c>
      <c r="H2077" s="856">
        <f>INDEX(神经网络!$G$10:$BO$70,MATCH(ROUND(G2077*2,1)/2,神经网络!$E$10:$E$70,0),MATCH(ROUND(E2077*2,1)/2,神经网络!$G$8:$BO$8,0))</f>
        <v>-0.2235375171131401</v>
      </c>
      <c r="I2077">
        <f t="shared" si="270"/>
        <v>918.09508444823018</v>
      </c>
      <c r="J2077">
        <f t="shared" si="271"/>
        <v>170.89142492318703</v>
      </c>
      <c r="K2077">
        <f t="shared" si="272"/>
        <v>5.3723882568180308</v>
      </c>
      <c r="L2077" s="4">
        <f>MIN(MAX(L2076*(1+MAX(MIN(((B2077-B2076)/B2076)/($K$7*卓尔金历!$N$40),0),-卓尔金历!$M$43))+MIN(MAX(((B2077-B2076)/B2076)/($K$7*卓尔金历!$N$40),0),卓尔金历!$M$43),0),1)</f>
        <v>0.92595932471485898</v>
      </c>
      <c r="M2077" s="4">
        <f>MIN(MAX(M2076*(1+MAX(MIN(((B2077-B2076)/B2076)/($K$7*30),0),-卓尔金历!$M$43))+MIN(MAX(((B2077-B2076)/B2076)/($K$7*7),0),卓尔金历!$M$43),0),1)</f>
        <v>0.96273832289631101</v>
      </c>
      <c r="N2077">
        <f t="shared" si="273"/>
        <v>747.53091145205337</v>
      </c>
      <c r="O2077">
        <f t="shared" si="274"/>
        <v>1908.3949141377163</v>
      </c>
      <c r="P2077">
        <f t="shared" si="275"/>
        <v>-1.0799236822831067E-3</v>
      </c>
      <c r="Q2077">
        <f t="shared" si="266"/>
        <v>7.2320358997247647E-3</v>
      </c>
      <c r="R2077">
        <f t="shared" si="267"/>
        <v>1</v>
      </c>
      <c r="S2077">
        <f t="shared" si="269"/>
        <v>16.623855781303778</v>
      </c>
      <c r="T2077" s="564">
        <f>IF((I2077-MAX(I$470:I2077))/MAX(I$470:I2077)&gt;T2076,T2076,(I2077-MAX(I$470:I2077))/MAX(I$470:I2077))</f>
        <v>-0.91338805338419748</v>
      </c>
      <c r="U2077" s="564">
        <f>IF((J2077-MAX(J$470:J2077))/MAX(J$470:J2077)&gt;U2076,U2076,(J2077-MAX(J$470:J2077))/MAX(J$470:J2077))</f>
        <v>-0.8283551177402233</v>
      </c>
      <c r="V2077" s="564">
        <f>IF((K2077-MAX(K$470:K2077))/MAX(K$470:K2077)&gt;V2076,V2076,(K2077-MAX(K$470:K2077))/MAX(K$470:K2077))</f>
        <v>-0.84885940676762139</v>
      </c>
      <c r="W2077" s="564">
        <f>IF((N2077-MAX(N$470:N2077))/MAX(N$470:N2077)&gt;W2076,W2076,(N2077-MAX(N$470:N2077))/MAX(N$470:N2077))</f>
        <v>-0.62788758315546067</v>
      </c>
      <c r="X2077" s="564">
        <f>IF((O2077-MAX(O$470:O2077))/MAX(O$470:O2077)&gt;X2076,X2076,(O2077-MAX(O$470:O2077))/MAX(O$470:O2077))</f>
        <v>-0.62788758315546067</v>
      </c>
    </row>
    <row r="2078" spans="1:24">
      <c r="A2078" s="799">
        <v>42480</v>
      </c>
      <c r="B2078">
        <v>435.57900000000001</v>
      </c>
      <c r="C2078">
        <v>482.98590100000001</v>
      </c>
      <c r="D2078">
        <v>1.4100360000000001</v>
      </c>
      <c r="E2078">
        <f>LN(D2078/参数实验室!$E$53)/参数实验室!$E$55</f>
        <v>-0.28758710460020959</v>
      </c>
      <c r="F2078">
        <f t="shared" si="268"/>
        <v>1.1088365164528133</v>
      </c>
      <c r="G2078">
        <f>LN(F2078/参数实验室!$E$58)/参数实验室!$E$59</f>
        <v>-0.13630668048427336</v>
      </c>
      <c r="H2078" s="856">
        <f>INDEX(神经网络!$G$10:$BO$70,MATCH(ROUND(G2078*2,1)/2,神经网络!$E$10:$E$70,0),MATCH(ROUND(E2078*2,1)/2,神经网络!$G$8:$BO$8,0))</f>
        <v>-0.31016069708053556</v>
      </c>
      <c r="I2078">
        <f t="shared" si="270"/>
        <v>914.59306981772761</v>
      </c>
      <c r="J2078">
        <f t="shared" si="271"/>
        <v>173.80750967638923</v>
      </c>
      <c r="K2078">
        <f t="shared" si="272"/>
        <v>5.2621032976112536</v>
      </c>
      <c r="L2078" s="4">
        <f>MIN(MAX(L2077*(1+MAX(MIN(((B2078-B2077)/B2077)/($K$7*卓尔金历!$N$40),0),-卓尔金历!$M$43))+MIN(MAX(((B2078-B2077)/B2077)/($K$7*卓尔金历!$N$40),0),卓尔金历!$M$43),0),1)</f>
        <v>1</v>
      </c>
      <c r="M2078" s="4">
        <f>MIN(MAX(M2077*(1+MAX(MIN(((B2078-B2077)/B2077)/($K$7*30),0),-卓尔金历!$M$43))+MIN(MAX(((B2078-B2077)/B2077)/($K$7*7),0),卓尔金历!$M$43),0),1)</f>
        <v>1</v>
      </c>
      <c r="N2078">
        <f t="shared" si="273"/>
        <v>744.89062310133011</v>
      </c>
      <c r="O2078">
        <f t="shared" si="274"/>
        <v>1901.3867090226443</v>
      </c>
      <c r="P2078">
        <f t="shared" si="275"/>
        <v>1.7063961837247892E-2</v>
      </c>
      <c r="Q2078">
        <f t="shared" si="266"/>
        <v>6.1663513709182775E-3</v>
      </c>
      <c r="R2078">
        <f t="shared" si="267"/>
        <v>0</v>
      </c>
      <c r="S2078">
        <f t="shared" si="269"/>
        <v>16.56044515298473</v>
      </c>
      <c r="T2078" s="564">
        <f>IF((I2078-MAX(I$470:I2078))/MAX(I$470:I2078)&gt;T2077,T2077,(I2078-MAX(I$470:I2078))/MAX(I$470:I2078))</f>
        <v>-0.91338805338419748</v>
      </c>
      <c r="U2078" s="564">
        <f>IF((J2078-MAX(J$470:J2078))/MAX(J$470:J2078)&gt;U2077,U2077,(J2078-MAX(J$470:J2078))/MAX(J$470:J2078))</f>
        <v>-0.8283551177402233</v>
      </c>
      <c r="V2078" s="564">
        <f>IF((K2078-MAX(K$470:K2078))/MAX(K$470:K2078)&gt;V2077,V2077,(K2078-MAX(K$470:K2078))/MAX(K$470:K2078))</f>
        <v>-0.84885940676762139</v>
      </c>
      <c r="W2078" s="564">
        <f>IF((N2078-MAX(N$470:N2078))/MAX(N$470:N2078)&gt;W2077,W2077,(N2078-MAX(N$470:N2078))/MAX(N$470:N2078))</f>
        <v>-0.62788758315546067</v>
      </c>
      <c r="X2078" s="564">
        <f>IF((O2078-MAX(O$470:O2078))/MAX(O$470:O2078)&gt;X2077,X2077,(O2078-MAX(O$470:O2078))/MAX(O$470:O2078))</f>
        <v>-0.62788758315546067</v>
      </c>
    </row>
    <row r="2079" spans="1:24">
      <c r="A2079" s="799">
        <v>42481</v>
      </c>
      <c r="B2079">
        <v>443.29</v>
      </c>
      <c r="C2079">
        <v>482.40427699999998</v>
      </c>
      <c r="D2079">
        <v>1.4384459999999999</v>
      </c>
      <c r="E2079">
        <f>LN(D2079/参数实验室!$E$53)/参数实验室!$E$55</f>
        <v>-0.26405323561843935</v>
      </c>
      <c r="F2079">
        <f t="shared" si="268"/>
        <v>1.0882363170836247</v>
      </c>
      <c r="G2079">
        <f>LN(F2079/参数实验室!$E$58)/参数实验室!$E$59</f>
        <v>-0.14614924429991996</v>
      </c>
      <c r="H2079" s="856">
        <f>INDEX(神经网络!$G$10:$BO$70,MATCH(ROUND(G2079*2,1)/2,神经网络!$E$10:$E$70,0),MATCH(ROUND(E2079*2,1)/2,神经网络!$G$8:$BO$8,0))</f>
        <v>-0.26937055401147175</v>
      </c>
      <c r="I2079">
        <f t="shared" si="270"/>
        <v>909.57128106189111</v>
      </c>
      <c r="J2079">
        <f t="shared" si="271"/>
        <v>176.8844020589757</v>
      </c>
      <c r="K2079">
        <f t="shared" si="272"/>
        <v>5.142179132101357</v>
      </c>
      <c r="L2079" s="4">
        <f>MIN(MAX(L2078*(1+MAX(MIN(((B2079-B2078)/B2078)/($K$7*卓尔金历!$N$40),0),-卓尔金历!$M$43))+MIN(MAX(((B2079-B2078)/B2078)/($K$7*卓尔金历!$N$40),0),卓尔金历!$M$43),0),1)</f>
        <v>1</v>
      </c>
      <c r="M2079" s="4">
        <f>MIN(MAX(M2078*(1+MAX(MIN(((B2079-B2078)/B2078)/($K$7*30),0),-卓尔金历!$M$43))+MIN(MAX(((B2079-B2078)/B2078)/($K$7*7),0),卓尔金历!$M$43),0),1)</f>
        <v>1</v>
      </c>
      <c r="N2079">
        <f t="shared" si="273"/>
        <v>740.80062561625857</v>
      </c>
      <c r="O2079">
        <f t="shared" si="274"/>
        <v>1890.9466972720961</v>
      </c>
      <c r="P2079">
        <f t="shared" si="275"/>
        <v>1.7702873646342026E-2</v>
      </c>
      <c r="Q2079">
        <f t="shared" si="266"/>
        <v>6.9896748795845991E-3</v>
      </c>
      <c r="R2079">
        <f t="shared" si="267"/>
        <v>4.360045988204691E-4</v>
      </c>
      <c r="S2079">
        <f t="shared" si="269"/>
        <v>16.56044515298473</v>
      </c>
      <c r="T2079" s="564">
        <f>IF((I2079-MAX(I$470:I2079))/MAX(I$470:I2079)&gt;T2078,T2078,(I2079-MAX(I$470:I2079))/MAX(I$470:I2079))</f>
        <v>-0.91338805338419748</v>
      </c>
      <c r="U2079" s="564">
        <f>IF((J2079-MAX(J$470:J2079))/MAX(J$470:J2079)&gt;U2078,U2078,(J2079-MAX(J$470:J2079))/MAX(J$470:J2079))</f>
        <v>-0.8283551177402233</v>
      </c>
      <c r="V2079" s="564">
        <f>IF((K2079-MAX(K$470:K2079))/MAX(K$470:K2079)&gt;V2078,V2078,(K2079-MAX(K$470:K2079))/MAX(K$470:K2079))</f>
        <v>-0.84885940676762139</v>
      </c>
      <c r="W2079" s="564">
        <f>IF((N2079-MAX(N$470:N2079))/MAX(N$470:N2079)&gt;W2078,W2078,(N2079-MAX(N$470:N2079))/MAX(N$470:N2079))</f>
        <v>-0.62788758315546067</v>
      </c>
      <c r="X2079" s="564">
        <f>IF((O2079-MAX(O$470:O2079))/MAX(O$470:O2079)&gt;X2078,X2078,(O2079-MAX(O$470:O2079))/MAX(O$470:O2079))</f>
        <v>-0.62788758315546067</v>
      </c>
    </row>
    <row r="2080" spans="1:24">
      <c r="A2080" s="799">
        <v>42482</v>
      </c>
      <c r="B2080">
        <v>445.702</v>
      </c>
      <c r="C2080">
        <v>484.68639000000002</v>
      </c>
      <c r="D2080">
        <v>1.424458</v>
      </c>
      <c r="E2080">
        <f>LN(D2080/参数实验室!$E$53)/参数实验室!$E$55</f>
        <v>-0.27558175330275686</v>
      </c>
      <c r="F2080">
        <f t="shared" si="268"/>
        <v>1.0874673885241708</v>
      </c>
      <c r="G2080">
        <f>LN(F2080/参数实验室!$E$58)/参数实验室!$E$59</f>
        <v>-0.14652022797663355</v>
      </c>
      <c r="H2080" s="856">
        <f>INDEX(神经网络!$G$10:$BO$70,MATCH(ROUND(G2080*2,1)/2,神经网络!$E$10:$E$70,0),MATCH(ROUND(E2080*2,1)/2,神经网络!$G$8:$BO$8,0))</f>
        <v>-0.31016069708053556</v>
      </c>
      <c r="I2080">
        <f t="shared" si="270"/>
        <v>908.23813962314705</v>
      </c>
      <c r="J2080">
        <f t="shared" si="271"/>
        <v>177.84685367702764</v>
      </c>
      <c r="K2080">
        <f t="shared" si="272"/>
        <v>5.106855256897151</v>
      </c>
      <c r="L2080" s="4">
        <f>MIN(MAX(L2079*(1+MAX(MIN(((B2080-B2079)/B2079)/($K$7*卓尔金历!$N$40),0),-卓尔金历!$M$43))+MIN(MAX(((B2080-B2079)/B2079)/($K$7*卓尔金历!$N$40),0),卓尔金历!$M$43),0),1)</f>
        <v>1</v>
      </c>
      <c r="M2080" s="4">
        <f>MIN(MAX(M2079*(1+MAX(MIN(((B2080-B2079)/B2079)/($K$7*30),0),-卓尔金历!$M$43))+MIN(MAX(((B2080-B2079)/B2079)/($K$7*7),0),卓尔金历!$M$43),0),1)</f>
        <v>1</v>
      </c>
      <c r="N2080">
        <f t="shared" si="273"/>
        <v>739.71484813799032</v>
      </c>
      <c r="O2080">
        <f t="shared" si="274"/>
        <v>1888.1751724305832</v>
      </c>
      <c r="P2080">
        <f t="shared" si="275"/>
        <v>5.4411333438606274E-3</v>
      </c>
      <c r="Q2080">
        <f t="shared" si="266"/>
        <v>7.0002363846420048E-3</v>
      </c>
      <c r="R2080">
        <f t="shared" si="267"/>
        <v>0.2607073124830579</v>
      </c>
      <c r="S2080">
        <f t="shared" si="269"/>
        <v>16.560434570136565</v>
      </c>
      <c r="T2080" s="564">
        <f>IF((I2080-MAX(I$470:I2080))/MAX(I$470:I2080)&gt;T2079,T2079,(I2080-MAX(I$470:I2080))/MAX(I$470:I2080))</f>
        <v>-0.91338805338419748</v>
      </c>
      <c r="U2080" s="564">
        <f>IF((J2080-MAX(J$470:J2080))/MAX(J$470:J2080)&gt;U2079,U2079,(J2080-MAX(J$470:J2080))/MAX(J$470:J2080))</f>
        <v>-0.8283551177402233</v>
      </c>
      <c r="V2080" s="564">
        <f>IF((K2080-MAX(K$470:K2080))/MAX(K$470:K2080)&gt;V2079,V2079,(K2080-MAX(K$470:K2080))/MAX(K$470:K2080))</f>
        <v>-0.84885940676762139</v>
      </c>
      <c r="W2080" s="564">
        <f>IF((N2080-MAX(N$470:N2080))/MAX(N$470:N2080)&gt;W2079,W2079,(N2080-MAX(N$470:N2080))/MAX(N$470:N2080))</f>
        <v>-0.62788758315546067</v>
      </c>
      <c r="X2080" s="564">
        <f>IF((O2080-MAX(O$470:O2080))/MAX(O$470:O2080)&gt;X2079,X2079,(O2080-MAX(O$470:O2080))/MAX(O$470:O2080))</f>
        <v>-0.62788758315546067</v>
      </c>
    </row>
    <row r="2081" spans="1:24">
      <c r="A2081" s="799">
        <v>42483</v>
      </c>
      <c r="B2081">
        <v>444.88400000000001</v>
      </c>
      <c r="C2081">
        <v>486.01507600000002</v>
      </c>
      <c r="D2081">
        <v>1.4412670000000001</v>
      </c>
      <c r="E2081">
        <f>LN(D2081/参数实验室!$E$53)/参数实验室!$E$55</f>
        <v>-0.26174183516580229</v>
      </c>
      <c r="F2081">
        <f t="shared" si="268"/>
        <v>1.0924534845038256</v>
      </c>
      <c r="G2081">
        <f>LN(F2081/参数实验室!$E$58)/参数实验室!$E$59</f>
        <v>-0.14411924431689108</v>
      </c>
      <c r="H2081" s="856">
        <f>INDEX(神经网络!$G$10:$BO$70,MATCH(ROUND(G2081*2,1)/2,神经网络!$E$10:$E$70,0),MATCH(ROUND(E2081*2,1)/2,神经网络!$G$8:$BO$8,0))</f>
        <v>-0.26937055401147175</v>
      </c>
      <c r="I2081">
        <f t="shared" si="270"/>
        <v>908.75514519086153</v>
      </c>
      <c r="J2081">
        <f t="shared" si="271"/>
        <v>177.52045010175132</v>
      </c>
      <c r="K2081">
        <f t="shared" si="272"/>
        <v>5.1191575092896651</v>
      </c>
      <c r="L2081" s="4">
        <f>MIN(MAX(L2080*(1+MAX(MIN(((B2081-B2080)/B2080)/($K$7*卓尔金历!$N$40),0),-卓尔金历!$M$43))+MIN(MAX(((B2081-B2080)/B2080)/($K$7*卓尔金历!$N$40),0),卓尔金历!$M$43),0),1)</f>
        <v>0.97195827026999626</v>
      </c>
      <c r="M2081" s="4">
        <f>MIN(MAX(M2080*(1+MAX(MIN(((B2081-B2080)/B2080)/($K$7*30),0),-卓尔金历!$M$43))+MIN(MAX(((B2081-B2080)/B2080)/($K$7*7),0),卓尔金历!$M$43),0),1)</f>
        <v>0.98597913513499813</v>
      </c>
      <c r="N2081">
        <f t="shared" si="273"/>
        <v>740.13592349072451</v>
      </c>
      <c r="O2081">
        <f t="shared" si="274"/>
        <v>1889.2499974510033</v>
      </c>
      <c r="P2081">
        <f t="shared" si="275"/>
        <v>-1.8353069988467263E-3</v>
      </c>
      <c r="Q2081">
        <f t="shared" si="266"/>
        <v>6.9654863487909448E-3</v>
      </c>
      <c r="R2081">
        <f t="shared" si="267"/>
        <v>1</v>
      </c>
      <c r="S2081">
        <f t="shared" si="269"/>
        <v>16.56289222235862</v>
      </c>
      <c r="T2081" s="564">
        <f>IF((I2081-MAX(I$470:I2081))/MAX(I$470:I2081)&gt;T2080,T2080,(I2081-MAX(I$470:I2081))/MAX(I$470:I2081))</f>
        <v>-0.91338805338419748</v>
      </c>
      <c r="U2081" s="564">
        <f>IF((J2081-MAX(J$470:J2081))/MAX(J$470:J2081)&gt;U2080,U2080,(J2081-MAX(J$470:J2081))/MAX(J$470:J2081))</f>
        <v>-0.8283551177402233</v>
      </c>
      <c r="V2081" s="564">
        <f>IF((K2081-MAX(K$470:K2081))/MAX(K$470:K2081)&gt;V2080,V2080,(K2081-MAX(K$470:K2081))/MAX(K$470:K2081))</f>
        <v>-0.84885940676762139</v>
      </c>
      <c r="W2081" s="564">
        <f>IF((N2081-MAX(N$470:N2081))/MAX(N$470:N2081)&gt;W2080,W2080,(N2081-MAX(N$470:N2081))/MAX(N$470:N2081))</f>
        <v>-0.62788758315546067</v>
      </c>
      <c r="X2081" s="564">
        <f>IF((O2081-MAX(O$470:O2081))/MAX(O$470:O2081)&gt;X2080,X2080,(O2081-MAX(O$470:O2081))/MAX(O$470:O2081))</f>
        <v>-0.62788758315546067</v>
      </c>
    </row>
    <row r="2082" spans="1:24">
      <c r="A2082" s="799">
        <v>42484</v>
      </c>
      <c r="B2082">
        <v>453.82400000000001</v>
      </c>
      <c r="C2082">
        <v>490.89606700000002</v>
      </c>
      <c r="D2082">
        <v>1.4698469999999999</v>
      </c>
      <c r="E2082">
        <f>LN(D2082/参数实验室!$E$53)/参数实验室!$E$55</f>
        <v>-0.23857652384579819</v>
      </c>
      <c r="F2082">
        <f t="shared" si="268"/>
        <v>1.0816882029156678</v>
      </c>
      <c r="G2082">
        <f>LN(F2082/参数实验室!$E$58)/参数实验室!$E$59</f>
        <v>-0.14931692556829046</v>
      </c>
      <c r="H2082" s="856">
        <f>INDEX(神经网络!$G$10:$BO$70,MATCH(ROUND(G2082*2,1)/2,神经网络!$E$10:$E$70,0),MATCH(ROUND(E2082*2,1)/2,神经网络!$G$8:$BO$8,0))</f>
        <v>-0.26937055401147175</v>
      </c>
      <c r="I2082">
        <f t="shared" si="270"/>
        <v>903.83602159983036</v>
      </c>
      <c r="J2082">
        <f t="shared" si="271"/>
        <v>181.08774590000357</v>
      </c>
      <c r="K2082">
        <f t="shared" si="272"/>
        <v>4.9911495507759396</v>
      </c>
      <c r="L2082" s="4">
        <f>MIN(MAX(L2081*(1+MAX(MIN(((B2082-B2081)/B2081)/($K$7*卓尔金历!$N$40),0),-卓尔金历!$M$43))+MIN(MAX(((B2082-B2081)/B2081)/($K$7*卓尔金历!$N$40),0),卓尔金历!$M$43),0),1)</f>
        <v>1</v>
      </c>
      <c r="M2082" s="4">
        <f>MIN(MAX(M2081*(1+MAX(MIN(((B2082-B2081)/B2081)/($K$7*30),0),-卓尔金历!$M$43))+MIN(MAX(((B2082-B2081)/B2081)/($K$7*7),0),卓尔金历!$M$43),0),1)</f>
        <v>1</v>
      </c>
      <c r="N2082">
        <f t="shared" si="273"/>
        <v>736.24188755837235</v>
      </c>
      <c r="O2082">
        <f t="shared" si="274"/>
        <v>1879.1668061597136</v>
      </c>
      <c r="P2082">
        <f t="shared" si="275"/>
        <v>2.0095125920464654E-2</v>
      </c>
      <c r="Q2082">
        <f t="shared" si="266"/>
        <v>7.8567596583289205E-3</v>
      </c>
      <c r="R2082">
        <f t="shared" si="267"/>
        <v>4.2417701384219998E-4</v>
      </c>
      <c r="S2082">
        <f t="shared" si="269"/>
        <v>16.473236703709976</v>
      </c>
      <c r="T2082" s="564">
        <f>IF((I2082-MAX(I$470:I2082))/MAX(I$470:I2082)&gt;T2081,T2081,(I2082-MAX(I$470:I2082))/MAX(I$470:I2082))</f>
        <v>-0.91338805338419748</v>
      </c>
      <c r="U2082" s="564">
        <f>IF((J2082-MAX(J$470:J2082))/MAX(J$470:J2082)&gt;U2081,U2081,(J2082-MAX(J$470:J2082))/MAX(J$470:J2082))</f>
        <v>-0.8283551177402233</v>
      </c>
      <c r="V2082" s="564">
        <f>IF((K2082-MAX(K$470:K2082))/MAX(K$470:K2082)&gt;V2081,V2081,(K2082-MAX(K$470:K2082))/MAX(K$470:K2082))</f>
        <v>-0.84885940676762139</v>
      </c>
      <c r="W2082" s="564">
        <f>IF((N2082-MAX(N$470:N2082))/MAX(N$470:N2082)&gt;W2081,W2081,(N2082-MAX(N$470:N2082))/MAX(N$470:N2082))</f>
        <v>-0.62788758315546067</v>
      </c>
      <c r="X2082" s="564">
        <f>IF((O2082-MAX(O$470:O2082))/MAX(O$470:O2082)&gt;X2081,X2081,(O2082-MAX(O$470:O2082))/MAX(O$470:O2082))</f>
        <v>-0.62788758315546067</v>
      </c>
    </row>
    <row r="2083" spans="1:24">
      <c r="A2083" s="799">
        <v>42485</v>
      </c>
      <c r="B2083">
        <v>457.70100000000002</v>
      </c>
      <c r="C2083">
        <v>499.82342299999999</v>
      </c>
      <c r="D2083">
        <v>1.4728889999999999</v>
      </c>
      <c r="E2083">
        <f>LN(D2083/参数实验室!$E$53)/参数实验室!$E$55</f>
        <v>-0.23613742591346576</v>
      </c>
      <c r="F2083">
        <f t="shared" si="268"/>
        <v>1.0920304369009461</v>
      </c>
      <c r="G2083">
        <f>LN(F2083/参数实验室!$E$58)/参数实验室!$E$59</f>
        <v>-0.14432253100203202</v>
      </c>
      <c r="H2083" s="856">
        <f>INDEX(神经网络!$G$10:$BO$70,MATCH(ROUND(G2083*2,1)/2,神经网络!$E$10:$E$70,0),MATCH(ROUND(E2083*2,1)/2,神经网络!$G$8:$BO$8,0))</f>
        <v>-0.26937055401147175</v>
      </c>
      <c r="I2083">
        <f t="shared" si="270"/>
        <v>901.75609453144921</v>
      </c>
      <c r="J2083">
        <f t="shared" si="271"/>
        <v>182.63477115837313</v>
      </c>
      <c r="K2083">
        <f t="shared" si="272"/>
        <v>4.9374830915931369</v>
      </c>
      <c r="L2083" s="4">
        <f>MIN(MAX(L2082*(1+MAX(MIN(((B2083-B2082)/B2082)/($K$7*卓尔金历!$N$40),0),-卓尔金历!$M$43))+MIN(MAX(((B2083-B2082)/B2082)/($K$7*卓尔金历!$N$40),0),卓尔金历!$M$43),0),1)</f>
        <v>1</v>
      </c>
      <c r="M2083" s="4">
        <f>MIN(MAX(M2082*(1+MAX(MIN(((B2083-B2082)/B2082)/($K$7*30),0),-卓尔金历!$M$43))+MIN(MAX(((B2083-B2082)/B2082)/($K$7*7),0),卓尔金历!$M$43),0),1)</f>
        <v>1</v>
      </c>
      <c r="N2083">
        <f t="shared" si="273"/>
        <v>734.54763174845436</v>
      </c>
      <c r="O2083">
        <f t="shared" si="274"/>
        <v>1874.8424267228147</v>
      </c>
      <c r="P2083">
        <f t="shared" si="275"/>
        <v>8.542959385136108E-3</v>
      </c>
      <c r="Q2083">
        <f t="shared" si="266"/>
        <v>7.9133174181448569E-3</v>
      </c>
      <c r="R2083">
        <f t="shared" si="267"/>
        <v>7.2552430695307837E-3</v>
      </c>
      <c r="S2083">
        <f t="shared" si="269"/>
        <v>16.473220623766032</v>
      </c>
      <c r="T2083" s="564">
        <f>IF((I2083-MAX(I$470:I2083))/MAX(I$470:I2083)&gt;T2082,T2082,(I2083-MAX(I$470:I2083))/MAX(I$470:I2083))</f>
        <v>-0.91338805338419748</v>
      </c>
      <c r="U2083" s="564">
        <f>IF((J2083-MAX(J$470:J2083))/MAX(J$470:J2083)&gt;U2082,U2082,(J2083-MAX(J$470:J2083))/MAX(J$470:J2083))</f>
        <v>-0.8283551177402233</v>
      </c>
      <c r="V2083" s="564">
        <f>IF((K2083-MAX(K$470:K2083))/MAX(K$470:K2083)&gt;V2082,V2082,(K2083-MAX(K$470:K2083))/MAX(K$470:K2083))</f>
        <v>-0.84885940676762139</v>
      </c>
      <c r="W2083" s="564">
        <f>IF((N2083-MAX(N$470:N2083))/MAX(N$470:N2083)&gt;W2082,W2082,(N2083-MAX(N$470:N2083))/MAX(N$470:N2083))</f>
        <v>-0.62788758315546067</v>
      </c>
      <c r="X2083" s="564">
        <f>IF((O2083-MAX(O$470:O2083))/MAX(O$470:O2083)&gt;X2082,X2082,(O2083-MAX(O$470:O2083))/MAX(O$470:O2083))</f>
        <v>-0.62788758315546067</v>
      </c>
    </row>
    <row r="2084" spans="1:24">
      <c r="A2084" s="799">
        <v>42486</v>
      </c>
      <c r="B2084">
        <v>462.84300000000002</v>
      </c>
      <c r="C2084">
        <v>496.87915199999998</v>
      </c>
      <c r="D2084">
        <v>1.4839370000000001</v>
      </c>
      <c r="E2084">
        <f>LN(D2084/参数实验室!$E$53)/参数实验室!$E$55</f>
        <v>-0.22732123280957575</v>
      </c>
      <c r="F2084">
        <f t="shared" si="268"/>
        <v>1.0735371432645626</v>
      </c>
      <c r="G2084">
        <f>LN(F2084/参数实验室!$E$58)/参数实验室!$E$59</f>
        <v>-0.15328693920830952</v>
      </c>
      <c r="H2084" s="856">
        <f>INDEX(神经网络!$G$10:$BO$70,MATCH(ROUND(G2084*2,1)/2,神经网络!$E$10:$E$70,0),MATCH(ROUND(E2084*2,1)/2,神经网络!$G$8:$BO$8,0))</f>
        <v>-0.26937055401147175</v>
      </c>
      <c r="I2084">
        <f t="shared" si="270"/>
        <v>899.02718325019634</v>
      </c>
      <c r="J2084">
        <f t="shared" si="271"/>
        <v>184.68656478193162</v>
      </c>
      <c r="K2084">
        <f t="shared" si="272"/>
        <v>4.8678537299760887</v>
      </c>
      <c r="L2084" s="4">
        <f>MIN(MAX(L2083*(1+MAX(MIN(((B2084-B2083)/B2083)/($K$7*卓尔金历!$N$40),0),-卓尔金历!$M$43))+MIN(MAX(((B2084-B2083)/B2083)/($K$7*卓尔金历!$N$40),0),卓尔金历!$M$43),0),1)</f>
        <v>1</v>
      </c>
      <c r="M2084" s="4">
        <f>MIN(MAX(M2083*(1+MAX(MIN(((B2084-B2083)/B2083)/($K$7*30),0),-卓尔金历!$M$43))+MIN(MAX(((B2084-B2083)/B2083)/($K$7*7),0),卓尔金历!$M$43),0),1)</f>
        <v>1</v>
      </c>
      <c r="N2084">
        <f t="shared" si="273"/>
        <v>732.32472986727828</v>
      </c>
      <c r="O2084">
        <f t="shared" si="274"/>
        <v>1869.1687432513281</v>
      </c>
      <c r="P2084">
        <f t="shared" si="275"/>
        <v>1.1234408489384982E-2</v>
      </c>
      <c r="Q2084">
        <f t="shared" si="266"/>
        <v>8.0633198967698834E-3</v>
      </c>
      <c r="R2084">
        <f t="shared" si="267"/>
        <v>5.288819120551934E-3</v>
      </c>
      <c r="S2084">
        <f t="shared" si="269"/>
        <v>16.472858938504025</v>
      </c>
      <c r="T2084" s="564">
        <f>IF((I2084-MAX(I$470:I2084))/MAX(I$470:I2084)&gt;T2083,T2083,(I2084-MAX(I$470:I2084))/MAX(I$470:I2084))</f>
        <v>-0.91338805338419748</v>
      </c>
      <c r="U2084" s="564">
        <f>IF((J2084-MAX(J$470:J2084))/MAX(J$470:J2084)&gt;U2083,U2083,(J2084-MAX(J$470:J2084))/MAX(J$470:J2084))</f>
        <v>-0.8283551177402233</v>
      </c>
      <c r="V2084" s="564">
        <f>IF((K2084-MAX(K$470:K2084))/MAX(K$470:K2084)&gt;V2083,V2083,(K2084-MAX(K$470:K2084))/MAX(K$470:K2084))</f>
        <v>-0.84885940676762139</v>
      </c>
      <c r="W2084" s="564">
        <f>IF((N2084-MAX(N$470:N2084))/MAX(N$470:N2084)&gt;W2083,W2083,(N2084-MAX(N$470:N2084))/MAX(N$470:N2084))</f>
        <v>-0.62788758315546067</v>
      </c>
      <c r="X2084" s="564">
        <f>IF((O2084-MAX(O$470:O2084))/MAX(O$470:O2084)&gt;X2083,X2083,(O2084-MAX(O$470:O2084))/MAX(O$470:O2084))</f>
        <v>-0.62788758315546067</v>
      </c>
    </row>
    <row r="2085" spans="1:24">
      <c r="A2085" s="799">
        <v>42487</v>
      </c>
      <c r="B2085">
        <v>465.37900000000002</v>
      </c>
      <c r="C2085">
        <v>511.087715</v>
      </c>
      <c r="D2085">
        <v>1.409538</v>
      </c>
      <c r="E2085">
        <f>LN(D2085/参数实验室!$E$53)/参数实验室!$E$55</f>
        <v>-0.2880038463644673</v>
      </c>
      <c r="F2085">
        <f t="shared" si="268"/>
        <v>1.0982182586665921</v>
      </c>
      <c r="G2085">
        <f>LN(F2085/参数实验室!$E$58)/参数实验室!$E$59</f>
        <v>-0.14135692082380899</v>
      </c>
      <c r="H2085" s="856">
        <f>INDEX(神经网络!$G$10:$BO$70,MATCH(ROUND(G2085*2,1)/2,神经网络!$E$10:$E$70,0),MATCH(ROUND(E2085*2,1)/2,神经网络!$G$8:$BO$8,0))</f>
        <v>-0.31016069708053556</v>
      </c>
      <c r="I2085">
        <f t="shared" si="270"/>
        <v>897.70028233936068</v>
      </c>
      <c r="J2085">
        <f t="shared" si="271"/>
        <v>185.69849567056337</v>
      </c>
      <c r="K2085">
        <f t="shared" si="272"/>
        <v>4.8341817692046209</v>
      </c>
      <c r="L2085" s="4">
        <f>MIN(MAX(L2084*(1+MAX(MIN(((B2085-B2084)/B2084)/($K$7*卓尔金历!$N$40),0),-卓尔金历!$M$43))+MIN(MAX(((B2085-B2084)/B2084)/($K$7*卓尔金历!$N$40),0),卓尔金历!$M$43),0),1)</f>
        <v>1</v>
      </c>
      <c r="M2085" s="4">
        <f>MIN(MAX(M2084*(1+MAX(MIN(((B2085-B2084)/B2084)/($K$7*30),0),-卓尔金历!$M$43))+MIN(MAX(((B2085-B2084)/B2084)/($K$7*7),0),卓尔金历!$M$43),0),1)</f>
        <v>1</v>
      </c>
      <c r="N2085">
        <f t="shared" si="273"/>
        <v>731.24387005659332</v>
      </c>
      <c r="O2085">
        <f t="shared" si="274"/>
        <v>1866.4099816097064</v>
      </c>
      <c r="P2085">
        <f t="shared" si="275"/>
        <v>5.4791797650607255E-3</v>
      </c>
      <c r="Q2085">
        <f t="shared" si="266"/>
        <v>8.0537798745313194E-3</v>
      </c>
      <c r="R2085">
        <f t="shared" si="267"/>
        <v>0.39635531780345568</v>
      </c>
      <c r="S2085">
        <f t="shared" si="269"/>
        <v>16.472730352599999</v>
      </c>
      <c r="T2085" s="564">
        <f>IF((I2085-MAX(I$470:I2085))/MAX(I$470:I2085)&gt;T2084,T2084,(I2085-MAX(I$470:I2085))/MAX(I$470:I2085))</f>
        <v>-0.91338805338419748</v>
      </c>
      <c r="U2085" s="564">
        <f>IF((J2085-MAX(J$470:J2085))/MAX(J$470:J2085)&gt;U2084,U2084,(J2085-MAX(J$470:J2085))/MAX(J$470:J2085))</f>
        <v>-0.8283551177402233</v>
      </c>
      <c r="V2085" s="564">
        <f>IF((K2085-MAX(K$470:K2085))/MAX(K$470:K2085)&gt;V2084,V2084,(K2085-MAX(K$470:K2085))/MAX(K$470:K2085))</f>
        <v>-0.84885940676762139</v>
      </c>
      <c r="W2085" s="564">
        <f>IF((N2085-MAX(N$470:N2085))/MAX(N$470:N2085)&gt;W2084,W2084,(N2085-MAX(N$470:N2085))/MAX(N$470:N2085))</f>
        <v>-0.62788758315546067</v>
      </c>
      <c r="X2085" s="564">
        <f>IF((O2085-MAX(O$470:O2085))/MAX(O$470:O2085)&gt;X2084,X2084,(O2085-MAX(O$470:O2085))/MAX(O$470:O2085))</f>
        <v>-0.62788758315546067</v>
      </c>
    </row>
    <row r="2086" spans="1:24">
      <c r="A2086" s="799">
        <v>42488</v>
      </c>
      <c r="B2086">
        <v>441.66300000000001</v>
      </c>
      <c r="C2086">
        <v>519.10975800000006</v>
      </c>
      <c r="D2086">
        <v>1.4252339999999999</v>
      </c>
      <c r="E2086">
        <f>LN(D2086/参数实验室!$E$53)/参数实验室!$E$55</f>
        <v>-0.2749392357675628</v>
      </c>
      <c r="F2086">
        <f t="shared" si="268"/>
        <v>1.1753526059461628</v>
      </c>
      <c r="G2086">
        <f>LN(F2086/参数实验室!$E$58)/参数实验室!$E$59</f>
        <v>-0.10573030545778635</v>
      </c>
      <c r="H2086" s="856">
        <f>INDEX(神经网络!$G$10:$BO$70,MATCH(ROUND(G2086*2,1)/2,神经网络!$E$10:$E$70,0),MATCH(ROUND(E2086*2,1)/2,神经网络!$G$8:$BO$8,0))</f>
        <v>-0.17877190660900527</v>
      </c>
      <c r="I2086">
        <f t="shared" si="270"/>
        <v>911.88931490438404</v>
      </c>
      <c r="J2086">
        <f t="shared" si="271"/>
        <v>176.23518614580379</v>
      </c>
      <c r="K2086">
        <f t="shared" si="272"/>
        <v>5.1742749836003528</v>
      </c>
      <c r="L2086" s="4">
        <f>MIN(MAX(L2085*(1+MAX(MIN(((B2086-B2085)/B2085)/($K$7*卓尔金历!$N$40),0),-卓尔金历!$M$43))+MIN(MAX(((B2086-B2085)/B2085)/($K$7*卓尔金历!$N$40),0),卓尔金历!$M$43),0),1)</f>
        <v>0.22137070762256394</v>
      </c>
      <c r="M2086" s="4">
        <f>MIN(MAX(M2085*(1+MAX(MIN(((B2086-B2085)/B2085)/($K$7*30),0),-卓尔金历!$M$43))+MIN(MAX(((B2086-B2085)/B2085)/($K$7*7),0),卓尔金历!$M$43),0),1)</f>
        <v>0.61068535381128197</v>
      </c>
      <c r="N2086">
        <f t="shared" si="273"/>
        <v>742.80189592483555</v>
      </c>
      <c r="O2086">
        <f t="shared" si="274"/>
        <v>1895.9104201522148</v>
      </c>
      <c r="P2086">
        <f t="shared" si="275"/>
        <v>-5.0960614896675631E-2</v>
      </c>
      <c r="Q2086">
        <f t="shared" si="266"/>
        <v>1.4218846732704373E-2</v>
      </c>
      <c r="R2086">
        <f t="shared" si="267"/>
        <v>0</v>
      </c>
      <c r="S2086">
        <f t="shared" si="269"/>
        <v>16.575928452829071</v>
      </c>
      <c r="T2086" s="564">
        <f>IF((I2086-MAX(I$470:I2086))/MAX(I$470:I2086)&gt;T2085,T2085,(I2086-MAX(I$470:I2086))/MAX(I$470:I2086))</f>
        <v>-0.91338805338419748</v>
      </c>
      <c r="U2086" s="564">
        <f>IF((J2086-MAX(J$470:J2086))/MAX(J$470:J2086)&gt;U2085,U2085,(J2086-MAX(J$470:J2086))/MAX(J$470:J2086))</f>
        <v>-0.8283551177402233</v>
      </c>
      <c r="V2086" s="564">
        <f>IF((K2086-MAX(K$470:K2086))/MAX(K$470:K2086)&gt;V2085,V2085,(K2086-MAX(K$470:K2086))/MAX(K$470:K2086))</f>
        <v>-0.84885940676762139</v>
      </c>
      <c r="W2086" s="564">
        <f>IF((N2086-MAX(N$470:N2086))/MAX(N$470:N2086)&gt;W2085,W2085,(N2086-MAX(N$470:N2086))/MAX(N$470:N2086))</f>
        <v>-0.62788758315546067</v>
      </c>
      <c r="X2086" s="564">
        <f>IF((O2086-MAX(O$470:O2086))/MAX(O$470:O2086)&gt;X2085,X2085,(O2086-MAX(O$470:O2086))/MAX(O$470:O2086))</f>
        <v>-0.62788758315546067</v>
      </c>
    </row>
    <row r="2087" spans="1:24">
      <c r="A2087" s="799">
        <v>42489</v>
      </c>
      <c r="B2087">
        <v>446.80799999999999</v>
      </c>
      <c r="C2087">
        <v>515.68015800000001</v>
      </c>
      <c r="D2087">
        <v>1.44286</v>
      </c>
      <c r="E2087">
        <f>LN(D2087/参数实验室!$E$53)/参数实验室!$E$55</f>
        <v>-0.26043860052408235</v>
      </c>
      <c r="F2087">
        <f t="shared" si="268"/>
        <v>1.154142625020143</v>
      </c>
      <c r="G2087">
        <f>LN(F2087/参数实验室!$E$58)/参数实验室!$E$59</f>
        <v>-0.11528812874066426</v>
      </c>
      <c r="H2087" s="856">
        <f>INDEX(神经网络!$G$10:$BO$70,MATCH(ROUND(G2087*2,1)/2,神经网络!$E$10:$E$70,0),MATCH(ROUND(E2087*2,1)/2,神经网络!$G$8:$BO$8,0))</f>
        <v>-0.17877190660900527</v>
      </c>
      <c r="I2087">
        <f t="shared" si="270"/>
        <v>909.99026770104513</v>
      </c>
      <c r="J2087">
        <f t="shared" si="271"/>
        <v>178.28817684848923</v>
      </c>
      <c r="K2087">
        <f t="shared" si="272"/>
        <v>5.1040415791248028</v>
      </c>
      <c r="L2087" s="4">
        <f>MIN(MAX(L2086*(1+MAX(MIN(((B2087-B2086)/B2086)/($K$7*卓尔金历!$N$40),0),-卓尔金历!$M$43))+MIN(MAX(((B2087-B2086)/B2086)/($K$7*卓尔金历!$N$40),0),卓尔金历!$M$43),0),1)</f>
        <v>0.39935859140012236</v>
      </c>
      <c r="M2087" s="4">
        <f>MIN(MAX(M2086*(1+MAX(MIN(((B2087-B2086)/B2086)/($K$7*30),0),-卓尔金历!$M$43))+MIN(MAX(((B2087-B2086)/B2086)/($K$7*7),0),卓尔金历!$M$43),0),1)</f>
        <v>0.99208796190605009</v>
      </c>
      <c r="N2087">
        <f t="shared" si="273"/>
        <v>742.45945411014145</v>
      </c>
      <c r="O2087">
        <f t="shared" si="274"/>
        <v>1893.4992439376636</v>
      </c>
      <c r="P2087">
        <f t="shared" si="275"/>
        <v>1.1649153313725583E-2</v>
      </c>
      <c r="Q2087">
        <f t="shared" si="266"/>
        <v>1.435646892682141E-2</v>
      </c>
      <c r="R2087">
        <f t="shared" si="267"/>
        <v>0.22615725490304445</v>
      </c>
      <c r="S2087">
        <f t="shared" si="269"/>
        <v>16.575928452829071</v>
      </c>
      <c r="T2087" s="564">
        <f>IF((I2087-MAX(I$470:I2087))/MAX(I$470:I2087)&gt;T2086,T2086,(I2087-MAX(I$470:I2087))/MAX(I$470:I2087))</f>
        <v>-0.91338805338419748</v>
      </c>
      <c r="U2087" s="564">
        <f>IF((J2087-MAX(J$470:J2087))/MAX(J$470:J2087)&gt;U2086,U2086,(J2087-MAX(J$470:J2087))/MAX(J$470:J2087))</f>
        <v>-0.8283551177402233</v>
      </c>
      <c r="V2087" s="564">
        <f>IF((K2087-MAX(K$470:K2087))/MAX(K$470:K2087)&gt;V2086,V2086,(K2087-MAX(K$470:K2087))/MAX(K$470:K2087))</f>
        <v>-0.84885940676762139</v>
      </c>
      <c r="W2087" s="564">
        <f>IF((N2087-MAX(N$470:N2087))/MAX(N$470:N2087)&gt;W2086,W2086,(N2087-MAX(N$470:N2087))/MAX(N$470:N2087))</f>
        <v>-0.62788758315546067</v>
      </c>
      <c r="X2087" s="564">
        <f>IF((O2087-MAX(O$470:O2087))/MAX(O$470:O2087)&gt;X2086,X2086,(O2087-MAX(O$470:O2087))/MAX(O$470:O2087))</f>
        <v>-0.62788758315546067</v>
      </c>
    </row>
    <row r="2088" spans="1:24">
      <c r="A2088" s="799">
        <v>42490</v>
      </c>
      <c r="B2088">
        <v>454.49700000000001</v>
      </c>
      <c r="C2088">
        <v>508.46902999999998</v>
      </c>
      <c r="D2088">
        <v>1.4202589999999999</v>
      </c>
      <c r="E2088">
        <f>LN(D2088/参数实验室!$E$53)/参数实验室!$E$55</f>
        <v>-0.27906455139422331</v>
      </c>
      <c r="F2088">
        <f t="shared" si="268"/>
        <v>1.1187511248699111</v>
      </c>
      <c r="G2088">
        <f>LN(F2088/参数实验室!$E$58)/参数实验室!$E$59</f>
        <v>-0.13163457997622477</v>
      </c>
      <c r="H2088" s="856">
        <f>INDEX(神经网络!$G$10:$BO$70,MATCH(ROUND(G2088*2,1)/2,神经网络!$E$10:$E$70,0),MATCH(ROUND(E2088*2,1)/2,神经网络!$G$8:$BO$8,0))</f>
        <v>-0.31016069708053556</v>
      </c>
      <c r="I2088">
        <f t="shared" si="270"/>
        <v>907.19073889890194</v>
      </c>
      <c r="J2088">
        <f t="shared" si="271"/>
        <v>181.35629065081156</v>
      </c>
      <c r="K2088">
        <f t="shared" si="272"/>
        <v>5.0022568042353281</v>
      </c>
      <c r="L2088" s="4">
        <f>MIN(MAX(L2087*(1+MAX(MIN(((B2088-B2087)/B2087)/($K$7*卓尔金历!$N$40),0),-卓尔金历!$M$43))+MIN(MAX(((B2088-B2087)/B2087)/($K$7*卓尔金历!$N$40),0),卓尔金历!$M$43),0),1)</f>
        <v>0.66229153221290205</v>
      </c>
      <c r="M2088" s="4">
        <f>MIN(MAX(M2087*(1+MAX(MIN(((B2088-B2087)/B2087)/($K$7*30),0),-卓尔金历!$M$43))+MIN(MAX(((B2088-B2087)/B2087)/($K$7*7),0),卓尔金历!$M$43),0),1)</f>
        <v>1</v>
      </c>
      <c r="N2088">
        <f t="shared" si="273"/>
        <v>741.54726692674251</v>
      </c>
      <c r="O2088">
        <f t="shared" si="274"/>
        <v>1887.7201000398607</v>
      </c>
      <c r="P2088">
        <f t="shared" si="275"/>
        <v>1.720873395283885E-2</v>
      </c>
      <c r="Q2088">
        <f t="shared" si="266"/>
        <v>1.4230322716865484E-2</v>
      </c>
      <c r="R2088">
        <f t="shared" si="267"/>
        <v>1.1628137542073261E-2</v>
      </c>
      <c r="S2088">
        <f t="shared" si="269"/>
        <v>16.564395604516754</v>
      </c>
      <c r="T2088" s="564">
        <f>IF((I2088-MAX(I$470:I2088))/MAX(I$470:I2088)&gt;T2087,T2087,(I2088-MAX(I$470:I2088))/MAX(I$470:I2088))</f>
        <v>-0.91338805338419748</v>
      </c>
      <c r="U2088" s="564">
        <f>IF((J2088-MAX(J$470:J2088))/MAX(J$470:J2088)&gt;U2087,U2087,(J2088-MAX(J$470:J2088))/MAX(J$470:J2088))</f>
        <v>-0.8283551177402233</v>
      </c>
      <c r="V2088" s="564">
        <f>IF((K2088-MAX(K$470:K2088))/MAX(K$470:K2088)&gt;V2087,V2087,(K2088-MAX(K$470:K2088))/MAX(K$470:K2088))</f>
        <v>-0.84885940676762139</v>
      </c>
      <c r="W2088" s="564">
        <f>IF((N2088-MAX(N$470:N2088))/MAX(N$470:N2088)&gt;W2087,W2087,(N2088-MAX(N$470:N2088))/MAX(N$470:N2088))</f>
        <v>-0.62788758315546067</v>
      </c>
      <c r="X2088" s="564">
        <f>IF((O2088-MAX(O$470:O2088))/MAX(O$470:O2088)&gt;X2087,X2087,(O2088-MAX(O$470:O2088))/MAX(O$470:O2088))</f>
        <v>-0.62788758315546067</v>
      </c>
    </row>
    <row r="2089" spans="1:24">
      <c r="A2089" s="799">
        <v>42491</v>
      </c>
      <c r="B2089">
        <v>449.21499999999997</v>
      </c>
      <c r="C2089">
        <v>508.19292100000001</v>
      </c>
      <c r="D2089">
        <v>1.434812</v>
      </c>
      <c r="E2089">
        <f>LN(D2089/参数实验室!$E$53)/参数实验室!$E$55</f>
        <v>-0.26703746159090197</v>
      </c>
      <c r="F2089">
        <f t="shared" si="268"/>
        <v>1.1312910766559443</v>
      </c>
      <c r="G2089">
        <f>LN(F2089/参数实验室!$E$58)/参数实验室!$E$59</f>
        <v>-0.12578427855955104</v>
      </c>
      <c r="H2089" s="856">
        <f>INDEX(神经网络!$G$10:$BO$70,MATCH(ROUND(G2089*2,1)/2,神经网络!$E$10:$E$70,0),MATCH(ROUND(E2089*2,1)/2,神经网络!$G$8:$BO$8,0))</f>
        <v>-0.26937055401147175</v>
      </c>
      <c r="I2089">
        <f t="shared" si="270"/>
        <v>910.46077651187352</v>
      </c>
      <c r="J2089">
        <f t="shared" si="271"/>
        <v>179.24863333466294</v>
      </c>
      <c r="K2089">
        <f t="shared" si="272"/>
        <v>5.0793178144461164</v>
      </c>
      <c r="L2089" s="4">
        <f>MIN(MAX(L2088*(1+MAX(MIN(((B2089-B2088)/B2088)/($K$7*卓尔金历!$N$40),0),-卓尔金历!$M$43))+MIN(MAX(((B2089-B2088)/B2088)/($K$7*卓尔金历!$N$40),0),卓尔金历!$M$43),0),1)</f>
        <v>0.54469008756664727</v>
      </c>
      <c r="M2089" s="4">
        <f>MIN(MAX(M2088*(1+MAX(MIN(((B2089-B2088)/B2088)/($K$7*30),0),-卓尔金历!$M$43))+MIN(MAX(((B2089-B2088)/B2088)/($K$7*7),0),卓尔金历!$M$43),0),1)</f>
        <v>0.91121625528465144</v>
      </c>
      <c r="N2089">
        <f t="shared" si="273"/>
        <v>743.31754781577695</v>
      </c>
      <c r="O2089">
        <f t="shared" si="274"/>
        <v>1894.5245298749637</v>
      </c>
      <c r="P2089">
        <f t="shared" si="275"/>
        <v>-1.1621638866703277E-2</v>
      </c>
      <c r="Q2089">
        <f t="shared" si="266"/>
        <v>1.4617771344044881E-2</v>
      </c>
      <c r="R2089">
        <f t="shared" si="267"/>
        <v>0.24686354472717006</v>
      </c>
      <c r="S2089">
        <f t="shared" si="269"/>
        <v>16.565089892892857</v>
      </c>
      <c r="T2089" s="564">
        <f>IF((I2089-MAX(I$470:I2089))/MAX(I$470:I2089)&gt;T2088,T2088,(I2089-MAX(I$470:I2089))/MAX(I$470:I2089))</f>
        <v>-0.91338805338419748</v>
      </c>
      <c r="U2089" s="564">
        <f>IF((J2089-MAX(J$470:J2089))/MAX(J$470:J2089)&gt;U2088,U2088,(J2089-MAX(J$470:J2089))/MAX(J$470:J2089))</f>
        <v>-0.8283551177402233</v>
      </c>
      <c r="V2089" s="564">
        <f>IF((K2089-MAX(K$470:K2089))/MAX(K$470:K2089)&gt;V2088,V2088,(K2089-MAX(K$470:K2089))/MAX(K$470:K2089))</f>
        <v>-0.84885940676762139</v>
      </c>
      <c r="W2089" s="564">
        <f>IF((N2089-MAX(N$470:N2089))/MAX(N$470:N2089)&gt;W2088,W2088,(N2089-MAX(N$470:N2089))/MAX(N$470:N2089))</f>
        <v>-0.62788758315546067</v>
      </c>
      <c r="X2089" s="564">
        <f>IF((O2089-MAX(O$470:O2089))/MAX(O$470:O2089)&gt;X2088,X2088,(O2089-MAX(O$470:O2089))/MAX(O$470:O2089))</f>
        <v>-0.62788758315546067</v>
      </c>
    </row>
    <row r="2090" spans="1:24">
      <c r="A2090" s="799">
        <v>42492</v>
      </c>
      <c r="B2090">
        <v>452.29</v>
      </c>
      <c r="C2090">
        <v>502.49859400000003</v>
      </c>
      <c r="D2090">
        <v>1.403065</v>
      </c>
      <c r="E2090">
        <f>LN(D2090/参数实验室!$E$53)/参数实验室!$E$55</f>
        <v>-0.29343408748328692</v>
      </c>
      <c r="F2090">
        <f t="shared" si="268"/>
        <v>1.1110097371155674</v>
      </c>
      <c r="G2090">
        <f>LN(F2090/参数实验室!$E$58)/参数实验室!$E$59</f>
        <v>-0.13527902011011408</v>
      </c>
      <c r="H2090" s="856">
        <f>INDEX(神经网络!$G$10:$BO$70,MATCH(ROUND(G2090*2,1)/2,神经网络!$E$10:$E$70,0),MATCH(ROUND(E2090*2,1)/2,神经网络!$G$8:$BO$8,0))</f>
        <v>-0.31016069708053556</v>
      </c>
      <c r="I2090">
        <f t="shared" si="270"/>
        <v>908.78196387069443</v>
      </c>
      <c r="J2090">
        <f t="shared" si="271"/>
        <v>180.47563943976652</v>
      </c>
      <c r="K2090">
        <f t="shared" si="272"/>
        <v>5.0354827205031132</v>
      </c>
      <c r="L2090" s="4">
        <f>MIN(MAX(L2089*(1+MAX(MIN(((B2090-B2089)/B2089)/($K$7*卓尔金历!$N$40),0),-卓尔金历!$M$43))+MIN(MAX(((B2090-B2089)/B2089)/($K$7*卓尔金历!$N$40),0),卓尔金历!$M$43),0),1)</f>
        <v>0.64927931353472068</v>
      </c>
      <c r="M2090" s="4">
        <f>MIN(MAX(M2089*(1+MAX(MIN(((B2090-B2089)/B2089)/($K$7*30),0),-卓尔金历!$M$43))+MIN(MAX(((B2090-B2089)/B2089)/($K$7*7),0),卓尔金历!$M$43),0),1)</f>
        <v>1</v>
      </c>
      <c r="N2090">
        <f t="shared" si="273"/>
        <v>742.57098759179075</v>
      </c>
      <c r="O2090">
        <f t="shared" si="274"/>
        <v>1891.3413389987452</v>
      </c>
      <c r="P2090">
        <f t="shared" si="275"/>
        <v>6.8452745344657808E-3</v>
      </c>
      <c r="Q2090">
        <f t="shared" si="266"/>
        <v>1.4627030971078979E-2</v>
      </c>
      <c r="R2090">
        <f t="shared" si="267"/>
        <v>0.78502991865473615</v>
      </c>
      <c r="S2090">
        <f t="shared" si="269"/>
        <v>16.557549538677726</v>
      </c>
      <c r="T2090" s="564">
        <f>IF((I2090-MAX(I$470:I2090))/MAX(I$470:I2090)&gt;T2089,T2089,(I2090-MAX(I$470:I2090))/MAX(I$470:I2090))</f>
        <v>-0.91338805338419748</v>
      </c>
      <c r="U2090" s="564">
        <f>IF((J2090-MAX(J$470:J2090))/MAX(J$470:J2090)&gt;U2089,U2089,(J2090-MAX(J$470:J2090))/MAX(J$470:J2090))</f>
        <v>-0.8283551177402233</v>
      </c>
      <c r="V2090" s="564">
        <f>IF((K2090-MAX(K$470:K2090))/MAX(K$470:K2090)&gt;V2089,V2089,(K2090-MAX(K$470:K2090))/MAX(K$470:K2090))</f>
        <v>-0.84885940676762139</v>
      </c>
      <c r="W2090" s="564">
        <f>IF((N2090-MAX(N$470:N2090))/MAX(N$470:N2090)&gt;W2089,W2089,(N2090-MAX(N$470:N2090))/MAX(N$470:N2090))</f>
        <v>-0.62788758315546067</v>
      </c>
      <c r="X2090" s="564">
        <f>IF((O2090-MAX(O$470:O2090))/MAX(O$470:O2090)&gt;X2089,X2089,(O2090-MAX(O$470:O2090))/MAX(O$470:O2090))</f>
        <v>-0.62788758315546067</v>
      </c>
    </row>
    <row r="2091" spans="1:24">
      <c r="A2091" s="799">
        <v>42493</v>
      </c>
      <c r="B2091">
        <v>444.15100000000001</v>
      </c>
      <c r="C2091">
        <v>499.87184999999999</v>
      </c>
      <c r="D2091">
        <v>1.4235260000000001</v>
      </c>
      <c r="E2091">
        <f>LN(D2091/参数实验室!$E$53)/参数实验室!$E$55</f>
        <v>-0.27635389953857309</v>
      </c>
      <c r="F2091">
        <f t="shared" si="268"/>
        <v>1.1254547439947225</v>
      </c>
      <c r="G2091">
        <f>LN(F2091/参数实验室!$E$58)/参数实验室!$E$59</f>
        <v>-0.12849901018350646</v>
      </c>
      <c r="H2091" s="856">
        <f>INDEX(神经网络!$G$10:$BO$70,MATCH(ROUND(G2091*2,1)/2,神经网络!$E$10:$E$70,0),MATCH(ROUND(E2091*2,1)/2,神经网络!$G$8:$BO$8,0))</f>
        <v>-0.31016069708053556</v>
      </c>
      <c r="I2091">
        <f t="shared" si="270"/>
        <v>913.85421241356858</v>
      </c>
      <c r="J2091">
        <f t="shared" si="271"/>
        <v>177.22796376840466</v>
      </c>
      <c r="K2091">
        <f t="shared" si="272"/>
        <v>5.1563770918666165</v>
      </c>
      <c r="L2091" s="4">
        <f>MIN(MAX(L2090*(1+MAX(MIN(((B2091-B2090)/B2090)/($K$7*卓尔金历!$N$40),0),-卓尔金历!$M$43))+MIN(MAX(((B2091-B2090)/B2090)/($K$7*卓尔金历!$N$40),0),卓尔金历!$M$43),0),1)</f>
        <v>0.47076143901652645</v>
      </c>
      <c r="M2091" s="4">
        <f>MIN(MAX(M2090*(1+MAX(MIN(((B2091-B2090)/B2090)/($K$7*30),0),-卓尔金历!$M$43))+MIN(MAX(((B2091-B2090)/B2090)/($K$7*7),0),卓尔金历!$M$43),0),1)</f>
        <v>0.86252613413298906</v>
      </c>
      <c r="N2091">
        <f t="shared" si="273"/>
        <v>745.26196697374928</v>
      </c>
      <c r="O2091">
        <f t="shared" si="274"/>
        <v>1901.8976151267989</v>
      </c>
      <c r="P2091">
        <f t="shared" si="275"/>
        <v>-1.7995091644741227E-2</v>
      </c>
      <c r="Q2091">
        <f t="shared" si="266"/>
        <v>1.5182897847343141E-2</v>
      </c>
      <c r="R2091">
        <f t="shared" si="267"/>
        <v>1.2141468644628827E-2</v>
      </c>
      <c r="S2091">
        <f t="shared" si="269"/>
        <v>16.630097146826515</v>
      </c>
      <c r="T2091" s="564">
        <f>IF((I2091-MAX(I$470:I2091))/MAX(I$470:I2091)&gt;T2090,T2090,(I2091-MAX(I$470:I2091))/MAX(I$470:I2091))</f>
        <v>-0.91338805338419748</v>
      </c>
      <c r="U2091" s="564">
        <f>IF((J2091-MAX(J$470:J2091))/MAX(J$470:J2091)&gt;U2090,U2090,(J2091-MAX(J$470:J2091))/MAX(J$470:J2091))</f>
        <v>-0.8283551177402233</v>
      </c>
      <c r="V2091" s="564">
        <f>IF((K2091-MAX(K$470:K2091))/MAX(K$470:K2091)&gt;V2090,V2090,(K2091-MAX(K$470:K2091))/MAX(K$470:K2091))</f>
        <v>-0.84885940676762139</v>
      </c>
      <c r="W2091" s="564">
        <f>IF((N2091-MAX(N$470:N2091))/MAX(N$470:N2091)&gt;W2090,W2090,(N2091-MAX(N$470:N2091))/MAX(N$470:N2091))</f>
        <v>-0.62788758315546067</v>
      </c>
      <c r="X2091" s="564">
        <f>IF((O2091-MAX(O$470:O2091))/MAX(O$470:O2091)&gt;X2090,X2090,(O2091-MAX(O$470:O2091))/MAX(O$470:O2091))</f>
        <v>-0.62788758315546067</v>
      </c>
    </row>
    <row r="2092" spans="1:24">
      <c r="A2092" s="799">
        <v>42494</v>
      </c>
      <c r="B2092">
        <v>449.27600000000001</v>
      </c>
      <c r="C2092">
        <v>499.96943499999998</v>
      </c>
      <c r="D2092">
        <v>1.4127959999999999</v>
      </c>
      <c r="E2092">
        <f>LN(D2092/参数实验室!$E$53)/参数实验室!$E$55</f>
        <v>-0.28528011644720797</v>
      </c>
      <c r="F2092">
        <f t="shared" si="268"/>
        <v>1.1128336145264826</v>
      </c>
      <c r="G2092">
        <f>LN(F2092/参数实验室!$E$58)/参数实验室!$E$59</f>
        <v>-0.134418105471383</v>
      </c>
      <c r="H2092" s="856">
        <f>INDEX(神经网络!$G$10:$BO$70,MATCH(ROUND(G2092*2,1)/2,神经网络!$E$10:$E$70,0),MATCH(ROUND(E2092*2,1)/2,神经网络!$G$8:$BO$8,0))</f>
        <v>-0.31016069708053556</v>
      </c>
      <c r="I2092">
        <f t="shared" si="270"/>
        <v>910.58361636581697</v>
      </c>
      <c r="J2092">
        <f t="shared" si="271"/>
        <v>179.27297394357723</v>
      </c>
      <c r="K2092">
        <f t="shared" si="272"/>
        <v>5.0793133863691349</v>
      </c>
      <c r="L2092" s="4">
        <f>MIN(MAX(L2091*(1+MAX(MIN(((B2092-B2091)/B2091)/($K$7*卓尔金历!$N$40),0),-卓尔金历!$M$43))+MIN(MAX(((B2092-B2091)/B2091)/($K$7*卓尔金历!$N$40),0),卓尔金历!$M$43),0),1)</f>
        <v>0.64706427725264959</v>
      </c>
      <c r="M2092" s="4">
        <f>MIN(MAX(M2091*(1+MAX(MIN(((B2092-B2091)/B2091)/($K$7*30),0),-卓尔金历!$M$43))+MIN(MAX(((B2092-B2091)/B2091)/($K$7*7),0),卓尔金历!$M$43),0),1)</f>
        <v>1</v>
      </c>
      <c r="N2092">
        <f t="shared" si="273"/>
        <v>744.0063423334766</v>
      </c>
      <c r="O2092">
        <f t="shared" si="274"/>
        <v>1896.0266515471101</v>
      </c>
      <c r="P2092">
        <f t="shared" si="275"/>
        <v>1.1538868537952182E-2</v>
      </c>
      <c r="Q2092">
        <f t="shared" ref="Q2092:Q2155" si="276">STDEVP(P2072:P2092)</f>
        <v>1.5293041838279394E-2</v>
      </c>
      <c r="R2092">
        <f t="shared" ref="R2092:R2155" si="277">MIN(Q2091*MAX(1-LN(MAX(ABS(P2092),0.0001)/Q2092),0)+MAX(-LN(MAX(ABS(P2092),0.0001)/Q2092),0),1)</f>
        <v>0.30113630076336406</v>
      </c>
      <c r="S2092">
        <f t="shared" si="269"/>
        <v>16.629374516808159</v>
      </c>
      <c r="T2092" s="564">
        <f>IF((I2092-MAX(I$470:I2092))/MAX(I$470:I2092)&gt;T2091,T2091,(I2092-MAX(I$470:I2092))/MAX(I$470:I2092))</f>
        <v>-0.91338805338419748</v>
      </c>
      <c r="U2092" s="564">
        <f>IF((J2092-MAX(J$470:J2092))/MAX(J$470:J2092)&gt;U2091,U2091,(J2092-MAX(J$470:J2092))/MAX(J$470:J2092))</f>
        <v>-0.8283551177402233</v>
      </c>
      <c r="V2092" s="564">
        <f>IF((K2092-MAX(K$470:K2092))/MAX(K$470:K2092)&gt;V2091,V2091,(K2092-MAX(K$470:K2092))/MAX(K$470:K2092))</f>
        <v>-0.84885940676762139</v>
      </c>
      <c r="W2092" s="564">
        <f>IF((N2092-MAX(N$470:N2092))/MAX(N$470:N2092)&gt;W2091,W2091,(N2092-MAX(N$470:N2092))/MAX(N$470:N2092))</f>
        <v>-0.62788758315546067</v>
      </c>
      <c r="X2092" s="564">
        <f>IF((O2092-MAX(O$470:O2092))/MAX(O$470:O2092)&gt;X2091,X2091,(O2092-MAX(O$470:O2092))/MAX(O$470:O2092))</f>
        <v>-0.62788758315546067</v>
      </c>
    </row>
    <row r="2093" spans="1:24">
      <c r="A2093" s="799">
        <v>42495</v>
      </c>
      <c r="B2093">
        <v>447.28899999999999</v>
      </c>
      <c r="C2093">
        <v>500.37019800000002</v>
      </c>
      <c r="D2093">
        <v>1.415346</v>
      </c>
      <c r="E2093">
        <f>LN(D2093/参数实验室!$E$53)/参数实验室!$E$55</f>
        <v>-0.28315266203553097</v>
      </c>
      <c r="F2093">
        <f t="shared" si="268"/>
        <v>1.1186731576229239</v>
      </c>
      <c r="G2093">
        <f>LN(F2093/参数实验室!$E$58)/参数实验室!$E$59</f>
        <v>-0.13167115902396814</v>
      </c>
      <c r="H2093" s="856">
        <f>INDEX(神经网络!$G$10:$BO$70,MATCH(ROUND(G2093*2,1)/2,神经网络!$E$10:$E$70,0),MATCH(ROUND(E2093*2,1)/2,神经网络!$G$8:$BO$8,0))</f>
        <v>-0.31016069708053556</v>
      </c>
      <c r="I2093">
        <f t="shared" si="270"/>
        <v>911.83269921058206</v>
      </c>
      <c r="J2093">
        <f t="shared" si="271"/>
        <v>178.48010853517374</v>
      </c>
      <c r="K2093">
        <f t="shared" si="272"/>
        <v>5.1088757548065011</v>
      </c>
      <c r="L2093" s="4">
        <f>MIN(MAX(L2092*(1+MAX(MIN(((B2093-B2092)/B2092)/($K$7*卓尔金历!$N$40),0),-卓尔金历!$M$43))+MIN(MAX(((B2093-B2092)/B2092)/($K$7*卓尔金历!$N$40),0),卓尔金历!$M$43),0),1)</f>
        <v>0.60333944517888793</v>
      </c>
      <c r="M2093" s="4">
        <f>MIN(MAX(M2092*(1+MAX(MIN(((B2093-B2092)/B2092)/($K$7*30),0),-卓尔金历!$M$43))+MIN(MAX(((B2093-B2092)/B2092)/($K$7*7),0),卓尔金历!$M$43),0),1)</f>
        <v>0.96621291453500446</v>
      </c>
      <c r="N2093">
        <f t="shared" si="273"/>
        <v>744.6667247081466</v>
      </c>
      <c r="O2093">
        <f t="shared" si="274"/>
        <v>1898.6275048033074</v>
      </c>
      <c r="P2093">
        <f t="shared" si="275"/>
        <v>-4.4226711420152047E-3</v>
      </c>
      <c r="Q2093">
        <f t="shared" si="276"/>
        <v>1.5300232997789941E-2</v>
      </c>
      <c r="R2093">
        <f t="shared" si="277"/>
        <v>1</v>
      </c>
      <c r="S2093">
        <f t="shared" si="269"/>
        <v>16.636243784439568</v>
      </c>
      <c r="T2093" s="564">
        <f>IF((I2093-MAX(I$470:I2093))/MAX(I$470:I2093)&gt;T2092,T2092,(I2093-MAX(I$470:I2093))/MAX(I$470:I2093))</f>
        <v>-0.91338805338419748</v>
      </c>
      <c r="U2093" s="564">
        <f>IF((J2093-MAX(J$470:J2093))/MAX(J$470:J2093)&gt;U2092,U2092,(J2093-MAX(J$470:J2093))/MAX(J$470:J2093))</f>
        <v>-0.8283551177402233</v>
      </c>
      <c r="V2093" s="564">
        <f>IF((K2093-MAX(K$470:K2093))/MAX(K$470:K2093)&gt;V2092,V2092,(K2093-MAX(K$470:K2093))/MAX(K$470:K2093))</f>
        <v>-0.84885940676762139</v>
      </c>
      <c r="W2093" s="564">
        <f>IF((N2093-MAX(N$470:N2093))/MAX(N$470:N2093)&gt;W2092,W2092,(N2093-MAX(N$470:N2093))/MAX(N$470:N2093))</f>
        <v>-0.62788758315546067</v>
      </c>
      <c r="X2093" s="564">
        <f>IF((O2093-MAX(O$470:O2093))/MAX(O$470:O2093)&gt;X2092,X2092,(O2093-MAX(O$470:O2093))/MAX(O$470:O2093))</f>
        <v>-0.62788758315546067</v>
      </c>
    </row>
    <row r="2094" spans="1:24">
      <c r="A2094" s="799">
        <v>42496</v>
      </c>
      <c r="B2094">
        <v>447.27</v>
      </c>
      <c r="C2094">
        <v>499.119621</v>
      </c>
      <c r="D2094">
        <v>1.452313</v>
      </c>
      <c r="E2094">
        <f>LN(D2094/参数实验室!$E$53)/参数实验室!$E$55</f>
        <v>-0.25273457244282366</v>
      </c>
      <c r="F2094">
        <f t="shared" si="268"/>
        <v>1.1159246562479039</v>
      </c>
      <c r="G2094">
        <f>LN(F2094/参数实验室!$E$58)/参数实验室!$E$59</f>
        <v>-0.13296227528443913</v>
      </c>
      <c r="H2094" s="856">
        <f>INDEX(神经网络!$G$10:$BO$70,MATCH(ROUND(G2094*2,1)/2,神经网络!$E$10:$E$70,0),MATCH(ROUND(E2094*2,1)/2,神经网络!$G$8:$BO$8,0))</f>
        <v>-0.26937055401147175</v>
      </c>
      <c r="I2094">
        <f t="shared" si="270"/>
        <v>911.84471264853062</v>
      </c>
      <c r="J2094">
        <f t="shared" si="271"/>
        <v>178.47252703403652</v>
      </c>
      <c r="K2094">
        <f t="shared" si="272"/>
        <v>5.1091600920439291</v>
      </c>
      <c r="L2094" s="4">
        <f>MIN(MAX(L2093*(1+MAX(MIN(((B2094-B2093)/B2093)/($K$7*卓尔金历!$N$40),0),-卓尔金历!$M$43))+MIN(MAX(((B2094-B2093)/B2093)/($K$7*卓尔金历!$N$40),0),卓尔金历!$M$43),0),1)</f>
        <v>0.60294786276332468</v>
      </c>
      <c r="M2094" s="4">
        <f>MIN(MAX(M2093*(1+MAX(MIN(((B2094-B2093)/B2093)/($K$7*30),0),-卓尔金历!$M$43))+MIN(MAX(((B2094-B2093)/B2093)/($K$7*7),0),卓尔金历!$M$43),0),1)</f>
        <v>0.9658993663408284</v>
      </c>
      <c r="N2094">
        <f t="shared" si="273"/>
        <v>744.67264408261087</v>
      </c>
      <c r="O2094">
        <f t="shared" si="274"/>
        <v>1898.6516741411979</v>
      </c>
      <c r="P2094">
        <f t="shared" si="275"/>
        <v>-4.2478129352623152E-5</v>
      </c>
      <c r="Q2094">
        <f t="shared" si="276"/>
        <v>1.5309419410560623E-2</v>
      </c>
      <c r="R2094">
        <f t="shared" si="277"/>
        <v>1</v>
      </c>
      <c r="S2094">
        <f t="shared" si="269"/>
        <v>16.636462967720199</v>
      </c>
      <c r="T2094" s="564">
        <f>IF((I2094-MAX(I$470:I2094))/MAX(I$470:I2094)&gt;T2093,T2093,(I2094-MAX(I$470:I2094))/MAX(I$470:I2094))</f>
        <v>-0.91338805338419748</v>
      </c>
      <c r="U2094" s="564">
        <f>IF((J2094-MAX(J$470:J2094))/MAX(J$470:J2094)&gt;U2093,U2093,(J2094-MAX(J$470:J2094))/MAX(J$470:J2094))</f>
        <v>-0.8283551177402233</v>
      </c>
      <c r="V2094" s="564">
        <f>IF((K2094-MAX(K$470:K2094))/MAX(K$470:K2094)&gt;V2093,V2093,(K2094-MAX(K$470:K2094))/MAX(K$470:K2094))</f>
        <v>-0.84885940676762139</v>
      </c>
      <c r="W2094" s="564">
        <f>IF((N2094-MAX(N$470:N2094))/MAX(N$470:N2094)&gt;W2093,W2093,(N2094-MAX(N$470:N2094))/MAX(N$470:N2094))</f>
        <v>-0.62788758315546067</v>
      </c>
      <c r="X2094" s="564">
        <f>IF((O2094-MAX(O$470:O2094))/MAX(O$470:O2094)&gt;X2093,X2093,(O2094-MAX(O$470:O2094))/MAX(O$470:O2094))</f>
        <v>-0.62788758315546067</v>
      </c>
    </row>
    <row r="2095" spans="1:24">
      <c r="A2095" s="799">
        <v>42497</v>
      </c>
      <c r="B2095">
        <v>458.29300000000001</v>
      </c>
      <c r="C2095">
        <v>495.85652599999997</v>
      </c>
      <c r="D2095">
        <v>1.45028</v>
      </c>
      <c r="E2095">
        <f>LN(D2095/参数实验室!$E$53)/参数实验室!$E$55</f>
        <v>-0.25438719045519909</v>
      </c>
      <c r="F2095">
        <f t="shared" si="268"/>
        <v>1.0819639968317212</v>
      </c>
      <c r="G2095">
        <f>LN(F2095/参数实验室!$E$58)/参数实验室!$E$59</f>
        <v>-0.14918312259136216</v>
      </c>
      <c r="H2095" s="856">
        <f>INDEX(神经网络!$G$10:$BO$70,MATCH(ROUND(G2095*2,1)/2,神经网络!$E$10:$E$70,0),MATCH(ROUND(E2095*2,1)/2,神经网络!$G$8:$BO$8,0))</f>
        <v>-0.26937055401147175</v>
      </c>
      <c r="I2095">
        <f t="shared" si="270"/>
        <v>905.79128938236283</v>
      </c>
      <c r="J2095">
        <f t="shared" si="271"/>
        <v>182.87099477275405</v>
      </c>
      <c r="K2095">
        <f t="shared" si="272"/>
        <v>4.953170897921515</v>
      </c>
      <c r="L2095" s="4">
        <f>MIN(MAX(L2094*(1+MAX(MIN(((B2095-B2094)/B2094)/($K$7*卓尔金历!$N$40),0),-卓尔金历!$M$43))+MIN(MAX(((B2095-B2094)/B2094)/($K$7*卓尔金历!$N$40),0),卓尔金历!$M$43),0),1)</f>
        <v>0.97950086658253221</v>
      </c>
      <c r="M2095" s="4">
        <f>MIN(MAX(M2094*(1+MAX(MIN(((B2095-B2094)/B2094)/($K$7*30),0),-卓尔金历!$M$43))+MIN(MAX(((B2095-B2094)/B2094)/($K$7*7),0),卓尔金历!$M$43),0),1)</f>
        <v>1</v>
      </c>
      <c r="N2095">
        <f t="shared" si="273"/>
        <v>741.69189569548303</v>
      </c>
      <c r="O2095">
        <f t="shared" si="274"/>
        <v>1886.4770003046474</v>
      </c>
      <c r="P2095">
        <f t="shared" si="275"/>
        <v>2.4645068973997864E-2</v>
      </c>
      <c r="Q2095">
        <f t="shared" si="276"/>
        <v>1.5986840730867351E-2</v>
      </c>
      <c r="R2095">
        <f t="shared" si="277"/>
        <v>8.6833356740540022E-3</v>
      </c>
      <c r="S2095">
        <f t="shared" si="269"/>
        <v>16.526019214964293</v>
      </c>
      <c r="T2095" s="564">
        <f>IF((I2095-MAX(I$470:I2095))/MAX(I$470:I2095)&gt;T2094,T2094,(I2095-MAX(I$470:I2095))/MAX(I$470:I2095))</f>
        <v>-0.91338805338419748</v>
      </c>
      <c r="U2095" s="564">
        <f>IF((J2095-MAX(J$470:J2095))/MAX(J$470:J2095)&gt;U2094,U2094,(J2095-MAX(J$470:J2095))/MAX(J$470:J2095))</f>
        <v>-0.8283551177402233</v>
      </c>
      <c r="V2095" s="564">
        <f>IF((K2095-MAX(K$470:K2095))/MAX(K$470:K2095)&gt;V2094,V2094,(K2095-MAX(K$470:K2095))/MAX(K$470:K2095))</f>
        <v>-0.84885940676762139</v>
      </c>
      <c r="W2095" s="564">
        <f>IF((N2095-MAX(N$470:N2095))/MAX(N$470:N2095)&gt;W2094,W2094,(N2095-MAX(N$470:N2095))/MAX(N$470:N2095))</f>
        <v>-0.62788758315546067</v>
      </c>
      <c r="X2095" s="564">
        <f>IF((O2095-MAX(O$470:O2095))/MAX(O$470:O2095)&gt;X2094,X2094,(O2095-MAX(O$470:O2095))/MAX(O$470:O2095))</f>
        <v>-0.62788758315546067</v>
      </c>
    </row>
    <row r="2096" spans="1:24">
      <c r="A2096" s="799">
        <v>42498</v>
      </c>
      <c r="B2096">
        <v>459.16</v>
      </c>
      <c r="C2096">
        <v>488.43897900000002</v>
      </c>
      <c r="D2096">
        <v>1.449651</v>
      </c>
      <c r="E2096">
        <f>LN(D2096/参数实验室!$E$53)/参数实验室!$E$55</f>
        <v>-0.25489897146108903</v>
      </c>
      <c r="F2096">
        <f t="shared" si="268"/>
        <v>1.0637663973342626</v>
      </c>
      <c r="G2096">
        <f>LN(F2096/参数实验室!$E$58)/参数实验室!$E$59</f>
        <v>-0.15808574399493086</v>
      </c>
      <c r="H2096" s="856">
        <f>INDEX(神经网络!$G$10:$BO$70,MATCH(ROUND(G2096*2,1)/2,神经网络!$E$10:$E$70,0),MATCH(ROUND(E2096*2,1)/2,神经网络!$G$8:$BO$8,0))</f>
        <v>-0.26937055401147175</v>
      </c>
      <c r="I2096">
        <f t="shared" si="270"/>
        <v>905.32970178283972</v>
      </c>
      <c r="J2096">
        <f t="shared" si="271"/>
        <v>183.21695064043692</v>
      </c>
      <c r="K2096">
        <f t="shared" si="272"/>
        <v>4.941298818795147</v>
      </c>
      <c r="L2096" s="4">
        <f>MIN(MAX(L2095*(1+MAX(MIN(((B2096-B2095)/B2095)/($K$7*卓尔金历!$N$40),0),-卓尔金历!$M$43))+MIN(MAX(((B2096-B2095)/B2095)/($K$7*卓尔金历!$N$40),0),卓尔金历!$M$43),0),1)</f>
        <v>1</v>
      </c>
      <c r="M2096" s="4">
        <f>MIN(MAX(M2095*(1+MAX(MIN(((B2096-B2095)/B2095)/($K$7*30),0),-卓尔金历!$M$43))+MIN(MAX(((B2096-B2095)/B2095)/($K$7*7),0),卓尔金历!$M$43),0),1)</f>
        <v>1</v>
      </c>
      <c r="N2096">
        <f t="shared" si="273"/>
        <v>741.32168040548754</v>
      </c>
      <c r="O2096">
        <f t="shared" si="274"/>
        <v>1885.515659209482</v>
      </c>
      <c r="P2096">
        <f t="shared" si="275"/>
        <v>1.8918028422865254E-3</v>
      </c>
      <c r="Q2096">
        <f t="shared" si="276"/>
        <v>1.5987112906729131E-2</v>
      </c>
      <c r="R2096">
        <f t="shared" si="277"/>
        <v>1</v>
      </c>
      <c r="S2096">
        <f t="shared" si="269"/>
        <v>16.525946087445778</v>
      </c>
      <c r="T2096" s="564">
        <f>IF((I2096-MAX(I$470:I2096))/MAX(I$470:I2096)&gt;T2095,T2095,(I2096-MAX(I$470:I2096))/MAX(I$470:I2096))</f>
        <v>-0.91338805338419748</v>
      </c>
      <c r="U2096" s="564">
        <f>IF((J2096-MAX(J$470:J2096))/MAX(J$470:J2096)&gt;U2095,U2095,(J2096-MAX(J$470:J2096))/MAX(J$470:J2096))</f>
        <v>-0.8283551177402233</v>
      </c>
      <c r="V2096" s="564">
        <f>IF((K2096-MAX(K$470:K2096))/MAX(K$470:K2096)&gt;V2095,V2095,(K2096-MAX(K$470:K2096))/MAX(K$470:K2096))</f>
        <v>-0.84885940676762139</v>
      </c>
      <c r="W2096" s="564">
        <f>IF((N2096-MAX(N$470:N2096))/MAX(N$470:N2096)&gt;W2095,W2095,(N2096-MAX(N$470:N2096))/MAX(N$470:N2096))</f>
        <v>-0.62788758315546067</v>
      </c>
      <c r="X2096" s="564">
        <f>IF((O2096-MAX(O$470:O2096))/MAX(O$470:O2096)&gt;X2095,X2095,(O2096-MAX(O$470:O2096))/MAX(O$470:O2096))</f>
        <v>-0.62788758315546067</v>
      </c>
    </row>
    <row r="2097" spans="1:24">
      <c r="A2097" s="799">
        <v>42499</v>
      </c>
      <c r="B2097">
        <v>456.96899999999999</v>
      </c>
      <c r="C2097">
        <v>485.967557</v>
      </c>
      <c r="D2097">
        <v>1.4552499999999999</v>
      </c>
      <c r="E2097">
        <f>LN(D2097/参数实验室!$E$53)/参数实验室!$E$55</f>
        <v>-0.25035117682523561</v>
      </c>
      <c r="F2097">
        <f t="shared" si="268"/>
        <v>1.0634584774897202</v>
      </c>
      <c r="G2097">
        <f>LN(F2097/参数实验室!$E$58)/参数实验室!$E$59</f>
        <v>-0.15823769123698742</v>
      </c>
      <c r="H2097" s="856">
        <f>INDEX(神经网络!$G$10:$BO$70,MATCH(ROUND(G2097*2,1)/2,神经网络!$E$10:$E$70,0),MATCH(ROUND(E2097*2,1)/2,神经网络!$G$8:$BO$8,0))</f>
        <v>-0.26937055401147175</v>
      </c>
      <c r="I2097">
        <f t="shared" si="270"/>
        <v>906.49338619973366</v>
      </c>
      <c r="J2097">
        <f t="shared" si="271"/>
        <v>182.34268385140214</v>
      </c>
      <c r="K2097">
        <f t="shared" si="272"/>
        <v>4.9713724019685319</v>
      </c>
      <c r="L2097" s="4">
        <f>MIN(MAX(L2096*(1+MAX(MIN(((B2097-B2096)/B2096)/($K$7*卓尔金历!$N$40),0),-卓尔金历!$M$43))+MIN(MAX(((B2097-B2096)/B2096)/($K$7*卓尔金历!$N$40),0),卓尔金历!$M$43),0),1)</f>
        <v>0.92709213029317128</v>
      </c>
      <c r="M2097" s="4">
        <f>MIN(MAX(M2096*(1+MAX(MIN(((B2097-B2096)/B2096)/($K$7*30),0),-卓尔金历!$M$43))+MIN(MAX(((B2097-B2096)/B2096)/($K$7*7),0),卓尔金历!$M$43),0),1)</f>
        <v>0.9635460651465857</v>
      </c>
      <c r="N2097">
        <f t="shared" si="273"/>
        <v>742.27455369098197</v>
      </c>
      <c r="O2097">
        <f t="shared" si="274"/>
        <v>1887.9392460929243</v>
      </c>
      <c r="P2097">
        <f t="shared" si="275"/>
        <v>-4.7717571217005634E-3</v>
      </c>
      <c r="Q2097">
        <f t="shared" si="276"/>
        <v>1.600814151860587E-2</v>
      </c>
      <c r="R2097">
        <f t="shared" si="277"/>
        <v>1</v>
      </c>
      <c r="S2097">
        <f t="shared" si="269"/>
        <v>16.54718805697193</v>
      </c>
      <c r="T2097" s="564">
        <f>IF((I2097-MAX(I$470:I2097))/MAX(I$470:I2097)&gt;T2096,T2096,(I2097-MAX(I$470:I2097))/MAX(I$470:I2097))</f>
        <v>-0.91338805338419748</v>
      </c>
      <c r="U2097" s="564">
        <f>IF((J2097-MAX(J$470:J2097))/MAX(J$470:J2097)&gt;U2096,U2096,(J2097-MAX(J$470:J2097))/MAX(J$470:J2097))</f>
        <v>-0.8283551177402233</v>
      </c>
      <c r="V2097" s="564">
        <f>IF((K2097-MAX(K$470:K2097))/MAX(K$470:K2097)&gt;V2096,V2096,(K2097-MAX(K$470:K2097))/MAX(K$470:K2097))</f>
        <v>-0.84885940676762139</v>
      </c>
      <c r="W2097" s="564">
        <f>IF((N2097-MAX(N$470:N2097))/MAX(N$470:N2097)&gt;W2096,W2096,(N2097-MAX(N$470:N2097))/MAX(N$470:N2097))</f>
        <v>-0.62788758315546067</v>
      </c>
      <c r="X2097" s="564">
        <f>IF((O2097-MAX(O$470:O2097))/MAX(O$470:O2097)&gt;X2096,X2096,(O2097-MAX(O$470:O2097))/MAX(O$470:O2097))</f>
        <v>-0.62788758315546067</v>
      </c>
    </row>
    <row r="2098" spans="1:24">
      <c r="A2098" s="799">
        <v>42500</v>
      </c>
      <c r="B2098">
        <v>460.31</v>
      </c>
      <c r="C2098">
        <v>491.21906100000001</v>
      </c>
      <c r="D2098">
        <v>1.416261</v>
      </c>
      <c r="E2098">
        <f>LN(D2098/参数实验室!$E$53)/参数实验室!$E$55</f>
        <v>-0.28239021565380706</v>
      </c>
      <c r="F2098">
        <f t="shared" si="268"/>
        <v>1.0671483587147792</v>
      </c>
      <c r="G2098">
        <f>LN(F2098/参数实验室!$E$58)/参数实验室!$E$59</f>
        <v>-0.15641975750773507</v>
      </c>
      <c r="H2098" s="856">
        <f>INDEX(神经网络!$G$10:$BO$70,MATCH(ROUND(G2098*2,1)/2,神经网络!$E$10:$E$70,0),MATCH(ROUND(E2098*2,1)/2,神经网络!$G$8:$BO$8,0))</f>
        <v>-0.31016069708053556</v>
      </c>
      <c r="I2098">
        <f t="shared" si="270"/>
        <v>904.7081137801797</v>
      </c>
      <c r="J2098">
        <f t="shared" si="271"/>
        <v>183.67583097242684</v>
      </c>
      <c r="K2098">
        <f t="shared" si="272"/>
        <v>4.9255697333199668</v>
      </c>
      <c r="L2098" s="4">
        <f>MIN(MAX(L2097*(1+MAX(MIN(((B2098-B2097)/B2097)/($K$7*卓尔金历!$N$40),0),-卓尔金历!$M$43))+MIN(MAX(((B2098-B2097)/B2097)/($K$7*卓尔金历!$N$40),0),卓尔金历!$M$43),0),1)</f>
        <v>1</v>
      </c>
      <c r="M2098" s="4">
        <f>MIN(MAX(M2097*(1+MAX(MIN(((B2098-B2097)/B2097)/($K$7*30),0),-卓尔金历!$M$43))+MIN(MAX(((B2098-B2097)/B2097)/($K$7*7),0),卓尔金历!$M$43),0),1)</f>
        <v>1</v>
      </c>
      <c r="N2098">
        <f t="shared" si="273"/>
        <v>740.91927901641918</v>
      </c>
      <c r="O2098">
        <f t="shared" si="274"/>
        <v>1884.3566293379579</v>
      </c>
      <c r="P2098">
        <f t="shared" si="275"/>
        <v>7.311218047613751E-3</v>
      </c>
      <c r="Q2098">
        <f t="shared" si="276"/>
        <v>1.6001750193371318E-2</v>
      </c>
      <c r="R2098">
        <f t="shared" si="277"/>
        <v>0.8118353460100608</v>
      </c>
      <c r="S2098">
        <f t="shared" si="269"/>
        <v>16.514599580421507</v>
      </c>
      <c r="T2098" s="564">
        <f>IF((I2098-MAX(I$470:I2098))/MAX(I$470:I2098)&gt;T2097,T2097,(I2098-MAX(I$470:I2098))/MAX(I$470:I2098))</f>
        <v>-0.91338805338419748</v>
      </c>
      <c r="U2098" s="564">
        <f>IF((J2098-MAX(J$470:J2098))/MAX(J$470:J2098)&gt;U2097,U2097,(J2098-MAX(J$470:J2098))/MAX(J$470:J2098))</f>
        <v>-0.8283551177402233</v>
      </c>
      <c r="V2098" s="564">
        <f>IF((K2098-MAX(K$470:K2098))/MAX(K$470:K2098)&gt;V2097,V2097,(K2098-MAX(K$470:K2098))/MAX(K$470:K2098))</f>
        <v>-0.84885940676762139</v>
      </c>
      <c r="W2098" s="564">
        <f>IF((N2098-MAX(N$470:N2098))/MAX(N$470:N2098)&gt;W2097,W2097,(N2098-MAX(N$470:N2098))/MAX(N$470:N2098))</f>
        <v>-0.62788758315546067</v>
      </c>
      <c r="X2098" s="564">
        <f>IF((O2098-MAX(O$470:O2098))/MAX(O$470:O2098)&gt;X2097,X2097,(O2098-MAX(O$470:O2098))/MAX(O$470:O2098))</f>
        <v>-0.62788758315546067</v>
      </c>
    </row>
    <row r="2099" spans="1:24">
      <c r="A2099" s="799">
        <v>42501</v>
      </c>
      <c r="B2099">
        <v>453.40600000000001</v>
      </c>
      <c r="C2099">
        <v>498.135201</v>
      </c>
      <c r="D2099">
        <v>1.4241470000000001</v>
      </c>
      <c r="E2099">
        <f>LN(D2099/参数实验室!$E$53)/参数实验室!$E$55</f>
        <v>-0.27583935536435061</v>
      </c>
      <c r="F2099">
        <f t="shared" si="268"/>
        <v>1.0986515418851979</v>
      </c>
      <c r="G2099">
        <f>LN(F2099/参数实验室!$E$58)/参数实验室!$E$59</f>
        <v>-0.14114988948132684</v>
      </c>
      <c r="H2099" s="856">
        <f>INDEX(神经网络!$G$10:$BO$70,MATCH(ROUND(G2099*2,1)/2,神经网络!$E$10:$E$70,0),MATCH(ROUND(E2099*2,1)/2,神经网络!$G$8:$BO$8,0))</f>
        <v>-0.31016069708053556</v>
      </c>
      <c r="I2099">
        <f t="shared" si="270"/>
        <v>908.91679102865533</v>
      </c>
      <c r="J2099">
        <f t="shared" si="271"/>
        <v>180.92095287498461</v>
      </c>
      <c r="K2099">
        <f t="shared" si="272"/>
        <v>5.023833760463952</v>
      </c>
      <c r="L2099" s="4">
        <f>MIN(MAX(L2098*(1+MAX(MIN(((B2099-B2098)/B2098)/($K$7*卓尔金历!$N$40),0),-卓尔金历!$M$43))+MIN(MAX(((B2099-B2098)/B2098)/($K$7*卓尔金历!$N$40),0),卓尔金历!$M$43),0),1)</f>
        <v>0.77083596983158587</v>
      </c>
      <c r="M2099" s="4">
        <f>MIN(MAX(M2098*(1+MAX(MIN(((B2099-B2098)/B2098)/($K$7*30),0),-卓尔金历!$M$43))+MIN(MAX(((B2099-B2098)/B2098)/($K$7*7),0),卓尔金历!$M$43),0),1)</f>
        <v>0.88541798491579293</v>
      </c>
      <c r="N2099">
        <f t="shared" si="273"/>
        <v>744.36601511290894</v>
      </c>
      <c r="O2099">
        <f t="shared" si="274"/>
        <v>1893.1226045216797</v>
      </c>
      <c r="P2099">
        <f t="shared" si="275"/>
        <v>-1.4998587908148849E-2</v>
      </c>
      <c r="Q2099">
        <f t="shared" si="276"/>
        <v>1.6170256581023165E-2</v>
      </c>
      <c r="R2099">
        <f t="shared" si="277"/>
        <v>9.2422845550492502E-2</v>
      </c>
      <c r="S2099">
        <f t="shared" si="269"/>
        <v>16.576969206579729</v>
      </c>
      <c r="T2099" s="564">
        <f>IF((I2099-MAX(I$470:I2099))/MAX(I$470:I2099)&gt;T2098,T2098,(I2099-MAX(I$470:I2099))/MAX(I$470:I2099))</f>
        <v>-0.91338805338419748</v>
      </c>
      <c r="U2099" s="564">
        <f>IF((J2099-MAX(J$470:J2099))/MAX(J$470:J2099)&gt;U2098,U2098,(J2099-MAX(J$470:J2099))/MAX(J$470:J2099))</f>
        <v>-0.8283551177402233</v>
      </c>
      <c r="V2099" s="564">
        <f>IF((K2099-MAX(K$470:K2099))/MAX(K$470:K2099)&gt;V2098,V2098,(K2099-MAX(K$470:K2099))/MAX(K$470:K2099))</f>
        <v>-0.84885940676762139</v>
      </c>
      <c r="W2099" s="564">
        <f>IF((N2099-MAX(N$470:N2099))/MAX(N$470:N2099)&gt;W2098,W2098,(N2099-MAX(N$470:N2099))/MAX(N$470:N2099))</f>
        <v>-0.62788758315546067</v>
      </c>
      <c r="X2099" s="564">
        <f>IF((O2099-MAX(O$470:O2099))/MAX(O$470:O2099)&gt;X2098,X2098,(O2099-MAX(O$470:O2099))/MAX(O$470:O2099))</f>
        <v>-0.62788758315546067</v>
      </c>
    </row>
    <row r="2100" spans="1:24">
      <c r="A2100" s="799">
        <v>42502</v>
      </c>
      <c r="B2100">
        <v>451.92700000000002</v>
      </c>
      <c r="C2100">
        <v>501.49354099999999</v>
      </c>
      <c r="D2100">
        <v>1.4287620000000001</v>
      </c>
      <c r="E2100">
        <f>LN(D2100/参数实验室!$E$53)/参数实验室!$E$55</f>
        <v>-0.27202250318293425</v>
      </c>
      <c r="F2100">
        <f t="shared" si="268"/>
        <v>1.1096782024530509</v>
      </c>
      <c r="G2100">
        <f>LN(F2100/参数实验室!$E$58)/参数实验室!$E$59</f>
        <v>-0.13590842996318309</v>
      </c>
      <c r="H2100" s="856">
        <f>INDEX(神经网络!$G$10:$BO$70,MATCH(ROUND(G2100*2,1)/2,神经网络!$E$10:$E$70,0),MATCH(ROUND(E2100*2,1)/2,神经网络!$G$8:$BO$8,0))</f>
        <v>-0.26937055401147175</v>
      </c>
      <c r="I2100">
        <f t="shared" si="270"/>
        <v>909.83637586578834</v>
      </c>
      <c r="J2100">
        <f t="shared" si="271"/>
        <v>180.33079286540797</v>
      </c>
      <c r="K2100">
        <f t="shared" si="272"/>
        <v>5.0453744555144029</v>
      </c>
      <c r="L2100" s="4">
        <f>MIN(MAX(L2099*(1+MAX(MIN(((B2100-B2099)/B2099)/($K$7*卓尔金历!$N$40),0),-卓尔金历!$M$43))+MIN(MAX(((B2100-B2099)/B2099)/($K$7*卓尔金历!$N$40),0),卓尔金历!$M$43),0),1)</f>
        <v>0.73241759746187851</v>
      </c>
      <c r="M2100" s="4">
        <f>MIN(MAX(M2099*(1+MAX(MIN(((B2100-B2099)/B2099)/($K$7*30),0),-卓尔金历!$M$43))+MIN(MAX(((B2100-B2099)/B2099)/($K$7*7),0),卓尔金历!$M$43),0),1)</f>
        <v>0.86335342178003083</v>
      </c>
      <c r="N2100">
        <f t="shared" si="273"/>
        <v>744.9465337726939</v>
      </c>
      <c r="O2100">
        <f t="shared" si="274"/>
        <v>1894.818483104606</v>
      </c>
      <c r="P2100">
        <f t="shared" si="275"/>
        <v>-3.2619771242550495E-3</v>
      </c>
      <c r="Q2100">
        <f t="shared" si="276"/>
        <v>1.5816013174114345E-2</v>
      </c>
      <c r="R2100">
        <f t="shared" si="277"/>
        <v>1</v>
      </c>
      <c r="S2100">
        <f t="shared" si="269"/>
        <v>16.578519279543784</v>
      </c>
      <c r="T2100" s="564">
        <f>IF((I2100-MAX(I$470:I2100))/MAX(I$470:I2100)&gt;T2099,T2099,(I2100-MAX(I$470:I2100))/MAX(I$470:I2100))</f>
        <v>-0.91338805338419748</v>
      </c>
      <c r="U2100" s="564">
        <f>IF((J2100-MAX(J$470:J2100))/MAX(J$470:J2100)&gt;U2099,U2099,(J2100-MAX(J$470:J2100))/MAX(J$470:J2100))</f>
        <v>-0.8283551177402233</v>
      </c>
      <c r="V2100" s="564">
        <f>IF((K2100-MAX(K$470:K2100))/MAX(K$470:K2100)&gt;V2099,V2099,(K2100-MAX(K$470:K2100))/MAX(K$470:K2100))</f>
        <v>-0.84885940676762139</v>
      </c>
      <c r="W2100" s="564">
        <f>IF((N2100-MAX(N$470:N2100))/MAX(N$470:N2100)&gt;W2099,W2099,(N2100-MAX(N$470:N2100))/MAX(N$470:N2100))</f>
        <v>-0.62788758315546067</v>
      </c>
      <c r="X2100" s="564">
        <f>IF((O2100-MAX(O$470:O2100))/MAX(O$470:O2100)&gt;X2099,X2099,(O2100-MAX(O$470:O2100))/MAX(O$470:O2100))</f>
        <v>-0.62788758315546067</v>
      </c>
    </row>
    <row r="2101" spans="1:24">
      <c r="A2101" s="799">
        <v>42503</v>
      </c>
      <c r="B2101">
        <v>454.32</v>
      </c>
      <c r="C2101">
        <v>505.92892799999998</v>
      </c>
      <c r="D2101">
        <v>1.43337</v>
      </c>
      <c r="E2101">
        <f>LN(D2101/参数实验室!$E$53)/参数实验室!$E$55</f>
        <v>-0.2682237212642023</v>
      </c>
      <c r="F2101">
        <f t="shared" si="268"/>
        <v>1.1135959852086634</v>
      </c>
      <c r="G2101">
        <f>LN(F2101/参数实验室!$E$58)/参数实验室!$E$59</f>
        <v>-0.13405866598984204</v>
      </c>
      <c r="H2101" s="856">
        <f>INDEX(神经网络!$G$10:$BO$70,MATCH(ROUND(G2101*2,1)/2,神经网络!$E$10:$E$70,0),MATCH(ROUND(E2101*2,1)/2,神经网络!$G$8:$BO$8,0))</f>
        <v>-0.26937055401147175</v>
      </c>
      <c r="I2101">
        <f t="shared" si="270"/>
        <v>908.53863546345826</v>
      </c>
      <c r="J2101">
        <f t="shared" si="271"/>
        <v>181.28566298232269</v>
      </c>
      <c r="K2101">
        <f t="shared" si="272"/>
        <v>5.0116408574022238</v>
      </c>
      <c r="L2101" s="4">
        <f>MIN(MAX(L2100*(1+MAX(MIN(((B2101-B2100)/B2100)/($K$7*卓尔金历!$N$40),0),-卓尔金历!$M$43))+MIN(MAX(((B2101-B2100)/B2100)/($K$7*卓尔金历!$N$40),0),卓尔金历!$M$43),0),1)</f>
        <v>0.81332168951587769</v>
      </c>
      <c r="M2101" s="4">
        <f>MIN(MAX(M2100*(1+MAX(MIN(((B2101-B2100)/B2100)/($K$7*30),0),-卓尔金历!$M$43))+MIN(MAX(((B2101-B2100)/B2100)/($K$7*7),0),卓尔金历!$M$43),0),1)</f>
        <v>1</v>
      </c>
      <c r="N2101">
        <f t="shared" si="273"/>
        <v>744.16830299302376</v>
      </c>
      <c r="O2101">
        <f t="shared" si="274"/>
        <v>1892.4851284352285</v>
      </c>
      <c r="P2101">
        <f t="shared" si="275"/>
        <v>5.2951029701698996E-3</v>
      </c>
      <c r="Q2101">
        <f t="shared" si="276"/>
        <v>1.5814111367605032E-2</v>
      </c>
      <c r="R2101">
        <f t="shared" si="277"/>
        <v>1</v>
      </c>
      <c r="S2101">
        <f t="shared" si="269"/>
        <v>16.554872594435817</v>
      </c>
      <c r="T2101" s="564">
        <f>IF((I2101-MAX(I$470:I2101))/MAX(I$470:I2101)&gt;T2100,T2100,(I2101-MAX(I$470:I2101))/MAX(I$470:I2101))</f>
        <v>-0.91338805338419748</v>
      </c>
      <c r="U2101" s="564">
        <f>IF((J2101-MAX(J$470:J2101))/MAX(J$470:J2101)&gt;U2100,U2100,(J2101-MAX(J$470:J2101))/MAX(J$470:J2101))</f>
        <v>-0.8283551177402233</v>
      </c>
      <c r="V2101" s="564">
        <f>IF((K2101-MAX(K$470:K2101))/MAX(K$470:K2101)&gt;V2100,V2100,(K2101-MAX(K$470:K2101))/MAX(K$470:K2101))</f>
        <v>-0.84885940676762139</v>
      </c>
      <c r="W2101" s="564">
        <f>IF((N2101-MAX(N$470:N2101))/MAX(N$470:N2101)&gt;W2100,W2100,(N2101-MAX(N$470:N2101))/MAX(N$470:N2101))</f>
        <v>-0.62788758315546067</v>
      </c>
      <c r="X2101" s="564">
        <f>IF((O2101-MAX(O$470:O2101))/MAX(O$470:O2101)&gt;X2100,X2100,(O2101-MAX(O$470:O2101))/MAX(O$470:O2101))</f>
        <v>-0.62788758315546067</v>
      </c>
    </row>
    <row r="2102" spans="1:24">
      <c r="A2102" s="799">
        <v>42504</v>
      </c>
      <c r="B2102">
        <v>455.34199999999998</v>
      </c>
      <c r="C2102">
        <v>513.14354100000003</v>
      </c>
      <c r="D2102">
        <v>1.4350579999999999</v>
      </c>
      <c r="E2102">
        <f>LN(D2102/参数实验室!$E$53)/参数实验室!$E$55</f>
        <v>-0.26683520901588786</v>
      </c>
      <c r="F2102">
        <f t="shared" si="268"/>
        <v>1.126940938898674</v>
      </c>
      <c r="G2102">
        <f>LN(F2102/参数实验室!$E$58)/参数实验室!$E$59</f>
        <v>-0.12780638275283532</v>
      </c>
      <c r="H2102" s="856">
        <f>INDEX(神经网络!$G$10:$BO$70,MATCH(ROUND(G2102*2,1)/2,神经网络!$E$10:$E$70,0),MATCH(ROUND(E2102*2,1)/2,神经网络!$G$8:$BO$8,0))</f>
        <v>-0.26937055401147175</v>
      </c>
      <c r="I2102">
        <f t="shared" si="270"/>
        <v>907.9881034732349</v>
      </c>
      <c r="J2102">
        <f t="shared" si="271"/>
        <v>181.69346793823027</v>
      </c>
      <c r="K2102">
        <f t="shared" si="272"/>
        <v>4.9973623915963818</v>
      </c>
      <c r="L2102" s="4">
        <f>MIN(MAX(L2101*(1+MAX(MIN(((B2102-B2101)/B2101)/($K$7*卓尔金历!$N$40),0),-卓尔金历!$M$43))+MIN(MAX(((B2102-B2101)/B2101)/($K$7*卓尔金历!$N$40),0),卓尔金历!$M$43),0),1)</f>
        <v>0.84769213162709223</v>
      </c>
      <c r="M2102" s="4">
        <f>MIN(MAX(M2101*(1+MAX(MIN(((B2102-B2101)/B2101)/($K$7*30),0),-卓尔金历!$M$43))+MIN(MAX(((B2102-B2101)/B2101)/($K$7*7),0),卓尔金历!$M$43),0),1)</f>
        <v>1</v>
      </c>
      <c r="N2102">
        <f t="shared" si="273"/>
        <v>743.80155083198053</v>
      </c>
      <c r="O2102">
        <f t="shared" si="274"/>
        <v>1891.3383708141901</v>
      </c>
      <c r="P2102">
        <f t="shared" si="275"/>
        <v>2.2495157598168502E-3</v>
      </c>
      <c r="Q2102">
        <f t="shared" si="276"/>
        <v>1.5802673987505563E-2</v>
      </c>
      <c r="R2102">
        <f t="shared" si="277"/>
        <v>1</v>
      </c>
      <c r="S2102">
        <f t="shared" si="269"/>
        <v>16.544841114648875</v>
      </c>
      <c r="T2102" s="564">
        <f>IF((I2102-MAX(I$470:I2102))/MAX(I$470:I2102)&gt;T2101,T2101,(I2102-MAX(I$470:I2102))/MAX(I$470:I2102))</f>
        <v>-0.91338805338419748</v>
      </c>
      <c r="U2102" s="564">
        <f>IF((J2102-MAX(J$470:J2102))/MAX(J$470:J2102)&gt;U2101,U2101,(J2102-MAX(J$470:J2102))/MAX(J$470:J2102))</f>
        <v>-0.8283551177402233</v>
      </c>
      <c r="V2102" s="564">
        <f>IF((K2102-MAX(K$470:K2102))/MAX(K$470:K2102)&gt;V2101,V2101,(K2102-MAX(K$470:K2102))/MAX(K$470:K2102))</f>
        <v>-0.84885940676762139</v>
      </c>
      <c r="W2102" s="564">
        <f>IF((N2102-MAX(N$470:N2102))/MAX(N$470:N2102)&gt;W2101,W2101,(N2102-MAX(N$470:N2102))/MAX(N$470:N2102))</f>
        <v>-0.62788758315546067</v>
      </c>
      <c r="X2102" s="564">
        <f>IF((O2102-MAX(O$470:O2102))/MAX(O$470:O2102)&gt;X2101,X2101,(O2102-MAX(O$470:O2102))/MAX(O$470:O2102))</f>
        <v>-0.62788758315546067</v>
      </c>
    </row>
    <row r="2103" spans="1:24">
      <c r="A2103" s="799">
        <v>42505</v>
      </c>
      <c r="B2103">
        <v>455.79700000000003</v>
      </c>
      <c r="C2103">
        <v>513.51142300000004</v>
      </c>
      <c r="D2103">
        <v>1.4430350000000001</v>
      </c>
      <c r="E2103">
        <f>LN(D2103/参数实验室!$E$53)/参数实验室!$E$55</f>
        <v>-0.26029552060055894</v>
      </c>
      <c r="F2103">
        <f t="shared" si="268"/>
        <v>1.1266230865933737</v>
      </c>
      <c r="G2103">
        <f>LN(F2103/参数实验室!$E$58)/参数实验室!$E$59</f>
        <v>-0.12795443807033133</v>
      </c>
      <c r="H2103" s="856">
        <f>INDEX(神经网络!$G$10:$BO$70,MATCH(ROUND(G2103*2,1)/2,神经网络!$E$10:$E$70,0),MATCH(ROUND(E2103*2,1)/2,神经网络!$G$8:$BO$8,0))</f>
        <v>-0.26937055401147175</v>
      </c>
      <c r="I2103">
        <f t="shared" si="270"/>
        <v>907.743701918792</v>
      </c>
      <c r="J2103">
        <f t="shared" si="271"/>
        <v>181.87502493914803</v>
      </c>
      <c r="K2103">
        <f t="shared" si="272"/>
        <v>4.9910299790886956</v>
      </c>
      <c r="L2103" s="4">
        <f>MIN(MAX(L2102*(1+MAX(MIN(((B2103-B2102)/B2102)/($K$7*卓尔金历!$N$40),0),-卓尔金历!$M$43))+MIN(MAX(((B2103-B2102)/B2102)/($K$7*卓尔金历!$N$40),0),卓尔金历!$M$43),0),1)</f>
        <v>0.86295969615916712</v>
      </c>
      <c r="M2103" s="4">
        <f>MIN(MAX(M2102*(1+MAX(MIN(((B2103-B2102)/B2102)/($K$7*30),0),-卓尔金历!$M$43))+MIN(MAX(((B2103-B2102)/B2102)/($K$7*7),0),卓尔金历!$M$43),0),1)</f>
        <v>1</v>
      </c>
      <c r="N2103">
        <f t="shared" si="273"/>
        <v>743.63183629761738</v>
      </c>
      <c r="O2103">
        <f t="shared" si="274"/>
        <v>1890.8292826047341</v>
      </c>
      <c r="P2103">
        <f t="shared" si="275"/>
        <v>9.9924891619934241E-4</v>
      </c>
      <c r="Q2103">
        <f t="shared" si="276"/>
        <v>1.5230231319624848E-2</v>
      </c>
      <c r="R2103">
        <f t="shared" si="277"/>
        <v>1</v>
      </c>
      <c r="S2103">
        <f t="shared" si="269"/>
        <v>16.54038776898172</v>
      </c>
      <c r="T2103" s="564">
        <f>IF((I2103-MAX(I$470:I2103))/MAX(I$470:I2103)&gt;T2102,T2102,(I2103-MAX(I$470:I2103))/MAX(I$470:I2103))</f>
        <v>-0.91338805338419748</v>
      </c>
      <c r="U2103" s="564">
        <f>IF((J2103-MAX(J$470:J2103))/MAX(J$470:J2103)&gt;U2102,U2102,(J2103-MAX(J$470:J2103))/MAX(J$470:J2103))</f>
        <v>-0.8283551177402233</v>
      </c>
      <c r="V2103" s="564">
        <f>IF((K2103-MAX(K$470:K2103))/MAX(K$470:K2103)&gt;V2102,V2102,(K2103-MAX(K$470:K2103))/MAX(K$470:K2103))</f>
        <v>-0.84885940676762139</v>
      </c>
      <c r="W2103" s="564">
        <f>IF((N2103-MAX(N$470:N2103))/MAX(N$470:N2103)&gt;W2102,W2102,(N2103-MAX(N$470:N2103))/MAX(N$470:N2103))</f>
        <v>-0.62788758315546067</v>
      </c>
      <c r="X2103" s="564">
        <f>IF((O2103-MAX(O$470:O2103))/MAX(O$470:O2103)&gt;X2102,X2102,(O2103-MAX(O$470:O2103))/MAX(O$470:O2103))</f>
        <v>-0.62788758315546067</v>
      </c>
    </row>
    <row r="2104" spans="1:24">
      <c r="A2104" s="799">
        <v>42506</v>
      </c>
      <c r="B2104">
        <v>457.08499999999998</v>
      </c>
      <c r="C2104">
        <v>512.849647</v>
      </c>
      <c r="D2104">
        <v>1.4254549999999999</v>
      </c>
      <c r="E2104">
        <f>LN(D2104/参数实验室!$E$53)/参数实验室!$E$55</f>
        <v>-0.27475631474921247</v>
      </c>
      <c r="F2104">
        <f t="shared" si="268"/>
        <v>1.1220006060141987</v>
      </c>
      <c r="G2104">
        <f>LN(F2104/参数实验室!$E$58)/参数实验室!$E$59</f>
        <v>-0.13011231895234349</v>
      </c>
      <c r="H2104" s="856">
        <f>INDEX(神经网络!$G$10:$BO$70,MATCH(ROUND(G2104*2,1)/2,神经网络!$E$10:$E$70,0),MATCH(ROUND(E2104*2,1)/2,神经网络!$G$8:$BO$8,0))</f>
        <v>-0.26937055401147175</v>
      </c>
      <c r="I2104">
        <f t="shared" si="270"/>
        <v>907.0527341898129</v>
      </c>
      <c r="J2104">
        <f t="shared" si="271"/>
        <v>182.38897091097675</v>
      </c>
      <c r="K2104">
        <f t="shared" si="272"/>
        <v>4.9731775428051588</v>
      </c>
      <c r="L2104" s="4">
        <f>MIN(MAX(L2103*(1+MAX(MIN(((B2104-B2103)/B2103)/($K$7*卓尔金历!$N$40),0),-卓尔金历!$M$43))+MIN(MAX(((B2104-B2103)/B2103)/($K$7*卓尔金历!$N$40),0),卓尔金历!$M$43),0),1)</f>
        <v>0.90613550468546711</v>
      </c>
      <c r="M2104" s="4">
        <f>MIN(MAX(M2103*(1+MAX(MIN(((B2104-B2103)/B2103)/($K$7*30),0),-卓尔金历!$M$43))+MIN(MAX(((B2104-B2103)/B2103)/($K$7*7),0),卓尔金历!$M$43),0),1)</f>
        <v>1</v>
      </c>
      <c r="N2104">
        <f t="shared" si="273"/>
        <v>743.14336054869534</v>
      </c>
      <c r="O2104">
        <f t="shared" si="274"/>
        <v>1889.3899974711364</v>
      </c>
      <c r="P2104">
        <f t="shared" si="275"/>
        <v>2.8258193888945167E-3</v>
      </c>
      <c r="Q2104">
        <f t="shared" si="276"/>
        <v>1.5131670655227797E-2</v>
      </c>
      <c r="R2104">
        <f t="shared" si="277"/>
        <v>1</v>
      </c>
      <c r="S2104">
        <f t="shared" si="269"/>
        <v>16.527797349297167</v>
      </c>
      <c r="T2104" s="564">
        <f>IF((I2104-MAX(I$470:I2104))/MAX(I$470:I2104)&gt;T2103,T2103,(I2104-MAX(I$470:I2104))/MAX(I$470:I2104))</f>
        <v>-0.91338805338419748</v>
      </c>
      <c r="U2104" s="564">
        <f>IF((J2104-MAX(J$470:J2104))/MAX(J$470:J2104)&gt;U2103,U2103,(J2104-MAX(J$470:J2104))/MAX(J$470:J2104))</f>
        <v>-0.8283551177402233</v>
      </c>
      <c r="V2104" s="564">
        <f>IF((K2104-MAX(K$470:K2104))/MAX(K$470:K2104)&gt;V2103,V2103,(K2104-MAX(K$470:K2104))/MAX(K$470:K2104))</f>
        <v>-0.84885940676762139</v>
      </c>
      <c r="W2104" s="564">
        <f>IF((N2104-MAX(N$470:N2104))/MAX(N$470:N2104)&gt;W2103,W2103,(N2104-MAX(N$470:N2104))/MAX(N$470:N2104))</f>
        <v>-0.62788758315546067</v>
      </c>
      <c r="X2104" s="564">
        <f>IF((O2104-MAX(O$470:O2104))/MAX(O$470:O2104)&gt;X2103,X2103,(O2104-MAX(O$470:O2104))/MAX(O$470:O2104))</f>
        <v>-0.62788758315546067</v>
      </c>
    </row>
    <row r="2105" spans="1:24">
      <c r="A2105" s="799">
        <v>42507</v>
      </c>
      <c r="B2105">
        <v>454.774</v>
      </c>
      <c r="C2105">
        <v>519.12946899999997</v>
      </c>
      <c r="D2105">
        <v>1.415467</v>
      </c>
      <c r="E2105">
        <f>LN(D2105/参数实验室!$E$53)/参数实验室!$E$55</f>
        <v>-0.2830518075159229</v>
      </c>
      <c r="F2105">
        <f t="shared" si="268"/>
        <v>1.1415108801294709</v>
      </c>
      <c r="G2105">
        <f>LN(F2105/参数实验室!$E$58)/参数实验室!$E$59</f>
        <v>-0.12106416530188437</v>
      </c>
      <c r="H2105" s="856">
        <f>INDEX(神经网络!$G$10:$BO$70,MATCH(ROUND(G2105*2,1)/2,神经网络!$E$10:$E$70,0),MATCH(ROUND(E2105*2,1)/2,神经网络!$G$8:$BO$8,0))</f>
        <v>-0.2235375171131401</v>
      </c>
      <c r="I2105">
        <f t="shared" si="270"/>
        <v>908.28807171036885</v>
      </c>
      <c r="J2105">
        <f t="shared" si="271"/>
        <v>181.46682095686481</v>
      </c>
      <c r="K2105">
        <f t="shared" si="272"/>
        <v>5.0052569771212978</v>
      </c>
      <c r="L2105" s="4">
        <f>MIN(MAX(L2104*(1+MAX(MIN(((B2105-B2104)/B2104)/($K$7*卓尔金历!$N$40),0),-卓尔金历!$M$43))+MIN(MAX(((B2105-B2104)/B2104)/($K$7*卓尔金历!$N$40),0),卓尔金历!$M$43),0),1)</f>
        <v>0.8361364456595507</v>
      </c>
      <c r="M2105" s="4">
        <f>MIN(MAX(M2104*(1+MAX(MIN(((B2105-B2104)/B2104)/($K$7*30),0),-卓尔金历!$M$43))+MIN(MAX(((B2105-B2104)/B2104)/($K$7*7),0),卓尔金历!$M$43),0),1)</f>
        <v>0.96137494962731085</v>
      </c>
      <c r="N2105">
        <f t="shared" si="273"/>
        <v>744.06046509229384</v>
      </c>
      <c r="O2105">
        <f t="shared" si="274"/>
        <v>1891.9632043717518</v>
      </c>
      <c r="P2105">
        <f t="shared" si="275"/>
        <v>-5.0559523939748162E-3</v>
      </c>
      <c r="Q2105">
        <f t="shared" si="276"/>
        <v>1.4955067260614659E-2</v>
      </c>
      <c r="R2105">
        <f t="shared" si="277"/>
        <v>1</v>
      </c>
      <c r="S2105">
        <f t="shared" si="269"/>
        <v>16.550306964701136</v>
      </c>
      <c r="T2105" s="564">
        <f>IF((I2105-MAX(I$470:I2105))/MAX(I$470:I2105)&gt;T2104,T2104,(I2105-MAX(I$470:I2105))/MAX(I$470:I2105))</f>
        <v>-0.91338805338419748</v>
      </c>
      <c r="U2105" s="564">
        <f>IF((J2105-MAX(J$470:J2105))/MAX(J$470:J2105)&gt;U2104,U2104,(J2105-MAX(J$470:J2105))/MAX(J$470:J2105))</f>
        <v>-0.8283551177402233</v>
      </c>
      <c r="V2105" s="564">
        <f>IF((K2105-MAX(K$470:K2105))/MAX(K$470:K2105)&gt;V2104,V2104,(K2105-MAX(K$470:K2105))/MAX(K$470:K2105))</f>
        <v>-0.84885940676762139</v>
      </c>
      <c r="W2105" s="564">
        <f>IF((N2105-MAX(N$470:N2105))/MAX(N$470:N2105)&gt;W2104,W2104,(N2105-MAX(N$470:N2105))/MAX(N$470:N2105))</f>
        <v>-0.62788758315546067</v>
      </c>
      <c r="X2105" s="564">
        <f>IF((O2105-MAX(O$470:O2105))/MAX(O$470:O2105)&gt;X2104,X2104,(O2105-MAX(O$470:O2105))/MAX(O$470:O2105))</f>
        <v>-0.62788758315546067</v>
      </c>
    </row>
    <row r="2106" spans="1:24">
      <c r="A2106" s="799">
        <v>42508</v>
      </c>
      <c r="B2106">
        <v>454.584</v>
      </c>
      <c r="C2106">
        <v>512.93755699999997</v>
      </c>
      <c r="D2106">
        <v>1.417767</v>
      </c>
      <c r="E2106">
        <f>LN(D2106/参数实验室!$E$53)/参数实验室!$E$55</f>
        <v>-0.28113637585218154</v>
      </c>
      <c r="F2106">
        <f t="shared" si="268"/>
        <v>1.1283669398834979</v>
      </c>
      <c r="G2106">
        <f>LN(F2106/参数实验室!$E$58)/参数实验室!$E$59</f>
        <v>-0.12714266629167847</v>
      </c>
      <c r="H2106" s="856">
        <f>INDEX(神经网络!$G$10:$BO$70,MATCH(ROUND(G2106*2,1)/2,神经网络!$E$10:$E$70,0),MATCH(ROUND(E2106*2,1)/2,神经网络!$G$8:$BO$8,0))</f>
        <v>-0.31016069708053556</v>
      </c>
      <c r="I2106">
        <f t="shared" si="270"/>
        <v>908.37289829999577</v>
      </c>
      <c r="J2106">
        <f t="shared" si="271"/>
        <v>181.39100594549257</v>
      </c>
      <c r="K2106">
        <f t="shared" si="272"/>
        <v>5.0078166420939247</v>
      </c>
      <c r="L2106" s="4">
        <f>MIN(MAX(L2105*(1+MAX(MIN(((B2106-B2105)/B2105)/($K$7*卓尔金历!$N$40),0),-卓尔金历!$M$43))+MIN(MAX(((B2106-B2105)/B2105)/($K$7*卓尔金历!$N$40),0),卓尔金历!$M$43),0),1)</f>
        <v>0.83079902778426429</v>
      </c>
      <c r="M2106" s="4">
        <f>MIN(MAX(M2105*(1+MAX(MIN(((B2106-B2105)/B2105)/($K$7*30),0),-卓尔金历!$M$43))+MIN(MAX(((B2106-B2105)/B2105)/($K$7*7),0),卓尔金历!$M$43),0),1)</f>
        <v>0.95830651512261356</v>
      </c>
      <c r="N2106">
        <f t="shared" si="273"/>
        <v>744.11856745317402</v>
      </c>
      <c r="O2106">
        <f t="shared" si="274"/>
        <v>1892.1330732753252</v>
      </c>
      <c r="P2106">
        <f t="shared" si="275"/>
        <v>-4.1778993522056609E-4</v>
      </c>
      <c r="Q2106">
        <f t="shared" si="276"/>
        <v>1.48911927350506E-2</v>
      </c>
      <c r="R2106">
        <f t="shared" si="277"/>
        <v>1</v>
      </c>
      <c r="S2106">
        <f t="shared" si="269"/>
        <v>16.551852626414441</v>
      </c>
      <c r="T2106" s="564">
        <f>IF((I2106-MAX(I$470:I2106))/MAX(I$470:I2106)&gt;T2105,T2105,(I2106-MAX(I$470:I2106))/MAX(I$470:I2106))</f>
        <v>-0.91338805338419748</v>
      </c>
      <c r="U2106" s="564">
        <f>IF((J2106-MAX(J$470:J2106))/MAX(J$470:J2106)&gt;U2105,U2105,(J2106-MAX(J$470:J2106))/MAX(J$470:J2106))</f>
        <v>-0.8283551177402233</v>
      </c>
      <c r="V2106" s="564">
        <f>IF((K2106-MAX(K$470:K2106))/MAX(K$470:K2106)&gt;V2105,V2105,(K2106-MAX(K$470:K2106))/MAX(K$470:K2106))</f>
        <v>-0.84885940676762139</v>
      </c>
      <c r="W2106" s="564">
        <f>IF((N2106-MAX(N$470:N2106))/MAX(N$470:N2106)&gt;W2105,W2105,(N2106-MAX(N$470:N2106))/MAX(N$470:N2106))</f>
        <v>-0.62788758315546067</v>
      </c>
      <c r="X2106" s="564">
        <f>IF((O2106-MAX(O$470:O2106))/MAX(O$470:O2106)&gt;X2105,X2105,(O2106-MAX(O$470:O2106))/MAX(O$470:O2106))</f>
        <v>-0.62788758315546067</v>
      </c>
    </row>
    <row r="2107" spans="1:24">
      <c r="A2107" s="799">
        <v>42509</v>
      </c>
      <c r="B2107">
        <v>454</v>
      </c>
      <c r="C2107">
        <v>523.73609799999997</v>
      </c>
      <c r="D2107">
        <v>1.365837</v>
      </c>
      <c r="E2107">
        <f>LN(D2107/参数实验室!$E$53)/参数实验室!$E$55</f>
        <v>-0.32515965993385254</v>
      </c>
      <c r="F2107">
        <f t="shared" si="268"/>
        <v>1.1536037400881056</v>
      </c>
      <c r="G2107">
        <f>LN(F2107/参数实验室!$E$58)/参数实验室!$E$59</f>
        <v>-0.11553324748053331</v>
      </c>
      <c r="H2107" s="856">
        <f>INDEX(神经网络!$G$10:$BO$70,MATCH(ROUND(G2107*2,1)/2,神经网络!$E$10:$E$70,0),MATCH(ROUND(E2107*2,1)/2,神经网络!$G$8:$BO$8,0))</f>
        <v>-0.26728515199184727</v>
      </c>
      <c r="I2107">
        <f t="shared" si="270"/>
        <v>908.73484917742633</v>
      </c>
      <c r="J2107">
        <f t="shared" si="271"/>
        <v>181.15797454211679</v>
      </c>
      <c r="K2107">
        <f t="shared" si="272"/>
        <v>5.0162563998316161</v>
      </c>
      <c r="L2107" s="4">
        <f>MIN(MAX(L2106*(1+MAX(MIN(((B2107-B2106)/B2106)/($K$7*卓尔金历!$N$40),0),-卓尔金历!$M$43))+MIN(MAX(((B2107-B2106)/B2106)/($K$7*卓尔金历!$N$40),0),卓尔金历!$M$43),0),1)</f>
        <v>0.81449140115940943</v>
      </c>
      <c r="M2107" s="4">
        <f>MIN(MAX(M2106*(1+MAX(MIN(((B2107-B2106)/B2106)/($K$7*30),0),-卓尔金历!$M$43))+MIN(MAX(((B2107-B2106)/B2106)/($K$7*7),0),卓尔金历!$M$43),0),1)</f>
        <v>0.94890128935913121</v>
      </c>
      <c r="N2107">
        <f t="shared" si="273"/>
        <v>744.36490101490426</v>
      </c>
      <c r="O2107">
        <f t="shared" si="274"/>
        <v>1892.8555794834363</v>
      </c>
      <c r="P2107">
        <f t="shared" si="275"/>
        <v>-1.2846910581982719E-3</v>
      </c>
      <c r="Q2107">
        <f t="shared" si="276"/>
        <v>9.8648692197207608E-3</v>
      </c>
      <c r="R2107">
        <f t="shared" si="277"/>
        <v>1</v>
      </c>
      <c r="S2107">
        <f t="shared" si="269"/>
        <v>16.558447888770292</v>
      </c>
      <c r="T2107" s="564">
        <f>IF((I2107-MAX(I$470:I2107))/MAX(I$470:I2107)&gt;T2106,T2106,(I2107-MAX(I$470:I2107))/MAX(I$470:I2107))</f>
        <v>-0.91338805338419748</v>
      </c>
      <c r="U2107" s="564">
        <f>IF((J2107-MAX(J$470:J2107))/MAX(J$470:J2107)&gt;U2106,U2106,(J2107-MAX(J$470:J2107))/MAX(J$470:J2107))</f>
        <v>-0.8283551177402233</v>
      </c>
      <c r="V2107" s="564">
        <f>IF((K2107-MAX(K$470:K2107))/MAX(K$470:K2107)&gt;V2106,V2106,(K2107-MAX(K$470:K2107))/MAX(K$470:K2107))</f>
        <v>-0.84885940676762139</v>
      </c>
      <c r="W2107" s="564">
        <f>IF((N2107-MAX(N$470:N2107))/MAX(N$470:N2107)&gt;W2106,W2106,(N2107-MAX(N$470:N2107))/MAX(N$470:N2107))</f>
        <v>-0.62788758315546067</v>
      </c>
      <c r="X2107" s="564">
        <f>IF((O2107-MAX(O$470:O2107))/MAX(O$470:O2107)&gt;X2106,X2106,(O2107-MAX(O$470:O2107))/MAX(O$470:O2107))</f>
        <v>-0.62788758315546067</v>
      </c>
    </row>
    <row r="2108" spans="1:24">
      <c r="A2108" s="799">
        <v>42510</v>
      </c>
      <c r="B2108">
        <v>442.334</v>
      </c>
      <c r="C2108">
        <v>529.84944399999995</v>
      </c>
      <c r="D2108">
        <v>1.3794679999999999</v>
      </c>
      <c r="E2108">
        <f>LN(D2108/参数实验室!$E$53)/参数实验室!$E$55</f>
        <v>-0.31344413206210542</v>
      </c>
      <c r="F2108">
        <f t="shared" si="268"/>
        <v>1.1978492360976094</v>
      </c>
      <c r="G2108">
        <f>LN(F2108/参数实验室!$E$58)/参数实验室!$E$59</f>
        <v>-9.5779360053726295E-2</v>
      </c>
      <c r="H2108" s="856">
        <f>INDEX(神经网络!$G$10:$BO$70,MATCH(ROUND(G2108*2,1)/2,神经网络!$E$10:$E$70,0),MATCH(ROUND(E2108*2,1)/2,神经网络!$G$8:$BO$8,0))</f>
        <v>-0.2235375171131401</v>
      </c>
      <c r="I2108">
        <f t="shared" si="270"/>
        <v>914.97619341180894</v>
      </c>
      <c r="J2108">
        <f t="shared" si="271"/>
        <v>176.50293284386055</v>
      </c>
      <c r="K2108">
        <f t="shared" si="272"/>
        <v>5.18391495636632</v>
      </c>
      <c r="L2108" s="4">
        <f>MIN(MAX(L2107*(1+MAX(MIN(((B2108-B2107)/B2107)/($K$7*卓尔金历!$N$40),0),-卓尔金历!$M$43))+MIN(MAX(((B2108-B2107)/B2107)/($K$7*卓尔金历!$N$40),0),卓尔金历!$M$43),0),1)</f>
        <v>0.49471331324927764</v>
      </c>
      <c r="M2108" s="4">
        <f>MIN(MAX(M2107*(1+MAX(MIN(((B2108-B2107)/B2107)/($K$7*30),0),-卓尔金历!$M$43))+MIN(MAX(((B2108-B2107)/B2107)/($K$7*7),0),卓尔金历!$M$43),0),1)</f>
        <v>0.76262686123454637</v>
      </c>
      <c r="N2108">
        <f t="shared" si="273"/>
        <v>748.52892616057363</v>
      </c>
      <c r="O2108">
        <f t="shared" si="274"/>
        <v>1905.191724595134</v>
      </c>
      <c r="P2108">
        <f t="shared" si="275"/>
        <v>-2.5696035242290742E-2</v>
      </c>
      <c r="Q2108">
        <f t="shared" si="276"/>
        <v>1.1134406177093331E-2</v>
      </c>
      <c r="R2108">
        <f t="shared" si="277"/>
        <v>1.6149112567757928E-3</v>
      </c>
      <c r="S2108">
        <f t="shared" si="269"/>
        <v>16.672174102037506</v>
      </c>
      <c r="T2108" s="564">
        <f>IF((I2108-MAX(I$470:I2108))/MAX(I$470:I2108)&gt;T2107,T2107,(I2108-MAX(I$470:I2108))/MAX(I$470:I2108))</f>
        <v>-0.91338805338419748</v>
      </c>
      <c r="U2108" s="564">
        <f>IF((J2108-MAX(J$470:J2108))/MAX(J$470:J2108)&gt;U2107,U2107,(J2108-MAX(J$470:J2108))/MAX(J$470:J2108))</f>
        <v>-0.8283551177402233</v>
      </c>
      <c r="V2108" s="564">
        <f>IF((K2108-MAX(K$470:K2108))/MAX(K$470:K2108)&gt;V2107,V2107,(K2108-MAX(K$470:K2108))/MAX(K$470:K2108))</f>
        <v>-0.84885940676762139</v>
      </c>
      <c r="W2108" s="564">
        <f>IF((N2108-MAX(N$470:N2108))/MAX(N$470:N2108)&gt;W2107,W2107,(N2108-MAX(N$470:N2108))/MAX(N$470:N2108))</f>
        <v>-0.62788758315546067</v>
      </c>
      <c r="X2108" s="564">
        <f>IF((O2108-MAX(O$470:O2108))/MAX(O$470:O2108)&gt;X2107,X2107,(O2108-MAX(O$470:O2108))/MAX(O$470:O2108))</f>
        <v>-0.62788758315546067</v>
      </c>
    </row>
    <row r="2109" spans="1:24">
      <c r="A2109" s="799">
        <v>42511</v>
      </c>
      <c r="B2109">
        <v>442.06099999999998</v>
      </c>
      <c r="C2109">
        <v>533.84861100000001</v>
      </c>
      <c r="D2109">
        <v>1.3843380000000001</v>
      </c>
      <c r="E2109">
        <f>LN(D2109/参数实验室!$E$53)/参数实验室!$E$55</f>
        <v>-0.30928652892759767</v>
      </c>
      <c r="F2109">
        <f t="shared" si="268"/>
        <v>1.2076356226855571</v>
      </c>
      <c r="G2109">
        <f>LN(F2109/参数实验室!$E$58)/参数实验室!$E$59</f>
        <v>-9.1508742520616901E-2</v>
      </c>
      <c r="H2109" s="856">
        <f>INDEX(神经网络!$G$10:$BO$70,MATCH(ROUND(G2109*2,1)/2,神经网络!$E$10:$E$70,0),MATCH(ROUND(E2109*2,1)/2,神经网络!$G$8:$BO$8,0))</f>
        <v>-0.2235375171131401</v>
      </c>
      <c r="I2109">
        <f t="shared" si="270"/>
        <v>915.10242630657297</v>
      </c>
      <c r="J2109">
        <f t="shared" si="271"/>
        <v>176.39399864330989</v>
      </c>
      <c r="K2109">
        <f t="shared" si="272"/>
        <v>5.1878319746978541</v>
      </c>
      <c r="L2109" s="4">
        <f>MIN(MAX(L2108*(1+MAX(MIN(((B2109-B2108)/B2108)/($K$7*卓尔金历!$N$40),0),-卓尔金历!$M$43))+MIN(MAX(((B2109-B2108)/B2108)/($K$7*卓尔金历!$N$40),0),卓尔金历!$M$43),0),1)</f>
        <v>0.49004820204559885</v>
      </c>
      <c r="M2109" s="4">
        <f>MIN(MAX(M2108*(1+MAX(MIN(((B2109-B2108)/B2108)/($K$7*30),0),-卓尔金历!$M$43))+MIN(MAX(((B2109-B2108)/B2108)/($K$7*7),0),卓尔金历!$M$43),0),1)</f>
        <v>0.75903110282327135</v>
      </c>
      <c r="N2109">
        <f t="shared" si="273"/>
        <v>748.58001487011165</v>
      </c>
      <c r="O2109">
        <f t="shared" si="274"/>
        <v>1905.3921780433932</v>
      </c>
      <c r="P2109">
        <f t="shared" si="275"/>
        <v>-6.1718068247076767E-4</v>
      </c>
      <c r="Q2109">
        <f t="shared" si="276"/>
        <v>1.0414539483478735E-2</v>
      </c>
      <c r="R2109">
        <f t="shared" si="277"/>
        <v>1</v>
      </c>
      <c r="S2109">
        <f t="shared" si="269"/>
        <v>16.672177816565586</v>
      </c>
      <c r="T2109" s="564">
        <f>IF((I2109-MAX(I$470:I2109))/MAX(I$470:I2109)&gt;T2108,T2108,(I2109-MAX(I$470:I2109))/MAX(I$470:I2109))</f>
        <v>-0.91338805338419748</v>
      </c>
      <c r="U2109" s="564">
        <f>IF((J2109-MAX(J$470:J2109))/MAX(J$470:J2109)&gt;U2108,U2108,(J2109-MAX(J$470:J2109))/MAX(J$470:J2109))</f>
        <v>-0.8283551177402233</v>
      </c>
      <c r="V2109" s="564">
        <f>IF((K2109-MAX(K$470:K2109))/MAX(K$470:K2109)&gt;V2108,V2108,(K2109-MAX(K$470:K2109))/MAX(K$470:K2109))</f>
        <v>-0.84885940676762139</v>
      </c>
      <c r="W2109" s="564">
        <f>IF((N2109-MAX(N$470:N2109))/MAX(N$470:N2109)&gt;W2108,W2108,(N2109-MAX(N$470:N2109))/MAX(N$470:N2109))</f>
        <v>-0.62788758315546067</v>
      </c>
      <c r="X2109" s="564">
        <f>IF((O2109-MAX(O$470:O2109))/MAX(O$470:O2109)&gt;X2108,X2108,(O2109-MAX(O$470:O2109))/MAX(O$470:O2109))</f>
        <v>-0.62788758315546067</v>
      </c>
    </row>
    <row r="2110" spans="1:24">
      <c r="A2110" s="799">
        <v>42512</v>
      </c>
      <c r="B2110">
        <v>442.55700000000002</v>
      </c>
      <c r="C2110">
        <v>519.72680400000002</v>
      </c>
      <c r="D2110">
        <v>1.373245</v>
      </c>
      <c r="E2110">
        <f>LN(D2110/参数实验室!$E$53)/参数实验室!$E$55</f>
        <v>-0.31877822751202228</v>
      </c>
      <c r="F2110">
        <f t="shared" si="268"/>
        <v>1.1743725757360068</v>
      </c>
      <c r="G2110">
        <f>LN(F2110/参数实验室!$E$58)/参数实验室!$E$59</f>
        <v>-0.10616812078357744</v>
      </c>
      <c r="H2110" s="856">
        <f>INDEX(神经网络!$G$10:$BO$70,MATCH(ROUND(G2110*2,1)/2,神经网络!$E$10:$E$70,0),MATCH(ROUND(E2110*2,1)/2,神经网络!$G$8:$BO$8,0))</f>
        <v>-0.2235375171131401</v>
      </c>
      <c r="I2110">
        <f t="shared" si="270"/>
        <v>914.8729067985339</v>
      </c>
      <c r="J2110">
        <f t="shared" si="271"/>
        <v>176.59191572562904</v>
      </c>
      <c r="K2110">
        <f t="shared" si="272"/>
        <v>5.180717945321871</v>
      </c>
      <c r="L2110" s="4">
        <f>MIN(MAX(L2109*(1+MAX(MIN(((B2110-B2109)/B2109)/($K$7*卓尔金历!$N$40),0),-卓尔金历!$M$43))+MIN(MAX(((B2110-B2109)/B2109)/($K$7*卓尔金历!$N$40),0),卓尔金历!$M$43),0),1)</f>
        <v>0.50719154657137089</v>
      </c>
      <c r="M2110" s="4">
        <f>MIN(MAX(M2109*(1+MAX(MIN(((B2110-B2109)/B2109)/($K$7*30),0),-卓尔金历!$M$43))+MIN(MAX(((B2110-B2109)/B2109)/($K$7*7),0),卓尔金历!$M$43),0),1)</f>
        <v>0.79576684109278284</v>
      </c>
      <c r="N2110">
        <f t="shared" si="273"/>
        <v>748.48800658715311</v>
      </c>
      <c r="O2110">
        <f t="shared" si="274"/>
        <v>1905.0294393804172</v>
      </c>
      <c r="P2110">
        <f t="shared" si="275"/>
        <v>1.1220170971880301E-3</v>
      </c>
      <c r="Q2110">
        <f t="shared" si="276"/>
        <v>1.0161652411530065E-2</v>
      </c>
      <c r="R2110">
        <f t="shared" si="277"/>
        <v>1</v>
      </c>
      <c r="S2110">
        <f t="shared" si="269"/>
        <v>16.667996219030279</v>
      </c>
      <c r="T2110" s="564">
        <f>IF((I2110-MAX(I$470:I2110))/MAX(I$470:I2110)&gt;T2109,T2109,(I2110-MAX(I$470:I2110))/MAX(I$470:I2110))</f>
        <v>-0.91338805338419748</v>
      </c>
      <c r="U2110" s="564">
        <f>IF((J2110-MAX(J$470:J2110))/MAX(J$470:J2110)&gt;U2109,U2109,(J2110-MAX(J$470:J2110))/MAX(J$470:J2110))</f>
        <v>-0.8283551177402233</v>
      </c>
      <c r="V2110" s="564">
        <f>IF((K2110-MAX(K$470:K2110))/MAX(K$470:K2110)&gt;V2109,V2109,(K2110-MAX(K$470:K2110))/MAX(K$470:K2110))</f>
        <v>-0.84885940676762139</v>
      </c>
      <c r="W2110" s="564">
        <f>IF((N2110-MAX(N$470:N2110))/MAX(N$470:N2110)&gt;W2109,W2109,(N2110-MAX(N$470:N2110))/MAX(N$470:N2110))</f>
        <v>-0.62788758315546067</v>
      </c>
      <c r="X2110" s="564">
        <f>IF((O2110-MAX(O$470:O2110))/MAX(O$470:O2110)&gt;X2109,X2109,(O2110-MAX(O$470:O2110))/MAX(O$470:O2110))</f>
        <v>-0.62788758315546067</v>
      </c>
    </row>
    <row r="2111" spans="1:24">
      <c r="A2111" s="799">
        <v>42513</v>
      </c>
      <c r="B2111">
        <v>441.976</v>
      </c>
      <c r="C2111">
        <v>507.79013900000001</v>
      </c>
      <c r="D2111">
        <v>1.3837809999999999</v>
      </c>
      <c r="E2111">
        <f>LN(D2111/参数实验室!$E$53)/参数实验室!$E$55</f>
        <v>-0.30976130805794683</v>
      </c>
      <c r="F2111">
        <f t="shared" si="268"/>
        <v>1.1489088525168787</v>
      </c>
      <c r="G2111">
        <f>LN(F2111/参数实验室!$E$58)/参数实验室!$E$59</f>
        <v>-0.11767363459196985</v>
      </c>
      <c r="H2111" s="856">
        <f>INDEX(神经网络!$G$10:$BO$70,MATCH(ROUND(G2111*2,1)/2,神经网络!$E$10:$E$70,0),MATCH(ROUND(E2111*2,1)/2,神经网络!$G$8:$BO$8,0))</f>
        <v>-0.2235375171131401</v>
      </c>
      <c r="I2111">
        <f t="shared" si="270"/>
        <v>915.14139061167612</v>
      </c>
      <c r="J2111">
        <f t="shared" si="271"/>
        <v>176.3600814013802</v>
      </c>
      <c r="K2111">
        <f t="shared" si="272"/>
        <v>5.1890506249477957</v>
      </c>
      <c r="L2111" s="4">
        <f>MIN(MAX(L2110*(1+MAX(MIN(((B2111-B2110)/B2110)/($K$7*卓尔金历!$N$40),0),-卓尔金历!$M$43))+MIN(MAX(((B2111-B2110)/B2110)/($K$7*卓尔金历!$N$40),0),卓尔金历!$M$43),0),1)</f>
        <v>0.49701793849926579</v>
      </c>
      <c r="M2111" s="4">
        <f>MIN(MAX(M2110*(1+MAX(MIN(((B2111-B2110)/B2110)/($K$7*30),0),-卓尔金历!$M$43))+MIN(MAX(((B2111-B2110)/B2110)/($K$7*7),0),卓尔金历!$M$43),0),1)</f>
        <v>0.78778581300508788</v>
      </c>
      <c r="N2111">
        <f t="shared" si="273"/>
        <v>748.59941402669904</v>
      </c>
      <c r="O2111">
        <f t="shared" si="274"/>
        <v>1905.4743214175221</v>
      </c>
      <c r="P2111">
        <f t="shared" si="275"/>
        <v>-1.3128252405905166E-3</v>
      </c>
      <c r="Q2111">
        <f t="shared" si="276"/>
        <v>1.00223223912363E-2</v>
      </c>
      <c r="R2111">
        <f t="shared" si="277"/>
        <v>1</v>
      </c>
      <c r="S2111">
        <f t="shared" si="269"/>
        <v>16.672887704119706</v>
      </c>
      <c r="T2111" s="564">
        <f>IF((I2111-MAX(I$470:I2111))/MAX(I$470:I2111)&gt;T2110,T2110,(I2111-MAX(I$470:I2111))/MAX(I$470:I2111))</f>
        <v>-0.91338805338419748</v>
      </c>
      <c r="U2111" s="564">
        <f>IF((J2111-MAX(J$470:J2111))/MAX(J$470:J2111)&gt;U2110,U2110,(J2111-MAX(J$470:J2111))/MAX(J$470:J2111))</f>
        <v>-0.8283551177402233</v>
      </c>
      <c r="V2111" s="564">
        <f>IF((K2111-MAX(K$470:K2111))/MAX(K$470:K2111)&gt;V2110,V2110,(K2111-MAX(K$470:K2111))/MAX(K$470:K2111))</f>
        <v>-0.84885940676762139</v>
      </c>
      <c r="W2111" s="564">
        <f>IF((N2111-MAX(N$470:N2111))/MAX(N$470:N2111)&gt;W2110,W2110,(N2111-MAX(N$470:N2111))/MAX(N$470:N2111))</f>
        <v>-0.62788758315546067</v>
      </c>
      <c r="X2111" s="564">
        <f>IF((O2111-MAX(O$470:O2111))/MAX(O$470:O2111)&gt;X2110,X2110,(O2111-MAX(O$470:O2111))/MAX(O$470:O2111))</f>
        <v>-0.62788758315546067</v>
      </c>
    </row>
    <row r="2112" spans="1:24">
      <c r="A2112" s="799">
        <v>42514</v>
      </c>
      <c r="B2112">
        <v>445.42700000000002</v>
      </c>
      <c r="C2112">
        <v>503.11279100000002</v>
      </c>
      <c r="D2112">
        <v>1.3879280000000001</v>
      </c>
      <c r="E2112">
        <f>LN(D2112/参数实验室!$E$53)/参数实验室!$E$55</f>
        <v>-0.3062310382111027</v>
      </c>
      <c r="F2112">
        <f t="shared" si="268"/>
        <v>1.1295067227626525</v>
      </c>
      <c r="G2112">
        <f>LN(F2112/参数实验室!$E$58)/参数实验室!$E$59</f>
        <v>-0.1266127697672888</v>
      </c>
      <c r="H2112" s="856">
        <f>INDEX(神经网络!$G$10:$BO$70,MATCH(ROUND(G2112*2,1)/2,神经网络!$E$10:$E$70,0),MATCH(ROUND(E2112*2,1)/2,神经网络!$G$8:$BO$8,0))</f>
        <v>-0.31016069708053556</v>
      </c>
      <c r="I2112">
        <f t="shared" si="270"/>
        <v>913.5440964901677</v>
      </c>
      <c r="J2112">
        <f t="shared" si="271"/>
        <v>177.73712142372568</v>
      </c>
      <c r="K2112">
        <f t="shared" si="272"/>
        <v>5.1398609878027486</v>
      </c>
      <c r="L2112" s="4">
        <f>MIN(MAX(L2111*(1+MAX(MIN(((B2112-B2111)/B2111)/($K$7*卓尔金历!$N$40),0),-卓尔金历!$M$43))+MIN(MAX(((B2112-B2111)/B2111)/($K$7*卓尔金历!$N$40),0),卓尔金历!$M$43),0),1)</f>
        <v>0.61631846233549203</v>
      </c>
      <c r="M2112" s="4">
        <f>MIN(MAX(M2111*(1+MAX(MIN(((B2112-B2111)/B2111)/($K$7*30),0),-卓尔金历!$M$43))+MIN(MAX(((B2112-B2111)/B2111)/($K$7*7),0),卓尔金历!$M$43),0),1)</f>
        <v>1</v>
      </c>
      <c r="N2112">
        <f t="shared" si="273"/>
        <v>747.95000511882438</v>
      </c>
      <c r="O2112">
        <f t="shared" si="274"/>
        <v>1902.8542812411374</v>
      </c>
      <c r="P2112">
        <f t="shared" si="275"/>
        <v>7.8081162778069896E-3</v>
      </c>
      <c r="Q2112">
        <f t="shared" si="276"/>
        <v>9.4336885436457057E-3</v>
      </c>
      <c r="R2112">
        <f t="shared" si="277"/>
        <v>0.2010412073063135</v>
      </c>
      <c r="S2112">
        <f t="shared" si="269"/>
        <v>16.64378673044332</v>
      </c>
      <c r="T2112" s="564">
        <f>IF((I2112-MAX(I$470:I2112))/MAX(I$470:I2112)&gt;T2111,T2111,(I2112-MAX(I$470:I2112))/MAX(I$470:I2112))</f>
        <v>-0.91338805338419748</v>
      </c>
      <c r="U2112" s="564">
        <f>IF((J2112-MAX(J$470:J2112))/MAX(J$470:J2112)&gt;U2111,U2111,(J2112-MAX(J$470:J2112))/MAX(J$470:J2112))</f>
        <v>-0.8283551177402233</v>
      </c>
      <c r="V2112" s="564">
        <f>IF((K2112-MAX(K$470:K2112))/MAX(K$470:K2112)&gt;V2111,V2111,(K2112-MAX(K$470:K2112))/MAX(K$470:K2112))</f>
        <v>-0.84885940676762139</v>
      </c>
      <c r="W2112" s="564">
        <f>IF((N2112-MAX(N$470:N2112))/MAX(N$470:N2112)&gt;W2111,W2111,(N2112-MAX(N$470:N2112))/MAX(N$470:N2112))</f>
        <v>-0.62788758315546067</v>
      </c>
      <c r="X2112" s="564">
        <f>IF((O2112-MAX(O$470:O2112))/MAX(O$470:O2112)&gt;X2111,X2111,(O2112-MAX(O$470:O2112))/MAX(O$470:O2112))</f>
        <v>-0.62788758315546067</v>
      </c>
    </row>
    <row r="2113" spans="1:24">
      <c r="A2113" s="799">
        <v>42515</v>
      </c>
      <c r="B2113">
        <v>448.37799999999999</v>
      </c>
      <c r="C2113">
        <v>499.79826800000001</v>
      </c>
      <c r="D2113">
        <v>1.401851</v>
      </c>
      <c r="E2113">
        <f>LN(D2113/参数实验室!$E$53)/参数实验室!$E$55</f>
        <v>-0.29445530917235924</v>
      </c>
      <c r="F2113">
        <f t="shared" si="268"/>
        <v>1.1146806221536294</v>
      </c>
      <c r="G2113">
        <f>LN(F2113/参数实验室!$E$58)/参数实验室!$E$59</f>
        <v>-0.13354770955927972</v>
      </c>
      <c r="H2113" s="856">
        <f>INDEX(神经网络!$G$10:$BO$70,MATCH(ROUND(G2113*2,1)/2,神经网络!$E$10:$E$70,0),MATCH(ROUND(E2113*2,1)/2,神经网络!$G$8:$BO$8,0))</f>
        <v>-0.31016069708053556</v>
      </c>
      <c r="I2113">
        <f t="shared" si="270"/>
        <v>911.66690338528554</v>
      </c>
      <c r="J2113">
        <f t="shared" si="271"/>
        <v>178.91464825824943</v>
      </c>
      <c r="K2113">
        <f t="shared" si="272"/>
        <v>5.0955408752745894</v>
      </c>
      <c r="L2113" s="4">
        <f>MIN(MAX(L2112*(1+MAX(MIN(((B2113-B2112)/B2112)/($K$7*卓尔金历!$N$40),0),-卓尔金历!$M$43))+MIN(MAX(((B2113-B2112)/B2112)/($K$7*卓尔金历!$N$40),0),卓尔金历!$M$43),0),1)</f>
        <v>0.71754368697868876</v>
      </c>
      <c r="M2113" s="4">
        <f>MIN(MAX(M2112*(1+MAX(MIN(((B2113-B2112)/B2112)/($K$7*30),0),-卓尔金历!$M$43))+MIN(MAX(((B2113-B2112)/B2112)/($K$7*7),0),卓尔金历!$M$43),0),1)</f>
        <v>1</v>
      </c>
      <c r="N2113">
        <f t="shared" si="273"/>
        <v>747.00277132879341</v>
      </c>
      <c r="O2113">
        <f t="shared" si="274"/>
        <v>1898.9442073322095</v>
      </c>
      <c r="P2113">
        <f t="shared" si="275"/>
        <v>6.6251035523216262E-3</v>
      </c>
      <c r="Q2113">
        <f t="shared" si="276"/>
        <v>9.2072988408546715E-3</v>
      </c>
      <c r="R2113">
        <f t="shared" si="277"/>
        <v>0.34166912284977169</v>
      </c>
      <c r="S2113">
        <f t="shared" si="269"/>
        <v>16.636911034537246</v>
      </c>
      <c r="T2113" s="564">
        <f>IF((I2113-MAX(I$470:I2113))/MAX(I$470:I2113)&gt;T2112,T2112,(I2113-MAX(I$470:I2113))/MAX(I$470:I2113))</f>
        <v>-0.91338805338419748</v>
      </c>
      <c r="U2113" s="564">
        <f>IF((J2113-MAX(J$470:J2113))/MAX(J$470:J2113)&gt;U2112,U2112,(J2113-MAX(J$470:J2113))/MAX(J$470:J2113))</f>
        <v>-0.8283551177402233</v>
      </c>
      <c r="V2113" s="564">
        <f>IF((K2113-MAX(K$470:K2113))/MAX(K$470:K2113)&gt;V2112,V2112,(K2113-MAX(K$470:K2113))/MAX(K$470:K2113))</f>
        <v>-0.84885940676762139</v>
      </c>
      <c r="W2113" s="564">
        <f>IF((N2113-MAX(N$470:N2113))/MAX(N$470:N2113)&gt;W2112,W2112,(N2113-MAX(N$470:N2113))/MAX(N$470:N2113))</f>
        <v>-0.62788758315546067</v>
      </c>
      <c r="X2113" s="564">
        <f>IF((O2113-MAX(O$470:O2113))/MAX(O$470:O2113)&gt;X2112,X2112,(O2113-MAX(O$470:O2113))/MAX(O$470:O2113))</f>
        <v>-0.62788758315546067</v>
      </c>
    </row>
    <row r="2114" spans="1:24">
      <c r="A2114" s="799">
        <v>42516</v>
      </c>
      <c r="B2114">
        <v>450.02199999999999</v>
      </c>
      <c r="C2114">
        <v>505.50154600000002</v>
      </c>
      <c r="D2114">
        <v>1.412876</v>
      </c>
      <c r="E2114">
        <f>LN(D2114/参数实验室!$E$53)/参数实验室!$E$55</f>
        <v>-0.28521331445494336</v>
      </c>
      <c r="F2114">
        <f t="shared" si="268"/>
        <v>1.1232818528871922</v>
      </c>
      <c r="G2114">
        <f>LN(F2114/参数实验室!$E$58)/参数实验室!$E$59</f>
        <v>-0.12951331398367949</v>
      </c>
      <c r="H2114" s="856">
        <f>INDEX(神经网络!$G$10:$BO$70,MATCH(ROUND(G2114*2,1)/2,神经网络!$E$10:$E$70,0),MATCH(ROUND(E2114*2,1)/2,神经网络!$G$8:$BO$8,0))</f>
        <v>-0.31016069708053556</v>
      </c>
      <c r="I2114">
        <f t="shared" si="270"/>
        <v>910.63013804382319</v>
      </c>
      <c r="J2114">
        <f t="shared" si="271"/>
        <v>179.57064761980723</v>
      </c>
      <c r="K2114">
        <f t="shared" si="272"/>
        <v>5.0711524968815542</v>
      </c>
      <c r="L2114" s="4">
        <f>MIN(MAX(L2113*(1+MAX(MIN(((B2114-B2113)/B2113)/($K$7*卓尔金历!$N$40),0),-卓尔金历!$M$43))+MIN(MAX(((B2114-B2113)/B2113)/($K$7*卓尔金历!$N$40),0),卓尔金历!$M$43),0),1)</f>
        <v>0.77356504032613038</v>
      </c>
      <c r="M2114" s="4">
        <f>MIN(MAX(M2113*(1+MAX(MIN(((B2114-B2113)/B2113)/($K$7*30),0),-卓尔金历!$M$43))+MIN(MAX(((B2114-B2113)/B2113)/($K$7*7),0),卓尔金历!$M$43),0),1)</f>
        <v>1</v>
      </c>
      <c r="N2114">
        <f t="shared" si="273"/>
        <v>746.39321359937253</v>
      </c>
      <c r="O2114">
        <f t="shared" si="274"/>
        <v>1896.7846910305625</v>
      </c>
      <c r="P2114">
        <f t="shared" si="275"/>
        <v>3.6665492062500958E-3</v>
      </c>
      <c r="Q2114">
        <f t="shared" si="276"/>
        <v>9.1856080542565242E-3</v>
      </c>
      <c r="R2114">
        <f t="shared" si="277"/>
        <v>0.93605013041749041</v>
      </c>
      <c r="S2114">
        <f t="shared" si="269"/>
        <v>16.630446716594054</v>
      </c>
      <c r="T2114" s="564">
        <f>IF((I2114-MAX(I$470:I2114))/MAX(I$470:I2114)&gt;T2113,T2113,(I2114-MAX(I$470:I2114))/MAX(I$470:I2114))</f>
        <v>-0.91338805338419748</v>
      </c>
      <c r="U2114" s="564">
        <f>IF((J2114-MAX(J$470:J2114))/MAX(J$470:J2114)&gt;U2113,U2113,(J2114-MAX(J$470:J2114))/MAX(J$470:J2114))</f>
        <v>-0.8283551177402233</v>
      </c>
      <c r="V2114" s="564">
        <f>IF((K2114-MAX(K$470:K2114))/MAX(K$470:K2114)&gt;V2113,V2113,(K2114-MAX(K$470:K2114))/MAX(K$470:K2114))</f>
        <v>-0.84885940676762139</v>
      </c>
      <c r="W2114" s="564">
        <f>IF((N2114-MAX(N$470:N2114))/MAX(N$470:N2114)&gt;W2113,W2113,(N2114-MAX(N$470:N2114))/MAX(N$470:N2114))</f>
        <v>-0.62788758315546067</v>
      </c>
      <c r="X2114" s="564">
        <f>IF((O2114-MAX(O$470:O2114))/MAX(O$470:O2114)&gt;X2113,X2113,(O2114-MAX(O$470:O2114))/MAX(O$470:O2114))</f>
        <v>-0.62788758315546067</v>
      </c>
    </row>
    <row r="2115" spans="1:24">
      <c r="A2115" s="799">
        <v>42517</v>
      </c>
      <c r="B2115">
        <v>474.06900000000002</v>
      </c>
      <c r="C2115">
        <v>502.50387899999998</v>
      </c>
      <c r="D2115">
        <v>1.46116</v>
      </c>
      <c r="E2115">
        <f>LN(D2115/参数实验室!$E$53)/参数实验室!$E$55</f>
        <v>-0.24556971522278295</v>
      </c>
      <c r="F2115">
        <f t="shared" si="268"/>
        <v>1.0599804648690381</v>
      </c>
      <c r="G2115">
        <f>LN(F2115/参数实验室!$E$58)/参数实验室!$E$59</f>
        <v>-0.15995702545645515</v>
      </c>
      <c r="H2115" s="856">
        <f>INDEX(神经网络!$G$10:$BO$70,MATCH(ROUND(G2115*2,1)/2,神经网络!$E$10:$E$70,0),MATCH(ROUND(E2115*2,1)/2,神经网络!$G$8:$BO$8,0))</f>
        <v>-0.26937055401147175</v>
      </c>
      <c r="I2115">
        <f t="shared" si="270"/>
        <v>895.53782024504471</v>
      </c>
      <c r="J2115">
        <f t="shared" si="271"/>
        <v>189.1660348749048</v>
      </c>
      <c r="K2115">
        <f t="shared" si="272"/>
        <v>4.7341364470490834</v>
      </c>
      <c r="L2115" s="4">
        <f>MIN(MAX(L2114*(1+MAX(MIN(((B2115-B2114)/B2114)/($K$7*卓尔金历!$N$40),0),-卓尔金历!$M$43))+MIN(MAX(((B2115-B2114)/B2114)/($K$7*卓尔金历!$N$40),0),卓尔金历!$M$43),0),1)</f>
        <v>1</v>
      </c>
      <c r="M2115" s="4">
        <f>MIN(MAX(M2114*(1+MAX(MIN(((B2115-B2114)/B2114)/($K$7*30),0),-卓尔金历!$M$43))+MIN(MAX(((B2115-B2114)/B2114)/($K$7*7),0),卓尔金历!$M$43),0),1)</f>
        <v>1</v>
      </c>
      <c r="N2115">
        <f t="shared" si="273"/>
        <v>736.82395175144325</v>
      </c>
      <c r="O2115">
        <f t="shared" si="274"/>
        <v>1865.3483524371725</v>
      </c>
      <c r="P2115">
        <f t="shared" si="275"/>
        <v>5.343516539191423E-2</v>
      </c>
      <c r="Q2115">
        <f t="shared" si="276"/>
        <v>1.4565882018761068E-2</v>
      </c>
      <c r="R2115">
        <f t="shared" si="277"/>
        <v>0</v>
      </c>
      <c r="S2115">
        <f t="shared" si="269"/>
        <v>16.372448356630485</v>
      </c>
      <c r="T2115" s="564">
        <f>IF((I2115-MAX(I$470:I2115))/MAX(I$470:I2115)&gt;T2114,T2114,(I2115-MAX(I$470:I2115))/MAX(I$470:I2115))</f>
        <v>-0.91338805338419748</v>
      </c>
      <c r="U2115" s="564">
        <f>IF((J2115-MAX(J$470:J2115))/MAX(J$470:J2115)&gt;U2114,U2114,(J2115-MAX(J$470:J2115))/MAX(J$470:J2115))</f>
        <v>-0.8283551177402233</v>
      </c>
      <c r="V2115" s="564">
        <f>IF((K2115-MAX(K$470:K2115))/MAX(K$470:K2115)&gt;V2114,V2114,(K2115-MAX(K$470:K2115))/MAX(K$470:K2115))</f>
        <v>-0.84885940676762139</v>
      </c>
      <c r="W2115" s="564">
        <f>IF((N2115-MAX(N$470:N2115))/MAX(N$470:N2115)&gt;W2114,W2114,(N2115-MAX(N$470:N2115))/MAX(N$470:N2115))</f>
        <v>-0.62788758315546067</v>
      </c>
      <c r="X2115" s="564">
        <f>IF((O2115-MAX(O$470:O2115))/MAX(O$470:O2115)&gt;X2114,X2114,(O2115-MAX(O$470:O2115))/MAX(O$470:O2115))</f>
        <v>-0.62788758315546067</v>
      </c>
    </row>
    <row r="2116" spans="1:24">
      <c r="A2116" s="799">
        <v>42518</v>
      </c>
      <c r="B2116">
        <v>498.67599999999999</v>
      </c>
      <c r="C2116">
        <v>503.51731999999998</v>
      </c>
      <c r="D2116">
        <v>1.6347389999999999</v>
      </c>
      <c r="E2116">
        <f>LN(D2116/参数实验室!$E$53)/参数实验室!$E$55</f>
        <v>-0.11313944323348589</v>
      </c>
      <c r="F2116">
        <f t="shared" si="268"/>
        <v>1.0097083477047222</v>
      </c>
      <c r="G2116">
        <f>LN(F2116/参数实验室!$E$58)/参数实验室!$E$59</f>
        <v>-0.1854591344552276</v>
      </c>
      <c r="H2116" s="856">
        <f>INDEX(神经网络!$G$10:$BO$70,MATCH(ROUND(G2116*2,1)/2,神经网络!$E$10:$E$70,0),MATCH(ROUND(E2116*2,1)/2,神经网络!$G$8:$BO$8,0))</f>
        <v>-0.22522253134567718</v>
      </c>
      <c r="I2116">
        <f t="shared" si="270"/>
        <v>883.01647001425295</v>
      </c>
      <c r="J2116">
        <f t="shared" si="271"/>
        <v>198.98487690036265</v>
      </c>
      <c r="K2116">
        <f t="shared" si="272"/>
        <v>4.4376059315120928</v>
      </c>
      <c r="L2116" s="4">
        <f>MIN(MAX(L2115*(1+MAX(MIN(((B2116-B2115)/B2115)/($K$7*卓尔金历!$N$40),0),-卓尔金历!$M$43))+MIN(MAX(((B2116-B2115)/B2115)/($K$7*卓尔金历!$N$40),0),卓尔金历!$M$43),0),1)</f>
        <v>1</v>
      </c>
      <c r="M2116" s="4">
        <f>MIN(MAX(M2115*(1+MAX(MIN(((B2116-B2115)/B2115)/($K$7*30),0),-卓尔金历!$M$43))+MIN(MAX(((B2116-B2115)/B2115)/($K$7*7),0),卓尔金历!$M$43),0),1)</f>
        <v>1</v>
      </c>
      <c r="N2116">
        <f t="shared" si="273"/>
        <v>726.52172827215873</v>
      </c>
      <c r="O2116">
        <f t="shared" si="274"/>
        <v>1839.2671758578235</v>
      </c>
      <c r="P2116">
        <f t="shared" si="275"/>
        <v>5.1905946180830151E-2</v>
      </c>
      <c r="Q2116">
        <f t="shared" si="276"/>
        <v>1.7389046103033157E-2</v>
      </c>
      <c r="R2116">
        <f t="shared" si="277"/>
        <v>0</v>
      </c>
      <c r="S2116">
        <f t="shared" si="269"/>
        <v>16.372448356630485</v>
      </c>
      <c r="T2116" s="564">
        <f>IF((I2116-MAX(I$470:I2116))/MAX(I$470:I2116)&gt;T2115,T2115,(I2116-MAX(I$470:I2116))/MAX(I$470:I2116))</f>
        <v>-0.91338805338419748</v>
      </c>
      <c r="U2116" s="564">
        <f>IF((J2116-MAX(J$470:J2116))/MAX(J$470:J2116)&gt;U2115,U2115,(J2116-MAX(J$470:J2116))/MAX(J$470:J2116))</f>
        <v>-0.8283551177402233</v>
      </c>
      <c r="V2116" s="564">
        <f>IF((K2116-MAX(K$470:K2116))/MAX(K$470:K2116)&gt;V2115,V2115,(K2116-MAX(K$470:K2116))/MAX(K$470:K2116))</f>
        <v>-0.84885940676762139</v>
      </c>
      <c r="W2116" s="564">
        <f>IF((N2116-MAX(N$470:N2116))/MAX(N$470:N2116)&gt;W2115,W2115,(N2116-MAX(N$470:N2116))/MAX(N$470:N2116))</f>
        <v>-0.62788758315546067</v>
      </c>
      <c r="X2116" s="564">
        <f>IF((O2116-MAX(O$470:O2116))/MAX(O$470:O2116)&gt;X2115,X2115,(O2116-MAX(O$470:O2116))/MAX(O$470:O2116))</f>
        <v>-0.62788758315546067</v>
      </c>
    </row>
    <row r="2117" spans="1:24">
      <c r="A2117" s="799">
        <v>42519</v>
      </c>
      <c r="B2117">
        <v>521.84900000000005</v>
      </c>
      <c r="C2117">
        <v>507.60616900000002</v>
      </c>
      <c r="D2117">
        <v>1.6194470000000001</v>
      </c>
      <c r="E2117">
        <f>LN(D2117/参数实验室!$E$53)/参数实验室!$E$55</f>
        <v>-0.12422726636495968</v>
      </c>
      <c r="F2117">
        <f t="shared" ref="F2117:F2180" si="278">C2117/B2117</f>
        <v>0.97270698803676925</v>
      </c>
      <c r="G2117">
        <f>LN(F2117/参数实验室!$E$58)/参数实验室!$E$59</f>
        <v>-0.20505398778561199</v>
      </c>
      <c r="H2117" s="856">
        <f>INDEX(神经网络!$G$10:$BO$70,MATCH(ROUND(G2117*2,1)/2,神经网络!$E$10:$E$70,0),MATCH(ROUND(E2117*2,1)/2,神经网络!$G$8:$BO$8,0))</f>
        <v>-0.22522253134567718</v>
      </c>
      <c r="I2117">
        <f t="shared" si="270"/>
        <v>873.77492817924292</v>
      </c>
      <c r="J2117">
        <f t="shared" si="271"/>
        <v>208.23151510314784</v>
      </c>
      <c r="K2117">
        <f t="shared" si="272"/>
        <v>4.1961704391691956</v>
      </c>
      <c r="L2117" s="4">
        <f>MIN(MAX(L2116*(1+MAX(MIN(((B2117-B2116)/B2116)/($K$7*卓尔金历!$N$40),0),-卓尔金历!$M$43))+MIN(MAX(((B2117-B2116)/B2116)/($K$7*卓尔金历!$N$40),0),卓尔金历!$M$43),0),1)</f>
        <v>1</v>
      </c>
      <c r="M2117" s="4">
        <f>MIN(MAX(M2116*(1+MAX(MIN(((B2117-B2116)/B2116)/($K$7*30),0),-卓尔金历!$M$43))+MIN(MAX(((B2117-B2116)/B2116)/($K$7*7),0),卓尔金历!$M$43),0),1)</f>
        <v>1</v>
      </c>
      <c r="N2117">
        <f t="shared" si="273"/>
        <v>718.91804116792775</v>
      </c>
      <c r="O2117">
        <f t="shared" si="274"/>
        <v>1820.0176316775473</v>
      </c>
      <c r="P2117">
        <f t="shared" si="275"/>
        <v>4.6469050044518005E-2</v>
      </c>
      <c r="Q2117">
        <f t="shared" si="276"/>
        <v>1.9565177787348124E-2</v>
      </c>
      <c r="R2117">
        <f t="shared" si="277"/>
        <v>2.346909861248601E-3</v>
      </c>
      <c r="S2117">
        <f t="shared" si="269"/>
        <v>16.372448356630485</v>
      </c>
      <c r="T2117" s="564">
        <f>IF((I2117-MAX(I$470:I2117))/MAX(I$470:I2117)&gt;T2116,T2116,(I2117-MAX(I$470:I2117))/MAX(I$470:I2117))</f>
        <v>-0.91338805338419748</v>
      </c>
      <c r="U2117" s="564">
        <f>IF((J2117-MAX(J$470:J2117))/MAX(J$470:J2117)&gt;U2116,U2116,(J2117-MAX(J$470:J2117))/MAX(J$470:J2117))</f>
        <v>-0.8283551177402233</v>
      </c>
      <c r="V2117" s="564">
        <f>IF((K2117-MAX(K$470:K2117))/MAX(K$470:K2117)&gt;V2116,V2116,(K2117-MAX(K$470:K2117))/MAX(K$470:K2117))</f>
        <v>-0.84885940676762139</v>
      </c>
      <c r="W2117" s="564">
        <f>IF((N2117-MAX(N$470:N2117))/MAX(N$470:N2117)&gt;W2116,W2116,(N2117-MAX(N$470:N2117))/MAX(N$470:N2117))</f>
        <v>-0.62788758315546067</v>
      </c>
      <c r="X2117" s="564">
        <f>IF((O2117-MAX(O$470:O2117))/MAX(O$470:O2117)&gt;X2116,X2116,(O2117-MAX(O$470:O2117))/MAX(O$470:O2117))</f>
        <v>-0.62788758315546067</v>
      </c>
    </row>
    <row r="2118" spans="1:24">
      <c r="A2118" s="799">
        <v>42520</v>
      </c>
      <c r="B2118">
        <v>535.53899999999999</v>
      </c>
      <c r="C2118">
        <v>508.66042800000002</v>
      </c>
      <c r="D2118">
        <v>1.632566</v>
      </c>
      <c r="E2118">
        <f>LN(D2118/参数实验室!$E$53)/参数实验室!$E$55</f>
        <v>-0.11470869016766101</v>
      </c>
      <c r="F2118">
        <f t="shared" si="278"/>
        <v>0.94981024351167709</v>
      </c>
      <c r="G2118">
        <f>LN(F2118/参数实验室!$E$58)/参数实验室!$E$59</f>
        <v>-0.21755636434105283</v>
      </c>
      <c r="H2118" s="856">
        <f>INDEX(神经网络!$G$10:$BO$70,MATCH(ROUND(G2118*2,1)/2,神经网络!$E$10:$E$70,0),MATCH(ROUND(E2118*2,1)/2,神经网络!$G$8:$BO$8,0))</f>
        <v>-0.22522253134567718</v>
      </c>
      <c r="I2118">
        <f t="shared" si="270"/>
        <v>868.61230999322356</v>
      </c>
      <c r="J2118">
        <f t="shared" si="271"/>
        <v>213.69418618570637</v>
      </c>
      <c r="K2118">
        <f t="shared" si="272"/>
        <v>4.0647446966029044</v>
      </c>
      <c r="L2118" s="4">
        <f>MIN(MAX(L2117*(1+MAX(MIN(((B2118-B2117)/B2117)/($K$7*卓尔金历!$N$40),0),-卓尔金历!$M$43))+MIN(MAX(((B2118-B2117)/B2117)/($K$7*卓尔金历!$N$40),0),卓尔金历!$M$43),0),1)</f>
        <v>1</v>
      </c>
      <c r="M2118" s="4">
        <f>MIN(MAX(M2117*(1+MAX(MIN(((B2118-B2117)/B2117)/($K$7*30),0),-卓尔金历!$M$43))+MIN(MAX(((B2118-B2117)/B2117)/($K$7*7),0),卓尔金历!$M$43),0),1)</f>
        <v>1</v>
      </c>
      <c r="N2118">
        <f t="shared" si="273"/>
        <v>714.67038054744626</v>
      </c>
      <c r="O2118">
        <f t="shared" si="274"/>
        <v>1809.26422617099</v>
      </c>
      <c r="P2118">
        <f t="shared" si="275"/>
        <v>2.6233642298825788E-2</v>
      </c>
      <c r="Q2118">
        <f t="shared" si="276"/>
        <v>1.9841898799000123E-2</v>
      </c>
      <c r="R2118">
        <f t="shared" si="277"/>
        <v>1.4101663688689727E-2</v>
      </c>
      <c r="S2118">
        <f t="shared" si="269"/>
        <v>16.372221328084922</v>
      </c>
      <c r="T2118" s="564">
        <f>IF((I2118-MAX(I$470:I2118))/MAX(I$470:I2118)&gt;T2117,T2117,(I2118-MAX(I$470:I2118))/MAX(I$470:I2118))</f>
        <v>-0.91338805338419748</v>
      </c>
      <c r="U2118" s="564">
        <f>IF((J2118-MAX(J$470:J2118))/MAX(J$470:J2118)&gt;U2117,U2117,(J2118-MAX(J$470:J2118))/MAX(J$470:J2118))</f>
        <v>-0.8283551177402233</v>
      </c>
      <c r="V2118" s="564">
        <f>IF((K2118-MAX(K$470:K2118))/MAX(K$470:K2118)&gt;V2117,V2117,(K2118-MAX(K$470:K2118))/MAX(K$470:K2118))</f>
        <v>-0.84885940676762139</v>
      </c>
      <c r="W2118" s="564">
        <f>IF((N2118-MAX(N$470:N2118))/MAX(N$470:N2118)&gt;W2117,W2117,(N2118-MAX(N$470:N2118))/MAX(N$470:N2118))</f>
        <v>-0.62788758315546067</v>
      </c>
      <c r="X2118" s="564">
        <f>IF((O2118-MAX(O$470:O2118))/MAX(O$470:O2118)&gt;X2117,X2117,(O2118-MAX(O$470:O2118))/MAX(O$470:O2118))</f>
        <v>-0.62788758315546067</v>
      </c>
    </row>
    <row r="2119" spans="1:24">
      <c r="A2119" s="799">
        <v>42521</v>
      </c>
      <c r="B2119">
        <v>544.41800000000001</v>
      </c>
      <c r="C2119">
        <v>518.62811799999997</v>
      </c>
      <c r="D2119">
        <v>1.620984</v>
      </c>
      <c r="E2119">
        <f>LN(D2119/参数实验室!$E$53)/参数实验室!$E$55</f>
        <v>-0.12310810606068615</v>
      </c>
      <c r="F2119">
        <f t="shared" si="278"/>
        <v>0.95262852807952703</v>
      </c>
      <c r="G2119">
        <f>LN(F2119/参数实验室!$E$58)/参数实验室!$E$59</f>
        <v>-0.21600131914944068</v>
      </c>
      <c r="H2119" s="856">
        <f>INDEX(神经网络!$G$10:$BO$70,MATCH(ROUND(G2119*2,1)/2,神经网络!$E$10:$E$70,0),MATCH(ROUND(E2119*2,1)/2,神经网络!$G$8:$BO$8,0))</f>
        <v>-0.22522253134567718</v>
      </c>
      <c r="I2119">
        <f t="shared" si="270"/>
        <v>865.36883340182078</v>
      </c>
      <c r="J2119">
        <f t="shared" si="271"/>
        <v>217.23714137504439</v>
      </c>
      <c r="K2119">
        <f t="shared" si="272"/>
        <v>3.9835215466577298</v>
      </c>
      <c r="L2119" s="4">
        <f>MIN(MAX(L2118*(1+MAX(MIN(((B2119-B2118)/B2118)/($K$7*卓尔金历!$N$40),0),-卓尔金历!$M$43))+MIN(MAX(((B2119-B2118)/B2118)/($K$7*卓尔金历!$N$40),0),卓尔金历!$M$43),0),1)</f>
        <v>1</v>
      </c>
      <c r="M2119" s="4">
        <f>MIN(MAX(M2118*(1+MAX(MIN(((B2119-B2118)/B2118)/($K$7*30),0),-卓尔金历!$M$43))+MIN(MAX(((B2119-B2118)/B2118)/($K$7*7),0),卓尔金历!$M$43),0),1)</f>
        <v>1</v>
      </c>
      <c r="N2119">
        <f t="shared" si="273"/>
        <v>712.00173698436731</v>
      </c>
      <c r="O2119">
        <f t="shared" si="274"/>
        <v>1802.5082706109154</v>
      </c>
      <c r="P2119">
        <f t="shared" si="275"/>
        <v>1.657955816476488E-2</v>
      </c>
      <c r="Q2119">
        <f t="shared" si="276"/>
        <v>1.9929531961014244E-2</v>
      </c>
      <c r="R2119">
        <f t="shared" si="277"/>
        <v>0.20752559521837599</v>
      </c>
      <c r="S2119">
        <f t="shared" si="269"/>
        <v>16.371359217955298</v>
      </c>
      <c r="T2119" s="564">
        <f>IF((I2119-MAX(I$470:I2119))/MAX(I$470:I2119)&gt;T2118,T2118,(I2119-MAX(I$470:I2119))/MAX(I$470:I2119))</f>
        <v>-0.91338805338419748</v>
      </c>
      <c r="U2119" s="564">
        <f>IF((J2119-MAX(J$470:J2119))/MAX(J$470:J2119)&gt;U2118,U2118,(J2119-MAX(J$470:J2119))/MAX(J$470:J2119))</f>
        <v>-0.8283551177402233</v>
      </c>
      <c r="V2119" s="564">
        <f>IF((K2119-MAX(K$470:K2119))/MAX(K$470:K2119)&gt;V2118,V2118,(K2119-MAX(K$470:K2119))/MAX(K$470:K2119))</f>
        <v>-0.84885940676762139</v>
      </c>
      <c r="W2119" s="564">
        <f>IF((N2119-MAX(N$470:N2119))/MAX(N$470:N2119)&gt;W2118,W2118,(N2119-MAX(N$470:N2119))/MAX(N$470:N2119))</f>
        <v>-0.62788758315546067</v>
      </c>
      <c r="X2119" s="564">
        <f>IF((O2119-MAX(O$470:O2119))/MAX(O$470:O2119)&gt;X2118,X2118,(O2119-MAX(O$470:O2119))/MAX(O$470:O2119))</f>
        <v>-0.62788758315546067</v>
      </c>
    </row>
    <row r="2120" spans="1:24">
      <c r="A2120" s="799">
        <v>42522</v>
      </c>
      <c r="B2120">
        <v>532.14099999999996</v>
      </c>
      <c r="C2120">
        <v>523.92185700000005</v>
      </c>
      <c r="D2120">
        <v>1.6374930000000001</v>
      </c>
      <c r="E2120">
        <f>LN(D2120/参数实验室!$E$53)/参数实验室!$E$55</f>
        <v>-0.11115361753345117</v>
      </c>
      <c r="F2120">
        <f t="shared" si="278"/>
        <v>0.98455457670053625</v>
      </c>
      <c r="G2120">
        <f>LN(F2120/参数实验室!$E$58)/参数实验室!$E$59</f>
        <v>-0.19869987459865365</v>
      </c>
      <c r="H2120" s="856">
        <f>INDEX(神经网络!$G$10:$BO$70,MATCH(ROUND(G2120*2,1)/2,神经网络!$E$10:$E$70,0),MATCH(ROUND(E2120*2,1)/2,神经网络!$G$8:$BO$8,0))</f>
        <v>-0.22522253134567718</v>
      </c>
      <c r="I2120">
        <f t="shared" si="270"/>
        <v>869.76397493898003</v>
      </c>
      <c r="J2120">
        <f t="shared" si="271"/>
        <v>212.33829456127</v>
      </c>
      <c r="K2120">
        <f t="shared" si="272"/>
        <v>4.0961239551069788</v>
      </c>
      <c r="L2120" s="4">
        <f>MIN(MAX(L2119*(1+MAX(MIN(((B2120-B2119)/B2119)/($K$7*卓尔金历!$N$40),0),-卓尔金历!$M$43))+MIN(MAX(((B2120-B2119)/B2119)/($K$7*卓尔金历!$N$40),0),卓尔金历!$M$43),0),1)</f>
        <v>0.65544714053459097</v>
      </c>
      <c r="M2120" s="4">
        <f>MIN(MAX(M2119*(1+MAX(MIN(((B2120-B2119)/B2119)/($K$7*30),0),-卓尔金历!$M$43))+MIN(MAX(((B2120-B2119)/B2119)/($K$7*7),0),卓尔金历!$M$43),0),1)</f>
        <v>0.82772357026729548</v>
      </c>
      <c r="N2120">
        <f t="shared" si="273"/>
        <v>715.61793887188833</v>
      </c>
      <c r="O2120">
        <f t="shared" si="274"/>
        <v>1811.663071044497</v>
      </c>
      <c r="P2120">
        <f t="shared" si="275"/>
        <v>-2.25506871558252E-2</v>
      </c>
      <c r="Q2120">
        <f t="shared" si="276"/>
        <v>2.0407621671121288E-2</v>
      </c>
      <c r="R2120">
        <f t="shared" si="277"/>
        <v>1.7939426782276859E-2</v>
      </c>
      <c r="S2120">
        <f t="shared" si="269"/>
        <v>16.38861473676285</v>
      </c>
      <c r="T2120" s="564">
        <f>IF((I2120-MAX(I$470:I2120))/MAX(I$470:I2120)&gt;T2119,T2119,(I2120-MAX(I$470:I2120))/MAX(I$470:I2120))</f>
        <v>-0.91338805338419748</v>
      </c>
      <c r="U2120" s="564">
        <f>IF((J2120-MAX(J$470:J2120))/MAX(J$470:J2120)&gt;U2119,U2119,(J2120-MAX(J$470:J2120))/MAX(J$470:J2120))</f>
        <v>-0.8283551177402233</v>
      </c>
      <c r="V2120" s="564">
        <f>IF((K2120-MAX(K$470:K2120))/MAX(K$470:K2120)&gt;V2119,V2119,(K2120-MAX(K$470:K2120))/MAX(K$470:K2120))</f>
        <v>-0.84885940676762139</v>
      </c>
      <c r="W2120" s="564">
        <f>IF((N2120-MAX(N$470:N2120))/MAX(N$470:N2120)&gt;W2119,W2119,(N2120-MAX(N$470:N2120))/MAX(N$470:N2120))</f>
        <v>-0.62788758315546067</v>
      </c>
      <c r="X2120" s="564">
        <f>IF((O2120-MAX(O$470:O2120))/MAX(O$470:O2120)&gt;X2119,X2119,(O2120-MAX(O$470:O2120))/MAX(O$470:O2120))</f>
        <v>-0.62788758315546067</v>
      </c>
    </row>
    <row r="2121" spans="1:24">
      <c r="A2121" s="799">
        <v>42523</v>
      </c>
      <c r="B2121">
        <v>535.84400000000005</v>
      </c>
      <c r="C2121">
        <v>528.91396499999996</v>
      </c>
      <c r="D2121">
        <v>1.635942</v>
      </c>
      <c r="E2121">
        <f>LN(D2121/参数实验室!$E$53)/参数实验室!$E$55</f>
        <v>-0.1122715853063446</v>
      </c>
      <c r="F2121">
        <f t="shared" si="278"/>
        <v>0.98706706616104667</v>
      </c>
      <c r="G2121">
        <f>LN(F2121/参数实验室!$E$58)/参数实验室!$E$59</f>
        <v>-0.19736220317459077</v>
      </c>
      <c r="H2121" s="856">
        <f>INDEX(神经网络!$G$10:$BO$70,MATCH(ROUND(G2121*2,1)/2,神经网络!$E$10:$E$70,0),MATCH(ROUND(E2121*2,1)/2,神经网络!$G$8:$BO$8,0))</f>
        <v>-0.22522253134567718</v>
      </c>
      <c r="I2121">
        <f t="shared" si="270"/>
        <v>868.4008356309098</v>
      </c>
      <c r="J2121">
        <f t="shared" si="271"/>
        <v>213.81588923027766</v>
      </c>
      <c r="K2121">
        <f t="shared" si="272"/>
        <v>4.0614420132998177</v>
      </c>
      <c r="L2121" s="4">
        <f>MIN(MAX(L2120*(1+MAX(MIN(((B2121-B2120)/B2120)/($K$7*卓尔金历!$N$40),0),-卓尔金历!$M$43))+MIN(MAX(((B2121-B2120)/B2120)/($K$7*卓尔金历!$N$40),0),卓尔金历!$M$43),0),1)</f>
        <v>0.76176912379979966</v>
      </c>
      <c r="M2121" s="4">
        <f>MIN(MAX(M2120*(1+MAX(MIN(((B2121-B2120)/B2120)/($K$7*30),0),-卓尔金历!$M$43))+MIN(MAX(((B2121-B2120)/B2120)/($K$7*7),0),卓尔金历!$M$43),0),1)</f>
        <v>1</v>
      </c>
      <c r="N2121">
        <f t="shared" si="273"/>
        <v>714.88281975312805</v>
      </c>
      <c r="O2121">
        <f t="shared" si="274"/>
        <v>1809.3128885878223</v>
      </c>
      <c r="P2121">
        <f t="shared" si="275"/>
        <v>6.9586820034541379E-3</v>
      </c>
      <c r="Q2121">
        <f t="shared" si="276"/>
        <v>2.0257946436047069E-2</v>
      </c>
      <c r="R2121">
        <f t="shared" si="277"/>
        <v>1</v>
      </c>
      <c r="S2121">
        <f t="shared" si="269"/>
        <v>16.38815396099249</v>
      </c>
      <c r="T2121" s="564">
        <f>IF((I2121-MAX(I$470:I2121))/MAX(I$470:I2121)&gt;T2120,T2120,(I2121-MAX(I$470:I2121))/MAX(I$470:I2121))</f>
        <v>-0.91338805338419748</v>
      </c>
      <c r="U2121" s="564">
        <f>IF((J2121-MAX(J$470:J2121))/MAX(J$470:J2121)&gt;U2120,U2120,(J2121-MAX(J$470:J2121))/MAX(J$470:J2121))</f>
        <v>-0.8283551177402233</v>
      </c>
      <c r="V2121" s="564">
        <f>IF((K2121-MAX(K$470:K2121))/MAX(K$470:K2121)&gt;V2120,V2120,(K2121-MAX(K$470:K2121))/MAX(K$470:K2121))</f>
        <v>-0.84885940676762139</v>
      </c>
      <c r="W2121" s="564">
        <f>IF((N2121-MAX(N$470:N2121))/MAX(N$470:N2121)&gt;W2120,W2120,(N2121-MAX(N$470:N2121))/MAX(N$470:N2121))</f>
        <v>-0.62788758315546067</v>
      </c>
      <c r="X2121" s="564">
        <f>IF((O2121-MAX(O$470:O2121))/MAX(O$470:O2121)&gt;X2120,X2120,(O2121-MAX(O$470:O2121))/MAX(O$470:O2121))</f>
        <v>-0.62788758315546067</v>
      </c>
    </row>
    <row r="2122" spans="1:24">
      <c r="A2122" s="799">
        <v>42524</v>
      </c>
      <c r="B2122">
        <v>549.81600000000003</v>
      </c>
      <c r="C2122">
        <v>538.34612500000003</v>
      </c>
      <c r="D2122">
        <v>1.7260740000000001</v>
      </c>
      <c r="E2122">
        <f>LN(D2122/参数实验室!$E$53)/参数实验室!$E$55</f>
        <v>-4.9000616353074435E-2</v>
      </c>
      <c r="F2122">
        <f t="shared" si="278"/>
        <v>0.97913870276601622</v>
      </c>
      <c r="G2122">
        <f>LN(F2122/参数实验室!$E$58)/参数实验室!$E$59</f>
        <v>-0.20159498104777127</v>
      </c>
      <c r="H2122" s="856">
        <f>INDEX(神经网络!$G$10:$BO$70,MATCH(ROUND(G2122*2,1)/2,神经网络!$E$10:$E$70,0),MATCH(ROUND(E2122*2,1)/2,神经网络!$G$8:$BO$8,0))</f>
        <v>-0.17967275257091911</v>
      </c>
      <c r="I2122">
        <f t="shared" si="270"/>
        <v>863.30104586790958</v>
      </c>
      <c r="J2122">
        <f t="shared" si="271"/>
        <v>219.39108575076764</v>
      </c>
      <c r="K2122">
        <f t="shared" si="272"/>
        <v>3.9349868884309895</v>
      </c>
      <c r="L2122" s="4">
        <f>MIN(MAX(L2121*(1+MAX(MIN(((B2122-B2121)/B2121)/($K$7*卓尔金历!$N$40),0),-卓尔金历!$M$43))+MIN(MAX(((B2122-B2121)/B2121)/($K$7*卓尔金历!$N$40),0),卓尔金历!$M$43),0),1)</f>
        <v>1</v>
      </c>
      <c r="M2122" s="4">
        <f>MIN(MAX(M2121*(1+MAX(MIN(((B2122-B2121)/B2121)/($K$7*30),0),-卓尔金历!$M$43))+MIN(MAX(((B2122-B2121)/B2121)/($K$7*7),0),卓尔金历!$M$43),0),1)</f>
        <v>1</v>
      </c>
      <c r="N2122">
        <f t="shared" si="273"/>
        <v>711.68473281201386</v>
      </c>
      <c r="O2122">
        <f t="shared" si="274"/>
        <v>1798.68747809915</v>
      </c>
      <c r="P2122">
        <f t="shared" si="275"/>
        <v>2.6074753099782733E-2</v>
      </c>
      <c r="Q2122">
        <f t="shared" si="276"/>
        <v>2.0589602184138356E-2</v>
      </c>
      <c r="R2122">
        <f t="shared" si="277"/>
        <v>1.5473397663817159E-2</v>
      </c>
      <c r="S2122">
        <f t="shared" si="269"/>
        <v>16.291912529184078</v>
      </c>
      <c r="T2122" s="564">
        <f>IF((I2122-MAX(I$470:I2122))/MAX(I$470:I2122)&gt;T2121,T2121,(I2122-MAX(I$470:I2122))/MAX(I$470:I2122))</f>
        <v>-0.91338805338419748</v>
      </c>
      <c r="U2122" s="564">
        <f>IF((J2122-MAX(J$470:J2122))/MAX(J$470:J2122)&gt;U2121,U2121,(J2122-MAX(J$470:J2122))/MAX(J$470:J2122))</f>
        <v>-0.8283551177402233</v>
      </c>
      <c r="V2122" s="564">
        <f>IF((K2122-MAX(K$470:K2122))/MAX(K$470:K2122)&gt;V2121,V2121,(K2122-MAX(K$470:K2122))/MAX(K$470:K2122))</f>
        <v>-0.84885940676762139</v>
      </c>
      <c r="W2122" s="564">
        <f>IF((N2122-MAX(N$470:N2122))/MAX(N$470:N2122)&gt;W2121,W2121,(N2122-MAX(N$470:N2122))/MAX(N$470:N2122))</f>
        <v>-0.62788758315546067</v>
      </c>
      <c r="X2122" s="564">
        <f>IF((O2122-MAX(O$470:O2122))/MAX(O$470:O2122)&gt;X2121,X2121,(O2122-MAX(O$470:O2122))/MAX(O$470:O2122))</f>
        <v>-0.62788758315546067</v>
      </c>
    </row>
    <row r="2123" spans="1:24">
      <c r="A2123" s="799">
        <v>42525</v>
      </c>
      <c r="B2123">
        <v>580.80899999999997</v>
      </c>
      <c r="C2123">
        <v>552.07602099999997</v>
      </c>
      <c r="D2123">
        <v>1.7350890000000001</v>
      </c>
      <c r="E2123">
        <f>LN(D2123/参数实验室!$E$53)/参数实验室!$E$55</f>
        <v>-4.2854994465317701E-2</v>
      </c>
      <c r="F2123">
        <f t="shared" si="278"/>
        <v>0.95052938401436615</v>
      </c>
      <c r="G2123">
        <f>LN(F2123/参数实验室!$E$58)/参数实验室!$E$59</f>
        <v>-0.21715912606539883</v>
      </c>
      <c r="H2123" s="856">
        <f>INDEX(神经网络!$G$10:$BO$70,MATCH(ROUND(G2123*2,1)/2,神经网络!$E$10:$E$70,0),MATCH(ROUND(E2123*2,1)/2,神经网络!$G$8:$BO$8,0))</f>
        <v>-0.17967275257091911</v>
      </c>
      <c r="I2123">
        <f t="shared" si="270"/>
        <v>854.55743682463833</v>
      </c>
      <c r="J2123">
        <f t="shared" si="271"/>
        <v>231.75811021108441</v>
      </c>
      <c r="K2123">
        <f t="shared" si="272"/>
        <v>3.6872816923054414</v>
      </c>
      <c r="L2123" s="4">
        <f>MIN(MAX(L2122*(1+MAX(MIN(((B2123-B2122)/B2122)/($K$7*卓尔金历!$N$40),0),-卓尔金历!$M$43))+MIN(MAX(((B2123-B2122)/B2122)/($K$7*卓尔金历!$N$40),0),卓尔金历!$M$43),0),1)</f>
        <v>1</v>
      </c>
      <c r="M2123" s="4">
        <f>MIN(MAX(M2122*(1+MAX(MIN(((B2123-B2122)/B2122)/($K$7*30),0),-卓尔金历!$M$43))+MIN(MAX(((B2123-B2122)/B2122)/($K$7*7),0),卓尔金历!$M$43),0),1)</f>
        <v>1</v>
      </c>
      <c r="N2123">
        <f t="shared" si="273"/>
        <v>704.47671065617681</v>
      </c>
      <c r="O2123">
        <f t="shared" si="274"/>
        <v>1780.4701711993125</v>
      </c>
      <c r="P2123">
        <f t="shared" si="275"/>
        <v>5.6369767340346474E-2</v>
      </c>
      <c r="Q2123">
        <f t="shared" si="276"/>
        <v>2.2808981791677539E-2</v>
      </c>
      <c r="R2123">
        <f t="shared" si="277"/>
        <v>1.9605711963326332E-3</v>
      </c>
      <c r="S2123">
        <f t="shared" si="269"/>
        <v>16.289359321044888</v>
      </c>
      <c r="T2123" s="564">
        <f>IF((I2123-MAX(I$470:I2123))/MAX(I$470:I2123)&gt;T2122,T2122,(I2123-MAX(I$470:I2123))/MAX(I$470:I2123))</f>
        <v>-0.91338805338419748</v>
      </c>
      <c r="U2123" s="564">
        <f>IF((J2123-MAX(J$470:J2123))/MAX(J$470:J2123)&gt;U2122,U2122,(J2123-MAX(J$470:J2123))/MAX(J$470:J2123))</f>
        <v>-0.8283551177402233</v>
      </c>
      <c r="V2123" s="564">
        <f>IF((K2123-MAX(K$470:K2123))/MAX(K$470:K2123)&gt;V2122,V2122,(K2123-MAX(K$470:K2123))/MAX(K$470:K2123))</f>
        <v>-0.84885940676762139</v>
      </c>
      <c r="W2123" s="564">
        <f>IF((N2123-MAX(N$470:N2123))/MAX(N$470:N2123)&gt;W2122,W2122,(N2123-MAX(N$470:N2123))/MAX(N$470:N2123))</f>
        <v>-0.62788758315546067</v>
      </c>
      <c r="X2123" s="564">
        <f>IF((O2123-MAX(O$470:O2123))/MAX(O$470:O2123)&gt;X2122,X2122,(O2123-MAX(O$470:O2123))/MAX(O$470:O2123))</f>
        <v>-0.62788758315546067</v>
      </c>
    </row>
    <row r="2124" spans="1:24">
      <c r="A2124" s="799">
        <v>42526</v>
      </c>
      <c r="B2124">
        <v>577.98800000000006</v>
      </c>
      <c r="C2124">
        <v>549.53887899999995</v>
      </c>
      <c r="D2124">
        <v>1.734491</v>
      </c>
      <c r="E2124">
        <f>LN(D2124/参数实验室!$E$53)/参数实验室!$E$55</f>
        <v>-4.3261667576692198E-2</v>
      </c>
      <c r="F2124">
        <f t="shared" si="278"/>
        <v>0.95077904558572135</v>
      </c>
      <c r="G2124">
        <f>LN(F2124/参数实验室!$E$58)/参数实验室!$E$59</f>
        <v>-0.2170212884754098</v>
      </c>
      <c r="H2124" s="856">
        <f>INDEX(神经网络!$G$10:$BO$70,MATCH(ROUND(G2124*2,1)/2,神经网络!$E$10:$E$70,0),MATCH(ROUND(E2124*2,1)/2,神经网络!$G$8:$BO$8,0))</f>
        <v>-0.17967275257091911</v>
      </c>
      <c r="I2124">
        <f t="shared" si="270"/>
        <v>855.30318676611103</v>
      </c>
      <c r="J2124">
        <f t="shared" si="271"/>
        <v>230.63245680539436</v>
      </c>
      <c r="K2124">
        <f t="shared" si="272"/>
        <v>3.7085117967060826</v>
      </c>
      <c r="L2124" s="4">
        <f>MIN(MAX(L2123*(1+MAX(MIN(((B2124-B2123)/B2123)/($K$7*卓尔金历!$N$40),0),-卓尔金历!$M$43))+MIN(MAX(((B2124-B2123)/B2123)/($K$7*卓尔金历!$N$40),0),卓尔金历!$M$43),0),1)</f>
        <v>0.92578941977687679</v>
      </c>
      <c r="M2124" s="4">
        <f>MIN(MAX(M2123*(1+MAX(MIN(((B2124-B2123)/B2123)/($K$7*30),0),-卓尔金历!$M$43))+MIN(MAX(((B2124-B2123)/B2123)/($K$7*7),0),卓尔金历!$M$43),0),1)</f>
        <v>0.96289470988843839</v>
      </c>
      <c r="N2124">
        <f t="shared" si="273"/>
        <v>705.09148907024439</v>
      </c>
      <c r="O2124">
        <f t="shared" si="274"/>
        <v>1782.0239409855769</v>
      </c>
      <c r="P2124">
        <f t="shared" si="275"/>
        <v>-4.8570184001968169E-3</v>
      </c>
      <c r="Q2124">
        <f t="shared" si="276"/>
        <v>2.2975881451903383E-2</v>
      </c>
      <c r="R2124">
        <f t="shared" si="277"/>
        <v>1</v>
      </c>
      <c r="S2124">
        <f t="shared" si="269"/>
        <v>16.289387191149011</v>
      </c>
      <c r="T2124" s="564">
        <f>IF((I2124-MAX(I$470:I2124))/MAX(I$470:I2124)&gt;T2123,T2123,(I2124-MAX(I$470:I2124))/MAX(I$470:I2124))</f>
        <v>-0.91338805338419748</v>
      </c>
      <c r="U2124" s="564">
        <f>IF((J2124-MAX(J$470:J2124))/MAX(J$470:J2124)&gt;U2123,U2123,(J2124-MAX(J$470:J2124))/MAX(J$470:J2124))</f>
        <v>-0.8283551177402233</v>
      </c>
      <c r="V2124" s="564">
        <f>IF((K2124-MAX(K$470:K2124))/MAX(K$470:K2124)&gt;V2123,V2123,(K2124-MAX(K$470:K2124))/MAX(K$470:K2124))</f>
        <v>-0.84885940676762139</v>
      </c>
      <c r="W2124" s="564">
        <f>IF((N2124-MAX(N$470:N2124))/MAX(N$470:N2124)&gt;W2123,W2123,(N2124-MAX(N$470:N2124))/MAX(N$470:N2124))</f>
        <v>-0.62788758315546067</v>
      </c>
      <c r="X2124" s="564">
        <f>IF((O2124-MAX(O$470:O2124))/MAX(O$470:O2124)&gt;X2123,X2123,(O2124-MAX(O$470:O2124))/MAX(O$470:O2124))</f>
        <v>-0.62788758315546067</v>
      </c>
    </row>
    <row r="2125" spans="1:24">
      <c r="A2125" s="799">
        <v>42527</v>
      </c>
      <c r="B2125">
        <v>585.14200000000005</v>
      </c>
      <c r="C2125">
        <v>542.56036099999994</v>
      </c>
      <c r="D2125">
        <v>1.761247</v>
      </c>
      <c r="E2125">
        <f>LN(D2125/参数实验室!$E$53)/参数实验室!$E$55</f>
        <v>-2.5201907830622608E-2</v>
      </c>
      <c r="F2125">
        <f t="shared" si="278"/>
        <v>0.9272285376882875</v>
      </c>
      <c r="G2125">
        <f>LN(F2125/参数实验室!$E$58)/参数实验室!$E$59</f>
        <v>-0.23018548161381228</v>
      </c>
      <c r="H2125" s="856">
        <f>INDEX(神经网络!$G$10:$BO$70,MATCH(ROUND(G2125*2,1)/2,神经网络!$E$10:$E$70,0),MATCH(ROUND(E2125*2,1)/2,神经网络!$G$8:$BO$8,0))</f>
        <v>-0.27066975901036999</v>
      </c>
      <c r="I2125">
        <f t="shared" si="270"/>
        <v>853.40109079641729</v>
      </c>
      <c r="J2125">
        <f t="shared" si="271"/>
        <v>233.48709149674744</v>
      </c>
      <c r="K2125">
        <f t="shared" si="272"/>
        <v>3.6550247181793583</v>
      </c>
      <c r="L2125" s="4">
        <f>MIN(MAX(L2124*(1+MAX(MIN(((B2125-B2124)/B2124)/($K$7*卓尔金历!$N$40),0),-卓尔金历!$M$43))+MIN(MAX(((B2125-B2124)/B2124)/($K$7*卓尔金历!$N$40),0),卓尔金历!$M$43),0),1)</f>
        <v>1</v>
      </c>
      <c r="M2125" s="4">
        <f>MIN(MAX(M2124*(1+MAX(MIN(((B2125-B2124)/B2124)/($K$7*30),0),-卓尔金历!$M$43))+MIN(MAX(((B2125-B2124)/B2124)/($K$7*7),0),卓尔金历!$M$43),0),1)</f>
        <v>1</v>
      </c>
      <c r="N2125">
        <f t="shared" si="273"/>
        <v>703.63981198716442</v>
      </c>
      <c r="O2125">
        <f t="shared" si="274"/>
        <v>1778.2079734589058</v>
      </c>
      <c r="P2125">
        <f t="shared" si="275"/>
        <v>1.2377419600406921E-2</v>
      </c>
      <c r="Q2125">
        <f t="shared" si="276"/>
        <v>2.2891428019700375E-2</v>
      </c>
      <c r="R2125">
        <f t="shared" si="277"/>
        <v>0.6519921970502276</v>
      </c>
      <c r="S2125">
        <f t="shared" si="269"/>
        <v>16.253161466511862</v>
      </c>
      <c r="T2125" s="564">
        <f>IF((I2125-MAX(I$470:I2125))/MAX(I$470:I2125)&gt;T2124,T2124,(I2125-MAX(I$470:I2125))/MAX(I$470:I2125))</f>
        <v>-0.91338805338419748</v>
      </c>
      <c r="U2125" s="564">
        <f>IF((J2125-MAX(J$470:J2125))/MAX(J$470:J2125)&gt;U2124,U2124,(J2125-MAX(J$470:J2125))/MAX(J$470:J2125))</f>
        <v>-0.8283551177402233</v>
      </c>
      <c r="V2125" s="564">
        <f>IF((K2125-MAX(K$470:K2125))/MAX(K$470:K2125)&gt;V2124,V2124,(K2125-MAX(K$470:K2125))/MAX(K$470:K2125))</f>
        <v>-0.84885940676762139</v>
      </c>
      <c r="W2125" s="564">
        <f>IF((N2125-MAX(N$470:N2125))/MAX(N$470:N2125)&gt;W2124,W2124,(N2125-MAX(N$470:N2125))/MAX(N$470:N2125))</f>
        <v>-0.62788758315546067</v>
      </c>
      <c r="X2125" s="564">
        <f>IF((O2125-MAX(O$470:O2125))/MAX(O$470:O2125)&gt;X2124,X2124,(O2125-MAX(O$470:O2125))/MAX(O$470:O2125))</f>
        <v>-0.62788758315546067</v>
      </c>
    </row>
    <row r="2126" spans="1:24">
      <c r="A2126" s="799">
        <v>42528</v>
      </c>
      <c r="B2126">
        <v>584.66499999999996</v>
      </c>
      <c r="C2126">
        <v>553.43656799999997</v>
      </c>
      <c r="D2126">
        <v>1.736486</v>
      </c>
      <c r="E2126">
        <f>LN(D2126/参数实验室!$E$53)/参数实验室!$E$55</f>
        <v>-4.1905503026537734E-2</v>
      </c>
      <c r="F2126">
        <f t="shared" si="278"/>
        <v>0.94658747829953904</v>
      </c>
      <c r="G2126">
        <f>LN(F2126/参数实验室!$E$58)/参数实验室!$E$59</f>
        <v>-0.21934025488297812</v>
      </c>
      <c r="H2126" s="856">
        <f>INDEX(神经网络!$G$10:$BO$70,MATCH(ROUND(G2126*2,1)/2,神经网络!$E$10:$E$70,0),MATCH(ROUND(E2126*2,1)/2,神经网络!$G$8:$BO$8,0))</f>
        <v>-0.17967275257091911</v>
      </c>
      <c r="I2126">
        <f t="shared" si="270"/>
        <v>853.58939067377719</v>
      </c>
      <c r="J2126">
        <f t="shared" si="271"/>
        <v>233.29675591556548</v>
      </c>
      <c r="K2126">
        <f t="shared" si="272"/>
        <v>3.6588138027204602</v>
      </c>
      <c r="L2126" s="4">
        <f>MIN(MAX(L2125*(1+MAX(MIN(((B2126-B2125)/B2125)/($K$7*卓尔金历!$N$40),0),-卓尔金历!$M$43))+MIN(MAX(((B2126-B2125)/B2125)/($K$7*卓尔金历!$N$40),0),卓尔金历!$M$43),0),1)</f>
        <v>0.98754472887377065</v>
      </c>
      <c r="M2126" s="4">
        <f>MIN(MAX(M2125*(1+MAX(MIN(((B2126-B2125)/B2125)/($K$7*30),0),-卓尔金历!$M$43))+MIN(MAX(((B2126-B2125)/B2125)/($K$7*7),0),卓尔金历!$M$43),0),1)</f>
        <v>0.99377236443688532</v>
      </c>
      <c r="N2126">
        <f t="shared" si="273"/>
        <v>703.79506757768524</v>
      </c>
      <c r="O2126">
        <f t="shared" si="274"/>
        <v>1778.6003286444495</v>
      </c>
      <c r="P2126">
        <f t="shared" si="275"/>
        <v>-8.1518674099635485E-4</v>
      </c>
      <c r="Q2126">
        <f t="shared" si="276"/>
        <v>2.2757618893020203E-2</v>
      </c>
      <c r="R2126">
        <f t="shared" si="277"/>
        <v>1</v>
      </c>
      <c r="S2126">
        <f t="shared" si="269"/>
        <v>16.255499641936662</v>
      </c>
      <c r="T2126" s="564">
        <f>IF((I2126-MAX(I$470:I2126))/MAX(I$470:I2126)&gt;T2125,T2125,(I2126-MAX(I$470:I2126))/MAX(I$470:I2126))</f>
        <v>-0.91338805338419748</v>
      </c>
      <c r="U2126" s="564">
        <f>IF((J2126-MAX(J$470:J2126))/MAX(J$470:J2126)&gt;U2125,U2125,(J2126-MAX(J$470:J2126))/MAX(J$470:J2126))</f>
        <v>-0.8283551177402233</v>
      </c>
      <c r="V2126" s="564">
        <f>IF((K2126-MAX(K$470:K2126))/MAX(K$470:K2126)&gt;V2125,V2125,(K2126-MAX(K$470:K2126))/MAX(K$470:K2126))</f>
        <v>-0.84885940676762139</v>
      </c>
      <c r="W2126" s="564">
        <f>IF((N2126-MAX(N$470:N2126))/MAX(N$470:N2126)&gt;W2125,W2125,(N2126-MAX(N$470:N2126))/MAX(N$470:N2126))</f>
        <v>-0.62788758315546067</v>
      </c>
      <c r="X2126" s="564">
        <f>IF((O2126-MAX(O$470:O2126))/MAX(O$470:O2126)&gt;X2125,X2125,(O2126-MAX(O$470:O2126))/MAX(O$470:O2126))</f>
        <v>-0.62788758315546067</v>
      </c>
    </row>
    <row r="2127" spans="1:24">
      <c r="A2127" s="799">
        <v>42529</v>
      </c>
      <c r="B2127">
        <v>576.673</v>
      </c>
      <c r="C2127">
        <v>564.22229100000004</v>
      </c>
      <c r="D2127">
        <v>1.7464299999999999</v>
      </c>
      <c r="E2127">
        <f>LN(D2127/参数实验室!$E$53)/参数实验室!$E$55</f>
        <v>-3.5168907521811808E-2</v>
      </c>
      <c r="F2127">
        <f t="shared" si="278"/>
        <v>0.97840941226657052</v>
      </c>
      <c r="G2127">
        <f>LN(F2127/参数实验室!$E$58)/参数实验室!$E$59</f>
        <v>-0.20198605300353537</v>
      </c>
      <c r="H2127" s="856">
        <f>INDEX(神经网络!$G$10:$BO$70,MATCH(ROUND(G2127*2,1)/2,神经网络!$E$10:$E$70,0),MATCH(ROUND(E2127*2,1)/2,神经网络!$G$8:$BO$8,0))</f>
        <v>-0.17967275257091911</v>
      </c>
      <c r="I2127">
        <f t="shared" si="270"/>
        <v>855.68581701887797</v>
      </c>
      <c r="J2127">
        <f t="shared" si="271"/>
        <v>230.10773712142321</v>
      </c>
      <c r="K2127">
        <f t="shared" si="272"/>
        <v>3.718631227803304</v>
      </c>
      <c r="L2127" s="4">
        <f>MIN(MAX(L2126*(1+MAX(MIN(((B2127-B2126)/B2126)/($K$7*卓尔金历!$N$40),0),-卓尔金历!$M$43))+MIN(MAX(((B2127-B2126)/B2126)/($K$7*卓尔金历!$N$40),0),卓尔金历!$M$43),0),1)</f>
        <v>0.78129127370710849</v>
      </c>
      <c r="M2127" s="4">
        <f>MIN(MAX(M2126*(1+MAX(MIN(((B2127-B2126)/B2126)/($K$7*30),0),-卓尔金历!$M$43))+MIN(MAX(((B2127-B2126)/B2126)/($K$7*7),0),卓尔金历!$M$43),0),1)</f>
        <v>0.88999530106882685</v>
      </c>
      <c r="N2127">
        <f t="shared" si="273"/>
        <v>705.50206786499609</v>
      </c>
      <c r="O2127">
        <f t="shared" si="274"/>
        <v>1782.9413895966761</v>
      </c>
      <c r="P2127">
        <f t="shared" si="275"/>
        <v>-1.3669366218261675E-2</v>
      </c>
      <c r="Q2127">
        <f t="shared" si="276"/>
        <v>2.327896300318253E-2</v>
      </c>
      <c r="R2127">
        <f t="shared" si="277"/>
        <v>0.5672664017624669</v>
      </c>
      <c r="S2127">
        <f t="shared" si="269"/>
        <v>16.295423354759794</v>
      </c>
      <c r="T2127" s="564">
        <f>IF((I2127-MAX(I$470:I2127))/MAX(I$470:I2127)&gt;T2126,T2126,(I2127-MAX(I$470:I2127))/MAX(I$470:I2127))</f>
        <v>-0.91338805338419748</v>
      </c>
      <c r="U2127" s="564">
        <f>IF((J2127-MAX(J$470:J2127))/MAX(J$470:J2127)&gt;U2126,U2126,(J2127-MAX(J$470:J2127))/MAX(J$470:J2127))</f>
        <v>-0.8283551177402233</v>
      </c>
      <c r="V2127" s="564">
        <f>IF((K2127-MAX(K$470:K2127))/MAX(K$470:K2127)&gt;V2126,V2126,(K2127-MAX(K$470:K2127))/MAX(K$470:K2127))</f>
        <v>-0.84885940676762139</v>
      </c>
      <c r="W2127" s="564">
        <f>IF((N2127-MAX(N$470:N2127))/MAX(N$470:N2127)&gt;W2126,W2126,(N2127-MAX(N$470:N2127))/MAX(N$470:N2127))</f>
        <v>-0.62788758315546067</v>
      </c>
      <c r="X2127" s="564">
        <f>IF((O2127-MAX(O$470:O2127))/MAX(O$470:O2127)&gt;X2126,X2126,(O2127-MAX(O$470:O2127))/MAX(O$470:O2127))</f>
        <v>-0.62788758315546067</v>
      </c>
    </row>
    <row r="2128" spans="1:24">
      <c r="A2128" s="799">
        <v>42530</v>
      </c>
      <c r="B2128">
        <v>578.78300000000002</v>
      </c>
      <c r="C2128">
        <v>561.98211700000002</v>
      </c>
      <c r="D2128">
        <v>1.7262710000000001</v>
      </c>
      <c r="E2128">
        <f>LN(D2128/参数实验室!$E$53)/参数实验室!$E$55</f>
        <v>-4.886597662887842E-2</v>
      </c>
      <c r="F2128">
        <f t="shared" si="278"/>
        <v>0.97097205170158762</v>
      </c>
      <c r="G2128">
        <f>LN(F2128/参数实验室!$E$58)/参数实验室!$E$59</f>
        <v>-0.20599096202181796</v>
      </c>
      <c r="H2128" s="856">
        <f>INDEX(神经网络!$G$10:$BO$70,MATCH(ROUND(G2128*2,1)/2,神经网络!$E$10:$E$70,0),MATCH(ROUND(E2128*2,1)/2,神经网络!$G$8:$BO$8,0))</f>
        <v>-0.17967275257091911</v>
      </c>
      <c r="I2128">
        <f t="shared" si="270"/>
        <v>855.12328222181259</v>
      </c>
      <c r="J2128">
        <f t="shared" si="271"/>
        <v>230.94968277403086</v>
      </c>
      <c r="K2128">
        <f t="shared" si="272"/>
        <v>3.7026389122971635</v>
      </c>
      <c r="L2128" s="4">
        <f>MIN(MAX(L2127*(1+MAX(MIN(((B2128-B2127)/B2127)/($K$7*卓尔金历!$N$40),0),-卓尔金历!$M$43))+MIN(MAX(((B2128-B2127)/B2127)/($K$7*卓尔金历!$N$40),0),卓尔金历!$M$43),0),1)</f>
        <v>0.83719605021731858</v>
      </c>
      <c r="M2128" s="4">
        <f>MIN(MAX(M2127*(1+MAX(MIN(((B2128-B2127)/B2127)/($K$7*30),0),-卓尔金历!$M$43))+MIN(MAX(((B2128-B2127)/B2127)/($K$7*7),0),卓尔金历!$M$43),0),1)</f>
        <v>1</v>
      </c>
      <c r="N2128">
        <f t="shared" si="273"/>
        <v>705.13970279858484</v>
      </c>
      <c r="O2128">
        <f t="shared" si="274"/>
        <v>1781.8982081869271</v>
      </c>
      <c r="P2128">
        <f t="shared" si="275"/>
        <v>3.6589193529088645E-3</v>
      </c>
      <c r="Q2128">
        <f t="shared" si="276"/>
        <v>2.3171635474913646E-2</v>
      </c>
      <c r="R2128">
        <f t="shared" si="277"/>
        <v>1</v>
      </c>
      <c r="S2128">
        <f t="shared" si="269"/>
        <v>16.289346375304426</v>
      </c>
      <c r="T2128" s="564">
        <f>IF((I2128-MAX(I$470:I2128))/MAX(I$470:I2128)&gt;T2127,T2127,(I2128-MAX(I$470:I2128))/MAX(I$470:I2128))</f>
        <v>-0.91338805338419748</v>
      </c>
      <c r="U2128" s="564">
        <f>IF((J2128-MAX(J$470:J2128))/MAX(J$470:J2128)&gt;U2127,U2127,(J2128-MAX(J$470:J2128))/MAX(J$470:J2128))</f>
        <v>-0.8283551177402233</v>
      </c>
      <c r="V2128" s="564">
        <f>IF((K2128-MAX(K$470:K2128))/MAX(K$470:K2128)&gt;V2127,V2127,(K2128-MAX(K$470:K2128))/MAX(K$470:K2128))</f>
        <v>-0.84885940676762139</v>
      </c>
      <c r="W2128" s="564">
        <f>IF((N2128-MAX(N$470:N2128))/MAX(N$470:N2128)&gt;W2127,W2127,(N2128-MAX(N$470:N2128))/MAX(N$470:N2128))</f>
        <v>-0.62788758315546067</v>
      </c>
      <c r="X2128" s="564">
        <f>IF((O2128-MAX(O$470:O2128))/MAX(O$470:O2128)&gt;X2127,X2127,(O2128-MAX(O$470:O2128))/MAX(O$470:O2128))</f>
        <v>-0.62788758315546067</v>
      </c>
    </row>
    <row r="2129" spans="1:24">
      <c r="A2129" s="799">
        <v>42531</v>
      </c>
      <c r="B2129">
        <v>577.18499999999995</v>
      </c>
      <c r="C2129">
        <v>558.15862100000004</v>
      </c>
      <c r="D2129">
        <v>1.7312479999999999</v>
      </c>
      <c r="E2129">
        <f>LN(D2129/参数实验室!$E$53)/参数实验室!$E$55</f>
        <v>-4.5469531981286893E-2</v>
      </c>
      <c r="F2129">
        <f t="shared" si="278"/>
        <v>0.96703590876408796</v>
      </c>
      <c r="G2129">
        <f>LN(F2129/参数实验室!$E$58)/参数实验室!$E$59</f>
        <v>-0.2081229484921534</v>
      </c>
      <c r="H2129" s="856">
        <f>INDEX(神经网络!$G$10:$BO$70,MATCH(ROUND(G2129*2,1)/2,神经网络!$E$10:$E$70,0),MATCH(ROUND(E2129*2,1)/2,神经网络!$G$8:$BO$8,0))</f>
        <v>-0.17967275257091911</v>
      </c>
      <c r="I2129">
        <f t="shared" si="270"/>
        <v>855.54748348815781</v>
      </c>
      <c r="J2129">
        <f t="shared" si="271"/>
        <v>230.31203862575262</v>
      </c>
      <c r="K2129">
        <f t="shared" si="272"/>
        <v>3.7147319288783964</v>
      </c>
      <c r="L2129" s="4">
        <f>MIN(MAX(L2128*(1+MAX(MIN(((B2129-B2128)/B2128)/($K$7*卓尔金历!$N$40),0),-卓尔金历!$M$43))+MIN(MAX(((B2129-B2128)/B2128)/($K$7*卓尔金历!$N$40),0),卓尔金历!$M$43),0),1)</f>
        <v>0.80187901344171386</v>
      </c>
      <c r="M2129" s="4">
        <f>MIN(MAX(M2128*(1+MAX(MIN(((B2129-B2128)/B2128)/($K$7*30),0),-卓尔金历!$M$43))+MIN(MAX(((B2129-B2128)/B2128)/($K$7*7),0),卓尔金历!$M$43),0),1)</f>
        <v>0.97890754694408966</v>
      </c>
      <c r="N2129">
        <f t="shared" si="273"/>
        <v>705.43255302802686</v>
      </c>
      <c r="O2129">
        <f t="shared" si="274"/>
        <v>1782.7821549722926</v>
      </c>
      <c r="P2129">
        <f t="shared" si="275"/>
        <v>-2.7609656814385876E-3</v>
      </c>
      <c r="Q2129">
        <f t="shared" si="276"/>
        <v>2.1878608759287946E-2</v>
      </c>
      <c r="R2129">
        <f t="shared" si="277"/>
        <v>1</v>
      </c>
      <c r="S2129">
        <f t="shared" si="269"/>
        <v>16.297427036308516</v>
      </c>
      <c r="T2129" s="564">
        <f>IF((I2129-MAX(I$470:I2129))/MAX(I$470:I2129)&gt;T2128,T2128,(I2129-MAX(I$470:I2129))/MAX(I$470:I2129))</f>
        <v>-0.91338805338419748</v>
      </c>
      <c r="U2129" s="564">
        <f>IF((J2129-MAX(J$470:J2129))/MAX(J$470:J2129)&gt;U2128,U2128,(J2129-MAX(J$470:J2129))/MAX(J$470:J2129))</f>
        <v>-0.8283551177402233</v>
      </c>
      <c r="V2129" s="564">
        <f>IF((K2129-MAX(K$470:K2129))/MAX(K$470:K2129)&gt;V2128,V2128,(K2129-MAX(K$470:K2129))/MAX(K$470:K2129))</f>
        <v>-0.84885940676762139</v>
      </c>
      <c r="W2129" s="564">
        <f>IF((N2129-MAX(N$470:N2129))/MAX(N$470:N2129)&gt;W2128,W2128,(N2129-MAX(N$470:N2129))/MAX(N$470:N2129))</f>
        <v>-0.62788758315546067</v>
      </c>
      <c r="X2129" s="564">
        <f>IF((O2129-MAX(O$470:O2129))/MAX(O$470:O2129)&gt;X2128,X2128,(O2129-MAX(O$470:O2129))/MAX(O$470:O2129))</f>
        <v>-0.62788758315546067</v>
      </c>
    </row>
    <row r="2130" spans="1:24">
      <c r="A2130" s="799">
        <v>42532</v>
      </c>
      <c r="B2130">
        <v>583.37699999999995</v>
      </c>
      <c r="C2130">
        <v>552.13298099999997</v>
      </c>
      <c r="D2130">
        <v>1.8030839999999999</v>
      </c>
      <c r="E2130">
        <f>LN(D2130/参数实验室!$E$53)/参数实验室!$E$55</f>
        <v>2.4945117010793175E-3</v>
      </c>
      <c r="F2130">
        <f t="shared" si="278"/>
        <v>0.94644283370787674</v>
      </c>
      <c r="G2130">
        <f>LN(F2130/参数实验室!$E$58)/参数实验室!$E$59</f>
        <v>-0.21942046204966742</v>
      </c>
      <c r="H2130" s="856">
        <f>INDEX(神经网络!$G$10:$BO$70,MATCH(ROUND(G2130*2,1)/2,神经网络!$E$10:$E$70,0),MATCH(ROUND(E2130*2,1)/2,神经网络!$G$8:$BO$8,0))</f>
        <v>-0.13441006158362648</v>
      </c>
      <c r="I2130">
        <f t="shared" si="270"/>
        <v>853.89840148919245</v>
      </c>
      <c r="J2130">
        <f t="shared" si="271"/>
        <v>232.78280994373677</v>
      </c>
      <c r="K2130">
        <f t="shared" si="272"/>
        <v>3.6682193229628011</v>
      </c>
      <c r="L2130" s="4">
        <f>MIN(MAX(L2129*(1+MAX(MIN(((B2130-B2129)/B2129)/($K$7*卓尔金历!$N$40),0),-卓尔金历!$M$43))+MIN(MAX(((B2130-B2129)/B2129)/($K$7*卓尔金历!$N$40),0),卓尔金历!$M$43),0),1)</f>
        <v>0.96579148168345608</v>
      </c>
      <c r="M2130" s="4">
        <f>MIN(MAX(M2129*(1+MAX(MIN(((B2130-B2129)/B2129)/($K$7*30),0),-卓尔金历!$M$43))+MIN(MAX(((B2130-B2129)/B2129)/($K$7*7),0),卓尔金历!$M$43),0),1)</f>
        <v>1</v>
      </c>
      <c r="N2130">
        <f t="shared" si="273"/>
        <v>704.34221169176556</v>
      </c>
      <c r="O2130">
        <f t="shared" si="274"/>
        <v>1779.418293615091</v>
      </c>
      <c r="P2130">
        <f t="shared" si="275"/>
        <v>1.0727929519997934E-2</v>
      </c>
      <c r="Q2130">
        <f t="shared" si="276"/>
        <v>2.167516912593024E-2</v>
      </c>
      <c r="R2130">
        <f t="shared" si="277"/>
        <v>0.74058294996291929</v>
      </c>
      <c r="S2130">
        <f t="shared" si="269"/>
        <v>16.266013474731022</v>
      </c>
      <c r="T2130" s="564">
        <f>IF((I2130-MAX(I$470:I2130))/MAX(I$470:I2130)&gt;T2129,T2129,(I2130-MAX(I$470:I2130))/MAX(I$470:I2130))</f>
        <v>-0.91338805338419748</v>
      </c>
      <c r="U2130" s="564">
        <f>IF((J2130-MAX(J$470:J2130))/MAX(J$470:J2130)&gt;U2129,U2129,(J2130-MAX(J$470:J2130))/MAX(J$470:J2130))</f>
        <v>-0.8283551177402233</v>
      </c>
      <c r="V2130" s="564">
        <f>IF((K2130-MAX(K$470:K2130))/MAX(K$470:K2130)&gt;V2129,V2129,(K2130-MAX(K$470:K2130))/MAX(K$470:K2130))</f>
        <v>-0.84885940676762139</v>
      </c>
      <c r="W2130" s="564">
        <f>IF((N2130-MAX(N$470:N2130))/MAX(N$470:N2130)&gt;W2129,W2129,(N2130-MAX(N$470:N2130))/MAX(N$470:N2130))</f>
        <v>-0.62788758315546067</v>
      </c>
      <c r="X2130" s="564">
        <f>IF((O2130-MAX(O$470:O2130))/MAX(O$470:O2130)&gt;X2129,X2129,(O2130-MAX(O$470:O2130))/MAX(O$470:O2130))</f>
        <v>-0.62788758315546067</v>
      </c>
    </row>
    <row r="2131" spans="1:24">
      <c r="A2131" s="799">
        <v>42533</v>
      </c>
      <c r="B2131">
        <v>628.13300000000004</v>
      </c>
      <c r="C2131">
        <v>554.82021999999995</v>
      </c>
      <c r="D2131">
        <v>1.979789</v>
      </c>
      <c r="E2131">
        <f>LN(D2131/参数实验室!$E$53)/参数实验室!$E$55</f>
        <v>0.11279169668657288</v>
      </c>
      <c r="F2131">
        <f t="shared" si="278"/>
        <v>0.88328462284261444</v>
      </c>
      <c r="G2131">
        <f>LN(F2131/参数实验室!$E$58)/参数实验室!$E$59</f>
        <v>-0.25566850218688364</v>
      </c>
      <c r="H2131" s="856">
        <f>INDEX(神经网络!$G$10:$BO$70,MATCH(ROUND(G2131*2,1)/2,神经网络!$E$10:$E$70,0),MATCH(ROUND(E2131*2,1)/2,神经网络!$G$8:$BO$8,0))</f>
        <v>-0.13445064944753965</v>
      </c>
      <c r="I2131">
        <f t="shared" si="270"/>
        <v>845.09318692999261</v>
      </c>
      <c r="J2131">
        <f t="shared" si="271"/>
        <v>250.64163441203414</v>
      </c>
      <c r="K2131">
        <f t="shared" si="272"/>
        <v>3.3717191037013796</v>
      </c>
      <c r="L2131" s="4">
        <f>MIN(MAX(L2130*(1+MAX(MIN(((B2131-B2130)/B2130)/($K$7*卓尔金历!$N$40),0),-卓尔金历!$M$43))+MIN(MAX(((B2131-B2130)/B2130)/($K$7*卓尔金历!$N$40),0),卓尔金历!$M$43),0),1)</f>
        <v>1</v>
      </c>
      <c r="M2131" s="4">
        <f>MIN(MAX(M2130*(1+MAX(MIN(((B2131-B2130)/B2130)/($K$7*30),0),-卓尔金历!$M$43))+MIN(MAX(((B2131-B2130)/B2130)/($K$7*7),0),卓尔金历!$M$43),0),1)</f>
        <v>1</v>
      </c>
      <c r="N2131">
        <f t="shared" si="273"/>
        <v>697.32764530537975</v>
      </c>
      <c r="O2131">
        <f t="shared" si="274"/>
        <v>1761.0693192657761</v>
      </c>
      <c r="P2131">
        <f t="shared" si="275"/>
        <v>7.67188284762685E-2</v>
      </c>
      <c r="Q2131">
        <f t="shared" si="276"/>
        <v>2.5292014290541179E-2</v>
      </c>
      <c r="R2131">
        <f t="shared" si="277"/>
        <v>0</v>
      </c>
      <c r="S2131">
        <f t="shared" si="269"/>
        <v>16.141794317196283</v>
      </c>
      <c r="T2131" s="564">
        <f>IF((I2131-MAX(I$470:I2131))/MAX(I$470:I2131)&gt;T2130,T2130,(I2131-MAX(I$470:I2131))/MAX(I$470:I2131))</f>
        <v>-0.91338805338419748</v>
      </c>
      <c r="U2131" s="564">
        <f>IF((J2131-MAX(J$470:J2131))/MAX(J$470:J2131)&gt;U2130,U2130,(J2131-MAX(J$470:J2131))/MAX(J$470:J2131))</f>
        <v>-0.8283551177402233</v>
      </c>
      <c r="V2131" s="564">
        <f>IF((K2131-MAX(K$470:K2131))/MAX(K$470:K2131)&gt;V2130,V2130,(K2131-MAX(K$470:K2131))/MAX(K$470:K2131))</f>
        <v>-0.84885940676762139</v>
      </c>
      <c r="W2131" s="564">
        <f>IF((N2131-MAX(N$470:N2131))/MAX(N$470:N2131)&gt;W2130,W2130,(N2131-MAX(N$470:N2131))/MAX(N$470:N2131))</f>
        <v>-0.62788758315546067</v>
      </c>
      <c r="X2131" s="564">
        <f>IF((O2131-MAX(O$470:O2131))/MAX(O$470:O2131)&gt;X2130,X2130,(O2131-MAX(O$470:O2131))/MAX(O$470:O2131))</f>
        <v>-0.62788758315546067</v>
      </c>
    </row>
    <row r="2132" spans="1:24">
      <c r="A2132" s="799">
        <v>42534</v>
      </c>
      <c r="B2132">
        <v>692.59799999999996</v>
      </c>
      <c r="C2132">
        <v>548.86047399999995</v>
      </c>
      <c r="D2132">
        <v>2.0543879999999999</v>
      </c>
      <c r="E2132">
        <f>LN(D2132/参数实验室!$E$53)/参数实验室!$E$55</f>
        <v>0.15642807934795036</v>
      </c>
      <c r="F2132">
        <f t="shared" si="278"/>
        <v>0.79246615497012696</v>
      </c>
      <c r="G2132">
        <f>LN(F2132/参数实验室!$E$58)/参数实验室!$E$59</f>
        <v>-0.3126139516968231</v>
      </c>
      <c r="H2132" s="856">
        <f>INDEX(神经网络!$G$10:$BO$70,MATCH(ROUND(G2132*2,1)/2,神经网络!$E$10:$E$70,0),MATCH(ROUND(E2132*2,1)/2,神经网络!$G$8:$BO$8,0))</f>
        <v>-0.17978030439049728</v>
      </c>
      <c r="I2132">
        <f t="shared" si="270"/>
        <v>833.43207721544059</v>
      </c>
      <c r="J2132">
        <f t="shared" si="271"/>
        <v>276.36486971788781</v>
      </c>
      <c r="K2132">
        <f t="shared" si="272"/>
        <v>3.0156947157075531</v>
      </c>
      <c r="L2132" s="4">
        <f>MIN(MAX(L2131*(1+MAX(MIN(((B2132-B2131)/B2131)/($K$7*卓尔金历!$N$40),0),-卓尔金历!$M$43))+MIN(MAX(((B2132-B2131)/B2131)/($K$7*卓尔金历!$N$40),0),卓尔金历!$M$43),0),1)</f>
        <v>1</v>
      </c>
      <c r="M2132" s="4">
        <f>MIN(MAX(M2131*(1+MAX(MIN(((B2132-B2131)/B2131)/($K$7*30),0),-卓尔金历!$M$43))+MIN(MAX(((B2132-B2131)/B2131)/($K$7*7),0),卓尔金历!$M$43),0),1)</f>
        <v>1</v>
      </c>
      <c r="N2132">
        <f t="shared" si="273"/>
        <v>687.70549439390891</v>
      </c>
      <c r="O2132">
        <f t="shared" si="274"/>
        <v>1736.7690138503558</v>
      </c>
      <c r="P2132">
        <f t="shared" si="275"/>
        <v>0.10262953864866185</v>
      </c>
      <c r="Q2132">
        <f t="shared" si="276"/>
        <v>3.0775546561788793E-2</v>
      </c>
      <c r="R2132">
        <f t="shared" si="277"/>
        <v>0</v>
      </c>
      <c r="S2132">
        <f t="shared" si="269"/>
        <v>16.141794317196283</v>
      </c>
      <c r="T2132" s="564">
        <f>IF((I2132-MAX(I$470:I2132))/MAX(I$470:I2132)&gt;T2131,T2131,(I2132-MAX(I$470:I2132))/MAX(I$470:I2132))</f>
        <v>-0.91338805338419748</v>
      </c>
      <c r="U2132" s="564">
        <f>IF((J2132-MAX(J$470:J2132))/MAX(J$470:J2132)&gt;U2131,U2131,(J2132-MAX(J$470:J2132))/MAX(J$470:J2132))</f>
        <v>-0.8283551177402233</v>
      </c>
      <c r="V2132" s="564">
        <f>IF((K2132-MAX(K$470:K2132))/MAX(K$470:K2132)&gt;V2131,V2131,(K2132-MAX(K$470:K2132))/MAX(K$470:K2132))</f>
        <v>-0.84885940676762139</v>
      </c>
      <c r="W2132" s="564">
        <f>IF((N2132-MAX(N$470:N2132))/MAX(N$470:N2132)&gt;W2131,W2131,(N2132-MAX(N$470:N2132))/MAX(N$470:N2132))</f>
        <v>-0.62788758315546067</v>
      </c>
      <c r="X2132" s="564">
        <f>IF((O2132-MAX(O$470:O2132))/MAX(O$470:O2132)&gt;X2131,X2131,(O2132-MAX(O$470:O2132))/MAX(O$470:O2132))</f>
        <v>-0.62788758315546067</v>
      </c>
    </row>
    <row r="2133" spans="1:24">
      <c r="A2133" s="799">
        <v>42535</v>
      </c>
      <c r="B2133">
        <v>693.61199999999997</v>
      </c>
      <c r="C2133">
        <v>551.86343299999999</v>
      </c>
      <c r="D2133">
        <v>1.9914609999999999</v>
      </c>
      <c r="E2133">
        <f>LN(D2133/参数实验室!$E$53)/参数实验室!$E$55</f>
        <v>0.11972660106911748</v>
      </c>
      <c r="F2133">
        <f t="shared" si="278"/>
        <v>0.79563708961205981</v>
      </c>
      <c r="G2133">
        <f>LN(F2133/参数实验室!$E$58)/参数实验室!$E$59</f>
        <v>-0.31051801733672912</v>
      </c>
      <c r="H2133" s="856">
        <f>INDEX(神经网络!$G$10:$BO$70,MATCH(ROUND(G2133*2,1)/2,神经网络!$E$10:$E$70,0),MATCH(ROUND(E2133*2,1)/2,神经网络!$G$8:$BO$8,0))</f>
        <v>-0.22548551736951877</v>
      </c>
      <c r="I2133">
        <f t="shared" si="270"/>
        <v>833.21271135249253</v>
      </c>
      <c r="J2133">
        <f t="shared" si="271"/>
        <v>276.76948246279028</v>
      </c>
      <c r="K2133">
        <f t="shared" si="272"/>
        <v>3.0104934400219219</v>
      </c>
      <c r="L2133" s="4">
        <f>MIN(MAX(L2132*(1+MAX(MIN(((B2133-B2132)/B2132)/($K$7*卓尔金历!$N$40),0),-卓尔金历!$M$43))+MIN(MAX(((B2133-B2132)/B2132)/($K$7*卓尔金历!$N$40),0),卓尔金历!$M$43),0),1)</f>
        <v>1</v>
      </c>
      <c r="M2133" s="4">
        <f>MIN(MAX(M2132*(1+MAX(MIN(((B2133-B2132)/B2132)/($K$7*30),0),-卓尔金历!$M$43))+MIN(MAX(((B2133-B2132)/B2132)/($K$7*7),0),卓尔金历!$M$43),0),1)</f>
        <v>1</v>
      </c>
      <c r="N2133">
        <f t="shared" si="273"/>
        <v>687.52448491112557</v>
      </c>
      <c r="O2133">
        <f t="shared" si="274"/>
        <v>1736.3118826168934</v>
      </c>
      <c r="P2133">
        <f t="shared" si="275"/>
        <v>1.4640527405508103E-3</v>
      </c>
      <c r="Q2133">
        <f t="shared" si="276"/>
        <v>3.0944787026937041E-2</v>
      </c>
      <c r="R2133">
        <f t="shared" si="277"/>
        <v>1</v>
      </c>
      <c r="S2133">
        <f t="shared" si="269"/>
        <v>16.141794317196283</v>
      </c>
      <c r="T2133" s="564">
        <f>IF((I2133-MAX(I$470:I2133))/MAX(I$470:I2133)&gt;T2132,T2132,(I2133-MAX(I$470:I2133))/MAX(I$470:I2133))</f>
        <v>-0.91338805338419748</v>
      </c>
      <c r="U2133" s="564">
        <f>IF((J2133-MAX(J$470:J2133))/MAX(J$470:J2133)&gt;U2132,U2132,(J2133-MAX(J$470:J2133))/MAX(J$470:J2133))</f>
        <v>-0.8283551177402233</v>
      </c>
      <c r="V2133" s="564">
        <f>IF((K2133-MAX(K$470:K2133))/MAX(K$470:K2133)&gt;V2132,V2132,(K2133-MAX(K$470:K2133))/MAX(K$470:K2133))</f>
        <v>-0.84885940676762139</v>
      </c>
      <c r="W2133" s="564">
        <f>IF((N2133-MAX(N$470:N2133))/MAX(N$470:N2133)&gt;W2132,W2132,(N2133-MAX(N$470:N2133))/MAX(N$470:N2133))</f>
        <v>-0.62788758315546067</v>
      </c>
      <c r="X2133" s="564">
        <f>IF((O2133-MAX(O$470:O2133))/MAX(O$470:O2133)&gt;X2132,X2132,(O2133-MAX(O$470:O2133))/MAX(O$470:O2133))</f>
        <v>-0.62788758315546067</v>
      </c>
    </row>
    <row r="2134" spans="1:24">
      <c r="A2134" s="799">
        <v>42536</v>
      </c>
      <c r="B2134">
        <v>677.80799999999999</v>
      </c>
      <c r="C2134">
        <v>548.16089499999998</v>
      </c>
      <c r="D2134">
        <v>2.0081730000000002</v>
      </c>
      <c r="E2134">
        <f>LN(D2134/参数实验室!$E$53)/参数实验室!$E$55</f>
        <v>0.12958557864277967</v>
      </c>
      <c r="F2134">
        <f t="shared" si="278"/>
        <v>0.80872591500837998</v>
      </c>
      <c r="G2134">
        <f>LN(F2134/参数实验室!$E$58)/参数实验室!$E$59</f>
        <v>-0.30195402611410505</v>
      </c>
      <c r="H2134" s="856">
        <f>INDEX(神经网络!$G$10:$BO$70,MATCH(ROUND(G2134*2,1)/2,神经网络!$E$10:$E$70,0),MATCH(ROUND(E2134*2,1)/2,神经网络!$G$8:$BO$8,0))</f>
        <v>-0.17978030439049728</v>
      </c>
      <c r="I2134">
        <f t="shared" si="270"/>
        <v>837.49351159601247</v>
      </c>
      <c r="J2134">
        <f t="shared" si="271"/>
        <v>270.46326962212152</v>
      </c>
      <c r="K2134">
        <f t="shared" si="272"/>
        <v>3.0965147791273795</v>
      </c>
      <c r="L2134" s="4">
        <f>MIN(MAX(L2133*(1+MAX(MIN(((B2134-B2133)/B2133)/($K$7*卓尔金历!$N$40),0),-卓尔金历!$M$43))+MIN(MAX(((B2134-B2133)/B2133)/($K$7*卓尔金历!$N$40),0),卓尔金历!$M$43),0),1)</f>
        <v>0.6518659509412561</v>
      </c>
      <c r="M2134" s="4">
        <f>MIN(MAX(M2133*(1+MAX(MIN(((B2134-B2133)/B2133)/($K$7*30),0),-卓尔金历!$M$43))+MIN(MAX(((B2134-B2133)/B2133)/($K$7*7),0),卓尔金历!$M$43),0),1)</f>
        <v>0.82593297547062805</v>
      </c>
      <c r="N2134">
        <f t="shared" si="273"/>
        <v>691.05678217727746</v>
      </c>
      <c r="O2134">
        <f t="shared" si="274"/>
        <v>1745.2325390455114</v>
      </c>
      <c r="P2134">
        <f t="shared" si="275"/>
        <v>-2.278507292261376E-2</v>
      </c>
      <c r="Q2134">
        <f t="shared" si="276"/>
        <v>3.2237198005470827E-2</v>
      </c>
      <c r="R2134">
        <f t="shared" si="277"/>
        <v>0.38869848218459346</v>
      </c>
      <c r="S2134">
        <f t="shared" si="269"/>
        <v>16.224726077720838</v>
      </c>
      <c r="T2134" s="564">
        <f>IF((I2134-MAX(I$470:I2134))/MAX(I$470:I2134)&gt;T2133,T2133,(I2134-MAX(I$470:I2134))/MAX(I$470:I2134))</f>
        <v>-0.91338805338419748</v>
      </c>
      <c r="U2134" s="564">
        <f>IF((J2134-MAX(J$470:J2134))/MAX(J$470:J2134)&gt;U2133,U2133,(J2134-MAX(J$470:J2134))/MAX(J$470:J2134))</f>
        <v>-0.8283551177402233</v>
      </c>
      <c r="V2134" s="564">
        <f>IF((K2134-MAX(K$470:K2134))/MAX(K$470:K2134)&gt;V2133,V2133,(K2134-MAX(K$470:K2134))/MAX(K$470:K2134))</f>
        <v>-0.84885940676762139</v>
      </c>
      <c r="W2134" s="564">
        <f>IF((N2134-MAX(N$470:N2134))/MAX(N$470:N2134)&gt;W2133,W2133,(N2134-MAX(N$470:N2134))/MAX(N$470:N2134))</f>
        <v>-0.62788758315546067</v>
      </c>
      <c r="X2134" s="564">
        <f>IF((O2134-MAX(O$470:O2134))/MAX(O$470:O2134)&gt;X2133,X2133,(O2134-MAX(O$470:O2134))/MAX(O$470:O2134))</f>
        <v>-0.62788758315546067</v>
      </c>
    </row>
    <row r="2135" spans="1:24">
      <c r="A2135" s="799">
        <v>42537</v>
      </c>
      <c r="B2135">
        <v>733.56600000000003</v>
      </c>
      <c r="C2135">
        <v>545.597398</v>
      </c>
      <c r="D2135">
        <v>2.1842459999999999</v>
      </c>
      <c r="E2135">
        <f>LN(D2135/参数实验室!$E$53)/参数实验室!$E$55</f>
        <v>0.22873833572800695</v>
      </c>
      <c r="F2135">
        <f t="shared" si="278"/>
        <v>0.74376047690323699</v>
      </c>
      <c r="G2135">
        <f>LN(F2135/参数实验室!$E$58)/参数实验室!$E$59</f>
        <v>-0.34590583982190093</v>
      </c>
      <c r="H2135" s="856">
        <f>INDEX(神经网络!$G$10:$BO$70,MATCH(ROUND(G2135*2,1)/2,神经网络!$E$10:$E$70,0),MATCH(ROUND(E2135*2,1)/2,神经网络!$G$8:$BO$8,0))</f>
        <v>-0.17969944484047501</v>
      </c>
      <c r="I2135">
        <f t="shared" si="270"/>
        <v>825.10771169142856</v>
      </c>
      <c r="J2135">
        <f t="shared" si="271"/>
        <v>292.71218227524787</v>
      </c>
      <c r="K2135">
        <f t="shared" si="272"/>
        <v>2.818836255047116</v>
      </c>
      <c r="L2135" s="4">
        <f>MIN(MAX(L2134*(1+MAX(MIN(((B2135-B2134)/B2134)/($K$7*卓尔金历!$N$40),0),-卓尔金历!$M$43))+MIN(MAX(((B2135-B2134)/B2134)/($K$7*卓尔金历!$N$40),0),卓尔金历!$M$43),0),1)</f>
        <v>1</v>
      </c>
      <c r="M2135" s="4">
        <f>MIN(MAX(M2134*(1+MAX(MIN(((B2135-B2134)/B2134)/($K$7*30),0),-卓尔金历!$M$43))+MIN(MAX(((B2135-B2134)/B2134)/($K$7*7),0),卓尔金历!$M$43),0),1)</f>
        <v>1</v>
      </c>
      <c r="N2135">
        <f t="shared" si="273"/>
        <v>684.39462861156835</v>
      </c>
      <c r="O2135">
        <f t="shared" si="274"/>
        <v>1723.9148208988313</v>
      </c>
      <c r="P2135">
        <f t="shared" si="275"/>
        <v>8.2262233552864591E-2</v>
      </c>
      <c r="Q2135">
        <f t="shared" si="276"/>
        <v>3.4559129657315411E-2</v>
      </c>
      <c r="R2135">
        <f t="shared" si="277"/>
        <v>4.2797989727238221E-3</v>
      </c>
      <c r="S2135">
        <f t="shared" ref="S2135:S2198" si="279">S2134*(1+(B2135-B2134)/B2134*H2134*R2134)</f>
        <v>16.131458042798545</v>
      </c>
      <c r="T2135" s="564">
        <f>IF((I2135-MAX(I$470:I2135))/MAX(I$470:I2135)&gt;T2134,T2134,(I2135-MAX(I$470:I2135))/MAX(I$470:I2135))</f>
        <v>-0.91338805338419748</v>
      </c>
      <c r="U2135" s="564">
        <f>IF((J2135-MAX(J$470:J2135))/MAX(J$470:J2135)&gt;U2134,U2134,(J2135-MAX(J$470:J2135))/MAX(J$470:J2135))</f>
        <v>-0.8283551177402233</v>
      </c>
      <c r="V2135" s="564">
        <f>IF((K2135-MAX(K$470:K2135))/MAX(K$470:K2135)&gt;V2134,V2134,(K2135-MAX(K$470:K2135))/MAX(K$470:K2135))</f>
        <v>-0.84885940676762139</v>
      </c>
      <c r="W2135" s="564">
        <f>IF((N2135-MAX(N$470:N2135))/MAX(N$470:N2135)&gt;W2134,W2134,(N2135-MAX(N$470:N2135))/MAX(N$470:N2135))</f>
        <v>-0.62788758315546067</v>
      </c>
      <c r="X2135" s="564">
        <f>IF((O2135-MAX(O$470:O2135))/MAX(O$470:O2135)&gt;X2134,X2134,(O2135-MAX(O$470:O2135))/MAX(O$470:O2135))</f>
        <v>-0.62788758315546067</v>
      </c>
    </row>
    <row r="2136" spans="1:24">
      <c r="A2136" s="799">
        <v>42538</v>
      </c>
      <c r="B2136">
        <v>738.89300000000003</v>
      </c>
      <c r="C2136">
        <v>547.50236800000005</v>
      </c>
      <c r="D2136">
        <v>2.1259299999999999</v>
      </c>
      <c r="E2136">
        <f>LN(D2136/参数实验室!$E$53)/参数实验室!$E$55</f>
        <v>0.19681263773189206</v>
      </c>
      <c r="F2136">
        <f t="shared" si="278"/>
        <v>0.74097652569451877</v>
      </c>
      <c r="G2136">
        <f>LN(F2136/参数实验室!$E$58)/参数实验室!$E$59</f>
        <v>-0.34787409380557127</v>
      </c>
      <c r="H2136" s="856">
        <f>INDEX(神经网络!$G$10:$BO$70,MATCH(ROUND(G2136*2,1)/2,神经网络!$E$10:$E$70,0),MATCH(ROUND(E2136*2,1)/2,神经网络!$G$8:$BO$8,0))</f>
        <v>-0.22542987472766768</v>
      </c>
      <c r="I2136">
        <f t="shared" ref="I2136:I2199" si="280">I2135*(1+(B2136-B2135)/B2135*H2135)</f>
        <v>824.03099639153925</v>
      </c>
      <c r="J2136">
        <f t="shared" ref="J2136:J2199" si="281">J2135*B2136/B2135</f>
        <v>294.8377957783004</v>
      </c>
      <c r="K2136">
        <f t="shared" ref="K2136:K2199" si="282">I2136/J2136</f>
        <v>2.7948621519717203</v>
      </c>
      <c r="L2136" s="4">
        <f>MIN(MAX(L2135*(1+MAX(MIN(((B2136-B2135)/B2135)/($K$7*卓尔金历!$N$40),0),-卓尔金历!$M$43))+MIN(MAX(((B2136-B2135)/B2135)/($K$7*卓尔金历!$N$40),0),卓尔金历!$M$43),0),1)</f>
        <v>1</v>
      </c>
      <c r="M2136" s="4">
        <f>MIN(MAX(M2135*(1+MAX(MIN(((B2136-B2135)/B2135)/($K$7*30),0),-卓尔金历!$M$43))+MIN(MAX(((B2136-B2135)/B2135)/($K$7*7),0),卓尔金历!$M$43),0),1)</f>
        <v>1</v>
      </c>
      <c r="N2136">
        <f t="shared" ref="N2136:N2199" si="283">N2135*(1+(B2136-B2135)/B2135*H2135*L2135)</f>
        <v>683.50153531314606</v>
      </c>
      <c r="O2136">
        <f t="shared" ref="O2136:O2199" si="284">O2135*(1+(B2136-B2135)/B2135*H2135*M2135)</f>
        <v>1721.6652170749103</v>
      </c>
      <c r="P2136">
        <f t="shared" ref="P2136:P2199" si="285">(B2136-B2135)/B2135</f>
        <v>7.2617869421428994E-3</v>
      </c>
      <c r="Q2136">
        <f t="shared" si="276"/>
        <v>3.4089442361537582E-2</v>
      </c>
      <c r="R2136">
        <f t="shared" si="277"/>
        <v>1</v>
      </c>
      <c r="S2136">
        <f t="shared" si="279"/>
        <v>16.131367950590469</v>
      </c>
      <c r="T2136" s="564">
        <f>IF((I2136-MAX(I$470:I2136))/MAX(I$470:I2136)&gt;T2135,T2135,(I2136-MAX(I$470:I2136))/MAX(I$470:I2136))</f>
        <v>-0.91338805338419748</v>
      </c>
      <c r="U2136" s="564">
        <f>IF((J2136-MAX(J$470:J2136))/MAX(J$470:J2136)&gt;U2135,U2135,(J2136-MAX(J$470:J2136))/MAX(J$470:J2136))</f>
        <v>-0.8283551177402233</v>
      </c>
      <c r="V2136" s="564">
        <f>IF((K2136-MAX(K$470:K2136))/MAX(K$470:K2136)&gt;V2135,V2135,(K2136-MAX(K$470:K2136))/MAX(K$470:K2136))</f>
        <v>-0.84885940676762139</v>
      </c>
      <c r="W2136" s="564">
        <f>IF((N2136-MAX(N$470:N2136))/MAX(N$470:N2136)&gt;W2135,W2135,(N2136-MAX(N$470:N2136))/MAX(N$470:N2136))</f>
        <v>-0.62788758315546067</v>
      </c>
      <c r="X2136" s="564">
        <f>IF((O2136-MAX(O$470:O2136))/MAX(O$470:O2136)&gt;X2135,X2135,(O2136-MAX(O$470:O2136))/MAX(O$470:O2136))</f>
        <v>-0.62788758315546067</v>
      </c>
    </row>
    <row r="2137" spans="1:24">
      <c r="A2137" s="799">
        <v>42539</v>
      </c>
      <c r="B2137">
        <v>754.45500000000004</v>
      </c>
      <c r="C2137">
        <v>534.00220400000001</v>
      </c>
      <c r="D2137">
        <v>2.141559</v>
      </c>
      <c r="E2137">
        <f>LN(D2137/参数实验室!$E$53)/参数实验室!$E$55</f>
        <v>0.20545399375509033</v>
      </c>
      <c r="F2137">
        <f t="shared" si="278"/>
        <v>0.70779861489419515</v>
      </c>
      <c r="G2137">
        <f>LN(F2137/参数实验室!$E$58)/参数实验室!$E$59</f>
        <v>-0.37191730826924185</v>
      </c>
      <c r="H2137" s="856">
        <f>INDEX(神经网络!$G$10:$BO$70,MATCH(ROUND(G2137*2,1)/2,神经网络!$E$10:$E$70,0),MATCH(ROUND(E2137*2,1)/2,神经网络!$G$8:$BO$8,0))</f>
        <v>-0.22542987472766768</v>
      </c>
      <c r="I2137">
        <f t="shared" si="280"/>
        <v>820.11863579110866</v>
      </c>
      <c r="J2137">
        <f t="shared" si="281"/>
        <v>301.04744423606348</v>
      </c>
      <c r="K2137">
        <f t="shared" si="282"/>
        <v>2.7242172338391302</v>
      </c>
      <c r="L2137" s="4">
        <f>MIN(MAX(L2136*(1+MAX(MIN(((B2137-B2136)/B2136)/($K$7*卓尔金历!$N$40),0),-卓尔金历!$M$43))+MIN(MAX(((B2137-B2136)/B2136)/($K$7*卓尔金历!$N$40),0),卓尔金历!$M$43),0),1)</f>
        <v>1</v>
      </c>
      <c r="M2137" s="4">
        <f>MIN(MAX(M2136*(1+MAX(MIN(((B2137-B2136)/B2136)/($K$7*30),0),-卓尔金历!$M$43))+MIN(MAX(((B2137-B2136)/B2136)/($K$7*7),0),卓尔金历!$M$43),0),1)</f>
        <v>1</v>
      </c>
      <c r="N2137">
        <f t="shared" si="283"/>
        <v>680.25638496224553</v>
      </c>
      <c r="O2137">
        <f t="shared" si="284"/>
        <v>1713.4910401423535</v>
      </c>
      <c r="P2137">
        <f t="shared" si="285"/>
        <v>2.1061236200640703E-2</v>
      </c>
      <c r="Q2137">
        <f t="shared" si="276"/>
        <v>3.3423667963876892E-2</v>
      </c>
      <c r="R2137">
        <f t="shared" si="277"/>
        <v>0.51166303853518003</v>
      </c>
      <c r="S2137">
        <f t="shared" si="279"/>
        <v>16.054778928238996</v>
      </c>
      <c r="T2137" s="564">
        <f>IF((I2137-MAX(I$470:I2137))/MAX(I$470:I2137)&gt;T2136,T2136,(I2137-MAX(I$470:I2137))/MAX(I$470:I2137))</f>
        <v>-0.91338805338419748</v>
      </c>
      <c r="U2137" s="564">
        <f>IF((J2137-MAX(J$470:J2137))/MAX(J$470:J2137)&gt;U2136,U2136,(J2137-MAX(J$470:J2137))/MAX(J$470:J2137))</f>
        <v>-0.8283551177402233</v>
      </c>
      <c r="V2137" s="564">
        <f>IF((K2137-MAX(K$470:K2137))/MAX(K$470:K2137)&gt;V2136,V2136,(K2137-MAX(K$470:K2137))/MAX(K$470:K2137))</f>
        <v>-0.84885940676762139</v>
      </c>
      <c r="W2137" s="564">
        <f>IF((N2137-MAX(N$470:N2137))/MAX(N$470:N2137)&gt;W2136,W2136,(N2137-MAX(N$470:N2137))/MAX(N$470:N2137))</f>
        <v>-0.62788758315546067</v>
      </c>
      <c r="X2137" s="564">
        <f>IF((O2137-MAX(O$470:O2137))/MAX(O$470:O2137)&gt;X2136,X2136,(O2137-MAX(O$470:O2137))/MAX(O$470:O2137))</f>
        <v>-0.62788758315546067</v>
      </c>
    </row>
    <row r="2138" spans="1:24">
      <c r="A2138" s="799">
        <v>42540</v>
      </c>
      <c r="B2138">
        <v>753.63699999999994</v>
      </c>
      <c r="C2138">
        <v>524.50422600000002</v>
      </c>
      <c r="D2138">
        <v>2.1594120000000001</v>
      </c>
      <c r="E2138">
        <f>LN(D2138/参数实验室!$E$53)/参数实验室!$E$55</f>
        <v>0.21524818006041066</v>
      </c>
      <c r="F2138">
        <f t="shared" si="278"/>
        <v>0.69596400654426471</v>
      </c>
      <c r="G2138">
        <f>LN(F2138/参数实验室!$E$58)/参数实验室!$E$59</f>
        <v>-0.38076722222589243</v>
      </c>
      <c r="H2138" s="856">
        <f>INDEX(神经网络!$G$10:$BO$70,MATCH(ROUND(G2138*2,1)/2,神经网络!$E$10:$E$70,0),MATCH(ROUND(E2138*2,1)/2,神经网络!$G$8:$BO$8,0))</f>
        <v>-0.31259694985786401</v>
      </c>
      <c r="I2138">
        <f t="shared" si="280"/>
        <v>820.31908673835733</v>
      </c>
      <c r="J2138">
        <f t="shared" si="281"/>
        <v>300.72104066078708</v>
      </c>
      <c r="K2138">
        <f t="shared" si="282"/>
        <v>2.7278406756502154</v>
      </c>
      <c r="L2138" s="4">
        <f>MIN(MAX(L2137*(1+MAX(MIN(((B2138-B2137)/B2137)/($K$7*卓尔金历!$N$40),0),-卓尔金历!$M$43))+MIN(MAX(((B2138-B2137)/B2137)/($K$7*卓尔金历!$N$40),0),卓尔金历!$M$43),0),1)</f>
        <v>0.98343406164168323</v>
      </c>
      <c r="M2138" s="4">
        <f>MIN(MAX(M2137*(1+MAX(MIN(((B2138-B2137)/B2137)/($K$7*30),0),-卓尔金历!$M$43))+MIN(MAX(((B2138-B2137)/B2137)/($K$7*7),0),卓尔金历!$M$43),0),1)</f>
        <v>0.99171703082084162</v>
      </c>
      <c r="N2138">
        <f t="shared" si="283"/>
        <v>680.42265119591798</v>
      </c>
      <c r="O2138">
        <f t="shared" si="284"/>
        <v>1713.9098465041518</v>
      </c>
      <c r="P2138">
        <f t="shared" si="285"/>
        <v>-1.0842263620760646E-3</v>
      </c>
      <c r="Q2138">
        <f t="shared" si="276"/>
        <v>3.3194117574158612E-2</v>
      </c>
      <c r="R2138">
        <f t="shared" si="277"/>
        <v>1</v>
      </c>
      <c r="S2138">
        <f t="shared" si="279"/>
        <v>16.056786725269774</v>
      </c>
      <c r="T2138" s="564">
        <f>IF((I2138-MAX(I$470:I2138))/MAX(I$470:I2138)&gt;T2137,T2137,(I2138-MAX(I$470:I2138))/MAX(I$470:I2138))</f>
        <v>-0.91338805338419748</v>
      </c>
      <c r="U2138" s="564">
        <f>IF((J2138-MAX(J$470:J2138))/MAX(J$470:J2138)&gt;U2137,U2137,(J2138-MAX(J$470:J2138))/MAX(J$470:J2138))</f>
        <v>-0.8283551177402233</v>
      </c>
      <c r="V2138" s="564">
        <f>IF((K2138-MAX(K$470:K2138))/MAX(K$470:K2138)&gt;V2137,V2137,(K2138-MAX(K$470:K2138))/MAX(K$470:K2138))</f>
        <v>-0.84885940676762139</v>
      </c>
      <c r="W2138" s="564">
        <f>IF((N2138-MAX(N$470:N2138))/MAX(N$470:N2138)&gt;W2137,W2137,(N2138-MAX(N$470:N2138))/MAX(N$470:N2138))</f>
        <v>-0.62788758315546067</v>
      </c>
      <c r="X2138" s="564">
        <f>IF((O2138-MAX(O$470:O2138))/MAX(O$470:O2138)&gt;X2137,X2137,(O2138-MAX(O$470:O2138))/MAX(O$470:O2138))</f>
        <v>-0.62788758315546067</v>
      </c>
    </row>
    <row r="2139" spans="1:24">
      <c r="A2139" s="799">
        <v>42541</v>
      </c>
      <c r="B2139">
        <v>763.99</v>
      </c>
      <c r="C2139">
        <v>516.923404</v>
      </c>
      <c r="D2139">
        <v>2.032794</v>
      </c>
      <c r="E2139">
        <f>LN(D2139/参数实验室!$E$53)/参数实验室!$E$55</f>
        <v>0.14396187226732562</v>
      </c>
      <c r="F2139">
        <f t="shared" si="278"/>
        <v>0.676610170290187</v>
      </c>
      <c r="G2139">
        <f>LN(F2139/参数实验室!$E$58)/参数实验室!$E$59</f>
        <v>-0.39556950054802015</v>
      </c>
      <c r="H2139" s="856">
        <f>INDEX(神经网络!$G$10:$BO$70,MATCH(ROUND(G2139*2,1)/2,神经网络!$E$10:$E$70,0),MATCH(ROUND(E2139*2,1)/2,神经网络!$G$8:$BO$8,0))</f>
        <v>-0.35798824455864314</v>
      </c>
      <c r="I2139">
        <f t="shared" si="280"/>
        <v>816.79642003339472</v>
      </c>
      <c r="J2139">
        <f t="shared" si="281"/>
        <v>304.85216072782356</v>
      </c>
      <c r="K2139">
        <f t="shared" si="282"/>
        <v>2.6793197662871164</v>
      </c>
      <c r="L2139" s="4">
        <f>MIN(MAX(L2138*(1+MAX(MIN(((B2139-B2138)/B2138)/($K$7*卓尔金历!$N$40),0),-卓尔金历!$M$43))+MIN(MAX(((B2139-B2138)/B2138)/($K$7*卓尔金历!$N$40),0),卓尔金历!$M$43),0),1)</f>
        <v>1</v>
      </c>
      <c r="M2139" s="4">
        <f>MIN(MAX(M2138*(1+MAX(MIN(((B2139-B2138)/B2138)/($K$7*30),0),-卓尔金历!$M$43))+MIN(MAX(((B2139-B2138)/B2138)/($K$7*7),0),卓尔金历!$M$43),0),1)</f>
        <v>1</v>
      </c>
      <c r="N2139">
        <f t="shared" si="283"/>
        <v>677.5491409699921</v>
      </c>
      <c r="O2139">
        <f t="shared" si="284"/>
        <v>1706.6108276865089</v>
      </c>
      <c r="P2139">
        <f t="shared" si="285"/>
        <v>1.3737382851425907E-2</v>
      </c>
      <c r="Q2139">
        <f t="shared" si="276"/>
        <v>3.3156460392756042E-2</v>
      </c>
      <c r="R2139">
        <f t="shared" si="277"/>
        <v>0.94355880111540524</v>
      </c>
      <c r="S2139">
        <f t="shared" si="279"/>
        <v>15.98783464442683</v>
      </c>
      <c r="T2139" s="564">
        <f>IF((I2139-MAX(I$470:I2139))/MAX(I$470:I2139)&gt;T2138,T2138,(I2139-MAX(I$470:I2139))/MAX(I$470:I2139))</f>
        <v>-0.91338805338419748</v>
      </c>
      <c r="U2139" s="564">
        <f>IF((J2139-MAX(J$470:J2139))/MAX(J$470:J2139)&gt;U2138,U2138,(J2139-MAX(J$470:J2139))/MAX(J$470:J2139))</f>
        <v>-0.8283551177402233</v>
      </c>
      <c r="V2139" s="564">
        <f>IF((K2139-MAX(K$470:K2139))/MAX(K$470:K2139)&gt;V2138,V2138,(K2139-MAX(K$470:K2139))/MAX(K$470:K2139))</f>
        <v>-0.84885940676762139</v>
      </c>
      <c r="W2139" s="564">
        <f>IF((N2139-MAX(N$470:N2139))/MAX(N$470:N2139)&gt;W2138,W2138,(N2139-MAX(N$470:N2139))/MAX(N$470:N2139))</f>
        <v>-0.62788758315546067</v>
      </c>
      <c r="X2139" s="564">
        <f>IF((O2139-MAX(O$470:O2139))/MAX(O$470:O2139)&gt;X2138,X2138,(O2139-MAX(O$470:O2139))/MAX(O$470:O2139))</f>
        <v>-0.62788758315546067</v>
      </c>
    </row>
    <row r="2140" spans="1:24">
      <c r="A2140" s="799">
        <v>42542</v>
      </c>
      <c r="B2140">
        <v>713.07500000000005</v>
      </c>
      <c r="C2140">
        <v>529.59731899999997</v>
      </c>
      <c r="D2140">
        <v>1.8829039999999999</v>
      </c>
      <c r="E2140">
        <f>LN(D2140/参数实验室!$E$53)/参数实验室!$E$55</f>
        <v>5.3597568856607651E-2</v>
      </c>
      <c r="F2140">
        <f t="shared" si="278"/>
        <v>0.74269511481961914</v>
      </c>
      <c r="G2140">
        <f>LN(F2140/参数实验室!$E$58)/参数实验室!$E$59</f>
        <v>-0.34665817940848381</v>
      </c>
      <c r="H2140" s="856">
        <f>INDEX(神经网络!$G$10:$BO$70,MATCH(ROUND(G2140*2,1)/2,神经网络!$E$10:$E$70,0),MATCH(ROUND(E2140*2,1)/2,神经网络!$G$8:$BO$8,0))</f>
        <v>-0.35803544821391908</v>
      </c>
      <c r="I2140">
        <f t="shared" si="280"/>
        <v>836.28322620381334</v>
      </c>
      <c r="J2140">
        <f t="shared" si="281"/>
        <v>284.53573281193837</v>
      </c>
      <c r="K2140">
        <f t="shared" si="282"/>
        <v>2.9391149503059011</v>
      </c>
      <c r="L2140" s="4">
        <f>MIN(MAX(L2139*(1+MAX(MIN(((B2140-B2139)/B2139)/($K$7*卓尔金历!$N$40),0),-卓尔金历!$M$43))+MIN(MAX(((B2140-B2139)/B2139)/($K$7*卓尔金历!$N$40),0),卓尔金历!$M$43),0),1)</f>
        <v>0</v>
      </c>
      <c r="M2140" s="4">
        <f>MIN(MAX(M2139*(1+MAX(MIN(((B2140-B2139)/B2139)/($K$7*30),0),-卓尔金历!$M$43))+MIN(MAX(((B2140-B2139)/B2139)/($K$7*7),0),卓尔金历!$M$43),0),1)</f>
        <v>0.49087531215750624</v>
      </c>
      <c r="N2140">
        <f t="shared" si="283"/>
        <v>693.71384059058551</v>
      </c>
      <c r="O2140">
        <f t="shared" si="284"/>
        <v>1747.32647431741</v>
      </c>
      <c r="P2140">
        <f t="shared" si="285"/>
        <v>-6.6643542454744117E-2</v>
      </c>
      <c r="Q2140">
        <f t="shared" si="276"/>
        <v>3.7702205372255493E-2</v>
      </c>
      <c r="R2140">
        <f t="shared" si="277"/>
        <v>1.4269228755839799E-2</v>
      </c>
      <c r="S2140">
        <f t="shared" si="279"/>
        <v>16.347737636800115</v>
      </c>
      <c r="T2140" s="564">
        <f>IF((I2140-MAX(I$470:I2140))/MAX(I$470:I2140)&gt;T2139,T2139,(I2140-MAX(I$470:I2140))/MAX(I$470:I2140))</f>
        <v>-0.91338805338419748</v>
      </c>
      <c r="U2140" s="564">
        <f>IF((J2140-MAX(J$470:J2140))/MAX(J$470:J2140)&gt;U2139,U2139,(J2140-MAX(J$470:J2140))/MAX(J$470:J2140))</f>
        <v>-0.8283551177402233</v>
      </c>
      <c r="V2140" s="564">
        <f>IF((K2140-MAX(K$470:K2140))/MAX(K$470:K2140)&gt;V2139,V2139,(K2140-MAX(K$470:K2140))/MAX(K$470:K2140))</f>
        <v>-0.84885940676762139</v>
      </c>
      <c r="W2140" s="564">
        <f>IF((N2140-MAX(N$470:N2140))/MAX(N$470:N2140)&gt;W2139,W2139,(N2140-MAX(N$470:N2140))/MAX(N$470:N2140))</f>
        <v>-0.62788758315546067</v>
      </c>
      <c r="X2140" s="564">
        <f>IF((O2140-MAX(O$470:O2140))/MAX(O$470:O2140)&gt;X2139,X2139,(O2140-MAX(O$470:O2140))/MAX(O$470:O2140))</f>
        <v>-0.62788758315546067</v>
      </c>
    </row>
    <row r="2141" spans="1:24">
      <c r="A2141" s="799">
        <v>42543</v>
      </c>
      <c r="B2141">
        <v>672.25300000000004</v>
      </c>
      <c r="C2141">
        <v>548.558446</v>
      </c>
      <c r="D2141">
        <v>1.6820999999999999</v>
      </c>
      <c r="E2141">
        <f>LN(D2141/参数实验室!$E$53)/参数实验室!$E$55</f>
        <v>-7.9445862550467219E-2</v>
      </c>
      <c r="F2141">
        <f t="shared" si="278"/>
        <v>0.81599999702492954</v>
      </c>
      <c r="G2141">
        <f>LN(F2141/参数实验室!$E$58)/参数实验室!$E$59</f>
        <v>-0.29725433266178869</v>
      </c>
      <c r="H2141" s="856">
        <f>INDEX(神经网络!$G$10:$BO$70,MATCH(ROUND(G2141*2,1)/2,神经网络!$E$10:$E$70,0),MATCH(ROUND(E2141*2,1)/2,神经网络!$G$8:$BO$8,0))</f>
        <v>-0.39677503106834472</v>
      </c>
      <c r="I2141">
        <f t="shared" si="280"/>
        <v>853.42431801009286</v>
      </c>
      <c r="J2141">
        <f t="shared" si="281"/>
        <v>268.24667810542229</v>
      </c>
      <c r="K2141">
        <f t="shared" si="282"/>
        <v>3.1814907235298282</v>
      </c>
      <c r="L2141" s="4">
        <f>MIN(MAX(L2140*(1+MAX(MIN(((B2141-B2140)/B2140)/($K$7*卓尔金历!$N$40),0),-卓尔金历!$M$43))+MIN(MAX(((B2141-B2140)/B2140)/($K$7*卓尔金历!$N$40),0),卓尔金历!$M$43),0),1)</f>
        <v>0</v>
      </c>
      <c r="M2141" s="4">
        <f>MIN(MAX(M2140*(1+MAX(MIN(((B2141-B2140)/B2140)/($K$7*30),0),-卓尔金历!$M$43))+MIN(MAX(((B2141-B2140)/B2140)/($K$7*7),0),卓尔金历!$M$43),0),1)</f>
        <v>0.27619296196294285</v>
      </c>
      <c r="N2141">
        <f t="shared" si="283"/>
        <v>693.71384059058551</v>
      </c>
      <c r="O2141">
        <f t="shared" si="284"/>
        <v>1764.906938695558</v>
      </c>
      <c r="P2141">
        <f t="shared" si="285"/>
        <v>-5.7247835080461384E-2</v>
      </c>
      <c r="Q2141">
        <f t="shared" si="276"/>
        <v>3.9944944366729698E-2</v>
      </c>
      <c r="R2141">
        <f t="shared" si="277"/>
        <v>2.4133644968188935E-2</v>
      </c>
      <c r="S2141">
        <f t="shared" si="279"/>
        <v>16.352518906638743</v>
      </c>
      <c r="T2141" s="564">
        <f>IF((I2141-MAX(I$470:I2141))/MAX(I$470:I2141)&gt;T2140,T2140,(I2141-MAX(I$470:I2141))/MAX(I$470:I2141))</f>
        <v>-0.91338805338419748</v>
      </c>
      <c r="U2141" s="564">
        <f>IF((J2141-MAX(J$470:J2141))/MAX(J$470:J2141)&gt;U2140,U2140,(J2141-MAX(J$470:J2141))/MAX(J$470:J2141))</f>
        <v>-0.8283551177402233</v>
      </c>
      <c r="V2141" s="564">
        <f>IF((K2141-MAX(K$470:K2141))/MAX(K$470:K2141)&gt;V2140,V2140,(K2141-MAX(K$470:K2141))/MAX(K$470:K2141))</f>
        <v>-0.84885940676762139</v>
      </c>
      <c r="W2141" s="564">
        <f>IF((N2141-MAX(N$470:N2141))/MAX(N$470:N2141)&gt;W2140,W2140,(N2141-MAX(N$470:N2141))/MAX(N$470:N2141))</f>
        <v>-0.62788758315546067</v>
      </c>
      <c r="X2141" s="564">
        <f>IF((O2141-MAX(O$470:O2141))/MAX(O$470:O2141)&gt;X2140,X2140,(O2141-MAX(O$470:O2141))/MAX(O$470:O2141))</f>
        <v>-0.62788758315546067</v>
      </c>
    </row>
    <row r="2142" spans="1:24">
      <c r="A2142" s="799">
        <v>42544</v>
      </c>
      <c r="B2142">
        <v>593.03800000000001</v>
      </c>
      <c r="C2142">
        <v>551.57482800000002</v>
      </c>
      <c r="D2142">
        <v>1.771919</v>
      </c>
      <c r="E2142">
        <f>LN(D2142/参数实验室!$E$53)/参数实验室!$E$55</f>
        <v>-1.8074948661794678E-2</v>
      </c>
      <c r="F2142">
        <f t="shared" si="278"/>
        <v>0.9300834482781879</v>
      </c>
      <c r="G2142">
        <f>LN(F2142/参数实验室!$E$58)/参数实验室!$E$59</f>
        <v>-0.22857195350740234</v>
      </c>
      <c r="H2142" s="856">
        <f>INDEX(神经网络!$G$10:$BO$70,MATCH(ROUND(G2142*2,1)/2,神经网络!$E$10:$E$70,0),MATCH(ROUND(E2142*2,1)/2,神经网络!$G$8:$BO$8,0))</f>
        <v>-0.22543055047793598</v>
      </c>
      <c r="I2142">
        <f t="shared" si="280"/>
        <v>893.32534056723273</v>
      </c>
      <c r="J2142">
        <f t="shared" si="281"/>
        <v>236.637803758828</v>
      </c>
      <c r="K2142">
        <f t="shared" si="282"/>
        <v>3.7750745078655101</v>
      </c>
      <c r="L2142" s="4">
        <f>MIN(MAX(L2141*(1+MAX(MIN(((B2142-B2141)/B2141)/($K$7*卓尔金历!$N$40),0),-卓尔金历!$M$43))+MIN(MAX(((B2142-B2141)/B2141)/($K$7*卓尔金历!$N$40),0),卓尔金历!$M$43),0),1)</f>
        <v>0</v>
      </c>
      <c r="M2142" s="4">
        <f>MIN(MAX(M2141*(1+MAX(MIN(((B2142-B2141)/B2141)/($K$7*30),0),-卓尔金历!$M$43))+MIN(MAX(((B2142-B2141)/B2141)/($K$7*7),0),卓尔金历!$M$43),0),1)</f>
        <v>2.7563054757552136E-2</v>
      </c>
      <c r="N2142">
        <f t="shared" si="283"/>
        <v>693.71384059058551</v>
      </c>
      <c r="O2142">
        <f t="shared" si="284"/>
        <v>1787.6974164825115</v>
      </c>
      <c r="P2142">
        <f t="shared" si="285"/>
        <v>-0.11783510077307208</v>
      </c>
      <c r="Q2142">
        <f t="shared" si="276"/>
        <v>4.8595046889427923E-2</v>
      </c>
      <c r="R2142">
        <f t="shared" si="277"/>
        <v>4.5631272494573022E-3</v>
      </c>
      <c r="S2142">
        <f t="shared" si="279"/>
        <v>16.370970190545506</v>
      </c>
      <c r="T2142" s="564">
        <f>IF((I2142-MAX(I$470:I2142))/MAX(I$470:I2142)&gt;T2141,T2141,(I2142-MAX(I$470:I2142))/MAX(I$470:I2142))</f>
        <v>-0.91338805338419748</v>
      </c>
      <c r="U2142" s="564">
        <f>IF((J2142-MAX(J$470:J2142))/MAX(J$470:J2142)&gt;U2141,U2141,(J2142-MAX(J$470:J2142))/MAX(J$470:J2142))</f>
        <v>-0.8283551177402233</v>
      </c>
      <c r="V2142" s="564">
        <f>IF((K2142-MAX(K$470:K2142))/MAX(K$470:K2142)&gt;V2141,V2141,(K2142-MAX(K$470:K2142))/MAX(K$470:K2142))</f>
        <v>-0.84885940676762139</v>
      </c>
      <c r="W2142" s="564">
        <f>IF((N2142-MAX(N$470:N2142))/MAX(N$470:N2142)&gt;W2141,W2141,(N2142-MAX(N$470:N2142))/MAX(N$470:N2142))</f>
        <v>-0.62788758315546067</v>
      </c>
      <c r="X2142" s="564">
        <f>IF((O2142-MAX(O$470:O2142))/MAX(O$470:O2142)&gt;X2141,X2141,(O2142-MAX(O$470:O2142))/MAX(O$470:O2142))</f>
        <v>-0.62788758315546067</v>
      </c>
    </row>
    <row r="2143" spans="1:24">
      <c r="A2143" s="799">
        <v>42545</v>
      </c>
      <c r="B2143">
        <v>651.16499999999996</v>
      </c>
      <c r="C2143">
        <v>555.33892100000003</v>
      </c>
      <c r="D2143">
        <v>1.869883</v>
      </c>
      <c r="E2143">
        <f>LN(D2143/参数实验室!$E$53)/参数实验室!$E$55</f>
        <v>4.5410784669379312E-2</v>
      </c>
      <c r="F2143">
        <f t="shared" si="278"/>
        <v>0.85283902083189367</v>
      </c>
      <c r="G2143">
        <f>LN(F2143/参数实验室!$E$58)/参数实验室!$E$59</f>
        <v>-0.27407863758188034</v>
      </c>
      <c r="H2143" s="856">
        <f>INDEX(神经网络!$G$10:$BO$70,MATCH(ROUND(G2143*2,1)/2,神经网络!$E$10:$E$70,0),MATCH(ROUND(E2143*2,1)/2,神经网络!$G$8:$BO$8,0))</f>
        <v>-0.1797742107014034</v>
      </c>
      <c r="I2143">
        <f t="shared" si="280"/>
        <v>873.58667395768271</v>
      </c>
      <c r="J2143">
        <f t="shared" si="281"/>
        <v>259.83200989585362</v>
      </c>
      <c r="K2143">
        <f t="shared" si="282"/>
        <v>3.3621210654831768</v>
      </c>
      <c r="L2143" s="4">
        <f>MIN(MAX(L2142*(1+MAX(MIN(((B2143-B2142)/B2142)/($K$7*卓尔金历!$N$40),0),-卓尔金历!$M$43))+MIN(MAX(((B2143-B2142)/B2142)/($K$7*卓尔金历!$N$40),0),卓尔金历!$M$43),0),1)</f>
        <v>1</v>
      </c>
      <c r="M2143" s="4">
        <f>MIN(MAX(M2142*(1+MAX(MIN(((B2143-B2142)/B2142)/($K$7*30),0),-卓尔金历!$M$43))+MIN(MAX(((B2143-B2142)/B2142)/($K$7*7),0),卓尔金历!$M$43),0),1)</f>
        <v>1</v>
      </c>
      <c r="N2143">
        <f t="shared" si="283"/>
        <v>693.71384059058551</v>
      </c>
      <c r="O2143">
        <f t="shared" si="284"/>
        <v>1786.60866309675</v>
      </c>
      <c r="P2143">
        <f t="shared" si="285"/>
        <v>9.8015641493462397E-2</v>
      </c>
      <c r="Q2143">
        <f t="shared" si="276"/>
        <v>5.2283138472040636E-2</v>
      </c>
      <c r="R2143">
        <f t="shared" si="277"/>
        <v>1.8055336399379604E-2</v>
      </c>
      <c r="S2143">
        <f t="shared" si="279"/>
        <v>16.369319577946381</v>
      </c>
      <c r="T2143" s="564">
        <f>IF((I2143-MAX(I$470:I2143))/MAX(I$470:I2143)&gt;T2142,T2142,(I2143-MAX(I$470:I2143))/MAX(I$470:I2143))</f>
        <v>-0.91338805338419748</v>
      </c>
      <c r="U2143" s="564">
        <f>IF((J2143-MAX(J$470:J2143))/MAX(J$470:J2143)&gt;U2142,U2142,(J2143-MAX(J$470:J2143))/MAX(J$470:J2143))</f>
        <v>-0.8283551177402233</v>
      </c>
      <c r="V2143" s="564">
        <f>IF((K2143-MAX(K$470:K2143))/MAX(K$470:K2143)&gt;V2142,V2142,(K2143-MAX(K$470:K2143))/MAX(K$470:K2143))</f>
        <v>-0.84885940676762139</v>
      </c>
      <c r="W2143" s="564">
        <f>IF((N2143-MAX(N$470:N2143))/MAX(N$470:N2143)&gt;W2142,W2142,(N2143-MAX(N$470:N2143))/MAX(N$470:N2143))</f>
        <v>-0.62788758315546067</v>
      </c>
      <c r="X2143" s="564">
        <f>IF((O2143-MAX(O$470:O2143))/MAX(O$470:O2143)&gt;X2142,X2142,(O2143-MAX(O$470:O2143))/MAX(O$470:O2143))</f>
        <v>-0.62788758315546067</v>
      </c>
    </row>
    <row r="2144" spans="1:24">
      <c r="A2144" s="799">
        <v>42546</v>
      </c>
      <c r="B2144">
        <v>680.49</v>
      </c>
      <c r="C2144">
        <v>545.67028900000003</v>
      </c>
      <c r="D2144">
        <v>1.879092</v>
      </c>
      <c r="E2144">
        <f>LN(D2144/参数实验室!$E$53)/参数实验室!$E$55</f>
        <v>5.1206699272901578E-2</v>
      </c>
      <c r="F2144">
        <f t="shared" si="278"/>
        <v>0.80187848315184651</v>
      </c>
      <c r="G2144">
        <f>LN(F2144/参数实验室!$E$58)/参数实验室!$E$59</f>
        <v>-0.30641685255639889</v>
      </c>
      <c r="H2144" s="856">
        <f>INDEX(神经网络!$G$10:$BO$70,MATCH(ROUND(G2144*2,1)/2,神经网络!$E$10:$E$70,0),MATCH(ROUND(E2144*2,1)/2,神经网络!$G$8:$BO$8,0))</f>
        <v>-0.27080654895712108</v>
      </c>
      <c r="I2144">
        <f t="shared" si="280"/>
        <v>866.51405334045523</v>
      </c>
      <c r="J2144">
        <f t="shared" si="281"/>
        <v>271.53345836159718</v>
      </c>
      <c r="K2144">
        <f t="shared" si="282"/>
        <v>3.1911870403334643</v>
      </c>
      <c r="L2144" s="4">
        <f>MIN(MAX(L2143*(1+MAX(MIN(((B2144-B2143)/B2143)/($K$7*卓尔金历!$N$40),0),-卓尔金历!$M$43))+MIN(MAX(((B2144-B2143)/B2143)/($K$7*卓尔金历!$N$40),0),卓尔金历!$M$43),0),1)</f>
        <v>1</v>
      </c>
      <c r="M2144" s="4">
        <f>MIN(MAX(M2143*(1+MAX(MIN(((B2144-B2143)/B2143)/($K$7*30),0),-卓尔金历!$M$43))+MIN(MAX(((B2144-B2143)/B2143)/($K$7*7),0),卓尔金历!$M$43),0),1)</f>
        <v>1</v>
      </c>
      <c r="N2144">
        <f t="shared" si="283"/>
        <v>688.09748338450629</v>
      </c>
      <c r="O2144">
        <f t="shared" si="284"/>
        <v>1772.1441507109448</v>
      </c>
      <c r="P2144">
        <f t="shared" si="285"/>
        <v>4.5034668632374354E-2</v>
      </c>
      <c r="Q2144">
        <f t="shared" si="276"/>
        <v>5.1852763611451039E-2</v>
      </c>
      <c r="R2144">
        <f t="shared" si="277"/>
        <v>0.20062941282946872</v>
      </c>
      <c r="S2144">
        <f t="shared" si="279"/>
        <v>16.366926754948537</v>
      </c>
      <c r="T2144" s="564">
        <f>IF((I2144-MAX(I$470:I2144))/MAX(I$470:I2144)&gt;T2143,T2143,(I2144-MAX(I$470:I2144))/MAX(I$470:I2144))</f>
        <v>-0.91338805338419748</v>
      </c>
      <c r="U2144" s="564">
        <f>IF((J2144-MAX(J$470:J2144))/MAX(J$470:J2144)&gt;U2143,U2143,(J2144-MAX(J$470:J2144))/MAX(J$470:J2144))</f>
        <v>-0.8283551177402233</v>
      </c>
      <c r="V2144" s="564">
        <f>IF((K2144-MAX(K$470:K2144))/MAX(K$470:K2144)&gt;V2143,V2143,(K2144-MAX(K$470:K2144))/MAX(K$470:K2144))</f>
        <v>-0.84885940676762139</v>
      </c>
      <c r="W2144" s="564">
        <f>IF((N2144-MAX(N$470:N2144))/MAX(N$470:N2144)&gt;W2143,W2143,(N2144-MAX(N$470:N2144))/MAX(N$470:N2144))</f>
        <v>-0.62788758315546067</v>
      </c>
      <c r="X2144" s="564">
        <f>IF((O2144-MAX(O$470:O2144))/MAX(O$470:O2144)&gt;X2143,X2143,(O2144-MAX(O$470:O2144))/MAX(O$470:O2144))</f>
        <v>-0.62788758315546067</v>
      </c>
    </row>
    <row r="2145" spans="1:24">
      <c r="A2145" s="799">
        <v>42547</v>
      </c>
      <c r="B2145">
        <v>656.33</v>
      </c>
      <c r="C2145">
        <v>543.489417</v>
      </c>
      <c r="D2145">
        <v>1.7731209999999999</v>
      </c>
      <c r="E2145">
        <f>LN(D2145/参数实验室!$E$53)/参数实验室!$E$55</f>
        <v>-1.7274921889968625E-2</v>
      </c>
      <c r="F2145">
        <f t="shared" si="278"/>
        <v>0.82807340362317727</v>
      </c>
      <c r="G2145">
        <f>LN(F2145/参数实验室!$E$58)/参数实验室!$E$59</f>
        <v>-0.28954556469716386</v>
      </c>
      <c r="H2145" s="856">
        <f>INDEX(神经网络!$G$10:$BO$70,MATCH(ROUND(G2145*2,1)/2,神经网络!$E$10:$E$70,0),MATCH(ROUND(E2145*2,1)/2,神经网络!$G$8:$BO$8,0))</f>
        <v>-0.31265452478407557</v>
      </c>
      <c r="I2145">
        <f t="shared" si="280"/>
        <v>874.84529929360178</v>
      </c>
      <c r="J2145">
        <f t="shared" si="281"/>
        <v>261.89298112605195</v>
      </c>
      <c r="K2145">
        <f t="shared" si="282"/>
        <v>3.3404686736240907</v>
      </c>
      <c r="L2145" s="4">
        <f>MIN(MAX(L2144*(1+MAX(MIN(((B2145-B2144)/B2144)/($K$7*卓尔金历!$N$40),0),-卓尔金历!$M$43))+MIN(MAX(((B2145-B2144)/B2144)/($K$7*卓尔金历!$N$40),0),卓尔金历!$M$43),0),1)</f>
        <v>0.45753557674265311</v>
      </c>
      <c r="M2145" s="4">
        <f>MIN(MAX(M2144*(1+MAX(MIN(((B2145-B2144)/B2144)/($K$7*30),0),-卓尔金历!$M$43))+MIN(MAX(((B2145-B2144)/B2144)/($K$7*7),0),卓尔金历!$M$43),0),1)</f>
        <v>0.72876778837132661</v>
      </c>
      <c r="N2145">
        <f t="shared" si="283"/>
        <v>694.71331304326088</v>
      </c>
      <c r="O2145">
        <f t="shared" si="284"/>
        <v>1789.1827304397862</v>
      </c>
      <c r="P2145">
        <f t="shared" si="285"/>
        <v>-3.5503828123851881E-2</v>
      </c>
      <c r="Q2145">
        <f t="shared" si="276"/>
        <v>5.2645099127070945E-2</v>
      </c>
      <c r="R2145">
        <f t="shared" si="277"/>
        <v>0.46621188399833502</v>
      </c>
      <c r="S2145">
        <f t="shared" si="279"/>
        <v>16.398498318191457</v>
      </c>
      <c r="T2145" s="564">
        <f>IF((I2145-MAX(I$470:I2145))/MAX(I$470:I2145)&gt;T2144,T2144,(I2145-MAX(I$470:I2145))/MAX(I$470:I2145))</f>
        <v>-0.91338805338419748</v>
      </c>
      <c r="U2145" s="564">
        <f>IF((J2145-MAX(J$470:J2145))/MAX(J$470:J2145)&gt;U2144,U2144,(J2145-MAX(J$470:J2145))/MAX(J$470:J2145))</f>
        <v>-0.8283551177402233</v>
      </c>
      <c r="V2145" s="564">
        <f>IF((K2145-MAX(K$470:K2145))/MAX(K$470:K2145)&gt;V2144,V2144,(K2145-MAX(K$470:K2145))/MAX(K$470:K2145))</f>
        <v>-0.84885940676762139</v>
      </c>
      <c r="W2145" s="564">
        <f>IF((N2145-MAX(N$470:N2145))/MAX(N$470:N2145)&gt;W2144,W2144,(N2145-MAX(N$470:N2145))/MAX(N$470:N2145))</f>
        <v>-0.62788758315546067</v>
      </c>
      <c r="X2145" s="564">
        <f>IF((O2145-MAX(O$470:O2145))/MAX(O$470:O2145)&gt;X2144,X2144,(O2145-MAX(O$470:O2145))/MAX(O$470:O2145))</f>
        <v>-0.62788758315546067</v>
      </c>
    </row>
    <row r="2146" spans="1:24">
      <c r="A2146" s="799">
        <v>42548</v>
      </c>
      <c r="B2146">
        <v>644.60199999999998</v>
      </c>
      <c r="C2146">
        <v>538.76712999999995</v>
      </c>
      <c r="D2146">
        <v>1.8308580000000001</v>
      </c>
      <c r="E2146">
        <f>LN(D2146/参数实验室!$E$53)/参数实验室!$E$55</f>
        <v>2.0528428936422451E-2</v>
      </c>
      <c r="F2146">
        <f t="shared" si="278"/>
        <v>0.83581361832572654</v>
      </c>
      <c r="G2146">
        <f>LN(F2146/参数实验室!$E$58)/参数实验室!$E$59</f>
        <v>-0.28466240588666686</v>
      </c>
      <c r="H2146" s="856">
        <f>INDEX(神经网络!$G$10:$BO$70,MATCH(ROUND(G2146*2,1)/2,神经网络!$E$10:$E$70,0),MATCH(ROUND(E2146*2,1)/2,神经网络!$G$8:$BO$8,0))</f>
        <v>-0.31265452478407557</v>
      </c>
      <c r="I2146">
        <f t="shared" si="280"/>
        <v>879.73292209750571</v>
      </c>
      <c r="J2146">
        <f t="shared" si="281"/>
        <v>257.2131997925058</v>
      </c>
      <c r="K2146">
        <f t="shared" si="282"/>
        <v>3.4202479608635454</v>
      </c>
      <c r="L2146" s="4">
        <f>MIN(MAX(L2145*(1+MAX(MIN(((B2146-B2145)/B2145)/($K$7*卓尔金历!$N$40),0),-卓尔金历!$M$43))+MIN(MAX(((B2146-B2145)/B2145)/($K$7*卓尔金历!$N$40),0),卓尔金历!$M$43),0),1)</f>
        <v>0.33261825931735028</v>
      </c>
      <c r="M2146" s="4">
        <f>MIN(MAX(M2145*(1+MAX(MIN(((B2146-B2145)/B2145)/($K$7*30),0),-卓尔金历!$M$43))+MIN(MAX(((B2146-B2145)/B2145)/($K$7*7),0),卓尔金历!$M$43),0),1)</f>
        <v>0.62928293760034371</v>
      </c>
      <c r="N2146">
        <f t="shared" si="283"/>
        <v>696.48912473322423</v>
      </c>
      <c r="O2146">
        <f t="shared" si="284"/>
        <v>1796.46740720248</v>
      </c>
      <c r="P2146">
        <f t="shared" si="285"/>
        <v>-1.7869059771761255E-2</v>
      </c>
      <c r="Q2146">
        <f t="shared" si="276"/>
        <v>5.2903907435116117E-2</v>
      </c>
      <c r="R2146">
        <f t="shared" si="277"/>
        <v>1</v>
      </c>
      <c r="S2146">
        <f t="shared" si="279"/>
        <v>16.441210704828627</v>
      </c>
      <c r="T2146" s="564">
        <f>IF((I2146-MAX(I$470:I2146))/MAX(I$470:I2146)&gt;T2145,T2145,(I2146-MAX(I$470:I2146))/MAX(I$470:I2146))</f>
        <v>-0.91338805338419748</v>
      </c>
      <c r="U2146" s="564">
        <f>IF((J2146-MAX(J$470:J2146))/MAX(J$470:J2146)&gt;U2145,U2145,(J2146-MAX(J$470:J2146))/MAX(J$470:J2146))</f>
        <v>-0.8283551177402233</v>
      </c>
      <c r="V2146" s="564">
        <f>IF((K2146-MAX(K$470:K2146))/MAX(K$470:K2146)&gt;V2145,V2145,(K2146-MAX(K$470:K2146))/MAX(K$470:K2146))</f>
        <v>-0.84885940676762139</v>
      </c>
      <c r="W2146" s="564">
        <f>IF((N2146-MAX(N$470:N2146))/MAX(N$470:N2146)&gt;W2145,W2145,(N2146-MAX(N$470:N2146))/MAX(N$470:N2146))</f>
        <v>-0.62788758315546067</v>
      </c>
      <c r="X2146" s="564">
        <f>IF((O2146-MAX(O$470:O2146))/MAX(O$470:O2146)&gt;X2145,X2145,(O2146-MAX(O$470:O2146))/MAX(O$470:O2146))</f>
        <v>-0.62788758315546067</v>
      </c>
    </row>
    <row r="2147" spans="1:24">
      <c r="A2147" s="799">
        <v>42549</v>
      </c>
      <c r="B2147">
        <v>649.73599999999999</v>
      </c>
      <c r="C2147">
        <v>538.80964200000005</v>
      </c>
      <c r="D2147">
        <v>1.8156080000000001</v>
      </c>
      <c r="E2147">
        <f>LN(D2147/参数实验室!$E$53)/参数实验室!$E$55</f>
        <v>1.0660605206857089E-2</v>
      </c>
      <c r="F2147">
        <f t="shared" si="278"/>
        <v>0.82927472388785606</v>
      </c>
      <c r="G2147">
        <f>LN(F2147/参数实验室!$E$58)/参数实验室!$E$59</f>
        <v>-0.28878468905744631</v>
      </c>
      <c r="H2147" s="856">
        <f>INDEX(神经网络!$G$10:$BO$70,MATCH(ROUND(G2147*2,1)/2,神经网络!$E$10:$E$70,0),MATCH(ROUND(E2147*2,1)/2,神经网络!$G$8:$BO$8,0))</f>
        <v>-0.31265452478407557</v>
      </c>
      <c r="I2147">
        <f t="shared" si="280"/>
        <v>877.54223788364709</v>
      </c>
      <c r="J2147">
        <f t="shared" si="281"/>
        <v>259.26180120505916</v>
      </c>
      <c r="K2147">
        <f t="shared" si="282"/>
        <v>3.3847725881899913</v>
      </c>
      <c r="L2147" s="4">
        <f>MIN(MAX(L2146*(1+MAX(MIN(((B2147-B2146)/B2146)/($K$7*卓尔金历!$N$40),0),-卓尔金历!$M$43))+MIN(MAX(((B2147-B2146)/B2146)/($K$7*卓尔金历!$N$40),0),卓尔金历!$M$43),0),1)</f>
        <v>0.45430977325736077</v>
      </c>
      <c r="M2147" s="4">
        <f>MIN(MAX(M2146*(1+MAX(MIN(((B2147-B2146)/B2146)/($K$7*30),0),-卓尔金历!$M$43))+MIN(MAX(((B2147-B2146)/B2146)/($K$7*7),0),卓尔金历!$M$43),0),1)</f>
        <v>0.89005046747179473</v>
      </c>
      <c r="N2147">
        <f t="shared" si="283"/>
        <v>695.91223958283604</v>
      </c>
      <c r="O2147">
        <f t="shared" si="284"/>
        <v>1793.6523045714637</v>
      </c>
      <c r="P2147">
        <f t="shared" si="285"/>
        <v>7.9646045156546441E-3</v>
      </c>
      <c r="Q2147">
        <f t="shared" si="276"/>
        <v>5.2882950119952019E-2</v>
      </c>
      <c r="R2147">
        <f t="shared" si="277"/>
        <v>1</v>
      </c>
      <c r="S2147">
        <f t="shared" si="279"/>
        <v>16.400269301087686</v>
      </c>
      <c r="T2147" s="564">
        <f>IF((I2147-MAX(I$470:I2147))/MAX(I$470:I2147)&gt;T2146,T2146,(I2147-MAX(I$470:I2147))/MAX(I$470:I2147))</f>
        <v>-0.91338805338419748</v>
      </c>
      <c r="U2147" s="564">
        <f>IF((J2147-MAX(J$470:J2147))/MAX(J$470:J2147)&gt;U2146,U2146,(J2147-MAX(J$470:J2147))/MAX(J$470:J2147))</f>
        <v>-0.8283551177402233</v>
      </c>
      <c r="V2147" s="564">
        <f>IF((K2147-MAX(K$470:K2147))/MAX(K$470:K2147)&gt;V2146,V2146,(K2147-MAX(K$470:K2147))/MAX(K$470:K2147))</f>
        <v>-0.84885940676762139</v>
      </c>
      <c r="W2147" s="564">
        <f>IF((N2147-MAX(N$470:N2147))/MAX(N$470:N2147)&gt;W2146,W2146,(N2147-MAX(N$470:N2147))/MAX(N$470:N2147))</f>
        <v>-0.62788758315546067</v>
      </c>
      <c r="X2147" s="564">
        <f>IF((O2147-MAX(O$470:O2147))/MAX(O$470:O2147)&gt;X2146,X2146,(O2147-MAX(O$470:O2147))/MAX(O$470:O2147))</f>
        <v>-0.62788758315546067</v>
      </c>
    </row>
    <row r="2148" spans="1:24">
      <c r="A2148" s="799">
        <v>42550</v>
      </c>
      <c r="B2148">
        <v>637.476</v>
      </c>
      <c r="C2148">
        <v>538.48280399999999</v>
      </c>
      <c r="D2148">
        <v>1.79145</v>
      </c>
      <c r="E2148">
        <f>LN(D2148/参数实验室!$E$53)/参数实验室!$E$55</f>
        <v>-5.1422485391934124E-3</v>
      </c>
      <c r="F2148">
        <f t="shared" si="278"/>
        <v>0.84471070910904877</v>
      </c>
      <c r="G2148">
        <f>LN(F2148/参数实验室!$E$58)/参数实验室!$E$59</f>
        <v>-0.27910495262944429</v>
      </c>
      <c r="H2148" s="856">
        <f>INDEX(神经网络!$G$10:$BO$70,MATCH(ROUND(G2148*2,1)/2,神经网络!$E$10:$E$70,0),MATCH(ROUND(E2148*2,1)/2,神经网络!$G$8:$BO$8,0))</f>
        <v>-0.31265452478407557</v>
      </c>
      <c r="I2148">
        <f t="shared" si="280"/>
        <v>882.71933470407282</v>
      </c>
      <c r="J2148">
        <f t="shared" si="281"/>
        <v>254.36973783967071</v>
      </c>
      <c r="K2148">
        <f t="shared" si="282"/>
        <v>3.4702215059106245</v>
      </c>
      <c r="L2148" s="4">
        <f>MIN(MAX(L2147*(1+MAX(MIN(((B2148-B2147)/B2147)/($K$7*卓尔金历!$N$40),0),-卓尔金历!$M$43))+MIN(MAX(((B2148-B2147)/B2147)/($K$7*卓尔金历!$N$40),0),卓尔金历!$M$43),0),1)</f>
        <v>0.323330764986068</v>
      </c>
      <c r="M2148" s="4">
        <f>MIN(MAX(M2147*(1+MAX(MIN(((B2148-B2147)/B2147)/($K$7*30),0),-卓尔金历!$M$43))+MIN(MAX(((B2148-B2147)/B2147)/($K$7*7),0),卓尔金历!$M$43),0),1)</f>
        <v>0.76174822261251862</v>
      </c>
      <c r="N2148">
        <f t="shared" si="283"/>
        <v>697.77743703025499</v>
      </c>
      <c r="O2148">
        <f t="shared" si="284"/>
        <v>1803.0705748744847</v>
      </c>
      <c r="P2148">
        <f t="shared" si="285"/>
        <v>-1.8869202260610448E-2</v>
      </c>
      <c r="Q2148">
        <f t="shared" si="276"/>
        <v>5.2988572736466288E-2</v>
      </c>
      <c r="R2148">
        <f t="shared" si="277"/>
        <v>1</v>
      </c>
      <c r="S2148">
        <f t="shared" si="279"/>
        <v>16.497023369880491</v>
      </c>
      <c r="T2148" s="564">
        <f>IF((I2148-MAX(I$470:I2148))/MAX(I$470:I2148)&gt;T2147,T2147,(I2148-MAX(I$470:I2148))/MAX(I$470:I2148))</f>
        <v>-0.91338805338419748</v>
      </c>
      <c r="U2148" s="564">
        <f>IF((J2148-MAX(J$470:J2148))/MAX(J$470:J2148)&gt;U2147,U2147,(J2148-MAX(J$470:J2148))/MAX(J$470:J2148))</f>
        <v>-0.8283551177402233</v>
      </c>
      <c r="V2148" s="564">
        <f>IF((K2148-MAX(K$470:K2148))/MAX(K$470:K2148)&gt;V2147,V2147,(K2148-MAX(K$470:K2148))/MAX(K$470:K2148))</f>
        <v>-0.84885940676762139</v>
      </c>
      <c r="W2148" s="564">
        <f>IF((N2148-MAX(N$470:N2148))/MAX(N$470:N2148)&gt;W2147,W2147,(N2148-MAX(N$470:N2148))/MAX(N$470:N2148))</f>
        <v>-0.62788758315546067</v>
      </c>
      <c r="X2148" s="564">
        <f>IF((O2148-MAX(O$470:O2148))/MAX(O$470:O2148)&gt;X2147,X2147,(O2148-MAX(O$470:O2148))/MAX(O$470:O2148))</f>
        <v>-0.62788758315546067</v>
      </c>
    </row>
    <row r="2149" spans="1:24">
      <c r="A2149" s="799">
        <v>42551</v>
      </c>
      <c r="B2149">
        <v>639.62800000000004</v>
      </c>
      <c r="C2149">
        <v>530.60961699999996</v>
      </c>
      <c r="D2149">
        <v>1.8846369999999999</v>
      </c>
      <c r="E2149">
        <f>LN(D2149/参数实验室!$E$53)/参数实验室!$E$55</f>
        <v>5.4682898792498644E-2</v>
      </c>
      <c r="F2149">
        <f t="shared" si="278"/>
        <v>0.82955970814285795</v>
      </c>
      <c r="G2149">
        <f>LN(F2149/参数实验室!$E$58)/参数实验室!$E$59</f>
        <v>-0.28860435142153074</v>
      </c>
      <c r="H2149" s="856">
        <f>INDEX(神经网络!$G$10:$BO$70,MATCH(ROUND(G2149*2,1)/2,神经网络!$E$10:$E$70,0),MATCH(ROUND(E2149*2,1)/2,神经网络!$G$8:$BO$8,0))</f>
        <v>-0.27080654895712108</v>
      </c>
      <c r="I2149">
        <f t="shared" si="280"/>
        <v>881.78765682173071</v>
      </c>
      <c r="J2149">
        <f t="shared" si="281"/>
        <v>255.22844260005539</v>
      </c>
      <c r="K2149">
        <f t="shared" si="282"/>
        <v>3.4548957312077384</v>
      </c>
      <c r="L2149" s="4">
        <f>MIN(MAX(L2148*(1+MAX(MIN(((B2149-B2148)/B2148)/($K$7*卓尔金历!$N$40),0),-卓尔金历!$M$43))+MIN(MAX(((B2149-B2148)/B2148)/($K$7*卓尔金历!$N$40),0),卓尔金历!$M$43),0),1)</f>
        <v>0.37490995366154434</v>
      </c>
      <c r="M2149" s="4">
        <f>MIN(MAX(M2148*(1+MAX(MIN(((B2149-B2148)/B2148)/($K$7*30),0),-卓尔金历!$M$43))+MIN(MAX(((B2149-B2148)/B2148)/($K$7*7),0),卓尔金历!$M$43),0),1)</f>
        <v>0.87227505548853934</v>
      </c>
      <c r="N2149">
        <f t="shared" si="283"/>
        <v>697.53931087589569</v>
      </c>
      <c r="O2149">
        <f t="shared" si="284"/>
        <v>1801.6209109818624</v>
      </c>
      <c r="P2149">
        <f t="shared" si="285"/>
        <v>3.3758133639541625E-3</v>
      </c>
      <c r="Q2149">
        <f t="shared" si="276"/>
        <v>5.2989250352731145E-2</v>
      </c>
      <c r="R2149">
        <f t="shared" si="277"/>
        <v>1</v>
      </c>
      <c r="S2149">
        <f t="shared" si="279"/>
        <v>16.479611366773806</v>
      </c>
      <c r="T2149" s="564">
        <f>IF((I2149-MAX(I$470:I2149))/MAX(I$470:I2149)&gt;T2148,T2148,(I2149-MAX(I$470:I2149))/MAX(I$470:I2149))</f>
        <v>-0.91338805338419748</v>
      </c>
      <c r="U2149" s="564">
        <f>IF((J2149-MAX(J$470:J2149))/MAX(J$470:J2149)&gt;U2148,U2148,(J2149-MAX(J$470:J2149))/MAX(J$470:J2149))</f>
        <v>-0.8283551177402233</v>
      </c>
      <c r="V2149" s="564">
        <f>IF((K2149-MAX(K$470:K2149))/MAX(K$470:K2149)&gt;V2148,V2148,(K2149-MAX(K$470:K2149))/MAX(K$470:K2149))</f>
        <v>-0.84885940676762139</v>
      </c>
      <c r="W2149" s="564">
        <f>IF((N2149-MAX(N$470:N2149))/MAX(N$470:N2149)&gt;W2148,W2148,(N2149-MAX(N$470:N2149))/MAX(N$470:N2149))</f>
        <v>-0.62788758315546067</v>
      </c>
      <c r="X2149" s="564">
        <f>IF((O2149-MAX(O$470:O2149))/MAX(O$470:O2149)&gt;X2148,X2148,(O2149-MAX(O$470:O2149))/MAX(O$470:O2149))</f>
        <v>-0.62788758315546067</v>
      </c>
    </row>
    <row r="2150" spans="1:24">
      <c r="A2150" s="799">
        <v>42552</v>
      </c>
      <c r="B2150">
        <v>675.84900000000005</v>
      </c>
      <c r="C2150">
        <v>526.77020900000002</v>
      </c>
      <c r="D2150">
        <v>1.890541</v>
      </c>
      <c r="E2150">
        <f>LN(D2150/参数实验室!$E$53)/参数实验室!$E$55</f>
        <v>5.8372933450958224E-2</v>
      </c>
      <c r="F2150">
        <f t="shared" si="278"/>
        <v>0.77941997250865203</v>
      </c>
      <c r="G2150">
        <f>LN(F2150/参数实验室!$E$58)/参数实验室!$E$59</f>
        <v>-0.32132641340111795</v>
      </c>
      <c r="H2150" s="856">
        <f>INDEX(神经网络!$G$10:$BO$70,MATCH(ROUND(G2150*2,1)/2,神经网络!$E$10:$E$70,0),MATCH(ROUND(E2150*2,1)/2,神经网络!$G$8:$BO$8,0))</f>
        <v>-0.27080654895712108</v>
      </c>
      <c r="I2150">
        <f t="shared" si="280"/>
        <v>868.26518306039372</v>
      </c>
      <c r="J2150">
        <f t="shared" si="281"/>
        <v>269.68157695223601</v>
      </c>
      <c r="K2150">
        <f t="shared" si="282"/>
        <v>3.2195939851470623</v>
      </c>
      <c r="L2150" s="4">
        <f>MIN(MAX(L2149*(1+MAX(MIN(((B2150-B2149)/B2149)/($K$7*卓尔金历!$N$40),0),-卓尔金历!$M$43))+MIN(MAX(((B2150-B2149)/B2149)/($K$7*卓尔金历!$N$40),0),卓尔金历!$M$43),0),1)</f>
        <v>1</v>
      </c>
      <c r="M2150" s="4">
        <f>MIN(MAX(M2149*(1+MAX(MIN(((B2150-B2149)/B2149)/($K$7*30),0),-卓尔金历!$M$43))+MIN(MAX(((B2150-B2149)/B2149)/($K$7*7),0),卓尔金历!$M$43),0),1)</f>
        <v>1</v>
      </c>
      <c r="N2150">
        <f t="shared" si="283"/>
        <v>693.52890995881353</v>
      </c>
      <c r="O2150">
        <f t="shared" si="284"/>
        <v>1777.5213573255448</v>
      </c>
      <c r="P2150">
        <f t="shared" si="285"/>
        <v>5.6628227657325822E-2</v>
      </c>
      <c r="Q2150">
        <f t="shared" si="276"/>
        <v>5.4011862972865504E-2</v>
      </c>
      <c r="R2150">
        <f t="shared" si="277"/>
        <v>5.0482653444330262E-2</v>
      </c>
      <c r="S2150">
        <f t="shared" si="279"/>
        <v>16.226891666537313</v>
      </c>
      <c r="T2150" s="564">
        <f>IF((I2150-MAX(I$470:I2150))/MAX(I$470:I2150)&gt;T2149,T2149,(I2150-MAX(I$470:I2150))/MAX(I$470:I2150))</f>
        <v>-0.91338805338419748</v>
      </c>
      <c r="U2150" s="564">
        <f>IF((J2150-MAX(J$470:J2150))/MAX(J$470:J2150)&gt;U2149,U2149,(J2150-MAX(J$470:J2150))/MAX(J$470:J2150))</f>
        <v>-0.8283551177402233</v>
      </c>
      <c r="V2150" s="564">
        <f>IF((K2150-MAX(K$470:K2150))/MAX(K$470:K2150)&gt;V2149,V2149,(K2150-MAX(K$470:K2150))/MAX(K$470:K2150))</f>
        <v>-0.84885940676762139</v>
      </c>
      <c r="W2150" s="564">
        <f>IF((N2150-MAX(N$470:N2150))/MAX(N$470:N2150)&gt;W2149,W2149,(N2150-MAX(N$470:N2150))/MAX(N$470:N2150))</f>
        <v>-0.62788758315546067</v>
      </c>
      <c r="X2150" s="564">
        <f>IF((O2150-MAX(O$470:O2150))/MAX(O$470:O2150)&gt;X2149,X2149,(O2150-MAX(O$470:O2150))/MAX(O$470:O2150))</f>
        <v>-0.62788758315546067</v>
      </c>
    </row>
    <row r="2151" spans="1:24">
      <c r="A2151" s="799">
        <v>42553</v>
      </c>
      <c r="B2151">
        <v>678.15099999999995</v>
      </c>
      <c r="C2151">
        <v>523.30341099999998</v>
      </c>
      <c r="D2151">
        <v>1.9566269999999999</v>
      </c>
      <c r="E2151">
        <f>LN(D2151/参数实验室!$E$53)/参数实验室!$E$55</f>
        <v>9.8908123407823331E-2</v>
      </c>
      <c r="F2151">
        <f t="shared" si="278"/>
        <v>0.7716620796843181</v>
      </c>
      <c r="G2151">
        <f>LN(F2151/参数实验室!$E$58)/参数实验室!$E$59</f>
        <v>-0.3265766777085029</v>
      </c>
      <c r="H2151" s="856">
        <f>INDEX(神经网络!$G$10:$BO$70,MATCH(ROUND(G2151*2,1)/2,神经网络!$E$10:$E$70,0),MATCH(ROUND(E2151*2,1)/2,神经网络!$G$8:$BO$8,0))</f>
        <v>-0.3127094290736831</v>
      </c>
      <c r="I2151">
        <f t="shared" si="280"/>
        <v>867.46430353146752</v>
      </c>
      <c r="J2151">
        <f t="shared" si="281"/>
        <v>270.60013566896714</v>
      </c>
      <c r="K2151">
        <f t="shared" si="282"/>
        <v>3.2057053533508251</v>
      </c>
      <c r="L2151" s="4">
        <f>MIN(MAX(L2150*(1+MAX(MIN(((B2151-B2150)/B2150)/($K$7*卓尔金历!$N$40),0),-卓尔金历!$M$43))+MIN(MAX(((B2151-B2150)/B2150)/($K$7*卓尔金历!$N$40),0),卓尔金历!$M$43),0),1)</f>
        <v>1</v>
      </c>
      <c r="M2151" s="4">
        <f>MIN(MAX(M2150*(1+MAX(MIN(((B2151-B2150)/B2150)/($K$7*30),0),-卓尔金历!$M$43))+MIN(MAX(((B2151-B2150)/B2150)/($K$7*7),0),卓尔金历!$M$43),0),1)</f>
        <v>1</v>
      </c>
      <c r="N2151">
        <f t="shared" si="283"/>
        <v>692.88920550268551</v>
      </c>
      <c r="O2151">
        <f t="shared" si="284"/>
        <v>1775.8817885681137</v>
      </c>
      <c r="P2151">
        <f t="shared" si="285"/>
        <v>3.4060862707496896E-3</v>
      </c>
      <c r="Q2151">
        <f t="shared" si="276"/>
        <v>5.4023227903659245E-2</v>
      </c>
      <c r="R2151">
        <f t="shared" si="277"/>
        <v>1</v>
      </c>
      <c r="S2151">
        <f t="shared" si="279"/>
        <v>16.22613606589703</v>
      </c>
      <c r="T2151" s="564">
        <f>IF((I2151-MAX(I$470:I2151))/MAX(I$470:I2151)&gt;T2150,T2150,(I2151-MAX(I$470:I2151))/MAX(I$470:I2151))</f>
        <v>-0.91338805338419748</v>
      </c>
      <c r="U2151" s="564">
        <f>IF((J2151-MAX(J$470:J2151))/MAX(J$470:J2151)&gt;U2150,U2150,(J2151-MAX(J$470:J2151))/MAX(J$470:J2151))</f>
        <v>-0.8283551177402233</v>
      </c>
      <c r="V2151" s="564">
        <f>IF((K2151-MAX(K$470:K2151))/MAX(K$470:K2151)&gt;V2150,V2150,(K2151-MAX(K$470:K2151))/MAX(K$470:K2151))</f>
        <v>-0.84885940676762139</v>
      </c>
      <c r="W2151" s="564">
        <f>IF((N2151-MAX(N$470:N2151))/MAX(N$470:N2151)&gt;W2150,W2150,(N2151-MAX(N$470:N2151))/MAX(N$470:N2151))</f>
        <v>-0.62788758315546067</v>
      </c>
      <c r="X2151" s="564">
        <f>IF((O2151-MAX(O$470:O2151))/MAX(O$470:O2151)&gt;X2150,X2150,(O2151-MAX(O$470:O2151))/MAX(O$470:O2151))</f>
        <v>-0.62788758315546067</v>
      </c>
    </row>
    <row r="2152" spans="1:24">
      <c r="A2152" s="799">
        <v>42554</v>
      </c>
      <c r="B2152">
        <v>671.149</v>
      </c>
      <c r="C2152">
        <v>519.53542200000004</v>
      </c>
      <c r="D2152">
        <v>1.844706</v>
      </c>
      <c r="E2152">
        <f>LN(D2152/参数实验室!$E$53)/参数实验室!$E$55</f>
        <v>2.9418112383006199E-2</v>
      </c>
      <c r="F2152">
        <f t="shared" si="278"/>
        <v>0.77409848185723296</v>
      </c>
      <c r="G2152">
        <f>LN(F2152/参数实验室!$E$58)/参数实验室!$E$59</f>
        <v>-0.32492214385403057</v>
      </c>
      <c r="H2152" s="856">
        <f>INDEX(神经网络!$G$10:$BO$70,MATCH(ROUND(G2152*2,1)/2,神经网络!$E$10:$E$70,0),MATCH(ROUND(E2152*2,1)/2,神经网络!$G$8:$BO$8,0))</f>
        <v>-0.27080654895712108</v>
      </c>
      <c r="I2152">
        <f t="shared" si="280"/>
        <v>870.26514345978444</v>
      </c>
      <c r="J2152">
        <f t="shared" si="281"/>
        <v>267.80615298671188</v>
      </c>
      <c r="K2152">
        <f t="shared" si="282"/>
        <v>3.2496084714788673</v>
      </c>
      <c r="L2152" s="4">
        <f>MIN(MAX(L2151*(1+MAX(MIN(((B2152-B2151)/B2151)/($K$7*卓尔金历!$N$40),0),-卓尔金历!$M$43))+MIN(MAX(((B2152-B2151)/B2151)/($K$7*卓尔金历!$N$40),0),卓尔金历!$M$43),0),1)</f>
        <v>0.84224185958104136</v>
      </c>
      <c r="M2152" s="4">
        <f>MIN(MAX(M2151*(1+MAX(MIN(((B2152-B2151)/B2151)/($K$7*30),0),-卓尔金历!$M$43))+MIN(MAX(((B2152-B2151)/B2151)/($K$7*7),0),卓尔金历!$M$43),0),1)</f>
        <v>0.92112092979052063</v>
      </c>
      <c r="N2152">
        <f t="shared" si="283"/>
        <v>695.12638315342133</v>
      </c>
      <c r="O2152">
        <f t="shared" si="284"/>
        <v>1781.6156966968326</v>
      </c>
      <c r="P2152">
        <f t="shared" si="285"/>
        <v>-1.0325134077808561E-2</v>
      </c>
      <c r="Q2152">
        <f t="shared" si="276"/>
        <v>5.19409868452562E-2</v>
      </c>
      <c r="R2152">
        <f t="shared" si="277"/>
        <v>1</v>
      </c>
      <c r="S2152">
        <f t="shared" si="279"/>
        <v>16.278526475036234</v>
      </c>
      <c r="T2152" s="564">
        <f>IF((I2152-MAX(I$470:I2152))/MAX(I$470:I2152)&gt;T2151,T2151,(I2152-MAX(I$470:I2152))/MAX(I$470:I2152))</f>
        <v>-0.91338805338419748</v>
      </c>
      <c r="U2152" s="564">
        <f>IF((J2152-MAX(J$470:J2152))/MAX(J$470:J2152)&gt;U2151,U2151,(J2152-MAX(J$470:J2152))/MAX(J$470:J2152))</f>
        <v>-0.8283551177402233</v>
      </c>
      <c r="V2152" s="564">
        <f>IF((K2152-MAX(K$470:K2152))/MAX(K$470:K2152)&gt;V2151,V2151,(K2152-MAX(K$470:K2152))/MAX(K$470:K2152))</f>
        <v>-0.84885940676762139</v>
      </c>
      <c r="W2152" s="564">
        <f>IF((N2152-MAX(N$470:N2152))/MAX(N$470:N2152)&gt;W2151,W2151,(N2152-MAX(N$470:N2152))/MAX(N$470:N2152))</f>
        <v>-0.62788758315546067</v>
      </c>
      <c r="X2152" s="564">
        <f>IF((O2152-MAX(O$470:O2152))/MAX(O$470:O2152)&gt;X2151,X2151,(O2152-MAX(O$470:O2152))/MAX(O$470:O2152))</f>
        <v>-0.62788758315546067</v>
      </c>
    </row>
    <row r="2153" spans="1:24">
      <c r="A2153" s="799">
        <v>42555</v>
      </c>
      <c r="B2153">
        <v>673.01599999999996</v>
      </c>
      <c r="C2153">
        <v>508.99893600000001</v>
      </c>
      <c r="D2153">
        <v>1.89</v>
      </c>
      <c r="E2153">
        <f>LN(D2153/参数实验室!$E$53)/参数实验室!$E$55</f>
        <v>5.8035285209954643E-2</v>
      </c>
      <c r="F2153">
        <f t="shared" si="278"/>
        <v>0.75629544617067057</v>
      </c>
      <c r="G2153">
        <f>LN(F2153/参数实验室!$E$58)/参数实验室!$E$59</f>
        <v>-0.33713392360286171</v>
      </c>
      <c r="H2153" s="856">
        <f>INDEX(神经网络!$G$10:$BO$70,MATCH(ROUND(G2153*2,1)/2,神经网络!$E$10:$E$70,0),MATCH(ROUND(E2153*2,1)/2,神经网络!$G$8:$BO$8,0))</f>
        <v>-0.35803544821391908</v>
      </c>
      <c r="I2153">
        <f t="shared" si="280"/>
        <v>869.60954772048899</v>
      </c>
      <c r="J2153">
        <f t="shared" si="281"/>
        <v>268.55113523003814</v>
      </c>
      <c r="K2153">
        <f t="shared" si="282"/>
        <v>3.2381525662723054</v>
      </c>
      <c r="L2153" s="4">
        <f>MIN(MAX(L2152*(1+MAX(MIN(((B2153-B2152)/B2152)/($K$7*卓尔金历!$N$40),0),-卓尔金历!$M$43))+MIN(MAX(((B2153-B2152)/B2152)/($K$7*卓尔金历!$N$40),0),卓尔金历!$M$43),0),1)</f>
        <v>0.88474504199527004</v>
      </c>
      <c r="M2153" s="4">
        <f>MIN(MAX(M2152*(1+MAX(MIN(((B2153-B2152)/B2152)/($K$7*30),0),-卓尔金历!$M$43))+MIN(MAX(((B2153-B2152)/B2152)/($K$7*7),0),卓尔金历!$M$43),0),1)</f>
        <v>1</v>
      </c>
      <c r="N2153">
        <f t="shared" si="283"/>
        <v>694.6853358941604</v>
      </c>
      <c r="O2153">
        <f t="shared" si="284"/>
        <v>1780.3794213350661</v>
      </c>
      <c r="P2153">
        <f t="shared" si="285"/>
        <v>2.7817965906228896E-3</v>
      </c>
      <c r="Q2153">
        <f t="shared" si="276"/>
        <v>4.7084366023790264E-2</v>
      </c>
      <c r="R2153">
        <f t="shared" si="277"/>
        <v>1</v>
      </c>
      <c r="S2153">
        <f t="shared" si="279"/>
        <v>16.266263393285524</v>
      </c>
      <c r="T2153" s="564">
        <f>IF((I2153-MAX(I$470:I2153))/MAX(I$470:I2153)&gt;T2152,T2152,(I2153-MAX(I$470:I2153))/MAX(I$470:I2153))</f>
        <v>-0.91338805338419748</v>
      </c>
      <c r="U2153" s="564">
        <f>IF((J2153-MAX(J$470:J2153))/MAX(J$470:J2153)&gt;U2152,U2152,(J2153-MAX(J$470:J2153))/MAX(J$470:J2153))</f>
        <v>-0.8283551177402233</v>
      </c>
      <c r="V2153" s="564">
        <f>IF((K2153-MAX(K$470:K2153))/MAX(K$470:K2153)&gt;V2152,V2152,(K2153-MAX(K$470:K2153))/MAX(K$470:K2153))</f>
        <v>-0.84885940676762139</v>
      </c>
      <c r="W2153" s="564">
        <f>IF((N2153-MAX(N$470:N2153))/MAX(N$470:N2153)&gt;W2152,W2152,(N2153-MAX(N$470:N2153))/MAX(N$470:N2153))</f>
        <v>-0.62788758315546067</v>
      </c>
      <c r="X2153" s="564">
        <f>IF((O2153-MAX(O$470:O2153))/MAX(O$470:O2153)&gt;X2152,X2152,(O2153-MAX(O$470:O2153))/MAX(O$470:O2153))</f>
        <v>-0.62788758315546067</v>
      </c>
    </row>
    <row r="2154" spans="1:24">
      <c r="A2154" s="799">
        <v>42556</v>
      </c>
      <c r="B2154">
        <v>675.28099999999995</v>
      </c>
      <c r="C2154">
        <v>517.898233</v>
      </c>
      <c r="D2154">
        <v>1.855021</v>
      </c>
      <c r="E2154">
        <f>LN(D2154/参数实验室!$E$53)/参数实验室!$E$55</f>
        <v>3.5996536273611317E-2</v>
      </c>
      <c r="F2154">
        <f t="shared" si="278"/>
        <v>0.76693736829556891</v>
      </c>
      <c r="G2154">
        <f>LN(F2154/参数实验室!$E$58)/参数实验室!$E$59</f>
        <v>-0.3298001179257028</v>
      </c>
      <c r="H2154" s="856">
        <f>INDEX(神经网络!$G$10:$BO$70,MATCH(ROUND(G2154*2,1)/2,神经网络!$E$10:$E$70,0),MATCH(ROUND(E2154*2,1)/2,神经网络!$G$8:$BO$8,0))</f>
        <v>-0.35803544821391908</v>
      </c>
      <c r="I2154">
        <f t="shared" si="280"/>
        <v>868.56171213398204</v>
      </c>
      <c r="J2154">
        <f t="shared" si="281"/>
        <v>269.45492997087052</v>
      </c>
      <c r="K2154">
        <f t="shared" si="282"/>
        <v>3.2234025639385333</v>
      </c>
      <c r="L2154" s="4">
        <f>MIN(MAX(L2153*(1+MAX(MIN(((B2154-B2153)/B2153)/($K$7*卓尔金历!$N$40),0),-卓尔金历!$M$43))+MIN(MAX(((B2154-B2153)/B2153)/($K$7*卓尔金历!$N$40),0),卓尔金历!$M$43),0),1)</f>
        <v>0.93616584988408558</v>
      </c>
      <c r="M2154" s="4">
        <f>MIN(MAX(M2153*(1+MAX(MIN(((B2154-B2153)/B2153)/($K$7*30),0),-卓尔金历!$M$43))+MIN(MAX(((B2154-B2153)/B2153)/($K$7*7),0),卓尔金历!$M$43),0),1)</f>
        <v>1</v>
      </c>
      <c r="N2154">
        <f t="shared" si="283"/>
        <v>693.94475054966369</v>
      </c>
      <c r="O2154">
        <f t="shared" si="284"/>
        <v>1778.2341540480984</v>
      </c>
      <c r="P2154">
        <f t="shared" si="285"/>
        <v>3.3654474782174367E-3</v>
      </c>
      <c r="Q2154">
        <f t="shared" si="276"/>
        <v>4.7089395603789351E-2</v>
      </c>
      <c r="R2154">
        <f t="shared" si="277"/>
        <v>1</v>
      </c>
      <c r="S2154">
        <f t="shared" si="279"/>
        <v>16.246663367403038</v>
      </c>
      <c r="T2154" s="564">
        <f>IF((I2154-MAX(I$470:I2154))/MAX(I$470:I2154)&gt;T2153,T2153,(I2154-MAX(I$470:I2154))/MAX(I$470:I2154))</f>
        <v>-0.91338805338419748</v>
      </c>
      <c r="U2154" s="564">
        <f>IF((J2154-MAX(J$470:J2154))/MAX(J$470:J2154)&gt;U2153,U2153,(J2154-MAX(J$470:J2154))/MAX(J$470:J2154))</f>
        <v>-0.8283551177402233</v>
      </c>
      <c r="V2154" s="564">
        <f>IF((K2154-MAX(K$470:K2154))/MAX(K$470:K2154)&gt;V2153,V2153,(K2154-MAX(K$470:K2154))/MAX(K$470:K2154))</f>
        <v>-0.84885940676762139</v>
      </c>
      <c r="W2154" s="564">
        <f>IF((N2154-MAX(N$470:N2154))/MAX(N$470:N2154)&gt;W2153,W2153,(N2154-MAX(N$470:N2154))/MAX(N$470:N2154))</f>
        <v>-0.62788758315546067</v>
      </c>
      <c r="X2154" s="564">
        <f>IF((O2154-MAX(O$470:O2154))/MAX(O$470:O2154)&gt;X2153,X2153,(O2154-MAX(O$470:O2154))/MAX(O$470:O2154))</f>
        <v>-0.62788758315546067</v>
      </c>
    </row>
    <row r="2155" spans="1:24">
      <c r="A2155" s="799">
        <v>42557</v>
      </c>
      <c r="B2155">
        <v>675.21900000000005</v>
      </c>
      <c r="C2155">
        <v>528.75589100000002</v>
      </c>
      <c r="D2155">
        <v>1.878531</v>
      </c>
      <c r="E2155">
        <f>LN(D2155/参数实验室!$E$53)/参数实验室!$E$55</f>
        <v>5.0854433186183601E-2</v>
      </c>
      <c r="F2155">
        <f t="shared" si="278"/>
        <v>0.78308799219216285</v>
      </c>
      <c r="G2155">
        <f>LN(F2155/参数实验室!$E$58)/参数实验室!$E$59</f>
        <v>-0.31886219748548766</v>
      </c>
      <c r="H2155" s="856">
        <f>INDEX(神经网络!$G$10:$BO$70,MATCH(ROUND(G2155*2,1)/2,神经网络!$E$10:$E$70,0),MATCH(ROUND(E2155*2,1)/2,神经网络!$G$8:$BO$8,0))</f>
        <v>-0.27080654895712108</v>
      </c>
      <c r="I2155">
        <f t="shared" si="280"/>
        <v>868.59026395859735</v>
      </c>
      <c r="J2155">
        <f t="shared" si="281"/>
        <v>269.43019033558068</v>
      </c>
      <c r="K2155">
        <f t="shared" si="282"/>
        <v>3.2238045145451251</v>
      </c>
      <c r="L2155" s="4">
        <f>MIN(MAX(L2154*(1+MAX(MIN(((B2155-B2154)/B2154)/($K$7*卓尔金历!$N$40),0),-卓尔金历!$M$43))+MIN(MAX(((B2155-B2154)/B2154)/($K$7*卓尔金历!$N$40),0),卓尔金历!$M$43),0),1)</f>
        <v>0.9348525738100768</v>
      </c>
      <c r="M2155" s="4">
        <f>MIN(MAX(M2154*(1+MAX(MIN(((B2155-B2154)/B2154)/($K$7*30),0),-卓尔金历!$M$43))+MIN(MAX(((B2155-B2154)/B2154)/($K$7*7),0),卓尔金历!$M$43),0),1)</f>
        <v>0.99929858791891868</v>
      </c>
      <c r="N2155">
        <f t="shared" si="283"/>
        <v>693.96610610530888</v>
      </c>
      <c r="O2155">
        <f t="shared" si="284"/>
        <v>1778.292609111201</v>
      </c>
      <c r="P2155">
        <f t="shared" si="285"/>
        <v>-9.1813630177508534E-5</v>
      </c>
      <c r="Q2155">
        <f t="shared" si="276"/>
        <v>4.6817286057607495E-2</v>
      </c>
      <c r="R2155">
        <f t="shared" si="277"/>
        <v>1</v>
      </c>
      <c r="S2155">
        <f t="shared" si="279"/>
        <v>16.24719743640075</v>
      </c>
      <c r="T2155" s="564">
        <f>IF((I2155-MAX(I$470:I2155))/MAX(I$470:I2155)&gt;T2154,T2154,(I2155-MAX(I$470:I2155))/MAX(I$470:I2155))</f>
        <v>-0.91338805338419748</v>
      </c>
      <c r="U2155" s="564">
        <f>IF((J2155-MAX(J$470:J2155))/MAX(J$470:J2155)&gt;U2154,U2154,(J2155-MAX(J$470:J2155))/MAX(J$470:J2155))</f>
        <v>-0.8283551177402233</v>
      </c>
      <c r="V2155" s="564">
        <f>IF((K2155-MAX(K$470:K2155))/MAX(K$470:K2155)&gt;V2154,V2154,(K2155-MAX(K$470:K2155))/MAX(K$470:K2155))</f>
        <v>-0.84885940676762139</v>
      </c>
      <c r="W2155" s="564">
        <f>IF((N2155-MAX(N$470:N2155))/MAX(N$470:N2155)&gt;W2154,W2154,(N2155-MAX(N$470:N2155))/MAX(N$470:N2155))</f>
        <v>-0.62788758315546067</v>
      </c>
      <c r="X2155" s="564">
        <f>IF((O2155-MAX(O$470:O2155))/MAX(O$470:O2155)&gt;X2154,X2154,(O2155-MAX(O$470:O2155))/MAX(O$470:O2155))</f>
        <v>-0.62788758315546067</v>
      </c>
    </row>
    <row r="2156" spans="1:24">
      <c r="A2156" s="799">
        <v>42558</v>
      </c>
      <c r="B2156">
        <v>645.74400000000003</v>
      </c>
      <c r="C2156">
        <v>530.18966899999998</v>
      </c>
      <c r="D2156">
        <v>1.775793</v>
      </c>
      <c r="E2156">
        <f>LN(D2156/参数实验室!$E$53)/参数实验室!$E$55</f>
        <v>-1.5498434060993178E-2</v>
      </c>
      <c r="F2156">
        <f t="shared" si="278"/>
        <v>0.82105241241111027</v>
      </c>
      <c r="G2156">
        <f>LN(F2156/参数实验室!$E$58)/参数实验室!$E$59</f>
        <v>-0.29401462079051882</v>
      </c>
      <c r="H2156" s="856">
        <f>INDEX(神经网络!$G$10:$BO$70,MATCH(ROUND(G2156*2,1)/2,神经网络!$E$10:$E$70,0),MATCH(ROUND(E2156*2,1)/2,神经网络!$G$8:$BO$8,0))</f>
        <v>-0.31265452478407557</v>
      </c>
      <c r="I2156">
        <f t="shared" si="280"/>
        <v>878.85820293986899</v>
      </c>
      <c r="J2156">
        <f t="shared" si="281"/>
        <v>257.66888791349061</v>
      </c>
      <c r="K2156">
        <f t="shared" si="282"/>
        <v>3.4108045020745212</v>
      </c>
      <c r="L2156" s="4">
        <f>MIN(MAX(L2155*(1+MAX(MIN(((B2156-B2155)/B2155)/($K$7*卓尔金历!$N$40),0),-卓尔金历!$M$43))+MIN(MAX(((B2156-B2155)/B2155)/($K$7*卓尔金历!$N$40),0),卓尔金历!$M$43),0),1)</f>
        <v>0.31133547766269859</v>
      </c>
      <c r="M2156" s="4">
        <f>MIN(MAX(M2155*(1+MAX(MIN(((B2156-B2155)/B2155)/($K$7*30),0),-卓尔金历!$M$43))+MIN(MAX(((B2156-B2155)/B2155)/($K$7*7),0),卓尔金历!$M$43),0),1)</f>
        <v>0.666048313394904</v>
      </c>
      <c r="N2156">
        <f t="shared" si="283"/>
        <v>701.63529985816638</v>
      </c>
      <c r="O2156">
        <f t="shared" si="284"/>
        <v>1799.2997437690169</v>
      </c>
      <c r="P2156">
        <f t="shared" si="285"/>
        <v>-4.365250385430508E-2</v>
      </c>
      <c r="Q2156">
        <f t="shared" ref="Q2156:Q2219" si="286">STDEVP(P2136:P2156)</f>
        <v>4.3994294563680598E-2</v>
      </c>
      <c r="R2156">
        <f t="shared" ref="R2156:R2219" si="287">MIN(Q2155*MAX(1-LN(MAX(ABS(P2156),0.0001)/Q2156),0)+MAX(-LN(MAX(ABS(P2156),0.0001)/Q2156),0),1)</f>
        <v>5.4981742556485129E-2</v>
      </c>
      <c r="S2156">
        <f t="shared" si="279"/>
        <v>16.439261794954955</v>
      </c>
      <c r="T2156" s="564">
        <f>IF((I2156-MAX(I$470:I2156))/MAX(I$470:I2156)&gt;T2155,T2155,(I2156-MAX(I$470:I2156))/MAX(I$470:I2156))</f>
        <v>-0.91338805338419748</v>
      </c>
      <c r="U2156" s="564">
        <f>IF((J2156-MAX(J$470:J2156))/MAX(J$470:J2156)&gt;U2155,U2155,(J2156-MAX(J$470:J2156))/MAX(J$470:J2156))</f>
        <v>-0.8283551177402233</v>
      </c>
      <c r="V2156" s="564">
        <f>IF((K2156-MAX(K$470:K2156))/MAX(K$470:K2156)&gt;V2155,V2155,(K2156-MAX(K$470:K2156))/MAX(K$470:K2156))</f>
        <v>-0.84885940676762139</v>
      </c>
      <c r="W2156" s="564">
        <f>IF((N2156-MAX(N$470:N2156))/MAX(N$470:N2156)&gt;W2155,W2155,(N2156-MAX(N$470:N2156))/MAX(N$470:N2156))</f>
        <v>-0.62788758315546067</v>
      </c>
      <c r="X2156" s="564">
        <f>IF((O2156-MAX(O$470:O2156))/MAX(O$470:O2156)&gt;X2155,X2155,(O2156-MAX(O$470:O2156))/MAX(O$470:O2156))</f>
        <v>-0.62788758315546067</v>
      </c>
    </row>
    <row r="2157" spans="1:24">
      <c r="A2157" s="799">
        <v>42559</v>
      </c>
      <c r="B2157">
        <v>643.35799999999995</v>
      </c>
      <c r="C2157">
        <v>530.22521600000005</v>
      </c>
      <c r="D2157">
        <v>1.841936</v>
      </c>
      <c r="E2157">
        <f>LN(D2157/参数实验室!$E$53)/参数实验室!$E$55</f>
        <v>2.7645270267735028E-2</v>
      </c>
      <c r="F2157">
        <f t="shared" si="278"/>
        <v>0.82415267393892688</v>
      </c>
      <c r="G2157">
        <f>LN(F2157/参数实验室!$E$58)/参数实验室!$E$59</f>
        <v>-0.29203652488374093</v>
      </c>
      <c r="H2157" s="856">
        <f>INDEX(神经网络!$G$10:$BO$70,MATCH(ROUND(G2157*2,1)/2,神经网络!$E$10:$E$70,0),MATCH(ROUND(E2157*2,1)/2,神经网络!$G$8:$BO$8,0))</f>
        <v>-0.27080654895712108</v>
      </c>
      <c r="I2157">
        <f t="shared" si="280"/>
        <v>879.87350107533689</v>
      </c>
      <c r="J2157">
        <f t="shared" si="281"/>
        <v>256.71681098120536</v>
      </c>
      <c r="K2157">
        <f t="shared" si="282"/>
        <v>3.4274089714356641</v>
      </c>
      <c r="L2157" s="4">
        <f>MIN(MAX(L2156*(1+MAX(MIN(((B2157-B2156)/B2156)/($K$7*卓尔金历!$N$40),0),-卓尔金历!$M$43))+MIN(MAX(((B2157-B2156)/B2156)/($K$7*卓尔金历!$N$40),0),卓尔金历!$M$43),0),1)</f>
        <v>0.29375888245615422</v>
      </c>
      <c r="M2157" s="4">
        <f>MIN(MAX(M2156*(1+MAX(MIN(((B2157-B2156)/B2156)/($K$7*30),0),-卓尔金历!$M$43))+MIN(MAX(((B2157-B2156)/B2156)/($K$7*7),0),卓尔金历!$M$43),0),1)</f>
        <v>0.64724727330716458</v>
      </c>
      <c r="N2157">
        <f t="shared" si="283"/>
        <v>701.8876565475565</v>
      </c>
      <c r="O2157">
        <f t="shared" si="284"/>
        <v>1800.6842152976749</v>
      </c>
      <c r="P2157">
        <f t="shared" si="285"/>
        <v>-3.6949627096807417E-3</v>
      </c>
      <c r="Q2157">
        <f t="shared" si="286"/>
        <v>4.3909830609188565E-2</v>
      </c>
      <c r="R2157">
        <f t="shared" si="287"/>
        <v>1</v>
      </c>
      <c r="S2157">
        <f t="shared" si="279"/>
        <v>16.440305975481643</v>
      </c>
      <c r="T2157" s="564">
        <f>IF((I2157-MAX(I$470:I2157))/MAX(I$470:I2157)&gt;T2156,T2156,(I2157-MAX(I$470:I2157))/MAX(I$470:I2157))</f>
        <v>-0.91338805338419748</v>
      </c>
      <c r="U2157" s="564">
        <f>IF((J2157-MAX(J$470:J2157))/MAX(J$470:J2157)&gt;U2156,U2156,(J2157-MAX(J$470:J2157))/MAX(J$470:J2157))</f>
        <v>-0.8283551177402233</v>
      </c>
      <c r="V2157" s="564">
        <f>IF((K2157-MAX(K$470:K2157))/MAX(K$470:K2157)&gt;V2156,V2156,(K2157-MAX(K$470:K2157))/MAX(K$470:K2157))</f>
        <v>-0.84885940676762139</v>
      </c>
      <c r="W2157" s="564">
        <f>IF((N2157-MAX(N$470:N2157))/MAX(N$470:N2157)&gt;W2156,W2156,(N2157-MAX(N$470:N2157))/MAX(N$470:N2157))</f>
        <v>-0.62788758315546067</v>
      </c>
      <c r="X2157" s="564">
        <f>IF((O2157-MAX(O$470:O2157))/MAX(O$470:O2157)&gt;X2156,X2156,(O2157-MAX(O$470:O2157))/MAX(O$470:O2157))</f>
        <v>-0.62788758315546067</v>
      </c>
    </row>
    <row r="2158" spans="1:24">
      <c r="A2158" s="799">
        <v>42560</v>
      </c>
      <c r="B2158">
        <v>653.69799999999998</v>
      </c>
      <c r="C2158">
        <v>545.04791</v>
      </c>
      <c r="D2158">
        <v>1.803542</v>
      </c>
      <c r="E2158">
        <f>LN(D2158/参数实验室!$E$53)/参数实验室!$E$55</f>
        <v>2.794141875454998E-3</v>
      </c>
      <c r="F2158">
        <f t="shared" si="278"/>
        <v>0.83379161325260287</v>
      </c>
      <c r="G2158">
        <f>LN(F2158/参数实验室!$E$58)/参数实验室!$E$59</f>
        <v>-0.2859336741320368</v>
      </c>
      <c r="H2158" s="856">
        <f>INDEX(神经网络!$G$10:$BO$70,MATCH(ROUND(G2158*2,1)/2,神经网络!$E$10:$E$70,0),MATCH(ROUND(E2158*2,1)/2,神经网络!$G$8:$BO$8,0))</f>
        <v>-0.31265452478407557</v>
      </c>
      <c r="I2158">
        <f t="shared" si="280"/>
        <v>876.04395557251007</v>
      </c>
      <c r="J2158">
        <f t="shared" si="281"/>
        <v>260.84274370535843</v>
      </c>
      <c r="K2158">
        <f t="shared" si="282"/>
        <v>3.3585138046319121</v>
      </c>
      <c r="L2158" s="4">
        <f>MIN(MAX(L2157*(1+MAX(MIN(((B2158-B2157)/B2157)/($K$7*卓尔金历!$N$40),0),-卓尔金历!$M$43))+MIN(MAX(((B2158-B2157)/B2157)/($K$7*卓尔金历!$N$40),0),卓尔金历!$M$43),0),1)</f>
        <v>0.53932243718662476</v>
      </c>
      <c r="M2158" s="4">
        <f>MIN(MAX(M2157*(1+MAX(MIN(((B2158-B2157)/B2157)/($K$7*30),0),-卓尔金历!$M$43))+MIN(MAX(((B2158-B2157)/B2157)/($K$7*7),0),卓尔金历!$M$43),0),1)</f>
        <v>1</v>
      </c>
      <c r="N2158">
        <f t="shared" si="283"/>
        <v>700.99025749203417</v>
      </c>
      <c r="O2158">
        <f t="shared" si="284"/>
        <v>1795.6115666429678</v>
      </c>
      <c r="P2158">
        <f t="shared" si="285"/>
        <v>1.6071922630945808E-2</v>
      </c>
      <c r="Q2158">
        <f t="shared" si="286"/>
        <v>4.3778270354969576E-2</v>
      </c>
      <c r="R2158">
        <f t="shared" si="287"/>
        <v>1</v>
      </c>
      <c r="S2158">
        <f t="shared" si="279"/>
        <v>16.368751485277588</v>
      </c>
      <c r="T2158" s="564">
        <f>IF((I2158-MAX(I$470:I2158))/MAX(I$470:I2158)&gt;T2157,T2157,(I2158-MAX(I$470:I2158))/MAX(I$470:I2158))</f>
        <v>-0.91338805338419748</v>
      </c>
      <c r="U2158" s="564">
        <f>IF((J2158-MAX(J$470:J2158))/MAX(J$470:J2158)&gt;U2157,U2157,(J2158-MAX(J$470:J2158))/MAX(J$470:J2158))</f>
        <v>-0.8283551177402233</v>
      </c>
      <c r="V2158" s="564">
        <f>IF((K2158-MAX(K$470:K2158))/MAX(K$470:K2158)&gt;V2157,V2157,(K2158-MAX(K$470:K2158))/MAX(K$470:K2158))</f>
        <v>-0.84885940676762139</v>
      </c>
      <c r="W2158" s="564">
        <f>IF((N2158-MAX(N$470:N2158))/MAX(N$470:N2158)&gt;W2157,W2157,(N2158-MAX(N$470:N2158))/MAX(N$470:N2158))</f>
        <v>-0.62788758315546067</v>
      </c>
      <c r="X2158" s="564">
        <f>IF((O2158-MAX(O$470:O2158))/MAX(O$470:O2158)&gt;X2157,X2157,(O2158-MAX(O$470:O2158))/MAX(O$470:O2158))</f>
        <v>-0.62788758315546067</v>
      </c>
    </row>
    <row r="2159" spans="1:24">
      <c r="A2159" s="799">
        <v>42561</v>
      </c>
      <c r="B2159">
        <v>647.31700000000001</v>
      </c>
      <c r="C2159">
        <v>570.35026300000004</v>
      </c>
      <c r="D2159">
        <v>1.7964549999999999</v>
      </c>
      <c r="E2159">
        <f>LN(D2159/参数实验室!$E$53)/参数实验室!$E$55</f>
        <v>-1.8508186846689155E-3</v>
      </c>
      <c r="F2159">
        <f t="shared" si="278"/>
        <v>0.88109884801418781</v>
      </c>
      <c r="G2159">
        <f>LN(F2159/参数实验室!$E$58)/参数实验室!$E$59</f>
        <v>-0.25696891489397716</v>
      </c>
      <c r="H2159" s="856">
        <f>INDEX(神经网络!$G$10:$BO$70,MATCH(ROUND(G2159*2,1)/2,神经网络!$E$10:$E$70,0),MATCH(ROUND(E2159*2,1)/2,神经网络!$G$8:$BO$8,0))</f>
        <v>-0.22543055047793598</v>
      </c>
      <c r="I2159">
        <f t="shared" si="280"/>
        <v>878.71759110350285</v>
      </c>
      <c r="J2159">
        <f t="shared" si="281"/>
        <v>258.29655640237775</v>
      </c>
      <c r="K2159">
        <f t="shared" si="282"/>
        <v>3.4019717620029946</v>
      </c>
      <c r="L2159" s="4">
        <f>MIN(MAX(L2158*(1+MAX(MIN(((B2159-B2158)/B2158)/($K$7*卓尔金历!$N$40),0),-卓尔金历!$M$43))+MIN(MAX(((B2159-B2158)/B2158)/($K$7*卓尔金历!$N$40),0),卓尔金历!$M$43),0),1)</f>
        <v>0.45888538336811241</v>
      </c>
      <c r="M2159" s="4">
        <f>MIN(MAX(M2158*(1+MAX(MIN(((B2159-B2158)/B2158)/($K$7*30),0),-卓尔金历!$M$43))+MIN(MAX(((B2159-B2158)/B2158)/($K$7*7),0),卓尔金历!$M$43),0),1)</f>
        <v>0.92542767714420315</v>
      </c>
      <c r="N2159">
        <f t="shared" si="283"/>
        <v>702.14407407678709</v>
      </c>
      <c r="O2159">
        <f t="shared" si="284"/>
        <v>1801.0916693865577</v>
      </c>
      <c r="P2159">
        <f t="shared" si="285"/>
        <v>-9.7613882863340131E-3</v>
      </c>
      <c r="Q2159">
        <f t="shared" si="286"/>
        <v>4.3772474215138635E-2</v>
      </c>
      <c r="R2159">
        <f t="shared" si="287"/>
        <v>1</v>
      </c>
      <c r="S2159">
        <f t="shared" si="279"/>
        <v>16.418707968957026</v>
      </c>
      <c r="T2159" s="564">
        <f>IF((I2159-MAX(I$470:I2159))/MAX(I$470:I2159)&gt;T2158,T2158,(I2159-MAX(I$470:I2159))/MAX(I$470:I2159))</f>
        <v>-0.91338805338419748</v>
      </c>
      <c r="U2159" s="564">
        <f>IF((J2159-MAX(J$470:J2159))/MAX(J$470:J2159)&gt;U2158,U2158,(J2159-MAX(J$470:J2159))/MAX(J$470:J2159))</f>
        <v>-0.8283551177402233</v>
      </c>
      <c r="V2159" s="564">
        <f>IF((K2159-MAX(K$470:K2159))/MAX(K$470:K2159)&gt;V2158,V2158,(K2159-MAX(K$470:K2159))/MAX(K$470:K2159))</f>
        <v>-0.84885940676762139</v>
      </c>
      <c r="W2159" s="564">
        <f>IF((N2159-MAX(N$470:N2159))/MAX(N$470:N2159)&gt;W2158,W2158,(N2159-MAX(N$470:N2159))/MAX(N$470:N2159))</f>
        <v>-0.62788758315546067</v>
      </c>
      <c r="X2159" s="564">
        <f>IF((O2159-MAX(O$470:O2159))/MAX(O$470:O2159)&gt;X2158,X2158,(O2159-MAX(O$470:O2159))/MAX(O$470:O2159))</f>
        <v>-0.62788758315546067</v>
      </c>
    </row>
    <row r="2160" spans="1:24">
      <c r="A2160" s="799">
        <v>42562</v>
      </c>
      <c r="B2160">
        <v>646.92100000000005</v>
      </c>
      <c r="C2160">
        <v>604.98581899999999</v>
      </c>
      <c r="D2160">
        <v>1.7950470000000001</v>
      </c>
      <c r="E2160">
        <f>LN(D2160/参数实验室!$E$53)/参数实验室!$E$55</f>
        <v>-2.775831480213483E-3</v>
      </c>
      <c r="F2160">
        <f t="shared" si="278"/>
        <v>0.93517727666902128</v>
      </c>
      <c r="G2160">
        <f>LN(F2160/参数实验室!$E$58)/参数实验室!$E$59</f>
        <v>-0.22570530539099665</v>
      </c>
      <c r="H2160" s="856">
        <f>INDEX(神经网络!$G$10:$BO$70,MATCH(ROUND(G2160*2,1)/2,神经网络!$E$10:$E$70,0),MATCH(ROUND(E2160*2,1)/2,神经网络!$G$8:$BO$8,0))</f>
        <v>-0.22543055047793598</v>
      </c>
      <c r="I2160">
        <f t="shared" si="280"/>
        <v>878.83877370329515</v>
      </c>
      <c r="J2160">
        <f t="shared" si="281"/>
        <v>258.13854195762298</v>
      </c>
      <c r="K2160">
        <f t="shared" si="282"/>
        <v>3.4045236601962707</v>
      </c>
      <c r="L2160" s="4">
        <f>MIN(MAX(L2159*(1+MAX(MIN(((B2160-B2159)/B2159)/($K$7*卓尔金历!$N$40),0),-卓尔金历!$M$43))+MIN(MAX(((B2160-B2159)/B2159)/($K$7*卓尔金历!$N$40),0),卓尔金历!$M$43),0),1)</f>
        <v>0.45459616184881418</v>
      </c>
      <c r="M2160" s="4">
        <f>MIN(MAX(M2159*(1+MAX(MIN(((B2160-B2159)/B2159)/($K$7*30),0),-卓尔金历!$M$43))+MIN(MAX(((B2160-B2159)/B2159)/($K$7*7),0),卓尔金历!$M$43),0),1)</f>
        <v>0.92110267088858122</v>
      </c>
      <c r="N2160">
        <f t="shared" si="283"/>
        <v>702.18850869000232</v>
      </c>
      <c r="O2160">
        <f t="shared" si="284"/>
        <v>1801.3215324795608</v>
      </c>
      <c r="P2160">
        <f t="shared" si="285"/>
        <v>-6.1175590939208785E-4</v>
      </c>
      <c r="Q2160">
        <f t="shared" si="286"/>
        <v>4.3566750464865293E-2</v>
      </c>
      <c r="R2160">
        <f t="shared" si="287"/>
        <v>1</v>
      </c>
      <c r="S2160">
        <f t="shared" si="279"/>
        <v>16.420972247875593</v>
      </c>
      <c r="T2160" s="564">
        <f>IF((I2160-MAX(I$470:I2160))/MAX(I$470:I2160)&gt;T2159,T2159,(I2160-MAX(I$470:I2160))/MAX(I$470:I2160))</f>
        <v>-0.91338805338419748</v>
      </c>
      <c r="U2160" s="564">
        <f>IF((J2160-MAX(J$470:J2160))/MAX(J$470:J2160)&gt;U2159,U2159,(J2160-MAX(J$470:J2160))/MAX(J$470:J2160))</f>
        <v>-0.8283551177402233</v>
      </c>
      <c r="V2160" s="564">
        <f>IF((K2160-MAX(K$470:K2160))/MAX(K$470:K2160)&gt;V2159,V2159,(K2160-MAX(K$470:K2160))/MAX(K$470:K2160))</f>
        <v>-0.84885940676762139</v>
      </c>
      <c r="W2160" s="564">
        <f>IF((N2160-MAX(N$470:N2160))/MAX(N$470:N2160)&gt;W2159,W2159,(N2160-MAX(N$470:N2160))/MAX(N$470:N2160))</f>
        <v>-0.62788758315546067</v>
      </c>
      <c r="X2160" s="564">
        <f>IF((O2160-MAX(O$470:O2160))/MAX(O$470:O2160)&gt;X2159,X2159,(O2160-MAX(O$470:O2160))/MAX(O$470:O2160))</f>
        <v>-0.62788758315546067</v>
      </c>
    </row>
    <row r="2161" spans="1:24">
      <c r="A2161" s="799">
        <v>42563</v>
      </c>
      <c r="B2161">
        <v>648.47299999999996</v>
      </c>
      <c r="C2161">
        <v>637.90673200000003</v>
      </c>
      <c r="D2161">
        <v>1.8467629999999999</v>
      </c>
      <c r="E2161">
        <f>LN(D2161/参数实验室!$E$53)/参数实验室!$E$55</f>
        <v>3.0732902063767383E-2</v>
      </c>
      <c r="F2161">
        <f t="shared" si="278"/>
        <v>0.98370592453348105</v>
      </c>
      <c r="G2161">
        <f>LN(F2161/参数实验室!$E$58)/参数实验室!$E$59</f>
        <v>-0.19915247581518131</v>
      </c>
      <c r="H2161" s="856">
        <f>INDEX(神经网络!$G$10:$BO$70,MATCH(ROUND(G2161*2,1)/2,神经网络!$E$10:$E$70,0),MATCH(ROUND(E2161*2,1)/2,神经网络!$G$8:$BO$8,0))</f>
        <v>-8.6595554665327659E-2</v>
      </c>
      <c r="I2161">
        <f t="shared" si="280"/>
        <v>878.36347957549617</v>
      </c>
      <c r="J2161">
        <f t="shared" si="281"/>
        <v>258.75783089262154</v>
      </c>
      <c r="K2161">
        <f t="shared" si="282"/>
        <v>3.3945387335542958</v>
      </c>
      <c r="L2161" s="4">
        <f>MIN(MAX(L2160*(1+MAX(MIN(((B2161-B2160)/B2160)/($K$7*卓尔金历!$N$40),0),-卓尔金历!$M$43))+MIN(MAX(((B2161-B2160)/B2160)/($K$7*卓尔金历!$N$40),0),卓尔金历!$M$43),0),1)</f>
        <v>0.49125144225710698</v>
      </c>
      <c r="M2161" s="4">
        <f>MIN(MAX(M2160*(1+MAX(MIN(((B2161-B2160)/B2160)/($K$7*30),0),-卓尔金历!$M$43))+MIN(MAX(((B2161-B2160)/B2160)/($K$7*7),0),卓尔金历!$M$43),0),1)</f>
        <v>0.99964970033492295</v>
      </c>
      <c r="N2161">
        <f t="shared" si="283"/>
        <v>702.01587215054747</v>
      </c>
      <c r="O2161">
        <f t="shared" si="284"/>
        <v>1800.4242017898691</v>
      </c>
      <c r="P2161">
        <f t="shared" si="285"/>
        <v>2.3990564535699213E-3</v>
      </c>
      <c r="Q2161">
        <f t="shared" si="286"/>
        <v>4.1491926254902632E-2</v>
      </c>
      <c r="R2161">
        <f t="shared" si="287"/>
        <v>1</v>
      </c>
      <c r="S2161">
        <f t="shared" si="279"/>
        <v>16.412091447533481</v>
      </c>
      <c r="T2161" s="564">
        <f>IF((I2161-MAX(I$470:I2161))/MAX(I$470:I2161)&gt;T2160,T2160,(I2161-MAX(I$470:I2161))/MAX(I$470:I2161))</f>
        <v>-0.91338805338419748</v>
      </c>
      <c r="U2161" s="564">
        <f>IF((J2161-MAX(J$470:J2161))/MAX(J$470:J2161)&gt;U2160,U2160,(J2161-MAX(J$470:J2161))/MAX(J$470:J2161))</f>
        <v>-0.8283551177402233</v>
      </c>
      <c r="V2161" s="564">
        <f>IF((K2161-MAX(K$470:K2161))/MAX(K$470:K2161)&gt;V2160,V2160,(K2161-MAX(K$470:K2161))/MAX(K$470:K2161))</f>
        <v>-0.84885940676762139</v>
      </c>
      <c r="W2161" s="564">
        <f>IF((N2161-MAX(N$470:N2161))/MAX(N$470:N2161)&gt;W2160,W2160,(N2161-MAX(N$470:N2161))/MAX(N$470:N2161))</f>
        <v>-0.62788758315546067</v>
      </c>
      <c r="X2161" s="564">
        <f>IF((O2161-MAX(O$470:O2161))/MAX(O$470:O2161)&gt;X2160,X2160,(O2161-MAX(O$470:O2161))/MAX(O$470:O2161))</f>
        <v>-0.62788758315546067</v>
      </c>
    </row>
    <row r="2162" spans="1:24">
      <c r="A2162" s="799">
        <v>42564</v>
      </c>
      <c r="B2162">
        <v>667.68399999999997</v>
      </c>
      <c r="C2162">
        <v>684.08699799999999</v>
      </c>
      <c r="D2162">
        <v>1.8137700000000001</v>
      </c>
      <c r="E2162">
        <f>LN(D2162/参数实验室!$E$53)/参数实验室!$E$55</f>
        <v>9.4656970722996111E-3</v>
      </c>
      <c r="F2162">
        <f t="shared" si="278"/>
        <v>1.0245670077461793</v>
      </c>
      <c r="G2162">
        <f>LN(F2162/参数实验室!$E$58)/参数实验室!$E$59</f>
        <v>-0.17779176880740957</v>
      </c>
      <c r="H2162" s="856">
        <f>INDEX(神经网络!$G$10:$BO$70,MATCH(ROUND(G2162*2,1)/2,神经网络!$E$10:$E$70,0),MATCH(ROUND(E2162*2,1)/2,神经网络!$G$8:$BO$8,0))</f>
        <v>-0.13441006158362648</v>
      </c>
      <c r="I2162">
        <f t="shared" si="280"/>
        <v>876.11013326475893</v>
      </c>
      <c r="J2162">
        <f t="shared" si="281"/>
        <v>266.42352659510749</v>
      </c>
      <c r="K2162">
        <f t="shared" si="282"/>
        <v>3.2884112918308901</v>
      </c>
      <c r="L2162" s="4">
        <f>MIN(MAX(L2161*(1+MAX(MIN(((B2162-B2161)/B2161)/($K$7*卓尔金历!$N$40),0),-卓尔金历!$M$43))+MIN(MAX(((B2162-B2161)/B2161)/($K$7*卓尔金历!$N$40),0),卓尔金历!$M$43),0),1)</f>
        <v>0.94389271580653</v>
      </c>
      <c r="M2162" s="4">
        <f>MIN(MAX(M2161*(1+MAX(MIN(((B2162-B2161)/B2161)/($K$7*30),0),-卓尔金历!$M$43))+MIN(MAX(((B2162-B2161)/B2161)/($K$7*7),0),卓尔金历!$M$43),0),1)</f>
        <v>1</v>
      </c>
      <c r="N2162">
        <f t="shared" si="283"/>
        <v>701.1311550093094</v>
      </c>
      <c r="O2162">
        <f t="shared" si="284"/>
        <v>1795.8070265899637</v>
      </c>
      <c r="P2162">
        <f t="shared" si="285"/>
        <v>2.9624980531186361E-2</v>
      </c>
      <c r="Q2162">
        <f t="shared" si="286"/>
        <v>4.0253004115983274E-2</v>
      </c>
      <c r="R2162">
        <f t="shared" si="287"/>
        <v>0.36077866418666166</v>
      </c>
      <c r="S2162">
        <f t="shared" si="279"/>
        <v>16.369988005650111</v>
      </c>
      <c r="T2162" s="564">
        <f>IF((I2162-MAX(I$470:I2162))/MAX(I$470:I2162)&gt;T2161,T2161,(I2162-MAX(I$470:I2162))/MAX(I$470:I2162))</f>
        <v>-0.91338805338419748</v>
      </c>
      <c r="U2162" s="564">
        <f>IF((J2162-MAX(J$470:J2162))/MAX(J$470:J2162)&gt;U2161,U2161,(J2162-MAX(J$470:J2162))/MAX(J$470:J2162))</f>
        <v>-0.8283551177402233</v>
      </c>
      <c r="V2162" s="564">
        <f>IF((K2162-MAX(K$470:K2162))/MAX(K$470:K2162)&gt;V2161,V2161,(K2162-MAX(K$470:K2162))/MAX(K$470:K2162))</f>
        <v>-0.84885940676762139</v>
      </c>
      <c r="W2162" s="564">
        <f>IF((N2162-MAX(N$470:N2162))/MAX(N$470:N2162)&gt;W2161,W2161,(N2162-MAX(N$470:N2162))/MAX(N$470:N2162))</f>
        <v>-0.62788758315546067</v>
      </c>
      <c r="X2162" s="564">
        <f>IF((O2162-MAX(O$470:O2162))/MAX(O$470:O2162)&gt;X2161,X2161,(O2162-MAX(O$470:O2162))/MAX(O$470:O2162))</f>
        <v>-0.62788758315546067</v>
      </c>
    </row>
    <row r="2163" spans="1:24">
      <c r="A2163" s="799">
        <v>42565</v>
      </c>
      <c r="B2163">
        <v>656.24</v>
      </c>
      <c r="C2163">
        <v>715.96719700000006</v>
      </c>
      <c r="D2163">
        <v>1.819674</v>
      </c>
      <c r="E2163">
        <f>LN(D2163/参数实验室!$E$53)/参数实验室!$E$55</f>
        <v>1.3299673477376662E-2</v>
      </c>
      <c r="F2163">
        <f t="shared" si="278"/>
        <v>1.0910142585029867</v>
      </c>
      <c r="G2163">
        <f>LN(F2163/参数实验室!$E$58)/参数实验室!$E$59</f>
        <v>-0.14481115625125887</v>
      </c>
      <c r="H2163" s="856">
        <f>INDEX(神经网络!$G$10:$BO$70,MATCH(ROUND(G2163*2,1)/2,神经网络!$E$10:$E$70,0),MATCH(ROUND(E2163*2,1)/2,神经网络!$G$8:$BO$8,0))</f>
        <v>-4.1248771334708077E-2</v>
      </c>
      <c r="I2163">
        <f t="shared" si="280"/>
        <v>878.12848737562672</v>
      </c>
      <c r="J2163">
        <f t="shared" si="281"/>
        <v>261.85706875224412</v>
      </c>
      <c r="K2163">
        <f t="shared" si="282"/>
        <v>3.3534648942643872</v>
      </c>
      <c r="L2163" s="4">
        <f>MIN(MAX(L2162*(1+MAX(MIN(((B2163-B2162)/B2162)/($K$7*卓尔金历!$N$40),0),-卓尔金历!$M$43))+MIN(MAX(((B2163-B2162)/B2162)/($K$7*卓尔金历!$N$40),0),卓尔金历!$M$43),0),1)</f>
        <v>0.69670573500937327</v>
      </c>
      <c r="M2163" s="4">
        <f>MIN(MAX(M2162*(1+MAX(MIN(((B2163-B2162)/B2162)/($K$7*30),0),-卓尔金历!$M$43))+MIN(MAX(((B2163-B2162)/B2162)/($K$7*7),0),卓尔金历!$M$43),0),1)</f>
        <v>0.86905981121702891</v>
      </c>
      <c r="N2163">
        <f t="shared" si="283"/>
        <v>702.65577131487385</v>
      </c>
      <c r="O2163">
        <f t="shared" si="284"/>
        <v>1799.9441485759135</v>
      </c>
      <c r="P2163">
        <f t="shared" si="285"/>
        <v>-1.71398445971447E-2</v>
      </c>
      <c r="Q2163">
        <f t="shared" si="286"/>
        <v>3.0746250395215627E-2</v>
      </c>
      <c r="R2163">
        <f t="shared" si="287"/>
        <v>0.64813754023790793</v>
      </c>
      <c r="S2163">
        <f t="shared" si="279"/>
        <v>16.383593924221245</v>
      </c>
      <c r="T2163" s="564">
        <f>IF((I2163-MAX(I$470:I2163))/MAX(I$470:I2163)&gt;T2162,T2162,(I2163-MAX(I$470:I2163))/MAX(I$470:I2163))</f>
        <v>-0.91338805338419748</v>
      </c>
      <c r="U2163" s="564">
        <f>IF((J2163-MAX(J$470:J2163))/MAX(J$470:J2163)&gt;U2162,U2162,(J2163-MAX(J$470:J2163))/MAX(J$470:J2163))</f>
        <v>-0.8283551177402233</v>
      </c>
      <c r="V2163" s="564">
        <f>IF((K2163-MAX(K$470:K2163))/MAX(K$470:K2163)&gt;V2162,V2162,(K2163-MAX(K$470:K2163))/MAX(K$470:K2163))</f>
        <v>-0.84885940676762139</v>
      </c>
      <c r="W2163" s="564">
        <f>IF((N2163-MAX(N$470:N2163))/MAX(N$470:N2163)&gt;W2162,W2162,(N2163-MAX(N$470:N2163))/MAX(N$470:N2163))</f>
        <v>-0.62788758315546067</v>
      </c>
      <c r="X2163" s="564">
        <f>IF((O2163-MAX(O$470:O2163))/MAX(O$470:O2163)&gt;X2162,X2162,(O2163-MAX(O$470:O2163))/MAX(O$470:O2163))</f>
        <v>-0.62788758315546067</v>
      </c>
    </row>
    <row r="2164" spans="1:24">
      <c r="A2164" s="799">
        <v>42566</v>
      </c>
      <c r="B2164">
        <v>664.50199999999995</v>
      </c>
      <c r="C2164">
        <v>762.95615999999995</v>
      </c>
      <c r="D2164">
        <v>1.834552</v>
      </c>
      <c r="E2164">
        <f>LN(D2164/参数实验室!$E$53)/参数实验室!$E$55</f>
        <v>2.2906340252566354E-2</v>
      </c>
      <c r="F2164">
        <f t="shared" si="278"/>
        <v>1.1481623230629856</v>
      </c>
      <c r="G2164">
        <f>LN(F2164/参数实验室!$E$58)/参数实验室!$E$59</f>
        <v>-0.1180147811964942</v>
      </c>
      <c r="H2164" s="856">
        <f>INDEX(神经网络!$G$10:$BO$70,MATCH(ROUND(G2164*2,1)/2,神经网络!$E$10:$E$70,0),MATCH(ROUND(E2164*2,1)/2,神经网络!$G$8:$BO$8,0))</f>
        <v>5.2233171610684213E-2</v>
      </c>
      <c r="I2164">
        <f t="shared" si="280"/>
        <v>877.67245930605657</v>
      </c>
      <c r="J2164">
        <f t="shared" si="281"/>
        <v>265.15382466781011</v>
      </c>
      <c r="K2164">
        <f t="shared" si="282"/>
        <v>3.3100501582642519</v>
      </c>
      <c r="L2164" s="4">
        <f>MIN(MAX(L2163*(1+MAX(MIN(((B2164-B2163)/B2163)/($K$7*卓尔金历!$N$40),0),-卓尔金历!$M$43))+MIN(MAX(((B2164-B2163)/B2163)/($K$7*卓尔金历!$N$40),0),卓尔金历!$M$43),0),1)</f>
        <v>0.88906741907573572</v>
      </c>
      <c r="M2164" s="4">
        <f>MIN(MAX(M2163*(1+MAX(MIN(((B2164-B2163)/B2163)/($K$7*30),0),-卓尔金历!$M$43))+MIN(MAX(((B2164-B2163)/B2163)/($K$7*7),0),卓尔金历!$M$43),0),1)</f>
        <v>1</v>
      </c>
      <c r="N2164">
        <f t="shared" si="283"/>
        <v>702.40154206725572</v>
      </c>
      <c r="O2164">
        <f t="shared" si="284"/>
        <v>1799.1318004082461</v>
      </c>
      <c r="P2164">
        <f t="shared" si="285"/>
        <v>1.2589906131902875E-2</v>
      </c>
      <c r="Q2164">
        <f t="shared" si="286"/>
        <v>2.284543253039362E-2</v>
      </c>
      <c r="R2164">
        <f t="shared" si="287"/>
        <v>0.64492239834519094</v>
      </c>
      <c r="S2164">
        <f t="shared" si="279"/>
        <v>16.378079376989458</v>
      </c>
      <c r="T2164" s="564">
        <f>IF((I2164-MAX(I$470:I2164))/MAX(I$470:I2164)&gt;T2163,T2163,(I2164-MAX(I$470:I2164))/MAX(I$470:I2164))</f>
        <v>-0.91338805338419748</v>
      </c>
      <c r="U2164" s="564">
        <f>IF((J2164-MAX(J$470:J2164))/MAX(J$470:J2164)&gt;U2163,U2163,(J2164-MAX(J$470:J2164))/MAX(J$470:J2164))</f>
        <v>-0.8283551177402233</v>
      </c>
      <c r="V2164" s="564">
        <f>IF((K2164-MAX(K$470:K2164))/MAX(K$470:K2164)&gt;V2163,V2163,(K2164-MAX(K$470:K2164))/MAX(K$470:K2164))</f>
        <v>-0.84885940676762139</v>
      </c>
      <c r="W2164" s="564">
        <f>IF((N2164-MAX(N$470:N2164))/MAX(N$470:N2164)&gt;W2163,W2163,(N2164-MAX(N$470:N2164))/MAX(N$470:N2164))</f>
        <v>-0.62788758315546067</v>
      </c>
      <c r="X2164" s="564">
        <f>IF((O2164-MAX(O$470:O2164))/MAX(O$470:O2164)&gt;X2163,X2163,(O2164-MAX(O$470:O2164))/MAX(O$470:O2164))</f>
        <v>-0.62788758315546067</v>
      </c>
    </row>
    <row r="2165" spans="1:24">
      <c r="A2165" s="799">
        <v>42567</v>
      </c>
      <c r="B2165">
        <v>664.65</v>
      </c>
      <c r="C2165">
        <v>805.43849299999999</v>
      </c>
      <c r="D2165">
        <v>1.8293520000000001</v>
      </c>
      <c r="E2165">
        <f>LN(D2165/参数实验室!$E$53)/参数实验室!$E$55</f>
        <v>1.9557605685470644E-2</v>
      </c>
      <c r="F2165">
        <f t="shared" si="278"/>
        <v>1.2118235056044535</v>
      </c>
      <c r="G2165">
        <f>LN(F2165/参数实验室!$E$58)/参数实验室!$E$59</f>
        <v>-8.9691783142060985E-2</v>
      </c>
      <c r="H2165" s="856">
        <f>INDEX(神经网络!$G$10:$BO$70,MATCH(ROUND(G2165*2,1)/2,神经网络!$E$10:$E$70,0),MATCH(ROUND(E2165*2,1)/2,神经网络!$G$8:$BO$8,0))</f>
        <v>5.2233171610684213E-2</v>
      </c>
      <c r="I2165">
        <f t="shared" si="280"/>
        <v>877.68266974213554</v>
      </c>
      <c r="J2165">
        <f t="shared" si="281"/>
        <v>265.21288057140532</v>
      </c>
      <c r="K2165">
        <f t="shared" si="282"/>
        <v>3.3093515965406901</v>
      </c>
      <c r="L2165" s="4">
        <f>MIN(MAX(L2164*(1+MAX(MIN(((B2165-B2164)/B2164)/($K$7*卓尔金历!$N$40),0),-卓尔金历!$M$43))+MIN(MAX(((B2165-B2164)/B2164)/($K$7*卓尔金历!$N$40),0),卓尔金历!$M$43),0),1)</f>
        <v>0.8924704155678832</v>
      </c>
      <c r="M2165" s="4">
        <f>MIN(MAX(M2164*(1+MAX(MIN(((B2165-B2164)/B2164)/($K$7*30),0),-卓尔金历!$M$43))+MIN(MAX(((B2165-B2164)/B2164)/($K$7*7),0),卓尔金历!$M$43),0),1)</f>
        <v>1</v>
      </c>
      <c r="N2165">
        <f t="shared" si="283"/>
        <v>702.40880700624984</v>
      </c>
      <c r="O2165">
        <f t="shared" si="284"/>
        <v>1799.1527306767659</v>
      </c>
      <c r="P2165">
        <f t="shared" si="285"/>
        <v>2.2272318217255113E-4</v>
      </c>
      <c r="Q2165">
        <f t="shared" si="286"/>
        <v>2.0640083818086092E-2</v>
      </c>
      <c r="R2165">
        <f t="shared" si="287"/>
        <v>1</v>
      </c>
      <c r="S2165">
        <f t="shared" si="279"/>
        <v>16.378202257286372</v>
      </c>
      <c r="T2165" s="564">
        <f>IF((I2165-MAX(I$470:I2165))/MAX(I$470:I2165)&gt;T2164,T2164,(I2165-MAX(I$470:I2165))/MAX(I$470:I2165))</f>
        <v>-0.91338805338419748</v>
      </c>
      <c r="U2165" s="564">
        <f>IF((J2165-MAX(J$470:J2165))/MAX(J$470:J2165)&gt;U2164,U2164,(J2165-MAX(J$470:J2165))/MAX(J$470:J2165))</f>
        <v>-0.8283551177402233</v>
      </c>
      <c r="V2165" s="564">
        <f>IF((K2165-MAX(K$470:K2165))/MAX(K$470:K2165)&gt;V2164,V2164,(K2165-MAX(K$470:K2165))/MAX(K$470:K2165))</f>
        <v>-0.84885940676762139</v>
      </c>
      <c r="W2165" s="564">
        <f>IF((N2165-MAX(N$470:N2165))/MAX(N$470:N2165)&gt;W2164,W2164,(N2165-MAX(N$470:N2165))/MAX(N$470:N2165))</f>
        <v>-0.62788758315546067</v>
      </c>
      <c r="X2165" s="564">
        <f>IF((O2165-MAX(O$470:O2165))/MAX(O$470:O2165)&gt;X2164,X2164,(O2165-MAX(O$470:O2165))/MAX(O$470:O2165))</f>
        <v>-0.62788758315546067</v>
      </c>
    </row>
    <row r="2166" spans="1:24">
      <c r="A2166" s="799">
        <v>42568</v>
      </c>
      <c r="B2166">
        <v>666.03399999999999</v>
      </c>
      <c r="C2166">
        <v>853.77901699999995</v>
      </c>
      <c r="D2166">
        <v>1.868951</v>
      </c>
      <c r="E2166">
        <f>LN(D2166/参数实验室!$E$53)/参数实验室!$E$55</f>
        <v>4.4822617317656063E-2</v>
      </c>
      <c r="F2166">
        <f t="shared" si="278"/>
        <v>1.2818850343976433</v>
      </c>
      <c r="G2166">
        <f>LN(F2166/参数实验室!$E$58)/参数实验室!$E$59</f>
        <v>-6.0192139576624559E-2</v>
      </c>
      <c r="H2166" s="856">
        <f>INDEX(神经网络!$G$10:$BO$70,MATCH(ROUND(G2166*2,1)/2,神经网络!$E$10:$E$70,0),MATCH(ROUND(E2166*2,1)/2,神经网络!$G$8:$BO$8,0))</f>
        <v>0.18761624397632121</v>
      </c>
      <c r="I2166">
        <f t="shared" si="280"/>
        <v>877.77813096671935</v>
      </c>
      <c r="J2166">
        <f t="shared" si="281"/>
        <v>265.76513307529586</v>
      </c>
      <c r="K2166">
        <f t="shared" si="282"/>
        <v>3.3028340505375082</v>
      </c>
      <c r="L2166" s="4">
        <f>MIN(MAX(L2165*(1+MAX(MIN(((B2166-B2165)/B2165)/($K$7*卓尔金历!$N$40),0),-卓尔金历!$M$43))+MIN(MAX(((B2166-B2165)/B2165)/($K$7*卓尔金历!$N$40),0),卓尔金历!$M$43),0),1)</f>
        <v>0.924285945357328</v>
      </c>
      <c r="M2166" s="4">
        <f>MIN(MAX(M2165*(1+MAX(MIN(((B2166-B2165)/B2165)/($K$7*30),0),-卓尔金历!$M$43))+MIN(MAX(((B2166-B2165)/B2165)/($K$7*7),0),卓尔金历!$M$43),0),1)</f>
        <v>1</v>
      </c>
      <c r="N2166">
        <f t="shared" si="283"/>
        <v>702.47698955866315</v>
      </c>
      <c r="O2166">
        <f t="shared" si="284"/>
        <v>1799.3484156649795</v>
      </c>
      <c r="P2166">
        <f t="shared" si="285"/>
        <v>2.082298954336891E-3</v>
      </c>
      <c r="Q2166">
        <f t="shared" si="286"/>
        <v>1.913753169258979E-2</v>
      </c>
      <c r="R2166">
        <f t="shared" si="287"/>
        <v>1</v>
      </c>
      <c r="S2166">
        <f t="shared" si="279"/>
        <v>16.379983633742651</v>
      </c>
      <c r="T2166" s="564">
        <f>IF((I2166-MAX(I$470:I2166))/MAX(I$470:I2166)&gt;T2165,T2165,(I2166-MAX(I$470:I2166))/MAX(I$470:I2166))</f>
        <v>-0.91338805338419748</v>
      </c>
      <c r="U2166" s="564">
        <f>IF((J2166-MAX(J$470:J2166))/MAX(J$470:J2166)&gt;U2165,U2165,(J2166-MAX(J$470:J2166))/MAX(J$470:J2166))</f>
        <v>-0.8283551177402233</v>
      </c>
      <c r="V2166" s="564">
        <f>IF((K2166-MAX(K$470:K2166))/MAX(K$470:K2166)&gt;V2165,V2165,(K2166-MAX(K$470:K2166))/MAX(K$470:K2166))</f>
        <v>-0.84885940676762139</v>
      </c>
      <c r="W2166" s="564">
        <f>IF((N2166-MAX(N$470:N2166))/MAX(N$470:N2166)&gt;W2165,W2165,(N2166-MAX(N$470:N2166))/MAX(N$470:N2166))</f>
        <v>-0.62788758315546067</v>
      </c>
      <c r="X2166" s="564">
        <f>IF((O2166-MAX(O$470:O2166))/MAX(O$470:O2166)&gt;X2165,X2165,(O2166-MAX(O$470:O2166))/MAX(O$470:O2166))</f>
        <v>-0.62788758315546067</v>
      </c>
    </row>
    <row r="2167" spans="1:24">
      <c r="A2167" s="799">
        <v>42569</v>
      </c>
      <c r="B2167">
        <v>679.77599999999995</v>
      </c>
      <c r="C2167">
        <v>912.97532899999999</v>
      </c>
      <c r="D2167">
        <v>1.8515090000000001</v>
      </c>
      <c r="E2167">
        <f>LN(D2167/参数实验室!$E$53)/参数实验室!$E$55</f>
        <v>3.3760863214030178E-2</v>
      </c>
      <c r="F2167">
        <f t="shared" si="278"/>
        <v>1.3430531954643883</v>
      </c>
      <c r="G2167">
        <f>LN(F2167/参数实验室!$E$58)/参数实验室!$E$59</f>
        <v>-3.5726672745533948E-2</v>
      </c>
      <c r="H2167" s="856">
        <f>INDEX(神经网络!$G$10:$BO$70,MATCH(ROUND(G2167*2,1)/2,神经网络!$E$10:$E$70,0),MATCH(ROUND(E2167*2,1)/2,神经网络!$G$8:$BO$8,0))</f>
        <v>0.18761624397632121</v>
      </c>
      <c r="I2167">
        <f t="shared" si="280"/>
        <v>881.1760164518289</v>
      </c>
      <c r="J2167">
        <f t="shared" si="281"/>
        <v>271.24855352938789</v>
      </c>
      <c r="K2167">
        <f t="shared" si="282"/>
        <v>3.2485924993379167</v>
      </c>
      <c r="L2167" s="4">
        <f>MIN(MAX(L2166*(1+MAX(MIN(((B2167-B2166)/B2166)/($K$7*卓尔金历!$N$40),0),-卓尔金历!$M$43))+MIN(MAX(((B2167-B2166)/B2166)/($K$7*卓尔金历!$N$40),0),卓尔金历!$M$43),0),1)</f>
        <v>1</v>
      </c>
      <c r="M2167" s="4">
        <f>MIN(MAX(M2166*(1+MAX(MIN(((B2167-B2166)/B2166)/($K$7*30),0),-卓尔金历!$M$43))+MIN(MAX(((B2167-B2166)/B2166)/($K$7*7),0),卓尔金历!$M$43),0),1)</f>
        <v>1</v>
      </c>
      <c r="N2167">
        <f t="shared" si="283"/>
        <v>704.99039432250436</v>
      </c>
      <c r="O2167">
        <f t="shared" si="284"/>
        <v>1806.3137063786014</v>
      </c>
      <c r="P2167">
        <f t="shared" si="285"/>
        <v>2.0632580318722411E-2</v>
      </c>
      <c r="Q2167">
        <f t="shared" si="286"/>
        <v>1.9097659143922172E-2</v>
      </c>
      <c r="R2167">
        <f t="shared" si="287"/>
        <v>1.7658092831300848E-2</v>
      </c>
      <c r="S2167">
        <f t="shared" si="279"/>
        <v>16.443390668700481</v>
      </c>
      <c r="T2167" s="564">
        <f>IF((I2167-MAX(I$470:I2167))/MAX(I$470:I2167)&gt;T2166,T2166,(I2167-MAX(I$470:I2167))/MAX(I$470:I2167))</f>
        <v>-0.91338805338419748</v>
      </c>
      <c r="U2167" s="564">
        <f>IF((J2167-MAX(J$470:J2167))/MAX(J$470:J2167)&gt;U2166,U2166,(J2167-MAX(J$470:J2167))/MAX(J$470:J2167))</f>
        <v>-0.8283551177402233</v>
      </c>
      <c r="V2167" s="564">
        <f>IF((K2167-MAX(K$470:K2167))/MAX(K$470:K2167)&gt;V2166,V2166,(K2167-MAX(K$470:K2167))/MAX(K$470:K2167))</f>
        <v>-0.84885940676762139</v>
      </c>
      <c r="W2167" s="564">
        <f>IF((N2167-MAX(N$470:N2167))/MAX(N$470:N2167)&gt;W2166,W2166,(N2167-MAX(N$470:N2167))/MAX(N$470:N2167))</f>
        <v>-0.62788758315546067</v>
      </c>
      <c r="X2167" s="564">
        <f>IF((O2167-MAX(O$470:O2167))/MAX(O$470:O2167)&gt;X2166,X2166,(O2167-MAX(O$470:O2167))/MAX(O$470:O2167))</f>
        <v>-0.62788758315546067</v>
      </c>
    </row>
    <row r="2168" spans="1:24">
      <c r="A2168" s="799">
        <v>42570</v>
      </c>
      <c r="B2168">
        <v>671.24699999999996</v>
      </c>
      <c r="C2168">
        <v>1001.3562899999999</v>
      </c>
      <c r="D2168">
        <v>1.847227</v>
      </c>
      <c r="E2168">
        <f>LN(D2168/参数实验室!$E$53)/参数实验室!$E$55</f>
        <v>3.1029278344202254E-2</v>
      </c>
      <c r="F2168">
        <f t="shared" si="278"/>
        <v>1.4917851252966494</v>
      </c>
      <c r="G2168">
        <f>LN(F2168/参数实验室!$E$58)/参数实验室!$E$59</f>
        <v>1.9397670044930402E-2</v>
      </c>
      <c r="H2168" s="856">
        <f>INDEX(神经网络!$G$10:$BO$70,MATCH(ROUND(G2168*2,1)/2,神经网络!$E$10:$E$70,0),MATCH(ROUND(E2168*2,1)/2,神经网络!$G$8:$BO$8,0))</f>
        <v>1.0122874945979659</v>
      </c>
      <c r="I2168">
        <f t="shared" si="280"/>
        <v>879.10174594469981</v>
      </c>
      <c r="J2168">
        <f t="shared" si="281"/>
        <v>267.84525757152505</v>
      </c>
      <c r="K2168">
        <f t="shared" si="282"/>
        <v>3.2821254851224895</v>
      </c>
      <c r="L2168" s="4">
        <f>MIN(MAX(L2167*(1+MAX(MIN(((B2168-B2167)/B2167)/($K$7*卓尔金历!$N$40),0),-卓尔金历!$M$43))+MIN(MAX(((B2168-B2167)/B2167)/($K$7*卓尔金历!$N$40),0),卓尔金历!$M$43),0),1)</f>
        <v>0.80829724007470427</v>
      </c>
      <c r="M2168" s="4">
        <f>MIN(MAX(M2167*(1+MAX(MIN(((B2168-B2167)/B2167)/($K$7*30),0),-卓尔金历!$M$43))+MIN(MAX(((B2168-B2167)/B2167)/($K$7*7),0),卓尔金历!$M$43),0),1)</f>
        <v>0.90414862003735208</v>
      </c>
      <c r="N2168">
        <f t="shared" si="283"/>
        <v>703.33086120375151</v>
      </c>
      <c r="O2168">
        <f t="shared" si="284"/>
        <v>1802.0616804747972</v>
      </c>
      <c r="P2168">
        <f t="shared" si="285"/>
        <v>-1.2546780115802849E-2</v>
      </c>
      <c r="Q2168">
        <f t="shared" si="286"/>
        <v>1.9327293995003377E-2</v>
      </c>
      <c r="R2168">
        <f t="shared" si="287"/>
        <v>0.45940310879813495</v>
      </c>
      <c r="S2168">
        <f t="shared" si="279"/>
        <v>16.442707169682475</v>
      </c>
      <c r="T2168" s="564">
        <f>IF((I2168-MAX(I$470:I2168))/MAX(I$470:I2168)&gt;T2167,T2167,(I2168-MAX(I$470:I2168))/MAX(I$470:I2168))</f>
        <v>-0.91338805338419748</v>
      </c>
      <c r="U2168" s="564">
        <f>IF((J2168-MAX(J$470:J2168))/MAX(J$470:J2168)&gt;U2167,U2167,(J2168-MAX(J$470:J2168))/MAX(J$470:J2168))</f>
        <v>-0.8283551177402233</v>
      </c>
      <c r="V2168" s="564">
        <f>IF((K2168-MAX(K$470:K2168))/MAX(K$470:K2168)&gt;V2167,V2167,(K2168-MAX(K$470:K2168))/MAX(K$470:K2168))</f>
        <v>-0.84885940676762139</v>
      </c>
      <c r="W2168" s="564">
        <f>IF((N2168-MAX(N$470:N2168))/MAX(N$470:N2168)&gt;W2167,W2167,(N2168-MAX(N$470:N2168))/MAX(N$470:N2168))</f>
        <v>-0.62788758315546067</v>
      </c>
      <c r="X2168" s="564">
        <f>IF((O2168-MAX(O$470:O2168))/MAX(O$470:O2168)&gt;X2167,X2167,(O2168-MAX(O$470:O2168))/MAX(O$470:O2168))</f>
        <v>-0.62788758315546067</v>
      </c>
    </row>
    <row r="2169" spans="1:24">
      <c r="A2169" s="799">
        <v>42571</v>
      </c>
      <c r="B2169">
        <v>670.62800000000004</v>
      </c>
      <c r="C2169">
        <v>1079.2865770000001</v>
      </c>
      <c r="D2169">
        <v>1.8266389999999999</v>
      </c>
      <c r="E2169">
        <f>LN(D2169/参数实验室!$E$53)/参数实验室!$E$55</f>
        <v>1.780668718572663E-2</v>
      </c>
      <c r="F2169">
        <f t="shared" si="278"/>
        <v>1.6093670067459158</v>
      </c>
      <c r="G2169">
        <f>LN(F2169/参数实验室!$E$58)/参数实验室!$E$59</f>
        <v>5.9217015611747727E-2</v>
      </c>
      <c r="H2169" s="856">
        <f>INDEX(神经网络!$G$10:$BO$70,MATCH(ROUND(G2169*2,1)/2,神经网络!$E$10:$E$70,0),MATCH(ROUND(E2169*2,1)/2,神经网络!$G$8:$BO$8,0))</f>
        <v>0.96961959596350966</v>
      </c>
      <c r="I2169">
        <f t="shared" si="280"/>
        <v>878.281108544885</v>
      </c>
      <c r="J2169">
        <f t="shared" si="281"/>
        <v>267.59826024500177</v>
      </c>
      <c r="K2169">
        <f t="shared" si="282"/>
        <v>3.2820882607411854</v>
      </c>
      <c r="L2169" s="4">
        <f>MIN(MAX(L2168*(1+MAX(MIN(((B2169-B2168)/B2168)/($K$7*卓尔金历!$N$40),0),-卓尔金历!$M$43))+MIN(MAX(((B2169-B2168)/B2168)/($K$7*卓尔金历!$N$40),0),卓尔金历!$M$43),0),1)</f>
        <v>0.79690850565174343</v>
      </c>
      <c r="M2169" s="4">
        <f>MIN(MAX(M2168*(1+MAX(MIN(((B2169-B2168)/B2168)/($K$7*30),0),-卓尔金历!$M$43))+MIN(MAX(((B2169-B2168)/B2168)/($K$7*7),0),卓尔金历!$M$43),0),1)</f>
        <v>0.89777899015247198</v>
      </c>
      <c r="N2169">
        <f t="shared" si="283"/>
        <v>702.8001687244639</v>
      </c>
      <c r="O2169">
        <f t="shared" si="284"/>
        <v>1800.54070700529</v>
      </c>
      <c r="P2169">
        <f t="shared" si="285"/>
        <v>-9.2216427038022445E-4</v>
      </c>
      <c r="Q2169">
        <f t="shared" si="286"/>
        <v>1.8786431220384061E-2</v>
      </c>
      <c r="R2169">
        <f t="shared" si="287"/>
        <v>1</v>
      </c>
      <c r="S2169">
        <f t="shared" si="279"/>
        <v>16.435655703697556</v>
      </c>
      <c r="T2169" s="564">
        <f>IF((I2169-MAX(I$470:I2169))/MAX(I$470:I2169)&gt;T2168,T2168,(I2169-MAX(I$470:I2169))/MAX(I$470:I2169))</f>
        <v>-0.91338805338419748</v>
      </c>
      <c r="U2169" s="564">
        <f>IF((J2169-MAX(J$470:J2169))/MAX(J$470:J2169)&gt;U2168,U2168,(J2169-MAX(J$470:J2169))/MAX(J$470:J2169))</f>
        <v>-0.8283551177402233</v>
      </c>
      <c r="V2169" s="564">
        <f>IF((K2169-MAX(K$470:K2169))/MAX(K$470:K2169)&gt;V2168,V2168,(K2169-MAX(K$470:K2169))/MAX(K$470:K2169))</f>
        <v>-0.84885940676762139</v>
      </c>
      <c r="W2169" s="564">
        <f>IF((N2169-MAX(N$470:N2169))/MAX(N$470:N2169)&gt;W2168,W2168,(N2169-MAX(N$470:N2169))/MAX(N$470:N2169))</f>
        <v>-0.62788758315546067</v>
      </c>
      <c r="X2169" s="564">
        <f>IF((O2169-MAX(O$470:O2169))/MAX(O$470:O2169)&gt;X2168,X2168,(O2169-MAX(O$470:O2169))/MAX(O$470:O2169))</f>
        <v>-0.62788758315546067</v>
      </c>
    </row>
    <row r="2170" spans="1:24">
      <c r="A2170" s="799">
        <v>42572</v>
      </c>
      <c r="B2170">
        <v>663.55100000000004</v>
      </c>
      <c r="C2170">
        <v>1158.877162</v>
      </c>
      <c r="D2170">
        <v>1.8245640000000001</v>
      </c>
      <c r="E2170">
        <f>LN(D2170/参数实验室!$E$53)/参数实验室!$E$55</f>
        <v>1.6465765716947335E-2</v>
      </c>
      <c r="F2170">
        <f t="shared" si="278"/>
        <v>1.7464779075007044</v>
      </c>
      <c r="G2170">
        <f>LN(F2170/参数实验室!$E$58)/参数实验室!$E$59</f>
        <v>0.10212918579329497</v>
      </c>
      <c r="H2170" s="856">
        <f>INDEX(神经网络!$G$10:$BO$70,MATCH(ROUND(G2170*2,1)/2,神经网络!$E$10:$E$70,0),MATCH(ROUND(E2170*2,1)/2,神经网络!$G$8:$BO$8,0))</f>
        <v>1.0120229397945839</v>
      </c>
      <c r="I2170">
        <f t="shared" si="280"/>
        <v>869.29436312799862</v>
      </c>
      <c r="J2170">
        <f t="shared" si="281"/>
        <v>264.7743505845732</v>
      </c>
      <c r="K2170">
        <f t="shared" si="282"/>
        <v>3.2831517146912308</v>
      </c>
      <c r="L2170" s="4">
        <f>MIN(MAX(L2169*(1+MAX(MIN(((B2170-B2169)/B2169)/($K$7*卓尔金历!$N$40),0),-卓尔金历!$M$43))+MIN(MAX(((B2170-B2169)/B2169)/($K$7*卓尔金历!$N$40),0),卓尔金历!$M$43),0),1)</f>
        <v>0.66841769942226181</v>
      </c>
      <c r="M2170" s="4">
        <f>MIN(MAX(M2169*(1+MAX(MIN(((B2170-B2169)/B2169)/($K$7*30),0),-卓尔金历!$M$43))+MIN(MAX(((B2170-B2169)/B2169)/($K$7*7),0),卓尔金历!$M$43),0),1)</f>
        <v>0.8254015807996643</v>
      </c>
      <c r="N2170">
        <f t="shared" si="283"/>
        <v>697.06944836537616</v>
      </c>
      <c r="O2170">
        <f t="shared" si="284"/>
        <v>1784.0004870823543</v>
      </c>
      <c r="P2170">
        <f t="shared" si="285"/>
        <v>-1.0552795290384531E-2</v>
      </c>
      <c r="Q2170">
        <f t="shared" si="286"/>
        <v>1.8991810460725071E-2</v>
      </c>
      <c r="R2170">
        <f t="shared" si="287"/>
        <v>0.6174427356161386</v>
      </c>
      <c r="S2170">
        <f t="shared" si="279"/>
        <v>16.267482834975105</v>
      </c>
      <c r="T2170" s="564">
        <f>IF((I2170-MAX(I$470:I2170))/MAX(I$470:I2170)&gt;T2169,T2169,(I2170-MAX(I$470:I2170))/MAX(I$470:I2170))</f>
        <v>-0.91338805338419748</v>
      </c>
      <c r="U2170" s="564">
        <f>IF((J2170-MAX(J$470:J2170))/MAX(J$470:J2170)&gt;U2169,U2169,(J2170-MAX(J$470:J2170))/MAX(J$470:J2170))</f>
        <v>-0.8283551177402233</v>
      </c>
      <c r="V2170" s="564">
        <f>IF((K2170-MAX(K$470:K2170))/MAX(K$470:K2170)&gt;V2169,V2169,(K2170-MAX(K$470:K2170))/MAX(K$470:K2170))</f>
        <v>-0.84885940676762139</v>
      </c>
      <c r="W2170" s="564">
        <f>IF((N2170-MAX(N$470:N2170))/MAX(N$470:N2170)&gt;W2169,W2169,(N2170-MAX(N$470:N2170))/MAX(N$470:N2170))</f>
        <v>-0.62788758315546067</v>
      </c>
      <c r="X2170" s="564">
        <f>IF((O2170-MAX(O$470:O2170))/MAX(O$470:O2170)&gt;X2169,X2169,(O2170-MAX(O$470:O2170))/MAX(O$470:O2170))</f>
        <v>-0.62788758315546067</v>
      </c>
    </row>
    <row r="2171" spans="1:24">
      <c r="A2171" s="799">
        <v>42573</v>
      </c>
      <c r="B2171">
        <v>664.80899999999997</v>
      </c>
      <c r="C2171">
        <v>1226.703782</v>
      </c>
      <c r="D2171">
        <v>1.7803469999999999</v>
      </c>
      <c r="E2171">
        <f>LN(D2171/参数实验室!$E$53)/参数实验室!$E$55</f>
        <v>-1.2476843679305911E-2</v>
      </c>
      <c r="F2171">
        <f t="shared" si="278"/>
        <v>1.845197315319137</v>
      </c>
      <c r="G2171">
        <f>LN(F2171/参数实验室!$E$58)/参数实验室!$E$59</f>
        <v>0.13098832846697986</v>
      </c>
      <c r="H2171" s="856">
        <f>INDEX(神经网络!$G$10:$BO$70,MATCH(ROUND(G2171*2,1)/2,神经网络!$E$10:$E$70,0),MATCH(ROUND(E2171*2,1)/2,神经网络!$G$8:$BO$8,0))</f>
        <v>1.0539475037188322</v>
      </c>
      <c r="I2171">
        <f t="shared" si="280"/>
        <v>870.9622383370554</v>
      </c>
      <c r="J2171">
        <f t="shared" si="281"/>
        <v>265.27632576513258</v>
      </c>
      <c r="K2171">
        <f t="shared" si="282"/>
        <v>3.2832264086324021</v>
      </c>
      <c r="L2171" s="4">
        <f>MIN(MAX(L2170*(1+MAX(MIN(((B2171-B2170)/B2170)/($K$7*卓尔金历!$N$40),0),-卓尔金历!$M$43))+MIN(MAX(((B2171-B2170)/B2170)/($K$7*卓尔金历!$N$40),0),卓尔金历!$M$43),0),1)</f>
        <v>0.69738462553300218</v>
      </c>
      <c r="M2171" s="4">
        <f>MIN(MAX(M2170*(1+MAX(MIN(((B2171-B2170)/B2170)/($K$7*30),0),-卓尔金历!$M$43))+MIN(MAX(((B2171-B2170)/B2170)/($K$7*7),0),卓尔金历!$M$43),0),1)</f>
        <v>0.88747356532267929</v>
      </c>
      <c r="N2171">
        <f t="shared" si="283"/>
        <v>697.96341370298046</v>
      </c>
      <c r="O2171">
        <f t="shared" si="284"/>
        <v>1786.8257375461953</v>
      </c>
      <c r="P2171">
        <f t="shared" si="285"/>
        <v>1.8958603031265485E-3</v>
      </c>
      <c r="Q2171">
        <f t="shared" si="286"/>
        <v>1.4540250142185823E-2</v>
      </c>
      <c r="R2171">
        <f t="shared" si="287"/>
        <v>1</v>
      </c>
      <c r="S2171">
        <f t="shared" si="279"/>
        <v>16.286754255686741</v>
      </c>
      <c r="T2171" s="564">
        <f>IF((I2171-MAX(I$470:I2171))/MAX(I$470:I2171)&gt;T2170,T2170,(I2171-MAX(I$470:I2171))/MAX(I$470:I2171))</f>
        <v>-0.91338805338419748</v>
      </c>
      <c r="U2171" s="564">
        <f>IF((J2171-MAX(J$470:J2171))/MAX(J$470:J2171)&gt;U2170,U2170,(J2171-MAX(J$470:J2171))/MAX(J$470:J2171))</f>
        <v>-0.8283551177402233</v>
      </c>
      <c r="V2171" s="564">
        <f>IF((K2171-MAX(K$470:K2171))/MAX(K$470:K2171)&gt;V2170,V2170,(K2171-MAX(K$470:K2171))/MAX(K$470:K2171))</f>
        <v>-0.84885940676762139</v>
      </c>
      <c r="W2171" s="564">
        <f>IF((N2171-MAX(N$470:N2171))/MAX(N$470:N2171)&gt;W2170,W2170,(N2171-MAX(N$470:N2171))/MAX(N$470:N2171))</f>
        <v>-0.62788758315546067</v>
      </c>
      <c r="X2171" s="564">
        <f>IF((O2171-MAX(O$470:O2171))/MAX(O$470:O2171)&gt;X2170,X2170,(O2171-MAX(O$470:O2171))/MAX(O$470:O2171))</f>
        <v>-0.62788758315546067</v>
      </c>
    </row>
    <row r="2172" spans="1:24">
      <c r="A2172" s="799">
        <v>42574</v>
      </c>
      <c r="B2172">
        <v>652.98699999999997</v>
      </c>
      <c r="C2172">
        <v>1311.7178389999999</v>
      </c>
      <c r="D2172">
        <v>1.7986009999999999</v>
      </c>
      <c r="E2172">
        <f>LN(D2172/参数实验室!$E$53)/参数实验室!$E$55</f>
        <v>-4.4235619491951529E-4</v>
      </c>
      <c r="F2172">
        <f t="shared" si="278"/>
        <v>2.0087962532179047</v>
      </c>
      <c r="G2172">
        <f>LN(F2172/参数实验室!$E$58)/参数实验室!$E$59</f>
        <v>0.17557438862017552</v>
      </c>
      <c r="H2172" s="856">
        <f>INDEX(神经网络!$G$10:$BO$70,MATCH(ROUND(G2172*2,1)/2,神经网络!$E$10:$E$70,0),MATCH(ROUND(E2172*2,1)/2,神经网络!$G$8:$BO$8,0))</f>
        <v>1.0974723757234852</v>
      </c>
      <c r="I2172">
        <f t="shared" si="280"/>
        <v>854.63877265856559</v>
      </c>
      <c r="J2172">
        <f t="shared" si="281"/>
        <v>260.55903595227596</v>
      </c>
      <c r="K2172">
        <f t="shared" si="282"/>
        <v>3.2800197066092207</v>
      </c>
      <c r="L2172" s="4">
        <f>MIN(MAX(L2171*(1+MAX(MIN(((B2172-B2171)/B2171)/($K$7*卓尔金历!$N$40),0),-卓尔金历!$M$43))+MIN(MAX(((B2172-B2171)/B2171)/($K$7*卓尔金历!$N$40),0),卓尔金历!$M$43),0),1)</f>
        <v>0.50790500251162685</v>
      </c>
      <c r="M2172" s="4">
        <f>MIN(MAX(M2171*(1+MAX(MIN(((B2172-B2171)/B2171)/($K$7*30),0),-卓尔金历!$M$43))+MIN(MAX(((B2172-B2171)/B2171)/($K$7*7),0),卓尔金历!$M$43),0),1)</f>
        <v>0.76691014132243263</v>
      </c>
      <c r="N2172">
        <f t="shared" si="283"/>
        <v>688.84082549730351</v>
      </c>
      <c r="O2172">
        <f t="shared" si="284"/>
        <v>1757.1056099469204</v>
      </c>
      <c r="P2172">
        <f t="shared" si="285"/>
        <v>-1.7782551078580469E-2</v>
      </c>
      <c r="Q2172">
        <f t="shared" si="286"/>
        <v>1.4951232685284766E-2</v>
      </c>
      <c r="R2172">
        <f t="shared" si="287"/>
        <v>1.2018622532526656E-2</v>
      </c>
      <c r="S2172">
        <f t="shared" si="279"/>
        <v>15.981509938075101</v>
      </c>
      <c r="T2172" s="564">
        <f>IF((I2172-MAX(I$470:I2172))/MAX(I$470:I2172)&gt;T2171,T2171,(I2172-MAX(I$470:I2172))/MAX(I$470:I2172))</f>
        <v>-0.91338805338419748</v>
      </c>
      <c r="U2172" s="564">
        <f>IF((J2172-MAX(J$470:J2172))/MAX(J$470:J2172)&gt;U2171,U2171,(J2172-MAX(J$470:J2172))/MAX(J$470:J2172))</f>
        <v>-0.8283551177402233</v>
      </c>
      <c r="V2172" s="564">
        <f>IF((K2172-MAX(K$470:K2172))/MAX(K$470:K2172)&gt;V2171,V2171,(K2172-MAX(K$470:K2172))/MAX(K$470:K2172))</f>
        <v>-0.84885940676762139</v>
      </c>
      <c r="W2172" s="564">
        <f>IF((N2172-MAX(N$470:N2172))/MAX(N$470:N2172)&gt;W2171,W2171,(N2172-MAX(N$470:N2172))/MAX(N$470:N2172))</f>
        <v>-0.62788758315546067</v>
      </c>
      <c r="X2172" s="564">
        <f>IF((O2172-MAX(O$470:O2172))/MAX(O$470:O2172)&gt;X2171,X2171,(O2172-MAX(O$470:O2172))/MAX(O$470:O2172))</f>
        <v>-0.62788758315546067</v>
      </c>
    </row>
    <row r="2173" spans="1:24">
      <c r="A2173" s="799">
        <v>42575</v>
      </c>
      <c r="B2173">
        <v>654.69100000000003</v>
      </c>
      <c r="C2173">
        <v>1395.0174320000001</v>
      </c>
      <c r="D2173">
        <v>1.8056570000000001</v>
      </c>
      <c r="E2173">
        <f>LN(D2173/参数实验室!$E$53)/参数实验室!$E$55</f>
        <v>4.176818971738808E-3</v>
      </c>
      <c r="F2173">
        <f t="shared" si="278"/>
        <v>2.1308028245385993</v>
      </c>
      <c r="G2173">
        <f>LN(F2173/参数实验室!$E$58)/参数实验室!$E$59</f>
        <v>0.20652144046894852</v>
      </c>
      <c r="H2173" s="856">
        <f>INDEX(神经网络!$G$10:$BO$70,MATCH(ROUND(G2173*2,1)/2,神经网络!$E$10:$E$70,0),MATCH(ROUND(E2173*2,1)/2,神经网络!$G$8:$BO$8,0))</f>
        <v>1.0974723757234852</v>
      </c>
      <c r="I2173">
        <f t="shared" si="280"/>
        <v>857.08637716668363</v>
      </c>
      <c r="J2173">
        <f t="shared" si="281"/>
        <v>261.23897689637238</v>
      </c>
      <c r="K2173">
        <f t="shared" si="282"/>
        <v>3.280851836694608</v>
      </c>
      <c r="L2173" s="4">
        <f>MIN(MAX(L2172*(1+MAX(MIN(((B2173-B2172)/B2172)/($K$7*卓尔金历!$N$40),0),-卓尔金历!$M$43))+MIN(MAX(((B2173-B2172)/B2172)/($K$7*卓尔金历!$N$40),0),卓尔金历!$M$43),0),1)</f>
        <v>0.54777637023185299</v>
      </c>
      <c r="M2173" s="4">
        <f>MIN(MAX(M2172*(1+MAX(MIN(((B2173-B2172)/B2172)/($K$7*30),0),-卓尔金历!$M$43))+MIN(MAX(((B2173-B2172)/B2172)/($K$7*7),0),卓尔金历!$M$43),0),1)</f>
        <v>0.85234878643720302</v>
      </c>
      <c r="N2173">
        <f t="shared" si="283"/>
        <v>689.84280773225373</v>
      </c>
      <c r="O2173">
        <f t="shared" si="284"/>
        <v>1760.9648429385102</v>
      </c>
      <c r="P2173">
        <f t="shared" si="285"/>
        <v>2.609546591279864E-3</v>
      </c>
      <c r="Q2173">
        <f t="shared" si="286"/>
        <v>1.4848741975676172E-2</v>
      </c>
      <c r="R2173">
        <f t="shared" si="287"/>
        <v>1</v>
      </c>
      <c r="S2173">
        <f t="shared" si="279"/>
        <v>15.982060024791286</v>
      </c>
      <c r="T2173" s="564">
        <f>IF((I2173-MAX(I$470:I2173))/MAX(I$470:I2173)&gt;T2172,T2172,(I2173-MAX(I$470:I2173))/MAX(I$470:I2173))</f>
        <v>-0.91338805338419748</v>
      </c>
      <c r="U2173" s="564">
        <f>IF((J2173-MAX(J$470:J2173))/MAX(J$470:J2173)&gt;U2172,U2172,(J2173-MAX(J$470:J2173))/MAX(J$470:J2173))</f>
        <v>-0.8283551177402233</v>
      </c>
      <c r="V2173" s="564">
        <f>IF((K2173-MAX(K$470:K2173))/MAX(K$470:K2173)&gt;V2172,V2172,(K2173-MAX(K$470:K2173))/MAX(K$470:K2173))</f>
        <v>-0.84885940676762139</v>
      </c>
      <c r="W2173" s="564">
        <f>IF((N2173-MAX(N$470:N2173))/MAX(N$470:N2173)&gt;W2172,W2172,(N2173-MAX(N$470:N2173))/MAX(N$470:N2173))</f>
        <v>-0.62788758315546067</v>
      </c>
      <c r="X2173" s="564">
        <f>IF((O2173-MAX(O$470:O2173))/MAX(O$470:O2173)&gt;X2172,X2172,(O2173-MAX(O$470:O2173))/MAX(O$470:O2173))</f>
        <v>-0.62788758315546067</v>
      </c>
    </row>
    <row r="2174" spans="1:24">
      <c r="A2174" s="799">
        <v>42576</v>
      </c>
      <c r="B2174">
        <v>655.45399999999995</v>
      </c>
      <c r="C2174">
        <v>1527.6368809999999</v>
      </c>
      <c r="D2174">
        <v>1.787714</v>
      </c>
      <c r="E2174">
        <f>LN(D2174/参数实验室!$E$53)/参数实验室!$E$55</f>
        <v>-7.6051475403261784E-3</v>
      </c>
      <c r="F2174">
        <f t="shared" si="278"/>
        <v>2.3306546012382259</v>
      </c>
      <c r="G2174">
        <f>LN(F2174/参数实验室!$E$58)/参数实验室!$E$59</f>
        <v>0.25357478977099956</v>
      </c>
      <c r="H2174" s="856">
        <f>INDEX(神经网络!$G$10:$BO$70,MATCH(ROUND(G2174*2,1)/2,神经网络!$E$10:$E$70,0),MATCH(ROUND(E2174*2,1)/2,神经网络!$G$8:$BO$8,0))</f>
        <v>1.1437527064016673</v>
      </c>
      <c r="I2174">
        <f t="shared" si="280"/>
        <v>858.18261896473041</v>
      </c>
      <c r="J2174">
        <f t="shared" si="281"/>
        <v>261.54343402098829</v>
      </c>
      <c r="K2174">
        <f t="shared" si="282"/>
        <v>3.2812241002229219</v>
      </c>
      <c r="L2174" s="4">
        <f>MIN(MAX(L2173*(1+MAX(MIN(((B2174-B2173)/B2173)/($K$7*卓尔金历!$N$40),0),-卓尔金历!$M$43))+MIN(MAX(((B2174-B2173)/B2173)/($K$7*卓尔金历!$N$40),0),卓尔金历!$M$43),0),1)</f>
        <v>0.56558310318476179</v>
      </c>
      <c r="M2174" s="4">
        <f>MIN(MAX(M2173*(1+MAX(MIN(((B2174-B2173)/B2173)/($K$7*30),0),-卓尔金历!$M$43))+MIN(MAX(((B2174-B2173)/B2173)/($K$7*7),0),卓尔金历!$M$43),0),1)</f>
        <v>0.89050607133629334</v>
      </c>
      <c r="N2174">
        <f t="shared" si="283"/>
        <v>690.3261282135968</v>
      </c>
      <c r="O2174">
        <f t="shared" si="284"/>
        <v>1762.8846155759679</v>
      </c>
      <c r="P2174">
        <f t="shared" si="285"/>
        <v>1.1654352969567626E-3</v>
      </c>
      <c r="Q2174">
        <f t="shared" si="286"/>
        <v>1.4832754487769587E-2</v>
      </c>
      <c r="R2174">
        <f t="shared" si="287"/>
        <v>1</v>
      </c>
      <c r="S2174">
        <f t="shared" si="279"/>
        <v>16.002501607675832</v>
      </c>
      <c r="T2174" s="564">
        <f>IF((I2174-MAX(I$470:I2174))/MAX(I$470:I2174)&gt;T2173,T2173,(I2174-MAX(I$470:I2174))/MAX(I$470:I2174))</f>
        <v>-0.91338805338419748</v>
      </c>
      <c r="U2174" s="564">
        <f>IF((J2174-MAX(J$470:J2174))/MAX(J$470:J2174)&gt;U2173,U2173,(J2174-MAX(J$470:J2174))/MAX(J$470:J2174))</f>
        <v>-0.8283551177402233</v>
      </c>
      <c r="V2174" s="564">
        <f>IF((K2174-MAX(K$470:K2174))/MAX(K$470:K2174)&gt;V2173,V2173,(K2174-MAX(K$470:K2174))/MAX(K$470:K2174))</f>
        <v>-0.84885940676762139</v>
      </c>
      <c r="W2174" s="564">
        <f>IF((N2174-MAX(N$470:N2174))/MAX(N$470:N2174)&gt;W2173,W2173,(N2174-MAX(N$470:N2174))/MAX(N$470:N2174))</f>
        <v>-0.62788758315546067</v>
      </c>
      <c r="X2174" s="564">
        <f>IF((O2174-MAX(O$470:O2174))/MAX(O$470:O2174)&gt;X2173,X2173,(O2174-MAX(O$470:O2174))/MAX(O$470:O2174))</f>
        <v>-0.62788758315546067</v>
      </c>
    </row>
    <row r="2175" spans="1:24">
      <c r="A2175" s="799">
        <v>42577</v>
      </c>
      <c r="B2175">
        <v>648.27</v>
      </c>
      <c r="C2175">
        <v>1653.0998850000001</v>
      </c>
      <c r="D2175">
        <v>1.785226</v>
      </c>
      <c r="E2175">
        <f>LN(D2175/参数实验室!$E$53)/参数实验室!$E$55</f>
        <v>-9.2481790748218714E-3</v>
      </c>
      <c r="F2175">
        <f t="shared" si="278"/>
        <v>2.5500175621268917</v>
      </c>
      <c r="G2175">
        <f>LN(F2175/参数实验室!$E$58)/参数实验室!$E$59</f>
        <v>0.30078597432333459</v>
      </c>
      <c r="H2175" s="856">
        <f>INDEX(神经网络!$G$10:$BO$70,MATCH(ROUND(G2175*2,1)/2,神经网络!$E$10:$E$70,0),MATCH(ROUND(E2175*2,1)/2,神经网络!$G$8:$BO$8,0))</f>
        <v>1.1872865256747198</v>
      </c>
      <c r="I2175">
        <f t="shared" si="280"/>
        <v>847.42450960738176</v>
      </c>
      <c r="J2175">
        <f t="shared" si="281"/>
        <v>258.6768285383659</v>
      </c>
      <c r="K2175">
        <f t="shared" si="282"/>
        <v>3.2759969820091372</v>
      </c>
      <c r="L2175" s="4">
        <f>MIN(MAX(L2174*(1+MAX(MIN(((B2175-B2174)/B2174)/($K$7*卓尔金历!$N$40),0),-卓尔金历!$M$43))+MIN(MAX(((B2175-B2174)/B2174)/($K$7*卓尔金历!$N$40),0),卓尔金历!$M$43),0),1)</f>
        <v>0.47086857278219468</v>
      </c>
      <c r="M2175" s="4">
        <f>MIN(MAX(M2174*(1+MAX(MIN(((B2175-B2174)/B2174)/($K$7*30),0),-卓尔金历!$M$43))+MIN(MAX(((B2175-B2174)/B2174)/($K$7*7),0),卓尔金历!$M$43),0),1)</f>
        <v>0.81594243613192008</v>
      </c>
      <c r="N2175">
        <f t="shared" si="283"/>
        <v>685.43164348265543</v>
      </c>
      <c r="O2175">
        <f t="shared" si="284"/>
        <v>1743.204981777335</v>
      </c>
      <c r="P2175">
        <f t="shared" si="285"/>
        <v>-1.0960341991962776E-2</v>
      </c>
      <c r="Q2175">
        <f t="shared" si="286"/>
        <v>1.493856637410119E-2</v>
      </c>
      <c r="R2175">
        <f t="shared" si="287"/>
        <v>0.32908863728403459</v>
      </c>
      <c r="S2175">
        <f t="shared" si="279"/>
        <v>15.801895514657769</v>
      </c>
      <c r="T2175" s="564">
        <f>IF((I2175-MAX(I$470:I2175))/MAX(I$470:I2175)&gt;T2174,T2174,(I2175-MAX(I$470:I2175))/MAX(I$470:I2175))</f>
        <v>-0.91338805338419748</v>
      </c>
      <c r="U2175" s="564">
        <f>IF((J2175-MAX(J$470:J2175))/MAX(J$470:J2175)&gt;U2174,U2174,(J2175-MAX(J$470:J2175))/MAX(J$470:J2175))</f>
        <v>-0.8283551177402233</v>
      </c>
      <c r="V2175" s="564">
        <f>IF((K2175-MAX(K$470:K2175))/MAX(K$470:K2175)&gt;V2174,V2174,(K2175-MAX(K$470:K2175))/MAX(K$470:K2175))</f>
        <v>-0.84885940676762139</v>
      </c>
      <c r="W2175" s="564">
        <f>IF((N2175-MAX(N$470:N2175))/MAX(N$470:N2175)&gt;W2174,W2174,(N2175-MAX(N$470:N2175))/MAX(N$470:N2175))</f>
        <v>-0.62788758315546067</v>
      </c>
      <c r="X2175" s="564">
        <f>IF((O2175-MAX(O$470:O2175))/MAX(O$470:O2175)&gt;X2174,X2174,(O2175-MAX(O$470:O2175))/MAX(O$470:O2175))</f>
        <v>-0.62788758315546067</v>
      </c>
    </row>
    <row r="2176" spans="1:24">
      <c r="A2176" s="799">
        <v>42578</v>
      </c>
      <c r="B2176">
        <v>653.678</v>
      </c>
      <c r="C2176">
        <v>1795.351919</v>
      </c>
      <c r="D2176">
        <v>1.787963</v>
      </c>
      <c r="E2176">
        <f>LN(D2176/参数实验室!$E$53)/参数实验室!$E$55</f>
        <v>-7.4408382035354758E-3</v>
      </c>
      <c r="F2176">
        <f t="shared" si="278"/>
        <v>2.7465386918329817</v>
      </c>
      <c r="G2176">
        <f>LN(F2176/参数实验室!$E$58)/参数实验室!$E$59</f>
        <v>0.33975177624935726</v>
      </c>
      <c r="H2176" s="856">
        <f>INDEX(神经网络!$G$10:$BO$70,MATCH(ROUND(G2176*2,1)/2,神经网络!$E$10:$E$70,0),MATCH(ROUND(E2176*2,1)/2,神经网络!$G$8:$BO$8,0))</f>
        <v>1.2363688147682446</v>
      </c>
      <c r="I2176">
        <f t="shared" si="280"/>
        <v>855.81789797217471</v>
      </c>
      <c r="J2176">
        <f t="shared" si="281"/>
        <v>260.83476317784556</v>
      </c>
      <c r="K2176">
        <f t="shared" si="282"/>
        <v>3.2810729963499936</v>
      </c>
      <c r="L2176" s="4">
        <f>MIN(MAX(L2175*(1+MAX(MIN(((B2176-B2175)/B2175)/($K$7*卓尔金历!$N$40),0),-卓尔金历!$M$43))+MIN(MAX(((B2176-B2175)/B2175)/($K$7*卓尔金历!$N$40),0),卓尔金历!$M$43),0),1)</f>
        <v>0.59832943065102784</v>
      </c>
      <c r="M2176" s="4">
        <f>MIN(MAX(M2175*(1+MAX(MIN(((B2176-B2175)/B2175)/($K$7*30),0),-卓尔金历!$M$43))+MIN(MAX(((B2176-B2175)/B2175)/($K$7*7),0),卓尔金历!$M$43),0),1)</f>
        <v>1</v>
      </c>
      <c r="N2176">
        <f t="shared" si="283"/>
        <v>688.62833076433049</v>
      </c>
      <c r="O2176">
        <f t="shared" si="284"/>
        <v>1757.2928174448937</v>
      </c>
      <c r="P2176">
        <f t="shared" si="285"/>
        <v>8.3422030943897073E-3</v>
      </c>
      <c r="Q2176">
        <f t="shared" si="286"/>
        <v>1.5092469386936628E-2</v>
      </c>
      <c r="R2176">
        <f t="shared" si="287"/>
        <v>0.61666373457466228</v>
      </c>
      <c r="S2176">
        <f t="shared" si="279"/>
        <v>15.853401579581909</v>
      </c>
      <c r="T2176" s="564">
        <f>IF((I2176-MAX(I$470:I2176))/MAX(I$470:I2176)&gt;T2175,T2175,(I2176-MAX(I$470:I2176))/MAX(I$470:I2176))</f>
        <v>-0.91338805338419748</v>
      </c>
      <c r="U2176" s="564">
        <f>IF((J2176-MAX(J$470:J2176))/MAX(J$470:J2176)&gt;U2175,U2175,(J2176-MAX(J$470:J2176))/MAX(J$470:J2176))</f>
        <v>-0.8283551177402233</v>
      </c>
      <c r="V2176" s="564">
        <f>IF((K2176-MAX(K$470:K2176))/MAX(K$470:K2176)&gt;V2175,V2175,(K2176-MAX(K$470:K2176))/MAX(K$470:K2176))</f>
        <v>-0.84885940676762139</v>
      </c>
      <c r="W2176" s="564">
        <f>IF((N2176-MAX(N$470:N2176))/MAX(N$470:N2176)&gt;W2175,W2175,(N2176-MAX(N$470:N2176))/MAX(N$470:N2176))</f>
        <v>-0.62788758315546067</v>
      </c>
      <c r="X2176" s="564">
        <f>IF((O2176-MAX(O$470:O2176))/MAX(O$470:O2176)&gt;X2175,X2175,(O2176-MAX(O$470:O2176))/MAX(O$470:O2176))</f>
        <v>-0.62788758315546067</v>
      </c>
    </row>
    <row r="2177" spans="1:24">
      <c r="A2177" s="799">
        <v>42579</v>
      </c>
      <c r="B2177">
        <v>655.23299999999995</v>
      </c>
      <c r="C2177">
        <v>1948.3635509999999</v>
      </c>
      <c r="D2177">
        <v>1.786837</v>
      </c>
      <c r="E2177">
        <f>LN(D2177/参数实验室!$E$53)/参数实验室!$E$55</f>
        <v>-8.1840418494149494E-3</v>
      </c>
      <c r="F2177">
        <f t="shared" si="278"/>
        <v>2.9735430770428231</v>
      </c>
      <c r="G2177">
        <f>LN(F2177/参数实验室!$E$58)/参数实验室!$E$59</f>
        <v>0.38143187162935061</v>
      </c>
      <c r="H2177" s="856">
        <f>INDEX(神经网络!$G$10:$BO$70,MATCH(ROUND(G2177*2,1)/2,神经网络!$E$10:$E$70,0),MATCH(ROUND(E2177*2,1)/2,神经网络!$G$8:$BO$8,0))</f>
        <v>1.2799227501815464</v>
      </c>
      <c r="I2177">
        <f t="shared" si="280"/>
        <v>858.33497167064615</v>
      </c>
      <c r="J2177">
        <f t="shared" si="281"/>
        <v>261.45524919197106</v>
      </c>
      <c r="K2177">
        <f t="shared" si="282"/>
        <v>3.2829135170295309</v>
      </c>
      <c r="L2177" s="4">
        <f>MIN(MAX(L2176*(1+MAX(MIN(((B2177-B2176)/B2176)/($K$7*卓尔金历!$N$40),0),-卓尔金历!$M$43))+MIN(MAX(((B2177-B2176)/B2176)/($K$7*卓尔金历!$N$40),0),卓尔金历!$M$43),0),1)</f>
        <v>0.6346759311881871</v>
      </c>
      <c r="M2177" s="4">
        <f>MIN(MAX(M2176*(1+MAX(MIN(((B2177-B2176)/B2176)/($K$7*30),0),-卓尔金历!$M$43))+MIN(MAX(((B2177-B2176)/B2176)/($K$7*7),0),卓尔金历!$M$43),0),1)</f>
        <v>1</v>
      </c>
      <c r="N2177">
        <f t="shared" si="283"/>
        <v>689.84015551469986</v>
      </c>
      <c r="O2177">
        <f t="shared" si="284"/>
        <v>1762.4612481844049</v>
      </c>
      <c r="P2177">
        <f t="shared" si="285"/>
        <v>2.3788470776130604E-3</v>
      </c>
      <c r="Q2177">
        <f t="shared" si="286"/>
        <v>1.1779970603105885E-2</v>
      </c>
      <c r="R2177">
        <f t="shared" si="287"/>
        <v>1</v>
      </c>
      <c r="S2177">
        <f t="shared" si="279"/>
        <v>15.882154730004519</v>
      </c>
      <c r="T2177" s="564">
        <f>IF((I2177-MAX(I$470:I2177))/MAX(I$470:I2177)&gt;T2176,T2176,(I2177-MAX(I$470:I2177))/MAX(I$470:I2177))</f>
        <v>-0.91338805338419748</v>
      </c>
      <c r="U2177" s="564">
        <f>IF((J2177-MAX(J$470:J2177))/MAX(J$470:J2177)&gt;U2176,U2176,(J2177-MAX(J$470:J2177))/MAX(J$470:J2177))</f>
        <v>-0.8283551177402233</v>
      </c>
      <c r="V2177" s="564">
        <f>IF((K2177-MAX(K$470:K2177))/MAX(K$470:K2177)&gt;V2176,V2176,(K2177-MAX(K$470:K2177))/MAX(K$470:K2177))</f>
        <v>-0.84885940676762139</v>
      </c>
      <c r="W2177" s="564">
        <f>IF((N2177-MAX(N$470:N2177))/MAX(N$470:N2177)&gt;W2176,W2176,(N2177-MAX(N$470:N2177))/MAX(N$470:N2177))</f>
        <v>-0.62788758315546067</v>
      </c>
      <c r="X2177" s="564">
        <f>IF((O2177-MAX(O$470:O2177))/MAX(O$470:O2177)&gt;X2176,X2176,(O2177-MAX(O$470:O2177))/MAX(O$470:O2177))</f>
        <v>-0.62788758315546067</v>
      </c>
    </row>
    <row r="2178" spans="1:24">
      <c r="A2178" s="799">
        <v>42580</v>
      </c>
      <c r="B2178">
        <v>655.51499999999999</v>
      </c>
      <c r="C2178">
        <v>2102.507924</v>
      </c>
      <c r="D2178">
        <v>1.7893559999999999</v>
      </c>
      <c r="E2178">
        <f>LN(D2178/参数实验室!$E$53)/参数实验室!$E$55</f>
        <v>-6.5220516195511414E-3</v>
      </c>
      <c r="F2178">
        <f t="shared" si="278"/>
        <v>3.2074139020464827</v>
      </c>
      <c r="G2178">
        <f>LN(F2178/参数实验室!$E$58)/参数实验室!$E$59</f>
        <v>0.42116897925641589</v>
      </c>
      <c r="H2178" s="856">
        <f>INDEX(神经网络!$G$10:$BO$70,MATCH(ROUND(G2178*2,1)/2,神经网络!$E$10:$E$70,0),MATCH(ROUND(E2178*2,1)/2,神经网络!$G$8:$BO$8,0))</f>
        <v>1.2799227501815464</v>
      </c>
      <c r="I2178">
        <f t="shared" si="280"/>
        <v>858.80778957362122</v>
      </c>
      <c r="J2178">
        <f t="shared" si="281"/>
        <v>261.56777462990249</v>
      </c>
      <c r="K2178">
        <f t="shared" si="282"/>
        <v>3.2833088509804607</v>
      </c>
      <c r="L2178" s="4">
        <f>MIN(MAX(L2177*(1+MAX(MIN(((B2178-B2177)/B2177)/($K$7*卓尔金历!$N$40),0),-卓尔金历!$M$43))+MIN(MAX(((B2178-B2177)/B2177)/($K$7*卓尔金历!$N$40),0),卓尔金历!$M$43),0),1)</f>
        <v>0.64125174373860006</v>
      </c>
      <c r="M2178" s="4">
        <f>MIN(MAX(M2177*(1+MAX(MIN(((B2178-B2177)/B2177)/($K$7*30),0),-卓尔金历!$M$43))+MIN(MAX(((B2178-B2177)/B2177)/($K$7*7),0),卓尔金历!$M$43),0),1)</f>
        <v>1</v>
      </c>
      <c r="N2178">
        <f t="shared" si="283"/>
        <v>690.08133346769728</v>
      </c>
      <c r="O2178">
        <f t="shared" si="284"/>
        <v>1763.4321083484961</v>
      </c>
      <c r="P2178">
        <f t="shared" si="285"/>
        <v>4.3038125369149465E-4</v>
      </c>
      <c r="Q2178">
        <f t="shared" si="286"/>
        <v>1.1738298908181288E-2</v>
      </c>
      <c r="R2178">
        <f t="shared" si="287"/>
        <v>1</v>
      </c>
      <c r="S2178">
        <f t="shared" si="279"/>
        <v>15.890903490502474</v>
      </c>
      <c r="T2178" s="564">
        <f>IF((I2178-MAX(I$470:I2178))/MAX(I$470:I2178)&gt;T2177,T2177,(I2178-MAX(I$470:I2178))/MAX(I$470:I2178))</f>
        <v>-0.91338805338419748</v>
      </c>
      <c r="U2178" s="564">
        <f>IF((J2178-MAX(J$470:J2178))/MAX(J$470:J2178)&gt;U2177,U2177,(J2178-MAX(J$470:J2178))/MAX(J$470:J2178))</f>
        <v>-0.8283551177402233</v>
      </c>
      <c r="V2178" s="564">
        <f>IF((K2178-MAX(K$470:K2178))/MAX(K$470:K2178)&gt;V2177,V2177,(K2178-MAX(K$470:K2178))/MAX(K$470:K2178))</f>
        <v>-0.84885940676762139</v>
      </c>
      <c r="W2178" s="564">
        <f>IF((N2178-MAX(N$470:N2178))/MAX(N$470:N2178)&gt;W2177,W2177,(N2178-MAX(N$470:N2178))/MAX(N$470:N2178))</f>
        <v>-0.62788758315546067</v>
      </c>
      <c r="X2178" s="564">
        <f>IF((O2178-MAX(O$470:O2178))/MAX(O$470:O2178)&gt;X2177,X2177,(O2178-MAX(O$470:O2178))/MAX(O$470:O2178))</f>
        <v>-0.62788758315546067</v>
      </c>
    </row>
    <row r="2179" spans="1:24">
      <c r="A2179" s="799">
        <v>42581</v>
      </c>
      <c r="B2179">
        <v>655.98500000000001</v>
      </c>
      <c r="C2179">
        <v>2318.1726530000001</v>
      </c>
      <c r="D2179">
        <v>1.7822830000000001</v>
      </c>
      <c r="E2179">
        <f>LN(D2179/参数实验室!$E$53)/参数实验室!$E$55</f>
        <v>-1.1194643447928771E-2</v>
      </c>
      <c r="F2179">
        <f t="shared" si="278"/>
        <v>3.5338805811108487</v>
      </c>
      <c r="G2179">
        <f>LN(F2179/参数实验室!$E$58)/参数实验室!$E$59</f>
        <v>0.47204392533104916</v>
      </c>
      <c r="H2179" s="856">
        <f>INDEX(神经网络!$G$10:$BO$70,MATCH(ROUND(G2179*2,1)/2,神经网络!$E$10:$E$70,0),MATCH(ROUND(E2179*2,1)/2,神经网络!$G$8:$BO$8,0))</f>
        <v>1.3300419506903416</v>
      </c>
      <c r="I2179">
        <f t="shared" si="280"/>
        <v>859.59591430778744</v>
      </c>
      <c r="J2179">
        <f t="shared" si="281"/>
        <v>261.75531702645492</v>
      </c>
      <c r="K2179">
        <f t="shared" si="282"/>
        <v>3.2839673481051403</v>
      </c>
      <c r="L2179" s="4">
        <f>MIN(MAX(L2178*(1+MAX(MIN(((B2179-B2178)/B2178)/($K$7*卓尔金历!$N$40),0),-卓尔金历!$M$43))+MIN(MAX(((B2179-B2178)/B2178)/($K$7*卓尔金历!$N$40),0),卓尔金历!$M$43),0),1)</f>
        <v>0.65220671650770623</v>
      </c>
      <c r="M2179" s="4">
        <f>MIN(MAX(M2178*(1+MAX(MIN(((B2179-B2178)/B2178)/($K$7*30),0),-卓尔金历!$M$43))+MIN(MAX(((B2179-B2178)/B2178)/($K$7*7),0),卓尔金历!$M$43),0),1)</f>
        <v>1</v>
      </c>
      <c r="N2179">
        <f t="shared" si="283"/>
        <v>690.48742863533084</v>
      </c>
      <c r="O2179">
        <f t="shared" si="284"/>
        <v>1765.0504034763294</v>
      </c>
      <c r="P2179">
        <f t="shared" si="285"/>
        <v>7.1699350892050879E-4</v>
      </c>
      <c r="Q2179">
        <f t="shared" si="286"/>
        <v>1.1241958568855931E-2</v>
      </c>
      <c r="R2179">
        <f t="shared" si="287"/>
        <v>1</v>
      </c>
      <c r="S2179">
        <f t="shared" si="279"/>
        <v>15.905486513899747</v>
      </c>
      <c r="T2179" s="564">
        <f>IF((I2179-MAX(I$470:I2179))/MAX(I$470:I2179)&gt;T2178,T2178,(I2179-MAX(I$470:I2179))/MAX(I$470:I2179))</f>
        <v>-0.91338805338419748</v>
      </c>
      <c r="U2179" s="564">
        <f>IF((J2179-MAX(J$470:J2179))/MAX(J$470:J2179)&gt;U2178,U2178,(J2179-MAX(J$470:J2179))/MAX(J$470:J2179))</f>
        <v>-0.8283551177402233</v>
      </c>
      <c r="V2179" s="564">
        <f>IF((K2179-MAX(K$470:K2179))/MAX(K$470:K2179)&gt;V2178,V2178,(K2179-MAX(K$470:K2179))/MAX(K$470:K2179))</f>
        <v>-0.84885940676762139</v>
      </c>
      <c r="W2179" s="564">
        <f>IF((N2179-MAX(N$470:N2179))/MAX(N$470:N2179)&gt;W2178,W2178,(N2179-MAX(N$470:N2179))/MAX(N$470:N2179))</f>
        <v>-0.62788758315546067</v>
      </c>
      <c r="X2179" s="564">
        <f>IF((O2179-MAX(O$470:O2179))/MAX(O$470:O2179)&gt;X2178,X2178,(O2179-MAX(O$470:O2179))/MAX(O$470:O2179))</f>
        <v>-0.62788758315546067</v>
      </c>
    </row>
    <row r="2180" spans="1:24">
      <c r="A2180" s="799">
        <v>42582</v>
      </c>
      <c r="B2180">
        <v>638.20899999999995</v>
      </c>
      <c r="C2180">
        <v>2528.6415499999998</v>
      </c>
      <c r="D2180">
        <v>1.700898</v>
      </c>
      <c r="E2180">
        <f>LN(D2180/参数实验室!$E$53)/参数实验室!$E$55</f>
        <v>-6.6334870625863948E-2</v>
      </c>
      <c r="F2180">
        <f t="shared" si="278"/>
        <v>3.9620900833426043</v>
      </c>
      <c r="G2180">
        <f>LN(F2180/参数实验室!$E$58)/参数实验室!$E$59</f>
        <v>0.53207416054222412</v>
      </c>
      <c r="H2180" s="856">
        <f>INDEX(神经网络!$G$10:$BO$70,MATCH(ROUND(G2180*2,1)/2,神经网络!$E$10:$E$70,0),MATCH(ROUND(E2180*2,1)/2,神经网络!$G$8:$BO$8,0))</f>
        <v>1.3297450015889023</v>
      </c>
      <c r="I2180">
        <f t="shared" si="280"/>
        <v>828.61460164406731</v>
      </c>
      <c r="J2180">
        <f t="shared" si="281"/>
        <v>254.66222417301731</v>
      </c>
      <c r="K2180">
        <f t="shared" si="282"/>
        <v>3.2537790178142294</v>
      </c>
      <c r="L2180" s="4">
        <f>MIN(MAX(L2179*(1+MAX(MIN(((B2180-B2179)/B2179)/($K$7*卓尔金历!$N$40),0),-卓尔金历!$M$43))+MIN(MAX(((B2180-B2179)/B2179)/($K$7*卓尔金历!$N$40),0),卓尔金历!$M$43),0),1)</f>
        <v>0.38217083342441233</v>
      </c>
      <c r="M2180" s="4">
        <f>MIN(MAX(M2179*(1+MAX(MIN(((B2180-B2179)/B2179)/($K$7*30),0),-卓尔金历!$M$43))+MIN(MAX(((B2180-B2179)/B2179)/($K$7*7),0),卓尔金历!$M$43),0),1)</f>
        <v>0.79298290231567758</v>
      </c>
      <c r="N2180">
        <f t="shared" si="283"/>
        <v>674.25638239615375</v>
      </c>
      <c r="O2180">
        <f t="shared" si="284"/>
        <v>1701.4349563724877</v>
      </c>
      <c r="P2180">
        <f t="shared" si="285"/>
        <v>-2.709818059864184E-2</v>
      </c>
      <c r="Q2180">
        <f t="shared" si="286"/>
        <v>1.2510330120650516E-2</v>
      </c>
      <c r="R2180">
        <f t="shared" si="287"/>
        <v>2.552915277231514E-3</v>
      </c>
      <c r="S2180">
        <f t="shared" si="279"/>
        <v>15.332225470479676</v>
      </c>
      <c r="T2180" s="564">
        <f>IF((I2180-MAX(I$470:I2180))/MAX(I$470:I2180)&gt;T2179,T2179,(I2180-MAX(I$470:I2180))/MAX(I$470:I2180))</f>
        <v>-0.91338805338419748</v>
      </c>
      <c r="U2180" s="564">
        <f>IF((J2180-MAX(J$470:J2180))/MAX(J$470:J2180)&gt;U2179,U2179,(J2180-MAX(J$470:J2180))/MAX(J$470:J2180))</f>
        <v>-0.8283551177402233</v>
      </c>
      <c r="V2180" s="564">
        <f>IF((K2180-MAX(K$470:K2180))/MAX(K$470:K2180)&gt;V2179,V2179,(K2180-MAX(K$470:K2180))/MAX(K$470:K2180))</f>
        <v>-0.84885940676762139</v>
      </c>
      <c r="W2180" s="564">
        <f>IF((N2180-MAX(N$470:N2180))/MAX(N$470:N2180)&gt;W2179,W2179,(N2180-MAX(N$470:N2180))/MAX(N$470:N2180))</f>
        <v>-0.62788758315546067</v>
      </c>
      <c r="X2180" s="564">
        <f>IF((O2180-MAX(O$470:O2180))/MAX(O$470:O2180)&gt;X2179,X2179,(O2180-MAX(O$470:O2180))/MAX(O$470:O2180))</f>
        <v>-0.62788758315546067</v>
      </c>
    </row>
    <row r="2181" spans="1:24">
      <c r="A2181" s="799">
        <v>42583</v>
      </c>
      <c r="B2181">
        <v>622.49800000000005</v>
      </c>
      <c r="C2181">
        <v>2747.7513549999999</v>
      </c>
      <c r="D2181">
        <v>1.6531910000000001</v>
      </c>
      <c r="E2181">
        <f>LN(D2181/参数实验室!$E$53)/参数实验室!$E$55</f>
        <v>-9.989765560518124E-2</v>
      </c>
      <c r="F2181">
        <f t="shared" ref="F2181:F2244" si="288">C2181/B2181</f>
        <v>4.4140725833657291</v>
      </c>
      <c r="G2181">
        <f>LN(F2181/参数实验室!$E$58)/参数实验室!$E$59</f>
        <v>0.58877207843094559</v>
      </c>
      <c r="H2181" s="856">
        <f>INDEX(神经网络!$G$10:$BO$70,MATCH(ROUND(G2181*2,1)/2,神经网络!$E$10:$E$70,0),MATCH(ROUND(E2181*2,1)/2,神经网络!$G$8:$BO$8,0))</f>
        <v>1.2792859322310735</v>
      </c>
      <c r="I2181">
        <f t="shared" si="280"/>
        <v>801.4900946778306</v>
      </c>
      <c r="J2181">
        <f t="shared" si="281"/>
        <v>248.39312078528343</v>
      </c>
      <c r="K2181">
        <f t="shared" si="282"/>
        <v>3.2267000476662013</v>
      </c>
      <c r="L2181" s="4">
        <f>MIN(MAX(L2180*(1+MAX(MIN(((B2181-B2180)/B2180)/($K$7*卓尔金历!$N$40),0),-卓尔金历!$M$43))+MIN(MAX(((B2181-B2180)/B2180)/($K$7*卓尔金历!$N$40),0),卓尔金历!$M$43),0),1)</f>
        <v>0.2384252459340151</v>
      </c>
      <c r="M2181" s="4">
        <f>MIN(MAX(M2180*(1+MAX(MIN(((B2181-B2180)/B2180)/($K$7*30),0),-卓尔金历!$M$43))+MIN(MAX(((B2181-B2180)/B2180)/($K$7*7),0),卓尔金历!$M$43),0),1)</f>
        <v>0.64385091317115217</v>
      </c>
      <c r="N2181">
        <f t="shared" si="283"/>
        <v>665.82125052864376</v>
      </c>
      <c r="O2181">
        <f t="shared" si="284"/>
        <v>1657.2689179870208</v>
      </c>
      <c r="P2181">
        <f t="shared" si="285"/>
        <v>-2.4617327552572746E-2</v>
      </c>
      <c r="Q2181">
        <f t="shared" si="286"/>
        <v>1.3515847483651987E-2</v>
      </c>
      <c r="R2181">
        <f t="shared" si="287"/>
        <v>5.009290277730334E-3</v>
      </c>
      <c r="S2181">
        <f t="shared" si="279"/>
        <v>15.330944170349408</v>
      </c>
      <c r="T2181" s="564">
        <f>IF((I2181-MAX(I$470:I2181))/MAX(I$470:I2181)&gt;T2180,T2180,(I2181-MAX(I$470:I2181))/MAX(I$470:I2181))</f>
        <v>-0.91338805338419748</v>
      </c>
      <c r="U2181" s="564">
        <f>IF((J2181-MAX(J$470:J2181))/MAX(J$470:J2181)&gt;U2180,U2180,(J2181-MAX(J$470:J2181))/MAX(J$470:J2181))</f>
        <v>-0.8283551177402233</v>
      </c>
      <c r="V2181" s="564">
        <f>IF((K2181-MAX(K$470:K2181))/MAX(K$470:K2181)&gt;V2180,V2180,(K2181-MAX(K$470:K2181))/MAX(K$470:K2181))</f>
        <v>-0.84885940676762139</v>
      </c>
      <c r="W2181" s="564">
        <f>IF((N2181-MAX(N$470:N2181))/MAX(N$470:N2181)&gt;W2180,W2180,(N2181-MAX(N$470:N2181))/MAX(N$470:N2181))</f>
        <v>-0.62788758315546067</v>
      </c>
      <c r="X2181" s="564">
        <f>IF((O2181-MAX(O$470:O2181))/MAX(O$470:O2181)&gt;X2180,X2180,(O2181-MAX(O$470:O2181))/MAX(O$470:O2181))</f>
        <v>-0.62788758315546067</v>
      </c>
    </row>
    <row r="2182" spans="1:24">
      <c r="A2182" s="799">
        <v>42584</v>
      </c>
      <c r="B2182">
        <v>603.21199999999999</v>
      </c>
      <c r="C2182">
        <v>3008.949822</v>
      </c>
      <c r="D2182">
        <v>1.446644</v>
      </c>
      <c r="E2182">
        <f>LN(D2182/参数实验室!$E$53)/参数实验室!$E$55</f>
        <v>-0.25734866617744684</v>
      </c>
      <c r="F2182">
        <f t="shared" si="288"/>
        <v>4.9882128041219342</v>
      </c>
      <c r="G2182">
        <f>LN(F2182/参数实验室!$E$58)/参数实验室!$E$59</f>
        <v>0.65295119855435557</v>
      </c>
      <c r="H2182" s="856">
        <f>INDEX(神经网络!$G$10:$BO$70,MATCH(ROUND(G2182*2,1)/2,神经网络!$E$10:$E$70,0),MATCH(ROUND(E2182*2,1)/2,神经网络!$G$8:$BO$8,0))</f>
        <v>1.0470860129153696</v>
      </c>
      <c r="I2182">
        <f t="shared" si="280"/>
        <v>769.72354945716143</v>
      </c>
      <c r="J2182">
        <f t="shared" si="281"/>
        <v>240.69749810462426</v>
      </c>
      <c r="K2182">
        <f t="shared" si="282"/>
        <v>3.1978876204296265</v>
      </c>
      <c r="L2182" s="4">
        <f>MIN(MAX(L2181*(1+MAX(MIN(((B2182-B2181)/B2181)/($K$7*卓尔金历!$N$40),0),-卓尔金历!$M$43))+MIN(MAX(((B2182-B2181)/B2181)/($K$7*卓尔金历!$N$40),0),卓尔金历!$M$43),0),1)</f>
        <v>0.12556200433424497</v>
      </c>
      <c r="M2182" s="4">
        <f>MIN(MAX(M2181*(1+MAX(MIN(((B2182-B2181)/B2181)/($K$7*30),0),-卓尔金历!$M$43))+MIN(MAX(((B2182-B2181)/B2181)/($K$7*7),0),卓尔金历!$M$43),0),1)</f>
        <v>0.49146121785428293</v>
      </c>
      <c r="N2182">
        <f t="shared" si="283"/>
        <v>659.52935189115658</v>
      </c>
      <c r="O2182">
        <f t="shared" si="284"/>
        <v>1614.9777063897827</v>
      </c>
      <c r="P2182">
        <f t="shared" si="285"/>
        <v>-3.0981625643777259E-2</v>
      </c>
      <c r="Q2182">
        <f t="shared" si="286"/>
        <v>1.4834251914122363E-2</v>
      </c>
      <c r="R2182">
        <f t="shared" si="287"/>
        <v>3.5620275076485969E-3</v>
      </c>
      <c r="S2182">
        <f t="shared" si="279"/>
        <v>15.327900364641538</v>
      </c>
      <c r="T2182" s="564">
        <f>IF((I2182-MAX(I$470:I2182))/MAX(I$470:I2182)&gt;T2181,T2181,(I2182-MAX(I$470:I2182))/MAX(I$470:I2182))</f>
        <v>-0.91338805338419748</v>
      </c>
      <c r="U2182" s="564">
        <f>IF((J2182-MAX(J$470:J2182))/MAX(J$470:J2182)&gt;U2181,U2181,(J2182-MAX(J$470:J2182))/MAX(J$470:J2182))</f>
        <v>-0.8283551177402233</v>
      </c>
      <c r="V2182" s="564">
        <f>IF((K2182-MAX(K$470:K2182))/MAX(K$470:K2182)&gt;V2181,V2181,(K2182-MAX(K$470:K2182))/MAX(K$470:K2182))</f>
        <v>-0.84885940676762139</v>
      </c>
      <c r="W2182" s="564">
        <f>IF((N2182-MAX(N$470:N2182))/MAX(N$470:N2182)&gt;W2181,W2181,(N2182-MAX(N$470:N2182))/MAX(N$470:N2182))</f>
        <v>-0.62788758315546067</v>
      </c>
      <c r="X2182" s="564">
        <f>IF((O2182-MAX(O$470:O2182))/MAX(O$470:O2182)&gt;X2181,X2181,(O2182-MAX(O$470:O2182))/MAX(O$470:O2182))</f>
        <v>-0.62788758315546067</v>
      </c>
    </row>
    <row r="2183" spans="1:24">
      <c r="A2183" s="799">
        <v>42585</v>
      </c>
      <c r="B2183">
        <v>553.726</v>
      </c>
      <c r="C2183">
        <v>3268.0461</v>
      </c>
      <c r="D2183">
        <v>1.56457</v>
      </c>
      <c r="E2183">
        <f>LN(D2183/参数实验室!$E$53)/参数实验室!$E$55</f>
        <v>-0.16489773413437558</v>
      </c>
      <c r="F2183">
        <f t="shared" si="288"/>
        <v>5.9019191802443807</v>
      </c>
      <c r="G2183">
        <f>LN(F2183/参数实验室!$E$58)/参数实验室!$E$59</f>
        <v>0.74123159227407298</v>
      </c>
      <c r="H2183" s="856">
        <f>INDEX(神经网络!$G$10:$BO$70,MATCH(ROUND(G2183*2,1)/2,神经网络!$E$10:$E$70,0),MATCH(ROUND(E2183*2,1)/2,神经网络!$G$8:$BO$8,0))</f>
        <v>1.283353527998385</v>
      </c>
      <c r="I2183">
        <f t="shared" si="280"/>
        <v>703.60405712857721</v>
      </c>
      <c r="J2183">
        <f t="shared" si="281"/>
        <v>220.95127887953353</v>
      </c>
      <c r="K2183">
        <f t="shared" si="282"/>
        <v>3.1844307971269736</v>
      </c>
      <c r="L2183" s="4">
        <f>MIN(MAX(L2182*(1+MAX(MIN(((B2183-B2182)/B2182)/($K$7*卓尔金历!$N$40),0),-卓尔金历!$M$43))+MIN(MAX(((B2183-B2182)/B2182)/($K$7*卓尔金历!$N$40),0),卓尔金历!$M$43),0),1)</f>
        <v>0</v>
      </c>
      <c r="M2183" s="4">
        <f>MIN(MAX(M2182*(1+MAX(MIN(((B2183-B2182)/B2182)/($K$7*30),0),-卓尔金历!$M$43))+MIN(MAX(((B2183-B2182)/B2182)/($K$7*7),0),卓尔金历!$M$43),0),1)</f>
        <v>0.1834491634167435</v>
      </c>
      <c r="N2183">
        <f t="shared" si="283"/>
        <v>652.41579016314108</v>
      </c>
      <c r="O2183">
        <f t="shared" si="284"/>
        <v>1546.7987230993056</v>
      </c>
      <c r="P2183">
        <f t="shared" si="285"/>
        <v>-8.2037492622825794E-2</v>
      </c>
      <c r="Q2183">
        <f t="shared" si="286"/>
        <v>2.0858331716204194E-2</v>
      </c>
      <c r="R2183">
        <f t="shared" si="287"/>
        <v>0</v>
      </c>
      <c r="S2183">
        <f t="shared" si="279"/>
        <v>15.323210344863362</v>
      </c>
      <c r="T2183" s="564">
        <f>IF((I2183-MAX(I$470:I2183))/MAX(I$470:I2183)&gt;T2182,T2182,(I2183-MAX(I$470:I2183))/MAX(I$470:I2183))</f>
        <v>-0.91338805338419748</v>
      </c>
      <c r="U2183" s="564">
        <f>IF((J2183-MAX(J$470:J2183))/MAX(J$470:J2183)&gt;U2182,U2182,(J2183-MAX(J$470:J2183))/MAX(J$470:J2183))</f>
        <v>-0.8283551177402233</v>
      </c>
      <c r="V2183" s="564">
        <f>IF((K2183-MAX(K$470:K2183))/MAX(K$470:K2183)&gt;V2182,V2182,(K2183-MAX(K$470:K2183))/MAX(K$470:K2183))</f>
        <v>-0.84885940676762139</v>
      </c>
      <c r="W2183" s="564">
        <f>IF((N2183-MAX(N$470:N2183))/MAX(N$470:N2183)&gt;W2182,W2182,(N2183-MAX(N$470:N2183))/MAX(N$470:N2183))</f>
        <v>-0.62788758315546067</v>
      </c>
      <c r="X2183" s="564">
        <f>IF((O2183-MAX(O$470:O2183))/MAX(O$470:O2183)&gt;X2182,X2182,(O2183-MAX(O$470:O2183))/MAX(O$470:O2183))</f>
        <v>-0.62788758315546067</v>
      </c>
    </row>
    <row r="2184" spans="1:24">
      <c r="A2184" s="799">
        <v>42586</v>
      </c>
      <c r="B2184">
        <v>573.43700000000001</v>
      </c>
      <c r="C2184">
        <v>3559.803645</v>
      </c>
      <c r="D2184">
        <v>1.597783</v>
      </c>
      <c r="E2184">
        <f>LN(D2184/参数实验室!$E$53)/参数实验室!$E$55</f>
        <v>-0.14011581681687099</v>
      </c>
      <c r="F2184">
        <f t="shared" si="288"/>
        <v>6.2078373823105242</v>
      </c>
      <c r="G2184">
        <f>LN(F2184/参数实验室!$E$58)/参数实验室!$E$59</f>
        <v>0.76775509389872221</v>
      </c>
      <c r="H2184" s="856">
        <f>INDEX(神经网络!$G$10:$BO$70,MATCH(ROUND(G2184*2,1)/2,神经网络!$E$10:$E$70,0),MATCH(ROUND(E2184*2,1)/2,神经网络!$G$8:$BO$8,0))</f>
        <v>1.283353527998385</v>
      </c>
      <c r="I2184">
        <f t="shared" si="280"/>
        <v>735.74720347917139</v>
      </c>
      <c r="J2184">
        <f t="shared" si="281"/>
        <v>228.81648776984116</v>
      </c>
      <c r="K2184">
        <f t="shared" si="282"/>
        <v>3.2154466255912242</v>
      </c>
      <c r="L2184" s="4">
        <f>MIN(MAX(L2183*(1+MAX(MIN(((B2184-B2183)/B2183)/($K$7*卓尔金历!$N$40),0),-卓尔金历!$M$43))+MIN(MAX(((B2184-B2183)/B2183)/($K$7*卓尔金历!$N$40),0),卓尔金历!$M$43),0),1)</f>
        <v>0.54388842996050191</v>
      </c>
      <c r="M2184" s="4">
        <f>MIN(MAX(M2183*(1+MAX(MIN(((B2184-B2183)/B2183)/($K$7*30),0),-卓尔金历!$M$43))+MIN(MAX(((B2184-B2183)/B2183)/($K$7*7),0),卓尔金历!$M$43),0),1)</f>
        <v>1</v>
      </c>
      <c r="N2184">
        <f t="shared" si="283"/>
        <v>652.41579016314108</v>
      </c>
      <c r="O2184">
        <f t="shared" si="284"/>
        <v>1559.7618445855583</v>
      </c>
      <c r="P2184">
        <f t="shared" si="285"/>
        <v>3.5597028133047777E-2</v>
      </c>
      <c r="Q2184">
        <f t="shared" si="286"/>
        <v>2.2771499450280331E-2</v>
      </c>
      <c r="R2184">
        <f t="shared" si="287"/>
        <v>1.1539821439564391E-2</v>
      </c>
      <c r="S2184">
        <f t="shared" si="279"/>
        <v>15.323210344863362</v>
      </c>
      <c r="T2184" s="564">
        <f>IF((I2184-MAX(I$470:I2184))/MAX(I$470:I2184)&gt;T2183,T2183,(I2184-MAX(I$470:I2184))/MAX(I$470:I2184))</f>
        <v>-0.91338805338419748</v>
      </c>
      <c r="U2184" s="564">
        <f>IF((J2184-MAX(J$470:J2184))/MAX(J$470:J2184)&gt;U2183,U2183,(J2184-MAX(J$470:J2184))/MAX(J$470:J2184))</f>
        <v>-0.8283551177402233</v>
      </c>
      <c r="V2184" s="564">
        <f>IF((K2184-MAX(K$470:K2184))/MAX(K$470:K2184)&gt;V2183,V2183,(K2184-MAX(K$470:K2184))/MAX(K$470:K2184))</f>
        <v>-0.84885940676762139</v>
      </c>
      <c r="W2184" s="564">
        <f>IF((N2184-MAX(N$470:N2184))/MAX(N$470:N2184)&gt;W2183,W2183,(N2184-MAX(N$470:N2184))/MAX(N$470:N2184))</f>
        <v>-0.62788758315546067</v>
      </c>
      <c r="X2184" s="564">
        <f>IF((O2184-MAX(O$470:O2184))/MAX(O$470:O2184)&gt;X2183,X2183,(O2184-MAX(O$470:O2184))/MAX(O$470:O2184))</f>
        <v>-0.62788758315546067</v>
      </c>
    </row>
    <row r="2185" spans="1:24">
      <c r="A2185" s="799">
        <v>42587</v>
      </c>
      <c r="B2185">
        <v>571.827</v>
      </c>
      <c r="C2185">
        <v>3822.5595960000001</v>
      </c>
      <c r="D2185">
        <v>1.591412</v>
      </c>
      <c r="E2185">
        <f>LN(D2185/参数实验室!$E$53)/参数实验室!$E$55</f>
        <v>-0.14482936861647744</v>
      </c>
      <c r="F2185">
        <f t="shared" si="288"/>
        <v>6.684818303437928</v>
      </c>
      <c r="G2185">
        <f>LN(F2185/参数实验室!$E$58)/参数实验室!$E$59</f>
        <v>0.80660817167964416</v>
      </c>
      <c r="H2185" s="856">
        <f>INDEX(神经网络!$G$10:$BO$70,MATCH(ROUND(G2185*2,1)/2,神经网络!$E$10:$E$70,0),MATCH(ROUND(E2185*2,1)/2,神经网络!$G$8:$BO$8,0))</f>
        <v>1.3064350799782023</v>
      </c>
      <c r="I2185">
        <f t="shared" si="280"/>
        <v>733.09617072653612</v>
      </c>
      <c r="J2185">
        <f t="shared" si="281"/>
        <v>228.17405530505522</v>
      </c>
      <c r="K2185">
        <f t="shared" si="282"/>
        <v>3.2128813670179541</v>
      </c>
      <c r="L2185" s="4">
        <f>MIN(MAX(L2184*(1+MAX(MIN(((B2185-B2184)/B2184)/($K$7*卓尔金历!$N$40),0),-卓尔金历!$M$43))+MIN(MAX(((B2185-B2184)/B2184)/($K$7*卓尔金历!$N$40),0),卓尔金历!$M$43),0),1)</f>
        <v>0.5205567471786533</v>
      </c>
      <c r="M2185" s="4">
        <f>MIN(MAX(M2184*(1+MAX(MIN(((B2185-B2184)/B2184)/($K$7*30),0),-卓尔金历!$M$43))+MIN(MAX(((B2185-B2184)/B2184)/($K$7*7),0),卓尔金历!$M$43),0),1)</f>
        <v>0.9785510396097753</v>
      </c>
      <c r="N2185">
        <f t="shared" si="283"/>
        <v>651.13723121192174</v>
      </c>
      <c r="O2185">
        <f t="shared" si="284"/>
        <v>1554.1417352371927</v>
      </c>
      <c r="P2185">
        <f t="shared" si="285"/>
        <v>-2.8076318758643295E-3</v>
      </c>
      <c r="Q2185">
        <f t="shared" si="286"/>
        <v>2.2401662151434503E-2</v>
      </c>
      <c r="R2185">
        <f t="shared" si="287"/>
        <v>1</v>
      </c>
      <c r="S2185">
        <f t="shared" si="279"/>
        <v>15.32257320419699</v>
      </c>
      <c r="T2185" s="564">
        <f>IF((I2185-MAX(I$470:I2185))/MAX(I$470:I2185)&gt;T2184,T2184,(I2185-MAX(I$470:I2185))/MAX(I$470:I2185))</f>
        <v>-0.91338805338419748</v>
      </c>
      <c r="U2185" s="564">
        <f>IF((J2185-MAX(J$470:J2185))/MAX(J$470:J2185)&gt;U2184,U2184,(J2185-MAX(J$470:J2185))/MAX(J$470:J2185))</f>
        <v>-0.8283551177402233</v>
      </c>
      <c r="V2185" s="564">
        <f>IF((K2185-MAX(K$470:K2185))/MAX(K$470:K2185)&gt;V2184,V2184,(K2185-MAX(K$470:K2185))/MAX(K$470:K2185))</f>
        <v>-0.84885940676762139</v>
      </c>
      <c r="W2185" s="564">
        <f>IF((N2185-MAX(N$470:N2185))/MAX(N$470:N2185)&gt;W2184,W2184,(N2185-MAX(N$470:N2185))/MAX(N$470:N2185))</f>
        <v>-0.62788758315546067</v>
      </c>
      <c r="X2185" s="564">
        <f>IF((O2185-MAX(O$470:O2185))/MAX(O$470:O2185)&gt;X2184,X2184,(O2185-MAX(O$470:O2185))/MAX(O$470:O2185))</f>
        <v>-0.62788758315546067</v>
      </c>
    </row>
    <row r="2186" spans="1:24">
      <c r="A2186" s="799">
        <v>42588</v>
      </c>
      <c r="B2186">
        <v>570.13499999999999</v>
      </c>
      <c r="C2186">
        <v>4103.562688</v>
      </c>
      <c r="D2186">
        <v>1.6172310000000001</v>
      </c>
      <c r="E2186">
        <f>LN(D2186/参数实验室!$E$53)/参数实验室!$E$55</f>
        <v>-0.12584270886318247</v>
      </c>
      <c r="F2186">
        <f t="shared" si="288"/>
        <v>7.1975281082550628</v>
      </c>
      <c r="G2186">
        <f>LN(F2186/参数实验室!$E$58)/参数实验室!$E$59</f>
        <v>0.8453941602895374</v>
      </c>
      <c r="H2186" s="856">
        <f>INDEX(神经网络!$G$10:$BO$70,MATCH(ROUND(G2186*2,1)/2,神经网络!$E$10:$E$70,0),MATCH(ROUND(E2186*2,1)/2,神经网络!$G$8:$BO$8,0))</f>
        <v>1.3258096011007201</v>
      </c>
      <c r="I2186">
        <f t="shared" si="280"/>
        <v>730.26227095946717</v>
      </c>
      <c r="J2186">
        <f t="shared" si="281"/>
        <v>227.49890267746653</v>
      </c>
      <c r="K2186">
        <f t="shared" si="282"/>
        <v>3.2099595310786468</v>
      </c>
      <c r="L2186" s="4">
        <f>MIN(MAX(L2185*(1+MAX(MIN(((B2186-B2185)/B2185)/($K$7*卓尔金历!$N$40),0),-卓尔金历!$M$43))+MIN(MAX(((B2186-B2185)/B2185)/($K$7*卓尔金历!$N$40),0),卓尔金历!$M$43),0),1)</f>
        <v>0.49702252444229067</v>
      </c>
      <c r="M2186" s="4">
        <f>MIN(MAX(M2185*(1+MAX(MIN(((B2186-B2185)/B2185)/($K$7*30),0),-卓尔金历!$M$43))+MIN(MAX(((B2186-B2185)/B2185)/($K$7*7),0),卓尔金历!$M$43),0),1)</f>
        <v>0.95643103228118709</v>
      </c>
      <c r="N2186">
        <f t="shared" si="283"/>
        <v>649.82695111875842</v>
      </c>
      <c r="O2186">
        <f t="shared" si="284"/>
        <v>1548.2628140184975</v>
      </c>
      <c r="P2186">
        <f t="shared" si="285"/>
        <v>-2.9589368812595546E-3</v>
      </c>
      <c r="Q2186">
        <f t="shared" si="286"/>
        <v>2.2363919358456951E-2</v>
      </c>
      <c r="R2186">
        <f t="shared" si="287"/>
        <v>1</v>
      </c>
      <c r="S2186">
        <f t="shared" si="279"/>
        <v>15.263341362089239</v>
      </c>
      <c r="T2186" s="564">
        <f>IF((I2186-MAX(I$470:I2186))/MAX(I$470:I2186)&gt;T2185,T2185,(I2186-MAX(I$470:I2186))/MAX(I$470:I2186))</f>
        <v>-0.91338805338419748</v>
      </c>
      <c r="U2186" s="564">
        <f>IF((J2186-MAX(J$470:J2186))/MAX(J$470:J2186)&gt;U2185,U2185,(J2186-MAX(J$470:J2186))/MAX(J$470:J2186))</f>
        <v>-0.8283551177402233</v>
      </c>
      <c r="V2186" s="564">
        <f>IF((K2186-MAX(K$470:K2186))/MAX(K$470:K2186)&gt;V2185,V2185,(K2186-MAX(K$470:K2186))/MAX(K$470:K2186))</f>
        <v>-0.84885940676762139</v>
      </c>
      <c r="W2186" s="564">
        <f>IF((N2186-MAX(N$470:N2186))/MAX(N$470:N2186)&gt;W2185,W2185,(N2186-MAX(N$470:N2186))/MAX(N$470:N2186))</f>
        <v>-0.62788758315546067</v>
      </c>
      <c r="X2186" s="564">
        <f>IF((O2186-MAX(O$470:O2186))/MAX(O$470:O2186)&gt;X2185,X2185,(O2186-MAX(O$470:O2186))/MAX(O$470:O2186))</f>
        <v>-0.62788758315546067</v>
      </c>
    </row>
    <row r="2187" spans="1:24">
      <c r="A2187" s="799">
        <v>42589</v>
      </c>
      <c r="B2187">
        <v>589.67200000000003</v>
      </c>
      <c r="C2187">
        <v>4515.6111510000001</v>
      </c>
      <c r="D2187">
        <v>1.627329</v>
      </c>
      <c r="E2187">
        <f>LN(D2187/参数实验室!$E$53)/参数实验室!$E$55</f>
        <v>-0.11849922517187322</v>
      </c>
      <c r="F2187">
        <f t="shared" si="288"/>
        <v>7.6578354593740245</v>
      </c>
      <c r="G2187">
        <f>LN(F2187/参数实验室!$E$58)/参数实验室!$E$59</f>
        <v>0.87793076408685333</v>
      </c>
      <c r="H2187" s="856">
        <f>INDEX(神经网络!$G$10:$BO$70,MATCH(ROUND(G2187*2,1)/2,神经网络!$E$10:$E$70,0),MATCH(ROUND(E2187*2,1)/2,神经网络!$G$8:$BO$8,0))</f>
        <v>1.4348063656033911</v>
      </c>
      <c r="I2187">
        <f t="shared" si="280"/>
        <v>763.43950656354275</v>
      </c>
      <c r="J2187">
        <f t="shared" si="281"/>
        <v>235.29468097841223</v>
      </c>
      <c r="K2187">
        <f t="shared" si="282"/>
        <v>3.2446101347849279</v>
      </c>
      <c r="L2187" s="4">
        <f>MIN(MAX(L2186*(1+MAX(MIN(((B2187-B2186)/B2186)/($K$7*卓尔金历!$N$40),0),-卓尔金历!$M$43))+MIN(MAX(((B2187-B2186)/B2186)/($K$7*卓尔金历!$N$40),0),卓尔金历!$M$43),0),1)</f>
        <v>1</v>
      </c>
      <c r="M2187" s="4">
        <f>MIN(MAX(M2186*(1+MAX(MIN(((B2187-B2186)/B2186)/($K$7*30),0),-卓尔金历!$M$43))+MIN(MAX(((B2187-B2186)/B2186)/($K$7*7),0),卓尔金历!$M$43),0),1)</f>
        <v>1</v>
      </c>
      <c r="N2187">
        <f t="shared" si="283"/>
        <v>664.50049867143537</v>
      </c>
      <c r="O2187">
        <f t="shared" si="284"/>
        <v>1615.5387386475632</v>
      </c>
      <c r="P2187">
        <f t="shared" si="285"/>
        <v>3.4267322651652742E-2</v>
      </c>
      <c r="Q2187">
        <f t="shared" si="286"/>
        <v>2.3979644175703186E-2</v>
      </c>
      <c r="R2187">
        <f t="shared" si="287"/>
        <v>1.4380293191118197E-2</v>
      </c>
      <c r="S2187">
        <f t="shared" si="279"/>
        <v>15.956784653100469</v>
      </c>
      <c r="T2187" s="564">
        <f>IF((I2187-MAX(I$470:I2187))/MAX(I$470:I2187)&gt;T2186,T2186,(I2187-MAX(I$470:I2187))/MAX(I$470:I2187))</f>
        <v>-0.91338805338419748</v>
      </c>
      <c r="U2187" s="564">
        <f>IF((J2187-MAX(J$470:J2187))/MAX(J$470:J2187)&gt;U2186,U2186,(J2187-MAX(J$470:J2187))/MAX(J$470:J2187))</f>
        <v>-0.8283551177402233</v>
      </c>
      <c r="V2187" s="564">
        <f>IF((K2187-MAX(K$470:K2187))/MAX(K$470:K2187)&gt;V2186,V2186,(K2187-MAX(K$470:K2187))/MAX(K$470:K2187))</f>
        <v>-0.84885940676762139</v>
      </c>
      <c r="W2187" s="564">
        <f>IF((N2187-MAX(N$470:N2187))/MAX(N$470:N2187)&gt;W2186,W2186,(N2187-MAX(N$470:N2187))/MAX(N$470:N2187))</f>
        <v>-0.62788758315546067</v>
      </c>
      <c r="X2187" s="564">
        <f>IF((O2187-MAX(O$470:O2187))/MAX(O$470:O2187)&gt;X2186,X2186,(O2187-MAX(O$470:O2187))/MAX(O$470:O2187))</f>
        <v>-0.62788758315546067</v>
      </c>
    </row>
    <row r="2188" spans="1:24">
      <c r="A2188" s="799">
        <v>42590</v>
      </c>
      <c r="B2188">
        <v>589.44000000000005</v>
      </c>
      <c r="C2188">
        <v>4846.6893689999997</v>
      </c>
      <c r="D2188">
        <v>1.618706</v>
      </c>
      <c r="E2188">
        <f>LN(D2188/参数实验室!$E$53)/参数实验室!$E$55</f>
        <v>-0.12476720204375102</v>
      </c>
      <c r="F2188">
        <f t="shared" si="288"/>
        <v>8.2225321813925074</v>
      </c>
      <c r="G2188">
        <f>LN(F2188/参数实验室!$E$58)/参数实验室!$E$59</f>
        <v>0.91527352366474868</v>
      </c>
      <c r="H2188" s="856">
        <f>INDEX(神经网络!$G$10:$BO$70,MATCH(ROUND(G2188*2,1)/2,神经网络!$E$10:$E$70,0),MATCH(ROUND(E2188*2,1)/2,神经网络!$G$8:$BO$8,0))</f>
        <v>1.4348063656033911</v>
      </c>
      <c r="I2188">
        <f t="shared" si="280"/>
        <v>763.00853818723408</v>
      </c>
      <c r="J2188">
        <f t="shared" si="281"/>
        <v>235.20210685926298</v>
      </c>
      <c r="K2188">
        <f t="shared" si="282"/>
        <v>3.2440548614804401</v>
      </c>
      <c r="L2188" s="4">
        <f>MIN(MAX(L2187*(1+MAX(MIN(((B2188-B2187)/B2187)/($K$7*卓尔金历!$N$40),0),-卓尔金历!$M$43))+MIN(MAX(((B2188-B2187)/B2187)/($K$7*卓尔金历!$N$40),0),卓尔金历!$M$43),0),1)</f>
        <v>0.9939886286507511</v>
      </c>
      <c r="M2188" s="4">
        <f>MIN(MAX(M2187*(1+MAX(MIN(((B2188-B2187)/B2187)/($K$7*30),0),-卓尔金历!$M$43))+MIN(MAX(((B2188-B2187)/B2187)/($K$7*7),0),卓尔金历!$M$43),0),1)</f>
        <v>0.99699431432537555</v>
      </c>
      <c r="N2188">
        <f t="shared" si="283"/>
        <v>664.12538224307832</v>
      </c>
      <c r="O2188">
        <f t="shared" si="284"/>
        <v>1614.6267526931124</v>
      </c>
      <c r="P2188">
        <f t="shared" si="285"/>
        <v>-3.9343906442898915E-4</v>
      </c>
      <c r="Q2188">
        <f t="shared" si="286"/>
        <v>2.329739877236621E-2</v>
      </c>
      <c r="R2188">
        <f t="shared" si="287"/>
        <v>1</v>
      </c>
      <c r="S2188">
        <f t="shared" si="279"/>
        <v>15.956655119064246</v>
      </c>
      <c r="T2188" s="564">
        <f>IF((I2188-MAX(I$470:I2188))/MAX(I$470:I2188)&gt;T2187,T2187,(I2188-MAX(I$470:I2188))/MAX(I$470:I2188))</f>
        <v>-0.91338805338419748</v>
      </c>
      <c r="U2188" s="564">
        <f>IF((J2188-MAX(J$470:J2188))/MAX(J$470:J2188)&gt;U2187,U2187,(J2188-MAX(J$470:J2188))/MAX(J$470:J2188))</f>
        <v>-0.8283551177402233</v>
      </c>
      <c r="V2188" s="564">
        <f>IF((K2188-MAX(K$470:K2188))/MAX(K$470:K2188)&gt;V2187,V2187,(K2188-MAX(K$470:K2188))/MAX(K$470:K2188))</f>
        <v>-0.84885940676762139</v>
      </c>
      <c r="W2188" s="564">
        <f>IF((N2188-MAX(N$470:N2188))/MAX(N$470:N2188)&gt;W2187,W2187,(N2188-MAX(N$470:N2188))/MAX(N$470:N2188))</f>
        <v>-0.62788758315546067</v>
      </c>
      <c r="X2188" s="564">
        <f>IF((O2188-MAX(O$470:O2188))/MAX(O$470:O2188)&gt;X2187,X2187,(O2188-MAX(O$470:O2188))/MAX(O$470:O2188))</f>
        <v>-0.62788758315546067</v>
      </c>
    </row>
    <row r="2189" spans="1:24">
      <c r="A2189" s="799">
        <v>42591</v>
      </c>
      <c r="B2189">
        <v>587.23099999999999</v>
      </c>
      <c r="C2189">
        <v>4958.1600909999997</v>
      </c>
      <c r="D2189">
        <v>1.6089800000000001</v>
      </c>
      <c r="E2189">
        <f>LN(D2189/参数实验室!$E$53)/参数实验室!$E$55</f>
        <v>-0.13187713453402039</v>
      </c>
      <c r="F2189">
        <f t="shared" si="288"/>
        <v>8.4432873792425802</v>
      </c>
      <c r="G2189">
        <f>LN(F2189/参数实验室!$E$58)/参数实验室!$E$59</f>
        <v>0.92917875464114785</v>
      </c>
      <c r="H2189" s="856">
        <f>INDEX(神经网络!$G$10:$BO$70,MATCH(ROUND(G2189*2,1)/2,神经网络!$E$10:$E$70,0),MATCH(ROUND(E2189*2,1)/2,神经网络!$G$8:$BO$8,0))</f>
        <v>1.3554782071754989</v>
      </c>
      <c r="I2189">
        <f t="shared" si="280"/>
        <v>758.9057527598959</v>
      </c>
      <c r="J2189">
        <f t="shared" si="281"/>
        <v>234.3206575954666</v>
      </c>
      <c r="K2189">
        <f t="shared" si="282"/>
        <v>3.2387488177422155</v>
      </c>
      <c r="L2189" s="4">
        <f>MIN(MAX(L2188*(1+MAX(MIN(((B2189-B2188)/B2188)/($K$7*卓尔金历!$N$40),0),-卓尔金历!$M$43))+MIN(MAX(((B2189-B2188)/B2188)/($K$7*卓尔金历!$N$40),0),卓尔金历!$M$43),0),1)</f>
        <v>0.93707272884545578</v>
      </c>
      <c r="M2189" s="4">
        <f>MIN(MAX(M2188*(1+MAX(MIN(((B2189-B2188)/B2188)/($K$7*30),0),-卓尔金历!$M$43))+MIN(MAX(((B2189-B2188)/B2188)/($K$7*7),0),卓尔金历!$M$43),0),1)</f>
        <v>0.96845031147414673</v>
      </c>
      <c r="N2189">
        <f t="shared" si="283"/>
        <v>660.57577010014825</v>
      </c>
      <c r="O2189">
        <f t="shared" si="284"/>
        <v>1605.9708127984795</v>
      </c>
      <c r="P2189">
        <f t="shared" si="285"/>
        <v>-3.7476248642780603E-3</v>
      </c>
      <c r="Q2189">
        <f t="shared" si="286"/>
        <v>2.3263772079864138E-2</v>
      </c>
      <c r="R2189">
        <f t="shared" si="287"/>
        <v>1</v>
      </c>
      <c r="S2189">
        <f t="shared" si="279"/>
        <v>15.870854333338972</v>
      </c>
      <c r="T2189" s="564">
        <f>IF((I2189-MAX(I$470:I2189))/MAX(I$470:I2189)&gt;T2188,T2188,(I2189-MAX(I$470:I2189))/MAX(I$470:I2189))</f>
        <v>-0.91338805338419748</v>
      </c>
      <c r="U2189" s="564">
        <f>IF((J2189-MAX(J$470:J2189))/MAX(J$470:J2189)&gt;U2188,U2188,(J2189-MAX(J$470:J2189))/MAX(J$470:J2189))</f>
        <v>-0.8283551177402233</v>
      </c>
      <c r="V2189" s="564">
        <f>IF((K2189-MAX(K$470:K2189))/MAX(K$470:K2189)&gt;V2188,V2188,(K2189-MAX(K$470:K2189))/MAX(K$470:K2189))</f>
        <v>-0.84885940676762139</v>
      </c>
      <c r="W2189" s="564">
        <f>IF((N2189-MAX(N$470:N2189))/MAX(N$470:N2189)&gt;W2188,W2188,(N2189-MAX(N$470:N2189))/MAX(N$470:N2189))</f>
        <v>-0.62788758315546067</v>
      </c>
      <c r="X2189" s="564">
        <f>IF((O2189-MAX(O$470:O2189))/MAX(O$470:O2189)&gt;X2188,X2188,(O2189-MAX(O$470:O2189))/MAX(O$470:O2189))</f>
        <v>-0.62788758315546067</v>
      </c>
    </row>
    <row r="2190" spans="1:24">
      <c r="A2190" s="799">
        <v>42592</v>
      </c>
      <c r="B2190">
        <v>588.48199999999997</v>
      </c>
      <c r="C2190">
        <v>4932.2497549999998</v>
      </c>
      <c r="D2190">
        <v>1.6153249999999999</v>
      </c>
      <c r="E2190">
        <f>LN(D2190/参数实验室!$E$53)/参数实验室!$E$55</f>
        <v>-0.12723393608003164</v>
      </c>
      <c r="F2190">
        <f t="shared" si="288"/>
        <v>8.3813094623115063</v>
      </c>
      <c r="G2190">
        <f>LN(F2190/参数实验室!$E$58)/参数实验室!$E$59</f>
        <v>0.92531185575098707</v>
      </c>
      <c r="H2190" s="856">
        <f>INDEX(神经网络!$G$10:$BO$70,MATCH(ROUND(G2190*2,1)/2,神经网络!$E$10:$E$70,0),MATCH(ROUND(E2190*2,1)/2,神经网络!$G$8:$BO$8,0))</f>
        <v>1.3554782071754989</v>
      </c>
      <c r="I2190">
        <f t="shared" si="280"/>
        <v>761.09718839879588</v>
      </c>
      <c r="J2190">
        <f t="shared" si="281"/>
        <v>234.81983959139649</v>
      </c>
      <c r="K2190">
        <f t="shared" si="282"/>
        <v>3.2411962708226021</v>
      </c>
      <c r="L2190" s="4">
        <f>MIN(MAX(L2189*(1+MAX(MIN(((B2190-B2189)/B2189)/($K$7*卓尔金历!$N$40),0),-卓尔金历!$M$43))+MIN(MAX(((B2190-B2189)/B2189)/($K$7*卓尔金历!$N$40),0),卓尔金历!$M$43),0),1)</f>
        <v>0.96962223577732098</v>
      </c>
      <c r="M2190" s="4">
        <f>MIN(MAX(M2189*(1+MAX(MIN(((B2190-B2189)/B2189)/($K$7*30),0),-卓尔金历!$M$43))+MIN(MAX(((B2190-B2189)/B2189)/($K$7*7),0),卓尔金历!$M$43),0),1)</f>
        <v>1</v>
      </c>
      <c r="N2190">
        <f t="shared" si="283"/>
        <v>662.36323208454905</v>
      </c>
      <c r="O2190">
        <f t="shared" si="284"/>
        <v>1610.4619452825593</v>
      </c>
      <c r="P2190">
        <f t="shared" si="285"/>
        <v>2.1303371245727427E-3</v>
      </c>
      <c r="Q2190">
        <f t="shared" si="286"/>
        <v>2.3304978627910391E-2</v>
      </c>
      <c r="R2190">
        <f t="shared" si="287"/>
        <v>1</v>
      </c>
      <c r="S2190">
        <f t="shared" si="279"/>
        <v>15.916683417753452</v>
      </c>
      <c r="T2190" s="564">
        <f>IF((I2190-MAX(I$470:I2190))/MAX(I$470:I2190)&gt;T2189,T2189,(I2190-MAX(I$470:I2190))/MAX(I$470:I2190))</f>
        <v>-0.91338805338419748</v>
      </c>
      <c r="U2190" s="564">
        <f>IF((J2190-MAX(J$470:J2190))/MAX(J$470:J2190)&gt;U2189,U2189,(J2190-MAX(J$470:J2190))/MAX(J$470:J2190))</f>
        <v>-0.8283551177402233</v>
      </c>
      <c r="V2190" s="564">
        <f>IF((K2190-MAX(K$470:K2190))/MAX(K$470:K2190)&gt;V2189,V2189,(K2190-MAX(K$470:K2190))/MAX(K$470:K2190))</f>
        <v>-0.84885940676762139</v>
      </c>
      <c r="W2190" s="564">
        <f>IF((N2190-MAX(N$470:N2190))/MAX(N$470:N2190)&gt;W2189,W2189,(N2190-MAX(N$470:N2190))/MAX(N$470:N2190))</f>
        <v>-0.62788758315546067</v>
      </c>
      <c r="X2190" s="564">
        <f>IF((O2190-MAX(O$470:O2190))/MAX(O$470:O2190)&gt;X2189,X2189,(O2190-MAX(O$470:O2190))/MAX(O$470:O2190))</f>
        <v>-0.62788758315546067</v>
      </c>
    </row>
    <row r="2191" spans="1:24">
      <c r="A2191" s="799">
        <v>42593</v>
      </c>
      <c r="B2191">
        <v>592.58900000000006</v>
      </c>
      <c r="C2191">
        <v>4909.9537019999998</v>
      </c>
      <c r="D2191">
        <v>1.614393</v>
      </c>
      <c r="E2191">
        <f>LN(D2191/参数实验室!$E$53)/参数实验室!$E$55</f>
        <v>-0.12791481908833294</v>
      </c>
      <c r="F2191">
        <f t="shared" si="288"/>
        <v>8.2855971035574392</v>
      </c>
      <c r="G2191">
        <f>LN(F2191/参数实验室!$E$58)/参数实验室!$E$59</f>
        <v>0.91928367403696032</v>
      </c>
      <c r="H2191" s="856">
        <f>INDEX(神经网络!$G$10:$BO$70,MATCH(ROUND(G2191*2,1)/2,神经网络!$E$10:$E$70,0),MATCH(ROUND(E2191*2,1)/2,神经网络!$G$8:$BO$8,0))</f>
        <v>1.3419999786249148</v>
      </c>
      <c r="I2191">
        <f t="shared" si="280"/>
        <v>768.29705046675576</v>
      </c>
      <c r="J2191">
        <f t="shared" si="281"/>
        <v>236.45864091616406</v>
      </c>
      <c r="K2191">
        <f t="shared" si="282"/>
        <v>3.2491815375829467</v>
      </c>
      <c r="L2191" s="4">
        <f>MIN(MAX(L2190*(1+MAX(MIN(((B2191-B2190)/B2190)/($K$7*卓尔金历!$N$40),0),-卓尔金历!$M$43))+MIN(MAX(((B2191-B2190)/B2190)/($K$7*卓尔金历!$N$40),0),卓尔金历!$M$43),0),1)</f>
        <v>1</v>
      </c>
      <c r="M2191" s="4">
        <f>MIN(MAX(M2190*(1+MAX(MIN(((B2191-B2190)/B2190)/($K$7*30),0),-卓尔金历!$M$43))+MIN(MAX(((B2191-B2190)/B2190)/($K$7*7),0),卓尔金历!$M$43),0),1)</f>
        <v>1</v>
      </c>
      <c r="N2191">
        <f t="shared" si="283"/>
        <v>668.43874350969861</v>
      </c>
      <c r="O2191">
        <f t="shared" si="284"/>
        <v>1625.6966670086067</v>
      </c>
      <c r="P2191">
        <f t="shared" si="285"/>
        <v>6.9789730187160949E-3</v>
      </c>
      <c r="Q2191">
        <f t="shared" si="286"/>
        <v>2.3437848137312083E-2</v>
      </c>
      <c r="R2191">
        <f t="shared" si="287"/>
        <v>1</v>
      </c>
      <c r="S2191">
        <f t="shared" si="279"/>
        <v>16.067252789095239</v>
      </c>
      <c r="T2191" s="564">
        <f>IF((I2191-MAX(I$470:I2191))/MAX(I$470:I2191)&gt;T2190,T2190,(I2191-MAX(I$470:I2191))/MAX(I$470:I2191))</f>
        <v>-0.91338805338419748</v>
      </c>
      <c r="U2191" s="564">
        <f>IF((J2191-MAX(J$470:J2191))/MAX(J$470:J2191)&gt;U2190,U2190,(J2191-MAX(J$470:J2191))/MAX(J$470:J2191))</f>
        <v>-0.8283551177402233</v>
      </c>
      <c r="V2191" s="564">
        <f>IF((K2191-MAX(K$470:K2191))/MAX(K$470:K2191)&gt;V2190,V2190,(K2191-MAX(K$470:K2191))/MAX(K$470:K2191))</f>
        <v>-0.84885940676762139</v>
      </c>
      <c r="W2191" s="564">
        <f>IF((N2191-MAX(N$470:N2191))/MAX(N$470:N2191)&gt;W2190,W2190,(N2191-MAX(N$470:N2191))/MAX(N$470:N2191))</f>
        <v>-0.62788758315546067</v>
      </c>
      <c r="X2191" s="564">
        <f>IF((O2191-MAX(O$470:O2191))/MAX(O$470:O2191)&gt;X2190,X2190,(O2191-MAX(O$470:O2191))/MAX(O$470:O2191))</f>
        <v>-0.62788758315546067</v>
      </c>
    </row>
    <row r="2192" spans="1:24">
      <c r="A2192" s="799">
        <v>42594</v>
      </c>
      <c r="B2192">
        <v>589.70000000000005</v>
      </c>
      <c r="C2192">
        <v>4843.5878650000004</v>
      </c>
      <c r="D2192">
        <v>1.6077030000000001</v>
      </c>
      <c r="E2192">
        <f>LN(D2192/参数实验室!$E$53)/参数实验室!$E$55</f>
        <v>-0.13281384167718491</v>
      </c>
      <c r="F2192">
        <f t="shared" si="288"/>
        <v>8.2136473885026291</v>
      </c>
      <c r="G2192">
        <f>LN(F2192/参数实验室!$E$58)/参数实验室!$E$59</f>
        <v>0.91470609010701998</v>
      </c>
      <c r="H2192" s="856">
        <f>INDEX(神经网络!$G$10:$BO$70,MATCH(ROUND(G2192*2,1)/2,神经网络!$E$10:$E$70,0),MATCH(ROUND(E2192*2,1)/2,神经网络!$G$8:$BO$8,0))</f>
        <v>1.3419999786249148</v>
      </c>
      <c r="I2192">
        <f t="shared" si="280"/>
        <v>763.27043537180259</v>
      </c>
      <c r="J2192">
        <f t="shared" si="281"/>
        <v>235.30585371693019</v>
      </c>
      <c r="K2192">
        <f t="shared" si="282"/>
        <v>3.2437375582249932</v>
      </c>
      <c r="L2192" s="4">
        <f>MIN(MAX(L2191*(1+MAX(MIN(((B2192-B2191)/B2191)/($K$7*卓尔金历!$N$40),0),-卓尔金历!$M$43))+MIN(MAX(((B2192-B2191)/B2191)/($K$7*卓尔金历!$N$40),0),卓尔金历!$M$43),0),1)</f>
        <v>0.92551136178009541</v>
      </c>
      <c r="M2192" s="4">
        <f>MIN(MAX(M2191*(1+MAX(MIN(((B2192-B2191)/B2191)/($K$7*30),0),-卓尔金历!$M$43))+MIN(MAX(((B2192-B2191)/B2191)/($K$7*7),0),卓尔金历!$M$43),0),1)</f>
        <v>0.9627556808900477</v>
      </c>
      <c r="N2192">
        <f t="shared" si="283"/>
        <v>664.06545550067119</v>
      </c>
      <c r="O2192">
        <f t="shared" si="284"/>
        <v>1615.0604796104694</v>
      </c>
      <c r="P2192">
        <f t="shared" si="285"/>
        <v>-4.8752170560034183E-3</v>
      </c>
      <c r="Q2192">
        <f t="shared" si="286"/>
        <v>2.3386055438364074E-2</v>
      </c>
      <c r="R2192">
        <f t="shared" si="287"/>
        <v>1</v>
      </c>
      <c r="S2192">
        <f t="shared" si="279"/>
        <v>15.962132125993605</v>
      </c>
      <c r="T2192" s="564">
        <f>IF((I2192-MAX(I$470:I2192))/MAX(I$470:I2192)&gt;T2191,T2191,(I2192-MAX(I$470:I2192))/MAX(I$470:I2192))</f>
        <v>-0.91338805338419748</v>
      </c>
      <c r="U2192" s="564">
        <f>IF((J2192-MAX(J$470:J2192))/MAX(J$470:J2192)&gt;U2191,U2191,(J2192-MAX(J$470:J2192))/MAX(J$470:J2192))</f>
        <v>-0.8283551177402233</v>
      </c>
      <c r="V2192" s="564">
        <f>IF((K2192-MAX(K$470:K2192))/MAX(K$470:K2192)&gt;V2191,V2191,(K2192-MAX(K$470:K2192))/MAX(K$470:K2192))</f>
        <v>-0.84885940676762139</v>
      </c>
      <c r="W2192" s="564">
        <f>IF((N2192-MAX(N$470:N2192))/MAX(N$470:N2192)&gt;W2191,W2191,(N2192-MAX(N$470:N2192))/MAX(N$470:N2192))</f>
        <v>-0.62788758315546067</v>
      </c>
      <c r="X2192" s="564">
        <f>IF((O2192-MAX(O$470:O2192))/MAX(O$470:O2192)&gt;X2191,X2191,(O2192-MAX(O$470:O2192))/MAX(O$470:O2192))</f>
        <v>-0.62788758315546067</v>
      </c>
    </row>
    <row r="2193" spans="1:24">
      <c r="A2193" s="799">
        <v>42595</v>
      </c>
      <c r="B2193">
        <v>588.94100000000003</v>
      </c>
      <c r="C2193">
        <v>4771.9675090000001</v>
      </c>
      <c r="D2193">
        <v>1.6024529999999999</v>
      </c>
      <c r="E2193">
        <f>LN(D2193/参数实验室!$E$53)/参数实验室!$E$55</f>
        <v>-0.13667266352438032</v>
      </c>
      <c r="F2193">
        <f t="shared" si="288"/>
        <v>8.1026240472305364</v>
      </c>
      <c r="G2193">
        <f>LN(F2193/参数实验室!$E$58)/参数实验室!$E$59</f>
        <v>0.90756328801206365</v>
      </c>
      <c r="H2193" s="856">
        <f>INDEX(神经网络!$G$10:$BO$70,MATCH(ROUND(G2193*2,1)/2,神经网络!$E$10:$E$70,0),MATCH(ROUND(E2193*2,1)/2,神经网络!$G$8:$BO$8,0))</f>
        <v>1.3419999786249148</v>
      </c>
      <c r="I2193">
        <f t="shared" si="280"/>
        <v>761.95205236156505</v>
      </c>
      <c r="J2193">
        <f t="shared" si="281"/>
        <v>235.00299269781681</v>
      </c>
      <c r="K2193">
        <f t="shared" si="282"/>
        <v>3.2423078685697249</v>
      </c>
      <c r="L2193" s="4">
        <f>MIN(MAX(L2192*(1+MAX(MIN(((B2193-B2192)/B2192)/($K$7*卓尔金历!$N$40),0),-卓尔金历!$M$43))+MIN(MAX(((B2193-B2192)/B2192)/($K$7*卓尔金历!$N$40),0),卓尔金历!$M$43),0),1)</f>
        <v>0.9073106454412101</v>
      </c>
      <c r="M2193" s="4">
        <f>MIN(MAX(M2192*(1+MAX(MIN(((B2193-B2192)/B2192)/($K$7*30),0),-卓尔金历!$M$43))+MIN(MAX(((B2193-B2192)/B2192)/($K$7*7),0),卓尔金历!$M$43),0),1)</f>
        <v>0.95328910718001392</v>
      </c>
      <c r="N2193">
        <f t="shared" si="283"/>
        <v>663.00386798979321</v>
      </c>
      <c r="O2193">
        <f t="shared" si="284"/>
        <v>1612.3747144427039</v>
      </c>
      <c r="P2193">
        <f t="shared" si="285"/>
        <v>-1.2870951331185594E-3</v>
      </c>
      <c r="Q2193">
        <f t="shared" si="286"/>
        <v>2.3233875989171499E-2</v>
      </c>
      <c r="R2193">
        <f t="shared" si="287"/>
        <v>1</v>
      </c>
      <c r="S2193">
        <f t="shared" si="279"/>
        <v>15.934561028219031</v>
      </c>
      <c r="T2193" s="564">
        <f>IF((I2193-MAX(I$470:I2193))/MAX(I$470:I2193)&gt;T2192,T2192,(I2193-MAX(I$470:I2193))/MAX(I$470:I2193))</f>
        <v>-0.91338805338419748</v>
      </c>
      <c r="U2193" s="564">
        <f>IF((J2193-MAX(J$470:J2193))/MAX(J$470:J2193)&gt;U2192,U2192,(J2193-MAX(J$470:J2193))/MAX(J$470:J2193))</f>
        <v>-0.8283551177402233</v>
      </c>
      <c r="V2193" s="564">
        <f>IF((K2193-MAX(K$470:K2193))/MAX(K$470:K2193)&gt;V2192,V2192,(K2193-MAX(K$470:K2193))/MAX(K$470:K2193))</f>
        <v>-0.84885940676762139</v>
      </c>
      <c r="W2193" s="564">
        <f>IF((N2193-MAX(N$470:N2193))/MAX(N$470:N2193)&gt;W2192,W2192,(N2193-MAX(N$470:N2193))/MAX(N$470:N2193))</f>
        <v>-0.62788758315546067</v>
      </c>
      <c r="X2193" s="564">
        <f>IF((O2193-MAX(O$470:O2193))/MAX(O$470:O2193)&gt;X2192,X2192,(O2193-MAX(O$470:O2193))/MAX(O$470:O2193))</f>
        <v>-0.62788758315546067</v>
      </c>
    </row>
    <row r="2194" spans="1:24">
      <c r="A2194" s="799">
        <v>42596</v>
      </c>
      <c r="B2194">
        <v>583.58799999999997</v>
      </c>
      <c r="C2194">
        <v>4682.3425930000003</v>
      </c>
      <c r="D2194">
        <v>1.5645100000000001</v>
      </c>
      <c r="E2194">
        <f>LN(D2194/参数实验室!$E$53)/参数实验室!$E$55</f>
        <v>-0.16494297758909521</v>
      </c>
      <c r="F2194">
        <f t="shared" si="288"/>
        <v>8.0233702423627644</v>
      </c>
      <c r="G2194">
        <f>LN(F2194/参数实验室!$E$58)/参数实验室!$E$59</f>
        <v>0.90240428645474835</v>
      </c>
      <c r="H2194" s="856">
        <f>INDEX(神经网络!$G$10:$BO$70,MATCH(ROUND(G2194*2,1)/2,神经网络!$E$10:$E$70,0),MATCH(ROUND(E2194*2,1)/2,神经网络!$G$8:$BO$8,0))</f>
        <v>1.3419999786249148</v>
      </c>
      <c r="I2194">
        <f t="shared" si="280"/>
        <v>752.65798948918905</v>
      </c>
      <c r="J2194">
        <f t="shared" si="281"/>
        <v>232.86700450899752</v>
      </c>
      <c r="K2194">
        <f t="shared" si="282"/>
        <v>3.2321366913967746</v>
      </c>
      <c r="L2194" s="4">
        <f>MIN(MAX(L2193*(1+MAX(MIN(((B2194-B2193)/B2193)/($K$7*卓尔金历!$N$40),0),-卓尔金历!$M$43))+MIN(MAX(((B2194-B2193)/B2193)/($K$7*卓尔金历!$N$40),0),卓尔金历!$M$43),0),1)</f>
        <v>0.78130861636071181</v>
      </c>
      <c r="M2194" s="4">
        <f>MIN(MAX(M2193*(1+MAX(MIN(((B2194-B2193)/B2193)/($K$7*30),0),-卓尔金历!$M$43))+MIN(MAX(((B2194-B2193)/B2193)/($K$7*7),0),卓尔金历!$M$43),0),1)</f>
        <v>0.88709548187177789</v>
      </c>
      <c r="N2194">
        <f t="shared" si="283"/>
        <v>655.66633559840977</v>
      </c>
      <c r="O2194">
        <f t="shared" si="284"/>
        <v>1593.6261261527884</v>
      </c>
      <c r="P2194">
        <f t="shared" si="285"/>
        <v>-9.0891956919285036E-3</v>
      </c>
      <c r="Q2194">
        <f t="shared" si="286"/>
        <v>2.3193924305130953E-2</v>
      </c>
      <c r="R2194">
        <f t="shared" si="287"/>
        <v>0.98180340198108484</v>
      </c>
      <c r="S2194">
        <f t="shared" si="279"/>
        <v>15.740196026404318</v>
      </c>
      <c r="T2194" s="564">
        <f>IF((I2194-MAX(I$470:I2194))/MAX(I$470:I2194)&gt;T2193,T2193,(I2194-MAX(I$470:I2194))/MAX(I$470:I2194))</f>
        <v>-0.91338805338419748</v>
      </c>
      <c r="U2194" s="564">
        <f>IF((J2194-MAX(J$470:J2194))/MAX(J$470:J2194)&gt;U2193,U2193,(J2194-MAX(J$470:J2194))/MAX(J$470:J2194))</f>
        <v>-0.8283551177402233</v>
      </c>
      <c r="V2194" s="564">
        <f>IF((K2194-MAX(K$470:K2194))/MAX(K$470:K2194)&gt;V2193,V2193,(K2194-MAX(K$470:K2194))/MAX(K$470:K2194))</f>
        <v>-0.84885940676762139</v>
      </c>
      <c r="W2194" s="564">
        <f>IF((N2194-MAX(N$470:N2194))/MAX(N$470:N2194)&gt;W2193,W2193,(N2194-MAX(N$470:N2194))/MAX(N$470:N2194))</f>
        <v>-0.62788758315546067</v>
      </c>
      <c r="X2194" s="564">
        <f>IF((O2194-MAX(O$470:O2194))/MAX(O$470:O2194)&gt;X2193,X2193,(O2194-MAX(O$470:O2194))/MAX(O$470:O2194))</f>
        <v>-0.62788758315546067</v>
      </c>
    </row>
    <row r="2195" spans="1:24">
      <c r="A2195" s="799">
        <v>42597</v>
      </c>
      <c r="B2195">
        <v>573.08900000000006</v>
      </c>
      <c r="C2195">
        <v>4719.7879730000004</v>
      </c>
      <c r="D2195">
        <v>1.5518989999999999</v>
      </c>
      <c r="E2195">
        <f>LN(D2195/参数实验室!$E$53)/参数实验室!$E$55</f>
        <v>-0.17449111415945476</v>
      </c>
      <c r="F2195">
        <f t="shared" si="288"/>
        <v>8.2356980730741647</v>
      </c>
      <c r="G2195">
        <f>LN(F2195/参数实验室!$E$58)/参数实验室!$E$59</f>
        <v>0.91611324614366252</v>
      </c>
      <c r="H2195" s="856">
        <f>INDEX(神经网络!$G$10:$BO$70,MATCH(ROUND(G2195*2,1)/2,神经网络!$E$10:$E$70,0),MATCH(ROUND(E2195*2,1)/2,神经网络!$G$8:$BO$8,0))</f>
        <v>1.3419999786249148</v>
      </c>
      <c r="I2195">
        <f t="shared" si="280"/>
        <v>734.4864481038951</v>
      </c>
      <c r="J2195">
        <f t="shared" si="281"/>
        <v>228.67762659111719</v>
      </c>
      <c r="K2195">
        <f t="shared" si="282"/>
        <v>3.2118859157882551</v>
      </c>
      <c r="L2195" s="4">
        <f>MIN(MAX(L2194*(1+MAX(MIN(((B2195-B2194)/B2194)/($K$7*卓尔金历!$N$40),0),-卓尔金历!$M$43))+MIN(MAX(((B2195-B2194)/B2194)/($K$7*卓尔金历!$N$40),0),卓尔金历!$M$43),0),1)</f>
        <v>0.56654521440210959</v>
      </c>
      <c r="M2195" s="4">
        <f>MIN(MAX(M2194*(1+MAX(MIN(((B2195-B2194)/B2194)/($K$7*30),0),-卓尔金历!$M$43))+MIN(MAX(((B2195-B2194)/B2194)/($K$7*7),0),卓尔金历!$M$43),0),1)</f>
        <v>0.76517461759390848</v>
      </c>
      <c r="N2195">
        <f t="shared" si="283"/>
        <v>643.29833233469594</v>
      </c>
      <c r="O2195">
        <f t="shared" si="284"/>
        <v>1559.4949778523587</v>
      </c>
      <c r="P2195">
        <f t="shared" si="285"/>
        <v>-1.7990431605858774E-2</v>
      </c>
      <c r="Q2195">
        <f t="shared" si="286"/>
        <v>2.3302736471528564E-2</v>
      </c>
      <c r="R2195">
        <f t="shared" si="287"/>
        <v>0.28792566566000521</v>
      </c>
      <c r="S2195">
        <f t="shared" si="279"/>
        <v>15.367093009460103</v>
      </c>
      <c r="T2195" s="564">
        <f>IF((I2195-MAX(I$470:I2195))/MAX(I$470:I2195)&gt;T2194,T2194,(I2195-MAX(I$470:I2195))/MAX(I$470:I2195))</f>
        <v>-0.91338805338419748</v>
      </c>
      <c r="U2195" s="564">
        <f>IF((J2195-MAX(J$470:J2195))/MAX(J$470:J2195)&gt;U2194,U2194,(J2195-MAX(J$470:J2195))/MAX(J$470:J2195))</f>
        <v>-0.8283551177402233</v>
      </c>
      <c r="V2195" s="564">
        <f>IF((K2195-MAX(K$470:K2195))/MAX(K$470:K2195)&gt;V2194,V2194,(K2195-MAX(K$470:K2195))/MAX(K$470:K2195))</f>
        <v>-0.84885940676762139</v>
      </c>
      <c r="W2195" s="564">
        <f>IF((N2195-MAX(N$470:N2195))/MAX(N$470:N2195)&gt;W2194,W2194,(N2195-MAX(N$470:N2195))/MAX(N$470:N2195))</f>
        <v>-0.62788758315546067</v>
      </c>
      <c r="X2195" s="564">
        <f>IF((O2195-MAX(O$470:O2195))/MAX(O$470:O2195)&gt;X2194,X2194,(O2195-MAX(O$470:O2195))/MAX(O$470:O2195))</f>
        <v>-0.62788758315546067</v>
      </c>
    </row>
    <row r="2196" spans="1:24">
      <c r="A2196" s="799">
        <v>42598</v>
      </c>
      <c r="B2196">
        <v>569.17399999999998</v>
      </c>
      <c r="C2196">
        <v>4767.3987429999997</v>
      </c>
      <c r="D2196">
        <v>1.5834349999999999</v>
      </c>
      <c r="E2196">
        <f>LN(D2196/参数实验室!$E$53)/参数实验室!$E$55</f>
        <v>-0.15075778748566629</v>
      </c>
      <c r="F2196">
        <f t="shared" si="288"/>
        <v>8.375995289665374</v>
      </c>
      <c r="G2196">
        <f>LN(F2196/参数实验室!$E$58)/参数实验室!$E$59</f>
        <v>0.92497896628770648</v>
      </c>
      <c r="H2196" s="856">
        <f>INDEX(神经网络!$G$10:$BO$70,MATCH(ROUND(G2196*2,1)/2,神经网络!$E$10:$E$70,0),MATCH(ROUND(E2196*2,1)/2,神经网络!$G$8:$BO$8,0))</f>
        <v>1.3419999786249148</v>
      </c>
      <c r="I2196">
        <f t="shared" si="280"/>
        <v>727.75286863749079</v>
      </c>
      <c r="J2196">
        <f t="shared" si="281"/>
        <v>227.11543833047315</v>
      </c>
      <c r="K2196">
        <f t="shared" si="282"/>
        <v>3.204330247151872</v>
      </c>
      <c r="L2196" s="4">
        <f>MIN(MAX(L2195*(1+MAX(MIN(((B2196-B2195)/B2195)/($K$7*卓尔金历!$N$40),0),-卓尔金历!$M$43))+MIN(MAX(((B2196-B2195)/B2195)/($K$7*卓尔金历!$N$40),0),卓尔金历!$M$43),0),1)</f>
        <v>0.50741079356888352</v>
      </c>
      <c r="M2196" s="4">
        <f>MIN(MAX(M2195*(1+MAX(MIN(((B2196-B2195)/B2195)/($K$7*30),0),-卓尔金历!$M$43))+MIN(MAX(((B2196-B2195)/B2195)/($K$7*7),0),卓尔金历!$M$43),0),1)</f>
        <v>0.72524121360650329</v>
      </c>
      <c r="N2196">
        <f t="shared" si="283"/>
        <v>639.95708055037323</v>
      </c>
      <c r="O2196">
        <f t="shared" si="284"/>
        <v>1548.5552444532962</v>
      </c>
      <c r="P2196">
        <f t="shared" si="285"/>
        <v>-6.83139966043682E-3</v>
      </c>
      <c r="Q2196">
        <f t="shared" si="286"/>
        <v>2.3278264861414405E-2</v>
      </c>
      <c r="R2196">
        <f t="shared" si="287"/>
        <v>1</v>
      </c>
      <c r="S2196">
        <f t="shared" si="279"/>
        <v>15.326529613945478</v>
      </c>
      <c r="T2196" s="564">
        <f>IF((I2196-MAX(I$470:I2196))/MAX(I$470:I2196)&gt;T2195,T2195,(I2196-MAX(I$470:I2196))/MAX(I$470:I2196))</f>
        <v>-0.91338805338419748</v>
      </c>
      <c r="U2196" s="564">
        <f>IF((J2196-MAX(J$470:J2196))/MAX(J$470:J2196)&gt;U2195,U2195,(J2196-MAX(J$470:J2196))/MAX(J$470:J2196))</f>
        <v>-0.8283551177402233</v>
      </c>
      <c r="V2196" s="564">
        <f>IF((K2196-MAX(K$470:K2196))/MAX(K$470:K2196)&gt;V2195,V2195,(K2196-MAX(K$470:K2196))/MAX(K$470:K2196))</f>
        <v>-0.84885940676762139</v>
      </c>
      <c r="W2196" s="564">
        <f>IF((N2196-MAX(N$470:N2196))/MAX(N$470:N2196)&gt;W2195,W2195,(N2196-MAX(N$470:N2196))/MAX(N$470:N2196))</f>
        <v>-0.62788758315546067</v>
      </c>
      <c r="X2196" s="564">
        <f>IF((O2196-MAX(O$470:O2196))/MAX(O$470:O2196)&gt;X2195,X2195,(O2196-MAX(O$470:O2196))/MAX(O$470:O2196))</f>
        <v>-0.62788758315546067</v>
      </c>
    </row>
    <row r="2197" spans="1:24">
      <c r="A2197" s="799">
        <v>42599</v>
      </c>
      <c r="B2197">
        <v>580.452</v>
      </c>
      <c r="C2197">
        <v>4852.5455009999996</v>
      </c>
      <c r="D2197">
        <v>1.570675</v>
      </c>
      <c r="E2197">
        <f>LN(D2197/参数实验室!$E$53)/参数实验室!$E$55</f>
        <v>-0.16030325896101019</v>
      </c>
      <c r="F2197">
        <f t="shared" si="288"/>
        <v>8.3599427704616396</v>
      </c>
      <c r="G2197">
        <f>LN(F2197/参数实验室!$E$58)/参数实验室!$E$59</f>
        <v>0.92397212315059818</v>
      </c>
      <c r="H2197" s="856">
        <f>INDEX(神经网络!$G$10:$BO$70,MATCH(ROUND(G2197*2,1)/2,神经网络!$E$10:$E$70,0),MATCH(ROUND(E2197*2,1)/2,神经网络!$G$8:$BO$8,0))</f>
        <v>1.3419999786249148</v>
      </c>
      <c r="I2197">
        <f t="shared" si="280"/>
        <v>747.10476243553569</v>
      </c>
      <c r="J2197">
        <f t="shared" si="281"/>
        <v>231.61565779497974</v>
      </c>
      <c r="K2197">
        <f t="shared" si="282"/>
        <v>3.2256228682814427</v>
      </c>
      <c r="L2197" s="4">
        <f>MIN(MAX(L2196*(1+MAX(MIN(((B2197-B2196)/B2196)/($K$7*卓尔金历!$N$40),0),-卓尔金历!$M$43))+MIN(MAX(((B2197-B2196)/B2196)/($K$7*卓尔金历!$N$40),0),卓尔金历!$M$43),0),1)</f>
        <v>0.81016007114133548</v>
      </c>
      <c r="M2197" s="4">
        <f>MIN(MAX(M2196*(1+MAX(MIN(((B2197-B2196)/B2196)/($K$7*30),0),-卓尔金历!$M$43))+MIN(MAX(((B2197-B2196)/B2196)/($K$7*7),0),卓尔金历!$M$43),0),1)</f>
        <v>1</v>
      </c>
      <c r="N2197">
        <f t="shared" si="283"/>
        <v>648.59183706502392</v>
      </c>
      <c r="O2197">
        <f t="shared" si="284"/>
        <v>1578.4192959153379</v>
      </c>
      <c r="P2197">
        <f t="shared" si="285"/>
        <v>1.9814678815265666E-2</v>
      </c>
      <c r="Q2197">
        <f t="shared" si="286"/>
        <v>2.3736186781468518E-2</v>
      </c>
      <c r="R2197">
        <f t="shared" si="287"/>
        <v>0.20805953593836685</v>
      </c>
      <c r="S2197">
        <f t="shared" si="279"/>
        <v>15.734081938592384</v>
      </c>
      <c r="T2197" s="564">
        <f>IF((I2197-MAX(I$470:I2197))/MAX(I$470:I2197)&gt;T2196,T2196,(I2197-MAX(I$470:I2197))/MAX(I$470:I2197))</f>
        <v>-0.91338805338419748</v>
      </c>
      <c r="U2197" s="564">
        <f>IF((J2197-MAX(J$470:J2197))/MAX(J$470:J2197)&gt;U2196,U2196,(J2197-MAX(J$470:J2197))/MAX(J$470:J2197))</f>
        <v>-0.8283551177402233</v>
      </c>
      <c r="V2197" s="564">
        <f>IF((K2197-MAX(K$470:K2197))/MAX(K$470:K2197)&gt;V2196,V2196,(K2197-MAX(K$470:K2197))/MAX(K$470:K2197))</f>
        <v>-0.84885940676762139</v>
      </c>
      <c r="W2197" s="564">
        <f>IF((N2197-MAX(N$470:N2197))/MAX(N$470:N2197)&gt;W2196,W2196,(N2197-MAX(N$470:N2197))/MAX(N$470:N2197))</f>
        <v>-0.62788758315546067</v>
      </c>
      <c r="X2197" s="564">
        <f>IF((O2197-MAX(O$470:O2197))/MAX(O$470:O2197)&gt;X2196,X2196,(O2197-MAX(O$470:O2197))/MAX(O$470:O2197))</f>
        <v>-0.62788758315546067</v>
      </c>
    </row>
    <row r="2198" spans="1:24">
      <c r="A2198" s="799">
        <v>42600</v>
      </c>
      <c r="B2198">
        <v>574.17999999999995</v>
      </c>
      <c r="C2198">
        <v>4767.4336249999997</v>
      </c>
      <c r="D2198">
        <v>1.5694349999999999</v>
      </c>
      <c r="E2198">
        <f>LN(D2198/参数实验室!$E$53)/参数实验室!$E$55</f>
        <v>-0.16123500600080581</v>
      </c>
      <c r="F2198">
        <f t="shared" si="288"/>
        <v>8.3030297554773771</v>
      </c>
      <c r="G2198">
        <f>LN(F2198/参数实验室!$E$58)/参数实验室!$E$59</f>
        <v>0.9203867914061894</v>
      </c>
      <c r="H2198" s="856">
        <f>INDEX(神经网络!$G$10:$BO$70,MATCH(ROUND(G2198*2,1)/2,神经网络!$E$10:$E$70,0),MATCH(ROUND(E2198*2,1)/2,神经网络!$G$8:$BO$8,0))</f>
        <v>1.3419999786249148</v>
      </c>
      <c r="I2198">
        <f t="shared" si="280"/>
        <v>736.27113861173291</v>
      </c>
      <c r="J2198">
        <f t="shared" si="281"/>
        <v>229.11296436694411</v>
      </c>
      <c r="K2198">
        <f t="shared" si="282"/>
        <v>3.2135725738877499</v>
      </c>
      <c r="L2198" s="4">
        <f>MIN(MAX(L2197*(1+MAX(MIN(((B2198-B2197)/B2197)/($K$7*卓尔金历!$N$40),0),-卓尔金历!$M$43))+MIN(MAX(((B2198-B2197)/B2197)/($K$7*卓尔金历!$N$40),0),卓尔金历!$M$43),0),1)</f>
        <v>0.67640611039750209</v>
      </c>
      <c r="M2198" s="4">
        <f>MIN(MAX(M2197*(1+MAX(MIN(((B2198-B2197)/B2197)/($K$7*30),0),-卓尔金历!$M$43))+MIN(MAX(((B2198-B2197)/B2197)/($K$7*7),0),卓尔金历!$M$43),0),1)</f>
        <v>0.91745213970160011</v>
      </c>
      <c r="N2198">
        <f t="shared" si="283"/>
        <v>640.97219518312625</v>
      </c>
      <c r="O2198">
        <f t="shared" si="284"/>
        <v>1555.5309384212255</v>
      </c>
      <c r="P2198">
        <f t="shared" si="285"/>
        <v>-1.0805372364984613E-2</v>
      </c>
      <c r="Q2198">
        <f t="shared" si="286"/>
        <v>2.3697721843422288E-2</v>
      </c>
      <c r="R2198">
        <f t="shared" si="287"/>
        <v>0.82771252323626499</v>
      </c>
      <c r="S2198">
        <f t="shared" si="279"/>
        <v>15.686611714743357</v>
      </c>
      <c r="T2198" s="564">
        <f>IF((I2198-MAX(I$470:I2198))/MAX(I$470:I2198)&gt;T2197,T2197,(I2198-MAX(I$470:I2198))/MAX(I$470:I2198))</f>
        <v>-0.91338805338419748</v>
      </c>
      <c r="U2198" s="564">
        <f>IF((J2198-MAX(J$470:J2198))/MAX(J$470:J2198)&gt;U2197,U2197,(J2198-MAX(J$470:J2198))/MAX(J$470:J2198))</f>
        <v>-0.8283551177402233</v>
      </c>
      <c r="V2198" s="564">
        <f>IF((K2198-MAX(K$470:K2198))/MAX(K$470:K2198)&gt;V2197,V2197,(K2198-MAX(K$470:K2198))/MAX(K$470:K2198))</f>
        <v>-0.84885940676762139</v>
      </c>
      <c r="W2198" s="564">
        <f>IF((N2198-MAX(N$470:N2198))/MAX(N$470:N2198)&gt;W2197,W2197,(N2198-MAX(N$470:N2198))/MAX(N$470:N2198))</f>
        <v>-0.62788758315546067</v>
      </c>
      <c r="X2198" s="564">
        <f>IF((O2198-MAX(O$470:O2198))/MAX(O$470:O2198)&gt;X2197,X2197,(O2198-MAX(O$470:O2198))/MAX(O$470:O2198))</f>
        <v>-0.62788758315546067</v>
      </c>
    </row>
    <row r="2199" spans="1:24">
      <c r="A2199" s="799">
        <v>42601</v>
      </c>
      <c r="B2199">
        <v>574.94799999999998</v>
      </c>
      <c r="C2199">
        <v>4756.0860869999997</v>
      </c>
      <c r="D2199">
        <v>1.5709759999999999</v>
      </c>
      <c r="E2199">
        <f>LN(D2199/参数实验室!$E$53)/参数实验室!$E$55</f>
        <v>-0.1600771958320871</v>
      </c>
      <c r="F2199">
        <f t="shared" si="288"/>
        <v>8.2722021591517834</v>
      </c>
      <c r="G2199">
        <f>LN(F2199/参数实验室!$E$58)/参数实验室!$E$59</f>
        <v>0.91843447999247452</v>
      </c>
      <c r="H2199" s="856">
        <f>INDEX(神经网络!$G$10:$BO$70,MATCH(ROUND(G2199*2,1)/2,神经网络!$E$10:$E$70,0),MATCH(ROUND(E2199*2,1)/2,神经网络!$G$8:$BO$8,0))</f>
        <v>1.3419999786249148</v>
      </c>
      <c r="I2199">
        <f t="shared" si="280"/>
        <v>737.59274900316132</v>
      </c>
      <c r="J2199">
        <f t="shared" si="281"/>
        <v>229.41941662343828</v>
      </c>
      <c r="K2199">
        <f t="shared" si="282"/>
        <v>3.2150406441570833</v>
      </c>
      <c r="L2199" s="4">
        <f>MIN(MAX(L2198*(1+MAX(MIN(((B2199-B2198)/B2198)/($K$7*卓尔金历!$N$40),0),-卓尔金历!$M$43))+MIN(MAX(((B2199-B2198)/B2198)/($K$7*卓尔金历!$N$40),0),卓尔金历!$M$43),0),1)</f>
        <v>0.69684273829386467</v>
      </c>
      <c r="M2199" s="4">
        <f>MIN(MAX(M2198*(1+MAX(MIN(((B2199-B2198)/B2198)/($K$7*30),0),-卓尔金历!$M$43))+MIN(MAX(((B2199-B2198)/B2198)/($K$7*7),0),卓尔金历!$M$43),0),1)</f>
        <v>0.96124491376523413</v>
      </c>
      <c r="N2199">
        <f t="shared" si="283"/>
        <v>641.7504330898945</v>
      </c>
      <c r="O2199">
        <f t="shared" si="284"/>
        <v>1558.0926353005264</v>
      </c>
      <c r="P2199">
        <f t="shared" si="285"/>
        <v>1.337559650283934E-3</v>
      </c>
      <c r="Q2199">
        <f t="shared" si="286"/>
        <v>2.3710192090457126E-2</v>
      </c>
      <c r="R2199">
        <f t="shared" si="287"/>
        <v>1</v>
      </c>
      <c r="S2199">
        <f t="shared" ref="S2199:S2262" si="289">S2198*(1+(B2199-B2198)/B2198*H2198*R2198)</f>
        <v>15.709918068859578</v>
      </c>
      <c r="T2199" s="564">
        <f>IF((I2199-MAX(I$470:I2199))/MAX(I$470:I2199)&gt;T2198,T2198,(I2199-MAX(I$470:I2199))/MAX(I$470:I2199))</f>
        <v>-0.91338805338419748</v>
      </c>
      <c r="U2199" s="564">
        <f>IF((J2199-MAX(J$470:J2199))/MAX(J$470:J2199)&gt;U2198,U2198,(J2199-MAX(J$470:J2199))/MAX(J$470:J2199))</f>
        <v>-0.8283551177402233</v>
      </c>
      <c r="V2199" s="564">
        <f>IF((K2199-MAX(K$470:K2199))/MAX(K$470:K2199)&gt;V2198,V2198,(K2199-MAX(K$470:K2199))/MAX(K$470:K2199))</f>
        <v>-0.84885940676762139</v>
      </c>
      <c r="W2199" s="564">
        <f>IF((N2199-MAX(N$470:N2199))/MAX(N$470:N2199)&gt;W2198,W2198,(N2199-MAX(N$470:N2199))/MAX(N$470:N2199))</f>
        <v>-0.62788758315546067</v>
      </c>
      <c r="X2199" s="564">
        <f>IF((O2199-MAX(O$470:O2199))/MAX(O$470:O2199)&gt;X2198,X2198,(O2199-MAX(O$470:O2199))/MAX(O$470:O2199))</f>
        <v>-0.62788758315546067</v>
      </c>
    </row>
    <row r="2200" spans="1:24">
      <c r="A2200" s="799">
        <v>42602</v>
      </c>
      <c r="B2200">
        <v>579.78700000000003</v>
      </c>
      <c r="C2200">
        <v>4686.1588700000002</v>
      </c>
      <c r="D2200">
        <v>1.589429</v>
      </c>
      <c r="E2200">
        <f>LN(D2200/参数实验室!$E$53)/参数实验室!$E$55</f>
        <v>-0.1463003324187391</v>
      </c>
      <c r="F2200">
        <f t="shared" si="288"/>
        <v>8.0825525063514707</v>
      </c>
      <c r="G2200">
        <f>LN(F2200/参数实验室!$E$58)/参数实验室!$E$59</f>
        <v>0.90626152466746646</v>
      </c>
      <c r="H2200" s="856">
        <f>INDEX(神经网络!$G$10:$BO$70,MATCH(ROUND(G2200*2,1)/2,神经网络!$E$10:$E$70,0),MATCH(ROUND(E2200*2,1)/2,神经网络!$G$8:$BO$8,0))</f>
        <v>1.3419999786249148</v>
      </c>
      <c r="I2200">
        <f t="shared" ref="I2200:I2263" si="290">I2199*(1+(B2200-B2199)/B2199*H2199)</f>
        <v>745.92373111803772</v>
      </c>
      <c r="J2200">
        <f t="shared" ref="J2200:J2263" si="291">J2199*B2200/B2199</f>
        <v>231.35030525517686</v>
      </c>
      <c r="K2200">
        <f t="shared" ref="K2200:K2263" si="292">I2200/J2200</f>
        <v>3.2242176222559635</v>
      </c>
      <c r="L2200" s="4">
        <f>MIN(MAX(L2199*(1+MAX(MIN(((B2200-B2199)/B2199)/($K$7*卓尔金历!$N$40),0),-卓尔金历!$M$43))+MIN(MAX(((B2200-B2199)/B2199)/($K$7*卓尔金历!$N$40),0),卓尔金历!$M$43),0),1)</f>
        <v>0.82543745704944227</v>
      </c>
      <c r="M2200" s="4">
        <f>MIN(MAX(M2199*(1+MAX(MIN(((B2200-B2199)/B2199)/($K$7*30),0),-卓尔金历!$M$43))+MIN(MAX(((B2200-B2199)/B2199)/($K$7*7),0),卓尔金历!$M$43),0),1)</f>
        <v>1</v>
      </c>
      <c r="N2200">
        <f t="shared" ref="N2200:N2263" si="293">N2199*(1+(B2200-B2199)/B2199*H2199*L2199)</f>
        <v>646.80146965623703</v>
      </c>
      <c r="O2200">
        <f t="shared" ref="O2200:O2263" si="294">O2199*(1+(B2200-B2199)/B2199*H2199*M2199)</f>
        <v>1575.0089942947336</v>
      </c>
      <c r="P2200">
        <f t="shared" ref="P2200:P2263" si="295">(B2200-B2199)/B2199</f>
        <v>8.4164133104212124E-3</v>
      </c>
      <c r="Q2200">
        <f t="shared" si="286"/>
        <v>2.3869247115154105E-2</v>
      </c>
      <c r="R2200">
        <f t="shared" si="287"/>
        <v>1</v>
      </c>
      <c r="S2200">
        <f t="shared" si="289"/>
        <v>15.887358867504524</v>
      </c>
      <c r="T2200" s="564">
        <f>IF((I2200-MAX(I$470:I2200))/MAX(I$470:I2200)&gt;T2199,T2199,(I2200-MAX(I$470:I2200))/MAX(I$470:I2200))</f>
        <v>-0.91338805338419748</v>
      </c>
      <c r="U2200" s="564">
        <f>IF((J2200-MAX(J$470:J2200))/MAX(J$470:J2200)&gt;U2199,U2199,(J2200-MAX(J$470:J2200))/MAX(J$470:J2200))</f>
        <v>-0.8283551177402233</v>
      </c>
      <c r="V2200" s="564">
        <f>IF((K2200-MAX(K$470:K2200))/MAX(K$470:K2200)&gt;V2199,V2199,(K2200-MAX(K$470:K2200))/MAX(K$470:K2200))</f>
        <v>-0.84885940676762139</v>
      </c>
      <c r="W2200" s="564">
        <f>IF((N2200-MAX(N$470:N2200))/MAX(N$470:N2200)&gt;W2199,W2199,(N2200-MAX(N$470:N2200))/MAX(N$470:N2200))</f>
        <v>-0.62788758315546067</v>
      </c>
      <c r="X2200" s="564">
        <f>IF((O2200-MAX(O$470:O2200))/MAX(O$470:O2200)&gt;X2199,X2199,(O2200-MAX(O$470:O2200))/MAX(O$470:O2200))</f>
        <v>-0.62788758315546067</v>
      </c>
    </row>
    <row r="2201" spans="1:24">
      <c r="A2201" s="799">
        <v>42603</v>
      </c>
      <c r="B2201">
        <v>583.08100000000002</v>
      </c>
      <c r="C2201">
        <v>4579.9087179999997</v>
      </c>
      <c r="D2201">
        <v>1.586252</v>
      </c>
      <c r="E2201">
        <f>LN(D2201/参数实验室!$E$53)/参数实验室!$E$55</f>
        <v>-0.14866081970099265</v>
      </c>
      <c r="F2201">
        <f t="shared" si="288"/>
        <v>7.8546697937336312</v>
      </c>
      <c r="G2201">
        <f>LN(F2201/参数实验室!$E$58)/参数实验室!$E$59</f>
        <v>0.89125096472163357</v>
      </c>
      <c r="H2201" s="856">
        <f>INDEX(神经网络!$G$10:$BO$70,MATCH(ROUND(G2201*2,1)/2,神经网络!$E$10:$E$70,0),MATCH(ROUND(E2201*2,1)/2,神经网络!$G$8:$BO$8,0))</f>
        <v>1.3419999786249148</v>
      </c>
      <c r="I2201">
        <f t="shared" si="290"/>
        <v>751.6109776503439</v>
      </c>
      <c r="J2201">
        <f t="shared" si="291"/>
        <v>232.66469813654632</v>
      </c>
      <c r="K2201">
        <f t="shared" si="292"/>
        <v>3.2304470066586477</v>
      </c>
      <c r="L2201" s="4">
        <f>MIN(MAX(L2200*(1+MAX(MIN(((B2201-B2200)/B2200)/($K$7*卓尔金历!$N$40),0),-卓尔金历!$M$43))+MIN(MAX(((B2201-B2200)/B2200)/($K$7*卓尔金历!$N$40),0),卓尔金历!$M$43),0),1)</f>
        <v>0.912243747953979</v>
      </c>
      <c r="M2201" s="4">
        <f>MIN(MAX(M2200*(1+MAX(MIN(((B2201-B2200)/B2200)/($K$7*30),0),-卓尔金历!$M$43))+MIN(MAX(((B2201-B2200)/B2200)/($K$7*7),0),卓尔金历!$M$43),0),1)</f>
        <v>1</v>
      </c>
      <c r="N2201">
        <f t="shared" si="293"/>
        <v>650.87211064174085</v>
      </c>
      <c r="O2201">
        <f t="shared" si="294"/>
        <v>1587.0175470025656</v>
      </c>
      <c r="P2201">
        <f t="shared" si="295"/>
        <v>5.6813967888206919E-3</v>
      </c>
      <c r="Q2201">
        <f t="shared" si="286"/>
        <v>2.3479019827912982E-2</v>
      </c>
      <c r="R2201">
        <f t="shared" si="287"/>
        <v>1</v>
      </c>
      <c r="S2201">
        <f t="shared" si="289"/>
        <v>16.008490992489055</v>
      </c>
      <c r="T2201" s="564">
        <f>IF((I2201-MAX(I$470:I2201))/MAX(I$470:I2201)&gt;T2200,T2200,(I2201-MAX(I$470:I2201))/MAX(I$470:I2201))</f>
        <v>-0.91338805338419748</v>
      </c>
      <c r="U2201" s="564">
        <f>IF((J2201-MAX(J$470:J2201))/MAX(J$470:J2201)&gt;U2200,U2200,(J2201-MAX(J$470:J2201))/MAX(J$470:J2201))</f>
        <v>-0.8283551177402233</v>
      </c>
      <c r="V2201" s="564">
        <f>IF((K2201-MAX(K$470:K2201))/MAX(K$470:K2201)&gt;V2200,V2200,(K2201-MAX(K$470:K2201))/MAX(K$470:K2201))</f>
        <v>-0.84885940676762139</v>
      </c>
      <c r="W2201" s="564">
        <f>IF((N2201-MAX(N$470:N2201))/MAX(N$470:N2201)&gt;W2200,W2200,(N2201-MAX(N$470:N2201))/MAX(N$470:N2201))</f>
        <v>-0.62788758315546067</v>
      </c>
      <c r="X2201" s="564">
        <f>IF((O2201-MAX(O$470:O2201))/MAX(O$470:O2201)&gt;X2200,X2200,(O2201-MAX(O$470:O2201))/MAX(O$470:O2201))</f>
        <v>-0.62788758315546067</v>
      </c>
    </row>
    <row r="2202" spans="1:24">
      <c r="A2202" s="799">
        <v>42604</v>
      </c>
      <c r="B2202">
        <v>580.79899999999998</v>
      </c>
      <c r="C2202">
        <v>4498.1552709999996</v>
      </c>
      <c r="D2202">
        <v>1.5971439999999999</v>
      </c>
      <c r="E2202">
        <f>LN(D2202/参数实验室!$E$53)/参数实验室!$E$55</f>
        <v>-0.14058772890309409</v>
      </c>
      <c r="F2202">
        <f t="shared" si="288"/>
        <v>7.744771032663623</v>
      </c>
      <c r="G2202">
        <f>LN(F2202/参数实验室!$E$58)/参数实验室!$E$59</f>
        <v>0.88385560176836475</v>
      </c>
      <c r="H2202" s="856">
        <f>INDEX(神经网络!$G$10:$BO$70,MATCH(ROUND(G2202*2,1)/2,神经网络!$E$10:$E$70,0),MATCH(ROUND(E2202*2,1)/2,神经网络!$G$8:$BO$8,0))</f>
        <v>1.3419999786249148</v>
      </c>
      <c r="I2202">
        <f t="shared" si="290"/>
        <v>747.66338461922567</v>
      </c>
      <c r="J2202">
        <f t="shared" si="291"/>
        <v>231.75411994732798</v>
      </c>
      <c r="K2202">
        <f t="shared" si="292"/>
        <v>3.2261061196631635</v>
      </c>
      <c r="L2202" s="4">
        <f>MIN(MAX(L2201*(1+MAX(MIN(((B2202-B2201)/B2201)/($K$7*卓尔金历!$N$40),0),-卓尔金历!$M$43))+MIN(MAX(((B2202-B2201)/B2201)/($K$7*卓尔金历!$N$40),0),卓尔金历!$M$43),0),1)</f>
        <v>0.8576938774196966</v>
      </c>
      <c r="M2202" s="4">
        <f>MIN(MAX(M2201*(1+MAX(MIN(((B2202-B2201)/B2201)/($K$7*30),0),-卓尔金历!$M$43))+MIN(MAX(((B2202-B2201)/B2201)/($K$7*7),0),卓尔金历!$M$43),0),1)</f>
        <v>0.97010126369370608</v>
      </c>
      <c r="N2202">
        <f t="shared" si="293"/>
        <v>647.75361014589555</v>
      </c>
      <c r="O2202">
        <f t="shared" si="294"/>
        <v>1578.6822517566197</v>
      </c>
      <c r="P2202">
        <f t="shared" si="295"/>
        <v>-3.9136929517511959E-3</v>
      </c>
      <c r="Q2202">
        <f t="shared" si="286"/>
        <v>2.3023245145280924E-2</v>
      </c>
      <c r="R2202">
        <f t="shared" si="287"/>
        <v>1</v>
      </c>
      <c r="S2202">
        <f t="shared" si="289"/>
        <v>15.924411582581783</v>
      </c>
      <c r="T2202" s="564">
        <f>IF((I2202-MAX(I$470:I2202))/MAX(I$470:I2202)&gt;T2201,T2201,(I2202-MAX(I$470:I2202))/MAX(I$470:I2202))</f>
        <v>-0.91338805338419748</v>
      </c>
      <c r="U2202" s="564">
        <f>IF((J2202-MAX(J$470:J2202))/MAX(J$470:J2202)&gt;U2201,U2201,(J2202-MAX(J$470:J2202))/MAX(J$470:J2202))</f>
        <v>-0.8283551177402233</v>
      </c>
      <c r="V2202" s="564">
        <f>IF((K2202-MAX(K$470:K2202))/MAX(K$470:K2202)&gt;V2201,V2201,(K2202-MAX(K$470:K2202))/MAX(K$470:K2202))</f>
        <v>-0.84885940676762139</v>
      </c>
      <c r="W2202" s="564">
        <f>IF((N2202-MAX(N$470:N2202))/MAX(N$470:N2202)&gt;W2201,W2201,(N2202-MAX(N$470:N2202))/MAX(N$470:N2202))</f>
        <v>-0.62788758315546067</v>
      </c>
      <c r="X2202" s="564">
        <f>IF((O2202-MAX(O$470:O2202))/MAX(O$470:O2202)&gt;X2201,X2201,(O2202-MAX(O$470:O2202))/MAX(O$470:O2202))</f>
        <v>-0.62788758315546067</v>
      </c>
    </row>
    <row r="2203" spans="1:24">
      <c r="A2203" s="799">
        <v>42605</v>
      </c>
      <c r="B2203">
        <v>583.05999999999995</v>
      </c>
      <c r="C2203">
        <v>4430.1969330000002</v>
      </c>
      <c r="D2203">
        <v>1.590711</v>
      </c>
      <c r="E2203">
        <f>LN(D2203/参数实验室!$E$53)/参数实验室!$E$55</f>
        <v>-0.14534915181618571</v>
      </c>
      <c r="F2203">
        <f t="shared" si="288"/>
        <v>7.5981836054608456</v>
      </c>
      <c r="G2203">
        <f>LN(F2203/参数实验室!$E$58)/参数实验室!$E$59</f>
        <v>0.87382632817527228</v>
      </c>
      <c r="H2203" s="856">
        <f>INDEX(神经网络!$G$10:$BO$70,MATCH(ROUND(G2203*2,1)/2,神经网络!$E$10:$E$70,0),MATCH(ROUND(E2203*2,1)/2,神经网络!$G$8:$BO$8,0))</f>
        <v>1.3258096011007201</v>
      </c>
      <c r="I2203">
        <f t="shared" si="290"/>
        <v>751.5693943757982</v>
      </c>
      <c r="J2203">
        <f t="shared" si="291"/>
        <v>232.65631858265775</v>
      </c>
      <c r="K2203">
        <f t="shared" si="292"/>
        <v>3.230384624644449</v>
      </c>
      <c r="L2203" s="4">
        <f>MIN(MAX(L2202*(1+MAX(MIN(((B2203-B2202)/B2202)/($K$7*卓尔金历!$N$40),0),-卓尔金历!$M$43))+MIN(MAX(((B2203-B2202)/B2202)/($K$7*卓尔金历!$N$40),0),卓尔金历!$M$43),0),1)</f>
        <v>0.91717385290280118</v>
      </c>
      <c r="M2203" s="4">
        <f>MIN(MAX(M2202*(1+MAX(MIN(((B2203-B2202)/B2202)/($K$7*30),0),-卓尔金历!$M$43))+MIN(MAX(((B2203-B2202)/B2202)/($K$7*7),0),卓尔金历!$M$43),0),1)</f>
        <v>1</v>
      </c>
      <c r="N2203">
        <f t="shared" si="293"/>
        <v>650.65609099813616</v>
      </c>
      <c r="O2203">
        <f t="shared" si="294"/>
        <v>1586.6831548098064</v>
      </c>
      <c r="P2203">
        <f t="shared" si="295"/>
        <v>3.892913038762063E-3</v>
      </c>
      <c r="Q2203">
        <f t="shared" si="286"/>
        <v>2.2189376181592835E-2</v>
      </c>
      <c r="R2203">
        <f t="shared" si="287"/>
        <v>1</v>
      </c>
      <c r="S2203">
        <f t="shared" si="289"/>
        <v>16.007605314264818</v>
      </c>
      <c r="T2203" s="564">
        <f>IF((I2203-MAX(I$470:I2203))/MAX(I$470:I2203)&gt;T2202,T2202,(I2203-MAX(I$470:I2203))/MAX(I$470:I2203))</f>
        <v>-0.91338805338419748</v>
      </c>
      <c r="U2203" s="564">
        <f>IF((J2203-MAX(J$470:J2203))/MAX(J$470:J2203)&gt;U2202,U2202,(J2203-MAX(J$470:J2203))/MAX(J$470:J2203))</f>
        <v>-0.8283551177402233</v>
      </c>
      <c r="V2203" s="564">
        <f>IF((K2203-MAX(K$470:K2203))/MAX(K$470:K2203)&gt;V2202,V2202,(K2203-MAX(K$470:K2203))/MAX(K$470:K2203))</f>
        <v>-0.84885940676762139</v>
      </c>
      <c r="W2203" s="564">
        <f>IF((N2203-MAX(N$470:N2203))/MAX(N$470:N2203)&gt;W2202,W2202,(N2203-MAX(N$470:N2203))/MAX(N$470:N2203))</f>
        <v>-0.62788758315546067</v>
      </c>
      <c r="X2203" s="564">
        <f>IF((O2203-MAX(O$470:O2203))/MAX(O$470:O2203)&gt;X2202,X2202,(O2203-MAX(O$470:O2203))/MAX(O$470:O2203))</f>
        <v>-0.62788758315546067</v>
      </c>
    </row>
    <row r="2204" spans="1:24">
      <c r="A2204" s="799">
        <v>42606</v>
      </c>
      <c r="B2204">
        <v>582.59400000000005</v>
      </c>
      <c r="C2204">
        <v>4369.5491739999998</v>
      </c>
      <c r="D2204">
        <v>1.5803389999999999</v>
      </c>
      <c r="E2204">
        <f>LN(D2204/参数实验室!$E$53)/参数实验室!$E$55</f>
        <v>-0.15306674963608549</v>
      </c>
      <c r="F2204">
        <f t="shared" si="288"/>
        <v>7.500161646017637</v>
      </c>
      <c r="G2204">
        <f>LN(F2204/参数实验室!$E$58)/参数实验室!$E$59</f>
        <v>0.86701128404910799</v>
      </c>
      <c r="H2204" s="856">
        <f>INDEX(神经网络!$G$10:$BO$70,MATCH(ROUND(G2204*2,1)/2,神经网络!$E$10:$E$70,0),MATCH(ROUND(E2204*2,1)/2,神经网络!$G$8:$BO$8,0))</f>
        <v>1.3258096011007201</v>
      </c>
      <c r="I2204">
        <f t="shared" si="290"/>
        <v>750.77300966370376</v>
      </c>
      <c r="J2204">
        <f t="shared" si="291"/>
        <v>232.47037229160796</v>
      </c>
      <c r="K2204">
        <f t="shared" si="292"/>
        <v>3.2295427682369064</v>
      </c>
      <c r="L2204" s="4">
        <f>MIN(MAX(L2203*(1+MAX(MIN(((B2204-B2203)/B2203)/($K$7*卓尔金历!$N$40),0),-卓尔金历!$M$43))+MIN(MAX(((B2204-B2203)/B2203)/($K$7*卓尔金历!$N$40),0),卓尔金历!$M$43),0),1)</f>
        <v>0.90597379128285771</v>
      </c>
      <c r="M2204" s="4">
        <f>MIN(MAX(M2203*(1+MAX(MIN(((B2204-B2203)/B2203)/($K$7*30),0),-卓尔金历!$M$43))+MIN(MAX(((B2204-B2203)/B2203)/($K$7*7),0),卓尔金历!$M$43),0),1)</f>
        <v>0.99389425375325735</v>
      </c>
      <c r="N2204">
        <f t="shared" si="293"/>
        <v>650.02374176960768</v>
      </c>
      <c r="O2204">
        <f t="shared" si="294"/>
        <v>1585.0018593540783</v>
      </c>
      <c r="P2204">
        <f t="shared" si="295"/>
        <v>-7.9923163996826151E-4</v>
      </c>
      <c r="Q2204">
        <f t="shared" si="286"/>
        <v>1.2941986520627374E-2</v>
      </c>
      <c r="R2204">
        <f t="shared" si="287"/>
        <v>1</v>
      </c>
      <c r="S2204">
        <f t="shared" si="289"/>
        <v>15.990643191745034</v>
      </c>
      <c r="T2204" s="564">
        <f>IF((I2204-MAX(I$470:I2204))/MAX(I$470:I2204)&gt;T2203,T2203,(I2204-MAX(I$470:I2204))/MAX(I$470:I2204))</f>
        <v>-0.91338805338419748</v>
      </c>
      <c r="U2204" s="564">
        <f>IF((J2204-MAX(J$470:J2204))/MAX(J$470:J2204)&gt;U2203,U2203,(J2204-MAX(J$470:J2204))/MAX(J$470:J2204))</f>
        <v>-0.8283551177402233</v>
      </c>
      <c r="V2204" s="564">
        <f>IF((K2204-MAX(K$470:K2204))/MAX(K$470:K2204)&gt;V2203,V2203,(K2204-MAX(K$470:K2204))/MAX(K$470:K2204))</f>
        <v>-0.84885940676762139</v>
      </c>
      <c r="W2204" s="564">
        <f>IF((N2204-MAX(N$470:N2204))/MAX(N$470:N2204)&gt;W2203,W2203,(N2204-MAX(N$470:N2204))/MAX(N$470:N2204))</f>
        <v>-0.62788758315546067</v>
      </c>
      <c r="X2204" s="564">
        <f>IF((O2204-MAX(O$470:O2204))/MAX(O$470:O2204)&gt;X2203,X2203,(O2204-MAX(O$470:O2204))/MAX(O$470:O2204))</f>
        <v>-0.62788758315546067</v>
      </c>
    </row>
    <row r="2205" spans="1:24">
      <c r="A2205" s="799">
        <v>42607</v>
      </c>
      <c r="B2205">
        <v>575.62800000000004</v>
      </c>
      <c r="C2205">
        <v>4368.0445390000004</v>
      </c>
      <c r="D2205">
        <v>1.570284</v>
      </c>
      <c r="E2205">
        <f>LN(D2205/参数实验室!$E$53)/参数实验室!$E$55</f>
        <v>-0.16059698041409237</v>
      </c>
      <c r="F2205">
        <f t="shared" si="288"/>
        <v>7.5883114424593661</v>
      </c>
      <c r="G2205">
        <f>LN(F2205/参数实验室!$E$58)/参数实验室!$E$59</f>
        <v>0.87314395276490975</v>
      </c>
      <c r="H2205" s="856">
        <f>INDEX(神经网络!$G$10:$BO$70,MATCH(ROUND(G2205*2,1)/2,神经网络!$E$10:$E$70,0),MATCH(ROUND(E2205*2,1)/2,神经网络!$G$8:$BO$8,0))</f>
        <v>1.3258096011007201</v>
      </c>
      <c r="I2205">
        <f t="shared" si="290"/>
        <v>738.87135695010852</v>
      </c>
      <c r="J2205">
        <f t="shared" si="291"/>
        <v>229.69075455887585</v>
      </c>
      <c r="K2205">
        <f t="shared" si="292"/>
        <v>3.2168093067965264</v>
      </c>
      <c r="L2205" s="4">
        <f>MIN(MAX(L2204*(1+MAX(MIN(((B2205-B2204)/B2204)/($K$7*卓尔金历!$N$40),0),-卓尔金历!$M$43))+MIN(MAX(((B2205-B2204)/B2204)/($K$7*卓尔金历!$N$40),0),卓尔金历!$M$43),0),1)</f>
        <v>0.7404619099640799</v>
      </c>
      <c r="M2205" s="4">
        <f>MIN(MAX(M2204*(1+MAX(MIN(((B2205-B2204)/B2204)/($K$7*30),0),-卓尔金历!$M$43))+MIN(MAX(((B2205-B2204)/B2204)/($K$7*7),0),卓尔金历!$M$43),0),1)</f>
        <v>0.90310724128477815</v>
      </c>
      <c r="N2205">
        <f t="shared" si="293"/>
        <v>640.68811510496141</v>
      </c>
      <c r="O2205">
        <f t="shared" si="294"/>
        <v>1560.0289823635082</v>
      </c>
      <c r="P2205">
        <f t="shared" si="295"/>
        <v>-1.1956868762809105E-2</v>
      </c>
      <c r="Q2205">
        <f t="shared" si="286"/>
        <v>1.0962772839269988E-2</v>
      </c>
      <c r="R2205">
        <f t="shared" si="287"/>
        <v>1.1818613557864139E-2</v>
      </c>
      <c r="S2205">
        <f t="shared" si="289"/>
        <v>15.737151018364408</v>
      </c>
      <c r="T2205" s="564">
        <f>IF((I2205-MAX(I$470:I2205))/MAX(I$470:I2205)&gt;T2204,T2204,(I2205-MAX(I$470:I2205))/MAX(I$470:I2205))</f>
        <v>-0.91338805338419748</v>
      </c>
      <c r="U2205" s="564">
        <f>IF((J2205-MAX(J$470:J2205))/MAX(J$470:J2205)&gt;U2204,U2204,(J2205-MAX(J$470:J2205))/MAX(J$470:J2205))</f>
        <v>-0.8283551177402233</v>
      </c>
      <c r="V2205" s="564">
        <f>IF((K2205-MAX(K$470:K2205))/MAX(K$470:K2205)&gt;V2204,V2204,(K2205-MAX(K$470:K2205))/MAX(K$470:K2205))</f>
        <v>-0.84885940676762139</v>
      </c>
      <c r="W2205" s="564">
        <f>IF((N2205-MAX(N$470:N2205))/MAX(N$470:N2205)&gt;W2204,W2204,(N2205-MAX(N$470:N2205))/MAX(N$470:N2205))</f>
        <v>-0.62788758315546067</v>
      </c>
      <c r="X2205" s="564">
        <f>IF((O2205-MAX(O$470:O2205))/MAX(O$470:O2205)&gt;X2204,X2204,(O2205-MAX(O$470:O2205))/MAX(O$470:O2205))</f>
        <v>-0.62788758315546067</v>
      </c>
    </row>
    <row r="2206" spans="1:24">
      <c r="A2206" s="799">
        <v>42608</v>
      </c>
      <c r="B2206">
        <v>579.66899999999998</v>
      </c>
      <c r="C2206">
        <v>4357.7614160000003</v>
      </c>
      <c r="D2206">
        <v>1.577461</v>
      </c>
      <c r="E2206">
        <f>LN(D2206/参数实验室!$E$53)/参数实验室!$E$55</f>
        <v>-0.15521719030759748</v>
      </c>
      <c r="F2206">
        <f t="shared" si="288"/>
        <v>7.517672009370866</v>
      </c>
      <c r="G2206">
        <f>LN(F2206/参数实验室!$E$58)/参数实验室!$E$59</f>
        <v>0.86823521412816029</v>
      </c>
      <c r="H2206" s="856">
        <f>INDEX(神经网络!$G$10:$BO$70,MATCH(ROUND(G2206*2,1)/2,神经网络!$E$10:$E$70,0),MATCH(ROUND(E2206*2,1)/2,神经网络!$G$8:$BO$8,0))</f>
        <v>1.3258096011007201</v>
      </c>
      <c r="I2206">
        <f t="shared" si="290"/>
        <v>745.74832379048291</v>
      </c>
      <c r="J2206">
        <f t="shared" si="291"/>
        <v>231.3032201428509</v>
      </c>
      <c r="K2206">
        <f t="shared" si="292"/>
        <v>3.2241156146893029</v>
      </c>
      <c r="L2206" s="4">
        <f>MIN(MAX(L2205*(1+MAX(MIN(((B2206-B2205)/B2205)/($K$7*卓尔金历!$N$40),0),-卓尔金历!$M$43))+MIN(MAX(((B2206-B2205)/B2205)/($K$7*卓尔金历!$N$40),0),卓尔金历!$M$43),0),1)</f>
        <v>0.84772320048919936</v>
      </c>
      <c r="M2206" s="4">
        <f>MIN(MAX(M2205*(1+MAX(MIN(((B2206-B2205)/B2205)/($K$7*30),0),-卓尔金历!$M$43))+MIN(MAX(((B2206-B2205)/B2205)/($K$7*7),0),卓尔金历!$M$43),0),1)</f>
        <v>1</v>
      </c>
      <c r="N2206">
        <f t="shared" si="293"/>
        <v>645.1035907126485</v>
      </c>
      <c r="O2206">
        <f t="shared" si="294"/>
        <v>1573.1419228617028</v>
      </c>
      <c r="P2206">
        <f t="shared" si="295"/>
        <v>7.0201588525921942E-3</v>
      </c>
      <c r="Q2206">
        <f t="shared" si="286"/>
        <v>1.1032185350116151E-2</v>
      </c>
      <c r="R2206">
        <f t="shared" si="287"/>
        <v>0.46794938217975879</v>
      </c>
      <c r="S2206">
        <f t="shared" si="289"/>
        <v>15.738882112735023</v>
      </c>
      <c r="T2206" s="564">
        <f>IF((I2206-MAX(I$470:I2206))/MAX(I$470:I2206)&gt;T2205,T2205,(I2206-MAX(I$470:I2206))/MAX(I$470:I2206))</f>
        <v>-0.91338805338419748</v>
      </c>
      <c r="U2206" s="564">
        <f>IF((J2206-MAX(J$470:J2206))/MAX(J$470:J2206)&gt;U2205,U2205,(J2206-MAX(J$470:J2206))/MAX(J$470:J2206))</f>
        <v>-0.8283551177402233</v>
      </c>
      <c r="V2206" s="564">
        <f>IF((K2206-MAX(K$470:K2206))/MAX(K$470:K2206)&gt;V2205,V2205,(K2206-MAX(K$470:K2206))/MAX(K$470:K2206))</f>
        <v>-0.84885940676762139</v>
      </c>
      <c r="W2206" s="564">
        <f>IF((N2206-MAX(N$470:N2206))/MAX(N$470:N2206)&gt;W2205,W2205,(N2206-MAX(N$470:N2206))/MAX(N$470:N2206))</f>
        <v>-0.62788758315546067</v>
      </c>
      <c r="X2206" s="564">
        <f>IF((O2206-MAX(O$470:O2206))/MAX(O$470:O2206)&gt;X2205,X2205,(O2206-MAX(O$470:O2206))/MAX(O$470:O2206))</f>
        <v>-0.62788758315546067</v>
      </c>
    </row>
    <row r="2207" spans="1:24">
      <c r="A2207" s="799">
        <v>42609</v>
      </c>
      <c r="B2207">
        <v>576.00699999999995</v>
      </c>
      <c r="C2207">
        <v>4335.9835750000002</v>
      </c>
      <c r="D2207">
        <v>1.554109</v>
      </c>
      <c r="E2207">
        <f>LN(D2207/参数实验室!$E$53)/参数实验室!$E$55</f>
        <v>-0.17281226780157838</v>
      </c>
      <c r="F2207">
        <f t="shared" si="288"/>
        <v>7.5276577802005891</v>
      </c>
      <c r="G2207">
        <f>LN(F2207/参数实验室!$E$58)/参数实验室!$E$59</f>
        <v>0.86893191842592687</v>
      </c>
      <c r="H2207" s="856">
        <f>INDEX(神经网络!$G$10:$BO$70,MATCH(ROUND(G2207*2,1)/2,神经网络!$E$10:$E$70,0),MATCH(ROUND(E2207*2,1)/2,神经网络!$G$8:$BO$8,0))</f>
        <v>1.3258096011007201</v>
      </c>
      <c r="I2207">
        <f t="shared" si="290"/>
        <v>739.50218384940126</v>
      </c>
      <c r="J2207">
        <f t="shared" si="291"/>
        <v>229.84198555524469</v>
      </c>
      <c r="K2207">
        <f t="shared" si="292"/>
        <v>3.2174373279230783</v>
      </c>
      <c r="L2207" s="4">
        <f>MIN(MAX(L2206*(1+MAX(MIN(((B2207-B2206)/B2206)/($K$7*卓尔金历!$N$40),0),-卓尔金历!$M$43))+MIN(MAX(((B2207-B2206)/B2206)/($K$7*卓尔金历!$N$40),0),卓尔金历!$M$43),0),1)</f>
        <v>0.76589774867096516</v>
      </c>
      <c r="M2207" s="4">
        <f>MIN(MAX(M2206*(1+MAX(MIN(((B2207-B2206)/B2206)/($K$7*30),0),-卓尔金历!$M$43))+MIN(MAX(((B2207-B2206)/B2206)/($K$7*7),0),卓尔金历!$M$43),0),1)</f>
        <v>0.9517381075739022</v>
      </c>
      <c r="N2207">
        <f t="shared" si="293"/>
        <v>640.52319549495371</v>
      </c>
      <c r="O2207">
        <f t="shared" si="294"/>
        <v>1559.9658093071557</v>
      </c>
      <c r="P2207">
        <f t="shared" si="295"/>
        <v>-6.3173983773498919E-3</v>
      </c>
      <c r="Q2207">
        <f t="shared" si="286"/>
        <v>1.1108279858866676E-2</v>
      </c>
      <c r="R2207">
        <f t="shared" si="287"/>
        <v>0.58164185563046</v>
      </c>
      <c r="S2207">
        <f t="shared" si="289"/>
        <v>15.677195320819807</v>
      </c>
      <c r="T2207" s="564">
        <f>IF((I2207-MAX(I$470:I2207))/MAX(I$470:I2207)&gt;T2206,T2206,(I2207-MAX(I$470:I2207))/MAX(I$470:I2207))</f>
        <v>-0.91338805338419748</v>
      </c>
      <c r="U2207" s="564">
        <f>IF((J2207-MAX(J$470:J2207))/MAX(J$470:J2207)&gt;U2206,U2206,(J2207-MAX(J$470:J2207))/MAX(J$470:J2207))</f>
        <v>-0.8283551177402233</v>
      </c>
      <c r="V2207" s="564">
        <f>IF((K2207-MAX(K$470:K2207))/MAX(K$470:K2207)&gt;V2206,V2206,(K2207-MAX(K$470:K2207))/MAX(K$470:K2207))</f>
        <v>-0.84885940676762139</v>
      </c>
      <c r="W2207" s="564">
        <f>IF((N2207-MAX(N$470:N2207))/MAX(N$470:N2207)&gt;W2206,W2206,(N2207-MAX(N$470:N2207))/MAX(N$470:N2207))</f>
        <v>-0.62788758315546067</v>
      </c>
      <c r="X2207" s="564">
        <f>IF((O2207-MAX(O$470:O2207))/MAX(O$470:O2207)&gt;X2206,X2206,(O2207-MAX(O$470:O2207))/MAX(O$470:O2207))</f>
        <v>-0.62788758315546067</v>
      </c>
    </row>
    <row r="2208" spans="1:24">
      <c r="A2208" s="799">
        <v>42610</v>
      </c>
      <c r="B2208">
        <v>572.82000000000005</v>
      </c>
      <c r="C2208">
        <v>4323.125959</v>
      </c>
      <c r="D2208">
        <v>1.5672079999999999</v>
      </c>
      <c r="E2208">
        <f>LN(D2208/参数实验室!$E$53)/参数实验室!$E$55</f>
        <v>-0.16291024345422037</v>
      </c>
      <c r="F2208">
        <f t="shared" si="288"/>
        <v>7.5470932561712223</v>
      </c>
      <c r="G2208">
        <f>LN(F2208/参数实验室!$E$58)/参数实验室!$E$59</f>
        <v>0.87028527992022975</v>
      </c>
      <c r="H2208" s="856">
        <f>INDEX(神经网络!$G$10:$BO$70,MATCH(ROUND(G2208*2,1)/2,神经网络!$E$10:$E$70,0),MATCH(ROUND(E2208*2,1)/2,神经网络!$G$8:$BO$8,0))</f>
        <v>1.3258096011007201</v>
      </c>
      <c r="I2208">
        <f t="shared" si="290"/>
        <v>734.0774938769116</v>
      </c>
      <c r="J2208">
        <f t="shared" si="291"/>
        <v>228.57028849606914</v>
      </c>
      <c r="K2208">
        <f t="shared" si="292"/>
        <v>3.2116050546505566</v>
      </c>
      <c r="L2208" s="4">
        <f>MIN(MAX(L2207*(1+MAX(MIN(((B2208-B2207)/B2207)/($K$7*卓尔金历!$N$40),0),-卓尔金历!$M$43))+MIN(MAX(((B2208-B2207)/B2207)/($K$7*卓尔金历!$N$40),0),卓尔金历!$M$43),0),1)</f>
        <v>0.70115052160906999</v>
      </c>
      <c r="M2208" s="4">
        <f>MIN(MAX(M2207*(1+MAX(MIN(((B2208-B2207)/B2207)/($K$7*30),0),-卓尔金历!$M$43))+MIN(MAX(((B2208-B2207)/B2207)/($K$7*7),0),卓尔金历!$M$43),0),1)</f>
        <v>0.91150923664336547</v>
      </c>
      <c r="N2208">
        <f t="shared" si="293"/>
        <v>636.9245330102566</v>
      </c>
      <c r="O2208">
        <f t="shared" si="294"/>
        <v>1549.0748032272363</v>
      </c>
      <c r="P2208">
        <f t="shared" si="295"/>
        <v>-5.5329188707774358E-3</v>
      </c>
      <c r="Q2208">
        <f t="shared" si="286"/>
        <v>8.2112551213873262E-3</v>
      </c>
      <c r="R2208">
        <f t="shared" si="287"/>
        <v>0.41028400877315047</v>
      </c>
      <c r="S2208">
        <f t="shared" si="289"/>
        <v>15.610305584733453</v>
      </c>
      <c r="T2208" s="564">
        <f>IF((I2208-MAX(I$470:I2208))/MAX(I$470:I2208)&gt;T2207,T2207,(I2208-MAX(I$470:I2208))/MAX(I$470:I2208))</f>
        <v>-0.91338805338419748</v>
      </c>
      <c r="U2208" s="564">
        <f>IF((J2208-MAX(J$470:J2208))/MAX(J$470:J2208)&gt;U2207,U2207,(J2208-MAX(J$470:J2208))/MAX(J$470:J2208))</f>
        <v>-0.8283551177402233</v>
      </c>
      <c r="V2208" s="564">
        <f>IF((K2208-MAX(K$470:K2208))/MAX(K$470:K2208)&gt;V2207,V2207,(K2208-MAX(K$470:K2208))/MAX(K$470:K2208))</f>
        <v>-0.84885940676762139</v>
      </c>
      <c r="W2208" s="564">
        <f>IF((N2208-MAX(N$470:N2208))/MAX(N$470:N2208)&gt;W2207,W2207,(N2208-MAX(N$470:N2208))/MAX(N$470:N2208))</f>
        <v>-0.62788758315546067</v>
      </c>
      <c r="X2208" s="564">
        <f>IF((O2208-MAX(O$470:O2208))/MAX(O$470:O2208)&gt;X2207,X2207,(O2208-MAX(O$470:O2208))/MAX(O$470:O2208))</f>
        <v>-0.62788758315546067</v>
      </c>
    </row>
    <row r="2209" spans="1:24">
      <c r="A2209" s="799">
        <v>42611</v>
      </c>
      <c r="B2209">
        <v>575.00800000000004</v>
      </c>
      <c r="C2209">
        <v>4238.9287789999998</v>
      </c>
      <c r="D2209">
        <v>1.5631740000000001</v>
      </c>
      <c r="E2209">
        <f>LN(D2209/参数实验室!$E$53)/参数实验室!$E$55</f>
        <v>-0.16595084822424136</v>
      </c>
      <c r="F2209">
        <f t="shared" si="288"/>
        <v>7.3719474842089143</v>
      </c>
      <c r="G2209">
        <f>LN(F2209/参数实验室!$E$58)/参数实验室!$E$59</f>
        <v>0.85796140580228353</v>
      </c>
      <c r="H2209" s="856">
        <f>INDEX(神经网络!$G$10:$BO$70,MATCH(ROUND(G2209*2,1)/2,神经网络!$E$10:$E$70,0),MATCH(ROUND(E2209*2,1)/2,神经网络!$G$8:$BO$8,0))</f>
        <v>1.3258096011007201</v>
      </c>
      <c r="I2209">
        <f t="shared" si="290"/>
        <v>737.79500446079953</v>
      </c>
      <c r="J2209">
        <f t="shared" si="291"/>
        <v>229.44335820597698</v>
      </c>
      <c r="K2209">
        <f t="shared" si="292"/>
        <v>3.215586671279727</v>
      </c>
      <c r="L2209" s="4">
        <f>MIN(MAX(L2208*(1+MAX(MIN(((B2209-B2208)/B2208)/($K$7*卓尔金历!$N$40),0),-卓尔金历!$M$43))+MIN(MAX(((B2209-B2208)/B2208)/($K$7*卓尔金历!$N$40),0),卓尔金历!$M$43),0),1)</f>
        <v>0.75951185734013982</v>
      </c>
      <c r="M2209" s="4">
        <f>MIN(MAX(M2208*(1+MAX(MIN(((B2209-B2208)/B2208)/($K$7*30),0),-卓尔金历!$M$43))+MIN(MAX(((B2209-B2208)/B2208)/($K$7*7),0),卓尔金历!$M$43),0),1)</f>
        <v>1</v>
      </c>
      <c r="N2209">
        <f t="shared" si="293"/>
        <v>639.18610045166304</v>
      </c>
      <c r="O2209">
        <f t="shared" si="294"/>
        <v>1556.2254243621917</v>
      </c>
      <c r="P2209">
        <f t="shared" si="295"/>
        <v>3.8196990328549772E-3</v>
      </c>
      <c r="Q2209">
        <f t="shared" si="286"/>
        <v>8.2832341243685333E-3</v>
      </c>
      <c r="R2209">
        <f t="shared" si="287"/>
        <v>0.78862912905046023</v>
      </c>
      <c r="S2209">
        <f t="shared" si="289"/>
        <v>15.642740016930116</v>
      </c>
      <c r="T2209" s="564">
        <f>IF((I2209-MAX(I$470:I2209))/MAX(I$470:I2209)&gt;T2208,T2208,(I2209-MAX(I$470:I2209))/MAX(I$470:I2209))</f>
        <v>-0.91338805338419748</v>
      </c>
      <c r="U2209" s="564">
        <f>IF((J2209-MAX(J$470:J2209))/MAX(J$470:J2209)&gt;U2208,U2208,(J2209-MAX(J$470:J2209))/MAX(J$470:J2209))</f>
        <v>-0.8283551177402233</v>
      </c>
      <c r="V2209" s="564">
        <f>IF((K2209-MAX(K$470:K2209))/MAX(K$470:K2209)&gt;V2208,V2208,(K2209-MAX(K$470:K2209))/MAX(K$470:K2209))</f>
        <v>-0.84885940676762139</v>
      </c>
      <c r="W2209" s="564">
        <f>IF((N2209-MAX(N$470:N2209))/MAX(N$470:N2209)&gt;W2208,W2208,(N2209-MAX(N$470:N2209))/MAX(N$470:N2209))</f>
        <v>-0.62788758315546067</v>
      </c>
      <c r="X2209" s="564">
        <f>IF((O2209-MAX(O$470:O2209))/MAX(O$470:O2209)&gt;X2208,X2208,(O2209-MAX(O$470:O2209))/MAX(O$470:O2209))</f>
        <v>-0.62788758315546067</v>
      </c>
    </row>
    <row r="2210" spans="1:24">
      <c r="A2210" s="799">
        <v>42612</v>
      </c>
      <c r="B2210">
        <v>578.19000000000005</v>
      </c>
      <c r="C2210">
        <v>4212.5704310000001</v>
      </c>
      <c r="D2210">
        <v>1.568513</v>
      </c>
      <c r="E2210">
        <f>LN(D2210/参数实验室!$E$53)/参数实验室!$E$55</f>
        <v>-0.16192828232166523</v>
      </c>
      <c r="F2210">
        <f t="shared" si="288"/>
        <v>7.2857891540842967</v>
      </c>
      <c r="G2210">
        <f>LN(F2210/参数实验室!$E$58)/参数实验室!$E$59</f>
        <v>0.85179113956774244</v>
      </c>
      <c r="H2210" s="856">
        <f>INDEX(神经网络!$G$10:$BO$70,MATCH(ROUND(G2210*2,1)/2,神经网络!$E$10:$E$70,0),MATCH(ROUND(E2210*2,1)/2,神经网络!$G$8:$BO$8,0))</f>
        <v>1.3258096011007201</v>
      </c>
      <c r="I2210">
        <f t="shared" si="290"/>
        <v>743.20806841673823</v>
      </c>
      <c r="J2210">
        <f t="shared" si="291"/>
        <v>230.71306013327438</v>
      </c>
      <c r="K2210">
        <f t="shared" si="292"/>
        <v>3.2213523932603314</v>
      </c>
      <c r="L2210" s="4">
        <f>MIN(MAX(L2209*(1+MAX(MIN(((B2210-B2209)/B2209)/($K$7*卓尔金历!$N$40),0),-卓尔金历!$M$43))+MIN(MAX(((B2210-B2209)/B2209)/($K$7*卓尔金历!$N$40),0),卓尔金历!$M$43),0),1)</f>
        <v>0.84406356177386754</v>
      </c>
      <c r="M2210" s="4">
        <f>MIN(MAX(M2209*(1+MAX(MIN(((B2210-B2209)/B2209)/($K$7*30),0),-卓尔金历!$M$43))+MIN(MAX(((B2210-B2209)/B2209)/($K$7*7),0),卓尔金历!$M$43),0),1)</f>
        <v>1</v>
      </c>
      <c r="N2210">
        <f t="shared" si="293"/>
        <v>642.7478988047161</v>
      </c>
      <c r="O2210">
        <f t="shared" si="294"/>
        <v>1567.6431592356976</v>
      </c>
      <c r="P2210">
        <f t="shared" si="295"/>
        <v>5.5338360509767101E-3</v>
      </c>
      <c r="Q2210">
        <f t="shared" si="286"/>
        <v>8.3796538800730066E-3</v>
      </c>
      <c r="R2210">
        <f t="shared" si="287"/>
        <v>0.4266455133806169</v>
      </c>
      <c r="S2210">
        <f t="shared" si="289"/>
        <v>15.733249292670195</v>
      </c>
      <c r="T2210" s="564">
        <f>IF((I2210-MAX(I$470:I2210))/MAX(I$470:I2210)&gt;T2209,T2209,(I2210-MAX(I$470:I2210))/MAX(I$470:I2210))</f>
        <v>-0.91338805338419748</v>
      </c>
      <c r="U2210" s="564">
        <f>IF((J2210-MAX(J$470:J2210))/MAX(J$470:J2210)&gt;U2209,U2209,(J2210-MAX(J$470:J2210))/MAX(J$470:J2210))</f>
        <v>-0.8283551177402233</v>
      </c>
      <c r="V2210" s="564">
        <f>IF((K2210-MAX(K$470:K2210))/MAX(K$470:K2210)&gt;V2209,V2209,(K2210-MAX(K$470:K2210))/MAX(K$470:K2210))</f>
        <v>-0.84885940676762139</v>
      </c>
      <c r="W2210" s="564">
        <f>IF((N2210-MAX(N$470:N2210))/MAX(N$470:N2210)&gt;W2209,W2209,(N2210-MAX(N$470:N2210))/MAX(N$470:N2210))</f>
        <v>-0.62788758315546067</v>
      </c>
      <c r="X2210" s="564">
        <f>IF((O2210-MAX(O$470:O2210))/MAX(O$470:O2210)&gt;X2209,X2209,(O2210-MAX(O$470:O2210))/MAX(O$470:O2210))</f>
        <v>-0.62788758315546067</v>
      </c>
    </row>
    <row r="2211" spans="1:24">
      <c r="A2211" s="799">
        <v>42613</v>
      </c>
      <c r="B2211">
        <v>574.89300000000003</v>
      </c>
      <c r="C2211">
        <v>4267.6474129999997</v>
      </c>
      <c r="D2211">
        <v>1.5580830000000001</v>
      </c>
      <c r="E2211">
        <f>LN(D2211/参数实验室!$E$53)/参数实验室!$E$55</f>
        <v>-0.16979938046064735</v>
      </c>
      <c r="F2211">
        <f t="shared" si="288"/>
        <v>7.4233768944829723</v>
      </c>
      <c r="G2211">
        <f>LN(F2211/参数实验室!$E$58)/参数实验室!$E$59</f>
        <v>0.86161026701598942</v>
      </c>
      <c r="H2211" s="856">
        <f>INDEX(神经网络!$G$10:$BO$70,MATCH(ROUND(G2211*2,1)/2,神经网络!$E$10:$E$70,0),MATCH(ROUND(E2211*2,1)/2,神经网络!$G$8:$BO$8,0))</f>
        <v>1.3258096011007201</v>
      </c>
      <c r="I2211">
        <f t="shared" si="290"/>
        <v>737.58931534455462</v>
      </c>
      <c r="J2211">
        <f t="shared" si="291"/>
        <v>229.39747017277799</v>
      </c>
      <c r="K2211">
        <f t="shared" si="292"/>
        <v>3.2153332588585908</v>
      </c>
      <c r="L2211" s="4">
        <f>MIN(MAX(L2210*(1+MAX(MIN(((B2211-B2210)/B2210)/($K$7*卓尔金历!$N$40),0),-卓尔金历!$M$43))+MIN(MAX(((B2211-B2210)/B2210)/($K$7*卓尔金历!$N$40),0),卓尔金历!$M$43),0),1)</f>
        <v>0.77052424314609247</v>
      </c>
      <c r="M2211" s="4">
        <f>MIN(MAX(M2210*(1+MAX(MIN(((B2211-B2210)/B2210)/($K$7*30),0),-卓尔金历!$M$43))+MIN(MAX(((B2211-B2210)/B2210)/($K$7*7),0),卓尔金历!$M$43),0),1)</f>
        <v>0.95643733365694261</v>
      </c>
      <c r="N2211">
        <f t="shared" si="293"/>
        <v>638.6463739421813</v>
      </c>
      <c r="O2211">
        <f t="shared" si="294"/>
        <v>1555.7915658645338</v>
      </c>
      <c r="P2211">
        <f t="shared" si="295"/>
        <v>-5.7022777979557331E-3</v>
      </c>
      <c r="Q2211">
        <f t="shared" si="286"/>
        <v>8.4194411846858497E-3</v>
      </c>
      <c r="R2211">
        <f t="shared" si="287"/>
        <v>0.40132276829233043</v>
      </c>
      <c r="S2211">
        <f t="shared" si="289"/>
        <v>15.682501735935983</v>
      </c>
      <c r="T2211" s="564">
        <f>IF((I2211-MAX(I$470:I2211))/MAX(I$470:I2211)&gt;T2210,T2210,(I2211-MAX(I$470:I2211))/MAX(I$470:I2211))</f>
        <v>-0.91338805338419748</v>
      </c>
      <c r="U2211" s="564">
        <f>IF((J2211-MAX(J$470:J2211))/MAX(J$470:J2211)&gt;U2210,U2210,(J2211-MAX(J$470:J2211))/MAX(J$470:J2211))</f>
        <v>-0.8283551177402233</v>
      </c>
      <c r="V2211" s="564">
        <f>IF((K2211-MAX(K$470:K2211))/MAX(K$470:K2211)&gt;V2210,V2210,(K2211-MAX(K$470:K2211))/MAX(K$470:K2211))</f>
        <v>-0.84885940676762139</v>
      </c>
      <c r="W2211" s="564">
        <f>IF((N2211-MAX(N$470:N2211))/MAX(N$470:N2211)&gt;W2210,W2210,(N2211-MAX(N$470:N2211))/MAX(N$470:N2211))</f>
        <v>-0.62788758315546067</v>
      </c>
      <c r="X2211" s="564">
        <f>IF((O2211-MAX(O$470:O2211))/MAX(O$470:O2211)&gt;X2210,X2210,(O2211-MAX(O$470:O2211))/MAX(O$470:O2211))</f>
        <v>-0.62788758315546067</v>
      </c>
    </row>
    <row r="2212" spans="1:24">
      <c r="A2212" s="799">
        <v>42614</v>
      </c>
      <c r="B2212">
        <v>572.41</v>
      </c>
      <c r="C2212">
        <v>4309.287276</v>
      </c>
      <c r="D2212">
        <v>1.5578959999999999</v>
      </c>
      <c r="E2212">
        <f>LN(D2212/参数实验室!$E$53)/参数实验室!$E$55</f>
        <v>-0.16994098209332059</v>
      </c>
      <c r="F2212">
        <f t="shared" si="288"/>
        <v>7.5283228385248337</v>
      </c>
      <c r="G2212">
        <f>LN(F2212/参数实验室!$E$58)/参数实验室!$E$59</f>
        <v>0.86897828651837228</v>
      </c>
      <c r="H2212" s="856">
        <f>INDEX(神经网络!$G$10:$BO$70,MATCH(ROUND(G2212*2,1)/2,神经网络!$E$10:$E$70,0),MATCH(ROUND(E2212*2,1)/2,神经网络!$G$8:$BO$8,0))</f>
        <v>1.3258096011007201</v>
      </c>
      <c r="I2212">
        <f t="shared" si="290"/>
        <v>733.36568914115389</v>
      </c>
      <c r="J2212">
        <f t="shared" si="291"/>
        <v>228.40668768205535</v>
      </c>
      <c r="K2212">
        <f t="shared" si="292"/>
        <v>3.2107890385504261</v>
      </c>
      <c r="L2212" s="4">
        <f>MIN(MAX(L2211*(1+MAX(MIN(((B2212-B2211)/B2211)/($K$7*卓尔金历!$N$40),0),-卓尔金历!$M$43))+MIN(MAX(((B2212-B2211)/B2211)/($K$7*卓尔金历!$N$40),0),卓尔金历!$M$43),0),1)</f>
        <v>0.7196764527940398</v>
      </c>
      <c r="M2212" s="4">
        <f>MIN(MAX(M2211*(1+MAX(MIN(((B2212-B2211)/B2211)/($K$7*30),0),-卓尔金历!$M$43))+MIN(MAX(((B2212-B2211)/B2211)/($K$7*7),0),卓尔金历!$M$43),0),1)</f>
        <v>0.92487912802015793</v>
      </c>
      <c r="N2212">
        <f t="shared" si="293"/>
        <v>635.82852559073376</v>
      </c>
      <c r="O2212">
        <f t="shared" si="294"/>
        <v>1547.2707968673199</v>
      </c>
      <c r="P2212">
        <f t="shared" si="295"/>
        <v>-4.3190645911501107E-3</v>
      </c>
      <c r="Q2212">
        <f t="shared" si="286"/>
        <v>8.2467110588196266E-3</v>
      </c>
      <c r="R2212">
        <f t="shared" si="287"/>
        <v>0.66064054275251927</v>
      </c>
      <c r="S2212">
        <f t="shared" si="289"/>
        <v>15.64646213260863</v>
      </c>
      <c r="T2212" s="564">
        <f>IF((I2212-MAX(I$470:I2212))/MAX(I$470:I2212)&gt;T2211,T2211,(I2212-MAX(I$470:I2212))/MAX(I$470:I2212))</f>
        <v>-0.91338805338419748</v>
      </c>
      <c r="U2212" s="564">
        <f>IF((J2212-MAX(J$470:J2212))/MAX(J$470:J2212)&gt;U2211,U2211,(J2212-MAX(J$470:J2212))/MAX(J$470:J2212))</f>
        <v>-0.8283551177402233</v>
      </c>
      <c r="V2212" s="564">
        <f>IF((K2212-MAX(K$470:K2212))/MAX(K$470:K2212)&gt;V2211,V2211,(K2212-MAX(K$470:K2212))/MAX(K$470:K2212))</f>
        <v>-0.84885940676762139</v>
      </c>
      <c r="W2212" s="564">
        <f>IF((N2212-MAX(N$470:N2212))/MAX(N$470:N2212)&gt;W2211,W2211,(N2212-MAX(N$470:N2212))/MAX(N$470:N2212))</f>
        <v>-0.62788758315546067</v>
      </c>
      <c r="X2212" s="564">
        <f>IF((O2212-MAX(O$470:O2212))/MAX(O$470:O2212)&gt;X2211,X2211,(O2212-MAX(O$470:O2212))/MAX(O$470:O2212))</f>
        <v>-0.62788758315546067</v>
      </c>
    </row>
    <row r="2213" spans="1:24">
      <c r="A2213" s="799">
        <v>42615</v>
      </c>
      <c r="B2213">
        <v>571.81899999999996</v>
      </c>
      <c r="C2213">
        <v>4348.6829239999997</v>
      </c>
      <c r="D2213">
        <v>1.5700130000000001</v>
      </c>
      <c r="E2213">
        <f>LN(D2213/参数实验室!$E$53)/参数实验室!$E$55</f>
        <v>-0.16080060009077277</v>
      </c>
      <c r="F2213">
        <f t="shared" si="288"/>
        <v>7.6049990014322715</v>
      </c>
      <c r="G2213">
        <f>LN(F2213/参数实验室!$E$58)/参数实验室!$E$59</f>
        <v>0.87429689916858544</v>
      </c>
      <c r="H2213" s="856">
        <f>INDEX(神经网络!$G$10:$BO$70,MATCH(ROUND(G2213*2,1)/2,神经网络!$E$10:$E$70,0),MATCH(ROUND(E2213*2,1)/2,神经网络!$G$8:$BO$8,0))</f>
        <v>1.3258096011007201</v>
      </c>
      <c r="I2213">
        <f t="shared" si="290"/>
        <v>732.36180864706273</v>
      </c>
      <c r="J2213">
        <f t="shared" si="291"/>
        <v>228.17086309405008</v>
      </c>
      <c r="K2213">
        <f t="shared" si="292"/>
        <v>3.2097078422549923</v>
      </c>
      <c r="L2213" s="4">
        <f>MIN(MAX(L2212*(1+MAX(MIN(((B2213-B2212)/B2212)/($K$7*卓尔金历!$N$40),0),-卓尔金历!$M$43))+MIN(MAX(((B2213-B2212)/B2212)/($K$7*卓尔金历!$N$40),0),卓尔金历!$M$43),0),1)</f>
        <v>0.70832337430846581</v>
      </c>
      <c r="M2213" s="4">
        <f>MIN(MAX(M2212*(1+MAX(MIN(((B2213-B2212)/B2212)/($K$7*30),0),-卓尔金历!$M$43))+MIN(MAX(((B2213-B2212)/B2212)/($K$7*7),0),卓尔金历!$M$43),0),1)</f>
        <v>0.91758402666640626</v>
      </c>
      <c r="N2213">
        <f t="shared" si="293"/>
        <v>635.20214436899244</v>
      </c>
      <c r="O2213">
        <f t="shared" si="294"/>
        <v>1545.3118947493201</v>
      </c>
      <c r="P2213">
        <f t="shared" si="295"/>
        <v>-1.0324767212312996E-3</v>
      </c>
      <c r="Q2213">
        <f t="shared" si="286"/>
        <v>8.2148994943803191E-3</v>
      </c>
      <c r="R2213">
        <f t="shared" si="287"/>
        <v>1</v>
      </c>
      <c r="S2213">
        <f t="shared" si="289"/>
        <v>15.632312576878345</v>
      </c>
      <c r="T2213" s="564">
        <f>IF((I2213-MAX(I$470:I2213))/MAX(I$470:I2213)&gt;T2212,T2212,(I2213-MAX(I$470:I2213))/MAX(I$470:I2213))</f>
        <v>-0.91338805338419748</v>
      </c>
      <c r="U2213" s="564">
        <f>IF((J2213-MAX(J$470:J2213))/MAX(J$470:J2213)&gt;U2212,U2212,(J2213-MAX(J$470:J2213))/MAX(J$470:J2213))</f>
        <v>-0.8283551177402233</v>
      </c>
      <c r="V2213" s="564">
        <f>IF((K2213-MAX(K$470:K2213))/MAX(K$470:K2213)&gt;V2212,V2212,(K2213-MAX(K$470:K2213))/MAX(K$470:K2213))</f>
        <v>-0.84885940676762139</v>
      </c>
      <c r="W2213" s="564">
        <f>IF((N2213-MAX(N$470:N2213))/MAX(N$470:N2213)&gt;W2212,W2212,(N2213-MAX(N$470:N2213))/MAX(N$470:N2213))</f>
        <v>-0.62788758315546067</v>
      </c>
      <c r="X2213" s="564">
        <f>IF((O2213-MAX(O$470:O2213))/MAX(O$470:O2213)&gt;X2212,X2212,(O2213-MAX(O$470:O2213))/MAX(O$470:O2213))</f>
        <v>-0.62788758315546067</v>
      </c>
    </row>
    <row r="2214" spans="1:24">
      <c r="A2214" s="799">
        <v>42616</v>
      </c>
      <c r="B2214">
        <v>574.77700000000004</v>
      </c>
      <c r="C2214">
        <v>4429.8734450000002</v>
      </c>
      <c r="D2214">
        <v>1.6324399999999999</v>
      </c>
      <c r="E2214">
        <f>LN(D2214/参数实验室!$E$53)/参数实验室!$E$55</f>
        <v>-0.11479974599347843</v>
      </c>
      <c r="F2214">
        <f t="shared" si="288"/>
        <v>7.7071167513661818</v>
      </c>
      <c r="G2214">
        <f>LN(F2214/参数实验室!$E$58)/参数实验室!$E$59</f>
        <v>0.88129759187669066</v>
      </c>
      <c r="H2214" s="856">
        <f>INDEX(神经网络!$G$10:$BO$70,MATCH(ROUND(G2214*2,1)/2,神经网络!$E$10:$E$70,0),MATCH(ROUND(E2214*2,1)/2,神经网络!$G$8:$BO$8,0))</f>
        <v>1.4348063656033911</v>
      </c>
      <c r="I2214">
        <f t="shared" si="290"/>
        <v>737.38461501554866</v>
      </c>
      <c r="J2214">
        <f t="shared" si="291"/>
        <v>229.35118311320338</v>
      </c>
      <c r="K2214">
        <f t="shared" si="292"/>
        <v>3.2150896498824237</v>
      </c>
      <c r="L2214" s="4">
        <f>MIN(MAX(L2213*(1+MAX(MIN(((B2214-B2213)/B2213)/($K$7*卓尔金历!$N$40),0),-卓尔金历!$M$43))+MIN(MAX(((B2214-B2213)/B2213)/($K$7*卓尔金历!$N$40),0),卓尔金历!$M$43),0),1)</f>
        <v>0.78736132411382287</v>
      </c>
      <c r="M2214" s="4">
        <f>MIN(MAX(M2213*(1+MAX(MIN(((B2214-B2213)/B2213)/($K$7*30),0),-卓尔金历!$M$43))+MIN(MAX(((B2214-B2213)/B2213)/($K$7*7),0),卓尔金历!$M$43),0),1)</f>
        <v>1</v>
      </c>
      <c r="N2214">
        <f t="shared" si="293"/>
        <v>638.28791951512449</v>
      </c>
      <c r="O2214">
        <f t="shared" si="294"/>
        <v>1555.0367409119281</v>
      </c>
      <c r="P2214">
        <f t="shared" si="295"/>
        <v>5.1729655712735743E-3</v>
      </c>
      <c r="Q2214">
        <f t="shared" si="286"/>
        <v>8.3346278635694736E-3</v>
      </c>
      <c r="R2214">
        <f t="shared" si="287"/>
        <v>0.48910591478199789</v>
      </c>
      <c r="S2214">
        <f t="shared" si="289"/>
        <v>15.739524720163587</v>
      </c>
      <c r="T2214" s="564">
        <f>IF((I2214-MAX(I$470:I2214))/MAX(I$470:I2214)&gt;T2213,T2213,(I2214-MAX(I$470:I2214))/MAX(I$470:I2214))</f>
        <v>-0.91338805338419748</v>
      </c>
      <c r="U2214" s="564">
        <f>IF((J2214-MAX(J$470:J2214))/MAX(J$470:J2214)&gt;U2213,U2213,(J2214-MAX(J$470:J2214))/MAX(J$470:J2214))</f>
        <v>-0.8283551177402233</v>
      </c>
      <c r="V2214" s="564">
        <f>IF((K2214-MAX(K$470:K2214))/MAX(K$470:K2214)&gt;V2213,V2213,(K2214-MAX(K$470:K2214))/MAX(K$470:K2214))</f>
        <v>-0.84885940676762139</v>
      </c>
      <c r="W2214" s="564">
        <f>IF((N2214-MAX(N$470:N2214))/MAX(N$470:N2214)&gt;W2213,W2213,(N2214-MAX(N$470:N2214))/MAX(N$470:N2214))</f>
        <v>-0.62788758315546067</v>
      </c>
      <c r="X2214" s="564">
        <f>IF((O2214-MAX(O$470:O2214))/MAX(O$470:O2214)&gt;X2213,X2213,(O2214-MAX(O$470:O2214))/MAX(O$470:O2214))</f>
        <v>-0.62788758315546067</v>
      </c>
    </row>
    <row r="2215" spans="1:24">
      <c r="A2215" s="799">
        <v>42617</v>
      </c>
      <c r="B2215">
        <v>601.47400000000005</v>
      </c>
      <c r="C2215">
        <v>4402.0785290000003</v>
      </c>
      <c r="D2215">
        <v>1.658657</v>
      </c>
      <c r="E2215">
        <f>LN(D2215/参数实验室!$E$53)/参数实验室!$E$55</f>
        <v>-9.6003432750321041E-2</v>
      </c>
      <c r="F2215">
        <f t="shared" si="288"/>
        <v>7.3188176529658806</v>
      </c>
      <c r="G2215">
        <f>LN(F2215/参数实验室!$E$58)/参数实验室!$E$59</f>
        <v>0.85416507143146203</v>
      </c>
      <c r="H2215" s="856">
        <f>INDEX(神经网络!$G$10:$BO$70,MATCH(ROUND(G2215*2,1)/2,神经网络!$E$10:$E$70,0),MATCH(ROUND(E2215*2,1)/2,神经网络!$G$8:$BO$8,0))</f>
        <v>1.4186657341838287</v>
      </c>
      <c r="I2215">
        <f t="shared" si="290"/>
        <v>786.52634565687094</v>
      </c>
      <c r="J2215">
        <f t="shared" si="291"/>
        <v>240.00399026375601</v>
      </c>
      <c r="K2215">
        <f t="shared" si="292"/>
        <v>3.2771386208725359</v>
      </c>
      <c r="L2215" s="4">
        <f>MIN(MAX(L2214*(1+MAX(MIN(((B2215-B2214)/B2214)/($K$7*卓尔金历!$N$40),0),-卓尔金历!$M$43))+MIN(MAX(((B2215-B2214)/B2214)/($K$7*卓尔金历!$N$40),0),卓尔金历!$M$43),0),1)</f>
        <v>1</v>
      </c>
      <c r="M2215" s="4">
        <f>MIN(MAX(M2214*(1+MAX(MIN(((B2215-B2214)/B2214)/($K$7*30),0),-卓尔金历!$M$43))+MIN(MAX(((B2215-B2214)/B2214)/($K$7*7),0),卓尔金历!$M$43),0),1)</f>
        <v>1</v>
      </c>
      <c r="N2215">
        <f t="shared" si="293"/>
        <v>671.78038187067943</v>
      </c>
      <c r="O2215">
        <f t="shared" si="294"/>
        <v>1658.6694925359122</v>
      </c>
      <c r="P2215">
        <f t="shared" si="295"/>
        <v>4.6447578800125962E-2</v>
      </c>
      <c r="Q2215">
        <f t="shared" si="286"/>
        <v>1.2931148797069433E-2</v>
      </c>
      <c r="R2215">
        <f t="shared" si="287"/>
        <v>0</v>
      </c>
      <c r="S2215">
        <f t="shared" si="289"/>
        <v>16.252564338458207</v>
      </c>
      <c r="T2215" s="564">
        <f>IF((I2215-MAX(I$470:I2215))/MAX(I$470:I2215)&gt;T2214,T2214,(I2215-MAX(I$470:I2215))/MAX(I$470:I2215))</f>
        <v>-0.91338805338419748</v>
      </c>
      <c r="U2215" s="564">
        <f>IF((J2215-MAX(J$470:J2215))/MAX(J$470:J2215)&gt;U2214,U2214,(J2215-MAX(J$470:J2215))/MAX(J$470:J2215))</f>
        <v>-0.8283551177402233</v>
      </c>
      <c r="V2215" s="564">
        <f>IF((K2215-MAX(K$470:K2215))/MAX(K$470:K2215)&gt;V2214,V2214,(K2215-MAX(K$470:K2215))/MAX(K$470:K2215))</f>
        <v>-0.84885940676762139</v>
      </c>
      <c r="W2215" s="564">
        <f>IF((N2215-MAX(N$470:N2215))/MAX(N$470:N2215)&gt;W2214,W2214,(N2215-MAX(N$470:N2215))/MAX(N$470:N2215))</f>
        <v>-0.62788758315546067</v>
      </c>
      <c r="X2215" s="564">
        <f>IF((O2215-MAX(O$470:O2215))/MAX(O$470:O2215)&gt;X2214,X2214,(O2215-MAX(O$470:O2215))/MAX(O$470:O2215))</f>
        <v>-0.62788758315546067</v>
      </c>
    </row>
    <row r="2216" spans="1:24">
      <c r="A2216" s="799">
        <v>42618</v>
      </c>
      <c r="B2216">
        <v>605.04999999999995</v>
      </c>
      <c r="C2216">
        <v>4481.6972050000004</v>
      </c>
      <c r="D2216">
        <v>1.649513</v>
      </c>
      <c r="E2216">
        <f>LN(D2216/参数实验室!$E$53)/参数实验室!$E$55</f>
        <v>-0.10252528086321056</v>
      </c>
      <c r="F2216">
        <f t="shared" si="288"/>
        <v>7.407151813899679</v>
      </c>
      <c r="G2216">
        <f>LN(F2216/参数实验室!$E$58)/参数实验室!$E$59</f>
        <v>0.86046185178299839</v>
      </c>
      <c r="H2216" s="856">
        <f>INDEX(神经网络!$G$10:$BO$70,MATCH(ROUND(G2216*2,1)/2,神经网络!$E$10:$E$70,0),MATCH(ROUND(E2216*2,1)/2,神经网络!$G$8:$BO$8,0))</f>
        <v>1.4186657341838287</v>
      </c>
      <c r="I2216">
        <f t="shared" si="290"/>
        <v>793.16032331975168</v>
      </c>
      <c r="J2216">
        <f t="shared" si="291"/>
        <v>241.43090858305686</v>
      </c>
      <c r="K2216">
        <f t="shared" si="292"/>
        <v>3.2852476427925521</v>
      </c>
      <c r="L2216" s="4">
        <f>MIN(MAX(L2215*(1+MAX(MIN(((B2216-B2215)/B2215)/($K$7*卓尔金历!$N$40),0),-卓尔金历!$M$43))+MIN(MAX(((B2216-B2215)/B2215)/($K$7*卓尔金历!$N$40),0),卓尔金历!$M$43),0),1)</f>
        <v>1</v>
      </c>
      <c r="M2216" s="4">
        <f>MIN(MAX(M2215*(1+MAX(MIN(((B2216-B2215)/B2215)/($K$7*30),0),-卓尔金历!$M$43))+MIN(MAX(((B2216-B2215)/B2215)/($K$7*7),0),卓尔金历!$M$43),0),1)</f>
        <v>1</v>
      </c>
      <c r="N2216">
        <f t="shared" si="293"/>
        <v>677.44653160908354</v>
      </c>
      <c r="O2216">
        <f t="shared" si="294"/>
        <v>1672.6595850793417</v>
      </c>
      <c r="P2216">
        <f t="shared" si="295"/>
        <v>5.9453941483753377E-3</v>
      </c>
      <c r="Q2216">
        <f t="shared" si="286"/>
        <v>1.2195071714264968E-2</v>
      </c>
      <c r="R2216">
        <f t="shared" si="287"/>
        <v>0.74063616635788354</v>
      </c>
      <c r="S2216">
        <f t="shared" si="289"/>
        <v>16.252564338458207</v>
      </c>
      <c r="T2216" s="564">
        <f>IF((I2216-MAX(I$470:I2216))/MAX(I$470:I2216)&gt;T2215,T2215,(I2216-MAX(I$470:I2216))/MAX(I$470:I2216))</f>
        <v>-0.91338805338419748</v>
      </c>
      <c r="U2216" s="564">
        <f>IF((J2216-MAX(J$470:J2216))/MAX(J$470:J2216)&gt;U2215,U2215,(J2216-MAX(J$470:J2216))/MAX(J$470:J2216))</f>
        <v>-0.8283551177402233</v>
      </c>
      <c r="V2216" s="564">
        <f>IF((K2216-MAX(K$470:K2216))/MAX(K$470:K2216)&gt;V2215,V2215,(K2216-MAX(K$470:K2216))/MAX(K$470:K2216))</f>
        <v>-0.84885940676762139</v>
      </c>
      <c r="W2216" s="564">
        <f>IF((N2216-MAX(N$470:N2216))/MAX(N$470:N2216)&gt;W2215,W2215,(N2216-MAX(N$470:N2216))/MAX(N$470:N2216))</f>
        <v>-0.62788758315546067</v>
      </c>
      <c r="X2216" s="564">
        <f>IF((O2216-MAX(O$470:O2216))/MAX(O$470:O2216)&gt;X2215,X2215,(O2216-MAX(O$470:O2216))/MAX(O$470:O2216))</f>
        <v>-0.62788758315546067</v>
      </c>
    </row>
    <row r="2217" spans="1:24">
      <c r="A2217" s="799">
        <v>42619</v>
      </c>
      <c r="B2217">
        <v>606.71500000000003</v>
      </c>
      <c r="C2217">
        <v>4519.9001209999997</v>
      </c>
      <c r="D2217">
        <v>1.6626730000000001</v>
      </c>
      <c r="E2217">
        <f>LN(D2217/参数实验室!$E$53)/参数实验室!$E$55</f>
        <v>-9.3150424264677734E-2</v>
      </c>
      <c r="F2217">
        <f t="shared" si="288"/>
        <v>7.4497912875073133</v>
      </c>
      <c r="G2217">
        <f>LN(F2217/参数实验室!$E$58)/参数实验室!$E$59</f>
        <v>0.86347452557617721</v>
      </c>
      <c r="H2217" s="856">
        <f>INDEX(神经网络!$G$10:$BO$70,MATCH(ROUND(G2217*2,1)/2,神经网络!$E$10:$E$70,0),MATCH(ROUND(E2217*2,1)/2,神经网络!$G$8:$BO$8,0))</f>
        <v>1.4186657341838287</v>
      </c>
      <c r="I2217">
        <f t="shared" si="290"/>
        <v>796.25677304301303</v>
      </c>
      <c r="J2217">
        <f t="shared" si="291"/>
        <v>242.09528749850321</v>
      </c>
      <c r="K2217">
        <f t="shared" si="292"/>
        <v>3.2890221915118278</v>
      </c>
      <c r="L2217" s="4">
        <f>MIN(MAX(L2216*(1+MAX(MIN(((B2217-B2216)/B2216)/($K$7*卓尔金历!$N$40),0),-卓尔金历!$M$43))+MIN(MAX(((B2217-B2216)/B2216)/($K$7*卓尔金历!$N$40),0),卓尔金历!$M$43),0),1)</f>
        <v>1</v>
      </c>
      <c r="M2217" s="4">
        <f>MIN(MAX(M2216*(1+MAX(MIN(((B2217-B2216)/B2216)/($K$7*30),0),-卓尔金历!$M$43))+MIN(MAX(((B2217-B2216)/B2216)/($K$7*7),0),卓尔金历!$M$43),0),1)</f>
        <v>1</v>
      </c>
      <c r="N2217">
        <f t="shared" si="293"/>
        <v>680.09124171831536</v>
      </c>
      <c r="O2217">
        <f t="shared" si="294"/>
        <v>1679.1895464970428</v>
      </c>
      <c r="P2217">
        <f t="shared" si="295"/>
        <v>2.7518386910173995E-3</v>
      </c>
      <c r="Q2217">
        <f t="shared" si="286"/>
        <v>1.2009228414613778E-2</v>
      </c>
      <c r="R2217">
        <f t="shared" si="287"/>
        <v>1</v>
      </c>
      <c r="S2217">
        <f t="shared" si="289"/>
        <v>16.299556980313444</v>
      </c>
      <c r="T2217" s="564">
        <f>IF((I2217-MAX(I$470:I2217))/MAX(I$470:I2217)&gt;T2216,T2216,(I2217-MAX(I$470:I2217))/MAX(I$470:I2217))</f>
        <v>-0.91338805338419748</v>
      </c>
      <c r="U2217" s="564">
        <f>IF((J2217-MAX(J$470:J2217))/MAX(J$470:J2217)&gt;U2216,U2216,(J2217-MAX(J$470:J2217))/MAX(J$470:J2217))</f>
        <v>-0.8283551177402233</v>
      </c>
      <c r="V2217" s="564">
        <f>IF((K2217-MAX(K$470:K2217))/MAX(K$470:K2217)&gt;V2216,V2216,(K2217-MAX(K$470:K2217))/MAX(K$470:K2217))</f>
        <v>-0.84885940676762139</v>
      </c>
      <c r="W2217" s="564">
        <f>IF((N2217-MAX(N$470:N2217))/MAX(N$470:N2217)&gt;W2216,W2216,(N2217-MAX(N$470:N2217))/MAX(N$470:N2217))</f>
        <v>-0.62788758315546067</v>
      </c>
      <c r="X2217" s="564">
        <f>IF((O2217-MAX(O$470:O2217))/MAX(O$470:O2217)&gt;X2216,X2216,(O2217-MAX(O$470:O2217))/MAX(O$470:O2217))</f>
        <v>-0.62788758315546067</v>
      </c>
    </row>
    <row r="2218" spans="1:24">
      <c r="A2218" s="799">
        <v>42620</v>
      </c>
      <c r="B2218">
        <v>608.99400000000003</v>
      </c>
      <c r="C2218">
        <v>4509.3640029999997</v>
      </c>
      <c r="D2218">
        <v>1.668617</v>
      </c>
      <c r="E2218">
        <f>LN(D2218/参数实验室!$E$53)/参数实验室!$E$55</f>
        <v>-8.8940367065188042E-2</v>
      </c>
      <c r="F2218">
        <f t="shared" si="288"/>
        <v>7.4046115446129184</v>
      </c>
      <c r="G2218">
        <f>LN(F2218/参数实验室!$E$58)/参数实验室!$E$59</f>
        <v>0.86028182316838009</v>
      </c>
      <c r="H2218" s="856">
        <f>INDEX(神经网络!$G$10:$BO$70,MATCH(ROUND(G2218*2,1)/2,神经网络!$E$10:$E$70,0),MATCH(ROUND(E2218*2,1)/2,神经网络!$G$8:$BO$8,0))</f>
        <v>1.4186657341838287</v>
      </c>
      <c r="I2218">
        <f t="shared" si="290"/>
        <v>800.49996629309601</v>
      </c>
      <c r="J2218">
        <f t="shared" si="291"/>
        <v>243.00466860859461</v>
      </c>
      <c r="K2218">
        <f t="shared" si="292"/>
        <v>3.2941752554657868</v>
      </c>
      <c r="L2218" s="4">
        <f>MIN(MAX(L2217*(1+MAX(MIN(((B2218-B2217)/B2217)/($K$7*卓尔金历!$N$40),0),-卓尔金历!$M$43))+MIN(MAX(((B2218-B2217)/B2217)/($K$7*卓尔金历!$N$40),0),卓尔金历!$M$43),0),1)</f>
        <v>1</v>
      </c>
      <c r="M2218" s="4">
        <f>MIN(MAX(M2217*(1+MAX(MIN(((B2218-B2217)/B2217)/($K$7*30),0),-卓尔金历!$M$43))+MIN(MAX(((B2218-B2217)/B2217)/($K$7*7),0),卓尔金历!$M$43),0),1)</f>
        <v>1</v>
      </c>
      <c r="N2218">
        <f t="shared" si="293"/>
        <v>683.71539747308702</v>
      </c>
      <c r="O2218">
        <f t="shared" si="294"/>
        <v>1688.1378229708196</v>
      </c>
      <c r="P2218">
        <f t="shared" si="295"/>
        <v>3.7562941414008163E-3</v>
      </c>
      <c r="Q2218">
        <f t="shared" si="286"/>
        <v>1.1418378385524607E-2</v>
      </c>
      <c r="R2218">
        <f t="shared" si="287"/>
        <v>1</v>
      </c>
      <c r="S2218">
        <f t="shared" si="289"/>
        <v>16.386416109804923</v>
      </c>
      <c r="T2218" s="564">
        <f>IF((I2218-MAX(I$470:I2218))/MAX(I$470:I2218)&gt;T2217,T2217,(I2218-MAX(I$470:I2218))/MAX(I$470:I2218))</f>
        <v>-0.91338805338419748</v>
      </c>
      <c r="U2218" s="564">
        <f>IF((J2218-MAX(J$470:J2218))/MAX(J$470:J2218)&gt;U2217,U2217,(J2218-MAX(J$470:J2218))/MAX(J$470:J2218))</f>
        <v>-0.8283551177402233</v>
      </c>
      <c r="V2218" s="564">
        <f>IF((K2218-MAX(K$470:K2218))/MAX(K$470:K2218)&gt;V2217,V2217,(K2218-MAX(K$470:K2218))/MAX(K$470:K2218))</f>
        <v>-0.84885940676762139</v>
      </c>
      <c r="W2218" s="564">
        <f>IF((N2218-MAX(N$470:N2218))/MAX(N$470:N2218)&gt;W2217,W2217,(N2218-MAX(N$470:N2218))/MAX(N$470:N2218))</f>
        <v>-0.62788758315546067</v>
      </c>
      <c r="X2218" s="564">
        <f>IF((O2218-MAX(O$470:O2218))/MAX(O$470:O2218)&gt;X2217,X2217,(O2218-MAX(O$470:O2218))/MAX(O$470:O2218))</f>
        <v>-0.62788758315546067</v>
      </c>
    </row>
    <row r="2219" spans="1:24">
      <c r="A2219" s="799">
        <v>42621</v>
      </c>
      <c r="B2219">
        <v>626.58199999999999</v>
      </c>
      <c r="C2219">
        <v>4450.290387</v>
      </c>
      <c r="D2219">
        <v>1.70668</v>
      </c>
      <c r="E2219">
        <f>LN(D2219/参数实验室!$E$53)/参数实验室!$E$55</f>
        <v>-6.2331241183949504E-2</v>
      </c>
      <c r="F2219">
        <f t="shared" si="288"/>
        <v>7.1024868046001961</v>
      </c>
      <c r="G2219">
        <f>LN(F2219/参数实验室!$E$58)/参数实验室!$E$59</f>
        <v>0.83841744770721005</v>
      </c>
      <c r="H2219" s="856">
        <f>INDEX(神经网络!$G$10:$BO$70,MATCH(ROUND(G2219*2,1)/2,神经网络!$E$10:$E$70,0),MATCH(ROUND(E2219*2,1)/2,神经网络!$G$8:$BO$8,0))</f>
        <v>1.512507021809582</v>
      </c>
      <c r="I2219">
        <f t="shared" si="290"/>
        <v>833.29777588020011</v>
      </c>
      <c r="J2219">
        <f t="shared" si="291"/>
        <v>250.02274450341125</v>
      </c>
      <c r="K2219">
        <f t="shared" si="292"/>
        <v>3.3328878840014124</v>
      </c>
      <c r="L2219" s="4">
        <f>MIN(MAX(L2218*(1+MAX(MIN(((B2219-B2218)/B2218)/($K$7*卓尔金历!$N$40),0),-卓尔金历!$M$43))+MIN(MAX(((B2219-B2218)/B2218)/($K$7*卓尔金历!$N$40),0),卓尔金历!$M$43),0),1)</f>
        <v>1</v>
      </c>
      <c r="M2219" s="4">
        <f>MIN(MAX(M2218*(1+MAX(MIN(((B2219-B2218)/B2218)/($K$7*30),0),-卓尔金历!$M$43))+MIN(MAX(((B2219-B2218)/B2218)/($K$7*7),0),卓尔金历!$M$43),0),1)</f>
        <v>1</v>
      </c>
      <c r="N2219">
        <f t="shared" si="293"/>
        <v>711.72834983076768</v>
      </c>
      <c r="O2219">
        <f t="shared" si="294"/>
        <v>1757.3036258514574</v>
      </c>
      <c r="P2219">
        <f t="shared" si="295"/>
        <v>2.8880415899007156E-2</v>
      </c>
      <c r="Q2219">
        <f t="shared" si="286"/>
        <v>1.2331900074043991E-2</v>
      </c>
      <c r="R2219">
        <f t="shared" si="287"/>
        <v>1.7016317421842341E-3</v>
      </c>
      <c r="S2219">
        <f t="shared" si="289"/>
        <v>17.057794720691284</v>
      </c>
      <c r="T2219" s="564">
        <f>IF((I2219-MAX(I$470:I2219))/MAX(I$470:I2219)&gt;T2218,T2218,(I2219-MAX(I$470:I2219))/MAX(I$470:I2219))</f>
        <v>-0.91338805338419748</v>
      </c>
      <c r="U2219" s="564">
        <f>IF((J2219-MAX(J$470:J2219))/MAX(J$470:J2219)&gt;U2218,U2218,(J2219-MAX(J$470:J2219))/MAX(J$470:J2219))</f>
        <v>-0.8283551177402233</v>
      </c>
      <c r="V2219" s="564">
        <f>IF((K2219-MAX(K$470:K2219))/MAX(K$470:K2219)&gt;V2218,V2218,(K2219-MAX(K$470:K2219))/MAX(K$470:K2219))</f>
        <v>-0.84885940676762139</v>
      </c>
      <c r="W2219" s="564">
        <f>IF((N2219-MAX(N$470:N2219))/MAX(N$470:N2219)&gt;W2218,W2218,(N2219-MAX(N$470:N2219))/MAX(N$470:N2219))</f>
        <v>-0.62788758315546067</v>
      </c>
      <c r="X2219" s="564">
        <f>IF((O2219-MAX(O$470:O2219))/MAX(O$470:O2219)&gt;X2218,X2218,(O2219-MAX(O$470:O2219))/MAX(O$470:O2219))</f>
        <v>-0.62788758315546067</v>
      </c>
    </row>
    <row r="2220" spans="1:24">
      <c r="A2220" s="799">
        <v>42622</v>
      </c>
      <c r="B2220">
        <v>622.51199999999994</v>
      </c>
      <c r="C2220">
        <v>4479.079882</v>
      </c>
      <c r="D2220">
        <v>1.685071</v>
      </c>
      <c r="E2220">
        <f>LN(D2220/参数实验室!$E$53)/参数实验室!$E$55</f>
        <v>-7.7363967810083728E-2</v>
      </c>
      <c r="F2220">
        <f t="shared" si="288"/>
        <v>7.1951703453106131</v>
      </c>
      <c r="G2220">
        <f>LN(F2220/参数实验室!$E$58)/参数实验室!$E$59</f>
        <v>0.84522220067694853</v>
      </c>
      <c r="H2220" s="856">
        <f>INDEX(神经网络!$G$10:$BO$70,MATCH(ROUND(G2220*2,1)/2,神经网络!$E$10:$E$70,0),MATCH(ROUND(E2220*2,1)/2,神经网络!$G$8:$BO$8,0))</f>
        <v>1.4186657341838287</v>
      </c>
      <c r="I2220">
        <f t="shared" si="290"/>
        <v>825.11097708815385</v>
      </c>
      <c r="J2220">
        <f t="shared" si="291"/>
        <v>248.39870715454248</v>
      </c>
      <c r="K2220">
        <f t="shared" si="292"/>
        <v>3.3217200948425507</v>
      </c>
      <c r="L2220" s="4">
        <f>MIN(MAX(L2219*(1+MAX(MIN(((B2220-B2219)/B2219)/($K$7*卓尔金历!$N$40),0),-卓尔金历!$M$43))+MIN(MAX(((B2220-B2219)/B2219)/($K$7*卓尔金历!$N$40),0),卓尔金历!$M$43),0),1)</f>
        <v>0.90075410032018643</v>
      </c>
      <c r="M2220" s="4">
        <f>MIN(MAX(M2219*(1+MAX(MIN(((B2220-B2219)/B2219)/($K$7*30),0),-卓尔金历!$M$43))+MIN(MAX(((B2220-B2219)/B2219)/($K$7*7),0),卓尔金历!$M$43),0),1)</f>
        <v>0.95037705016009322</v>
      </c>
      <c r="N2220">
        <f t="shared" si="293"/>
        <v>704.73591931755186</v>
      </c>
      <c r="O2220">
        <f t="shared" si="294"/>
        <v>1740.0388597404681</v>
      </c>
      <c r="P2220">
        <f t="shared" si="295"/>
        <v>-6.4955584424704988E-3</v>
      </c>
      <c r="Q2220">
        <f t="shared" ref="Q2220:Q2283" si="296">STDEVP(P2200:P2220)</f>
        <v>1.2530969135912508E-2</v>
      </c>
      <c r="R2220">
        <f t="shared" ref="R2220:R2283" si="297">MIN(Q2219*MAX(1-LN(MAX(ABS(P2220),0.0001)/Q2220),0)+MAX(-LN(MAX(ABS(P2220),0.0001)/Q2220),0),1)</f>
        <v>0.67751948464546496</v>
      </c>
      <c r="S2220">
        <f t="shared" si="289"/>
        <v>17.05750955166279</v>
      </c>
      <c r="T2220" s="564">
        <f>IF((I2220-MAX(I$470:I2220))/MAX(I$470:I2220)&gt;T2219,T2219,(I2220-MAX(I$470:I2220))/MAX(I$470:I2220))</f>
        <v>-0.91338805338419748</v>
      </c>
      <c r="U2220" s="564">
        <f>IF((J2220-MAX(J$470:J2220))/MAX(J$470:J2220)&gt;U2219,U2219,(J2220-MAX(J$470:J2220))/MAX(J$470:J2220))</f>
        <v>-0.8283551177402233</v>
      </c>
      <c r="V2220" s="564">
        <f>IF((K2220-MAX(K$470:K2220))/MAX(K$470:K2220)&gt;V2219,V2219,(K2220-MAX(K$470:K2220))/MAX(K$470:K2220))</f>
        <v>-0.84885940676762139</v>
      </c>
      <c r="W2220" s="564">
        <f>IF((N2220-MAX(N$470:N2220))/MAX(N$470:N2220)&gt;W2219,W2219,(N2220-MAX(N$470:N2220))/MAX(N$470:N2220))</f>
        <v>-0.62788758315546067</v>
      </c>
      <c r="X2220" s="564">
        <f>IF((O2220-MAX(O$470:O2220))/MAX(O$470:O2220)&gt;X2219,X2219,(O2220-MAX(O$470:O2220))/MAX(O$470:O2220))</f>
        <v>-0.62788758315546067</v>
      </c>
    </row>
    <row r="2221" spans="1:24">
      <c r="A2221" s="799">
        <v>42623</v>
      </c>
      <c r="B2221">
        <v>623.67600000000004</v>
      </c>
      <c r="C2221">
        <v>4465.6904089999998</v>
      </c>
      <c r="D2221">
        <v>1.6890039999999999</v>
      </c>
      <c r="E2221">
        <f>LN(D2221/参数实验室!$E$53)/参数实验室!$E$55</f>
        <v>-7.4613601199941079E-2</v>
      </c>
      <c r="F2221">
        <f t="shared" si="288"/>
        <v>7.1602729766737854</v>
      </c>
      <c r="G2221">
        <f>LN(F2221/参数实验室!$E$58)/参数实验室!$E$59</f>
        <v>0.84267040750819833</v>
      </c>
      <c r="H2221" s="856">
        <f>INDEX(神经网络!$G$10:$BO$70,MATCH(ROUND(G2221*2,1)/2,神经网络!$E$10:$E$70,0),MATCH(ROUND(E2221*2,1)/2,神经网络!$G$8:$BO$8,0))</f>
        <v>1.512507021809582</v>
      </c>
      <c r="I2221">
        <f t="shared" si="290"/>
        <v>827.29973483738513</v>
      </c>
      <c r="J2221">
        <f t="shared" si="291"/>
        <v>248.86317385579147</v>
      </c>
      <c r="K2221">
        <f t="shared" si="292"/>
        <v>3.3243156149602906</v>
      </c>
      <c r="L2221" s="4">
        <f>MIN(MAX(L2220*(1+MAX(MIN(((B2221-B2220)/B2220)/($K$7*卓尔金历!$N$40),0),-卓尔金历!$M$43))+MIN(MAX(((B2221-B2220)/B2220)/($K$7*卓尔金历!$N$40),0),卓尔金历!$M$43),0),1)</f>
        <v>0.92932351423150461</v>
      </c>
      <c r="M2221" s="4">
        <f>MIN(MAX(M2220*(1+MAX(MIN(((B2221-B2220)/B2220)/($K$7*30),0),-卓尔金历!$M$43))+MIN(MAX(((B2221-B2220)/B2220)/($K$7*7),0),卓尔金历!$M$43),0),1)</f>
        <v>1</v>
      </c>
      <c r="N2221">
        <f t="shared" si="293"/>
        <v>706.41982587021471</v>
      </c>
      <c r="O2221">
        <f t="shared" si="294"/>
        <v>1744.425582819214</v>
      </c>
      <c r="P2221">
        <f t="shared" si="295"/>
        <v>1.8698434728970704E-3</v>
      </c>
      <c r="Q2221">
        <f t="shared" si="296"/>
        <v>1.2495343930336432E-2</v>
      </c>
      <c r="R2221">
        <f t="shared" si="297"/>
        <v>1</v>
      </c>
      <c r="S2221">
        <f t="shared" si="289"/>
        <v>17.088166063928078</v>
      </c>
      <c r="T2221" s="564">
        <f>IF((I2221-MAX(I$470:I2221))/MAX(I$470:I2221)&gt;T2220,T2220,(I2221-MAX(I$470:I2221))/MAX(I$470:I2221))</f>
        <v>-0.91338805338419748</v>
      </c>
      <c r="U2221" s="564">
        <f>IF((J2221-MAX(J$470:J2221))/MAX(J$470:J2221)&gt;U2220,U2220,(J2221-MAX(J$470:J2221))/MAX(J$470:J2221))</f>
        <v>-0.8283551177402233</v>
      </c>
      <c r="V2221" s="564">
        <f>IF((K2221-MAX(K$470:K2221))/MAX(K$470:K2221)&gt;V2220,V2220,(K2221-MAX(K$470:K2221))/MAX(K$470:K2221))</f>
        <v>-0.84885940676762139</v>
      </c>
      <c r="W2221" s="564">
        <f>IF((N2221-MAX(N$470:N2221))/MAX(N$470:N2221)&gt;W2220,W2220,(N2221-MAX(N$470:N2221))/MAX(N$470:N2221))</f>
        <v>-0.62788758315546067</v>
      </c>
      <c r="X2221" s="564">
        <f>IF((O2221-MAX(O$470:O2221))/MAX(O$470:O2221)&gt;X2220,X2220,(O2221-MAX(O$470:O2221))/MAX(O$470:O2221))</f>
        <v>-0.62788758315546067</v>
      </c>
    </row>
    <row r="2222" spans="1:24">
      <c r="A2222" s="799">
        <v>42624</v>
      </c>
      <c r="B2222">
        <v>623.05200000000002</v>
      </c>
      <c r="C2222">
        <v>4422.5029050000003</v>
      </c>
      <c r="D2222">
        <v>1.6440939999999999</v>
      </c>
      <c r="E2222">
        <f>LN(D2222/参数实验室!$E$53)/参数实验室!$E$55</f>
        <v>-0.10640740073839483</v>
      </c>
      <c r="F2222">
        <f t="shared" si="288"/>
        <v>7.0981280936422646</v>
      </c>
      <c r="G2222">
        <f>LN(F2222/参数实验室!$E$58)/参数实验室!$E$59</f>
        <v>0.83809525220270142</v>
      </c>
      <c r="H2222" s="856">
        <f>INDEX(神经网络!$G$10:$BO$70,MATCH(ROUND(G2222*2,1)/2,神经网络!$E$10:$E$70,0),MATCH(ROUND(E2222*2,1)/2,神经网络!$G$8:$BO$8,0))</f>
        <v>1.4186657341838287</v>
      </c>
      <c r="I2222">
        <f t="shared" si="290"/>
        <v>826.04778813005044</v>
      </c>
      <c r="J2222">
        <f t="shared" si="291"/>
        <v>248.61418139738996</v>
      </c>
      <c r="K2222">
        <f t="shared" si="292"/>
        <v>3.322609287559823</v>
      </c>
      <c r="L2222" s="4">
        <f>MIN(MAX(L2221*(1+MAX(MIN(((B2222-B2221)/B2221)/($K$7*卓尔金历!$N$40),0),-卓尔金历!$M$43))+MIN(MAX(((B2222-B2221)/B2221)/($K$7*卓尔金历!$N$40),0),卓尔金历!$M$43),0),1)</f>
        <v>0.91511696626227912</v>
      </c>
      <c r="M2222" s="4">
        <f>MIN(MAX(M2221*(1+MAX(MIN(((B2222-B2221)/B2221)/($K$7*30),0),-卓尔金历!$M$43))+MIN(MAX(((B2222-B2221)/B2221)/($K$7*7),0),卓尔金历!$M$43),0),1)</f>
        <v>0.99235651107947398</v>
      </c>
      <c r="N2222">
        <f t="shared" si="293"/>
        <v>705.42636043303628</v>
      </c>
      <c r="O2222">
        <f t="shared" si="294"/>
        <v>1741.7857561969679</v>
      </c>
      <c r="P2222">
        <f t="shared" si="295"/>
        <v>-1.0005195005099181E-3</v>
      </c>
      <c r="Q2222">
        <f t="shared" si="296"/>
        <v>1.2522249847151581E-2</v>
      </c>
      <c r="R2222">
        <f t="shared" si="297"/>
        <v>1</v>
      </c>
      <c r="S2222">
        <f t="shared" si="289"/>
        <v>17.062306665771342</v>
      </c>
      <c r="T2222" s="564">
        <f>IF((I2222-MAX(I$470:I2222))/MAX(I$470:I2222)&gt;T2221,T2221,(I2222-MAX(I$470:I2222))/MAX(I$470:I2222))</f>
        <v>-0.91338805338419748</v>
      </c>
      <c r="U2222" s="564">
        <f>IF((J2222-MAX(J$470:J2222))/MAX(J$470:J2222)&gt;U2221,U2221,(J2222-MAX(J$470:J2222))/MAX(J$470:J2222))</f>
        <v>-0.8283551177402233</v>
      </c>
      <c r="V2222" s="564">
        <f>IF((K2222-MAX(K$470:K2222))/MAX(K$470:K2222)&gt;V2221,V2221,(K2222-MAX(K$470:K2222))/MAX(K$470:K2222))</f>
        <v>-0.84885940676762139</v>
      </c>
      <c r="W2222" s="564">
        <f>IF((N2222-MAX(N$470:N2222))/MAX(N$470:N2222)&gt;W2221,W2221,(N2222-MAX(N$470:N2222))/MAX(N$470:N2222))</f>
        <v>-0.62788758315546067</v>
      </c>
      <c r="X2222" s="564">
        <f>IF((O2222-MAX(O$470:O2222))/MAX(O$470:O2222)&gt;X2221,X2221,(O2222-MAX(O$470:O2222))/MAX(O$470:O2222))</f>
        <v>-0.62788758315546067</v>
      </c>
    </row>
    <row r="2223" spans="1:24">
      <c r="A2223" s="799">
        <v>42625</v>
      </c>
      <c r="B2223">
        <v>605.68100000000004</v>
      </c>
      <c r="C2223">
        <v>4424.3214479999997</v>
      </c>
      <c r="D2223">
        <v>1.642355</v>
      </c>
      <c r="E2223">
        <f>LN(D2223/参数实验室!$E$53)/参数实验室!$E$55</f>
        <v>-0.10765591613160122</v>
      </c>
      <c r="F2223">
        <f t="shared" si="288"/>
        <v>7.3047056916099393</v>
      </c>
      <c r="G2223">
        <f>LN(F2223/参数实验室!$E$58)/参数实验室!$E$59</f>
        <v>0.85315208405514442</v>
      </c>
      <c r="H2223" s="856">
        <f>INDEX(神经网络!$G$10:$BO$70,MATCH(ROUND(G2223*2,1)/2,神经网络!$E$10:$E$70,0),MATCH(ROUND(E2223*2,1)/2,神经网络!$G$8:$BO$8,0))</f>
        <v>1.4186657341838287</v>
      </c>
      <c r="I2223">
        <f t="shared" si="290"/>
        <v>793.37503151811723</v>
      </c>
      <c r="J2223">
        <f t="shared" si="291"/>
        <v>241.68269422608796</v>
      </c>
      <c r="K2223">
        <f t="shared" si="292"/>
        <v>3.2827134522753014</v>
      </c>
      <c r="L2223" s="4">
        <f>MIN(MAX(L2222*(1+MAX(MIN(((B2223-B2222)/B2222)/($K$7*卓尔金历!$N$40),0),-卓尔金历!$M$43))+MIN(MAX(((B2223-B2222)/B2222)/($K$7*卓尔金历!$N$40),0),卓尔金历!$M$43),0),1)</f>
        <v>0.52528880312795134</v>
      </c>
      <c r="M2223" s="4">
        <f>MIN(MAX(M2222*(1+MAX(MIN(((B2223-B2222)/B2222)/($K$7*30),0),-卓尔金历!$M$43))+MIN(MAX(((B2223-B2222)/B2222)/($K$7*7),0),卓尔金历!$M$43),0),1)</f>
        <v>0.78099089873127714</v>
      </c>
      <c r="N2223">
        <f t="shared" si="293"/>
        <v>679.89294586760468</v>
      </c>
      <c r="O2223">
        <f t="shared" si="294"/>
        <v>1673.4193008591817</v>
      </c>
      <c r="P2223">
        <f t="shared" si="295"/>
        <v>-2.7880497935966791E-2</v>
      </c>
      <c r="Q2223">
        <f t="shared" si="296"/>
        <v>1.4113241599049696E-2</v>
      </c>
      <c r="R2223">
        <f t="shared" si="297"/>
        <v>3.9969272339557341E-3</v>
      </c>
      <c r="S2223">
        <f t="shared" si="289"/>
        <v>16.387439423295117</v>
      </c>
      <c r="T2223" s="564">
        <f>IF((I2223-MAX(I$470:I2223))/MAX(I$470:I2223)&gt;T2222,T2222,(I2223-MAX(I$470:I2223))/MAX(I$470:I2223))</f>
        <v>-0.91338805338419748</v>
      </c>
      <c r="U2223" s="564">
        <f>IF((J2223-MAX(J$470:J2223))/MAX(J$470:J2223)&gt;U2222,U2222,(J2223-MAX(J$470:J2223))/MAX(J$470:J2223))</f>
        <v>-0.8283551177402233</v>
      </c>
      <c r="V2223" s="564">
        <f>IF((K2223-MAX(K$470:K2223))/MAX(K$470:K2223)&gt;V2222,V2222,(K2223-MAX(K$470:K2223))/MAX(K$470:K2223))</f>
        <v>-0.84885940676762139</v>
      </c>
      <c r="W2223" s="564">
        <f>IF((N2223-MAX(N$470:N2223))/MAX(N$470:N2223)&gt;W2222,W2222,(N2223-MAX(N$470:N2223))/MAX(N$470:N2223))</f>
        <v>-0.62788758315546067</v>
      </c>
      <c r="X2223" s="564">
        <f>IF((O2223-MAX(O$470:O2223))/MAX(O$470:O2223)&gt;X2222,X2222,(O2223-MAX(O$470:O2223))/MAX(O$470:O2223))</f>
        <v>-0.62788758315546067</v>
      </c>
    </row>
    <row r="2224" spans="1:24">
      <c r="A2224" s="799">
        <v>42626</v>
      </c>
      <c r="B2224">
        <v>607.67999999999995</v>
      </c>
      <c r="C2224">
        <v>4420.1989729999996</v>
      </c>
      <c r="D2224">
        <v>1.64324</v>
      </c>
      <c r="E2224">
        <f>LN(D2224/参数实验室!$E$53)/参数实验室!$E$55</f>
        <v>-0.10702036509979963</v>
      </c>
      <c r="F2224">
        <f t="shared" si="288"/>
        <v>7.2738924647840966</v>
      </c>
      <c r="G2224">
        <f>LN(F2224/参数实验室!$E$58)/参数实验室!$E$59</f>
        <v>0.8509334248138688</v>
      </c>
      <c r="H2224" s="856">
        <f>INDEX(神经网络!$G$10:$BO$70,MATCH(ROUND(G2224*2,1)/2,神经网络!$E$10:$E$70,0),MATCH(ROUND(E2224*2,1)/2,神经网络!$G$8:$BO$8,0))</f>
        <v>1.4186657341838287</v>
      </c>
      <c r="I2224">
        <f t="shared" si="290"/>
        <v>797.08976321544935</v>
      </c>
      <c r="J2224">
        <f t="shared" si="291"/>
        <v>242.48034795099912</v>
      </c>
      <c r="K2224">
        <f t="shared" si="292"/>
        <v>3.2872344911700915</v>
      </c>
      <c r="L2224" s="4">
        <f>MIN(MAX(L2223*(1+MAX(MIN(((B2224-B2223)/B2223)/($K$7*卓尔金历!$N$40),0),-卓尔金历!$M$43))+MIN(MAX(((B2224-B2223)/B2223)/($K$7*卓尔金历!$N$40),0),卓尔金历!$M$43),0),1)</f>
        <v>0.57571601101989833</v>
      </c>
      <c r="M2224" s="4">
        <f>MIN(MAX(M2223*(1+MAX(MIN(((B2224-B2223)/B2223)/($K$7*30),0),-卓尔金历!$M$43))+MIN(MAX(((B2224-B2223)/B2223)/($K$7*7),0),卓尔金历!$M$43),0),1)</f>
        <v>0.88904920135687793</v>
      </c>
      <c r="N2224">
        <f t="shared" si="293"/>
        <v>681.56514349109864</v>
      </c>
      <c r="O2224">
        <f t="shared" si="294"/>
        <v>1679.5385716152152</v>
      </c>
      <c r="P2224">
        <f t="shared" si="295"/>
        <v>3.3004172163232951E-3</v>
      </c>
      <c r="Q2224">
        <f t="shared" si="296"/>
        <v>1.4110216690410441E-2</v>
      </c>
      <c r="R2224">
        <f t="shared" si="297"/>
        <v>1</v>
      </c>
      <c r="S2224">
        <f t="shared" si="289"/>
        <v>16.387746103866775</v>
      </c>
      <c r="T2224" s="564">
        <f>IF((I2224-MAX(I$470:I2224))/MAX(I$470:I2224)&gt;T2223,T2223,(I2224-MAX(I$470:I2224))/MAX(I$470:I2224))</f>
        <v>-0.91338805338419748</v>
      </c>
      <c r="U2224" s="564">
        <f>IF((J2224-MAX(J$470:J2224))/MAX(J$470:J2224)&gt;U2223,U2223,(J2224-MAX(J$470:J2224))/MAX(J$470:J2224))</f>
        <v>-0.8283551177402233</v>
      </c>
      <c r="V2224" s="564">
        <f>IF((K2224-MAX(K$470:K2224))/MAX(K$470:K2224)&gt;V2223,V2223,(K2224-MAX(K$470:K2224))/MAX(K$470:K2224))</f>
        <v>-0.84885940676762139</v>
      </c>
      <c r="W2224" s="564">
        <f>IF((N2224-MAX(N$470:N2224))/MAX(N$470:N2224)&gt;W2223,W2223,(N2224-MAX(N$470:N2224))/MAX(N$470:N2224))</f>
        <v>-0.62788758315546067</v>
      </c>
      <c r="X2224" s="564">
        <f>IF((O2224-MAX(O$470:O2224))/MAX(O$470:O2224)&gt;X2223,X2223,(O2224-MAX(O$470:O2224))/MAX(O$470:O2224))</f>
        <v>-0.62788758315546067</v>
      </c>
    </row>
    <row r="2225" spans="1:24">
      <c r="A2225" s="799">
        <v>42627</v>
      </c>
      <c r="B2225">
        <v>610.202</v>
      </c>
      <c r="C2225">
        <v>4392.267323</v>
      </c>
      <c r="D2225">
        <v>1.6444589999999999</v>
      </c>
      <c r="E2225">
        <f>LN(D2225/参数实验室!$E$53)/参数实验室!$E$55</f>
        <v>-0.10614551659918946</v>
      </c>
      <c r="F2225">
        <f t="shared" si="288"/>
        <v>7.1980546163401629</v>
      </c>
      <c r="G2225">
        <f>LN(F2225/参数实验室!$E$58)/参数实验室!$E$59</f>
        <v>0.8454325526078742</v>
      </c>
      <c r="H2225" s="856">
        <f>INDEX(神经网络!$G$10:$BO$70,MATCH(ROUND(G2225*2,1)/2,神经网络!$E$10:$E$70,0),MATCH(ROUND(E2225*2,1)/2,神经网络!$G$8:$BO$8,0))</f>
        <v>1.4186657341838287</v>
      </c>
      <c r="I2225">
        <f t="shared" si="290"/>
        <v>801.78283773148962</v>
      </c>
      <c r="J2225">
        <f t="shared" si="291"/>
        <v>243.48669247037188</v>
      </c>
      <c r="K2225">
        <f t="shared" si="292"/>
        <v>3.2929226217529433</v>
      </c>
      <c r="L2225" s="4">
        <f>MIN(MAX(L2224*(1+MAX(MIN(((B2225-B2224)/B2224)/($K$7*卓尔金历!$N$40),0),-卓尔金历!$M$43))+MIN(MAX(((B2225-B2224)/B2224)/($K$7*卓尔金历!$N$40),0),卓尔金历!$M$43),0),1)</f>
        <v>0.63912724689675704</v>
      </c>
      <c r="M2225" s="4">
        <f>MIN(MAX(M2224*(1+MAX(MIN(((B2225-B2224)/B2224)/($K$7*30),0),-卓尔金历!$M$43))+MIN(MAX(((B2225-B2224)/B2224)/($K$7*7),0),卓尔金历!$M$43),0),1)</f>
        <v>1</v>
      </c>
      <c r="N2225">
        <f t="shared" si="293"/>
        <v>683.87543029570566</v>
      </c>
      <c r="O2225">
        <f t="shared" si="294"/>
        <v>1688.3301326716862</v>
      </c>
      <c r="P2225">
        <f t="shared" si="295"/>
        <v>4.1502106371775413E-3</v>
      </c>
      <c r="Q2225">
        <f t="shared" si="296"/>
        <v>1.4101662727220852E-2</v>
      </c>
      <c r="R2225">
        <f t="shared" si="297"/>
        <v>1</v>
      </c>
      <c r="S2225">
        <f t="shared" si="289"/>
        <v>16.484233246425408</v>
      </c>
      <c r="T2225" s="564">
        <f>IF((I2225-MAX(I$470:I2225))/MAX(I$470:I2225)&gt;T2224,T2224,(I2225-MAX(I$470:I2225))/MAX(I$470:I2225))</f>
        <v>-0.91338805338419748</v>
      </c>
      <c r="U2225" s="564">
        <f>IF((J2225-MAX(J$470:J2225))/MAX(J$470:J2225)&gt;U2224,U2224,(J2225-MAX(J$470:J2225))/MAX(J$470:J2225))</f>
        <v>-0.8283551177402233</v>
      </c>
      <c r="V2225" s="564">
        <f>IF((K2225-MAX(K$470:K2225))/MAX(K$470:K2225)&gt;V2224,V2224,(K2225-MAX(K$470:K2225))/MAX(K$470:K2225))</f>
        <v>-0.84885940676762139</v>
      </c>
      <c r="W2225" s="564">
        <f>IF((N2225-MAX(N$470:N2225))/MAX(N$470:N2225)&gt;W2224,W2224,(N2225-MAX(N$470:N2225))/MAX(N$470:N2225))</f>
        <v>-0.62788758315546067</v>
      </c>
      <c r="X2225" s="564">
        <f>IF((O2225-MAX(O$470:O2225))/MAX(O$470:O2225)&gt;X2224,X2224,(O2225-MAX(O$470:O2225))/MAX(O$470:O2225))</f>
        <v>-0.62788758315546067</v>
      </c>
    </row>
    <row r="2226" spans="1:24">
      <c r="A2226" s="799">
        <v>42628</v>
      </c>
      <c r="B2226">
        <v>610.23400000000004</v>
      </c>
      <c r="C2226">
        <v>4338.3043049999997</v>
      </c>
      <c r="D2226">
        <v>1.6375710000000001</v>
      </c>
      <c r="E2226">
        <f>LN(D2226/参数实验室!$E$53)/参数实验室!$E$55</f>
        <v>-0.11109742275188517</v>
      </c>
      <c r="F2226">
        <f t="shared" si="288"/>
        <v>7.1092471166798301</v>
      </c>
      <c r="G2226">
        <f>LN(F2226/参数实验室!$E$58)/参数实验室!$E$59</f>
        <v>0.83891677838913326</v>
      </c>
      <c r="H2226" s="856">
        <f>INDEX(神经网络!$G$10:$BO$70,MATCH(ROUND(G2226*2,1)/2,神经网络!$E$10:$E$70,0),MATCH(ROUND(E2226*2,1)/2,神经网络!$G$8:$BO$8,0))</f>
        <v>1.4186657341838287</v>
      </c>
      <c r="I2226">
        <f t="shared" si="290"/>
        <v>801.84248810762847</v>
      </c>
      <c r="J2226">
        <f t="shared" si="291"/>
        <v>243.49946131439251</v>
      </c>
      <c r="K2226">
        <f t="shared" si="292"/>
        <v>3.2929949157971055</v>
      </c>
      <c r="L2226" s="4">
        <f>MIN(MAX(L2225*(1+MAX(MIN(((B2226-B2225)/B2225)/($K$7*卓尔金历!$N$40),0),-卓尔金历!$M$43))+MIN(MAX(((B2226-B2225)/B2225)/($K$7*卓尔金历!$N$40),0),卓尔金历!$M$43),0),1)</f>
        <v>0.63992850499144993</v>
      </c>
      <c r="M2226" s="4">
        <f>MIN(MAX(M2225*(1+MAX(MIN(((B2226-B2225)/B2225)/($K$7*30),0),-卓尔金历!$M$43))+MIN(MAX(((B2226-B2225)/B2225)/($K$7*7),0),卓尔金历!$M$43),0),1)</f>
        <v>1</v>
      </c>
      <c r="N2226">
        <f t="shared" si="293"/>
        <v>683.90794806640235</v>
      </c>
      <c r="O2226">
        <f t="shared" si="294"/>
        <v>1688.4557396599143</v>
      </c>
      <c r="P2226">
        <f t="shared" si="295"/>
        <v>5.2441650469908502E-5</v>
      </c>
      <c r="Q2226">
        <f t="shared" si="296"/>
        <v>1.3750832203239657E-2</v>
      </c>
      <c r="R2226">
        <f t="shared" si="297"/>
        <v>1</v>
      </c>
      <c r="S2226">
        <f t="shared" si="289"/>
        <v>16.485459626770854</v>
      </c>
      <c r="T2226" s="564">
        <f>IF((I2226-MAX(I$470:I2226))/MAX(I$470:I2226)&gt;T2225,T2225,(I2226-MAX(I$470:I2226))/MAX(I$470:I2226))</f>
        <v>-0.91338805338419748</v>
      </c>
      <c r="U2226" s="564">
        <f>IF((J2226-MAX(J$470:J2226))/MAX(J$470:J2226)&gt;U2225,U2225,(J2226-MAX(J$470:J2226))/MAX(J$470:J2226))</f>
        <v>-0.8283551177402233</v>
      </c>
      <c r="V2226" s="564">
        <f>IF((K2226-MAX(K$470:K2226))/MAX(K$470:K2226)&gt;V2225,V2225,(K2226-MAX(K$470:K2226))/MAX(K$470:K2226))</f>
        <v>-0.84885940676762139</v>
      </c>
      <c r="W2226" s="564">
        <f>IF((N2226-MAX(N$470:N2226))/MAX(N$470:N2226)&gt;W2225,W2225,(N2226-MAX(N$470:N2226))/MAX(N$470:N2226))</f>
        <v>-0.62788758315546067</v>
      </c>
      <c r="X2226" s="564">
        <f>IF((O2226-MAX(O$470:O2226))/MAX(O$470:O2226)&gt;X2225,X2225,(O2226-MAX(O$470:O2226))/MAX(O$470:O2226))</f>
        <v>-0.62788758315546067</v>
      </c>
    </row>
    <row r="2227" spans="1:24">
      <c r="A2227" s="799">
        <v>42629</v>
      </c>
      <c r="B2227">
        <v>608.06100000000004</v>
      </c>
      <c r="C2227">
        <v>4293.6567569999997</v>
      </c>
      <c r="D2227">
        <v>1.6384369999999999</v>
      </c>
      <c r="E2227">
        <f>LN(D2227/参数实验室!$E$53)/参数实验室!$E$55</f>
        <v>-0.11047369635495494</v>
      </c>
      <c r="F2227">
        <f t="shared" si="288"/>
        <v>7.0612270101190493</v>
      </c>
      <c r="G2227">
        <f>LN(F2227/参数实验室!$E$58)/参数实验室!$E$59</f>
        <v>0.8353595729874701</v>
      </c>
      <c r="H2227" s="856">
        <f>INDEX(神经网络!$G$10:$BO$70,MATCH(ROUND(G2227*2,1)/2,神经网络!$E$10:$E$70,0),MATCH(ROUND(E2227*2,1)/2,神经网络!$G$8:$BO$8,0))</f>
        <v>1.4186657341838287</v>
      </c>
      <c r="I2227">
        <f t="shared" si="290"/>
        <v>797.79176582384264</v>
      </c>
      <c r="J2227">
        <f t="shared" si="291"/>
        <v>242.63237700011936</v>
      </c>
      <c r="K2227">
        <f t="shared" si="292"/>
        <v>3.2880680463491903</v>
      </c>
      <c r="L2227" s="4">
        <f>MIN(MAX(L2226*(1+MAX(MIN(((B2227-B2226)/B2226)/($K$7*卓尔金历!$N$40),0),-卓尔金历!$M$43))+MIN(MAX(((B2227-B2226)/B2226)/($K$7*卓尔金历!$N$40),0),卓尔金历!$M$43),0),1)</f>
        <v>0.60511154412936663</v>
      </c>
      <c r="M2227" s="4">
        <f>MIN(MAX(M2226*(1+MAX(MIN(((B2227-B2226)/B2226)/($K$7*30),0),-卓尔金历!$M$43))+MIN(MAX(((B2227-B2226)/B2226)/($K$7*7),0),卓尔金历!$M$43),0),1)</f>
        <v>0.97279621036529029</v>
      </c>
      <c r="N2227">
        <f t="shared" si="293"/>
        <v>681.69703070053095</v>
      </c>
      <c r="O2227">
        <f t="shared" si="294"/>
        <v>1679.9260528557543</v>
      </c>
      <c r="P2227">
        <f t="shared" si="295"/>
        <v>-3.5609290862193875E-3</v>
      </c>
      <c r="Q2227">
        <f t="shared" si="296"/>
        <v>1.3783610496242242E-2</v>
      </c>
      <c r="R2227">
        <f t="shared" si="297"/>
        <v>1</v>
      </c>
      <c r="S2227">
        <f t="shared" si="289"/>
        <v>16.402178908102268</v>
      </c>
      <c r="T2227" s="564">
        <f>IF((I2227-MAX(I$470:I2227))/MAX(I$470:I2227)&gt;T2226,T2226,(I2227-MAX(I$470:I2227))/MAX(I$470:I2227))</f>
        <v>-0.91338805338419748</v>
      </c>
      <c r="U2227" s="564">
        <f>IF((J2227-MAX(J$470:J2227))/MAX(J$470:J2227)&gt;U2226,U2226,(J2227-MAX(J$470:J2227))/MAX(J$470:J2227))</f>
        <v>-0.8283551177402233</v>
      </c>
      <c r="V2227" s="564">
        <f>IF((K2227-MAX(K$470:K2227))/MAX(K$470:K2227)&gt;V2226,V2226,(K2227-MAX(K$470:K2227))/MAX(K$470:K2227))</f>
        <v>-0.84885940676762139</v>
      </c>
      <c r="W2227" s="564">
        <f>IF((N2227-MAX(N$470:N2227))/MAX(N$470:N2227)&gt;W2226,W2226,(N2227-MAX(N$470:N2227))/MAX(N$470:N2227))</f>
        <v>-0.62788758315546067</v>
      </c>
      <c r="X2227" s="564">
        <f>IF((O2227-MAX(O$470:O2227))/MAX(O$470:O2227)&gt;X2226,X2226,(O2227-MAX(O$470:O2227))/MAX(O$470:O2227))</f>
        <v>-0.62788758315546067</v>
      </c>
    </row>
    <row r="2228" spans="1:24">
      <c r="A2228" s="799">
        <v>42630</v>
      </c>
      <c r="B2228">
        <v>607.67899999999997</v>
      </c>
      <c r="C2228">
        <v>4269.7286389999999</v>
      </c>
      <c r="D2228">
        <v>1.636843</v>
      </c>
      <c r="E2228">
        <f>LN(D2228/参数实验室!$E$53)/参数实验室!$E$55</f>
        <v>-0.1116220115031934</v>
      </c>
      <c r="F2228">
        <f t="shared" si="288"/>
        <v>7.026289601911536</v>
      </c>
      <c r="G2228">
        <f>LN(F2228/参数实验室!$E$58)/参数实验室!$E$59</f>
        <v>0.83275626424941318</v>
      </c>
      <c r="H2228" s="856">
        <f>INDEX(神经网络!$G$10:$BO$70,MATCH(ROUND(G2228*2,1)/2,神经网络!$E$10:$E$70,0),MATCH(ROUND(E2228*2,1)/2,神经网络!$G$8:$BO$8,0))</f>
        <v>1.4186657341838287</v>
      </c>
      <c r="I2228">
        <f t="shared" si="290"/>
        <v>797.08073923385575</v>
      </c>
      <c r="J2228">
        <f t="shared" si="291"/>
        <v>242.47994892462353</v>
      </c>
      <c r="K2228">
        <f t="shared" si="292"/>
        <v>3.2872026852893863</v>
      </c>
      <c r="L2228" s="4">
        <f>MIN(MAX(L2227*(1+MAX(MIN(((B2228-B2227)/B2227)/($K$7*卓尔金历!$N$40),0),-卓尔金历!$M$43))+MIN(MAX(((B2228-B2227)/B2227)/($K$7*卓尔金历!$N$40),0),卓尔金历!$M$43),0),1)</f>
        <v>0.59930326164116865</v>
      </c>
      <c r="M2228" s="4">
        <f>MIN(MAX(M2227*(1+MAX(MIN(((B2228-B2227)/B2227)/($K$7*30),0),-卓尔金历!$M$43))+MIN(MAX(((B2228-B2227)/B2227)/($K$7*7),0),卓尔金历!$M$43),0),1)</f>
        <v>0.96812742223187298</v>
      </c>
      <c r="N2228">
        <f t="shared" si="293"/>
        <v>681.32939038235315</v>
      </c>
      <c r="O2228">
        <f t="shared" si="294"/>
        <v>1678.4695601028423</v>
      </c>
      <c r="P2228">
        <f t="shared" si="295"/>
        <v>-6.2822644438643787E-4</v>
      </c>
      <c r="Q2228">
        <f t="shared" si="296"/>
        <v>1.3665538757478861E-2</v>
      </c>
      <c r="R2228">
        <f t="shared" si="297"/>
        <v>1</v>
      </c>
      <c r="S2228">
        <f t="shared" si="289"/>
        <v>16.387560575553625</v>
      </c>
      <c r="T2228" s="564">
        <f>IF((I2228-MAX(I$470:I2228))/MAX(I$470:I2228)&gt;T2227,T2227,(I2228-MAX(I$470:I2228))/MAX(I$470:I2228))</f>
        <v>-0.91338805338419748</v>
      </c>
      <c r="U2228" s="564">
        <f>IF((J2228-MAX(J$470:J2228))/MAX(J$470:J2228)&gt;U2227,U2227,(J2228-MAX(J$470:J2228))/MAX(J$470:J2228))</f>
        <v>-0.8283551177402233</v>
      </c>
      <c r="V2228" s="564">
        <f>IF((K2228-MAX(K$470:K2228))/MAX(K$470:K2228)&gt;V2227,V2227,(K2228-MAX(K$470:K2228))/MAX(K$470:K2228))</f>
        <v>-0.84885940676762139</v>
      </c>
      <c r="W2228" s="564">
        <f>IF((N2228-MAX(N$470:N2228))/MAX(N$470:N2228)&gt;W2227,W2227,(N2228-MAX(N$470:N2228))/MAX(N$470:N2228))</f>
        <v>-0.62788758315546067</v>
      </c>
      <c r="X2228" s="564">
        <f>IF((O2228-MAX(O$470:O2228))/MAX(O$470:O2228)&gt;X2227,X2227,(O2228-MAX(O$470:O2228))/MAX(O$470:O2228))</f>
        <v>-0.62788758315546067</v>
      </c>
    </row>
    <row r="2229" spans="1:24">
      <c r="A2229" s="799">
        <v>42631</v>
      </c>
      <c r="B2229">
        <v>607.30899999999997</v>
      </c>
      <c r="C2229">
        <v>4296.9911359999996</v>
      </c>
      <c r="D2229">
        <v>1.647359</v>
      </c>
      <c r="E2229">
        <f>LN(D2229/参数实验室!$E$53)/参数实验室!$E$55</f>
        <v>-0.10406685654409543</v>
      </c>
      <c r="F2229">
        <f t="shared" si="288"/>
        <v>7.0754609860878066</v>
      </c>
      <c r="G2229">
        <f>LN(F2229/参数实验室!$E$58)/参数实验室!$E$59</f>
        <v>0.83641650546882385</v>
      </c>
      <c r="H2229" s="856">
        <f>INDEX(神经网络!$G$10:$BO$70,MATCH(ROUND(G2229*2,1)/2,神经网络!$E$10:$E$70,0),MATCH(ROUND(E2229*2,1)/2,神经网络!$G$8:$BO$8,0))</f>
        <v>1.4186657341838287</v>
      </c>
      <c r="I2229">
        <f t="shared" si="290"/>
        <v>796.39222980883403</v>
      </c>
      <c r="J2229">
        <f t="shared" si="291"/>
        <v>242.33230916563545</v>
      </c>
      <c r="K2229">
        <f t="shared" si="292"/>
        <v>3.2863642184191608</v>
      </c>
      <c r="L2229" s="4">
        <f>MIN(MAX(L2228*(1+MAX(MIN(((B2229-B2228)/B2228)/($K$7*卓尔金历!$N$40),0),-卓尔金历!$M$43))+MIN(MAX(((B2229-B2228)/B2228)/($K$7*卓尔金历!$N$40),0),卓尔金历!$M$43),0),1)</f>
        <v>0.59372793629680576</v>
      </c>
      <c r="M2229" s="4">
        <f>MIN(MAX(M2228*(1+MAX(MIN(((B2229-B2228)/B2228)/($K$7*30),0),-卓尔金历!$M$43))+MIN(MAX(((B2229-B2228)/B2228)/($K$7*7),0),卓尔金历!$M$43),0),1)</f>
        <v>0.96362417179155269</v>
      </c>
      <c r="N2229">
        <f t="shared" si="293"/>
        <v>680.97668560716261</v>
      </c>
      <c r="O2229">
        <f t="shared" si="294"/>
        <v>1677.0659271161269</v>
      </c>
      <c r="P2229">
        <f t="shared" si="295"/>
        <v>-6.0887409306558987E-4</v>
      </c>
      <c r="Q2229">
        <f t="shared" si="296"/>
        <v>1.3565096056980561E-2</v>
      </c>
      <c r="R2229">
        <f t="shared" si="297"/>
        <v>1</v>
      </c>
      <c r="S2229">
        <f t="shared" si="289"/>
        <v>16.373405184068154</v>
      </c>
      <c r="T2229" s="564">
        <f>IF((I2229-MAX(I$470:I2229))/MAX(I$470:I2229)&gt;T2228,T2228,(I2229-MAX(I$470:I2229))/MAX(I$470:I2229))</f>
        <v>-0.91338805338419748</v>
      </c>
      <c r="U2229" s="564">
        <f>IF((J2229-MAX(J$470:J2229))/MAX(J$470:J2229)&gt;U2228,U2228,(J2229-MAX(J$470:J2229))/MAX(J$470:J2229))</f>
        <v>-0.8283551177402233</v>
      </c>
      <c r="V2229" s="564">
        <f>IF((K2229-MAX(K$470:K2229))/MAX(K$470:K2229)&gt;V2228,V2228,(K2229-MAX(K$470:K2229))/MAX(K$470:K2229))</f>
        <v>-0.84885940676762139</v>
      </c>
      <c r="W2229" s="564">
        <f>IF((N2229-MAX(N$470:N2229))/MAX(N$470:N2229)&gt;W2228,W2228,(N2229-MAX(N$470:N2229))/MAX(N$470:N2229))</f>
        <v>-0.62788758315546067</v>
      </c>
      <c r="X2229" s="564">
        <f>IF((O2229-MAX(O$470:O2229))/MAX(O$470:O2229)&gt;X2228,X2228,(O2229-MAX(O$470:O2229))/MAX(O$470:O2229))</f>
        <v>-0.62788758315546067</v>
      </c>
    </row>
    <row r="2230" spans="1:24">
      <c r="A2230" s="799">
        <v>42632</v>
      </c>
      <c r="B2230">
        <v>609.20699999999999</v>
      </c>
      <c r="C2230">
        <v>4362.1538639999999</v>
      </c>
      <c r="D2230">
        <v>1.6398090000000001</v>
      </c>
      <c r="E2230">
        <f>LN(D2230/参数实验室!$E$53)/参数实验室!$E$55</f>
        <v>-0.10948620393050965</v>
      </c>
      <c r="F2230">
        <f t="shared" si="288"/>
        <v>7.1603804027202571</v>
      </c>
      <c r="G2230">
        <f>LN(F2230/参数实验室!$E$58)/参数实验室!$E$59</f>
        <v>0.84267828186886196</v>
      </c>
      <c r="H2230" s="856">
        <f>INDEX(神经网络!$G$10:$BO$70,MATCH(ROUND(G2230*2,1)/2,神经网络!$E$10:$E$70,0),MATCH(ROUND(E2230*2,1)/2,神经网络!$G$8:$BO$8,0))</f>
        <v>1.4186657341838287</v>
      </c>
      <c r="I2230">
        <f t="shared" si="290"/>
        <v>799.9231962020956</v>
      </c>
      <c r="J2230">
        <f t="shared" si="291"/>
        <v>243.08966122660667</v>
      </c>
      <c r="K2230">
        <f t="shared" si="292"/>
        <v>3.2906508329715107</v>
      </c>
      <c r="L2230" s="4">
        <f>MIN(MAX(L2229*(1+MAX(MIN(((B2230-B2229)/B2229)/($K$7*卓尔金历!$N$40),0),-卓尔金历!$M$43))+MIN(MAX(((B2230-B2229)/B2229)/($K$7*卓尔金历!$N$40),0),卓尔金历!$M$43),0),1)</f>
        <v>0.64147894710951159</v>
      </c>
      <c r="M2230" s="4">
        <f>MIN(MAX(M2229*(1+MAX(MIN(((B2230-B2229)/B2229)/($K$7*30),0),-卓尔金历!$M$43))+MIN(MAX(((B2230-B2229)/B2229)/($K$7*7),0),卓尔金历!$M$43),0),1)</f>
        <v>1</v>
      </c>
      <c r="N2230">
        <f t="shared" si="293"/>
        <v>682.76929759902998</v>
      </c>
      <c r="O2230">
        <f t="shared" si="294"/>
        <v>1684.2310623381748</v>
      </c>
      <c r="P2230">
        <f t="shared" si="295"/>
        <v>3.1252624281873391E-3</v>
      </c>
      <c r="Q2230">
        <f t="shared" si="296"/>
        <v>1.3563608153814181E-2</v>
      </c>
      <c r="R2230">
        <f t="shared" si="297"/>
        <v>1</v>
      </c>
      <c r="S2230">
        <f t="shared" si="289"/>
        <v>16.445999995122598</v>
      </c>
      <c r="T2230" s="564">
        <f>IF((I2230-MAX(I$470:I2230))/MAX(I$470:I2230)&gt;T2229,T2229,(I2230-MAX(I$470:I2230))/MAX(I$470:I2230))</f>
        <v>-0.91338805338419748</v>
      </c>
      <c r="U2230" s="564">
        <f>IF((J2230-MAX(J$470:J2230))/MAX(J$470:J2230)&gt;U2229,U2229,(J2230-MAX(J$470:J2230))/MAX(J$470:J2230))</f>
        <v>-0.8283551177402233</v>
      </c>
      <c r="V2230" s="564">
        <f>IF((K2230-MAX(K$470:K2230))/MAX(K$470:K2230)&gt;V2229,V2229,(K2230-MAX(K$470:K2230))/MAX(K$470:K2230))</f>
        <v>-0.84885940676762139</v>
      </c>
      <c r="W2230" s="564">
        <f>IF((N2230-MAX(N$470:N2230))/MAX(N$470:N2230)&gt;W2229,W2229,(N2230-MAX(N$470:N2230))/MAX(N$470:N2230))</f>
        <v>-0.62788758315546067</v>
      </c>
      <c r="X2230" s="564">
        <f>IF((O2230-MAX(O$470:O2230))/MAX(O$470:O2230)&gt;X2229,X2229,(O2230-MAX(O$470:O2230))/MAX(O$470:O2230))</f>
        <v>-0.62788758315546067</v>
      </c>
    </row>
    <row r="2231" spans="1:24">
      <c r="A2231" s="799">
        <v>42633</v>
      </c>
      <c r="B2231">
        <v>609.101</v>
      </c>
      <c r="C2231">
        <v>4399.1164140000001</v>
      </c>
      <c r="D2231">
        <v>1.636083</v>
      </c>
      <c r="E2231">
        <f>LN(D2231/参数实验室!$E$53)/参数实验室!$E$55</f>
        <v>-0.11216990808352204</v>
      </c>
      <c r="F2231">
        <f t="shared" si="288"/>
        <v>7.2223102802326711</v>
      </c>
      <c r="G2231">
        <f>LN(F2231/参数实验室!$E$58)/参数实验室!$E$59</f>
        <v>0.84719820768790921</v>
      </c>
      <c r="H2231" s="856">
        <f>INDEX(神经网络!$G$10:$BO$70,MATCH(ROUND(G2231*2,1)/2,神经网络!$E$10:$E$70,0),MATCH(ROUND(E2231*2,1)/2,神经网络!$G$8:$BO$8,0))</f>
        <v>1.4186657341838287</v>
      </c>
      <c r="I2231">
        <f t="shared" si="290"/>
        <v>799.72574064985531</v>
      </c>
      <c r="J2231">
        <f t="shared" si="291"/>
        <v>243.04736443078846</v>
      </c>
      <c r="K2231">
        <f t="shared" si="292"/>
        <v>3.2904110790207302</v>
      </c>
      <c r="L2231" s="4">
        <f>MIN(MAX(L2230*(1+MAX(MIN(((B2231-B2230)/B2230)/($K$7*卓尔金历!$N$40),0),-卓尔金历!$M$43))+MIN(MAX(((B2231-B2230)/B2230)/($K$7*卓尔金历!$N$40),0),卓尔金历!$M$43),0),1)</f>
        <v>0.63977357378084498</v>
      </c>
      <c r="M2231" s="4">
        <f>MIN(MAX(M2230*(1+MAX(MIN(((B2231-B2230)/B2230)/($K$7*30),0),-卓尔金历!$M$43))+MIN(MAX(((B2231-B2230)/B2230)/($K$7*7),0),卓尔金历!$M$43),0),1)</f>
        <v>0.99867074879358786</v>
      </c>
      <c r="N2231">
        <f t="shared" si="293"/>
        <v>682.66118471545656</v>
      </c>
      <c r="O2231">
        <f t="shared" si="294"/>
        <v>1683.8153214569336</v>
      </c>
      <c r="P2231">
        <f t="shared" si="295"/>
        <v>-1.7399668749701585E-4</v>
      </c>
      <c r="Q2231">
        <f t="shared" si="296"/>
        <v>1.3564205346155812E-2</v>
      </c>
      <c r="R2231">
        <f t="shared" si="297"/>
        <v>1</v>
      </c>
      <c r="S2231">
        <f t="shared" si="289"/>
        <v>16.441940412869453</v>
      </c>
      <c r="T2231" s="564">
        <f>IF((I2231-MAX(I$470:I2231))/MAX(I$470:I2231)&gt;T2230,T2230,(I2231-MAX(I$470:I2231))/MAX(I$470:I2231))</f>
        <v>-0.91338805338419748</v>
      </c>
      <c r="U2231" s="564">
        <f>IF((J2231-MAX(J$470:J2231))/MAX(J$470:J2231)&gt;U2230,U2230,(J2231-MAX(J$470:J2231))/MAX(J$470:J2231))</f>
        <v>-0.8283551177402233</v>
      </c>
      <c r="V2231" s="564">
        <f>IF((K2231-MAX(K$470:K2231))/MAX(K$470:K2231)&gt;V2230,V2230,(K2231-MAX(K$470:K2231))/MAX(K$470:K2231))</f>
        <v>-0.84885940676762139</v>
      </c>
      <c r="W2231" s="564">
        <f>IF((N2231-MAX(N$470:N2231))/MAX(N$470:N2231)&gt;W2230,W2230,(N2231-MAX(N$470:N2231))/MAX(N$470:N2231))</f>
        <v>-0.62788758315546067</v>
      </c>
      <c r="X2231" s="564">
        <f>IF((O2231-MAX(O$470:O2231))/MAX(O$470:O2231)&gt;X2230,X2230,(O2231-MAX(O$470:O2231))/MAX(O$470:O2231))</f>
        <v>-0.62788758315546067</v>
      </c>
    </row>
    <row r="2232" spans="1:24">
      <c r="A2232" s="799">
        <v>42634</v>
      </c>
      <c r="B2232">
        <v>598.60799999999995</v>
      </c>
      <c r="C2232">
        <v>4377.3694869999999</v>
      </c>
      <c r="D2232">
        <v>1.60558</v>
      </c>
      <c r="E2232">
        <f>LN(D2232/参数实验室!$E$53)/参数实验室!$E$55</f>
        <v>-0.13437275603448862</v>
      </c>
      <c r="F2232">
        <f t="shared" si="288"/>
        <v>7.3125809995857063</v>
      </c>
      <c r="G2232">
        <f>LN(F2232/参数实验室!$E$58)/参数实验室!$E$59</f>
        <v>0.85371763191896466</v>
      </c>
      <c r="H2232" s="856">
        <f>INDEX(神经网络!$G$10:$BO$70,MATCH(ROUND(G2232*2,1)/2,神经网络!$E$10:$E$70,0),MATCH(ROUND(E2232*2,1)/2,神经网络!$G$8:$BO$8,0))</f>
        <v>1.3258096011007201</v>
      </c>
      <c r="I2232">
        <f t="shared" si="290"/>
        <v>780.18092788807246</v>
      </c>
      <c r="J2232">
        <f t="shared" si="291"/>
        <v>238.86038067116195</v>
      </c>
      <c r="K2232">
        <f t="shared" si="292"/>
        <v>3.266263436807229</v>
      </c>
      <c r="L2232" s="4">
        <f>MIN(MAX(L2231*(1+MAX(MIN(((B2232-B2231)/B2231)/($K$7*卓尔金历!$N$40),0),-卓尔金历!$M$43))+MIN(MAX(((B2232-B2231)/B2231)/($K$7*卓尔金历!$N$40),0),卓尔金历!$M$43),0),1)</f>
        <v>0.47137719965985808</v>
      </c>
      <c r="M2232" s="4">
        <f>MIN(MAX(M2231*(1+MAX(MIN(((B2232-B2231)/B2231)/($K$7*30),0),-卓尔金历!$M$43))+MIN(MAX(((B2232-B2231)/B2231)/($K$7*7),0),卓尔金历!$M$43),0),1)</f>
        <v>0.86723945815455095</v>
      </c>
      <c r="N2232">
        <f t="shared" si="293"/>
        <v>671.98731378687648</v>
      </c>
      <c r="O2232">
        <f t="shared" si="294"/>
        <v>1642.7185953569524</v>
      </c>
      <c r="P2232">
        <f t="shared" si="295"/>
        <v>-1.7227028029834217E-2</v>
      </c>
      <c r="Q2232">
        <f t="shared" si="296"/>
        <v>1.4110104545343487E-2</v>
      </c>
      <c r="R2232">
        <f t="shared" si="297"/>
        <v>1.0856947678156552E-2</v>
      </c>
      <c r="S2232">
        <f t="shared" si="289"/>
        <v>16.040109346948288</v>
      </c>
      <c r="T2232" s="564">
        <f>IF((I2232-MAX(I$470:I2232))/MAX(I$470:I2232)&gt;T2231,T2231,(I2232-MAX(I$470:I2232))/MAX(I$470:I2232))</f>
        <v>-0.91338805338419748</v>
      </c>
      <c r="U2232" s="564">
        <f>IF((J2232-MAX(J$470:J2232))/MAX(J$470:J2232)&gt;U2231,U2231,(J2232-MAX(J$470:J2232))/MAX(J$470:J2232))</f>
        <v>-0.8283551177402233</v>
      </c>
      <c r="V2232" s="564">
        <f>IF((K2232-MAX(K$470:K2232))/MAX(K$470:K2232)&gt;V2231,V2231,(K2232-MAX(K$470:K2232))/MAX(K$470:K2232))</f>
        <v>-0.84885940676762139</v>
      </c>
      <c r="W2232" s="564">
        <f>IF((N2232-MAX(N$470:N2232))/MAX(N$470:N2232)&gt;W2231,W2231,(N2232-MAX(N$470:N2232))/MAX(N$470:N2232))</f>
        <v>-0.62788758315546067</v>
      </c>
      <c r="X2232" s="564">
        <f>IF((O2232-MAX(O$470:O2232))/MAX(O$470:O2232)&gt;X2231,X2231,(O2232-MAX(O$470:O2232))/MAX(O$470:O2232))</f>
        <v>-0.62788758315546067</v>
      </c>
    </row>
    <row r="2233" spans="1:24">
      <c r="A2233" s="799">
        <v>42635</v>
      </c>
      <c r="B2233">
        <v>597.25400000000002</v>
      </c>
      <c r="C2233">
        <v>4396.6051880000005</v>
      </c>
      <c r="D2233">
        <v>1.601866</v>
      </c>
      <c r="E2233">
        <f>LN(D2233/参数实验室!$E$53)/参数实验室!$E$55</f>
        <v>-0.13710490211358331</v>
      </c>
      <c r="F2233">
        <f t="shared" si="288"/>
        <v>7.3613658309529955</v>
      </c>
      <c r="G2233">
        <f>LN(F2233/参数实验室!$E$58)/参数实验室!$E$59</f>
        <v>0.85720749195683732</v>
      </c>
      <c r="H2233" s="856">
        <f>INDEX(神经网络!$G$10:$BO$70,MATCH(ROUND(G2233*2,1)/2,神经网络!$E$10:$E$70,0),MATCH(ROUND(E2233*2,1)/2,神经网络!$G$8:$BO$8,0))</f>
        <v>1.3258096011007201</v>
      </c>
      <c r="I2233">
        <f t="shared" si="290"/>
        <v>777.84126849841323</v>
      </c>
      <c r="J2233">
        <f t="shared" si="291"/>
        <v>238.32009895854077</v>
      </c>
      <c r="K2233">
        <f t="shared" si="292"/>
        <v>3.2638508959067276</v>
      </c>
      <c r="L2233" s="4">
        <f>MIN(MAX(L2232*(1+MAX(MIN(((B2233-B2232)/B2232)/($K$7*卓尔金历!$N$40),0),-卓尔金历!$M$43))+MIN(MAX(((B2233-B2232)/B2232)/($K$7*卓尔金历!$N$40),0),卓尔金历!$M$43),0),1)</f>
        <v>0.45508646019199489</v>
      </c>
      <c r="M2233" s="4">
        <f>MIN(MAX(M2232*(1+MAX(MIN(((B2233-B2232)/B2232)/($K$7*30),0),-卓尔金历!$M$43))+MIN(MAX(((B2233-B2232)/B2232)/($K$7*7),0),卓尔金历!$M$43),0),1)</f>
        <v>0.85225361234015728</v>
      </c>
      <c r="N2233">
        <f t="shared" si="293"/>
        <v>671.03739395714376</v>
      </c>
      <c r="O2233">
        <f t="shared" si="294"/>
        <v>1638.4463173034496</v>
      </c>
      <c r="P2233">
        <f t="shared" si="295"/>
        <v>-2.261914307860784E-3</v>
      </c>
      <c r="Q2233">
        <f t="shared" si="296"/>
        <v>1.407281222263896E-2</v>
      </c>
      <c r="R2233">
        <f t="shared" si="297"/>
        <v>1</v>
      </c>
      <c r="S2233">
        <f t="shared" si="289"/>
        <v>16.039587104249634</v>
      </c>
      <c r="T2233" s="564">
        <f>IF((I2233-MAX(I$470:I2233))/MAX(I$470:I2233)&gt;T2232,T2232,(I2233-MAX(I$470:I2233))/MAX(I$470:I2233))</f>
        <v>-0.91338805338419748</v>
      </c>
      <c r="U2233" s="564">
        <f>IF((J2233-MAX(J$470:J2233))/MAX(J$470:J2233)&gt;U2232,U2232,(J2233-MAX(J$470:J2233))/MAX(J$470:J2233))</f>
        <v>-0.8283551177402233</v>
      </c>
      <c r="V2233" s="564">
        <f>IF((K2233-MAX(K$470:K2233))/MAX(K$470:K2233)&gt;V2232,V2232,(K2233-MAX(K$470:K2233))/MAX(K$470:K2233))</f>
        <v>-0.84885940676762139</v>
      </c>
      <c r="W2233" s="564">
        <f>IF((N2233-MAX(N$470:N2233))/MAX(N$470:N2233)&gt;W2232,W2232,(N2233-MAX(N$470:N2233))/MAX(N$470:N2233))</f>
        <v>-0.62788758315546067</v>
      </c>
      <c r="X2233" s="564">
        <f>IF((O2233-MAX(O$470:O2233))/MAX(O$470:O2233)&gt;X2232,X2232,(O2233-MAX(O$470:O2233))/MAX(O$470:O2233))</f>
        <v>-0.62788758315546067</v>
      </c>
    </row>
    <row r="2234" spans="1:24">
      <c r="A2234" s="799">
        <v>42636</v>
      </c>
      <c r="B2234">
        <v>599.08600000000001</v>
      </c>
      <c r="C2234">
        <v>4445.7440219999999</v>
      </c>
      <c r="D2234">
        <v>1.6196379999999999</v>
      </c>
      <c r="E2234">
        <f>LN(D2234/参数实验室!$E$53)/参数实验室!$E$55</f>
        <v>-0.12408813270847349</v>
      </c>
      <c r="F2234">
        <f t="shared" si="288"/>
        <v>7.4208778405771456</v>
      </c>
      <c r="G2234">
        <f>LN(F2234/参数实验室!$E$58)/参数实验室!$E$59</f>
        <v>0.86143354698764807</v>
      </c>
      <c r="H2234" s="856">
        <f>INDEX(神经网络!$G$10:$BO$70,MATCH(ROUND(G2234*2,1)/2,神经网络!$E$10:$E$70,0),MATCH(ROUND(E2234*2,1)/2,神经网络!$G$8:$BO$8,0))</f>
        <v>1.4186657341838287</v>
      </c>
      <c r="I2234">
        <f t="shared" si="290"/>
        <v>781.00455510835593</v>
      </c>
      <c r="J2234">
        <f t="shared" si="291"/>
        <v>239.05111527871952</v>
      </c>
      <c r="K2234">
        <f t="shared" si="292"/>
        <v>3.2671027457778252</v>
      </c>
      <c r="L2234" s="4">
        <f>MIN(MAX(L2233*(1+MAX(MIN(((B2234-B2233)/B2233)/($K$7*卓尔金历!$N$40),0),-卓尔金历!$M$43))+MIN(MAX(((B2234-B2233)/B2233)/($K$7*卓尔金历!$N$40),0),卓尔金历!$M$43),0),1)</f>
        <v>0.50195295578870092</v>
      </c>
      <c r="M2234" s="4">
        <f>MIN(MAX(M2233*(1+MAX(MIN(((B2234-B2233)/B2233)/($K$7*30),0),-卓尔金历!$M$43))+MIN(MAX(((B2234-B2233)/B2233)/($K$7*7),0),卓尔金历!$M$43),0),1)</f>
        <v>0.9526818171902417</v>
      </c>
      <c r="N2234">
        <f t="shared" si="293"/>
        <v>672.27929845122651</v>
      </c>
      <c r="O2234">
        <f t="shared" si="294"/>
        <v>1644.125013424052</v>
      </c>
      <c r="P2234">
        <f t="shared" si="295"/>
        <v>3.0673716710143315E-3</v>
      </c>
      <c r="Q2234">
        <f t="shared" si="296"/>
        <v>1.4056111106944238E-2</v>
      </c>
      <c r="R2234">
        <f t="shared" si="297"/>
        <v>1</v>
      </c>
      <c r="S2234">
        <f t="shared" si="289"/>
        <v>16.104816108123174</v>
      </c>
      <c r="T2234" s="564">
        <f>IF((I2234-MAX(I$470:I2234))/MAX(I$470:I2234)&gt;T2233,T2233,(I2234-MAX(I$470:I2234))/MAX(I$470:I2234))</f>
        <v>-0.91338805338419748</v>
      </c>
      <c r="U2234" s="564">
        <f>IF((J2234-MAX(J$470:J2234))/MAX(J$470:J2234)&gt;U2233,U2233,(J2234-MAX(J$470:J2234))/MAX(J$470:J2234))</f>
        <v>-0.8283551177402233</v>
      </c>
      <c r="V2234" s="564">
        <f>IF((K2234-MAX(K$470:K2234))/MAX(K$470:K2234)&gt;V2233,V2233,(K2234-MAX(K$470:K2234))/MAX(K$470:K2234))</f>
        <v>-0.84885940676762139</v>
      </c>
      <c r="W2234" s="564">
        <f>IF((N2234-MAX(N$470:N2234))/MAX(N$470:N2234)&gt;W2233,W2233,(N2234-MAX(N$470:N2234))/MAX(N$470:N2234))</f>
        <v>-0.62788758315546067</v>
      </c>
      <c r="X2234" s="564">
        <f>IF((O2234-MAX(O$470:O2234))/MAX(O$470:O2234)&gt;X2233,X2233,(O2234-MAX(O$470:O2234))/MAX(O$470:O2234))</f>
        <v>-0.62788758315546067</v>
      </c>
    </row>
    <row r="2235" spans="1:24">
      <c r="A2235" s="799">
        <v>42637</v>
      </c>
      <c r="B2235">
        <v>603.55200000000002</v>
      </c>
      <c r="C2235">
        <v>4341.337329</v>
      </c>
      <c r="D2235">
        <v>1.620657</v>
      </c>
      <c r="E2235">
        <f>LN(D2235/参数实验室!$E$53)/参数实验室!$E$55</f>
        <v>-0.12334612088841526</v>
      </c>
      <c r="F2235">
        <f t="shared" si="288"/>
        <v>7.1929797747335771</v>
      </c>
      <c r="G2235">
        <f>LN(F2235/参数实验室!$E$58)/参数实验室!$E$59</f>
        <v>0.84506238446384196</v>
      </c>
      <c r="H2235" s="856">
        <f>INDEX(神经网络!$G$10:$BO$70,MATCH(ROUND(G2235*2,1)/2,神经网络!$E$10:$E$70,0),MATCH(ROUND(E2235*2,1)/2,神经网络!$G$8:$BO$8,0))</f>
        <v>1.4186657341838287</v>
      </c>
      <c r="I2235">
        <f t="shared" si="290"/>
        <v>789.26423457501369</v>
      </c>
      <c r="J2235">
        <f t="shared" si="291"/>
        <v>240.83316707234309</v>
      </c>
      <c r="K2235">
        <f t="shared" si="292"/>
        <v>3.2772239977142732</v>
      </c>
      <c r="L2235" s="4">
        <f>MIN(MAX(L2234*(1+MAX(MIN(((B2235-B2234)/B2234)/($K$7*卓尔金历!$N$40),0),-卓尔金历!$M$43))+MIN(MAX(((B2235-B2234)/B2234)/($K$7*卓尔金历!$N$40),0),卓尔金历!$M$43),0),1)</f>
        <v>0.61585345471607411</v>
      </c>
      <c r="M2235" s="4">
        <f>MIN(MAX(M2234*(1+MAX(MIN(((B2235-B2234)/B2234)/($K$7*30),0),-卓尔金历!$M$43))+MIN(MAX(((B2235-B2234)/B2234)/($K$7*7),0),卓尔金历!$M$43),0),1)</f>
        <v>1</v>
      </c>
      <c r="N2235">
        <f t="shared" si="293"/>
        <v>675.8480998568059</v>
      </c>
      <c r="O2235">
        <f t="shared" si="294"/>
        <v>1660.6900477510192</v>
      </c>
      <c r="P2235">
        <f t="shared" si="295"/>
        <v>7.4546893100489878E-3</v>
      </c>
      <c r="Q2235">
        <f t="shared" si="296"/>
        <v>1.4086544245112327E-2</v>
      </c>
      <c r="R2235">
        <f t="shared" si="297"/>
        <v>0.65937785447929842</v>
      </c>
      <c r="S2235">
        <f t="shared" si="289"/>
        <v>16.275136009655771</v>
      </c>
      <c r="T2235" s="564">
        <f>IF((I2235-MAX(I$470:I2235))/MAX(I$470:I2235)&gt;T2234,T2234,(I2235-MAX(I$470:I2235))/MAX(I$470:I2235))</f>
        <v>-0.91338805338419748</v>
      </c>
      <c r="U2235" s="564">
        <f>IF((J2235-MAX(J$470:J2235))/MAX(J$470:J2235)&gt;U2234,U2234,(J2235-MAX(J$470:J2235))/MAX(J$470:J2235))</f>
        <v>-0.8283551177402233</v>
      </c>
      <c r="V2235" s="564">
        <f>IF((K2235-MAX(K$470:K2235))/MAX(K$470:K2235)&gt;V2234,V2234,(K2235-MAX(K$470:K2235))/MAX(K$470:K2235))</f>
        <v>-0.84885940676762139</v>
      </c>
      <c r="W2235" s="564">
        <f>IF((N2235-MAX(N$470:N2235))/MAX(N$470:N2235)&gt;W2234,W2234,(N2235-MAX(N$470:N2235))/MAX(N$470:N2235))</f>
        <v>-0.62788758315546067</v>
      </c>
      <c r="X2235" s="564">
        <f>IF((O2235-MAX(O$470:O2235))/MAX(O$470:O2235)&gt;X2234,X2234,(O2235-MAX(O$470:O2235))/MAX(O$470:O2235))</f>
        <v>-0.62788758315546067</v>
      </c>
    </row>
    <row r="2236" spans="1:24">
      <c r="A2236" s="799">
        <v>42638</v>
      </c>
      <c r="B2236">
        <v>602.96600000000001</v>
      </c>
      <c r="C2236">
        <v>4192.9174549999998</v>
      </c>
      <c r="D2236">
        <v>1.6137360000000001</v>
      </c>
      <c r="E2236">
        <f>LN(D2236/参数实验室!$E$53)/参数实验室!$E$55</f>
        <v>-0.12839503403141075</v>
      </c>
      <c r="F2236">
        <f t="shared" si="288"/>
        <v>6.9538207046500133</v>
      </c>
      <c r="G2236">
        <f>LN(F2236/参数实验室!$E$58)/参数实验室!$E$59</f>
        <v>0.82731482872705098</v>
      </c>
      <c r="H2236" s="856">
        <f>INDEX(神经网络!$G$10:$BO$70,MATCH(ROUND(G2236*2,1)/2,神经网络!$E$10:$E$70,0),MATCH(ROUND(E2236*2,1)/2,神经网络!$G$8:$BO$8,0))</f>
        <v>1.3258096011007201</v>
      </c>
      <c r="I2236">
        <f t="shared" si="290"/>
        <v>788.17709470117063</v>
      </c>
      <c r="J2236">
        <f t="shared" si="291"/>
        <v>240.59933761621602</v>
      </c>
      <c r="K2236">
        <f t="shared" si="292"/>
        <v>3.2758905428010983</v>
      </c>
      <c r="L2236" s="4">
        <f>MIN(MAX(L2235*(1+MAX(MIN(((B2236-B2235)/B2235)/($K$7*卓尔金历!$N$40),0),-卓尔金历!$M$43))+MIN(MAX(((B2236-B2235)/B2235)/($K$7*卓尔金历!$N$40),0),卓尔金历!$M$43),0),1)</f>
        <v>0.60671744857002663</v>
      </c>
      <c r="M2236" s="4">
        <f>MIN(MAX(M2235*(1+MAX(MIN(((B2236-B2235)/B2235)/($K$7*30),0),-卓尔金历!$M$43))+MIN(MAX(((B2236-B2235)/B2235)/($K$7*7),0),卓尔金历!$M$43),0),1)</f>
        <v>0.99258264602066781</v>
      </c>
      <c r="N2236">
        <f t="shared" si="293"/>
        <v>675.27478990459269</v>
      </c>
      <c r="O2236">
        <f t="shared" si="294"/>
        <v>1658.4025978832615</v>
      </c>
      <c r="P2236">
        <f t="shared" si="295"/>
        <v>-9.70918827209607E-4</v>
      </c>
      <c r="Q2236">
        <f t="shared" si="296"/>
        <v>1.0079907226348449E-2</v>
      </c>
      <c r="R2236">
        <f t="shared" si="297"/>
        <v>1</v>
      </c>
      <c r="S2236">
        <f t="shared" si="289"/>
        <v>16.260354391289709</v>
      </c>
      <c r="T2236" s="564">
        <f>IF((I2236-MAX(I$470:I2236))/MAX(I$470:I2236)&gt;T2235,T2235,(I2236-MAX(I$470:I2236))/MAX(I$470:I2236))</f>
        <v>-0.91338805338419748</v>
      </c>
      <c r="U2236" s="564">
        <f>IF((J2236-MAX(J$470:J2236))/MAX(J$470:J2236)&gt;U2235,U2235,(J2236-MAX(J$470:J2236))/MAX(J$470:J2236))</f>
        <v>-0.8283551177402233</v>
      </c>
      <c r="V2236" s="564">
        <f>IF((K2236-MAX(K$470:K2236))/MAX(K$470:K2236)&gt;V2235,V2235,(K2236-MAX(K$470:K2236))/MAX(K$470:K2236))</f>
        <v>-0.84885940676762139</v>
      </c>
      <c r="W2236" s="564">
        <f>IF((N2236-MAX(N$470:N2236))/MAX(N$470:N2236)&gt;W2235,W2235,(N2236-MAX(N$470:N2236))/MAX(N$470:N2236))</f>
        <v>-0.62788758315546067</v>
      </c>
      <c r="X2236" s="564">
        <f>IF((O2236-MAX(O$470:O2236))/MAX(O$470:O2236)&gt;X2235,X2235,(O2236-MAX(O$470:O2236))/MAX(O$470:O2236))</f>
        <v>-0.62788758315546067</v>
      </c>
    </row>
    <row r="2237" spans="1:24">
      <c r="A2237" s="799">
        <v>42639</v>
      </c>
      <c r="B2237">
        <v>606.08900000000006</v>
      </c>
      <c r="C2237">
        <v>4169.6696169999996</v>
      </c>
      <c r="D2237">
        <v>1.629335</v>
      </c>
      <c r="E2237">
        <f>LN(D2237/参数实验室!$E$53)/参数实验室!$E$55</f>
        <v>-0.11704584508309816</v>
      </c>
      <c r="F2237">
        <f t="shared" si="288"/>
        <v>6.8796325572646904</v>
      </c>
      <c r="G2237">
        <f>LN(F2237/参数实验室!$E$58)/参数实验室!$E$59</f>
        <v>0.82168524055776881</v>
      </c>
      <c r="H2237" s="856">
        <f>INDEX(神经网络!$G$10:$BO$70,MATCH(ROUND(G2237*2,1)/2,神经网络!$E$10:$E$70,0),MATCH(ROUND(E2237*2,1)/2,神经网络!$G$8:$BO$8,0))</f>
        <v>1.3993509687588066</v>
      </c>
      <c r="I2237">
        <f t="shared" si="290"/>
        <v>793.58942297173439</v>
      </c>
      <c r="J2237">
        <f t="shared" si="291"/>
        <v>241.84549698735049</v>
      </c>
      <c r="K2237">
        <f t="shared" si="292"/>
        <v>3.2813901141737709</v>
      </c>
      <c r="L2237" s="4">
        <f>MIN(MAX(L2236*(1+MAX(MIN(((B2237-B2236)/B2236)/($K$7*卓尔金历!$N$40),0),-卓尔金历!$M$43))+MIN(MAX(((B2237-B2236)/B2236)/($K$7*卓尔金历!$N$40),0),卓尔金历!$M$43),0),1)</f>
        <v>0.68585365704794066</v>
      </c>
      <c r="M2237" s="4">
        <f>MIN(MAX(M2236*(1+MAX(MIN(((B2237-B2236)/B2236)/($K$7*30),0),-卓尔金历!$M$43))+MIN(MAX(((B2237-B2236)/B2236)/($K$7*7),0),卓尔金历!$M$43),0),1)</f>
        <v>1</v>
      </c>
      <c r="N2237">
        <f t="shared" si="293"/>
        <v>678.08816307513405</v>
      </c>
      <c r="O2237">
        <f t="shared" si="294"/>
        <v>1669.7062027401605</v>
      </c>
      <c r="P2237">
        <f t="shared" si="295"/>
        <v>5.1793965165532509E-3</v>
      </c>
      <c r="Q2237">
        <f t="shared" si="296"/>
        <v>1.0060304566185833E-2</v>
      </c>
      <c r="R2237">
        <f t="shared" si="297"/>
        <v>0.68068093956096187</v>
      </c>
      <c r="S2237">
        <f t="shared" si="289"/>
        <v>16.372012515273546</v>
      </c>
      <c r="T2237" s="564">
        <f>IF((I2237-MAX(I$470:I2237))/MAX(I$470:I2237)&gt;T2236,T2236,(I2237-MAX(I$470:I2237))/MAX(I$470:I2237))</f>
        <v>-0.91338805338419748</v>
      </c>
      <c r="U2237" s="564">
        <f>IF((J2237-MAX(J$470:J2237))/MAX(J$470:J2237)&gt;U2236,U2236,(J2237-MAX(J$470:J2237))/MAX(J$470:J2237))</f>
        <v>-0.8283551177402233</v>
      </c>
      <c r="V2237" s="564">
        <f>IF((K2237-MAX(K$470:K2237))/MAX(K$470:K2237)&gt;V2236,V2236,(K2237-MAX(K$470:K2237))/MAX(K$470:K2237))</f>
        <v>-0.84885940676762139</v>
      </c>
      <c r="W2237" s="564">
        <f>IF((N2237-MAX(N$470:N2237))/MAX(N$470:N2237)&gt;W2236,W2236,(N2237-MAX(N$470:N2237))/MAX(N$470:N2237))</f>
        <v>-0.62788758315546067</v>
      </c>
      <c r="X2237" s="564">
        <f>IF((O2237-MAX(O$470:O2237))/MAX(O$470:O2237)&gt;X2236,X2236,(O2237-MAX(O$470:O2237))/MAX(O$470:O2237))</f>
        <v>-0.62788758315546067</v>
      </c>
    </row>
    <row r="2238" spans="1:24">
      <c r="A2238" s="799">
        <v>42640</v>
      </c>
      <c r="B2238">
        <v>607.06799999999998</v>
      </c>
      <c r="C2238">
        <v>4130.401734</v>
      </c>
      <c r="D2238">
        <v>1.6241479999999999</v>
      </c>
      <c r="E2238">
        <f>LN(D2238/参数实验室!$E$53)/参数实验室!$E$55</f>
        <v>-0.12080758919620248</v>
      </c>
      <c r="F2238">
        <f t="shared" si="288"/>
        <v>6.8038534958192498</v>
      </c>
      <c r="G2238">
        <f>LN(F2238/参数实验室!$E$58)/参数实验室!$E$59</f>
        <v>0.81587190421386202</v>
      </c>
      <c r="H2238" s="856">
        <f>INDEX(神经网络!$G$10:$BO$70,MATCH(ROUND(G2238*2,1)/2,神经网络!$E$10:$E$70,0),MATCH(ROUND(E2238*2,1)/2,神经网络!$G$8:$BO$8,0))</f>
        <v>1.3993509687588066</v>
      </c>
      <c r="I2238">
        <f t="shared" si="290"/>
        <v>795.38320146820547</v>
      </c>
      <c r="J2238">
        <f t="shared" si="291"/>
        <v>242.23614380910536</v>
      </c>
      <c r="K2238">
        <f t="shared" si="292"/>
        <v>3.2835033986299282</v>
      </c>
      <c r="L2238" s="4">
        <f>MIN(MAX(L2237*(1+MAX(MIN(((B2238-B2237)/B2237)/($K$7*卓尔金历!$N$40),0),-卓尔金历!$M$43))+MIN(MAX(((B2238-B2237)/B2237)/($K$7*卓尔金历!$N$40),0),卓尔金历!$M$43),0),1)</f>
        <v>0.71053349866192661</v>
      </c>
      <c r="M2238" s="4">
        <f>MIN(MAX(M2237*(1+MAX(MIN(((B2238-B2237)/B2237)/($K$7*30),0),-卓尔金历!$M$43))+MIN(MAX(((B2238-B2237)/B2237)/($K$7*7),0),卓尔金历!$M$43),0),1)</f>
        <v>1</v>
      </c>
      <c r="N2238">
        <f t="shared" si="293"/>
        <v>679.13937569150301</v>
      </c>
      <c r="O2238">
        <f t="shared" si="294"/>
        <v>1673.4802992631257</v>
      </c>
      <c r="P2238">
        <f t="shared" si="295"/>
        <v>1.6152743243977833E-3</v>
      </c>
      <c r="Q2238">
        <f t="shared" si="296"/>
        <v>1.0049117841884428E-2</v>
      </c>
      <c r="R2238">
        <f t="shared" si="297"/>
        <v>1</v>
      </c>
      <c r="S2238">
        <f t="shared" si="289"/>
        <v>16.397201960356224</v>
      </c>
      <c r="T2238" s="564">
        <f>IF((I2238-MAX(I$470:I2238))/MAX(I$470:I2238)&gt;T2237,T2237,(I2238-MAX(I$470:I2238))/MAX(I$470:I2238))</f>
        <v>-0.91338805338419748</v>
      </c>
      <c r="U2238" s="564">
        <f>IF((J2238-MAX(J$470:J2238))/MAX(J$470:J2238)&gt;U2237,U2237,(J2238-MAX(J$470:J2238))/MAX(J$470:J2238))</f>
        <v>-0.8283551177402233</v>
      </c>
      <c r="V2238" s="564">
        <f>IF((K2238-MAX(K$470:K2238))/MAX(K$470:K2238)&gt;V2237,V2237,(K2238-MAX(K$470:K2238))/MAX(K$470:K2238))</f>
        <v>-0.84885940676762139</v>
      </c>
      <c r="W2238" s="564">
        <f>IF((N2238-MAX(N$470:N2238))/MAX(N$470:N2238)&gt;W2237,W2237,(N2238-MAX(N$470:N2238))/MAX(N$470:N2238))</f>
        <v>-0.62788758315546067</v>
      </c>
      <c r="X2238" s="564">
        <f>IF((O2238-MAX(O$470:O2238))/MAX(O$470:O2238)&gt;X2237,X2237,(O2238-MAX(O$470:O2238))/MAX(O$470:O2238))</f>
        <v>-0.62788758315546067</v>
      </c>
    </row>
    <row r="2239" spans="1:24">
      <c r="A2239" s="799">
        <v>42641</v>
      </c>
      <c r="B2239">
        <v>605.721</v>
      </c>
      <c r="C2239">
        <v>4134.6596120000004</v>
      </c>
      <c r="D2239">
        <v>1.6225099999999999</v>
      </c>
      <c r="E2239">
        <f>LN(D2239/参数实验室!$E$53)/参数实验室!$E$55</f>
        <v>-0.12199800468042467</v>
      </c>
      <c r="F2239">
        <f t="shared" si="288"/>
        <v>6.8260133163618235</v>
      </c>
      <c r="G2239">
        <f>LN(F2239/参数实验室!$E$58)/参数实验室!$E$59</f>
        <v>0.8175785506270471</v>
      </c>
      <c r="H2239" s="856">
        <f>INDEX(神经网络!$G$10:$BO$70,MATCH(ROUND(G2239*2,1)/2,神经网络!$E$10:$E$70,0),MATCH(ROUND(E2239*2,1)/2,神经网络!$G$8:$BO$8,0))</f>
        <v>1.3993509687588066</v>
      </c>
      <c r="I2239">
        <f t="shared" si="290"/>
        <v>792.91356333627198</v>
      </c>
      <c r="J2239">
        <f t="shared" si="291"/>
        <v>241.69865528111367</v>
      </c>
      <c r="K2239">
        <f t="shared" si="292"/>
        <v>3.2805874009272165</v>
      </c>
      <c r="L2239" s="4">
        <f>MIN(MAX(L2238*(1+MAX(MIN(((B2239-B2238)/B2238)/($K$7*卓尔金历!$N$40),0),-卓尔金历!$M$43))+MIN(MAX(((B2239-B2238)/B2238)/($K$7*卓尔金历!$N$40),0),卓尔金历!$M$43),0),1)</f>
        <v>0.68644493575698773</v>
      </c>
      <c r="M2239" s="4">
        <f>MIN(MAX(M2238*(1+MAX(MIN(((B2239-B2238)/B2238)/($K$7*30),0),-卓尔金历!$M$43))+MIN(MAX(((B2239-B2238)/B2238)/($K$7*7),0),卓尔金历!$M$43),0),1)</f>
        <v>0.98304896042881706</v>
      </c>
      <c r="N2239">
        <f t="shared" si="293"/>
        <v>677.64107018124719</v>
      </c>
      <c r="O2239">
        <f t="shared" si="294"/>
        <v>1668.2841991286614</v>
      </c>
      <c r="P2239">
        <f t="shared" si="295"/>
        <v>-2.2188618079028708E-3</v>
      </c>
      <c r="Q2239">
        <f t="shared" si="296"/>
        <v>1.0025511976400947E-2</v>
      </c>
      <c r="R2239">
        <f t="shared" si="297"/>
        <v>1</v>
      </c>
      <c r="S2239">
        <f t="shared" si="289"/>
        <v>16.346289198880296</v>
      </c>
      <c r="T2239" s="564">
        <f>IF((I2239-MAX(I$470:I2239))/MAX(I$470:I2239)&gt;T2238,T2238,(I2239-MAX(I$470:I2239))/MAX(I$470:I2239))</f>
        <v>-0.91338805338419748</v>
      </c>
      <c r="U2239" s="564">
        <f>IF((J2239-MAX(J$470:J2239))/MAX(J$470:J2239)&gt;U2238,U2238,(J2239-MAX(J$470:J2239))/MAX(J$470:J2239))</f>
        <v>-0.8283551177402233</v>
      </c>
      <c r="V2239" s="564">
        <f>IF((K2239-MAX(K$470:K2239))/MAX(K$470:K2239)&gt;V2238,V2238,(K2239-MAX(K$470:K2239))/MAX(K$470:K2239))</f>
        <v>-0.84885940676762139</v>
      </c>
      <c r="W2239" s="564">
        <f>IF((N2239-MAX(N$470:N2239))/MAX(N$470:N2239)&gt;W2238,W2238,(N2239-MAX(N$470:N2239))/MAX(N$470:N2239))</f>
        <v>-0.62788758315546067</v>
      </c>
      <c r="X2239" s="564">
        <f>IF((O2239-MAX(O$470:O2239))/MAX(O$470:O2239)&gt;X2238,X2238,(O2239-MAX(O$470:O2239))/MAX(O$470:O2239))</f>
        <v>-0.62788758315546067</v>
      </c>
    </row>
    <row r="2240" spans="1:24">
      <c r="A2240" s="799">
        <v>42642</v>
      </c>
      <c r="B2240">
        <v>606.00800000000004</v>
      </c>
      <c r="C2240">
        <v>4193.822408</v>
      </c>
      <c r="D2240">
        <v>1.6235299999999999</v>
      </c>
      <c r="E2240">
        <f>LN(D2240/参数实验室!$E$53)/参数实验室!$E$55</f>
        <v>-0.12125657922142971</v>
      </c>
      <c r="F2240">
        <f t="shared" si="288"/>
        <v>6.9204076645852854</v>
      </c>
      <c r="G2240">
        <f>LN(F2240/参数实验室!$E$58)/参数实验室!$E$59</f>
        <v>0.82478683183860935</v>
      </c>
      <c r="H2240" s="856">
        <f>INDEX(神经网络!$G$10:$BO$70,MATCH(ROUND(G2240*2,1)/2,神经网络!$E$10:$E$70,0),MATCH(ROUND(E2240*2,1)/2,神经网络!$G$8:$BO$8,0))</f>
        <v>1.3993509687588066</v>
      </c>
      <c r="I2240">
        <f t="shared" si="290"/>
        <v>793.4392921325001</v>
      </c>
      <c r="J2240">
        <f t="shared" si="291"/>
        <v>241.81317585092333</v>
      </c>
      <c r="K2240">
        <f t="shared" si="292"/>
        <v>3.2812078553637276</v>
      </c>
      <c r="L2240" s="4">
        <f>MIN(MAX(L2239*(1+MAX(MIN(((B2240-B2239)/B2239)/($K$7*卓尔金历!$N$40),0),-卓尔金历!$M$43))+MIN(MAX(((B2240-B2239)/B2239)/($K$7*卓尔金历!$N$40),0),卓尔金历!$M$43),0),1)</f>
        <v>0.69368438194872228</v>
      </c>
      <c r="M2240" s="4">
        <f>MIN(MAX(M2239*(1+MAX(MIN(((B2240-B2239)/B2239)/($K$7*30),0),-卓尔金历!$M$43))+MIN(MAX(((B2240-B2239)/B2239)/($K$7*7),0),卓尔金历!$M$43),0),1)</f>
        <v>0.99856205941110532</v>
      </c>
      <c r="N2240">
        <f t="shared" si="293"/>
        <v>677.94948933690034</v>
      </c>
      <c r="O2240">
        <f t="shared" si="294"/>
        <v>1669.3715785346624</v>
      </c>
      <c r="P2240">
        <f t="shared" si="295"/>
        <v>4.7381550251689234E-4</v>
      </c>
      <c r="Q2240">
        <f t="shared" si="296"/>
        <v>7.6430159403673426E-3</v>
      </c>
      <c r="R2240">
        <f t="shared" si="297"/>
        <v>1</v>
      </c>
      <c r="S2240">
        <f t="shared" si="289"/>
        <v>16.357127347375531</v>
      </c>
      <c r="T2240" s="564">
        <f>IF((I2240-MAX(I$470:I2240))/MAX(I$470:I2240)&gt;T2239,T2239,(I2240-MAX(I$470:I2240))/MAX(I$470:I2240))</f>
        <v>-0.91338805338419748</v>
      </c>
      <c r="U2240" s="564">
        <f>IF((J2240-MAX(J$470:J2240))/MAX(J$470:J2240)&gt;U2239,U2239,(J2240-MAX(J$470:J2240))/MAX(J$470:J2240))</f>
        <v>-0.8283551177402233</v>
      </c>
      <c r="V2240" s="564">
        <f>IF((K2240-MAX(K$470:K2240))/MAX(K$470:K2240)&gt;V2239,V2239,(K2240-MAX(K$470:K2240))/MAX(K$470:K2240))</f>
        <v>-0.84885940676762139</v>
      </c>
      <c r="W2240" s="564">
        <f>IF((N2240-MAX(N$470:N2240))/MAX(N$470:N2240)&gt;W2239,W2239,(N2240-MAX(N$470:N2240))/MAX(N$470:N2240))</f>
        <v>-0.62788758315546067</v>
      </c>
      <c r="X2240" s="564">
        <f>IF((O2240-MAX(O$470:O2240))/MAX(O$470:O2240)&gt;X2239,X2239,(O2240-MAX(O$470:O2240))/MAX(O$470:O2240))</f>
        <v>-0.62788758315546067</v>
      </c>
    </row>
    <row r="2241" spans="1:24">
      <c r="A2241" s="799">
        <v>42643</v>
      </c>
      <c r="B2241">
        <v>605.63599999999997</v>
      </c>
      <c r="C2241">
        <v>4173.2163870000004</v>
      </c>
      <c r="D2241">
        <v>1.6329689999999999</v>
      </c>
      <c r="E2241">
        <f>LN(D2241/参数实验室!$E$53)/参数实验室!$E$55</f>
        <v>-0.11441750323520773</v>
      </c>
      <c r="F2241">
        <f t="shared" si="288"/>
        <v>6.8906346171627852</v>
      </c>
      <c r="G2241">
        <f>LN(F2241/参数实验室!$E$58)/参数实验室!$E$59</f>
        <v>0.82252392825718978</v>
      </c>
      <c r="H2241" s="856">
        <f>INDEX(神经网络!$G$10:$BO$70,MATCH(ROUND(G2241*2,1)/2,神经网络!$E$10:$E$70,0),MATCH(ROUND(E2241*2,1)/2,神经网络!$G$8:$BO$8,0))</f>
        <v>1.3993509687588066</v>
      </c>
      <c r="I2241">
        <f t="shared" si="290"/>
        <v>792.75773080713782</v>
      </c>
      <c r="J2241">
        <f t="shared" si="291"/>
        <v>241.66473803918393</v>
      </c>
      <c r="K2241">
        <f t="shared" si="292"/>
        <v>3.2804029964793568</v>
      </c>
      <c r="L2241" s="4">
        <f>MIN(MAX(L2240*(1+MAX(MIN(((B2241-B2240)/B2240)/($K$7*卓尔金历!$N$40),0),-卓尔金历!$M$43))+MIN(MAX(((B2241-B2240)/B2240)/($K$7*卓尔金历!$N$40),0),卓尔金历!$M$43),0),1)</f>
        <v>0.68717825433345647</v>
      </c>
      <c r="M2241" s="4">
        <f>MIN(MAX(M2240*(1+MAX(MIN(((B2241-B2240)/B2240)/($K$7*30),0),-卓尔金历!$M$43))+MIN(MAX(((B2241-B2240)/B2240)/($K$7*7),0),卓尔金历!$M$43),0),1)</f>
        <v>0.99387925815497769</v>
      </c>
      <c r="N2241">
        <f t="shared" si="293"/>
        <v>677.54551805741778</v>
      </c>
      <c r="O2241">
        <f t="shared" si="294"/>
        <v>1667.9396567000661</v>
      </c>
      <c r="P2241">
        <f t="shared" si="295"/>
        <v>-6.1385328246503501E-4</v>
      </c>
      <c r="Q2241">
        <f t="shared" si="296"/>
        <v>7.5643451272610629E-3</v>
      </c>
      <c r="R2241">
        <f t="shared" si="297"/>
        <v>1</v>
      </c>
      <c r="S2241">
        <f t="shared" si="289"/>
        <v>16.343076637378509</v>
      </c>
      <c r="T2241" s="564">
        <f>IF((I2241-MAX(I$470:I2241))/MAX(I$470:I2241)&gt;T2240,T2240,(I2241-MAX(I$470:I2241))/MAX(I$470:I2241))</f>
        <v>-0.91338805338419748</v>
      </c>
      <c r="U2241" s="564">
        <f>IF((J2241-MAX(J$470:J2241))/MAX(J$470:J2241)&gt;U2240,U2240,(J2241-MAX(J$470:J2241))/MAX(J$470:J2241))</f>
        <v>-0.8283551177402233</v>
      </c>
      <c r="V2241" s="564">
        <f>IF((K2241-MAX(K$470:K2241))/MAX(K$470:K2241)&gt;V2240,V2240,(K2241-MAX(K$470:K2241))/MAX(K$470:K2241))</f>
        <v>-0.84885940676762139</v>
      </c>
      <c r="W2241" s="564">
        <f>IF((N2241-MAX(N$470:N2241))/MAX(N$470:N2241)&gt;W2240,W2240,(N2241-MAX(N$470:N2241))/MAX(N$470:N2241))</f>
        <v>-0.62788758315546067</v>
      </c>
      <c r="X2241" s="564">
        <f>IF((O2241-MAX(O$470:O2241))/MAX(O$470:O2241)&gt;X2240,X2240,(O2241-MAX(O$470:O2241))/MAX(O$470:O2241))</f>
        <v>-0.62788758315546067</v>
      </c>
    </row>
    <row r="2242" spans="1:24">
      <c r="A2242" s="799">
        <v>42644</v>
      </c>
      <c r="B2242">
        <v>612.56799999999998</v>
      </c>
      <c r="C2242">
        <v>4128.3871079999999</v>
      </c>
      <c r="D2242">
        <v>1.649737</v>
      </c>
      <c r="E2242">
        <f>LN(D2242/参数实验室!$E$53)/参数实验室!$E$55</f>
        <v>-0.10236508401419597</v>
      </c>
      <c r="F2242">
        <f t="shared" si="288"/>
        <v>6.7394756304606185</v>
      </c>
      <c r="G2242">
        <f>LN(F2242/参数实验室!$E$58)/参数实验室!$E$59</f>
        <v>0.81088210634363178</v>
      </c>
      <c r="H2242" s="856">
        <f>INDEX(神经网络!$G$10:$BO$70,MATCH(ROUND(G2242*2,1)/2,神经网络!$E$10:$E$70,0),MATCH(ROUND(E2242*2,1)/2,神经网络!$G$8:$BO$8,0))</f>
        <v>1.3993509687588066</v>
      </c>
      <c r="I2242">
        <f t="shared" si="290"/>
        <v>805.45510768345866</v>
      </c>
      <c r="J2242">
        <f t="shared" si="291"/>
        <v>244.4307888751442</v>
      </c>
      <c r="K2242">
        <f t="shared" si="292"/>
        <v>3.295227705929006</v>
      </c>
      <c r="L2242" s="4">
        <f>MIN(MAX(L2241*(1+MAX(MIN(((B2242-B2241)/B2241)/($K$7*卓尔金历!$N$40),0),-卓尔金历!$M$43))+MIN(MAX(((B2242-B2241)/B2241)/($K$7*卓尔金历!$N$40),0),卓尔金历!$M$43),0),1)</f>
        <v>0.86205938401734761</v>
      </c>
      <c r="M2242" s="4">
        <f>MIN(MAX(M2241*(1+MAX(MIN(((B2242-B2241)/B2241)/($K$7*30),0),-卓尔金历!$M$43))+MIN(MAX(((B2242-B2241)/B2241)/($K$7*7),0),卓尔金历!$M$43),0),1)</f>
        <v>1</v>
      </c>
      <c r="N2242">
        <f t="shared" si="293"/>
        <v>685.00281452590445</v>
      </c>
      <c r="O2242">
        <f t="shared" si="294"/>
        <v>1694.4910604056313</v>
      </c>
      <c r="P2242">
        <f t="shared" si="295"/>
        <v>1.1445818940749917E-2</v>
      </c>
      <c r="Q2242">
        <f t="shared" si="296"/>
        <v>8.0155887162816734E-3</v>
      </c>
      <c r="R2242">
        <f t="shared" si="297"/>
        <v>4.8696510331979878E-3</v>
      </c>
      <c r="S2242">
        <f t="shared" si="289"/>
        <v>16.604839084238677</v>
      </c>
      <c r="T2242" s="564">
        <f>IF((I2242-MAX(I$470:I2242))/MAX(I$470:I2242)&gt;T2241,T2241,(I2242-MAX(I$470:I2242))/MAX(I$470:I2242))</f>
        <v>-0.91338805338419748</v>
      </c>
      <c r="U2242" s="564">
        <f>IF((J2242-MAX(J$470:J2242))/MAX(J$470:J2242)&gt;U2241,U2241,(J2242-MAX(J$470:J2242))/MAX(J$470:J2242))</f>
        <v>-0.8283551177402233</v>
      </c>
      <c r="V2242" s="564">
        <f>IF((K2242-MAX(K$470:K2242))/MAX(K$470:K2242)&gt;V2241,V2241,(K2242-MAX(K$470:K2242))/MAX(K$470:K2242))</f>
        <v>-0.84885940676762139</v>
      </c>
      <c r="W2242" s="564">
        <f>IF((N2242-MAX(N$470:N2242))/MAX(N$470:N2242)&gt;W2241,W2241,(N2242-MAX(N$470:N2242))/MAX(N$470:N2242))</f>
        <v>-0.62788758315546067</v>
      </c>
      <c r="X2242" s="564">
        <f>IF((O2242-MAX(O$470:O2242))/MAX(O$470:O2242)&gt;X2241,X2241,(O2242-MAX(O$470:O2242))/MAX(O$470:O2242))</f>
        <v>-0.62788758315546067</v>
      </c>
    </row>
    <row r="2243" spans="1:24">
      <c r="A2243" s="799">
        <v>42645</v>
      </c>
      <c r="B2243">
        <v>612.97900000000004</v>
      </c>
      <c r="C2243">
        <v>4162.5993449999996</v>
      </c>
      <c r="D2243">
        <v>1.6396360000000001</v>
      </c>
      <c r="E2243">
        <f>LN(D2243/参数实验室!$E$53)/参数实验室!$E$55</f>
        <v>-0.10961067457197282</v>
      </c>
      <c r="F2243">
        <f t="shared" si="288"/>
        <v>6.7907699040260745</v>
      </c>
      <c r="G2243">
        <f>LN(F2243/参数实验室!$E$58)/参数实验室!$E$59</f>
        <v>0.81486165509274333</v>
      </c>
      <c r="H2243" s="856">
        <f>INDEX(神经网络!$G$10:$BO$70,MATCH(ROUND(G2243*2,1)/2,神经网络!$E$10:$E$70,0),MATCH(ROUND(E2243*2,1)/2,神经网络!$G$8:$BO$8,0))</f>
        <v>1.3993509687588066</v>
      </c>
      <c r="I2243">
        <f t="shared" si="290"/>
        <v>806.21134048100771</v>
      </c>
      <c r="J2243">
        <f t="shared" si="291"/>
        <v>244.59478871553367</v>
      </c>
      <c r="K2243">
        <f t="shared" si="292"/>
        <v>3.2961100468033275</v>
      </c>
      <c r="L2243" s="4">
        <f>MIN(MAX(L2242*(1+MAX(MIN(((B2243-B2242)/B2242)/($K$7*卓尔金历!$N$40),0),-卓尔金历!$M$43))+MIN(MAX(((B2243-B2242)/B2242)/($K$7*卓尔金历!$N$40),0),卓尔金历!$M$43),0),1)</f>
        <v>0.87231079380826981</v>
      </c>
      <c r="M2243" s="4">
        <f>MIN(MAX(M2242*(1+MAX(MIN(((B2243-B2242)/B2242)/($K$7*30),0),-卓尔金历!$M$43))+MIN(MAX(((B2243-B2242)/B2242)/($K$7*7),0),卓尔金历!$M$43),0),1)</f>
        <v>1</v>
      </c>
      <c r="N2243">
        <f t="shared" si="293"/>
        <v>685.55724067905044</v>
      </c>
      <c r="O2243">
        <f t="shared" si="294"/>
        <v>1696.081999121903</v>
      </c>
      <c r="P2243">
        <f t="shared" si="295"/>
        <v>6.7094591947352493E-4</v>
      </c>
      <c r="Q2243">
        <f t="shared" si="296"/>
        <v>8.0217261659755092E-3</v>
      </c>
      <c r="R2243">
        <f t="shared" si="297"/>
        <v>1</v>
      </c>
      <c r="S2243">
        <f t="shared" si="289"/>
        <v>16.604915002574604</v>
      </c>
      <c r="T2243" s="564">
        <f>IF((I2243-MAX(I$470:I2243))/MAX(I$470:I2243)&gt;T2242,T2242,(I2243-MAX(I$470:I2243))/MAX(I$470:I2243))</f>
        <v>-0.91338805338419748</v>
      </c>
      <c r="U2243" s="564">
        <f>IF((J2243-MAX(J$470:J2243))/MAX(J$470:J2243)&gt;U2242,U2242,(J2243-MAX(J$470:J2243))/MAX(J$470:J2243))</f>
        <v>-0.8283551177402233</v>
      </c>
      <c r="V2243" s="564">
        <f>IF((K2243-MAX(K$470:K2243))/MAX(K$470:K2243)&gt;V2242,V2242,(K2243-MAX(K$470:K2243))/MAX(K$470:K2243))</f>
        <v>-0.84885940676762139</v>
      </c>
      <c r="W2243" s="564">
        <f>IF((N2243-MAX(N$470:N2243))/MAX(N$470:N2243)&gt;W2242,W2242,(N2243-MAX(N$470:N2243))/MAX(N$470:N2243))</f>
        <v>-0.62788758315546067</v>
      </c>
      <c r="X2243" s="564">
        <f>IF((O2243-MAX(O$470:O2243))/MAX(O$470:O2243)&gt;X2242,X2242,(O2243-MAX(O$470:O2243))/MAX(O$470:O2243))</f>
        <v>-0.62788758315546067</v>
      </c>
    </row>
    <row r="2244" spans="1:24">
      <c r="A2244" s="799">
        <v>42646</v>
      </c>
      <c r="B2244">
        <v>612.12599999999998</v>
      </c>
      <c r="C2244">
        <v>4096.3173139999999</v>
      </c>
      <c r="D2244">
        <v>1.6402350000000001</v>
      </c>
      <c r="E2244">
        <f>LN(D2244/参数实验室!$E$53)/参数实验室!$E$55</f>
        <v>-0.10917975994088146</v>
      </c>
      <c r="F2244">
        <f t="shared" si="288"/>
        <v>6.6919511897877237</v>
      </c>
      <c r="G2244">
        <f>LN(F2244/参数实验室!$E$58)/参数实验室!$E$59</f>
        <v>0.80716790691261664</v>
      </c>
      <c r="H2244" s="856">
        <f>INDEX(神经网络!$G$10:$BO$70,MATCH(ROUND(G2244*2,1)/2,神经网络!$E$10:$E$70,0),MATCH(ROUND(E2244*2,1)/2,神经网络!$G$8:$BO$8,0))</f>
        <v>1.3993509687588066</v>
      </c>
      <c r="I2244">
        <f t="shared" si="290"/>
        <v>804.64141517338942</v>
      </c>
      <c r="J2244">
        <f t="shared" si="291"/>
        <v>244.25441921710981</v>
      </c>
      <c r="K2244">
        <f t="shared" si="292"/>
        <v>3.2942757709459078</v>
      </c>
      <c r="L2244" s="4">
        <f>MIN(MAX(L2243*(1+MAX(MIN(((B2244-B2243)/B2243)/($K$7*卓尔金历!$N$40),0),-卓尔金历!$M$43))+MIN(MAX(((B2244-B2243)/B2243)/($K$7*卓尔金历!$N$40),0),卓尔金历!$M$43),0),1)</f>
        <v>0.85376391818031472</v>
      </c>
      <c r="M2244" s="4">
        <f>MIN(MAX(M2243*(1+MAX(MIN(((B2244-B2243)/B2243)/($K$7*30),0),-卓尔金历!$M$43))+MIN(MAX(((B2244-B2243)/B2243)/($K$7*7),0),卓尔金历!$M$43),0),1)</f>
        <v>0.98936911261467686</v>
      </c>
      <c r="N2244">
        <f t="shared" si="293"/>
        <v>684.39272576183066</v>
      </c>
      <c r="O2244">
        <f t="shared" si="294"/>
        <v>1692.779239757803</v>
      </c>
      <c r="P2244">
        <f t="shared" si="295"/>
        <v>-1.3915648007518453E-3</v>
      </c>
      <c r="Q2244">
        <f t="shared" si="296"/>
        <v>5.2639405975912091E-3</v>
      </c>
      <c r="R2244">
        <f t="shared" si="297"/>
        <v>1</v>
      </c>
      <c r="S2244">
        <f t="shared" si="289"/>
        <v>16.572580458287693</v>
      </c>
      <c r="T2244" s="564">
        <f>IF((I2244-MAX(I$470:I2244))/MAX(I$470:I2244)&gt;T2243,T2243,(I2244-MAX(I$470:I2244))/MAX(I$470:I2244))</f>
        <v>-0.91338805338419748</v>
      </c>
      <c r="U2244" s="564">
        <f>IF((J2244-MAX(J$470:J2244))/MAX(J$470:J2244)&gt;U2243,U2243,(J2244-MAX(J$470:J2244))/MAX(J$470:J2244))</f>
        <v>-0.8283551177402233</v>
      </c>
      <c r="V2244" s="564">
        <f>IF((K2244-MAX(K$470:K2244))/MAX(K$470:K2244)&gt;V2243,V2243,(K2244-MAX(K$470:K2244))/MAX(K$470:K2244))</f>
        <v>-0.84885940676762139</v>
      </c>
      <c r="W2244" s="564">
        <f>IF((N2244-MAX(N$470:N2244))/MAX(N$470:N2244)&gt;W2243,W2243,(N2244-MAX(N$470:N2244))/MAX(N$470:N2244))</f>
        <v>-0.62788758315546067</v>
      </c>
      <c r="X2244" s="564">
        <f>IF((O2244-MAX(O$470:O2244))/MAX(O$470:O2244)&gt;X2243,X2243,(O2244-MAX(O$470:O2244))/MAX(O$470:O2244))</f>
        <v>-0.62788758315546067</v>
      </c>
    </row>
    <row r="2245" spans="1:24">
      <c r="A2245" s="799">
        <v>42647</v>
      </c>
      <c r="B2245">
        <v>610.38099999999997</v>
      </c>
      <c r="C2245">
        <v>4154.8730969999997</v>
      </c>
      <c r="D2245">
        <v>1.631785</v>
      </c>
      <c r="E2245">
        <f>LN(D2245/参数实验室!$E$53)/参数实验室!$E$55</f>
        <v>-0.11527320501371925</v>
      </c>
      <c r="F2245">
        <f t="shared" ref="F2245:F2308" si="298">C2245/B2245</f>
        <v>6.8070157770310669</v>
      </c>
      <c r="G2245">
        <f>LN(F2245/参数实验室!$E$58)/参数实验室!$E$59</f>
        <v>0.81611578813868335</v>
      </c>
      <c r="H2245" s="856">
        <f>INDEX(神经网络!$G$10:$BO$70,MATCH(ROUND(G2245*2,1)/2,神经网络!$E$10:$E$70,0),MATCH(ROUND(E2245*2,1)/2,神经网络!$G$8:$BO$8,0))</f>
        <v>1.3993509687588066</v>
      </c>
      <c r="I2245">
        <f t="shared" si="290"/>
        <v>801.43157328956659</v>
      </c>
      <c r="J2245">
        <f t="shared" si="291"/>
        <v>243.55811819161201</v>
      </c>
      <c r="K2245">
        <f t="shared" si="292"/>
        <v>3.2905147208399126</v>
      </c>
      <c r="L2245" s="4">
        <f>MIN(MAX(L2244*(1+MAX(MIN(((B2245-B2244)/B2244)/($K$7*卓尔金历!$N$40),0),-卓尔金历!$M$43))+MIN(MAX(((B2245-B2244)/B2244)/($K$7*卓尔金历!$N$40),0),卓尔金历!$M$43),0),1)</f>
        <v>0.81657714627816858</v>
      </c>
      <c r="M2245" s="4">
        <f>MIN(MAX(M2244*(1+MAX(MIN(((B2245-B2244)/B2244)/($K$7*30),0),-卓尔金历!$M$43))+MIN(MAX(((B2245-B2244)/B2244)/($K$7*7),0),卓尔金历!$M$43),0),1)</f>
        <v>0.96782249841935764</v>
      </c>
      <c r="N2245">
        <f t="shared" si="293"/>
        <v>682.06182148281277</v>
      </c>
      <c r="O2245">
        <f t="shared" si="294"/>
        <v>1686.0982634807438</v>
      </c>
      <c r="P2245">
        <f t="shared" si="295"/>
        <v>-2.8507202765443791E-3</v>
      </c>
      <c r="Q2245">
        <f t="shared" si="296"/>
        <v>5.2721010586619602E-3</v>
      </c>
      <c r="R2245">
        <f t="shared" si="297"/>
        <v>0.62335778776547679</v>
      </c>
      <c r="S2245">
        <f t="shared" si="289"/>
        <v>16.506469813378153</v>
      </c>
      <c r="T2245" s="564">
        <f>IF((I2245-MAX(I$470:I2245))/MAX(I$470:I2245)&gt;T2244,T2244,(I2245-MAX(I$470:I2245))/MAX(I$470:I2245))</f>
        <v>-0.91338805338419748</v>
      </c>
      <c r="U2245" s="564">
        <f>IF((J2245-MAX(J$470:J2245))/MAX(J$470:J2245)&gt;U2244,U2244,(J2245-MAX(J$470:J2245))/MAX(J$470:J2245))</f>
        <v>-0.8283551177402233</v>
      </c>
      <c r="V2245" s="564">
        <f>IF((K2245-MAX(K$470:K2245))/MAX(K$470:K2245)&gt;V2244,V2244,(K2245-MAX(K$470:K2245))/MAX(K$470:K2245))</f>
        <v>-0.84885940676762139</v>
      </c>
      <c r="W2245" s="564">
        <f>IF((N2245-MAX(N$470:N2245))/MAX(N$470:N2245)&gt;W2244,W2244,(N2245-MAX(N$470:N2245))/MAX(N$470:N2245))</f>
        <v>-0.62788758315546067</v>
      </c>
      <c r="X2245" s="564">
        <f>IF((O2245-MAX(O$470:O2245))/MAX(O$470:O2245)&gt;X2244,X2244,(O2245-MAX(O$470:O2245))/MAX(O$470:O2245))</f>
        <v>-0.62788758315546067</v>
      </c>
    </row>
    <row r="2246" spans="1:24">
      <c r="A2246" s="799">
        <v>42648</v>
      </c>
      <c r="B2246">
        <v>610.48500000000001</v>
      </c>
      <c r="C2246">
        <v>4083.586178</v>
      </c>
      <c r="D2246">
        <v>1.636738</v>
      </c>
      <c r="E2246">
        <f>LN(D2246/参数实验室!$E$53)/参数实验室!$E$55</f>
        <v>-0.11169769259412078</v>
      </c>
      <c r="F2246">
        <f t="shared" si="298"/>
        <v>6.68908519947255</v>
      </c>
      <c r="G2246">
        <f>LN(F2246/参数实验室!$E$58)/参数实验室!$E$59</f>
        <v>0.80694307729798964</v>
      </c>
      <c r="H2246" s="856">
        <f>INDEX(神经网络!$G$10:$BO$70,MATCH(ROUND(G2246*2,1)/2,神经网络!$E$10:$E$70,0),MATCH(ROUND(E2246*2,1)/2,神经网络!$G$8:$BO$8,0))</f>
        <v>1.3993509687588066</v>
      </c>
      <c r="I2246">
        <f t="shared" si="290"/>
        <v>801.62265777784796</v>
      </c>
      <c r="J2246">
        <f t="shared" si="291"/>
        <v>243.59961693467892</v>
      </c>
      <c r="K2246">
        <f t="shared" si="292"/>
        <v>3.2907385810577958</v>
      </c>
      <c r="L2246" s="4">
        <f>MIN(MAX(L2245*(1+MAX(MIN(((B2246-B2245)/B2245)/($K$7*卓尔金历!$N$40),0),-卓尔金历!$M$43))+MIN(MAX(((B2246-B2245)/B2245)/($K$7*卓尔金历!$N$40),0),卓尔金历!$M$43),0),1)</f>
        <v>0.81918047141225137</v>
      </c>
      <c r="M2246" s="4">
        <f>MIN(MAX(M2245*(1+MAX(MIN(((B2246-B2245)/B2245)/($K$7*30),0),-卓尔金历!$M$43))+MIN(MAX(((B2246-B2245)/B2245)/($K$7*7),0),卓尔金历!$M$43),0),1)</f>
        <v>0.97340105227810636</v>
      </c>
      <c r="N2246">
        <f t="shared" si="293"/>
        <v>682.19461593976041</v>
      </c>
      <c r="O2246">
        <f t="shared" si="294"/>
        <v>1686.4873422921562</v>
      </c>
      <c r="P2246">
        <f t="shared" si="295"/>
        <v>1.7038538224492872E-4</v>
      </c>
      <c r="Q2246">
        <f t="shared" si="296"/>
        <v>5.1986205697511058E-3</v>
      </c>
      <c r="R2246">
        <f t="shared" si="297"/>
        <v>1</v>
      </c>
      <c r="S2246">
        <f t="shared" si="289"/>
        <v>16.508923112917518</v>
      </c>
      <c r="T2246" s="564">
        <f>IF((I2246-MAX(I$470:I2246))/MAX(I$470:I2246)&gt;T2245,T2245,(I2246-MAX(I$470:I2246))/MAX(I$470:I2246))</f>
        <v>-0.91338805338419748</v>
      </c>
      <c r="U2246" s="564">
        <f>IF((J2246-MAX(J$470:J2246))/MAX(J$470:J2246)&gt;U2245,U2245,(J2246-MAX(J$470:J2246))/MAX(J$470:J2246))</f>
        <v>-0.8283551177402233</v>
      </c>
      <c r="V2246" s="564">
        <f>IF((K2246-MAX(K$470:K2246))/MAX(K$470:K2246)&gt;V2245,V2245,(K2246-MAX(K$470:K2246))/MAX(K$470:K2246))</f>
        <v>-0.84885940676762139</v>
      </c>
      <c r="W2246" s="564">
        <f>IF((N2246-MAX(N$470:N2246))/MAX(N$470:N2246)&gt;W2245,W2245,(N2246-MAX(N$470:N2246))/MAX(N$470:N2246))</f>
        <v>-0.62788758315546067</v>
      </c>
      <c r="X2246" s="564">
        <f>IF((O2246-MAX(O$470:O2246))/MAX(O$470:O2246)&gt;X2245,X2245,(O2246-MAX(O$470:O2246))/MAX(O$470:O2246))</f>
        <v>-0.62788758315546067</v>
      </c>
    </row>
    <row r="2247" spans="1:24">
      <c r="A2247" s="799">
        <v>42649</v>
      </c>
      <c r="B2247">
        <v>612.01300000000003</v>
      </c>
      <c r="C2247">
        <v>4019.1081770000001</v>
      </c>
      <c r="D2247">
        <v>1.635022</v>
      </c>
      <c r="E2247">
        <f>LN(D2247/参数实验室!$E$53)/参数实验室!$E$55</f>
        <v>-0.11293522636939218</v>
      </c>
      <c r="F2247">
        <f t="shared" si="298"/>
        <v>6.5670307281054487</v>
      </c>
      <c r="G2247">
        <f>LN(F2247/参数实验室!$E$58)/参数实验室!$E$59</f>
        <v>0.79727771325086838</v>
      </c>
      <c r="H2247" s="856">
        <f>INDEX(神经网络!$G$10:$BO$70,MATCH(ROUND(G2247*2,1)/2,神经网络!$E$10:$E$70,0),MATCH(ROUND(E2247*2,1)/2,神经网络!$G$8:$BO$8,0))</f>
        <v>1.3993509687588066</v>
      </c>
      <c r="I2247">
        <f t="shared" si="290"/>
        <v>804.43032087277641</v>
      </c>
      <c r="J2247">
        <f t="shared" si="291"/>
        <v>244.20932923666211</v>
      </c>
      <c r="K2247">
        <f t="shared" si="292"/>
        <v>3.294019615823959</v>
      </c>
      <c r="L2247" s="4">
        <f>MIN(MAX(L2246*(1+MAX(MIN(((B2247-B2246)/B2246)/($K$7*卓尔金历!$N$40),0),-卓尔金历!$M$43))+MIN(MAX(((B2247-B2246)/B2246)/($K$7*卓尔金历!$N$40),0),卓尔金历!$M$43),0),1)</f>
        <v>0.85742280936992765</v>
      </c>
      <c r="M2247" s="4">
        <f>MIN(MAX(M2246*(1+MAX(MIN(((B2247-B2246)/B2246)/($K$7*30),0),-卓尔金历!$M$43))+MIN(MAX(((B2247-B2246)/B2246)/($K$7*7),0),卓尔金历!$M$43),0),1)</f>
        <v>1</v>
      </c>
      <c r="N2247">
        <f t="shared" si="293"/>
        <v>684.15194068907613</v>
      </c>
      <c r="O2247">
        <f t="shared" si="294"/>
        <v>1692.23710480313</v>
      </c>
      <c r="P2247">
        <f t="shared" si="295"/>
        <v>2.5029279998689895E-3</v>
      </c>
      <c r="Q2247">
        <f t="shared" si="296"/>
        <v>5.2251226282041818E-3</v>
      </c>
      <c r="R2247">
        <f t="shared" si="297"/>
        <v>0.74504191437875134</v>
      </c>
      <c r="S2247">
        <f t="shared" si="289"/>
        <v>16.566745198797225</v>
      </c>
      <c r="T2247" s="564">
        <f>IF((I2247-MAX(I$470:I2247))/MAX(I$470:I2247)&gt;T2246,T2246,(I2247-MAX(I$470:I2247))/MAX(I$470:I2247))</f>
        <v>-0.91338805338419748</v>
      </c>
      <c r="U2247" s="564">
        <f>IF((J2247-MAX(J$470:J2247))/MAX(J$470:J2247)&gt;U2246,U2246,(J2247-MAX(J$470:J2247))/MAX(J$470:J2247))</f>
        <v>-0.8283551177402233</v>
      </c>
      <c r="V2247" s="564">
        <f>IF((K2247-MAX(K$470:K2247))/MAX(K$470:K2247)&gt;V2246,V2246,(K2247-MAX(K$470:K2247))/MAX(K$470:K2247))</f>
        <v>-0.84885940676762139</v>
      </c>
      <c r="W2247" s="564">
        <f>IF((N2247-MAX(N$470:N2247))/MAX(N$470:N2247)&gt;W2246,W2246,(N2247-MAX(N$470:N2247))/MAX(N$470:N2247))</f>
        <v>-0.62788758315546067</v>
      </c>
      <c r="X2247" s="564">
        <f>IF((O2247-MAX(O$470:O2247))/MAX(O$470:O2247)&gt;X2246,X2246,(O2247-MAX(O$470:O2247))/MAX(O$470:O2247))</f>
        <v>-0.62788758315546067</v>
      </c>
    </row>
    <row r="2248" spans="1:24">
      <c r="A2248" s="799">
        <v>42650</v>
      </c>
      <c r="B2248">
        <v>615.71900000000005</v>
      </c>
      <c r="C2248">
        <v>4044.2036109999999</v>
      </c>
      <c r="D2248">
        <v>1.650574</v>
      </c>
      <c r="E2248">
        <f>LN(D2248/参数实验室!$E$53)/参数实验室!$E$55</f>
        <v>-0.10176668375047808</v>
      </c>
      <c r="F2248">
        <f t="shared" si="298"/>
        <v>6.5682618385984508</v>
      </c>
      <c r="G2248">
        <f>LN(F2248/参数实验室!$E$58)/参数实验室!$E$59</f>
        <v>0.79737609755686578</v>
      </c>
      <c r="H2248" s="856">
        <f>INDEX(神经网络!$G$10:$BO$70,MATCH(ROUND(G2248*2,1)/2,神经网络!$E$10:$E$70,0),MATCH(ROUND(E2248*2,1)/2,神经网络!$G$8:$BO$8,0))</f>
        <v>1.3993509687588066</v>
      </c>
      <c r="I2248">
        <f t="shared" si="290"/>
        <v>811.24679596840065</v>
      </c>
      <c r="J2248">
        <f t="shared" si="291"/>
        <v>245.68812098479668</v>
      </c>
      <c r="K2248">
        <f t="shared" si="292"/>
        <v>3.3019374022507217</v>
      </c>
      <c r="L2248" s="4">
        <f>MIN(MAX(L2247*(1+MAX(MIN(((B2248-B2247)/B2247)/($K$7*卓尔金历!$N$40),0),-卓尔金历!$M$43))+MIN(MAX(((B2248-B2247)/B2247)/($K$7*卓尔金历!$N$40),0),卓尔金历!$M$43),0),1)</f>
        <v>0.94994392185911614</v>
      </c>
      <c r="M2248" s="4">
        <f>MIN(MAX(M2247*(1+MAX(MIN(((B2248-B2247)/B2247)/($K$7*30),0),-卓尔金历!$M$43))+MIN(MAX(((B2248-B2247)/B2247)/($K$7*7),0),卓尔金历!$M$43),0),1)</f>
        <v>1</v>
      </c>
      <c r="N2248">
        <f t="shared" si="293"/>
        <v>689.12265744092463</v>
      </c>
      <c r="O2248">
        <f t="shared" si="294"/>
        <v>1706.5765594227255</v>
      </c>
      <c r="P2248">
        <f t="shared" si="295"/>
        <v>6.0554269272058226E-3</v>
      </c>
      <c r="Q2248">
        <f t="shared" si="296"/>
        <v>5.3004703012271186E-3</v>
      </c>
      <c r="R2248">
        <f t="shared" si="297"/>
        <v>4.5293487997253128E-3</v>
      </c>
      <c r="S2248">
        <f t="shared" si="289"/>
        <v>16.671334995565065</v>
      </c>
      <c r="T2248" s="564">
        <f>IF((I2248-MAX(I$470:I2248))/MAX(I$470:I2248)&gt;T2247,T2247,(I2248-MAX(I$470:I2248))/MAX(I$470:I2248))</f>
        <v>-0.91338805338419748</v>
      </c>
      <c r="U2248" s="564">
        <f>IF((J2248-MAX(J$470:J2248))/MAX(J$470:J2248)&gt;U2247,U2247,(J2248-MAX(J$470:J2248))/MAX(J$470:J2248))</f>
        <v>-0.8283551177402233</v>
      </c>
      <c r="V2248" s="564">
        <f>IF((K2248-MAX(K$470:K2248))/MAX(K$470:K2248)&gt;V2247,V2247,(K2248-MAX(K$470:K2248))/MAX(K$470:K2248))</f>
        <v>-0.84885940676762139</v>
      </c>
      <c r="W2248" s="564">
        <f>IF((N2248-MAX(N$470:N2248))/MAX(N$470:N2248)&gt;W2247,W2247,(N2248-MAX(N$470:N2248))/MAX(N$470:N2248))</f>
        <v>-0.62788758315546067</v>
      </c>
      <c r="X2248" s="564">
        <f>IF((O2248-MAX(O$470:O2248))/MAX(O$470:O2248)&gt;X2247,X2247,(O2248-MAX(O$470:O2248))/MAX(O$470:O2248))</f>
        <v>-0.62788758315546067</v>
      </c>
    </row>
    <row r="2249" spans="1:24">
      <c r="A2249" s="799">
        <v>42651</v>
      </c>
      <c r="B2249">
        <v>618.87599999999998</v>
      </c>
      <c r="C2249">
        <v>3980.6524720000002</v>
      </c>
      <c r="D2249">
        <v>1.653451</v>
      </c>
      <c r="E2249">
        <f>LN(D2249/参数实验室!$E$53)/参数实验室!$E$55</f>
        <v>-9.9712128509073059E-2</v>
      </c>
      <c r="F2249">
        <f t="shared" si="298"/>
        <v>6.4320679296014074</v>
      </c>
      <c r="G2249">
        <f>LN(F2249/参数实验室!$E$58)/参数实验室!$E$59</f>
        <v>0.78637875513760314</v>
      </c>
      <c r="H2249" s="856">
        <f>INDEX(神经网络!$G$10:$BO$70,MATCH(ROUND(G2249*2,1)/2,神经网络!$E$10:$E$70,0),MATCH(ROUND(E2249*2,1)/2,神经网络!$G$8:$BO$8,0))</f>
        <v>1.3993509687588066</v>
      </c>
      <c r="I2249">
        <f t="shared" si="290"/>
        <v>817.06744849159315</v>
      </c>
      <c r="J2249">
        <f t="shared" si="291"/>
        <v>246.94784725270296</v>
      </c>
      <c r="K2249">
        <f t="shared" si="292"/>
        <v>3.3086639854587756</v>
      </c>
      <c r="L2249" s="4">
        <f>MIN(MAX(L2248*(1+MAX(MIN(((B2249-B2248)/B2248)/($K$7*卓尔金历!$N$40),0),-卓尔金历!$M$43))+MIN(MAX(((B2249-B2248)/B2248)/($K$7*卓尔金历!$N$40),0),卓尔金历!$M$43),0),1)</f>
        <v>1</v>
      </c>
      <c r="M2249" s="4">
        <f>MIN(MAX(M2248*(1+MAX(MIN(((B2249-B2248)/B2248)/($K$7*30),0),-卓尔金历!$M$43))+MIN(MAX(((B2249-B2248)/B2248)/($K$7*7),0),卓尔金历!$M$43),0),1)</f>
        <v>1</v>
      </c>
      <c r="N2249">
        <f t="shared" si="293"/>
        <v>693.81957758846204</v>
      </c>
      <c r="O2249">
        <f t="shared" si="294"/>
        <v>1718.821155279363</v>
      </c>
      <c r="P2249">
        <f t="shared" si="295"/>
        <v>5.1273389322075901E-3</v>
      </c>
      <c r="Q2249">
        <f t="shared" si="296"/>
        <v>5.3775877490322681E-3</v>
      </c>
      <c r="R2249">
        <f t="shared" si="297"/>
        <v>5.3206156058657174E-2</v>
      </c>
      <c r="S2249">
        <f t="shared" si="289"/>
        <v>16.671876777879529</v>
      </c>
      <c r="T2249" s="564">
        <f>IF((I2249-MAX(I$470:I2249))/MAX(I$470:I2249)&gt;T2248,T2248,(I2249-MAX(I$470:I2249))/MAX(I$470:I2249))</f>
        <v>-0.91338805338419748</v>
      </c>
      <c r="U2249" s="564">
        <f>IF((J2249-MAX(J$470:J2249))/MAX(J$470:J2249)&gt;U2248,U2248,(J2249-MAX(J$470:J2249))/MAX(J$470:J2249))</f>
        <v>-0.8283551177402233</v>
      </c>
      <c r="V2249" s="564">
        <f>IF((K2249-MAX(K$470:K2249))/MAX(K$470:K2249)&gt;V2248,V2248,(K2249-MAX(K$470:K2249))/MAX(K$470:K2249))</f>
        <v>-0.84885940676762139</v>
      </c>
      <c r="W2249" s="564">
        <f>IF((N2249-MAX(N$470:N2249))/MAX(N$470:N2249)&gt;W2248,W2248,(N2249-MAX(N$470:N2249))/MAX(N$470:N2249))</f>
        <v>-0.62788758315546067</v>
      </c>
      <c r="X2249" s="564">
        <f>IF((O2249-MAX(O$470:O2249))/MAX(O$470:O2249)&gt;X2248,X2248,(O2249-MAX(O$470:O2249))/MAX(O$470:O2249))</f>
        <v>-0.62788758315546067</v>
      </c>
    </row>
    <row r="2250" spans="1:24">
      <c r="A2250" s="799">
        <v>42652</v>
      </c>
      <c r="B2250">
        <v>617.44899999999996</v>
      </c>
      <c r="C2250">
        <v>3936.1077650000002</v>
      </c>
      <c r="D2250">
        <v>1.647149</v>
      </c>
      <c r="E2250">
        <f>LN(D2250/参数实验室!$E$53)/参数实验室!$E$55</f>
        <v>-0.10421725726042072</v>
      </c>
      <c r="F2250">
        <f t="shared" si="298"/>
        <v>6.3747900879262911</v>
      </c>
      <c r="G2250">
        <f>LN(F2250/参数实验室!$E$58)/参数实验室!$E$59</f>
        <v>0.78168397251614163</v>
      </c>
      <c r="H2250" s="856">
        <f>INDEX(神经网络!$G$10:$BO$70,MATCH(ROUND(G2250*2,1)/2,神经网络!$E$10:$E$70,0),MATCH(ROUND(E2250*2,1)/2,神经网络!$G$8:$BO$8,0))</f>
        <v>1.3993509687588066</v>
      </c>
      <c r="I2250">
        <f t="shared" si="290"/>
        <v>814.43108739952606</v>
      </c>
      <c r="J2250">
        <f t="shared" si="291"/>
        <v>246.37843661465979</v>
      </c>
      <c r="K2250">
        <f t="shared" si="292"/>
        <v>3.3056102579030107</v>
      </c>
      <c r="L2250" s="4">
        <f>MIN(MAX(L2249*(1+MAX(MIN(((B2250-B2249)/B2249)/($K$7*卓尔金历!$N$40),0),-卓尔金历!$M$43))+MIN(MAX(((B2250-B2249)/B2249)/($K$7*卓尔金历!$N$40),0),卓尔金历!$M$43),0),1)</f>
        <v>0.96476969439671034</v>
      </c>
      <c r="M2250" s="4">
        <f>MIN(MAX(M2249*(1+MAX(MIN(((B2250-B2249)/B2249)/($K$7*30),0),-卓尔金历!$M$43))+MIN(MAX(((B2250-B2249)/B2249)/($K$7*7),0),卓尔金历!$M$43),0),1)</f>
        <v>0.98238484719835517</v>
      </c>
      <c r="N2250">
        <f t="shared" si="293"/>
        <v>691.58088977554587</v>
      </c>
      <c r="O2250">
        <f t="shared" si="294"/>
        <v>1713.2751832468634</v>
      </c>
      <c r="P2250">
        <f t="shared" si="295"/>
        <v>-2.3057930829439516E-3</v>
      </c>
      <c r="Q2250">
        <f t="shared" si="296"/>
        <v>5.4120568873318245E-3</v>
      </c>
      <c r="R2250">
        <f t="shared" si="297"/>
        <v>0.86317030362094516</v>
      </c>
      <c r="S2250">
        <f t="shared" si="289"/>
        <v>16.66901462148741</v>
      </c>
      <c r="T2250" s="564">
        <f>IF((I2250-MAX(I$470:I2250))/MAX(I$470:I2250)&gt;T2249,T2249,(I2250-MAX(I$470:I2250))/MAX(I$470:I2250))</f>
        <v>-0.91338805338419748</v>
      </c>
      <c r="U2250" s="564">
        <f>IF((J2250-MAX(J$470:J2250))/MAX(J$470:J2250)&gt;U2249,U2249,(J2250-MAX(J$470:J2250))/MAX(J$470:J2250))</f>
        <v>-0.8283551177402233</v>
      </c>
      <c r="V2250" s="564">
        <f>IF((K2250-MAX(K$470:K2250))/MAX(K$470:K2250)&gt;V2249,V2249,(K2250-MAX(K$470:K2250))/MAX(K$470:K2250))</f>
        <v>-0.84885940676762139</v>
      </c>
      <c r="W2250" s="564">
        <f>IF((N2250-MAX(N$470:N2250))/MAX(N$470:N2250)&gt;W2249,W2249,(N2250-MAX(N$470:N2250))/MAX(N$470:N2250))</f>
        <v>-0.62788758315546067</v>
      </c>
      <c r="X2250" s="564">
        <f>IF((O2250-MAX(O$470:O2250))/MAX(O$470:O2250)&gt;X2249,X2249,(O2250-MAX(O$470:O2250))/MAX(O$470:O2250))</f>
        <v>-0.62788758315546067</v>
      </c>
    </row>
    <row r="2251" spans="1:24">
      <c r="A2251" s="799">
        <v>42653</v>
      </c>
      <c r="B2251">
        <v>618.23699999999997</v>
      </c>
      <c r="C2251">
        <v>4017.2823699999999</v>
      </c>
      <c r="D2251">
        <v>1.6490560000000001</v>
      </c>
      <c r="E2251">
        <f>LN(D2251/参数实验室!$E$53)/参数实验室!$E$55</f>
        <v>-0.10285217851849371</v>
      </c>
      <c r="F2251">
        <f t="shared" si="298"/>
        <v>6.4979649713621157</v>
      </c>
      <c r="G2251">
        <f>LN(F2251/参数实验室!$E$58)/参数实验室!$E$59</f>
        <v>0.79172856801262437</v>
      </c>
      <c r="H2251" s="856">
        <f>INDEX(神经网络!$G$10:$BO$70,MATCH(ROUND(G2251*2,1)/2,神经网络!$E$10:$E$70,0),MATCH(ROUND(E2251*2,1)/2,神经网络!$G$8:$BO$8,0))</f>
        <v>1.3993509687588066</v>
      </c>
      <c r="I2251">
        <f t="shared" si="290"/>
        <v>815.88556193222132</v>
      </c>
      <c r="J2251">
        <f t="shared" si="291"/>
        <v>246.69286939866683</v>
      </c>
      <c r="K2251">
        <f t="shared" si="292"/>
        <v>3.307292845233047</v>
      </c>
      <c r="L2251" s="4">
        <f>MIN(MAX(L2250*(1+MAX(MIN(((B2251-B2250)/B2250)/($K$7*卓尔金历!$N$40),0),-卓尔金历!$M$43))+MIN(MAX(((B2251-B2250)/B2250)/($K$7*卓尔金历!$N$40),0),卓尔金历!$M$43),0),1)</f>
        <v>0.98426909242467531</v>
      </c>
      <c r="M2251" s="4">
        <f>MIN(MAX(M2250*(1+MAX(MIN(((B2251-B2250)/B2250)/($K$7*30),0),-卓尔金历!$M$43))+MIN(MAX(((B2251-B2250)/B2250)/($K$7*7),0),卓尔金历!$M$43),0),1)</f>
        <v>1</v>
      </c>
      <c r="N2251">
        <f t="shared" si="293"/>
        <v>692.77245663421024</v>
      </c>
      <c r="O2251">
        <f t="shared" si="294"/>
        <v>1716.2809865539466</v>
      </c>
      <c r="P2251">
        <f t="shared" si="295"/>
        <v>1.2762187646267319E-3</v>
      </c>
      <c r="Q2251">
        <f t="shared" si="296"/>
        <v>5.3885580624535414E-3</v>
      </c>
      <c r="R2251">
        <f t="shared" si="297"/>
        <v>1</v>
      </c>
      <c r="S2251">
        <f t="shared" si="289"/>
        <v>16.694710187981912</v>
      </c>
      <c r="T2251" s="564">
        <f>IF((I2251-MAX(I$470:I2251))/MAX(I$470:I2251)&gt;T2250,T2250,(I2251-MAX(I$470:I2251))/MAX(I$470:I2251))</f>
        <v>-0.91338805338419748</v>
      </c>
      <c r="U2251" s="564">
        <f>IF((J2251-MAX(J$470:J2251))/MAX(J$470:J2251)&gt;U2250,U2250,(J2251-MAX(J$470:J2251))/MAX(J$470:J2251))</f>
        <v>-0.8283551177402233</v>
      </c>
      <c r="V2251" s="564">
        <f>IF((K2251-MAX(K$470:K2251))/MAX(K$470:K2251)&gt;V2250,V2250,(K2251-MAX(K$470:K2251))/MAX(K$470:K2251))</f>
        <v>-0.84885940676762139</v>
      </c>
      <c r="W2251" s="564">
        <f>IF((N2251-MAX(N$470:N2251))/MAX(N$470:N2251)&gt;W2250,W2250,(N2251-MAX(N$470:N2251))/MAX(N$470:N2251))</f>
        <v>-0.62788758315546067</v>
      </c>
      <c r="X2251" s="564">
        <f>IF((O2251-MAX(O$470:O2251))/MAX(O$470:O2251)&gt;X2250,X2250,(O2251-MAX(O$470:O2251))/MAX(O$470:O2251))</f>
        <v>-0.62788758315546067</v>
      </c>
    </row>
    <row r="2252" spans="1:24">
      <c r="A2252" s="799">
        <v>42654</v>
      </c>
      <c r="B2252">
        <v>634.18700000000001</v>
      </c>
      <c r="C2252">
        <v>4084.766783</v>
      </c>
      <c r="D2252">
        <v>1.7117230000000001</v>
      </c>
      <c r="E2252">
        <f>LN(D2252/参数实验室!$E$53)/参数实验室!$E$55</f>
        <v>-5.8850376039935856E-2</v>
      </c>
      <c r="F2252">
        <f t="shared" si="298"/>
        <v>6.4409500399724369</v>
      </c>
      <c r="G2252">
        <f>LN(F2252/参数实验室!$E$58)/参数实验室!$E$59</f>
        <v>0.78710303164993833</v>
      </c>
      <c r="H2252" s="856">
        <f>INDEX(神经网络!$G$10:$BO$70,MATCH(ROUND(G2252*2,1)/2,神经网络!$E$10:$E$70,0),MATCH(ROUND(E2252*2,1)/2,神经网络!$G$8:$BO$8,0))</f>
        <v>1.493238880812757</v>
      </c>
      <c r="I2252">
        <f t="shared" si="290"/>
        <v>845.34073609877009</v>
      </c>
      <c r="J2252">
        <f t="shared" si="291"/>
        <v>253.05734009017954</v>
      </c>
      <c r="K2252">
        <f t="shared" si="292"/>
        <v>3.3405106360381578</v>
      </c>
      <c r="L2252" s="4">
        <f>MIN(MAX(L2251*(1+MAX(MIN(((B2252-B2251)/B2251)/($K$7*卓尔金历!$N$40),0),-卓尔金历!$M$43))+MIN(MAX(((B2252-B2251)/B2251)/($K$7*卓尔金历!$N$40),0),卓尔金历!$M$43),0),1)</f>
        <v>1</v>
      </c>
      <c r="M2252" s="4">
        <f>MIN(MAX(M2251*(1+MAX(MIN(((B2252-B2251)/B2251)/($K$7*30),0),-卓尔金历!$M$43))+MIN(MAX(((B2252-B2251)/B2251)/($K$7*7),0),卓尔金历!$M$43),0),1)</f>
        <v>1</v>
      </c>
      <c r="N2252">
        <f t="shared" si="293"/>
        <v>717.38955197141036</v>
      </c>
      <c r="O2252">
        <f t="shared" si="294"/>
        <v>1778.2423175743897</v>
      </c>
      <c r="P2252">
        <f t="shared" si="295"/>
        <v>2.5799167633124589E-2</v>
      </c>
      <c r="Q2252">
        <f t="shared" si="296"/>
        <v>7.5783029046344796E-3</v>
      </c>
      <c r="R2252">
        <f t="shared" si="297"/>
        <v>0</v>
      </c>
      <c r="S2252">
        <f t="shared" si="289"/>
        <v>17.297424121394933</v>
      </c>
      <c r="T2252" s="564">
        <f>IF((I2252-MAX(I$470:I2252))/MAX(I$470:I2252)&gt;T2251,T2251,(I2252-MAX(I$470:I2252))/MAX(I$470:I2252))</f>
        <v>-0.91338805338419748</v>
      </c>
      <c r="U2252" s="564">
        <f>IF((J2252-MAX(J$470:J2252))/MAX(J$470:J2252)&gt;U2251,U2251,(J2252-MAX(J$470:J2252))/MAX(J$470:J2252))</f>
        <v>-0.8283551177402233</v>
      </c>
      <c r="V2252" s="564">
        <f>IF((K2252-MAX(K$470:K2252))/MAX(K$470:K2252)&gt;V2251,V2251,(K2252-MAX(K$470:K2252))/MAX(K$470:K2252))</f>
        <v>-0.84885940676762139</v>
      </c>
      <c r="W2252" s="564">
        <f>IF((N2252-MAX(N$470:N2252))/MAX(N$470:N2252)&gt;W2251,W2251,(N2252-MAX(N$470:N2252))/MAX(N$470:N2252))</f>
        <v>-0.62788758315546067</v>
      </c>
      <c r="X2252" s="564">
        <f>IF((O2252-MAX(O$470:O2252))/MAX(O$470:O2252)&gt;X2251,X2251,(O2252-MAX(O$470:O2252))/MAX(O$470:O2252))</f>
        <v>-0.62788758315546067</v>
      </c>
    </row>
    <row r="2253" spans="1:24">
      <c r="A2253" s="799">
        <v>42655</v>
      </c>
      <c r="B2253">
        <v>640.19000000000005</v>
      </c>
      <c r="C2253">
        <v>4137.4571749999996</v>
      </c>
      <c r="D2253">
        <v>1.6916530000000001</v>
      </c>
      <c r="E2253">
        <f>LN(D2253/参数实验室!$E$53)/参数实验室!$E$55</f>
        <v>-7.2764749344878421E-2</v>
      </c>
      <c r="F2253">
        <f t="shared" si="298"/>
        <v>6.4628581749168204</v>
      </c>
      <c r="G2253">
        <f>LN(F2253/参数实验室!$E$58)/参数实验室!$E$59</f>
        <v>0.78888523176618719</v>
      </c>
      <c r="H2253" s="856">
        <f>INDEX(神经网络!$G$10:$BO$70,MATCH(ROUND(G2253*2,1)/2,神经网络!$E$10:$E$70,0),MATCH(ROUND(E2253*2,1)/2,神经网络!$G$8:$BO$8,0))</f>
        <v>1.493238880812757</v>
      </c>
      <c r="I2253">
        <f t="shared" si="290"/>
        <v>857.28920053438526</v>
      </c>
      <c r="J2253">
        <f t="shared" si="291"/>
        <v>255.45269542316706</v>
      </c>
      <c r="K2253">
        <f t="shared" si="292"/>
        <v>3.3559606764542189</v>
      </c>
      <c r="L2253" s="4">
        <f>MIN(MAX(L2252*(1+MAX(MIN(((B2253-B2252)/B2252)/($K$7*卓尔金历!$N$40),0),-卓尔金历!$M$43))+MIN(MAX(((B2253-B2252)/B2252)/($K$7*卓尔金历!$N$40),0),卓尔金历!$M$43),0),1)</f>
        <v>1</v>
      </c>
      <c r="M2253" s="4">
        <f>MIN(MAX(M2252*(1+MAX(MIN(((B2253-B2252)/B2252)/($K$7*30),0),-卓尔金历!$M$43))+MIN(MAX(((B2253-B2252)/B2252)/($K$7*7),0),卓尔金历!$M$43),0),1)</f>
        <v>1</v>
      </c>
      <c r="N2253">
        <f t="shared" si="293"/>
        <v>727.52949103050571</v>
      </c>
      <c r="O2253">
        <f t="shared" si="294"/>
        <v>1803.376874779688</v>
      </c>
      <c r="P2253">
        <f t="shared" si="295"/>
        <v>9.4656623361879747E-3</v>
      </c>
      <c r="Q2253">
        <f t="shared" si="296"/>
        <v>6.4020831951816012E-3</v>
      </c>
      <c r="R2253">
        <f t="shared" si="297"/>
        <v>4.6148278410921171E-3</v>
      </c>
      <c r="S2253">
        <f t="shared" si="289"/>
        <v>17.297424121394933</v>
      </c>
      <c r="T2253" s="564">
        <f>IF((I2253-MAX(I$470:I2253))/MAX(I$470:I2253)&gt;T2252,T2252,(I2253-MAX(I$470:I2253))/MAX(I$470:I2253))</f>
        <v>-0.91338805338419748</v>
      </c>
      <c r="U2253" s="564">
        <f>IF((J2253-MAX(J$470:J2253))/MAX(J$470:J2253)&gt;U2252,U2252,(J2253-MAX(J$470:J2253))/MAX(J$470:J2253))</f>
        <v>-0.8283551177402233</v>
      </c>
      <c r="V2253" s="564">
        <f>IF((K2253-MAX(K$470:K2253))/MAX(K$470:K2253)&gt;V2252,V2252,(K2253-MAX(K$470:K2253))/MAX(K$470:K2253))</f>
        <v>-0.84885940676762139</v>
      </c>
      <c r="W2253" s="564">
        <f>IF((N2253-MAX(N$470:N2253))/MAX(N$470:N2253)&gt;W2252,W2252,(N2253-MAX(N$470:N2253))/MAX(N$470:N2253))</f>
        <v>-0.62788758315546067</v>
      </c>
      <c r="X2253" s="564">
        <f>IF((O2253-MAX(O$470:O2253))/MAX(O$470:O2253)&gt;X2252,X2252,(O2253-MAX(O$470:O2253))/MAX(O$470:O2253))</f>
        <v>-0.62788758315546067</v>
      </c>
    </row>
    <row r="2254" spans="1:24">
      <c r="A2254" s="799">
        <v>42656</v>
      </c>
      <c r="B2254">
        <v>637.36500000000001</v>
      </c>
      <c r="C2254">
        <v>4241.0324460000002</v>
      </c>
      <c r="D2254">
        <v>1.687703</v>
      </c>
      <c r="E2254">
        <f>LN(D2254/参数实验室!$E$53)/参数实验室!$E$55</f>
        <v>-7.5522687505833574E-2</v>
      </c>
      <c r="F2254">
        <f t="shared" si="298"/>
        <v>6.6540089995528469</v>
      </c>
      <c r="G2254">
        <f>LN(F2254/参数实验室!$E$58)/参数实验室!$E$59</f>
        <v>0.80418360824579183</v>
      </c>
      <c r="H2254" s="856">
        <f>INDEX(神经网络!$G$10:$BO$70,MATCH(ROUND(G2254*2,1)/2,神经网络!$E$10:$E$70,0),MATCH(ROUND(E2254*2,1)/2,神经网络!$G$8:$BO$8,0))</f>
        <v>1.3993509687588066</v>
      </c>
      <c r="I2254">
        <f t="shared" si="290"/>
        <v>851.64027033412094</v>
      </c>
      <c r="J2254">
        <f t="shared" si="291"/>
        <v>254.32544591197433</v>
      </c>
      <c r="K2254">
        <f t="shared" si="292"/>
        <v>3.3486239148436834</v>
      </c>
      <c r="L2254" s="4">
        <f>MIN(MAX(L2253*(1+MAX(MIN(((B2254-B2253)/B2253)/($K$7*卓尔金历!$N$40),0),-卓尔金历!$M$43))+MIN(MAX(((B2254-B2253)/B2253)/($K$7*卓尔金历!$N$40),0),卓尔金历!$M$43),0),1)</f>
        <v>0.93257737695012244</v>
      </c>
      <c r="M2254" s="4">
        <f>MIN(MAX(M2253*(1+MAX(MIN(((B2254-B2253)/B2253)/($K$7*30),0),-卓尔金历!$M$43))+MIN(MAX(((B2254-B2253)/B2253)/($K$7*7),0),卓尔金历!$M$43),0),1)</f>
        <v>0.96628868847506122</v>
      </c>
      <c r="N2254">
        <f t="shared" si="293"/>
        <v>722.73558564723089</v>
      </c>
      <c r="O2254">
        <f t="shared" si="294"/>
        <v>1791.4938951690137</v>
      </c>
      <c r="P2254">
        <f t="shared" si="295"/>
        <v>-4.4127524641122875E-3</v>
      </c>
      <c r="Q2254">
        <f t="shared" si="296"/>
        <v>6.505388955139706E-3</v>
      </c>
      <c r="R2254">
        <f t="shared" si="297"/>
        <v>0.39701920540907226</v>
      </c>
      <c r="S2254">
        <f t="shared" si="289"/>
        <v>17.296898133446188</v>
      </c>
      <c r="T2254" s="564">
        <f>IF((I2254-MAX(I$470:I2254))/MAX(I$470:I2254)&gt;T2253,T2253,(I2254-MAX(I$470:I2254))/MAX(I$470:I2254))</f>
        <v>-0.91338805338419748</v>
      </c>
      <c r="U2254" s="564">
        <f>IF((J2254-MAX(J$470:J2254))/MAX(J$470:J2254)&gt;U2253,U2253,(J2254-MAX(J$470:J2254))/MAX(J$470:J2254))</f>
        <v>-0.8283551177402233</v>
      </c>
      <c r="V2254" s="564">
        <f>IF((K2254-MAX(K$470:K2254))/MAX(K$470:K2254)&gt;V2253,V2253,(K2254-MAX(K$470:K2254))/MAX(K$470:K2254))</f>
        <v>-0.84885940676762139</v>
      </c>
      <c r="W2254" s="564">
        <f>IF((N2254-MAX(N$470:N2254))/MAX(N$470:N2254)&gt;W2253,W2253,(N2254-MAX(N$470:N2254))/MAX(N$470:N2254))</f>
        <v>-0.62788758315546067</v>
      </c>
      <c r="X2254" s="564">
        <f>IF((O2254-MAX(O$470:O2254))/MAX(O$470:O2254)&gt;X2253,X2253,(O2254-MAX(O$470:O2254))/MAX(O$470:O2254))</f>
        <v>-0.62788758315546067</v>
      </c>
    </row>
    <row r="2255" spans="1:24">
      <c r="A2255" s="799">
        <v>42657</v>
      </c>
      <c r="B2255">
        <v>639.15599999999995</v>
      </c>
      <c r="C2255">
        <v>4299.1732030000003</v>
      </c>
      <c r="D2255">
        <v>1.697649</v>
      </c>
      <c r="E2255">
        <f>LN(D2255/参数实验室!$E$53)/参数实验室!$E$55</f>
        <v>-6.859055192576631E-2</v>
      </c>
      <c r="F2255">
        <f t="shared" si="298"/>
        <v>6.7263284753643875</v>
      </c>
      <c r="G2255">
        <f>LN(F2255/参数实验室!$E$58)/参数实验室!$E$59</f>
        <v>0.80985723777349761</v>
      </c>
      <c r="H2255" s="856">
        <f>INDEX(神经网络!$G$10:$BO$70,MATCH(ROUND(G2255*2,1)/2,神经网络!$E$10:$E$70,0),MATCH(ROUND(E2255*2,1)/2,神经网络!$G$8:$BO$8,0))</f>
        <v>1.493238880812757</v>
      </c>
      <c r="I2255">
        <f t="shared" si="290"/>
        <v>854.98907808862714</v>
      </c>
      <c r="J2255">
        <f t="shared" si="291"/>
        <v>255.04010215075166</v>
      </c>
      <c r="K2255">
        <f t="shared" si="292"/>
        <v>3.3523711403756087</v>
      </c>
      <c r="L2255" s="4">
        <f>MIN(MAX(L2254*(1+MAX(MIN(((B2255-B2254)/B2254)/($K$7*卓尔金历!$N$40),0),-卓尔金历!$M$43))+MIN(MAX(((B2255-B2254)/B2254)/($K$7*卓尔金历!$N$40),0),卓尔金历!$M$43),0),1)</f>
        <v>0.97551158467390864</v>
      </c>
      <c r="M2255" s="4">
        <f>MIN(MAX(M2254*(1+MAX(MIN(((B2255-B2254)/B2254)/($K$7*30),0),-卓尔金历!$M$43))+MIN(MAX(((B2255-B2254)/B2254)/($K$7*7),0),卓尔金历!$M$43),0),1)</f>
        <v>1</v>
      </c>
      <c r="N2255">
        <f t="shared" si="293"/>
        <v>725.38590581984681</v>
      </c>
      <c r="O2255">
        <f t="shared" si="294"/>
        <v>1798.3009030862918</v>
      </c>
      <c r="P2255">
        <f t="shared" si="295"/>
        <v>2.8100068249746063E-3</v>
      </c>
      <c r="Q2255">
        <f t="shared" si="296"/>
        <v>6.5057207650635399E-3</v>
      </c>
      <c r="R2255">
        <f t="shared" si="297"/>
        <v>0.85146162579379869</v>
      </c>
      <c r="S2255">
        <f t="shared" si="289"/>
        <v>17.323901242545663</v>
      </c>
      <c r="T2255" s="564">
        <f>IF((I2255-MAX(I$470:I2255))/MAX(I$470:I2255)&gt;T2254,T2254,(I2255-MAX(I$470:I2255))/MAX(I$470:I2255))</f>
        <v>-0.91338805338419748</v>
      </c>
      <c r="U2255" s="564">
        <f>IF((J2255-MAX(J$470:J2255))/MAX(J$470:J2255)&gt;U2254,U2254,(J2255-MAX(J$470:J2255))/MAX(J$470:J2255))</f>
        <v>-0.8283551177402233</v>
      </c>
      <c r="V2255" s="564">
        <f>IF((K2255-MAX(K$470:K2255))/MAX(K$470:K2255)&gt;V2254,V2254,(K2255-MAX(K$470:K2255))/MAX(K$470:K2255))</f>
        <v>-0.84885940676762139</v>
      </c>
      <c r="W2255" s="564">
        <f>IF((N2255-MAX(N$470:N2255))/MAX(N$470:N2255)&gt;W2254,W2254,(N2255-MAX(N$470:N2255))/MAX(N$470:N2255))</f>
        <v>-0.62788758315546067</v>
      </c>
      <c r="X2255" s="564">
        <f>IF((O2255-MAX(O$470:O2255))/MAX(O$470:O2255)&gt;X2254,X2254,(O2255-MAX(O$470:O2255))/MAX(O$470:O2255))</f>
        <v>-0.62788758315546067</v>
      </c>
    </row>
    <row r="2256" spans="1:24">
      <c r="A2256" s="799">
        <v>42658</v>
      </c>
      <c r="B2256">
        <v>641.93200000000002</v>
      </c>
      <c r="C2256">
        <v>4335.2196720000002</v>
      </c>
      <c r="D2256">
        <v>1.6909700000000001</v>
      </c>
      <c r="E2256">
        <f>LN(D2256/参数实验室!$E$53)/参数实验室!$E$55</f>
        <v>-7.3241167483455119E-2</v>
      </c>
      <c r="F2256">
        <f t="shared" si="298"/>
        <v>6.7533939295750951</v>
      </c>
      <c r="G2256">
        <f>LN(F2256/参数实验室!$E$58)/参数实验室!$E$59</f>
        <v>0.81196491206135535</v>
      </c>
      <c r="H2256" s="856">
        <f>INDEX(神经网络!$G$10:$BO$70,MATCH(ROUND(G2256*2,1)/2,神经网络!$E$10:$E$70,0),MATCH(ROUND(E2256*2,1)/2,神经网络!$G$8:$BO$8,0))</f>
        <v>1.493238880812757</v>
      </c>
      <c r="I2256">
        <f t="shared" si="290"/>
        <v>860.53408954902875</v>
      </c>
      <c r="J2256">
        <f t="shared" si="291"/>
        <v>256.14779936953789</v>
      </c>
      <c r="K2256">
        <f t="shared" si="292"/>
        <v>3.3595216967199399</v>
      </c>
      <c r="L2256" s="4">
        <f>MIN(MAX(L2255*(1+MAX(MIN(((B2256-B2255)/B2255)/($K$7*卓尔金历!$N$40),0),-卓尔金历!$M$43))+MIN(MAX(((B2256-B2255)/B2255)/($K$7*卓尔金历!$N$40),0),卓尔金历!$M$43),0),1)</f>
        <v>1</v>
      </c>
      <c r="M2256" s="4">
        <f>MIN(MAX(M2255*(1+MAX(MIN(((B2256-B2255)/B2255)/($K$7*30),0),-卓尔金历!$M$43))+MIN(MAX(((B2256-B2255)/B2255)/($K$7*7),0),卓尔金历!$M$43),0),1)</f>
        <v>1</v>
      </c>
      <c r="N2256">
        <f t="shared" si="293"/>
        <v>729.97517387697269</v>
      </c>
      <c r="O2256">
        <f t="shared" si="294"/>
        <v>1809.9637410948851</v>
      </c>
      <c r="P2256">
        <f t="shared" si="295"/>
        <v>4.3432276314390658E-3</v>
      </c>
      <c r="Q2256">
        <f t="shared" si="296"/>
        <v>6.4401562235338432E-3</v>
      </c>
      <c r="R2256">
        <f t="shared" si="297"/>
        <v>0.40300358463210478</v>
      </c>
      <c r="S2256">
        <f t="shared" si="289"/>
        <v>17.419566150973761</v>
      </c>
      <c r="T2256" s="564">
        <f>IF((I2256-MAX(I$470:I2256))/MAX(I$470:I2256)&gt;T2255,T2255,(I2256-MAX(I$470:I2256))/MAX(I$470:I2256))</f>
        <v>-0.91338805338419748</v>
      </c>
      <c r="U2256" s="564">
        <f>IF((J2256-MAX(J$470:J2256))/MAX(J$470:J2256)&gt;U2255,U2255,(J2256-MAX(J$470:J2256))/MAX(J$470:J2256))</f>
        <v>-0.8283551177402233</v>
      </c>
      <c r="V2256" s="564">
        <f>IF((K2256-MAX(K$470:K2256))/MAX(K$470:K2256)&gt;V2255,V2255,(K2256-MAX(K$470:K2256))/MAX(K$470:K2256))</f>
        <v>-0.84885940676762139</v>
      </c>
      <c r="W2256" s="564">
        <f>IF((N2256-MAX(N$470:N2256))/MAX(N$470:N2256)&gt;W2255,W2255,(N2256-MAX(N$470:N2256))/MAX(N$470:N2256))</f>
        <v>-0.62788758315546067</v>
      </c>
      <c r="X2256" s="564">
        <f>IF((O2256-MAX(O$470:O2256))/MAX(O$470:O2256)&gt;X2255,X2255,(O2256-MAX(O$470:O2256))/MAX(O$470:O2256))</f>
        <v>-0.62788758315546067</v>
      </c>
    </row>
    <row r="2257" spans="1:24">
      <c r="A2257" s="799">
        <v>42659</v>
      </c>
      <c r="B2257">
        <v>642.35799999999995</v>
      </c>
      <c r="C2257">
        <v>4362.7711669999999</v>
      </c>
      <c r="D2257">
        <v>1.7048589999999999</v>
      </c>
      <c r="E2257">
        <f>LN(D2257/参数实验室!$E$53)/参数实验室!$E$55</f>
        <v>-6.3590690870033051E-2</v>
      </c>
      <c r="F2257">
        <f t="shared" si="298"/>
        <v>6.7918063867812037</v>
      </c>
      <c r="G2257">
        <f>LN(F2257/参数实验室!$E$58)/参数实验室!$E$59</f>
        <v>0.81494175803551694</v>
      </c>
      <c r="H2257" s="856">
        <f>INDEX(神经网络!$G$10:$BO$70,MATCH(ROUND(G2257*2,1)/2,神经网络!$E$10:$E$70,0),MATCH(ROUND(E2257*2,1)/2,神经网络!$G$8:$BO$8,0))</f>
        <v>1.493238880812757</v>
      </c>
      <c r="I2257">
        <f t="shared" si="290"/>
        <v>861.38683211567434</v>
      </c>
      <c r="J2257">
        <f t="shared" si="291"/>
        <v>256.31778460556194</v>
      </c>
      <c r="K2257">
        <f t="shared" si="292"/>
        <v>3.3606206196001227</v>
      </c>
      <c r="L2257" s="4">
        <f>MIN(MAX(L2256*(1+MAX(MIN(((B2257-B2256)/B2256)/($K$7*卓尔金历!$N$40),0),-卓尔金历!$M$43))+MIN(MAX(((B2257-B2256)/B2256)/($K$7*卓尔金历!$N$40),0),卓尔金历!$M$43),0),1)</f>
        <v>1</v>
      </c>
      <c r="M2257" s="4">
        <f>MIN(MAX(M2256*(1+MAX(MIN(((B2257-B2256)/B2256)/($K$7*30),0),-卓尔金历!$M$43))+MIN(MAX(((B2257-B2256)/B2256)/($K$7*7),0),卓尔金历!$M$43),0),1)</f>
        <v>1</v>
      </c>
      <c r="N2257">
        <f t="shared" si="293"/>
        <v>730.69853964588208</v>
      </c>
      <c r="O2257">
        <f t="shared" si="294"/>
        <v>1811.7573169042125</v>
      </c>
      <c r="P2257">
        <f t="shared" si="295"/>
        <v>6.6362169201711536E-4</v>
      </c>
      <c r="Q2257">
        <f t="shared" si="296"/>
        <v>6.4019346997050775E-3</v>
      </c>
      <c r="R2257">
        <f t="shared" si="297"/>
        <v>1</v>
      </c>
      <c r="S2257">
        <f t="shared" si="289"/>
        <v>17.426522736141862</v>
      </c>
      <c r="T2257" s="564">
        <f>IF((I2257-MAX(I$470:I2257))/MAX(I$470:I2257)&gt;T2256,T2256,(I2257-MAX(I$470:I2257))/MAX(I$470:I2257))</f>
        <v>-0.91338805338419748</v>
      </c>
      <c r="U2257" s="564">
        <f>IF((J2257-MAX(J$470:J2257))/MAX(J$470:J2257)&gt;U2256,U2256,(J2257-MAX(J$470:J2257))/MAX(J$470:J2257))</f>
        <v>-0.8283551177402233</v>
      </c>
      <c r="V2257" s="564">
        <f>IF((K2257-MAX(K$470:K2257))/MAX(K$470:K2257)&gt;V2256,V2256,(K2257-MAX(K$470:K2257))/MAX(K$470:K2257))</f>
        <v>-0.84885940676762139</v>
      </c>
      <c r="W2257" s="564">
        <f>IF((N2257-MAX(N$470:N2257))/MAX(N$470:N2257)&gt;W2256,W2256,(N2257-MAX(N$470:N2257))/MAX(N$470:N2257))</f>
        <v>-0.62788758315546067</v>
      </c>
      <c r="X2257" s="564">
        <f>IF((O2257-MAX(O$470:O2257))/MAX(O$470:O2257)&gt;X2256,X2256,(O2257-MAX(O$470:O2257))/MAX(O$470:O2257))</f>
        <v>-0.62788758315546067</v>
      </c>
    </row>
    <row r="2258" spans="1:24">
      <c r="A2258" s="799">
        <v>42660</v>
      </c>
      <c r="B2258">
        <v>639.61900000000003</v>
      </c>
      <c r="C2258">
        <v>4476.873141</v>
      </c>
      <c r="D2258">
        <v>1.69214</v>
      </c>
      <c r="E2258">
        <f>LN(D2258/参数实验室!$E$53)/参数实验室!$E$55</f>
        <v>-7.2425166022978285E-2</v>
      </c>
      <c r="F2258">
        <f t="shared" si="298"/>
        <v>6.9992810423079987</v>
      </c>
      <c r="G2258">
        <f>LN(F2258/参数实验室!$E$58)/参数实验室!$E$59</f>
        <v>0.83073487494737008</v>
      </c>
      <c r="H2258" s="856">
        <f>INDEX(神经网络!$G$10:$BO$70,MATCH(ROUND(G2258*2,1)/2,神经网络!$E$10:$E$70,0),MATCH(ROUND(E2258*2,1)/2,神经网络!$G$8:$BO$8,0))</f>
        <v>1.512507021809582</v>
      </c>
      <c r="I2258">
        <f t="shared" si="290"/>
        <v>855.90226427232005</v>
      </c>
      <c r="J2258">
        <f t="shared" si="291"/>
        <v>255.22485136267463</v>
      </c>
      <c r="K2258">
        <f t="shared" si="292"/>
        <v>3.3535224320929569</v>
      </c>
      <c r="L2258" s="4">
        <f>MIN(MAX(L2257*(1+MAX(MIN(((B2258-B2257)/B2257)/($K$7*卓尔金历!$N$40),0),-卓尔金历!$M$43))+MIN(MAX(((B2258-B2257)/B2257)/($K$7*卓尔金历!$N$40),0),卓尔金历!$M$43),0),1)</f>
        <v>0.93485051703516509</v>
      </c>
      <c r="M2258" s="4">
        <f>MIN(MAX(M2257*(1+MAX(MIN(((B2258-B2257)/B2257)/($K$7*30),0),-卓尔金历!$M$43))+MIN(MAX(((B2258-B2257)/B2257)/($K$7*7),0),卓尔金历!$M$43),0),1)</f>
        <v>0.96742525851758254</v>
      </c>
      <c r="N2258">
        <f t="shared" si="293"/>
        <v>726.04608204575288</v>
      </c>
      <c r="O2258">
        <f t="shared" si="294"/>
        <v>1800.2216101232661</v>
      </c>
      <c r="P2258">
        <f t="shared" si="295"/>
        <v>-4.2639774082364025E-3</v>
      </c>
      <c r="Q2258">
        <f t="shared" si="296"/>
        <v>6.5653266632192536E-3</v>
      </c>
      <c r="R2258">
        <f t="shared" si="297"/>
        <v>0.44076488514393608</v>
      </c>
      <c r="S2258">
        <f t="shared" si="289"/>
        <v>17.31556568101092</v>
      </c>
      <c r="T2258" s="564">
        <f>IF((I2258-MAX(I$470:I2258))/MAX(I$470:I2258)&gt;T2257,T2257,(I2258-MAX(I$470:I2258))/MAX(I$470:I2258))</f>
        <v>-0.91338805338419748</v>
      </c>
      <c r="U2258" s="564">
        <f>IF((J2258-MAX(J$470:J2258))/MAX(J$470:J2258)&gt;U2257,U2257,(J2258-MAX(J$470:J2258))/MAX(J$470:J2258))</f>
        <v>-0.8283551177402233</v>
      </c>
      <c r="V2258" s="564">
        <f>IF((K2258-MAX(K$470:K2258))/MAX(K$470:K2258)&gt;V2257,V2257,(K2258-MAX(K$470:K2258))/MAX(K$470:K2258))</f>
        <v>-0.84885940676762139</v>
      </c>
      <c r="W2258" s="564">
        <f>IF((N2258-MAX(N$470:N2258))/MAX(N$470:N2258)&gt;W2257,W2257,(N2258-MAX(N$470:N2258))/MAX(N$470:N2258))</f>
        <v>-0.62788758315546067</v>
      </c>
      <c r="X2258" s="564">
        <f>IF((O2258-MAX(O$470:O2258))/MAX(O$470:O2258)&gt;X2257,X2257,(O2258-MAX(O$470:O2258))/MAX(O$470:O2258))</f>
        <v>-0.62788758315546067</v>
      </c>
    </row>
    <row r="2259" spans="1:24">
      <c r="A2259" s="799">
        <v>42661</v>
      </c>
      <c r="B2259">
        <v>639.74099999999999</v>
      </c>
      <c r="C2259">
        <v>4448.5647779999999</v>
      </c>
      <c r="D2259">
        <v>1.6808920000000001</v>
      </c>
      <c r="E2259">
        <f>LN(D2259/参数实验室!$E$53)/参数实验室!$E$55</f>
        <v>-8.0293406630270223E-2</v>
      </c>
      <c r="F2259">
        <f t="shared" si="298"/>
        <v>6.9536965396934072</v>
      </c>
      <c r="G2259">
        <f>LN(F2259/参数实验室!$E$58)/参数实验室!$E$59</f>
        <v>0.82730545703570713</v>
      </c>
      <c r="H2259" s="856">
        <f>INDEX(神经网络!$G$10:$BO$70,MATCH(ROUND(G2259*2,1)/2,神经网络!$E$10:$E$70,0),MATCH(ROUND(E2259*2,1)/2,神经网络!$G$8:$BO$8,0))</f>
        <v>1.4186657341838287</v>
      </c>
      <c r="I2259">
        <f t="shared" si="290"/>
        <v>856.14918642211967</v>
      </c>
      <c r="J2259">
        <f t="shared" si="291"/>
        <v>255.27353258050312</v>
      </c>
      <c r="K2259">
        <f t="shared" si="292"/>
        <v>3.3538501926443325</v>
      </c>
      <c r="L2259" s="4">
        <f>MIN(MAX(L2258*(1+MAX(MIN(((B2259-B2258)/B2258)/($K$7*卓尔金历!$N$40),0),-卓尔金历!$M$43))+MIN(MAX(((B2259-B2258)/B2258)/($K$7*卓尔金历!$N$40),0),卓尔金历!$M$43),0),1)</f>
        <v>0.93776481902644027</v>
      </c>
      <c r="M2259" s="4">
        <f>MIN(MAX(M2258*(1+MAX(MIN(((B2259-B2258)/B2258)/($K$7*30),0),-卓尔金历!$M$43))+MIN(MAX(((B2259-B2258)/B2258)/($K$7*7),0),卓尔金历!$M$43),0),1)</f>
        <v>0.97367019135602939</v>
      </c>
      <c r="N2259">
        <f t="shared" si="293"/>
        <v>726.24189536665256</v>
      </c>
      <c r="O2259">
        <f t="shared" si="294"/>
        <v>1800.7240444083254</v>
      </c>
      <c r="P2259">
        <f t="shared" si="295"/>
        <v>1.9073854904241001E-4</v>
      </c>
      <c r="Q2259">
        <f t="shared" si="296"/>
        <v>6.5823710234163809E-3</v>
      </c>
      <c r="R2259">
        <f t="shared" si="297"/>
        <v>1</v>
      </c>
      <c r="S2259">
        <f t="shared" si="289"/>
        <v>17.317767489521501</v>
      </c>
      <c r="T2259" s="564">
        <f>IF((I2259-MAX(I$470:I2259))/MAX(I$470:I2259)&gt;T2258,T2258,(I2259-MAX(I$470:I2259))/MAX(I$470:I2259))</f>
        <v>-0.91338805338419748</v>
      </c>
      <c r="U2259" s="564">
        <f>IF((J2259-MAX(J$470:J2259))/MAX(J$470:J2259)&gt;U2258,U2258,(J2259-MAX(J$470:J2259))/MAX(J$470:J2259))</f>
        <v>-0.8283551177402233</v>
      </c>
      <c r="V2259" s="564">
        <f>IF((K2259-MAX(K$470:K2259))/MAX(K$470:K2259)&gt;V2258,V2258,(K2259-MAX(K$470:K2259))/MAX(K$470:K2259))</f>
        <v>-0.84885940676762139</v>
      </c>
      <c r="W2259" s="564">
        <f>IF((N2259-MAX(N$470:N2259))/MAX(N$470:N2259)&gt;W2258,W2258,(N2259-MAX(N$470:N2259))/MAX(N$470:N2259))</f>
        <v>-0.62788758315546067</v>
      </c>
      <c r="X2259" s="564">
        <f>IF((O2259-MAX(O$470:O2259))/MAX(O$470:O2259)&gt;X2258,X2258,(O2259-MAX(O$470:O2259))/MAX(O$470:O2259))</f>
        <v>-0.62788758315546067</v>
      </c>
    </row>
    <row r="2260" spans="1:24">
      <c r="A2260" s="799">
        <v>42662</v>
      </c>
      <c r="B2260">
        <v>638.15099999999995</v>
      </c>
      <c r="C2260">
        <v>4473.9877619999997</v>
      </c>
      <c r="D2260">
        <v>1.6645220000000001</v>
      </c>
      <c r="E2260">
        <f>LN(D2260/参数实验室!$E$53)/参数实验室!$E$55</f>
        <v>-9.1839191245476667E-2</v>
      </c>
      <c r="F2260">
        <f t="shared" si="298"/>
        <v>7.0108606928454238</v>
      </c>
      <c r="G2260">
        <f>LN(F2260/参数实验室!$E$58)/参数实验室!$E$59</f>
        <v>0.83160247898748252</v>
      </c>
      <c r="H2260" s="856">
        <f>INDEX(神经网络!$G$10:$BO$70,MATCH(ROUND(G2260*2,1)/2,神经网络!$E$10:$E$70,0),MATCH(ROUND(E2260*2,1)/2,神经网络!$G$8:$BO$8,0))</f>
        <v>1.4186657341838287</v>
      </c>
      <c r="I2260">
        <f t="shared" si="290"/>
        <v>853.13046896073911</v>
      </c>
      <c r="J2260">
        <f t="shared" si="291"/>
        <v>254.63908064323005</v>
      </c>
      <c r="K2260">
        <f t="shared" si="292"/>
        <v>3.3503516695304283</v>
      </c>
      <c r="L2260" s="4">
        <f>MIN(MAX(L2259*(1+MAX(MIN(((B2260-B2259)/B2259)/($K$7*卓尔金历!$N$40),0),-卓尔金历!$M$43))+MIN(MAX(((B2260-B2259)/B2259)/($K$7*卓尔金历!$N$40),0),卓尔金历!$M$43),0),1)</f>
        <v>0.90215391870686634</v>
      </c>
      <c r="M2260" s="4">
        <f>MIN(MAX(M2259*(1+MAX(MIN(((B2260-B2259)/B2259)/($K$7*30),0),-卓尔金历!$M$43))+MIN(MAX(((B2260-B2259)/B2259)/($K$7*7),0),卓尔金历!$M$43),0),1)</f>
        <v>0.9551830016976901</v>
      </c>
      <c r="N2260">
        <f t="shared" si="293"/>
        <v>723.84058523522833</v>
      </c>
      <c r="O2260">
        <f t="shared" si="294"/>
        <v>1794.5420009097782</v>
      </c>
      <c r="P2260">
        <f t="shared" si="295"/>
        <v>-2.485380802543579E-3</v>
      </c>
      <c r="Q2260">
        <f t="shared" si="296"/>
        <v>6.5917476136435112E-3</v>
      </c>
      <c r="R2260">
        <f t="shared" si="297"/>
        <v>0.98839538396126503</v>
      </c>
      <c r="S2260">
        <f t="shared" si="289"/>
        <v>17.256706347442726</v>
      </c>
      <c r="T2260" s="564">
        <f>IF((I2260-MAX(I$470:I2260))/MAX(I$470:I2260)&gt;T2259,T2259,(I2260-MAX(I$470:I2260))/MAX(I$470:I2260))</f>
        <v>-0.91338805338419748</v>
      </c>
      <c r="U2260" s="564">
        <f>IF((J2260-MAX(J$470:J2260))/MAX(J$470:J2260)&gt;U2259,U2259,(J2260-MAX(J$470:J2260))/MAX(J$470:J2260))</f>
        <v>-0.8283551177402233</v>
      </c>
      <c r="V2260" s="564">
        <f>IF((K2260-MAX(K$470:K2260))/MAX(K$470:K2260)&gt;V2259,V2259,(K2260-MAX(K$470:K2260))/MAX(K$470:K2260))</f>
        <v>-0.84885940676762139</v>
      </c>
      <c r="W2260" s="564">
        <f>IF((N2260-MAX(N$470:N2260))/MAX(N$470:N2260)&gt;W2259,W2259,(N2260-MAX(N$470:N2260))/MAX(N$470:N2260))</f>
        <v>-0.62788758315546067</v>
      </c>
      <c r="X2260" s="564">
        <f>IF((O2260-MAX(O$470:O2260))/MAX(O$470:O2260)&gt;X2259,X2259,(O2260-MAX(O$470:O2260))/MAX(O$470:O2260))</f>
        <v>-0.62788758315546067</v>
      </c>
    </row>
    <row r="2261" spans="1:24">
      <c r="A2261" s="799">
        <v>42663</v>
      </c>
      <c r="B2261">
        <v>631.38599999999997</v>
      </c>
      <c r="C2261">
        <v>4527.1444320000001</v>
      </c>
      <c r="D2261">
        <v>1.6612659999999999</v>
      </c>
      <c r="E2261">
        <f>LN(D2261/参数实验室!$E$53)/参数实验室!$E$55</f>
        <v>-9.4149186825247339E-2</v>
      </c>
      <c r="F2261">
        <f t="shared" si="298"/>
        <v>7.1701691706816435</v>
      </c>
      <c r="G2261">
        <f>LN(F2261/参数实验室!$E$58)/参数实验室!$E$59</f>
        <v>0.84339530604355384</v>
      </c>
      <c r="H2261" s="856">
        <f>INDEX(神经网络!$G$10:$BO$70,MATCH(ROUND(G2261*2,1)/2,神经网络!$E$10:$E$70,0),MATCH(ROUND(E2261*2,1)/2,神经网络!$G$8:$BO$8,0))</f>
        <v>1.4186657341838287</v>
      </c>
      <c r="I2261">
        <f t="shared" si="290"/>
        <v>840.30007833941227</v>
      </c>
      <c r="J2261">
        <f t="shared" si="291"/>
        <v>251.93966721200223</v>
      </c>
      <c r="K2261">
        <f t="shared" si="292"/>
        <v>3.3353226494195392</v>
      </c>
      <c r="L2261" s="4">
        <f>MIN(MAX(L2260*(1+MAX(MIN(((B2261-B2260)/B2260)/($K$7*卓尔金历!$N$40),0),-卓尔金历!$M$43))+MIN(MAX(((B2261-B2260)/B2260)/($K$7*卓尔金历!$N$40),0),卓尔金历!$M$43),0),1)</f>
        <v>0.75603008253920201</v>
      </c>
      <c r="M2261" s="4">
        <f>MIN(MAX(M2260*(1+MAX(MIN(((B2261-B2260)/B2260)/($K$7*30),0),-卓尔金历!$M$43))+MIN(MAX(((B2261-B2260)/B2260)/($K$7*7),0),卓尔金历!$M$43),0),1)</f>
        <v>0.87782646554791877</v>
      </c>
      <c r="N2261">
        <f t="shared" si="293"/>
        <v>714.01975970204956</v>
      </c>
      <c r="O2261">
        <f t="shared" si="294"/>
        <v>1768.7630856744374</v>
      </c>
      <c r="P2261">
        <f t="shared" si="295"/>
        <v>-1.0600939276127416E-2</v>
      </c>
      <c r="Q2261">
        <f t="shared" si="296"/>
        <v>7.1525659898839687E-3</v>
      </c>
      <c r="R2261">
        <f t="shared" si="297"/>
        <v>3.9980832135647956E-3</v>
      </c>
      <c r="S2261">
        <f t="shared" si="289"/>
        <v>17.000191183686628</v>
      </c>
      <c r="T2261" s="564">
        <f>IF((I2261-MAX(I$470:I2261))/MAX(I$470:I2261)&gt;T2260,T2260,(I2261-MAX(I$470:I2261))/MAX(I$470:I2261))</f>
        <v>-0.91338805338419748</v>
      </c>
      <c r="U2261" s="564">
        <f>IF((J2261-MAX(J$470:J2261))/MAX(J$470:J2261)&gt;U2260,U2260,(J2261-MAX(J$470:J2261))/MAX(J$470:J2261))</f>
        <v>-0.8283551177402233</v>
      </c>
      <c r="V2261" s="564">
        <f>IF((K2261-MAX(K$470:K2261))/MAX(K$470:K2261)&gt;V2260,V2260,(K2261-MAX(K$470:K2261))/MAX(K$470:K2261))</f>
        <v>-0.84885940676762139</v>
      </c>
      <c r="W2261" s="564">
        <f>IF((N2261-MAX(N$470:N2261))/MAX(N$470:N2261)&gt;W2260,W2260,(N2261-MAX(N$470:N2261))/MAX(N$470:N2261))</f>
        <v>-0.62788758315546067</v>
      </c>
      <c r="X2261" s="564">
        <f>IF((O2261-MAX(O$470:O2261))/MAX(O$470:O2261)&gt;X2260,X2260,(O2261-MAX(O$470:O2261))/MAX(O$470:O2261))</f>
        <v>-0.62788758315546067</v>
      </c>
    </row>
    <row r="2262" spans="1:24">
      <c r="A2262" s="799">
        <v>42664</v>
      </c>
      <c r="B2262">
        <v>632.25699999999995</v>
      </c>
      <c r="C2262">
        <v>4535.1396549999999</v>
      </c>
      <c r="D2262">
        <v>1.665332</v>
      </c>
      <c r="E2262">
        <f>LN(D2262/参数实验室!$E$53)/参数实验室!$E$55</f>
        <v>-9.1265232058998308E-2</v>
      </c>
      <c r="F2262">
        <f t="shared" si="298"/>
        <v>7.1729370414246114</v>
      </c>
      <c r="G2262">
        <f>LN(F2262/参数实验室!$E$58)/参数实验室!$E$59</f>
        <v>0.84359787418280119</v>
      </c>
      <c r="H2262" s="856">
        <f>INDEX(神经网络!$G$10:$BO$70,MATCH(ROUND(G2262*2,1)/2,神经网络!$E$10:$E$70,0),MATCH(ROUND(E2262*2,1)/2,神经网络!$G$8:$BO$8,0))</f>
        <v>1.4186657341838287</v>
      </c>
      <c r="I2262">
        <f t="shared" si="290"/>
        <v>841.94459277577175</v>
      </c>
      <c r="J2262">
        <f t="shared" si="291"/>
        <v>252.28721918518767</v>
      </c>
      <c r="K2262">
        <f t="shared" si="292"/>
        <v>3.3372463159053449</v>
      </c>
      <c r="L2262" s="4">
        <f>MIN(MAX(L2261*(1+MAX(MIN(((B2262-B2261)/B2261)/($K$7*卓尔金历!$N$40),0),-卓尔金历!$M$43))+MIN(MAX(((B2262-B2261)/B2261)/($K$7*卓尔金历!$N$40),0),卓尔金历!$M$43),0),1)</f>
        <v>0.77710759164429277</v>
      </c>
      <c r="M2262" s="4">
        <f>MIN(MAX(M2261*(1+MAX(MIN(((B2262-B2261)/B2261)/($K$7*30),0),-卓尔金历!$M$43))+MIN(MAX(((B2262-B2261)/B2261)/($K$7*7),0),卓尔金历!$M$43),0),1)</f>
        <v>0.92299255648739909</v>
      </c>
      <c r="N2262">
        <f t="shared" si="293"/>
        <v>715.07621857085076</v>
      </c>
      <c r="O2262">
        <f t="shared" si="294"/>
        <v>1771.8017422697806</v>
      </c>
      <c r="P2262">
        <f t="shared" si="295"/>
        <v>1.3795047720411618E-3</v>
      </c>
      <c r="Q2262">
        <f t="shared" si="296"/>
        <v>7.1306961456599361E-3</v>
      </c>
      <c r="R2262">
        <f t="shared" si="297"/>
        <v>1</v>
      </c>
      <c r="S2262">
        <f t="shared" si="289"/>
        <v>17.000324201229361</v>
      </c>
      <c r="T2262" s="564">
        <f>IF((I2262-MAX(I$470:I2262))/MAX(I$470:I2262)&gt;T2261,T2261,(I2262-MAX(I$470:I2262))/MAX(I$470:I2262))</f>
        <v>-0.91338805338419748</v>
      </c>
      <c r="U2262" s="564">
        <f>IF((J2262-MAX(J$470:J2262))/MAX(J$470:J2262)&gt;U2261,U2261,(J2262-MAX(J$470:J2262))/MAX(J$470:J2262))</f>
        <v>-0.8283551177402233</v>
      </c>
      <c r="V2262" s="564">
        <f>IF((K2262-MAX(K$470:K2262))/MAX(K$470:K2262)&gt;V2261,V2261,(K2262-MAX(K$470:K2262))/MAX(K$470:K2262))</f>
        <v>-0.84885940676762139</v>
      </c>
      <c r="W2262" s="564">
        <f>IF((N2262-MAX(N$470:N2262))/MAX(N$470:N2262)&gt;W2261,W2261,(N2262-MAX(N$470:N2262))/MAX(N$470:N2262))</f>
        <v>-0.62788758315546067</v>
      </c>
      <c r="X2262" s="564">
        <f>IF((O2262-MAX(O$470:O2262))/MAX(O$470:O2262)&gt;X2261,X2261,(O2262-MAX(O$470:O2262))/MAX(O$470:O2262))</f>
        <v>-0.62788758315546067</v>
      </c>
    </row>
    <row r="2263" spans="1:24">
      <c r="A2263" s="799">
        <v>42665</v>
      </c>
      <c r="B2263">
        <v>637.62400000000002</v>
      </c>
      <c r="C2263">
        <v>4512.367534</v>
      </c>
      <c r="D2263">
        <v>1.725813</v>
      </c>
      <c r="E2263">
        <f>LN(D2263/参数实验室!$E$53)/参数实验室!$E$55</f>
        <v>-4.9179020569239992E-2</v>
      </c>
      <c r="F2263">
        <f t="shared" si="298"/>
        <v>7.0768470666097887</v>
      </c>
      <c r="G2263">
        <f>LN(F2263/参数实验室!$E$58)/参数实验室!$E$59</f>
        <v>0.83651931413658542</v>
      </c>
      <c r="H2263" s="856">
        <f>INDEX(神经网络!$G$10:$BO$70,MATCH(ROUND(G2263*2,1)/2,神经网络!$E$10:$E$70,0),MATCH(ROUND(E2263*2,1)/2,神经网络!$G$8:$BO$8,0))</f>
        <v>1.512507021809582</v>
      </c>
      <c r="I2263">
        <f t="shared" si="290"/>
        <v>852.0837425908876</v>
      </c>
      <c r="J2263">
        <f t="shared" si="291"/>
        <v>254.42879374326597</v>
      </c>
      <c r="K2263">
        <f t="shared" si="292"/>
        <v>3.3490067301529227</v>
      </c>
      <c r="L2263" s="4">
        <f>MIN(MAX(L2262*(1+MAX(MIN(((B2263-B2262)/B2262)/($K$7*卓尔金历!$N$40),0),-卓尔金历!$M$43))+MIN(MAX(((B2263-B2262)/B2262)/($K$7*卓尔金历!$N$40),0),卓尔金历!$M$43),0),1)</f>
        <v>0.90680581511257563</v>
      </c>
      <c r="M2263" s="4">
        <f>MIN(MAX(M2262*(1+MAX(MIN(((B2263-B2262)/B2262)/($K$7*30),0),-卓尔金历!$M$43))+MIN(MAX(((B2263-B2262)/B2262)/($K$7*7),0),卓尔金历!$M$43),0),1)</f>
        <v>1</v>
      </c>
      <c r="N2263">
        <f t="shared" si="293"/>
        <v>721.76815049939569</v>
      </c>
      <c r="O2263">
        <f t="shared" si="294"/>
        <v>1791.4956251638503</v>
      </c>
      <c r="P2263">
        <f t="shared" si="295"/>
        <v>8.4886367410721836E-3</v>
      </c>
      <c r="Q2263">
        <f t="shared" si="296"/>
        <v>6.9716897856228512E-3</v>
      </c>
      <c r="R2263">
        <f t="shared" si="297"/>
        <v>5.7268704137884204E-3</v>
      </c>
      <c r="S2263">
        <f t="shared" ref="S2263:S2326" si="299">S2262*(1+(B2263-B2262)/B2262*H2262*R2262)</f>
        <v>17.205051252701391</v>
      </c>
      <c r="T2263" s="564">
        <f>IF((I2263-MAX(I$470:I2263))/MAX(I$470:I2263)&gt;T2262,T2262,(I2263-MAX(I$470:I2263))/MAX(I$470:I2263))</f>
        <v>-0.91338805338419748</v>
      </c>
      <c r="U2263" s="564">
        <f>IF((J2263-MAX(J$470:J2263))/MAX(J$470:J2263)&gt;U2262,U2262,(J2263-MAX(J$470:J2263))/MAX(J$470:J2263))</f>
        <v>-0.8283551177402233</v>
      </c>
      <c r="V2263" s="564">
        <f>IF((K2263-MAX(K$470:K2263))/MAX(K$470:K2263)&gt;V2262,V2262,(K2263-MAX(K$470:K2263))/MAX(K$470:K2263))</f>
        <v>-0.84885940676762139</v>
      </c>
      <c r="W2263" s="564">
        <f>IF((N2263-MAX(N$470:N2263))/MAX(N$470:N2263)&gt;W2262,W2262,(N2263-MAX(N$470:N2263))/MAX(N$470:N2263))</f>
        <v>-0.62788758315546067</v>
      </c>
      <c r="X2263" s="564">
        <f>IF((O2263-MAX(O$470:O2263))/MAX(O$470:O2263)&gt;X2262,X2262,(O2263-MAX(O$470:O2263))/MAX(O$470:O2263))</f>
        <v>-0.62788758315546067</v>
      </c>
    </row>
    <row r="2264" spans="1:24">
      <c r="A2264" s="799">
        <v>42666</v>
      </c>
      <c r="B2264">
        <v>657.19899999999996</v>
      </c>
      <c r="C2264">
        <v>4489.6969090000002</v>
      </c>
      <c r="D2264">
        <v>1.7180740000000001</v>
      </c>
      <c r="E2264">
        <f>LN(D2264/参数实验室!$E$53)/参数实验室!$E$55</f>
        <v>-5.4481241997224025E-2</v>
      </c>
      <c r="F2264">
        <f t="shared" si="298"/>
        <v>6.8315638170478055</v>
      </c>
      <c r="G2264">
        <f>LN(F2264/参数实验室!$E$58)/参数实验室!$E$59</f>
        <v>0.81800515673120355</v>
      </c>
      <c r="H2264" s="856">
        <f>INDEX(神经网络!$G$10:$BO$70,MATCH(ROUND(G2264*2,1)/2,神经网络!$E$10:$E$70,0),MATCH(ROUND(E2264*2,1)/2,神经网络!$G$8:$BO$8,0))</f>
        <v>1.493238880812757</v>
      </c>
      <c r="I2264">
        <f t="shared" ref="I2264:I2327" si="300">I2263*(1+(B2264-B2263)/B2263*H2263)</f>
        <v>891.64925495105399</v>
      </c>
      <c r="J2264">
        <f t="shared" ref="J2264:J2327" si="301">J2263*B2264/B2263</f>
        <v>262.23973504648609</v>
      </c>
      <c r="K2264">
        <f t="shared" ref="K2264:K2327" si="302">I2264/J2264</f>
        <v>3.4001302464441374</v>
      </c>
      <c r="L2264" s="4">
        <f>MIN(MAX(L2263*(1+MAX(MIN(((B2264-B2263)/B2263)/($K$7*卓尔金历!$N$40),0),-卓尔金历!$M$43))+MIN(MAX(((B2264-B2263)/B2263)/($K$7*卓尔金历!$N$40),0),卓尔金历!$M$43),0),1)</f>
        <v>1</v>
      </c>
      <c r="M2264" s="4">
        <f>MIN(MAX(M2263*(1+MAX(MIN(((B2264-B2263)/B2263)/($K$7*30),0),-卓尔金历!$M$43))+MIN(MAX(((B2264-B2263)/B2263)/($K$7*7),0),卓尔金历!$M$43),0),1)</f>
        <v>1</v>
      </c>
      <c r="N2264">
        <f t="shared" ref="N2264:N2327" si="303">N2263*(1+(B2264-B2263)/B2263*H2263*L2263)</f>
        <v>752.15925790084816</v>
      </c>
      <c r="O2264">
        <f t="shared" ref="O2264:O2327" si="304">O2263*(1+(B2264-B2263)/B2263*H2263*M2263)</f>
        <v>1874.6816299631892</v>
      </c>
      <c r="P2264">
        <f t="shared" ref="P2264:P2327" si="305">(B2264-B2263)/B2263</f>
        <v>3.0699910919287747E-2</v>
      </c>
      <c r="Q2264">
        <f t="shared" si="296"/>
        <v>9.2674098312815444E-3</v>
      </c>
      <c r="R2264">
        <f t="shared" si="297"/>
        <v>0</v>
      </c>
      <c r="S2264">
        <f t="shared" si="299"/>
        <v>17.20962642908367</v>
      </c>
      <c r="T2264" s="564">
        <f>IF((I2264-MAX(I$470:I2264))/MAX(I$470:I2264)&gt;T2263,T2263,(I2264-MAX(I$470:I2264))/MAX(I$470:I2264))</f>
        <v>-0.91338805338419748</v>
      </c>
      <c r="U2264" s="564">
        <f>IF((J2264-MAX(J$470:J2264))/MAX(J$470:J2264)&gt;U2263,U2263,(J2264-MAX(J$470:J2264))/MAX(J$470:J2264))</f>
        <v>-0.8283551177402233</v>
      </c>
      <c r="V2264" s="564">
        <f>IF((K2264-MAX(K$470:K2264))/MAX(K$470:K2264)&gt;V2263,V2263,(K2264-MAX(K$470:K2264))/MAX(K$470:K2264))</f>
        <v>-0.84885940676762139</v>
      </c>
      <c r="W2264" s="564">
        <f>IF((N2264-MAX(N$470:N2264))/MAX(N$470:N2264)&gt;W2263,W2263,(N2264-MAX(N$470:N2264))/MAX(N$470:N2264))</f>
        <v>-0.62788758315546067</v>
      </c>
      <c r="X2264" s="564">
        <f>IF((O2264-MAX(O$470:O2264))/MAX(O$470:O2264)&gt;X2263,X2263,(O2264-MAX(O$470:O2264))/MAX(O$470:O2264))</f>
        <v>-0.62788758315546067</v>
      </c>
    </row>
    <row r="2265" spans="1:24">
      <c r="A2265" s="799">
        <v>42667</v>
      </c>
      <c r="B2265">
        <v>652.827</v>
      </c>
      <c r="C2265">
        <v>4561.6746830000002</v>
      </c>
      <c r="D2265">
        <v>1.711417</v>
      </c>
      <c r="E2265">
        <f>LN(D2265/参数实验室!$E$53)/参数实验室!$E$55</f>
        <v>-5.9061296127117253E-2</v>
      </c>
      <c r="F2265">
        <f t="shared" si="298"/>
        <v>6.9875704941738013</v>
      </c>
      <c r="G2265">
        <f>LN(F2265/参数实验室!$E$58)/参数实验室!$E$59</f>
        <v>0.82985600239265889</v>
      </c>
      <c r="H2265" s="856">
        <f>INDEX(神经网络!$G$10:$BO$70,MATCH(ROUND(G2265*2,1)/2,神经网络!$E$10:$E$70,0),MATCH(ROUND(E2265*2,1)/2,神经网络!$G$8:$BO$8,0))</f>
        <v>1.512507021809582</v>
      </c>
      <c r="I2265">
        <f t="shared" si="300"/>
        <v>882.79184797541404</v>
      </c>
      <c r="J2265">
        <f t="shared" si="301"/>
        <v>260.49519173217305</v>
      </c>
      <c r="K2265">
        <f t="shared" si="302"/>
        <v>3.3888988203784294</v>
      </c>
      <c r="L2265" s="4">
        <f>MIN(MAX(L2264*(1+MAX(MIN(((B2265-B2264)/B2264)/($K$7*卓尔金历!$N$40),0),-卓尔金历!$M$43))+MIN(MAX(((B2265-B2264)/B2264)/($K$7*卓尔金历!$N$40),0),卓尔金历!$M$43),0),1)</f>
        <v>0.89835656398525332</v>
      </c>
      <c r="M2265" s="4">
        <f>MIN(MAX(M2264*(1+MAX(MIN(((B2265-B2264)/B2264)/($K$7*30),0),-卓尔金历!$M$43))+MIN(MAX(((B2265-B2264)/B2264)/($K$7*7),0),卓尔金历!$M$43),0),1)</f>
        <v>0.94917828199262666</v>
      </c>
      <c r="N2265">
        <f t="shared" si="303"/>
        <v>744.68750752284905</v>
      </c>
      <c r="O2265">
        <f t="shared" si="304"/>
        <v>1856.0590403584331</v>
      </c>
      <c r="P2265">
        <f t="shared" si="305"/>
        <v>-6.6524751254946482E-3</v>
      </c>
      <c r="Q2265">
        <f t="shared" si="296"/>
        <v>9.4616716608391313E-3</v>
      </c>
      <c r="R2265">
        <f t="shared" si="297"/>
        <v>0.36479203950757733</v>
      </c>
      <c r="S2265">
        <f t="shared" si="299"/>
        <v>17.20962642908367</v>
      </c>
      <c r="T2265" s="564">
        <f>IF((I2265-MAX(I$470:I2265))/MAX(I$470:I2265)&gt;T2264,T2264,(I2265-MAX(I$470:I2265))/MAX(I$470:I2265))</f>
        <v>-0.91338805338419748</v>
      </c>
      <c r="U2265" s="564">
        <f>IF((J2265-MAX(J$470:J2265))/MAX(J$470:J2265)&gt;U2264,U2264,(J2265-MAX(J$470:J2265))/MAX(J$470:J2265))</f>
        <v>-0.8283551177402233</v>
      </c>
      <c r="V2265" s="564">
        <f>IF((K2265-MAX(K$470:K2265))/MAX(K$470:K2265)&gt;V2264,V2264,(K2265-MAX(K$470:K2265))/MAX(K$470:K2265))</f>
        <v>-0.84885940676762139</v>
      </c>
      <c r="W2265" s="564">
        <f>IF((N2265-MAX(N$470:N2265))/MAX(N$470:N2265)&gt;W2264,W2264,(N2265-MAX(N$470:N2265))/MAX(N$470:N2265))</f>
        <v>-0.62788758315546067</v>
      </c>
      <c r="X2265" s="564">
        <f>IF((O2265-MAX(O$470:O2265))/MAX(O$470:O2265)&gt;X2264,X2264,(O2265-MAX(O$470:O2265))/MAX(O$470:O2265))</f>
        <v>-0.62788758315546067</v>
      </c>
    </row>
    <row r="2266" spans="1:24">
      <c r="A2266" s="799">
        <v>42668</v>
      </c>
      <c r="B2266">
        <v>656.59699999999998</v>
      </c>
      <c r="C2266">
        <v>4708.5215209999997</v>
      </c>
      <c r="D2266">
        <v>1.724324</v>
      </c>
      <c r="E2266">
        <f>LN(D2266/参数实验室!$E$53)/参数实验室!$E$55</f>
        <v>-5.0197329517168043E-2</v>
      </c>
      <c r="F2266">
        <f t="shared" si="298"/>
        <v>7.1710981332537305</v>
      </c>
      <c r="G2266">
        <f>LN(F2266/参数实验室!$E$58)/参数实验室!$E$59</f>
        <v>0.843463301396012</v>
      </c>
      <c r="H2266" s="856">
        <f>INDEX(神经网络!$G$10:$BO$70,MATCH(ROUND(G2266*2,1)/2,神经网络!$E$10:$E$70,0),MATCH(ROUND(E2266*2,1)/2,神经网络!$G$8:$BO$8,0))</f>
        <v>1.512507021809582</v>
      </c>
      <c r="I2266">
        <f t="shared" si="300"/>
        <v>890.50263940346269</v>
      </c>
      <c r="J2266">
        <f t="shared" si="301"/>
        <v>261.99952116834879</v>
      </c>
      <c r="K2266">
        <f t="shared" si="302"/>
        <v>3.3988712476740246</v>
      </c>
      <c r="L2266" s="4">
        <f>MIN(MAX(L2265*(1+MAX(MIN(((B2266-B2265)/B2265)/($K$7*卓尔金历!$N$40),0),-卓尔金历!$M$43))+MIN(MAX(((B2266-B2265)/B2265)/($K$7*卓尔金历!$N$40),0),卓尔金历!$M$43),0),1)</f>
        <v>0.98659124515138097</v>
      </c>
      <c r="M2266" s="4">
        <f>MIN(MAX(M2265*(1+MAX(MIN(((B2266-B2265)/B2265)/($K$7*30),0),-卓尔金历!$M$43))+MIN(MAX(((B2266-B2265)/B2265)/($K$7*7),0),卓尔金历!$M$43),0),1)</f>
        <v>1</v>
      </c>
      <c r="N2266">
        <f t="shared" si="303"/>
        <v>750.53087845239418</v>
      </c>
      <c r="O2266">
        <f t="shared" si="304"/>
        <v>1871.4469710399549</v>
      </c>
      <c r="P2266">
        <f t="shared" si="305"/>
        <v>5.7748836981313303E-3</v>
      </c>
      <c r="Q2266">
        <f t="shared" si="296"/>
        <v>9.3806838417385009E-3</v>
      </c>
      <c r="R2266">
        <f t="shared" si="297"/>
        <v>0.49918640270210324</v>
      </c>
      <c r="S2266">
        <f t="shared" si="299"/>
        <v>17.264461377286299</v>
      </c>
      <c r="T2266" s="564">
        <f>IF((I2266-MAX(I$470:I2266))/MAX(I$470:I2266)&gt;T2265,T2265,(I2266-MAX(I$470:I2266))/MAX(I$470:I2266))</f>
        <v>-0.91338805338419748</v>
      </c>
      <c r="U2266" s="564">
        <f>IF((J2266-MAX(J$470:J2266))/MAX(J$470:J2266)&gt;U2265,U2265,(J2266-MAX(J$470:J2266))/MAX(J$470:J2266))</f>
        <v>-0.8283551177402233</v>
      </c>
      <c r="V2266" s="564">
        <f>IF((K2266-MAX(K$470:K2266))/MAX(K$470:K2266)&gt;V2265,V2265,(K2266-MAX(K$470:K2266))/MAX(K$470:K2266))</f>
        <v>-0.84885940676762139</v>
      </c>
      <c r="W2266" s="564">
        <f>IF((N2266-MAX(N$470:N2266))/MAX(N$470:N2266)&gt;W2265,W2265,(N2266-MAX(N$470:N2266))/MAX(N$470:N2266))</f>
        <v>-0.62788758315546067</v>
      </c>
      <c r="X2266" s="564">
        <f>IF((O2266-MAX(O$470:O2266))/MAX(O$470:O2266)&gt;X2265,X2265,(O2266-MAX(O$470:O2266))/MAX(O$470:O2266))</f>
        <v>-0.62788758315546067</v>
      </c>
    </row>
    <row r="2267" spans="1:24">
      <c r="A2267" s="799">
        <v>42669</v>
      </c>
      <c r="B2267">
        <v>664.00400000000002</v>
      </c>
      <c r="C2267">
        <v>4758.8658379999997</v>
      </c>
      <c r="D2267">
        <v>1.7711159999999999</v>
      </c>
      <c r="E2267">
        <f>LN(D2267/参数实验室!$E$53)/参数实验室!$E$55</f>
        <v>-1.860971158179427E-2</v>
      </c>
      <c r="F2267">
        <f t="shared" si="298"/>
        <v>7.1669234492563287</v>
      </c>
      <c r="G2267">
        <f>LN(F2267/参数实验室!$E$58)/参数实验室!$E$59</f>
        <v>0.84315766650434543</v>
      </c>
      <c r="H2267" s="856">
        <f>INDEX(神经网络!$G$10:$BO$70,MATCH(ROUND(G2267*2,1)/2,神经网络!$E$10:$E$70,0),MATCH(ROUND(E2267*2,1)/2,神经网络!$G$8:$BO$8,0))</f>
        <v>1.605477388239718</v>
      </c>
      <c r="I2267">
        <f t="shared" si="300"/>
        <v>905.69677721363291</v>
      </c>
      <c r="J2267">
        <f t="shared" si="301"/>
        <v>264.9551095327397</v>
      </c>
      <c r="K2267">
        <f t="shared" si="302"/>
        <v>3.4183027412110305</v>
      </c>
      <c r="L2267" s="4">
        <f>MIN(MAX(L2266*(1+MAX(MIN(((B2267-B2266)/B2266)/($K$7*卓尔金历!$N$40),0),-卓尔金历!$M$43))+MIN(MAX(((B2267-B2266)/B2266)/($K$7*卓尔金历!$N$40),0),卓尔金历!$M$43),0),1)</f>
        <v>1</v>
      </c>
      <c r="M2267" s="4">
        <f>MIN(MAX(M2266*(1+MAX(MIN(((B2267-B2266)/B2266)/($K$7*30),0),-卓尔金历!$M$43))+MIN(MAX(((B2267-B2266)/B2266)/($K$7*7),0),卓尔金历!$M$43),0),1)</f>
        <v>1</v>
      </c>
      <c r="N2267">
        <f t="shared" si="303"/>
        <v>763.16504716807185</v>
      </c>
      <c r="O2267">
        <f t="shared" si="304"/>
        <v>1903.3784015873757</v>
      </c>
      <c r="P2267">
        <f t="shared" si="305"/>
        <v>1.1280892236790664E-2</v>
      </c>
      <c r="Q2267">
        <f t="shared" si="296"/>
        <v>9.4892484707011521E-3</v>
      </c>
      <c r="R2267">
        <f t="shared" si="297"/>
        <v>7.7582859019731205E-3</v>
      </c>
      <c r="S2267">
        <f t="shared" si="299"/>
        <v>17.411508533790645</v>
      </c>
      <c r="T2267" s="564">
        <f>IF((I2267-MAX(I$470:I2267))/MAX(I$470:I2267)&gt;T2266,T2266,(I2267-MAX(I$470:I2267))/MAX(I$470:I2267))</f>
        <v>-0.91338805338419748</v>
      </c>
      <c r="U2267" s="564">
        <f>IF((J2267-MAX(J$470:J2267))/MAX(J$470:J2267)&gt;U2266,U2266,(J2267-MAX(J$470:J2267))/MAX(J$470:J2267))</f>
        <v>-0.8283551177402233</v>
      </c>
      <c r="V2267" s="564">
        <f>IF((K2267-MAX(K$470:K2267))/MAX(K$470:K2267)&gt;V2266,V2266,(K2267-MAX(K$470:K2267))/MAX(K$470:K2267))</f>
        <v>-0.84885940676762139</v>
      </c>
      <c r="W2267" s="564">
        <f>IF((N2267-MAX(N$470:N2267))/MAX(N$470:N2267)&gt;W2266,W2266,(N2267-MAX(N$470:N2267))/MAX(N$470:N2267))</f>
        <v>-0.62788758315546067</v>
      </c>
      <c r="X2267" s="564">
        <f>IF((O2267-MAX(O$470:O2267))/MAX(O$470:O2267)&gt;X2266,X2266,(O2267-MAX(O$470:O2267))/MAX(O$470:O2267))</f>
        <v>-0.62788758315546067</v>
      </c>
    </row>
    <row r="2268" spans="1:24">
      <c r="A2268" s="799">
        <v>42670</v>
      </c>
      <c r="B2268">
        <v>687.11599999999999</v>
      </c>
      <c r="C2268">
        <v>4777.1937449999996</v>
      </c>
      <c r="D2268">
        <v>1.796157</v>
      </c>
      <c r="E2268">
        <f>LN(D2268/参数实验室!$E$53)/参数实验室!$E$55</f>
        <v>-2.0465350422995024E-3</v>
      </c>
      <c r="F2268">
        <f t="shared" si="298"/>
        <v>6.9525287506039737</v>
      </c>
      <c r="G2268">
        <f>LN(F2268/参数实验室!$E$58)/参数实验室!$E$59</f>
        <v>0.82721730675571359</v>
      </c>
      <c r="H2268" s="856">
        <f>INDEX(神经网络!$G$10:$BO$70,MATCH(ROUND(G2268*2,1)/2,神经网络!$E$10:$E$70,0),MATCH(ROUND(E2268*2,1)/2,神经网络!$G$8:$BO$8,0))</f>
        <v>1.605477388239718</v>
      </c>
      <c r="I2268">
        <f t="shared" si="300"/>
        <v>956.30881794774655</v>
      </c>
      <c r="J2268">
        <f t="shared" si="301"/>
        <v>274.17740712661066</v>
      </c>
      <c r="K2268">
        <f t="shared" si="302"/>
        <v>3.4879198398215894</v>
      </c>
      <c r="L2268" s="4">
        <f>MIN(MAX(L2267*(1+MAX(MIN(((B2268-B2267)/B2267)/($K$7*卓尔金历!$N$40),0),-卓尔金历!$M$43))+MIN(MAX(((B2268-B2267)/B2267)/($K$7*卓尔金历!$N$40),0),卓尔金历!$M$43),0),1)</f>
        <v>1</v>
      </c>
      <c r="M2268" s="4">
        <f>MIN(MAX(M2267*(1+MAX(MIN(((B2268-B2267)/B2267)/($K$7*30),0),-卓尔金历!$M$43))+MIN(MAX(((B2268-B2267)/B2267)/($K$7*7),0),卓尔金历!$M$43),0),1)</f>
        <v>1</v>
      </c>
      <c r="N2268">
        <f t="shared" si="303"/>
        <v>805.81214653498432</v>
      </c>
      <c r="O2268">
        <f t="shared" si="304"/>
        <v>2009.7427694610724</v>
      </c>
      <c r="P2268">
        <f t="shared" si="305"/>
        <v>3.4807019234823836E-2</v>
      </c>
      <c r="Q2268">
        <f t="shared" si="296"/>
        <v>1.1515213771060503E-2</v>
      </c>
      <c r="R2268">
        <f t="shared" si="297"/>
        <v>0</v>
      </c>
      <c r="S2268">
        <f t="shared" si="299"/>
        <v>17.419057251874062</v>
      </c>
      <c r="T2268" s="564">
        <f>IF((I2268-MAX(I$470:I2268))/MAX(I$470:I2268)&gt;T2267,T2267,(I2268-MAX(I$470:I2268))/MAX(I$470:I2268))</f>
        <v>-0.91338805338419748</v>
      </c>
      <c r="U2268" s="564">
        <f>IF((J2268-MAX(J$470:J2268))/MAX(J$470:J2268)&gt;U2267,U2267,(J2268-MAX(J$470:J2268))/MAX(J$470:J2268))</f>
        <v>-0.8283551177402233</v>
      </c>
      <c r="V2268" s="564">
        <f>IF((K2268-MAX(K$470:K2268))/MAX(K$470:K2268)&gt;V2267,V2267,(K2268-MAX(K$470:K2268))/MAX(K$470:K2268))</f>
        <v>-0.84885940676762139</v>
      </c>
      <c r="W2268" s="564">
        <f>IF((N2268-MAX(N$470:N2268))/MAX(N$470:N2268)&gt;W2267,W2267,(N2268-MAX(N$470:N2268))/MAX(N$470:N2268))</f>
        <v>-0.62788758315546067</v>
      </c>
      <c r="X2268" s="564">
        <f>IF((O2268-MAX(O$470:O2268))/MAX(O$470:O2268)&gt;X2267,X2267,(O2268-MAX(O$470:O2268))/MAX(O$470:O2268))</f>
        <v>-0.62788758315546067</v>
      </c>
    </row>
    <row r="2269" spans="1:24">
      <c r="A2269" s="799">
        <v>42671</v>
      </c>
      <c r="B2269">
        <v>687.33100000000002</v>
      </c>
      <c r="C2269">
        <v>4765.8889220000001</v>
      </c>
      <c r="D2269">
        <v>1.8041579999999999</v>
      </c>
      <c r="E2269">
        <f>LN(D2269/参数实验室!$E$53)/参数实验室!$E$55</f>
        <v>3.1970179490471767E-3</v>
      </c>
      <c r="F2269">
        <f t="shared" si="298"/>
        <v>6.9339065486643259</v>
      </c>
      <c r="G2269">
        <f>LN(F2269/参数实验室!$E$58)/参数实验室!$E$59</f>
        <v>0.82580961016151289</v>
      </c>
      <c r="H2269" s="856">
        <f>INDEX(神经网络!$G$10:$BO$70,MATCH(ROUND(G2269*2,1)/2,神经网络!$E$10:$E$70,0),MATCH(ROUND(E2269*2,1)/2,神经网络!$G$8:$BO$8,0))</f>
        <v>1.605477388239718</v>
      </c>
      <c r="I2269">
        <f t="shared" si="300"/>
        <v>956.78922652421511</v>
      </c>
      <c r="J2269">
        <f t="shared" si="301"/>
        <v>274.263197797374</v>
      </c>
      <c r="K2269">
        <f t="shared" si="302"/>
        <v>3.4885804373618226</v>
      </c>
      <c r="L2269" s="4">
        <f>MIN(MAX(L2268*(1+MAX(MIN(((B2269-B2268)/B2268)/($K$7*卓尔金历!$N$40),0),-卓尔金历!$M$43))+MIN(MAX(((B2269-B2268)/B2268)/($K$7*卓尔金历!$N$40),0),卓尔金历!$M$43),0),1)</f>
        <v>1</v>
      </c>
      <c r="M2269" s="4">
        <f>MIN(MAX(M2268*(1+MAX(MIN(((B2269-B2268)/B2268)/($K$7*30),0),-卓尔金历!$M$43))+MIN(MAX(((B2269-B2268)/B2268)/($K$7*7),0),卓尔金历!$M$43),0),1)</f>
        <v>1</v>
      </c>
      <c r="N2269">
        <f t="shared" si="303"/>
        <v>806.21695203186209</v>
      </c>
      <c r="O2269">
        <f t="shared" si="304"/>
        <v>2010.752378119724</v>
      </c>
      <c r="P2269">
        <f t="shared" si="305"/>
        <v>3.1290204274101E-4</v>
      </c>
      <c r="Q2269">
        <f t="shared" si="296"/>
        <v>1.1569030493053335E-2</v>
      </c>
      <c r="R2269">
        <f t="shared" si="297"/>
        <v>1</v>
      </c>
      <c r="S2269">
        <f t="shared" si="299"/>
        <v>17.419057251874062</v>
      </c>
      <c r="T2269" s="564">
        <f>IF((I2269-MAX(I$470:I2269))/MAX(I$470:I2269)&gt;T2268,T2268,(I2269-MAX(I$470:I2269))/MAX(I$470:I2269))</f>
        <v>-0.91338805338419748</v>
      </c>
      <c r="U2269" s="564">
        <f>IF((J2269-MAX(J$470:J2269))/MAX(J$470:J2269)&gt;U2268,U2268,(J2269-MAX(J$470:J2269))/MAX(J$470:J2269))</f>
        <v>-0.8283551177402233</v>
      </c>
      <c r="V2269" s="564">
        <f>IF((K2269-MAX(K$470:K2269))/MAX(K$470:K2269)&gt;V2268,V2268,(K2269-MAX(K$470:K2269))/MAX(K$470:K2269))</f>
        <v>-0.84885940676762139</v>
      </c>
      <c r="W2269" s="564">
        <f>IF((N2269-MAX(N$470:N2269))/MAX(N$470:N2269)&gt;W2268,W2268,(N2269-MAX(N$470:N2269))/MAX(N$470:N2269))</f>
        <v>-0.62788758315546067</v>
      </c>
      <c r="X2269" s="564">
        <f>IF((O2269-MAX(O$470:O2269))/MAX(O$470:O2269)&gt;X2268,X2268,(O2269-MAX(O$470:O2269))/MAX(O$470:O2269))</f>
        <v>-0.62788758315546067</v>
      </c>
    </row>
    <row r="2270" spans="1:24">
      <c r="A2270" s="799">
        <v>42672</v>
      </c>
      <c r="B2270">
        <v>703.97699999999998</v>
      </c>
      <c r="C2270">
        <v>4748.0632770000002</v>
      </c>
      <c r="D2270">
        <v>1.865189</v>
      </c>
      <c r="E2270">
        <f>LN(D2270/参数实验室!$E$53)/参数实验室!$E$55</f>
        <v>4.2445506012031481E-2</v>
      </c>
      <c r="F2270">
        <f t="shared" si="298"/>
        <v>6.7446284139964803</v>
      </c>
      <c r="G2270">
        <f>LN(F2270/参数实验室!$E$58)/参数实验室!$E$59</f>
        <v>0.81128323932134372</v>
      </c>
      <c r="H2270" s="856">
        <f>INDEX(神经网络!$G$10:$BO$70,MATCH(ROUND(G2270*2,1)/2,神经网络!$E$10:$E$70,0),MATCH(ROUND(E2270*2,1)/2,神经网络!$G$8:$BO$8,0))</f>
        <v>1.6765819664555781</v>
      </c>
      <c r="I2270">
        <f t="shared" si="300"/>
        <v>993.99106717534869</v>
      </c>
      <c r="J2270">
        <f t="shared" si="301"/>
        <v>280.90539084633451</v>
      </c>
      <c r="K2270">
        <f t="shared" si="302"/>
        <v>3.5385261357233904</v>
      </c>
      <c r="L2270" s="4">
        <f>MIN(MAX(L2269*(1+MAX(MIN(((B2270-B2269)/B2269)/($K$7*卓尔金历!$N$40),0),-卓尔金历!$M$43))+MIN(MAX(((B2270-B2269)/B2269)/($K$7*卓尔金历!$N$40),0),卓尔金历!$M$43),0),1)</f>
        <v>1</v>
      </c>
      <c r="M2270" s="4">
        <f>MIN(MAX(M2269*(1+MAX(MIN(((B2270-B2269)/B2269)/($K$7*30),0),-卓尔金历!$M$43))+MIN(MAX(((B2270-B2269)/B2269)/($K$7*7),0),卓尔金历!$M$43),0),1)</f>
        <v>1</v>
      </c>
      <c r="N2270">
        <f t="shared" si="303"/>
        <v>837.56424749492703</v>
      </c>
      <c r="O2270">
        <f t="shared" si="304"/>
        <v>2088.9343721116938</v>
      </c>
      <c r="P2270">
        <f t="shared" si="305"/>
        <v>2.4218316939000218E-2</v>
      </c>
      <c r="Q2270">
        <f t="shared" si="296"/>
        <v>1.2248391172992042E-2</v>
      </c>
      <c r="R2270">
        <f t="shared" si="297"/>
        <v>3.6822529240786331E-3</v>
      </c>
      <c r="S2270">
        <f t="shared" si="299"/>
        <v>18.096344343129569</v>
      </c>
      <c r="T2270" s="564">
        <f>IF((I2270-MAX(I$470:I2270))/MAX(I$470:I2270)&gt;T2269,T2269,(I2270-MAX(I$470:I2270))/MAX(I$470:I2270))</f>
        <v>-0.91338805338419748</v>
      </c>
      <c r="U2270" s="564">
        <f>IF((J2270-MAX(J$470:J2270))/MAX(J$470:J2270)&gt;U2269,U2269,(J2270-MAX(J$470:J2270))/MAX(J$470:J2270))</f>
        <v>-0.8283551177402233</v>
      </c>
      <c r="V2270" s="564">
        <f>IF((K2270-MAX(K$470:K2270))/MAX(K$470:K2270)&gt;V2269,V2269,(K2270-MAX(K$470:K2270))/MAX(K$470:K2270))</f>
        <v>-0.84885940676762139</v>
      </c>
      <c r="W2270" s="564">
        <f>IF((N2270-MAX(N$470:N2270))/MAX(N$470:N2270)&gt;W2269,W2269,(N2270-MAX(N$470:N2270))/MAX(N$470:N2270))</f>
        <v>-0.62788758315546067</v>
      </c>
      <c r="X2270" s="564">
        <f>IF((O2270-MAX(O$470:O2270))/MAX(O$470:O2270)&gt;X2269,X2269,(O2270-MAX(O$470:O2270))/MAX(O$470:O2270))</f>
        <v>-0.62788758315546067</v>
      </c>
    </row>
    <row r="2271" spans="1:24">
      <c r="A2271" s="799">
        <v>42673</v>
      </c>
      <c r="B2271">
        <v>711.37400000000002</v>
      </c>
      <c r="C2271">
        <v>4666.2977229999997</v>
      </c>
      <c r="D2271">
        <v>1.8226059999999999</v>
      </c>
      <c r="E2271">
        <f>LN(D2271/参数实验室!$E$53)/参数实验室!$E$55</f>
        <v>1.5199053677959639E-2</v>
      </c>
      <c r="F2271">
        <f t="shared" si="298"/>
        <v>6.5595561870408527</v>
      </c>
      <c r="G2271">
        <f>LN(F2271/参数实验室!$E$58)/参数实验室!$E$59</f>
        <v>0.79667998841237164</v>
      </c>
      <c r="H2271" s="856">
        <f>INDEX(神经网络!$G$10:$BO$70,MATCH(ROUND(G2271*2,1)/2,神经网络!$E$10:$E$70,0),MATCH(ROUND(E2271*2,1)/2,神经网络!$G$8:$BO$8,0))</f>
        <v>1.5862448054422551</v>
      </c>
      <c r="I2271">
        <f t="shared" si="300"/>
        <v>1011.501803979296</v>
      </c>
      <c r="J2271">
        <f t="shared" si="301"/>
        <v>283.85698894696895</v>
      </c>
      <c r="K2271">
        <f t="shared" si="302"/>
        <v>3.5634204665232603</v>
      </c>
      <c r="L2271" s="4">
        <f>MIN(MAX(L2270*(1+MAX(MIN(((B2271-B2270)/B2270)/($K$7*卓尔金历!$N$40),0),-卓尔金历!$M$43))+MIN(MAX(((B2271-B2270)/B2270)/($K$7*卓尔金历!$N$40),0),卓尔金历!$M$43),0),1)</f>
        <v>1</v>
      </c>
      <c r="M2271" s="4">
        <f>MIN(MAX(M2270*(1+MAX(MIN(((B2271-B2270)/B2270)/($K$7*30),0),-卓尔金历!$M$43))+MIN(MAX(((B2271-B2270)/B2270)/($K$7*7),0),卓尔金历!$M$43),0),1)</f>
        <v>1</v>
      </c>
      <c r="N2271">
        <f t="shared" si="303"/>
        <v>852.31927656773121</v>
      </c>
      <c r="O2271">
        <f t="shared" si="304"/>
        <v>2125.7342802785888</v>
      </c>
      <c r="P2271">
        <f t="shared" si="305"/>
        <v>1.0507445555749759E-2</v>
      </c>
      <c r="Q2271">
        <f t="shared" si="296"/>
        <v>1.2126619857646579E-2</v>
      </c>
      <c r="R2271">
        <f t="shared" si="297"/>
        <v>0.15732273533220811</v>
      </c>
      <c r="S2271">
        <f t="shared" si="299"/>
        <v>18.097518230435135</v>
      </c>
      <c r="T2271" s="564">
        <f>IF((I2271-MAX(I$470:I2271))/MAX(I$470:I2271)&gt;T2270,T2270,(I2271-MAX(I$470:I2271))/MAX(I$470:I2271))</f>
        <v>-0.91338805338419748</v>
      </c>
      <c r="U2271" s="564">
        <f>IF((J2271-MAX(J$470:J2271))/MAX(J$470:J2271)&gt;U2270,U2270,(J2271-MAX(J$470:J2271))/MAX(J$470:J2271))</f>
        <v>-0.8283551177402233</v>
      </c>
      <c r="V2271" s="564">
        <f>IF((K2271-MAX(K$470:K2271))/MAX(K$470:K2271)&gt;V2270,V2270,(K2271-MAX(K$470:K2271))/MAX(K$470:K2271))</f>
        <v>-0.84885940676762139</v>
      </c>
      <c r="W2271" s="564">
        <f>IF((N2271-MAX(N$470:N2271))/MAX(N$470:N2271)&gt;W2270,W2270,(N2271-MAX(N$470:N2271))/MAX(N$470:N2271))</f>
        <v>-0.62788758315546067</v>
      </c>
      <c r="X2271" s="564">
        <f>IF((O2271-MAX(O$470:O2271))/MAX(O$470:O2271)&gt;X2270,X2270,(O2271-MAX(O$470:O2271))/MAX(O$470:O2271))</f>
        <v>-0.62788758315546067</v>
      </c>
    </row>
    <row r="2272" spans="1:24">
      <c r="A2272" s="799">
        <v>42674</v>
      </c>
      <c r="B2272">
        <v>701.33399999999995</v>
      </c>
      <c r="C2272">
        <v>4700.0120930000003</v>
      </c>
      <c r="D2272">
        <v>1.8183860000000001</v>
      </c>
      <c r="E2272">
        <f>LN(D2272/参数实验室!$E$53)/参数实验室!$E$55</f>
        <v>1.2464325934058551E-2</v>
      </c>
      <c r="F2272">
        <f t="shared" si="298"/>
        <v>6.7015317851408893</v>
      </c>
      <c r="G2272">
        <f>LN(F2272/参数实验室!$E$58)/参数实验室!$E$59</f>
        <v>0.80791878180801102</v>
      </c>
      <c r="H2272" s="856">
        <f>INDEX(神经网络!$G$10:$BO$70,MATCH(ROUND(G2272*2,1)/2,神经网络!$E$10:$E$70,0),MATCH(ROUND(E2272*2,1)/2,神经网络!$G$8:$BO$8,0))</f>
        <v>1.5862448054422551</v>
      </c>
      <c r="I2272">
        <f t="shared" si="300"/>
        <v>988.85678968039451</v>
      </c>
      <c r="J2272">
        <f t="shared" si="301"/>
        <v>279.85076413550888</v>
      </c>
      <c r="K2272">
        <f t="shared" si="302"/>
        <v>3.5335147028634588</v>
      </c>
      <c r="L2272" s="4">
        <f>MIN(MAX(L2271*(1+MAX(MIN(((B2272-B2271)/B2271)/($K$7*卓尔金历!$N$40),0),-卓尔金历!$M$43))+MIN(MAX(((B2272-B2271)/B2271)/($K$7*卓尔金历!$N$40),0),卓尔金历!$M$43),0),1)</f>
        <v>0.78435876861854614</v>
      </c>
      <c r="M2272" s="4">
        <f>MIN(MAX(M2271*(1+MAX(MIN(((B2272-B2271)/B2271)/($K$7*30),0),-卓尔金历!$M$43))+MIN(MAX(((B2272-B2271)/B2271)/($K$7*7),0),卓尔金历!$M$43),0),1)</f>
        <v>0.89217938430927313</v>
      </c>
      <c r="N2272">
        <f t="shared" si="303"/>
        <v>833.23796388081814</v>
      </c>
      <c r="O2272">
        <f t="shared" si="304"/>
        <v>2078.1443669603927</v>
      </c>
      <c r="P2272">
        <f t="shared" si="305"/>
        <v>-1.4113532403489693E-2</v>
      </c>
      <c r="Q2272">
        <f t="shared" si="296"/>
        <v>1.2882093279156641E-2</v>
      </c>
      <c r="R2272">
        <f t="shared" si="297"/>
        <v>1.1019509754862223E-2</v>
      </c>
      <c r="S2272">
        <f t="shared" si="299"/>
        <v>18.033777586123559</v>
      </c>
      <c r="T2272" s="564">
        <f>IF((I2272-MAX(I$470:I2272))/MAX(I$470:I2272)&gt;T2271,T2271,(I2272-MAX(I$470:I2272))/MAX(I$470:I2272))</f>
        <v>-0.91338805338419748</v>
      </c>
      <c r="U2272" s="564">
        <f>IF((J2272-MAX(J$470:J2272))/MAX(J$470:J2272)&gt;U2271,U2271,(J2272-MAX(J$470:J2272))/MAX(J$470:J2272))</f>
        <v>-0.8283551177402233</v>
      </c>
      <c r="V2272" s="564">
        <f>IF((K2272-MAX(K$470:K2272))/MAX(K$470:K2272)&gt;V2271,V2271,(K2272-MAX(K$470:K2272))/MAX(K$470:K2272))</f>
        <v>-0.84885940676762139</v>
      </c>
      <c r="W2272" s="564">
        <f>IF((N2272-MAX(N$470:N2272))/MAX(N$470:N2272)&gt;W2271,W2271,(N2272-MAX(N$470:N2272))/MAX(N$470:N2272))</f>
        <v>-0.62788758315546067</v>
      </c>
      <c r="X2272" s="564">
        <f>IF((O2272-MAX(O$470:O2272))/MAX(O$470:O2272)&gt;X2271,X2271,(O2272-MAX(O$470:O2272))/MAX(O$470:O2272))</f>
        <v>-0.62788758315546067</v>
      </c>
    </row>
    <row r="2273" spans="1:24">
      <c r="A2273" s="799">
        <v>42675</v>
      </c>
      <c r="B2273">
        <v>726.50699999999995</v>
      </c>
      <c r="C2273">
        <v>4692.0763459999998</v>
      </c>
      <c r="D2273">
        <v>1.895705</v>
      </c>
      <c r="E2273">
        <f>LN(D2273/参数实验室!$E$53)/参数实验室!$E$55</f>
        <v>6.159102838162743E-2</v>
      </c>
      <c r="F2273">
        <f t="shared" si="298"/>
        <v>6.4584048687762126</v>
      </c>
      <c r="G2273">
        <f>LN(F2273/参数实验室!$E$58)/参数实验室!$E$59</f>
        <v>0.78852345044223759</v>
      </c>
      <c r="H2273" s="856">
        <f>INDEX(神经网络!$G$10:$BO$70,MATCH(ROUND(G2273*2,1)/2,神经网络!$E$10:$E$70,0),MATCH(ROUND(E2273*2,1)/2,神经网络!$G$8:$BO$8,0))</f>
        <v>1.6765819664555781</v>
      </c>
      <c r="I2273">
        <f t="shared" si="300"/>
        <v>1045.1574767661073</v>
      </c>
      <c r="J2273">
        <f t="shared" si="301"/>
        <v>289.89545508958093</v>
      </c>
      <c r="K2273">
        <f t="shared" si="302"/>
        <v>3.605291005487278</v>
      </c>
      <c r="L2273" s="4">
        <f>MIN(MAX(L2272*(1+MAX(MIN(((B2273-B2272)/B2272)/($K$7*卓尔金历!$N$40),0),-卓尔金历!$M$43))+MIN(MAX(((B2273-B2272)/B2272)/($K$7*卓尔金历!$N$40),0),卓尔金历!$M$43),0),1)</f>
        <v>1</v>
      </c>
      <c r="M2273" s="4">
        <f>MIN(MAX(M2272*(1+MAX(MIN(((B2273-B2272)/B2272)/($K$7*30),0),-卓尔金历!$M$43))+MIN(MAX(((B2273-B2272)/B2272)/($K$7*7),0),卓尔金历!$M$43),0),1)</f>
        <v>1</v>
      </c>
      <c r="N2273">
        <f t="shared" si="303"/>
        <v>870.44834345316679</v>
      </c>
      <c r="O2273">
        <f t="shared" si="304"/>
        <v>2183.7065087488268</v>
      </c>
      <c r="P2273">
        <f t="shared" si="305"/>
        <v>3.5893026717655215E-2</v>
      </c>
      <c r="Q2273">
        <f t="shared" si="296"/>
        <v>1.3765937743056657E-2</v>
      </c>
      <c r="R2273">
        <f t="shared" si="297"/>
        <v>5.365936334600105E-4</v>
      </c>
      <c r="S2273">
        <f t="shared" si="299"/>
        <v>18.045091927495029</v>
      </c>
      <c r="T2273" s="564">
        <f>IF((I2273-MAX(I$470:I2273))/MAX(I$470:I2273)&gt;T2272,T2272,(I2273-MAX(I$470:I2273))/MAX(I$470:I2273))</f>
        <v>-0.91338805338419748</v>
      </c>
      <c r="U2273" s="564">
        <f>IF((J2273-MAX(J$470:J2273))/MAX(J$470:J2273)&gt;U2272,U2272,(J2273-MAX(J$470:J2273))/MAX(J$470:J2273))</f>
        <v>-0.8283551177402233</v>
      </c>
      <c r="V2273" s="564">
        <f>IF((K2273-MAX(K$470:K2273))/MAX(K$470:K2273)&gt;V2272,V2272,(K2273-MAX(K$470:K2273))/MAX(K$470:K2273))</f>
        <v>-0.84885940676762139</v>
      </c>
      <c r="W2273" s="564">
        <f>IF((N2273-MAX(N$470:N2273))/MAX(N$470:N2273)&gt;W2272,W2272,(N2273-MAX(N$470:N2273))/MAX(N$470:N2273))</f>
        <v>-0.62788758315546067</v>
      </c>
      <c r="X2273" s="564">
        <f>IF((O2273-MAX(O$470:O2273))/MAX(O$470:O2273)&gt;X2272,X2272,(O2273-MAX(O$470:O2273))/MAX(O$470:O2273))</f>
        <v>-0.62788758315546067</v>
      </c>
    </row>
    <row r="2274" spans="1:24">
      <c r="A2274" s="799">
        <v>42676</v>
      </c>
      <c r="B2274">
        <v>725.87300000000005</v>
      </c>
      <c r="C2274">
        <v>4751.8522890000004</v>
      </c>
      <c r="D2274">
        <v>1.9174850000000001</v>
      </c>
      <c r="E2274">
        <f>LN(D2274/参数实验室!$E$53)/参数实验室!$E$55</f>
        <v>7.506809356069595E-2</v>
      </c>
      <c r="F2274">
        <f t="shared" si="298"/>
        <v>6.546396255267795</v>
      </c>
      <c r="G2274">
        <f>LN(F2274/参数实验室!$E$58)/参数实验室!$E$59</f>
        <v>0.79562595655173052</v>
      </c>
      <c r="H2274" s="856">
        <f>INDEX(神经网络!$G$10:$BO$70,MATCH(ROUND(G2274*2,1)/2,神经网络!$E$10:$E$70,0),MATCH(ROUND(E2274*2,1)/2,神经网络!$G$8:$BO$8,0))</f>
        <v>1.7626643441878826</v>
      </c>
      <c r="I2274">
        <f t="shared" si="300"/>
        <v>1043.6283060346052</v>
      </c>
      <c r="J2274">
        <f t="shared" si="301"/>
        <v>289.64247236742307</v>
      </c>
      <c r="K2274">
        <f t="shared" si="302"/>
        <v>3.6031604671248658</v>
      </c>
      <c r="L2274" s="4">
        <f>MIN(MAX(L2273*(1+MAX(MIN(((B2274-B2273)/B2273)/($K$7*卓尔金历!$N$40),0),-卓尔金历!$M$43))+MIN(MAX(((B2274-B2273)/B2273)/($K$7*卓尔金历!$N$40),0),卓尔金历!$M$43),0),1)</f>
        <v>0.9866664580028659</v>
      </c>
      <c r="M2274" s="4">
        <f>MIN(MAX(M2273*(1+MAX(MIN(((B2274-B2273)/B2273)/($K$7*30),0),-卓尔金历!$M$43))+MIN(MAX(((B2274-B2273)/B2273)/($K$7*7),0),卓尔金历!$M$43),0),1)</f>
        <v>0.99333322900143295</v>
      </c>
      <c r="N2274">
        <f t="shared" si="303"/>
        <v>869.17478979289774</v>
      </c>
      <c r="O2274">
        <f t="shared" si="304"/>
        <v>2180.5115260274656</v>
      </c>
      <c r="P2274">
        <f t="shared" si="305"/>
        <v>-8.7266881117442901E-4</v>
      </c>
      <c r="Q2274">
        <f t="shared" si="296"/>
        <v>1.3838821029828592E-2</v>
      </c>
      <c r="R2274">
        <f t="shared" si="297"/>
        <v>1</v>
      </c>
      <c r="S2274">
        <f t="shared" si="299"/>
        <v>18.045077760463528</v>
      </c>
      <c r="T2274" s="564">
        <f>IF((I2274-MAX(I$470:I2274))/MAX(I$470:I2274)&gt;T2273,T2273,(I2274-MAX(I$470:I2274))/MAX(I$470:I2274))</f>
        <v>-0.91338805338419748</v>
      </c>
      <c r="U2274" s="564">
        <f>IF((J2274-MAX(J$470:J2274))/MAX(J$470:J2274)&gt;U2273,U2273,(J2274-MAX(J$470:J2274))/MAX(J$470:J2274))</f>
        <v>-0.8283551177402233</v>
      </c>
      <c r="V2274" s="564">
        <f>IF((K2274-MAX(K$470:K2274))/MAX(K$470:K2274)&gt;V2273,V2273,(K2274-MAX(K$470:K2274))/MAX(K$470:K2274))</f>
        <v>-0.84885940676762139</v>
      </c>
      <c r="W2274" s="564">
        <f>IF((N2274-MAX(N$470:N2274))/MAX(N$470:N2274)&gt;W2273,W2273,(N2274-MAX(N$470:N2274))/MAX(N$470:N2274))</f>
        <v>-0.62788758315546067</v>
      </c>
      <c r="X2274" s="564">
        <f>IF((O2274-MAX(O$470:O2274))/MAX(O$470:O2274)&gt;X2273,X2273,(O2274-MAX(O$470:O2274))/MAX(O$470:O2274))</f>
        <v>-0.62788758315546067</v>
      </c>
    </row>
    <row r="2275" spans="1:24">
      <c r="A2275" s="799">
        <v>42677</v>
      </c>
      <c r="B2275">
        <v>736.80200000000002</v>
      </c>
      <c r="C2275">
        <v>4763.4975290000002</v>
      </c>
      <c r="D2275">
        <v>1.7873030000000001</v>
      </c>
      <c r="E2275">
        <f>LN(D2275/参数实验室!$E$53)/参数实验室!$E$55</f>
        <v>-7.8764069975028883E-3</v>
      </c>
      <c r="F2275">
        <f t="shared" si="298"/>
        <v>6.4650985325772732</v>
      </c>
      <c r="G2275">
        <f>LN(F2275/参数实验室!$E$58)/参数实验室!$E$59</f>
        <v>0.7890671415318854</v>
      </c>
      <c r="H2275" s="856">
        <f>INDEX(神经网络!$G$10:$BO$70,MATCH(ROUND(G2275*2,1)/2,神经网络!$E$10:$E$70,0),MATCH(ROUND(E2275*2,1)/2,神经网络!$G$8:$BO$8,0))</f>
        <v>1.5862448054422551</v>
      </c>
      <c r="I2275">
        <f t="shared" si="300"/>
        <v>1071.3254668675586</v>
      </c>
      <c r="J2275">
        <f t="shared" si="301"/>
        <v>294.00343162683009</v>
      </c>
      <c r="K2275">
        <f t="shared" si="302"/>
        <v>3.6439216404363624</v>
      </c>
      <c r="L2275" s="4">
        <f>MIN(MAX(L2274*(1+MAX(MIN(((B2275-B2274)/B2274)/($K$7*卓尔金历!$N$40),0),-卓尔金历!$M$43))+MIN(MAX(((B2275-B2274)/B2274)/($K$7*卓尔金历!$N$40),0),卓尔金历!$M$43),0),1)</f>
        <v>1</v>
      </c>
      <c r="M2275" s="4">
        <f>MIN(MAX(M2274*(1+MAX(MIN(((B2275-B2274)/B2274)/($K$7*30),0),-卓尔金历!$M$43))+MIN(MAX(((B2275-B2274)/B2274)/($K$7*7),0),卓尔金历!$M$43),0),1)</f>
        <v>1</v>
      </c>
      <c r="N2275">
        <f t="shared" si="303"/>
        <v>891.93450842541051</v>
      </c>
      <c r="O2275">
        <f t="shared" si="304"/>
        <v>2237.9949665049676</v>
      </c>
      <c r="P2275">
        <f t="shared" si="305"/>
        <v>1.5056352833071312E-2</v>
      </c>
      <c r="Q2275">
        <f t="shared" si="296"/>
        <v>1.3755803616747711E-2</v>
      </c>
      <c r="R2275">
        <f t="shared" si="297"/>
        <v>1.2588632995153609E-2</v>
      </c>
      <c r="S2275">
        <f t="shared" si="299"/>
        <v>18.523981425767271</v>
      </c>
      <c r="T2275" s="564">
        <f>IF((I2275-MAX(I$470:I2275))/MAX(I$470:I2275)&gt;T2274,T2274,(I2275-MAX(I$470:I2275))/MAX(I$470:I2275))</f>
        <v>-0.91338805338419748</v>
      </c>
      <c r="U2275" s="564">
        <f>IF((J2275-MAX(J$470:J2275))/MAX(J$470:J2275)&gt;U2274,U2274,(J2275-MAX(J$470:J2275))/MAX(J$470:J2275))</f>
        <v>-0.8283551177402233</v>
      </c>
      <c r="V2275" s="564">
        <f>IF((K2275-MAX(K$470:K2275))/MAX(K$470:K2275)&gt;V2274,V2274,(K2275-MAX(K$470:K2275))/MAX(K$470:K2275))</f>
        <v>-0.84885940676762139</v>
      </c>
      <c r="W2275" s="564">
        <f>IF((N2275-MAX(N$470:N2275))/MAX(N$470:N2275)&gt;W2274,W2274,(N2275-MAX(N$470:N2275))/MAX(N$470:N2275))</f>
        <v>-0.62788758315546067</v>
      </c>
      <c r="X2275" s="564">
        <f>IF((O2275-MAX(O$470:O2275))/MAX(O$470:O2275)&gt;X2274,X2274,(O2275-MAX(O$470:O2275))/MAX(O$470:O2275))</f>
        <v>-0.62788758315546067</v>
      </c>
    </row>
    <row r="2276" spans="1:24">
      <c r="A2276" s="799">
        <v>42678</v>
      </c>
      <c r="B2276">
        <v>706.08900000000006</v>
      </c>
      <c r="C2276">
        <v>4935.7186170000004</v>
      </c>
      <c r="D2276">
        <v>1.8252630000000001</v>
      </c>
      <c r="E2276">
        <f>LN(D2276/参数实验室!$E$53)/参数实验室!$E$55</f>
        <v>1.6917648793936431E-2</v>
      </c>
      <c r="F2276">
        <f t="shared" si="298"/>
        <v>6.9902216533609787</v>
      </c>
      <c r="G2276">
        <f>LN(F2276/参数实验室!$E$58)/参数实验室!$E$59</f>
        <v>0.83005509987819048</v>
      </c>
      <c r="H2276" s="856">
        <f>INDEX(神经网络!$G$10:$BO$70,MATCH(ROUND(G2276*2,1)/2,神经网络!$E$10:$E$70,0),MATCH(ROUND(E2276*2,1)/2,神经网络!$G$8:$BO$8,0))</f>
        <v>1.605477388239718</v>
      </c>
      <c r="I2276">
        <f t="shared" si="300"/>
        <v>1000.487989742948</v>
      </c>
      <c r="J2276">
        <f t="shared" si="301"/>
        <v>281.74813455169345</v>
      </c>
      <c r="K2276">
        <f t="shared" si="302"/>
        <v>3.5510012917561462</v>
      </c>
      <c r="L2276" s="4">
        <f>MIN(MAX(L2275*(1+MAX(MIN(((B2276-B2275)/B2275)/($K$7*卓尔金历!$N$40),0),-卓尔金历!$M$43))+MIN(MAX(((B2276-B2275)/B2275)/($K$7*卓尔金历!$N$40),0),卓尔金历!$M$43),0),1)</f>
        <v>0.36310546532349652</v>
      </c>
      <c r="M2276" s="4">
        <f>MIN(MAX(M2275*(1+MAX(MIN(((B2276-B2275)/B2275)/($K$7*30),0),-卓尔金历!$M$43))+MIN(MAX(((B2276-B2275)/B2275)/($K$7*7),0),卓尔金历!$M$43),0),1)</f>
        <v>0.68155273266174832</v>
      </c>
      <c r="N2276">
        <f t="shared" si="303"/>
        <v>832.95860213805759</v>
      </c>
      <c r="O2276">
        <f t="shared" si="304"/>
        <v>2090.0157368985574</v>
      </c>
      <c r="P2276">
        <f t="shared" si="305"/>
        <v>-4.1684197382743211E-2</v>
      </c>
      <c r="Q2276">
        <f t="shared" si="296"/>
        <v>1.7229322664273839E-2</v>
      </c>
      <c r="R2276">
        <f t="shared" si="297"/>
        <v>1.6024223809847111E-3</v>
      </c>
      <c r="S2276">
        <f t="shared" si="299"/>
        <v>18.508562484083214</v>
      </c>
      <c r="T2276" s="564">
        <f>IF((I2276-MAX(I$470:I2276))/MAX(I$470:I2276)&gt;T2275,T2275,(I2276-MAX(I$470:I2276))/MAX(I$470:I2276))</f>
        <v>-0.91338805338419748</v>
      </c>
      <c r="U2276" s="564">
        <f>IF((J2276-MAX(J$470:J2276))/MAX(J$470:J2276)&gt;U2275,U2275,(J2276-MAX(J$470:J2276))/MAX(J$470:J2276))</f>
        <v>-0.8283551177402233</v>
      </c>
      <c r="V2276" s="564">
        <f>IF((K2276-MAX(K$470:K2276))/MAX(K$470:K2276)&gt;V2275,V2275,(K2276-MAX(K$470:K2276))/MAX(K$470:K2276))</f>
        <v>-0.84885940676762139</v>
      </c>
      <c r="W2276" s="564">
        <f>IF((N2276-MAX(N$470:N2276))/MAX(N$470:N2276)&gt;W2275,W2275,(N2276-MAX(N$470:N2276))/MAX(N$470:N2276))</f>
        <v>-0.62788758315546067</v>
      </c>
      <c r="X2276" s="564">
        <f>IF((O2276-MAX(O$470:O2276))/MAX(O$470:O2276)&gt;X2275,X2275,(O2276-MAX(O$470:O2276))/MAX(O$470:O2276))</f>
        <v>-0.62788758315546067</v>
      </c>
    </row>
    <row r="2277" spans="1:24">
      <c r="A2277" s="799">
        <v>42679</v>
      </c>
      <c r="B2277">
        <v>704.69200000000001</v>
      </c>
      <c r="C2277">
        <v>4985.875884</v>
      </c>
      <c r="D2277">
        <v>1.8278000000000001</v>
      </c>
      <c r="E2277">
        <f>LN(D2277/参数实验室!$E$53)/参数实验室!$E$55</f>
        <v>1.8556292562821965E-2</v>
      </c>
      <c r="F2277">
        <f t="shared" si="298"/>
        <v>7.0752554080364192</v>
      </c>
      <c r="G2277">
        <f>LN(F2277/参数实验室!$E$58)/参数实验室!$E$59</f>
        <v>0.83640125557356171</v>
      </c>
      <c r="H2277" s="856">
        <f>INDEX(神经网络!$G$10:$BO$70,MATCH(ROUND(G2277*2,1)/2,神经网络!$E$10:$E$70,0),MATCH(ROUND(E2277*2,1)/2,神经网络!$G$8:$BO$8,0))</f>
        <v>1.605477388239718</v>
      </c>
      <c r="I2277">
        <f t="shared" si="300"/>
        <v>997.30999603379996</v>
      </c>
      <c r="J2277">
        <f t="shared" si="301"/>
        <v>281.19069470491957</v>
      </c>
      <c r="K2277">
        <f t="shared" si="302"/>
        <v>3.5467389739919142</v>
      </c>
      <c r="L2277" s="4">
        <f>MIN(MAX(L2276*(1+MAX(MIN(((B2277-B2276)/B2276)/($K$7*卓尔金历!$N$40),0),-卓尔金历!$M$43))+MIN(MAX(((B2277-B2276)/B2276)/($K$7*卓尔金历!$N$40),0),卓尔金历!$M$43),0),1)</f>
        <v>0.35212891621954384</v>
      </c>
      <c r="M2277" s="4">
        <f>MIN(MAX(M2276*(1+MAX(MIN(((B2277-B2276)/B2276)/($K$7*30),0),-卓尔金历!$M$43))+MIN(MAX(((B2277-B2276)/B2276)/($K$7*7),0),卓尔金历!$M$43),0),1)</f>
        <v>0.67125118428057784</v>
      </c>
      <c r="N2277">
        <f t="shared" si="303"/>
        <v>831.99788097622957</v>
      </c>
      <c r="O2277">
        <f t="shared" si="304"/>
        <v>2085.4910329016229</v>
      </c>
      <c r="P2277">
        <f t="shared" si="305"/>
        <v>-1.9785041262504418E-3</v>
      </c>
      <c r="Q2277">
        <f t="shared" si="296"/>
        <v>1.7291571832915537E-2</v>
      </c>
      <c r="R2277">
        <f t="shared" si="297"/>
        <v>1</v>
      </c>
      <c r="S2277">
        <f t="shared" si="299"/>
        <v>18.508468275419172</v>
      </c>
      <c r="T2277" s="564">
        <f>IF((I2277-MAX(I$470:I2277))/MAX(I$470:I2277)&gt;T2276,T2276,(I2277-MAX(I$470:I2277))/MAX(I$470:I2277))</f>
        <v>-0.91338805338419748</v>
      </c>
      <c r="U2277" s="564">
        <f>IF((J2277-MAX(J$470:J2277))/MAX(J$470:J2277)&gt;U2276,U2276,(J2277-MAX(J$470:J2277))/MAX(J$470:J2277))</f>
        <v>-0.8283551177402233</v>
      </c>
      <c r="V2277" s="564">
        <f>IF((K2277-MAX(K$470:K2277))/MAX(K$470:K2277)&gt;V2276,V2276,(K2277-MAX(K$470:K2277))/MAX(K$470:K2277))</f>
        <v>-0.84885940676762139</v>
      </c>
      <c r="W2277" s="564">
        <f>IF((N2277-MAX(N$470:N2277))/MAX(N$470:N2277)&gt;W2276,W2276,(N2277-MAX(N$470:N2277))/MAX(N$470:N2277))</f>
        <v>-0.62788758315546067</v>
      </c>
      <c r="X2277" s="564">
        <f>IF((O2277-MAX(O$470:O2277))/MAX(O$470:O2277)&gt;X2276,X2276,(O2277-MAX(O$470:O2277))/MAX(O$470:O2277))</f>
        <v>-0.62788758315546067</v>
      </c>
    </row>
    <row r="2278" spans="1:24">
      <c r="A2278" s="799">
        <v>42680</v>
      </c>
      <c r="B2278">
        <v>712.39400000000001</v>
      </c>
      <c r="C2278">
        <v>4953.1819400000004</v>
      </c>
      <c r="D2278">
        <v>1.8496250000000001</v>
      </c>
      <c r="E2278">
        <f>LN(D2278/参数实验室!$E$53)/参数实验室!$E$55</f>
        <v>3.2559796025639777E-2</v>
      </c>
      <c r="F2278">
        <f t="shared" si="298"/>
        <v>6.9528686934477273</v>
      </c>
      <c r="G2278">
        <f>LN(F2278/参数实验室!$E$58)/参数实验室!$E$59</f>
        <v>0.82724296878755621</v>
      </c>
      <c r="H2278" s="856">
        <f>INDEX(神经网络!$G$10:$BO$70,MATCH(ROUND(G2278*2,1)/2,神经网络!$E$10:$E$70,0),MATCH(ROUND(E2278*2,1)/2,神经网络!$G$8:$BO$8,0))</f>
        <v>1.6957879902594193</v>
      </c>
      <c r="I2278">
        <f t="shared" si="300"/>
        <v>1014.8100157652113</v>
      </c>
      <c r="J2278">
        <f t="shared" si="301"/>
        <v>284.26399585012524</v>
      </c>
      <c r="K2278">
        <f t="shared" si="302"/>
        <v>3.5699562047254751</v>
      </c>
      <c r="L2278" s="4">
        <f>MIN(MAX(L2277*(1+MAX(MIN(((B2278-B2277)/B2277)/($K$7*卓尔金历!$N$40),0),-卓尔金历!$M$43))+MIN(MAX(((B2278-B2277)/B2277)/($K$7*卓尔金历!$N$40),0),卓尔金历!$M$43),0),1)</f>
        <v>0.51912267937211176</v>
      </c>
      <c r="M2278" s="4">
        <f>MIN(MAX(M2277*(1+MAX(MIN(((B2278-B2277)/B2277)/($K$7*30),0),-卓尔金历!$M$43))+MIN(MAX(((B2278-B2277)/B2277)/($K$7*7),0),卓尔金历!$M$43),0),1)</f>
        <v>1</v>
      </c>
      <c r="N2278">
        <f t="shared" si="303"/>
        <v>837.13869954147083</v>
      </c>
      <c r="O2278">
        <f t="shared" si="304"/>
        <v>2110.0551838856991</v>
      </c>
      <c r="P2278">
        <f t="shared" si="305"/>
        <v>1.0929597611438753E-2</v>
      </c>
      <c r="Q2278">
        <f t="shared" si="296"/>
        <v>1.7318441365133479E-2</v>
      </c>
      <c r="R2278">
        <f t="shared" si="297"/>
        <v>0.48554825993711326</v>
      </c>
      <c r="S2278">
        <f t="shared" si="299"/>
        <v>18.833240473939341</v>
      </c>
      <c r="T2278" s="564">
        <f>IF((I2278-MAX(I$470:I2278))/MAX(I$470:I2278)&gt;T2277,T2277,(I2278-MAX(I$470:I2278))/MAX(I$470:I2278))</f>
        <v>-0.91338805338419748</v>
      </c>
      <c r="U2278" s="564">
        <f>IF((J2278-MAX(J$470:J2278))/MAX(J$470:J2278)&gt;U2277,U2277,(J2278-MAX(J$470:J2278))/MAX(J$470:J2278))</f>
        <v>-0.8283551177402233</v>
      </c>
      <c r="V2278" s="564">
        <f>IF((K2278-MAX(K$470:K2278))/MAX(K$470:K2278)&gt;V2277,V2277,(K2278-MAX(K$470:K2278))/MAX(K$470:K2278))</f>
        <v>-0.84885940676762139</v>
      </c>
      <c r="W2278" s="564">
        <f>IF((N2278-MAX(N$470:N2278))/MAX(N$470:N2278)&gt;W2277,W2277,(N2278-MAX(N$470:N2278))/MAX(N$470:N2278))</f>
        <v>-0.62788758315546067</v>
      </c>
      <c r="X2278" s="564">
        <f>IF((O2278-MAX(O$470:O2278))/MAX(O$470:O2278)&gt;X2277,X2277,(O2278-MAX(O$470:O2278))/MAX(O$470:O2278))</f>
        <v>-0.62788758315546067</v>
      </c>
    </row>
    <row r="2279" spans="1:24">
      <c r="A2279" s="799">
        <v>42681</v>
      </c>
      <c r="B2279">
        <v>702.99300000000005</v>
      </c>
      <c r="C2279">
        <v>5035.098559</v>
      </c>
      <c r="D2279">
        <v>1.8233090000000001</v>
      </c>
      <c r="E2279">
        <f>LN(D2279/参数实验室!$E$53)/参数实验室!$E$55</f>
        <v>1.56540102750229E-2</v>
      </c>
      <c r="F2279">
        <f t="shared" si="298"/>
        <v>7.162373677974033</v>
      </c>
      <c r="G2279">
        <f>LN(F2279/参数实验室!$E$58)/参数实验室!$E$59</f>
        <v>0.84282436810015227</v>
      </c>
      <c r="H2279" s="856">
        <f>INDEX(神经网络!$G$10:$BO$70,MATCH(ROUND(G2279*2,1)/2,神经网络!$E$10:$E$70,0),MATCH(ROUND(E2279*2,1)/2,神经网络!$G$8:$BO$8,0))</f>
        <v>1.605477388239718</v>
      </c>
      <c r="I2279">
        <f t="shared" si="300"/>
        <v>992.10038360708609</v>
      </c>
      <c r="J2279">
        <f t="shared" si="301"/>
        <v>280.51274889270138</v>
      </c>
      <c r="K2279">
        <f t="shared" si="302"/>
        <v>3.5367390164023287</v>
      </c>
      <c r="L2279" s="4">
        <f>MIN(MAX(L2278*(1+MAX(MIN(((B2279-B2278)/B2278)/($K$7*卓尔金历!$N$40),0),-卓尔金历!$M$43))+MIN(MAX(((B2279-B2278)/B2278)/($K$7*卓尔金历!$N$40),0),卓尔金历!$M$43),0),1)</f>
        <v>0.41445324415631163</v>
      </c>
      <c r="M2279" s="4">
        <f>MIN(MAX(M2278*(1+MAX(MIN(((B2279-B2278)/B2278)/($K$7*30),0),-卓尔金历!$M$43))+MIN(MAX(((B2279-B2278)/B2278)/($K$7*7),0),卓尔金历!$M$43),0),1)</f>
        <v>0.89918622382054303</v>
      </c>
      <c r="N2279">
        <f t="shared" si="303"/>
        <v>827.41362863103177</v>
      </c>
      <c r="O2279">
        <f t="shared" si="304"/>
        <v>2062.8359247978228</v>
      </c>
      <c r="P2279">
        <f t="shared" si="305"/>
        <v>-1.3196349211251013E-2</v>
      </c>
      <c r="Q2279">
        <f t="shared" si="296"/>
        <v>1.7649482436887246E-2</v>
      </c>
      <c r="R2279">
        <f t="shared" si="297"/>
        <v>0.3131203023195378</v>
      </c>
      <c r="S2279">
        <f t="shared" si="299"/>
        <v>18.628604110839223</v>
      </c>
      <c r="T2279" s="564">
        <f>IF((I2279-MAX(I$470:I2279))/MAX(I$470:I2279)&gt;T2278,T2278,(I2279-MAX(I$470:I2279))/MAX(I$470:I2279))</f>
        <v>-0.91338805338419748</v>
      </c>
      <c r="U2279" s="564">
        <f>IF((J2279-MAX(J$470:J2279))/MAX(J$470:J2279)&gt;U2278,U2278,(J2279-MAX(J$470:J2279))/MAX(J$470:J2279))</f>
        <v>-0.8283551177402233</v>
      </c>
      <c r="V2279" s="564">
        <f>IF((K2279-MAX(K$470:K2279))/MAX(K$470:K2279)&gt;V2278,V2278,(K2279-MAX(K$470:K2279))/MAX(K$470:K2279))</f>
        <v>-0.84885940676762139</v>
      </c>
      <c r="W2279" s="564">
        <f>IF((N2279-MAX(N$470:N2279))/MAX(N$470:N2279)&gt;W2278,W2278,(N2279-MAX(N$470:N2279))/MAX(N$470:N2279))</f>
        <v>-0.62788758315546067</v>
      </c>
      <c r="X2279" s="564">
        <f>IF((O2279-MAX(O$470:O2279))/MAX(O$470:O2279)&gt;X2278,X2278,(O2279-MAX(O$470:O2279))/MAX(O$470:O2279))</f>
        <v>-0.62788758315546067</v>
      </c>
    </row>
    <row r="2280" spans="1:24">
      <c r="A2280" s="799">
        <v>42682</v>
      </c>
      <c r="B2280">
        <v>704.23299999999995</v>
      </c>
      <c r="C2280">
        <v>5005.6671070000002</v>
      </c>
      <c r="D2280">
        <v>1.8344100000000001</v>
      </c>
      <c r="E2280">
        <f>LN(D2280/参数实验室!$E$53)/参数实验室!$E$55</f>
        <v>2.2815020167633666E-2</v>
      </c>
      <c r="F2280">
        <f t="shared" si="298"/>
        <v>7.1079700993847217</v>
      </c>
      <c r="G2280">
        <f>LN(F2280/参数实验室!$E$58)/参数实验室!$E$59</f>
        <v>0.83882249162653566</v>
      </c>
      <c r="H2280" s="856">
        <f>INDEX(神经网络!$G$10:$BO$70,MATCH(ROUND(G2280*2,1)/2,神经网络!$E$10:$E$70,0),MATCH(ROUND(E2280*2,1)/2,神经网络!$G$8:$BO$8,0))</f>
        <v>1.605477388239718</v>
      </c>
      <c r="I2280">
        <f t="shared" si="300"/>
        <v>994.90989304544996</v>
      </c>
      <c r="J2280">
        <f t="shared" si="301"/>
        <v>281.00754159849919</v>
      </c>
      <c r="K2280">
        <f t="shared" si="302"/>
        <v>3.5405095798708754</v>
      </c>
      <c r="L2280" s="4">
        <f>MIN(MAX(L2279*(1+MAX(MIN(((B2280-B2279)/B2279)/($K$7*卓尔金历!$N$40),0),-卓尔金历!$M$43))+MIN(MAX(((B2280-B2279)/B2279)/($K$7*卓尔金历!$N$40),0),卓尔金历!$M$43),0),1)</f>
        <v>0.44140374019398942</v>
      </c>
      <c r="M2280" s="4">
        <f>MIN(MAX(M2279*(1+MAX(MIN(((B2280-B2279)/B2279)/($K$7*30),0),-卓尔金历!$M$43))+MIN(MAX(((B2280-B2279)/B2279)/($K$7*7),0),卓尔金历!$M$43),0),1)</f>
        <v>0.95693728675842404</v>
      </c>
      <c r="N2280">
        <f t="shared" si="303"/>
        <v>828.38474906245722</v>
      </c>
      <c r="O2280">
        <f t="shared" si="304"/>
        <v>2068.0887047587412</v>
      </c>
      <c r="P2280">
        <f t="shared" si="305"/>
        <v>1.7638866958844474E-3</v>
      </c>
      <c r="Q2280">
        <f t="shared" si="296"/>
        <v>1.7633666262143365E-2</v>
      </c>
      <c r="R2280">
        <f t="shared" si="297"/>
        <v>1</v>
      </c>
      <c r="S2280">
        <f t="shared" si="299"/>
        <v>18.645122451515103</v>
      </c>
      <c r="T2280" s="564">
        <f>IF((I2280-MAX(I$470:I2280))/MAX(I$470:I2280)&gt;T2279,T2279,(I2280-MAX(I$470:I2280))/MAX(I$470:I2280))</f>
        <v>-0.91338805338419748</v>
      </c>
      <c r="U2280" s="564">
        <f>IF((J2280-MAX(J$470:J2280))/MAX(J$470:J2280)&gt;U2279,U2279,(J2280-MAX(J$470:J2280))/MAX(J$470:J2280))</f>
        <v>-0.8283551177402233</v>
      </c>
      <c r="V2280" s="564">
        <f>IF((K2280-MAX(K$470:K2280))/MAX(K$470:K2280)&gt;V2279,V2279,(K2280-MAX(K$470:K2280))/MAX(K$470:K2280))</f>
        <v>-0.84885940676762139</v>
      </c>
      <c r="W2280" s="564">
        <f>IF((N2280-MAX(N$470:N2280))/MAX(N$470:N2280)&gt;W2279,W2279,(N2280-MAX(N$470:N2280))/MAX(N$470:N2280))</f>
        <v>-0.62788758315546067</v>
      </c>
      <c r="X2280" s="564">
        <f>IF((O2280-MAX(O$470:O2280))/MAX(O$470:O2280)&gt;X2279,X2279,(O2280-MAX(O$470:O2280))/MAX(O$470:O2280))</f>
        <v>-0.62788758315546067</v>
      </c>
    </row>
    <row r="2281" spans="1:24">
      <c r="A2281" s="799">
        <v>42683</v>
      </c>
      <c r="B2281">
        <v>734.75699999999995</v>
      </c>
      <c r="C2281">
        <v>4928.0089360000002</v>
      </c>
      <c r="D2281">
        <v>1.855656</v>
      </c>
      <c r="E2281">
        <f>LN(D2281/参数实验室!$E$53)/参数实验室!$E$55</f>
        <v>3.6400313437312176E-2</v>
      </c>
      <c r="F2281">
        <f t="shared" si="298"/>
        <v>6.7069914760934575</v>
      </c>
      <c r="G2281">
        <f>LN(F2281/参数实验室!$E$58)/参数实验室!$E$59</f>
        <v>0.80834620263176149</v>
      </c>
      <c r="H2281" s="856">
        <f>INDEX(神经网络!$G$10:$BO$70,MATCH(ROUND(G2281*2,1)/2,神经网络!$E$10:$E$70,0),MATCH(ROUND(E2281*2,1)/2,神经网络!$G$8:$BO$8,0))</f>
        <v>1.6765819664555781</v>
      </c>
      <c r="I2281">
        <f t="shared" si="300"/>
        <v>1064.1428714702088</v>
      </c>
      <c r="J2281">
        <f t="shared" si="301"/>
        <v>293.18742268863923</v>
      </c>
      <c r="K2281">
        <f t="shared" si="302"/>
        <v>3.6295652170601906</v>
      </c>
      <c r="L2281" s="4">
        <f>MIN(MAX(L2280*(1+MAX(MIN(((B2281-B2280)/B2280)/($K$7*卓尔金历!$N$40),0),-卓尔金历!$M$43))+MIN(MAX(((B2281-B2280)/B2280)/($K$7*卓尔金历!$N$40),0),卓尔金历!$M$43),0),1)</f>
        <v>1</v>
      </c>
      <c r="M2281" s="4">
        <f>MIN(MAX(M2280*(1+MAX(MIN(((B2281-B2280)/B2280)/($K$7*30),0),-卓尔金历!$M$43))+MIN(MAX(((B2281-B2280)/B2280)/($K$7*7),0),卓尔金历!$M$43),0),1)</f>
        <v>1</v>
      </c>
      <c r="N2281">
        <f t="shared" si="303"/>
        <v>853.82945110609285</v>
      </c>
      <c r="O2281">
        <f t="shared" si="304"/>
        <v>2205.8039138520217</v>
      </c>
      <c r="P2281">
        <f t="shared" si="305"/>
        <v>4.3343609288403133E-2</v>
      </c>
      <c r="Q2281">
        <f t="shared" si="296"/>
        <v>1.9356233467031421E-2</v>
      </c>
      <c r="R2281">
        <f t="shared" si="297"/>
        <v>3.4183785964824816E-3</v>
      </c>
      <c r="S2281">
        <f t="shared" si="299"/>
        <v>19.942584030132416</v>
      </c>
      <c r="T2281" s="564">
        <f>IF((I2281-MAX(I$470:I2281))/MAX(I$470:I2281)&gt;T2280,T2280,(I2281-MAX(I$470:I2281))/MAX(I$470:I2281))</f>
        <v>-0.91338805338419748</v>
      </c>
      <c r="U2281" s="564">
        <f>IF((J2281-MAX(J$470:J2281))/MAX(J$470:J2281)&gt;U2280,U2280,(J2281-MAX(J$470:J2281))/MAX(J$470:J2281))</f>
        <v>-0.8283551177402233</v>
      </c>
      <c r="V2281" s="564">
        <f>IF((K2281-MAX(K$470:K2281))/MAX(K$470:K2281)&gt;V2280,V2280,(K2281-MAX(K$470:K2281))/MAX(K$470:K2281))</f>
        <v>-0.84885940676762139</v>
      </c>
      <c r="W2281" s="564">
        <f>IF((N2281-MAX(N$470:N2281))/MAX(N$470:N2281)&gt;W2280,W2280,(N2281-MAX(N$470:N2281))/MAX(N$470:N2281))</f>
        <v>-0.62788758315546067</v>
      </c>
      <c r="X2281" s="564">
        <f>IF((O2281-MAX(O$470:O2281))/MAX(O$470:O2281)&gt;X2280,X2280,(O2281-MAX(O$470:O2281))/MAX(O$470:O2281))</f>
        <v>-0.62788758315546067</v>
      </c>
    </row>
    <row r="2282" spans="1:24">
      <c r="A2282" s="799">
        <v>42684</v>
      </c>
      <c r="B2282">
        <v>718.02599999999995</v>
      </c>
      <c r="C2282">
        <v>4832.1811729999999</v>
      </c>
      <c r="D2282">
        <v>1.8331139999999999</v>
      </c>
      <c r="E2282">
        <f>LN(D2282/参数实验室!$E$53)/参数实验室!$E$55</f>
        <v>2.1981236793439222E-2</v>
      </c>
      <c r="F2282">
        <f t="shared" si="298"/>
        <v>6.7298136460239606</v>
      </c>
      <c r="G2282">
        <f>LN(F2282/参数实验室!$E$58)/参数实验室!$E$59</f>
        <v>0.81012911450248981</v>
      </c>
      <c r="H2282" s="856">
        <f>INDEX(神经网络!$G$10:$BO$70,MATCH(ROUND(G2282*2,1)/2,神经网络!$E$10:$E$70,0),MATCH(ROUND(E2282*2,1)/2,神经网络!$G$8:$BO$8,0))</f>
        <v>1.5862448054422551</v>
      </c>
      <c r="I2282">
        <f t="shared" si="300"/>
        <v>1023.5169806009228</v>
      </c>
      <c r="J2282">
        <f t="shared" si="301"/>
        <v>286.51131239774901</v>
      </c>
      <c r="K2282">
        <f t="shared" si="302"/>
        <v>3.5723440447615782</v>
      </c>
      <c r="L2282" s="4">
        <f>MIN(MAX(L2281*(1+MAX(MIN(((B2282-B2281)/B2281)/($K$7*卓尔金历!$N$40),0),-卓尔金历!$M$43))+MIN(MAX(((B2282-B2281)/B2281)/($K$7*卓尔金历!$N$40),0),卓尔金历!$M$43),0),1)</f>
        <v>0.65208412514561809</v>
      </c>
      <c r="M2282" s="4">
        <f>MIN(MAX(M2281*(1+MAX(MIN(((B2282-B2281)/B2281)/($K$7*30),0),-卓尔金历!$M$43))+MIN(MAX(((B2282-B2281)/B2281)/($K$7*7),0),卓尔金历!$M$43),0),1)</f>
        <v>0.8260420625728091</v>
      </c>
      <c r="N2282">
        <f t="shared" si="303"/>
        <v>821.23271712271855</v>
      </c>
      <c r="O2282">
        <f t="shared" si="304"/>
        <v>2121.5927130013424</v>
      </c>
      <c r="P2282">
        <f t="shared" si="305"/>
        <v>-2.2770793609315727E-2</v>
      </c>
      <c r="Q2282">
        <f t="shared" si="296"/>
        <v>2.004220521164771E-2</v>
      </c>
      <c r="R2282">
        <f t="shared" si="297"/>
        <v>1.6885634369694529E-2</v>
      </c>
      <c r="S2282">
        <f t="shared" si="299"/>
        <v>19.939981447371903</v>
      </c>
      <c r="T2282" s="564">
        <f>IF((I2282-MAX(I$470:I2282))/MAX(I$470:I2282)&gt;T2281,T2281,(I2282-MAX(I$470:I2282))/MAX(I$470:I2282))</f>
        <v>-0.91338805338419748</v>
      </c>
      <c r="U2282" s="564">
        <f>IF((J2282-MAX(J$470:J2282))/MAX(J$470:J2282)&gt;U2281,U2281,(J2282-MAX(J$470:J2282))/MAX(J$470:J2282))</f>
        <v>-0.8283551177402233</v>
      </c>
      <c r="V2282" s="564">
        <f>IF((K2282-MAX(K$470:K2282))/MAX(K$470:K2282)&gt;V2281,V2281,(K2282-MAX(K$470:K2282))/MAX(K$470:K2282))</f>
        <v>-0.84885940676762139</v>
      </c>
      <c r="W2282" s="564">
        <f>IF((N2282-MAX(N$470:N2282))/MAX(N$470:N2282)&gt;W2281,W2281,(N2282-MAX(N$470:N2282))/MAX(N$470:N2282))</f>
        <v>-0.62788758315546067</v>
      </c>
      <c r="X2282" s="564">
        <f>IF((O2282-MAX(O$470:O2282))/MAX(O$470:O2282)&gt;X2281,X2281,(O2282-MAX(O$470:O2282))/MAX(O$470:O2282))</f>
        <v>-0.62788758315546067</v>
      </c>
    </row>
    <row r="2283" spans="1:24">
      <c r="A2283" s="799">
        <v>42685</v>
      </c>
      <c r="B2283">
        <v>716.85299999999995</v>
      </c>
      <c r="C2283">
        <v>4771.3872300000003</v>
      </c>
      <c r="D2283">
        <v>1.8371200000000001</v>
      </c>
      <c r="E2283">
        <f>LN(D2283/参数实验室!$E$53)/参数实验室!$E$55</f>
        <v>2.4556600310938412E-2</v>
      </c>
      <c r="F2283">
        <f t="shared" si="298"/>
        <v>6.6560190583006564</v>
      </c>
      <c r="G2283">
        <f>LN(F2283/参数实验室!$E$58)/参数实验室!$E$59</f>
        <v>0.8043421334516071</v>
      </c>
      <c r="H2283" s="856">
        <f>INDEX(神经网络!$G$10:$BO$70,MATCH(ROUND(G2283*2,1)/2,神经网络!$E$10:$E$70,0),MATCH(ROUND(E2283*2,1)/2,神经网络!$G$8:$BO$8,0))</f>
        <v>1.5862448054422551</v>
      </c>
      <c r="I2283">
        <f t="shared" si="300"/>
        <v>1020.8646777829459</v>
      </c>
      <c r="J2283">
        <f t="shared" si="301"/>
        <v>286.04325445911928</v>
      </c>
      <c r="K2283">
        <f t="shared" si="302"/>
        <v>3.5689171545516931</v>
      </c>
      <c r="L2283" s="4">
        <f>MIN(MAX(L2282*(1+MAX(MIN(((B2283-B2282)/B2282)/($K$7*卓尔金历!$N$40),0),-卓尔金历!$M$43))+MIN(MAX(((B2283-B2282)/B2282)/($K$7*卓尔金历!$N$40),0),卓尔金历!$M$43),0),1)</f>
        <v>0.63580775537977829</v>
      </c>
      <c r="M2283" s="4">
        <f>MIN(MAX(M2282*(1+MAX(MIN(((B2283-B2282)/B2282)/($K$7*30),0),-卓尔金历!$M$43))+MIN(MAX(((B2283-B2282)/B2282)/($K$7*7),0),卓尔金历!$M$43),0),1)</f>
        <v>0.81573283594536328</v>
      </c>
      <c r="N2283">
        <f t="shared" si="303"/>
        <v>819.84500965634345</v>
      </c>
      <c r="O2283">
        <f t="shared" si="304"/>
        <v>2117.0512871058108</v>
      </c>
      <c r="P2283">
        <f t="shared" si="305"/>
        <v>-1.6336455782938249E-3</v>
      </c>
      <c r="Q2283">
        <f t="shared" si="296"/>
        <v>2.0087953721928752E-2</v>
      </c>
      <c r="R2283">
        <f t="shared" si="297"/>
        <v>1</v>
      </c>
      <c r="S2283">
        <f t="shared" si="299"/>
        <v>19.939108937829282</v>
      </c>
      <c r="T2283" s="564">
        <f>IF((I2283-MAX(I$470:I2283))/MAX(I$470:I2283)&gt;T2282,T2282,(I2283-MAX(I$470:I2283))/MAX(I$470:I2283))</f>
        <v>-0.91338805338419748</v>
      </c>
      <c r="U2283" s="564">
        <f>IF((J2283-MAX(J$470:J2283))/MAX(J$470:J2283)&gt;U2282,U2282,(J2283-MAX(J$470:J2283))/MAX(J$470:J2283))</f>
        <v>-0.8283551177402233</v>
      </c>
      <c r="V2283" s="564">
        <f>IF((K2283-MAX(K$470:K2283))/MAX(K$470:K2283)&gt;V2282,V2282,(K2283-MAX(K$470:K2283))/MAX(K$470:K2283))</f>
        <v>-0.84885940676762139</v>
      </c>
      <c r="W2283" s="564">
        <f>IF((N2283-MAX(N$470:N2283))/MAX(N$470:N2283)&gt;W2282,W2282,(N2283-MAX(N$470:N2283))/MAX(N$470:N2283))</f>
        <v>-0.62788758315546067</v>
      </c>
      <c r="X2283" s="564">
        <f>IF((O2283-MAX(O$470:O2283))/MAX(O$470:O2283)&gt;X2282,X2282,(O2283-MAX(O$470:O2283))/MAX(O$470:O2283))</f>
        <v>-0.62788758315546067</v>
      </c>
    </row>
    <row r="2284" spans="1:24">
      <c r="A2284" s="799">
        <v>42686</v>
      </c>
      <c r="B2284">
        <v>707.69600000000003</v>
      </c>
      <c r="C2284">
        <v>4644.7092730000004</v>
      </c>
      <c r="D2284">
        <v>1.8062210000000001</v>
      </c>
      <c r="E2284">
        <f>LN(D2284/参数实验室!$E$53)/参数实验室!$E$55</f>
        <v>4.5452593426531093E-3</v>
      </c>
      <c r="F2284">
        <f t="shared" si="298"/>
        <v>6.5631419041509353</v>
      </c>
      <c r="G2284">
        <f>LN(F2284/参数实验室!$E$58)/参数实验室!$E$59</f>
        <v>0.79696681634308131</v>
      </c>
      <c r="H2284" s="856">
        <f>INDEX(神经网络!$G$10:$BO$70,MATCH(ROUND(G2284*2,1)/2,神经网络!$E$10:$E$70,0),MATCH(ROUND(E2284*2,1)/2,神经网络!$G$8:$BO$8,0))</f>
        <v>1.5862448054422551</v>
      </c>
      <c r="I2284">
        <f t="shared" si="300"/>
        <v>1000.1793933346584</v>
      </c>
      <c r="J2284">
        <f t="shared" si="301"/>
        <v>282.38936993735246</v>
      </c>
      <c r="K2284">
        <f t="shared" si="302"/>
        <v>3.5418450544244857</v>
      </c>
      <c r="L2284" s="4">
        <f>MIN(MAX(L2283*(1+MAX(MIN(((B2284-B2283)/B2283)/($K$7*卓尔金历!$N$40),0),-卓尔金历!$M$43))+MIN(MAX(((B2284-B2283)/B2283)/($K$7*卓尔金历!$N$40),0),卓尔金历!$M$43),0),1)</f>
        <v>0.51171540611249011</v>
      </c>
      <c r="M2284" s="4">
        <f>MIN(MAX(M2283*(1+MAX(MIN(((B2284-B2283)/B2283)/($K$7*30),0),-卓尔金历!$M$43))+MIN(MAX(((B2284-B2283)/B2283)/($K$7*7),0),卓尔金历!$M$43),0),1)</f>
        <v>0.73612842476099238</v>
      </c>
      <c r="N2284">
        <f t="shared" si="303"/>
        <v>809.28289449284443</v>
      </c>
      <c r="O2284">
        <f t="shared" si="304"/>
        <v>2082.0589746458077</v>
      </c>
      <c r="P2284">
        <f t="shared" si="305"/>
        <v>-1.2773888091421709E-2</v>
      </c>
      <c r="Q2284">
        <f t="shared" ref="Q2284:Q2347" si="306">STDEVP(P2264:P2284)</f>
        <v>2.0479064577533727E-2</v>
      </c>
      <c r="R2284">
        <f t="shared" ref="R2284:R2347" si="307">MIN(Q2283*MAX(1-LN(MAX(ABS(P2284),0.0001)/Q2284),0)+MAX(-LN(MAX(ABS(P2284),0.0001)/Q2284),0),1)</f>
        <v>0.50156949823118924</v>
      </c>
      <c r="S2284">
        <f t="shared" si="299"/>
        <v>19.535092471200112</v>
      </c>
      <c r="T2284" s="564">
        <f>IF((I2284-MAX(I$470:I2284))/MAX(I$470:I2284)&gt;T2283,T2283,(I2284-MAX(I$470:I2284))/MAX(I$470:I2284))</f>
        <v>-0.91338805338419748</v>
      </c>
      <c r="U2284" s="564">
        <f>IF((J2284-MAX(J$470:J2284))/MAX(J$470:J2284)&gt;U2283,U2283,(J2284-MAX(J$470:J2284))/MAX(J$470:J2284))</f>
        <v>-0.8283551177402233</v>
      </c>
      <c r="V2284" s="564">
        <f>IF((K2284-MAX(K$470:K2284))/MAX(K$470:K2284)&gt;V2283,V2283,(K2284-MAX(K$470:K2284))/MAX(K$470:K2284))</f>
        <v>-0.84885940676762139</v>
      </c>
      <c r="W2284" s="564">
        <f>IF((N2284-MAX(N$470:N2284))/MAX(N$470:N2284)&gt;W2283,W2283,(N2284-MAX(N$470:N2284))/MAX(N$470:N2284))</f>
        <v>-0.62788758315546067</v>
      </c>
      <c r="X2284" s="564">
        <f>IF((O2284-MAX(O$470:O2284))/MAX(O$470:O2284)&gt;X2283,X2283,(O2284-MAX(O$470:O2284))/MAX(O$470:O2284))</f>
        <v>-0.62788758315546067</v>
      </c>
    </row>
    <row r="2285" spans="1:24">
      <c r="A2285" s="799">
        <v>42687</v>
      </c>
      <c r="B2285">
        <v>695.09799999999996</v>
      </c>
      <c r="C2285">
        <v>4627.4512560000003</v>
      </c>
      <c r="D2285">
        <v>1.8049820000000001</v>
      </c>
      <c r="E2285">
        <f>LN(D2285/参数实验室!$E$53)/参数实验室!$E$55</f>
        <v>3.7357150846108454E-3</v>
      </c>
      <c r="F2285">
        <f t="shared" si="298"/>
        <v>6.657264523851314</v>
      </c>
      <c r="G2285">
        <f>LN(F2285/参数实验室!$E$58)/参数实验室!$E$59</f>
        <v>0.80444033426399941</v>
      </c>
      <c r="H2285" s="856">
        <f>INDEX(神经网络!$G$10:$BO$70,MATCH(ROUND(G2285*2,1)/2,神经网络!$E$10:$E$70,0),MATCH(ROUND(E2285*2,1)/2,神经网络!$G$8:$BO$8,0))</f>
        <v>1.5862448054422551</v>
      </c>
      <c r="I2285">
        <f t="shared" si="300"/>
        <v>971.93690366702128</v>
      </c>
      <c r="J2285">
        <f t="shared" si="301"/>
        <v>277.36243565699647</v>
      </c>
      <c r="K2285">
        <f t="shared" si="302"/>
        <v>3.504212462530357</v>
      </c>
      <c r="L2285" s="4">
        <f>MIN(MAX(L2284*(1+MAX(MIN(((B2285-B2284)/B2284)/($K$7*卓尔金历!$N$40),0),-卓尔金历!$M$43))+MIN(MAX(((B2285-B2284)/B2284)/($K$7*卓尔金历!$N$40),0),卓尔金历!$M$43),0),1)</f>
        <v>0.37253457231532294</v>
      </c>
      <c r="M2285" s="4">
        <f>MIN(MAX(M2284*(1+MAX(MIN(((B2285-B2284)/B2284)/($K$7*30),0),-卓尔金历!$M$43))+MIN(MAX(((B2285-B2284)/B2284)/($K$7*7),0),卓尔金历!$M$43),0),1)</f>
        <v>0.63601909962030323</v>
      </c>
      <c r="N2285">
        <f t="shared" si="303"/>
        <v>797.5891411403727</v>
      </c>
      <c r="O2285">
        <f t="shared" si="304"/>
        <v>2038.7805254083626</v>
      </c>
      <c r="P2285">
        <f t="shared" si="305"/>
        <v>-1.7801428862110384E-2</v>
      </c>
      <c r="Q2285">
        <f t="shared" si="306"/>
        <v>2.0204554754909017E-2</v>
      </c>
      <c r="R2285">
        <f t="shared" si="307"/>
        <v>0.14970164957720627</v>
      </c>
      <c r="S2285">
        <f t="shared" si="299"/>
        <v>19.258416358402997</v>
      </c>
      <c r="T2285" s="564">
        <f>IF((I2285-MAX(I$470:I2285))/MAX(I$470:I2285)&gt;T2284,T2284,(I2285-MAX(I$470:I2285))/MAX(I$470:I2285))</f>
        <v>-0.91338805338419748</v>
      </c>
      <c r="U2285" s="564">
        <f>IF((J2285-MAX(J$470:J2285))/MAX(J$470:J2285)&gt;U2284,U2284,(J2285-MAX(J$470:J2285))/MAX(J$470:J2285))</f>
        <v>-0.8283551177402233</v>
      </c>
      <c r="V2285" s="564">
        <f>IF((K2285-MAX(K$470:K2285))/MAX(K$470:K2285)&gt;V2284,V2284,(K2285-MAX(K$470:K2285))/MAX(K$470:K2285))</f>
        <v>-0.84885940676762139</v>
      </c>
      <c r="W2285" s="564">
        <f>IF((N2285-MAX(N$470:N2285))/MAX(N$470:N2285)&gt;W2284,W2284,(N2285-MAX(N$470:N2285))/MAX(N$470:N2285))</f>
        <v>-0.62788758315546067</v>
      </c>
      <c r="X2285" s="564">
        <f>IF((O2285-MAX(O$470:O2285))/MAX(O$470:O2285)&gt;X2284,X2284,(O2285-MAX(O$470:O2285))/MAX(O$470:O2285))</f>
        <v>-0.62788758315546067</v>
      </c>
    </row>
    <row r="2286" spans="1:24">
      <c r="A2286" s="799">
        <v>42688</v>
      </c>
      <c r="B2286">
        <v>702.44299999999998</v>
      </c>
      <c r="C2286">
        <v>4536.3816699999998</v>
      </c>
      <c r="D2286">
        <v>1.808586</v>
      </c>
      <c r="E2286">
        <f>LN(D2286/参数实验室!$E$53)/参数实验室!$E$55</f>
        <v>6.0889748550417141E-3</v>
      </c>
      <c r="F2286">
        <f t="shared" si="298"/>
        <v>6.4580067991281851</v>
      </c>
      <c r="G2286">
        <f>LN(F2286/参数实验室!$E$58)/参数实验室!$E$59</f>
        <v>0.78849109958975105</v>
      </c>
      <c r="H2286" s="856">
        <f>INDEX(神经网络!$G$10:$BO$70,MATCH(ROUND(G2286*2,1)/2,神经网络!$E$10:$E$70,0),MATCH(ROUND(E2286*2,1)/2,神经网络!$G$8:$BO$8,0))</f>
        <v>1.5862448054422551</v>
      </c>
      <c r="I2286">
        <f t="shared" si="300"/>
        <v>988.22814009112801</v>
      </c>
      <c r="J2286">
        <f t="shared" si="301"/>
        <v>280.29328438609747</v>
      </c>
      <c r="K2286">
        <f t="shared" si="302"/>
        <v>3.5256932475409108</v>
      </c>
      <c r="L2286" s="4">
        <f>MIN(MAX(L2285*(1+MAX(MIN(((B2286-B2285)/B2285)/($K$7*卓尔金历!$N$40),0),-卓尔金历!$M$43))+MIN(MAX(((B2286-B2285)/B2285)/($K$7*卓尔金历!$N$40),0),卓尔金历!$M$43),0),1)</f>
        <v>0.53398598136955933</v>
      </c>
      <c r="M2286" s="4">
        <f>MIN(MAX(M2285*(1+MAX(MIN(((B2286-B2285)/B2285)/($K$7*30),0),-卓尔金历!$M$43))+MIN(MAX(((B2286-B2285)/B2285)/($K$7*7),0),卓尔金历!$M$43),0),1)</f>
        <v>0.98198640473652399</v>
      </c>
      <c r="N2286">
        <f t="shared" si="303"/>
        <v>802.56951321666372</v>
      </c>
      <c r="O2286">
        <f t="shared" si="304"/>
        <v>2060.5153734563883</v>
      </c>
      <c r="P2286">
        <f t="shared" si="305"/>
        <v>1.0566855321120228E-2</v>
      </c>
      <c r="Q2286">
        <f t="shared" si="306"/>
        <v>2.0150527712123004E-2</v>
      </c>
      <c r="R2286">
        <f t="shared" si="307"/>
        <v>0.67875499260941641</v>
      </c>
      <c r="S2286">
        <f t="shared" si="299"/>
        <v>19.306740386896884</v>
      </c>
      <c r="T2286" s="564">
        <f>IF((I2286-MAX(I$470:I2286))/MAX(I$470:I2286)&gt;T2285,T2285,(I2286-MAX(I$470:I2286))/MAX(I$470:I2286))</f>
        <v>-0.91338805338419748</v>
      </c>
      <c r="U2286" s="564">
        <f>IF((J2286-MAX(J$470:J2286))/MAX(J$470:J2286)&gt;U2285,U2285,(J2286-MAX(J$470:J2286))/MAX(J$470:J2286))</f>
        <v>-0.8283551177402233</v>
      </c>
      <c r="V2286" s="564">
        <f>IF((K2286-MAX(K$470:K2286))/MAX(K$470:K2286)&gt;V2285,V2285,(K2286-MAX(K$470:K2286))/MAX(K$470:K2286))</f>
        <v>-0.84885940676762139</v>
      </c>
      <c r="W2286" s="564">
        <f>IF((N2286-MAX(N$470:N2286))/MAX(N$470:N2286)&gt;W2285,W2285,(N2286-MAX(N$470:N2286))/MAX(N$470:N2286))</f>
        <v>-0.62788758315546067</v>
      </c>
      <c r="X2286" s="564">
        <f>IF((O2286-MAX(O$470:O2286))/MAX(O$470:O2286)&gt;X2285,X2285,(O2286-MAX(O$470:O2286))/MAX(O$470:O2286))</f>
        <v>-0.62788758315546067</v>
      </c>
    </row>
    <row r="2287" spans="1:24">
      <c r="A2287" s="799">
        <v>42689</v>
      </c>
      <c r="B2287">
        <v>709.822</v>
      </c>
      <c r="C2287">
        <v>4459.4756200000002</v>
      </c>
      <c r="D2287">
        <v>1.823412</v>
      </c>
      <c r="E2287">
        <f>LN(D2287/参数实验室!$E$53)/参数实验室!$E$55</f>
        <v>1.5720653478142204E-2</v>
      </c>
      <c r="F2287">
        <f t="shared" si="298"/>
        <v>6.282526633437679</v>
      </c>
      <c r="G2287">
        <f>LN(F2287/参数实验室!$E$58)/参数实验室!$E$59</f>
        <v>0.77403216038468381</v>
      </c>
      <c r="H2287" s="856">
        <f>INDEX(神经网络!$G$10:$BO$70,MATCH(ROUND(G2287*2,1)/2,神经网络!$E$10:$E$70,0),MATCH(ROUND(E2287*2,1)/2,神经网络!$G$8:$BO$8,0))</f>
        <v>1.5633225619731501</v>
      </c>
      <c r="I2287">
        <f t="shared" si="300"/>
        <v>1004.6951160185336</v>
      </c>
      <c r="J2287">
        <f t="shared" si="301"/>
        <v>283.23770001197033</v>
      </c>
      <c r="K2287">
        <f t="shared" si="302"/>
        <v>3.5471800398607694</v>
      </c>
      <c r="L2287" s="4">
        <f>MIN(MAX(L2286*(1+MAX(MIN(((B2287-B2286)/B2286)/($K$7*卓尔金历!$N$40),0),-卓尔金历!$M$43))+MIN(MAX(((B2287-B2286)/B2286)/($K$7*卓尔金历!$N$40),0),卓尔金历!$M$43),0),1)</f>
        <v>0.69448873946298784</v>
      </c>
      <c r="M2287" s="4">
        <f>MIN(MAX(M2286*(1+MAX(MIN(((B2287-B2286)/B2286)/($K$7*30),0),-卓尔金历!$M$43))+MIN(MAX(((B2287-B2286)/B2286)/($K$7*7),0),卓尔金历!$M$43),0),1)</f>
        <v>1</v>
      </c>
      <c r="N2287">
        <f t="shared" si="303"/>
        <v>809.71067954165687</v>
      </c>
      <c r="O2287">
        <f t="shared" si="304"/>
        <v>2094.2315227751374</v>
      </c>
      <c r="P2287">
        <f t="shared" si="305"/>
        <v>1.0504766934826056E-2</v>
      </c>
      <c r="Q2287">
        <f t="shared" si="306"/>
        <v>2.0198874470428878E-2</v>
      </c>
      <c r="R2287">
        <f t="shared" si="307"/>
        <v>0.68712263273884178</v>
      </c>
      <c r="S2287">
        <f t="shared" si="299"/>
        <v>19.525103173611047</v>
      </c>
      <c r="T2287" s="564">
        <f>IF((I2287-MAX(I$470:I2287))/MAX(I$470:I2287)&gt;T2286,T2286,(I2287-MAX(I$470:I2287))/MAX(I$470:I2287))</f>
        <v>-0.91338805338419748</v>
      </c>
      <c r="U2287" s="564">
        <f>IF((J2287-MAX(J$470:J2287))/MAX(J$470:J2287)&gt;U2286,U2286,(J2287-MAX(J$470:J2287))/MAX(J$470:J2287))</f>
        <v>-0.8283551177402233</v>
      </c>
      <c r="V2287" s="564">
        <f>IF((K2287-MAX(K$470:K2287))/MAX(K$470:K2287)&gt;V2286,V2286,(K2287-MAX(K$470:K2287))/MAX(K$470:K2287))</f>
        <v>-0.84885940676762139</v>
      </c>
      <c r="W2287" s="564">
        <f>IF((N2287-MAX(N$470:N2287))/MAX(N$470:N2287)&gt;W2286,W2286,(N2287-MAX(N$470:N2287))/MAX(N$470:N2287))</f>
        <v>-0.62788758315546067</v>
      </c>
      <c r="X2287" s="564">
        <f>IF((O2287-MAX(O$470:O2287))/MAX(O$470:O2287)&gt;X2286,X2286,(O2287-MAX(O$470:O2287))/MAX(O$470:O2287))</f>
        <v>-0.62788758315546067</v>
      </c>
    </row>
    <row r="2288" spans="1:24">
      <c r="A2288" s="799">
        <v>42690</v>
      </c>
      <c r="B2288">
        <v>714.779</v>
      </c>
      <c r="C2288">
        <v>4326.5253409999996</v>
      </c>
      <c r="D2288">
        <v>1.892617</v>
      </c>
      <c r="E2288">
        <f>LN(D2288/参数实验室!$E$53)/参数实验室!$E$55</f>
        <v>5.9667707806309513E-2</v>
      </c>
      <c r="F2288">
        <f t="shared" si="298"/>
        <v>6.0529553064653543</v>
      </c>
      <c r="G2288">
        <f>LN(F2288/参数实验室!$E$58)/参数实验室!$E$59</f>
        <v>0.75449415552943178</v>
      </c>
      <c r="H2288" s="856">
        <f>INDEX(神经网络!$G$10:$BO$70,MATCH(ROUND(G2288*2,1)/2,神经网络!$E$10:$E$70,0),MATCH(ROUND(E2288*2,1)/2,神经网络!$G$8:$BO$8,0))</f>
        <v>1.6536879466188676</v>
      </c>
      <c r="I2288">
        <f t="shared" si="300"/>
        <v>1015.6637450896818</v>
      </c>
      <c r="J2288">
        <f t="shared" si="301"/>
        <v>285.21567375603485</v>
      </c>
      <c r="K2288">
        <f t="shared" si="302"/>
        <v>3.5610376236140895</v>
      </c>
      <c r="L2288" s="4">
        <f>MIN(MAX(L2287*(1+MAX(MIN(((B2288-B2287)/B2287)/($K$7*卓尔金历!$N$40),0),-卓尔金历!$M$43))+MIN(MAX(((B2288-B2287)/B2287)/($K$7*卓尔金历!$N$40),0),卓尔金历!$M$43),0),1)</f>
        <v>0.80118901519824526</v>
      </c>
      <c r="M2288" s="4">
        <f>MIN(MAX(M2287*(1+MAX(MIN(((B2288-B2287)/B2287)/($K$7*30),0),-卓尔金历!$M$43))+MIN(MAX(((B2288-B2287)/B2287)/($K$7*7),0),卓尔金历!$M$43),0),1)</f>
        <v>1</v>
      </c>
      <c r="N2288">
        <f t="shared" si="303"/>
        <v>815.84989866673095</v>
      </c>
      <c r="O2288">
        <f t="shared" si="304"/>
        <v>2117.0950247432338</v>
      </c>
      <c r="P2288">
        <f t="shared" si="305"/>
        <v>6.9834409189909489E-3</v>
      </c>
      <c r="Q2288">
        <f t="shared" si="306"/>
        <v>2.0144979126035408E-2</v>
      </c>
      <c r="R2288">
        <f t="shared" si="307"/>
        <v>1</v>
      </c>
      <c r="S2288">
        <f t="shared" si="299"/>
        <v>19.671572151253812</v>
      </c>
      <c r="T2288" s="564">
        <f>IF((I2288-MAX(I$470:I2288))/MAX(I$470:I2288)&gt;T2287,T2287,(I2288-MAX(I$470:I2288))/MAX(I$470:I2288))</f>
        <v>-0.91338805338419748</v>
      </c>
      <c r="U2288" s="564">
        <f>IF((J2288-MAX(J$470:J2288))/MAX(J$470:J2288)&gt;U2287,U2287,(J2288-MAX(J$470:J2288))/MAX(J$470:J2288))</f>
        <v>-0.8283551177402233</v>
      </c>
      <c r="V2288" s="564">
        <f>IF((K2288-MAX(K$470:K2288))/MAX(K$470:K2288)&gt;V2287,V2287,(K2288-MAX(K$470:K2288))/MAX(K$470:K2288))</f>
        <v>-0.84885940676762139</v>
      </c>
      <c r="W2288" s="564">
        <f>IF((N2288-MAX(N$470:N2288))/MAX(N$470:N2288)&gt;W2287,W2287,(N2288-MAX(N$470:N2288))/MAX(N$470:N2288))</f>
        <v>-0.62788758315546067</v>
      </c>
      <c r="X2288" s="564">
        <f>IF((O2288-MAX(O$470:O2288))/MAX(O$470:O2288)&gt;X2287,X2287,(O2288-MAX(O$470:O2288))/MAX(O$470:O2288))</f>
        <v>-0.62788758315546067</v>
      </c>
    </row>
    <row r="2289" spans="1:24">
      <c r="A2289" s="799">
        <v>42691</v>
      </c>
      <c r="B2289">
        <v>741.73500000000001</v>
      </c>
      <c r="C2289">
        <v>4316.7732660000001</v>
      </c>
      <c r="D2289">
        <v>1.872045</v>
      </c>
      <c r="E2289">
        <f>LN(D2289/参数实验室!$E$53)/参数实验室!$E$55</f>
        <v>4.6774053442744282E-2</v>
      </c>
      <c r="F2289">
        <f t="shared" si="298"/>
        <v>5.8198322392768311</v>
      </c>
      <c r="G2289">
        <f>LN(F2289/参数实验室!$E$58)/参数实验室!$E$59</f>
        <v>0.73388040973750923</v>
      </c>
      <c r="H2289" s="856">
        <f>INDEX(神经网络!$G$10:$BO$70,MATCH(ROUND(G2289*2,1)/2,神经网络!$E$10:$E$70,0),MATCH(ROUND(E2289*2,1)/2,神经网络!$G$8:$BO$8,0))</f>
        <v>1.6536879466188676</v>
      </c>
      <c r="I2289">
        <f t="shared" si="300"/>
        <v>1079.0050745267031</v>
      </c>
      <c r="J2289">
        <f t="shared" si="301"/>
        <v>295.97182873787915</v>
      </c>
      <c r="K2289">
        <f t="shared" si="302"/>
        <v>3.6456343805690365</v>
      </c>
      <c r="L2289" s="4">
        <f>MIN(MAX(L2288*(1+MAX(MIN(((B2289-B2288)/B2288)/($K$7*卓尔金历!$N$40),0),-卓尔金历!$M$43))+MIN(MAX(((B2289-B2288)/B2288)/($K$7*卓尔金历!$N$40),0),卓尔金历!$M$43),0),1)</f>
        <v>1</v>
      </c>
      <c r="M2289" s="4">
        <f>MIN(MAX(M2288*(1+MAX(MIN(((B2289-B2288)/B2288)/($K$7*30),0),-卓尔金历!$M$43))+MIN(MAX(((B2289-B2288)/B2288)/($K$7*7),0),卓尔金历!$M$43),0),1)</f>
        <v>1</v>
      </c>
      <c r="N2289">
        <f t="shared" si="303"/>
        <v>856.61443192993795</v>
      </c>
      <c r="O2289">
        <f t="shared" si="304"/>
        <v>2249.1265303079999</v>
      </c>
      <c r="P2289">
        <f t="shared" si="305"/>
        <v>3.771235584705205E-2</v>
      </c>
      <c r="Q2289">
        <f t="shared" si="306"/>
        <v>2.0366774288479987E-2</v>
      </c>
      <c r="R2289">
        <f t="shared" si="307"/>
        <v>7.7340015556629461E-3</v>
      </c>
      <c r="S2289">
        <f t="shared" si="299"/>
        <v>20.89837928914833</v>
      </c>
      <c r="T2289" s="564">
        <f>IF((I2289-MAX(I$470:I2289))/MAX(I$470:I2289)&gt;T2288,T2288,(I2289-MAX(I$470:I2289))/MAX(I$470:I2289))</f>
        <v>-0.91338805338419748</v>
      </c>
      <c r="U2289" s="564">
        <f>IF((J2289-MAX(J$470:J2289))/MAX(J$470:J2289)&gt;U2288,U2288,(J2289-MAX(J$470:J2289))/MAX(J$470:J2289))</f>
        <v>-0.8283551177402233</v>
      </c>
      <c r="V2289" s="564">
        <f>IF((K2289-MAX(K$470:K2289))/MAX(K$470:K2289)&gt;V2288,V2288,(K2289-MAX(K$470:K2289))/MAX(K$470:K2289))</f>
        <v>-0.84885940676762139</v>
      </c>
      <c r="W2289" s="564">
        <f>IF((N2289-MAX(N$470:N2289))/MAX(N$470:N2289)&gt;W2288,W2288,(N2289-MAX(N$470:N2289))/MAX(N$470:N2289))</f>
        <v>-0.62788758315546067</v>
      </c>
      <c r="X2289" s="564">
        <f>IF((O2289-MAX(O$470:O2289))/MAX(O$470:O2289)&gt;X2288,X2288,(O2289-MAX(O$470:O2289))/MAX(O$470:O2289))</f>
        <v>-0.62788758315546067</v>
      </c>
    </row>
    <row r="2290" spans="1:24">
      <c r="A2290" s="799">
        <v>42692</v>
      </c>
      <c r="B2290">
        <v>751.23099999999999</v>
      </c>
      <c r="C2290">
        <v>4253.1574760000003</v>
      </c>
      <c r="D2290">
        <v>1.9045799999999999</v>
      </c>
      <c r="E2290">
        <f>LN(D2290/参数实验室!$E$53)/参数实验室!$E$55</f>
        <v>6.7101314623247796E-2</v>
      </c>
      <c r="F2290">
        <f t="shared" si="298"/>
        <v>5.6615840879835897</v>
      </c>
      <c r="G2290">
        <f>LN(F2290/参数实验室!$E$58)/参数实验室!$E$59</f>
        <v>0.71941138610448974</v>
      </c>
      <c r="H2290" s="856">
        <f>INDEX(神经网络!$G$10:$BO$70,MATCH(ROUND(G2290*2,1)/2,神经网络!$E$10:$E$70,0),MATCH(ROUND(E2290*2,1)/2,神经网络!$G$8:$BO$8,0))</f>
        <v>1.626531289104566</v>
      </c>
      <c r="I2290">
        <f t="shared" si="300"/>
        <v>1101.8489077920431</v>
      </c>
      <c r="J2290">
        <f t="shared" si="301"/>
        <v>299.76098320098919</v>
      </c>
      <c r="K2290">
        <f t="shared" si="302"/>
        <v>3.675758252545013</v>
      </c>
      <c r="L2290" s="4">
        <f>MIN(MAX(L2289*(1+MAX(MIN(((B2290-B2289)/B2289)/($K$7*卓尔金历!$N$40),0),-卓尔金历!$M$43))+MIN(MAX(((B2290-B2289)/B2289)/($K$7*卓尔金历!$N$40),0),卓尔金历!$M$43),0),1)</f>
        <v>1</v>
      </c>
      <c r="M2290" s="4">
        <f>MIN(MAX(M2289*(1+MAX(MIN(((B2290-B2289)/B2289)/($K$7*30),0),-卓尔金历!$M$43))+MIN(MAX(((B2290-B2289)/B2289)/($K$7*7),0),卓尔金历!$M$43),0),1)</f>
        <v>1</v>
      </c>
      <c r="N2290">
        <f t="shared" si="303"/>
        <v>874.74998821012969</v>
      </c>
      <c r="O2290">
        <f t="shared" si="304"/>
        <v>2296.743240056604</v>
      </c>
      <c r="P2290">
        <f t="shared" si="305"/>
        <v>1.2802415957181448E-2</v>
      </c>
      <c r="Q2290">
        <f t="shared" si="306"/>
        <v>2.0436874077606932E-2</v>
      </c>
      <c r="R2290">
        <f t="shared" si="307"/>
        <v>0.4975993778534118</v>
      </c>
      <c r="S2290">
        <f t="shared" si="299"/>
        <v>20.901801150089806</v>
      </c>
      <c r="T2290" s="564">
        <f>IF((I2290-MAX(I$470:I2290))/MAX(I$470:I2290)&gt;T2289,T2289,(I2290-MAX(I$470:I2290))/MAX(I$470:I2290))</f>
        <v>-0.91338805338419748</v>
      </c>
      <c r="U2290" s="564">
        <f>IF((J2290-MAX(J$470:J2290))/MAX(J$470:J2290)&gt;U2289,U2289,(J2290-MAX(J$470:J2290))/MAX(J$470:J2290))</f>
        <v>-0.8283551177402233</v>
      </c>
      <c r="V2290" s="564">
        <f>IF((K2290-MAX(K$470:K2290))/MAX(K$470:K2290)&gt;V2289,V2289,(K2290-MAX(K$470:K2290))/MAX(K$470:K2290))</f>
        <v>-0.84885940676762139</v>
      </c>
      <c r="W2290" s="564">
        <f>IF((N2290-MAX(N$470:N2290))/MAX(N$470:N2290)&gt;W2289,W2289,(N2290-MAX(N$470:N2290))/MAX(N$470:N2290))</f>
        <v>-0.62788758315546067</v>
      </c>
      <c r="X2290" s="564">
        <f>IF((O2290-MAX(O$470:O2290))/MAX(O$470:O2290)&gt;X2289,X2289,(O2290-MAX(O$470:O2290))/MAX(O$470:O2290))</f>
        <v>-0.62788758315546067</v>
      </c>
    </row>
    <row r="2291" spans="1:24">
      <c r="A2291" s="799">
        <v>42693</v>
      </c>
      <c r="B2291">
        <v>748.74900000000002</v>
      </c>
      <c r="C2291">
        <v>4232.2849329999999</v>
      </c>
      <c r="D2291">
        <v>1.906898</v>
      </c>
      <c r="E2291">
        <f>LN(D2291/参数实验室!$E$53)/参数实验室!$E$55</f>
        <v>6.8536279409442583E-2</v>
      </c>
      <c r="F2291">
        <f t="shared" si="298"/>
        <v>5.6524749054756667</v>
      </c>
      <c r="G2291">
        <f>LN(F2291/参数实验室!$E$58)/参数实验室!$E$59</f>
        <v>0.71856624426737192</v>
      </c>
      <c r="H2291" s="856">
        <f>INDEX(神经网络!$G$10:$BO$70,MATCH(ROUND(G2291*2,1)/2,神经网络!$E$10:$E$70,0),MATCH(ROUND(E2291*2,1)/2,神经网络!$G$8:$BO$8,0))</f>
        <v>1.626531289104566</v>
      </c>
      <c r="I2291">
        <f t="shared" si="300"/>
        <v>1095.927666709161</v>
      </c>
      <c r="J2291">
        <f t="shared" si="301"/>
        <v>298.77059973664223</v>
      </c>
      <c r="K2291">
        <f t="shared" si="302"/>
        <v>3.6681241985496231</v>
      </c>
      <c r="L2291" s="4">
        <f>MIN(MAX(L2290*(1+MAX(MIN(((B2291-B2290)/B2290)/($K$7*卓尔金历!$N$40),0),-卓尔金历!$M$43))+MIN(MAX(((B2291-B2290)/B2290)/($K$7*卓尔金历!$N$40),0),卓尔金历!$M$43),0),1)</f>
        <v>0.94951941785845262</v>
      </c>
      <c r="M2291" s="4">
        <f>MIN(MAX(M2290*(1+MAX(MIN(((B2291-B2290)/B2290)/($K$7*30),0),-卓尔金历!$M$43))+MIN(MAX(((B2291-B2290)/B2290)/($K$7*7),0),卓尔金历!$M$43),0),1)</f>
        <v>0.97475970892922625</v>
      </c>
      <c r="N2291">
        <f t="shared" si="303"/>
        <v>870.04915715170478</v>
      </c>
      <c r="O2291">
        <f t="shared" si="304"/>
        <v>2284.4007397975561</v>
      </c>
      <c r="P2291">
        <f t="shared" si="305"/>
        <v>-3.3039105148748799E-3</v>
      </c>
      <c r="Q2291">
        <f t="shared" si="306"/>
        <v>2.0005079600247513E-2</v>
      </c>
      <c r="R2291">
        <f t="shared" si="307"/>
        <v>1</v>
      </c>
      <c r="S2291">
        <f t="shared" si="299"/>
        <v>20.84590855959577</v>
      </c>
      <c r="T2291" s="564">
        <f>IF((I2291-MAX(I$470:I2291))/MAX(I$470:I2291)&gt;T2290,T2290,(I2291-MAX(I$470:I2291))/MAX(I$470:I2291))</f>
        <v>-0.91338805338419748</v>
      </c>
      <c r="U2291" s="564">
        <f>IF((J2291-MAX(J$470:J2291))/MAX(J$470:J2291)&gt;U2290,U2290,(J2291-MAX(J$470:J2291))/MAX(J$470:J2291))</f>
        <v>-0.8283551177402233</v>
      </c>
      <c r="V2291" s="564">
        <f>IF((K2291-MAX(K$470:K2291))/MAX(K$470:K2291)&gt;V2290,V2290,(K2291-MAX(K$470:K2291))/MAX(K$470:K2291))</f>
        <v>-0.84885940676762139</v>
      </c>
      <c r="W2291" s="564">
        <f>IF((N2291-MAX(N$470:N2291))/MAX(N$470:N2291)&gt;W2290,W2290,(N2291-MAX(N$470:N2291))/MAX(N$470:N2291))</f>
        <v>-0.62788758315546067</v>
      </c>
      <c r="X2291" s="564">
        <f>IF((O2291-MAX(O$470:O2291))/MAX(O$470:O2291)&gt;X2290,X2290,(O2291-MAX(O$470:O2291))/MAX(O$470:O2291))</f>
        <v>-0.62788758315546067</v>
      </c>
    </row>
    <row r="2292" spans="1:24">
      <c r="A2292" s="799">
        <v>42694</v>
      </c>
      <c r="B2292">
        <v>752.46699999999998</v>
      </c>
      <c r="C2292">
        <v>4335.650807</v>
      </c>
      <c r="D2292">
        <v>1.8535630000000001</v>
      </c>
      <c r="E2292">
        <f>LN(D2292/参数实验室!$E$53)/参数实验室!$E$55</f>
        <v>3.5068915209436717E-2</v>
      </c>
      <c r="F2292">
        <f t="shared" si="298"/>
        <v>5.7619148839749785</v>
      </c>
      <c r="G2292">
        <f>LN(F2292/参数实验室!$E$58)/参数实验室!$E$59</f>
        <v>0.72863104430611458</v>
      </c>
      <c r="H2292" s="856">
        <f>INDEX(神经网络!$G$10:$BO$70,MATCH(ROUND(G2292*2,1)/2,神经网络!$E$10:$E$70,0),MATCH(ROUND(E2292*2,1)/2,神经网络!$G$8:$BO$8,0))</f>
        <v>1.6536879466188676</v>
      </c>
      <c r="I2292">
        <f t="shared" si="300"/>
        <v>1104.7791783123428</v>
      </c>
      <c r="J2292">
        <f t="shared" si="301"/>
        <v>300.25417980128447</v>
      </c>
      <c r="K2292">
        <f t="shared" si="302"/>
        <v>3.6794797629245748</v>
      </c>
      <c r="L2292" s="4">
        <f>MIN(MAX(L2291*(1+MAX(MIN(((B2292-B2291)/B2291)/($K$7*卓尔金历!$N$40),0),-卓尔金历!$M$43))+MIN(MAX(((B2292-B2291)/B2291)/($K$7*卓尔金历!$N$40),0),卓尔金历!$M$43),0),1)</f>
        <v>1</v>
      </c>
      <c r="M2292" s="4">
        <f>MIN(MAX(M2291*(1+MAX(MIN(((B2292-B2291)/B2291)/($K$7*30),0),-卓尔金历!$M$43))+MIN(MAX(((B2292-B2291)/B2291)/($K$7*7),0),卓尔金历!$M$43),0),1)</f>
        <v>1</v>
      </c>
      <c r="N2292">
        <f t="shared" si="303"/>
        <v>876.72157435421309</v>
      </c>
      <c r="O2292">
        <f t="shared" si="304"/>
        <v>2302.3855315685041</v>
      </c>
      <c r="P2292">
        <f t="shared" si="305"/>
        <v>4.9656159807892376E-3</v>
      </c>
      <c r="Q2292">
        <f t="shared" si="306"/>
        <v>1.9942603151359487E-2</v>
      </c>
      <c r="R2292">
        <f t="shared" si="307"/>
        <v>1</v>
      </c>
      <c r="S2292">
        <f t="shared" si="299"/>
        <v>21.014275329683979</v>
      </c>
      <c r="T2292" s="564">
        <f>IF((I2292-MAX(I$470:I2292))/MAX(I$470:I2292)&gt;T2291,T2291,(I2292-MAX(I$470:I2292))/MAX(I$470:I2292))</f>
        <v>-0.91338805338419748</v>
      </c>
      <c r="U2292" s="564">
        <f>IF((J2292-MAX(J$470:J2292))/MAX(J$470:J2292)&gt;U2291,U2291,(J2292-MAX(J$470:J2292))/MAX(J$470:J2292))</f>
        <v>-0.8283551177402233</v>
      </c>
      <c r="V2292" s="564">
        <f>IF((K2292-MAX(K$470:K2292))/MAX(K$470:K2292)&gt;V2291,V2291,(K2292-MAX(K$470:K2292))/MAX(K$470:K2292))</f>
        <v>-0.84885940676762139</v>
      </c>
      <c r="W2292" s="564">
        <f>IF((N2292-MAX(N$470:N2292))/MAX(N$470:N2292)&gt;W2291,W2291,(N2292-MAX(N$470:N2292))/MAX(N$470:N2292))</f>
        <v>-0.62788758315546067</v>
      </c>
      <c r="X2292" s="564">
        <f>IF((O2292-MAX(O$470:O2292))/MAX(O$470:O2292)&gt;X2291,X2291,(O2292-MAX(O$470:O2292))/MAX(O$470:O2292))</f>
        <v>-0.62788758315546067</v>
      </c>
    </row>
    <row r="2293" spans="1:24">
      <c r="A2293" s="799">
        <v>42695</v>
      </c>
      <c r="B2293">
        <v>734.12800000000004</v>
      </c>
      <c r="C2293">
        <v>4366.0849600000001</v>
      </c>
      <c r="D2293">
        <v>1.86694</v>
      </c>
      <c r="E2293">
        <f>LN(D2293/参数实验室!$E$53)/参数实验室!$E$55</f>
        <v>4.3552513878997362E-2</v>
      </c>
      <c r="F2293">
        <f t="shared" si="298"/>
        <v>5.9473074995096225</v>
      </c>
      <c r="G2293">
        <f>LN(F2293/参数实验室!$E$58)/参数实验室!$E$59</f>
        <v>0.7452525060487214</v>
      </c>
      <c r="H2293" s="856">
        <f>INDEX(神经网络!$G$10:$BO$70,MATCH(ROUND(G2293*2,1)/2,神经网络!$E$10:$E$70,0),MATCH(ROUND(E2293*2,1)/2,神经网络!$G$8:$BO$8,0))</f>
        <v>1.6536879466188676</v>
      </c>
      <c r="I2293">
        <f t="shared" si="300"/>
        <v>1060.2528141807738</v>
      </c>
      <c r="J2293">
        <f t="shared" si="301"/>
        <v>292.93643509835965</v>
      </c>
      <c r="K2293">
        <f t="shared" si="302"/>
        <v>3.6193954972681066</v>
      </c>
      <c r="L2293" s="4">
        <f>MIN(MAX(L2292*(1+MAX(MIN(((B2293-B2292)/B2292)/($K$7*卓尔金历!$N$40),0),-卓尔金历!$M$43))+MIN(MAX(((B2293-B2292)/B2292)/($K$7*卓尔金历!$N$40),0),卓尔金历!$M$43),0),1)</f>
        <v>0.62762178091768139</v>
      </c>
      <c r="M2293" s="4">
        <f>MIN(MAX(M2292*(1+MAX(MIN(((B2293-B2292)/B2292)/($K$7*30),0),-卓尔金历!$M$43))+MIN(MAX(((B2293-B2292)/B2292)/($K$7*7),0),卓尔金历!$M$43),0),1)</f>
        <v>0.8138108904588407</v>
      </c>
      <c r="N2293">
        <f t="shared" si="303"/>
        <v>841.38670850225947</v>
      </c>
      <c r="O2293">
        <f t="shared" si="304"/>
        <v>2209.5915519548771</v>
      </c>
      <c r="P2293">
        <f t="shared" si="305"/>
        <v>-2.4371832917589663E-2</v>
      </c>
      <c r="Q2293">
        <f t="shared" si="306"/>
        <v>2.0471399339208052E-2</v>
      </c>
      <c r="R2293">
        <f t="shared" si="307"/>
        <v>1.6464626742069555E-2</v>
      </c>
      <c r="S2293">
        <f t="shared" si="299"/>
        <v>20.167328452281826</v>
      </c>
      <c r="T2293" s="564">
        <f>IF((I2293-MAX(I$470:I2293))/MAX(I$470:I2293)&gt;T2292,T2292,(I2293-MAX(I$470:I2293))/MAX(I$470:I2293))</f>
        <v>-0.91338805338419748</v>
      </c>
      <c r="U2293" s="564">
        <f>IF((J2293-MAX(J$470:J2293))/MAX(J$470:J2293)&gt;U2292,U2292,(J2293-MAX(J$470:J2293))/MAX(J$470:J2293))</f>
        <v>-0.8283551177402233</v>
      </c>
      <c r="V2293" s="564">
        <f>IF((K2293-MAX(K$470:K2293))/MAX(K$470:K2293)&gt;V2292,V2292,(K2293-MAX(K$470:K2293))/MAX(K$470:K2293))</f>
        <v>-0.84885940676762139</v>
      </c>
      <c r="W2293" s="564">
        <f>IF((N2293-MAX(N$470:N2293))/MAX(N$470:N2293)&gt;W2292,W2292,(N2293-MAX(N$470:N2293))/MAX(N$470:N2293))</f>
        <v>-0.62788758315546067</v>
      </c>
      <c r="X2293" s="564">
        <f>IF((O2293-MAX(O$470:O2293))/MAX(O$470:O2293)&gt;X2292,X2292,(O2293-MAX(O$470:O2293))/MAX(O$470:O2293))</f>
        <v>-0.62788758315546067</v>
      </c>
    </row>
    <row r="2294" spans="1:24">
      <c r="A2294" s="799">
        <v>42696</v>
      </c>
      <c r="B2294">
        <v>740.75400000000002</v>
      </c>
      <c r="C2294">
        <v>4396.7425219999996</v>
      </c>
      <c r="D2294">
        <v>1.8925909999999999</v>
      </c>
      <c r="E2294">
        <f>LN(D2294/参数实验室!$E$53)/参数实验室!$E$55</f>
        <v>5.9651500726358352E-2</v>
      </c>
      <c r="F2294">
        <f t="shared" si="298"/>
        <v>5.9354961593187472</v>
      </c>
      <c r="G2294">
        <f>LN(F2294/参数实验室!$E$58)/参数实验室!$E$59</f>
        <v>0.74420911058869144</v>
      </c>
      <c r="H2294" s="856">
        <f>INDEX(神经网络!$G$10:$BO$70,MATCH(ROUND(G2294*2,1)/2,神经网络!$E$10:$E$70,0),MATCH(ROUND(E2294*2,1)/2,神经网络!$G$8:$BO$8,0))</f>
        <v>1.6536879466188676</v>
      </c>
      <c r="I2294">
        <f t="shared" si="300"/>
        <v>1076.077774793042</v>
      </c>
      <c r="J2294">
        <f t="shared" si="301"/>
        <v>295.58038386337302</v>
      </c>
      <c r="K2294">
        <f t="shared" si="302"/>
        <v>3.640558824398985</v>
      </c>
      <c r="L2294" s="4">
        <f>MIN(MAX(L2293*(1+MAX(MIN(((B2294-B2293)/B2293)/($K$7*卓尔金历!$N$40),0),-卓尔金历!$M$43))+MIN(MAX(((B2294-B2293)/B2293)/($K$7*卓尔金历!$N$40),0),卓尔金历!$M$43),0),1)</f>
        <v>0.76552541829899012</v>
      </c>
      <c r="M2294" s="4">
        <f>MIN(MAX(M2293*(1+MAX(MIN(((B2294-B2293)/B2293)/($K$7*30),0),-卓尔金历!$M$43))+MIN(MAX(((B2294-B2293)/B2293)/($K$7*7),0),卓尔金历!$M$43),0),1)</f>
        <v>1</v>
      </c>
      <c r="N2294">
        <f t="shared" si="303"/>
        <v>849.26853477073223</v>
      </c>
      <c r="O2294">
        <f t="shared" si="304"/>
        <v>2236.4306985206367</v>
      </c>
      <c r="P2294">
        <f t="shared" si="305"/>
        <v>9.0256739969051397E-3</v>
      </c>
      <c r="Q2294">
        <f t="shared" si="306"/>
        <v>1.913324936930192E-2</v>
      </c>
      <c r="R2294">
        <f t="shared" si="307"/>
        <v>0.78720711995841985</v>
      </c>
      <c r="S2294">
        <f t="shared" si="299"/>
        <v>20.172284477012965</v>
      </c>
      <c r="T2294" s="564">
        <f>IF((I2294-MAX(I$470:I2294))/MAX(I$470:I2294)&gt;T2293,T2293,(I2294-MAX(I$470:I2294))/MAX(I$470:I2294))</f>
        <v>-0.91338805338419748</v>
      </c>
      <c r="U2294" s="564">
        <f>IF((J2294-MAX(J$470:J2294))/MAX(J$470:J2294)&gt;U2293,U2293,(J2294-MAX(J$470:J2294))/MAX(J$470:J2294))</f>
        <v>-0.8283551177402233</v>
      </c>
      <c r="V2294" s="564">
        <f>IF((K2294-MAX(K$470:K2294))/MAX(K$470:K2294)&gt;V2293,V2293,(K2294-MAX(K$470:K2294))/MAX(K$470:K2294))</f>
        <v>-0.84885940676762139</v>
      </c>
      <c r="W2294" s="564">
        <f>IF((N2294-MAX(N$470:N2294))/MAX(N$470:N2294)&gt;W2293,W2293,(N2294-MAX(N$470:N2294))/MAX(N$470:N2294))</f>
        <v>-0.62788758315546067</v>
      </c>
      <c r="X2294" s="564">
        <f>IF((O2294-MAX(O$470:O2294))/MAX(O$470:O2294)&gt;X2293,X2293,(O2294-MAX(O$470:O2294))/MAX(O$470:O2294))</f>
        <v>-0.62788758315546067</v>
      </c>
    </row>
    <row r="2295" spans="1:24">
      <c r="A2295" s="799">
        <v>42697</v>
      </c>
      <c r="B2295">
        <v>743.08600000000001</v>
      </c>
      <c r="C2295">
        <v>4386.6450299999997</v>
      </c>
      <c r="D2295">
        <v>1.869653</v>
      </c>
      <c r="E2295">
        <f>LN(D2295/参数实验室!$E$53)/参数实验室!$E$55</f>
        <v>4.526566332466949E-2</v>
      </c>
      <c r="F2295">
        <f t="shared" si="298"/>
        <v>5.9032804143800313</v>
      </c>
      <c r="G2295">
        <f>LN(F2295/参数实验室!$E$58)/参数实验室!$E$59</f>
        <v>0.74135263203068458</v>
      </c>
      <c r="H2295" s="856">
        <f>INDEX(神经网络!$G$10:$BO$70,MATCH(ROUND(G2295*2,1)/2,神经网络!$E$10:$E$70,0),MATCH(ROUND(E2295*2,1)/2,神经网络!$G$8:$BO$8,0))</f>
        <v>1.6536879466188676</v>
      </c>
      <c r="I2295">
        <f t="shared" si="300"/>
        <v>1081.6798864851894</v>
      </c>
      <c r="J2295">
        <f t="shared" si="301"/>
        <v>296.51091337137348</v>
      </c>
      <c r="K2295">
        <f t="shared" si="302"/>
        <v>3.6480272317343303</v>
      </c>
      <c r="L2295" s="4">
        <f>MIN(MAX(L2294*(1+MAX(MIN(((B2295-B2294)/B2294)/($K$7*卓尔金历!$N$40),0),-卓尔金历!$M$43))+MIN(MAX(((B2295-B2294)/B2294)/($K$7*卓尔金历!$N$40),0),卓尔金历!$M$43),0),1)</f>
        <v>0.81362603219646346</v>
      </c>
      <c r="M2295" s="4">
        <f>MIN(MAX(M2294*(1+MAX(MIN(((B2295-B2294)/B2294)/($K$7*30),0),-卓尔金历!$M$43))+MIN(MAX(((B2295-B2294)/B2294)/($K$7*7),0),卓尔金历!$M$43),0),1)</f>
        <v>1</v>
      </c>
      <c r="N2295">
        <f t="shared" si="303"/>
        <v>852.65317686223852</v>
      </c>
      <c r="O2295">
        <f t="shared" si="304"/>
        <v>2248.0736623085186</v>
      </c>
      <c r="P2295">
        <f t="shared" si="305"/>
        <v>3.1481436482286881E-3</v>
      </c>
      <c r="Q2295">
        <f t="shared" si="306"/>
        <v>1.9132589239605997E-2</v>
      </c>
      <c r="R2295">
        <f t="shared" si="307"/>
        <v>1</v>
      </c>
      <c r="S2295">
        <f t="shared" si="299"/>
        <v>20.254955288241767</v>
      </c>
      <c r="T2295" s="564">
        <f>IF((I2295-MAX(I$470:I2295))/MAX(I$470:I2295)&gt;T2294,T2294,(I2295-MAX(I$470:I2295))/MAX(I$470:I2295))</f>
        <v>-0.91338805338419748</v>
      </c>
      <c r="U2295" s="564">
        <f>IF((J2295-MAX(J$470:J2295))/MAX(J$470:J2295)&gt;U2294,U2294,(J2295-MAX(J$470:J2295))/MAX(J$470:J2295))</f>
        <v>-0.8283551177402233</v>
      </c>
      <c r="V2295" s="564">
        <f>IF((K2295-MAX(K$470:K2295))/MAX(K$470:K2295)&gt;V2294,V2294,(K2295-MAX(K$470:K2295))/MAX(K$470:K2295))</f>
        <v>-0.84885940676762139</v>
      </c>
      <c r="W2295" s="564">
        <f>IF((N2295-MAX(N$470:N2295))/MAX(N$470:N2295)&gt;W2294,W2294,(N2295-MAX(N$470:N2295))/MAX(N$470:N2295))</f>
        <v>-0.62788758315546067</v>
      </c>
      <c r="X2295" s="564">
        <f>IF((O2295-MAX(O$470:O2295))/MAX(O$470:O2295)&gt;X2294,X2294,(O2295-MAX(O$470:O2295))/MAX(O$470:O2295))</f>
        <v>-0.62788758315546067</v>
      </c>
    </row>
    <row r="2296" spans="1:24">
      <c r="A2296" s="799">
        <v>42698</v>
      </c>
      <c r="B2296">
        <v>740.66200000000003</v>
      </c>
      <c r="C2296">
        <v>4321.8436570000003</v>
      </c>
      <c r="D2296">
        <v>1.854833</v>
      </c>
      <c r="E2296">
        <f>LN(D2296/参数实验室!$E$53)/参数实验室!$E$55</f>
        <v>3.5876966279721235E-2</v>
      </c>
      <c r="F2296">
        <f t="shared" si="298"/>
        <v>5.8351092090589232</v>
      </c>
      <c r="G2296">
        <f>LN(F2296/参数实验室!$E$58)/参数实验室!$E$59</f>
        <v>0.73525633839125437</v>
      </c>
      <c r="H2296" s="856">
        <f>INDEX(神经网络!$G$10:$BO$70,MATCH(ROUND(G2296*2,1)/2,神经网络!$E$10:$E$70,0),MATCH(ROUND(E2296*2,1)/2,神经网络!$G$8:$BO$8,0))</f>
        <v>1.6536879466188676</v>
      </c>
      <c r="I2296">
        <f t="shared" si="300"/>
        <v>1075.8448194260839</v>
      </c>
      <c r="J2296">
        <f t="shared" si="301"/>
        <v>295.54367343681383</v>
      </c>
      <c r="K2296">
        <f t="shared" si="302"/>
        <v>3.6402228033350057</v>
      </c>
      <c r="L2296" s="4">
        <f>MIN(MAX(L2295*(1+MAX(MIN(((B2296-B2295)/B2295)/($K$7*卓尔金历!$N$40),0),-卓尔金历!$M$43))+MIN(MAX(((B2296-B2295)/B2295)/($K$7*卓尔金历!$N$40),0),卓尔金历!$M$43),0),1)</f>
        <v>0.77307382937718772</v>
      </c>
      <c r="M2296" s="4">
        <f>MIN(MAX(M2295*(1+MAX(MIN(((B2296-B2295)/B2295)/($K$7*30),0),-卓尔金历!$M$43))+MIN(MAX(((B2296-B2295)/B2295)/($K$7*7),0),卓尔金历!$M$43),0),1)</f>
        <v>0.97507933545968217</v>
      </c>
      <c r="N2296">
        <f t="shared" si="303"/>
        <v>848.91082733396263</v>
      </c>
      <c r="O2296">
        <f t="shared" si="304"/>
        <v>2235.9465434286399</v>
      </c>
      <c r="P2296">
        <f t="shared" si="305"/>
        <v>-3.2620719539864541E-3</v>
      </c>
      <c r="Q2296">
        <f t="shared" si="306"/>
        <v>1.8901688926499471E-2</v>
      </c>
      <c r="R2296">
        <f t="shared" si="307"/>
        <v>1</v>
      </c>
      <c r="S2296">
        <f t="shared" si="299"/>
        <v>20.145690963497671</v>
      </c>
      <c r="T2296" s="564">
        <f>IF((I2296-MAX(I$470:I2296))/MAX(I$470:I2296)&gt;T2295,T2295,(I2296-MAX(I$470:I2296))/MAX(I$470:I2296))</f>
        <v>-0.91338805338419748</v>
      </c>
      <c r="U2296" s="564">
        <f>IF((J2296-MAX(J$470:J2296))/MAX(J$470:J2296)&gt;U2295,U2295,(J2296-MAX(J$470:J2296))/MAX(J$470:J2296))</f>
        <v>-0.8283551177402233</v>
      </c>
      <c r="V2296" s="564">
        <f>IF((K2296-MAX(K$470:K2296))/MAX(K$470:K2296)&gt;V2295,V2295,(K2296-MAX(K$470:K2296))/MAX(K$470:K2296))</f>
        <v>-0.84885940676762139</v>
      </c>
      <c r="W2296" s="564">
        <f>IF((N2296-MAX(N$470:N2296))/MAX(N$470:N2296)&gt;W2295,W2295,(N2296-MAX(N$470:N2296))/MAX(N$470:N2296))</f>
        <v>-0.62788758315546067</v>
      </c>
      <c r="X2296" s="564">
        <f>IF((O2296-MAX(O$470:O2296))/MAX(O$470:O2296)&gt;X2295,X2295,(O2296-MAX(O$470:O2296))/MAX(O$470:O2296))</f>
        <v>-0.62788758315546067</v>
      </c>
    </row>
    <row r="2297" spans="1:24">
      <c r="A2297" s="799">
        <v>42699</v>
      </c>
      <c r="B2297">
        <v>738.10500000000002</v>
      </c>
      <c r="C2297">
        <v>4283.6030309999996</v>
      </c>
      <c r="D2297">
        <v>1.8592930000000001</v>
      </c>
      <c r="E2297">
        <f>LN(D2297/参数实验室!$E$53)/参数实验室!$E$55</f>
        <v>3.8710312265932044E-2</v>
      </c>
      <c r="F2297">
        <f t="shared" si="298"/>
        <v>5.803514447131505</v>
      </c>
      <c r="G2297">
        <f>LN(F2297/参数实验室!$E$58)/参数实验室!$E$59</f>
        <v>0.73240674384089244</v>
      </c>
      <c r="H2297" s="856">
        <f>INDEX(神经网络!$G$10:$BO$70,MATCH(ROUND(G2297*2,1)/2,神经网络!$E$10:$E$70,0),MATCH(ROUND(E2297*2,1)/2,神经网络!$G$8:$BO$8,0))</f>
        <v>1.6536879466188676</v>
      </c>
      <c r="I2297">
        <f t="shared" si="300"/>
        <v>1069.7027622021662</v>
      </c>
      <c r="J2297">
        <f t="shared" si="301"/>
        <v>294.52336299429356</v>
      </c>
      <c r="K2297">
        <f t="shared" si="302"/>
        <v>3.6319793150769226</v>
      </c>
      <c r="L2297" s="4">
        <f>MIN(MAX(L2296*(1+MAX(MIN(((B2297-B2296)/B2296)/($K$7*卓尔金历!$N$40),0),-卓尔金历!$M$43))+MIN(MAX(((B2297-B2296)/B2296)/($K$7*卓尔金历!$N$40),0),卓尔金历!$M$43),0),1)</f>
        <v>0.7322956610361846</v>
      </c>
      <c r="M2297" s="4">
        <f>MIN(MAX(M2296*(1+MAX(MIN(((B2297-B2296)/B2296)/($K$7*30),0),-卓尔金历!$M$43))+MIN(MAX(((B2297-B2296)/B2296)/($K$7*7),0),卓尔金历!$M$43),0),1)</f>
        <v>0.94936254892763661</v>
      </c>
      <c r="N2297">
        <f t="shared" si="303"/>
        <v>845.16414157428721</v>
      </c>
      <c r="O2297">
        <f t="shared" si="304"/>
        <v>2223.4995174954674</v>
      </c>
      <c r="P2297">
        <f t="shared" si="305"/>
        <v>-3.4523169812951337E-3</v>
      </c>
      <c r="Q2297">
        <f t="shared" si="306"/>
        <v>1.643867862995653E-2</v>
      </c>
      <c r="R2297">
        <f t="shared" si="307"/>
        <v>1</v>
      </c>
      <c r="S2297">
        <f t="shared" si="299"/>
        <v>20.030678106179483</v>
      </c>
      <c r="T2297" s="564">
        <f>IF((I2297-MAX(I$470:I2297))/MAX(I$470:I2297)&gt;T2296,T2296,(I2297-MAX(I$470:I2297))/MAX(I$470:I2297))</f>
        <v>-0.91338805338419748</v>
      </c>
      <c r="U2297" s="564">
        <f>IF((J2297-MAX(J$470:J2297))/MAX(J$470:J2297)&gt;U2296,U2296,(J2297-MAX(J$470:J2297))/MAX(J$470:J2297))</f>
        <v>-0.8283551177402233</v>
      </c>
      <c r="V2297" s="564">
        <f>IF((K2297-MAX(K$470:K2297))/MAX(K$470:K2297)&gt;V2296,V2296,(K2297-MAX(K$470:K2297))/MAX(K$470:K2297))</f>
        <v>-0.84885940676762139</v>
      </c>
      <c r="W2297" s="564">
        <f>IF((N2297-MAX(N$470:N2297))/MAX(N$470:N2297)&gt;W2296,W2296,(N2297-MAX(N$470:N2297))/MAX(N$470:N2297))</f>
        <v>-0.62788758315546067</v>
      </c>
      <c r="X2297" s="564">
        <f>IF((O2297-MAX(O$470:O2297))/MAX(O$470:O2297)&gt;X2296,X2296,(O2297-MAX(O$470:O2297))/MAX(O$470:O2297))</f>
        <v>-0.62788758315546067</v>
      </c>
    </row>
    <row r="2298" spans="1:24">
      <c r="A2298" s="799">
        <v>42700</v>
      </c>
      <c r="B2298">
        <v>734.90599999999995</v>
      </c>
      <c r="C2298">
        <v>4310.8328750000001</v>
      </c>
      <c r="D2298">
        <v>1.8452519999999999</v>
      </c>
      <c r="E2298">
        <f>LN(D2298/参数实验室!$E$53)/参数实验室!$E$55</f>
        <v>2.9767246587737054E-2</v>
      </c>
      <c r="F2298">
        <f t="shared" si="298"/>
        <v>5.8658289291419585</v>
      </c>
      <c r="G2298">
        <f>LN(F2298/参数实验室!$E$58)/参数实验室!$E$59</f>
        <v>0.73801225524894076</v>
      </c>
      <c r="H2298" s="856">
        <f>INDEX(神经网络!$G$10:$BO$70,MATCH(ROUND(G2298*2,1)/2,神经网络!$E$10:$E$70,0),MATCH(ROUND(E2298*2,1)/2,神经网络!$G$8:$BO$8,0))</f>
        <v>1.6536879466188676</v>
      </c>
      <c r="I2298">
        <f t="shared" si="300"/>
        <v>1062.0359862675018</v>
      </c>
      <c r="J2298">
        <f t="shared" si="301"/>
        <v>293.2468776186102</v>
      </c>
      <c r="K2298">
        <f t="shared" si="302"/>
        <v>3.6216446527651018</v>
      </c>
      <c r="L2298" s="4">
        <f>MIN(MAX(L2297*(1+MAX(MIN(((B2298-B2297)/B2297)/($K$7*卓尔金历!$N$40),0),-卓尔金历!$M$43))+MIN(MAX(((B2298-B2297)/B2297)/($K$7*卓尔金历!$N$40),0),卓尔金历!$M$43),0),1)</f>
        <v>0.68380270796580345</v>
      </c>
      <c r="M2298" s="4">
        <f>MIN(MAX(M2297*(1+MAX(MIN(((B2298-B2297)/B2297)/($K$7*30),0),-卓尔金历!$M$43))+MIN(MAX(((B2298-B2297)/B2297)/($K$7*7),0),卓尔金历!$M$43),0),1)</f>
        <v>0.91792893817348886</v>
      </c>
      <c r="N2298">
        <f t="shared" si="303"/>
        <v>840.72828825124077</v>
      </c>
      <c r="O2298">
        <f t="shared" si="304"/>
        <v>2208.3702190968384</v>
      </c>
      <c r="P2298">
        <f t="shared" si="305"/>
        <v>-4.3340717106645655E-3</v>
      </c>
      <c r="Q2298">
        <f t="shared" si="306"/>
        <v>1.6475129789214452E-2</v>
      </c>
      <c r="R2298">
        <f t="shared" si="307"/>
        <v>1</v>
      </c>
      <c r="S2298">
        <f t="shared" si="299"/>
        <v>19.887114187036829</v>
      </c>
      <c r="T2298" s="564">
        <f>IF((I2298-MAX(I$470:I2298))/MAX(I$470:I2298)&gt;T2297,T2297,(I2298-MAX(I$470:I2298))/MAX(I$470:I2298))</f>
        <v>-0.91338805338419748</v>
      </c>
      <c r="U2298" s="564">
        <f>IF((J2298-MAX(J$470:J2298))/MAX(J$470:J2298)&gt;U2297,U2297,(J2298-MAX(J$470:J2298))/MAX(J$470:J2298))</f>
        <v>-0.8283551177402233</v>
      </c>
      <c r="V2298" s="564">
        <f>IF((K2298-MAX(K$470:K2298))/MAX(K$470:K2298)&gt;V2297,V2297,(K2298-MAX(K$470:K2298))/MAX(K$470:K2298))</f>
        <v>-0.84885940676762139</v>
      </c>
      <c r="W2298" s="564">
        <f>IF((N2298-MAX(N$470:N2298))/MAX(N$470:N2298)&gt;W2297,W2297,(N2298-MAX(N$470:N2298))/MAX(N$470:N2298))</f>
        <v>-0.62788758315546067</v>
      </c>
      <c r="X2298" s="564">
        <f>IF((O2298-MAX(O$470:O2298))/MAX(O$470:O2298)&gt;X2297,X2297,(O2298-MAX(O$470:O2298))/MAX(O$470:O2298))</f>
        <v>-0.62788758315546067</v>
      </c>
    </row>
    <row r="2299" spans="1:24">
      <c r="A2299" s="799">
        <v>42701</v>
      </c>
      <c r="B2299">
        <v>736.83</v>
      </c>
      <c r="C2299">
        <v>4335.3120150000004</v>
      </c>
      <c r="D2299">
        <v>1.8268139999999999</v>
      </c>
      <c r="E2299">
        <f>LN(D2299/参数实验室!$E$53)/参数实验室!$E$55</f>
        <v>1.7919707289093572E-2</v>
      </c>
      <c r="F2299">
        <f t="shared" si="298"/>
        <v>5.883734395993649</v>
      </c>
      <c r="G2299">
        <f>LN(F2299/参数实验室!$E$58)/参数实验室!$E$59</f>
        <v>0.73961193409406722</v>
      </c>
      <c r="H2299" s="856">
        <f>INDEX(神经网络!$G$10:$BO$70,MATCH(ROUND(G2299*2,1)/2,神经网络!$E$10:$E$70,0),MATCH(ROUND(E2299*2,1)/2,神经网络!$G$8:$BO$8,0))</f>
        <v>1.5633225619731501</v>
      </c>
      <c r="I2299">
        <f t="shared" si="300"/>
        <v>1066.6339555784348</v>
      </c>
      <c r="J2299">
        <f t="shared" si="301"/>
        <v>294.01460436534819</v>
      </c>
      <c r="K2299">
        <f t="shared" si="302"/>
        <v>3.6278264403934677</v>
      </c>
      <c r="L2299" s="4">
        <f>MIN(MAX(L2298*(1+MAX(MIN(((B2299-B2298)/B2298)/($K$7*卓尔金历!$N$40),0),-卓尔金历!$M$43))+MIN(MAX(((B2299-B2298)/B2298)/($K$7*卓尔金历!$N$40),0),卓尔金历!$M$43),0),1)</f>
        <v>0.72380357021937203</v>
      </c>
      <c r="M2299" s="4">
        <f>MIN(MAX(M2298*(1+MAX(MIN(((B2299-B2298)/B2298)/($K$7*30),0),-卓尔金历!$M$43))+MIN(MAX(((B2299-B2298)/B2298)/($K$7*7),0),卓尔金历!$M$43),0),1)</f>
        <v>1</v>
      </c>
      <c r="N2299">
        <f t="shared" si="303"/>
        <v>843.21722186129875</v>
      </c>
      <c r="O2299">
        <f t="shared" si="304"/>
        <v>2217.1464447007238</v>
      </c>
      <c r="P2299">
        <f t="shared" si="305"/>
        <v>2.6180218966780676E-3</v>
      </c>
      <c r="Q2299">
        <f t="shared" si="306"/>
        <v>1.6358535579243216E-2</v>
      </c>
      <c r="R2299">
        <f t="shared" si="307"/>
        <v>1</v>
      </c>
      <c r="S2299">
        <f t="shared" si="299"/>
        <v>19.973213285275843</v>
      </c>
      <c r="T2299" s="564">
        <f>IF((I2299-MAX(I$470:I2299))/MAX(I$470:I2299)&gt;T2298,T2298,(I2299-MAX(I$470:I2299))/MAX(I$470:I2299))</f>
        <v>-0.91338805338419748</v>
      </c>
      <c r="U2299" s="564">
        <f>IF((J2299-MAX(J$470:J2299))/MAX(J$470:J2299)&gt;U2298,U2298,(J2299-MAX(J$470:J2299))/MAX(J$470:J2299))</f>
        <v>-0.8283551177402233</v>
      </c>
      <c r="V2299" s="564">
        <f>IF((K2299-MAX(K$470:K2299))/MAX(K$470:K2299)&gt;V2298,V2298,(K2299-MAX(K$470:K2299))/MAX(K$470:K2299))</f>
        <v>-0.84885940676762139</v>
      </c>
      <c r="W2299" s="564">
        <f>IF((N2299-MAX(N$470:N2299))/MAX(N$470:N2299)&gt;W2298,W2298,(N2299-MAX(N$470:N2299))/MAX(N$470:N2299))</f>
        <v>-0.62788758315546067</v>
      </c>
      <c r="X2299" s="564">
        <f>IF((O2299-MAX(O$470:O2299))/MAX(O$470:O2299)&gt;X2298,X2298,(O2299-MAX(O$470:O2299))/MAX(O$470:O2299))</f>
        <v>-0.62788758315546067</v>
      </c>
    </row>
    <row r="2300" spans="1:24">
      <c r="A2300" s="799">
        <v>42702</v>
      </c>
      <c r="B2300">
        <v>736.83500000000004</v>
      </c>
      <c r="C2300">
        <v>4294.2133139999996</v>
      </c>
      <c r="D2300">
        <v>1.830821</v>
      </c>
      <c r="E2300">
        <f>LN(D2300/参数实验室!$E$53)/参数实验室!$E$55</f>
        <v>2.0504586939334015E-2</v>
      </c>
      <c r="F2300">
        <f t="shared" si="298"/>
        <v>5.8279171239151228</v>
      </c>
      <c r="G2300">
        <f>LN(F2300/参数实验室!$E$58)/参数实验室!$E$59</f>
        <v>0.73460902862162569</v>
      </c>
      <c r="H2300" s="856">
        <f>INDEX(神经网络!$G$10:$BO$70,MATCH(ROUND(G2300*2,1)/2,神经网络!$E$10:$E$70,0),MATCH(ROUND(E2300*2,1)/2,神经网络!$G$8:$BO$8,0))</f>
        <v>1.5633225619731501</v>
      </c>
      <c r="I2300">
        <f t="shared" si="300"/>
        <v>1066.6452708949128</v>
      </c>
      <c r="J2300">
        <f t="shared" si="301"/>
        <v>294.01659949722642</v>
      </c>
      <c r="K2300">
        <f t="shared" si="302"/>
        <v>3.6278403080604802</v>
      </c>
      <c r="L2300" s="4">
        <f>MIN(MAX(L2299*(1+MAX(MIN(((B2300-B2299)/B2299)/($K$7*卓尔金历!$N$40),0),-卓尔金历!$M$43))+MIN(MAX(((B2300-B2299)/B2299)/($K$7*卓尔金历!$N$40),0),卓尔金历!$M$43),0),1)</f>
        <v>0.72390725112522392</v>
      </c>
      <c r="M2300" s="4">
        <f>MIN(MAX(M2299*(1+MAX(MIN(((B2300-B2299)/B2299)/($K$7*30),0),-卓尔金历!$M$43))+MIN(MAX(((B2300-B2299)/B2299)/($K$7*7),0),卓尔金历!$M$43),0),1)</f>
        <v>1</v>
      </c>
      <c r="N2300">
        <f t="shared" si="303"/>
        <v>843.22369643962566</v>
      </c>
      <c r="O2300">
        <f t="shared" si="304"/>
        <v>2217.169965153611</v>
      </c>
      <c r="P2300">
        <f t="shared" si="305"/>
        <v>6.785825767131431E-6</v>
      </c>
      <c r="Q2300">
        <f t="shared" si="306"/>
        <v>1.6022678534952536E-2</v>
      </c>
      <c r="R2300">
        <f t="shared" si="307"/>
        <v>1</v>
      </c>
      <c r="S2300">
        <f t="shared" si="299"/>
        <v>19.9734251698012</v>
      </c>
      <c r="T2300" s="564">
        <f>IF((I2300-MAX(I$470:I2300))/MAX(I$470:I2300)&gt;T2299,T2299,(I2300-MAX(I$470:I2300))/MAX(I$470:I2300))</f>
        <v>-0.91338805338419748</v>
      </c>
      <c r="U2300" s="564">
        <f>IF((J2300-MAX(J$470:J2300))/MAX(J$470:J2300)&gt;U2299,U2299,(J2300-MAX(J$470:J2300))/MAX(J$470:J2300))</f>
        <v>-0.8283551177402233</v>
      </c>
      <c r="V2300" s="564">
        <f>IF((K2300-MAX(K$470:K2300))/MAX(K$470:K2300)&gt;V2299,V2299,(K2300-MAX(K$470:K2300))/MAX(K$470:K2300))</f>
        <v>-0.84885940676762139</v>
      </c>
      <c r="W2300" s="564">
        <f>IF((N2300-MAX(N$470:N2300))/MAX(N$470:N2300)&gt;W2299,W2299,(N2300-MAX(N$470:N2300))/MAX(N$470:N2300))</f>
        <v>-0.62788758315546067</v>
      </c>
      <c r="X2300" s="564">
        <f>IF((O2300-MAX(O$470:O2300))/MAX(O$470:O2300)&gt;X2299,X2299,(O2300-MAX(O$470:O2300))/MAX(O$470:O2300))</f>
        <v>-0.62788758315546067</v>
      </c>
    </row>
    <row r="2301" spans="1:24">
      <c r="A2301" s="799">
        <v>42703</v>
      </c>
      <c r="B2301">
        <v>736.4</v>
      </c>
      <c r="C2301">
        <v>4350.2367869999998</v>
      </c>
      <c r="D2301">
        <v>1.833434</v>
      </c>
      <c r="E2301">
        <f>LN(D2301/参数实验室!$E$53)/参数实验室!$E$55</f>
        <v>2.2187164024736718E-2</v>
      </c>
      <c r="F2301">
        <f t="shared" si="298"/>
        <v>5.9074372447039654</v>
      </c>
      <c r="G2301">
        <f>LN(F2301/参数实验室!$E$58)/参数实验室!$E$59</f>
        <v>0.74172208109465876</v>
      </c>
      <c r="H2301" s="856">
        <f>INDEX(神经网络!$G$10:$BO$70,MATCH(ROUND(G2301*2,1)/2,神经网络!$E$10:$E$70,0),MATCH(ROUND(E2301*2,1)/2,神经网络!$G$8:$BO$8,0))</f>
        <v>1.5633225619731501</v>
      </c>
      <c r="I2301">
        <f t="shared" si="300"/>
        <v>1065.6608345982368</v>
      </c>
      <c r="J2301">
        <f t="shared" si="301"/>
        <v>293.8430230238215</v>
      </c>
      <c r="K2301">
        <f t="shared" si="302"/>
        <v>3.6266331037298269</v>
      </c>
      <c r="L2301" s="4">
        <f>MIN(MAX(L2300*(1+MAX(MIN(((B2301-B2300)/B2300)/($K$7*卓尔金历!$N$40),0),-卓尔金历!$M$43))+MIN(MAX(((B2301-B2300)/B2300)/($K$7*卓尔金历!$N$40),0),卓尔金历!$M$43),0),1)</f>
        <v>0.71737747915431105</v>
      </c>
      <c r="M2301" s="4">
        <f>MIN(MAX(M2300*(1+MAX(MIN(((B2301-B2300)/B2300)/($K$7*30),0),-卓尔金历!$M$43))+MIN(MAX(((B2301-B2300)/B2300)/($K$7*7),0),卓尔金历!$M$43),0),1)</f>
        <v>0.99548991120011365</v>
      </c>
      <c r="N2301">
        <f t="shared" si="303"/>
        <v>842.66032693435398</v>
      </c>
      <c r="O2301">
        <f t="shared" si="304"/>
        <v>2215.1236779303376</v>
      </c>
      <c r="P2301">
        <f t="shared" si="305"/>
        <v>-5.9036283564170957E-4</v>
      </c>
      <c r="Q2301">
        <f t="shared" si="306"/>
        <v>1.6034747924337619E-2</v>
      </c>
      <c r="R2301">
        <f t="shared" si="307"/>
        <v>1</v>
      </c>
      <c r="S2301">
        <f t="shared" si="299"/>
        <v>19.954991145629698</v>
      </c>
      <c r="T2301" s="564">
        <f>IF((I2301-MAX(I$470:I2301))/MAX(I$470:I2301)&gt;T2300,T2300,(I2301-MAX(I$470:I2301))/MAX(I$470:I2301))</f>
        <v>-0.91338805338419748</v>
      </c>
      <c r="U2301" s="564">
        <f>IF((J2301-MAX(J$470:J2301))/MAX(J$470:J2301)&gt;U2300,U2300,(J2301-MAX(J$470:J2301))/MAX(J$470:J2301))</f>
        <v>-0.8283551177402233</v>
      </c>
      <c r="V2301" s="564">
        <f>IF((K2301-MAX(K$470:K2301))/MAX(K$470:K2301)&gt;V2300,V2300,(K2301-MAX(K$470:K2301))/MAX(K$470:K2301))</f>
        <v>-0.84885940676762139</v>
      </c>
      <c r="W2301" s="564">
        <f>IF((N2301-MAX(N$470:N2301))/MAX(N$470:N2301)&gt;W2300,W2300,(N2301-MAX(N$470:N2301))/MAX(N$470:N2301))</f>
        <v>-0.62788758315546067</v>
      </c>
      <c r="X2301" s="564">
        <f>IF((O2301-MAX(O$470:O2301))/MAX(O$470:O2301)&gt;X2300,X2300,(O2301-MAX(O$470:O2301))/MAX(O$470:O2301))</f>
        <v>-0.62788758315546067</v>
      </c>
    </row>
    <row r="2302" spans="1:24">
      <c r="A2302" s="799">
        <v>42704</v>
      </c>
      <c r="B2302">
        <v>747.15300000000002</v>
      </c>
      <c r="C2302">
        <v>4366.2599520000003</v>
      </c>
      <c r="D2302">
        <v>1.857418</v>
      </c>
      <c r="E2302">
        <f>LN(D2302/参数实验室!$E$53)/参数实验室!$E$55</f>
        <v>3.7519992372832191E-2</v>
      </c>
      <c r="F2302">
        <f t="shared" si="298"/>
        <v>5.8438632408623139</v>
      </c>
      <c r="G2302">
        <f>LN(F2302/参数实验室!$E$58)/参数实验室!$E$59</f>
        <v>0.73604315244796015</v>
      </c>
      <c r="H2302" s="856">
        <f>INDEX(神经网络!$G$10:$BO$70,MATCH(ROUND(G2302*2,1)/2,神经网络!$E$10:$E$70,0),MATCH(ROUND(E2302*2,1)/2,神经网络!$G$8:$BO$8,0))</f>
        <v>1.6536879466188676</v>
      </c>
      <c r="I2302">
        <f t="shared" si="300"/>
        <v>1089.987549557319</v>
      </c>
      <c r="J2302">
        <f t="shared" si="301"/>
        <v>298.13375364111533</v>
      </c>
      <c r="K2302">
        <f t="shared" si="302"/>
        <v>3.6560353742079603</v>
      </c>
      <c r="L2302" s="4">
        <f>MIN(MAX(L2301*(1+MAX(MIN(((B2302-B2301)/B2301)/($K$7*卓尔金历!$N$40),0),-卓尔金历!$M$43))+MIN(MAX(((B2302-B2301)/B2301)/($K$7*卓尔金历!$N$40),0),卓尔金历!$M$43),0),1)</f>
        <v>0.94048383591399942</v>
      </c>
      <c r="M2302" s="4">
        <f>MIN(MAX(M2301*(1+MAX(MIN(((B2302-B2301)/B2301)/($K$7*30),0),-卓尔金历!$M$43))+MIN(MAX(((B2302-B2301)/B2301)/($K$7*7),0),卓尔金历!$M$43),0),1)</f>
        <v>1</v>
      </c>
      <c r="N2302">
        <f t="shared" si="303"/>
        <v>856.4598713227374</v>
      </c>
      <c r="O2302">
        <f t="shared" si="304"/>
        <v>2265.462065950378</v>
      </c>
      <c r="P2302">
        <f t="shared" si="305"/>
        <v>1.4602118413905544E-2</v>
      </c>
      <c r="Q2302">
        <f t="shared" si="306"/>
        <v>1.3494786106948747E-2</v>
      </c>
      <c r="R2302">
        <f t="shared" si="307"/>
        <v>1.4770196095392318E-2</v>
      </c>
      <c r="S2302">
        <f t="shared" si="299"/>
        <v>20.410520114932353</v>
      </c>
      <c r="T2302" s="564">
        <f>IF((I2302-MAX(I$470:I2302))/MAX(I$470:I2302)&gt;T2301,T2301,(I2302-MAX(I$470:I2302))/MAX(I$470:I2302))</f>
        <v>-0.91338805338419748</v>
      </c>
      <c r="U2302" s="564">
        <f>IF((J2302-MAX(J$470:J2302))/MAX(J$470:J2302)&gt;U2301,U2301,(J2302-MAX(J$470:J2302))/MAX(J$470:J2302))</f>
        <v>-0.8283551177402233</v>
      </c>
      <c r="V2302" s="564">
        <f>IF((K2302-MAX(K$470:K2302))/MAX(K$470:K2302)&gt;V2301,V2301,(K2302-MAX(K$470:K2302))/MAX(K$470:K2302))</f>
        <v>-0.84885940676762139</v>
      </c>
      <c r="W2302" s="564">
        <f>IF((N2302-MAX(N$470:N2302))/MAX(N$470:N2302)&gt;W2301,W2301,(N2302-MAX(N$470:N2302))/MAX(N$470:N2302))</f>
        <v>-0.62788758315546067</v>
      </c>
      <c r="X2302" s="564">
        <f>IF((O2302-MAX(O$470:O2302))/MAX(O$470:O2302)&gt;X2301,X2301,(O2302-MAX(O$470:O2302))/MAX(O$470:O2302))</f>
        <v>-0.62788758315546067</v>
      </c>
    </row>
    <row r="2303" spans="1:24">
      <c r="A2303" s="799">
        <v>42705</v>
      </c>
      <c r="B2303">
        <v>753.49</v>
      </c>
      <c r="C2303">
        <v>4362.0501789999998</v>
      </c>
      <c r="D2303">
        <v>1.882585</v>
      </c>
      <c r="E2303">
        <f>LN(D2303/参数实验室!$E$53)/参数实验室!$E$55</f>
        <v>5.3397679128751464E-2</v>
      </c>
      <c r="F2303">
        <f t="shared" si="298"/>
        <v>5.7891281622848343</v>
      </c>
      <c r="G2303">
        <f>LN(F2303/参数实验室!$E$58)/参数实验室!$E$59</f>
        <v>0.73110407215554274</v>
      </c>
      <c r="H2303" s="856">
        <f>INDEX(神经网络!$G$10:$BO$70,MATCH(ROUND(G2303*2,1)/2,神经网络!$E$10:$E$70,0),MATCH(ROUND(E2303*2,1)/2,神经网络!$G$8:$BO$8,0))</f>
        <v>1.6536879466188676</v>
      </c>
      <c r="I2303">
        <f t="shared" si="300"/>
        <v>1105.2754998043156</v>
      </c>
      <c r="J2303">
        <f t="shared" si="301"/>
        <v>300.66238378356775</v>
      </c>
      <c r="K2303">
        <f t="shared" si="302"/>
        <v>3.6761349587381367</v>
      </c>
      <c r="L2303" s="4">
        <f>MIN(MAX(L2302*(1+MAX(MIN(((B2303-B2302)/B2302)/($K$7*卓尔金历!$N$40),0),-卓尔金历!$M$43))+MIN(MAX(((B2303-B2302)/B2302)/($K$7*卓尔金历!$N$40),0),卓尔金历!$M$43),0),1)</f>
        <v>1</v>
      </c>
      <c r="M2303" s="4">
        <f>MIN(MAX(M2302*(1+MAX(MIN(((B2303-B2302)/B2302)/($K$7*30),0),-卓尔金历!$M$43))+MIN(MAX(((B2303-B2302)/B2302)/($K$7*7),0),卓尔金历!$M$43),0),1)</f>
        <v>1</v>
      </c>
      <c r="N2303">
        <f t="shared" si="303"/>
        <v>867.75746831408492</v>
      </c>
      <c r="O2303">
        <f t="shared" si="304"/>
        <v>2297.2369897692547</v>
      </c>
      <c r="P2303">
        <f t="shared" si="305"/>
        <v>8.4815292182457789E-3</v>
      </c>
      <c r="Q2303">
        <f t="shared" si="306"/>
        <v>1.2489473310825838E-2</v>
      </c>
      <c r="R2303">
        <f t="shared" si="307"/>
        <v>0.40571259459217163</v>
      </c>
      <c r="S2303">
        <f t="shared" si="299"/>
        <v>20.414748436968967</v>
      </c>
      <c r="T2303" s="564">
        <f>IF((I2303-MAX(I$470:I2303))/MAX(I$470:I2303)&gt;T2302,T2302,(I2303-MAX(I$470:I2303))/MAX(I$470:I2303))</f>
        <v>-0.91338805338419748</v>
      </c>
      <c r="U2303" s="564">
        <f>IF((J2303-MAX(J$470:J2303))/MAX(J$470:J2303)&gt;U2302,U2302,(J2303-MAX(J$470:J2303))/MAX(J$470:J2303))</f>
        <v>-0.8283551177402233</v>
      </c>
      <c r="V2303" s="564">
        <f>IF((K2303-MAX(K$470:K2303))/MAX(K$470:K2303)&gt;V2302,V2302,(K2303-MAX(K$470:K2303))/MAX(K$470:K2303))</f>
        <v>-0.84885940676762139</v>
      </c>
      <c r="W2303" s="564">
        <f>IF((N2303-MAX(N$470:N2303))/MAX(N$470:N2303)&gt;W2302,W2302,(N2303-MAX(N$470:N2303))/MAX(N$470:N2303))</f>
        <v>-0.62788758315546067</v>
      </c>
      <c r="X2303" s="564">
        <f>IF((O2303-MAX(O$470:O2303))/MAX(O$470:O2303)&gt;X2302,X2302,(O2303-MAX(O$470:O2303))/MAX(O$470:O2303))</f>
        <v>-0.62788758315546067</v>
      </c>
    </row>
    <row r="2304" spans="1:24">
      <c r="A2304" s="799">
        <v>42706</v>
      </c>
      <c r="B2304">
        <v>773.41899999999998</v>
      </c>
      <c r="C2304">
        <v>4334.7417679999999</v>
      </c>
      <c r="D2304">
        <v>1.9239980000000001</v>
      </c>
      <c r="E2304">
        <f>LN(D2304/参数实验室!$E$53)/参数实验室!$E$55</f>
        <v>7.9068496655196094E-2</v>
      </c>
      <c r="F2304">
        <f t="shared" si="298"/>
        <v>5.604648667798438</v>
      </c>
      <c r="G2304">
        <f>LN(F2304/参数实验室!$E$58)/参数实验室!$E$59</f>
        <v>0.71410650016351196</v>
      </c>
      <c r="H2304" s="856">
        <f>INDEX(神经网络!$G$10:$BO$70,MATCH(ROUND(G2304*2,1)/2,神经网络!$E$10:$E$70,0),MATCH(ROUND(E2304*2,1)/2,神经网络!$G$8:$BO$8,0))</f>
        <v>1.7126539669765544</v>
      </c>
      <c r="I2304">
        <f t="shared" si="300"/>
        <v>1153.6183351433363</v>
      </c>
      <c r="J2304">
        <f t="shared" si="301"/>
        <v>308.61458042376563</v>
      </c>
      <c r="K2304">
        <f t="shared" si="302"/>
        <v>3.7380551935014767</v>
      </c>
      <c r="L2304" s="4">
        <f>MIN(MAX(L2303*(1+MAX(MIN(((B2304-B2303)/B2303)/($K$7*卓尔金历!$N$40),0),-卓尔金历!$M$43))+MIN(MAX(((B2304-B2303)/B2303)/($K$7*卓尔金历!$N$40),0),卓尔金历!$M$43),0),1)</f>
        <v>1</v>
      </c>
      <c r="M2304" s="4">
        <f>MIN(MAX(M2303*(1+MAX(MIN(((B2304-B2303)/B2303)/($K$7*30),0),-卓尔金历!$M$43))+MIN(MAX(((B2304-B2303)/B2303)/($K$7*7),0),卓尔金历!$M$43),0),1)</f>
        <v>1</v>
      </c>
      <c r="N2304">
        <f t="shared" si="303"/>
        <v>905.71167648421113</v>
      </c>
      <c r="O2304">
        <f t="shared" si="304"/>
        <v>2397.714155463043</v>
      </c>
      <c r="P2304">
        <f t="shared" si="305"/>
        <v>2.6448924338743678E-2</v>
      </c>
      <c r="Q2304">
        <f t="shared" si="306"/>
        <v>1.3454695105756321E-2</v>
      </c>
      <c r="R2304">
        <f t="shared" si="307"/>
        <v>4.0479960904710585E-3</v>
      </c>
      <c r="S2304">
        <f t="shared" si="299"/>
        <v>20.777011535641289</v>
      </c>
      <c r="T2304" s="564">
        <f>IF((I2304-MAX(I$470:I2304))/MAX(I$470:I2304)&gt;T2303,T2303,(I2304-MAX(I$470:I2304))/MAX(I$470:I2304))</f>
        <v>-0.91338805338419748</v>
      </c>
      <c r="U2304" s="564">
        <f>IF((J2304-MAX(J$470:J2304))/MAX(J$470:J2304)&gt;U2303,U2303,(J2304-MAX(J$470:J2304))/MAX(J$470:J2304))</f>
        <v>-0.8283551177402233</v>
      </c>
      <c r="V2304" s="564">
        <f>IF((K2304-MAX(K$470:K2304))/MAX(K$470:K2304)&gt;V2303,V2303,(K2304-MAX(K$470:K2304))/MAX(K$470:K2304))</f>
        <v>-0.84885940676762139</v>
      </c>
      <c r="W2304" s="564">
        <f>IF((N2304-MAX(N$470:N2304))/MAX(N$470:N2304)&gt;W2303,W2303,(N2304-MAX(N$470:N2304))/MAX(N$470:N2304))</f>
        <v>-0.62788758315546067</v>
      </c>
      <c r="X2304" s="564">
        <f>IF((O2304-MAX(O$470:O2304))/MAX(O$470:O2304)&gt;X2303,X2303,(O2304-MAX(O$470:O2304))/MAX(O$470:O2304))</f>
        <v>-0.62788758315546067</v>
      </c>
    </row>
    <row r="2305" spans="1:24">
      <c r="A2305" s="799">
        <v>42707</v>
      </c>
      <c r="B2305">
        <v>768.92399999999998</v>
      </c>
      <c r="C2305">
        <v>4288.091786</v>
      </c>
      <c r="D2305">
        <v>1.8939509999999999</v>
      </c>
      <c r="E2305">
        <f>LN(D2305/参数实验室!$E$53)/参数实验室!$E$55</f>
        <v>6.0498957049723925E-2</v>
      </c>
      <c r="F2305">
        <f t="shared" si="298"/>
        <v>5.5767433270388231</v>
      </c>
      <c r="G2305">
        <f>LN(F2305/参数实验室!$E$58)/参数实验室!$E$59</f>
        <v>0.71148674381544597</v>
      </c>
      <c r="H2305" s="856">
        <f>INDEX(神经网络!$G$10:$BO$70,MATCH(ROUND(G2305*2,1)/2,神经网络!$E$10:$E$70,0),MATCH(ROUND(E2305*2,1)/2,神经网络!$G$8:$BO$8,0))</f>
        <v>1.626531289104566</v>
      </c>
      <c r="I2305">
        <f t="shared" si="300"/>
        <v>1142.1355659895137</v>
      </c>
      <c r="J2305">
        <f t="shared" si="301"/>
        <v>306.82095686524843</v>
      </c>
      <c r="K2305">
        <f t="shared" si="302"/>
        <v>3.7224822504256903</v>
      </c>
      <c r="L2305" s="4">
        <f>MIN(MAX(L2304*(1+MAX(MIN(((B2305-B2304)/B2304)/($K$7*卓尔金历!$N$40),0),-卓尔金历!$M$43))+MIN(MAX(((B2305-B2304)/B2304)/($K$7*卓尔金历!$N$40),0),卓尔金历!$M$43),0),1)</f>
        <v>0.91120041468959767</v>
      </c>
      <c r="M2305" s="4">
        <f>MIN(MAX(M2304*(1+MAX(MIN(((B2305-B2304)/B2304)/($K$7*30),0),-卓尔金历!$M$43))+MIN(MAX(((B2305-B2304)/B2304)/($K$7*7),0),卓尔金历!$M$43),0),1)</f>
        <v>0.95560020734479878</v>
      </c>
      <c r="N2305">
        <f t="shared" si="303"/>
        <v>896.69649548009022</v>
      </c>
      <c r="O2305">
        <f t="shared" si="304"/>
        <v>2373.848031542072</v>
      </c>
      <c r="P2305">
        <f t="shared" si="305"/>
        <v>-5.8118561866207126E-3</v>
      </c>
      <c r="Q2305">
        <f t="shared" si="306"/>
        <v>1.3126128157733563E-2</v>
      </c>
      <c r="R2305">
        <f t="shared" si="307"/>
        <v>0.83912105770432488</v>
      </c>
      <c r="S2305">
        <f t="shared" si="299"/>
        <v>20.776174377221874</v>
      </c>
      <c r="T2305" s="564">
        <f>IF((I2305-MAX(I$470:I2305))/MAX(I$470:I2305)&gt;T2304,T2304,(I2305-MAX(I$470:I2305))/MAX(I$470:I2305))</f>
        <v>-0.91338805338419748</v>
      </c>
      <c r="U2305" s="564">
        <f>IF((J2305-MAX(J$470:J2305))/MAX(J$470:J2305)&gt;U2304,U2304,(J2305-MAX(J$470:J2305))/MAX(J$470:J2305))</f>
        <v>-0.8283551177402233</v>
      </c>
      <c r="V2305" s="564">
        <f>IF((K2305-MAX(K$470:K2305))/MAX(K$470:K2305)&gt;V2304,V2304,(K2305-MAX(K$470:K2305))/MAX(K$470:K2305))</f>
        <v>-0.84885940676762139</v>
      </c>
      <c r="W2305" s="564">
        <f>IF((N2305-MAX(N$470:N2305))/MAX(N$470:N2305)&gt;W2304,W2304,(N2305-MAX(N$470:N2305))/MAX(N$470:N2305))</f>
        <v>-0.62788758315546067</v>
      </c>
      <c r="X2305" s="564">
        <f>IF((O2305-MAX(O$470:O2305))/MAX(O$470:O2305)&gt;X2304,X2304,(O2305-MAX(O$470:O2305))/MAX(O$470:O2305))</f>
        <v>-0.62788758315546067</v>
      </c>
    </row>
    <row r="2306" spans="1:24">
      <c r="A2306" s="799">
        <v>42708</v>
      </c>
      <c r="B2306">
        <v>770.39499999999998</v>
      </c>
      <c r="C2306">
        <v>4200.2720559999998</v>
      </c>
      <c r="D2306">
        <v>1.8932770000000001</v>
      </c>
      <c r="E2306">
        <f>LN(D2306/参数实验室!$E$53)/参数实验室!$E$55</f>
        <v>6.0079043754389057E-2</v>
      </c>
      <c r="F2306">
        <f t="shared" si="298"/>
        <v>5.4521019165493021</v>
      </c>
      <c r="G2306">
        <f>LN(F2306/参数实验室!$E$58)/参数实验室!$E$59</f>
        <v>0.69962306595585988</v>
      </c>
      <c r="H2306" s="856">
        <f>INDEX(神经网络!$G$10:$BO$70,MATCH(ROUND(G2306*2,1)/2,神经网络!$E$10:$E$70,0),MATCH(ROUND(E2306*2,1)/2,神经网络!$G$8:$BO$8,0))</f>
        <v>1.626531289104566</v>
      </c>
      <c r="I2306">
        <f t="shared" si="300"/>
        <v>1145.6894997904117</v>
      </c>
      <c r="J2306">
        <f t="shared" si="301"/>
        <v>307.40792466381993</v>
      </c>
      <c r="K2306">
        <f t="shared" si="302"/>
        <v>3.7269354752104493</v>
      </c>
      <c r="L2306" s="4">
        <f>MIN(MAX(L2305*(1+MAX(MIN(((B2306-B2305)/B2305)/($K$7*卓尔金历!$N$40),0),-卓尔金历!$M$43))+MIN(MAX(((B2306-B2305)/B2305)/($K$7*卓尔金历!$N$40),0),卓尔金历!$M$43),0),1)</f>
        <v>0.94043018042314208</v>
      </c>
      <c r="M2306" s="4">
        <f>MIN(MAX(M2305*(1+MAX(MIN(((B2306-B2305)/B2305)/($K$7*30),0),-卓尔金历!$M$43))+MIN(MAX(((B2306-B2305)/B2305)/($K$7*7),0),卓尔金历!$M$43),0),1)</f>
        <v>1</v>
      </c>
      <c r="N2306">
        <f t="shared" si="303"/>
        <v>899.23893751045705</v>
      </c>
      <c r="O2306">
        <f t="shared" si="304"/>
        <v>2380.9066681890622</v>
      </c>
      <c r="P2306">
        <f t="shared" si="305"/>
        <v>1.913062929496288E-3</v>
      </c>
      <c r="Q2306">
        <f t="shared" si="306"/>
        <v>1.2202620176458479E-2</v>
      </c>
      <c r="R2306">
        <f t="shared" si="307"/>
        <v>1</v>
      </c>
      <c r="S2306">
        <f t="shared" si="299"/>
        <v>20.830422145950251</v>
      </c>
      <c r="T2306" s="564">
        <f>IF((I2306-MAX(I$470:I2306))/MAX(I$470:I2306)&gt;T2305,T2305,(I2306-MAX(I$470:I2306))/MAX(I$470:I2306))</f>
        <v>-0.91338805338419748</v>
      </c>
      <c r="U2306" s="564">
        <f>IF((J2306-MAX(J$470:J2306))/MAX(J$470:J2306)&gt;U2305,U2305,(J2306-MAX(J$470:J2306))/MAX(J$470:J2306))</f>
        <v>-0.8283551177402233</v>
      </c>
      <c r="V2306" s="564">
        <f>IF((K2306-MAX(K$470:K2306))/MAX(K$470:K2306)&gt;V2305,V2305,(K2306-MAX(K$470:K2306))/MAX(K$470:K2306))</f>
        <v>-0.84885940676762139</v>
      </c>
      <c r="W2306" s="564">
        <f>IF((N2306-MAX(N$470:N2306))/MAX(N$470:N2306)&gt;W2305,W2305,(N2306-MAX(N$470:N2306))/MAX(N$470:N2306))</f>
        <v>-0.62788758315546067</v>
      </c>
      <c r="X2306" s="564">
        <f>IF((O2306-MAX(O$470:O2306))/MAX(O$470:O2306)&gt;X2305,X2305,(O2306-MAX(O$470:O2306))/MAX(O$470:O2306))</f>
        <v>-0.62788758315546067</v>
      </c>
    </row>
    <row r="2307" spans="1:24">
      <c r="A2307" s="799">
        <v>42709</v>
      </c>
      <c r="B2307">
        <v>751.71299999999997</v>
      </c>
      <c r="C2307">
        <v>4188.1162329999997</v>
      </c>
      <c r="D2307">
        <v>1.857812</v>
      </c>
      <c r="E2307">
        <f>LN(D2307/参数实验室!$E$53)/参数实验室!$E$55</f>
        <v>3.7770217946951692E-2</v>
      </c>
      <c r="F2307">
        <f t="shared" si="298"/>
        <v>5.5714298315979631</v>
      </c>
      <c r="G2307">
        <f>LN(F2307/参数实验室!$E$58)/参数实验室!$E$59</f>
        <v>0.7109864269049484</v>
      </c>
      <c r="H2307" s="856">
        <f>INDEX(神经网络!$G$10:$BO$70,MATCH(ROUND(G2307*2,1)/2,神经网络!$E$10:$E$70,0),MATCH(ROUND(E2307*2,1)/2,神经网络!$G$8:$BO$8,0))</f>
        <v>1.626531289104566</v>
      </c>
      <c r="I2307">
        <f t="shared" si="300"/>
        <v>1100.4998196669669</v>
      </c>
      <c r="J2307">
        <f t="shared" si="301"/>
        <v>299.95331391404937</v>
      </c>
      <c r="K2307">
        <f t="shared" si="302"/>
        <v>3.6689036880663086</v>
      </c>
      <c r="L2307" s="4">
        <f>MIN(MAX(L2306*(1+MAX(MIN(((B2307-B2306)/B2306)/($K$7*卓尔金历!$N$40),0),-卓尔金历!$M$43))+MIN(MAX(((B2307-B2306)/B2306)/($K$7*卓尔金历!$N$40),0),卓尔金历!$M$43),0),1)</f>
        <v>0.59198653489509379</v>
      </c>
      <c r="M2307" s="4">
        <f>MIN(MAX(M2306*(1+MAX(MIN(((B2307-B2306)/B2306)/($K$7*30),0),-卓尔金历!$M$43))+MIN(MAX(((B2307-B2306)/B2306)/($K$7*7),0),卓尔金历!$M$43),0),1)</f>
        <v>0.81474241640603884</v>
      </c>
      <c r="N2307">
        <f t="shared" si="303"/>
        <v>865.8829351201905</v>
      </c>
      <c r="O2307">
        <f t="shared" si="304"/>
        <v>2286.9960486373225</v>
      </c>
      <c r="P2307">
        <f t="shared" si="305"/>
        <v>-2.4249897779710431E-2</v>
      </c>
      <c r="Q2307">
        <f t="shared" si="306"/>
        <v>1.3614900100699889E-2</v>
      </c>
      <c r="R2307">
        <f t="shared" si="307"/>
        <v>5.1586868017593568E-3</v>
      </c>
      <c r="S2307">
        <f t="shared" si="299"/>
        <v>20.008803274708075</v>
      </c>
      <c r="T2307" s="564">
        <f>IF((I2307-MAX(I$470:I2307))/MAX(I$470:I2307)&gt;T2306,T2306,(I2307-MAX(I$470:I2307))/MAX(I$470:I2307))</f>
        <v>-0.91338805338419748</v>
      </c>
      <c r="U2307" s="564">
        <f>IF((J2307-MAX(J$470:J2307))/MAX(J$470:J2307)&gt;U2306,U2306,(J2307-MAX(J$470:J2307))/MAX(J$470:J2307))</f>
        <v>-0.8283551177402233</v>
      </c>
      <c r="V2307" s="564">
        <f>IF((K2307-MAX(K$470:K2307))/MAX(K$470:K2307)&gt;V2306,V2306,(K2307-MAX(K$470:K2307))/MAX(K$470:K2307))</f>
        <v>-0.84885940676762139</v>
      </c>
      <c r="W2307" s="564">
        <f>IF((N2307-MAX(N$470:N2307))/MAX(N$470:N2307)&gt;W2306,W2306,(N2307-MAX(N$470:N2307))/MAX(N$470:N2307))</f>
        <v>-0.62788758315546067</v>
      </c>
      <c r="X2307" s="564">
        <f>IF((O2307-MAX(O$470:O2307))/MAX(O$470:O2307)&gt;X2306,X2306,(O2307-MAX(O$470:O2307))/MAX(O$470:O2307))</f>
        <v>-0.62788758315546067</v>
      </c>
    </row>
    <row r="2308" spans="1:24">
      <c r="A2308" s="799">
        <v>42710</v>
      </c>
      <c r="B2308">
        <v>764.39499999999998</v>
      </c>
      <c r="C2308">
        <v>4197.9298419999996</v>
      </c>
      <c r="D2308">
        <v>1.8719699999999999</v>
      </c>
      <c r="E2308">
        <f>LN(D2308/参数实验室!$E$53)/参数实验室!$E$55</f>
        <v>4.6726787877136314E-2</v>
      </c>
      <c r="F2308">
        <f t="shared" si="298"/>
        <v>5.4918332040371789</v>
      </c>
      <c r="G2308">
        <f>LN(F2308/参数实验室!$E$58)/参数实验室!$E$59</f>
        <v>0.70343398374021071</v>
      </c>
      <c r="H2308" s="856">
        <f>INDEX(神经网络!$G$10:$BO$70,MATCH(ROUND(G2308*2,1)/2,神经网络!$E$10:$E$70,0),MATCH(ROUND(E2308*2,1)/2,神经网络!$G$8:$BO$8,0))</f>
        <v>1.626531289104566</v>
      </c>
      <c r="I2308">
        <f t="shared" si="300"/>
        <v>1130.6985084009923</v>
      </c>
      <c r="J2308">
        <f t="shared" si="301"/>
        <v>305.01376640995937</v>
      </c>
      <c r="K2308">
        <f t="shared" si="302"/>
        <v>3.7070409041185903</v>
      </c>
      <c r="L2308" s="4">
        <f>MIN(MAX(L2307*(1+MAX(MIN(((B2308-B2307)/B2307)/($K$7*卓尔金历!$N$40),0),-卓尔金历!$M$43))+MIN(MAX(((B2308-B2307)/B2307)/($K$7*卓尔金历!$N$40),0),卓尔金历!$M$43),0),1)</f>
        <v>0.84975617569552253</v>
      </c>
      <c r="M2308" s="4">
        <f>MIN(MAX(M2307*(1+MAX(MIN(((B2308-B2307)/B2307)/($K$7*30),0),-卓尔金历!$M$43))+MIN(MAX(((B2308-B2307)/B2307)/($K$7*7),0),卓尔金历!$M$43),0),1)</f>
        <v>1</v>
      </c>
      <c r="N2308">
        <f t="shared" si="303"/>
        <v>879.94888673549576</v>
      </c>
      <c r="O2308">
        <f t="shared" si="304"/>
        <v>2338.1269973595427</v>
      </c>
      <c r="P2308">
        <f t="shared" si="305"/>
        <v>1.6870800425162286E-2</v>
      </c>
      <c r="Q2308">
        <f t="shared" si="306"/>
        <v>1.384037990536393E-2</v>
      </c>
      <c r="R2308">
        <f t="shared" si="307"/>
        <v>1.0919232353420552E-2</v>
      </c>
      <c r="S2308">
        <f t="shared" si="299"/>
        <v>20.011635699491414</v>
      </c>
      <c r="T2308" s="564">
        <f>IF((I2308-MAX(I$470:I2308))/MAX(I$470:I2308)&gt;T2307,T2307,(I2308-MAX(I$470:I2308))/MAX(I$470:I2308))</f>
        <v>-0.91338805338419748</v>
      </c>
      <c r="U2308" s="564">
        <f>IF((J2308-MAX(J$470:J2308))/MAX(J$470:J2308)&gt;U2307,U2307,(J2308-MAX(J$470:J2308))/MAX(J$470:J2308))</f>
        <v>-0.8283551177402233</v>
      </c>
      <c r="V2308" s="564">
        <f>IF((K2308-MAX(K$470:K2308))/MAX(K$470:K2308)&gt;V2307,V2307,(K2308-MAX(K$470:K2308))/MAX(K$470:K2308))</f>
        <v>-0.84885940676762139</v>
      </c>
      <c r="W2308" s="564">
        <f>IF((N2308-MAX(N$470:N2308))/MAX(N$470:N2308)&gt;W2307,W2307,(N2308-MAX(N$470:N2308))/MAX(N$470:N2308))</f>
        <v>-0.62788758315546067</v>
      </c>
      <c r="X2308" s="564">
        <f>IF((O2308-MAX(O$470:O2308))/MAX(O$470:O2308)&gt;X2307,X2307,(O2308-MAX(O$470:O2308))/MAX(O$470:O2308))</f>
        <v>-0.62788758315546067</v>
      </c>
    </row>
    <row r="2309" spans="1:24">
      <c r="A2309" s="799">
        <v>42711</v>
      </c>
      <c r="B2309">
        <v>766.54399999999998</v>
      </c>
      <c r="C2309">
        <v>4123.5933500000001</v>
      </c>
      <c r="D2309">
        <v>1.883983</v>
      </c>
      <c r="E2309">
        <f>LN(D2309/参数实验室!$E$53)/参数实验室!$E$55</f>
        <v>5.4273433986122409E-2</v>
      </c>
      <c r="F2309">
        <f t="shared" ref="F2309:F2372" si="308">C2309/B2309</f>
        <v>5.3794607354568038</v>
      </c>
      <c r="G2309">
        <f>LN(F2309/参数实验室!$E$58)/参数实验室!$E$59</f>
        <v>0.69258316037255263</v>
      </c>
      <c r="H2309" s="856">
        <f>INDEX(神经网络!$G$10:$BO$70,MATCH(ROUND(G2309*2,1)/2,神经网络!$E$10:$E$70,0),MATCH(ROUND(E2309*2,1)/2,神经网络!$G$8:$BO$8,0))</f>
        <v>1.626531289104566</v>
      </c>
      <c r="I2309">
        <f t="shared" si="300"/>
        <v>1135.8689521686549</v>
      </c>
      <c r="J2309">
        <f t="shared" si="301"/>
        <v>305.87127409121712</v>
      </c>
      <c r="K2309">
        <f t="shared" si="302"/>
        <v>3.7135522305697637</v>
      </c>
      <c r="L2309" s="4">
        <f>MIN(MAX(L2308*(1+MAX(MIN(((B2309-B2308)/B2308)/($K$7*卓尔金历!$N$40),0),-卓尔金历!$M$43))+MIN(MAX(((B2309-B2308)/B2308)/($K$7*卓尔金历!$N$40),0),卓尔金历!$M$43),0),1)</f>
        <v>0.89271126796976807</v>
      </c>
      <c r="M2309" s="4">
        <f>MIN(MAX(M2308*(1+MAX(MIN(((B2309-B2308)/B2308)/($K$7*30),0),-卓尔金历!$M$43))+MIN(MAX(((B2309-B2308)/B2308)/($K$7*7),0),卓尔金历!$M$43),0),1)</f>
        <v>1</v>
      </c>
      <c r="N2309">
        <f t="shared" si="303"/>
        <v>883.36815185270439</v>
      </c>
      <c r="O2309">
        <f t="shared" si="304"/>
        <v>2348.8187547746979</v>
      </c>
      <c r="P2309">
        <f t="shared" si="305"/>
        <v>2.8113737007698912E-3</v>
      </c>
      <c r="Q2309">
        <f t="shared" si="306"/>
        <v>1.3820728486384559E-2</v>
      </c>
      <c r="R2309">
        <f t="shared" si="307"/>
        <v>1</v>
      </c>
      <c r="S2309">
        <f t="shared" si="299"/>
        <v>20.012634907015702</v>
      </c>
      <c r="T2309" s="564">
        <f>IF((I2309-MAX(I$470:I2309))/MAX(I$470:I2309)&gt;T2308,T2308,(I2309-MAX(I$470:I2309))/MAX(I$470:I2309))</f>
        <v>-0.91338805338419748</v>
      </c>
      <c r="U2309" s="564">
        <f>IF((J2309-MAX(J$470:J2309))/MAX(J$470:J2309)&gt;U2308,U2308,(J2309-MAX(J$470:J2309))/MAX(J$470:J2309))</f>
        <v>-0.8283551177402233</v>
      </c>
      <c r="V2309" s="564">
        <f>IF((K2309-MAX(K$470:K2309))/MAX(K$470:K2309)&gt;V2308,V2308,(K2309-MAX(K$470:K2309))/MAX(K$470:K2309))</f>
        <v>-0.84885940676762139</v>
      </c>
      <c r="W2309" s="564">
        <f>IF((N2309-MAX(N$470:N2309))/MAX(N$470:N2309)&gt;W2308,W2308,(N2309-MAX(N$470:N2309))/MAX(N$470:N2309))</f>
        <v>-0.62788758315546067</v>
      </c>
      <c r="X2309" s="564">
        <f>IF((O2309-MAX(O$470:O2309))/MAX(O$470:O2309)&gt;X2308,X2308,(O2309-MAX(O$470:O2309))/MAX(O$470:O2309))</f>
        <v>-0.62788758315546067</v>
      </c>
    </row>
    <row r="2310" spans="1:24">
      <c r="A2310" s="799">
        <v>42712</v>
      </c>
      <c r="B2310">
        <v>772.76499999999999</v>
      </c>
      <c r="C2310">
        <v>4157.6338919999998</v>
      </c>
      <c r="D2310">
        <v>1.887246</v>
      </c>
      <c r="E2310">
        <f>LN(D2310/参数实验室!$E$53)/参数实验室!$E$55</f>
        <v>5.6314962514732066E-2</v>
      </c>
      <c r="F2310">
        <f t="shared" si="308"/>
        <v>5.3802047090642047</v>
      </c>
      <c r="G2310">
        <f>LN(F2310/参数实验室!$E$58)/参数实验室!$E$59</f>
        <v>0.69265574210075342</v>
      </c>
      <c r="H2310" s="856">
        <f>INDEX(神经网络!$G$10:$BO$70,MATCH(ROUND(G2310*2,1)/2,神经网络!$E$10:$E$70,0),MATCH(ROUND(E2310*2,1)/2,神经网络!$G$8:$BO$8,0))</f>
        <v>1.626531289104566</v>
      </c>
      <c r="I2310">
        <f t="shared" si="300"/>
        <v>1150.8628229426286</v>
      </c>
      <c r="J2310">
        <f t="shared" si="301"/>
        <v>308.35361717409489</v>
      </c>
      <c r="K2310">
        <f t="shared" si="302"/>
        <v>3.7322825445983248</v>
      </c>
      <c r="L2310" s="4">
        <f>MIN(MAX(L2309*(1+MAX(MIN(((B2310-B2309)/B2309)/($K$7*卓尔金历!$N$40),0),-卓尔金历!$M$43))+MIN(MAX(((B2310-B2309)/B2309)/($K$7*卓尔金历!$N$40),0),卓尔金历!$M$43),0),1)</f>
        <v>1</v>
      </c>
      <c r="M2310" s="4">
        <f>MIN(MAX(M2309*(1+MAX(MIN(((B2310-B2309)/B2309)/($K$7*30),0),-卓尔金历!$M$43))+MIN(MAX(((B2310-B2309)/B2309)/($K$7*7),0),卓尔金历!$M$43),0),1)</f>
        <v>1</v>
      </c>
      <c r="N2310">
        <f t="shared" si="303"/>
        <v>893.77785365710179</v>
      </c>
      <c r="O2310">
        <f t="shared" si="304"/>
        <v>2379.8239907337738</v>
      </c>
      <c r="P2310">
        <f t="shared" si="305"/>
        <v>8.1156463294996817E-3</v>
      </c>
      <c r="Q2310">
        <f t="shared" si="306"/>
        <v>1.1580417371908137E-2</v>
      </c>
      <c r="R2310">
        <f t="shared" si="307"/>
        <v>0.37425596686439178</v>
      </c>
      <c r="S2310">
        <f t="shared" si="299"/>
        <v>20.276808745969223</v>
      </c>
      <c r="T2310" s="564">
        <f>IF((I2310-MAX(I$470:I2310))/MAX(I$470:I2310)&gt;T2309,T2309,(I2310-MAX(I$470:I2310))/MAX(I$470:I2310))</f>
        <v>-0.91338805338419748</v>
      </c>
      <c r="U2310" s="564">
        <f>IF((J2310-MAX(J$470:J2310))/MAX(J$470:J2310)&gt;U2309,U2309,(J2310-MAX(J$470:J2310))/MAX(J$470:J2310))</f>
        <v>-0.8283551177402233</v>
      </c>
      <c r="V2310" s="564">
        <f>IF((K2310-MAX(K$470:K2310))/MAX(K$470:K2310)&gt;V2309,V2309,(K2310-MAX(K$470:K2310))/MAX(K$470:K2310))</f>
        <v>-0.84885940676762139</v>
      </c>
      <c r="W2310" s="564">
        <f>IF((N2310-MAX(N$470:N2310))/MAX(N$470:N2310)&gt;W2309,W2309,(N2310-MAX(N$470:N2310))/MAX(N$470:N2310))</f>
        <v>-0.62788758315546067</v>
      </c>
      <c r="X2310" s="564">
        <f>IF((O2310-MAX(O$470:O2310))/MAX(O$470:O2310)&gt;X2309,X2309,(O2310-MAX(O$470:O2310))/MAX(O$470:O2310))</f>
        <v>-0.62788758315546067</v>
      </c>
    </row>
    <row r="2311" spans="1:24">
      <c r="A2311" s="799">
        <v>42713</v>
      </c>
      <c r="B2311">
        <v>773.19200000000001</v>
      </c>
      <c r="C2311">
        <v>4191.8110740000002</v>
      </c>
      <c r="D2311">
        <v>1.8959140000000001</v>
      </c>
      <c r="E2311">
        <f>LN(D2311/参数实验室!$E$53)/参数实验室!$E$55</f>
        <v>6.1721088088702261E-2</v>
      </c>
      <c r="F2311">
        <f t="shared" si="308"/>
        <v>5.4214361685066583</v>
      </c>
      <c r="G2311">
        <f>LN(F2311/参数实验室!$E$58)/参数实验室!$E$59</f>
        <v>0.69666265244740633</v>
      </c>
      <c r="H2311" s="856">
        <f>INDEX(神经网络!$G$10:$BO$70,MATCH(ROUND(G2311*2,1)/2,神经网络!$E$10:$E$70,0),MATCH(ROUND(E2311*2,1)/2,神经网络!$G$8:$BO$8,0))</f>
        <v>1.626531289104566</v>
      </c>
      <c r="I2311">
        <f t="shared" si="300"/>
        <v>1151.8971703120746</v>
      </c>
      <c r="J2311">
        <f t="shared" si="301"/>
        <v>308.52400143649464</v>
      </c>
      <c r="K2311">
        <f t="shared" si="302"/>
        <v>3.7335739357353583</v>
      </c>
      <c r="L2311" s="4">
        <f>MIN(MAX(L2310*(1+MAX(MIN(((B2311-B2310)/B2310)/($K$7*卓尔金历!$N$40),0),-卓尔金历!$M$43))+MIN(MAX(((B2311-B2310)/B2310)/($K$7*卓尔金历!$N$40),0),卓尔金历!$M$43),0),1)</f>
        <v>1</v>
      </c>
      <c r="M2311" s="4">
        <f>MIN(MAX(M2310*(1+MAX(MIN(((B2311-B2310)/B2310)/($K$7*30),0),-卓尔金历!$M$43))+MIN(MAX(((B2311-B2310)/B2310)/($K$7*7),0),卓尔金历!$M$43),0),1)</f>
        <v>1</v>
      </c>
      <c r="N2311">
        <f t="shared" si="303"/>
        <v>894.58114380895108</v>
      </c>
      <c r="O2311">
        <f t="shared" si="304"/>
        <v>2381.9628769984861</v>
      </c>
      <c r="P2311">
        <f t="shared" si="305"/>
        <v>5.5256125730334695E-4</v>
      </c>
      <c r="Q2311">
        <f t="shared" si="306"/>
        <v>1.1328410777568821E-2</v>
      </c>
      <c r="R2311">
        <f t="shared" si="307"/>
        <v>1</v>
      </c>
      <c r="S2311">
        <f t="shared" si="299"/>
        <v>20.283629167100646</v>
      </c>
      <c r="T2311" s="564">
        <f>IF((I2311-MAX(I$470:I2311))/MAX(I$470:I2311)&gt;T2310,T2310,(I2311-MAX(I$470:I2311))/MAX(I$470:I2311))</f>
        <v>-0.91338805338419748</v>
      </c>
      <c r="U2311" s="564">
        <f>IF((J2311-MAX(J$470:J2311))/MAX(J$470:J2311)&gt;U2310,U2310,(J2311-MAX(J$470:J2311))/MAX(J$470:J2311))</f>
        <v>-0.8283551177402233</v>
      </c>
      <c r="V2311" s="564">
        <f>IF((K2311-MAX(K$470:K2311))/MAX(K$470:K2311)&gt;V2310,V2310,(K2311-MAX(K$470:K2311))/MAX(K$470:K2311))</f>
        <v>-0.84885940676762139</v>
      </c>
      <c r="W2311" s="564">
        <f>IF((N2311-MAX(N$470:N2311))/MAX(N$470:N2311)&gt;W2310,W2310,(N2311-MAX(N$470:N2311))/MAX(N$470:N2311))</f>
        <v>-0.62788758315546067</v>
      </c>
      <c r="X2311" s="564">
        <f>IF((O2311-MAX(O$470:O2311))/MAX(O$470:O2311)&gt;X2310,X2310,(O2311-MAX(O$470:O2311))/MAX(O$470:O2311))</f>
        <v>-0.62788758315546067</v>
      </c>
    </row>
    <row r="2312" spans="1:24">
      <c r="A2312" s="799">
        <v>42714</v>
      </c>
      <c r="B2312">
        <v>775.15599999999995</v>
      </c>
      <c r="C2312">
        <v>4293.6451889999998</v>
      </c>
      <c r="D2312">
        <v>1.901502</v>
      </c>
      <c r="E2312">
        <f>LN(D2312/参数实验室!$E$53)/参数实验室!$E$55</f>
        <v>6.5193167990268447E-2</v>
      </c>
      <c r="F2312">
        <f t="shared" si="308"/>
        <v>5.5390723789791991</v>
      </c>
      <c r="G2312">
        <f>LN(F2312/参数实验室!$E$58)/参数实验室!$E$59</f>
        <v>0.70792932156016775</v>
      </c>
      <c r="H2312" s="856">
        <f>INDEX(神经网络!$G$10:$BO$70,MATCH(ROUND(G2312*2,1)/2,神经网络!$E$10:$E$70,0),MATCH(ROUND(E2312*2,1)/2,神经网络!$G$8:$BO$8,0))</f>
        <v>1.626531289104566</v>
      </c>
      <c r="I2312">
        <f t="shared" si="300"/>
        <v>1156.6563298665847</v>
      </c>
      <c r="J2312">
        <f t="shared" si="301"/>
        <v>309.30768923825832</v>
      </c>
      <c r="K2312">
        <f t="shared" si="302"/>
        <v>3.7395007305350805</v>
      </c>
      <c r="L2312" s="4">
        <f>MIN(MAX(L2311*(1+MAX(MIN(((B2312-B2311)/B2311)/($K$7*卓尔金历!$N$40),0),-卓尔金历!$M$43))+MIN(MAX(((B2312-B2311)/B2311)/($K$7*卓尔金历!$N$40),0),卓尔金历!$M$43),0),1)</f>
        <v>1</v>
      </c>
      <c r="M2312" s="4">
        <f>MIN(MAX(M2311*(1+MAX(MIN(((B2312-B2311)/B2311)/($K$7*30),0),-卓尔金历!$M$43))+MIN(MAX(((B2312-B2311)/B2311)/($K$7*7),0),卓尔金历!$M$43),0),1)</f>
        <v>1</v>
      </c>
      <c r="N2312">
        <f t="shared" si="303"/>
        <v>898.27718066672855</v>
      </c>
      <c r="O2312">
        <f t="shared" si="304"/>
        <v>2391.8041559569929</v>
      </c>
      <c r="P2312">
        <f t="shared" si="305"/>
        <v>2.5401194011318556E-3</v>
      </c>
      <c r="Q2312">
        <f t="shared" si="306"/>
        <v>1.1280200028177388E-2</v>
      </c>
      <c r="R2312">
        <f t="shared" si="307"/>
        <v>1</v>
      </c>
      <c r="S2312">
        <f t="shared" si="299"/>
        <v>20.367432678419796</v>
      </c>
      <c r="T2312" s="564">
        <f>IF((I2312-MAX(I$470:I2312))/MAX(I$470:I2312)&gt;T2311,T2311,(I2312-MAX(I$470:I2312))/MAX(I$470:I2312))</f>
        <v>-0.91338805338419748</v>
      </c>
      <c r="U2312" s="564">
        <f>IF((J2312-MAX(J$470:J2312))/MAX(J$470:J2312)&gt;U2311,U2311,(J2312-MAX(J$470:J2312))/MAX(J$470:J2312))</f>
        <v>-0.8283551177402233</v>
      </c>
      <c r="V2312" s="564">
        <f>IF((K2312-MAX(K$470:K2312))/MAX(K$470:K2312)&gt;V2311,V2311,(K2312-MAX(K$470:K2312))/MAX(K$470:K2312))</f>
        <v>-0.84885940676762139</v>
      </c>
      <c r="W2312" s="564">
        <f>IF((N2312-MAX(N$470:N2312))/MAX(N$470:N2312)&gt;W2311,W2311,(N2312-MAX(N$470:N2312))/MAX(N$470:N2312))</f>
        <v>-0.62788758315546067</v>
      </c>
      <c r="X2312" s="564">
        <f>IF((O2312-MAX(O$470:O2312))/MAX(O$470:O2312)&gt;X2311,X2311,(O2312-MAX(O$470:O2312))/MAX(O$470:O2312))</f>
        <v>-0.62788758315546067</v>
      </c>
    </row>
    <row r="2313" spans="1:24">
      <c r="A2313" s="799">
        <v>42715</v>
      </c>
      <c r="B2313">
        <v>768.59799999999996</v>
      </c>
      <c r="C2313">
        <v>4228.2959080000001</v>
      </c>
      <c r="D2313">
        <v>1.888023</v>
      </c>
      <c r="E2313">
        <f>LN(D2313/参数实验室!$E$53)/参数实验室!$E$55</f>
        <v>5.6800579981201069E-2</v>
      </c>
      <c r="F2313">
        <f t="shared" si="308"/>
        <v>5.5013100580537557</v>
      </c>
      <c r="G2313">
        <f>LN(F2313/参数实验室!$E$58)/参数实验室!$E$59</f>
        <v>0.70433890533722188</v>
      </c>
      <c r="H2313" s="856">
        <f>INDEX(神经网络!$G$10:$BO$70,MATCH(ROUND(G2313*2,1)/2,神经网络!$E$10:$E$70,0),MATCH(ROUND(E2313*2,1)/2,神经网络!$G$8:$BO$8,0))</f>
        <v>1.626531289104566</v>
      </c>
      <c r="I2313">
        <f t="shared" si="300"/>
        <v>1140.7397753788414</v>
      </c>
      <c r="J2313">
        <f t="shared" si="301"/>
        <v>306.69087426678868</v>
      </c>
      <c r="K2313">
        <f t="shared" si="302"/>
        <v>3.7195100053303776</v>
      </c>
      <c r="L2313" s="4">
        <f>MIN(MAX(L2312*(1+MAX(MIN(((B2313-B2312)/B2312)/($K$7*卓尔金历!$N$40),0),-卓尔金历!$M$43))+MIN(MAX(((B2313-B2312)/B2312)/($K$7*卓尔金历!$N$40),0),卓尔金历!$M$43),0),1)</f>
        <v>0.87073576575788092</v>
      </c>
      <c r="M2313" s="4">
        <f>MIN(MAX(M2312*(1+MAX(MIN(((B2313-B2312)/B2312)/($K$7*30),0),-卓尔金历!$M$43))+MIN(MAX(((B2313-B2312)/B2312)/($K$7*7),0),卓尔金历!$M$43),0),1)</f>
        <v>0.93536788287894046</v>
      </c>
      <c r="N2313">
        <f t="shared" si="303"/>
        <v>885.9161384781404</v>
      </c>
      <c r="O2313">
        <f t="shared" si="304"/>
        <v>2358.8909386172395</v>
      </c>
      <c r="P2313">
        <f t="shared" si="305"/>
        <v>-8.4602325209377129E-3</v>
      </c>
      <c r="Q2313">
        <f t="shared" si="306"/>
        <v>1.1456965241515947E-2</v>
      </c>
      <c r="R2313">
        <f t="shared" si="307"/>
        <v>0.31792180097582279</v>
      </c>
      <c r="S2313">
        <f t="shared" si="299"/>
        <v>20.087159840558868</v>
      </c>
      <c r="T2313" s="564">
        <f>IF((I2313-MAX(I$470:I2313))/MAX(I$470:I2313)&gt;T2312,T2312,(I2313-MAX(I$470:I2313))/MAX(I$470:I2313))</f>
        <v>-0.91338805338419748</v>
      </c>
      <c r="U2313" s="564">
        <f>IF((J2313-MAX(J$470:J2313))/MAX(J$470:J2313)&gt;U2312,U2312,(J2313-MAX(J$470:J2313))/MAX(J$470:J2313))</f>
        <v>-0.8283551177402233</v>
      </c>
      <c r="V2313" s="564">
        <f>IF((K2313-MAX(K$470:K2313))/MAX(K$470:K2313)&gt;V2312,V2312,(K2313-MAX(K$470:K2313))/MAX(K$470:K2313))</f>
        <v>-0.84885940676762139</v>
      </c>
      <c r="W2313" s="564">
        <f>IF((N2313-MAX(N$470:N2313))/MAX(N$470:N2313)&gt;W2312,W2312,(N2313-MAX(N$470:N2313))/MAX(N$470:N2313))</f>
        <v>-0.62788758315546067</v>
      </c>
      <c r="X2313" s="564">
        <f>IF((O2313-MAX(O$470:O2313))/MAX(O$470:O2313)&gt;X2312,X2312,(O2313-MAX(O$470:O2313))/MAX(O$470:O2313))</f>
        <v>-0.62788758315546067</v>
      </c>
    </row>
    <row r="2314" spans="1:24">
      <c r="A2314" s="799">
        <v>42716</v>
      </c>
      <c r="B2314">
        <v>780.12</v>
      </c>
      <c r="C2314">
        <v>4263.4527070000004</v>
      </c>
      <c r="D2314">
        <v>1.9048639999999999</v>
      </c>
      <c r="E2314">
        <f>LN(D2314/参数实验室!$E$53)/参数实验室!$E$55</f>
        <v>6.7277219517457409E-2</v>
      </c>
      <c r="F2314">
        <f t="shared" si="308"/>
        <v>5.465124220632724</v>
      </c>
      <c r="G2314">
        <f>LN(F2314/参数实验室!$E$58)/参数实验室!$E$59</f>
        <v>0.70087518111846925</v>
      </c>
      <c r="H2314" s="856">
        <f>INDEX(神经网络!$G$10:$BO$70,MATCH(ROUND(G2314*2,1)/2,神经网络!$E$10:$E$70,0),MATCH(ROUND(E2314*2,1)/2,神经网络!$G$8:$BO$8,0))</f>
        <v>1.626531289104566</v>
      </c>
      <c r="I2314">
        <f t="shared" si="300"/>
        <v>1168.5546833755966</v>
      </c>
      <c r="J2314">
        <f t="shared" si="301"/>
        <v>311.2884561669523</v>
      </c>
      <c r="K2314">
        <f t="shared" si="302"/>
        <v>3.7539287443054734</v>
      </c>
      <c r="L2314" s="4">
        <f>MIN(MAX(L2313*(1+MAX(MIN(((B2314-B2313)/B2313)/($K$7*卓尔金历!$N$40),0),-卓尔金历!$M$43))+MIN(MAX(((B2314-B2313)/B2313)/($K$7*卓尔金历!$N$40),0),卓尔金历!$M$43),0),1)</f>
        <v>1</v>
      </c>
      <c r="M2314" s="4">
        <f>MIN(MAX(M2313*(1+MAX(MIN(((B2314-B2313)/B2313)/($K$7*30),0),-卓尔金历!$M$43))+MIN(MAX(((B2314-B2313)/B2313)/($K$7*7),0),卓尔金历!$M$43),0),1)</f>
        <v>1</v>
      </c>
      <c r="N2314">
        <f t="shared" si="303"/>
        <v>904.72532615095372</v>
      </c>
      <c r="O2314">
        <f t="shared" si="304"/>
        <v>2412.6908250357178</v>
      </c>
      <c r="P2314">
        <f t="shared" si="305"/>
        <v>1.4990931540285102E-2</v>
      </c>
      <c r="Q2314">
        <f t="shared" si="306"/>
        <v>1.0301943961137473E-2</v>
      </c>
      <c r="R2314">
        <f t="shared" si="307"/>
        <v>7.1593104401374711E-3</v>
      </c>
      <c r="S2314">
        <f t="shared" si="299"/>
        <v>20.242874639144496</v>
      </c>
      <c r="T2314" s="564">
        <f>IF((I2314-MAX(I$470:I2314))/MAX(I$470:I2314)&gt;T2313,T2313,(I2314-MAX(I$470:I2314))/MAX(I$470:I2314))</f>
        <v>-0.91338805338419748</v>
      </c>
      <c r="U2314" s="564">
        <f>IF((J2314-MAX(J$470:J2314))/MAX(J$470:J2314)&gt;U2313,U2313,(J2314-MAX(J$470:J2314))/MAX(J$470:J2314))</f>
        <v>-0.8283551177402233</v>
      </c>
      <c r="V2314" s="564">
        <f>IF((K2314-MAX(K$470:K2314))/MAX(K$470:K2314)&gt;V2313,V2313,(K2314-MAX(K$470:K2314))/MAX(K$470:K2314))</f>
        <v>-0.84885940676762139</v>
      </c>
      <c r="W2314" s="564">
        <f>IF((N2314-MAX(N$470:N2314))/MAX(N$470:N2314)&gt;W2313,W2313,(N2314-MAX(N$470:N2314))/MAX(N$470:N2314))</f>
        <v>-0.62788758315546067</v>
      </c>
      <c r="X2314" s="564">
        <f>IF((O2314-MAX(O$470:O2314))/MAX(O$470:O2314)&gt;X2313,X2313,(O2314-MAX(O$470:O2314))/MAX(O$470:O2314))</f>
        <v>-0.62788758315546067</v>
      </c>
    </row>
    <row r="2315" spans="1:24">
      <c r="A2315" s="799">
        <v>42717</v>
      </c>
      <c r="B2315">
        <v>781.452</v>
      </c>
      <c r="C2315">
        <v>4165.8122549999998</v>
      </c>
      <c r="D2315">
        <v>1.903376</v>
      </c>
      <c r="E2315">
        <f>LN(D2315/参数实验室!$E$53)/参数实验室!$E$55</f>
        <v>6.6355285544615825E-2</v>
      </c>
      <c r="F2315">
        <f t="shared" si="308"/>
        <v>5.3308613388922161</v>
      </c>
      <c r="G2315">
        <f>LN(F2315/参数实验室!$E$58)/参数实验室!$E$59</f>
        <v>0.68781994883314734</v>
      </c>
      <c r="H2315" s="856">
        <f>INDEX(神经网络!$G$10:$BO$70,MATCH(ROUND(G2315*2,1)/2,神经网络!$E$10:$E$70,0),MATCH(ROUND(E2315*2,1)/2,神经网络!$G$8:$BO$8,0))</f>
        <v>1.626531289104566</v>
      </c>
      <c r="I2315">
        <f t="shared" si="300"/>
        <v>1171.7999790818717</v>
      </c>
      <c r="J2315">
        <f t="shared" si="301"/>
        <v>311.81995929930935</v>
      </c>
      <c r="K2315">
        <f t="shared" si="302"/>
        <v>3.7579376949282639</v>
      </c>
      <c r="L2315" s="4">
        <f>MIN(MAX(L2314*(1+MAX(MIN(((B2315-B2314)/B2314)/($K$7*卓尔金历!$N$40),0),-卓尔金历!$M$43))+MIN(MAX(((B2315-B2314)/B2314)/($K$7*卓尔金历!$N$40),0),卓尔金历!$M$43),0),1)</f>
        <v>1</v>
      </c>
      <c r="M2315" s="4">
        <f>MIN(MAX(M2314*(1+MAX(MIN(((B2315-B2314)/B2314)/($K$7*30),0),-卓尔金历!$M$43))+MIN(MAX(((B2315-B2314)/B2314)/($K$7*7),0),卓尔金历!$M$43),0),1)</f>
        <v>1</v>
      </c>
      <c r="N2315">
        <f t="shared" si="303"/>
        <v>907.23791820854967</v>
      </c>
      <c r="O2315">
        <f t="shared" si="304"/>
        <v>2419.3913203453935</v>
      </c>
      <c r="P2315">
        <f t="shared" si="305"/>
        <v>1.707429626211344E-3</v>
      </c>
      <c r="Q2315">
        <f t="shared" si="306"/>
        <v>1.0213952309837914E-2</v>
      </c>
      <c r="R2315">
        <f t="shared" si="307"/>
        <v>1</v>
      </c>
      <c r="S2315">
        <f t="shared" si="299"/>
        <v>20.243277123139446</v>
      </c>
      <c r="T2315" s="564">
        <f>IF((I2315-MAX(I$470:I2315))/MAX(I$470:I2315)&gt;T2314,T2314,(I2315-MAX(I$470:I2315))/MAX(I$470:I2315))</f>
        <v>-0.91338805338419748</v>
      </c>
      <c r="U2315" s="564">
        <f>IF((J2315-MAX(J$470:J2315))/MAX(J$470:J2315)&gt;U2314,U2314,(J2315-MAX(J$470:J2315))/MAX(J$470:J2315))</f>
        <v>-0.8283551177402233</v>
      </c>
      <c r="V2315" s="564">
        <f>IF((K2315-MAX(K$470:K2315))/MAX(K$470:K2315)&gt;V2314,V2314,(K2315-MAX(K$470:K2315))/MAX(K$470:K2315))</f>
        <v>-0.84885940676762139</v>
      </c>
      <c r="W2315" s="564">
        <f>IF((N2315-MAX(N$470:N2315))/MAX(N$470:N2315)&gt;W2314,W2314,(N2315-MAX(N$470:N2315))/MAX(N$470:N2315))</f>
        <v>-0.62788758315546067</v>
      </c>
      <c r="X2315" s="564">
        <f>IF((O2315-MAX(O$470:O2315))/MAX(O$470:O2315)&gt;X2314,X2314,(O2315-MAX(O$470:O2315))/MAX(O$470:O2315))</f>
        <v>-0.62788758315546067</v>
      </c>
    </row>
    <row r="2316" spans="1:24">
      <c r="A2316" s="799">
        <v>42718</v>
      </c>
      <c r="B2316">
        <v>781.48900000000003</v>
      </c>
      <c r="C2316">
        <v>4258.4057720000001</v>
      </c>
      <c r="D2316">
        <v>1.8962680000000001</v>
      </c>
      <c r="E2316">
        <f>LN(D2316/参数实验室!$E$53)/参数实验室!$E$55</f>
        <v>6.1941347901959896E-2</v>
      </c>
      <c r="F2316">
        <f t="shared" si="308"/>
        <v>5.4490924018124378</v>
      </c>
      <c r="G2316">
        <f>LN(F2316/参数实验室!$E$58)/参数实验室!$E$59</f>
        <v>0.69933327091664554</v>
      </c>
      <c r="H2316" s="856">
        <f>INDEX(神经网络!$G$10:$BO$70,MATCH(ROUND(G2316*2,1)/2,神经网络!$E$10:$E$70,0),MATCH(ROUND(E2316*2,1)/2,神经网络!$G$8:$BO$8,0))</f>
        <v>1.626531289104566</v>
      </c>
      <c r="I2316">
        <f t="shared" si="300"/>
        <v>1171.8902224560397</v>
      </c>
      <c r="J2316">
        <f t="shared" si="301"/>
        <v>311.83472327520815</v>
      </c>
      <c r="K2316">
        <f t="shared" si="302"/>
        <v>3.758049168314697</v>
      </c>
      <c r="L2316" s="4">
        <f>MIN(MAX(L2315*(1+MAX(MIN(((B2316-B2315)/B2315)/($K$7*卓尔金历!$N$40),0),-卓尔金历!$M$43))+MIN(MAX(((B2316-B2315)/B2315)/($K$7*卓尔金历!$N$40),0),卓尔金历!$M$43),0),1)</f>
        <v>1</v>
      </c>
      <c r="M2316" s="4">
        <f>MIN(MAX(M2315*(1+MAX(MIN(((B2316-B2315)/B2315)/($K$7*30),0),-卓尔金历!$M$43))+MIN(MAX(((B2316-B2315)/B2315)/($K$7*7),0),卓尔金历!$M$43),0),1)</f>
        <v>1</v>
      </c>
      <c r="N2316">
        <f t="shared" si="303"/>
        <v>907.30778696804271</v>
      </c>
      <c r="O2316">
        <f t="shared" si="304"/>
        <v>2419.5776439843066</v>
      </c>
      <c r="P2316">
        <f t="shared" si="305"/>
        <v>4.7347757763796832E-5</v>
      </c>
      <c r="Q2316">
        <f t="shared" si="306"/>
        <v>1.0227397258898197E-2</v>
      </c>
      <c r="R2316">
        <f t="shared" si="307"/>
        <v>1</v>
      </c>
      <c r="S2316">
        <f t="shared" si="299"/>
        <v>20.244836110734958</v>
      </c>
      <c r="T2316" s="564">
        <f>IF((I2316-MAX(I$470:I2316))/MAX(I$470:I2316)&gt;T2315,T2315,(I2316-MAX(I$470:I2316))/MAX(I$470:I2316))</f>
        <v>-0.91338805338419748</v>
      </c>
      <c r="U2316" s="564">
        <f>IF((J2316-MAX(J$470:J2316))/MAX(J$470:J2316)&gt;U2315,U2315,(J2316-MAX(J$470:J2316))/MAX(J$470:J2316))</f>
        <v>-0.8283551177402233</v>
      </c>
      <c r="V2316" s="564">
        <f>IF((K2316-MAX(K$470:K2316))/MAX(K$470:K2316)&gt;V2315,V2315,(K2316-MAX(K$470:K2316))/MAX(K$470:K2316))</f>
        <v>-0.84885940676762139</v>
      </c>
      <c r="W2316" s="564">
        <f>IF((N2316-MAX(N$470:N2316))/MAX(N$470:N2316)&gt;W2315,W2315,(N2316-MAX(N$470:N2316))/MAX(N$470:N2316))</f>
        <v>-0.62788758315546067</v>
      </c>
      <c r="X2316" s="564">
        <f>IF((O2316-MAX(O$470:O2316))/MAX(O$470:O2316)&gt;X2315,X2315,(O2316-MAX(O$470:O2316))/MAX(O$470:O2316))</f>
        <v>-0.62788758315546067</v>
      </c>
    </row>
    <row r="2317" spans="1:24">
      <c r="A2317" s="799">
        <v>42719</v>
      </c>
      <c r="B2317">
        <v>779.55499999999995</v>
      </c>
      <c r="C2317">
        <v>4342.0887149999999</v>
      </c>
      <c r="D2317">
        <v>1.8913629999999999</v>
      </c>
      <c r="E2317">
        <f>LN(D2317/参数实验室!$E$53)/参数实验室!$E$55</f>
        <v>5.8885774169186701E-2</v>
      </c>
      <c r="F2317">
        <f t="shared" si="308"/>
        <v>5.5699581363726747</v>
      </c>
      <c r="G2317">
        <f>LN(F2317/参数实验室!$E$58)/参数实验室!$E$59</f>
        <v>0.71084776820355688</v>
      </c>
      <c r="H2317" s="856">
        <f>INDEX(神经网络!$G$10:$BO$70,MATCH(ROUND(G2317*2,1)/2,神经网络!$E$10:$E$70,0),MATCH(ROUND(E2317*2,1)/2,神经网络!$G$8:$BO$8,0))</f>
        <v>1.626531289104566</v>
      </c>
      <c r="I2317">
        <f t="shared" si="300"/>
        <v>1167.173036974347</v>
      </c>
      <c r="J2317">
        <f t="shared" si="301"/>
        <v>311.06300626471369</v>
      </c>
      <c r="K2317">
        <f t="shared" si="302"/>
        <v>3.752207795423562</v>
      </c>
      <c r="L2317" s="4">
        <f>MIN(MAX(L2316*(1+MAX(MIN(((B2317-B2316)/B2316)/($K$7*卓尔金历!$N$40),0),-卓尔金历!$M$43))+MIN(MAX(((B2317-B2316)/B2316)/($K$7*卓尔金历!$N$40),0),卓尔金历!$M$43),0),1)</f>
        <v>0.96218799742665762</v>
      </c>
      <c r="M2317" s="4">
        <f>MIN(MAX(M2316*(1+MAX(MIN(((B2317-B2316)/B2316)/($K$7*30),0),-卓尔金历!$M$43))+MIN(MAX(((B2317-B2316)/B2316)/($K$7*7),0),卓尔金历!$M$43),0),1)</f>
        <v>0.98109399871332881</v>
      </c>
      <c r="N2317">
        <f t="shared" si="303"/>
        <v>903.65561969324244</v>
      </c>
      <c r="O2317">
        <f t="shared" si="304"/>
        <v>2409.8381681227279</v>
      </c>
      <c r="P2317">
        <f t="shared" si="305"/>
        <v>-2.4747629205274582E-3</v>
      </c>
      <c r="Q2317">
        <f t="shared" si="306"/>
        <v>1.0207797134090181E-2</v>
      </c>
      <c r="R2317">
        <f t="shared" si="307"/>
        <v>1</v>
      </c>
      <c r="S2317">
        <f t="shared" si="299"/>
        <v>20.163344990533734</v>
      </c>
      <c r="T2317" s="564">
        <f>IF((I2317-MAX(I$470:I2317))/MAX(I$470:I2317)&gt;T2316,T2316,(I2317-MAX(I$470:I2317))/MAX(I$470:I2317))</f>
        <v>-0.91338805338419748</v>
      </c>
      <c r="U2317" s="564">
        <f>IF((J2317-MAX(J$470:J2317))/MAX(J$470:J2317)&gt;U2316,U2316,(J2317-MAX(J$470:J2317))/MAX(J$470:J2317))</f>
        <v>-0.8283551177402233</v>
      </c>
      <c r="V2317" s="564">
        <f>IF((K2317-MAX(K$470:K2317))/MAX(K$470:K2317)&gt;V2316,V2316,(K2317-MAX(K$470:K2317))/MAX(K$470:K2317))</f>
        <v>-0.84885940676762139</v>
      </c>
      <c r="W2317" s="564">
        <f>IF((N2317-MAX(N$470:N2317))/MAX(N$470:N2317)&gt;W2316,W2316,(N2317-MAX(N$470:N2317))/MAX(N$470:N2317))</f>
        <v>-0.62788758315546067</v>
      </c>
      <c r="X2317" s="564">
        <f>IF((O2317-MAX(O$470:O2317))/MAX(O$470:O2317)&gt;X2316,X2316,(O2317-MAX(O$470:O2317))/MAX(O$470:O2317))</f>
        <v>-0.62788758315546067</v>
      </c>
    </row>
    <row r="2318" spans="1:24">
      <c r="A2318" s="799">
        <v>42720</v>
      </c>
      <c r="B2318">
        <v>783.97199999999998</v>
      </c>
      <c r="C2318">
        <v>4454.6954189999997</v>
      </c>
      <c r="D2318">
        <v>1.903735</v>
      </c>
      <c r="E2318">
        <f>LN(D2318/参数实验室!$E$53)/参数实验室!$E$55</f>
        <v>6.6577780457867039E-2</v>
      </c>
      <c r="F2318">
        <f t="shared" si="308"/>
        <v>5.6822123991673168</v>
      </c>
      <c r="G2318">
        <f>LN(F2318/参数实验室!$E$58)/参数实验室!$E$59</f>
        <v>0.72132024694718211</v>
      </c>
      <c r="H2318" s="856">
        <f>INDEX(神经网络!$G$10:$BO$70,MATCH(ROUND(G2318*2,1)/2,神经网络!$E$10:$E$70,0),MATCH(ROUND(E2318*2,1)/2,神经网络!$G$8:$BO$8,0))</f>
        <v>1.626531289104566</v>
      </c>
      <c r="I2318">
        <f t="shared" si="300"/>
        <v>1177.9297183918513</v>
      </c>
      <c r="J2318">
        <f t="shared" si="301"/>
        <v>312.82550576593076</v>
      </c>
      <c r="K2318">
        <f t="shared" si="302"/>
        <v>3.7654529336019937</v>
      </c>
      <c r="L2318" s="4">
        <f>MIN(MAX(L2317*(1+MAX(MIN(((B2318-B2317)/B2317)/($K$7*卓尔金历!$N$40),0),-卓尔金历!$M$43))+MIN(MAX(((B2318-B2317)/B2317)/($K$7*卓尔金历!$N$40),0),卓尔金历!$M$43),0),1)</f>
        <v>1</v>
      </c>
      <c r="M2318" s="4">
        <f>MIN(MAX(M2317*(1+MAX(MIN(((B2318-B2317)/B2317)/($K$7*30),0),-卓尔金历!$M$43))+MIN(MAX(((B2318-B2317)/B2317)/($K$7*7),0),卓尔金历!$M$43),0),1)</f>
        <v>1</v>
      </c>
      <c r="N2318">
        <f t="shared" si="303"/>
        <v>911.66881907389427</v>
      </c>
      <c r="O2318">
        <f t="shared" si="304"/>
        <v>2431.6273817961219</v>
      </c>
      <c r="P2318">
        <f t="shared" si="305"/>
        <v>5.6660530687379727E-3</v>
      </c>
      <c r="Q2318">
        <f t="shared" si="306"/>
        <v>1.0139411571084356E-2</v>
      </c>
      <c r="R2318">
        <f t="shared" si="307"/>
        <v>0.59808529247729658</v>
      </c>
      <c r="S2318">
        <f t="shared" si="299"/>
        <v>20.349170632065558</v>
      </c>
      <c r="T2318" s="564">
        <f>IF((I2318-MAX(I$470:I2318))/MAX(I$470:I2318)&gt;T2317,T2317,(I2318-MAX(I$470:I2318))/MAX(I$470:I2318))</f>
        <v>-0.91338805338419748</v>
      </c>
      <c r="U2318" s="564">
        <f>IF((J2318-MAX(J$470:J2318))/MAX(J$470:J2318)&gt;U2317,U2317,(J2318-MAX(J$470:J2318))/MAX(J$470:J2318))</f>
        <v>-0.8283551177402233</v>
      </c>
      <c r="V2318" s="564">
        <f>IF((K2318-MAX(K$470:K2318))/MAX(K$470:K2318)&gt;V2317,V2317,(K2318-MAX(K$470:K2318))/MAX(K$470:K2318))</f>
        <v>-0.84885940676762139</v>
      </c>
      <c r="W2318" s="564">
        <f>IF((N2318-MAX(N$470:N2318))/MAX(N$470:N2318)&gt;W2317,W2317,(N2318-MAX(N$470:N2318))/MAX(N$470:N2318))</f>
        <v>-0.62788758315546067</v>
      </c>
      <c r="X2318" s="564">
        <f>IF((O2318-MAX(O$470:O2318))/MAX(O$470:O2318)&gt;X2317,X2317,(O2318-MAX(O$470:O2318))/MAX(O$470:O2318))</f>
        <v>-0.62788758315546067</v>
      </c>
    </row>
    <row r="2319" spans="1:24">
      <c r="A2319" s="799">
        <v>42721</v>
      </c>
      <c r="B2319">
        <v>790.22400000000005</v>
      </c>
      <c r="C2319">
        <v>4501.2364100000004</v>
      </c>
      <c r="D2319">
        <v>1.919203</v>
      </c>
      <c r="E2319">
        <f>LN(D2319/参数实验室!$E$53)/参数实验室!$E$55</f>
        <v>7.6124638272493925E-2</v>
      </c>
      <c r="F2319">
        <f t="shared" si="308"/>
        <v>5.696152496001134</v>
      </c>
      <c r="G2319">
        <f>LN(F2319/参数实验室!$E$58)/参数实验室!$E$59</f>
        <v>0.72260628758873535</v>
      </c>
      <c r="H2319" s="856">
        <f>INDEX(神经网络!$G$10:$BO$70,MATCH(ROUND(G2319*2,1)/2,神经网络!$E$10:$E$70,0),MATCH(ROUND(E2319*2,1)/2,神经网络!$G$8:$BO$8,0))</f>
        <v>1.7126539669765544</v>
      </c>
      <c r="I2319">
        <f t="shared" si="300"/>
        <v>1193.208904414952</v>
      </c>
      <c r="J2319">
        <f t="shared" si="301"/>
        <v>315.32021866645351</v>
      </c>
      <c r="K2319">
        <f t="shared" si="302"/>
        <v>3.7841179657341648</v>
      </c>
      <c r="L2319" s="4">
        <f>MIN(MAX(L2318*(1+MAX(MIN(((B2319-B2318)/B2318)/($K$7*卓尔金历!$N$40),0),-卓尔金历!$M$43))+MIN(MAX(((B2319-B2318)/B2318)/($K$7*卓尔金历!$N$40),0),卓尔金历!$M$43),0),1)</f>
        <v>1</v>
      </c>
      <c r="M2319" s="4">
        <f>MIN(MAX(M2318*(1+MAX(MIN(((B2319-B2318)/B2318)/($K$7*30),0),-卓尔金历!$M$43))+MIN(MAX(((B2319-B2318)/B2318)/($K$7*7),0),卓尔金历!$M$43),0),1)</f>
        <v>1</v>
      </c>
      <c r="N2319">
        <f t="shared" si="303"/>
        <v>923.49427628122885</v>
      </c>
      <c r="O2319">
        <f t="shared" si="304"/>
        <v>2463.1685565582725</v>
      </c>
      <c r="P2319">
        <f t="shared" si="305"/>
        <v>7.9747746092973561E-3</v>
      </c>
      <c r="Q2319">
        <f t="shared" si="306"/>
        <v>1.0058214756121585E-2</v>
      </c>
      <c r="R2319">
        <f t="shared" si="307"/>
        <v>0.24459913608651584</v>
      </c>
      <c r="S2319">
        <f t="shared" si="299"/>
        <v>20.507037384812342</v>
      </c>
      <c r="T2319" s="564">
        <f>IF((I2319-MAX(I$470:I2319))/MAX(I$470:I2319)&gt;T2318,T2318,(I2319-MAX(I$470:I2319))/MAX(I$470:I2319))</f>
        <v>-0.91338805338419748</v>
      </c>
      <c r="U2319" s="564">
        <f>IF((J2319-MAX(J$470:J2319))/MAX(J$470:J2319)&gt;U2318,U2318,(J2319-MAX(J$470:J2319))/MAX(J$470:J2319))</f>
        <v>-0.8283551177402233</v>
      </c>
      <c r="V2319" s="564">
        <f>IF((K2319-MAX(K$470:K2319))/MAX(K$470:K2319)&gt;V2318,V2318,(K2319-MAX(K$470:K2319))/MAX(K$470:K2319))</f>
        <v>-0.84885940676762139</v>
      </c>
      <c r="W2319" s="564">
        <f>IF((N2319-MAX(N$470:N2319))/MAX(N$470:N2319)&gt;W2318,W2318,(N2319-MAX(N$470:N2319))/MAX(N$470:N2319))</f>
        <v>-0.62788758315546067</v>
      </c>
      <c r="X2319" s="564">
        <f>IF((O2319-MAX(O$470:O2319))/MAX(O$470:O2319)&gt;X2318,X2318,(O2319-MAX(O$470:O2319))/MAX(O$470:O2319))</f>
        <v>-0.62788758315546067</v>
      </c>
    </row>
    <row r="2320" spans="1:24">
      <c r="A2320" s="799">
        <v>42722</v>
      </c>
      <c r="B2320">
        <v>790.90300000000002</v>
      </c>
      <c r="C2320">
        <v>4524.0054579999996</v>
      </c>
      <c r="D2320">
        <v>1.918922</v>
      </c>
      <c r="E2320">
        <f>LN(D2320/参数实验室!$E$53)/参数实验室!$E$55</f>
        <v>7.5951892120584549E-2</v>
      </c>
      <c r="F2320">
        <f t="shared" si="308"/>
        <v>5.7200509518866403</v>
      </c>
      <c r="G2320">
        <f>LN(F2320/参数实验室!$E$58)/参数实验室!$E$59</f>
        <v>0.72480372907174062</v>
      </c>
      <c r="H2320" s="856">
        <f>INDEX(神经网络!$G$10:$BO$70,MATCH(ROUND(G2320*2,1)/2,神经网络!$E$10:$E$70,0),MATCH(ROUND(E2320*2,1)/2,神经网络!$G$8:$BO$8,0))</f>
        <v>1.7126539669765544</v>
      </c>
      <c r="I2320">
        <f t="shared" si="300"/>
        <v>1194.9648282305654</v>
      </c>
      <c r="J2320">
        <f t="shared" si="301"/>
        <v>315.59115757551541</v>
      </c>
      <c r="K2320">
        <f t="shared" si="302"/>
        <v>3.7864331732571799</v>
      </c>
      <c r="L2320" s="4">
        <f>MIN(MAX(L2319*(1+MAX(MIN(((B2320-B2319)/B2319)/($K$7*卓尔金历!$N$40),0),-卓尔金历!$M$43))+MIN(MAX(((B2320-B2319)/B2319)/($K$7*卓尔金历!$N$40),0),卓尔金历!$M$43),0),1)</f>
        <v>1</v>
      </c>
      <c r="M2320" s="4">
        <f>MIN(MAX(M2319*(1+MAX(MIN(((B2320-B2319)/B2319)/($K$7*30),0),-卓尔金历!$M$43))+MIN(MAX(((B2320-B2319)/B2319)/($K$7*7),0),卓尔金历!$M$43),0),1)</f>
        <v>1</v>
      </c>
      <c r="N2320">
        <f t="shared" si="303"/>
        <v>924.85328859441643</v>
      </c>
      <c r="O2320">
        <f t="shared" si="304"/>
        <v>2466.7933504349589</v>
      </c>
      <c r="P2320">
        <f t="shared" si="305"/>
        <v>8.5925003543295777E-4</v>
      </c>
      <c r="Q2320">
        <f t="shared" si="306"/>
        <v>1.007262521677523E-2</v>
      </c>
      <c r="R2320">
        <f t="shared" si="307"/>
        <v>1</v>
      </c>
      <c r="S2320">
        <f t="shared" si="299"/>
        <v>20.514418925628082</v>
      </c>
      <c r="T2320" s="564">
        <f>IF((I2320-MAX(I$470:I2320))/MAX(I$470:I2320)&gt;T2319,T2319,(I2320-MAX(I$470:I2320))/MAX(I$470:I2320))</f>
        <v>-0.91338805338419748</v>
      </c>
      <c r="U2320" s="564">
        <f>IF((J2320-MAX(J$470:J2320))/MAX(J$470:J2320)&gt;U2319,U2319,(J2320-MAX(J$470:J2320))/MAX(J$470:J2320))</f>
        <v>-0.8283551177402233</v>
      </c>
      <c r="V2320" s="564">
        <f>IF((K2320-MAX(K$470:K2320))/MAX(K$470:K2320)&gt;V2319,V2319,(K2320-MAX(K$470:K2320))/MAX(K$470:K2320))</f>
        <v>-0.84885940676762139</v>
      </c>
      <c r="W2320" s="564">
        <f>IF((N2320-MAX(N$470:N2320))/MAX(N$470:N2320)&gt;W2319,W2319,(N2320-MAX(N$470:N2320))/MAX(N$470:N2320))</f>
        <v>-0.62788758315546067</v>
      </c>
      <c r="X2320" s="564">
        <f>IF((O2320-MAX(O$470:O2320))/MAX(O$470:O2320)&gt;X2319,X2319,(O2320-MAX(O$470:O2320))/MAX(O$470:O2320))</f>
        <v>-0.62788758315546067</v>
      </c>
    </row>
    <row r="2321" spans="1:24">
      <c r="A2321" s="799">
        <v>42723</v>
      </c>
      <c r="B2321">
        <v>791.73099999999999</v>
      </c>
      <c r="C2321">
        <v>4498.4809670000004</v>
      </c>
      <c r="D2321">
        <v>1.9163509999999999</v>
      </c>
      <c r="E2321">
        <f>LN(D2321/参数实验室!$E$53)/参数实验室!$E$55</f>
        <v>7.4370181486376433E-2</v>
      </c>
      <c r="F2321">
        <f t="shared" si="308"/>
        <v>5.6818300243390754</v>
      </c>
      <c r="G2321">
        <f>LN(F2321/参数实验室!$E$58)/参数实验室!$E$59</f>
        <v>0.72128492659775512</v>
      </c>
      <c r="H2321" s="856">
        <f>INDEX(神经网络!$G$10:$BO$70,MATCH(ROUND(G2321*2,1)/2,神经网络!$E$10:$E$70,0),MATCH(ROUND(E2321*2,1)/2,神经网络!$G$8:$BO$8,0))</f>
        <v>1.626531289104566</v>
      </c>
      <c r="I2321">
        <f t="shared" si="300"/>
        <v>1197.1073826498434</v>
      </c>
      <c r="J2321">
        <f t="shared" si="301"/>
        <v>315.92155141454816</v>
      </c>
      <c r="K2321">
        <f t="shared" si="302"/>
        <v>3.789255203672429</v>
      </c>
      <c r="L2321" s="4">
        <f>MIN(MAX(L2320*(1+MAX(MIN(((B2321-B2320)/B2320)/($K$7*卓尔金历!$N$40),0),-卓尔金历!$M$43))+MIN(MAX(((B2321-B2320)/B2320)/($K$7*卓尔金历!$N$40),0),卓尔金历!$M$43),0),1)</f>
        <v>1</v>
      </c>
      <c r="M2321" s="4">
        <f>MIN(MAX(M2320*(1+MAX(MIN(((B2321-B2320)/B2320)/($K$7*30),0),-卓尔金历!$M$43))+MIN(MAX(((B2321-B2320)/B2320)/($K$7*7),0),卓尔金历!$M$43),0),1)</f>
        <v>1</v>
      </c>
      <c r="N2321">
        <f t="shared" si="303"/>
        <v>926.51153698286146</v>
      </c>
      <c r="O2321">
        <f t="shared" si="304"/>
        <v>2471.216274750017</v>
      </c>
      <c r="P2321">
        <f t="shared" si="305"/>
        <v>1.0469046140929728E-3</v>
      </c>
      <c r="Q2321">
        <f t="shared" si="306"/>
        <v>1.0058224304527699E-2</v>
      </c>
      <c r="R2321">
        <f t="shared" si="307"/>
        <v>1</v>
      </c>
      <c r="S2321">
        <f t="shared" si="299"/>
        <v>20.551200978027993</v>
      </c>
      <c r="T2321" s="564">
        <f>IF((I2321-MAX(I$470:I2321))/MAX(I$470:I2321)&gt;T2320,T2320,(I2321-MAX(I$470:I2321))/MAX(I$470:I2321))</f>
        <v>-0.91338805338419748</v>
      </c>
      <c r="U2321" s="564">
        <f>IF((J2321-MAX(J$470:J2321))/MAX(J$470:J2321)&gt;U2320,U2320,(J2321-MAX(J$470:J2321))/MAX(J$470:J2321))</f>
        <v>-0.8283551177402233</v>
      </c>
      <c r="V2321" s="564">
        <f>IF((K2321-MAX(K$470:K2321))/MAX(K$470:K2321)&gt;V2320,V2320,(K2321-MAX(K$470:K2321))/MAX(K$470:K2321))</f>
        <v>-0.84885940676762139</v>
      </c>
      <c r="W2321" s="564">
        <f>IF((N2321-MAX(N$470:N2321))/MAX(N$470:N2321)&gt;W2320,W2320,(N2321-MAX(N$470:N2321))/MAX(N$470:N2321))</f>
        <v>-0.62788758315546067</v>
      </c>
      <c r="X2321" s="564">
        <f>IF((O2321-MAX(O$470:O2321))/MAX(O$470:O2321)&gt;X2320,X2320,(O2321-MAX(O$470:O2321))/MAX(O$470:O2321))</f>
        <v>-0.62788758315546067</v>
      </c>
    </row>
    <row r="2322" spans="1:24">
      <c r="A2322" s="799">
        <v>42724</v>
      </c>
      <c r="B2322">
        <v>793.31500000000005</v>
      </c>
      <c r="C2322">
        <v>4470.0209569999997</v>
      </c>
      <c r="D2322">
        <v>1.935438</v>
      </c>
      <c r="E2322">
        <f>LN(D2322/参数实验室!$E$53)/参数实验室!$E$55</f>
        <v>8.6062480563123669E-2</v>
      </c>
      <c r="F2322">
        <f t="shared" si="308"/>
        <v>5.6346104094842522</v>
      </c>
      <c r="G2322">
        <f>LN(F2322/参数实验室!$E$58)/参数实验室!$E$59</f>
        <v>0.71690483026784302</v>
      </c>
      <c r="H2322" s="856">
        <f>INDEX(神经网络!$G$10:$BO$70,MATCH(ROUND(G2322*2,1)/2,神经网络!$E$10:$E$70,0),MATCH(ROUND(E2322*2,1)/2,神经网络!$G$8:$BO$8,0))</f>
        <v>1.7126539669765544</v>
      </c>
      <c r="I2322">
        <f t="shared" si="300"/>
        <v>1201.0029710012509</v>
      </c>
      <c r="J2322">
        <f t="shared" si="301"/>
        <v>316.55360919356735</v>
      </c>
      <c r="K2322">
        <f t="shared" si="302"/>
        <v>3.7939955069880669</v>
      </c>
      <c r="L2322" s="4">
        <f>MIN(MAX(L2321*(1+MAX(MIN(((B2322-B2321)/B2321)/($K$7*卓尔金历!$N$40),0),-卓尔金历!$M$43))+MIN(MAX(((B2322-B2321)/B2321)/($K$7*卓尔金历!$N$40),0),卓尔金历!$M$43),0),1)</f>
        <v>1</v>
      </c>
      <c r="M2322" s="4">
        <f>MIN(MAX(M2321*(1+MAX(MIN(((B2322-B2321)/B2321)/($K$7*30),0),-卓尔金历!$M$43))+MIN(MAX(((B2322-B2321)/B2321)/($K$7*7),0),卓尔金历!$M$43),0),1)</f>
        <v>1</v>
      </c>
      <c r="N2322">
        <f t="shared" si="303"/>
        <v>929.52656103435936</v>
      </c>
      <c r="O2322">
        <f t="shared" si="304"/>
        <v>2479.2580272888872</v>
      </c>
      <c r="P2322">
        <f t="shared" si="305"/>
        <v>2.0006795237272005E-3</v>
      </c>
      <c r="Q2322">
        <f t="shared" si="306"/>
        <v>1.0023390956846834E-2</v>
      </c>
      <c r="R2322">
        <f t="shared" si="307"/>
        <v>1</v>
      </c>
      <c r="S2322">
        <f t="shared" si="299"/>
        <v>20.618078035422982</v>
      </c>
      <c r="T2322" s="564">
        <f>IF((I2322-MAX(I$470:I2322))/MAX(I$470:I2322)&gt;T2321,T2321,(I2322-MAX(I$470:I2322))/MAX(I$470:I2322))</f>
        <v>-0.91338805338419748</v>
      </c>
      <c r="U2322" s="564">
        <f>IF((J2322-MAX(J$470:J2322))/MAX(J$470:J2322)&gt;U2321,U2321,(J2322-MAX(J$470:J2322))/MAX(J$470:J2322))</f>
        <v>-0.8283551177402233</v>
      </c>
      <c r="V2322" s="564">
        <f>IF((K2322-MAX(K$470:K2322))/MAX(K$470:K2322)&gt;V2321,V2321,(K2322-MAX(K$470:K2322))/MAX(K$470:K2322))</f>
        <v>-0.84885940676762139</v>
      </c>
      <c r="W2322" s="564">
        <f>IF((N2322-MAX(N$470:N2322))/MAX(N$470:N2322)&gt;W2321,W2321,(N2322-MAX(N$470:N2322))/MAX(N$470:N2322))</f>
        <v>-0.62788758315546067</v>
      </c>
      <c r="X2322" s="564">
        <f>IF((O2322-MAX(O$470:O2322))/MAX(O$470:O2322)&gt;X2321,X2321,(O2322-MAX(O$470:O2322))/MAX(O$470:O2322))</f>
        <v>-0.62788758315546067</v>
      </c>
    </row>
    <row r="2323" spans="1:24">
      <c r="A2323" s="799">
        <v>42725</v>
      </c>
      <c r="B2323">
        <v>809.51300000000003</v>
      </c>
      <c r="C2323">
        <v>4412.5502969999998</v>
      </c>
      <c r="D2323">
        <v>1.995463</v>
      </c>
      <c r="E2323">
        <f>LN(D2323/参数实验室!$E$53)/参数实验室!$E$55</f>
        <v>0.12209503049897022</v>
      </c>
      <c r="F2323">
        <f t="shared" si="308"/>
        <v>5.4508702108551681</v>
      </c>
      <c r="G2323">
        <f>LN(F2323/参数实验室!$E$58)/参数实验室!$E$59</f>
        <v>0.6995044807281533</v>
      </c>
      <c r="H2323" s="856">
        <f>INDEX(神经网络!$G$10:$BO$70,MATCH(ROUND(G2323*2,1)/2,神经网络!$E$10:$E$70,0),MATCH(ROUND(E2323*2,1)/2,神经网络!$G$8:$BO$8,0))</f>
        <v>1.7126539669765544</v>
      </c>
      <c r="I2323">
        <f t="shared" si="300"/>
        <v>1243.0010508783446</v>
      </c>
      <c r="J2323">
        <f t="shared" si="301"/>
        <v>323.01703842623959</v>
      </c>
      <c r="K2323">
        <f t="shared" si="302"/>
        <v>3.8480974778740094</v>
      </c>
      <c r="L2323" s="4">
        <f>MIN(MAX(L2322*(1+MAX(MIN(((B2323-B2322)/B2322)/($K$7*卓尔金历!$N$40),0),-卓尔金历!$M$43))+MIN(MAX(((B2323-B2322)/B2322)/($K$7*卓尔金历!$N$40),0),卓尔金历!$M$43),0),1)</f>
        <v>1</v>
      </c>
      <c r="M2323" s="4">
        <f>MIN(MAX(M2322*(1+MAX(MIN(((B2323-B2322)/B2322)/($K$7*30),0),-卓尔金历!$M$43))+MIN(MAX(((B2323-B2322)/B2322)/($K$7*7),0),卓尔金历!$M$43),0),1)</f>
        <v>1</v>
      </c>
      <c r="N2323">
        <f t="shared" si="303"/>
        <v>962.03133554433055</v>
      </c>
      <c r="O2323">
        <f t="shared" si="304"/>
        <v>2565.9556285272906</v>
      </c>
      <c r="P2323">
        <f t="shared" si="305"/>
        <v>2.0418118906109149E-2</v>
      </c>
      <c r="Q2323">
        <f t="shared" si="306"/>
        <v>1.0396907291764656E-2</v>
      </c>
      <c r="R2323">
        <f t="shared" si="307"/>
        <v>3.2584610436117052E-3</v>
      </c>
      <c r="S2323">
        <f t="shared" si="299"/>
        <v>21.339075159619892</v>
      </c>
      <c r="T2323" s="564">
        <f>IF((I2323-MAX(I$470:I2323))/MAX(I$470:I2323)&gt;T2322,T2322,(I2323-MAX(I$470:I2323))/MAX(I$470:I2323))</f>
        <v>-0.91338805338419748</v>
      </c>
      <c r="U2323" s="564">
        <f>IF((J2323-MAX(J$470:J2323))/MAX(J$470:J2323)&gt;U2322,U2322,(J2323-MAX(J$470:J2323))/MAX(J$470:J2323))</f>
        <v>-0.8283551177402233</v>
      </c>
      <c r="V2323" s="564">
        <f>IF((K2323-MAX(K$470:K2323))/MAX(K$470:K2323)&gt;V2322,V2322,(K2323-MAX(K$470:K2323))/MAX(K$470:K2323))</f>
        <v>-0.84885940676762139</v>
      </c>
      <c r="W2323" s="564">
        <f>IF((N2323-MAX(N$470:N2323))/MAX(N$470:N2323)&gt;W2322,W2322,(N2323-MAX(N$470:N2323))/MAX(N$470:N2323))</f>
        <v>-0.62788758315546067</v>
      </c>
      <c r="X2323" s="564">
        <f>IF((O2323-MAX(O$470:O2323))/MAX(O$470:O2323)&gt;X2322,X2322,(O2323-MAX(O$470:O2323))/MAX(O$470:O2323))</f>
        <v>-0.62788758315546067</v>
      </c>
    </row>
    <row r="2324" spans="1:24">
      <c r="A2324" s="799">
        <v>42726</v>
      </c>
      <c r="B2324">
        <v>860.12599999999998</v>
      </c>
      <c r="C2324">
        <v>4341.6799300000002</v>
      </c>
      <c r="D2324">
        <v>2.057906</v>
      </c>
      <c r="E2324">
        <f>LN(D2324/参数实验室!$E$53)/参数实验室!$E$55</f>
        <v>0.15844659890165003</v>
      </c>
      <c r="F2324">
        <f t="shared" si="308"/>
        <v>5.047725484405774</v>
      </c>
      <c r="G2324">
        <f>LN(F2324/参数实验室!$E$58)/参数实验室!$E$59</f>
        <v>0.65917599509987179</v>
      </c>
      <c r="H2324" s="856">
        <f>INDEX(神经网络!$G$10:$BO$70,MATCH(ROUND(G2324*2,1)/2,神经网络!$E$10:$E$70,0),MATCH(ROUND(E2324*2,1)/2,神经网络!$G$8:$BO$8,0))</f>
        <v>1.7612313580803427</v>
      </c>
      <c r="I2324">
        <f t="shared" si="300"/>
        <v>1376.1014547562766</v>
      </c>
      <c r="J2324">
        <f t="shared" si="301"/>
        <v>343.21296037668048</v>
      </c>
      <c r="K2324">
        <f t="shared" si="302"/>
        <v>4.0094682125231751</v>
      </c>
      <c r="L2324" s="4">
        <f>MIN(MAX(L2323*(1+MAX(MIN(((B2324-B2323)/B2323)/($K$7*卓尔金历!$N$40),0),-卓尔金历!$M$43))+MIN(MAX(((B2324-B2323)/B2323)/($K$7*卓尔金历!$N$40),0),卓尔金历!$M$43),0),1)</f>
        <v>1</v>
      </c>
      <c r="M2324" s="4">
        <f>MIN(MAX(M2323*(1+MAX(MIN(((B2324-B2323)/B2323)/($K$7*30),0),-卓尔金历!$M$43))+MIN(MAX(((B2324-B2323)/B2323)/($K$7*7),0),卓尔金历!$M$43),0),1)</f>
        <v>1</v>
      </c>
      <c r="N2324">
        <f t="shared" si="303"/>
        <v>1065.0455359053799</v>
      </c>
      <c r="O2324">
        <f t="shared" si="304"/>
        <v>2840.7178503681321</v>
      </c>
      <c r="P2324">
        <f t="shared" si="305"/>
        <v>6.2522776039421163E-2</v>
      </c>
      <c r="Q2324">
        <f t="shared" si="306"/>
        <v>1.6255258288444253E-2</v>
      </c>
      <c r="R2324">
        <f t="shared" si="307"/>
        <v>0</v>
      </c>
      <c r="S2324">
        <f t="shared" si="299"/>
        <v>21.346520696235359</v>
      </c>
      <c r="T2324" s="564">
        <f>IF((I2324-MAX(I$470:I2324))/MAX(I$470:I2324)&gt;T2323,T2323,(I2324-MAX(I$470:I2324))/MAX(I$470:I2324))</f>
        <v>-0.91338805338419748</v>
      </c>
      <c r="U2324" s="564">
        <f>IF((J2324-MAX(J$470:J2324))/MAX(J$470:J2324)&gt;U2323,U2323,(J2324-MAX(J$470:J2324))/MAX(J$470:J2324))</f>
        <v>-0.8283551177402233</v>
      </c>
      <c r="V2324" s="564">
        <f>IF((K2324-MAX(K$470:K2324))/MAX(K$470:K2324)&gt;V2323,V2323,(K2324-MAX(K$470:K2324))/MAX(K$470:K2324))</f>
        <v>-0.84885940676762139</v>
      </c>
      <c r="W2324" s="564">
        <f>IF((N2324-MAX(N$470:N2324))/MAX(N$470:N2324)&gt;W2323,W2323,(N2324-MAX(N$470:N2324))/MAX(N$470:N2324))</f>
        <v>-0.62788758315546067</v>
      </c>
      <c r="X2324" s="564">
        <f>IF((O2324-MAX(O$470:O2324))/MAX(O$470:O2324)&gt;X2323,X2323,(O2324-MAX(O$470:O2324))/MAX(O$470:O2324))</f>
        <v>-0.62788758315546067</v>
      </c>
    </row>
    <row r="2325" spans="1:24">
      <c r="A2325" s="799">
        <v>42727</v>
      </c>
      <c r="B2325">
        <v>913.31100000000004</v>
      </c>
      <c r="C2325">
        <v>4328.9860580000004</v>
      </c>
      <c r="D2325">
        <v>2.1775180000000001</v>
      </c>
      <c r="E2325">
        <f>LN(D2325/参数实验室!$E$53)/参数实验室!$E$55</f>
        <v>0.22509880542762051</v>
      </c>
      <c r="F2325">
        <f t="shared" si="308"/>
        <v>4.7398816591500594</v>
      </c>
      <c r="G2325">
        <f>LN(F2325/参数实验室!$E$58)/参数实验室!$E$59</f>
        <v>0.62614925331536198</v>
      </c>
      <c r="H2325" s="856">
        <f>INDEX(神经网络!$G$10:$BO$70,MATCH(ROUND(G2325*2,1)/2,神经网络!$E$10:$E$70,0),MATCH(ROUND(E2325*2,1)/2,神经网络!$G$8:$BO$8,0))</f>
        <v>1.9024456690931026</v>
      </c>
      <c r="I2325">
        <f t="shared" si="300"/>
        <v>1525.9642921942566</v>
      </c>
      <c r="J2325">
        <f t="shared" si="301"/>
        <v>364.43517816527634</v>
      </c>
      <c r="K2325">
        <f t="shared" si="302"/>
        <v>4.1872036060750721</v>
      </c>
      <c r="L2325" s="4">
        <f>MIN(MAX(L2324*(1+MAX(MIN(((B2325-B2324)/B2324)/($K$7*卓尔金历!$N$40),0),-卓尔金历!$M$43))+MIN(MAX(((B2325-B2324)/B2324)/($K$7*卓尔金历!$N$40),0),卓尔金历!$M$43),0),1)</f>
        <v>1</v>
      </c>
      <c r="M2325" s="4">
        <f>MIN(MAX(M2324*(1+MAX(MIN(((B2325-B2324)/B2324)/($K$7*30),0),-卓尔金历!$M$43))+MIN(MAX(((B2325-B2324)/B2324)/($K$7*7),0),卓尔金历!$M$43),0),1)</f>
        <v>1</v>
      </c>
      <c r="N2325">
        <f t="shared" si="303"/>
        <v>1181.033165639921</v>
      </c>
      <c r="O2325">
        <f t="shared" si="304"/>
        <v>3150.0831489407487</v>
      </c>
      <c r="P2325">
        <f t="shared" si="305"/>
        <v>6.1833963861108794E-2</v>
      </c>
      <c r="Q2325">
        <f t="shared" si="306"/>
        <v>1.9708071426753133E-2</v>
      </c>
      <c r="R2325">
        <f t="shared" si="307"/>
        <v>0</v>
      </c>
      <c r="S2325">
        <f t="shared" si="299"/>
        <v>21.346520696235359</v>
      </c>
      <c r="T2325" s="564">
        <f>IF((I2325-MAX(I$470:I2325))/MAX(I$470:I2325)&gt;T2324,T2324,(I2325-MAX(I$470:I2325))/MAX(I$470:I2325))</f>
        <v>-0.91338805338419748</v>
      </c>
      <c r="U2325" s="564">
        <f>IF((J2325-MAX(J$470:J2325))/MAX(J$470:J2325)&gt;U2324,U2324,(J2325-MAX(J$470:J2325))/MAX(J$470:J2325))</f>
        <v>-0.8283551177402233</v>
      </c>
      <c r="V2325" s="564">
        <f>IF((K2325-MAX(K$470:K2325))/MAX(K$470:K2325)&gt;V2324,V2324,(K2325-MAX(K$470:K2325))/MAX(K$470:K2325))</f>
        <v>-0.84885940676762139</v>
      </c>
      <c r="W2325" s="564">
        <f>IF((N2325-MAX(N$470:N2325))/MAX(N$470:N2325)&gt;W2324,W2324,(N2325-MAX(N$470:N2325))/MAX(N$470:N2325))</f>
        <v>-0.62788758315546067</v>
      </c>
      <c r="X2325" s="564">
        <f>IF((O2325-MAX(O$470:O2325))/MAX(O$470:O2325)&gt;X2324,X2324,(O2325-MAX(O$470:O2325))/MAX(O$470:O2325))</f>
        <v>-0.62788758315546067</v>
      </c>
    </row>
    <row r="2326" spans="1:24">
      <c r="A2326" s="799">
        <v>42728</v>
      </c>
      <c r="B2326">
        <v>891.23</v>
      </c>
      <c r="C2326">
        <v>4402.8127489999997</v>
      </c>
      <c r="D2326">
        <v>2.1163539999999998</v>
      </c>
      <c r="E2326">
        <f>LN(D2326/参数实验室!$E$53)/参数实验室!$E$55</f>
        <v>0.19148657457721696</v>
      </c>
      <c r="F2326">
        <f t="shared" si="308"/>
        <v>4.9401532140973705</v>
      </c>
      <c r="G2326">
        <f>LN(F2326/参数实验室!$E$58)/参数实验室!$E$59</f>
        <v>0.64786990580066195</v>
      </c>
      <c r="H2326" s="856">
        <f>INDEX(神经网络!$G$10:$BO$70,MATCH(ROUND(G2326*2,1)/2,神经网络!$E$10:$E$70,0),MATCH(ROUND(E2326*2,1)/2,神经网络!$G$8:$BO$8,0))</f>
        <v>1.8353454940407206</v>
      </c>
      <c r="I2326">
        <f t="shared" si="300"/>
        <v>1455.7772916083291</v>
      </c>
      <c r="J2326">
        <f t="shared" si="301"/>
        <v>355.62427676469372</v>
      </c>
      <c r="K2326">
        <f t="shared" si="302"/>
        <v>4.0935824315829112</v>
      </c>
      <c r="L2326" s="4">
        <f>MIN(MAX(L2325*(1+MAX(MIN(((B2326-B2325)/B2325)/($K$7*卓尔金历!$N$40),0),-卓尔金历!$M$43))+MIN(MAX(((B2326-B2325)/B2325)/($K$7*卓尔金历!$N$40),0),卓尔金历!$M$43),0),1)</f>
        <v>0.63060064923181047</v>
      </c>
      <c r="M2326" s="4">
        <f>MIN(MAX(M2325*(1+MAX(MIN(((B2326-B2325)/B2325)/($K$7*30),0),-卓尔金历!$M$43))+MIN(MAX(((B2326-B2325)/B2325)/($K$7*7),0),卓尔金历!$M$43),0),1)</f>
        <v>0.81530032461590518</v>
      </c>
      <c r="N2326">
        <f t="shared" si="303"/>
        <v>1126.7113339215832</v>
      </c>
      <c r="O2326">
        <f t="shared" si="304"/>
        <v>3005.1945110142992</v>
      </c>
      <c r="P2326">
        <f t="shared" si="305"/>
        <v>-2.4176868558464768E-2</v>
      </c>
      <c r="Q2326">
        <f t="shared" si="306"/>
        <v>2.0690601854052505E-2</v>
      </c>
      <c r="R2326">
        <f t="shared" si="307"/>
        <v>1.6639194577710133E-2</v>
      </c>
      <c r="S2326">
        <f t="shared" si="299"/>
        <v>21.346520696235359</v>
      </c>
      <c r="T2326" s="564">
        <f>IF((I2326-MAX(I$470:I2326))/MAX(I$470:I2326)&gt;T2325,T2325,(I2326-MAX(I$470:I2326))/MAX(I$470:I2326))</f>
        <v>-0.91338805338419748</v>
      </c>
      <c r="U2326" s="564">
        <f>IF((J2326-MAX(J$470:J2326))/MAX(J$470:J2326)&gt;U2325,U2325,(J2326-MAX(J$470:J2326))/MAX(J$470:J2326))</f>
        <v>-0.8283551177402233</v>
      </c>
      <c r="V2326" s="564">
        <f>IF((K2326-MAX(K$470:K2326))/MAX(K$470:K2326)&gt;V2325,V2325,(K2326-MAX(K$470:K2326))/MAX(K$470:K2326))</f>
        <v>-0.84885940676762139</v>
      </c>
      <c r="W2326" s="564">
        <f>IF((N2326-MAX(N$470:N2326))/MAX(N$470:N2326)&gt;W2325,W2325,(N2326-MAX(N$470:N2326))/MAX(N$470:N2326))</f>
        <v>-0.62788758315546067</v>
      </c>
      <c r="X2326" s="564">
        <f>IF((O2326-MAX(O$470:O2326))/MAX(O$470:O2326)&gt;X2325,X2325,(O2326-MAX(O$470:O2326))/MAX(O$470:O2326))</f>
        <v>-0.62788758315546067</v>
      </c>
    </row>
    <row r="2327" spans="1:24">
      <c r="A2327" s="799">
        <v>42729</v>
      </c>
      <c r="B2327">
        <v>868.52200000000005</v>
      </c>
      <c r="C2327">
        <v>4366.7848560000002</v>
      </c>
      <c r="D2327">
        <v>2.123888</v>
      </c>
      <c r="E2327">
        <f>LN(D2327/参数实验室!$E$53)/参数实验室!$E$55</f>
        <v>0.19567891562445808</v>
      </c>
      <c r="F2327">
        <f t="shared" si="308"/>
        <v>5.0278344774225641</v>
      </c>
      <c r="G2327">
        <f>LN(F2327/参数实验室!$E$58)/参数实验室!$E$59</f>
        <v>0.65710367573727924</v>
      </c>
      <c r="H2327" s="856">
        <f>INDEX(神经网络!$G$10:$BO$70,MATCH(ROUND(G2327*2,1)/2,神经网络!$E$10:$E$70,0),MATCH(ROUND(E2327*2,1)/2,神经网络!$G$8:$BO$8,0))</f>
        <v>1.8353454940407206</v>
      </c>
      <c r="I2327">
        <f t="shared" si="300"/>
        <v>1387.7000643228482</v>
      </c>
      <c r="J2327">
        <f t="shared" si="301"/>
        <v>346.56318582658275</v>
      </c>
      <c r="K2327">
        <f t="shared" si="302"/>
        <v>4.0041762110798507</v>
      </c>
      <c r="L2327" s="4">
        <f>MIN(MAX(L2326*(1+MAX(MIN(((B2327-B2326)/B2326)/($K$7*卓尔金历!$N$40),0),-卓尔金历!$M$43))+MIN(MAX(((B2327-B2326)/B2326)/($K$7*卓尔金历!$N$40),0),卓尔金历!$M$43),0),1)</f>
        <v>0.38510738504093794</v>
      </c>
      <c r="M2327" s="4">
        <f>MIN(MAX(M2326*(1+MAX(MIN(((B2327-B2326)/B2326)/($K$7*30),0),-卓尔金历!$M$43))+MIN(MAX(((B2327-B2326)/B2326)/($K$7*7),0),卓尔金历!$M$43),0),1)</f>
        <v>0.65660183752295853</v>
      </c>
      <c r="N2327">
        <f t="shared" si="303"/>
        <v>1093.4856449697952</v>
      </c>
      <c r="O2327">
        <f t="shared" si="304"/>
        <v>2890.6175970706363</v>
      </c>
      <c r="P2327">
        <f t="shared" si="305"/>
        <v>-2.5479393646982228E-2</v>
      </c>
      <c r="Q2327">
        <f t="shared" si="306"/>
        <v>2.1819387399490346E-2</v>
      </c>
      <c r="R2327">
        <f t="shared" si="307"/>
        <v>1.7482086877692427E-2</v>
      </c>
      <c r="S2327">
        <f t="shared" ref="S2327:S2390" si="309">S2326*(1+(B2327-B2326)/B2326*H2326*R2326)</f>
        <v>21.329910823014004</v>
      </c>
      <c r="T2327" s="564">
        <f>IF((I2327-MAX(I$470:I2327))/MAX(I$470:I2327)&gt;T2326,T2326,(I2327-MAX(I$470:I2327))/MAX(I$470:I2327))</f>
        <v>-0.91338805338419748</v>
      </c>
      <c r="U2327" s="564">
        <f>IF((J2327-MAX(J$470:J2327))/MAX(J$470:J2327)&gt;U2326,U2326,(J2327-MAX(J$470:J2327))/MAX(J$470:J2327))</f>
        <v>-0.8283551177402233</v>
      </c>
      <c r="V2327" s="564">
        <f>IF((K2327-MAX(K$470:K2327))/MAX(K$470:K2327)&gt;V2326,V2326,(K2327-MAX(K$470:K2327))/MAX(K$470:K2327))</f>
        <v>-0.84885940676762139</v>
      </c>
      <c r="W2327" s="564">
        <f>IF((N2327-MAX(N$470:N2327))/MAX(N$470:N2327)&gt;W2326,W2326,(N2327-MAX(N$470:N2327))/MAX(N$470:N2327))</f>
        <v>-0.62788758315546067</v>
      </c>
      <c r="X2327" s="564">
        <f>IF((O2327-MAX(O$470:O2327))/MAX(O$470:O2327)&gt;X2326,X2326,(O2327-MAX(O$470:O2327))/MAX(O$470:O2327))</f>
        <v>-0.62788758315546067</v>
      </c>
    </row>
    <row r="2328" spans="1:24">
      <c r="A2328" s="799">
        <v>42730</v>
      </c>
      <c r="B2328">
        <v>897.47500000000002</v>
      </c>
      <c r="C2328">
        <v>4400.3274069999998</v>
      </c>
      <c r="D2328">
        <v>2.1357439999999999</v>
      </c>
      <c r="E2328">
        <f>LN(D2328/参数实验室!$E$53)/参数实验室!$E$55</f>
        <v>0.20224623908342657</v>
      </c>
      <c r="F2328">
        <f t="shared" si="308"/>
        <v>4.903008336722471</v>
      </c>
      <c r="G2328">
        <f>LN(F2328/参数实验室!$E$58)/参数实验室!$E$59</f>
        <v>0.64390863146550159</v>
      </c>
      <c r="H2328" s="856">
        <f>INDEX(神经网络!$G$10:$BO$70,MATCH(ROUND(G2328*2,1)/2,神经网络!$E$10:$E$70,0),MATCH(ROUND(E2328*2,1)/2,神经网络!$G$8:$BO$8,0))</f>
        <v>1.8353454940407206</v>
      </c>
      <c r="I2328">
        <f t="shared" ref="I2328:I2391" si="310">I2327*(1+(B2328-B2327)/B2327*H2327)</f>
        <v>1472.6036799112703</v>
      </c>
      <c r="J2328">
        <f t="shared" ref="J2328:J2391" si="311">J2327*B2328/B2327</f>
        <v>358.11619648058701</v>
      </c>
      <c r="K2328">
        <f t="shared" ref="K2328:K2391" si="312">I2328/J2328</f>
        <v>4.1120834365588328</v>
      </c>
      <c r="L2328" s="4">
        <f>MIN(MAX(L2327*(1+MAX(MIN(((B2328-B2327)/B2327)/($K$7*卓尔金历!$N$40),0),-卓尔金历!$M$43))+MIN(MAX(((B2328-B2327)/B2327)/($K$7*卓尔金历!$N$40),0),卓尔金历!$M$43),0),1)</f>
        <v>0.89444860597071374</v>
      </c>
      <c r="M2328" s="4">
        <f>MIN(MAX(M2327*(1+MAX(MIN(((B2328-B2327)/B2327)/($K$7*30),0),-卓尔金历!$M$43))+MIN(MAX(((B2328-B2327)/B2327)/($K$7*7),0),卓尔金历!$M$43),0),1)</f>
        <v>1</v>
      </c>
      <c r="N2328">
        <f t="shared" ref="N2328:N2391" si="313">N2327*(1+(B2328-B2327)/B2327*H2327*L2327)</f>
        <v>1119.2503698620412</v>
      </c>
      <c r="O2328">
        <f t="shared" ref="O2328:O2391" si="314">O2327*(1+(B2328-B2327)/B2327*H2327*M2327)</f>
        <v>3006.7419514512781</v>
      </c>
      <c r="P2328">
        <f t="shared" ref="P2328:P2391" si="315">(B2328-B2327)/B2327</f>
        <v>3.3335943130974197E-2</v>
      </c>
      <c r="Q2328">
        <f t="shared" si="306"/>
        <v>2.1466391338670964E-2</v>
      </c>
      <c r="R2328">
        <f t="shared" si="307"/>
        <v>1.2215634882135668E-2</v>
      </c>
      <c r="S2328">
        <f t="shared" si="309"/>
        <v>21.352725424669522</v>
      </c>
      <c r="T2328" s="564">
        <f>IF((I2328-MAX(I$470:I2328))/MAX(I$470:I2328)&gt;T2327,T2327,(I2328-MAX(I$470:I2328))/MAX(I$470:I2328))</f>
        <v>-0.91338805338419748</v>
      </c>
      <c r="U2328" s="564">
        <f>IF((J2328-MAX(J$470:J2328))/MAX(J$470:J2328)&gt;U2327,U2327,(J2328-MAX(J$470:J2328))/MAX(J$470:J2328))</f>
        <v>-0.8283551177402233</v>
      </c>
      <c r="V2328" s="564">
        <f>IF((K2328-MAX(K$470:K2328))/MAX(K$470:K2328)&gt;V2327,V2327,(K2328-MAX(K$470:K2328))/MAX(K$470:K2328))</f>
        <v>-0.84885940676762139</v>
      </c>
      <c r="W2328" s="564">
        <f>IF((N2328-MAX(N$470:N2328))/MAX(N$470:N2328)&gt;W2327,W2327,(N2328-MAX(N$470:N2328))/MAX(N$470:N2328))</f>
        <v>-0.62788758315546067</v>
      </c>
      <c r="X2328" s="564">
        <f>IF((O2328-MAX(O$470:O2328))/MAX(O$470:O2328)&gt;X2327,X2327,(O2328-MAX(O$470:O2328))/MAX(O$470:O2328))</f>
        <v>-0.62788758315546067</v>
      </c>
    </row>
    <row r="2329" spans="1:24">
      <c r="A2329" s="799">
        <v>42731</v>
      </c>
      <c r="B2329">
        <v>930.351</v>
      </c>
      <c r="C2329">
        <v>4367.1304300000002</v>
      </c>
      <c r="D2329">
        <v>2.1814450000000001</v>
      </c>
      <c r="E2329">
        <f>LN(D2329/参数实验室!$E$53)/参数实验室!$E$55</f>
        <v>0.22722449093698127</v>
      </c>
      <c r="F2329">
        <f t="shared" si="308"/>
        <v>4.6940675401004572</v>
      </c>
      <c r="G2329">
        <f>LN(F2329/参数实验室!$E$58)/参数实验室!$E$59</f>
        <v>0.62105151235086575</v>
      </c>
      <c r="H2329" s="856">
        <f>INDEX(神经网络!$G$10:$BO$70,MATCH(ROUND(G2329*2,1)/2,神经网络!$E$10:$E$70,0),MATCH(ROUND(E2329*2,1)/2,神经网络!$G$8:$BO$8,0))</f>
        <v>1.867375192024574</v>
      </c>
      <c r="I2329">
        <f t="shared" si="310"/>
        <v>1571.6094083257231</v>
      </c>
      <c r="J2329">
        <f t="shared" si="311"/>
        <v>371.23458760624038</v>
      </c>
      <c r="K2329">
        <f t="shared" si="312"/>
        <v>4.2334670873735814</v>
      </c>
      <c r="L2329" s="4">
        <f>MIN(MAX(L2328*(1+MAX(MIN(((B2329-B2328)/B2328)/($K$7*卓尔金历!$N$40),0),-卓尔金历!$M$43))+MIN(MAX(((B2329-B2328)/B2328)/($K$7*卓尔金历!$N$40),0),卓尔金历!$M$43),0),1)</f>
        <v>1</v>
      </c>
      <c r="M2329" s="4">
        <f>MIN(MAX(M2328*(1+MAX(MIN(((B2329-B2328)/B2328)/($K$7*30),0),-卓尔金历!$M$43))+MIN(MAX(((B2329-B2328)/B2328)/($K$7*7),0),卓尔金历!$M$43),0),1)</f>
        <v>1</v>
      </c>
      <c r="N2329">
        <f t="shared" si="313"/>
        <v>1186.5568811173398</v>
      </c>
      <c r="O2329">
        <f t="shared" si="314"/>
        <v>3208.8904868098639</v>
      </c>
      <c r="P2329">
        <f t="shared" si="315"/>
        <v>3.6631661049054264E-2</v>
      </c>
      <c r="Q2329">
        <f t="shared" si="306"/>
        <v>2.2223689141989068E-2</v>
      </c>
      <c r="R2329">
        <f t="shared" si="307"/>
        <v>1.0738473739247377E-2</v>
      </c>
      <c r="S2329">
        <f t="shared" si="309"/>
        <v>21.370261960256379</v>
      </c>
      <c r="T2329" s="564">
        <f>IF((I2329-MAX(I$470:I2329))/MAX(I$470:I2329)&gt;T2328,T2328,(I2329-MAX(I$470:I2329))/MAX(I$470:I2329))</f>
        <v>-0.91338805338419748</v>
      </c>
      <c r="U2329" s="564">
        <f>IF((J2329-MAX(J$470:J2329))/MAX(J$470:J2329)&gt;U2328,U2328,(J2329-MAX(J$470:J2329))/MAX(J$470:J2329))</f>
        <v>-0.8283551177402233</v>
      </c>
      <c r="V2329" s="564">
        <f>IF((K2329-MAX(K$470:K2329))/MAX(K$470:K2329)&gt;V2328,V2328,(K2329-MAX(K$470:K2329))/MAX(K$470:K2329))</f>
        <v>-0.84885940676762139</v>
      </c>
      <c r="W2329" s="564">
        <f>IF((N2329-MAX(N$470:N2329))/MAX(N$470:N2329)&gt;W2328,W2328,(N2329-MAX(N$470:N2329))/MAX(N$470:N2329))</f>
        <v>-0.62788758315546067</v>
      </c>
      <c r="X2329" s="564">
        <f>IF((O2329-MAX(O$470:O2329))/MAX(O$470:O2329)&gt;X2328,X2328,(O2329-MAX(O$470:O2329))/MAX(O$470:O2329))</f>
        <v>-0.62788758315546067</v>
      </c>
    </row>
    <row r="2330" spans="1:24">
      <c r="A2330" s="799">
        <v>42732</v>
      </c>
      <c r="B2330">
        <v>960.52800000000002</v>
      </c>
      <c r="C2330">
        <v>4368.9131669999997</v>
      </c>
      <c r="D2330">
        <v>2.292313</v>
      </c>
      <c r="E2330">
        <f>LN(D2330/参数实验室!$E$53)/参数实验室!$E$55</f>
        <v>0.28570940156174396</v>
      </c>
      <c r="F2330">
        <f t="shared" si="308"/>
        <v>4.5484495683624004</v>
      </c>
      <c r="G2330">
        <f>LN(F2330/参数实验室!$E$58)/参数实验室!$E$59</f>
        <v>0.60451175264923296</v>
      </c>
      <c r="H2330" s="856">
        <f>INDEX(神经网络!$G$10:$BO$70,MATCH(ROUND(G2330*2,1)/2,神经网络!$E$10:$E$70,0),MATCH(ROUND(E2330*2,1)/2,神经网络!$G$8:$BO$8,0))</f>
        <v>1.9344583665515009</v>
      </c>
      <c r="I2330">
        <f t="shared" si="310"/>
        <v>1666.8025015370517</v>
      </c>
      <c r="J2330">
        <f t="shared" si="311"/>
        <v>383.27600654403221</v>
      </c>
      <c r="K2330">
        <f t="shared" si="312"/>
        <v>4.3488307983754861</v>
      </c>
      <c r="L2330" s="4">
        <f>MIN(MAX(L2329*(1+MAX(MIN(((B2330-B2329)/B2329)/($K$7*卓尔金历!$N$40),0),-卓尔金历!$M$43))+MIN(MAX(((B2330-B2329)/B2329)/($K$7*卓尔金历!$N$40),0),卓尔金历!$M$43),0),1)</f>
        <v>1</v>
      </c>
      <c r="M2330" s="4">
        <f>MIN(MAX(M2329*(1+MAX(MIN(((B2330-B2329)/B2329)/($K$7*30),0),-卓尔金历!$M$43))+MIN(MAX(((B2330-B2329)/B2329)/($K$7*7),0),卓尔金历!$M$43),0),1)</f>
        <v>1</v>
      </c>
      <c r="N2330">
        <f t="shared" si="313"/>
        <v>1258.4271684714206</v>
      </c>
      <c r="O2330">
        <f t="shared" si="314"/>
        <v>3403.2544360186284</v>
      </c>
      <c r="P2330">
        <f t="shared" si="315"/>
        <v>3.2436145067829263E-2</v>
      </c>
      <c r="Q2330">
        <f t="shared" si="306"/>
        <v>2.2680926928556493E-2</v>
      </c>
      <c r="R2330">
        <f t="shared" si="307"/>
        <v>1.427318565029569E-2</v>
      </c>
      <c r="S2330">
        <f t="shared" si="309"/>
        <v>21.384161909816353</v>
      </c>
      <c r="T2330" s="564">
        <f>IF((I2330-MAX(I$470:I2330))/MAX(I$470:I2330)&gt;T2329,T2329,(I2330-MAX(I$470:I2330))/MAX(I$470:I2330))</f>
        <v>-0.91338805338419748</v>
      </c>
      <c r="U2330" s="564">
        <f>IF((J2330-MAX(J$470:J2330))/MAX(J$470:J2330)&gt;U2329,U2329,(J2330-MAX(J$470:J2330))/MAX(J$470:J2330))</f>
        <v>-0.8283551177402233</v>
      </c>
      <c r="V2330" s="564">
        <f>IF((K2330-MAX(K$470:K2330))/MAX(K$470:K2330)&gt;V2329,V2329,(K2330-MAX(K$470:K2330))/MAX(K$470:K2330))</f>
        <v>-0.84885940676762139</v>
      </c>
      <c r="W2330" s="564">
        <f>IF((N2330-MAX(N$470:N2330))/MAX(N$470:N2330)&gt;W2329,W2329,(N2330-MAX(N$470:N2330))/MAX(N$470:N2330))</f>
        <v>-0.62788758315546067</v>
      </c>
      <c r="X2330" s="564">
        <f>IF((O2330-MAX(O$470:O2330))/MAX(O$470:O2330)&gt;X2329,X2329,(O2330-MAX(O$470:O2330))/MAX(O$470:O2330))</f>
        <v>-0.62788758315546067</v>
      </c>
    </row>
    <row r="2331" spans="1:24">
      <c r="A2331" s="799">
        <v>42733</v>
      </c>
      <c r="B2331">
        <v>973.423</v>
      </c>
      <c r="C2331">
        <v>4367.6497440000003</v>
      </c>
      <c r="D2331">
        <v>2.265828</v>
      </c>
      <c r="E2331">
        <f>LN(D2331/参数实验室!$E$53)/参数实验室!$E$55</f>
        <v>0.27199937534248042</v>
      </c>
      <c r="F2331">
        <f t="shared" si="308"/>
        <v>4.4868980330236701</v>
      </c>
      <c r="G2331">
        <f>LN(F2331/参数实验室!$E$58)/参数实验室!$E$59</f>
        <v>0.59736071134795266</v>
      </c>
      <c r="H2331" s="856">
        <f>INDEX(神经网络!$G$10:$BO$70,MATCH(ROUND(G2331*2,1)/2,神经网络!$E$10:$E$70,0),MATCH(ROUND(E2331*2,1)/2,神经网络!$G$8:$BO$8,0))</f>
        <v>1.867375192024574</v>
      </c>
      <c r="I2331">
        <f t="shared" si="310"/>
        <v>1710.0892383876837</v>
      </c>
      <c r="J2331">
        <f t="shared" si="311"/>
        <v>388.42145165795426</v>
      </c>
      <c r="K2331">
        <f t="shared" si="312"/>
        <v>4.4026642480436333</v>
      </c>
      <c r="L2331" s="4">
        <f>MIN(MAX(L2330*(1+MAX(MIN(((B2331-B2330)/B2330)/($K$7*卓尔金历!$N$40),0),-卓尔金历!$M$43))+MIN(MAX(((B2331-B2330)/B2330)/($K$7*卓尔金历!$N$40),0),卓尔金历!$M$43),0),1)</f>
        <v>1</v>
      </c>
      <c r="M2331" s="4">
        <f>MIN(MAX(M2330*(1+MAX(MIN(((B2331-B2330)/B2330)/($K$7*30),0),-卓尔金历!$M$43))+MIN(MAX(((B2331-B2330)/B2330)/($K$7*7),0),卓尔金历!$M$43),0),1)</f>
        <v>1</v>
      </c>
      <c r="N2331">
        <f t="shared" si="313"/>
        <v>1291.1084283309874</v>
      </c>
      <c r="O2331">
        <f t="shared" si="314"/>
        <v>3491.6367003071909</v>
      </c>
      <c r="P2331">
        <f t="shared" si="315"/>
        <v>1.3424907967284641E-2</v>
      </c>
      <c r="Q2331">
        <f t="shared" si="306"/>
        <v>2.2676378612967993E-2</v>
      </c>
      <c r="R2331">
        <f t="shared" si="307"/>
        <v>0.55878254908784852</v>
      </c>
      <c r="S2331">
        <f t="shared" si="309"/>
        <v>21.392088453421298</v>
      </c>
      <c r="T2331" s="564">
        <f>IF((I2331-MAX(I$470:I2331))/MAX(I$470:I2331)&gt;T2330,T2330,(I2331-MAX(I$470:I2331))/MAX(I$470:I2331))</f>
        <v>-0.91338805338419748</v>
      </c>
      <c r="U2331" s="564">
        <f>IF((J2331-MAX(J$470:J2331))/MAX(J$470:J2331)&gt;U2330,U2330,(J2331-MAX(J$470:J2331))/MAX(J$470:J2331))</f>
        <v>-0.8283551177402233</v>
      </c>
      <c r="V2331" s="564">
        <f>IF((K2331-MAX(K$470:K2331))/MAX(K$470:K2331)&gt;V2330,V2330,(K2331-MAX(K$470:K2331))/MAX(K$470:K2331))</f>
        <v>-0.84885940676762139</v>
      </c>
      <c r="W2331" s="564">
        <f>IF((N2331-MAX(N$470:N2331))/MAX(N$470:N2331)&gt;W2330,W2330,(N2331-MAX(N$470:N2331))/MAX(N$470:N2331))</f>
        <v>-0.62788758315546067</v>
      </c>
      <c r="X2331" s="564">
        <f>IF((O2331-MAX(O$470:O2331))/MAX(O$470:O2331)&gt;X2330,X2330,(O2331-MAX(O$470:O2331))/MAX(O$470:O2331))</f>
        <v>-0.62788758315546067</v>
      </c>
    </row>
    <row r="2332" spans="1:24">
      <c r="A2332" s="799">
        <v>42734</v>
      </c>
      <c r="B2332">
        <v>949.298</v>
      </c>
      <c r="C2332">
        <v>4326.2283459999999</v>
      </c>
      <c r="D2332">
        <v>2.230305</v>
      </c>
      <c r="E2332">
        <f>LN(D2332/参数实验室!$E$53)/参数实验室!$E$55</f>
        <v>0.25335702355866263</v>
      </c>
      <c r="F2332">
        <f t="shared" si="308"/>
        <v>4.5572921737957941</v>
      </c>
      <c r="G2332">
        <f>LN(F2332/参数实验室!$E$58)/参数实验室!$E$59</f>
        <v>0.6055311267548068</v>
      </c>
      <c r="H2332" s="856">
        <f>INDEX(神经网络!$G$10:$BO$70,MATCH(ROUND(G2332*2,1)/2,神经网络!$E$10:$E$70,0),MATCH(ROUND(E2332*2,1)/2,神经网络!$G$8:$BO$8,0))</f>
        <v>1.867375192024574</v>
      </c>
      <c r="I2332">
        <f t="shared" si="310"/>
        <v>1630.9455880369012</v>
      </c>
      <c r="J2332">
        <f t="shared" si="311"/>
        <v>378.79494034555654</v>
      </c>
      <c r="K2332">
        <f t="shared" si="312"/>
        <v>4.3056160849167293</v>
      </c>
      <c r="L2332" s="4">
        <f>MIN(MAX(L2331*(1+MAX(MIN(((B2332-B2331)/B2331)/($K$7*卓尔金历!$N$40),0),-卓尔金历!$M$43))+MIN(MAX(((B2332-B2331)/B2331)/($K$7*卓尔金历!$N$40),0),卓尔金历!$M$43),0),1)</f>
        <v>0.62132921764805249</v>
      </c>
      <c r="M2332" s="4">
        <f>MIN(MAX(M2331*(1+MAX(MIN(((B2332-B2331)/B2331)/($K$7*30),0),-卓尔金历!$M$43))+MIN(MAX(((B2332-B2331)/B2331)/($K$7*7),0),卓尔金历!$M$43),0),1)</f>
        <v>0.81066460882402624</v>
      </c>
      <c r="N2332">
        <f t="shared" si="313"/>
        <v>1231.3553863709567</v>
      </c>
      <c r="O2332">
        <f t="shared" si="314"/>
        <v>3330.0422829178306</v>
      </c>
      <c r="P2332">
        <f t="shared" si="315"/>
        <v>-2.4783675750418881E-2</v>
      </c>
      <c r="Q2332">
        <f t="shared" si="306"/>
        <v>2.3859484157556968E-2</v>
      </c>
      <c r="R2332">
        <f t="shared" si="307"/>
        <v>2.1814599042505153E-2</v>
      </c>
      <c r="S2332">
        <f t="shared" si="309"/>
        <v>20.838874247685979</v>
      </c>
      <c r="T2332" s="564">
        <f>IF((I2332-MAX(I$470:I2332))/MAX(I$470:I2332)&gt;T2331,T2331,(I2332-MAX(I$470:I2332))/MAX(I$470:I2332))</f>
        <v>-0.91338805338419748</v>
      </c>
      <c r="U2332" s="564">
        <f>IF((J2332-MAX(J$470:J2332))/MAX(J$470:J2332)&gt;U2331,U2331,(J2332-MAX(J$470:J2332))/MAX(J$470:J2332))</f>
        <v>-0.8283551177402233</v>
      </c>
      <c r="V2332" s="564">
        <f>IF((K2332-MAX(K$470:K2332))/MAX(K$470:K2332)&gt;V2331,V2331,(K2332-MAX(K$470:K2332))/MAX(K$470:K2332))</f>
        <v>-0.84885940676762139</v>
      </c>
      <c r="W2332" s="564">
        <f>IF((N2332-MAX(N$470:N2332))/MAX(N$470:N2332)&gt;W2331,W2331,(N2332-MAX(N$470:N2332))/MAX(N$470:N2332))</f>
        <v>-0.62788758315546067</v>
      </c>
      <c r="X2332" s="564">
        <f>IF((O2332-MAX(O$470:O2332))/MAX(O$470:O2332)&gt;X2331,X2331,(O2332-MAX(O$470:O2332))/MAX(O$470:O2332))</f>
        <v>-0.62788758315546067</v>
      </c>
    </row>
    <row r="2333" spans="1:24">
      <c r="A2333" s="799">
        <v>42735</v>
      </c>
      <c r="B2333">
        <v>952.22900000000004</v>
      </c>
      <c r="C2333">
        <v>4322.1119189999999</v>
      </c>
      <c r="D2333">
        <v>2.2443900000000001</v>
      </c>
      <c r="E2333">
        <f>LN(D2333/参数实验室!$E$53)/参数实验室!$E$55</f>
        <v>0.26078406800375314</v>
      </c>
      <c r="F2333">
        <f t="shared" si="308"/>
        <v>4.5389417030987289</v>
      </c>
      <c r="G2333">
        <f>LN(F2333/参数实验室!$E$58)/参数实验室!$E$59</f>
        <v>0.6034134741231848</v>
      </c>
      <c r="H2333" s="856">
        <f>INDEX(神经网络!$G$10:$BO$70,MATCH(ROUND(G2333*2,1)/2,神经网络!$E$10:$E$70,0),MATCH(ROUND(E2333*2,1)/2,神经网络!$G$8:$BO$8,0))</f>
        <v>1.867375192024574</v>
      </c>
      <c r="I2333">
        <f t="shared" si="310"/>
        <v>1640.3489750303552</v>
      </c>
      <c r="J2333">
        <f t="shared" si="311"/>
        <v>379.96448665256742</v>
      </c>
      <c r="K2333">
        <f t="shared" si="312"/>
        <v>4.317111289746034</v>
      </c>
      <c r="L2333" s="4">
        <f>MIN(MAX(L2332*(1+MAX(MIN(((B2333-B2332)/B2332)/($K$7*卓尔金历!$N$40),0),-卓尔金历!$M$43))+MIN(MAX(((B2333-B2332)/B2332)/($K$7*卓尔金历!$N$40),0),卓尔金历!$M$43),0),1)</f>
        <v>0.66850393763030314</v>
      </c>
      <c r="M2333" s="4">
        <f>MIN(MAX(M2332*(1+MAX(MIN(((B2333-B2332)/B2332)/($K$7*30),0),-卓尔金历!$M$43))+MIN(MAX(((B2333-B2332)/B2332)/($K$7*7),0),卓尔金历!$M$43),0),1)</f>
        <v>0.91175329450027753</v>
      </c>
      <c r="N2333">
        <f t="shared" si="313"/>
        <v>1235.7665181126397</v>
      </c>
      <c r="O2333">
        <f t="shared" si="314"/>
        <v>3345.6068053196555</v>
      </c>
      <c r="P2333">
        <f t="shared" si="315"/>
        <v>3.0875446909190158E-3</v>
      </c>
      <c r="Q2333">
        <f t="shared" si="306"/>
        <v>2.3851509996626358E-2</v>
      </c>
      <c r="R2333">
        <f t="shared" si="307"/>
        <v>1</v>
      </c>
      <c r="S2333">
        <f t="shared" si="309"/>
        <v>20.841495243494055</v>
      </c>
      <c r="T2333" s="564">
        <f>IF((I2333-MAX(I$470:I2333))/MAX(I$470:I2333)&gt;T2332,T2332,(I2333-MAX(I$470:I2333))/MAX(I$470:I2333))</f>
        <v>-0.91338805338419748</v>
      </c>
      <c r="U2333" s="564">
        <f>IF((J2333-MAX(J$470:J2333))/MAX(J$470:J2333)&gt;U2332,U2332,(J2333-MAX(J$470:J2333))/MAX(J$470:J2333))</f>
        <v>-0.8283551177402233</v>
      </c>
      <c r="V2333" s="564">
        <f>IF((K2333-MAX(K$470:K2333))/MAX(K$470:K2333)&gt;V2332,V2332,(K2333-MAX(K$470:K2333))/MAX(K$470:K2333))</f>
        <v>-0.84885940676762139</v>
      </c>
      <c r="W2333" s="564">
        <f>IF((N2333-MAX(N$470:N2333))/MAX(N$470:N2333)&gt;W2332,W2332,(N2333-MAX(N$470:N2333))/MAX(N$470:N2333))</f>
        <v>-0.62788758315546067</v>
      </c>
      <c r="X2333" s="564">
        <f>IF((O2333-MAX(O$470:O2333))/MAX(O$470:O2333)&gt;X2332,X2332,(O2333-MAX(O$470:O2333))/MAX(O$470:O2333))</f>
        <v>-0.62788758315546067</v>
      </c>
    </row>
    <row r="2334" spans="1:24">
      <c r="A2334" s="799">
        <v>42736</v>
      </c>
      <c r="B2334">
        <v>972.94799999999998</v>
      </c>
      <c r="C2334">
        <v>4286.9068219999999</v>
      </c>
      <c r="D2334">
        <v>2.301939</v>
      </c>
      <c r="E2334">
        <f>LN(D2334/参数实验室!$E$53)/参数实验室!$E$55</f>
        <v>0.29065311006727923</v>
      </c>
      <c r="F2334">
        <f t="shared" si="308"/>
        <v>4.4061006569724182</v>
      </c>
      <c r="G2334">
        <f>LN(F2334/参数实验室!$E$58)/参数实验室!$E$59</f>
        <v>0.58782332179680552</v>
      </c>
      <c r="H2334" s="856">
        <f>INDEX(神经网络!$G$10:$BO$70,MATCH(ROUND(G2334*2,1)/2,神经网络!$E$10:$E$70,0),MATCH(ROUND(E2334*2,1)/2,神经网络!$G$8:$BO$8,0))</f>
        <v>1.9344583665515009</v>
      </c>
      <c r="I2334">
        <f t="shared" si="310"/>
        <v>1706.9982183582929</v>
      </c>
      <c r="J2334">
        <f t="shared" si="311"/>
        <v>388.23191412952366</v>
      </c>
      <c r="K2334">
        <f t="shared" si="312"/>
        <v>4.396851871865425</v>
      </c>
      <c r="L2334" s="4">
        <f>MIN(MAX(L2333*(1+MAX(MIN(((B2334-B2333)/B2333)/($K$7*卓尔金历!$N$40),0),-卓尔金历!$M$43))+MIN(MAX(((B2334-B2333)/B2333)/($K$7*卓尔金历!$N$40),0),卓尔金历!$M$43),0),1)</f>
        <v>1</v>
      </c>
      <c r="M2334" s="4">
        <f>MIN(MAX(M2333*(1+MAX(MIN(((B2334-B2333)/B2333)/($K$7*30),0),-卓尔金历!$M$43))+MIN(MAX(((B2334-B2333)/B2333)/($K$7*7),0),卓尔金历!$M$43),0),1)</f>
        <v>1</v>
      </c>
      <c r="N2334">
        <f t="shared" si="313"/>
        <v>1269.3325007483047</v>
      </c>
      <c r="O2334">
        <f t="shared" si="314"/>
        <v>3469.5467253953261</v>
      </c>
      <c r="P2334">
        <f t="shared" si="315"/>
        <v>2.1758421556159219E-2</v>
      </c>
      <c r="Q2334">
        <f t="shared" si="306"/>
        <v>2.3597085382261518E-2</v>
      </c>
      <c r="R2334">
        <f t="shared" si="307"/>
        <v>0.10690872297227806</v>
      </c>
      <c r="S2334">
        <f t="shared" si="309"/>
        <v>21.688308884338976</v>
      </c>
      <c r="T2334" s="564">
        <f>IF((I2334-MAX(I$470:I2334))/MAX(I$470:I2334)&gt;T2333,T2333,(I2334-MAX(I$470:I2334))/MAX(I$470:I2334))</f>
        <v>-0.91338805338419748</v>
      </c>
      <c r="U2334" s="564">
        <f>IF((J2334-MAX(J$470:J2334))/MAX(J$470:J2334)&gt;U2333,U2333,(J2334-MAX(J$470:J2334))/MAX(J$470:J2334))</f>
        <v>-0.8283551177402233</v>
      </c>
      <c r="V2334" s="564">
        <f>IF((K2334-MAX(K$470:K2334))/MAX(K$470:K2334)&gt;V2333,V2333,(K2334-MAX(K$470:K2334))/MAX(K$470:K2334))</f>
        <v>-0.84885940676762139</v>
      </c>
      <c r="W2334" s="564">
        <f>IF((N2334-MAX(N$470:N2334))/MAX(N$470:N2334)&gt;W2333,W2333,(N2334-MAX(N$470:N2334))/MAX(N$470:N2334))</f>
        <v>-0.62788758315546067</v>
      </c>
      <c r="X2334" s="564">
        <f>IF((O2334-MAX(O$470:O2334))/MAX(O$470:O2334)&gt;X2333,X2333,(O2334-MAX(O$470:O2334))/MAX(O$470:O2334))</f>
        <v>-0.62788758315546067</v>
      </c>
    </row>
    <row r="2335" spans="1:24">
      <c r="A2335" s="799">
        <v>42737</v>
      </c>
      <c r="B2335">
        <v>1025.8800000000001</v>
      </c>
      <c r="C2335">
        <v>4325.4994660000002</v>
      </c>
      <c r="D2335">
        <v>2.335242</v>
      </c>
      <c r="E2335">
        <f>LN(D2335/参数实验室!$E$53)/参数实验室!$E$55</f>
        <v>0.30759874914584434</v>
      </c>
      <c r="F2335">
        <f t="shared" si="308"/>
        <v>4.2163795629118415</v>
      </c>
      <c r="G2335">
        <f>LN(F2335/参数实验室!$E$58)/参数实验室!$E$59</f>
        <v>0.56472278580061319</v>
      </c>
      <c r="H2335" s="856">
        <f>INDEX(神经网络!$G$10:$BO$70,MATCH(ROUND(G2335*2,1)/2,神经网络!$E$10:$E$70,0),MATCH(ROUND(E2335*2,1)/2,神经网络!$G$8:$BO$8,0))</f>
        <v>1.9024821763704294</v>
      </c>
      <c r="I2335">
        <f t="shared" si="310"/>
        <v>1886.6456982443378</v>
      </c>
      <c r="J2335">
        <f t="shared" si="311"/>
        <v>409.35317824508172</v>
      </c>
      <c r="K2335">
        <f t="shared" si="312"/>
        <v>4.6088458536769776</v>
      </c>
      <c r="L2335" s="4">
        <f>MIN(MAX(L2334*(1+MAX(MIN(((B2335-B2334)/B2334)/($K$7*卓尔金历!$N$40),0),-卓尔金历!$M$43))+MIN(MAX(((B2335-B2334)/B2334)/($K$7*卓尔金历!$N$40),0),卓尔金历!$M$43),0),1)</f>
        <v>1</v>
      </c>
      <c r="M2335" s="4">
        <f>MIN(MAX(M2334*(1+MAX(MIN(((B2335-B2334)/B2334)/($K$7*30),0),-卓尔金历!$M$43))+MIN(MAX(((B2335-B2334)/B2334)/($K$7*7),0),卓尔金历!$M$43),0),1)</f>
        <v>1</v>
      </c>
      <c r="N2335">
        <f t="shared" si="313"/>
        <v>1402.919274562395</v>
      </c>
      <c r="O2335">
        <f t="shared" si="314"/>
        <v>3834.6878947655</v>
      </c>
      <c r="P2335">
        <f t="shared" si="315"/>
        <v>5.4403729695728993E-2</v>
      </c>
      <c r="Q2335">
        <f t="shared" si="306"/>
        <v>2.5300912217901348E-2</v>
      </c>
      <c r="R2335">
        <f t="shared" si="307"/>
        <v>5.5313394322014844E-3</v>
      </c>
      <c r="S2335">
        <f t="shared" si="309"/>
        <v>21.932329710513496</v>
      </c>
      <c r="T2335" s="564">
        <f>IF((I2335-MAX(I$470:I2335))/MAX(I$470:I2335)&gt;T2334,T2334,(I2335-MAX(I$470:I2335))/MAX(I$470:I2335))</f>
        <v>-0.91338805338419748</v>
      </c>
      <c r="U2335" s="564">
        <f>IF((J2335-MAX(J$470:J2335))/MAX(J$470:J2335)&gt;U2334,U2334,(J2335-MAX(J$470:J2335))/MAX(J$470:J2335))</f>
        <v>-0.8283551177402233</v>
      </c>
      <c r="V2335" s="564">
        <f>IF((K2335-MAX(K$470:K2335))/MAX(K$470:K2335)&gt;V2334,V2334,(K2335-MAX(K$470:K2335))/MAX(K$470:K2335))</f>
        <v>-0.84885940676762139</v>
      </c>
      <c r="W2335" s="564">
        <f>IF((N2335-MAX(N$470:N2335))/MAX(N$470:N2335)&gt;W2334,W2334,(N2335-MAX(N$470:N2335))/MAX(N$470:N2335))</f>
        <v>-0.62788758315546067</v>
      </c>
      <c r="X2335" s="564">
        <f>IF((O2335-MAX(O$470:O2335))/MAX(O$470:O2335)&gt;X2334,X2334,(O2335-MAX(O$470:O2335))/MAX(O$470:O2335))</f>
        <v>-0.62788758315546067</v>
      </c>
    </row>
    <row r="2336" spans="1:24">
      <c r="A2336" s="799">
        <v>42738</v>
      </c>
      <c r="B2336">
        <v>1030.47</v>
      </c>
      <c r="C2336">
        <v>4281.8931629999997</v>
      </c>
      <c r="D2336">
        <v>2.35771</v>
      </c>
      <c r="E2336">
        <f>LN(D2336/参数实验室!$E$53)/参数实验室!$E$55</f>
        <v>0.31889522028374018</v>
      </c>
      <c r="F2336">
        <f t="shared" si="308"/>
        <v>4.1552817287257264</v>
      </c>
      <c r="G2336">
        <f>LN(F2336/参数实验室!$E$58)/参数实验室!$E$59</f>
        <v>0.55706169834452957</v>
      </c>
      <c r="H2336" s="856">
        <f>INDEX(神经网络!$G$10:$BO$70,MATCH(ROUND(G2336*2,1)/2,神经网络!$E$10:$E$70,0),MATCH(ROUND(E2336*2,1)/2,神经网络!$G$8:$BO$8,0))</f>
        <v>1.9024821763704294</v>
      </c>
      <c r="I2336">
        <f t="shared" si="310"/>
        <v>1902.7050151687579</v>
      </c>
      <c r="J2336">
        <f t="shared" si="311"/>
        <v>411.18470930928498</v>
      </c>
      <c r="K2336">
        <f t="shared" si="312"/>
        <v>4.6273729837010569</v>
      </c>
      <c r="L2336" s="4">
        <f>MIN(MAX(L2335*(1+MAX(MIN(((B2336-B2335)/B2335)/($K$7*卓尔金历!$N$40),0),-卓尔金历!$M$43))+MIN(MAX(((B2336-B2335)/B2335)/($K$7*卓尔金历!$N$40),0),卓尔金历!$M$43),0),1)</f>
        <v>1</v>
      </c>
      <c r="M2336" s="4">
        <f>MIN(MAX(M2335*(1+MAX(MIN(((B2336-B2335)/B2335)/($K$7*30),0),-卓尔金历!$M$43))+MIN(MAX(((B2336-B2335)/B2335)/($K$7*7),0),卓尔金历!$M$43),0),1)</f>
        <v>1</v>
      </c>
      <c r="N2336">
        <f t="shared" si="313"/>
        <v>1414.8610637762049</v>
      </c>
      <c r="O2336">
        <f t="shared" si="314"/>
        <v>3867.3291417498085</v>
      </c>
      <c r="P2336">
        <f t="shared" si="315"/>
        <v>4.474207509650171E-3</v>
      </c>
      <c r="Q2336">
        <f t="shared" si="306"/>
        <v>2.5246618623706425E-2</v>
      </c>
      <c r="R2336">
        <f t="shared" si="307"/>
        <v>1</v>
      </c>
      <c r="S2336">
        <f t="shared" si="309"/>
        <v>21.933362357293273</v>
      </c>
      <c r="T2336" s="564">
        <f>IF((I2336-MAX(I$470:I2336))/MAX(I$470:I2336)&gt;T2335,T2335,(I2336-MAX(I$470:I2336))/MAX(I$470:I2336))</f>
        <v>-0.91338805338419748</v>
      </c>
      <c r="U2336" s="564">
        <f>IF((J2336-MAX(J$470:J2336))/MAX(J$470:J2336)&gt;U2335,U2335,(J2336-MAX(J$470:J2336))/MAX(J$470:J2336))</f>
        <v>-0.8283551177402233</v>
      </c>
      <c r="V2336" s="564">
        <f>IF((K2336-MAX(K$470:K2336))/MAX(K$470:K2336)&gt;V2335,V2335,(K2336-MAX(K$470:K2336))/MAX(K$470:K2336))</f>
        <v>-0.84885940676762139</v>
      </c>
      <c r="W2336" s="564">
        <f>IF((N2336-MAX(N$470:N2336))/MAX(N$470:N2336)&gt;W2335,W2335,(N2336-MAX(N$470:N2336))/MAX(N$470:N2336))</f>
        <v>-0.62788758315546067</v>
      </c>
      <c r="X2336" s="564">
        <f>IF((O2336-MAX(O$470:O2336))/MAX(O$470:O2336)&gt;X2335,X2335,(O2336-MAX(O$470:O2336))/MAX(O$470:O2336))</f>
        <v>-0.62788758315546067</v>
      </c>
    </row>
    <row r="2337" spans="1:24">
      <c r="A2337" s="799">
        <v>42739</v>
      </c>
      <c r="B2337">
        <v>1100.52</v>
      </c>
      <c r="C2337">
        <v>4280.7067290000005</v>
      </c>
      <c r="D2337">
        <v>2.5577009999999998</v>
      </c>
      <c r="E2337">
        <f>LN(D2337/参数实验室!$E$53)/参数实验室!$E$55</f>
        <v>0.41494836891043113</v>
      </c>
      <c r="F2337">
        <f t="shared" si="308"/>
        <v>3.8897127984952573</v>
      </c>
      <c r="G2337">
        <f>LN(F2337/参数实验室!$E$58)/参数实验室!$E$59</f>
        <v>0.52239776210499467</v>
      </c>
      <c r="H2337" s="856">
        <f>INDEX(神经网络!$G$10:$BO$70,MATCH(ROUND(G2337*2,1)/2,神经网络!$E$10:$E$70,0),MATCH(ROUND(E2337*2,1)/2,神经网络!$G$8:$BO$8,0))</f>
        <v>1.9943536627222795</v>
      </c>
      <c r="I2337">
        <f t="shared" si="310"/>
        <v>2148.7785152185947</v>
      </c>
      <c r="J2337">
        <f t="shared" si="311"/>
        <v>439.13650692310722</v>
      </c>
      <c r="K2337">
        <f t="shared" si="312"/>
        <v>4.8931903436460269</v>
      </c>
      <c r="L2337" s="4">
        <f>MIN(MAX(L2336*(1+MAX(MIN(((B2337-B2336)/B2336)/($K$7*卓尔金历!$N$40),0),-卓尔金历!$M$43))+MIN(MAX(((B2337-B2336)/B2336)/($K$7*卓尔金历!$N$40),0),卓尔金历!$M$43),0),1)</f>
        <v>1</v>
      </c>
      <c r="M2337" s="4">
        <f>MIN(MAX(M2336*(1+MAX(MIN(((B2337-B2336)/B2336)/($K$7*30),0),-卓尔金历!$M$43))+MIN(MAX(((B2337-B2336)/B2336)/($K$7*7),0),卓尔金历!$M$43),0),1)</f>
        <v>1</v>
      </c>
      <c r="N2337">
        <f t="shared" si="313"/>
        <v>1597.8425618392491</v>
      </c>
      <c r="O2337">
        <f t="shared" si="314"/>
        <v>4367.4840318501547</v>
      </c>
      <c r="P2337">
        <f t="shared" si="315"/>
        <v>6.7978689335934039E-2</v>
      </c>
      <c r="Q2337">
        <f t="shared" si="306"/>
        <v>2.7553134812694429E-2</v>
      </c>
      <c r="R2337">
        <f t="shared" si="307"/>
        <v>2.446954070208738E-3</v>
      </c>
      <c r="S2337">
        <f t="shared" si="309"/>
        <v>24.769965614284111</v>
      </c>
      <c r="T2337" s="564">
        <f>IF((I2337-MAX(I$470:I2337))/MAX(I$470:I2337)&gt;T2336,T2336,(I2337-MAX(I$470:I2337))/MAX(I$470:I2337))</f>
        <v>-0.91338805338419748</v>
      </c>
      <c r="U2337" s="564">
        <f>IF((J2337-MAX(J$470:J2337))/MAX(J$470:J2337)&gt;U2336,U2336,(J2337-MAX(J$470:J2337))/MAX(J$470:J2337))</f>
        <v>-0.8283551177402233</v>
      </c>
      <c r="V2337" s="564">
        <f>IF((K2337-MAX(K$470:K2337))/MAX(K$470:K2337)&gt;V2336,V2336,(K2337-MAX(K$470:K2337))/MAX(K$470:K2337))</f>
        <v>-0.84885940676762139</v>
      </c>
      <c r="W2337" s="564">
        <f>IF((N2337-MAX(N$470:N2337))/MAX(N$470:N2337)&gt;W2336,W2336,(N2337-MAX(N$470:N2337))/MAX(N$470:N2337))</f>
        <v>-0.62788758315546067</v>
      </c>
      <c r="X2337" s="564">
        <f>IF((O2337-MAX(O$470:O2337))/MAX(O$470:O2337)&gt;X2336,X2336,(O2337-MAX(O$470:O2337))/MAX(O$470:O2337))</f>
        <v>-0.62788758315546067</v>
      </c>
    </row>
    <row r="2338" spans="1:24">
      <c r="A2338" s="799">
        <v>42740</v>
      </c>
      <c r="B2338">
        <v>1032.94</v>
      </c>
      <c r="C2338">
        <v>4310.4745629999998</v>
      </c>
      <c r="D2338">
        <v>2.2370399999999999</v>
      </c>
      <c r="E2338">
        <f>LN(D2338/参数实验室!$E$53)/参数实验室!$E$55</f>
        <v>0.25691423443804812</v>
      </c>
      <c r="F2338">
        <f t="shared" si="308"/>
        <v>4.1730154345847774</v>
      </c>
      <c r="G2338">
        <f>LN(F2338/参数实验室!$E$58)/参数实验室!$E$59</f>
        <v>0.55929687826271168</v>
      </c>
      <c r="H2338" s="856">
        <f>INDEX(神经网络!$G$10:$BO$70,MATCH(ROUND(G2338*2,1)/2,神经网络!$E$10:$E$70,0),MATCH(ROUND(E2338*2,1)/2,神经网络!$G$8:$BO$8,0))</f>
        <v>1.8353965793439475</v>
      </c>
      <c r="I2338">
        <f t="shared" si="310"/>
        <v>1885.6220306994371</v>
      </c>
      <c r="J2338">
        <f t="shared" si="311"/>
        <v>412.17030445712425</v>
      </c>
      <c r="K2338">
        <f t="shared" si="312"/>
        <v>4.574861435452072</v>
      </c>
      <c r="L2338" s="4">
        <f>MIN(MAX(L2337*(1+MAX(MIN(((B2338-B2337)/B2337)/($K$7*卓尔金历!$N$40),0),-卓尔金历!$M$43))+MIN(MAX(((B2338-B2337)/B2337)/($K$7*卓尔金历!$N$40),0),卓尔金历!$M$43),0),1)</f>
        <v>6.1754853773292373E-2</v>
      </c>
      <c r="M2338" s="4">
        <f>MIN(MAX(M2337*(1+MAX(MIN(((B2338-B2337)/B2337)/($K$7*30),0),-卓尔金历!$M$43))+MIN(MAX(((B2338-B2337)/B2337)/($K$7*7),0),卓尔金历!$M$43),0),1)</f>
        <v>0.53087742688664619</v>
      </c>
      <c r="N2338">
        <f t="shared" si="313"/>
        <v>1402.1580702033459</v>
      </c>
      <c r="O2338">
        <f t="shared" si="314"/>
        <v>3832.6072467952172</v>
      </c>
      <c r="P2338">
        <f t="shared" si="315"/>
        <v>-6.1407334714498538E-2</v>
      </c>
      <c r="Q2338">
        <f t="shared" si="306"/>
        <v>3.201409512740034E-2</v>
      </c>
      <c r="R2338">
        <f t="shared" si="307"/>
        <v>9.6063175903034082E-3</v>
      </c>
      <c r="S2338">
        <f t="shared" si="309"/>
        <v>24.762542713693719</v>
      </c>
      <c r="T2338" s="564">
        <f>IF((I2338-MAX(I$470:I2338))/MAX(I$470:I2338)&gt;T2337,T2337,(I2338-MAX(I$470:I2338))/MAX(I$470:I2338))</f>
        <v>-0.91338805338419748</v>
      </c>
      <c r="U2338" s="564">
        <f>IF((J2338-MAX(J$470:J2338))/MAX(J$470:J2338)&gt;U2337,U2337,(J2338-MAX(J$470:J2338))/MAX(J$470:J2338))</f>
        <v>-0.8283551177402233</v>
      </c>
      <c r="V2338" s="564">
        <f>IF((K2338-MAX(K$470:K2338))/MAX(K$470:K2338)&gt;V2337,V2337,(K2338-MAX(K$470:K2338))/MAX(K$470:K2338))</f>
        <v>-0.84885940676762139</v>
      </c>
      <c r="W2338" s="564">
        <f>IF((N2338-MAX(N$470:N2338))/MAX(N$470:N2338)&gt;W2337,W2337,(N2338-MAX(N$470:N2338))/MAX(N$470:N2338))</f>
        <v>-0.62788758315546067</v>
      </c>
      <c r="X2338" s="564">
        <f>IF((O2338-MAX(O$470:O2338))/MAX(O$470:O2338)&gt;X2337,X2337,(O2338-MAX(O$470:O2338))/MAX(O$470:O2338))</f>
        <v>-0.62788758315546067</v>
      </c>
    </row>
    <row r="2339" spans="1:24">
      <c r="A2339" s="799">
        <v>42741</v>
      </c>
      <c r="B2339">
        <v>892.19399999999996</v>
      </c>
      <c r="C2339">
        <v>4349.3492880000003</v>
      </c>
      <c r="D2339">
        <v>2.0016500000000002</v>
      </c>
      <c r="E2339">
        <f>LN(D2339/参数实验室!$E$53)/参数实验室!$E$55</f>
        <v>0.12574723605321816</v>
      </c>
      <c r="F2339">
        <f t="shared" si="308"/>
        <v>4.8748918822587921</v>
      </c>
      <c r="G2339">
        <f>LN(F2339/参数实验室!$E$58)/参数实验室!$E$59</f>
        <v>0.6408901765528443</v>
      </c>
      <c r="H2339" s="856">
        <f>INDEX(神经网络!$G$10:$BO$70,MATCH(ROUND(G2339*2,1)/2,神经网络!$E$10:$E$70,0),MATCH(ROUND(E2339*2,1)/2,神经网络!$G$8:$BO$8,0))</f>
        <v>1.7612313580803427</v>
      </c>
      <c r="I2339">
        <f t="shared" si="310"/>
        <v>1414.0527273291566</v>
      </c>
      <c r="J2339">
        <f t="shared" si="311"/>
        <v>356.00893819081404</v>
      </c>
      <c r="K2339">
        <f t="shared" si="312"/>
        <v>3.9719584977702196</v>
      </c>
      <c r="L2339" s="4">
        <f>MIN(MAX(L2338*(1+MAX(MIN(((B2339-B2338)/B2338)/($K$7*卓尔金历!$N$40),0),-卓尔金历!$M$43))+MIN(MAX(((B2339-B2338)/B2338)/($K$7*卓尔金历!$N$40),0),卓尔金历!$M$43),0),1)</f>
        <v>0</v>
      </c>
      <c r="M2339" s="4">
        <f>MIN(MAX(M2338*(1+MAX(MIN(((B2339-B2338)/B2338)/($K$7*30),0),-卓尔金历!$M$43))+MIN(MAX(((B2339-B2338)/B2338)/($K$7*7),0),卓尔金历!$M$43),0),1)</f>
        <v>0</v>
      </c>
      <c r="N2339">
        <f t="shared" si="313"/>
        <v>1380.5030318568533</v>
      </c>
      <c r="O2339">
        <f t="shared" si="314"/>
        <v>3323.7693377965784</v>
      </c>
      <c r="P2339">
        <f t="shared" si="315"/>
        <v>-0.13625767227525323</v>
      </c>
      <c r="Q2339">
        <f t="shared" si="306"/>
        <v>4.5288382842652471E-2</v>
      </c>
      <c r="R2339">
        <f t="shared" si="307"/>
        <v>0</v>
      </c>
      <c r="S2339">
        <f t="shared" si="309"/>
        <v>24.703052837964847</v>
      </c>
      <c r="T2339" s="564">
        <f>IF((I2339-MAX(I$470:I2339))/MAX(I$470:I2339)&gt;T2338,T2338,(I2339-MAX(I$470:I2339))/MAX(I$470:I2339))</f>
        <v>-0.91338805338419748</v>
      </c>
      <c r="U2339" s="564">
        <f>IF((J2339-MAX(J$470:J2339))/MAX(J$470:J2339)&gt;U2338,U2338,(J2339-MAX(J$470:J2339))/MAX(J$470:J2339))</f>
        <v>-0.8283551177402233</v>
      </c>
      <c r="V2339" s="564">
        <f>IF((K2339-MAX(K$470:K2339))/MAX(K$470:K2339)&gt;V2338,V2338,(K2339-MAX(K$470:K2339))/MAX(K$470:K2339))</f>
        <v>-0.84885940676762139</v>
      </c>
      <c r="W2339" s="564">
        <f>IF((N2339-MAX(N$470:N2339))/MAX(N$470:N2339)&gt;W2338,W2338,(N2339-MAX(N$470:N2339))/MAX(N$470:N2339))</f>
        <v>-0.62788758315546067</v>
      </c>
      <c r="X2339" s="564">
        <f>IF((O2339-MAX(O$470:O2339))/MAX(O$470:O2339)&gt;X2338,X2338,(O2339-MAX(O$470:O2339))/MAX(O$470:O2339))</f>
        <v>-0.62788758315546067</v>
      </c>
    </row>
    <row r="2340" spans="1:24">
      <c r="A2340" s="799">
        <v>42742</v>
      </c>
      <c r="B2340">
        <v>892.34199999999998</v>
      </c>
      <c r="C2340">
        <v>4405.9268590000001</v>
      </c>
      <c r="D2340">
        <v>2.0252979999999998</v>
      </c>
      <c r="E2340">
        <f>LN(D2340/参数实验室!$E$53)/参数实验室!$E$55</f>
        <v>0.13960344945438208</v>
      </c>
      <c r="F2340">
        <f t="shared" si="308"/>
        <v>4.9374868144724786</v>
      </c>
      <c r="G2340">
        <f>LN(F2340/参数实验室!$E$58)/参数实验室!$E$59</f>
        <v>0.64758654446059671</v>
      </c>
      <c r="H2340" s="856">
        <f>INDEX(神经网络!$G$10:$BO$70,MATCH(ROUND(G2340*2,1)/2,神经网络!$E$10:$E$70,0),MATCH(ROUND(E2340*2,1)/2,神经网络!$G$8:$BO$8,0))</f>
        <v>1.7612313580803427</v>
      </c>
      <c r="I2340">
        <f t="shared" si="310"/>
        <v>1414.4658551385703</v>
      </c>
      <c r="J2340">
        <f t="shared" si="311"/>
        <v>356.06799409440924</v>
      </c>
      <c r="K2340">
        <f t="shared" si="312"/>
        <v>3.9724599756178405</v>
      </c>
      <c r="L2340" s="4">
        <f>MIN(MAX(L2339*(1+MAX(MIN(((B2340-B2339)/B2339)/($K$7*卓尔金历!$N$40),0),-卓尔金历!$M$43))+MIN(MAX(((B2340-B2339)/B2339)/($K$7*卓尔金历!$N$40),0),卓尔金历!$M$43),0),1)</f>
        <v>2.5345361827416066E-3</v>
      </c>
      <c r="M2340" s="4">
        <f>MIN(MAX(M2339*(1+MAX(MIN(((B2340-B2339)/B2339)/($K$7*30),0),-卓尔金历!$M$43))+MIN(MAX(((B2340-B2339)/B2339)/($K$7*7),0),卓尔金历!$M$43),0),1)</f>
        <v>5.4311489630177283E-3</v>
      </c>
      <c r="N2340">
        <f t="shared" si="313"/>
        <v>1380.5030318568533</v>
      </c>
      <c r="O2340">
        <f t="shared" si="314"/>
        <v>3323.7693377965784</v>
      </c>
      <c r="P2340">
        <f t="shared" si="315"/>
        <v>1.6588320477387716E-4</v>
      </c>
      <c r="Q2340">
        <f t="shared" si="306"/>
        <v>4.5312891744793596E-2</v>
      </c>
      <c r="R2340">
        <f t="shared" si="307"/>
        <v>1</v>
      </c>
      <c r="S2340">
        <f t="shared" si="309"/>
        <v>24.703052837964847</v>
      </c>
      <c r="T2340" s="564">
        <f>IF((I2340-MAX(I$470:I2340))/MAX(I$470:I2340)&gt;T2339,T2339,(I2340-MAX(I$470:I2340))/MAX(I$470:I2340))</f>
        <v>-0.91338805338419748</v>
      </c>
      <c r="U2340" s="564">
        <f>IF((J2340-MAX(J$470:J2340))/MAX(J$470:J2340)&gt;U2339,U2339,(J2340-MAX(J$470:J2340))/MAX(J$470:J2340))</f>
        <v>-0.8283551177402233</v>
      </c>
      <c r="V2340" s="564">
        <f>IF((K2340-MAX(K$470:K2340))/MAX(K$470:K2340)&gt;V2339,V2339,(K2340-MAX(K$470:K2340))/MAX(K$470:K2340))</f>
        <v>-0.84885940676762139</v>
      </c>
      <c r="W2340" s="564">
        <f>IF((N2340-MAX(N$470:N2340))/MAX(N$470:N2340)&gt;W2339,W2339,(N2340-MAX(N$470:N2340))/MAX(N$470:N2340))</f>
        <v>-0.62788758315546067</v>
      </c>
      <c r="X2340" s="564">
        <f>IF((O2340-MAX(O$470:O2340))/MAX(O$470:O2340)&gt;X2339,X2339,(O2340-MAX(O$470:O2340))/MAX(O$470:O2340))</f>
        <v>-0.62788758315546067</v>
      </c>
    </row>
    <row r="2341" spans="1:24">
      <c r="A2341" s="799">
        <v>42743</v>
      </c>
      <c r="B2341">
        <v>911.99</v>
      </c>
      <c r="C2341">
        <v>4315.4699140000002</v>
      </c>
      <c r="D2341">
        <v>2.0430480000000002</v>
      </c>
      <c r="E2341">
        <f>LN(D2341/参数实验室!$E$53)/参数实验室!$E$55</f>
        <v>0.14989792930084969</v>
      </c>
      <c r="F2341">
        <f t="shared" si="308"/>
        <v>4.7319267908639349</v>
      </c>
      <c r="G2341">
        <f>LN(F2341/参数实验室!$E$58)/参数实验室!$E$59</f>
        <v>0.62526765910115789</v>
      </c>
      <c r="H2341" s="856">
        <f>INDEX(神经网络!$G$10:$BO$70,MATCH(ROUND(G2341*2,1)/2,神经网络!$E$10:$E$70,0),MATCH(ROUND(E2341*2,1)/2,神经网络!$G$8:$BO$8,0))</f>
        <v>1.7612313580803427</v>
      </c>
      <c r="I2341">
        <f t="shared" si="310"/>
        <v>1469.3182877374954</v>
      </c>
      <c r="J2341">
        <f t="shared" si="311"/>
        <v>363.90806432305135</v>
      </c>
      <c r="K2341">
        <f t="shared" si="312"/>
        <v>4.0376084835348429</v>
      </c>
      <c r="L2341" s="4">
        <f>MIN(MAX(L2340*(1+MAX(MIN(((B2341-B2340)/B2340)/($K$7*卓尔金历!$N$40),0),-卓尔金历!$M$43))+MIN(MAX(((B2341-B2340)/B2340)/($K$7*卓尔金历!$N$40),0),卓尔金历!$M$43),0),1)</f>
        <v>0.33895553309299176</v>
      </c>
      <c r="M2341" s="4">
        <f>MIN(MAX(M2340*(1+MAX(MIN(((B2341-B2340)/B2340)/($K$7*30),0),-卓尔金历!$M$43))+MIN(MAX(((B2341-B2340)/B2340)/($K$7*7),0),卓尔金历!$M$43),0),1)</f>
        <v>0.72633328519926799</v>
      </c>
      <c r="N2341">
        <f t="shared" si="313"/>
        <v>1380.6387191830829</v>
      </c>
      <c r="O2341">
        <f t="shared" si="314"/>
        <v>3324.4693828899394</v>
      </c>
      <c r="P2341">
        <f t="shared" si="315"/>
        <v>2.2018463772858415E-2</v>
      </c>
      <c r="Q2341">
        <f t="shared" si="306"/>
        <v>4.5403188847216489E-2</v>
      </c>
      <c r="R2341">
        <f t="shared" si="307"/>
        <v>0.80180685353315884</v>
      </c>
      <c r="S2341">
        <f t="shared" si="309"/>
        <v>25.661027564508817</v>
      </c>
      <c r="T2341" s="564">
        <f>IF((I2341-MAX(I$470:I2341))/MAX(I$470:I2341)&gt;T2340,T2340,(I2341-MAX(I$470:I2341))/MAX(I$470:I2341))</f>
        <v>-0.91338805338419748</v>
      </c>
      <c r="U2341" s="564">
        <f>IF((J2341-MAX(J$470:J2341))/MAX(J$470:J2341)&gt;U2340,U2340,(J2341-MAX(J$470:J2341))/MAX(J$470:J2341))</f>
        <v>-0.8283551177402233</v>
      </c>
      <c r="V2341" s="564">
        <f>IF((K2341-MAX(K$470:K2341))/MAX(K$470:K2341)&gt;V2340,V2340,(K2341-MAX(K$470:K2341))/MAX(K$470:K2341))</f>
        <v>-0.84885940676762139</v>
      </c>
      <c r="W2341" s="564">
        <f>IF((N2341-MAX(N$470:N2341))/MAX(N$470:N2341)&gt;W2340,W2340,(N2341-MAX(N$470:N2341))/MAX(N$470:N2341))</f>
        <v>-0.62788758315546067</v>
      </c>
      <c r="X2341" s="564">
        <f>IF((O2341-MAX(O$470:O2341))/MAX(O$470:O2341)&gt;X2340,X2340,(O2341-MAX(O$470:O2341))/MAX(O$470:O2341))</f>
        <v>-0.62788758315546067</v>
      </c>
    </row>
    <row r="2342" spans="1:24">
      <c r="A2342" s="799">
        <v>42744</v>
      </c>
      <c r="B2342">
        <v>907.18499999999995</v>
      </c>
      <c r="C2342">
        <v>4305.5706700000001</v>
      </c>
      <c r="D2342">
        <v>2.0205299999999999</v>
      </c>
      <c r="E2342">
        <f>LN(D2342/参数实验室!$E$53)/参数实验室!$E$55</f>
        <v>0.13682277461037051</v>
      </c>
      <c r="F2342">
        <f t="shared" si="308"/>
        <v>4.7460778892949067</v>
      </c>
      <c r="G2342">
        <f>LN(F2342/参数实验室!$E$58)/参数实验室!$E$59</f>
        <v>0.62683492288612197</v>
      </c>
      <c r="H2342" s="856">
        <f>INDEX(神经网络!$G$10:$BO$70,MATCH(ROUND(G2342*2,1)/2,神经网络!$E$10:$E$70,0),MATCH(ROUND(E2342*2,1)/2,神经网络!$G$8:$BO$8,0))</f>
        <v>1.7612313580803427</v>
      </c>
      <c r="I2342">
        <f t="shared" si="310"/>
        <v>1455.6839009839509</v>
      </c>
      <c r="J2342">
        <f t="shared" si="311"/>
        <v>361.99074258808469</v>
      </c>
      <c r="K2342">
        <f t="shared" si="312"/>
        <v>4.0213290831041997</v>
      </c>
      <c r="L2342" s="4">
        <f>MIN(MAX(L2341*(1+MAX(MIN(((B2342-B2341)/B2341)/($K$7*卓尔金历!$N$40),0),-卓尔金历!$M$43))+MIN(MAX(((B2342-B2341)/B2341)/($K$7*卓尔金历!$N$40),0),卓尔金历!$M$43),0),1)</f>
        <v>0.31166939191453391</v>
      </c>
      <c r="M2342" s="4">
        <f>MIN(MAX(M2341*(1+MAX(MIN(((B2342-B2341)/B2341)/($K$7*30),0),-卓尔金历!$M$43))+MIN(MAX(((B2342-B2341)/B2341)/($K$7*7),0),卓尔金历!$M$43),0),1)</f>
        <v>0.69709813393663456</v>
      </c>
      <c r="N2342">
        <f t="shared" si="313"/>
        <v>1376.2961924422386</v>
      </c>
      <c r="O2342">
        <f t="shared" si="314"/>
        <v>3302.0626772206256</v>
      </c>
      <c r="P2342">
        <f t="shared" si="315"/>
        <v>-5.2686981216900006E-3</v>
      </c>
      <c r="Q2342">
        <f t="shared" si="306"/>
        <v>4.5468309314977959E-2</v>
      </c>
      <c r="R2342">
        <f t="shared" si="307"/>
        <v>1</v>
      </c>
      <c r="S2342">
        <f t="shared" si="309"/>
        <v>25.470102242253457</v>
      </c>
      <c r="T2342" s="564">
        <f>IF((I2342-MAX(I$470:I2342))/MAX(I$470:I2342)&gt;T2341,T2341,(I2342-MAX(I$470:I2342))/MAX(I$470:I2342))</f>
        <v>-0.91338805338419748</v>
      </c>
      <c r="U2342" s="564">
        <f>IF((J2342-MAX(J$470:J2342))/MAX(J$470:J2342)&gt;U2341,U2341,(J2342-MAX(J$470:J2342))/MAX(J$470:J2342))</f>
        <v>-0.8283551177402233</v>
      </c>
      <c r="V2342" s="564">
        <f>IF((K2342-MAX(K$470:K2342))/MAX(K$470:K2342)&gt;V2341,V2341,(K2342-MAX(K$470:K2342))/MAX(K$470:K2342))</f>
        <v>-0.84885940676762139</v>
      </c>
      <c r="W2342" s="564">
        <f>IF((N2342-MAX(N$470:N2342))/MAX(N$470:N2342)&gt;W2341,W2341,(N2342-MAX(N$470:N2342))/MAX(N$470:N2342))</f>
        <v>-0.62788758315546067</v>
      </c>
      <c r="X2342" s="564">
        <f>IF((O2342-MAX(O$470:O2342))/MAX(O$470:O2342)&gt;X2341,X2341,(O2342-MAX(O$470:O2342))/MAX(O$470:O2342))</f>
        <v>-0.62788758315546067</v>
      </c>
    </row>
    <row r="2343" spans="1:24">
      <c r="A2343" s="799">
        <v>42745</v>
      </c>
      <c r="B2343">
        <v>908.90099999999995</v>
      </c>
      <c r="C2343">
        <v>4384.7601649999997</v>
      </c>
      <c r="D2343">
        <v>2.024921</v>
      </c>
      <c r="E2343">
        <f>LN(D2343/参数实验室!$E$53)/参数实验室!$E$55</f>
        <v>0.13938382331848073</v>
      </c>
      <c r="F2343">
        <f t="shared" si="308"/>
        <v>4.8242439660645111</v>
      </c>
      <c r="G2343">
        <f>LN(F2343/参数实验室!$E$58)/参数实验室!$E$59</f>
        <v>0.63540865621338316</v>
      </c>
      <c r="H2343" s="856">
        <f>INDEX(神经网络!$G$10:$BO$70,MATCH(ROUND(G2343*2,1)/2,神经网络!$E$10:$E$70,0),MATCH(ROUND(E2343*2,1)/2,神经网络!$G$8:$BO$8,0))</f>
        <v>1.7612313580803427</v>
      </c>
      <c r="I2343">
        <f t="shared" si="310"/>
        <v>1460.5334897290397</v>
      </c>
      <c r="J2343">
        <f t="shared" si="311"/>
        <v>362.6754718486888</v>
      </c>
      <c r="K2343">
        <f t="shared" si="312"/>
        <v>4.0271085394448356</v>
      </c>
      <c r="L2343" s="4">
        <f>MIN(MAX(L2342*(1+MAX(MIN(((B2343-B2342)/B2342)/($K$7*卓尔金历!$N$40),0),-卓尔金历!$M$43))+MIN(MAX(((B2343-B2342)/B2342)/($K$7*卓尔金历!$N$40),0),卓尔金历!$M$43),0),1)</f>
        <v>0.34057070011295865</v>
      </c>
      <c r="M2343" s="4">
        <f>MIN(MAX(M2342*(1+MAX(MIN(((B2343-B2342)/B2342)/($K$7*30),0),-卓尔金历!$M$43))+MIN(MAX(((B2343-B2342)/B2342)/($K$7*7),0),卓尔金历!$M$43),0),1)</f>
        <v>0.7590295086475447</v>
      </c>
      <c r="N2343">
        <f t="shared" si="313"/>
        <v>1377.7252308264665</v>
      </c>
      <c r="O2343">
        <f t="shared" si="314"/>
        <v>3309.7312945166677</v>
      </c>
      <c r="P2343">
        <f t="shared" si="315"/>
        <v>1.8915656674217589E-3</v>
      </c>
      <c r="Q2343">
        <f t="shared" si="306"/>
        <v>4.546895248559308E-2</v>
      </c>
      <c r="R2343">
        <f t="shared" si="307"/>
        <v>1</v>
      </c>
      <c r="S2343">
        <f t="shared" si="309"/>
        <v>25.554955499946836</v>
      </c>
      <c r="T2343" s="564">
        <f>IF((I2343-MAX(I$470:I2343))/MAX(I$470:I2343)&gt;T2342,T2342,(I2343-MAX(I$470:I2343))/MAX(I$470:I2343))</f>
        <v>-0.91338805338419748</v>
      </c>
      <c r="U2343" s="564">
        <f>IF((J2343-MAX(J$470:J2343))/MAX(J$470:J2343)&gt;U2342,U2342,(J2343-MAX(J$470:J2343))/MAX(J$470:J2343))</f>
        <v>-0.8283551177402233</v>
      </c>
      <c r="V2343" s="564">
        <f>IF((K2343-MAX(K$470:K2343))/MAX(K$470:K2343)&gt;V2342,V2342,(K2343-MAX(K$470:K2343))/MAX(K$470:K2343))</f>
        <v>-0.84885940676762139</v>
      </c>
      <c r="W2343" s="564">
        <f>IF((N2343-MAX(N$470:N2343))/MAX(N$470:N2343)&gt;W2342,W2342,(N2343-MAX(N$470:N2343))/MAX(N$470:N2343))</f>
        <v>-0.62788758315546067</v>
      </c>
      <c r="X2343" s="564">
        <f>IF((O2343-MAX(O$470:O2343))/MAX(O$470:O2343)&gt;X2342,X2342,(O2343-MAX(O$470:O2343))/MAX(O$470:O2343))</f>
        <v>-0.62788758315546067</v>
      </c>
    </row>
    <row r="2344" spans="1:24">
      <c r="A2344" s="799">
        <v>42746</v>
      </c>
      <c r="B2344">
        <v>818.048</v>
      </c>
      <c r="C2344">
        <v>4395.1533609999997</v>
      </c>
      <c r="D2344">
        <v>1.7684580000000001</v>
      </c>
      <c r="E2344">
        <f>LN(D2344/参数实验室!$E$53)/参数实验室!$E$55</f>
        <v>-2.0381554584318912E-2</v>
      </c>
      <c r="F2344">
        <f t="shared" si="308"/>
        <v>5.372732848194727</v>
      </c>
      <c r="G2344">
        <f>LN(F2344/参数实验室!$E$58)/参数实验室!$E$59</f>
        <v>0.691926334532453</v>
      </c>
      <c r="H2344" s="856">
        <f>INDEX(神经网络!$G$10:$BO$70,MATCH(ROUND(G2344*2,1)/2,神经网络!$E$10:$E$70,0),MATCH(ROUND(E2344*2,1)/2,神经网络!$G$8:$BO$8,0))</f>
        <v>1.5361373860901346</v>
      </c>
      <c r="I2344">
        <f t="shared" si="310"/>
        <v>1203.4047505881504</v>
      </c>
      <c r="J2344">
        <f t="shared" si="311"/>
        <v>326.42272854235631</v>
      </c>
      <c r="K2344">
        <f t="shared" si="312"/>
        <v>3.6866450935018076</v>
      </c>
      <c r="L2344" s="4">
        <f>MIN(MAX(L2343*(1+MAX(MIN(((B2344-B2343)/B2343)/($K$7*卓尔金历!$N$40),0),-卓尔金历!$M$43))+MIN(MAX(((B2344-B2343)/B2343)/($K$7*卓尔金历!$N$40),0),卓尔金历!$M$43),0),1)</f>
        <v>0</v>
      </c>
      <c r="M2344" s="4">
        <f>MIN(MAX(M2343*(1+MAX(MIN(((B2344-B2343)/B2343)/($K$7*30),0),-卓尔金历!$M$43))+MIN(MAX(((B2344-B2343)/B2343)/($K$7*7),0),卓尔金历!$M$43),0),1)</f>
        <v>0.1794040745254637</v>
      </c>
      <c r="N2344">
        <f t="shared" si="313"/>
        <v>1295.119725072147</v>
      </c>
      <c r="O2344">
        <f t="shared" si="314"/>
        <v>2867.4582234081076</v>
      </c>
      <c r="P2344">
        <f t="shared" si="315"/>
        <v>-9.9959181473009667E-2</v>
      </c>
      <c r="Q2344">
        <f t="shared" si="306"/>
        <v>5.0767347995320712E-2</v>
      </c>
      <c r="R2344">
        <f t="shared" si="307"/>
        <v>1.4663349532991537E-2</v>
      </c>
      <c r="S2344">
        <f t="shared" si="309"/>
        <v>21.055973769838129</v>
      </c>
      <c r="T2344" s="564">
        <f>IF((I2344-MAX(I$470:I2344))/MAX(I$470:I2344)&gt;T2343,T2343,(I2344-MAX(I$470:I2344))/MAX(I$470:I2344))</f>
        <v>-0.91338805338419748</v>
      </c>
      <c r="U2344" s="564">
        <f>IF((J2344-MAX(J$470:J2344))/MAX(J$470:J2344)&gt;U2343,U2343,(J2344-MAX(J$470:J2344))/MAX(J$470:J2344))</f>
        <v>-0.8283551177402233</v>
      </c>
      <c r="V2344" s="564">
        <f>IF((K2344-MAX(K$470:K2344))/MAX(K$470:K2344)&gt;V2343,V2343,(K2344-MAX(K$470:K2344))/MAX(K$470:K2344))</f>
        <v>-0.84885940676762139</v>
      </c>
      <c r="W2344" s="564">
        <f>IF((N2344-MAX(N$470:N2344))/MAX(N$470:N2344)&gt;W2343,W2343,(N2344-MAX(N$470:N2344))/MAX(N$470:N2344))</f>
        <v>-0.62788758315546067</v>
      </c>
      <c r="X2344" s="564">
        <f>IF((O2344-MAX(O$470:O2344))/MAX(O$470:O2344)&gt;X2343,X2343,(O2344-MAX(O$470:O2344))/MAX(O$470:O2344))</f>
        <v>-0.62788758315546067</v>
      </c>
    </row>
    <row r="2345" spans="1:24">
      <c r="A2345" s="799">
        <v>42747</v>
      </c>
      <c r="B2345">
        <v>767.149</v>
      </c>
      <c r="C2345">
        <v>4414.5611500000005</v>
      </c>
      <c r="D2345">
        <v>1.8107740000000001</v>
      </c>
      <c r="E2345">
        <f>LN(D2345/参数实验室!$E$53)/参数实验室!$E$55</f>
        <v>7.5153598580582626E-3</v>
      </c>
      <c r="F2345">
        <f t="shared" si="308"/>
        <v>5.7545029062150901</v>
      </c>
      <c r="G2345">
        <f>LN(F2345/参数实验室!$E$58)/参数实验室!$E$59</f>
        <v>0.72795545106131954</v>
      </c>
      <c r="H2345" s="856">
        <f>INDEX(神经网络!$G$10:$BO$70,MATCH(ROUND(G2345*2,1)/2,神经网络!$E$10:$E$70,0),MATCH(ROUND(E2345*2,1)/2,神经网络!$G$8:$BO$8,0))</f>
        <v>1.5633225619731501</v>
      </c>
      <c r="I2345">
        <f t="shared" si="310"/>
        <v>1088.3850471856631</v>
      </c>
      <c r="J2345">
        <f t="shared" si="311"/>
        <v>306.11268504848141</v>
      </c>
      <c r="K2345">
        <f t="shared" si="312"/>
        <v>3.5555045587649765</v>
      </c>
      <c r="L2345" s="4">
        <f>MIN(MAX(L2344*(1+MAX(MIN(((B2345-B2344)/B2344)/($K$7*卓尔金历!$N$40),0),-卓尔金历!$M$43))+MIN(MAX(((B2345-B2344)/B2344)/($K$7*卓尔金历!$N$40),0),卓尔金历!$M$43),0),1)</f>
        <v>0</v>
      </c>
      <c r="M2345" s="4">
        <f>MIN(MAX(M2344*(1+MAX(MIN(((B2345-B2344)/B2344)/($K$7*30),0),-卓尔金历!$M$43))+MIN(MAX(((B2345-B2344)/B2344)/($K$7*7),0),卓尔金历!$M$43),0),1)</f>
        <v>9.4127676537463276E-2</v>
      </c>
      <c r="N2345">
        <f t="shared" si="313"/>
        <v>1295.119725072147</v>
      </c>
      <c r="O2345">
        <f t="shared" si="314"/>
        <v>2818.2893878368959</v>
      </c>
      <c r="P2345">
        <f t="shared" si="315"/>
        <v>-6.2220065326240026E-2</v>
      </c>
      <c r="Q2345">
        <f t="shared" si="306"/>
        <v>5.0617140604415793E-2</v>
      </c>
      <c r="R2345">
        <f t="shared" si="307"/>
        <v>4.0289613366428938E-2</v>
      </c>
      <c r="S2345">
        <f t="shared" si="309"/>
        <v>21.026463781372875</v>
      </c>
      <c r="T2345" s="564">
        <f>IF((I2345-MAX(I$470:I2345))/MAX(I$470:I2345)&gt;T2344,T2344,(I2345-MAX(I$470:I2345))/MAX(I$470:I2345))</f>
        <v>-0.91338805338419748</v>
      </c>
      <c r="U2345" s="564">
        <f>IF((J2345-MAX(J$470:J2345))/MAX(J$470:J2345)&gt;U2344,U2344,(J2345-MAX(J$470:J2345))/MAX(J$470:J2345))</f>
        <v>-0.8283551177402233</v>
      </c>
      <c r="V2345" s="564">
        <f>IF((K2345-MAX(K$470:K2345))/MAX(K$470:K2345)&gt;V2344,V2344,(K2345-MAX(K$470:K2345))/MAX(K$470:K2345))</f>
        <v>-0.84885940676762139</v>
      </c>
      <c r="W2345" s="564">
        <f>IF((N2345-MAX(N$470:N2345))/MAX(N$470:N2345)&gt;W2344,W2344,(N2345-MAX(N$470:N2345))/MAX(N$470:N2345))</f>
        <v>-0.62788758315546067</v>
      </c>
      <c r="X2345" s="564">
        <f>IF((O2345-MAX(O$470:O2345))/MAX(O$470:O2345)&gt;X2344,X2344,(O2345-MAX(O$470:O2345))/MAX(O$470:O2345))</f>
        <v>-0.62788758315546067</v>
      </c>
    </row>
    <row r="2346" spans="1:24">
      <c r="A2346" s="799">
        <v>42748</v>
      </c>
      <c r="B2346">
        <v>796.40700000000004</v>
      </c>
      <c r="C2346">
        <v>4384.1271580000002</v>
      </c>
      <c r="D2346">
        <v>1.853667</v>
      </c>
      <c r="E2346">
        <f>LN(D2346/参数实验室!$E$53)/参数实验室!$E$55</f>
        <v>3.5135107130307722E-2</v>
      </c>
      <c r="F2346">
        <f t="shared" si="308"/>
        <v>5.5048827521606416</v>
      </c>
      <c r="G2346">
        <f>LN(F2346/参数实验室!$E$58)/参数实验室!$E$59</f>
        <v>0.70467964859783672</v>
      </c>
      <c r="H2346" s="856">
        <f>INDEX(神经网络!$G$10:$BO$70,MATCH(ROUND(G2346*2,1)/2,神经网络!$E$10:$E$70,0),MATCH(ROUND(E2346*2,1)/2,神经网络!$G$8:$BO$8,0))</f>
        <v>1.626531289104566</v>
      </c>
      <c r="I2346">
        <f t="shared" si="310"/>
        <v>1153.2777815974987</v>
      </c>
      <c r="J2346">
        <f t="shared" si="311"/>
        <v>317.7873987470569</v>
      </c>
      <c r="K2346">
        <f t="shared" si="312"/>
        <v>3.629085942817547</v>
      </c>
      <c r="L2346" s="4">
        <f>MIN(MAX(L2345*(1+MAX(MIN(((B2346-B2345)/B2345)/($K$7*卓尔金历!$N$40),0),-卓尔金历!$M$43))+MIN(MAX(((B2346-B2345)/B2345)/($K$7*卓尔金历!$N$40),0),卓尔金历!$M$43),0),1)</f>
        <v>0.5827214311662624</v>
      </c>
      <c r="M2346" s="4">
        <f>MIN(MAX(M2345*(1+MAX(MIN(((B2346-B2345)/B2345)/($K$7*30),0),-卓尔金历!$M$43))+MIN(MAX(((B2346-B2345)/B2345)/($K$7*7),0),卓尔金历!$M$43),0),1)</f>
        <v>1</v>
      </c>
      <c r="N2346">
        <f t="shared" si="313"/>
        <v>1295.119725072147</v>
      </c>
      <c r="O2346">
        <f t="shared" si="314"/>
        <v>2834.1061080369791</v>
      </c>
      <c r="P2346">
        <f t="shared" si="315"/>
        <v>3.8138614532509378E-2</v>
      </c>
      <c r="Q2346">
        <f t="shared" si="306"/>
        <v>4.9383843105130498E-2</v>
      </c>
      <c r="R2346">
        <f t="shared" si="307"/>
        <v>0.3220924433823032</v>
      </c>
      <c r="S2346">
        <f t="shared" si="309"/>
        <v>21.076973255531222</v>
      </c>
      <c r="T2346" s="564">
        <f>IF((I2346-MAX(I$470:I2346))/MAX(I$470:I2346)&gt;T2345,T2345,(I2346-MAX(I$470:I2346))/MAX(I$470:I2346))</f>
        <v>-0.91338805338419748</v>
      </c>
      <c r="U2346" s="564">
        <f>IF((J2346-MAX(J$470:J2346))/MAX(J$470:J2346)&gt;U2345,U2345,(J2346-MAX(J$470:J2346))/MAX(J$470:J2346))</f>
        <v>-0.8283551177402233</v>
      </c>
      <c r="V2346" s="564">
        <f>IF((K2346-MAX(K$470:K2346))/MAX(K$470:K2346)&gt;V2345,V2345,(K2346-MAX(K$470:K2346))/MAX(K$470:K2346))</f>
        <v>-0.84885940676762139</v>
      </c>
      <c r="W2346" s="564">
        <f>IF((N2346-MAX(N$470:N2346))/MAX(N$470:N2346)&gt;W2345,W2345,(N2346-MAX(N$470:N2346))/MAX(N$470:N2346))</f>
        <v>-0.62788758315546067</v>
      </c>
      <c r="X2346" s="564">
        <f>IF((O2346-MAX(O$470:O2346))/MAX(O$470:O2346)&gt;X2345,X2345,(O2346-MAX(O$470:O2346))/MAX(O$470:O2346))</f>
        <v>-0.62788758315546067</v>
      </c>
    </row>
    <row r="2347" spans="1:24">
      <c r="A2347" s="799">
        <v>42749</v>
      </c>
      <c r="B2347">
        <v>833.93399999999997</v>
      </c>
      <c r="C2347">
        <v>4257.9013960000002</v>
      </c>
      <c r="D2347">
        <v>1.8388960000000001</v>
      </c>
      <c r="E2347">
        <f>LN(D2347/参数实验室!$E$53)/参数实验室!$E$55</f>
        <v>2.5696552870620386E-2</v>
      </c>
      <c r="F2347">
        <f t="shared" si="308"/>
        <v>5.10580141354112</v>
      </c>
      <c r="G2347">
        <f>LN(F2347/参数实验室!$E$58)/参数实验室!$E$59</f>
        <v>0.66518015876313275</v>
      </c>
      <c r="H2347" s="856">
        <f>INDEX(神经网络!$G$10:$BO$70,MATCH(ROUND(G2347*2,1)/2,神经网络!$E$10:$E$70,0),MATCH(ROUND(E2347*2,1)/2,神经网络!$G$8:$BO$8,0))</f>
        <v>1.5945042963547456</v>
      </c>
      <c r="I2347">
        <f t="shared" si="310"/>
        <v>1241.6681870366988</v>
      </c>
      <c r="J2347">
        <f t="shared" si="311"/>
        <v>332.76166154582785</v>
      </c>
      <c r="K2347">
        <f t="shared" si="312"/>
        <v>3.7314039762531253</v>
      </c>
      <c r="L2347" s="4">
        <f>MIN(MAX(L2346*(1+MAX(MIN(((B2347-B2346)/B2346)/($K$7*卓尔金历!$N$40),0),-卓尔金历!$M$43))+MIN(MAX(((B2347-B2346)/B2346)/($K$7*卓尔金历!$N$40),0),卓尔金历!$M$43),0),1)</f>
        <v>1</v>
      </c>
      <c r="M2347" s="4">
        <f>MIN(MAX(M2346*(1+MAX(MIN(((B2347-B2346)/B2346)/($K$7*30),0),-卓尔金历!$M$43))+MIN(MAX(((B2347-B2346)/B2346)/($K$7*7),0),卓尔金历!$M$43),0),1)</f>
        <v>1</v>
      </c>
      <c r="N2347">
        <f t="shared" si="313"/>
        <v>1352.9615663445004</v>
      </c>
      <c r="O2347">
        <f t="shared" si="314"/>
        <v>3051.3198547547072</v>
      </c>
      <c r="P2347">
        <f t="shared" si="315"/>
        <v>4.7120379403998117E-2</v>
      </c>
      <c r="Q2347">
        <f t="shared" si="306"/>
        <v>5.0404744841548769E-2</v>
      </c>
      <c r="R2347">
        <f t="shared" si="307"/>
        <v>0.12009103593075632</v>
      </c>
      <c r="S2347">
        <f t="shared" si="309"/>
        <v>21.597280629781924</v>
      </c>
      <c r="T2347" s="564">
        <f>IF((I2347-MAX(I$470:I2347))/MAX(I$470:I2347)&gt;T2346,T2346,(I2347-MAX(I$470:I2347))/MAX(I$470:I2347))</f>
        <v>-0.91338805338419748</v>
      </c>
      <c r="U2347" s="564">
        <f>IF((J2347-MAX(J$470:J2347))/MAX(J$470:J2347)&gt;U2346,U2346,(J2347-MAX(J$470:J2347))/MAX(J$470:J2347))</f>
        <v>-0.8283551177402233</v>
      </c>
      <c r="V2347" s="564">
        <f>IF((K2347-MAX(K$470:K2347))/MAX(K$470:K2347)&gt;V2346,V2346,(K2347-MAX(K$470:K2347))/MAX(K$470:K2347))</f>
        <v>-0.84885940676762139</v>
      </c>
      <c r="W2347" s="564">
        <f>IF((N2347-MAX(N$470:N2347))/MAX(N$470:N2347)&gt;W2346,W2346,(N2347-MAX(N$470:N2347))/MAX(N$470:N2347))</f>
        <v>-0.62788758315546067</v>
      </c>
      <c r="X2347" s="564">
        <f>IF((O2347-MAX(O$470:O2347))/MAX(O$470:O2347)&gt;X2346,X2346,(O2347-MAX(O$470:O2347))/MAX(O$470:O2347))</f>
        <v>-0.62788758315546067</v>
      </c>
    </row>
    <row r="2348" spans="1:24">
      <c r="A2348" s="799">
        <v>42750</v>
      </c>
      <c r="B2348">
        <v>821.69</v>
      </c>
      <c r="C2348">
        <v>4166.1321790000002</v>
      </c>
      <c r="D2348">
        <v>1.8482350000000001</v>
      </c>
      <c r="E2348">
        <f>LN(D2348/参数实验室!$E$53)/参数实验室!$E$55</f>
        <v>3.1672873813140656E-2</v>
      </c>
      <c r="F2348">
        <f t="shared" si="308"/>
        <v>5.0701994413951734</v>
      </c>
      <c r="G2348">
        <f>LN(F2348/参数实验室!$E$58)/参数实验室!$E$59</f>
        <v>0.66150761283279735</v>
      </c>
      <c r="H2348" s="856">
        <f>INDEX(神经网络!$G$10:$BO$70,MATCH(ROUND(G2348*2,1)/2,神经网络!$E$10:$E$70,0),MATCH(ROUND(E2348*2,1)/2,神经网络!$G$8:$BO$8,0))</f>
        <v>1.5945042963547456</v>
      </c>
      <c r="I2348">
        <f t="shared" si="310"/>
        <v>1212.5996692047238</v>
      </c>
      <c r="J2348">
        <f t="shared" si="311"/>
        <v>327.87598260244971</v>
      </c>
      <c r="K2348">
        <f t="shared" si="312"/>
        <v>3.6983485633194526</v>
      </c>
      <c r="L2348" s="4">
        <f>MIN(MAX(L2347*(1+MAX(MIN(((B2348-B2347)/B2347)/($K$7*卓尔金历!$N$40),0),-卓尔金历!$M$43))+MIN(MAX(((B2348-B2347)/B2347)/($K$7*卓尔金历!$N$40),0),卓尔金历!$M$43),0),1)</f>
        <v>0.77566981282431446</v>
      </c>
      <c r="M2348" s="4">
        <f>MIN(MAX(M2347*(1+MAX(MIN(((B2348-B2347)/B2347)/($K$7*30),0),-卓尔金历!$M$43))+MIN(MAX(((B2348-B2347)/B2347)/($K$7*7),0),卓尔金历!$M$43),0),1)</f>
        <v>0.88783490641215723</v>
      </c>
      <c r="N2348">
        <f t="shared" si="313"/>
        <v>1321.2875749932994</v>
      </c>
      <c r="O2348">
        <f t="shared" si="314"/>
        <v>2979.885838376566</v>
      </c>
      <c r="P2348">
        <f t="shared" si="315"/>
        <v>-1.4682217057944532E-2</v>
      </c>
      <c r="Q2348">
        <f t="shared" ref="Q2348:Q2411" si="316">STDEVP(P2328:P2348)</f>
        <v>5.0215640117156742E-2</v>
      </c>
      <c r="R2348">
        <f t="shared" ref="R2348:R2411" si="317">MIN(Q2347*MAX(1-LN(MAX(ABS(P2348),0.0001)/Q2348),0)+MAX(-LN(MAX(ABS(P2348),0.0001)/Q2348),0),1)</f>
        <v>1</v>
      </c>
      <c r="S2348">
        <f t="shared" si="309"/>
        <v>21.536561296160556</v>
      </c>
      <c r="T2348" s="564">
        <f>IF((I2348-MAX(I$470:I2348))/MAX(I$470:I2348)&gt;T2347,T2347,(I2348-MAX(I$470:I2348))/MAX(I$470:I2348))</f>
        <v>-0.91338805338419748</v>
      </c>
      <c r="U2348" s="564">
        <f>IF((J2348-MAX(J$470:J2348))/MAX(J$470:J2348)&gt;U2347,U2347,(J2348-MAX(J$470:J2348))/MAX(J$470:J2348))</f>
        <v>-0.8283551177402233</v>
      </c>
      <c r="V2348" s="564">
        <f>IF((K2348-MAX(K$470:K2348))/MAX(K$470:K2348)&gt;V2347,V2347,(K2348-MAX(K$470:K2348))/MAX(K$470:K2348))</f>
        <v>-0.84885940676762139</v>
      </c>
      <c r="W2348" s="564">
        <f>IF((N2348-MAX(N$470:N2348))/MAX(N$470:N2348)&gt;W2347,W2347,(N2348-MAX(N$470:N2348))/MAX(N$470:N2348))</f>
        <v>-0.62788758315546067</v>
      </c>
      <c r="X2348" s="564">
        <f>IF((O2348-MAX(O$470:O2348))/MAX(O$470:O2348)&gt;X2347,X2347,(O2348-MAX(O$470:O2348))/MAX(O$470:O2348))</f>
        <v>-0.62788758315546067</v>
      </c>
    </row>
    <row r="2349" spans="1:24">
      <c r="A2349" s="799">
        <v>42751</v>
      </c>
      <c r="B2349">
        <v>826.10799999999995</v>
      </c>
      <c r="C2349">
        <v>4100.8164859999997</v>
      </c>
      <c r="D2349">
        <v>1.8615520000000001</v>
      </c>
      <c r="E2349">
        <f>LN(D2349/参数实验室!$E$53)/参数实验室!$E$55</f>
        <v>4.0142816390976915E-2</v>
      </c>
      <c r="F2349">
        <f t="shared" si="308"/>
        <v>4.9640198206529895</v>
      </c>
      <c r="G2349">
        <f>LN(F2349/参数实验室!$E$58)/参数实验室!$E$59</f>
        <v>0.65039944746924971</v>
      </c>
      <c r="H2349" s="856">
        <f>INDEX(神经网络!$G$10:$BO$70,MATCH(ROUND(G2349*2,1)/2,神经网络!$E$10:$E$70,0),MATCH(ROUND(E2349*2,1)/2,神经网络!$G$8:$BO$8,0))</f>
        <v>1.5945042963547456</v>
      </c>
      <c r="I2349">
        <f t="shared" si="310"/>
        <v>1222.9955394222322</v>
      </c>
      <c r="J2349">
        <f t="shared" si="311"/>
        <v>329.63888113004236</v>
      </c>
      <c r="K2349">
        <f t="shared" si="312"/>
        <v>3.7101070578496507</v>
      </c>
      <c r="L2349" s="4">
        <f>MIN(MAX(L2348*(1+MAX(MIN(((B2349-B2348)/B2348)/($K$7*卓尔金历!$N$40),0),-卓尔金历!$M$43))+MIN(MAX(((B2349-B2348)/B2348)/($K$7*卓尔金历!$N$40),0),卓尔金历!$M$43),0),1)</f>
        <v>0.85782098949989372</v>
      </c>
      <c r="M2349" s="4">
        <f>MIN(MAX(M2348*(1+MAX(MIN(((B2349-B2348)/B2348)/($K$7*30),0),-卓尔金历!$M$43))+MIN(MAX(((B2349-B2348)/B2348)/($K$7*7),0),卓尔金历!$M$43),0),1)</f>
        <v>1</v>
      </c>
      <c r="N2349">
        <f t="shared" si="313"/>
        <v>1330.0741100232844</v>
      </c>
      <c r="O2349">
        <f t="shared" si="314"/>
        <v>3002.5675197783744</v>
      </c>
      <c r="P2349">
        <f t="shared" si="315"/>
        <v>5.376723581885982E-3</v>
      </c>
      <c r="Q2349">
        <f t="shared" si="316"/>
        <v>4.9646573409585726E-2</v>
      </c>
      <c r="R2349">
        <f t="shared" si="317"/>
        <v>1</v>
      </c>
      <c r="S2349">
        <f t="shared" si="309"/>
        <v>21.721198734098451</v>
      </c>
      <c r="T2349" s="564">
        <f>IF((I2349-MAX(I$470:I2349))/MAX(I$470:I2349)&gt;T2348,T2348,(I2349-MAX(I$470:I2349))/MAX(I$470:I2349))</f>
        <v>-0.91338805338419748</v>
      </c>
      <c r="U2349" s="564">
        <f>IF((J2349-MAX(J$470:J2349))/MAX(J$470:J2349)&gt;U2348,U2348,(J2349-MAX(J$470:J2349))/MAX(J$470:J2349))</f>
        <v>-0.8283551177402233</v>
      </c>
      <c r="V2349" s="564">
        <f>IF((K2349-MAX(K$470:K2349))/MAX(K$470:K2349)&gt;V2348,V2348,(K2349-MAX(K$470:K2349))/MAX(K$470:K2349))</f>
        <v>-0.84885940676762139</v>
      </c>
      <c r="W2349" s="564">
        <f>IF((N2349-MAX(N$470:N2349))/MAX(N$470:N2349)&gt;W2348,W2348,(N2349-MAX(N$470:N2349))/MAX(N$470:N2349))</f>
        <v>-0.62788758315546067</v>
      </c>
      <c r="X2349" s="564">
        <f>IF((O2349-MAX(O$470:O2349))/MAX(O$470:O2349)&gt;X2348,X2348,(O2349-MAX(O$470:O2349))/MAX(O$470:O2349))</f>
        <v>-0.62788758315546067</v>
      </c>
    </row>
    <row r="2350" spans="1:24">
      <c r="A2350" s="799">
        <v>42752</v>
      </c>
      <c r="B2350">
        <v>886.75400000000002</v>
      </c>
      <c r="C2350">
        <v>4057.6238250000001</v>
      </c>
      <c r="D2350">
        <v>2.0228739999999998</v>
      </c>
      <c r="E2350">
        <f>LN(D2350/参数实验室!$E$53)/参数实验室!$E$55</f>
        <v>0.13819060325853294</v>
      </c>
      <c r="F2350">
        <f t="shared" si="308"/>
        <v>4.5758167710548809</v>
      </c>
      <c r="G2350">
        <f>LN(F2350/参数实验室!$E$58)/参数实验室!$E$59</f>
        <v>0.60766024251584394</v>
      </c>
      <c r="H2350" s="856">
        <f>INDEX(神经网络!$G$10:$BO$70,MATCH(ROUND(G2350*2,1)/2,神经网络!$E$10:$E$70,0),MATCH(ROUND(E2350*2,1)/2,神经网络!$G$8:$BO$8,0))</f>
        <v>1.7237438254898105</v>
      </c>
      <c r="I2350">
        <f t="shared" si="310"/>
        <v>1366.1536311035122</v>
      </c>
      <c r="J2350">
        <f t="shared" si="311"/>
        <v>353.83823470731386</v>
      </c>
      <c r="K2350">
        <f t="shared" si="312"/>
        <v>3.8609553663231457</v>
      </c>
      <c r="L2350" s="4">
        <f>MIN(MAX(L2349*(1+MAX(MIN(((B2350-B2349)/B2349)/($K$7*卓尔金历!$N$40),0),-卓尔金历!$M$43))+MIN(MAX(((B2350-B2349)/B2349)/($K$7*卓尔金历!$N$40),0),卓尔金历!$M$43),0),1)</f>
        <v>1</v>
      </c>
      <c r="M2350" s="4">
        <f>MIN(MAX(M2349*(1+MAX(MIN(((B2350-B2349)/B2349)/($K$7*30),0),-卓尔金历!$M$43))+MIN(MAX(((B2350-B2349)/B2349)/($K$7*7),0),卓尔金历!$M$43),0),1)</f>
        <v>1</v>
      </c>
      <c r="N2350">
        <f t="shared" si="313"/>
        <v>1463.6301507760622</v>
      </c>
      <c r="O2350">
        <f t="shared" si="314"/>
        <v>3354.0339171772821</v>
      </c>
      <c r="P2350">
        <f t="shared" si="315"/>
        <v>7.3411708880679133E-2</v>
      </c>
      <c r="Q2350">
        <f t="shared" si="316"/>
        <v>5.1611377930617069E-2</v>
      </c>
      <c r="R2350">
        <f t="shared" si="317"/>
        <v>3.2154035505605166E-2</v>
      </c>
      <c r="S2350">
        <f t="shared" si="309"/>
        <v>24.263779847086312</v>
      </c>
      <c r="T2350" s="564">
        <f>IF((I2350-MAX(I$470:I2350))/MAX(I$470:I2350)&gt;T2349,T2349,(I2350-MAX(I$470:I2350))/MAX(I$470:I2350))</f>
        <v>-0.91338805338419748</v>
      </c>
      <c r="U2350" s="564">
        <f>IF((J2350-MAX(J$470:J2350))/MAX(J$470:J2350)&gt;U2349,U2349,(J2350-MAX(J$470:J2350))/MAX(J$470:J2350))</f>
        <v>-0.8283551177402233</v>
      </c>
      <c r="V2350" s="564">
        <f>IF((K2350-MAX(K$470:K2350))/MAX(K$470:K2350)&gt;V2349,V2349,(K2350-MAX(K$470:K2350))/MAX(K$470:K2350))</f>
        <v>-0.84885940676762139</v>
      </c>
      <c r="W2350" s="564">
        <f>IF((N2350-MAX(N$470:N2350))/MAX(N$470:N2350)&gt;W2349,W2349,(N2350-MAX(N$470:N2350))/MAX(N$470:N2350))</f>
        <v>-0.62788758315546067</v>
      </c>
      <c r="X2350" s="564">
        <f>IF((O2350-MAX(O$470:O2350))/MAX(O$470:O2350)&gt;X2349,X2349,(O2350-MAX(O$470:O2350))/MAX(O$470:O2350))</f>
        <v>-0.62788758315546067</v>
      </c>
    </row>
    <row r="2351" spans="1:24">
      <c r="A2351" s="799">
        <v>42753</v>
      </c>
      <c r="B2351">
        <v>899.64400000000001</v>
      </c>
      <c r="C2351">
        <v>4061.7529039999999</v>
      </c>
      <c r="D2351">
        <v>1.9664189999999999</v>
      </c>
      <c r="E2351">
        <f>LN(D2351/参数实验室!$E$53)/参数实验室!$E$55</f>
        <v>0.10479751025439982</v>
      </c>
      <c r="F2351">
        <f t="shared" si="308"/>
        <v>4.514844654107625</v>
      </c>
      <c r="G2351">
        <f>LN(F2351/参数实验室!$E$58)/参数实验室!$E$59</f>
        <v>0.60061962347231213</v>
      </c>
      <c r="H2351" s="856">
        <f>INDEX(神经网络!$G$10:$BO$70,MATCH(ROUND(G2351*2,1)/2,神经网络!$E$10:$E$70,0),MATCH(ROUND(E2351*2,1)/2,神经网络!$G$8:$BO$8,0))</f>
        <v>1.6431473264628604</v>
      </c>
      <c r="I2351">
        <f t="shared" si="310"/>
        <v>1400.3848233442188</v>
      </c>
      <c r="J2351">
        <f t="shared" si="311"/>
        <v>358.98168468935768</v>
      </c>
      <c r="K2351">
        <f t="shared" si="312"/>
        <v>3.9009923989744273</v>
      </c>
      <c r="L2351" s="4">
        <f>MIN(MAX(L2350*(1+MAX(MIN(((B2351-B2350)/B2350)/($K$7*卓尔金历!$N$40),0),-卓尔金历!$M$43))+MIN(MAX(((B2351-B2350)/B2350)/($K$7*卓尔金历!$N$40),0),卓尔金历!$M$43),0),1)</f>
        <v>1</v>
      </c>
      <c r="M2351" s="4">
        <f>MIN(MAX(M2350*(1+MAX(MIN(((B2351-B2350)/B2350)/($K$7*30),0),-卓尔金历!$M$43))+MIN(MAX(((B2351-B2350)/B2350)/($K$7*7),0),卓尔金历!$M$43),0),1)</f>
        <v>1</v>
      </c>
      <c r="N2351">
        <f t="shared" si="313"/>
        <v>1500.3037751180334</v>
      </c>
      <c r="O2351">
        <f t="shared" si="314"/>
        <v>3438.0746701254011</v>
      </c>
      <c r="P2351">
        <f t="shared" si="315"/>
        <v>1.4536162227630196E-2</v>
      </c>
      <c r="Q2351">
        <f t="shared" si="316"/>
        <v>5.1199959911339729E-2</v>
      </c>
      <c r="R2351">
        <f t="shared" si="317"/>
        <v>1</v>
      </c>
      <c r="S2351">
        <f t="shared" si="309"/>
        <v>24.28332848166831</v>
      </c>
      <c r="T2351" s="564">
        <f>IF((I2351-MAX(I$470:I2351))/MAX(I$470:I2351)&gt;T2350,T2350,(I2351-MAX(I$470:I2351))/MAX(I$470:I2351))</f>
        <v>-0.91338805338419748</v>
      </c>
      <c r="U2351" s="564">
        <f>IF((J2351-MAX(J$470:J2351))/MAX(J$470:J2351)&gt;U2350,U2350,(J2351-MAX(J$470:J2351))/MAX(J$470:J2351))</f>
        <v>-0.8283551177402233</v>
      </c>
      <c r="V2351" s="564">
        <f>IF((K2351-MAX(K$470:K2351))/MAX(K$470:K2351)&gt;V2350,V2350,(K2351-MAX(K$470:K2351))/MAX(K$470:K2351))</f>
        <v>-0.84885940676762139</v>
      </c>
      <c r="W2351" s="564">
        <f>IF((N2351-MAX(N$470:N2351))/MAX(N$470:N2351)&gt;W2350,W2350,(N2351-MAX(N$470:N2351))/MAX(N$470:N2351))</f>
        <v>-0.62788758315546067</v>
      </c>
      <c r="X2351" s="564">
        <f>IF((O2351-MAX(O$470:O2351))/MAX(O$470:O2351)&gt;X2350,X2350,(O2351-MAX(O$470:O2351))/MAX(O$470:O2351))</f>
        <v>-0.62788758315546067</v>
      </c>
    </row>
    <row r="2352" spans="1:24">
      <c r="A2352" s="799">
        <v>42754</v>
      </c>
      <c r="B2352">
        <v>891.01400000000001</v>
      </c>
      <c r="C2352">
        <v>3970.6109000000001</v>
      </c>
      <c r="D2352">
        <v>2.0100380000000002</v>
      </c>
      <c r="E2352">
        <f>LN(D2352/参数实验室!$E$53)/参数实验室!$E$55</f>
        <v>0.13068071274997423</v>
      </c>
      <c r="F2352">
        <f t="shared" si="308"/>
        <v>4.4562834029543872</v>
      </c>
      <c r="G2352">
        <f>LN(F2352/参数实验室!$E$58)/参数实验室!$E$59</f>
        <v>0.59376729769528913</v>
      </c>
      <c r="H2352" s="856">
        <f>INDEX(神经网络!$G$10:$BO$70,MATCH(ROUND(G2352*2,1)/2,神经网络!$E$10:$E$70,0),MATCH(ROUND(E2352*2,1)/2,神经网络!$G$8:$BO$8,0))</f>
        <v>1.7237438254898105</v>
      </c>
      <c r="I2352">
        <f t="shared" si="310"/>
        <v>1378.3116889350181</v>
      </c>
      <c r="J2352">
        <f t="shared" si="311"/>
        <v>355.53808706755484</v>
      </c>
      <c r="K2352">
        <f t="shared" si="312"/>
        <v>3.8766920874868993</v>
      </c>
      <c r="L2352" s="4">
        <f>MIN(MAX(L2351*(1+MAX(MIN(((B2352-B2351)/B2351)/($K$7*卓尔金历!$N$40),0),-卓尔金历!$M$43))+MIN(MAX(((B2352-B2351)/B2351)/($K$7*卓尔金历!$N$40),0),卓尔金历!$M$43),0),1)</f>
        <v>0.85343300415661272</v>
      </c>
      <c r="M2352" s="4">
        <f>MIN(MAX(M2351*(1+MAX(MIN(((B2352-B2351)/B2351)/($K$7*30),0),-卓尔金历!$M$43))+MIN(MAX(((B2352-B2351)/B2351)/($K$7*7),0),卓尔金历!$M$43),0),1)</f>
        <v>0.92671650207830636</v>
      </c>
      <c r="N2352">
        <f t="shared" si="313"/>
        <v>1476.6556990101196</v>
      </c>
      <c r="O2352">
        <f t="shared" si="314"/>
        <v>3383.8830771878843</v>
      </c>
      <c r="P2352">
        <f t="shared" si="315"/>
        <v>-9.5926833280719874E-3</v>
      </c>
      <c r="Q2352">
        <f t="shared" si="316"/>
        <v>5.1109622099201168E-2</v>
      </c>
      <c r="R2352">
        <f t="shared" si="317"/>
        <v>1</v>
      </c>
      <c r="S2352">
        <f t="shared" si="309"/>
        <v>23.900569996612319</v>
      </c>
      <c r="T2352" s="564">
        <f>IF((I2352-MAX(I$470:I2352))/MAX(I$470:I2352)&gt;T2351,T2351,(I2352-MAX(I$470:I2352))/MAX(I$470:I2352))</f>
        <v>-0.91338805338419748</v>
      </c>
      <c r="U2352" s="564">
        <f>IF((J2352-MAX(J$470:J2352))/MAX(J$470:J2352)&gt;U2351,U2351,(J2352-MAX(J$470:J2352))/MAX(J$470:J2352))</f>
        <v>-0.8283551177402233</v>
      </c>
      <c r="V2352" s="564">
        <f>IF((K2352-MAX(K$470:K2352))/MAX(K$470:K2352)&gt;V2351,V2351,(K2352-MAX(K$470:K2352))/MAX(K$470:K2352))</f>
        <v>-0.84885940676762139</v>
      </c>
      <c r="W2352" s="564">
        <f>IF((N2352-MAX(N$470:N2352))/MAX(N$470:N2352)&gt;W2351,W2351,(N2352-MAX(N$470:N2352))/MAX(N$470:N2352))</f>
        <v>-0.62788758315546067</v>
      </c>
      <c r="X2352" s="564">
        <f>IF((O2352-MAX(O$470:O2352))/MAX(O$470:O2352)&gt;X2351,X2351,(O2352-MAX(O$470:O2352))/MAX(O$470:O2352))</f>
        <v>-0.62788758315546067</v>
      </c>
    </row>
    <row r="2353" spans="1:24">
      <c r="A2353" s="799">
        <v>42755</v>
      </c>
      <c r="B2353">
        <v>891.94200000000001</v>
      </c>
      <c r="C2353">
        <v>3897.1757050000001</v>
      </c>
      <c r="D2353">
        <v>1.9926330000000001</v>
      </c>
      <c r="E2353">
        <f>LN(D2353/参数实验室!$E$53)/参数实验室!$E$55</f>
        <v>0.12042069656074952</v>
      </c>
      <c r="F2353">
        <f t="shared" si="308"/>
        <v>4.3693151628693343</v>
      </c>
      <c r="G2353">
        <f>LN(F2353/参数实验室!$E$58)/参数实验室!$E$59</f>
        <v>0.58342304520796717</v>
      </c>
      <c r="H2353" s="856">
        <f>INDEX(神经网络!$G$10:$BO$70,MATCH(ROUND(G2353*2,1)/2,神经网络!$E$10:$E$70,0),MATCH(ROUND(E2353*2,1)/2,神经网络!$G$8:$BO$8,0))</f>
        <v>1.6431473264628604</v>
      </c>
      <c r="I2353">
        <f t="shared" si="310"/>
        <v>1380.7861670155389</v>
      </c>
      <c r="J2353">
        <f t="shared" si="311"/>
        <v>355.90838354415195</v>
      </c>
      <c r="K2353">
        <f t="shared" si="312"/>
        <v>3.8796112450783182</v>
      </c>
      <c r="L2353" s="4">
        <f>MIN(MAX(L2352*(1+MAX(MIN(((B2353-B2352)/B2352)/($K$7*卓尔金历!$N$40),0),-卓尔金历!$M$43))+MIN(MAX(((B2353-B2352)/B2352)/($K$7*卓尔金历!$N$40),0),卓尔金历!$M$43),0),1)</f>
        <v>0.86934627764616401</v>
      </c>
      <c r="M2353" s="4">
        <f>MIN(MAX(M2352*(1+MAX(MIN(((B2353-B2352)/B2352)/($K$7*30),0),-卓尔金历!$M$43))+MIN(MAX(((B2353-B2352)/B2352)/($K$7*7),0),卓尔金历!$M$43),0),1)</f>
        <v>0.96081637384163043</v>
      </c>
      <c r="N2353">
        <f t="shared" si="313"/>
        <v>1478.918179546062</v>
      </c>
      <c r="O2353">
        <f t="shared" si="314"/>
        <v>3389.5129478401209</v>
      </c>
      <c r="P2353">
        <f t="shared" si="315"/>
        <v>1.0415100099437241E-3</v>
      </c>
      <c r="Q2353">
        <f t="shared" si="316"/>
        <v>5.0877191905491524E-2</v>
      </c>
      <c r="R2353">
        <f t="shared" si="317"/>
        <v>1</v>
      </c>
      <c r="S2353">
        <f t="shared" si="309"/>
        <v>23.943478605052164</v>
      </c>
      <c r="T2353" s="564">
        <f>IF((I2353-MAX(I$470:I2353))/MAX(I$470:I2353)&gt;T2352,T2352,(I2353-MAX(I$470:I2353))/MAX(I$470:I2353))</f>
        <v>-0.91338805338419748</v>
      </c>
      <c r="U2353" s="564">
        <f>IF((J2353-MAX(J$470:J2353))/MAX(J$470:J2353)&gt;U2352,U2352,(J2353-MAX(J$470:J2353))/MAX(J$470:J2353))</f>
        <v>-0.8283551177402233</v>
      </c>
      <c r="V2353" s="564">
        <f>IF((K2353-MAX(K$470:K2353))/MAX(K$470:K2353)&gt;V2352,V2352,(K2353-MAX(K$470:K2353))/MAX(K$470:K2353))</f>
        <v>-0.84885940676762139</v>
      </c>
      <c r="W2353" s="564">
        <f>IF((N2353-MAX(N$470:N2353))/MAX(N$470:N2353)&gt;W2352,W2352,(N2353-MAX(N$470:N2353))/MAX(N$470:N2353))</f>
        <v>-0.62788758315546067</v>
      </c>
      <c r="X2353" s="564">
        <f>IF((O2353-MAX(O$470:O2353))/MAX(O$470:O2353)&gt;X2352,X2352,(O2353-MAX(O$470:O2353))/MAX(O$470:O2353))</f>
        <v>-0.62788758315546067</v>
      </c>
    </row>
    <row r="2354" spans="1:24">
      <c r="A2354" s="799">
        <v>42756</v>
      </c>
      <c r="B2354">
        <v>926.03399999999999</v>
      </c>
      <c r="C2354">
        <v>3844.8887450000002</v>
      </c>
      <c r="D2354">
        <v>2.0542189999999998</v>
      </c>
      <c r="E2354">
        <f>LN(D2354/参数实验室!$E$53)/参数实验室!$E$55</f>
        <v>0.15633102538375093</v>
      </c>
      <c r="F2354">
        <f t="shared" si="308"/>
        <v>4.1519952237174875</v>
      </c>
      <c r="G2354">
        <f>LN(F2354/参数实验室!$E$58)/参数实验室!$E$59</f>
        <v>0.55664641532434167</v>
      </c>
      <c r="H2354" s="856">
        <f>INDEX(神经网络!$G$10:$BO$70,MATCH(ROUND(G2354*2,1)/2,神经网络!$E$10:$E$70,0),MATCH(ROUND(E2354*2,1)/2,神经网络!$G$8:$BO$8,0))</f>
        <v>1.6807375869850929</v>
      </c>
      <c r="I2354">
        <f t="shared" si="310"/>
        <v>1467.5060727790676</v>
      </c>
      <c r="J2354">
        <f t="shared" si="311"/>
        <v>369.51199074258773</v>
      </c>
      <c r="K2354">
        <f t="shared" si="312"/>
        <v>3.9714707764419286</v>
      </c>
      <c r="L2354" s="4">
        <f>MIN(MAX(L2353*(1+MAX(MIN(((B2354-B2353)/B2353)/($K$7*卓尔金历!$N$40),0),-卓尔金历!$M$43))+MIN(MAX(((B2354-B2353)/B2353)/($K$7*卓尔金历!$N$40),0),卓尔金历!$M$43),0),1)</f>
        <v>1</v>
      </c>
      <c r="M2354" s="4">
        <f>MIN(MAX(M2353*(1+MAX(MIN(((B2354-B2353)/B2353)/($K$7*30),0),-卓尔金历!$M$43))+MIN(MAX(((B2354-B2353)/B2353)/($K$7*7),0),卓尔金历!$M$43),0),1)</f>
        <v>1</v>
      </c>
      <c r="N2354">
        <f t="shared" si="313"/>
        <v>1559.665722494545</v>
      </c>
      <c r="O2354">
        <f t="shared" si="314"/>
        <v>3594.0490910342046</v>
      </c>
      <c r="P2354">
        <f t="shared" si="315"/>
        <v>3.8222216242760162E-2</v>
      </c>
      <c r="Q2354">
        <f t="shared" si="316"/>
        <v>5.1577311487014811E-2</v>
      </c>
      <c r="R2354">
        <f t="shared" si="317"/>
        <v>0.36578825552188271</v>
      </c>
      <c r="S2354">
        <f t="shared" si="309"/>
        <v>25.447242372304494</v>
      </c>
      <c r="T2354" s="564">
        <f>IF((I2354-MAX(I$470:I2354))/MAX(I$470:I2354)&gt;T2353,T2353,(I2354-MAX(I$470:I2354))/MAX(I$470:I2354))</f>
        <v>-0.91338805338419748</v>
      </c>
      <c r="U2354" s="564">
        <f>IF((J2354-MAX(J$470:J2354))/MAX(J$470:J2354)&gt;U2353,U2353,(J2354-MAX(J$470:J2354))/MAX(J$470:J2354))</f>
        <v>-0.8283551177402233</v>
      </c>
      <c r="V2354" s="564">
        <f>IF((K2354-MAX(K$470:K2354))/MAX(K$470:K2354)&gt;V2353,V2353,(K2354-MAX(K$470:K2354))/MAX(K$470:K2354))</f>
        <v>-0.84885940676762139</v>
      </c>
      <c r="W2354" s="564">
        <f>IF((N2354-MAX(N$470:N2354))/MAX(N$470:N2354)&gt;W2353,W2353,(N2354-MAX(N$470:N2354))/MAX(N$470:N2354))</f>
        <v>-0.62788758315546067</v>
      </c>
      <c r="X2354" s="564">
        <f>IF((O2354-MAX(O$470:O2354))/MAX(O$470:O2354)&gt;X2353,X2353,(O2354-MAX(O$470:O2354))/MAX(O$470:O2354))</f>
        <v>-0.62788758315546067</v>
      </c>
    </row>
    <row r="2355" spans="1:24">
      <c r="A2355" s="799">
        <v>42757</v>
      </c>
      <c r="B2355">
        <v>909.04</v>
      </c>
      <c r="C2355">
        <v>3793.4823419999998</v>
      </c>
      <c r="D2355">
        <v>2.046351</v>
      </c>
      <c r="E2355">
        <f>LN(D2355/参数实验室!$E$53)/参数实验室!$E$55</f>
        <v>0.15180369873651361</v>
      </c>
      <c r="F2355">
        <f t="shared" si="308"/>
        <v>4.1730642677989964</v>
      </c>
      <c r="G2355">
        <f>LN(F2355/参数实验室!$E$58)/参数实验室!$E$59</f>
        <v>0.55930302014269218</v>
      </c>
      <c r="H2355" s="856">
        <f>INDEX(神经网络!$G$10:$BO$70,MATCH(ROUND(G2355*2,1)/2,神经网络!$E$10:$E$70,0),MATCH(ROUND(E2355*2,1)/2,神经网络!$G$8:$BO$8,0))</f>
        <v>1.6807375869850929</v>
      </c>
      <c r="I2355">
        <f t="shared" si="310"/>
        <v>1422.2425343881084</v>
      </c>
      <c r="J2355">
        <f t="shared" si="311"/>
        <v>362.73093651490325</v>
      </c>
      <c r="K2355">
        <f t="shared" si="312"/>
        <v>3.9209297890412329</v>
      </c>
      <c r="L2355" s="4">
        <f>MIN(MAX(L2354*(1+MAX(MIN(((B2355-B2354)/B2354)/($K$7*卓尔金历!$N$40),0),-卓尔金历!$M$43))+MIN(MAX(((B2355-B2354)/B2354)/($K$7*卓尔金历!$N$40),0),卓尔金历!$M$43),0),1)</f>
        <v>0.71960855424513381</v>
      </c>
      <c r="M2355" s="4">
        <f>MIN(MAX(M2354*(1+MAX(MIN(((B2355-B2354)/B2354)/($K$7*30),0),-卓尔金历!$M$43))+MIN(MAX(((B2355-B2354)/B2354)/($K$7*7),0),卓尔金历!$M$43),0),1)</f>
        <v>0.85980427712256691</v>
      </c>
      <c r="N2355">
        <f t="shared" si="313"/>
        <v>1511.5596256158419</v>
      </c>
      <c r="O2355">
        <f t="shared" si="314"/>
        <v>3483.1947770190354</v>
      </c>
      <c r="P2355">
        <f t="shared" si="315"/>
        <v>-1.8351378027156702E-2</v>
      </c>
      <c r="Q2355">
        <f t="shared" si="316"/>
        <v>5.1480800717314729E-2</v>
      </c>
      <c r="R2355">
        <f t="shared" si="317"/>
        <v>1</v>
      </c>
      <c r="S2355">
        <f t="shared" si="309"/>
        <v>25.160138481809334</v>
      </c>
      <c r="T2355" s="564">
        <f>IF((I2355-MAX(I$470:I2355))/MAX(I$470:I2355)&gt;T2354,T2354,(I2355-MAX(I$470:I2355))/MAX(I$470:I2355))</f>
        <v>-0.91338805338419748</v>
      </c>
      <c r="U2355" s="564">
        <f>IF((J2355-MAX(J$470:J2355))/MAX(J$470:J2355)&gt;U2354,U2354,(J2355-MAX(J$470:J2355))/MAX(J$470:J2355))</f>
        <v>-0.8283551177402233</v>
      </c>
      <c r="V2355" s="564">
        <f>IF((K2355-MAX(K$470:K2355))/MAX(K$470:K2355)&gt;V2354,V2354,(K2355-MAX(K$470:K2355))/MAX(K$470:K2355))</f>
        <v>-0.84885940676762139</v>
      </c>
      <c r="W2355" s="564">
        <f>IF((N2355-MAX(N$470:N2355))/MAX(N$470:N2355)&gt;W2354,W2354,(N2355-MAX(N$470:N2355))/MAX(N$470:N2355))</f>
        <v>-0.62788758315546067</v>
      </c>
      <c r="X2355" s="564">
        <f>IF((O2355-MAX(O$470:O2355))/MAX(O$470:O2355)&gt;X2354,X2354,(O2355-MAX(O$470:O2355))/MAX(O$470:O2355))</f>
        <v>-0.62788758315546067</v>
      </c>
    </row>
    <row r="2356" spans="1:24">
      <c r="A2356" s="799">
        <v>42758</v>
      </c>
      <c r="B2356">
        <v>923.95500000000004</v>
      </c>
      <c r="C2356">
        <v>3792.3912289999998</v>
      </c>
      <c r="D2356">
        <v>2.0360960000000001</v>
      </c>
      <c r="E2356">
        <f>LN(D2356/参数实验室!$E$53)/参数实验室!$E$55</f>
        <v>0.14587666773575081</v>
      </c>
      <c r="F2356">
        <f t="shared" si="308"/>
        <v>4.104519407330443</v>
      </c>
      <c r="G2356">
        <f>LN(F2356/参数实验室!$E$58)/参数实验室!$E$59</f>
        <v>0.55061041831496393</v>
      </c>
      <c r="H2356" s="856">
        <f>INDEX(神经网络!$G$10:$BO$70,MATCH(ROUND(G2356*2,1)/2,神经网络!$E$10:$E$70,0),MATCH(ROUND(E2356*2,1)/2,神经网络!$G$8:$BO$8,0))</f>
        <v>1.6807375869850929</v>
      </c>
      <c r="I2356">
        <f t="shared" si="310"/>
        <v>1461.4630988066936</v>
      </c>
      <c r="J2356">
        <f t="shared" si="311"/>
        <v>368.682414907625</v>
      </c>
      <c r="K2356">
        <f t="shared" si="312"/>
        <v>3.9640162907495049</v>
      </c>
      <c r="L2356" s="4">
        <f>MIN(MAX(L2355*(1+MAX(MIN(((B2356-B2355)/B2355)/($K$7*卓尔金历!$N$40),0),-卓尔金历!$M$43))+MIN(MAX(((B2356-B2355)/B2355)/($K$7*卓尔金历!$N$40),0),卓尔金历!$M$43),0),1)</f>
        <v>0.9702981687232819</v>
      </c>
      <c r="M2356" s="4">
        <f>MIN(MAX(M2355*(1+MAX(MIN(((B2356-B2355)/B2355)/($K$7*30),0),-卓尔金历!$M$43))+MIN(MAX(((B2356-B2355)/B2355)/($K$7*7),0),卓尔金历!$M$43),0),1)</f>
        <v>1</v>
      </c>
      <c r="N2356">
        <f t="shared" si="313"/>
        <v>1541.5555173243754</v>
      </c>
      <c r="O2356">
        <f t="shared" si="314"/>
        <v>3565.7828890411479</v>
      </c>
      <c r="P2356">
        <f t="shared" si="315"/>
        <v>1.640741881545375E-2</v>
      </c>
      <c r="Q2356">
        <f t="shared" si="316"/>
        <v>5.0121488869198226E-2</v>
      </c>
      <c r="R2356">
        <f t="shared" si="317"/>
        <v>1</v>
      </c>
      <c r="S2356">
        <f t="shared" si="309"/>
        <v>25.853968688856877</v>
      </c>
      <c r="T2356" s="564">
        <f>IF((I2356-MAX(I$470:I2356))/MAX(I$470:I2356)&gt;T2355,T2355,(I2356-MAX(I$470:I2356))/MAX(I$470:I2356))</f>
        <v>-0.91338805338419748</v>
      </c>
      <c r="U2356" s="564">
        <f>IF((J2356-MAX(J$470:J2356))/MAX(J$470:J2356)&gt;U2355,U2355,(J2356-MAX(J$470:J2356))/MAX(J$470:J2356))</f>
        <v>-0.8283551177402233</v>
      </c>
      <c r="V2356" s="564">
        <f>IF((K2356-MAX(K$470:K2356))/MAX(K$470:K2356)&gt;V2355,V2355,(K2356-MAX(K$470:K2356))/MAX(K$470:K2356))</f>
        <v>-0.84885940676762139</v>
      </c>
      <c r="W2356" s="564">
        <f>IF((N2356-MAX(N$470:N2356))/MAX(N$470:N2356)&gt;W2355,W2355,(N2356-MAX(N$470:N2356))/MAX(N$470:N2356))</f>
        <v>-0.62788758315546067</v>
      </c>
      <c r="X2356" s="564">
        <f>IF((O2356-MAX(O$470:O2356))/MAX(O$470:O2356)&gt;X2355,X2355,(O2356-MAX(O$470:O2356))/MAX(O$470:O2356))</f>
        <v>-0.62788758315546067</v>
      </c>
    </row>
    <row r="2357" spans="1:24">
      <c r="A2357" s="799">
        <v>42759</v>
      </c>
      <c r="B2357">
        <v>907.87900000000002</v>
      </c>
      <c r="C2357">
        <v>3832.2836809999999</v>
      </c>
      <c r="D2357">
        <v>1.9645170000000001</v>
      </c>
      <c r="E2357">
        <f>LN(D2357/参数实验室!$E$53)/参数实验室!$E$55</f>
        <v>0.1036558529772809</v>
      </c>
      <c r="F2357">
        <f t="shared" si="308"/>
        <v>4.2211392498339535</v>
      </c>
      <c r="G2357">
        <f>LN(F2357/参数实验室!$E$58)/参数实验室!$E$59</f>
        <v>0.56531493646606357</v>
      </c>
      <c r="H2357" s="856">
        <f>INDEX(神经网络!$G$10:$BO$70,MATCH(ROUND(G2357*2,1)/2,神经网络!$E$10:$E$70,0),MATCH(ROUND(E2357*2,1)/2,神经网络!$G$8:$BO$8,0))</f>
        <v>1.5995659581669794</v>
      </c>
      <c r="I2357">
        <f t="shared" si="310"/>
        <v>1418.7250250610871</v>
      </c>
      <c r="J2357">
        <f t="shared" si="311"/>
        <v>362.26766689278122</v>
      </c>
      <c r="K2357">
        <f t="shared" si="312"/>
        <v>3.9162341956423643</v>
      </c>
      <c r="L2357" s="4">
        <f>MIN(MAX(L2356*(1+MAX(MIN(((B2357-B2356)/B2356)/($K$7*卓尔金历!$N$40),0),-卓尔金历!$M$43))+MIN(MAX(((B2357-B2356)/B2356)/($K$7*卓尔金历!$N$40),0),卓尔金历!$M$43),0),1)</f>
        <v>0.7123523646815767</v>
      </c>
      <c r="M2357" s="4">
        <f>MIN(MAX(M2356*(1+MAX(MIN(((B2357-B2356)/B2356)/($K$7*30),0),-卓尔金历!$M$43))+MIN(MAX(((B2357-B2356)/B2356)/($K$7*7),0),卓尔金历!$M$43),0),1)</f>
        <v>0.86707910395156662</v>
      </c>
      <c r="N2357">
        <f t="shared" si="313"/>
        <v>1497.8142389322729</v>
      </c>
      <c r="O2357">
        <f t="shared" si="314"/>
        <v>3461.5074597148141</v>
      </c>
      <c r="P2357">
        <f t="shared" si="315"/>
        <v>-1.7399115757802081E-2</v>
      </c>
      <c r="Q2357">
        <f t="shared" si="316"/>
        <v>5.0168787606280359E-2</v>
      </c>
      <c r="R2357">
        <f t="shared" si="317"/>
        <v>1</v>
      </c>
      <c r="S2357">
        <f t="shared" si="309"/>
        <v>25.097912089587847</v>
      </c>
      <c r="T2357" s="564">
        <f>IF((I2357-MAX(I$470:I2357))/MAX(I$470:I2357)&gt;T2356,T2356,(I2357-MAX(I$470:I2357))/MAX(I$470:I2357))</f>
        <v>-0.91338805338419748</v>
      </c>
      <c r="U2357" s="564">
        <f>IF((J2357-MAX(J$470:J2357))/MAX(J$470:J2357)&gt;U2356,U2356,(J2357-MAX(J$470:J2357))/MAX(J$470:J2357))</f>
        <v>-0.8283551177402233</v>
      </c>
      <c r="V2357" s="564">
        <f>IF((K2357-MAX(K$470:K2357))/MAX(K$470:K2357)&gt;V2356,V2356,(K2357-MAX(K$470:K2357))/MAX(K$470:K2357))</f>
        <v>-0.84885940676762139</v>
      </c>
      <c r="W2357" s="564">
        <f>IF((N2357-MAX(N$470:N2357))/MAX(N$470:N2357)&gt;W2356,W2356,(N2357-MAX(N$470:N2357))/MAX(N$470:N2357))</f>
        <v>-0.62788758315546067</v>
      </c>
      <c r="X2357" s="564">
        <f>IF((O2357-MAX(O$470:O2357))/MAX(O$470:O2357)&gt;X2356,X2356,(O2357-MAX(O$470:O2357))/MAX(O$470:O2357))</f>
        <v>-0.62788758315546067</v>
      </c>
    </row>
    <row r="2358" spans="1:24">
      <c r="A2358" s="799">
        <v>42760</v>
      </c>
      <c r="B2358">
        <v>900.2</v>
      </c>
      <c r="C2358">
        <v>3816.7899499999999</v>
      </c>
      <c r="D2358">
        <v>1.9786840000000001</v>
      </c>
      <c r="E2358">
        <f>LN(D2358/参数实验室!$E$53)/参数实验室!$E$55</f>
        <v>0.11213304504567473</v>
      </c>
      <c r="F2358">
        <f t="shared" si="308"/>
        <v>4.2399355143301483</v>
      </c>
      <c r="G2358">
        <f>LN(F2358/参数实验室!$E$58)/参数实验室!$E$59</f>
        <v>0.5676468651912614</v>
      </c>
      <c r="H2358" s="856">
        <f>INDEX(神经网络!$G$10:$BO$70,MATCH(ROUND(G2358*2,1)/2,神经网络!$E$10:$E$70,0),MATCH(ROUND(E2358*2,1)/2,神经网络!$G$8:$BO$8,0))</f>
        <v>1.5995659581669794</v>
      </c>
      <c r="I2358">
        <f t="shared" si="310"/>
        <v>1399.5305128770444</v>
      </c>
      <c r="J2358">
        <f t="shared" si="311"/>
        <v>359.20354335421536</v>
      </c>
      <c r="K2358">
        <f t="shared" si="312"/>
        <v>3.8962046415476168</v>
      </c>
      <c r="L2358" s="4">
        <f>MIN(MAX(L2357*(1+MAX(MIN(((B2358-B2357)/B2357)/($K$7*卓尔金历!$N$40),0),-卓尔金历!$M$43))+MIN(MAX(((B2358-B2357)/B2357)/($K$7*卓尔金历!$N$40),0),卓尔金历!$M$43),0),1)</f>
        <v>0.62029306946902474</v>
      </c>
      <c r="M2358" s="4">
        <f>MIN(MAX(M2357*(1+MAX(MIN(((B2358-B2357)/B2357)/($K$7*30),0),-卓尔金历!$M$43))+MIN(MAX(((B2358-B2357)/B2357)/($K$7*7),0),卓尔金历!$M$43),0),1)</f>
        <v>0.81105157097707214</v>
      </c>
      <c r="N2358">
        <f t="shared" si="313"/>
        <v>1483.3787441167858</v>
      </c>
      <c r="O2358">
        <f t="shared" si="314"/>
        <v>3420.9002786558772</v>
      </c>
      <c r="P2358">
        <f t="shared" si="315"/>
        <v>-8.458175593884178E-3</v>
      </c>
      <c r="Q2358">
        <f t="shared" si="316"/>
        <v>4.7463181877855871E-2</v>
      </c>
      <c r="R2358">
        <f t="shared" si="317"/>
        <v>1</v>
      </c>
      <c r="S2358">
        <f t="shared" si="309"/>
        <v>24.758352153104113</v>
      </c>
      <c r="T2358" s="564">
        <f>IF((I2358-MAX(I$470:I2358))/MAX(I$470:I2358)&gt;T2357,T2357,(I2358-MAX(I$470:I2358))/MAX(I$470:I2358))</f>
        <v>-0.91338805338419748</v>
      </c>
      <c r="U2358" s="564">
        <f>IF((J2358-MAX(J$470:J2358))/MAX(J$470:J2358)&gt;U2357,U2357,(J2358-MAX(J$470:J2358))/MAX(J$470:J2358))</f>
        <v>-0.8283551177402233</v>
      </c>
      <c r="V2358" s="564">
        <f>IF((K2358-MAX(K$470:K2358))/MAX(K$470:K2358)&gt;V2357,V2357,(K2358-MAX(K$470:K2358))/MAX(K$470:K2358))</f>
        <v>-0.84885940676762139</v>
      </c>
      <c r="W2358" s="564">
        <f>IF((N2358-MAX(N$470:N2358))/MAX(N$470:N2358)&gt;W2357,W2357,(N2358-MAX(N$470:N2358))/MAX(N$470:N2358))</f>
        <v>-0.62788758315546067</v>
      </c>
      <c r="X2358" s="564">
        <f>IF((O2358-MAX(O$470:O2358))/MAX(O$470:O2358)&gt;X2357,X2357,(O2358-MAX(O$470:O2358))/MAX(O$470:O2358))</f>
        <v>-0.62788758315546067</v>
      </c>
    </row>
    <row r="2359" spans="1:24">
      <c r="A2359" s="799">
        <v>42761</v>
      </c>
      <c r="B2359">
        <v>907.81899999999996</v>
      </c>
      <c r="C2359">
        <v>3820.6674320000002</v>
      </c>
      <c r="D2359">
        <v>2.0210020000000002</v>
      </c>
      <c r="E2359">
        <f>LN(D2359/参数实验室!$E$53)/参数实验室!$E$55</f>
        <v>0.13709833523128695</v>
      </c>
      <c r="F2359">
        <f t="shared" si="308"/>
        <v>4.2086224588822221</v>
      </c>
      <c r="G2359">
        <f>LN(F2359/参数实验室!$E$58)/参数实验室!$E$59</f>
        <v>0.56375629379206738</v>
      </c>
      <c r="H2359" s="856">
        <f>INDEX(神经网络!$G$10:$BO$70,MATCH(ROUND(G2359*2,1)/2,神经网络!$E$10:$E$70,0),MATCH(ROUND(E2359*2,1)/2,神经网络!$G$8:$BO$8,0))</f>
        <v>1.6807375869850929</v>
      </c>
      <c r="I2359">
        <f t="shared" si="310"/>
        <v>1418.4776452544465</v>
      </c>
      <c r="J2359">
        <f t="shared" si="311"/>
        <v>362.24372531024261</v>
      </c>
      <c r="K2359">
        <f t="shared" si="312"/>
        <v>3.9158101193874244</v>
      </c>
      <c r="L2359" s="4">
        <f>MIN(MAX(L2358*(1+MAX(MIN(((B2359-B2358)/B2358)/($K$7*卓尔金历!$N$40),0),-卓尔金历!$M$43))+MIN(MAX(((B2359-B2358)/B2358)/($K$7*卓尔金历!$N$40),0),卓尔金历!$M$43),0),1)</f>
        <v>0.74960989749907325</v>
      </c>
      <c r="M2359" s="4">
        <f>MIN(MAX(M2358*(1+MAX(MIN(((B2359-B2358)/B2358)/($K$7*30),0),-卓尔金历!$M$43))+MIN(MAX(((B2359-B2358)/B2358)/($K$7*7),0),卓尔金历!$M$43),0),1)</f>
        <v>1</v>
      </c>
      <c r="N2359">
        <f t="shared" si="313"/>
        <v>1495.8356475645226</v>
      </c>
      <c r="O2359">
        <f t="shared" si="314"/>
        <v>3458.462390558454</v>
      </c>
      <c r="P2359">
        <f t="shared" si="315"/>
        <v>8.4636747389468057E-3</v>
      </c>
      <c r="Q2359">
        <f t="shared" si="316"/>
        <v>4.6055045335674165E-2</v>
      </c>
      <c r="R2359">
        <f t="shared" si="317"/>
        <v>1</v>
      </c>
      <c r="S2359">
        <f t="shared" si="309"/>
        <v>25.093535824610395</v>
      </c>
      <c r="T2359" s="564">
        <f>IF((I2359-MAX(I$470:I2359))/MAX(I$470:I2359)&gt;T2358,T2358,(I2359-MAX(I$470:I2359))/MAX(I$470:I2359))</f>
        <v>-0.91338805338419748</v>
      </c>
      <c r="U2359" s="564">
        <f>IF((J2359-MAX(J$470:J2359))/MAX(J$470:J2359)&gt;U2358,U2358,(J2359-MAX(J$470:J2359))/MAX(J$470:J2359))</f>
        <v>-0.8283551177402233</v>
      </c>
      <c r="V2359" s="564">
        <f>IF((K2359-MAX(K$470:K2359))/MAX(K$470:K2359)&gt;V2358,V2358,(K2359-MAX(K$470:K2359))/MAX(K$470:K2359))</f>
        <v>-0.84885940676762139</v>
      </c>
      <c r="W2359" s="564">
        <f>IF((N2359-MAX(N$470:N2359))/MAX(N$470:N2359)&gt;W2358,W2358,(N2359-MAX(N$470:N2359))/MAX(N$470:N2359))</f>
        <v>-0.62788758315546067</v>
      </c>
      <c r="X2359" s="564">
        <f>IF((O2359-MAX(O$470:O2359))/MAX(O$470:O2359)&gt;X2358,X2358,(O2359-MAX(O$470:O2359))/MAX(O$470:O2359))</f>
        <v>-0.62788758315546067</v>
      </c>
    </row>
    <row r="2360" spans="1:24">
      <c r="A2360" s="799">
        <v>42762</v>
      </c>
      <c r="B2360">
        <v>920.33900000000006</v>
      </c>
      <c r="C2360">
        <v>3807.8390020000002</v>
      </c>
      <c r="D2360">
        <v>2.0271029999999999</v>
      </c>
      <c r="E2360">
        <f>LN(D2360/参数实验室!$E$53)/参数实验室!$E$55</f>
        <v>0.14065440899476017</v>
      </c>
      <c r="F2360">
        <f t="shared" si="308"/>
        <v>4.1374308836200573</v>
      </c>
      <c r="G2360">
        <f>LN(F2360/参数实验室!$E$58)/参数实验室!$E$59</f>
        <v>0.55480209931217239</v>
      </c>
      <c r="H2360" s="856">
        <f>INDEX(神经网络!$G$10:$BO$70,MATCH(ROUND(G2360*2,1)/2,神经网络!$E$10:$E$70,0),MATCH(ROUND(E2360*2,1)/2,神经网络!$G$8:$BO$8,0))</f>
        <v>1.6807375869850929</v>
      </c>
      <c r="I2360">
        <f t="shared" si="310"/>
        <v>1451.3573167058698</v>
      </c>
      <c r="J2360">
        <f t="shared" si="311"/>
        <v>367.23953553329835</v>
      </c>
      <c r="K2360">
        <f t="shared" si="312"/>
        <v>3.9520726291036068</v>
      </c>
      <c r="L2360" s="4">
        <f>MIN(MAX(L2359*(1+MAX(MIN(((B2360-B2359)/B2359)/($K$7*卓尔金历!$N$40),0),-卓尔金历!$M$43))+MIN(MAX(((B2360-B2359)/B2359)/($K$7*卓尔金历!$N$40),0),卓尔金历!$M$43),0),1)</f>
        <v>0.96032765671625675</v>
      </c>
      <c r="M2360" s="4">
        <f>MIN(MAX(M2359*(1+MAX(MIN(((B2360-B2359)/B2359)/($K$7*30),0),-卓尔金历!$M$43))+MIN(MAX(((B2360-B2359)/B2359)/($K$7*7),0),卓尔金历!$M$43),0),1)</f>
        <v>1</v>
      </c>
      <c r="N2360">
        <f t="shared" si="313"/>
        <v>1521.8267178869976</v>
      </c>
      <c r="O2360">
        <f t="shared" si="314"/>
        <v>3538.6279874637671</v>
      </c>
      <c r="P2360">
        <f t="shared" si="315"/>
        <v>1.37912954013962E-2</v>
      </c>
      <c r="Q2360">
        <f t="shared" si="316"/>
        <v>3.5590569931382307E-2</v>
      </c>
      <c r="R2360">
        <f t="shared" si="317"/>
        <v>1</v>
      </c>
      <c r="S2360">
        <f t="shared" si="309"/>
        <v>25.675192656657057</v>
      </c>
      <c r="T2360" s="564">
        <f>IF((I2360-MAX(I$470:I2360))/MAX(I$470:I2360)&gt;T2359,T2359,(I2360-MAX(I$470:I2360))/MAX(I$470:I2360))</f>
        <v>-0.91338805338419748</v>
      </c>
      <c r="U2360" s="564">
        <f>IF((J2360-MAX(J$470:J2360))/MAX(J$470:J2360)&gt;U2359,U2359,(J2360-MAX(J$470:J2360))/MAX(J$470:J2360))</f>
        <v>-0.8283551177402233</v>
      </c>
      <c r="V2360" s="564">
        <f>IF((K2360-MAX(K$470:K2360))/MAX(K$470:K2360)&gt;V2359,V2359,(K2360-MAX(K$470:K2360))/MAX(K$470:K2360))</f>
        <v>-0.84885940676762139</v>
      </c>
      <c r="W2360" s="564">
        <f>IF((N2360-MAX(N$470:N2360))/MAX(N$470:N2360)&gt;W2359,W2359,(N2360-MAX(N$470:N2360))/MAX(N$470:N2360))</f>
        <v>-0.62788758315546067</v>
      </c>
      <c r="X2360" s="564">
        <f>IF((O2360-MAX(O$470:O2360))/MAX(O$470:O2360)&gt;X2359,X2359,(O2360-MAX(O$470:O2360))/MAX(O$470:O2360))</f>
        <v>-0.62788758315546067</v>
      </c>
    </row>
    <row r="2361" spans="1:24">
      <c r="A2361" s="799">
        <v>42763</v>
      </c>
      <c r="B2361">
        <v>922.99400000000003</v>
      </c>
      <c r="C2361">
        <v>3804.4752330000001</v>
      </c>
      <c r="D2361">
        <v>2.0306790000000001</v>
      </c>
      <c r="E2361">
        <f>LN(D2361/参数实验室!$E$53)/参数实验室!$E$55</f>
        <v>0.14273377091839348</v>
      </c>
      <c r="F2361">
        <f t="shared" si="308"/>
        <v>4.1218851184298053</v>
      </c>
      <c r="G2361">
        <f>LN(F2361/参数实验室!$E$58)/参数实验室!$E$59</f>
        <v>0.55282632617400929</v>
      </c>
      <c r="H2361" s="856">
        <f>INDEX(神经网络!$G$10:$BO$70,MATCH(ROUND(G2361*2,1)/2,神经网络!$E$10:$E$70,0),MATCH(ROUND(E2361*2,1)/2,神经网络!$G$8:$BO$8,0))</f>
        <v>1.6807375869850929</v>
      </c>
      <c r="I2361">
        <f t="shared" si="310"/>
        <v>1458.3943719202582</v>
      </c>
      <c r="J2361">
        <f t="shared" si="311"/>
        <v>368.29895056063168</v>
      </c>
      <c r="K2361">
        <f t="shared" si="312"/>
        <v>3.959811369813198</v>
      </c>
      <c r="L2361" s="4">
        <f>MIN(MAX(L2360*(1+MAX(MIN(((B2361-B2360)/B2360)/($K$7*卓尔金历!$N$40),0),-卓尔金历!$M$43))+MIN(MAX(((B2361-B2360)/B2360)/($K$7*卓尔金历!$N$40),0),卓尔金历!$M$43),0),1)</f>
        <v>1</v>
      </c>
      <c r="M2361" s="4">
        <f>MIN(MAX(M2360*(1+MAX(MIN(((B2361-B2360)/B2360)/($K$7*30),0),-卓尔金历!$M$43))+MIN(MAX(((B2361-B2360)/B2360)/($K$7*7),0),卓尔金历!$M$43),0),1)</f>
        <v>1</v>
      </c>
      <c r="N2361">
        <f t="shared" si="313"/>
        <v>1528.9127195978181</v>
      </c>
      <c r="O2361">
        <f t="shared" si="314"/>
        <v>3555.7853891899535</v>
      </c>
      <c r="P2361">
        <f t="shared" si="315"/>
        <v>2.8848065767070313E-3</v>
      </c>
      <c r="Q2361">
        <f t="shared" si="316"/>
        <v>3.5588147862926439E-2</v>
      </c>
      <c r="R2361">
        <f t="shared" si="317"/>
        <v>1</v>
      </c>
      <c r="S2361">
        <f t="shared" si="309"/>
        <v>25.799681468809144</v>
      </c>
      <c r="T2361" s="564">
        <f>IF((I2361-MAX(I$470:I2361))/MAX(I$470:I2361)&gt;T2360,T2360,(I2361-MAX(I$470:I2361))/MAX(I$470:I2361))</f>
        <v>-0.91338805338419748</v>
      </c>
      <c r="U2361" s="564">
        <f>IF((J2361-MAX(J$470:J2361))/MAX(J$470:J2361)&gt;U2360,U2360,(J2361-MAX(J$470:J2361))/MAX(J$470:J2361))</f>
        <v>-0.8283551177402233</v>
      </c>
      <c r="V2361" s="564">
        <f>IF((K2361-MAX(K$470:K2361))/MAX(K$470:K2361)&gt;V2360,V2360,(K2361-MAX(K$470:K2361))/MAX(K$470:K2361))</f>
        <v>-0.84885940676762139</v>
      </c>
      <c r="W2361" s="564">
        <f>IF((N2361-MAX(N$470:N2361))/MAX(N$470:N2361)&gt;W2360,W2360,(N2361-MAX(N$470:N2361))/MAX(N$470:N2361))</f>
        <v>-0.62788758315546067</v>
      </c>
      <c r="X2361" s="564">
        <f>IF((O2361-MAX(O$470:O2361))/MAX(O$470:O2361)&gt;X2360,X2360,(O2361-MAX(O$470:O2361))/MAX(O$470:O2361))</f>
        <v>-0.62788758315546067</v>
      </c>
    </row>
    <row r="2362" spans="1:24">
      <c r="A2362" s="799">
        <v>42764</v>
      </c>
      <c r="B2362">
        <v>922.58</v>
      </c>
      <c r="C2362">
        <v>3782.1677890000001</v>
      </c>
      <c r="D2362">
        <v>2.0092810000000001</v>
      </c>
      <c r="E2362">
        <f>LN(D2362/参数实验室!$E$53)/参数实验室!$E$55</f>
        <v>0.13023632243596997</v>
      </c>
      <c r="F2362">
        <f t="shared" si="308"/>
        <v>4.0995553653883672</v>
      </c>
      <c r="G2362">
        <f>LN(F2362/参数实验室!$E$58)/参数实验室!$E$59</f>
        <v>0.54997527105620336</v>
      </c>
      <c r="H2362" s="856">
        <f>INDEX(神经网络!$G$10:$BO$70,MATCH(ROUND(G2362*2,1)/2,神经网络!$E$10:$E$70,0),MATCH(ROUND(E2362*2,1)/2,神经网络!$G$8:$BO$8,0))</f>
        <v>1.6807375869850929</v>
      </c>
      <c r="I2362">
        <f t="shared" si="310"/>
        <v>1457.2949197132677</v>
      </c>
      <c r="J2362">
        <f t="shared" si="311"/>
        <v>368.13375364111528</v>
      </c>
      <c r="K2362">
        <f t="shared" si="312"/>
        <v>3.9586017454241631</v>
      </c>
      <c r="L2362" s="4">
        <f>MIN(MAX(L2361*(1+MAX(MIN(((B2362-B2361)/B2361)/($K$7*卓尔金历!$N$40),0),-卓尔金历!$M$43))+MIN(MAX(((B2362-B2361)/B2361)/($K$7*卓尔金历!$N$40),0),卓尔金历!$M$43),0),1)</f>
        <v>0.99314673474159099</v>
      </c>
      <c r="M2362" s="4">
        <f>MIN(MAX(M2361*(1+MAX(MIN(((B2362-B2361)/B2361)/($K$7*30),0),-卓尔金历!$M$43))+MIN(MAX(((B2362-B2361)/B2361)/($K$7*7),0),卓尔金历!$M$43),0),1)</f>
        <v>0.99657336737079549</v>
      </c>
      <c r="N2362">
        <f t="shared" si="313"/>
        <v>1527.760105122459</v>
      </c>
      <c r="O2362">
        <f t="shared" si="314"/>
        <v>3553.104758923545</v>
      </c>
      <c r="P2362">
        <f t="shared" si="315"/>
        <v>-4.485402938697188E-4</v>
      </c>
      <c r="Q2362">
        <f t="shared" si="316"/>
        <v>3.5314612073532696E-2</v>
      </c>
      <c r="R2362">
        <f t="shared" si="317"/>
        <v>1</v>
      </c>
      <c r="S2362">
        <f t="shared" si="309"/>
        <v>25.78023164283842</v>
      </c>
      <c r="T2362" s="564">
        <f>IF((I2362-MAX(I$470:I2362))/MAX(I$470:I2362)&gt;T2361,T2361,(I2362-MAX(I$470:I2362))/MAX(I$470:I2362))</f>
        <v>-0.91338805338419748</v>
      </c>
      <c r="U2362" s="564">
        <f>IF((J2362-MAX(J$470:J2362))/MAX(J$470:J2362)&gt;U2361,U2361,(J2362-MAX(J$470:J2362))/MAX(J$470:J2362))</f>
        <v>-0.8283551177402233</v>
      </c>
      <c r="V2362" s="564">
        <f>IF((K2362-MAX(K$470:K2362))/MAX(K$470:K2362)&gt;V2361,V2361,(K2362-MAX(K$470:K2362))/MAX(K$470:K2362))</f>
        <v>-0.84885940676762139</v>
      </c>
      <c r="W2362" s="564">
        <f>IF((N2362-MAX(N$470:N2362))/MAX(N$470:N2362)&gt;W2361,W2361,(N2362-MAX(N$470:N2362))/MAX(N$470:N2362))</f>
        <v>-0.62788758315546067</v>
      </c>
      <c r="X2362" s="564">
        <f>IF((O2362-MAX(O$470:O2362))/MAX(O$470:O2362)&gt;X2361,X2361,(O2362-MAX(O$470:O2362))/MAX(O$470:O2362))</f>
        <v>-0.62788758315546067</v>
      </c>
    </row>
    <row r="2363" spans="1:24">
      <c r="A2363" s="799">
        <v>42765</v>
      </c>
      <c r="B2363">
        <v>921.30899999999997</v>
      </c>
      <c r="C2363">
        <v>3793.0498229999998</v>
      </c>
      <c r="D2363">
        <v>2.0172669999999999</v>
      </c>
      <c r="E2363">
        <f>LN(D2363/参数实验室!$E$53)/参数实验室!$E$55</f>
        <v>0.13491602413576323</v>
      </c>
      <c r="F2363">
        <f t="shared" si="308"/>
        <v>4.1170224354695328</v>
      </c>
      <c r="G2363">
        <f>LN(F2363/参数实验室!$E$58)/参数实验室!$E$59</f>
        <v>0.55220677823234887</v>
      </c>
      <c r="H2363" s="856">
        <f>INDEX(神经网络!$G$10:$BO$70,MATCH(ROUND(G2363*2,1)/2,神经网络!$E$10:$E$70,0),MATCH(ROUND(E2363*2,1)/2,神经网络!$G$8:$BO$8,0))</f>
        <v>1.6807375869850929</v>
      </c>
      <c r="I2363">
        <f t="shared" si="310"/>
        <v>1453.9205794166101</v>
      </c>
      <c r="J2363">
        <f t="shared" si="311"/>
        <v>367.62659111767243</v>
      </c>
      <c r="K2363">
        <f t="shared" si="312"/>
        <v>3.9548841529562511</v>
      </c>
      <c r="L2363" s="4">
        <f>MIN(MAX(L2362*(1+MAX(MIN(((B2363-B2362)/B2362)/($K$7*卓尔金历!$N$40),0),-卓尔金历!$M$43))+MIN(MAX(((B2363-B2362)/B2362)/($K$7*卓尔金历!$N$40),0),卓尔金历!$M$43),0),1)</f>
        <v>0.97224169427984963</v>
      </c>
      <c r="M2363" s="4">
        <f>MIN(MAX(M2362*(1+MAX(MIN(((B2363-B2362)/B2362)/($K$7*30),0),-卓尔金历!$M$43))+MIN(MAX(((B2363-B2362)/B2362)/($K$7*7),0),卓尔金历!$M$43),0),1)</f>
        <v>0.98608478303617497</v>
      </c>
      <c r="N2363">
        <f t="shared" si="313"/>
        <v>1524.2468473844071</v>
      </c>
      <c r="O2363">
        <f t="shared" si="314"/>
        <v>3544.9057998876665</v>
      </c>
      <c r="P2363">
        <f t="shared" si="315"/>
        <v>-1.3776583060548372E-3</v>
      </c>
      <c r="Q2363">
        <f t="shared" si="316"/>
        <v>3.5290459111808156E-2</v>
      </c>
      <c r="R2363">
        <f t="shared" si="317"/>
        <v>1</v>
      </c>
      <c r="S2363">
        <f t="shared" si="309"/>
        <v>25.720537978012693</v>
      </c>
      <c r="T2363" s="564">
        <f>IF((I2363-MAX(I$470:I2363))/MAX(I$470:I2363)&gt;T2362,T2362,(I2363-MAX(I$470:I2363))/MAX(I$470:I2363))</f>
        <v>-0.91338805338419748</v>
      </c>
      <c r="U2363" s="564">
        <f>IF((J2363-MAX(J$470:J2363))/MAX(J$470:J2363)&gt;U2362,U2362,(J2363-MAX(J$470:J2363))/MAX(J$470:J2363))</f>
        <v>-0.8283551177402233</v>
      </c>
      <c r="V2363" s="564">
        <f>IF((K2363-MAX(K$470:K2363))/MAX(K$470:K2363)&gt;V2362,V2362,(K2363-MAX(K$470:K2363))/MAX(K$470:K2363))</f>
        <v>-0.84885940676762139</v>
      </c>
      <c r="W2363" s="564">
        <f>IF((N2363-MAX(N$470:N2363))/MAX(N$470:N2363)&gt;W2362,W2362,(N2363-MAX(N$470:N2363))/MAX(N$470:N2363))</f>
        <v>-0.62788758315546067</v>
      </c>
      <c r="X2363" s="564">
        <f>IF((O2363-MAX(O$470:O2363))/MAX(O$470:O2363)&gt;X2362,X2362,(O2363-MAX(O$470:O2363))/MAX(O$470:O2363))</f>
        <v>-0.62788758315546067</v>
      </c>
    </row>
    <row r="2364" spans="1:24">
      <c r="A2364" s="799">
        <v>42766</v>
      </c>
      <c r="B2364">
        <v>953.95899999999995</v>
      </c>
      <c r="C2364">
        <v>3820.8015789999999</v>
      </c>
      <c r="D2364">
        <v>2.1173280000000001</v>
      </c>
      <c r="E2364">
        <f>LN(D2364/参数实验室!$E$53)/参数实验室!$E$55</f>
        <v>0.19202940215845798</v>
      </c>
      <c r="F2364">
        <f t="shared" si="308"/>
        <v>4.0052052331389509</v>
      </c>
      <c r="G2364">
        <f>LN(F2364/参数实验室!$E$58)/参数实验室!$E$59</f>
        <v>0.5377547285865345</v>
      </c>
      <c r="H2364" s="856">
        <f>INDEX(神经网络!$G$10:$BO$70,MATCH(ROUND(G2364*2,1)/2,神经网络!$E$10:$E$70,0),MATCH(ROUND(E2364*2,1)/2,神经网络!$G$8:$BO$8,0))</f>
        <v>1.761300812776319</v>
      </c>
      <c r="I2364">
        <f t="shared" si="310"/>
        <v>1540.5206943077467</v>
      </c>
      <c r="J2364">
        <f t="shared" si="311"/>
        <v>380.65480228243035</v>
      </c>
      <c r="K2364">
        <f t="shared" si="312"/>
        <v>4.0470281343376904</v>
      </c>
      <c r="L2364" s="4">
        <f>MIN(MAX(L2363*(1+MAX(MIN(((B2364-B2363)/B2363)/($K$7*卓尔金历!$N$40),0),-卓尔金历!$M$43))+MIN(MAX(((B2364-B2363)/B2363)/($K$7*卓尔金历!$N$40),0),卓尔金历!$M$43),0),1)</f>
        <v>1</v>
      </c>
      <c r="M2364" s="4">
        <f>MIN(MAX(M2363*(1+MAX(MIN(((B2364-B2363)/B2363)/($K$7*30),0),-卓尔金历!$M$43))+MIN(MAX(((B2364-B2363)/B2363)/($K$7*7),0),卓尔金历!$M$43),0),1)</f>
        <v>1</v>
      </c>
      <c r="N2364">
        <f t="shared" si="313"/>
        <v>1612.5156695588864</v>
      </c>
      <c r="O2364">
        <f t="shared" si="314"/>
        <v>3753.1134776804693</v>
      </c>
      <c r="P2364">
        <f t="shared" si="315"/>
        <v>3.5438707317523195E-2</v>
      </c>
      <c r="Q2364">
        <f t="shared" si="316"/>
        <v>3.6029401970427061E-2</v>
      </c>
      <c r="R2364">
        <f t="shared" si="317"/>
        <v>5.2404510970556595E-2</v>
      </c>
      <c r="S2364">
        <f t="shared" si="309"/>
        <v>27.252534687799617</v>
      </c>
      <c r="T2364" s="564">
        <f>IF((I2364-MAX(I$470:I2364))/MAX(I$470:I2364)&gt;T2363,T2363,(I2364-MAX(I$470:I2364))/MAX(I$470:I2364))</f>
        <v>-0.91338805338419748</v>
      </c>
      <c r="U2364" s="564">
        <f>IF((J2364-MAX(J$470:J2364))/MAX(J$470:J2364)&gt;U2363,U2363,(J2364-MAX(J$470:J2364))/MAX(J$470:J2364))</f>
        <v>-0.8283551177402233</v>
      </c>
      <c r="V2364" s="564">
        <f>IF((K2364-MAX(K$470:K2364))/MAX(K$470:K2364)&gt;V2363,V2363,(K2364-MAX(K$470:K2364))/MAX(K$470:K2364))</f>
        <v>-0.84885940676762139</v>
      </c>
      <c r="W2364" s="564">
        <f>IF((N2364-MAX(N$470:N2364))/MAX(N$470:N2364)&gt;W2363,W2363,(N2364-MAX(N$470:N2364))/MAX(N$470:N2364))</f>
        <v>-0.62788758315546067</v>
      </c>
      <c r="X2364" s="564">
        <f>IF((O2364-MAX(O$470:O2364))/MAX(O$470:O2364)&gt;X2363,X2363,(O2364-MAX(O$470:O2364))/MAX(O$470:O2364))</f>
        <v>-0.62788758315546067</v>
      </c>
    </row>
    <row r="2365" spans="1:24">
      <c r="A2365" s="799">
        <v>42767</v>
      </c>
      <c r="B2365">
        <v>972.58600000000001</v>
      </c>
      <c r="C2365">
        <v>3744.1399500000002</v>
      </c>
      <c r="D2365">
        <v>2.1532300000000002</v>
      </c>
      <c r="E2365">
        <f>LN(D2365/参数实验室!$E$53)/参数实验室!$E$55</f>
        <v>0.2118659194648683</v>
      </c>
      <c r="F2365">
        <f t="shared" si="308"/>
        <v>3.8496749387714817</v>
      </c>
      <c r="G2365">
        <f>LN(F2365/参数实验室!$E$58)/参数实验室!$E$59</f>
        <v>0.51696730152278436</v>
      </c>
      <c r="H2365" s="856">
        <f>INDEX(神经网络!$G$10:$BO$70,MATCH(ROUND(G2365*2,1)/2,神经网络!$E$10:$E$70,0),MATCH(ROUND(E2365*2,1)/2,神经网络!$G$8:$BO$8,0))</f>
        <v>1.7238252358461883</v>
      </c>
      <c r="I2365">
        <f t="shared" si="310"/>
        <v>1593.500977713805</v>
      </c>
      <c r="J2365">
        <f t="shared" si="311"/>
        <v>388.08746658154058</v>
      </c>
      <c r="K2365">
        <f t="shared" si="312"/>
        <v>4.1060356618834444</v>
      </c>
      <c r="L2365" s="4">
        <f>MIN(MAX(L2364*(1+MAX(MIN(((B2365-B2364)/B2364)/($K$7*卓尔金历!$N$40),0),-卓尔金历!$M$43))+MIN(MAX(((B2365-B2364)/B2364)/($K$7*卓尔金历!$N$40),0),卓尔金历!$M$43),0),1)</f>
        <v>1</v>
      </c>
      <c r="M2365" s="4">
        <f>MIN(MAX(M2364*(1+MAX(MIN(((B2365-B2364)/B2364)/($K$7*30),0),-卓尔金历!$M$43))+MIN(MAX(((B2365-B2364)/B2364)/($K$7*7),0),卓尔金历!$M$43),0),1)</f>
        <v>1</v>
      </c>
      <c r="N2365">
        <f t="shared" si="313"/>
        <v>1667.9719431978001</v>
      </c>
      <c r="O2365">
        <f t="shared" si="314"/>
        <v>3882.1873787564691</v>
      </c>
      <c r="P2365">
        <f t="shared" si="315"/>
        <v>1.9525996400264652E-2</v>
      </c>
      <c r="Q2365">
        <f t="shared" si="316"/>
        <v>2.7826510902404039E-2</v>
      </c>
      <c r="R2365">
        <f t="shared" si="317"/>
        <v>0.40303501571221501</v>
      </c>
      <c r="S2365">
        <f t="shared" si="309"/>
        <v>27.301650611281005</v>
      </c>
      <c r="T2365" s="564">
        <f>IF((I2365-MAX(I$470:I2365))/MAX(I$470:I2365)&gt;T2364,T2364,(I2365-MAX(I$470:I2365))/MAX(I$470:I2365))</f>
        <v>-0.91338805338419748</v>
      </c>
      <c r="U2365" s="564">
        <f>IF((J2365-MAX(J$470:J2365))/MAX(J$470:J2365)&gt;U2364,U2364,(J2365-MAX(J$470:J2365))/MAX(J$470:J2365))</f>
        <v>-0.8283551177402233</v>
      </c>
      <c r="V2365" s="564">
        <f>IF((K2365-MAX(K$470:K2365))/MAX(K$470:K2365)&gt;V2364,V2364,(K2365-MAX(K$470:K2365))/MAX(K$470:K2365))</f>
        <v>-0.84885940676762139</v>
      </c>
      <c r="W2365" s="564">
        <f>IF((N2365-MAX(N$470:N2365))/MAX(N$470:N2365)&gt;W2364,W2364,(N2365-MAX(N$470:N2365))/MAX(N$470:N2365))</f>
        <v>-0.62788758315546067</v>
      </c>
      <c r="X2365" s="564">
        <f>IF((O2365-MAX(O$470:O2365))/MAX(O$470:O2365)&gt;X2364,X2364,(O2365-MAX(O$470:O2365))/MAX(O$470:O2365))</f>
        <v>-0.62788758315546067</v>
      </c>
    </row>
    <row r="2366" spans="1:24">
      <c r="A2366" s="799">
        <v>42768</v>
      </c>
      <c r="B2366">
        <v>996.30399999999997</v>
      </c>
      <c r="C2366">
        <v>3762.0689670000002</v>
      </c>
      <c r="D2366">
        <v>2.190512</v>
      </c>
      <c r="E2366">
        <f>LN(D2366/参数实验室!$E$53)/参数实验室!$E$55</f>
        <v>0.23211787758237884</v>
      </c>
      <c r="F2366">
        <f t="shared" si="308"/>
        <v>3.7760251559764892</v>
      </c>
      <c r="G2366">
        <f>LN(F2366/参数实验室!$E$58)/参数实验室!$E$59</f>
        <v>0.5068287994128482</v>
      </c>
      <c r="H2366" s="856">
        <f>INDEX(神经网络!$G$10:$BO$70,MATCH(ROUND(G2366*2,1)/2,神经网络!$E$10:$E$70,0),MATCH(ROUND(E2366*2,1)/2,神经网络!$G$8:$BO$8,0))</f>
        <v>1.7979234839107936</v>
      </c>
      <c r="I2366">
        <f t="shared" si="310"/>
        <v>1660.4887629784969</v>
      </c>
      <c r="J2366">
        <f t="shared" si="311"/>
        <v>397.55157415905143</v>
      </c>
      <c r="K2366">
        <f t="shared" si="312"/>
        <v>4.176788298451493</v>
      </c>
      <c r="L2366" s="4">
        <f>MIN(MAX(L2365*(1+MAX(MIN(((B2366-B2365)/B2365)/($K$7*卓尔金历!$N$40),0),-卓尔金历!$M$43))+MIN(MAX(((B2366-B2365)/B2365)/($K$7*卓尔金历!$N$40),0),卓尔金历!$M$43),0),1)</f>
        <v>1</v>
      </c>
      <c r="M2366" s="4">
        <f>MIN(MAX(M2365*(1+MAX(MIN(((B2366-B2365)/B2365)/($K$7*30),0),-卓尔金历!$M$43))+MIN(MAX(((B2366-B2365)/B2365)/($K$7*7),0),卓尔金历!$M$43),0),1)</f>
        <v>1</v>
      </c>
      <c r="N2366">
        <f t="shared" si="313"/>
        <v>1738.0903478433806</v>
      </c>
      <c r="O2366">
        <f t="shared" si="314"/>
        <v>4045.3872375093279</v>
      </c>
      <c r="P2366">
        <f t="shared" si="315"/>
        <v>2.4386532399191394E-2</v>
      </c>
      <c r="Q2366">
        <f t="shared" si="316"/>
        <v>2.3018652152259421E-2</v>
      </c>
      <c r="R2366">
        <f t="shared" si="317"/>
        <v>2.6220192762916032E-2</v>
      </c>
      <c r="S2366">
        <f t="shared" si="309"/>
        <v>27.764217954807609</v>
      </c>
      <c r="T2366" s="564">
        <f>IF((I2366-MAX(I$470:I2366))/MAX(I$470:I2366)&gt;T2365,T2365,(I2366-MAX(I$470:I2366))/MAX(I$470:I2366))</f>
        <v>-0.91338805338419748</v>
      </c>
      <c r="U2366" s="564">
        <f>IF((J2366-MAX(J$470:J2366))/MAX(J$470:J2366)&gt;U2365,U2365,(J2366-MAX(J$470:J2366))/MAX(J$470:J2366))</f>
        <v>-0.8283551177402233</v>
      </c>
      <c r="V2366" s="564">
        <f>IF((K2366-MAX(K$470:K2366))/MAX(K$470:K2366)&gt;V2365,V2365,(K2366-MAX(K$470:K2366))/MAX(K$470:K2366))</f>
        <v>-0.84885940676762139</v>
      </c>
      <c r="W2366" s="564">
        <f>IF((N2366-MAX(N$470:N2366))/MAX(N$470:N2366)&gt;W2365,W2365,(N2366-MAX(N$470:N2366))/MAX(N$470:N2366))</f>
        <v>-0.62788758315546067</v>
      </c>
      <c r="X2366" s="564">
        <f>IF((O2366-MAX(O$470:O2366))/MAX(O$470:O2366)&gt;X2365,X2365,(O2366-MAX(O$470:O2366))/MAX(O$470:O2366))</f>
        <v>-0.62788758315546067</v>
      </c>
    </row>
    <row r="2367" spans="1:24">
      <c r="A2367" s="799">
        <v>42769</v>
      </c>
      <c r="B2367">
        <v>1019.55</v>
      </c>
      <c r="C2367">
        <v>3772.917332</v>
      </c>
      <c r="D2367">
        <v>2.1989529999999999</v>
      </c>
      <c r="E2367">
        <f>LN(D2367/参数实验室!$E$53)/参数实验室!$E$55</f>
        <v>0.23665524576168684</v>
      </c>
      <c r="F2367">
        <f t="shared" si="308"/>
        <v>3.7005711657103624</v>
      </c>
      <c r="G2367">
        <f>LN(F2367/参数实验室!$E$58)/参数实验室!$E$59</f>
        <v>0.49623476043540082</v>
      </c>
      <c r="H2367" s="856">
        <f>INDEX(神经网络!$G$10:$BO$70,MATCH(ROUND(G2367*2,1)/2,神经网络!$E$10:$E$70,0),MATCH(ROUND(E2367*2,1)/2,神经网络!$G$8:$BO$8,0))</f>
        <v>1.7979234839107936</v>
      </c>
      <c r="I2367">
        <f t="shared" si="310"/>
        <v>1730.1455607713722</v>
      </c>
      <c r="J2367">
        <f t="shared" si="311"/>
        <v>406.82734128725861</v>
      </c>
      <c r="K2367">
        <f t="shared" si="312"/>
        <v>4.2527760186838712</v>
      </c>
      <c r="L2367" s="4">
        <f>MIN(MAX(L2366*(1+MAX(MIN(((B2367-B2366)/B2366)/($K$7*卓尔金历!$N$40),0),-卓尔金历!$M$43))+MIN(MAX(((B2367-B2366)/B2366)/($K$7*卓尔金历!$N$40),0),卓尔金历!$M$43),0),1)</f>
        <v>1</v>
      </c>
      <c r="M2367" s="4">
        <f>MIN(MAX(M2366*(1+MAX(MIN(((B2367-B2366)/B2366)/($K$7*30),0),-卓尔金历!$M$43))+MIN(MAX(((B2367-B2366)/B2366)/($K$7*7),0),卓尔金历!$M$43),0),1)</f>
        <v>1</v>
      </c>
      <c r="N2367">
        <f t="shared" si="313"/>
        <v>1811.0024991356941</v>
      </c>
      <c r="O2367">
        <f t="shared" si="314"/>
        <v>4215.0895125741754</v>
      </c>
      <c r="P2367">
        <f t="shared" si="315"/>
        <v>2.3332235944049186E-2</v>
      </c>
      <c r="Q2367">
        <f t="shared" si="316"/>
        <v>2.2450957244532454E-2</v>
      </c>
      <c r="R2367">
        <f t="shared" si="317"/>
        <v>2.2132372605957171E-2</v>
      </c>
      <c r="S2367">
        <f t="shared" si="309"/>
        <v>27.794756538371651</v>
      </c>
      <c r="T2367" s="564">
        <f>IF((I2367-MAX(I$470:I2367))/MAX(I$470:I2367)&gt;T2366,T2366,(I2367-MAX(I$470:I2367))/MAX(I$470:I2367))</f>
        <v>-0.91338805338419748</v>
      </c>
      <c r="U2367" s="564">
        <f>IF((J2367-MAX(J$470:J2367))/MAX(J$470:J2367)&gt;U2366,U2366,(J2367-MAX(J$470:J2367))/MAX(J$470:J2367))</f>
        <v>-0.8283551177402233</v>
      </c>
      <c r="V2367" s="564">
        <f>IF((K2367-MAX(K$470:K2367))/MAX(K$470:K2367)&gt;V2366,V2366,(K2367-MAX(K$470:K2367))/MAX(K$470:K2367))</f>
        <v>-0.84885940676762139</v>
      </c>
      <c r="W2367" s="564">
        <f>IF((N2367-MAX(N$470:N2367))/MAX(N$470:N2367)&gt;W2366,W2366,(N2367-MAX(N$470:N2367))/MAX(N$470:N2367))</f>
        <v>-0.62788758315546067</v>
      </c>
      <c r="X2367" s="564">
        <f>IF((O2367-MAX(O$470:O2367))/MAX(O$470:O2367)&gt;X2366,X2366,(O2367-MAX(O$470:O2367))/MAX(O$470:O2367))</f>
        <v>-0.62788758315546067</v>
      </c>
    </row>
    <row r="2368" spans="1:24">
      <c r="A2368" s="799">
        <v>42770</v>
      </c>
      <c r="B2368">
        <v>1025.47</v>
      </c>
      <c r="C2368">
        <v>3764.7996680000001</v>
      </c>
      <c r="D2368">
        <v>2.233924</v>
      </c>
      <c r="E2368">
        <f>LN(D2368/参数实验室!$E$53)/参数实验室!$E$55</f>
        <v>0.2552697963690263</v>
      </c>
      <c r="F2368">
        <f t="shared" si="308"/>
        <v>3.6712918642183583</v>
      </c>
      <c r="G2368">
        <f>LN(F2368/参数实验室!$E$58)/参数实验室!$E$59</f>
        <v>0.4920655455405224</v>
      </c>
      <c r="H2368" s="856">
        <f>INDEX(神经网络!$G$10:$BO$70,MATCH(ROUND(G2368*2,1)/2,神经网络!$E$10:$E$70,0),MATCH(ROUND(E2368*2,1)/2,神经网络!$G$8:$BO$8,0))</f>
        <v>1.7979234839107936</v>
      </c>
      <c r="I2368">
        <f t="shared" si="310"/>
        <v>1748.2076101647572</v>
      </c>
      <c r="J2368">
        <f t="shared" si="311"/>
        <v>409.18957743106773</v>
      </c>
      <c r="K2368">
        <f t="shared" si="312"/>
        <v>4.2723659315571423</v>
      </c>
      <c r="L2368" s="4">
        <f>MIN(MAX(L2367*(1+MAX(MIN(((B2368-B2367)/B2367)/($K$7*卓尔金历!$N$40),0),-卓尔金历!$M$43))+MIN(MAX(((B2368-B2367)/B2367)/($K$7*卓尔金历!$N$40),0),卓尔金历!$M$43),0),1)</f>
        <v>1</v>
      </c>
      <c r="M2368" s="4">
        <f>MIN(MAX(M2367*(1+MAX(MIN(((B2368-B2367)/B2367)/($K$7*30),0),-卓尔金历!$M$43))+MIN(MAX(((B2368-B2367)/B2367)/($K$7*7),0),卓尔金历!$M$43),0),1)</f>
        <v>1</v>
      </c>
      <c r="N2368">
        <f t="shared" si="313"/>
        <v>1829.9086636414995</v>
      </c>
      <c r="O2368">
        <f t="shared" si="314"/>
        <v>4259.0934141532489</v>
      </c>
      <c r="P2368">
        <f t="shared" si="315"/>
        <v>5.8064832524153528E-3</v>
      </c>
      <c r="Q2368">
        <f t="shared" si="316"/>
        <v>2.1061144114472581E-2</v>
      </c>
      <c r="R2368">
        <f t="shared" si="317"/>
        <v>1</v>
      </c>
      <c r="S2368">
        <f t="shared" si="309"/>
        <v>27.801178611257797</v>
      </c>
      <c r="T2368" s="564">
        <f>IF((I2368-MAX(I$470:I2368))/MAX(I$470:I2368)&gt;T2367,T2367,(I2368-MAX(I$470:I2368))/MAX(I$470:I2368))</f>
        <v>-0.91338805338419748</v>
      </c>
      <c r="U2368" s="564">
        <f>IF((J2368-MAX(J$470:J2368))/MAX(J$470:J2368)&gt;U2367,U2367,(J2368-MAX(J$470:J2368))/MAX(J$470:J2368))</f>
        <v>-0.8283551177402233</v>
      </c>
      <c r="V2368" s="564">
        <f>IF((K2368-MAX(K$470:K2368))/MAX(K$470:K2368)&gt;V2367,V2367,(K2368-MAX(K$470:K2368))/MAX(K$470:K2368))</f>
        <v>-0.84885940676762139</v>
      </c>
      <c r="W2368" s="564">
        <f>IF((N2368-MAX(N$470:N2368))/MAX(N$470:N2368)&gt;W2367,W2367,(N2368-MAX(N$470:N2368))/MAX(N$470:N2368))</f>
        <v>-0.62788758315546067</v>
      </c>
      <c r="X2368" s="564">
        <f>IF((O2368-MAX(O$470:O2368))/MAX(O$470:O2368)&gt;X2367,X2367,(O2368-MAX(O$470:O2368))/MAX(O$470:O2368))</f>
        <v>-0.62788758315546067</v>
      </c>
    </row>
    <row r="2369" spans="1:24">
      <c r="A2369" s="799">
        <v>42771</v>
      </c>
      <c r="B2369">
        <v>1027.57</v>
      </c>
      <c r="C2369">
        <v>3771.0115989999999</v>
      </c>
      <c r="D2369">
        <v>2.189152</v>
      </c>
      <c r="E2369">
        <f>LN(D2369/参数实验室!$E$53)/参数实验室!$E$55</f>
        <v>0.23138518920109058</v>
      </c>
      <c r="F2369">
        <f t="shared" si="308"/>
        <v>3.6698342682250358</v>
      </c>
      <c r="G2369">
        <f>LN(F2369/参数实验室!$E$58)/参数实验室!$E$59</f>
        <v>0.49185712379526808</v>
      </c>
      <c r="H2369" s="856">
        <f>INDEX(神经网络!$G$10:$BO$70,MATCH(ROUND(G2369*2,1)/2,神经网络!$E$10:$E$70,0),MATCH(ROUND(E2369*2,1)/2,神经网络!$G$8:$BO$8,0))</f>
        <v>1.7979234839107936</v>
      </c>
      <c r="I2369">
        <f t="shared" si="310"/>
        <v>1754.6442698289502</v>
      </c>
      <c r="J2369">
        <f t="shared" si="311"/>
        <v>410.02753281991892</v>
      </c>
      <c r="K2369">
        <f t="shared" si="312"/>
        <v>4.2793327993405192</v>
      </c>
      <c r="L2369" s="4">
        <f>MIN(MAX(L2368*(1+MAX(MIN(((B2369-B2368)/B2368)/($K$7*卓尔金历!$N$40),0),-卓尔金历!$M$43))+MIN(MAX(((B2369-B2368)/B2368)/($K$7*卓尔金历!$N$40),0),卓尔金历!$M$43),0),1)</f>
        <v>1</v>
      </c>
      <c r="M2369" s="4">
        <f>MIN(MAX(M2368*(1+MAX(MIN(((B2369-B2368)/B2368)/($K$7*30),0),-卓尔金历!$M$43))+MIN(MAX(((B2369-B2368)/B2368)/($K$7*7),0),卓尔金历!$M$43),0),1)</f>
        <v>1</v>
      </c>
      <c r="N2369">
        <f t="shared" si="313"/>
        <v>1836.6461353330387</v>
      </c>
      <c r="O2369">
        <f t="shared" si="314"/>
        <v>4274.7748095581837</v>
      </c>
      <c r="P2369">
        <f t="shared" si="315"/>
        <v>2.0478414775662954E-3</v>
      </c>
      <c r="Q2369">
        <f t="shared" si="316"/>
        <v>2.0414764240532846E-2</v>
      </c>
      <c r="R2369">
        <f t="shared" si="317"/>
        <v>1</v>
      </c>
      <c r="S2369">
        <f t="shared" si="309"/>
        <v>27.90353872223297</v>
      </c>
      <c r="T2369" s="564">
        <f>IF((I2369-MAX(I$470:I2369))/MAX(I$470:I2369)&gt;T2368,T2368,(I2369-MAX(I$470:I2369))/MAX(I$470:I2369))</f>
        <v>-0.91338805338419748</v>
      </c>
      <c r="U2369" s="564">
        <f>IF((J2369-MAX(J$470:J2369))/MAX(J$470:J2369)&gt;U2368,U2368,(J2369-MAX(J$470:J2369))/MAX(J$470:J2369))</f>
        <v>-0.8283551177402233</v>
      </c>
      <c r="V2369" s="564">
        <f>IF((K2369-MAX(K$470:K2369))/MAX(K$470:K2369)&gt;V2368,V2368,(K2369-MAX(K$470:K2369))/MAX(K$470:K2369))</f>
        <v>-0.84885940676762139</v>
      </c>
      <c r="W2369" s="564">
        <f>IF((N2369-MAX(N$470:N2369))/MAX(N$470:N2369)&gt;W2368,W2368,(N2369-MAX(N$470:N2369))/MAX(N$470:N2369))</f>
        <v>-0.62788758315546067</v>
      </c>
      <c r="X2369" s="564">
        <f>IF((O2369-MAX(O$470:O2369))/MAX(O$470:O2369)&gt;X2368,X2368,(O2369-MAX(O$470:O2369))/MAX(O$470:O2369))</f>
        <v>-0.62788758315546067</v>
      </c>
    </row>
    <row r="2370" spans="1:24">
      <c r="A2370" s="799">
        <v>42772</v>
      </c>
      <c r="B2370">
        <v>1040.23</v>
      </c>
      <c r="C2370">
        <v>3803.1241049999999</v>
      </c>
      <c r="D2370">
        <v>2.202537</v>
      </c>
      <c r="E2370">
        <f>LN(D2370/参数实验室!$E$53)/参数实验室!$E$55</f>
        <v>0.23857652085756859</v>
      </c>
      <c r="F2370">
        <f t="shared" si="308"/>
        <v>3.6560415533103252</v>
      </c>
      <c r="G2370">
        <f>LN(F2370/参数实验室!$E$58)/参数实验室!$E$59</f>
        <v>0.48988079470697893</v>
      </c>
      <c r="H2370" s="856">
        <f>INDEX(神经网络!$G$10:$BO$70,MATCH(ROUND(G2370*2,1)/2,神经网络!$E$10:$E$70,0),MATCH(ROUND(E2370*2,1)/2,神经网络!$G$8:$BO$8,0))</f>
        <v>1.7979234839107936</v>
      </c>
      <c r="I2370">
        <f t="shared" si="310"/>
        <v>1793.511409113981</v>
      </c>
      <c r="J2370">
        <f t="shared" si="311"/>
        <v>415.07920673556475</v>
      </c>
      <c r="K2370">
        <f t="shared" si="312"/>
        <v>4.3208895555603597</v>
      </c>
      <c r="L2370" s="4">
        <f>MIN(MAX(L2369*(1+MAX(MIN(((B2370-B2369)/B2369)/($K$7*卓尔金历!$N$40),0),-卓尔金历!$M$43))+MIN(MAX(((B2370-B2369)/B2369)/($K$7*卓尔金历!$N$40),0),卓尔金历!$M$43),0),1)</f>
        <v>1</v>
      </c>
      <c r="M2370" s="4">
        <f>MIN(MAX(M2369*(1+MAX(MIN(((B2370-B2369)/B2369)/($K$7*30),0),-卓尔金历!$M$43))+MIN(MAX(((B2370-B2369)/B2369)/($K$7*7),0),卓尔金历!$M$43),0),1)</f>
        <v>1</v>
      </c>
      <c r="N2370">
        <f t="shared" si="313"/>
        <v>1877.3296985981224</v>
      </c>
      <c r="O2370">
        <f t="shared" si="314"/>
        <v>4369.4653806284305</v>
      </c>
      <c r="P2370">
        <f t="shared" si="315"/>
        <v>1.2320328542094536E-2</v>
      </c>
      <c r="Q2370">
        <f t="shared" si="316"/>
        <v>2.0378715611961768E-2</v>
      </c>
      <c r="R2370">
        <f t="shared" si="317"/>
        <v>0.53392867662473398</v>
      </c>
      <c r="S2370">
        <f t="shared" si="309"/>
        <v>28.521630232125172</v>
      </c>
      <c r="T2370" s="564">
        <f>IF((I2370-MAX(I$470:I2370))/MAX(I$470:I2370)&gt;T2369,T2369,(I2370-MAX(I$470:I2370))/MAX(I$470:I2370))</f>
        <v>-0.91338805338419748</v>
      </c>
      <c r="U2370" s="564">
        <f>IF((J2370-MAX(J$470:J2370))/MAX(J$470:J2370)&gt;U2369,U2369,(J2370-MAX(J$470:J2370))/MAX(J$470:J2370))</f>
        <v>-0.8283551177402233</v>
      </c>
      <c r="V2370" s="564">
        <f>IF((K2370-MAX(K$470:K2370))/MAX(K$470:K2370)&gt;V2369,V2369,(K2370-MAX(K$470:K2370))/MAX(K$470:K2370))</f>
        <v>-0.84885940676762139</v>
      </c>
      <c r="W2370" s="564">
        <f>IF((N2370-MAX(N$470:N2370))/MAX(N$470:N2370)&gt;W2369,W2369,(N2370-MAX(N$470:N2370))/MAX(N$470:N2370))</f>
        <v>-0.62788758315546067</v>
      </c>
      <c r="X2370" s="564">
        <f>IF((O2370-MAX(O$470:O2370))/MAX(O$470:O2370)&gt;X2369,X2369,(O2370-MAX(O$470:O2370))/MAX(O$470:O2370))</f>
        <v>-0.62788758315546067</v>
      </c>
    </row>
    <row r="2371" spans="1:24">
      <c r="A2371" s="799">
        <v>42773</v>
      </c>
      <c r="B2371">
        <v>1059.9000000000001</v>
      </c>
      <c r="C2371">
        <v>3843.113347</v>
      </c>
      <c r="D2371">
        <v>2.2591109999999999</v>
      </c>
      <c r="E2371">
        <f>LN(D2371/参数实验室!$E$53)/参数实验室!$E$55</f>
        <v>0.26849682719303297</v>
      </c>
      <c r="F2371">
        <f t="shared" si="308"/>
        <v>3.6259206972355877</v>
      </c>
      <c r="G2371">
        <f>LN(F2371/参数实验室!$E$58)/参数实验室!$E$59</f>
        <v>0.48553879382571785</v>
      </c>
      <c r="H2371" s="856">
        <f>INDEX(神经网络!$G$10:$BO$70,MATCH(ROUND(G2371*2,1)/2,神经网络!$E$10:$E$70,0),MATCH(ROUND(E2371*2,1)/2,神经网络!$G$8:$BO$8,0))</f>
        <v>1.7979234839107936</v>
      </c>
      <c r="I2371">
        <f t="shared" si="310"/>
        <v>1854.4862020438081</v>
      </c>
      <c r="J2371">
        <f t="shared" si="311"/>
        <v>422.92805554447102</v>
      </c>
      <c r="K2371">
        <f t="shared" si="312"/>
        <v>4.3848739229568761</v>
      </c>
      <c r="L2371" s="4">
        <f>MIN(MAX(L2370*(1+MAX(MIN(((B2371-B2370)/B2370)/($K$7*卓尔金历!$N$40),0),-卓尔金历!$M$43))+MIN(MAX(((B2371-B2370)/B2370)/($K$7*卓尔金历!$N$40),0),卓尔金历!$M$43),0),1)</f>
        <v>1</v>
      </c>
      <c r="M2371" s="4">
        <f>MIN(MAX(M2370*(1+MAX(MIN(((B2371-B2370)/B2370)/($K$7*30),0),-卓尔金历!$M$43))+MIN(MAX(((B2371-B2370)/B2370)/($K$7*7),0),卓尔金历!$M$43),0),1)</f>
        <v>1</v>
      </c>
      <c r="N2371">
        <f t="shared" si="313"/>
        <v>1941.1540986277741</v>
      </c>
      <c r="O2371">
        <f t="shared" si="314"/>
        <v>4518.0160089901901</v>
      </c>
      <c r="P2371">
        <f t="shared" si="315"/>
        <v>1.8909279678532703E-2</v>
      </c>
      <c r="Q2371">
        <f t="shared" si="316"/>
        <v>1.5075861514990092E-2</v>
      </c>
      <c r="R2371">
        <f t="shared" si="317"/>
        <v>1.5761756592463785E-2</v>
      </c>
      <c r="S2371">
        <f t="shared" si="309"/>
        <v>29.039360770324659</v>
      </c>
      <c r="T2371" s="564">
        <f>IF((I2371-MAX(I$470:I2371))/MAX(I$470:I2371)&gt;T2370,T2370,(I2371-MAX(I$470:I2371))/MAX(I$470:I2371))</f>
        <v>-0.91338805338419748</v>
      </c>
      <c r="U2371" s="564">
        <f>IF((J2371-MAX(J$470:J2371))/MAX(J$470:J2371)&gt;U2370,U2370,(J2371-MAX(J$470:J2371))/MAX(J$470:J2371))</f>
        <v>-0.8283551177402233</v>
      </c>
      <c r="V2371" s="564">
        <f>IF((K2371-MAX(K$470:K2371))/MAX(K$470:K2371)&gt;V2370,V2370,(K2371-MAX(K$470:K2371))/MAX(K$470:K2371))</f>
        <v>-0.84885940676762139</v>
      </c>
      <c r="W2371" s="564">
        <f>IF((N2371-MAX(N$470:N2371))/MAX(N$470:N2371)&gt;W2370,W2370,(N2371-MAX(N$470:N2371))/MAX(N$470:N2371))</f>
        <v>-0.62788758315546067</v>
      </c>
      <c r="X2371" s="564">
        <f>IF((O2371-MAX(O$470:O2371))/MAX(O$470:O2371)&gt;X2370,X2370,(O2371-MAX(O$470:O2371))/MAX(O$470:O2371))</f>
        <v>-0.62788758315546067</v>
      </c>
    </row>
    <row r="2372" spans="1:24">
      <c r="A2372" s="799">
        <v>42774</v>
      </c>
      <c r="B2372">
        <v>1052.24</v>
      </c>
      <c r="C2372">
        <v>3820.3282260000001</v>
      </c>
      <c r="D2372">
        <v>2.250756</v>
      </c>
      <c r="E2372">
        <f>LN(D2372/参数实验室!$E$53)/参数实验室!$E$55</f>
        <v>0.26412558980172834</v>
      </c>
      <c r="F2372">
        <f t="shared" si="308"/>
        <v>3.6306624211206571</v>
      </c>
      <c r="G2372">
        <f>LN(F2372/参数实验室!$E$58)/参数实验室!$E$59</f>
        <v>0.48622471260205502</v>
      </c>
      <c r="H2372" s="856">
        <f>INDEX(神经网络!$G$10:$BO$70,MATCH(ROUND(G2372*2,1)/2,神经网络!$E$10:$E$70,0),MATCH(ROUND(E2372*2,1)/2,神经网络!$G$8:$BO$8,0))</f>
        <v>1.7979234839107936</v>
      </c>
      <c r="I2372">
        <f t="shared" si="310"/>
        <v>1830.3894400037643</v>
      </c>
      <c r="J2372">
        <f t="shared" si="311"/>
        <v>419.87151350704232</v>
      </c>
      <c r="K2372">
        <f t="shared" si="312"/>
        <v>4.359403724999467</v>
      </c>
      <c r="L2372" s="4">
        <f>MIN(MAX(L2371*(1+MAX(MIN(((B2372-B2371)/B2371)/($K$7*卓尔金历!$N$40),0),-卓尔金历!$M$43))+MIN(MAX(((B2372-B2371)/B2371)/($K$7*卓尔金历!$N$40),0),卓尔金历!$M$43),0),1)</f>
        <v>0.8895768947562076</v>
      </c>
      <c r="M2372" s="4">
        <f>MIN(MAX(M2371*(1+MAX(MIN(((B2372-B2371)/B2371)/($K$7*30),0),-卓尔金历!$M$43))+MIN(MAX(((B2372-B2371)/B2371)/($K$7*7),0),卓尔金历!$M$43),0),1)</f>
        <v>0.94478844737810386</v>
      </c>
      <c r="N2372">
        <f t="shared" si="313"/>
        <v>1915.9311941132307</v>
      </c>
      <c r="O2372">
        <f t="shared" si="314"/>
        <v>4459.3099606293226</v>
      </c>
      <c r="P2372">
        <f t="shared" si="315"/>
        <v>-7.2270968959336551E-3</v>
      </c>
      <c r="Q2372">
        <f t="shared" si="316"/>
        <v>1.5380037574541627E-2</v>
      </c>
      <c r="R2372">
        <f t="shared" si="317"/>
        <v>0.78169463689656116</v>
      </c>
      <c r="S2372">
        <f t="shared" si="309"/>
        <v>29.033413375765466</v>
      </c>
      <c r="T2372" s="564">
        <f>IF((I2372-MAX(I$470:I2372))/MAX(I$470:I2372)&gt;T2371,T2371,(I2372-MAX(I$470:I2372))/MAX(I$470:I2372))</f>
        <v>-0.91338805338419748</v>
      </c>
      <c r="U2372" s="564">
        <f>IF((J2372-MAX(J$470:J2372))/MAX(J$470:J2372)&gt;U2371,U2371,(J2372-MAX(J$470:J2372))/MAX(J$470:J2372))</f>
        <v>-0.8283551177402233</v>
      </c>
      <c r="V2372" s="564">
        <f>IF((K2372-MAX(K$470:K2372))/MAX(K$470:K2372)&gt;V2371,V2371,(K2372-MAX(K$470:K2372))/MAX(K$470:K2372))</f>
        <v>-0.84885940676762139</v>
      </c>
      <c r="W2372" s="564">
        <f>IF((N2372-MAX(N$470:N2372))/MAX(N$470:N2372)&gt;W2371,W2371,(N2372-MAX(N$470:N2372))/MAX(N$470:N2372))</f>
        <v>-0.62788758315546067</v>
      </c>
      <c r="X2372" s="564">
        <f>IF((O2372-MAX(O$470:O2372))/MAX(O$470:O2372)&gt;X2371,X2371,(O2372-MAX(O$470:O2372))/MAX(O$470:O2372))</f>
        <v>-0.62788758315546067</v>
      </c>
    </row>
    <row r="2373" spans="1:24">
      <c r="A2373" s="799">
        <v>42775</v>
      </c>
      <c r="B2373">
        <v>983.11400000000003</v>
      </c>
      <c r="C2373">
        <v>3800.3335940000002</v>
      </c>
      <c r="D2373">
        <v>2.1003229999999999</v>
      </c>
      <c r="E2373">
        <f>LN(D2373/参数实验室!$E$53)/参数实验室!$E$55</f>
        <v>0.18251613867503105</v>
      </c>
      <c r="F2373">
        <f t="shared" ref="F2373:F2436" si="318">C2373/B2373</f>
        <v>3.865608254993826</v>
      </c>
      <c r="G2373">
        <f>LN(F2373/参数实验室!$E$58)/参数实验室!$E$59</f>
        <v>0.51913512274661722</v>
      </c>
      <c r="H2373" s="856">
        <f>INDEX(神经网络!$G$10:$BO$70,MATCH(ROUND(G2373*2,1)/2,神经网络!$E$10:$E$70,0),MATCH(ROUND(E2373*2,1)/2,神经网络!$G$8:$BO$8,0))</f>
        <v>1.7238252358461883</v>
      </c>
      <c r="I2373">
        <f t="shared" si="310"/>
        <v>1614.1965900996636</v>
      </c>
      <c r="J2373">
        <f t="shared" si="311"/>
        <v>392.28841626431461</v>
      </c>
      <c r="K2373">
        <f t="shared" si="312"/>
        <v>4.1148209408560676</v>
      </c>
      <c r="L2373" s="4">
        <f>MIN(MAX(L2372*(1+MAX(MIN(((B2373-B2372)/B2372)/($K$7*卓尔金历!$N$40),0),-卓尔金历!$M$43))+MIN(MAX(((B2373-B2372)/B2372)/($K$7*卓尔金历!$N$40),0),卓尔金历!$M$43),0),1)</f>
        <v>0</v>
      </c>
      <c r="M2373" s="4">
        <f>MIN(MAX(M2372*(1+MAX(MIN(((B2373-B2372)/B2372)/($K$7*30),0),-卓尔金历!$M$43))+MIN(MAX(((B2373-B2372)/B2372)/($K$7*7),0),卓尔金历!$M$43),0),1)</f>
        <v>0.47062586785511556</v>
      </c>
      <c r="N2373">
        <f t="shared" si="313"/>
        <v>1714.6231043829171</v>
      </c>
      <c r="O2373">
        <f t="shared" si="314"/>
        <v>3961.6874021398462</v>
      </c>
      <c r="P2373">
        <f t="shared" si="315"/>
        <v>-6.5694138219417594E-2</v>
      </c>
      <c r="Q2373">
        <f t="shared" si="316"/>
        <v>2.1706576693701584E-2</v>
      </c>
      <c r="R2373">
        <f t="shared" si="317"/>
        <v>0</v>
      </c>
      <c r="S2373">
        <f t="shared" si="309"/>
        <v>26.35280694638282</v>
      </c>
      <c r="T2373" s="564">
        <f>IF((I2373-MAX(I$470:I2373))/MAX(I$470:I2373)&gt;T2372,T2372,(I2373-MAX(I$470:I2373))/MAX(I$470:I2373))</f>
        <v>-0.91338805338419748</v>
      </c>
      <c r="U2373" s="564">
        <f>IF((J2373-MAX(J$470:J2373))/MAX(J$470:J2373)&gt;U2372,U2372,(J2373-MAX(J$470:J2373))/MAX(J$470:J2373))</f>
        <v>-0.8283551177402233</v>
      </c>
      <c r="V2373" s="564">
        <f>IF((K2373-MAX(K$470:K2373))/MAX(K$470:K2373)&gt;V2372,V2372,(K2373-MAX(K$470:K2373))/MAX(K$470:K2373))</f>
        <v>-0.84885940676762139</v>
      </c>
      <c r="W2373" s="564">
        <f>IF((N2373-MAX(N$470:N2373))/MAX(N$470:N2373)&gt;W2372,W2372,(N2373-MAX(N$470:N2373))/MAX(N$470:N2373))</f>
        <v>-0.62788758315546067</v>
      </c>
      <c r="X2373" s="564">
        <f>IF((O2373-MAX(O$470:O2373))/MAX(O$470:O2373)&gt;X2372,X2372,(O2373-MAX(O$470:O2373))/MAX(O$470:O2373))</f>
        <v>-0.62788758315546067</v>
      </c>
    </row>
    <row r="2374" spans="1:24">
      <c r="A2374" s="799">
        <v>42776</v>
      </c>
      <c r="B2374">
        <v>965.10500000000002</v>
      </c>
      <c r="C2374">
        <v>3816.0984469999999</v>
      </c>
      <c r="D2374">
        <v>2.1239509999999999</v>
      </c>
      <c r="E2374">
        <f>LN(D2374/参数实验室!$E$53)/参数实验室!$E$55</f>
        <v>0.1957139096317054</v>
      </c>
      <c r="F2374">
        <f t="shared" si="318"/>
        <v>3.9540759264535983</v>
      </c>
      <c r="G2374">
        <f>LN(F2374/参数实验室!$E$58)/参数实验室!$E$59</f>
        <v>0.53101145819947526</v>
      </c>
      <c r="H2374" s="856">
        <f>INDEX(神经网络!$G$10:$BO$70,MATCH(ROUND(G2374*2,1)/2,神经网络!$E$10:$E$70,0),MATCH(ROUND(E2374*2,1)/2,神经网络!$G$8:$BO$8,0))</f>
        <v>1.761300812776319</v>
      </c>
      <c r="I2374">
        <f t="shared" si="310"/>
        <v>1563.2241555165829</v>
      </c>
      <c r="J2374">
        <f t="shared" si="311"/>
        <v>385.10235026535207</v>
      </c>
      <c r="K2374">
        <f t="shared" si="312"/>
        <v>4.0592433529409888</v>
      </c>
      <c r="L2374" s="4">
        <f>MIN(MAX(L2373*(1+MAX(MIN(((B2374-B2373)/B2373)/($K$7*卓尔金历!$N$40),0),-卓尔金历!$M$43))+MIN(MAX(((B2374-B2373)/B2373)/($K$7*卓尔金历!$N$40),0),卓尔金历!$M$43),0),1)</f>
        <v>0</v>
      </c>
      <c r="M2374" s="4">
        <f>MIN(MAX(M2373*(1+MAX(MIN(((B2374-B2373)/B2373)/($K$7*30),0),-卓尔金历!$M$43))+MIN(MAX(((B2374-B2373)/B2373)/($K$7*7),0),卓尔金历!$M$43),0),1)</f>
        <v>0.40476497795114608</v>
      </c>
      <c r="N2374">
        <f t="shared" si="313"/>
        <v>1714.6231043829171</v>
      </c>
      <c r="O2374">
        <f t="shared" si="314"/>
        <v>3902.8118557652278</v>
      </c>
      <c r="P2374">
        <f t="shared" si="315"/>
        <v>-1.8318323205650629E-2</v>
      </c>
      <c r="Q2374">
        <f t="shared" si="316"/>
        <v>2.2256482583974033E-2</v>
      </c>
      <c r="R2374">
        <f t="shared" si="317"/>
        <v>0.22066502202895516</v>
      </c>
      <c r="S2374">
        <f t="shared" si="309"/>
        <v>26.35280694638282</v>
      </c>
      <c r="T2374" s="564">
        <f>IF((I2374-MAX(I$470:I2374))/MAX(I$470:I2374)&gt;T2373,T2373,(I2374-MAX(I$470:I2374))/MAX(I$470:I2374))</f>
        <v>-0.91338805338419748</v>
      </c>
      <c r="U2374" s="564">
        <f>IF((J2374-MAX(J$470:J2374))/MAX(J$470:J2374)&gt;U2373,U2373,(J2374-MAX(J$470:J2374))/MAX(J$470:J2374))</f>
        <v>-0.8283551177402233</v>
      </c>
      <c r="V2374" s="564">
        <f>IF((K2374-MAX(K$470:K2374))/MAX(K$470:K2374)&gt;V2373,V2373,(K2374-MAX(K$470:K2374))/MAX(K$470:K2374))</f>
        <v>-0.84885940676762139</v>
      </c>
      <c r="W2374" s="564">
        <f>IF((N2374-MAX(N$470:N2374))/MAX(N$470:N2374)&gt;W2373,W2373,(N2374-MAX(N$470:N2374))/MAX(N$470:N2374))</f>
        <v>-0.62788758315546067</v>
      </c>
      <c r="X2374" s="564">
        <f>IF((O2374-MAX(O$470:O2374))/MAX(O$470:O2374)&gt;X2373,X2373,(O2374-MAX(O$470:O2374))/MAX(O$470:O2374))</f>
        <v>-0.62788758315546067</v>
      </c>
    </row>
    <row r="2375" spans="1:24">
      <c r="A2375" s="799">
        <v>42777</v>
      </c>
      <c r="B2375">
        <v>1003.48</v>
      </c>
      <c r="C2375">
        <v>3897.8519569999999</v>
      </c>
      <c r="D2375">
        <v>2.1534550000000001</v>
      </c>
      <c r="E2375">
        <f>LN(D2375/参数实验室!$E$53)/参数实验室!$E$55</f>
        <v>0.21198919037051153</v>
      </c>
      <c r="F2375">
        <f t="shared" si="318"/>
        <v>3.8843344730338418</v>
      </c>
      <c r="G2375">
        <f>LN(F2375/参数实验室!$E$58)/参数实验室!$E$59</f>
        <v>0.52167154158813844</v>
      </c>
      <c r="H2375" s="856">
        <f>INDEX(神经网络!$G$10:$BO$70,MATCH(ROUND(G2375*2,1)/2,神经网络!$E$10:$E$70,0),MATCH(ROUND(E2375*2,1)/2,神经网络!$G$8:$BO$8,0))</f>
        <v>1.7238252358461883</v>
      </c>
      <c r="I2375">
        <f t="shared" si="310"/>
        <v>1672.7025993813074</v>
      </c>
      <c r="J2375">
        <f t="shared" si="311"/>
        <v>400.41498743066865</v>
      </c>
      <c r="K2375">
        <f t="shared" si="312"/>
        <v>4.1774225538221987</v>
      </c>
      <c r="L2375" s="4">
        <f>MIN(MAX(L2374*(1+MAX(MIN(((B2375-B2374)/B2374)/($K$7*卓尔金历!$N$40),0),-卓尔金历!$M$43))+MIN(MAX(((B2375-B2374)/B2374)/($K$7*卓尔金历!$N$40),0),卓尔金历!$M$43),0),1)</f>
        <v>0.60753303968724182</v>
      </c>
      <c r="M2375" s="4">
        <f>MIN(MAX(M2374*(1+MAX(MIN(((B2375-B2374)/B2374)/($K$7*30),0),-卓尔金历!$M$43))+MIN(MAX(((B2375-B2374)/B2374)/($K$7*7),0),卓尔金历!$M$43),0),1)</f>
        <v>1</v>
      </c>
      <c r="N2375">
        <f t="shared" si="313"/>
        <v>1714.6231043829171</v>
      </c>
      <c r="O2375">
        <f t="shared" si="314"/>
        <v>4013.445674301659</v>
      </c>
      <c r="P2375">
        <f t="shared" si="315"/>
        <v>3.97625128871988E-2</v>
      </c>
      <c r="Q2375">
        <f t="shared" si="316"/>
        <v>2.2371343417597608E-2</v>
      </c>
      <c r="R2375">
        <f t="shared" si="317"/>
        <v>9.4558056609180385E-3</v>
      </c>
      <c r="S2375">
        <f t="shared" si="309"/>
        <v>26.76006317651191</v>
      </c>
      <c r="T2375" s="564">
        <f>IF((I2375-MAX(I$470:I2375))/MAX(I$470:I2375)&gt;T2374,T2374,(I2375-MAX(I$470:I2375))/MAX(I$470:I2375))</f>
        <v>-0.91338805338419748</v>
      </c>
      <c r="U2375" s="564">
        <f>IF((J2375-MAX(J$470:J2375))/MAX(J$470:J2375)&gt;U2374,U2374,(J2375-MAX(J$470:J2375))/MAX(J$470:J2375))</f>
        <v>-0.8283551177402233</v>
      </c>
      <c r="V2375" s="564">
        <f>IF((K2375-MAX(K$470:K2375))/MAX(K$470:K2375)&gt;V2374,V2374,(K2375-MAX(K$470:K2375))/MAX(K$470:K2375))</f>
        <v>-0.84885940676762139</v>
      </c>
      <c r="W2375" s="564">
        <f>IF((N2375-MAX(N$470:N2375))/MAX(N$470:N2375)&gt;W2374,W2374,(N2375-MAX(N$470:N2375))/MAX(N$470:N2375))</f>
        <v>-0.62788758315546067</v>
      </c>
      <c r="X2375" s="564">
        <f>IF((O2375-MAX(O$470:O2375))/MAX(O$470:O2375)&gt;X2374,X2374,(O2375-MAX(O$470:O2375))/MAX(O$470:O2375))</f>
        <v>-0.62788758315546067</v>
      </c>
    </row>
    <row r="2376" spans="1:24">
      <c r="A2376" s="799">
        <v>42778</v>
      </c>
      <c r="B2376">
        <v>1000.53</v>
      </c>
      <c r="C2376">
        <v>3924.032506</v>
      </c>
      <c r="D2376">
        <v>2.1400220000000001</v>
      </c>
      <c r="E2376">
        <f>LN(D2376/参数实验室!$E$53)/参数实验室!$E$55</f>
        <v>0.2046069791528323</v>
      </c>
      <c r="F2376">
        <f t="shared" si="318"/>
        <v>3.9219538704486623</v>
      </c>
      <c r="G2376">
        <f>LN(F2376/参数实验室!$E$58)/参数实验室!$E$59</f>
        <v>0.52673024421713766</v>
      </c>
      <c r="H2376" s="856">
        <f>INDEX(神经网络!$G$10:$BO$70,MATCH(ROUND(G2376*2,1)/2,神经网络!$E$10:$E$70,0),MATCH(ROUND(E2376*2,1)/2,神经网络!$G$8:$BO$8,0))</f>
        <v>1.761300812776319</v>
      </c>
      <c r="I2376">
        <f t="shared" si="310"/>
        <v>1664.2259296808716</v>
      </c>
      <c r="J2376">
        <f t="shared" si="311"/>
        <v>399.23785962252055</v>
      </c>
      <c r="K2376">
        <f t="shared" si="312"/>
        <v>4.1685072935076786</v>
      </c>
      <c r="L2376" s="4">
        <f>MIN(MAX(L2375*(1+MAX(MIN(((B2376-B2375)/B2375)/($K$7*卓尔金历!$N$40),0),-卓尔金历!$M$43))+MIN(MAX(((B2376-B2375)/B2375)/($K$7*卓尔金历!$N$40),0),卓尔金历!$M$43),0),1)</f>
        <v>0.58024456415240255</v>
      </c>
      <c r="M2376" s="4">
        <f>MIN(MAX(M2375*(1+MAX(MIN(((B2376-B2375)/B2375)/($K$7*30),0),-卓尔金历!$M$43))+MIN(MAX(((B2376-B2375)/B2375)/($K$7*7),0),卓尔金历!$M$43),0),1)</f>
        <v>0.97754157078527992</v>
      </c>
      <c r="N2376">
        <f t="shared" si="313"/>
        <v>1709.3441841226072</v>
      </c>
      <c r="O2376">
        <f t="shared" si="314"/>
        <v>3993.1069402348371</v>
      </c>
      <c r="P2376">
        <f t="shared" si="315"/>
        <v>-2.9397696017858309E-3</v>
      </c>
      <c r="Q2376">
        <f t="shared" si="316"/>
        <v>2.1870437902870021E-2</v>
      </c>
      <c r="R2376">
        <f t="shared" si="317"/>
        <v>1</v>
      </c>
      <c r="S2376">
        <f t="shared" si="309"/>
        <v>26.758780868955945</v>
      </c>
      <c r="T2376" s="564">
        <f>IF((I2376-MAX(I$470:I2376))/MAX(I$470:I2376)&gt;T2375,T2375,(I2376-MAX(I$470:I2376))/MAX(I$470:I2376))</f>
        <v>-0.91338805338419748</v>
      </c>
      <c r="U2376" s="564">
        <f>IF((J2376-MAX(J$470:J2376))/MAX(J$470:J2376)&gt;U2375,U2375,(J2376-MAX(J$470:J2376))/MAX(J$470:J2376))</f>
        <v>-0.8283551177402233</v>
      </c>
      <c r="V2376" s="564">
        <f>IF((K2376-MAX(K$470:K2376))/MAX(K$470:K2376)&gt;V2375,V2375,(K2376-MAX(K$470:K2376))/MAX(K$470:K2376))</f>
        <v>-0.84885940676762139</v>
      </c>
      <c r="W2376" s="564">
        <f>IF((N2376-MAX(N$470:N2376))/MAX(N$470:N2376)&gt;W2375,W2375,(N2376-MAX(N$470:N2376))/MAX(N$470:N2376))</f>
        <v>-0.62788758315546067</v>
      </c>
      <c r="X2376" s="564">
        <f>IF((O2376-MAX(O$470:O2376))/MAX(O$470:O2376)&gt;X2375,X2375,(O2376-MAX(O$470:O2376))/MAX(O$470:O2376))</f>
        <v>-0.62788758315546067</v>
      </c>
    </row>
    <row r="2377" spans="1:24">
      <c r="A2377" s="799">
        <v>42779</v>
      </c>
      <c r="B2377">
        <v>992.64300000000003</v>
      </c>
      <c r="C2377">
        <v>3948.15191</v>
      </c>
      <c r="D2377">
        <v>2.122709</v>
      </c>
      <c r="E2377">
        <f>LN(D2377/参数实验室!$E$53)/参数实验室!$E$55</f>
        <v>0.19502383622305447</v>
      </c>
      <c r="F2377">
        <f t="shared" si="318"/>
        <v>3.9774137429065637</v>
      </c>
      <c r="G2377">
        <f>LN(F2377/参数实验室!$E$58)/参数实验室!$E$59</f>
        <v>0.53410015482085693</v>
      </c>
      <c r="H2377" s="856">
        <f>INDEX(神经网络!$G$10:$BO$70,MATCH(ROUND(G2377*2,1)/2,神经网络!$E$10:$E$70,0),MATCH(ROUND(E2377*2,1)/2,神经网络!$G$8:$BO$8,0))</f>
        <v>1.761300812776319</v>
      </c>
      <c r="I2377">
        <f t="shared" si="310"/>
        <v>1641.1197819589743</v>
      </c>
      <c r="J2377">
        <f t="shared" si="311"/>
        <v>396.09073859782086</v>
      </c>
      <c r="K2377">
        <f t="shared" si="312"/>
        <v>4.1432924884045823</v>
      </c>
      <c r="L2377" s="4">
        <f>MIN(MAX(L2376*(1+MAX(MIN(((B2377-B2376)/B2376)/($K$7*卓尔金历!$N$40),0),-卓尔金历!$M$43))+MIN(MAX(((B2377-B2376)/B2376)/($K$7*卓尔金历!$N$40),0),卓尔金历!$M$43),0),1)</f>
        <v>0.51035877320574019</v>
      </c>
      <c r="M2377" s="4">
        <f>MIN(MAX(M2376*(1+MAX(MIN(((B2377-B2376)/B2376)/($K$7*30),0),-卓尔金历!$M$43))+MIN(MAX(((B2377-B2376)/B2376)/($K$7*7),0),卓尔金历!$M$43),0),1)</f>
        <v>0.91867306078263511</v>
      </c>
      <c r="N2377">
        <f t="shared" si="313"/>
        <v>1695.5734890890096</v>
      </c>
      <c r="O2377">
        <f t="shared" si="314"/>
        <v>3938.9116635660207</v>
      </c>
      <c r="P2377">
        <f t="shared" si="315"/>
        <v>-7.8828221042846723E-3</v>
      </c>
      <c r="Q2377">
        <f t="shared" si="316"/>
        <v>2.1869332041604152E-2</v>
      </c>
      <c r="R2377">
        <f t="shared" si="317"/>
        <v>1</v>
      </c>
      <c r="S2377">
        <f t="shared" si="309"/>
        <v>26.387261393992269</v>
      </c>
      <c r="T2377" s="564">
        <f>IF((I2377-MAX(I$470:I2377))/MAX(I$470:I2377)&gt;T2376,T2376,(I2377-MAX(I$470:I2377))/MAX(I$470:I2377))</f>
        <v>-0.91338805338419748</v>
      </c>
      <c r="U2377" s="564">
        <f>IF((J2377-MAX(J$470:J2377))/MAX(J$470:J2377)&gt;U2376,U2376,(J2377-MAX(J$470:J2377))/MAX(J$470:J2377))</f>
        <v>-0.8283551177402233</v>
      </c>
      <c r="V2377" s="564">
        <f>IF((K2377-MAX(K$470:K2377))/MAX(K$470:K2377)&gt;V2376,V2376,(K2377-MAX(K$470:K2377))/MAX(K$470:K2377))</f>
        <v>-0.84885940676762139</v>
      </c>
      <c r="W2377" s="564">
        <f>IF((N2377-MAX(N$470:N2377))/MAX(N$470:N2377)&gt;W2376,W2376,(N2377-MAX(N$470:N2377))/MAX(N$470:N2377))</f>
        <v>-0.62788758315546067</v>
      </c>
      <c r="X2377" s="564">
        <f>IF((O2377-MAX(O$470:O2377))/MAX(O$470:O2377)&gt;X2376,X2376,(O2377-MAX(O$470:O2377))/MAX(O$470:O2377))</f>
        <v>-0.62788758315546067</v>
      </c>
    </row>
    <row r="2378" spans="1:24">
      <c r="A2378" s="799">
        <v>42780</v>
      </c>
      <c r="B2378">
        <v>1001.77</v>
      </c>
      <c r="C2378">
        <v>3944.7772759999998</v>
      </c>
      <c r="D2378">
        <v>2.145025</v>
      </c>
      <c r="E2378">
        <f>LN(D2378/参数实验室!$E$53)/参数实验室!$E$55</f>
        <v>0.20736181855671379</v>
      </c>
      <c r="F2378">
        <f t="shared" si="318"/>
        <v>3.9378073569781487</v>
      </c>
      <c r="G2378">
        <f>LN(F2378/参数实验室!$E$58)/参数实验室!$E$59</f>
        <v>0.52884755479323742</v>
      </c>
      <c r="H2378" s="856">
        <f>INDEX(神经网络!$G$10:$BO$70,MATCH(ROUND(G2378*2,1)/2,神经网络!$E$10:$E$70,0),MATCH(ROUND(E2378*2,1)/2,神经网络!$G$8:$BO$8,0))</f>
        <v>1.761300812776319</v>
      </c>
      <c r="I2378">
        <f t="shared" si="310"/>
        <v>1667.6969548845766</v>
      </c>
      <c r="J2378">
        <f t="shared" si="311"/>
        <v>399.73265232831841</v>
      </c>
      <c r="K2378">
        <f t="shared" si="312"/>
        <v>4.172030844042288</v>
      </c>
      <c r="L2378" s="4">
        <f>MIN(MAX(L2377*(1+MAX(MIN(((B2378-B2377)/B2377)/($K$7*卓尔金历!$N$40),0),-卓尔金历!$M$43))+MIN(MAX(((B2378-B2377)/B2377)/($K$7*卓尔金历!$N$40),0),卓尔金历!$M$43),0),1)</f>
        <v>0.65084412541525183</v>
      </c>
      <c r="M2378" s="4">
        <f>MIN(MAX(M2377*(1+MAX(MIN(((B2378-B2377)/B2377)/($K$7*30),0),-卓尔金历!$M$43))+MIN(MAX(((B2378-B2377)/B2377)/($K$7*7),0),卓尔金历!$M$43),0),1)</f>
        <v>1</v>
      </c>
      <c r="N2378">
        <f t="shared" si="313"/>
        <v>1709.5874436212314</v>
      </c>
      <c r="O2378">
        <f t="shared" si="314"/>
        <v>3997.5127576188715</v>
      </c>
      <c r="P2378">
        <f t="shared" si="315"/>
        <v>9.1946450032891515E-3</v>
      </c>
      <c r="Q2378">
        <f t="shared" si="316"/>
        <v>2.1377477621793504E-2</v>
      </c>
      <c r="R2378">
        <f t="shared" si="317"/>
        <v>0.88403752256456614</v>
      </c>
      <c r="S2378">
        <f t="shared" si="309"/>
        <v>26.814590841123835</v>
      </c>
      <c r="T2378" s="564">
        <f>IF((I2378-MAX(I$470:I2378))/MAX(I$470:I2378)&gt;T2377,T2377,(I2378-MAX(I$470:I2378))/MAX(I$470:I2378))</f>
        <v>-0.91338805338419748</v>
      </c>
      <c r="U2378" s="564">
        <f>IF((J2378-MAX(J$470:J2378))/MAX(J$470:J2378)&gt;U2377,U2377,(J2378-MAX(J$470:J2378))/MAX(J$470:J2378))</f>
        <v>-0.8283551177402233</v>
      </c>
      <c r="V2378" s="564">
        <f>IF((K2378-MAX(K$470:K2378))/MAX(K$470:K2378)&gt;V2377,V2377,(K2378-MAX(K$470:K2378))/MAX(K$470:K2378))</f>
        <v>-0.84885940676762139</v>
      </c>
      <c r="W2378" s="564">
        <f>IF((N2378-MAX(N$470:N2378))/MAX(N$470:N2378)&gt;W2377,W2377,(N2378-MAX(N$470:N2378))/MAX(N$470:N2378))</f>
        <v>-0.62788758315546067</v>
      </c>
      <c r="X2378" s="564">
        <f>IF((O2378-MAX(O$470:O2378))/MAX(O$470:O2378)&gt;X2377,X2377,(O2378-MAX(O$470:O2378))/MAX(O$470:O2378))</f>
        <v>-0.62788758315546067</v>
      </c>
    </row>
    <row r="2379" spans="1:24">
      <c r="A2379" s="799">
        <v>42781</v>
      </c>
      <c r="B2379">
        <v>1005.66</v>
      </c>
      <c r="C2379">
        <v>4022.442493</v>
      </c>
      <c r="D2379">
        <v>2.1466460000000001</v>
      </c>
      <c r="E2379">
        <f>LN(D2379/参数实验室!$E$53)/参数实验室!$E$55</f>
        <v>0.20825302391678049</v>
      </c>
      <c r="F2379">
        <f t="shared" si="318"/>
        <v>3.9998036045979757</v>
      </c>
      <c r="G2379">
        <f>LN(F2379/参数实验室!$E$58)/参数实验室!$E$59</f>
        <v>0.53704640531876058</v>
      </c>
      <c r="H2379" s="856">
        <f>INDEX(神经网络!$G$10:$BO$70,MATCH(ROUND(G2379*2,1)/2,神经网络!$E$10:$E$70,0),MATCH(ROUND(E2379*2,1)/2,神经网络!$G$8:$BO$8,0))</f>
        <v>1.761300812776319</v>
      </c>
      <c r="I2379">
        <f t="shared" si="310"/>
        <v>1679.1029255646527</v>
      </c>
      <c r="J2379">
        <f t="shared" si="311"/>
        <v>401.28486492957131</v>
      </c>
      <c r="K2379">
        <f t="shared" si="312"/>
        <v>4.1843166097464168</v>
      </c>
      <c r="L2379" s="4">
        <f>MIN(MAX(L2378*(1+MAX(MIN(((B2379-B2378)/B2378)/($K$7*卓尔金历!$N$40),0),-卓尔金历!$M$43))+MIN(MAX(((B2379-B2378)/B2378)/($K$7*卓尔金历!$N$40),0),卓尔金历!$M$43),0),1)</f>
        <v>0.71017457756120772</v>
      </c>
      <c r="M2379" s="4">
        <f>MIN(MAX(M2378*(1+MAX(MIN(((B2379-B2378)/B2378)/($K$7*30),0),-卓尔金历!$M$43))+MIN(MAX(((B2379-B2378)/B2378)/($K$7*7),0),卓尔金历!$M$43),0),1)</f>
        <v>1</v>
      </c>
      <c r="N2379">
        <f t="shared" si="313"/>
        <v>1717.1974220150798</v>
      </c>
      <c r="O2379">
        <f t="shared" si="314"/>
        <v>4024.8531645033986</v>
      </c>
      <c r="P2379">
        <f t="shared" si="315"/>
        <v>3.883126865448143E-3</v>
      </c>
      <c r="Q2379">
        <f t="shared" si="316"/>
        <v>2.1169994273110768E-2</v>
      </c>
      <c r="R2379">
        <f t="shared" si="317"/>
        <v>1</v>
      </c>
      <c r="S2379">
        <f t="shared" si="309"/>
        <v>26.976718454056584</v>
      </c>
      <c r="T2379" s="564">
        <f>IF((I2379-MAX(I$470:I2379))/MAX(I$470:I2379)&gt;T2378,T2378,(I2379-MAX(I$470:I2379))/MAX(I$470:I2379))</f>
        <v>-0.91338805338419748</v>
      </c>
      <c r="U2379" s="564">
        <f>IF((J2379-MAX(J$470:J2379))/MAX(J$470:J2379)&gt;U2378,U2378,(J2379-MAX(J$470:J2379))/MAX(J$470:J2379))</f>
        <v>-0.8283551177402233</v>
      </c>
      <c r="V2379" s="564">
        <f>IF((K2379-MAX(K$470:K2379))/MAX(K$470:K2379)&gt;V2378,V2378,(K2379-MAX(K$470:K2379))/MAX(K$470:K2379))</f>
        <v>-0.84885940676762139</v>
      </c>
      <c r="W2379" s="564">
        <f>IF((N2379-MAX(N$470:N2379))/MAX(N$470:N2379)&gt;W2378,W2378,(N2379-MAX(N$470:N2379))/MAX(N$470:N2379))</f>
        <v>-0.62788758315546067</v>
      </c>
      <c r="X2379" s="564">
        <f>IF((O2379-MAX(O$470:O2379))/MAX(O$470:O2379)&gt;X2378,X2378,(O2379-MAX(O$470:O2379))/MAX(O$470:O2379))</f>
        <v>-0.62788758315546067</v>
      </c>
    </row>
    <row r="2380" spans="1:24">
      <c r="A2380" s="799">
        <v>42782</v>
      </c>
      <c r="B2380">
        <v>1019.38</v>
      </c>
      <c r="C2380">
        <v>4042.0393979999999</v>
      </c>
      <c r="D2380">
        <v>2.1905760000000001</v>
      </c>
      <c r="E2380">
        <f>LN(D2380/参数实验室!$E$53)/参数实验室!$E$55</f>
        <v>0.23215234582753613</v>
      </c>
      <c r="F2380">
        <f t="shared" si="318"/>
        <v>3.965193939453393</v>
      </c>
      <c r="G2380">
        <f>LN(F2380/参数实验室!$E$58)/参数实验室!$E$59</f>
        <v>0.53248516423717296</v>
      </c>
      <c r="H2380" s="856">
        <f>INDEX(神经网络!$G$10:$BO$70,MATCH(ROUND(G2380*2,1)/2,神经网络!$E$10:$E$70,0),MATCH(ROUND(E2380*2,1)/2,神经网络!$G$8:$BO$8,0))</f>
        <v>1.8353965793439475</v>
      </c>
      <c r="I2380">
        <f t="shared" si="310"/>
        <v>1719.4501615769636</v>
      </c>
      <c r="J2380">
        <f t="shared" si="311"/>
        <v>406.75950680339918</v>
      </c>
      <c r="K2380">
        <f t="shared" si="312"/>
        <v>4.2271910866684008</v>
      </c>
      <c r="L2380" s="4">
        <f>MIN(MAX(L2379*(1+MAX(MIN(((B2380-B2379)/B2379)/($K$7*卓尔金历!$N$40),0),-卓尔金历!$M$43))+MIN(MAX(((B2380-B2379)/B2379)/($K$7*卓尔金历!$N$40),0),卓尔金历!$M$43),0),1)</f>
        <v>0.91862319230269951</v>
      </c>
      <c r="M2380" s="4">
        <f>MIN(MAX(M2379*(1+MAX(MIN(((B2380-B2379)/B2379)/($K$7*30),0),-卓尔金历!$M$43))+MIN(MAX(((B2380-B2379)/B2379)/($K$7*7),0),卓尔金历!$M$43),0),1)</f>
        <v>1</v>
      </c>
      <c r="N2380">
        <f t="shared" si="313"/>
        <v>1746.5010788516756</v>
      </c>
      <c r="O2380">
        <f t="shared" si="314"/>
        <v>4121.5665333330708</v>
      </c>
      <c r="P2380">
        <f t="shared" si="315"/>
        <v>1.3642781854702413E-2</v>
      </c>
      <c r="Q2380">
        <f t="shared" si="316"/>
        <v>2.1232958331011693E-2</v>
      </c>
      <c r="R2380">
        <f t="shared" si="317"/>
        <v>0.47287844773622401</v>
      </c>
      <c r="S2380">
        <f t="shared" si="309"/>
        <v>27.624943175562244</v>
      </c>
      <c r="T2380" s="564">
        <f>IF((I2380-MAX(I$470:I2380))/MAX(I$470:I2380)&gt;T2379,T2379,(I2380-MAX(I$470:I2380))/MAX(I$470:I2380))</f>
        <v>-0.91338805338419748</v>
      </c>
      <c r="U2380" s="564">
        <f>IF((J2380-MAX(J$470:J2380))/MAX(J$470:J2380)&gt;U2379,U2379,(J2380-MAX(J$470:J2380))/MAX(J$470:J2380))</f>
        <v>-0.8283551177402233</v>
      </c>
      <c r="V2380" s="564">
        <f>IF((K2380-MAX(K$470:K2380))/MAX(K$470:K2380)&gt;V2379,V2379,(K2380-MAX(K$470:K2380))/MAX(K$470:K2380))</f>
        <v>-0.84885940676762139</v>
      </c>
      <c r="W2380" s="564">
        <f>IF((N2380-MAX(N$470:N2380))/MAX(N$470:N2380)&gt;W2379,W2379,(N2380-MAX(N$470:N2380))/MAX(N$470:N2380))</f>
        <v>-0.62788758315546067</v>
      </c>
      <c r="X2380" s="564">
        <f>IF((O2380-MAX(O$470:O2380))/MAX(O$470:O2380)&gt;X2379,X2379,(O2380-MAX(O$470:O2380))/MAX(O$470:O2380))</f>
        <v>-0.62788758315546067</v>
      </c>
    </row>
    <row r="2381" spans="1:24">
      <c r="A2381" s="799">
        <v>42783</v>
      </c>
      <c r="B2381">
        <v>1041.4000000000001</v>
      </c>
      <c r="C2381">
        <v>4040.9560620000002</v>
      </c>
      <c r="D2381">
        <v>2.228224</v>
      </c>
      <c r="E2381">
        <f>LN(D2381/参数实验室!$E$53)/参数实验室!$E$55</f>
        <v>0.25225573356862951</v>
      </c>
      <c r="F2381">
        <f t="shared" si="318"/>
        <v>3.8803111791818705</v>
      </c>
      <c r="G2381">
        <f>LN(F2381/参数实验室!$E$58)/参数实验室!$E$59</f>
        <v>0.5211276295209879</v>
      </c>
      <c r="H2381" s="856">
        <f>INDEX(神经网络!$G$10:$BO$70,MATCH(ROUND(G2381*2,1)/2,神经网络!$E$10:$E$70,0),MATCH(ROUND(E2381*2,1)/2,神经网络!$G$8:$BO$8,0))</f>
        <v>1.7979234839107936</v>
      </c>
      <c r="I2381">
        <f t="shared" si="310"/>
        <v>1787.6213266448826</v>
      </c>
      <c r="J2381">
        <f t="shared" si="311"/>
        <v>415.54606759506754</v>
      </c>
      <c r="K2381">
        <f t="shared" si="312"/>
        <v>4.301860770793879</v>
      </c>
      <c r="L2381" s="4">
        <f>MIN(MAX(L2380*(1+MAX(MIN(((B2381-B2380)/B2380)/($K$7*卓尔金历!$N$40),0),-卓尔金历!$M$43))+MIN(MAX(((B2381-B2380)/B2380)/($K$7*卓尔金历!$N$40),0),卓尔金历!$M$43),0),1)</f>
        <v>1</v>
      </c>
      <c r="M2381" s="4">
        <f>MIN(MAX(M2380*(1+MAX(MIN(((B2381-B2380)/B2380)/($K$7*30),0),-卓尔金历!$M$43))+MIN(MAX(((B2381-B2380)/B2380)/($K$7*7),0),卓尔金历!$M$43),0),1)</f>
        <v>1</v>
      </c>
      <c r="N2381">
        <f t="shared" si="313"/>
        <v>1810.1099060192857</v>
      </c>
      <c r="O2381">
        <f t="shared" si="314"/>
        <v>4284.9745801383187</v>
      </c>
      <c r="P2381">
        <f t="shared" si="315"/>
        <v>2.1601365535914081E-2</v>
      </c>
      <c r="Q2381">
        <f t="shared" si="316"/>
        <v>2.1437720707817218E-2</v>
      </c>
      <c r="R2381">
        <f t="shared" si="317"/>
        <v>2.1071492051688248E-2</v>
      </c>
      <c r="S2381">
        <f t="shared" si="309"/>
        <v>28.142862407619813</v>
      </c>
      <c r="T2381" s="564">
        <f>IF((I2381-MAX(I$470:I2381))/MAX(I$470:I2381)&gt;T2380,T2380,(I2381-MAX(I$470:I2381))/MAX(I$470:I2381))</f>
        <v>-0.91338805338419748</v>
      </c>
      <c r="U2381" s="564">
        <f>IF((J2381-MAX(J$470:J2381))/MAX(J$470:J2381)&gt;U2380,U2380,(J2381-MAX(J$470:J2381))/MAX(J$470:J2381))</f>
        <v>-0.8283551177402233</v>
      </c>
      <c r="V2381" s="564">
        <f>IF((K2381-MAX(K$470:K2381))/MAX(K$470:K2381)&gt;V2380,V2380,(K2381-MAX(K$470:K2381))/MAX(K$470:K2381))</f>
        <v>-0.84885940676762139</v>
      </c>
      <c r="W2381" s="564">
        <f>IF((N2381-MAX(N$470:N2381))/MAX(N$470:N2381)&gt;W2380,W2380,(N2381-MAX(N$470:N2381))/MAX(N$470:N2381))</f>
        <v>-0.62788758315546067</v>
      </c>
      <c r="X2381" s="564">
        <f>IF((O2381-MAX(O$470:O2381))/MAX(O$470:O2381)&gt;X2380,X2380,(O2381-MAX(O$470:O2381))/MAX(O$470:O2381))</f>
        <v>-0.62788758315546067</v>
      </c>
    </row>
    <row r="2382" spans="1:24">
      <c r="A2382" s="799">
        <v>42784</v>
      </c>
      <c r="B2382">
        <v>1056.68</v>
      </c>
      <c r="C2382">
        <v>4102.6817870000004</v>
      </c>
      <c r="D2382">
        <v>2.2285189999999999</v>
      </c>
      <c r="E2382">
        <f>LN(D2382/参数实验室!$E$53)/参数实验室!$E$55</f>
        <v>0.25241191363442189</v>
      </c>
      <c r="F2382">
        <f t="shared" si="318"/>
        <v>3.8826151597456184</v>
      </c>
      <c r="G2382">
        <f>LN(F2382/参数实验室!$E$58)/参数实验室!$E$59</f>
        <v>0.52143917532131501</v>
      </c>
      <c r="H2382" s="856">
        <f>INDEX(神经网络!$G$10:$BO$70,MATCH(ROUND(G2382*2,1)/2,神经网络!$E$10:$E$70,0),MATCH(ROUND(E2382*2,1)/2,神经网络!$G$8:$BO$8,0))</f>
        <v>1.7979234839107936</v>
      </c>
      <c r="I2382">
        <f t="shared" si="310"/>
        <v>1834.7790155583673</v>
      </c>
      <c r="J2382">
        <f t="shared" si="311"/>
        <v>421.64319061489914</v>
      </c>
      <c r="K2382">
        <f t="shared" si="312"/>
        <v>4.3514968494632527</v>
      </c>
      <c r="L2382" s="4">
        <f>MIN(MAX(L2381*(1+MAX(MIN(((B2382-B2381)/B2381)/($K$7*卓尔金历!$N$40),0),-卓尔金历!$M$43))+MIN(MAX(((B2382-B2381)/B2381)/($K$7*卓尔金历!$N$40),0),卓尔金历!$M$43),0),1)</f>
        <v>1</v>
      </c>
      <c r="M2382" s="4">
        <f>MIN(MAX(M2381*(1+MAX(MIN(((B2382-B2381)/B2381)/($K$7*30),0),-卓尔金历!$M$43))+MIN(MAX(((B2382-B2381)/B2381)/($K$7*7),0),卓尔金历!$M$43),0),1)</f>
        <v>1</v>
      </c>
      <c r="N2382">
        <f t="shared" si="313"/>
        <v>1857.8608466547303</v>
      </c>
      <c r="O2382">
        <f t="shared" si="314"/>
        <v>4398.0127808134075</v>
      </c>
      <c r="P2382">
        <f t="shared" si="315"/>
        <v>1.4672556174380614E-2</v>
      </c>
      <c r="Q2382">
        <f t="shared" si="316"/>
        <v>2.1499488054082524E-2</v>
      </c>
      <c r="R2382">
        <f t="shared" si="317"/>
        <v>0.41167830978639208</v>
      </c>
      <c r="S2382">
        <f t="shared" si="309"/>
        <v>28.158506145915638</v>
      </c>
      <c r="T2382" s="564">
        <f>IF((I2382-MAX(I$470:I2382))/MAX(I$470:I2382)&gt;T2381,T2381,(I2382-MAX(I$470:I2382))/MAX(I$470:I2382))</f>
        <v>-0.91338805338419748</v>
      </c>
      <c r="U2382" s="564">
        <f>IF((J2382-MAX(J$470:J2382))/MAX(J$470:J2382)&gt;U2381,U2381,(J2382-MAX(J$470:J2382))/MAX(J$470:J2382))</f>
        <v>-0.8283551177402233</v>
      </c>
      <c r="V2382" s="564">
        <f>IF((K2382-MAX(K$470:K2382))/MAX(K$470:K2382)&gt;V2381,V2381,(K2382-MAX(K$470:K2382))/MAX(K$470:K2382))</f>
        <v>-0.84885940676762139</v>
      </c>
      <c r="W2382" s="564">
        <f>IF((N2382-MAX(N$470:N2382))/MAX(N$470:N2382)&gt;W2381,W2381,(N2382-MAX(N$470:N2382))/MAX(N$470:N2382))</f>
        <v>-0.62788758315546067</v>
      </c>
      <c r="X2382" s="564">
        <f>IF((O2382-MAX(O$470:O2382))/MAX(O$470:O2382)&gt;X2381,X2381,(O2382-MAX(O$470:O2382))/MAX(O$470:O2382))</f>
        <v>-0.62788758315546067</v>
      </c>
    </row>
    <row r="2383" spans="1:24">
      <c r="A2383" s="799">
        <v>42785</v>
      </c>
      <c r="B2383">
        <v>1045.1600000000001</v>
      </c>
      <c r="C2383">
        <v>4253.0181430000002</v>
      </c>
      <c r="D2383">
        <v>2.2213509999999999</v>
      </c>
      <c r="E2383">
        <f>LN(D2383/参数实验室!$E$53)/参数实验室!$E$55</f>
        <v>0.24861113807601432</v>
      </c>
      <c r="F2383">
        <f t="shared" si="318"/>
        <v>4.0692507778713303</v>
      </c>
      <c r="G2383">
        <f>LN(F2383/参数实验室!$E$58)/参数实验室!$E$59</f>
        <v>0.54608105249581951</v>
      </c>
      <c r="H2383" s="856">
        <f>INDEX(神经网络!$G$10:$BO$70,MATCH(ROUND(G2383*2,1)/2,神经网络!$E$10:$E$70,0),MATCH(ROUND(E2383*2,1)/2,神经网络!$G$8:$BO$8,0))</f>
        <v>1.8353965793439475</v>
      </c>
      <c r="I2383">
        <f t="shared" si="310"/>
        <v>1798.8153491087544</v>
      </c>
      <c r="J2383">
        <f t="shared" si="311"/>
        <v>417.04640676748681</v>
      </c>
      <c r="K2383">
        <f t="shared" si="312"/>
        <v>4.3132258662802396</v>
      </c>
      <c r="L2383" s="4">
        <f>MIN(MAX(L2382*(1+MAX(MIN(((B2383-B2382)/B2382)/($K$7*卓尔金历!$N$40),0),-卓尔金历!$M$43))+MIN(MAX(((B2383-B2382)/B2382)/($K$7*卓尔金历!$N$40),0),卓尔金历!$M$43),0),1)</f>
        <v>0.83342682261139156</v>
      </c>
      <c r="M2383" s="4">
        <f>MIN(MAX(M2382*(1+MAX(MIN(((B2383-B2382)/B2382)/($K$7*30),0),-卓尔金历!$M$43))+MIN(MAX(((B2383-B2382)/B2382)/($K$7*7),0),卓尔金历!$M$43),0),1)</f>
        <v>0.91671341130569572</v>
      </c>
      <c r="N2383">
        <f t="shared" si="313"/>
        <v>1821.444751183662</v>
      </c>
      <c r="O2383">
        <f t="shared" si="314"/>
        <v>4311.8069416637954</v>
      </c>
      <c r="P2383">
        <f t="shared" si="315"/>
        <v>-1.0902070636332646E-2</v>
      </c>
      <c r="Q2383">
        <f t="shared" si="316"/>
        <v>2.1778376863818578E-2</v>
      </c>
      <c r="R2383">
        <f t="shared" si="317"/>
        <v>0.72834123087847202</v>
      </c>
      <c r="S2383">
        <f t="shared" si="309"/>
        <v>27.931285498203739</v>
      </c>
      <c r="T2383" s="564">
        <f>IF((I2383-MAX(I$470:I2383))/MAX(I$470:I2383)&gt;T2382,T2382,(I2383-MAX(I$470:I2383))/MAX(I$470:I2383))</f>
        <v>-0.91338805338419748</v>
      </c>
      <c r="U2383" s="564">
        <f>IF((J2383-MAX(J$470:J2383))/MAX(J$470:J2383)&gt;U2382,U2382,(J2383-MAX(J$470:J2383))/MAX(J$470:J2383))</f>
        <v>-0.8283551177402233</v>
      </c>
      <c r="V2383" s="564">
        <f>IF((K2383-MAX(K$470:K2383))/MAX(K$470:K2383)&gt;V2382,V2382,(K2383-MAX(K$470:K2383))/MAX(K$470:K2383))</f>
        <v>-0.84885940676762139</v>
      </c>
      <c r="W2383" s="564">
        <f>IF((N2383-MAX(N$470:N2383))/MAX(N$470:N2383)&gt;W2382,W2382,(N2383-MAX(N$470:N2383))/MAX(N$470:N2383))</f>
        <v>-0.62788758315546067</v>
      </c>
      <c r="X2383" s="564">
        <f>IF((O2383-MAX(O$470:O2383))/MAX(O$470:O2383)&gt;X2382,X2382,(O2383-MAX(O$470:O2383))/MAX(O$470:O2383))</f>
        <v>-0.62788758315546067</v>
      </c>
    </row>
    <row r="2384" spans="1:24">
      <c r="A2384" s="799">
        <v>42786</v>
      </c>
      <c r="B2384">
        <v>1057.53</v>
      </c>
      <c r="C2384">
        <v>4347.4695250000004</v>
      </c>
      <c r="D2384">
        <v>2.2787670000000002</v>
      </c>
      <c r="E2384">
        <f>LN(D2384/参数实验室!$E$53)/参数实验室!$E$55</f>
        <v>0.2787171878075928</v>
      </c>
      <c r="F2384">
        <f t="shared" si="318"/>
        <v>4.1109656700046342</v>
      </c>
      <c r="G2384">
        <f>LN(F2384/参数实验室!$E$58)/参数实验室!$E$59</f>
        <v>0.551434069673298</v>
      </c>
      <c r="H2384" s="856">
        <f>INDEX(神经网络!$G$10:$BO$70,MATCH(ROUND(G2384*2,1)/2,神经网络!$E$10:$E$70,0),MATCH(ROUND(E2384*2,1)/2,神经网络!$G$8:$BO$8,0))</f>
        <v>1.9024821763704294</v>
      </c>
      <c r="I2384">
        <f t="shared" si="310"/>
        <v>1837.8907481795168</v>
      </c>
      <c r="J2384">
        <f t="shared" si="311"/>
        <v>421.982363034196</v>
      </c>
      <c r="K2384">
        <f t="shared" si="312"/>
        <v>4.3553733738170006</v>
      </c>
      <c r="L2384" s="4">
        <f>MIN(MAX(L2383*(1+MAX(MIN(((B2384-B2383)/B2383)/($K$7*卓尔金历!$N$40),0),-卓尔金历!$M$43))+MIN(MAX(((B2384-B2383)/B2383)/($K$7*卓尔金历!$N$40),0),卓尔金历!$M$43),0),1)</f>
        <v>1</v>
      </c>
      <c r="M2384" s="4">
        <f>MIN(MAX(M2383*(1+MAX(MIN(((B2384-B2383)/B2383)/($K$7*30),0),-卓尔金历!$M$43))+MIN(MAX(((B2384-B2383)/B2383)/($K$7*7),0),卓尔金历!$M$43),0),1)</f>
        <v>1</v>
      </c>
      <c r="N2384">
        <f t="shared" si="313"/>
        <v>1854.4209287849962</v>
      </c>
      <c r="O2384">
        <f t="shared" si="314"/>
        <v>4397.6706675258192</v>
      </c>
      <c r="P2384">
        <f t="shared" si="315"/>
        <v>1.1835508438899201E-2</v>
      </c>
      <c r="Q2384">
        <f t="shared" si="316"/>
        <v>2.1741224858727145E-2</v>
      </c>
      <c r="R2384">
        <f t="shared" si="317"/>
        <v>0.64312795760592956</v>
      </c>
      <c r="S2384">
        <f t="shared" si="309"/>
        <v>28.37320448084893</v>
      </c>
      <c r="T2384" s="564">
        <f>IF((I2384-MAX(I$470:I2384))/MAX(I$470:I2384)&gt;T2383,T2383,(I2384-MAX(I$470:I2384))/MAX(I$470:I2384))</f>
        <v>-0.91338805338419748</v>
      </c>
      <c r="U2384" s="564">
        <f>IF((J2384-MAX(J$470:J2384))/MAX(J$470:J2384)&gt;U2383,U2383,(J2384-MAX(J$470:J2384))/MAX(J$470:J2384))</f>
        <v>-0.8283551177402233</v>
      </c>
      <c r="V2384" s="564">
        <f>IF((K2384-MAX(K$470:K2384))/MAX(K$470:K2384)&gt;V2383,V2383,(K2384-MAX(K$470:K2384))/MAX(K$470:K2384))</f>
        <v>-0.84885940676762139</v>
      </c>
      <c r="W2384" s="564">
        <f>IF((N2384-MAX(N$470:N2384))/MAX(N$470:N2384)&gt;W2383,W2383,(N2384-MAX(N$470:N2384))/MAX(N$470:N2384))</f>
        <v>-0.62788758315546067</v>
      </c>
      <c r="X2384" s="564">
        <f>IF((O2384-MAX(O$470:O2384))/MAX(O$470:O2384)&gt;X2383,X2383,(O2384-MAX(O$470:O2384))/MAX(O$470:O2384))</f>
        <v>-0.62788758315546067</v>
      </c>
    </row>
    <row r="2385" spans="1:24">
      <c r="A2385" s="799">
        <v>42787</v>
      </c>
      <c r="B2385">
        <v>1102.94</v>
      </c>
      <c r="C2385">
        <v>4453.4388639999997</v>
      </c>
      <c r="D2385">
        <v>2.3533119999999998</v>
      </c>
      <c r="E2385">
        <f>LN(D2385/参数实验室!$E$53)/参数实验室!$E$55</f>
        <v>0.31669248963450503</v>
      </c>
      <c r="F2385">
        <f t="shared" si="318"/>
        <v>4.0377888770014687</v>
      </c>
      <c r="G2385">
        <f>LN(F2385/参数实验室!$E$58)/参数实验室!$E$59</f>
        <v>0.54200731177738704</v>
      </c>
      <c r="H2385" s="856">
        <f>INDEX(神经网络!$G$10:$BO$70,MATCH(ROUND(G2385*2,1)/2,神经网络!$E$10:$E$70,0),MATCH(ROUND(E2385*2,1)/2,神经网络!$G$8:$BO$8,0))</f>
        <v>1.9024821763704294</v>
      </c>
      <c r="I2385">
        <f t="shared" si="310"/>
        <v>1988.031675504378</v>
      </c>
      <c r="J2385">
        <f t="shared" si="311"/>
        <v>440.10215075216416</v>
      </c>
      <c r="K2385">
        <f t="shared" si="312"/>
        <v>4.5172050900153478</v>
      </c>
      <c r="L2385" s="4">
        <f>MIN(MAX(L2384*(1+MAX(MIN(((B2385-B2384)/B2384)/($K$7*卓尔金历!$N$40),0),-卓尔金历!$M$43))+MIN(MAX(((B2385-B2384)/B2384)/($K$7*卓尔金历!$N$40),0),卓尔金历!$M$43),0),1)</f>
        <v>1</v>
      </c>
      <c r="M2385" s="4">
        <f>MIN(MAX(M2384*(1+MAX(MIN(((B2385-B2384)/B2384)/($K$7*30),0),-卓尔金历!$M$43))+MIN(MAX(((B2385-B2384)/B2384)/($K$7*7),0),卓尔金历!$M$43),0),1)</f>
        <v>1</v>
      </c>
      <c r="N2385">
        <f t="shared" si="313"/>
        <v>2005.9122392310589</v>
      </c>
      <c r="O2385">
        <f t="shared" si="314"/>
        <v>4756.9250751916088</v>
      </c>
      <c r="P2385">
        <f t="shared" si="315"/>
        <v>4.2939680198197765E-2</v>
      </c>
      <c r="Q2385">
        <f t="shared" si="316"/>
        <v>2.2263673321862128E-2</v>
      </c>
      <c r="R2385">
        <f t="shared" si="317"/>
        <v>7.4607188617781652E-3</v>
      </c>
      <c r="S2385">
        <f t="shared" si="309"/>
        <v>29.863887072069453</v>
      </c>
      <c r="T2385" s="564">
        <f>IF((I2385-MAX(I$470:I2385))/MAX(I$470:I2385)&gt;T2384,T2384,(I2385-MAX(I$470:I2385))/MAX(I$470:I2385))</f>
        <v>-0.91338805338419748</v>
      </c>
      <c r="U2385" s="564">
        <f>IF((J2385-MAX(J$470:J2385))/MAX(J$470:J2385)&gt;U2384,U2384,(J2385-MAX(J$470:J2385))/MAX(J$470:J2385))</f>
        <v>-0.8283551177402233</v>
      </c>
      <c r="V2385" s="564">
        <f>IF((K2385-MAX(K$470:K2385))/MAX(K$470:K2385)&gt;V2384,V2384,(K2385-MAX(K$470:K2385))/MAX(K$470:K2385))</f>
        <v>-0.84885940676762139</v>
      </c>
      <c r="W2385" s="564">
        <f>IF((N2385-MAX(N$470:N2385))/MAX(N$470:N2385)&gt;W2384,W2384,(N2385-MAX(N$470:N2385))/MAX(N$470:N2385))</f>
        <v>-0.62788758315546067</v>
      </c>
      <c r="X2385" s="564">
        <f>IF((O2385-MAX(O$470:O2385))/MAX(O$470:O2385)&gt;X2384,X2384,(O2385-MAX(O$470:O2385))/MAX(O$470:O2385))</f>
        <v>-0.62788758315546067</v>
      </c>
    </row>
    <row r="2386" spans="1:24">
      <c r="A2386" s="799">
        <v>42788</v>
      </c>
      <c r="B2386">
        <v>1112.6199999999999</v>
      </c>
      <c r="C2386">
        <v>4454.9576319999996</v>
      </c>
      <c r="D2386">
        <v>2.343124</v>
      </c>
      <c r="E2386">
        <f>LN(D2386/参数实验室!$E$53)/参数实验室!$E$55</f>
        <v>0.31157399343718167</v>
      </c>
      <c r="F2386">
        <f t="shared" si="318"/>
        <v>4.0040244036598303</v>
      </c>
      <c r="G2386">
        <f>LN(F2386/参数实验室!$E$58)/参数实验室!$E$59</f>
        <v>0.53759996635373519</v>
      </c>
      <c r="H2386" s="856">
        <f>INDEX(神经网络!$G$10:$BO$70,MATCH(ROUND(G2386*2,1)/2,神经网络!$E$10:$E$70,0),MATCH(ROUND(E2386*2,1)/2,神经网络!$G$8:$BO$8,0))</f>
        <v>1.9024821763704294</v>
      </c>
      <c r="I2386">
        <f t="shared" si="310"/>
        <v>2021.226269899252</v>
      </c>
      <c r="J2386">
        <f t="shared" si="311"/>
        <v>443.96472606839251</v>
      </c>
      <c r="K2386">
        <f t="shared" si="312"/>
        <v>4.5526731094124884</v>
      </c>
      <c r="L2386" s="4">
        <f>MIN(MAX(L2385*(1+MAX(MIN(((B2386-B2385)/B2385)/($K$7*卓尔金历!$N$40),0),-卓尔金历!$M$43))+MIN(MAX(((B2386-B2385)/B2385)/($K$7*卓尔金历!$N$40),0),卓尔金历!$M$43),0),1)</f>
        <v>1</v>
      </c>
      <c r="M2386" s="4">
        <f>MIN(MAX(M2385*(1+MAX(MIN(((B2386-B2385)/B2385)/($K$7*30),0),-卓尔金历!$M$43))+MIN(MAX(((B2386-B2385)/B2385)/($K$7*7),0),卓尔金历!$M$43),0),1)</f>
        <v>1</v>
      </c>
      <c r="N2386">
        <f t="shared" si="313"/>
        <v>2039.4053892615257</v>
      </c>
      <c r="O2386">
        <f t="shared" si="314"/>
        <v>4836.3524808931452</v>
      </c>
      <c r="P2386">
        <f t="shared" si="315"/>
        <v>8.7765426949787256E-3</v>
      </c>
      <c r="Q2386">
        <f t="shared" si="316"/>
        <v>2.209701173008357E-2</v>
      </c>
      <c r="R2386">
        <f t="shared" si="317"/>
        <v>0.96618087875326963</v>
      </c>
      <c r="S2386">
        <f t="shared" si="309"/>
        <v>29.867607313082846</v>
      </c>
      <c r="T2386" s="564">
        <f>IF((I2386-MAX(I$470:I2386))/MAX(I$470:I2386)&gt;T2385,T2385,(I2386-MAX(I$470:I2386))/MAX(I$470:I2386))</f>
        <v>-0.91338805338419748</v>
      </c>
      <c r="U2386" s="564">
        <f>IF((J2386-MAX(J$470:J2386))/MAX(J$470:J2386)&gt;U2385,U2385,(J2386-MAX(J$470:J2386))/MAX(J$470:J2386))</f>
        <v>-0.8283551177402233</v>
      </c>
      <c r="V2386" s="564">
        <f>IF((K2386-MAX(K$470:K2386))/MAX(K$470:K2386)&gt;V2385,V2385,(K2386-MAX(K$470:K2386))/MAX(K$470:K2386))</f>
        <v>-0.84885940676762139</v>
      </c>
      <c r="W2386" s="564">
        <f>IF((N2386-MAX(N$470:N2386))/MAX(N$470:N2386)&gt;W2385,W2385,(N2386-MAX(N$470:N2386))/MAX(N$470:N2386))</f>
        <v>-0.62788758315546067</v>
      </c>
      <c r="X2386" s="564">
        <f>IF((O2386-MAX(O$470:O2386))/MAX(O$470:O2386)&gt;X2385,X2385,(O2386-MAX(O$470:O2386))/MAX(O$470:O2386))</f>
        <v>-0.62788758315546067</v>
      </c>
    </row>
    <row r="2387" spans="1:24">
      <c r="A2387" s="799">
        <v>42789</v>
      </c>
      <c r="B2387">
        <v>1143.1400000000001</v>
      </c>
      <c r="C2387">
        <v>4453.6594150000001</v>
      </c>
      <c r="D2387">
        <v>2.4515129999999998</v>
      </c>
      <c r="E2387">
        <f>LN(D2387/参数实验室!$E$53)/参数实验室!$E$55</f>
        <v>0.36492279288199919</v>
      </c>
      <c r="F2387">
        <f t="shared" si="318"/>
        <v>3.8959877311615374</v>
      </c>
      <c r="G2387">
        <f>LN(F2387/参数实验室!$E$58)/参数实验室!$E$59</f>
        <v>0.5232437809007382</v>
      </c>
      <c r="H2387" s="856">
        <f>INDEX(神经网络!$G$10:$BO$70,MATCH(ROUND(G2387*2,1)/2,神经网络!$E$10:$E$70,0),MATCH(ROUND(E2387*2,1)/2,神经网络!$G$8:$BO$8,0))</f>
        <v>1.9344855902121909</v>
      </c>
      <c r="I2387">
        <f t="shared" si="310"/>
        <v>2126.7070171466112</v>
      </c>
      <c r="J2387">
        <f t="shared" si="311"/>
        <v>456.14301105303008</v>
      </c>
      <c r="K2387">
        <f t="shared" si="312"/>
        <v>4.6623689623940452</v>
      </c>
      <c r="L2387" s="4">
        <f>MIN(MAX(L2386*(1+MAX(MIN(((B2387-B2386)/B2386)/($K$7*卓尔金历!$N$40),0),-卓尔金历!$M$43))+MIN(MAX(((B2387-B2386)/B2386)/($K$7*卓尔金历!$N$40),0),卓尔金历!$M$43),0),1)</f>
        <v>1</v>
      </c>
      <c r="M2387" s="4">
        <f>MIN(MAX(M2386*(1+MAX(MIN(((B2387-B2386)/B2386)/($K$7*30),0),-卓尔金历!$M$43))+MIN(MAX(((B2387-B2386)/B2386)/($K$7*7),0),卓尔金历!$M$43),0),1)</f>
        <v>1</v>
      </c>
      <c r="N2387">
        <f t="shared" si="313"/>
        <v>2145.834841323971</v>
      </c>
      <c r="O2387">
        <f t="shared" si="314"/>
        <v>5088.744843506588</v>
      </c>
      <c r="P2387">
        <f t="shared" si="315"/>
        <v>2.743074904280007E-2</v>
      </c>
      <c r="Q2387">
        <f t="shared" si="316"/>
        <v>2.2222367513253807E-2</v>
      </c>
      <c r="R2387">
        <f t="shared" si="317"/>
        <v>1.7444148163685533E-2</v>
      </c>
      <c r="S2387">
        <f t="shared" si="309"/>
        <v>31.373580136486893</v>
      </c>
      <c r="T2387" s="564">
        <f>IF((I2387-MAX(I$470:I2387))/MAX(I$470:I2387)&gt;T2386,T2386,(I2387-MAX(I$470:I2387))/MAX(I$470:I2387))</f>
        <v>-0.91338805338419748</v>
      </c>
      <c r="U2387" s="564">
        <f>IF((J2387-MAX(J$470:J2387))/MAX(J$470:J2387)&gt;U2386,U2386,(J2387-MAX(J$470:J2387))/MAX(J$470:J2387))</f>
        <v>-0.8283551177402233</v>
      </c>
      <c r="V2387" s="564">
        <f>IF((K2387-MAX(K$470:K2387))/MAX(K$470:K2387)&gt;V2386,V2386,(K2387-MAX(K$470:K2387))/MAX(K$470:K2387))</f>
        <v>-0.84885940676762139</v>
      </c>
      <c r="W2387" s="564">
        <f>IF((N2387-MAX(N$470:N2387))/MAX(N$470:N2387)&gt;W2386,W2386,(N2387-MAX(N$470:N2387))/MAX(N$470:N2387))</f>
        <v>-0.62788758315546067</v>
      </c>
      <c r="X2387" s="564">
        <f>IF((O2387-MAX(O$470:O2387))/MAX(O$470:O2387)&gt;X2386,X2386,(O2387-MAX(O$470:O2387))/MAX(O$470:O2387))</f>
        <v>-0.62788758315546067</v>
      </c>
    </row>
    <row r="2388" spans="1:24">
      <c r="A2388" s="799">
        <v>42790</v>
      </c>
      <c r="B2388">
        <v>1177.52</v>
      </c>
      <c r="C2388">
        <v>4414.4162139999999</v>
      </c>
      <c r="D2388">
        <v>2.4273120000000001</v>
      </c>
      <c r="E2388">
        <f>LN(D2388/参数实验室!$E$53)/参数实验室!$E$55</f>
        <v>0.3532185639189972</v>
      </c>
      <c r="F2388">
        <f t="shared" si="318"/>
        <v>3.7489097543990759</v>
      </c>
      <c r="G2388">
        <f>LN(F2388/参数实验室!$E$58)/参数实验室!$E$59</f>
        <v>0.50304625779229695</v>
      </c>
      <c r="H2388" s="856">
        <f>INDEX(神经网络!$G$10:$BO$70,MATCH(ROUND(G2388*2,1)/2,神经网络!$E$10:$E$70,0),MATCH(ROUND(E2388*2,1)/2,神经网络!$G$8:$BO$8,0))</f>
        <v>1.9344855902121909</v>
      </c>
      <c r="I2388">
        <f t="shared" si="310"/>
        <v>2250.4383279619219</v>
      </c>
      <c r="J2388">
        <f t="shared" si="311"/>
        <v>469.86153784765116</v>
      </c>
      <c r="K2388">
        <f t="shared" si="312"/>
        <v>4.7895776663711693</v>
      </c>
      <c r="L2388" s="4">
        <f>MIN(MAX(L2387*(1+MAX(MIN(((B2388-B2387)/B2387)/($K$7*卓尔金历!$N$40),0),-卓尔金历!$M$43))+MIN(MAX(((B2388-B2387)/B2387)/($K$7*卓尔金历!$N$40),0),卓尔金历!$M$43),0),1)</f>
        <v>1</v>
      </c>
      <c r="M2388" s="4">
        <f>MIN(MAX(M2387*(1+MAX(MIN(((B2388-B2387)/B2387)/($K$7*30),0),-卓尔金历!$M$43))+MIN(MAX(((B2388-B2387)/B2387)/($K$7*7),0),卓尔金历!$M$43),0),1)</f>
        <v>1</v>
      </c>
      <c r="N2388">
        <f t="shared" si="313"/>
        <v>2270.6790044219083</v>
      </c>
      <c r="O2388">
        <f t="shared" si="314"/>
        <v>5384.8068138745157</v>
      </c>
      <c r="P2388">
        <f t="shared" si="315"/>
        <v>3.0075056423535067E-2</v>
      </c>
      <c r="Q2388">
        <f t="shared" si="316"/>
        <v>2.2505558059065379E-2</v>
      </c>
      <c r="R2388">
        <f t="shared" si="317"/>
        <v>1.5779351290664836E-2</v>
      </c>
      <c r="S2388">
        <f t="shared" si="309"/>
        <v>31.405421070358766</v>
      </c>
      <c r="T2388" s="564">
        <f>IF((I2388-MAX(I$470:I2388))/MAX(I$470:I2388)&gt;T2387,T2387,(I2388-MAX(I$470:I2388))/MAX(I$470:I2388))</f>
        <v>-0.91338805338419748</v>
      </c>
      <c r="U2388" s="564">
        <f>IF((J2388-MAX(J$470:J2388))/MAX(J$470:J2388)&gt;U2387,U2387,(J2388-MAX(J$470:J2388))/MAX(J$470:J2388))</f>
        <v>-0.8283551177402233</v>
      </c>
      <c r="V2388" s="564">
        <f>IF((K2388-MAX(K$470:K2388))/MAX(K$470:K2388)&gt;V2387,V2387,(K2388-MAX(K$470:K2388))/MAX(K$470:K2388))</f>
        <v>-0.84885940676762139</v>
      </c>
      <c r="W2388" s="564">
        <f>IF((N2388-MAX(N$470:N2388))/MAX(N$470:N2388)&gt;W2387,W2387,(N2388-MAX(N$470:N2388))/MAX(N$470:N2388))</f>
        <v>-0.62788758315546067</v>
      </c>
      <c r="X2388" s="564">
        <f>IF((O2388-MAX(O$470:O2388))/MAX(O$470:O2388)&gt;X2387,X2387,(O2388-MAX(O$470:O2388))/MAX(O$470:O2388))</f>
        <v>-0.62788758315546067</v>
      </c>
    </row>
    <row r="2389" spans="1:24">
      <c r="A2389" s="799">
        <v>42791</v>
      </c>
      <c r="B2389">
        <v>1163.8699999999999</v>
      </c>
      <c r="C2389">
        <v>4381.4488250000004</v>
      </c>
      <c r="D2389">
        <v>2.3550779999999998</v>
      </c>
      <c r="E2389">
        <f>LN(D2389/参数实验室!$E$53)/参数实验室!$E$55</f>
        <v>0.31757748188304674</v>
      </c>
      <c r="F2389">
        <f t="shared" si="318"/>
        <v>3.7645517325818183</v>
      </c>
      <c r="G2389">
        <f>LN(F2389/参数实验室!$E$58)/参数实验室!$E$59</f>
        <v>0.50523160668002709</v>
      </c>
      <c r="H2389" s="856">
        <f>INDEX(神经网络!$G$10:$BO$70,MATCH(ROUND(G2389*2,1)/2,神经网络!$E$10:$E$70,0),MATCH(ROUND(E2389*2,1)/2,神经网络!$G$8:$BO$8,0))</f>
        <v>1.8674158330229262</v>
      </c>
      <c r="I2389">
        <f t="shared" si="310"/>
        <v>2199.9725498363155</v>
      </c>
      <c r="J2389">
        <f t="shared" si="311"/>
        <v>464.41482782011832</v>
      </c>
      <c r="K2389">
        <f t="shared" si="312"/>
        <v>4.7370850757771894</v>
      </c>
      <c r="L2389" s="4">
        <f>MIN(MAX(L2388*(1+MAX(MIN(((B2389-B2388)/B2388)/($K$7*卓尔金历!$N$40),0),-卓尔金历!$M$43))+MIN(MAX(((B2389-B2388)/B2388)/($K$7*卓尔金历!$N$40),0),卓尔金历!$M$43),0),1)</f>
        <v>0.82288292251944384</v>
      </c>
      <c r="M2389" s="4">
        <f>MIN(MAX(M2388*(1+MAX(MIN(((B2389-B2388)/B2388)/($K$7*30),0),-卓尔金历!$M$43))+MIN(MAX(((B2389-B2388)/B2388)/($K$7*7),0),卓尔金历!$M$43),0),1)</f>
        <v>0.91144146125972192</v>
      </c>
      <c r="N2389">
        <f t="shared" si="313"/>
        <v>2219.7593318373206</v>
      </c>
      <c r="O2389">
        <f t="shared" si="314"/>
        <v>5264.0532422072802</v>
      </c>
      <c r="P2389">
        <f t="shared" si="315"/>
        <v>-1.1592159793464308E-2</v>
      </c>
      <c r="Q2389">
        <f t="shared" si="316"/>
        <v>2.2856898630586615E-2</v>
      </c>
      <c r="R2389">
        <f t="shared" si="317"/>
        <v>0.716709112847842</v>
      </c>
      <c r="S2389">
        <f t="shared" si="309"/>
        <v>31.394308267152937</v>
      </c>
      <c r="T2389" s="564">
        <f>IF((I2389-MAX(I$470:I2389))/MAX(I$470:I2389)&gt;T2388,T2388,(I2389-MAX(I$470:I2389))/MAX(I$470:I2389))</f>
        <v>-0.91338805338419748</v>
      </c>
      <c r="U2389" s="564">
        <f>IF((J2389-MAX(J$470:J2389))/MAX(J$470:J2389)&gt;U2388,U2388,(J2389-MAX(J$470:J2389))/MAX(J$470:J2389))</f>
        <v>-0.8283551177402233</v>
      </c>
      <c r="V2389" s="564">
        <f>IF((K2389-MAX(K$470:K2389))/MAX(K$470:K2389)&gt;V2388,V2388,(K2389-MAX(K$470:K2389))/MAX(K$470:K2389))</f>
        <v>-0.84885940676762139</v>
      </c>
      <c r="W2389" s="564">
        <f>IF((N2389-MAX(N$470:N2389))/MAX(N$470:N2389)&gt;W2388,W2388,(N2389-MAX(N$470:N2389))/MAX(N$470:N2389))</f>
        <v>-0.62788758315546067</v>
      </c>
      <c r="X2389" s="564">
        <f>IF((O2389-MAX(O$470:O2389))/MAX(O$470:O2389)&gt;X2388,X2388,(O2389-MAX(O$470:O2389))/MAX(O$470:O2389))</f>
        <v>-0.62788758315546067</v>
      </c>
    </row>
    <row r="2390" spans="1:24">
      <c r="A2390" s="799">
        <v>42792</v>
      </c>
      <c r="B2390">
        <v>1157.6300000000001</v>
      </c>
      <c r="C2390">
        <v>4360.3754950000002</v>
      </c>
      <c r="D2390">
        <v>2.4119989999999998</v>
      </c>
      <c r="E2390">
        <f>LN(D2390/参数实验室!$E$53)/参数实验室!$E$55</f>
        <v>0.34575236812350346</v>
      </c>
      <c r="F2390">
        <f t="shared" si="318"/>
        <v>3.7666400274699168</v>
      </c>
      <c r="G2390">
        <f>LN(F2390/参数实验室!$E$58)/参数实验室!$E$59</f>
        <v>0.50552267616230206</v>
      </c>
      <c r="H2390" s="856">
        <f>INDEX(神经网络!$G$10:$BO$70,MATCH(ROUND(G2390*2,1)/2,神经网络!$E$10:$E$70,0),MATCH(ROUND(E2390*2,1)/2,神经网络!$G$8:$BO$8,0))</f>
        <v>1.9344855902121909</v>
      </c>
      <c r="I2390">
        <f t="shared" si="310"/>
        <v>2177.9464088687614</v>
      </c>
      <c r="J2390">
        <f t="shared" si="311"/>
        <v>461.92490323610343</v>
      </c>
      <c r="K2390">
        <f t="shared" si="312"/>
        <v>4.7149361153961182</v>
      </c>
      <c r="L2390" s="4">
        <f>MIN(MAX(L2389*(1+MAX(MIN(((B2390-B2389)/B2389)/($K$7*卓尔金历!$N$40),0),-卓尔金历!$M$43))+MIN(MAX(((B2390-B2389)/B2389)/($K$7*卓尔金历!$N$40),0),卓尔金历!$M$43),0),1)</f>
        <v>0.75547448764163438</v>
      </c>
      <c r="M2390" s="4">
        <f>MIN(MAX(M2389*(1+MAX(MIN(((B2390-B2389)/B2389)/($K$7*30),0),-卓尔金历!$M$43))+MIN(MAX(((B2390-B2389)/B2389)/($K$7*7),0),卓尔金历!$M$43),0),1)</f>
        <v>0.87411000091166147</v>
      </c>
      <c r="N2390">
        <f t="shared" si="313"/>
        <v>2201.4713790327251</v>
      </c>
      <c r="O2390">
        <f t="shared" si="314"/>
        <v>5216.0168694436288</v>
      </c>
      <c r="P2390">
        <f t="shared" si="315"/>
        <v>-5.3614235266823459E-3</v>
      </c>
      <c r="Q2390">
        <f t="shared" si="316"/>
        <v>2.2976856010645919E-2</v>
      </c>
      <c r="R2390">
        <f t="shared" si="317"/>
        <v>1</v>
      </c>
      <c r="S2390">
        <f t="shared" si="309"/>
        <v>31.16903223026204</v>
      </c>
      <c r="T2390" s="564">
        <f>IF((I2390-MAX(I$470:I2390))/MAX(I$470:I2390)&gt;T2389,T2389,(I2390-MAX(I$470:I2390))/MAX(I$470:I2390))</f>
        <v>-0.91338805338419748</v>
      </c>
      <c r="U2390" s="564">
        <f>IF((J2390-MAX(J$470:J2390))/MAX(J$470:J2390)&gt;U2389,U2389,(J2390-MAX(J$470:J2390))/MAX(J$470:J2390))</f>
        <v>-0.8283551177402233</v>
      </c>
      <c r="V2390" s="564">
        <f>IF((K2390-MAX(K$470:K2390))/MAX(K$470:K2390)&gt;V2389,V2389,(K2390-MAX(K$470:K2390))/MAX(K$470:K2390))</f>
        <v>-0.84885940676762139</v>
      </c>
      <c r="W2390" s="564">
        <f>IF((N2390-MAX(N$470:N2390))/MAX(N$470:N2390)&gt;W2389,W2389,(N2390-MAX(N$470:N2390))/MAX(N$470:N2390))</f>
        <v>-0.62788758315546067</v>
      </c>
      <c r="X2390" s="564">
        <f>IF((O2390-MAX(O$470:O2390))/MAX(O$470:O2390)&gt;X2389,X2389,(O2390-MAX(O$470:O2390))/MAX(O$470:O2390))</f>
        <v>-0.62788758315546067</v>
      </c>
    </row>
    <row r="2391" spans="1:24">
      <c r="A2391" s="799">
        <v>42793</v>
      </c>
      <c r="B2391">
        <v>1166.51</v>
      </c>
      <c r="C2391">
        <v>4384.9340849999999</v>
      </c>
      <c r="D2391">
        <v>2.429856</v>
      </c>
      <c r="E2391">
        <f>LN(D2391/参数实验室!$E$53)/参数实验室!$E$55</f>
        <v>0.35445438385650402</v>
      </c>
      <c r="F2391">
        <f t="shared" si="318"/>
        <v>3.759019712647127</v>
      </c>
      <c r="G2391">
        <f>LN(F2391/参数实验室!$E$58)/参数实验室!$E$59</f>
        <v>0.50445976485635813</v>
      </c>
      <c r="H2391" s="856">
        <f>INDEX(神经网络!$G$10:$BO$70,MATCH(ROUND(G2391*2,1)/2,神经网络!$E$10:$E$70,0),MATCH(ROUND(E2391*2,1)/2,神经网络!$G$8:$BO$8,0))</f>
        <v>1.9344855902121909</v>
      </c>
      <c r="I2391">
        <f t="shared" si="310"/>
        <v>2210.2652575376742</v>
      </c>
      <c r="J2391">
        <f t="shared" si="311"/>
        <v>465.46825745181701</v>
      </c>
      <c r="K2391">
        <f t="shared" si="312"/>
        <v>4.7484768771079304</v>
      </c>
      <c r="L2391" s="4">
        <f>MIN(MAX(L2390*(1+MAX(MIN(((B2391-B2390)/B2390)/($K$7*卓尔金历!$N$40),0),-卓尔金历!$M$43))+MIN(MAX(((B2391-B2390)/B2390)/($K$7*卓尔金历!$N$40),0),卓尔金历!$M$43),0),1)</f>
        <v>0.87267763415776956</v>
      </c>
      <c r="M2391" s="4">
        <f>MIN(MAX(M2390*(1+MAX(MIN(((B2391-B2390)/B2390)/($K$7*30),0),-卓尔金历!$M$43))+MIN(MAX(((B2391-B2390)/B2390)/($K$7*7),0),卓尔金历!$M$43),0),1)</f>
        <v>1</v>
      </c>
      <c r="N2391">
        <f t="shared" si="313"/>
        <v>2226.1511734825126</v>
      </c>
      <c r="O2391">
        <f t="shared" si="314"/>
        <v>5283.6740301488526</v>
      </c>
      <c r="P2391">
        <f t="shared" si="315"/>
        <v>7.6708447431388964E-3</v>
      </c>
      <c r="Q2391">
        <f t="shared" si="316"/>
        <v>2.2936852278633135E-2</v>
      </c>
      <c r="R2391">
        <f t="shared" si="317"/>
        <v>1</v>
      </c>
      <c r="S2391">
        <f t="shared" ref="S2391:S2454" si="319">S2390*(1+(B2391-B2390)/B2390*H2390*R2390)</f>
        <v>31.631553820189282</v>
      </c>
      <c r="T2391" s="564">
        <f>IF((I2391-MAX(I$470:I2391))/MAX(I$470:I2391)&gt;T2390,T2390,(I2391-MAX(I$470:I2391))/MAX(I$470:I2391))</f>
        <v>-0.91338805338419748</v>
      </c>
      <c r="U2391" s="564">
        <f>IF((J2391-MAX(J$470:J2391))/MAX(J$470:J2391)&gt;U2390,U2390,(J2391-MAX(J$470:J2391))/MAX(J$470:J2391))</f>
        <v>-0.8283551177402233</v>
      </c>
      <c r="V2391" s="564">
        <f>IF((K2391-MAX(K$470:K2391))/MAX(K$470:K2391)&gt;V2390,V2390,(K2391-MAX(K$470:K2391))/MAX(K$470:K2391))</f>
        <v>-0.84885940676762139</v>
      </c>
      <c r="W2391" s="564">
        <f>IF((N2391-MAX(N$470:N2391))/MAX(N$470:N2391)&gt;W2390,W2390,(N2391-MAX(N$470:N2391))/MAX(N$470:N2391))</f>
        <v>-0.62788758315546067</v>
      </c>
      <c r="X2391" s="564">
        <f>IF((O2391-MAX(O$470:O2391))/MAX(O$470:O2391)&gt;X2390,X2390,(O2391-MAX(O$470:O2391))/MAX(O$470:O2391))</f>
        <v>-0.62788758315546067</v>
      </c>
    </row>
    <row r="2392" spans="1:24">
      <c r="A2392" s="799">
        <v>42794</v>
      </c>
      <c r="B2392">
        <v>1177.76</v>
      </c>
      <c r="C2392">
        <v>4427.2608920000002</v>
      </c>
      <c r="D2392">
        <v>2.4124539999999999</v>
      </c>
      <c r="E2392">
        <f>LN(D2392/参数实验室!$E$53)/参数实验室!$E$55</f>
        <v>0.34597489603603521</v>
      </c>
      <c r="F2392">
        <f t="shared" si="318"/>
        <v>3.7590518373862247</v>
      </c>
      <c r="G2392">
        <f>LN(F2392/参数实验室!$E$58)/参数实验室!$E$59</f>
        <v>0.50446425026171415</v>
      </c>
      <c r="H2392" s="856">
        <f>INDEX(神经网络!$G$10:$BO$70,MATCH(ROUND(G2392*2,1)/2,神经网络!$E$10:$E$70,0),MATCH(ROUND(E2392*2,1)/2,神经网络!$G$8:$BO$8,0))</f>
        <v>1.9344855902121909</v>
      </c>
      <c r="I2392">
        <f t="shared" ref="I2392:I2455" si="320">I2391*(1+(B2392-B2391)/B2391*H2391)</f>
        <v>2251.5010127190262</v>
      </c>
      <c r="J2392">
        <f t="shared" ref="J2392:J2455" si="321">J2391*B2392/B2391</f>
        <v>469.95730417780555</v>
      </c>
      <c r="K2392">
        <f t="shared" ref="K2392:K2455" si="322">I2392/J2392</f>
        <v>4.7908628990415352</v>
      </c>
      <c r="L2392" s="4">
        <f>MIN(MAX(L2391*(1+MAX(MIN(((B2392-B2391)/B2391)/($K$7*卓尔金历!$N$40),0),-卓尔金历!$M$43))+MIN(MAX(((B2392-B2391)/B2391)/($K$7*卓尔金历!$N$40),0),卓尔金历!$M$43),0),1)</f>
        <v>1</v>
      </c>
      <c r="M2392" s="4">
        <f>MIN(MAX(M2391*(1+MAX(MIN(((B2392-B2391)/B2391)/($K$7*30),0),-卓尔金历!$M$43))+MIN(MAX(((B2392-B2391)/B2391)/($K$7*7),0),卓尔金历!$M$43),0),1)</f>
        <v>1</v>
      </c>
      <c r="N2392">
        <f t="shared" ref="N2392:N2455" si="323">N2391*(1+(B2392-B2391)/B2391*H2391*L2391)</f>
        <v>2262.3953347387805</v>
      </c>
      <c r="O2392">
        <f t="shared" ref="O2392:O2455" si="324">O2391*(1+(B2392-B2391)/B2391*H2391*M2391)</f>
        <v>5382.2487546179009</v>
      </c>
      <c r="P2392">
        <f t="shared" ref="P2392:P2455" si="325">(B2392-B2391)/B2391</f>
        <v>9.6441522147259779E-3</v>
      </c>
      <c r="Q2392">
        <f t="shared" si="316"/>
        <v>2.2767721563939729E-2</v>
      </c>
      <c r="R2392">
        <f t="shared" si="317"/>
        <v>0.90163149490743544</v>
      </c>
      <c r="S2392">
        <f t="shared" si="319"/>
        <v>32.221687065457857</v>
      </c>
      <c r="T2392" s="564">
        <f>IF((I2392-MAX(I$470:I2392))/MAX(I$470:I2392)&gt;T2391,T2391,(I2392-MAX(I$470:I2392))/MAX(I$470:I2392))</f>
        <v>-0.91338805338419748</v>
      </c>
      <c r="U2392" s="564">
        <f>IF((J2392-MAX(J$470:J2392))/MAX(J$470:J2392)&gt;U2391,U2391,(J2392-MAX(J$470:J2392))/MAX(J$470:J2392))</f>
        <v>-0.8283551177402233</v>
      </c>
      <c r="V2392" s="564">
        <f>IF((K2392-MAX(K$470:K2392))/MAX(K$470:K2392)&gt;V2391,V2391,(K2392-MAX(K$470:K2392))/MAX(K$470:K2392))</f>
        <v>-0.84885940676762139</v>
      </c>
      <c r="W2392" s="564">
        <f>IF((N2392-MAX(N$470:N2392))/MAX(N$470:N2392)&gt;W2391,W2391,(N2392-MAX(N$470:N2392))/MAX(N$470:N2392))</f>
        <v>-0.62788758315546067</v>
      </c>
      <c r="X2392" s="564">
        <f>IF((O2392-MAX(O$470:O2392))/MAX(O$470:O2392)&gt;X2391,X2391,(O2392-MAX(O$470:O2392))/MAX(O$470:O2392))</f>
        <v>-0.62788758315546067</v>
      </c>
    </row>
    <row r="2393" spans="1:24">
      <c r="A2393" s="799">
        <v>42795</v>
      </c>
      <c r="B2393">
        <v>1205.33</v>
      </c>
      <c r="C2393">
        <v>4428.8349680000001</v>
      </c>
      <c r="D2393">
        <v>2.4811589999999999</v>
      </c>
      <c r="E2393">
        <f>LN(D2393/参数实验室!$E$53)/参数实验室!$E$55</f>
        <v>0.37910390437608871</v>
      </c>
      <c r="F2393">
        <f t="shared" si="318"/>
        <v>3.6743754556843355</v>
      </c>
      <c r="G2393">
        <f>LN(F2393/参数实验室!$E$58)/参数实验室!$E$59</f>
        <v>0.49250619591923239</v>
      </c>
      <c r="H2393" s="856">
        <f>INDEX(神经网络!$G$10:$BO$70,MATCH(ROUND(G2393*2,1)/2,神经网络!$E$10:$E$70,0),MATCH(ROUND(E2393*2,1)/2,神经网络!$G$8:$BO$8,0))</f>
        <v>1.9943536627222795</v>
      </c>
      <c r="I2393">
        <f t="shared" si="320"/>
        <v>2353.4581449348784</v>
      </c>
      <c r="J2393">
        <f t="shared" si="321"/>
        <v>480.95846135429491</v>
      </c>
      <c r="K2393">
        <f t="shared" si="322"/>
        <v>4.8932669534661102</v>
      </c>
      <c r="L2393" s="4">
        <f>MIN(MAX(L2392*(1+MAX(MIN(((B2393-B2392)/B2392)/($K$7*卓尔金历!$N$40),0),-卓尔金历!$M$43))+MIN(MAX(((B2393-B2392)/B2392)/($K$7*卓尔金历!$N$40),0),卓尔金历!$M$43),0),1)</f>
        <v>1</v>
      </c>
      <c r="M2393" s="4">
        <f>MIN(MAX(M2392*(1+MAX(MIN(((B2393-B2392)/B2392)/($K$7*30),0),-卓尔金历!$M$43))+MIN(MAX(((B2393-B2392)/B2392)/($K$7*7),0),卓尔金历!$M$43),0),1)</f>
        <v>1</v>
      </c>
      <c r="N2393">
        <f t="shared" si="323"/>
        <v>2364.845806208888</v>
      </c>
      <c r="O2393">
        <f t="shared" si="324"/>
        <v>5625.9788905552923</v>
      </c>
      <c r="P2393">
        <f t="shared" si="325"/>
        <v>2.340884390707779E-2</v>
      </c>
      <c r="Q2393">
        <f t="shared" si="316"/>
        <v>2.2899696740202809E-2</v>
      </c>
      <c r="R2393">
        <f t="shared" si="317"/>
        <v>2.2267054175233687E-2</v>
      </c>
      <c r="S2393">
        <f t="shared" si="319"/>
        <v>33.537283882033158</v>
      </c>
      <c r="T2393" s="564">
        <f>IF((I2393-MAX(I$470:I2393))/MAX(I$470:I2393)&gt;T2392,T2392,(I2393-MAX(I$470:I2393))/MAX(I$470:I2393))</f>
        <v>-0.91338805338419748</v>
      </c>
      <c r="U2393" s="564">
        <f>IF((J2393-MAX(J$470:J2393))/MAX(J$470:J2393)&gt;U2392,U2392,(J2393-MAX(J$470:J2393))/MAX(J$470:J2393))</f>
        <v>-0.8283551177402233</v>
      </c>
      <c r="V2393" s="564">
        <f>IF((K2393-MAX(K$470:K2393))/MAX(K$470:K2393)&gt;V2392,V2392,(K2393-MAX(K$470:K2393))/MAX(K$470:K2393))</f>
        <v>-0.84885940676762139</v>
      </c>
      <c r="W2393" s="564">
        <f>IF((N2393-MAX(N$470:N2393))/MAX(N$470:N2393)&gt;W2392,W2392,(N2393-MAX(N$470:N2393))/MAX(N$470:N2393))</f>
        <v>-0.62788758315546067</v>
      </c>
      <c r="X2393" s="564">
        <f>IF((O2393-MAX(O$470:O2393))/MAX(O$470:O2393)&gt;X2392,X2392,(O2393-MAX(O$470:O2393))/MAX(O$470:O2393))</f>
        <v>-0.62788758315546067</v>
      </c>
    </row>
    <row r="2394" spans="1:24">
      <c r="A2394" s="799">
        <v>42796</v>
      </c>
      <c r="B2394">
        <v>1228.26</v>
      </c>
      <c r="C2394">
        <v>4395.6349529999998</v>
      </c>
      <c r="D2394">
        <v>2.5357099999999999</v>
      </c>
      <c r="E2394">
        <f>LN(D2394/参数实验室!$E$53)/参数实验室!$E$55</f>
        <v>0.40476104462095092</v>
      </c>
      <c r="F2394">
        <f t="shared" si="318"/>
        <v>3.5787495750085485</v>
      </c>
      <c r="G2394">
        <f>LN(F2394/参数实验室!$E$58)/参数实验室!$E$59</f>
        <v>0.47866594411617658</v>
      </c>
      <c r="H2394" s="856">
        <f>INDEX(神经网络!$G$10:$BO$70,MATCH(ROUND(G2394*2,1)/2,神经网络!$E$10:$E$70,0),MATCH(ROUND(E2394*2,1)/2,神经网络!$G$8:$BO$8,0))</f>
        <v>1.9943536627222795</v>
      </c>
      <c r="I2394">
        <f t="shared" si="320"/>
        <v>2442.7489508482249</v>
      </c>
      <c r="J2394">
        <f t="shared" si="321"/>
        <v>490.10813614779875</v>
      </c>
      <c r="K2394">
        <f t="shared" si="322"/>
        <v>4.9841020188891152</v>
      </c>
      <c r="L2394" s="4">
        <f>MIN(MAX(L2393*(1+MAX(MIN(((B2394-B2393)/B2393)/($K$7*卓尔金历!$N$40),0),-卓尔金历!$M$43))+MIN(MAX(((B2394-B2393)/B2393)/($K$7*卓尔金历!$N$40),0),卓尔金历!$M$43),0),1)</f>
        <v>1</v>
      </c>
      <c r="M2394" s="4">
        <f>MIN(MAX(M2393*(1+MAX(MIN(((B2394-B2393)/B2393)/($K$7*30),0),-卓尔金历!$M$43))+MIN(MAX(((B2394-B2393)/B2393)/($K$7*7),0),卓尔金历!$M$43),0),1)</f>
        <v>1</v>
      </c>
      <c r="N2394">
        <f t="shared" si="323"/>
        <v>2454.5686629130305</v>
      </c>
      <c r="O2394">
        <f t="shared" si="324"/>
        <v>5839.4299732823474</v>
      </c>
      <c r="P2394">
        <f t="shared" si="325"/>
        <v>1.9023835796006128E-2</v>
      </c>
      <c r="Q2394">
        <f t="shared" si="316"/>
        <v>1.6289429703547444E-2</v>
      </c>
      <c r="R2394">
        <f t="shared" si="317"/>
        <v>1.9346206632265106E-2</v>
      </c>
      <c r="S2394">
        <f t="shared" si="319"/>
        <v>33.565616774713561</v>
      </c>
      <c r="T2394" s="564">
        <f>IF((I2394-MAX(I$470:I2394))/MAX(I$470:I2394)&gt;T2393,T2393,(I2394-MAX(I$470:I2394))/MAX(I$470:I2394))</f>
        <v>-0.91338805338419748</v>
      </c>
      <c r="U2394" s="564">
        <f>IF((J2394-MAX(J$470:J2394))/MAX(J$470:J2394)&gt;U2393,U2393,(J2394-MAX(J$470:J2394))/MAX(J$470:J2394))</f>
        <v>-0.8283551177402233</v>
      </c>
      <c r="V2394" s="564">
        <f>IF((K2394-MAX(K$470:K2394))/MAX(K$470:K2394)&gt;V2393,V2393,(K2394-MAX(K$470:K2394))/MAX(K$470:K2394))</f>
        <v>-0.84885940676762139</v>
      </c>
      <c r="W2394" s="564">
        <f>IF((N2394-MAX(N$470:N2394))/MAX(N$470:N2394)&gt;W2393,W2393,(N2394-MAX(N$470:N2394))/MAX(N$470:N2394))</f>
        <v>-0.62788758315546067</v>
      </c>
      <c r="X2394" s="564">
        <f>IF((O2394-MAX(O$470:O2394))/MAX(O$470:O2394)&gt;X2393,X2393,(O2394-MAX(O$470:O2394))/MAX(O$470:O2394))</f>
        <v>-0.62788758315546067</v>
      </c>
    </row>
    <row r="2395" spans="1:24">
      <c r="A2395" s="799">
        <v>42797</v>
      </c>
      <c r="B2395">
        <v>1267.1600000000001</v>
      </c>
      <c r="C2395">
        <v>4518.1573010000002</v>
      </c>
      <c r="D2395">
        <v>2.571326</v>
      </c>
      <c r="E2395">
        <f>LN(D2395/参数实验室!$E$53)/参数实验室!$E$55</f>
        <v>0.42121629292780399</v>
      </c>
      <c r="F2395">
        <f t="shared" si="318"/>
        <v>3.5655775916222101</v>
      </c>
      <c r="G2395">
        <f>LN(F2395/参数实验室!$E$58)/参数实验室!$E$59</f>
        <v>0.47673059697771092</v>
      </c>
      <c r="H2395" s="856">
        <f>INDEX(神经网络!$G$10:$BO$70,MATCH(ROUND(G2395*2,1)/2,神经网络!$E$10:$E$70,0),MATCH(ROUND(E2395*2,1)/2,神经网络!$G$8:$BO$8,0))</f>
        <v>1.9943536627222795</v>
      </c>
      <c r="I2395">
        <f t="shared" si="320"/>
        <v>2597.0398475968354</v>
      </c>
      <c r="J2395">
        <f t="shared" si="321"/>
        <v>505.63026216032819</v>
      </c>
      <c r="K2395">
        <f t="shared" si="322"/>
        <v>5.1362429070223472</v>
      </c>
      <c r="L2395" s="4">
        <f>MIN(MAX(L2394*(1+MAX(MIN(((B2395-B2394)/B2394)/($K$7*卓尔金历!$N$40),0),-卓尔金历!$M$43))+MIN(MAX(((B2395-B2394)/B2394)/($K$7*卓尔金历!$N$40),0),卓尔金历!$M$43),0),1)</f>
        <v>1</v>
      </c>
      <c r="M2395" s="4">
        <f>MIN(MAX(M2394*(1+MAX(MIN(((B2395-B2394)/B2394)/($K$7*30),0),-卓尔金历!$M$43))+MIN(MAX(((B2395-B2394)/B2394)/($K$7*7),0),卓尔金历!$M$43),0),1)</f>
        <v>1</v>
      </c>
      <c r="N2395">
        <f t="shared" si="323"/>
        <v>2609.6061259320536</v>
      </c>
      <c r="O2395">
        <f t="shared" si="324"/>
        <v>6208.2648004411485</v>
      </c>
      <c r="P2395">
        <f t="shared" si="325"/>
        <v>3.1670818881995744E-2</v>
      </c>
      <c r="Q2395">
        <f t="shared" si="316"/>
        <v>1.549514536414911E-2</v>
      </c>
      <c r="R2395">
        <f t="shared" si="317"/>
        <v>4.6446222869537934E-3</v>
      </c>
      <c r="S2395">
        <f t="shared" si="319"/>
        <v>33.606632644121333</v>
      </c>
      <c r="T2395" s="564">
        <f>IF((I2395-MAX(I$470:I2395))/MAX(I$470:I2395)&gt;T2394,T2394,(I2395-MAX(I$470:I2395))/MAX(I$470:I2395))</f>
        <v>-0.91338805338419748</v>
      </c>
      <c r="U2395" s="564">
        <f>IF((J2395-MAX(J$470:J2395))/MAX(J$470:J2395)&gt;U2394,U2394,(J2395-MAX(J$470:J2395))/MAX(J$470:J2395))</f>
        <v>-0.8283551177402233</v>
      </c>
      <c r="V2395" s="564">
        <f>IF((K2395-MAX(K$470:K2395))/MAX(K$470:K2395)&gt;V2394,V2394,(K2395-MAX(K$470:K2395))/MAX(K$470:K2395))</f>
        <v>-0.84885940676762139</v>
      </c>
      <c r="W2395" s="564">
        <f>IF((N2395-MAX(N$470:N2395))/MAX(N$470:N2395)&gt;W2394,W2394,(N2395-MAX(N$470:N2395))/MAX(N$470:N2395))</f>
        <v>-0.62788758315546067</v>
      </c>
      <c r="X2395" s="564">
        <f>IF((O2395-MAX(O$470:O2395))/MAX(O$470:O2395)&gt;X2394,X2394,(O2395-MAX(O$470:O2395))/MAX(O$470:O2395))</f>
        <v>-0.62788758315546067</v>
      </c>
    </row>
    <row r="2396" spans="1:24">
      <c r="A2396" s="799">
        <v>42798</v>
      </c>
      <c r="B2396">
        <v>1269.28</v>
      </c>
      <c r="C2396">
        <v>4595.5453180000004</v>
      </c>
      <c r="D2396">
        <v>2.5242260000000001</v>
      </c>
      <c r="E2396">
        <f>LN(D2396/参数实验室!$E$53)/参数实验室!$E$55</f>
        <v>0.39940591383806667</v>
      </c>
      <c r="F2396">
        <f t="shared" si="318"/>
        <v>3.6205922396949455</v>
      </c>
      <c r="G2396">
        <f>LN(F2396/参数实验室!$E$58)/参数实验室!$E$59</f>
        <v>0.48476692934083415</v>
      </c>
      <c r="H2396" s="856">
        <f>INDEX(神经网络!$G$10:$BO$70,MATCH(ROUND(G2396*2,1)/2,神经网络!$E$10:$E$70,0),MATCH(ROUND(E2396*2,1)/2,神经网络!$G$8:$BO$8,0))</f>
        <v>1.9943536627222795</v>
      </c>
      <c r="I2396">
        <f t="shared" si="320"/>
        <v>2605.7051793437772</v>
      </c>
      <c r="J2396">
        <f t="shared" si="321"/>
        <v>506.47619807669219</v>
      </c>
      <c r="K2396">
        <f t="shared" si="322"/>
        <v>5.1447732178506307</v>
      </c>
      <c r="L2396" s="4">
        <f>MIN(MAX(L2395*(1+MAX(MIN(((B2396-B2395)/B2395)/($K$7*卓尔金历!$N$40),0),-卓尔金历!$M$43))+MIN(MAX(((B2396-B2395)/B2395)/($K$7*卓尔金历!$N$40),0),卓尔金历!$M$43),0),1)</f>
        <v>1</v>
      </c>
      <c r="M2396" s="4">
        <f>MIN(MAX(M2395*(1+MAX(MIN(((B2396-B2395)/B2395)/($K$7*30),0),-卓尔金历!$M$43))+MIN(MAX(((B2396-B2395)/B2395)/($K$7*7),0),卓尔金历!$M$43),0),1)</f>
        <v>1</v>
      </c>
      <c r="N2396">
        <f t="shared" si="323"/>
        <v>2618.3133865584077</v>
      </c>
      <c r="O2396">
        <f t="shared" si="324"/>
        <v>6228.9794129329302</v>
      </c>
      <c r="P2396">
        <f t="shared" si="325"/>
        <v>1.6730326083524501E-3</v>
      </c>
      <c r="Q2396">
        <f t="shared" si="316"/>
        <v>1.4471593349197617E-2</v>
      </c>
      <c r="R2396">
        <f t="shared" si="317"/>
        <v>1</v>
      </c>
      <c r="S2396">
        <f t="shared" si="319"/>
        <v>33.607153457319434</v>
      </c>
      <c r="T2396" s="564">
        <f>IF((I2396-MAX(I$470:I2396))/MAX(I$470:I2396)&gt;T2395,T2395,(I2396-MAX(I$470:I2396))/MAX(I$470:I2396))</f>
        <v>-0.91338805338419748</v>
      </c>
      <c r="U2396" s="564">
        <f>IF((J2396-MAX(J$470:J2396))/MAX(J$470:J2396)&gt;U2395,U2395,(J2396-MAX(J$470:J2396))/MAX(J$470:J2396))</f>
        <v>-0.8283551177402233</v>
      </c>
      <c r="V2396" s="564">
        <f>IF((K2396-MAX(K$470:K2396))/MAX(K$470:K2396)&gt;V2395,V2395,(K2396-MAX(K$470:K2396))/MAX(K$470:K2396))</f>
        <v>-0.84885940676762139</v>
      </c>
      <c r="W2396" s="564">
        <f>IF((N2396-MAX(N$470:N2396))/MAX(N$470:N2396)&gt;W2395,W2395,(N2396-MAX(N$470:N2396))/MAX(N$470:N2396))</f>
        <v>-0.62788758315546067</v>
      </c>
      <c r="X2396" s="564">
        <f>IF((O2396-MAX(O$470:O2396))/MAX(O$470:O2396)&gt;X2395,X2395,(O2396-MAX(O$470:O2396))/MAX(O$470:O2396))</f>
        <v>-0.62788758315546067</v>
      </c>
    </row>
    <row r="2397" spans="1:24">
      <c r="A2397" s="799">
        <v>42799</v>
      </c>
      <c r="B2397">
        <v>1255.06</v>
      </c>
      <c r="C2397">
        <v>4603.3612139999996</v>
      </c>
      <c r="D2397">
        <v>2.5321380000000002</v>
      </c>
      <c r="E2397">
        <f>LN(D2397/参数实验室!$E$53)/参数实验室!$E$55</f>
        <v>0.40309798002812541</v>
      </c>
      <c r="F2397">
        <f t="shared" si="318"/>
        <v>3.6678415486112215</v>
      </c>
      <c r="G2397">
        <f>LN(F2397/参数实验室!$E$58)/参数实验室!$E$59</f>
        <v>0.49157205070186405</v>
      </c>
      <c r="H2397" s="856">
        <f>INDEX(神经网络!$G$10:$BO$70,MATCH(ROUND(G2397*2,1)/2,神经网络!$E$10:$E$70,0),MATCH(ROUND(E2397*2,1)/2,神经网络!$G$8:$BO$8,0))</f>
        <v>1.9943536627222795</v>
      </c>
      <c r="I2397">
        <f t="shared" si="320"/>
        <v>2547.4855265921155</v>
      </c>
      <c r="J2397">
        <f t="shared" si="321"/>
        <v>500.80204301504256</v>
      </c>
      <c r="K2397">
        <f t="shared" si="322"/>
        <v>5.0868113701277311</v>
      </c>
      <c r="L2397" s="4">
        <f>MIN(MAX(L2396*(1+MAX(MIN(((B2397-B2396)/B2396)/($K$7*卓尔金历!$N$40),0),-卓尔金历!$M$43))+MIN(MAX(((B2397-B2396)/B2396)/($K$7*卓尔金历!$N$40),0),卓尔金历!$M$43),0),1)</f>
        <v>0.82882582717223741</v>
      </c>
      <c r="M2397" s="4">
        <f>MIN(MAX(M2396*(1+MAX(MIN(((B2397-B2396)/B2396)/($K$7*30),0),-卓尔金历!$M$43))+MIN(MAX(((B2397-B2396)/B2396)/($K$7*7),0),卓尔金历!$M$43),0),1)</f>
        <v>0.91441291358611876</v>
      </c>
      <c r="N2397">
        <f t="shared" si="323"/>
        <v>2559.8120267849094</v>
      </c>
      <c r="O2397">
        <f t="shared" si="324"/>
        <v>6089.8044129010641</v>
      </c>
      <c r="P2397">
        <f t="shared" si="325"/>
        <v>-1.1203201815202341E-2</v>
      </c>
      <c r="Q2397">
        <f t="shared" si="316"/>
        <v>1.4959080367868487E-2</v>
      </c>
      <c r="R2397">
        <f t="shared" si="317"/>
        <v>0.30777448838691596</v>
      </c>
      <c r="S2397">
        <f t="shared" si="319"/>
        <v>32.856263901675348</v>
      </c>
      <c r="T2397" s="564">
        <f>IF((I2397-MAX(I$470:I2397))/MAX(I$470:I2397)&gt;T2396,T2396,(I2397-MAX(I$470:I2397))/MAX(I$470:I2397))</f>
        <v>-0.91338805338419748</v>
      </c>
      <c r="U2397" s="564">
        <f>IF((J2397-MAX(J$470:J2397))/MAX(J$470:J2397)&gt;U2396,U2396,(J2397-MAX(J$470:J2397))/MAX(J$470:J2397))</f>
        <v>-0.8283551177402233</v>
      </c>
      <c r="V2397" s="564">
        <f>IF((K2397-MAX(K$470:K2397))/MAX(K$470:K2397)&gt;V2396,V2396,(K2397-MAX(K$470:K2397))/MAX(K$470:K2397))</f>
        <v>-0.84885940676762139</v>
      </c>
      <c r="W2397" s="564">
        <f>IF((N2397-MAX(N$470:N2397))/MAX(N$470:N2397)&gt;W2396,W2396,(N2397-MAX(N$470:N2397))/MAX(N$470:N2397))</f>
        <v>-0.62788758315546067</v>
      </c>
      <c r="X2397" s="564">
        <f>IF((O2397-MAX(O$470:O2397))/MAX(O$470:O2397)&gt;X2396,X2396,(O2397-MAX(O$470:O2397))/MAX(O$470:O2397))</f>
        <v>-0.62788758315546067</v>
      </c>
    </row>
    <row r="2398" spans="1:24">
      <c r="A2398" s="799">
        <v>42800</v>
      </c>
      <c r="B2398">
        <v>1270.9000000000001</v>
      </c>
      <c r="C2398">
        <v>4611.1360699999996</v>
      </c>
      <c r="D2398">
        <v>2.5327540000000002</v>
      </c>
      <c r="E2398">
        <f>LN(D2398/参数实验室!$E$53)/参数实验室!$E$55</f>
        <v>0.40338494685856124</v>
      </c>
      <c r="F2398">
        <f t="shared" si="318"/>
        <v>3.6282446061845932</v>
      </c>
      <c r="G2398">
        <f>LN(F2398/参数实验室!$E$58)/参数实验室!$E$59</f>
        <v>0.485875073190289</v>
      </c>
      <c r="H2398" s="856">
        <f>INDEX(神经网络!$G$10:$BO$70,MATCH(ROUND(G2398*2,1)/2,神经网络!$E$10:$E$70,0),MATCH(ROUND(E2398*2,1)/2,神经网络!$G$8:$BO$8,0))</f>
        <v>1.9943536627222795</v>
      </c>
      <c r="I2398">
        <f t="shared" si="320"/>
        <v>2611.6071618259257</v>
      </c>
      <c r="J2398">
        <f t="shared" si="321"/>
        <v>507.12262080523453</v>
      </c>
      <c r="K2398">
        <f t="shared" si="322"/>
        <v>5.1498534174616113</v>
      </c>
      <c r="L2398" s="4">
        <f>MIN(MAX(L2397*(1+MAX(MIN(((B2398-B2397)/B2397)/($K$7*卓尔金历!$N$40),0),-卓尔金历!$M$43))+MIN(MAX(((B2398-B2397)/B2397)/($K$7*卓尔金历!$N$40),0),卓尔金历!$M$43),0),1)</f>
        <v>1</v>
      </c>
      <c r="M2398" s="4">
        <f>MIN(MAX(M2397*(1+MAX(MIN(((B2398-B2397)/B2397)/($K$7*30),0),-卓尔金历!$M$43))+MIN(MAX(((B2398-B2397)/B2397)/($K$7*7),0),卓尔金历!$M$43),0),1)</f>
        <v>1</v>
      </c>
      <c r="N2398">
        <f t="shared" si="323"/>
        <v>2613.2148497118424</v>
      </c>
      <c r="O2398">
        <f t="shared" si="324"/>
        <v>6229.9690830010986</v>
      </c>
      <c r="P2398">
        <f t="shared" si="325"/>
        <v>1.2620910554077212E-2</v>
      </c>
      <c r="Q2398">
        <f t="shared" si="316"/>
        <v>1.4354129211905767E-2</v>
      </c>
      <c r="R2398">
        <f t="shared" si="317"/>
        <v>0.14556669898200306</v>
      </c>
      <c r="S2398">
        <f t="shared" si="319"/>
        <v>33.11079664607189</v>
      </c>
      <c r="T2398" s="564">
        <f>IF((I2398-MAX(I$470:I2398))/MAX(I$470:I2398)&gt;T2397,T2397,(I2398-MAX(I$470:I2398))/MAX(I$470:I2398))</f>
        <v>-0.91338805338419748</v>
      </c>
      <c r="U2398" s="564">
        <f>IF((J2398-MAX(J$470:J2398))/MAX(J$470:J2398)&gt;U2397,U2397,(J2398-MAX(J$470:J2398))/MAX(J$470:J2398))</f>
        <v>-0.8283551177402233</v>
      </c>
      <c r="V2398" s="564">
        <f>IF((K2398-MAX(K$470:K2398))/MAX(K$470:K2398)&gt;V2397,V2397,(K2398-MAX(K$470:K2398))/MAX(K$470:K2398))</f>
        <v>-0.84885940676762139</v>
      </c>
      <c r="W2398" s="564">
        <f>IF((N2398-MAX(N$470:N2398))/MAX(N$470:N2398)&gt;W2397,W2397,(N2398-MAX(N$470:N2398))/MAX(N$470:N2398))</f>
        <v>-0.62788758315546067</v>
      </c>
      <c r="X2398" s="564">
        <f>IF((O2398-MAX(O$470:O2398))/MAX(O$470:O2398)&gt;X2397,X2397,(O2398-MAX(O$470:O2398))/MAX(O$470:O2398))</f>
        <v>-0.62788758315546067</v>
      </c>
    </row>
    <row r="2399" spans="1:24">
      <c r="A2399" s="799">
        <v>42801</v>
      </c>
      <c r="B2399">
        <v>1226.8</v>
      </c>
      <c r="C2399">
        <v>4631.4354620000004</v>
      </c>
      <c r="D2399">
        <v>2.4337680000000002</v>
      </c>
      <c r="E2399">
        <f>LN(D2399/参数实验室!$E$53)/参数实验室!$E$55</f>
        <v>0.35635222615915846</v>
      </c>
      <c r="F2399">
        <f t="shared" si="318"/>
        <v>3.7752163857189442</v>
      </c>
      <c r="G2399">
        <f>LN(F2399/参数实验室!$E$58)/参数实验室!$E$59</f>
        <v>0.50671637118793289</v>
      </c>
      <c r="H2399" s="856">
        <f>INDEX(神经网络!$G$10:$BO$70,MATCH(ROUND(G2399*2,1)/2,神经网络!$E$10:$E$70,0),MATCH(ROUND(E2399*2,1)/2,神经网络!$G$8:$BO$8,0))</f>
        <v>1.9344855902121909</v>
      </c>
      <c r="I2399">
        <f t="shared" si="320"/>
        <v>2430.8742541092161</v>
      </c>
      <c r="J2399">
        <f t="shared" si="321"/>
        <v>489.52555763935925</v>
      </c>
      <c r="K2399">
        <f t="shared" si="322"/>
        <v>4.9657759767061584</v>
      </c>
      <c r="L2399" s="4">
        <f>MIN(MAX(L2398*(1+MAX(MIN(((B2399-B2398)/B2398)/($K$7*卓尔金历!$N$40),0),-卓尔金历!$M$43))+MIN(MAX(((B2399-B2398)/B2398)/($K$7*卓尔金历!$N$40),0),卓尔金历!$M$43),0),1)</f>
        <v>0.4698200642097391</v>
      </c>
      <c r="M2399" s="4">
        <f>MIN(MAX(M2398*(1+MAX(MIN(((B2399-B2398)/B2398)/($K$7*30),0),-卓尔金历!$M$43))+MIN(MAX(((B2399-B2398)/B2398)/($K$7*7),0),卓尔金历!$M$43),0),1)</f>
        <v>0.7349100321048696</v>
      </c>
      <c r="N2399">
        <f t="shared" si="323"/>
        <v>2432.3706840270238</v>
      </c>
      <c r="O2399">
        <f t="shared" si="324"/>
        <v>5798.8321019825717</v>
      </c>
      <c r="P2399">
        <f t="shared" si="325"/>
        <v>-3.4699819025887271E-2</v>
      </c>
      <c r="Q2399">
        <f t="shared" si="316"/>
        <v>1.7461119654492534E-2</v>
      </c>
      <c r="R2399">
        <f t="shared" si="317"/>
        <v>4.4963190656826593E-3</v>
      </c>
      <c r="S2399">
        <f t="shared" si="319"/>
        <v>32.777246566569787</v>
      </c>
      <c r="T2399" s="564">
        <f>IF((I2399-MAX(I$470:I2399))/MAX(I$470:I2399)&gt;T2398,T2398,(I2399-MAX(I$470:I2399))/MAX(I$470:I2399))</f>
        <v>-0.91338805338419748</v>
      </c>
      <c r="U2399" s="564">
        <f>IF((J2399-MAX(J$470:J2399))/MAX(J$470:J2399)&gt;U2398,U2398,(J2399-MAX(J$470:J2399))/MAX(J$470:J2399))</f>
        <v>-0.8283551177402233</v>
      </c>
      <c r="V2399" s="564">
        <f>IF((K2399-MAX(K$470:K2399))/MAX(K$470:K2399)&gt;V2398,V2398,(K2399-MAX(K$470:K2399))/MAX(K$470:K2399))</f>
        <v>-0.84885940676762139</v>
      </c>
      <c r="W2399" s="564">
        <f>IF((N2399-MAX(N$470:N2399))/MAX(N$470:N2399)&gt;W2398,W2398,(N2399-MAX(N$470:N2399))/MAX(N$470:N2399))</f>
        <v>-0.62788758315546067</v>
      </c>
      <c r="X2399" s="564">
        <f>IF((O2399-MAX(O$470:O2399))/MAX(O$470:O2399)&gt;X2398,X2398,(O2399-MAX(O$470:O2399))/MAX(O$470:O2399))</f>
        <v>-0.62788758315546067</v>
      </c>
    </row>
    <row r="2400" spans="1:24">
      <c r="A2400" s="799">
        <v>42802</v>
      </c>
      <c r="B2400">
        <v>1202.83</v>
      </c>
      <c r="C2400">
        <v>4580.713248</v>
      </c>
      <c r="D2400">
        <v>2.2700650000000002</v>
      </c>
      <c r="E2400">
        <f>LN(D2400/参数实验室!$E$53)/参数实验室!$E$55</f>
        <v>0.27420340261938564</v>
      </c>
      <c r="F2400">
        <f t="shared" si="318"/>
        <v>3.808279846694878</v>
      </c>
      <c r="G2400">
        <f>LN(F2400/参数实验室!$E$58)/参数实验室!$E$59</f>
        <v>0.51129304679981502</v>
      </c>
      <c r="H2400" s="856">
        <f>INDEX(神经网络!$G$10:$BO$70,MATCH(ROUND(G2400*2,1)/2,神经网络!$E$10:$E$70,0),MATCH(ROUND(E2400*2,1)/2,神经网络!$G$8:$BO$8,0))</f>
        <v>1.7979234839107936</v>
      </c>
      <c r="I2400">
        <f t="shared" si="320"/>
        <v>2338.9939847481755</v>
      </c>
      <c r="J2400">
        <f t="shared" si="321"/>
        <v>479.9608954151862</v>
      </c>
      <c r="K2400">
        <f t="shared" si="322"/>
        <v>4.8733011524300291</v>
      </c>
      <c r="L2400" s="4">
        <f>MIN(MAX(L2399*(1+MAX(MIN(((B2400-B2399)/B2399)/($K$7*卓尔金历!$N$40),0),-卓尔金历!$M$43))+MIN(MAX(((B2400-B2399)/B2399)/($K$7*卓尔金历!$N$40),0),卓尔金历!$M$43),0),1)</f>
        <v>0.32956391692165571</v>
      </c>
      <c r="M2400" s="4">
        <f>MIN(MAX(M2399*(1+MAX(MIN(((B2400-B2399)/B2399)/($K$7*30),0),-卓尔金历!$M$43))+MIN(MAX(((B2400-B2399)/B2399)/($K$7*7),0),卓尔金历!$M$43),0),1)</f>
        <v>0.62521308899988637</v>
      </c>
      <c r="N2400">
        <f t="shared" si="323"/>
        <v>2389.1769165405285</v>
      </c>
      <c r="O2400">
        <f t="shared" si="324"/>
        <v>5637.7547519715281</v>
      </c>
      <c r="P2400">
        <f t="shared" si="325"/>
        <v>-1.9538637104662561E-2</v>
      </c>
      <c r="Q2400">
        <f t="shared" si="316"/>
        <v>1.8522294923362291E-2</v>
      </c>
      <c r="R2400">
        <f t="shared" si="317"/>
        <v>1.6528368334516638E-2</v>
      </c>
      <c r="S2400">
        <f t="shared" si="319"/>
        <v>32.771676128429597</v>
      </c>
      <c r="T2400" s="564">
        <f>IF((I2400-MAX(I$470:I2400))/MAX(I$470:I2400)&gt;T2399,T2399,(I2400-MAX(I$470:I2400))/MAX(I$470:I2400))</f>
        <v>-0.91338805338419748</v>
      </c>
      <c r="U2400" s="564">
        <f>IF((J2400-MAX(J$470:J2400))/MAX(J$470:J2400)&gt;U2399,U2399,(J2400-MAX(J$470:J2400))/MAX(J$470:J2400))</f>
        <v>-0.8283551177402233</v>
      </c>
      <c r="V2400" s="564">
        <f>IF((K2400-MAX(K$470:K2400))/MAX(K$470:K2400)&gt;V2399,V2399,(K2400-MAX(K$470:K2400))/MAX(K$470:K2400))</f>
        <v>-0.84885940676762139</v>
      </c>
      <c r="W2400" s="564">
        <f>IF((N2400-MAX(N$470:N2400))/MAX(N$470:N2400)&gt;W2399,W2399,(N2400-MAX(N$470:N2400))/MAX(N$470:N2400))</f>
        <v>-0.62788758315546067</v>
      </c>
      <c r="X2400" s="564">
        <f>IF((O2400-MAX(O$470:O2400))/MAX(O$470:O2400)&gt;X2399,X2399,(O2400-MAX(O$470:O2400))/MAX(O$470:O2400))</f>
        <v>-0.62788758315546067</v>
      </c>
    </row>
    <row r="2401" spans="1:24">
      <c r="A2401" s="799">
        <v>42803</v>
      </c>
      <c r="B2401">
        <v>1172.99</v>
      </c>
      <c r="C2401">
        <v>4591.568655</v>
      </c>
      <c r="D2401">
        <v>2.3469190000000002</v>
      </c>
      <c r="E2401">
        <f>LN(D2401/参数实验室!$E$53)/参数实验室!$E$55</f>
        <v>0.31348321454155248</v>
      </c>
      <c r="F2401">
        <f t="shared" si="318"/>
        <v>3.9144141510157802</v>
      </c>
      <c r="G2401">
        <f>LN(F2401/参数实验室!$E$58)/参数实验室!$E$59</f>
        <v>0.52572027290432632</v>
      </c>
      <c r="H2401" s="856">
        <f>INDEX(神经网络!$G$10:$BO$70,MATCH(ROUND(G2401*2,1)/2,神经网络!$E$10:$E$70,0),MATCH(ROUND(E2401*2,1)/2,神经网络!$G$8:$BO$8,0))</f>
        <v>1.9024821763704294</v>
      </c>
      <c r="I2401">
        <f t="shared" si="320"/>
        <v>2234.6674271607194</v>
      </c>
      <c r="J2401">
        <f t="shared" si="321"/>
        <v>468.05394836598634</v>
      </c>
      <c r="K2401">
        <f t="shared" si="322"/>
        <v>4.7743800366648363</v>
      </c>
      <c r="L2401" s="4">
        <f>MIN(MAX(L2400*(1+MAX(MIN(((B2401-B2400)/B2400)/($K$7*卓尔金历!$N$40),0),-卓尔金历!$M$43))+MIN(MAX(((B2401-B2400)/B2400)/($K$7*卓尔金历!$N$40),0),卓尔金历!$M$43),0),1)</f>
        <v>0.20464439837852216</v>
      </c>
      <c r="M2401" s="4">
        <f>MIN(MAX(M2400*(1+MAX(MIN(((B2401-B2400)/B2400)/($K$7*30),0),-卓尔金历!$M$43))+MIN(MAX(((B2401-B2400)/B2400)/($K$7*7),0),卓尔金历!$M$43),0),1)</f>
        <v>0.50672117581617238</v>
      </c>
      <c r="N2401">
        <f t="shared" si="323"/>
        <v>2354.0569787095083</v>
      </c>
      <c r="O2401">
        <f t="shared" si="324"/>
        <v>5480.5375677657785</v>
      </c>
      <c r="P2401">
        <f t="shared" si="325"/>
        <v>-2.480816075422123E-2</v>
      </c>
      <c r="Q2401">
        <f t="shared" si="316"/>
        <v>1.9802681668349552E-2</v>
      </c>
      <c r="R2401">
        <f t="shared" si="317"/>
        <v>1.4348197679665633E-2</v>
      </c>
      <c r="S2401">
        <f t="shared" si="319"/>
        <v>32.747516268657208</v>
      </c>
      <c r="T2401" s="564">
        <f>IF((I2401-MAX(I$470:I2401))/MAX(I$470:I2401)&gt;T2400,T2400,(I2401-MAX(I$470:I2401))/MAX(I$470:I2401))</f>
        <v>-0.91338805338419748</v>
      </c>
      <c r="U2401" s="564">
        <f>IF((J2401-MAX(J$470:J2401))/MAX(J$470:J2401)&gt;U2400,U2400,(J2401-MAX(J$470:J2401))/MAX(J$470:J2401))</f>
        <v>-0.8283551177402233</v>
      </c>
      <c r="V2401" s="564">
        <f>IF((K2401-MAX(K$470:K2401))/MAX(K$470:K2401)&gt;V2400,V2400,(K2401-MAX(K$470:K2401))/MAX(K$470:K2401))</f>
        <v>-0.84885940676762139</v>
      </c>
      <c r="W2401" s="564">
        <f>IF((N2401-MAX(N$470:N2401))/MAX(N$470:N2401)&gt;W2400,W2400,(N2401-MAX(N$470:N2401))/MAX(N$470:N2401))</f>
        <v>-0.62788758315546067</v>
      </c>
      <c r="X2401" s="564">
        <f>IF((O2401-MAX(O$470:O2401))/MAX(O$470:O2401)&gt;X2400,X2400,(O2401-MAX(O$470:O2401))/MAX(O$470:O2401))</f>
        <v>-0.62788758315546067</v>
      </c>
    </row>
    <row r="2402" spans="1:24">
      <c r="A2402" s="799">
        <v>42804</v>
      </c>
      <c r="B2402">
        <v>1241.08</v>
      </c>
      <c r="C2402">
        <v>4562.8081330000005</v>
      </c>
      <c r="D2402">
        <v>2.1626069999999999</v>
      </c>
      <c r="E2402">
        <f>LN(D2402/参数实验室!$E$53)/参数实验室!$E$55</f>
        <v>0.2169924168632103</v>
      </c>
      <c r="F2402">
        <f t="shared" si="318"/>
        <v>3.6764818811035553</v>
      </c>
      <c r="G2402">
        <f>LN(F2402/参数实验室!$E$58)/参数实验室!$E$59</f>
        <v>0.49280699509879344</v>
      </c>
      <c r="H2402" s="856">
        <f>INDEX(神经网络!$G$10:$BO$70,MATCH(ROUND(G2402*2,1)/2,神经网络!$E$10:$E$70,0),MATCH(ROUND(E2402*2,1)/2,神经网络!$G$8:$BO$8,0))</f>
        <v>1.7238252358461883</v>
      </c>
      <c r="I2402">
        <f t="shared" si="320"/>
        <v>2481.4545642762669</v>
      </c>
      <c r="J2402">
        <f t="shared" si="321"/>
        <v>495.22365428354738</v>
      </c>
      <c r="K2402">
        <f t="shared" si="322"/>
        <v>5.010775520943664</v>
      </c>
      <c r="L2402" s="4">
        <f>MIN(MAX(L2401*(1+MAX(MIN(((B2402-B2401)/B2401)/($K$7*卓尔金历!$N$40),0),-卓尔金历!$M$43))+MIN(MAX(((B2402-B2401)/B2401)/($K$7*卓尔金历!$N$40),0),卓尔金历!$M$43),0),1)</f>
        <v>1</v>
      </c>
      <c r="M2402" s="4">
        <f>MIN(MAX(M2401*(1+MAX(MIN(((B2402-B2401)/B2401)/($K$7*30),0),-卓尔金历!$M$43))+MIN(MAX(((B2402-B2401)/B2401)/($K$7*7),0),卓尔金历!$M$43),0),1)</f>
        <v>1</v>
      </c>
      <c r="N2402">
        <f t="shared" si="323"/>
        <v>2407.258794260269</v>
      </c>
      <c r="O2402">
        <f t="shared" si="324"/>
        <v>5787.2291344829709</v>
      </c>
      <c r="P2402">
        <f t="shared" si="325"/>
        <v>5.8048235705334163E-2</v>
      </c>
      <c r="Q2402">
        <f t="shared" si="316"/>
        <v>2.2436887989493365E-2</v>
      </c>
      <c r="R2402">
        <f t="shared" si="317"/>
        <v>9.7888763816637359E-4</v>
      </c>
      <c r="S2402">
        <f t="shared" si="319"/>
        <v>32.799406468018383</v>
      </c>
      <c r="T2402" s="564">
        <f>IF((I2402-MAX(I$470:I2402))/MAX(I$470:I2402)&gt;T2401,T2401,(I2402-MAX(I$470:I2402))/MAX(I$470:I2402))</f>
        <v>-0.91338805338419748</v>
      </c>
      <c r="U2402" s="564">
        <f>IF((J2402-MAX(J$470:J2402))/MAX(J$470:J2402)&gt;U2401,U2401,(J2402-MAX(J$470:J2402))/MAX(J$470:J2402))</f>
        <v>-0.8283551177402233</v>
      </c>
      <c r="V2402" s="564">
        <f>IF((K2402-MAX(K$470:K2402))/MAX(K$470:K2402)&gt;V2401,V2401,(K2402-MAX(K$470:K2402))/MAX(K$470:K2402))</f>
        <v>-0.84885940676762139</v>
      </c>
      <c r="W2402" s="564">
        <f>IF((N2402-MAX(N$470:N2402))/MAX(N$470:N2402)&gt;W2401,W2401,(N2402-MAX(N$470:N2402))/MAX(N$470:N2402))</f>
        <v>-0.62788758315546067</v>
      </c>
      <c r="X2402" s="564">
        <f>IF((O2402-MAX(O$470:O2402))/MAX(O$470:O2402)&gt;X2401,X2401,(O2402-MAX(O$470:O2402))/MAX(O$470:O2402))</f>
        <v>-0.62788758315546067</v>
      </c>
    </row>
    <row r="2403" spans="1:24">
      <c r="A2403" s="799">
        <v>42805</v>
      </c>
      <c r="B2403">
        <v>1190.7</v>
      </c>
      <c r="C2403">
        <v>4625.834492</v>
      </c>
      <c r="D2403">
        <v>2.3112189999999999</v>
      </c>
      <c r="E2403">
        <f>LN(D2403/参数实验室!$E$53)/参数实验室!$E$55</f>
        <v>0.29539958737065608</v>
      </c>
      <c r="F2403">
        <f t="shared" si="318"/>
        <v>3.8849705988074241</v>
      </c>
      <c r="G2403">
        <f>LN(F2403/参数实验室!$E$58)/参数实验室!$E$59</f>
        <v>0.52175748831872293</v>
      </c>
      <c r="H2403" s="856">
        <f>INDEX(神经网络!$G$10:$BO$70,MATCH(ROUND(G2403*2,1)/2,神经网络!$E$10:$E$70,0),MATCH(ROUND(E2403*2,1)/2,神经网络!$G$8:$BO$8,0))</f>
        <v>1.8674158330229262</v>
      </c>
      <c r="I2403">
        <f t="shared" si="320"/>
        <v>2307.8112973675516</v>
      </c>
      <c r="J2403">
        <f t="shared" si="321"/>
        <v>475.12070547863141</v>
      </c>
      <c r="K2403">
        <f t="shared" si="322"/>
        <v>4.8573157741940287</v>
      </c>
      <c r="L2403" s="4">
        <f>MIN(MAX(L2402*(1+MAX(MIN(((B2403-B2402)/B2402)/($K$7*卓尔金历!$N$40),0),-卓尔金历!$M$43))+MIN(MAX(((B2403-B2402)/B2402)/($K$7*卓尔金历!$N$40),0),卓尔金历!$M$43),0),1)</f>
        <v>0.3797675782941744</v>
      </c>
      <c r="M2403" s="4">
        <f>MIN(MAX(M2402*(1+MAX(MIN(((B2403-B2402)/B2402)/($K$7*30),0),-卓尔金历!$M$43))+MIN(MAX(((B2403-B2402)/B2402)/($K$7*7),0),卓尔金历!$M$43),0),1)</f>
        <v>0.68988378914708726</v>
      </c>
      <c r="N2403">
        <f t="shared" si="323"/>
        <v>2238.8074805236415</v>
      </c>
      <c r="O2403">
        <f t="shared" si="324"/>
        <v>5382.2596509679624</v>
      </c>
      <c r="P2403">
        <f t="shared" si="325"/>
        <v>-4.0593676475327849E-2</v>
      </c>
      <c r="Q2403">
        <f t="shared" si="316"/>
        <v>2.4701573572619227E-2</v>
      </c>
      <c r="R2403">
        <f t="shared" si="317"/>
        <v>1.1291468130578115E-2</v>
      </c>
      <c r="S2403">
        <f t="shared" si="319"/>
        <v>32.797159740268874</v>
      </c>
      <c r="T2403" s="564">
        <f>IF((I2403-MAX(I$470:I2403))/MAX(I$470:I2403)&gt;T2402,T2402,(I2403-MAX(I$470:I2403))/MAX(I$470:I2403))</f>
        <v>-0.91338805338419748</v>
      </c>
      <c r="U2403" s="564">
        <f>IF((J2403-MAX(J$470:J2403))/MAX(J$470:J2403)&gt;U2402,U2402,(J2403-MAX(J$470:J2403))/MAX(J$470:J2403))</f>
        <v>-0.8283551177402233</v>
      </c>
      <c r="V2403" s="564">
        <f>IF((K2403-MAX(K$470:K2403))/MAX(K$470:K2403)&gt;V2402,V2402,(K2403-MAX(K$470:K2403))/MAX(K$470:K2403))</f>
        <v>-0.84885940676762139</v>
      </c>
      <c r="W2403" s="564">
        <f>IF((N2403-MAX(N$470:N2403))/MAX(N$470:N2403)&gt;W2402,W2402,(N2403-MAX(N$470:N2403))/MAX(N$470:N2403))</f>
        <v>-0.62788758315546067</v>
      </c>
      <c r="X2403" s="564">
        <f>IF((O2403-MAX(O$470:O2403))/MAX(O$470:O2403)&gt;X2402,X2402,(O2403-MAX(O$470:O2403))/MAX(O$470:O2403))</f>
        <v>-0.62788758315546067</v>
      </c>
    </row>
    <row r="2404" spans="1:24">
      <c r="A2404" s="799">
        <v>42806</v>
      </c>
      <c r="B2404">
        <v>1181.17</v>
      </c>
      <c r="C2404">
        <v>4602.9219670000002</v>
      </c>
      <c r="D2404">
        <v>2.4125269999999999</v>
      </c>
      <c r="E2404">
        <f>LN(D2404/参数实验室!$E$53)/参数实验室!$E$55</f>
        <v>0.3460105944094865</v>
      </c>
      <c r="F2404">
        <f t="shared" si="318"/>
        <v>3.8969174352548746</v>
      </c>
      <c r="G2404">
        <f>LN(F2404/参数实验室!$E$58)/参数实验室!$E$59</f>
        <v>0.52336901249130741</v>
      </c>
      <c r="H2404" s="856">
        <f>INDEX(神经网络!$G$10:$BO$70,MATCH(ROUND(G2404*2,1)/2,神经网络!$E$10:$E$70,0),MATCH(ROUND(E2404*2,1)/2,神经网络!$G$8:$BO$8,0))</f>
        <v>1.9344855902121909</v>
      </c>
      <c r="I2404">
        <f t="shared" si="320"/>
        <v>2273.3182250690238</v>
      </c>
      <c r="J2404">
        <f t="shared" si="321"/>
        <v>471.31798411874956</v>
      </c>
      <c r="K2404">
        <f t="shared" si="322"/>
        <v>4.8233216250374538</v>
      </c>
      <c r="L2404" s="4">
        <f>MIN(MAX(L2403*(1+MAX(MIN(((B2404-B2403)/B2403)/($K$7*卓尔金历!$N$40),0),-卓尔金历!$M$43))+MIN(MAX(((B2404-B2403)/B2403)/($K$7*卓尔金历!$N$40),0),卓尔金历!$M$43),0),1)</f>
        <v>0.33332626305858132</v>
      </c>
      <c r="M2404" s="4">
        <f>MIN(MAX(M2403*(1+MAX(MIN(((B2404-B2403)/B2403)/($K$7*30),0),-卓尔金历!$M$43))+MIN(MAX(((B2404-B2403)/B2403)/($K$7*7),0),卓尔金历!$M$43),0),1)</f>
        <v>0.64770126441496378</v>
      </c>
      <c r="N2404">
        <f t="shared" si="323"/>
        <v>2226.099802040299</v>
      </c>
      <c r="O2404">
        <f t="shared" si="324"/>
        <v>5326.762310825924</v>
      </c>
      <c r="P2404">
        <f t="shared" si="325"/>
        <v>-8.0036953052825838E-3</v>
      </c>
      <c r="Q2404">
        <f t="shared" si="316"/>
        <v>2.4614661787965161E-2</v>
      </c>
      <c r="R2404">
        <f t="shared" si="317"/>
        <v>1</v>
      </c>
      <c r="S2404">
        <f t="shared" si="319"/>
        <v>32.791624732536874</v>
      </c>
      <c r="T2404" s="564">
        <f>IF((I2404-MAX(I$470:I2404))/MAX(I$470:I2404)&gt;T2403,T2403,(I2404-MAX(I$470:I2404))/MAX(I$470:I2404))</f>
        <v>-0.91338805338419748</v>
      </c>
      <c r="U2404" s="564">
        <f>IF((J2404-MAX(J$470:J2404))/MAX(J$470:J2404)&gt;U2403,U2403,(J2404-MAX(J$470:J2404))/MAX(J$470:J2404))</f>
        <v>-0.8283551177402233</v>
      </c>
      <c r="V2404" s="564">
        <f>IF((K2404-MAX(K$470:K2404))/MAX(K$470:K2404)&gt;V2403,V2403,(K2404-MAX(K$470:K2404))/MAX(K$470:K2404))</f>
        <v>-0.84885940676762139</v>
      </c>
      <c r="W2404" s="564">
        <f>IF((N2404-MAX(N$470:N2404))/MAX(N$470:N2404)&gt;W2403,W2403,(N2404-MAX(N$470:N2404))/MAX(N$470:N2404))</f>
        <v>-0.62788758315546067</v>
      </c>
      <c r="X2404" s="564">
        <f>IF((O2404-MAX(O$470:O2404))/MAX(O$470:O2404)&gt;X2403,X2403,(O2404-MAX(O$470:O2404))/MAX(O$470:O2404))</f>
        <v>-0.62788758315546067</v>
      </c>
    </row>
    <row r="2405" spans="1:24">
      <c r="A2405" s="799">
        <v>42807</v>
      </c>
      <c r="B2405">
        <v>1231.6300000000001</v>
      </c>
      <c r="C2405">
        <v>4586.1655680000003</v>
      </c>
      <c r="D2405">
        <v>2.4107910000000001</v>
      </c>
      <c r="E2405">
        <f>LN(D2405/参数实验室!$E$53)/参数实验室!$E$55</f>
        <v>0.34516136501180988</v>
      </c>
      <c r="F2405">
        <f t="shared" si="318"/>
        <v>3.7236552925797519</v>
      </c>
      <c r="G2405">
        <f>LN(F2405/参数实验室!$E$58)/参数实验室!$E$59</f>
        <v>0.49949862541333095</v>
      </c>
      <c r="H2405" s="856">
        <f>INDEX(神经网络!$G$10:$BO$70,MATCH(ROUND(G2405*2,1)/2,神经网络!$E$10:$E$70,0),MATCH(ROUND(E2405*2,1)/2,神经网络!$G$8:$BO$8,0))</f>
        <v>1.9344855902121909</v>
      </c>
      <c r="I2405">
        <f t="shared" si="320"/>
        <v>2461.189581468514</v>
      </c>
      <c r="J2405">
        <f t="shared" si="321"/>
        <v>491.45285503371701</v>
      </c>
      <c r="K2405">
        <f t="shared" si="322"/>
        <v>5.0079871472099997</v>
      </c>
      <c r="L2405" s="4">
        <f>MIN(MAX(L2404*(1+MAX(MIN(((B2405-B2404)/B2404)/($K$7*卓尔金历!$N$40),0),-卓尔金历!$M$43))+MIN(MAX(((B2405-B2404)/B2404)/($K$7*卓尔金历!$N$40),0),卓尔金历!$M$43),0),1)</f>
        <v>0.98605226961175418</v>
      </c>
      <c r="M2405" s="4">
        <f>MIN(MAX(M2404*(1+MAX(MIN(((B2405-B2404)/B2404)/($K$7*30),0),-卓尔金历!$M$43))+MIN(MAX(((B2405-B2404)/B2404)/($K$7*7),0),卓尔金历!$M$43),0),1)</f>
        <v>1</v>
      </c>
      <c r="N2405">
        <f t="shared" si="323"/>
        <v>2287.4215465983848</v>
      </c>
      <c r="O2405">
        <f t="shared" si="324"/>
        <v>5611.8893474327333</v>
      </c>
      <c r="P2405">
        <f t="shared" si="325"/>
        <v>4.2720353547753526E-2</v>
      </c>
      <c r="Q2405">
        <f t="shared" si="316"/>
        <v>2.5804711818154295E-2</v>
      </c>
      <c r="R2405">
        <f t="shared" si="317"/>
        <v>1.2205958690921703E-2</v>
      </c>
      <c r="S2405">
        <f t="shared" si="319"/>
        <v>35.501587178229109</v>
      </c>
      <c r="T2405" s="564">
        <f>IF((I2405-MAX(I$470:I2405))/MAX(I$470:I2405)&gt;T2404,T2404,(I2405-MAX(I$470:I2405))/MAX(I$470:I2405))</f>
        <v>-0.91338805338419748</v>
      </c>
      <c r="U2405" s="564">
        <f>IF((J2405-MAX(J$470:J2405))/MAX(J$470:J2405)&gt;U2404,U2404,(J2405-MAX(J$470:J2405))/MAX(J$470:J2405))</f>
        <v>-0.8283551177402233</v>
      </c>
      <c r="V2405" s="564">
        <f>IF((K2405-MAX(K$470:K2405))/MAX(K$470:K2405)&gt;V2404,V2404,(K2405-MAX(K$470:K2405))/MAX(K$470:K2405))</f>
        <v>-0.84885940676762139</v>
      </c>
      <c r="W2405" s="564">
        <f>IF((N2405-MAX(N$470:N2405))/MAX(N$470:N2405)&gt;W2404,W2404,(N2405-MAX(N$470:N2405))/MAX(N$470:N2405))</f>
        <v>-0.62788758315546067</v>
      </c>
      <c r="X2405" s="564">
        <f>IF((O2405-MAX(O$470:O2405))/MAX(O$470:O2405)&gt;X2404,X2404,(O2405-MAX(O$470:O2405))/MAX(O$470:O2405))</f>
        <v>-0.62788758315546067</v>
      </c>
    </row>
    <row r="2406" spans="1:24">
      <c r="A2406" s="799">
        <v>42808</v>
      </c>
      <c r="B2406">
        <v>1236.0899999999999</v>
      </c>
      <c r="C2406">
        <v>4539.3158380000004</v>
      </c>
      <c r="D2406">
        <v>2.4180959999999998</v>
      </c>
      <c r="E2406">
        <f>LN(D2406/参数实验室!$E$53)/参数实验室!$E$55</f>
        <v>0.34873076061842861</v>
      </c>
      <c r="F2406">
        <f t="shared" si="318"/>
        <v>3.6723182276371467</v>
      </c>
      <c r="G2406">
        <f>LN(F2406/参数实验室!$E$58)/参数实验室!$E$59</f>
        <v>0.49221225566995236</v>
      </c>
      <c r="H2406" s="856">
        <f>INDEX(神经网络!$G$10:$BO$70,MATCH(ROUND(G2406*2,1)/2,神经网络!$E$10:$E$70,0),MATCH(ROUND(E2406*2,1)/2,神经网络!$G$8:$BO$8,0))</f>
        <v>1.9344855902121909</v>
      </c>
      <c r="I2406">
        <f t="shared" si="320"/>
        <v>2478.4306892520076</v>
      </c>
      <c r="J2406">
        <f t="shared" si="321"/>
        <v>493.23251266908665</v>
      </c>
      <c r="K2406">
        <f t="shared" si="322"/>
        <v>5.0248729059651529</v>
      </c>
      <c r="L2406" s="4">
        <f>MIN(MAX(L2405*(1+MAX(MIN(((B2406-B2405)/B2405)/($K$7*卓尔金历!$N$40),0),-卓尔金历!$M$43))+MIN(MAX(((B2406-B2405)/B2405)/($K$7*卓尔金历!$N$40),0),卓尔金历!$M$43),0),1)</f>
        <v>1</v>
      </c>
      <c r="M2406" s="4">
        <f>MIN(MAX(M2405*(1+MAX(MIN(((B2406-B2405)/B2405)/($K$7*30),0),-卓尔金历!$M$43))+MIN(MAX(((B2406-B2405)/B2405)/($K$7*7),0),卓尔金历!$M$43),0),1)</f>
        <v>1</v>
      </c>
      <c r="N2406">
        <f t="shared" si="323"/>
        <v>2303.2218797284504</v>
      </c>
      <c r="O2406">
        <f t="shared" si="324"/>
        <v>5651.2017148491423</v>
      </c>
      <c r="P2406">
        <f t="shared" si="325"/>
        <v>3.6212174110729755E-3</v>
      </c>
      <c r="Q2406">
        <f t="shared" si="316"/>
        <v>2.4570597581636815E-2</v>
      </c>
      <c r="R2406">
        <f t="shared" si="317"/>
        <v>1</v>
      </c>
      <c r="S2406">
        <f t="shared" si="319"/>
        <v>35.504622744819414</v>
      </c>
      <c r="T2406" s="564">
        <f>IF((I2406-MAX(I$470:I2406))/MAX(I$470:I2406)&gt;T2405,T2405,(I2406-MAX(I$470:I2406))/MAX(I$470:I2406))</f>
        <v>-0.91338805338419748</v>
      </c>
      <c r="U2406" s="564">
        <f>IF((J2406-MAX(J$470:J2406))/MAX(J$470:J2406)&gt;U2405,U2405,(J2406-MAX(J$470:J2406))/MAX(J$470:J2406))</f>
        <v>-0.8283551177402233</v>
      </c>
      <c r="V2406" s="564">
        <f>IF((K2406-MAX(K$470:K2406))/MAX(K$470:K2406)&gt;V2405,V2405,(K2406-MAX(K$470:K2406))/MAX(K$470:K2406))</f>
        <v>-0.84885940676762139</v>
      </c>
      <c r="W2406" s="564">
        <f>IF((N2406-MAX(N$470:N2406))/MAX(N$470:N2406)&gt;W2405,W2405,(N2406-MAX(N$470:N2406))/MAX(N$470:N2406))</f>
        <v>-0.62788758315546067</v>
      </c>
      <c r="X2406" s="564">
        <f>IF((O2406-MAX(O$470:O2406))/MAX(O$470:O2406)&gt;X2405,X2405,(O2406-MAX(O$470:O2406))/MAX(O$470:O2406))</f>
        <v>-0.62788758315546067</v>
      </c>
    </row>
    <row r="2407" spans="1:24">
      <c r="A2407" s="799">
        <v>42809</v>
      </c>
      <c r="B2407">
        <v>1249.55</v>
      </c>
      <c r="C2407">
        <v>4604.8743910000003</v>
      </c>
      <c r="D2407">
        <v>2.430482</v>
      </c>
      <c r="E2407">
        <f>LN(D2407/参数实验室!$E$53)/参数实验室!$E$55</f>
        <v>0.35475828269432574</v>
      </c>
      <c r="F2407">
        <f t="shared" si="318"/>
        <v>3.6852261942299229</v>
      </c>
      <c r="G2407">
        <f>LN(F2407/参数实验室!$E$58)/参数实验室!$E$59</f>
        <v>0.49405384982593253</v>
      </c>
      <c r="H2407" s="856">
        <f>INDEX(神经网络!$G$10:$BO$70,MATCH(ROUND(G2407*2,1)/2,神经网络!$E$10:$E$70,0),MATCH(ROUND(E2407*2,1)/2,神经网络!$G$8:$BO$8,0))</f>
        <v>1.9344855902121909</v>
      </c>
      <c r="I2407">
        <f t="shared" si="320"/>
        <v>2530.6387118071866</v>
      </c>
      <c r="J2407">
        <f t="shared" si="321"/>
        <v>498.60340768524725</v>
      </c>
      <c r="K2407">
        <f t="shared" si="322"/>
        <v>5.0754541040054422</v>
      </c>
      <c r="L2407" s="4">
        <f>MIN(MAX(L2406*(1+MAX(MIN(((B2407-B2406)/B2406)/($K$7*卓尔金历!$N$40),0),-卓尔金历!$M$43))+MIN(MAX(((B2407-B2406)/B2406)/($K$7*卓尔金历!$N$40),0),卓尔金历!$M$43),0),1)</f>
        <v>1</v>
      </c>
      <c r="M2407" s="4">
        <f>MIN(MAX(M2406*(1+MAX(MIN(((B2407-B2406)/B2406)/($K$7*30),0),-卓尔金历!$M$43))+MIN(MAX(((B2407-B2406)/B2406)/($K$7*7),0),卓尔金历!$M$43),0),1)</f>
        <v>1</v>
      </c>
      <c r="N2407">
        <f t="shared" si="323"/>
        <v>2351.7391371881436</v>
      </c>
      <c r="O2407">
        <f t="shared" si="324"/>
        <v>5770.2440055503412</v>
      </c>
      <c r="P2407">
        <f t="shared" si="325"/>
        <v>1.0889174736467439E-2</v>
      </c>
      <c r="Q2407">
        <f t="shared" si="316"/>
        <v>2.4587135267734653E-2</v>
      </c>
      <c r="R2407">
        <f t="shared" si="317"/>
        <v>0.85903642116570056</v>
      </c>
      <c r="S2407">
        <f t="shared" si="319"/>
        <v>36.252525905118837</v>
      </c>
      <c r="T2407" s="564">
        <f>IF((I2407-MAX(I$470:I2407))/MAX(I$470:I2407)&gt;T2406,T2406,(I2407-MAX(I$470:I2407))/MAX(I$470:I2407))</f>
        <v>-0.91338805338419748</v>
      </c>
      <c r="U2407" s="564">
        <f>IF((J2407-MAX(J$470:J2407))/MAX(J$470:J2407)&gt;U2406,U2406,(J2407-MAX(J$470:J2407))/MAX(J$470:J2407))</f>
        <v>-0.8283551177402233</v>
      </c>
      <c r="V2407" s="564">
        <f>IF((K2407-MAX(K$470:K2407))/MAX(K$470:K2407)&gt;V2406,V2406,(K2407-MAX(K$470:K2407))/MAX(K$470:K2407))</f>
        <v>-0.84885940676762139</v>
      </c>
      <c r="W2407" s="564">
        <f>IF((N2407-MAX(N$470:N2407))/MAX(N$470:N2407)&gt;W2406,W2406,(N2407-MAX(N$470:N2407))/MAX(N$470:N2407))</f>
        <v>-0.62788758315546067</v>
      </c>
      <c r="X2407" s="564">
        <f>IF((O2407-MAX(O$470:O2407))/MAX(O$470:O2407)&gt;X2406,X2406,(O2407-MAX(O$470:O2407))/MAX(O$470:O2407))</f>
        <v>-0.62788758315546067</v>
      </c>
    </row>
    <row r="2408" spans="1:24">
      <c r="A2408" s="799">
        <v>42810</v>
      </c>
      <c r="B2408">
        <v>1222.28</v>
      </c>
      <c r="C2408">
        <v>4656.1771220000001</v>
      </c>
      <c r="D2408">
        <v>2.2707950000000001</v>
      </c>
      <c r="E2408">
        <f>LN(D2408/参数实验室!$E$53)/参数实验室!$E$55</f>
        <v>0.27458272278143381</v>
      </c>
      <c r="F2408">
        <f t="shared" si="318"/>
        <v>3.809419381811042</v>
      </c>
      <c r="G2408">
        <f>LN(F2408/参数实验室!$E$58)/参数实验室!$E$59</f>
        <v>0.51145007311431567</v>
      </c>
      <c r="H2408" s="856">
        <f>INDEX(神经网络!$G$10:$BO$70,MATCH(ROUND(G2408*2,1)/2,神经网络!$E$10:$E$70,0),MATCH(ROUND(E2408*2,1)/2,神经网络!$G$8:$BO$8,0))</f>
        <v>1.7979234839107936</v>
      </c>
      <c r="I2408">
        <f t="shared" si="320"/>
        <v>2423.8003683974803</v>
      </c>
      <c r="J2408">
        <f t="shared" si="321"/>
        <v>487.72195842145095</v>
      </c>
      <c r="K2408">
        <f t="shared" si="322"/>
        <v>4.9696355198816429</v>
      </c>
      <c r="L2408" s="4">
        <f>MIN(MAX(L2407*(1+MAX(MIN(((B2408-B2407)/B2407)/($K$7*卓尔金历!$N$40),0),-卓尔金历!$M$43))+MIN(MAX(((B2408-B2407)/B2407)/($K$7*卓尔金历!$N$40),0),卓尔金历!$M$43),0),1)</f>
        <v>0.6665524141181608</v>
      </c>
      <c r="M2408" s="4">
        <f>MIN(MAX(M2407*(1+MAX(MIN(((B2408-B2407)/B2407)/($K$7*30),0),-卓尔金历!$M$43))+MIN(MAX(((B2408-B2407)/B2407)/($K$7*7),0),卓尔金历!$M$43),0),1)</f>
        <v>0.83327620705908045</v>
      </c>
      <c r="N2408">
        <f t="shared" si="323"/>
        <v>2252.45356458678</v>
      </c>
      <c r="O2408">
        <f t="shared" si="324"/>
        <v>5526.6362128826386</v>
      </c>
      <c r="P2408">
        <f t="shared" si="325"/>
        <v>-2.1823856588371802E-2</v>
      </c>
      <c r="Q2408">
        <f t="shared" si="316"/>
        <v>2.4764548760863186E-2</v>
      </c>
      <c r="R2408">
        <f t="shared" si="317"/>
        <v>0.15410461581115645</v>
      </c>
      <c r="S2408">
        <f t="shared" si="319"/>
        <v>34.937764802286154</v>
      </c>
      <c r="T2408" s="564">
        <f>IF((I2408-MAX(I$470:I2408))/MAX(I$470:I2408)&gt;T2407,T2407,(I2408-MAX(I$470:I2408))/MAX(I$470:I2408))</f>
        <v>-0.91338805338419748</v>
      </c>
      <c r="U2408" s="564">
        <f>IF((J2408-MAX(J$470:J2408))/MAX(J$470:J2408)&gt;U2407,U2407,(J2408-MAX(J$470:J2408))/MAX(J$470:J2408))</f>
        <v>-0.8283551177402233</v>
      </c>
      <c r="V2408" s="564">
        <f>IF((K2408-MAX(K$470:K2408))/MAX(K$470:K2408)&gt;V2407,V2407,(K2408-MAX(K$470:K2408))/MAX(K$470:K2408))</f>
        <v>-0.84885940676762139</v>
      </c>
      <c r="W2408" s="564">
        <f>IF((N2408-MAX(N$470:N2408))/MAX(N$470:N2408)&gt;W2407,W2407,(N2408-MAX(N$470:N2408))/MAX(N$470:N2408))</f>
        <v>-0.62788758315546067</v>
      </c>
      <c r="X2408" s="564">
        <f>IF((O2408-MAX(O$470:O2408))/MAX(O$470:O2408)&gt;X2407,X2407,(O2408-MAX(O$470:O2408))/MAX(O$470:O2408))</f>
        <v>-0.62788758315546067</v>
      </c>
    </row>
    <row r="2409" spans="1:24">
      <c r="A2409" s="799">
        <v>42811</v>
      </c>
      <c r="B2409">
        <v>1160.68</v>
      </c>
      <c r="C2409">
        <v>4611.4373640000003</v>
      </c>
      <c r="D2409">
        <v>2.070208</v>
      </c>
      <c r="E2409">
        <f>LN(D2409/参数实验室!$E$53)/参数实验室!$E$55</f>
        <v>0.16547807495608513</v>
      </c>
      <c r="F2409">
        <f t="shared" si="318"/>
        <v>3.9730480097873659</v>
      </c>
      <c r="G2409">
        <f>LN(F2409/参数实验室!$E$58)/参数实验室!$E$59</f>
        <v>0.53352374228528177</v>
      </c>
      <c r="H2409" s="856">
        <f>INDEX(神经网络!$G$10:$BO$70,MATCH(ROUND(G2409*2,1)/2,神经网络!$E$10:$E$70,0),MATCH(ROUND(E2409*2,1)/2,神经网络!$G$8:$BO$8,0))</f>
        <v>1.6807375869850929</v>
      </c>
      <c r="I2409">
        <f t="shared" si="320"/>
        <v>2204.1772474076474</v>
      </c>
      <c r="J2409">
        <f t="shared" si="321"/>
        <v>463.14193368181571</v>
      </c>
      <c r="K2409">
        <f t="shared" si="322"/>
        <v>4.7591830648656934</v>
      </c>
      <c r="L2409" s="4">
        <f>MIN(MAX(L2408*(1+MAX(MIN(((B2409-B2408)/B2408)/($K$7*卓尔金历!$N$40),0),-卓尔金历!$M$43))+MIN(MAX(((B2409-B2408)/B2408)/($K$7*卓尔金历!$N$40),0),卓尔金历!$M$43),0),1)</f>
        <v>0.1532889027248662</v>
      </c>
      <c r="M2409" s="4">
        <f>MIN(MAX(M2408*(1+MAX(MIN(((B2409-B2408)/B2408)/($K$7*30),0),-卓尔金历!$M$43))+MIN(MAX(((B2409-B2408)/B2408)/($K$7*7),0),卓尔金历!$M$43),0),1)</f>
        <v>0.51245352084808105</v>
      </c>
      <c r="N2409">
        <f t="shared" si="323"/>
        <v>2116.4120795846429</v>
      </c>
      <c r="O2409">
        <f t="shared" si="324"/>
        <v>5109.352848296181</v>
      </c>
      <c r="P2409">
        <f t="shared" si="325"/>
        <v>-5.0397617567169477E-2</v>
      </c>
      <c r="Q2409">
        <f t="shared" si="316"/>
        <v>2.6519391263767358E-2</v>
      </c>
      <c r="R2409">
        <f t="shared" si="317"/>
        <v>8.8640320879154934E-3</v>
      </c>
      <c r="S2409">
        <f t="shared" si="319"/>
        <v>34.449908437129238</v>
      </c>
      <c r="T2409" s="564">
        <f>IF((I2409-MAX(I$470:I2409))/MAX(I$470:I2409)&gt;T2408,T2408,(I2409-MAX(I$470:I2409))/MAX(I$470:I2409))</f>
        <v>-0.91338805338419748</v>
      </c>
      <c r="U2409" s="564">
        <f>IF((J2409-MAX(J$470:J2409))/MAX(J$470:J2409)&gt;U2408,U2408,(J2409-MAX(J$470:J2409))/MAX(J$470:J2409))</f>
        <v>-0.8283551177402233</v>
      </c>
      <c r="V2409" s="564">
        <f>IF((K2409-MAX(K$470:K2409))/MAX(K$470:K2409)&gt;V2408,V2408,(K2409-MAX(K$470:K2409))/MAX(K$470:K2409))</f>
        <v>-0.84885940676762139</v>
      </c>
      <c r="W2409" s="564">
        <f>IF((N2409-MAX(N$470:N2409))/MAX(N$470:N2409)&gt;W2408,W2408,(N2409-MAX(N$470:N2409))/MAX(N$470:N2409))</f>
        <v>-0.62788758315546067</v>
      </c>
      <c r="X2409" s="564">
        <f>IF((O2409-MAX(O$470:O2409))/MAX(O$470:O2409)&gt;X2408,X2408,(O2409-MAX(O$470:O2409))/MAX(O$470:O2409))</f>
        <v>-0.62788758315546067</v>
      </c>
    </row>
    <row r="2410" spans="1:24">
      <c r="A2410" s="799">
        <v>42812</v>
      </c>
      <c r="B2410">
        <v>1066.49</v>
      </c>
      <c r="C2410">
        <v>4594.7847730000003</v>
      </c>
      <c r="D2410">
        <v>1.8626039999999999</v>
      </c>
      <c r="E2410">
        <f>LN(D2410/参数实验室!$E$53)/参数实验室!$E$55</f>
        <v>4.0809330063159066E-2</v>
      </c>
      <c r="F2410">
        <f t="shared" si="318"/>
        <v>4.30832429089818</v>
      </c>
      <c r="G2410">
        <f>LN(F2410/参数实验室!$E$58)/参数实验室!$E$59</f>
        <v>0.57604504038298165</v>
      </c>
      <c r="H2410" s="856">
        <f>INDEX(神经网络!$G$10:$BO$70,MATCH(ROUND(G2410*2,1)/2,神经网络!$E$10:$E$70,0),MATCH(ROUND(E2410*2,1)/2,神经网络!$G$8:$BO$8,0))</f>
        <v>1.5569897350409667</v>
      </c>
      <c r="I2410">
        <f t="shared" si="320"/>
        <v>1903.5428125977917</v>
      </c>
      <c r="J2410">
        <f t="shared" si="321"/>
        <v>425.55763935996106</v>
      </c>
      <c r="K2410">
        <f t="shared" si="322"/>
        <v>4.473055202253498</v>
      </c>
      <c r="L2410" s="4">
        <f>MIN(MAX(L2409*(1+MAX(MIN(((B2410-B2409)/B2409)/($K$7*卓尔金历!$N$40),0),-卓尔金历!$M$43))+MIN(MAX(((B2410-B2409)/B2409)/($K$7*卓尔金历!$N$40),0),卓尔金历!$M$43),0),1)</f>
        <v>0</v>
      </c>
      <c r="M2410" s="4">
        <f>MIN(MAX(M2409*(1+MAX(MIN(((B2410-B2409)/B2409)/($K$7*30),0),-卓尔金历!$M$43))+MIN(MAX(((B2410-B2409)/B2409)/($K$7*7),0),卓尔金历!$M$43),0),1)</f>
        <v>0.19475670656918864</v>
      </c>
      <c r="N2410">
        <f t="shared" si="323"/>
        <v>2072.1631106550813</v>
      </c>
      <c r="O2410">
        <f t="shared" si="324"/>
        <v>4752.2341536842714</v>
      </c>
      <c r="P2410">
        <f t="shared" si="325"/>
        <v>-8.1150704759279088E-2</v>
      </c>
      <c r="Q2410">
        <f t="shared" si="316"/>
        <v>3.1579772701289137E-2</v>
      </c>
      <c r="R2410">
        <f t="shared" si="317"/>
        <v>1.4906240262398099E-3</v>
      </c>
      <c r="S2410">
        <f t="shared" si="319"/>
        <v>34.408258763766113</v>
      </c>
      <c r="T2410" s="564">
        <f>IF((I2410-MAX(I$470:I2410))/MAX(I$470:I2410)&gt;T2409,T2409,(I2410-MAX(I$470:I2410))/MAX(I$470:I2410))</f>
        <v>-0.91338805338419748</v>
      </c>
      <c r="U2410" s="564">
        <f>IF((J2410-MAX(J$470:J2410))/MAX(J$470:J2410)&gt;U2409,U2409,(J2410-MAX(J$470:J2410))/MAX(J$470:J2410))</f>
        <v>-0.8283551177402233</v>
      </c>
      <c r="V2410" s="564">
        <f>IF((K2410-MAX(K$470:K2410))/MAX(K$470:K2410)&gt;V2409,V2409,(K2410-MAX(K$470:K2410))/MAX(K$470:K2410))</f>
        <v>-0.84885940676762139</v>
      </c>
      <c r="W2410" s="564">
        <f>IF((N2410-MAX(N$470:N2410))/MAX(N$470:N2410)&gt;W2409,W2409,(N2410-MAX(N$470:N2410))/MAX(N$470:N2410))</f>
        <v>-0.62788758315546067</v>
      </c>
      <c r="X2410" s="564">
        <f>IF((O2410-MAX(O$470:O2410))/MAX(O$470:O2410)&gt;X2409,X2409,(O2410-MAX(O$470:O2410))/MAX(O$470:O2410))</f>
        <v>-0.62788758315546067</v>
      </c>
    </row>
    <row r="2411" spans="1:24">
      <c r="A2411" s="799">
        <v>42813</v>
      </c>
      <c r="B2411">
        <v>1002.16</v>
      </c>
      <c r="C2411">
        <v>4553.9971960000003</v>
      </c>
      <c r="D2411">
        <v>1.971341</v>
      </c>
      <c r="E2411">
        <f>LN(D2411/参数实验室!$E$53)/参数实验室!$E$55</f>
        <v>0.10774677506024639</v>
      </c>
      <c r="F2411">
        <f t="shared" si="318"/>
        <v>4.5441817633910757</v>
      </c>
      <c r="G2411">
        <f>LN(F2411/参数实验室!$E$58)/参数实验室!$E$59</f>
        <v>0.6040190515208026</v>
      </c>
      <c r="H2411" s="856">
        <f>INDEX(神经网络!$G$10:$BO$70,MATCH(ROUND(G2411*2,1)/2,神经网络!$E$10:$E$70,0),MATCH(ROUND(E2411*2,1)/2,神经网络!$G$8:$BO$8,0))</f>
        <v>1.6431473264628604</v>
      </c>
      <c r="I2411">
        <f t="shared" si="320"/>
        <v>1724.7684813544981</v>
      </c>
      <c r="J2411">
        <f t="shared" si="321"/>
        <v>399.88827261481924</v>
      </c>
      <c r="K2411">
        <f t="shared" si="322"/>
        <v>4.3131259390940713</v>
      </c>
      <c r="L2411" s="4">
        <f>MIN(MAX(L2410*(1+MAX(MIN(((B2411-B2410)/B2410)/($K$7*卓尔金历!$N$40),0),-卓尔金历!$M$43))+MIN(MAX(((B2411-B2410)/B2410)/($K$7*卓尔金历!$N$40),0),卓尔金历!$M$43),0),1)</f>
        <v>0</v>
      </c>
      <c r="M2411" s="4">
        <f>MIN(MAX(M2410*(1+MAX(MIN(((B2411-B2410)/B2410)/($K$7*30),0),-卓尔金历!$M$43))+MIN(MAX(((B2411-B2410)/B2410)/($K$7*7),0),卓尔金历!$M$43),0),1)</f>
        <v>0.10501067200140726</v>
      </c>
      <c r="N2411">
        <f t="shared" si="323"/>
        <v>2072.1631106550813</v>
      </c>
      <c r="O2411">
        <f t="shared" si="324"/>
        <v>4665.311542110705</v>
      </c>
      <c r="P2411">
        <f t="shared" si="325"/>
        <v>-6.0319365394893569E-2</v>
      </c>
      <c r="Q2411">
        <f t="shared" si="316"/>
        <v>3.381173426509234E-2</v>
      </c>
      <c r="R2411">
        <f t="shared" si="317"/>
        <v>1.3299969914206915E-2</v>
      </c>
      <c r="S2411">
        <f t="shared" si="319"/>
        <v>34.403441800595949</v>
      </c>
      <c r="T2411" s="564">
        <f>IF((I2411-MAX(I$470:I2411))/MAX(I$470:I2411)&gt;T2410,T2410,(I2411-MAX(I$470:I2411))/MAX(I$470:I2411))</f>
        <v>-0.91338805338419748</v>
      </c>
      <c r="U2411" s="564">
        <f>IF((J2411-MAX(J$470:J2411))/MAX(J$470:J2411)&gt;U2410,U2410,(J2411-MAX(J$470:J2411))/MAX(J$470:J2411))</f>
        <v>-0.8283551177402233</v>
      </c>
      <c r="V2411" s="564">
        <f>IF((K2411-MAX(K$470:K2411))/MAX(K$470:K2411)&gt;V2410,V2410,(K2411-MAX(K$470:K2411))/MAX(K$470:K2411))</f>
        <v>-0.84885940676762139</v>
      </c>
      <c r="W2411" s="564">
        <f>IF((N2411-MAX(N$470:N2411))/MAX(N$470:N2411)&gt;W2410,W2410,(N2411-MAX(N$470:N2411))/MAX(N$470:N2411))</f>
        <v>-0.62788758315546067</v>
      </c>
      <c r="X2411" s="564">
        <f>IF((O2411-MAX(O$470:O2411))/MAX(O$470:O2411)&gt;X2410,X2410,(O2411-MAX(O$470:O2411))/MAX(O$470:O2411))</f>
        <v>-0.62788758315546067</v>
      </c>
    </row>
    <row r="2412" spans="1:24">
      <c r="A2412" s="799">
        <v>42814</v>
      </c>
      <c r="B2412">
        <v>1058.4100000000001</v>
      </c>
      <c r="C2412">
        <v>4601.2606349999996</v>
      </c>
      <c r="D2412">
        <v>2.0047769999999998</v>
      </c>
      <c r="E2412">
        <f>LN(D2412/参数实验室!$E$53)/参数实验室!$E$55</f>
        <v>0.12758882165704924</v>
      </c>
      <c r="F2412">
        <f t="shared" si="318"/>
        <v>4.3473329191901051</v>
      </c>
      <c r="G2412">
        <f>LN(F2412/参数实验室!$E$58)/参数实验室!$E$59</f>
        <v>0.58077581342316187</v>
      </c>
      <c r="H2412" s="856">
        <f>INDEX(神经网络!$G$10:$BO$70,MATCH(ROUND(G2412*2,1)/2,神经网络!$E$10:$E$70,0),MATCH(ROUND(E2412*2,1)/2,神经网络!$G$8:$BO$8,0))</f>
        <v>1.7237438254898105</v>
      </c>
      <c r="I2412">
        <f t="shared" si="320"/>
        <v>1883.8401270382305</v>
      </c>
      <c r="J2412">
        <f t="shared" si="321"/>
        <v>422.33350624476219</v>
      </c>
      <c r="K2412">
        <f t="shared" si="322"/>
        <v>4.4605509607529372</v>
      </c>
      <c r="L2412" s="4">
        <f>MIN(MAX(L2411*(1+MAX(MIN(((B2412-B2411)/B2411)/($K$7*卓尔金历!$N$40),0),-卓尔金历!$M$43))+MIN(MAX(((B2412-B2411)/B2411)/($K$7*卓尔金历!$N$40),0),卓尔金历!$M$43),0),1)</f>
        <v>0.85759361869667883</v>
      </c>
      <c r="M2412" s="4">
        <f>MIN(MAX(M2411*(1+MAX(MIN(((B2412-B2411)/B2411)/($K$7*30),0),-卓尔金历!$M$43))+MIN(MAX(((B2412-B2411)/B2411)/($K$7*7),0),卓尔金历!$M$43),0),1)</f>
        <v>1</v>
      </c>
      <c r="N2412">
        <f t="shared" si="323"/>
        <v>2072.1631106550813</v>
      </c>
      <c r="O2412">
        <f t="shared" si="324"/>
        <v>4710.4946453047951</v>
      </c>
      <c r="P2412">
        <f t="shared" si="325"/>
        <v>5.6128761874351514E-2</v>
      </c>
      <c r="Q2412">
        <f t="shared" ref="Q2412:Q2475" si="326">STDEVP(P2392:P2412)</f>
        <v>3.6249647211191442E-2</v>
      </c>
      <c r="R2412">
        <f t="shared" ref="R2412:R2475" si="327">MIN(Q2411*MAX(1-LN(MAX(ABS(P2412),0.0001)/Q2412),0)+MAX(-LN(MAX(ABS(P2412),0.0001)/Q2412),0),1)</f>
        <v>1.9028611041984844E-2</v>
      </c>
      <c r="S2412">
        <f t="shared" si="319"/>
        <v>34.445642001450473</v>
      </c>
      <c r="T2412" s="564">
        <f>IF((I2412-MAX(I$470:I2412))/MAX(I$470:I2412)&gt;T2411,T2411,(I2412-MAX(I$470:I2412))/MAX(I$470:I2412))</f>
        <v>-0.91338805338419748</v>
      </c>
      <c r="U2412" s="564">
        <f>IF((J2412-MAX(J$470:J2412))/MAX(J$470:J2412)&gt;U2411,U2411,(J2412-MAX(J$470:J2412))/MAX(J$470:J2412))</f>
        <v>-0.8283551177402233</v>
      </c>
      <c r="V2412" s="564">
        <f>IF((K2412-MAX(K$470:K2412))/MAX(K$470:K2412)&gt;V2411,V2411,(K2412-MAX(K$470:K2412))/MAX(K$470:K2412))</f>
        <v>-0.84885940676762139</v>
      </c>
      <c r="W2412" s="564">
        <f>IF((N2412-MAX(N$470:N2412))/MAX(N$470:N2412)&gt;W2411,W2411,(N2412-MAX(N$470:N2412))/MAX(N$470:N2412))</f>
        <v>-0.62788758315546067</v>
      </c>
      <c r="X2412" s="564">
        <f>IF((O2412-MAX(O$470:O2412))/MAX(O$470:O2412)&gt;X2411,X2411,(O2412-MAX(O$470:O2412))/MAX(O$470:O2412))</f>
        <v>-0.62788758315546067</v>
      </c>
    </row>
    <row r="2413" spans="1:24">
      <c r="A2413" s="799">
        <v>42815</v>
      </c>
      <c r="B2413">
        <v>1094.32</v>
      </c>
      <c r="C2413">
        <v>4578.3920250000001</v>
      </c>
      <c r="D2413">
        <v>2.1395379999999999</v>
      </c>
      <c r="E2413">
        <f>LN(D2413/参数实验室!$E$53)/参数实验室!$E$55</f>
        <v>0.20434012902220328</v>
      </c>
      <c r="F2413">
        <f t="shared" si="318"/>
        <v>4.1837780767965498</v>
      </c>
      <c r="G2413">
        <f>LN(F2413/参数实验室!$E$58)/参数实验室!$E$59</f>
        <v>0.56064878899128534</v>
      </c>
      <c r="H2413" s="856">
        <f>INDEX(神经网络!$G$10:$BO$70,MATCH(ROUND(G2413*2,1)/2,神经网络!$E$10:$E$70,0),MATCH(ROUND(E2413*2,1)/2,神经网络!$G$8:$BO$8,0))</f>
        <v>1.761300812776319</v>
      </c>
      <c r="I2413">
        <f t="shared" si="320"/>
        <v>1994.0139038714685</v>
      </c>
      <c r="J2413">
        <f t="shared" si="321"/>
        <v>436.66254339411768</v>
      </c>
      <c r="K2413">
        <f t="shared" si="322"/>
        <v>4.5664871742198763</v>
      </c>
      <c r="L2413" s="4">
        <f>MIN(MAX(L2412*(1+MAX(MIN(((B2413-B2412)/B2412)/($K$7*卓尔金历!$N$40),0),-卓尔金历!$M$43))+MIN(MAX(((B2413-B2412)/B2412)/($K$7*卓尔金历!$N$40),0),卓尔金历!$M$43),0),1)</f>
        <v>1</v>
      </c>
      <c r="M2413" s="4">
        <f>MIN(MAX(M2412*(1+MAX(MIN(((B2413-B2412)/B2412)/($K$7*30),0),-卓尔金历!$M$43))+MIN(MAX(((B2413-B2412)/B2412)/($K$7*7),0),卓尔金历!$M$43),0),1)</f>
        <v>1</v>
      </c>
      <c r="N2413">
        <f t="shared" si="323"/>
        <v>2176.092810486537</v>
      </c>
      <c r="O2413">
        <f t="shared" si="324"/>
        <v>4985.9813909034792</v>
      </c>
      <c r="P2413">
        <f t="shared" si="325"/>
        <v>3.3928250866866197E-2</v>
      </c>
      <c r="Q2413">
        <f t="shared" si="326"/>
        <v>3.70437173565311E-2</v>
      </c>
      <c r="R2413">
        <f t="shared" si="327"/>
        <v>0.12728494461019127</v>
      </c>
      <c r="S2413">
        <f t="shared" si="319"/>
        <v>34.483975244846917</v>
      </c>
      <c r="T2413" s="564">
        <f>IF((I2413-MAX(I$470:I2413))/MAX(I$470:I2413)&gt;T2412,T2412,(I2413-MAX(I$470:I2413))/MAX(I$470:I2413))</f>
        <v>-0.91338805338419748</v>
      </c>
      <c r="U2413" s="564">
        <f>IF((J2413-MAX(J$470:J2413))/MAX(J$470:J2413)&gt;U2412,U2412,(J2413-MAX(J$470:J2413))/MAX(J$470:J2413))</f>
        <v>-0.8283551177402233</v>
      </c>
      <c r="V2413" s="564">
        <f>IF((K2413-MAX(K$470:K2413))/MAX(K$470:K2413)&gt;V2412,V2412,(K2413-MAX(K$470:K2413))/MAX(K$470:K2413))</f>
        <v>-0.84885940676762139</v>
      </c>
      <c r="W2413" s="564">
        <f>IF((N2413-MAX(N$470:N2413))/MAX(N$470:N2413)&gt;W2412,W2412,(N2413-MAX(N$470:N2413))/MAX(N$470:N2413))</f>
        <v>-0.62788758315546067</v>
      </c>
      <c r="X2413" s="564">
        <f>IF((O2413-MAX(O$470:O2413))/MAX(O$470:O2413)&gt;X2412,X2412,(O2413-MAX(O$470:O2413))/MAX(O$470:O2413))</f>
        <v>-0.62788758315546067</v>
      </c>
    </row>
    <row r="2414" spans="1:24">
      <c r="A2414" s="799">
        <v>42816</v>
      </c>
      <c r="B2414">
        <v>1041.3900000000001</v>
      </c>
      <c r="C2414">
        <v>4546.7972440000003</v>
      </c>
      <c r="D2414">
        <v>1.9948589999999999</v>
      </c>
      <c r="E2414">
        <f>LN(D2414/参数实验室!$E$53)/参数实验室!$E$55</f>
        <v>0.1217378808930982</v>
      </c>
      <c r="F2414">
        <f t="shared" si="318"/>
        <v>4.3660849864123907</v>
      </c>
      <c r="G2414">
        <f>LN(F2414/参数实验室!$E$58)/参数实验室!$E$59</f>
        <v>0.58303488411137305</v>
      </c>
      <c r="H2414" s="856">
        <f>INDEX(神经网络!$G$10:$BO$70,MATCH(ROUND(G2414*2,1)/2,神经网络!$E$10:$E$70,0),MATCH(ROUND(E2414*2,1)/2,神经网络!$G$8:$BO$8,0))</f>
        <v>1.6431473264628604</v>
      </c>
      <c r="I2414">
        <f t="shared" si="320"/>
        <v>1824.1428914383025</v>
      </c>
      <c r="J2414">
        <f t="shared" si="321"/>
        <v>415.54207733131102</v>
      </c>
      <c r="K2414">
        <f t="shared" si="322"/>
        <v>4.3897910487267371</v>
      </c>
      <c r="L2414" s="4">
        <f>MIN(MAX(L2413*(1+MAX(MIN(((B2414-B2413)/B2413)/($K$7*卓尔金历!$N$40),0),-卓尔金历!$M$43))+MIN(MAX(((B2414-B2413)/B2413)/($K$7*卓尔金历!$N$40),0),卓尔金历!$M$43),0),1)</f>
        <v>0.26098434929570502</v>
      </c>
      <c r="M2414" s="4">
        <f>MIN(MAX(M2413*(1+MAX(MIN(((B2414-B2413)/B2413)/($K$7*30),0),-卓尔金历!$M$43))+MIN(MAX(((B2414-B2413)/B2413)/($K$7*7),0),卓尔金历!$M$43),0),1)</f>
        <v>0.63049217464785245</v>
      </c>
      <c r="N2414">
        <f t="shared" si="323"/>
        <v>1990.710407611522</v>
      </c>
      <c r="O2414">
        <f t="shared" si="324"/>
        <v>4561.2232158469951</v>
      </c>
      <c r="P2414">
        <f t="shared" si="325"/>
        <v>-4.8367936252649901E-2</v>
      </c>
      <c r="Q2414">
        <f t="shared" si="326"/>
        <v>3.7771963106230898E-2</v>
      </c>
      <c r="R2414">
        <f t="shared" si="327"/>
        <v>2.7883917016842764E-2</v>
      </c>
      <c r="S2414">
        <f t="shared" si="319"/>
        <v>34.110049424155157</v>
      </c>
      <c r="T2414" s="564">
        <f>IF((I2414-MAX(I$470:I2414))/MAX(I$470:I2414)&gt;T2413,T2413,(I2414-MAX(I$470:I2414))/MAX(I$470:I2414))</f>
        <v>-0.91338805338419748</v>
      </c>
      <c r="U2414" s="564">
        <f>IF((J2414-MAX(J$470:J2414))/MAX(J$470:J2414)&gt;U2413,U2413,(J2414-MAX(J$470:J2414))/MAX(J$470:J2414))</f>
        <v>-0.8283551177402233</v>
      </c>
      <c r="V2414" s="564">
        <f>IF((K2414-MAX(K$470:K2414))/MAX(K$470:K2414)&gt;V2413,V2413,(K2414-MAX(K$470:K2414))/MAX(K$470:K2414))</f>
        <v>-0.84885940676762139</v>
      </c>
      <c r="W2414" s="564">
        <f>IF((N2414-MAX(N$470:N2414))/MAX(N$470:N2414)&gt;W2413,W2413,(N2414-MAX(N$470:N2414))/MAX(N$470:N2414))</f>
        <v>-0.62788758315546067</v>
      </c>
      <c r="X2414" s="564">
        <f>IF((O2414-MAX(O$470:O2414))/MAX(O$470:O2414)&gt;X2413,X2413,(O2414-MAX(O$470:O2414))/MAX(O$470:O2414))</f>
        <v>-0.62788758315546067</v>
      </c>
    </row>
    <row r="2415" spans="1:24">
      <c r="A2415" s="799">
        <v>42817</v>
      </c>
      <c r="B2415">
        <v>1056.17</v>
      </c>
      <c r="C2415">
        <v>4518.3719789999996</v>
      </c>
      <c r="D2415">
        <v>1.978002</v>
      </c>
      <c r="E2415">
        <f>LN(D2415/参数实验室!$E$53)/参数实验室!$E$55</f>
        <v>0.11172634523661377</v>
      </c>
      <c r="F2415">
        <f t="shared" si="318"/>
        <v>4.2780726388744226</v>
      </c>
      <c r="G2415">
        <f>LN(F2415/参数实验室!$E$58)/参数实验室!$E$59</f>
        <v>0.57234668641647302</v>
      </c>
      <c r="H2415" s="856">
        <f>INDEX(神经网络!$G$10:$BO$70,MATCH(ROUND(G2415*2,1)/2,神经网络!$E$10:$E$70,0),MATCH(ROUND(E2415*2,1)/2,神经网络!$G$8:$BO$8,0))</f>
        <v>1.5995659581669794</v>
      </c>
      <c r="I2415">
        <f t="shared" si="320"/>
        <v>1866.6827841912213</v>
      </c>
      <c r="J2415">
        <f t="shared" si="321"/>
        <v>421.43968716332091</v>
      </c>
      <c r="K2415">
        <f t="shared" si="322"/>
        <v>4.4292999474153083</v>
      </c>
      <c r="L2415" s="4">
        <f>MIN(MAX(L2414*(1+MAX(MIN(((B2415-B2414)/B2414)/($K$7*卓尔金历!$N$40),0),-卓尔金历!$M$43))+MIN(MAX(((B2415-B2414)/B2414)/($K$7*卓尔金历!$N$40),0),卓尔金历!$M$43),0),1)</f>
        <v>0.47783319237564892</v>
      </c>
      <c r="M2415" s="4">
        <f>MIN(MAX(M2414*(1+MAX(MIN(((B2415-B2414)/B2414)/($K$7*30),0),-卓尔金历!$M$43))+MIN(MAX(((B2415-B2414)/B2414)/($K$7*7),0),卓尔金历!$M$43),0),1)</f>
        <v>1</v>
      </c>
      <c r="N2415">
        <f t="shared" si="323"/>
        <v>2002.8264305503646</v>
      </c>
      <c r="O2415">
        <f t="shared" si="324"/>
        <v>4628.2886225159182</v>
      </c>
      <c r="P2415">
        <f t="shared" si="325"/>
        <v>1.4192569546471516E-2</v>
      </c>
      <c r="Q2415">
        <f t="shared" si="326"/>
        <v>3.7631972760201617E-2</v>
      </c>
      <c r="R2415">
        <f t="shared" si="327"/>
        <v>1</v>
      </c>
      <c r="S2415">
        <f t="shared" si="319"/>
        <v>34.132230043353729</v>
      </c>
      <c r="T2415" s="564">
        <f>IF((I2415-MAX(I$470:I2415))/MAX(I$470:I2415)&gt;T2414,T2414,(I2415-MAX(I$470:I2415))/MAX(I$470:I2415))</f>
        <v>-0.91338805338419748</v>
      </c>
      <c r="U2415" s="564">
        <f>IF((J2415-MAX(J$470:J2415))/MAX(J$470:J2415)&gt;U2414,U2414,(J2415-MAX(J$470:J2415))/MAX(J$470:J2415))</f>
        <v>-0.8283551177402233</v>
      </c>
      <c r="V2415" s="564">
        <f>IF((K2415-MAX(K$470:K2415))/MAX(K$470:K2415)&gt;V2414,V2414,(K2415-MAX(K$470:K2415))/MAX(K$470:K2415))</f>
        <v>-0.84885940676762139</v>
      </c>
      <c r="W2415" s="564">
        <f>IF((N2415-MAX(N$470:N2415))/MAX(N$470:N2415)&gt;W2414,W2414,(N2415-MAX(N$470:N2415))/MAX(N$470:N2415))</f>
        <v>-0.62788758315546067</v>
      </c>
      <c r="X2415" s="564">
        <f>IF((O2415-MAX(O$470:O2415))/MAX(O$470:O2415)&gt;X2414,X2414,(O2415-MAX(O$470:O2415))/MAX(O$470:O2415))</f>
        <v>-0.62788758315546067</v>
      </c>
    </row>
    <row r="2416" spans="1:24">
      <c r="A2416" s="799">
        <v>42818</v>
      </c>
      <c r="B2416">
        <v>981.71799999999996</v>
      </c>
      <c r="C2416">
        <v>4408.3582319999996</v>
      </c>
      <c r="D2416">
        <v>1.8009219999999999</v>
      </c>
      <c r="E2416">
        <f>LN(D2416/参数实验室!$E$53)/参数实验室!$E$55</f>
        <v>1.0790718713848577E-3</v>
      </c>
      <c r="F2416">
        <f t="shared" si="318"/>
        <v>4.4904526880427982</v>
      </c>
      <c r="G2416">
        <f>LN(F2416/参数实验室!$E$58)/参数实验室!$E$59</f>
        <v>0.59777635182230193</v>
      </c>
      <c r="H2416" s="856">
        <f>INDEX(神经网络!$G$10:$BO$70,MATCH(ROUND(G2416*2,1)/2,神经网络!$E$10:$E$70,0),MATCH(ROUND(E2416*2,1)/2,神经网络!$G$8:$BO$8,0))</f>
        <v>1.466544750631626</v>
      </c>
      <c r="I2416">
        <f t="shared" si="320"/>
        <v>1656.2006608056283</v>
      </c>
      <c r="J2416">
        <f t="shared" si="321"/>
        <v>391.73137544391625</v>
      </c>
      <c r="K2416">
        <f t="shared" si="322"/>
        <v>4.2278989241767917</v>
      </c>
      <c r="L2416" s="4">
        <f>MIN(MAX(L2415*(1+MAX(MIN(((B2416-B2415)/B2415)/($K$7*卓尔金历!$N$40),0),-卓尔金历!$M$43))+MIN(MAX(((B2416-B2415)/B2415)/($K$7*卓尔金历!$N$40),0),卓尔金历!$M$43),0),1)</f>
        <v>0</v>
      </c>
      <c r="M2416" s="4">
        <f>MIN(MAX(M2415*(1+MAX(MIN(((B2416-B2415)/B2415)/($K$7*30),0),-卓尔金历!$M$43))+MIN(MAX(((B2416-B2415)/B2415)/($K$7*7),0),卓尔金历!$M$43),0),1)</f>
        <v>0.46147158423343571</v>
      </c>
      <c r="N2416">
        <f t="shared" si="323"/>
        <v>1894.9157770401823</v>
      </c>
      <c r="O2416">
        <f t="shared" si="324"/>
        <v>4106.4152623720774</v>
      </c>
      <c r="P2416">
        <f t="shared" si="325"/>
        <v>-7.0492439664069331E-2</v>
      </c>
      <c r="Q2416">
        <f t="shared" si="326"/>
        <v>3.8969494149399993E-2</v>
      </c>
      <c r="R2416">
        <f t="shared" si="327"/>
        <v>1.5326511786833983E-2</v>
      </c>
      <c r="S2416">
        <f t="shared" si="319"/>
        <v>30.283571708765116</v>
      </c>
      <c r="T2416" s="564">
        <f>IF((I2416-MAX(I$470:I2416))/MAX(I$470:I2416)&gt;T2415,T2415,(I2416-MAX(I$470:I2416))/MAX(I$470:I2416))</f>
        <v>-0.91338805338419748</v>
      </c>
      <c r="U2416" s="564">
        <f>IF((J2416-MAX(J$470:J2416))/MAX(J$470:J2416)&gt;U2415,U2415,(J2416-MAX(J$470:J2416))/MAX(J$470:J2416))</f>
        <v>-0.8283551177402233</v>
      </c>
      <c r="V2416" s="564">
        <f>IF((K2416-MAX(K$470:K2416))/MAX(K$470:K2416)&gt;V2415,V2415,(K2416-MAX(K$470:K2416))/MAX(K$470:K2416))</f>
        <v>-0.84885940676762139</v>
      </c>
      <c r="W2416" s="564">
        <f>IF((N2416-MAX(N$470:N2416))/MAX(N$470:N2416)&gt;W2415,W2415,(N2416-MAX(N$470:N2416))/MAX(N$470:N2416))</f>
        <v>-0.62788758315546067</v>
      </c>
      <c r="X2416" s="564">
        <f>IF((O2416-MAX(O$470:O2416))/MAX(O$470:O2416)&gt;X2415,X2415,(O2416-MAX(O$470:O2416))/MAX(O$470:O2416))</f>
        <v>-0.62788758315546067</v>
      </c>
    </row>
    <row r="2417" spans="1:24">
      <c r="A2417" s="799">
        <v>42819</v>
      </c>
      <c r="B2417">
        <v>950.005</v>
      </c>
      <c r="C2417">
        <v>4459.4478669999999</v>
      </c>
      <c r="D2417">
        <v>1.862946</v>
      </c>
      <c r="E2417">
        <f>LN(D2417/参数实验室!$E$53)/参数实验室!$E$55</f>
        <v>4.1025929282373412E-2</v>
      </c>
      <c r="F2417">
        <f t="shared" si="318"/>
        <v>4.6941309435213494</v>
      </c>
      <c r="G2417">
        <f>LN(F2417/参数实验室!$E$58)/参数实验室!$E$59</f>
        <v>0.62105860157929627</v>
      </c>
      <c r="H2417" s="856">
        <f>INDEX(神经网络!$G$10:$BO$70,MATCH(ROUND(G2417*2,1)/2,神经网络!$E$10:$E$70,0),MATCH(ROUND(E2417*2,1)/2,神经网络!$G$8:$BO$8,0))</f>
        <v>1.5569897350409667</v>
      </c>
      <c r="I2417">
        <f t="shared" si="320"/>
        <v>1577.7387560543812</v>
      </c>
      <c r="J2417">
        <f t="shared" si="321"/>
        <v>379.07705199313614</v>
      </c>
      <c r="K2417">
        <f t="shared" si="322"/>
        <v>4.1620529329297122</v>
      </c>
      <c r="L2417" s="4">
        <f>MIN(MAX(L2416*(1+MAX(MIN(((B2417-B2416)/B2416)/($K$7*卓尔金历!$N$40),0),-卓尔金历!$M$43))+MIN(MAX(((B2417-B2416)/B2416)/($K$7*卓尔金历!$N$40),0),卓尔金历!$M$43),0),1)</f>
        <v>0</v>
      </c>
      <c r="M2417" s="4">
        <f>MIN(MAX(M2416*(1+MAX(MIN(((B2417-B2416)/B2416)/($K$7*30),0),-卓尔金历!$M$43))+MIN(MAX(((B2417-B2416)/B2416)/($K$7*7),0),卓尔金历!$M$43),0),1)</f>
        <v>0.3475878706931354</v>
      </c>
      <c r="N2417">
        <f t="shared" si="323"/>
        <v>1894.9157770401823</v>
      </c>
      <c r="O2417">
        <f t="shared" si="324"/>
        <v>4016.6406119632816</v>
      </c>
      <c r="P2417">
        <f t="shared" si="325"/>
        <v>-3.2303573938748158E-2</v>
      </c>
      <c r="Q2417">
        <f t="shared" si="326"/>
        <v>3.9101841726418708E-2</v>
      </c>
      <c r="R2417">
        <f t="shared" si="327"/>
        <v>0.23740404044195573</v>
      </c>
      <c r="S2417">
        <f t="shared" si="319"/>
        <v>30.261583172897183</v>
      </c>
      <c r="T2417" s="564">
        <f>IF((I2417-MAX(I$470:I2417))/MAX(I$470:I2417)&gt;T2416,T2416,(I2417-MAX(I$470:I2417))/MAX(I$470:I2417))</f>
        <v>-0.91338805338419748</v>
      </c>
      <c r="U2417" s="564">
        <f>IF((J2417-MAX(J$470:J2417))/MAX(J$470:J2417)&gt;U2416,U2416,(J2417-MAX(J$470:J2417))/MAX(J$470:J2417))</f>
        <v>-0.8283551177402233</v>
      </c>
      <c r="V2417" s="564">
        <f>IF((K2417-MAX(K$470:K2417))/MAX(K$470:K2417)&gt;V2416,V2416,(K2417-MAX(K$470:K2417))/MAX(K$470:K2417))</f>
        <v>-0.84885940676762139</v>
      </c>
      <c r="W2417" s="564">
        <f>IF((N2417-MAX(N$470:N2417))/MAX(N$470:N2417)&gt;W2416,W2416,(N2417-MAX(N$470:N2417))/MAX(N$470:N2417))</f>
        <v>-0.62788758315546067</v>
      </c>
      <c r="X2417" s="564">
        <f>IF((O2417-MAX(O$470:O2417))/MAX(O$470:O2417)&gt;X2416,X2416,(O2417-MAX(O$470:O2417))/MAX(O$470:O2417))</f>
        <v>-0.62788758315546067</v>
      </c>
    </row>
    <row r="2418" spans="1:24">
      <c r="A2418" s="799">
        <v>42820</v>
      </c>
      <c r="B2418">
        <v>993.61900000000003</v>
      </c>
      <c r="C2418">
        <v>4452.451368</v>
      </c>
      <c r="D2418">
        <v>1.850549</v>
      </c>
      <c r="E2418">
        <f>LN(D2418/参数实验室!$E$53)/参数实验室!$E$55</f>
        <v>3.314900724656579E-2</v>
      </c>
      <c r="F2418">
        <f t="shared" si="318"/>
        <v>4.4810449156064847</v>
      </c>
      <c r="G2418">
        <f>LN(F2418/参数实验室!$E$58)/参数实验室!$E$59</f>
        <v>0.59667559709268903</v>
      </c>
      <c r="H2418" s="856">
        <f>INDEX(神经网络!$G$10:$BO$70,MATCH(ROUND(G2418*2,1)/2,神经网络!$E$10:$E$70,0),MATCH(ROUND(E2418*2,1)/2,神经网络!$G$8:$BO$8,0))</f>
        <v>1.5569897350409667</v>
      </c>
      <c r="I2418">
        <f t="shared" si="320"/>
        <v>1690.515842706239</v>
      </c>
      <c r="J2418">
        <f t="shared" si="321"/>
        <v>396.48018834044871</v>
      </c>
      <c r="K2418">
        <f t="shared" si="322"/>
        <v>4.263809119396984</v>
      </c>
      <c r="L2418" s="4">
        <f>MIN(MAX(L2417*(1+MAX(MIN(((B2418-B2417)/B2417)/($K$7*卓尔金历!$N$40),0),-卓尔金历!$M$43))+MIN(MAX(((B2418-B2417)/B2417)/($K$7*卓尔金历!$N$40),0),卓尔金历!$M$43),0),1)</f>
        <v>0.70144901003168636</v>
      </c>
      <c r="M2418" s="4">
        <f>MIN(MAX(M2417*(1+MAX(MIN(((B2418-B2417)/B2417)/($K$7*30),0),-卓尔金历!$M$43))+MIN(MAX(((B2418-B2417)/B2417)/($K$7*7),0),卓尔金历!$M$43),0),1)</f>
        <v>1</v>
      </c>
      <c r="N2418">
        <f t="shared" si="323"/>
        <v>1894.9157770401823</v>
      </c>
      <c r="O2418">
        <f t="shared" si="324"/>
        <v>4116.436665117737</v>
      </c>
      <c r="P2418">
        <f t="shared" si="325"/>
        <v>4.5909232056673417E-2</v>
      </c>
      <c r="Q2418">
        <f t="shared" si="326"/>
        <v>4.1064356550062693E-2</v>
      </c>
      <c r="R2418">
        <f t="shared" si="327"/>
        <v>3.4740980558640971E-2</v>
      </c>
      <c r="S2418">
        <f t="shared" si="319"/>
        <v>30.775112828505481</v>
      </c>
      <c r="T2418" s="564">
        <f>IF((I2418-MAX(I$470:I2418))/MAX(I$470:I2418)&gt;T2417,T2417,(I2418-MAX(I$470:I2418))/MAX(I$470:I2418))</f>
        <v>-0.91338805338419748</v>
      </c>
      <c r="U2418" s="564">
        <f>IF((J2418-MAX(J$470:J2418))/MAX(J$470:J2418)&gt;U2417,U2417,(J2418-MAX(J$470:J2418))/MAX(J$470:J2418))</f>
        <v>-0.8283551177402233</v>
      </c>
      <c r="V2418" s="564">
        <f>IF((K2418-MAX(K$470:K2418))/MAX(K$470:K2418)&gt;V2417,V2417,(K2418-MAX(K$470:K2418))/MAX(K$470:K2418))</f>
        <v>-0.84885940676762139</v>
      </c>
      <c r="W2418" s="564">
        <f>IF((N2418-MAX(N$470:N2418))/MAX(N$470:N2418)&gt;W2417,W2417,(N2418-MAX(N$470:N2418))/MAX(N$470:N2418))</f>
        <v>-0.62788758315546067</v>
      </c>
      <c r="X2418" s="564">
        <f>IF((O2418-MAX(O$470:O2418))/MAX(O$470:O2418)&gt;X2417,X2417,(O2418-MAX(O$470:O2418))/MAX(O$470:O2418))</f>
        <v>-0.62788758315546067</v>
      </c>
    </row>
    <row r="2419" spans="1:24">
      <c r="A2419" s="799">
        <v>42821</v>
      </c>
      <c r="B2419">
        <v>1030</v>
      </c>
      <c r="C2419">
        <v>4558.2818459999999</v>
      </c>
      <c r="D2419">
        <v>1.998694</v>
      </c>
      <c r="E2419">
        <f>LN(D2419/参数实验室!$E$53)/参数实验室!$E$55</f>
        <v>0.12400371038447006</v>
      </c>
      <c r="F2419">
        <f t="shared" si="318"/>
        <v>4.4255163553398056</v>
      </c>
      <c r="G2419">
        <f>LN(F2419/参数实验室!$E$58)/参数实验室!$E$59</f>
        <v>0.59013103604444483</v>
      </c>
      <c r="H2419" s="856">
        <f>INDEX(神经网络!$G$10:$BO$70,MATCH(ROUND(G2419*2,1)/2,神经网络!$E$10:$E$70,0),MATCH(ROUND(E2419*2,1)/2,神经网络!$G$8:$BO$8,0))</f>
        <v>1.6431473264628604</v>
      </c>
      <c r="I2419">
        <f t="shared" si="320"/>
        <v>1786.8898104240257</v>
      </c>
      <c r="J2419">
        <f t="shared" si="321"/>
        <v>410.99716691273233</v>
      </c>
      <c r="K2419">
        <f t="shared" si="322"/>
        <v>4.3476937416540364</v>
      </c>
      <c r="L2419" s="4">
        <f>MIN(MAX(L2418*(1+MAX(MIN(((B2419-B2418)/B2418)/($K$7*卓尔金历!$N$40),0),-卓尔金历!$M$43))+MIN(MAX(((B2419-B2418)/B2418)/($K$7*卓尔金历!$N$40),0),卓尔金历!$M$43),0),1)</f>
        <v>1</v>
      </c>
      <c r="M2419" s="4">
        <f>MIN(MAX(M2418*(1+MAX(MIN(((B2419-B2418)/B2418)/($K$7*30),0),-卓尔金历!$M$43))+MIN(MAX(((B2419-B2418)/B2418)/($K$7*7),0),卓尔金历!$M$43),0),1)</f>
        <v>1</v>
      </c>
      <c r="N2419">
        <f t="shared" si="323"/>
        <v>1970.6908760500453</v>
      </c>
      <c r="O2419">
        <f t="shared" si="324"/>
        <v>4351.1090202973783</v>
      </c>
      <c r="P2419">
        <f t="shared" si="325"/>
        <v>3.6614638005110584E-2</v>
      </c>
      <c r="Q2419">
        <f t="shared" si="326"/>
        <v>4.200672355241563E-2</v>
      </c>
      <c r="R2419">
        <f t="shared" si="327"/>
        <v>0.18408742701051517</v>
      </c>
      <c r="S2419">
        <f t="shared" si="319"/>
        <v>30.836064022859272</v>
      </c>
      <c r="T2419" s="564">
        <f>IF((I2419-MAX(I$470:I2419))/MAX(I$470:I2419)&gt;T2418,T2418,(I2419-MAX(I$470:I2419))/MAX(I$470:I2419))</f>
        <v>-0.91338805338419748</v>
      </c>
      <c r="U2419" s="564">
        <f>IF((J2419-MAX(J$470:J2419))/MAX(J$470:J2419)&gt;U2418,U2418,(J2419-MAX(J$470:J2419))/MAX(J$470:J2419))</f>
        <v>-0.8283551177402233</v>
      </c>
      <c r="V2419" s="564">
        <f>IF((K2419-MAX(K$470:K2419))/MAX(K$470:K2419)&gt;V2418,V2418,(K2419-MAX(K$470:K2419))/MAX(K$470:K2419))</f>
        <v>-0.84885940676762139</v>
      </c>
      <c r="W2419" s="564">
        <f>IF((N2419-MAX(N$470:N2419))/MAX(N$470:N2419)&gt;W2418,W2418,(N2419-MAX(N$470:N2419))/MAX(N$470:N2419))</f>
        <v>-0.62788758315546067</v>
      </c>
      <c r="X2419" s="564">
        <f>IF((O2419-MAX(O$470:O2419))/MAX(O$470:O2419)&gt;X2418,X2418,(O2419-MAX(O$470:O2419))/MAX(O$470:O2419))</f>
        <v>-0.62788758315546067</v>
      </c>
    </row>
    <row r="2420" spans="1:24">
      <c r="A2420" s="799">
        <v>42822</v>
      </c>
      <c r="B2420">
        <v>1061.93</v>
      </c>
      <c r="C2420">
        <v>4630.4246359999997</v>
      </c>
      <c r="D2420">
        <v>1.9993939999999999</v>
      </c>
      <c r="E2420">
        <f>LN(D2420/参数实验室!$E$53)/参数实验室!$E$55</f>
        <v>0.1244168214911885</v>
      </c>
      <c r="F2420">
        <f t="shared" si="318"/>
        <v>4.3603859350427987</v>
      </c>
      <c r="G2420">
        <f>LN(F2420/参数实验室!$E$58)/参数实验室!$E$59</f>
        <v>0.5823493445375324</v>
      </c>
      <c r="H2420" s="856">
        <f>INDEX(神经网络!$G$10:$BO$70,MATCH(ROUND(G2420*2,1)/2,神经网络!$E$10:$E$70,0),MATCH(ROUND(E2420*2,1)/2,神经网络!$G$8:$BO$8,0))</f>
        <v>1.6431473264628604</v>
      </c>
      <c r="I2420">
        <f t="shared" si="320"/>
        <v>1877.9096300791666</v>
      </c>
      <c r="J2420">
        <f t="shared" si="321"/>
        <v>423.73807908702707</v>
      </c>
      <c r="K2420">
        <f t="shared" si="322"/>
        <v>4.4317698190477772</v>
      </c>
      <c r="L2420" s="4">
        <f>MIN(MAX(L2419*(1+MAX(MIN(((B2420-B2419)/B2419)/($K$7*卓尔金历!$N$40),0),-卓尔金历!$M$43))+MIN(MAX(((B2420-B2419)/B2419)/($K$7*卓尔金历!$N$40),0),卓尔金历!$M$43),0),1)</f>
        <v>1</v>
      </c>
      <c r="M2420" s="4">
        <f>MIN(MAX(M2419*(1+MAX(MIN(((B2420-B2419)/B2419)/($K$7*30),0),-卓尔金历!$M$43))+MIN(MAX(((B2420-B2419)/B2419)/($K$7*7),0),卓尔金历!$M$43),0),1)</f>
        <v>1</v>
      </c>
      <c r="N2420">
        <f t="shared" si="323"/>
        <v>2071.0730748223032</v>
      </c>
      <c r="O2420">
        <f t="shared" si="324"/>
        <v>4572.7439280667304</v>
      </c>
      <c r="P2420">
        <f t="shared" si="325"/>
        <v>3.1000000000000062E-2</v>
      </c>
      <c r="Q2420">
        <f t="shared" si="326"/>
        <v>4.242578335288591E-2</v>
      </c>
      <c r="R2420">
        <f t="shared" si="327"/>
        <v>0.36895620505378646</v>
      </c>
      <c r="S2420">
        <f t="shared" si="319"/>
        <v>31.125212736579826</v>
      </c>
      <c r="T2420" s="564">
        <f>IF((I2420-MAX(I$470:I2420))/MAX(I$470:I2420)&gt;T2419,T2419,(I2420-MAX(I$470:I2420))/MAX(I$470:I2420))</f>
        <v>-0.91338805338419748</v>
      </c>
      <c r="U2420" s="564">
        <f>IF((J2420-MAX(J$470:J2420))/MAX(J$470:J2420)&gt;U2419,U2419,(J2420-MAX(J$470:J2420))/MAX(J$470:J2420))</f>
        <v>-0.8283551177402233</v>
      </c>
      <c r="V2420" s="564">
        <f>IF((K2420-MAX(K$470:K2420))/MAX(K$470:K2420)&gt;V2419,V2419,(K2420-MAX(K$470:K2420))/MAX(K$470:K2420))</f>
        <v>-0.84885940676762139</v>
      </c>
      <c r="W2420" s="564">
        <f>IF((N2420-MAX(N$470:N2420))/MAX(N$470:N2420)&gt;W2419,W2419,(N2420-MAX(N$470:N2420))/MAX(N$470:N2420))</f>
        <v>-0.62788758315546067</v>
      </c>
      <c r="X2420" s="564">
        <f>IF((O2420-MAX(O$470:O2420))/MAX(O$470:O2420)&gt;X2419,X2419,(O2420-MAX(O$470:O2420))/MAX(O$470:O2420))</f>
        <v>-0.62788758315546067</v>
      </c>
    </row>
    <row r="2421" spans="1:24">
      <c r="A2421" s="799">
        <v>42823</v>
      </c>
      <c r="B2421">
        <v>1043.8800000000001</v>
      </c>
      <c r="C2421">
        <v>4650.6075929999997</v>
      </c>
      <c r="D2421">
        <v>1.9872730000000001</v>
      </c>
      <c r="E2421">
        <f>LN(D2421/参数实验室!$E$53)/参数实验室!$E$55</f>
        <v>0.11724299276029712</v>
      </c>
      <c r="F2421">
        <f t="shared" si="318"/>
        <v>4.4551170565582243</v>
      </c>
      <c r="G2421">
        <f>LN(F2421/参数实验室!$E$58)/参数实验室!$E$59</f>
        <v>0.59362990927291104</v>
      </c>
      <c r="H2421" s="856">
        <f>INDEX(神经网络!$G$10:$BO$70,MATCH(ROUND(G2421*2,1)/2,神经网络!$E$10:$E$70,0),MATCH(ROUND(E2421*2,1)/2,神经网络!$G$8:$BO$8,0))</f>
        <v>1.6431473264628604</v>
      </c>
      <c r="I2421">
        <f t="shared" si="320"/>
        <v>1825.4611979852791</v>
      </c>
      <c r="J2421">
        <f t="shared" si="321"/>
        <v>416.53565300666321</v>
      </c>
      <c r="K2421">
        <f t="shared" si="322"/>
        <v>4.3824848720838734</v>
      </c>
      <c r="L2421" s="4">
        <f>MIN(MAX(L2420*(1+MAX(MIN(((B2421-B2420)/B2420)/($K$7*卓尔金历!$N$40),0),-卓尔金历!$M$43))+MIN(MAX(((B2421-B2420)/B2420)/($K$7*卓尔金历!$N$40),0),卓尔金历!$M$43),0),1)</f>
        <v>0.74029674393720057</v>
      </c>
      <c r="M2421" s="4">
        <f>MIN(MAX(M2420*(1+MAX(MIN(((B2421-B2420)/B2420)/($K$7*30),0),-卓尔金历!$M$43))+MIN(MAX(((B2421-B2420)/B2420)/($K$7*7),0),卓尔金历!$M$43),0),1)</f>
        <v>0.87014837196860029</v>
      </c>
      <c r="N2421">
        <f t="shared" si="323"/>
        <v>2013.2297506354428</v>
      </c>
      <c r="O2421">
        <f t="shared" si="324"/>
        <v>4445.0310469182195</v>
      </c>
      <c r="P2421">
        <f t="shared" si="325"/>
        <v>-1.6997353874549127E-2</v>
      </c>
      <c r="Q2421">
        <f t="shared" si="326"/>
        <v>4.2390433174497137E-2</v>
      </c>
      <c r="R2421">
        <f t="shared" si="327"/>
        <v>0.99506224958473355</v>
      </c>
      <c r="S2421">
        <f t="shared" si="319"/>
        <v>30.804478760715703</v>
      </c>
      <c r="T2421" s="564">
        <f>IF((I2421-MAX(I$470:I2421))/MAX(I$470:I2421)&gt;T2420,T2420,(I2421-MAX(I$470:I2421))/MAX(I$470:I2421))</f>
        <v>-0.91338805338419748</v>
      </c>
      <c r="U2421" s="564">
        <f>IF((J2421-MAX(J$470:J2421))/MAX(J$470:J2421)&gt;U2420,U2420,(J2421-MAX(J$470:J2421))/MAX(J$470:J2421))</f>
        <v>-0.8283551177402233</v>
      </c>
      <c r="V2421" s="564">
        <f>IF((K2421-MAX(K$470:K2421))/MAX(K$470:K2421)&gt;V2420,V2420,(K2421-MAX(K$470:K2421))/MAX(K$470:K2421))</f>
        <v>-0.84885940676762139</v>
      </c>
      <c r="W2421" s="564">
        <f>IF((N2421-MAX(N$470:N2421))/MAX(N$470:N2421)&gt;W2420,W2420,(N2421-MAX(N$470:N2421))/MAX(N$470:N2421))</f>
        <v>-0.62788758315546067</v>
      </c>
      <c r="X2421" s="564">
        <f>IF((O2421-MAX(O$470:O2421))/MAX(O$470:O2421)&gt;X2420,X2420,(O2421-MAX(O$470:O2421))/MAX(O$470:O2421))</f>
        <v>-0.62788758315546067</v>
      </c>
    </row>
    <row r="2422" spans="1:24">
      <c r="A2422" s="799">
        <v>42824</v>
      </c>
      <c r="B2422">
        <v>1020.99</v>
      </c>
      <c r="C2422">
        <v>4618.4265340000002</v>
      </c>
      <c r="D2422">
        <v>1.9816370000000001</v>
      </c>
      <c r="E2422">
        <f>LN(D2422/参数实验室!$E$53)/参数实验室!$E$55</f>
        <v>0.11389240342854504</v>
      </c>
      <c r="F2422">
        <f t="shared" si="318"/>
        <v>4.5234787157562755</v>
      </c>
      <c r="G2422">
        <f>LN(F2422/参数实验室!$E$58)/参数实验室!$E$59</f>
        <v>0.60162238103198451</v>
      </c>
      <c r="H2422" s="856">
        <f>INDEX(神经网络!$G$10:$BO$70,MATCH(ROUND(G2422*2,1)/2,神经网络!$E$10:$E$70,0),MATCH(ROUND(E2422*2,1)/2,神经网络!$G$8:$BO$8,0))</f>
        <v>1.6431473264628604</v>
      </c>
      <c r="I2422">
        <f t="shared" si="320"/>
        <v>1759.688701514282</v>
      </c>
      <c r="J2422">
        <f t="shared" si="321"/>
        <v>407.40193926818506</v>
      </c>
      <c r="K2422">
        <f t="shared" si="322"/>
        <v>4.3192938763993265</v>
      </c>
      <c r="L2422" s="4">
        <f>MIN(MAX(L2421*(1+MAX(MIN(((B2422-B2421)/B2421)/($K$7*卓尔金历!$N$40),0),-卓尔金历!$M$43))+MIN(MAX(((B2422-B2421)/B2421)/($K$7*卓尔金历!$N$40),0),卓尔金历!$M$43),0),1)</f>
        <v>0.49227078727034146</v>
      </c>
      <c r="M2422" s="4">
        <f>MIN(MAX(M2421*(1+MAX(MIN(((B2422-B2421)/B2421)/($K$7*30),0),-卓尔金历!$M$43))+MIN(MAX(((B2422-B2421)/B2421)/($K$7*7),0),卓尔金历!$M$43),0),1)</f>
        <v>0.72438291766455565</v>
      </c>
      <c r="N2422">
        <f t="shared" si="323"/>
        <v>1959.5301693815659</v>
      </c>
      <c r="O2422">
        <f t="shared" si="324"/>
        <v>4305.6705035534196</v>
      </c>
      <c r="P2422">
        <f t="shared" si="325"/>
        <v>-2.1927807793999405E-2</v>
      </c>
      <c r="Q2422">
        <f t="shared" si="326"/>
        <v>4.2333391986619166E-2</v>
      </c>
      <c r="R2422">
        <f t="shared" si="327"/>
        <v>0.72809632258237578</v>
      </c>
      <c r="S2422">
        <f t="shared" si="319"/>
        <v>29.700054761697832</v>
      </c>
      <c r="T2422" s="564">
        <f>IF((I2422-MAX(I$470:I2422))/MAX(I$470:I2422)&gt;T2421,T2421,(I2422-MAX(I$470:I2422))/MAX(I$470:I2422))</f>
        <v>-0.91338805338419748</v>
      </c>
      <c r="U2422" s="564">
        <f>IF((J2422-MAX(J$470:J2422))/MAX(J$470:J2422)&gt;U2421,U2421,(J2422-MAX(J$470:J2422))/MAX(J$470:J2422))</f>
        <v>-0.8283551177402233</v>
      </c>
      <c r="V2422" s="564">
        <f>IF((K2422-MAX(K$470:K2422))/MAX(K$470:K2422)&gt;V2421,V2421,(K2422-MAX(K$470:K2422))/MAX(K$470:K2422))</f>
        <v>-0.84885940676762139</v>
      </c>
      <c r="W2422" s="564">
        <f>IF((N2422-MAX(N$470:N2422))/MAX(N$470:N2422)&gt;W2421,W2421,(N2422-MAX(N$470:N2422))/MAX(N$470:N2422))</f>
        <v>-0.62788758315546067</v>
      </c>
      <c r="X2422" s="564">
        <f>IF((O2422-MAX(O$470:O2422))/MAX(O$470:O2422)&gt;X2421,X2421,(O2422-MAX(O$470:O2422))/MAX(O$470:O2422))</f>
        <v>-0.62788758315546067</v>
      </c>
    </row>
    <row r="2423" spans="1:24">
      <c r="A2423" s="799">
        <v>42825</v>
      </c>
      <c r="B2423">
        <v>1041.06</v>
      </c>
      <c r="C2423">
        <v>4647.8099140000004</v>
      </c>
      <c r="D2423">
        <v>2.057242</v>
      </c>
      <c r="E2423">
        <f>LN(D2423/参数实验室!$E$53)/参数实验室!$E$55</f>
        <v>0.15806588056014903</v>
      </c>
      <c r="F2423">
        <f t="shared" si="318"/>
        <v>4.4644976408660408</v>
      </c>
      <c r="G2423">
        <f>LN(F2423/参数实验室!$E$58)/参数实验室!$E$59</f>
        <v>0.59473386714163112</v>
      </c>
      <c r="H2423" s="856">
        <f>INDEX(神经网络!$G$10:$BO$70,MATCH(ROUND(G2423*2,1)/2,神经网络!$E$10:$E$70,0),MATCH(ROUND(E2423*2,1)/2,神经网络!$G$8:$BO$8,0))</f>
        <v>1.7237438254898105</v>
      </c>
      <c r="I2423">
        <f t="shared" si="320"/>
        <v>1816.5266290659451</v>
      </c>
      <c r="J2423">
        <f t="shared" si="321"/>
        <v>415.41039862734863</v>
      </c>
      <c r="K2423">
        <f t="shared" si="322"/>
        <v>4.3728482365110297</v>
      </c>
      <c r="L2423" s="4">
        <f>MIN(MAX(L2422*(1+MAX(MIN(((B2423-B2422)/B2422)/($K$7*卓尔金历!$N$40),0),-卓尔金历!$M$43))+MIN(MAX(((B2423-B2422)/B2422)/($K$7*卓尔金历!$N$40),0),卓尔金历!$M$43),0),1)</f>
        <v>0.7926168633942795</v>
      </c>
      <c r="M2423" s="4">
        <f>MIN(MAX(M2422*(1+MAX(MIN(((B2423-B2422)/B2422)/($K$7*30),0),-卓尔金历!$M$43))+MIN(MAX(((B2423-B2422)/B2422)/($K$7*7),0),卓尔金历!$M$43),0),1)</f>
        <v>1</v>
      </c>
      <c r="N2423">
        <f t="shared" si="323"/>
        <v>1990.6873683154238</v>
      </c>
      <c r="O2423">
        <f t="shared" si="324"/>
        <v>4406.4126919510381</v>
      </c>
      <c r="P2423">
        <f t="shared" si="325"/>
        <v>1.9657391355449059E-2</v>
      </c>
      <c r="Q2423">
        <f t="shared" si="326"/>
        <v>4.0322971490729179E-2</v>
      </c>
      <c r="R2423">
        <f t="shared" si="327"/>
        <v>0.79121647599983869</v>
      </c>
      <c r="S2423">
        <f t="shared" si="319"/>
        <v>30.398525917629723</v>
      </c>
      <c r="T2423" s="564">
        <f>IF((I2423-MAX(I$470:I2423))/MAX(I$470:I2423)&gt;T2422,T2422,(I2423-MAX(I$470:I2423))/MAX(I$470:I2423))</f>
        <v>-0.91338805338419748</v>
      </c>
      <c r="U2423" s="564">
        <f>IF((J2423-MAX(J$470:J2423))/MAX(J$470:J2423)&gt;U2422,U2422,(J2423-MAX(J$470:J2423))/MAX(J$470:J2423))</f>
        <v>-0.8283551177402233</v>
      </c>
      <c r="V2423" s="564">
        <f>IF((K2423-MAX(K$470:K2423))/MAX(K$470:K2423)&gt;V2422,V2422,(K2423-MAX(K$470:K2423))/MAX(K$470:K2423))</f>
        <v>-0.84885940676762139</v>
      </c>
      <c r="W2423" s="564">
        <f>IF((N2423-MAX(N$470:N2423))/MAX(N$470:N2423)&gt;W2422,W2422,(N2423-MAX(N$470:N2423))/MAX(N$470:N2423))</f>
        <v>-0.62788758315546067</v>
      </c>
      <c r="X2423" s="564">
        <f>IF((O2423-MAX(O$470:O2423))/MAX(O$470:O2423)&gt;X2422,X2422,(O2423-MAX(O$470:O2423))/MAX(O$470:O2423))</f>
        <v>-0.62788758315546067</v>
      </c>
    </row>
    <row r="2424" spans="1:24">
      <c r="A2424" s="799">
        <v>42826</v>
      </c>
      <c r="B2424">
        <v>1083.77</v>
      </c>
      <c r="C2424">
        <v>4727.8884660000003</v>
      </c>
      <c r="D2424">
        <v>2.0686239999999998</v>
      </c>
      <c r="E2424">
        <f>LN(D2424/参数实验室!$E$53)/参数实验室!$E$55</f>
        <v>0.16457505244650225</v>
      </c>
      <c r="F2424">
        <f t="shared" si="318"/>
        <v>4.3624463363997901</v>
      </c>
      <c r="G2424">
        <f>LN(F2424/参数实验室!$E$58)/参数实验室!$E$59</f>
        <v>0.58259729382029923</v>
      </c>
      <c r="H2424" s="856">
        <f>INDEX(神经网络!$G$10:$BO$70,MATCH(ROUND(G2424*2,1)/2,神经网络!$E$10:$E$70,0),MATCH(ROUND(E2424*2,1)/2,神经网络!$G$8:$BO$8,0))</f>
        <v>1.7237438254898105</v>
      </c>
      <c r="I2424">
        <f t="shared" si="320"/>
        <v>1944.9867431872065</v>
      </c>
      <c r="J2424">
        <f t="shared" si="321"/>
        <v>432.45281513107949</v>
      </c>
      <c r="K2424">
        <f t="shared" si="322"/>
        <v>4.4975698507076833</v>
      </c>
      <c r="L2424" s="4">
        <f>MIN(MAX(L2423*(1+MAX(MIN(((B2424-B2423)/B2423)/($K$7*卓尔金历!$N$40),0),-卓尔金历!$M$43))+MIN(MAX(((B2424-B2423)/B2423)/($K$7*卓尔金历!$N$40),0),卓尔金历!$M$43),0),1)</f>
        <v>1</v>
      </c>
      <c r="M2424" s="4">
        <f>MIN(MAX(M2423*(1+MAX(MIN(((B2424-B2423)/B2423)/($K$7*30),0),-卓尔金历!$M$43))+MIN(MAX(((B2424-B2423)/B2423)/($K$7*7),0),卓尔金历!$M$43),0),1)</f>
        <v>1</v>
      </c>
      <c r="N2424">
        <f t="shared" si="323"/>
        <v>2102.2690502378437</v>
      </c>
      <c r="O2424">
        <f t="shared" si="324"/>
        <v>4718.0229200733011</v>
      </c>
      <c r="P2424">
        <f t="shared" si="325"/>
        <v>4.1025493247267245E-2</v>
      </c>
      <c r="Q2424">
        <f t="shared" si="326"/>
        <v>4.087657021818647E-2</v>
      </c>
      <c r="R2424">
        <f t="shared" si="327"/>
        <v>4.0176332311693368E-2</v>
      </c>
      <c r="S2424">
        <f t="shared" si="319"/>
        <v>32.099408686290055</v>
      </c>
      <c r="T2424" s="564">
        <f>IF((I2424-MAX(I$470:I2424))/MAX(I$470:I2424)&gt;T2423,T2423,(I2424-MAX(I$470:I2424))/MAX(I$470:I2424))</f>
        <v>-0.91338805338419748</v>
      </c>
      <c r="U2424" s="564">
        <f>IF((J2424-MAX(J$470:J2424))/MAX(J$470:J2424)&gt;U2423,U2423,(J2424-MAX(J$470:J2424))/MAX(J$470:J2424))</f>
        <v>-0.8283551177402233</v>
      </c>
      <c r="V2424" s="564">
        <f>IF((K2424-MAX(K$470:K2424))/MAX(K$470:K2424)&gt;V2423,V2423,(K2424-MAX(K$470:K2424))/MAX(K$470:K2424))</f>
        <v>-0.84885940676762139</v>
      </c>
      <c r="W2424" s="564">
        <f>IF((N2424-MAX(N$470:N2424))/MAX(N$470:N2424)&gt;W2423,W2423,(N2424-MAX(N$470:N2424))/MAX(N$470:N2424))</f>
        <v>-0.62788758315546067</v>
      </c>
      <c r="X2424" s="564">
        <f>IF((O2424-MAX(O$470:O2424))/MAX(O$470:O2424)&gt;X2423,X2423,(O2424-MAX(O$470:O2424))/MAX(O$470:O2424))</f>
        <v>-0.62788758315546067</v>
      </c>
    </row>
    <row r="2425" spans="1:24">
      <c r="A2425" s="799">
        <v>42827</v>
      </c>
      <c r="B2425">
        <v>1084.98</v>
      </c>
      <c r="C2425">
        <v>4707.5402629999999</v>
      </c>
      <c r="D2425">
        <v>2.0958199999999998</v>
      </c>
      <c r="E2425">
        <f>LN(D2425/参数实验室!$E$53)/参数实验室!$E$55</f>
        <v>0.17998408440668007</v>
      </c>
      <c r="F2425">
        <f t="shared" si="318"/>
        <v>4.3388267645486547</v>
      </c>
      <c r="G2425">
        <f>LN(F2425/参数实验室!$E$58)/参数实验室!$E$59</f>
        <v>0.57974785832117937</v>
      </c>
      <c r="H2425" s="856">
        <f>INDEX(神经网络!$G$10:$BO$70,MATCH(ROUND(G2425*2,1)/2,神经网络!$E$10:$E$70,0),MATCH(ROUND(E2425*2,1)/2,神经网络!$G$8:$BO$8,0))</f>
        <v>1.7978651105366339</v>
      </c>
      <c r="I2425">
        <f t="shared" si="320"/>
        <v>1948.729896490921</v>
      </c>
      <c r="J2425">
        <f t="shared" si="321"/>
        <v>432.93563704560802</v>
      </c>
      <c r="K2425">
        <f t="shared" si="322"/>
        <v>4.501200016217723</v>
      </c>
      <c r="L2425" s="4">
        <f>MIN(MAX(L2424*(1+MAX(MIN(((B2425-B2424)/B2424)/($K$7*卓尔金历!$N$40),0),-卓尔金历!$M$43))+MIN(MAX(((B2425-B2424)/B2424)/($K$7*卓尔金历!$N$40),0),卓尔金历!$M$43),0),1)</f>
        <v>1</v>
      </c>
      <c r="M2425" s="4">
        <f>MIN(MAX(M2424*(1+MAX(MIN(((B2425-B2424)/B2424)/($K$7*30),0),-卓尔金历!$M$43))+MIN(MAX(((B2425-B2424)/B2424)/($K$7*7),0),卓尔金历!$M$43),0),1)</f>
        <v>1</v>
      </c>
      <c r="N2425">
        <f t="shared" si="323"/>
        <v>2106.3148954695698</v>
      </c>
      <c r="O2425">
        <f t="shared" si="324"/>
        <v>4727.1028190197248</v>
      </c>
      <c r="P2425">
        <f t="shared" si="325"/>
        <v>1.1164730524004507E-3</v>
      </c>
      <c r="Q2425">
        <f t="shared" si="326"/>
        <v>4.0876176274784383E-2</v>
      </c>
      <c r="R2425">
        <f t="shared" si="327"/>
        <v>1</v>
      </c>
      <c r="S2425">
        <f t="shared" si="319"/>
        <v>32.1018906092036</v>
      </c>
      <c r="T2425" s="564">
        <f>IF((I2425-MAX(I$470:I2425))/MAX(I$470:I2425)&gt;T2424,T2424,(I2425-MAX(I$470:I2425))/MAX(I$470:I2425))</f>
        <v>-0.91338805338419748</v>
      </c>
      <c r="U2425" s="564">
        <f>IF((J2425-MAX(J$470:J2425))/MAX(J$470:J2425)&gt;U2424,U2424,(J2425-MAX(J$470:J2425))/MAX(J$470:J2425))</f>
        <v>-0.8283551177402233</v>
      </c>
      <c r="V2425" s="564">
        <f>IF((K2425-MAX(K$470:K2425))/MAX(K$470:K2425)&gt;V2424,V2424,(K2425-MAX(K$470:K2425))/MAX(K$470:K2425))</f>
        <v>-0.84885940676762139</v>
      </c>
      <c r="W2425" s="564">
        <f>IF((N2425-MAX(N$470:N2425))/MAX(N$470:N2425)&gt;W2424,W2424,(N2425-MAX(N$470:N2425))/MAX(N$470:N2425))</f>
        <v>-0.62788758315546067</v>
      </c>
      <c r="X2425" s="564">
        <f>IF((O2425-MAX(O$470:O2425))/MAX(O$470:O2425)&gt;X2424,X2424,(O2425-MAX(O$470:O2425))/MAX(O$470:O2425))</f>
        <v>-0.62788758315546067</v>
      </c>
    </row>
    <row r="2426" spans="1:24">
      <c r="A2426" s="799">
        <v>42828</v>
      </c>
      <c r="B2426">
        <v>1129.9000000000001</v>
      </c>
      <c r="C2426">
        <v>4573.1966249999996</v>
      </c>
      <c r="D2426">
        <v>2.162528</v>
      </c>
      <c r="E2426">
        <f>LN(D2426/参数实验室!$E$53)/参数实验室!$E$55</f>
        <v>0.21694931970842377</v>
      </c>
      <c r="F2426">
        <f t="shared" si="318"/>
        <v>4.0474348393663151</v>
      </c>
      <c r="G2426">
        <f>LN(F2426/参数实验室!$E$58)/参数实验室!$E$59</f>
        <v>0.5432596518303503</v>
      </c>
      <c r="H2426" s="856">
        <f>INDEX(神经网络!$G$10:$BO$70,MATCH(ROUND(G2426*2,1)/2,神经网络!$E$10:$E$70,0),MATCH(ROUND(E2426*2,1)/2,神经网络!$G$8:$BO$8,0))</f>
        <v>1.761300812776319</v>
      </c>
      <c r="I2426">
        <f t="shared" si="320"/>
        <v>2093.7829138783113</v>
      </c>
      <c r="J2426">
        <f t="shared" si="321"/>
        <v>450.85990183951094</v>
      </c>
      <c r="K2426">
        <f t="shared" si="322"/>
        <v>4.643976777122262</v>
      </c>
      <c r="L2426" s="4">
        <f>MIN(MAX(L2425*(1+MAX(MIN(((B2426-B2425)/B2425)/($K$7*卓尔金历!$N$40),0),-卓尔金历!$M$43))+MIN(MAX(((B2426-B2425)/B2425)/($K$7*卓尔金历!$N$40),0),卓尔金历!$M$43),0),1)</f>
        <v>1</v>
      </c>
      <c r="M2426" s="4">
        <f>MIN(MAX(M2425*(1+MAX(MIN(((B2426-B2425)/B2425)/($K$7*30),0),-卓尔金历!$M$43))+MIN(MAX(((B2426-B2425)/B2425)/($K$7*7),0),卓尔金历!$M$43),0),1)</f>
        <v>1</v>
      </c>
      <c r="N2426">
        <f t="shared" si="323"/>
        <v>2263.0976962599871</v>
      </c>
      <c r="O2426">
        <f t="shared" si="324"/>
        <v>5078.9630376338873</v>
      </c>
      <c r="P2426">
        <f t="shared" si="325"/>
        <v>4.1401684823683449E-2</v>
      </c>
      <c r="Q2426">
        <f t="shared" si="326"/>
        <v>4.0806555339527602E-2</v>
      </c>
      <c r="R2426">
        <f t="shared" si="327"/>
        <v>4.0284336755283791E-2</v>
      </c>
      <c r="S2426">
        <f t="shared" si="319"/>
        <v>34.491383429675963</v>
      </c>
      <c r="T2426" s="564">
        <f>IF((I2426-MAX(I$470:I2426))/MAX(I$470:I2426)&gt;T2425,T2425,(I2426-MAX(I$470:I2426))/MAX(I$470:I2426))</f>
        <v>-0.91338805338419748</v>
      </c>
      <c r="U2426" s="564">
        <f>IF((J2426-MAX(J$470:J2426))/MAX(J$470:J2426)&gt;U2425,U2425,(J2426-MAX(J$470:J2426))/MAX(J$470:J2426))</f>
        <v>-0.8283551177402233</v>
      </c>
      <c r="V2426" s="564">
        <f>IF((K2426-MAX(K$470:K2426))/MAX(K$470:K2426)&gt;V2425,V2425,(K2426-MAX(K$470:K2426))/MAX(K$470:K2426))</f>
        <v>-0.84885940676762139</v>
      </c>
      <c r="W2426" s="564">
        <f>IF((N2426-MAX(N$470:N2426))/MAX(N$470:N2426)&gt;W2425,W2425,(N2426-MAX(N$470:N2426))/MAX(N$470:N2426))</f>
        <v>-0.62788758315546067</v>
      </c>
      <c r="X2426" s="564">
        <f>IF((O2426-MAX(O$470:O2426))/MAX(O$470:O2426)&gt;X2425,X2425,(O2426-MAX(O$470:O2426))/MAX(O$470:O2426))</f>
        <v>-0.62788758315546067</v>
      </c>
    </row>
    <row r="2427" spans="1:24">
      <c r="A2427" s="799">
        <v>42829</v>
      </c>
      <c r="B2427">
        <v>1133.3699999999999</v>
      </c>
      <c r="C2427">
        <v>4642.1455100000003</v>
      </c>
      <c r="D2427">
        <v>2.1532550000000001</v>
      </c>
      <c r="E2427">
        <f>LN(D2427/参数实验室!$E$53)/参数实验室!$E$55</f>
        <v>0.21187961686824924</v>
      </c>
      <c r="F2427">
        <f t="shared" si="318"/>
        <v>4.0958782304101931</v>
      </c>
      <c r="G2427">
        <f>LN(F2427/参数实验室!$E$58)/参数实验室!$E$59</f>
        <v>0.54950428699728782</v>
      </c>
      <c r="H2427" s="856">
        <f>INDEX(神经网络!$G$10:$BO$70,MATCH(ROUND(G2427*2,1)/2,神经网络!$E$10:$E$70,0),MATCH(ROUND(E2427*2,1)/2,神经网络!$G$8:$BO$8,0))</f>
        <v>1.761300812776319</v>
      </c>
      <c r="I2427">
        <f t="shared" si="320"/>
        <v>2105.1083426521218</v>
      </c>
      <c r="J2427">
        <f t="shared" si="321"/>
        <v>452.24452336299356</v>
      </c>
      <c r="K2427">
        <f t="shared" si="322"/>
        <v>4.6548011836562564</v>
      </c>
      <c r="L2427" s="4">
        <f>MIN(MAX(L2426*(1+MAX(MIN(((B2427-B2426)/B2426)/($K$7*卓尔金历!$N$40),0),-卓尔金历!$M$43))+MIN(MAX(((B2427-B2426)/B2426)/($K$7*卓尔金历!$N$40),0),卓尔金历!$M$43),0),1)</f>
        <v>1</v>
      </c>
      <c r="M2427" s="4">
        <f>MIN(MAX(M2426*(1+MAX(MIN(((B2427-B2426)/B2426)/($K$7*30),0),-卓尔金历!$M$43))+MIN(MAX(((B2427-B2426)/B2426)/($K$7*7),0),卓尔金历!$M$43),0),1)</f>
        <v>1</v>
      </c>
      <c r="N2427">
        <f t="shared" si="323"/>
        <v>2275.3389613869867</v>
      </c>
      <c r="O2427">
        <f t="shared" si="324"/>
        <v>5106.435529527037</v>
      </c>
      <c r="P2427">
        <f t="shared" si="325"/>
        <v>3.0710682361269137E-3</v>
      </c>
      <c r="Q2427">
        <f t="shared" si="326"/>
        <v>4.0802310623488526E-2</v>
      </c>
      <c r="R2427">
        <f t="shared" si="327"/>
        <v>1</v>
      </c>
      <c r="S2427">
        <f t="shared" si="319"/>
        <v>34.49889913654922</v>
      </c>
      <c r="T2427" s="564">
        <f>IF((I2427-MAX(I$470:I2427))/MAX(I$470:I2427)&gt;T2426,T2426,(I2427-MAX(I$470:I2427))/MAX(I$470:I2427))</f>
        <v>-0.91338805338419748</v>
      </c>
      <c r="U2427" s="564">
        <f>IF((J2427-MAX(J$470:J2427))/MAX(J$470:J2427)&gt;U2426,U2426,(J2427-MAX(J$470:J2427))/MAX(J$470:J2427))</f>
        <v>-0.8283551177402233</v>
      </c>
      <c r="V2427" s="564">
        <f>IF((K2427-MAX(K$470:K2427))/MAX(K$470:K2427)&gt;V2426,V2426,(K2427-MAX(K$470:K2427))/MAX(K$470:K2427))</f>
        <v>-0.84885940676762139</v>
      </c>
      <c r="W2427" s="564">
        <f>IF((N2427-MAX(N$470:N2427))/MAX(N$470:N2427)&gt;W2426,W2426,(N2427-MAX(N$470:N2427))/MAX(N$470:N2427))</f>
        <v>-0.62788758315546067</v>
      </c>
      <c r="X2427" s="564">
        <f>IF((O2427-MAX(O$470:O2427))/MAX(O$470:O2427)&gt;X2426,X2426,(O2427-MAX(O$470:O2427))/MAX(O$470:O2427))</f>
        <v>-0.62788758315546067</v>
      </c>
    </row>
    <row r="2428" spans="1:24">
      <c r="A2428" s="799">
        <v>42830</v>
      </c>
      <c r="B2428">
        <v>1122.9100000000001</v>
      </c>
      <c r="C2428">
        <v>4582.5124649999998</v>
      </c>
      <c r="D2428">
        <v>2.1373579999999999</v>
      </c>
      <c r="E2428">
        <f>LN(D2428/参数实验室!$E$53)/参数实验室!$E$55</f>
        <v>0.20313745198979885</v>
      </c>
      <c r="F2428">
        <f t="shared" si="318"/>
        <v>4.0809258667212864</v>
      </c>
      <c r="G2428">
        <f>LN(F2428/参数实验室!$E$58)/参数实验室!$E$59</f>
        <v>0.54758475530985662</v>
      </c>
      <c r="H2428" s="856">
        <f>INDEX(神经网络!$G$10:$BO$70,MATCH(ROUND(G2428*2,1)/2,神经网络!$E$10:$E$70,0),MATCH(ROUND(E2428*2,1)/2,神经网络!$G$8:$BO$8,0))</f>
        <v>1.761300812776319</v>
      </c>
      <c r="I2428">
        <f t="shared" si="320"/>
        <v>2070.8892917640578</v>
      </c>
      <c r="J2428">
        <f t="shared" si="321"/>
        <v>448.07070747376338</v>
      </c>
      <c r="K2428">
        <f t="shared" si="322"/>
        <v>4.6217912870042239</v>
      </c>
      <c r="L2428" s="4">
        <f>MIN(MAX(L2427*(1+MAX(MIN(((B2428-B2427)/B2427)/($K$7*卓尔金历!$N$40),0),-卓尔金历!$M$43))+MIN(MAX(((B2428-B2427)/B2427)/($K$7*卓尔金历!$N$40),0),卓尔金历!$M$43),0),1)</f>
        <v>0.85898800719191692</v>
      </c>
      <c r="M2428" s="4">
        <f>MIN(MAX(M2427*(1+MAX(MIN(((B2428-B2427)/B2427)/($K$7*30),0),-卓尔金历!$M$43))+MIN(MAX(((B2428-B2427)/B2427)/($K$7*7),0),卓尔金历!$M$43),0),1)</f>
        <v>0.92949400359595846</v>
      </c>
      <c r="N2428">
        <f t="shared" si="323"/>
        <v>2238.3527701635917</v>
      </c>
      <c r="O2428">
        <f t="shared" si="324"/>
        <v>5023.4291712788145</v>
      </c>
      <c r="P2428">
        <f t="shared" si="325"/>
        <v>-9.229113175750028E-3</v>
      </c>
      <c r="Q2428">
        <f t="shared" si="326"/>
        <v>4.0694458343760773E-2</v>
      </c>
      <c r="R2428">
        <f t="shared" si="327"/>
        <v>1</v>
      </c>
      <c r="S2428">
        <f t="shared" si="319"/>
        <v>33.938111094804782</v>
      </c>
      <c r="T2428" s="564">
        <f>IF((I2428-MAX(I$470:I2428))/MAX(I$470:I2428)&gt;T2427,T2427,(I2428-MAX(I$470:I2428))/MAX(I$470:I2428))</f>
        <v>-0.91338805338419748</v>
      </c>
      <c r="U2428" s="564">
        <f>IF((J2428-MAX(J$470:J2428))/MAX(J$470:J2428)&gt;U2427,U2427,(J2428-MAX(J$470:J2428))/MAX(J$470:J2428))</f>
        <v>-0.8283551177402233</v>
      </c>
      <c r="V2428" s="564">
        <f>IF((K2428-MAX(K$470:K2428))/MAX(K$470:K2428)&gt;V2427,V2427,(K2428-MAX(K$470:K2428))/MAX(K$470:K2428))</f>
        <v>-0.84885940676762139</v>
      </c>
      <c r="W2428" s="564">
        <f>IF((N2428-MAX(N$470:N2428))/MAX(N$470:N2428)&gt;W2427,W2427,(N2428-MAX(N$470:N2428))/MAX(N$470:N2428))</f>
        <v>-0.62788758315546067</v>
      </c>
      <c r="X2428" s="564">
        <f>IF((O2428-MAX(O$470:O2428))/MAX(O$470:O2428)&gt;X2427,X2427,(O2428-MAX(O$470:O2428))/MAX(O$470:O2428))</f>
        <v>-0.62788758315546067</v>
      </c>
    </row>
    <row r="2429" spans="1:24">
      <c r="A2429" s="799">
        <v>42831</v>
      </c>
      <c r="B2429">
        <v>1153.0999999999999</v>
      </c>
      <c r="C2429">
        <v>4602.5050000000001</v>
      </c>
      <c r="D2429">
        <v>2.2395900000000002</v>
      </c>
      <c r="E2429">
        <f>LN(D2429/参数实验室!$E$53)/参数实验室!$E$55</f>
        <v>0.25825826827488857</v>
      </c>
      <c r="F2429">
        <f t="shared" si="318"/>
        <v>3.9914187841470823</v>
      </c>
      <c r="G2429">
        <f>LN(F2429/参数实验室!$E$58)/参数实验室!$E$59</f>
        <v>0.53594499471720791</v>
      </c>
      <c r="H2429" s="856">
        <f>INDEX(神经网络!$G$10:$BO$70,MATCH(ROUND(G2429*2,1)/2,神经网络!$E$10:$E$70,0),MATCH(ROUND(E2429*2,1)/2,神经网络!$G$8:$BO$8,0))</f>
        <v>1.8353965793439475</v>
      </c>
      <c r="I2429">
        <f t="shared" si="320"/>
        <v>2168.9530608918035</v>
      </c>
      <c r="J2429">
        <f t="shared" si="321"/>
        <v>460.11731375443844</v>
      </c>
      <c r="K2429">
        <f t="shared" si="322"/>
        <v>4.7139131609582492</v>
      </c>
      <c r="L2429" s="4">
        <f>MIN(MAX(L2428*(1+MAX(MIN(((B2429-B2428)/B2428)/($K$7*卓尔金历!$N$40),0),-卓尔金历!$M$43))+MIN(MAX(((B2429-B2428)/B2428)/($K$7*卓尔金历!$N$40),0),卓尔金历!$M$43),0),1)</f>
        <v>1</v>
      </c>
      <c r="M2429" s="4">
        <f>MIN(MAX(M2428*(1+MAX(MIN(((B2429-B2428)/B2428)/($K$7*30),0),-卓尔金历!$M$43))+MIN(MAX(((B2429-B2428)/B2428)/($K$7*7),0),卓尔金历!$M$43),0),1)</f>
        <v>1</v>
      </c>
      <c r="N2429">
        <f t="shared" si="323"/>
        <v>2329.4001250290157</v>
      </c>
      <c r="O2429">
        <f t="shared" si="324"/>
        <v>5244.5341768833841</v>
      </c>
      <c r="P2429">
        <f t="shared" si="325"/>
        <v>2.6885502845285753E-2</v>
      </c>
      <c r="Q2429">
        <f t="shared" si="326"/>
        <v>4.1012826107506194E-2</v>
      </c>
      <c r="R2429">
        <f t="shared" si="327"/>
        <v>0.48017726792506926</v>
      </c>
      <c r="S2429">
        <f t="shared" si="319"/>
        <v>35.545198013583395</v>
      </c>
      <c r="T2429" s="564">
        <f>IF((I2429-MAX(I$470:I2429))/MAX(I$470:I2429)&gt;T2428,T2428,(I2429-MAX(I$470:I2429))/MAX(I$470:I2429))</f>
        <v>-0.91338805338419748</v>
      </c>
      <c r="U2429" s="564">
        <f>IF((J2429-MAX(J$470:J2429))/MAX(J$470:J2429)&gt;U2428,U2428,(J2429-MAX(J$470:J2429))/MAX(J$470:J2429))</f>
        <v>-0.8283551177402233</v>
      </c>
      <c r="V2429" s="564">
        <f>IF((K2429-MAX(K$470:K2429))/MAX(K$470:K2429)&gt;V2428,V2428,(K2429-MAX(K$470:K2429))/MAX(K$470:K2429))</f>
        <v>-0.84885940676762139</v>
      </c>
      <c r="W2429" s="564">
        <f>IF((N2429-MAX(N$470:N2429))/MAX(N$470:N2429)&gt;W2428,W2428,(N2429-MAX(N$470:N2429))/MAX(N$470:N2429))</f>
        <v>-0.62788758315546067</v>
      </c>
      <c r="X2429" s="564">
        <f>IF((O2429-MAX(O$470:O2429))/MAX(O$470:O2429)&gt;X2428,X2428,(O2429-MAX(O$470:O2429))/MAX(O$470:O2429))</f>
        <v>-0.62788758315546067</v>
      </c>
    </row>
    <row r="2430" spans="1:24">
      <c r="A2430" s="799">
        <v>42832</v>
      </c>
      <c r="B2430">
        <v>1174.68</v>
      </c>
      <c r="C2430">
        <v>4543.5684389999997</v>
      </c>
      <c r="D2430">
        <v>2.2264740000000001</v>
      </c>
      <c r="E2430">
        <f>LN(D2430/参数实验室!$E$53)/参数实验室!$E$55</f>
        <v>0.2513288162857264</v>
      </c>
      <c r="F2430">
        <f t="shared" si="318"/>
        <v>3.8679201476146692</v>
      </c>
      <c r="G2430">
        <f>LN(F2430/参数实验室!$E$58)/参数实验室!$E$59</f>
        <v>0.51944892678591115</v>
      </c>
      <c r="H2430" s="856">
        <f>INDEX(神经网络!$G$10:$BO$70,MATCH(ROUND(G2430*2,1)/2,神经网络!$E$10:$E$70,0),MATCH(ROUND(E2430*2,1)/2,神经网络!$G$8:$BO$8,0))</f>
        <v>1.7979234839107936</v>
      </c>
      <c r="I2430">
        <f t="shared" si="320"/>
        <v>2243.4544790166351</v>
      </c>
      <c r="J2430">
        <f t="shared" si="321"/>
        <v>468.72830294082377</v>
      </c>
      <c r="K2430">
        <f t="shared" si="322"/>
        <v>4.7862577637004096</v>
      </c>
      <c r="L2430" s="4">
        <f>MIN(MAX(L2429*(1+MAX(MIN(((B2430-B2429)/B2429)/($K$7*卓尔金历!$N$40),0),-卓尔金历!$M$43))+MIN(MAX(((B2430-B2429)/B2429)/($K$7*卓尔金历!$N$40),0),卓尔金历!$M$43),0),1)</f>
        <v>1</v>
      </c>
      <c r="M2430" s="4">
        <f>MIN(MAX(M2429*(1+MAX(MIN(((B2430-B2429)/B2429)/($K$7*30),0),-卓尔金历!$M$43))+MIN(MAX(((B2430-B2429)/B2429)/($K$7*7),0),卓尔金历!$M$43),0),1)</f>
        <v>1</v>
      </c>
      <c r="N2430">
        <f t="shared" si="323"/>
        <v>2409.4127430169156</v>
      </c>
      <c r="O2430">
        <f t="shared" si="324"/>
        <v>5424.6788008621552</v>
      </c>
      <c r="P2430">
        <f t="shared" si="325"/>
        <v>1.8714768883878376E-2</v>
      </c>
      <c r="Q2430">
        <f t="shared" si="326"/>
        <v>3.9743775803885911E-2</v>
      </c>
      <c r="R2430">
        <f t="shared" si="327"/>
        <v>0.82504148960356127</v>
      </c>
      <c r="S2430">
        <f t="shared" si="319"/>
        <v>36.131466999617864</v>
      </c>
      <c r="T2430" s="564">
        <f>IF((I2430-MAX(I$470:I2430))/MAX(I$470:I2430)&gt;T2429,T2429,(I2430-MAX(I$470:I2430))/MAX(I$470:I2430))</f>
        <v>-0.91338805338419748</v>
      </c>
      <c r="U2430" s="564">
        <f>IF((J2430-MAX(J$470:J2430))/MAX(J$470:J2430)&gt;U2429,U2429,(J2430-MAX(J$470:J2430))/MAX(J$470:J2430))</f>
        <v>-0.8283551177402233</v>
      </c>
      <c r="V2430" s="564">
        <f>IF((K2430-MAX(K$470:K2430))/MAX(K$470:K2430)&gt;V2429,V2429,(K2430-MAX(K$470:K2430))/MAX(K$470:K2430))</f>
        <v>-0.84885940676762139</v>
      </c>
      <c r="W2430" s="564">
        <f>IF((N2430-MAX(N$470:N2430))/MAX(N$470:N2430)&gt;W2429,W2429,(N2430-MAX(N$470:N2430))/MAX(N$470:N2430))</f>
        <v>-0.62788758315546067</v>
      </c>
      <c r="X2430" s="564">
        <f>IF((O2430-MAX(O$470:O2430))/MAX(O$470:O2430)&gt;X2429,X2429,(O2430-MAX(O$470:O2430))/MAX(O$470:O2430))</f>
        <v>-0.62788758315546067</v>
      </c>
    </row>
    <row r="2431" spans="1:24">
      <c r="A2431" s="799">
        <v>42833</v>
      </c>
      <c r="B2431">
        <v>1184.5999999999999</v>
      </c>
      <c r="C2431">
        <v>4578.3991489999999</v>
      </c>
      <c r="D2431">
        <v>2.2100119999999999</v>
      </c>
      <c r="E2431">
        <f>LN(D2431/参数实验室!$E$53)/参数实验室!$E$55</f>
        <v>0.24257360459962837</v>
      </c>
      <c r="F2431">
        <f t="shared" si="318"/>
        <v>3.8649325924362654</v>
      </c>
      <c r="G2431">
        <f>LN(F2431/参数实验室!$E$58)/参数实验室!$E$59</f>
        <v>0.5190433764553819</v>
      </c>
      <c r="H2431" s="856">
        <f>INDEX(神经网络!$G$10:$BO$70,MATCH(ROUND(G2431*2,1)/2,神经网络!$E$10:$E$70,0),MATCH(ROUND(E2431*2,1)/2,神经网络!$G$8:$BO$8,0))</f>
        <v>1.7979234839107936</v>
      </c>
      <c r="I2431">
        <f t="shared" si="320"/>
        <v>2277.5172962686997</v>
      </c>
      <c r="J2431">
        <f t="shared" si="321"/>
        <v>472.68664458720656</v>
      </c>
      <c r="K2431">
        <f t="shared" si="322"/>
        <v>4.8182391492309611</v>
      </c>
      <c r="L2431" s="4">
        <f>MIN(MAX(L2430*(1+MAX(MIN(((B2431-B2430)/B2430)/($K$7*卓尔金历!$N$40),0),-卓尔金历!$M$43))+MIN(MAX(((B2431-B2430)/B2430)/($K$7*卓尔金历!$N$40),0),卓尔金历!$M$43),0),1)</f>
        <v>1</v>
      </c>
      <c r="M2431" s="4">
        <f>MIN(MAX(M2430*(1+MAX(MIN(((B2431-B2430)/B2430)/($K$7*30),0),-卓尔金历!$M$43))+MIN(MAX(((B2431-B2430)/B2430)/($K$7*7),0),卓尔金历!$M$43),0),1)</f>
        <v>1</v>
      </c>
      <c r="N2431">
        <f t="shared" si="323"/>
        <v>2445.9953377242327</v>
      </c>
      <c r="O2431">
        <f t="shared" si="324"/>
        <v>5507.0427821121384</v>
      </c>
      <c r="P2431">
        <f t="shared" si="325"/>
        <v>8.4448530663668777E-3</v>
      </c>
      <c r="Q2431">
        <f t="shared" si="326"/>
        <v>3.520572630094277E-2</v>
      </c>
      <c r="R2431">
        <f t="shared" si="327"/>
        <v>1</v>
      </c>
      <c r="S2431">
        <f t="shared" si="319"/>
        <v>36.584077563948732</v>
      </c>
      <c r="T2431" s="564">
        <f>IF((I2431-MAX(I$470:I2431))/MAX(I$470:I2431)&gt;T2430,T2430,(I2431-MAX(I$470:I2431))/MAX(I$470:I2431))</f>
        <v>-0.91338805338419748</v>
      </c>
      <c r="U2431" s="564">
        <f>IF((J2431-MAX(J$470:J2431))/MAX(J$470:J2431)&gt;U2430,U2430,(J2431-MAX(J$470:J2431))/MAX(J$470:J2431))</f>
        <v>-0.8283551177402233</v>
      </c>
      <c r="V2431" s="564">
        <f>IF((K2431-MAX(K$470:K2431))/MAX(K$470:K2431)&gt;V2430,V2430,(K2431-MAX(K$470:K2431))/MAX(K$470:K2431))</f>
        <v>-0.84885940676762139</v>
      </c>
      <c r="W2431" s="564">
        <f>IF((N2431-MAX(N$470:N2431))/MAX(N$470:N2431)&gt;W2430,W2430,(N2431-MAX(N$470:N2431))/MAX(N$470:N2431))</f>
        <v>-0.62788758315546067</v>
      </c>
      <c r="X2431" s="564">
        <f>IF((O2431-MAX(O$470:O2431))/MAX(O$470:O2431)&gt;X2430,X2430,(O2431-MAX(O$470:O2431))/MAX(O$470:O2431))</f>
        <v>-0.62788758315546067</v>
      </c>
    </row>
    <row r="2432" spans="1:24">
      <c r="A2432" s="799">
        <v>42834</v>
      </c>
      <c r="B2432">
        <v>1178.1500000000001</v>
      </c>
      <c r="C2432">
        <v>4571.0701390000004</v>
      </c>
      <c r="D2432">
        <v>2.2586270000000002</v>
      </c>
      <c r="E2432">
        <f>LN(D2432/参数实验室!$E$53)/参数实验室!$E$55</f>
        <v>0.26824404556989923</v>
      </c>
      <c r="F2432">
        <f t="shared" si="318"/>
        <v>3.8798711021516783</v>
      </c>
      <c r="G2432">
        <f>LN(F2432/参数实验室!$E$58)/参数实验室!$E$59</f>
        <v>0.52106810096858081</v>
      </c>
      <c r="H2432" s="856">
        <f>INDEX(神经网络!$G$10:$BO$70,MATCH(ROUND(G2432*2,1)/2,神经网络!$E$10:$E$70,0),MATCH(ROUND(E2432*2,1)/2,神经网络!$G$8:$BO$8,0))</f>
        <v>1.7979234839107936</v>
      </c>
      <c r="I2432">
        <f t="shared" si="320"/>
        <v>2255.2216084278803</v>
      </c>
      <c r="J2432">
        <f t="shared" si="321"/>
        <v>470.11292446430656</v>
      </c>
      <c r="K2432">
        <f t="shared" si="322"/>
        <v>4.7971912514375221</v>
      </c>
      <c r="L2432" s="4">
        <f>MIN(MAX(L2431*(1+MAX(MIN(((B2432-B2431)/B2431)/($K$7*卓尔金历!$N$40),0),-卓尔金历!$M$43))+MIN(MAX(((B2432-B2431)/B2431)/($K$7*卓尔金历!$N$40),0),卓尔金历!$M$43),0),1)</f>
        <v>0.91680752119025133</v>
      </c>
      <c r="M2432" s="4">
        <f>MIN(MAX(M2431*(1+MAX(MIN(((B2432-B2431)/B2431)/($K$7*30),0),-卓尔金历!$M$43))+MIN(MAX(((B2432-B2431)/B2431)/($K$7*7),0),卓尔金历!$M$43),0),1)</f>
        <v>0.95840376059512566</v>
      </c>
      <c r="N2432">
        <f t="shared" si="323"/>
        <v>2422.0503391069465</v>
      </c>
      <c r="O2432">
        <f t="shared" si="324"/>
        <v>5453.1317505703937</v>
      </c>
      <c r="P2432">
        <f t="shared" si="325"/>
        <v>-5.4448759074791648E-3</v>
      </c>
      <c r="Q2432">
        <f t="shared" si="326"/>
        <v>3.2113699538148237E-2</v>
      </c>
      <c r="R2432">
        <f t="shared" si="327"/>
        <v>1</v>
      </c>
      <c r="S2432">
        <f t="shared" si="319"/>
        <v>36.225938824608988</v>
      </c>
      <c r="T2432" s="564">
        <f>IF((I2432-MAX(I$470:I2432))/MAX(I$470:I2432)&gt;T2431,T2431,(I2432-MAX(I$470:I2432))/MAX(I$470:I2432))</f>
        <v>-0.91338805338419748</v>
      </c>
      <c r="U2432" s="564">
        <f>IF((J2432-MAX(J$470:J2432))/MAX(J$470:J2432)&gt;U2431,U2431,(J2432-MAX(J$470:J2432))/MAX(J$470:J2432))</f>
        <v>-0.8283551177402233</v>
      </c>
      <c r="V2432" s="564">
        <f>IF((K2432-MAX(K$470:K2432))/MAX(K$470:K2432)&gt;V2431,V2431,(K2432-MAX(K$470:K2432))/MAX(K$470:K2432))</f>
        <v>-0.84885940676762139</v>
      </c>
      <c r="W2432" s="564">
        <f>IF((N2432-MAX(N$470:N2432))/MAX(N$470:N2432)&gt;W2431,W2431,(N2432-MAX(N$470:N2432))/MAX(N$470:N2432))</f>
        <v>-0.62788758315546067</v>
      </c>
      <c r="X2432" s="564">
        <f>IF((O2432-MAX(O$470:O2432))/MAX(O$470:O2432)&gt;X2431,X2431,(O2432-MAX(O$470:O2432))/MAX(O$470:O2432))</f>
        <v>-0.62788758315546067</v>
      </c>
    </row>
    <row r="2433" spans="1:24">
      <c r="A2433" s="799">
        <v>42835</v>
      </c>
      <c r="B2433">
        <v>1188</v>
      </c>
      <c r="C2433">
        <v>4578.7991199999997</v>
      </c>
      <c r="D2433">
        <v>2.2497530000000001</v>
      </c>
      <c r="E2433">
        <f>LN(D2433/参数实验室!$E$53)/参数实验室!$E$55</f>
        <v>0.26359974149288379</v>
      </c>
      <c r="F2433">
        <f t="shared" si="318"/>
        <v>3.8542080134680132</v>
      </c>
      <c r="G2433">
        <f>LN(F2433/参数实验室!$E$58)/参数实验室!$E$59</f>
        <v>0.51758496481580174</v>
      </c>
      <c r="H2433" s="856">
        <f>INDEX(神经网络!$G$10:$BO$70,MATCH(ROUND(G2433*2,1)/2,神经网络!$E$10:$E$70,0),MATCH(ROUND(E2433*2,1)/2,神经网络!$G$8:$BO$8,0))</f>
        <v>1.7979234839107936</v>
      </c>
      <c r="I2433">
        <f t="shared" si="320"/>
        <v>2289.1213253811316</v>
      </c>
      <c r="J2433">
        <f t="shared" si="321"/>
        <v>474.04333426439428</v>
      </c>
      <c r="K2433">
        <f t="shared" si="322"/>
        <v>4.8289284120687386</v>
      </c>
      <c r="L2433" s="4">
        <f>MIN(MAX(L2432*(1+MAX(MIN(((B2433-B2432)/B2432)/($K$7*卓尔金历!$N$40),0),-卓尔金历!$M$43))+MIN(MAX(((B2433-B2432)/B2432)/($K$7*卓尔金历!$N$40),0),卓尔金历!$M$43),0),1)</f>
        <v>1</v>
      </c>
      <c r="M2433" s="4">
        <f>MIN(MAX(M2432*(1+MAX(MIN(((B2433-B2432)/B2432)/($K$7*30),0),-卓尔金历!$M$43))+MIN(MAX(((B2433-B2432)/B2432)/($K$7*7),0),卓尔金历!$M$43),0),1)</f>
        <v>1</v>
      </c>
      <c r="N2433">
        <f t="shared" si="323"/>
        <v>2455.4289439853173</v>
      </c>
      <c r="O2433">
        <f t="shared" si="324"/>
        <v>5531.6917275866372</v>
      </c>
      <c r="P2433">
        <f t="shared" si="325"/>
        <v>8.3605652930441015E-3</v>
      </c>
      <c r="Q2433">
        <f t="shared" si="326"/>
        <v>3.0281548558170265E-2</v>
      </c>
      <c r="R2433">
        <f t="shared" si="327"/>
        <v>1</v>
      </c>
      <c r="S2433">
        <f t="shared" si="319"/>
        <v>36.770474699899808</v>
      </c>
      <c r="T2433" s="564">
        <f>IF((I2433-MAX(I$470:I2433))/MAX(I$470:I2433)&gt;T2432,T2432,(I2433-MAX(I$470:I2433))/MAX(I$470:I2433))</f>
        <v>-0.91338805338419748</v>
      </c>
      <c r="U2433" s="564">
        <f>IF((J2433-MAX(J$470:J2433))/MAX(J$470:J2433)&gt;U2432,U2432,(J2433-MAX(J$470:J2433))/MAX(J$470:J2433))</f>
        <v>-0.8283551177402233</v>
      </c>
      <c r="V2433" s="564">
        <f>IF((K2433-MAX(K$470:K2433))/MAX(K$470:K2433)&gt;V2432,V2432,(K2433-MAX(K$470:K2433))/MAX(K$470:K2433))</f>
        <v>-0.84885940676762139</v>
      </c>
      <c r="W2433" s="564">
        <f>IF((N2433-MAX(N$470:N2433))/MAX(N$470:N2433)&gt;W2432,W2432,(N2433-MAX(N$470:N2433))/MAX(N$470:N2433))</f>
        <v>-0.62788758315546067</v>
      </c>
      <c r="X2433" s="564">
        <f>IF((O2433-MAX(O$470:O2433))/MAX(O$470:O2433)&gt;X2432,X2432,(O2433-MAX(O$470:O2433))/MAX(O$470:O2433))</f>
        <v>-0.62788758315546067</v>
      </c>
    </row>
    <row r="2434" spans="1:24">
      <c r="A2434" s="799">
        <v>42836</v>
      </c>
      <c r="B2434">
        <v>1196.6099999999999</v>
      </c>
      <c r="C2434">
        <v>4544.3552579999996</v>
      </c>
      <c r="D2434">
        <v>2.2771119999999998</v>
      </c>
      <c r="E2434">
        <f>LN(D2434/参数实验室!$E$53)/参数实验室!$E$55</f>
        <v>0.27786005718377232</v>
      </c>
      <c r="F2434">
        <f t="shared" si="318"/>
        <v>3.797691192619149</v>
      </c>
      <c r="G2434">
        <f>LN(F2434/参数实验室!$E$58)/参数实验室!$E$59</f>
        <v>0.50983169453749033</v>
      </c>
      <c r="H2434" s="856">
        <f>INDEX(神经网络!$G$10:$BO$70,MATCH(ROUND(G2434*2,1)/2,神经网络!$E$10:$E$70,0),MATCH(ROUND(E2434*2,1)/2,神经网络!$G$8:$BO$8,0))</f>
        <v>1.8674158330229262</v>
      </c>
      <c r="I2434">
        <f t="shared" si="320"/>
        <v>2318.9495034537981</v>
      </c>
      <c r="J2434">
        <f t="shared" si="321"/>
        <v>477.47895135868418</v>
      </c>
      <c r="K2434">
        <f t="shared" si="322"/>
        <v>4.8566528364342361</v>
      </c>
      <c r="L2434" s="4">
        <f>MIN(MAX(L2433*(1+MAX(MIN(((B2434-B2433)/B2433)/($K$7*卓尔金历!$N$40),0),-卓尔金历!$M$43))+MIN(MAX(((B2434-B2433)/B2433)/($K$7*卓尔金历!$N$40),0),卓尔金历!$M$43),0),1)</f>
        <v>1</v>
      </c>
      <c r="M2434" s="4">
        <f>MIN(MAX(M2433*(1+MAX(MIN(((B2434-B2433)/B2433)/($K$7*30),0),-卓尔金历!$M$43))+MIN(MAX(((B2434-B2433)/B2433)/($K$7*7),0),卓尔金历!$M$43),0),1)</f>
        <v>1</v>
      </c>
      <c r="N2434">
        <f t="shared" si="323"/>
        <v>2487.4241776908875</v>
      </c>
      <c r="O2434">
        <f t="shared" si="324"/>
        <v>5603.7719113951907</v>
      </c>
      <c r="P2434">
        <f t="shared" si="325"/>
        <v>7.2474747474746632E-3</v>
      </c>
      <c r="Q2434">
        <f t="shared" si="326"/>
        <v>2.9635055628906871E-2</v>
      </c>
      <c r="R2434">
        <f t="shared" si="327"/>
        <v>1</v>
      </c>
      <c r="S2434">
        <f t="shared" si="319"/>
        <v>37.249608879029644</v>
      </c>
      <c r="T2434" s="564">
        <f>IF((I2434-MAX(I$470:I2434))/MAX(I$470:I2434)&gt;T2433,T2433,(I2434-MAX(I$470:I2434))/MAX(I$470:I2434))</f>
        <v>-0.91338805338419748</v>
      </c>
      <c r="U2434" s="564">
        <f>IF((J2434-MAX(J$470:J2434))/MAX(J$470:J2434)&gt;U2433,U2433,(J2434-MAX(J$470:J2434))/MAX(J$470:J2434))</f>
        <v>-0.8283551177402233</v>
      </c>
      <c r="V2434" s="564">
        <f>IF((K2434-MAX(K$470:K2434))/MAX(K$470:K2434)&gt;V2433,V2433,(K2434-MAX(K$470:K2434))/MAX(K$470:K2434))</f>
        <v>-0.84885940676762139</v>
      </c>
      <c r="W2434" s="564">
        <f>IF((N2434-MAX(N$470:N2434))/MAX(N$470:N2434)&gt;W2433,W2433,(N2434-MAX(N$470:N2434))/MAX(N$470:N2434))</f>
        <v>-0.62788758315546067</v>
      </c>
      <c r="X2434" s="564">
        <f>IF((O2434-MAX(O$470:O2434))/MAX(O$470:O2434)&gt;X2433,X2433,(O2434-MAX(O$470:O2434))/MAX(O$470:O2434))</f>
        <v>-0.62788758315546067</v>
      </c>
    </row>
    <row r="2435" spans="1:24">
      <c r="A2435" s="799">
        <v>42837</v>
      </c>
      <c r="B2435">
        <v>1200.97</v>
      </c>
      <c r="C2435">
        <v>4554.9879440000004</v>
      </c>
      <c r="D2435">
        <v>2.2462559999999998</v>
      </c>
      <c r="E2435">
        <f>LN(D2435/参数实验室!$E$53)/参数实验室!$E$55</f>
        <v>0.26176451477241619</v>
      </c>
      <c r="F2435">
        <f t="shared" si="318"/>
        <v>3.7927574743748806</v>
      </c>
      <c r="G2435">
        <f>LN(F2435/参数实验室!$E$58)/参数实验室!$E$59</f>
        <v>0.50914939433464079</v>
      </c>
      <c r="H2435" s="856">
        <f>INDEX(神经网络!$G$10:$BO$70,MATCH(ROUND(G2435*2,1)/2,神经网络!$E$10:$E$70,0),MATCH(ROUND(E2435*2,1)/2,神经网络!$G$8:$BO$8,0))</f>
        <v>1.7979234839107936</v>
      </c>
      <c r="I2435">
        <f t="shared" si="320"/>
        <v>2334.728020733166</v>
      </c>
      <c r="J2435">
        <f t="shared" si="321"/>
        <v>479.21870635648958</v>
      </c>
      <c r="K2435">
        <f t="shared" si="322"/>
        <v>4.8719467536736092</v>
      </c>
      <c r="L2435" s="4">
        <f>MIN(MAX(L2434*(1+MAX(MIN(((B2435-B2434)/B2434)/($K$7*卓尔金历!$N$40),0),-卓尔金历!$M$43))+MIN(MAX(((B2435-B2434)/B2434)/($K$7*卓尔金历!$N$40),0),卓尔金历!$M$43),0),1)</f>
        <v>1</v>
      </c>
      <c r="M2435" s="4">
        <f>MIN(MAX(M2434*(1+MAX(MIN(((B2435-B2434)/B2434)/($K$7*30),0),-卓尔金历!$M$43))+MIN(MAX(((B2435-B2434)/B2434)/($K$7*7),0),卓尔金历!$M$43),0),1)</f>
        <v>1</v>
      </c>
      <c r="N2435">
        <f t="shared" si="323"/>
        <v>2504.3490246141851</v>
      </c>
      <c r="O2435">
        <f t="shared" si="324"/>
        <v>5641.9009054944136</v>
      </c>
      <c r="P2435">
        <f t="shared" si="325"/>
        <v>3.6436265784174689E-3</v>
      </c>
      <c r="Q2435">
        <f t="shared" si="326"/>
        <v>2.7166307119485866E-2</v>
      </c>
      <c r="R2435">
        <f t="shared" si="327"/>
        <v>1</v>
      </c>
      <c r="S2435">
        <f t="shared" si="319"/>
        <v>37.503061399868102</v>
      </c>
      <c r="T2435" s="564">
        <f>IF((I2435-MAX(I$470:I2435))/MAX(I$470:I2435)&gt;T2434,T2434,(I2435-MAX(I$470:I2435))/MAX(I$470:I2435))</f>
        <v>-0.91338805338419748</v>
      </c>
      <c r="U2435" s="564">
        <f>IF((J2435-MAX(J$470:J2435))/MAX(J$470:J2435)&gt;U2434,U2434,(J2435-MAX(J$470:J2435))/MAX(J$470:J2435))</f>
        <v>-0.8283551177402233</v>
      </c>
      <c r="V2435" s="564">
        <f>IF((K2435-MAX(K$470:K2435))/MAX(K$470:K2435)&gt;V2434,V2434,(K2435-MAX(K$470:K2435))/MAX(K$470:K2435))</f>
        <v>-0.84885940676762139</v>
      </c>
      <c r="W2435" s="564">
        <f>IF((N2435-MAX(N$470:N2435))/MAX(N$470:N2435)&gt;W2434,W2434,(N2435-MAX(N$470:N2435))/MAX(N$470:N2435))</f>
        <v>-0.62788758315546067</v>
      </c>
      <c r="X2435" s="564">
        <f>IF((O2435-MAX(O$470:O2435))/MAX(O$470:O2435)&gt;X2434,X2434,(O2435-MAX(O$470:O2435))/MAX(O$470:O2435))</f>
        <v>-0.62788758315546067</v>
      </c>
    </row>
    <row r="2436" spans="1:24">
      <c r="A2436" s="799">
        <v>42838</v>
      </c>
      <c r="B2436">
        <v>1180.18</v>
      </c>
      <c r="C2436">
        <v>4645.1475540000001</v>
      </c>
      <c r="D2436">
        <v>2.165041</v>
      </c>
      <c r="E2436">
        <f>LN(D2436/参数实验室!$E$53)/参数实验室!$E$55</f>
        <v>0.21831947474712746</v>
      </c>
      <c r="F2436">
        <f t="shared" si="318"/>
        <v>3.9359653222389803</v>
      </c>
      <c r="G2436">
        <f>LN(F2436/参数实验室!$E$58)/参数实验室!$E$59</f>
        <v>0.52860198016532378</v>
      </c>
      <c r="H2436" s="856">
        <f>INDEX(神经网络!$G$10:$BO$70,MATCH(ROUND(G2436*2,1)/2,神经网络!$E$10:$E$70,0),MATCH(ROUND(E2436*2,1)/2,神经网络!$G$8:$BO$8,0))</f>
        <v>1.761300812776319</v>
      </c>
      <c r="I2436">
        <f t="shared" si="320"/>
        <v>2262.0622589017626</v>
      </c>
      <c r="J2436">
        <f t="shared" si="321"/>
        <v>470.92294800686267</v>
      </c>
      <c r="K2436">
        <f t="shared" si="322"/>
        <v>4.8034657654202872</v>
      </c>
      <c r="L2436" s="4">
        <f>MIN(MAX(L2435*(1+MAX(MIN(((B2436-B2435)/B2435)/($K$7*卓尔金历!$N$40),0),-卓尔金历!$M$43))+MIN(MAX(((B2436-B2435)/B2435)/($K$7*卓尔金历!$N$40),0),卓尔金历!$M$43),0),1)</f>
        <v>0.73550442614764133</v>
      </c>
      <c r="M2436" s="4">
        <f>MIN(MAX(M2435*(1+MAX(MIN(((B2436-B2435)/B2435)/($K$7*30),0),-卓尔金历!$M$43))+MIN(MAX(((B2436-B2435)/B2435)/($K$7*7),0),卓尔金历!$M$43),0),1)</f>
        <v>0.86775221307382067</v>
      </c>
      <c r="N2436">
        <f t="shared" si="323"/>
        <v>2426.4040014040829</v>
      </c>
      <c r="O2436">
        <f t="shared" si="324"/>
        <v>5466.3031382879808</v>
      </c>
      <c r="P2436">
        <f t="shared" si="325"/>
        <v>-1.7311006936059987E-2</v>
      </c>
      <c r="Q2436">
        <f t="shared" si="326"/>
        <v>2.7604240720993475E-2</v>
      </c>
      <c r="R2436">
        <f t="shared" si="327"/>
        <v>0.50646970799699664</v>
      </c>
      <c r="S2436">
        <f t="shared" si="319"/>
        <v>36.335821146000953</v>
      </c>
      <c r="T2436" s="564">
        <f>IF((I2436-MAX(I$470:I2436))/MAX(I$470:I2436)&gt;T2435,T2435,(I2436-MAX(I$470:I2436))/MAX(I$470:I2436))</f>
        <v>-0.91338805338419748</v>
      </c>
      <c r="U2436" s="564">
        <f>IF((J2436-MAX(J$470:J2436))/MAX(J$470:J2436)&gt;U2435,U2435,(J2436-MAX(J$470:J2436))/MAX(J$470:J2436))</f>
        <v>-0.8283551177402233</v>
      </c>
      <c r="V2436" s="564">
        <f>IF((K2436-MAX(K$470:K2436))/MAX(K$470:K2436)&gt;V2435,V2435,(K2436-MAX(K$470:K2436))/MAX(K$470:K2436))</f>
        <v>-0.84885940676762139</v>
      </c>
      <c r="W2436" s="564">
        <f>IF((N2436-MAX(N$470:N2436))/MAX(N$470:N2436)&gt;W2435,W2435,(N2436-MAX(N$470:N2436))/MAX(N$470:N2436))</f>
        <v>-0.62788758315546067</v>
      </c>
      <c r="X2436" s="564">
        <f>IF((O2436-MAX(O$470:O2436))/MAX(O$470:O2436)&gt;X2435,X2435,(O2436-MAX(O$470:O2436))/MAX(O$470:O2436))</f>
        <v>-0.62788758315546067</v>
      </c>
    </row>
    <row r="2437" spans="1:24">
      <c r="A2437" s="799">
        <v>42839</v>
      </c>
      <c r="B2437">
        <v>1167.97</v>
      </c>
      <c r="C2437">
        <v>4656.0473309999998</v>
      </c>
      <c r="D2437">
        <v>2.1652279999999999</v>
      </c>
      <c r="E2437">
        <f>LN(D2437/参数实验室!$E$53)/参数实验室!$E$55</f>
        <v>0.21842136858178743</v>
      </c>
      <c r="F2437">
        <f t="shared" ref="F2437:F2500" si="328">C2437/B2437</f>
        <v>3.9864442845278556</v>
      </c>
      <c r="G2437">
        <f>LN(F2437/参数实验室!$E$58)/参数实验室!$E$59</f>
        <v>0.53529046190476059</v>
      </c>
      <c r="H2437" s="856">
        <f>INDEX(神经网络!$G$10:$BO$70,MATCH(ROUND(G2437*2,1)/2,神经网络!$E$10:$E$70,0),MATCH(ROUND(E2437*2,1)/2,神经网络!$G$8:$BO$8,0))</f>
        <v>1.761300812776319</v>
      </c>
      <c r="I2437">
        <f t="shared" si="320"/>
        <v>2220.8424947286412</v>
      </c>
      <c r="J2437">
        <f t="shared" si="321"/>
        <v>466.05083596025645</v>
      </c>
      <c r="K2437">
        <f t="shared" si="322"/>
        <v>4.7652365865899418</v>
      </c>
      <c r="L2437" s="4">
        <f>MIN(MAX(L2436*(1+MAX(MIN(((B2437-B2436)/B2436)/($K$7*卓尔金历!$N$40),0),-卓尔金历!$M$43))+MIN(MAX(((B2437-B2436)/B2436)/($K$7*卓尔金历!$N$40),0),卓尔金历!$M$43),0),1)</f>
        <v>0.6192394833158561</v>
      </c>
      <c r="M2437" s="4">
        <f>MIN(MAX(M2436*(1+MAX(MIN(((B2437-B2436)/B2436)/($K$7*30),0),-卓尔金历!$M$43))+MIN(MAX(((B2437-B2436)/B2436)/($K$7*7),0),卓尔金历!$M$43),0),1)</f>
        <v>0.79916719994642793</v>
      </c>
      <c r="N2437">
        <f t="shared" si="323"/>
        <v>2393.8840900578653</v>
      </c>
      <c r="O2437">
        <f t="shared" si="324"/>
        <v>5379.8679880877462</v>
      </c>
      <c r="P2437">
        <f t="shared" si="325"/>
        <v>-1.0345879442119029E-2</v>
      </c>
      <c r="Q2437">
        <f t="shared" si="326"/>
        <v>2.2129044426399111E-2</v>
      </c>
      <c r="R2437">
        <f t="shared" si="327"/>
        <v>0.80889447242481394</v>
      </c>
      <c r="S2437">
        <f t="shared" si="319"/>
        <v>36.000478023924778</v>
      </c>
      <c r="T2437" s="564">
        <f>IF((I2437-MAX(I$470:I2437))/MAX(I$470:I2437)&gt;T2436,T2436,(I2437-MAX(I$470:I2437))/MAX(I$470:I2437))</f>
        <v>-0.91338805338419748</v>
      </c>
      <c r="U2437" s="564">
        <f>IF((J2437-MAX(J$470:J2437))/MAX(J$470:J2437)&gt;U2436,U2436,(J2437-MAX(J$470:J2437))/MAX(J$470:J2437))</f>
        <v>-0.8283551177402233</v>
      </c>
      <c r="V2437" s="564">
        <f>IF((K2437-MAX(K$470:K2437))/MAX(K$470:K2437)&gt;V2436,V2436,(K2437-MAX(K$470:K2437))/MAX(K$470:K2437))</f>
        <v>-0.84885940676762139</v>
      </c>
      <c r="W2437" s="564">
        <f>IF((N2437-MAX(N$470:N2437))/MAX(N$470:N2437)&gt;W2436,W2436,(N2437-MAX(N$470:N2437))/MAX(N$470:N2437))</f>
        <v>-0.62788758315546067</v>
      </c>
      <c r="X2437" s="564">
        <f>IF((O2437-MAX(O$470:O2437))/MAX(O$470:O2437)&gt;X2436,X2436,(O2437-MAX(O$470:O2437))/MAX(O$470:O2437))</f>
        <v>-0.62788758315546067</v>
      </c>
    </row>
    <row r="2438" spans="1:24">
      <c r="A2438" s="799">
        <v>42840</v>
      </c>
      <c r="B2438">
        <v>1186.3699999999999</v>
      </c>
      <c r="C2438">
        <v>4667.1047719999997</v>
      </c>
      <c r="D2438">
        <v>2.1659079999999999</v>
      </c>
      <c r="E2438">
        <f>LN(D2438/参数实验室!$E$53)/参数实验室!$E$55</f>
        <v>0.2187918174490098</v>
      </c>
      <c r="F2438">
        <f t="shared" si="328"/>
        <v>3.9339369437865086</v>
      </c>
      <c r="G2438">
        <f>LN(F2438/参数实验室!$E$58)/参数实验室!$E$59</f>
        <v>0.52833142975204894</v>
      </c>
      <c r="H2438" s="856">
        <f>INDEX(神经网络!$G$10:$BO$70,MATCH(ROUND(G2438*2,1)/2,神经网络!$E$10:$E$70,0),MATCH(ROUND(E2438*2,1)/2,神经网络!$G$8:$BO$8,0))</f>
        <v>1.761300812776319</v>
      </c>
      <c r="I2438">
        <f t="shared" si="320"/>
        <v>2282.4647274183953</v>
      </c>
      <c r="J2438">
        <f t="shared" si="321"/>
        <v>473.39292127209546</v>
      </c>
      <c r="K2438">
        <f t="shared" si="322"/>
        <v>4.8215016001612048</v>
      </c>
      <c r="L2438" s="4">
        <f>MIN(MAX(L2437*(1+MAX(MIN(((B2438-B2437)/B2437)/($K$7*卓尔金历!$N$40),0),-卓尔金历!$M$43))+MIN(MAX(((B2438-B2437)/B2437)/($K$7*卓尔金历!$N$40),0),卓尔金历!$M$43),0),1)</f>
        <v>0.85994287710241979</v>
      </c>
      <c r="M2438" s="4">
        <f>MIN(MAX(M2437*(1+MAX(MIN(((B2438-B2437)/B2437)/($K$7*30),0),-卓尔金历!$M$43))+MIN(MAX(((B2438-B2437)/B2437)/($K$7*7),0),卓尔金历!$M$43),0),1)</f>
        <v>1</v>
      </c>
      <c r="N2438">
        <f t="shared" si="323"/>
        <v>2435.0162417423062</v>
      </c>
      <c r="O2438">
        <f t="shared" si="324"/>
        <v>5499.1648282699443</v>
      </c>
      <c r="P2438">
        <f t="shared" si="325"/>
        <v>1.5753829293560506E-2</v>
      </c>
      <c r="Q2438">
        <f t="shared" si="326"/>
        <v>2.0185529490490208E-2</v>
      </c>
      <c r="R2438">
        <f t="shared" si="327"/>
        <v>0.27549696810240998</v>
      </c>
      <c r="S2438">
        <f t="shared" si="319"/>
        <v>36.80849373608266</v>
      </c>
      <c r="T2438" s="564">
        <f>IF((I2438-MAX(I$470:I2438))/MAX(I$470:I2438)&gt;T2437,T2437,(I2438-MAX(I$470:I2438))/MAX(I$470:I2438))</f>
        <v>-0.91338805338419748</v>
      </c>
      <c r="U2438" s="564">
        <f>IF((J2438-MAX(J$470:J2438))/MAX(J$470:J2438)&gt;U2437,U2437,(J2438-MAX(J$470:J2438))/MAX(J$470:J2438))</f>
        <v>-0.8283551177402233</v>
      </c>
      <c r="V2438" s="564">
        <f>IF((K2438-MAX(K$470:K2438))/MAX(K$470:K2438)&gt;V2437,V2437,(K2438-MAX(K$470:K2438))/MAX(K$470:K2438))</f>
        <v>-0.84885940676762139</v>
      </c>
      <c r="W2438" s="564">
        <f>IF((N2438-MAX(N$470:N2438))/MAX(N$470:N2438)&gt;W2437,W2437,(N2438-MAX(N$470:N2438))/MAX(N$470:N2438))</f>
        <v>-0.62788758315546067</v>
      </c>
      <c r="X2438" s="564">
        <f>IF((O2438-MAX(O$470:O2438))/MAX(O$470:O2438)&gt;X2437,X2437,(O2438-MAX(O$470:O2438))/MAX(O$470:O2438))</f>
        <v>-0.62788758315546067</v>
      </c>
    </row>
    <row r="2439" spans="1:24">
      <c r="A2439" s="799">
        <v>42841</v>
      </c>
      <c r="B2439">
        <v>1176.3599999999999</v>
      </c>
      <c r="C2439">
        <v>4693.8225220000004</v>
      </c>
      <c r="D2439">
        <v>2.1612520000000002</v>
      </c>
      <c r="E2439">
        <f>LN(D2439/参数实验室!$E$53)/参数实验室!$E$55</f>
        <v>0.21625300066212169</v>
      </c>
      <c r="F2439">
        <f t="shared" si="328"/>
        <v>3.990124215376246</v>
      </c>
      <c r="G2439">
        <f>LN(F2439/参数实验室!$E$58)/参数实验室!$E$59</f>
        <v>0.53577473699650913</v>
      </c>
      <c r="H2439" s="856">
        <f>INDEX(神经网络!$G$10:$BO$70,MATCH(ROUND(G2439*2,1)/2,神经网络!$E$10:$E$70,0),MATCH(ROUND(E2439*2,1)/2,神经网络!$G$8:$BO$8,0))</f>
        <v>1.761300812776319</v>
      </c>
      <c r="I2439">
        <f t="shared" si="320"/>
        <v>2248.5450641892608</v>
      </c>
      <c r="J2439">
        <f t="shared" si="321"/>
        <v>469.39866725190473</v>
      </c>
      <c r="K2439">
        <f t="shared" si="322"/>
        <v>4.7902672526817591</v>
      </c>
      <c r="L2439" s="4">
        <f>MIN(MAX(L2438*(1+MAX(MIN(((B2439-B2438)/B2438)/($K$7*卓尔金历!$N$40),0),-卓尔金历!$M$43))+MIN(MAX(((B2439-B2438)/B2438)/($K$7*卓尔金历!$N$40),0),卓尔金历!$M$43),0),1)</f>
        <v>0.7490816699021714</v>
      </c>
      <c r="M2439" s="4">
        <f>MIN(MAX(M2438*(1+MAX(MIN(((B2439-B2438)/B2438)/($K$7*30),0),-卓尔金历!$M$43))+MIN(MAX(((B2439-B2438)/B2438)/($K$7*7),0),卓尔金历!$M$43),0),1)</f>
        <v>0.93554152830837112</v>
      </c>
      <c r="N2439">
        <f t="shared" si="323"/>
        <v>2403.8977225207195</v>
      </c>
      <c r="O2439">
        <f t="shared" si="324"/>
        <v>5417.441848380834</v>
      </c>
      <c r="P2439">
        <f t="shared" si="325"/>
        <v>-8.4375026340854815E-3</v>
      </c>
      <c r="Q2439">
        <f t="shared" si="326"/>
        <v>1.8970449124920113E-2</v>
      </c>
      <c r="R2439">
        <f t="shared" si="327"/>
        <v>0.84673585739101076</v>
      </c>
      <c r="S2439">
        <f t="shared" si="319"/>
        <v>36.657794057368719</v>
      </c>
      <c r="T2439" s="564">
        <f>IF((I2439-MAX(I$470:I2439))/MAX(I$470:I2439)&gt;T2438,T2438,(I2439-MAX(I$470:I2439))/MAX(I$470:I2439))</f>
        <v>-0.91338805338419748</v>
      </c>
      <c r="U2439" s="564">
        <f>IF((J2439-MAX(J$470:J2439))/MAX(J$470:J2439)&gt;U2438,U2438,(J2439-MAX(J$470:J2439))/MAX(J$470:J2439))</f>
        <v>-0.8283551177402233</v>
      </c>
      <c r="V2439" s="564">
        <f>IF((K2439-MAX(K$470:K2439))/MAX(K$470:K2439)&gt;V2438,V2438,(K2439-MAX(K$470:K2439))/MAX(K$470:K2439))</f>
        <v>-0.84885940676762139</v>
      </c>
      <c r="W2439" s="564">
        <f>IF((N2439-MAX(N$470:N2439))/MAX(N$470:N2439)&gt;W2438,W2438,(N2439-MAX(N$470:N2439))/MAX(N$470:N2439))</f>
        <v>-0.62788758315546067</v>
      </c>
      <c r="X2439" s="564">
        <f>IF((O2439-MAX(O$470:O2439))/MAX(O$470:O2439)&gt;X2438,X2438,(O2439-MAX(O$470:O2439))/MAX(O$470:O2439))</f>
        <v>-0.62788758315546067</v>
      </c>
    </row>
    <row r="2440" spans="1:24">
      <c r="A2440" s="799">
        <v>42842</v>
      </c>
      <c r="B2440">
        <v>1173.51</v>
      </c>
      <c r="C2440">
        <v>4755.6366180000005</v>
      </c>
      <c r="D2440">
        <v>2.1876609999999999</v>
      </c>
      <c r="E2440">
        <f>LN(D2440/参数实验室!$E$53)/参数实验室!$E$55</f>
        <v>0.23058140244812392</v>
      </c>
      <c r="F2440">
        <f t="shared" si="328"/>
        <v>4.052489214408058</v>
      </c>
      <c r="G2440">
        <f>LN(F2440/参数实验室!$E$58)/参数实验室!$E$59</f>
        <v>0.54391467266822824</v>
      </c>
      <c r="H2440" s="856">
        <f>INDEX(神经网络!$G$10:$BO$70,MATCH(ROUND(G2440*2,1)/2,神经网络!$E$10:$E$70,0),MATCH(ROUND(E2440*2,1)/2,神经网络!$G$8:$BO$8,0))</f>
        <v>1.8353965793439475</v>
      </c>
      <c r="I2440">
        <f t="shared" si="320"/>
        <v>2238.950179876641</v>
      </c>
      <c r="J2440">
        <f t="shared" si="321"/>
        <v>468.26144208132104</v>
      </c>
      <c r="K2440">
        <f t="shared" si="322"/>
        <v>4.78141050846508</v>
      </c>
      <c r="L2440" s="4">
        <f>MIN(MAX(L2439*(1+MAX(MIN(((B2440-B2439)/B2439)/($K$7*卓尔金历!$N$40),0),-卓尔金历!$M$43))+MIN(MAX(((B2440-B2439)/B2439)/($K$7*卓尔金历!$N$40),0),卓尔金历!$M$43),0),1)</f>
        <v>0.72135294751516976</v>
      </c>
      <c r="M2440" s="4">
        <f>MIN(MAX(M2439*(1+MAX(MIN(((B2440-B2439)/B2439)/($K$7*30),0),-卓尔金历!$M$43))+MIN(MAX(((B2440-B2439)/B2439)/($K$7*7),0),卓尔金历!$M$43),0),1)</f>
        <v>0.91822607903074971</v>
      </c>
      <c r="N2440">
        <f t="shared" si="323"/>
        <v>2396.2137942370587</v>
      </c>
      <c r="O2440">
        <f t="shared" si="324"/>
        <v>5395.8148884560605</v>
      </c>
      <c r="P2440">
        <f t="shared" si="325"/>
        <v>-2.4227277364071453E-3</v>
      </c>
      <c r="Q2440">
        <f t="shared" si="326"/>
        <v>1.7987033428736816E-2</v>
      </c>
      <c r="R2440">
        <f t="shared" si="327"/>
        <v>1</v>
      </c>
      <c r="S2440">
        <f t="shared" si="319"/>
        <v>36.525343916224237</v>
      </c>
      <c r="T2440" s="564">
        <f>IF((I2440-MAX(I$470:I2440))/MAX(I$470:I2440)&gt;T2439,T2439,(I2440-MAX(I$470:I2440))/MAX(I$470:I2440))</f>
        <v>-0.91338805338419748</v>
      </c>
      <c r="U2440" s="564">
        <f>IF((J2440-MAX(J$470:J2440))/MAX(J$470:J2440)&gt;U2439,U2439,(J2440-MAX(J$470:J2440))/MAX(J$470:J2440))</f>
        <v>-0.8283551177402233</v>
      </c>
      <c r="V2440" s="564">
        <f>IF((K2440-MAX(K$470:K2440))/MAX(K$470:K2440)&gt;V2439,V2439,(K2440-MAX(K$470:K2440))/MAX(K$470:K2440))</f>
        <v>-0.84885940676762139</v>
      </c>
      <c r="W2440" s="564">
        <f>IF((N2440-MAX(N$470:N2440))/MAX(N$470:N2440)&gt;W2439,W2439,(N2440-MAX(N$470:N2440))/MAX(N$470:N2440))</f>
        <v>-0.62788758315546067</v>
      </c>
      <c r="X2440" s="564">
        <f>IF((O2440-MAX(O$470:O2440))/MAX(O$470:O2440)&gt;X2439,X2439,(O2440-MAX(O$470:O2440))/MAX(O$470:O2440))</f>
        <v>-0.62788758315546067</v>
      </c>
    </row>
    <row r="2441" spans="1:24">
      <c r="A2441" s="799">
        <v>42843</v>
      </c>
      <c r="B2441">
        <v>1212.9100000000001</v>
      </c>
      <c r="C2441">
        <v>4818.621161</v>
      </c>
      <c r="D2441">
        <v>2.201667</v>
      </c>
      <c r="E2441">
        <f>LN(D2441/参数实验室!$E$53)/参数实验室!$E$55</f>
        <v>0.23811042739976965</v>
      </c>
      <c r="F2441">
        <f t="shared" si="328"/>
        <v>3.972777173079618</v>
      </c>
      <c r="G2441">
        <f>LN(F2441/参数实验室!$E$58)/参数实验室!$E$59</f>
        <v>0.53348796255495545</v>
      </c>
      <c r="H2441" s="856">
        <f>INDEX(神经网络!$G$10:$BO$70,MATCH(ROUND(G2441*2,1)/2,神经网络!$E$10:$E$70,0),MATCH(ROUND(E2441*2,1)/2,神经网络!$G$8:$BO$8,0))</f>
        <v>1.8353965793439475</v>
      </c>
      <c r="I2441">
        <f t="shared" si="320"/>
        <v>2376.9198973548082</v>
      </c>
      <c r="J2441">
        <f t="shared" si="321"/>
        <v>483.98308128167218</v>
      </c>
      <c r="K2441">
        <f t="shared" si="322"/>
        <v>4.9111631982264896</v>
      </c>
      <c r="L2441" s="4">
        <f>MIN(MAX(L2440*(1+MAX(MIN(((B2441-B2440)/B2440)/($K$7*卓尔金历!$N$40),0),-卓尔金历!$M$43))+MIN(MAX(((B2441-B2440)/B2440)/($K$7*卓尔金历!$N$40),0),卓尔金历!$M$43),0),1)</f>
        <v>1</v>
      </c>
      <c r="M2441" s="4">
        <f>MIN(MAX(M2440*(1+MAX(MIN(((B2441-B2440)/B2440)/($K$7*30),0),-卓尔金历!$M$43))+MIN(MAX(((B2441-B2440)/B2440)/($K$7*7),0),卓尔金历!$M$43),0),1)</f>
        <v>1</v>
      </c>
      <c r="N2441">
        <f t="shared" si="323"/>
        <v>2502.7292719934162</v>
      </c>
      <c r="O2441">
        <f t="shared" si="324"/>
        <v>5701.1283902396308</v>
      </c>
      <c r="P2441">
        <f t="shared" si="325"/>
        <v>3.3574490204599954E-2</v>
      </c>
      <c r="Q2441">
        <f t="shared" si="326"/>
        <v>1.8162265375222354E-2</v>
      </c>
      <c r="R2441">
        <f t="shared" si="327"/>
        <v>6.9354322950439598E-3</v>
      </c>
      <c r="S2441">
        <f t="shared" si="319"/>
        <v>38.776127085143166</v>
      </c>
      <c r="T2441" s="564">
        <f>IF((I2441-MAX(I$470:I2441))/MAX(I$470:I2441)&gt;T2440,T2440,(I2441-MAX(I$470:I2441))/MAX(I$470:I2441))</f>
        <v>-0.91338805338419748</v>
      </c>
      <c r="U2441" s="564">
        <f>IF((J2441-MAX(J$470:J2441))/MAX(J$470:J2441)&gt;U2440,U2440,(J2441-MAX(J$470:J2441))/MAX(J$470:J2441))</f>
        <v>-0.8283551177402233</v>
      </c>
      <c r="V2441" s="564">
        <f>IF((K2441-MAX(K$470:K2441))/MAX(K$470:K2441)&gt;V2440,V2440,(K2441-MAX(K$470:K2441))/MAX(K$470:K2441))</f>
        <v>-0.84885940676762139</v>
      </c>
      <c r="W2441" s="564">
        <f>IF((N2441-MAX(N$470:N2441))/MAX(N$470:N2441)&gt;W2440,W2440,(N2441-MAX(N$470:N2441))/MAX(N$470:N2441))</f>
        <v>-0.62788758315546067</v>
      </c>
      <c r="X2441" s="564">
        <f>IF((O2441-MAX(O$470:O2441))/MAX(O$470:O2441)&gt;X2440,X2440,(O2441-MAX(O$470:O2441))/MAX(O$470:O2441))</f>
        <v>-0.62788758315546067</v>
      </c>
    </row>
    <row r="2442" spans="1:24">
      <c r="A2442" s="799">
        <v>42844</v>
      </c>
      <c r="B2442">
        <v>1208.33</v>
      </c>
      <c r="C2442">
        <v>4797.6056509999999</v>
      </c>
      <c r="D2442">
        <v>2.211344</v>
      </c>
      <c r="E2442">
        <f>LN(D2442/参数实验室!$E$53)/参数实验室!$E$55</f>
        <v>0.24328444144177036</v>
      </c>
      <c r="F2442">
        <f t="shared" si="328"/>
        <v>3.9704432158433542</v>
      </c>
      <c r="G2442">
        <f>LN(F2442/参数实验室!$E$58)/参数实验室!$E$59</f>
        <v>0.53317952671480318</v>
      </c>
      <c r="H2442" s="856">
        <f>INDEX(神经网络!$G$10:$BO$70,MATCH(ROUND(G2442*2,1)/2,神经网络!$E$10:$E$70,0),MATCH(ROUND(E2442*2,1)/2,神经网络!$G$8:$BO$8,0))</f>
        <v>1.8353965793439475</v>
      </c>
      <c r="I2442">
        <f t="shared" si="320"/>
        <v>2360.4465686063213</v>
      </c>
      <c r="J2442">
        <f t="shared" si="321"/>
        <v>482.15554048122522</v>
      </c>
      <c r="K2442">
        <f t="shared" si="322"/>
        <v>4.8956122463104528</v>
      </c>
      <c r="L2442" s="4">
        <f>MIN(MAX(L2441*(1+MAX(MIN(((B2442-B2441)/B2441)/($K$7*卓尔金历!$N$40),0),-卓尔金历!$M$43))+MIN(MAX(((B2442-B2441)/B2441)/($K$7*卓尔金历!$N$40),0),卓尔金历!$M$43),0),1)</f>
        <v>0.94230569052708746</v>
      </c>
      <c r="M2442" s="4">
        <f>MIN(MAX(M2441*(1+MAX(MIN(((B2442-B2441)/B2441)/($K$7*30),0),-卓尔金历!$M$43))+MIN(MAX(((B2442-B2441)/B2441)/($K$7*7),0),卓尔金历!$M$43),0),1)</f>
        <v>0.97115284526354373</v>
      </c>
      <c r="N2442">
        <f t="shared" si="323"/>
        <v>2485.3840168538172</v>
      </c>
      <c r="O2442">
        <f t="shared" si="324"/>
        <v>5661.616515096398</v>
      </c>
      <c r="P2442">
        <f t="shared" si="325"/>
        <v>-3.7760427401869506E-3</v>
      </c>
      <c r="Q2442">
        <f t="shared" si="326"/>
        <v>1.7555380730868181E-2</v>
      </c>
      <c r="R2442">
        <f t="shared" si="327"/>
        <v>1</v>
      </c>
      <c r="S2442">
        <f t="shared" si="319"/>
        <v>38.774263261632107</v>
      </c>
      <c r="T2442" s="564">
        <f>IF((I2442-MAX(I$470:I2442))/MAX(I$470:I2442)&gt;T2441,T2441,(I2442-MAX(I$470:I2442))/MAX(I$470:I2442))</f>
        <v>-0.91338805338419748</v>
      </c>
      <c r="U2442" s="564">
        <f>IF((J2442-MAX(J$470:J2442))/MAX(J$470:J2442)&gt;U2441,U2441,(J2442-MAX(J$470:J2442))/MAX(J$470:J2442))</f>
        <v>-0.8283551177402233</v>
      </c>
      <c r="V2442" s="564">
        <f>IF((K2442-MAX(K$470:K2442))/MAX(K$470:K2442)&gt;V2441,V2441,(K2442-MAX(K$470:K2442))/MAX(K$470:K2442))</f>
        <v>-0.84885940676762139</v>
      </c>
      <c r="W2442" s="564">
        <f>IF((N2442-MAX(N$470:N2442))/MAX(N$470:N2442)&gt;W2441,W2441,(N2442-MAX(N$470:N2442))/MAX(N$470:N2442))</f>
        <v>-0.62788758315546067</v>
      </c>
      <c r="X2442" s="564">
        <f>IF((O2442-MAX(O$470:O2442))/MAX(O$470:O2442)&gt;X2441,X2441,(O2442-MAX(O$470:O2442))/MAX(O$470:O2442))</f>
        <v>-0.62788758315546067</v>
      </c>
    </row>
    <row r="2443" spans="1:24">
      <c r="A2443" s="799">
        <v>42845</v>
      </c>
      <c r="B2443">
        <v>1218.04</v>
      </c>
      <c r="C2443">
        <v>4812.192505</v>
      </c>
      <c r="D2443">
        <v>2.2527659999999998</v>
      </c>
      <c r="E2443">
        <f>LN(D2443/参数实验室!$E$53)/参数实验室!$E$55</f>
        <v>0.26517867855219429</v>
      </c>
      <c r="F2443">
        <f t="shared" si="328"/>
        <v>3.9507672202883324</v>
      </c>
      <c r="G2443">
        <f>LN(F2443/参数实验室!$E$58)/参数实验室!$E$59</f>
        <v>0.53057208505129561</v>
      </c>
      <c r="H2443" s="856">
        <f>INDEX(神经网络!$G$10:$BO$70,MATCH(ROUND(G2443*2,1)/2,神经网络!$E$10:$E$70,0),MATCH(ROUND(E2443*2,1)/2,神经网络!$G$8:$BO$8,0))</f>
        <v>1.8353965793439475</v>
      </c>
      <c r="I2443">
        <f t="shared" si="320"/>
        <v>2395.2608763415392</v>
      </c>
      <c r="J2443">
        <f t="shared" si="321"/>
        <v>486.03008658872295</v>
      </c>
      <c r="K2443">
        <f t="shared" si="322"/>
        <v>4.9282152328326969</v>
      </c>
      <c r="L2443" s="4">
        <f>MIN(MAX(L2442*(1+MAX(MIN(((B2443-B2442)/B2442)/($K$7*卓尔金历!$N$40),0),-卓尔金历!$M$43))+MIN(MAX(((B2443-B2442)/B2442)/($K$7*卓尔金历!$N$40),0),卓尔金历!$M$43),0),1)</f>
        <v>1</v>
      </c>
      <c r="M2443" s="4">
        <f>MIN(MAX(M2442*(1+MAX(MIN(((B2443-B2442)/B2442)/($K$7*30),0),-卓尔金历!$M$43))+MIN(MAX(((B2443-B2442)/B2442)/($K$7*7),0),卓尔金历!$M$43),0),1)</f>
        <v>1</v>
      </c>
      <c r="N2443">
        <f t="shared" si="323"/>
        <v>2519.9261301793977</v>
      </c>
      <c r="O2443">
        <f t="shared" si="324"/>
        <v>5742.7110572297152</v>
      </c>
      <c r="P2443">
        <f t="shared" si="325"/>
        <v>8.0358842369220636E-3</v>
      </c>
      <c r="Q2443">
        <f t="shared" si="326"/>
        <v>1.6307978253895867E-2</v>
      </c>
      <c r="R2443">
        <f t="shared" si="327"/>
        <v>0.73771739062904418</v>
      </c>
      <c r="S2443">
        <f t="shared" si="319"/>
        <v>39.34614620588102</v>
      </c>
      <c r="T2443" s="564">
        <f>IF((I2443-MAX(I$470:I2443))/MAX(I$470:I2443)&gt;T2442,T2442,(I2443-MAX(I$470:I2443))/MAX(I$470:I2443))</f>
        <v>-0.91338805338419748</v>
      </c>
      <c r="U2443" s="564">
        <f>IF((J2443-MAX(J$470:J2443))/MAX(J$470:J2443)&gt;U2442,U2442,(J2443-MAX(J$470:J2443))/MAX(J$470:J2443))</f>
        <v>-0.8283551177402233</v>
      </c>
      <c r="V2443" s="564">
        <f>IF((K2443-MAX(K$470:K2443))/MAX(K$470:K2443)&gt;V2442,V2442,(K2443-MAX(K$470:K2443))/MAX(K$470:K2443))</f>
        <v>-0.84885940676762139</v>
      </c>
      <c r="W2443" s="564">
        <f>IF((N2443-MAX(N$470:N2443))/MAX(N$470:N2443)&gt;W2442,W2442,(N2443-MAX(N$470:N2443))/MAX(N$470:N2443))</f>
        <v>-0.62788758315546067</v>
      </c>
      <c r="X2443" s="564">
        <f>IF((O2443-MAX(O$470:O2443))/MAX(O$470:O2443)&gt;X2442,X2442,(O2443-MAX(O$470:O2443))/MAX(O$470:O2443))</f>
        <v>-0.62788758315546067</v>
      </c>
    </row>
    <row r="2444" spans="1:24">
      <c r="A2444" s="799">
        <v>42846</v>
      </c>
      <c r="B2444">
        <v>1222.57</v>
      </c>
      <c r="C2444">
        <v>4788.2761129999999</v>
      </c>
      <c r="D2444">
        <v>2.2694049999999999</v>
      </c>
      <c r="E2444">
        <f>LN(D2444/参数实验室!$E$53)/参数实验室!$E$55</f>
        <v>0.27386035061264991</v>
      </c>
      <c r="F2444">
        <f t="shared" si="328"/>
        <v>3.9165660150339039</v>
      </c>
      <c r="G2444">
        <f>LN(F2444/参数实验室!$E$58)/参数实验室!$E$59</f>
        <v>0.52600872071917271</v>
      </c>
      <c r="H2444" s="856">
        <f>INDEX(神经网络!$G$10:$BO$70,MATCH(ROUND(G2444*2,1)/2,神经网络!$E$10:$E$70,0),MATCH(ROUND(E2444*2,1)/2,神经网络!$G$8:$BO$8,0))</f>
        <v>1.8353965793439475</v>
      </c>
      <c r="I2444">
        <f t="shared" si="320"/>
        <v>2411.6109378291776</v>
      </c>
      <c r="J2444">
        <f t="shared" si="321"/>
        <v>487.83767607038766</v>
      </c>
      <c r="K2444">
        <f t="shared" si="322"/>
        <v>4.9434700436733348</v>
      </c>
      <c r="L2444" s="4">
        <f>MIN(MAX(L2443*(1+MAX(MIN(((B2444-B2443)/B2443)/($K$7*卓尔金历!$N$40),0),-卓尔金历!$M$43))+MIN(MAX(((B2444-B2443)/B2443)/($K$7*卓尔金历!$N$40),0),卓尔金历!$M$43),0),1)</f>
        <v>1</v>
      </c>
      <c r="M2444" s="4">
        <f>MIN(MAX(M2443*(1+MAX(MIN(((B2444-B2443)/B2443)/($K$7*30),0),-卓尔金历!$M$43))+MIN(MAX(((B2444-B2443)/B2443)/($K$7*7),0),卓尔金历!$M$43),0),1)</f>
        <v>1</v>
      </c>
      <c r="N2444">
        <f t="shared" si="323"/>
        <v>2537.1271572490127</v>
      </c>
      <c r="O2444">
        <f t="shared" si="324"/>
        <v>5781.9108286695837</v>
      </c>
      <c r="P2444">
        <f t="shared" si="325"/>
        <v>3.7190896850677916E-3</v>
      </c>
      <c r="Q2444">
        <f t="shared" si="326"/>
        <v>1.6144365898584347E-2</v>
      </c>
      <c r="R2444">
        <f t="shared" si="327"/>
        <v>1</v>
      </c>
      <c r="S2444">
        <f t="shared" si="319"/>
        <v>39.54428010775451</v>
      </c>
      <c r="T2444" s="564">
        <f>IF((I2444-MAX(I$470:I2444))/MAX(I$470:I2444)&gt;T2443,T2443,(I2444-MAX(I$470:I2444))/MAX(I$470:I2444))</f>
        <v>-0.91338805338419748</v>
      </c>
      <c r="U2444" s="564">
        <f>IF((J2444-MAX(J$470:J2444))/MAX(J$470:J2444)&gt;U2443,U2443,(J2444-MAX(J$470:J2444))/MAX(J$470:J2444))</f>
        <v>-0.8283551177402233</v>
      </c>
      <c r="V2444" s="564">
        <f>IF((K2444-MAX(K$470:K2444))/MAX(K$470:K2444)&gt;V2443,V2443,(K2444-MAX(K$470:K2444))/MAX(K$470:K2444))</f>
        <v>-0.84885940676762139</v>
      </c>
      <c r="W2444" s="564">
        <f>IF((N2444-MAX(N$470:N2444))/MAX(N$470:N2444)&gt;W2443,W2443,(N2444-MAX(N$470:N2444))/MAX(N$470:N2444))</f>
        <v>-0.62788758315546067</v>
      </c>
      <c r="X2444" s="564">
        <f>IF((O2444-MAX(O$470:O2444))/MAX(O$470:O2444)&gt;X2443,X2443,(O2444-MAX(O$470:O2444))/MAX(O$470:O2444))</f>
        <v>-0.62788758315546067</v>
      </c>
    </row>
    <row r="2445" spans="1:24">
      <c r="A2445" s="799">
        <v>42847</v>
      </c>
      <c r="B2445">
        <v>1208.47</v>
      </c>
      <c r="C2445">
        <v>4799.6692919999996</v>
      </c>
      <c r="D2445">
        <v>2.2601640000000001</v>
      </c>
      <c r="E2445">
        <f>LN(D2445/参数实验室!$E$53)/参数实验室!$E$55</f>
        <v>0.26904659687440186</v>
      </c>
      <c r="F2445">
        <f t="shared" si="328"/>
        <v>3.9716908917887905</v>
      </c>
      <c r="G2445">
        <f>LN(F2445/参数实验室!$E$58)/参数实验室!$E$59</f>
        <v>0.53334443145222776</v>
      </c>
      <c r="H2445" s="856">
        <f>INDEX(神经网络!$G$10:$BO$70,MATCH(ROUND(G2445*2,1)/2,神经网络!$E$10:$E$70,0),MATCH(ROUND(E2445*2,1)/2,神经网络!$G$8:$BO$8,0))</f>
        <v>1.8353965793439475</v>
      </c>
      <c r="I2445">
        <f t="shared" si="320"/>
        <v>2360.5624900751827</v>
      </c>
      <c r="J2445">
        <f t="shared" si="321"/>
        <v>482.21140417381537</v>
      </c>
      <c r="K2445">
        <f t="shared" si="322"/>
        <v>4.8952854902293161</v>
      </c>
      <c r="L2445" s="4">
        <f>MIN(MAX(L2444*(1+MAX(MIN(((B2445-B2444)/B2444)/($K$7*卓尔金历!$N$40),0),-卓尔金历!$M$43))+MIN(MAX(((B2445-B2444)/B2444)/($K$7*卓尔金历!$N$40),0),卓尔金历!$M$43),0),1)</f>
        <v>0.82378557526995899</v>
      </c>
      <c r="M2445" s="4">
        <f>MIN(MAX(M2444*(1+MAX(MIN(((B2445-B2444)/B2444)/($K$7*30),0),-卓尔金历!$M$43))+MIN(MAX(((B2445-B2444)/B2444)/($K$7*7),0),卓尔金历!$M$43),0),1)</f>
        <v>0.9118927876349795</v>
      </c>
      <c r="N2445">
        <f t="shared" si="323"/>
        <v>2483.4218098812271</v>
      </c>
      <c r="O2445">
        <f t="shared" si="324"/>
        <v>5659.5206171202517</v>
      </c>
      <c r="P2445">
        <f t="shared" si="325"/>
        <v>-1.15330819503177E-2</v>
      </c>
      <c r="Q2445">
        <f t="shared" si="326"/>
        <v>1.4820967644851392E-2</v>
      </c>
      <c r="R2445">
        <f t="shared" si="327"/>
        <v>0.27101706322367958</v>
      </c>
      <c r="S2445">
        <f t="shared" si="319"/>
        <v>38.707215519356531</v>
      </c>
      <c r="T2445" s="564">
        <f>IF((I2445-MAX(I$470:I2445))/MAX(I$470:I2445)&gt;T2444,T2444,(I2445-MAX(I$470:I2445))/MAX(I$470:I2445))</f>
        <v>-0.91338805338419748</v>
      </c>
      <c r="U2445" s="564">
        <f>IF((J2445-MAX(J$470:J2445))/MAX(J$470:J2445)&gt;U2444,U2444,(J2445-MAX(J$470:J2445))/MAX(J$470:J2445))</f>
        <v>-0.8283551177402233</v>
      </c>
      <c r="V2445" s="564">
        <f>IF((K2445-MAX(K$470:K2445))/MAX(K$470:K2445)&gt;V2444,V2444,(K2445-MAX(K$470:K2445))/MAX(K$470:K2445))</f>
        <v>-0.84885940676762139</v>
      </c>
      <c r="W2445" s="564">
        <f>IF((N2445-MAX(N$470:N2445))/MAX(N$470:N2445)&gt;W2444,W2444,(N2445-MAX(N$470:N2445))/MAX(N$470:N2445))</f>
        <v>-0.62788758315546067</v>
      </c>
      <c r="X2445" s="564">
        <f>IF((O2445-MAX(O$470:O2445))/MAX(O$470:O2445)&gt;X2444,X2444,(O2445-MAX(O$470:O2445))/MAX(O$470:O2445))</f>
        <v>-0.62788758315546067</v>
      </c>
    </row>
    <row r="2446" spans="1:24">
      <c r="A2446" s="799">
        <v>42848</v>
      </c>
      <c r="B2446">
        <v>1219.07</v>
      </c>
      <c r="C2446">
        <v>4876.662652</v>
      </c>
      <c r="D2446">
        <v>2.2687490000000001</v>
      </c>
      <c r="E2446">
        <f>LN(D2446/参数实验室!$E$53)/参数实验室!$E$55</f>
        <v>0.27351927883172933</v>
      </c>
      <c r="F2446">
        <f t="shared" si="328"/>
        <v>4.0003138884559544</v>
      </c>
      <c r="G2446">
        <f>LN(F2446/参数实验室!$E$58)/参数实验室!$E$59</f>
        <v>0.53711336047200053</v>
      </c>
      <c r="H2446" s="856">
        <f>INDEX(神经网络!$G$10:$BO$70,MATCH(ROUND(G2446*2,1)/2,神经网络!$E$10:$E$70,0),MATCH(ROUND(E2446*2,1)/2,神经网络!$G$8:$BO$8,0))</f>
        <v>1.8353965793439475</v>
      </c>
      <c r="I2446">
        <f t="shared" si="320"/>
        <v>2398.5652739158099</v>
      </c>
      <c r="J2446">
        <f t="shared" si="321"/>
        <v>486.4410837556357</v>
      </c>
      <c r="K2446">
        <f t="shared" si="322"/>
        <v>4.9308443591921858</v>
      </c>
      <c r="L2446" s="4">
        <f>MIN(MAX(L2445*(1+MAX(MIN(((B2446-B2445)/B2445)/($K$7*卓尔金历!$N$40),0),-卓尔金历!$M$43))+MIN(MAX(((B2446-B2445)/B2445)/($K$7*卓尔金历!$N$40),0),卓尔金历!$M$43),0),1)</f>
        <v>0.95780448177235367</v>
      </c>
      <c r="M2446" s="4">
        <f>MIN(MAX(M2445*(1+MAX(MIN(((B2446-B2445)/B2445)/($K$7*30),0),-卓尔金历!$M$43))+MIN(MAX(((B2446-B2445)/B2445)/($K$7*7),0),卓尔金历!$M$43),0),1)</f>
        <v>1</v>
      </c>
      <c r="N2446">
        <f t="shared" si="323"/>
        <v>2516.3573343465855</v>
      </c>
      <c r="O2446">
        <f t="shared" si="324"/>
        <v>5742.6057534407119</v>
      </c>
      <c r="P2446">
        <f t="shared" si="325"/>
        <v>8.7714217150611177E-3</v>
      </c>
      <c r="Q2446">
        <f t="shared" si="326"/>
        <v>1.4807523718797943E-2</v>
      </c>
      <c r="R2446">
        <f t="shared" si="327"/>
        <v>0.54621827391663336</v>
      </c>
      <c r="S2446">
        <f t="shared" si="319"/>
        <v>38.876099507099838</v>
      </c>
      <c r="T2446" s="564">
        <f>IF((I2446-MAX(I$470:I2446))/MAX(I$470:I2446)&gt;T2445,T2445,(I2446-MAX(I$470:I2446))/MAX(I$470:I2446))</f>
        <v>-0.91338805338419748</v>
      </c>
      <c r="U2446" s="564">
        <f>IF((J2446-MAX(J$470:J2446))/MAX(J$470:J2446)&gt;U2445,U2445,(J2446-MAX(J$470:J2446))/MAX(J$470:J2446))</f>
        <v>-0.8283551177402233</v>
      </c>
      <c r="V2446" s="564">
        <f>IF((K2446-MAX(K$470:K2446))/MAX(K$470:K2446)&gt;V2445,V2445,(K2446-MAX(K$470:K2446))/MAX(K$470:K2446))</f>
        <v>-0.84885940676762139</v>
      </c>
      <c r="W2446" s="564">
        <f>IF((N2446-MAX(N$470:N2446))/MAX(N$470:N2446)&gt;W2445,W2445,(N2446-MAX(N$470:N2446))/MAX(N$470:N2446))</f>
        <v>-0.62788758315546067</v>
      </c>
      <c r="X2446" s="564">
        <f>IF((O2446-MAX(O$470:O2446))/MAX(O$470:O2446)&gt;X2445,X2445,(O2446-MAX(O$470:O2446))/MAX(O$470:O2446))</f>
        <v>-0.62788758315546067</v>
      </c>
    </row>
    <row r="2447" spans="1:24">
      <c r="A2447" s="799">
        <v>42849</v>
      </c>
      <c r="B2447">
        <v>1223.75</v>
      </c>
      <c r="C2447">
        <v>4908.0052050000004</v>
      </c>
      <c r="D2447">
        <v>2.275706</v>
      </c>
      <c r="E2447">
        <f>LN(D2447/参数实验室!$E$53)/参数实验室!$E$55</f>
        <v>0.27713139501728329</v>
      </c>
      <c r="F2447">
        <f t="shared" si="328"/>
        <v>4.0106273381001021</v>
      </c>
      <c r="G2447">
        <f>LN(F2447/参数实验室!$E$58)/参数实验室!$E$59</f>
        <v>0.53846477688647487</v>
      </c>
      <c r="H2447" s="856">
        <f>INDEX(神经网络!$G$10:$BO$70,MATCH(ROUND(G2447*2,1)/2,神经网络!$E$10:$E$70,0),MATCH(ROUND(E2447*2,1)/2,神经网络!$G$8:$BO$8,0))</f>
        <v>1.9024821763704294</v>
      </c>
      <c r="I2447">
        <f t="shared" si="320"/>
        <v>2415.4657394966925</v>
      </c>
      <c r="J2447">
        <f t="shared" si="321"/>
        <v>488.30852719364702</v>
      </c>
      <c r="K2447">
        <f t="shared" si="322"/>
        <v>4.9465974992871642</v>
      </c>
      <c r="L2447" s="4">
        <f>MIN(MAX(L2446*(1+MAX(MIN(((B2447-B2446)/B2446)/($K$7*卓尔金历!$N$40),0),-卓尔金历!$M$43))+MIN(MAX(((B2447-B2446)/B2446)/($K$7*卓尔金历!$N$40),0),卓尔金历!$M$43),0),1)</f>
        <v>1</v>
      </c>
      <c r="M2447" s="4">
        <f>MIN(MAX(M2446*(1+MAX(MIN(((B2447-B2446)/B2446)/($K$7*30),0),-卓尔金历!$M$43))+MIN(MAX(((B2447-B2446)/B2446)/($K$7*7),0),卓尔金历!$M$43),0),1)</f>
        <v>1</v>
      </c>
      <c r="N2447">
        <f t="shared" si="323"/>
        <v>2533.3396263844511</v>
      </c>
      <c r="O2447">
        <f t="shared" si="324"/>
        <v>5783.0685717496581</v>
      </c>
      <c r="P2447">
        <f t="shared" si="325"/>
        <v>3.8389920185059627E-3</v>
      </c>
      <c r="Q2447">
        <f t="shared" si="326"/>
        <v>1.2467332800057435E-2</v>
      </c>
      <c r="R2447">
        <f t="shared" si="327"/>
        <v>1</v>
      </c>
      <c r="S2447">
        <f t="shared" si="319"/>
        <v>39.025721707637366</v>
      </c>
      <c r="T2447" s="564">
        <f>IF((I2447-MAX(I$470:I2447))/MAX(I$470:I2447)&gt;T2446,T2446,(I2447-MAX(I$470:I2447))/MAX(I$470:I2447))</f>
        <v>-0.91338805338419748</v>
      </c>
      <c r="U2447" s="564">
        <f>IF((J2447-MAX(J$470:J2447))/MAX(J$470:J2447)&gt;U2446,U2446,(J2447-MAX(J$470:J2447))/MAX(J$470:J2447))</f>
        <v>-0.8283551177402233</v>
      </c>
      <c r="V2447" s="564">
        <f>IF((K2447-MAX(K$470:K2447))/MAX(K$470:K2447)&gt;V2446,V2446,(K2447-MAX(K$470:K2447))/MAX(K$470:K2447))</f>
        <v>-0.84885940676762139</v>
      </c>
      <c r="W2447" s="564">
        <f>IF((N2447-MAX(N$470:N2447))/MAX(N$470:N2447)&gt;W2446,W2446,(N2447-MAX(N$470:N2447))/MAX(N$470:N2447))</f>
        <v>-0.62788758315546067</v>
      </c>
      <c r="X2447" s="564">
        <f>IF((O2447-MAX(O$470:O2447))/MAX(O$470:O2447)&gt;X2446,X2446,(O2447-MAX(O$470:O2447))/MAX(O$470:O2447))</f>
        <v>-0.62788758315546067</v>
      </c>
    </row>
    <row r="2448" spans="1:24">
      <c r="A2448" s="799">
        <v>42850</v>
      </c>
      <c r="B2448">
        <v>1257.93</v>
      </c>
      <c r="C2448">
        <v>4970.2624290000003</v>
      </c>
      <c r="D2448">
        <v>2.3093689999999998</v>
      </c>
      <c r="E2448">
        <f>LN(D2448/参数实验室!$E$53)/参数实验室!$E$55</f>
        <v>0.29445488352864563</v>
      </c>
      <c r="F2448">
        <f t="shared" si="328"/>
        <v>3.951143886384775</v>
      </c>
      <c r="G2448">
        <f>LN(F2448/参数实验室!$E$58)/参数实验室!$E$59</f>
        <v>0.53062212224384087</v>
      </c>
      <c r="H2448" s="856">
        <f>INDEX(神经网络!$G$10:$BO$70,MATCH(ROUND(G2448*2,1)/2,神经网络!$E$10:$E$70,0),MATCH(ROUND(E2448*2,1)/2,神经网络!$G$8:$BO$8,0))</f>
        <v>1.9024821763704294</v>
      </c>
      <c r="I2448">
        <f t="shared" si="320"/>
        <v>2543.8172051326023</v>
      </c>
      <c r="J2448">
        <f t="shared" si="321"/>
        <v>501.94724871313946</v>
      </c>
      <c r="K2448">
        <f t="shared" si="322"/>
        <v>5.0678974965084072</v>
      </c>
      <c r="L2448" s="4">
        <f>MIN(MAX(L2447*(1+MAX(MIN(((B2448-B2447)/B2447)/($K$7*卓尔金历!$N$40),0),-卓尔金历!$M$43))+MIN(MAX(((B2448-B2447)/B2447)/($K$7*卓尔金历!$N$40),0),卓尔金历!$M$43),0),1)</f>
        <v>1</v>
      </c>
      <c r="M2448" s="4">
        <f>MIN(MAX(M2447*(1+MAX(MIN(((B2448-B2447)/B2447)/($K$7*30),0),-卓尔金历!$M$43))+MIN(MAX(((B2448-B2447)/B2447)/($K$7*7),0),卓尔金历!$M$43),0),1)</f>
        <v>1</v>
      </c>
      <c r="N2448">
        <f t="shared" si="323"/>
        <v>2667.9545988442655</v>
      </c>
      <c r="O2448">
        <f t="shared" si="324"/>
        <v>6090.3655517563793</v>
      </c>
      <c r="P2448">
        <f t="shared" si="325"/>
        <v>2.7930541368743667E-2</v>
      </c>
      <c r="Q2448">
        <f t="shared" si="326"/>
        <v>1.3473564015761523E-2</v>
      </c>
      <c r="R2448">
        <f t="shared" si="327"/>
        <v>3.3787566737314674E-3</v>
      </c>
      <c r="S2448">
        <f t="shared" si="319"/>
        <v>41.099445419288152</v>
      </c>
      <c r="T2448" s="564">
        <f>IF((I2448-MAX(I$470:I2448))/MAX(I$470:I2448)&gt;T2447,T2447,(I2448-MAX(I$470:I2448))/MAX(I$470:I2448))</f>
        <v>-0.91338805338419748</v>
      </c>
      <c r="U2448" s="564">
        <f>IF((J2448-MAX(J$470:J2448))/MAX(J$470:J2448)&gt;U2447,U2447,(J2448-MAX(J$470:J2448))/MAX(J$470:J2448))</f>
        <v>-0.8283551177402233</v>
      </c>
      <c r="V2448" s="564">
        <f>IF((K2448-MAX(K$470:K2448))/MAX(K$470:K2448)&gt;V2447,V2447,(K2448-MAX(K$470:K2448))/MAX(K$470:K2448))</f>
        <v>-0.84885940676762139</v>
      </c>
      <c r="W2448" s="564">
        <f>IF((N2448-MAX(N$470:N2448))/MAX(N$470:N2448)&gt;W2447,W2447,(N2448-MAX(N$470:N2448))/MAX(N$470:N2448))</f>
        <v>-0.62788758315546067</v>
      </c>
      <c r="X2448" s="564">
        <f>IF((O2448-MAX(O$470:O2448))/MAX(O$470:O2448)&gt;X2447,X2447,(O2448-MAX(O$470:O2448))/MAX(O$470:O2448))</f>
        <v>-0.62788758315546067</v>
      </c>
    </row>
    <row r="2449" spans="1:24">
      <c r="A2449" s="799">
        <v>42851</v>
      </c>
      <c r="B2449">
        <v>1278.81</v>
      </c>
      <c r="C2449">
        <v>4901.6413750000002</v>
      </c>
      <c r="D2449">
        <v>2.3321679999999998</v>
      </c>
      <c r="E2449">
        <f>LN(D2449/参数实验室!$E$53)/参数实验室!$E$55</f>
        <v>0.30604475581921087</v>
      </c>
      <c r="F2449">
        <f t="shared" si="328"/>
        <v>3.8329707892493805</v>
      </c>
      <c r="G2449">
        <f>LN(F2449/参数实验室!$E$58)/参数实验室!$E$59</f>
        <v>0.51468494866183012</v>
      </c>
      <c r="H2449" s="856">
        <f>INDEX(神经网络!$G$10:$BO$70,MATCH(ROUND(G2449*2,1)/2,神经网络!$E$10:$E$70,0),MATCH(ROUND(E2449*2,1)/2,神经网络!$G$8:$BO$8,0))</f>
        <v>1.8674158330229262</v>
      </c>
      <c r="I2449">
        <f t="shared" si="320"/>
        <v>2624.1477137616739</v>
      </c>
      <c r="J2449">
        <f t="shared" si="321"/>
        <v>510.2789194365742</v>
      </c>
      <c r="K2449">
        <f t="shared" si="322"/>
        <v>5.1425751952660193</v>
      </c>
      <c r="L2449" s="4">
        <f>MIN(MAX(L2448*(1+MAX(MIN(((B2449-B2448)/B2448)/($K$7*卓尔金历!$N$40),0),-卓尔金历!$M$43))+MIN(MAX(((B2449-B2448)/B2448)/($K$7*卓尔金历!$N$40),0),卓尔金历!$M$43),0),1)</f>
        <v>1</v>
      </c>
      <c r="M2449" s="4">
        <f>MIN(MAX(M2448*(1+MAX(MIN(((B2449-B2448)/B2448)/($K$7*30),0),-卓尔金历!$M$43))+MIN(MAX(((B2449-B2448)/B2448)/($K$7*7),0),卓尔金历!$M$43),0),1)</f>
        <v>1</v>
      </c>
      <c r="N2449">
        <f t="shared" si="323"/>
        <v>2752.2052083188796</v>
      </c>
      <c r="O2449">
        <f t="shared" si="324"/>
        <v>6282.6915418166845</v>
      </c>
      <c r="P2449">
        <f t="shared" si="325"/>
        <v>1.6598697860771172E-2</v>
      </c>
      <c r="Q2449">
        <f t="shared" si="326"/>
        <v>1.3289948211914412E-2</v>
      </c>
      <c r="R2449">
        <f t="shared" si="327"/>
        <v>1.0478171463354556E-2</v>
      </c>
      <c r="S2449">
        <f t="shared" si="319"/>
        <v>41.103830599994716</v>
      </c>
      <c r="T2449" s="564">
        <f>IF((I2449-MAX(I$470:I2449))/MAX(I$470:I2449)&gt;T2448,T2448,(I2449-MAX(I$470:I2449))/MAX(I$470:I2449))</f>
        <v>-0.91338805338419748</v>
      </c>
      <c r="U2449" s="564">
        <f>IF((J2449-MAX(J$470:J2449))/MAX(J$470:J2449)&gt;U2448,U2448,(J2449-MAX(J$470:J2449))/MAX(J$470:J2449))</f>
        <v>-0.8283551177402233</v>
      </c>
      <c r="V2449" s="564">
        <f>IF((K2449-MAX(K$470:K2449))/MAX(K$470:K2449)&gt;V2448,V2448,(K2449-MAX(K$470:K2449))/MAX(K$470:K2449))</f>
        <v>-0.84885940676762139</v>
      </c>
      <c r="W2449" s="564">
        <f>IF((N2449-MAX(N$470:N2449))/MAX(N$470:N2449)&gt;W2448,W2448,(N2449-MAX(N$470:N2449))/MAX(N$470:N2449))</f>
        <v>-0.62788758315546067</v>
      </c>
      <c r="X2449" s="564">
        <f>IF((O2449-MAX(O$470:O2449))/MAX(O$470:O2449)&gt;X2448,X2448,(O2449-MAX(O$470:O2449))/MAX(O$470:O2449))</f>
        <v>-0.62788758315546067</v>
      </c>
    </row>
    <row r="2450" spans="1:24">
      <c r="A2450" s="799">
        <v>42852</v>
      </c>
      <c r="B2450">
        <v>1302.71</v>
      </c>
      <c r="C2450">
        <v>4930.1114399999997</v>
      </c>
      <c r="D2450">
        <v>2.4099620000000002</v>
      </c>
      <c r="E2450">
        <f>LN(D2450/参数实验室!$E$53)/参数实验室!$E$55</f>
        <v>0.34475561286110096</v>
      </c>
      <c r="F2450">
        <f t="shared" si="328"/>
        <v>3.7845041797483705</v>
      </c>
      <c r="G2450">
        <f>LN(F2450/参数实验室!$E$58)/参数实验室!$E$59</f>
        <v>0.50800603226948626</v>
      </c>
      <c r="H2450" s="856">
        <f>INDEX(神经网络!$G$10:$BO$70,MATCH(ROUND(G2450*2,1)/2,神经网络!$E$10:$E$70,0),MATCH(ROUND(E2450*2,1)/2,神经网络!$G$8:$BO$8,0))</f>
        <v>1.9344855902121909</v>
      </c>
      <c r="I2450">
        <f t="shared" si="320"/>
        <v>2715.7320478175393</v>
      </c>
      <c r="J2450">
        <f t="shared" si="321"/>
        <v>519.81564981445217</v>
      </c>
      <c r="K2450">
        <f t="shared" si="322"/>
        <v>5.2244137874396781</v>
      </c>
      <c r="L2450" s="4">
        <f>MIN(MAX(L2449*(1+MAX(MIN(((B2450-B2449)/B2449)/($K$7*卓尔金历!$N$40),0),-卓尔金历!$M$43))+MIN(MAX(((B2450-B2449)/B2449)/($K$7*卓尔金历!$N$40),0),卓尔金历!$M$43),0),1)</f>
        <v>1</v>
      </c>
      <c r="M2450" s="4">
        <f>MIN(MAX(M2449*(1+MAX(MIN(((B2450-B2449)/B2449)/($K$7*30),0),-卓尔金历!$M$43))+MIN(MAX(((B2450-B2449)/B2449)/($K$7*7),0),卓尔金历!$M$43),0),1)</f>
        <v>1</v>
      </c>
      <c r="N2450">
        <f t="shared" si="323"/>
        <v>2848.2588259819058</v>
      </c>
      <c r="O2450">
        <f t="shared" si="324"/>
        <v>6501.9612566723608</v>
      </c>
      <c r="P2450">
        <f t="shared" si="325"/>
        <v>1.86892501622603E-2</v>
      </c>
      <c r="Q2450">
        <f t="shared" si="326"/>
        <v>1.2790563298913276E-2</v>
      </c>
      <c r="R2450">
        <f t="shared" si="327"/>
        <v>8.2498570329599154E-3</v>
      </c>
      <c r="S2450">
        <f t="shared" si="319"/>
        <v>41.11886204429608</v>
      </c>
      <c r="T2450" s="564">
        <f>IF((I2450-MAX(I$470:I2450))/MAX(I$470:I2450)&gt;T2449,T2449,(I2450-MAX(I$470:I2450))/MAX(I$470:I2450))</f>
        <v>-0.91338805338419748</v>
      </c>
      <c r="U2450" s="564">
        <f>IF((J2450-MAX(J$470:J2450))/MAX(J$470:J2450)&gt;U2449,U2449,(J2450-MAX(J$470:J2450))/MAX(J$470:J2450))</f>
        <v>-0.8283551177402233</v>
      </c>
      <c r="V2450" s="564">
        <f>IF((K2450-MAX(K$470:K2450))/MAX(K$470:K2450)&gt;V2449,V2449,(K2450-MAX(K$470:K2450))/MAX(K$470:K2450))</f>
        <v>-0.84885940676762139</v>
      </c>
      <c r="W2450" s="564">
        <f>IF((N2450-MAX(N$470:N2450))/MAX(N$470:N2450)&gt;W2449,W2449,(N2450-MAX(N$470:N2450))/MAX(N$470:N2450))</f>
        <v>-0.62788758315546067</v>
      </c>
      <c r="X2450" s="564">
        <f>IF((O2450-MAX(O$470:O2450))/MAX(O$470:O2450)&gt;X2449,X2449,(O2450-MAX(O$470:O2450))/MAX(O$470:O2450))</f>
        <v>-0.62788758315546067</v>
      </c>
    </row>
    <row r="2451" spans="1:24">
      <c r="A2451" s="799">
        <v>42853</v>
      </c>
      <c r="B2451">
        <v>1311.04</v>
      </c>
      <c r="C2451">
        <v>4938.4636090000004</v>
      </c>
      <c r="D2451">
        <v>2.4010799999999999</v>
      </c>
      <c r="E2451">
        <f>LN(D2451/参数实验室!$E$53)/参数实验室!$E$55</f>
        <v>0.34039955851036519</v>
      </c>
      <c r="F2451">
        <f t="shared" si="328"/>
        <v>3.7668290891200882</v>
      </c>
      <c r="G2451">
        <f>LN(F2451/参数实验室!$E$58)/参数实验室!$E$59</f>
        <v>0.50554901987459966</v>
      </c>
      <c r="H2451" s="856">
        <f>INDEX(神经网络!$G$10:$BO$70,MATCH(ROUND(G2451*2,1)/2,神经网络!$E$10:$E$70,0),MATCH(ROUND(E2451*2,1)/2,神经网络!$G$8:$BO$8,0))</f>
        <v>1.9344855902121909</v>
      </c>
      <c r="I2451">
        <f t="shared" si="320"/>
        <v>2749.3251159573852</v>
      </c>
      <c r="J2451">
        <f t="shared" si="321"/>
        <v>523.13953952356189</v>
      </c>
      <c r="K2451">
        <f t="shared" si="322"/>
        <v>5.2554336046961279</v>
      </c>
      <c r="L2451" s="4">
        <f>MIN(MAX(L2450*(1+MAX(MIN(((B2451-B2450)/B2450)/($K$7*卓尔金历!$N$40),0),-卓尔金历!$M$43))+MIN(MAX(((B2451-B2450)/B2450)/($K$7*卓尔金历!$N$40),0),卓尔金历!$M$43),0),1)</f>
        <v>1</v>
      </c>
      <c r="M2451" s="4">
        <f>MIN(MAX(M2450*(1+MAX(MIN(((B2451-B2450)/B2450)/($K$7*30),0),-卓尔金历!$M$43))+MIN(MAX(((B2451-B2450)/B2450)/($K$7*7),0),卓尔金历!$M$43),0),1)</f>
        <v>1</v>
      </c>
      <c r="N2451">
        <f t="shared" si="323"/>
        <v>2883.4912241479992</v>
      </c>
      <c r="O2451">
        <f t="shared" si="324"/>
        <v>6582.3892310424999</v>
      </c>
      <c r="P2451">
        <f t="shared" si="325"/>
        <v>6.3943625212057381E-3</v>
      </c>
      <c r="Q2451">
        <f t="shared" si="326"/>
        <v>1.2468141050324833E-2</v>
      </c>
      <c r="R2451">
        <f t="shared" si="327"/>
        <v>0.68909151764148757</v>
      </c>
      <c r="S2451">
        <f t="shared" si="319"/>
        <v>41.123058187132436</v>
      </c>
      <c r="T2451" s="564">
        <f>IF((I2451-MAX(I$470:I2451))/MAX(I$470:I2451)&gt;T2450,T2450,(I2451-MAX(I$470:I2451))/MAX(I$470:I2451))</f>
        <v>-0.91338805338419748</v>
      </c>
      <c r="U2451" s="564">
        <f>IF((J2451-MAX(J$470:J2451))/MAX(J$470:J2451)&gt;U2450,U2450,(J2451-MAX(J$470:J2451))/MAX(J$470:J2451))</f>
        <v>-0.8283551177402233</v>
      </c>
      <c r="V2451" s="564">
        <f>IF((K2451-MAX(K$470:K2451))/MAX(K$470:K2451)&gt;V2450,V2450,(K2451-MAX(K$470:K2451))/MAX(K$470:K2451))</f>
        <v>-0.84885940676762139</v>
      </c>
      <c r="W2451" s="564">
        <f>IF((N2451-MAX(N$470:N2451))/MAX(N$470:N2451)&gt;W2450,W2450,(N2451-MAX(N$470:N2451))/MAX(N$470:N2451))</f>
        <v>-0.62788758315546067</v>
      </c>
      <c r="X2451" s="564">
        <f>IF((O2451-MAX(O$470:O2451))/MAX(O$470:O2451)&gt;X2450,X2450,(O2451-MAX(O$470:O2451))/MAX(O$470:O2451))</f>
        <v>-0.62788758315546067</v>
      </c>
    </row>
    <row r="2452" spans="1:24">
      <c r="A2452" s="799">
        <v>42854</v>
      </c>
      <c r="B2452">
        <v>1317.22</v>
      </c>
      <c r="C2452">
        <v>4910.4531429999997</v>
      </c>
      <c r="D2452">
        <v>2.4122400000000002</v>
      </c>
      <c r="E2452">
        <f>LN(D2452/参数实验室!$E$53)/参数实验室!$E$55</f>
        <v>0.34587023978451953</v>
      </c>
      <c r="F2452">
        <f t="shared" si="328"/>
        <v>3.7278914251226065</v>
      </c>
      <c r="G2452">
        <f>LN(F2452/参数实验室!$E$58)/参数实验室!$E$59</f>
        <v>0.50009537441481811</v>
      </c>
      <c r="H2452" s="856">
        <f>INDEX(神经网络!$G$10:$BO$70,MATCH(ROUND(G2452*2,1)/2,神经网络!$E$10:$E$70,0),MATCH(ROUND(E2452*2,1)/2,神经网络!$G$8:$BO$8,0))</f>
        <v>1.9344855902121909</v>
      </c>
      <c r="I2452">
        <f t="shared" si="320"/>
        <v>2774.395681527697</v>
      </c>
      <c r="J2452">
        <f t="shared" si="321"/>
        <v>525.60552252503828</v>
      </c>
      <c r="K2452">
        <f t="shared" si="322"/>
        <v>5.2784751351152952</v>
      </c>
      <c r="L2452" s="4">
        <f>MIN(MAX(L2451*(1+MAX(MIN(((B2452-B2451)/B2451)/($K$7*卓尔金历!$N$40),0),-卓尔金历!$M$43))+MIN(MAX(((B2452-B2451)/B2451)/($K$7*卓尔金历!$N$40),0),卓尔金历!$M$43),0),1)</f>
        <v>1</v>
      </c>
      <c r="M2452" s="4">
        <f>MIN(MAX(M2451*(1+MAX(MIN(((B2452-B2451)/B2451)/($K$7*30),0),-卓尔金历!$M$43))+MIN(MAX(((B2452-B2451)/B2451)/($K$7*7),0),卓尔金历!$M$43),0),1)</f>
        <v>1</v>
      </c>
      <c r="N2452">
        <f t="shared" si="323"/>
        <v>2909.785224587175</v>
      </c>
      <c r="O2452">
        <f t="shared" si="324"/>
        <v>6642.4127691349377</v>
      </c>
      <c r="P2452">
        <f t="shared" si="325"/>
        <v>4.7138149865755914E-3</v>
      </c>
      <c r="Q2452">
        <f t="shared" si="326"/>
        <v>1.2448923231913921E-2</v>
      </c>
      <c r="R2452">
        <f t="shared" si="327"/>
        <v>0.99571298453579549</v>
      </c>
      <c r="S2452">
        <f t="shared" si="319"/>
        <v>41.381462846406798</v>
      </c>
      <c r="T2452" s="564">
        <f>IF((I2452-MAX(I$470:I2452))/MAX(I$470:I2452)&gt;T2451,T2451,(I2452-MAX(I$470:I2452))/MAX(I$470:I2452))</f>
        <v>-0.91338805338419748</v>
      </c>
      <c r="U2452" s="564">
        <f>IF((J2452-MAX(J$470:J2452))/MAX(J$470:J2452)&gt;U2451,U2451,(J2452-MAX(J$470:J2452))/MAX(J$470:J2452))</f>
        <v>-0.8283551177402233</v>
      </c>
      <c r="V2452" s="564">
        <f>IF((K2452-MAX(K$470:K2452))/MAX(K$470:K2452)&gt;V2451,V2451,(K2452-MAX(K$470:K2452))/MAX(K$470:K2452))</f>
        <v>-0.84885940676762139</v>
      </c>
      <c r="W2452" s="564">
        <f>IF((N2452-MAX(N$470:N2452))/MAX(N$470:N2452)&gt;W2451,W2451,(N2452-MAX(N$470:N2452))/MAX(N$470:N2452))</f>
        <v>-0.62788758315546067</v>
      </c>
      <c r="X2452" s="564">
        <f>IF((O2452-MAX(O$470:O2452))/MAX(O$470:O2452)&gt;X2451,X2451,(O2452-MAX(O$470:O2452))/MAX(O$470:O2452))</f>
        <v>-0.62788758315546067</v>
      </c>
    </row>
    <row r="2453" spans="1:24">
      <c r="A2453" s="799">
        <v>42855</v>
      </c>
      <c r="B2453">
        <v>1318.21</v>
      </c>
      <c r="C2453">
        <v>4859.3323069999997</v>
      </c>
      <c r="D2453">
        <v>2.4463759999999999</v>
      </c>
      <c r="E2453">
        <f>LN(D2453/参数实验室!$E$53)/参数实验室!$E$55</f>
        <v>0.36244809627843194</v>
      </c>
      <c r="F2453">
        <f t="shared" si="328"/>
        <v>3.686311215208502</v>
      </c>
      <c r="G2453">
        <f>LN(F2453/参数实验室!$E$58)/参数实验室!$E$59</f>
        <v>0.4942083569850006</v>
      </c>
      <c r="H2453" s="856">
        <f>INDEX(神经网络!$G$10:$BO$70,MATCH(ROUND(G2453*2,1)/2,神经网络!$E$10:$E$70,0),MATCH(ROUND(E2453*2,1)/2,神经网络!$G$8:$BO$8,0))</f>
        <v>1.9344855902121909</v>
      </c>
      <c r="I2453">
        <f t="shared" si="320"/>
        <v>2778.4294482354512</v>
      </c>
      <c r="J2453">
        <f t="shared" si="321"/>
        <v>526.00055863692523</v>
      </c>
      <c r="K2453">
        <f t="shared" si="322"/>
        <v>5.2821796528799458</v>
      </c>
      <c r="L2453" s="4">
        <f>MIN(MAX(L2452*(1+MAX(MIN(((B2453-B2452)/B2452)/($K$7*卓尔金历!$N$40),0),-卓尔金历!$M$43))+MIN(MAX(((B2453-B2452)/B2452)/($K$7*卓尔金历!$N$40),0),卓尔金历!$M$43),0),1)</f>
        <v>1</v>
      </c>
      <c r="M2453" s="4">
        <f>MIN(MAX(M2452*(1+MAX(MIN(((B2453-B2452)/B2452)/($K$7*30),0),-卓尔金历!$M$43))+MIN(MAX(((B2453-B2452)/B2452)/($K$7*7),0),卓尔金历!$M$43),0),1)</f>
        <v>1</v>
      </c>
      <c r="N2453">
        <f t="shared" si="323"/>
        <v>2914.0158377054854</v>
      </c>
      <c r="O2453">
        <f t="shared" si="324"/>
        <v>6652.0703474197135</v>
      </c>
      <c r="P2453">
        <f t="shared" si="325"/>
        <v>7.5158287909385607E-4</v>
      </c>
      <c r="Q2453">
        <f t="shared" si="326"/>
        <v>1.2266570425646871E-2</v>
      </c>
      <c r="R2453">
        <f t="shared" si="327"/>
        <v>1</v>
      </c>
      <c r="S2453">
        <f t="shared" si="319"/>
        <v>41.44137051064363</v>
      </c>
      <c r="T2453" s="564">
        <f>IF((I2453-MAX(I$470:I2453))/MAX(I$470:I2453)&gt;T2452,T2452,(I2453-MAX(I$470:I2453))/MAX(I$470:I2453))</f>
        <v>-0.91338805338419748</v>
      </c>
      <c r="U2453" s="564">
        <f>IF((J2453-MAX(J$470:J2453))/MAX(J$470:J2453)&gt;U2452,U2452,(J2453-MAX(J$470:J2453))/MAX(J$470:J2453))</f>
        <v>-0.8283551177402233</v>
      </c>
      <c r="V2453" s="564">
        <f>IF((K2453-MAX(K$470:K2453))/MAX(K$470:K2453)&gt;V2452,V2452,(K2453-MAX(K$470:K2453))/MAX(K$470:K2453))</f>
        <v>-0.84885940676762139</v>
      </c>
      <c r="W2453" s="564">
        <f>IF((N2453-MAX(N$470:N2453))/MAX(N$470:N2453)&gt;W2452,W2452,(N2453-MAX(N$470:N2453))/MAX(N$470:N2453))</f>
        <v>-0.62788758315546067</v>
      </c>
      <c r="X2453" s="564">
        <f>IF((O2453-MAX(O$470:O2453))/MAX(O$470:O2453)&gt;X2452,X2452,(O2453-MAX(O$470:O2453))/MAX(O$470:O2453))</f>
        <v>-0.62788758315546067</v>
      </c>
    </row>
    <row r="2454" spans="1:24">
      <c r="A2454" s="799">
        <v>42856</v>
      </c>
      <c r="B2454">
        <v>1383.51</v>
      </c>
      <c r="C2454">
        <v>4802.4468809999998</v>
      </c>
      <c r="D2454">
        <v>2.525604</v>
      </c>
      <c r="E2454">
        <f>LN(D2454/参数实验室!$E$53)/参数实验室!$E$55</f>
        <v>0.40004977710100659</v>
      </c>
      <c r="F2454">
        <f t="shared" si="328"/>
        <v>3.4712050371880219</v>
      </c>
      <c r="G2454">
        <f>LN(F2454/参数实验室!$E$58)/参数实验室!$E$59</f>
        <v>0.46265178018308833</v>
      </c>
      <c r="H2454" s="856">
        <f>INDEX(神经网络!$G$10:$BO$70,MATCH(ROUND(G2454*2,1)/2,神经网络!$E$10:$E$70,0),MATCH(ROUND(E2454*2,1)/2,神经网络!$G$8:$BO$8,0))</f>
        <v>1.9623781558320141</v>
      </c>
      <c r="I2454">
        <f t="shared" si="320"/>
        <v>3044.6817995576489</v>
      </c>
      <c r="J2454">
        <f t="shared" si="321"/>
        <v>552.05698096644119</v>
      </c>
      <c r="K2454">
        <f t="shared" si="322"/>
        <v>5.515158587846444</v>
      </c>
      <c r="L2454" s="4">
        <f>MIN(MAX(L2453*(1+MAX(MIN(((B2454-B2453)/B2453)/($K$7*卓尔金历!$N$40),0),-卓尔金历!$M$43))+MIN(MAX(((B2454-B2453)/B2453)/($K$7*卓尔金历!$N$40),0),卓尔金历!$M$43),0),1)</f>
        <v>1</v>
      </c>
      <c r="M2454" s="4">
        <f>MIN(MAX(M2453*(1+MAX(MIN(((B2454-B2453)/B2453)/($K$7*30),0),-卓尔金历!$M$43))+MIN(MAX(((B2454-B2453)/B2453)/($K$7*7),0),卓尔金历!$M$43),0),1)</f>
        <v>1</v>
      </c>
      <c r="N2454">
        <f t="shared" si="323"/>
        <v>3193.261211048311</v>
      </c>
      <c r="O2454">
        <f t="shared" si="324"/>
        <v>7289.5273727496142</v>
      </c>
      <c r="P2454">
        <f t="shared" si="325"/>
        <v>4.953687197032336E-2</v>
      </c>
      <c r="Q2454">
        <f t="shared" si="326"/>
        <v>1.5453891110501758E-2</v>
      </c>
      <c r="R2454">
        <f t="shared" si="327"/>
        <v>0</v>
      </c>
      <c r="S2454">
        <f t="shared" si="319"/>
        <v>45.412629290484425</v>
      </c>
      <c r="T2454" s="564">
        <f>IF((I2454-MAX(I$470:I2454))/MAX(I$470:I2454)&gt;T2453,T2453,(I2454-MAX(I$470:I2454))/MAX(I$470:I2454))</f>
        <v>-0.91338805338419748</v>
      </c>
      <c r="U2454" s="564">
        <f>IF((J2454-MAX(J$470:J2454))/MAX(J$470:J2454)&gt;U2453,U2453,(J2454-MAX(J$470:J2454))/MAX(J$470:J2454))</f>
        <v>-0.8283551177402233</v>
      </c>
      <c r="V2454" s="564">
        <f>IF((K2454-MAX(K$470:K2454))/MAX(K$470:K2454)&gt;V2453,V2453,(K2454-MAX(K$470:K2454))/MAX(K$470:K2454))</f>
        <v>-0.84885940676762139</v>
      </c>
      <c r="W2454" s="564">
        <f>IF((N2454-MAX(N$470:N2454))/MAX(N$470:N2454)&gt;W2453,W2453,(N2454-MAX(N$470:N2454))/MAX(N$470:N2454))</f>
        <v>-0.62788758315546067</v>
      </c>
      <c r="X2454" s="564">
        <f>IF((O2454-MAX(O$470:O2454))/MAX(O$470:O2454)&gt;X2453,X2453,(O2454-MAX(O$470:O2454))/MAX(O$470:O2454))</f>
        <v>-0.62788758315546067</v>
      </c>
    </row>
    <row r="2455" spans="1:24">
      <c r="A2455" s="799">
        <v>42857</v>
      </c>
      <c r="B2455">
        <v>1466.76</v>
      </c>
      <c r="C2455">
        <v>4804.3062669999999</v>
      </c>
      <c r="D2455">
        <v>2.5570840000000001</v>
      </c>
      <c r="E2455">
        <f>LN(D2455/参数实验室!$E$53)/参数实验室!$E$55</f>
        <v>0.41466374003353368</v>
      </c>
      <c r="F2455">
        <f t="shared" si="328"/>
        <v>3.2754549258229022</v>
      </c>
      <c r="G2455">
        <f>LN(F2455/参数实验室!$E$58)/参数实验室!$E$59</f>
        <v>0.43218660701939815</v>
      </c>
      <c r="H2455" s="856">
        <f>INDEX(神经网络!$G$10:$BO$70,MATCH(ROUND(G2455*2,1)/2,神经网络!$E$10:$E$70,0),MATCH(ROUND(E2455*2,1)/2,神经网络!$G$8:$BO$8,0))</f>
        <v>1.9623781558320141</v>
      </c>
      <c r="I2455">
        <f t="shared" si="320"/>
        <v>3404.2046940949926</v>
      </c>
      <c r="J2455">
        <f t="shared" si="321"/>
        <v>585.27592673875665</v>
      </c>
      <c r="K2455">
        <f t="shared" si="322"/>
        <v>5.8164098992824131</v>
      </c>
      <c r="L2455" s="4">
        <f>MIN(MAX(L2454*(1+MAX(MIN(((B2455-B2454)/B2454)/($K$7*卓尔金历!$N$40),0),-卓尔金历!$M$43))+MIN(MAX(((B2455-B2454)/B2454)/($K$7*卓尔金历!$N$40),0),卓尔金历!$M$43),0),1)</f>
        <v>1</v>
      </c>
      <c r="M2455" s="4">
        <f>MIN(MAX(M2454*(1+MAX(MIN(((B2455-B2454)/B2454)/($K$7*30),0),-卓尔金历!$M$43))+MIN(MAX(((B2455-B2454)/B2454)/($K$7*7),0),卓尔金历!$M$43),0),1)</f>
        <v>1</v>
      </c>
      <c r="N2455">
        <f t="shared" si="323"/>
        <v>3570.3286976331847</v>
      </c>
      <c r="O2455">
        <f t="shared" si="324"/>
        <v>8150.291207328617</v>
      </c>
      <c r="P2455">
        <f t="shared" si="325"/>
        <v>6.0173038142116789E-2</v>
      </c>
      <c r="Q2455">
        <f t="shared" si="326"/>
        <v>1.9107458319196229E-2</v>
      </c>
      <c r="R2455">
        <f t="shared" si="327"/>
        <v>0</v>
      </c>
      <c r="S2455">
        <f t="shared" ref="S2455:S2518" si="329">S2454*(1+(B2455-B2454)/B2454*H2454*R2454)</f>
        <v>45.412629290484425</v>
      </c>
      <c r="T2455" s="564">
        <f>IF((I2455-MAX(I$470:I2455))/MAX(I$470:I2455)&gt;T2454,T2454,(I2455-MAX(I$470:I2455))/MAX(I$470:I2455))</f>
        <v>-0.91338805338419748</v>
      </c>
      <c r="U2455" s="564">
        <f>IF((J2455-MAX(J$470:J2455))/MAX(J$470:J2455)&gt;U2454,U2454,(J2455-MAX(J$470:J2455))/MAX(J$470:J2455))</f>
        <v>-0.8283551177402233</v>
      </c>
      <c r="V2455" s="564">
        <f>IF((K2455-MAX(K$470:K2455))/MAX(K$470:K2455)&gt;V2454,V2454,(K2455-MAX(K$470:K2455))/MAX(K$470:K2455))</f>
        <v>-0.84885940676762139</v>
      </c>
      <c r="W2455" s="564">
        <f>IF((N2455-MAX(N$470:N2455))/MAX(N$470:N2455)&gt;W2454,W2454,(N2455-MAX(N$470:N2455))/MAX(N$470:N2455))</f>
        <v>-0.62788758315546067</v>
      </c>
      <c r="X2455" s="564">
        <f>IF((O2455-MAX(O$470:O2455))/MAX(O$470:O2455)&gt;X2454,X2454,(O2455-MAX(O$470:O2455))/MAX(O$470:O2455))</f>
        <v>-0.62788758315546067</v>
      </c>
    </row>
    <row r="2456" spans="1:24">
      <c r="A2456" s="799">
        <v>42858</v>
      </c>
      <c r="B2456">
        <v>1460.46</v>
      </c>
      <c r="C2456">
        <v>4951.0824039999998</v>
      </c>
      <c r="D2456">
        <v>2.6373989999999998</v>
      </c>
      <c r="E2456">
        <f>LN(D2456/参数实验室!$E$53)/参数实验室!$E$55</f>
        <v>0.45114838474791191</v>
      </c>
      <c r="F2456">
        <f t="shared" si="328"/>
        <v>3.3900842227791244</v>
      </c>
      <c r="G2456">
        <f>LN(F2456/参数实验室!$E$58)/参数实验室!$E$59</f>
        <v>0.4502405350669299</v>
      </c>
      <c r="H2456" s="856">
        <f>INDEX(神经网络!$G$10:$BO$70,MATCH(ROUND(G2456*2,1)/2,神经网络!$E$10:$E$70,0),MATCH(ROUND(E2456*2,1)/2,神经网络!$G$8:$BO$8,0))</f>
        <v>2.0214600057956824</v>
      </c>
      <c r="I2456">
        <f t="shared" ref="I2456:I2519" si="330">I2455*(1+(B2456-B2455)/B2455*H2455)</f>
        <v>3375.5114363998428</v>
      </c>
      <c r="J2456">
        <f t="shared" ref="J2456:J2519" si="331">J2455*B2456/B2455</f>
        <v>582.76206057220304</v>
      </c>
      <c r="K2456">
        <f t="shared" ref="K2456:K2519" si="332">I2456/J2456</f>
        <v>5.7922635407759593</v>
      </c>
      <c r="L2456" s="4">
        <f>MIN(MAX(L2455*(1+MAX(MIN(((B2456-B2455)/B2455)/($K$7*卓尔金历!$N$40),0),-卓尔金历!$M$43))+MIN(MAX(((B2456-B2455)/B2455)/($K$7*卓尔金历!$N$40),0),卓尔金历!$M$43),0),1)</f>
        <v>0.93437375280055202</v>
      </c>
      <c r="M2456" s="4">
        <f>MIN(MAX(M2455*(1+MAX(MIN(((B2456-B2455)/B2455)/($K$7*30),0),-卓尔金历!$M$43))+MIN(MAX(((B2456-B2455)/B2455)/($K$7*7),0),卓尔金历!$M$43),0),1)</f>
        <v>0.96718687640027601</v>
      </c>
      <c r="N2456">
        <f t="shared" ref="N2456:N2519" si="333">N2455*(1+(B2456-B2455)/B2455*H2455*L2455)</f>
        <v>3540.2352189551016</v>
      </c>
      <c r="O2456">
        <f t="shared" ref="O2456:O2519" si="334">O2455*(1+(B2456-B2455)/B2455*H2455*M2455)</f>
        <v>8081.5942789952378</v>
      </c>
      <c r="P2456">
        <f t="shared" ref="P2456:P2519" si="335">(B2456-B2455)/B2455</f>
        <v>-4.2951812157407858E-3</v>
      </c>
      <c r="Q2456">
        <f t="shared" si="326"/>
        <v>1.9305385239082342E-2</v>
      </c>
      <c r="R2456">
        <f t="shared" si="327"/>
        <v>1</v>
      </c>
      <c r="S2456">
        <f t="shared" si="329"/>
        <v>45.412629290484425</v>
      </c>
      <c r="T2456" s="564">
        <f>IF((I2456-MAX(I$470:I2456))/MAX(I$470:I2456)&gt;T2455,T2455,(I2456-MAX(I$470:I2456))/MAX(I$470:I2456))</f>
        <v>-0.91338805338419748</v>
      </c>
      <c r="U2456" s="564">
        <f>IF((J2456-MAX(J$470:J2456))/MAX(J$470:J2456)&gt;U2455,U2455,(J2456-MAX(J$470:J2456))/MAX(J$470:J2456))</f>
        <v>-0.8283551177402233</v>
      </c>
      <c r="V2456" s="564">
        <f>IF((K2456-MAX(K$470:K2456))/MAX(K$470:K2456)&gt;V2455,V2455,(K2456-MAX(K$470:K2456))/MAX(K$470:K2456))</f>
        <v>-0.84885940676762139</v>
      </c>
      <c r="W2456" s="564">
        <f>IF((N2456-MAX(N$470:N2456))/MAX(N$470:N2456)&gt;W2455,W2455,(N2456-MAX(N$470:N2456))/MAX(N$470:N2456))</f>
        <v>-0.62788758315546067</v>
      </c>
      <c r="X2456" s="564">
        <f>IF((O2456-MAX(O$470:O2456))/MAX(O$470:O2456)&gt;X2455,X2455,(O2456-MAX(O$470:O2456))/MAX(O$470:O2456))</f>
        <v>-0.62788758315546067</v>
      </c>
    </row>
    <row r="2457" spans="1:24">
      <c r="A2457" s="799">
        <v>42859</v>
      </c>
      <c r="B2457">
        <v>1555.51</v>
      </c>
      <c r="C2457">
        <v>4811.0763969999998</v>
      </c>
      <c r="D2457">
        <v>2.6474839999999999</v>
      </c>
      <c r="E2457">
        <f>LN(D2457/参数实验室!$E$53)/参数实验室!$E$55</f>
        <v>0.45565097294427354</v>
      </c>
      <c r="F2457">
        <f t="shared" si="328"/>
        <v>3.0929254051725801</v>
      </c>
      <c r="G2457">
        <f>LN(F2457/参数实验室!$E$58)/参数实验室!$E$59</f>
        <v>0.40209179530959499</v>
      </c>
      <c r="H2457" s="856">
        <f>INDEX(神经网络!$G$10:$BO$70,MATCH(ROUND(G2457*2,1)/2,神经网络!$E$10:$E$70,0),MATCH(ROUND(E2457*2,1)/2,神经网络!$G$8:$BO$8,0))</f>
        <v>1.9943578094226995</v>
      </c>
      <c r="I2457">
        <f t="shared" si="330"/>
        <v>3819.5975483154516</v>
      </c>
      <c r="J2457">
        <f t="shared" si="331"/>
        <v>620.68951757711102</v>
      </c>
      <c r="K2457">
        <f t="shared" si="332"/>
        <v>6.1537974142457239</v>
      </c>
      <c r="L2457" s="4">
        <f>MIN(MAX(L2456*(1+MAX(MIN(((B2457-B2456)/B2456)/($K$7*卓尔金历!$N$40),0),-卓尔金历!$M$43))+MIN(MAX(((B2457-B2456)/B2456)/($K$7*卓尔金历!$N$40),0),卓尔金历!$M$43),0),1)</f>
        <v>1</v>
      </c>
      <c r="M2457" s="4">
        <f>MIN(MAX(M2456*(1+MAX(MIN(((B2457-B2456)/B2456)/($K$7*30),0),-卓尔金历!$M$43))+MIN(MAX(((B2457-B2456)/B2456)/($K$7*7),0),卓尔金历!$M$43),0),1)</f>
        <v>1</v>
      </c>
      <c r="N2457">
        <f t="shared" si="333"/>
        <v>3975.4266708657528</v>
      </c>
      <c r="O2457">
        <f t="shared" si="334"/>
        <v>9109.930294799191</v>
      </c>
      <c r="P2457">
        <f t="shared" si="335"/>
        <v>6.5082234364515254E-2</v>
      </c>
      <c r="Q2457">
        <f t="shared" si="326"/>
        <v>2.1676396878892834E-2</v>
      </c>
      <c r="R2457">
        <f t="shared" si="327"/>
        <v>0</v>
      </c>
      <c r="S2457">
        <f t="shared" si="329"/>
        <v>51.387166291308631</v>
      </c>
      <c r="T2457" s="564">
        <f>IF((I2457-MAX(I$470:I2457))/MAX(I$470:I2457)&gt;T2456,T2456,(I2457-MAX(I$470:I2457))/MAX(I$470:I2457))</f>
        <v>-0.91338805338419748</v>
      </c>
      <c r="U2457" s="564">
        <f>IF((J2457-MAX(J$470:J2457))/MAX(J$470:J2457)&gt;U2456,U2456,(J2457-MAX(J$470:J2457))/MAX(J$470:J2457))</f>
        <v>-0.8283551177402233</v>
      </c>
      <c r="V2457" s="564">
        <f>IF((K2457-MAX(K$470:K2457))/MAX(K$470:K2457)&gt;V2456,V2456,(K2457-MAX(K$470:K2457))/MAX(K$470:K2457))</f>
        <v>-0.84885940676762139</v>
      </c>
      <c r="W2457" s="564">
        <f>IF((N2457-MAX(N$470:N2457))/MAX(N$470:N2457)&gt;W2456,W2456,(N2457-MAX(N$470:N2457))/MAX(N$470:N2457))</f>
        <v>-0.62788758315546067</v>
      </c>
      <c r="X2457" s="564">
        <f>IF((O2457-MAX(O$470:O2457))/MAX(O$470:O2457)&gt;X2456,X2456,(O2457-MAX(O$470:O2457))/MAX(O$470:O2457))</f>
        <v>-0.62788758315546067</v>
      </c>
    </row>
    <row r="2458" spans="1:24">
      <c r="A2458" s="799">
        <v>42860</v>
      </c>
      <c r="B2458">
        <v>1606.17</v>
      </c>
      <c r="C2458">
        <v>4921.1473919999999</v>
      </c>
      <c r="D2458">
        <v>2.6110120000000001</v>
      </c>
      <c r="E2458">
        <f>LN(D2458/参数实验室!$E$53)/参数实验室!$E$55</f>
        <v>0.43928559002995832</v>
      </c>
      <c r="F2458">
        <f t="shared" si="328"/>
        <v>3.0639019481125906</v>
      </c>
      <c r="G2458">
        <f>LN(F2458/参数实验室!$E$58)/参数实验室!$E$59</f>
        <v>0.39714340525531877</v>
      </c>
      <c r="H2458" s="856">
        <f>INDEX(神经网络!$G$10:$BO$70,MATCH(ROUND(G2458*2,1)/2,神经网络!$E$10:$E$70,0),MATCH(ROUND(E2458*2,1)/2,神经网络!$G$8:$BO$8,0))</f>
        <v>1.9943578094226995</v>
      </c>
      <c r="I2458">
        <f t="shared" si="330"/>
        <v>4067.6897207465495</v>
      </c>
      <c r="J2458">
        <f t="shared" si="331"/>
        <v>640.90419376720718</v>
      </c>
      <c r="K2458">
        <f t="shared" si="332"/>
        <v>6.3467984143415332</v>
      </c>
      <c r="L2458" s="4">
        <f>MIN(MAX(L2457*(1+MAX(MIN(((B2458-B2457)/B2457)/($K$7*卓尔金历!$N$40),0),-卓尔金历!$M$43))+MIN(MAX(((B2458-B2457)/B2457)/($K$7*卓尔金历!$N$40),0),卓尔金历!$M$43),0),1)</f>
        <v>1</v>
      </c>
      <c r="M2458" s="4">
        <f>MIN(MAX(M2457*(1+MAX(MIN(((B2458-B2457)/B2457)/($K$7*30),0),-卓尔金历!$M$43))+MIN(MAX(((B2458-B2457)/B2457)/($K$7*7),0),卓尔金历!$M$43),0),1)</f>
        <v>1</v>
      </c>
      <c r="N2458">
        <f t="shared" si="333"/>
        <v>4233.640324697054</v>
      </c>
      <c r="O2458">
        <f t="shared" si="334"/>
        <v>9701.6424762381412</v>
      </c>
      <c r="P2458">
        <f t="shared" si="335"/>
        <v>3.2568096637115851E-2</v>
      </c>
      <c r="Q2458">
        <f t="shared" si="326"/>
        <v>2.1355840837150808E-2</v>
      </c>
      <c r="R2458">
        <f t="shared" si="327"/>
        <v>1.2528786137998791E-2</v>
      </c>
      <c r="S2458">
        <f t="shared" si="329"/>
        <v>51.387166291308631</v>
      </c>
      <c r="T2458" s="564">
        <f>IF((I2458-MAX(I$470:I2458))/MAX(I$470:I2458)&gt;T2457,T2457,(I2458-MAX(I$470:I2458))/MAX(I$470:I2458))</f>
        <v>-0.91338805338419748</v>
      </c>
      <c r="U2458" s="564">
        <f>IF((J2458-MAX(J$470:J2458))/MAX(J$470:J2458)&gt;U2457,U2457,(J2458-MAX(J$470:J2458))/MAX(J$470:J2458))</f>
        <v>-0.8283551177402233</v>
      </c>
      <c r="V2458" s="564">
        <f>IF((K2458-MAX(K$470:K2458))/MAX(K$470:K2458)&gt;V2457,V2457,(K2458-MAX(K$470:K2458))/MAX(K$470:K2458))</f>
        <v>-0.84885940676762139</v>
      </c>
      <c r="W2458" s="564">
        <f>IF((N2458-MAX(N$470:N2458))/MAX(N$470:N2458)&gt;W2457,W2457,(N2458-MAX(N$470:N2458))/MAX(N$470:N2458))</f>
        <v>-0.62788758315546067</v>
      </c>
      <c r="X2458" s="564">
        <f>IF((O2458-MAX(O$470:O2458))/MAX(O$470:O2458)&gt;X2457,X2457,(O2458-MAX(O$470:O2458))/MAX(O$470:O2458))</f>
        <v>-0.62788758315546067</v>
      </c>
    </row>
    <row r="2459" spans="1:24">
      <c r="A2459" s="799">
        <v>42861</v>
      </c>
      <c r="B2459">
        <v>1565.56</v>
      </c>
      <c r="C2459">
        <v>4853.6931510000004</v>
      </c>
      <c r="D2459">
        <v>2.6710609999999999</v>
      </c>
      <c r="E2459">
        <f>LN(D2459/参数实验室!$E$53)/参数实验室!$E$55</f>
        <v>0.46611068492787572</v>
      </c>
      <c r="F2459">
        <f t="shared" si="328"/>
        <v>3.1002920047778435</v>
      </c>
      <c r="G2459">
        <f>LN(F2459/参数实验室!$E$58)/参数实验室!$E$59</f>
        <v>0.4033403842591099</v>
      </c>
      <c r="H2459" s="856">
        <f>INDEX(神经网络!$G$10:$BO$70,MATCH(ROUND(G2459*2,1)/2,神经网络!$E$10:$E$70,0),MATCH(ROUND(E2459*2,1)/2,神经网络!$G$8:$BO$8,0))</f>
        <v>1.9943578094226995</v>
      </c>
      <c r="I2459">
        <f t="shared" si="330"/>
        <v>3862.5771037886248</v>
      </c>
      <c r="J2459">
        <f t="shared" si="331"/>
        <v>624.6997326523275</v>
      </c>
      <c r="K2459">
        <f t="shared" si="332"/>
        <v>6.1830938959890931</v>
      </c>
      <c r="L2459" s="4">
        <f>MIN(MAX(L2458*(1+MAX(MIN(((B2459-B2458)/B2458)/($K$7*卓尔金历!$N$40),0),-卓尔金历!$M$43))+MIN(MAX(((B2459-B2458)/B2458)/($K$7*卓尔金历!$N$40),0),卓尔金历!$M$43),0),1)</f>
        <v>0.61368857001543842</v>
      </c>
      <c r="M2459" s="4">
        <f>MIN(MAX(M2458*(1+MAX(MIN(((B2459-B2458)/B2458)/($K$7*30),0),-卓尔金历!$M$43))+MIN(MAX(((B2459-B2458)/B2458)/($K$7*7),0),卓尔金历!$M$43),0),1)</f>
        <v>0.80684428500771921</v>
      </c>
      <c r="N2459">
        <f t="shared" si="333"/>
        <v>4020.1596745313777</v>
      </c>
      <c r="O2459">
        <f t="shared" si="334"/>
        <v>9212.4386741531198</v>
      </c>
      <c r="P2459">
        <f t="shared" si="335"/>
        <v>-2.528374954083324E-2</v>
      </c>
      <c r="Q2459">
        <f t="shared" si="326"/>
        <v>2.3053995985659163E-2</v>
      </c>
      <c r="R2459">
        <f t="shared" si="327"/>
        <v>1.9384210611848408E-2</v>
      </c>
      <c r="S2459">
        <f t="shared" si="329"/>
        <v>51.354701828331798</v>
      </c>
      <c r="T2459" s="564">
        <f>IF((I2459-MAX(I$470:I2459))/MAX(I$470:I2459)&gt;T2458,T2458,(I2459-MAX(I$470:I2459))/MAX(I$470:I2459))</f>
        <v>-0.91338805338419748</v>
      </c>
      <c r="U2459" s="564">
        <f>IF((J2459-MAX(J$470:J2459))/MAX(J$470:J2459)&gt;U2458,U2458,(J2459-MAX(J$470:J2459))/MAX(J$470:J2459))</f>
        <v>-0.8283551177402233</v>
      </c>
      <c r="V2459" s="564">
        <f>IF((K2459-MAX(K$470:K2459))/MAX(K$470:K2459)&gt;V2458,V2458,(K2459-MAX(K$470:K2459))/MAX(K$470:K2459))</f>
        <v>-0.84885940676762139</v>
      </c>
      <c r="W2459" s="564">
        <f>IF((N2459-MAX(N$470:N2459))/MAX(N$470:N2459)&gt;W2458,W2458,(N2459-MAX(N$470:N2459))/MAX(N$470:N2459))</f>
        <v>-0.62788758315546067</v>
      </c>
      <c r="X2459" s="564">
        <f>IF((O2459-MAX(O$470:O2459))/MAX(O$470:O2459)&gt;X2458,X2458,(O2459-MAX(O$470:O2459))/MAX(O$470:O2459))</f>
        <v>-0.62788758315546067</v>
      </c>
    </row>
    <row r="2460" spans="1:24">
      <c r="A2460" s="799">
        <v>42862</v>
      </c>
      <c r="B2460">
        <v>1563.12</v>
      </c>
      <c r="C2460">
        <v>4839.3217990000003</v>
      </c>
      <c r="D2460">
        <v>2.5851679999999999</v>
      </c>
      <c r="E2460">
        <f>LN(D2460/参数实验室!$E$53)/参数实验室!$E$55</f>
        <v>0.42755012503455475</v>
      </c>
      <c r="F2460">
        <f t="shared" si="328"/>
        <v>3.0959374833666007</v>
      </c>
      <c r="G2460">
        <f>LN(F2460/参数实验室!$E$58)/参数实验室!$E$59</f>
        <v>0.4026026812579524</v>
      </c>
      <c r="H2460" s="856">
        <f>INDEX(神经网络!$G$10:$BO$70,MATCH(ROUND(G2460*2,1)/2,神经网络!$E$10:$E$70,0),MATCH(ROUND(E2460*2,1)/2,神经网络!$G$8:$BO$8,0))</f>
        <v>1.9943578094226995</v>
      </c>
      <c r="I2460">
        <f t="shared" si="330"/>
        <v>3850.5710482047384</v>
      </c>
      <c r="J2460">
        <f t="shared" si="331"/>
        <v>623.72610829575751</v>
      </c>
      <c r="K2460">
        <f t="shared" si="332"/>
        <v>6.1734966630238928</v>
      </c>
      <c r="L2460" s="4">
        <f>MIN(MAX(L2459*(1+MAX(MIN(((B2460-B2459)/B2459)/($K$7*卓尔金历!$N$40),0),-卓尔金历!$M$43))+MIN(MAX(((B2460-B2459)/B2459)/($K$7*卓尔金历!$N$40),0),卓尔金历!$M$43),0),1)</f>
        <v>0.59907473423385948</v>
      </c>
      <c r="M2460" s="4">
        <f>MIN(MAX(M2459*(1+MAX(MIN(((B2460-B2459)/B2459)/($K$7*30),0),-卓尔金历!$M$43))+MIN(MAX(((B2460-B2459)/B2459)/($K$7*7),0),卓尔金历!$M$43),0),1)</f>
        <v>0.79723754760171561</v>
      </c>
      <c r="N2460">
        <f t="shared" si="333"/>
        <v>4012.4911020742957</v>
      </c>
      <c r="O2460">
        <f t="shared" si="334"/>
        <v>9189.3346555870285</v>
      </c>
      <c r="P2460">
        <f t="shared" si="335"/>
        <v>-1.5585477401058117E-3</v>
      </c>
      <c r="Q2460">
        <f t="shared" si="326"/>
        <v>2.2786518039912412E-2</v>
      </c>
      <c r="R2460">
        <f t="shared" si="327"/>
        <v>1</v>
      </c>
      <c r="S2460">
        <f t="shared" si="329"/>
        <v>51.351607605975353</v>
      </c>
      <c r="T2460" s="564">
        <f>IF((I2460-MAX(I$470:I2460))/MAX(I$470:I2460)&gt;T2459,T2459,(I2460-MAX(I$470:I2460))/MAX(I$470:I2460))</f>
        <v>-0.91338805338419748</v>
      </c>
      <c r="U2460" s="564">
        <f>IF((J2460-MAX(J$470:J2460))/MAX(J$470:J2460)&gt;U2459,U2459,(J2460-MAX(J$470:J2460))/MAX(J$470:J2460))</f>
        <v>-0.8283551177402233</v>
      </c>
      <c r="V2460" s="564">
        <f>IF((K2460-MAX(K$470:K2460))/MAX(K$470:K2460)&gt;V2459,V2459,(K2460-MAX(K$470:K2460))/MAX(K$470:K2460))</f>
        <v>-0.84885940676762139</v>
      </c>
      <c r="W2460" s="564">
        <f>IF((N2460-MAX(N$470:N2460))/MAX(N$470:N2460)&gt;W2459,W2459,(N2460-MAX(N$470:N2460))/MAX(N$470:N2460))</f>
        <v>-0.62788758315546067</v>
      </c>
      <c r="X2460" s="564">
        <f>IF((O2460-MAX(O$470:O2460))/MAX(O$470:O2460)&gt;X2459,X2459,(O2460-MAX(O$470:O2460))/MAX(O$470:O2460))</f>
        <v>-0.62788758315546067</v>
      </c>
    </row>
    <row r="2461" spans="1:24">
      <c r="A2461" s="799">
        <v>42863</v>
      </c>
      <c r="B2461">
        <v>1658.2</v>
      </c>
      <c r="C2461">
        <v>4703.7155519999997</v>
      </c>
      <c r="D2461">
        <v>2.820268</v>
      </c>
      <c r="E2461">
        <f>LN(D2461/参数实验室!$E$53)/参数实验室!$E$55</f>
        <v>0.5302375223068122</v>
      </c>
      <c r="F2461">
        <f t="shared" si="328"/>
        <v>2.8366394596550473</v>
      </c>
      <c r="G2461">
        <f>LN(F2461/参数实验室!$E$58)/参数实验室!$E$59</f>
        <v>0.35669333064232683</v>
      </c>
      <c r="H2461" s="856">
        <f>INDEX(神经网络!$G$10:$BO$70,MATCH(ROUND(G2461*2,1)/2,神经网络!$E$10:$E$70,0),MATCH(ROUND(E2461*2,1)/2,神经网络!$G$8:$BO$8,0))</f>
        <v>2.0742001321041275</v>
      </c>
      <c r="I2461">
        <f t="shared" si="330"/>
        <v>4317.6874021532813</v>
      </c>
      <c r="J2461">
        <f t="shared" si="331"/>
        <v>661.66553609193488</v>
      </c>
      <c r="K2461">
        <f t="shared" si="332"/>
        <v>6.5254832942566345</v>
      </c>
      <c r="L2461" s="4">
        <f>MIN(MAX(L2460*(1+MAX(MIN(((B2461-B2460)/B2460)/($K$7*卓尔金历!$N$40),0),-卓尔金历!$M$43))+MIN(MAX(((B2461-B2460)/B2460)/($K$7*卓尔金历!$N$40),0),卓尔金历!$M$43),0),1)</f>
        <v>1</v>
      </c>
      <c r="M2461" s="4">
        <f>MIN(MAX(M2460*(1+MAX(MIN(((B2461-B2460)/B2460)/($K$7*30),0),-卓尔金历!$M$43))+MIN(MAX(((B2461-B2460)/B2460)/($K$7*7),0),卓尔金历!$M$43),0),1)</f>
        <v>1</v>
      </c>
      <c r="N2461">
        <f t="shared" si="333"/>
        <v>4304.0961363487086</v>
      </c>
      <c r="O2461">
        <f t="shared" si="334"/>
        <v>10078.068550282989</v>
      </c>
      <c r="P2461">
        <f t="shared" si="335"/>
        <v>6.0827063821075902E-2</v>
      </c>
      <c r="Q2461">
        <f t="shared" si="326"/>
        <v>2.4544715970449098E-2</v>
      </c>
      <c r="R2461">
        <f t="shared" si="327"/>
        <v>2.1068819515861173E-3</v>
      </c>
      <c r="S2461">
        <f t="shared" si="329"/>
        <v>57.581118869112039</v>
      </c>
      <c r="T2461" s="564">
        <f>IF((I2461-MAX(I$470:I2461))/MAX(I$470:I2461)&gt;T2460,T2460,(I2461-MAX(I$470:I2461))/MAX(I$470:I2461))</f>
        <v>-0.91338805338419748</v>
      </c>
      <c r="U2461" s="564">
        <f>IF((J2461-MAX(J$470:J2461))/MAX(J$470:J2461)&gt;U2460,U2460,(J2461-MAX(J$470:J2461))/MAX(J$470:J2461))</f>
        <v>-0.8283551177402233</v>
      </c>
      <c r="V2461" s="564">
        <f>IF((K2461-MAX(K$470:K2461))/MAX(K$470:K2461)&gt;V2460,V2460,(K2461-MAX(K$470:K2461))/MAX(K$470:K2461))</f>
        <v>-0.84885940676762139</v>
      </c>
      <c r="W2461" s="564">
        <f>IF((N2461-MAX(N$470:N2461))/MAX(N$470:N2461)&gt;W2460,W2460,(N2461-MAX(N$470:N2461))/MAX(N$470:N2461))</f>
        <v>-0.62788758315546067</v>
      </c>
      <c r="X2461" s="564">
        <f>IF((O2461-MAX(O$470:O2461))/MAX(O$470:O2461)&gt;X2460,X2460,(O2461-MAX(O$470:O2461))/MAX(O$470:O2461))</f>
        <v>-0.62788758315546067</v>
      </c>
    </row>
    <row r="2462" spans="1:24">
      <c r="A2462" s="799">
        <v>42864</v>
      </c>
      <c r="B2462">
        <v>1793.44</v>
      </c>
      <c r="C2462">
        <v>4718.0960999999998</v>
      </c>
      <c r="D2462">
        <v>2.850015</v>
      </c>
      <c r="E2462">
        <f>LN(D2462/参数实验室!$E$53)/参数实验室!$E$55</f>
        <v>0.542615896262717</v>
      </c>
      <c r="F2462">
        <f t="shared" si="328"/>
        <v>2.6307521299848333</v>
      </c>
      <c r="G2462">
        <f>LN(F2462/参数实验室!$E$58)/参数实验室!$E$59</f>
        <v>0.31714543343040164</v>
      </c>
      <c r="H2462" s="856">
        <f>INDEX(神经网络!$G$10:$BO$70,MATCH(ROUND(G2462*2,1)/2,神经网络!$E$10:$E$70,0),MATCH(ROUND(E2462*2,1)/2,神经网络!$G$8:$BO$8,0))</f>
        <v>2.0470854553908895</v>
      </c>
      <c r="I2462">
        <f t="shared" si="330"/>
        <v>5048.1031118130468</v>
      </c>
      <c r="J2462">
        <f t="shared" si="331"/>
        <v>715.62986313395231</v>
      </c>
      <c r="K2462">
        <f t="shared" si="332"/>
        <v>7.0540699485428515</v>
      </c>
      <c r="L2462" s="4">
        <f>MIN(MAX(L2461*(1+MAX(MIN(((B2462-B2461)/B2461)/($K$7*卓尔金历!$N$40),0),-卓尔金历!$M$43))+MIN(MAX(((B2462-B2461)/B2461)/($K$7*卓尔金历!$N$40),0),卓尔金历!$M$43),0),1)</f>
        <v>1</v>
      </c>
      <c r="M2462" s="4">
        <f>MIN(MAX(M2461*(1+MAX(MIN(((B2462-B2461)/B2461)/($K$7*30),0),-卓尔金历!$M$43))+MIN(MAX(((B2462-B2461)/B2461)/($K$7*7),0),卓尔金历!$M$43),0),1)</f>
        <v>1</v>
      </c>
      <c r="N2462">
        <f t="shared" si="333"/>
        <v>5032.212635080682</v>
      </c>
      <c r="O2462">
        <f t="shared" si="334"/>
        <v>11782.957975229225</v>
      </c>
      <c r="P2462">
        <f t="shared" si="335"/>
        <v>8.1558316246532384E-2</v>
      </c>
      <c r="Q2462">
        <f t="shared" si="326"/>
        <v>2.7983812270978958E-2</v>
      </c>
      <c r="R2462">
        <f t="shared" si="327"/>
        <v>0</v>
      </c>
      <c r="S2462">
        <f t="shared" si="329"/>
        <v>57.60164179189654</v>
      </c>
      <c r="T2462" s="564">
        <f>IF((I2462-MAX(I$470:I2462))/MAX(I$470:I2462)&gt;T2461,T2461,(I2462-MAX(I$470:I2462))/MAX(I$470:I2462))</f>
        <v>-0.91338805338419748</v>
      </c>
      <c r="U2462" s="564">
        <f>IF((J2462-MAX(J$470:J2462))/MAX(J$470:J2462)&gt;U2461,U2461,(J2462-MAX(J$470:J2462))/MAX(J$470:J2462))</f>
        <v>-0.8283551177402233</v>
      </c>
      <c r="V2462" s="564">
        <f>IF((K2462-MAX(K$470:K2462))/MAX(K$470:K2462)&gt;V2461,V2461,(K2462-MAX(K$470:K2462))/MAX(K$470:K2462))</f>
        <v>-0.84885940676762139</v>
      </c>
      <c r="W2462" s="564">
        <f>IF((N2462-MAX(N$470:N2462))/MAX(N$470:N2462)&gt;W2461,W2461,(N2462-MAX(N$470:N2462))/MAX(N$470:N2462))</f>
        <v>-0.62788758315546067</v>
      </c>
      <c r="X2462" s="564">
        <f>IF((O2462-MAX(O$470:O2462))/MAX(O$470:O2462)&gt;X2461,X2461,(O2462-MAX(O$470:O2462))/MAX(O$470:O2462))</f>
        <v>-0.62788758315546067</v>
      </c>
    </row>
    <row r="2463" spans="1:24">
      <c r="A2463" s="799">
        <v>42865</v>
      </c>
      <c r="B2463">
        <v>1762.21</v>
      </c>
      <c r="C2463">
        <v>4716.6511959999998</v>
      </c>
      <c r="D2463">
        <v>2.9299200000000001</v>
      </c>
      <c r="E2463">
        <f>LN(D2463/参数实验室!$E$53)/参数实验室!$E$55</f>
        <v>0.57523708978924948</v>
      </c>
      <c r="F2463">
        <f t="shared" si="328"/>
        <v>2.6765545513871785</v>
      </c>
      <c r="G2463">
        <f>LN(F2463/参数实验室!$E$58)/参数实验室!$E$59</f>
        <v>0.32620471126503342</v>
      </c>
      <c r="H2463" s="856">
        <f>INDEX(神经网络!$G$10:$BO$70,MATCH(ROUND(G2463*2,1)/2,神经网络!$E$10:$E$70,0),MATCH(ROUND(E2463*2,1)/2,神经网络!$G$8:$BO$8,0))</f>
        <v>2.120172215959776</v>
      </c>
      <c r="I2463">
        <f t="shared" si="330"/>
        <v>4868.1541596162006</v>
      </c>
      <c r="J2463">
        <f t="shared" si="331"/>
        <v>703.16826942260798</v>
      </c>
      <c r="K2463">
        <f t="shared" si="332"/>
        <v>6.923170983829495</v>
      </c>
      <c r="L2463" s="4">
        <f>MIN(MAX(L2462*(1+MAX(MIN(((B2463-B2462)/B2462)/($K$7*卓尔金历!$N$40),0),-卓尔金历!$M$43))+MIN(MAX(((B2463-B2462)/B2462)/($K$7*卓尔金历!$N$40),0),卓尔金历!$M$43),0),1)</f>
        <v>0.73393900503449672</v>
      </c>
      <c r="M2463" s="4">
        <f>MIN(MAX(M2462*(1+MAX(MIN(((B2463-B2462)/B2462)/($K$7*30),0),-卓尔金历!$M$43))+MIN(MAX(((B2463-B2462)/B2462)/($K$7*7),0),卓尔金历!$M$43),0),1)</f>
        <v>0.86696950251724836</v>
      </c>
      <c r="N2463">
        <f t="shared" si="333"/>
        <v>4852.8301282544162</v>
      </c>
      <c r="O2463">
        <f t="shared" si="334"/>
        <v>11362.932691581553</v>
      </c>
      <c r="P2463">
        <f t="shared" si="335"/>
        <v>-1.7413462396288708E-2</v>
      </c>
      <c r="Q2463">
        <f t="shared" si="326"/>
        <v>2.8659051316116749E-2</v>
      </c>
      <c r="R2463">
        <f t="shared" si="327"/>
        <v>0.54015177960489069</v>
      </c>
      <c r="S2463">
        <f t="shared" si="329"/>
        <v>57.60164179189654</v>
      </c>
      <c r="T2463" s="564">
        <f>IF((I2463-MAX(I$470:I2463))/MAX(I$470:I2463)&gt;T2462,T2462,(I2463-MAX(I$470:I2463))/MAX(I$470:I2463))</f>
        <v>-0.91338805338419748</v>
      </c>
      <c r="U2463" s="564">
        <f>IF((J2463-MAX(J$470:J2463))/MAX(J$470:J2463)&gt;U2462,U2462,(J2463-MAX(J$470:J2463))/MAX(J$470:J2463))</f>
        <v>-0.8283551177402233</v>
      </c>
      <c r="V2463" s="564">
        <f>IF((K2463-MAX(K$470:K2463))/MAX(K$470:K2463)&gt;V2462,V2462,(K2463-MAX(K$470:K2463))/MAX(K$470:K2463))</f>
        <v>-0.84885940676762139</v>
      </c>
      <c r="W2463" s="564">
        <f>IF((N2463-MAX(N$470:N2463))/MAX(N$470:N2463)&gt;W2462,W2462,(N2463-MAX(N$470:N2463))/MAX(N$470:N2463))</f>
        <v>-0.62788758315546067</v>
      </c>
      <c r="X2463" s="564">
        <f>IF((O2463-MAX(O$470:O2463))/MAX(O$470:O2463)&gt;X2462,X2462,(O2463-MAX(O$470:O2463))/MAX(O$470:O2463))</f>
        <v>-0.62788758315546067</v>
      </c>
    </row>
    <row r="2464" spans="1:24">
      <c r="A2464" s="799">
        <v>42866</v>
      </c>
      <c r="B2464">
        <v>1846.69</v>
      </c>
      <c r="C2464">
        <v>4820.5904769999997</v>
      </c>
      <c r="D2464">
        <v>2.9817999999999998</v>
      </c>
      <c r="E2464">
        <f>LN(D2464/参数实验室!$E$53)/参数实验室!$E$55</f>
        <v>0.59594414953105046</v>
      </c>
      <c r="F2464">
        <f t="shared" si="328"/>
        <v>2.6103950728059391</v>
      </c>
      <c r="G2464">
        <f>LN(F2464/参数实验室!$E$58)/参数实验室!$E$59</f>
        <v>0.31306825830756468</v>
      </c>
      <c r="H2464" s="856">
        <f>INDEX(神经网络!$G$10:$BO$70,MATCH(ROUND(G2464*2,1)/2,神经网络!$E$10:$E$70,0),MATCH(ROUND(E2464*2,1)/2,神经网络!$G$8:$BO$8,0))</f>
        <v>2.0970091299110161</v>
      </c>
      <c r="I2464">
        <f t="shared" si="330"/>
        <v>5362.9564545977073</v>
      </c>
      <c r="J2464">
        <f t="shared" si="331"/>
        <v>736.87801763696484</v>
      </c>
      <c r="K2464">
        <f t="shared" si="332"/>
        <v>7.2779433315106115</v>
      </c>
      <c r="L2464" s="4">
        <f>MIN(MAX(L2463*(1+MAX(MIN(((B2464-B2463)/B2463)/($K$7*卓尔金历!$N$40),0),-卓尔金历!$M$43))+MIN(MAX(((B2464-B2463)/B2463)/($K$7*卓尔金历!$N$40),0),卓尔金历!$M$43),0),1)</f>
        <v>1</v>
      </c>
      <c r="M2464" s="4">
        <f>MIN(MAX(M2463*(1+MAX(MIN(((B2464-B2463)/B2463)/($K$7*30),0),-卓尔金历!$M$43))+MIN(MAX(((B2464-B2463)/B2463)/($K$7*7),0),卓尔金历!$M$43),0),1)</f>
        <v>1</v>
      </c>
      <c r="N2464">
        <f t="shared" si="333"/>
        <v>5214.8416897894931</v>
      </c>
      <c r="O2464">
        <f t="shared" si="334"/>
        <v>12364.226746044476</v>
      </c>
      <c r="P2464">
        <f t="shared" si="335"/>
        <v>4.7939802861180006E-2</v>
      </c>
      <c r="Q2464">
        <f t="shared" si="326"/>
        <v>2.9217774213346044E-2</v>
      </c>
      <c r="R2464">
        <f t="shared" si="327"/>
        <v>1.4467980779906159E-2</v>
      </c>
      <c r="S2464">
        <f t="shared" si="329"/>
        <v>60.764050928703981</v>
      </c>
      <c r="T2464" s="564">
        <f>IF((I2464-MAX(I$470:I2464))/MAX(I$470:I2464)&gt;T2463,T2463,(I2464-MAX(I$470:I2464))/MAX(I$470:I2464))</f>
        <v>-0.91338805338419748</v>
      </c>
      <c r="U2464" s="564">
        <f>IF((J2464-MAX(J$470:J2464))/MAX(J$470:J2464)&gt;U2463,U2463,(J2464-MAX(J$470:J2464))/MAX(J$470:J2464))</f>
        <v>-0.8283551177402233</v>
      </c>
      <c r="V2464" s="564">
        <f>IF((K2464-MAX(K$470:K2464))/MAX(K$470:K2464)&gt;V2463,V2463,(K2464-MAX(K$470:K2464))/MAX(K$470:K2464))</f>
        <v>-0.84885940676762139</v>
      </c>
      <c r="W2464" s="564">
        <f>IF((N2464-MAX(N$470:N2464))/MAX(N$470:N2464)&gt;W2463,W2463,(N2464-MAX(N$470:N2464))/MAX(N$470:N2464))</f>
        <v>-0.62788758315546067</v>
      </c>
      <c r="X2464" s="564">
        <f>IF((O2464-MAX(O$470:O2464))/MAX(O$470:O2464)&gt;X2463,X2463,(O2464-MAX(O$470:O2464))/MAX(O$470:O2464))</f>
        <v>-0.62788758315546067</v>
      </c>
    </row>
    <row r="2465" spans="1:24">
      <c r="A2465" s="799">
        <v>42867</v>
      </c>
      <c r="B2465">
        <v>1784.71</v>
      </c>
      <c r="C2465">
        <v>4783.6560449999997</v>
      </c>
      <c r="D2465">
        <v>2.7584770000000001</v>
      </c>
      <c r="E2465">
        <f>LN(D2465/参数实验室!$E$53)/参数实验室!$E$55</f>
        <v>0.50410221266620503</v>
      </c>
      <c r="F2465">
        <f t="shared" si="328"/>
        <v>2.6803548167489395</v>
      </c>
      <c r="G2465">
        <f>LN(F2465/参数实验室!$E$58)/参数实验室!$E$59</f>
        <v>0.32694938877866514</v>
      </c>
      <c r="H2465" s="856">
        <f>INDEX(神经网络!$G$10:$BO$70,MATCH(ROUND(G2465*2,1)/2,神经网络!$E$10:$E$70,0),MATCH(ROUND(E2465*2,1)/2,神经网络!$G$8:$BO$8,0))</f>
        <v>2.0214498677404382</v>
      </c>
      <c r="I2465">
        <f t="shared" si="330"/>
        <v>4985.504076103949</v>
      </c>
      <c r="J2465">
        <f t="shared" si="331"/>
        <v>712.14636287458507</v>
      </c>
      <c r="K2465">
        <f t="shared" si="332"/>
        <v>7.0006733671712063</v>
      </c>
      <c r="L2465" s="4">
        <f>MIN(MAX(L2464*(1+MAX(MIN(((B2465-B2464)/B2464)/($K$7*卓尔金历!$N$40),0),-卓尔金历!$M$43))+MIN(MAX(((B2465-B2464)/B2464)/($K$7*卓尔金历!$N$40),0),卓尔金历!$M$43),0),1)</f>
        <v>0.48719334471762654</v>
      </c>
      <c r="M2465" s="4">
        <f>MIN(MAX(M2464*(1+MAX(MIN(((B2465-B2464)/B2464)/($K$7*30),0),-卓尔金历!$M$43))+MIN(MAX(((B2465-B2464)/B2464)/($K$7*7),0),卓尔金历!$M$43),0),1)</f>
        <v>0.74359667235881322</v>
      </c>
      <c r="N2465">
        <f t="shared" si="333"/>
        <v>4847.81383566773</v>
      </c>
      <c r="O2465">
        <f t="shared" si="334"/>
        <v>11494.015169083106</v>
      </c>
      <c r="P2465">
        <f t="shared" si="335"/>
        <v>-3.3562752817202682E-2</v>
      </c>
      <c r="Q2465">
        <f t="shared" si="326"/>
        <v>3.1241719915813711E-2</v>
      </c>
      <c r="R2465">
        <f t="shared" si="327"/>
        <v>2.7123954691891706E-2</v>
      </c>
      <c r="S2465">
        <f t="shared" si="329"/>
        <v>60.702176309671948</v>
      </c>
      <c r="T2465" s="564">
        <f>IF((I2465-MAX(I$470:I2465))/MAX(I$470:I2465)&gt;T2464,T2464,(I2465-MAX(I$470:I2465))/MAX(I$470:I2465))</f>
        <v>-0.91338805338419748</v>
      </c>
      <c r="U2465" s="564">
        <f>IF((J2465-MAX(J$470:J2465))/MAX(J$470:J2465)&gt;U2464,U2464,(J2465-MAX(J$470:J2465))/MAX(J$470:J2465))</f>
        <v>-0.8283551177402233</v>
      </c>
      <c r="V2465" s="564">
        <f>IF((K2465-MAX(K$470:K2465))/MAX(K$470:K2465)&gt;V2464,V2464,(K2465-MAX(K$470:K2465))/MAX(K$470:K2465))</f>
        <v>-0.84885940676762139</v>
      </c>
      <c r="W2465" s="564">
        <f>IF((N2465-MAX(N$470:N2465))/MAX(N$470:N2465)&gt;W2464,W2464,(N2465-MAX(N$470:N2465))/MAX(N$470:N2465))</f>
        <v>-0.62788758315546067</v>
      </c>
      <c r="X2465" s="564">
        <f>IF((O2465-MAX(O$470:O2465))/MAX(O$470:O2465)&gt;X2464,X2464,(O2465-MAX(O$470:O2465))/MAX(O$470:O2465))</f>
        <v>-0.62788758315546067</v>
      </c>
    </row>
    <row r="2466" spans="1:24">
      <c r="A2466" s="799">
        <v>42868</v>
      </c>
      <c r="B2466">
        <v>1764.14</v>
      </c>
      <c r="C2466">
        <v>4687.2632160000003</v>
      </c>
      <c r="D2466">
        <v>2.8650509999999998</v>
      </c>
      <c r="E2466">
        <f>LN(D2466/参数实验室!$E$53)/参数实验室!$E$55</f>
        <v>0.54882363234306997</v>
      </c>
      <c r="F2466">
        <f t="shared" si="328"/>
        <v>2.6569678234153753</v>
      </c>
      <c r="G2466">
        <f>LN(F2466/参数实验室!$E$58)/参数实验室!$E$59</f>
        <v>0.32234976556168143</v>
      </c>
      <c r="H2466" s="856">
        <f>INDEX(神经网络!$G$10:$BO$70,MATCH(ROUND(G2466*2,1)/2,神经网络!$E$10:$E$70,0),MATCH(ROUND(E2466*2,1)/2,神经网络!$G$8:$BO$8,0))</f>
        <v>2.0470854553908895</v>
      </c>
      <c r="I2466">
        <f t="shared" si="330"/>
        <v>4869.3488684558206</v>
      </c>
      <c r="J2466">
        <f t="shared" si="331"/>
        <v>703.93839032759979</v>
      </c>
      <c r="K2466">
        <f t="shared" si="332"/>
        <v>6.9172940918731776</v>
      </c>
      <c r="L2466" s="4">
        <f>MIN(MAX(L2465*(1+MAX(MIN(((B2466-B2465)/B2465)/($K$7*卓尔金历!$N$40),0),-卓尔金历!$M$43))+MIN(MAX(((B2466-B2465)/B2465)/($K$7*卓尔金历!$N$40),0),卓尔金历!$M$43),0),1)</f>
        <v>0.40139793351785846</v>
      </c>
      <c r="M2466" s="4">
        <f>MIN(MAX(M2465*(1+MAX(MIN(((B2466-B2465)/B2465)/($K$7*30),0),-卓尔金历!$M$43))+MIN(MAX(((B2466-B2465)/B2465)/($K$7*7),0),卓尔金历!$M$43),0),1)</f>
        <v>0.67812247924480429</v>
      </c>
      <c r="N2466">
        <f t="shared" si="333"/>
        <v>4792.786702069915</v>
      </c>
      <c r="O2466">
        <f t="shared" si="334"/>
        <v>11294.884197178766</v>
      </c>
      <c r="P2466">
        <f t="shared" si="335"/>
        <v>-1.1525682043581275E-2</v>
      </c>
      <c r="Q2466">
        <f t="shared" si="326"/>
        <v>3.1241379476084928E-2</v>
      </c>
      <c r="R2466">
        <f t="shared" si="327"/>
        <v>1</v>
      </c>
      <c r="S2466">
        <f t="shared" si="329"/>
        <v>60.663815578015097</v>
      </c>
      <c r="T2466" s="564">
        <f>IF((I2466-MAX(I$470:I2466))/MAX(I$470:I2466)&gt;T2465,T2465,(I2466-MAX(I$470:I2466))/MAX(I$470:I2466))</f>
        <v>-0.91338805338419748</v>
      </c>
      <c r="U2466" s="564">
        <f>IF((J2466-MAX(J$470:J2466))/MAX(J$470:J2466)&gt;U2465,U2465,(J2466-MAX(J$470:J2466))/MAX(J$470:J2466))</f>
        <v>-0.8283551177402233</v>
      </c>
      <c r="V2466" s="564">
        <f>IF((K2466-MAX(K$470:K2466))/MAX(K$470:K2466)&gt;V2465,V2465,(K2466-MAX(K$470:K2466))/MAX(K$470:K2466))</f>
        <v>-0.84885940676762139</v>
      </c>
      <c r="W2466" s="564">
        <f>IF((N2466-MAX(N$470:N2466))/MAX(N$470:N2466)&gt;W2465,W2465,(N2466-MAX(N$470:N2466))/MAX(N$470:N2466))</f>
        <v>-0.62788758315546067</v>
      </c>
      <c r="X2466" s="564">
        <f>IF((O2466-MAX(O$470:O2466))/MAX(O$470:O2466)&gt;X2465,X2465,(O2466-MAX(O$470:O2466))/MAX(O$470:O2466))</f>
        <v>-0.62788758315546067</v>
      </c>
    </row>
    <row r="2467" spans="1:24">
      <c r="A2467" s="799">
        <v>42869</v>
      </c>
      <c r="B2467">
        <v>1811.7</v>
      </c>
      <c r="C2467">
        <v>4611.8350810000002</v>
      </c>
      <c r="D2467">
        <v>2.8798430000000002</v>
      </c>
      <c r="E2467">
        <f>LN(D2467/参数实验室!$E$53)/参数实验室!$E$55</f>
        <v>0.55489892234820881</v>
      </c>
      <c r="F2467">
        <f t="shared" si="328"/>
        <v>2.545584302588729</v>
      </c>
      <c r="G2467">
        <f>LN(F2467/参数实验室!$E$58)/参数实验室!$E$59</f>
        <v>0.29987271035904212</v>
      </c>
      <c r="H2467" s="856">
        <f>INDEX(神经网络!$G$10:$BO$70,MATCH(ROUND(G2467*2,1)/2,神经网络!$E$10:$E$70,0),MATCH(ROUND(E2467*2,1)/2,神经网络!$G$8:$BO$8,0))</f>
        <v>2.0470854553908895</v>
      </c>
      <c r="I2467">
        <f t="shared" si="330"/>
        <v>5138.0785654028596</v>
      </c>
      <c r="J2467">
        <f t="shared" si="331"/>
        <v>722.91608475320118</v>
      </c>
      <c r="K2467">
        <f t="shared" si="332"/>
        <v>7.1074342842391811</v>
      </c>
      <c r="L2467" s="4">
        <f>MIN(MAX(L2466*(1+MAX(MIN(((B2467-B2466)/B2466)/($K$7*卓尔金历!$N$40),0),-卓尔金历!$M$43))+MIN(MAX(((B2467-B2466)/B2466)/($K$7*卓尔金历!$N$40),0),卓尔金历!$M$43),0),1)</f>
        <v>0.81331034414412695</v>
      </c>
      <c r="M2467" s="4">
        <f>MIN(MAX(M2466*(1+MAX(MIN(((B2467-B2466)/B2466)/($K$7*30),0),-卓尔金历!$M$43))+MIN(MAX(((B2467-B2466)/B2466)/($K$7*7),0),卓尔金历!$M$43),0),1)</f>
        <v>1</v>
      </c>
      <c r="N2467">
        <f t="shared" si="333"/>
        <v>4898.9582148056397</v>
      </c>
      <c r="O2467">
        <f t="shared" si="334"/>
        <v>11717.586579092696</v>
      </c>
      <c r="P2467">
        <f t="shared" si="335"/>
        <v>2.695931161925921E-2</v>
      </c>
      <c r="Q2467">
        <f t="shared" si="326"/>
        <v>3.1207492146862699E-2</v>
      </c>
      <c r="R2467">
        <f t="shared" si="327"/>
        <v>0.18214235983816163</v>
      </c>
      <c r="S2467">
        <f t="shared" si="329"/>
        <v>64.011731124082928</v>
      </c>
      <c r="T2467" s="564">
        <f>IF((I2467-MAX(I$470:I2467))/MAX(I$470:I2467)&gt;T2466,T2466,(I2467-MAX(I$470:I2467))/MAX(I$470:I2467))</f>
        <v>-0.91338805338419748</v>
      </c>
      <c r="U2467" s="564">
        <f>IF((J2467-MAX(J$470:J2467))/MAX(J$470:J2467)&gt;U2466,U2466,(J2467-MAX(J$470:J2467))/MAX(J$470:J2467))</f>
        <v>-0.8283551177402233</v>
      </c>
      <c r="V2467" s="564">
        <f>IF((K2467-MAX(K$470:K2467))/MAX(K$470:K2467)&gt;V2466,V2466,(K2467-MAX(K$470:K2467))/MAX(K$470:K2467))</f>
        <v>-0.84885940676762139</v>
      </c>
      <c r="W2467" s="564">
        <f>IF((N2467-MAX(N$470:N2467))/MAX(N$470:N2467)&gt;W2466,W2466,(N2467-MAX(N$470:N2467))/MAX(N$470:N2467))</f>
        <v>-0.62788758315546067</v>
      </c>
      <c r="X2467" s="564">
        <f>IF((O2467-MAX(O$470:O2467))/MAX(O$470:O2467)&gt;X2466,X2466,(O2467-MAX(O$470:O2467))/MAX(O$470:O2467))</f>
        <v>-0.62788758315546067</v>
      </c>
    </row>
    <row r="2468" spans="1:24">
      <c r="A2468" s="799">
        <v>42870</v>
      </c>
      <c r="B2468">
        <v>1753.39</v>
      </c>
      <c r="C2468">
        <v>4553.0998509999999</v>
      </c>
      <c r="D2468">
        <v>2.7756989999999999</v>
      </c>
      <c r="E2468">
        <f>LN(D2468/参数实验室!$E$53)/参数实验室!$E$55</f>
        <v>0.51144486890070651</v>
      </c>
      <c r="F2468">
        <f t="shared" si="328"/>
        <v>2.5967410849839454</v>
      </c>
      <c r="G2468">
        <f>LN(F2468/参数实验室!$E$58)/参数实验室!$E$59</f>
        <v>0.31031574063943079</v>
      </c>
      <c r="H2468" s="856">
        <f>INDEX(神经网络!$G$10:$BO$70,MATCH(ROUND(G2468*2,1)/2,神经网络!$E$10:$E$70,0),MATCH(ROUND(E2468*2,1)/2,神经网络!$G$8:$BO$8,0))</f>
        <v>1.9943370795744073</v>
      </c>
      <c r="I2468">
        <f t="shared" si="330"/>
        <v>4799.5514423567174</v>
      </c>
      <c r="J2468">
        <f t="shared" si="331"/>
        <v>699.64885678943278</v>
      </c>
      <c r="K2468">
        <f t="shared" si="332"/>
        <v>6.8599432354981991</v>
      </c>
      <c r="L2468" s="4">
        <f>MIN(MAX(L2467*(1+MAX(MIN(((B2468-B2467)/B2467)/($K$7*卓尔金历!$N$40),0),-卓尔金历!$M$43))+MIN(MAX(((B2468-B2467)/B2467)/($K$7*卓尔金历!$N$40),0),卓尔金历!$M$43),0),1)</f>
        <v>0.41335718506534902</v>
      </c>
      <c r="M2468" s="4">
        <f>MIN(MAX(M2467*(1+MAX(MIN(((B2468-B2467)/B2467)/($K$7*30),0),-卓尔金历!$M$43))+MIN(MAX(((B2468-B2467)/B2467)/($K$7*7),0),卓尔金历!$M$43),0),1)</f>
        <v>0.75412020641415689</v>
      </c>
      <c r="N2468">
        <f t="shared" si="333"/>
        <v>4636.4440386907063</v>
      </c>
      <c r="O2468">
        <f t="shared" si="334"/>
        <v>10945.562402511559</v>
      </c>
      <c r="P2468">
        <f t="shared" si="335"/>
        <v>-3.2185240381961661E-2</v>
      </c>
      <c r="Q2468">
        <f t="shared" si="326"/>
        <v>3.2963044451405646E-2</v>
      </c>
      <c r="R2468">
        <f t="shared" si="327"/>
        <v>5.5831793410109409E-2</v>
      </c>
      <c r="S2468">
        <f t="shared" si="329"/>
        <v>63.243550655007176</v>
      </c>
      <c r="T2468" s="564">
        <f>IF((I2468-MAX(I$470:I2468))/MAX(I$470:I2468)&gt;T2467,T2467,(I2468-MAX(I$470:I2468))/MAX(I$470:I2468))</f>
        <v>-0.91338805338419748</v>
      </c>
      <c r="U2468" s="564">
        <f>IF((J2468-MAX(J$470:J2468))/MAX(J$470:J2468)&gt;U2467,U2467,(J2468-MAX(J$470:J2468))/MAX(J$470:J2468))</f>
        <v>-0.8283551177402233</v>
      </c>
      <c r="V2468" s="564">
        <f>IF((K2468-MAX(K$470:K2468))/MAX(K$470:K2468)&gt;V2467,V2467,(K2468-MAX(K$470:K2468))/MAX(K$470:K2468))</f>
        <v>-0.84885940676762139</v>
      </c>
      <c r="W2468" s="564">
        <f>IF((N2468-MAX(N$470:N2468))/MAX(N$470:N2468)&gt;W2467,W2467,(N2468-MAX(N$470:N2468))/MAX(N$470:N2468))</f>
        <v>-0.62788758315546067</v>
      </c>
      <c r="X2468" s="564">
        <f>IF((O2468-MAX(O$470:O2468))/MAX(O$470:O2468)&gt;X2467,X2467,(O2468-MAX(O$470:O2468))/MAX(O$470:O2468))</f>
        <v>-0.62788758315546067</v>
      </c>
    </row>
    <row r="2469" spans="1:24">
      <c r="A2469" s="799">
        <v>42871</v>
      </c>
      <c r="B2469">
        <v>1746.73</v>
      </c>
      <c r="C2469">
        <v>4596.9283919999998</v>
      </c>
      <c r="D2469">
        <v>2.7951760000000001</v>
      </c>
      <c r="E2469">
        <f>LN(D2469/参数实验室!$E$53)/参数实验室!$E$55</f>
        <v>0.5196942543412294</v>
      </c>
      <c r="F2469">
        <f t="shared" si="328"/>
        <v>2.6317338065986156</v>
      </c>
      <c r="G2469">
        <f>LN(F2469/参数实验室!$E$58)/参数实验室!$E$59</f>
        <v>0.31734124846988215</v>
      </c>
      <c r="H2469" s="856">
        <f>INDEX(神经网络!$G$10:$BO$70,MATCH(ROUND(G2469*2,1)/2,神经网络!$E$10:$E$70,0),MATCH(ROUND(E2469*2,1)/2,神经网络!$G$8:$BO$8,0))</f>
        <v>1.9943370795744073</v>
      </c>
      <c r="I2469">
        <f t="shared" si="330"/>
        <v>4763.1938665239586</v>
      </c>
      <c r="J2469">
        <f t="shared" si="331"/>
        <v>696.9913411276475</v>
      </c>
      <c r="K2469">
        <f t="shared" si="332"/>
        <v>6.8339354959814687</v>
      </c>
      <c r="L2469" s="4">
        <f>MIN(MAX(L2468*(1+MAX(MIN(((B2469-B2468)/B2468)/($K$7*卓尔金历!$N$40),0),-卓尔金历!$M$43))+MIN(MAX(((B2469-B2468)/B2468)/($K$7*卓尔金历!$N$40),0),卓尔金历!$M$43),0),1)</f>
        <v>0.38936790176285685</v>
      </c>
      <c r="M2469" s="4">
        <f>MIN(MAX(M2468*(1+MAX(MIN(((B2469-B2468)/B2468)/($K$7*30),0),-卓尔金历!$M$43))+MIN(MAX(((B2469-B2468)/B2468)/($K$7*7),0),卓尔金历!$M$43),0),1)</f>
        <v>0.73223743295644739</v>
      </c>
      <c r="N2469">
        <f t="shared" si="333"/>
        <v>4621.9261059167193</v>
      </c>
      <c r="O2469">
        <f t="shared" si="334"/>
        <v>10883.034634445536</v>
      </c>
      <c r="P2469">
        <f t="shared" si="335"/>
        <v>-3.7983563268868203E-3</v>
      </c>
      <c r="Q2469">
        <f t="shared" si="326"/>
        <v>3.3190666704095449E-2</v>
      </c>
      <c r="R2469">
        <f t="shared" si="327"/>
        <v>1</v>
      </c>
      <c r="S2469">
        <f t="shared" si="329"/>
        <v>63.216802607219414</v>
      </c>
      <c r="T2469" s="564">
        <f>IF((I2469-MAX(I$470:I2469))/MAX(I$470:I2469)&gt;T2468,T2468,(I2469-MAX(I$470:I2469))/MAX(I$470:I2469))</f>
        <v>-0.91338805338419748</v>
      </c>
      <c r="U2469" s="564">
        <f>IF((J2469-MAX(J$470:J2469))/MAX(J$470:J2469)&gt;U2468,U2468,(J2469-MAX(J$470:J2469))/MAX(J$470:J2469))</f>
        <v>-0.8283551177402233</v>
      </c>
      <c r="V2469" s="564">
        <f>IF((K2469-MAX(K$470:K2469))/MAX(K$470:K2469)&gt;V2468,V2468,(K2469-MAX(K$470:K2469))/MAX(K$470:K2469))</f>
        <v>-0.84885940676762139</v>
      </c>
      <c r="W2469" s="564">
        <f>IF((N2469-MAX(N$470:N2469))/MAX(N$470:N2469)&gt;W2468,W2468,(N2469-MAX(N$470:N2469))/MAX(N$470:N2469))</f>
        <v>-0.62788758315546067</v>
      </c>
      <c r="X2469" s="564">
        <f>IF((O2469-MAX(O$470:O2469))/MAX(O$470:O2469)&gt;X2468,X2468,(O2469-MAX(O$470:O2469))/MAX(O$470:O2469))</f>
        <v>-0.62788758315546067</v>
      </c>
    </row>
    <row r="2470" spans="1:24">
      <c r="A2470" s="799">
        <v>42872</v>
      </c>
      <c r="B2470">
        <v>1819.29</v>
      </c>
      <c r="C2470">
        <v>4547.2841580000004</v>
      </c>
      <c r="D2470">
        <v>2.851413</v>
      </c>
      <c r="E2470">
        <f>LN(D2470/参数实验室!$E$53)/参数实验室!$E$55</f>
        <v>0.54319445134334832</v>
      </c>
      <c r="F2470">
        <f t="shared" si="328"/>
        <v>2.4994828521016443</v>
      </c>
      <c r="G2470">
        <f>LN(F2470/参数实验室!$E$58)/参数实验室!$E$59</f>
        <v>0.29028028851184073</v>
      </c>
      <c r="H2470" s="856">
        <f>INDEX(神经网络!$G$10:$BO$70,MATCH(ROUND(G2470*2,1)/2,神经网络!$E$10:$E$70,0),MATCH(ROUND(E2470*2,1)/2,神经网络!$G$8:$BO$8,0))</f>
        <v>2.0470854553908895</v>
      </c>
      <c r="I2470">
        <f t="shared" si="330"/>
        <v>5157.8040755296115</v>
      </c>
      <c r="J2470">
        <f t="shared" si="331"/>
        <v>725.94469494433474</v>
      </c>
      <c r="K2470">
        <f t="shared" si="332"/>
        <v>7.1049545667182139</v>
      </c>
      <c r="L2470" s="4">
        <f>MIN(MAX(L2469*(1+MAX(MIN(((B2470-B2469)/B2469)/($K$7*卓尔金历!$N$40),0),-卓尔金历!$M$43))+MIN(MAX(((B2470-B2469)/B2469)/($K$7*卓尔金历!$N$40),0),卓尔金历!$M$43),0),1)</f>
        <v>1</v>
      </c>
      <c r="M2470" s="4">
        <f>MIN(MAX(M2469*(1+MAX(MIN(((B2470-B2469)/B2469)/($K$7*30),0),-卓尔金历!$M$43))+MIN(MAX(((B2470-B2469)/B2469)/($K$7*7),0),卓尔金历!$M$43),0),1)</f>
        <v>1</v>
      </c>
      <c r="N2470">
        <f t="shared" si="333"/>
        <v>4771.017715474788</v>
      </c>
      <c r="O2470">
        <f t="shared" si="334"/>
        <v>11543.229278602064</v>
      </c>
      <c r="P2470">
        <f t="shared" si="335"/>
        <v>4.154047849410037E-2</v>
      </c>
      <c r="Q2470">
        <f t="shared" si="326"/>
        <v>3.3623763298357263E-2</v>
      </c>
      <c r="R2470">
        <f t="shared" si="327"/>
        <v>2.617298882126046E-2</v>
      </c>
      <c r="S2470">
        <f t="shared" si="329"/>
        <v>68.454043918102457</v>
      </c>
      <c r="T2470" s="564">
        <f>IF((I2470-MAX(I$470:I2470))/MAX(I$470:I2470)&gt;T2469,T2469,(I2470-MAX(I$470:I2470))/MAX(I$470:I2470))</f>
        <v>-0.91338805338419748</v>
      </c>
      <c r="U2470" s="564">
        <f>IF((J2470-MAX(J$470:J2470))/MAX(J$470:J2470)&gt;U2469,U2469,(J2470-MAX(J$470:J2470))/MAX(J$470:J2470))</f>
        <v>-0.8283551177402233</v>
      </c>
      <c r="V2470" s="564">
        <f>IF((K2470-MAX(K$470:K2470))/MAX(K$470:K2470)&gt;V2469,V2469,(K2470-MAX(K$470:K2470))/MAX(K$470:K2470))</f>
        <v>-0.84885940676762139</v>
      </c>
      <c r="W2470" s="564">
        <f>IF((N2470-MAX(N$470:N2470))/MAX(N$470:N2470)&gt;W2469,W2469,(N2470-MAX(N$470:N2470))/MAX(N$470:N2470))</f>
        <v>-0.62788758315546067</v>
      </c>
      <c r="X2470" s="564">
        <f>IF((O2470-MAX(O$470:O2470))/MAX(O$470:O2470)&gt;X2469,X2469,(O2470-MAX(O$470:O2470))/MAX(O$470:O2470))</f>
        <v>-0.62788758315546067</v>
      </c>
    </row>
    <row r="2471" spans="1:24">
      <c r="A2471" s="799">
        <v>42873</v>
      </c>
      <c r="B2471">
        <v>1826.55</v>
      </c>
      <c r="C2471">
        <v>4560.8893230000003</v>
      </c>
      <c r="D2471">
        <v>2.9669699999999999</v>
      </c>
      <c r="E2471">
        <f>LN(D2471/参数实验室!$E$53)/参数实验室!$E$55</f>
        <v>0.59006200016152177</v>
      </c>
      <c r="F2471">
        <f t="shared" si="328"/>
        <v>2.4969967003367004</v>
      </c>
      <c r="G2471">
        <f>LN(F2471/参数实验室!$E$58)/参数实验室!$E$59</f>
        <v>0.28975797399037029</v>
      </c>
      <c r="H2471" s="856">
        <f>INDEX(神经网络!$G$10:$BO$70,MATCH(ROUND(G2471*2,1)/2,神经网络!$E$10:$E$70,0),MATCH(ROUND(E2471*2,1)/2,神经网络!$G$8:$BO$8,0))</f>
        <v>2.0970091299110161</v>
      </c>
      <c r="I2471">
        <f t="shared" si="330"/>
        <v>5199.938348249545</v>
      </c>
      <c r="J2471">
        <f t="shared" si="331"/>
        <v>728.84162643150603</v>
      </c>
      <c r="K2471">
        <f t="shared" si="332"/>
        <v>7.1345243735721464</v>
      </c>
      <c r="L2471" s="4">
        <f>MIN(MAX(L2470*(1+MAX(MIN(((B2471-B2470)/B2470)/($K$7*卓尔金历!$N$40),0),-卓尔金历!$M$43))+MIN(MAX(((B2471-B2470)/B2470)/($K$7*卓尔金历!$N$40),0),卓尔金历!$M$43),0),1)</f>
        <v>1</v>
      </c>
      <c r="M2471" s="4">
        <f>MIN(MAX(M2470*(1+MAX(MIN(((B2471-B2470)/B2470)/($K$7*30),0),-卓尔金历!$M$43))+MIN(MAX(((B2471-B2470)/B2470)/($K$7*7),0),卓尔金历!$M$43),0),1)</f>
        <v>1</v>
      </c>
      <c r="N2471">
        <f t="shared" si="333"/>
        <v>4809.9923175790391</v>
      </c>
      <c r="O2471">
        <f t="shared" si="334"/>
        <v>11637.526301786957</v>
      </c>
      <c r="P2471">
        <f t="shared" si="335"/>
        <v>3.9905677489570062E-3</v>
      </c>
      <c r="Q2471">
        <f t="shared" si="326"/>
        <v>3.3744110396504073E-2</v>
      </c>
      <c r="R2471">
        <f t="shared" si="327"/>
        <v>1</v>
      </c>
      <c r="S2471">
        <f t="shared" si="329"/>
        <v>68.468679941321355</v>
      </c>
      <c r="T2471" s="564">
        <f>IF((I2471-MAX(I$470:I2471))/MAX(I$470:I2471)&gt;T2470,T2470,(I2471-MAX(I$470:I2471))/MAX(I$470:I2471))</f>
        <v>-0.91338805338419748</v>
      </c>
      <c r="U2471" s="564">
        <f>IF((J2471-MAX(J$470:J2471))/MAX(J$470:J2471)&gt;U2470,U2470,(J2471-MAX(J$470:J2471))/MAX(J$470:J2471))</f>
        <v>-0.8283551177402233</v>
      </c>
      <c r="V2471" s="564">
        <f>IF((K2471-MAX(K$470:K2471))/MAX(K$470:K2471)&gt;V2470,V2470,(K2471-MAX(K$470:K2471))/MAX(K$470:K2471))</f>
        <v>-0.84885940676762139</v>
      </c>
      <c r="W2471" s="564">
        <f>IF((N2471-MAX(N$470:N2471))/MAX(N$470:N2471)&gt;W2470,W2470,(N2471-MAX(N$470:N2471))/MAX(N$470:N2471))</f>
        <v>-0.62788758315546067</v>
      </c>
      <c r="X2471" s="564">
        <f>IF((O2471-MAX(O$470:O2471))/MAX(O$470:O2471)&gt;X2470,X2470,(O2471-MAX(O$470:O2471))/MAX(O$470:O2471))</f>
        <v>-0.62788758315546067</v>
      </c>
    </row>
    <row r="2472" spans="1:24">
      <c r="A2472" s="799">
        <v>42874</v>
      </c>
      <c r="B2472">
        <v>1965.5</v>
      </c>
      <c r="C2472">
        <v>4500.025388</v>
      </c>
      <c r="D2472">
        <v>3.052101</v>
      </c>
      <c r="E2472">
        <f>LN(D2472/参数实验室!$E$53)/参数实验室!$E$55</f>
        <v>0.62343601124144465</v>
      </c>
      <c r="F2472">
        <f t="shared" si="328"/>
        <v>2.2895066843042482</v>
      </c>
      <c r="G2472">
        <f>LN(F2472/参数实验室!$E$58)/参数实验室!$E$59</f>
        <v>0.24422566956789518</v>
      </c>
      <c r="H2472" s="856">
        <f>INDEX(神经网络!$G$10:$BO$70,MATCH(ROUND(G2472*2,1)/2,神经网络!$E$10:$E$70,0),MATCH(ROUND(E2472*2,1)/2,神经网络!$G$8:$BO$8,0))</f>
        <v>2.0741471086805876</v>
      </c>
      <c r="I2472">
        <f t="shared" si="330"/>
        <v>6029.4557513727568</v>
      </c>
      <c r="J2472">
        <f t="shared" si="331"/>
        <v>784.28634132716059</v>
      </c>
      <c r="K2472">
        <f t="shared" si="332"/>
        <v>7.6878245019156894</v>
      </c>
      <c r="L2472" s="4">
        <f>MIN(MAX(L2471*(1+MAX(MIN(((B2472-B2471)/B2471)/($K$7*卓尔金历!$N$40),0),-卓尔金历!$M$43))+MIN(MAX(((B2472-B2471)/B2471)/($K$7*卓尔金历!$N$40),0),卓尔金历!$M$43),0),1)</f>
        <v>1</v>
      </c>
      <c r="M2472" s="4">
        <f>MIN(MAX(M2471*(1+MAX(MIN(((B2472-B2471)/B2471)/($K$7*30),0),-卓尔金历!$M$43))+MIN(MAX(((B2472-B2471)/B2471)/($K$7*7),0),卓尔金历!$M$43),0),1)</f>
        <v>1</v>
      </c>
      <c r="N2472">
        <f t="shared" si="333"/>
        <v>5577.3037872744271</v>
      </c>
      <c r="O2472">
        <f t="shared" si="334"/>
        <v>13493.996503955039</v>
      </c>
      <c r="P2472">
        <f t="shared" si="335"/>
        <v>7.607237688538504E-2</v>
      </c>
      <c r="Q2472">
        <f t="shared" si="326"/>
        <v>3.5915430676073487E-2</v>
      </c>
      <c r="R2472">
        <f t="shared" si="327"/>
        <v>8.4185418209951415E-3</v>
      </c>
      <c r="S2472">
        <f t="shared" si="329"/>
        <v>79.391109742689764</v>
      </c>
      <c r="T2472" s="564">
        <f>IF((I2472-MAX(I$470:I2472))/MAX(I$470:I2472)&gt;T2471,T2471,(I2472-MAX(I$470:I2472))/MAX(I$470:I2472))</f>
        <v>-0.91338805338419748</v>
      </c>
      <c r="U2472" s="564">
        <f>IF((J2472-MAX(J$470:J2472))/MAX(J$470:J2472)&gt;U2471,U2471,(J2472-MAX(J$470:J2472))/MAX(J$470:J2472))</f>
        <v>-0.8283551177402233</v>
      </c>
      <c r="V2472" s="564">
        <f>IF((K2472-MAX(K$470:K2472))/MAX(K$470:K2472)&gt;V2471,V2471,(K2472-MAX(K$470:K2472))/MAX(K$470:K2472))</f>
        <v>-0.84885940676762139</v>
      </c>
      <c r="W2472" s="564">
        <f>IF((N2472-MAX(N$470:N2472))/MAX(N$470:N2472)&gt;W2471,W2471,(N2472-MAX(N$470:N2472))/MAX(N$470:N2472))</f>
        <v>-0.62788758315546067</v>
      </c>
      <c r="X2472" s="564">
        <f>IF((O2472-MAX(O$470:O2472))/MAX(O$470:O2472)&gt;X2471,X2471,(O2472-MAX(O$470:O2472))/MAX(O$470:O2472))</f>
        <v>-0.62788758315546067</v>
      </c>
    </row>
    <row r="2473" spans="1:24">
      <c r="A2473" s="799">
        <v>42875</v>
      </c>
      <c r="B2473">
        <v>1994.03</v>
      </c>
      <c r="C2473">
        <v>4422.8800199999996</v>
      </c>
      <c r="D2473">
        <v>3.149886</v>
      </c>
      <c r="E2473">
        <f>LN(D2473/参数实验室!$E$53)/参数实验室!$E$55</f>
        <v>0.66064077534772037</v>
      </c>
      <c r="F2473">
        <f t="shared" si="328"/>
        <v>2.2180609218517273</v>
      </c>
      <c r="G2473">
        <f>LN(F2473/参数实验室!$E$58)/参数实验室!$E$59</f>
        <v>0.22758621287201386</v>
      </c>
      <c r="H2473" s="856">
        <f>INDEX(神经网络!$G$10:$BO$70,MATCH(ROUND(G2473*2,1)/2,神经网络!$E$10:$E$70,0),MATCH(ROUND(E2473*2,1)/2,神经网络!$G$8:$BO$8,0))</f>
        <v>2.1201133118143396</v>
      </c>
      <c r="I2473">
        <f t="shared" si="330"/>
        <v>6210.9849085514843</v>
      </c>
      <c r="J2473">
        <f t="shared" si="331"/>
        <v>795.67056382426767</v>
      </c>
      <c r="K2473">
        <f t="shared" si="332"/>
        <v>7.8059754764576743</v>
      </c>
      <c r="L2473" s="4">
        <f>MIN(MAX(L2472*(1+MAX(MIN(((B2473-B2472)/B2472)/($K$7*卓尔金历!$N$40),0),-卓尔金历!$M$43))+MIN(MAX(((B2473-B2472)/B2472)/($K$7*卓尔金历!$N$40),0),卓尔金历!$M$43),0),1)</f>
        <v>1</v>
      </c>
      <c r="M2473" s="4">
        <f>MIN(MAX(M2472*(1+MAX(MIN(((B2473-B2472)/B2472)/($K$7*30),0),-卓尔金历!$M$43))+MIN(MAX(((B2473-B2472)/B2472)/($K$7*7),0),卓尔金历!$M$43),0),1)</f>
        <v>1</v>
      </c>
      <c r="N2473">
        <f t="shared" si="333"/>
        <v>5745.2199803077938</v>
      </c>
      <c r="O2473">
        <f t="shared" si="334"/>
        <v>13900.261001671595</v>
      </c>
      <c r="P2473">
        <f t="shared" si="335"/>
        <v>1.4515390485881441E-2</v>
      </c>
      <c r="Q2473">
        <f t="shared" si="326"/>
        <v>3.577586878472809E-2</v>
      </c>
      <c r="R2473">
        <f t="shared" si="327"/>
        <v>0.97037756219219939</v>
      </c>
      <c r="S2473">
        <f t="shared" si="329"/>
        <v>79.411232015155136</v>
      </c>
      <c r="T2473" s="564">
        <f>IF((I2473-MAX(I$470:I2473))/MAX(I$470:I2473)&gt;T2472,T2472,(I2473-MAX(I$470:I2473))/MAX(I$470:I2473))</f>
        <v>-0.91338805338419748</v>
      </c>
      <c r="U2473" s="564">
        <f>IF((J2473-MAX(J$470:J2473))/MAX(J$470:J2473)&gt;U2472,U2472,(J2473-MAX(J$470:J2473))/MAX(J$470:J2473))</f>
        <v>-0.8283551177402233</v>
      </c>
      <c r="V2473" s="564">
        <f>IF((K2473-MAX(K$470:K2473))/MAX(K$470:K2473)&gt;V2472,V2472,(K2473-MAX(K$470:K2473))/MAX(K$470:K2473))</f>
        <v>-0.84885940676762139</v>
      </c>
      <c r="W2473" s="564">
        <f>IF((N2473-MAX(N$470:N2473))/MAX(N$470:N2473)&gt;W2472,W2472,(N2473-MAX(N$470:N2473))/MAX(N$470:N2473))</f>
        <v>-0.62788758315546067</v>
      </c>
      <c r="X2473" s="564">
        <f>IF((O2473-MAX(O$470:O2473))/MAX(O$470:O2473)&gt;X2472,X2472,(O2473-MAX(O$470:O2473))/MAX(O$470:O2473))</f>
        <v>-0.62788758315546067</v>
      </c>
    </row>
    <row r="2474" spans="1:24">
      <c r="A2474" s="799">
        <v>42876</v>
      </c>
      <c r="B2474">
        <v>2075.14</v>
      </c>
      <c r="C2474">
        <v>4482.8004769999998</v>
      </c>
      <c r="D2474">
        <v>3.1227550000000002</v>
      </c>
      <c r="E2474">
        <f>LN(D2474/参数实验室!$E$53)/参数实验室!$E$55</f>
        <v>0.65043515864905233</v>
      </c>
      <c r="F2474">
        <f t="shared" si="328"/>
        <v>2.1602400209142516</v>
      </c>
      <c r="G2474">
        <f>LN(F2474/参数实验室!$E$58)/参数实验室!$E$59</f>
        <v>0.21372270807181867</v>
      </c>
      <c r="H2474" s="856">
        <f>INDEX(神经网络!$G$10:$BO$70,MATCH(ROUND(G2474*2,1)/2,神经网络!$E$10:$E$70,0),MATCH(ROUND(E2474*2,1)/2,神经网络!$G$8:$BO$8,0))</f>
        <v>2.0969204994102686</v>
      </c>
      <c r="I2474">
        <f t="shared" si="330"/>
        <v>6746.6116612122687</v>
      </c>
      <c r="J2474">
        <f t="shared" si="331"/>
        <v>828.03559315270627</v>
      </c>
      <c r="K2474">
        <f t="shared" si="332"/>
        <v>8.1477314707268373</v>
      </c>
      <c r="L2474" s="4">
        <f>MIN(MAX(L2473*(1+MAX(MIN(((B2474-B2473)/B2473)/($K$7*卓尔金历!$N$40),0),-卓尔金历!$M$43))+MIN(MAX(((B2474-B2473)/B2473)/($K$7*卓尔金历!$N$40),0),卓尔金历!$M$43),0),1)</f>
        <v>1</v>
      </c>
      <c r="M2474" s="4">
        <f>MIN(MAX(M2473*(1+MAX(MIN(((B2474-B2473)/B2473)/($K$7*30),0),-卓尔金历!$M$43))+MIN(MAX(((B2474-B2473)/B2473)/($K$7*7),0),卓尔金历!$M$43),0),1)</f>
        <v>1</v>
      </c>
      <c r="N2474">
        <f t="shared" si="333"/>
        <v>6240.6798094143178</v>
      </c>
      <c r="O2474">
        <f t="shared" si="334"/>
        <v>15099.000295211288</v>
      </c>
      <c r="P2474">
        <f t="shared" si="335"/>
        <v>4.0676419111046427E-2</v>
      </c>
      <c r="Q2474">
        <f t="shared" si="326"/>
        <v>3.5733176884785472E-2</v>
      </c>
      <c r="R2474">
        <f t="shared" si="327"/>
        <v>3.114042668086275E-2</v>
      </c>
      <c r="S2474">
        <f t="shared" si="329"/>
        <v>86.056683107344227</v>
      </c>
      <c r="T2474" s="564">
        <f>IF((I2474-MAX(I$470:I2474))/MAX(I$470:I2474)&gt;T2473,T2473,(I2474-MAX(I$470:I2474))/MAX(I$470:I2474))</f>
        <v>-0.91338805338419748</v>
      </c>
      <c r="U2474" s="564">
        <f>IF((J2474-MAX(J$470:J2474))/MAX(J$470:J2474)&gt;U2473,U2473,(J2474-MAX(J$470:J2474))/MAX(J$470:J2474))</f>
        <v>-0.8283551177402233</v>
      </c>
      <c r="V2474" s="564">
        <f>IF((K2474-MAX(K$470:K2474))/MAX(K$470:K2474)&gt;V2473,V2473,(K2474-MAX(K$470:K2474))/MAX(K$470:K2474))</f>
        <v>-0.84885940676762139</v>
      </c>
      <c r="W2474" s="564">
        <f>IF((N2474-MAX(N$470:N2474))/MAX(N$470:N2474)&gt;W2473,W2473,(N2474-MAX(N$470:N2474))/MAX(N$470:N2474))</f>
        <v>-0.62788758315546067</v>
      </c>
      <c r="X2474" s="564">
        <f>IF((O2474-MAX(O$470:O2474))/MAX(O$470:O2474)&gt;X2473,X2473,(O2474-MAX(O$470:O2474))/MAX(O$470:O2474))</f>
        <v>-0.62788758315546067</v>
      </c>
    </row>
    <row r="2475" spans="1:24">
      <c r="A2475" s="799">
        <v>42877</v>
      </c>
      <c r="B2475">
        <v>2242.91</v>
      </c>
      <c r="C2475">
        <v>4481.458353</v>
      </c>
      <c r="D2475">
        <v>3.1246109999999998</v>
      </c>
      <c r="E2475">
        <f>LN(D2475/参数实验室!$E$53)/参数实验室!$E$55</f>
        <v>0.65113613313501351</v>
      </c>
      <c r="F2475">
        <f t="shared" si="328"/>
        <v>1.9980553624532418</v>
      </c>
      <c r="G2475">
        <f>LN(F2475/参数实验室!$E$58)/参数实验室!$E$59</f>
        <v>0.17276050181429295</v>
      </c>
      <c r="H2475" s="856">
        <f>INDEX(神经网络!$G$10:$BO$70,MATCH(ROUND(G2475*2,1)/2,神经网络!$E$10:$E$70,0),MATCH(ROUND(E2475*2,1)/2,神经网络!$G$8:$BO$8,0))</f>
        <v>2.07401495627284</v>
      </c>
      <c r="I2475">
        <f t="shared" si="330"/>
        <v>7890.370809258694</v>
      </c>
      <c r="J2475">
        <f t="shared" si="331"/>
        <v>894.98024819440445</v>
      </c>
      <c r="K2475">
        <f t="shared" si="332"/>
        <v>8.8162513364705841</v>
      </c>
      <c r="L2475" s="4">
        <f>MIN(MAX(L2474*(1+MAX(MIN(((B2475-B2474)/B2474)/($K$7*卓尔金历!$N$40),0),-卓尔金历!$M$43))+MIN(MAX(((B2475-B2474)/B2474)/($K$7*卓尔金历!$N$40),0),卓尔金历!$M$43),0),1)</f>
        <v>1</v>
      </c>
      <c r="M2475" s="4">
        <f>MIN(MAX(M2474*(1+MAX(MIN(((B2475-B2474)/B2474)/($K$7*30),0),-卓尔金历!$M$43))+MIN(MAX(((B2475-B2474)/B2474)/($K$7*7),0),卓尔金历!$M$43),0),1)</f>
        <v>1</v>
      </c>
      <c r="N2475">
        <f t="shared" si="333"/>
        <v>7298.6678751989848</v>
      </c>
      <c r="O2475">
        <f t="shared" si="334"/>
        <v>17658.747406978575</v>
      </c>
      <c r="P2475">
        <f t="shared" si="335"/>
        <v>8.0847557273244205E-2</v>
      </c>
      <c r="Q2475">
        <f t="shared" si="326"/>
        <v>3.7443835060492744E-2</v>
      </c>
      <c r="R2475">
        <f t="shared" si="327"/>
        <v>8.2285182693278957E-3</v>
      </c>
      <c r="S2475">
        <f t="shared" si="329"/>
        <v>86.510999105225849</v>
      </c>
      <c r="T2475" s="564">
        <f>IF((I2475-MAX(I$470:I2475))/MAX(I$470:I2475)&gt;T2474,T2474,(I2475-MAX(I$470:I2475))/MAX(I$470:I2475))</f>
        <v>-0.91338805338419748</v>
      </c>
      <c r="U2475" s="564">
        <f>IF((J2475-MAX(J$470:J2475))/MAX(J$470:J2475)&gt;U2474,U2474,(J2475-MAX(J$470:J2475))/MAX(J$470:J2475))</f>
        <v>-0.8283551177402233</v>
      </c>
      <c r="V2475" s="564">
        <f>IF((K2475-MAX(K$470:K2475))/MAX(K$470:K2475)&gt;V2474,V2474,(K2475-MAX(K$470:K2475))/MAX(K$470:K2475))</f>
        <v>-0.84885940676762139</v>
      </c>
      <c r="W2475" s="564">
        <f>IF((N2475-MAX(N$470:N2475))/MAX(N$470:N2475)&gt;W2474,W2474,(N2475-MAX(N$470:N2475))/MAX(N$470:N2475))</f>
        <v>-0.62788758315546067</v>
      </c>
      <c r="X2475" s="564">
        <f>IF((O2475-MAX(O$470:O2475))/MAX(O$470:O2475)&gt;X2474,X2474,(O2475-MAX(O$470:O2475))/MAX(O$470:O2475))</f>
        <v>-0.62788758315546067</v>
      </c>
    </row>
    <row r="2476" spans="1:24">
      <c r="A2476" s="799">
        <v>42878</v>
      </c>
      <c r="B2476">
        <v>2263.8200000000002</v>
      </c>
      <c r="C2476">
        <v>4439.4594459999998</v>
      </c>
      <c r="D2476">
        <v>3.3273950000000001</v>
      </c>
      <c r="E2476">
        <f>LN(D2476/参数实验室!$E$53)/参数实验室!$E$55</f>
        <v>0.72531892288617972</v>
      </c>
      <c r="F2476">
        <f t="shared" si="328"/>
        <v>1.9610478951506742</v>
      </c>
      <c r="G2476">
        <f>LN(F2476/参数实验室!$E$58)/参数实验室!$E$59</f>
        <v>0.16294813607841932</v>
      </c>
      <c r="H2476" s="856">
        <f>INDEX(神经网络!$G$10:$BO$70,MATCH(ROUND(G2476*2,1)/2,神经网络!$E$10:$E$70,0),MATCH(ROUND(E2476*2,1)/2,神经网络!$G$8:$BO$8,0))</f>
        <v>2.1619308278649001</v>
      </c>
      <c r="I2476">
        <f t="shared" si="330"/>
        <v>8042.9346041553081</v>
      </c>
      <c r="J2476">
        <f t="shared" si="331"/>
        <v>903.3238897091087</v>
      </c>
      <c r="K2476">
        <f t="shared" si="332"/>
        <v>8.9037107241183673</v>
      </c>
      <c r="L2476" s="4">
        <f>MIN(MAX(L2475*(1+MAX(MIN(((B2476-B2475)/B2475)/($K$7*卓尔金历!$N$40),0),-卓尔金历!$M$43))+MIN(MAX(((B2476-B2475)/B2475)/($K$7*卓尔金历!$N$40),0),卓尔金历!$M$43),0),1)</f>
        <v>1</v>
      </c>
      <c r="M2476" s="4">
        <f>MIN(MAX(M2475*(1+MAX(MIN(((B2476-B2475)/B2475)/($K$7*30),0),-卓尔金历!$M$43))+MIN(MAX(((B2476-B2475)/B2475)/($K$7*7),0),卓尔金历!$M$43),0),1)</f>
        <v>1</v>
      </c>
      <c r="N2476">
        <f t="shared" si="333"/>
        <v>7439.7908332510642</v>
      </c>
      <c r="O2476">
        <f t="shared" si="334"/>
        <v>18000.187065855964</v>
      </c>
      <c r="P2476">
        <f t="shared" si="335"/>
        <v>9.3227102291221272E-3</v>
      </c>
      <c r="Q2476">
        <f t="shared" ref="Q2476:Q2539" si="336">STDEVP(P2456:P2476)</f>
        <v>3.665958903858399E-2</v>
      </c>
      <c r="R2476">
        <f t="shared" ref="R2476:R2539" si="337">MIN(Q2475*MAX(1-LN(MAX(ABS(P2476),0.0001)/Q2476),0)+MAX(-LN(MAX(ABS(P2476),0.0001)/Q2476),0),1)</f>
        <v>1</v>
      </c>
      <c r="S2476">
        <f t="shared" si="329"/>
        <v>86.52476318036598</v>
      </c>
      <c r="T2476" s="564">
        <f>IF((I2476-MAX(I$470:I2476))/MAX(I$470:I2476)&gt;T2475,T2475,(I2476-MAX(I$470:I2476))/MAX(I$470:I2476))</f>
        <v>-0.91338805338419748</v>
      </c>
      <c r="U2476" s="564">
        <f>IF((J2476-MAX(J$470:J2476))/MAX(J$470:J2476)&gt;U2475,U2475,(J2476-MAX(J$470:J2476))/MAX(J$470:J2476))</f>
        <v>-0.8283551177402233</v>
      </c>
      <c r="V2476" s="564">
        <f>IF((K2476-MAX(K$470:K2476))/MAX(K$470:K2476)&gt;V2475,V2475,(K2476-MAX(K$470:K2476))/MAX(K$470:K2476))</f>
        <v>-0.84885940676762139</v>
      </c>
      <c r="W2476" s="564">
        <f>IF((N2476-MAX(N$470:N2476))/MAX(N$470:N2476)&gt;W2475,W2475,(N2476-MAX(N$470:N2476))/MAX(N$470:N2476))</f>
        <v>-0.62788758315546067</v>
      </c>
      <c r="X2476" s="564">
        <f>IF((O2476-MAX(O$470:O2476))/MAX(O$470:O2476)&gt;X2475,X2475,(O2476-MAX(O$470:O2476))/MAX(O$470:O2476))</f>
        <v>-0.62788758315546067</v>
      </c>
    </row>
    <row r="2477" spans="1:24">
      <c r="A2477" s="799">
        <v>42879</v>
      </c>
      <c r="B2477">
        <v>2431.33</v>
      </c>
      <c r="C2477">
        <v>4355.1196890000001</v>
      </c>
      <c r="D2477">
        <v>3.495139</v>
      </c>
      <c r="E2477">
        <f>LN(D2477/参数实验室!$E$53)/参数实验室!$E$55</f>
        <v>0.78334323448433629</v>
      </c>
      <c r="F2477">
        <f t="shared" si="328"/>
        <v>1.7912499286398804</v>
      </c>
      <c r="G2477">
        <f>LN(F2477/参数实验室!$E$58)/参数实验室!$E$59</f>
        <v>0.11541456673414163</v>
      </c>
      <c r="H2477" s="856">
        <f>INDEX(神经网络!$G$10:$BO$70,MATCH(ROUND(G2477*2,1)/2,神经网络!$E$10:$E$70,0),MATCH(ROUND(E2477*2,1)/2,神经网络!$G$8:$BO$8,0))</f>
        <v>2.1823191498995071</v>
      </c>
      <c r="I2477">
        <f t="shared" si="330"/>
        <v>9329.5690615957446</v>
      </c>
      <c r="J2477">
        <f t="shared" si="331"/>
        <v>970.16479789313951</v>
      </c>
      <c r="K2477">
        <f t="shared" si="332"/>
        <v>9.6164786455417914</v>
      </c>
      <c r="L2477" s="4">
        <f>MIN(MAX(L2476*(1+MAX(MIN(((B2477-B2476)/B2476)/($K$7*卓尔金历!$N$40),0),-卓尔金历!$M$43))+MIN(MAX(((B2477-B2476)/B2476)/($K$7*卓尔金历!$N$40),0),卓尔金历!$M$43),0),1)</f>
        <v>1</v>
      </c>
      <c r="M2477" s="4">
        <f>MIN(MAX(M2476*(1+MAX(MIN(((B2477-B2476)/B2476)/($K$7*30),0),-卓尔金历!$M$43))+MIN(MAX(((B2477-B2476)/B2476)/($K$7*7),0),卓尔金历!$M$43),0),1)</f>
        <v>1</v>
      </c>
      <c r="N2477">
        <f t="shared" si="333"/>
        <v>8629.9399160578414</v>
      </c>
      <c r="O2477">
        <f t="shared" si="334"/>
        <v>20879.69088618278</v>
      </c>
      <c r="P2477">
        <f t="shared" si="335"/>
        <v>7.399439884796484E-2</v>
      </c>
      <c r="Q2477">
        <f t="shared" si="336"/>
        <v>3.7805920338917769E-2</v>
      </c>
      <c r="R2477">
        <f t="shared" si="337"/>
        <v>1.2041806679725512E-2</v>
      </c>
      <c r="S2477">
        <f t="shared" si="329"/>
        <v>100.36619633987682</v>
      </c>
      <c r="T2477" s="564">
        <f>IF((I2477-MAX(I$470:I2477))/MAX(I$470:I2477)&gt;T2476,T2476,(I2477-MAX(I$470:I2477))/MAX(I$470:I2477))</f>
        <v>-0.91338805338419748</v>
      </c>
      <c r="U2477" s="564">
        <f>IF((J2477-MAX(J$470:J2477))/MAX(J$470:J2477)&gt;U2476,U2476,(J2477-MAX(J$470:J2477))/MAX(J$470:J2477))</f>
        <v>-0.8283551177402233</v>
      </c>
      <c r="V2477" s="564">
        <f>IF((K2477-MAX(K$470:K2477))/MAX(K$470:K2477)&gt;V2476,V2476,(K2477-MAX(K$470:K2477))/MAX(K$470:K2477))</f>
        <v>-0.84885940676762139</v>
      </c>
      <c r="W2477" s="564">
        <f>IF((N2477-MAX(N$470:N2477))/MAX(N$470:N2477)&gt;W2476,W2476,(N2477-MAX(N$470:N2477))/MAX(N$470:N2477))</f>
        <v>-0.62788758315546067</v>
      </c>
      <c r="X2477" s="564">
        <f>IF((O2477-MAX(O$470:O2477))/MAX(O$470:O2477)&gt;X2476,X2476,(O2477-MAX(O$470:O2477))/MAX(O$470:O2477))</f>
        <v>-0.62788758315546067</v>
      </c>
    </row>
    <row r="2478" spans="1:24">
      <c r="A2478" s="799">
        <v>42880</v>
      </c>
      <c r="B2478">
        <v>2730.61</v>
      </c>
      <c r="C2478">
        <v>4314.6641769999997</v>
      </c>
      <c r="D2478">
        <v>3.2970619999999999</v>
      </c>
      <c r="E2478">
        <f>LN(D2478/参数实验室!$E$53)/参数实验室!$E$55</f>
        <v>0.71451480558160108</v>
      </c>
      <c r="F2478">
        <f t="shared" si="328"/>
        <v>1.5801100036255633</v>
      </c>
      <c r="G2478">
        <f>LN(F2478/参数实验室!$E$58)/参数实验室!$E$59</f>
        <v>4.9587796124653409E-2</v>
      </c>
      <c r="H2478" s="856">
        <f>INDEX(神经网络!$G$10:$BO$70,MATCH(ROUND(G2478*2,1)/2,神经网络!$E$10:$E$70,0),MATCH(ROUND(E2478*2,1)/2,神经网络!$G$8:$BO$8,0))</f>
        <v>2.0737065159566539</v>
      </c>
      <c r="I2478">
        <f t="shared" si="330"/>
        <v>11835.756990436437</v>
      </c>
      <c r="J2478">
        <f t="shared" si="331"/>
        <v>1089.5854115957052</v>
      </c>
      <c r="K2478">
        <f t="shared" si="332"/>
        <v>10.862624319742764</v>
      </c>
      <c r="L2478" s="4">
        <f>MIN(MAX(L2477*(1+MAX(MIN(((B2478-B2477)/B2477)/($K$7*卓尔金历!$N$40),0),-卓尔金历!$M$43))+MIN(MAX(((B2478-B2477)/B2477)/($K$7*卓尔金历!$N$40),0),卓尔金历!$M$43),0),1)</f>
        <v>1</v>
      </c>
      <c r="M2478" s="4">
        <f>MIN(MAX(M2477*(1+MAX(MIN(((B2478-B2477)/B2477)/($K$7*30),0),-卓尔金历!$M$43))+MIN(MAX(((B2478-B2477)/B2477)/($K$7*7),0),卓尔金历!$M$43),0),1)</f>
        <v>1</v>
      </c>
      <c r="N2478">
        <f t="shared" si="333"/>
        <v>10948.18753301104</v>
      </c>
      <c r="O2478">
        <f t="shared" si="334"/>
        <v>26488.570450865049</v>
      </c>
      <c r="P2478">
        <f t="shared" si="335"/>
        <v>0.12309312187156832</v>
      </c>
      <c r="Q2478">
        <f t="shared" si="336"/>
        <v>4.2448684896693636E-2</v>
      </c>
      <c r="R2478">
        <f t="shared" si="337"/>
        <v>0</v>
      </c>
      <c r="S2478">
        <f t="shared" si="329"/>
        <v>100.69085812058114</v>
      </c>
      <c r="T2478" s="564">
        <f>IF((I2478-MAX(I$470:I2478))/MAX(I$470:I2478)&gt;T2477,T2477,(I2478-MAX(I$470:I2478))/MAX(I$470:I2478))</f>
        <v>-0.91338805338419748</v>
      </c>
      <c r="U2478" s="564">
        <f>IF((J2478-MAX(J$470:J2478))/MAX(J$470:J2478)&gt;U2477,U2477,(J2478-MAX(J$470:J2478))/MAX(J$470:J2478))</f>
        <v>-0.8283551177402233</v>
      </c>
      <c r="V2478" s="564">
        <f>IF((K2478-MAX(K$470:K2478))/MAX(K$470:K2478)&gt;V2477,V2477,(K2478-MAX(K$470:K2478))/MAX(K$470:K2478))</f>
        <v>-0.84885940676762139</v>
      </c>
      <c r="W2478" s="564">
        <f>IF((N2478-MAX(N$470:N2478))/MAX(N$470:N2478)&gt;W2477,W2477,(N2478-MAX(N$470:N2478))/MAX(N$470:N2478))</f>
        <v>-0.62788758315546067</v>
      </c>
      <c r="X2478" s="564">
        <f>IF((O2478-MAX(O$470:O2478))/MAX(O$470:O2478)&gt;X2477,X2477,(O2478-MAX(O$470:O2478))/MAX(O$470:O2478))</f>
        <v>-0.62788758315546067</v>
      </c>
    </row>
    <row r="2479" spans="1:24">
      <c r="A2479" s="799">
        <v>42881</v>
      </c>
      <c r="B2479">
        <v>2352.89</v>
      </c>
      <c r="C2479">
        <v>4316.2769319999998</v>
      </c>
      <c r="D2479">
        <v>3.2070379999999998</v>
      </c>
      <c r="E2479">
        <f>LN(D2479/参数实验室!$E$53)/参数实验室!$E$55</f>
        <v>0.68185451775933337</v>
      </c>
      <c r="F2479">
        <f t="shared" si="328"/>
        <v>1.8344575955527034</v>
      </c>
      <c r="G2479">
        <f>LN(F2479/参数实验室!$E$58)/参数实验室!$E$59</f>
        <v>0.12792456217173728</v>
      </c>
      <c r="H2479" s="856">
        <f>INDEX(神经网络!$G$10:$BO$70,MATCH(ROUND(G2479*2,1)/2,神经网络!$E$10:$E$70,0),MATCH(ROUND(E2479*2,1)/2,神经网络!$G$8:$BO$8,0))</f>
        <v>2.1199718993930188</v>
      </c>
      <c r="I2479">
        <f t="shared" si="330"/>
        <v>8440.6486563581457</v>
      </c>
      <c r="J2479">
        <f t="shared" si="331"/>
        <v>938.86516898766888</v>
      </c>
      <c r="K2479">
        <f t="shared" si="332"/>
        <v>8.9902671173319515</v>
      </c>
      <c r="L2479" s="4">
        <f>MIN(MAX(L2478*(1+MAX(MIN(((B2479-B2478)/B2478)/($K$7*卓尔金历!$N$40),0),-卓尔金历!$M$43))+MIN(MAX(((B2479-B2478)/B2478)/($K$7*卓尔金历!$N$40),0),卓尔金历!$M$43),0),1)</f>
        <v>0</v>
      </c>
      <c r="M2479" s="4">
        <f>MIN(MAX(M2478*(1+MAX(MIN(((B2479-B2478)/B2478)/($K$7*30),0),-卓尔金历!$M$43))+MIN(MAX(((B2479-B2478)/B2478)/($K$7*7),0),卓尔金历!$M$43),0),1)</f>
        <v>0</v>
      </c>
      <c r="N2479">
        <f t="shared" si="333"/>
        <v>7807.6801056946233</v>
      </c>
      <c r="O2479">
        <f t="shared" si="334"/>
        <v>18890.276030979727</v>
      </c>
      <c r="P2479">
        <f t="shared" si="335"/>
        <v>-0.13832806589003932</v>
      </c>
      <c r="Q2479">
        <f t="shared" si="336"/>
        <v>5.5249448318139188E-2</v>
      </c>
      <c r="R2479">
        <f t="shared" si="337"/>
        <v>3.4905639430995897E-3</v>
      </c>
      <c r="S2479">
        <f t="shared" si="329"/>
        <v>100.69085812058114</v>
      </c>
      <c r="T2479" s="564">
        <f>IF((I2479-MAX(I$470:I2479))/MAX(I$470:I2479)&gt;T2478,T2478,(I2479-MAX(I$470:I2479))/MAX(I$470:I2479))</f>
        <v>-0.91338805338419748</v>
      </c>
      <c r="U2479" s="564">
        <f>IF((J2479-MAX(J$470:J2479))/MAX(J$470:J2479)&gt;U2478,U2478,(J2479-MAX(J$470:J2479))/MAX(J$470:J2479))</f>
        <v>-0.8283551177402233</v>
      </c>
      <c r="V2479" s="564">
        <f>IF((K2479-MAX(K$470:K2479))/MAX(K$470:K2479)&gt;V2478,V2478,(K2479-MAX(K$470:K2479))/MAX(K$470:K2479))</f>
        <v>-0.84885940676762139</v>
      </c>
      <c r="W2479" s="564">
        <f>IF((N2479-MAX(N$470:N2479))/MAX(N$470:N2479)&gt;W2478,W2478,(N2479-MAX(N$470:N2479))/MAX(N$470:N2479))</f>
        <v>-0.62788758315546067</v>
      </c>
      <c r="X2479" s="564">
        <f>IF((O2479-MAX(O$470:O2479))/MAX(O$470:O2479)&gt;X2478,X2478,(O2479-MAX(O$470:O2479))/MAX(O$470:O2479))</f>
        <v>-0.62788758315546067</v>
      </c>
    </row>
    <row r="2480" spans="1:24">
      <c r="A2480" s="799">
        <v>42882</v>
      </c>
      <c r="B2480">
        <v>2012.35</v>
      </c>
      <c r="C2480">
        <v>4259.8468599999997</v>
      </c>
      <c r="D2480">
        <v>2.8753890000000002</v>
      </c>
      <c r="E2480">
        <f>LN(D2480/参数实验室!$E$53)/参数实验室!$E$55</f>
        <v>0.55307288927162745</v>
      </c>
      <c r="F2480">
        <f t="shared" si="328"/>
        <v>2.1168518697045742</v>
      </c>
      <c r="G2480">
        <f>LN(F2480/参数实验室!$E$58)/参数实验室!$E$59</f>
        <v>0.20307377727337</v>
      </c>
      <c r="H2480" s="856">
        <f>INDEX(神经网络!$G$10:$BO$70,MATCH(ROUND(G2480*2,1)/2,神经网络!$E$10:$E$70,0),MATCH(ROUND(E2480*2,1)/2,神经网络!$G$8:$BO$8,0))</f>
        <v>1.9942662378600695</v>
      </c>
      <c r="I2480">
        <f t="shared" si="330"/>
        <v>5850.8116328235174</v>
      </c>
      <c r="J2480">
        <f t="shared" si="331"/>
        <v>802.98072702605543</v>
      </c>
      <c r="K2480">
        <f t="shared" si="332"/>
        <v>7.2863662051924543</v>
      </c>
      <c r="L2480" s="4">
        <f>MIN(MAX(L2479*(1+MAX(MIN(((B2480-B2479)/B2479)/($K$7*卓尔金历!$N$40),0),-卓尔金历!$M$43))+MIN(MAX(((B2480-B2479)/B2479)/($K$7*卓尔金历!$N$40),0),卓尔金历!$M$43),0),1)</f>
        <v>0</v>
      </c>
      <c r="M2480" s="4">
        <f>MIN(MAX(M2479*(1+MAX(MIN(((B2480-B2479)/B2479)/($K$7*30),0),-卓尔金历!$M$43))+MIN(MAX(((B2480-B2479)/B2479)/($K$7*7),0),卓尔金历!$M$43),0),1)</f>
        <v>0</v>
      </c>
      <c r="N2480">
        <f t="shared" si="333"/>
        <v>7807.6801056946233</v>
      </c>
      <c r="O2480">
        <f t="shared" si="334"/>
        <v>18890.276030979727</v>
      </c>
      <c r="P2480">
        <f t="shared" si="335"/>
        <v>-0.14473264793509258</v>
      </c>
      <c r="Q2480">
        <f t="shared" si="336"/>
        <v>6.4911278481007487E-2</v>
      </c>
      <c r="R2480">
        <f t="shared" si="337"/>
        <v>1.0946747666972581E-2</v>
      </c>
      <c r="S2480">
        <f t="shared" si="329"/>
        <v>100.58301753130387</v>
      </c>
      <c r="T2480" s="564">
        <f>IF((I2480-MAX(I$470:I2480))/MAX(I$470:I2480)&gt;T2479,T2479,(I2480-MAX(I$470:I2480))/MAX(I$470:I2480))</f>
        <v>-0.91338805338419748</v>
      </c>
      <c r="U2480" s="564">
        <f>IF((J2480-MAX(J$470:J2480))/MAX(J$470:J2480)&gt;U2479,U2479,(J2480-MAX(J$470:J2480))/MAX(J$470:J2480))</f>
        <v>-0.8283551177402233</v>
      </c>
      <c r="V2480" s="564">
        <f>IF((K2480-MAX(K$470:K2480))/MAX(K$470:K2480)&gt;V2479,V2479,(K2480-MAX(K$470:K2480))/MAX(K$470:K2480))</f>
        <v>-0.84885940676762139</v>
      </c>
      <c r="W2480" s="564">
        <f>IF((N2480-MAX(N$470:N2480))/MAX(N$470:N2480)&gt;W2479,W2479,(N2480-MAX(N$470:N2480))/MAX(N$470:N2480))</f>
        <v>-0.62788758315546067</v>
      </c>
      <c r="X2480" s="564">
        <f>IF((O2480-MAX(O$470:O2480))/MAX(O$470:O2480)&gt;X2479,X2479,(O2480-MAX(O$470:O2480))/MAX(O$470:O2480))</f>
        <v>-0.62788758315546067</v>
      </c>
    </row>
    <row r="2481" spans="1:24">
      <c r="A2481" s="799">
        <v>42883</v>
      </c>
      <c r="B2481">
        <v>2191.33</v>
      </c>
      <c r="C2481">
        <v>4182.8655129999997</v>
      </c>
      <c r="D2481">
        <v>3.1100620000000001</v>
      </c>
      <c r="E2481">
        <f>LN(D2481/参数实验室!$E$53)/参数实验室!$E$55</f>
        <v>0.64563006694592051</v>
      </c>
      <c r="F2481">
        <f t="shared" si="328"/>
        <v>1.9088250117508545</v>
      </c>
      <c r="G2481">
        <f>LN(F2481/参数实验室!$E$58)/参数实验室!$E$59</f>
        <v>0.14878175069297239</v>
      </c>
      <c r="H2481" s="856">
        <f>INDEX(神经网络!$G$10:$BO$70,MATCH(ROUND(G2481*2,1)/2,神经网络!$E$10:$E$70,0),MATCH(ROUND(E2481*2,1)/2,神经网络!$G$8:$BO$8,0))</f>
        <v>2.07401495627284</v>
      </c>
      <c r="I2481">
        <f t="shared" si="330"/>
        <v>6888.5795464518187</v>
      </c>
      <c r="J2481">
        <f t="shared" si="331"/>
        <v>874.39846773871636</v>
      </c>
      <c r="K2481">
        <f t="shared" si="332"/>
        <v>7.8780782453409239</v>
      </c>
      <c r="L2481" s="4">
        <f>MIN(MAX(L2480*(1+MAX(MIN(((B2481-B2480)/B2480)/($K$7*卓尔金历!$N$40),0),-卓尔金历!$M$43))+MIN(MAX(((B2481-B2480)/B2480)/($K$7*卓尔金历!$N$40),0),卓尔金历!$M$43),0),1)</f>
        <v>1</v>
      </c>
      <c r="M2481" s="4">
        <f>MIN(MAX(M2480*(1+MAX(MIN(((B2481-B2480)/B2480)/($K$7*30),0),-卓尔金历!$M$43))+MIN(MAX(((B2481-B2480)/B2480)/($K$7*7),0),卓尔金历!$M$43),0),1)</f>
        <v>1</v>
      </c>
      <c r="N2481">
        <f t="shared" si="333"/>
        <v>7807.6801056946233</v>
      </c>
      <c r="O2481">
        <f t="shared" si="334"/>
        <v>18890.276030979727</v>
      </c>
      <c r="P2481">
        <f t="shared" si="335"/>
        <v>8.8940790617934265E-2</v>
      </c>
      <c r="Q2481">
        <f t="shared" si="336"/>
        <v>6.6701367498813696E-2</v>
      </c>
      <c r="R2481">
        <f t="shared" si="337"/>
        <v>4.6233355428042966E-2</v>
      </c>
      <c r="S2481">
        <f t="shared" si="329"/>
        <v>100.77831377506919</v>
      </c>
      <c r="T2481" s="564">
        <f>IF((I2481-MAX(I$470:I2481))/MAX(I$470:I2481)&gt;T2480,T2480,(I2481-MAX(I$470:I2481))/MAX(I$470:I2481))</f>
        <v>-0.91338805338419748</v>
      </c>
      <c r="U2481" s="564">
        <f>IF((J2481-MAX(J$470:J2481))/MAX(J$470:J2481)&gt;U2480,U2480,(J2481-MAX(J$470:J2481))/MAX(J$470:J2481))</f>
        <v>-0.8283551177402233</v>
      </c>
      <c r="V2481" s="564">
        <f>IF((K2481-MAX(K$470:K2481))/MAX(K$470:K2481)&gt;V2480,V2480,(K2481-MAX(K$470:K2481))/MAX(K$470:K2481))</f>
        <v>-0.84885940676762139</v>
      </c>
      <c r="W2481" s="564">
        <f>IF((N2481-MAX(N$470:N2481))/MAX(N$470:N2481)&gt;W2480,W2480,(N2481-MAX(N$470:N2481))/MAX(N$470:N2481))</f>
        <v>-0.62788758315546067</v>
      </c>
      <c r="X2481" s="564">
        <f>IF((O2481-MAX(O$470:O2481))/MAX(O$470:O2481)&gt;X2480,X2480,(O2481-MAX(O$470:O2481))/MAX(O$470:O2481))</f>
        <v>-0.62788758315546067</v>
      </c>
    </row>
    <row r="2482" spans="1:24">
      <c r="A2482" s="799">
        <v>42884</v>
      </c>
      <c r="B2482">
        <v>2183.63</v>
      </c>
      <c r="C2482">
        <v>4243.9523280000003</v>
      </c>
      <c r="D2482">
        <v>3.1715200000000001</v>
      </c>
      <c r="E2482">
        <f>LN(D2482/参数实验室!$E$53)/参数实验室!$E$55</f>
        <v>0.66871584008022666</v>
      </c>
      <c r="F2482">
        <f t="shared" si="328"/>
        <v>1.9435308765679167</v>
      </c>
      <c r="G2482">
        <f>LN(F2482/参数实验室!$E$58)/参数实验室!$E$59</f>
        <v>0.15823882414241169</v>
      </c>
      <c r="H2482" s="856">
        <f>INDEX(神经网络!$G$10:$BO$70,MATCH(ROUND(G2482*2,1)/2,神经网络!$E$10:$E$70,0),MATCH(ROUND(E2482*2,1)/2,神经网络!$G$8:$BO$8,0))</f>
        <v>2.07401495627284</v>
      </c>
      <c r="I2482">
        <f t="shared" si="330"/>
        <v>6838.3771438230578</v>
      </c>
      <c r="J2482">
        <f t="shared" si="331"/>
        <v>871.32596464626204</v>
      </c>
      <c r="K2482">
        <f t="shared" si="332"/>
        <v>7.8482421289939168</v>
      </c>
      <c r="L2482" s="4">
        <f>MIN(MAX(L2481*(1+MAX(MIN(((B2482-B2481)/B2481)/($K$7*卓尔金历!$N$40),0),-卓尔金历!$M$43))+MIN(MAX(((B2482-B2481)/B2481)/($K$7*卓尔金历!$N$40),0),卓尔金历!$M$43),0),1)</f>
        <v>0.94631177829776303</v>
      </c>
      <c r="M2482" s="4">
        <f>MIN(MAX(M2481*(1+MAX(MIN(((B2482-B2481)/B2481)/($K$7*30),0),-卓尔金历!$M$43))+MIN(MAX(((B2482-B2481)/B2481)/($K$7*7),0),卓尔金历!$M$43),0),1)</f>
        <v>0.97315588914888151</v>
      </c>
      <c r="N2482">
        <f t="shared" si="333"/>
        <v>7750.7795070124839</v>
      </c>
      <c r="O2482">
        <f t="shared" si="334"/>
        <v>18752.607991192897</v>
      </c>
      <c r="P2482">
        <f t="shared" si="335"/>
        <v>-3.5138477545599333E-3</v>
      </c>
      <c r="Q2482">
        <f t="shared" si="336"/>
        <v>6.6162801105036001E-2</v>
      </c>
      <c r="R2482">
        <f t="shared" si="337"/>
        <v>1</v>
      </c>
      <c r="S2482">
        <f t="shared" si="329"/>
        <v>100.74435771243421</v>
      </c>
      <c r="T2482" s="564">
        <f>IF((I2482-MAX(I$470:I2482))/MAX(I$470:I2482)&gt;T2481,T2481,(I2482-MAX(I$470:I2482))/MAX(I$470:I2482))</f>
        <v>-0.91338805338419748</v>
      </c>
      <c r="U2482" s="564">
        <f>IF((J2482-MAX(J$470:J2482))/MAX(J$470:J2482)&gt;U2481,U2481,(J2482-MAX(J$470:J2482))/MAX(J$470:J2482))</f>
        <v>-0.8283551177402233</v>
      </c>
      <c r="V2482" s="564">
        <f>IF((K2482-MAX(K$470:K2482))/MAX(K$470:K2482)&gt;V2481,V2481,(K2482-MAX(K$470:K2482))/MAX(K$470:K2482))</f>
        <v>-0.84885940676762139</v>
      </c>
      <c r="W2482" s="564">
        <f>IF((N2482-MAX(N$470:N2482))/MAX(N$470:N2482)&gt;W2481,W2481,(N2482-MAX(N$470:N2482))/MAX(N$470:N2482))</f>
        <v>-0.62788758315546067</v>
      </c>
      <c r="X2482" s="564">
        <f>IF((O2482-MAX(O$470:O2482))/MAX(O$470:O2482)&gt;X2481,X2481,(O2482-MAX(O$470:O2482))/MAX(O$470:O2482))</f>
        <v>-0.62788758315546067</v>
      </c>
    </row>
    <row r="2483" spans="1:24">
      <c r="A2483" s="799">
        <v>42885</v>
      </c>
      <c r="B2483">
        <v>2252.71</v>
      </c>
      <c r="C2483">
        <v>4170.1840259999999</v>
      </c>
      <c r="D2483">
        <v>2.996051</v>
      </c>
      <c r="E2483">
        <f>LN(D2483/参数实验室!$E$53)/参数实验室!$E$55</f>
        <v>0.6015691459822573</v>
      </c>
      <c r="F2483">
        <f t="shared" si="328"/>
        <v>1.851185472608547</v>
      </c>
      <c r="G2483">
        <f>LN(F2483/参数实验室!$E$58)/参数实验室!$E$59</f>
        <v>0.132688861931023</v>
      </c>
      <c r="H2483" s="856">
        <f>INDEX(神经网络!$G$10:$BO$70,MATCH(ROUND(G2483*2,1)/2,神经网络!$E$10:$E$70,0),MATCH(ROUND(E2483*2,1)/2,神经网络!$G$8:$BO$8,0))</f>
        <v>2.0212835189022256</v>
      </c>
      <c r="I2483">
        <f t="shared" si="330"/>
        <v>7287.0586916812326</v>
      </c>
      <c r="J2483">
        <f t="shared" si="331"/>
        <v>898.89070667571013</v>
      </c>
      <c r="K2483">
        <f t="shared" si="332"/>
        <v>8.106723806980197</v>
      </c>
      <c r="L2483" s="4">
        <f>MIN(MAX(L2482*(1+MAX(MIN(((B2483-B2482)/B2482)/($K$7*卓尔金历!$N$40),0),-卓尔金历!$M$43))+MIN(MAX(((B2483-B2482)/B2482)/($K$7*卓尔金历!$N$40),0),卓尔金历!$M$43),0),1)</f>
        <v>1</v>
      </c>
      <c r="M2483" s="4">
        <f>MIN(MAX(M2482*(1+MAX(MIN(((B2483-B2482)/B2482)/($K$7*30),0),-卓尔金历!$M$43))+MIN(MAX(((B2483-B2482)/B2482)/($K$7*7),0),卓尔金历!$M$43),0),1)</f>
        <v>1</v>
      </c>
      <c r="N2483">
        <f t="shared" si="333"/>
        <v>8232.0229091976871</v>
      </c>
      <c r="O2483">
        <f t="shared" si="334"/>
        <v>19949.980412043082</v>
      </c>
      <c r="P2483">
        <f t="shared" si="335"/>
        <v>3.1635396106483207E-2</v>
      </c>
      <c r="Q2483">
        <f t="shared" si="336"/>
        <v>6.4623649782393364E-2</v>
      </c>
      <c r="R2483">
        <f t="shared" si="337"/>
        <v>0.8277269582273451</v>
      </c>
      <c r="S2483">
        <f t="shared" si="329"/>
        <v>107.35442518980676</v>
      </c>
      <c r="T2483" s="564">
        <f>IF((I2483-MAX(I$470:I2483))/MAX(I$470:I2483)&gt;T2482,T2482,(I2483-MAX(I$470:I2483))/MAX(I$470:I2483))</f>
        <v>-0.91338805338419748</v>
      </c>
      <c r="U2483" s="564">
        <f>IF((J2483-MAX(J$470:J2483))/MAX(J$470:J2483)&gt;U2482,U2482,(J2483-MAX(J$470:J2483))/MAX(J$470:J2483))</f>
        <v>-0.8283551177402233</v>
      </c>
      <c r="V2483" s="564">
        <f>IF((K2483-MAX(K$470:K2483))/MAX(K$470:K2483)&gt;V2482,V2482,(K2483-MAX(K$470:K2483))/MAX(K$470:K2483))</f>
        <v>-0.84885940676762139</v>
      </c>
      <c r="W2483" s="564">
        <f>IF((N2483-MAX(N$470:N2483))/MAX(N$470:N2483)&gt;W2482,W2482,(N2483-MAX(N$470:N2483))/MAX(N$470:N2483))</f>
        <v>-0.62788758315546067</v>
      </c>
      <c r="X2483" s="564">
        <f>IF((O2483-MAX(O$470:O2483))/MAX(O$470:O2483)&gt;X2482,X2482,(O2483-MAX(O$470:O2483))/MAX(O$470:O2483))</f>
        <v>-0.62788758315546067</v>
      </c>
    </row>
    <row r="2484" spans="1:24">
      <c r="A2484" s="799">
        <v>42886</v>
      </c>
      <c r="B2484">
        <v>2202.4499999999998</v>
      </c>
      <c r="C2484">
        <v>4134.7000550000002</v>
      </c>
      <c r="D2484">
        <v>3.1428199999999999</v>
      </c>
      <c r="E2484">
        <f>LN(D2484/参数实验室!$E$53)/参数实验室!$E$55</f>
        <v>0.65799131423336932</v>
      </c>
      <c r="F2484">
        <f t="shared" si="328"/>
        <v>1.8773184657994508</v>
      </c>
      <c r="G2484">
        <f>LN(F2484/参数实验室!$E$58)/参数实验室!$E$59</f>
        <v>0.14004636079398169</v>
      </c>
      <c r="H2484" s="856">
        <f>INDEX(神经网络!$G$10:$BO$70,MATCH(ROUND(G2484*2,1)/2,神经网络!$E$10:$E$70,0),MATCH(ROUND(E2484*2,1)/2,神经网络!$G$8:$BO$8,0))</f>
        <v>2.07401495627284</v>
      </c>
      <c r="I2484">
        <f t="shared" si="330"/>
        <v>6958.4366423435604</v>
      </c>
      <c r="J2484">
        <f t="shared" si="331"/>
        <v>878.83564103587128</v>
      </c>
      <c r="K2484">
        <f t="shared" si="332"/>
        <v>7.9177906737393453</v>
      </c>
      <c r="L2484" s="4">
        <f>MIN(MAX(L2483*(1+MAX(MIN(((B2484-B2483)/B2483)/($K$7*卓尔金历!$N$40),0),-卓尔金历!$M$43))+MIN(MAX(((B2484-B2483)/B2483)/($K$7*卓尔金历!$N$40),0),卓尔金历!$M$43),0),1)</f>
        <v>0.65911077365215387</v>
      </c>
      <c r="M2484" s="4">
        <f>MIN(MAX(M2483*(1+MAX(MIN(((B2484-B2483)/B2483)/($K$7*30),0),-卓尔金历!$M$43))+MIN(MAX(((B2484-B2483)/B2483)/($K$7*7),0),卓尔金历!$M$43),0),1)</f>
        <v>0.82955538682607699</v>
      </c>
      <c r="N2484">
        <f t="shared" si="333"/>
        <v>7860.7861244983351</v>
      </c>
      <c r="O2484">
        <f t="shared" si="334"/>
        <v>19050.302815822233</v>
      </c>
      <c r="P2484">
        <f t="shared" si="335"/>
        <v>-2.2310905531559861E-2</v>
      </c>
      <c r="Q2484">
        <f t="shared" si="336"/>
        <v>6.4741964893162529E-2</v>
      </c>
      <c r="R2484">
        <f t="shared" si="337"/>
        <v>1</v>
      </c>
      <c r="S2484">
        <f t="shared" si="329"/>
        <v>103.34712863446167</v>
      </c>
      <c r="T2484" s="564">
        <f>IF((I2484-MAX(I$470:I2484))/MAX(I$470:I2484)&gt;T2483,T2483,(I2484-MAX(I$470:I2484))/MAX(I$470:I2484))</f>
        <v>-0.91338805338419748</v>
      </c>
      <c r="U2484" s="564">
        <f>IF((J2484-MAX(J$470:J2484))/MAX(J$470:J2484)&gt;U2483,U2483,(J2484-MAX(J$470:J2484))/MAX(J$470:J2484))</f>
        <v>-0.8283551177402233</v>
      </c>
      <c r="V2484" s="564">
        <f>IF((K2484-MAX(K$470:K2484))/MAX(K$470:K2484)&gt;V2483,V2483,(K2484-MAX(K$470:K2484))/MAX(K$470:K2484))</f>
        <v>-0.84885940676762139</v>
      </c>
      <c r="W2484" s="564">
        <f>IF((N2484-MAX(N$470:N2484))/MAX(N$470:N2484)&gt;W2483,W2483,(N2484-MAX(N$470:N2484))/MAX(N$470:N2484))</f>
        <v>-0.62788758315546067</v>
      </c>
      <c r="X2484" s="564">
        <f>IF((O2484-MAX(O$470:O2484))/MAX(O$470:O2484)&gt;X2483,X2483,(O2484-MAX(O$470:O2484))/MAX(O$470:O2484))</f>
        <v>-0.62788758315546067</v>
      </c>
    </row>
    <row r="2485" spans="1:24">
      <c r="A2485" s="799">
        <v>42887</v>
      </c>
      <c r="B2485">
        <v>2426.31</v>
      </c>
      <c r="C2485">
        <v>4104.9071709999998</v>
      </c>
      <c r="D2485">
        <v>3.2418520000000002</v>
      </c>
      <c r="E2485">
        <f>LN(D2485/参数实验室!$E$53)/参数实验室!$E$55</f>
        <v>0.69459231556093892</v>
      </c>
      <c r="F2485">
        <f t="shared" si="328"/>
        <v>1.6918312874282346</v>
      </c>
      <c r="G2485">
        <f>LN(F2485/参数实验室!$E$58)/参数实验室!$E$59</f>
        <v>8.5444290266517356E-2</v>
      </c>
      <c r="H2485" s="856">
        <f>INDEX(神经网络!$G$10:$BO$70,MATCH(ROUND(G2485*2,1)/2,神经网络!$E$10:$E$70,0),MATCH(ROUND(E2485*2,1)/2,神经网络!$G$8:$BO$8,0))</f>
        <v>2.0967113097084571</v>
      </c>
      <c r="I2485">
        <f t="shared" si="330"/>
        <v>8425.3146679558795</v>
      </c>
      <c r="J2485">
        <f t="shared" si="331"/>
        <v>968.1616854874095</v>
      </c>
      <c r="K2485">
        <f t="shared" si="332"/>
        <v>8.7023839036908957</v>
      </c>
      <c r="L2485" s="4">
        <f>MIN(MAX(L2484*(1+MAX(MIN(((B2485-B2484)/B2484)/($K$7*卓尔金历!$N$40),0),-卓尔金历!$M$43))+MIN(MAX(((B2485-B2484)/B2484)/($K$7*卓尔金历!$N$40),0),卓尔金历!$M$43),0),1)</f>
        <v>1</v>
      </c>
      <c r="M2485" s="4">
        <f>MIN(MAX(M2484*(1+MAX(MIN(((B2485-B2484)/B2484)/($K$7*30),0),-卓尔金历!$M$43))+MIN(MAX(((B2485-B2484)/B2484)/($K$7*7),0),卓尔金历!$M$43),0),1)</f>
        <v>1</v>
      </c>
      <c r="N2485">
        <f t="shared" si="333"/>
        <v>8952.9975522192308</v>
      </c>
      <c r="O2485">
        <f t="shared" si="334"/>
        <v>22381.724411596002</v>
      </c>
      <c r="P2485">
        <f t="shared" si="335"/>
        <v>0.10164135394674119</v>
      </c>
      <c r="Q2485">
        <f t="shared" si="336"/>
        <v>6.7095764531420327E-2</v>
      </c>
      <c r="R2485">
        <f t="shared" si="337"/>
        <v>3.7852713157637455E-2</v>
      </c>
      <c r="S2485">
        <f t="shared" si="329"/>
        <v>125.13329121608494</v>
      </c>
      <c r="T2485" s="564">
        <f>IF((I2485-MAX(I$470:I2485))/MAX(I$470:I2485)&gt;T2484,T2484,(I2485-MAX(I$470:I2485))/MAX(I$470:I2485))</f>
        <v>-0.91338805338419748</v>
      </c>
      <c r="U2485" s="564">
        <f>IF((J2485-MAX(J$470:J2485))/MAX(J$470:J2485)&gt;U2484,U2484,(J2485-MAX(J$470:J2485))/MAX(J$470:J2485))</f>
        <v>-0.8283551177402233</v>
      </c>
      <c r="V2485" s="564">
        <f>IF((K2485-MAX(K$470:K2485))/MAX(K$470:K2485)&gt;V2484,V2484,(K2485-MAX(K$470:K2485))/MAX(K$470:K2485))</f>
        <v>-0.84885940676762139</v>
      </c>
      <c r="W2485" s="564">
        <f>IF((N2485-MAX(N$470:N2485))/MAX(N$470:N2485)&gt;W2484,W2484,(N2485-MAX(N$470:N2485))/MAX(N$470:N2485))</f>
        <v>-0.62788758315546067</v>
      </c>
      <c r="X2485" s="564">
        <f>IF((O2485-MAX(O$470:O2485))/MAX(O$470:O2485)&gt;X2484,X2484,(O2485-MAX(O$470:O2485))/MAX(O$470:O2485))</f>
        <v>-0.62788758315546067</v>
      </c>
    </row>
    <row r="2486" spans="1:24">
      <c r="A2486" s="799">
        <v>42888</v>
      </c>
      <c r="B2486">
        <v>2400.16</v>
      </c>
      <c r="C2486">
        <v>4069.9999469999998</v>
      </c>
      <c r="D2486">
        <v>3.3218899999999998</v>
      </c>
      <c r="E2486">
        <f>LN(D2486/参数实验室!$E$53)/参数实验室!$E$55</f>
        <v>0.72336546681024838</v>
      </c>
      <c r="F2486">
        <f t="shared" si="328"/>
        <v>1.6957202632324513</v>
      </c>
      <c r="G2486">
        <f>LN(F2486/参数实验室!$E$58)/参数实验室!$E$59</f>
        <v>8.6649376323791133E-2</v>
      </c>
      <c r="H2486" s="856">
        <f>INDEX(神经网络!$G$10:$BO$70,MATCH(ROUND(G2486*2,1)/2,神经网络!$E$10:$E$70,0),MATCH(ROUND(E2486*2,1)/2,神经网络!$G$8:$BO$8,0))</f>
        <v>2.0967113097084571</v>
      </c>
      <c r="I2486">
        <f t="shared" si="330"/>
        <v>8234.9220205864694</v>
      </c>
      <c r="J2486">
        <f t="shared" si="331"/>
        <v>957.72714576433373</v>
      </c>
      <c r="K2486">
        <f t="shared" si="332"/>
        <v>8.5984009715151402</v>
      </c>
      <c r="L2486" s="4">
        <f>MIN(MAX(L2485*(1+MAX(MIN(((B2486-B2485)/B2485)/($K$7*卓尔金历!$N$40),0),-卓尔金历!$M$43))+MIN(MAX(((B2486-B2485)/B2485)/($K$7*卓尔金历!$N$40),0),卓尔金历!$M$43),0),1)</f>
        <v>0.83532734657885777</v>
      </c>
      <c r="M2486" s="4">
        <f>MIN(MAX(M2485*(1+MAX(MIN(((B2486-B2485)/B2485)/($K$7*30),0),-卓尔金历!$M$43))+MIN(MAX(((B2486-B2485)/B2485)/($K$7*7),0),卓尔金历!$M$43),0),1)</f>
        <v>0.91766367328942888</v>
      </c>
      <c r="N2486">
        <f t="shared" si="333"/>
        <v>8750.6804907162423</v>
      </c>
      <c r="O2486">
        <f t="shared" si="334"/>
        <v>21875.949146059222</v>
      </c>
      <c r="P2486">
        <f t="shared" si="335"/>
        <v>-1.0777682983625378E-2</v>
      </c>
      <c r="Q2486">
        <f t="shared" si="336"/>
        <v>6.6476687275510357E-2</v>
      </c>
      <c r="R2486">
        <f t="shared" si="337"/>
        <v>1</v>
      </c>
      <c r="S2486">
        <f t="shared" si="329"/>
        <v>125.02625421715562</v>
      </c>
      <c r="T2486" s="564">
        <f>IF((I2486-MAX(I$470:I2486))/MAX(I$470:I2486)&gt;T2485,T2485,(I2486-MAX(I$470:I2486))/MAX(I$470:I2486))</f>
        <v>-0.91338805338419748</v>
      </c>
      <c r="U2486" s="564">
        <f>IF((J2486-MAX(J$470:J2486))/MAX(J$470:J2486)&gt;U2485,U2485,(J2486-MAX(J$470:J2486))/MAX(J$470:J2486))</f>
        <v>-0.8283551177402233</v>
      </c>
      <c r="V2486" s="564">
        <f>IF((K2486-MAX(K$470:K2486))/MAX(K$470:K2486)&gt;V2485,V2485,(K2486-MAX(K$470:K2486))/MAX(K$470:K2486))</f>
        <v>-0.84885940676762139</v>
      </c>
      <c r="W2486" s="564">
        <f>IF((N2486-MAX(N$470:N2486))/MAX(N$470:N2486)&gt;W2485,W2485,(N2486-MAX(N$470:N2486))/MAX(N$470:N2486))</f>
        <v>-0.62788758315546067</v>
      </c>
      <c r="X2486" s="564">
        <f>IF((O2486-MAX(O$470:O2486))/MAX(O$470:O2486)&gt;X2485,X2485,(O2486-MAX(O$470:O2486))/MAX(O$470:O2486))</f>
        <v>-0.62788758315546067</v>
      </c>
    </row>
    <row r="2487" spans="1:24">
      <c r="A2487" s="799">
        <v>42889</v>
      </c>
      <c r="B2487">
        <v>2524.54</v>
      </c>
      <c r="C2487">
        <v>4010.5225879999998</v>
      </c>
      <c r="D2487">
        <v>3.384995</v>
      </c>
      <c r="E2487">
        <f>LN(D2487/参数实验室!$E$53)/参数实验室!$E$55</f>
        <v>0.74556669003809961</v>
      </c>
      <c r="F2487">
        <f t="shared" si="328"/>
        <v>1.5886151885095898</v>
      </c>
      <c r="G2487">
        <f>LN(F2487/参数实验室!$E$58)/参数实验室!$E$59</f>
        <v>5.2405327543773195E-2</v>
      </c>
      <c r="H2487" s="856">
        <f>INDEX(神经网络!$G$10:$BO$70,MATCH(ROUND(G2487*2,1)/2,神经网络!$E$10:$E$70,0),MATCH(ROUND(E2487*2,1)/2,神经网络!$G$8:$BO$8,0))</f>
        <v>2.1196463632046538</v>
      </c>
      <c r="I2487">
        <f t="shared" si="330"/>
        <v>9129.6859902083197</v>
      </c>
      <c r="J2487">
        <f t="shared" si="331"/>
        <v>1007.3580463668635</v>
      </c>
      <c r="K2487">
        <f t="shared" si="332"/>
        <v>9.0630000158686741</v>
      </c>
      <c r="L2487" s="4">
        <f>MIN(MAX(L2486*(1+MAX(MIN(((B2487-B2486)/B2486)/($K$7*卓尔金历!$N$40),0),-卓尔金历!$M$43))+MIN(MAX(((B2487-B2486)/B2486)/($K$7*卓尔金历!$N$40),0),卓尔金历!$M$43),0),1)</f>
        <v>1</v>
      </c>
      <c r="M2487" s="4">
        <f>MIN(MAX(M2486*(1+MAX(MIN(((B2487-B2486)/B2486)/($K$7*30),0),-卓尔金历!$M$43))+MIN(MAX(((B2487-B2486)/B2486)/($K$7*7),0),卓尔金历!$M$43),0),1)</f>
        <v>1</v>
      </c>
      <c r="N2487">
        <f t="shared" si="333"/>
        <v>9544.9127501670628</v>
      </c>
      <c r="O2487">
        <f t="shared" si="334"/>
        <v>24057.168998147947</v>
      </c>
      <c r="P2487">
        <f t="shared" si="335"/>
        <v>5.1821545230318025E-2</v>
      </c>
      <c r="Q2487">
        <f t="shared" si="336"/>
        <v>6.6574663613699792E-2</v>
      </c>
      <c r="R2487">
        <f t="shared" si="337"/>
        <v>0.33364838474133568</v>
      </c>
      <c r="S2487">
        <f t="shared" si="329"/>
        <v>138.61095936076617</v>
      </c>
      <c r="T2487" s="564">
        <f>IF((I2487-MAX(I$470:I2487))/MAX(I$470:I2487)&gt;T2486,T2486,(I2487-MAX(I$470:I2487))/MAX(I$470:I2487))</f>
        <v>-0.91338805338419748</v>
      </c>
      <c r="U2487" s="564">
        <f>IF((J2487-MAX(J$470:J2487))/MAX(J$470:J2487)&gt;U2486,U2486,(J2487-MAX(J$470:J2487))/MAX(J$470:J2487))</f>
        <v>-0.8283551177402233</v>
      </c>
      <c r="V2487" s="564">
        <f>IF((K2487-MAX(K$470:K2487))/MAX(K$470:K2487)&gt;V2486,V2486,(K2487-MAX(K$470:K2487))/MAX(K$470:K2487))</f>
        <v>-0.84885940676762139</v>
      </c>
      <c r="W2487" s="564">
        <f>IF((N2487-MAX(N$470:N2487))/MAX(N$470:N2487)&gt;W2486,W2486,(N2487-MAX(N$470:N2487))/MAX(N$470:N2487))</f>
        <v>-0.62788758315546067</v>
      </c>
      <c r="X2487" s="564">
        <f>IF((O2487-MAX(O$470:O2487))/MAX(O$470:O2487)&gt;X2486,X2486,(O2487-MAX(O$470:O2487))/MAX(O$470:O2487))</f>
        <v>-0.62788758315546067</v>
      </c>
    </row>
    <row r="2488" spans="1:24">
      <c r="A2488" s="799">
        <v>42890</v>
      </c>
      <c r="B2488">
        <v>2527.34</v>
      </c>
      <c r="C2488">
        <v>3932.1251419999999</v>
      </c>
      <c r="D2488">
        <v>3.3301690000000002</v>
      </c>
      <c r="E2488">
        <f>LN(D2488/参数实验室!$E$53)/参数实验室!$E$55</f>
        <v>0.72630205596253306</v>
      </c>
      <c r="F2488">
        <f t="shared" si="328"/>
        <v>1.5558354404235282</v>
      </c>
      <c r="G2488">
        <f>LN(F2488/参数实验室!$E$58)/参数实验室!$E$59</f>
        <v>4.1462108133002037E-2</v>
      </c>
      <c r="H2488" s="856">
        <f>INDEX(神经网络!$G$10:$BO$70,MATCH(ROUND(G2488*2,1)/2,神经网络!$E$10:$E$70,0),MATCH(ROUND(E2488*2,1)/2,神经网络!$G$8:$BO$8,0))</f>
        <v>2.1196463632046538</v>
      </c>
      <c r="I2488">
        <f t="shared" si="330"/>
        <v>9151.1492175597468</v>
      </c>
      <c r="J2488">
        <f t="shared" si="331"/>
        <v>1008.475320218665</v>
      </c>
      <c r="K2488">
        <f t="shared" si="332"/>
        <v>9.0742421099363408</v>
      </c>
      <c r="L2488" s="4">
        <f>MIN(MAX(L2487*(1+MAX(MIN(((B2488-B2487)/B2487)/($K$7*卓尔金历!$N$40),0),-卓尔金历!$M$43))+MIN(MAX(((B2488-B2487)/B2487)/($K$7*卓尔金历!$N$40),0),卓尔金历!$M$43),0),1)</f>
        <v>1</v>
      </c>
      <c r="M2488" s="4">
        <f>MIN(MAX(M2487*(1+MAX(MIN(((B2488-B2487)/B2487)/($K$7*30),0),-卓尔金历!$M$43))+MIN(MAX(((B2488-B2487)/B2487)/($K$7*7),0),卓尔金历!$M$43),0),1)</f>
        <v>1</v>
      </c>
      <c r="N2488">
        <f t="shared" si="333"/>
        <v>9567.3521454130878</v>
      </c>
      <c r="O2488">
        <f t="shared" si="334"/>
        <v>24113.725651705663</v>
      </c>
      <c r="P2488">
        <f t="shared" si="335"/>
        <v>1.1091129473092848E-3</v>
      </c>
      <c r="Q2488">
        <f t="shared" si="336"/>
        <v>6.6664201372867299E-2</v>
      </c>
      <c r="R2488">
        <f t="shared" si="337"/>
        <v>1</v>
      </c>
      <c r="S2488">
        <f t="shared" si="329"/>
        <v>138.71968345078747</v>
      </c>
      <c r="T2488" s="564">
        <f>IF((I2488-MAX(I$470:I2488))/MAX(I$470:I2488)&gt;T2487,T2487,(I2488-MAX(I$470:I2488))/MAX(I$470:I2488))</f>
        <v>-0.91338805338419748</v>
      </c>
      <c r="U2488" s="564">
        <f>IF((J2488-MAX(J$470:J2488))/MAX(J$470:J2488)&gt;U2487,U2487,(J2488-MAX(J$470:J2488))/MAX(J$470:J2488))</f>
        <v>-0.8283551177402233</v>
      </c>
      <c r="V2488" s="564">
        <f>IF((K2488-MAX(K$470:K2488))/MAX(K$470:K2488)&gt;V2487,V2487,(K2488-MAX(K$470:K2488))/MAX(K$470:K2488))</f>
        <v>-0.84885940676762139</v>
      </c>
      <c r="W2488" s="564">
        <f>IF((N2488-MAX(N$470:N2488))/MAX(N$470:N2488)&gt;W2487,W2487,(N2488-MAX(N$470:N2488))/MAX(N$470:N2488))</f>
        <v>-0.62788758315546067</v>
      </c>
      <c r="X2488" s="564">
        <f>IF((O2488-MAX(O$470:O2488))/MAX(O$470:O2488)&gt;X2487,X2487,(O2488-MAX(O$470:O2488))/MAX(O$470:O2488))</f>
        <v>-0.62788758315546067</v>
      </c>
    </row>
    <row r="2489" spans="1:24">
      <c r="A2489" s="799">
        <v>42891</v>
      </c>
      <c r="B2489">
        <v>2574.4699999999998</v>
      </c>
      <c r="C2489">
        <v>3943.5821409999999</v>
      </c>
      <c r="D2489">
        <v>3.498373</v>
      </c>
      <c r="E2489">
        <f>LN(D2489/参数实验室!$E$53)/参数实验室!$E$55</f>
        <v>0.78443433785642247</v>
      </c>
      <c r="F2489">
        <f t="shared" si="328"/>
        <v>1.5318034939230212</v>
      </c>
      <c r="G2489">
        <f>LN(F2489/参数实验室!$E$58)/参数实验室!$E$59</f>
        <v>3.3291775226434048E-2</v>
      </c>
      <c r="H2489" s="856">
        <f>INDEX(神经网络!$G$10:$BO$70,MATCH(ROUND(G2489*2,1)/2,神经网络!$E$10:$E$70,0),MATCH(ROUND(E2489*2,1)/2,神经网络!$G$8:$BO$8,0))</f>
        <v>2.1615916783879672</v>
      </c>
      <c r="I2489">
        <f t="shared" si="330"/>
        <v>9512.8694623441079</v>
      </c>
      <c r="J2489">
        <f t="shared" si="331"/>
        <v>1027.2814333027397</v>
      </c>
      <c r="K2489">
        <f t="shared" si="332"/>
        <v>9.2602369262724391</v>
      </c>
      <c r="L2489" s="4">
        <f>MIN(MAX(L2488*(1+MAX(MIN(((B2489-B2488)/B2488)/($K$7*卓尔金历!$N$40),0),-卓尔金历!$M$43))+MIN(MAX(((B2489-B2488)/B2488)/($K$7*卓尔金历!$N$40),0),卓尔金历!$M$43),0),1)</f>
        <v>1</v>
      </c>
      <c r="M2489" s="4">
        <f>MIN(MAX(M2488*(1+MAX(MIN(((B2489-B2488)/B2488)/($K$7*30),0),-卓尔金历!$M$43))+MIN(MAX(((B2489-B2488)/B2488)/($K$7*7),0),卓尔金历!$M$43),0),1)</f>
        <v>1</v>
      </c>
      <c r="N2489">
        <f t="shared" si="333"/>
        <v>9945.5237692935498</v>
      </c>
      <c r="O2489">
        <f t="shared" si="334"/>
        <v>25066.876183735105</v>
      </c>
      <c r="P2489">
        <f t="shared" si="335"/>
        <v>1.864806476374356E-2</v>
      </c>
      <c r="Q2489">
        <f t="shared" si="336"/>
        <v>6.5704371377754353E-2</v>
      </c>
      <c r="R2489">
        <f t="shared" si="337"/>
        <v>1</v>
      </c>
      <c r="S2489">
        <f t="shared" si="329"/>
        <v>144.20289836306799</v>
      </c>
      <c r="T2489" s="564">
        <f>IF((I2489-MAX(I$470:I2489))/MAX(I$470:I2489)&gt;T2488,T2488,(I2489-MAX(I$470:I2489))/MAX(I$470:I2489))</f>
        <v>-0.91338805338419748</v>
      </c>
      <c r="U2489" s="564">
        <f>IF((J2489-MAX(J$470:J2489))/MAX(J$470:J2489)&gt;U2488,U2488,(J2489-MAX(J$470:J2489))/MAX(J$470:J2489))</f>
        <v>-0.8283551177402233</v>
      </c>
      <c r="V2489" s="564">
        <f>IF((K2489-MAX(K$470:K2489))/MAX(K$470:K2489)&gt;V2488,V2488,(K2489-MAX(K$470:K2489))/MAX(K$470:K2489))</f>
        <v>-0.84885940676762139</v>
      </c>
      <c r="W2489" s="564">
        <f>IF((N2489-MAX(N$470:N2489))/MAX(N$470:N2489)&gt;W2488,W2488,(N2489-MAX(N$470:N2489))/MAX(N$470:N2489))</f>
        <v>-0.62788758315546067</v>
      </c>
      <c r="X2489" s="564">
        <f>IF((O2489-MAX(O$470:O2489))/MAX(O$470:O2489)&gt;X2488,X2488,(O2489-MAX(O$470:O2489))/MAX(O$470:O2489))</f>
        <v>-0.62788758315546067</v>
      </c>
    </row>
    <row r="2490" spans="1:24">
      <c r="A2490" s="799">
        <v>42892</v>
      </c>
      <c r="B2490">
        <v>2846.14</v>
      </c>
      <c r="C2490">
        <v>3984.916882</v>
      </c>
      <c r="D2490">
        <v>3.6873429999999998</v>
      </c>
      <c r="E2490">
        <f>LN(D2490/参数实验室!$E$53)/参数实验室!$E$55</f>
        <v>0.84649896311466666</v>
      </c>
      <c r="F2490">
        <f t="shared" si="328"/>
        <v>1.4001127428728033</v>
      </c>
      <c r="G2490">
        <f>LN(F2490/参数实验室!$E$58)/参数实验室!$E$59</f>
        <v>-1.388894575653972E-2</v>
      </c>
      <c r="H2490" s="856">
        <f>INDEX(神经网络!$G$10:$BO$70,MATCH(ROUND(G2490*2,1)/2,神经网络!$E$10:$E$70,0),MATCH(ROUND(E2490*2,1)/2,神经网络!$G$8:$BO$8,0))</f>
        <v>2.1818016621009528</v>
      </c>
      <c r="I2490">
        <f t="shared" si="330"/>
        <v>11682.76608771047</v>
      </c>
      <c r="J2490">
        <f t="shared" si="331"/>
        <v>1135.6849287737903</v>
      </c>
      <c r="K2490">
        <f t="shared" si="332"/>
        <v>10.286978185335666</v>
      </c>
      <c r="L2490" s="4">
        <f>MIN(MAX(L2489*(1+MAX(MIN(((B2490-B2489)/B2489)/($K$7*卓尔金历!$N$40),0),-卓尔金历!$M$43))+MIN(MAX(((B2490-B2489)/B2489)/($K$7*卓尔金历!$N$40),0),卓尔金历!$M$43),0),1)</f>
        <v>1</v>
      </c>
      <c r="M2490" s="4">
        <f>MIN(MAX(M2489*(1+MAX(MIN(((B2490-B2489)/B2489)/($K$7*30),0),-卓尔金历!$M$43))+MIN(MAX(((B2490-B2489)/B2489)/($K$7*7),0),卓尔金历!$M$43),0),1)</f>
        <v>1</v>
      </c>
      <c r="N2490">
        <f t="shared" si="333"/>
        <v>12214.109346959325</v>
      </c>
      <c r="O2490">
        <f t="shared" si="334"/>
        <v>30784.659892937831</v>
      </c>
      <c r="P2490">
        <f t="shared" si="335"/>
        <v>0.1055246322544058</v>
      </c>
      <c r="Q2490">
        <f t="shared" si="336"/>
        <v>6.7854021363224687E-2</v>
      </c>
      <c r="R2490">
        <f t="shared" si="337"/>
        <v>3.6690257015622209E-2</v>
      </c>
      <c r="S2490">
        <f t="shared" si="329"/>
        <v>177.09574775668989</v>
      </c>
      <c r="T2490" s="564">
        <f>IF((I2490-MAX(I$470:I2490))/MAX(I$470:I2490)&gt;T2489,T2489,(I2490-MAX(I$470:I2490))/MAX(I$470:I2490))</f>
        <v>-0.91338805338419748</v>
      </c>
      <c r="U2490" s="564">
        <f>IF((J2490-MAX(J$470:J2490))/MAX(J$470:J2490)&gt;U2489,U2489,(J2490-MAX(J$470:J2490))/MAX(J$470:J2490))</f>
        <v>-0.8283551177402233</v>
      </c>
      <c r="V2490" s="564">
        <f>IF((K2490-MAX(K$470:K2490))/MAX(K$470:K2490)&gt;V2489,V2489,(K2490-MAX(K$470:K2490))/MAX(K$470:K2490))</f>
        <v>-0.84885940676762139</v>
      </c>
      <c r="W2490" s="564">
        <f>IF((N2490-MAX(N$470:N2490))/MAX(N$470:N2490)&gt;W2489,W2489,(N2490-MAX(N$470:N2490))/MAX(N$470:N2490))</f>
        <v>-0.62788758315546067</v>
      </c>
      <c r="X2490" s="564">
        <f>IF((O2490-MAX(O$470:O2490))/MAX(O$470:O2490)&gt;X2489,X2489,(O2490-MAX(O$470:O2490))/MAX(O$470:O2490))</f>
        <v>-0.62788758315546067</v>
      </c>
    </row>
    <row r="2491" spans="1:24">
      <c r="A2491" s="799">
        <v>42893</v>
      </c>
      <c r="B2491">
        <v>2827.87</v>
      </c>
      <c r="C2491">
        <v>4024.4150869999999</v>
      </c>
      <c r="D2491">
        <v>3.4556369999999998</v>
      </c>
      <c r="E2491">
        <f>LN(D2491/参数实验室!$E$53)/参数实验室!$E$55</f>
        <v>0.76993376354982002</v>
      </c>
      <c r="F2491">
        <f t="shared" si="328"/>
        <v>1.4231259170329613</v>
      </c>
      <c r="G2491">
        <f>LN(F2491/参数实验室!$E$58)/参数实验室!$E$59</f>
        <v>-5.3322302358261575E-3</v>
      </c>
      <c r="H2491" s="856">
        <f>INDEX(神经网络!$G$10:$BO$70,MATCH(ROUND(G2491*2,1)/2,神经网络!$E$10:$E$70,0),MATCH(ROUND(E2491*2,1)/2,神经网络!$G$8:$BO$8,0))</f>
        <v>2.0962318161800919</v>
      </c>
      <c r="I2491">
        <f t="shared" si="330"/>
        <v>11519.143507088207</v>
      </c>
      <c r="J2491">
        <f t="shared" si="331"/>
        <v>1128.3947168907848</v>
      </c>
      <c r="K2491">
        <f t="shared" si="332"/>
        <v>10.208434455301623</v>
      </c>
      <c r="L2491" s="4">
        <f>MIN(MAX(L2490*(1+MAX(MIN(((B2491-B2490)/B2490)/($K$7*卓尔金历!$N$40),0),-卓尔金历!$M$43))+MIN(MAX(((B2491-B2490)/B2490)/($K$7*卓尔金历!$N$40),0),卓尔金历!$M$43),0),1)</f>
        <v>0.90192047208058557</v>
      </c>
      <c r="M2491" s="4">
        <f>MIN(MAX(M2490*(1+MAX(MIN(((B2491-B2490)/B2490)/($K$7*30),0),-卓尔金历!$M$43))+MIN(MAX(((B2491-B2490)/B2490)/($K$7*7),0),卓尔金历!$M$43),0),1)</f>
        <v>0.95096023604029278</v>
      </c>
      <c r="N2491">
        <f t="shared" si="333"/>
        <v>12043.045056503806</v>
      </c>
      <c r="O2491">
        <f t="shared" si="334"/>
        <v>30353.506392350344</v>
      </c>
      <c r="P2491">
        <f t="shared" si="335"/>
        <v>-6.4192204178290533E-3</v>
      </c>
      <c r="Q2491">
        <f t="shared" si="336"/>
        <v>6.809553705033701E-2</v>
      </c>
      <c r="R2491">
        <f t="shared" si="337"/>
        <v>1</v>
      </c>
      <c r="S2491">
        <f t="shared" si="329"/>
        <v>177.00474460275152</v>
      </c>
      <c r="T2491" s="564">
        <f>IF((I2491-MAX(I$470:I2491))/MAX(I$470:I2491)&gt;T2490,T2490,(I2491-MAX(I$470:I2491))/MAX(I$470:I2491))</f>
        <v>-0.91338805338419748</v>
      </c>
      <c r="U2491" s="564">
        <f>IF((J2491-MAX(J$470:J2491))/MAX(J$470:J2491)&gt;U2490,U2490,(J2491-MAX(J$470:J2491))/MAX(J$470:J2491))</f>
        <v>-0.8283551177402233</v>
      </c>
      <c r="V2491" s="564">
        <f>IF((K2491-MAX(K$470:K2491))/MAX(K$470:K2491)&gt;V2490,V2490,(K2491-MAX(K$470:K2491))/MAX(K$470:K2491))</f>
        <v>-0.84885940676762139</v>
      </c>
      <c r="W2491" s="564">
        <f>IF((N2491-MAX(N$470:N2491))/MAX(N$470:N2491)&gt;W2490,W2490,(N2491-MAX(N$470:N2491))/MAX(N$470:N2491))</f>
        <v>-0.62788758315546067</v>
      </c>
      <c r="X2491" s="564">
        <f>IF((O2491-MAX(O$470:O2491))/MAX(O$470:O2491)&gt;X2490,X2490,(O2491-MAX(O$470:O2491))/MAX(O$470:O2491))</f>
        <v>-0.62788758315546067</v>
      </c>
    </row>
    <row r="2492" spans="1:24">
      <c r="A2492" s="799">
        <v>42894</v>
      </c>
      <c r="B2492">
        <v>2728.54</v>
      </c>
      <c r="C2492">
        <v>4000.7083339999999</v>
      </c>
      <c r="D2492">
        <v>3.5400079999999998</v>
      </c>
      <c r="E2492">
        <f>LN(D2492/参数实验室!$E$53)/参数实验室!$E$55</f>
        <v>0.7983919793233637</v>
      </c>
      <c r="F2492">
        <f t="shared" si="328"/>
        <v>1.4662450739223174</v>
      </c>
      <c r="G2492">
        <f>LN(F2492/参数实验室!$E$58)/参数实验室!$E$59</f>
        <v>1.0334116640451484E-2</v>
      </c>
      <c r="H2492" s="856">
        <f>INDEX(神经网络!$G$10:$BO$70,MATCH(ROUND(G2492*2,1)/2,神经网络!$E$10:$E$70,0),MATCH(ROUND(E2492*2,1)/2,神经网络!$G$8:$BO$8,0))</f>
        <v>2.1421607976683701</v>
      </c>
      <c r="I2492">
        <f t="shared" si="330"/>
        <v>10670.978224121376</v>
      </c>
      <c r="J2492">
        <f t="shared" si="331"/>
        <v>1088.759426998123</v>
      </c>
      <c r="K2492">
        <f t="shared" si="332"/>
        <v>9.8010432419794533</v>
      </c>
      <c r="L2492" s="4">
        <f>MIN(MAX(L2491*(1+MAX(MIN(((B2492-B2491)/B2491)/($K$7*卓尔金历!$N$40),0),-卓尔金历!$M$43))+MIN(MAX(((B2492-B2491)/B2491)/($K$7*卓尔金历!$N$40),0),卓尔金历!$M$43),0),1)</f>
        <v>0.41787594055271365</v>
      </c>
      <c r="M2492" s="4">
        <f>MIN(MAX(M2491*(1+MAX(MIN(((B2492-B2491)/B2491)/($K$7*30),0),-卓尔金历!$M$43))+MIN(MAX(((B2492-B2491)/B2491)/($K$7*7),0),卓尔金历!$M$43),0),1)</f>
        <v>0.69577858965083705</v>
      </c>
      <c r="N2492">
        <f t="shared" si="333"/>
        <v>11243.275517324766</v>
      </c>
      <c r="O2492">
        <f t="shared" si="334"/>
        <v>28228.151162436261</v>
      </c>
      <c r="P2492">
        <f t="shared" si="335"/>
        <v>-3.5125377050571609E-2</v>
      </c>
      <c r="Q2492">
        <f t="shared" si="336"/>
        <v>6.9133717388710783E-2</v>
      </c>
      <c r="R2492">
        <f t="shared" si="337"/>
        <v>0.79132299885655633</v>
      </c>
      <c r="S2492">
        <f t="shared" si="329"/>
        <v>163.97172012483929</v>
      </c>
      <c r="T2492" s="564">
        <f>IF((I2492-MAX(I$470:I2492))/MAX(I$470:I2492)&gt;T2491,T2491,(I2492-MAX(I$470:I2492))/MAX(I$470:I2492))</f>
        <v>-0.91338805338419748</v>
      </c>
      <c r="U2492" s="564">
        <f>IF((J2492-MAX(J$470:J2492))/MAX(J$470:J2492)&gt;U2491,U2491,(J2492-MAX(J$470:J2492))/MAX(J$470:J2492))</f>
        <v>-0.8283551177402233</v>
      </c>
      <c r="V2492" s="564">
        <f>IF((K2492-MAX(K$470:K2492))/MAX(K$470:K2492)&gt;V2491,V2491,(K2492-MAX(K$470:K2492))/MAX(K$470:K2492))</f>
        <v>-0.84885940676762139</v>
      </c>
      <c r="W2492" s="564">
        <f>IF((N2492-MAX(N$470:N2492))/MAX(N$470:N2492)&gt;W2491,W2491,(N2492-MAX(N$470:N2492))/MAX(N$470:N2492))</f>
        <v>-0.62788758315546067</v>
      </c>
      <c r="X2492" s="564">
        <f>IF((O2492-MAX(O$470:O2492))/MAX(O$470:O2492)&gt;X2491,X2491,(O2492-MAX(O$470:O2492))/MAX(O$470:O2492))</f>
        <v>-0.62788758315546067</v>
      </c>
    </row>
    <row r="2493" spans="1:24">
      <c r="A2493" s="799">
        <v>42895</v>
      </c>
      <c r="B2493">
        <v>2864.85</v>
      </c>
      <c r="C2493">
        <v>3994.6222269999998</v>
      </c>
      <c r="D2493">
        <v>3.5090810000000001</v>
      </c>
      <c r="E2493">
        <f>LN(D2493/参数实验室!$E$53)/参数实验室!$E$55</f>
        <v>0.78803987206876469</v>
      </c>
      <c r="F2493">
        <f t="shared" si="328"/>
        <v>1.3943565027837408</v>
      </c>
      <c r="G2493">
        <f>LN(F2493/参数实验室!$E$58)/参数实验室!$E$59</f>
        <v>-1.6051209779608513E-2</v>
      </c>
      <c r="H2493" s="856">
        <f>INDEX(神经网络!$G$10:$BO$70,MATCH(ROUND(G2493*2,1)/2,神经网络!$E$10:$E$70,0),MATCH(ROUND(E2493*2,1)/2,神经网络!$G$8:$BO$8,0))</f>
        <v>2.1421607976683701</v>
      </c>
      <c r="I2493">
        <f t="shared" si="330"/>
        <v>11812.945591801394</v>
      </c>
      <c r="J2493">
        <f t="shared" si="331"/>
        <v>1143.150712262079</v>
      </c>
      <c r="K2493">
        <f t="shared" si="332"/>
        <v>10.333672948885113</v>
      </c>
      <c r="L2493" s="4">
        <f>MIN(MAX(L2492*(1+MAX(MIN(((B2493-B2492)/B2492)/($K$7*卓尔金历!$N$40),0),-卓尔金历!$M$43))+MIN(MAX(((B2493-B2492)/B2492)/($K$7*卓尔金历!$N$40),0),卓尔金历!$M$43),0),1)</f>
        <v>1</v>
      </c>
      <c r="M2493" s="4">
        <f>MIN(MAX(M2492*(1+MAX(MIN(((B2493-B2492)/B2492)/($K$7*30),0),-卓尔金历!$M$43))+MIN(MAX(((B2493-B2492)/B2492)/($K$7*7),0),卓尔金历!$M$43),0),1)</f>
        <v>1</v>
      </c>
      <c r="N2493">
        <f t="shared" si="333"/>
        <v>11746.06904738971</v>
      </c>
      <c r="O2493">
        <f t="shared" si="334"/>
        <v>30330.007145242409</v>
      </c>
      <c r="P2493">
        <f t="shared" si="335"/>
        <v>4.9957119924941527E-2</v>
      </c>
      <c r="Q2493">
        <f t="shared" si="336"/>
        <v>6.8376007779931941E-2</v>
      </c>
      <c r="R2493">
        <f t="shared" si="337"/>
        <v>0.40468877968438022</v>
      </c>
      <c r="S2493">
        <f t="shared" si="329"/>
        <v>177.8575615387648</v>
      </c>
      <c r="T2493" s="564">
        <f>IF((I2493-MAX(I$470:I2493))/MAX(I$470:I2493)&gt;T2492,T2492,(I2493-MAX(I$470:I2493))/MAX(I$470:I2493))</f>
        <v>-0.91338805338419748</v>
      </c>
      <c r="U2493" s="564">
        <f>IF((J2493-MAX(J$470:J2493))/MAX(J$470:J2493)&gt;U2492,U2492,(J2493-MAX(J$470:J2493))/MAX(J$470:J2493))</f>
        <v>-0.8283551177402233</v>
      </c>
      <c r="V2493" s="564">
        <f>IF((K2493-MAX(K$470:K2493))/MAX(K$470:K2493)&gt;V2492,V2492,(K2493-MAX(K$470:K2493))/MAX(K$470:K2493))</f>
        <v>-0.84885940676762139</v>
      </c>
      <c r="W2493" s="564">
        <f>IF((N2493-MAX(N$470:N2493))/MAX(N$470:N2493)&gt;W2492,W2492,(N2493-MAX(N$470:N2493))/MAX(N$470:N2493))</f>
        <v>-0.62788758315546067</v>
      </c>
      <c r="X2493" s="564">
        <f>IF((O2493-MAX(O$470:O2493))/MAX(O$470:O2493)&gt;X2492,X2492,(O2493-MAX(O$470:O2493))/MAX(O$470:O2493))</f>
        <v>-0.62788758315546067</v>
      </c>
    </row>
    <row r="2494" spans="1:24">
      <c r="A2494" s="799">
        <v>42896</v>
      </c>
      <c r="B2494">
        <v>2875.41</v>
      </c>
      <c r="C2494">
        <v>3980.9289210000002</v>
      </c>
      <c r="D2494">
        <v>3.6037569999999999</v>
      </c>
      <c r="E2494">
        <f>LN(D2494/参数实验室!$E$53)/参数实验室!$E$55</f>
        <v>0.81944812716445781</v>
      </c>
      <c r="F2494">
        <f t="shared" si="328"/>
        <v>1.3844734910847498</v>
      </c>
      <c r="G2494">
        <f>LN(F2494/参数实验室!$E$58)/参数实验室!$E$59</f>
        <v>-1.9784551171689608E-2</v>
      </c>
      <c r="H2494" s="856">
        <f>INDEX(神经网络!$G$10:$BO$70,MATCH(ROUND(G2494*2,1)/2,神经网络!$E$10:$E$70,0),MATCH(ROUND(E2494*2,1)/2,神经网络!$G$8:$BO$8,0))</f>
        <v>2.1421607976683701</v>
      </c>
      <c r="I2494">
        <f t="shared" si="330"/>
        <v>11906.222104613735</v>
      </c>
      <c r="J2494">
        <f t="shared" si="331"/>
        <v>1147.3644307888735</v>
      </c>
      <c r="K2494">
        <f t="shared" si="332"/>
        <v>10.377018656947191</v>
      </c>
      <c r="L2494" s="4">
        <f>MIN(MAX(L2493*(1+MAX(MIN(((B2494-B2493)/B2493)/($K$7*卓尔金历!$N$40),0),-卓尔金历!$M$43))+MIN(MAX(((B2494-B2493)/B2493)/($K$7*卓尔金历!$N$40),0),卓尔金历!$M$43),0),1)</f>
        <v>1</v>
      </c>
      <c r="M2494" s="4">
        <f>MIN(MAX(M2493*(1+MAX(MIN(((B2494-B2493)/B2493)/($K$7*30),0),-卓尔金历!$M$43))+MIN(MAX(((B2494-B2493)/B2493)/($K$7*7),0),卓尔金历!$M$43),0),1)</f>
        <v>1</v>
      </c>
      <c r="N2494">
        <f t="shared" si="333"/>
        <v>11838.817494547031</v>
      </c>
      <c r="O2494">
        <f t="shared" si="334"/>
        <v>30569.496718617327</v>
      </c>
      <c r="P2494">
        <f t="shared" si="335"/>
        <v>3.6860568616157723E-3</v>
      </c>
      <c r="Q2494">
        <f t="shared" si="336"/>
        <v>6.8459990526933259E-2</v>
      </c>
      <c r="R2494">
        <f t="shared" si="337"/>
        <v>1</v>
      </c>
      <c r="S2494">
        <f t="shared" si="329"/>
        <v>178.42590071685123</v>
      </c>
      <c r="T2494" s="564">
        <f>IF((I2494-MAX(I$470:I2494))/MAX(I$470:I2494)&gt;T2493,T2493,(I2494-MAX(I$470:I2494))/MAX(I$470:I2494))</f>
        <v>-0.91338805338419748</v>
      </c>
      <c r="U2494" s="564">
        <f>IF((J2494-MAX(J$470:J2494))/MAX(J$470:J2494)&gt;U2493,U2493,(J2494-MAX(J$470:J2494))/MAX(J$470:J2494))</f>
        <v>-0.8283551177402233</v>
      </c>
      <c r="V2494" s="564">
        <f>IF((K2494-MAX(K$470:K2494))/MAX(K$470:K2494)&gt;V2493,V2493,(K2494-MAX(K$470:K2494))/MAX(K$470:K2494))</f>
        <v>-0.84885940676762139</v>
      </c>
      <c r="W2494" s="564">
        <f>IF((N2494-MAX(N$470:N2494))/MAX(N$470:N2494)&gt;W2493,W2493,(N2494-MAX(N$470:N2494))/MAX(N$470:N2494))</f>
        <v>-0.62788758315546067</v>
      </c>
      <c r="X2494" s="564">
        <f>IF((O2494-MAX(O$470:O2494))/MAX(O$470:O2494)&gt;X2493,X2493,(O2494-MAX(O$470:O2494))/MAX(O$470:O2494))</f>
        <v>-0.62788758315546067</v>
      </c>
    </row>
    <row r="2495" spans="1:24">
      <c r="A2495" s="799">
        <v>42897</v>
      </c>
      <c r="B2495">
        <v>2910.44</v>
      </c>
      <c r="C2495">
        <v>4002.4586800000002</v>
      </c>
      <c r="D2495">
        <v>3.6401940000000002</v>
      </c>
      <c r="E2495">
        <f>LN(D2495/参数实验室!$E$53)/参数实验室!$E$55</f>
        <v>0.83131652094251096</v>
      </c>
      <c r="F2495">
        <f t="shared" si="328"/>
        <v>1.3752074188095271</v>
      </c>
      <c r="G2495">
        <f>LN(F2495/参数实验室!$E$58)/参数实验室!$E$59</f>
        <v>-2.3309128057411168E-2</v>
      </c>
      <c r="H2495" s="856">
        <f>INDEX(神经网络!$G$10:$BO$70,MATCH(ROUND(G2495*2,1)/2,神经网络!$E$10:$E$70,0),MATCH(ROUND(E2495*2,1)/2,神经网络!$G$8:$BO$8,0))</f>
        <v>2.1818016621009528</v>
      </c>
      <c r="I2495">
        <f t="shared" si="330"/>
        <v>12216.940099507156</v>
      </c>
      <c r="J2495">
        <f t="shared" si="331"/>
        <v>1161.342324727663</v>
      </c>
      <c r="K2495">
        <f t="shared" si="332"/>
        <v>10.519671796489508</v>
      </c>
      <c r="L2495" s="4">
        <f>MIN(MAX(L2494*(1+MAX(MIN(((B2495-B2494)/B2494)/($K$7*卓尔金历!$N$40),0),-卓尔金历!$M$43))+MIN(MAX(((B2495-B2494)/B2494)/($K$7*卓尔金历!$N$40),0),卓尔金历!$M$43),0),1)</f>
        <v>1</v>
      </c>
      <c r="M2495" s="4">
        <f>MIN(MAX(M2494*(1+MAX(MIN(((B2495-B2494)/B2494)/($K$7*30),0),-卓尔金历!$M$43))+MIN(MAX(((B2495-B2494)/B2494)/($K$7*7),0),卓尔金历!$M$43),0),1)</f>
        <v>1</v>
      </c>
      <c r="N2495">
        <f t="shared" si="333"/>
        <v>12147.776423877716</v>
      </c>
      <c r="O2495">
        <f t="shared" si="334"/>
        <v>31367.272254958873</v>
      </c>
      <c r="P2495">
        <f t="shared" si="335"/>
        <v>1.218261047989685E-2</v>
      </c>
      <c r="Q2495">
        <f t="shared" si="336"/>
        <v>6.8318676267043535E-2</v>
      </c>
      <c r="R2495">
        <f t="shared" si="337"/>
        <v>1</v>
      </c>
      <c r="S2495">
        <f t="shared" si="329"/>
        <v>183.08230117878358</v>
      </c>
      <c r="T2495" s="564">
        <f>IF((I2495-MAX(I$470:I2495))/MAX(I$470:I2495)&gt;T2494,T2494,(I2495-MAX(I$470:I2495))/MAX(I$470:I2495))</f>
        <v>-0.91338805338419748</v>
      </c>
      <c r="U2495" s="564">
        <f>IF((J2495-MAX(J$470:J2495))/MAX(J$470:J2495)&gt;U2494,U2494,(J2495-MAX(J$470:J2495))/MAX(J$470:J2495))</f>
        <v>-0.8283551177402233</v>
      </c>
      <c r="V2495" s="564">
        <f>IF((K2495-MAX(K$470:K2495))/MAX(K$470:K2495)&gt;V2494,V2494,(K2495-MAX(K$470:K2495))/MAX(K$470:K2495))</f>
        <v>-0.84885940676762139</v>
      </c>
      <c r="W2495" s="564">
        <f>IF((N2495-MAX(N$470:N2495))/MAX(N$470:N2495)&gt;W2494,W2494,(N2495-MAX(N$470:N2495))/MAX(N$470:N2495))</f>
        <v>-0.62788758315546067</v>
      </c>
      <c r="X2495" s="564">
        <f>IF((O2495-MAX(O$470:O2495))/MAX(O$470:O2495)&gt;X2494,X2494,(O2495-MAX(O$470:O2495))/MAX(O$470:O2495))</f>
        <v>-0.62788758315546067</v>
      </c>
    </row>
    <row r="2496" spans="1:24">
      <c r="A2496" s="799">
        <v>42898</v>
      </c>
      <c r="B2496">
        <v>2759.19</v>
      </c>
      <c r="C2496">
        <v>4031.7797409999998</v>
      </c>
      <c r="D2496">
        <v>3.228005</v>
      </c>
      <c r="E2496">
        <f>LN(D2496/参数实验室!$E$53)/参数实验室!$E$55</f>
        <v>0.68954241473243783</v>
      </c>
      <c r="F2496">
        <f t="shared" si="328"/>
        <v>1.4612185971245184</v>
      </c>
      <c r="G2496">
        <f>LN(F2496/参数实验室!$E$58)/参数实验室!$E$59</f>
        <v>8.5317583134010538E-3</v>
      </c>
      <c r="H2496" s="856">
        <f>INDEX(神经网络!$G$10:$BO$70,MATCH(ROUND(G2496*2,1)/2,神经网络!$E$10:$E$70,0),MATCH(ROUND(E2496*2,1)/2,神经网络!$G$8:$BO$8,0))</f>
        <v>2.0463570055759068</v>
      </c>
      <c r="I2496">
        <f t="shared" si="330"/>
        <v>10831.733839456274</v>
      </c>
      <c r="J2496">
        <f t="shared" si="331"/>
        <v>1100.9895854115944</v>
      </c>
      <c r="K2496">
        <f t="shared" si="332"/>
        <v>9.8381801090397545</v>
      </c>
      <c r="L2496" s="4">
        <f>MIN(MAX(L2495*(1+MAX(MIN(((B2496-B2495)/B2495)/($K$7*卓尔金历!$N$40),0),-卓尔金历!$M$43))+MIN(MAX(((B2496-B2495)/B2495)/($K$7*卓尔金历!$N$40),0),卓尔金历!$M$43),0),1)</f>
        <v>0.20597749610612148</v>
      </c>
      <c r="M2496" s="4">
        <f>MIN(MAX(M2495*(1+MAX(MIN(((B2496-B2495)/B2495)/($K$7*30),0),-卓尔金历!$M$43))+MIN(MAX(((B2496-B2495)/B2495)/($K$7*7),0),卓尔金历!$M$43),0),1)</f>
        <v>0.60298874805306069</v>
      </c>
      <c r="N2496">
        <f t="shared" si="333"/>
        <v>10770.412222122093</v>
      </c>
      <c r="O2496">
        <f t="shared" si="334"/>
        <v>27810.723599208141</v>
      </c>
      <c r="P2496">
        <f t="shared" si="335"/>
        <v>-5.1968087299514847E-2</v>
      </c>
      <c r="Q2496">
        <f t="shared" si="336"/>
        <v>6.8413628851208177E-2</v>
      </c>
      <c r="R2496">
        <f t="shared" si="337"/>
        <v>0.3620445982296705</v>
      </c>
      <c r="S2496">
        <f t="shared" si="329"/>
        <v>162.32368669498146</v>
      </c>
      <c r="T2496" s="564">
        <f>IF((I2496-MAX(I$470:I2496))/MAX(I$470:I2496)&gt;T2495,T2495,(I2496-MAX(I$470:I2496))/MAX(I$470:I2496))</f>
        <v>-0.91338805338419748</v>
      </c>
      <c r="U2496" s="564">
        <f>IF((J2496-MAX(J$470:J2496))/MAX(J$470:J2496)&gt;U2495,U2495,(J2496-MAX(J$470:J2496))/MAX(J$470:J2496))</f>
        <v>-0.8283551177402233</v>
      </c>
      <c r="V2496" s="564">
        <f>IF((K2496-MAX(K$470:K2496))/MAX(K$470:K2496)&gt;V2495,V2495,(K2496-MAX(K$470:K2496))/MAX(K$470:K2496))</f>
        <v>-0.84885940676762139</v>
      </c>
      <c r="W2496" s="564">
        <f>IF((N2496-MAX(N$470:N2496))/MAX(N$470:N2496)&gt;W2495,W2495,(N2496-MAX(N$470:N2496))/MAX(N$470:N2496))</f>
        <v>-0.62788758315546067</v>
      </c>
      <c r="X2496" s="564">
        <f>IF((O2496-MAX(O$470:O2496))/MAX(O$470:O2496)&gt;X2495,X2495,(O2496-MAX(O$470:O2496))/MAX(O$470:O2496))</f>
        <v>-0.62788758315546067</v>
      </c>
    </row>
    <row r="2497" spans="1:24">
      <c r="A2497" s="799">
        <v>42899</v>
      </c>
      <c r="B2497">
        <v>2718.07</v>
      </c>
      <c r="C2497">
        <v>4092.3368909999999</v>
      </c>
      <c r="D2497">
        <v>3.2411460000000001</v>
      </c>
      <c r="E2497">
        <f>LN(D2497/参数实验室!$E$53)/参数实验室!$E$55</f>
        <v>0.69433536475097812</v>
      </c>
      <c r="F2497">
        <f t="shared" si="328"/>
        <v>1.5056039362488824</v>
      </c>
      <c r="G2497">
        <f>LN(F2497/参数实验室!$E$58)/参数实验室!$E$59</f>
        <v>2.4237155367913928E-2</v>
      </c>
      <c r="H2497" s="856">
        <f>INDEX(神经网络!$G$10:$BO$70,MATCH(ROUND(G2497*2,1)/2,神经网络!$E$10:$E$70,0),MATCH(ROUND(E2497*2,1)/2,神经网络!$G$8:$BO$8,0))</f>
        <v>2.0463570055759068</v>
      </c>
      <c r="I2497">
        <f t="shared" si="330"/>
        <v>10501.401661261916</v>
      </c>
      <c r="J2497">
        <f t="shared" si="331"/>
        <v>1084.5816208451365</v>
      </c>
      <c r="K2497">
        <f t="shared" si="332"/>
        <v>9.6824447874000743</v>
      </c>
      <c r="L2497" s="4">
        <f>MIN(MAX(L2496*(1+MAX(MIN(((B2497-B2496)/B2496)/($K$7*卓尔金历!$N$40),0),-卓尔金历!$M$43))+MIN(MAX(((B2497-B2496)/B2496)/($K$7*卓尔金历!$N$40),0),卓尔金历!$M$43),0),1)</f>
        <v>0.15907592925369937</v>
      </c>
      <c r="M2497" s="4">
        <f>MIN(MAX(M2496*(1+MAX(MIN(((B2497-B2496)/B2496)/($K$7*30),0),-卓尔金历!$M$43))+MIN(MAX(((B2497-B2496)/B2496)/($K$7*7),0),卓尔金历!$M$43),0),1)</f>
        <v>0.53433776041434733</v>
      </c>
      <c r="N2497">
        <f t="shared" si="333"/>
        <v>10702.756427172517</v>
      </c>
      <c r="O2497">
        <f t="shared" si="334"/>
        <v>27299.307496679954</v>
      </c>
      <c r="P2497">
        <f t="shared" si="335"/>
        <v>-1.4902924408975058E-2</v>
      </c>
      <c r="Q2497">
        <f t="shared" si="336"/>
        <v>6.8657983283808344E-2</v>
      </c>
      <c r="R2497">
        <f t="shared" si="337"/>
        <v>1</v>
      </c>
      <c r="S2497">
        <f t="shared" si="329"/>
        <v>160.53144378436983</v>
      </c>
      <c r="T2497" s="564">
        <f>IF((I2497-MAX(I$470:I2497))/MAX(I$470:I2497)&gt;T2496,T2496,(I2497-MAX(I$470:I2497))/MAX(I$470:I2497))</f>
        <v>-0.91338805338419748</v>
      </c>
      <c r="U2497" s="564">
        <f>IF((J2497-MAX(J$470:J2497))/MAX(J$470:J2497)&gt;U2496,U2496,(J2497-MAX(J$470:J2497))/MAX(J$470:J2497))</f>
        <v>-0.8283551177402233</v>
      </c>
      <c r="V2497" s="564">
        <f>IF((K2497-MAX(K$470:K2497))/MAX(K$470:K2497)&gt;V2496,V2496,(K2497-MAX(K$470:K2497))/MAX(K$470:K2497))</f>
        <v>-0.84885940676762139</v>
      </c>
      <c r="W2497" s="564">
        <f>IF((N2497-MAX(N$470:N2497))/MAX(N$470:N2497)&gt;W2496,W2496,(N2497-MAX(N$470:N2497))/MAX(N$470:N2497))</f>
        <v>-0.62788758315546067</v>
      </c>
      <c r="X2497" s="564">
        <f>IF((O2497-MAX(O$470:O2497))/MAX(O$470:O2497)&gt;X2496,X2496,(O2497-MAX(O$470:O2497))/MAX(O$470:O2497))</f>
        <v>-0.62788758315546067</v>
      </c>
    </row>
    <row r="2498" spans="1:24">
      <c r="A2498" s="799">
        <v>42900</v>
      </c>
      <c r="B2498">
        <v>2635.36</v>
      </c>
      <c r="C2498">
        <v>4172.6928170000001</v>
      </c>
      <c r="D2498">
        <v>2.9197980000000001</v>
      </c>
      <c r="E2498">
        <f>LN(D2498/参数实验室!$E$53)/参数实验室!$E$55</f>
        <v>0.57115433767935642</v>
      </c>
      <c r="F2498">
        <f t="shared" si="328"/>
        <v>1.5833483156001458</v>
      </c>
      <c r="G2498">
        <f>LN(F2498/参数实验室!$E$58)/参数实验室!$E$59</f>
        <v>5.0662342747231359E-2</v>
      </c>
      <c r="H2498" s="856">
        <f>INDEX(神经网络!$G$10:$BO$70,MATCH(ROUND(G2498*2,1)/2,神经网络!$E$10:$E$70,0),MATCH(ROUND(E2498*2,1)/2,神经网络!$G$8:$BO$8,0))</f>
        <v>1.9021686801216116</v>
      </c>
      <c r="I2498">
        <f t="shared" si="330"/>
        <v>9847.4794994647345</v>
      </c>
      <c r="J2498">
        <f t="shared" si="331"/>
        <v>1051.5781493156685</v>
      </c>
      <c r="K2498">
        <f t="shared" si="332"/>
        <v>9.3644771012721613</v>
      </c>
      <c r="L2498" s="4">
        <f>MIN(MAX(L2497*(1+MAX(MIN(((B2498-B2497)/B2497)/($K$7*卓尔金历!$N$40),0),-卓尔金历!$M$43))+MIN(MAX(((B2498-B2497)/B2497)/($K$7*卓尔金历!$N$40),0),卓尔金历!$M$43),0),1)</f>
        <v>8.5115754104651178E-2</v>
      </c>
      <c r="M2498" s="4">
        <f>MIN(MAX(M2497*(1+MAX(MIN(((B2498-B2497)/B2497)/($K$7*30),0),-卓尔金历!$M$43))+MIN(MAX(((B2498-B2497)/B2497)/($K$7*7),0),卓尔金历!$M$43),0),1)</f>
        <v>0.41012124778920978</v>
      </c>
      <c r="N2498">
        <f t="shared" si="333"/>
        <v>10596.738600519129</v>
      </c>
      <c r="O2498">
        <f t="shared" si="334"/>
        <v>26390.972007780802</v>
      </c>
      <c r="P2498">
        <f t="shared" si="335"/>
        <v>-3.0429679883152396E-2</v>
      </c>
      <c r="Q2498">
        <f t="shared" si="336"/>
        <v>6.7701213648313274E-2</v>
      </c>
      <c r="R2498">
        <f t="shared" si="337"/>
        <v>0.92324845067530814</v>
      </c>
      <c r="S2498">
        <f t="shared" si="329"/>
        <v>150.53515260896083</v>
      </c>
      <c r="T2498" s="564">
        <f>IF((I2498-MAX(I$470:I2498))/MAX(I$470:I2498)&gt;T2497,T2497,(I2498-MAX(I$470:I2498))/MAX(I$470:I2498))</f>
        <v>-0.91338805338419748</v>
      </c>
      <c r="U2498" s="564">
        <f>IF((J2498-MAX(J$470:J2498))/MAX(J$470:J2498)&gt;U2497,U2497,(J2498-MAX(J$470:J2498))/MAX(J$470:J2498))</f>
        <v>-0.8283551177402233</v>
      </c>
      <c r="V2498" s="564">
        <f>IF((K2498-MAX(K$470:K2498))/MAX(K$470:K2498)&gt;V2497,V2497,(K2498-MAX(K$470:K2498))/MAX(K$470:K2498))</f>
        <v>-0.84885940676762139</v>
      </c>
      <c r="W2498" s="564">
        <f>IF((N2498-MAX(N$470:N2498))/MAX(N$470:N2498)&gt;W2497,W2497,(N2498-MAX(N$470:N2498))/MAX(N$470:N2498))</f>
        <v>-0.62788758315546067</v>
      </c>
      <c r="X2498" s="564">
        <f>IF((O2498-MAX(O$470:O2498))/MAX(O$470:O2498)&gt;X2497,X2497,(O2498-MAX(O$470:O2498))/MAX(O$470:O2498))</f>
        <v>-0.62788758315546067</v>
      </c>
    </row>
    <row r="2499" spans="1:24">
      <c r="A2499" s="799">
        <v>42901</v>
      </c>
      <c r="B2499">
        <v>2261.25</v>
      </c>
      <c r="C2499">
        <v>4118.7452960000001</v>
      </c>
      <c r="D2499">
        <v>2.8737200000000001</v>
      </c>
      <c r="E2499">
        <f>LN(D2499/参数实验室!$E$53)/参数实验室!$E$55</f>
        <v>0.55238791070555604</v>
      </c>
      <c r="F2499">
        <f t="shared" si="328"/>
        <v>1.8214462337202875</v>
      </c>
      <c r="G2499">
        <f>LN(F2499/参数实验室!$E$58)/参数实验室!$E$59</f>
        <v>0.12418863528947584</v>
      </c>
      <c r="H2499" s="856">
        <f>INDEX(神经网络!$G$10:$BO$70,MATCH(ROUND(G2499*2,1)/2,神经网络!$E$10:$E$70,0),MATCH(ROUND(E2499*2,1)/2,神经网络!$G$8:$BO$8,0))</f>
        <v>1.9342698288427571</v>
      </c>
      <c r="I2499">
        <f t="shared" si="330"/>
        <v>7188.3867906678142</v>
      </c>
      <c r="J2499">
        <f t="shared" si="331"/>
        <v>902.29839192370503</v>
      </c>
      <c r="K2499">
        <f t="shared" si="332"/>
        <v>7.9667511934074655</v>
      </c>
      <c r="L2499" s="4">
        <f>MIN(MAX(L2498*(1+MAX(MIN(((B2499-B2498)/B2498)/($K$7*卓尔金历!$N$40),0),-卓尔金历!$M$43))+MIN(MAX(((B2499-B2498)/B2498)/($K$7*卓尔金历!$N$40),0),卓尔金历!$M$43),0),1)</f>
        <v>0</v>
      </c>
      <c r="M2499" s="4">
        <f>MIN(MAX(M2498*(1+MAX(MIN(((B2499-B2498)/B2498)/($K$7*30),0),-卓尔金历!$M$43))+MIN(MAX(((B2499-B2498)/B2498)/($K$7*7),0),卓尔金历!$M$43),0),1)</f>
        <v>0</v>
      </c>
      <c r="N2499">
        <f t="shared" si="333"/>
        <v>10353.18723638735</v>
      </c>
      <c r="O2499">
        <f t="shared" si="334"/>
        <v>23468.327121701917</v>
      </c>
      <c r="P2499">
        <f t="shared" si="335"/>
        <v>-0.1419578349826969</v>
      </c>
      <c r="Q2499">
        <f t="shared" si="336"/>
        <v>6.9413227619669934E-2</v>
      </c>
      <c r="R2499">
        <f t="shared" si="337"/>
        <v>1.9264202444657985E-2</v>
      </c>
      <c r="S2499">
        <f t="shared" si="329"/>
        <v>113.0063326769144</v>
      </c>
      <c r="T2499" s="564">
        <f>IF((I2499-MAX(I$470:I2499))/MAX(I$470:I2499)&gt;T2498,T2498,(I2499-MAX(I$470:I2499))/MAX(I$470:I2499))</f>
        <v>-0.91338805338419748</v>
      </c>
      <c r="U2499" s="564">
        <f>IF((J2499-MAX(J$470:J2499))/MAX(J$470:J2499)&gt;U2498,U2498,(J2499-MAX(J$470:J2499))/MAX(J$470:J2499))</f>
        <v>-0.8283551177402233</v>
      </c>
      <c r="V2499" s="564">
        <f>IF((K2499-MAX(K$470:K2499))/MAX(K$470:K2499)&gt;V2498,V2498,(K2499-MAX(K$470:K2499))/MAX(K$470:K2499))</f>
        <v>-0.84885940676762139</v>
      </c>
      <c r="W2499" s="564">
        <f>IF((N2499-MAX(N$470:N2499))/MAX(N$470:N2499)&gt;W2498,W2498,(N2499-MAX(N$470:N2499))/MAX(N$470:N2499))</f>
        <v>-0.62788758315546067</v>
      </c>
      <c r="X2499" s="564">
        <f>IF((O2499-MAX(O$470:O2499))/MAX(O$470:O2499)&gt;X2498,X2498,(O2499-MAX(O$470:O2499))/MAX(O$470:O2499))</f>
        <v>-0.62788758315546067</v>
      </c>
    </row>
    <row r="2500" spans="1:24">
      <c r="A2500" s="799">
        <v>42902</v>
      </c>
      <c r="B2500">
        <v>2481.7399999999998</v>
      </c>
      <c r="C2500">
        <v>4138.6282650000003</v>
      </c>
      <c r="D2500">
        <v>2.9341309999999998</v>
      </c>
      <c r="E2500">
        <f>LN(D2500/参数实验室!$E$53)/参数实验室!$E$55</f>
        <v>0.57693146173939536</v>
      </c>
      <c r="F2500">
        <f t="shared" si="328"/>
        <v>1.6676316878480424</v>
      </c>
      <c r="G2500">
        <f>LN(F2500/参数实验室!$E$58)/参数实验室!$E$59</f>
        <v>7.788267850487568E-2</v>
      </c>
      <c r="H2500" s="856">
        <f>INDEX(神经网络!$G$10:$BO$70,MATCH(ROUND(G2500*2,1)/2,神经网络!$E$10:$E$70,0),MATCH(ROUND(E2500*2,1)/2,神经网络!$G$8:$BO$8,0))</f>
        <v>1.9940873001820962</v>
      </c>
      <c r="I2500">
        <f t="shared" si="330"/>
        <v>8544.1655096239974</v>
      </c>
      <c r="J2500">
        <f t="shared" si="331"/>
        <v>990.27971748932475</v>
      </c>
      <c r="K2500">
        <f t="shared" si="332"/>
        <v>8.6280324222798228</v>
      </c>
      <c r="L2500" s="4">
        <f>MIN(MAX(L2499*(1+MAX(MIN(((B2500-B2499)/B2499)/($K$7*卓尔金历!$N$40),0),-卓尔金历!$M$43))+MIN(MAX(((B2500-B2499)/B2499)/($K$7*卓尔金历!$N$40),0),卓尔金历!$M$43),0),1)</f>
        <v>1</v>
      </c>
      <c r="M2500" s="4">
        <f>MIN(MAX(M2499*(1+MAX(MIN(((B2500-B2499)/B2499)/($K$7*30),0),-卓尔金历!$M$43))+MIN(MAX(((B2500-B2499)/B2499)/($K$7*7),0),卓尔金历!$M$43),0),1)</f>
        <v>1</v>
      </c>
      <c r="N2500">
        <f t="shared" si="333"/>
        <v>10353.18723638735</v>
      </c>
      <c r="O2500">
        <f t="shared" si="334"/>
        <v>23468.327121701917</v>
      </c>
      <c r="P2500">
        <f t="shared" si="335"/>
        <v>9.7508015478164636E-2</v>
      </c>
      <c r="Q2500">
        <f t="shared" si="336"/>
        <v>6.616938139156027E-2</v>
      </c>
      <c r="R2500">
        <f t="shared" si="337"/>
        <v>4.2500556915659481E-2</v>
      </c>
      <c r="S2500">
        <f t="shared" si="329"/>
        <v>113.41692534509568</v>
      </c>
      <c r="T2500" s="564">
        <f>IF((I2500-MAX(I$470:I2500))/MAX(I$470:I2500)&gt;T2499,T2499,(I2500-MAX(I$470:I2500))/MAX(I$470:I2500))</f>
        <v>-0.91338805338419748</v>
      </c>
      <c r="U2500" s="564">
        <f>IF((J2500-MAX(J$470:J2500))/MAX(J$470:J2500)&gt;U2499,U2499,(J2500-MAX(J$470:J2500))/MAX(J$470:J2500))</f>
        <v>-0.8283551177402233</v>
      </c>
      <c r="V2500" s="564">
        <f>IF((K2500-MAX(K$470:K2500))/MAX(K$470:K2500)&gt;V2499,V2499,(K2500-MAX(K$470:K2500))/MAX(K$470:K2500))</f>
        <v>-0.84885940676762139</v>
      </c>
      <c r="W2500" s="564">
        <f>IF((N2500-MAX(N$470:N2500))/MAX(N$470:N2500)&gt;W2499,W2499,(N2500-MAX(N$470:N2500))/MAX(N$470:N2500))</f>
        <v>-0.62788758315546067</v>
      </c>
      <c r="X2500" s="564">
        <f>IF((O2500-MAX(O$470:O2500))/MAX(O$470:O2500)&gt;X2499,X2499,(O2500-MAX(O$470:O2500))/MAX(O$470:O2500))</f>
        <v>-0.62788758315546067</v>
      </c>
    </row>
    <row r="2501" spans="1:24">
      <c r="A2501" s="799">
        <v>42903</v>
      </c>
      <c r="B2501">
        <v>2591.41</v>
      </c>
      <c r="C2501">
        <v>4132.1892699999999</v>
      </c>
      <c r="D2501">
        <v>3.1272980000000001</v>
      </c>
      <c r="E2501">
        <f>LN(D2501/参数实验室!$E$53)/参数实验室!$E$55</f>
        <v>0.65215022248331933</v>
      </c>
      <c r="F2501">
        <f t="shared" ref="F2501:F2564" si="338">C2501/B2501</f>
        <v>1.5945717852443264</v>
      </c>
      <c r="G2501">
        <f>LN(F2501/参数实验室!$E$58)/参数实验室!$E$59</f>
        <v>5.4369615255512198E-2</v>
      </c>
      <c r="H2501" s="856">
        <f>INDEX(神经网络!$G$10:$BO$70,MATCH(ROUND(G2501*2,1)/2,神经网络!$E$10:$E$70,0),MATCH(ROUND(E2501*2,1)/2,神经网络!$G$8:$BO$8,0))</f>
        <v>2.0209961953498765</v>
      </c>
      <c r="I2501">
        <f t="shared" si="330"/>
        <v>9297.0795275047749</v>
      </c>
      <c r="J2501">
        <f t="shared" si="331"/>
        <v>1034.0409401061397</v>
      </c>
      <c r="K2501">
        <f t="shared" si="332"/>
        <v>8.9910168610446615</v>
      </c>
      <c r="L2501" s="4">
        <f>MIN(MAX(L2500*(1+MAX(MIN(((B2501-B2500)/B2500)/($K$7*卓尔金历!$N$40),0),-卓尔金历!$M$43))+MIN(MAX(((B2501-B2500)/B2500)/($K$7*卓尔金历!$N$40),0),卓尔金历!$M$43),0),1)</f>
        <v>1</v>
      </c>
      <c r="M2501" s="4">
        <f>MIN(MAX(M2500*(1+MAX(MIN(((B2501-B2500)/B2500)/($K$7*30),0),-卓尔金历!$M$43))+MIN(MAX(((B2501-B2500)/B2500)/($K$7*7),0),卓尔金历!$M$43),0),1)</f>
        <v>1</v>
      </c>
      <c r="N2501">
        <f t="shared" si="333"/>
        <v>11265.512704713095</v>
      </c>
      <c r="O2501">
        <f t="shared" si="334"/>
        <v>25536.362021802841</v>
      </c>
      <c r="P2501">
        <f t="shared" si="335"/>
        <v>4.4190769379548252E-2</v>
      </c>
      <c r="Q2501">
        <f t="shared" si="336"/>
        <v>5.7504959180392272E-2</v>
      </c>
      <c r="R2501">
        <f t="shared" si="337"/>
        <v>0.34695069709017601</v>
      </c>
      <c r="S2501">
        <f t="shared" si="329"/>
        <v>113.84168985292291</v>
      </c>
      <c r="T2501" s="564">
        <f>IF((I2501-MAX(I$470:I2501))/MAX(I$470:I2501)&gt;T2500,T2500,(I2501-MAX(I$470:I2501))/MAX(I$470:I2501))</f>
        <v>-0.91338805338419748</v>
      </c>
      <c r="U2501" s="564">
        <f>IF((J2501-MAX(J$470:J2501))/MAX(J$470:J2501)&gt;U2500,U2500,(J2501-MAX(J$470:J2501))/MAX(J$470:J2501))</f>
        <v>-0.8283551177402233</v>
      </c>
      <c r="V2501" s="564">
        <f>IF((K2501-MAX(K$470:K2501))/MAX(K$470:K2501)&gt;V2500,V2500,(K2501-MAX(K$470:K2501))/MAX(K$470:K2501))</f>
        <v>-0.84885940676762139</v>
      </c>
      <c r="W2501" s="564">
        <f>IF((N2501-MAX(N$470:N2501))/MAX(N$470:N2501)&gt;W2500,W2500,(N2501-MAX(N$470:N2501))/MAX(N$470:N2501))</f>
        <v>-0.62788758315546067</v>
      </c>
      <c r="X2501" s="564">
        <f>IF((O2501-MAX(O$470:O2501))/MAX(O$470:O2501)&gt;X2500,X2500,(O2501-MAX(O$470:O2501))/MAX(O$470:O2501))</f>
        <v>-0.62788758315546067</v>
      </c>
    </row>
    <row r="2502" spans="1:24">
      <c r="A2502" s="799">
        <v>42904</v>
      </c>
      <c r="B2502">
        <v>2568.92</v>
      </c>
      <c r="C2502">
        <v>4184.0477790000004</v>
      </c>
      <c r="D2502">
        <v>2.9367760000000001</v>
      </c>
      <c r="E2502">
        <f>LN(D2502/参数实验室!$E$53)/参数实验室!$E$55</f>
        <v>0.57799448233959583</v>
      </c>
      <c r="F2502">
        <f t="shared" si="338"/>
        <v>1.6287185973093752</v>
      </c>
      <c r="G2502">
        <f>LN(F2502/参数实验室!$E$58)/参数实验室!$E$59</f>
        <v>6.5490402241844894E-2</v>
      </c>
      <c r="H2502" s="856">
        <f>INDEX(神经网络!$G$10:$BO$70,MATCH(ROUND(G2502*2,1)/2,神经网络!$E$10:$E$70,0),MATCH(ROUND(E2502*2,1)/2,神经网络!$G$8:$BO$8,0))</f>
        <v>1.9619705600635662</v>
      </c>
      <c r="I2502">
        <f t="shared" si="330"/>
        <v>9134.0127957572331</v>
      </c>
      <c r="J2502">
        <f t="shared" si="331"/>
        <v>1025.0668369179191</v>
      </c>
      <c r="K2502">
        <f t="shared" si="332"/>
        <v>8.9106509612783693</v>
      </c>
      <c r="L2502" s="4">
        <f>MIN(MAX(L2501*(1+MAX(MIN(((B2502-B2501)/B2501)/($K$7*卓尔金历!$N$40),0),-卓尔金历!$M$43))+MIN(MAX(((B2502-B2501)/B2501)/($K$7*卓尔金历!$N$40),0),卓尔金历!$M$43),0),1)</f>
        <v>0.86739820485314811</v>
      </c>
      <c r="M2502" s="4">
        <f>MIN(MAX(M2501*(1+MAX(MIN(((B2502-B2501)/B2501)/($K$7*30),0),-卓尔金历!$M$43))+MIN(MAX(((B2502-B2501)/B2501)/($K$7*7),0),卓尔金历!$M$43),0),1)</f>
        <v>0.93369910242657406</v>
      </c>
      <c r="N2502">
        <f t="shared" si="333"/>
        <v>11067.920511080327</v>
      </c>
      <c r="O2502">
        <f t="shared" si="334"/>
        <v>25088.465337333473</v>
      </c>
      <c r="P2502">
        <f t="shared" si="335"/>
        <v>-8.6786730004128187E-3</v>
      </c>
      <c r="Q2502">
        <f t="shared" si="336"/>
        <v>5.5138459006943759E-2</v>
      </c>
      <c r="R2502">
        <f t="shared" si="337"/>
        <v>1</v>
      </c>
      <c r="S2502">
        <f t="shared" si="329"/>
        <v>113.14892169272899</v>
      </c>
      <c r="T2502" s="564">
        <f>IF((I2502-MAX(I$470:I2502))/MAX(I$470:I2502)&gt;T2501,T2501,(I2502-MAX(I$470:I2502))/MAX(I$470:I2502))</f>
        <v>-0.91338805338419748</v>
      </c>
      <c r="U2502" s="564">
        <f>IF((J2502-MAX(J$470:J2502))/MAX(J$470:J2502)&gt;U2501,U2501,(J2502-MAX(J$470:J2502))/MAX(J$470:J2502))</f>
        <v>-0.8283551177402233</v>
      </c>
      <c r="V2502" s="564">
        <f>IF((K2502-MAX(K$470:K2502))/MAX(K$470:K2502)&gt;V2501,V2501,(K2502-MAX(K$470:K2502))/MAX(K$470:K2502))</f>
        <v>-0.84885940676762139</v>
      </c>
      <c r="W2502" s="564">
        <f>IF((N2502-MAX(N$470:N2502))/MAX(N$470:N2502)&gt;W2501,W2501,(N2502-MAX(N$470:N2502))/MAX(N$470:N2502))</f>
        <v>-0.62788758315546067</v>
      </c>
      <c r="X2502" s="564">
        <f>IF((O2502-MAX(O$470:O2502))/MAX(O$470:O2502)&gt;X2501,X2501,(O2502-MAX(O$470:O2502))/MAX(O$470:O2502))</f>
        <v>-0.62788758315546067</v>
      </c>
    </row>
    <row r="2503" spans="1:24">
      <c r="A2503" s="799">
        <v>42905</v>
      </c>
      <c r="B2503">
        <v>2578.25</v>
      </c>
      <c r="C2503">
        <v>4223.2620010000001</v>
      </c>
      <c r="D2503">
        <v>3.0072359999999998</v>
      </c>
      <c r="E2503">
        <f>LN(D2503/参数实验室!$E$53)/参数实验室!$E$55</f>
        <v>0.60596525608076734</v>
      </c>
      <c r="F2503">
        <f t="shared" si="338"/>
        <v>1.6380343259963153</v>
      </c>
      <c r="G2503">
        <f>LN(F2503/参数实验室!$E$58)/参数实验室!$E$59</f>
        <v>6.8483840211650049E-2</v>
      </c>
      <c r="H2503" s="856">
        <f>INDEX(神经网络!$G$10:$BO$70,MATCH(ROUND(G2503*2,1)/2,神经网络!$E$10:$E$70,0),MATCH(ROUND(E2503*2,1)/2,神经网络!$G$8:$BO$8,0))</f>
        <v>1.9619705600635662</v>
      </c>
      <c r="I2503">
        <f t="shared" si="330"/>
        <v>9199.0984336871206</v>
      </c>
      <c r="J2503">
        <f t="shared" si="331"/>
        <v>1028.7897530026721</v>
      </c>
      <c r="K2503">
        <f t="shared" si="332"/>
        <v>8.9416699639923678</v>
      </c>
      <c r="L2503" s="4">
        <f>MIN(MAX(L2502*(1+MAX(MIN(((B2503-B2502)/B2502)/($K$7*卓尔金历!$N$40),0),-卓尔金历!$M$43))+MIN(MAX(((B2503-B2502)/B2502)/($K$7*卓尔金历!$N$40),0),卓尔金历!$M$43),0),1)</f>
        <v>0.92288979146105288</v>
      </c>
      <c r="M2503" s="4">
        <f>MIN(MAX(M2502*(1+MAX(MIN(((B2503-B2502)/B2502)/($K$7*30),0),-卓尔金历!$M$43))+MIN(MAX(((B2503-B2502)/B2502)/($K$7*7),0),卓尔金历!$M$43),0),1)</f>
        <v>1</v>
      </c>
      <c r="N2503">
        <f t="shared" si="333"/>
        <v>11136.328701236076</v>
      </c>
      <c r="O2503">
        <f t="shared" si="334"/>
        <v>25255.383881360016</v>
      </c>
      <c r="P2503">
        <f t="shared" si="335"/>
        <v>3.6318764305622313E-3</v>
      </c>
      <c r="Q2503">
        <f t="shared" si="336"/>
        <v>5.508137371040854E-2</v>
      </c>
      <c r="R2503">
        <f t="shared" si="337"/>
        <v>1</v>
      </c>
      <c r="S2503">
        <f t="shared" si="329"/>
        <v>113.95517956800489</v>
      </c>
      <c r="T2503" s="564">
        <f>IF((I2503-MAX(I$470:I2503))/MAX(I$470:I2503)&gt;T2502,T2502,(I2503-MAX(I$470:I2503))/MAX(I$470:I2503))</f>
        <v>-0.91338805338419748</v>
      </c>
      <c r="U2503" s="564">
        <f>IF((J2503-MAX(J$470:J2503))/MAX(J$470:J2503)&gt;U2502,U2502,(J2503-MAX(J$470:J2503))/MAX(J$470:J2503))</f>
        <v>-0.8283551177402233</v>
      </c>
      <c r="V2503" s="564">
        <f>IF((K2503-MAX(K$470:K2503))/MAX(K$470:K2503)&gt;V2502,V2502,(K2503-MAX(K$470:K2503))/MAX(K$470:K2503))</f>
        <v>-0.84885940676762139</v>
      </c>
      <c r="W2503" s="564">
        <f>IF((N2503-MAX(N$470:N2503))/MAX(N$470:N2503)&gt;W2502,W2502,(N2503-MAX(N$470:N2503))/MAX(N$470:N2503))</f>
        <v>-0.62788758315546067</v>
      </c>
      <c r="X2503" s="564">
        <f>IF((O2503-MAX(O$470:O2503))/MAX(O$470:O2503)&gt;X2502,X2502,(O2503-MAX(O$470:O2503))/MAX(O$470:O2503))</f>
        <v>-0.62788758315546067</v>
      </c>
    </row>
    <row r="2504" spans="1:24">
      <c r="A2504" s="799">
        <v>42906</v>
      </c>
      <c r="B2504">
        <v>2657.32</v>
      </c>
      <c r="C2504">
        <v>4249.1485060000005</v>
      </c>
      <c r="D2504">
        <v>3.145524</v>
      </c>
      <c r="E2504">
        <f>LN(D2504/参数实验室!$E$53)/参数实验室!$E$55</f>
        <v>0.65900590661836489</v>
      </c>
      <c r="F2504">
        <f t="shared" si="338"/>
        <v>1.5990353085063147</v>
      </c>
      <c r="G2504">
        <f>LN(F2504/参数实验室!$E$58)/参数实验室!$E$59</f>
        <v>5.5836733587284061E-2</v>
      </c>
      <c r="H2504" s="856">
        <f>INDEX(神经网络!$G$10:$BO$70,MATCH(ROUND(G2504*2,1)/2,神经网络!$E$10:$E$70,0),MATCH(ROUND(E2504*2,1)/2,神经网络!$G$8:$BO$8,0))</f>
        <v>2.0209961953498765</v>
      </c>
      <c r="I2504">
        <f t="shared" si="330"/>
        <v>9752.6071506063799</v>
      </c>
      <c r="J2504">
        <f t="shared" si="331"/>
        <v>1060.3407685247982</v>
      </c>
      <c r="K2504">
        <f t="shared" si="332"/>
        <v>9.1976159364076135</v>
      </c>
      <c r="L2504" s="4">
        <f>MIN(MAX(L2503*(1+MAX(MIN(((B2504-B2503)/B2503)/($K$7*卓尔金历!$N$40),0),-卓尔金历!$M$43))+MIN(MAX(((B2504-B2503)/B2503)/($K$7*卓尔金历!$N$40),0),卓尔金历!$M$43),0),1)</f>
        <v>1</v>
      </c>
      <c r="M2504" s="4">
        <f>MIN(MAX(M2503*(1+MAX(MIN(((B2504-B2503)/B2503)/($K$7*30),0),-卓尔金历!$M$43))+MIN(MAX(((B2504-B2503)/B2503)/($K$7*7),0),卓尔金历!$M$43),0),1)</f>
        <v>1</v>
      </c>
      <c r="N2504">
        <f t="shared" si="333"/>
        <v>11754.730981014523</v>
      </c>
      <c r="O2504">
        <f t="shared" si="334"/>
        <v>26774.997485697972</v>
      </c>
      <c r="P2504">
        <f t="shared" si="335"/>
        <v>3.0668088819936067E-2</v>
      </c>
      <c r="Q2504">
        <f t="shared" si="336"/>
        <v>5.5063223754283498E-2</v>
      </c>
      <c r="R2504">
        <f t="shared" si="337"/>
        <v>0.6725776506401131</v>
      </c>
      <c r="S2504">
        <f t="shared" si="329"/>
        <v>120.81184989104533</v>
      </c>
      <c r="T2504" s="564">
        <f>IF((I2504-MAX(I$470:I2504))/MAX(I$470:I2504)&gt;T2503,T2503,(I2504-MAX(I$470:I2504))/MAX(I$470:I2504))</f>
        <v>-0.91338805338419748</v>
      </c>
      <c r="U2504" s="564">
        <f>IF((J2504-MAX(J$470:J2504))/MAX(J$470:J2504)&gt;U2503,U2503,(J2504-MAX(J$470:J2504))/MAX(J$470:J2504))</f>
        <v>-0.8283551177402233</v>
      </c>
      <c r="V2504" s="564">
        <f>IF((K2504-MAX(K$470:K2504))/MAX(K$470:K2504)&gt;V2503,V2503,(K2504-MAX(K$470:K2504))/MAX(K$470:K2504))</f>
        <v>-0.84885940676762139</v>
      </c>
      <c r="W2504" s="564">
        <f>IF((N2504-MAX(N$470:N2504))/MAX(N$470:N2504)&gt;W2503,W2503,(N2504-MAX(N$470:N2504))/MAX(N$470:N2504))</f>
        <v>-0.62788758315546067</v>
      </c>
      <c r="X2504" s="564">
        <f>IF((O2504-MAX(O$470:O2504))/MAX(O$470:O2504)&gt;X2503,X2503,(O2504-MAX(O$470:O2504))/MAX(O$470:O2504))</f>
        <v>-0.62788758315546067</v>
      </c>
    </row>
    <row r="2505" spans="1:24">
      <c r="A2505" s="799">
        <v>42907</v>
      </c>
      <c r="B2505">
        <v>2709.33</v>
      </c>
      <c r="C2505">
        <v>4267.0191610000002</v>
      </c>
      <c r="D2505">
        <v>3.02521</v>
      </c>
      <c r="E2505">
        <f>LN(D2505/参数实验室!$E$53)/参数实验室!$E$55</f>
        <v>0.61299555442342968</v>
      </c>
      <c r="F2505">
        <f t="shared" si="338"/>
        <v>1.5749351909881779</v>
      </c>
      <c r="G2505">
        <f>LN(F2505/参数实验室!$E$58)/参数实验室!$E$59</f>
        <v>4.7866094150258429E-2</v>
      </c>
      <c r="H2505" s="856">
        <f>INDEX(神经网络!$G$10:$BO$70,MATCH(ROUND(G2505*2,1)/2,神经网络!$E$10:$E$70,0),MATCH(ROUND(E2505*2,1)/2,神经网络!$G$8:$BO$8,0))</f>
        <v>1.9619705600635662</v>
      </c>
      <c r="I2505">
        <f t="shared" si="330"/>
        <v>10138.377837244634</v>
      </c>
      <c r="J2505">
        <f t="shared" si="331"/>
        <v>1081.0941303220129</v>
      </c>
      <c r="K2505">
        <f t="shared" si="332"/>
        <v>9.3778863032258197</v>
      </c>
      <c r="L2505" s="4">
        <f>MIN(MAX(L2504*(1+MAX(MIN(((B2505-B2504)/B2504)/($K$7*卓尔金历!$N$40),0),-卓尔金历!$M$43))+MIN(MAX(((B2505-B2504)/B2504)/($K$7*卓尔金历!$N$40),0),卓尔金历!$M$43),0),1)</f>
        <v>1</v>
      </c>
      <c r="M2505" s="4">
        <f>MIN(MAX(M2504*(1+MAX(MIN(((B2505-B2504)/B2504)/($K$7*30),0),-卓尔金历!$M$43))+MIN(MAX(((B2505-B2504)/B2504)/($K$7*7),0),卓尔金历!$M$43),0),1)</f>
        <v>1</v>
      </c>
      <c r="N2505">
        <f t="shared" si="333"/>
        <v>12219.696971315074</v>
      </c>
      <c r="O2505">
        <f t="shared" si="334"/>
        <v>27834.09983702697</v>
      </c>
      <c r="P2505">
        <f t="shared" si="335"/>
        <v>1.9572351090572367E-2</v>
      </c>
      <c r="Q2505">
        <f t="shared" si="336"/>
        <v>5.4634327056234527E-2</v>
      </c>
      <c r="R2505">
        <f t="shared" si="337"/>
        <v>1</v>
      </c>
      <c r="S2505">
        <f t="shared" si="329"/>
        <v>124.02595784635831</v>
      </c>
      <c r="T2505" s="564">
        <f>IF((I2505-MAX(I$470:I2505))/MAX(I$470:I2505)&gt;T2504,T2504,(I2505-MAX(I$470:I2505))/MAX(I$470:I2505))</f>
        <v>-0.91338805338419748</v>
      </c>
      <c r="U2505" s="564">
        <f>IF((J2505-MAX(J$470:J2505))/MAX(J$470:J2505)&gt;U2504,U2504,(J2505-MAX(J$470:J2505))/MAX(J$470:J2505))</f>
        <v>-0.8283551177402233</v>
      </c>
      <c r="V2505" s="564">
        <f>IF((K2505-MAX(K$470:K2505))/MAX(K$470:K2505)&gt;V2504,V2504,(K2505-MAX(K$470:K2505))/MAX(K$470:K2505))</f>
        <v>-0.84885940676762139</v>
      </c>
      <c r="W2505" s="564">
        <f>IF((N2505-MAX(N$470:N2505))/MAX(N$470:N2505)&gt;W2504,W2504,(N2505-MAX(N$470:N2505))/MAX(N$470:N2505))</f>
        <v>-0.62788758315546067</v>
      </c>
      <c r="X2505" s="564">
        <f>IF((O2505-MAX(O$470:O2505))/MAX(O$470:O2505)&gt;X2504,X2504,(O2505-MAX(O$470:O2505))/MAX(O$470:O2505))</f>
        <v>-0.62788758315546067</v>
      </c>
    </row>
    <row r="2506" spans="1:24">
      <c r="A2506" s="799">
        <v>42908</v>
      </c>
      <c r="B2506">
        <v>2714.58</v>
      </c>
      <c r="C2506">
        <v>4349.0680910000001</v>
      </c>
      <c r="D2506">
        <v>3.0574309999999998</v>
      </c>
      <c r="E2506">
        <f>LN(D2506/参数实验室!$E$53)/参数实验室!$E$55</f>
        <v>0.6254944623259624</v>
      </c>
      <c r="F2506">
        <f t="shared" si="338"/>
        <v>1.6021145411076485</v>
      </c>
      <c r="G2506">
        <f>LN(F2506/参数实验室!$E$58)/参数实验室!$E$59</f>
        <v>5.6846463374883187E-2</v>
      </c>
      <c r="H2506" s="856">
        <f>INDEX(神经网络!$G$10:$BO$70,MATCH(ROUND(G2506*2,1)/2,神经网络!$E$10:$E$70,0),MATCH(ROUND(E2506*2,1)/2,神经网络!$G$8:$BO$8,0))</f>
        <v>2.0209961953498765</v>
      </c>
      <c r="I2506">
        <f t="shared" si="330"/>
        <v>10176.921976913203</v>
      </c>
      <c r="J2506">
        <f t="shared" si="331"/>
        <v>1083.189018794141</v>
      </c>
      <c r="K2506">
        <f t="shared" si="332"/>
        <v>9.3953334093459056</v>
      </c>
      <c r="L2506" s="4">
        <f>MIN(MAX(L2505*(1+MAX(MIN(((B2506-B2505)/B2505)/($K$7*卓尔金历!$N$40),0),-卓尔金历!$M$43))+MIN(MAX(((B2506-B2505)/B2505)/($K$7*卓尔金历!$N$40),0),卓尔金历!$M$43),0),1)</f>
        <v>1</v>
      </c>
      <c r="M2506" s="4">
        <f>MIN(MAX(M2505*(1+MAX(MIN(((B2506-B2505)/B2505)/($K$7*30),0),-卓尔金历!$M$43))+MIN(MAX(((B2506-B2505)/B2505)/($K$7*7),0),卓尔金历!$M$43),0),1)</f>
        <v>1</v>
      </c>
      <c r="N2506">
        <f t="shared" si="333"/>
        <v>12266.153881318929</v>
      </c>
      <c r="O2506">
        <f t="shared" si="334"/>
        <v>27939.919668255396</v>
      </c>
      <c r="P2506">
        <f t="shared" si="335"/>
        <v>1.9377484470330304E-3</v>
      </c>
      <c r="Q2506">
        <f t="shared" si="336"/>
        <v>5.078448484713971E-2</v>
      </c>
      <c r="R2506">
        <f t="shared" si="337"/>
        <v>1</v>
      </c>
      <c r="S2506">
        <f t="shared" si="329"/>
        <v>124.497480403369</v>
      </c>
      <c r="T2506" s="564">
        <f>IF((I2506-MAX(I$470:I2506))/MAX(I$470:I2506)&gt;T2505,T2505,(I2506-MAX(I$470:I2506))/MAX(I$470:I2506))</f>
        <v>-0.91338805338419748</v>
      </c>
      <c r="U2506" s="564">
        <f>IF((J2506-MAX(J$470:J2506))/MAX(J$470:J2506)&gt;U2505,U2505,(J2506-MAX(J$470:J2506))/MAX(J$470:J2506))</f>
        <v>-0.8283551177402233</v>
      </c>
      <c r="V2506" s="564">
        <f>IF((K2506-MAX(K$470:K2506))/MAX(K$470:K2506)&gt;V2505,V2505,(K2506-MAX(K$470:K2506))/MAX(K$470:K2506))</f>
        <v>-0.84885940676762139</v>
      </c>
      <c r="W2506" s="564">
        <f>IF((N2506-MAX(N$470:N2506))/MAX(N$470:N2506)&gt;W2505,W2505,(N2506-MAX(N$470:N2506))/MAX(N$470:N2506))</f>
        <v>-0.62788758315546067</v>
      </c>
      <c r="X2506" s="564">
        <f>IF((O2506-MAX(O$470:O2506))/MAX(O$470:O2506)&gt;X2505,X2505,(O2506-MAX(O$470:O2506))/MAX(O$470:O2506))</f>
        <v>-0.62788758315546067</v>
      </c>
    </row>
    <row r="2507" spans="1:24">
      <c r="A2507" s="799">
        <v>42909</v>
      </c>
      <c r="B2507">
        <v>2760.61</v>
      </c>
      <c r="C2507">
        <v>4333.913243</v>
      </c>
      <c r="D2507">
        <v>3.0415860000000001</v>
      </c>
      <c r="E2507">
        <f>LN(D2507/参数实验室!$E$53)/参数实验室!$E$55</f>
        <v>0.61936454591260814</v>
      </c>
      <c r="F2507">
        <f t="shared" si="338"/>
        <v>1.5699114481944207</v>
      </c>
      <c r="G2507">
        <f>LN(F2507/参数实验室!$E$58)/参数实验室!$E$59</f>
        <v>4.6189234028236041E-2</v>
      </c>
      <c r="H2507" s="856">
        <f>INDEX(神经网络!$G$10:$BO$70,MATCH(ROUND(G2507*2,1)/2,神经网络!$E$10:$E$70,0),MATCH(ROUND(E2507*2,1)/2,神经网络!$G$8:$BO$8,0))</f>
        <v>1.9619705600635662</v>
      </c>
      <c r="I2507">
        <f t="shared" si="330"/>
        <v>10525.676838814759</v>
      </c>
      <c r="J2507">
        <f t="shared" si="331"/>
        <v>1101.5562028650081</v>
      </c>
      <c r="K2507">
        <f t="shared" si="332"/>
        <v>9.5552789875258366</v>
      </c>
      <c r="L2507" s="4">
        <f>MIN(MAX(L2506*(1+MAX(MIN(((B2507-B2506)/B2506)/($K$7*卓尔金历!$N$40),0),-卓尔金历!$M$43))+MIN(MAX(((B2507-B2506)/B2506)/($K$7*卓尔金历!$N$40),0),卓尔金历!$M$43),0),1)</f>
        <v>1</v>
      </c>
      <c r="M2507" s="4">
        <f>MIN(MAX(M2506*(1+MAX(MIN(((B2507-B2506)/B2506)/($K$7*30),0),-卓尔金历!$M$43))+MIN(MAX(((B2507-B2506)/B2506)/($K$7*7),0),卓尔金历!$M$43),0),1)</f>
        <v>1</v>
      </c>
      <c r="N2507">
        <f t="shared" si="333"/>
        <v>12686.505026060648</v>
      </c>
      <c r="O2507">
        <f t="shared" si="334"/>
        <v>28897.398053915429</v>
      </c>
      <c r="P2507">
        <f t="shared" si="335"/>
        <v>1.6956582602096898E-2</v>
      </c>
      <c r="Q2507">
        <f t="shared" si="336"/>
        <v>5.067394341931851E-2</v>
      </c>
      <c r="R2507">
        <f t="shared" si="337"/>
        <v>1</v>
      </c>
      <c r="S2507">
        <f t="shared" si="329"/>
        <v>128.76390807999528</v>
      </c>
      <c r="T2507" s="564">
        <f>IF((I2507-MAX(I$470:I2507))/MAX(I$470:I2507)&gt;T2506,T2506,(I2507-MAX(I$470:I2507))/MAX(I$470:I2507))</f>
        <v>-0.91338805338419748</v>
      </c>
      <c r="U2507" s="564">
        <f>IF((J2507-MAX(J$470:J2507))/MAX(J$470:J2507)&gt;U2506,U2506,(J2507-MAX(J$470:J2507))/MAX(J$470:J2507))</f>
        <v>-0.8283551177402233</v>
      </c>
      <c r="V2507" s="564">
        <f>IF((K2507-MAX(K$470:K2507))/MAX(K$470:K2507)&gt;V2506,V2506,(K2507-MAX(K$470:K2507))/MAX(K$470:K2507))</f>
        <v>-0.84885940676762139</v>
      </c>
      <c r="W2507" s="564">
        <f>IF((N2507-MAX(N$470:N2507))/MAX(N$470:N2507)&gt;W2506,W2506,(N2507-MAX(N$470:N2507))/MAX(N$470:N2507))</f>
        <v>-0.62788758315546067</v>
      </c>
      <c r="X2507" s="564">
        <f>IF((O2507-MAX(O$470:O2507))/MAX(O$470:O2507)&gt;X2506,X2506,(O2507-MAX(O$470:O2507))/MAX(O$470:O2507))</f>
        <v>-0.62788758315546067</v>
      </c>
    </row>
    <row r="2508" spans="1:24">
      <c r="A2508" s="799">
        <v>42910</v>
      </c>
      <c r="B2508">
        <v>2688.44</v>
      </c>
      <c r="C2508">
        <v>4383.4365520000001</v>
      </c>
      <c r="D2508">
        <v>2.8991060000000002</v>
      </c>
      <c r="E2508">
        <f>LN(D2508/参数实验室!$E$53)/参数实验室!$E$55</f>
        <v>0.56276390641593821</v>
      </c>
      <c r="F2508">
        <f t="shared" si="338"/>
        <v>1.6304758715091279</v>
      </c>
      <c r="G2508">
        <f>LN(F2508/参数实验室!$E$58)/参数实验室!$E$59</f>
        <v>6.6056378016989367E-2</v>
      </c>
      <c r="H2508" s="856">
        <f>INDEX(神经网络!$G$10:$BO$70,MATCH(ROUND(G2508*2,1)/2,神经网络!$E$10:$E$70,0),MATCH(ROUND(E2508*2,1)/2,神经网络!$G$8:$BO$8,0))</f>
        <v>1.9021686801216116</v>
      </c>
      <c r="I2508">
        <f t="shared" si="330"/>
        <v>9985.8006580018791</v>
      </c>
      <c r="J2508">
        <f t="shared" si="331"/>
        <v>1072.7584693348217</v>
      </c>
      <c r="K2508">
        <f t="shared" si="332"/>
        <v>9.3085265168716944</v>
      </c>
      <c r="L2508" s="4">
        <f>MIN(MAX(L2507*(1+MAX(MIN(((B2508-B2507)/B2507)/($K$7*卓尔金历!$N$40),0),-卓尔金历!$M$43))+MIN(MAX(((B2508-B2507)/B2507)/($K$7*卓尔金历!$N$40),0),卓尔金历!$M$43),0),1)</f>
        <v>0.60056351906574124</v>
      </c>
      <c r="M2508" s="4">
        <f>MIN(MAX(M2507*(1+MAX(MIN(((B2508-B2507)/B2507)/($K$7*30),0),-卓尔金历!$M$43))+MIN(MAX(((B2508-B2507)/B2507)/($K$7*7),0),卓尔金历!$M$43),0),1)</f>
        <v>0.80028175953287062</v>
      </c>
      <c r="N2508">
        <f t="shared" si="333"/>
        <v>12035.797049156401</v>
      </c>
      <c r="O2508">
        <f t="shared" si="334"/>
        <v>27415.21147953318</v>
      </c>
      <c r="P2508">
        <f t="shared" si="335"/>
        <v>-2.6142772792969695E-2</v>
      </c>
      <c r="Q2508">
        <f t="shared" si="336"/>
        <v>5.0180684749932702E-2</v>
      </c>
      <c r="R2508">
        <f t="shared" si="337"/>
        <v>0.73577367312744224</v>
      </c>
      <c r="S2508">
        <f t="shared" si="329"/>
        <v>122.15943332884031</v>
      </c>
      <c r="T2508" s="564">
        <f>IF((I2508-MAX(I$470:I2508))/MAX(I$470:I2508)&gt;T2507,T2507,(I2508-MAX(I$470:I2508))/MAX(I$470:I2508))</f>
        <v>-0.91338805338419748</v>
      </c>
      <c r="U2508" s="564">
        <f>IF((J2508-MAX(J$470:J2508))/MAX(J$470:J2508)&gt;U2507,U2507,(J2508-MAX(J$470:J2508))/MAX(J$470:J2508))</f>
        <v>-0.8283551177402233</v>
      </c>
      <c r="V2508" s="564">
        <f>IF((K2508-MAX(K$470:K2508))/MAX(K$470:K2508)&gt;V2507,V2507,(K2508-MAX(K$470:K2508))/MAX(K$470:K2508))</f>
        <v>-0.84885940676762139</v>
      </c>
      <c r="W2508" s="564">
        <f>IF((N2508-MAX(N$470:N2508))/MAX(N$470:N2508)&gt;W2507,W2507,(N2508-MAX(N$470:N2508))/MAX(N$470:N2508))</f>
        <v>-0.62788758315546067</v>
      </c>
      <c r="X2508" s="564">
        <f>IF((O2508-MAX(O$470:O2508))/MAX(O$470:O2508)&gt;X2507,X2507,(O2508-MAX(O$470:O2508))/MAX(O$470:O2508))</f>
        <v>-0.62788758315546067</v>
      </c>
    </row>
    <row r="2509" spans="1:24">
      <c r="A2509" s="799">
        <v>42911</v>
      </c>
      <c r="B2509">
        <v>2627.95</v>
      </c>
      <c r="C2509">
        <v>4474.1021659999997</v>
      </c>
      <c r="D2509">
        <v>2.823896</v>
      </c>
      <c r="E2509">
        <f>LN(D2509/参数实验室!$E$53)/参数实验室!$E$55</f>
        <v>0.53175418460033019</v>
      </c>
      <c r="F2509">
        <f t="shared" si="338"/>
        <v>1.7025065796533418</v>
      </c>
      <c r="G2509">
        <f>LN(F2509/参数实验室!$E$58)/参数实验室!$E$59</f>
        <v>8.8745663894203311E-2</v>
      </c>
      <c r="H2509" s="856">
        <f>INDEX(神经网络!$G$10:$BO$70,MATCH(ROUND(G2509*2,1)/2,神经网络!$E$10:$E$70,0),MATCH(ROUND(E2509*2,1)/2,神经网络!$G$8:$BO$8,0))</f>
        <v>1.9342698288427571</v>
      </c>
      <c r="I2509">
        <f t="shared" si="330"/>
        <v>9558.4197131745586</v>
      </c>
      <c r="J2509">
        <f t="shared" si="331"/>
        <v>1048.6213638721506</v>
      </c>
      <c r="K2509">
        <f t="shared" si="332"/>
        <v>9.1152250397407837</v>
      </c>
      <c r="L2509" s="4">
        <f>MIN(MAX(L2508*(1+MAX(MIN(((B2509-B2508)/B2508)/($K$7*卓尔金历!$N$40),0),-卓尔金历!$M$43))+MIN(MAX(((B2509-B2508)/B2508)/($K$7*卓尔金历!$N$40),0),卓尔金历!$M$43),0),1)</f>
        <v>0.39410240704464955</v>
      </c>
      <c r="M2509" s="4">
        <f>MIN(MAX(M2508*(1+MAX(MIN(((B2509-B2508)/B2508)/($K$7*30),0),-卓尔金历!$M$43))+MIN(MAX(((B2509-B2508)/B2508)/($K$7*7),0),卓尔金历!$M$43),0),1)</f>
        <v>0.66272173735537832</v>
      </c>
      <c r="N2509">
        <f t="shared" si="333"/>
        <v>11726.435690606797</v>
      </c>
      <c r="O2509">
        <f t="shared" si="334"/>
        <v>26476.208908597593</v>
      </c>
      <c r="P2509">
        <f t="shared" si="335"/>
        <v>-2.2500037196292361E-2</v>
      </c>
      <c r="Q2509">
        <f t="shared" si="336"/>
        <v>5.0502640612254138E-2</v>
      </c>
      <c r="R2509">
        <f t="shared" si="337"/>
        <v>0.89926086491802182</v>
      </c>
      <c r="S2509">
        <f t="shared" si="329"/>
        <v>118.31259870500661</v>
      </c>
      <c r="T2509" s="564">
        <f>IF((I2509-MAX(I$470:I2509))/MAX(I$470:I2509)&gt;T2508,T2508,(I2509-MAX(I$470:I2509))/MAX(I$470:I2509))</f>
        <v>-0.91338805338419748</v>
      </c>
      <c r="U2509" s="564">
        <f>IF((J2509-MAX(J$470:J2509))/MAX(J$470:J2509)&gt;U2508,U2508,(J2509-MAX(J$470:J2509))/MAX(J$470:J2509))</f>
        <v>-0.8283551177402233</v>
      </c>
      <c r="V2509" s="564">
        <f>IF((K2509-MAX(K$470:K2509))/MAX(K$470:K2509)&gt;V2508,V2508,(K2509-MAX(K$470:K2509))/MAX(K$470:K2509))</f>
        <v>-0.84885940676762139</v>
      </c>
      <c r="W2509" s="564">
        <f>IF((N2509-MAX(N$470:N2509))/MAX(N$470:N2509)&gt;W2508,W2508,(N2509-MAX(N$470:N2509))/MAX(N$470:N2509))</f>
        <v>-0.62788758315546067</v>
      </c>
      <c r="X2509" s="564">
        <f>IF((O2509-MAX(O$470:O2509))/MAX(O$470:O2509)&gt;X2508,X2508,(O2509-MAX(O$470:O2509))/MAX(O$470:O2509))</f>
        <v>-0.62788758315546067</v>
      </c>
    </row>
    <row r="2510" spans="1:24">
      <c r="A2510" s="799">
        <v>42912</v>
      </c>
      <c r="B2510">
        <v>2476.7199999999998</v>
      </c>
      <c r="C2510">
        <v>4552.507165</v>
      </c>
      <c r="D2510">
        <v>2.741771</v>
      </c>
      <c r="E2510">
        <f>LN(D2510/参数实验室!$E$53)/参数实验室!$E$55</f>
        <v>0.49693562006851144</v>
      </c>
      <c r="F2510">
        <f t="shared" si="338"/>
        <v>1.8381194341710005</v>
      </c>
      <c r="G2510">
        <f>LN(F2510/参数实验室!$E$58)/参数实验室!$E$59</f>
        <v>0.12897120131655235</v>
      </c>
      <c r="H2510" s="856">
        <f>INDEX(神经网络!$G$10:$BO$70,MATCH(ROUND(G2510*2,1)/2,神经网络!$E$10:$E$70,0),MATCH(ROUND(E2510*2,1)/2,神经网络!$G$8:$BO$8,0))</f>
        <v>1.9024031741783951</v>
      </c>
      <c r="I2510">
        <f t="shared" si="330"/>
        <v>8494.462879249857</v>
      </c>
      <c r="J2510">
        <f t="shared" si="331"/>
        <v>988.27660508359475</v>
      </c>
      <c r="K2510">
        <f t="shared" si="332"/>
        <v>8.5952281330502007</v>
      </c>
      <c r="L2510" s="4">
        <f>MIN(MAX(L2509*(1+MAX(MIN(((B2510-B2509)/B2509)/($K$7*卓尔金历!$N$40),0),-卓尔金历!$M$43))+MIN(MAX(((B2510-B2509)/B2509)/($K$7*卓尔金历!$N$40),0),卓尔金历!$M$43),0),1)</f>
        <v>4.7584230792760827E-2</v>
      </c>
      <c r="M2510" s="4">
        <f>MIN(MAX(M2509*(1+MAX(MIN(((B2510-B2509)/B2509)/($K$7*30),0),-卓尔金历!$M$43))+MIN(MAX(((B2510-B2509)/B2509)/($K$7*7),0),卓尔金历!$M$43),0),1)</f>
        <v>0.37136963738602768</v>
      </c>
      <c r="N2510">
        <f t="shared" si="333"/>
        <v>11212.021399449288</v>
      </c>
      <c r="O2510">
        <f t="shared" si="334"/>
        <v>24523.106899491126</v>
      </c>
      <c r="P2510">
        <f t="shared" si="335"/>
        <v>-5.7546756977872496E-2</v>
      </c>
      <c r="Q2510">
        <f t="shared" si="336"/>
        <v>5.197511830041382E-2</v>
      </c>
      <c r="R2510">
        <f t="shared" si="337"/>
        <v>4.5359821757838002E-2</v>
      </c>
      <c r="S2510">
        <f t="shared" si="329"/>
        <v>106.46979313858253</v>
      </c>
      <c r="T2510" s="564">
        <f>IF((I2510-MAX(I$470:I2510))/MAX(I$470:I2510)&gt;T2509,T2509,(I2510-MAX(I$470:I2510))/MAX(I$470:I2510))</f>
        <v>-0.91338805338419748</v>
      </c>
      <c r="U2510" s="564">
        <f>IF((J2510-MAX(J$470:J2510))/MAX(J$470:J2510)&gt;U2509,U2509,(J2510-MAX(J$470:J2510))/MAX(J$470:J2510))</f>
        <v>-0.8283551177402233</v>
      </c>
      <c r="V2510" s="564">
        <f>IF((K2510-MAX(K$470:K2510))/MAX(K$470:K2510)&gt;V2509,V2509,(K2510-MAX(K$470:K2510))/MAX(K$470:K2510))</f>
        <v>-0.84885940676762139</v>
      </c>
      <c r="W2510" s="564">
        <f>IF((N2510-MAX(N$470:N2510))/MAX(N$470:N2510)&gt;W2509,W2509,(N2510-MAX(N$470:N2510))/MAX(N$470:N2510))</f>
        <v>-0.62788758315546067</v>
      </c>
      <c r="X2510" s="564">
        <f>IF((O2510-MAX(O$470:O2510))/MAX(O$470:O2510)&gt;X2509,X2509,(O2510-MAX(O$470:O2510))/MAX(O$470:O2510))</f>
        <v>-0.62788758315546067</v>
      </c>
    </row>
    <row r="2511" spans="1:24">
      <c r="A2511" s="799">
        <v>42913</v>
      </c>
      <c r="B2511">
        <v>2409</v>
      </c>
      <c r="C2511">
        <v>4657.1775070000003</v>
      </c>
      <c r="D2511">
        <v>2.8471000000000002</v>
      </c>
      <c r="E2511">
        <f>LN(D2511/参数实验室!$E$53)/参数实验室!$E$55</f>
        <v>0.54140862521191824</v>
      </c>
      <c r="F2511">
        <f t="shared" si="338"/>
        <v>1.93324097426318</v>
      </c>
      <c r="G2511">
        <f>LN(F2511/参数实验室!$E$58)/参数实验室!$E$59</f>
        <v>0.15545263515937013</v>
      </c>
      <c r="H2511" s="856">
        <f>INDEX(神经网络!$G$10:$BO$70,MATCH(ROUND(G2511*2,1)/2,神经网络!$E$10:$E$70,0),MATCH(ROUND(E2511*2,1)/2,神经网络!$G$8:$BO$8,0))</f>
        <v>1.9622329139182519</v>
      </c>
      <c r="I2511">
        <f t="shared" si="330"/>
        <v>8052.609151844058</v>
      </c>
      <c r="J2511">
        <f t="shared" si="331"/>
        <v>961.25453892502185</v>
      </c>
      <c r="K2511">
        <f t="shared" si="332"/>
        <v>8.3771871296954821</v>
      </c>
      <c r="L2511" s="4">
        <f>MIN(MAX(L2510*(1+MAX(MIN(((B2511-B2510)/B2510)/($K$7*卓尔金历!$N$40),0),-卓尔金历!$M$43))+MIN(MAX(((B2511-B2510)/B2510)/($K$7*卓尔金历!$N$40),0),卓尔金历!$M$43),0),1)</f>
        <v>2.7705018576607274E-2</v>
      </c>
      <c r="M2511" s="4">
        <f>MIN(MAX(M2510*(1+MAX(MIN(((B2511-B2510)/B2510)/($K$7*30),0),-卓尔金历!$M$43))+MIN(MAX(((B2511-B2510)/B2510)/($K$7*7),0),卓尔金历!$M$43),0),1)</f>
        <v>0.29379629313690753</v>
      </c>
      <c r="N2511">
        <f t="shared" si="333"/>
        <v>11184.269700769555</v>
      </c>
      <c r="O2511">
        <f t="shared" si="334"/>
        <v>24049.383884081493</v>
      </c>
      <c r="P2511">
        <f t="shared" si="335"/>
        <v>-2.7342614425530463E-2</v>
      </c>
      <c r="Q2511">
        <f t="shared" si="336"/>
        <v>4.6484240753206937E-2</v>
      </c>
      <c r="R2511">
        <f t="shared" si="337"/>
        <v>0.61022348637107171</v>
      </c>
      <c r="S2511">
        <f t="shared" si="329"/>
        <v>106.21858115672704</v>
      </c>
      <c r="T2511" s="564">
        <f>IF((I2511-MAX(I$470:I2511))/MAX(I$470:I2511)&gt;T2510,T2510,(I2511-MAX(I$470:I2511))/MAX(I$470:I2511))</f>
        <v>-0.91338805338419748</v>
      </c>
      <c r="U2511" s="564">
        <f>IF((J2511-MAX(J$470:J2511))/MAX(J$470:J2511)&gt;U2510,U2510,(J2511-MAX(J$470:J2511))/MAX(J$470:J2511))</f>
        <v>-0.8283551177402233</v>
      </c>
      <c r="V2511" s="564">
        <f>IF((K2511-MAX(K$470:K2511))/MAX(K$470:K2511)&gt;V2510,V2510,(K2511-MAX(K$470:K2511))/MAX(K$470:K2511))</f>
        <v>-0.84885940676762139</v>
      </c>
      <c r="W2511" s="564">
        <f>IF((N2511-MAX(N$470:N2511))/MAX(N$470:N2511)&gt;W2510,W2510,(N2511-MAX(N$470:N2511))/MAX(N$470:N2511))</f>
        <v>-0.62788758315546067</v>
      </c>
      <c r="X2511" s="564">
        <f>IF((O2511-MAX(O$470:O2511))/MAX(O$470:O2511)&gt;X2510,X2510,(O2511-MAX(O$470:O2511))/MAX(O$470:O2511))</f>
        <v>-0.62788758315546067</v>
      </c>
    </row>
    <row r="2512" spans="1:24">
      <c r="A2512" s="799">
        <v>42914</v>
      </c>
      <c r="B2512">
        <v>2539.7800000000002</v>
      </c>
      <c r="C2512">
        <v>4640.5092990000003</v>
      </c>
      <c r="D2512">
        <v>2.8697339999999998</v>
      </c>
      <c r="E2512">
        <f>LN(D2512/参数实验室!$E$53)/参数实验室!$E$55</f>
        <v>0.55075039530612779</v>
      </c>
      <c r="F2512">
        <f t="shared" si="338"/>
        <v>1.827130420351369</v>
      </c>
      <c r="G2512">
        <f>LN(F2512/参数实验室!$E$58)/参数实验室!$E$59</f>
        <v>0.12582399670926867</v>
      </c>
      <c r="H2512" s="856">
        <f>INDEX(神经网络!$G$10:$BO$70,MATCH(ROUND(G2512*2,1)/2,神经网络!$E$10:$E$70,0),MATCH(ROUND(E2512*2,1)/2,神经网络!$G$8:$BO$8,0))</f>
        <v>1.9622329139182519</v>
      </c>
      <c r="I2512">
        <f t="shared" si="330"/>
        <v>8910.4203463517078</v>
      </c>
      <c r="J2512">
        <f t="shared" si="331"/>
        <v>1013.4392083316696</v>
      </c>
      <c r="K2512">
        <f t="shared" si="332"/>
        <v>8.7922593413571413</v>
      </c>
      <c r="L2512" s="4">
        <f>MIN(MAX(L2511*(1+MAX(MIN(((B2512-B2511)/B2511)/($K$7*卓尔金历!$N$40),0),-卓尔金历!$M$43))+MIN(MAX(((B2512-B2511)/B2511)/($K$7*卓尔金历!$N$40),0),卓尔金历!$M$43),0),1)</f>
        <v>0.85717488151658539</v>
      </c>
      <c r="M2512" s="4">
        <f>MIN(MAX(M2511*(1+MAX(MIN(((B2512-B2511)/B2511)/($K$7*30),0),-卓尔金历!$M$43))+MIN(MAX(((B2512-B2511)/B2511)/($K$7*7),0),卓尔金历!$M$43),0),1)</f>
        <v>1</v>
      </c>
      <c r="N2512">
        <f t="shared" si="333"/>
        <v>11217.277849394794</v>
      </c>
      <c r="O2512">
        <f t="shared" si="334"/>
        <v>24802.055183326534</v>
      </c>
      <c r="P2512">
        <f t="shared" si="335"/>
        <v>5.4288086342880945E-2</v>
      </c>
      <c r="Q2512">
        <f t="shared" si="336"/>
        <v>4.8271132050563499E-2</v>
      </c>
      <c r="R2512">
        <f t="shared" si="337"/>
        <v>4.1023686015617962E-2</v>
      </c>
      <c r="S2512">
        <f t="shared" si="329"/>
        <v>113.12327623005122</v>
      </c>
      <c r="T2512" s="564">
        <f>IF((I2512-MAX(I$470:I2512))/MAX(I$470:I2512)&gt;T2511,T2511,(I2512-MAX(I$470:I2512))/MAX(I$470:I2512))</f>
        <v>-0.91338805338419748</v>
      </c>
      <c r="U2512" s="564">
        <f>IF((J2512-MAX(J$470:J2512))/MAX(J$470:J2512)&gt;U2511,U2511,(J2512-MAX(J$470:J2512))/MAX(J$470:J2512))</f>
        <v>-0.8283551177402233</v>
      </c>
      <c r="V2512" s="564">
        <f>IF((K2512-MAX(K$470:K2512))/MAX(K$470:K2512)&gt;V2511,V2511,(K2512-MAX(K$470:K2512))/MAX(K$470:K2512))</f>
        <v>-0.84885940676762139</v>
      </c>
      <c r="W2512" s="564">
        <f>IF((N2512-MAX(N$470:N2512))/MAX(N$470:N2512)&gt;W2511,W2511,(N2512-MAX(N$470:N2512))/MAX(N$470:N2512))</f>
        <v>-0.62788758315546067</v>
      </c>
      <c r="X2512" s="564">
        <f>IF((O2512-MAX(O$470:O2512))/MAX(O$470:O2512)&gt;X2511,X2511,(O2512-MAX(O$470:O2512))/MAX(O$470:O2512))</f>
        <v>-0.62788758315546067</v>
      </c>
    </row>
    <row r="2513" spans="1:24">
      <c r="A2513" s="799">
        <v>42915</v>
      </c>
      <c r="B2513">
        <v>2536.94</v>
      </c>
      <c r="C2513">
        <v>4827.6428939999996</v>
      </c>
      <c r="D2513">
        <v>2.833386</v>
      </c>
      <c r="E2513">
        <f>LN(D2513/参数实验室!$E$53)/参数实验室!$E$55</f>
        <v>0.53571222267828067</v>
      </c>
      <c r="F2513">
        <f t="shared" si="338"/>
        <v>1.9029393261172907</v>
      </c>
      <c r="G2513">
        <f>LN(F2513/参数实验室!$E$58)/参数实验室!$E$59</f>
        <v>0.14716091158420302</v>
      </c>
      <c r="H2513" s="856">
        <f>INDEX(神经网络!$G$10:$BO$70,MATCH(ROUND(G2513*2,1)/2,神经网络!$E$10:$E$70,0),MATCH(ROUND(E2513*2,1)/2,神经网络!$G$8:$BO$8,0))</f>
        <v>1.9622329139182519</v>
      </c>
      <c r="I2513">
        <f t="shared" si="330"/>
        <v>8890.869255694839</v>
      </c>
      <c r="J2513">
        <f t="shared" si="331"/>
        <v>1012.3059734248423</v>
      </c>
      <c r="K2513">
        <f t="shared" si="332"/>
        <v>8.7827884938929817</v>
      </c>
      <c r="L2513" s="4">
        <f>MIN(MAX(L2512*(1+MAX(MIN(((B2513-B2512)/B2512)/($K$7*卓尔金历!$N$40),0),-卓尔金历!$M$43))+MIN(MAX(((B2513-B2512)/B2512)/($K$7*卓尔金历!$N$40),0),卓尔金历!$M$43),0),1)</f>
        <v>0.84252993615837912</v>
      </c>
      <c r="M2513" s="4">
        <f>MIN(MAX(M2512*(1+MAX(MIN(((B2513-B2512)/B2512)/($K$7*30),0),-卓尔金历!$M$43))+MIN(MAX(((B2513-B2512)/B2512)/($K$7*7),0),卓尔金历!$M$43),0),1)</f>
        <v>0.99145743437307965</v>
      </c>
      <c r="N2513">
        <f t="shared" si="333"/>
        <v>11196.180411809642</v>
      </c>
      <c r="O2513">
        <f t="shared" si="334"/>
        <v>24747.634941573917</v>
      </c>
      <c r="P2513">
        <f t="shared" si="335"/>
        <v>-1.1182070888030244E-3</v>
      </c>
      <c r="Q2513">
        <f t="shared" si="336"/>
        <v>4.7764383654393658E-2</v>
      </c>
      <c r="R2513">
        <f t="shared" si="337"/>
        <v>1</v>
      </c>
      <c r="S2513">
        <f t="shared" si="329"/>
        <v>113.11309361205684</v>
      </c>
      <c r="T2513" s="564">
        <f>IF((I2513-MAX(I$470:I2513))/MAX(I$470:I2513)&gt;T2512,T2512,(I2513-MAX(I$470:I2513))/MAX(I$470:I2513))</f>
        <v>-0.91338805338419748</v>
      </c>
      <c r="U2513" s="564">
        <f>IF((J2513-MAX(J$470:J2513))/MAX(J$470:J2513)&gt;U2512,U2512,(J2513-MAX(J$470:J2513))/MAX(J$470:J2513))</f>
        <v>-0.8283551177402233</v>
      </c>
      <c r="V2513" s="564">
        <f>IF((K2513-MAX(K$470:K2513))/MAX(K$470:K2513)&gt;V2512,V2512,(K2513-MAX(K$470:K2513))/MAX(K$470:K2513))</f>
        <v>-0.84885940676762139</v>
      </c>
      <c r="W2513" s="564">
        <f>IF((N2513-MAX(N$470:N2513))/MAX(N$470:N2513)&gt;W2512,W2512,(N2513-MAX(N$470:N2513))/MAX(N$470:N2513))</f>
        <v>-0.62788758315546067</v>
      </c>
      <c r="X2513" s="564">
        <f>IF((O2513-MAX(O$470:O2513))/MAX(O$470:O2513)&gt;X2512,X2512,(O2513-MAX(O$470:O2513))/MAX(O$470:O2513))</f>
        <v>-0.62788758315546067</v>
      </c>
    </row>
    <row r="2514" spans="1:24">
      <c r="A2514" s="799">
        <v>42916</v>
      </c>
      <c r="B2514">
        <v>2547.9499999999998</v>
      </c>
      <c r="C2514">
        <v>4861.9290950000004</v>
      </c>
      <c r="D2514">
        <v>2.72357</v>
      </c>
      <c r="E2514">
        <f>LN(D2514/参数实验室!$E$53)/参数实验室!$E$55</f>
        <v>0.48907782375684355</v>
      </c>
      <c r="F2514">
        <f t="shared" si="338"/>
        <v>1.908172882120921</v>
      </c>
      <c r="G2514">
        <f>LN(F2514/参数实验室!$E$58)/参数实验室!$E$59</f>
        <v>0.14860240929131024</v>
      </c>
      <c r="H2514" s="856">
        <f>INDEX(神经网络!$G$10:$BO$70,MATCH(ROUND(G2514*2,1)/2,神经网络!$E$10:$E$70,0),MATCH(ROUND(E2514*2,1)/2,神经网络!$G$8:$BO$8,0))</f>
        <v>1.9024031741783951</v>
      </c>
      <c r="I2514">
        <f t="shared" si="330"/>
        <v>8966.5825081637249</v>
      </c>
      <c r="J2514">
        <f t="shared" si="331"/>
        <v>1016.6992538206763</v>
      </c>
      <c r="K2514">
        <f t="shared" si="332"/>
        <v>8.8193066675991041</v>
      </c>
      <c r="L2514" s="4">
        <f>MIN(MAX(L2513*(1+MAX(MIN(((B2514-B2513)/B2513)/($K$7*卓尔金历!$N$40),0),-卓尔金历!$M$43))+MIN(MAX(((B2514-B2513)/B2513)/($K$7*卓尔金历!$N$40),0),卓尔金历!$M$43),0),1)</f>
        <v>0.90883904654072156</v>
      </c>
      <c r="M2514" s="4">
        <f>MIN(MAX(M2513*(1+MAX(MIN(((B2514-B2513)/B2513)/($K$7*30),0),-卓尔金历!$M$43))+MIN(MAX(((B2514-B2513)/B2513)/($K$7*7),0),卓尔金历!$M$43),0),1)</f>
        <v>1</v>
      </c>
      <c r="N2514">
        <f t="shared" si="333"/>
        <v>11276.511362714142</v>
      </c>
      <c r="O2514">
        <f t="shared" si="334"/>
        <v>24956.581611382448</v>
      </c>
      <c r="P2514">
        <f t="shared" si="335"/>
        <v>4.33987402145883E-3</v>
      </c>
      <c r="Q2514">
        <f t="shared" si="336"/>
        <v>4.635557187555002E-2</v>
      </c>
      <c r="R2514">
        <f t="shared" si="337"/>
        <v>1</v>
      </c>
      <c r="S2514">
        <f t="shared" si="329"/>
        <v>114.07634703170429</v>
      </c>
      <c r="T2514" s="564">
        <f>IF((I2514-MAX(I$470:I2514))/MAX(I$470:I2514)&gt;T2513,T2513,(I2514-MAX(I$470:I2514))/MAX(I$470:I2514))</f>
        <v>-0.91338805338419748</v>
      </c>
      <c r="U2514" s="564">
        <f>IF((J2514-MAX(J$470:J2514))/MAX(J$470:J2514)&gt;U2513,U2513,(J2514-MAX(J$470:J2514))/MAX(J$470:J2514))</f>
        <v>-0.8283551177402233</v>
      </c>
      <c r="V2514" s="564">
        <f>IF((K2514-MAX(K$470:K2514))/MAX(K$470:K2514)&gt;V2513,V2513,(K2514-MAX(K$470:K2514))/MAX(K$470:K2514))</f>
        <v>-0.84885940676762139</v>
      </c>
      <c r="W2514" s="564">
        <f>IF((N2514-MAX(N$470:N2514))/MAX(N$470:N2514)&gt;W2513,W2513,(N2514-MAX(N$470:N2514))/MAX(N$470:N2514))</f>
        <v>-0.62788758315546067</v>
      </c>
      <c r="X2514" s="564">
        <f>IF((O2514-MAX(O$470:O2514))/MAX(O$470:O2514)&gt;X2513,X2513,(O2514-MAX(O$470:O2514))/MAX(O$470:O2514))</f>
        <v>-0.62788758315546067</v>
      </c>
    </row>
    <row r="2515" spans="1:24">
      <c r="A2515" s="799">
        <v>42917</v>
      </c>
      <c r="B2515">
        <v>2507.89</v>
      </c>
      <c r="C2515">
        <v>4883.5028149999998</v>
      </c>
      <c r="D2515">
        <v>2.6760440000000001</v>
      </c>
      <c r="E2515">
        <f>LN(D2515/参数实验室!$E$53)/参数实验室!$E$55</f>
        <v>0.46830952415639349</v>
      </c>
      <c r="F2515">
        <f t="shared" si="338"/>
        <v>1.947255587366272</v>
      </c>
      <c r="G2515">
        <f>LN(F2515/参数实验室!$E$58)/参数实验室!$E$59</f>
        <v>0.15924372643512225</v>
      </c>
      <c r="H2515" s="856">
        <f>INDEX(神经网络!$G$10:$BO$70,MATCH(ROUND(G2515*2,1)/2,神经网络!$E$10:$E$70,0),MATCH(ROUND(E2515*2,1)/2,神经网络!$G$8:$BO$8,0))</f>
        <v>1.8353808165201457</v>
      </c>
      <c r="I2515">
        <f t="shared" si="330"/>
        <v>8698.3882012487429</v>
      </c>
      <c r="J2515">
        <f t="shared" si="331"/>
        <v>1000.7142572124004</v>
      </c>
      <c r="K2515">
        <f t="shared" si="332"/>
        <v>8.6921797491714159</v>
      </c>
      <c r="L2515" s="4">
        <f>MIN(MAX(L2514*(1+MAX(MIN(((B2515-B2514)/B2514)/($K$7*卓尔金历!$N$40),0),-卓尔金历!$M$43))+MIN(MAX(((B2515-B2514)/B2514)/($K$7*卓尔金历!$N$40),0),卓尔金历!$M$43),0),1)</f>
        <v>0.69051423221896335</v>
      </c>
      <c r="M2515" s="4">
        <f>MIN(MAX(M2514*(1+MAX(MIN(((B2515-B2514)/B2514)/($K$7*30),0),-卓尔金历!$M$43))+MIN(MAX(((B2515-B2514)/B2514)/($K$7*7),0),卓尔金历!$M$43),0),1)</f>
        <v>0.87988807525779211</v>
      </c>
      <c r="N2515">
        <f t="shared" si="333"/>
        <v>10969.9733448771</v>
      </c>
      <c r="O2515">
        <f t="shared" si="334"/>
        <v>24210.119611825983</v>
      </c>
      <c r="P2515">
        <f t="shared" si="335"/>
        <v>-1.5722443533036343E-2</v>
      </c>
      <c r="Q2515">
        <f t="shared" si="336"/>
        <v>4.6377452659663025E-2</v>
      </c>
      <c r="R2515">
        <f t="shared" si="337"/>
        <v>1</v>
      </c>
      <c r="S2515">
        <f t="shared" si="329"/>
        <v>110.66427484035316</v>
      </c>
      <c r="T2515" s="564">
        <f>IF((I2515-MAX(I$470:I2515))/MAX(I$470:I2515)&gt;T2514,T2514,(I2515-MAX(I$470:I2515))/MAX(I$470:I2515))</f>
        <v>-0.91338805338419748</v>
      </c>
      <c r="U2515" s="564">
        <f>IF((J2515-MAX(J$470:J2515))/MAX(J$470:J2515)&gt;U2514,U2514,(J2515-MAX(J$470:J2515))/MAX(J$470:J2515))</f>
        <v>-0.8283551177402233</v>
      </c>
      <c r="V2515" s="564">
        <f>IF((K2515-MAX(K$470:K2515))/MAX(K$470:K2515)&gt;V2514,V2514,(K2515-MAX(K$470:K2515))/MAX(K$470:K2515))</f>
        <v>-0.84885940676762139</v>
      </c>
      <c r="W2515" s="564">
        <f>IF((N2515-MAX(N$470:N2515))/MAX(N$470:N2515)&gt;W2514,W2514,(N2515-MAX(N$470:N2515))/MAX(N$470:N2515))</f>
        <v>-0.62788758315546067</v>
      </c>
      <c r="X2515" s="564">
        <f>IF((O2515-MAX(O$470:O2515))/MAX(O$470:O2515)&gt;X2514,X2514,(O2515-MAX(O$470:O2515))/MAX(O$470:O2515))</f>
        <v>-0.62788758315546067</v>
      </c>
    </row>
    <row r="2516" spans="1:24">
      <c r="A2516" s="799">
        <v>42918</v>
      </c>
      <c r="B2516">
        <v>2445.84</v>
      </c>
      <c r="C2516">
        <v>4750.4163790000002</v>
      </c>
      <c r="D2516">
        <v>2.7845569999999999</v>
      </c>
      <c r="E2516">
        <f>LN(D2516/参数实验室!$E$53)/参数实验室!$E$55</f>
        <v>0.51520378326574101</v>
      </c>
      <c r="F2516">
        <f t="shared" si="338"/>
        <v>1.9422433106826285</v>
      </c>
      <c r="G2516">
        <f>LN(F2516/参数实验室!$E$58)/参数实验室!$E$59</f>
        <v>0.15789099940901491</v>
      </c>
      <c r="H2516" s="856">
        <f>INDEX(神经网络!$G$10:$BO$70,MATCH(ROUND(G2516*2,1)/2,神经网络!$E$10:$E$70,0),MATCH(ROUND(E2516*2,1)/2,神经网络!$G$8:$BO$8,0))</f>
        <v>1.9024031741783951</v>
      </c>
      <c r="I2516">
        <f t="shared" si="330"/>
        <v>8303.387127528038</v>
      </c>
      <c r="J2516">
        <f t="shared" si="331"/>
        <v>975.95467060372584</v>
      </c>
      <c r="K2516">
        <f t="shared" si="332"/>
        <v>8.5079639225370585</v>
      </c>
      <c r="L2516" s="4">
        <f>MIN(MAX(L2515*(1+MAX(MIN(((B2516-B2515)/B2515)/($K$7*卓尔金历!$N$40),0),-卓尔金历!$M$43))+MIN(MAX(((B2516-B2515)/B2515)/($K$7*卓尔金历!$N$40),0),卓尔金历!$M$43),0),1)</f>
        <v>0.42947726517242019</v>
      </c>
      <c r="M2516" s="4">
        <f>MIN(MAX(M2515*(1+MAX(MIN(((B2516-B2515)/B2515)/($K$7*30),0),-卓尔金历!$M$43))+MIN(MAX(((B2516-B2515)/B2515)/($K$7*7),0),卓尔金历!$M$43),0),1)</f>
        <v>0.7135748381159388</v>
      </c>
      <c r="N2516">
        <f t="shared" si="333"/>
        <v>10625.98977697961</v>
      </c>
      <c r="O2516">
        <f t="shared" si="334"/>
        <v>23242.769118953111</v>
      </c>
      <c r="P2516">
        <f t="shared" si="335"/>
        <v>-2.4741914517781773E-2</v>
      </c>
      <c r="Q2516">
        <f t="shared" si="336"/>
        <v>4.6378132203514666E-2</v>
      </c>
      <c r="R2516">
        <f t="shared" si="337"/>
        <v>0.70384707541823355</v>
      </c>
      <c r="S2516">
        <f t="shared" si="329"/>
        <v>105.63891768531296</v>
      </c>
      <c r="T2516" s="564">
        <f>IF((I2516-MAX(I$470:I2516))/MAX(I$470:I2516)&gt;T2515,T2515,(I2516-MAX(I$470:I2516))/MAX(I$470:I2516))</f>
        <v>-0.91338805338419748</v>
      </c>
      <c r="U2516" s="564">
        <f>IF((J2516-MAX(J$470:J2516))/MAX(J$470:J2516)&gt;U2515,U2515,(J2516-MAX(J$470:J2516))/MAX(J$470:J2516))</f>
        <v>-0.8283551177402233</v>
      </c>
      <c r="V2516" s="564">
        <f>IF((K2516-MAX(K$470:K2516))/MAX(K$470:K2516)&gt;V2515,V2515,(K2516-MAX(K$470:K2516))/MAX(K$470:K2516))</f>
        <v>-0.84885940676762139</v>
      </c>
      <c r="W2516" s="564">
        <f>IF((N2516-MAX(N$470:N2516))/MAX(N$470:N2516)&gt;W2515,W2515,(N2516-MAX(N$470:N2516))/MAX(N$470:N2516))</f>
        <v>-0.62788758315546067</v>
      </c>
      <c r="X2516" s="564">
        <f>IF((O2516-MAX(O$470:O2516))/MAX(O$470:O2516)&gt;X2515,X2515,(O2516-MAX(O$470:O2516))/MAX(O$470:O2516))</f>
        <v>-0.62788758315546067</v>
      </c>
    </row>
    <row r="2517" spans="1:24">
      <c r="A2517" s="799">
        <v>42919</v>
      </c>
      <c r="B2517">
        <v>2519.06</v>
      </c>
      <c r="C2517">
        <v>4822.6583479999999</v>
      </c>
      <c r="D2517">
        <v>2.8067690000000001</v>
      </c>
      <c r="E2517">
        <f>LN(D2517/参数实验室!$E$53)/参数实验室!$E$55</f>
        <v>0.52457716514521346</v>
      </c>
      <c r="F2517">
        <f t="shared" si="338"/>
        <v>1.9144674394416965</v>
      </c>
      <c r="G2517">
        <f>LN(F2517/参数实验室!$E$58)/参数实验室!$E$59</f>
        <v>0.15033091449571628</v>
      </c>
      <c r="H2517" s="856">
        <f>INDEX(神经网络!$G$10:$BO$70,MATCH(ROUND(G2517*2,1)/2,神经网络!$E$10:$E$70,0),MATCH(ROUND(E2517*2,1)/2,神经网络!$G$8:$BO$8,0))</f>
        <v>1.9024031741783951</v>
      </c>
      <c r="I2517">
        <f t="shared" si="330"/>
        <v>8776.2764734535849</v>
      </c>
      <c r="J2517">
        <f t="shared" si="331"/>
        <v>1005.1713818283376</v>
      </c>
      <c r="K2517">
        <f t="shared" si="332"/>
        <v>8.7311244948997064</v>
      </c>
      <c r="L2517" s="4">
        <f>MIN(MAX(L2516*(1+MAX(MIN(((B2517-B2516)/B2516)/($K$7*卓尔金历!$N$40),0),-卓尔金历!$M$43))+MIN(MAX(((B2517-B2516)/B2516)/($K$7*卓尔金历!$N$40),0),卓尔金历!$M$43),0),1)</f>
        <v>0.88687894967438974</v>
      </c>
      <c r="M2517" s="4">
        <f>MIN(MAX(M2516*(1+MAX(MIN(((B2517-B2516)/B2516)/($K$7*30),0),-卓尔金历!$M$43))+MIN(MAX(((B2517-B2516)/B2516)/($K$7*7),0),卓尔金历!$M$43),0),1)</f>
        <v>1</v>
      </c>
      <c r="N2517">
        <f t="shared" si="333"/>
        <v>10885.894287077705</v>
      </c>
      <c r="O2517">
        <f t="shared" si="334"/>
        <v>24187.333661873836</v>
      </c>
      <c r="P2517">
        <f t="shared" si="335"/>
        <v>2.9936545317763956E-2</v>
      </c>
      <c r="Q2517">
        <f t="shared" si="336"/>
        <v>4.5885657823704552E-2</v>
      </c>
      <c r="R2517">
        <f t="shared" si="337"/>
        <v>0.49325757953578064</v>
      </c>
      <c r="S2517">
        <f t="shared" si="329"/>
        <v>109.87346019066314</v>
      </c>
      <c r="T2517" s="564">
        <f>IF((I2517-MAX(I$470:I2517))/MAX(I$470:I2517)&gt;T2516,T2516,(I2517-MAX(I$470:I2517))/MAX(I$470:I2517))</f>
        <v>-0.91338805338419748</v>
      </c>
      <c r="U2517" s="564">
        <f>IF((J2517-MAX(J$470:J2517))/MAX(J$470:J2517)&gt;U2516,U2516,(J2517-MAX(J$470:J2517))/MAX(J$470:J2517))</f>
        <v>-0.8283551177402233</v>
      </c>
      <c r="V2517" s="564">
        <f>IF((K2517-MAX(K$470:K2517))/MAX(K$470:K2517)&gt;V2516,V2516,(K2517-MAX(K$470:K2517))/MAX(K$470:K2517))</f>
        <v>-0.84885940676762139</v>
      </c>
      <c r="W2517" s="564">
        <f>IF((N2517-MAX(N$470:N2517))/MAX(N$470:N2517)&gt;W2516,W2516,(N2517-MAX(N$470:N2517))/MAX(N$470:N2517))</f>
        <v>-0.62788758315546067</v>
      </c>
      <c r="X2517" s="564">
        <f>IF((O2517-MAX(O$470:O2517))/MAX(O$470:O2517)&gt;X2516,X2516,(O2517-MAX(O$470:O2517))/MAX(O$470:O2517))</f>
        <v>-0.62788758315546067</v>
      </c>
    </row>
    <row r="2518" spans="1:24">
      <c r="A2518" s="799">
        <v>42920</v>
      </c>
      <c r="B2518">
        <v>2618.16</v>
      </c>
      <c r="C2518">
        <v>4850.3610980000003</v>
      </c>
      <c r="D2518">
        <v>2.848519</v>
      </c>
      <c r="E2518">
        <f>LN(D2518/参数实验室!$E$53)/参数实验室!$E$55</f>
        <v>0.54199646997043627</v>
      </c>
      <c r="F2518">
        <f t="shared" si="338"/>
        <v>1.8525839131298318</v>
      </c>
      <c r="G2518">
        <f>LN(F2518/参数实验室!$E$58)/参数实验室!$E$59</f>
        <v>0.13308520258836007</v>
      </c>
      <c r="H2518" s="856">
        <f>INDEX(神经网络!$G$10:$BO$70,MATCH(ROUND(G2518*2,1)/2,神经网络!$E$10:$E$70,0),MATCH(ROUND(E2518*2,1)/2,神经网络!$G$8:$BO$8,0))</f>
        <v>1.9622329139182519</v>
      </c>
      <c r="I2518">
        <f t="shared" si="330"/>
        <v>9433.0989419370744</v>
      </c>
      <c r="J2518">
        <f t="shared" si="331"/>
        <v>1044.7148956546014</v>
      </c>
      <c r="K2518">
        <f t="shared" si="332"/>
        <v>9.0293523919044425</v>
      </c>
      <c r="L2518" s="4">
        <f>MIN(MAX(L2517*(1+MAX(MIN(((B2518-B2517)/B2517)/($K$7*卓尔金历!$N$40),0),-卓尔金历!$M$43))+MIN(MAX(((B2518-B2517)/B2517)/($K$7*卓尔金历!$N$40),0),卓尔金历!$M$43),0),1)</f>
        <v>1</v>
      </c>
      <c r="M2518" s="4">
        <f>MIN(MAX(M2517*(1+MAX(MIN(((B2518-B2517)/B2517)/($K$7*30),0),-卓尔金历!$M$43))+MIN(MAX(((B2518-B2517)/B2517)/($K$7*7),0),卓尔金历!$M$43),0),1)</f>
        <v>1</v>
      </c>
      <c r="N2518">
        <f t="shared" si="333"/>
        <v>11608.441389982692</v>
      </c>
      <c r="O2518">
        <f t="shared" si="334"/>
        <v>25997.53007602282</v>
      </c>
      <c r="P2518">
        <f t="shared" si="335"/>
        <v>3.9340071296435936E-2</v>
      </c>
      <c r="Q2518">
        <f t="shared" si="336"/>
        <v>4.6676376408133768E-2</v>
      </c>
      <c r="R2518">
        <f t="shared" si="337"/>
        <v>0.22472640828213969</v>
      </c>
      <c r="S2518">
        <f t="shared" si="329"/>
        <v>113.92951928500695</v>
      </c>
      <c r="T2518" s="564">
        <f>IF((I2518-MAX(I$470:I2518))/MAX(I$470:I2518)&gt;T2517,T2517,(I2518-MAX(I$470:I2518))/MAX(I$470:I2518))</f>
        <v>-0.91338805338419748</v>
      </c>
      <c r="U2518" s="564">
        <f>IF((J2518-MAX(J$470:J2518))/MAX(J$470:J2518)&gt;U2517,U2517,(J2518-MAX(J$470:J2518))/MAX(J$470:J2518))</f>
        <v>-0.8283551177402233</v>
      </c>
      <c r="V2518" s="564">
        <f>IF((K2518-MAX(K$470:K2518))/MAX(K$470:K2518)&gt;V2517,V2517,(K2518-MAX(K$470:K2518))/MAX(K$470:K2518))</f>
        <v>-0.84885940676762139</v>
      </c>
      <c r="W2518" s="564">
        <f>IF((N2518-MAX(N$470:N2518))/MAX(N$470:N2518)&gt;W2517,W2517,(N2518-MAX(N$470:N2518))/MAX(N$470:N2518))</f>
        <v>-0.62788758315546067</v>
      </c>
      <c r="X2518" s="564">
        <f>IF((O2518-MAX(O$470:O2518))/MAX(O$470:O2518)&gt;X2517,X2517,(O2518-MAX(O$470:O2518))/MAX(O$470:O2518))</f>
        <v>-0.62788758315546067</v>
      </c>
    </row>
    <row r="2519" spans="1:24">
      <c r="A2519" s="799">
        <v>42921</v>
      </c>
      <c r="B2519">
        <v>2562.64</v>
      </c>
      <c r="C2519">
        <v>4901.2170100000003</v>
      </c>
      <c r="D2519">
        <v>2.842136</v>
      </c>
      <c r="E2519">
        <f>LN(D2519/参数实验室!$E$53)/参数实验室!$E$55</f>
        <v>0.53934989655688947</v>
      </c>
      <c r="F2519">
        <f t="shared" si="338"/>
        <v>1.9125655612961636</v>
      </c>
      <c r="G2519">
        <f>LN(F2519/参数实验室!$E$58)/参数实验室!$E$59</f>
        <v>0.14980925266728984</v>
      </c>
      <c r="H2519" s="856">
        <f>INDEX(神经网络!$G$10:$BO$70,MATCH(ROUND(G2519*2,1)/2,神经网络!$E$10:$E$70,0),MATCH(ROUND(E2519*2,1)/2,神经网络!$G$8:$BO$8,0))</f>
        <v>1.9622329139182519</v>
      </c>
      <c r="I2519">
        <f t="shared" si="330"/>
        <v>9040.5821688281194</v>
      </c>
      <c r="J2519">
        <f t="shared" si="331"/>
        <v>1022.5609512788782</v>
      </c>
      <c r="K2519">
        <f t="shared" si="332"/>
        <v>8.8411181333703439</v>
      </c>
      <c r="L2519" s="4">
        <f>MIN(MAX(L2518*(1+MAX(MIN(((B2519-B2518)/B2518)/($K$7*卓尔金历!$N$40),0),-卓尔金历!$M$43))+MIN(MAX(((B2519-B2518)/B2518)/($K$7*卓尔金历!$N$40),0),卓尔金历!$M$43),0),1)</f>
        <v>0.6759967605334829</v>
      </c>
      <c r="M2519" s="4">
        <f>MIN(MAX(M2518*(1+MAX(MIN(((B2519-B2518)/B2518)/($K$7*30),0),-卓尔金历!$M$43))+MIN(MAX(((B2519-B2518)/B2518)/($K$7*7),0),卓尔金历!$M$43),0),1)</f>
        <v>0.83799838026674145</v>
      </c>
      <c r="N2519">
        <f t="shared" si="333"/>
        <v>11125.40734324293</v>
      </c>
      <c r="O2519">
        <f t="shared" si="334"/>
        <v>24915.757619584663</v>
      </c>
      <c r="P2519">
        <f t="shared" si="335"/>
        <v>-2.1205732269991132E-2</v>
      </c>
      <c r="Q2519">
        <f t="shared" si="336"/>
        <v>4.6436933722057143E-2</v>
      </c>
      <c r="R2519">
        <f t="shared" si="337"/>
        <v>0.86708601423177656</v>
      </c>
      <c r="S2519">
        <f t="shared" ref="S2519:S2582" si="339">S2518*(1+(B2519-B2518)/B2518*H2518*R2518)</f>
        <v>112.864164635142</v>
      </c>
      <c r="T2519" s="564">
        <f>IF((I2519-MAX(I$470:I2519))/MAX(I$470:I2519)&gt;T2518,T2518,(I2519-MAX(I$470:I2519))/MAX(I$470:I2519))</f>
        <v>-0.91338805338419748</v>
      </c>
      <c r="U2519" s="564">
        <f>IF((J2519-MAX(J$470:J2519))/MAX(J$470:J2519)&gt;U2518,U2518,(J2519-MAX(J$470:J2519))/MAX(J$470:J2519))</f>
        <v>-0.8283551177402233</v>
      </c>
      <c r="V2519" s="564">
        <f>IF((K2519-MAX(K$470:K2519))/MAX(K$470:K2519)&gt;V2518,V2518,(K2519-MAX(K$470:K2519))/MAX(K$470:K2519))</f>
        <v>-0.84885940676762139</v>
      </c>
      <c r="W2519" s="564">
        <f>IF((N2519-MAX(N$470:N2519))/MAX(N$470:N2519)&gt;W2518,W2518,(N2519-MAX(N$470:N2519))/MAX(N$470:N2519))</f>
        <v>-0.62788758315546067</v>
      </c>
      <c r="X2519" s="564">
        <f>IF((O2519-MAX(O$470:O2519))/MAX(O$470:O2519)&gt;X2518,X2518,(O2519-MAX(O$470:O2519))/MAX(O$470:O2519))</f>
        <v>-0.62788758315546067</v>
      </c>
    </row>
    <row r="2520" spans="1:24">
      <c r="A2520" s="799">
        <v>42922</v>
      </c>
      <c r="B2520">
        <v>2592.87</v>
      </c>
      <c r="C2520">
        <v>4932.6967050000003</v>
      </c>
      <c r="D2520">
        <v>2.8278409999999998</v>
      </c>
      <c r="E2520">
        <f>LN(D2520/参数实验室!$E$53)/参数实验室!$E$55</f>
        <v>0.53340115695709078</v>
      </c>
      <c r="F2520">
        <f t="shared" si="338"/>
        <v>1.9024080285552305</v>
      </c>
      <c r="G2520">
        <f>LN(F2520/参数实验室!$E$58)/参数实验室!$E$59</f>
        <v>0.14701435272933472</v>
      </c>
      <c r="H2520" s="856">
        <f>INDEX(神经网络!$G$10:$BO$70,MATCH(ROUND(G2520*2,1)/2,神经网络!$E$10:$E$70,0),MATCH(ROUND(E2520*2,1)/2,神经网络!$G$8:$BO$8,0))</f>
        <v>1.9622329139182519</v>
      </c>
      <c r="I2520">
        <f t="shared" ref="I2520:I2583" si="340">I2519*(1+(B2520-B2519)/B2519*H2519)</f>
        <v>9249.8476037682685</v>
      </c>
      <c r="J2520">
        <f t="shared" ref="J2520:J2583" si="341">J2519*B2520/B2519</f>
        <v>1034.6235186145791</v>
      </c>
      <c r="K2520">
        <f t="shared" ref="K2520:K2583" si="342">I2520/J2520</f>
        <v>8.9403028612324125</v>
      </c>
      <c r="L2520" s="4">
        <f>MIN(MAX(L2519*(1+MAX(MIN(((B2520-B2519)/B2519)/($K$7*卓尔金历!$N$40),0),-卓尔金历!$M$43))+MIN(MAX(((B2520-B2519)/B2519)/($K$7*卓尔金历!$N$40),0),卓尔金历!$M$43),0),1)</f>
        <v>0.85623487062274417</v>
      </c>
      <c r="M2520" s="4">
        <f>MIN(MAX(M2519*(1+MAX(MIN(((B2520-B2519)/B2519)/($K$7*30),0),-卓尔金历!$M$43))+MIN(MAX(((B2520-B2519)/B2519)/($K$7*7),0),卓尔金历!$M$43),0),1)</f>
        <v>1</v>
      </c>
      <c r="N2520">
        <f t="shared" ref="N2520:N2583" si="343">N2519*(1+(B2520-B2519)/B2519*H2519*L2519)</f>
        <v>11299.492458144177</v>
      </c>
      <c r="O2520">
        <f t="shared" ref="O2520:O2583" si="344">O2519*(1+(B2520-B2519)/B2519*H2519*M2519)</f>
        <v>25399.059382424723</v>
      </c>
      <c r="P2520">
        <f t="shared" ref="P2520:P2583" si="345">(B2520-B2519)/B2519</f>
        <v>1.1796428682920745E-2</v>
      </c>
      <c r="Q2520">
        <f t="shared" si="336"/>
        <v>3.395566447175407E-2</v>
      </c>
      <c r="R2520">
        <f t="shared" si="337"/>
        <v>1</v>
      </c>
      <c r="S2520">
        <f t="shared" si="339"/>
        <v>115.12943141126445</v>
      </c>
      <c r="T2520" s="564">
        <f>IF((I2520-MAX(I$470:I2520))/MAX(I$470:I2520)&gt;T2519,T2519,(I2520-MAX(I$470:I2520))/MAX(I$470:I2520))</f>
        <v>-0.91338805338419748</v>
      </c>
      <c r="U2520" s="564">
        <f>IF((J2520-MAX(J$470:J2520))/MAX(J$470:J2520)&gt;U2519,U2519,(J2520-MAX(J$470:J2520))/MAX(J$470:J2520))</f>
        <v>-0.8283551177402233</v>
      </c>
      <c r="V2520" s="564">
        <f>IF((K2520-MAX(K$470:K2520))/MAX(K$470:K2520)&gt;V2519,V2519,(K2520-MAX(K$470:K2520))/MAX(K$470:K2520))</f>
        <v>-0.84885940676762139</v>
      </c>
      <c r="W2520" s="564">
        <f>IF((N2520-MAX(N$470:N2520))/MAX(N$470:N2520)&gt;W2519,W2519,(N2520-MAX(N$470:N2520))/MAX(N$470:N2520))</f>
        <v>-0.62788758315546067</v>
      </c>
      <c r="X2520" s="564">
        <f>IF((O2520-MAX(O$470:O2520))/MAX(O$470:O2520)&gt;X2519,X2519,(O2520-MAX(O$470:O2520))/MAX(O$470:O2520))</f>
        <v>-0.62788758315546067</v>
      </c>
    </row>
    <row r="2521" spans="1:24">
      <c r="A2521" s="799">
        <v>42923</v>
      </c>
      <c r="B2521">
        <v>2549.5</v>
      </c>
      <c r="C2521">
        <v>4991.4194669999997</v>
      </c>
      <c r="D2521">
        <v>2.7009180000000002</v>
      </c>
      <c r="E2521">
        <f>LN(D2521/参数实验室!$E$53)/参数实验室!$E$55</f>
        <v>0.47922475529395075</v>
      </c>
      <c r="F2521">
        <f t="shared" si="338"/>
        <v>1.9578032818199647</v>
      </c>
      <c r="G2521">
        <f>LN(F2521/参数实验室!$E$58)/参数实验室!$E$59</f>
        <v>0.16207902993629711</v>
      </c>
      <c r="H2521" s="856">
        <f>INDEX(神经网络!$G$10:$BO$70,MATCH(ROUND(G2521*2,1)/2,神经网络!$E$10:$E$70,0),MATCH(ROUND(E2521*2,1)/2,神经网络!$G$8:$BO$8,0))</f>
        <v>1.9024031741783951</v>
      </c>
      <c r="I2521">
        <f t="shared" si="340"/>
        <v>8946.2531642366157</v>
      </c>
      <c r="J2521">
        <f t="shared" si="341"/>
        <v>1017.3177447029236</v>
      </c>
      <c r="K2521">
        <f t="shared" si="342"/>
        <v>8.7939615826214599</v>
      </c>
      <c r="L2521" s="4">
        <f>MIN(MAX(L2520*(1+MAX(MIN(((B2521-B2520)/B2520)/($K$7*卓尔金历!$N$40),0),-卓尔金历!$M$43))+MIN(MAX(((B2521-B2520)/B2520)/($K$7*卓尔金历!$N$40),0),卓尔金历!$M$43),0),1)</f>
        <v>0.6374095021489149</v>
      </c>
      <c r="M2521" s="4">
        <f>MIN(MAX(M2520*(1+MAX(MIN(((B2521-B2520)/B2520)/($K$7*30),0),-卓尔金历!$M$43))+MIN(MAX(((B2521-B2520)/B2520)/($K$7*7),0),卓尔金历!$M$43),0),1)</f>
        <v>0.87221650508424375</v>
      </c>
      <c r="N2521">
        <f t="shared" si="343"/>
        <v>10981.943214399747</v>
      </c>
      <c r="O2521">
        <f t="shared" si="344"/>
        <v>24565.422599620106</v>
      </c>
      <c r="P2521">
        <f t="shared" si="345"/>
        <v>-1.6726638821074676E-2</v>
      </c>
      <c r="Q2521">
        <f t="shared" si="336"/>
        <v>2.759067664934501E-2</v>
      </c>
      <c r="R2521">
        <f t="shared" si="337"/>
        <v>0.55142496227182536</v>
      </c>
      <c r="S2521">
        <f t="shared" si="339"/>
        <v>111.35070372837146</v>
      </c>
      <c r="T2521" s="564">
        <f>IF((I2521-MAX(I$470:I2521))/MAX(I$470:I2521)&gt;T2520,T2520,(I2521-MAX(I$470:I2521))/MAX(I$470:I2521))</f>
        <v>-0.91338805338419748</v>
      </c>
      <c r="U2521" s="564">
        <f>IF((J2521-MAX(J$470:J2521))/MAX(J$470:J2521)&gt;U2520,U2520,(J2521-MAX(J$470:J2521))/MAX(J$470:J2521))</f>
        <v>-0.8283551177402233</v>
      </c>
      <c r="V2521" s="564">
        <f>IF((K2521-MAX(K$470:K2521))/MAX(K$470:K2521)&gt;V2520,V2520,(K2521-MAX(K$470:K2521))/MAX(K$470:K2521))</f>
        <v>-0.84885940676762139</v>
      </c>
      <c r="W2521" s="564">
        <f>IF((N2521-MAX(N$470:N2521))/MAX(N$470:N2521)&gt;W2520,W2520,(N2521-MAX(N$470:N2521))/MAX(N$470:N2521))</f>
        <v>-0.62788758315546067</v>
      </c>
      <c r="X2521" s="564">
        <f>IF((O2521-MAX(O$470:O2521))/MAX(O$470:O2521)&gt;X2520,X2520,(O2521-MAX(O$470:O2521))/MAX(O$470:O2521))</f>
        <v>-0.62788758315546067</v>
      </c>
    </row>
    <row r="2522" spans="1:24">
      <c r="A2522" s="799">
        <v>42924</v>
      </c>
      <c r="B2522">
        <v>2521.61</v>
      </c>
      <c r="C2522">
        <v>4993.4208330000001</v>
      </c>
      <c r="D2522">
        <v>2.7563819999999999</v>
      </c>
      <c r="E2522">
        <f>LN(D2522/参数实验室!$E$53)/参数实验室!$E$55</f>
        <v>0.50320587672542594</v>
      </c>
      <c r="F2522">
        <f t="shared" si="338"/>
        <v>1.9802510431827285</v>
      </c>
      <c r="G2522">
        <f>LN(F2522/参数实验室!$E$58)/参数实验室!$E$59</f>
        <v>0.1680626578632258</v>
      </c>
      <c r="H2522" s="856">
        <f>INDEX(神经网络!$G$10:$BO$70,MATCH(ROUND(G2522*2,1)/2,神经网络!$E$10:$E$70,0),MATCH(ROUND(E2522*2,1)/2,神经网络!$G$8:$BO$8,0))</f>
        <v>1.9024031741783951</v>
      </c>
      <c r="I2522">
        <f t="shared" si="340"/>
        <v>8760.071356109418</v>
      </c>
      <c r="J2522">
        <f t="shared" si="341"/>
        <v>1006.1888990862285</v>
      </c>
      <c r="K2522">
        <f t="shared" si="342"/>
        <v>8.7061896270818391</v>
      </c>
      <c r="L2522" s="4">
        <f>MIN(MAX(L2521*(1+MAX(MIN(((B2522-B2521)/B2521)/($K$7*卓尔金历!$N$40),0),-卓尔金历!$M$43))+MIN(MAX(((B2522-B2521)/B2521)/($K$7*卓尔金历!$N$40),0),卓尔金历!$M$43),0),1)</f>
        <v>0.53087062634557858</v>
      </c>
      <c r="M2522" s="4">
        <f>MIN(MAX(M2521*(1+MAX(MIN(((B2522-B2521)/B2521)/($K$7*30),0),-卓尔金历!$M$43))+MIN(MAX(((B2522-B2521)/B2521)/($K$7*7),0),卓尔金历!$M$43),0),1)</f>
        <v>0.79932383122582928</v>
      </c>
      <c r="N2522">
        <f t="shared" si="343"/>
        <v>10836.265275933818</v>
      </c>
      <c r="O2522">
        <f t="shared" si="344"/>
        <v>24119.515281221895</v>
      </c>
      <c r="P2522">
        <f t="shared" si="345"/>
        <v>-1.0939399882329819E-2</v>
      </c>
      <c r="Q2522">
        <f t="shared" si="336"/>
        <v>2.5996047152422708E-2</v>
      </c>
      <c r="R2522">
        <f t="shared" si="337"/>
        <v>0.91704599042466062</v>
      </c>
      <c r="S2522">
        <f t="shared" si="339"/>
        <v>110.07286676060788</v>
      </c>
      <c r="T2522" s="564">
        <f>IF((I2522-MAX(I$470:I2522))/MAX(I$470:I2522)&gt;T2521,T2521,(I2522-MAX(I$470:I2522))/MAX(I$470:I2522))</f>
        <v>-0.91338805338419748</v>
      </c>
      <c r="U2522" s="564">
        <f>IF((J2522-MAX(J$470:J2522))/MAX(J$470:J2522)&gt;U2521,U2521,(J2522-MAX(J$470:J2522))/MAX(J$470:J2522))</f>
        <v>-0.8283551177402233</v>
      </c>
      <c r="V2522" s="564">
        <f>IF((K2522-MAX(K$470:K2522))/MAX(K$470:K2522)&gt;V2521,V2521,(K2522-MAX(K$470:K2522))/MAX(K$470:K2522))</f>
        <v>-0.84885940676762139</v>
      </c>
      <c r="W2522" s="564">
        <f>IF((N2522-MAX(N$470:N2522))/MAX(N$470:N2522)&gt;W2521,W2521,(N2522-MAX(N$470:N2522))/MAX(N$470:N2522))</f>
        <v>-0.62788758315546067</v>
      </c>
      <c r="X2522" s="564">
        <f>IF((O2522-MAX(O$470:O2522))/MAX(O$470:O2522)&gt;X2521,X2521,(O2522-MAX(O$470:O2522))/MAX(O$470:O2522))</f>
        <v>-0.62788758315546067</v>
      </c>
    </row>
    <row r="2523" spans="1:24">
      <c r="A2523" s="799">
        <v>42925</v>
      </c>
      <c r="B2523">
        <v>2589.88</v>
      </c>
      <c r="C2523">
        <v>5039.2691690000001</v>
      </c>
      <c r="D2523">
        <v>2.703144</v>
      </c>
      <c r="E2523">
        <f>LN(D2523/参数实验室!$E$53)/参数实验室!$E$55</f>
        <v>0.48019666526449095</v>
      </c>
      <c r="F2523">
        <f t="shared" si="338"/>
        <v>1.9457539225755633</v>
      </c>
      <c r="G2523">
        <f>LN(F2523/参数实验室!$E$58)/参数实验室!$E$59</f>
        <v>0.15883881867734048</v>
      </c>
      <c r="H2523" s="856">
        <f>INDEX(神经网络!$G$10:$BO$70,MATCH(ROUND(G2523*2,1)/2,神经网络!$E$10:$E$70,0),MATCH(ROUND(E2523*2,1)/2,神经网络!$G$8:$BO$8,0))</f>
        <v>1.9024031741783951</v>
      </c>
      <c r="I2523">
        <f t="shared" si="340"/>
        <v>9211.2641870008683</v>
      </c>
      <c r="J2523">
        <f t="shared" si="341"/>
        <v>1033.4304297514054</v>
      </c>
      <c r="K2523">
        <f t="shared" si="342"/>
        <v>8.9132891018282319</v>
      </c>
      <c r="L2523" s="4">
        <f>MIN(MAX(L2522*(1+MAX(MIN(((B2523-B2522)/B2522)/($K$7*卓尔金历!$N$40),0),-卓尔金历!$M$43))+MIN(MAX(((B2523-B2522)/B2522)/($K$7*卓尔金历!$N$40),0),卓尔金历!$M$43),0),1)</f>
        <v>0.94453494643550151</v>
      </c>
      <c r="M2523" s="4">
        <f>MIN(MAX(M2522*(1+MAX(MIN(((B2523-B2522)/B2522)/($K$7*30),0),-卓尔金历!$M$43))+MIN(MAX(((B2523-B2522)/B2522)/($K$7*7),0),卓尔金历!$M$43),0),1)</f>
        <v>1</v>
      </c>
      <c r="N2523">
        <f t="shared" si="343"/>
        <v>11132.559285357624</v>
      </c>
      <c r="O2523">
        <f t="shared" si="344"/>
        <v>25112.507587774562</v>
      </c>
      <c r="P2523">
        <f t="shared" si="345"/>
        <v>2.7073972581009742E-2</v>
      </c>
      <c r="Q2523">
        <f t="shared" si="336"/>
        <v>2.6598664675535542E-2</v>
      </c>
      <c r="R2523">
        <f t="shared" si="337"/>
        <v>2.5535609567407719E-2</v>
      </c>
      <c r="S2523">
        <f t="shared" si="339"/>
        <v>115.27194006097412</v>
      </c>
      <c r="T2523" s="564">
        <f>IF((I2523-MAX(I$470:I2523))/MAX(I$470:I2523)&gt;T2522,T2522,(I2523-MAX(I$470:I2523))/MAX(I$470:I2523))</f>
        <v>-0.91338805338419748</v>
      </c>
      <c r="U2523" s="564">
        <f>IF((J2523-MAX(J$470:J2523))/MAX(J$470:J2523)&gt;U2522,U2522,(J2523-MAX(J$470:J2523))/MAX(J$470:J2523))</f>
        <v>-0.8283551177402233</v>
      </c>
      <c r="V2523" s="564">
        <f>IF((K2523-MAX(K$470:K2523))/MAX(K$470:K2523)&gt;V2522,V2522,(K2523-MAX(K$470:K2523))/MAX(K$470:K2523))</f>
        <v>-0.84885940676762139</v>
      </c>
      <c r="W2523" s="564">
        <f>IF((N2523-MAX(N$470:N2523))/MAX(N$470:N2523)&gt;W2522,W2522,(N2523-MAX(N$470:N2523))/MAX(N$470:N2523))</f>
        <v>-0.62788758315546067</v>
      </c>
      <c r="X2523" s="564">
        <f>IF((O2523-MAX(O$470:O2523))/MAX(O$470:O2523)&gt;X2522,X2522,(O2523-MAX(O$470:O2523))/MAX(O$470:O2523))</f>
        <v>-0.62788758315546067</v>
      </c>
    </row>
    <row r="2524" spans="1:24">
      <c r="A2524" s="799">
        <v>42926</v>
      </c>
      <c r="B2524">
        <v>2473.94</v>
      </c>
      <c r="C2524">
        <v>4854.9302950000001</v>
      </c>
      <c r="D2524">
        <v>2.5066790000000001</v>
      </c>
      <c r="E2524">
        <f>LN(D2524/参数实验室!$E$53)/参数实验室!$E$55</f>
        <v>0.39117629546286464</v>
      </c>
      <c r="F2524">
        <f t="shared" si="338"/>
        <v>1.9624284723962586</v>
      </c>
      <c r="G2524">
        <f>LN(F2524/参数实验室!$E$58)/参数实验室!$E$59</f>
        <v>0.16331750319633087</v>
      </c>
      <c r="H2524" s="856">
        <f>INDEX(神经网络!$G$10:$BO$70,MATCH(ROUND(G2524*2,1)/2,神经网络!$E$10:$E$70,0),MATCH(ROUND(E2524*2,1)/2,神经网络!$G$8:$BO$8,0))</f>
        <v>1.7613652354575726</v>
      </c>
      <c r="I2524">
        <f t="shared" si="340"/>
        <v>8426.7957861090472</v>
      </c>
      <c r="J2524">
        <f t="shared" si="341"/>
        <v>987.16731175930624</v>
      </c>
      <c r="K2524">
        <f t="shared" si="342"/>
        <v>8.5363399757342151</v>
      </c>
      <c r="L2524" s="4">
        <f>MIN(MAX(L2523*(1+MAX(MIN(((B2524-B2523)/B2523)/($K$7*卓尔金历!$N$40),0),-卓尔金历!$M$43))+MIN(MAX(((B2524-B2523)/B2523)/($K$7*卓尔金历!$N$40),0),卓尔金历!$M$43),0),1)</f>
        <v>0.29848251777975959</v>
      </c>
      <c r="M2524" s="4">
        <f>MIN(MAX(M2523*(1+MAX(MIN(((B2524-B2523)/B2523)/($K$7*30),0),-卓尔金历!$M$43))+MIN(MAX(((B2524-B2523)/B2523)/($K$7*7),0),卓尔金历!$M$43),0),1)</f>
        <v>0.6580050155402809</v>
      </c>
      <c r="N2524">
        <f t="shared" si="343"/>
        <v>10237.051711077698</v>
      </c>
      <c r="O2524">
        <f t="shared" si="344"/>
        <v>22973.825180036627</v>
      </c>
      <c r="P2524">
        <f t="shared" si="345"/>
        <v>-4.4766552890481433E-2</v>
      </c>
      <c r="Q2524">
        <f t="shared" si="336"/>
        <v>2.8291238777118779E-2</v>
      </c>
      <c r="R2524">
        <f t="shared" si="337"/>
        <v>1.4392295396140712E-2</v>
      </c>
      <c r="S2524">
        <f t="shared" si="339"/>
        <v>115.02125638869782</v>
      </c>
      <c r="T2524" s="564">
        <f>IF((I2524-MAX(I$470:I2524))/MAX(I$470:I2524)&gt;T2523,T2523,(I2524-MAX(I$470:I2524))/MAX(I$470:I2524))</f>
        <v>-0.91338805338419748</v>
      </c>
      <c r="U2524" s="564">
        <f>IF((J2524-MAX(J$470:J2524))/MAX(J$470:J2524)&gt;U2523,U2523,(J2524-MAX(J$470:J2524))/MAX(J$470:J2524))</f>
        <v>-0.8283551177402233</v>
      </c>
      <c r="V2524" s="564">
        <f>IF((K2524-MAX(K$470:K2524))/MAX(K$470:K2524)&gt;V2523,V2523,(K2524-MAX(K$470:K2524))/MAX(K$470:K2524))</f>
        <v>-0.84885940676762139</v>
      </c>
      <c r="W2524" s="564">
        <f>IF((N2524-MAX(N$470:N2524))/MAX(N$470:N2524)&gt;W2523,W2523,(N2524-MAX(N$470:N2524))/MAX(N$470:N2524))</f>
        <v>-0.62788758315546067</v>
      </c>
      <c r="X2524" s="564">
        <f>IF((O2524-MAX(O$470:O2524))/MAX(O$470:O2524)&gt;X2523,X2523,(O2524-MAX(O$470:O2524))/MAX(O$470:O2524))</f>
        <v>-0.62788758315546067</v>
      </c>
    </row>
    <row r="2525" spans="1:24">
      <c r="A2525" s="799">
        <v>42927</v>
      </c>
      <c r="B2525">
        <v>2375.98</v>
      </c>
      <c r="C2525">
        <v>4770.1835590000001</v>
      </c>
      <c r="D2525">
        <v>2.5040640000000001</v>
      </c>
      <c r="E2525">
        <f>LN(D2525/参数实验室!$E$53)/参数实验室!$E$55</f>
        <v>0.38994491919269214</v>
      </c>
      <c r="F2525">
        <f t="shared" si="338"/>
        <v>2.0076699126255271</v>
      </c>
      <c r="G2525">
        <f>LN(F2525/参数实验室!$E$58)/参数实验室!$E$59</f>
        <v>0.17528001819359482</v>
      </c>
      <c r="H2525" s="856">
        <f>INDEX(神经网络!$G$10:$BO$70,MATCH(ROUND(G2525*2,1)/2,神经网络!$E$10:$E$70,0),MATCH(ROUND(E2525*2,1)/2,神经网络!$G$8:$BO$8,0))</f>
        <v>1.7979587471169889</v>
      </c>
      <c r="I2525">
        <f t="shared" si="340"/>
        <v>7839.0743872466574</v>
      </c>
      <c r="J2525">
        <f t="shared" si="341"/>
        <v>948.07868800127596</v>
      </c>
      <c r="K2525">
        <f t="shared" si="342"/>
        <v>8.2683794989346993</v>
      </c>
      <c r="L2525" s="4">
        <f>MIN(MAX(L2524*(1+MAX(MIN(((B2525-B2524)/B2524)/($K$7*卓尔金历!$N$40),0),-卓尔金历!$M$43))+MIN(MAX(((B2525-B2524)/B2524)/($K$7*卓尔金历!$N$40),0),卓尔金历!$M$43),0),1)</f>
        <v>0.11790046243219901</v>
      </c>
      <c r="M2525" s="4">
        <f>MIN(MAX(M2524*(1+MAX(MIN(((B2525-B2524)/B2524)/($K$7*30),0),-卓尔金历!$M$43))+MIN(MAX(((B2525-B2524)/B2524)/($K$7*7),0),卓尔金历!$M$43),0),1)</f>
        <v>0.45895835274218744</v>
      </c>
      <c r="N2525">
        <f t="shared" si="343"/>
        <v>10023.942200982267</v>
      </c>
      <c r="O2525">
        <f t="shared" si="344"/>
        <v>21919.507352409499</v>
      </c>
      <c r="P2525">
        <f t="shared" si="345"/>
        <v>-3.9596756590701485E-2</v>
      </c>
      <c r="Q2525">
        <f t="shared" si="336"/>
        <v>2.8436029526237035E-2</v>
      </c>
      <c r="R2525">
        <f t="shared" si="337"/>
        <v>1.8924286186823385E-2</v>
      </c>
      <c r="S2525">
        <f t="shared" si="339"/>
        <v>114.9058002030596</v>
      </c>
      <c r="T2525" s="564">
        <f>IF((I2525-MAX(I$470:I2525))/MAX(I$470:I2525)&gt;T2524,T2524,(I2525-MAX(I$470:I2525))/MAX(I$470:I2525))</f>
        <v>-0.91338805338419748</v>
      </c>
      <c r="U2525" s="564">
        <f>IF((J2525-MAX(J$470:J2525))/MAX(J$470:J2525)&gt;U2524,U2524,(J2525-MAX(J$470:J2525))/MAX(J$470:J2525))</f>
        <v>-0.8283551177402233</v>
      </c>
      <c r="V2525" s="564">
        <f>IF((K2525-MAX(K$470:K2525))/MAX(K$470:K2525)&gt;V2524,V2524,(K2525-MAX(K$470:K2525))/MAX(K$470:K2525))</f>
        <v>-0.84885940676762139</v>
      </c>
      <c r="W2525" s="564">
        <f>IF((N2525-MAX(N$470:N2525))/MAX(N$470:N2525)&gt;W2524,W2524,(N2525-MAX(N$470:N2525))/MAX(N$470:N2525))</f>
        <v>-0.62788758315546067</v>
      </c>
      <c r="X2525" s="564">
        <f>IF((O2525-MAX(O$470:O2525))/MAX(O$470:O2525)&gt;X2524,X2524,(O2525-MAX(O$470:O2525))/MAX(O$470:O2525))</f>
        <v>-0.62788758315546067</v>
      </c>
    </row>
    <row r="2526" spans="1:24">
      <c r="A2526" s="799">
        <v>42928</v>
      </c>
      <c r="B2526">
        <v>2341</v>
      </c>
      <c r="C2526">
        <v>4678.1718929999997</v>
      </c>
      <c r="D2526">
        <v>2.5607929999999999</v>
      </c>
      <c r="E2526">
        <f>LN(D2526/参数实验室!$E$53)/参数实验室!$E$55</f>
        <v>0.41637370904918192</v>
      </c>
      <c r="F2526">
        <f t="shared" si="338"/>
        <v>1.9983647556599742</v>
      </c>
      <c r="G2526">
        <f>LN(F2526/参数实验室!$E$58)/参数实验室!$E$59</f>
        <v>0.17284176768273549</v>
      </c>
      <c r="H2526" s="856">
        <f>INDEX(神经网络!$G$10:$BO$70,MATCH(ROUND(G2526*2,1)/2,神经网络!$E$10:$E$70,0),MATCH(ROUND(E2526*2,1)/2,神经网络!$G$8:$BO$8,0))</f>
        <v>1.7613652354575726</v>
      </c>
      <c r="I2526">
        <f t="shared" si="340"/>
        <v>7631.5727474653868</v>
      </c>
      <c r="J2526">
        <f t="shared" si="341"/>
        <v>934.12074538126865</v>
      </c>
      <c r="K2526">
        <f t="shared" si="342"/>
        <v>8.1697925939440523</v>
      </c>
      <c r="L2526" s="4">
        <f>MIN(MAX(L2525*(1+MAX(MIN(((B2526-B2525)/B2525)/($K$7*卓尔金历!$N$40),0),-卓尔金历!$M$43))+MIN(MAX(((B2526-B2525)/B2525)/($K$7*卓尔金历!$N$40),0),卓尔金历!$M$43),0),1)</f>
        <v>9.1379540846628637E-2</v>
      </c>
      <c r="M2526" s="4">
        <f>MIN(MAX(M2525*(1+MAX(MIN(((B2526-B2525)/B2525)/($K$7*30),0),-卓尔金历!$M$43))+MIN(MAX(((B2526-B2525)/B2525)/($K$7*7),0),卓尔金历!$M$43),0),1)</f>
        <v>0.40733854467265651</v>
      </c>
      <c r="N2526">
        <f t="shared" si="343"/>
        <v>9992.6590270182587</v>
      </c>
      <c r="O2526">
        <f t="shared" si="344"/>
        <v>21653.213699844</v>
      </c>
      <c r="P2526">
        <f t="shared" si="345"/>
        <v>-1.4722346147694854E-2</v>
      </c>
      <c r="Q2526">
        <f t="shared" si="336"/>
        <v>2.7963973317216329E-2</v>
      </c>
      <c r="R2526">
        <f t="shared" si="337"/>
        <v>0.68822970813869078</v>
      </c>
      <c r="S2526">
        <f t="shared" si="339"/>
        <v>114.84824054489054</v>
      </c>
      <c r="T2526" s="564">
        <f>IF((I2526-MAX(I$470:I2526))/MAX(I$470:I2526)&gt;T2525,T2525,(I2526-MAX(I$470:I2526))/MAX(I$470:I2526))</f>
        <v>-0.91338805338419748</v>
      </c>
      <c r="U2526" s="564">
        <f>IF((J2526-MAX(J$470:J2526))/MAX(J$470:J2526)&gt;U2525,U2525,(J2526-MAX(J$470:J2526))/MAX(J$470:J2526))</f>
        <v>-0.8283551177402233</v>
      </c>
      <c r="V2526" s="564">
        <f>IF((K2526-MAX(K$470:K2526))/MAX(K$470:K2526)&gt;V2525,V2525,(K2526-MAX(K$470:K2526))/MAX(K$470:K2526))</f>
        <v>-0.84885940676762139</v>
      </c>
      <c r="W2526" s="564">
        <f>IF((N2526-MAX(N$470:N2526))/MAX(N$470:N2526)&gt;W2525,W2525,(N2526-MAX(N$470:N2526))/MAX(N$470:N2526))</f>
        <v>-0.62788758315546067</v>
      </c>
      <c r="X2526" s="564">
        <f>IF((O2526-MAX(O$470:O2526))/MAX(O$470:O2526)&gt;X2525,X2525,(O2526-MAX(O$470:O2526))/MAX(O$470:O2526))</f>
        <v>-0.62788758315546067</v>
      </c>
    </row>
    <row r="2527" spans="1:24">
      <c r="A2527" s="799">
        <v>42929</v>
      </c>
      <c r="B2527">
        <v>2377.5</v>
      </c>
      <c r="C2527">
        <v>4630.7794620000004</v>
      </c>
      <c r="D2527">
        <v>2.5232450000000002</v>
      </c>
      <c r="E2527">
        <f>LN(D2527/参数实验室!$E$53)/参数实验室!$E$55</f>
        <v>0.39894733252203379</v>
      </c>
      <c r="F2527">
        <f t="shared" si="338"/>
        <v>1.9477516138801263</v>
      </c>
      <c r="G2527">
        <f>LN(F2527/参数实验室!$E$58)/参数实验室!$E$59</f>
        <v>0.1593774060455713</v>
      </c>
      <c r="H2527" s="856">
        <f>INDEX(神经网络!$G$10:$BO$70,MATCH(ROUND(G2527*2,1)/2,神经网络!$E$10:$E$70,0),MATCH(ROUND(E2527*2,1)/2,神经网络!$G$8:$BO$8,0))</f>
        <v>1.7613652354575726</v>
      </c>
      <c r="I2527">
        <f t="shared" si="340"/>
        <v>7841.155200655332</v>
      </c>
      <c r="J2527">
        <f t="shared" si="341"/>
        <v>948.6852080922539</v>
      </c>
      <c r="K2527">
        <f t="shared" si="342"/>
        <v>8.2652866659778539</v>
      </c>
      <c r="L2527" s="4">
        <f>MIN(MAX(L2526*(1+MAX(MIN(((B2527-B2526)/B2526)/($K$7*卓尔金历!$N$40),0),-卓尔金历!$M$43))+MIN(MAX(((B2527-B2526)/B2526)/($K$7*卓尔金历!$N$40),0),卓尔金历!$M$43),0),1)</f>
        <v>0.32960464702785608</v>
      </c>
      <c r="M2527" s="4">
        <f>MIN(MAX(M2526*(1+MAX(MIN(((B2527-B2526)/B2526)/($K$7*30),0),-卓尔金历!$M$43))+MIN(MAX(((B2527-B2526)/B2526)/($K$7*7),0),卓尔金历!$M$43),0),1)</f>
        <v>0.91782091506100105</v>
      </c>
      <c r="N2527">
        <f t="shared" si="343"/>
        <v>10017.735757432012</v>
      </c>
      <c r="O2527">
        <f t="shared" si="344"/>
        <v>21895.43857489013</v>
      </c>
      <c r="P2527">
        <f t="shared" si="345"/>
        <v>1.5591627509611277E-2</v>
      </c>
      <c r="Q2527">
        <f t="shared" si="336"/>
        <v>2.8310187294481259E-2</v>
      </c>
      <c r="R2527">
        <f t="shared" si="337"/>
        <v>0.64113178071036392</v>
      </c>
      <c r="S2527">
        <f t="shared" si="339"/>
        <v>117.0189346796501</v>
      </c>
      <c r="T2527" s="564">
        <f>IF((I2527-MAX(I$470:I2527))/MAX(I$470:I2527)&gt;T2526,T2526,(I2527-MAX(I$470:I2527))/MAX(I$470:I2527))</f>
        <v>-0.91338805338419748</v>
      </c>
      <c r="U2527" s="564">
        <f>IF((J2527-MAX(J$470:J2527))/MAX(J$470:J2527)&gt;U2526,U2526,(J2527-MAX(J$470:J2527))/MAX(J$470:J2527))</f>
        <v>-0.8283551177402233</v>
      </c>
      <c r="V2527" s="564">
        <f>IF((K2527-MAX(K$470:K2527))/MAX(K$470:K2527)&gt;V2526,V2526,(K2527-MAX(K$470:K2527))/MAX(K$470:K2527))</f>
        <v>-0.84885940676762139</v>
      </c>
      <c r="W2527" s="564">
        <f>IF((N2527-MAX(N$470:N2527))/MAX(N$470:N2527)&gt;W2526,W2526,(N2527-MAX(N$470:N2527))/MAX(N$470:N2527))</f>
        <v>-0.62788758315546067</v>
      </c>
      <c r="X2527" s="564">
        <f>IF((O2527-MAX(O$470:O2527))/MAX(O$470:O2527)&gt;X2526,X2526,(O2527-MAX(O$470:O2527))/MAX(O$470:O2527))</f>
        <v>-0.62788758315546067</v>
      </c>
    </row>
    <row r="2528" spans="1:24">
      <c r="A2528" s="799">
        <v>42930</v>
      </c>
      <c r="B2528">
        <v>2345.15</v>
      </c>
      <c r="C2528">
        <v>4635.3966280000004</v>
      </c>
      <c r="D2528">
        <v>2.385478</v>
      </c>
      <c r="E2528">
        <f>LN(D2528/参数实验室!$E$53)/参数实验室!$E$55</f>
        <v>0.33270861428683945</v>
      </c>
      <c r="F2528">
        <f t="shared" si="338"/>
        <v>1.9765885457220222</v>
      </c>
      <c r="G2528">
        <f>LN(F2528/参数实验室!$E$58)/参数实验室!$E$59</f>
        <v>0.16709103538229786</v>
      </c>
      <c r="H2528" s="856">
        <f>INDEX(神经网络!$G$10:$BO$70,MATCH(ROUND(G2528*2,1)/2,神经网络!$E$10:$E$70,0),MATCH(ROUND(E2528*2,1)/2,神经网络!$G$8:$BO$8,0))</f>
        <v>1.6809039361148541</v>
      </c>
      <c r="I2528">
        <f t="shared" si="340"/>
        <v>7653.2307758384813</v>
      </c>
      <c r="J2528">
        <f t="shared" si="341"/>
        <v>935.77670484018893</v>
      </c>
      <c r="K2528">
        <f t="shared" si="342"/>
        <v>8.1784796909915531</v>
      </c>
      <c r="L2528" s="4">
        <f>MIN(MAX(L2527*(1+MAX(MIN(((B2528-B2527)/B2527)/($K$7*卓尔金历!$N$40),0),-卓尔金历!$M$43))+MIN(MAX(((B2528-B2527)/B2527)/($K$7*卓尔金历!$N$40),0),卓尔金历!$M$43),0),1)</f>
        <v>0.26108057484051972</v>
      </c>
      <c r="M2528" s="4">
        <f>MIN(MAX(M2527*(1+MAX(MIN(((B2528-B2527)/B2527)/($K$7*30),0),-卓尔金历!$M$43))+MIN(MAX(((B2528-B2527)/B2527)/($K$7*7),0),卓尔金历!$M$43),0),1)</f>
        <v>0.8224144527950551</v>
      </c>
      <c r="N2528">
        <f t="shared" si="343"/>
        <v>9938.601218250189</v>
      </c>
      <c r="O2528">
        <f t="shared" si="344"/>
        <v>21413.807191039574</v>
      </c>
      <c r="P2528">
        <f t="shared" si="345"/>
        <v>-1.3606729758149277E-2</v>
      </c>
      <c r="Q2528">
        <f t="shared" si="336"/>
        <v>2.7880466766538884E-2</v>
      </c>
      <c r="R2528">
        <f t="shared" si="337"/>
        <v>0.76598065706722895</v>
      </c>
      <c r="S2528">
        <f t="shared" si="339"/>
        <v>115.22086455573579</v>
      </c>
      <c r="T2528" s="564">
        <f>IF((I2528-MAX(I$470:I2528))/MAX(I$470:I2528)&gt;T2527,T2527,(I2528-MAX(I$470:I2528))/MAX(I$470:I2528))</f>
        <v>-0.91338805338419748</v>
      </c>
      <c r="U2528" s="564">
        <f>IF((J2528-MAX(J$470:J2528))/MAX(J$470:J2528)&gt;U2527,U2527,(J2528-MAX(J$470:J2528))/MAX(J$470:J2528))</f>
        <v>-0.8283551177402233</v>
      </c>
      <c r="V2528" s="564">
        <f>IF((K2528-MAX(K$470:K2528))/MAX(K$470:K2528)&gt;V2527,V2527,(K2528-MAX(K$470:K2528))/MAX(K$470:K2528))</f>
        <v>-0.84885940676762139</v>
      </c>
      <c r="W2528" s="564">
        <f>IF((N2528-MAX(N$470:N2528))/MAX(N$470:N2528)&gt;W2527,W2527,(N2528-MAX(N$470:N2528))/MAX(N$470:N2528))</f>
        <v>-0.62788758315546067</v>
      </c>
      <c r="X2528" s="564">
        <f>IF((O2528-MAX(O$470:O2528))/MAX(O$470:O2528)&gt;X2527,X2527,(O2528-MAX(O$470:O2528))/MAX(O$470:O2528))</f>
        <v>-0.62788758315546067</v>
      </c>
    </row>
    <row r="2529" spans="1:24">
      <c r="A2529" s="799">
        <v>42931</v>
      </c>
      <c r="B2529">
        <v>2202.94</v>
      </c>
      <c r="C2529">
        <v>4717.213565</v>
      </c>
      <c r="D2529">
        <v>2.1516289999999998</v>
      </c>
      <c r="E2529">
        <f>LN(D2529/参数实验室!$E$53)/参数实验室!$E$55</f>
        <v>0.21098840638921051</v>
      </c>
      <c r="F2529">
        <f t="shared" si="338"/>
        <v>2.14132639336523</v>
      </c>
      <c r="G2529">
        <f>LN(F2529/参数实验室!$E$58)/参数实验室!$E$59</f>
        <v>0.20910719971745476</v>
      </c>
      <c r="H2529" s="856">
        <f>INDEX(神经网络!$G$10:$BO$70,MATCH(ROUND(G2529*2,1)/2,神经网络!$E$10:$E$70,0),MATCH(ROUND(E2529*2,1)/2,神经网络!$G$8:$BO$8,0))</f>
        <v>1.4671788996782054</v>
      </c>
      <c r="I2529">
        <f t="shared" si="340"/>
        <v>6873.136279968754</v>
      </c>
      <c r="J2529">
        <f t="shared" si="341"/>
        <v>879.03116395993675</v>
      </c>
      <c r="K2529">
        <f t="shared" si="342"/>
        <v>7.8189904542246786</v>
      </c>
      <c r="L2529" s="4">
        <f>MIN(MAX(L2528*(1+MAX(MIN(((B2529-B2528)/B2528)/($K$7*卓尔金历!$N$40),0),-卓尔金历!$M$43))+MIN(MAX(((B2529-B2528)/B2528)/($K$7*卓尔金历!$N$40),0),卓尔金历!$M$43),0),1)</f>
        <v>1.9183760529902345E-2</v>
      </c>
      <c r="M2529" s="4">
        <f>MIN(MAX(M2528*(1+MAX(MIN(((B2529-B2528)/B2528)/($K$7*30),0),-卓尔金历!$M$43))+MIN(MAX(((B2529-B2528)/B2528)/($K$7*7),0),卓尔金历!$M$43),0),1)</f>
        <v>0.44142204021197612</v>
      </c>
      <c r="N2529">
        <f t="shared" si="343"/>
        <v>9674.1154976663493</v>
      </c>
      <c r="O2529">
        <f t="shared" si="344"/>
        <v>19618.713889971499</v>
      </c>
      <c r="P2529">
        <f t="shared" si="345"/>
        <v>-6.0640044346843495E-2</v>
      </c>
      <c r="Q2529">
        <f t="shared" si="336"/>
        <v>2.9883777850437172E-2</v>
      </c>
      <c r="R2529">
        <f t="shared" si="337"/>
        <v>8.1511420102329587E-3</v>
      </c>
      <c r="S2529">
        <f t="shared" si="339"/>
        <v>106.22482540631638</v>
      </c>
      <c r="T2529" s="564">
        <f>IF((I2529-MAX(I$470:I2529))/MAX(I$470:I2529)&gt;T2528,T2528,(I2529-MAX(I$470:I2529))/MAX(I$470:I2529))</f>
        <v>-0.91338805338419748</v>
      </c>
      <c r="U2529" s="564">
        <f>IF((J2529-MAX(J$470:J2529))/MAX(J$470:J2529)&gt;U2528,U2528,(J2529-MAX(J$470:J2529))/MAX(J$470:J2529))</f>
        <v>-0.8283551177402233</v>
      </c>
      <c r="V2529" s="564">
        <f>IF((K2529-MAX(K$470:K2529))/MAX(K$470:K2529)&gt;V2528,V2528,(K2529-MAX(K$470:K2529))/MAX(K$470:K2529))</f>
        <v>-0.84885940676762139</v>
      </c>
      <c r="W2529" s="564">
        <f>IF((N2529-MAX(N$470:N2529))/MAX(N$470:N2529)&gt;W2528,W2528,(N2529-MAX(N$470:N2529))/MAX(N$470:N2529))</f>
        <v>-0.62788758315546067</v>
      </c>
      <c r="X2529" s="564">
        <f>IF((O2529-MAX(O$470:O2529))/MAX(O$470:O2529)&gt;X2528,X2528,(O2529-MAX(O$470:O2529))/MAX(O$470:O2529))</f>
        <v>-0.62788758315546067</v>
      </c>
    </row>
    <row r="2530" spans="1:24">
      <c r="A2530" s="799">
        <v>42932</v>
      </c>
      <c r="B2530">
        <v>2055.09</v>
      </c>
      <c r="C2530">
        <v>4672.4594809999999</v>
      </c>
      <c r="D2530">
        <v>2.0725340000000001</v>
      </c>
      <c r="E2530">
        <f>LN(D2530/参数实验室!$E$53)/参数实验室!$E$55</f>
        <v>0.16680285276451823</v>
      </c>
      <c r="F2530">
        <f t="shared" si="338"/>
        <v>2.2736033365935309</v>
      </c>
      <c r="G2530">
        <f>LN(F2530/参数实验室!$E$58)/参数实验室!$E$59</f>
        <v>0.24056721290031829</v>
      </c>
      <c r="H2530" s="856">
        <f>INDEX(神经网络!$G$10:$BO$70,MATCH(ROUND(G2530*2,1)/2,神经网络!$E$10:$E$70,0),MATCH(ROUND(E2530*2,1)/2,神经网络!$G$8:$BO$8,0))</f>
        <v>1.4235263491306938</v>
      </c>
      <c r="I2530">
        <f t="shared" si="340"/>
        <v>6196.3419870876123</v>
      </c>
      <c r="J2530">
        <f t="shared" si="341"/>
        <v>820.03511432105574</v>
      </c>
      <c r="K2530">
        <f t="shared" si="342"/>
        <v>7.5561910445967237</v>
      </c>
      <c r="L2530" s="4">
        <f>MIN(MAX(L2529*(1+MAX(MIN(((B2530-B2529)/B2529)/($K$7*卓尔金历!$N$40),0),-卓尔金历!$M$43))+MIN(MAX(((B2530-B2529)/B2529)/($K$7*卓尔金历!$N$40),0),卓尔金历!$M$43),0),1)</f>
        <v>0</v>
      </c>
      <c r="M2530" s="4">
        <f>MIN(MAX(M2529*(1+MAX(MIN(((B2530-B2529)/B2529)/($K$7*30),0),-卓尔金历!$M$43))+MIN(MAX(((B2530-B2529)/B2529)/($K$7*7),0),卓尔金历!$M$43),0),1)</f>
        <v>0.21509379480207966</v>
      </c>
      <c r="N2530">
        <f t="shared" si="343"/>
        <v>9655.8409454058019</v>
      </c>
      <c r="O2530">
        <f t="shared" si="344"/>
        <v>18765.954951971493</v>
      </c>
      <c r="P2530">
        <f t="shared" si="345"/>
        <v>-6.7114855602059029E-2</v>
      </c>
      <c r="Q2530">
        <f t="shared" si="336"/>
        <v>3.2260069287025642E-2</v>
      </c>
      <c r="R2530">
        <f t="shared" si="337"/>
        <v>7.9916634949974159E-3</v>
      </c>
      <c r="S2530">
        <f t="shared" si="339"/>
        <v>106.13956523162268</v>
      </c>
      <c r="T2530" s="564">
        <f>IF((I2530-MAX(I$470:I2530))/MAX(I$470:I2530)&gt;T2529,T2529,(I2530-MAX(I$470:I2530))/MAX(I$470:I2530))</f>
        <v>-0.91338805338419748</v>
      </c>
      <c r="U2530" s="564">
        <f>IF((J2530-MAX(J$470:J2530))/MAX(J$470:J2530)&gt;U2529,U2529,(J2530-MAX(J$470:J2530))/MAX(J$470:J2530))</f>
        <v>-0.8283551177402233</v>
      </c>
      <c r="V2530" s="564">
        <f>IF((K2530-MAX(K$470:K2530))/MAX(K$470:K2530)&gt;V2529,V2529,(K2530-MAX(K$470:K2530))/MAX(K$470:K2530))</f>
        <v>-0.84885940676762139</v>
      </c>
      <c r="W2530" s="564">
        <f>IF((N2530-MAX(N$470:N2530))/MAX(N$470:N2530)&gt;W2529,W2529,(N2530-MAX(N$470:N2530))/MAX(N$470:N2530))</f>
        <v>-0.62788758315546067</v>
      </c>
      <c r="X2530" s="564">
        <f>IF((O2530-MAX(O$470:O2530))/MAX(O$470:O2530)&gt;X2529,X2529,(O2530-MAX(O$470:O2530))/MAX(O$470:O2530))</f>
        <v>-0.62788758315546067</v>
      </c>
    </row>
    <row r="2531" spans="1:24">
      <c r="A2531" s="799">
        <v>42933</v>
      </c>
      <c r="B2531">
        <v>1900.86</v>
      </c>
      <c r="C2531">
        <v>4664.8842759999998</v>
      </c>
      <c r="D2531">
        <v>2.3870399999999998</v>
      </c>
      <c r="E2531">
        <f>LN(D2531/参数实验室!$E$53)/参数实验室!$E$55</f>
        <v>0.33348085847025938</v>
      </c>
      <c r="F2531">
        <f t="shared" si="338"/>
        <v>2.4540914512378609</v>
      </c>
      <c r="G2531">
        <f>LN(F2531/参数实验室!$E$58)/参数实验室!$E$59</f>
        <v>0.28066116274649056</v>
      </c>
      <c r="H2531" s="856">
        <f>INDEX(神经网络!$G$10:$BO$70,MATCH(ROUND(G2531*2,1)/2,神经网络!$E$10:$E$70,0),MATCH(ROUND(E2531*2,1)/2,神经网络!$G$8:$BO$8,0))</f>
        <v>1.797985971426951</v>
      </c>
      <c r="I2531">
        <f t="shared" si="340"/>
        <v>5534.3710815438353</v>
      </c>
      <c r="J2531">
        <f t="shared" si="341"/>
        <v>758.49327640556953</v>
      </c>
      <c r="K2531">
        <f t="shared" si="342"/>
        <v>7.2965328153872573</v>
      </c>
      <c r="L2531" s="4">
        <f>MIN(MAX(L2530*(1+MAX(MIN(((B2531-B2530)/B2530)/($K$7*卓尔金历!$N$40),0),-卓尔金历!$M$43))+MIN(MAX(((B2531-B2530)/B2530)/($K$7*卓尔金历!$N$40),0),卓尔金历!$M$43),0),1)</f>
        <v>0</v>
      </c>
      <c r="M2531" s="4">
        <f>MIN(MAX(M2530*(1+MAX(MIN(((B2531-B2530)/B2530)/($K$7*30),0),-卓尔金历!$M$43))+MIN(MAX(((B2531-B2530)/B2530)/($K$7*7),0),卓尔金历!$M$43),0),1)</f>
        <v>9.1774231806919931E-2</v>
      </c>
      <c r="N2531">
        <f t="shared" si="343"/>
        <v>9655.8409454058019</v>
      </c>
      <c r="O2531">
        <f t="shared" si="344"/>
        <v>18334.731795712512</v>
      </c>
      <c r="P2531">
        <f t="shared" si="345"/>
        <v>-7.5047808125191712E-2</v>
      </c>
      <c r="Q2531">
        <f t="shared" si="336"/>
        <v>3.3645100574330407E-2</v>
      </c>
      <c r="R2531">
        <f t="shared" si="337"/>
        <v>6.3791736466290994E-3</v>
      </c>
      <c r="S2531">
        <f t="shared" si="339"/>
        <v>106.04894649231809</v>
      </c>
      <c r="T2531" s="564">
        <f>IF((I2531-MAX(I$470:I2531))/MAX(I$470:I2531)&gt;T2530,T2530,(I2531-MAX(I$470:I2531))/MAX(I$470:I2531))</f>
        <v>-0.91338805338419748</v>
      </c>
      <c r="U2531" s="564">
        <f>IF((J2531-MAX(J$470:J2531))/MAX(J$470:J2531)&gt;U2530,U2530,(J2531-MAX(J$470:J2531))/MAX(J$470:J2531))</f>
        <v>-0.8283551177402233</v>
      </c>
      <c r="V2531" s="564">
        <f>IF((K2531-MAX(K$470:K2531))/MAX(K$470:K2531)&gt;V2530,V2530,(K2531-MAX(K$470:K2531))/MAX(K$470:K2531))</f>
        <v>-0.84885940676762139</v>
      </c>
      <c r="W2531" s="564">
        <f>IF((N2531-MAX(N$470:N2531))/MAX(N$470:N2531)&gt;W2530,W2530,(N2531-MAX(N$470:N2531))/MAX(N$470:N2531))</f>
        <v>-0.62788758315546067</v>
      </c>
      <c r="X2531" s="564">
        <f>IF((O2531-MAX(O$470:O2531))/MAX(O$470:O2531)&gt;X2530,X2530,(O2531-MAX(O$470:O2531))/MAX(O$470:O2531))</f>
        <v>-0.62788758315546067</v>
      </c>
    </row>
    <row r="2532" spans="1:24">
      <c r="A2532" s="799">
        <v>42934</v>
      </c>
      <c r="B2532">
        <v>2170.3000000000002</v>
      </c>
      <c r="C2532">
        <v>4605.6566240000002</v>
      </c>
      <c r="D2532">
        <v>2.4728690000000002</v>
      </c>
      <c r="E2532">
        <f>LN(D2532/参数实验室!$E$53)/参数实验室!$E$55</f>
        <v>0.37515553609015823</v>
      </c>
      <c r="F2532">
        <f t="shared" si="338"/>
        <v>2.1221290254803482</v>
      </c>
      <c r="G2532">
        <f>LN(F2532/参数实验室!$E$58)/参数实验室!$E$59</f>
        <v>0.20438057154502343</v>
      </c>
      <c r="H2532" s="856">
        <f>INDEX(神经网络!$G$10:$BO$70,MATCH(ROUND(G2532*2,1)/2,神经网络!$E$10:$E$70,0),MATCH(ROUND(E2532*2,1)/2,神经网络!$G$8:$BO$8,0))</f>
        <v>1.7979587471169889</v>
      </c>
      <c r="I2532">
        <f t="shared" si="340"/>
        <v>6944.849716767304</v>
      </c>
      <c r="J2532">
        <f t="shared" si="341"/>
        <v>866.00694305893535</v>
      </c>
      <c r="K2532">
        <f t="shared" si="342"/>
        <v>8.0193926531772366</v>
      </c>
      <c r="L2532" s="4">
        <f>MIN(MAX(L2531*(1+MAX(MIN(((B2532-B2531)/B2531)/($K$7*卓尔金历!$N$40),0),-卓尔金历!$M$43))+MIN(MAX(((B2532-B2531)/B2531)/($K$7*卓尔金历!$N$40),0),卓尔金历!$M$43),0),1)</f>
        <v>1</v>
      </c>
      <c r="M2532" s="4">
        <f>MIN(MAX(M2531*(1+MAX(MIN(((B2532-B2531)/B2531)/($K$7*30),0),-卓尔金历!$M$43))+MIN(MAX(((B2532-B2531)/B2531)/($K$7*7),0),卓尔金历!$M$43),0),1)</f>
        <v>1</v>
      </c>
      <c r="N2532">
        <f t="shared" si="343"/>
        <v>9655.8409454058019</v>
      </c>
      <c r="O2532">
        <f t="shared" si="344"/>
        <v>18763.570086278465</v>
      </c>
      <c r="P2532">
        <f t="shared" si="345"/>
        <v>0.14174636743368807</v>
      </c>
      <c r="Q2532">
        <f t="shared" si="336"/>
        <v>4.6698431560056944E-2</v>
      </c>
      <c r="R2532">
        <f t="shared" si="337"/>
        <v>0</v>
      </c>
      <c r="S2532">
        <f t="shared" si="339"/>
        <v>106.22135909963029</v>
      </c>
      <c r="T2532" s="564">
        <f>IF((I2532-MAX(I$470:I2532))/MAX(I$470:I2532)&gt;T2531,T2531,(I2532-MAX(I$470:I2532))/MAX(I$470:I2532))</f>
        <v>-0.91338805338419748</v>
      </c>
      <c r="U2532" s="564">
        <f>IF((J2532-MAX(J$470:J2532))/MAX(J$470:J2532)&gt;U2531,U2531,(J2532-MAX(J$470:J2532))/MAX(J$470:J2532))</f>
        <v>-0.8283551177402233</v>
      </c>
      <c r="V2532" s="564">
        <f>IF((K2532-MAX(K$470:K2532))/MAX(K$470:K2532)&gt;V2531,V2531,(K2532-MAX(K$470:K2532))/MAX(K$470:K2532))</f>
        <v>-0.84885940676762139</v>
      </c>
      <c r="W2532" s="564">
        <f>IF((N2532-MAX(N$470:N2532))/MAX(N$470:N2532)&gt;W2531,W2531,(N2532-MAX(N$470:N2532))/MAX(N$470:N2532))</f>
        <v>-0.62788758315546067</v>
      </c>
      <c r="X2532" s="564">
        <f>IF((O2532-MAX(O$470:O2532))/MAX(O$470:O2532)&gt;X2531,X2531,(O2532-MAX(O$470:O2532))/MAX(O$470:O2532))</f>
        <v>-0.62788758315546067</v>
      </c>
    </row>
    <row r="2533" spans="1:24">
      <c r="A2533" s="799">
        <v>42935</v>
      </c>
      <c r="B2533">
        <v>2356.3000000000002</v>
      </c>
      <c r="C2533">
        <v>4613.3854540000002</v>
      </c>
      <c r="D2533">
        <v>2.4180069999999998</v>
      </c>
      <c r="E2533">
        <f>LN(D2533/参数实验室!$E$53)/参数实验室!$E$55</f>
        <v>0.34868733803676505</v>
      </c>
      <c r="F2533">
        <f t="shared" si="338"/>
        <v>1.9578939243729576</v>
      </c>
      <c r="G2533">
        <f>LN(F2533/参数实验室!$E$58)/参数实验室!$E$59</f>
        <v>0.16210332911364253</v>
      </c>
      <c r="H2533" s="856">
        <f>INDEX(神经网络!$G$10:$BO$70,MATCH(ROUND(G2533*2,1)/2,神经网络!$E$10:$E$70,0),MATCH(ROUND(E2533*2,1)/2,神经网络!$G$8:$BO$8,0))</f>
        <v>1.6809039361148541</v>
      </c>
      <c r="I2533">
        <f t="shared" si="340"/>
        <v>8014.97776956899</v>
      </c>
      <c r="J2533">
        <f t="shared" si="341"/>
        <v>940.22584892861323</v>
      </c>
      <c r="K2533">
        <f t="shared" si="342"/>
        <v>8.5245239520930554</v>
      </c>
      <c r="L2533" s="4">
        <f>MIN(MAX(L2532*(1+MAX(MIN(((B2533-B2532)/B2532)/($K$7*卓尔金历!$N$40),0),-卓尔金历!$M$43))+MIN(MAX(((B2533-B2532)/B2532)/($K$7*卓尔金历!$N$40),0),卓尔金历!$M$43),0),1)</f>
        <v>1</v>
      </c>
      <c r="M2533" s="4">
        <f>MIN(MAX(M2532*(1+MAX(MIN(((B2533-B2532)/B2532)/($K$7*30),0),-卓尔金历!$M$43))+MIN(MAX(((B2533-B2532)/B2532)/($K$7*7),0),卓尔金历!$M$43),0),1)</f>
        <v>1</v>
      </c>
      <c r="N2533">
        <f t="shared" si="343"/>
        <v>11143.704137624698</v>
      </c>
      <c r="O2533">
        <f t="shared" si="344"/>
        <v>21654.838225826301</v>
      </c>
      <c r="P2533">
        <f t="shared" si="345"/>
        <v>8.5702437451043625E-2</v>
      </c>
      <c r="Q2533">
        <f t="shared" si="336"/>
        <v>4.8985504951938888E-2</v>
      </c>
      <c r="R2533">
        <f t="shared" si="337"/>
        <v>2.0577344924697146E-2</v>
      </c>
      <c r="S2533">
        <f t="shared" si="339"/>
        <v>106.22135909963029</v>
      </c>
      <c r="T2533" s="564">
        <f>IF((I2533-MAX(I$470:I2533))/MAX(I$470:I2533)&gt;T2532,T2532,(I2533-MAX(I$470:I2533))/MAX(I$470:I2533))</f>
        <v>-0.91338805338419748</v>
      </c>
      <c r="U2533" s="564">
        <f>IF((J2533-MAX(J$470:J2533))/MAX(J$470:J2533)&gt;U2532,U2532,(J2533-MAX(J$470:J2533))/MAX(J$470:J2533))</f>
        <v>-0.8283551177402233</v>
      </c>
      <c r="V2533" s="564">
        <f>IF((K2533-MAX(K$470:K2533))/MAX(K$470:K2533)&gt;V2532,V2532,(K2533-MAX(K$470:K2533))/MAX(K$470:K2533))</f>
        <v>-0.84885940676762139</v>
      </c>
      <c r="W2533" s="564">
        <f>IF((N2533-MAX(N$470:N2533))/MAX(N$470:N2533)&gt;W2532,W2532,(N2533-MAX(N$470:N2533))/MAX(N$470:N2533))</f>
        <v>-0.62788758315546067</v>
      </c>
      <c r="X2533" s="564">
        <f>IF((O2533-MAX(O$470:O2533))/MAX(O$470:O2533)&gt;X2532,X2532,(O2533-MAX(O$470:O2533))/MAX(O$470:O2533))</f>
        <v>-0.62788758315546067</v>
      </c>
    </row>
    <row r="2534" spans="1:24">
      <c r="A2534" s="799">
        <v>42936</v>
      </c>
      <c r="B2534">
        <v>2307.5500000000002</v>
      </c>
      <c r="C2534">
        <v>4543.1032969999997</v>
      </c>
      <c r="D2534">
        <v>2.980083</v>
      </c>
      <c r="E2534">
        <f>LN(D2534/参数实验室!$E$53)/参数实验室!$E$55</f>
        <v>0.59526462047088491</v>
      </c>
      <c r="F2534">
        <f t="shared" si="338"/>
        <v>1.9687995046694544</v>
      </c>
      <c r="G2534">
        <f>LN(F2534/参数实验室!$E$58)/参数实验室!$E$59</f>
        <v>0.16501868409662854</v>
      </c>
      <c r="H2534" s="856">
        <f>INDEX(神经网络!$G$10:$BO$70,MATCH(ROUND(G2534*2,1)/2,神经网络!$E$10:$E$70,0),MATCH(ROUND(E2534*2,1)/2,神经网络!$G$8:$BO$8,0))</f>
        <v>2.0212835189022256</v>
      </c>
      <c r="I2534">
        <f t="shared" si="340"/>
        <v>7736.2442150826546</v>
      </c>
      <c r="J2534">
        <f t="shared" si="341"/>
        <v>920.77331311599607</v>
      </c>
      <c r="K2534">
        <f t="shared" si="342"/>
        <v>8.4018988223087945</v>
      </c>
      <c r="L2534" s="4">
        <f>MIN(MAX(L2533*(1+MAX(MIN(((B2534-B2533)/B2533)/($K$7*卓尔金历!$N$40),0),-卓尔金历!$M$43))+MIN(MAX(((B2534-B2533)/B2533)/($K$7*卓尔金历!$N$40),0),卓尔金历!$M$43),0),1)</f>
        <v>0.68388863127587585</v>
      </c>
      <c r="M2534" s="4">
        <f>MIN(MAX(M2533*(1+MAX(MIN(((B2534-B2533)/B2533)/($K$7*30),0),-卓尔金历!$M$43))+MIN(MAX(((B2534-B2533)/B2533)/($K$7*7),0),卓尔金历!$M$43),0),1)</f>
        <v>0.84194431563793792</v>
      </c>
      <c r="N2534">
        <f t="shared" si="343"/>
        <v>10756.164165122535</v>
      </c>
      <c r="O2534">
        <f t="shared" si="344"/>
        <v>20901.756906820257</v>
      </c>
      <c r="P2534">
        <f t="shared" si="345"/>
        <v>-2.0689216143954504E-2</v>
      </c>
      <c r="Q2534">
        <f t="shared" si="336"/>
        <v>4.9138165546285056E-2</v>
      </c>
      <c r="R2534">
        <f t="shared" si="337"/>
        <v>0.95638254439243531</v>
      </c>
      <c r="S2534">
        <f t="shared" si="339"/>
        <v>106.14534605602331</v>
      </c>
      <c r="T2534" s="564">
        <f>IF((I2534-MAX(I$470:I2534))/MAX(I$470:I2534)&gt;T2533,T2533,(I2534-MAX(I$470:I2534))/MAX(I$470:I2534))</f>
        <v>-0.91338805338419748</v>
      </c>
      <c r="U2534" s="564">
        <f>IF((J2534-MAX(J$470:J2534))/MAX(J$470:J2534)&gt;U2533,U2533,(J2534-MAX(J$470:J2534))/MAX(J$470:J2534))</f>
        <v>-0.8283551177402233</v>
      </c>
      <c r="V2534" s="564">
        <f>IF((K2534-MAX(K$470:K2534))/MAX(K$470:K2534)&gt;V2533,V2533,(K2534-MAX(K$470:K2534))/MAX(K$470:K2534))</f>
        <v>-0.84885940676762139</v>
      </c>
      <c r="W2534" s="564">
        <f>IF((N2534-MAX(N$470:N2534))/MAX(N$470:N2534)&gt;W2533,W2533,(N2534-MAX(N$470:N2534))/MAX(N$470:N2534))</f>
        <v>-0.62788758315546067</v>
      </c>
      <c r="X2534" s="564">
        <f>IF((O2534-MAX(O$470:O2534))/MAX(O$470:O2534)&gt;X2533,X2533,(O2534-MAX(O$470:O2534))/MAX(O$470:O2534))</f>
        <v>-0.62788758315546067</v>
      </c>
    </row>
    <row r="2535" spans="1:24">
      <c r="A2535" s="799">
        <v>42937</v>
      </c>
      <c r="B2535">
        <v>2723</v>
      </c>
      <c r="C2535">
        <v>4503.4218080000001</v>
      </c>
      <c r="D2535">
        <v>2.8032430000000002</v>
      </c>
      <c r="E2535">
        <f>LN(D2535/参数实验室!$E$53)/参数实验室!$E$55</f>
        <v>0.52309416992666324</v>
      </c>
      <c r="F2535">
        <f t="shared" si="338"/>
        <v>1.6538456878442893</v>
      </c>
      <c r="G2535">
        <f>LN(F2535/参数实验室!$E$58)/参数实验室!$E$59</f>
        <v>7.3525774289220885E-2</v>
      </c>
      <c r="H2535" s="856">
        <f>INDEX(神经网络!$G$10:$BO$70,MATCH(ROUND(G2535*2,1)/2,神经网络!$E$10:$E$70,0),MATCH(ROUND(E2535*2,1)/2,神经网络!$G$8:$BO$8,0))</f>
        <v>1.8351775916078679</v>
      </c>
      <c r="I2535">
        <f t="shared" si="340"/>
        <v>10551.546605206597</v>
      </c>
      <c r="J2535">
        <f t="shared" si="341"/>
        <v>1086.5488208770589</v>
      </c>
      <c r="K2535">
        <f t="shared" si="342"/>
        <v>9.7110653497276083</v>
      </c>
      <c r="L2535" s="4">
        <f>MIN(MAX(L2534*(1+MAX(MIN(((B2535-B2534)/B2534)/($K$7*卓尔金历!$N$40),0),-卓尔金历!$M$43))+MIN(MAX(((B2535-B2534)/B2534)/($K$7*卓尔金历!$N$40),0),卓尔金历!$M$43),0),1)</f>
        <v>1</v>
      </c>
      <c r="M2535" s="4">
        <f>MIN(MAX(M2534*(1+MAX(MIN(((B2535-B2534)/B2534)/($K$7*30),0),-卓尔金历!$M$43))+MIN(MAX(((B2535-B2534)/B2534)/($K$7*7),0),卓尔金历!$M$43),0),1)</f>
        <v>1</v>
      </c>
      <c r="N2535">
        <f t="shared" si="343"/>
        <v>13433.098291765917</v>
      </c>
      <c r="O2535">
        <f t="shared" si="344"/>
        <v>27305.900184982202</v>
      </c>
      <c r="P2535">
        <f t="shared" si="345"/>
        <v>0.18003943576520542</v>
      </c>
      <c r="Q2535">
        <f t="shared" si="336"/>
        <v>6.2793049620845018E-2</v>
      </c>
      <c r="R2535">
        <f t="shared" si="337"/>
        <v>0</v>
      </c>
      <c r="S2535">
        <f t="shared" si="339"/>
        <v>143.08794764408944</v>
      </c>
      <c r="T2535" s="564">
        <f>IF((I2535-MAX(I$470:I2535))/MAX(I$470:I2535)&gt;T2534,T2534,(I2535-MAX(I$470:I2535))/MAX(I$470:I2535))</f>
        <v>-0.91338805338419748</v>
      </c>
      <c r="U2535" s="564">
        <f>IF((J2535-MAX(J$470:J2535))/MAX(J$470:J2535)&gt;U2534,U2534,(J2535-MAX(J$470:J2535))/MAX(J$470:J2535))</f>
        <v>-0.8283551177402233</v>
      </c>
      <c r="V2535" s="564">
        <f>IF((K2535-MAX(K$470:K2535))/MAX(K$470:K2535)&gt;V2534,V2534,(K2535-MAX(K$470:K2535))/MAX(K$470:K2535))</f>
        <v>-0.84885940676762139</v>
      </c>
      <c r="W2535" s="564">
        <f>IF((N2535-MAX(N$470:N2535))/MAX(N$470:N2535)&gt;W2534,W2534,(N2535-MAX(N$470:N2535))/MAX(N$470:N2535))</f>
        <v>-0.62788758315546067</v>
      </c>
      <c r="X2535" s="564">
        <f>IF((O2535-MAX(O$470:O2535))/MAX(O$470:O2535)&gt;X2534,X2534,(O2535-MAX(O$470:O2535))/MAX(O$470:O2535))</f>
        <v>-0.62788758315546067</v>
      </c>
    </row>
    <row r="2536" spans="1:24">
      <c r="A2536" s="799">
        <v>42938</v>
      </c>
      <c r="B2536">
        <v>2637.55</v>
      </c>
      <c r="C2536">
        <v>4444.0143369999996</v>
      </c>
      <c r="D2536">
        <v>2.9567049999999999</v>
      </c>
      <c r="E2536">
        <f>LN(D2536/参数实验室!$E$53)/参数实验室!$E$55</f>
        <v>0.58597326160948471</v>
      </c>
      <c r="F2536">
        <f t="shared" si="338"/>
        <v>1.6849024045041798</v>
      </c>
      <c r="G2536">
        <f>LN(F2536/参数实验室!$E$58)/参数实验室!$E$59</f>
        <v>8.3290340531326737E-2</v>
      </c>
      <c r="H2536" s="856">
        <f>INDEX(神经网络!$G$10:$BO$70,MATCH(ROUND(G2536*2,1)/2,神经网络!$E$10:$E$70,0),MATCH(ROUND(E2536*2,1)/2,神经网络!$G$8:$BO$8,0))</f>
        <v>1.9940873001820962</v>
      </c>
      <c r="I2536">
        <f t="shared" si="340"/>
        <v>9943.8894097541888</v>
      </c>
      <c r="J2536">
        <f t="shared" si="341"/>
        <v>1052.452017078328</v>
      </c>
      <c r="K2536">
        <f t="shared" si="342"/>
        <v>9.4483066670906677</v>
      </c>
      <c r="L2536" s="4">
        <f>MIN(MAX(L2535*(1+MAX(MIN(((B2536-B2535)/B2535)/($K$7*卓尔金历!$N$40),0),-卓尔金历!$M$43))+MIN(MAX(((B2536-B2535)/B2535)/($K$7*卓尔金历!$N$40),0),卓尔金历!$M$43),0),1)</f>
        <v>0.52053103203479179</v>
      </c>
      <c r="M2536" s="4">
        <f>MIN(MAX(M2535*(1+MAX(MIN(((B2536-B2535)/B2535)/($K$7*30),0),-卓尔金历!$M$43))+MIN(MAX(((B2536-B2535)/B2535)/($K$7*7),0),卓尔金历!$M$43),0),1)</f>
        <v>0.76026551601739589</v>
      </c>
      <c r="N2536">
        <f t="shared" si="343"/>
        <v>12659.494275253004</v>
      </c>
      <c r="O2536">
        <f t="shared" si="344"/>
        <v>25733.3698871468</v>
      </c>
      <c r="P2536">
        <f t="shared" si="345"/>
        <v>-3.1380829966948152E-2</v>
      </c>
      <c r="Q2536">
        <f t="shared" si="336"/>
        <v>6.3127170154295018E-2</v>
      </c>
      <c r="R2536">
        <f t="shared" si="337"/>
        <v>0.80563657702604174</v>
      </c>
      <c r="S2536">
        <f t="shared" si="339"/>
        <v>143.08794764408944</v>
      </c>
      <c r="T2536" s="564">
        <f>IF((I2536-MAX(I$470:I2536))/MAX(I$470:I2536)&gt;T2535,T2535,(I2536-MAX(I$470:I2536))/MAX(I$470:I2536))</f>
        <v>-0.91338805338419748</v>
      </c>
      <c r="U2536" s="564">
        <f>IF((J2536-MAX(J$470:J2536))/MAX(J$470:J2536)&gt;U2535,U2535,(J2536-MAX(J$470:J2536))/MAX(J$470:J2536))</f>
        <v>-0.8283551177402233</v>
      </c>
      <c r="V2536" s="564">
        <f>IF((K2536-MAX(K$470:K2536))/MAX(K$470:K2536)&gt;V2535,V2535,(K2536-MAX(K$470:K2536))/MAX(K$470:K2536))</f>
        <v>-0.84885940676762139</v>
      </c>
      <c r="W2536" s="564">
        <f>IF((N2536-MAX(N$470:N2536))/MAX(N$470:N2536)&gt;W2535,W2535,(N2536-MAX(N$470:N2536))/MAX(N$470:N2536))</f>
        <v>-0.62788758315546067</v>
      </c>
      <c r="X2536" s="564">
        <f>IF((O2536-MAX(O$470:O2536))/MAX(O$470:O2536)&gt;X2535,X2535,(O2536-MAX(O$470:O2536))/MAX(O$470:O2536))</f>
        <v>-0.62788758315546067</v>
      </c>
    </row>
    <row r="2537" spans="1:24">
      <c r="A2537" s="799">
        <v>42939</v>
      </c>
      <c r="B2537">
        <v>2808.39</v>
      </c>
      <c r="C2537">
        <v>4411.4043140000003</v>
      </c>
      <c r="D2537">
        <v>2.8683010000000002</v>
      </c>
      <c r="E2537">
        <f>LN(D2537/参数实验室!$E$53)/参数实验室!$E$55</f>
        <v>0.55016113907685837</v>
      </c>
      <c r="F2537">
        <f t="shared" si="338"/>
        <v>1.5707947663964053</v>
      </c>
      <c r="G2537">
        <f>LN(F2537/参数实验室!$E$58)/参数实验室!$E$59</f>
        <v>4.6484462623454154E-2</v>
      </c>
      <c r="H2537" s="856">
        <f>INDEX(神经网络!$G$10:$BO$70,MATCH(ROUND(G2537*2,1)/2,神经网络!$E$10:$E$70,0),MATCH(ROUND(E2537*2,1)/2,神经网络!$G$8:$BO$8,0))</f>
        <v>1.9021686801216116</v>
      </c>
      <c r="I2537">
        <f t="shared" si="340"/>
        <v>11228.256931090886</v>
      </c>
      <c r="J2537">
        <f t="shared" si="341"/>
        <v>1120.6216830932515</v>
      </c>
      <c r="K2537">
        <f t="shared" si="342"/>
        <v>10.019667743798722</v>
      </c>
      <c r="L2537" s="4">
        <f>MIN(MAX(L2536*(1+MAX(MIN(((B2537-B2536)/B2536)/($K$7*卓尔金历!$N$40),0),-卓尔金历!$M$43))+MIN(MAX(((B2537-B2536)/B2536)/($K$7*卓尔金历!$N$40),0),卓尔金历!$M$43),0),1)</f>
        <v>1</v>
      </c>
      <c r="M2537" s="4">
        <f>MIN(MAX(M2536*(1+MAX(MIN(((B2537-B2536)/B2536)/($K$7*30),0),-卓尔金历!$M$43))+MIN(MAX(((B2537-B2536)/B2536)/($K$7*7),0),卓尔金历!$M$43),0),1)</f>
        <v>1</v>
      </c>
      <c r="N2537">
        <f t="shared" si="343"/>
        <v>13510.624496438339</v>
      </c>
      <c r="O2537">
        <f t="shared" si="344"/>
        <v>28260.310199974574</v>
      </c>
      <c r="P2537">
        <f t="shared" si="345"/>
        <v>6.4772231806031991E-2</v>
      </c>
      <c r="Q2537">
        <f t="shared" si="336"/>
        <v>6.4038632915580249E-2</v>
      </c>
      <c r="R2537">
        <f t="shared" si="337"/>
        <v>6.2408123313345686E-2</v>
      </c>
      <c r="S2537">
        <f t="shared" si="339"/>
        <v>157.97728119595914</v>
      </c>
      <c r="T2537" s="564">
        <f>IF((I2537-MAX(I$470:I2537))/MAX(I$470:I2537)&gt;T2536,T2536,(I2537-MAX(I$470:I2537))/MAX(I$470:I2537))</f>
        <v>-0.91338805338419748</v>
      </c>
      <c r="U2537" s="564">
        <f>IF((J2537-MAX(J$470:J2537))/MAX(J$470:J2537)&gt;U2536,U2536,(J2537-MAX(J$470:J2537))/MAX(J$470:J2537))</f>
        <v>-0.8283551177402233</v>
      </c>
      <c r="V2537" s="564">
        <f>IF((K2537-MAX(K$470:K2537))/MAX(K$470:K2537)&gt;V2536,V2536,(K2537-MAX(K$470:K2537))/MAX(K$470:K2537))</f>
        <v>-0.84885940676762139</v>
      </c>
      <c r="W2537" s="564">
        <f>IF((N2537-MAX(N$470:N2537))/MAX(N$470:N2537)&gt;W2536,W2536,(N2537-MAX(N$470:N2537))/MAX(N$470:N2537))</f>
        <v>-0.62788758315546067</v>
      </c>
      <c r="X2537" s="564">
        <f>IF((O2537-MAX(O$470:O2537))/MAX(O$470:O2537)&gt;X2536,X2536,(O2537-MAX(O$470:O2537))/MAX(O$470:O2537))</f>
        <v>-0.62788758315546067</v>
      </c>
    </row>
    <row r="2538" spans="1:24">
      <c r="A2538" s="799">
        <v>42940</v>
      </c>
      <c r="B2538">
        <v>2749.24</v>
      </c>
      <c r="C2538">
        <v>4323.090432</v>
      </c>
      <c r="D2538">
        <v>2.8571689999999998</v>
      </c>
      <c r="E2538">
        <f>LN(D2538/参数实验室!$E$53)/参数实验室!$E$55</f>
        <v>0.54557355773916394</v>
      </c>
      <c r="F2538">
        <f t="shared" si="338"/>
        <v>1.5724674571881685</v>
      </c>
      <c r="G2538">
        <f>LN(F2538/参数实验室!$E$58)/参数实验室!$E$59</f>
        <v>4.7043066103091509E-2</v>
      </c>
      <c r="H2538" s="856">
        <f>INDEX(神经网络!$G$10:$BO$70,MATCH(ROUND(G2538*2,1)/2,神经网络!$E$10:$E$70,0),MATCH(ROUND(E2538*2,1)/2,神经网络!$G$8:$BO$8,0))</f>
        <v>1.9021686801216116</v>
      </c>
      <c r="I2538">
        <f t="shared" si="340"/>
        <v>10778.416279637884</v>
      </c>
      <c r="J2538">
        <f t="shared" si="341"/>
        <v>1097.0192729739426</v>
      </c>
      <c r="K2538">
        <f t="shared" si="342"/>
        <v>9.8251840648326532</v>
      </c>
      <c r="L2538" s="4">
        <f>MIN(MAX(L2537*(1+MAX(MIN(((B2538-B2537)/B2537)/($K$7*卓尔金历!$N$40),0),-卓尔金历!$M$43))+MIN(MAX(((B2538-B2537)/B2537)/($K$7*卓尔金历!$N$40),0),卓尔金历!$M$43),0),1)</f>
        <v>0.67819453922309658</v>
      </c>
      <c r="M2538" s="4">
        <f>MIN(MAX(M2537*(1+MAX(MIN(((B2538-B2537)/B2537)/($K$7*30),0),-卓尔金历!$M$43))+MIN(MAX(((B2538-B2537)/B2537)/($K$7*7),0),卓尔金历!$M$43),0),1)</f>
        <v>0.83909726961154829</v>
      </c>
      <c r="N2538">
        <f t="shared" si="343"/>
        <v>12969.344744619886</v>
      </c>
      <c r="O2538">
        <f t="shared" si="344"/>
        <v>27128.109856801151</v>
      </c>
      <c r="P2538">
        <f t="shared" si="345"/>
        <v>-2.1061889552377019E-2</v>
      </c>
      <c r="Q2538">
        <f t="shared" si="336"/>
        <v>6.4148475857526255E-2</v>
      </c>
      <c r="R2538">
        <f t="shared" si="337"/>
        <v>1</v>
      </c>
      <c r="S2538">
        <f t="shared" si="339"/>
        <v>157.5822948200732</v>
      </c>
      <c r="T2538" s="564">
        <f>IF((I2538-MAX(I$470:I2538))/MAX(I$470:I2538)&gt;T2537,T2537,(I2538-MAX(I$470:I2538))/MAX(I$470:I2538))</f>
        <v>-0.91338805338419748</v>
      </c>
      <c r="U2538" s="564">
        <f>IF((J2538-MAX(J$470:J2538))/MAX(J$470:J2538)&gt;U2537,U2537,(J2538-MAX(J$470:J2538))/MAX(J$470:J2538))</f>
        <v>-0.8283551177402233</v>
      </c>
      <c r="V2538" s="564">
        <f>IF((K2538-MAX(K$470:K2538))/MAX(K$470:K2538)&gt;V2537,V2537,(K2538-MAX(K$470:K2538))/MAX(K$470:K2538))</f>
        <v>-0.84885940676762139</v>
      </c>
      <c r="W2538" s="564">
        <f>IF((N2538-MAX(N$470:N2538))/MAX(N$470:N2538)&gt;W2537,W2537,(N2538-MAX(N$470:N2538))/MAX(N$470:N2538))</f>
        <v>-0.62788758315546067</v>
      </c>
      <c r="X2538" s="564">
        <f>IF((O2538-MAX(O$470:O2538))/MAX(O$470:O2538)&gt;X2537,X2537,(O2538-MAX(O$470:O2538))/MAX(O$470:O2538))</f>
        <v>-0.62788758315546067</v>
      </c>
    </row>
    <row r="2539" spans="1:24">
      <c r="A2539" s="799">
        <v>42941</v>
      </c>
      <c r="B2539">
        <v>2763.76</v>
      </c>
      <c r="C2539">
        <v>4253.1160950000003</v>
      </c>
      <c r="D2539">
        <v>2.6317569999999999</v>
      </c>
      <c r="E2539">
        <f>LN(D2539/参数实验室!$E$53)/参数实验室!$E$55</f>
        <v>0.44862191927742029</v>
      </c>
      <c r="F2539">
        <f t="shared" si="338"/>
        <v>1.5388876367701971</v>
      </c>
      <c r="G2539">
        <f>LN(F2539/参数实验室!$E$58)/参数实验室!$E$59</f>
        <v>3.571347604444438E-2</v>
      </c>
      <c r="H2539" s="856">
        <f>INDEX(神经网络!$G$10:$BO$70,MATCH(ROUND(G2539*2,1)/2,神经网络!$E$10:$E$70,0),MATCH(ROUND(E2539*2,1)/2,神经网络!$G$8:$BO$8,0))</f>
        <v>1.7611962507969627</v>
      </c>
      <c r="I2539">
        <f t="shared" si="340"/>
        <v>10886.698696745796</v>
      </c>
      <c r="J2539">
        <f t="shared" si="341"/>
        <v>1102.8131359482854</v>
      </c>
      <c r="K2539">
        <f t="shared" si="342"/>
        <v>9.8717528308951064</v>
      </c>
      <c r="L2539" s="4">
        <f>MIN(MAX(L2538*(1+MAX(MIN(((B2539-B2538)/B2538)/($K$7*卓尔金历!$N$40),0),-卓尔金历!$M$43))+MIN(MAX(((B2539-B2538)/B2538)/($K$7*卓尔金历!$N$40),0),卓尔金历!$M$43),0),1)</f>
        <v>0.75889017372512813</v>
      </c>
      <c r="M2539" s="4">
        <f>MIN(MAX(M2538*(1+MAX(MIN(((B2539-B2538)/B2538)/($K$7*30),0),-卓尔金历!$M$43))+MIN(MAX(((B2539-B2538)/B2538)/($K$7*7),0),卓尔金历!$M$43),0),1)</f>
        <v>1</v>
      </c>
      <c r="N2539">
        <f t="shared" si="343"/>
        <v>13057.708733444802</v>
      </c>
      <c r="O2539">
        <f t="shared" si="344"/>
        <v>27356.793357765655</v>
      </c>
      <c r="P2539">
        <f t="shared" si="345"/>
        <v>5.2814596033814573E-3</v>
      </c>
      <c r="Q2539">
        <f t="shared" si="336"/>
        <v>6.3717232652790112E-2</v>
      </c>
      <c r="R2539">
        <f t="shared" si="337"/>
        <v>1</v>
      </c>
      <c r="S2539">
        <f t="shared" si="339"/>
        <v>159.16540233177363</v>
      </c>
      <c r="T2539" s="564">
        <f>IF((I2539-MAX(I$470:I2539))/MAX(I$470:I2539)&gt;T2538,T2538,(I2539-MAX(I$470:I2539))/MAX(I$470:I2539))</f>
        <v>-0.91338805338419748</v>
      </c>
      <c r="U2539" s="564">
        <f>IF((J2539-MAX(J$470:J2539))/MAX(J$470:J2539)&gt;U2538,U2538,(J2539-MAX(J$470:J2539))/MAX(J$470:J2539))</f>
        <v>-0.8283551177402233</v>
      </c>
      <c r="V2539" s="564">
        <f>IF((K2539-MAX(K$470:K2539))/MAX(K$470:K2539)&gt;V2538,V2538,(K2539-MAX(K$470:K2539))/MAX(K$470:K2539))</f>
        <v>-0.84885940676762139</v>
      </c>
      <c r="W2539" s="564">
        <f>IF((N2539-MAX(N$470:N2539))/MAX(N$470:N2539)&gt;W2538,W2538,(N2539-MAX(N$470:N2539))/MAX(N$470:N2539))</f>
        <v>-0.62788758315546067</v>
      </c>
      <c r="X2539" s="564">
        <f>IF((O2539-MAX(O$470:O2539))/MAX(O$470:O2539)&gt;X2538,X2538,(O2539-MAX(O$470:O2539))/MAX(O$470:O2539))</f>
        <v>-0.62788758315546067</v>
      </c>
    </row>
    <row r="2540" spans="1:24">
      <c r="A2540" s="799">
        <v>42942</v>
      </c>
      <c r="B2540">
        <v>2603.73</v>
      </c>
      <c r="C2540">
        <v>4241.0532430000003</v>
      </c>
      <c r="D2540">
        <v>2.587555</v>
      </c>
      <c r="E2540">
        <f>LN(D2540/参数实验室!$E$53)/参数实验室!$E$55</f>
        <v>0.42863894080653814</v>
      </c>
      <c r="F2540">
        <f t="shared" si="338"/>
        <v>1.6288375687955357</v>
      </c>
      <c r="G2540">
        <f>LN(F2540/参数实验室!$E$58)/参数实验室!$E$59</f>
        <v>6.5528739364747082E-2</v>
      </c>
      <c r="H2540" s="856">
        <f>INDEX(神经网络!$G$10:$BO$70,MATCH(ROUND(G2540*2,1)/2,神经网络!$E$10:$E$70,0),MATCH(ROUND(E2540*2,1)/2,神经网络!$G$8:$BO$8,0))</f>
        <v>1.7611962507969627</v>
      </c>
      <c r="I2540">
        <f t="shared" si="340"/>
        <v>9776.4889546154263</v>
      </c>
      <c r="J2540">
        <f t="shared" si="341"/>
        <v>1038.9569450540673</v>
      </c>
      <c r="K2540">
        <f t="shared" si="342"/>
        <v>9.4099076974808202</v>
      </c>
      <c r="L2540" s="4">
        <f>MIN(MAX(L2539*(1+MAX(MIN(((B2540-B2539)/B2539)/($K$7*卓尔金历!$N$40),0),-卓尔金历!$M$43))+MIN(MAX(((B2540-B2539)/B2539)/($K$7*卓尔金历!$N$40),0),卓尔金历!$M$43),0),1)</f>
        <v>8.7498291020426014E-2</v>
      </c>
      <c r="M2540" s="4">
        <f>MIN(MAX(M2539*(1+MAX(MIN(((B2540-B2539)/B2539)/($K$7*30),0),-卓尔金历!$M$43))+MIN(MAX(((B2540-B2539)/B2539)/($K$7*7),0),卓尔金历!$M$43),0),1)</f>
        <v>0.5576488496292733</v>
      </c>
      <c r="N2540">
        <f t="shared" si="343"/>
        <v>12047.165875527049</v>
      </c>
      <c r="O2540">
        <f t="shared" si="344"/>
        <v>24566.987251685267</v>
      </c>
      <c r="P2540">
        <f t="shared" si="345"/>
        <v>-5.7903001707818404E-2</v>
      </c>
      <c r="Q2540">
        <f t="shared" ref="Q2540:Q2603" si="346">STDEVP(P2520:P2540)</f>
        <v>6.4890692115335685E-2</v>
      </c>
      <c r="R2540">
        <f t="shared" ref="R2540:R2603" si="347">MIN(Q2539*MAX(1-LN(MAX(ABS(P2540),0.0001)/Q2540),0)+MAX(-LN(MAX(ABS(P2540),0.0001)/Q2540),0),1)</f>
        <v>0.18491182189045904</v>
      </c>
      <c r="S2540">
        <f t="shared" si="339"/>
        <v>142.93394546857823</v>
      </c>
      <c r="T2540" s="564">
        <f>IF((I2540-MAX(I$470:I2540))/MAX(I$470:I2540)&gt;T2539,T2539,(I2540-MAX(I$470:I2540))/MAX(I$470:I2540))</f>
        <v>-0.91338805338419748</v>
      </c>
      <c r="U2540" s="564">
        <f>IF((J2540-MAX(J$470:J2540))/MAX(J$470:J2540)&gt;U2539,U2539,(J2540-MAX(J$470:J2540))/MAX(J$470:J2540))</f>
        <v>-0.8283551177402233</v>
      </c>
      <c r="V2540" s="564">
        <f>IF((K2540-MAX(K$470:K2540))/MAX(K$470:K2540)&gt;V2539,V2539,(K2540-MAX(K$470:K2540))/MAX(K$470:K2540))</f>
        <v>-0.84885940676762139</v>
      </c>
      <c r="W2540" s="564">
        <f>IF((N2540-MAX(N$470:N2540))/MAX(N$470:N2540)&gt;W2539,W2539,(N2540-MAX(N$470:N2540))/MAX(N$470:N2540))</f>
        <v>-0.62788758315546067</v>
      </c>
      <c r="X2540" s="564">
        <f>IF((O2540-MAX(O$470:O2540))/MAX(O$470:O2540)&gt;X2539,X2539,(O2540-MAX(O$470:O2540))/MAX(O$470:O2540))</f>
        <v>-0.62788758315546067</v>
      </c>
    </row>
    <row r="2541" spans="1:24">
      <c r="A2541" s="799">
        <v>42943</v>
      </c>
      <c r="B2541">
        <v>2551.2800000000002</v>
      </c>
      <c r="C2541">
        <v>4180.8905930000001</v>
      </c>
      <c r="D2541">
        <v>2.708952</v>
      </c>
      <c r="E2541">
        <f>LN(D2541/参数实验室!$E$53)/参数实验室!$E$55</f>
        <v>0.48272877462521713</v>
      </c>
      <c r="F2541">
        <f t="shared" si="338"/>
        <v>1.6387423540340533</v>
      </c>
      <c r="G2541">
        <f>LN(F2541/参数实验室!$E$58)/参数实验室!$E$59</f>
        <v>6.8710655414693955E-2</v>
      </c>
      <c r="H2541" s="856">
        <f>INDEX(神经网络!$G$10:$BO$70,MATCH(ROUND(G2541*2,1)/2,神经网络!$E$10:$E$70,0),MATCH(ROUND(E2541*2,1)/2,神经网络!$G$8:$BO$8,0))</f>
        <v>1.8351775916078679</v>
      </c>
      <c r="I2541">
        <f t="shared" si="340"/>
        <v>9429.6401423004954</v>
      </c>
      <c r="J2541">
        <f t="shared" si="341"/>
        <v>1018.0280116515695</v>
      </c>
      <c r="K2541">
        <f t="shared" si="342"/>
        <v>9.2626529274008682</v>
      </c>
      <c r="L2541" s="4">
        <f>MIN(MAX(L2540*(1+MAX(MIN(((B2541-B2540)/B2540)/($K$7*卓尔金历!$N$40),0),-卓尔金历!$M$43))+MIN(MAX(((B2541-B2540)/B2540)/($K$7*卓尔金历!$N$40),0),卓尔金历!$M$43),0),1)</f>
        <v>6.0567742785956002E-2</v>
      </c>
      <c r="M2541" s="4">
        <f>MIN(MAX(M2540*(1+MAX(MIN(((B2541-B2540)/B2540)/($K$7*30),0),-卓尔金历!$M$43))+MIN(MAX(((B2541-B2540)/B2540)/($K$7*7),0),卓尔金历!$M$43),0),1)</f>
        <v>0.47183123497819379</v>
      </c>
      <c r="N2541">
        <f t="shared" si="343"/>
        <v>12009.76844547608</v>
      </c>
      <c r="O2541">
        <f t="shared" si="344"/>
        <v>24080.949493690856</v>
      </c>
      <c r="P2541">
        <f t="shared" si="345"/>
        <v>-2.0144177775729365E-2</v>
      </c>
      <c r="Q2541">
        <f t="shared" si="346"/>
        <v>6.5035060482337245E-2</v>
      </c>
      <c r="R2541">
        <f t="shared" si="347"/>
        <v>1</v>
      </c>
      <c r="S2541">
        <f t="shared" si="339"/>
        <v>141.99625962963378</v>
      </c>
      <c r="T2541" s="564">
        <f>IF((I2541-MAX(I$470:I2541))/MAX(I$470:I2541)&gt;T2540,T2540,(I2541-MAX(I$470:I2541))/MAX(I$470:I2541))</f>
        <v>-0.91338805338419748</v>
      </c>
      <c r="U2541" s="564">
        <f>IF((J2541-MAX(J$470:J2541))/MAX(J$470:J2541)&gt;U2540,U2540,(J2541-MAX(J$470:J2541))/MAX(J$470:J2541))</f>
        <v>-0.8283551177402233</v>
      </c>
      <c r="V2541" s="564">
        <f>IF((K2541-MAX(K$470:K2541))/MAX(K$470:K2541)&gt;V2540,V2540,(K2541-MAX(K$470:K2541))/MAX(K$470:K2541))</f>
        <v>-0.84885940676762139</v>
      </c>
      <c r="W2541" s="564">
        <f>IF((N2541-MAX(N$470:N2541))/MAX(N$470:N2541)&gt;W2540,W2540,(N2541-MAX(N$470:N2541))/MAX(N$470:N2541))</f>
        <v>-0.62788758315546067</v>
      </c>
      <c r="X2541" s="564">
        <f>IF((O2541-MAX(O$470:O2541))/MAX(O$470:O2541)&gt;X2540,X2540,(O2541-MAX(O$470:O2541))/MAX(O$470:O2541))</f>
        <v>-0.62788758315546067</v>
      </c>
    </row>
    <row r="2542" spans="1:24">
      <c r="A2542" s="799">
        <v>42944</v>
      </c>
      <c r="B2542">
        <v>2721.06</v>
      </c>
      <c r="C2542">
        <v>4201.0820940000003</v>
      </c>
      <c r="D2542">
        <v>2.7759689999999999</v>
      </c>
      <c r="E2542">
        <f>LN(D2542/参数实验室!$E$53)/参数实验室!$E$55</f>
        <v>0.51155962121519072</v>
      </c>
      <c r="F2542">
        <f t="shared" si="338"/>
        <v>1.5439138034442461</v>
      </c>
      <c r="G2542">
        <f>LN(F2542/参数实验室!$E$58)/参数实验室!$E$59</f>
        <v>3.7424910458019427E-2</v>
      </c>
      <c r="H2542" s="856">
        <f>INDEX(神经网络!$G$10:$BO$70,MATCH(ROUND(G2542*2,1)/2,神经网络!$E$10:$E$70,0),MATCH(ROUND(E2542*2,1)/2,神经网络!$G$8:$BO$8,0))</f>
        <v>1.8351775916078679</v>
      </c>
      <c r="I2542">
        <f t="shared" si="340"/>
        <v>10581.240050773873</v>
      </c>
      <c r="J2542">
        <f t="shared" si="341"/>
        <v>1085.7747097083109</v>
      </c>
      <c r="K2542">
        <f t="shared" si="342"/>
        <v>9.7453366303001125</v>
      </c>
      <c r="L2542" s="4">
        <f>MIN(MAX(L2541*(1+MAX(MIN(((B2542-B2541)/B2541)/($K$7*卓尔金历!$N$40),0),-卓尔金历!$M$43))+MIN(MAX(((B2542-B2541)/B2541)/($K$7*卓尔金历!$N$40),0),卓尔金历!$M$43),0),1)</f>
        <v>1</v>
      </c>
      <c r="M2542" s="4">
        <f>MIN(MAX(M2541*(1+MAX(MIN(((B2542-B2541)/B2541)/($K$7*30),0),-卓尔金历!$M$43))+MIN(MAX(((B2542-B2541)/B2541)/($K$7*7),0),卓尔金历!$M$43),0),1)</f>
        <v>1</v>
      </c>
      <c r="N2542">
        <f t="shared" si="343"/>
        <v>12098.603121999346</v>
      </c>
      <c r="O2542">
        <f t="shared" si="344"/>
        <v>25468.55749920756</v>
      </c>
      <c r="P2542">
        <f t="shared" si="345"/>
        <v>6.6546988178482855E-2</v>
      </c>
      <c r="Q2542">
        <f t="shared" si="346"/>
        <v>6.6344734300566963E-2</v>
      </c>
      <c r="R2542">
        <f t="shared" si="347"/>
        <v>6.483710077358118E-2</v>
      </c>
      <c r="S2542">
        <f t="shared" si="339"/>
        <v>159.33762972704605</v>
      </c>
      <c r="T2542" s="564">
        <f>IF((I2542-MAX(I$470:I2542))/MAX(I$470:I2542)&gt;T2541,T2541,(I2542-MAX(I$470:I2542))/MAX(I$470:I2542))</f>
        <v>-0.91338805338419748</v>
      </c>
      <c r="U2542" s="564">
        <f>IF((J2542-MAX(J$470:J2542))/MAX(J$470:J2542)&gt;U2541,U2541,(J2542-MAX(J$470:J2542))/MAX(J$470:J2542))</f>
        <v>-0.8283551177402233</v>
      </c>
      <c r="V2542" s="564">
        <f>IF((K2542-MAX(K$470:K2542))/MAX(K$470:K2542)&gt;V2541,V2541,(K2542-MAX(K$470:K2542))/MAX(K$470:K2542))</f>
        <v>-0.84885940676762139</v>
      </c>
      <c r="W2542" s="564">
        <f>IF((N2542-MAX(N$470:N2542))/MAX(N$470:N2542)&gt;W2541,W2541,(N2542-MAX(N$470:N2542))/MAX(N$470:N2542))</f>
        <v>-0.62788758315546067</v>
      </c>
      <c r="X2542" s="564">
        <f>IF((O2542-MAX(O$470:O2542))/MAX(O$470:O2542)&gt;X2541,X2541,(O2542-MAX(O$470:O2542))/MAX(O$470:O2542))</f>
        <v>-0.62788758315546067</v>
      </c>
    </row>
    <row r="2543" spans="1:24">
      <c r="A2543" s="799">
        <v>42945</v>
      </c>
      <c r="B2543">
        <v>2795.81</v>
      </c>
      <c r="C2543">
        <v>4105.1928619999999</v>
      </c>
      <c r="D2543">
        <v>2.6504530000000002</v>
      </c>
      <c r="E2543">
        <f>LN(D2543/参数实验室!$E$53)/参数实验室!$E$55</f>
        <v>0.45697325659847099</v>
      </c>
      <c r="F2543">
        <f t="shared" si="338"/>
        <v>1.4683375701496166</v>
      </c>
      <c r="G2543">
        <f>LN(F2543/参数实验室!$E$58)/参数实验室!$E$59</f>
        <v>1.1082608282614315E-2</v>
      </c>
      <c r="H2543" s="856">
        <f>INDEX(神经网络!$G$10:$BO$70,MATCH(ROUND(G2543*2,1)/2,神经网络!$E$10:$E$70,0),MATCH(ROUND(E2543*2,1)/2,神经网络!$G$8:$BO$8,0))</f>
        <v>1.7235948114442901</v>
      </c>
      <c r="I2543">
        <f t="shared" si="340"/>
        <v>11114.682710541443</v>
      </c>
      <c r="J2543">
        <f t="shared" si="341"/>
        <v>1115.6019312876572</v>
      </c>
      <c r="K2543">
        <f t="shared" si="342"/>
        <v>9.962946817161372</v>
      </c>
      <c r="L2543" s="4">
        <f>MIN(MAX(L2542*(1+MAX(MIN(((B2543-B2542)/B2542)/($K$7*卓尔金历!$N$40),0),-卓尔金历!$M$43))+MIN(MAX(((B2543-B2542)/B2542)/($K$7*卓尔金历!$N$40),0),卓尔金历!$M$43),0),1)</f>
        <v>1</v>
      </c>
      <c r="M2543" s="4">
        <f>MIN(MAX(M2542*(1+MAX(MIN(((B2543-B2542)/B2542)/($K$7*30),0),-卓尔金历!$M$43))+MIN(MAX(((B2543-B2542)/B2542)/($K$7*7),0),卓尔金历!$M$43),0),1)</f>
        <v>1</v>
      </c>
      <c r="N2543">
        <f t="shared" si="343"/>
        <v>12708.542127059489</v>
      </c>
      <c r="O2543">
        <f t="shared" si="344"/>
        <v>26752.529414373301</v>
      </c>
      <c r="P2543">
        <f t="shared" si="345"/>
        <v>2.7470912071031143E-2</v>
      </c>
      <c r="Q2543">
        <f t="shared" si="346"/>
        <v>6.6404092582300969E-2</v>
      </c>
      <c r="R2543">
        <f t="shared" si="347"/>
        <v>1</v>
      </c>
      <c r="S2543">
        <f t="shared" si="339"/>
        <v>159.85845627795331</v>
      </c>
      <c r="T2543" s="564">
        <f>IF((I2543-MAX(I$470:I2543))/MAX(I$470:I2543)&gt;T2542,T2542,(I2543-MAX(I$470:I2543))/MAX(I$470:I2543))</f>
        <v>-0.91338805338419748</v>
      </c>
      <c r="U2543" s="564">
        <f>IF((J2543-MAX(J$470:J2543))/MAX(J$470:J2543)&gt;U2542,U2542,(J2543-MAX(J$470:J2543))/MAX(J$470:J2543))</f>
        <v>-0.8283551177402233</v>
      </c>
      <c r="V2543" s="564">
        <f>IF((K2543-MAX(K$470:K2543))/MAX(K$470:K2543)&gt;V2542,V2542,(K2543-MAX(K$470:K2543))/MAX(K$470:K2543))</f>
        <v>-0.84885940676762139</v>
      </c>
      <c r="W2543" s="564">
        <f>IF((N2543-MAX(N$470:N2543))/MAX(N$470:N2543)&gt;W2542,W2542,(N2543-MAX(N$470:N2543))/MAX(N$470:N2543))</f>
        <v>-0.62788758315546067</v>
      </c>
      <c r="X2543" s="564">
        <f>IF((O2543-MAX(O$470:O2543))/MAX(O$470:O2543)&gt;X2542,X2542,(O2543-MAX(O$470:O2543))/MAX(O$470:O2543))</f>
        <v>-0.62788758315546067</v>
      </c>
    </row>
    <row r="2544" spans="1:24">
      <c r="A2544" s="799">
        <v>42946</v>
      </c>
      <c r="B2544">
        <v>2705.48</v>
      </c>
      <c r="C2544">
        <v>4124.8722509999998</v>
      </c>
      <c r="D2544">
        <v>2.6342910000000002</v>
      </c>
      <c r="E2544">
        <f>LN(D2544/参数实验室!$E$53)/参数实验室!$E$55</f>
        <v>0.4497573038963848</v>
      </c>
      <c r="F2544">
        <f t="shared" si="338"/>
        <v>1.5246360168990345</v>
      </c>
      <c r="G2544">
        <f>LN(F2544/参数实验室!$E$58)/参数实验室!$E$59</f>
        <v>3.0830161850977943E-2</v>
      </c>
      <c r="H2544" s="856">
        <f>INDEX(神经网络!$G$10:$BO$70,MATCH(ROUND(G2544*2,1)/2,神经网络!$E$10:$E$70,0),MATCH(ROUND(E2544*2,1)/2,神经网络!$G$8:$BO$8,0))</f>
        <v>1.7611962507969627</v>
      </c>
      <c r="I2544">
        <f t="shared" si="340"/>
        <v>10495.731233264649</v>
      </c>
      <c r="J2544">
        <f t="shared" si="341"/>
        <v>1079.5578787757863</v>
      </c>
      <c r="K2544">
        <f t="shared" si="342"/>
        <v>9.7222496723999274</v>
      </c>
      <c r="L2544" s="4">
        <f>MIN(MAX(L2543*(1+MAX(MIN(((B2544-B2543)/B2543)/($K$7*卓尔金历!$N$40),0),-卓尔金历!$M$43))+MIN(MAX(((B2544-B2543)/B2543)/($K$7*卓尔金历!$N$40),0),卓尔金历!$M$43),0),1)</f>
        <v>0.50634852984158873</v>
      </c>
      <c r="M2544" s="4">
        <f>MIN(MAX(M2543*(1+MAX(MIN(((B2544-B2543)/B2543)/($K$7*30),0),-卓尔金历!$M$43))+MIN(MAX(((B2544-B2543)/B2543)/($K$7*7),0),卓尔金历!$M$43),0),1)</f>
        <v>0.75317426492079442</v>
      </c>
      <c r="N2544">
        <f t="shared" si="343"/>
        <v>12000.832233000385</v>
      </c>
      <c r="O2544">
        <f t="shared" si="344"/>
        <v>25262.741713442108</v>
      </c>
      <c r="P2544">
        <f t="shared" si="345"/>
        <v>-3.2309062489940275E-2</v>
      </c>
      <c r="Q2544">
        <f t="shared" si="346"/>
        <v>6.6753636619856602E-2</v>
      </c>
      <c r="R2544">
        <f t="shared" si="347"/>
        <v>0.84025196739079189</v>
      </c>
      <c r="S2544">
        <f t="shared" si="339"/>
        <v>150.95630133163303</v>
      </c>
      <c r="T2544" s="564">
        <f>IF((I2544-MAX(I$470:I2544))/MAX(I$470:I2544)&gt;T2543,T2543,(I2544-MAX(I$470:I2544))/MAX(I$470:I2544))</f>
        <v>-0.91338805338419748</v>
      </c>
      <c r="U2544" s="564">
        <f>IF((J2544-MAX(J$470:J2544))/MAX(J$470:J2544)&gt;U2543,U2543,(J2544-MAX(J$470:J2544))/MAX(J$470:J2544))</f>
        <v>-0.8283551177402233</v>
      </c>
      <c r="V2544" s="564">
        <f>IF((K2544-MAX(K$470:K2544))/MAX(K$470:K2544)&gt;V2543,V2543,(K2544-MAX(K$470:K2544))/MAX(K$470:K2544))</f>
        <v>-0.84885940676762139</v>
      </c>
      <c r="W2544" s="564">
        <f>IF((N2544-MAX(N$470:N2544))/MAX(N$470:N2544)&gt;W2543,W2543,(N2544-MAX(N$470:N2544))/MAX(N$470:N2544))</f>
        <v>-0.62788758315546067</v>
      </c>
      <c r="X2544" s="564">
        <f>IF((O2544-MAX(O$470:O2544))/MAX(O$470:O2544)&gt;X2543,X2543,(O2544-MAX(O$470:O2544))/MAX(O$470:O2544))</f>
        <v>-0.62788758315546067</v>
      </c>
    </row>
    <row r="2545" spans="1:24">
      <c r="A2545" s="799">
        <v>42947</v>
      </c>
      <c r="B2545">
        <v>2749.13</v>
      </c>
      <c r="C2545">
        <v>4176.3315679999996</v>
      </c>
      <c r="D2545">
        <v>2.6644030000000001</v>
      </c>
      <c r="E2545">
        <f>LN(D2545/参数实验室!$E$53)/参数实验室!$E$55</f>
        <v>0.46316631076453302</v>
      </c>
      <c r="F2545">
        <f t="shared" si="338"/>
        <v>1.5191466274785113</v>
      </c>
      <c r="G2545">
        <f>LN(F2545/参数实验室!$E$58)/参数实验室!$E$59</f>
        <v>2.8937036295256971E-2</v>
      </c>
      <c r="H2545" s="856">
        <f>INDEX(神经网络!$G$10:$BO$70,MATCH(ROUND(G2545*2,1)/2,神经网络!$E$10:$E$70,0),MATCH(ROUND(E2545*2,1)/2,神经网络!$G$8:$BO$8,0))</f>
        <v>1.7611962507969627</v>
      </c>
      <c r="I2545">
        <f t="shared" si="340"/>
        <v>10793.967444588125</v>
      </c>
      <c r="J2545">
        <f t="shared" si="341"/>
        <v>1096.9753800726221</v>
      </c>
      <c r="K2545">
        <f t="shared" si="342"/>
        <v>9.8397535994595806</v>
      </c>
      <c r="L2545" s="4">
        <f>MIN(MAX(L2544*(1+MAX(MIN(((B2545-B2544)/B2544)/($K$7*卓尔金历!$N$40),0),-卓尔金历!$M$43))+MIN(MAX(((B2545-B2544)/B2544)/($K$7*卓尔金历!$N$40),0),卓尔金历!$M$43),0),1)</f>
        <v>0.75285935684032368</v>
      </c>
      <c r="M2545" s="4">
        <f>MIN(MAX(M2544*(1+MAX(MIN(((B2545-B2544)/B2544)/($K$7*30),0),-卓尔金历!$M$43))+MIN(MAX(((B2545-B2544)/B2544)/($K$7*7),0),卓尔金历!$M$43),0),1)</f>
        <v>1</v>
      </c>
      <c r="N2545">
        <f t="shared" si="343"/>
        <v>12173.498933608409</v>
      </c>
      <c r="O2545">
        <f t="shared" si="344"/>
        <v>25803.400949772789</v>
      </c>
      <c r="P2545">
        <f t="shared" si="345"/>
        <v>1.6133920783003419E-2</v>
      </c>
      <c r="Q2545">
        <f t="shared" si="346"/>
        <v>6.588058279020223E-2</v>
      </c>
      <c r="R2545">
        <f t="shared" si="347"/>
        <v>1</v>
      </c>
      <c r="S2545">
        <f t="shared" si="339"/>
        <v>154.56049780106628</v>
      </c>
      <c r="T2545" s="564">
        <f>IF((I2545-MAX(I$470:I2545))/MAX(I$470:I2545)&gt;T2544,T2544,(I2545-MAX(I$470:I2545))/MAX(I$470:I2545))</f>
        <v>-0.91338805338419748</v>
      </c>
      <c r="U2545" s="564">
        <f>IF((J2545-MAX(J$470:J2545))/MAX(J$470:J2545)&gt;U2544,U2544,(J2545-MAX(J$470:J2545))/MAX(J$470:J2545))</f>
        <v>-0.8283551177402233</v>
      </c>
      <c r="V2545" s="564">
        <f>IF((K2545-MAX(K$470:K2545))/MAX(K$470:K2545)&gt;V2544,V2544,(K2545-MAX(K$470:K2545))/MAX(K$470:K2545))</f>
        <v>-0.84885940676762139</v>
      </c>
      <c r="W2545" s="564">
        <f>IF((N2545-MAX(N$470:N2545))/MAX(N$470:N2545)&gt;W2544,W2544,(N2545-MAX(N$470:N2545))/MAX(N$470:N2545))</f>
        <v>-0.62788758315546067</v>
      </c>
      <c r="X2545" s="564">
        <f>IF((O2545-MAX(O$470:O2545))/MAX(O$470:O2545)&gt;X2544,X2544,(O2545-MAX(O$470:O2545))/MAX(O$470:O2545))</f>
        <v>-0.62788758315546067</v>
      </c>
    </row>
    <row r="2546" spans="1:24">
      <c r="A2546" s="799">
        <v>42948</v>
      </c>
      <c r="B2546">
        <v>2855.56</v>
      </c>
      <c r="C2546">
        <v>4283.0898589999997</v>
      </c>
      <c r="D2546">
        <v>2.5123440000000001</v>
      </c>
      <c r="E2546">
        <f>LN(D2546/参数实验室!$E$53)/参数实验室!$E$55</f>
        <v>0.39383948507774724</v>
      </c>
      <c r="F2546">
        <f t="shared" si="338"/>
        <v>1.4999124021207748</v>
      </c>
      <c r="G2546">
        <f>LN(F2546/参数实验室!$E$58)/参数实验室!$E$59</f>
        <v>2.2249325036626789E-2</v>
      </c>
      <c r="H2546" s="856">
        <f>INDEX(神经网络!$G$10:$BO$70,MATCH(ROUND(G2546*2,1)/2,神经网络!$E$10:$E$70,0),MATCH(ROUND(E2546*2,1)/2,神经网络!$G$8:$BO$8,0))</f>
        <v>1.6431947921089631</v>
      </c>
      <c r="I2546">
        <f t="shared" si="340"/>
        <v>11529.93325787407</v>
      </c>
      <c r="J2546">
        <f t="shared" si="341"/>
        <v>1139.4437572323523</v>
      </c>
      <c r="K2546">
        <f t="shared" si="342"/>
        <v>10.118913886438467</v>
      </c>
      <c r="L2546" s="4">
        <f>MIN(MAX(L2545*(1+MAX(MIN(((B2546-B2545)/B2545)/($K$7*卓尔金历!$N$40),0),-卓尔金历!$M$43))+MIN(MAX(((B2546-B2545)/B2545)/($K$7*卓尔金历!$N$40),0),卓尔金历!$M$43),0),1)</f>
        <v>1</v>
      </c>
      <c r="M2546" s="4">
        <f>MIN(MAX(M2545*(1+MAX(MIN(((B2546-B2545)/B2545)/($K$7*30),0),-卓尔金历!$M$43))+MIN(MAX(((B2546-B2545)/B2545)/($K$7*7),0),卓尔金历!$M$43),0),1)</f>
        <v>1</v>
      </c>
      <c r="N2546">
        <f t="shared" si="343"/>
        <v>12798.392152237204</v>
      </c>
      <c r="O2546">
        <f t="shared" si="344"/>
        <v>27562.755984242925</v>
      </c>
      <c r="P2546">
        <f t="shared" si="345"/>
        <v>3.8714065904486082E-2</v>
      </c>
      <c r="Q2546">
        <f t="shared" si="346"/>
        <v>6.5346090683233729E-2</v>
      </c>
      <c r="R2546">
        <f t="shared" si="347"/>
        <v>0.62386333663661175</v>
      </c>
      <c r="S2546">
        <f t="shared" si="339"/>
        <v>165.09890669010503</v>
      </c>
      <c r="T2546" s="564">
        <f>IF((I2546-MAX(I$470:I2546))/MAX(I$470:I2546)&gt;T2545,T2545,(I2546-MAX(I$470:I2546))/MAX(I$470:I2546))</f>
        <v>-0.91338805338419748</v>
      </c>
      <c r="U2546" s="564">
        <f>IF((J2546-MAX(J$470:J2546))/MAX(J$470:J2546)&gt;U2545,U2545,(J2546-MAX(J$470:J2546))/MAX(J$470:J2546))</f>
        <v>-0.8283551177402233</v>
      </c>
      <c r="V2546" s="564">
        <f>IF((K2546-MAX(K$470:K2546))/MAX(K$470:K2546)&gt;V2545,V2545,(K2546-MAX(K$470:K2546))/MAX(K$470:K2546))</f>
        <v>-0.84885940676762139</v>
      </c>
      <c r="W2546" s="564">
        <f>IF((N2546-MAX(N$470:N2546))/MAX(N$470:N2546)&gt;W2545,W2545,(N2546-MAX(N$470:N2546))/MAX(N$470:N2546))</f>
        <v>-0.62788758315546067</v>
      </c>
      <c r="X2546" s="564">
        <f>IF((O2546-MAX(O$470:O2546))/MAX(O$470:O2546)&gt;X2545,X2545,(O2546-MAX(O$470:O2546))/MAX(O$470:O2546))</f>
        <v>-0.62788758315546067</v>
      </c>
    </row>
    <row r="2547" spans="1:24">
      <c r="A2547" s="799">
        <v>42949</v>
      </c>
      <c r="B2547">
        <v>2703.89</v>
      </c>
      <c r="C2547">
        <v>4334.4559289999997</v>
      </c>
      <c r="D2547">
        <v>2.4566750000000002</v>
      </c>
      <c r="E2547">
        <f>LN(D2547/参数实验室!$E$53)/参数实验室!$E$55</f>
        <v>0.36740431497965453</v>
      </c>
      <c r="F2547">
        <f t="shared" si="338"/>
        <v>1.603044476291565</v>
      </c>
      <c r="G2547">
        <f>LN(F2547/参数实验室!$E$58)/参数实验室!$E$59</f>
        <v>5.7151022526006928E-2</v>
      </c>
      <c r="H2547" s="856">
        <f>INDEX(神经网络!$G$10:$BO$70,MATCH(ROUND(G2547*2,1)/2,神经网络!$E$10:$E$70,0),MATCH(ROUND(E2547*2,1)/2,神经网络!$G$8:$BO$8,0))</f>
        <v>1.5997701575197154</v>
      </c>
      <c r="I2547">
        <f t="shared" si="340"/>
        <v>10523.640748069512</v>
      </c>
      <c r="J2547">
        <f t="shared" si="341"/>
        <v>1078.9234268385133</v>
      </c>
      <c r="K2547">
        <f t="shared" si="342"/>
        <v>9.7538346895535781</v>
      </c>
      <c r="L2547" s="4">
        <f>MIN(MAX(L2546*(1+MAX(MIN(((B2547-B2546)/B2546)/($K$7*卓尔金历!$N$40),0),-卓尔金历!$M$43))+MIN(MAX(((B2547-B2546)/B2546)/($K$7*卓尔金历!$N$40),0),卓尔金历!$M$43),0),1)</f>
        <v>0.18847019387123654</v>
      </c>
      <c r="M2547" s="4">
        <f>MIN(MAX(M2546*(1+MAX(MIN(((B2547-B2546)/B2546)/($K$7*30),0),-卓尔金历!$M$43))+MIN(MAX(((B2547-B2546)/B2546)/($K$7*7),0),卓尔金历!$M$43),0),1)</f>
        <v>0.59423509693561827</v>
      </c>
      <c r="N2547">
        <f t="shared" si="343"/>
        <v>11681.392957853974</v>
      </c>
      <c r="O2547">
        <f t="shared" si="344"/>
        <v>25157.17441874924</v>
      </c>
      <c r="P2547">
        <f t="shared" si="345"/>
        <v>-5.3113925114513467E-2</v>
      </c>
      <c r="Q2547">
        <f t="shared" si="346"/>
        <v>6.656106220350376E-2</v>
      </c>
      <c r="R2547">
        <f t="shared" si="347"/>
        <v>0.30577405469807223</v>
      </c>
      <c r="S2547">
        <f t="shared" si="339"/>
        <v>156.10949836691114</v>
      </c>
      <c r="T2547" s="564">
        <f>IF((I2547-MAX(I$470:I2547))/MAX(I$470:I2547)&gt;T2546,T2546,(I2547-MAX(I$470:I2547))/MAX(I$470:I2547))</f>
        <v>-0.91338805338419748</v>
      </c>
      <c r="U2547" s="564">
        <f>IF((J2547-MAX(J$470:J2547))/MAX(J$470:J2547)&gt;U2546,U2546,(J2547-MAX(J$470:J2547))/MAX(J$470:J2547))</f>
        <v>-0.8283551177402233</v>
      </c>
      <c r="V2547" s="564">
        <f>IF((K2547-MAX(K$470:K2547))/MAX(K$470:K2547)&gt;V2546,V2546,(K2547-MAX(K$470:K2547))/MAX(K$470:K2547))</f>
        <v>-0.84885940676762139</v>
      </c>
      <c r="W2547" s="564">
        <f>IF((N2547-MAX(N$470:N2547))/MAX(N$470:N2547)&gt;W2546,W2546,(N2547-MAX(N$470:N2547))/MAX(N$470:N2547))</f>
        <v>-0.62788758315546067</v>
      </c>
      <c r="X2547" s="564">
        <f>IF((O2547-MAX(O$470:O2547))/MAX(O$470:O2547)&gt;X2546,X2546,(O2547-MAX(O$470:O2547))/MAX(O$470:O2547))</f>
        <v>-0.62788758315546067</v>
      </c>
    </row>
    <row r="2548" spans="1:24">
      <c r="A2548" s="799">
        <v>42950</v>
      </c>
      <c r="B2548">
        <v>2721.82</v>
      </c>
      <c r="C2548">
        <v>4378.0005440000004</v>
      </c>
      <c r="D2548">
        <v>2.516337</v>
      </c>
      <c r="E2548">
        <f>LN(D2548/参数实验室!$E$53)/参数实验室!$E$55</f>
        <v>0.39571304026776122</v>
      </c>
      <c r="F2548">
        <f t="shared" si="338"/>
        <v>1.6084827593301541</v>
      </c>
      <c r="G2548">
        <f>LN(F2548/参数实验室!$E$58)/参数实验室!$E$59</f>
        <v>5.8928561596385334E-2</v>
      </c>
      <c r="H2548" s="856">
        <f>INDEX(神经网络!$G$10:$BO$70,MATCH(ROUND(G2548*2,1)/2,神经网络!$E$10:$E$70,0),MATCH(ROUND(E2548*2,1)/2,神经网络!$G$8:$BO$8,0))</f>
        <v>1.6807718152109754</v>
      </c>
      <c r="I2548">
        <f t="shared" si="340"/>
        <v>10635.279474889303</v>
      </c>
      <c r="J2548">
        <f t="shared" si="341"/>
        <v>1086.0779697538001</v>
      </c>
      <c r="K2548">
        <f t="shared" si="342"/>
        <v>9.7923719761116086</v>
      </c>
      <c r="L2548" s="4">
        <f>MIN(MAX(L2547*(1+MAX(MIN(((B2548-B2547)/B2547)/($K$7*卓尔金历!$N$40),0),-卓尔金历!$M$43))+MIN(MAX(((B2548-B2547)/B2547)/($K$7*卓尔金历!$N$40),0),卓尔金历!$M$43),0),1)</f>
        <v>0.28978836652846707</v>
      </c>
      <c r="M2548" s="4">
        <f>MIN(MAX(M2547*(1+MAX(MIN(((B2548-B2547)/B2547)/($K$7*30),0),-卓尔金历!$M$43))+MIN(MAX(((B2548-B2547)/B2547)/($K$7*7),0),卓尔金历!$M$43),0),1)</f>
        <v>0.81134546691539811</v>
      </c>
      <c r="N2548">
        <f t="shared" si="343"/>
        <v>11704.7482966731</v>
      </c>
      <c r="O2548">
        <f t="shared" si="344"/>
        <v>25315.761943462931</v>
      </c>
      <c r="P2548">
        <f t="shared" si="345"/>
        <v>6.631186919586334E-3</v>
      </c>
      <c r="Q2548">
        <f t="shared" si="346"/>
        <v>6.6546154096922105E-2</v>
      </c>
      <c r="R2548">
        <f t="shared" si="347"/>
        <v>1</v>
      </c>
      <c r="S2548">
        <f t="shared" si="339"/>
        <v>156.61588102189805</v>
      </c>
      <c r="T2548" s="564">
        <f>IF((I2548-MAX(I$470:I2548))/MAX(I$470:I2548)&gt;T2547,T2547,(I2548-MAX(I$470:I2548))/MAX(I$470:I2548))</f>
        <v>-0.91338805338419748</v>
      </c>
      <c r="U2548" s="564">
        <f>IF((J2548-MAX(J$470:J2548))/MAX(J$470:J2548)&gt;U2547,U2547,(J2548-MAX(J$470:J2548))/MAX(J$470:J2548))</f>
        <v>-0.8283551177402233</v>
      </c>
      <c r="V2548" s="564">
        <f>IF((K2548-MAX(K$470:K2548))/MAX(K$470:K2548)&gt;V2547,V2547,(K2548-MAX(K$470:K2548))/MAX(K$470:K2548))</f>
        <v>-0.84885940676762139</v>
      </c>
      <c r="W2548" s="564">
        <f>IF((N2548-MAX(N$470:N2548))/MAX(N$470:N2548)&gt;W2547,W2547,(N2548-MAX(N$470:N2548))/MAX(N$470:N2548))</f>
        <v>-0.62788758315546067</v>
      </c>
      <c r="X2548" s="564">
        <f>IF((O2548-MAX(O$470:O2548))/MAX(O$470:O2548)&gt;X2547,X2547,(O2548-MAX(O$470:O2548))/MAX(O$470:O2548))</f>
        <v>-0.62788758315546067</v>
      </c>
    </row>
    <row r="2549" spans="1:24">
      <c r="A2549" s="799">
        <v>42951</v>
      </c>
      <c r="B2549">
        <v>2815.08</v>
      </c>
      <c r="C2549">
        <v>4296.2084029999996</v>
      </c>
      <c r="D2549">
        <v>2.5269029999999999</v>
      </c>
      <c r="E2549">
        <f>LN(D2549/参数实验室!$E$53)/参数实验室!$E$55</f>
        <v>0.40065640644271189</v>
      </c>
      <c r="F2549">
        <f t="shared" si="338"/>
        <v>1.5261407856970317</v>
      </c>
      <c r="G2549">
        <f>LN(F2549/参数实验室!$E$58)/参数实验室!$E$59</f>
        <v>3.1347921164545454E-2</v>
      </c>
      <c r="H2549" s="856">
        <f>INDEX(神经网络!$G$10:$BO$70,MATCH(ROUND(G2549*2,1)/2,神经网络!$E$10:$E$70,0),MATCH(ROUND(E2549*2,1)/2,神经网络!$G$8:$BO$8,0))</f>
        <v>1.6807718152109754</v>
      </c>
      <c r="I2549">
        <f t="shared" si="340"/>
        <v>11247.76195983964</v>
      </c>
      <c r="J2549">
        <f t="shared" si="341"/>
        <v>1123.291169546306</v>
      </c>
      <c r="K2549">
        <f t="shared" si="342"/>
        <v>10.013220316138137</v>
      </c>
      <c r="L2549" s="4">
        <f>MIN(MAX(L2548*(1+MAX(MIN(((B2549-B2548)/B2548)/($K$7*卓尔金历!$N$40),0),-卓尔金历!$M$43))+MIN(MAX(((B2549-B2548)/B2548)/($K$7*卓尔金历!$N$40),0),卓尔金历!$M$43),0),1)</f>
        <v>0.81330693317612324</v>
      </c>
      <c r="M2549" s="4">
        <f>MIN(MAX(M2548*(1+MAX(MIN(((B2549-B2548)/B2548)/($K$7*30),0),-卓尔金历!$M$43))+MIN(MAX(((B2549-B2548)/B2548)/($K$7*7),0),卓尔金历!$M$43),0),1)</f>
        <v>1</v>
      </c>
      <c r="N2549">
        <f t="shared" si="343"/>
        <v>11900.086771599021</v>
      </c>
      <c r="O2549">
        <f t="shared" si="344"/>
        <v>26498.644381941893</v>
      </c>
      <c r="P2549">
        <f t="shared" si="345"/>
        <v>3.4263838167108686E-2</v>
      </c>
      <c r="Q2549">
        <f t="shared" si="346"/>
        <v>6.6567253396431186E-2</v>
      </c>
      <c r="R2549">
        <f t="shared" si="347"/>
        <v>0.77486318429589152</v>
      </c>
      <c r="S2549">
        <f t="shared" si="339"/>
        <v>165.63534160283183</v>
      </c>
      <c r="T2549" s="564">
        <f>IF((I2549-MAX(I$470:I2549))/MAX(I$470:I2549)&gt;T2548,T2548,(I2549-MAX(I$470:I2549))/MAX(I$470:I2549))</f>
        <v>-0.91338805338419748</v>
      </c>
      <c r="U2549" s="564">
        <f>IF((J2549-MAX(J$470:J2549))/MAX(J$470:J2549)&gt;U2548,U2548,(J2549-MAX(J$470:J2549))/MAX(J$470:J2549))</f>
        <v>-0.8283551177402233</v>
      </c>
      <c r="V2549" s="564">
        <f>IF((K2549-MAX(K$470:K2549))/MAX(K$470:K2549)&gt;V2548,V2548,(K2549-MAX(K$470:K2549))/MAX(K$470:K2549))</f>
        <v>-0.84885940676762139</v>
      </c>
      <c r="W2549" s="564">
        <f>IF((N2549-MAX(N$470:N2549))/MAX(N$470:N2549)&gt;W2548,W2548,(N2549-MAX(N$470:N2549))/MAX(N$470:N2549))</f>
        <v>-0.62788758315546067</v>
      </c>
      <c r="X2549" s="564">
        <f>IF((O2549-MAX(O$470:O2549))/MAX(O$470:O2549)&gt;X2548,X2548,(O2549-MAX(O$470:O2549))/MAX(O$470:O2549))</f>
        <v>-0.62788758315546067</v>
      </c>
    </row>
    <row r="2550" spans="1:24">
      <c r="A2550" s="799">
        <v>42952</v>
      </c>
      <c r="B2550">
        <v>2881.56</v>
      </c>
      <c r="C2550">
        <v>4203.0437229999998</v>
      </c>
      <c r="D2550">
        <v>2.8058200000000002</v>
      </c>
      <c r="E2550">
        <f>LN(D2550/参数实验室!$E$53)/参数实验室!$E$55</f>
        <v>0.5241782099253679</v>
      </c>
      <c r="F2550">
        <f t="shared" si="338"/>
        <v>1.4586001065395133</v>
      </c>
      <c r="G2550">
        <f>LN(F2550/参数实验室!$E$58)/参数实验室!$E$59</f>
        <v>7.5903808662194086E-3</v>
      </c>
      <c r="H2550" s="856">
        <f>INDEX(神经网络!$G$10:$BO$70,MATCH(ROUND(G2550*2,1)/2,神经网络!$E$10:$E$70,0),MATCH(ROUND(E2550*2,1)/2,神经网络!$G$8:$BO$8,0))</f>
        <v>1.7975509837065444</v>
      </c>
      <c r="I2550">
        <f t="shared" si="340"/>
        <v>11694.214340274038</v>
      </c>
      <c r="J2550">
        <f t="shared" si="341"/>
        <v>1149.8184429990813</v>
      </c>
      <c r="K2550">
        <f t="shared" si="342"/>
        <v>10.170487707408762</v>
      </c>
      <c r="L2550" s="4">
        <f>MIN(MAX(L2549*(1+MAX(MIN(((B2550-B2549)/B2549)/($K$7*卓尔金历!$N$40),0),-卓尔金历!$M$43))+MIN(MAX(((B2550-B2549)/B2549)/($K$7*卓尔金历!$N$40),0),卓尔金历!$M$43),0),1)</f>
        <v>1</v>
      </c>
      <c r="M2550" s="4">
        <f>MIN(MAX(M2549*(1+MAX(MIN(((B2550-B2549)/B2549)/($K$7*30),0),-卓尔金历!$M$43))+MIN(MAX(((B2550-B2549)/B2549)/($K$7*7),0),卓尔金历!$M$43),0),1)</f>
        <v>1</v>
      </c>
      <c r="N2550">
        <f t="shared" si="343"/>
        <v>12284.248086257829</v>
      </c>
      <c r="O2550">
        <f t="shared" si="344"/>
        <v>27550.443211330636</v>
      </c>
      <c r="P2550">
        <f t="shared" si="345"/>
        <v>2.3615669892152271E-2</v>
      </c>
      <c r="Q2550">
        <f t="shared" si="346"/>
        <v>6.4648826212287902E-2</v>
      </c>
      <c r="R2550">
        <f t="shared" si="347"/>
        <v>1</v>
      </c>
      <c r="S2550">
        <f t="shared" si="339"/>
        <v>170.72967144706496</v>
      </c>
      <c r="T2550" s="564">
        <f>IF((I2550-MAX(I$470:I2550))/MAX(I$470:I2550)&gt;T2549,T2549,(I2550-MAX(I$470:I2550))/MAX(I$470:I2550))</f>
        <v>-0.91338805338419748</v>
      </c>
      <c r="U2550" s="564">
        <f>IF((J2550-MAX(J$470:J2550))/MAX(J$470:J2550)&gt;U2549,U2549,(J2550-MAX(J$470:J2550))/MAX(J$470:J2550))</f>
        <v>-0.8283551177402233</v>
      </c>
      <c r="V2550" s="564">
        <f>IF((K2550-MAX(K$470:K2550))/MAX(K$470:K2550)&gt;V2549,V2549,(K2550-MAX(K$470:K2550))/MAX(K$470:K2550))</f>
        <v>-0.84885940676762139</v>
      </c>
      <c r="W2550" s="564">
        <f>IF((N2550-MAX(N$470:N2550))/MAX(N$470:N2550)&gt;W2549,W2549,(N2550-MAX(N$470:N2550))/MAX(N$470:N2550))</f>
        <v>-0.62788758315546067</v>
      </c>
      <c r="X2550" s="564">
        <f>IF((O2550-MAX(O$470:O2550))/MAX(O$470:O2550)&gt;X2549,X2549,(O2550-MAX(O$470:O2550))/MAX(O$470:O2550))</f>
        <v>-0.62788758315546067</v>
      </c>
    </row>
    <row r="2551" spans="1:24">
      <c r="A2551" s="799">
        <v>42953</v>
      </c>
      <c r="B2551">
        <v>3270.47</v>
      </c>
      <c r="C2551">
        <v>4225.9424929999996</v>
      </c>
      <c r="D2551">
        <v>2.7436020000000001</v>
      </c>
      <c r="E2551">
        <f>LN(D2551/参数实验室!$E$53)/参数实验室!$E$55</f>
        <v>0.49772321583271584</v>
      </c>
      <c r="F2551">
        <f t="shared" si="338"/>
        <v>1.2921514317513996</v>
      </c>
      <c r="G2551">
        <f>LN(F2551/参数实验室!$E$58)/参数实验室!$E$59</f>
        <v>-5.6005416659344297E-2</v>
      </c>
      <c r="H2551" s="856">
        <f>INDEX(神经网络!$G$10:$BO$70,MATCH(ROUND(G2551*2,1)/2,神经网络!$E$10:$E$70,0),MATCH(ROUND(E2551*2,1)/2,神经网络!$G$8:$BO$8,0))</f>
        <v>1.7607737183655185</v>
      </c>
      <c r="I2551">
        <f t="shared" si="340"/>
        <v>14531.308240740569</v>
      </c>
      <c r="J2551">
        <f t="shared" si="341"/>
        <v>1305.0037907505675</v>
      </c>
      <c r="K2551">
        <f t="shared" si="342"/>
        <v>11.135069755148333</v>
      </c>
      <c r="L2551" s="4">
        <f>MIN(MAX(L2550*(1+MAX(MIN(((B2551-B2550)/B2550)/($K$7*卓尔金历!$N$40),0),-卓尔金历!$M$43))+MIN(MAX(((B2551-B2550)/B2550)/($K$7*卓尔金历!$N$40),0),卓尔金历!$M$43),0),1)</f>
        <v>1</v>
      </c>
      <c r="M2551" s="4">
        <f>MIN(MAX(M2550*(1+MAX(MIN(((B2551-B2550)/B2550)/($K$7*30),0),-卓尔金历!$M$43))+MIN(MAX(((B2551-B2550)/B2550)/($K$7*7),0),卓尔金历!$M$43),0),1)</f>
        <v>1</v>
      </c>
      <c r="N2551">
        <f t="shared" si="343"/>
        <v>15264.488083853343</v>
      </c>
      <c r="O2551">
        <f t="shared" si="344"/>
        <v>34234.363320510369</v>
      </c>
      <c r="P2551">
        <f t="shared" si="345"/>
        <v>0.13496508835491883</v>
      </c>
      <c r="Q2551">
        <f t="shared" si="346"/>
        <v>6.673610092890285E-2</v>
      </c>
      <c r="R2551">
        <f t="shared" si="347"/>
        <v>1.9118591531380902E-2</v>
      </c>
      <c r="S2551">
        <f t="shared" si="339"/>
        <v>212.1498212234348</v>
      </c>
      <c r="T2551" s="564">
        <f>IF((I2551-MAX(I$470:I2551))/MAX(I$470:I2551)&gt;T2550,T2550,(I2551-MAX(I$470:I2551))/MAX(I$470:I2551))</f>
        <v>-0.91338805338419748</v>
      </c>
      <c r="U2551" s="564">
        <f>IF((J2551-MAX(J$470:J2551))/MAX(J$470:J2551)&gt;U2550,U2550,(J2551-MAX(J$470:J2551))/MAX(J$470:J2551))</f>
        <v>-0.8283551177402233</v>
      </c>
      <c r="V2551" s="564">
        <f>IF((K2551-MAX(K$470:K2551))/MAX(K$470:K2551)&gt;V2550,V2550,(K2551-MAX(K$470:K2551))/MAX(K$470:K2551))</f>
        <v>-0.84885940676762139</v>
      </c>
      <c r="W2551" s="564">
        <f>IF((N2551-MAX(N$470:N2551))/MAX(N$470:N2551)&gt;W2550,W2550,(N2551-MAX(N$470:N2551))/MAX(N$470:N2551))</f>
        <v>-0.62788758315546067</v>
      </c>
      <c r="X2551" s="564">
        <f>IF((O2551-MAX(O$470:O2551))/MAX(O$470:O2551)&gt;X2550,X2550,(O2551-MAX(O$470:O2551))/MAX(O$470:O2551))</f>
        <v>-0.62788758315546067</v>
      </c>
    </row>
    <row r="2552" spans="1:24">
      <c r="A2552" s="799">
        <v>42954</v>
      </c>
      <c r="B2552">
        <v>3207.59</v>
      </c>
      <c r="C2552">
        <v>4260.0060329999997</v>
      </c>
      <c r="D2552">
        <v>2.8173810000000001</v>
      </c>
      <c r="E2552">
        <f>LN(D2552/参数实验室!$E$53)/参数实验室!$E$55</f>
        <v>0.52902923569192284</v>
      </c>
      <c r="F2552">
        <f t="shared" si="338"/>
        <v>1.328101793870164</v>
      </c>
      <c r="G2552">
        <f>LN(F2552/参数实验室!$E$58)/参数实验室!$E$59</f>
        <v>-4.160232246435263E-2</v>
      </c>
      <c r="H2552" s="856">
        <f>INDEX(神经网络!$G$10:$BO$70,MATCH(ROUND(G2552*2,1)/2,神经网络!$E$10:$E$70,0),MATCH(ROUND(E2552*2,1)/2,神经网络!$G$8:$BO$8,0))</f>
        <v>1.8346866475134445</v>
      </c>
      <c r="I2552">
        <f t="shared" si="340"/>
        <v>14039.369952335574</v>
      </c>
      <c r="J2552">
        <f t="shared" si="341"/>
        <v>1279.9130122501087</v>
      </c>
      <c r="K2552">
        <f t="shared" si="342"/>
        <v>10.969003219722037</v>
      </c>
      <c r="L2552" s="4">
        <f>MIN(MAX(L2551*(1+MAX(MIN(((B2552-B2551)/B2551)/($K$7*卓尔金历!$N$40),0),-卓尔金历!$M$43))+MIN(MAX(((B2552-B2551)/B2551)/($K$7*卓尔金历!$N$40),0),卓尔金历!$M$43),0),1)</f>
        <v>0.70623608882576216</v>
      </c>
      <c r="M2552" s="4">
        <f>MIN(MAX(M2551*(1+MAX(MIN(((B2552-B2551)/B2551)/($K$7*30),0),-卓尔金历!$M$43))+MIN(MAX(((B2552-B2551)/B2551)/($K$7*7),0),卓尔金历!$M$43),0),1)</f>
        <v>0.85311804441288108</v>
      </c>
      <c r="N2552">
        <f t="shared" si="343"/>
        <v>14747.728958181766</v>
      </c>
      <c r="O2552">
        <f t="shared" si="344"/>
        <v>33075.404070763674</v>
      </c>
      <c r="P2552">
        <f t="shared" si="345"/>
        <v>-1.9226594342709048E-2</v>
      </c>
      <c r="Q2552">
        <f t="shared" si="346"/>
        <v>6.3764124078741463E-2</v>
      </c>
      <c r="R2552">
        <f t="shared" si="347"/>
        <v>1</v>
      </c>
      <c r="S2552">
        <f t="shared" si="339"/>
        <v>212.0125104936734</v>
      </c>
      <c r="T2552" s="564">
        <f>IF((I2552-MAX(I$470:I2552))/MAX(I$470:I2552)&gt;T2551,T2551,(I2552-MAX(I$470:I2552))/MAX(I$470:I2552))</f>
        <v>-0.91338805338419748</v>
      </c>
      <c r="U2552" s="564">
        <f>IF((J2552-MAX(J$470:J2552))/MAX(J$470:J2552)&gt;U2551,U2551,(J2552-MAX(J$470:J2552))/MAX(J$470:J2552))</f>
        <v>-0.8283551177402233</v>
      </c>
      <c r="V2552" s="564">
        <f>IF((K2552-MAX(K$470:K2552))/MAX(K$470:K2552)&gt;V2551,V2551,(K2552-MAX(K$470:K2552))/MAX(K$470:K2552))</f>
        <v>-0.84885940676762139</v>
      </c>
      <c r="W2552" s="564">
        <f>IF((N2552-MAX(N$470:N2552))/MAX(N$470:N2552)&gt;W2551,W2551,(N2552-MAX(N$470:N2552))/MAX(N$470:N2552))</f>
        <v>-0.62788758315546067</v>
      </c>
      <c r="X2552" s="564">
        <f>IF((O2552-MAX(O$470:O2552))/MAX(O$470:O2552)&gt;X2551,X2551,(O2552-MAX(O$470:O2552))/MAX(O$470:O2552))</f>
        <v>-0.62788758315546067</v>
      </c>
    </row>
    <row r="2553" spans="1:24">
      <c r="A2553" s="799">
        <v>42955</v>
      </c>
      <c r="B2553">
        <v>3350.13</v>
      </c>
      <c r="C2553">
        <v>4191.6727520000004</v>
      </c>
      <c r="D2553">
        <v>2.7970120000000001</v>
      </c>
      <c r="E2553">
        <f>LN(D2553/参数实验室!$E$53)/参数实验室!$E$55</f>
        <v>0.5204689160778373</v>
      </c>
      <c r="F2553">
        <f t="shared" si="338"/>
        <v>1.2511970436968118</v>
      </c>
      <c r="G2553">
        <f>LN(F2553/参数实验室!$E$58)/参数实验室!$E$59</f>
        <v>-7.2909851488360794E-2</v>
      </c>
      <c r="H2553" s="856">
        <f>INDEX(神经网络!$G$10:$BO$70,MATCH(ROUND(G2553*2,1)/2,神经网络!$E$10:$E$70,0),MATCH(ROUND(E2553*2,1)/2,神经网络!$G$8:$BO$8,0))</f>
        <v>1.7607737183655185</v>
      </c>
      <c r="I2553">
        <f t="shared" si="340"/>
        <v>15184.006008692055</v>
      </c>
      <c r="J2553">
        <f t="shared" si="341"/>
        <v>1336.7902318343231</v>
      </c>
      <c r="K2553">
        <f t="shared" si="342"/>
        <v>11.35855547646903</v>
      </c>
      <c r="L2553" s="4">
        <f>MIN(MAX(L2552*(1+MAX(MIN(((B2553-B2552)/B2552)/($K$7*卓尔金历!$N$40),0),-卓尔金历!$M$43))+MIN(MAX(((B2553-B2552)/B2552)/($K$7*卓尔金历!$N$40),0),卓尔金历!$M$43),0),1)</f>
        <v>1</v>
      </c>
      <c r="M2553" s="4">
        <f>MIN(MAX(M2552*(1+MAX(MIN(((B2553-B2552)/B2552)/($K$7*30),0),-卓尔金历!$M$43))+MIN(MAX(((B2553-B2552)/B2552)/($K$7*7),0),卓尔金历!$M$43),0),1)</f>
        <v>1</v>
      </c>
      <c r="N2553">
        <f t="shared" si="343"/>
        <v>15596.899378141818</v>
      </c>
      <c r="O2553">
        <f t="shared" si="344"/>
        <v>35375.966856344603</v>
      </c>
      <c r="P2553">
        <f t="shared" si="345"/>
        <v>4.4438347793826508E-2</v>
      </c>
      <c r="Q2553">
        <f t="shared" si="346"/>
        <v>5.8593805342463445E-2</v>
      </c>
      <c r="R2553">
        <f t="shared" si="347"/>
        <v>0.35792276904114212</v>
      </c>
      <c r="S2553">
        <f t="shared" si="339"/>
        <v>229.29798446676605</v>
      </c>
      <c r="T2553" s="564">
        <f>IF((I2553-MAX(I$470:I2553))/MAX(I$470:I2553)&gt;T2552,T2552,(I2553-MAX(I$470:I2553))/MAX(I$470:I2553))</f>
        <v>-0.91338805338419748</v>
      </c>
      <c r="U2553" s="564">
        <f>IF((J2553-MAX(J$470:J2553))/MAX(J$470:J2553)&gt;U2552,U2552,(J2553-MAX(J$470:J2553))/MAX(J$470:J2553))</f>
        <v>-0.8283551177402233</v>
      </c>
      <c r="V2553" s="564">
        <f>IF((K2553-MAX(K$470:K2553))/MAX(K$470:K2553)&gt;V2552,V2552,(K2553-MAX(K$470:K2553))/MAX(K$470:K2553))</f>
        <v>-0.84885940676762139</v>
      </c>
      <c r="W2553" s="564">
        <f>IF((N2553-MAX(N$470:N2553))/MAX(N$470:N2553)&gt;W2552,W2552,(N2553-MAX(N$470:N2553))/MAX(N$470:N2553))</f>
        <v>-0.62788758315546067</v>
      </c>
      <c r="X2553" s="564">
        <f>IF((O2553-MAX(O$470:O2553))/MAX(O$470:O2553)&gt;X2552,X2552,(O2553-MAX(O$470:O2553))/MAX(O$470:O2553))</f>
        <v>-0.62788758315546067</v>
      </c>
    </row>
    <row r="2554" spans="1:24">
      <c r="A2554" s="799">
        <v>42956</v>
      </c>
      <c r="B2554">
        <v>3407.25</v>
      </c>
      <c r="C2554">
        <v>4354.2923650000002</v>
      </c>
      <c r="D2554">
        <v>2.7030500000000002</v>
      </c>
      <c r="E2554">
        <f>LN(D2554/参数实验室!$E$53)/参数实验室!$E$55</f>
        <v>0.48015563943192036</v>
      </c>
      <c r="F2554">
        <f t="shared" si="338"/>
        <v>1.2779491862939321</v>
      </c>
      <c r="G2554">
        <f>LN(F2554/参数实验室!$E$58)/参数实验室!$E$59</f>
        <v>-6.1806109263661937E-2</v>
      </c>
      <c r="H2554" s="856">
        <f>INDEX(神经网络!$G$10:$BO$70,MATCH(ROUND(G2554*2,1)/2,神经网络!$E$10:$E$70,0),MATCH(ROUND(E2554*2,1)/2,神经网络!$G$8:$BO$8,0))</f>
        <v>1.7607737183655185</v>
      </c>
      <c r="I2554">
        <f t="shared" si="340"/>
        <v>15639.850229323512</v>
      </c>
      <c r="J2554">
        <f t="shared" si="341"/>
        <v>1359.5826184110756</v>
      </c>
      <c r="K2554">
        <f t="shared" si="342"/>
        <v>11.503420253784634</v>
      </c>
      <c r="L2554" s="4">
        <f>MIN(MAX(L2553*(1+MAX(MIN(((B2554-B2553)/B2553)/($K$7*卓尔金历!$N$40),0),-卓尔金历!$M$43))+MIN(MAX(((B2554-B2553)/B2553)/($K$7*卓尔金历!$N$40),0),卓尔金历!$M$43),0),1)</f>
        <v>1</v>
      </c>
      <c r="M2554" s="4">
        <f>MIN(MAX(M2553*(1+MAX(MIN(((B2554-B2553)/B2553)/($K$7*30),0),-卓尔金历!$M$43))+MIN(MAX(((B2554-B2553)/B2553)/($K$7*7),0),卓尔金历!$M$43),0),1)</f>
        <v>1</v>
      </c>
      <c r="N2554">
        <f t="shared" si="343"/>
        <v>16065.139211373335</v>
      </c>
      <c r="O2554">
        <f t="shared" si="344"/>
        <v>36438.000817045322</v>
      </c>
      <c r="P2554">
        <f t="shared" si="345"/>
        <v>1.7050084623581738E-2</v>
      </c>
      <c r="Q2554">
        <f t="shared" si="346"/>
        <v>5.6866697387553553E-2</v>
      </c>
      <c r="R2554">
        <f t="shared" si="347"/>
        <v>1</v>
      </c>
      <c r="S2554">
        <f t="shared" si="339"/>
        <v>231.76186502128792</v>
      </c>
      <c r="T2554" s="564">
        <f>IF((I2554-MAX(I$470:I2554))/MAX(I$470:I2554)&gt;T2553,T2553,(I2554-MAX(I$470:I2554))/MAX(I$470:I2554))</f>
        <v>-0.91338805338419748</v>
      </c>
      <c r="U2554" s="564">
        <f>IF((J2554-MAX(J$470:J2554))/MAX(J$470:J2554)&gt;U2553,U2553,(J2554-MAX(J$470:J2554))/MAX(J$470:J2554))</f>
        <v>-0.8283551177402233</v>
      </c>
      <c r="V2554" s="564">
        <f>IF((K2554-MAX(K$470:K2554))/MAX(K$470:K2554)&gt;V2553,V2553,(K2554-MAX(K$470:K2554))/MAX(K$470:K2554))</f>
        <v>-0.84885940676762139</v>
      </c>
      <c r="W2554" s="564">
        <f>IF((N2554-MAX(N$470:N2554))/MAX(N$470:N2554)&gt;W2553,W2553,(N2554-MAX(N$470:N2554))/MAX(N$470:N2554))</f>
        <v>-0.62788758315546067</v>
      </c>
      <c r="X2554" s="564">
        <f>IF((O2554-MAX(O$470:O2554))/MAX(O$470:O2554)&gt;X2553,X2553,(O2554-MAX(O$470:O2554))/MAX(O$470:O2554))</f>
        <v>-0.62788758315546067</v>
      </c>
    </row>
    <row r="2555" spans="1:24">
      <c r="A2555" s="799">
        <v>42957</v>
      </c>
      <c r="B2555">
        <v>3343.37</v>
      </c>
      <c r="C2555">
        <v>4466.8720949999997</v>
      </c>
      <c r="D2555">
        <v>2.7491180000000002</v>
      </c>
      <c r="E2555">
        <f>LN(D2555/参数实验室!$E$53)/参数实验室!$E$55</f>
        <v>0.50009272350153988</v>
      </c>
      <c r="F2555">
        <f t="shared" si="338"/>
        <v>1.3360388156261496</v>
      </c>
      <c r="G2555">
        <f>LN(F2555/参数实验室!$E$58)/参数实验室!$E$59</f>
        <v>-3.8475017344979955E-2</v>
      </c>
      <c r="H2555" s="856">
        <f>INDEX(神经网络!$G$10:$BO$70,MATCH(ROUND(G2555*2,1)/2,神经网络!$E$10:$E$70,0),MATCH(ROUND(E2555*2,1)/2,神经网络!$G$8:$BO$8,0))</f>
        <v>1.7607737183655185</v>
      </c>
      <c r="I2555">
        <f t="shared" si="340"/>
        <v>15123.556269361474</v>
      </c>
      <c r="J2555">
        <f t="shared" si="341"/>
        <v>1334.0928135349734</v>
      </c>
      <c r="K2555">
        <f t="shared" si="342"/>
        <v>11.336209981739032</v>
      </c>
      <c r="L2555" s="4">
        <f>MIN(MAX(L2554*(1+MAX(MIN(((B2555-B2554)/B2554)/($K$7*卓尔金历!$N$40),0),-卓尔金历!$M$43))+MIN(MAX(((B2555-B2554)/B2554)/($K$7*卓尔金历!$N$40),0),卓尔金历!$M$43),0),1)</f>
        <v>0.71354461840199446</v>
      </c>
      <c r="M2555" s="4">
        <f>MIN(MAX(M2554*(1+MAX(MIN(((B2555-B2554)/B2554)/($K$7*30),0),-卓尔金历!$M$43))+MIN(MAX(((B2555-B2554)/B2554)/($K$7*7),0),卓尔金历!$M$43),0),1)</f>
        <v>0.85677230920099723</v>
      </c>
      <c r="N2555">
        <f t="shared" si="343"/>
        <v>15534.805850173358</v>
      </c>
      <c r="O2555">
        <f t="shared" si="344"/>
        <v>35235.12998010726</v>
      </c>
      <c r="P2555">
        <f t="shared" si="345"/>
        <v>-1.8748257392325222E-2</v>
      </c>
      <c r="Q2555">
        <f t="shared" si="346"/>
        <v>5.6803262242068171E-2</v>
      </c>
      <c r="R2555">
        <f t="shared" si="347"/>
        <v>1</v>
      </c>
      <c r="S2555">
        <f t="shared" si="339"/>
        <v>224.11107237906171</v>
      </c>
      <c r="T2555" s="564">
        <f>IF((I2555-MAX(I$470:I2555))/MAX(I$470:I2555)&gt;T2554,T2554,(I2555-MAX(I$470:I2555))/MAX(I$470:I2555))</f>
        <v>-0.91338805338419748</v>
      </c>
      <c r="U2555" s="564">
        <f>IF((J2555-MAX(J$470:J2555))/MAX(J$470:J2555)&gt;U2554,U2554,(J2555-MAX(J$470:J2555))/MAX(J$470:J2555))</f>
        <v>-0.8283551177402233</v>
      </c>
      <c r="V2555" s="564">
        <f>IF((K2555-MAX(K$470:K2555))/MAX(K$470:K2555)&gt;V2554,V2554,(K2555-MAX(K$470:K2555))/MAX(K$470:K2555))</f>
        <v>-0.84885940676762139</v>
      </c>
      <c r="W2555" s="564">
        <f>IF((N2555-MAX(N$470:N2555))/MAX(N$470:N2555)&gt;W2554,W2554,(N2555-MAX(N$470:N2555))/MAX(N$470:N2555))</f>
        <v>-0.62788758315546067</v>
      </c>
      <c r="X2555" s="564">
        <f>IF((O2555-MAX(O$470:O2555))/MAX(O$470:O2555)&gt;X2554,X2554,(O2555-MAX(O$470:O2555))/MAX(O$470:O2555))</f>
        <v>-0.62788758315546067</v>
      </c>
    </row>
    <row r="2556" spans="1:24">
      <c r="A2556" s="799">
        <v>42958</v>
      </c>
      <c r="B2556">
        <v>3420.4</v>
      </c>
      <c r="C2556">
        <v>4565.5009259999997</v>
      </c>
      <c r="D2556">
        <v>2.8960870000000001</v>
      </c>
      <c r="E2556">
        <f>LN(D2556/参数实验室!$E$53)/参数实验室!$E$55</f>
        <v>0.56153472375860458</v>
      </c>
      <c r="F2556">
        <f t="shared" si="338"/>
        <v>1.3347856759443339</v>
      </c>
      <c r="G2556">
        <f>LN(F2556/参数实验室!$E$58)/参数实验室!$E$59</f>
        <v>-3.8967536025175463E-2</v>
      </c>
      <c r="H2556" s="856">
        <f>INDEX(神经网络!$G$10:$BO$70,MATCH(ROUND(G2556*2,1)/2,神经网络!$E$10:$E$70,0),MATCH(ROUND(E2556*2,1)/2,神经网络!$G$8:$BO$8,0))</f>
        <v>1.8346866475134445</v>
      </c>
      <c r="I2556">
        <f t="shared" si="340"/>
        <v>15737.082210605004</v>
      </c>
      <c r="J2556">
        <f t="shared" si="341"/>
        <v>1364.8298152507869</v>
      </c>
      <c r="K2556">
        <f t="shared" si="342"/>
        <v>11.530435542041058</v>
      </c>
      <c r="L2556" s="4">
        <f>MIN(MAX(L2555*(1+MAX(MIN(((B2556-B2555)/B2555)/($K$7*卓尔金历!$N$40),0),-卓尔金历!$M$43))+MIN(MAX(((B2556-B2555)/B2555)/($K$7*卓尔金历!$N$40),0),卓尔金历!$M$43),0),1)</f>
        <v>1</v>
      </c>
      <c r="M2556" s="4">
        <f>MIN(MAX(M2555*(1+MAX(MIN(((B2556-B2555)/B2555)/($K$7*30),0),-卓尔金历!$M$43))+MIN(MAX(((B2556-B2555)/B2555)/($K$7*7),0),卓尔金历!$M$43),0),1)</f>
        <v>1</v>
      </c>
      <c r="N2556">
        <f t="shared" si="343"/>
        <v>15984.488331606839</v>
      </c>
      <c r="O2556">
        <f t="shared" si="344"/>
        <v>36459.803432132241</v>
      </c>
      <c r="P2556">
        <f t="shared" si="345"/>
        <v>2.3039627681052412E-2</v>
      </c>
      <c r="Q2556">
        <f t="shared" si="346"/>
        <v>4.4063201110414611E-2</v>
      </c>
      <c r="R2556">
        <f t="shared" si="347"/>
        <v>0.74204434281863796</v>
      </c>
      <c r="S2556">
        <f t="shared" si="339"/>
        <v>233.20271419766064</v>
      </c>
      <c r="T2556" s="564">
        <f>IF((I2556-MAX(I$470:I2556))/MAX(I$470:I2556)&gt;T2555,T2555,(I2556-MAX(I$470:I2556))/MAX(I$470:I2556))</f>
        <v>-0.91338805338419748</v>
      </c>
      <c r="U2556" s="564">
        <f>IF((J2556-MAX(J$470:J2556))/MAX(J$470:J2556)&gt;U2555,U2555,(J2556-MAX(J$470:J2556))/MAX(J$470:J2556))</f>
        <v>-0.8283551177402233</v>
      </c>
      <c r="V2556" s="564">
        <f>IF((K2556-MAX(K$470:K2556))/MAX(K$470:K2556)&gt;V2555,V2555,(K2556-MAX(K$470:K2556))/MAX(K$470:K2556))</f>
        <v>-0.84885940676762139</v>
      </c>
      <c r="W2556" s="564">
        <f>IF((N2556-MAX(N$470:N2556))/MAX(N$470:N2556)&gt;W2555,W2555,(N2556-MAX(N$470:N2556))/MAX(N$470:N2556))</f>
        <v>-0.62788758315546067</v>
      </c>
      <c r="X2556" s="564">
        <f>IF((O2556-MAX(O$470:O2556))/MAX(O$470:O2556)&gt;X2555,X2555,(O2556-MAX(O$470:O2556))/MAX(O$470:O2556))</f>
        <v>-0.62788758315546067</v>
      </c>
    </row>
    <row r="2557" spans="1:24">
      <c r="A2557" s="799">
        <v>42959</v>
      </c>
      <c r="B2557">
        <v>3653.01</v>
      </c>
      <c r="C2557">
        <v>4633.2958140000001</v>
      </c>
      <c r="D2557">
        <v>3.0204019999999998</v>
      </c>
      <c r="E2557">
        <f>LN(D2557/参数实验室!$E$53)/参数实验室!$E$55</f>
        <v>0.61111906787653059</v>
      </c>
      <c r="F2557">
        <f t="shared" si="338"/>
        <v>1.2683501589100494</v>
      </c>
      <c r="G2557">
        <f>LN(F2557/参数实验室!$E$58)/参数实验室!$E$59</f>
        <v>-6.5763312652021177E-2</v>
      </c>
      <c r="H2557" s="856">
        <f>INDEX(神经网络!$G$10:$BO$70,MATCH(ROUND(G2557*2,1)/2,神经网络!$E$10:$E$70,0),MATCH(ROUND(E2557*2,1)/2,神经网络!$G$8:$BO$8,0))</f>
        <v>1.901613979957405</v>
      </c>
      <c r="I2557">
        <f t="shared" si="340"/>
        <v>17700.612465170278</v>
      </c>
      <c r="J2557">
        <f t="shared" si="341"/>
        <v>1457.6473404892051</v>
      </c>
      <c r="K2557">
        <f t="shared" si="342"/>
        <v>12.143274970219975</v>
      </c>
      <c r="L2557" s="4">
        <f>MIN(MAX(L2556*(1+MAX(MIN(((B2557-B2556)/B2556)/($K$7*卓尔金历!$N$40),0),-卓尔金历!$M$43))+MIN(MAX(((B2557-B2556)/B2556)/($K$7*卓尔金历!$N$40),0),卓尔金历!$M$43),0),1)</f>
        <v>1</v>
      </c>
      <c r="M2557" s="4">
        <f>MIN(MAX(M2556*(1+MAX(MIN(((B2557-B2556)/B2556)/($K$7*30),0),-卓尔金历!$M$43))+MIN(MAX(((B2557-B2556)/B2556)/($K$7*7),0),卓尔金历!$M$43),0),1)</f>
        <v>1</v>
      </c>
      <c r="N2557">
        <f t="shared" si="343"/>
        <v>17978.887675959566</v>
      </c>
      <c r="O2557">
        <f t="shared" si="344"/>
        <v>41008.926716641166</v>
      </c>
      <c r="P2557">
        <f t="shared" si="345"/>
        <v>6.800666588703079E-2</v>
      </c>
      <c r="Q2557">
        <f t="shared" si="346"/>
        <v>4.4500087451857323E-2</v>
      </c>
      <c r="R2557">
        <f t="shared" si="347"/>
        <v>2.5375355353780139E-2</v>
      </c>
      <c r="S2557">
        <f t="shared" si="339"/>
        <v>254.79391731635587</v>
      </c>
      <c r="T2557" s="564">
        <f>IF((I2557-MAX(I$470:I2557))/MAX(I$470:I2557)&gt;T2556,T2556,(I2557-MAX(I$470:I2557))/MAX(I$470:I2557))</f>
        <v>-0.91338805338419748</v>
      </c>
      <c r="U2557" s="564">
        <f>IF((J2557-MAX(J$470:J2557))/MAX(J$470:J2557)&gt;U2556,U2556,(J2557-MAX(J$470:J2557))/MAX(J$470:J2557))</f>
        <v>-0.8283551177402233</v>
      </c>
      <c r="V2557" s="564">
        <f>IF((K2557-MAX(K$470:K2557))/MAX(K$470:K2557)&gt;V2556,V2556,(K2557-MAX(K$470:K2557))/MAX(K$470:K2557))</f>
        <v>-0.84885940676762139</v>
      </c>
      <c r="W2557" s="564">
        <f>IF((N2557-MAX(N$470:N2557))/MAX(N$470:N2557)&gt;W2556,W2556,(N2557-MAX(N$470:N2557))/MAX(N$470:N2557))</f>
        <v>-0.62788758315546067</v>
      </c>
      <c r="X2557" s="564">
        <f>IF((O2557-MAX(O$470:O2557))/MAX(O$470:O2557)&gt;X2556,X2556,(O2557-MAX(O$470:O2557))/MAX(O$470:O2557))</f>
        <v>-0.62788758315546067</v>
      </c>
    </row>
    <row r="2558" spans="1:24">
      <c r="A2558" s="799">
        <v>42960</v>
      </c>
      <c r="B2558">
        <v>3949.6</v>
      </c>
      <c r="C2558">
        <v>4607.6665160000002</v>
      </c>
      <c r="D2558">
        <v>3.128654</v>
      </c>
      <c r="E2558">
        <f>LN(D2558/参数实验室!$E$53)/参数实验室!$E$55</f>
        <v>0.65266165397252507</v>
      </c>
      <c r="F2558">
        <f t="shared" si="338"/>
        <v>1.1666159904800486</v>
      </c>
      <c r="G2558">
        <f>LN(F2558/参数实验室!$E$58)/参数实验室!$E$59</f>
        <v>-0.10964621554151933</v>
      </c>
      <c r="H2558" s="856">
        <f>INDEX(神经网络!$G$10:$BO$70,MATCH(ROUND(G2558*2,1)/2,神经网络!$E$10:$E$70,0),MATCH(ROUND(E2558*2,1)/2,神经网络!$G$8:$BO$8,0))</f>
        <v>1.9329982678469229</v>
      </c>
      <c r="I2558">
        <f t="shared" si="340"/>
        <v>20433.465632490348</v>
      </c>
      <c r="J2558">
        <f t="shared" si="341"/>
        <v>1575.9945732412898</v>
      </c>
      <c r="K2558">
        <f t="shared" si="342"/>
        <v>12.965441619805578</v>
      </c>
      <c r="L2558" s="4">
        <f>MIN(MAX(L2557*(1+MAX(MIN(((B2558-B2557)/B2557)/($K$7*卓尔金历!$N$40),0),-卓尔金历!$M$43))+MIN(MAX(((B2558-B2557)/B2557)/($K$7*卓尔金历!$N$40),0),卓尔金历!$M$43),0),1)</f>
        <v>1</v>
      </c>
      <c r="M2558" s="4">
        <f>MIN(MAX(M2557*(1+MAX(MIN(((B2558-B2557)/B2557)/($K$7*30),0),-卓尔金历!$M$43))+MIN(MAX(((B2558-B2557)/B2557)/($K$7*7),0),卓尔金历!$M$43),0),1)</f>
        <v>1</v>
      </c>
      <c r="N2558">
        <f t="shared" si="343"/>
        <v>20754.70462731189</v>
      </c>
      <c r="O2558">
        <f t="shared" si="344"/>
        <v>47340.423747407403</v>
      </c>
      <c r="P2558">
        <f t="shared" si="345"/>
        <v>8.119057982321419E-2</v>
      </c>
      <c r="Q2558">
        <f t="shared" si="346"/>
        <v>4.5473295525827066E-2</v>
      </c>
      <c r="R2558">
        <f t="shared" si="347"/>
        <v>1.8704544369199928E-2</v>
      </c>
      <c r="S2558">
        <f t="shared" si="339"/>
        <v>255.7921440420123</v>
      </c>
      <c r="T2558" s="564">
        <f>IF((I2558-MAX(I$470:I2558))/MAX(I$470:I2558)&gt;T2557,T2557,(I2558-MAX(I$470:I2558))/MAX(I$470:I2558))</f>
        <v>-0.91338805338419748</v>
      </c>
      <c r="U2558" s="564">
        <f>IF((J2558-MAX(J$470:J2558))/MAX(J$470:J2558)&gt;U2557,U2557,(J2558-MAX(J$470:J2558))/MAX(J$470:J2558))</f>
        <v>-0.8283551177402233</v>
      </c>
      <c r="V2558" s="564">
        <f>IF((K2558-MAX(K$470:K2558))/MAX(K$470:K2558)&gt;V2557,V2557,(K2558-MAX(K$470:K2558))/MAX(K$470:K2558))</f>
        <v>-0.84885940676762139</v>
      </c>
      <c r="W2558" s="564">
        <f>IF((N2558-MAX(N$470:N2558))/MAX(N$470:N2558)&gt;W2557,W2557,(N2558-MAX(N$470:N2558))/MAX(N$470:N2558))</f>
        <v>-0.62788758315546067</v>
      </c>
      <c r="X2558" s="564">
        <f>IF((O2558-MAX(O$470:O2558))/MAX(O$470:O2558)&gt;X2557,X2557,(O2558-MAX(O$470:O2558))/MAX(O$470:O2558))</f>
        <v>-0.62788758315546067</v>
      </c>
    </row>
    <row r="2559" spans="1:24">
      <c r="A2559" s="799">
        <v>42961</v>
      </c>
      <c r="B2559">
        <v>4072.94</v>
      </c>
      <c r="C2559">
        <v>4600.0640789999998</v>
      </c>
      <c r="D2559">
        <v>3.2554419999999999</v>
      </c>
      <c r="E2559">
        <f>LN(D2559/参数实验室!$E$53)/参数实验室!$E$55</f>
        <v>0.69952756090050738</v>
      </c>
      <c r="F2559">
        <f t="shared" si="338"/>
        <v>1.1294210273168768</v>
      </c>
      <c r="G2559">
        <f>LN(F2559/参数实验室!$E$58)/参数实验室!$E$59</f>
        <v>-0.12665259184766217</v>
      </c>
      <c r="H2559" s="856">
        <f>INDEX(神经网络!$G$10:$BO$70,MATCH(ROUND(G2559*2,1)/2,神经网络!$E$10:$E$70,0),MATCH(ROUND(E2559*2,1)/2,神经网络!$G$8:$BO$8,0))</f>
        <v>1.959952816609847</v>
      </c>
      <c r="I2559">
        <f t="shared" si="340"/>
        <v>21666.923519900676</v>
      </c>
      <c r="J2559">
        <f t="shared" si="341"/>
        <v>1625.2104864131504</v>
      </c>
      <c r="K2559">
        <f t="shared" si="342"/>
        <v>13.331764532063604</v>
      </c>
      <c r="L2559" s="4">
        <f>MIN(MAX(L2558*(1+MAX(MIN(((B2559-B2558)/B2558)/($K$7*卓尔金历!$N$40),0),-卓尔金历!$M$43))+MIN(MAX(((B2559-B2558)/B2558)/($K$7*卓尔金历!$N$40),0),卓尔金历!$M$43),0),1)</f>
        <v>1</v>
      </c>
      <c r="M2559" s="4">
        <f>MIN(MAX(M2558*(1+MAX(MIN(((B2559-B2558)/B2558)/($K$7*30),0),-卓尔金历!$M$43))+MIN(MAX(((B2559-B2558)/B2558)/($K$7*7),0),卓尔金历!$M$43),0),1)</f>
        <v>1</v>
      </c>
      <c r="N2559">
        <f t="shared" si="343"/>
        <v>22007.553976700961</v>
      </c>
      <c r="O2559">
        <f t="shared" si="344"/>
        <v>50198.109277351949</v>
      </c>
      <c r="P2559">
        <f t="shared" si="345"/>
        <v>3.1228478833299614E-2</v>
      </c>
      <c r="Q2559">
        <f t="shared" si="346"/>
        <v>4.4726001750075295E-2</v>
      </c>
      <c r="R2559">
        <f t="shared" si="347"/>
        <v>0.42103298588692945</v>
      </c>
      <c r="S2559">
        <f t="shared" si="339"/>
        <v>256.08095697066676</v>
      </c>
      <c r="T2559" s="564">
        <f>IF((I2559-MAX(I$470:I2559))/MAX(I$470:I2559)&gt;T2558,T2558,(I2559-MAX(I$470:I2559))/MAX(I$470:I2559))</f>
        <v>-0.91338805338419748</v>
      </c>
      <c r="U2559" s="564">
        <f>IF((J2559-MAX(J$470:J2559))/MAX(J$470:J2559)&gt;U2558,U2558,(J2559-MAX(J$470:J2559))/MAX(J$470:J2559))</f>
        <v>-0.8283551177402233</v>
      </c>
      <c r="V2559" s="564">
        <f>IF((K2559-MAX(K$470:K2559))/MAX(K$470:K2559)&gt;V2558,V2558,(K2559-MAX(K$470:K2559))/MAX(K$470:K2559))</f>
        <v>-0.84885940676762139</v>
      </c>
      <c r="W2559" s="564">
        <f>IF((N2559-MAX(N$470:N2559))/MAX(N$470:N2559)&gt;W2558,W2558,(N2559-MAX(N$470:N2559))/MAX(N$470:N2559))</f>
        <v>-0.62788758315546067</v>
      </c>
      <c r="X2559" s="564">
        <f>IF((O2559-MAX(O$470:O2559))/MAX(O$470:O2559)&gt;X2558,X2558,(O2559-MAX(O$470:O2559))/MAX(O$470:O2559))</f>
        <v>-0.62788758315546067</v>
      </c>
    </row>
    <row r="2560" spans="1:24">
      <c r="A2560" s="799">
        <v>42962</v>
      </c>
      <c r="B2560">
        <v>4362.51</v>
      </c>
      <c r="C2560">
        <v>4635.0718310000002</v>
      </c>
      <c r="D2560">
        <v>3.115361</v>
      </c>
      <c r="E2560">
        <f>LN(D2560/参数实验室!$E$53)/参数实验室!$E$55</f>
        <v>0.64763844901075063</v>
      </c>
      <c r="F2560">
        <f t="shared" si="338"/>
        <v>1.0624782134596826</v>
      </c>
      <c r="G2560">
        <f>LN(F2560/参数实验室!$E$58)/参数实验室!$E$59</f>
        <v>-0.15872170901428578</v>
      </c>
      <c r="H2560" s="856">
        <f>INDEX(神经网络!$G$10:$BO$70,MATCH(ROUND(G2560*2,1)/2,神经网络!$E$10:$E$70,0),MATCH(ROUND(E2560*2,1)/2,神经网络!$G$8:$BO$8,0))</f>
        <v>1.9003308205363119</v>
      </c>
      <c r="I2560">
        <f t="shared" si="340"/>
        <v>24686.099449986417</v>
      </c>
      <c r="J2560">
        <f t="shared" si="341"/>
        <v>1740.7565540082182</v>
      </c>
      <c r="K2560">
        <f t="shared" si="342"/>
        <v>14.181247454243319</v>
      </c>
      <c r="L2560" s="4">
        <f>MIN(MAX(L2559*(1+MAX(MIN(((B2560-B2559)/B2559)/($K$7*卓尔金历!$N$40),0),-卓尔金历!$M$43))+MIN(MAX(((B2560-B2559)/B2559)/($K$7*卓尔金历!$N$40),0),卓尔金历!$M$43),0),1)</f>
        <v>1</v>
      </c>
      <c r="M2560" s="4">
        <f>MIN(MAX(M2559*(1+MAX(MIN(((B2560-B2559)/B2559)/($K$7*30),0),-卓尔金历!$M$43))+MIN(MAX(((B2560-B2559)/B2559)/($K$7*7),0),卓尔金历!$M$43),0),1)</f>
        <v>1</v>
      </c>
      <c r="N2560">
        <f t="shared" si="343"/>
        <v>25074.195033770739</v>
      </c>
      <c r="O2560">
        <f t="shared" si="344"/>
        <v>57192.961274996764</v>
      </c>
      <c r="P2560">
        <f t="shared" si="345"/>
        <v>7.1096063285980185E-2</v>
      </c>
      <c r="Q2560">
        <f t="shared" si="346"/>
        <v>4.5885263075784874E-2</v>
      </c>
      <c r="R2560">
        <f t="shared" si="347"/>
        <v>2.5141023773608072E-2</v>
      </c>
      <c r="S2560">
        <f t="shared" si="339"/>
        <v>271.10492242287125</v>
      </c>
      <c r="T2560" s="564">
        <f>IF((I2560-MAX(I$470:I2560))/MAX(I$470:I2560)&gt;T2559,T2559,(I2560-MAX(I$470:I2560))/MAX(I$470:I2560))</f>
        <v>-0.91338805338419748</v>
      </c>
      <c r="U2560" s="564">
        <f>IF((J2560-MAX(J$470:J2560))/MAX(J$470:J2560)&gt;U2559,U2559,(J2560-MAX(J$470:J2560))/MAX(J$470:J2560))</f>
        <v>-0.8283551177402233</v>
      </c>
      <c r="V2560" s="564">
        <f>IF((K2560-MAX(K$470:K2560))/MAX(K$470:K2560)&gt;V2559,V2559,(K2560-MAX(K$470:K2560))/MAX(K$470:K2560))</f>
        <v>-0.84885940676762139</v>
      </c>
      <c r="W2560" s="564">
        <f>IF((N2560-MAX(N$470:N2560))/MAX(N$470:N2560)&gt;W2559,W2559,(N2560-MAX(N$470:N2560))/MAX(N$470:N2560))</f>
        <v>-0.62788758315546067</v>
      </c>
      <c r="X2560" s="564">
        <f>IF((O2560-MAX(O$470:O2560))/MAX(O$470:O2560)&gt;X2559,X2559,(O2560-MAX(O$470:O2560))/MAX(O$470:O2560))</f>
        <v>-0.62788758315546067</v>
      </c>
    </row>
    <row r="2561" spans="1:24">
      <c r="A2561" s="799">
        <v>42963</v>
      </c>
      <c r="B2561">
        <v>4177.8999999999996</v>
      </c>
      <c r="C2561">
        <v>4691.7616879999996</v>
      </c>
      <c r="D2561">
        <v>3.229365</v>
      </c>
      <c r="E2561">
        <f>LN(D2561/参数实验室!$E$53)/参数实验室!$E$55</f>
        <v>0.69003935526256877</v>
      </c>
      <c r="F2561">
        <f t="shared" si="338"/>
        <v>1.122995210033749</v>
      </c>
      <c r="G2561">
        <f>LN(F2561/参数实验室!$E$58)/参数实验室!$E$59</f>
        <v>-0.12964726510115301</v>
      </c>
      <c r="H2561" s="856">
        <f>INDEX(神经网络!$G$10:$BO$70,MATCH(ROUND(G2561*2,1)/2,神经网络!$E$10:$E$70,0),MATCH(ROUND(E2561*2,1)/2,神经网络!$G$8:$BO$8,0))</f>
        <v>1.959952816609847</v>
      </c>
      <c r="I2561">
        <f t="shared" si="340"/>
        <v>22700.916790077546</v>
      </c>
      <c r="J2561">
        <f t="shared" si="341"/>
        <v>1667.0922948006846</v>
      </c>
      <c r="K2561">
        <f t="shared" si="342"/>
        <v>13.617072588528542</v>
      </c>
      <c r="L2561" s="4">
        <f>MIN(MAX(L2560*(1+MAX(MIN(((B2561-B2560)/B2560)/($K$7*卓尔金历!$N$40),0),-卓尔金历!$M$43))+MIN(MAX(((B2561-B2560)/B2560)/($K$7*卓尔金历!$N$40),0),卓尔金历!$M$43),0),1)</f>
        <v>0.35343101951955436</v>
      </c>
      <c r="M2561" s="4">
        <f>MIN(MAX(M2560*(1+MAX(MIN(((B2561-B2560)/B2560)/($K$7*30),0),-卓尔金历!$M$43))+MIN(MAX(((B2561-B2560)/B2560)/($K$7*7),0),卓尔金历!$M$43),0),1)</f>
        <v>0.67671550975977723</v>
      </c>
      <c r="N2561">
        <f t="shared" si="343"/>
        <v>23057.802881861047</v>
      </c>
      <c r="O2561">
        <f t="shared" si="344"/>
        <v>52593.673517042538</v>
      </c>
      <c r="P2561">
        <f t="shared" si="345"/>
        <v>-4.2317381507435074E-2</v>
      </c>
      <c r="Q2561">
        <f t="shared" si="346"/>
        <v>4.4680975794134797E-2</v>
      </c>
      <c r="R2561">
        <f t="shared" si="347"/>
        <v>0.10272902419589955</v>
      </c>
      <c r="S2561">
        <f t="shared" si="339"/>
        <v>270.55681162144731</v>
      </c>
      <c r="T2561" s="564">
        <f>IF((I2561-MAX(I$470:I2561))/MAX(I$470:I2561)&gt;T2560,T2560,(I2561-MAX(I$470:I2561))/MAX(I$470:I2561))</f>
        <v>-0.91338805338419748</v>
      </c>
      <c r="U2561" s="564">
        <f>IF((J2561-MAX(J$470:J2561))/MAX(J$470:J2561)&gt;U2560,U2560,(J2561-MAX(J$470:J2561))/MAX(J$470:J2561))</f>
        <v>-0.8283551177402233</v>
      </c>
      <c r="V2561" s="564">
        <f>IF((K2561-MAX(K$470:K2561))/MAX(K$470:K2561)&gt;V2560,V2560,(K2561-MAX(K$470:K2561))/MAX(K$470:K2561))</f>
        <v>-0.84885940676762139</v>
      </c>
      <c r="W2561" s="564">
        <f>IF((N2561-MAX(N$470:N2561))/MAX(N$470:N2561)&gt;W2560,W2560,(N2561-MAX(N$470:N2561))/MAX(N$470:N2561))</f>
        <v>-0.62788758315546067</v>
      </c>
      <c r="X2561" s="564">
        <f>IF((O2561-MAX(O$470:O2561))/MAX(O$470:O2561)&gt;X2560,X2560,(O2561-MAX(O$470:O2561))/MAX(O$470:O2561))</f>
        <v>-0.62788758315546067</v>
      </c>
    </row>
    <row r="2562" spans="1:24">
      <c r="A2562" s="799">
        <v>42964</v>
      </c>
      <c r="B2562">
        <v>4362.7700000000004</v>
      </c>
      <c r="C2562">
        <v>4650.73981</v>
      </c>
      <c r="D2562">
        <v>3.1434920000000002</v>
      </c>
      <c r="E2562">
        <f>LN(D2562/参数实验室!$E$53)/参数实验室!$E$55</f>
        <v>0.65824354294329324</v>
      </c>
      <c r="F2562">
        <f t="shared" si="338"/>
        <v>1.0660061864365986</v>
      </c>
      <c r="G2562">
        <f>LN(F2562/参数实验室!$E$58)/参数实验室!$E$59</f>
        <v>-0.15698181129493016</v>
      </c>
      <c r="H2562" s="856">
        <f>INDEX(神经网络!$G$10:$BO$70,MATCH(ROUND(G2562*2,1)/2,神经网络!$E$10:$E$70,0),MATCH(ROUND(E2562*2,1)/2,神经网络!$G$8:$BO$8,0))</f>
        <v>1.9003308205363119</v>
      </c>
      <c r="I2562">
        <f t="shared" si="340"/>
        <v>24669.697809029247</v>
      </c>
      <c r="J2562">
        <f t="shared" si="341"/>
        <v>1740.8603008658858</v>
      </c>
      <c r="K2562">
        <f t="shared" si="342"/>
        <v>14.170980748287956</v>
      </c>
      <c r="L2562" s="4">
        <f>MIN(MAX(L2561*(1+MAX(MIN(((B2562-B2561)/B2561)/($K$7*卓尔金历!$N$40),0),-卓尔金历!$M$43))+MIN(MAX(((B2562-B2561)/B2561)/($K$7*卓尔金历!$N$40),0),卓尔金历!$M$43),0),1)</f>
        <v>1</v>
      </c>
      <c r="M2562" s="4">
        <f>MIN(MAX(M2561*(1+MAX(MIN(((B2562-B2561)/B2561)/($K$7*30),0),-卓尔金历!$M$43))+MIN(MAX(((B2562-B2561)/B2561)/($K$7*7),0),卓尔金历!$M$43),0),1)</f>
        <v>1</v>
      </c>
      <c r="N2562">
        <f t="shared" si="343"/>
        <v>23764.570433646844</v>
      </c>
      <c r="O2562">
        <f t="shared" si="344"/>
        <v>55680.368053644743</v>
      </c>
      <c r="P2562">
        <f t="shared" si="345"/>
        <v>4.4249503338998256E-2</v>
      </c>
      <c r="Q2562">
        <f t="shared" si="346"/>
        <v>4.3764300505536501E-2</v>
      </c>
      <c r="R2562">
        <f t="shared" si="347"/>
        <v>4.4188335896002622E-2</v>
      </c>
      <c r="S2562">
        <f t="shared" si="339"/>
        <v>272.96730338610968</v>
      </c>
      <c r="T2562" s="564">
        <f>IF((I2562-MAX(I$470:I2562))/MAX(I$470:I2562)&gt;T2561,T2561,(I2562-MAX(I$470:I2562))/MAX(I$470:I2562))</f>
        <v>-0.91338805338419748</v>
      </c>
      <c r="U2562" s="564">
        <f>IF((J2562-MAX(J$470:J2562))/MAX(J$470:J2562)&gt;U2561,U2561,(J2562-MAX(J$470:J2562))/MAX(J$470:J2562))</f>
        <v>-0.8283551177402233</v>
      </c>
      <c r="V2562" s="564">
        <f>IF((K2562-MAX(K$470:K2562))/MAX(K$470:K2562)&gt;V2561,V2561,(K2562-MAX(K$470:K2562))/MAX(K$470:K2562))</f>
        <v>-0.84885940676762139</v>
      </c>
      <c r="W2562" s="564">
        <f>IF((N2562-MAX(N$470:N2562))/MAX(N$470:N2562)&gt;W2561,W2561,(N2562-MAX(N$470:N2562))/MAX(N$470:N2562))</f>
        <v>-0.62788758315546067</v>
      </c>
      <c r="X2562" s="564">
        <f>IF((O2562-MAX(O$470:O2562))/MAX(O$470:O2562)&gt;X2561,X2561,(O2562-MAX(O$470:O2562))/MAX(O$470:O2562))</f>
        <v>-0.62788758315546067</v>
      </c>
    </row>
    <row r="2563" spans="1:24">
      <c r="A2563" s="799">
        <v>42965</v>
      </c>
      <c r="B2563">
        <v>4338.6000000000004</v>
      </c>
      <c r="C2563">
        <v>4652.4151599999996</v>
      </c>
      <c r="D2563">
        <v>2.9754119999999999</v>
      </c>
      <c r="E2563">
        <f>LN(D2563/参数实验室!$E$53)/参数实验室!$E$55</f>
        <v>0.59341401744542466</v>
      </c>
      <c r="F2563">
        <f t="shared" si="338"/>
        <v>1.0723309731249711</v>
      </c>
      <c r="G2563">
        <f>LN(F2563/参数实验室!$E$58)/参数实验室!$E$59</f>
        <v>-0.15387696926304104</v>
      </c>
      <c r="H2563" s="856">
        <f>INDEX(神经网络!$G$10:$BO$70,MATCH(ROUND(G2563*2,1)/2,神经网络!$E$10:$E$70,0),MATCH(ROUND(E2563*2,1)/2,神经网络!$G$8:$BO$8,0))</f>
        <v>1.8335428682925901</v>
      </c>
      <c r="I2563">
        <f t="shared" si="340"/>
        <v>24409.976625075211</v>
      </c>
      <c r="J2563">
        <f t="shared" si="341"/>
        <v>1731.2158333665841</v>
      </c>
      <c r="K2563">
        <f t="shared" si="342"/>
        <v>14.099903752385801</v>
      </c>
      <c r="L2563" s="4">
        <f>MIN(MAX(L2562*(1+MAX(MIN(((B2563-B2562)/B2562)/($K$7*卓尔金历!$N$40),0),-卓尔金历!$M$43))+MIN(MAX(((B2563-B2562)/B2562)/($K$7*卓尔金历!$N$40),0),卓尔金历!$M$43),0),1)</f>
        <v>0.91535322609578063</v>
      </c>
      <c r="M2563" s="4">
        <f>MIN(MAX(M2562*(1+MAX(MIN(((B2563-B2562)/B2562)/($K$7*30),0),-卓尔金历!$M$43))+MIN(MAX(((B2563-B2562)/B2562)/($K$7*7),0),卓尔金历!$M$43),0),1)</f>
        <v>0.95767661304789031</v>
      </c>
      <c r="N2563">
        <f t="shared" si="343"/>
        <v>23514.378379533933</v>
      </c>
      <c r="O2563">
        <f t="shared" si="344"/>
        <v>55094.168286390355</v>
      </c>
      <c r="P2563">
        <f t="shared" si="345"/>
        <v>-5.5400582657348591E-3</v>
      </c>
      <c r="Q2563">
        <f t="shared" si="346"/>
        <v>4.3337578302442677E-2</v>
      </c>
      <c r="R2563">
        <f t="shared" si="347"/>
        <v>1</v>
      </c>
      <c r="S2563">
        <f t="shared" si="339"/>
        <v>272.84031563843678</v>
      </c>
      <c r="T2563" s="564">
        <f>IF((I2563-MAX(I$470:I2563))/MAX(I$470:I2563)&gt;T2562,T2562,(I2563-MAX(I$470:I2563))/MAX(I$470:I2563))</f>
        <v>-0.91338805338419748</v>
      </c>
      <c r="U2563" s="564">
        <f>IF((J2563-MAX(J$470:J2563))/MAX(J$470:J2563)&gt;U2562,U2562,(J2563-MAX(J$470:J2563))/MAX(J$470:J2563))</f>
        <v>-0.8283551177402233</v>
      </c>
      <c r="V2563" s="564">
        <f>IF((K2563-MAX(K$470:K2563))/MAX(K$470:K2563)&gt;V2562,V2562,(K2563-MAX(K$470:K2563))/MAX(K$470:K2563))</f>
        <v>-0.84885940676762139</v>
      </c>
      <c r="W2563" s="564">
        <f>IF((N2563-MAX(N$470:N2563))/MAX(N$470:N2563)&gt;W2562,W2562,(N2563-MAX(N$470:N2563))/MAX(N$470:N2563))</f>
        <v>-0.62788758315546067</v>
      </c>
      <c r="X2563" s="564">
        <f>IF((O2563-MAX(O$470:O2563))/MAX(O$470:O2563)&gt;X2562,X2562,(O2563-MAX(O$470:O2563))/MAX(O$470:O2563))</f>
        <v>-0.62788758315546067</v>
      </c>
    </row>
    <row r="2564" spans="1:24">
      <c r="A2564" s="799">
        <v>42966</v>
      </c>
      <c r="B2564">
        <v>4195.47</v>
      </c>
      <c r="C2564">
        <v>4687.9203969999999</v>
      </c>
      <c r="D2564">
        <v>2.9774959999999999</v>
      </c>
      <c r="E2564">
        <f>LN(D2564/参数实验室!$E$53)/参数实验室!$E$55</f>
        <v>0.59424003587570373</v>
      </c>
      <c r="F2564">
        <f t="shared" si="338"/>
        <v>1.1173766936719842</v>
      </c>
      <c r="G2564">
        <f>LN(F2564/参数实验室!$E$58)/参数实验室!$E$59</f>
        <v>-0.13227978089544876</v>
      </c>
      <c r="H2564" s="856">
        <f>INDEX(神经网络!$G$10:$BO$70,MATCH(ROUND(G2564*2,1)/2,神经网络!$E$10:$E$70,0),MATCH(ROUND(E2564*2,1)/2,神经网络!$G$8:$BO$8,0))</f>
        <v>1.8335428682925901</v>
      </c>
      <c r="I2564">
        <f t="shared" si="340"/>
        <v>22933.456090908901</v>
      </c>
      <c r="J2564">
        <f t="shared" si="341"/>
        <v>1674.1031882207399</v>
      </c>
      <c r="K2564">
        <f t="shared" si="342"/>
        <v>13.698950131791397</v>
      </c>
      <c r="L2564" s="4">
        <f>MIN(MAX(L2563*(1+MAX(MIN(((B2564-B2563)/B2563)/($K$7*卓尔金历!$N$40),0),-卓尔金历!$M$43))+MIN(MAX(((B2564-B2563)/B2563)/($K$7*卓尔金历!$N$40),0),卓尔金历!$M$43),0),1)</f>
        <v>0.45396569427001371</v>
      </c>
      <c r="M2564" s="4">
        <f>MIN(MAX(M2563*(1+MAX(MIN(((B2564-B2563)/B2563)/($K$7*30),0),-卓尔金历!$M$43))+MIN(MAX(((B2564-B2563)/B2563)/($K$7*7),0),卓尔金历!$M$43),0),1)</f>
        <v>0.71631620911613492</v>
      </c>
      <c r="N2564">
        <f t="shared" si="343"/>
        <v>22212.428258106276</v>
      </c>
      <c r="O2564">
        <f t="shared" si="344"/>
        <v>51902.655117990093</v>
      </c>
      <c r="P2564">
        <f t="shared" si="345"/>
        <v>-3.2989904577513503E-2</v>
      </c>
      <c r="Q2564">
        <f t="shared" si="346"/>
        <v>4.4948120834244876E-2</v>
      </c>
      <c r="R2564">
        <f t="shared" si="347"/>
        <v>0.36604957188931653</v>
      </c>
      <c r="S2564">
        <f t="shared" si="339"/>
        <v>256.33664032664905</v>
      </c>
      <c r="T2564" s="564">
        <f>IF((I2564-MAX(I$470:I2564))/MAX(I$470:I2564)&gt;T2563,T2563,(I2564-MAX(I$470:I2564))/MAX(I$470:I2564))</f>
        <v>-0.91338805338419748</v>
      </c>
      <c r="U2564" s="564">
        <f>IF((J2564-MAX(J$470:J2564))/MAX(J$470:J2564)&gt;U2563,U2563,(J2564-MAX(J$470:J2564))/MAX(J$470:J2564))</f>
        <v>-0.8283551177402233</v>
      </c>
      <c r="V2564" s="564">
        <f>IF((K2564-MAX(K$470:K2564))/MAX(K$470:K2564)&gt;V2563,V2563,(K2564-MAX(K$470:K2564))/MAX(K$470:K2564))</f>
        <v>-0.84885940676762139</v>
      </c>
      <c r="W2564" s="564">
        <f>IF((N2564-MAX(N$470:N2564))/MAX(N$470:N2564)&gt;W2563,W2563,(N2564-MAX(N$470:N2564))/MAX(N$470:N2564))</f>
        <v>-0.62788758315546067</v>
      </c>
      <c r="X2564" s="564">
        <f>IF((O2564-MAX(O$470:O2564))/MAX(O$470:O2564)&gt;X2563,X2563,(O2564-MAX(O$470:O2564))/MAX(O$470:O2564))</f>
        <v>-0.62788758315546067</v>
      </c>
    </row>
    <row r="2565" spans="1:24">
      <c r="A2565" s="799">
        <v>42967</v>
      </c>
      <c r="B2565">
        <v>4116.04</v>
      </c>
      <c r="C2565">
        <v>4764.3224010000004</v>
      </c>
      <c r="D2565">
        <v>2.8893230000000001</v>
      </c>
      <c r="E2565">
        <f>LN(D2565/参数实验室!$E$53)/参数实验室!$E$55</f>
        <v>0.55877611042674546</v>
      </c>
      <c r="F2565">
        <f t="shared" ref="F2565:F2628" si="348">C2565/B2565</f>
        <v>1.1575014822499297</v>
      </c>
      <c r="G2565">
        <f>LN(F2565/参数实验室!$E$58)/参数实验室!$E$59</f>
        <v>-0.11376288440716438</v>
      </c>
      <c r="H2565" s="856">
        <f>INDEX(神经网络!$G$10:$BO$70,MATCH(ROUND(G2565*2,1)/2,神经网络!$E$10:$E$70,0),MATCH(ROUND(E2565*2,1)/2,神经网络!$G$8:$BO$8,0))</f>
        <v>1.7968502729440148</v>
      </c>
      <c r="I2565">
        <f t="shared" si="340"/>
        <v>22137.361782478059</v>
      </c>
      <c r="J2565">
        <f t="shared" si="341"/>
        <v>1642.4085232033819</v>
      </c>
      <c r="K2565">
        <f t="shared" si="342"/>
        <v>13.478596506124413</v>
      </c>
      <c r="L2565" s="4">
        <f>MIN(MAX(L2564*(1+MAX(MIN(((B2565-B2564)/B2564)/($K$7*卓尔金历!$N$40),0),-卓尔金历!$M$43))+MIN(MAX(((B2565-B2564)/B2564)/($K$7*卓尔金历!$N$40),0),卓尔金历!$M$43),0),1)</f>
        <v>0.32264805826840526</v>
      </c>
      <c r="M2565" s="4">
        <f>MIN(MAX(M2564*(1+MAX(MIN(((B2565-B2564)/B2564)/($K$7*30),0),-卓尔金历!$M$43))+MIN(MAX(((B2565-B2564)/B2564)/($K$7*7),0),卓尔金历!$M$43),0),1)</f>
        <v>0.61271261924353115</v>
      </c>
      <c r="N2565">
        <f t="shared" si="343"/>
        <v>21862.391152705135</v>
      </c>
      <c r="O2565">
        <f t="shared" si="344"/>
        <v>50612.061941720101</v>
      </c>
      <c r="P2565">
        <f t="shared" si="345"/>
        <v>-1.8932324626323223E-2</v>
      </c>
      <c r="Q2565">
        <f t="shared" si="346"/>
        <v>4.4285196242465866E-2</v>
      </c>
      <c r="R2565">
        <f t="shared" si="347"/>
        <v>0.93292381284487957</v>
      </c>
      <c r="S2565">
        <f t="shared" si="339"/>
        <v>253.07943150753883</v>
      </c>
      <c r="T2565" s="564">
        <f>IF((I2565-MAX(I$470:I2565))/MAX(I$470:I2565)&gt;T2564,T2564,(I2565-MAX(I$470:I2565))/MAX(I$470:I2565))</f>
        <v>-0.91338805338419748</v>
      </c>
      <c r="U2565" s="564">
        <f>IF((J2565-MAX(J$470:J2565))/MAX(J$470:J2565)&gt;U2564,U2564,(J2565-MAX(J$470:J2565))/MAX(J$470:J2565))</f>
        <v>-0.8283551177402233</v>
      </c>
      <c r="V2565" s="564">
        <f>IF((K2565-MAX(K$470:K2565))/MAX(K$470:K2565)&gt;V2564,V2564,(K2565-MAX(K$470:K2565))/MAX(K$470:K2565))</f>
        <v>-0.84885940676762139</v>
      </c>
      <c r="W2565" s="564">
        <f>IF((N2565-MAX(N$470:N2565))/MAX(N$470:N2565)&gt;W2564,W2564,(N2565-MAX(N$470:N2565))/MAX(N$470:N2565))</f>
        <v>-0.62788758315546067</v>
      </c>
      <c r="X2565" s="564">
        <f>IF((O2565-MAX(O$470:O2565))/MAX(O$470:O2565)&gt;X2564,X2564,(O2565-MAX(O$470:O2565))/MAX(O$470:O2565))</f>
        <v>-0.62788758315546067</v>
      </c>
    </row>
    <row r="2566" spans="1:24">
      <c r="A2566" s="799">
        <v>42968</v>
      </c>
      <c r="B2566">
        <v>4102.66</v>
      </c>
      <c r="C2566">
        <v>4910.5381820000002</v>
      </c>
      <c r="D2566">
        <v>2.8086639999999998</v>
      </c>
      <c r="E2566">
        <f>LN(D2566/参数实验室!$E$53)/参数实验室!$E$55</f>
        <v>0.52537341094930123</v>
      </c>
      <c r="F2566">
        <f t="shared" si="348"/>
        <v>1.1969157039579201</v>
      </c>
      <c r="G2566">
        <f>LN(F2566/参数实验室!$E$58)/参数实验室!$E$59</f>
        <v>-9.618855941562264E-2</v>
      </c>
      <c r="H2566" s="856">
        <f>INDEX(神经网络!$G$10:$BO$70,MATCH(ROUND(G2566*2,1)/2,神经网络!$E$10:$E$70,0),MATCH(ROUND(E2566*2,1)/2,神经网络!$G$8:$BO$8,0))</f>
        <v>1.7968502729440148</v>
      </c>
      <c r="I2566">
        <f t="shared" si="340"/>
        <v>22008.057091894974</v>
      </c>
      <c r="J2566">
        <f t="shared" si="341"/>
        <v>1637.0695502972728</v>
      </c>
      <c r="K2566">
        <f t="shared" si="342"/>
        <v>13.443568776841868</v>
      </c>
      <c r="L2566" s="4">
        <f>MIN(MAX(L2565*(1+MAX(MIN(((B2566-B2565)/B2565)/($K$7*卓尔金历!$N$40),0),-卓尔金历!$M$43))+MIN(MAX(((B2566-B2565)/B2565)/($K$7*卓尔金历!$N$40),0),卓尔金历!$M$43),0),1)</f>
        <v>0.30662292458768137</v>
      </c>
      <c r="M2566" s="4">
        <f>MIN(MAX(M2565*(1+MAX(MIN(((B2566-B2565)/B2565)/($K$7*30),0),-卓尔金历!$M$43))+MIN(MAX(((B2566-B2565)/B2565)/($K$7*7),0),卓尔金历!$M$43),0),1)</f>
        <v>0.59749665655660245</v>
      </c>
      <c r="N2566">
        <f t="shared" si="343"/>
        <v>21821.189452966944</v>
      </c>
      <c r="O2566">
        <f t="shared" si="344"/>
        <v>50430.928235816413</v>
      </c>
      <c r="P2566">
        <f t="shared" si="345"/>
        <v>-3.2506972721353801E-3</v>
      </c>
      <c r="Q2566">
        <f t="shared" si="346"/>
        <v>4.4580777611566695E-2</v>
      </c>
      <c r="R2566">
        <f t="shared" si="347"/>
        <v>1</v>
      </c>
      <c r="S2566">
        <f t="shared" si="339"/>
        <v>251.70034520311964</v>
      </c>
      <c r="T2566" s="564">
        <f>IF((I2566-MAX(I$470:I2566))/MAX(I$470:I2566)&gt;T2565,T2565,(I2566-MAX(I$470:I2566))/MAX(I$470:I2566))</f>
        <v>-0.91338805338419748</v>
      </c>
      <c r="U2566" s="564">
        <f>IF((J2566-MAX(J$470:J2566))/MAX(J$470:J2566)&gt;U2565,U2565,(J2566-MAX(J$470:J2566))/MAX(J$470:J2566))</f>
        <v>-0.8283551177402233</v>
      </c>
      <c r="V2566" s="564">
        <f>IF((K2566-MAX(K$470:K2566))/MAX(K$470:K2566)&gt;V2565,V2565,(K2566-MAX(K$470:K2566))/MAX(K$470:K2566))</f>
        <v>-0.84885940676762139</v>
      </c>
      <c r="W2566" s="564">
        <f>IF((N2566-MAX(N$470:N2566))/MAX(N$470:N2566)&gt;W2565,W2565,(N2566-MAX(N$470:N2566))/MAX(N$470:N2566))</f>
        <v>-0.62788758315546067</v>
      </c>
      <c r="X2566" s="564">
        <f>IF((O2566-MAX(O$470:O2566))/MAX(O$470:O2566)&gt;X2565,X2565,(O2566-MAX(O$470:O2566))/MAX(O$470:O2566))</f>
        <v>-0.62788758315546067</v>
      </c>
    </row>
    <row r="2567" spans="1:24">
      <c r="A2567" s="799">
        <v>42969</v>
      </c>
      <c r="B2567">
        <v>3889.24</v>
      </c>
      <c r="C2567">
        <v>5194.6909210000003</v>
      </c>
      <c r="D2567">
        <v>2.8420299999999998</v>
      </c>
      <c r="E2567">
        <f>LN(D2567/参数实验室!$E$53)/参数实验室!$E$55</f>
        <v>0.53930589578566779</v>
      </c>
      <c r="F2567">
        <f t="shared" si="348"/>
        <v>1.3356570746469749</v>
      </c>
      <c r="G2567">
        <f>LN(F2567/参数实验室!$E$58)/参数实验室!$E$59</f>
        <v>-3.8625003201096755E-2</v>
      </c>
      <c r="H2567" s="856">
        <f>INDEX(神经网络!$G$10:$BO$70,MATCH(ROUND(G2567*2,1)/2,神经网络!$E$10:$E$70,0),MATCH(ROUND(E2567*2,1)/2,神经网络!$G$8:$BO$8,0))</f>
        <v>1.8346866475134445</v>
      </c>
      <c r="I2567">
        <f t="shared" si="340"/>
        <v>19950.920249057483</v>
      </c>
      <c r="J2567">
        <f t="shared" si="341"/>
        <v>1551.9093412074521</v>
      </c>
      <c r="K2567">
        <f t="shared" si="342"/>
        <v>12.855725343810876</v>
      </c>
      <c r="L2567" s="4">
        <f>MIN(MAX(L2566*(1+MAX(MIN(((B2567-B2566)/B2566)/($K$7*卓尔金历!$N$40),0),-卓尔金历!$M$43))+MIN(MAX(((B2567-B2566)/B2566)/($K$7*卓尔金历!$N$40),0),卓尔金历!$M$43),0),1)</f>
        <v>6.2914642398931853E-2</v>
      </c>
      <c r="M2567" s="4">
        <f>MIN(MAX(M2566*(1+MAX(MIN(((B2567-B2566)/B2566)/($K$7*30),0),-卓尔金历!$M$43))+MIN(MAX(((B2567-B2566)/B2566)/($K$7*7),0),卓尔金历!$M$43),0),1)</f>
        <v>0.36004721604470907</v>
      </c>
      <c r="N2567">
        <f t="shared" si="343"/>
        <v>21195.779886728898</v>
      </c>
      <c r="O2567">
        <f t="shared" si="344"/>
        <v>47614.401230481082</v>
      </c>
      <c r="P2567">
        <f t="shared" si="345"/>
        <v>-5.2019909034626333E-2</v>
      </c>
      <c r="Q2567">
        <f t="shared" si="346"/>
        <v>4.6913671159908854E-2</v>
      </c>
      <c r="R2567">
        <f t="shared" si="347"/>
        <v>3.9974808361822711E-2</v>
      </c>
      <c r="S2567">
        <f t="shared" si="339"/>
        <v>228.17341362027952</v>
      </c>
      <c r="T2567" s="564">
        <f>IF((I2567-MAX(I$470:I2567))/MAX(I$470:I2567)&gt;T2566,T2566,(I2567-MAX(I$470:I2567))/MAX(I$470:I2567))</f>
        <v>-0.91338805338419748</v>
      </c>
      <c r="U2567" s="564">
        <f>IF((J2567-MAX(J$470:J2567))/MAX(J$470:J2567)&gt;U2566,U2566,(J2567-MAX(J$470:J2567))/MAX(J$470:J2567))</f>
        <v>-0.8283551177402233</v>
      </c>
      <c r="V2567" s="564">
        <f>IF((K2567-MAX(K$470:K2567))/MAX(K$470:K2567)&gt;V2566,V2566,(K2567-MAX(K$470:K2567))/MAX(K$470:K2567))</f>
        <v>-0.84885940676762139</v>
      </c>
      <c r="W2567" s="564">
        <f>IF((N2567-MAX(N$470:N2567))/MAX(N$470:N2567)&gt;W2566,W2566,(N2567-MAX(N$470:N2567))/MAX(N$470:N2567))</f>
        <v>-0.62788758315546067</v>
      </c>
      <c r="X2567" s="564">
        <f>IF((O2567-MAX(O$470:O2567))/MAX(O$470:O2567)&gt;X2566,X2566,(O2567-MAX(O$470:O2567))/MAX(O$470:O2567))</f>
        <v>-0.62788758315546067</v>
      </c>
    </row>
    <row r="2568" spans="1:24">
      <c r="A2568" s="799">
        <v>42970</v>
      </c>
      <c r="B2568">
        <v>4090.11</v>
      </c>
      <c r="C2568">
        <v>5264.5620200000003</v>
      </c>
      <c r="D2568">
        <v>2.8648449999999999</v>
      </c>
      <c r="E2568">
        <f>LN(D2568/参数实验室!$E$53)/参数实验室!$E$55</f>
        <v>0.54873880386856944</v>
      </c>
      <c r="F2568">
        <f t="shared" si="348"/>
        <v>1.2871443604206245</v>
      </c>
      <c r="G2568">
        <f>LN(F2568/参数实验室!$E$58)/参数实验室!$E$59</f>
        <v>-5.8043170484319798E-2</v>
      </c>
      <c r="H2568" s="856">
        <f>INDEX(神经网络!$G$10:$BO$70,MATCH(ROUND(G2568*2,1)/2,神经网络!$E$10:$E$70,0),MATCH(ROUND(E2568*2,1)/2,神经网络!$G$8:$BO$8,0))</f>
        <v>1.8346866475134445</v>
      </c>
      <c r="I2568">
        <f t="shared" si="340"/>
        <v>21841.413662934894</v>
      </c>
      <c r="J2568">
        <f t="shared" si="341"/>
        <v>1632.061769282948</v>
      </c>
      <c r="K2568">
        <f t="shared" si="342"/>
        <v>13.382712636257018</v>
      </c>
      <c r="L2568" s="4">
        <f>MIN(MAX(L2567*(1+MAX(MIN(((B2568-B2567)/B2567)/($K$7*卓尔金历!$N$40),0),-卓尔金历!$M$43))+MIN(MAX(((B2568-B2567)/B2567)/($K$7*卓尔金历!$N$40),0),卓尔金历!$M$43),0),1)</f>
        <v>0.85204075430794601</v>
      </c>
      <c r="M2568" s="4">
        <f>MIN(MAX(M2567*(1+MAX(MIN(((B2568-B2567)/B2567)/($K$7*30),0),-卓尔金历!$M$43))+MIN(MAX(((B2568-B2567)/B2567)/($K$7*7),0),卓尔金历!$M$43),0),1)</f>
        <v>1</v>
      </c>
      <c r="N2568">
        <f t="shared" si="343"/>
        <v>21322.140978437597</v>
      </c>
      <c r="O2568">
        <f t="shared" si="344"/>
        <v>49238.864965966808</v>
      </c>
      <c r="P2568">
        <f t="shared" si="345"/>
        <v>5.1647622671781725E-2</v>
      </c>
      <c r="Q2568">
        <f t="shared" si="346"/>
        <v>4.4835003884107202E-2</v>
      </c>
      <c r="R2568">
        <f t="shared" si="347"/>
        <v>4.027749800211404E-2</v>
      </c>
      <c r="S2568">
        <f t="shared" si="339"/>
        <v>229.03771193524858</v>
      </c>
      <c r="T2568" s="564">
        <f>IF((I2568-MAX(I$470:I2568))/MAX(I$470:I2568)&gt;T2567,T2567,(I2568-MAX(I$470:I2568))/MAX(I$470:I2568))</f>
        <v>-0.91338805338419748</v>
      </c>
      <c r="U2568" s="564">
        <f>IF((J2568-MAX(J$470:J2568))/MAX(J$470:J2568)&gt;U2567,U2567,(J2568-MAX(J$470:J2568))/MAX(J$470:J2568))</f>
        <v>-0.8283551177402233</v>
      </c>
      <c r="V2568" s="564">
        <f>IF((K2568-MAX(K$470:K2568))/MAX(K$470:K2568)&gt;V2567,V2567,(K2568-MAX(K$470:K2568))/MAX(K$470:K2568))</f>
        <v>-0.84885940676762139</v>
      </c>
      <c r="W2568" s="564">
        <f>IF((N2568-MAX(N$470:N2568))/MAX(N$470:N2568)&gt;W2567,W2567,(N2568-MAX(N$470:N2568))/MAX(N$470:N2568))</f>
        <v>-0.62788758315546067</v>
      </c>
      <c r="X2568" s="564">
        <f>IF((O2568-MAX(O$470:O2568))/MAX(O$470:O2568)&gt;X2567,X2567,(O2568-MAX(O$470:O2568))/MAX(O$470:O2568))</f>
        <v>-0.62788758315546067</v>
      </c>
    </row>
    <row r="2569" spans="1:24">
      <c r="A2569" s="799">
        <v>42971</v>
      </c>
      <c r="B2569">
        <v>4141.83</v>
      </c>
      <c r="C2569">
        <v>5438.9466780000002</v>
      </c>
      <c r="D2569">
        <v>2.9678079999999998</v>
      </c>
      <c r="E2569">
        <f>LN(D2569/参数实验室!$E$53)/参数实验室!$E$55</f>
        <v>0.59039516619570842</v>
      </c>
      <c r="F2569">
        <f t="shared" si="348"/>
        <v>1.3131747749183333</v>
      </c>
      <c r="G2569">
        <f>LN(F2569/参数实验室!$E$58)/参数实验室!$E$59</f>
        <v>-4.7534749042023421E-2</v>
      </c>
      <c r="H2569" s="856">
        <f>INDEX(神经网络!$G$10:$BO$70,MATCH(ROUND(G2569*2,1)/2,神经网络!$E$10:$E$70,0),MATCH(ROUND(E2569*2,1)/2,神经网络!$G$8:$BO$8,0))</f>
        <v>1.901613979957405</v>
      </c>
      <c r="I2569">
        <f t="shared" si="340"/>
        <v>22348.131477010251</v>
      </c>
      <c r="J2569">
        <f t="shared" si="341"/>
        <v>1652.6994134312263</v>
      </c>
      <c r="K2569">
        <f t="shared" si="342"/>
        <v>13.522199678532301</v>
      </c>
      <c r="L2569" s="4">
        <f>MIN(MAX(L2568*(1+MAX(MIN(((B2569-B2568)/B2568)/($K$7*卓尔金历!$N$40),0),-卓尔金历!$M$43))+MIN(MAX(((B2569-B2568)/B2568)/($K$7*卓尔金历!$N$40),0),卓尔金历!$M$43),0),1)</f>
        <v>1</v>
      </c>
      <c r="M2569" s="4">
        <f>MIN(MAX(M2568*(1+MAX(MIN(((B2569-B2568)/B2568)/($K$7*30),0),-卓尔金历!$M$43))+MIN(MAX(((B2569-B2568)/B2568)/($K$7*7),0),卓尔金历!$M$43),0),1)</f>
        <v>1</v>
      </c>
      <c r="N2569">
        <f t="shared" si="343"/>
        <v>21743.620624825195</v>
      </c>
      <c r="O2569">
        <f t="shared" si="344"/>
        <v>50381.199908573893</v>
      </c>
      <c r="P2569">
        <f t="shared" si="345"/>
        <v>1.2645136683365435E-2</v>
      </c>
      <c r="Q2569">
        <f t="shared" si="346"/>
        <v>4.4762249321261077E-2</v>
      </c>
      <c r="R2569">
        <f t="shared" si="347"/>
        <v>1</v>
      </c>
      <c r="S2569">
        <f t="shared" si="339"/>
        <v>229.25173220622091</v>
      </c>
      <c r="T2569" s="564">
        <f>IF((I2569-MAX(I$470:I2569))/MAX(I$470:I2569)&gt;T2568,T2568,(I2569-MAX(I$470:I2569))/MAX(I$470:I2569))</f>
        <v>-0.91338805338419748</v>
      </c>
      <c r="U2569" s="564">
        <f>IF((J2569-MAX(J$470:J2569))/MAX(J$470:J2569)&gt;U2568,U2568,(J2569-MAX(J$470:J2569))/MAX(J$470:J2569))</f>
        <v>-0.8283551177402233</v>
      </c>
      <c r="V2569" s="564">
        <f>IF((K2569-MAX(K$470:K2569))/MAX(K$470:K2569)&gt;V2568,V2568,(K2569-MAX(K$470:K2569))/MAX(K$470:K2569))</f>
        <v>-0.84885940676762139</v>
      </c>
      <c r="W2569" s="564">
        <f>IF((N2569-MAX(N$470:N2569))/MAX(N$470:N2569)&gt;W2568,W2568,(N2569-MAX(N$470:N2569))/MAX(N$470:N2569))</f>
        <v>-0.62788758315546067</v>
      </c>
      <c r="X2569" s="564">
        <f>IF((O2569-MAX(O$470:O2569))/MAX(O$470:O2569)&gt;X2568,X2568,(O2569-MAX(O$470:O2569))/MAX(O$470:O2569))</f>
        <v>-0.62788758315546067</v>
      </c>
    </row>
    <row r="2570" spans="1:24">
      <c r="A2570" s="799">
        <v>42972</v>
      </c>
      <c r="B2570">
        <v>4388.95</v>
      </c>
      <c r="C2570">
        <v>5617.1587760000002</v>
      </c>
      <c r="D2570">
        <v>2.967517</v>
      </c>
      <c r="E2570">
        <f>LN(D2570/参数实验室!$E$53)/参数实验室!$E$55</f>
        <v>0.59027948316427525</v>
      </c>
      <c r="F2570">
        <f t="shared" si="348"/>
        <v>1.2798411410474033</v>
      </c>
      <c r="G2570">
        <f>LN(F2570/参数实验室!$E$58)/参数实验室!$E$59</f>
        <v>-6.1029657595851022E-2</v>
      </c>
      <c r="H2570" s="856">
        <f>INDEX(神经网络!$G$10:$BO$70,MATCH(ROUND(G2570*2,1)/2,神经网络!$E$10:$E$70,0),MATCH(ROUND(E2570*2,1)/2,神经网络!$G$8:$BO$8,0))</f>
        <v>1.901613979957405</v>
      </c>
      <c r="I2570">
        <f t="shared" si="340"/>
        <v>24883.722497219551</v>
      </c>
      <c r="J2570">
        <f t="shared" si="341"/>
        <v>1751.3068113802306</v>
      </c>
      <c r="K2570">
        <f t="shared" si="342"/>
        <v>14.208659690878678</v>
      </c>
      <c r="L2570" s="4">
        <f>MIN(MAX(L2569*(1+MAX(MIN(((B2570-B2569)/B2569)/($K$7*卓尔金历!$N$40),0),-卓尔金历!$M$43))+MIN(MAX(((B2570-B2569)/B2569)/($K$7*卓尔金历!$N$40),0),卓尔金历!$M$43),0),1)</f>
        <v>1</v>
      </c>
      <c r="M2570" s="4">
        <f>MIN(MAX(M2569*(1+MAX(MIN(((B2570-B2569)/B2569)/($K$7*30),0),-卓尔金历!$M$43))+MIN(MAX(((B2570-B2569)/B2569)/($K$7*7),0),卓尔金历!$M$43),0),1)</f>
        <v>1</v>
      </c>
      <c r="N2570">
        <f t="shared" si="343"/>
        <v>24210.624600520448</v>
      </c>
      <c r="O2570">
        <f t="shared" si="344"/>
        <v>56097.387778998913</v>
      </c>
      <c r="P2570">
        <f t="shared" si="345"/>
        <v>5.966444784068875E-2</v>
      </c>
      <c r="Q2570">
        <f t="shared" si="346"/>
        <v>4.5438012208134163E-2</v>
      </c>
      <c r="R2570">
        <f t="shared" si="347"/>
        <v>3.2569581023280073E-2</v>
      </c>
      <c r="S2570">
        <f t="shared" si="339"/>
        <v>255.26234674674743</v>
      </c>
      <c r="T2570" s="564">
        <f>IF((I2570-MAX(I$470:I2570))/MAX(I$470:I2570)&gt;T2569,T2569,(I2570-MAX(I$470:I2570))/MAX(I$470:I2570))</f>
        <v>-0.91338805338419748</v>
      </c>
      <c r="U2570" s="564">
        <f>IF((J2570-MAX(J$470:J2570))/MAX(J$470:J2570)&gt;U2569,U2569,(J2570-MAX(J$470:J2570))/MAX(J$470:J2570))</f>
        <v>-0.8283551177402233</v>
      </c>
      <c r="V2570" s="564">
        <f>IF((K2570-MAX(K$470:K2570))/MAX(K$470:K2570)&gt;V2569,V2569,(K2570-MAX(K$470:K2570))/MAX(K$470:K2570))</f>
        <v>-0.84885940676762139</v>
      </c>
      <c r="W2570" s="564">
        <f>IF((N2570-MAX(N$470:N2570))/MAX(N$470:N2570)&gt;W2569,W2569,(N2570-MAX(N$470:N2570))/MAX(N$470:N2570))</f>
        <v>-0.62788758315546067</v>
      </c>
      <c r="X2570" s="564">
        <f>IF((O2570-MAX(O$470:O2570))/MAX(O$470:O2570)&gt;X2569,X2569,(O2570-MAX(O$470:O2570))/MAX(O$470:O2570))</f>
        <v>-0.62788758315546067</v>
      </c>
    </row>
    <row r="2571" spans="1:24">
      <c r="A2571" s="799">
        <v>42973</v>
      </c>
      <c r="B2571">
        <v>4371.6000000000004</v>
      </c>
      <c r="C2571">
        <v>5815.5916049999996</v>
      </c>
      <c r="D2571">
        <v>2.943486</v>
      </c>
      <c r="E2571">
        <f>LN(D2571/参数实验室!$E$53)/参数实验室!$E$55</f>
        <v>0.5806869296159195</v>
      </c>
      <c r="F2571">
        <f t="shared" si="348"/>
        <v>1.3303119235520173</v>
      </c>
      <c r="G2571">
        <f>LN(F2571/参数实验室!$E$58)/参数实验室!$E$59</f>
        <v>-4.0729624765790465E-2</v>
      </c>
      <c r="H2571" s="856">
        <f>INDEX(神经网络!$G$10:$BO$70,MATCH(ROUND(G2571*2,1)/2,神经网络!$E$10:$E$70,0),MATCH(ROUND(E2571*2,1)/2,神经网络!$G$8:$BO$8,0))</f>
        <v>1.901613979957405</v>
      </c>
      <c r="I2571">
        <f t="shared" si="340"/>
        <v>24696.664380845363</v>
      </c>
      <c r="J2571">
        <f t="shared" si="341"/>
        <v>1744.3837037628173</v>
      </c>
      <c r="K2571">
        <f t="shared" si="342"/>
        <v>14.157816498498631</v>
      </c>
      <c r="L2571" s="4">
        <f>MIN(MAX(L2570*(1+MAX(MIN(((B2571-B2570)/B2570)/($K$7*卓尔金历!$N$40),0),-卓尔金历!$M$43))+MIN(MAX(((B2571-B2570)/B2570)/($K$7*卓尔金历!$N$40),0),卓尔金历!$M$43),0),1)</f>
        <v>0.93960028014661612</v>
      </c>
      <c r="M2571" s="4">
        <f>MIN(MAX(M2570*(1+MAX(MIN(((B2571-B2570)/B2570)/($K$7*30),0),-卓尔金历!$M$43))+MIN(MAX(((B2571-B2570)/B2570)/($K$7*7),0),卓尔金历!$M$43),0),1)</f>
        <v>0.96980014007330806</v>
      </c>
      <c r="N2571">
        <f t="shared" si="343"/>
        <v>24028.626355100296</v>
      </c>
      <c r="O2571">
        <f t="shared" si="344"/>
        <v>55675.687541318461</v>
      </c>
      <c r="P2571">
        <f t="shared" si="345"/>
        <v>-3.9531095136648752E-3</v>
      </c>
      <c r="Q2571">
        <f t="shared" si="346"/>
        <v>4.5780087649725715E-2</v>
      </c>
      <c r="R2571">
        <f t="shared" si="347"/>
        <v>1</v>
      </c>
      <c r="S2571">
        <f t="shared" si="339"/>
        <v>255.19984960772882</v>
      </c>
      <c r="T2571" s="564">
        <f>IF((I2571-MAX(I$470:I2571))/MAX(I$470:I2571)&gt;T2570,T2570,(I2571-MAX(I$470:I2571))/MAX(I$470:I2571))</f>
        <v>-0.91338805338419748</v>
      </c>
      <c r="U2571" s="564">
        <f>IF((J2571-MAX(J$470:J2571))/MAX(J$470:J2571)&gt;U2570,U2570,(J2571-MAX(J$470:J2571))/MAX(J$470:J2571))</f>
        <v>-0.8283551177402233</v>
      </c>
      <c r="V2571" s="564">
        <f>IF((K2571-MAX(K$470:K2571))/MAX(K$470:K2571)&gt;V2570,V2570,(K2571-MAX(K$470:K2571))/MAX(K$470:K2571))</f>
        <v>-0.84885940676762139</v>
      </c>
      <c r="W2571" s="564">
        <f>IF((N2571-MAX(N$470:N2571))/MAX(N$470:N2571)&gt;W2570,W2570,(N2571-MAX(N$470:N2571))/MAX(N$470:N2571))</f>
        <v>-0.62788758315546067</v>
      </c>
      <c r="X2571" s="564">
        <f>IF((O2571-MAX(O$470:O2571))/MAX(O$470:O2571)&gt;X2570,X2570,(O2571-MAX(O$470:O2571))/MAX(O$470:O2571))</f>
        <v>-0.62788758315546067</v>
      </c>
    </row>
    <row r="2572" spans="1:24">
      <c r="A2572" s="799">
        <v>42974</v>
      </c>
      <c r="B2572">
        <v>4317.29</v>
      </c>
      <c r="C2572">
        <v>5797.240562</v>
      </c>
      <c r="D2572">
        <v>2.931162</v>
      </c>
      <c r="E2572">
        <f>LN(D2572/参数实验室!$E$53)/参数实验室!$E$55</f>
        <v>0.57573708400565715</v>
      </c>
      <c r="F2572">
        <f t="shared" si="348"/>
        <v>1.3427961897393967</v>
      </c>
      <c r="G2572">
        <f>LN(F2572/参数实验室!$E$58)/参数实验室!$E$59</f>
        <v>-3.5827118060905487E-2</v>
      </c>
      <c r="H2572" s="856">
        <f>INDEX(神经网络!$G$10:$BO$70,MATCH(ROUND(G2572*2,1)/2,神经网络!$E$10:$E$70,0),MATCH(ROUND(E2572*2,1)/2,神经网络!$G$8:$BO$8,0))</f>
        <v>1.901613979957405</v>
      </c>
      <c r="I2572">
        <f t="shared" si="340"/>
        <v>24113.219213601733</v>
      </c>
      <c r="J2572">
        <f t="shared" si="341"/>
        <v>1722.7125813016225</v>
      </c>
      <c r="K2572">
        <f t="shared" si="342"/>
        <v>13.997238700946045</v>
      </c>
      <c r="L2572" s="4">
        <f>MIN(MAX(L2571*(1+MAX(MIN(((B2572-B2571)/B2571)/($K$7*卓尔金历!$N$40),0),-卓尔金历!$M$43))+MIN(MAX(((B2572-B2571)/B2571)/($K$7*卓尔金历!$N$40),0),卓尔金历!$M$43),0),1)</f>
        <v>0.7612480264568392</v>
      </c>
      <c r="M2572" s="4">
        <f>MIN(MAX(M2571*(1+MAX(MIN(((B2572-B2571)/B2571)/($K$7*30),0),-卓尔金历!$M$43))+MIN(MAX(((B2572-B2571)/B2571)/($K$7*7),0),卓尔金历!$M$43),0),1)</f>
        <v>0.87775778745515742</v>
      </c>
      <c r="N2572">
        <f t="shared" si="343"/>
        <v>23495.249914580894</v>
      </c>
      <c r="O2572">
        <f t="shared" si="344"/>
        <v>54400.102027978908</v>
      </c>
      <c r="P2572">
        <f t="shared" si="345"/>
        <v>-1.2423369018208527E-2</v>
      </c>
      <c r="Q2572">
        <f t="shared" si="346"/>
        <v>3.8498134350938192E-2</v>
      </c>
      <c r="R2572">
        <f t="shared" si="347"/>
        <v>1</v>
      </c>
      <c r="S2572">
        <f t="shared" si="339"/>
        <v>249.17089295840847</v>
      </c>
      <c r="T2572" s="564">
        <f>IF((I2572-MAX(I$470:I2572))/MAX(I$470:I2572)&gt;T2571,T2571,(I2572-MAX(I$470:I2572))/MAX(I$470:I2572))</f>
        <v>-0.91338805338419748</v>
      </c>
      <c r="U2572" s="564">
        <f>IF((J2572-MAX(J$470:J2572))/MAX(J$470:J2572)&gt;U2571,U2571,(J2572-MAX(J$470:J2572))/MAX(J$470:J2572))</f>
        <v>-0.8283551177402233</v>
      </c>
      <c r="V2572" s="564">
        <f>IF((K2572-MAX(K$470:K2572))/MAX(K$470:K2572)&gt;V2571,V2571,(K2572-MAX(K$470:K2572))/MAX(K$470:K2572))</f>
        <v>-0.84885940676762139</v>
      </c>
      <c r="W2572" s="564">
        <f>IF((N2572-MAX(N$470:N2572))/MAX(N$470:N2572)&gt;W2571,W2571,(N2572-MAX(N$470:N2572))/MAX(N$470:N2572))</f>
        <v>-0.62788758315546067</v>
      </c>
      <c r="X2572" s="564">
        <f>IF((O2572-MAX(O$470:O2572))/MAX(O$470:O2572)&gt;X2571,X2571,(O2572-MAX(O$470:O2572))/MAX(O$470:O2572))</f>
        <v>-0.62788758315546067</v>
      </c>
    </row>
    <row r="2573" spans="1:24">
      <c r="A2573" s="799">
        <v>42975</v>
      </c>
      <c r="B2573">
        <v>4318.6499999999996</v>
      </c>
      <c r="C2573">
        <v>5915.3010599999998</v>
      </c>
      <c r="D2573">
        <v>2.9336530000000001</v>
      </c>
      <c r="E2573">
        <f>LN(D2573/参数实验室!$E$53)/参数实验室!$E$55</f>
        <v>0.57673925219253219</v>
      </c>
      <c r="F2573">
        <f t="shared" si="348"/>
        <v>1.3697106873675802</v>
      </c>
      <c r="G2573">
        <f>LN(F2573/参数实验室!$E$58)/参数实验室!$E$59</f>
        <v>-2.5411183904445557E-2</v>
      </c>
      <c r="H2573" s="856">
        <f>INDEX(神经网络!$G$10:$BO$70,MATCH(ROUND(G2573*2,1)/2,神经网络!$E$10:$E$70,0),MATCH(ROUND(E2573*2,1)/2,神经网络!$G$8:$BO$8,0))</f>
        <v>1.901613979957405</v>
      </c>
      <c r="I2573">
        <f t="shared" si="340"/>
        <v>24127.663804368476</v>
      </c>
      <c r="J2573">
        <f t="shared" si="341"/>
        <v>1723.2552571724973</v>
      </c>
      <c r="K2573">
        <f t="shared" si="342"/>
        <v>14.001212939258311</v>
      </c>
      <c r="L2573" s="4">
        <f>MIN(MAX(L2572*(1+MAX(MIN(((B2573-B2572)/B2572)/($K$7*卓尔金历!$N$40),0),-卓尔金历!$M$43))+MIN(MAX(((B2573-B2572)/B2572)/($K$7*卓尔金历!$N$40),0),卓尔金历!$M$43),0),1)</f>
        <v>0.76606111404317845</v>
      </c>
      <c r="M2573" s="4">
        <f>MIN(MAX(M2572*(1+MAX(MIN(((B2573-B2572)/B2572)/($K$7*30),0),-卓尔金历!$M$43))+MIN(MAX(((B2573-B2572)/B2572)/($K$7*7),0),卓尔金历!$M$43),0),1)</f>
        <v>0.88807154656874143</v>
      </c>
      <c r="N2573">
        <f t="shared" si="343"/>
        <v>23505.964029407412</v>
      </c>
      <c r="O2573">
        <f t="shared" si="344"/>
        <v>54428.705875438456</v>
      </c>
      <c r="P2573">
        <f t="shared" si="345"/>
        <v>3.1501242677690693E-4</v>
      </c>
      <c r="Q2573">
        <f t="shared" si="346"/>
        <v>3.7914521642725948E-2</v>
      </c>
      <c r="R2573">
        <f t="shared" si="347"/>
        <v>1</v>
      </c>
      <c r="S2573">
        <f t="shared" si="339"/>
        <v>249.32015430538522</v>
      </c>
      <c r="T2573" s="564">
        <f>IF((I2573-MAX(I$470:I2573))/MAX(I$470:I2573)&gt;T2572,T2572,(I2573-MAX(I$470:I2573))/MAX(I$470:I2573))</f>
        <v>-0.91338805338419748</v>
      </c>
      <c r="U2573" s="564">
        <f>IF((J2573-MAX(J$470:J2573))/MAX(J$470:J2573)&gt;U2572,U2572,(J2573-MAX(J$470:J2573))/MAX(J$470:J2573))</f>
        <v>-0.8283551177402233</v>
      </c>
      <c r="V2573" s="564">
        <f>IF((K2573-MAX(K$470:K2573))/MAX(K$470:K2573)&gt;V2572,V2572,(K2573-MAX(K$470:K2573))/MAX(K$470:K2573))</f>
        <v>-0.84885940676762139</v>
      </c>
      <c r="W2573" s="564">
        <f>IF((N2573-MAX(N$470:N2573))/MAX(N$470:N2573)&gt;W2572,W2572,(N2573-MAX(N$470:N2573))/MAX(N$470:N2573))</f>
        <v>-0.62788758315546067</v>
      </c>
      <c r="X2573" s="564">
        <f>IF((O2573-MAX(O$470:O2573))/MAX(O$470:O2573)&gt;X2572,X2572,(O2573-MAX(O$470:O2573))/MAX(O$470:O2573))</f>
        <v>-0.62788758315546067</v>
      </c>
    </row>
    <row r="2574" spans="1:24">
      <c r="A2574" s="799">
        <v>42976</v>
      </c>
      <c r="B2574">
        <v>4390.45</v>
      </c>
      <c r="C2574">
        <v>5909.0201530000004</v>
      </c>
      <c r="D2574">
        <v>3.038754</v>
      </c>
      <c r="E2574">
        <f>LN(D2574/参数实验室!$E$53)/参数实验室!$E$55</f>
        <v>0.61826557400362681</v>
      </c>
      <c r="F2574">
        <f t="shared" si="348"/>
        <v>1.3458802976915807</v>
      </c>
      <c r="G2574">
        <f>LN(F2574/参数实验室!$E$58)/参数实验室!$E$59</f>
        <v>-3.4623025827776328E-2</v>
      </c>
      <c r="H2574" s="856">
        <f>INDEX(神经网络!$G$10:$BO$70,MATCH(ROUND(G2574*2,1)/2,神经网络!$E$10:$E$70,0),MATCH(ROUND(E2574*2,1)/2,神经网络!$G$8:$BO$8,0))</f>
        <v>1.901613979957405</v>
      </c>
      <c r="I2574">
        <f t="shared" si="340"/>
        <v>24890.469750813856</v>
      </c>
      <c r="J2574">
        <f t="shared" si="341"/>
        <v>1751.9053509436956</v>
      </c>
      <c r="K2574">
        <f t="shared" si="342"/>
        <v>14.207656673578942</v>
      </c>
      <c r="L2574" s="4">
        <f>MIN(MAX(L2573*(1+MAX(MIN(((B2574-B2573)/B2573)/($K$7*卓尔金历!$N$40),0),-卓尔金历!$M$43))+MIN(MAX(((B2574-B2573)/B2573)/($K$7*卓尔金历!$N$40),0),卓尔金历!$M$43),0),1)</f>
        <v>1</v>
      </c>
      <c r="M2574" s="4">
        <f>MIN(MAX(M2573*(1+MAX(MIN(((B2574-B2573)/B2573)/($K$7*30),0),-卓尔金历!$M$43))+MIN(MAX(((B2574-B2573)/B2573)/($K$7*7),0),卓尔金历!$M$43),0),1)</f>
        <v>1</v>
      </c>
      <c r="N2574">
        <f t="shared" si="343"/>
        <v>24075.262847403203</v>
      </c>
      <c r="O2574">
        <f t="shared" si="344"/>
        <v>55956.886754088075</v>
      </c>
      <c r="P2574">
        <f t="shared" si="345"/>
        <v>1.6625565859701572E-2</v>
      </c>
      <c r="Q2574">
        <f t="shared" si="346"/>
        <v>3.7343528765571288E-2</v>
      </c>
      <c r="R2574">
        <f t="shared" si="347"/>
        <v>0.87781365021523161</v>
      </c>
      <c r="S2574">
        <f t="shared" si="339"/>
        <v>257.20251282193556</v>
      </c>
      <c r="T2574" s="564">
        <f>IF((I2574-MAX(I$470:I2574))/MAX(I$470:I2574)&gt;T2573,T2573,(I2574-MAX(I$470:I2574))/MAX(I$470:I2574))</f>
        <v>-0.91338805338419748</v>
      </c>
      <c r="U2574" s="564">
        <f>IF((J2574-MAX(J$470:J2574))/MAX(J$470:J2574)&gt;U2573,U2573,(J2574-MAX(J$470:J2574))/MAX(J$470:J2574))</f>
        <v>-0.8283551177402233</v>
      </c>
      <c r="V2574" s="564">
        <f>IF((K2574-MAX(K$470:K2574))/MAX(K$470:K2574)&gt;V2573,V2573,(K2574-MAX(K$470:K2574))/MAX(K$470:K2574))</f>
        <v>-0.84885940676762139</v>
      </c>
      <c r="W2574" s="564">
        <f>IF((N2574-MAX(N$470:N2574))/MAX(N$470:N2574)&gt;W2573,W2573,(N2574-MAX(N$470:N2574))/MAX(N$470:N2574))</f>
        <v>-0.62788758315546067</v>
      </c>
      <c r="X2574" s="564">
        <f>IF((O2574-MAX(O$470:O2574))/MAX(O$470:O2574)&gt;X2573,X2573,(O2574-MAX(O$470:O2574))/MAX(O$470:O2574))</f>
        <v>-0.62788758315546067</v>
      </c>
    </row>
    <row r="2575" spans="1:24">
      <c r="A2575" s="799">
        <v>42977</v>
      </c>
      <c r="B2575">
        <v>4588.45</v>
      </c>
      <c r="C2575">
        <v>5815.805515</v>
      </c>
      <c r="D2575">
        <v>3.0066950000000001</v>
      </c>
      <c r="E2575">
        <f>LN(D2575/参数实验室!$E$53)/参数实验室!$E$55</f>
        <v>0.60575300006828237</v>
      </c>
      <c r="F2575">
        <f t="shared" si="348"/>
        <v>1.267488043892818</v>
      </c>
      <c r="G2575">
        <f>LN(F2575/参数实验室!$E$58)/参数实验室!$E$59</f>
        <v>-6.6120184450330785E-2</v>
      </c>
      <c r="H2575" s="856">
        <f>INDEX(神经网络!$G$10:$BO$70,MATCH(ROUND(G2575*2,1)/2,神经网络!$E$10:$E$70,0),MATCH(ROUND(E2575*2,1)/2,神经网络!$G$8:$BO$8,0))</f>
        <v>1.901613979957405</v>
      </c>
      <c r="I2575">
        <f t="shared" si="340"/>
        <v>27025.045686920454</v>
      </c>
      <c r="J2575">
        <f t="shared" si="341"/>
        <v>1830.9125733210947</v>
      </c>
      <c r="K2575">
        <f t="shared" si="342"/>
        <v>14.760423889546887</v>
      </c>
      <c r="L2575" s="4">
        <f>MIN(MAX(L2574*(1+MAX(MIN(((B2575-B2574)/B2574)/($K$7*卓尔金历!$N$40),0),-卓尔金历!$M$43))+MIN(MAX(((B2575-B2574)/B2574)/($K$7*卓尔金历!$N$40),0),卓尔金历!$M$43),0),1)</f>
        <v>1</v>
      </c>
      <c r="M2575" s="4">
        <f>MIN(MAX(M2574*(1+MAX(MIN(((B2575-B2574)/B2574)/($K$7*30),0),-卓尔金历!$M$43))+MIN(MAX(((B2575-B2574)/B2574)/($K$7*7),0),卓尔金历!$M$43),0),1)</f>
        <v>1</v>
      </c>
      <c r="N2575">
        <f t="shared" si="343"/>
        <v>26139.927646581116</v>
      </c>
      <c r="O2575">
        <f t="shared" si="344"/>
        <v>60755.680232897881</v>
      </c>
      <c r="P2575">
        <f t="shared" si="345"/>
        <v>4.5097882904941405E-2</v>
      </c>
      <c r="Q2575">
        <f t="shared" si="346"/>
        <v>3.7938199562949498E-2</v>
      </c>
      <c r="R2575">
        <f t="shared" si="347"/>
        <v>3.0887699212171348E-2</v>
      </c>
      <c r="S2575">
        <f t="shared" si="339"/>
        <v>276.56477307742199</v>
      </c>
      <c r="T2575" s="564">
        <f>IF((I2575-MAX(I$470:I2575))/MAX(I$470:I2575)&gt;T2574,T2574,(I2575-MAX(I$470:I2575))/MAX(I$470:I2575))</f>
        <v>-0.91338805338419748</v>
      </c>
      <c r="U2575" s="564">
        <f>IF((J2575-MAX(J$470:J2575))/MAX(J$470:J2575)&gt;U2574,U2574,(J2575-MAX(J$470:J2575))/MAX(J$470:J2575))</f>
        <v>-0.8283551177402233</v>
      </c>
      <c r="V2575" s="564">
        <f>IF((K2575-MAX(K$470:K2575))/MAX(K$470:K2575)&gt;V2574,V2574,(K2575-MAX(K$470:K2575))/MAX(K$470:K2575))</f>
        <v>-0.84885940676762139</v>
      </c>
      <c r="W2575" s="564">
        <f>IF((N2575-MAX(N$470:N2575))/MAX(N$470:N2575)&gt;W2574,W2574,(N2575-MAX(N$470:N2575))/MAX(N$470:N2575))</f>
        <v>-0.62788758315546067</v>
      </c>
      <c r="X2575" s="564">
        <f>IF((O2575-MAX(O$470:O2575))/MAX(O$470:O2575)&gt;X2574,X2574,(O2575-MAX(O$470:O2575))/MAX(O$470:O2575))</f>
        <v>-0.62788758315546067</v>
      </c>
    </row>
    <row r="2576" spans="1:24">
      <c r="A2576" s="799">
        <v>42978</v>
      </c>
      <c r="B2576">
        <v>4577.3100000000004</v>
      </c>
      <c r="C2576">
        <v>5760.8809529999999</v>
      </c>
      <c r="D2576">
        <v>3.0667719999999998</v>
      </c>
      <c r="E2576">
        <f>LN(D2576/参数实验室!$E$53)/参数实验室!$E$55</f>
        <v>0.6290933252629749</v>
      </c>
      <c r="F2576">
        <f t="shared" si="348"/>
        <v>1.2585734750322786</v>
      </c>
      <c r="G2576">
        <f>LN(F2576/参数实验室!$E$58)/参数实验室!$E$59</f>
        <v>-6.9824660289504556E-2</v>
      </c>
      <c r="H2576" s="856">
        <f>INDEX(神经网络!$G$10:$BO$70,MATCH(ROUND(G2576*2,1)/2,神经网络!$E$10:$E$70,0),MATCH(ROUND(E2576*2,1)/2,神经网络!$G$8:$BO$8,0))</f>
        <v>1.9613587643006838</v>
      </c>
      <c r="I2576">
        <f t="shared" si="340"/>
        <v>26900.276315952964</v>
      </c>
      <c r="J2576">
        <f t="shared" si="341"/>
        <v>1826.4674194964271</v>
      </c>
      <c r="K2576">
        <f t="shared" si="342"/>
        <v>14.728035128800492</v>
      </c>
      <c r="L2576" s="4">
        <f>MIN(MAX(L2575*(1+MAX(MIN(((B2576-B2575)/B2575)/($K$7*卓尔金历!$N$40),0),-卓尔金历!$M$43))+MIN(MAX(((B2576-B2575)/B2575)/($K$7*卓尔金历!$N$40),0),卓尔金历!$M$43),0),1)</f>
        <v>0.9629050093731637</v>
      </c>
      <c r="M2576" s="4">
        <f>MIN(MAX(M2575*(1+MAX(MIN(((B2576-B2575)/B2575)/($K$7*30),0),-卓尔金历!$M$43))+MIN(MAX(((B2576-B2575)/B2575)/($K$7*7),0),卓尔金历!$M$43),0),1)</f>
        <v>0.98145250468658185</v>
      </c>
      <c r="N2576">
        <f t="shared" si="343"/>
        <v>26019.244693168828</v>
      </c>
      <c r="O2576">
        <f t="shared" si="344"/>
        <v>60475.183093570959</v>
      </c>
      <c r="P2576">
        <f t="shared" si="345"/>
        <v>-2.4278351077159865E-3</v>
      </c>
      <c r="Q2576">
        <f t="shared" si="346"/>
        <v>3.7402648423104236E-2</v>
      </c>
      <c r="R2576">
        <f t="shared" si="347"/>
        <v>1</v>
      </c>
      <c r="S2576">
        <f t="shared" si="339"/>
        <v>276.5253342521961</v>
      </c>
      <c r="T2576" s="564">
        <f>IF((I2576-MAX(I$470:I2576))/MAX(I$470:I2576)&gt;T2575,T2575,(I2576-MAX(I$470:I2576))/MAX(I$470:I2576))</f>
        <v>-0.91338805338419748</v>
      </c>
      <c r="U2576" s="564">
        <f>IF((J2576-MAX(J$470:J2576))/MAX(J$470:J2576)&gt;U2575,U2575,(J2576-MAX(J$470:J2576))/MAX(J$470:J2576))</f>
        <v>-0.8283551177402233</v>
      </c>
      <c r="V2576" s="564">
        <f>IF((K2576-MAX(K$470:K2576))/MAX(K$470:K2576)&gt;V2575,V2575,(K2576-MAX(K$470:K2576))/MAX(K$470:K2576))</f>
        <v>-0.84885940676762139</v>
      </c>
      <c r="W2576" s="564">
        <f>IF((N2576-MAX(N$470:N2576))/MAX(N$470:N2576)&gt;W2575,W2575,(N2576-MAX(N$470:N2576))/MAX(N$470:N2576))</f>
        <v>-0.62788758315546067</v>
      </c>
      <c r="X2576" s="564">
        <f>IF((O2576-MAX(O$470:O2576))/MAX(O$470:O2576)&gt;X2575,X2575,(O2576-MAX(O$470:O2576))/MAX(O$470:O2576))</f>
        <v>-0.62788758315546067</v>
      </c>
    </row>
    <row r="2577" spans="1:24">
      <c r="A2577" s="799">
        <v>42979</v>
      </c>
      <c r="B2577">
        <v>4740.6000000000004</v>
      </c>
      <c r="C2577">
        <v>5674.8629799999999</v>
      </c>
      <c r="D2577">
        <v>3.1424979999999998</v>
      </c>
      <c r="E2577">
        <f>LN(D2577/参数实验室!$E$53)/参数实验室!$E$55</f>
        <v>0.65787043553005098</v>
      </c>
      <c r="F2577">
        <f t="shared" si="348"/>
        <v>1.1970769480656456</v>
      </c>
      <c r="G2577">
        <f>LN(F2577/参数实验室!$E$58)/参数实验室!$E$59</f>
        <v>-9.6117857760027167E-2</v>
      </c>
      <c r="H2577" s="856">
        <f>INDEX(神经网络!$G$10:$BO$70,MATCH(ROUND(G2577*2,1)/2,神经网络!$E$10:$E$70,0),MATCH(ROUND(E2577*2,1)/2,神经网络!$G$8:$BO$8,0))</f>
        <v>1.9329982678469229</v>
      </c>
      <c r="I2577">
        <f t="shared" si="340"/>
        <v>28782.464507125311</v>
      </c>
      <c r="J2577">
        <f t="shared" si="341"/>
        <v>1891.6244363752428</v>
      </c>
      <c r="K2577">
        <f t="shared" si="342"/>
        <v>15.215739421445978</v>
      </c>
      <c r="L2577" s="4">
        <f>MIN(MAX(L2576*(1+MAX(MIN(((B2577-B2576)/B2576)/($K$7*卓尔金历!$N$40),0),-卓尔金历!$M$43))+MIN(MAX(((B2577-B2576)/B2576)/($K$7*卓尔金历!$N$40),0),卓尔金历!$M$43),0),1)</f>
        <v>1</v>
      </c>
      <c r="M2577" s="4">
        <f>MIN(MAX(M2576*(1+MAX(MIN(((B2577-B2576)/B2576)/($K$7*30),0),-卓尔金历!$M$43))+MIN(MAX(((B2577-B2576)/B2576)/($K$7*7),0),卓尔金历!$M$43),0),1)</f>
        <v>1</v>
      </c>
      <c r="N2577">
        <f t="shared" si="343"/>
        <v>27772.254859498025</v>
      </c>
      <c r="O2577">
        <f t="shared" si="344"/>
        <v>64628.095613245867</v>
      </c>
      <c r="P2577">
        <f t="shared" si="345"/>
        <v>3.567379093834587E-2</v>
      </c>
      <c r="Q2577">
        <f t="shared" si="346"/>
        <v>3.761591289236306E-2</v>
      </c>
      <c r="R2577">
        <f t="shared" si="347"/>
        <v>9.2396300945248672E-2</v>
      </c>
      <c r="S2577">
        <f t="shared" si="339"/>
        <v>295.87356371186183</v>
      </c>
      <c r="T2577" s="564">
        <f>IF((I2577-MAX(I$470:I2577))/MAX(I$470:I2577)&gt;T2576,T2576,(I2577-MAX(I$470:I2577))/MAX(I$470:I2577))</f>
        <v>-0.91338805338419748</v>
      </c>
      <c r="U2577" s="564">
        <f>IF((J2577-MAX(J$470:J2577))/MAX(J$470:J2577)&gt;U2576,U2576,(J2577-MAX(J$470:J2577))/MAX(J$470:J2577))</f>
        <v>-0.8283551177402233</v>
      </c>
      <c r="V2577" s="564">
        <f>IF((K2577-MAX(K$470:K2577))/MAX(K$470:K2577)&gt;V2576,V2576,(K2577-MAX(K$470:K2577))/MAX(K$470:K2577))</f>
        <v>-0.84885940676762139</v>
      </c>
      <c r="W2577" s="564">
        <f>IF((N2577-MAX(N$470:N2577))/MAX(N$470:N2577)&gt;W2576,W2576,(N2577-MAX(N$470:N2577))/MAX(N$470:N2577))</f>
        <v>-0.62788758315546067</v>
      </c>
      <c r="X2577" s="564">
        <f>IF((O2577-MAX(O$470:O2577))/MAX(O$470:O2577)&gt;X2576,X2576,(O2577-MAX(O$470:O2577))/MAX(O$470:O2577))</f>
        <v>-0.62788758315546067</v>
      </c>
    </row>
    <row r="2578" spans="1:24">
      <c r="A2578" s="799">
        <v>42980</v>
      </c>
      <c r="B2578">
        <v>4928.03</v>
      </c>
      <c r="C2578">
        <v>5574.8688460000003</v>
      </c>
      <c r="D2578">
        <v>2.9199090000000001</v>
      </c>
      <c r="E2578">
        <f>LN(D2578/参数实验室!$E$53)/参数实验室!$E$55</f>
        <v>0.57119918671376746</v>
      </c>
      <c r="F2578">
        <f t="shared" si="348"/>
        <v>1.1312570836622342</v>
      </c>
      <c r="G2578">
        <f>LN(F2578/参数实验室!$E$58)/参数实验室!$E$59</f>
        <v>-0.12580004959196434</v>
      </c>
      <c r="H2578" s="856">
        <f>INDEX(神经网络!$G$10:$BO$70,MATCH(ROUND(G2578*2,1)/2,神经网络!$E$10:$E$70,0),MATCH(ROUND(E2578*2,1)/2,神经网络!$G$8:$BO$8,0))</f>
        <v>1.7597804063748304</v>
      </c>
      <c r="I2578">
        <f t="shared" si="340"/>
        <v>30982.173527098981</v>
      </c>
      <c r="J2578">
        <f t="shared" si="341"/>
        <v>1966.4139499620906</v>
      </c>
      <c r="K2578">
        <f t="shared" si="342"/>
        <v>15.755672160328333</v>
      </c>
      <c r="L2578" s="4">
        <f>MIN(MAX(L2577*(1+MAX(MIN(((B2578-B2577)/B2577)/($K$7*卓尔金历!$N$40),0),-卓尔金历!$M$43))+MIN(MAX(((B2578-B2577)/B2577)/($K$7*卓尔金历!$N$40),0),卓尔金历!$M$43),0),1)</f>
        <v>1</v>
      </c>
      <c r="M2578" s="4">
        <f>MIN(MAX(M2577*(1+MAX(MIN(((B2578-B2577)/B2577)/($K$7*30),0),-卓尔金历!$M$43))+MIN(MAX(((B2578-B2577)/B2577)/($K$7*7),0),卓尔金历!$M$43),0),1)</f>
        <v>1</v>
      </c>
      <c r="N2578">
        <f t="shared" si="343"/>
        <v>29894.758285301676</v>
      </c>
      <c r="O2578">
        <f t="shared" si="344"/>
        <v>69567.318410827502</v>
      </c>
      <c r="P2578">
        <f t="shared" si="345"/>
        <v>3.9537189385309743E-2</v>
      </c>
      <c r="Q2578">
        <f t="shared" si="346"/>
        <v>3.6217184907710816E-2</v>
      </c>
      <c r="R2578">
        <f t="shared" si="347"/>
        <v>3.4316696216262106E-2</v>
      </c>
      <c r="S2578">
        <f t="shared" si="339"/>
        <v>297.96285024667969</v>
      </c>
      <c r="T2578" s="564">
        <f>IF((I2578-MAX(I$470:I2578))/MAX(I$470:I2578)&gt;T2577,T2577,(I2578-MAX(I$470:I2578))/MAX(I$470:I2578))</f>
        <v>-0.91338805338419748</v>
      </c>
      <c r="U2578" s="564">
        <f>IF((J2578-MAX(J$470:J2578))/MAX(J$470:J2578)&gt;U2577,U2577,(J2578-MAX(J$470:J2578))/MAX(J$470:J2578))</f>
        <v>-0.8283551177402233</v>
      </c>
      <c r="V2578" s="564">
        <f>IF((K2578-MAX(K$470:K2578))/MAX(K$470:K2578)&gt;V2577,V2577,(K2578-MAX(K$470:K2578))/MAX(K$470:K2578))</f>
        <v>-0.84885940676762139</v>
      </c>
      <c r="W2578" s="564">
        <f>IF((N2578-MAX(N$470:N2578))/MAX(N$470:N2578)&gt;W2577,W2577,(N2578-MAX(N$470:N2578))/MAX(N$470:N2578))</f>
        <v>-0.62788758315546067</v>
      </c>
      <c r="X2578" s="564">
        <f>IF((O2578-MAX(O$470:O2578))/MAX(O$470:O2578)&gt;X2577,X2577,(O2578-MAX(O$470:O2578))/MAX(O$470:O2578))</f>
        <v>-0.62788758315546067</v>
      </c>
    </row>
    <row r="2579" spans="1:24">
      <c r="A2579" s="799">
        <v>42981</v>
      </c>
      <c r="B2579">
        <v>4623.51</v>
      </c>
      <c r="C2579">
        <v>5675.2395329999999</v>
      </c>
      <c r="D2579">
        <v>2.9247350000000001</v>
      </c>
      <c r="E2579">
        <f>LN(D2579/参数实验室!$E$53)/参数实验室!$E$55</f>
        <v>0.57314746293019925</v>
      </c>
      <c r="F2579">
        <f t="shared" si="348"/>
        <v>1.2274742637087408</v>
      </c>
      <c r="G2579">
        <f>LN(F2579/参数实验室!$E$58)/参数实验室!$E$59</f>
        <v>-8.2956667411143895E-2</v>
      </c>
      <c r="H2579" s="856">
        <f>INDEX(神经网络!$G$10:$BO$70,MATCH(ROUND(G2579*2,1)/2,神经网络!$E$10:$E$70,0),MATCH(ROUND(E2579*2,1)/2,神经网络!$G$8:$BO$8,0))</f>
        <v>1.7968502729440148</v>
      </c>
      <c r="I2579">
        <f t="shared" si="340"/>
        <v>27613.081778256943</v>
      </c>
      <c r="J2579">
        <f t="shared" si="341"/>
        <v>1844.9024380511535</v>
      </c>
      <c r="K2579">
        <f t="shared" si="342"/>
        <v>14.967231442019113</v>
      </c>
      <c r="L2579" s="4">
        <f>MIN(MAX(L2578*(1+MAX(MIN(((B2579-B2578)/B2578)/($K$7*卓尔金历!$N$40),0),-卓尔金历!$M$43))+MIN(MAX(((B2579-B2578)/B2578)/($K$7*卓尔金历!$N$40),0),卓尔金历!$M$43),0),1)</f>
        <v>5.5855306478084676E-2</v>
      </c>
      <c r="M2579" s="4">
        <f>MIN(MAX(M2578*(1+MAX(MIN(((B2579-B2578)/B2578)/($K$7*30),0),-卓尔金历!$M$43))+MIN(MAX(((B2579-B2578)/B2578)/($K$7*7),0),卓尔金历!$M$43),0),1)</f>
        <v>0.52792765323904234</v>
      </c>
      <c r="N2579">
        <f t="shared" si="343"/>
        <v>26643.915235683402</v>
      </c>
      <c r="O2579">
        <f t="shared" si="344"/>
        <v>62002.365673022221</v>
      </c>
      <c r="P2579">
        <f t="shared" si="345"/>
        <v>-6.1793454991142416E-2</v>
      </c>
      <c r="Q2579">
        <f t="shared" si="346"/>
        <v>3.6573123415312936E-2</v>
      </c>
      <c r="R2579">
        <f t="shared" si="347"/>
        <v>1.7221857605088854E-2</v>
      </c>
      <c r="S2579">
        <f t="shared" si="339"/>
        <v>296.85094303703465</v>
      </c>
      <c r="T2579" s="564">
        <f>IF((I2579-MAX(I$470:I2579))/MAX(I$470:I2579)&gt;T2578,T2578,(I2579-MAX(I$470:I2579))/MAX(I$470:I2579))</f>
        <v>-0.91338805338419748</v>
      </c>
      <c r="U2579" s="564">
        <f>IF((J2579-MAX(J$470:J2579))/MAX(J$470:J2579)&gt;U2578,U2578,(J2579-MAX(J$470:J2579))/MAX(J$470:J2579))</f>
        <v>-0.8283551177402233</v>
      </c>
      <c r="V2579" s="564">
        <f>IF((K2579-MAX(K$470:K2579))/MAX(K$470:K2579)&gt;V2578,V2578,(K2579-MAX(K$470:K2579))/MAX(K$470:K2579))</f>
        <v>-0.84885940676762139</v>
      </c>
      <c r="W2579" s="564">
        <f>IF((N2579-MAX(N$470:N2579))/MAX(N$470:N2579)&gt;W2578,W2578,(N2579-MAX(N$470:N2579))/MAX(N$470:N2579))</f>
        <v>-0.62788758315546067</v>
      </c>
      <c r="X2579" s="564">
        <f>IF((O2579-MAX(O$470:O2579))/MAX(O$470:O2579)&gt;X2578,X2578,(O2579-MAX(O$470:O2579))/MAX(O$470:O2579))</f>
        <v>-0.62788758315546067</v>
      </c>
    </row>
    <row r="2580" spans="1:24">
      <c r="A2580" s="799">
        <v>42982</v>
      </c>
      <c r="B2580">
        <v>4527.3999999999996</v>
      </c>
      <c r="C2580">
        <v>5685.6029319999998</v>
      </c>
      <c r="D2580">
        <v>2.7516219999999998</v>
      </c>
      <c r="E2580">
        <f>LN(D2580/参数实验室!$E$53)/参数实验室!$E$55</f>
        <v>0.50116679801767894</v>
      </c>
      <c r="F2580">
        <f t="shared" si="348"/>
        <v>1.2558207651190529</v>
      </c>
      <c r="G2580">
        <f>LN(F2580/参数实验室!$E$58)/参数实验室!$E$59</f>
        <v>-7.097386074623814E-2</v>
      </c>
      <c r="H2580" s="856">
        <f>INDEX(神经网络!$G$10:$BO$70,MATCH(ROUND(G2580*2,1)/2,神经网络!$E$10:$E$70,0),MATCH(ROUND(E2580*2,1)/2,神经网络!$G$8:$BO$8,0))</f>
        <v>1.7607737183655185</v>
      </c>
      <c r="I2580">
        <f t="shared" si="340"/>
        <v>26581.690285218832</v>
      </c>
      <c r="J2580">
        <f t="shared" si="341"/>
        <v>1806.5520130880632</v>
      </c>
      <c r="K2580">
        <f t="shared" si="342"/>
        <v>14.71404647784313</v>
      </c>
      <c r="L2580" s="4">
        <f>MIN(MAX(L2579*(1+MAX(MIN(((B2580-B2579)/B2579)/($K$7*卓尔金历!$N$40),0),-卓尔金历!$M$43))+MIN(MAX(((B2580-B2579)/B2579)/($K$7*卓尔金历!$N$40),0),卓尔金历!$M$43),0),1)</f>
        <v>3.8115156237642389E-2</v>
      </c>
      <c r="M2580" s="4">
        <f>MIN(MAX(M2579*(1+MAX(MIN(((B2580-B2579)/B2579)/($K$7*30),0),-卓尔金历!$M$43))+MIN(MAX(((B2580-B2579)/B2579)/($K$7*7),0),卓尔金历!$M$43),0),1)</f>
        <v>0.44409035580858802</v>
      </c>
      <c r="N2580">
        <f t="shared" si="343"/>
        <v>26588.328502891109</v>
      </c>
      <c r="O2580">
        <f t="shared" si="344"/>
        <v>60779.746119338139</v>
      </c>
      <c r="P2580">
        <f t="shared" si="345"/>
        <v>-2.0787237401887437E-2</v>
      </c>
      <c r="Q2580">
        <f t="shared" si="346"/>
        <v>3.6690621733166257E-2</v>
      </c>
      <c r="R2580">
        <f t="shared" si="347"/>
        <v>0.62553528465533115</v>
      </c>
      <c r="S2580">
        <f t="shared" si="339"/>
        <v>296.65998977011651</v>
      </c>
      <c r="T2580" s="564">
        <f>IF((I2580-MAX(I$470:I2580))/MAX(I$470:I2580)&gt;T2579,T2579,(I2580-MAX(I$470:I2580))/MAX(I$470:I2580))</f>
        <v>-0.91338805338419748</v>
      </c>
      <c r="U2580" s="564">
        <f>IF((J2580-MAX(J$470:J2580))/MAX(J$470:J2580)&gt;U2579,U2579,(J2580-MAX(J$470:J2580))/MAX(J$470:J2580))</f>
        <v>-0.8283551177402233</v>
      </c>
      <c r="V2580" s="564">
        <f>IF((K2580-MAX(K$470:K2580))/MAX(K$470:K2580)&gt;V2579,V2579,(K2580-MAX(K$470:K2580))/MAX(K$470:K2580))</f>
        <v>-0.84885940676762139</v>
      </c>
      <c r="W2580" s="564">
        <f>IF((N2580-MAX(N$470:N2580))/MAX(N$470:N2580)&gt;W2579,W2579,(N2580-MAX(N$470:N2580))/MAX(N$470:N2580))</f>
        <v>-0.62788758315546067</v>
      </c>
      <c r="X2580" s="564">
        <f>IF((O2580-MAX(O$470:O2580))/MAX(O$470:O2580)&gt;X2579,X2579,(O2580-MAX(O$470:O2580))/MAX(O$470:O2580))</f>
        <v>-0.62788758315546067</v>
      </c>
    </row>
    <row r="2581" spans="1:24">
      <c r="A2581" s="799">
        <v>42983</v>
      </c>
      <c r="B2581">
        <v>4040.3</v>
      </c>
      <c r="C2581">
        <v>5466.8599199999999</v>
      </c>
      <c r="D2581">
        <v>2.787426</v>
      </c>
      <c r="E2581">
        <f>LN(D2581/参数实验室!$E$53)/参数实验室!$E$55</f>
        <v>0.51641868731554641</v>
      </c>
      <c r="F2581">
        <f t="shared" si="348"/>
        <v>1.3530826720788058</v>
      </c>
      <c r="G2581">
        <f>LN(F2581/参数实验室!$E$58)/参数实验室!$E$59</f>
        <v>-3.1821798591562707E-2</v>
      </c>
      <c r="H2581" s="856">
        <f>INDEX(神经网络!$G$10:$BO$70,MATCH(ROUND(G2581*2,1)/2,神经网络!$E$10:$E$70,0),MATCH(ROUND(E2581*2,1)/2,神经网络!$G$8:$BO$8,0))</f>
        <v>1.7607737183655185</v>
      </c>
      <c r="I2581">
        <f t="shared" si="340"/>
        <v>21546.041830307462</v>
      </c>
      <c r="J2581">
        <f t="shared" si="341"/>
        <v>1612.1862655121488</v>
      </c>
      <c r="K2581">
        <f t="shared" si="342"/>
        <v>13.36448665468742</v>
      </c>
      <c r="L2581" s="4">
        <f>MIN(MAX(L2580*(1+MAX(MIN(((B2581-B2580)/B2580)/($K$7*卓尔金历!$N$40),0),-卓尔金历!$M$43))+MIN(MAX(((B2581-B2580)/B2580)/($K$7*卓尔金历!$N$40),0),卓尔金历!$M$43),0),1)</f>
        <v>0</v>
      </c>
      <c r="M2581" s="4">
        <f>MIN(MAX(M2580*(1+MAX(MIN(((B2581-B2580)/B2580)/($K$7*30),0),-卓尔金历!$M$43))+MIN(MAX(((B2581-B2580)/B2580)/($K$7*7),0),卓尔金历!$M$43),0),1)</f>
        <v>7.907873801123845E-2</v>
      </c>
      <c r="N2581">
        <f t="shared" si="343"/>
        <v>26396.346043665777</v>
      </c>
      <c r="O2581">
        <f t="shared" si="344"/>
        <v>55666.425397078376</v>
      </c>
      <c r="P2581">
        <f t="shared" si="345"/>
        <v>-0.10758934487785472</v>
      </c>
      <c r="Q2581">
        <f t="shared" si="346"/>
        <v>4.1007989013068263E-2</v>
      </c>
      <c r="R2581">
        <f t="shared" si="347"/>
        <v>1.3005095138676642E-3</v>
      </c>
      <c r="S2581">
        <f t="shared" si="339"/>
        <v>261.50527329001358</v>
      </c>
      <c r="T2581" s="564">
        <f>IF((I2581-MAX(I$470:I2581))/MAX(I$470:I2581)&gt;T2580,T2580,(I2581-MAX(I$470:I2581))/MAX(I$470:I2581))</f>
        <v>-0.91338805338419748</v>
      </c>
      <c r="U2581" s="564">
        <f>IF((J2581-MAX(J$470:J2581))/MAX(J$470:J2581)&gt;U2580,U2580,(J2581-MAX(J$470:J2581))/MAX(J$470:J2581))</f>
        <v>-0.8283551177402233</v>
      </c>
      <c r="V2581" s="564">
        <f>IF((K2581-MAX(K$470:K2581))/MAX(K$470:K2581)&gt;V2580,V2580,(K2581-MAX(K$470:K2581))/MAX(K$470:K2581))</f>
        <v>-0.84885940676762139</v>
      </c>
      <c r="W2581" s="564">
        <f>IF((N2581-MAX(N$470:N2581))/MAX(N$470:N2581)&gt;W2580,W2580,(N2581-MAX(N$470:N2581))/MAX(N$470:N2581))</f>
        <v>-0.62788758315546067</v>
      </c>
      <c r="X2581" s="564">
        <f>IF((O2581-MAX(O$470:O2581))/MAX(O$470:O2581)&gt;X2580,X2580,(O2581-MAX(O$470:O2581))/MAX(O$470:O2581))</f>
        <v>-0.62788758315546067</v>
      </c>
    </row>
    <row r="2582" spans="1:24">
      <c r="A2582" s="799">
        <v>42984</v>
      </c>
      <c r="B2582">
        <v>4490.29</v>
      </c>
      <c r="C2582">
        <v>5435.0744080000004</v>
      </c>
      <c r="D2582">
        <v>2.8620420000000002</v>
      </c>
      <c r="E2582">
        <f>LN(D2582/参数实验室!$E$53)/参数实验室!$E$55</f>
        <v>0.5475839535609196</v>
      </c>
      <c r="F2582">
        <f t="shared" si="348"/>
        <v>1.2104061002741473</v>
      </c>
      <c r="G2582">
        <f>LN(F2582/参数实验室!$E$58)/参数实验室!$E$59</f>
        <v>-9.0306036226411951E-2</v>
      </c>
      <c r="H2582" s="856">
        <f>INDEX(神经网络!$G$10:$BO$70,MATCH(ROUND(G2582*2,1)/2,神经网络!$E$10:$E$70,0),MATCH(ROUND(E2582*2,1)/2,神经网络!$G$8:$BO$8,0))</f>
        <v>1.7968502729440148</v>
      </c>
      <c r="I2582">
        <f t="shared" si="340"/>
        <v>25771.368540770138</v>
      </c>
      <c r="J2582">
        <f t="shared" si="341"/>
        <v>1791.7441442879358</v>
      </c>
      <c r="K2582">
        <f t="shared" si="342"/>
        <v>14.383397664744171</v>
      </c>
      <c r="L2582" s="4">
        <f>MIN(MAX(L2581*(1+MAX(MIN(((B2582-B2581)/B2581)/($K$7*卓尔金历!$N$40),0),-卓尔金历!$M$43))+MIN(MAX(((B2582-B2581)/B2581)/($K$7*卓尔金历!$N$40),0),卓尔金历!$M$43),0),1)</f>
        <v>1</v>
      </c>
      <c r="M2582" s="4">
        <f>MIN(MAX(M2581*(1+MAX(MIN(((B2582-B2581)/B2581)/($K$7*30),0),-卓尔金历!$M$43))+MIN(MAX(((B2582-B2581)/B2581)/($K$7*7),0),卓尔金历!$M$43),0),1)</f>
        <v>1</v>
      </c>
      <c r="N2582">
        <f t="shared" si="343"/>
        <v>26396.346043665777</v>
      </c>
      <c r="O2582">
        <f t="shared" si="344"/>
        <v>56529.693830171906</v>
      </c>
      <c r="P2582">
        <f t="shared" si="345"/>
        <v>0.11137539291636754</v>
      </c>
      <c r="Q2582">
        <f t="shared" si="346"/>
        <v>4.6629713874389044E-2</v>
      </c>
      <c r="R2582">
        <f t="shared" si="347"/>
        <v>5.3036272351445028E-3</v>
      </c>
      <c r="S2582">
        <f t="shared" si="339"/>
        <v>261.57196729243105</v>
      </c>
      <c r="T2582" s="564">
        <f>IF((I2582-MAX(I$470:I2582))/MAX(I$470:I2582)&gt;T2581,T2581,(I2582-MAX(I$470:I2582))/MAX(I$470:I2582))</f>
        <v>-0.91338805338419748</v>
      </c>
      <c r="U2582" s="564">
        <f>IF((J2582-MAX(J$470:J2582))/MAX(J$470:J2582)&gt;U2581,U2581,(J2582-MAX(J$470:J2582))/MAX(J$470:J2582))</f>
        <v>-0.8283551177402233</v>
      </c>
      <c r="V2582" s="564">
        <f>IF((K2582-MAX(K$470:K2582))/MAX(K$470:K2582)&gt;V2581,V2581,(K2582-MAX(K$470:K2582))/MAX(K$470:K2582))</f>
        <v>-0.84885940676762139</v>
      </c>
      <c r="W2582" s="564">
        <f>IF((N2582-MAX(N$470:N2582))/MAX(N$470:N2582)&gt;W2581,W2581,(N2582-MAX(N$470:N2582))/MAX(N$470:N2582))</f>
        <v>-0.62788758315546067</v>
      </c>
      <c r="X2582" s="564">
        <f>IF((O2582-MAX(O$470:O2582))/MAX(O$470:O2582)&gt;X2581,X2581,(O2582-MAX(O$470:O2582))/MAX(O$470:O2582))</f>
        <v>-0.62788758315546067</v>
      </c>
    </row>
    <row r="2583" spans="1:24">
      <c r="A2583" s="799">
        <v>42985</v>
      </c>
      <c r="B2583">
        <v>4507.45</v>
      </c>
      <c r="C2583">
        <v>5392.5684039999996</v>
      </c>
      <c r="D2583">
        <v>2.8458380000000001</v>
      </c>
      <c r="E2583">
        <f>LN(D2583/参数实验室!$E$53)/参数实验室!$E$55</f>
        <v>0.54088557415522975</v>
      </c>
      <c r="F2583">
        <f t="shared" si="348"/>
        <v>1.19636788073079</v>
      </c>
      <c r="G2583">
        <f>LN(F2583/参数实验室!$E$58)/参数实验室!$E$59</f>
        <v>-9.6428837870306761E-2</v>
      </c>
      <c r="H2583" s="856">
        <f>INDEX(神经网络!$G$10:$BO$70,MATCH(ROUND(G2583*2,1)/2,神经网络!$E$10:$E$70,0),MATCH(ROUND(E2583*2,1)/2,神经网络!$G$8:$BO$8,0))</f>
        <v>1.7968502729440148</v>
      </c>
      <c r="I2583">
        <f t="shared" si="340"/>
        <v>25948.33553101755</v>
      </c>
      <c r="J2583">
        <f t="shared" si="341"/>
        <v>1798.5914368939771</v>
      </c>
      <c r="K2583">
        <f t="shared" si="342"/>
        <v>14.427031619714725</v>
      </c>
      <c r="L2583" s="4">
        <f>MIN(MAX(L2582*(1+MAX(MIN(((B2583-B2582)/B2582)/($K$7*卓尔金历!$N$40),0),-卓尔金历!$M$43))+MIN(MAX(((B2583-B2582)/B2582)/($K$7*卓尔金历!$N$40),0),卓尔金历!$M$43),0),1)</f>
        <v>1</v>
      </c>
      <c r="M2583" s="4">
        <f>MIN(MAX(M2582*(1+MAX(MIN(((B2583-B2582)/B2582)/($K$7*30),0),-卓尔金历!$M$43))+MIN(MAX(((B2583-B2582)/B2582)/($K$7*7),0),卓尔金历!$M$43),0),1)</f>
        <v>1</v>
      </c>
      <c r="N2583">
        <f t="shared" si="343"/>
        <v>26577.604633231433</v>
      </c>
      <c r="O2583">
        <f t="shared" si="344"/>
        <v>56917.872275600872</v>
      </c>
      <c r="P2583">
        <f t="shared" si="345"/>
        <v>3.82157945255203E-3</v>
      </c>
      <c r="Q2583">
        <f t="shared" si="346"/>
        <v>4.5776863631382197E-2</v>
      </c>
      <c r="R2583">
        <f t="shared" si="347"/>
        <v>1</v>
      </c>
      <c r="S2583">
        <f t="shared" ref="S2583:S2646" si="349">S2582*(1+(B2583-B2582)/B2582*H2582*R2582)</f>
        <v>261.58149347661288</v>
      </c>
      <c r="T2583" s="564">
        <f>IF((I2583-MAX(I$470:I2583))/MAX(I$470:I2583)&gt;T2582,T2582,(I2583-MAX(I$470:I2583))/MAX(I$470:I2583))</f>
        <v>-0.91338805338419748</v>
      </c>
      <c r="U2583" s="564">
        <f>IF((J2583-MAX(J$470:J2583))/MAX(J$470:J2583)&gt;U2582,U2582,(J2583-MAX(J$470:J2583))/MAX(J$470:J2583))</f>
        <v>-0.8283551177402233</v>
      </c>
      <c r="V2583" s="564">
        <f>IF((K2583-MAX(K$470:K2583))/MAX(K$470:K2583)&gt;V2582,V2582,(K2583-MAX(K$470:K2583))/MAX(K$470:K2583))</f>
        <v>-0.84885940676762139</v>
      </c>
      <c r="W2583" s="564">
        <f>IF((N2583-MAX(N$470:N2583))/MAX(N$470:N2583)&gt;W2582,W2582,(N2583-MAX(N$470:N2583))/MAX(N$470:N2583))</f>
        <v>-0.62788758315546067</v>
      </c>
      <c r="X2583" s="564">
        <f>IF((O2583-MAX(O$470:O2583))/MAX(O$470:O2583)&gt;X2582,X2582,(O2583-MAX(O$470:O2583))/MAX(O$470:O2583))</f>
        <v>-0.62788758315546067</v>
      </c>
    </row>
    <row r="2584" spans="1:24">
      <c r="A2584" s="799">
        <v>42986</v>
      </c>
      <c r="B2584">
        <v>4599.26</v>
      </c>
      <c r="C2584">
        <v>5259.6751910000003</v>
      </c>
      <c r="D2584">
        <v>2.6661950000000001</v>
      </c>
      <c r="E2584">
        <f>LN(D2584/参数实验室!$E$53)/参数实验室!$E$55</f>
        <v>0.46395951178732187</v>
      </c>
      <c r="F2584">
        <f t="shared" si="348"/>
        <v>1.143591619303975</v>
      </c>
      <c r="G2584">
        <f>LN(F2584/参数实验室!$E$58)/参数实验室!$E$59</f>
        <v>-0.12010833538140135</v>
      </c>
      <c r="H2584" s="856">
        <f>INDEX(神经网络!$G$10:$BO$70,MATCH(ROUND(G2584*2,1)/2,神经网络!$E$10:$E$70,0),MATCH(ROUND(E2584*2,1)/2,神经网络!$G$8:$BO$8,0))</f>
        <v>1.6426987747607855</v>
      </c>
      <c r="I2584">
        <f t="shared" ref="I2584:I2647" si="350">I2583*(1+(B2584-B2583)/B2583*H2583)</f>
        <v>26898.022468391438</v>
      </c>
      <c r="J2584">
        <f t="shared" ref="J2584:J2647" si="351">J2583*B2584/B2583</f>
        <v>1835.2260484418005</v>
      </c>
      <c r="K2584">
        <f t="shared" ref="K2584:K2647" si="352">I2584/J2584</f>
        <v>14.656517376281368</v>
      </c>
      <c r="L2584" s="4">
        <f>MIN(MAX(L2583*(1+MAX(MIN(((B2584-B2583)/B2583)/($K$7*卓尔金历!$N$40),0),-卓尔金历!$M$43))+MIN(MAX(((B2584-B2583)/B2583)/($K$7*卓尔金历!$N$40),0),卓尔金历!$M$43),0),1)</f>
        <v>1</v>
      </c>
      <c r="M2584" s="4">
        <f>MIN(MAX(M2583*(1+MAX(MIN(((B2584-B2583)/B2583)/($K$7*30),0),-卓尔金历!$M$43))+MIN(MAX(((B2584-B2583)/B2583)/($K$7*7),0),卓尔金历!$M$43),0),1)</f>
        <v>1</v>
      </c>
      <c r="N2584">
        <f t="shared" ref="N2584:N2647" si="353">N2583*(1+(B2584-B2583)/B2583*H2583*L2583)</f>
        <v>27550.322282758367</v>
      </c>
      <c r="O2584">
        <f t="shared" ref="O2584:O2647" si="354">O2583*(1+(B2584-B2583)/B2583*H2583*M2583)</f>
        <v>59001.017829913573</v>
      </c>
      <c r="P2584">
        <f t="shared" ref="P2584:P2647" si="355">(B2584-B2583)/B2583</f>
        <v>2.0368501037171884E-2</v>
      </c>
      <c r="Q2584">
        <f t="shared" si="346"/>
        <v>4.5889724415851749E-2</v>
      </c>
      <c r="R2584">
        <f t="shared" si="347"/>
        <v>0.89521077587297637</v>
      </c>
      <c r="S2584">
        <f t="shared" si="349"/>
        <v>271.15515291679316</v>
      </c>
      <c r="T2584" s="564">
        <f>IF((I2584-MAX(I$470:I2584))/MAX(I$470:I2584)&gt;T2583,T2583,(I2584-MAX(I$470:I2584))/MAX(I$470:I2584))</f>
        <v>-0.91338805338419748</v>
      </c>
      <c r="U2584" s="564">
        <f>IF((J2584-MAX(J$470:J2584))/MAX(J$470:J2584)&gt;U2583,U2583,(J2584-MAX(J$470:J2584))/MAX(J$470:J2584))</f>
        <v>-0.8283551177402233</v>
      </c>
      <c r="V2584" s="564">
        <f>IF((K2584-MAX(K$470:K2584))/MAX(K$470:K2584)&gt;V2583,V2583,(K2584-MAX(K$470:K2584))/MAX(K$470:K2584))</f>
        <v>-0.84885940676762139</v>
      </c>
      <c r="W2584" s="564">
        <f>IF((N2584-MAX(N$470:N2584))/MAX(N$470:N2584)&gt;W2583,W2583,(N2584-MAX(N$470:N2584))/MAX(N$470:N2584))</f>
        <v>-0.62788758315546067</v>
      </c>
      <c r="X2584" s="564">
        <f>IF((O2584-MAX(O$470:O2584))/MAX(O$470:O2584)&gt;X2583,X2583,(O2584-MAX(O$470:O2584))/MAX(O$470:O2584))</f>
        <v>-0.62788758315546067</v>
      </c>
    </row>
    <row r="2585" spans="1:24">
      <c r="A2585" s="799">
        <v>42987</v>
      </c>
      <c r="B2585">
        <v>4171.88</v>
      </c>
      <c r="C2585">
        <v>5138.0301680000002</v>
      </c>
      <c r="D2585">
        <v>2.6554000000000002</v>
      </c>
      <c r="E2585">
        <f>LN(D2585/参数实验室!$E$53)/参数实验室!$E$55</f>
        <v>0.45917318222366005</v>
      </c>
      <c r="F2585">
        <f t="shared" si="348"/>
        <v>1.2315862795670058</v>
      </c>
      <c r="G2585">
        <f>LN(F2585/参数实验室!$E$58)/参数实验室!$E$59</f>
        <v>-8.1201354662998451E-2</v>
      </c>
      <c r="H2585" s="856">
        <f>INDEX(神经网络!$G$10:$BO$70,MATCH(ROUND(G2585*2,1)/2,神经网络!$E$10:$E$70,0),MATCH(ROUND(E2585*2,1)/2,神经网络!$G$8:$BO$8,0))</f>
        <v>1.6426987747607855</v>
      </c>
      <c r="I2585">
        <f t="shared" si="350"/>
        <v>22792.158858965518</v>
      </c>
      <c r="J2585">
        <f t="shared" si="351"/>
        <v>1664.6901560193116</v>
      </c>
      <c r="K2585">
        <f t="shared" si="352"/>
        <v>13.691532190871628</v>
      </c>
      <c r="L2585" s="4">
        <f>MIN(MAX(L2584*(1+MAX(MIN(((B2585-B2584)/B2584)/($K$7*卓尔金历!$N$40),0),-卓尔金历!$M$43))+MIN(MAX(((B2585-B2584)/B2584)/($K$7*卓尔金历!$N$40),0),卓尔金历!$M$43),0),1)</f>
        <v>0</v>
      </c>
      <c r="M2585" s="4">
        <f>MIN(MAX(M2584*(1+MAX(MIN(((B2585-B2584)/B2584)/($K$7*30),0),-卓尔金历!$M$43))+MIN(MAX(((B2585-B2584)/B2584)/($K$7*7),0),卓尔金历!$M$43),0),1)</f>
        <v>0.29010794409376106</v>
      </c>
      <c r="N2585">
        <f t="shared" si="353"/>
        <v>23344.888005139583</v>
      </c>
      <c r="O2585">
        <f t="shared" si="354"/>
        <v>49994.774627031038</v>
      </c>
      <c r="P2585">
        <f t="shared" si="355"/>
        <v>-9.2923644238420977E-2</v>
      </c>
      <c r="Q2585">
        <f t="shared" si="346"/>
        <v>4.9789420192477236E-2</v>
      </c>
      <c r="R2585">
        <f t="shared" si="347"/>
        <v>1.7255655598487414E-2</v>
      </c>
      <c r="S2585">
        <f t="shared" si="349"/>
        <v>234.10181561459419</v>
      </c>
      <c r="T2585" s="564">
        <f>IF((I2585-MAX(I$470:I2585))/MAX(I$470:I2585)&gt;T2584,T2584,(I2585-MAX(I$470:I2585))/MAX(I$470:I2585))</f>
        <v>-0.91338805338419748</v>
      </c>
      <c r="U2585" s="564">
        <f>IF((J2585-MAX(J$470:J2585))/MAX(J$470:J2585)&gt;U2584,U2584,(J2585-MAX(J$470:J2585))/MAX(J$470:J2585))</f>
        <v>-0.8283551177402233</v>
      </c>
      <c r="V2585" s="564">
        <f>IF((K2585-MAX(K$470:K2585))/MAX(K$470:K2585)&gt;V2584,V2584,(K2585-MAX(K$470:K2585))/MAX(K$470:K2585))</f>
        <v>-0.84885940676762139</v>
      </c>
      <c r="W2585" s="564">
        <f>IF((N2585-MAX(N$470:N2585))/MAX(N$470:N2585)&gt;W2584,W2584,(N2585-MAX(N$470:N2585))/MAX(N$470:N2585))</f>
        <v>-0.62788758315546067</v>
      </c>
      <c r="X2585" s="564">
        <f>IF((O2585-MAX(O$470:O2585))/MAX(O$470:O2585)&gt;X2584,X2584,(O2585-MAX(O$470:O2585))/MAX(O$470:O2585))</f>
        <v>-0.62788758315546067</v>
      </c>
    </row>
    <row r="2586" spans="1:24">
      <c r="A2586" s="799">
        <v>42988</v>
      </c>
      <c r="B2586">
        <v>4118.6099999999997</v>
      </c>
      <c r="C2586">
        <v>5160.6897010000002</v>
      </c>
      <c r="D2586">
        <v>2.5987930000000001</v>
      </c>
      <c r="E2586">
        <f>LN(D2586/参数实验室!$E$53)/参数实验室!$E$55</f>
        <v>0.43375162807920409</v>
      </c>
      <c r="F2586">
        <f t="shared" si="348"/>
        <v>1.2530173289046549</v>
      </c>
      <c r="G2586">
        <f>LN(F2586/参数实验室!$E$58)/参数实验室!$E$59</f>
        <v>-7.2146830375140233E-2</v>
      </c>
      <c r="H2586" s="856">
        <f>INDEX(神经网络!$G$10:$BO$70,MATCH(ROUND(G2586*2,1)/2,神经网络!$E$10:$E$70,0),MATCH(ROUND(E2586*2,1)/2,神经网络!$G$8:$BO$8,0))</f>
        <v>1.6804201325793338</v>
      </c>
      <c r="I2586">
        <f t="shared" si="350"/>
        <v>22314.085783572478</v>
      </c>
      <c r="J2586">
        <f t="shared" si="351"/>
        <v>1643.434020988786</v>
      </c>
      <c r="K2586">
        <f t="shared" si="352"/>
        <v>13.577719274757998</v>
      </c>
      <c r="L2586" s="4">
        <f>MIN(MAX(L2585*(1+MAX(MIN(((B2586-B2585)/B2585)/($K$7*卓尔金历!$N$40),0),-卓尔金历!$M$43))+MIN(MAX(((B2586-B2585)/B2585)/($K$7*卓尔金历!$N$40),0),卓尔金历!$M$43),0),1)</f>
        <v>0</v>
      </c>
      <c r="M2586" s="4">
        <f>MIN(MAX(M2585*(1+MAX(MIN(((B2586-B2585)/B2585)/($K$7*30),0),-卓尔金历!$M$43))+MIN(MAX(((B2586-B2585)/B2585)/($K$7*7),0),卓尔金历!$M$43),0),1)</f>
        <v>0.26180858545491015</v>
      </c>
      <c r="N2586">
        <f t="shared" si="353"/>
        <v>23344.888005139583</v>
      </c>
      <c r="O2586">
        <f t="shared" si="354"/>
        <v>49690.550916905275</v>
      </c>
      <c r="P2586">
        <f t="shared" si="355"/>
        <v>-1.2768823647851911E-2</v>
      </c>
      <c r="Q2586">
        <f t="shared" si="346"/>
        <v>4.9689215359996562E-2</v>
      </c>
      <c r="R2586">
        <f t="shared" si="347"/>
        <v>1</v>
      </c>
      <c r="S2586">
        <f t="shared" si="349"/>
        <v>234.01708408074666</v>
      </c>
      <c r="T2586" s="564">
        <f>IF((I2586-MAX(I$470:I2586))/MAX(I$470:I2586)&gt;T2585,T2585,(I2586-MAX(I$470:I2586))/MAX(I$470:I2586))</f>
        <v>-0.91338805338419748</v>
      </c>
      <c r="U2586" s="564">
        <f>IF((J2586-MAX(J$470:J2586))/MAX(J$470:J2586)&gt;U2585,U2585,(J2586-MAX(J$470:J2586))/MAX(J$470:J2586))</f>
        <v>-0.8283551177402233</v>
      </c>
      <c r="V2586" s="564">
        <f>IF((K2586-MAX(K$470:K2586))/MAX(K$470:K2586)&gt;V2585,V2585,(K2586-MAX(K$470:K2586))/MAX(K$470:K2586))</f>
        <v>-0.84885940676762139</v>
      </c>
      <c r="W2586" s="564">
        <f>IF((N2586-MAX(N$470:N2586))/MAX(N$470:N2586)&gt;W2585,W2585,(N2586-MAX(N$470:N2586))/MAX(N$470:N2586))</f>
        <v>-0.62788758315546067</v>
      </c>
      <c r="X2586" s="564">
        <f>IF((O2586-MAX(O$470:O2586))/MAX(O$470:O2586)&gt;X2585,X2585,(O2586-MAX(O$470:O2586))/MAX(O$470:O2586))</f>
        <v>-0.62788758315546067</v>
      </c>
    </row>
    <row r="2587" spans="1:24">
      <c r="A2587" s="799">
        <v>42989</v>
      </c>
      <c r="B2587">
        <v>4203.72</v>
      </c>
      <c r="C2587">
        <v>5028.6271189999998</v>
      </c>
      <c r="D2587">
        <v>2.564543</v>
      </c>
      <c r="E2587">
        <f>LN(D2587/参数实验室!$E$53)/参数实验室!$E$55</f>
        <v>0.41810006433762975</v>
      </c>
      <c r="F2587">
        <f t="shared" si="348"/>
        <v>1.1962326508425869</v>
      </c>
      <c r="G2587">
        <f>LN(F2587/参数实验室!$E$58)/参数实验室!$E$59</f>
        <v>-9.648816741797496E-2</v>
      </c>
      <c r="H2587" s="856">
        <f>INDEX(神经网络!$G$10:$BO$70,MATCH(ROUND(G2587*2,1)/2,神经网络!$E$10:$E$70,0),MATCH(ROUND(E2587*2,1)/2,神经网络!$G$8:$BO$8,0))</f>
        <v>1.5568769143241705</v>
      </c>
      <c r="I2587">
        <f t="shared" si="350"/>
        <v>23088.952301283185</v>
      </c>
      <c r="J2587">
        <f t="shared" si="351"/>
        <v>1677.3951558197984</v>
      </c>
      <c r="K2587">
        <f t="shared" si="352"/>
        <v>13.764766293246419</v>
      </c>
      <c r="L2587" s="4">
        <f>MIN(MAX(L2586*(1+MAX(MIN(((B2587-B2586)/B2586)/($K$7*卓尔金历!$N$40),0),-卓尔金历!$M$43))+MIN(MAX(((B2587-B2586)/B2586)/($K$7*卓尔金历!$N$40),0),卓尔金历!$M$43),0),1)</f>
        <v>0.31573737888337711</v>
      </c>
      <c r="M2587" s="4">
        <f>MIN(MAX(M2586*(1+MAX(MIN(((B2587-B2586)/B2586)/($K$7*30),0),-卓尔金历!$M$43))+MIN(MAX(((B2587-B2586)/B2586)/($K$7*7),0),卓尔金历!$M$43),0),1)</f>
        <v>0.93838868306214684</v>
      </c>
      <c r="N2587">
        <f t="shared" si="353"/>
        <v>23344.888005139583</v>
      </c>
      <c r="O2587">
        <f t="shared" si="354"/>
        <v>50142.30854333179</v>
      </c>
      <c r="P2587">
        <f t="shared" si="355"/>
        <v>2.0664738831790479E-2</v>
      </c>
      <c r="Q2587">
        <f t="shared" si="346"/>
        <v>4.9846186761790132E-2</v>
      </c>
      <c r="R2587">
        <f t="shared" si="347"/>
        <v>0.97395441440433994</v>
      </c>
      <c r="S2587">
        <f t="shared" si="349"/>
        <v>242.1434310342014</v>
      </c>
      <c r="T2587" s="564">
        <f>IF((I2587-MAX(I$470:I2587))/MAX(I$470:I2587)&gt;T2586,T2586,(I2587-MAX(I$470:I2587))/MAX(I$470:I2587))</f>
        <v>-0.91338805338419748</v>
      </c>
      <c r="U2587" s="564">
        <f>IF((J2587-MAX(J$470:J2587))/MAX(J$470:J2587)&gt;U2586,U2586,(J2587-MAX(J$470:J2587))/MAX(J$470:J2587))</f>
        <v>-0.8283551177402233</v>
      </c>
      <c r="V2587" s="564">
        <f>IF((K2587-MAX(K$470:K2587))/MAX(K$470:K2587)&gt;V2586,V2586,(K2587-MAX(K$470:K2587))/MAX(K$470:K2587))</f>
        <v>-0.84885940676762139</v>
      </c>
      <c r="W2587" s="564">
        <f>IF((N2587-MAX(N$470:N2587))/MAX(N$470:N2587)&gt;W2586,W2586,(N2587-MAX(N$470:N2587))/MAX(N$470:N2587))</f>
        <v>-0.62788758315546067</v>
      </c>
      <c r="X2587" s="564">
        <f>IF((O2587-MAX(O$470:O2587))/MAX(O$470:O2587)&gt;X2586,X2586,(O2587-MAX(O$470:O2587))/MAX(O$470:O2587))</f>
        <v>-0.62788758315546067</v>
      </c>
    </row>
    <row r="2588" spans="1:24">
      <c r="A2588" s="799">
        <v>42990</v>
      </c>
      <c r="B2588">
        <v>4231.63</v>
      </c>
      <c r="C2588">
        <v>4897.9667419999996</v>
      </c>
      <c r="D2588">
        <v>2.5310239999999999</v>
      </c>
      <c r="E2588">
        <f>LN(D2588/参数实验室!$E$53)/参数实验室!$E$55</f>
        <v>0.40257883995913585</v>
      </c>
      <c r="F2588">
        <f t="shared" si="348"/>
        <v>1.1574657382616154</v>
      </c>
      <c r="G2588">
        <f>LN(F2588/参数实验室!$E$58)/参数实验室!$E$59</f>
        <v>-0.11377909230558982</v>
      </c>
      <c r="H2588" s="856">
        <f>INDEX(神经网络!$G$10:$BO$70,MATCH(ROUND(G2588*2,1)/2,神经网络!$E$10:$E$70,0),MATCH(ROUND(E2588*2,1)/2,神经网络!$G$8:$BO$8,0))</f>
        <v>1.5568769143241705</v>
      </c>
      <c r="I2588">
        <f t="shared" si="350"/>
        <v>23327.615007570268</v>
      </c>
      <c r="J2588">
        <f t="shared" si="351"/>
        <v>1688.5319819640065</v>
      </c>
      <c r="K2588">
        <f t="shared" si="352"/>
        <v>13.815323166361873</v>
      </c>
      <c r="L2588" s="4">
        <f>MIN(MAX(L2587*(1+MAX(MIN(((B2588-B2587)/B2587)/($K$7*卓尔金历!$N$40),0),-卓尔金历!$M$43))+MIN(MAX(((B2588-B2587)/B2587)/($K$7*卓尔金历!$N$40),0),卓尔金历!$M$43),0),1)</f>
        <v>0.41718039049609024</v>
      </c>
      <c r="M2588" s="4">
        <f>MIN(MAX(M2587*(1+MAX(MIN(((B2588-B2587)/B2587)/($K$7*30),0),-卓尔金历!$M$43))+MIN(MAX(((B2588-B2587)/B2587)/($K$7*7),0),卓尔金历!$M$43),0),1)</f>
        <v>1</v>
      </c>
      <c r="N2588">
        <f t="shared" si="353"/>
        <v>23421.078032319867</v>
      </c>
      <c r="O2588">
        <f t="shared" si="354"/>
        <v>50628.679261981371</v>
      </c>
      <c r="P2588">
        <f t="shared" si="355"/>
        <v>6.639357521433362E-3</v>
      </c>
      <c r="Q2588">
        <f t="shared" si="346"/>
        <v>4.8338156964374837E-2</v>
      </c>
      <c r="R2588">
        <f t="shared" si="347"/>
        <v>1</v>
      </c>
      <c r="S2588">
        <f t="shared" si="349"/>
        <v>244.581195019159</v>
      </c>
      <c r="T2588" s="564">
        <f>IF((I2588-MAX(I$470:I2588))/MAX(I$470:I2588)&gt;T2587,T2587,(I2588-MAX(I$470:I2588))/MAX(I$470:I2588))</f>
        <v>-0.91338805338419748</v>
      </c>
      <c r="U2588" s="564">
        <f>IF((J2588-MAX(J$470:J2588))/MAX(J$470:J2588)&gt;U2587,U2587,(J2588-MAX(J$470:J2588))/MAX(J$470:J2588))</f>
        <v>-0.8283551177402233</v>
      </c>
      <c r="V2588" s="564">
        <f>IF((K2588-MAX(K$470:K2588))/MAX(K$470:K2588)&gt;V2587,V2587,(K2588-MAX(K$470:K2588))/MAX(K$470:K2588))</f>
        <v>-0.84885940676762139</v>
      </c>
      <c r="W2588" s="564">
        <f>IF((N2588-MAX(N$470:N2588))/MAX(N$470:N2588)&gt;W2587,W2587,(N2588-MAX(N$470:N2588))/MAX(N$470:N2588))</f>
        <v>-0.62788758315546067</v>
      </c>
      <c r="X2588" s="564">
        <f>IF((O2588-MAX(O$470:O2588))/MAX(O$470:O2588)&gt;X2587,X2587,(O2588-MAX(O$470:O2588))/MAX(O$470:O2588))</f>
        <v>-0.62788758315546067</v>
      </c>
    </row>
    <row r="2589" spans="1:24">
      <c r="A2589" s="799">
        <v>42991</v>
      </c>
      <c r="B2589">
        <v>4031.57</v>
      </c>
      <c r="C2589">
        <v>4709.3555990000004</v>
      </c>
      <c r="D2589">
        <v>2.367972</v>
      </c>
      <c r="E2589">
        <f>LN(D2589/参数实验室!$E$53)/参数实验室!$E$55</f>
        <v>0.32401898731656936</v>
      </c>
      <c r="F2589">
        <f t="shared" si="348"/>
        <v>1.1681195164662899</v>
      </c>
      <c r="G2589">
        <f>LN(F2589/参数实验室!$E$58)/参数实验室!$E$59</f>
        <v>-0.10897022307942107</v>
      </c>
      <c r="H2589" s="856">
        <f>INDEX(神经网络!$G$10:$BO$70,MATCH(ROUND(G2589*2,1)/2,神经网络!$E$10:$E$70,0),MATCH(ROUND(E2589*2,1)/2,神经网络!$G$8:$BO$8,0))</f>
        <v>1.374083265446286</v>
      </c>
      <c r="I2589">
        <f t="shared" si="350"/>
        <v>21610.587727817092</v>
      </c>
      <c r="J2589">
        <f t="shared" si="351"/>
        <v>1608.702765252782</v>
      </c>
      <c r="K2589">
        <f t="shared" si="352"/>
        <v>13.433549189194894</v>
      </c>
      <c r="L2589" s="4">
        <f>MIN(MAX(L2588*(1+MAX(MIN(((B2589-B2588)/B2588)/($K$7*卓尔金历!$N$40),0),-卓尔金历!$M$43))+MIN(MAX(((B2589-B2588)/B2588)/($K$7*卓尔金历!$N$40),0),卓尔金历!$M$43),0),1)</f>
        <v>0.11582945652896366</v>
      </c>
      <c r="M2589" s="4">
        <f>MIN(MAX(M2588*(1+MAX(MIN(((B2589-B2588)/B2588)/($K$7*30),0),-卓尔金历!$M$43))+MIN(MAX(((B2589-B2588)/B2588)/($K$7*7),0),卓尔金历!$M$43),0),1)</f>
        <v>0.63882418633246996</v>
      </c>
      <c r="N2589">
        <f t="shared" si="353"/>
        <v>22701.897996082622</v>
      </c>
      <c r="O2589">
        <f t="shared" si="354"/>
        <v>46902.15928115671</v>
      </c>
      <c r="P2589">
        <f t="shared" si="355"/>
        <v>-4.7277290311298466E-2</v>
      </c>
      <c r="Q2589">
        <f t="shared" si="346"/>
        <v>4.8403353086802769E-2</v>
      </c>
      <c r="R2589">
        <f t="shared" si="347"/>
        <v>7.3015020334459835E-2</v>
      </c>
      <c r="S2589">
        <f t="shared" si="349"/>
        <v>226.57881527196903</v>
      </c>
      <c r="T2589" s="564">
        <f>IF((I2589-MAX(I$470:I2589))/MAX(I$470:I2589)&gt;T2588,T2588,(I2589-MAX(I$470:I2589))/MAX(I$470:I2589))</f>
        <v>-0.91338805338419748</v>
      </c>
      <c r="U2589" s="564">
        <f>IF((J2589-MAX(J$470:J2589))/MAX(J$470:J2589)&gt;U2588,U2588,(J2589-MAX(J$470:J2589))/MAX(J$470:J2589))</f>
        <v>-0.8283551177402233</v>
      </c>
      <c r="V2589" s="564">
        <f>IF((K2589-MAX(K$470:K2589))/MAX(K$470:K2589)&gt;V2588,V2588,(K2589-MAX(K$470:K2589))/MAX(K$470:K2589))</f>
        <v>-0.84885940676762139</v>
      </c>
      <c r="W2589" s="564">
        <f>IF((N2589-MAX(N$470:N2589))/MAX(N$470:N2589)&gt;W2588,W2588,(N2589-MAX(N$470:N2589))/MAX(N$470:N2589))</f>
        <v>-0.62788758315546067</v>
      </c>
      <c r="X2589" s="564">
        <f>IF((O2589-MAX(O$470:O2589))/MAX(O$470:O2589)&gt;X2588,X2588,(O2589-MAX(O$470:O2589))/MAX(O$470:O2589))</f>
        <v>-0.62788758315546067</v>
      </c>
    </row>
    <row r="2590" spans="1:24">
      <c r="A2590" s="799">
        <v>42992</v>
      </c>
      <c r="B2590">
        <v>3874.68</v>
      </c>
      <c r="C2590">
        <v>4643.8073059999997</v>
      </c>
      <c r="D2590">
        <v>1.9952110000000001</v>
      </c>
      <c r="E2590">
        <f>LN(D2590/参数实验室!$E$53)/参数实验室!$E$55</f>
        <v>0.12194603420517328</v>
      </c>
      <c r="F2590">
        <f t="shared" si="348"/>
        <v>1.1985008583934673</v>
      </c>
      <c r="G2590">
        <f>LN(F2590/参数实验室!$E$58)/参数实验室!$E$59</f>
        <v>-9.5493920454763723E-2</v>
      </c>
      <c r="H2590" s="856">
        <f>INDEX(神经网络!$G$10:$BO$70,MATCH(ROUND(G2590*2,1)/2,神经网络!$E$10:$E$70,0),MATCH(ROUND(E2590*2,1)/2,神经网络!$G$8:$BO$8,0))</f>
        <v>0.14425010747060138</v>
      </c>
      <c r="I2590">
        <f t="shared" si="350"/>
        <v>20455.005944666664</v>
      </c>
      <c r="J2590">
        <f t="shared" si="351"/>
        <v>1546.0995171780842</v>
      </c>
      <c r="K2590">
        <f t="shared" si="352"/>
        <v>13.2300707149827</v>
      </c>
      <c r="L2590" s="4">
        <f>MIN(MAX(L2589*(1+MAX(MIN(((B2590-B2589)/B2589)/($K$7*卓尔金历!$N$40),0),-卓尔金历!$M$43))+MIN(MAX(((B2590-B2589)/B2589)/($K$7*卓尔金历!$N$40),0),卓尔金历!$M$43),0),1)</f>
        <v>4.6958493589860796E-2</v>
      </c>
      <c r="M2590" s="4">
        <f>MIN(MAX(M2589*(1+MAX(MIN(((B2590-B2589)/B2589)/($K$7*30),0),-卓尔金历!$M$43))+MIN(MAX(((B2590-B2589)/B2589)/($K$7*7),0),卓尔金历!$M$43),0),1)</f>
        <v>0.44890515286750426</v>
      </c>
      <c r="N2590">
        <f t="shared" si="353"/>
        <v>22561.288291666293</v>
      </c>
      <c r="O2590">
        <f t="shared" si="354"/>
        <v>45299.99038466272</v>
      </c>
      <c r="P2590">
        <f t="shared" si="355"/>
        <v>-3.8915360517118719E-2</v>
      </c>
      <c r="Q2590">
        <f t="shared" si="346"/>
        <v>4.9028646628384548E-2</v>
      </c>
      <c r="R2590">
        <f t="shared" si="347"/>
        <v>0.2906009957230008</v>
      </c>
      <c r="S2590">
        <f t="shared" si="349"/>
        <v>225.69417721072389</v>
      </c>
      <c r="T2590" s="564">
        <f>IF((I2590-MAX(I$470:I2590))/MAX(I$470:I2590)&gt;T2589,T2589,(I2590-MAX(I$470:I2590))/MAX(I$470:I2590))</f>
        <v>-0.91338805338419748</v>
      </c>
      <c r="U2590" s="564">
        <f>IF((J2590-MAX(J$470:J2590))/MAX(J$470:J2590)&gt;U2589,U2589,(J2590-MAX(J$470:J2590))/MAX(J$470:J2590))</f>
        <v>-0.8283551177402233</v>
      </c>
      <c r="V2590" s="564">
        <f>IF((K2590-MAX(K$470:K2590))/MAX(K$470:K2590)&gt;V2589,V2589,(K2590-MAX(K$470:K2590))/MAX(K$470:K2590))</f>
        <v>-0.84885940676762139</v>
      </c>
      <c r="W2590" s="564">
        <f>IF((N2590-MAX(N$470:N2590))/MAX(N$470:N2590)&gt;W2589,W2589,(N2590-MAX(N$470:N2590))/MAX(N$470:N2590))</f>
        <v>-0.62788758315546067</v>
      </c>
      <c r="X2590" s="564">
        <f>IF((O2590-MAX(O$470:O2590))/MAX(O$470:O2590)&gt;X2589,X2589,(O2590-MAX(O$470:O2590))/MAX(O$470:O2590))</f>
        <v>-0.62788758315546067</v>
      </c>
    </row>
    <row r="2591" spans="1:24">
      <c r="A2591" s="799">
        <v>42993</v>
      </c>
      <c r="B2591">
        <v>3387.13</v>
      </c>
      <c r="C2591">
        <v>4497.0236690000002</v>
      </c>
      <c r="D2591">
        <v>2.2632089999999998</v>
      </c>
      <c r="E2591">
        <f>LN(D2591/参数实验室!$E$53)/参数实验室!$E$55</f>
        <v>0.27063494661718412</v>
      </c>
      <c r="F2591">
        <f t="shared" si="348"/>
        <v>1.3276796783707741</v>
      </c>
      <c r="G2591">
        <f>LN(F2591/参数实验室!$E$58)/参数实验室!$E$59</f>
        <v>-4.1769165279308254E-2</v>
      </c>
      <c r="H2591" s="856">
        <f>INDEX(神经网络!$G$10:$BO$70,MATCH(ROUND(G2591*2,1)/2,神经网络!$E$10:$E$70,0),MATCH(ROUND(E2591*2,1)/2,神经网络!$G$8:$BO$8,0))</f>
        <v>1.3306722236450521</v>
      </c>
      <c r="I2591">
        <f t="shared" si="350"/>
        <v>20083.728065026953</v>
      </c>
      <c r="J2591">
        <f t="shared" si="351"/>
        <v>1351.5542077331299</v>
      </c>
      <c r="K2591">
        <f t="shared" si="352"/>
        <v>14.859728119016422</v>
      </c>
      <c r="L2591" s="4">
        <f>MIN(MAX(L2590*(1+MAX(MIN(((B2591-B2590)/B2590)/($K$7*卓尔金历!$N$40),0),-卓尔金历!$M$43))+MIN(MAX(((B2591-B2590)/B2590)/($K$7*卓尔金历!$N$40),0),卓尔金历!$M$43),0),1)</f>
        <v>0</v>
      </c>
      <c r="M2591" s="4">
        <f>MIN(MAX(M2590*(1+MAX(MIN(((B2591-B2590)/B2590)/($K$7*30),0),-卓尔金历!$M$43))+MIN(MAX(((B2591-B2590)/B2590)/($K$7*7),0),卓尔金历!$M$43),0),1)</f>
        <v>1.7382108453683206E-2</v>
      </c>
      <c r="N2591">
        <f t="shared" si="353"/>
        <v>22542.058369933475</v>
      </c>
      <c r="O2591">
        <f t="shared" si="354"/>
        <v>44930.88348324877</v>
      </c>
      <c r="P2591">
        <f t="shared" si="355"/>
        <v>-0.12582974594030985</v>
      </c>
      <c r="Q2591">
        <f t="shared" si="346"/>
        <v>5.3625294489835468E-2</v>
      </c>
      <c r="R2591">
        <f t="shared" si="347"/>
        <v>7.211677483384013E-3</v>
      </c>
      <c r="S2591">
        <f t="shared" si="349"/>
        <v>224.50371142601563</v>
      </c>
      <c r="T2591" s="564">
        <f>IF((I2591-MAX(I$470:I2591))/MAX(I$470:I2591)&gt;T2590,T2590,(I2591-MAX(I$470:I2591))/MAX(I$470:I2591))</f>
        <v>-0.91338805338419748</v>
      </c>
      <c r="U2591" s="564">
        <f>IF((J2591-MAX(J$470:J2591))/MAX(J$470:J2591)&gt;U2590,U2590,(J2591-MAX(J$470:J2591))/MAX(J$470:J2591))</f>
        <v>-0.8283551177402233</v>
      </c>
      <c r="V2591" s="564">
        <f>IF((K2591-MAX(K$470:K2591))/MAX(K$470:K2591)&gt;V2590,V2590,(K2591-MAX(K$470:K2591))/MAX(K$470:K2591))</f>
        <v>-0.84885940676762139</v>
      </c>
      <c r="W2591" s="564">
        <f>IF((N2591-MAX(N$470:N2591))/MAX(N$470:N2591)&gt;W2590,W2590,(N2591-MAX(N$470:N2591))/MAX(N$470:N2591))</f>
        <v>-0.62788758315546067</v>
      </c>
      <c r="X2591" s="564">
        <f>IF((O2591-MAX(O$470:O2591))/MAX(O$470:O2591)&gt;X2590,X2590,(O2591-MAX(O$470:O2591))/MAX(O$470:O2591))</f>
        <v>-0.62788758315546067</v>
      </c>
    </row>
    <row r="2592" spans="1:24">
      <c r="A2592" s="799">
        <v>42994</v>
      </c>
      <c r="B2592">
        <v>3697.86</v>
      </c>
      <c r="C2592">
        <v>4528.1121290000001</v>
      </c>
      <c r="D2592">
        <v>2.2658879999999999</v>
      </c>
      <c r="E2592">
        <f>LN(D2592/参数实验室!$E$53)/参数实验室!$E$55</f>
        <v>0.27203061525011907</v>
      </c>
      <c r="F2592">
        <f t="shared" si="348"/>
        <v>1.2245223261562093</v>
      </c>
      <c r="G2592">
        <f>LN(F2592/参数实验室!$E$58)/参数实验室!$E$59</f>
        <v>-8.4220402535644306E-2</v>
      </c>
      <c r="H2592" s="856">
        <f>INDEX(神经网络!$G$10:$BO$70,MATCH(ROUND(G2592*2,1)/2,神经网络!$E$10:$E$70,0),MATCH(ROUND(E2592*2,1)/2,神经网络!$G$8:$BO$8,0))</f>
        <v>1.2804811196591386</v>
      </c>
      <c r="I2592">
        <f t="shared" si="350"/>
        <v>22535.424770785565</v>
      </c>
      <c r="J2592">
        <f t="shared" si="351"/>
        <v>1475.5436734368129</v>
      </c>
      <c r="K2592">
        <f t="shared" si="352"/>
        <v>15.272624712148581</v>
      </c>
      <c r="L2592" s="4">
        <f>MIN(MAX(L2591*(1+MAX(MIN(((B2592-B2591)/B2591)/($K$7*卓尔金历!$N$40),0),-卓尔金历!$M$43))+MIN(MAX(((B2592-B2591)/B2591)/($K$7*卓尔金历!$N$40),0),卓尔金历!$M$43),0),1)</f>
        <v>1</v>
      </c>
      <c r="M2592" s="4">
        <f>MIN(MAX(M2591*(1+MAX(MIN(((B2592-B2591)/B2591)/($K$7*30),0),-卓尔金历!$M$43))+MIN(MAX(((B2592-B2591)/B2591)/($K$7*7),0),卓尔金历!$M$43),0),1)</f>
        <v>1</v>
      </c>
      <c r="N2592">
        <f t="shared" si="353"/>
        <v>22542.058369933475</v>
      </c>
      <c r="O2592">
        <f t="shared" si="354"/>
        <v>45026.222314741332</v>
      </c>
      <c r="P2592">
        <f t="shared" si="355"/>
        <v>9.1738433422986418E-2</v>
      </c>
      <c r="Q2592">
        <f t="shared" si="346"/>
        <v>5.7907245651438621E-2</v>
      </c>
      <c r="R2592">
        <f t="shared" si="347"/>
        <v>2.8952355739273395E-2</v>
      </c>
      <c r="S2592">
        <f t="shared" si="349"/>
        <v>224.7013547878139</v>
      </c>
      <c r="T2592" s="564">
        <f>IF((I2592-MAX(I$470:I2592))/MAX(I$470:I2592)&gt;T2591,T2591,(I2592-MAX(I$470:I2592))/MAX(I$470:I2592))</f>
        <v>-0.91338805338419748</v>
      </c>
      <c r="U2592" s="564">
        <f>IF((J2592-MAX(J$470:J2592))/MAX(J$470:J2592)&gt;U2591,U2591,(J2592-MAX(J$470:J2592))/MAX(J$470:J2592))</f>
        <v>-0.8283551177402233</v>
      </c>
      <c r="V2592" s="564">
        <f>IF((K2592-MAX(K$470:K2592))/MAX(K$470:K2592)&gt;V2591,V2591,(K2592-MAX(K$470:K2592))/MAX(K$470:K2592))</f>
        <v>-0.84885940676762139</v>
      </c>
      <c r="W2592" s="564">
        <f>IF((N2592-MAX(N$470:N2592))/MAX(N$470:N2592)&gt;W2591,W2591,(N2592-MAX(N$470:N2592))/MAX(N$470:N2592))</f>
        <v>-0.62788758315546067</v>
      </c>
      <c r="X2592" s="564">
        <f>IF((O2592-MAX(O$470:O2592))/MAX(O$470:O2592)&gt;X2591,X2591,(O2592-MAX(O$470:O2592))/MAX(O$470:O2592))</f>
        <v>-0.62788758315546067</v>
      </c>
    </row>
    <row r="2593" spans="1:24">
      <c r="A2593" s="799">
        <v>42995</v>
      </c>
      <c r="B2593">
        <v>3579.77</v>
      </c>
      <c r="C2593">
        <v>4451.5788480000001</v>
      </c>
      <c r="D2593">
        <v>2.264786</v>
      </c>
      <c r="E2593">
        <f>LN(D2593/参数实验室!$E$53)/参数实验室!$E$55</f>
        <v>0.27145671030772173</v>
      </c>
      <c r="F2593">
        <f t="shared" si="348"/>
        <v>1.2435376708559489</v>
      </c>
      <c r="G2593">
        <f>LN(F2593/参数实验室!$E$58)/参数实验室!$E$59</f>
        <v>-7.6132691504913322E-2</v>
      </c>
      <c r="H2593" s="856">
        <f>INDEX(神经网络!$G$10:$BO$70,MATCH(ROUND(G2593*2,1)/2,神经网络!$E$10:$E$70,0),MATCH(ROUND(E2593*2,1)/2,神经网络!$G$8:$BO$8,0))</f>
        <v>1.2804811196591386</v>
      </c>
      <c r="I2593">
        <f t="shared" si="350"/>
        <v>21613.911517728764</v>
      </c>
      <c r="J2593">
        <f t="shared" si="351"/>
        <v>1428.4226487370802</v>
      </c>
      <c r="K2593">
        <f t="shared" si="352"/>
        <v>15.131313926475753</v>
      </c>
      <c r="L2593" s="4">
        <f>MIN(MAX(L2592*(1+MAX(MIN(((B2593-B2592)/B2592)/($K$7*卓尔金历!$N$40),0),-卓尔金历!$M$43))+MIN(MAX(((B2593-B2592)/B2592)/($K$7*卓尔金历!$N$40),0),卓尔金历!$M$43),0),1)</f>
        <v>0.51206863496605615</v>
      </c>
      <c r="M2593" s="4">
        <f>MIN(MAX(M2592*(1+MAX(MIN(((B2593-B2592)/B2592)/($K$7*30),0),-卓尔金历!$M$43))+MIN(MAX(((B2593-B2592)/B2592)/($K$7*7),0),卓尔金历!$M$43),0),1)</f>
        <v>0.75603431748302807</v>
      </c>
      <c r="N2593">
        <f t="shared" si="353"/>
        <v>21620.273857311236</v>
      </c>
      <c r="O2593">
        <f t="shared" si="354"/>
        <v>43185.020694618965</v>
      </c>
      <c r="P2593">
        <f t="shared" si="355"/>
        <v>-3.1934686548436161E-2</v>
      </c>
      <c r="Q2593">
        <f t="shared" si="346"/>
        <v>5.8155123255311934E-2</v>
      </c>
      <c r="R2593">
        <f t="shared" si="347"/>
        <v>0.69203928431536621</v>
      </c>
      <c r="S2593">
        <f t="shared" si="349"/>
        <v>224.43532796093814</v>
      </c>
      <c r="T2593" s="564">
        <f>IF((I2593-MAX(I$470:I2593))/MAX(I$470:I2593)&gt;T2592,T2592,(I2593-MAX(I$470:I2593))/MAX(I$470:I2593))</f>
        <v>-0.91338805338419748</v>
      </c>
      <c r="U2593" s="564">
        <f>IF((J2593-MAX(J$470:J2593))/MAX(J$470:J2593)&gt;U2592,U2592,(J2593-MAX(J$470:J2593))/MAX(J$470:J2593))</f>
        <v>-0.8283551177402233</v>
      </c>
      <c r="V2593" s="564">
        <f>IF((K2593-MAX(K$470:K2593))/MAX(K$470:K2593)&gt;V2592,V2592,(K2593-MAX(K$470:K2593))/MAX(K$470:K2593))</f>
        <v>-0.84885940676762139</v>
      </c>
      <c r="W2593" s="564">
        <f>IF((N2593-MAX(N$470:N2593))/MAX(N$470:N2593)&gt;W2592,W2592,(N2593-MAX(N$470:N2593))/MAX(N$470:N2593))</f>
        <v>-0.62788758315546067</v>
      </c>
      <c r="X2593" s="564">
        <f>IF((O2593-MAX(O$470:O2593))/MAX(O$470:O2593)&gt;X2592,X2592,(O2593-MAX(O$470:O2593))/MAX(O$470:O2593))</f>
        <v>-0.62788758315546067</v>
      </c>
    </row>
    <row r="2594" spans="1:24">
      <c r="A2594" s="799">
        <v>42996</v>
      </c>
      <c r="B2594">
        <v>3701.85</v>
      </c>
      <c r="C2594">
        <v>4522.6070440000003</v>
      </c>
      <c r="D2594">
        <v>2.4791509999999999</v>
      </c>
      <c r="E2594">
        <f>LN(D2594/参数实验室!$E$53)/参数实验室!$E$55</f>
        <v>0.37814874445934993</v>
      </c>
      <c r="F2594">
        <f t="shared" si="348"/>
        <v>1.2217153704228967</v>
      </c>
      <c r="G2594">
        <f>LN(F2594/参数实验室!$E$58)/参数实验室!$E$59</f>
        <v>-8.5424899313719035E-2</v>
      </c>
      <c r="H2594" s="856">
        <f>INDEX(神经网络!$G$10:$BO$70,MATCH(ROUND(G2594*2,1)/2,神经网络!$E$10:$E$70,0),MATCH(ROUND(E2594*2,1)/2,神经网络!$G$8:$BO$8,0))</f>
        <v>1.5568769143241705</v>
      </c>
      <c r="I2594">
        <f t="shared" si="350"/>
        <v>22557.746228378524</v>
      </c>
      <c r="J2594">
        <f t="shared" si="351"/>
        <v>1477.13578867563</v>
      </c>
      <c r="K2594">
        <f t="shared" si="352"/>
        <v>15.271274585123512</v>
      </c>
      <c r="L2594" s="4">
        <f>MIN(MAX(L2593*(1+MAX(MIN(((B2594-B2593)/B2593)/($K$7*卓尔金历!$N$40),0),-卓尔金历!$M$43))+MIN(MAX(((B2594-B2593)/B2593)/($K$7*卓尔金历!$N$40),0),卓尔金历!$M$43),0),1)</f>
        <v>1</v>
      </c>
      <c r="M2594" s="4">
        <f>MIN(MAX(M2593*(1+MAX(MIN(((B2594-B2593)/B2593)/($K$7*30),0),-卓尔金历!$M$43))+MIN(MAX(((B2594-B2593)/B2593)/($K$7*7),0),卓尔金历!$M$43),0),1)</f>
        <v>1</v>
      </c>
      <c r="N2594">
        <f t="shared" si="353"/>
        <v>22103.724277348538</v>
      </c>
      <c r="O2594">
        <f t="shared" si="354"/>
        <v>44610.750461383468</v>
      </c>
      <c r="P2594">
        <f t="shared" si="355"/>
        <v>3.4102749617992194E-2</v>
      </c>
      <c r="Q2594">
        <f t="shared" si="346"/>
        <v>5.8803489653492219E-2</v>
      </c>
      <c r="R2594">
        <f t="shared" si="347"/>
        <v>0.63466256878381233</v>
      </c>
      <c r="S2594">
        <f t="shared" si="349"/>
        <v>231.21774583221568</v>
      </c>
      <c r="T2594" s="564">
        <f>IF((I2594-MAX(I$470:I2594))/MAX(I$470:I2594)&gt;T2593,T2593,(I2594-MAX(I$470:I2594))/MAX(I$470:I2594))</f>
        <v>-0.91338805338419748</v>
      </c>
      <c r="U2594" s="564">
        <f>IF((J2594-MAX(J$470:J2594))/MAX(J$470:J2594)&gt;U2593,U2593,(J2594-MAX(J$470:J2594))/MAX(J$470:J2594))</f>
        <v>-0.8283551177402233</v>
      </c>
      <c r="V2594" s="564">
        <f>IF((K2594-MAX(K$470:K2594))/MAX(K$470:K2594)&gt;V2593,V2593,(K2594-MAX(K$470:K2594))/MAX(K$470:K2594))</f>
        <v>-0.84885940676762139</v>
      </c>
      <c r="W2594" s="564">
        <f>IF((N2594-MAX(N$470:N2594))/MAX(N$470:N2594)&gt;W2593,W2593,(N2594-MAX(N$470:N2594))/MAX(N$470:N2594))</f>
        <v>-0.62788758315546067</v>
      </c>
      <c r="X2594" s="564">
        <f>IF((O2594-MAX(O$470:O2594))/MAX(O$470:O2594)&gt;X2593,X2593,(O2594-MAX(O$470:O2594))/MAX(O$470:O2594))</f>
        <v>-0.62788758315546067</v>
      </c>
    </row>
    <row r="2595" spans="1:24">
      <c r="A2595" s="799">
        <v>42997</v>
      </c>
      <c r="B2595">
        <v>3980.17</v>
      </c>
      <c r="C2595">
        <v>4448.8702679999997</v>
      </c>
      <c r="D2595">
        <v>2.381097</v>
      </c>
      <c r="E2595">
        <f>LN(D2595/参数实验室!$E$53)/参数实验室!$E$55</f>
        <v>0.33053997100850041</v>
      </c>
      <c r="F2595">
        <f t="shared" si="348"/>
        <v>1.1177588565312535</v>
      </c>
      <c r="G2595">
        <f>LN(F2595/参数实验室!$E$58)/参数实验室!$E$59</f>
        <v>-0.13210030209494428</v>
      </c>
      <c r="H2595" s="856">
        <f>INDEX(神经网络!$G$10:$BO$70,MATCH(ROUND(G2595*2,1)/2,神经网络!$E$10:$E$70,0),MATCH(ROUND(E2595*2,1)/2,神经网络!$G$8:$BO$8,0))</f>
        <v>1.4230538058217563</v>
      </c>
      <c r="I2595">
        <f t="shared" si="350"/>
        <v>25198.181856539035</v>
      </c>
      <c r="J2595">
        <f t="shared" si="351"/>
        <v>1588.1928095447095</v>
      </c>
      <c r="K2595">
        <f t="shared" si="352"/>
        <v>15.865946316532343</v>
      </c>
      <c r="L2595" s="4">
        <f>MIN(MAX(L2594*(1+MAX(MIN(((B2595-B2594)/B2594)/($K$7*卓尔金历!$N$40),0),-卓尔金历!$M$43))+MIN(MAX(((B2595-B2594)/B2594)/($K$7*卓尔金历!$N$40),0),卓尔金历!$M$43),0),1)</f>
        <v>1</v>
      </c>
      <c r="M2595" s="4">
        <f>MIN(MAX(M2594*(1+MAX(MIN(((B2595-B2594)/B2594)/($K$7*30),0),-卓尔金历!$M$43))+MIN(MAX(((B2595-B2594)/B2594)/($K$7*7),0),卓尔金历!$M$43),0),1)</f>
        <v>1</v>
      </c>
      <c r="N2595">
        <f t="shared" si="353"/>
        <v>24691.015600961531</v>
      </c>
      <c r="O2595">
        <f t="shared" si="354"/>
        <v>49832.540516323803</v>
      </c>
      <c r="P2595">
        <f t="shared" si="355"/>
        <v>7.5184029606818262E-2</v>
      </c>
      <c r="Q2595">
        <f t="shared" si="346"/>
        <v>6.1131430344801861E-2</v>
      </c>
      <c r="R2595">
        <f t="shared" si="347"/>
        <v>4.6636301194157959E-2</v>
      </c>
      <c r="S2595">
        <f t="shared" si="349"/>
        <v>248.39461175348717</v>
      </c>
      <c r="T2595" s="564">
        <f>IF((I2595-MAX(I$470:I2595))/MAX(I$470:I2595)&gt;T2594,T2594,(I2595-MAX(I$470:I2595))/MAX(I$470:I2595))</f>
        <v>-0.91338805338419748</v>
      </c>
      <c r="U2595" s="564">
        <f>IF((J2595-MAX(J$470:J2595))/MAX(J$470:J2595)&gt;U2594,U2594,(J2595-MAX(J$470:J2595))/MAX(J$470:J2595))</f>
        <v>-0.8283551177402233</v>
      </c>
      <c r="V2595" s="564">
        <f>IF((K2595-MAX(K$470:K2595))/MAX(K$470:K2595)&gt;V2594,V2594,(K2595-MAX(K$470:K2595))/MAX(K$470:K2595))</f>
        <v>-0.84885940676762139</v>
      </c>
      <c r="W2595" s="564">
        <f>IF((N2595-MAX(N$470:N2595))/MAX(N$470:N2595)&gt;W2594,W2594,(N2595-MAX(N$470:N2595))/MAX(N$470:N2595))</f>
        <v>-0.62788758315546067</v>
      </c>
      <c r="X2595" s="564">
        <f>IF((O2595-MAX(O$470:O2595))/MAX(O$470:O2595)&gt;X2594,X2594,(O2595-MAX(O$470:O2595))/MAX(O$470:O2595))</f>
        <v>-0.62788758315546067</v>
      </c>
    </row>
    <row r="2596" spans="1:24">
      <c r="A2596" s="799">
        <v>42998</v>
      </c>
      <c r="B2596">
        <v>3916.37</v>
      </c>
      <c r="C2596">
        <v>4444.3888500000003</v>
      </c>
      <c r="D2596">
        <v>2.3596560000000002</v>
      </c>
      <c r="E2596">
        <f>LN(D2596/参数实验室!$E$53)/参数实验室!$E$55</f>
        <v>0.31986856004283298</v>
      </c>
      <c r="F2596">
        <f t="shared" si="348"/>
        <v>1.1348235355699283</v>
      </c>
      <c r="G2596">
        <f>LN(F2596/参数实验室!$E$58)/参数实验室!$E$59</f>
        <v>-0.12414797399249183</v>
      </c>
      <c r="H2596" s="856">
        <f>INDEX(神经网络!$G$10:$BO$70,MATCH(ROUND(G2596*2,1)/2,神经网络!$E$10:$E$70,0),MATCH(ROUND(E2596*2,1)/2,神经网络!$G$8:$BO$8,0))</f>
        <v>1.374083265446286</v>
      </c>
      <c r="I2596">
        <f t="shared" si="350"/>
        <v>24623.391353598457</v>
      </c>
      <c r="J2596">
        <f t="shared" si="351"/>
        <v>1562.7349267786585</v>
      </c>
      <c r="K2596">
        <f t="shared" si="352"/>
        <v>15.756601411831149</v>
      </c>
      <c r="L2596" s="4">
        <f>MIN(MAX(L2595*(1+MAX(MIN(((B2596-B2595)/B2595)/($K$7*卓尔金历!$N$40),0),-卓尔金历!$M$43))+MIN(MAX(((B2596-B2595)/B2595)/($K$7*卓尔金历!$N$40),0),卓尔金历!$M$43),0),1)</f>
        <v>0.7550851406547805</v>
      </c>
      <c r="M2596" s="4">
        <f>MIN(MAX(M2595*(1+MAX(MIN(((B2596-B2595)/B2595)/($K$7*30),0),-卓尔金历!$M$43))+MIN(MAX(((B2596-B2595)/B2595)/($K$7*7),0),卓尔金历!$M$43),0),1)</f>
        <v>0.87754257032739025</v>
      </c>
      <c r="N2596">
        <f t="shared" si="353"/>
        <v>24127.793962345277</v>
      </c>
      <c r="O2596">
        <f t="shared" si="354"/>
        <v>48695.820764507604</v>
      </c>
      <c r="P2596">
        <f t="shared" si="355"/>
        <v>-1.6029466078082137E-2</v>
      </c>
      <c r="Q2596">
        <f t="shared" si="346"/>
        <v>6.0231841862999271E-2</v>
      </c>
      <c r="R2596">
        <f t="shared" si="347"/>
        <v>1</v>
      </c>
      <c r="S2596">
        <f t="shared" si="349"/>
        <v>248.13036683336327</v>
      </c>
      <c r="T2596" s="564">
        <f>IF((I2596-MAX(I$470:I2596))/MAX(I$470:I2596)&gt;T2595,T2595,(I2596-MAX(I$470:I2596))/MAX(I$470:I2596))</f>
        <v>-0.91338805338419748</v>
      </c>
      <c r="U2596" s="564">
        <f>IF((J2596-MAX(J$470:J2596))/MAX(J$470:J2596)&gt;U2595,U2595,(J2596-MAX(J$470:J2596))/MAX(J$470:J2596))</f>
        <v>-0.8283551177402233</v>
      </c>
      <c r="V2596" s="564">
        <f>IF((K2596-MAX(K$470:K2596))/MAX(K$470:K2596)&gt;V2595,V2595,(K2596-MAX(K$470:K2596))/MAX(K$470:K2596))</f>
        <v>-0.84885940676762139</v>
      </c>
      <c r="W2596" s="564">
        <f>IF((N2596-MAX(N$470:N2596))/MAX(N$470:N2596)&gt;W2595,W2595,(N2596-MAX(N$470:N2596))/MAX(N$470:N2596))</f>
        <v>-0.62788758315546067</v>
      </c>
      <c r="X2596" s="564">
        <f>IF((O2596-MAX(O$470:O2596))/MAX(O$470:O2596)&gt;X2595,X2595,(O2596-MAX(O$470:O2596))/MAX(O$470:O2596))</f>
        <v>-0.62788758315546067</v>
      </c>
    </row>
    <row r="2597" spans="1:24">
      <c r="A2597" s="799">
        <v>42999</v>
      </c>
      <c r="B2597">
        <v>3896.09</v>
      </c>
      <c r="C2597">
        <v>4205.9616740000001</v>
      </c>
      <c r="D2597">
        <v>2.1930939999999999</v>
      </c>
      <c r="E2597">
        <f>LN(D2597/参数实验室!$E$53)/参数实验室!$E$55</f>
        <v>0.23350765724241501</v>
      </c>
      <c r="F2597">
        <f t="shared" si="348"/>
        <v>1.0795340133313143</v>
      </c>
      <c r="G2597">
        <f>LN(F2597/参数实验室!$E$58)/参数实验室!$E$59</f>
        <v>-0.15036321824365034</v>
      </c>
      <c r="H2597" s="856">
        <f>INDEX(神经网络!$G$10:$BO$70,MATCH(ROUND(G2597*2,1)/2,神经网络!$E$10:$E$70,0),MATCH(ROUND(E2597*2,1)/2,神经网络!$G$8:$BO$8,0))</f>
        <v>1.2368247565584678</v>
      </c>
      <c r="I2597">
        <f t="shared" si="350"/>
        <v>24448.186895094899</v>
      </c>
      <c r="J2597">
        <f t="shared" si="351"/>
        <v>1554.6426718806099</v>
      </c>
      <c r="K2597">
        <f t="shared" si="352"/>
        <v>15.725920391417391</v>
      </c>
      <c r="L2597" s="4">
        <f>MIN(MAX(L2596*(1+MAX(MIN(((B2597-B2596)/B2596)/($K$7*卓尔金历!$N$40),0),-卓尔金历!$M$43))+MIN(MAX(((B2597-B2596)/B2596)/($K$7*卓尔金历!$N$40),0),卓尔金历!$M$43),0),1)</f>
        <v>0.69534362482723555</v>
      </c>
      <c r="M2597" s="4">
        <f>MIN(MAX(M2596*(1+MAX(MIN(((B2597-B2596)/B2596)/($K$7*30),0),-卓尔金历!$M$43))+MIN(MAX(((B2597-B2596)/B2596)/($K$7*7),0),卓尔金历!$M$43),0),1)</f>
        <v>0.8428274630289625</v>
      </c>
      <c r="N2597">
        <f t="shared" si="353"/>
        <v>23998.162379050053</v>
      </c>
      <c r="O2597">
        <f t="shared" si="354"/>
        <v>48391.762249660605</v>
      </c>
      <c r="P2597">
        <f t="shared" si="355"/>
        <v>-5.1782645664224134E-3</v>
      </c>
      <c r="Q2597">
        <f t="shared" si="346"/>
        <v>6.0227629202982136E-2</v>
      </c>
      <c r="R2597">
        <f t="shared" si="347"/>
        <v>1</v>
      </c>
      <c r="S2597">
        <f t="shared" si="349"/>
        <v>246.36482828771628</v>
      </c>
      <c r="T2597" s="564">
        <f>IF((I2597-MAX(I$470:I2597))/MAX(I$470:I2597)&gt;T2596,T2596,(I2597-MAX(I$470:I2597))/MAX(I$470:I2597))</f>
        <v>-0.91338805338419748</v>
      </c>
      <c r="U2597" s="564">
        <f>IF((J2597-MAX(J$470:J2597))/MAX(J$470:J2597)&gt;U2596,U2596,(J2597-MAX(J$470:J2597))/MAX(J$470:J2597))</f>
        <v>-0.8283551177402233</v>
      </c>
      <c r="V2597" s="564">
        <f>IF((K2597-MAX(K$470:K2597))/MAX(K$470:K2597)&gt;V2596,V2596,(K2597-MAX(K$470:K2597))/MAX(K$470:K2597))</f>
        <v>-0.84885940676762139</v>
      </c>
      <c r="W2597" s="564">
        <f>IF((N2597-MAX(N$470:N2597))/MAX(N$470:N2597)&gt;W2596,W2596,(N2597-MAX(N$470:N2597))/MAX(N$470:N2597))</f>
        <v>-0.62788758315546067</v>
      </c>
      <c r="X2597" s="564">
        <f>IF((O2597-MAX(O$470:O2597))/MAX(O$470:O2597)&gt;X2596,X2596,(O2597-MAX(O$470:O2597))/MAX(O$470:O2597))</f>
        <v>-0.62788758315546067</v>
      </c>
    </row>
    <row r="2598" spans="1:24">
      <c r="A2598" s="799">
        <v>43000</v>
      </c>
      <c r="B2598">
        <v>3668.1</v>
      </c>
      <c r="C2598">
        <v>4261.0680309999998</v>
      </c>
      <c r="D2598">
        <v>2.1916899999999999</v>
      </c>
      <c r="E2598">
        <f>LN(D2598/参数实验室!$E$53)/参数实验室!$E$55</f>
        <v>0.23275214745623427</v>
      </c>
      <c r="F2598">
        <f t="shared" si="348"/>
        <v>1.1616553613587415</v>
      </c>
      <c r="G2598">
        <f>LN(F2598/参数实验室!$E$58)/参数实验室!$E$59</f>
        <v>-0.11188273336679408</v>
      </c>
      <c r="H2598" s="856">
        <f>INDEX(神经网络!$G$10:$BO$70,MATCH(ROUND(G2598*2,1)/2,神经网络!$E$10:$E$70,0),MATCH(ROUND(E2598*2,1)/2,神经网络!$G$8:$BO$8,0))</f>
        <v>1.2804811196591386</v>
      </c>
      <c r="I2598">
        <f t="shared" si="350"/>
        <v>22678.723248651593</v>
      </c>
      <c r="J2598">
        <f t="shared" si="351"/>
        <v>1463.6686484976642</v>
      </c>
      <c r="K2598">
        <f t="shared" si="352"/>
        <v>15.494438083325377</v>
      </c>
      <c r="L2598" s="4">
        <f>MIN(MAX(L2597*(1+MAX(MIN(((B2598-B2597)/B2597)/($K$7*卓尔金历!$N$40),0),-卓尔金历!$M$43))+MIN(MAX(((B2598-B2597)/B2597)/($K$7*卓尔金历!$N$40),0),卓尔金历!$M$43),0),1)</f>
        <v>7.3641468507701285E-2</v>
      </c>
      <c r="M2598" s="4">
        <f>MIN(MAX(M2597*(1+MAX(MIN(((B2598-B2597)/B2597)/($K$7*30),0),-卓尔金历!$M$43))+MIN(MAX(((B2598-B2597)/B2597)/($K$7*7),0),卓尔金历!$M$43),0),1)</f>
        <v>0.46604422057051753</v>
      </c>
      <c r="N2598">
        <f t="shared" si="353"/>
        <v>22790.425153914039</v>
      </c>
      <c r="O2598">
        <f t="shared" si="354"/>
        <v>45439.838713054378</v>
      </c>
      <c r="P2598">
        <f t="shared" si="355"/>
        <v>-5.8517642046256688E-2</v>
      </c>
      <c r="Q2598">
        <f t="shared" si="346"/>
        <v>6.047833940844044E-2</v>
      </c>
      <c r="R2598">
        <f t="shared" si="347"/>
        <v>9.5169543130797229E-2</v>
      </c>
      <c r="S2598">
        <f t="shared" si="349"/>
        <v>228.53391062957192</v>
      </c>
      <c r="T2598" s="564">
        <f>IF((I2598-MAX(I$470:I2598))/MAX(I$470:I2598)&gt;T2597,T2597,(I2598-MAX(I$470:I2598))/MAX(I$470:I2598))</f>
        <v>-0.91338805338419748</v>
      </c>
      <c r="U2598" s="564">
        <f>IF((J2598-MAX(J$470:J2598))/MAX(J$470:J2598)&gt;U2597,U2597,(J2598-MAX(J$470:J2598))/MAX(J$470:J2598))</f>
        <v>-0.8283551177402233</v>
      </c>
      <c r="V2598" s="564">
        <f>IF((K2598-MAX(K$470:K2598))/MAX(K$470:K2598)&gt;V2597,V2597,(K2598-MAX(K$470:K2598))/MAX(K$470:K2598))</f>
        <v>-0.84885940676762139</v>
      </c>
      <c r="W2598" s="564">
        <f>IF((N2598-MAX(N$470:N2598))/MAX(N$470:N2598)&gt;W2597,W2597,(N2598-MAX(N$470:N2598))/MAX(N$470:N2598))</f>
        <v>-0.62788758315546067</v>
      </c>
      <c r="X2598" s="564">
        <f>IF((O2598-MAX(O$470:O2598))/MAX(O$470:O2598)&gt;X2597,X2597,(O2598-MAX(O$470:O2598))/MAX(O$470:O2598))</f>
        <v>-0.62788758315546067</v>
      </c>
    </row>
    <row r="2599" spans="1:24">
      <c r="A2599" s="799">
        <v>43001</v>
      </c>
      <c r="B2599">
        <v>3635.22</v>
      </c>
      <c r="C2599">
        <v>4091.4371120000001</v>
      </c>
      <c r="D2599">
        <v>2.2825340000000001</v>
      </c>
      <c r="E2599">
        <f>LN(D2599/参数实验室!$E$53)/参数实验室!$E$55</f>
        <v>0.28066581232520788</v>
      </c>
      <c r="F2599">
        <f t="shared" si="348"/>
        <v>1.1254991752906289</v>
      </c>
      <c r="G2599">
        <f>LN(F2599/参数实验室!$E$58)/参数实验室!$E$59</f>
        <v>-0.1284782901278011</v>
      </c>
      <c r="H2599" s="856">
        <f>INDEX(神经网络!$G$10:$BO$70,MATCH(ROUND(G2599*2,1)/2,神经网络!$E$10:$E$70,0),MATCH(ROUND(E2599*2,1)/2,神经网络!$G$8:$BO$8,0))</f>
        <v>1.3303819157174839</v>
      </c>
      <c r="I2599">
        <f t="shared" si="350"/>
        <v>22418.418301208156</v>
      </c>
      <c r="J2599">
        <f t="shared" si="351"/>
        <v>1450.5486612665081</v>
      </c>
      <c r="K2599">
        <f t="shared" si="352"/>
        <v>15.455130117202762</v>
      </c>
      <c r="L2599" s="4">
        <f>MIN(MAX(L2598*(1+MAX(MIN(((B2599-B2598)/B2598)/($K$7*卓尔金历!$N$40),0),-卓尔金历!$M$43))+MIN(MAX(((B2599-B2598)/B2598)/($K$7*卓尔金历!$N$40),0),卓尔金历!$M$43),0),1)</f>
        <v>6.3555696171706089E-2</v>
      </c>
      <c r="M2599" s="4">
        <f>MIN(MAX(M2598*(1+MAX(MIN(((B2599-B2598)/B2598)/($K$7*30),0),-卓尔金历!$M$43))+MIN(MAX(((B2599-B2598)/B2598)/($K$7*7),0),卓尔金历!$M$43),0),1)</f>
        <v>0.43413002872703865</v>
      </c>
      <c r="N2599">
        <f t="shared" si="353"/>
        <v>22771.161499053807</v>
      </c>
      <c r="O2599">
        <f t="shared" si="354"/>
        <v>45196.770745786765</v>
      </c>
      <c r="P2599">
        <f t="shared" si="355"/>
        <v>-8.9637687085957606E-3</v>
      </c>
      <c r="Q2599">
        <f t="shared" si="346"/>
        <v>5.9448700516719993E-2</v>
      </c>
      <c r="R2599">
        <f t="shared" si="347"/>
        <v>1</v>
      </c>
      <c r="S2599">
        <f t="shared" si="349"/>
        <v>228.28427161650575</v>
      </c>
      <c r="T2599" s="564">
        <f>IF((I2599-MAX(I$470:I2599))/MAX(I$470:I2599)&gt;T2598,T2598,(I2599-MAX(I$470:I2599))/MAX(I$470:I2599))</f>
        <v>-0.91338805338419748</v>
      </c>
      <c r="U2599" s="564">
        <f>IF((J2599-MAX(J$470:J2599))/MAX(J$470:J2599)&gt;U2598,U2598,(J2599-MAX(J$470:J2599))/MAX(J$470:J2599))</f>
        <v>-0.8283551177402233</v>
      </c>
      <c r="V2599" s="564">
        <f>IF((K2599-MAX(K$470:K2599))/MAX(K$470:K2599)&gt;V2598,V2598,(K2599-MAX(K$470:K2599))/MAX(K$470:K2599))</f>
        <v>-0.84885940676762139</v>
      </c>
      <c r="W2599" s="564">
        <f>IF((N2599-MAX(N$470:N2599))/MAX(N$470:N2599)&gt;W2598,W2598,(N2599-MAX(N$470:N2599))/MAX(N$470:N2599))</f>
        <v>-0.62788758315546067</v>
      </c>
      <c r="X2599" s="564">
        <f>IF((O2599-MAX(O$470:O2599))/MAX(O$470:O2599)&gt;X2598,X2598,(O2599-MAX(O$470:O2599))/MAX(O$470:O2599))</f>
        <v>-0.62788758315546067</v>
      </c>
    </row>
    <row r="2600" spans="1:24">
      <c r="A2600" s="799">
        <v>43002</v>
      </c>
      <c r="B2600">
        <v>3781.92</v>
      </c>
      <c r="C2600">
        <v>3982.0260549999998</v>
      </c>
      <c r="D2600">
        <v>2.222429</v>
      </c>
      <c r="E2600">
        <f>LN(D2600/参数实验室!$E$53)/参数实验室!$E$55</f>
        <v>0.24918352195728183</v>
      </c>
      <c r="F2600">
        <f t="shared" si="348"/>
        <v>1.0529112342408089</v>
      </c>
      <c r="G2600">
        <f>LN(F2600/参数实验室!$E$58)/参数实验室!$E$59</f>
        <v>-0.16346911092957439</v>
      </c>
      <c r="H2600" s="856">
        <f>INDEX(神经网络!$G$10:$BO$70,MATCH(ROUND(G2600*2,1)/2,神经网络!$E$10:$E$70,0),MATCH(ROUND(E2600*2,1)/2,神经网络!$G$8:$BO$8,0))</f>
        <v>1.2368247565584678</v>
      </c>
      <c r="I2600">
        <f t="shared" si="350"/>
        <v>23622.014246072773</v>
      </c>
      <c r="J2600">
        <f t="shared" si="351"/>
        <v>1509.0858305733993</v>
      </c>
      <c r="K2600">
        <f t="shared" si="352"/>
        <v>15.653194647714134</v>
      </c>
      <c r="L2600" s="4">
        <f>MIN(MAX(L2599*(1+MAX(MIN(((B2600-B2599)/B2599)/($K$7*卓尔金历!$N$40),0),-卓尔金历!$M$43))+MIN(MAX(((B2600-B2599)/B2599)/($K$7*卓尔金历!$N$40),0),卓尔金历!$M$43),0),1)</f>
        <v>0.68014429948629773</v>
      </c>
      <c r="M2600" s="4">
        <f>MIN(MAX(M2599*(1+MAX(MIN(((B2600-B2599)/B2599)/($K$7*30),0),-卓尔金历!$M$43))+MIN(MAX(((B2600-B2599)/B2599)/($K$7*7),0),卓尔金历!$M$43),0),1)</f>
        <v>1</v>
      </c>
      <c r="N2600">
        <f t="shared" si="353"/>
        <v>22848.860495797708</v>
      </c>
      <c r="O2600">
        <f t="shared" si="354"/>
        <v>46250.194192786177</v>
      </c>
      <c r="P2600">
        <f t="shared" si="355"/>
        <v>4.0355191707792178E-2</v>
      </c>
      <c r="Q2600">
        <f t="shared" si="346"/>
        <v>5.9403633942680278E-2</v>
      </c>
      <c r="R2600">
        <f t="shared" si="347"/>
        <v>0.46906901825451658</v>
      </c>
      <c r="S2600">
        <f t="shared" si="349"/>
        <v>240.54035587286884</v>
      </c>
      <c r="T2600" s="564">
        <f>IF((I2600-MAX(I$470:I2600))/MAX(I$470:I2600)&gt;T2599,T2599,(I2600-MAX(I$470:I2600))/MAX(I$470:I2600))</f>
        <v>-0.91338805338419748</v>
      </c>
      <c r="U2600" s="564">
        <f>IF((J2600-MAX(J$470:J2600))/MAX(J$470:J2600)&gt;U2599,U2599,(J2600-MAX(J$470:J2600))/MAX(J$470:J2600))</f>
        <v>-0.8283551177402233</v>
      </c>
      <c r="V2600" s="564">
        <f>IF((K2600-MAX(K$470:K2600))/MAX(K$470:K2600)&gt;V2599,V2599,(K2600-MAX(K$470:K2600))/MAX(K$470:K2600))</f>
        <v>-0.84885940676762139</v>
      </c>
      <c r="W2600" s="564">
        <f>IF((N2600-MAX(N$470:N2600))/MAX(N$470:N2600)&gt;W2599,W2599,(N2600-MAX(N$470:N2600))/MAX(N$470:N2600))</f>
        <v>-0.62788758315546067</v>
      </c>
      <c r="X2600" s="564">
        <f>IF((O2600-MAX(O$470:O2600))/MAX(O$470:O2600)&gt;X2599,X2599,(O2600-MAX(O$470:O2600))/MAX(O$470:O2600))</f>
        <v>-0.62788758315546067</v>
      </c>
    </row>
    <row r="2601" spans="1:24">
      <c r="A2601" s="799">
        <v>43003</v>
      </c>
      <c r="B2601">
        <v>3774</v>
      </c>
      <c r="C2601">
        <v>3934.1497429999999</v>
      </c>
      <c r="D2601">
        <v>2.342873</v>
      </c>
      <c r="E2601">
        <f>LN(D2601/参数实验室!$E$53)/参数实验室!$E$55</f>
        <v>0.3114476092058131</v>
      </c>
      <c r="F2601">
        <f t="shared" si="348"/>
        <v>1.0424350140434553</v>
      </c>
      <c r="G2601">
        <f>LN(F2601/参数实验室!$E$58)/参数实验室!$E$59</f>
        <v>-0.1687174390741327</v>
      </c>
      <c r="H2601" s="856">
        <f>INDEX(神经网络!$G$10:$BO$70,MATCH(ROUND(G2601*2,1)/2,神经网络!$E$10:$E$70,0),MATCH(ROUND(E2601*2,1)/2,神经网络!$G$8:$BO$8,0))</f>
        <v>1.3303819157174839</v>
      </c>
      <c r="I2601">
        <f t="shared" si="350"/>
        <v>23560.830235624901</v>
      </c>
      <c r="J2601">
        <f t="shared" si="351"/>
        <v>1505.9255416783033</v>
      </c>
      <c r="K2601">
        <f t="shared" si="352"/>
        <v>15.645415117514474</v>
      </c>
      <c r="L2601" s="4">
        <f>MIN(MAX(L2600*(1+MAX(MIN(((B2601-B2600)/B2600)/($K$7*卓尔金历!$N$40),0),-卓尔金历!$M$43))+MIN(MAX(((B2601-B2600)/B2600)/($K$7*卓尔金历!$N$40),0),卓尔金历!$M$43),0),1)</f>
        <v>0.65838173932978972</v>
      </c>
      <c r="M2601" s="4">
        <f>MIN(MAX(M2600*(1+MAX(MIN(((B2601-B2600)/B2600)/($K$7*30),0),-卓尔金历!$M$43))+MIN(MAX(((B2601-B2600)/B2600)/($K$7*7),0),卓尔金历!$M$43),0),1)</f>
        <v>0.98400151249305112</v>
      </c>
      <c r="N2601">
        <f t="shared" si="353"/>
        <v>22808.608573852245</v>
      </c>
      <c r="O2601">
        <f t="shared" si="354"/>
        <v>46130.400328671567</v>
      </c>
      <c r="P2601">
        <f t="shared" si="355"/>
        <v>-2.0941743876126606E-3</v>
      </c>
      <c r="Q2601">
        <f t="shared" si="346"/>
        <v>5.934142479932894E-2</v>
      </c>
      <c r="R2601">
        <f t="shared" si="347"/>
        <v>1</v>
      </c>
      <c r="S2601">
        <f t="shared" si="349"/>
        <v>240.24811180021899</v>
      </c>
      <c r="T2601" s="564">
        <f>IF((I2601-MAX(I$470:I2601))/MAX(I$470:I2601)&gt;T2600,T2600,(I2601-MAX(I$470:I2601))/MAX(I$470:I2601))</f>
        <v>-0.91338805338419748</v>
      </c>
      <c r="U2601" s="564">
        <f>IF((J2601-MAX(J$470:J2601))/MAX(J$470:J2601)&gt;U2600,U2600,(J2601-MAX(J$470:J2601))/MAX(J$470:J2601))</f>
        <v>-0.8283551177402233</v>
      </c>
      <c r="V2601" s="564">
        <f>IF((K2601-MAX(K$470:K2601))/MAX(K$470:K2601)&gt;V2600,V2600,(K2601-MAX(K$470:K2601))/MAX(K$470:K2601))</f>
        <v>-0.84885940676762139</v>
      </c>
      <c r="W2601" s="564">
        <f>IF((N2601-MAX(N$470:N2601))/MAX(N$470:N2601)&gt;W2600,W2600,(N2601-MAX(N$470:N2601))/MAX(N$470:N2601))</f>
        <v>-0.62788758315546067</v>
      </c>
      <c r="X2601" s="564">
        <f>IF((O2601-MAX(O$470:O2601))/MAX(O$470:O2601)&gt;X2600,X2600,(O2601-MAX(O$470:O2601))/MAX(O$470:O2601))</f>
        <v>-0.62788758315546067</v>
      </c>
    </row>
    <row r="2602" spans="1:24">
      <c r="A2602" s="799">
        <v>43004</v>
      </c>
      <c r="B2602">
        <v>3947.45</v>
      </c>
      <c r="C2602">
        <v>3977.1310100000001</v>
      </c>
      <c r="D2602">
        <v>2.3205249999999999</v>
      </c>
      <c r="E2602">
        <f>LN(D2602/参数实验室!$E$53)/参数实验室!$E$55</f>
        <v>0.30014026322039422</v>
      </c>
      <c r="F2602">
        <f t="shared" si="348"/>
        <v>1.0075190338066347</v>
      </c>
      <c r="G2602">
        <f>LN(F2602/参数实验室!$E$58)/参数实验室!$E$59</f>
        <v>-0.18659839194566133</v>
      </c>
      <c r="H2602" s="856">
        <f>INDEX(神经网络!$G$10:$BO$70,MATCH(ROUND(G2602*2,1)/2,神经网络!$E$10:$E$70,0),MATCH(ROUND(E2602*2,1)/2,神经网络!$G$8:$BO$8,0))</f>
        <v>1.2800920406105674</v>
      </c>
      <c r="I2602">
        <f t="shared" si="350"/>
        <v>25001.416704229432</v>
      </c>
      <c r="J2602">
        <f t="shared" si="351"/>
        <v>1575.1366665336561</v>
      </c>
      <c r="K2602">
        <f t="shared" si="352"/>
        <v>15.87253806950549</v>
      </c>
      <c r="L2602" s="4">
        <f>MIN(MAX(L2601*(1+MAX(MIN(((B2602-B2601)/B2601)/($K$7*卓尔金历!$N$40),0),-卓尔金历!$M$43))+MIN(MAX(((B2602-B2601)/B2601)/($K$7*卓尔金历!$N$40),0),卓尔金历!$M$43),0),1)</f>
        <v>1</v>
      </c>
      <c r="M2602" s="4">
        <f>MIN(MAX(M2601*(1+MAX(MIN(((B2602-B2601)/B2601)/($K$7*30),0),-卓尔金历!$M$43))+MIN(MAX(((B2602-B2601)/B2601)/($K$7*7),0),卓尔金历!$M$43),0),1)</f>
        <v>1</v>
      </c>
      <c r="N2602">
        <f t="shared" si="353"/>
        <v>23726.783249462515</v>
      </c>
      <c r="O2602">
        <f t="shared" si="354"/>
        <v>48905.839609682647</v>
      </c>
      <c r="P2602">
        <f t="shared" si="355"/>
        <v>4.5959194488606206E-2</v>
      </c>
      <c r="Q2602">
        <f t="shared" si="346"/>
        <v>5.5833952493462853E-2</v>
      </c>
      <c r="R2602">
        <f t="shared" si="347"/>
        <v>0.26551916650802043</v>
      </c>
      <c r="S2602">
        <f t="shared" si="349"/>
        <v>254.9376696598512</v>
      </c>
      <c r="T2602" s="564">
        <f>IF((I2602-MAX(I$470:I2602))/MAX(I$470:I2602)&gt;T2601,T2601,(I2602-MAX(I$470:I2602))/MAX(I$470:I2602))</f>
        <v>-0.91338805338419748</v>
      </c>
      <c r="U2602" s="564">
        <f>IF((J2602-MAX(J$470:J2602))/MAX(J$470:J2602)&gt;U2601,U2601,(J2602-MAX(J$470:J2602))/MAX(J$470:J2602))</f>
        <v>-0.8283551177402233</v>
      </c>
      <c r="V2602" s="564">
        <f>IF((K2602-MAX(K$470:K2602))/MAX(K$470:K2602)&gt;V2601,V2601,(K2602-MAX(K$470:K2602))/MAX(K$470:K2602))</f>
        <v>-0.84885940676762139</v>
      </c>
      <c r="W2602" s="564">
        <f>IF((N2602-MAX(N$470:N2602))/MAX(N$470:N2602)&gt;W2601,W2601,(N2602-MAX(N$470:N2602))/MAX(N$470:N2602))</f>
        <v>-0.62788758315546067</v>
      </c>
      <c r="X2602" s="564">
        <f>IF((O2602-MAX(O$470:O2602))/MAX(O$470:O2602)&gt;X2601,X2601,(O2602-MAX(O$470:O2602))/MAX(O$470:O2602))</f>
        <v>-0.62788758315546067</v>
      </c>
    </row>
    <row r="2603" spans="1:24">
      <c r="A2603" s="799">
        <v>43005</v>
      </c>
      <c r="B2603">
        <v>3908.59</v>
      </c>
      <c r="C2603">
        <v>3934.4137129999999</v>
      </c>
      <c r="D2603">
        <v>2.4968669999999999</v>
      </c>
      <c r="E2603">
        <f>LN(D2603/参数实验室!$E$53)/参数实验室!$E$55</f>
        <v>0.38654927547812634</v>
      </c>
      <c r="F2603">
        <f t="shared" si="348"/>
        <v>1.0066069127230024</v>
      </c>
      <c r="G2603">
        <f>LN(F2603/参数实验室!$E$58)/参数实验室!$E$59</f>
        <v>-0.18707376487065236</v>
      </c>
      <c r="H2603" s="856">
        <f>INDEX(神经网络!$G$10:$BO$70,MATCH(ROUND(G2603*2,1)/2,神经网络!$E$10:$E$70,0),MATCH(ROUND(E2603*2,1)/2,神经网络!$G$8:$BO$8,0))</f>
        <v>1.4660757524313852</v>
      </c>
      <c r="I2603">
        <f t="shared" si="350"/>
        <v>24686.357643184449</v>
      </c>
      <c r="J2603">
        <f t="shared" si="351"/>
        <v>1559.6305015761525</v>
      </c>
      <c r="K2603">
        <f t="shared" si="352"/>
        <v>15.828337300557136</v>
      </c>
      <c r="L2603" s="4">
        <f>MIN(MAX(L2602*(1+MAX(MIN(((B2603-B2602)/B2602)/($K$7*卓尔金历!$N$40),0),-卓尔金历!$M$43))+MIN(MAX(((B2603-B2602)/B2602)/($K$7*卓尔金历!$N$40),0),卓尔金历!$M$43),0),1)</f>
        <v>0.84958808627147464</v>
      </c>
      <c r="M2603" s="4">
        <f>MIN(MAX(M2602*(1+MAX(MIN(((B2603-B2602)/B2602)/($K$7*30),0),-卓尔金历!$M$43))+MIN(MAX(((B2603-B2602)/B2602)/($K$7*7),0),卓尔金历!$M$43),0),1)</f>
        <v>0.92479404313573732</v>
      </c>
      <c r="N2603">
        <f t="shared" si="353"/>
        <v>23427.786670963469</v>
      </c>
      <c r="O2603">
        <f t="shared" si="354"/>
        <v>48289.545417664456</v>
      </c>
      <c r="P2603">
        <f t="shared" si="355"/>
        <v>-9.8443298838489842E-3</v>
      </c>
      <c r="Q2603">
        <f t="shared" si="346"/>
        <v>5.0034087405710047E-2</v>
      </c>
      <c r="R2603">
        <f t="shared" si="347"/>
        <v>1</v>
      </c>
      <c r="S2603">
        <f t="shared" si="349"/>
        <v>254.08465352979877</v>
      </c>
      <c r="T2603" s="564">
        <f>IF((I2603-MAX(I$470:I2603))/MAX(I$470:I2603)&gt;T2602,T2602,(I2603-MAX(I$470:I2603))/MAX(I$470:I2603))</f>
        <v>-0.91338805338419748</v>
      </c>
      <c r="U2603" s="564">
        <f>IF((J2603-MAX(J$470:J2603))/MAX(J$470:J2603)&gt;U2602,U2602,(J2603-MAX(J$470:J2603))/MAX(J$470:J2603))</f>
        <v>-0.8283551177402233</v>
      </c>
      <c r="V2603" s="564">
        <f>IF((K2603-MAX(K$470:K2603))/MAX(K$470:K2603)&gt;V2602,V2602,(K2603-MAX(K$470:K2603))/MAX(K$470:K2603))</f>
        <v>-0.84885940676762139</v>
      </c>
      <c r="W2603" s="564">
        <f>IF((N2603-MAX(N$470:N2603))/MAX(N$470:N2603)&gt;W2602,W2602,(N2603-MAX(N$470:N2603))/MAX(N$470:N2603))</f>
        <v>-0.62788758315546067</v>
      </c>
      <c r="X2603" s="564">
        <f>IF((O2603-MAX(O$470:O2603))/MAX(O$470:O2603)&gt;X2602,X2602,(O2603-MAX(O$470:O2603))/MAX(O$470:O2603))</f>
        <v>-0.62788758315546067</v>
      </c>
    </row>
    <row r="2604" spans="1:24">
      <c r="A2604" s="799">
        <v>43006</v>
      </c>
      <c r="B2604">
        <v>4165.16</v>
      </c>
      <c r="C2604">
        <v>3868.7109</v>
      </c>
      <c r="D2604">
        <v>2.4750160000000001</v>
      </c>
      <c r="E2604">
        <f>LN(D2604/参数实验室!$E$53)/参数实验室!$E$55</f>
        <v>0.37617937976226551</v>
      </c>
      <c r="F2604">
        <f t="shared" si="348"/>
        <v>0.92882647965504328</v>
      </c>
      <c r="G2604">
        <f>LN(F2604/参数实验室!$E$58)/参数实验室!$E$59</f>
        <v>-0.229281751388966</v>
      </c>
      <c r="H2604" s="856">
        <f>INDEX(神经网络!$G$10:$BO$70,MATCH(ROUND(G2604*2,1)/2,神经网络!$E$10:$E$70,0),MATCH(ROUND(E2604*2,1)/2,神经网络!$G$8:$BO$8,0))</f>
        <v>1.4220766642460918</v>
      </c>
      <c r="I2604">
        <f t="shared" si="350"/>
        <v>27062.099148784375</v>
      </c>
      <c r="J2604">
        <f t="shared" si="351"/>
        <v>1662.0086987749871</v>
      </c>
      <c r="K2604">
        <f t="shared" si="352"/>
        <v>16.282766250700718</v>
      </c>
      <c r="L2604" s="4">
        <f>MIN(MAX(L2603*(1+MAX(MIN(((B2604-B2603)/B2603)/($K$7*卓尔金历!$N$40),0),-卓尔金历!$M$43))+MIN(MAX(((B2604-B2603)/B2603)/($K$7*卓尔金历!$N$40),0),卓尔金历!$M$43),0),1)</f>
        <v>1</v>
      </c>
      <c r="M2604" s="4">
        <f>MIN(MAX(M2603*(1+MAX(MIN(((B2604-B2603)/B2603)/($K$7*30),0),-卓尔金历!$M$43))+MIN(MAX(((B2604-B2603)/B2603)/($K$7*7),0),卓尔金历!$M$43),0),1)</f>
        <v>1</v>
      </c>
      <c r="N2604">
        <f t="shared" si="353"/>
        <v>25343.285289290307</v>
      </c>
      <c r="O2604">
        <f t="shared" si="354"/>
        <v>52587.287108885277</v>
      </c>
      <c r="P2604">
        <f t="shared" si="355"/>
        <v>6.5642597458418425E-2</v>
      </c>
      <c r="Q2604">
        <f t="shared" ref="Q2604:Q2667" si="356">STDEVP(P2584:P2604)</f>
        <v>5.2254008276504525E-2</v>
      </c>
      <c r="R2604">
        <f t="shared" ref="R2604:R2667" si="357">MIN(Q2603*MAX(1-LN(MAX(ABS(P2604),0.0001)/Q2604),0)+MAX(-LN(MAX(ABS(P2604),0.0001)/Q2604),0),1)</f>
        <v>3.8620900018527575E-2</v>
      </c>
      <c r="S2604">
        <f t="shared" si="349"/>
        <v>278.53700353021998</v>
      </c>
      <c r="T2604" s="564">
        <f>IF((I2604-MAX(I$470:I2604))/MAX(I$470:I2604)&gt;T2603,T2603,(I2604-MAX(I$470:I2604))/MAX(I$470:I2604))</f>
        <v>-0.91338805338419748</v>
      </c>
      <c r="U2604" s="564">
        <f>IF((J2604-MAX(J$470:J2604))/MAX(J$470:J2604)&gt;U2603,U2603,(J2604-MAX(J$470:J2604))/MAX(J$470:J2604))</f>
        <v>-0.8283551177402233</v>
      </c>
      <c r="V2604" s="564">
        <f>IF((K2604-MAX(K$470:K2604))/MAX(K$470:K2604)&gt;V2603,V2603,(K2604-MAX(K$470:K2604))/MAX(K$470:K2604))</f>
        <v>-0.84885940676762139</v>
      </c>
      <c r="W2604" s="564">
        <f>IF((N2604-MAX(N$470:N2604))/MAX(N$470:N2604)&gt;W2603,W2603,(N2604-MAX(N$470:N2604))/MAX(N$470:N2604))</f>
        <v>-0.62788758315546067</v>
      </c>
      <c r="X2604" s="564">
        <f>IF((O2604-MAX(O$470:O2604))/MAX(O$470:O2604)&gt;X2603,X2603,(O2604-MAX(O$470:O2604))/MAX(O$470:O2604))</f>
        <v>-0.62788758315546067</v>
      </c>
    </row>
    <row r="2605" spans="1:24">
      <c r="A2605" s="799">
        <v>43007</v>
      </c>
      <c r="B2605">
        <v>4100.49</v>
      </c>
      <c r="C2605">
        <v>3867.9047169999999</v>
      </c>
      <c r="D2605">
        <v>2.4495459999999998</v>
      </c>
      <c r="E2605">
        <f>LN(D2605/参数实验室!$E$53)/参数实验室!$E$55</f>
        <v>0.36397582417360808</v>
      </c>
      <c r="F2605">
        <f t="shared" si="348"/>
        <v>0.94327866108684577</v>
      </c>
      <c r="G2605">
        <f>LN(F2605/参数实验室!$E$58)/参数实验室!$E$59</f>
        <v>-0.22117810766016699</v>
      </c>
      <c r="H2605" s="856">
        <f>INDEX(神经网络!$G$10:$BO$70,MATCH(ROUND(G2605*2,1)/2,神经网络!$E$10:$E$70,0),MATCH(ROUND(E2605*2,1)/2,神经网络!$G$8:$BO$8,0))</f>
        <v>1.3735334764828999</v>
      </c>
      <c r="I2605">
        <f t="shared" si="350"/>
        <v>26464.574723737325</v>
      </c>
      <c r="J2605">
        <f t="shared" si="351"/>
        <v>1636.2036630621267</v>
      </c>
      <c r="K2605">
        <f t="shared" si="352"/>
        <v>16.174376895238908</v>
      </c>
      <c r="L2605" s="4">
        <f>MIN(MAX(L2604*(1+MAX(MIN(((B2605-B2604)/B2604)/($K$7*卓尔金历!$N$40),0),-卓尔金历!$M$43))+MIN(MAX(((B2605-B2604)/B2604)/($K$7*卓尔金历!$N$40),0),卓尔金历!$M$43),0),1)</f>
        <v>0.76277128829540375</v>
      </c>
      <c r="M2605" s="4">
        <f>MIN(MAX(M2604*(1+MAX(MIN(((B2605-B2604)/B2604)/($K$7*30),0),-卓尔金历!$M$43))+MIN(MAX(((B2605-B2604)/B2604)/($K$7*7),0),卓尔金历!$M$43),0),1)</f>
        <v>0.88138564414770193</v>
      </c>
      <c r="N2605">
        <f t="shared" si="353"/>
        <v>24783.711847184772</v>
      </c>
      <c r="O2605">
        <f t="shared" si="354"/>
        <v>51426.172875958808</v>
      </c>
      <c r="P2605">
        <f t="shared" si="355"/>
        <v>-1.5526414351429495E-2</v>
      </c>
      <c r="Q2605">
        <f t="shared" si="356"/>
        <v>5.2069235436129041E-2</v>
      </c>
      <c r="R2605">
        <f t="shared" si="357"/>
        <v>1</v>
      </c>
      <c r="S2605">
        <f t="shared" si="349"/>
        <v>278.29948392030713</v>
      </c>
      <c r="T2605" s="564">
        <f>IF((I2605-MAX(I$470:I2605))/MAX(I$470:I2605)&gt;T2604,T2604,(I2605-MAX(I$470:I2605))/MAX(I$470:I2605))</f>
        <v>-0.91338805338419748</v>
      </c>
      <c r="U2605" s="564">
        <f>IF((J2605-MAX(J$470:J2605))/MAX(J$470:J2605)&gt;U2604,U2604,(J2605-MAX(J$470:J2605))/MAX(J$470:J2605))</f>
        <v>-0.8283551177402233</v>
      </c>
      <c r="V2605" s="564">
        <f>IF((K2605-MAX(K$470:K2605))/MAX(K$470:K2605)&gt;V2604,V2604,(K2605-MAX(K$470:K2605))/MAX(K$470:K2605))</f>
        <v>-0.84885940676762139</v>
      </c>
      <c r="W2605" s="564">
        <f>IF((N2605-MAX(N$470:N2605))/MAX(N$470:N2605)&gt;W2604,W2604,(N2605-MAX(N$470:N2605))/MAX(N$470:N2605))</f>
        <v>-0.62788758315546067</v>
      </c>
      <c r="X2605" s="564">
        <f>IF((O2605-MAX(O$470:O2605))/MAX(O$470:O2605)&gt;X2604,X2604,(O2605-MAX(O$470:O2605))/MAX(O$470:O2605))</f>
        <v>-0.62788758315546067</v>
      </c>
    </row>
    <row r="2606" spans="1:24">
      <c r="A2606" s="799">
        <v>43008</v>
      </c>
      <c r="B2606">
        <v>4205.07</v>
      </c>
      <c r="C2606">
        <v>3929.2678799999999</v>
      </c>
      <c r="D2606">
        <v>2.5420410000000002</v>
      </c>
      <c r="E2606">
        <f>LN(D2606/参数实验室!$E$53)/参数实验室!$E$55</f>
        <v>0.40770290673978543</v>
      </c>
      <c r="F2606">
        <f t="shared" si="348"/>
        <v>0.9344120026539392</v>
      </c>
      <c r="G2606">
        <f>LN(F2606/参数实验室!$E$58)/参数实验室!$E$59</f>
        <v>-0.22613497963844315</v>
      </c>
      <c r="H2606" s="856">
        <f>INDEX(神经网络!$G$10:$BO$70,MATCH(ROUND(G2606*2,1)/2,神经网络!$E$10:$E$70,0),MATCH(ROUND(E2606*2,1)/2,神经网络!$G$8:$BO$8,0))</f>
        <v>1.4220766642460918</v>
      </c>
      <c r="I2606">
        <f t="shared" si="350"/>
        <v>27391.654374632042</v>
      </c>
      <c r="J2606">
        <f t="shared" si="351"/>
        <v>1677.9338414269166</v>
      </c>
      <c r="K2606">
        <f t="shared" si="352"/>
        <v>16.324633128168003</v>
      </c>
      <c r="L2606" s="4">
        <f>MIN(MAX(L2605*(1+MAX(MIN(((B2606-B2605)/B2605)/($K$7*卓尔金历!$N$40),0),-卓尔金历!$M$43))+MIN(MAX(((B2606-B2605)/B2605)/($K$7*卓尔金历!$N$40),0),卓尔金历!$M$43),0),1)</f>
        <v>1</v>
      </c>
      <c r="M2606" s="4">
        <f>MIN(MAX(M2605*(1+MAX(MIN(((B2606-B2605)/B2605)/($K$7*30),0),-卓尔金历!$M$43))+MIN(MAX(((B2606-B2605)/B2605)/($K$7*7),0),卓尔金历!$M$43),0),1)</f>
        <v>1</v>
      </c>
      <c r="N2606">
        <f t="shared" si="353"/>
        <v>25445.94789532197</v>
      </c>
      <c r="O2606">
        <f t="shared" si="354"/>
        <v>53013.996675041752</v>
      </c>
      <c r="P2606">
        <f t="shared" si="355"/>
        <v>2.5504269001997305E-2</v>
      </c>
      <c r="Q2606">
        <f t="shared" si="356"/>
        <v>4.8426501294528482E-2</v>
      </c>
      <c r="R2606">
        <f t="shared" si="357"/>
        <v>0.72665746136405607</v>
      </c>
      <c r="S2606">
        <f t="shared" si="349"/>
        <v>288.04858403207277</v>
      </c>
      <c r="T2606" s="564">
        <f>IF((I2606-MAX(I$470:I2606))/MAX(I$470:I2606)&gt;T2605,T2605,(I2606-MAX(I$470:I2606))/MAX(I$470:I2606))</f>
        <v>-0.91338805338419748</v>
      </c>
      <c r="U2606" s="564">
        <f>IF((J2606-MAX(J$470:J2606))/MAX(J$470:J2606)&gt;U2605,U2605,(J2606-MAX(J$470:J2606))/MAX(J$470:J2606))</f>
        <v>-0.8283551177402233</v>
      </c>
      <c r="V2606" s="564">
        <f>IF((K2606-MAX(K$470:K2606))/MAX(K$470:K2606)&gt;V2605,V2605,(K2606-MAX(K$470:K2606))/MAX(K$470:K2606))</f>
        <v>-0.84885940676762139</v>
      </c>
      <c r="W2606" s="564">
        <f>IF((N2606-MAX(N$470:N2606))/MAX(N$470:N2606)&gt;W2605,W2605,(N2606-MAX(N$470:N2606))/MAX(N$470:N2606))</f>
        <v>-0.62788758315546067</v>
      </c>
      <c r="X2606" s="564">
        <f>IF((O2606-MAX(O$470:O2606))/MAX(O$470:O2606)&gt;X2605,X2605,(O2606-MAX(O$470:O2606))/MAX(O$470:O2606))</f>
        <v>-0.62788758315546067</v>
      </c>
    </row>
    <row r="2607" spans="1:24">
      <c r="A2607" s="799">
        <v>43009</v>
      </c>
      <c r="B2607">
        <v>4314.1099999999997</v>
      </c>
      <c r="C2607">
        <v>4039.326971</v>
      </c>
      <c r="D2607">
        <v>2.5619489999999998</v>
      </c>
      <c r="E2607">
        <f>LN(D2607/参数实验室!$E$53)/参数实验室!$E$55</f>
        <v>0.41690615623203081</v>
      </c>
      <c r="F2607">
        <f t="shared" si="348"/>
        <v>0.93630597527647652</v>
      </c>
      <c r="G2607">
        <f>LN(F2607/参数实验室!$E$58)/参数实验室!$E$59</f>
        <v>-0.22507222240855129</v>
      </c>
      <c r="H2607" s="856">
        <f>INDEX(神经网络!$G$10:$BO$70,MATCH(ROUND(G2607*2,1)/2,神经网络!$E$10:$E$70,0),MATCH(ROUND(E2607*2,1)/2,神经网络!$G$8:$BO$8,0))</f>
        <v>1.4220766642460918</v>
      </c>
      <c r="I2607">
        <f t="shared" si="350"/>
        <v>28401.72998853536</v>
      </c>
      <c r="J2607">
        <f t="shared" si="351"/>
        <v>1721.4436774270762</v>
      </c>
      <c r="K2607">
        <f t="shared" si="352"/>
        <v>16.498785502518142</v>
      </c>
      <c r="L2607" s="4">
        <f>MIN(MAX(L2606*(1+MAX(MIN(((B2607-B2606)/B2606)/($K$7*卓尔金历!$N$40),0),-卓尔金历!$M$43))+MIN(MAX(((B2607-B2606)/B2606)/($K$7*卓尔金历!$N$40),0),卓尔金历!$M$43),0),1)</f>
        <v>1</v>
      </c>
      <c r="M2607" s="4">
        <f>MIN(MAX(M2606*(1+MAX(MIN(((B2607-B2606)/B2606)/($K$7*30),0),-卓尔金历!$M$43))+MIN(MAX(((B2607-B2606)/B2606)/($K$7*7),0),卓尔金历!$M$43),0),1)</f>
        <v>1</v>
      </c>
      <c r="N2607">
        <f t="shared" si="353"/>
        <v>26384.27498904883</v>
      </c>
      <c r="O2607">
        <f t="shared" si="354"/>
        <v>54968.903980188072</v>
      </c>
      <c r="P2607">
        <f t="shared" si="355"/>
        <v>2.5930602819929267E-2</v>
      </c>
      <c r="Q2607">
        <f t="shared" si="356"/>
        <v>4.8581980873086905E-2</v>
      </c>
      <c r="R2607">
        <f t="shared" si="357"/>
        <v>0.70665890693434996</v>
      </c>
      <c r="S2607">
        <f t="shared" si="349"/>
        <v>295.76705197875418</v>
      </c>
      <c r="T2607" s="564">
        <f>IF((I2607-MAX(I$470:I2607))/MAX(I$470:I2607)&gt;T2606,T2606,(I2607-MAX(I$470:I2607))/MAX(I$470:I2607))</f>
        <v>-0.91338805338419748</v>
      </c>
      <c r="U2607" s="564">
        <f>IF((J2607-MAX(J$470:J2607))/MAX(J$470:J2607)&gt;U2606,U2606,(J2607-MAX(J$470:J2607))/MAX(J$470:J2607))</f>
        <v>-0.8283551177402233</v>
      </c>
      <c r="V2607" s="564">
        <f>IF((K2607-MAX(K$470:K2607))/MAX(K$470:K2607)&gt;V2606,V2606,(K2607-MAX(K$470:K2607))/MAX(K$470:K2607))</f>
        <v>-0.84885940676762139</v>
      </c>
      <c r="W2607" s="564">
        <f>IF((N2607-MAX(N$470:N2607))/MAX(N$470:N2607)&gt;W2606,W2606,(N2607-MAX(N$470:N2607))/MAX(N$470:N2607))</f>
        <v>-0.62788758315546067</v>
      </c>
      <c r="X2607" s="564">
        <f>IF((O2607-MAX(O$470:O2607))/MAX(O$470:O2607)&gt;X2606,X2606,(O2607-MAX(O$470:O2607))/MAX(O$470:O2607))</f>
        <v>-0.62788758315546067</v>
      </c>
    </row>
    <row r="2608" spans="1:24">
      <c r="A2608" s="799">
        <v>43010</v>
      </c>
      <c r="B2608">
        <v>4412.84</v>
      </c>
      <c r="C2608">
        <v>4076.2661189999999</v>
      </c>
      <c r="D2608">
        <v>2.5513659999999998</v>
      </c>
      <c r="E2608">
        <f>LN(D2608/参数实验室!$E$53)/参数实验室!$E$55</f>
        <v>0.41202269162696126</v>
      </c>
      <c r="F2608">
        <f t="shared" si="348"/>
        <v>0.92372851021111113</v>
      </c>
      <c r="G2608">
        <f>LN(F2608/参数实验室!$E$58)/参数实验室!$E$59</f>
        <v>-0.23217040694079605</v>
      </c>
      <c r="H2608" s="856">
        <f>INDEX(神经网络!$G$10:$BO$70,MATCH(ROUND(G2608*2,1)/2,神经网络!$E$10:$E$70,0),MATCH(ROUND(E2608*2,1)/2,神经网络!$G$8:$BO$8,0))</f>
        <v>1.4220766642460918</v>
      </c>
      <c r="I2608">
        <f t="shared" si="350"/>
        <v>29326.057175033038</v>
      </c>
      <c r="J2608">
        <f t="shared" si="351"/>
        <v>1760.8395514943522</v>
      </c>
      <c r="K2608">
        <f t="shared" si="352"/>
        <v>16.654587949336563</v>
      </c>
      <c r="L2608" s="4">
        <f>MIN(MAX(L2607*(1+MAX(MIN(((B2608-B2607)/B2607)/($K$7*卓尔金历!$N$40),0),-卓尔金历!$M$43))+MIN(MAX(((B2608-B2607)/B2607)/($K$7*卓尔金历!$N$40),0),卓尔金历!$M$43),0),1)</f>
        <v>1</v>
      </c>
      <c r="M2608" s="4">
        <f>MIN(MAX(M2607*(1+MAX(MIN(((B2608-B2607)/B2607)/($K$7*30),0),-卓尔金历!$M$43))+MIN(MAX(((B2608-B2607)/B2607)/($K$7*7),0),卓尔金历!$M$43),0),1)</f>
        <v>1</v>
      </c>
      <c r="N2608">
        <f t="shared" si="353"/>
        <v>27242.944608056296</v>
      </c>
      <c r="O2608">
        <f t="shared" si="354"/>
        <v>56757.853187908091</v>
      </c>
      <c r="P2608">
        <f t="shared" si="355"/>
        <v>2.2885369172320705E-2</v>
      </c>
      <c r="Q2608">
        <f t="shared" si="356"/>
        <v>4.8621823115895371E-2</v>
      </c>
      <c r="R2608">
        <f t="shared" si="357"/>
        <v>0.83876679040568725</v>
      </c>
      <c r="S2608">
        <f t="shared" si="349"/>
        <v>302.56911360561753</v>
      </c>
      <c r="T2608" s="564">
        <f>IF((I2608-MAX(I$470:I2608))/MAX(I$470:I2608)&gt;T2607,T2607,(I2608-MAX(I$470:I2608))/MAX(I$470:I2608))</f>
        <v>-0.91338805338419748</v>
      </c>
      <c r="U2608" s="564">
        <f>IF((J2608-MAX(J$470:J2608))/MAX(J$470:J2608)&gt;U2607,U2607,(J2608-MAX(J$470:J2608))/MAX(J$470:J2608))</f>
        <v>-0.8283551177402233</v>
      </c>
      <c r="V2608" s="564">
        <f>IF((K2608-MAX(K$470:K2608))/MAX(K$470:K2608)&gt;V2607,V2607,(K2608-MAX(K$470:K2608))/MAX(K$470:K2608))</f>
        <v>-0.84885940676762139</v>
      </c>
      <c r="W2608" s="564">
        <f>IF((N2608-MAX(N$470:N2608))/MAX(N$470:N2608)&gt;W2607,W2607,(N2608-MAX(N$470:N2608))/MAX(N$470:N2608))</f>
        <v>-0.62788758315546067</v>
      </c>
      <c r="X2608" s="564">
        <f>IF((O2608-MAX(O$470:O2608))/MAX(O$470:O2608)&gt;X2607,X2607,(O2608-MAX(O$470:O2608))/MAX(O$470:O2608))</f>
        <v>-0.62788758315546067</v>
      </c>
    </row>
    <row r="2609" spans="1:24">
      <c r="A2609" s="799">
        <v>43011</v>
      </c>
      <c r="B2609">
        <v>4427.26</v>
      </c>
      <c r="C2609">
        <v>4004.9838030000001</v>
      </c>
      <c r="D2609">
        <v>2.4974289999999999</v>
      </c>
      <c r="E2609">
        <f>LN(D2609/参数实验室!$E$53)/参数实验室!$E$55</f>
        <v>0.38681478690392518</v>
      </c>
      <c r="F2609">
        <f t="shared" si="348"/>
        <v>0.90461906529094738</v>
      </c>
      <c r="G2609">
        <f>LN(F2609/参数实验室!$E$58)/参数实验室!$E$59</f>
        <v>-0.2431421005037058</v>
      </c>
      <c r="H2609" s="856">
        <f>INDEX(神经网络!$G$10:$BO$70,MATCH(ROUND(G2609*2,1)/2,神经网络!$E$10:$E$70,0),MATCH(ROUND(E2609*2,1)/2,神经网络!$G$8:$BO$8,0))</f>
        <v>1.4220766642460918</v>
      </c>
      <c r="I2609">
        <f t="shared" si="350"/>
        <v>29462.334552082266</v>
      </c>
      <c r="J2609">
        <f t="shared" si="351"/>
        <v>1766.5935118311304</v>
      </c>
      <c r="K2609">
        <f t="shared" si="352"/>
        <v>16.677483730563246</v>
      </c>
      <c r="L2609" s="4">
        <f>MIN(MAX(L2608*(1+MAX(MIN(((B2609-B2608)/B2608)/($K$7*卓尔金历!$N$40),0),-卓尔金历!$M$43))+MIN(MAX(((B2609-B2608)/B2608)/($K$7*卓尔金历!$N$40),0),卓尔金历!$M$43),0),1)</f>
        <v>1</v>
      </c>
      <c r="M2609" s="4">
        <f>MIN(MAX(M2608*(1+MAX(MIN(((B2609-B2608)/B2608)/($K$7*30),0),-卓尔金历!$M$43))+MIN(MAX(((B2609-B2608)/B2608)/($K$7*7),0),卓尔金历!$M$43),0),1)</f>
        <v>1</v>
      </c>
      <c r="N2609">
        <f t="shared" si="353"/>
        <v>27369.541818589052</v>
      </c>
      <c r="O2609">
        <f t="shared" si="354"/>
        <v>57021.605362747956</v>
      </c>
      <c r="P2609">
        <f t="shared" si="355"/>
        <v>3.2677368769318789E-3</v>
      </c>
      <c r="Q2609">
        <f t="shared" si="356"/>
        <v>4.8616810033876412E-2</v>
      </c>
      <c r="R2609">
        <f t="shared" si="357"/>
        <v>1</v>
      </c>
      <c r="S2609">
        <f t="shared" si="349"/>
        <v>303.7484451335867</v>
      </c>
      <c r="T2609" s="564">
        <f>IF((I2609-MAX(I$470:I2609))/MAX(I$470:I2609)&gt;T2608,T2608,(I2609-MAX(I$470:I2609))/MAX(I$470:I2609))</f>
        <v>-0.91338805338419748</v>
      </c>
      <c r="U2609" s="564">
        <f>IF((J2609-MAX(J$470:J2609))/MAX(J$470:J2609)&gt;U2608,U2608,(J2609-MAX(J$470:J2609))/MAX(J$470:J2609))</f>
        <v>-0.8283551177402233</v>
      </c>
      <c r="V2609" s="564">
        <f>IF((K2609-MAX(K$470:K2609))/MAX(K$470:K2609)&gt;V2608,V2608,(K2609-MAX(K$470:K2609))/MAX(K$470:K2609))</f>
        <v>-0.84885940676762139</v>
      </c>
      <c r="W2609" s="564">
        <f>IF((N2609-MAX(N$470:N2609))/MAX(N$470:N2609)&gt;W2608,W2608,(N2609-MAX(N$470:N2609))/MAX(N$470:N2609))</f>
        <v>-0.62788758315546067</v>
      </c>
      <c r="X2609" s="564">
        <f>IF((O2609-MAX(O$470:O2609))/MAX(O$470:O2609)&gt;X2608,X2608,(O2609-MAX(O$470:O2609))/MAX(O$470:O2609))</f>
        <v>-0.62788758315546067</v>
      </c>
    </row>
    <row r="2610" spans="1:24">
      <c r="A2610" s="799">
        <v>43012</v>
      </c>
      <c r="B2610">
        <v>4302.91</v>
      </c>
      <c r="C2610">
        <v>4110.1413149999998</v>
      </c>
      <c r="D2610">
        <v>2.4405579999999998</v>
      </c>
      <c r="E2610">
        <f>LN(D2610/参数实验室!$E$53)/参数实验室!$E$55</f>
        <v>0.35963905174612676</v>
      </c>
      <c r="F2610">
        <f t="shared" si="348"/>
        <v>0.95520039113065347</v>
      </c>
      <c r="G2610">
        <f>LN(F2610/参数实验室!$E$58)/参数实验室!$E$59</f>
        <v>-0.21458625145157501</v>
      </c>
      <c r="H2610" s="856">
        <f>INDEX(神经网络!$G$10:$BO$70,MATCH(ROUND(G2610*2,1)/2,神经网络!$E$10:$E$70,0),MATCH(ROUND(E2610*2,1)/2,神经网络!$G$8:$BO$8,0))</f>
        <v>1.3735334764828999</v>
      </c>
      <c r="I2610">
        <f t="shared" si="350"/>
        <v>28285.539242770301</v>
      </c>
      <c r="J2610">
        <f t="shared" si="351"/>
        <v>1716.9745820198698</v>
      </c>
      <c r="K2610">
        <f t="shared" si="352"/>
        <v>16.474058229502063</v>
      </c>
      <c r="L2610" s="4">
        <f>MIN(MAX(L2609*(1+MAX(MIN(((B2610-B2609)/B2609)/($K$7*卓尔金历!$N$40),0),-卓尔金历!$M$43))+MIN(MAX(((B2610-B2609)/B2609)/($K$7*卓尔金历!$N$40),0),卓尔金历!$M$43),0),1)</f>
        <v>0.57085224942022506</v>
      </c>
      <c r="M2610" s="4">
        <f>MIN(MAX(M2609*(1+MAX(MIN(((B2610-B2609)/B2609)/($K$7*30),0),-卓尔金历!$M$43))+MIN(MAX(((B2610-B2609)/B2609)/($K$7*7),0),卓尔金历!$M$43),0),1)</f>
        <v>0.78542612471011253</v>
      </c>
      <c r="N2610">
        <f t="shared" si="353"/>
        <v>26276.337599717779</v>
      </c>
      <c r="O2610">
        <f t="shared" si="354"/>
        <v>54744.027609983714</v>
      </c>
      <c r="P2610">
        <f t="shared" si="355"/>
        <v>-2.8087349737761134E-2</v>
      </c>
      <c r="Q2610">
        <f t="shared" si="356"/>
        <v>4.7830518175251635E-2</v>
      </c>
      <c r="R2610">
        <f t="shared" si="357"/>
        <v>0.60684231011420198</v>
      </c>
      <c r="S2610">
        <f t="shared" si="349"/>
        <v>291.6160139845166</v>
      </c>
      <c r="T2610" s="564">
        <f>IF((I2610-MAX(I$470:I2610))/MAX(I$470:I2610)&gt;T2609,T2609,(I2610-MAX(I$470:I2610))/MAX(I$470:I2610))</f>
        <v>-0.91338805338419748</v>
      </c>
      <c r="U2610" s="564">
        <f>IF((J2610-MAX(J$470:J2610))/MAX(J$470:J2610)&gt;U2609,U2609,(J2610-MAX(J$470:J2610))/MAX(J$470:J2610))</f>
        <v>-0.8283551177402233</v>
      </c>
      <c r="V2610" s="564">
        <f>IF((K2610-MAX(K$470:K2610))/MAX(K$470:K2610)&gt;V2609,V2609,(K2610-MAX(K$470:K2610))/MAX(K$470:K2610))</f>
        <v>-0.84885940676762139</v>
      </c>
      <c r="W2610" s="564">
        <f>IF((N2610-MAX(N$470:N2610))/MAX(N$470:N2610)&gt;W2609,W2609,(N2610-MAX(N$470:N2610))/MAX(N$470:N2610))</f>
        <v>-0.62788758315546067</v>
      </c>
      <c r="X2610" s="564">
        <f>IF((O2610-MAX(O$470:O2610))/MAX(O$470:O2610)&gt;X2609,X2609,(O2610-MAX(O$470:O2610))/MAX(O$470:O2610))</f>
        <v>-0.62788758315546067</v>
      </c>
    </row>
    <row r="2611" spans="1:24">
      <c r="A2611" s="799">
        <v>43013</v>
      </c>
      <c r="B2611">
        <v>4243.24</v>
      </c>
      <c r="C2611">
        <v>4302.6965410000003</v>
      </c>
      <c r="D2611">
        <v>2.4828670000000002</v>
      </c>
      <c r="E2611">
        <f>LN(D2611/参数实验室!$E$53)/参数实验室!$E$55</f>
        <v>0.37991575291202417</v>
      </c>
      <c r="F2611">
        <f t="shared" si="348"/>
        <v>1.0140120617735504</v>
      </c>
      <c r="G2611">
        <f>LN(F2611/参数实验室!$E$58)/参数实验室!$E$59</f>
        <v>-0.18322678543710044</v>
      </c>
      <c r="H2611" s="856">
        <f>INDEX(神经网络!$G$10:$BO$70,MATCH(ROUND(G2611*2,1)/2,神经网络!$E$10:$E$70,0),MATCH(ROUND(E2611*2,1)/2,神经网络!$G$8:$BO$8,0))</f>
        <v>1.4660757524313852</v>
      </c>
      <c r="I2611">
        <f t="shared" si="350"/>
        <v>27746.776584835938</v>
      </c>
      <c r="J2611">
        <f t="shared" si="351"/>
        <v>1693.1646781852264</v>
      </c>
      <c r="K2611">
        <f t="shared" si="352"/>
        <v>16.387523873091649</v>
      </c>
      <c r="L2611" s="4">
        <f>MIN(MAX(L2610*(1+MAX(MIN(((B2611-B2610)/B2610)/($K$7*卓尔金历!$N$40),0),-卓尔金历!$M$43))+MIN(MAX(((B2611-B2610)/B2610)/($K$7*卓尔金历!$N$40),0),卓尔金历!$M$43),0),1)</f>
        <v>0.44990010556722149</v>
      </c>
      <c r="M2611" s="4">
        <f>MIN(MAX(M2610*(1+MAX(MIN(((B2611-B2610)/B2610)/($K$7*30),0),-卓尔金历!$M$43))+MIN(MAX(((B2611-B2610)/B2610)/($K$7*7),0),卓尔金历!$M$43),0),1)</f>
        <v>0.70221810221538772</v>
      </c>
      <c r="N2611">
        <f t="shared" si="353"/>
        <v>25990.630143865052</v>
      </c>
      <c r="O2611">
        <f t="shared" si="354"/>
        <v>53925.04418424367</v>
      </c>
      <c r="P2611">
        <f t="shared" si="355"/>
        <v>-1.3867359531108035E-2</v>
      </c>
      <c r="Q2611">
        <f t="shared" si="356"/>
        <v>4.7044604040870568E-2</v>
      </c>
      <c r="R2611">
        <f t="shared" si="357"/>
        <v>1</v>
      </c>
      <c r="S2611">
        <f t="shared" si="349"/>
        <v>288.24531285547755</v>
      </c>
      <c r="T2611" s="564">
        <f>IF((I2611-MAX(I$470:I2611))/MAX(I$470:I2611)&gt;T2610,T2610,(I2611-MAX(I$470:I2611))/MAX(I$470:I2611))</f>
        <v>-0.91338805338419748</v>
      </c>
      <c r="U2611" s="564">
        <f>IF((J2611-MAX(J$470:J2611))/MAX(J$470:J2611)&gt;U2610,U2610,(J2611-MAX(J$470:J2611))/MAX(J$470:J2611))</f>
        <v>-0.8283551177402233</v>
      </c>
      <c r="V2611" s="564">
        <f>IF((K2611-MAX(K$470:K2611))/MAX(K$470:K2611)&gt;V2610,V2610,(K2611-MAX(K$470:K2611))/MAX(K$470:K2611))</f>
        <v>-0.84885940676762139</v>
      </c>
      <c r="W2611" s="564">
        <f>IF((N2611-MAX(N$470:N2611))/MAX(N$470:N2611)&gt;W2610,W2610,(N2611-MAX(N$470:N2611))/MAX(N$470:N2611))</f>
        <v>-0.62788758315546067</v>
      </c>
      <c r="X2611" s="564">
        <f>IF((O2611-MAX(O$470:O2611))/MAX(O$470:O2611)&gt;X2610,X2610,(O2611-MAX(O$470:O2611))/MAX(O$470:O2611))</f>
        <v>-0.62788758315546067</v>
      </c>
    </row>
    <row r="2612" spans="1:24">
      <c r="A2612" s="799">
        <v>43014</v>
      </c>
      <c r="B2612">
        <v>4332.29</v>
      </c>
      <c r="C2612">
        <v>4312.570788</v>
      </c>
      <c r="D2612">
        <v>2.501125</v>
      </c>
      <c r="E2612">
        <f>LN(D2612/参数实验室!$E$53)/参数实验室!$E$55</f>
        <v>0.38855943897105266</v>
      </c>
      <c r="F2612">
        <f t="shared" si="348"/>
        <v>0.99544831671010026</v>
      </c>
      <c r="G2612">
        <f>LN(F2612/参数实验室!$E$58)/参数实验室!$E$59</f>
        <v>-0.19292444750153445</v>
      </c>
      <c r="H2612" s="856">
        <f>INDEX(神经网络!$G$10:$BO$70,MATCH(ROUND(G2612*2,1)/2,神经网络!$E$10:$E$70,0),MATCH(ROUND(E2612*2,1)/2,神经网络!$G$8:$BO$8,0))</f>
        <v>1.4660757524313852</v>
      </c>
      <c r="I2612">
        <f t="shared" si="350"/>
        <v>28600.476573472712</v>
      </c>
      <c r="J2612">
        <f t="shared" si="351"/>
        <v>1728.697976936274</v>
      </c>
      <c r="K2612">
        <f t="shared" si="352"/>
        <v>16.544519028222954</v>
      </c>
      <c r="L2612" s="4">
        <f>MIN(MAX(L2611*(1+MAX(MIN(((B2612-B2611)/B2611)/($K$7*卓尔金历!$N$40),0),-卓尔金历!$M$43))+MIN(MAX(((B2612-B2611)/B2611)/($K$7*卓尔金历!$N$40),0),卓尔金历!$M$43),0),1)</f>
        <v>0.77055096319198546</v>
      </c>
      <c r="M2612" s="4">
        <f>MIN(MAX(M2611*(1+MAX(MIN(((B2612-B2611)/B2611)/($K$7*30),0),-卓尔金历!$M$43))+MIN(MAX(((B2612-B2611)/B2611)/($K$7*7),0),卓尔金历!$M$43),0),1)</f>
        <v>1</v>
      </c>
      <c r="N2612">
        <f t="shared" si="353"/>
        <v>26350.400720749014</v>
      </c>
      <c r="O2612">
        <f t="shared" si="354"/>
        <v>55090.122900957489</v>
      </c>
      <c r="P2612">
        <f t="shared" si="355"/>
        <v>2.0986321772984838E-2</v>
      </c>
      <c r="Q2612">
        <f t="shared" si="356"/>
        <v>3.6809817473117575E-2</v>
      </c>
      <c r="R2612">
        <f t="shared" si="357"/>
        <v>0.63537237841161309</v>
      </c>
      <c r="S2612">
        <f t="shared" si="349"/>
        <v>297.11391132337343</v>
      </c>
      <c r="T2612" s="564">
        <f>IF((I2612-MAX(I$470:I2612))/MAX(I$470:I2612)&gt;T2611,T2611,(I2612-MAX(I$470:I2612))/MAX(I$470:I2612))</f>
        <v>-0.91338805338419748</v>
      </c>
      <c r="U2612" s="564">
        <f>IF((J2612-MAX(J$470:J2612))/MAX(J$470:J2612)&gt;U2611,U2611,(J2612-MAX(J$470:J2612))/MAX(J$470:J2612))</f>
        <v>-0.8283551177402233</v>
      </c>
      <c r="V2612" s="564">
        <f>IF((K2612-MAX(K$470:K2612))/MAX(K$470:K2612)&gt;V2611,V2611,(K2612-MAX(K$470:K2612))/MAX(K$470:K2612))</f>
        <v>-0.84885940676762139</v>
      </c>
      <c r="W2612" s="564">
        <f>IF((N2612-MAX(N$470:N2612))/MAX(N$470:N2612)&gt;W2611,W2611,(N2612-MAX(N$470:N2612))/MAX(N$470:N2612))</f>
        <v>-0.62788758315546067</v>
      </c>
      <c r="X2612" s="564">
        <f>IF((O2612-MAX(O$470:O2612))/MAX(O$470:O2612)&gt;X2611,X2611,(O2612-MAX(O$470:O2612))/MAX(O$470:O2612))</f>
        <v>-0.62788758315546067</v>
      </c>
    </row>
    <row r="2613" spans="1:24">
      <c r="A2613" s="799">
        <v>43015</v>
      </c>
      <c r="B2613">
        <v>4358.3100000000004</v>
      </c>
      <c r="C2613">
        <v>4364.0508760000002</v>
      </c>
      <c r="D2613">
        <v>2.5359020000000001</v>
      </c>
      <c r="E2613">
        <f>LN(D2613/参数实验室!$E$53)/参数实验室!$E$55</f>
        <v>0.40485037031185583</v>
      </c>
      <c r="F2613">
        <f t="shared" si="348"/>
        <v>1.0013172252547431</v>
      </c>
      <c r="G2613">
        <f>LN(F2613/参数实验室!$E$58)/参数实验室!$E$59</f>
        <v>-0.18983912858584168</v>
      </c>
      <c r="H2613" s="856">
        <f>INDEX(神经网络!$G$10:$BO$70,MATCH(ROUND(G2613*2,1)/2,神经网络!$E$10:$E$70,0),MATCH(ROUND(E2613*2,1)/2,神经网络!$G$8:$BO$8,0))</f>
        <v>1.4660757524313852</v>
      </c>
      <c r="I2613">
        <f t="shared" si="350"/>
        <v>28852.313524559864</v>
      </c>
      <c r="J2613">
        <f t="shared" si="351"/>
        <v>1739.0806432305162</v>
      </c>
      <c r="K2613">
        <f t="shared" si="352"/>
        <v>16.59055526658258</v>
      </c>
      <c r="L2613" s="4">
        <f>MIN(MAX(L2612*(1+MAX(MIN(((B2613-B2612)/B2612)/($K$7*卓尔金历!$N$40),0),-卓尔金历!$M$43))+MIN(MAX(((B2613-B2612)/B2612)/($K$7*卓尔金历!$N$40),0),卓尔金历!$M$43),0),1)</f>
        <v>0.8623178187057956</v>
      </c>
      <c r="M2613" s="4">
        <f>MIN(MAX(M2612*(1+MAX(MIN(((B2613-B2612)/B2612)/($K$7*30),0),-卓尔金历!$M$43))+MIN(MAX(((B2613-B2612)/B2612)/($K$7*7),0),卓尔金历!$M$43),0),1)</f>
        <v>1</v>
      </c>
      <c r="N2613">
        <f t="shared" si="353"/>
        <v>26529.187242216776</v>
      </c>
      <c r="O2613">
        <f t="shared" si="354"/>
        <v>55575.210222868125</v>
      </c>
      <c r="P2613">
        <f t="shared" si="355"/>
        <v>6.0060614594130207E-3</v>
      </c>
      <c r="Q2613">
        <f t="shared" si="356"/>
        <v>3.2263496559842092E-2</v>
      </c>
      <c r="R2613">
        <f t="shared" si="357"/>
        <v>1</v>
      </c>
      <c r="S2613">
        <f t="shared" si="349"/>
        <v>298.77616575832508</v>
      </c>
      <c r="T2613" s="564">
        <f>IF((I2613-MAX(I$470:I2613))/MAX(I$470:I2613)&gt;T2612,T2612,(I2613-MAX(I$470:I2613))/MAX(I$470:I2613))</f>
        <v>-0.91338805338419748</v>
      </c>
      <c r="U2613" s="564">
        <f>IF((J2613-MAX(J$470:J2613))/MAX(J$470:J2613)&gt;U2612,U2612,(J2613-MAX(J$470:J2613))/MAX(J$470:J2613))</f>
        <v>-0.8283551177402233</v>
      </c>
      <c r="V2613" s="564">
        <f>IF((K2613-MAX(K$470:K2613))/MAX(K$470:K2613)&gt;V2612,V2612,(K2613-MAX(K$470:K2613))/MAX(K$470:K2613))</f>
        <v>-0.84885940676762139</v>
      </c>
      <c r="W2613" s="564">
        <f>IF((N2613-MAX(N$470:N2613))/MAX(N$470:N2613)&gt;W2612,W2612,(N2613-MAX(N$470:N2613))/MAX(N$470:N2613))</f>
        <v>-0.62788758315546067</v>
      </c>
      <c r="X2613" s="564">
        <f>IF((O2613-MAX(O$470:O2613))/MAX(O$470:O2613)&gt;X2612,X2612,(O2613-MAX(O$470:O2613))/MAX(O$470:O2613))</f>
        <v>-0.62788758315546067</v>
      </c>
    </row>
    <row r="2614" spans="1:24">
      <c r="A2614" s="799">
        <v>43016</v>
      </c>
      <c r="B2614">
        <v>4418.22</v>
      </c>
      <c r="C2614">
        <v>4346.4766719999998</v>
      </c>
      <c r="D2614">
        <v>2.6152350000000002</v>
      </c>
      <c r="E2614">
        <f>LN(D2614/参数实验室!$E$53)/参数实验室!$E$55</f>
        <v>0.44119215856129829</v>
      </c>
      <c r="F2614">
        <f t="shared" si="348"/>
        <v>0.98376193851822669</v>
      </c>
      <c r="G2614">
        <f>LN(F2614/参数实验室!$E$58)/参数实验室!$E$59</f>
        <v>-0.1991225905327603</v>
      </c>
      <c r="H2614" s="856">
        <f>INDEX(神经网络!$G$10:$BO$70,MATCH(ROUND(G2614*2,1)/2,神经网络!$E$10:$E$70,0),MATCH(ROUND(E2614*2,1)/2,神经网络!$G$8:$BO$8,0))</f>
        <v>1.5559354048663148</v>
      </c>
      <c r="I2614">
        <f t="shared" si="350"/>
        <v>29433.77139805691</v>
      </c>
      <c r="J2614">
        <f t="shared" si="351"/>
        <v>1762.986313395314</v>
      </c>
      <c r="K2614">
        <f t="shared" si="352"/>
        <v>16.69540550282025</v>
      </c>
      <c r="L2614" s="4">
        <f>MIN(MAX(L2613*(1+MAX(MIN(((B2614-B2613)/B2613)/($K$7*卓尔金历!$N$40),0),-卓尔金历!$M$43))+MIN(MAX(((B2614-B2613)/B2613)/($K$7*卓尔金历!$N$40),0),卓尔金历!$M$43),0),1)</f>
        <v>1</v>
      </c>
      <c r="M2614" s="4">
        <f>MIN(MAX(M2613*(1+MAX(MIN(((B2614-B2613)/B2613)/($K$7*30),0),-卓尔金历!$M$43))+MIN(MAX(((B2614-B2613)/B2613)/($K$7*7),0),卓尔金历!$M$43),0),1)</f>
        <v>1</v>
      </c>
      <c r="N2614">
        <f t="shared" si="353"/>
        <v>26990.216957271306</v>
      </c>
      <c r="O2614">
        <f t="shared" si="354"/>
        <v>56695.212039285143</v>
      </c>
      <c r="P2614">
        <f t="shared" si="355"/>
        <v>1.3746153899103058E-2</v>
      </c>
      <c r="Q2614">
        <f t="shared" si="356"/>
        <v>3.0987415067330135E-2</v>
      </c>
      <c r="R2614">
        <f t="shared" si="357"/>
        <v>0.87131006713067838</v>
      </c>
      <c r="S2614">
        <f t="shared" si="349"/>
        <v>304.79737282186113</v>
      </c>
      <c r="T2614" s="564">
        <f>IF((I2614-MAX(I$470:I2614))/MAX(I$470:I2614)&gt;T2613,T2613,(I2614-MAX(I$470:I2614))/MAX(I$470:I2614))</f>
        <v>-0.91338805338419748</v>
      </c>
      <c r="U2614" s="564">
        <f>IF((J2614-MAX(J$470:J2614))/MAX(J$470:J2614)&gt;U2613,U2613,(J2614-MAX(J$470:J2614))/MAX(J$470:J2614))</f>
        <v>-0.8283551177402233</v>
      </c>
      <c r="V2614" s="564">
        <f>IF((K2614-MAX(K$470:K2614))/MAX(K$470:K2614)&gt;V2613,V2613,(K2614-MAX(K$470:K2614))/MAX(K$470:K2614))</f>
        <v>-0.84885940676762139</v>
      </c>
      <c r="W2614" s="564">
        <f>IF((N2614-MAX(N$470:N2614))/MAX(N$470:N2614)&gt;W2613,W2613,(N2614-MAX(N$470:N2614))/MAX(N$470:N2614))</f>
        <v>-0.62788758315546067</v>
      </c>
      <c r="X2614" s="564">
        <f>IF((O2614-MAX(O$470:O2614))/MAX(O$470:O2614)&gt;X2613,X2613,(O2614-MAX(O$470:O2614))/MAX(O$470:O2614))</f>
        <v>-0.62788758315546067</v>
      </c>
    </row>
    <row r="2615" spans="1:24">
      <c r="A2615" s="799">
        <v>43017</v>
      </c>
      <c r="B2615">
        <v>4616.1899999999996</v>
      </c>
      <c r="C2615">
        <v>4370.4416929999998</v>
      </c>
      <c r="D2615">
        <v>2.6898209999999998</v>
      </c>
      <c r="E2615">
        <f>LN(D2615/参数实验室!$E$53)/参数实验室!$E$55</f>
        <v>0.4743676326468812</v>
      </c>
      <c r="F2615">
        <f t="shared" si="348"/>
        <v>0.94676382319618568</v>
      </c>
      <c r="G2615">
        <f>LN(F2615/参数实验室!$E$58)/参数实验室!$E$59</f>
        <v>-0.21924248609366118</v>
      </c>
      <c r="H2615" s="856">
        <f>INDEX(神经网络!$G$10:$BO$70,MATCH(ROUND(G2615*2,1)/2,神经网络!$E$10:$E$70,0),MATCH(ROUND(E2615*2,1)/2,神经网络!$G$8:$BO$8,0))</f>
        <v>1.5559354048663148</v>
      </c>
      <c r="I2615">
        <f t="shared" si="350"/>
        <v>31485.828877754873</v>
      </c>
      <c r="J2615">
        <f t="shared" si="351"/>
        <v>1841.9815649814436</v>
      </c>
      <c r="K2615">
        <f t="shared" si="352"/>
        <v>17.093454938063978</v>
      </c>
      <c r="L2615" s="4">
        <f>MIN(MAX(L2614*(1+MAX(MIN(((B2615-B2614)/B2614)/($K$7*卓尔金历!$N$40),0),-卓尔金历!$M$43))+MIN(MAX(((B2615-B2614)/B2614)/($K$7*卓尔金历!$N$40),0),卓尔金历!$M$43),0),1)</f>
        <v>1</v>
      </c>
      <c r="M2615" s="4">
        <f>MIN(MAX(M2614*(1+MAX(MIN(((B2615-B2614)/B2614)/($K$7*30),0),-卓尔金历!$M$43))+MIN(MAX(((B2615-B2614)/B2614)/($K$7*7),0),卓尔金历!$M$43),0),1)</f>
        <v>1</v>
      </c>
      <c r="N2615">
        <f t="shared" si="353"/>
        <v>28871.915222737065</v>
      </c>
      <c r="O2615">
        <f t="shared" si="354"/>
        <v>60647.87690016524</v>
      </c>
      <c r="P2615">
        <f t="shared" si="355"/>
        <v>4.4807637464861265E-2</v>
      </c>
      <c r="Q2615">
        <f t="shared" si="356"/>
        <v>3.1455262853672145E-2</v>
      </c>
      <c r="R2615">
        <f t="shared" si="357"/>
        <v>2.0023686640759996E-2</v>
      </c>
      <c r="S2615">
        <f t="shared" si="349"/>
        <v>323.31253669412462</v>
      </c>
      <c r="T2615" s="564">
        <f>IF((I2615-MAX(I$470:I2615))/MAX(I$470:I2615)&gt;T2614,T2614,(I2615-MAX(I$470:I2615))/MAX(I$470:I2615))</f>
        <v>-0.91338805338419748</v>
      </c>
      <c r="U2615" s="564">
        <f>IF((J2615-MAX(J$470:J2615))/MAX(J$470:J2615)&gt;U2614,U2614,(J2615-MAX(J$470:J2615))/MAX(J$470:J2615))</f>
        <v>-0.8283551177402233</v>
      </c>
      <c r="V2615" s="564">
        <f>IF((K2615-MAX(K$470:K2615))/MAX(K$470:K2615)&gt;V2614,V2614,(K2615-MAX(K$470:K2615))/MAX(K$470:K2615))</f>
        <v>-0.84885940676762139</v>
      </c>
      <c r="W2615" s="564">
        <f>IF((N2615-MAX(N$470:N2615))/MAX(N$470:N2615)&gt;W2614,W2614,(N2615-MAX(N$470:N2615))/MAX(N$470:N2615))</f>
        <v>-0.62788758315546067</v>
      </c>
      <c r="X2615" s="564">
        <f>IF((O2615-MAX(O$470:O2615))/MAX(O$470:O2615)&gt;X2614,X2614,(O2615-MAX(O$470:O2615))/MAX(O$470:O2615))</f>
        <v>-0.62788758315546067</v>
      </c>
    </row>
    <row r="2616" spans="1:24">
      <c r="A2616" s="799">
        <v>43018</v>
      </c>
      <c r="B2616">
        <v>4817.8900000000003</v>
      </c>
      <c r="C2616">
        <v>4311.1803090000003</v>
      </c>
      <c r="D2616">
        <v>2.6517089999999999</v>
      </c>
      <c r="E2616">
        <f>LN(D2616/参数实验室!$E$53)/参数实验室!$E$55</f>
        <v>0.45753218712611038</v>
      </c>
      <c r="F2616">
        <f t="shared" si="348"/>
        <v>0.89482746783342915</v>
      </c>
      <c r="G2616">
        <f>LN(F2616/参数实验室!$E$58)/参数实验室!$E$59</f>
        <v>-0.24885409043231341</v>
      </c>
      <c r="H2616" s="856">
        <f>INDEX(神经网络!$G$10:$BO$70,MATCH(ROUND(G2616*2,1)/2,神经网络!$E$10:$E$70,0),MATCH(ROUND(E2616*2,1)/2,神经网络!$G$8:$BO$8,0))</f>
        <v>1.5117843464226863</v>
      </c>
      <c r="I2616">
        <f t="shared" si="350"/>
        <v>33626.396323532972</v>
      </c>
      <c r="J2616">
        <f t="shared" si="351"/>
        <v>1922.4651849487236</v>
      </c>
      <c r="K2616">
        <f t="shared" si="352"/>
        <v>17.491290134562234</v>
      </c>
      <c r="L2616" s="4">
        <f>MIN(MAX(L2615*(1+MAX(MIN(((B2616-B2615)/B2615)/($K$7*卓尔金历!$N$40),0),-卓尔金历!$M$43))+MIN(MAX(((B2616-B2615)/B2615)/($K$7*卓尔金历!$N$40),0),卓尔金历!$M$43),0),1)</f>
        <v>1</v>
      </c>
      <c r="M2616" s="4">
        <f>MIN(MAX(M2615*(1+MAX(MIN(((B2616-B2615)/B2615)/($K$7*30),0),-卓尔金历!$M$43))+MIN(MAX(((B2616-B2615)/B2615)/($K$7*7),0),卓尔金历!$M$43),0),1)</f>
        <v>1</v>
      </c>
      <c r="N2616">
        <f t="shared" si="353"/>
        <v>30834.775468945169</v>
      </c>
      <c r="O2616">
        <f t="shared" si="354"/>
        <v>64771.029301586423</v>
      </c>
      <c r="P2616">
        <f t="shared" si="355"/>
        <v>4.3694042056328E-2</v>
      </c>
      <c r="Q2616">
        <f t="shared" si="356"/>
        <v>2.9018625893865044E-2</v>
      </c>
      <c r="R2616">
        <f t="shared" si="357"/>
        <v>1.8581446027021442E-2</v>
      </c>
      <c r="S2616">
        <f t="shared" si="349"/>
        <v>323.75266608499197</v>
      </c>
      <c r="T2616" s="564">
        <f>IF((I2616-MAX(I$470:I2616))/MAX(I$470:I2616)&gt;T2615,T2615,(I2616-MAX(I$470:I2616))/MAX(I$470:I2616))</f>
        <v>-0.91338805338419748</v>
      </c>
      <c r="U2616" s="564">
        <f>IF((J2616-MAX(J$470:J2616))/MAX(J$470:J2616)&gt;U2615,U2615,(J2616-MAX(J$470:J2616))/MAX(J$470:J2616))</f>
        <v>-0.8283551177402233</v>
      </c>
      <c r="V2616" s="564">
        <f>IF((K2616-MAX(K$470:K2616))/MAX(K$470:K2616)&gt;V2615,V2615,(K2616-MAX(K$470:K2616))/MAX(K$470:K2616))</f>
        <v>-0.84885940676762139</v>
      </c>
      <c r="W2616" s="564">
        <f>IF((N2616-MAX(N$470:N2616))/MAX(N$470:N2616)&gt;W2615,W2615,(N2616-MAX(N$470:N2616))/MAX(N$470:N2616))</f>
        <v>-0.62788758315546067</v>
      </c>
      <c r="X2616" s="564">
        <f>IF((O2616-MAX(O$470:O2616))/MAX(O$470:O2616)&gt;X2615,X2615,(O2616-MAX(O$470:O2616))/MAX(O$470:O2616))</f>
        <v>-0.62788758315546067</v>
      </c>
    </row>
    <row r="2617" spans="1:24">
      <c r="A2617" s="799">
        <v>43019</v>
      </c>
      <c r="B2617">
        <v>4793.33</v>
      </c>
      <c r="C2617">
        <v>4410.1444110000002</v>
      </c>
      <c r="D2617">
        <v>2.682356</v>
      </c>
      <c r="E2617">
        <f>LN(D2617/参数实验室!$E$53)/参数实验室!$E$55</f>
        <v>0.47108893813080843</v>
      </c>
      <c r="F2617">
        <f t="shared" si="348"/>
        <v>0.92005858369859794</v>
      </c>
      <c r="G2617">
        <f>LN(F2617/参数实验室!$E$58)/参数实验室!$E$59</f>
        <v>-0.234259778667049</v>
      </c>
      <c r="H2617" s="856">
        <f>INDEX(神经网络!$G$10:$BO$70,MATCH(ROUND(G2617*2,1)/2,神经网络!$E$10:$E$70,0),MATCH(ROUND(E2617*2,1)/2,神经网络!$G$8:$BO$8,0))</f>
        <v>1.5117843464226863</v>
      </c>
      <c r="I2617">
        <f t="shared" si="350"/>
        <v>33367.252027690993</v>
      </c>
      <c r="J2617">
        <f t="shared" si="351"/>
        <v>1912.6650971629208</v>
      </c>
      <c r="K2617">
        <f t="shared" si="352"/>
        <v>17.445423183172547</v>
      </c>
      <c r="L2617" s="4">
        <f>MIN(MAX(L2616*(1+MAX(MIN(((B2617-B2616)/B2616)/($K$7*卓尔金历!$N$40),0),-卓尔金历!$M$43))+MIN(MAX(((B2617-B2616)/B2616)/($K$7*卓尔金历!$N$40),0),卓尔金历!$M$43),0),1)</f>
        <v>0.92211253649811153</v>
      </c>
      <c r="M2617" s="4">
        <f>MIN(MAX(M2616*(1+MAX(MIN(((B2617-B2616)/B2616)/($K$7*30),0),-卓尔金历!$M$43))+MIN(MAX(((B2617-B2616)/B2616)/($K$7*7),0),卓尔金历!$M$43),0),1)</f>
        <v>0.96105626824905577</v>
      </c>
      <c r="N2617">
        <f t="shared" si="353"/>
        <v>30597.145004489088</v>
      </c>
      <c r="O2617">
        <f t="shared" si="354"/>
        <v>64271.86660161036</v>
      </c>
      <c r="P2617">
        <f t="shared" si="355"/>
        <v>-5.0976672360723051E-3</v>
      </c>
      <c r="Q2617">
        <f t="shared" si="356"/>
        <v>2.8650701321122376E-2</v>
      </c>
      <c r="R2617">
        <f t="shared" si="357"/>
        <v>1</v>
      </c>
      <c r="S2617">
        <f t="shared" si="349"/>
        <v>323.70630493627323</v>
      </c>
      <c r="T2617" s="564">
        <f>IF((I2617-MAX(I$470:I2617))/MAX(I$470:I2617)&gt;T2616,T2616,(I2617-MAX(I$470:I2617))/MAX(I$470:I2617))</f>
        <v>-0.91338805338419748</v>
      </c>
      <c r="U2617" s="564">
        <f>IF((J2617-MAX(J$470:J2617))/MAX(J$470:J2617)&gt;U2616,U2616,(J2617-MAX(J$470:J2617))/MAX(J$470:J2617))</f>
        <v>-0.8283551177402233</v>
      </c>
      <c r="V2617" s="564">
        <f>IF((K2617-MAX(K$470:K2617))/MAX(K$470:K2617)&gt;V2616,V2616,(K2617-MAX(K$470:K2617))/MAX(K$470:K2617))</f>
        <v>-0.84885940676762139</v>
      </c>
      <c r="W2617" s="564">
        <f>IF((N2617-MAX(N$470:N2617))/MAX(N$470:N2617)&gt;W2616,W2616,(N2617-MAX(N$470:N2617))/MAX(N$470:N2617))</f>
        <v>-0.62788758315546067</v>
      </c>
      <c r="X2617" s="564">
        <f>IF((O2617-MAX(O$470:O2617))/MAX(O$470:O2617)&gt;X2616,X2616,(O2617-MAX(O$470:O2617))/MAX(O$470:O2617))</f>
        <v>-0.62788758315546067</v>
      </c>
    </row>
    <row r="2618" spans="1:24">
      <c r="A2618" s="799">
        <v>43020</v>
      </c>
      <c r="B2618">
        <v>4861.99</v>
      </c>
      <c r="C2618">
        <v>4512.2894470000001</v>
      </c>
      <c r="D2618">
        <v>2.973516</v>
      </c>
      <c r="E2618">
        <f>LN(D2618/参数实验室!$E$53)/参数实验室!$E$55</f>
        <v>0.59266201230220972</v>
      </c>
      <c r="F2618">
        <f t="shared" si="348"/>
        <v>0.92807460463719593</v>
      </c>
      <c r="G2618">
        <f>LN(F2618/参数实验室!$E$58)/参数实验室!$E$59</f>
        <v>-0.22970678713041043</v>
      </c>
      <c r="H2618" s="856">
        <f>INDEX(神经网络!$G$10:$BO$70,MATCH(ROUND(G2618*2,1)/2,神经网络!$E$10:$E$70,0),MATCH(ROUND(E2618*2,1)/2,神经网络!$G$8:$BO$8,0))</f>
        <v>1.7574855347110234</v>
      </c>
      <c r="I2618">
        <f t="shared" si="350"/>
        <v>34089.81675226496</v>
      </c>
      <c r="J2618">
        <f t="shared" si="351"/>
        <v>1940.0622481145988</v>
      </c>
      <c r="K2618">
        <f t="shared" si="352"/>
        <v>17.571506679950243</v>
      </c>
      <c r="L2618" s="4">
        <f>MIN(MAX(L2617*(1+MAX(MIN(((B2618-B2617)/B2617)/($K$7*卓尔金历!$N$40),0),-卓尔金历!$M$43))+MIN(MAX(((B2618-B2617)/B2617)/($K$7*卓尔金历!$N$40),0),卓尔金历!$M$43),0),1)</f>
        <v>1</v>
      </c>
      <c r="M2618" s="4">
        <f>MIN(MAX(M2617*(1+MAX(MIN(((B2618-B2617)/B2617)/($K$7*30),0),-卓尔金历!$M$43))+MIN(MAX(((B2618-B2617)/B2617)/($K$7*7),0),卓尔金历!$M$43),0),1)</f>
        <v>1</v>
      </c>
      <c r="N2618">
        <f t="shared" si="353"/>
        <v>31208.116775942544</v>
      </c>
      <c r="O2618">
        <f t="shared" si="354"/>
        <v>65609.465931701037</v>
      </c>
      <c r="P2618">
        <f t="shared" si="355"/>
        <v>1.432407115721218E-2</v>
      </c>
      <c r="Q2618">
        <f t="shared" si="356"/>
        <v>2.8456596671009731E-2</v>
      </c>
      <c r="R2618">
        <f t="shared" si="357"/>
        <v>0.73475623094033937</v>
      </c>
      <c r="S2618">
        <f t="shared" si="349"/>
        <v>330.71613472012911</v>
      </c>
      <c r="T2618" s="564">
        <f>IF((I2618-MAX(I$470:I2618))/MAX(I$470:I2618)&gt;T2617,T2617,(I2618-MAX(I$470:I2618))/MAX(I$470:I2618))</f>
        <v>-0.91338805338419748</v>
      </c>
      <c r="U2618" s="564">
        <f>IF((J2618-MAX(J$470:J2618))/MAX(J$470:J2618)&gt;U2617,U2617,(J2618-MAX(J$470:J2618))/MAX(J$470:J2618))</f>
        <v>-0.8283551177402233</v>
      </c>
      <c r="V2618" s="564">
        <f>IF((K2618-MAX(K$470:K2618))/MAX(K$470:K2618)&gt;V2617,V2617,(K2618-MAX(K$470:K2618))/MAX(K$470:K2618))</f>
        <v>-0.84885940676762139</v>
      </c>
      <c r="W2618" s="564">
        <f>IF((N2618-MAX(N$470:N2618))/MAX(N$470:N2618)&gt;W2617,W2617,(N2618-MAX(N$470:N2618))/MAX(N$470:N2618))</f>
        <v>-0.62788758315546067</v>
      </c>
      <c r="X2618" s="564">
        <f>IF((O2618-MAX(O$470:O2618))/MAX(O$470:O2618)&gt;X2617,X2617,(O2618-MAX(O$470:O2618))/MAX(O$470:O2618))</f>
        <v>-0.62788758315546067</v>
      </c>
    </row>
    <row r="2619" spans="1:24">
      <c r="A2619" s="799">
        <v>43021</v>
      </c>
      <c r="B2619">
        <v>5707.79</v>
      </c>
      <c r="C2619">
        <v>4674.9893249999996</v>
      </c>
      <c r="D2619">
        <v>3.0503969999999998</v>
      </c>
      <c r="E2619">
        <f>LN(D2619/参数实验室!$E$53)/参数实验室!$E$55</f>
        <v>0.62277716642741077</v>
      </c>
      <c r="F2619">
        <f t="shared" si="348"/>
        <v>0.81905419172744609</v>
      </c>
      <c r="G2619">
        <f>LN(F2619/参数实验室!$E$58)/参数实验室!$E$59</f>
        <v>-0.2952935312236189</v>
      </c>
      <c r="H2619" s="856">
        <f>INDEX(神经网络!$G$10:$BO$70,MATCH(ROUND(G2619*2,1)/2,神经网络!$E$10:$E$70,0),MATCH(ROUND(E2619*2,1)/2,神经网络!$G$8:$BO$8,0))</f>
        <v>1.7183856971198417</v>
      </c>
      <c r="I2619">
        <f t="shared" si="350"/>
        <v>44512.272153929734</v>
      </c>
      <c r="J2619">
        <f t="shared" si="351"/>
        <v>2277.5587566338118</v>
      </c>
      <c r="K2619">
        <f t="shared" si="352"/>
        <v>19.543852392075284</v>
      </c>
      <c r="L2619" s="4">
        <f>MIN(MAX(L2618*(1+MAX(MIN(((B2619-B2618)/B2618)/($K$7*卓尔金历!$N$40),0),-卓尔金历!$M$43))+MIN(MAX(((B2619-B2618)/B2618)/($K$7*卓尔金历!$N$40),0),卓尔金历!$M$43),0),1)</f>
        <v>1</v>
      </c>
      <c r="M2619" s="4">
        <f>MIN(MAX(M2618*(1+MAX(MIN(((B2619-B2618)/B2618)/($K$7*30),0),-卓尔金历!$M$43))+MIN(MAX(((B2619-B2618)/B2618)/($K$7*7),0),卓尔金历!$M$43),0),1)</f>
        <v>1</v>
      </c>
      <c r="N2619">
        <f t="shared" si="353"/>
        <v>40749.535189275506</v>
      </c>
      <c r="O2619">
        <f t="shared" si="354"/>
        <v>85668.586154304328</v>
      </c>
      <c r="P2619">
        <f t="shared" si="355"/>
        <v>0.1739616905834854</v>
      </c>
      <c r="Q2619">
        <f t="shared" si="356"/>
        <v>4.149185161502341E-2</v>
      </c>
      <c r="R2619">
        <f t="shared" si="357"/>
        <v>0</v>
      </c>
      <c r="S2619">
        <f t="shared" si="349"/>
        <v>405.00847510460716</v>
      </c>
      <c r="T2619" s="564">
        <f>IF((I2619-MAX(I$470:I2619))/MAX(I$470:I2619)&gt;T2618,T2618,(I2619-MAX(I$470:I2619))/MAX(I$470:I2619))</f>
        <v>-0.91338805338419748</v>
      </c>
      <c r="U2619" s="564">
        <f>IF((J2619-MAX(J$470:J2619))/MAX(J$470:J2619)&gt;U2618,U2618,(J2619-MAX(J$470:J2619))/MAX(J$470:J2619))</f>
        <v>-0.8283551177402233</v>
      </c>
      <c r="V2619" s="564">
        <f>IF((K2619-MAX(K$470:K2619))/MAX(K$470:K2619)&gt;V2618,V2618,(K2619-MAX(K$470:K2619))/MAX(K$470:K2619))</f>
        <v>-0.84885940676762139</v>
      </c>
      <c r="W2619" s="564">
        <f>IF((N2619-MAX(N$470:N2619))/MAX(N$470:N2619)&gt;W2618,W2618,(N2619-MAX(N$470:N2619))/MAX(N$470:N2619))</f>
        <v>-0.62788758315546067</v>
      </c>
      <c r="X2619" s="564">
        <f>IF((O2619-MAX(O$470:O2619))/MAX(O$470:O2619)&gt;X2618,X2618,(O2619-MAX(O$470:O2619))/MAX(O$470:O2619))</f>
        <v>-0.62788758315546067</v>
      </c>
    </row>
    <row r="2620" spans="1:24">
      <c r="A2620" s="799">
        <v>43022</v>
      </c>
      <c r="B2620">
        <v>5666.83</v>
      </c>
      <c r="C2620">
        <v>4778.9297070000002</v>
      </c>
      <c r="D2620">
        <v>3.1215999999999999</v>
      </c>
      <c r="E2620">
        <f>LN(D2620/参数实验室!$E$53)/参数实验室!$E$55</f>
        <v>0.6499987276606386</v>
      </c>
      <c r="F2620">
        <f t="shared" si="348"/>
        <v>0.84331622917927662</v>
      </c>
      <c r="G2620">
        <f>LN(F2620/参数实验室!$E$58)/参数实验室!$E$59</f>
        <v>-0.27997211722146437</v>
      </c>
      <c r="H2620" s="856">
        <f>INDEX(神经网络!$G$10:$BO$70,MATCH(ROUND(G2620*2,1)/2,神经网络!$E$10:$E$70,0),MATCH(ROUND(E2620*2,1)/2,神经网络!$G$8:$BO$8,0))</f>
        <v>1.7914855071021871</v>
      </c>
      <c r="I2620">
        <f t="shared" si="350"/>
        <v>43963.373236070503</v>
      </c>
      <c r="J2620">
        <f t="shared" si="351"/>
        <v>2261.2146362874569</v>
      </c>
      <c r="K2620">
        <f t="shared" si="352"/>
        <v>19.442370719946844</v>
      </c>
      <c r="L2620" s="4">
        <f>MIN(MAX(L2619*(1+MAX(MIN(((B2620-B2619)/B2619)/($K$7*卓尔金历!$N$40),0),-卓尔金历!$M$43))+MIN(MAX(((B2620-B2619)/B2619)/($K$7*卓尔金历!$N$40),0),卓尔金历!$M$43),0),1)</f>
        <v>0.89035519988849843</v>
      </c>
      <c r="M2620" s="4">
        <f>MIN(MAX(M2619*(1+MAX(MIN(((B2620-B2619)/B2619)/($K$7*30),0),-卓尔金历!$M$43))+MIN(MAX(((B2620-B2619)/B2619)/($K$7*7),0),卓尔金历!$M$43),0),1)</f>
        <v>0.94517759994424921</v>
      </c>
      <c r="N2620">
        <f t="shared" si="353"/>
        <v>40247.03611011571</v>
      </c>
      <c r="O2620">
        <f t="shared" si="354"/>
        <v>84612.172002449428</v>
      </c>
      <c r="P2620">
        <f t="shared" si="355"/>
        <v>-7.1761574970347604E-3</v>
      </c>
      <c r="Q2620">
        <f t="shared" si="356"/>
        <v>4.142987138895473E-2</v>
      </c>
      <c r="R2620">
        <f t="shared" si="357"/>
        <v>1</v>
      </c>
      <c r="S2620">
        <f t="shared" si="349"/>
        <v>405.00847510460716</v>
      </c>
      <c r="T2620" s="564">
        <f>IF((I2620-MAX(I$470:I2620))/MAX(I$470:I2620)&gt;T2619,T2619,(I2620-MAX(I$470:I2620))/MAX(I$470:I2620))</f>
        <v>-0.91338805338419748</v>
      </c>
      <c r="U2620" s="564">
        <f>IF((J2620-MAX(J$470:J2620))/MAX(J$470:J2620)&gt;U2619,U2619,(J2620-MAX(J$470:J2620))/MAX(J$470:J2620))</f>
        <v>-0.8283551177402233</v>
      </c>
      <c r="V2620" s="564">
        <f>IF((K2620-MAX(K$470:K2620))/MAX(K$470:K2620)&gt;V2619,V2619,(K2620-MAX(K$470:K2620))/MAX(K$470:K2620))</f>
        <v>-0.84885940676762139</v>
      </c>
      <c r="W2620" s="564">
        <f>IF((N2620-MAX(N$470:N2620))/MAX(N$470:N2620)&gt;W2619,W2619,(N2620-MAX(N$470:N2620))/MAX(N$470:N2620))</f>
        <v>-0.62788758315546067</v>
      </c>
      <c r="X2620" s="564">
        <f>IF((O2620-MAX(O$470:O2620))/MAX(O$470:O2620)&gt;X2619,X2619,(O2620-MAX(O$470:O2620))/MAX(O$470:O2620))</f>
        <v>-0.62788758315546067</v>
      </c>
    </row>
    <row r="2621" spans="1:24">
      <c r="A2621" s="799">
        <v>43023</v>
      </c>
      <c r="B2621">
        <v>5852.48</v>
      </c>
      <c r="C2621">
        <v>4734.252144</v>
      </c>
      <c r="D2621">
        <v>3.0507270000000002</v>
      </c>
      <c r="E2621">
        <f>LN(D2621/参数实验室!$E$53)/参数实验室!$E$55</f>
        <v>0.62290478834458241</v>
      </c>
      <c r="F2621">
        <f t="shared" si="348"/>
        <v>0.80893093936245841</v>
      </c>
      <c r="G2621">
        <f>LN(F2621/参数实验室!$E$58)/参数实验室!$E$59</f>
        <v>-0.30182098447248157</v>
      </c>
      <c r="H2621" s="856">
        <f>INDEX(神经网络!$G$10:$BO$70,MATCH(ROUND(G2621*2,1)/2,神经网络!$E$10:$E$70,0),MATCH(ROUND(E2621*2,1)/2,神经网络!$G$8:$BO$8,0))</f>
        <v>1.7183856971198417</v>
      </c>
      <c r="I2621">
        <f t="shared" si="350"/>
        <v>46543.607131230572</v>
      </c>
      <c r="J2621">
        <f t="shared" si="351"/>
        <v>2335.2938829256595</v>
      </c>
      <c r="K2621">
        <f t="shared" si="352"/>
        <v>19.930513873020843</v>
      </c>
      <c r="L2621" s="4">
        <f>MIN(MAX(L2620*(1+MAX(MIN(((B2621-B2620)/B2620)/($K$7*卓尔金历!$N$40),0),-卓尔金历!$M$43))+MIN(MAX(((B2621-B2620)/B2620)/($K$7*卓尔金历!$N$40),0),卓尔金历!$M$43),0),1)</f>
        <v>1</v>
      </c>
      <c r="M2621" s="4">
        <f>MIN(MAX(M2620*(1+MAX(MIN(((B2621-B2620)/B2620)/($K$7*30),0),-卓尔金历!$M$43))+MIN(MAX(((B2621-B2620)/B2620)/($K$7*7),0),卓尔金历!$M$43),0),1)</f>
        <v>1</v>
      </c>
      <c r="N2621">
        <f t="shared" si="353"/>
        <v>42350.162007028142</v>
      </c>
      <c r="O2621">
        <f t="shared" si="354"/>
        <v>89305.861243140534</v>
      </c>
      <c r="P2621">
        <f t="shared" si="355"/>
        <v>3.276082042341126E-2</v>
      </c>
      <c r="Q2621">
        <f t="shared" si="356"/>
        <v>4.1302425702022444E-2</v>
      </c>
      <c r="R2621">
        <f t="shared" si="357"/>
        <v>0.28271660235045182</v>
      </c>
      <c r="S2621">
        <f t="shared" si="349"/>
        <v>428.77863918370463</v>
      </c>
      <c r="T2621" s="564">
        <f>IF((I2621-MAX(I$470:I2621))/MAX(I$470:I2621)&gt;T2620,T2620,(I2621-MAX(I$470:I2621))/MAX(I$470:I2621))</f>
        <v>-0.91338805338419748</v>
      </c>
      <c r="U2621" s="564">
        <f>IF((J2621-MAX(J$470:J2621))/MAX(J$470:J2621)&gt;U2620,U2620,(J2621-MAX(J$470:J2621))/MAX(J$470:J2621))</f>
        <v>-0.8283551177402233</v>
      </c>
      <c r="V2621" s="564">
        <f>IF((K2621-MAX(K$470:K2621))/MAX(K$470:K2621)&gt;V2620,V2620,(K2621-MAX(K$470:K2621))/MAX(K$470:K2621))</f>
        <v>-0.84885940676762139</v>
      </c>
      <c r="W2621" s="564">
        <f>IF((N2621-MAX(N$470:N2621))/MAX(N$470:N2621)&gt;W2620,W2620,(N2621-MAX(N$470:N2621))/MAX(N$470:N2621))</f>
        <v>-0.62788758315546067</v>
      </c>
      <c r="X2621" s="564">
        <f>IF((O2621-MAX(O$470:O2621))/MAX(O$470:O2621)&gt;X2620,X2620,(O2621-MAX(O$470:O2621))/MAX(O$470:O2621))</f>
        <v>-0.62788758315546067</v>
      </c>
    </row>
    <row r="2622" spans="1:24">
      <c r="A2622" s="799">
        <v>43024</v>
      </c>
      <c r="B2622">
        <v>5688.99</v>
      </c>
      <c r="C2622">
        <v>4720.7211139999999</v>
      </c>
      <c r="D2622">
        <v>3.0581320000000001</v>
      </c>
      <c r="E2622">
        <f>LN(D2622/参数实验室!$E$53)/参数实验室!$E$55</f>
        <v>0.62576492214385548</v>
      </c>
      <c r="F2622">
        <f t="shared" si="348"/>
        <v>0.82979950993058527</v>
      </c>
      <c r="G2622">
        <f>LN(F2622/参数实验室!$E$58)/参数实验室!$E$59</f>
        <v>-0.28845265317882091</v>
      </c>
      <c r="H2622" s="856">
        <f>INDEX(神经网络!$G$10:$BO$70,MATCH(ROUND(G2622*2,1)/2,神经网络!$E$10:$E$70,0),MATCH(ROUND(E2622*2,1)/2,神经网络!$G$8:$BO$8,0))</f>
        <v>1.7914855071021871</v>
      </c>
      <c r="I2622">
        <f t="shared" si="350"/>
        <v>44309.356224276096</v>
      </c>
      <c r="J2622">
        <f t="shared" si="351"/>
        <v>2270.057060771715</v>
      </c>
      <c r="K2622">
        <f t="shared" si="352"/>
        <v>19.519049538434491</v>
      </c>
      <c r="L2622" s="4">
        <f>MIN(MAX(L2621*(1+MAX(MIN(((B2622-B2621)/B2621)/($K$7*卓尔金历!$N$40),0),-卓尔金历!$M$43))+MIN(MAX(((B2622-B2621)/B2621)/($K$7*卓尔金历!$N$40),0),卓尔金历!$M$43),0),1)</f>
        <v>0.57317747170710898</v>
      </c>
      <c r="M2622" s="4">
        <f>MIN(MAX(M2621*(1+MAX(MIN(((B2622-B2621)/B2621)/($K$7*30),0),-卓尔金历!$M$43))+MIN(MAX(((B2622-B2621)/B2621)/($K$7*7),0),卓尔金历!$M$43),0),1)</f>
        <v>0.78658873585355449</v>
      </c>
      <c r="N2622">
        <f t="shared" si="353"/>
        <v>40317.210680177042</v>
      </c>
      <c r="O2622">
        <f t="shared" si="354"/>
        <v>85018.877191469292</v>
      </c>
      <c r="P2622">
        <f t="shared" si="355"/>
        <v>-2.793516594674391E-2</v>
      </c>
      <c r="Q2622">
        <f t="shared" si="356"/>
        <v>4.2367166876013378E-2</v>
      </c>
      <c r="R2622">
        <f t="shared" si="357"/>
        <v>0.47499173724853982</v>
      </c>
      <c r="S2622">
        <f t="shared" si="349"/>
        <v>422.95953196414547</v>
      </c>
      <c r="T2622" s="564">
        <f>IF((I2622-MAX(I$470:I2622))/MAX(I$470:I2622)&gt;T2621,T2621,(I2622-MAX(I$470:I2622))/MAX(I$470:I2622))</f>
        <v>-0.91338805338419748</v>
      </c>
      <c r="U2622" s="564">
        <f>IF((J2622-MAX(J$470:J2622))/MAX(J$470:J2622)&gt;U2621,U2621,(J2622-MAX(J$470:J2622))/MAX(J$470:J2622))</f>
        <v>-0.8283551177402233</v>
      </c>
      <c r="V2622" s="564">
        <f>IF((K2622-MAX(K$470:K2622))/MAX(K$470:K2622)&gt;V2621,V2621,(K2622-MAX(K$470:K2622))/MAX(K$470:K2622))</f>
        <v>-0.84885940676762139</v>
      </c>
      <c r="W2622" s="564">
        <f>IF((N2622-MAX(N$470:N2622))/MAX(N$470:N2622)&gt;W2621,W2621,(N2622-MAX(N$470:N2622))/MAX(N$470:N2622))</f>
        <v>-0.62788758315546067</v>
      </c>
      <c r="X2622" s="564">
        <f>IF((O2622-MAX(O$470:O2622))/MAX(O$470:O2622)&gt;X2621,X2621,(O2622-MAX(O$470:O2622))/MAX(O$470:O2622))</f>
        <v>-0.62788758315546067</v>
      </c>
    </row>
    <row r="2623" spans="1:24">
      <c r="A2623" s="799">
        <v>43025</v>
      </c>
      <c r="B2623">
        <v>5629.59</v>
      </c>
      <c r="C2623">
        <v>4759.9279909999996</v>
      </c>
      <c r="D2623">
        <v>2.9502660000000001</v>
      </c>
      <c r="E2623">
        <f>LN(D2623/参数实验室!$E$53)/参数实验室!$E$55</f>
        <v>0.58340123809802524</v>
      </c>
      <c r="F2623">
        <f t="shared" si="348"/>
        <v>0.84551947672921113</v>
      </c>
      <c r="G2623">
        <f>LN(F2623/参数实验室!$E$58)/参数实验室!$E$59</f>
        <v>-0.27860267194447169</v>
      </c>
      <c r="H2623" s="856">
        <f>INDEX(神经网络!$G$10:$BO$70,MATCH(ROUND(G2623*2,1)/2,神经网络!$E$10:$E$70,0),MATCH(ROUND(E2623*2,1)/2,神经网络!$G$8:$BO$8,0))</f>
        <v>1.7183856971198417</v>
      </c>
      <c r="I2623">
        <f t="shared" si="350"/>
        <v>43480.536622099571</v>
      </c>
      <c r="J2623">
        <f t="shared" si="351"/>
        <v>2246.3548940584951</v>
      </c>
      <c r="K2623">
        <f t="shared" si="352"/>
        <v>19.356040640374136</v>
      </c>
      <c r="L2623" s="4">
        <f>MIN(MAX(L2622*(1+MAX(MIN(((B2623-B2622)/B2622)/($K$7*卓尔金历!$N$40),0),-卓尔金历!$M$43))+MIN(MAX(((B2623-B2622)/B2622)/($K$7*卓尔金历!$N$40),0),卓尔金历!$M$43),0),1)</f>
        <v>0.48173741946822668</v>
      </c>
      <c r="M2623" s="4">
        <f>MIN(MAX(M2622*(1+MAX(MIN(((B2623-B2622)/B2622)/($K$7*30),0),-卓尔金历!$M$43))+MIN(MAX(((B2623-B2622)/B2622)/($K$7*7),0),卓尔金历!$M$43),0),1)</f>
        <v>0.72384576474309958</v>
      </c>
      <c r="N2623">
        <f t="shared" si="353"/>
        <v>39884.951560871908</v>
      </c>
      <c r="O2623">
        <f t="shared" si="354"/>
        <v>83767.962590397161</v>
      </c>
      <c r="P2623">
        <f t="shared" si="355"/>
        <v>-1.044122067361687E-2</v>
      </c>
      <c r="Q2623">
        <f t="shared" si="356"/>
        <v>4.246004944349651E-2</v>
      </c>
      <c r="R2623">
        <f t="shared" si="357"/>
        <v>1</v>
      </c>
      <c r="S2623">
        <f t="shared" si="349"/>
        <v>419.20159539371247</v>
      </c>
      <c r="T2623" s="564">
        <f>IF((I2623-MAX(I$470:I2623))/MAX(I$470:I2623)&gt;T2622,T2622,(I2623-MAX(I$470:I2623))/MAX(I$470:I2623))</f>
        <v>-0.91338805338419748</v>
      </c>
      <c r="U2623" s="564">
        <f>IF((J2623-MAX(J$470:J2623))/MAX(J$470:J2623)&gt;U2622,U2622,(J2623-MAX(J$470:J2623))/MAX(J$470:J2623))</f>
        <v>-0.8283551177402233</v>
      </c>
      <c r="V2623" s="564">
        <f>IF((K2623-MAX(K$470:K2623))/MAX(K$470:K2623)&gt;V2622,V2622,(K2623-MAX(K$470:K2623))/MAX(K$470:K2623))</f>
        <v>-0.84885940676762139</v>
      </c>
      <c r="W2623" s="564">
        <f>IF((N2623-MAX(N$470:N2623))/MAX(N$470:N2623)&gt;W2622,W2622,(N2623-MAX(N$470:N2623))/MAX(N$470:N2623))</f>
        <v>-0.62788758315546067</v>
      </c>
      <c r="X2623" s="564">
        <f>IF((O2623-MAX(O$470:O2623))/MAX(O$470:O2623)&gt;X2622,X2622,(O2623-MAX(O$470:O2623))/MAX(O$470:O2623))</f>
        <v>-0.62788758315546067</v>
      </c>
    </row>
    <row r="2624" spans="1:24">
      <c r="A2624" s="799">
        <v>43026</v>
      </c>
      <c r="B2624">
        <v>5514.57</v>
      </c>
      <c r="C2624">
        <v>4687.3177370000003</v>
      </c>
      <c r="D2624">
        <v>2.9316490000000002</v>
      </c>
      <c r="E2624">
        <f>LN(D2624/参数实验室!$E$53)/参数实验室!$E$55</f>
        <v>0.57593307866799093</v>
      </c>
      <c r="F2624">
        <f t="shared" si="348"/>
        <v>0.84998789334435876</v>
      </c>
      <c r="G2624">
        <f>LN(F2624/参数实验室!$E$58)/参数实验室!$E$59</f>
        <v>-0.27583621749220644</v>
      </c>
      <c r="H2624" s="856">
        <f>INDEX(神经网络!$G$10:$BO$70,MATCH(ROUND(G2624*2,1)/2,神经网络!$E$10:$E$70,0),MATCH(ROUND(E2624*2,1)/2,神经网络!$G$8:$BO$8,0))</f>
        <v>1.7183856971198417</v>
      </c>
      <c r="I2624">
        <f t="shared" si="350"/>
        <v>41953.982728545416</v>
      </c>
      <c r="J2624">
        <f t="shared" si="351"/>
        <v>2200.4588803319875</v>
      </c>
      <c r="K2624">
        <f t="shared" si="352"/>
        <v>19.066015322320286</v>
      </c>
      <c r="L2624" s="4">
        <f>MIN(MAX(L2623*(1+MAX(MIN(((B2624-B2623)/B2623)/($K$7*卓尔金历!$N$40),0),-卓尔金历!$M$43))+MIN(MAX(((B2624-B2623)/B2623)/($K$7*卓尔金历!$N$40),0),卓尔金历!$M$43),0),1)</f>
        <v>0.33135292610635769</v>
      </c>
      <c r="M2624" s="4">
        <f>MIN(MAX(M2623*(1+MAX(MIN(((B2624-B2623)/B2623)/($K$7*30),0),-卓尔金历!$M$43))+MIN(MAX(((B2624-B2623)/B2623)/($K$7*7),0),卓尔金历!$M$43),0),1)</f>
        <v>0.61086390553524816</v>
      </c>
      <c r="N2624">
        <f t="shared" si="353"/>
        <v>39210.366534887908</v>
      </c>
      <c r="O2624">
        <f t="shared" si="354"/>
        <v>81639.131343234432</v>
      </c>
      <c r="P2624">
        <f t="shared" si="355"/>
        <v>-2.0431328036322437E-2</v>
      </c>
      <c r="Q2624">
        <f t="shared" si="356"/>
        <v>4.2847356991358609E-2</v>
      </c>
      <c r="R2624">
        <f t="shared" si="357"/>
        <v>0.81447943324365335</v>
      </c>
      <c r="S2624">
        <f t="shared" si="349"/>
        <v>404.48388771696017</v>
      </c>
      <c r="T2624" s="564">
        <f>IF((I2624-MAX(I$470:I2624))/MAX(I$470:I2624)&gt;T2623,T2623,(I2624-MAX(I$470:I2624))/MAX(I$470:I2624))</f>
        <v>-0.91338805338419748</v>
      </c>
      <c r="U2624" s="564">
        <f>IF((J2624-MAX(J$470:J2624))/MAX(J$470:J2624)&gt;U2623,U2623,(J2624-MAX(J$470:J2624))/MAX(J$470:J2624))</f>
        <v>-0.8283551177402233</v>
      </c>
      <c r="V2624" s="564">
        <f>IF((K2624-MAX(K$470:K2624))/MAX(K$470:K2624)&gt;V2623,V2623,(K2624-MAX(K$470:K2624))/MAX(K$470:K2624))</f>
        <v>-0.84885940676762139</v>
      </c>
      <c r="W2624" s="564">
        <f>IF((N2624-MAX(N$470:N2624))/MAX(N$470:N2624)&gt;W2623,W2623,(N2624-MAX(N$470:N2624))/MAX(N$470:N2624))</f>
        <v>-0.62788758315546067</v>
      </c>
      <c r="X2624" s="564">
        <f>IF((O2624-MAX(O$470:O2624))/MAX(O$470:O2624)&gt;X2623,X2623,(O2624-MAX(O$470:O2624))/MAX(O$470:O2624))</f>
        <v>-0.62788758315546067</v>
      </c>
    </row>
    <row r="2625" spans="1:24">
      <c r="A2625" s="799">
        <v>43027</v>
      </c>
      <c r="B2625">
        <v>5605.89</v>
      </c>
      <c r="C2625">
        <v>4622.5038839999997</v>
      </c>
      <c r="D2625">
        <v>2.9689190000000001</v>
      </c>
      <c r="E2625">
        <f>LN(D2625/参数实验室!$E$53)/参数实验室!$E$55</f>
        <v>0.5908367246063797</v>
      </c>
      <c r="F2625">
        <f t="shared" si="348"/>
        <v>0.82457984084596725</v>
      </c>
      <c r="G2625">
        <f>LN(F2625/参数实验室!$E$58)/参数实验室!$E$59</f>
        <v>-0.29176455804711116</v>
      </c>
      <c r="H2625" s="856">
        <f>INDEX(神经网络!$G$10:$BO$70,MATCH(ROUND(G2625*2,1)/2,神经网络!$E$10:$E$70,0),MATCH(ROUND(E2625*2,1)/2,神经网络!$G$8:$BO$8,0))</f>
        <v>1.7183856971198417</v>
      </c>
      <c r="I2625">
        <f t="shared" si="350"/>
        <v>43147.828136384574</v>
      </c>
      <c r="J2625">
        <f t="shared" si="351"/>
        <v>2236.8979689557459</v>
      </c>
      <c r="K2625">
        <f t="shared" si="352"/>
        <v>19.289135550749922</v>
      </c>
      <c r="L2625" s="4">
        <f>MIN(MAX(L2624*(1+MAX(MIN(((B2625-B2624)/B2624)/($K$7*卓尔金历!$N$40),0),-卓尔金历!$M$43))+MIN(MAX(((B2625-B2624)/B2624)/($K$7*卓尔金历!$N$40),0),卓尔金历!$M$43),0),1)</f>
        <v>0.58437029042518374</v>
      </c>
      <c r="M2625" s="4">
        <f>MIN(MAX(M2624*(1+MAX(MIN(((B2625-B2624)/B2624)/($K$7*30),0),-卓尔金历!$M$43))+MIN(MAX(((B2625-B2624)/B2624)/($K$7*7),0),卓尔金历!$M$43),0),1)</f>
        <v>1</v>
      </c>
      <c r="N2625">
        <f t="shared" si="353"/>
        <v>39580.081142684088</v>
      </c>
      <c r="O2625">
        <f t="shared" si="354"/>
        <v>83058.246824142174</v>
      </c>
      <c r="P2625">
        <f t="shared" si="355"/>
        <v>1.6559768032684438E-2</v>
      </c>
      <c r="Q2625">
        <f t="shared" si="356"/>
        <v>4.1467354962638932E-2</v>
      </c>
      <c r="R2625">
        <f t="shared" si="357"/>
        <v>1</v>
      </c>
      <c r="S2625">
        <f t="shared" si="349"/>
        <v>413.85856328513302</v>
      </c>
      <c r="T2625" s="564">
        <f>IF((I2625-MAX(I$470:I2625))/MAX(I$470:I2625)&gt;T2624,T2624,(I2625-MAX(I$470:I2625))/MAX(I$470:I2625))</f>
        <v>-0.91338805338419748</v>
      </c>
      <c r="U2625" s="564">
        <f>IF((J2625-MAX(J$470:J2625))/MAX(J$470:J2625)&gt;U2624,U2624,(J2625-MAX(J$470:J2625))/MAX(J$470:J2625))</f>
        <v>-0.8283551177402233</v>
      </c>
      <c r="V2625" s="564">
        <f>IF((K2625-MAX(K$470:K2625))/MAX(K$470:K2625)&gt;V2624,V2624,(K2625-MAX(K$470:K2625))/MAX(K$470:K2625))</f>
        <v>-0.84885940676762139</v>
      </c>
      <c r="W2625" s="564">
        <f>IF((N2625-MAX(N$470:N2625))/MAX(N$470:N2625)&gt;W2624,W2624,(N2625-MAX(N$470:N2625))/MAX(N$470:N2625))</f>
        <v>-0.62788758315546067</v>
      </c>
      <c r="X2625" s="564">
        <f>IF((O2625-MAX(O$470:O2625))/MAX(O$470:O2625)&gt;X2624,X2624,(O2625-MAX(O$470:O2625))/MAX(O$470:O2625))</f>
        <v>-0.62788758315546067</v>
      </c>
    </row>
    <row r="2626" spans="1:24">
      <c r="A2626" s="799">
        <v>43028</v>
      </c>
      <c r="B2626">
        <v>5670.57</v>
      </c>
      <c r="C2626">
        <v>4442.8127860000004</v>
      </c>
      <c r="D2626">
        <v>3.0980569999999998</v>
      </c>
      <c r="E2626">
        <f>LN(D2626/参数实验室!$E$53)/参数实验室!$E$55</f>
        <v>0.64106734662833276</v>
      </c>
      <c r="F2626">
        <f t="shared" si="348"/>
        <v>0.7834861021026106</v>
      </c>
      <c r="G2626">
        <f>LN(F2626/参数实验室!$E$58)/参数实验室!$E$59</f>
        <v>-0.31859543755201453</v>
      </c>
      <c r="H2626" s="856">
        <f>INDEX(神经网络!$G$10:$BO$70,MATCH(ROUND(G2626*2,1)/2,神经网络!$E$10:$E$70,0),MATCH(ROUND(E2626*2,1)/2,神经网络!$G$8:$BO$8,0))</f>
        <v>1.7914855071021871</v>
      </c>
      <c r="I2626">
        <f t="shared" si="350"/>
        <v>44003.298618699351</v>
      </c>
      <c r="J2626">
        <f t="shared" si="351"/>
        <v>2262.7069949323627</v>
      </c>
      <c r="K2626">
        <f t="shared" si="352"/>
        <v>19.447192551775668</v>
      </c>
      <c r="L2626" s="4">
        <f>MIN(MAX(L2625*(1+MAX(MIN(((B2626-B2625)/B2625)/($K$7*卓尔金历!$N$40),0),-卓尔金历!$M$43))+MIN(MAX(((B2626-B2625)/B2625)/($K$7*卓尔金历!$N$40),0),卓尔金历!$M$43),0),1)</f>
        <v>0.76065779004562284</v>
      </c>
      <c r="M2626" s="4">
        <f>MIN(MAX(M2625*(1+MAX(MIN(((B2626-B2625)/B2625)/($K$7*30),0),-卓尔金历!$M$43))+MIN(MAX(((B2626-B2625)/B2625)/($K$7*7),0),卓尔金历!$M$43),0),1)</f>
        <v>1</v>
      </c>
      <c r="N2626">
        <f t="shared" si="353"/>
        <v>40038.656694280224</v>
      </c>
      <c r="O2626">
        <f t="shared" si="354"/>
        <v>84705.001285253791</v>
      </c>
      <c r="P2626">
        <f t="shared" si="355"/>
        <v>1.1537864638799437E-2</v>
      </c>
      <c r="Q2626">
        <f t="shared" si="356"/>
        <v>4.091417812080432E-2</v>
      </c>
      <c r="R2626">
        <f t="shared" si="357"/>
        <v>1</v>
      </c>
      <c r="S2626">
        <f t="shared" si="349"/>
        <v>422.06393074011936</v>
      </c>
      <c r="T2626" s="564">
        <f>IF((I2626-MAX(I$470:I2626))/MAX(I$470:I2626)&gt;T2625,T2625,(I2626-MAX(I$470:I2626))/MAX(I$470:I2626))</f>
        <v>-0.91338805338419748</v>
      </c>
      <c r="U2626" s="564">
        <f>IF((J2626-MAX(J$470:J2626))/MAX(J$470:J2626)&gt;U2625,U2625,(J2626-MAX(J$470:J2626))/MAX(J$470:J2626))</f>
        <v>-0.8283551177402233</v>
      </c>
      <c r="V2626" s="564">
        <f>IF((K2626-MAX(K$470:K2626))/MAX(K$470:K2626)&gt;V2625,V2625,(K2626-MAX(K$470:K2626))/MAX(K$470:K2626))</f>
        <v>-0.84885940676762139</v>
      </c>
      <c r="W2626" s="564">
        <f>IF((N2626-MAX(N$470:N2626))/MAX(N$470:N2626)&gt;W2625,W2625,(N2626-MAX(N$470:N2626))/MAX(N$470:N2626))</f>
        <v>-0.62788758315546067</v>
      </c>
      <c r="X2626" s="564">
        <f>IF((O2626-MAX(O$470:O2626))/MAX(O$470:O2626)&gt;X2625,X2625,(O2626-MAX(O$470:O2626))/MAX(O$470:O2626))</f>
        <v>-0.62788758315546067</v>
      </c>
    </row>
    <row r="2627" spans="1:24">
      <c r="A2627" s="799">
        <v>43029</v>
      </c>
      <c r="B2627">
        <v>6083.22</v>
      </c>
      <c r="C2627">
        <v>4510.7341050000005</v>
      </c>
      <c r="D2627">
        <v>3.095796</v>
      </c>
      <c r="E2627">
        <f>LN(D2627/参数实验室!$E$53)/参数实验室!$E$55</f>
        <v>0.64020603390324793</v>
      </c>
      <c r="F2627">
        <f t="shared" si="348"/>
        <v>0.7415043521358754</v>
      </c>
      <c r="G2627">
        <f>LN(F2627/参数实验室!$E$58)/参数实验室!$E$59</f>
        <v>-0.34750035292615711</v>
      </c>
      <c r="H2627" s="856">
        <f>INDEX(神经网络!$G$10:$BO$70,MATCH(ROUND(G2627*2,1)/2,神经网络!$E$10:$E$70,0),MATCH(ROUND(E2627*2,1)/2,神经网络!$G$8:$BO$8,0))</f>
        <v>1.752216802180705</v>
      </c>
      <c r="I2627">
        <f t="shared" si="350"/>
        <v>49739.886701299161</v>
      </c>
      <c r="J2627">
        <f t="shared" si="351"/>
        <v>2427.3652288416242</v>
      </c>
      <c r="K2627">
        <f t="shared" si="352"/>
        <v>20.491307245525551</v>
      </c>
      <c r="L2627" s="4">
        <f>MIN(MAX(L2626*(1+MAX(MIN(((B2627-B2626)/B2626)/($K$7*卓尔金历!$N$40),0),-卓尔金历!$M$43))+MIN(MAX(((B2627-B2626)/B2626)/($K$7*卓尔金历!$N$40),0),卓尔金历!$M$43),0),1)</f>
        <v>1</v>
      </c>
      <c r="M2627" s="4">
        <f>MIN(MAX(M2626*(1+MAX(MIN(((B2627-B2626)/B2626)/($K$7*30),0),-卓尔金历!$M$43))+MIN(MAX(((B2627-B2626)/B2626)/($K$7*7),0),卓尔金历!$M$43),0),1)</f>
        <v>1</v>
      </c>
      <c r="N2627">
        <f t="shared" si="353"/>
        <v>44009.083994297616</v>
      </c>
      <c r="O2627">
        <f t="shared" si="354"/>
        <v>95747.757536783902</v>
      </c>
      <c r="P2627">
        <f t="shared" si="355"/>
        <v>7.2770462228664942E-2</v>
      </c>
      <c r="Q2627">
        <f t="shared" si="356"/>
        <v>4.2621431478899977E-2</v>
      </c>
      <c r="R2627">
        <f t="shared" si="357"/>
        <v>1.9027019019763905E-2</v>
      </c>
      <c r="S2627">
        <f t="shared" si="349"/>
        <v>477.08723561004336</v>
      </c>
      <c r="T2627" s="564">
        <f>IF((I2627-MAX(I$470:I2627))/MAX(I$470:I2627)&gt;T2626,T2626,(I2627-MAX(I$470:I2627))/MAX(I$470:I2627))</f>
        <v>-0.91338805338419748</v>
      </c>
      <c r="U2627" s="564">
        <f>IF((J2627-MAX(J$470:J2627))/MAX(J$470:J2627)&gt;U2626,U2626,(J2627-MAX(J$470:J2627))/MAX(J$470:J2627))</f>
        <v>-0.8283551177402233</v>
      </c>
      <c r="V2627" s="564">
        <f>IF((K2627-MAX(K$470:K2627))/MAX(K$470:K2627)&gt;V2626,V2626,(K2627-MAX(K$470:K2627))/MAX(K$470:K2627))</f>
        <v>-0.84885940676762139</v>
      </c>
      <c r="W2627" s="564">
        <f>IF((N2627-MAX(N$470:N2627))/MAX(N$470:N2627)&gt;W2626,W2626,(N2627-MAX(N$470:N2627))/MAX(N$470:N2627))</f>
        <v>-0.62788758315546067</v>
      </c>
      <c r="X2627" s="564">
        <f>IF((O2627-MAX(O$470:O2627))/MAX(O$470:O2627)&gt;X2626,X2626,(O2627-MAX(O$470:O2627))/MAX(O$470:O2627))</f>
        <v>-0.62788758315546067</v>
      </c>
    </row>
    <row r="2628" spans="1:24">
      <c r="A2628" s="799">
        <v>43030</v>
      </c>
      <c r="B2628">
        <v>5974.6</v>
      </c>
      <c r="C2628">
        <v>4389.7661429999998</v>
      </c>
      <c r="D2628">
        <v>3.0483410000000002</v>
      </c>
      <c r="E2628">
        <f>LN(D2628/参数实验室!$E$53)/参数实验室!$E$55</f>
        <v>0.62198173210591856</v>
      </c>
      <c r="F2628">
        <f t="shared" si="348"/>
        <v>0.73473808171258315</v>
      </c>
      <c r="G2628">
        <f>LN(F2628/参数实验室!$E$58)/参数实验室!$E$59</f>
        <v>-0.35231166193022884</v>
      </c>
      <c r="H2628" s="856">
        <f>INDEX(神经网络!$G$10:$BO$70,MATCH(ROUND(G2628*2,1)/2,神经网络!$E$10:$E$70,0),MATCH(ROUND(E2628*2,1)/2,神经网络!$G$8:$BO$8,0))</f>
        <v>1.6731994388628015</v>
      </c>
      <c r="I2628">
        <f t="shared" si="350"/>
        <v>48183.674171779428</v>
      </c>
      <c r="J2628">
        <f t="shared" si="351"/>
        <v>2384.0229839192348</v>
      </c>
      <c r="K2628">
        <f t="shared" si="352"/>
        <v>20.21107786996561</v>
      </c>
      <c r="L2628" s="4">
        <f>MIN(MAX(L2627*(1+MAX(MIN(((B2628-B2627)/B2627)/($K$7*卓尔金历!$N$40),0),-卓尔金历!$M$43))+MIN(MAX(((B2628-B2627)/B2627)/($K$7*卓尔金历!$N$40),0),卓尔金历!$M$43),0),1)</f>
        <v>0.72718241898475067</v>
      </c>
      <c r="M2628" s="4">
        <f>MIN(MAX(M2627*(1+MAX(MIN(((B2628-B2627)/B2627)/($K$7*30),0),-卓尔金历!$M$43))+MIN(MAX(((B2628-B2627)/B2627)/($K$7*7),0),卓尔金历!$M$43),0),1)</f>
        <v>0.86359120949237533</v>
      </c>
      <c r="N2628">
        <f t="shared" si="353"/>
        <v>42632.171169065477</v>
      </c>
      <c r="O2628">
        <f t="shared" si="354"/>
        <v>92752.096110231665</v>
      </c>
      <c r="P2628">
        <f t="shared" si="355"/>
        <v>-1.7855675119426862E-2</v>
      </c>
      <c r="Q2628">
        <f t="shared" si="356"/>
        <v>4.3276870580257386E-2</v>
      </c>
      <c r="R2628">
        <f t="shared" si="357"/>
        <v>0.96565098808571692</v>
      </c>
      <c r="S2628">
        <f t="shared" si="349"/>
        <v>476.80322624199778</v>
      </c>
      <c r="T2628" s="564">
        <f>IF((I2628-MAX(I$470:I2628))/MAX(I$470:I2628)&gt;T2627,T2627,(I2628-MAX(I$470:I2628))/MAX(I$470:I2628))</f>
        <v>-0.91338805338419748</v>
      </c>
      <c r="U2628" s="564">
        <f>IF((J2628-MAX(J$470:J2628))/MAX(J$470:J2628)&gt;U2627,U2627,(J2628-MAX(J$470:J2628))/MAX(J$470:J2628))</f>
        <v>-0.8283551177402233</v>
      </c>
      <c r="V2628" s="564">
        <f>IF((K2628-MAX(K$470:K2628))/MAX(K$470:K2628)&gt;V2627,V2627,(K2628-MAX(K$470:K2628))/MAX(K$470:K2628))</f>
        <v>-0.84885940676762139</v>
      </c>
      <c r="W2628" s="564">
        <f>IF((N2628-MAX(N$470:N2628))/MAX(N$470:N2628)&gt;W2627,W2627,(N2628-MAX(N$470:N2628))/MAX(N$470:N2628))</f>
        <v>-0.62788758315546067</v>
      </c>
      <c r="X2628" s="564">
        <f>IF((O2628-MAX(O$470:O2628))/MAX(O$470:O2628)&gt;X2627,X2627,(O2628-MAX(O$470:O2628))/MAX(O$470:O2628))</f>
        <v>-0.62788758315546067</v>
      </c>
    </row>
    <row r="2629" spans="1:24">
      <c r="A2629" s="799">
        <v>43031</v>
      </c>
      <c r="B2629">
        <v>6021.49</v>
      </c>
      <c r="C2629">
        <v>4377.5565299999998</v>
      </c>
      <c r="D2629">
        <v>2.939514</v>
      </c>
      <c r="E2629">
        <f>LN(D2629/参数实验室!$E$53)/参数实验室!$E$55</f>
        <v>0.57909387144930702</v>
      </c>
      <c r="F2629">
        <f t="shared" ref="F2629:F2692" si="358">C2629/B2629</f>
        <v>0.72698892300742834</v>
      </c>
      <c r="G2629">
        <f>LN(F2629/参数实验室!$E$58)/参数实验室!$E$59</f>
        <v>-0.35787660718532427</v>
      </c>
      <c r="H2629" s="856">
        <f>INDEX(神经网络!$G$10:$BO$70,MATCH(ROUND(G2629*2,1)/2,神经网络!$E$10:$E$70,0),MATCH(ROUND(E2629*2,1)/2,神经网络!$G$8:$BO$8,0))</f>
        <v>1.6731994388628015</v>
      </c>
      <c r="I2629">
        <f t="shared" si="350"/>
        <v>48816.405039275858</v>
      </c>
      <c r="J2629">
        <f t="shared" si="351"/>
        <v>2402.7333306731548</v>
      </c>
      <c r="K2629">
        <f t="shared" si="352"/>
        <v>20.317029949220103</v>
      </c>
      <c r="L2629" s="4">
        <f>MIN(MAX(L2628*(1+MAX(MIN(((B2629-B2628)/B2628)/($K$7*卓尔金历!$N$40),0),-卓尔金历!$M$43))+MIN(MAX(((B2629-B2628)/B2628)/($K$7*卓尔金历!$N$40),0),卓尔金历!$M$43),0),1)</f>
        <v>0.84709575260258607</v>
      </c>
      <c r="M2629" s="4">
        <f>MIN(MAX(M2628*(1+MAX(MIN(((B2629-B2628)/B2628)/($K$7*30),0),-卓尔金历!$M$43))+MIN(MAX(((B2629-B2628)/B2628)/($K$7*7),0),卓尔金历!$M$43),0),1)</f>
        <v>1</v>
      </c>
      <c r="N2629">
        <f t="shared" si="353"/>
        <v>43039.270069953825</v>
      </c>
      <c r="O2629">
        <f t="shared" si="354"/>
        <v>93803.939433391701</v>
      </c>
      <c r="P2629">
        <f t="shared" si="355"/>
        <v>7.8482241488968991E-3</v>
      </c>
      <c r="Q2629">
        <f t="shared" si="356"/>
        <v>4.3289628557440923E-2</v>
      </c>
      <c r="R2629">
        <f t="shared" si="357"/>
        <v>1</v>
      </c>
      <c r="S2629">
        <f t="shared" si="349"/>
        <v>482.84937019386547</v>
      </c>
      <c r="T2629" s="564">
        <f>IF((I2629-MAX(I$470:I2629))/MAX(I$470:I2629)&gt;T2628,T2628,(I2629-MAX(I$470:I2629))/MAX(I$470:I2629))</f>
        <v>-0.91338805338419748</v>
      </c>
      <c r="U2629" s="564">
        <f>IF((J2629-MAX(J$470:J2629))/MAX(J$470:J2629)&gt;U2628,U2628,(J2629-MAX(J$470:J2629))/MAX(J$470:J2629))</f>
        <v>-0.8283551177402233</v>
      </c>
      <c r="V2629" s="564">
        <f>IF((K2629-MAX(K$470:K2629))/MAX(K$470:K2629)&gt;V2628,V2628,(K2629-MAX(K$470:K2629))/MAX(K$470:K2629))</f>
        <v>-0.84885940676762139</v>
      </c>
      <c r="W2629" s="564">
        <f>IF((N2629-MAX(N$470:N2629))/MAX(N$470:N2629)&gt;W2628,W2628,(N2629-MAX(N$470:N2629))/MAX(N$470:N2629))</f>
        <v>-0.62788758315546067</v>
      </c>
      <c r="X2629" s="564">
        <f>IF((O2629-MAX(O$470:O2629))/MAX(O$470:O2629)&gt;X2628,X2628,(O2629-MAX(O$470:O2629))/MAX(O$470:O2629))</f>
        <v>-0.62788758315546067</v>
      </c>
    </row>
    <row r="2630" spans="1:24">
      <c r="A2630" s="799">
        <v>43032</v>
      </c>
      <c r="B2630">
        <v>5648.75</v>
      </c>
      <c r="C2630">
        <v>4318.3453589999999</v>
      </c>
      <c r="D2630">
        <v>2.739992</v>
      </c>
      <c r="E2630">
        <f>LN(D2630/参数实验室!$E$53)/参数实验室!$E$55</f>
        <v>0.49616988791456468</v>
      </c>
      <c r="F2630">
        <f t="shared" si="358"/>
        <v>0.76447804540827613</v>
      </c>
      <c r="G2630">
        <f>LN(F2630/参数实验室!$E$58)/参数实验室!$E$59</f>
        <v>-0.3314858612696957</v>
      </c>
      <c r="H2630" s="856">
        <f>INDEX(神经网络!$G$10:$BO$70,MATCH(ROUND(G2630*2,1)/2,神经网络!$E$10:$E$70,0),MATCH(ROUND(E2630*2,1)/2,神经网络!$G$8:$BO$8,0))</f>
        <v>1.5089085797155188</v>
      </c>
      <c r="I2630">
        <f t="shared" si="350"/>
        <v>43760.306429895478</v>
      </c>
      <c r="J2630">
        <f t="shared" si="351"/>
        <v>2254.0002394158228</v>
      </c>
      <c r="K2630">
        <f t="shared" si="352"/>
        <v>19.414508332633094</v>
      </c>
      <c r="L2630" s="4">
        <f>MIN(MAX(L2629*(1+MAX(MIN(((B2630-B2629)/B2629)/($K$7*卓尔金历!$N$40),0),-卓尔金历!$M$43))+MIN(MAX(((B2630-B2629)/B2629)/($K$7*卓尔金历!$N$40),0),卓尔金历!$M$43),0),1)</f>
        <v>4.5914803205339798E-2</v>
      </c>
      <c r="M2630" s="4">
        <f>MIN(MAX(M2629*(1+MAX(MIN(((B2630-B2629)/B2629)/($K$7*30),0),-卓尔金历!$M$43))+MIN(MAX(((B2630-B2629)/B2629)/($K$7*7),0),卓尔金历!$M$43),0),1)</f>
        <v>0.52710130647230424</v>
      </c>
      <c r="N2630">
        <f t="shared" si="353"/>
        <v>39263.138280079125</v>
      </c>
      <c r="O2630">
        <f t="shared" si="354"/>
        <v>84088.312743102171</v>
      </c>
      <c r="P2630">
        <f t="shared" si="355"/>
        <v>-6.1901622355928484E-2</v>
      </c>
      <c r="Q2630">
        <f t="shared" si="356"/>
        <v>4.6306155913631256E-2</v>
      </c>
      <c r="R2630">
        <f t="shared" si="357"/>
        <v>3.0723884037758602E-2</v>
      </c>
      <c r="S2630">
        <f t="shared" si="349"/>
        <v>432.83884551034589</v>
      </c>
      <c r="T2630" s="564">
        <f>IF((I2630-MAX(I$470:I2630))/MAX(I$470:I2630)&gt;T2629,T2629,(I2630-MAX(I$470:I2630))/MAX(I$470:I2630))</f>
        <v>-0.91338805338419748</v>
      </c>
      <c r="U2630" s="564">
        <f>IF((J2630-MAX(J$470:J2630))/MAX(J$470:J2630)&gt;U2629,U2629,(J2630-MAX(J$470:J2630))/MAX(J$470:J2630))</f>
        <v>-0.8283551177402233</v>
      </c>
      <c r="V2630" s="564">
        <f>IF((K2630-MAX(K$470:K2630))/MAX(K$470:K2630)&gt;V2629,V2629,(K2630-MAX(K$470:K2630))/MAX(K$470:K2630))</f>
        <v>-0.84885940676762139</v>
      </c>
      <c r="W2630" s="564">
        <f>IF((N2630-MAX(N$470:N2630))/MAX(N$470:N2630)&gt;W2629,W2629,(N2630-MAX(N$470:N2630))/MAX(N$470:N2630))</f>
        <v>-0.62788758315546067</v>
      </c>
      <c r="X2630" s="564">
        <f>IF((O2630-MAX(O$470:O2630))/MAX(O$470:O2630)&gt;X2629,X2629,(O2630-MAX(O$470:O2630))/MAX(O$470:O2630))</f>
        <v>-0.62788758315546067</v>
      </c>
    </row>
    <row r="2631" spans="1:24">
      <c r="A2631" s="799">
        <v>43033</v>
      </c>
      <c r="B2631">
        <v>5403.76</v>
      </c>
      <c r="C2631">
        <v>4159.5733330000003</v>
      </c>
      <c r="D2631">
        <v>2.8316720000000002</v>
      </c>
      <c r="E2631">
        <f>LN(D2631/参数实验室!$E$53)/参数实验室!$E$55</f>
        <v>0.5349983386820818</v>
      </c>
      <c r="F2631">
        <f t="shared" si="358"/>
        <v>0.7697553801427155</v>
      </c>
      <c r="G2631">
        <f>LN(F2631/参数实验室!$E$58)/参数实验室!$E$59</f>
        <v>-0.32787514421721869</v>
      </c>
      <c r="H2631" s="856">
        <f>INDEX(神经网络!$G$10:$BO$70,MATCH(ROUND(G2631*2,1)/2,神经网络!$E$10:$E$70,0),MATCH(ROUND(E2631*2,1)/2,神经网络!$G$8:$BO$8,0))</f>
        <v>1.5935714096742448</v>
      </c>
      <c r="I2631">
        <f t="shared" si="350"/>
        <v>40896.528843061424</v>
      </c>
      <c r="J2631">
        <f t="shared" si="351"/>
        <v>2156.2427676469392</v>
      </c>
      <c r="K2631">
        <f t="shared" si="352"/>
        <v>18.96656974654617</v>
      </c>
      <c r="L2631" s="4">
        <f>MIN(MAX(L2630*(1+MAX(MIN(((B2631-B2630)/B2630)/($K$7*卓尔金历!$N$40),0),-卓尔金历!$M$43))+MIN(MAX(((B2631-B2630)/B2630)/($K$7*卓尔金历!$N$40),0),卓尔金历!$M$43),0),1)</f>
        <v>1.5488806841761063E-2</v>
      </c>
      <c r="M2631" s="4">
        <f>MIN(MAX(M2630*(1+MAX(MIN(((B2631-B2630)/B2630)/($K$7*30),0),-卓尔金历!$M$43))+MIN(MAX(((B2631-B2630)/B2630)/($K$7*7),0),卓尔金历!$M$43),0),1)</f>
        <v>0.35245629751690494</v>
      </c>
      <c r="N2631">
        <f t="shared" si="353"/>
        <v>39145.161464889861</v>
      </c>
      <c r="O2631">
        <f t="shared" si="354"/>
        <v>81187.70726867819</v>
      </c>
      <c r="P2631">
        <f t="shared" si="355"/>
        <v>-4.337065722504975E-2</v>
      </c>
      <c r="Q2631">
        <f t="shared" si="356"/>
        <v>4.7055152853470769E-2</v>
      </c>
      <c r="R2631">
        <f t="shared" si="357"/>
        <v>0.13161910037888758</v>
      </c>
      <c r="S2631">
        <f t="shared" si="349"/>
        <v>431.96856095044217</v>
      </c>
      <c r="T2631" s="564">
        <f>IF((I2631-MAX(I$470:I2631))/MAX(I$470:I2631)&gt;T2630,T2630,(I2631-MAX(I$470:I2631))/MAX(I$470:I2631))</f>
        <v>-0.91338805338419748</v>
      </c>
      <c r="U2631" s="564">
        <f>IF((J2631-MAX(J$470:J2631))/MAX(J$470:J2631)&gt;U2630,U2630,(J2631-MAX(J$470:J2631))/MAX(J$470:J2631))</f>
        <v>-0.8283551177402233</v>
      </c>
      <c r="V2631" s="564">
        <f>IF((K2631-MAX(K$470:K2631))/MAX(K$470:K2631)&gt;V2630,V2630,(K2631-MAX(K$470:K2631))/MAX(K$470:K2631))</f>
        <v>-0.84885940676762139</v>
      </c>
      <c r="W2631" s="564">
        <f>IF((N2631-MAX(N$470:N2631))/MAX(N$470:N2631)&gt;W2630,W2630,(N2631-MAX(N$470:N2631))/MAX(N$470:N2631))</f>
        <v>-0.62788758315546067</v>
      </c>
      <c r="X2631" s="564">
        <f>IF((O2631-MAX(O$470:O2631))/MAX(O$470:O2631)&gt;X2630,X2630,(O2631-MAX(O$470:O2631))/MAX(O$470:O2631))</f>
        <v>-0.62788758315546067</v>
      </c>
    </row>
    <row r="2632" spans="1:24">
      <c r="A2632" s="799">
        <v>43034</v>
      </c>
      <c r="B2632">
        <v>5728.61</v>
      </c>
      <c r="C2632">
        <v>4053.5526960000002</v>
      </c>
      <c r="D2632">
        <v>2.8970129999999998</v>
      </c>
      <c r="E2632">
        <f>LN(D2632/参数实验室!$E$53)/参数实验室!$E$55</f>
        <v>0.561911879862667</v>
      </c>
      <c r="F2632">
        <f t="shared" si="358"/>
        <v>0.70759795063724018</v>
      </c>
      <c r="G2632">
        <f>LN(F2632/参数实验室!$E$58)/参数实验室!$E$59</f>
        <v>-0.37206612797085092</v>
      </c>
      <c r="H2632" s="856">
        <f>INDEX(神经网络!$G$10:$BO$70,MATCH(ROUND(G2632*2,1)/2,神经网络!$E$10:$E$70,0),MATCH(ROUND(E2632*2,1)/2,神经网络!$G$8:$BO$8,0))</f>
        <v>1.5935714096742448</v>
      </c>
      <c r="I2632">
        <f t="shared" si="350"/>
        <v>44814.351707673995</v>
      </c>
      <c r="J2632">
        <f t="shared" si="351"/>
        <v>2285.8664857747071</v>
      </c>
      <c r="K2632">
        <f t="shared" si="352"/>
        <v>19.604973425421164</v>
      </c>
      <c r="L2632" s="4">
        <f>MIN(MAX(L2631*(1+MAX(MIN(((B2632-B2631)/B2631)/($K$7*卓尔金历!$N$40),0),-卓尔金历!$M$43))+MIN(MAX(((B2632-B2631)/B2631)/($K$7*卓尔金历!$N$40),0),卓尔金历!$M$43),0),1)</f>
        <v>0.93399670963079084</v>
      </c>
      <c r="M2632" s="4">
        <f>MIN(MAX(M2631*(1+MAX(MIN(((B2632-B2631)/B2631)/($K$7*30),0),-卓尔金历!$M$43))+MIN(MAX(((B2632-B2631)/B2631)/($K$7*7),0),卓尔金历!$M$43),0),1)</f>
        <v>1</v>
      </c>
      <c r="N2632">
        <f t="shared" si="353"/>
        <v>39203.24518190755</v>
      </c>
      <c r="O2632">
        <f t="shared" si="354"/>
        <v>83928.990441566857</v>
      </c>
      <c r="P2632">
        <f t="shared" si="355"/>
        <v>6.0115549173168206E-2</v>
      </c>
      <c r="Q2632">
        <f t="shared" si="356"/>
        <v>4.7754753172315194E-2</v>
      </c>
      <c r="R2632">
        <f t="shared" si="357"/>
        <v>3.6223530751340688E-2</v>
      </c>
      <c r="S2632">
        <f t="shared" si="349"/>
        <v>437.41521016623147</v>
      </c>
      <c r="T2632" s="564">
        <f>IF((I2632-MAX(I$470:I2632))/MAX(I$470:I2632)&gt;T2631,T2631,(I2632-MAX(I$470:I2632))/MAX(I$470:I2632))</f>
        <v>-0.91338805338419748</v>
      </c>
      <c r="U2632" s="564">
        <f>IF((J2632-MAX(J$470:J2632))/MAX(J$470:J2632)&gt;U2631,U2631,(J2632-MAX(J$470:J2632))/MAX(J$470:J2632))</f>
        <v>-0.8283551177402233</v>
      </c>
      <c r="V2632" s="564">
        <f>IF((K2632-MAX(K$470:K2632))/MAX(K$470:K2632)&gt;V2631,V2631,(K2632-MAX(K$470:K2632))/MAX(K$470:K2632))</f>
        <v>-0.84885940676762139</v>
      </c>
      <c r="W2632" s="564">
        <f>IF((N2632-MAX(N$470:N2632))/MAX(N$470:N2632)&gt;W2631,W2631,(N2632-MAX(N$470:N2632))/MAX(N$470:N2632))</f>
        <v>-0.62788758315546067</v>
      </c>
      <c r="X2632" s="564">
        <f>IF((O2632-MAX(O$470:O2632))/MAX(O$470:O2632)&gt;X2631,X2631,(O2632-MAX(O$470:O2632))/MAX(O$470:O2632))</f>
        <v>-0.62788758315546067</v>
      </c>
    </row>
    <row r="2633" spans="1:24">
      <c r="A2633" s="799">
        <v>43035</v>
      </c>
      <c r="B2633">
        <v>5956.31</v>
      </c>
      <c r="C2633">
        <v>4165.0192260000003</v>
      </c>
      <c r="D2633">
        <v>2.8225880000000001</v>
      </c>
      <c r="E2633">
        <f>LN(D2633/参数实验室!$E$53)/参数实验室!$E$55</f>
        <v>0.53120760826336821</v>
      </c>
      <c r="F2633">
        <f t="shared" si="358"/>
        <v>0.69926166133058887</v>
      </c>
      <c r="G2633">
        <f>LN(F2633/参数实验室!$E$58)/参数实验室!$E$59</f>
        <v>-0.37828620326239343</v>
      </c>
      <c r="H2633" s="856">
        <f>INDEX(神经网络!$G$10:$BO$70,MATCH(ROUND(G2633*2,1)/2,神经网络!$E$10:$E$70,0),MATCH(ROUND(E2633*2,1)/2,神经网络!$G$8:$BO$8,0))</f>
        <v>1.548909723912465</v>
      </c>
      <c r="I2633">
        <f t="shared" si="350"/>
        <v>47652.940093597288</v>
      </c>
      <c r="J2633">
        <f t="shared" si="351"/>
        <v>2376.7247915087164</v>
      </c>
      <c r="K2633">
        <f t="shared" si="352"/>
        <v>20.049835077181054</v>
      </c>
      <c r="L2633" s="4">
        <f>MIN(MAX(L2632*(1+MAX(MIN(((B2633-B2632)/B2632)/($K$7*卓尔金历!$N$40),0),-卓尔金历!$M$43))+MIN(MAX(((B2633-B2632)/B2632)/($K$7*卓尔金历!$N$40),0),卓尔金历!$M$43),0),1)</f>
        <v>1</v>
      </c>
      <c r="M2633" s="4">
        <f>MIN(MAX(M2632*(1+MAX(MIN(((B2633-B2632)/B2632)/($K$7*30),0),-卓尔金历!$M$43))+MIN(MAX(((B2633-B2632)/B2632)/($K$7*7),0),卓尔金历!$M$43),0),1)</f>
        <v>1</v>
      </c>
      <c r="N2633">
        <f t="shared" si="353"/>
        <v>41522.522433462502</v>
      </c>
      <c r="O2633">
        <f t="shared" si="354"/>
        <v>89245.141371602571</v>
      </c>
      <c r="P2633">
        <f t="shared" si="355"/>
        <v>3.9747862046814277E-2</v>
      </c>
      <c r="Q2633">
        <f t="shared" si="356"/>
        <v>4.8024298691507775E-2</v>
      </c>
      <c r="R2633">
        <f t="shared" si="357"/>
        <v>0.2459386658120076</v>
      </c>
      <c r="S2633">
        <f t="shared" si="349"/>
        <v>438.41883168189997</v>
      </c>
      <c r="T2633" s="564">
        <f>IF((I2633-MAX(I$470:I2633))/MAX(I$470:I2633)&gt;T2632,T2632,(I2633-MAX(I$470:I2633))/MAX(I$470:I2633))</f>
        <v>-0.91338805338419748</v>
      </c>
      <c r="U2633" s="564">
        <f>IF((J2633-MAX(J$470:J2633))/MAX(J$470:J2633)&gt;U2632,U2632,(J2633-MAX(J$470:J2633))/MAX(J$470:J2633))</f>
        <v>-0.8283551177402233</v>
      </c>
      <c r="V2633" s="564">
        <f>IF((K2633-MAX(K$470:K2633))/MAX(K$470:K2633)&gt;V2632,V2632,(K2633-MAX(K$470:K2633))/MAX(K$470:K2633))</f>
        <v>-0.84885940676762139</v>
      </c>
      <c r="W2633" s="564">
        <f>IF((N2633-MAX(N$470:N2633))/MAX(N$470:N2633)&gt;W2632,W2632,(N2633-MAX(N$470:N2633))/MAX(N$470:N2633))</f>
        <v>-0.62788758315546067</v>
      </c>
      <c r="X2633" s="564">
        <f>IF((O2633-MAX(O$470:O2633))/MAX(O$470:O2633)&gt;X2632,X2632,(O2633-MAX(O$470:O2633))/MAX(O$470:O2633))</f>
        <v>-0.62788758315546067</v>
      </c>
    </row>
    <row r="2634" spans="1:24">
      <c r="A2634" s="799">
        <v>43036</v>
      </c>
      <c r="B2634">
        <v>5804.69</v>
      </c>
      <c r="C2634">
        <v>4416.0811320000003</v>
      </c>
      <c r="D2634">
        <v>2.810721</v>
      </c>
      <c r="E2634">
        <f>LN(D2634/参数实验室!$E$53)/参数实验室!$E$55</f>
        <v>0.52623711846577947</v>
      </c>
      <c r="F2634">
        <f t="shared" si="358"/>
        <v>0.76077811769448511</v>
      </c>
      <c r="G2634">
        <f>LN(F2634/参数实验室!$E$58)/参数实验室!$E$59</f>
        <v>-0.33403222151486273</v>
      </c>
      <c r="H2634" s="856">
        <f>INDEX(神经网络!$G$10:$BO$70,MATCH(ROUND(G2634*2,1)/2,神经网络!$E$10:$E$70,0),MATCH(ROUND(E2634*2,1)/2,神经网络!$G$8:$BO$8,0))</f>
        <v>1.5935714096742448</v>
      </c>
      <c r="I2634">
        <f t="shared" si="350"/>
        <v>45774.077558185469</v>
      </c>
      <c r="J2634">
        <f t="shared" si="351"/>
        <v>2316.2244124336594</v>
      </c>
      <c r="K2634">
        <f t="shared" si="352"/>
        <v>19.762367287239925</v>
      </c>
      <c r="L2634" s="4">
        <f>MIN(MAX(L2633*(1+MAX(MIN(((B2634-B2633)/B2633)/($K$7*卓尔金历!$N$40),0),-卓尔金历!$M$43))+MIN(MAX(((B2634-B2633)/B2633)/($K$7*卓尔金历!$N$40),0),卓尔金历!$M$43),0),1)</f>
        <v>0.61106656618435351</v>
      </c>
      <c r="M2634" s="4">
        <f>MIN(MAX(M2633*(1+MAX(MIN(((B2634-B2633)/B2633)/($K$7*30),0),-卓尔金历!$M$43))+MIN(MAX(((B2634-B2633)/B2633)/($K$7*7),0),卓尔金历!$M$43),0),1)</f>
        <v>0.80553328309217676</v>
      </c>
      <c r="N2634">
        <f t="shared" si="353"/>
        <v>39885.370316031833</v>
      </c>
      <c r="O2634">
        <f t="shared" si="354"/>
        <v>85726.37941774854</v>
      </c>
      <c r="P2634">
        <f t="shared" si="355"/>
        <v>-2.5455357427669276E-2</v>
      </c>
      <c r="Q2634">
        <f t="shared" si="356"/>
        <v>4.8808428253372893E-2</v>
      </c>
      <c r="R2634">
        <f t="shared" si="357"/>
        <v>0.73026378122971702</v>
      </c>
      <c r="S2634">
        <f t="shared" si="349"/>
        <v>434.16753592940421</v>
      </c>
      <c r="T2634" s="564">
        <f>IF((I2634-MAX(I$470:I2634))/MAX(I$470:I2634)&gt;T2633,T2633,(I2634-MAX(I$470:I2634))/MAX(I$470:I2634))</f>
        <v>-0.91338805338419748</v>
      </c>
      <c r="U2634" s="564">
        <f>IF((J2634-MAX(J$470:J2634))/MAX(J$470:J2634)&gt;U2633,U2633,(J2634-MAX(J$470:J2634))/MAX(J$470:J2634))</f>
        <v>-0.8283551177402233</v>
      </c>
      <c r="V2634" s="564">
        <f>IF((K2634-MAX(K$470:K2634))/MAX(K$470:K2634)&gt;V2633,V2633,(K2634-MAX(K$470:K2634))/MAX(K$470:K2634))</f>
        <v>-0.84885940676762139</v>
      </c>
      <c r="W2634" s="564">
        <f>IF((N2634-MAX(N$470:N2634))/MAX(N$470:N2634)&gt;W2633,W2633,(N2634-MAX(N$470:N2634))/MAX(N$470:N2634))</f>
        <v>-0.62788758315546067</v>
      </c>
      <c r="X2634" s="564">
        <f>IF((O2634-MAX(O$470:O2634))/MAX(O$470:O2634)&gt;X2633,X2633,(O2634-MAX(O$470:O2634))/MAX(O$470:O2634))</f>
        <v>-0.62788758315546067</v>
      </c>
    </row>
    <row r="2635" spans="1:24">
      <c r="A2635" s="799">
        <v>43037</v>
      </c>
      <c r="B2635">
        <v>5727.58</v>
      </c>
      <c r="C2635">
        <v>4460.4074179999998</v>
      </c>
      <c r="D2635">
        <v>2.9928460000000001</v>
      </c>
      <c r="E2635">
        <f>LN(D2635/参数实验室!$E$53)/参数实验室!$E$55</f>
        <v>0.6003064395079627</v>
      </c>
      <c r="F2635">
        <f t="shared" si="358"/>
        <v>0.77875951414035249</v>
      </c>
      <c r="G2635">
        <f>LN(F2635/参数实验室!$E$58)/参数实验室!$E$59</f>
        <v>-0.32177134836351329</v>
      </c>
      <c r="H2635" s="856">
        <f>INDEX(神经网络!$G$10:$BO$70,MATCH(ROUND(G2635*2,1)/2,神经网络!$E$10:$E$70,0),MATCH(ROUND(E2635*2,1)/2,神经网络!$G$8:$BO$8,0))</f>
        <v>1.7183856971198417</v>
      </c>
      <c r="I2635">
        <f t="shared" si="350"/>
        <v>44805.079732476406</v>
      </c>
      <c r="J2635">
        <f t="shared" si="351"/>
        <v>2285.4554886077945</v>
      </c>
      <c r="K2635">
        <f t="shared" si="352"/>
        <v>19.604442071094468</v>
      </c>
      <c r="L2635" s="4">
        <f>MIN(MAX(L2634*(1+MAX(MIN(((B2635-B2634)/B2634)/($K$7*卓尔金历!$N$40),0),-卓尔金历!$M$43))+MIN(MAX(((B2635-B2634)/B2634)/($K$7*卓尔金历!$N$40),0),卓尔金历!$M$43),0),1)</f>
        <v>0.48703955651742964</v>
      </c>
      <c r="M2635" s="4">
        <f>MIN(MAX(M2634*(1+MAX(MIN(((B2635-B2634)/B2634)/($K$7*30),0),-卓尔金历!$M$43))+MIN(MAX(((B2635-B2634)/B2634)/($K$7*7),0),卓尔金历!$M$43),0),1)</f>
        <v>0.72378450986690357</v>
      </c>
      <c r="N2635">
        <f t="shared" si="353"/>
        <v>39369.423006069126</v>
      </c>
      <c r="O2635">
        <f t="shared" si="354"/>
        <v>84264.53493556047</v>
      </c>
      <c r="P2635">
        <f t="shared" si="355"/>
        <v>-1.3284085799586141E-2</v>
      </c>
      <c r="Q2635">
        <f t="shared" si="356"/>
        <v>4.9176047786263749E-2</v>
      </c>
      <c r="R2635">
        <f t="shared" si="357"/>
        <v>1</v>
      </c>
      <c r="S2635">
        <f t="shared" si="349"/>
        <v>427.45571579299718</v>
      </c>
      <c r="T2635" s="564">
        <f>IF((I2635-MAX(I$470:I2635))/MAX(I$470:I2635)&gt;T2634,T2634,(I2635-MAX(I$470:I2635))/MAX(I$470:I2635))</f>
        <v>-0.91338805338419748</v>
      </c>
      <c r="U2635" s="564">
        <f>IF((J2635-MAX(J$470:J2635))/MAX(J$470:J2635)&gt;U2634,U2634,(J2635-MAX(J$470:J2635))/MAX(J$470:J2635))</f>
        <v>-0.8283551177402233</v>
      </c>
      <c r="V2635" s="564">
        <f>IF((K2635-MAX(K$470:K2635))/MAX(K$470:K2635)&gt;V2634,V2634,(K2635-MAX(K$470:K2635))/MAX(K$470:K2635))</f>
        <v>-0.84885940676762139</v>
      </c>
      <c r="W2635" s="564">
        <f>IF((N2635-MAX(N$470:N2635))/MAX(N$470:N2635)&gt;W2634,W2634,(N2635-MAX(N$470:N2635))/MAX(N$470:N2635))</f>
        <v>-0.62788758315546067</v>
      </c>
      <c r="X2635" s="564">
        <f>IF((O2635-MAX(O$470:O2635))/MAX(O$470:O2635)&gt;X2634,X2634,(O2635-MAX(O$470:O2635))/MAX(O$470:O2635))</f>
        <v>-0.62788758315546067</v>
      </c>
    </row>
    <row r="2636" spans="1:24">
      <c r="A2636" s="799">
        <v>43038</v>
      </c>
      <c r="B2636">
        <v>6119.32</v>
      </c>
      <c r="C2636">
        <v>4436.2856789999996</v>
      </c>
      <c r="D2636">
        <v>2.946399</v>
      </c>
      <c r="E2636">
        <f>LN(D2636/参数实验室!$E$53)/参数实验室!$E$55</f>
        <v>0.58185388668890048</v>
      </c>
      <c r="F2636">
        <f t="shared" si="358"/>
        <v>0.72496383241928841</v>
      </c>
      <c r="G2636">
        <f>LN(F2636/参数实验室!$E$58)/参数实验室!$E$59</f>
        <v>-0.35934067365445793</v>
      </c>
      <c r="H2636" s="856">
        <f>INDEX(神经网络!$G$10:$BO$70,MATCH(ROUND(G2636*2,1)/2,神经网络!$E$10:$E$70,0),MATCH(ROUND(E2636*2,1)/2,神经网络!$G$8:$BO$8,0))</f>
        <v>1.6731994388628015</v>
      </c>
      <c r="I2636">
        <f t="shared" si="350"/>
        <v>50071.004604193855</v>
      </c>
      <c r="J2636">
        <f t="shared" si="351"/>
        <v>2441.7700810023516</v>
      </c>
      <c r="K2636">
        <f t="shared" si="352"/>
        <v>20.506027571457345</v>
      </c>
      <c r="L2636" s="4">
        <f>MIN(MAX(L2635*(1+MAX(MIN(((B2636-B2635)/B2635)/($K$7*卓尔金历!$N$40),0),-卓尔金历!$M$43))+MIN(MAX(((B2636-B2635)/B2635)/($K$7*卓尔金历!$N$40),0),卓尔金历!$M$43),0),1)</f>
        <v>1</v>
      </c>
      <c r="M2636" s="4">
        <f>MIN(MAX(M2635*(1+MAX(MIN(((B2636-B2635)/B2635)/($K$7*30),0),-卓尔金历!$M$43))+MIN(MAX(((B2636-B2635)/B2635)/($K$7*7),0),卓尔金历!$M$43),0),1)</f>
        <v>1</v>
      </c>
      <c r="N2636">
        <f t="shared" si="353"/>
        <v>41622.99112168725</v>
      </c>
      <c r="O2636">
        <f t="shared" si="354"/>
        <v>91432.59303522484</v>
      </c>
      <c r="P2636">
        <f t="shared" si="355"/>
        <v>6.8395378152727643E-2</v>
      </c>
      <c r="Q2636">
        <f t="shared" si="356"/>
        <v>5.0136492412433391E-2</v>
      </c>
      <c r="R2636">
        <f t="shared" si="357"/>
        <v>3.39041253328786E-2</v>
      </c>
      <c r="S2636">
        <f t="shared" si="349"/>
        <v>477.69443200089529</v>
      </c>
      <c r="T2636" s="564">
        <f>IF((I2636-MAX(I$470:I2636))/MAX(I$470:I2636)&gt;T2635,T2635,(I2636-MAX(I$470:I2636))/MAX(I$470:I2636))</f>
        <v>-0.91338805338419748</v>
      </c>
      <c r="U2636" s="564">
        <f>IF((J2636-MAX(J$470:J2636))/MAX(J$470:J2636)&gt;U2635,U2635,(J2636-MAX(J$470:J2636))/MAX(J$470:J2636))</f>
        <v>-0.8283551177402233</v>
      </c>
      <c r="V2636" s="564">
        <f>IF((K2636-MAX(K$470:K2636))/MAX(K$470:K2636)&gt;V2635,V2635,(K2636-MAX(K$470:K2636))/MAX(K$470:K2636))</f>
        <v>-0.84885940676762139</v>
      </c>
      <c r="W2636" s="564">
        <f>IF((N2636-MAX(N$470:N2636))/MAX(N$470:N2636)&gt;W2635,W2635,(N2636-MAX(N$470:N2636))/MAX(N$470:N2636))</f>
        <v>-0.62788758315546067</v>
      </c>
      <c r="X2636" s="564">
        <f>IF((O2636-MAX(O$470:O2636))/MAX(O$470:O2636)&gt;X2635,X2635,(O2636-MAX(O$470:O2636))/MAX(O$470:O2636))</f>
        <v>-0.62788758315546067</v>
      </c>
    </row>
    <row r="2637" spans="1:24">
      <c r="A2637" s="799">
        <v>43039</v>
      </c>
      <c r="B2637">
        <v>6131.52</v>
      </c>
      <c r="C2637">
        <v>4415.0721880000001</v>
      </c>
      <c r="D2637">
        <v>3.070516</v>
      </c>
      <c r="E2637">
        <f>LN(D2637/参数实验室!$E$53)/参数实验室!$E$55</f>
        <v>0.6305327221735848</v>
      </c>
      <c r="F2637">
        <f t="shared" si="358"/>
        <v>0.72006161408590363</v>
      </c>
      <c r="G2637">
        <f>LN(F2637/参数实验室!$E$58)/参数实验室!$E$59</f>
        <v>-0.36290179984673709</v>
      </c>
      <c r="H2637" s="856">
        <f>INDEX(神经网络!$G$10:$BO$70,MATCH(ROUND(G2637*2,1)/2,神经网络!$E$10:$E$70,0),MATCH(ROUND(E2637*2,1)/2,神经网络!$G$8:$BO$8,0))</f>
        <v>1.752216802180705</v>
      </c>
      <c r="I2637">
        <f t="shared" si="350"/>
        <v>50238.03314282983</v>
      </c>
      <c r="J2637">
        <f t="shared" si="351"/>
        <v>2446.6382027852019</v>
      </c>
      <c r="K2637">
        <f t="shared" si="352"/>
        <v>20.533494934248921</v>
      </c>
      <c r="L2637" s="4">
        <f>MIN(MAX(L2636*(1+MAX(MIN(((B2637-B2636)/B2636)/($K$7*卓尔金历!$N$40),0),-卓尔金历!$M$43))+MIN(MAX(((B2637-B2636)/B2636)/($K$7*卓尔金历!$N$40),0),卓尔金历!$M$43),0),1)</f>
        <v>1</v>
      </c>
      <c r="M2637" s="4">
        <f>MIN(MAX(M2636*(1+MAX(MIN(((B2637-B2636)/B2636)/($K$7*30),0),-卓尔金历!$M$43))+MIN(MAX(((B2637-B2636)/B2636)/($K$7*7),0),卓尔金历!$M$43),0),1)</f>
        <v>1</v>
      </c>
      <c r="N2637">
        <f t="shared" si="353"/>
        <v>41761.838493248302</v>
      </c>
      <c r="O2637">
        <f t="shared" si="354"/>
        <v>91737.59694954798</v>
      </c>
      <c r="P2637">
        <f t="shared" si="355"/>
        <v>1.9936855729069127E-3</v>
      </c>
      <c r="Q2637">
        <f t="shared" si="356"/>
        <v>4.9773429909980196E-2</v>
      </c>
      <c r="R2637">
        <f t="shared" si="357"/>
        <v>1</v>
      </c>
      <c r="S2637">
        <f t="shared" si="349"/>
        <v>477.74845853409471</v>
      </c>
      <c r="T2637" s="564">
        <f>IF((I2637-MAX(I$470:I2637))/MAX(I$470:I2637)&gt;T2636,T2636,(I2637-MAX(I$470:I2637))/MAX(I$470:I2637))</f>
        <v>-0.91338805338419748</v>
      </c>
      <c r="U2637" s="564">
        <f>IF((J2637-MAX(J$470:J2637))/MAX(J$470:J2637)&gt;U2636,U2636,(J2637-MAX(J$470:J2637))/MAX(J$470:J2637))</f>
        <v>-0.8283551177402233</v>
      </c>
      <c r="V2637" s="564">
        <f>IF((K2637-MAX(K$470:K2637))/MAX(K$470:K2637)&gt;V2636,V2636,(K2637-MAX(K$470:K2637))/MAX(K$470:K2637))</f>
        <v>-0.84885940676762139</v>
      </c>
      <c r="W2637" s="564">
        <f>IF((N2637-MAX(N$470:N2637))/MAX(N$470:N2637)&gt;W2636,W2636,(N2637-MAX(N$470:N2637))/MAX(N$470:N2637))</f>
        <v>-0.62788758315546067</v>
      </c>
      <c r="X2637" s="564">
        <f>IF((O2637-MAX(O$470:O2637))/MAX(O$470:O2637)&gt;X2636,X2636,(O2637-MAX(O$470:O2637))/MAX(O$470:O2637))</f>
        <v>-0.62788758315546067</v>
      </c>
    </row>
    <row r="2638" spans="1:24">
      <c r="A2638" s="799">
        <v>43040</v>
      </c>
      <c r="B2638">
        <v>6441.99</v>
      </c>
      <c r="C2638">
        <v>4399.8069450000003</v>
      </c>
      <c r="D2638">
        <v>3.1719430000000002</v>
      </c>
      <c r="E2638">
        <f>LN(D2638/参数实验室!$E$53)/参数实验室!$E$55</f>
        <v>0.66887317862636142</v>
      </c>
      <c r="F2638">
        <f t="shared" si="358"/>
        <v>0.68298878840234156</v>
      </c>
      <c r="G2638">
        <f>LN(F2638/参数实验室!$E$58)/参数实验室!$E$59</f>
        <v>-0.39064471291557767</v>
      </c>
      <c r="H2638" s="856">
        <f>INDEX(神经网络!$G$10:$BO$70,MATCH(ROUND(G2638*2,1)/2,神经网络!$E$10:$E$70,0),MATCH(ROUND(E2638*2,1)/2,神经网络!$G$8:$BO$8,0))</f>
        <v>1.7110342151462425</v>
      </c>
      <c r="I2638">
        <f t="shared" si="350"/>
        <v>54695.334124861081</v>
      </c>
      <c r="J2638">
        <f t="shared" si="351"/>
        <v>2570.5239216312175</v>
      </c>
      <c r="K2638">
        <f t="shared" si="352"/>
        <v>21.277893453779729</v>
      </c>
      <c r="L2638" s="4">
        <f>MIN(MAX(L2637*(1+MAX(MIN(((B2638-B2637)/B2637)/($K$7*卓尔金历!$N$40),0),-卓尔金历!$M$43))+MIN(MAX(((B2638-B2637)/B2637)/($K$7*卓尔金历!$N$40),0),卓尔金历!$M$43),0),1)</f>
        <v>1</v>
      </c>
      <c r="M2638" s="4">
        <f>MIN(MAX(M2637*(1+MAX(MIN(((B2638-B2637)/B2637)/($K$7*30),0),-卓尔金历!$M$43))+MIN(MAX(((B2638-B2637)/B2637)/($K$7*7),0),卓尔金历!$M$43),0),1)</f>
        <v>1</v>
      </c>
      <c r="N2638">
        <f t="shared" si="353"/>
        <v>45467.100663806697</v>
      </c>
      <c r="O2638">
        <f t="shared" si="354"/>
        <v>99876.890138233794</v>
      </c>
      <c r="P2638">
        <f t="shared" si="355"/>
        <v>5.0635079066854438E-2</v>
      </c>
      <c r="Q2638">
        <f t="shared" si="356"/>
        <v>5.0236458822146036E-2</v>
      </c>
      <c r="R2638">
        <f t="shared" si="357"/>
        <v>4.9380042429089457E-2</v>
      </c>
      <c r="S2638">
        <f t="shared" si="349"/>
        <v>520.13603902184445</v>
      </c>
      <c r="T2638" s="564">
        <f>IF((I2638-MAX(I$470:I2638))/MAX(I$470:I2638)&gt;T2637,T2637,(I2638-MAX(I$470:I2638))/MAX(I$470:I2638))</f>
        <v>-0.91338805338419748</v>
      </c>
      <c r="U2638" s="564">
        <f>IF((J2638-MAX(J$470:J2638))/MAX(J$470:J2638)&gt;U2637,U2637,(J2638-MAX(J$470:J2638))/MAX(J$470:J2638))</f>
        <v>-0.8283551177402233</v>
      </c>
      <c r="V2638" s="564">
        <f>IF((K2638-MAX(K$470:K2638))/MAX(K$470:K2638)&gt;V2637,V2637,(K2638-MAX(K$470:K2638))/MAX(K$470:K2638))</f>
        <v>-0.84885940676762139</v>
      </c>
      <c r="W2638" s="564">
        <f>IF((N2638-MAX(N$470:N2638))/MAX(N$470:N2638)&gt;W2637,W2637,(N2638-MAX(N$470:N2638))/MAX(N$470:N2638))</f>
        <v>-0.62788758315546067</v>
      </c>
      <c r="X2638" s="564">
        <f>IF((O2638-MAX(O$470:O2638))/MAX(O$470:O2638)&gt;X2637,X2637,(O2638-MAX(O$470:O2638))/MAX(O$470:O2638))</f>
        <v>-0.62788758315546067</v>
      </c>
    </row>
    <row r="2639" spans="1:24">
      <c r="A2639" s="799">
        <v>43041</v>
      </c>
      <c r="B2639">
        <v>6867.43</v>
      </c>
      <c r="C2639">
        <v>4495.5369019999998</v>
      </c>
      <c r="D2639">
        <v>3.2678340000000001</v>
      </c>
      <c r="E2639">
        <f>LN(D2639/参数实验室!$E$53)/参数实验室!$E$55</f>
        <v>0.70400982404104062</v>
      </c>
      <c r="F2639">
        <f t="shared" si="358"/>
        <v>0.6546170695587723</v>
      </c>
      <c r="G2639">
        <f>LN(F2639/参数实验室!$E$58)/参数实验室!$E$59</f>
        <v>-0.41291322349164494</v>
      </c>
      <c r="H2639" s="856">
        <f>INDEX(神经网络!$G$10:$BO$70,MATCH(ROUND(G2639*2,1)/2,神经网络!$E$10:$E$70,0),MATCH(ROUND(E2639*2,1)/2,神经网络!$G$8:$BO$8,0))</f>
        <v>1.7829144776055021</v>
      </c>
      <c r="I2639">
        <f t="shared" si="350"/>
        <v>60875.885879795831</v>
      </c>
      <c r="J2639">
        <f t="shared" si="351"/>
        <v>2740.2857028849585</v>
      </c>
      <c r="K2639">
        <f t="shared" si="352"/>
        <v>22.215160198699724</v>
      </c>
      <c r="L2639" s="4">
        <f>MIN(MAX(L2638*(1+MAX(MIN(((B2639-B2638)/B2638)/($K$7*卓尔金历!$N$40),0),-卓尔金历!$M$43))+MIN(MAX(((B2639-B2638)/B2638)/($K$7*卓尔金历!$N$40),0),卓尔金历!$M$43),0),1)</f>
        <v>1</v>
      </c>
      <c r="M2639" s="4">
        <f>MIN(MAX(M2638*(1+MAX(MIN(((B2639-B2638)/B2638)/($K$7*30),0),-卓尔金历!$M$43))+MIN(MAX(((B2639-B2638)/B2638)/($K$7*7),0),卓尔金历!$M$43),0),1)</f>
        <v>1</v>
      </c>
      <c r="N2639">
        <f t="shared" si="353"/>
        <v>50604.865580974561</v>
      </c>
      <c r="O2639">
        <f t="shared" si="354"/>
        <v>111162.94037447694</v>
      </c>
      <c r="P2639">
        <f t="shared" si="355"/>
        <v>6.6041704504353552E-2</v>
      </c>
      <c r="Q2639">
        <f t="shared" si="356"/>
        <v>5.1379426260333386E-2</v>
      </c>
      <c r="R2639">
        <f t="shared" si="357"/>
        <v>3.7624665971183857E-2</v>
      </c>
      <c r="S2639">
        <f t="shared" si="349"/>
        <v>523.03835954328429</v>
      </c>
      <c r="T2639" s="564">
        <f>IF((I2639-MAX(I$470:I2639))/MAX(I$470:I2639)&gt;T2638,T2638,(I2639-MAX(I$470:I2639))/MAX(I$470:I2639))</f>
        <v>-0.91338805338419748</v>
      </c>
      <c r="U2639" s="564">
        <f>IF((J2639-MAX(J$470:J2639))/MAX(J$470:J2639)&gt;U2638,U2638,(J2639-MAX(J$470:J2639))/MAX(J$470:J2639))</f>
        <v>-0.8283551177402233</v>
      </c>
      <c r="V2639" s="564">
        <f>IF((K2639-MAX(K$470:K2639))/MAX(K$470:K2639)&gt;V2638,V2638,(K2639-MAX(K$470:K2639))/MAX(K$470:K2639))</f>
        <v>-0.84885940676762139</v>
      </c>
      <c r="W2639" s="564">
        <f>IF((N2639-MAX(N$470:N2639))/MAX(N$470:N2639)&gt;W2638,W2638,(N2639-MAX(N$470:N2639))/MAX(N$470:N2639))</f>
        <v>-0.62788758315546067</v>
      </c>
      <c r="X2639" s="564">
        <f>IF((O2639-MAX(O$470:O2639))/MAX(O$470:O2639)&gt;X2638,X2638,(O2639-MAX(O$470:O2639))/MAX(O$470:O2639))</f>
        <v>-0.62788758315546067</v>
      </c>
    </row>
    <row r="2640" spans="1:24">
      <c r="A2640" s="799">
        <v>43042</v>
      </c>
      <c r="B2640">
        <v>7076.83</v>
      </c>
      <c r="C2640">
        <v>4540.5138559999996</v>
      </c>
      <c r="D2640">
        <v>3.2996629999999998</v>
      </c>
      <c r="E2640">
        <f>LN(D2640/参数实验室!$E$53)/参数实验室!$E$55</f>
        <v>0.71544512732355181</v>
      </c>
      <c r="F2640">
        <f t="shared" si="358"/>
        <v>0.64160278768883805</v>
      </c>
      <c r="G2640">
        <f>LN(F2640/参数实验室!$E$58)/参数实验室!$E$59</f>
        <v>-0.42345283674158979</v>
      </c>
      <c r="H2640" s="856">
        <f>INDEX(神经网络!$G$10:$BO$70,MATCH(ROUND(G2640*2,1)/2,神经网络!$E$10:$E$70,0),MATCH(ROUND(E2640*2,1)/2,神经网络!$G$8:$BO$8,0))</f>
        <v>1.7829144776055021</v>
      </c>
      <c r="I2640">
        <f t="shared" si="350"/>
        <v>64185.35430367315</v>
      </c>
      <c r="J2640">
        <f t="shared" si="351"/>
        <v>2823.8418259446926</v>
      </c>
      <c r="K2640">
        <f t="shared" si="352"/>
        <v>22.729798005665732</v>
      </c>
      <c r="L2640" s="4">
        <f>MIN(MAX(L2639*(1+MAX(MIN(((B2640-B2639)/B2639)/($K$7*卓尔金历!$N$40),0),-卓尔金历!$M$43))+MIN(MAX(((B2640-B2639)/B2639)/($K$7*卓尔金历!$N$40),0),卓尔金历!$M$43),0),1)</f>
        <v>1</v>
      </c>
      <c r="M2640" s="4">
        <f>MIN(MAX(M2639*(1+MAX(MIN(((B2640-B2639)/B2639)/($K$7*30),0),-卓尔金历!$M$43))+MIN(MAX(((B2640-B2639)/B2639)/($K$7*7),0),卓尔金历!$M$43),0),1)</f>
        <v>1</v>
      </c>
      <c r="N2640">
        <f t="shared" si="353"/>
        <v>53355.958272512296</v>
      </c>
      <c r="O2640">
        <f t="shared" si="354"/>
        <v>117206.22394658161</v>
      </c>
      <c r="P2640">
        <f t="shared" si="355"/>
        <v>3.0491756013530481E-2</v>
      </c>
      <c r="Q2640">
        <f t="shared" si="356"/>
        <v>3.794794890571896E-2</v>
      </c>
      <c r="R2640">
        <f t="shared" si="357"/>
        <v>0.28137824610639312</v>
      </c>
      <c r="S2640">
        <f t="shared" si="349"/>
        <v>524.10820030709056</v>
      </c>
      <c r="T2640" s="564">
        <f>IF((I2640-MAX(I$470:I2640))/MAX(I$470:I2640)&gt;T2639,T2639,(I2640-MAX(I$470:I2640))/MAX(I$470:I2640))</f>
        <v>-0.91338805338419748</v>
      </c>
      <c r="U2640" s="564">
        <f>IF((J2640-MAX(J$470:J2640))/MAX(J$470:J2640)&gt;U2639,U2639,(J2640-MAX(J$470:J2640))/MAX(J$470:J2640))</f>
        <v>-0.8283551177402233</v>
      </c>
      <c r="V2640" s="564">
        <f>IF((K2640-MAX(K$470:K2640))/MAX(K$470:K2640)&gt;V2639,V2639,(K2640-MAX(K$470:K2640))/MAX(K$470:K2640))</f>
        <v>-0.84885940676762139</v>
      </c>
      <c r="W2640" s="564">
        <f>IF((N2640-MAX(N$470:N2640))/MAX(N$470:N2640)&gt;W2639,W2639,(N2640-MAX(N$470:N2640))/MAX(N$470:N2640))</f>
        <v>-0.62788758315546067</v>
      </c>
      <c r="X2640" s="564">
        <f>IF((O2640-MAX(O$470:O2640))/MAX(O$470:O2640)&gt;X2639,X2639,(O2640-MAX(O$470:O2640))/MAX(O$470:O2640))</f>
        <v>-0.62788758315546067</v>
      </c>
    </row>
    <row r="2641" spans="1:24">
      <c r="A2641" s="799">
        <v>43043</v>
      </c>
      <c r="B2641">
        <v>7164.34</v>
      </c>
      <c r="C2641">
        <v>4527.2947940000004</v>
      </c>
      <c r="D2641">
        <v>3.374587</v>
      </c>
      <c r="E2641">
        <f>LN(D2641/参数实验室!$E$53)/参数实验室!$E$55</f>
        <v>0.7419336602244635</v>
      </c>
      <c r="F2641">
        <f t="shared" si="358"/>
        <v>0.63192070644330112</v>
      </c>
      <c r="G2641">
        <f>LN(F2641/参数实验室!$E$58)/参数实验室!$E$59</f>
        <v>-0.43143349421673916</v>
      </c>
      <c r="H2641" s="856">
        <f>INDEX(神经网络!$G$10:$BO$70,MATCH(ROUND(G2641*2,1)/2,神经网络!$E$10:$E$70,0),MATCH(ROUND(E2641*2,1)/2,神经网络!$G$8:$BO$8,0))</f>
        <v>1.8110254701095543</v>
      </c>
      <c r="I2641">
        <f t="shared" si="350"/>
        <v>65600.448582583616</v>
      </c>
      <c r="J2641">
        <f t="shared" si="351"/>
        <v>2858.7606240772493</v>
      </c>
      <c r="K2641">
        <f t="shared" si="352"/>
        <v>22.947163896857621</v>
      </c>
      <c r="L2641" s="4">
        <f>MIN(MAX(L2640*(1+MAX(MIN(((B2641-B2640)/B2640)/($K$7*卓尔金历!$N$40),0),-卓尔金历!$M$43))+MIN(MAX(((B2641-B2640)/B2640)/($K$7*卓尔金历!$N$40),0),卓尔金历!$M$43),0),1)</f>
        <v>1</v>
      </c>
      <c r="M2641" s="4">
        <f>MIN(MAX(M2640*(1+MAX(MIN(((B2641-B2640)/B2640)/($K$7*30),0),-卓尔金历!$M$43))+MIN(MAX(((B2641-B2640)/B2640)/($K$7*7),0),卓尔金历!$M$43),0),1)</f>
        <v>1</v>
      </c>
      <c r="N2641">
        <f t="shared" si="353"/>
        <v>54532.296895494655</v>
      </c>
      <c r="O2641">
        <f t="shared" si="354"/>
        <v>119790.26915064485</v>
      </c>
      <c r="P2641">
        <f t="shared" si="355"/>
        <v>1.2365706114178272E-2</v>
      </c>
      <c r="Q2641">
        <f t="shared" si="356"/>
        <v>3.772974295402954E-2</v>
      </c>
      <c r="R2641">
        <f t="shared" si="357"/>
        <v>1</v>
      </c>
      <c r="S2641">
        <f t="shared" si="349"/>
        <v>527.35952921472563</v>
      </c>
      <c r="T2641" s="564">
        <f>IF((I2641-MAX(I$470:I2641))/MAX(I$470:I2641)&gt;T2640,T2640,(I2641-MAX(I$470:I2641))/MAX(I$470:I2641))</f>
        <v>-0.91338805338419748</v>
      </c>
      <c r="U2641" s="564">
        <f>IF((J2641-MAX(J$470:J2641))/MAX(J$470:J2641)&gt;U2640,U2640,(J2641-MAX(J$470:J2641))/MAX(J$470:J2641))</f>
        <v>-0.8283551177402233</v>
      </c>
      <c r="V2641" s="564">
        <f>IF((K2641-MAX(K$470:K2641))/MAX(K$470:K2641)&gt;V2640,V2640,(K2641-MAX(K$470:K2641))/MAX(K$470:K2641))</f>
        <v>-0.84885940676762139</v>
      </c>
      <c r="W2641" s="564">
        <f>IF((N2641-MAX(N$470:N2641))/MAX(N$470:N2641)&gt;W2640,W2640,(N2641-MAX(N$470:N2641))/MAX(N$470:N2641))</f>
        <v>-0.62788758315546067</v>
      </c>
      <c r="X2641" s="564">
        <f>IF((O2641-MAX(O$470:O2641))/MAX(O$470:O2641)&gt;X2640,X2640,(O2641-MAX(O$470:O2641))/MAX(O$470:O2641))</f>
        <v>-0.62788758315546067</v>
      </c>
    </row>
    <row r="2642" spans="1:24">
      <c r="A2642" s="799">
        <v>43044</v>
      </c>
      <c r="B2642">
        <v>7380.63</v>
      </c>
      <c r="C2642">
        <v>4581.8143209999998</v>
      </c>
      <c r="D2642">
        <v>3.3195589999999999</v>
      </c>
      <c r="E2642">
        <f>LN(D2642/参数实验室!$E$53)/参数实验室!$E$55</f>
        <v>0.72253733279171739</v>
      </c>
      <c r="F2642">
        <f t="shared" si="358"/>
        <v>0.62078905472839041</v>
      </c>
      <c r="G2642">
        <f>LN(F2642/参数实验室!$E$58)/参数实验室!$E$59</f>
        <v>-0.4407615067787537</v>
      </c>
      <c r="H2642" s="856">
        <f>INDEX(神经网络!$G$10:$BO$70,MATCH(ROUND(G2642*2,1)/2,神经网络!$E$10:$E$70,0),MATCH(ROUND(E2642*2,1)/2,神经网络!$G$8:$BO$8,0))</f>
        <v>1.7401749666563995</v>
      </c>
      <c r="I2642">
        <f t="shared" si="350"/>
        <v>69187.120231697234</v>
      </c>
      <c r="J2642">
        <f t="shared" si="351"/>
        <v>2945.0660388651668</v>
      </c>
      <c r="K2642">
        <f t="shared" si="352"/>
        <v>23.492553076452356</v>
      </c>
      <c r="L2642" s="4">
        <f>MIN(MAX(L2641*(1+MAX(MIN(((B2642-B2641)/B2641)/($K$7*卓尔金历!$N$40),0),-卓尔金历!$M$43))+MIN(MAX(((B2642-B2641)/B2641)/($K$7*卓尔金历!$N$40),0),卓尔金历!$M$43),0),1)</f>
        <v>1</v>
      </c>
      <c r="M2642" s="4">
        <f>MIN(MAX(M2641*(1+MAX(MIN(((B2642-B2641)/B2641)/($K$7*30),0),-卓尔金历!$M$43))+MIN(MAX(((B2642-B2641)/B2641)/($K$7*7),0),卓尔金历!$M$43),0),1)</f>
        <v>1</v>
      </c>
      <c r="N2642">
        <f t="shared" si="353"/>
        <v>57513.822898169659</v>
      </c>
      <c r="O2642">
        <f t="shared" si="354"/>
        <v>126339.74208087075</v>
      </c>
      <c r="P2642">
        <f t="shared" si="355"/>
        <v>3.0189801154049078E-2</v>
      </c>
      <c r="Q2642">
        <f t="shared" si="356"/>
        <v>3.7666076973393949E-2</v>
      </c>
      <c r="R2642">
        <f t="shared" si="357"/>
        <v>0.26733338142361995</v>
      </c>
      <c r="S2642">
        <f t="shared" si="349"/>
        <v>556.19264717646058</v>
      </c>
      <c r="T2642" s="564">
        <f>IF((I2642-MAX(I$470:I2642))/MAX(I$470:I2642)&gt;T2641,T2641,(I2642-MAX(I$470:I2642))/MAX(I$470:I2642))</f>
        <v>-0.91338805338419748</v>
      </c>
      <c r="U2642" s="564">
        <f>IF((J2642-MAX(J$470:J2642))/MAX(J$470:J2642)&gt;U2641,U2641,(J2642-MAX(J$470:J2642))/MAX(J$470:J2642))</f>
        <v>-0.8283551177402233</v>
      </c>
      <c r="V2642" s="564">
        <f>IF((K2642-MAX(K$470:K2642))/MAX(K$470:K2642)&gt;V2641,V2641,(K2642-MAX(K$470:K2642))/MAX(K$470:K2642))</f>
        <v>-0.84885940676762139</v>
      </c>
      <c r="W2642" s="564">
        <f>IF((N2642-MAX(N$470:N2642))/MAX(N$470:N2642)&gt;W2641,W2641,(N2642-MAX(N$470:N2642))/MAX(N$470:N2642))</f>
        <v>-0.62788758315546067</v>
      </c>
      <c r="X2642" s="564">
        <f>IF((O2642-MAX(O$470:O2642))/MAX(O$470:O2642)&gt;X2641,X2641,(O2642-MAX(O$470:O2642))/MAX(O$470:O2642))</f>
        <v>-0.62788758315546067</v>
      </c>
    </row>
    <row r="2643" spans="1:24">
      <c r="A2643" s="799">
        <v>43045</v>
      </c>
      <c r="B2643">
        <v>7385.83</v>
      </c>
      <c r="C2643">
        <v>4658.2761989999999</v>
      </c>
      <c r="D2643">
        <v>3.1284239999999999</v>
      </c>
      <c r="E2643">
        <f>LN(D2643/参数实验室!$E$53)/参数实验室!$E$55</f>
        <v>0.65257492235555115</v>
      </c>
      <c r="F2643">
        <f t="shared" si="358"/>
        <v>0.63070449753108315</v>
      </c>
      <c r="G2643">
        <f>LN(F2643/参数实验室!$E$58)/参数实验室!$E$59</f>
        <v>-0.43244461352628744</v>
      </c>
      <c r="H2643" s="856">
        <f>INDEX(神经网络!$G$10:$BO$70,MATCH(ROUND(G2643*2,1)/2,神经网络!$E$10:$E$70,0),MATCH(ROUND(E2643*2,1)/2,神经网络!$G$8:$BO$8,0))</f>
        <v>1.6630942510724214</v>
      </c>
      <c r="I2643">
        <f t="shared" si="350"/>
        <v>69271.946054444037</v>
      </c>
      <c r="J2643">
        <f t="shared" si="351"/>
        <v>2947.1409760185124</v>
      </c>
      <c r="K2643">
        <f t="shared" si="352"/>
        <v>23.504795535104698</v>
      </c>
      <c r="L2643" s="4">
        <f>MIN(MAX(L2642*(1+MAX(MIN(((B2643-B2642)/B2642)/($K$7*卓尔金历!$N$40),0),-卓尔金历!$M$43))+MIN(MAX(((B2643-B2642)/B2642)/($K$7*卓尔金历!$N$40),0),卓尔金历!$M$43),0),1)</f>
        <v>1</v>
      </c>
      <c r="M2643" s="4">
        <f>MIN(MAX(M2642*(1+MAX(MIN(((B2643-B2642)/B2642)/($K$7*30),0),-卓尔金历!$M$43))+MIN(MAX(((B2643-B2642)/B2642)/($K$7*7),0),卓尔金历!$M$43),0),1)</f>
        <v>1</v>
      </c>
      <c r="N2643">
        <f t="shared" si="353"/>
        <v>57584.336851204745</v>
      </c>
      <c r="O2643">
        <f t="shared" si="354"/>
        <v>126494.63901156737</v>
      </c>
      <c r="P2643">
        <f t="shared" si="355"/>
        <v>7.0454690182271949E-4</v>
      </c>
      <c r="Q2643">
        <f t="shared" si="356"/>
        <v>3.6708616814550232E-2</v>
      </c>
      <c r="R2643">
        <f t="shared" si="357"/>
        <v>1</v>
      </c>
      <c r="S2643">
        <f t="shared" si="349"/>
        <v>556.37494490663391</v>
      </c>
      <c r="T2643" s="564">
        <f>IF((I2643-MAX(I$470:I2643))/MAX(I$470:I2643)&gt;T2642,T2642,(I2643-MAX(I$470:I2643))/MAX(I$470:I2643))</f>
        <v>-0.91338805338419748</v>
      </c>
      <c r="U2643" s="564">
        <f>IF((J2643-MAX(J$470:J2643))/MAX(J$470:J2643)&gt;U2642,U2642,(J2643-MAX(J$470:J2643))/MAX(J$470:J2643))</f>
        <v>-0.8283551177402233</v>
      </c>
      <c r="V2643" s="564">
        <f>IF((K2643-MAX(K$470:K2643))/MAX(K$470:K2643)&gt;V2642,V2642,(K2643-MAX(K$470:K2643))/MAX(K$470:K2643))</f>
        <v>-0.84885940676762139</v>
      </c>
      <c r="W2643" s="564">
        <f>IF((N2643-MAX(N$470:N2643))/MAX(N$470:N2643)&gt;W2642,W2642,(N2643-MAX(N$470:N2643))/MAX(N$470:N2643))</f>
        <v>-0.62788758315546067</v>
      </c>
      <c r="X2643" s="564">
        <f>IF((O2643-MAX(O$470:O2643))/MAX(O$470:O2643)&gt;X2642,X2642,(O2643-MAX(O$470:O2643))/MAX(O$470:O2643))</f>
        <v>-0.62788758315546067</v>
      </c>
    </row>
    <row r="2644" spans="1:24">
      <c r="A2644" s="799">
        <v>43046</v>
      </c>
      <c r="B2644">
        <v>7129.85</v>
      </c>
      <c r="C2644">
        <v>4739.7948349999997</v>
      </c>
      <c r="D2644">
        <v>3.160644</v>
      </c>
      <c r="E2644">
        <f>LN(D2644/参数实验室!$E$53)/参数实验室!$E$55</f>
        <v>0.66466319428679443</v>
      </c>
      <c r="F2644">
        <f t="shared" si="358"/>
        <v>0.66478184463908774</v>
      </c>
      <c r="G2644">
        <f>LN(F2644/参数实验室!$E$58)/参数实验室!$E$59</f>
        <v>-0.40482601227099174</v>
      </c>
      <c r="H2644" s="856">
        <f>INDEX(神经网络!$G$10:$BO$70,MATCH(ROUND(G2644*2,1)/2,神经网络!$E$10:$E$70,0),MATCH(ROUND(E2644*2,1)/2,神经网络!$G$8:$BO$8,0))</f>
        <v>1.7110342151462425</v>
      </c>
      <c r="I2644">
        <f t="shared" si="350"/>
        <v>65279.114599225904</v>
      </c>
      <c r="J2644">
        <f t="shared" si="351"/>
        <v>2844.9982043813075</v>
      </c>
      <c r="K2644">
        <f t="shared" si="352"/>
        <v>22.945221722353228</v>
      </c>
      <c r="L2644" s="4">
        <f>MIN(MAX(L2643*(1+MAX(MIN(((B2644-B2643)/B2643)/($K$7*卓尔金历!$N$40),0),-卓尔金历!$M$43))+MIN(MAX(((B2644-B2643)/B2643)/($K$7*卓尔金历!$N$40),0),卓尔金历!$M$43),0),1)</f>
        <v>0.47045508028613903</v>
      </c>
      <c r="M2644" s="4">
        <f>MIN(MAX(M2643*(1+MAX(MIN(((B2644-B2643)/B2643)/($K$7*30),0),-卓尔金历!$M$43))+MIN(MAX(((B2644-B2643)/B2643)/($K$7*7),0),卓尔金历!$M$43),0),1)</f>
        <v>0.73522754014306946</v>
      </c>
      <c r="N2644">
        <f t="shared" si="353"/>
        <v>54265.178597347425</v>
      </c>
      <c r="O2644">
        <f t="shared" si="354"/>
        <v>119203.49443819434</v>
      </c>
      <c r="P2644">
        <f t="shared" si="355"/>
        <v>-3.4658257771976821E-2</v>
      </c>
      <c r="Q2644">
        <f t="shared" si="356"/>
        <v>3.7796636780646403E-2</v>
      </c>
      <c r="R2644">
        <f t="shared" si="357"/>
        <v>0.12657477834305142</v>
      </c>
      <c r="S2644">
        <f t="shared" si="349"/>
        <v>524.305521316708</v>
      </c>
      <c r="T2644" s="564">
        <f>IF((I2644-MAX(I$470:I2644))/MAX(I$470:I2644)&gt;T2643,T2643,(I2644-MAX(I$470:I2644))/MAX(I$470:I2644))</f>
        <v>-0.91338805338419748</v>
      </c>
      <c r="U2644" s="564">
        <f>IF((J2644-MAX(J$470:J2644))/MAX(J$470:J2644)&gt;U2643,U2643,(J2644-MAX(J$470:J2644))/MAX(J$470:J2644))</f>
        <v>-0.8283551177402233</v>
      </c>
      <c r="V2644" s="564">
        <f>IF((K2644-MAX(K$470:K2644))/MAX(K$470:K2644)&gt;V2643,V2643,(K2644-MAX(K$470:K2644))/MAX(K$470:K2644))</f>
        <v>-0.84885940676762139</v>
      </c>
      <c r="W2644" s="564">
        <f>IF((N2644-MAX(N$470:N2644))/MAX(N$470:N2644)&gt;W2643,W2643,(N2644-MAX(N$470:N2644))/MAX(N$470:N2644))</f>
        <v>-0.62788758315546067</v>
      </c>
      <c r="X2644" s="564">
        <f>IF((O2644-MAX(O$470:O2644))/MAX(O$470:O2644)&gt;X2643,X2643,(O2644-MAX(O$470:O2644))/MAX(O$470:O2644))</f>
        <v>-0.62788758315546067</v>
      </c>
    </row>
    <row r="2645" spans="1:24">
      <c r="A2645" s="799">
        <v>43047</v>
      </c>
      <c r="B2645">
        <v>7326.39</v>
      </c>
      <c r="C2645">
        <v>4794.5970379999999</v>
      </c>
      <c r="D2645">
        <v>3.2777099999999999</v>
      </c>
      <c r="E2645">
        <f>LN(D2645/参数实验室!$E$53)/参数实验室!$E$55</f>
        <v>0.70756988012771393</v>
      </c>
      <c r="F2645">
        <f t="shared" si="358"/>
        <v>0.65442831162414228</v>
      </c>
      <c r="G2645">
        <f>LN(F2645/参数实验室!$E$58)/参数实验室!$E$59</f>
        <v>-0.41306458625914722</v>
      </c>
      <c r="H2645" s="856">
        <f>INDEX(神经网络!$G$10:$BO$70,MATCH(ROUND(G2645*2,1)/2,神经网络!$E$10:$E$70,0),MATCH(ROUND(E2645*2,1)/2,神经网络!$G$8:$BO$8,0))</f>
        <v>1.7829144776055021</v>
      </c>
      <c r="I2645">
        <f t="shared" si="350"/>
        <v>68358.070779165471</v>
      </c>
      <c r="J2645">
        <f t="shared" si="351"/>
        <v>2923.4228482502672</v>
      </c>
      <c r="K2645">
        <f t="shared" si="352"/>
        <v>23.382888595838704</v>
      </c>
      <c r="L2645" s="4">
        <f>MIN(MAX(L2644*(1+MAX(MIN(((B2645-B2644)/B2644)/($K$7*卓尔金历!$N$40),0),-卓尔金历!$M$43))+MIN(MAX(((B2645-B2644)/B2644)/($K$7*卓尔金历!$N$40),0),卓尔金历!$M$43),0),1)</f>
        <v>0.89163401037178835</v>
      </c>
      <c r="M2645" s="4">
        <f>MIN(MAX(M2644*(1+MAX(MIN(((B2645-B2644)/B2644)/($K$7*30),0),-卓尔金历!$M$43))+MIN(MAX(((B2645-B2644)/B2644)/($K$7*7),0),卓尔金历!$M$43),0),1)</f>
        <v>1</v>
      </c>
      <c r="N2645">
        <f t="shared" si="353"/>
        <v>55469.295498050793</v>
      </c>
      <c r="O2645">
        <f t="shared" si="354"/>
        <v>123337.20444386135</v>
      </c>
      <c r="P2645">
        <f t="shared" si="355"/>
        <v>2.7565797316914095E-2</v>
      </c>
      <c r="Q2645">
        <f t="shared" si="356"/>
        <v>3.7211806561268372E-2</v>
      </c>
      <c r="R2645">
        <f t="shared" si="357"/>
        <v>0.34918784455908208</v>
      </c>
      <c r="S2645">
        <f t="shared" si="349"/>
        <v>527.43564039348871</v>
      </c>
      <c r="T2645" s="564">
        <f>IF((I2645-MAX(I$470:I2645))/MAX(I$470:I2645)&gt;T2644,T2644,(I2645-MAX(I$470:I2645))/MAX(I$470:I2645))</f>
        <v>-0.91338805338419748</v>
      </c>
      <c r="U2645" s="564">
        <f>IF((J2645-MAX(J$470:J2645))/MAX(J$470:J2645)&gt;U2644,U2644,(J2645-MAX(J$470:J2645))/MAX(J$470:J2645))</f>
        <v>-0.8283551177402233</v>
      </c>
      <c r="V2645" s="564">
        <f>IF((K2645-MAX(K$470:K2645))/MAX(K$470:K2645)&gt;V2644,V2644,(K2645-MAX(K$470:K2645))/MAX(K$470:K2645))</f>
        <v>-0.84885940676762139</v>
      </c>
      <c r="W2645" s="564">
        <f>IF((N2645-MAX(N$470:N2645))/MAX(N$470:N2645)&gt;W2644,W2644,(N2645-MAX(N$470:N2645))/MAX(N$470:N2645))</f>
        <v>-0.62788758315546067</v>
      </c>
      <c r="X2645" s="564">
        <f>IF((O2645-MAX(O$470:O2645))/MAX(O$470:O2645)&gt;X2644,X2644,(O2645-MAX(O$470:O2645))/MAX(O$470:O2645))</f>
        <v>-0.62788758315546067</v>
      </c>
    </row>
    <row r="2646" spans="1:24">
      <c r="A2646" s="799">
        <v>43048</v>
      </c>
      <c r="B2646">
        <v>7395.15</v>
      </c>
      <c r="C2646">
        <v>4818.4847760000002</v>
      </c>
      <c r="D2646">
        <v>3.1022080000000001</v>
      </c>
      <c r="E2646">
        <f>LN(D2646/参数实验室!$E$53)/参数实验室!$E$55</f>
        <v>0.64264700699684507</v>
      </c>
      <c r="F2646">
        <f t="shared" si="358"/>
        <v>0.65157363623455922</v>
      </c>
      <c r="G2646">
        <f>LN(F2646/参数实验室!$E$58)/参数实验室!$E$59</f>
        <v>-0.41535905497496062</v>
      </c>
      <c r="H2646" s="856">
        <f>INDEX(神经网络!$G$10:$BO$70,MATCH(ROUND(G2646*2,1)/2,神经网络!$E$10:$E$70,0),MATCH(ROUND(E2646*2,1)/2,神经网络!$G$8:$BO$8,0))</f>
        <v>1.7110342151462425</v>
      </c>
      <c r="I2646">
        <f t="shared" si="350"/>
        <v>69501.913054434553</v>
      </c>
      <c r="J2646">
        <f t="shared" si="351"/>
        <v>2950.8599018395093</v>
      </c>
      <c r="K2646">
        <f t="shared" si="352"/>
        <v>23.553104981740542</v>
      </c>
      <c r="L2646" s="4">
        <f>MIN(MAX(L2645*(1+MAX(MIN(((B2646-B2645)/B2645)/($K$7*卓尔金历!$N$40),0),-卓尔金历!$M$43))+MIN(MAX(((B2646-B2645)/B2645)/($K$7*卓尔金历!$N$40),0),卓尔金历!$M$43),0),1)</f>
        <v>1</v>
      </c>
      <c r="M2646" s="4">
        <f>MIN(MAX(M2645*(1+MAX(MIN(((B2646-B2645)/B2645)/($K$7*30),0),-卓尔金历!$M$43))+MIN(MAX(((B2646-B2645)/B2645)/($K$7*7),0),卓尔金历!$M$43),0),1)</f>
        <v>1</v>
      </c>
      <c r="N2646">
        <f t="shared" si="353"/>
        <v>56296.886236805192</v>
      </c>
      <c r="O2646">
        <f t="shared" si="354"/>
        <v>125401.01793286628</v>
      </c>
      <c r="P2646">
        <f t="shared" si="355"/>
        <v>9.3852497614786146E-3</v>
      </c>
      <c r="Q2646">
        <f t="shared" si="356"/>
        <v>3.7222484602654406E-2</v>
      </c>
      <c r="R2646">
        <f t="shared" si="357"/>
        <v>1</v>
      </c>
      <c r="S2646">
        <f t="shared" si="349"/>
        <v>530.51744383928792</v>
      </c>
      <c r="T2646" s="564">
        <f>IF((I2646-MAX(I$470:I2646))/MAX(I$470:I2646)&gt;T2645,T2645,(I2646-MAX(I$470:I2646))/MAX(I$470:I2646))</f>
        <v>-0.91338805338419748</v>
      </c>
      <c r="U2646" s="564">
        <f>IF((J2646-MAX(J$470:J2646))/MAX(J$470:J2646)&gt;U2645,U2645,(J2646-MAX(J$470:J2646))/MAX(J$470:J2646))</f>
        <v>-0.8283551177402233</v>
      </c>
      <c r="V2646" s="564">
        <f>IF((K2646-MAX(K$470:K2646))/MAX(K$470:K2646)&gt;V2645,V2645,(K2646-MAX(K$470:K2646))/MAX(K$470:K2646))</f>
        <v>-0.84885940676762139</v>
      </c>
      <c r="W2646" s="564">
        <f>IF((N2646-MAX(N$470:N2646))/MAX(N$470:N2646)&gt;W2645,W2645,(N2646-MAX(N$470:N2646))/MAX(N$470:N2646))</f>
        <v>-0.62788758315546067</v>
      </c>
      <c r="X2646" s="564">
        <f>IF((O2646-MAX(O$470:O2646))/MAX(O$470:O2646)&gt;X2645,X2645,(O2646-MAX(O$470:O2646))/MAX(O$470:O2646))</f>
        <v>-0.62788758315546067</v>
      </c>
    </row>
    <row r="2647" spans="1:24">
      <c r="A2647" s="799">
        <v>43049</v>
      </c>
      <c r="B2647">
        <v>7255.36</v>
      </c>
      <c r="C2647">
        <v>4880.649206</v>
      </c>
      <c r="D2647">
        <v>2.8688940000000001</v>
      </c>
      <c r="E2647">
        <f>LN(D2647/参数实验室!$E$53)/参数实验室!$E$55</f>
        <v>0.55040501911794693</v>
      </c>
      <c r="F2647">
        <f t="shared" si="358"/>
        <v>0.67269566306840745</v>
      </c>
      <c r="G2647">
        <f>LN(F2647/参数实验室!$E$58)/参数实验室!$E$59</f>
        <v>-0.39861484528056151</v>
      </c>
      <c r="H2647" s="856">
        <f>INDEX(神经网络!$G$10:$BO$70,MATCH(ROUND(G2647*2,1)/2,神经网络!$E$10:$E$70,0),MATCH(ROUND(E2647*2,1)/2,神经网络!$G$8:$BO$8,0))</f>
        <v>1.548909723912465</v>
      </c>
      <c r="I2647">
        <f t="shared" si="350"/>
        <v>67253.973804543406</v>
      </c>
      <c r="J2647">
        <f t="shared" si="351"/>
        <v>2895.0800047883145</v>
      </c>
      <c r="K2647">
        <f t="shared" si="352"/>
        <v>23.230437049514613</v>
      </c>
      <c r="L2647" s="4">
        <f>MIN(MAX(L2646*(1+MAX(MIN(((B2647-B2646)/B2646)/($K$7*卓尔金历!$N$40),0),-卓尔金历!$M$43))+MIN(MAX(((B2647-B2646)/B2646)/($K$7*卓尔金历!$N$40),0),卓尔金历!$M$43),0),1)</f>
        <v>0.71118137514827806</v>
      </c>
      <c r="M2647" s="4">
        <f>MIN(MAX(M2646*(1+MAX(MIN(((B2647-B2646)/B2646)/($K$7*30),0),-卓尔金历!$M$43))+MIN(MAX(((B2647-B2646)/B2646)/($K$7*7),0),卓尔金历!$M$43),0),1)</f>
        <v>0.85559068757413903</v>
      </c>
      <c r="N2647">
        <f t="shared" si="353"/>
        <v>54476.044555522916</v>
      </c>
      <c r="O2647">
        <f t="shared" si="354"/>
        <v>121345.10266666616</v>
      </c>
      <c r="P2647">
        <f t="shared" si="355"/>
        <v>-1.8902929622793312E-2</v>
      </c>
      <c r="Q2647">
        <f t="shared" si="356"/>
        <v>3.7875773635377613E-2</v>
      </c>
      <c r="R2647">
        <f t="shared" si="357"/>
        <v>0.75808668992998074</v>
      </c>
      <c r="S2647">
        <f t="shared" ref="S2647:S2710" si="359">S2646*(1+(B2647-B2646)/B2646*H2646*R2646)</f>
        <v>513.35862140767767</v>
      </c>
      <c r="T2647" s="564">
        <f>IF((I2647-MAX(I$470:I2647))/MAX(I$470:I2647)&gt;T2646,T2646,(I2647-MAX(I$470:I2647))/MAX(I$470:I2647))</f>
        <v>-0.91338805338419748</v>
      </c>
      <c r="U2647" s="564">
        <f>IF((J2647-MAX(J$470:J2647))/MAX(J$470:J2647)&gt;U2646,U2646,(J2647-MAX(J$470:J2647))/MAX(J$470:J2647))</f>
        <v>-0.8283551177402233</v>
      </c>
      <c r="V2647" s="564">
        <f>IF((K2647-MAX(K$470:K2647))/MAX(K$470:K2647)&gt;V2646,V2646,(K2647-MAX(K$470:K2647))/MAX(K$470:K2647))</f>
        <v>-0.84885940676762139</v>
      </c>
      <c r="W2647" s="564">
        <f>IF((N2647-MAX(N$470:N2647))/MAX(N$470:N2647)&gt;W2646,W2646,(N2647-MAX(N$470:N2647))/MAX(N$470:N2647))</f>
        <v>-0.62788758315546067</v>
      </c>
      <c r="X2647" s="564">
        <f>IF((O2647-MAX(O$470:O2647))/MAX(O$470:O2647)&gt;X2646,X2646,(O2647-MAX(O$470:O2647))/MAX(O$470:O2647))</f>
        <v>-0.62788758315546067</v>
      </c>
    </row>
    <row r="2648" spans="1:24">
      <c r="A2648" s="799">
        <v>43050</v>
      </c>
      <c r="B2648">
        <v>6809.75</v>
      </c>
      <c r="C2648">
        <v>5124.8965740000003</v>
      </c>
      <c r="D2648">
        <v>2.7353589999999999</v>
      </c>
      <c r="E2648">
        <f>LN(D2648/参数实验室!$E$53)/参数实验室!$E$55</f>
        <v>0.494173377340616</v>
      </c>
      <c r="F2648">
        <f t="shared" si="358"/>
        <v>0.75258219082932565</v>
      </c>
      <c r="G2648">
        <f>LN(F2648/参数实验室!$E$58)/参数实验室!$E$59</f>
        <v>-0.33971719605051326</v>
      </c>
      <c r="H2648" s="856">
        <f>INDEX(神经网络!$G$10:$BO$70,MATCH(ROUND(G2648*2,1)/2,神经网络!$E$10:$E$70,0),MATCH(ROUND(E2648*2,1)/2,神经网络!$G$8:$BO$8,0))</f>
        <v>1.5089085797155188</v>
      </c>
      <c r="I2648">
        <f t="shared" ref="I2648:I2711" si="360">I2647*(1+(B2648-B2647)/B2647*H2647)</f>
        <v>60856.035930657672</v>
      </c>
      <c r="J2648">
        <f t="shared" ref="J2648:J2711" si="361">J2647*B2648/B2647</f>
        <v>2717.2698615378458</v>
      </c>
      <c r="K2648">
        <f t="shared" ref="K2648:K2711" si="362">I2648/J2648</f>
        <v>22.396022122078094</v>
      </c>
      <c r="L2648" s="4">
        <f>MIN(MAX(L2647*(1+MAX(MIN(((B2648-B2647)/B2647)/($K$7*卓尔金历!$N$40),0),-卓尔金历!$M$43))+MIN(MAX(((B2648-B2647)/B2647)/($K$7*卓尔金历!$N$40),0),卓尔金历!$M$43),0),1)</f>
        <v>4.3802562450972728E-2</v>
      </c>
      <c r="M2648" s="4">
        <f>MIN(MAX(M2647*(1+MAX(MIN(((B2648-B2647)/B2647)/($K$7*30),0),-卓尔金历!$M$43))+MIN(MAX(((B2648-B2647)/B2647)/($K$7*7),0),卓尔金历!$M$43),0),1)</f>
        <v>0.45414380132163518</v>
      </c>
      <c r="N2648">
        <f t="shared" ref="N2648:N2711" si="363">N2647*(1+(B2648-B2647)/B2647*H2647*L2647)</f>
        <v>50790.446168401177</v>
      </c>
      <c r="O2648">
        <f t="shared" ref="O2648:O2711" si="364">O2647*(1+(B2648-B2647)/B2647*H2647*M2647)</f>
        <v>111468.43659359166</v>
      </c>
      <c r="P2648">
        <f t="shared" ref="P2648:P2711" si="365">(B2648-B2647)/B2647</f>
        <v>-6.1418041282582762E-2</v>
      </c>
      <c r="Q2648">
        <f t="shared" si="356"/>
        <v>3.8485662090901651E-2</v>
      </c>
      <c r="R2648">
        <f t="shared" si="357"/>
        <v>2.0171960378058025E-2</v>
      </c>
      <c r="S2648">
        <f t="shared" si="359"/>
        <v>476.33645744694269</v>
      </c>
      <c r="T2648" s="564">
        <f>IF((I2648-MAX(I$470:I2648))/MAX(I$470:I2648)&gt;T2647,T2647,(I2648-MAX(I$470:I2648))/MAX(I$470:I2648))</f>
        <v>-0.91338805338419748</v>
      </c>
      <c r="U2648" s="564">
        <f>IF((J2648-MAX(J$470:J2648))/MAX(J$470:J2648)&gt;U2647,U2647,(J2648-MAX(J$470:J2648))/MAX(J$470:J2648))</f>
        <v>-0.8283551177402233</v>
      </c>
      <c r="V2648" s="564">
        <f>IF((K2648-MAX(K$470:K2648))/MAX(K$470:K2648)&gt;V2647,V2647,(K2648-MAX(K$470:K2648))/MAX(K$470:K2648))</f>
        <v>-0.84885940676762139</v>
      </c>
      <c r="W2648" s="564">
        <f>IF((N2648-MAX(N$470:N2648))/MAX(N$470:N2648)&gt;W2647,W2647,(N2648-MAX(N$470:N2648))/MAX(N$470:N2648))</f>
        <v>-0.62788758315546067</v>
      </c>
      <c r="X2648" s="564">
        <f>IF((O2648-MAX(O$470:O2648))/MAX(O$470:O2648)&gt;X2647,X2647,(O2648-MAX(O$470:O2648))/MAX(O$470:O2648))</f>
        <v>-0.62788758315546067</v>
      </c>
    </row>
    <row r="2649" spans="1:24">
      <c r="A2649" s="799">
        <v>43051</v>
      </c>
      <c r="B2649">
        <v>6170.53</v>
      </c>
      <c r="C2649">
        <v>5323.6391100000001</v>
      </c>
      <c r="D2649">
        <v>2.4696980000000002</v>
      </c>
      <c r="E2649">
        <f>LN(D2649/参数实验室!$E$53)/参数实验室!$E$55</f>
        <v>0.37364174859879384</v>
      </c>
      <c r="F2649">
        <f t="shared" si="358"/>
        <v>0.86275232597524043</v>
      </c>
      <c r="G2649">
        <f>LN(F2649/参数实验室!$E$58)/参数实验室!$E$59</f>
        <v>-0.2680129784090341</v>
      </c>
      <c r="H2649" s="856">
        <f>INDEX(神经网络!$G$10:$BO$70,MATCH(ROUND(G2649*2,1)/2,神经网络!$E$10:$E$70,0),MATCH(ROUND(E2649*2,1)/2,神经网络!$G$8:$BO$8,0))</f>
        <v>1.3296591039019521</v>
      </c>
      <c r="I2649">
        <f t="shared" si="360"/>
        <v>52236.46249495486</v>
      </c>
      <c r="J2649">
        <f t="shared" si="361"/>
        <v>2462.2042216990526</v>
      </c>
      <c r="K2649">
        <f t="shared" si="362"/>
        <v>21.215324884346476</v>
      </c>
      <c r="L2649" s="4">
        <f>MIN(MAX(L2648*(1+MAX(MIN(((B2649-B2648)/B2648)/($K$7*卓尔金历!$N$40),0),-卓尔金历!$M$43))+MIN(MAX(((B2649-B2648)/B2648)/($K$7*卓尔金历!$N$40),0),卓尔金历!$M$43),0),1)</f>
        <v>0</v>
      </c>
      <c r="M2649" s="4">
        <f>MIN(MAX(M2648*(1+MAX(MIN(((B2649-B2648)/B2648)/($K$7*30),0),-卓尔金历!$M$43))+MIN(MAX(((B2649-B2648)/B2648)/($K$7*7),0),卓尔金历!$M$43),0),1)</f>
        <v>0.12847312204241185</v>
      </c>
      <c r="N2649">
        <f t="shared" si="363"/>
        <v>50475.335098863732</v>
      </c>
      <c r="O2649">
        <f t="shared" si="364"/>
        <v>104298.30023208869</v>
      </c>
      <c r="P2649">
        <f t="shared" si="365"/>
        <v>-9.3868350526818203E-2</v>
      </c>
      <c r="Q2649">
        <f t="shared" si="356"/>
        <v>4.3781160872569329E-2</v>
      </c>
      <c r="R2649">
        <f t="shared" si="357"/>
        <v>9.1330453051817941E-3</v>
      </c>
      <c r="S2649">
        <f t="shared" si="359"/>
        <v>474.97550157639984</v>
      </c>
      <c r="T2649" s="564">
        <f>IF((I2649-MAX(I$470:I2649))/MAX(I$470:I2649)&gt;T2648,T2648,(I2649-MAX(I$470:I2649))/MAX(I$470:I2649))</f>
        <v>-0.91338805338419748</v>
      </c>
      <c r="U2649" s="564">
        <f>IF((J2649-MAX(J$470:J2649))/MAX(J$470:J2649)&gt;U2648,U2648,(J2649-MAX(J$470:J2649))/MAX(J$470:J2649))</f>
        <v>-0.8283551177402233</v>
      </c>
      <c r="V2649" s="564">
        <f>IF((K2649-MAX(K$470:K2649))/MAX(K$470:K2649)&gt;V2648,V2648,(K2649-MAX(K$470:K2649))/MAX(K$470:K2649))</f>
        <v>-0.84885940676762139</v>
      </c>
      <c r="W2649" s="564">
        <f>IF((N2649-MAX(N$470:N2649))/MAX(N$470:N2649)&gt;W2648,W2648,(N2649-MAX(N$470:N2649))/MAX(N$470:N2649))</f>
        <v>-0.62788758315546067</v>
      </c>
      <c r="X2649" s="564">
        <f>IF((O2649-MAX(O$470:O2649))/MAX(O$470:O2649)&gt;X2648,X2648,(O2649-MAX(O$470:O2649))/MAX(O$470:O2649))</f>
        <v>-0.62788758315546067</v>
      </c>
    </row>
    <row r="2650" spans="1:24">
      <c r="A2650" s="799">
        <v>43052</v>
      </c>
      <c r="B2650">
        <v>6008.72</v>
      </c>
      <c r="C2650">
        <v>5329.0465679999998</v>
      </c>
      <c r="D2650">
        <v>2.7266430000000001</v>
      </c>
      <c r="E2650">
        <f>LN(D2650/参数实验室!$E$53)/参数实验室!$E$55</f>
        <v>0.49040818721342894</v>
      </c>
      <c r="F2650">
        <f t="shared" si="358"/>
        <v>0.88688548775779197</v>
      </c>
      <c r="G2650">
        <f>LN(F2650/参数实验室!$E$58)/参数实验室!$E$59</f>
        <v>-0.25353319202114205</v>
      </c>
      <c r="H2650" s="856">
        <f>INDEX(神经网络!$G$10:$BO$70,MATCH(ROUND(G2650*2,1)/2,神经网络!$E$10:$E$70,0),MATCH(ROUND(E2650*2,1)/2,神经网络!$G$8:$BO$8,0))</f>
        <v>1.597205920961033</v>
      </c>
      <c r="I2650">
        <f t="shared" si="360"/>
        <v>50415.097608786455</v>
      </c>
      <c r="J2650">
        <f t="shared" si="361"/>
        <v>2397.6377638561894</v>
      </c>
      <c r="K2650">
        <f t="shared" si="362"/>
        <v>21.026986798749121</v>
      </c>
      <c r="L2650" s="4">
        <f>MIN(MAX(L2649*(1+MAX(MIN(((B2650-B2649)/B2649)/($K$7*卓尔金历!$N$40),0),-卓尔金历!$M$43))+MIN(MAX(((B2650-B2649)/B2649)/($K$7*卓尔金历!$N$40),0),卓尔金历!$M$43),0),1)</f>
        <v>0</v>
      </c>
      <c r="M2650" s="4">
        <f>MIN(MAX(M2649*(1+MAX(MIN(((B2650-B2649)/B2649)/($K$7*30),0),-卓尔金历!$M$43))+MIN(MAX(((B2650-B2649)/B2649)/($K$7*7),0),卓尔金历!$M$43),0),1)</f>
        <v>0.10273592481353853</v>
      </c>
      <c r="N2650">
        <f t="shared" si="363"/>
        <v>50475.335098863732</v>
      </c>
      <c r="O2650">
        <f t="shared" si="364"/>
        <v>103831.08960777841</v>
      </c>
      <c r="P2650">
        <f t="shared" si="365"/>
        <v>-2.6223031084850003E-2</v>
      </c>
      <c r="Q2650">
        <f t="shared" si="356"/>
        <v>4.4182583386674308E-2</v>
      </c>
      <c r="R2650">
        <f t="shared" si="357"/>
        <v>0.58831406511002804</v>
      </c>
      <c r="S2650">
        <f t="shared" si="359"/>
        <v>474.82424647772535</v>
      </c>
      <c r="T2650" s="564">
        <f>IF((I2650-MAX(I$470:I2650))/MAX(I$470:I2650)&gt;T2649,T2649,(I2650-MAX(I$470:I2650))/MAX(I$470:I2650))</f>
        <v>-0.91338805338419748</v>
      </c>
      <c r="U2650" s="564">
        <f>IF((J2650-MAX(J$470:J2650))/MAX(J$470:J2650)&gt;U2649,U2649,(J2650-MAX(J$470:J2650))/MAX(J$470:J2650))</f>
        <v>-0.8283551177402233</v>
      </c>
      <c r="V2650" s="564">
        <f>IF((K2650-MAX(K$470:K2650))/MAX(K$470:K2650)&gt;V2649,V2649,(K2650-MAX(K$470:K2650))/MAX(K$470:K2650))</f>
        <v>-0.84885940676762139</v>
      </c>
      <c r="W2650" s="564">
        <f>IF((N2650-MAX(N$470:N2650))/MAX(N$470:N2650)&gt;W2649,W2649,(N2650-MAX(N$470:N2650))/MAX(N$470:N2650))</f>
        <v>-0.62788758315546067</v>
      </c>
      <c r="X2650" s="564">
        <f>IF((O2650-MAX(O$470:O2650))/MAX(O$470:O2650)&gt;X2649,X2649,(O2650-MAX(O$470:O2650))/MAX(O$470:O2650))</f>
        <v>-0.62788758315546067</v>
      </c>
    </row>
    <row r="2651" spans="1:24">
      <c r="A2651" s="799">
        <v>43053</v>
      </c>
      <c r="B2651">
        <v>6657.83</v>
      </c>
      <c r="C2651">
        <v>5581.2735759999996</v>
      </c>
      <c r="D2651">
        <v>2.7407119999999998</v>
      </c>
      <c r="E2651">
        <f>LN(D2651/参数实验室!$E$53)/参数实验室!$E$55</f>
        <v>0.49647985624729951</v>
      </c>
      <c r="F2651">
        <f t="shared" si="358"/>
        <v>0.8383022059740185</v>
      </c>
      <c r="G2651">
        <f>LN(F2651/参数实验室!$E$58)/参数实验室!$E$59</f>
        <v>-0.28310200459079699</v>
      </c>
      <c r="H2651" s="856">
        <f>INDEX(神经网络!$G$10:$BO$70,MATCH(ROUND(G2651*2,1)/2,神经网络!$E$10:$E$70,0),MATCH(ROUND(E2651*2,1)/2,神经网络!$G$8:$BO$8,0))</f>
        <v>1.5537769892672737</v>
      </c>
      <c r="I2651">
        <f t="shared" si="360"/>
        <v>59113.867785136244</v>
      </c>
      <c r="J2651">
        <f t="shared" si="361"/>
        <v>2656.649774550096</v>
      </c>
      <c r="K2651">
        <f t="shared" si="362"/>
        <v>22.251283684973938</v>
      </c>
      <c r="L2651" s="4">
        <f>MIN(MAX(L2650*(1+MAX(MIN(((B2651-B2650)/B2650)/($K$7*卓尔金历!$N$40),0),-卓尔金历!$M$43))+MIN(MAX(((B2651-B2650)/B2650)/($K$7*卓尔金历!$N$40),0),卓尔金历!$M$43),0),1)</f>
        <v>1</v>
      </c>
      <c r="M2651" s="4">
        <f>MIN(MAX(M2650*(1+MAX(MIN(((B2651-B2650)/B2650)/($K$7*30),0),-卓尔金历!$M$43))+MIN(MAX(((B2651-B2650)/B2650)/($K$7*7),0),卓尔金历!$M$43),0),1)</f>
        <v>1</v>
      </c>
      <c r="N2651">
        <f t="shared" si="363"/>
        <v>50475.335098863732</v>
      </c>
      <c r="O2651">
        <f t="shared" si="364"/>
        <v>105671.63694141229</v>
      </c>
      <c r="P2651">
        <f t="shared" si="365"/>
        <v>0.10802799930767279</v>
      </c>
      <c r="Q2651">
        <f t="shared" si="356"/>
        <v>4.7387508510124125E-2</v>
      </c>
      <c r="R2651">
        <f t="shared" si="357"/>
        <v>7.7747302909091055E-3</v>
      </c>
      <c r="S2651">
        <f t="shared" si="359"/>
        <v>523.02339471565347</v>
      </c>
      <c r="T2651" s="564">
        <f>IF((I2651-MAX(I$470:I2651))/MAX(I$470:I2651)&gt;T2650,T2650,(I2651-MAX(I$470:I2651))/MAX(I$470:I2651))</f>
        <v>-0.91338805338419748</v>
      </c>
      <c r="U2651" s="564">
        <f>IF((J2651-MAX(J$470:J2651))/MAX(J$470:J2651)&gt;U2650,U2650,(J2651-MAX(J$470:J2651))/MAX(J$470:J2651))</f>
        <v>-0.8283551177402233</v>
      </c>
      <c r="V2651" s="564">
        <f>IF((K2651-MAX(K$470:K2651))/MAX(K$470:K2651)&gt;V2650,V2650,(K2651-MAX(K$470:K2651))/MAX(K$470:K2651))</f>
        <v>-0.84885940676762139</v>
      </c>
      <c r="W2651" s="564">
        <f>IF((N2651-MAX(N$470:N2651))/MAX(N$470:N2651)&gt;W2650,W2650,(N2651-MAX(N$470:N2651))/MAX(N$470:N2651))</f>
        <v>-0.62788758315546067</v>
      </c>
      <c r="X2651" s="564">
        <f>IF((O2651-MAX(O$470:O2651))/MAX(O$470:O2651)&gt;X2650,X2650,(O2651-MAX(O$470:O2651))/MAX(O$470:O2651))</f>
        <v>-0.62788758315546067</v>
      </c>
    </row>
    <row r="2652" spans="1:24">
      <c r="A2652" s="799">
        <v>43054</v>
      </c>
      <c r="B2652">
        <v>6925.58</v>
      </c>
      <c r="C2652">
        <v>5669.0383590000001</v>
      </c>
      <c r="D2652">
        <v>2.9761479999999998</v>
      </c>
      <c r="E2652">
        <f>LN(D2652/参数实验室!$E$53)/参数实验室!$E$55</f>
        <v>0.59370580594860367</v>
      </c>
      <c r="F2652">
        <f t="shared" si="358"/>
        <v>0.81856513952622023</v>
      </c>
      <c r="G2652">
        <f>LN(F2652/参数实验室!$E$58)/参数实验室!$E$59</f>
        <v>-0.29560701193042693</v>
      </c>
      <c r="H2652" s="856">
        <f>INDEX(神经网络!$G$10:$BO$70,MATCH(ROUND(G2652*2,1)/2,神经网络!$E$10:$E$70,0),MATCH(ROUND(E2652*2,1)/2,神经网络!$G$8:$BO$8,0))</f>
        <v>1.7183856971198417</v>
      </c>
      <c r="I2652">
        <f t="shared" si="360"/>
        <v>62807.6802211861</v>
      </c>
      <c r="J2652">
        <f t="shared" si="361"/>
        <v>2763.4890866286246</v>
      </c>
      <c r="K2652">
        <f t="shared" si="362"/>
        <v>22.727674418938857</v>
      </c>
      <c r="L2652" s="4">
        <f>MIN(MAX(L2651*(1+MAX(MIN(((B2652-B2651)/B2651)/($K$7*卓尔金历!$N$40),0),-卓尔金历!$M$43))+MIN(MAX(((B2652-B2651)/B2651)/($K$7*卓尔金历!$N$40),0),卓尔金历!$M$43),0),1)</f>
        <v>1</v>
      </c>
      <c r="M2652" s="4">
        <f>MIN(MAX(M2651*(1+MAX(MIN(((B2652-B2651)/B2651)/($K$7*30),0),-卓尔金历!$M$43))+MIN(MAX(((B2652-B2651)/B2651)/($K$7*7),0),卓尔金历!$M$43),0),1)</f>
        <v>1</v>
      </c>
      <c r="N2652">
        <f t="shared" si="363"/>
        <v>53629.356777493384</v>
      </c>
      <c r="O2652">
        <f t="shared" si="364"/>
        <v>112274.6764868991</v>
      </c>
      <c r="P2652">
        <f t="shared" si="365"/>
        <v>4.0215806050920497E-2</v>
      </c>
      <c r="Q2652">
        <f t="shared" si="356"/>
        <v>4.6321999525147581E-2</v>
      </c>
      <c r="R2652">
        <f t="shared" si="357"/>
        <v>0.19544295591581481</v>
      </c>
      <c r="S2652">
        <f t="shared" si="359"/>
        <v>523.27748725322954</v>
      </c>
      <c r="T2652" s="564">
        <f>IF((I2652-MAX(I$470:I2652))/MAX(I$470:I2652)&gt;T2651,T2651,(I2652-MAX(I$470:I2652))/MAX(I$470:I2652))</f>
        <v>-0.91338805338419748</v>
      </c>
      <c r="U2652" s="564">
        <f>IF((J2652-MAX(J$470:J2652))/MAX(J$470:J2652)&gt;U2651,U2651,(J2652-MAX(J$470:J2652))/MAX(J$470:J2652))</f>
        <v>-0.8283551177402233</v>
      </c>
      <c r="V2652" s="564">
        <f>IF((K2652-MAX(K$470:K2652))/MAX(K$470:K2652)&gt;V2651,V2651,(K2652-MAX(K$470:K2652))/MAX(K$470:K2652))</f>
        <v>-0.84885940676762139</v>
      </c>
      <c r="W2652" s="564">
        <f>IF((N2652-MAX(N$470:N2652))/MAX(N$470:N2652)&gt;W2651,W2651,(N2652-MAX(N$470:N2652))/MAX(N$470:N2652))</f>
        <v>-0.62788758315546067</v>
      </c>
      <c r="X2652" s="564">
        <f>IF((O2652-MAX(O$470:O2652))/MAX(O$470:O2652)&gt;X2651,X2651,(O2652-MAX(O$470:O2652))/MAX(O$470:O2652))</f>
        <v>-0.62788758315546067</v>
      </c>
    </row>
    <row r="2653" spans="1:24">
      <c r="A2653" s="799">
        <v>43055</v>
      </c>
      <c r="B2653">
        <v>7224.09</v>
      </c>
      <c r="C2653">
        <v>5718.622136</v>
      </c>
      <c r="D2653">
        <v>3.1556220000000001</v>
      </c>
      <c r="E2653">
        <f>LN(D2653/参数实验室!$E$53)/参数实验室!$E$55</f>
        <v>0.66278717385329711</v>
      </c>
      <c r="F2653">
        <f t="shared" si="358"/>
        <v>0.79160449772912578</v>
      </c>
      <c r="G2653">
        <f>LN(F2653/参数实验室!$E$58)/参数实验室!$E$59</f>
        <v>-0.31318494179820927</v>
      </c>
      <c r="H2653" s="856">
        <f>INDEX(神经网络!$G$10:$BO$70,MATCH(ROUND(G2653*2,1)/2,神经网络!$E$10:$E$70,0),MATCH(ROUND(E2653*2,1)/2,神经网络!$G$8:$BO$8,0))</f>
        <v>1.7914855071021871</v>
      </c>
      <c r="I2653">
        <f t="shared" si="360"/>
        <v>67459.641985769063</v>
      </c>
      <c r="J2653">
        <f t="shared" si="361"/>
        <v>2882.6024500219446</v>
      </c>
      <c r="K2653">
        <f t="shared" si="362"/>
        <v>23.402339779894209</v>
      </c>
      <c r="L2653" s="4">
        <f>MIN(MAX(L2652*(1+MAX(MIN(((B2653-B2652)/B2652)/($K$7*卓尔金历!$N$40),0),-卓尔金历!$M$43))+MIN(MAX(((B2653-B2652)/B2652)/($K$7*卓尔金历!$N$40),0),卓尔金历!$M$43),0),1)</f>
        <v>1</v>
      </c>
      <c r="M2653" s="4">
        <f>MIN(MAX(M2652*(1+MAX(MIN(((B2653-B2652)/B2652)/($K$7*30),0),-卓尔金历!$M$43))+MIN(MAX(((B2653-B2652)/B2652)/($K$7*7),0),卓尔金历!$M$43),0),1)</f>
        <v>1</v>
      </c>
      <c r="N2653">
        <f t="shared" si="363"/>
        <v>57601.509805745547</v>
      </c>
      <c r="O2653">
        <f t="shared" si="364"/>
        <v>120590.49869699559</v>
      </c>
      <c r="P2653">
        <f t="shared" si="365"/>
        <v>4.3102527152960507E-2</v>
      </c>
      <c r="Q2653">
        <f t="shared" si="356"/>
        <v>4.563377563241075E-2</v>
      </c>
      <c r="R2653">
        <f t="shared" si="357"/>
        <v>0.10603194019437094</v>
      </c>
      <c r="S2653">
        <f t="shared" si="359"/>
        <v>530.8523620059849</v>
      </c>
      <c r="T2653" s="564">
        <f>IF((I2653-MAX(I$470:I2653))/MAX(I$470:I2653)&gt;T2652,T2652,(I2653-MAX(I$470:I2653))/MAX(I$470:I2653))</f>
        <v>-0.91338805338419748</v>
      </c>
      <c r="U2653" s="564">
        <f>IF((J2653-MAX(J$470:J2653))/MAX(J$470:J2653)&gt;U2652,U2652,(J2653-MAX(J$470:J2653))/MAX(J$470:J2653))</f>
        <v>-0.8283551177402233</v>
      </c>
      <c r="V2653" s="564">
        <f>IF((K2653-MAX(K$470:K2653))/MAX(K$470:K2653)&gt;V2652,V2652,(K2653-MAX(K$470:K2653))/MAX(K$470:K2653))</f>
        <v>-0.84885940676762139</v>
      </c>
      <c r="W2653" s="564">
        <f>IF((N2653-MAX(N$470:N2653))/MAX(N$470:N2653)&gt;W2652,W2652,(N2653-MAX(N$470:N2653))/MAX(N$470:N2653))</f>
        <v>-0.62788758315546067</v>
      </c>
      <c r="X2653" s="564">
        <f>IF((O2653-MAX(O$470:O2653))/MAX(O$470:O2653)&gt;X2652,X2652,(O2653-MAX(O$470:O2653))/MAX(O$470:O2653))</f>
        <v>-0.62788758315546067</v>
      </c>
    </row>
    <row r="2654" spans="1:24">
      <c r="A2654" s="799">
        <v>43056</v>
      </c>
      <c r="B2654">
        <v>7931.87</v>
      </c>
      <c r="C2654">
        <v>5657.633793</v>
      </c>
      <c r="D2654">
        <v>3.065518</v>
      </c>
      <c r="E2654">
        <f>LN(D2654/参数实验室!$E$53)/参数实验室!$E$55</f>
        <v>0.62861082668950152</v>
      </c>
      <c r="F2654">
        <f t="shared" si="358"/>
        <v>0.71327868371518954</v>
      </c>
      <c r="G2654">
        <f>LN(F2654/参数实验室!$E$58)/参数实验室!$E$59</f>
        <v>-0.36786932222739493</v>
      </c>
      <c r="H2654" s="856">
        <f>INDEX(神经网络!$G$10:$BO$70,MATCH(ROUND(G2654*2,1)/2,神经网络!$E$10:$E$70,0),MATCH(ROUND(E2654*2,1)/2,神经网络!$G$8:$BO$8,0))</f>
        <v>1.752216802180705</v>
      </c>
      <c r="I2654">
        <f t="shared" si="360"/>
        <v>79300.208170037891</v>
      </c>
      <c r="J2654">
        <f t="shared" si="361"/>
        <v>3165.0253381748512</v>
      </c>
      <c r="K2654">
        <f t="shared" si="362"/>
        <v>25.055157446470012</v>
      </c>
      <c r="L2654" s="4">
        <f>MIN(MAX(L2653*(1+MAX(MIN(((B2654-B2653)/B2653)/($K$7*卓尔金历!$N$40),0),-卓尔金历!$M$43))+MIN(MAX(((B2654-B2653)/B2653)/($K$7*卓尔金历!$N$40),0),卓尔金历!$M$43),0),1)</f>
        <v>1</v>
      </c>
      <c r="M2654" s="4">
        <f>MIN(MAX(M2653*(1+MAX(MIN(((B2654-B2653)/B2653)/($K$7*30),0),-卓尔金历!$M$43))+MIN(MAX(((B2654-B2653)/B2653)/($K$7*7),0),卓尔金历!$M$43),0),1)</f>
        <v>1</v>
      </c>
      <c r="N2654">
        <f t="shared" si="363"/>
        <v>67711.76934896427</v>
      </c>
      <c r="O2654">
        <f t="shared" si="364"/>
        <v>141756.63209149204</v>
      </c>
      <c r="P2654">
        <f t="shared" si="365"/>
        <v>9.7974969857795205E-2</v>
      </c>
      <c r="Q2654">
        <f t="shared" si="356"/>
        <v>4.8880147806160949E-2</v>
      </c>
      <c r="R2654">
        <f t="shared" si="357"/>
        <v>1.3902754244697861E-2</v>
      </c>
      <c r="S2654">
        <f t="shared" si="359"/>
        <v>540.73195150909555</v>
      </c>
      <c r="T2654" s="564">
        <f>IF((I2654-MAX(I$470:I2654))/MAX(I$470:I2654)&gt;T2653,T2653,(I2654-MAX(I$470:I2654))/MAX(I$470:I2654))</f>
        <v>-0.91338805338419748</v>
      </c>
      <c r="U2654" s="564">
        <f>IF((J2654-MAX(J$470:J2654))/MAX(J$470:J2654)&gt;U2653,U2653,(J2654-MAX(J$470:J2654))/MAX(J$470:J2654))</f>
        <v>-0.8283551177402233</v>
      </c>
      <c r="V2654" s="564">
        <f>IF((K2654-MAX(K$470:K2654))/MAX(K$470:K2654)&gt;V2653,V2653,(K2654-MAX(K$470:K2654))/MAX(K$470:K2654))</f>
        <v>-0.84885940676762139</v>
      </c>
      <c r="W2654" s="564">
        <f>IF((N2654-MAX(N$470:N2654))/MAX(N$470:N2654)&gt;W2653,W2653,(N2654-MAX(N$470:N2654))/MAX(N$470:N2654))</f>
        <v>-0.62788758315546067</v>
      </c>
      <c r="X2654" s="564">
        <f>IF((O2654-MAX(O$470:O2654))/MAX(O$470:O2654)&gt;X2653,X2653,(O2654-MAX(O$470:O2654))/MAX(O$470:O2654))</f>
        <v>-0.62788758315546067</v>
      </c>
    </row>
    <row r="2655" spans="1:24">
      <c r="A2655" s="799">
        <v>43057</v>
      </c>
      <c r="B2655">
        <v>7502.46</v>
      </c>
      <c r="C2655">
        <v>5827.6451340000003</v>
      </c>
      <c r="D2655">
        <v>3.067482</v>
      </c>
      <c r="E2655">
        <f>LN(D2655/参数实验室!$E$53)/参数实验室!$E$55</f>
        <v>0.62936642279266986</v>
      </c>
      <c r="F2655">
        <f t="shared" si="358"/>
        <v>0.77676457242024621</v>
      </c>
      <c r="G2655">
        <f>LN(F2655/参数实验室!$E$58)/参数实验室!$E$59</f>
        <v>-0.32311758762861126</v>
      </c>
      <c r="H2655" s="856">
        <f>INDEX(神经网络!$G$10:$BO$70,MATCH(ROUND(G2655*2,1)/2,神经网络!$E$10:$E$70,0),MATCH(ROUND(E2655*2,1)/2,神经网络!$G$8:$BO$8,0))</f>
        <v>1.7914855071021871</v>
      </c>
      <c r="I2655">
        <f t="shared" si="360"/>
        <v>71777.768139980064</v>
      </c>
      <c r="J2655">
        <f t="shared" si="361"/>
        <v>2993.679422209806</v>
      </c>
      <c r="K2655">
        <f t="shared" si="362"/>
        <v>23.976437693183858</v>
      </c>
      <c r="L2655" s="4">
        <f>MIN(MAX(L2654*(1+MAX(MIN(((B2655-B2654)/B2654)/($K$7*卓尔金历!$N$40),0),-卓尔金历!$M$43))+MIN(MAX(((B2655-B2654)/B2654)/($K$7*卓尔金历!$N$40),0),卓尔金历!$M$43),0),1)</f>
        <v>0.17283405728417345</v>
      </c>
      <c r="M2655" s="4">
        <f>MIN(MAX(M2654*(1+MAX(MIN(((B2655-B2654)/B2654)/($K$7*30),0),-卓尔金历!$M$43))+MIN(MAX(((B2655-B2654)/B2654)/($K$7*7),0),卓尔金历!$M$43),0),1)</f>
        <v>0.58641702864208667</v>
      </c>
      <c r="N2655">
        <f t="shared" si="363"/>
        <v>61288.611881779427</v>
      </c>
      <c r="O2655">
        <f t="shared" si="364"/>
        <v>128309.55813823447</v>
      </c>
      <c r="P2655">
        <f t="shared" si="365"/>
        <v>-5.4137296753476782E-2</v>
      </c>
      <c r="Q2655">
        <f t="shared" si="356"/>
        <v>5.0367271692782475E-2</v>
      </c>
      <c r="R2655">
        <f t="shared" si="357"/>
        <v>4.535189274271343E-2</v>
      </c>
      <c r="S2655">
        <f t="shared" si="359"/>
        <v>540.01882384330406</v>
      </c>
      <c r="T2655" s="564">
        <f>IF((I2655-MAX(I$470:I2655))/MAX(I$470:I2655)&gt;T2654,T2654,(I2655-MAX(I$470:I2655))/MAX(I$470:I2655))</f>
        <v>-0.91338805338419748</v>
      </c>
      <c r="U2655" s="564">
        <f>IF((J2655-MAX(J$470:J2655))/MAX(J$470:J2655)&gt;U2654,U2654,(J2655-MAX(J$470:J2655))/MAX(J$470:J2655))</f>
        <v>-0.8283551177402233</v>
      </c>
      <c r="V2655" s="564">
        <f>IF((K2655-MAX(K$470:K2655))/MAX(K$470:K2655)&gt;V2654,V2654,(K2655-MAX(K$470:K2655))/MAX(K$470:K2655))</f>
        <v>-0.84885940676762139</v>
      </c>
      <c r="W2655" s="564">
        <f>IF((N2655-MAX(N$470:N2655))/MAX(N$470:N2655)&gt;W2654,W2654,(N2655-MAX(N$470:N2655))/MAX(N$470:N2655))</f>
        <v>-0.62788758315546067</v>
      </c>
      <c r="X2655" s="564">
        <f>IF((O2655-MAX(O$470:O2655))/MAX(O$470:O2655)&gt;X2654,X2654,(O2655-MAX(O$470:O2655))/MAX(O$470:O2655))</f>
        <v>-0.62788758315546067</v>
      </c>
    </row>
    <row r="2656" spans="1:24">
      <c r="A2656" s="799">
        <v>43058</v>
      </c>
      <c r="B2656">
        <v>7804.51</v>
      </c>
      <c r="C2656">
        <v>5908.1727469999996</v>
      </c>
      <c r="D2656">
        <v>3.1266470000000002</v>
      </c>
      <c r="E2656">
        <f>LN(D2656/参数实验室!$E$53)/参数实验室!$E$55</f>
        <v>0.65190461131641597</v>
      </c>
      <c r="F2656">
        <f t="shared" si="358"/>
        <v>0.75702033144937986</v>
      </c>
      <c r="G2656">
        <f>LN(F2656/参数实验室!$E$58)/参数实验室!$E$59</f>
        <v>-0.3366311085208733</v>
      </c>
      <c r="H2656" s="856">
        <f>INDEX(神经网络!$G$10:$BO$70,MATCH(ROUND(G2656*2,1)/2,神经网络!$E$10:$E$70,0),MATCH(ROUND(E2656*2,1)/2,神经网络!$G$8:$BO$8,0))</f>
        <v>1.752216802180705</v>
      </c>
      <c r="I2656">
        <f t="shared" si="360"/>
        <v>76954.770951158294</v>
      </c>
      <c r="J2656">
        <f t="shared" si="361"/>
        <v>3114.205338972904</v>
      </c>
      <c r="K2656">
        <f t="shared" si="362"/>
        <v>24.710885306149642</v>
      </c>
      <c r="L2656" s="4">
        <f>MIN(MAX(L2655*(1+MAX(MIN(((B2656-B2655)/B2655)/($K$7*卓尔金历!$N$40),0),-卓尔金历!$M$43))+MIN(MAX(((B2656-B2655)/B2655)/($K$7*卓尔金历!$N$40),0),卓尔金历!$M$43),0),1)</f>
        <v>0.78797017854286699</v>
      </c>
      <c r="M2656" s="4">
        <f>MIN(MAX(M2655*(1+MAX(MIN(((B2656-B2655)/B2655)/($K$7*30),0),-卓尔金历!$M$43))+MIN(MAX(((B2656-B2655)/B2655)/($K$7*7),0),卓尔金历!$M$43),0),1)</f>
        <v>1</v>
      </c>
      <c r="N2656">
        <f t="shared" si="363"/>
        <v>62052.619274420351</v>
      </c>
      <c r="O2656">
        <f t="shared" si="364"/>
        <v>133736.48580406068</v>
      </c>
      <c r="P2656">
        <f t="shared" si="365"/>
        <v>4.0260128011345639E-2</v>
      </c>
      <c r="Q2656">
        <f t="shared" si="356"/>
        <v>5.0299435835868024E-2</v>
      </c>
      <c r="R2656">
        <f t="shared" si="357"/>
        <v>0.28421291251524922</v>
      </c>
      <c r="S2656">
        <f t="shared" si="359"/>
        <v>541.78523893305157</v>
      </c>
      <c r="T2656" s="564">
        <f>IF((I2656-MAX(I$470:I2656))/MAX(I$470:I2656)&gt;T2655,T2655,(I2656-MAX(I$470:I2656))/MAX(I$470:I2656))</f>
        <v>-0.91338805338419748</v>
      </c>
      <c r="U2656" s="564">
        <f>IF((J2656-MAX(J$470:J2656))/MAX(J$470:J2656)&gt;U2655,U2655,(J2656-MAX(J$470:J2656))/MAX(J$470:J2656))</f>
        <v>-0.8283551177402233</v>
      </c>
      <c r="V2656" s="564">
        <f>IF((K2656-MAX(K$470:K2656))/MAX(K$470:K2656)&gt;V2655,V2655,(K2656-MAX(K$470:K2656))/MAX(K$470:K2656))</f>
        <v>-0.84885940676762139</v>
      </c>
      <c r="W2656" s="564">
        <f>IF((N2656-MAX(N$470:N2656))/MAX(N$470:N2656)&gt;W2655,W2655,(N2656-MAX(N$470:N2656))/MAX(N$470:N2656))</f>
        <v>-0.62788758315546067</v>
      </c>
      <c r="X2656" s="564">
        <f>IF((O2656-MAX(O$470:O2656))/MAX(O$470:O2656)&gt;X2655,X2655,(O2656-MAX(O$470:O2656))/MAX(O$470:O2656))</f>
        <v>-0.62788758315546067</v>
      </c>
    </row>
    <row r="2657" spans="1:24">
      <c r="A2657" s="799">
        <v>43059</v>
      </c>
      <c r="B2657">
        <v>7974.75</v>
      </c>
      <c r="C2657">
        <v>5820.0718660000002</v>
      </c>
      <c r="D2657">
        <v>3.184018</v>
      </c>
      <c r="E2657">
        <f>LN(D2657/参数实验室!$E$53)/参数实验室!$E$55</f>
        <v>0.67335575413598059</v>
      </c>
      <c r="F2657">
        <f t="shared" si="358"/>
        <v>0.7298124538073294</v>
      </c>
      <c r="G2657">
        <f>LN(F2657/参数实验室!$E$58)/参数实验室!$E$59</f>
        <v>-0.35584209042095938</v>
      </c>
      <c r="H2657" s="856">
        <f>INDEX(神经网络!$G$10:$BO$70,MATCH(ROUND(G2657*2,1)/2,神经网络!$E$10:$E$70,0),MATCH(ROUND(E2657*2,1)/2,神经网络!$G$8:$BO$8,0))</f>
        <v>1.752216802180705</v>
      </c>
      <c r="I2657">
        <f t="shared" si="360"/>
        <v>79896.071199335347</v>
      </c>
      <c r="J2657">
        <f t="shared" si="361"/>
        <v>3182.1355891624416</v>
      </c>
      <c r="K2657">
        <f t="shared" si="362"/>
        <v>25.107689147955039</v>
      </c>
      <c r="L2657" s="4">
        <f>MIN(MAX(L2656*(1+MAX(MIN(((B2657-B2656)/B2656)/($K$7*卓尔金历!$N$40),0),-卓尔金历!$M$43))+MIN(MAX(((B2657-B2656)/B2656)/($K$7*卓尔金历!$N$40),0),卓尔金历!$M$43),0),1)</f>
        <v>1</v>
      </c>
      <c r="M2657" s="4">
        <f>MIN(MAX(M2656*(1+MAX(MIN(((B2657-B2656)/B2656)/($K$7*30),0),-卓尔金历!$M$43))+MIN(MAX(((B2657-B2656)/B2656)/($K$7*7),0),卓尔金历!$M$43),0),1)</f>
        <v>1</v>
      </c>
      <c r="N2657">
        <f t="shared" si="363"/>
        <v>63921.46610888643</v>
      </c>
      <c r="O2657">
        <f t="shared" si="364"/>
        <v>138848.04879130507</v>
      </c>
      <c r="P2657">
        <f t="shared" si="365"/>
        <v>2.1813028620630864E-2</v>
      </c>
      <c r="Q2657">
        <f t="shared" si="356"/>
        <v>4.8953519409664553E-2</v>
      </c>
      <c r="R2657">
        <f t="shared" si="357"/>
        <v>0.89932351045459313</v>
      </c>
      <c r="S2657">
        <f t="shared" si="359"/>
        <v>547.67062264854826</v>
      </c>
      <c r="T2657" s="564">
        <f>IF((I2657-MAX(I$470:I2657))/MAX(I$470:I2657)&gt;T2656,T2656,(I2657-MAX(I$470:I2657))/MAX(I$470:I2657))</f>
        <v>-0.91338805338419748</v>
      </c>
      <c r="U2657" s="564">
        <f>IF((J2657-MAX(J$470:J2657))/MAX(J$470:J2657)&gt;U2656,U2656,(J2657-MAX(J$470:J2657))/MAX(J$470:J2657))</f>
        <v>-0.8283551177402233</v>
      </c>
      <c r="V2657" s="564">
        <f>IF((K2657-MAX(K$470:K2657))/MAX(K$470:K2657)&gt;V2656,V2656,(K2657-MAX(K$470:K2657))/MAX(K$470:K2657))</f>
        <v>-0.84885940676762139</v>
      </c>
      <c r="W2657" s="564">
        <f>IF((N2657-MAX(N$470:N2657))/MAX(N$470:N2657)&gt;W2656,W2656,(N2657-MAX(N$470:N2657))/MAX(N$470:N2657))</f>
        <v>-0.62788758315546067</v>
      </c>
      <c r="X2657" s="564">
        <f>IF((O2657-MAX(O$470:O2657))/MAX(O$470:O2657)&gt;X2656,X2656,(O2657-MAX(O$470:O2657))/MAX(O$470:O2657))</f>
        <v>-0.62788758315546067</v>
      </c>
    </row>
    <row r="2658" spans="1:24">
      <c r="A2658" s="799">
        <v>43060</v>
      </c>
      <c r="B2658">
        <v>8072.38</v>
      </c>
      <c r="C2658">
        <v>5859.3208320000003</v>
      </c>
      <c r="D2658">
        <v>3.0769319999999998</v>
      </c>
      <c r="E2658">
        <f>LN(D2658/参数实验室!$E$53)/参数实验室!$E$55</f>
        <v>0.63299530487837052</v>
      </c>
      <c r="F2658">
        <f t="shared" si="358"/>
        <v>0.72584799427182567</v>
      </c>
      <c r="G2658">
        <f>LN(F2658/参数实验室!$E$58)/参数实验室!$E$59</f>
        <v>-0.35870095460619078</v>
      </c>
      <c r="H2658" s="856">
        <f>INDEX(神经网络!$G$10:$BO$70,MATCH(ROUND(G2658*2,1)/2,神经网络!$E$10:$E$70,0),MATCH(ROUND(E2658*2,1)/2,神经网络!$G$8:$BO$8,0))</f>
        <v>1.752216802180705</v>
      </c>
      <c r="I2658">
        <f t="shared" si="360"/>
        <v>81609.947511871884</v>
      </c>
      <c r="J2658">
        <f t="shared" si="361"/>
        <v>3221.0925342165096</v>
      </c>
      <c r="K2658">
        <f t="shared" si="362"/>
        <v>25.336107747591448</v>
      </c>
      <c r="L2658" s="4">
        <f>MIN(MAX(L2657*(1+MAX(MIN(((B2658-B2657)/B2657)/($K$7*卓尔金历!$N$40),0),-卓尔金历!$M$43))+MIN(MAX(((B2658-B2657)/B2657)/($K$7*卓尔金历!$N$40),0),卓尔金历!$M$43),0),1)</f>
        <v>1</v>
      </c>
      <c r="M2658" s="4">
        <f>MIN(MAX(M2657*(1+MAX(MIN(((B2658-B2657)/B2657)/($K$7*30),0),-卓尔金历!$M$43))+MIN(MAX(((B2658-B2657)/B2657)/($K$7*7),0),卓尔金历!$M$43),0),1)</f>
        <v>1</v>
      </c>
      <c r="N2658">
        <f t="shared" si="363"/>
        <v>65292.666031261826</v>
      </c>
      <c r="O2658">
        <f t="shared" si="364"/>
        <v>141826.52293018508</v>
      </c>
      <c r="P2658">
        <f t="shared" si="365"/>
        <v>1.2242390043575047E-2</v>
      </c>
      <c r="Q2658">
        <f t="shared" si="356"/>
        <v>4.8883586656229827E-2</v>
      </c>
      <c r="R2658">
        <f t="shared" si="357"/>
        <v>1</v>
      </c>
      <c r="S2658">
        <f t="shared" si="359"/>
        <v>558.23610783306515</v>
      </c>
      <c r="T2658" s="564">
        <f>IF((I2658-MAX(I$470:I2658))/MAX(I$470:I2658)&gt;T2657,T2657,(I2658-MAX(I$470:I2658))/MAX(I$470:I2658))</f>
        <v>-0.91338805338419748</v>
      </c>
      <c r="U2658" s="564">
        <f>IF((J2658-MAX(J$470:J2658))/MAX(J$470:J2658)&gt;U2657,U2657,(J2658-MAX(J$470:J2658))/MAX(J$470:J2658))</f>
        <v>-0.8283551177402233</v>
      </c>
      <c r="V2658" s="564">
        <f>IF((K2658-MAX(K$470:K2658))/MAX(K$470:K2658)&gt;V2657,V2657,(K2658-MAX(K$470:K2658))/MAX(K$470:K2658))</f>
        <v>-0.84885940676762139</v>
      </c>
      <c r="W2658" s="564">
        <f>IF((N2658-MAX(N$470:N2658))/MAX(N$470:N2658)&gt;W2657,W2657,(N2658-MAX(N$470:N2658))/MAX(N$470:N2658))</f>
        <v>-0.62788758315546067</v>
      </c>
      <c r="X2658" s="564">
        <f>IF((O2658-MAX(O$470:O2658))/MAX(O$470:O2658)&gt;X2657,X2657,(O2658-MAX(O$470:O2658))/MAX(O$470:O2658))</f>
        <v>-0.62788758315546067</v>
      </c>
    </row>
    <row r="2659" spans="1:24">
      <c r="A2659" s="799">
        <v>43061</v>
      </c>
      <c r="B2659">
        <v>8155.57</v>
      </c>
      <c r="C2659">
        <v>5957.0027090000003</v>
      </c>
      <c r="D2659">
        <v>3.113683</v>
      </c>
      <c r="E2659">
        <f>LN(D2659/参数实验室!$E$53)/参数实验室!$E$55</f>
        <v>0.64700283751361853</v>
      </c>
      <c r="F2659">
        <f t="shared" si="358"/>
        <v>0.73042138182861538</v>
      </c>
      <c r="G2659">
        <f>LN(F2659/参数实验室!$E$58)/参数实验室!$E$59</f>
        <v>-0.35540435456709335</v>
      </c>
      <c r="H2659" s="856">
        <f>INDEX(神经网络!$G$10:$BO$70,MATCH(ROUND(G2659*2,1)/2,神经网络!$E$10:$E$70,0),MATCH(ROUND(E2659*2,1)/2,神经网络!$G$8:$BO$8,0))</f>
        <v>1.752216802180705</v>
      </c>
      <c r="I2659">
        <f t="shared" si="360"/>
        <v>83083.618268852559</v>
      </c>
      <c r="J2659">
        <f t="shared" si="361"/>
        <v>3254.2875384062868</v>
      </c>
      <c r="K2659">
        <f t="shared" si="362"/>
        <v>25.530509301443249</v>
      </c>
      <c r="L2659" s="4">
        <f>MIN(MAX(L2658*(1+MAX(MIN(((B2659-B2658)/B2658)/($K$7*卓尔金历!$N$40),0),-卓尔金历!$M$43))+MIN(MAX(((B2659-B2658)/B2658)/($K$7*卓尔金历!$N$40),0),卓尔金历!$M$43),0),1)</f>
        <v>1</v>
      </c>
      <c r="M2659" s="4">
        <f>MIN(MAX(M2658*(1+MAX(MIN(((B2659-B2658)/B2658)/($K$7*30),0),-卓尔金历!$M$43))+MIN(MAX(((B2659-B2658)/B2658)/($K$7*7),0),卓尔金历!$M$43),0),1)</f>
        <v>1</v>
      </c>
      <c r="N2659">
        <f t="shared" si="363"/>
        <v>66471.687651899178</v>
      </c>
      <c r="O2659">
        <f t="shared" si="364"/>
        <v>144387.55385568665</v>
      </c>
      <c r="P2659">
        <f t="shared" si="365"/>
        <v>1.0305510890220679E-2</v>
      </c>
      <c r="Q2659">
        <f t="shared" si="356"/>
        <v>4.8208755918306402E-2</v>
      </c>
      <c r="R2659">
        <f t="shared" si="357"/>
        <v>1</v>
      </c>
      <c r="S2659">
        <f t="shared" si="359"/>
        <v>568.31645039773389</v>
      </c>
      <c r="T2659" s="564">
        <f>IF((I2659-MAX(I$470:I2659))/MAX(I$470:I2659)&gt;T2658,T2658,(I2659-MAX(I$470:I2659))/MAX(I$470:I2659))</f>
        <v>-0.91338805338419748</v>
      </c>
      <c r="U2659" s="564">
        <f>IF((J2659-MAX(J$470:J2659))/MAX(J$470:J2659)&gt;U2658,U2658,(J2659-MAX(J$470:J2659))/MAX(J$470:J2659))</f>
        <v>-0.8283551177402233</v>
      </c>
      <c r="V2659" s="564">
        <f>IF((K2659-MAX(K$470:K2659))/MAX(K$470:K2659)&gt;V2658,V2658,(K2659-MAX(K$470:K2659))/MAX(K$470:K2659))</f>
        <v>-0.84885940676762139</v>
      </c>
      <c r="W2659" s="564">
        <f>IF((N2659-MAX(N$470:N2659))/MAX(N$470:N2659)&gt;W2658,W2658,(N2659-MAX(N$470:N2659))/MAX(N$470:N2659))</f>
        <v>-0.62788758315546067</v>
      </c>
      <c r="X2659" s="564">
        <f>IF((O2659-MAX(O$470:O2659))/MAX(O$470:O2659)&gt;X2658,X2658,(O2659-MAX(O$470:O2659))/MAX(O$470:O2659))</f>
        <v>-0.62788758315546067</v>
      </c>
    </row>
    <row r="2660" spans="1:24">
      <c r="A2660" s="799">
        <v>43062</v>
      </c>
      <c r="B2660">
        <v>8239.35</v>
      </c>
      <c r="C2660">
        <v>6001.4714860000004</v>
      </c>
      <c r="D2660">
        <v>3.0255200000000002</v>
      </c>
      <c r="E2660">
        <f>LN(D2660/参数实验室!$E$53)/参数实验室!$E$55</f>
        <v>0.61311644016976163</v>
      </c>
      <c r="F2660">
        <f t="shared" si="358"/>
        <v>0.72839137626147699</v>
      </c>
      <c r="G2660">
        <f>LN(F2660/参数实验室!$E$58)/参数实验室!$E$59</f>
        <v>-0.35686507296457104</v>
      </c>
      <c r="H2660" s="856">
        <f>INDEX(神经网络!$G$10:$BO$70,MATCH(ROUND(G2660*2,1)/2,神经网络!$E$10:$E$70,0),MATCH(ROUND(E2660*2,1)/2,神经网络!$G$8:$BO$8,0))</f>
        <v>1.6731994388628015</v>
      </c>
      <c r="I2660">
        <f t="shared" si="360"/>
        <v>84579.128121429036</v>
      </c>
      <c r="J2660">
        <f t="shared" si="361"/>
        <v>3287.7179681576936</v>
      </c>
      <c r="K2660">
        <f t="shared" si="362"/>
        <v>25.725785770129125</v>
      </c>
      <c r="L2660" s="4">
        <f>MIN(MAX(L2659*(1+MAX(MIN(((B2660-B2659)/B2659)/($K$7*卓尔金历!$N$40),0),-卓尔金历!$M$43))+MIN(MAX(((B2660-B2659)/B2659)/($K$7*卓尔金历!$N$40),0),卓尔金历!$M$43),0),1)</f>
        <v>1</v>
      </c>
      <c r="M2660" s="4">
        <f>MIN(MAX(M2659*(1+MAX(MIN(((B2660-B2659)/B2659)/($K$7*30),0),-卓尔金历!$M$43))+MIN(MAX(((B2660-B2659)/B2659)/($K$7*7),0),卓尔金历!$M$43),0),1)</f>
        <v>1</v>
      </c>
      <c r="N2660">
        <f t="shared" si="363"/>
        <v>67668.181808895577</v>
      </c>
      <c r="O2660">
        <f t="shared" si="364"/>
        <v>146986.53803427468</v>
      </c>
      <c r="P2660">
        <f t="shared" si="365"/>
        <v>1.0272733849381547E-2</v>
      </c>
      <c r="Q2660">
        <f t="shared" si="356"/>
        <v>4.6695817685256193E-2</v>
      </c>
      <c r="R2660">
        <f t="shared" si="357"/>
        <v>1</v>
      </c>
      <c r="S2660">
        <f t="shared" si="359"/>
        <v>578.54617881664808</v>
      </c>
      <c r="T2660" s="564">
        <f>IF((I2660-MAX(I$470:I2660))/MAX(I$470:I2660)&gt;T2659,T2659,(I2660-MAX(I$470:I2660))/MAX(I$470:I2660))</f>
        <v>-0.91338805338419748</v>
      </c>
      <c r="U2660" s="564">
        <f>IF((J2660-MAX(J$470:J2660))/MAX(J$470:J2660)&gt;U2659,U2659,(J2660-MAX(J$470:J2660))/MAX(J$470:J2660))</f>
        <v>-0.8283551177402233</v>
      </c>
      <c r="V2660" s="564">
        <f>IF((K2660-MAX(K$470:K2660))/MAX(K$470:K2660)&gt;V2659,V2659,(K2660-MAX(K$470:K2660))/MAX(K$470:K2660))</f>
        <v>-0.84885940676762139</v>
      </c>
      <c r="W2660" s="564">
        <f>IF((N2660-MAX(N$470:N2660))/MAX(N$470:N2660)&gt;W2659,W2659,(N2660-MAX(N$470:N2660))/MAX(N$470:N2660))</f>
        <v>-0.62788758315546067</v>
      </c>
      <c r="X2660" s="564">
        <f>IF((O2660-MAX(O$470:O2660))/MAX(O$470:O2660)&gt;X2659,X2659,(O2660-MAX(O$470:O2660))/MAX(O$470:O2660))</f>
        <v>-0.62788758315546067</v>
      </c>
    </row>
    <row r="2661" spans="1:24">
      <c r="A2661" s="799">
        <v>43063</v>
      </c>
      <c r="B2661">
        <v>8074.71</v>
      </c>
      <c r="C2661">
        <v>6159.0521829999998</v>
      </c>
      <c r="D2661">
        <v>3.0493239999999999</v>
      </c>
      <c r="E2661">
        <f>LN(D2661/参数实验室!$E$53)/参数实验室!$E$55</f>
        <v>0.62236210637996292</v>
      </c>
      <c r="F2661">
        <f t="shared" si="358"/>
        <v>0.76275831367318447</v>
      </c>
      <c r="G2661">
        <f>LN(F2661/参数实验室!$E$58)/参数实验室!$E$59</f>
        <v>-0.3326678767845897</v>
      </c>
      <c r="H2661" s="856">
        <f>INDEX(神经网络!$G$10:$BO$70,MATCH(ROUND(G2661*2,1)/2,神经网络!$E$10:$E$70,0),MATCH(ROUND(E2661*2,1)/2,神经网络!$G$8:$BO$8,0))</f>
        <v>1.6731994388628015</v>
      </c>
      <c r="I2661">
        <f t="shared" si="360"/>
        <v>81751.297975527981</v>
      </c>
      <c r="J2661">
        <f t="shared" si="361"/>
        <v>3222.0222656717592</v>
      </c>
      <c r="K2661">
        <f t="shared" si="362"/>
        <v>25.372666988222583</v>
      </c>
      <c r="L2661" s="4">
        <f>MIN(MAX(L2660*(1+MAX(MIN(((B2661-B2660)/B2660)/($K$7*卓尔金历!$N$40),0),-卓尔金历!$M$43))+MIN(MAX(((B2661-B2660)/B2660)/($K$7*卓尔金历!$N$40),0),卓尔金历!$M$43),0),1)</f>
        <v>0.69469178918104668</v>
      </c>
      <c r="M2661" s="4">
        <f>MIN(MAX(M2660*(1+MAX(MIN(((B2661-B2660)/B2660)/($K$7*30),0),-卓尔金历!$M$43))+MIN(MAX(((B2661-B2660)/B2660)/($K$7*7),0),卓尔金历!$M$43),0),1)</f>
        <v>0.84734589459052334</v>
      </c>
      <c r="N2661">
        <f t="shared" si="363"/>
        <v>65405.754556597778</v>
      </c>
      <c r="O2661">
        <f t="shared" si="364"/>
        <v>142072.17000368671</v>
      </c>
      <c r="P2661">
        <f t="shared" si="365"/>
        <v>-1.998215878679754E-2</v>
      </c>
      <c r="Q2661">
        <f t="shared" si="356"/>
        <v>4.6867375147241153E-2</v>
      </c>
      <c r="R2661">
        <f t="shared" si="357"/>
        <v>0.93898515416221151</v>
      </c>
      <c r="S2661">
        <f t="shared" si="359"/>
        <v>559.20298668886028</v>
      </c>
      <c r="T2661" s="564">
        <f>IF((I2661-MAX(I$470:I2661))/MAX(I$470:I2661)&gt;T2660,T2660,(I2661-MAX(I$470:I2661))/MAX(I$470:I2661))</f>
        <v>-0.91338805338419748</v>
      </c>
      <c r="U2661" s="564">
        <f>IF((J2661-MAX(J$470:J2661))/MAX(J$470:J2661)&gt;U2660,U2660,(J2661-MAX(J$470:J2661))/MAX(J$470:J2661))</f>
        <v>-0.8283551177402233</v>
      </c>
      <c r="V2661" s="564">
        <f>IF((K2661-MAX(K$470:K2661))/MAX(K$470:K2661)&gt;V2660,V2660,(K2661-MAX(K$470:K2661))/MAX(K$470:K2661))</f>
        <v>-0.84885940676762139</v>
      </c>
      <c r="W2661" s="564">
        <f>IF((N2661-MAX(N$470:N2661))/MAX(N$470:N2661)&gt;W2660,W2660,(N2661-MAX(N$470:N2661))/MAX(N$470:N2661))</f>
        <v>-0.62788758315546067</v>
      </c>
      <c r="X2661" s="564">
        <f>IF((O2661-MAX(O$470:O2661))/MAX(O$470:O2661)&gt;X2660,X2660,(O2661-MAX(O$470:O2661))/MAX(O$470:O2661))</f>
        <v>-0.62788758315546067</v>
      </c>
    </row>
    <row r="2662" spans="1:24">
      <c r="A2662" s="799">
        <v>43064</v>
      </c>
      <c r="B2662">
        <v>8222.59</v>
      </c>
      <c r="C2662">
        <v>6268.0094950000002</v>
      </c>
      <c r="D2662">
        <v>3.1979649999999999</v>
      </c>
      <c r="E2662">
        <f>LN(D2662/参数实验室!$E$53)/参数实验室!$E$55</f>
        <v>0.67851215918679586</v>
      </c>
      <c r="F2662">
        <f t="shared" si="358"/>
        <v>0.76229138203412794</v>
      </c>
      <c r="G2662">
        <f>LN(F2662/参数实验室!$E$58)/参数实验室!$E$59</f>
        <v>-0.33298927085712282</v>
      </c>
      <c r="H2662" s="856">
        <f>INDEX(神经网络!$G$10:$BO$70,MATCH(ROUND(G2662*2,1)/2,神经网络!$E$10:$E$70,0),MATCH(ROUND(E2662*2,1)/2,神经网络!$G$8:$BO$8,0))</f>
        <v>1.824855984841836</v>
      </c>
      <c r="I2662">
        <f t="shared" si="360"/>
        <v>84256.39686897902</v>
      </c>
      <c r="J2662">
        <f t="shared" si="361"/>
        <v>3281.0302861019095</v>
      </c>
      <c r="K2662">
        <f t="shared" si="362"/>
        <v>25.679859532501126</v>
      </c>
      <c r="L2662" s="4">
        <f>MIN(MAX(L2661*(1+MAX(MIN(((B2662-B2661)/B2661)/($K$7*卓尔金历!$N$40),0),-卓尔金历!$M$43))+MIN(MAX(((B2662-B2661)/B2661)/($K$7*卓尔金历!$N$40),0),卓尔金历!$M$43),0),1)</f>
        <v>0.97451168242550712</v>
      </c>
      <c r="M2662" s="4">
        <f>MIN(MAX(M2661*(1+MAX(MIN(((B2662-B2661)/B2661)/($K$7*30),0),-卓尔金历!$M$43))+MIN(MAX(((B2662-B2661)/B2661)/($K$7*7),0),卓尔金历!$M$43),0),1)</f>
        <v>1</v>
      </c>
      <c r="N2662">
        <f t="shared" si="363"/>
        <v>66798.072257565364</v>
      </c>
      <c r="O2662">
        <f t="shared" si="364"/>
        <v>145761.09616149039</v>
      </c>
      <c r="P2662">
        <f t="shared" si="365"/>
        <v>1.8313970408844419E-2</v>
      </c>
      <c r="Q2662">
        <f t="shared" si="356"/>
        <v>4.6914528368608557E-2</v>
      </c>
      <c r="R2662">
        <f t="shared" si="357"/>
        <v>1</v>
      </c>
      <c r="S2662">
        <f t="shared" si="359"/>
        <v>575.2930749571467</v>
      </c>
      <c r="T2662" s="564">
        <f>IF((I2662-MAX(I$470:I2662))/MAX(I$470:I2662)&gt;T2661,T2661,(I2662-MAX(I$470:I2662))/MAX(I$470:I2662))</f>
        <v>-0.91338805338419748</v>
      </c>
      <c r="U2662" s="564">
        <f>IF((J2662-MAX(J$470:J2662))/MAX(J$470:J2662)&gt;U2661,U2661,(J2662-MAX(J$470:J2662))/MAX(J$470:J2662))</f>
        <v>-0.8283551177402233</v>
      </c>
      <c r="V2662" s="564">
        <f>IF((K2662-MAX(K$470:K2662))/MAX(K$470:K2662)&gt;V2661,V2661,(K2662-MAX(K$470:K2662))/MAX(K$470:K2662))</f>
        <v>-0.84885940676762139</v>
      </c>
      <c r="W2662" s="564">
        <f>IF((N2662-MAX(N$470:N2662))/MAX(N$470:N2662)&gt;W2661,W2661,(N2662-MAX(N$470:N2662))/MAX(N$470:N2662))</f>
        <v>-0.62788758315546067</v>
      </c>
      <c r="X2662" s="564">
        <f>IF((O2662-MAX(O$470:O2662))/MAX(O$470:O2662)&gt;X2661,X2661,(O2662-MAX(O$470:O2662))/MAX(O$470:O2662))</f>
        <v>-0.62788758315546067</v>
      </c>
    </row>
    <row r="2663" spans="1:24">
      <c r="A2663" s="799">
        <v>43065</v>
      </c>
      <c r="B2663">
        <v>8842.92</v>
      </c>
      <c r="C2663">
        <v>6055.0111980000001</v>
      </c>
      <c r="D2663">
        <v>3.348573</v>
      </c>
      <c r="E2663">
        <f>LN(D2663/参数实验室!$E$53)/参数实验室!$E$55</f>
        <v>0.73280394918092273</v>
      </c>
      <c r="F2663">
        <f t="shared" si="358"/>
        <v>0.68472984014330107</v>
      </c>
      <c r="G2663">
        <f>LN(F2663/参数实验室!$E$58)/参数实验室!$E$59</f>
        <v>-0.38930847530066637</v>
      </c>
      <c r="H2663" s="856">
        <f>INDEX(神经网络!$G$10:$BO$70,MATCH(ROUND(G2663*2,1)/2,神经网络!$E$10:$E$70,0),MATCH(ROUND(E2663*2,1)/2,神经网络!$G$8:$BO$8,0))</f>
        <v>1.8503742828512553</v>
      </c>
      <c r="I2663">
        <f t="shared" si="360"/>
        <v>95856.066713276188</v>
      </c>
      <c r="J2663">
        <f t="shared" si="361"/>
        <v>3528.5583177047979</v>
      </c>
      <c r="K2663">
        <f t="shared" si="362"/>
        <v>27.165787860813126</v>
      </c>
      <c r="L2663" s="4">
        <f>MIN(MAX(L2662*(1+MAX(MIN(((B2663-B2662)/B2662)/($K$7*卓尔金历!$N$40),0),-卓尔金历!$M$43))+MIN(MAX(((B2663-B2662)/B2662)/($K$7*卓尔金历!$N$40),0),卓尔金历!$M$43),0),1)</f>
        <v>1</v>
      </c>
      <c r="M2663" s="4">
        <f>MIN(MAX(M2662*(1+MAX(MIN(((B2663-B2662)/B2662)/($K$7*30),0),-卓尔金历!$M$43))+MIN(MAX(((B2663-B2662)/B2662)/($K$7*7),0),卓尔金历!$M$43),0),1)</f>
        <v>1</v>
      </c>
      <c r="N2663">
        <f t="shared" si="363"/>
        <v>75759.840823976352</v>
      </c>
      <c r="O2663">
        <f t="shared" si="364"/>
        <v>165828.18488646101</v>
      </c>
      <c r="P2663">
        <f t="shared" si="365"/>
        <v>7.5442166032843649E-2</v>
      </c>
      <c r="Q2663">
        <f t="shared" si="356"/>
        <v>4.8896562973264369E-2</v>
      </c>
      <c r="R2663">
        <f t="shared" si="357"/>
        <v>2.6569609522681774E-2</v>
      </c>
      <c r="S2663">
        <f t="shared" si="359"/>
        <v>654.49429861723775</v>
      </c>
      <c r="T2663" s="564">
        <f>IF((I2663-MAX(I$470:I2663))/MAX(I$470:I2663)&gt;T2662,T2662,(I2663-MAX(I$470:I2663))/MAX(I$470:I2663))</f>
        <v>-0.91338805338419748</v>
      </c>
      <c r="U2663" s="564">
        <f>IF((J2663-MAX(J$470:J2663))/MAX(J$470:J2663)&gt;U2662,U2662,(J2663-MAX(J$470:J2663))/MAX(J$470:J2663))</f>
        <v>-0.8283551177402233</v>
      </c>
      <c r="V2663" s="564">
        <f>IF((K2663-MAX(K$470:K2663))/MAX(K$470:K2663)&gt;V2662,V2662,(K2663-MAX(K$470:K2663))/MAX(K$470:K2663))</f>
        <v>-0.84885940676762139</v>
      </c>
      <c r="W2663" s="564">
        <f>IF((N2663-MAX(N$470:N2663))/MAX(N$470:N2663)&gt;W2662,W2662,(N2663-MAX(N$470:N2663))/MAX(N$470:N2663))</f>
        <v>-0.62788758315546067</v>
      </c>
      <c r="X2663" s="564">
        <f>IF((O2663-MAX(O$470:O2663))/MAX(O$470:O2663)&gt;X2662,X2662,(O2663-MAX(O$470:O2663))/MAX(O$470:O2663))</f>
        <v>-0.62788758315546067</v>
      </c>
    </row>
    <row r="2664" spans="1:24">
      <c r="A2664" s="799">
        <v>43066</v>
      </c>
      <c r="B2664">
        <v>9624.2900000000009</v>
      </c>
      <c r="C2664">
        <v>5706.661067</v>
      </c>
      <c r="D2664">
        <v>3.4318979999999999</v>
      </c>
      <c r="E2664">
        <f>LN(D2664/参数实验室!$E$53)/参数实验室!$E$55</f>
        <v>0.76180131176295085</v>
      </c>
      <c r="F2664">
        <f t="shared" si="358"/>
        <v>0.59294359033237776</v>
      </c>
      <c r="G2664">
        <f>LN(F2664/参数实验室!$E$58)/参数实验室!$E$59</f>
        <v>-0.4648481448654524</v>
      </c>
      <c r="H2664" s="856">
        <f>INDEX(神经网络!$G$10:$BO$70,MATCH(ROUND(G2664*2,1)/2,神经网络!$E$10:$E$70,0),MATCH(ROUND(E2664*2,1)/2,神经网络!$G$8:$BO$8,0))</f>
        <v>1.8110254701095543</v>
      </c>
      <c r="I2664">
        <f t="shared" si="360"/>
        <v>111528.63696158185</v>
      </c>
      <c r="J2664">
        <f t="shared" si="361"/>
        <v>3840.3455568413046</v>
      </c>
      <c r="K2664">
        <f t="shared" si="362"/>
        <v>29.041302484590602</v>
      </c>
      <c r="L2664" s="4">
        <f>MIN(MAX(L2663*(1+MAX(MIN(((B2664-B2663)/B2663)/($K$7*卓尔金历!$N$40),0),-卓尔金历!$M$43))+MIN(MAX(((B2664-B2663)/B2663)/($K$7*卓尔金历!$N$40),0),卓尔金历!$M$43),0),1)</f>
        <v>1</v>
      </c>
      <c r="M2664" s="4">
        <f>MIN(MAX(M2663*(1+MAX(MIN(((B2664-B2663)/B2663)/($K$7*30),0),-卓尔金历!$M$43))+MIN(MAX(((B2664-B2663)/B2663)/($K$7*7),0),卓尔金历!$M$43),0),1)</f>
        <v>1</v>
      </c>
      <c r="N2664">
        <f t="shared" si="363"/>
        <v>88146.656474005271</v>
      </c>
      <c r="O2664">
        <f t="shared" si="364"/>
        <v>192941.27189175246</v>
      </c>
      <c r="P2664">
        <f t="shared" si="365"/>
        <v>8.8361084347704247E-2</v>
      </c>
      <c r="Q2664">
        <f t="shared" si="356"/>
        <v>5.1605768963997663E-2</v>
      </c>
      <c r="R2664">
        <f t="shared" si="357"/>
        <v>2.2600080273778949E-2</v>
      </c>
      <c r="S2664">
        <f t="shared" si="359"/>
        <v>657.33752643938703</v>
      </c>
      <c r="T2664" s="564">
        <f>IF((I2664-MAX(I$470:I2664))/MAX(I$470:I2664)&gt;T2663,T2663,(I2664-MAX(I$470:I2664))/MAX(I$470:I2664))</f>
        <v>-0.91338805338419748</v>
      </c>
      <c r="U2664" s="564">
        <f>IF((J2664-MAX(J$470:J2664))/MAX(J$470:J2664)&gt;U2663,U2663,(J2664-MAX(J$470:J2664))/MAX(J$470:J2664))</f>
        <v>-0.8283551177402233</v>
      </c>
      <c r="V2664" s="564">
        <f>IF((K2664-MAX(K$470:K2664))/MAX(K$470:K2664)&gt;V2663,V2663,(K2664-MAX(K$470:K2664))/MAX(K$470:K2664))</f>
        <v>-0.84885940676762139</v>
      </c>
      <c r="W2664" s="564">
        <f>IF((N2664-MAX(N$470:N2664))/MAX(N$470:N2664)&gt;W2663,W2663,(N2664-MAX(N$470:N2664))/MAX(N$470:N2664))</f>
        <v>-0.62788758315546067</v>
      </c>
      <c r="X2664" s="564">
        <f>IF((O2664-MAX(O$470:O2664))/MAX(O$470:O2664)&gt;X2663,X2663,(O2664-MAX(O$470:O2664))/MAX(O$470:O2664))</f>
        <v>-0.62788758315546067</v>
      </c>
    </row>
    <row r="2665" spans="1:24">
      <c r="A2665" s="799">
        <v>43067</v>
      </c>
      <c r="B2665">
        <v>9740.52</v>
      </c>
      <c r="C2665">
        <v>5700.8599400000003</v>
      </c>
      <c r="D2665">
        <v>3.4240569999999999</v>
      </c>
      <c r="E2665">
        <f>LN(D2665/参数实验室!$E$53)/参数实验室!$E$55</f>
        <v>0.75910279661249358</v>
      </c>
      <c r="F2665">
        <f t="shared" si="358"/>
        <v>0.58527264868816042</v>
      </c>
      <c r="G2665">
        <f>LN(F2665/参数实验室!$E$58)/参数实验室!$E$59</f>
        <v>-0.47168251277068907</v>
      </c>
      <c r="H2665" s="856">
        <f>INDEX(神经网络!$G$10:$BO$70,MATCH(ROUND(G2665*2,1)/2,神经网络!$E$10:$E$70,0),MATCH(ROUND(E2665*2,1)/2,神经网络!$G$8:$BO$8,0))</f>
        <v>1.8110254701095543</v>
      </c>
      <c r="I2665">
        <f t="shared" si="360"/>
        <v>113967.91041758217</v>
      </c>
      <c r="J2665">
        <f t="shared" si="361"/>
        <v>3886.7243924823401</v>
      </c>
      <c r="K2665">
        <f t="shared" si="362"/>
        <v>29.322354483898486</v>
      </c>
      <c r="L2665" s="4">
        <f>MIN(MAX(L2664*(1+MAX(MIN(((B2665-B2664)/B2664)/($K$7*卓尔金历!$N$40),0),-卓尔金历!$M$43))+MIN(MAX(((B2665-B2664)/B2664)/($K$7*卓尔金历!$N$40),0),卓尔金历!$M$43),0),1)</f>
        <v>1</v>
      </c>
      <c r="M2665" s="4">
        <f>MIN(MAX(M2664*(1+MAX(MIN(((B2665-B2664)/B2664)/($K$7*30),0),-卓尔金历!$M$43))+MIN(MAX(((B2665-B2664)/B2664)/($K$7*7),0),卓尔金历!$M$43),0),1)</f>
        <v>1</v>
      </c>
      <c r="N2665">
        <f t="shared" si="363"/>
        <v>90074.536211711427</v>
      </c>
      <c r="O2665">
        <f t="shared" si="364"/>
        <v>197161.14345043214</v>
      </c>
      <c r="P2665">
        <f t="shared" si="365"/>
        <v>1.2076735011102071E-2</v>
      </c>
      <c r="Q2665">
        <f t="shared" si="356"/>
        <v>5.04540872116837E-2</v>
      </c>
      <c r="R2665">
        <f t="shared" si="357"/>
        <v>1</v>
      </c>
      <c r="S2665">
        <f t="shared" si="359"/>
        <v>657.6624434906978</v>
      </c>
      <c r="T2665" s="564">
        <f>IF((I2665-MAX(I$470:I2665))/MAX(I$470:I2665)&gt;T2664,T2664,(I2665-MAX(I$470:I2665))/MAX(I$470:I2665))</f>
        <v>-0.91338805338419748</v>
      </c>
      <c r="U2665" s="564">
        <f>IF((J2665-MAX(J$470:J2665))/MAX(J$470:J2665)&gt;U2664,U2664,(J2665-MAX(J$470:J2665))/MAX(J$470:J2665))</f>
        <v>-0.8283551177402233</v>
      </c>
      <c r="V2665" s="564">
        <f>IF((K2665-MAX(K$470:K2665))/MAX(K$470:K2665)&gt;V2664,V2664,(K2665-MAX(K$470:K2665))/MAX(K$470:K2665))</f>
        <v>-0.84885940676762139</v>
      </c>
      <c r="W2665" s="564">
        <f>IF((N2665-MAX(N$470:N2665))/MAX(N$470:N2665)&gt;W2664,W2664,(N2665-MAX(N$470:N2665))/MAX(N$470:N2665))</f>
        <v>-0.62788758315546067</v>
      </c>
      <c r="X2665" s="564">
        <f>IF((O2665-MAX(O$470:O2665))/MAX(O$470:O2665)&gt;X2664,X2664,(O2665-MAX(O$470:O2665))/MAX(O$470:O2665))</f>
        <v>-0.62788758315546067</v>
      </c>
    </row>
    <row r="2666" spans="1:24">
      <c r="A2666" s="799">
        <v>43068</v>
      </c>
      <c r="B2666">
        <v>10454.1</v>
      </c>
      <c r="C2666">
        <v>5601.4440599999998</v>
      </c>
      <c r="D2666">
        <v>3.3161860000000001</v>
      </c>
      <c r="E2666">
        <f>LN(D2666/参数实验室!$E$53)/参数实验室!$E$55</f>
        <v>0.72133797747151196</v>
      </c>
      <c r="F2666">
        <f t="shared" si="358"/>
        <v>0.53581313168995892</v>
      </c>
      <c r="G2666">
        <f>LN(F2666/参数实验室!$E$58)/参数实验室!$E$59</f>
        <v>-0.51802310408507535</v>
      </c>
      <c r="H2666" s="856">
        <f>INDEX(神经网络!$G$10:$BO$70,MATCH(ROUND(G2666*2,1)/2,神经网络!$E$10:$E$70,0),MATCH(ROUND(E2666*2,1)/2,神经网络!$G$8:$BO$8,0))</f>
        <v>1.6943185479604281</v>
      </c>
      <c r="I2666">
        <f t="shared" si="360"/>
        <v>129088.46327588706</v>
      </c>
      <c r="J2666">
        <f t="shared" si="361"/>
        <v>4171.4616336139788</v>
      </c>
      <c r="K2666">
        <f t="shared" si="362"/>
        <v>30.945619213103068</v>
      </c>
      <c r="L2666" s="4">
        <f>MIN(MAX(L2665*(1+MAX(MIN(((B2666-B2665)/B2665)/($K$7*卓尔金历!$N$40),0),-卓尔金历!$M$43))+MIN(MAX(((B2666-B2665)/B2665)/($K$7*卓尔金历!$N$40),0),卓尔金历!$M$43),0),1)</f>
        <v>1</v>
      </c>
      <c r="M2666" s="4">
        <f>MIN(MAX(M2665*(1+MAX(MIN(((B2666-B2665)/B2665)/($K$7*30),0),-卓尔金历!$M$43))+MIN(MAX(((B2666-B2665)/B2665)/($K$7*7),0),卓尔金历!$M$43),0),1)</f>
        <v>1</v>
      </c>
      <c r="N2666">
        <f t="shared" si="363"/>
        <v>102025.06492620792</v>
      </c>
      <c r="O2666">
        <f t="shared" si="364"/>
        <v>223319.25655633124</v>
      </c>
      <c r="P2666">
        <f t="shared" si="365"/>
        <v>7.3258922521590206E-2</v>
      </c>
      <c r="Q2666">
        <f t="shared" si="356"/>
        <v>5.1861673346850906E-2</v>
      </c>
      <c r="R2666">
        <f t="shared" si="357"/>
        <v>3.3026236233525012E-2</v>
      </c>
      <c r="S2666">
        <f t="shared" si="359"/>
        <v>744.91700228086154</v>
      </c>
      <c r="T2666" s="564">
        <f>IF((I2666-MAX(I$470:I2666))/MAX(I$470:I2666)&gt;T2665,T2665,(I2666-MAX(I$470:I2666))/MAX(I$470:I2666))</f>
        <v>-0.91338805338419748</v>
      </c>
      <c r="U2666" s="564">
        <f>IF((J2666-MAX(J$470:J2666))/MAX(J$470:J2666)&gt;U2665,U2665,(J2666-MAX(J$470:J2666))/MAX(J$470:J2666))</f>
        <v>-0.8283551177402233</v>
      </c>
      <c r="V2666" s="564">
        <f>IF((K2666-MAX(K$470:K2666))/MAX(K$470:K2666)&gt;V2665,V2665,(K2666-MAX(K$470:K2666))/MAX(K$470:K2666))</f>
        <v>-0.84885940676762139</v>
      </c>
      <c r="W2666" s="564">
        <f>IF((N2666-MAX(N$470:N2666))/MAX(N$470:N2666)&gt;W2665,W2665,(N2666-MAX(N$470:N2666))/MAX(N$470:N2666))</f>
        <v>-0.62788758315546067</v>
      </c>
      <c r="X2666" s="564">
        <f>IF((O2666-MAX(O$470:O2666))/MAX(O$470:O2666)&gt;X2665,X2665,(O2666-MAX(O$470:O2666))/MAX(O$470:O2666))</f>
        <v>-0.62788758315546067</v>
      </c>
    </row>
    <row r="2667" spans="1:24">
      <c r="A2667" s="799">
        <v>43069</v>
      </c>
      <c r="B2667">
        <v>10678.6</v>
      </c>
      <c r="C2667">
        <v>5492.9560899999997</v>
      </c>
      <c r="D2667">
        <v>3.3395820000000001</v>
      </c>
      <c r="E2667">
        <f>LN(D2667/参数实验室!$E$53)/参数实验室!$E$55</f>
        <v>0.72963202275090655</v>
      </c>
      <c r="F2667">
        <f t="shared" si="358"/>
        <v>0.51438916056411887</v>
      </c>
      <c r="G2667">
        <f>LN(F2667/参数实验室!$E$58)/参数实验室!$E$59</f>
        <v>-0.53943996471340894</v>
      </c>
      <c r="H2667" s="856">
        <f>INDEX(神经网络!$G$10:$BO$70,MATCH(ROUND(G2667*2,1)/2,神经网络!$E$10:$E$70,0),MATCH(ROUND(E2667*2,1)/2,神经网络!$G$8:$BO$8,0))</f>
        <v>1.7128516170750487</v>
      </c>
      <c r="I2667">
        <f t="shared" si="360"/>
        <v>133785.37276439223</v>
      </c>
      <c r="J2667">
        <f t="shared" si="361"/>
        <v>4261.0430549459288</v>
      </c>
      <c r="K2667">
        <f t="shared" si="362"/>
        <v>31.397329489337892</v>
      </c>
      <c r="L2667" s="4">
        <f>MIN(MAX(L2666*(1+MAX(MIN(((B2667-B2666)/B2666)/($K$7*卓尔金历!$N$40),0),-卓尔金历!$M$43))+MIN(MAX(((B2667-B2666)/B2666)/($K$7*卓尔金历!$N$40),0),卓尔金历!$M$43),0),1)</f>
        <v>1</v>
      </c>
      <c r="M2667" s="4">
        <f>MIN(MAX(M2666*(1+MAX(MIN(((B2667-B2666)/B2666)/($K$7*30),0),-卓尔金历!$M$43))+MIN(MAX(((B2667-B2666)/B2666)/($K$7*7),0),卓尔金历!$M$43),0),1)</f>
        <v>1</v>
      </c>
      <c r="N2667">
        <f t="shared" si="363"/>
        <v>105737.26726680835</v>
      </c>
      <c r="O2667">
        <f t="shared" si="364"/>
        <v>231444.77225670507</v>
      </c>
      <c r="P2667">
        <f t="shared" si="365"/>
        <v>2.1474828057891162E-2</v>
      </c>
      <c r="Q2667">
        <f t="shared" si="356"/>
        <v>5.1825432973245614E-2</v>
      </c>
      <c r="R2667">
        <f t="shared" si="357"/>
        <v>0.9785513359010225</v>
      </c>
      <c r="S2667">
        <f t="shared" si="359"/>
        <v>745.8121438597276</v>
      </c>
      <c r="T2667" s="564">
        <f>IF((I2667-MAX(I$470:I2667))/MAX(I$470:I2667)&gt;T2666,T2666,(I2667-MAX(I$470:I2667))/MAX(I$470:I2667))</f>
        <v>-0.91338805338419748</v>
      </c>
      <c r="U2667" s="564">
        <f>IF((J2667-MAX(J$470:J2667))/MAX(J$470:J2667)&gt;U2666,U2666,(J2667-MAX(J$470:J2667))/MAX(J$470:J2667))</f>
        <v>-0.8283551177402233</v>
      </c>
      <c r="V2667" s="564">
        <f>IF((K2667-MAX(K$470:K2667))/MAX(K$470:K2667)&gt;V2666,V2666,(K2667-MAX(K$470:K2667))/MAX(K$470:K2667))</f>
        <v>-0.84885940676762139</v>
      </c>
      <c r="W2667" s="564">
        <f>IF((N2667-MAX(N$470:N2667))/MAX(N$470:N2667)&gt;W2666,W2666,(N2667-MAX(N$470:N2667))/MAX(N$470:N2667))</f>
        <v>-0.62788758315546067</v>
      </c>
      <c r="X2667" s="564">
        <f>IF((O2667-MAX(O$470:O2667))/MAX(O$470:O2667)&gt;X2666,X2666,(O2667-MAX(O$470:O2667))/MAX(O$470:O2667))</f>
        <v>-0.62788758315546067</v>
      </c>
    </row>
    <row r="2668" spans="1:24">
      <c r="A2668" s="799">
        <v>43070</v>
      </c>
      <c r="B2668">
        <v>9948.3799999999992</v>
      </c>
      <c r="C2668">
        <v>5394.8333739999998</v>
      </c>
      <c r="D2668">
        <v>3.5528729999999999</v>
      </c>
      <c r="E2668">
        <f>LN(D2668/参数实验室!$E$53)/参数实验室!$E$55</f>
        <v>0.80267163441065237</v>
      </c>
      <c r="F2668">
        <f t="shared" si="358"/>
        <v>0.54228260018214025</v>
      </c>
      <c r="G2668">
        <f>LN(F2668/参数实验室!$E$58)/参数实验室!$E$59</f>
        <v>-0.5117239093980136</v>
      </c>
      <c r="H2668" s="856">
        <f>INDEX(神经网络!$G$10:$BO$70,MATCH(ROUND(G2668*2,1)/2,神经网络!$E$10:$E$70,0),MATCH(ROUND(E2668*2,1)/2,神经网络!$G$8:$BO$8,0))</f>
        <v>1.8283595936197972</v>
      </c>
      <c r="I2668">
        <f t="shared" si="360"/>
        <v>118115.416664622</v>
      </c>
      <c r="J2668">
        <f t="shared" si="361"/>
        <v>3969.6660149235831</v>
      </c>
      <c r="K2668">
        <f t="shared" si="362"/>
        <v>29.7544972853077</v>
      </c>
      <c r="L2668" s="4">
        <f>MIN(MAX(L2667*(1+MAX(MIN(((B2668-B2667)/B2667)/($K$7*卓尔金历!$N$40),0),-卓尔金历!$M$43))+MIN(MAX(((B2668-B2667)/B2667)/($K$7*卓尔金历!$N$40),0),卓尔金历!$M$43),0),1)</f>
        <v>0</v>
      </c>
      <c r="M2668" s="4">
        <f>MIN(MAX(M2667*(1+MAX(MIN(((B2668-B2667)/B2667)/($K$7*30),0),-卓尔金历!$M$43))+MIN(MAX(((B2668-B2667)/B2667)/($K$7*7),0),卓尔金历!$M$43),0),1)</f>
        <v>0.47759721029503488</v>
      </c>
      <c r="N2668">
        <f t="shared" si="363"/>
        <v>93352.517709033433</v>
      </c>
      <c r="O2668">
        <f t="shared" si="364"/>
        <v>204336.20765173231</v>
      </c>
      <c r="P2668">
        <f t="shared" si="365"/>
        <v>-6.8381623059202618E-2</v>
      </c>
      <c r="Q2668">
        <f t="shared" ref="Q2668:Q2731" si="366">STDEVP(P2648:P2668)</f>
        <v>5.4547441248454578E-2</v>
      </c>
      <c r="R2668">
        <f t="shared" ref="R2668:R2731" si="367">MIN(Q2667*MAX(1-LN(MAX(ABS(P2668),0.0001)/Q2668),0)+MAX(-LN(MAX(ABS(P2668),0.0001)/Q2668),0),1)</f>
        <v>4.0111158548561808E-2</v>
      </c>
      <c r="S2668">
        <f t="shared" si="359"/>
        <v>660.33062869175126</v>
      </c>
      <c r="T2668" s="564">
        <f>IF((I2668-MAX(I$470:I2668))/MAX(I$470:I2668)&gt;T2667,T2667,(I2668-MAX(I$470:I2668))/MAX(I$470:I2668))</f>
        <v>-0.91338805338419748</v>
      </c>
      <c r="U2668" s="564">
        <f>IF((J2668-MAX(J$470:J2668))/MAX(J$470:J2668)&gt;U2667,U2667,(J2668-MAX(J$470:J2668))/MAX(J$470:J2668))</f>
        <v>-0.8283551177402233</v>
      </c>
      <c r="V2668" s="564">
        <f>IF((K2668-MAX(K$470:K2668))/MAX(K$470:K2668)&gt;V2667,V2667,(K2668-MAX(K$470:K2668))/MAX(K$470:K2668))</f>
        <v>-0.84885940676762139</v>
      </c>
      <c r="W2668" s="564">
        <f>IF((N2668-MAX(N$470:N2668))/MAX(N$470:N2668)&gt;W2667,W2667,(N2668-MAX(N$470:N2668))/MAX(N$470:N2668))</f>
        <v>-0.62788758315546067</v>
      </c>
      <c r="X2668" s="564">
        <f>IF((O2668-MAX(O$470:O2668))/MAX(O$470:O2668)&gt;X2667,X2667,(O2668-MAX(O$470:O2668))/MAX(O$470:O2668))</f>
        <v>-0.62788758315546067</v>
      </c>
    </row>
    <row r="2669" spans="1:24">
      <c r="A2669" s="799">
        <v>43071</v>
      </c>
      <c r="B2669">
        <v>11109.5</v>
      </c>
      <c r="C2669">
        <v>5356.6402710000002</v>
      </c>
      <c r="D2669">
        <v>3.5452650000000001</v>
      </c>
      <c r="E2669">
        <f>LN(D2669/参数实验室!$E$53)/参数实验室!$E$55</f>
        <v>0.80014264268993751</v>
      </c>
      <c r="F2669">
        <f t="shared" si="358"/>
        <v>0.48216753868310908</v>
      </c>
      <c r="G2669">
        <f>LN(F2669/参数实验室!$E$58)/参数实验室!$E$59</f>
        <v>-0.5733919626058126</v>
      </c>
      <c r="H2669" s="856">
        <f>INDEX(神经网络!$G$10:$BO$70,MATCH(ROUND(G2669*2,1)/2,神经网络!$E$10:$E$70,0),MATCH(ROUND(E2669*2,1)/2,神经网络!$G$8:$BO$8,0))</f>
        <v>1.7796424708553187</v>
      </c>
      <c r="I2669">
        <f t="shared" si="360"/>
        <v>143320.77878359071</v>
      </c>
      <c r="J2669">
        <f t="shared" si="361"/>
        <v>4432.9835202106824</v>
      </c>
      <c r="K2669">
        <f t="shared" si="362"/>
        <v>32.330546263068271</v>
      </c>
      <c r="L2669" s="4">
        <f>MIN(MAX(L2668*(1+MAX(MIN(((B2669-B2668)/B2668)/($K$7*卓尔金历!$N$40),0),-卓尔金历!$M$43))+MIN(MAX(((B2669-B2668)/B2668)/($K$7*卓尔金历!$N$40),0),卓尔金历!$M$43),0),1)</f>
        <v>1</v>
      </c>
      <c r="M2669" s="4">
        <f>MIN(MAX(M2668*(1+MAX(MIN(((B2669-B2668)/B2668)/($K$7*30),0),-卓尔金历!$M$43))+MIN(MAX(((B2669-B2668)/B2668)/($K$7*7),0),卓尔金历!$M$43),0),1)</f>
        <v>1</v>
      </c>
      <c r="N2669">
        <f t="shared" si="363"/>
        <v>93352.517709033433</v>
      </c>
      <c r="O2669">
        <f t="shared" si="364"/>
        <v>225161.61308800799</v>
      </c>
      <c r="P2669">
        <f t="shared" si="365"/>
        <v>0.11671448014651641</v>
      </c>
      <c r="Q2669">
        <f t="shared" si="366"/>
        <v>5.5592027909298111E-2</v>
      </c>
      <c r="R2669">
        <f t="shared" si="367"/>
        <v>1.4090105712633635E-2</v>
      </c>
      <c r="S2669">
        <f t="shared" si="359"/>
        <v>665.98276989525516</v>
      </c>
      <c r="T2669" s="564">
        <f>IF((I2669-MAX(I$470:I2669))/MAX(I$470:I2669)&gt;T2668,T2668,(I2669-MAX(I$470:I2669))/MAX(I$470:I2669))</f>
        <v>-0.91338805338419748</v>
      </c>
      <c r="U2669" s="564">
        <f>IF((J2669-MAX(J$470:J2669))/MAX(J$470:J2669)&gt;U2668,U2668,(J2669-MAX(J$470:J2669))/MAX(J$470:J2669))</f>
        <v>-0.8283551177402233</v>
      </c>
      <c r="V2669" s="564">
        <f>IF((K2669-MAX(K$470:K2669))/MAX(K$470:K2669)&gt;V2668,V2668,(K2669-MAX(K$470:K2669))/MAX(K$470:K2669))</f>
        <v>-0.84885940676762139</v>
      </c>
      <c r="W2669" s="564">
        <f>IF((N2669-MAX(N$470:N2669))/MAX(N$470:N2669)&gt;W2668,W2668,(N2669-MAX(N$470:N2669))/MAX(N$470:N2669))</f>
        <v>-0.62788758315546067</v>
      </c>
      <c r="X2669" s="564">
        <f>IF((O2669-MAX(O$470:O2669))/MAX(O$470:O2669)&gt;X2668,X2668,(O2669-MAX(O$470:O2669))/MAX(O$470:O2669))</f>
        <v>-0.62788758315546067</v>
      </c>
    </row>
    <row r="2670" spans="1:24">
      <c r="A2670" s="799">
        <v>43072</v>
      </c>
      <c r="B2670">
        <v>11045.1</v>
      </c>
      <c r="C2670">
        <v>5156.4439599999996</v>
      </c>
      <c r="D2670">
        <v>3.5999690000000002</v>
      </c>
      <c r="E2670">
        <f>LN(D2670/参数实验室!$E$53)/参数实验室!$E$55</f>
        <v>0.81820740654291835</v>
      </c>
      <c r="F2670">
        <f t="shared" si="358"/>
        <v>0.46685353324098466</v>
      </c>
      <c r="G2670">
        <f>LN(F2670/参数实验室!$E$58)/参数实验室!$E$59</f>
        <v>-0.59033218798090092</v>
      </c>
      <c r="H2670" s="856">
        <f>INDEX(神经网络!$G$10:$BO$70,MATCH(ROUND(G2670*2,1)/2,神经网络!$E$10:$E$70,0),MATCH(ROUND(E2670*2,1)/2,神经网络!$G$8:$BO$8,0))</f>
        <v>1.7192567941880068</v>
      </c>
      <c r="I2670">
        <f t="shared" si="360"/>
        <v>141842.23811387297</v>
      </c>
      <c r="J2670">
        <f t="shared" si="361"/>
        <v>4407.2862216192461</v>
      </c>
      <c r="K2670">
        <f t="shared" si="362"/>
        <v>32.183577598860786</v>
      </c>
      <c r="L2670" s="4">
        <f>MIN(MAX(L2669*(1+MAX(MIN(((B2670-B2669)/B2669)/($K$7*卓尔金历!$N$40),0),-卓尔金历!$M$43))+MIN(MAX(((B2670-B2669)/B2669)/($K$7*卓尔金历!$N$40),0),卓尔金历!$M$43),0),1)</f>
        <v>0.91142983933182176</v>
      </c>
      <c r="M2670" s="4">
        <f>MIN(MAX(M2669*(1+MAX(MIN(((B2670-B2669)/B2669)/($K$7*30),0),-卓尔金历!$M$43))+MIN(MAX(((B2670-B2669)/B2669)/($K$7*7),0),卓尔金历!$M$43),0),1)</f>
        <v>0.95571491966591082</v>
      </c>
      <c r="N2670">
        <f t="shared" si="363"/>
        <v>92389.464792179235</v>
      </c>
      <c r="O2670">
        <f t="shared" si="364"/>
        <v>222838.77752267412</v>
      </c>
      <c r="P2670">
        <f t="shared" si="365"/>
        <v>-5.7968405418785396E-3</v>
      </c>
      <c r="Q2670">
        <f t="shared" si="366"/>
        <v>4.9439885235876703E-2</v>
      </c>
      <c r="R2670">
        <f t="shared" si="367"/>
        <v>1</v>
      </c>
      <c r="S2670">
        <f t="shared" si="359"/>
        <v>665.88596409923025</v>
      </c>
      <c r="T2670" s="564">
        <f>IF((I2670-MAX(I$470:I2670))/MAX(I$470:I2670)&gt;T2669,T2669,(I2670-MAX(I$470:I2670))/MAX(I$470:I2670))</f>
        <v>-0.91338805338419748</v>
      </c>
      <c r="U2670" s="564">
        <f>IF((J2670-MAX(J$470:J2670))/MAX(J$470:J2670)&gt;U2669,U2669,(J2670-MAX(J$470:J2670))/MAX(J$470:J2670))</f>
        <v>-0.8283551177402233</v>
      </c>
      <c r="V2670" s="564">
        <f>IF((K2670-MAX(K$470:K2670))/MAX(K$470:K2670)&gt;V2669,V2669,(K2670-MAX(K$470:K2670))/MAX(K$470:K2670))</f>
        <v>-0.84885940676762139</v>
      </c>
      <c r="W2670" s="564">
        <f>IF((N2670-MAX(N$470:N2670))/MAX(N$470:N2670)&gt;W2669,W2669,(N2670-MAX(N$470:N2670))/MAX(N$470:N2670))</f>
        <v>-0.62788758315546067</v>
      </c>
      <c r="X2670" s="564">
        <f>IF((O2670-MAX(O$470:O2670))/MAX(O$470:O2670)&gt;X2669,X2669,(O2670-MAX(O$470:O2670))/MAX(O$470:O2670))</f>
        <v>-0.62788758315546067</v>
      </c>
    </row>
    <row r="2671" spans="1:24">
      <c r="A2671" s="799">
        <v>43073</v>
      </c>
      <c r="B2671">
        <v>11443.5</v>
      </c>
      <c r="C2671">
        <v>4986.0150960000001</v>
      </c>
      <c r="D2671">
        <v>3.6537120000000001</v>
      </c>
      <c r="E2671">
        <f>LN(D2671/参数实验室!$E$53)/参数实验室!$E$55</f>
        <v>0.8356894653186715</v>
      </c>
      <c r="F2671">
        <f t="shared" si="358"/>
        <v>0.43570717839821732</v>
      </c>
      <c r="G2671">
        <f>LN(F2671/参数实验室!$E$58)/参数实验室!$E$59</f>
        <v>-0.62657082283590249</v>
      </c>
      <c r="H2671" s="856">
        <f>INDEX(神经网络!$G$10:$BO$70,MATCH(ROUND(G2671*2,1)/2,神经网络!$E$10:$E$70,0),MATCH(ROUND(E2671*2,1)/2,神经网络!$G$8:$BO$8,0))</f>
        <v>1.7095637228515659</v>
      </c>
      <c r="I2671">
        <f t="shared" si="360"/>
        <v>150638.45647871488</v>
      </c>
      <c r="J2671">
        <f t="shared" si="361"/>
        <v>4566.2583296755884</v>
      </c>
      <c r="K2671">
        <f t="shared" si="362"/>
        <v>32.989473131586287</v>
      </c>
      <c r="L2671" s="4">
        <f>MIN(MAX(L2670*(1+MAX(MIN(((B2671-B2670)/B2670)/($K$7*卓尔金历!$N$40),0),-卓尔金历!$M$43))+MIN(MAX(((B2671-B2670)/B2670)/($K$7*卓尔金历!$N$40),0),卓尔金历!$M$43),0),1)</f>
        <v>1</v>
      </c>
      <c r="M2671" s="4">
        <f>MIN(MAX(M2670*(1+MAX(MIN(((B2671-B2670)/B2670)/($K$7*30),0),-卓尔金历!$M$43))+MIN(MAX(((B2671-B2670)/B2670)/($K$7*7),0),卓尔金历!$M$43),0),1)</f>
        <v>1</v>
      </c>
      <c r="N2671">
        <f t="shared" si="363"/>
        <v>97611.455815336943</v>
      </c>
      <c r="O2671">
        <f t="shared" si="364"/>
        <v>236045.94119354972</v>
      </c>
      <c r="P2671">
        <f t="shared" si="365"/>
        <v>3.6070293614362897E-2</v>
      </c>
      <c r="Q2671">
        <f t="shared" si="366"/>
        <v>4.7863087440247469E-2</v>
      </c>
      <c r="R2671">
        <f t="shared" si="367"/>
        <v>0.34630014577409018</v>
      </c>
      <c r="S2671">
        <f t="shared" si="359"/>
        <v>707.18028111076671</v>
      </c>
      <c r="T2671" s="564">
        <f>IF((I2671-MAX(I$470:I2671))/MAX(I$470:I2671)&gt;T2670,T2670,(I2671-MAX(I$470:I2671))/MAX(I$470:I2671))</f>
        <v>-0.91338805338419748</v>
      </c>
      <c r="U2671" s="564">
        <f>IF((J2671-MAX(J$470:J2671))/MAX(J$470:J2671)&gt;U2670,U2670,(J2671-MAX(J$470:J2671))/MAX(J$470:J2671))</f>
        <v>-0.8283551177402233</v>
      </c>
      <c r="V2671" s="564">
        <f>IF((K2671-MAX(K$470:K2671))/MAX(K$470:K2671)&gt;V2670,V2670,(K2671-MAX(K$470:K2671))/MAX(K$470:K2671))</f>
        <v>-0.84885940676762139</v>
      </c>
      <c r="W2671" s="564">
        <f>IF((N2671-MAX(N$470:N2671))/MAX(N$470:N2671)&gt;W2670,W2670,(N2671-MAX(N$470:N2671))/MAX(N$470:N2671))</f>
        <v>-0.62788758315546067</v>
      </c>
      <c r="X2671" s="564">
        <f>IF((O2671-MAX(O$470:O2671))/MAX(O$470:O2671)&gt;X2670,X2670,(O2671-MAX(O$470:O2671))/MAX(O$470:O2671))</f>
        <v>-0.62788758315546067</v>
      </c>
    </row>
    <row r="2672" spans="1:24">
      <c r="A2672" s="799">
        <v>43074</v>
      </c>
      <c r="B2672">
        <v>11684.2</v>
      </c>
      <c r="C2672">
        <v>4867.6147730000002</v>
      </c>
      <c r="D2672">
        <v>3.6531030000000002</v>
      </c>
      <c r="E2672">
        <f>LN(D2672/参数实验室!$E$53)/参数实验室!$E$55</f>
        <v>0.83549280788934233</v>
      </c>
      <c r="F2672">
        <f t="shared" si="358"/>
        <v>0.41659803606579826</v>
      </c>
      <c r="G2672">
        <f>LN(F2672/参数实验室!$E$58)/参数实验室!$E$59</f>
        <v>-0.65010978868173652</v>
      </c>
      <c r="H2672" s="856">
        <f>INDEX(神经网络!$G$10:$BO$70,MATCH(ROUND(G2672*2,1)/2,神经网络!$E$10:$E$70,0),MATCH(ROUND(E2672*2,1)/2,神经网络!$G$8:$BO$8,0))</f>
        <v>1.7095637228515659</v>
      </c>
      <c r="I2672">
        <f t="shared" si="360"/>
        <v>156055.20117564252</v>
      </c>
      <c r="J2672">
        <f t="shared" si="361"/>
        <v>4662.3039782929618</v>
      </c>
      <c r="K2672">
        <f t="shared" si="362"/>
        <v>33.471691657646907</v>
      </c>
      <c r="L2672" s="4">
        <f>MIN(MAX(L2671*(1+MAX(MIN(((B2672-B2671)/B2671)/($K$7*卓尔金历!$N$40),0),-卓尔金历!$M$43))+MIN(MAX(((B2672-B2671)/B2671)/($K$7*卓尔金历!$N$40),0),卓尔金历!$M$43),0),1)</f>
        <v>1</v>
      </c>
      <c r="M2672" s="4">
        <f>MIN(MAX(M2671*(1+MAX(MIN(((B2672-B2671)/B2671)/($K$7*30),0),-卓尔金历!$M$43))+MIN(MAX(((B2672-B2671)/B2671)/($K$7*7),0),卓尔金历!$M$43),0),1)</f>
        <v>1</v>
      </c>
      <c r="N2672">
        <f t="shared" si="363"/>
        <v>101121.42496934127</v>
      </c>
      <c r="O2672">
        <f t="shared" si="364"/>
        <v>244533.81759695749</v>
      </c>
      <c r="P2672">
        <f t="shared" si="365"/>
        <v>2.1033774631887162E-2</v>
      </c>
      <c r="Q2672">
        <f t="shared" si="366"/>
        <v>4.4792984803595552E-2</v>
      </c>
      <c r="R2672">
        <f t="shared" si="367"/>
        <v>0.83996592826144179</v>
      </c>
      <c r="S2672">
        <f t="shared" si="359"/>
        <v>715.98641585810913</v>
      </c>
      <c r="T2672" s="564">
        <f>IF((I2672-MAX(I$470:I2672))/MAX(I$470:I2672)&gt;T2671,T2671,(I2672-MAX(I$470:I2672))/MAX(I$470:I2672))</f>
        <v>-0.91338805338419748</v>
      </c>
      <c r="U2672" s="564">
        <f>IF((J2672-MAX(J$470:J2672))/MAX(J$470:J2672)&gt;U2671,U2671,(J2672-MAX(J$470:J2672))/MAX(J$470:J2672))</f>
        <v>-0.8283551177402233</v>
      </c>
      <c r="V2672" s="564">
        <f>IF((K2672-MAX(K$470:K2672))/MAX(K$470:K2672)&gt;V2671,V2671,(K2672-MAX(K$470:K2672))/MAX(K$470:K2672))</f>
        <v>-0.84885940676762139</v>
      </c>
      <c r="W2672" s="564">
        <f>IF((N2672-MAX(N$470:N2672))/MAX(N$470:N2672)&gt;W2671,W2671,(N2672-MAX(N$470:N2672))/MAX(N$470:N2672))</f>
        <v>-0.62788758315546067</v>
      </c>
      <c r="X2672" s="564">
        <f>IF((O2672-MAX(O$470:O2672))/MAX(O$470:O2672)&gt;X2671,X2671,(O2672-MAX(O$470:O2672))/MAX(O$470:O2672))</f>
        <v>-0.62788758315546067</v>
      </c>
    </row>
    <row r="2673" spans="1:24">
      <c r="A2673" s="799">
        <v>43075</v>
      </c>
      <c r="B2673">
        <v>12458.2</v>
      </c>
      <c r="C2673">
        <v>4697.6441329999998</v>
      </c>
      <c r="D2673">
        <v>4.2109680000000003</v>
      </c>
      <c r="E2673">
        <f>LN(D2673/参数实验室!$E$53)/参数实验室!$E$55</f>
        <v>1.0031541557793064</v>
      </c>
      <c r="F2673">
        <f t="shared" si="358"/>
        <v>0.37707246094941482</v>
      </c>
      <c r="G2673">
        <f>LN(F2673/参数实验室!$E$58)/参数实验室!$E$59</f>
        <v>-0.70242957085129054</v>
      </c>
      <c r="H2673" s="856">
        <f>INDEX(神经网络!$G$10:$BO$70,MATCH(ROUND(G2673*2,1)/2,神经网络!$E$10:$E$70,0),MATCH(ROUND(E2673*2,1)/2,神经网络!$G$8:$BO$8,0))</f>
        <v>1.7733151832011707</v>
      </c>
      <c r="I2673">
        <f t="shared" si="360"/>
        <v>173728.00757023937</v>
      </c>
      <c r="J2673">
        <f t="shared" si="361"/>
        <v>4971.1503930409763</v>
      </c>
      <c r="K2673">
        <f t="shared" si="362"/>
        <v>34.94724436690511</v>
      </c>
      <c r="L2673" s="4">
        <f>MIN(MAX(L2672*(1+MAX(MIN(((B2673-B2672)/B2672)/($K$7*卓尔金历!$N$40),0),-卓尔金历!$M$43))+MIN(MAX(((B2673-B2672)/B2672)/($K$7*卓尔金历!$N$40),0),卓尔金历!$M$43),0),1)</f>
        <v>1</v>
      </c>
      <c r="M2673" s="4">
        <f>MIN(MAX(M2672*(1+MAX(MIN(((B2673-B2672)/B2672)/($K$7*30),0),-卓尔金历!$M$43))+MIN(MAX(((B2673-B2672)/B2672)/($K$7*7),0),卓尔金历!$M$43),0),1)</f>
        <v>1</v>
      </c>
      <c r="N2673">
        <f t="shared" si="363"/>
        <v>112573.13790403231</v>
      </c>
      <c r="O2673">
        <f t="shared" si="364"/>
        <v>272226.57492107042</v>
      </c>
      <c r="P2673">
        <f t="shared" si="365"/>
        <v>6.6243302921894523E-2</v>
      </c>
      <c r="Q2673">
        <f t="shared" si="366"/>
        <v>4.5465410302081836E-2</v>
      </c>
      <c r="R2673">
        <f t="shared" si="367"/>
        <v>2.7933687047204031E-2</v>
      </c>
      <c r="S2673">
        <f t="shared" si="359"/>
        <v>784.0937254049411</v>
      </c>
      <c r="T2673" s="564">
        <f>IF((I2673-MAX(I$470:I2673))/MAX(I$470:I2673)&gt;T2672,T2672,(I2673-MAX(I$470:I2673))/MAX(I$470:I2673))</f>
        <v>-0.91338805338419748</v>
      </c>
      <c r="U2673" s="564">
        <f>IF((J2673-MAX(J$470:J2673))/MAX(J$470:J2673)&gt;U2672,U2672,(J2673-MAX(J$470:J2673))/MAX(J$470:J2673))</f>
        <v>-0.8283551177402233</v>
      </c>
      <c r="V2673" s="564">
        <f>IF((K2673-MAX(K$470:K2673))/MAX(K$470:K2673)&gt;V2672,V2672,(K2673-MAX(K$470:K2673))/MAX(K$470:K2673))</f>
        <v>-0.84885940676762139</v>
      </c>
      <c r="W2673" s="564">
        <f>IF((N2673-MAX(N$470:N2673))/MAX(N$470:N2673)&gt;W2672,W2672,(N2673-MAX(N$470:N2673))/MAX(N$470:N2673))</f>
        <v>-0.62788758315546067</v>
      </c>
      <c r="X2673" s="564">
        <f>IF((O2673-MAX(O$470:O2673))/MAX(O$470:O2673)&gt;X2672,X2672,(O2673-MAX(O$470:O2673))/MAX(O$470:O2673))</f>
        <v>-0.62788758315546067</v>
      </c>
    </row>
    <row r="2674" spans="1:24">
      <c r="A2674" s="799">
        <v>43076</v>
      </c>
      <c r="B2674">
        <v>14441.8</v>
      </c>
      <c r="C2674">
        <v>4711.5956640000004</v>
      </c>
      <c r="D2674">
        <v>4.7166579999999998</v>
      </c>
      <c r="E2674">
        <f>LN(D2674/参数实验室!$E$53)/参数实验室!$E$55</f>
        <v>1.136947550274751</v>
      </c>
      <c r="F2674">
        <f t="shared" si="358"/>
        <v>0.32624712044205023</v>
      </c>
      <c r="G2674">
        <f>LN(F2674/参数实验室!$E$58)/参数实验室!$E$59</f>
        <v>-0.77841911526082164</v>
      </c>
      <c r="H2674" s="856">
        <f>INDEX(神经网络!$G$10:$BO$70,MATCH(ROUND(G2674*2,1)/2,神经网络!$E$10:$E$70,0),MATCH(ROUND(E2674*2,1)/2,神经网络!$G$8:$BO$8,0))</f>
        <v>1.6367928991466771</v>
      </c>
      <c r="I2674">
        <f t="shared" si="360"/>
        <v>222779.76505692382</v>
      </c>
      <c r="J2674">
        <f t="shared" si="361"/>
        <v>5762.6591117672833</v>
      </c>
      <c r="K2674">
        <f t="shared" si="362"/>
        <v>38.659195474882438</v>
      </c>
      <c r="L2674" s="4">
        <f>MIN(MAX(L2673*(1+MAX(MIN(((B2674-B2673)/B2673)/($K$7*卓尔金历!$N$40),0),-卓尔金历!$M$43))+MIN(MAX(((B2674-B2673)/B2673)/($K$7*卓尔金历!$N$40),0),卓尔金历!$M$43),0),1)</f>
        <v>1</v>
      </c>
      <c r="M2674" s="4">
        <f>MIN(MAX(M2673*(1+MAX(MIN(((B2674-B2673)/B2673)/($K$7*30),0),-卓尔金历!$M$43))+MIN(MAX(((B2674-B2673)/B2673)/($K$7*7),0),卓尔金历!$M$43),0),1)</f>
        <v>1</v>
      </c>
      <c r="N2674">
        <f t="shared" si="363"/>
        <v>144357.93954432703</v>
      </c>
      <c r="O2674">
        <f t="shared" si="364"/>
        <v>349089.20703903964</v>
      </c>
      <c r="P2674">
        <f t="shared" si="365"/>
        <v>0.15922043312838119</v>
      </c>
      <c r="Q2674">
        <f t="shared" si="366"/>
        <v>5.3202598330532709E-2</v>
      </c>
      <c r="R2674">
        <f t="shared" si="367"/>
        <v>0</v>
      </c>
      <c r="S2674">
        <f t="shared" si="359"/>
        <v>790.27788907755325</v>
      </c>
      <c r="T2674" s="564">
        <f>IF((I2674-MAX(I$470:I2674))/MAX(I$470:I2674)&gt;T2673,T2673,(I2674-MAX(I$470:I2674))/MAX(I$470:I2674))</f>
        <v>-0.91338805338419748</v>
      </c>
      <c r="U2674" s="564">
        <f>IF((J2674-MAX(J$470:J2674))/MAX(J$470:J2674)&gt;U2673,U2673,(J2674-MAX(J$470:J2674))/MAX(J$470:J2674))</f>
        <v>-0.8283551177402233</v>
      </c>
      <c r="V2674" s="564">
        <f>IF((K2674-MAX(K$470:K2674))/MAX(K$470:K2674)&gt;V2673,V2673,(K2674-MAX(K$470:K2674))/MAX(K$470:K2674))</f>
        <v>-0.84885940676762139</v>
      </c>
      <c r="W2674" s="564">
        <f>IF((N2674-MAX(N$470:N2674))/MAX(N$470:N2674)&gt;W2673,W2673,(N2674-MAX(N$470:N2674))/MAX(N$470:N2674))</f>
        <v>-0.62788758315546067</v>
      </c>
      <c r="X2674" s="564">
        <f>IF((O2674-MAX(O$470:O2674))/MAX(O$470:O2674)&gt;X2673,X2673,(O2674-MAX(O$470:O2674))/MAX(O$470:O2674))</f>
        <v>-0.62788758315546067</v>
      </c>
    </row>
    <row r="2675" spans="1:24">
      <c r="A2675" s="799">
        <v>43077</v>
      </c>
      <c r="B2675">
        <v>16669.099999999999</v>
      </c>
      <c r="C2675">
        <v>4676.71641</v>
      </c>
      <c r="D2675">
        <v>4.3468640000000001</v>
      </c>
      <c r="E2675">
        <f>LN(D2675/参数实验室!$E$53)/参数实验室!$E$55</f>
        <v>1.0406256146550006</v>
      </c>
      <c r="F2675">
        <f t="shared" si="358"/>
        <v>0.28056202254470852</v>
      </c>
      <c r="G2675">
        <f>LN(F2675/参数实验室!$E$58)/参数实验室!$E$59</f>
        <v>-0.85759876289622583</v>
      </c>
      <c r="H2675" s="856">
        <f>INDEX(神经网络!$G$10:$BO$70,MATCH(ROUND(G2675*2,1)/2,神经网络!$E$10:$E$70,0),MATCH(ROUND(E2675*2,1)/2,神经网络!$G$8:$BO$8,0))</f>
        <v>1.3219544498672653</v>
      </c>
      <c r="I2675">
        <f t="shared" si="360"/>
        <v>279017.37622419413</v>
      </c>
      <c r="J2675">
        <f t="shared" si="361"/>
        <v>6651.4105582378943</v>
      </c>
      <c r="K2675">
        <f t="shared" si="362"/>
        <v>41.948602297391787</v>
      </c>
      <c r="L2675" s="4">
        <f>MIN(MAX(L2674*(1+MAX(MIN(((B2675-B2674)/B2674)/($K$7*卓尔金历!$N$40),0),-卓尔金历!$M$43))+MIN(MAX(((B2675-B2674)/B2674)/($K$7*卓尔金历!$N$40),0),卓尔金历!$M$43),0),1)</f>
        <v>1</v>
      </c>
      <c r="M2675" s="4">
        <f>MIN(MAX(M2674*(1+MAX(MIN(((B2675-B2674)/B2674)/($K$7*30),0),-卓尔金历!$M$43))+MIN(MAX(((B2675-B2674)/B2674)/($K$7*7),0),卓尔金历!$M$43),0),1)</f>
        <v>1</v>
      </c>
      <c r="N2675">
        <f t="shared" si="363"/>
        <v>180799.06637165722</v>
      </c>
      <c r="O2675">
        <f t="shared" si="364"/>
        <v>437211.85625332518</v>
      </c>
      <c r="P2675">
        <f t="shared" si="365"/>
        <v>0.15422592751596056</v>
      </c>
      <c r="Q2675">
        <f t="shared" si="366"/>
        <v>5.7549578890124874E-2</v>
      </c>
      <c r="R2675">
        <f t="shared" si="367"/>
        <v>7.5697873819409141E-4</v>
      </c>
      <c r="S2675">
        <f t="shared" si="359"/>
        <v>790.27788907755325</v>
      </c>
      <c r="T2675" s="564">
        <f>IF((I2675-MAX(I$470:I2675))/MAX(I$470:I2675)&gt;T2674,T2674,(I2675-MAX(I$470:I2675))/MAX(I$470:I2675))</f>
        <v>-0.91338805338419748</v>
      </c>
      <c r="U2675" s="564">
        <f>IF((J2675-MAX(J$470:J2675))/MAX(J$470:J2675)&gt;U2674,U2674,(J2675-MAX(J$470:J2675))/MAX(J$470:J2675))</f>
        <v>-0.8283551177402233</v>
      </c>
      <c r="V2675" s="564">
        <f>IF((K2675-MAX(K$470:K2675))/MAX(K$470:K2675)&gt;V2674,V2674,(K2675-MAX(K$470:K2675))/MAX(K$470:K2675))</f>
        <v>-0.84885940676762139</v>
      </c>
      <c r="W2675" s="564">
        <f>IF((N2675-MAX(N$470:N2675))/MAX(N$470:N2675)&gt;W2674,W2674,(N2675-MAX(N$470:N2675))/MAX(N$470:N2675))</f>
        <v>-0.62788758315546067</v>
      </c>
      <c r="X2675" s="564">
        <f>IF((O2675-MAX(O$470:O2675))/MAX(O$470:O2675)&gt;X2674,X2674,(O2675-MAX(O$470:O2675))/MAX(O$470:O2675))</f>
        <v>-0.62788758315546067</v>
      </c>
    </row>
    <row r="2676" spans="1:24">
      <c r="A2676" s="799">
        <v>43078</v>
      </c>
      <c r="B2676">
        <v>16129.6</v>
      </c>
      <c r="C2676">
        <v>4615.4325639999997</v>
      </c>
      <c r="D2676">
        <v>3.9646050000000002</v>
      </c>
      <c r="E2676">
        <f>LN(D2676/参数实验室!$E$53)/参数实验室!$E$55</f>
        <v>0.93203117233833566</v>
      </c>
      <c r="F2676">
        <f t="shared" si="358"/>
        <v>0.28614674660251954</v>
      </c>
      <c r="G2676">
        <f>LN(F2676/参数实验室!$E$58)/参数实验室!$E$59</f>
        <v>-0.84725390835206604</v>
      </c>
      <c r="H2676" s="856">
        <f>INDEX(神经网络!$G$10:$BO$70,MATCH(ROUND(G2676*2,1)/2,神经网络!$E$10:$E$70,0),MATCH(ROUND(E2676*2,1)/2,神经网络!$G$8:$BO$8,0))</f>
        <v>1.2562688719011026</v>
      </c>
      <c r="I2676">
        <f t="shared" si="360"/>
        <v>267079.50091014121</v>
      </c>
      <c r="J2676">
        <f t="shared" si="361"/>
        <v>6436.1358285782644</v>
      </c>
      <c r="K2676">
        <f t="shared" si="362"/>
        <v>41.496871418442204</v>
      </c>
      <c r="L2676" s="4">
        <f>MIN(MAX(L2675*(1+MAX(MIN(((B2676-B2675)/B2675)/($K$7*卓尔金历!$N$40),0),-卓尔金历!$M$43))+MIN(MAX(((B2676-B2675)/B2675)/($K$7*卓尔金历!$N$40),0),卓尔金历!$M$43),0),1)</f>
        <v>0.50548966167462717</v>
      </c>
      <c r="M2676" s="4">
        <f>MIN(MAX(M2675*(1+MAX(MIN(((B2676-B2675)/B2675)/($K$7*30),0),-卓尔金历!$M$43))+MIN(MAX(((B2676-B2675)/B2675)/($K$7*7),0),卓尔金历!$M$43),0),1)</f>
        <v>0.75274483083731358</v>
      </c>
      <c r="N2676">
        <f t="shared" si="363"/>
        <v>173063.50258545144</v>
      </c>
      <c r="O2676">
        <f t="shared" si="364"/>
        <v>418505.5638481382</v>
      </c>
      <c r="P2676">
        <f t="shared" si="365"/>
        <v>-3.2365274669898088E-2</v>
      </c>
      <c r="Q2676">
        <f t="shared" si="366"/>
        <v>5.6065033859052434E-2</v>
      </c>
      <c r="R2676">
        <f t="shared" si="367"/>
        <v>0.63859508586810954</v>
      </c>
      <c r="S2676">
        <f t="shared" si="359"/>
        <v>790.25229383199019</v>
      </c>
      <c r="T2676" s="564">
        <f>IF((I2676-MAX(I$470:I2676))/MAX(I$470:I2676)&gt;T2675,T2675,(I2676-MAX(I$470:I2676))/MAX(I$470:I2676))</f>
        <v>-0.91338805338419748</v>
      </c>
      <c r="U2676" s="564">
        <f>IF((J2676-MAX(J$470:J2676))/MAX(J$470:J2676)&gt;U2675,U2675,(J2676-MAX(J$470:J2676))/MAX(J$470:J2676))</f>
        <v>-0.8283551177402233</v>
      </c>
      <c r="V2676" s="564">
        <f>IF((K2676-MAX(K$470:K2676))/MAX(K$470:K2676)&gt;V2675,V2675,(K2676-MAX(K$470:K2676))/MAX(K$470:K2676))</f>
        <v>-0.84885940676762139</v>
      </c>
      <c r="W2676" s="564">
        <f>IF((N2676-MAX(N$470:N2676))/MAX(N$470:N2676)&gt;W2675,W2675,(N2676-MAX(N$470:N2676))/MAX(N$470:N2676))</f>
        <v>-0.62788758315546067</v>
      </c>
      <c r="X2676" s="564">
        <f>IF((O2676-MAX(O$470:O2676))/MAX(O$470:O2676)&gt;X2675,X2675,(O2676-MAX(O$470:O2676))/MAX(O$470:O2676))</f>
        <v>-0.62788758315546067</v>
      </c>
    </row>
    <row r="2677" spans="1:24">
      <c r="A2677" s="799">
        <v>43079</v>
      </c>
      <c r="B2677">
        <v>13465.6</v>
      </c>
      <c r="C2677">
        <v>4488.3643679999996</v>
      </c>
      <c r="D2677">
        <v>4.0084099999999996</v>
      </c>
      <c r="E2677">
        <f>LN(D2677/参数实验室!$E$53)/参数实验室!$E$55</f>
        <v>0.94499480299815708</v>
      </c>
      <c r="F2677">
        <f t="shared" si="358"/>
        <v>0.33332078540874521</v>
      </c>
      <c r="G2677">
        <f>LN(F2677/参数实验室!$E$58)/参数实验室!$E$59</f>
        <v>-0.76716088399873694</v>
      </c>
      <c r="H2677" s="856">
        <f>INDEX(神经网络!$G$10:$BO$70,MATCH(ROUND(G2677*2,1)/2,神经网络!$E$10:$E$70,0),MATCH(ROUND(E2677*2,1)/2,神经网络!$G$8:$BO$8,0))</f>
        <v>1.6011526330059533</v>
      </c>
      <c r="I2677">
        <f t="shared" si="360"/>
        <v>211663.67912444266</v>
      </c>
      <c r="J2677">
        <f t="shared" si="361"/>
        <v>5373.1295638641677</v>
      </c>
      <c r="K2677">
        <f t="shared" si="362"/>
        <v>39.392997434482396</v>
      </c>
      <c r="L2677" s="4">
        <f>MIN(MAX(L2676*(1+MAX(MIN(((B2677-B2676)/B2676)/($K$7*卓尔金历!$N$40),0),-卓尔金历!$M$43))+MIN(MAX(((B2677-B2676)/B2676)/($K$7*卓尔金历!$N$40),0),卓尔金历!$M$43),0),1)</f>
        <v>0</v>
      </c>
      <c r="M2677" s="4">
        <f>MIN(MAX(M2676*(1+MAX(MIN(((B2677-B2676)/B2676)/($K$7*30),0),-卓尔金历!$M$43))+MIN(MAX(((B2677-B2676)/B2676)/($K$7*7),0),卓尔金历!$M$43),0),1)</f>
        <v>0</v>
      </c>
      <c r="N2677">
        <f t="shared" si="363"/>
        <v>154912.06658284648</v>
      </c>
      <c r="O2677">
        <f t="shared" si="364"/>
        <v>353141.01922056905</v>
      </c>
      <c r="P2677">
        <f t="shared" si="365"/>
        <v>-0.16516218629104254</v>
      </c>
      <c r="Q2677">
        <f t="shared" si="366"/>
        <v>7.0885509378123865E-2</v>
      </c>
      <c r="R2677">
        <f t="shared" si="367"/>
        <v>8.6417574131104399E-3</v>
      </c>
      <c r="S2677">
        <f t="shared" si="359"/>
        <v>685.54316186958897</v>
      </c>
      <c r="T2677" s="564">
        <f>IF((I2677-MAX(I$470:I2677))/MAX(I$470:I2677)&gt;T2676,T2676,(I2677-MAX(I$470:I2677))/MAX(I$470:I2677))</f>
        <v>-0.91338805338419748</v>
      </c>
      <c r="U2677" s="564">
        <f>IF((J2677-MAX(J$470:J2677))/MAX(J$470:J2677)&gt;U2676,U2676,(J2677-MAX(J$470:J2677))/MAX(J$470:J2677))</f>
        <v>-0.8283551177402233</v>
      </c>
      <c r="V2677" s="564">
        <f>IF((K2677-MAX(K$470:K2677))/MAX(K$470:K2677)&gt;V2676,V2676,(K2677-MAX(K$470:K2677))/MAX(K$470:K2677))</f>
        <v>-0.84885940676762139</v>
      </c>
      <c r="W2677" s="564">
        <f>IF((N2677-MAX(N$470:N2677))/MAX(N$470:N2677)&gt;W2676,W2676,(N2677-MAX(N$470:N2677))/MAX(N$470:N2677))</f>
        <v>-0.62788758315546067</v>
      </c>
      <c r="X2677" s="564">
        <f>IF((O2677-MAX(O$470:O2677))/MAX(O$470:O2677)&gt;X2676,X2676,(O2677-MAX(O$470:O2677))/MAX(O$470:O2677))</f>
        <v>-0.62788758315546067</v>
      </c>
    </row>
    <row r="2678" spans="1:24">
      <c r="A2678" s="799">
        <v>43080</v>
      </c>
      <c r="B2678">
        <v>17102.2</v>
      </c>
      <c r="C2678">
        <v>4238.3901999999998</v>
      </c>
      <c r="D2678">
        <v>4.2560729999999998</v>
      </c>
      <c r="E2678">
        <f>LN(D2678/参数实验室!$E$53)/参数实验室!$E$55</f>
        <v>1.0157236646408343</v>
      </c>
      <c r="F2678">
        <f t="shared" si="358"/>
        <v>0.24782719182327417</v>
      </c>
      <c r="G2678">
        <f>LN(F2678/参数实验室!$E$58)/参数实验室!$E$59</f>
        <v>-0.92271379231393025</v>
      </c>
      <c r="H2678" s="856">
        <f>INDEX(神经网络!$G$10:$BO$70,MATCH(ROUND(G2678*2,1)/2,神经网络!$E$10:$E$70,0),MATCH(ROUND(E2678*2,1)/2,神经网络!$G$8:$BO$8,0))</f>
        <v>1.02918721783624</v>
      </c>
      <c r="I2678">
        <f t="shared" si="360"/>
        <v>303190.60997653793</v>
      </c>
      <c r="J2678">
        <f t="shared" si="361"/>
        <v>6824.2288815290649</v>
      </c>
      <c r="K2678">
        <f t="shared" si="362"/>
        <v>44.42855233023834</v>
      </c>
      <c r="L2678" s="4">
        <f>MIN(MAX(L2677*(1+MAX(MIN(((B2678-B2677)/B2677)/($K$7*卓尔金历!$N$40),0),-卓尔金历!$M$43))+MIN(MAX(((B2678-B2677)/B2677)/($K$7*卓尔金历!$N$40),0),卓尔金历!$M$43),0),1)</f>
        <v>1</v>
      </c>
      <c r="M2678" s="4">
        <f>MIN(MAX(M2677*(1+MAX(MIN(((B2678-B2677)/B2677)/($K$7*30),0),-卓尔金历!$M$43))+MIN(MAX(((B2678-B2677)/B2677)/($K$7*7),0),卓尔金历!$M$43),0),1)</f>
        <v>1</v>
      </c>
      <c r="N2678">
        <f t="shared" si="363"/>
        <v>154912.06658284648</v>
      </c>
      <c r="O2678">
        <f t="shared" si="364"/>
        <v>353141.01922056905</v>
      </c>
      <c r="P2678">
        <f t="shared" si="365"/>
        <v>0.27006594581749049</v>
      </c>
      <c r="Q2678">
        <f t="shared" si="366"/>
        <v>8.7486547542417401E-2</v>
      </c>
      <c r="R2678">
        <f t="shared" si="367"/>
        <v>0</v>
      </c>
      <c r="S2678">
        <f t="shared" si="359"/>
        <v>688.10492772511134</v>
      </c>
      <c r="T2678" s="564">
        <f>IF((I2678-MAX(I$470:I2678))/MAX(I$470:I2678)&gt;T2677,T2677,(I2678-MAX(I$470:I2678))/MAX(I$470:I2678))</f>
        <v>-0.91338805338419748</v>
      </c>
      <c r="U2678" s="564">
        <f>IF((J2678-MAX(J$470:J2678))/MAX(J$470:J2678)&gt;U2677,U2677,(J2678-MAX(J$470:J2678))/MAX(J$470:J2678))</f>
        <v>-0.8283551177402233</v>
      </c>
      <c r="V2678" s="564">
        <f>IF((K2678-MAX(K$470:K2678))/MAX(K$470:K2678)&gt;V2677,V2677,(K2678-MAX(K$470:K2678))/MAX(K$470:K2678))</f>
        <v>-0.84885940676762139</v>
      </c>
      <c r="W2678" s="564">
        <f>IF((N2678-MAX(N$470:N2678))/MAX(N$470:N2678)&gt;W2677,W2677,(N2678-MAX(N$470:N2678))/MAX(N$470:N2678))</f>
        <v>-0.62788758315546067</v>
      </c>
      <c r="X2678" s="564">
        <f>IF((O2678-MAX(O$470:O2678))/MAX(O$470:O2678)&gt;X2677,X2677,(O2678-MAX(O$470:O2678))/MAX(O$470:O2678))</f>
        <v>-0.62788758315546067</v>
      </c>
    </row>
    <row r="2679" spans="1:24">
      <c r="A2679" s="799">
        <v>43081</v>
      </c>
      <c r="B2679">
        <v>16574</v>
      </c>
      <c r="C2679">
        <v>4043.8307159999999</v>
      </c>
      <c r="D2679">
        <v>4.239274</v>
      </c>
      <c r="E2679">
        <f>LN(D2679/参数实验室!$E$53)/参数实验室!$E$55</f>
        <v>1.0110578868738882</v>
      </c>
      <c r="F2679">
        <f t="shared" si="358"/>
        <v>0.24398640738506094</v>
      </c>
      <c r="G2679">
        <f>LN(F2679/参数实验室!$E$58)/参数实验室!$E$59</f>
        <v>-0.93091158198924595</v>
      </c>
      <c r="H2679" s="856">
        <f>INDEX(神经网络!$G$10:$BO$70,MATCH(ROUND(G2679*2,1)/2,神经网络!$E$10:$E$70,0),MATCH(ROUND(E2679*2,1)/2,神经网络!$G$8:$BO$8,0))</f>
        <v>0.73334071011771385</v>
      </c>
      <c r="I2679">
        <f t="shared" si="360"/>
        <v>293553.28405543143</v>
      </c>
      <c r="J2679">
        <f t="shared" si="361"/>
        <v>6613.4631499142051</v>
      </c>
      <c r="K2679">
        <f t="shared" si="362"/>
        <v>44.387226087324557</v>
      </c>
      <c r="L2679" s="4">
        <f>MIN(MAX(L2678*(1+MAX(MIN(((B2679-B2678)/B2678)/($K$7*卓尔金历!$N$40),0),-卓尔金历!$M$43))+MIN(MAX(((B2679-B2678)/B2678)/($K$7*卓尔金历!$N$40),0),卓尔金历!$M$43),0),1)</f>
        <v>0.52810813086162545</v>
      </c>
      <c r="M2679" s="4">
        <f>MIN(MAX(M2678*(1+MAX(MIN(((B2679-B2678)/B2678)/($K$7*30),0),-卓尔金历!$M$43))+MIN(MAX(((B2679-B2678)/B2678)/($K$7*7),0),卓尔金历!$M$43),0),1)</f>
        <v>0.76405406543081278</v>
      </c>
      <c r="N2679">
        <f t="shared" si="363"/>
        <v>149987.97584373498</v>
      </c>
      <c r="O2679">
        <f t="shared" si="364"/>
        <v>341915.95160187298</v>
      </c>
      <c r="P2679">
        <f t="shared" si="365"/>
        <v>-3.0884915391002368E-2</v>
      </c>
      <c r="Q2679">
        <f t="shared" si="366"/>
        <v>8.862801719966068E-2</v>
      </c>
      <c r="R2679">
        <f t="shared" si="367"/>
        <v>1</v>
      </c>
      <c r="S2679">
        <f t="shared" si="359"/>
        <v>688.10492772511134</v>
      </c>
      <c r="T2679" s="564">
        <f>IF((I2679-MAX(I$470:I2679))/MAX(I$470:I2679)&gt;T2678,T2678,(I2679-MAX(I$470:I2679))/MAX(I$470:I2679))</f>
        <v>-0.91338805338419748</v>
      </c>
      <c r="U2679" s="564">
        <f>IF((J2679-MAX(J$470:J2679))/MAX(J$470:J2679)&gt;U2678,U2678,(J2679-MAX(J$470:J2679))/MAX(J$470:J2679))</f>
        <v>-0.8283551177402233</v>
      </c>
      <c r="V2679" s="564">
        <f>IF((K2679-MAX(K$470:K2679))/MAX(K$470:K2679)&gt;V2678,V2678,(K2679-MAX(K$470:K2679))/MAX(K$470:K2679))</f>
        <v>-0.84885940676762139</v>
      </c>
      <c r="W2679" s="564">
        <f>IF((N2679-MAX(N$470:N2679))/MAX(N$470:N2679)&gt;W2678,W2678,(N2679-MAX(N$470:N2679))/MAX(N$470:N2679))</f>
        <v>-0.62788758315546067</v>
      </c>
      <c r="X2679" s="564">
        <f>IF((O2679-MAX(O$470:O2679))/MAX(O$470:O2679)&gt;X2678,X2678,(O2679-MAX(O$470:O2679))/MAX(O$470:O2679))</f>
        <v>-0.62788758315546067</v>
      </c>
    </row>
    <row r="2680" spans="1:24">
      <c r="A2680" s="799">
        <v>43082</v>
      </c>
      <c r="B2680">
        <v>16805.3</v>
      </c>
      <c r="C2680">
        <v>3932.7059530000001</v>
      </c>
      <c r="D2680">
        <v>3.9357600000000001</v>
      </c>
      <c r="E2680">
        <f>LN(D2680/参数实验室!$E$53)/参数实验室!$E$55</f>
        <v>0.92341634668510775</v>
      </c>
      <c r="F2680">
        <f t="shared" si="358"/>
        <v>0.23401581364212481</v>
      </c>
      <c r="G2680">
        <f>LN(F2680/参数实验室!$E$58)/参数实验室!$E$59</f>
        <v>-0.95281049947843399</v>
      </c>
      <c r="H2680" s="856">
        <f>INDEX(神经网络!$G$10:$BO$70,MATCH(ROUND(G2680*2,1)/2,神经网络!$E$10:$E$70,0),MATCH(ROUND(E2680*2,1)/2,神经网络!$G$8:$BO$8,0))</f>
        <v>-0.34287898943187145</v>
      </c>
      <c r="I2680">
        <f t="shared" si="360"/>
        <v>296557.56841146131</v>
      </c>
      <c r="J2680">
        <f t="shared" si="361"/>
        <v>6705.7579506005304</v>
      </c>
      <c r="K2680">
        <f t="shared" si="362"/>
        <v>44.224317459132756</v>
      </c>
      <c r="L2680" s="4">
        <f>MIN(MAX(L2679*(1+MAX(MIN(((B2680-B2679)/B2679)/($K$7*卓尔金历!$N$40),0),-卓尔金历!$M$43))+MIN(MAX(((B2680-B2679)/B2679)/($K$7*卓尔金历!$N$40),0),卓尔金历!$M$43),0),1)</f>
        <v>0.74133620121244603</v>
      </c>
      <c r="M2680" s="4">
        <f>MIN(MAX(M2679*(1+MAX(MIN(((B2680-B2679)/B2679)/($K$7*30),0),-卓尔金历!$M$43))+MIN(MAX(((B2680-B2679)/B2679)/($K$7*7),0),卓尔金历!$M$43),0),1)</f>
        <v>1</v>
      </c>
      <c r="N2680">
        <f t="shared" si="363"/>
        <v>150798.62585152392</v>
      </c>
      <c r="O2680">
        <f t="shared" si="364"/>
        <v>344589.55846000626</v>
      </c>
      <c r="P2680">
        <f t="shared" si="365"/>
        <v>1.3955593097622739E-2</v>
      </c>
      <c r="Q2680">
        <f t="shared" si="366"/>
        <v>8.8575929392558067E-2</v>
      </c>
      <c r="R2680">
        <f t="shared" si="367"/>
        <v>1</v>
      </c>
      <c r="S2680">
        <f t="shared" si="359"/>
        <v>695.14713430891254</v>
      </c>
      <c r="T2680" s="564">
        <f>IF((I2680-MAX(I$470:I2680))/MAX(I$470:I2680)&gt;T2679,T2679,(I2680-MAX(I$470:I2680))/MAX(I$470:I2680))</f>
        <v>-0.91338805338419748</v>
      </c>
      <c r="U2680" s="564">
        <f>IF((J2680-MAX(J$470:J2680))/MAX(J$470:J2680)&gt;U2679,U2679,(J2680-MAX(J$470:J2680))/MAX(J$470:J2680))</f>
        <v>-0.8283551177402233</v>
      </c>
      <c r="V2680" s="564">
        <f>IF((K2680-MAX(K$470:K2680))/MAX(K$470:K2680)&gt;V2679,V2679,(K2680-MAX(K$470:K2680))/MAX(K$470:K2680))</f>
        <v>-0.84885940676762139</v>
      </c>
      <c r="W2680" s="564">
        <f>IF((N2680-MAX(N$470:N2680))/MAX(N$470:N2680)&gt;W2679,W2679,(N2680-MAX(N$470:N2680))/MAX(N$470:N2680))</f>
        <v>-0.62788758315546067</v>
      </c>
      <c r="X2680" s="564">
        <f>IF((O2680-MAX(O$470:O2680))/MAX(O$470:O2680)&gt;X2679,X2679,(O2680-MAX(O$470:O2680))/MAX(O$470:O2680))</f>
        <v>-0.62788758315546067</v>
      </c>
    </row>
    <row r="2681" spans="1:24">
      <c r="A2681" s="799">
        <v>43083</v>
      </c>
      <c r="B2681">
        <v>16185.9</v>
      </c>
      <c r="C2681">
        <v>3800.215745</v>
      </c>
      <c r="D2681">
        <v>3.8994789999999999</v>
      </c>
      <c r="E2681">
        <f>LN(D2681/参数实验室!$E$53)/参数实验室!$E$55</f>
        <v>0.91249059614573436</v>
      </c>
      <c r="F2681">
        <f t="shared" si="358"/>
        <v>0.23478556923000884</v>
      </c>
      <c r="G2681">
        <f>LN(F2681/参数实验室!$E$58)/参数实验室!$E$59</f>
        <v>-0.95108691371131249</v>
      </c>
      <c r="H2681" s="856">
        <f>INDEX(神经网络!$G$10:$BO$70,MATCH(ROUND(G2681*2,1)/2,神经网络!$E$10:$E$70,0),MATCH(ROUND(E2681*2,1)/2,神经网络!$G$8:$BO$8,0))</f>
        <v>-0.34287898943187145</v>
      </c>
      <c r="I2681">
        <f t="shared" si="360"/>
        <v>300305.3546926264</v>
      </c>
      <c r="J2681">
        <f t="shared" si="361"/>
        <v>6458.6010135269898</v>
      </c>
      <c r="K2681">
        <f t="shared" si="362"/>
        <v>46.496966458163683</v>
      </c>
      <c r="L2681" s="4">
        <f>MIN(MAX(L2680*(1+MAX(MIN(((B2681-B2680)/B2680)/($K$7*卓尔金历!$N$40),0),-卓尔金历!$M$43))+MIN(MAX(((B2681-B2680)/B2680)/($K$7*卓尔金历!$N$40),0),卓尔金历!$M$43),0),1)</f>
        <v>0.32385567900010465</v>
      </c>
      <c r="M2681" s="4">
        <f>MIN(MAX(M2680*(1+MAX(MIN(((B2681-B2680)/B2680)/($K$7*30),0),-卓尔金历!$M$43))+MIN(MAX(((B2681-B2680)/B2680)/($K$7*7),0),卓尔金历!$M$43),0),1)</f>
        <v>0.71842699605822746</v>
      </c>
      <c r="N2681">
        <f t="shared" si="363"/>
        <v>152211.41840564023</v>
      </c>
      <c r="O2681">
        <f t="shared" si="364"/>
        <v>348944.3554956945</v>
      </c>
      <c r="P2681">
        <f t="shared" si="365"/>
        <v>-3.6857419980601339E-2</v>
      </c>
      <c r="Q2681">
        <f t="shared" si="366"/>
        <v>8.9857342422879932E-2</v>
      </c>
      <c r="R2681">
        <f t="shared" si="367"/>
        <v>1</v>
      </c>
      <c r="S2681">
        <f t="shared" si="359"/>
        <v>703.93215000522241</v>
      </c>
      <c r="T2681" s="564">
        <f>IF((I2681-MAX(I$470:I2681))/MAX(I$470:I2681)&gt;T2680,T2680,(I2681-MAX(I$470:I2681))/MAX(I$470:I2681))</f>
        <v>-0.91338805338419748</v>
      </c>
      <c r="U2681" s="564">
        <f>IF((J2681-MAX(J$470:J2681))/MAX(J$470:J2681)&gt;U2680,U2680,(J2681-MAX(J$470:J2681))/MAX(J$470:J2681))</f>
        <v>-0.8283551177402233</v>
      </c>
      <c r="V2681" s="564">
        <f>IF((K2681-MAX(K$470:K2681))/MAX(K$470:K2681)&gt;V2680,V2680,(K2681-MAX(K$470:K2681))/MAX(K$470:K2681))</f>
        <v>-0.84885940676762139</v>
      </c>
      <c r="W2681" s="564">
        <f>IF((N2681-MAX(N$470:N2681))/MAX(N$470:N2681)&gt;W2680,W2680,(N2681-MAX(N$470:N2681))/MAX(N$470:N2681))</f>
        <v>-0.62788758315546067</v>
      </c>
      <c r="X2681" s="564">
        <f>IF((O2681-MAX(O$470:O2681))/MAX(O$470:O2681)&gt;X2680,X2680,(O2681-MAX(O$470:O2681))/MAX(O$470:O2681))</f>
        <v>-0.62788758315546067</v>
      </c>
    </row>
    <row r="2682" spans="1:24">
      <c r="A2682" s="799">
        <v>43084</v>
      </c>
      <c r="B2682">
        <v>17600.3</v>
      </c>
      <c r="C2682">
        <v>3762.882889</v>
      </c>
      <c r="D2682">
        <v>4.0786889999999998</v>
      </c>
      <c r="E2682">
        <f>LN(D2682/参数实验室!$E$53)/参数实验室!$E$55</f>
        <v>0.96550004610537643</v>
      </c>
      <c r="F2682">
        <f t="shared" si="358"/>
        <v>0.21379651988886553</v>
      </c>
      <c r="G2682">
        <f>LN(F2682/参数实验室!$E$58)/参数实验室!$E$59</f>
        <v>-1.0002383953725857</v>
      </c>
      <c r="H2682" s="856">
        <f>INDEX(神经网络!$G$10:$BO$70,MATCH(ROUND(G2682*2,1)/2,神经网络!$E$10:$E$70,0),MATCH(ROUND(E2682*2,1)/2,神经网络!$G$8:$BO$8,0))</f>
        <v>-0.23404993747900896</v>
      </c>
      <c r="I2682">
        <f t="shared" si="360"/>
        <v>291307.49235174147</v>
      </c>
      <c r="J2682">
        <f t="shared" si="361"/>
        <v>7022.9839192370564</v>
      </c>
      <c r="K2682">
        <f t="shared" si="362"/>
        <v>41.479162661017135</v>
      </c>
      <c r="L2682" s="4">
        <f>MIN(MAX(L2681*(1+MAX(MIN(((B2682-B2681)/B2681)/($K$7*卓尔金历!$N$40),0),-卓尔金历!$M$43))+MIN(MAX(((B2682-B2681)/B2681)/($K$7*卓尔金历!$N$40),0),卓尔金历!$M$43),0),1)</f>
        <v>1</v>
      </c>
      <c r="M2682" s="4">
        <f>MIN(MAX(M2681*(1+MAX(MIN(((B2682-B2681)/B2681)/($K$7*30),0),-卓尔金历!$M$43))+MIN(MAX(((B2682-B2681)/B2681)/($K$7*7),0),卓尔金历!$M$43),0),1)</f>
        <v>1</v>
      </c>
      <c r="N2682">
        <f t="shared" si="363"/>
        <v>150734.43703152612</v>
      </c>
      <c r="O2682">
        <f t="shared" si="364"/>
        <v>341433.05581772723</v>
      </c>
      <c r="P2682">
        <f t="shared" si="365"/>
        <v>8.7384699028166465E-2</v>
      </c>
      <c r="Q2682">
        <f t="shared" si="366"/>
        <v>8.9550697409948379E-2</v>
      </c>
      <c r="R2682">
        <f t="shared" si="367"/>
        <v>0.11654219146701861</v>
      </c>
      <c r="S2682">
        <f t="shared" si="359"/>
        <v>682.84066933697682</v>
      </c>
      <c r="T2682" s="564">
        <f>IF((I2682-MAX(I$470:I2682))/MAX(I$470:I2682)&gt;T2681,T2681,(I2682-MAX(I$470:I2682))/MAX(I$470:I2682))</f>
        <v>-0.91338805338419748</v>
      </c>
      <c r="U2682" s="564">
        <f>IF((J2682-MAX(J$470:J2682))/MAX(J$470:J2682)&gt;U2681,U2681,(J2682-MAX(J$470:J2682))/MAX(J$470:J2682))</f>
        <v>-0.8283551177402233</v>
      </c>
      <c r="V2682" s="564">
        <f>IF((K2682-MAX(K$470:K2682))/MAX(K$470:K2682)&gt;V2681,V2681,(K2682-MAX(K$470:K2682))/MAX(K$470:K2682))</f>
        <v>-0.84885940676762139</v>
      </c>
      <c r="W2682" s="564">
        <f>IF((N2682-MAX(N$470:N2682))/MAX(N$470:N2682)&gt;W2681,W2681,(N2682-MAX(N$470:N2682))/MAX(N$470:N2682))</f>
        <v>-0.62788758315546067</v>
      </c>
      <c r="X2682" s="564">
        <f>IF((O2682-MAX(O$470:O2682))/MAX(O$470:O2682)&gt;X2681,X2681,(O2682-MAX(O$470:O2682))/MAX(O$470:O2682))</f>
        <v>-0.62788758315546067</v>
      </c>
    </row>
    <row r="2683" spans="1:24">
      <c r="A2683" s="799">
        <v>43085</v>
      </c>
      <c r="B2683">
        <v>17586.8</v>
      </c>
      <c r="C2683">
        <v>3721.5874629999998</v>
      </c>
      <c r="D2683">
        <v>4.4307660000000002</v>
      </c>
      <c r="E2683">
        <f>LN(D2683/参数实验室!$E$53)/参数实验室!$E$55</f>
        <v>1.0631799195093381</v>
      </c>
      <c r="F2683">
        <f t="shared" si="358"/>
        <v>0.21161254253189893</v>
      </c>
      <c r="G2683">
        <f>LN(F2683/参数实验室!$E$58)/参数实验室!$E$59</f>
        <v>-1.0056274644717422</v>
      </c>
      <c r="H2683" s="856">
        <f>INDEX(神经网络!$G$10:$BO$70,MATCH(ROUND(G2683*2,1)/2,神经网络!$E$10:$E$70,0),MATCH(ROUND(E2683*2,1)/2,神经网络!$G$8:$BO$8,0))</f>
        <v>0.40151478999831514</v>
      </c>
      <c r="I2683">
        <f t="shared" si="360"/>
        <v>291359.78900322033</v>
      </c>
      <c r="J2683">
        <f t="shared" si="361"/>
        <v>7017.5970631658702</v>
      </c>
      <c r="K2683">
        <f t="shared" si="362"/>
        <v>41.518455160743912</v>
      </c>
      <c r="L2683" s="4">
        <f>MIN(MAX(L2682*(1+MAX(MIN(((B2683-B2682)/B2682)/($K$7*卓尔金历!$N$40),0),-卓尔金历!$M$43))+MIN(MAX(((B2683-B2682)/B2682)/($K$7*卓尔金历!$N$40),0),卓尔金历!$M$43),0),1)</f>
        <v>0.98828048129752699</v>
      </c>
      <c r="M2683" s="4">
        <f>MIN(MAX(M2682*(1+MAX(MIN(((B2683-B2682)/B2682)/($K$7*30),0),-卓尔金历!$M$43))+MIN(MAX(((B2683-B2682)/B2682)/($K$7*7),0),卓尔金历!$M$43),0),1)</f>
        <v>0.9941402406487635</v>
      </c>
      <c r="N2683">
        <f t="shared" si="363"/>
        <v>150761.49746260414</v>
      </c>
      <c r="O2683">
        <f t="shared" si="364"/>
        <v>341494.35120487743</v>
      </c>
      <c r="P2683">
        <f t="shared" si="365"/>
        <v>-7.6703238012988423E-4</v>
      </c>
      <c r="Q2683">
        <f t="shared" si="366"/>
        <v>8.9878941633185536E-2</v>
      </c>
      <c r="R2683">
        <f t="shared" si="367"/>
        <v>1</v>
      </c>
      <c r="S2683">
        <f t="shared" si="359"/>
        <v>682.85495580216093</v>
      </c>
      <c r="T2683" s="564">
        <f>IF((I2683-MAX(I$470:I2683))/MAX(I$470:I2683)&gt;T2682,T2682,(I2683-MAX(I$470:I2683))/MAX(I$470:I2683))</f>
        <v>-0.91338805338419748</v>
      </c>
      <c r="U2683" s="564">
        <f>IF((J2683-MAX(J$470:J2683))/MAX(J$470:J2683)&gt;U2682,U2682,(J2683-MAX(J$470:J2683))/MAX(J$470:J2683))</f>
        <v>-0.8283551177402233</v>
      </c>
      <c r="V2683" s="564">
        <f>IF((K2683-MAX(K$470:K2683))/MAX(K$470:K2683)&gt;V2682,V2682,(K2683-MAX(K$470:K2683))/MAX(K$470:K2683))</f>
        <v>-0.84885940676762139</v>
      </c>
      <c r="W2683" s="564">
        <f>IF((N2683-MAX(N$470:N2683))/MAX(N$470:N2683)&gt;W2682,W2682,(N2683-MAX(N$470:N2683))/MAX(N$470:N2683))</f>
        <v>-0.62788758315546067</v>
      </c>
      <c r="X2683" s="564">
        <f>IF((O2683-MAX(O$470:O2683))/MAX(O$470:O2683)&gt;X2682,X2682,(O2683-MAX(O$470:O2683))/MAX(O$470:O2683))</f>
        <v>-0.62788758315546067</v>
      </c>
    </row>
    <row r="2684" spans="1:24">
      <c r="A2684" s="799">
        <v>43086</v>
      </c>
      <c r="B2684">
        <v>19535.7</v>
      </c>
      <c r="C2684">
        <v>3683.2328590000002</v>
      </c>
      <c r="D2684">
        <v>4.2519340000000003</v>
      </c>
      <c r="E2684">
        <f>LN(D2684/参数实验室!$E$53)/参数实验室!$E$55</f>
        <v>1.0145758049688773</v>
      </c>
      <c r="F2684">
        <f t="shared" si="358"/>
        <v>0.18853856575397862</v>
      </c>
      <c r="G2684">
        <f>LN(F2684/参数实验室!$E$58)/参数实验室!$E$59</f>
        <v>-1.0662241700233466</v>
      </c>
      <c r="H2684" s="856">
        <f>INDEX(神经网络!$G$10:$BO$70,MATCH(ROUND(G2684*2,1)/2,神经网络!$E$10:$E$70,0),MATCH(ROUND(E2684*2,1)/2,神经网络!$G$8:$BO$8,0))</f>
        <v>-9.9174076869875047E-2</v>
      </c>
      <c r="I2684">
        <f t="shared" si="360"/>
        <v>304323.63586424332</v>
      </c>
      <c r="J2684">
        <f t="shared" si="361"/>
        <v>7795.2595666573507</v>
      </c>
      <c r="K2684">
        <f t="shared" si="362"/>
        <v>39.039576971359139</v>
      </c>
      <c r="L2684" s="4">
        <f>MIN(MAX(L2683*(1+MAX(MIN(((B2684-B2683)/B2683)/($K$7*卓尔金历!$N$40),0),-卓尔金历!$M$43))+MIN(MAX(((B2684-B2683)/B2683)/($K$7*卓尔金历!$N$40),0),卓尔金历!$M$43),0),1)</f>
        <v>1</v>
      </c>
      <c r="M2684" s="4">
        <f>MIN(MAX(M2683*(1+MAX(MIN(((B2684-B2683)/B2683)/($K$7*30),0),-卓尔金历!$M$43))+MIN(MAX(((B2684-B2683)/B2683)/($K$7*7),0),卓尔金历!$M$43),0),1)</f>
        <v>1</v>
      </c>
      <c r="N2684">
        <f t="shared" si="363"/>
        <v>157390.90837426725</v>
      </c>
      <c r="O2684">
        <f t="shared" si="364"/>
        <v>356599.86340263608</v>
      </c>
      <c r="P2684">
        <f t="shared" si="365"/>
        <v>0.11081606659540118</v>
      </c>
      <c r="Q2684">
        <f t="shared" si="366"/>
        <v>9.0840074200582724E-2</v>
      </c>
      <c r="R2684">
        <f t="shared" si="367"/>
        <v>7.2013593394345779E-2</v>
      </c>
      <c r="S2684">
        <f t="shared" si="359"/>
        <v>713.23810203381879</v>
      </c>
      <c r="T2684" s="564">
        <f>IF((I2684-MAX(I$470:I2684))/MAX(I$470:I2684)&gt;T2683,T2683,(I2684-MAX(I$470:I2684))/MAX(I$470:I2684))</f>
        <v>-0.91338805338419748</v>
      </c>
      <c r="U2684" s="564">
        <f>IF((J2684-MAX(J$470:J2684))/MAX(J$470:J2684)&gt;U2683,U2683,(J2684-MAX(J$470:J2684))/MAX(J$470:J2684))</f>
        <v>-0.8283551177402233</v>
      </c>
      <c r="V2684" s="564">
        <f>IF((K2684-MAX(K$470:K2684))/MAX(K$470:K2684)&gt;V2683,V2683,(K2684-MAX(K$470:K2684))/MAX(K$470:K2684))</f>
        <v>-0.84885940676762139</v>
      </c>
      <c r="W2684" s="564">
        <f>IF((N2684-MAX(N$470:N2684))/MAX(N$470:N2684)&gt;W2683,W2683,(N2684-MAX(N$470:N2684))/MAX(N$470:N2684))</f>
        <v>-0.62788758315546067</v>
      </c>
      <c r="X2684" s="564">
        <f>IF((O2684-MAX(O$470:O2684))/MAX(O$470:O2684)&gt;X2683,X2683,(O2684-MAX(O$470:O2684))/MAX(O$470:O2684))</f>
        <v>-0.62788758315546067</v>
      </c>
    </row>
    <row r="2685" spans="1:24">
      <c r="A2685" s="799">
        <v>43087</v>
      </c>
      <c r="B2685">
        <v>18737.599999999999</v>
      </c>
      <c r="C2685">
        <v>3585.1472130000002</v>
      </c>
      <c r="D2685">
        <v>4.1299580000000002</v>
      </c>
      <c r="E2685">
        <f>LN(D2685/参数实验室!$E$53)/参数实验室!$E$55</f>
        <v>0.98023708025246081</v>
      </c>
      <c r="F2685">
        <f t="shared" si="358"/>
        <v>0.19133438716804715</v>
      </c>
      <c r="G2685">
        <f>LN(F2685/参数实验室!$E$58)/参数实验室!$E$59</f>
        <v>-1.0584982992669227</v>
      </c>
      <c r="H2685" s="856">
        <f>INDEX(神经网络!$G$10:$BO$70,MATCH(ROUND(G2685*2,1)/2,神经网络!$E$10:$E$70,0),MATCH(ROUND(E2685*2,1)/2,神经网络!$G$8:$BO$8,0))</f>
        <v>-9.9174076869875047E-2</v>
      </c>
      <c r="I2685">
        <f t="shared" si="360"/>
        <v>305556.63333018869</v>
      </c>
      <c r="J2685">
        <f t="shared" si="361"/>
        <v>7476.7966162563289</v>
      </c>
      <c r="K2685">
        <f t="shared" si="362"/>
        <v>40.867319122448258</v>
      </c>
      <c r="L2685" s="4">
        <f>MIN(MAX(L2684*(1+MAX(MIN(((B2685-B2684)/B2684)/($K$7*卓尔金历!$N$40),0),-卓尔金历!$M$43))+MIN(MAX(((B2685-B2684)/B2684)/($K$7*卓尔金历!$N$40),0),卓尔金历!$M$43),0),1)</f>
        <v>0.37579906935897611</v>
      </c>
      <c r="M2685" s="4">
        <f>MIN(MAX(M2684*(1+MAX(MIN(((B2685-B2684)/B2684)/($K$7*30),0),-卓尔金历!$M$43))+MIN(MAX(((B2685-B2684)/B2684)/($K$7*7),0),卓尔金历!$M$43),0),1)</f>
        <v>0.68789953467948806</v>
      </c>
      <c r="N2685">
        <f t="shared" si="363"/>
        <v>158028.59328703189</v>
      </c>
      <c r="O2685">
        <f t="shared" si="364"/>
        <v>358044.66320165026</v>
      </c>
      <c r="P2685">
        <f t="shared" si="365"/>
        <v>-4.0853411958619461E-2</v>
      </c>
      <c r="Q2685">
        <f t="shared" si="366"/>
        <v>9.1889548955237071E-2</v>
      </c>
      <c r="R2685">
        <f t="shared" si="367"/>
        <v>0.97507172118418162</v>
      </c>
      <c r="S2685">
        <f t="shared" si="359"/>
        <v>713.44620368109292</v>
      </c>
      <c r="T2685" s="564">
        <f>IF((I2685-MAX(I$470:I2685))/MAX(I$470:I2685)&gt;T2684,T2684,(I2685-MAX(I$470:I2685))/MAX(I$470:I2685))</f>
        <v>-0.91338805338419748</v>
      </c>
      <c r="U2685" s="564">
        <f>IF((J2685-MAX(J$470:J2685))/MAX(J$470:J2685)&gt;U2684,U2684,(J2685-MAX(J$470:J2685))/MAX(J$470:J2685))</f>
        <v>-0.8283551177402233</v>
      </c>
      <c r="V2685" s="564">
        <f>IF((K2685-MAX(K$470:K2685))/MAX(K$470:K2685)&gt;V2684,V2684,(K2685-MAX(K$470:K2685))/MAX(K$470:K2685))</f>
        <v>-0.84885940676762139</v>
      </c>
      <c r="W2685" s="564">
        <f>IF((N2685-MAX(N$470:N2685))/MAX(N$470:N2685)&gt;W2684,W2684,(N2685-MAX(N$470:N2685))/MAX(N$470:N2685))</f>
        <v>-0.62788758315546067</v>
      </c>
      <c r="X2685" s="564">
        <f>IF((O2685-MAX(O$470:O2685))/MAX(O$470:O2685)&gt;X2684,X2684,(O2685-MAX(O$470:O2685))/MAX(O$470:O2685))</f>
        <v>-0.62788758315546067</v>
      </c>
    </row>
    <row r="2686" spans="1:24">
      <c r="A2686" s="799">
        <v>43088</v>
      </c>
      <c r="B2686">
        <v>19000.8</v>
      </c>
      <c r="C2686">
        <v>3629.2492900000002</v>
      </c>
      <c r="D2686">
        <v>3.8055080000000001</v>
      </c>
      <c r="E2686">
        <f>LN(D2686/参数实验室!$E$53)/参数实验室!$E$55</f>
        <v>0.88371232842094427</v>
      </c>
      <c r="F2686">
        <f t="shared" si="358"/>
        <v>0.19100507820723339</v>
      </c>
      <c r="G2686">
        <f>LN(F2686/参数实验室!$E$58)/参数实验室!$E$59</f>
        <v>-1.0594024130082336</v>
      </c>
      <c r="H2686" s="856">
        <f>INDEX(神经网络!$G$10:$BO$70,MATCH(ROUND(G2686*2,1)/2,神经网络!$E$10:$E$70,0),MATCH(ROUND(E2686*2,1)/2,神经网络!$G$8:$BO$8,0))</f>
        <v>-0.37193432749434024</v>
      </c>
      <c r="I2686">
        <f t="shared" si="360"/>
        <v>305130.97434603644</v>
      </c>
      <c r="J2686">
        <f t="shared" si="361"/>
        <v>7581.82035832568</v>
      </c>
      <c r="K2686">
        <f t="shared" si="362"/>
        <v>40.245080986516484</v>
      </c>
      <c r="L2686" s="4">
        <f>MIN(MAX(L2685*(1+MAX(MIN(((B2686-B2685)/B2685)/($K$7*卓尔金历!$N$40),0),-卓尔金历!$M$43))+MIN(MAX(((B2686-B2685)/B2685)/($K$7*卓尔金历!$N$40),0),卓尔金历!$M$43),0),1)</f>
        <v>0.59041798671523049</v>
      </c>
      <c r="M2686" s="4">
        <f>MIN(MAX(M2685*(1+MAX(MIN(((B2686-B2685)/B2685)/($K$7*30),0),-卓尔金历!$M$43))+MIN(MAX(((B2686-B2685)/B2685)/($K$7*7),0),卓尔金历!$M$43),0),1)</f>
        <v>1</v>
      </c>
      <c r="N2686">
        <f t="shared" si="363"/>
        <v>157945.86358456005</v>
      </c>
      <c r="O2686">
        <f t="shared" si="364"/>
        <v>357701.55404492951</v>
      </c>
      <c r="P2686">
        <f t="shared" si="365"/>
        <v>1.4046622833233751E-2</v>
      </c>
      <c r="Q2686">
        <f t="shared" si="366"/>
        <v>9.1865815726208597E-2</v>
      </c>
      <c r="R2686">
        <f t="shared" si="367"/>
        <v>1</v>
      </c>
      <c r="S2686">
        <f t="shared" si="359"/>
        <v>712.47710527189224</v>
      </c>
      <c r="T2686" s="564">
        <f>IF((I2686-MAX(I$470:I2686))/MAX(I$470:I2686)&gt;T2685,T2685,(I2686-MAX(I$470:I2686))/MAX(I$470:I2686))</f>
        <v>-0.91338805338419748</v>
      </c>
      <c r="U2686" s="564">
        <f>IF((J2686-MAX(J$470:J2686))/MAX(J$470:J2686)&gt;U2685,U2685,(J2686-MAX(J$470:J2686))/MAX(J$470:J2686))</f>
        <v>-0.8283551177402233</v>
      </c>
      <c r="V2686" s="564">
        <f>IF((K2686-MAX(K$470:K2686))/MAX(K$470:K2686)&gt;V2685,V2685,(K2686-MAX(K$470:K2686))/MAX(K$470:K2686))</f>
        <v>-0.84885940676762139</v>
      </c>
      <c r="W2686" s="564">
        <f>IF((N2686-MAX(N$470:N2686))/MAX(N$470:N2686)&gt;W2685,W2685,(N2686-MAX(N$470:N2686))/MAX(N$470:N2686))</f>
        <v>-0.62788758315546067</v>
      </c>
      <c r="X2686" s="564">
        <f>IF((O2686-MAX(O$470:O2686))/MAX(O$470:O2686)&gt;X2685,X2685,(O2686-MAX(O$470:O2686))/MAX(O$470:O2686))</f>
        <v>-0.62788758315546067</v>
      </c>
    </row>
    <row r="2687" spans="1:24">
      <c r="A2687" s="799">
        <v>43089</v>
      </c>
      <c r="B2687">
        <v>17240.099999999999</v>
      </c>
      <c r="C2687">
        <v>3716.1097949999998</v>
      </c>
      <c r="D2687">
        <v>3.4922620000000002</v>
      </c>
      <c r="E2687">
        <f>LN(D2687/参数实验室!$E$53)/参数实验室!$E$55</f>
        <v>0.78237172869134897</v>
      </c>
      <c r="F2687">
        <f t="shared" si="358"/>
        <v>0.21555036194685648</v>
      </c>
      <c r="G2687">
        <f>LN(F2687/参数实验室!$E$58)/参数实验室!$E$59</f>
        <v>-0.99595041167416498</v>
      </c>
      <c r="H2687" s="856">
        <f>INDEX(神经网络!$G$10:$BO$70,MATCH(ROUND(G2687*2,1)/2,神经网络!$E$10:$E$70,0),MATCH(ROUND(E2687*2,1)/2,神经网络!$G$8:$BO$8,0))</f>
        <v>-0.55326316876448689</v>
      </c>
      <c r="I2687">
        <f t="shared" si="360"/>
        <v>315647.34868095547</v>
      </c>
      <c r="J2687">
        <f t="shared" si="361"/>
        <v>6879.2546187302933</v>
      </c>
      <c r="K2687">
        <f t="shared" si="362"/>
        <v>45.88394617950842</v>
      </c>
      <c r="L2687" s="4">
        <f>MIN(MAX(L2686*(1+MAX(MIN(((B2687-B2686)/B2686)/($K$7*卓尔金历!$N$40),0),-卓尔金历!$M$43))+MIN(MAX(((B2687-B2686)/B2686)/($K$7*卓尔金历!$N$40),0),卓尔金历!$M$43),0),1)</f>
        <v>0</v>
      </c>
      <c r="M2687" s="4">
        <f>MIN(MAX(M2686*(1+MAX(MIN(((B2687-B2686)/B2686)/($K$7*30),0),-卓尔金历!$M$43))+MIN(MAX(((B2687-B2686)/B2686)/($K$7*7),0),卓尔金历!$M$43),0),1)</f>
        <v>0.29208753361419693</v>
      </c>
      <c r="N2687">
        <f t="shared" si="363"/>
        <v>161159.87619960259</v>
      </c>
      <c r="O2687">
        <f t="shared" si="364"/>
        <v>370029.77949166088</v>
      </c>
      <c r="P2687">
        <f t="shared" si="365"/>
        <v>-9.2664519388657357E-2</v>
      </c>
      <c r="Q2687">
        <f t="shared" si="366"/>
        <v>9.5418587602655591E-2</v>
      </c>
      <c r="R2687">
        <f t="shared" si="367"/>
        <v>0.12384410373584831</v>
      </c>
      <c r="S2687">
        <f t="shared" si="359"/>
        <v>737.03271113969117</v>
      </c>
      <c r="T2687" s="564">
        <f>IF((I2687-MAX(I$470:I2687))/MAX(I$470:I2687)&gt;T2686,T2686,(I2687-MAX(I$470:I2687))/MAX(I$470:I2687))</f>
        <v>-0.91338805338419748</v>
      </c>
      <c r="U2687" s="564">
        <f>IF((J2687-MAX(J$470:J2687))/MAX(J$470:J2687)&gt;U2686,U2686,(J2687-MAX(J$470:J2687))/MAX(J$470:J2687))</f>
        <v>-0.8283551177402233</v>
      </c>
      <c r="V2687" s="564">
        <f>IF((K2687-MAX(K$470:K2687))/MAX(K$470:K2687)&gt;V2686,V2686,(K2687-MAX(K$470:K2687))/MAX(K$470:K2687))</f>
        <v>-0.84885940676762139</v>
      </c>
      <c r="W2687" s="564">
        <f>IF((N2687-MAX(N$470:N2687))/MAX(N$470:N2687)&gt;W2686,W2686,(N2687-MAX(N$470:N2687))/MAX(N$470:N2687))</f>
        <v>-0.62788758315546067</v>
      </c>
      <c r="X2687" s="564">
        <f>IF((O2687-MAX(O$470:O2687))/MAX(O$470:O2687)&gt;X2686,X2686,(O2687-MAX(O$470:O2687))/MAX(O$470:O2687))</f>
        <v>-0.62788758315546067</v>
      </c>
    </row>
    <row r="2688" spans="1:24">
      <c r="A2688" s="799">
        <v>43090</v>
      </c>
      <c r="B2688">
        <v>16645.5</v>
      </c>
      <c r="C2688">
        <v>3810.318687</v>
      </c>
      <c r="D2688">
        <v>3.3015430000000001</v>
      </c>
      <c r="E2688">
        <f>LN(D2688/参数实验室!$E$53)/参数实验室!$E$55</f>
        <v>0.71611710640090021</v>
      </c>
      <c r="F2688">
        <f t="shared" si="358"/>
        <v>0.22890983671262502</v>
      </c>
      <c r="G2688">
        <f>LN(F2688/参数实验室!$E$58)/参数实验室!$E$59</f>
        <v>-0.96438903835021039</v>
      </c>
      <c r="H2688" s="856">
        <f>INDEX(神经网络!$G$10:$BO$70,MATCH(ROUND(G2688*2,1)/2,神经网络!$E$10:$E$70,0),MATCH(ROUND(E2688*2,1)/2,神经网络!$G$8:$BO$8,0))</f>
        <v>-0.65550526584823765</v>
      </c>
      <c r="I2688">
        <f t="shared" si="360"/>
        <v>321670.43420385534</v>
      </c>
      <c r="J2688">
        <f t="shared" si="361"/>
        <v>6641.9935357727109</v>
      </c>
      <c r="K2688">
        <f t="shared" si="362"/>
        <v>48.429802358492225</v>
      </c>
      <c r="L2688" s="4">
        <f>MIN(MAX(L2687*(1+MAX(MIN(((B2688-B2687)/B2687)/($K$7*卓尔金历!$N$40),0),-卓尔金历!$M$43))+MIN(MAX(((B2688-B2687)/B2687)/($K$7*卓尔金历!$N$40),0),卓尔金历!$M$43),0),1)</f>
        <v>0</v>
      </c>
      <c r="M2688" s="4">
        <f>MIN(MAX(M2687*(1+MAX(MIN(((B2688-B2687)/B2687)/($K$7*30),0),-卓尔金历!$M$43))+MIN(MAX(((B2688-B2687)/B2687)/($K$7*7),0),卓尔金历!$M$43),0),1)</f>
        <v>0.2151276807730266</v>
      </c>
      <c r="N2688">
        <f t="shared" si="363"/>
        <v>161159.87619960259</v>
      </c>
      <c r="O2688">
        <f t="shared" si="364"/>
        <v>372092.14949106507</v>
      </c>
      <c r="P2688">
        <f t="shared" si="365"/>
        <v>-3.4489359110445914E-2</v>
      </c>
      <c r="Q2688">
        <f t="shared" si="366"/>
        <v>9.6353213792132256E-2</v>
      </c>
      <c r="R2688">
        <f t="shared" si="367"/>
        <v>1</v>
      </c>
      <c r="S2688">
        <f t="shared" si="359"/>
        <v>738.77443371829781</v>
      </c>
      <c r="T2688" s="564">
        <f>IF((I2688-MAX(I$470:I2688))/MAX(I$470:I2688)&gt;T2687,T2687,(I2688-MAX(I$470:I2688))/MAX(I$470:I2688))</f>
        <v>-0.91338805338419748</v>
      </c>
      <c r="U2688" s="564">
        <f>IF((J2688-MAX(J$470:J2688))/MAX(J$470:J2688)&gt;U2687,U2687,(J2688-MAX(J$470:J2688))/MAX(J$470:J2688))</f>
        <v>-0.8283551177402233</v>
      </c>
      <c r="V2688" s="564">
        <f>IF((K2688-MAX(K$470:K2688))/MAX(K$470:K2688)&gt;V2687,V2687,(K2688-MAX(K$470:K2688))/MAX(K$470:K2688))</f>
        <v>-0.84885940676762139</v>
      </c>
      <c r="W2688" s="564">
        <f>IF((N2688-MAX(N$470:N2688))/MAX(N$470:N2688)&gt;W2687,W2687,(N2688-MAX(N$470:N2688))/MAX(N$470:N2688))</f>
        <v>-0.62788758315546067</v>
      </c>
      <c r="X2688" s="564">
        <f>IF((O2688-MAX(O$470:O2688))/MAX(O$470:O2688)&gt;X2687,X2687,(O2688-MAX(O$470:O2688))/MAX(O$470:O2688))</f>
        <v>-0.62788758315546067</v>
      </c>
    </row>
    <row r="2689" spans="1:24">
      <c r="A2689" s="799">
        <v>43091</v>
      </c>
      <c r="B2689">
        <v>13939.1</v>
      </c>
      <c r="C2689">
        <v>3795.6154499999998</v>
      </c>
      <c r="D2689">
        <v>3.0101629999999999</v>
      </c>
      <c r="E2689">
        <f>LN(D2689/参数实验室!$E$53)/参数实验室!$E$55</f>
        <v>0.60711297389620644</v>
      </c>
      <c r="F2689">
        <f t="shared" si="358"/>
        <v>0.272299893823848</v>
      </c>
      <c r="G2689">
        <f>LN(F2689/参数实验室!$E$58)/参数实验室!$E$59</f>
        <v>-0.87328707275447592</v>
      </c>
      <c r="H2689" s="856">
        <f>INDEX(神经网络!$G$10:$BO$70,MATCH(ROUND(G2689*2,1)/2,神经网络!$E$10:$E$70,0),MATCH(ROUND(E2689*2,1)/2,神经网络!$G$8:$BO$8,0))</f>
        <v>-0.65007775089023123</v>
      </c>
      <c r="I2689">
        <f t="shared" si="360"/>
        <v>355953.72242378141</v>
      </c>
      <c r="J2689">
        <f t="shared" si="361"/>
        <v>5562.0685527313326</v>
      </c>
      <c r="K2689">
        <f t="shared" si="362"/>
        <v>63.996644242902271</v>
      </c>
      <c r="L2689" s="4">
        <f>MIN(MAX(L2688*(1+MAX(MIN(((B2689-B2688)/B2688)/($K$7*卓尔金历!$N$40),0),-卓尔金历!$M$43))+MIN(MAX(((B2689-B2688)/B2688)/($K$7*卓尔金历!$N$40),0),卓尔金历!$M$43),0),1)</f>
        <v>0</v>
      </c>
      <c r="M2689" s="4">
        <f>MIN(MAX(M2688*(1+MAX(MIN(((B2689-B2688)/B2688)/($K$7*30),0),-卓尔金历!$M$43))+MIN(MAX(((B2689-B2688)/B2688)/($K$7*7),0),卓尔金历!$M$43),0),1)</f>
        <v>0</v>
      </c>
      <c r="N2689">
        <f t="shared" si="363"/>
        <v>161159.87619960259</v>
      </c>
      <c r="O2689">
        <f t="shared" si="364"/>
        <v>380623.50671431457</v>
      </c>
      <c r="P2689">
        <f t="shared" si="365"/>
        <v>-0.16259048992220118</v>
      </c>
      <c r="Q2689">
        <f t="shared" si="366"/>
        <v>0.10262245658750262</v>
      </c>
      <c r="R2689">
        <f t="shared" si="367"/>
        <v>5.2013591905184654E-2</v>
      </c>
      <c r="S2689">
        <f t="shared" si="359"/>
        <v>817.51221670218854</v>
      </c>
      <c r="T2689" s="564">
        <f>IF((I2689-MAX(I$470:I2689))/MAX(I$470:I2689)&gt;T2688,T2688,(I2689-MAX(I$470:I2689))/MAX(I$470:I2689))</f>
        <v>-0.91338805338419748</v>
      </c>
      <c r="U2689" s="564">
        <f>IF((J2689-MAX(J$470:J2689))/MAX(J$470:J2689)&gt;U2688,U2688,(J2689-MAX(J$470:J2689))/MAX(J$470:J2689))</f>
        <v>-0.8283551177402233</v>
      </c>
      <c r="V2689" s="564">
        <f>IF((K2689-MAX(K$470:K2689))/MAX(K$470:K2689)&gt;V2688,V2688,(K2689-MAX(K$470:K2689))/MAX(K$470:K2689))</f>
        <v>-0.84885940676762139</v>
      </c>
      <c r="W2689" s="564">
        <f>IF((N2689-MAX(N$470:N2689))/MAX(N$470:N2689)&gt;W2688,W2688,(N2689-MAX(N$470:N2689))/MAX(N$470:N2689))</f>
        <v>-0.62788758315546067</v>
      </c>
      <c r="X2689" s="564">
        <f>IF((O2689-MAX(O$470:O2689))/MAX(O$470:O2689)&gt;X2688,X2688,(O2689-MAX(O$470:O2689))/MAX(O$470:O2689))</f>
        <v>-0.62788758315546067</v>
      </c>
    </row>
    <row r="2690" spans="1:24">
      <c r="A2690" s="799">
        <v>43092</v>
      </c>
      <c r="B2690">
        <v>14721</v>
      </c>
      <c r="C2690">
        <v>3838.493003</v>
      </c>
      <c r="D2690">
        <v>3.1196000000000002</v>
      </c>
      <c r="E2690">
        <f>LN(D2690/参数实验室!$E$53)/参数实验室!$E$55</f>
        <v>0.64924262096041774</v>
      </c>
      <c r="F2690">
        <f t="shared" si="358"/>
        <v>0.26074947374499013</v>
      </c>
      <c r="G2690">
        <f>LN(F2690/参数实验室!$E$58)/参数实验室!$E$59</f>
        <v>-0.89603631181687871</v>
      </c>
      <c r="H2690" s="856">
        <f>INDEX(神经网络!$G$10:$BO$70,MATCH(ROUND(G2690*2,1)/2,神经网络!$E$10:$E$70,0),MATCH(ROUND(E2690*2,1)/2,神经网络!$G$8:$BO$8,0))</f>
        <v>-0.66095146914421465</v>
      </c>
      <c r="I2690">
        <f t="shared" si="360"/>
        <v>342973.70364490902</v>
      </c>
      <c r="J2690">
        <f t="shared" si="361"/>
        <v>5874.0672758469309</v>
      </c>
      <c r="K2690">
        <f t="shared" si="362"/>
        <v>58.387772481795182</v>
      </c>
      <c r="L2690" s="4">
        <f>MIN(MAX(L2689*(1+MAX(MIN(((B2690-B2689)/B2689)/($K$7*卓尔金历!$N$40),0),-卓尔金历!$M$43))+MIN(MAX(((B2690-B2689)/B2689)/($K$7*卓尔金历!$N$40),0),卓尔金历!$M$43),0),1)</f>
        <v>0.85706262719263437</v>
      </c>
      <c r="M2690" s="4">
        <f>MIN(MAX(M2689*(1+MAX(MIN(((B2690-B2689)/B2689)/($K$7*30),0),-卓尔金历!$M$43))+MIN(MAX(((B2690-B2689)/B2689)/($K$7*7),0),卓尔金历!$M$43),0),1)</f>
        <v>1</v>
      </c>
      <c r="N2690">
        <f t="shared" si="363"/>
        <v>161159.87619960259</v>
      </c>
      <c r="O2690">
        <f t="shared" si="364"/>
        <v>380623.50671431457</v>
      </c>
      <c r="P2690">
        <f t="shared" si="365"/>
        <v>5.6094008938884117E-2</v>
      </c>
      <c r="Q2690">
        <f t="shared" si="366"/>
        <v>0.10073319590067886</v>
      </c>
      <c r="R2690">
        <f t="shared" si="367"/>
        <v>0.7481487851210229</v>
      </c>
      <c r="S2690">
        <f t="shared" si="359"/>
        <v>815.96164133964567</v>
      </c>
      <c r="T2690" s="564">
        <f>IF((I2690-MAX(I$470:I2690))/MAX(I$470:I2690)&gt;T2689,T2689,(I2690-MAX(I$470:I2690))/MAX(I$470:I2690))</f>
        <v>-0.91338805338419748</v>
      </c>
      <c r="U2690" s="564">
        <f>IF((J2690-MAX(J$470:J2690))/MAX(J$470:J2690)&gt;U2689,U2689,(J2690-MAX(J$470:J2690))/MAX(J$470:J2690))</f>
        <v>-0.8283551177402233</v>
      </c>
      <c r="V2690" s="564">
        <f>IF((K2690-MAX(K$470:K2690))/MAX(K$470:K2690)&gt;V2689,V2689,(K2690-MAX(K$470:K2690))/MAX(K$470:K2690))</f>
        <v>-0.84885940676762139</v>
      </c>
      <c r="W2690" s="564">
        <f>IF((N2690-MAX(N$470:N2690))/MAX(N$470:N2690)&gt;W2689,W2689,(N2690-MAX(N$470:N2690))/MAX(N$470:N2690))</f>
        <v>-0.62788758315546067</v>
      </c>
      <c r="X2690" s="564">
        <f>IF((O2690-MAX(O$470:O2690))/MAX(O$470:O2690)&gt;X2689,X2689,(O2690-MAX(O$470:O2690))/MAX(O$470:O2690))</f>
        <v>-0.62788758315546067</v>
      </c>
    </row>
    <row r="2691" spans="1:24">
      <c r="A2691" s="799">
        <v>43093</v>
      </c>
      <c r="B2691">
        <v>14175.5</v>
      </c>
      <c r="C2691">
        <v>3832.899919</v>
      </c>
      <c r="D2691">
        <v>2.9251170000000002</v>
      </c>
      <c r="E2691">
        <f>LN(D2691/参数实验室!$E$53)/参数实验室!$E$55</f>
        <v>0.5733015405854418</v>
      </c>
      <c r="F2691">
        <f t="shared" si="358"/>
        <v>0.27038904581848966</v>
      </c>
      <c r="G2691">
        <f>LN(F2691/参数实验室!$E$58)/参数实验室!$E$59</f>
        <v>-0.87698318805295628</v>
      </c>
      <c r="H2691" s="856">
        <f>INDEX(神经网络!$G$10:$BO$70,MATCH(ROUND(G2691*2,1)/2,神经网络!$E$10:$E$70,0),MATCH(ROUND(E2691*2,1)/2,神经网络!$G$8:$BO$8,0))</f>
        <v>-0.74474400321277467</v>
      </c>
      <c r="I2691">
        <f t="shared" si="360"/>
        <v>351373.86905053398</v>
      </c>
      <c r="J2691">
        <f t="shared" si="361"/>
        <v>5656.3983879334401</v>
      </c>
      <c r="K2691">
        <f t="shared" si="362"/>
        <v>62.119717345246627</v>
      </c>
      <c r="L2691" s="4">
        <f>MIN(MAX(L2690*(1+MAX(MIN(((B2691-B2690)/B2690)/($K$7*卓尔金历!$N$40),0),-卓尔金历!$M$43))+MIN(MAX(((B2691-B2690)/B2690)/($K$7*卓尔金历!$N$40),0),卓尔金历!$M$43),0),1)</f>
        <v>0.37181203009015545</v>
      </c>
      <c r="M2691" s="4">
        <f>MIN(MAX(M2690*(1+MAX(MIN(((B2691-B2690)/B2690)/($K$7*30),0),-卓尔金历!$M$43))+MIN(MAX(((B2691-B2690)/B2690)/($K$7*7),0),卓尔金历!$M$43),0),1)</f>
        <v>0.71691065407206622</v>
      </c>
      <c r="N2691">
        <f t="shared" si="363"/>
        <v>164542.83335369485</v>
      </c>
      <c r="O2691">
        <f t="shared" si="364"/>
        <v>389945.7969648217</v>
      </c>
      <c r="P2691">
        <f t="shared" si="365"/>
        <v>-3.7055906528089128E-2</v>
      </c>
      <c r="Q2691">
        <f t="shared" si="366"/>
        <v>0.10130929083306368</v>
      </c>
      <c r="R2691">
        <f t="shared" si="367"/>
        <v>1</v>
      </c>
      <c r="S2691">
        <f t="shared" si="359"/>
        <v>830.91314021199912</v>
      </c>
      <c r="T2691" s="564">
        <f>IF((I2691-MAX(I$470:I2691))/MAX(I$470:I2691)&gt;T2690,T2690,(I2691-MAX(I$470:I2691))/MAX(I$470:I2691))</f>
        <v>-0.91338805338419748</v>
      </c>
      <c r="U2691" s="564">
        <f>IF((J2691-MAX(J$470:J2691))/MAX(J$470:J2691)&gt;U2690,U2690,(J2691-MAX(J$470:J2691))/MAX(J$470:J2691))</f>
        <v>-0.8283551177402233</v>
      </c>
      <c r="V2691" s="564">
        <f>IF((K2691-MAX(K$470:K2691))/MAX(K$470:K2691)&gt;V2690,V2690,(K2691-MAX(K$470:K2691))/MAX(K$470:K2691))</f>
        <v>-0.84885940676762139</v>
      </c>
      <c r="W2691" s="564">
        <f>IF((N2691-MAX(N$470:N2691))/MAX(N$470:N2691)&gt;W2690,W2690,(N2691-MAX(N$470:N2691))/MAX(N$470:N2691))</f>
        <v>-0.62788758315546067</v>
      </c>
      <c r="X2691" s="564">
        <f>IF((O2691-MAX(O$470:O2691))/MAX(O$470:O2691)&gt;X2690,X2690,(O2691-MAX(O$470:O2691))/MAX(O$470:O2691))</f>
        <v>-0.62788758315546067</v>
      </c>
    </row>
    <row r="2692" spans="1:24">
      <c r="A2692" s="799">
        <v>43094</v>
      </c>
      <c r="B2692">
        <v>13593.2</v>
      </c>
      <c r="C2692">
        <v>3883.3763039999999</v>
      </c>
      <c r="D2692">
        <v>2.929503</v>
      </c>
      <c r="E2692">
        <f>LN(D2692/参数实验室!$E$53)/参数实验室!$E$55</f>
        <v>0.57506916980683231</v>
      </c>
      <c r="F2692">
        <f t="shared" si="358"/>
        <v>0.28568521790306917</v>
      </c>
      <c r="G2692">
        <f>LN(F2692/参数实验室!$E$58)/参数实验室!$E$59</f>
        <v>-0.84810113366138606</v>
      </c>
      <c r="H2692" s="856">
        <f>INDEX(神经网络!$G$10:$BO$70,MATCH(ROUND(G2692*2,1)/2,神经网络!$E$10:$E$70,0),MATCH(ROUND(E2692*2,1)/2,神经网络!$G$8:$BO$8,0))</f>
        <v>-0.65007775089023123</v>
      </c>
      <c r="I2692">
        <f t="shared" si="360"/>
        <v>362123.2852769593</v>
      </c>
      <c r="J2692">
        <f t="shared" si="361"/>
        <v>5424.0453293962719</v>
      </c>
      <c r="K2692">
        <f t="shared" si="362"/>
        <v>66.762584618234698</v>
      </c>
      <c r="L2692" s="4">
        <f>MIN(MAX(L2691*(1+MAX(MIN(((B2692-B2691)/B2691)/($K$7*卓尔金历!$N$40),0),-卓尔金历!$M$43))+MIN(MAX(((B2692-B2691)/B2691)/($K$7*卓尔金历!$N$40),0),卓尔金历!$M$43),0),1)</f>
        <v>0.13845122221378439</v>
      </c>
      <c r="M2692" s="4">
        <f>MIN(MAX(M2691*(1+MAX(MIN(((B2692-B2691)/B2691)/($K$7*30),0),-卓尔金历!$M$43))+MIN(MAX(((B2692-B2691)/B2691)/($K$7*7),0),卓尔金历!$M$43),0),1)</f>
        <v>0.49193292894457508</v>
      </c>
      <c r="N2692">
        <f t="shared" si="363"/>
        <v>166414.45400047317</v>
      </c>
      <c r="O2692">
        <f t="shared" si="364"/>
        <v>398498.13182214834</v>
      </c>
      <c r="P2692">
        <f t="shared" si="365"/>
        <v>-4.1077916122888032E-2</v>
      </c>
      <c r="Q2692">
        <f t="shared" si="366"/>
        <v>0.10194529291952248</v>
      </c>
      <c r="R2692">
        <f t="shared" si="367"/>
        <v>1</v>
      </c>
      <c r="S2692">
        <f t="shared" si="359"/>
        <v>856.33287679138698</v>
      </c>
      <c r="T2692" s="564">
        <f>IF((I2692-MAX(I$470:I2692))/MAX(I$470:I2692)&gt;T2691,T2691,(I2692-MAX(I$470:I2692))/MAX(I$470:I2692))</f>
        <v>-0.91338805338419748</v>
      </c>
      <c r="U2692" s="564">
        <f>IF((J2692-MAX(J$470:J2692))/MAX(J$470:J2692)&gt;U2691,U2691,(J2692-MAX(J$470:J2692))/MAX(J$470:J2692))</f>
        <v>-0.8283551177402233</v>
      </c>
      <c r="V2692" s="564">
        <f>IF((K2692-MAX(K$470:K2692))/MAX(K$470:K2692)&gt;V2691,V2691,(K2692-MAX(K$470:K2692))/MAX(K$470:K2692))</f>
        <v>-0.84885940676762139</v>
      </c>
      <c r="W2692" s="564">
        <f>IF((N2692-MAX(N$470:N2692))/MAX(N$470:N2692)&gt;W2691,W2691,(N2692-MAX(N$470:N2692))/MAX(N$470:N2692))</f>
        <v>-0.62788758315546067</v>
      </c>
      <c r="X2692" s="564">
        <f>IF((O2692-MAX(O$470:O2692))/MAX(O$470:O2692)&gt;X2691,X2691,(O2692-MAX(O$470:O2692))/MAX(O$470:O2692))</f>
        <v>-0.62788758315546067</v>
      </c>
    </row>
    <row r="2693" spans="1:24">
      <c r="A2693" s="799">
        <v>43095</v>
      </c>
      <c r="B2693">
        <v>14663.6</v>
      </c>
      <c r="C2693">
        <v>3910.8290900000002</v>
      </c>
      <c r="D2693">
        <v>3.2378830000000001</v>
      </c>
      <c r="E2693">
        <f>LN(D2693/参数实验室!$E$53)/参数实验室!$E$55</f>
        <v>0.69314705855245839</v>
      </c>
      <c r="F2693">
        <f t="shared" ref="F2693:F2756" si="368">C2693/B2693</f>
        <v>0.26670320316975366</v>
      </c>
      <c r="G2693">
        <f>LN(F2693/参数实验室!$E$58)/参数实验室!$E$59</f>
        <v>-0.88418701491812679</v>
      </c>
      <c r="H2693" s="856">
        <f>INDEX(神经网络!$G$10:$BO$70,MATCH(ROUND(G2693*2,1)/2,神经网络!$E$10:$E$70,0),MATCH(ROUND(E2693*2,1)/2,神经网络!$G$8:$BO$8,0))</f>
        <v>-0.60578252090505591</v>
      </c>
      <c r="I2693">
        <f t="shared" si="360"/>
        <v>343585.99939042708</v>
      </c>
      <c r="J2693">
        <f t="shared" si="361"/>
        <v>5851.1631618849997</v>
      </c>
      <c r="K2693">
        <f t="shared" si="362"/>
        <v>58.720973913114747</v>
      </c>
      <c r="L2693" s="4">
        <f>MIN(MAX(L2692*(1+MAX(MIN(((B2693-B2692)/B2692)/($K$7*卓尔金历!$N$40),0),-卓尔金历!$M$43))+MIN(MAX(((B2693-B2692)/B2692)/($K$7*卓尔金历!$N$40),0),卓尔金历!$M$43),0),1)</f>
        <v>1</v>
      </c>
      <c r="M2693" s="4">
        <f>MIN(MAX(M2692*(1+MAX(MIN(((B2693-B2692)/B2692)/($K$7*30),0),-卓尔金历!$M$43))+MIN(MAX(((B2693-B2692)/B2692)/($K$7*7),0),卓尔金历!$M$43),0),1)</f>
        <v>1</v>
      </c>
      <c r="N2693">
        <f t="shared" si="363"/>
        <v>165235.00943288274</v>
      </c>
      <c r="O2693">
        <f t="shared" si="364"/>
        <v>388463.02776789188</v>
      </c>
      <c r="P2693">
        <f t="shared" si="365"/>
        <v>7.8745254980431362E-2</v>
      </c>
      <c r="Q2693">
        <f t="shared" si="366"/>
        <v>0.10289147422829102</v>
      </c>
      <c r="R2693">
        <f t="shared" si="367"/>
        <v>0.39666801375685601</v>
      </c>
      <c r="S2693">
        <f t="shared" si="359"/>
        <v>812.49673590644579</v>
      </c>
      <c r="T2693" s="564">
        <f>IF((I2693-MAX(I$470:I2693))/MAX(I$470:I2693)&gt;T2692,T2692,(I2693-MAX(I$470:I2693))/MAX(I$470:I2693))</f>
        <v>-0.91338805338419748</v>
      </c>
      <c r="U2693" s="564">
        <f>IF((J2693-MAX(J$470:J2693))/MAX(J$470:J2693)&gt;U2692,U2692,(J2693-MAX(J$470:J2693))/MAX(J$470:J2693))</f>
        <v>-0.8283551177402233</v>
      </c>
      <c r="V2693" s="564">
        <f>IF((K2693-MAX(K$470:K2693))/MAX(K$470:K2693)&gt;V2692,V2692,(K2693-MAX(K$470:K2693))/MAX(K$470:K2693))</f>
        <v>-0.84885940676762139</v>
      </c>
      <c r="W2693" s="564">
        <f>IF((N2693-MAX(N$470:N2693))/MAX(N$470:N2693)&gt;W2692,W2692,(N2693-MAX(N$470:N2693))/MAX(N$470:N2693))</f>
        <v>-0.62788758315546067</v>
      </c>
      <c r="X2693" s="564">
        <f>IF((O2693-MAX(O$470:O2693))/MAX(O$470:O2693)&gt;X2692,X2692,(O2693-MAX(O$470:O2693))/MAX(O$470:O2693))</f>
        <v>-0.62788758315546067</v>
      </c>
    </row>
    <row r="2694" spans="1:24">
      <c r="A2694" s="799">
        <v>43096</v>
      </c>
      <c r="B2694">
        <v>16293.7</v>
      </c>
      <c r="C2694">
        <v>3945.903366</v>
      </c>
      <c r="D2694">
        <v>3.1311879999999999</v>
      </c>
      <c r="E2694">
        <f>LN(D2694/参数实验室!$E$53)/参数实验室!$E$55</f>
        <v>0.65361678826617553</v>
      </c>
      <c r="F2694">
        <f t="shared" si="368"/>
        <v>0.24217356192884365</v>
      </c>
      <c r="G2694">
        <f>LN(F2694/参数实验室!$E$58)/参数实验室!$E$59</f>
        <v>-0.93482586427202763</v>
      </c>
      <c r="H2694" s="856">
        <f>INDEX(神经网络!$G$10:$BO$70,MATCH(ROUND(G2694*2,1)/2,神经网络!$E$10:$E$70,0),MATCH(ROUND(E2694*2,1)/2,神经网络!$G$8:$BO$8,0))</f>
        <v>-0.70845816572769238</v>
      </c>
      <c r="I2694">
        <f t="shared" si="360"/>
        <v>320447.99820391735</v>
      </c>
      <c r="J2694">
        <f t="shared" si="361"/>
        <v>6501.6160568213554</v>
      </c>
      <c r="K2694">
        <f t="shared" si="362"/>
        <v>49.2874379851622</v>
      </c>
      <c r="L2694" s="4">
        <f>MIN(MAX(L2693*(1+MAX(MIN(((B2694-B2693)/B2693)/($K$7*卓尔金历!$N$40),0),-卓尔金历!$M$43))+MIN(MAX(((B2694-B2693)/B2693)/($K$7*卓尔金历!$N$40),0),卓尔金历!$M$43),0),1)</f>
        <v>1</v>
      </c>
      <c r="M2694" s="4">
        <f>MIN(MAX(M2693*(1+MAX(MIN(((B2694-B2693)/B2693)/($K$7*30),0),-卓尔金历!$M$43))+MIN(MAX(((B2694-B2693)/B2693)/($K$7*7),0),卓尔金历!$M$43),0),1)</f>
        <v>1</v>
      </c>
      <c r="N2694">
        <f t="shared" si="363"/>
        <v>154107.64146360016</v>
      </c>
      <c r="O2694">
        <f t="shared" si="364"/>
        <v>362302.88732749224</v>
      </c>
      <c r="P2694">
        <f t="shared" si="365"/>
        <v>0.11116642570719334</v>
      </c>
      <c r="Q2694">
        <f t="shared" si="366"/>
        <v>0.10437017423733273</v>
      </c>
      <c r="R2694">
        <f t="shared" si="367"/>
        <v>9.6400620944201168E-2</v>
      </c>
      <c r="S2694">
        <f t="shared" si="359"/>
        <v>790.79276558878416</v>
      </c>
      <c r="T2694" s="564">
        <f>IF((I2694-MAX(I$470:I2694))/MAX(I$470:I2694)&gt;T2693,T2693,(I2694-MAX(I$470:I2694))/MAX(I$470:I2694))</f>
        <v>-0.91338805338419748</v>
      </c>
      <c r="U2694" s="564">
        <f>IF((J2694-MAX(J$470:J2694))/MAX(J$470:J2694)&gt;U2693,U2693,(J2694-MAX(J$470:J2694))/MAX(J$470:J2694))</f>
        <v>-0.8283551177402233</v>
      </c>
      <c r="V2694" s="564">
        <f>IF((K2694-MAX(K$470:K2694))/MAX(K$470:K2694)&gt;V2693,V2693,(K2694-MAX(K$470:K2694))/MAX(K$470:K2694))</f>
        <v>-0.84885940676762139</v>
      </c>
      <c r="W2694" s="564">
        <f>IF((N2694-MAX(N$470:N2694))/MAX(N$470:N2694)&gt;W2693,W2693,(N2694-MAX(N$470:N2694))/MAX(N$470:N2694))</f>
        <v>-0.62788758315546067</v>
      </c>
      <c r="X2694" s="564">
        <f>IF((O2694-MAX(O$470:O2694))/MAX(O$470:O2694)&gt;X2693,X2693,(O2694-MAX(O$470:O2694))/MAX(O$470:O2694))</f>
        <v>-0.62788758315546067</v>
      </c>
    </row>
    <row r="2695" spans="1:24">
      <c r="A2695" s="799">
        <v>43097</v>
      </c>
      <c r="B2695">
        <v>14822.5</v>
      </c>
      <c r="C2695">
        <v>3964.2638999999999</v>
      </c>
      <c r="D2695">
        <v>2.9001570000000001</v>
      </c>
      <c r="E2695">
        <f>LN(D2695/参数实验室!$E$53)/参数实验室!$E$55</f>
        <v>0.56319151960505875</v>
      </c>
      <c r="F2695">
        <f t="shared" si="368"/>
        <v>0.2674490740428403</v>
      </c>
      <c r="G2695">
        <f>LN(F2695/参数实验室!$E$58)/参数实验室!$E$59</f>
        <v>-0.88272123965330829</v>
      </c>
      <c r="H2695" s="856">
        <f>INDEX(神经网络!$G$10:$BO$70,MATCH(ROUND(G2695*2,1)/2,神经网络!$E$10:$E$70,0),MATCH(ROUND(E2695*2,1)/2,神经网络!$G$8:$BO$8,0))</f>
        <v>-0.74474400321277467</v>
      </c>
      <c r="I2695">
        <f t="shared" si="360"/>
        <v>340946.5780414404</v>
      </c>
      <c r="J2695">
        <f t="shared" si="361"/>
        <v>5914.5684529747405</v>
      </c>
      <c r="K2695">
        <f t="shared" si="362"/>
        <v>57.64521634202422</v>
      </c>
      <c r="L2695" s="4">
        <f>MIN(MAX(L2694*(1+MAX(MIN(((B2695-B2694)/B2694)/($K$7*卓尔金历!$N$40),0),-卓尔金历!$M$43))+MIN(MAX(((B2695-B2694)/B2694)/($K$7*卓尔金历!$N$40),0),卓尔金历!$M$43),0),1)</f>
        <v>0</v>
      </c>
      <c r="M2695" s="4">
        <f>MIN(MAX(M2694*(1+MAX(MIN(((B2695-B2694)/B2694)/($K$7*30),0),-卓尔金历!$M$43))+MIN(MAX(((B2695-B2694)/B2694)/($K$7*7),0),卓尔金历!$M$43),0),1)</f>
        <v>0.3102081112646552</v>
      </c>
      <c r="N2695">
        <f t="shared" si="363"/>
        <v>163965.67711936907</v>
      </c>
      <c r="O2695">
        <f t="shared" si="364"/>
        <v>385478.8619095576</v>
      </c>
      <c r="P2695">
        <f t="shared" si="365"/>
        <v>-9.0292567065798482E-2</v>
      </c>
      <c r="Q2695">
        <f t="shared" si="366"/>
        <v>0.10180406560766986</v>
      </c>
      <c r="R2695">
        <f t="shared" si="367"/>
        <v>0.23688895984242414</v>
      </c>
      <c r="S2695">
        <f t="shared" si="359"/>
        <v>795.66927121613855</v>
      </c>
      <c r="T2695" s="564">
        <f>IF((I2695-MAX(I$470:I2695))/MAX(I$470:I2695)&gt;T2694,T2694,(I2695-MAX(I$470:I2695))/MAX(I$470:I2695))</f>
        <v>-0.91338805338419748</v>
      </c>
      <c r="U2695" s="564">
        <f>IF((J2695-MAX(J$470:J2695))/MAX(J$470:J2695)&gt;U2694,U2694,(J2695-MAX(J$470:J2695))/MAX(J$470:J2695))</f>
        <v>-0.8283551177402233</v>
      </c>
      <c r="V2695" s="564">
        <f>IF((K2695-MAX(K$470:K2695))/MAX(K$470:K2695)&gt;V2694,V2694,(K2695-MAX(K$470:K2695))/MAX(K$470:K2695))</f>
        <v>-0.84885940676762139</v>
      </c>
      <c r="W2695" s="564">
        <f>IF((N2695-MAX(N$470:N2695))/MAX(N$470:N2695)&gt;W2694,W2694,(N2695-MAX(N$470:N2695))/MAX(N$470:N2695))</f>
        <v>-0.62788758315546067</v>
      </c>
      <c r="X2695" s="564">
        <f>IF((O2695-MAX(O$470:O2695))/MAX(O$470:O2695)&gt;X2694,X2694,(O2695-MAX(O$470:O2695))/MAX(O$470:O2695))</f>
        <v>-0.62788758315546067</v>
      </c>
    </row>
    <row r="2696" spans="1:24">
      <c r="A2696" s="799">
        <v>43098</v>
      </c>
      <c r="B2696">
        <v>15089.5</v>
      </c>
      <c r="C2696">
        <v>3985.3316620000001</v>
      </c>
      <c r="D2696">
        <v>2.9408020000000001</v>
      </c>
      <c r="E2696">
        <f>LN(D2696/参数实验室!$E$53)/参数实验室!$E$55</f>
        <v>0.57961068796139137</v>
      </c>
      <c r="F2696">
        <f t="shared" si="368"/>
        <v>0.26411290380728319</v>
      </c>
      <c r="G2696">
        <f>LN(F2696/参数实验室!$E$58)/参数实验室!$E$59</f>
        <v>-0.88930946642967068</v>
      </c>
      <c r="H2696" s="856">
        <f>INDEX(神经网络!$G$10:$BO$70,MATCH(ROUND(G2696*2,1)/2,神经网络!$E$10:$E$70,0),MATCH(ROUND(E2696*2,1)/2,神经网络!$G$8:$BO$8,0))</f>
        <v>-0.70609170069288352</v>
      </c>
      <c r="I2696">
        <f t="shared" si="360"/>
        <v>336372.71503026964</v>
      </c>
      <c r="J2696">
        <f t="shared" si="361"/>
        <v>6021.1084952715364</v>
      </c>
      <c r="K2696">
        <f t="shared" si="362"/>
        <v>55.865579451761747</v>
      </c>
      <c r="L2696" s="4">
        <f>MIN(MAX(L2695*(1+MAX(MIN(((B2696-B2695)/B2695)/($K$7*卓尔金历!$N$40),0),-卓尔金历!$M$43))+MIN(MAX(((B2696-B2695)/B2695)/($K$7*卓尔金历!$N$40),0),卓尔金历!$M$43),0),1)</f>
        <v>0.27522373278916068</v>
      </c>
      <c r="M2696" s="4">
        <f>MIN(MAX(M2695*(1+MAX(MIN(((B2696-B2695)/B2695)/($K$7*30),0),-卓尔金历!$M$43))+MIN(MAX(((B2696-B2695)/B2695)/($K$7*7),0),卓尔金历!$M$43),0),1)</f>
        <v>0.89997325295571373</v>
      </c>
      <c r="N2696">
        <f t="shared" si="363"/>
        <v>163965.67711936907</v>
      </c>
      <c r="O2696">
        <f t="shared" si="364"/>
        <v>383874.69137544936</v>
      </c>
      <c r="P2696">
        <f t="shared" si="365"/>
        <v>1.8013155675493338E-2</v>
      </c>
      <c r="Q2696">
        <f t="shared" si="366"/>
        <v>9.6363858793522078E-2</v>
      </c>
      <c r="R2696">
        <f t="shared" si="367"/>
        <v>1</v>
      </c>
      <c r="S2696">
        <f t="shared" si="359"/>
        <v>793.14070562257973</v>
      </c>
      <c r="T2696" s="564">
        <f>IF((I2696-MAX(I$470:I2696))/MAX(I$470:I2696)&gt;T2695,T2695,(I2696-MAX(I$470:I2696))/MAX(I$470:I2696))</f>
        <v>-0.91338805338419748</v>
      </c>
      <c r="U2696" s="564">
        <f>IF((J2696-MAX(J$470:J2696))/MAX(J$470:J2696)&gt;U2695,U2695,(J2696-MAX(J$470:J2696))/MAX(J$470:J2696))</f>
        <v>-0.8283551177402233</v>
      </c>
      <c r="V2696" s="564">
        <f>IF((K2696-MAX(K$470:K2696))/MAX(K$470:K2696)&gt;V2695,V2695,(K2696-MAX(K$470:K2696))/MAX(K$470:K2696))</f>
        <v>-0.84885940676762139</v>
      </c>
      <c r="W2696" s="564">
        <f>IF((N2696-MAX(N$470:N2696))/MAX(N$470:N2696)&gt;W2695,W2695,(N2696-MAX(N$470:N2696))/MAX(N$470:N2696))</f>
        <v>-0.62788758315546067</v>
      </c>
      <c r="X2696" s="564">
        <f>IF((O2696-MAX(O$470:O2696))/MAX(O$470:O2696)&gt;X2695,X2695,(O2696-MAX(O$470:O2696))/MAX(O$470:O2696))</f>
        <v>-0.62788758315546067</v>
      </c>
    </row>
    <row r="2697" spans="1:24">
      <c r="A2697" s="799">
        <v>43099</v>
      </c>
      <c r="B2697">
        <v>13685.4</v>
      </c>
      <c r="C2697">
        <v>4038.5650949999999</v>
      </c>
      <c r="D2697">
        <v>2.6024289999999999</v>
      </c>
      <c r="E2697">
        <f>LN(D2697/参数实验室!$E$53)/参数实验室!$E$55</f>
        <v>0.43540108026326674</v>
      </c>
      <c r="F2697">
        <f t="shared" si="368"/>
        <v>0.29510025976588189</v>
      </c>
      <c r="G2697">
        <f>LN(F2697/参数实验室!$E$58)/参数实验室!$E$59</f>
        <v>-0.83108295427897561</v>
      </c>
      <c r="H2697" s="856">
        <f>INDEX(神经网络!$G$10:$BO$70,MATCH(ROUND(G2697*2,1)/2,神经网络!$E$10:$E$70,0),MATCH(ROUND(E2697*2,1)/2,神经网络!$G$8:$BO$8,0))</f>
        <v>-0.76132237549403381</v>
      </c>
      <c r="I2697">
        <f t="shared" si="360"/>
        <v>358473.36557000258</v>
      </c>
      <c r="J2697">
        <f t="shared" si="361"/>
        <v>5460.8355612305968</v>
      </c>
      <c r="K2697">
        <f t="shared" si="362"/>
        <v>65.64441678394374</v>
      </c>
      <c r="L2697" s="4">
        <f>MIN(MAX(L2696*(1+MAX(MIN(((B2697-B2696)/B2696)/($K$7*卓尔金历!$N$40),0),-卓尔金历!$M$43))+MIN(MAX(((B2697-B2696)/B2696)/($K$7*卓尔金历!$N$40),0),卓尔金历!$M$43),0),1)</f>
        <v>0</v>
      </c>
      <c r="M2697" s="4">
        <f>MIN(MAX(M2696*(1+MAX(MIN(((B2697-B2696)/B2696)/($K$7*30),0),-卓尔金历!$M$43))+MIN(MAX(((B2697-B2696)/B2696)/($K$7*7),0),卓尔金历!$M$43),0),1)</f>
        <v>0.26021061287341712</v>
      </c>
      <c r="N2697">
        <f t="shared" si="363"/>
        <v>166930.66637862369</v>
      </c>
      <c r="O2697">
        <f t="shared" si="364"/>
        <v>406573.51653197542</v>
      </c>
      <c r="P2697">
        <f t="shared" si="365"/>
        <v>-9.305145962424205E-2</v>
      </c>
      <c r="Q2697">
        <f t="shared" si="366"/>
        <v>9.8177187361951898E-2</v>
      </c>
      <c r="R2697">
        <f t="shared" si="367"/>
        <v>0.15515221663559148</v>
      </c>
      <c r="S2697">
        <f t="shared" si="359"/>
        <v>845.25232104365944</v>
      </c>
      <c r="T2697" s="564">
        <f>IF((I2697-MAX(I$470:I2697))/MAX(I$470:I2697)&gt;T2696,T2696,(I2697-MAX(I$470:I2697))/MAX(I$470:I2697))</f>
        <v>-0.91338805338419748</v>
      </c>
      <c r="U2697" s="564">
        <f>IF((J2697-MAX(J$470:J2697))/MAX(J$470:J2697)&gt;U2696,U2696,(J2697-MAX(J$470:J2697))/MAX(J$470:J2697))</f>
        <v>-0.8283551177402233</v>
      </c>
      <c r="V2697" s="564">
        <f>IF((K2697-MAX(K$470:K2697))/MAX(K$470:K2697)&gt;V2696,V2696,(K2697-MAX(K$470:K2697))/MAX(K$470:K2697))</f>
        <v>-0.84885940676762139</v>
      </c>
      <c r="W2697" s="564">
        <f>IF((N2697-MAX(N$470:N2697))/MAX(N$470:N2697)&gt;W2696,W2696,(N2697-MAX(N$470:N2697))/MAX(N$470:N2697))</f>
        <v>-0.62788758315546067</v>
      </c>
      <c r="X2697" s="564">
        <f>IF((O2697-MAX(O$470:O2697))/MAX(O$470:O2697)&gt;X2696,X2696,(O2697-MAX(O$470:O2697))/MAX(O$470:O2697))</f>
        <v>-0.62788758315546067</v>
      </c>
    </row>
    <row r="2698" spans="1:24">
      <c r="A2698" s="799">
        <v>43100</v>
      </c>
      <c r="B2698">
        <v>13411</v>
      </c>
      <c r="C2698">
        <v>4090.3698159999999</v>
      </c>
      <c r="D2698">
        <v>2.7872669999999999</v>
      </c>
      <c r="E2698">
        <f>LN(D2698/参数实验室!$E$53)/参数实验室!$E$55</f>
        <v>0.51635139006138642</v>
      </c>
      <c r="F2698">
        <f t="shared" si="368"/>
        <v>0.30500110476474535</v>
      </c>
      <c r="G2698">
        <f>LN(F2698/参数实验室!$E$58)/参数实验室!$E$59</f>
        <v>-0.81376264669365261</v>
      </c>
      <c r="H2698" s="856">
        <f>INDEX(神经网络!$G$10:$BO$70,MATCH(ROUND(G2698*2,1)/2,神经网络!$E$10:$E$70,0),MATCH(ROUND(E2698*2,1)/2,神经网络!$G$8:$BO$8,0))</f>
        <v>-0.67032508698817761</v>
      </c>
      <c r="I2698">
        <f t="shared" si="360"/>
        <v>363945.44129566022</v>
      </c>
      <c r="J2698">
        <f t="shared" si="361"/>
        <v>5351.3427237540391</v>
      </c>
      <c r="K2698">
        <f t="shared" si="362"/>
        <v>68.010116354563735</v>
      </c>
      <c r="L2698" s="4">
        <f>MIN(MAX(L2697*(1+MAX(MIN(((B2698-B2697)/B2697)/($K$7*卓尔金历!$N$40),0),-卓尔金历!$M$43))+MIN(MAX(((B2698-B2697)/B2697)/($K$7*卓尔金历!$N$40),0),卓尔金历!$M$43),0),1)</f>
        <v>0</v>
      </c>
      <c r="M2698" s="4">
        <f>MIN(MAX(M2697*(1+MAX(MIN(((B2698-B2697)/B2697)/($K$7*30),0),-卓尔金历!$M$43))+MIN(MAX(((B2698-B2697)/B2697)/($K$7*7),0),卓尔金历!$M$43),0),1)</f>
        <v>0.22035241124171101</v>
      </c>
      <c r="N2698">
        <f t="shared" si="363"/>
        <v>166930.66637862369</v>
      </c>
      <c r="O2698">
        <f t="shared" si="364"/>
        <v>408188.46733636298</v>
      </c>
      <c r="P2698">
        <f t="shared" si="365"/>
        <v>-2.0050564835518116E-2</v>
      </c>
      <c r="Q2698">
        <f t="shared" si="366"/>
        <v>9.1401616770975261E-2</v>
      </c>
      <c r="R2698">
        <f t="shared" si="367"/>
        <v>1</v>
      </c>
      <c r="S2698">
        <f t="shared" si="359"/>
        <v>847.25420805660906</v>
      </c>
      <c r="T2698" s="564">
        <f>IF((I2698-MAX(I$470:I2698))/MAX(I$470:I2698)&gt;T2697,T2697,(I2698-MAX(I$470:I2698))/MAX(I$470:I2698))</f>
        <v>-0.91338805338419748</v>
      </c>
      <c r="U2698" s="564">
        <f>IF((J2698-MAX(J$470:J2698))/MAX(J$470:J2698)&gt;U2697,U2697,(J2698-MAX(J$470:J2698))/MAX(J$470:J2698))</f>
        <v>-0.8283551177402233</v>
      </c>
      <c r="V2698" s="564">
        <f>IF((K2698-MAX(K$470:K2698))/MAX(K$470:K2698)&gt;V2697,V2697,(K2698-MAX(K$470:K2698))/MAX(K$470:K2698))</f>
        <v>-0.84885940676762139</v>
      </c>
      <c r="W2698" s="564">
        <f>IF((N2698-MAX(N$470:N2698))/MAX(N$470:N2698)&gt;W2697,W2697,(N2698-MAX(N$470:N2698))/MAX(N$470:N2698))</f>
        <v>-0.62788758315546067</v>
      </c>
      <c r="X2698" s="564">
        <f>IF((O2698-MAX(O$470:O2698))/MAX(O$470:O2698)&gt;X2697,X2697,(O2698-MAX(O$470:O2698))/MAX(O$470:O2698))</f>
        <v>-0.62788758315546067</v>
      </c>
    </row>
    <row r="2699" spans="1:24">
      <c r="A2699" s="799">
        <v>43101</v>
      </c>
      <c r="B2699">
        <v>13791.6</v>
      </c>
      <c r="C2699">
        <v>4104.5815080000002</v>
      </c>
      <c r="D2699">
        <v>2.6942349999999999</v>
      </c>
      <c r="E2699">
        <f>LN(D2699/参数实验室!$E$53)/参数实验室!$E$55</f>
        <v>0.47630202262557514</v>
      </c>
      <c r="F2699">
        <f t="shared" si="368"/>
        <v>0.29761459932132606</v>
      </c>
      <c r="G2699">
        <f>LN(F2699/参数实验室!$E$58)/参数实验室!$E$59</f>
        <v>-0.82662998949479372</v>
      </c>
      <c r="H2699" s="856">
        <f>INDEX(神经网络!$G$10:$BO$70,MATCH(ROUND(G2699*2,1)/2,神经网络!$E$10:$E$70,0),MATCH(ROUND(E2699*2,1)/2,神经网络!$G$8:$BO$8,0))</f>
        <v>-0.72949400579754897</v>
      </c>
      <c r="I2699">
        <f t="shared" si="360"/>
        <v>357021.8825974249</v>
      </c>
      <c r="J2699">
        <f t="shared" si="361"/>
        <v>5503.2121623239291</v>
      </c>
      <c r="K2699">
        <f t="shared" si="362"/>
        <v>64.875180543041168</v>
      </c>
      <c r="L2699" s="4">
        <f>MIN(MAX(L2698*(1+MAX(MIN(((B2699-B2698)/B2698)/($K$7*卓尔金历!$N$40),0),-卓尔金历!$M$43))+MIN(MAX(((B2699-B2698)/B2698)/($K$7*卓尔金历!$N$40),0),卓尔金历!$M$43),0),1)</f>
        <v>0.43361440351222352</v>
      </c>
      <c r="M2699" s="4">
        <f>MIN(MAX(M2698*(1+MAX(MIN(((B2699-B2698)/B2698)/($K$7*30),0),-卓尔金历!$M$43))+MIN(MAX(((B2699-B2698)/B2698)/($K$7*7),0),卓尔金历!$M$43),0),1)</f>
        <v>1</v>
      </c>
      <c r="N2699">
        <f t="shared" si="363"/>
        <v>166930.66637862369</v>
      </c>
      <c r="O2699">
        <f t="shared" si="364"/>
        <v>406477.38214705925</v>
      </c>
      <c r="P2699">
        <f t="shared" si="365"/>
        <v>2.8379688315561879E-2</v>
      </c>
      <c r="Q2699">
        <f t="shared" si="366"/>
        <v>6.9816438347174797E-2</v>
      </c>
      <c r="R2699">
        <f t="shared" si="367"/>
        <v>1</v>
      </c>
      <c r="S2699">
        <f t="shared" si="359"/>
        <v>831.13636846800603</v>
      </c>
      <c r="T2699" s="564">
        <f>IF((I2699-MAX(I$470:I2699))/MAX(I$470:I2699)&gt;T2698,T2698,(I2699-MAX(I$470:I2699))/MAX(I$470:I2699))</f>
        <v>-0.91338805338419748</v>
      </c>
      <c r="U2699" s="564">
        <f>IF((J2699-MAX(J$470:J2699))/MAX(J$470:J2699)&gt;U2698,U2698,(J2699-MAX(J$470:J2699))/MAX(J$470:J2699))</f>
        <v>-0.8283551177402233</v>
      </c>
      <c r="V2699" s="564">
        <f>IF((K2699-MAX(K$470:K2699))/MAX(K$470:K2699)&gt;V2698,V2698,(K2699-MAX(K$470:K2699))/MAX(K$470:K2699))</f>
        <v>-0.84885940676762139</v>
      </c>
      <c r="W2699" s="564">
        <f>IF((N2699-MAX(N$470:N2699))/MAX(N$470:N2699)&gt;W2698,W2698,(N2699-MAX(N$470:N2699))/MAX(N$470:N2699))</f>
        <v>-0.62788758315546067</v>
      </c>
      <c r="X2699" s="564">
        <f>IF((O2699-MAX(O$470:O2699))/MAX(O$470:O2699)&gt;X2698,X2698,(O2699-MAX(O$470:O2699))/MAX(O$470:O2699))</f>
        <v>-0.62788758315546067</v>
      </c>
    </row>
    <row r="2700" spans="1:24">
      <c r="A2700" s="799">
        <v>43102</v>
      </c>
      <c r="B2700">
        <v>13670.6</v>
      </c>
      <c r="C2700">
        <v>4119.0024149999999</v>
      </c>
      <c r="D2700">
        <v>2.925443</v>
      </c>
      <c r="E2700">
        <f>LN(D2700/参数实验室!$E$53)/参数实验室!$E$55</f>
        <v>0.5734330150282072</v>
      </c>
      <c r="F2700">
        <f t="shared" si="368"/>
        <v>0.3013037039339897</v>
      </c>
      <c r="G2700">
        <f>LN(F2700/参数实验室!$E$58)/参数实验室!$E$59</f>
        <v>-0.82016411276712087</v>
      </c>
      <c r="H2700" s="856">
        <f>INDEX(神经网络!$G$10:$BO$70,MATCH(ROUND(G2700*2,1)/2,神经网络!$E$10:$E$70,0),MATCH(ROUND(E2700*2,1)/2,神经网络!$G$8:$BO$8,0))</f>
        <v>-0.63581038716492932</v>
      </c>
      <c r="I2700">
        <f t="shared" si="360"/>
        <v>359306.8882616334</v>
      </c>
      <c r="J2700">
        <f t="shared" si="361"/>
        <v>5454.9299708710741</v>
      </c>
      <c r="K2700">
        <f t="shared" si="362"/>
        <v>65.868286152215674</v>
      </c>
      <c r="L2700" s="4">
        <f>MIN(MAX(L2699*(1+MAX(MIN(((B2700-B2699)/B2699)/($K$7*卓尔金历!$N$40),0),-卓尔金历!$M$43))+MIN(MAX(((B2700-B2699)/B2699)/($K$7*卓尔金历!$N$40),0),卓尔金历!$M$43),0),1)</f>
        <v>0.37548839570868486</v>
      </c>
      <c r="M2700" s="4">
        <f>MIN(MAX(M2699*(1+MAX(MIN(((B2700-B2699)/B2699)/($K$7*30),0),-卓尔金历!$M$43))+MIN(MAX(((B2700-B2699)/B2699)/($K$7*7),0),卓尔金历!$M$43),0),1)</f>
        <v>0.93297500344462136</v>
      </c>
      <c r="N2700">
        <f t="shared" si="363"/>
        <v>167393.93434620721</v>
      </c>
      <c r="O2700">
        <f t="shared" si="364"/>
        <v>409078.9120976085</v>
      </c>
      <c r="P2700">
        <f t="shared" si="365"/>
        <v>-8.7734563067374347E-3</v>
      </c>
      <c r="Q2700">
        <f t="shared" si="366"/>
        <v>6.9625552934536289E-2</v>
      </c>
      <c r="R2700">
        <f t="shared" si="367"/>
        <v>1</v>
      </c>
      <c r="S2700">
        <f t="shared" si="359"/>
        <v>836.45579397733979</v>
      </c>
      <c r="T2700" s="564">
        <f>IF((I2700-MAX(I$470:I2700))/MAX(I$470:I2700)&gt;T2699,T2699,(I2700-MAX(I$470:I2700))/MAX(I$470:I2700))</f>
        <v>-0.91338805338419748</v>
      </c>
      <c r="U2700" s="564">
        <f>IF((J2700-MAX(J$470:J2700))/MAX(J$470:J2700)&gt;U2699,U2699,(J2700-MAX(J$470:J2700))/MAX(J$470:J2700))</f>
        <v>-0.8283551177402233</v>
      </c>
      <c r="V2700" s="564">
        <f>IF((K2700-MAX(K$470:K2700))/MAX(K$470:K2700)&gt;V2699,V2699,(K2700-MAX(K$470:K2700))/MAX(K$470:K2700))</f>
        <v>-0.84885940676762139</v>
      </c>
      <c r="W2700" s="564">
        <f>IF((N2700-MAX(N$470:N2700))/MAX(N$470:N2700)&gt;W2699,W2699,(N2700-MAX(N$470:N2700))/MAX(N$470:N2700))</f>
        <v>-0.62788758315546067</v>
      </c>
      <c r="X2700" s="564">
        <f>IF((O2700-MAX(O$470:O2700))/MAX(O$470:O2700)&gt;X2699,X2699,(O2700-MAX(O$470:O2700))/MAX(O$470:O2700))</f>
        <v>-0.62788758315546067</v>
      </c>
    </row>
    <row r="2701" spans="1:24">
      <c r="A2701" s="799">
        <v>43103</v>
      </c>
      <c r="B2701">
        <v>15190.8</v>
      </c>
      <c r="C2701">
        <v>4182.5144639999999</v>
      </c>
      <c r="D2701">
        <v>2.960267</v>
      </c>
      <c r="E2701">
        <f>LN(D2701/参数实验室!$E$53)/参数实验室!$E$55</f>
        <v>0.58739367785031382</v>
      </c>
      <c r="F2701">
        <f t="shared" si="368"/>
        <v>0.27533207362350898</v>
      </c>
      <c r="G2701">
        <f>LN(F2701/参数实验室!$E$58)/参数实验室!$E$59</f>
        <v>-0.86747489163559144</v>
      </c>
      <c r="H2701" s="856">
        <f>INDEX(神经网络!$G$10:$BO$70,MATCH(ROUND(G2701*2,1)/2,神经网络!$E$10:$E$70,0),MATCH(ROUND(E2701*2,1)/2,神经网络!$G$8:$BO$8,0))</f>
        <v>-0.65007775089023123</v>
      </c>
      <c r="I2701">
        <f t="shared" si="360"/>
        <v>333902.64200689236</v>
      </c>
      <c r="J2701">
        <f t="shared" si="361"/>
        <v>6061.5298671242163</v>
      </c>
      <c r="K2701">
        <f t="shared" si="362"/>
        <v>55.085539348386725</v>
      </c>
      <c r="L2701" s="4">
        <f>MIN(MAX(L2700*(1+MAX(MIN(((B2701-B2700)/B2700)/($K$7*卓尔金历!$N$40),0),-卓尔金历!$M$43))+MIN(MAX(((B2701-B2700)/B2700)/($K$7*卓尔金历!$N$40),0),卓尔金历!$M$43),0),1)</f>
        <v>1</v>
      </c>
      <c r="M2701" s="4">
        <f>MIN(MAX(M2700*(1+MAX(MIN(((B2701-B2700)/B2700)/($K$7*30),0),-卓尔金历!$M$43))+MIN(MAX(((B2701-B2700)/B2700)/($K$7*7),0),卓尔金历!$M$43),0),1)</f>
        <v>1</v>
      </c>
      <c r="N2701">
        <f t="shared" si="363"/>
        <v>162949.90408484035</v>
      </c>
      <c r="O2701">
        <f t="shared" si="364"/>
        <v>382094.19488402008</v>
      </c>
      <c r="P2701">
        <f t="shared" si="365"/>
        <v>0.11120214182259731</v>
      </c>
      <c r="Q2701">
        <f t="shared" si="366"/>
        <v>7.3942964943146519E-2</v>
      </c>
      <c r="R2701">
        <f t="shared" si="367"/>
        <v>4.121445681036922E-2</v>
      </c>
      <c r="S2701">
        <f t="shared" si="359"/>
        <v>777.3154611153318</v>
      </c>
      <c r="T2701" s="564">
        <f>IF((I2701-MAX(I$470:I2701))/MAX(I$470:I2701)&gt;T2700,T2700,(I2701-MAX(I$470:I2701))/MAX(I$470:I2701))</f>
        <v>-0.91338805338419748</v>
      </c>
      <c r="U2701" s="564">
        <f>IF((J2701-MAX(J$470:J2701))/MAX(J$470:J2701)&gt;U2700,U2700,(J2701-MAX(J$470:J2701))/MAX(J$470:J2701))</f>
        <v>-0.8283551177402233</v>
      </c>
      <c r="V2701" s="564">
        <f>IF((K2701-MAX(K$470:K2701))/MAX(K$470:K2701)&gt;V2700,V2700,(K2701-MAX(K$470:K2701))/MAX(K$470:K2701))</f>
        <v>-0.84885940676762139</v>
      </c>
      <c r="W2701" s="564">
        <f>IF((N2701-MAX(N$470:N2701))/MAX(N$470:N2701)&gt;W2700,W2700,(N2701-MAX(N$470:N2701))/MAX(N$470:N2701))</f>
        <v>-0.62788758315546067</v>
      </c>
      <c r="X2701" s="564">
        <f>IF((O2701-MAX(O$470:O2701))/MAX(O$470:O2701)&gt;X2700,X2700,(O2701-MAX(O$470:O2701))/MAX(O$470:O2701))</f>
        <v>-0.62788758315546067</v>
      </c>
    </row>
    <row r="2702" spans="1:24">
      <c r="A2702" s="799">
        <v>43104</v>
      </c>
      <c r="B2702">
        <v>15364</v>
      </c>
      <c r="C2702">
        <v>4210.3846670000003</v>
      </c>
      <c r="D2702">
        <v>2.9440219999999999</v>
      </c>
      <c r="E2702">
        <f>LN(D2702/参数实验室!$E$53)/参数实验室!$E$55</f>
        <v>0.58090173959682001</v>
      </c>
      <c r="F2702">
        <f t="shared" si="368"/>
        <v>0.27404221992970584</v>
      </c>
      <c r="G2702">
        <f>LN(F2702/参数实验室!$E$58)/参数实验室!$E$59</f>
        <v>-0.86993946334224748</v>
      </c>
      <c r="H2702" s="856">
        <f>INDEX(神经网络!$G$10:$BO$70,MATCH(ROUND(G2702*2,1)/2,神经网络!$E$10:$E$70,0),MATCH(ROUND(E2702*2,1)/2,神经网络!$G$8:$BO$8,0))</f>
        <v>-0.65007775089023123</v>
      </c>
      <c r="I2702">
        <f t="shared" si="360"/>
        <v>331427.77195911558</v>
      </c>
      <c r="J2702">
        <f t="shared" si="361"/>
        <v>6130.6412353856585</v>
      </c>
      <c r="K2702">
        <f t="shared" si="362"/>
        <v>54.060865614861989</v>
      </c>
      <c r="L2702" s="4">
        <f>MIN(MAX(L2701*(1+MAX(MIN(((B2702-B2701)/B2701)/($K$7*卓尔金历!$N$40),0),-卓尔金历!$M$43))+MIN(MAX(((B2702-B2701)/B2701)/($K$7*卓尔金历!$N$40),0),卓尔金历!$M$43),0),1)</f>
        <v>1</v>
      </c>
      <c r="M2702" s="4">
        <f>MIN(MAX(M2701*(1+MAX(MIN(((B2702-B2701)/B2701)/($K$7*30),0),-卓尔金历!$M$43))+MIN(MAX(((B2702-B2701)/B2701)/($K$7*7),0),卓尔金历!$M$43),0),1)</f>
        <v>1</v>
      </c>
      <c r="N2702">
        <f t="shared" si="363"/>
        <v>161742.12736740022</v>
      </c>
      <c r="O2702">
        <f t="shared" si="364"/>
        <v>379262.13140388642</v>
      </c>
      <c r="P2702">
        <f t="shared" si="365"/>
        <v>1.1401637833425543E-2</v>
      </c>
      <c r="Q2702">
        <f t="shared" si="366"/>
        <v>7.3573925545688493E-2</v>
      </c>
      <c r="R2702">
        <f t="shared" si="367"/>
        <v>1</v>
      </c>
      <c r="S2702">
        <f t="shared" si="359"/>
        <v>777.0780071476737</v>
      </c>
      <c r="T2702" s="564">
        <f>IF((I2702-MAX(I$470:I2702))/MAX(I$470:I2702)&gt;T2701,T2701,(I2702-MAX(I$470:I2702))/MAX(I$470:I2702))</f>
        <v>-0.91338805338419748</v>
      </c>
      <c r="U2702" s="564">
        <f>IF((J2702-MAX(J$470:J2702))/MAX(J$470:J2702)&gt;U2701,U2701,(J2702-MAX(J$470:J2702))/MAX(J$470:J2702))</f>
        <v>-0.8283551177402233</v>
      </c>
      <c r="V2702" s="564">
        <f>IF((K2702-MAX(K$470:K2702))/MAX(K$470:K2702)&gt;V2701,V2701,(K2702-MAX(K$470:K2702))/MAX(K$470:K2702))</f>
        <v>-0.84885940676762139</v>
      </c>
      <c r="W2702" s="564">
        <f>IF((N2702-MAX(N$470:N2702))/MAX(N$470:N2702)&gt;W2701,W2701,(N2702-MAX(N$470:N2702))/MAX(N$470:N2702))</f>
        <v>-0.62788758315546067</v>
      </c>
      <c r="X2702" s="564">
        <f>IF((O2702-MAX(O$470:O2702))/MAX(O$470:O2702)&gt;X2701,X2701,(O2702-MAX(O$470:O2702))/MAX(O$470:O2702))</f>
        <v>-0.62788758315546067</v>
      </c>
    </row>
    <row r="2703" spans="1:24">
      <c r="A2703" s="799">
        <v>43105</v>
      </c>
      <c r="B2703">
        <v>15572.1</v>
      </c>
      <c r="C2703">
        <v>4332.5033709999998</v>
      </c>
      <c r="D2703">
        <v>3.2619639999999999</v>
      </c>
      <c r="E2703">
        <f>LN(D2703/参数实验室!$E$53)/参数实验室!$E$55</f>
        <v>0.70188873134948326</v>
      </c>
      <c r="F2703">
        <f t="shared" si="368"/>
        <v>0.27822216470482464</v>
      </c>
      <c r="G2703">
        <f>LN(F2703/参数实验室!$E$58)/参数实验室!$E$59</f>
        <v>-0.86199434549680443</v>
      </c>
      <c r="H2703" s="856">
        <f>INDEX(神经网络!$G$10:$BO$70,MATCH(ROUND(G2703*2,1)/2,神经网络!$E$10:$E$70,0),MATCH(ROUND(E2703*2,1)/2,神经网络!$G$8:$BO$8,0))</f>
        <v>-0.55801436349978051</v>
      </c>
      <c r="I2703">
        <f t="shared" si="360"/>
        <v>328509.5254046878</v>
      </c>
      <c r="J2703">
        <f t="shared" si="361"/>
        <v>6213.6786241570562</v>
      </c>
      <c r="K2703">
        <f t="shared" si="362"/>
        <v>52.868766679939647</v>
      </c>
      <c r="L2703" s="4">
        <f>MIN(MAX(L2702*(1+MAX(MIN(((B2703-B2702)/B2702)/($K$7*卓尔金历!$N$40),0),-卓尔金历!$M$43))+MIN(MAX(((B2703-B2702)/B2702)/($K$7*卓尔金历!$N$40),0),卓尔金历!$M$43),0),1)</f>
        <v>1</v>
      </c>
      <c r="M2703" s="4">
        <f>MIN(MAX(M2702*(1+MAX(MIN(((B2703-B2702)/B2702)/($K$7*30),0),-卓尔金历!$M$43))+MIN(MAX(((B2703-B2702)/B2702)/($K$7*7),0),卓尔金历!$M$43),0),1)</f>
        <v>1</v>
      </c>
      <c r="N2703">
        <f t="shared" si="363"/>
        <v>160317.97572462854</v>
      </c>
      <c r="O2703">
        <f t="shared" si="364"/>
        <v>375922.69970312103</v>
      </c>
      <c r="P2703">
        <f t="shared" si="365"/>
        <v>1.354464983077326E-2</v>
      </c>
      <c r="Q2703">
        <f t="shared" si="366"/>
        <v>7.1047459298206092E-2</v>
      </c>
      <c r="R2703">
        <f t="shared" si="367"/>
        <v>1</v>
      </c>
      <c r="S2703">
        <f t="shared" si="359"/>
        <v>770.23577662644868</v>
      </c>
      <c r="T2703" s="564">
        <f>IF((I2703-MAX(I$470:I2703))/MAX(I$470:I2703)&gt;T2702,T2702,(I2703-MAX(I$470:I2703))/MAX(I$470:I2703))</f>
        <v>-0.91338805338419748</v>
      </c>
      <c r="U2703" s="564">
        <f>IF((J2703-MAX(J$470:J2703))/MAX(J$470:J2703)&gt;U2702,U2702,(J2703-MAX(J$470:J2703))/MAX(J$470:J2703))</f>
        <v>-0.8283551177402233</v>
      </c>
      <c r="V2703" s="564">
        <f>IF((K2703-MAX(K$470:K2703))/MAX(K$470:K2703)&gt;V2702,V2702,(K2703-MAX(K$470:K2703))/MAX(K$470:K2703))</f>
        <v>-0.84885940676762139</v>
      </c>
      <c r="W2703" s="564">
        <f>IF((N2703-MAX(N$470:N2703))/MAX(N$470:N2703)&gt;W2702,W2702,(N2703-MAX(N$470:N2703))/MAX(N$470:N2703))</f>
        <v>-0.62788758315546067</v>
      </c>
      <c r="X2703" s="564">
        <f>IF((O2703-MAX(O$470:O2703))/MAX(O$470:O2703)&gt;X2702,X2702,(O2703-MAX(O$470:O2703))/MAX(O$470:O2703))</f>
        <v>-0.62788758315546067</v>
      </c>
    </row>
    <row r="2704" spans="1:24">
      <c r="A2704" s="799">
        <v>43106</v>
      </c>
      <c r="B2704">
        <v>17035.599999999999</v>
      </c>
      <c r="C2704">
        <v>4290.7822020000003</v>
      </c>
      <c r="D2704">
        <v>3.2469299999999999</v>
      </c>
      <c r="E2704">
        <f>LN(D2704/参数实验室!$E$53)/参数实验室!$E$55</f>
        <v>0.69643882179150041</v>
      </c>
      <c r="F2704">
        <f t="shared" si="368"/>
        <v>0.25187150449646628</v>
      </c>
      <c r="G2704">
        <f>LN(F2704/参数实验室!$E$58)/参数实验室!$E$59</f>
        <v>-0.91421779172838924</v>
      </c>
      <c r="H2704" s="856">
        <f>INDEX(神经网络!$G$10:$BO$70,MATCH(ROUND(G2704*2,1)/2,神经网络!$E$10:$E$70,0),MATCH(ROUND(E2704*2,1)/2,神经网络!$G$8:$BO$8,0))</f>
        <v>-0.60578252090505591</v>
      </c>
      <c r="I2704">
        <f t="shared" si="360"/>
        <v>311281.36575681739</v>
      </c>
      <c r="J2704">
        <f t="shared" si="361"/>
        <v>6797.6537249112152</v>
      </c>
      <c r="K2704">
        <f t="shared" si="362"/>
        <v>45.792471690058477</v>
      </c>
      <c r="L2704" s="4">
        <f>MIN(MAX(L2703*(1+MAX(MIN(((B2704-B2703)/B2703)/($K$7*卓尔金历!$N$40),0),-卓尔金历!$M$43))+MIN(MAX(((B2704-B2703)/B2703)/($K$7*卓尔金历!$N$40),0),卓尔金历!$M$43),0),1)</f>
        <v>1</v>
      </c>
      <c r="M2704" s="4">
        <f>MIN(MAX(M2703*(1+MAX(MIN(((B2704-B2703)/B2703)/($K$7*30),0),-卓尔金历!$M$43))+MIN(MAX(((B2704-B2703)/B2703)/($K$7*7),0),卓尔金历!$M$43),0),1)</f>
        <v>1</v>
      </c>
      <c r="N2704">
        <f t="shared" si="363"/>
        <v>151910.35443326764</v>
      </c>
      <c r="O2704">
        <f t="shared" si="364"/>
        <v>356208.0315279272</v>
      </c>
      <c r="P2704">
        <f t="shared" si="365"/>
        <v>9.3982186089223554E-2</v>
      </c>
      <c r="Q2704">
        <f t="shared" si="366"/>
        <v>7.4008709696660194E-2</v>
      </c>
      <c r="R2704">
        <f t="shared" si="367"/>
        <v>5.4072624853932681E-2</v>
      </c>
      <c r="S2704">
        <f t="shared" si="359"/>
        <v>729.84198618802827</v>
      </c>
      <c r="T2704" s="564">
        <f>IF((I2704-MAX(I$470:I2704))/MAX(I$470:I2704)&gt;T2703,T2703,(I2704-MAX(I$470:I2704))/MAX(I$470:I2704))</f>
        <v>-0.91338805338419748</v>
      </c>
      <c r="U2704" s="564">
        <f>IF((J2704-MAX(J$470:J2704))/MAX(J$470:J2704)&gt;U2703,U2703,(J2704-MAX(J$470:J2704))/MAX(J$470:J2704))</f>
        <v>-0.8283551177402233</v>
      </c>
      <c r="V2704" s="564">
        <f>IF((K2704-MAX(K$470:K2704))/MAX(K$470:K2704)&gt;V2703,V2703,(K2704-MAX(K$470:K2704))/MAX(K$470:K2704))</f>
        <v>-0.84885940676762139</v>
      </c>
      <c r="W2704" s="564">
        <f>IF((N2704-MAX(N$470:N2704))/MAX(N$470:N2704)&gt;W2703,W2703,(N2704-MAX(N$470:N2704))/MAX(N$470:N2704))</f>
        <v>-0.62788758315546067</v>
      </c>
      <c r="X2704" s="564">
        <f>IF((O2704-MAX(O$470:O2704))/MAX(O$470:O2704)&gt;X2703,X2703,(O2704-MAX(O$470:O2704))/MAX(O$470:O2704))</f>
        <v>-0.62788758315546067</v>
      </c>
    </row>
    <row r="2705" spans="1:24">
      <c r="A2705" s="799">
        <v>43107</v>
      </c>
      <c r="B2705">
        <v>17109.099999999999</v>
      </c>
      <c r="C2705">
        <v>4276.2831669999996</v>
      </c>
      <c r="D2705">
        <v>3.0427810000000002</v>
      </c>
      <c r="E2705">
        <f>LN(D2705/参数实验室!$E$53)/参数实验室!$E$55</f>
        <v>0.61982796475130564</v>
      </c>
      <c r="F2705">
        <f t="shared" si="368"/>
        <v>0.24994202892028219</v>
      </c>
      <c r="G2705">
        <f>LN(F2705/参数实验室!$E$58)/参数实验室!$E$59</f>
        <v>-0.91825394452366915</v>
      </c>
      <c r="H2705" s="856">
        <f>INDEX(神经网络!$G$10:$BO$70,MATCH(ROUND(G2705*2,1)/2,神经网络!$E$10:$E$70,0),MATCH(ROUND(E2705*2,1)/2,神经网络!$G$8:$BO$8,0))</f>
        <v>-0.70609170069288352</v>
      </c>
      <c r="I2705">
        <f t="shared" si="360"/>
        <v>310467.78668894002</v>
      </c>
      <c r="J2705">
        <f t="shared" si="361"/>
        <v>6826.9821635210074</v>
      </c>
      <c r="K2705">
        <f t="shared" si="362"/>
        <v>45.47657797436176</v>
      </c>
      <c r="L2705" s="4">
        <f>MIN(MAX(L2704*(1+MAX(MIN(((B2705-B2704)/B2704)/($K$7*卓尔金历!$N$40),0),-卓尔金历!$M$43))+MIN(MAX(((B2705-B2704)/B2704)/($K$7*卓尔金历!$N$40),0),卓尔金历!$M$43),0),1)</f>
        <v>1</v>
      </c>
      <c r="M2705" s="4">
        <f>MIN(MAX(M2704*(1+MAX(MIN(((B2705-B2704)/B2704)/($K$7*30),0),-卓尔金历!$M$43))+MIN(MAX(((B2705-B2704)/B2704)/($K$7*7),0),卓尔金历!$M$43),0),1)</f>
        <v>1</v>
      </c>
      <c r="N2705">
        <f t="shared" si="363"/>
        <v>151513.31465460869</v>
      </c>
      <c r="O2705">
        <f t="shared" si="364"/>
        <v>355277.03009275836</v>
      </c>
      <c r="P2705">
        <f t="shared" si="365"/>
        <v>4.3144943530019492E-3</v>
      </c>
      <c r="Q2705">
        <f t="shared" si="366"/>
        <v>6.9860429881847735E-2</v>
      </c>
      <c r="R2705">
        <f t="shared" si="367"/>
        <v>1</v>
      </c>
      <c r="S2705">
        <f t="shared" si="359"/>
        <v>729.73884005783077</v>
      </c>
      <c r="T2705" s="564">
        <f>IF((I2705-MAX(I$470:I2705))/MAX(I$470:I2705)&gt;T2704,T2704,(I2705-MAX(I$470:I2705))/MAX(I$470:I2705))</f>
        <v>-0.91338805338419748</v>
      </c>
      <c r="U2705" s="564">
        <f>IF((J2705-MAX(J$470:J2705))/MAX(J$470:J2705)&gt;U2704,U2704,(J2705-MAX(J$470:J2705))/MAX(J$470:J2705))</f>
        <v>-0.8283551177402233</v>
      </c>
      <c r="V2705" s="564">
        <f>IF((K2705-MAX(K$470:K2705))/MAX(K$470:K2705)&gt;V2704,V2704,(K2705-MAX(K$470:K2705))/MAX(K$470:K2705))</f>
        <v>-0.84885940676762139</v>
      </c>
      <c r="W2705" s="564">
        <f>IF((N2705-MAX(N$470:N2705))/MAX(N$470:N2705)&gt;W2704,W2704,(N2705-MAX(N$470:N2705))/MAX(N$470:N2705))</f>
        <v>-0.62788758315546067</v>
      </c>
      <c r="X2705" s="564">
        <f>IF((O2705-MAX(O$470:O2705))/MAX(O$470:O2705)&gt;X2704,X2704,(O2705-MAX(O$470:O2705))/MAX(O$470:O2705))</f>
        <v>-0.62788758315546067</v>
      </c>
    </row>
    <row r="2706" spans="1:24">
      <c r="A2706" s="799">
        <v>43108</v>
      </c>
      <c r="B2706">
        <v>15908.9</v>
      </c>
      <c r="C2706">
        <v>4299.5299169999998</v>
      </c>
      <c r="D2706">
        <v>2.8015249999999998</v>
      </c>
      <c r="E2706">
        <f>LN(D2706/参数实验室!$E$53)/参数实验室!$E$55</f>
        <v>0.52237092281398245</v>
      </c>
      <c r="F2706">
        <f t="shared" si="368"/>
        <v>0.27025940932434045</v>
      </c>
      <c r="G2706">
        <f>LN(F2706/参数实验室!$E$58)/参数实验室!$E$59</f>
        <v>-0.87723488668907335</v>
      </c>
      <c r="H2706" s="856">
        <f>INDEX(神经网络!$G$10:$BO$70,MATCH(ROUND(G2706*2,1)/2,神经网络!$E$10:$E$70,0),MATCH(ROUND(E2706*2,1)/2,神经网络!$G$8:$BO$8,0))</f>
        <v>-0.78195488290565607</v>
      </c>
      <c r="I2706">
        <f t="shared" si="360"/>
        <v>325845.93730830407</v>
      </c>
      <c r="J2706">
        <f t="shared" si="361"/>
        <v>6348.0707074737629</v>
      </c>
      <c r="K2706">
        <f t="shared" si="362"/>
        <v>51.329916178261286</v>
      </c>
      <c r="L2706" s="4">
        <f>MIN(MAX(L2705*(1+MAX(MIN(((B2706-B2705)/B2705)/($K$7*卓尔金历!$N$40),0),-卓尔金历!$M$43))+MIN(MAX(((B2706-B2705)/B2705)/($K$7*卓尔金历!$N$40),0),卓尔金历!$M$43),0),1)</f>
        <v>0</v>
      </c>
      <c r="M2706" s="4">
        <f>MIN(MAX(M2705*(1+MAX(MIN(((B2706-B2705)/B2705)/($K$7*30),0),-卓尔金历!$M$43))+MIN(MAX(((B2706-B2705)/B2705)/($K$7*7),0),卓尔金历!$M$43),0),1)</f>
        <v>0.46408916149243196</v>
      </c>
      <c r="N2706">
        <f t="shared" si="363"/>
        <v>159018.10153909185</v>
      </c>
      <c r="O2706">
        <f t="shared" si="364"/>
        <v>372874.68084626697</v>
      </c>
      <c r="P2706">
        <f t="shared" si="365"/>
        <v>-7.0149803321039622E-2</v>
      </c>
      <c r="Q2706">
        <f t="shared" si="366"/>
        <v>7.0871432680636448E-2</v>
      </c>
      <c r="R2706">
        <f t="shared" si="367"/>
        <v>8.08098366183123E-2</v>
      </c>
      <c r="S2706">
        <f t="shared" si="359"/>
        <v>765.8844058019921</v>
      </c>
      <c r="T2706" s="564">
        <f>IF((I2706-MAX(I$470:I2706))/MAX(I$470:I2706)&gt;T2705,T2705,(I2706-MAX(I$470:I2706))/MAX(I$470:I2706))</f>
        <v>-0.91338805338419748</v>
      </c>
      <c r="U2706" s="564">
        <f>IF((J2706-MAX(J$470:J2706))/MAX(J$470:J2706)&gt;U2705,U2705,(J2706-MAX(J$470:J2706))/MAX(J$470:J2706))</f>
        <v>-0.8283551177402233</v>
      </c>
      <c r="V2706" s="564">
        <f>IF((K2706-MAX(K$470:K2706))/MAX(K$470:K2706)&gt;V2705,V2705,(K2706-MAX(K$470:K2706))/MAX(K$470:K2706))</f>
        <v>-0.84885940676762139</v>
      </c>
      <c r="W2706" s="564">
        <f>IF((N2706-MAX(N$470:N2706))/MAX(N$470:N2706)&gt;W2705,W2705,(N2706-MAX(N$470:N2706))/MAX(N$470:N2706))</f>
        <v>-0.62788758315546067</v>
      </c>
      <c r="X2706" s="564">
        <f>IF((O2706-MAX(O$470:O2706))/MAX(O$470:O2706)&gt;X2705,X2705,(O2706-MAX(O$470:O2706))/MAX(O$470:O2706))</f>
        <v>-0.62788758315546067</v>
      </c>
    </row>
    <row r="2707" spans="1:24">
      <c r="A2707" s="799">
        <v>43109</v>
      </c>
      <c r="B2707">
        <v>15399.6</v>
      </c>
      <c r="C2707">
        <v>4301.2046890000001</v>
      </c>
      <c r="D2707">
        <v>2.6901709999999999</v>
      </c>
      <c r="E2707">
        <f>LN(D2707/参数实验室!$E$53)/参数实验室!$E$55</f>
        <v>0.47452113236806032</v>
      </c>
      <c r="F2707">
        <f t="shared" si="368"/>
        <v>0.27930626048728541</v>
      </c>
      <c r="G2707">
        <f>LN(F2707/参数实验室!$E$58)/参数实验室!$E$59</f>
        <v>-0.85995321989346474</v>
      </c>
      <c r="H2707" s="856">
        <f>INDEX(神经网络!$G$10:$BO$70,MATCH(ROUND(G2707*2,1)/2,神经网络!$E$10:$E$70,0),MATCH(ROUND(E2707*2,1)/2,神经网络!$G$8:$BO$8,0))</f>
        <v>-0.76132237549403381</v>
      </c>
      <c r="I2707">
        <f t="shared" si="360"/>
        <v>334002.88224597438</v>
      </c>
      <c r="J2707">
        <f t="shared" si="361"/>
        <v>6144.8465743585639</v>
      </c>
      <c r="K2707">
        <f t="shared" si="362"/>
        <v>54.354958777931671</v>
      </c>
      <c r="L2707" s="4">
        <f>MIN(MAX(L2706*(1+MAX(MIN(((B2707-B2706)/B2706)/($K$7*卓尔金历!$N$40),0),-卓尔金历!$M$43))+MIN(MAX(((B2707-B2706)/B2706)/($K$7*卓尔金历!$N$40),0),卓尔金历!$M$43),0),1)</f>
        <v>0</v>
      </c>
      <c r="M2707" s="4">
        <f>MIN(MAX(M2706*(1+MAX(MIN(((B2707-B2706)/B2706)/($K$7*30),0),-卓尔金历!$M$43))+MIN(MAX(((B2707-B2706)/B2706)/($K$7*7),0),卓尔金历!$M$43),0),1)</f>
        <v>0.35058780999429789</v>
      </c>
      <c r="N2707">
        <f t="shared" si="363"/>
        <v>159018.10153909185</v>
      </c>
      <c r="O2707">
        <f t="shared" si="364"/>
        <v>377206.59199873259</v>
      </c>
      <c r="P2707">
        <f t="shared" si="365"/>
        <v>-3.2013527019467046E-2</v>
      </c>
      <c r="Q2707">
        <f t="shared" si="366"/>
        <v>7.0954379212981034E-2</v>
      </c>
      <c r="R2707">
        <f t="shared" si="367"/>
        <v>0.9231550800785624</v>
      </c>
      <c r="S2707">
        <f t="shared" si="359"/>
        <v>767.43373132659462</v>
      </c>
      <c r="T2707" s="564">
        <f>IF((I2707-MAX(I$470:I2707))/MAX(I$470:I2707)&gt;T2706,T2706,(I2707-MAX(I$470:I2707))/MAX(I$470:I2707))</f>
        <v>-0.91338805338419748</v>
      </c>
      <c r="U2707" s="564">
        <f>IF((J2707-MAX(J$470:J2707))/MAX(J$470:J2707)&gt;U2706,U2706,(J2707-MAX(J$470:J2707))/MAX(J$470:J2707))</f>
        <v>-0.8283551177402233</v>
      </c>
      <c r="V2707" s="564">
        <f>IF((K2707-MAX(K$470:K2707))/MAX(K$470:K2707)&gt;V2706,V2706,(K2707-MAX(K$470:K2707))/MAX(K$470:K2707))</f>
        <v>-0.84885940676762139</v>
      </c>
      <c r="W2707" s="564">
        <f>IF((N2707-MAX(N$470:N2707))/MAX(N$470:N2707)&gt;W2706,W2706,(N2707-MAX(N$470:N2707))/MAX(N$470:N2707))</f>
        <v>-0.62788758315546067</v>
      </c>
      <c r="X2707" s="564">
        <f>IF((O2707-MAX(O$470:O2707))/MAX(O$470:O2707)&gt;X2706,X2706,(O2707-MAX(O$470:O2707))/MAX(O$470:O2707))</f>
        <v>-0.62788758315546067</v>
      </c>
    </row>
    <row r="2708" spans="1:24">
      <c r="A2708" s="799">
        <v>43110</v>
      </c>
      <c r="B2708">
        <v>14348</v>
      </c>
      <c r="C2708">
        <v>4316.459879</v>
      </c>
      <c r="D2708">
        <v>2.7333449999999999</v>
      </c>
      <c r="E2708">
        <f>LN(D2708/参数实验室!$E$53)/参数实验室!$E$55</f>
        <v>0.49330442442571021</v>
      </c>
      <c r="F2708">
        <f t="shared" si="368"/>
        <v>0.3008405268330081</v>
      </c>
      <c r="G2708">
        <f>LN(F2708/参数实验室!$E$58)/参数实验室!$E$59</f>
        <v>-0.82097156191182141</v>
      </c>
      <c r="H2708" s="856">
        <f>INDEX(神经网络!$G$10:$BO$70,MATCH(ROUND(G2708*2,1)/2,神经网络!$E$10:$E$70,0),MATCH(ROUND(E2708*2,1)/2,神经网络!$G$8:$BO$8,0))</f>
        <v>-0.67032508698817761</v>
      </c>
      <c r="I2708">
        <f t="shared" si="360"/>
        <v>351367.28880902805</v>
      </c>
      <c r="J2708">
        <f t="shared" si="361"/>
        <v>5725.2304377319333</v>
      </c>
      <c r="K2708">
        <f t="shared" si="362"/>
        <v>61.371728637043859</v>
      </c>
      <c r="L2708" s="4">
        <f>MIN(MAX(L2707*(1+MAX(MIN(((B2708-B2707)/B2707)/($K$7*卓尔金历!$N$40),0),-卓尔金历!$M$43))+MIN(MAX(((B2708-B2707)/B2707)/($K$7*卓尔金历!$N$40),0),卓尔金历!$M$43),0),1)</f>
        <v>0</v>
      </c>
      <c r="M2708" s="4">
        <f>MIN(MAX(M2707*(1+MAX(MIN(((B2708-B2707)/B2707)/($K$7*30),0),-卓尔金历!$M$43))+MIN(MAX(((B2708-B2707)/B2707)/($K$7*7),0),卓尔金历!$M$43),0),1)</f>
        <v>0.16769188411369287</v>
      </c>
      <c r="N2708">
        <f t="shared" si="363"/>
        <v>159018.10153909185</v>
      </c>
      <c r="O2708">
        <f t="shared" si="364"/>
        <v>384081.79959928419</v>
      </c>
      <c r="P2708">
        <f t="shared" si="365"/>
        <v>-6.8287487986700979E-2</v>
      </c>
      <c r="Q2708">
        <f t="shared" si="366"/>
        <v>6.9738926143263616E-2</v>
      </c>
      <c r="R2708">
        <f t="shared" si="367"/>
        <v>9.3478783097274518E-2</v>
      </c>
      <c r="S2708">
        <f t="shared" si="359"/>
        <v>804.26572938751872</v>
      </c>
      <c r="T2708" s="564">
        <f>IF((I2708-MAX(I$470:I2708))/MAX(I$470:I2708)&gt;T2707,T2707,(I2708-MAX(I$470:I2708))/MAX(I$470:I2708))</f>
        <v>-0.91338805338419748</v>
      </c>
      <c r="U2708" s="564">
        <f>IF((J2708-MAX(J$470:J2708))/MAX(J$470:J2708)&gt;U2707,U2707,(J2708-MAX(J$470:J2708))/MAX(J$470:J2708))</f>
        <v>-0.8283551177402233</v>
      </c>
      <c r="V2708" s="564">
        <f>IF((K2708-MAX(K$470:K2708))/MAX(K$470:K2708)&gt;V2707,V2707,(K2708-MAX(K$470:K2708))/MAX(K$470:K2708))</f>
        <v>-0.84885940676762139</v>
      </c>
      <c r="W2708" s="564">
        <f>IF((N2708-MAX(N$470:N2708))/MAX(N$470:N2708)&gt;W2707,W2707,(N2708-MAX(N$470:N2708))/MAX(N$470:N2708))</f>
        <v>-0.62788758315546067</v>
      </c>
      <c r="X2708" s="564">
        <f>IF((O2708-MAX(O$470:O2708))/MAX(O$470:O2708)&gt;X2707,X2707,(O2708-MAX(O$470:O2708))/MAX(O$470:O2708))</f>
        <v>-0.62788758315546067</v>
      </c>
    </row>
    <row r="2709" spans="1:24">
      <c r="A2709" s="799">
        <v>43111</v>
      </c>
      <c r="B2709">
        <v>13603.1</v>
      </c>
      <c r="C2709">
        <v>4219.3829690000002</v>
      </c>
      <c r="D2709">
        <v>2.4540069999999998</v>
      </c>
      <c r="E2709">
        <f>LN(D2709/参数实验室!$E$53)/参数实验室!$E$55</f>
        <v>0.36612238226048432</v>
      </c>
      <c r="F2709">
        <f t="shared" si="368"/>
        <v>0.31017804537201082</v>
      </c>
      <c r="G2709">
        <f>LN(F2709/参数实验室!$E$58)/参数实验室!$E$59</f>
        <v>-0.80492878959258651</v>
      </c>
      <c r="H2709" s="856">
        <f>INDEX(神经网络!$G$10:$BO$70,MATCH(ROUND(G2709*2,1)/2,神经网络!$E$10:$E$70,0),MATCH(ROUND(E2709*2,1)/2,神经网络!$G$8:$BO$8,0))</f>
        <v>-0.76871319751572675</v>
      </c>
      <c r="I2709">
        <f t="shared" si="360"/>
        <v>363595.23185013217</v>
      </c>
      <c r="J2709">
        <f t="shared" si="361"/>
        <v>5427.995690515143</v>
      </c>
      <c r="K2709">
        <f t="shared" si="362"/>
        <v>66.985173272240615</v>
      </c>
      <c r="L2709" s="4">
        <f>MIN(MAX(L2708*(1+MAX(MIN(((B2709-B2708)/B2708)/($K$7*卓尔金历!$N$40),0),-卓尔金历!$M$43))+MIN(MAX(((B2709-B2708)/B2708)/($K$7*卓尔金历!$N$40),0),卓尔金历!$M$43),0),1)</f>
        <v>0</v>
      </c>
      <c r="M2709" s="4">
        <f>MIN(MAX(M2708*(1+MAX(MIN(((B2709-B2708)/B2708)/($K$7*30),0),-卓尔金历!$M$43))+MIN(MAX(((B2709-B2708)/B2708)/($K$7*7),0),卓尔金历!$M$43),0),1)</f>
        <v>0.10118222325148245</v>
      </c>
      <c r="N2709">
        <f t="shared" si="363"/>
        <v>159018.10153909185</v>
      </c>
      <c r="O2709">
        <f t="shared" si="364"/>
        <v>386323.24338587391</v>
      </c>
      <c r="P2709">
        <f t="shared" si="365"/>
        <v>-5.1916643434625008E-2</v>
      </c>
      <c r="Q2709">
        <f t="shared" si="366"/>
        <v>7.017251738094199E-2</v>
      </c>
      <c r="R2709">
        <f t="shared" si="367"/>
        <v>0.39206979521473406</v>
      </c>
      <c r="S2709">
        <f t="shared" si="359"/>
        <v>806.88213271608515</v>
      </c>
      <c r="T2709" s="564">
        <f>IF((I2709-MAX(I$470:I2709))/MAX(I$470:I2709)&gt;T2708,T2708,(I2709-MAX(I$470:I2709))/MAX(I$470:I2709))</f>
        <v>-0.91338805338419748</v>
      </c>
      <c r="U2709" s="564">
        <f>IF((J2709-MAX(J$470:J2709))/MAX(J$470:J2709)&gt;U2708,U2708,(J2709-MAX(J$470:J2709))/MAX(J$470:J2709))</f>
        <v>-0.8283551177402233</v>
      </c>
      <c r="V2709" s="564">
        <f>IF((K2709-MAX(K$470:K2709))/MAX(K$470:K2709)&gt;V2708,V2708,(K2709-MAX(K$470:K2709))/MAX(K$470:K2709))</f>
        <v>-0.84885940676762139</v>
      </c>
      <c r="W2709" s="564">
        <f>IF((N2709-MAX(N$470:N2709))/MAX(N$470:N2709)&gt;W2708,W2708,(N2709-MAX(N$470:N2709))/MAX(N$470:N2709))</f>
        <v>-0.62788758315546067</v>
      </c>
      <c r="X2709" s="564">
        <f>IF((O2709-MAX(O$470:O2709))/MAX(O$470:O2709)&gt;X2708,X2708,(O2709-MAX(O$470:O2709))/MAX(O$470:O2709))</f>
        <v>-0.62788758315546067</v>
      </c>
    </row>
    <row r="2710" spans="1:24">
      <c r="A2710" s="799">
        <v>43112</v>
      </c>
      <c r="B2710">
        <v>13823.7</v>
      </c>
      <c r="C2710">
        <v>4242.3336369999997</v>
      </c>
      <c r="D2710">
        <v>2.55762</v>
      </c>
      <c r="E2710">
        <f>LN(D2710/参数实验室!$E$53)/参数实验室!$E$55</f>
        <v>0.41491100663628666</v>
      </c>
      <c r="F2710">
        <f t="shared" si="368"/>
        <v>0.30688843341507699</v>
      </c>
      <c r="G2710">
        <f>LN(F2710/参数实验室!$E$58)/参数实验室!$E$59</f>
        <v>-0.81052488839810521</v>
      </c>
      <c r="H2710" s="856">
        <f>INDEX(神经网络!$G$10:$BO$70,MATCH(ROUND(G2710*2,1)/2,神经网络!$E$10:$E$70,0),MATCH(ROUND(E2710*2,1)/2,神经网络!$G$8:$BO$8,0))</f>
        <v>-0.73997629635388118</v>
      </c>
      <c r="I2710">
        <f t="shared" si="360"/>
        <v>359062.60325864173</v>
      </c>
      <c r="J2710">
        <f t="shared" si="361"/>
        <v>5516.0209089820837</v>
      </c>
      <c r="K2710">
        <f t="shared" si="362"/>
        <v>65.094496410257889</v>
      </c>
      <c r="L2710" s="4">
        <f>MIN(MAX(L2709*(1+MAX(MIN(((B2710-B2709)/B2709)/($K$7*卓尔金历!$N$40),0),-卓尔金历!$M$43))+MIN(MAX(((B2710-B2709)/B2709)/($K$7*卓尔金历!$N$40),0),卓尔金历!$M$43),0),1)</f>
        <v>0.24777854356847975</v>
      </c>
      <c r="M2710" s="4">
        <f>MIN(MAX(M2709*(1+MAX(MIN(((B2710-B2709)/B2709)/($K$7*30),0),-卓尔金历!$M$43))+MIN(MAX(((B2710-B2709)/B2709)/($K$7*7),0),卓尔金历!$M$43),0),1)</f>
        <v>0.63213624518393896</v>
      </c>
      <c r="N2710">
        <f t="shared" si="363"/>
        <v>159018.10153909185</v>
      </c>
      <c r="O2710">
        <f t="shared" si="364"/>
        <v>385835.95393343479</v>
      </c>
      <c r="P2710">
        <f t="shared" si="365"/>
        <v>1.6216891737912707E-2</v>
      </c>
      <c r="Q2710">
        <f t="shared" si="366"/>
        <v>6.1038663048552121E-2</v>
      </c>
      <c r="R2710">
        <f t="shared" si="367"/>
        <v>1</v>
      </c>
      <c r="S2710">
        <f t="shared" si="359"/>
        <v>802.93841847037913</v>
      </c>
      <c r="T2710" s="564">
        <f>IF((I2710-MAX(I$470:I2710))/MAX(I$470:I2710)&gt;T2709,T2709,(I2710-MAX(I$470:I2710))/MAX(I$470:I2710))</f>
        <v>-0.91338805338419748</v>
      </c>
      <c r="U2710" s="564">
        <f>IF((J2710-MAX(J$470:J2710))/MAX(J$470:J2710)&gt;U2709,U2709,(J2710-MAX(J$470:J2710))/MAX(J$470:J2710))</f>
        <v>-0.8283551177402233</v>
      </c>
      <c r="V2710" s="564">
        <f>IF((K2710-MAX(K$470:K2710))/MAX(K$470:K2710)&gt;V2709,V2709,(K2710-MAX(K$470:K2710))/MAX(K$470:K2710))</f>
        <v>-0.84885940676762139</v>
      </c>
      <c r="W2710" s="564">
        <f>IF((N2710-MAX(N$470:N2710))/MAX(N$470:N2710)&gt;W2709,W2709,(N2710-MAX(N$470:N2710))/MAX(N$470:N2710))</f>
        <v>-0.62788758315546067</v>
      </c>
      <c r="X2710" s="564">
        <f>IF((O2710-MAX(O$470:O2710))/MAX(O$470:O2710)&gt;X2709,X2709,(O2710-MAX(O$470:O2710))/MAX(O$470:O2710))</f>
        <v>-0.62788758315546067</v>
      </c>
    </row>
    <row r="2711" spans="1:24">
      <c r="A2711" s="799">
        <v>43113</v>
      </c>
      <c r="B2711">
        <v>14232.6</v>
      </c>
      <c r="C2711">
        <v>4340.8939689999997</v>
      </c>
      <c r="D2711">
        <v>2.631278</v>
      </c>
      <c r="E2711">
        <f>LN(D2711/参数实验室!$E$53)/参数实验室!$E$55</f>
        <v>0.4484071755770942</v>
      </c>
      <c r="F2711">
        <f t="shared" si="368"/>
        <v>0.30499655502157019</v>
      </c>
      <c r="G2711">
        <f>LN(F2711/参数实验室!$E$58)/参数实验室!$E$59</f>
        <v>-0.81377047607155983</v>
      </c>
      <c r="H2711" s="856">
        <f>INDEX(神经网络!$G$10:$BO$70,MATCH(ROUND(G2711*2,1)/2,神经网络!$E$10:$E$70,0),MATCH(ROUND(E2711*2,1)/2,神经网络!$G$8:$BO$8,0))</f>
        <v>-0.70823394945558626</v>
      </c>
      <c r="I2711">
        <f t="shared" si="360"/>
        <v>351203.35886794026</v>
      </c>
      <c r="J2711">
        <f t="shared" si="361"/>
        <v>5679.1827939826817</v>
      </c>
      <c r="K2711">
        <f t="shared" si="362"/>
        <v>61.840474520392981</v>
      </c>
      <c r="L2711" s="4">
        <f>MIN(MAX(L2710*(1+MAX(MIN(((B2711-B2710)/B2710)/($K$7*卓尔金历!$N$40),0),-卓尔金历!$M$43))+MIN(MAX(((B2711-B2710)/B2710)/($K$7*卓尔金历!$N$40),0),卓尔金历!$M$43),0),1)</f>
        <v>0.69972698052993088</v>
      </c>
      <c r="M2711" s="4">
        <f>MIN(MAX(M2710*(1+MAX(MIN(((B2711-B2710)/B2710)/($K$7*30),0),-卓尔金历!$M$43))+MIN(MAX(((B2711-B2710)/B2710)/($K$7*7),0),卓尔金历!$M$43),0),1)</f>
        <v>1</v>
      </c>
      <c r="N2711">
        <f t="shared" si="363"/>
        <v>158155.6774500334</v>
      </c>
      <c r="O2711">
        <f t="shared" si="364"/>
        <v>380497.39543842833</v>
      </c>
      <c r="P2711">
        <f t="shared" si="365"/>
        <v>2.9579634974717304E-2</v>
      </c>
      <c r="Q2711">
        <f t="shared" si="366"/>
        <v>6.0163178715711065E-2</v>
      </c>
      <c r="R2711">
        <f t="shared" si="367"/>
        <v>0.81434895016977094</v>
      </c>
      <c r="S2711">
        <f t="shared" ref="S2711:S2774" si="369">S2710*(1+(B2711-B2710)/B2710*H2710*R2710)</f>
        <v>785.3635187059042</v>
      </c>
      <c r="T2711" s="564">
        <f>IF((I2711-MAX(I$470:I2711))/MAX(I$470:I2711)&gt;T2710,T2710,(I2711-MAX(I$470:I2711))/MAX(I$470:I2711))</f>
        <v>-0.91338805338419748</v>
      </c>
      <c r="U2711" s="564">
        <f>IF((J2711-MAX(J$470:J2711))/MAX(J$470:J2711)&gt;U2710,U2710,(J2711-MAX(J$470:J2711))/MAX(J$470:J2711))</f>
        <v>-0.8283551177402233</v>
      </c>
      <c r="V2711" s="564">
        <f>IF((K2711-MAX(K$470:K2711))/MAX(K$470:K2711)&gt;V2710,V2710,(K2711-MAX(K$470:K2711))/MAX(K$470:K2711))</f>
        <v>-0.84885940676762139</v>
      </c>
      <c r="W2711" s="564">
        <f>IF((N2711-MAX(N$470:N2711))/MAX(N$470:N2711)&gt;W2710,W2710,(N2711-MAX(N$470:N2711))/MAX(N$470:N2711))</f>
        <v>-0.62788758315546067</v>
      </c>
      <c r="X2711" s="564">
        <f>IF((O2711-MAX(O$470:O2711))/MAX(O$470:O2711)&gt;X2710,X2710,(O2711-MAX(O$470:O2711))/MAX(O$470:O2711))</f>
        <v>-0.62788758315546067</v>
      </c>
    </row>
    <row r="2712" spans="1:24">
      <c r="A2712" s="799">
        <v>43114</v>
      </c>
      <c r="B2712">
        <v>14395.3</v>
      </c>
      <c r="C2712">
        <v>4381.0498680000001</v>
      </c>
      <c r="D2712">
        <v>2.526065</v>
      </c>
      <c r="E2712">
        <f>LN(D2712/参数实验室!$E$53)/参数实验室!$E$55</f>
        <v>0.40026509851140812</v>
      </c>
      <c r="F2712">
        <f t="shared" si="368"/>
        <v>0.3043389070043695</v>
      </c>
      <c r="G2712">
        <f>LN(F2712/参数实验室!$E$58)/参数实验室!$E$59</f>
        <v>-0.81490341310309111</v>
      </c>
      <c r="H2712" s="856">
        <f>INDEX(神经网络!$G$10:$BO$70,MATCH(ROUND(G2712*2,1)/2,神经网络!$E$10:$E$70,0),MATCH(ROUND(E2712*2,1)/2,神经网络!$G$8:$BO$8,0))</f>
        <v>-0.73997629635388118</v>
      </c>
      <c r="I2712">
        <f t="shared" ref="I2712:I2775" si="370">I2711*(1+(B2712-B2711)/B2711*H2711)</f>
        <v>348359.95394619281</v>
      </c>
      <c r="J2712">
        <f t="shared" ref="J2712:J2775" si="371">J2711*B2712/B2711</f>
        <v>5744.1043852998673</v>
      </c>
      <c r="K2712">
        <f t="shared" ref="K2712:K2775" si="372">I2712/J2712</f>
        <v>60.646522169357631</v>
      </c>
      <c r="L2712" s="4">
        <f>MIN(MAX(L2711*(1+MAX(MIN(((B2712-B2711)/B2711)/($K$7*卓尔金历!$N$40),0),-卓尔金历!$M$43))+MIN(MAX(((B2712-B2711)/B2711)/($K$7*卓尔金历!$N$40),0),卓尔金历!$M$43),0),1)</f>
        <v>0.87438936607367224</v>
      </c>
      <c r="M2712" s="4">
        <f>MIN(MAX(M2711*(1+MAX(MIN(((B2712-B2711)/B2711)/($K$7*30),0),-卓尔金历!$M$43))+MIN(MAX(((B2712-B2711)/B2711)/($K$7*7),0),卓尔金历!$M$43),0),1)</f>
        <v>1</v>
      </c>
      <c r="N2712">
        <f t="shared" ref="N2712:N2775" si="373">N2711*(1+(B2712-B2711)/B2711*H2711*L2711)</f>
        <v>157259.70747369048</v>
      </c>
      <c r="O2712">
        <f t="shared" ref="O2712:O2775" si="374">O2711*(1+(B2712-B2711)/B2711*H2711*M2711)</f>
        <v>377416.82078108704</v>
      </c>
      <c r="P2712">
        <f t="shared" ref="P2712:P2775" si="375">(B2712-B2711)/B2711</f>
        <v>1.1431502325646678E-2</v>
      </c>
      <c r="Q2712">
        <f t="shared" si="366"/>
        <v>5.9617611735987709E-2</v>
      </c>
      <c r="R2712">
        <f t="shared" si="367"/>
        <v>1</v>
      </c>
      <c r="S2712">
        <f t="shared" si="369"/>
        <v>780.18552742690883</v>
      </c>
      <c r="T2712" s="564">
        <f>IF((I2712-MAX(I$470:I2712))/MAX(I$470:I2712)&gt;T2711,T2711,(I2712-MAX(I$470:I2712))/MAX(I$470:I2712))</f>
        <v>-0.91338805338419748</v>
      </c>
      <c r="U2712" s="564">
        <f>IF((J2712-MAX(J$470:J2712))/MAX(J$470:J2712)&gt;U2711,U2711,(J2712-MAX(J$470:J2712))/MAX(J$470:J2712))</f>
        <v>-0.8283551177402233</v>
      </c>
      <c r="V2712" s="564">
        <f>IF((K2712-MAX(K$470:K2712))/MAX(K$470:K2712)&gt;V2711,V2711,(K2712-MAX(K$470:K2712))/MAX(K$470:K2712))</f>
        <v>-0.84885940676762139</v>
      </c>
      <c r="W2712" s="564">
        <f>IF((N2712-MAX(N$470:N2712))/MAX(N$470:N2712)&gt;W2711,W2711,(N2712-MAX(N$470:N2712))/MAX(N$470:N2712))</f>
        <v>-0.62788758315546067</v>
      </c>
      <c r="X2712" s="564">
        <f>IF((O2712-MAX(O$470:O2712))/MAX(O$470:O2712)&gt;X2711,X2711,(O2712-MAX(O$470:O2712))/MAX(O$470:O2712))</f>
        <v>-0.62788758315546067</v>
      </c>
    </row>
    <row r="2713" spans="1:24">
      <c r="A2713" s="799">
        <v>43115</v>
      </c>
      <c r="B2713">
        <v>13713.4</v>
      </c>
      <c r="C2713">
        <v>4441.3293100000001</v>
      </c>
      <c r="D2713">
        <v>2.5080490000000002</v>
      </c>
      <c r="E2713">
        <f>LN(D2713/参数实验室!$E$53)/参数实验室!$E$55</f>
        <v>0.39182090150508764</v>
      </c>
      <c r="F2713">
        <f t="shared" si="368"/>
        <v>0.32386784531917689</v>
      </c>
      <c r="G2713">
        <f>LN(F2713/参数实验室!$E$58)/参数实验室!$E$59</f>
        <v>-0.78226082883146997</v>
      </c>
      <c r="H2713" s="856">
        <f>INDEX(神经网络!$G$10:$BO$70,MATCH(ROUND(G2713*2,1)/2,神经网络!$E$10:$E$70,0),MATCH(ROUND(E2713*2,1)/2,神经网络!$G$8:$BO$8,0))</f>
        <v>-0.73997629635388118</v>
      </c>
      <c r="I2713">
        <f t="shared" si="370"/>
        <v>360570.80694676819</v>
      </c>
      <c r="J2713">
        <f t="shared" si="371"/>
        <v>5472.0082997486124</v>
      </c>
      <c r="K2713">
        <f t="shared" si="372"/>
        <v>65.893687873853011</v>
      </c>
      <c r="L2713" s="4">
        <f>MIN(MAX(L2712*(1+MAX(MIN(((B2713-B2712)/B2712)/($K$7*卓尔金历!$N$40),0),-卓尔金历!$M$43))+MIN(MAX(((B2713-B2712)/B2712)/($K$7*卓尔金历!$N$40),0),卓尔金历!$M$43),0),1)</f>
        <v>0.24153917422352927</v>
      </c>
      <c r="M2713" s="4">
        <f>MIN(MAX(M2712*(1+MAX(MIN(((B2713-B2712)/B2712)/($K$7*30),0),-卓尔金历!$M$43))+MIN(MAX(((B2713-B2712)/B2712)/($K$7*7),0),卓尔金历!$M$43),0),1)</f>
        <v>0.63811877385250493</v>
      </c>
      <c r="N2713">
        <f t="shared" si="373"/>
        <v>162079.63057428747</v>
      </c>
      <c r="O2713">
        <f t="shared" si="374"/>
        <v>390646.18674665433</v>
      </c>
      <c r="P2713">
        <f t="shared" si="375"/>
        <v>-4.7369627586781773E-2</v>
      </c>
      <c r="Q2713">
        <f t="shared" si="366"/>
        <v>5.9851176864337143E-2</v>
      </c>
      <c r="R2713">
        <f t="shared" si="367"/>
        <v>0.30744080951099345</v>
      </c>
      <c r="S2713">
        <f t="shared" si="369"/>
        <v>807.53290384221816</v>
      </c>
      <c r="T2713" s="564">
        <f>IF((I2713-MAX(I$470:I2713))/MAX(I$470:I2713)&gt;T2712,T2712,(I2713-MAX(I$470:I2713))/MAX(I$470:I2713))</f>
        <v>-0.91338805338419748</v>
      </c>
      <c r="U2713" s="564">
        <f>IF((J2713-MAX(J$470:J2713))/MAX(J$470:J2713)&gt;U2712,U2712,(J2713-MAX(J$470:J2713))/MAX(J$470:J2713))</f>
        <v>-0.8283551177402233</v>
      </c>
      <c r="V2713" s="564">
        <f>IF((K2713-MAX(K$470:K2713))/MAX(K$470:K2713)&gt;V2712,V2712,(K2713-MAX(K$470:K2713))/MAX(K$470:K2713))</f>
        <v>-0.84885940676762139</v>
      </c>
      <c r="W2713" s="564">
        <f>IF((N2713-MAX(N$470:N2713))/MAX(N$470:N2713)&gt;W2712,W2712,(N2713-MAX(N$470:N2713))/MAX(N$470:N2713))</f>
        <v>-0.62788758315546067</v>
      </c>
      <c r="X2713" s="564">
        <f>IF((O2713-MAX(O$470:O2713))/MAX(O$470:O2713)&gt;X2712,X2712,(O2713-MAX(O$470:O2713))/MAX(O$470:O2713))</f>
        <v>-0.62788758315546067</v>
      </c>
    </row>
    <row r="2714" spans="1:24">
      <c r="A2714" s="799">
        <v>43116</v>
      </c>
      <c r="B2714">
        <v>13204.9</v>
      </c>
      <c r="C2714">
        <v>4517.1962759999997</v>
      </c>
      <c r="D2714">
        <v>2.120797</v>
      </c>
      <c r="E2714">
        <f>LN(D2714/参数实验室!$E$53)/参数实验室!$E$55</f>
        <v>0.19396071136586321</v>
      </c>
      <c r="F2714">
        <f t="shared" si="368"/>
        <v>0.34208485304697495</v>
      </c>
      <c r="G2714">
        <f>LN(F2714/参数实验室!$E$58)/参数实验室!$E$59</f>
        <v>-0.75353910097672472</v>
      </c>
      <c r="H2714" s="856">
        <f>INDEX(神经网络!$G$10:$BO$70,MATCH(ROUND(G2714*2,1)/2,神经网络!$E$10:$E$70,0),MATCH(ROUND(E2714*2,1)/2,神经网络!$G$8:$BO$8,0))</f>
        <v>-0.80109945560186036</v>
      </c>
      <c r="I2714">
        <f t="shared" si="370"/>
        <v>370464.40320126608</v>
      </c>
      <c r="J2714">
        <f t="shared" si="371"/>
        <v>5269.1033877339278</v>
      </c>
      <c r="K2714">
        <f t="shared" si="372"/>
        <v>70.308812703064248</v>
      </c>
      <c r="L2714" s="4">
        <f>MIN(MAX(L2713*(1+MAX(MIN(((B2714-B2713)/B2713)/($K$7*卓尔金历!$N$40),0),-卓尔金历!$M$43))+MIN(MAX(((B2714-B2713)/B2713)/($K$7*卓尔金历!$N$40),0),卓尔金历!$M$43),0),1)</f>
        <v>0.10469400563538973</v>
      </c>
      <c r="M2714" s="4">
        <f>MIN(MAX(M2713*(1+MAX(MIN(((B2714-B2713)/B2713)/($K$7*30),0),-卓尔金历!$M$43))+MIN(MAX(((B2714-B2713)/B2713)/($K$7*7),0),卓尔金历!$M$43),0),1)</f>
        <v>0.45735415985599731</v>
      </c>
      <c r="N2714">
        <f t="shared" si="373"/>
        <v>163153.81694283124</v>
      </c>
      <c r="O2714">
        <f t="shared" si="374"/>
        <v>397486.07069108443</v>
      </c>
      <c r="P2714">
        <f t="shared" si="375"/>
        <v>-3.7080519783569355E-2</v>
      </c>
      <c r="Q2714">
        <f t="shared" si="366"/>
        <v>5.7845841620038758E-2</v>
      </c>
      <c r="R2714">
        <f t="shared" si="367"/>
        <v>0.53115619581230811</v>
      </c>
      <c r="S2714">
        <f t="shared" si="369"/>
        <v>814.34507205887587</v>
      </c>
      <c r="T2714" s="564">
        <f>IF((I2714-MAX(I$470:I2714))/MAX(I$470:I2714)&gt;T2713,T2713,(I2714-MAX(I$470:I2714))/MAX(I$470:I2714))</f>
        <v>-0.91338805338419748</v>
      </c>
      <c r="U2714" s="564">
        <f>IF((J2714-MAX(J$470:J2714))/MAX(J$470:J2714)&gt;U2713,U2713,(J2714-MAX(J$470:J2714))/MAX(J$470:J2714))</f>
        <v>-0.8283551177402233</v>
      </c>
      <c r="V2714" s="564">
        <f>IF((K2714-MAX(K$470:K2714))/MAX(K$470:K2714)&gt;V2713,V2713,(K2714-MAX(K$470:K2714))/MAX(K$470:K2714))</f>
        <v>-0.84885940676762139</v>
      </c>
      <c r="W2714" s="564">
        <f>IF((N2714-MAX(N$470:N2714))/MAX(N$470:N2714)&gt;W2713,W2713,(N2714-MAX(N$470:N2714))/MAX(N$470:N2714))</f>
        <v>-0.62788758315546067</v>
      </c>
      <c r="X2714" s="564">
        <f>IF((O2714-MAX(O$470:O2714))/MAX(O$470:O2714)&gt;X2713,X2713,(O2714-MAX(O$470:O2714))/MAX(O$470:O2714))</f>
        <v>-0.62788758315546067</v>
      </c>
    </row>
    <row r="2715" spans="1:24">
      <c r="A2715" s="799">
        <v>43117</v>
      </c>
      <c r="B2715">
        <v>10805.9</v>
      </c>
      <c r="C2715">
        <v>4562.5586919999996</v>
      </c>
      <c r="D2715">
        <v>2.0737640000000002</v>
      </c>
      <c r="E2715">
        <f>LN(D2715/参数实验室!$E$53)/参数实验室!$E$55</f>
        <v>0.16750280078207602</v>
      </c>
      <c r="F2715">
        <f t="shared" si="368"/>
        <v>0.42222847629535715</v>
      </c>
      <c r="G2715">
        <f>LN(F2715/参数实验室!$E$58)/参数实验室!$E$59</f>
        <v>-0.6430637460071954</v>
      </c>
      <c r="H2715" s="856">
        <f>INDEX(神经网络!$G$10:$BO$70,MATCH(ROUND(G2715*2,1)/2,神经网络!$E$10:$E$70,0),MATCH(ROUND(E2715*2,1)/2,神经网络!$G$8:$BO$8,0))</f>
        <v>-0.71877074124418883</v>
      </c>
      <c r="I2715">
        <f t="shared" si="370"/>
        <v>424381.69279125467</v>
      </c>
      <c r="J2715">
        <f t="shared" si="371"/>
        <v>4311.8391125653397</v>
      </c>
      <c r="K2715">
        <f t="shared" si="372"/>
        <v>98.42243221797014</v>
      </c>
      <c r="L2715" s="4">
        <f>MIN(MAX(L2714*(1+MAX(MIN(((B2715-B2714)/B2714)/($K$7*卓尔金历!$N$40),0),-卓尔金历!$M$43))+MIN(MAX(((B2715-B2714)/B2714)/($K$7*卓尔金历!$N$40),0),卓尔金历!$M$43),0),1)</f>
        <v>0</v>
      </c>
      <c r="M2715" s="4">
        <f>MIN(MAX(M2714*(1+MAX(MIN(((B2715-B2714)/B2714)/($K$7*30),0),-卓尔金历!$M$43))+MIN(MAX(((B2715-B2714)/B2714)/($K$7*7),0),卓尔金历!$M$43),0),1)</f>
        <v>0</v>
      </c>
      <c r="N2715">
        <f t="shared" si="373"/>
        <v>165639.81407191505</v>
      </c>
      <c r="O2715">
        <f t="shared" si="374"/>
        <v>423944.01606853848</v>
      </c>
      <c r="P2715">
        <f t="shared" si="375"/>
        <v>-0.18167498428613621</v>
      </c>
      <c r="Q2715">
        <f t="shared" si="366"/>
        <v>6.3578888871125269E-2</v>
      </c>
      <c r="R2715">
        <f t="shared" si="367"/>
        <v>0</v>
      </c>
      <c r="S2715">
        <f t="shared" si="369"/>
        <v>877.297472130654</v>
      </c>
      <c r="T2715" s="564">
        <f>IF((I2715-MAX(I$470:I2715))/MAX(I$470:I2715)&gt;T2714,T2714,(I2715-MAX(I$470:I2715))/MAX(I$470:I2715))</f>
        <v>-0.91338805338419748</v>
      </c>
      <c r="U2715" s="564">
        <f>IF((J2715-MAX(J$470:J2715))/MAX(J$470:J2715)&gt;U2714,U2714,(J2715-MAX(J$470:J2715))/MAX(J$470:J2715))</f>
        <v>-0.8283551177402233</v>
      </c>
      <c r="V2715" s="564">
        <f>IF((K2715-MAX(K$470:K2715))/MAX(K$470:K2715)&gt;V2714,V2714,(K2715-MAX(K$470:K2715))/MAX(K$470:K2715))</f>
        <v>-0.84885940676762139</v>
      </c>
      <c r="W2715" s="564">
        <f>IF((N2715-MAX(N$470:N2715))/MAX(N$470:N2715)&gt;W2714,W2714,(N2715-MAX(N$470:N2715))/MAX(N$470:N2715))</f>
        <v>-0.62788758315546067</v>
      </c>
      <c r="X2715" s="564">
        <f>IF((O2715-MAX(O$470:O2715))/MAX(O$470:O2715)&gt;X2714,X2714,(O2715-MAX(O$470:O2715))/MAX(O$470:O2715))</f>
        <v>-0.62788758315546067</v>
      </c>
    </row>
    <row r="2716" spans="1:24">
      <c r="A2716" s="799">
        <v>43118</v>
      </c>
      <c r="B2716">
        <v>11596.9</v>
      </c>
      <c r="C2716">
        <v>4469.2619359999999</v>
      </c>
      <c r="D2716">
        <v>2.0935229999999998</v>
      </c>
      <c r="E2716">
        <f>LN(D2716/参数实验室!$E$53)/参数实验室!$E$55</f>
        <v>0.17869037631309062</v>
      </c>
      <c r="F2716">
        <f t="shared" si="368"/>
        <v>0.38538419198234009</v>
      </c>
      <c r="G2716">
        <f>LN(F2716/参数实验室!$E$58)/参数实验室!$E$59</f>
        <v>-0.69098598664169508</v>
      </c>
      <c r="H2716" s="856">
        <f>INDEX(神经网络!$G$10:$BO$70,MATCH(ROUND(G2716*2,1)/2,神经网络!$E$10:$E$70,0),MATCH(ROUND(E2716*2,1)/2,神经网络!$G$8:$BO$8,0))</f>
        <v>-0.74659481473176814</v>
      </c>
      <c r="I2716">
        <f t="shared" si="370"/>
        <v>402053.0374434035</v>
      </c>
      <c r="J2716">
        <f t="shared" si="371"/>
        <v>4627.468975699293</v>
      </c>
      <c r="K2716">
        <f t="shared" si="372"/>
        <v>86.884004961404656</v>
      </c>
      <c r="L2716" s="4">
        <f>MIN(MAX(L2715*(1+MAX(MIN(((B2716-B2715)/B2715)/($K$7*卓尔金历!$N$40),0),-卓尔金历!$M$43))+MIN(MAX(((B2716-B2715)/B2715)/($K$7*卓尔金历!$N$40),0),卓尔金历!$M$43),0),1)</f>
        <v>1</v>
      </c>
      <c r="M2716" s="4">
        <f>MIN(MAX(M2715*(1+MAX(MIN(((B2716-B2715)/B2715)/($K$7*30),0),-卓尔金历!$M$43))+MIN(MAX(((B2716-B2715)/B2715)/($K$7*7),0),卓尔金历!$M$43),0),1)</f>
        <v>1</v>
      </c>
      <c r="N2716">
        <f t="shared" si="373"/>
        <v>165639.81407191505</v>
      </c>
      <c r="O2716">
        <f t="shared" si="374"/>
        <v>423944.01606853848</v>
      </c>
      <c r="P2716">
        <f t="shared" si="375"/>
        <v>7.3200751441342235E-2</v>
      </c>
      <c r="Q2716">
        <f t="shared" si="366"/>
        <v>6.4167342791655216E-2</v>
      </c>
      <c r="R2716">
        <f t="shared" si="367"/>
        <v>5.5204831751484128E-2</v>
      </c>
      <c r="S2716">
        <f t="shared" si="369"/>
        <v>877.297472130654</v>
      </c>
      <c r="T2716" s="564">
        <f>IF((I2716-MAX(I$470:I2716))/MAX(I$470:I2716)&gt;T2715,T2715,(I2716-MAX(I$470:I2716))/MAX(I$470:I2716))</f>
        <v>-0.91338805338419748</v>
      </c>
      <c r="U2716" s="564">
        <f>IF((J2716-MAX(J$470:J2716))/MAX(J$470:J2716)&gt;U2715,U2715,(J2716-MAX(J$470:J2716))/MAX(J$470:J2716))</f>
        <v>-0.8283551177402233</v>
      </c>
      <c r="V2716" s="564">
        <f>IF((K2716-MAX(K$470:K2716))/MAX(K$470:K2716)&gt;V2715,V2715,(K2716-MAX(K$470:K2716))/MAX(K$470:K2716))</f>
        <v>-0.84885940676762139</v>
      </c>
      <c r="W2716" s="564">
        <f>IF((N2716-MAX(N$470:N2716))/MAX(N$470:N2716)&gt;W2715,W2715,(N2716-MAX(N$470:N2716))/MAX(N$470:N2716))</f>
        <v>-0.62788758315546067</v>
      </c>
      <c r="X2716" s="564">
        <f>IF((O2716-MAX(O$470:O2716))/MAX(O$470:O2716)&gt;X2715,X2715,(O2716-MAX(O$470:O2716))/MAX(O$470:O2716))</f>
        <v>-0.62788758315546067</v>
      </c>
    </row>
    <row r="2717" spans="1:24">
      <c r="A2717" s="799">
        <v>43119</v>
      </c>
      <c r="B2717">
        <v>11295.8</v>
      </c>
      <c r="C2717">
        <v>4389.5176849999998</v>
      </c>
      <c r="D2717">
        <v>2.1299389999999998</v>
      </c>
      <c r="E2717">
        <f>LN(D2717/参数实验室!$E$53)/参数实验室!$E$55</f>
        <v>0.19903527764587137</v>
      </c>
      <c r="F2717">
        <f t="shared" si="368"/>
        <v>0.3885973268825581</v>
      </c>
      <c r="G2717">
        <f>LN(F2717/参数实验室!$E$58)/参数实验室!$E$59</f>
        <v>-0.68662816545206984</v>
      </c>
      <c r="H2717" s="856">
        <f>INDEX(神经网络!$G$10:$BO$70,MATCH(ROUND(G2717*2,1)/2,神经网络!$E$10:$E$70,0),MATCH(ROUND(E2717*2,1)/2,神经网络!$G$8:$BO$8,0))</f>
        <v>-0.74659481473176814</v>
      </c>
      <c r="I2717">
        <f t="shared" si="370"/>
        <v>409846.62035651167</v>
      </c>
      <c r="J2717">
        <f t="shared" si="371"/>
        <v>4507.322133993056</v>
      </c>
      <c r="K2717">
        <f t="shared" si="372"/>
        <v>90.929072334447682</v>
      </c>
      <c r="L2717" s="4">
        <f>MIN(MAX(L2716*(1+MAX(MIN(((B2717-B2716)/B2716)/($K$7*卓尔金历!$N$40),0),-卓尔金历!$M$43))+MIN(MAX(((B2717-B2716)/B2716)/($K$7*卓尔金历!$N$40),0),卓尔金历!$M$43),0),1)</f>
        <v>0.60329751434044421</v>
      </c>
      <c r="M2717" s="4">
        <f>MIN(MAX(M2716*(1+MAX(MIN(((B2717-B2716)/B2716)/($K$7*30),0),-卓尔金历!$M$43))+MIN(MAX(((B2717-B2716)/B2716)/($K$7*7),0),卓尔金历!$M$43),0),1)</f>
        <v>0.8016487571702221</v>
      </c>
      <c r="N2717">
        <f t="shared" si="373"/>
        <v>168850.65320122521</v>
      </c>
      <c r="O2717">
        <f t="shared" si="374"/>
        <v>432161.94388412253</v>
      </c>
      <c r="P2717">
        <f t="shared" si="375"/>
        <v>-2.5963835162845277E-2</v>
      </c>
      <c r="Q2717">
        <f t="shared" si="366"/>
        <v>6.3953132114854608E-2</v>
      </c>
      <c r="R2717">
        <f t="shared" si="367"/>
        <v>1</v>
      </c>
      <c r="S2717">
        <f t="shared" si="369"/>
        <v>878.2362822910618</v>
      </c>
      <c r="T2717" s="564">
        <f>IF((I2717-MAX(I$470:I2717))/MAX(I$470:I2717)&gt;T2716,T2716,(I2717-MAX(I$470:I2717))/MAX(I$470:I2717))</f>
        <v>-0.91338805338419748</v>
      </c>
      <c r="U2717" s="564">
        <f>IF((J2717-MAX(J$470:J2717))/MAX(J$470:J2717)&gt;U2716,U2716,(J2717-MAX(J$470:J2717))/MAX(J$470:J2717))</f>
        <v>-0.8283551177402233</v>
      </c>
      <c r="V2717" s="564">
        <f>IF((K2717-MAX(K$470:K2717))/MAX(K$470:K2717)&gt;V2716,V2716,(K2717-MAX(K$470:K2717))/MAX(K$470:K2717))</f>
        <v>-0.84885940676762139</v>
      </c>
      <c r="W2717" s="564">
        <f>IF((N2717-MAX(N$470:N2717))/MAX(N$470:N2717)&gt;W2716,W2716,(N2717-MAX(N$470:N2717))/MAX(N$470:N2717))</f>
        <v>-0.62788758315546067</v>
      </c>
      <c r="X2717" s="564">
        <f>IF((O2717-MAX(O$470:O2717))/MAX(O$470:O2717)&gt;X2716,X2716,(O2717-MAX(O$470:O2717))/MAX(O$470:O2717))</f>
        <v>-0.62788758315546067</v>
      </c>
    </row>
    <row r="2718" spans="1:24">
      <c r="A2718" s="799">
        <v>43120</v>
      </c>
      <c r="B2718">
        <v>11920.4</v>
      </c>
      <c r="C2718">
        <v>4266.0664189999998</v>
      </c>
      <c r="D2718">
        <v>2.3708089999999999</v>
      </c>
      <c r="E2718">
        <f>LN(D2718/参数实验室!$E$53)/参数实验室!$E$55</f>
        <v>0.32543157015296353</v>
      </c>
      <c r="F2718">
        <f t="shared" si="368"/>
        <v>0.35787946872588167</v>
      </c>
      <c r="G2718">
        <f>LN(F2718/参数实验室!$E$58)/参数实验室!$E$59</f>
        <v>-0.72984853542795447</v>
      </c>
      <c r="H2718" s="856">
        <f>INDEX(神经网络!$G$10:$BO$70,MATCH(ROUND(G2718*2,1)/2,神经网络!$E$10:$E$70,0),MATCH(ROUND(E2718*2,1)/2,神经网络!$G$8:$BO$8,0))</f>
        <v>-0.71473473679012645</v>
      </c>
      <c r="I2718">
        <f t="shared" si="370"/>
        <v>392926.97276614117</v>
      </c>
      <c r="J2718">
        <f t="shared" si="371"/>
        <v>4756.5540082199423</v>
      </c>
      <c r="K2718">
        <f t="shared" si="372"/>
        <v>82.607486866986562</v>
      </c>
      <c r="L2718" s="4">
        <f>MIN(MAX(L2717*(1+MAX(MIN(((B2718-B2717)/B2717)/($K$7*卓尔金历!$N$40),0),-卓尔金历!$M$43))+MIN(MAX(((B2718-B2717)/B2717)/($K$7*卓尔金历!$N$40),0),卓尔金历!$M$43),0),1)</f>
        <v>1</v>
      </c>
      <c r="M2718" s="4">
        <f>MIN(MAX(M2717*(1+MAX(MIN(((B2718-B2717)/B2717)/($K$7*30),0),-卓尔金历!$M$43))+MIN(MAX(((B2718-B2717)/B2717)/($K$7*7),0),卓尔金历!$M$43),0),1)</f>
        <v>1</v>
      </c>
      <c r="N2718">
        <f t="shared" si="373"/>
        <v>164645.28297154242</v>
      </c>
      <c r="O2718">
        <f t="shared" si="374"/>
        <v>417859.81791528099</v>
      </c>
      <c r="P2718">
        <f t="shared" si="375"/>
        <v>5.5294888365587248E-2</v>
      </c>
      <c r="Q2718">
        <f t="shared" si="366"/>
        <v>6.2744889990210717E-2</v>
      </c>
      <c r="R2718">
        <f t="shared" si="367"/>
        <v>0.19843326573086073</v>
      </c>
      <c r="S2718">
        <f t="shared" si="369"/>
        <v>841.98016192945875</v>
      </c>
      <c r="T2718" s="564">
        <f>IF((I2718-MAX(I$470:I2718))/MAX(I$470:I2718)&gt;T2717,T2717,(I2718-MAX(I$470:I2718))/MAX(I$470:I2718))</f>
        <v>-0.91338805338419748</v>
      </c>
      <c r="U2718" s="564">
        <f>IF((J2718-MAX(J$470:J2718))/MAX(J$470:J2718)&gt;U2717,U2717,(J2718-MAX(J$470:J2718))/MAX(J$470:J2718))</f>
        <v>-0.8283551177402233</v>
      </c>
      <c r="V2718" s="564">
        <f>IF((K2718-MAX(K$470:K2718))/MAX(K$470:K2718)&gt;V2717,V2717,(K2718-MAX(K$470:K2718))/MAX(K$470:K2718))</f>
        <v>-0.84885940676762139</v>
      </c>
      <c r="W2718" s="564">
        <f>IF((N2718-MAX(N$470:N2718))/MAX(N$470:N2718)&gt;W2717,W2717,(N2718-MAX(N$470:N2718))/MAX(N$470:N2718))</f>
        <v>-0.62788758315546067</v>
      </c>
      <c r="X2718" s="564">
        <f>IF((O2718-MAX(O$470:O2718))/MAX(O$470:O2718)&gt;X2717,X2717,(O2718-MAX(O$470:O2718))/MAX(O$470:O2718))</f>
        <v>-0.62788758315546067</v>
      </c>
    </row>
    <row r="2719" spans="1:24">
      <c r="A2719" s="799">
        <v>43121</v>
      </c>
      <c r="B2719">
        <v>12623.1</v>
      </c>
      <c r="C2719">
        <v>4183.5511610000003</v>
      </c>
      <c r="D2719">
        <v>2.1261730000000001</v>
      </c>
      <c r="E2719">
        <f>LN(D2719/参数实验室!$E$53)/参数实验室!$E$55</f>
        <v>0.19694747926258771</v>
      </c>
      <c r="F2719">
        <f t="shared" si="368"/>
        <v>0.33142026609945263</v>
      </c>
      <c r="G2719">
        <f>LN(F2719/参数实验室!$E$58)/参数实验室!$E$59</f>
        <v>-0.77016204650873987</v>
      </c>
      <c r="H2719" s="856">
        <f>INDEX(神经网络!$G$10:$BO$70,MATCH(ROUND(G2719*2,1)/2,神经网络!$E$10:$E$70,0),MATCH(ROUND(E2719*2,1)/2,神经网络!$G$8:$BO$8,0))</f>
        <v>-0.80109945560186036</v>
      </c>
      <c r="I2719">
        <f t="shared" si="370"/>
        <v>376371.7184438986</v>
      </c>
      <c r="J2719">
        <f t="shared" si="371"/>
        <v>5036.9498423845807</v>
      </c>
      <c r="K2719">
        <f t="shared" si="372"/>
        <v>74.722149360478369</v>
      </c>
      <c r="L2719" s="4">
        <f>MIN(MAX(L2718*(1+MAX(MIN(((B2719-B2718)/B2718)/($K$7*卓尔金历!$N$40),0),-卓尔金历!$M$43))+MIN(MAX(((B2719-B2718)/B2718)/($K$7*卓尔金历!$N$40),0),卓尔金历!$M$43),0),1)</f>
        <v>1</v>
      </c>
      <c r="M2719" s="4">
        <f>MIN(MAX(M2718*(1+MAX(MIN(((B2719-B2718)/B2718)/($K$7*30),0),-卓尔金历!$M$43))+MIN(MAX(((B2719-B2718)/B2718)/($K$7*7),0),卓尔金历!$M$43),0),1)</f>
        <v>1</v>
      </c>
      <c r="N2719">
        <f t="shared" si="373"/>
        <v>157708.25720982725</v>
      </c>
      <c r="O2719">
        <f t="shared" si="374"/>
        <v>400254.06408287428</v>
      </c>
      <c r="P2719">
        <f t="shared" si="375"/>
        <v>5.8949364115298206E-2</v>
      </c>
      <c r="Q2719">
        <f t="shared" si="366"/>
        <v>6.4054999733278675E-2</v>
      </c>
      <c r="R2719">
        <f t="shared" si="367"/>
        <v>0.15101992923165852</v>
      </c>
      <c r="S2719">
        <f t="shared" si="369"/>
        <v>834.94068559134462</v>
      </c>
      <c r="T2719" s="564">
        <f>IF((I2719-MAX(I$470:I2719))/MAX(I$470:I2719)&gt;T2718,T2718,(I2719-MAX(I$470:I2719))/MAX(I$470:I2719))</f>
        <v>-0.91338805338419748</v>
      </c>
      <c r="U2719" s="564">
        <f>IF((J2719-MAX(J$470:J2719))/MAX(J$470:J2719)&gt;U2718,U2718,(J2719-MAX(J$470:J2719))/MAX(J$470:J2719))</f>
        <v>-0.8283551177402233</v>
      </c>
      <c r="V2719" s="564">
        <f>IF((K2719-MAX(K$470:K2719))/MAX(K$470:K2719)&gt;V2718,V2718,(K2719-MAX(K$470:K2719))/MAX(K$470:K2719))</f>
        <v>-0.84885940676762139</v>
      </c>
      <c r="W2719" s="564">
        <f>IF((N2719-MAX(N$470:N2719))/MAX(N$470:N2719)&gt;W2718,W2718,(N2719-MAX(N$470:N2719))/MAX(N$470:N2719))</f>
        <v>-0.62788758315546067</v>
      </c>
      <c r="X2719" s="564">
        <f>IF((O2719-MAX(O$470:O2719))/MAX(O$470:O2719)&gt;X2718,X2718,(O2719-MAX(O$470:O2719))/MAX(O$470:O2719))</f>
        <v>-0.62788758315546067</v>
      </c>
    </row>
    <row r="2720" spans="1:24">
      <c r="A2720" s="799">
        <v>43122</v>
      </c>
      <c r="B2720">
        <v>11688.5</v>
      </c>
      <c r="C2720">
        <v>4113.139306</v>
      </c>
      <c r="D2720">
        <v>2.002688</v>
      </c>
      <c r="E2720">
        <f>LN(D2720/参数实验室!$E$53)/参数实验室!$E$55</f>
        <v>0.12635886468929813</v>
      </c>
      <c r="F2720">
        <f t="shared" si="368"/>
        <v>0.35189624896265559</v>
      </c>
      <c r="G2720">
        <f>LN(F2720/参数实验室!$E$58)/参数实验室!$E$59</f>
        <v>-0.73869750389036981</v>
      </c>
      <c r="H2720" s="856">
        <f>INDEX(神经网络!$G$10:$BO$70,MATCH(ROUND(G2720*2,1)/2,神经网络!$E$10:$E$70,0),MATCH(ROUND(E2720*2,1)/2,神经网络!$G$8:$BO$8,0))</f>
        <v>-0.82558973996745944</v>
      </c>
      <c r="I2720">
        <f t="shared" si="370"/>
        <v>398695.26398018817</v>
      </c>
      <c r="J2720">
        <f t="shared" si="371"/>
        <v>4664.0197917082305</v>
      </c>
      <c r="K2720">
        <f t="shared" si="372"/>
        <v>85.483184417226326</v>
      </c>
      <c r="L2720" s="4">
        <f>MIN(MAX(L2719*(1+MAX(MIN(((B2720-B2719)/B2719)/($K$7*卓尔金历!$N$40),0),-卓尔金历!$M$43))+MIN(MAX(((B2720-B2719)/B2719)/($K$7*卓尔金历!$N$40),0),卓尔金历!$M$43),0),1)</f>
        <v>0</v>
      </c>
      <c r="M2720" s="4">
        <f>MIN(MAX(M2719*(1+MAX(MIN(((B2720-B2719)/B2719)/($K$7*30),0),-卓尔金历!$M$43))+MIN(MAX(((B2720-B2719)/B2719)/($K$7*7),0),卓尔金历!$M$43),0),1)</f>
        <v>0.43437859434398629</v>
      </c>
      <c r="N2720">
        <f t="shared" si="373"/>
        <v>167062.32737170957</v>
      </c>
      <c r="O2720">
        <f t="shared" si="374"/>
        <v>423994.13111708441</v>
      </c>
      <c r="P2720">
        <f t="shared" si="375"/>
        <v>-7.4038865254969097E-2</v>
      </c>
      <c r="Q2720">
        <f t="shared" si="366"/>
        <v>6.553344984663409E-2</v>
      </c>
      <c r="R2720">
        <f t="shared" si="367"/>
        <v>5.6238402416489572E-2</v>
      </c>
      <c r="S2720">
        <f t="shared" si="369"/>
        <v>842.41955719194311</v>
      </c>
      <c r="T2720" s="564">
        <f>IF((I2720-MAX(I$470:I2720))/MAX(I$470:I2720)&gt;T2719,T2719,(I2720-MAX(I$470:I2720))/MAX(I$470:I2720))</f>
        <v>-0.91338805338419748</v>
      </c>
      <c r="U2720" s="564">
        <f>IF((J2720-MAX(J$470:J2720))/MAX(J$470:J2720)&gt;U2719,U2719,(J2720-MAX(J$470:J2720))/MAX(J$470:J2720))</f>
        <v>-0.8283551177402233</v>
      </c>
      <c r="V2720" s="564">
        <f>IF((K2720-MAX(K$470:K2720))/MAX(K$470:K2720)&gt;V2719,V2719,(K2720-MAX(K$470:K2720))/MAX(K$470:K2720))</f>
        <v>-0.84885940676762139</v>
      </c>
      <c r="W2720" s="564">
        <f>IF((N2720-MAX(N$470:N2720))/MAX(N$470:N2720)&gt;W2719,W2719,(N2720-MAX(N$470:N2720))/MAX(N$470:N2720))</f>
        <v>-0.62788758315546067</v>
      </c>
      <c r="X2720" s="564">
        <f>IF((O2720-MAX(O$470:O2720))/MAX(O$470:O2720)&gt;X2719,X2719,(O2720-MAX(O$470:O2720))/MAX(O$470:O2720))</f>
        <v>-0.62788758315546067</v>
      </c>
    </row>
    <row r="2721" spans="1:24">
      <c r="A2721" s="799">
        <v>43123</v>
      </c>
      <c r="B2721">
        <v>11026.2</v>
      </c>
      <c r="C2721">
        <v>4051.8837509999998</v>
      </c>
      <c r="D2721">
        <v>2.0276619999999999</v>
      </c>
      <c r="E2721">
        <f>LN(D2721/参数实验室!$E$53)/参数实验室!$E$55</f>
        <v>0.14097969643684793</v>
      </c>
      <c r="F2721">
        <f t="shared" si="368"/>
        <v>0.36747780296022198</v>
      </c>
      <c r="G2721">
        <f>LN(F2721/参数实验室!$E$58)/参数实验室!$E$59</f>
        <v>-0.71595739848454343</v>
      </c>
      <c r="H2721" s="856">
        <f>INDEX(神经网络!$G$10:$BO$70,MATCH(ROUND(G2721*2,1)/2,神经网络!$E$10:$E$70,0),MATCH(ROUND(E2721*2,1)/2,神经网络!$G$8:$BO$8,0))</f>
        <v>-0.77334837392128297</v>
      </c>
      <c r="I2721">
        <f t="shared" si="370"/>
        <v>417346.23029774497</v>
      </c>
      <c r="J2721">
        <f t="shared" si="371"/>
        <v>4399.7446231195872</v>
      </c>
      <c r="K2721">
        <f t="shared" si="372"/>
        <v>94.856921491463865</v>
      </c>
      <c r="L2721" s="4">
        <f>MIN(MAX(L2720*(1+MAX(MIN(((B2721-B2720)/B2720)/($K$7*卓尔金历!$N$40),0),-卓尔金历!$M$43))+MIN(MAX(((B2721-B2720)/B2720)/($K$7*卓尔金历!$N$40),0),卓尔金历!$M$43),0),1)</f>
        <v>0</v>
      </c>
      <c r="M2721" s="4">
        <f>MIN(MAX(M2720*(1+MAX(MIN(((B2721-B2720)/B2720)/($K$7*30),0),-卓尔金历!$M$43))+MIN(MAX(((B2721-B2720)/B2720)/($K$7*7),0),卓尔金历!$M$43),0),1)</f>
        <v>0.24634715424757656</v>
      </c>
      <c r="N2721">
        <f t="shared" si="373"/>
        <v>167062.32737170957</v>
      </c>
      <c r="O2721">
        <f t="shared" si="374"/>
        <v>432609.79051600397</v>
      </c>
      <c r="P2721">
        <f t="shared" si="375"/>
        <v>-5.6662531548102774E-2</v>
      </c>
      <c r="Q2721">
        <f t="shared" si="366"/>
        <v>6.6430373967967818E-2</v>
      </c>
      <c r="R2721">
        <f t="shared" si="367"/>
        <v>0.23499718766486455</v>
      </c>
      <c r="S2721">
        <f t="shared" si="369"/>
        <v>844.63582213422967</v>
      </c>
      <c r="T2721" s="564">
        <f>IF((I2721-MAX(I$470:I2721))/MAX(I$470:I2721)&gt;T2720,T2720,(I2721-MAX(I$470:I2721))/MAX(I$470:I2721))</f>
        <v>-0.91338805338419748</v>
      </c>
      <c r="U2721" s="564">
        <f>IF((J2721-MAX(J$470:J2721))/MAX(J$470:J2721)&gt;U2720,U2720,(J2721-MAX(J$470:J2721))/MAX(J$470:J2721))</f>
        <v>-0.8283551177402233</v>
      </c>
      <c r="V2721" s="564">
        <f>IF((K2721-MAX(K$470:K2721))/MAX(K$470:K2721)&gt;V2720,V2720,(K2721-MAX(K$470:K2721))/MAX(K$470:K2721))</f>
        <v>-0.84885940676762139</v>
      </c>
      <c r="W2721" s="564">
        <f>IF((N2721-MAX(N$470:N2721))/MAX(N$470:N2721)&gt;W2720,W2720,(N2721-MAX(N$470:N2721))/MAX(N$470:N2721))</f>
        <v>-0.62788758315546067</v>
      </c>
      <c r="X2721" s="564">
        <f>IF((O2721-MAX(O$470:O2721))/MAX(O$470:O2721)&gt;X2720,X2720,(O2721-MAX(O$470:O2721))/MAX(O$470:O2721))</f>
        <v>-0.62788758315546067</v>
      </c>
    </row>
    <row r="2722" spans="1:24">
      <c r="A2722" s="799">
        <v>43124</v>
      </c>
      <c r="B2722">
        <v>10877.2</v>
      </c>
      <c r="C2722">
        <v>3952.9958839999999</v>
      </c>
      <c r="D2722">
        <v>2.0975359999999998</v>
      </c>
      <c r="E2722">
        <f>LN(D2722/参数实验室!$E$53)/参数实验室!$E$55</f>
        <v>0.18094963881210702</v>
      </c>
      <c r="F2722">
        <f t="shared" si="368"/>
        <v>0.36342035487073876</v>
      </c>
      <c r="G2722">
        <f>LN(F2722/参数实验室!$E$58)/参数实验室!$E$59</f>
        <v>-0.72178472172423891</v>
      </c>
      <c r="H2722" s="856">
        <f>INDEX(神经网络!$G$10:$BO$70,MATCH(ROUND(G2722*2,1)/2,神经网络!$E$10:$E$70,0),MATCH(ROUND(E2722*2,1)/2,神经网络!$G$8:$BO$8,0))</f>
        <v>-0.74659481473176814</v>
      </c>
      <c r="I2722">
        <f t="shared" si="370"/>
        <v>421707.69211195823</v>
      </c>
      <c r="J2722">
        <f t="shared" si="371"/>
        <v>4340.2896931487157</v>
      </c>
      <c r="K2722">
        <f t="shared" si="372"/>
        <v>97.1611855258503</v>
      </c>
      <c r="L2722" s="4">
        <f>MIN(MAX(L2721*(1+MAX(MIN(((B2722-B2721)/B2721)/($K$7*卓尔金历!$N$40),0),-卓尔金历!$M$43))+MIN(MAX(((B2722-B2721)/B2721)/($K$7*卓尔金历!$N$40),0),卓尔金历!$M$43),0),1)</f>
        <v>0</v>
      </c>
      <c r="M2722" s="4">
        <f>MIN(MAX(M2721*(1+MAX(MIN(((B2722-B2721)/B2721)/($K$7*30),0),-卓尔金历!$M$43))+MIN(MAX(((B2722-B2721)/B2721)/($K$7*7),0),卓尔金历!$M$43),0),1)</f>
        <v>0.22091553369070571</v>
      </c>
      <c r="N2722">
        <f t="shared" si="373"/>
        <v>167062.32737170957</v>
      </c>
      <c r="O2722">
        <f t="shared" si="374"/>
        <v>433723.51937434357</v>
      </c>
      <c r="P2722">
        <f t="shared" si="375"/>
        <v>-1.3513268397090565E-2</v>
      </c>
      <c r="Q2722">
        <f t="shared" si="366"/>
        <v>6.0857660741020773E-2</v>
      </c>
      <c r="R2722">
        <f t="shared" si="367"/>
        <v>1</v>
      </c>
      <c r="S2722">
        <f t="shared" si="369"/>
        <v>846.71010385754073</v>
      </c>
      <c r="T2722" s="564">
        <f>IF((I2722-MAX(I$470:I2722))/MAX(I$470:I2722)&gt;T2721,T2721,(I2722-MAX(I$470:I2722))/MAX(I$470:I2722))</f>
        <v>-0.91338805338419748</v>
      </c>
      <c r="U2722" s="564">
        <f>IF((J2722-MAX(J$470:J2722))/MAX(J$470:J2722)&gt;U2721,U2721,(J2722-MAX(J$470:J2722))/MAX(J$470:J2722))</f>
        <v>-0.8283551177402233</v>
      </c>
      <c r="V2722" s="564">
        <f>IF((K2722-MAX(K$470:K2722))/MAX(K$470:K2722)&gt;V2721,V2721,(K2722-MAX(K$470:K2722))/MAX(K$470:K2722))</f>
        <v>-0.84885940676762139</v>
      </c>
      <c r="W2722" s="564">
        <f>IF((N2722-MAX(N$470:N2722))/MAX(N$470:N2722)&gt;W2721,W2721,(N2722-MAX(N$470:N2722))/MAX(N$470:N2722))</f>
        <v>-0.62788758315546067</v>
      </c>
      <c r="X2722" s="564">
        <f>IF((O2722-MAX(O$470:O2722))/MAX(O$470:O2722)&gt;X2721,X2721,(O2722-MAX(O$470:O2722))/MAX(O$470:O2722))</f>
        <v>-0.62788758315546067</v>
      </c>
    </row>
    <row r="2723" spans="1:24">
      <c r="A2723" s="799">
        <v>43125</v>
      </c>
      <c r="B2723">
        <v>11695.7</v>
      </c>
      <c r="C2723">
        <v>3916.114497</v>
      </c>
      <c r="D2723">
        <v>2.080006</v>
      </c>
      <c r="E2723">
        <f>LN(D2723/参数实验室!$E$53)/参数实验室!$E$55</f>
        <v>0.17104850759397383</v>
      </c>
      <c r="F2723">
        <f t="shared" si="368"/>
        <v>0.33483369930829276</v>
      </c>
      <c r="G2723">
        <f>LN(F2723/参数实验室!$E$58)/参数实验室!$E$59</f>
        <v>-0.76478400753599929</v>
      </c>
      <c r="H2723" s="856">
        <f>INDEX(神经网络!$G$10:$BO$70,MATCH(ROUND(G2723*2,1)/2,神经网络!$E$10:$E$70,0),MATCH(ROUND(E2723*2,1)/2,神经网络!$G$8:$BO$8,0))</f>
        <v>-0.82558973996745944</v>
      </c>
      <c r="I2723">
        <f t="shared" si="370"/>
        <v>398015.89189025573</v>
      </c>
      <c r="J2723">
        <f t="shared" si="371"/>
        <v>4666.8927816128635</v>
      </c>
      <c r="K2723">
        <f t="shared" si="372"/>
        <v>85.284987359984456</v>
      </c>
      <c r="L2723" s="4">
        <f>MIN(MAX(L2722*(1+MAX(MIN(((B2723-B2722)/B2722)/($K$7*卓尔金历!$N$40),0),-卓尔金历!$M$43))+MIN(MAX(((B2723-B2722)/B2722)/($K$7*卓尔金历!$N$40),0),卓尔金历!$M$43),0),1)</f>
        <v>1</v>
      </c>
      <c r="M2723" s="4">
        <f>MIN(MAX(M2722*(1+MAX(MIN(((B2723-B2722)/B2722)/($K$7*30),0),-卓尔金历!$M$43))+MIN(MAX(((B2723-B2722)/B2722)/($K$7*7),0),卓尔金历!$M$43),0),1)</f>
        <v>1</v>
      </c>
      <c r="N2723">
        <f t="shared" si="373"/>
        <v>167062.32737170957</v>
      </c>
      <c r="O2723">
        <f t="shared" si="374"/>
        <v>428340.5021856947</v>
      </c>
      <c r="P2723">
        <f t="shared" si="375"/>
        <v>7.5249145000551604E-2</v>
      </c>
      <c r="Q2723">
        <f t="shared" si="366"/>
        <v>6.3577125402893314E-2</v>
      </c>
      <c r="R2723">
        <f t="shared" si="367"/>
        <v>5.060005338139581E-2</v>
      </c>
      <c r="S2723">
        <f t="shared" si="369"/>
        <v>799.14140401754798</v>
      </c>
      <c r="T2723" s="564">
        <f>IF((I2723-MAX(I$470:I2723))/MAX(I$470:I2723)&gt;T2722,T2722,(I2723-MAX(I$470:I2723))/MAX(I$470:I2723))</f>
        <v>-0.91338805338419748</v>
      </c>
      <c r="U2723" s="564">
        <f>IF((J2723-MAX(J$470:J2723))/MAX(J$470:J2723)&gt;U2722,U2722,(J2723-MAX(J$470:J2723))/MAX(J$470:J2723))</f>
        <v>-0.8283551177402233</v>
      </c>
      <c r="V2723" s="564">
        <f>IF((K2723-MAX(K$470:K2723))/MAX(K$470:K2723)&gt;V2722,V2722,(K2723-MAX(K$470:K2723))/MAX(K$470:K2723))</f>
        <v>-0.84885940676762139</v>
      </c>
      <c r="W2723" s="564">
        <f>IF((N2723-MAX(N$470:N2723))/MAX(N$470:N2723)&gt;W2722,W2722,(N2723-MAX(N$470:N2723))/MAX(N$470:N2723))</f>
        <v>-0.62788758315546067</v>
      </c>
      <c r="X2723" s="564">
        <f>IF((O2723-MAX(O$470:O2723))/MAX(O$470:O2723)&gt;X2722,X2722,(O2723-MAX(O$470:O2723))/MAX(O$470:O2723))</f>
        <v>-0.62788758315546067</v>
      </c>
    </row>
    <row r="2724" spans="1:24">
      <c r="A2724" s="799">
        <v>43126</v>
      </c>
      <c r="B2724">
        <v>11603.1</v>
      </c>
      <c r="C2724">
        <v>3919.9368439999998</v>
      </c>
      <c r="D2724">
        <v>2.0579160000000001</v>
      </c>
      <c r="E2724">
        <f>LN(D2724/参数实验室!$E$53)/参数实验室!$E$55</f>
        <v>0.15845233167262013</v>
      </c>
      <c r="F2724">
        <f t="shared" si="368"/>
        <v>0.33783530642673076</v>
      </c>
      <c r="G2724">
        <f>LN(F2724/参数实验室!$E$58)/参数实验室!$E$59</f>
        <v>-0.76009993238224915</v>
      </c>
      <c r="H2724" s="856">
        <f>INDEX(神经网络!$G$10:$BO$70,MATCH(ROUND(G2724*2,1)/2,神经网络!$E$10:$E$70,0),MATCH(ROUND(E2724*2,1)/2,神经网络!$G$8:$BO$8,0))</f>
        <v>-0.82558973996745944</v>
      </c>
      <c r="I2724">
        <f t="shared" si="370"/>
        <v>400617.54546185583</v>
      </c>
      <c r="J2724">
        <f t="shared" si="371"/>
        <v>4629.9429392282818</v>
      </c>
      <c r="K2724">
        <f t="shared" si="372"/>
        <v>86.527534079854277</v>
      </c>
      <c r="L2724" s="4">
        <f>MIN(MAX(L2723*(1+MAX(MIN(((B2724-B2723)/B2723)/($K$7*卓尔金历!$N$40),0),-卓尔金历!$M$43))+MIN(MAX(((B2724-B2723)/B2723)/($K$7*卓尔金历!$N$40),0),卓尔金历!$M$43),0),1)</f>
        <v>0.87902911852838628</v>
      </c>
      <c r="M2724" s="4">
        <f>MIN(MAX(M2723*(1+MAX(MIN(((B2724-B2723)/B2723)/($K$7*30),0),-卓尔金历!$M$43))+MIN(MAX(((B2724-B2723)/B2723)/($K$7*7),0),卓尔金历!$M$43),0),1)</f>
        <v>0.93951455926419314</v>
      </c>
      <c r="N2724">
        <f t="shared" si="373"/>
        <v>168154.33980021399</v>
      </c>
      <c r="O2724">
        <f t="shared" si="374"/>
        <v>431140.37430155399</v>
      </c>
      <c r="P2724">
        <f t="shared" si="375"/>
        <v>-7.9174397428114912E-3</v>
      </c>
      <c r="Q2724">
        <f t="shared" si="366"/>
        <v>6.3349582360328088E-2</v>
      </c>
      <c r="R2724">
        <f t="shared" si="367"/>
        <v>1</v>
      </c>
      <c r="S2724">
        <f t="shared" si="369"/>
        <v>799.40572014406405</v>
      </c>
      <c r="T2724" s="564">
        <f>IF((I2724-MAX(I$470:I2724))/MAX(I$470:I2724)&gt;T2723,T2723,(I2724-MAX(I$470:I2724))/MAX(I$470:I2724))</f>
        <v>-0.91338805338419748</v>
      </c>
      <c r="U2724" s="564">
        <f>IF((J2724-MAX(J$470:J2724))/MAX(J$470:J2724)&gt;U2723,U2723,(J2724-MAX(J$470:J2724))/MAX(J$470:J2724))</f>
        <v>-0.8283551177402233</v>
      </c>
      <c r="V2724" s="564">
        <f>IF((K2724-MAX(K$470:K2724))/MAX(K$470:K2724)&gt;V2723,V2723,(K2724-MAX(K$470:K2724))/MAX(K$470:K2724))</f>
        <v>-0.84885940676762139</v>
      </c>
      <c r="W2724" s="564">
        <f>IF((N2724-MAX(N$470:N2724))/MAX(N$470:N2724)&gt;W2723,W2723,(N2724-MAX(N$470:N2724))/MAX(N$470:N2724))</f>
        <v>-0.62788758315546067</v>
      </c>
      <c r="X2724" s="564">
        <f>IF((O2724-MAX(O$470:O2724))/MAX(O$470:O2724)&gt;X2723,X2723,(O2724-MAX(O$470:O2724))/MAX(O$470:O2724))</f>
        <v>-0.62788758315546067</v>
      </c>
    </row>
    <row r="2725" spans="1:24">
      <c r="A2725" s="799">
        <v>43127</v>
      </c>
      <c r="B2725">
        <v>11124.5</v>
      </c>
      <c r="C2725">
        <v>3902.37077</v>
      </c>
      <c r="D2725">
        <v>2.1088339999999999</v>
      </c>
      <c r="E2725">
        <f>LN(D2725/参数实验室!$E$53)/参数实验室!$E$55</f>
        <v>0.18728711468934728</v>
      </c>
      <c r="F2725">
        <f t="shared" si="368"/>
        <v>0.35079066654681107</v>
      </c>
      <c r="G2725">
        <f>LN(F2725/参数实验室!$E$58)/参数实验室!$E$59</f>
        <v>-0.74034907834528907</v>
      </c>
      <c r="H2725" s="856">
        <f>INDEX(神经网络!$G$10:$BO$70,MATCH(ROUND(G2725*2,1)/2,神经网络!$E$10:$E$70,0),MATCH(ROUND(E2725*2,1)/2,神经网络!$G$8:$BO$8,0))</f>
        <v>-0.80109945560186036</v>
      </c>
      <c r="I2725">
        <f t="shared" si="370"/>
        <v>414260.01246284565</v>
      </c>
      <c r="J2725">
        <f t="shared" si="371"/>
        <v>4438.9689158453357</v>
      </c>
      <c r="K2725">
        <f t="shared" si="372"/>
        <v>93.323476761484827</v>
      </c>
      <c r="L2725" s="4">
        <f>MIN(MAX(L2724*(1+MAX(MIN(((B2725-B2724)/B2724)/($K$7*卓尔金历!$N$40),0),-卓尔金历!$M$43))+MIN(MAX(((B2725-B2724)/B2724)/($K$7*卓尔金历!$N$40),0),卓尔金历!$M$43),0),1)</f>
        <v>0.32504412682438361</v>
      </c>
      <c r="M2725" s="4">
        <f>MIN(MAX(M2724*(1+MAX(MIN(((B2725-B2724)/B2724)/($K$7*30),0),-卓尔金历!$M$43))+MIN(MAX(((B2725-B2724)/B2724)/($K$7*7),0),卓尔金历!$M$43),0),1)</f>
        <v>0.64346238400115252</v>
      </c>
      <c r="N2725">
        <f t="shared" si="373"/>
        <v>173187.8886546336</v>
      </c>
      <c r="O2725">
        <f t="shared" si="374"/>
        <v>444934.21338282229</v>
      </c>
      <c r="P2725">
        <f t="shared" si="375"/>
        <v>-4.1247597624772724E-2</v>
      </c>
      <c r="Q2725">
        <f t="shared" si="366"/>
        <v>5.8989789480231425E-2</v>
      </c>
      <c r="R2725">
        <f t="shared" si="367"/>
        <v>0.44378575489969518</v>
      </c>
      <c r="S2725">
        <f t="shared" si="369"/>
        <v>826.62835749734063</v>
      </c>
      <c r="T2725" s="564">
        <f>IF((I2725-MAX(I$470:I2725))/MAX(I$470:I2725)&gt;T2724,T2724,(I2725-MAX(I$470:I2725))/MAX(I$470:I2725))</f>
        <v>-0.91338805338419748</v>
      </c>
      <c r="U2725" s="564">
        <f>IF((J2725-MAX(J$470:J2725))/MAX(J$470:J2725)&gt;U2724,U2724,(J2725-MAX(J$470:J2725))/MAX(J$470:J2725))</f>
        <v>-0.8283551177402233</v>
      </c>
      <c r="V2725" s="564">
        <f>IF((K2725-MAX(K$470:K2725))/MAX(K$470:K2725)&gt;V2724,V2724,(K2725-MAX(K$470:K2725))/MAX(K$470:K2725))</f>
        <v>-0.84885940676762139</v>
      </c>
      <c r="W2725" s="564">
        <f>IF((N2725-MAX(N$470:N2725))/MAX(N$470:N2725)&gt;W2724,W2724,(N2725-MAX(N$470:N2725))/MAX(N$470:N2725))</f>
        <v>-0.62788758315546067</v>
      </c>
      <c r="X2725" s="564">
        <f>IF((O2725-MAX(O$470:O2725))/MAX(O$470:O2725)&gt;X2724,X2724,(O2725-MAX(O$470:O2725))/MAX(O$470:O2725))</f>
        <v>-0.62788758315546067</v>
      </c>
    </row>
    <row r="2726" spans="1:24">
      <c r="A2726" s="799">
        <v>43128</v>
      </c>
      <c r="B2726">
        <v>11564</v>
      </c>
      <c r="C2726">
        <v>3920.4773070000001</v>
      </c>
      <c r="D2726">
        <v>2.1541000000000001</v>
      </c>
      <c r="E2726">
        <f>LN(D2726/参数实验室!$E$53)/参数实验室!$E$55</f>
        <v>0.21234249559728147</v>
      </c>
      <c r="F2726">
        <f t="shared" si="368"/>
        <v>0.33902432609823591</v>
      </c>
      <c r="G2726">
        <f>LN(F2726/参数实验室!$E$58)/参数实验室!$E$59</f>
        <v>-0.75825593875687824</v>
      </c>
      <c r="H2726" s="856">
        <f>INDEX(神经网络!$G$10:$BO$70,MATCH(ROUND(G2726*2,1)/2,神经网络!$E$10:$E$70,0),MATCH(ROUND(E2726*2,1)/2,神经网络!$G$8:$BO$8,0))</f>
        <v>-0.80109945560186036</v>
      </c>
      <c r="I2726">
        <f t="shared" si="370"/>
        <v>401148.95171693567</v>
      </c>
      <c r="J2726">
        <f t="shared" si="371"/>
        <v>4614.3410079406231</v>
      </c>
      <c r="K2726">
        <f t="shared" si="372"/>
        <v>86.935263567780424</v>
      </c>
      <c r="L2726" s="4">
        <f>MIN(MAX(L2725*(1+MAX(MIN(((B2726-B2725)/B2725)/($K$7*卓尔金历!$N$40),0),-卓尔金历!$M$43))+MIN(MAX(((B2726-B2725)/B2725)/($K$7*卓尔金历!$N$40),0),卓尔金历!$M$43),0),1)</f>
        <v>0.92867918848115227</v>
      </c>
      <c r="M2726" s="4">
        <f>MIN(MAX(M2725*(1+MAX(MIN(((B2726-B2725)/B2725)/($K$7*30),0),-卓尔金历!$M$43))+MIN(MAX(((B2726-B2725)/B2725)/($K$7*7),0),卓尔金历!$M$43),0),1)</f>
        <v>1</v>
      </c>
      <c r="N2726">
        <f t="shared" si="373"/>
        <v>171406.22936492489</v>
      </c>
      <c r="O2726">
        <f t="shared" si="374"/>
        <v>435873.05374903028</v>
      </c>
      <c r="P2726">
        <f t="shared" si="375"/>
        <v>3.950739359072318E-2</v>
      </c>
      <c r="Q2726">
        <f t="shared" si="366"/>
        <v>6.0097006426698053E-2</v>
      </c>
      <c r="R2726">
        <f t="shared" si="367"/>
        <v>0.50320656257162344</v>
      </c>
      <c r="S2726">
        <f t="shared" si="369"/>
        <v>815.01792299018393</v>
      </c>
      <c r="T2726" s="564">
        <f>IF((I2726-MAX(I$470:I2726))/MAX(I$470:I2726)&gt;T2725,T2725,(I2726-MAX(I$470:I2726))/MAX(I$470:I2726))</f>
        <v>-0.91338805338419748</v>
      </c>
      <c r="U2726" s="564">
        <f>IF((J2726-MAX(J$470:J2726))/MAX(J$470:J2726)&gt;U2725,U2725,(J2726-MAX(J$470:J2726))/MAX(J$470:J2726))</f>
        <v>-0.8283551177402233</v>
      </c>
      <c r="V2726" s="564">
        <f>IF((K2726-MAX(K$470:K2726))/MAX(K$470:K2726)&gt;V2725,V2725,(K2726-MAX(K$470:K2726))/MAX(K$470:K2726))</f>
        <v>-0.84885940676762139</v>
      </c>
      <c r="W2726" s="564">
        <f>IF((N2726-MAX(N$470:N2726))/MAX(N$470:N2726)&gt;W2725,W2725,(N2726-MAX(N$470:N2726))/MAX(N$470:N2726))</f>
        <v>-0.62788758315546067</v>
      </c>
      <c r="X2726" s="564">
        <f>IF((O2726-MAX(O$470:O2726))/MAX(O$470:O2726)&gt;X2725,X2725,(O2726-MAX(O$470:O2726))/MAX(O$470:O2726))</f>
        <v>-0.62788758315546067</v>
      </c>
    </row>
    <row r="2727" spans="1:24">
      <c r="A2727" s="799">
        <v>43129</v>
      </c>
      <c r="B2727">
        <v>11537.5</v>
      </c>
      <c r="C2727">
        <v>3917.0845559999998</v>
      </c>
      <c r="D2727">
        <v>2.0655269999999999</v>
      </c>
      <c r="E2727">
        <f>LN(D2727/参数实验室!$E$53)/参数实验室!$E$55</f>
        <v>0.16280748445972373</v>
      </c>
      <c r="F2727">
        <f t="shared" si="368"/>
        <v>0.33950895393282771</v>
      </c>
      <c r="G2727">
        <f>LN(F2727/参数实验室!$E$58)/参数实验室!$E$59</f>
        <v>-0.75750620715457517</v>
      </c>
      <c r="H2727" s="856">
        <f>INDEX(神经网络!$G$10:$BO$70,MATCH(ROUND(G2727*2,1)/2,神经网络!$E$10:$E$70,0),MATCH(ROUND(E2727*2,1)/2,神经网络!$G$8:$BO$8,0))</f>
        <v>-0.82558973996745944</v>
      </c>
      <c r="I2727">
        <f t="shared" si="370"/>
        <v>401885.37903284241</v>
      </c>
      <c r="J2727">
        <f t="shared" si="371"/>
        <v>4603.7668089860726</v>
      </c>
      <c r="K2727">
        <f t="shared" si="372"/>
        <v>87.294903436117579</v>
      </c>
      <c r="L2727" s="4">
        <f>MIN(MAX(L2726*(1+MAX(MIN(((B2727-B2726)/B2726)/($K$7*卓尔金历!$N$40),0),-卓尔金历!$M$43))+MIN(MAX(((B2727-B2726)/B2726)/($K$7*卓尔金历!$N$40),0),卓尔金历!$M$43),0),1)</f>
        <v>0.89616300372233793</v>
      </c>
      <c r="M2727" s="4">
        <f>MIN(MAX(M2726*(1+MAX(MIN(((B2727-B2726)/B2726)/($K$7*30),0),-卓尔金历!$M$43))+MIN(MAX(((B2727-B2726)/B2726)/($K$7*7),0),卓尔金历!$M$43),0),1)</f>
        <v>0.98249331676528984</v>
      </c>
      <c r="N2727">
        <f t="shared" si="373"/>
        <v>171698.45380963627</v>
      </c>
      <c r="O2727">
        <f t="shared" si="374"/>
        <v>436673.22740441345</v>
      </c>
      <c r="P2727">
        <f t="shared" si="375"/>
        <v>-2.2915946039432722E-3</v>
      </c>
      <c r="Q2727">
        <f t="shared" si="366"/>
        <v>5.8943588660937185E-2</v>
      </c>
      <c r="R2727">
        <f t="shared" si="367"/>
        <v>1</v>
      </c>
      <c r="S2727">
        <f t="shared" si="369"/>
        <v>815.77082365955084</v>
      </c>
      <c r="T2727" s="564">
        <f>IF((I2727-MAX(I$470:I2727))/MAX(I$470:I2727)&gt;T2726,T2726,(I2727-MAX(I$470:I2727))/MAX(I$470:I2727))</f>
        <v>-0.91338805338419748</v>
      </c>
      <c r="U2727" s="564">
        <f>IF((J2727-MAX(J$470:J2727))/MAX(J$470:J2727)&gt;U2726,U2726,(J2727-MAX(J$470:J2727))/MAX(J$470:J2727))</f>
        <v>-0.8283551177402233</v>
      </c>
      <c r="V2727" s="564">
        <f>IF((K2727-MAX(K$470:K2727))/MAX(K$470:K2727)&gt;V2726,V2726,(K2727-MAX(K$470:K2727))/MAX(K$470:K2727))</f>
        <v>-0.84885940676762139</v>
      </c>
      <c r="W2727" s="564">
        <f>IF((N2727-MAX(N$470:N2727))/MAX(N$470:N2727)&gt;W2726,W2726,(N2727-MAX(N$470:N2727))/MAX(N$470:N2727))</f>
        <v>-0.62788758315546067</v>
      </c>
      <c r="X2727" s="564">
        <f>IF((O2727-MAX(O$470:O2727))/MAX(O$470:O2727)&gt;X2726,X2726,(O2727-MAX(O$470:O2727))/MAX(O$470:O2727))</f>
        <v>-0.62788758315546067</v>
      </c>
    </row>
    <row r="2728" spans="1:24">
      <c r="A2728" s="799">
        <v>43130</v>
      </c>
      <c r="B2728">
        <v>11075.7</v>
      </c>
      <c r="C2728">
        <v>3909.1189089999998</v>
      </c>
      <c r="D2728">
        <v>1.8591679999999999</v>
      </c>
      <c r="E2728">
        <f>LN(D2728/参数实验室!$E$53)/参数实验室!$E$55</f>
        <v>3.8630994959362251E-2</v>
      </c>
      <c r="F2728">
        <f t="shared" si="368"/>
        <v>0.3529455392435692</v>
      </c>
      <c r="G2728">
        <f>LN(F2728/参数实验室!$E$58)/参数实验室!$E$59</f>
        <v>-0.73713481375945877</v>
      </c>
      <c r="H2728" s="856">
        <f>INDEX(神经网络!$G$10:$BO$70,MATCH(ROUND(G2728*2,1)/2,神经网络!$E$10:$E$70,0),MATCH(ROUND(E2728*2,1)/2,神经网络!$G$8:$BO$8,0))</f>
        <v>-0.8740063665594221</v>
      </c>
      <c r="I2728">
        <f t="shared" si="370"/>
        <v>415165.70417826867</v>
      </c>
      <c r="J2728">
        <f t="shared" si="371"/>
        <v>4419.4964287139364</v>
      </c>
      <c r="K2728">
        <f t="shared" si="372"/>
        <v>93.939594900652736</v>
      </c>
      <c r="L2728" s="4">
        <f>MIN(MAX(L2727*(1+MAX(MIN(((B2728-B2727)/B2727)/($K$7*卓尔金历!$N$40),0),-卓尔金历!$M$43))+MIN(MAX(((B2728-B2727)/B2727)/($K$7*卓尔金历!$N$40),0),卓尔金历!$M$43),0),1)</f>
        <v>0.34810654023115906</v>
      </c>
      <c r="M2728" s="4">
        <f>MIN(MAX(M2727*(1+MAX(MIN(((B2728-B2727)/B2727)/($K$7*30),0),-卓尔金历!$M$43))+MIN(MAX(((B2728-B2727)/B2727)/($K$7*7),0),卓尔金历!$M$43),0),1)</f>
        <v>0.68206704924837214</v>
      </c>
      <c r="N2728">
        <f t="shared" si="373"/>
        <v>176783.09014767627</v>
      </c>
      <c r="O2728">
        <f t="shared" si="374"/>
        <v>450850.49943168194</v>
      </c>
      <c r="P2728">
        <f t="shared" si="375"/>
        <v>-4.0026002166847173E-2</v>
      </c>
      <c r="Q2728">
        <f t="shared" si="366"/>
        <v>5.9088856772438587E-2</v>
      </c>
      <c r="R2728">
        <f t="shared" si="367"/>
        <v>0.47141594715133034</v>
      </c>
      <c r="S2728">
        <f t="shared" si="369"/>
        <v>842.72801679860686</v>
      </c>
      <c r="T2728" s="564">
        <f>IF((I2728-MAX(I$470:I2728))/MAX(I$470:I2728)&gt;T2727,T2727,(I2728-MAX(I$470:I2728))/MAX(I$470:I2728))</f>
        <v>-0.91338805338419748</v>
      </c>
      <c r="U2728" s="564">
        <f>IF((J2728-MAX(J$470:J2728))/MAX(J$470:J2728)&gt;U2727,U2727,(J2728-MAX(J$470:J2728))/MAX(J$470:J2728))</f>
        <v>-0.8283551177402233</v>
      </c>
      <c r="V2728" s="564">
        <f>IF((K2728-MAX(K$470:K2728))/MAX(K$470:K2728)&gt;V2727,V2727,(K2728-MAX(K$470:K2728))/MAX(K$470:K2728))</f>
        <v>-0.84885940676762139</v>
      </c>
      <c r="W2728" s="564">
        <f>IF((N2728-MAX(N$470:N2728))/MAX(N$470:N2728)&gt;W2727,W2727,(N2728-MAX(N$470:N2728))/MAX(N$470:N2728))</f>
        <v>-0.62788758315546067</v>
      </c>
      <c r="X2728" s="564">
        <f>IF((O2728-MAX(O$470:O2728))/MAX(O$470:O2728)&gt;X2727,X2727,(O2728-MAX(O$470:O2728))/MAX(O$470:O2728))</f>
        <v>-0.62788758315546067</v>
      </c>
    </row>
    <row r="2729" spans="1:24">
      <c r="A2729" s="799">
        <v>43131</v>
      </c>
      <c r="B2729">
        <v>10001</v>
      </c>
      <c r="C2729">
        <v>4004.3325580000001</v>
      </c>
      <c r="D2729">
        <v>1.8779440000000001</v>
      </c>
      <c r="E2729">
        <f>LN(D2729/参数实验室!$E$53)/参数实验室!$E$55</f>
        <v>5.0485728397865581E-2</v>
      </c>
      <c r="F2729">
        <f t="shared" si="368"/>
        <v>0.40039321647835219</v>
      </c>
      <c r="G2729">
        <f>LN(F2729/参数实验室!$E$58)/参数实验室!$E$59</f>
        <v>-0.67093322020510415</v>
      </c>
      <c r="H2729" s="856">
        <f>INDEX(神经网络!$G$10:$BO$70,MATCH(ROUND(G2729*2,1)/2,神经网络!$E$10:$E$70,0),MATCH(ROUND(E2729*2,1)/2,神经网络!$G$8:$BO$8,0))</f>
        <v>-0.77387982430637781</v>
      </c>
      <c r="I2729">
        <f t="shared" si="370"/>
        <v>450374.57779668679</v>
      </c>
      <c r="J2729">
        <f t="shared" si="371"/>
        <v>3990.6627828099417</v>
      </c>
      <c r="K2729">
        <f t="shared" si="372"/>
        <v>112.85708723290445</v>
      </c>
      <c r="L2729" s="4">
        <f>MIN(MAX(L2728*(1+MAX(MIN(((B2729-B2728)/B2728)/($K$7*卓尔金历!$N$40),0),-卓尔金历!$M$43))+MIN(MAX(((B2729-B2728)/B2728)/($K$7*卓尔金历!$N$40),0),卓尔金历!$M$43),0),1)</f>
        <v>0</v>
      </c>
      <c r="M2729" s="4">
        <f>MIN(MAX(M2728*(1+MAX(MIN(((B2729-B2728)/B2728)/($K$7*30),0),-卓尔金历!$M$43))+MIN(MAX(((B2729-B2728)/B2728)/($K$7*7),0),卓尔金历!$M$43),0),1)</f>
        <v>0.17646454415309945</v>
      </c>
      <c r="N2729">
        <f t="shared" si="373"/>
        <v>182002.04530406976</v>
      </c>
      <c r="O2729">
        <f t="shared" si="374"/>
        <v>476929.46047488018</v>
      </c>
      <c r="P2729">
        <f t="shared" si="375"/>
        <v>-9.703224175447156E-2</v>
      </c>
      <c r="Q2729">
        <f t="shared" si="366"/>
        <v>6.0648919124376872E-2</v>
      </c>
      <c r="R2729">
        <f t="shared" si="367"/>
        <v>3.1320550858916586E-2</v>
      </c>
      <c r="S2729">
        <f t="shared" si="369"/>
        <v>876.41967324581617</v>
      </c>
      <c r="T2729" s="564">
        <f>IF((I2729-MAX(I$470:I2729))/MAX(I$470:I2729)&gt;T2728,T2728,(I2729-MAX(I$470:I2729))/MAX(I$470:I2729))</f>
        <v>-0.91338805338419748</v>
      </c>
      <c r="U2729" s="564">
        <f>IF((J2729-MAX(J$470:J2729))/MAX(J$470:J2729)&gt;U2728,U2728,(J2729-MAX(J$470:J2729))/MAX(J$470:J2729))</f>
        <v>-0.8283551177402233</v>
      </c>
      <c r="V2729" s="564">
        <f>IF((K2729-MAX(K$470:K2729))/MAX(K$470:K2729)&gt;V2728,V2728,(K2729-MAX(K$470:K2729))/MAX(K$470:K2729))</f>
        <v>-0.84885940676762139</v>
      </c>
      <c r="W2729" s="564">
        <f>IF((N2729-MAX(N$470:N2729))/MAX(N$470:N2729)&gt;W2728,W2728,(N2729-MAX(N$470:N2729))/MAX(N$470:N2729))</f>
        <v>-0.62788758315546067</v>
      </c>
      <c r="X2729" s="564">
        <f>IF((O2729-MAX(O$470:O2729))/MAX(O$470:O2729)&gt;X2728,X2728,(O2729-MAX(O$470:O2729))/MAX(O$470:O2729))</f>
        <v>-0.62788758315546067</v>
      </c>
    </row>
    <row r="2730" spans="1:24">
      <c r="A2730" s="799">
        <v>43132</v>
      </c>
      <c r="B2730">
        <v>10058.1</v>
      </c>
      <c r="C2730">
        <v>4032.9550840000002</v>
      </c>
      <c r="D2730">
        <v>1.69692</v>
      </c>
      <c r="E2730">
        <f>LN(D2730/参数实验室!$E$53)/参数实验室!$E$55</f>
        <v>-6.9097267286731046E-2</v>
      </c>
      <c r="F2730">
        <f t="shared" si="368"/>
        <v>0.40096589654109621</v>
      </c>
      <c r="G2730">
        <f>LN(F2730/参数实验室!$E$58)/参数实验室!$E$59</f>
        <v>-0.6701830609004723</v>
      </c>
      <c r="H2730" s="856">
        <f>INDEX(神经网络!$G$10:$BO$70,MATCH(ROUND(G2730*2,1)/2,神经网络!$E$10:$E$70,0),MATCH(ROUND(E2730*2,1)/2,神经网络!$G$8:$BO$8,0))</f>
        <v>-0.82633295353614711</v>
      </c>
      <c r="I2730">
        <f t="shared" si="370"/>
        <v>448384.63737765438</v>
      </c>
      <c r="J2730">
        <f t="shared" si="371"/>
        <v>4013.447188859182</v>
      </c>
      <c r="K2730">
        <f t="shared" si="372"/>
        <v>111.72057741841303</v>
      </c>
      <c r="L2730" s="4">
        <f>MIN(MAX(L2729*(1+MAX(MIN(((B2730-B2729)/B2729)/($K$7*卓尔金历!$N$40),0),-卓尔金历!$M$43))+MIN(MAX(((B2730-B2729)/B2729)/($K$7*卓尔金历!$N$40),0),卓尔金历!$M$43),0),1)</f>
        <v>8.7234597063202385E-2</v>
      </c>
      <c r="M2730" s="4">
        <f>MIN(MAX(M2729*(1+MAX(MIN(((B2730-B2729)/B2729)/($K$7*30),0),-卓尔金历!$M$43))+MIN(MAX(((B2730-B2729)/B2729)/($K$7*7),0),卓尔金历!$M$43),0),1)</f>
        <v>0.36339582357424743</v>
      </c>
      <c r="N2730">
        <f t="shared" si="373"/>
        <v>182002.04530406976</v>
      </c>
      <c r="O2730">
        <f t="shared" si="374"/>
        <v>476557.60188843287</v>
      </c>
      <c r="P2730">
        <f t="shared" si="375"/>
        <v>5.7094290570943269E-3</v>
      </c>
      <c r="Q2730">
        <f t="shared" si="366"/>
        <v>6.0223663655696452E-2</v>
      </c>
      <c r="R2730">
        <f t="shared" si="367"/>
        <v>1</v>
      </c>
      <c r="S2730">
        <f t="shared" si="369"/>
        <v>876.29838807203339</v>
      </c>
      <c r="T2730" s="564">
        <f>IF((I2730-MAX(I$470:I2730))/MAX(I$470:I2730)&gt;T2729,T2729,(I2730-MAX(I$470:I2730))/MAX(I$470:I2730))</f>
        <v>-0.91338805338419748</v>
      </c>
      <c r="U2730" s="564">
        <f>IF((J2730-MAX(J$470:J2730))/MAX(J$470:J2730)&gt;U2729,U2729,(J2730-MAX(J$470:J2730))/MAX(J$470:J2730))</f>
        <v>-0.8283551177402233</v>
      </c>
      <c r="V2730" s="564">
        <f>IF((K2730-MAX(K$470:K2730))/MAX(K$470:K2730)&gt;V2729,V2729,(K2730-MAX(K$470:K2730))/MAX(K$470:K2730))</f>
        <v>-0.84885940676762139</v>
      </c>
      <c r="W2730" s="564">
        <f>IF((N2730-MAX(N$470:N2730))/MAX(N$470:N2730)&gt;W2729,W2729,(N2730-MAX(N$470:N2730))/MAX(N$470:N2730))</f>
        <v>-0.62788758315546067</v>
      </c>
      <c r="X2730" s="564">
        <f>IF((O2730-MAX(O$470:O2730))/MAX(O$470:O2730)&gt;X2729,X2729,(O2730-MAX(O$470:O2730))/MAX(O$470:O2730))</f>
        <v>-0.62788758315546067</v>
      </c>
    </row>
    <row r="2731" spans="1:24">
      <c r="A2731" s="799">
        <v>43133</v>
      </c>
      <c r="B2731">
        <v>8780.23</v>
      </c>
      <c r="C2731">
        <v>4007.4432630000001</v>
      </c>
      <c r="D2731">
        <v>1.661519</v>
      </c>
      <c r="E2731">
        <f>LN(D2731/参数实验室!$E$53)/参数实验室!$E$55</f>
        <v>-9.3969531764025033E-2</v>
      </c>
      <c r="F2731">
        <f t="shared" si="368"/>
        <v>0.45641666140864195</v>
      </c>
      <c r="G2731">
        <f>LN(F2731/参数实验室!$E$58)/参数实验室!$E$59</f>
        <v>-0.60219885010870866</v>
      </c>
      <c r="H2731" s="856">
        <f>INDEX(神经网络!$G$10:$BO$70,MATCH(ROUND(G2731*2,1)/2,神经网络!$E$10:$E$70,0),MATCH(ROUND(E2731*2,1)/2,神经网络!$G$8:$BO$8,0))</f>
        <v>-0.80225187632605699</v>
      </c>
      <c r="I2731">
        <f t="shared" si="370"/>
        <v>495458.14084786264</v>
      </c>
      <c r="J2731">
        <f t="shared" si="371"/>
        <v>3503.5433542157116</v>
      </c>
      <c r="K2731">
        <f t="shared" si="372"/>
        <v>141.41630080064294</v>
      </c>
      <c r="L2731" s="4">
        <f>MIN(MAX(L2730*(1+MAX(MIN(((B2731-B2730)/B2730)/($K$7*卓尔金历!$N$40),0),-卓尔金历!$M$43))+MIN(MAX(((B2731-B2730)/B2730)/($K$7*卓尔金历!$N$40),0),卓尔金历!$M$43),0),1)</f>
        <v>0</v>
      </c>
      <c r="M2731" s="4">
        <f>MIN(MAX(M2730*(1+MAX(MIN(((B2731-B2730)/B2730)/($K$7*30),0),-卓尔金历!$M$43))+MIN(MAX(((B2731-B2730)/B2730)/($K$7*7),0),卓尔金历!$M$43),0),1)</f>
        <v>1.0686662555067832E-2</v>
      </c>
      <c r="N2731">
        <f t="shared" si="373"/>
        <v>183668.87345158297</v>
      </c>
      <c r="O2731">
        <f t="shared" si="374"/>
        <v>494738.7427333378</v>
      </c>
      <c r="P2731">
        <f t="shared" si="375"/>
        <v>-0.12704884620355741</v>
      </c>
      <c r="Q2731">
        <f t="shared" si="366"/>
        <v>6.4558043533808424E-2</v>
      </c>
      <c r="R2731">
        <f t="shared" si="367"/>
        <v>1.9451827251090573E-2</v>
      </c>
      <c r="S2731">
        <f t="shared" si="369"/>
        <v>968.29626617306963</v>
      </c>
      <c r="T2731" s="564">
        <f>IF((I2731-MAX(I$470:I2731))/MAX(I$470:I2731)&gt;T2730,T2730,(I2731-MAX(I$470:I2731))/MAX(I$470:I2731))</f>
        <v>-0.91338805338419748</v>
      </c>
      <c r="U2731" s="564">
        <f>IF((J2731-MAX(J$470:J2731))/MAX(J$470:J2731)&gt;U2730,U2730,(J2731-MAX(J$470:J2731))/MAX(J$470:J2731))</f>
        <v>-0.8283551177402233</v>
      </c>
      <c r="V2731" s="564">
        <f>IF((K2731-MAX(K$470:K2731))/MAX(K$470:K2731)&gt;V2730,V2730,(K2731-MAX(K$470:K2731))/MAX(K$470:K2731))</f>
        <v>-0.84885940676762139</v>
      </c>
      <c r="W2731" s="564">
        <f>IF((N2731-MAX(N$470:N2731))/MAX(N$470:N2731)&gt;W2730,W2730,(N2731-MAX(N$470:N2731))/MAX(N$470:N2731))</f>
        <v>-0.62788758315546067</v>
      </c>
      <c r="X2731" s="564">
        <f>IF((O2731-MAX(O$470:O2731))/MAX(O$470:O2731)&gt;X2730,X2730,(O2731-MAX(O$470:O2731))/MAX(O$470:O2731))</f>
        <v>-0.62788758315546067</v>
      </c>
    </row>
    <row r="2732" spans="1:24">
      <c r="A2732" s="799">
        <v>43134</v>
      </c>
      <c r="B2732">
        <v>8256.33</v>
      </c>
      <c r="C2732">
        <v>4033.5924070000001</v>
      </c>
      <c r="D2732">
        <v>1.728782</v>
      </c>
      <c r="E2732">
        <f>LN(D2732/参数实验室!$E$53)/参数实验室!$E$55</f>
        <v>-4.7151177511660855E-2</v>
      </c>
      <c r="F2732">
        <f t="shared" si="368"/>
        <v>0.48854544416223677</v>
      </c>
      <c r="G2732">
        <f>LN(F2732/参数实验室!$E$58)/参数实验室!$E$59</f>
        <v>-0.56649493391295536</v>
      </c>
      <c r="H2732" s="856">
        <f>INDEX(神经网络!$G$10:$BO$70,MATCH(ROUND(G2732*2,1)/2,神经网络!$E$10:$E$70,0),MATCH(ROUND(E2732*2,1)/2,神经网络!$G$8:$BO$8,0))</f>
        <v>-0.71920921928105808</v>
      </c>
      <c r="I2732">
        <f t="shared" si="370"/>
        <v>519175.16610814212</v>
      </c>
      <c r="J2732">
        <f t="shared" si="371"/>
        <v>3294.4934360161187</v>
      </c>
      <c r="K2732">
        <f t="shared" si="372"/>
        <v>157.58876931804031</v>
      </c>
      <c r="L2732" s="4">
        <f>MIN(MAX(L2731*(1+MAX(MIN(((B2732-B2731)/B2731)/($K$7*卓尔金历!$N$40),0),-卓尔金历!$M$43))+MIN(MAX(((B2732-B2731)/B2731)/($K$7*卓尔金历!$N$40),0),卓尔金历!$M$43),0),1)</f>
        <v>0</v>
      </c>
      <c r="M2732" s="4">
        <f>MIN(MAX(M2731*(1+MAX(MIN(((B2732-B2731)/B2731)/($K$7*30),0),-卓尔金历!$M$43))+MIN(MAX(((B2732-B2731)/B2731)/($K$7*7),0),卓尔金历!$M$43),0),1)</f>
        <v>5.8152974039692613E-3</v>
      </c>
      <c r="N2732">
        <f t="shared" si="373"/>
        <v>183668.87345158297</v>
      </c>
      <c r="O2732">
        <f t="shared" si="374"/>
        <v>494991.83056485147</v>
      </c>
      <c r="P2732">
        <f t="shared" si="375"/>
        <v>-5.9668140811801017E-2</v>
      </c>
      <c r="Q2732">
        <f t="shared" ref="Q2732:Q2795" si="376">STDEVP(P2712:P2732)</f>
        <v>6.4144052941389973E-2</v>
      </c>
      <c r="R2732">
        <f t="shared" ref="R2732:R2795" si="377">MIN(Q2731*MAX(1-LN(MAX(ABS(P2732),0.0001)/Q2732),0)+MAX(-LN(MAX(ABS(P2732),0.0001)/Q2732),0),1)</f>
        <v>0.14156088874109368</v>
      </c>
      <c r="S2732">
        <f t="shared" si="369"/>
        <v>969.19788279296256</v>
      </c>
      <c r="T2732" s="564">
        <f>IF((I2732-MAX(I$470:I2732))/MAX(I$470:I2732)&gt;T2731,T2731,(I2732-MAX(I$470:I2732))/MAX(I$470:I2732))</f>
        <v>-0.91338805338419748</v>
      </c>
      <c r="U2732" s="564">
        <f>IF((J2732-MAX(J$470:J2732))/MAX(J$470:J2732)&gt;U2731,U2731,(J2732-MAX(J$470:J2732))/MAX(J$470:J2732))</f>
        <v>-0.8283551177402233</v>
      </c>
      <c r="V2732" s="564">
        <f>IF((K2732-MAX(K$470:K2732))/MAX(K$470:K2732)&gt;V2731,V2731,(K2732-MAX(K$470:K2732))/MAX(K$470:K2732))</f>
        <v>-0.84885940676762139</v>
      </c>
      <c r="W2732" s="564">
        <f>IF((N2732-MAX(N$470:N2732))/MAX(N$470:N2732)&gt;W2731,W2731,(N2732-MAX(N$470:N2732))/MAX(N$470:N2732))</f>
        <v>-0.62788758315546067</v>
      </c>
      <c r="X2732" s="564">
        <f>IF((O2732-MAX(O$470:O2732))/MAX(O$470:O2732)&gt;X2731,X2731,(O2732-MAX(O$470:O2732))/MAX(O$470:O2732))</f>
        <v>-0.62788758315546067</v>
      </c>
    </row>
    <row r="2733" spans="1:24">
      <c r="A2733" s="799">
        <v>43135</v>
      </c>
      <c r="B2733">
        <v>9177.5</v>
      </c>
      <c r="C2733">
        <v>3949.8531290000001</v>
      </c>
      <c r="D2733">
        <v>1.561847</v>
      </c>
      <c r="E2733">
        <f>LN(D2733/参数实验室!$E$53)/参数实验室!$E$55</f>
        <v>-0.16695278238650668</v>
      </c>
      <c r="F2733">
        <f t="shared" si="368"/>
        <v>0.43038443247071645</v>
      </c>
      <c r="G2733">
        <f>LN(F2733/参数实验室!$E$58)/参数实验室!$E$59</f>
        <v>-0.63302210318099383</v>
      </c>
      <c r="H2733" s="856">
        <f>INDEX(神经网络!$G$10:$BO$70,MATCH(ROUND(G2733*2,1)/2,神经网络!$E$10:$E$70,0),MATCH(ROUND(E2733*2,1)/2,神经网络!$G$8:$BO$8,0))</f>
        <v>-0.87399963156729488</v>
      </c>
      <c r="I2733">
        <f t="shared" si="370"/>
        <v>477514.91349858098</v>
      </c>
      <c r="J2733">
        <f t="shared" si="371"/>
        <v>3662.0645624675772</v>
      </c>
      <c r="K2733">
        <f t="shared" si="372"/>
        <v>130.39500133138594</v>
      </c>
      <c r="L2733" s="4">
        <f>MIN(MAX(L2732*(1+MAX(MIN(((B2733-B2732)/B2732)/($K$7*卓尔金历!$N$40),0),-卓尔金历!$M$43))+MIN(MAX(((B2733-B2732)/B2732)/($K$7*卓尔金历!$N$40),0),卓尔金历!$M$43),0),1)</f>
        <v>1</v>
      </c>
      <c r="M2733" s="4">
        <f>MIN(MAX(M2732*(1+MAX(MIN(((B2733-B2732)/B2732)/($K$7*30),0),-卓尔金历!$M$43))+MIN(MAX(((B2733-B2732)/B2732)/($K$7*7),0),卓尔金历!$M$43),0),1)</f>
        <v>1</v>
      </c>
      <c r="N2733">
        <f t="shared" si="373"/>
        <v>183668.87345158297</v>
      </c>
      <c r="O2733">
        <f t="shared" si="374"/>
        <v>494760.84866456786</v>
      </c>
      <c r="P2733">
        <f t="shared" si="375"/>
        <v>0.11157136403220318</v>
      </c>
      <c r="Q2733">
        <f t="shared" si="376"/>
        <v>7.0012830578416771E-2</v>
      </c>
      <c r="R2733">
        <f t="shared" si="377"/>
        <v>3.42538285031826E-2</v>
      </c>
      <c r="S2733">
        <f t="shared" si="369"/>
        <v>958.18848089910693</v>
      </c>
      <c r="T2733" s="564">
        <f>IF((I2733-MAX(I$470:I2733))/MAX(I$470:I2733)&gt;T2732,T2732,(I2733-MAX(I$470:I2733))/MAX(I$470:I2733))</f>
        <v>-0.91338805338419748</v>
      </c>
      <c r="U2733" s="564">
        <f>IF((J2733-MAX(J$470:J2733))/MAX(J$470:J2733)&gt;U2732,U2732,(J2733-MAX(J$470:J2733))/MAX(J$470:J2733))</f>
        <v>-0.8283551177402233</v>
      </c>
      <c r="V2733" s="564">
        <f>IF((K2733-MAX(K$470:K2733))/MAX(K$470:K2733)&gt;V2732,V2732,(K2733-MAX(K$470:K2733))/MAX(K$470:K2733))</f>
        <v>-0.84885940676762139</v>
      </c>
      <c r="W2733" s="564">
        <f>IF((N2733-MAX(N$470:N2733))/MAX(N$470:N2733)&gt;W2732,W2732,(N2733-MAX(N$470:N2733))/MAX(N$470:N2733))</f>
        <v>-0.62788758315546067</v>
      </c>
      <c r="X2733" s="564">
        <f>IF((O2733-MAX(O$470:O2733))/MAX(O$470:O2733)&gt;X2732,X2732,(O2733-MAX(O$470:O2733))/MAX(O$470:O2733))</f>
        <v>-0.62788758315546067</v>
      </c>
    </row>
    <row r="2734" spans="1:24">
      <c r="A2734" s="799">
        <v>43136</v>
      </c>
      <c r="B2734">
        <v>8144.01</v>
      </c>
      <c r="C2734">
        <v>3910.9354079999998</v>
      </c>
      <c r="D2734">
        <v>1.308319</v>
      </c>
      <c r="E2734">
        <f>LN(D2734/参数实验室!$E$53)/参数实验室!$E$55</f>
        <v>-0.37591774153751634</v>
      </c>
      <c r="F2734">
        <f t="shared" si="368"/>
        <v>0.48022232389203839</v>
      </c>
      <c r="G2734">
        <f>LN(F2734/参数实验室!$E$58)/参数实验室!$E$59</f>
        <v>-0.57551367081948213</v>
      </c>
      <c r="H2734" s="856">
        <f>INDEX(神经网络!$G$10:$BO$70,MATCH(ROUND(G2734*2,1)/2,神经网络!$E$10:$E$70,0),MATCH(ROUND(E2734*2,1)/2,神经网络!$G$8:$BO$8,0))</f>
        <v>-0.9334125559268458</v>
      </c>
      <c r="I2734">
        <f t="shared" si="370"/>
        <v>524512.98903610895</v>
      </c>
      <c r="J2734">
        <f t="shared" si="371"/>
        <v>3249.6747935038488</v>
      </c>
      <c r="K2734">
        <f t="shared" si="372"/>
        <v>161.40476274260388</v>
      </c>
      <c r="L2734" s="4">
        <f>MIN(MAX(L2733*(1+MAX(MIN(((B2734-B2733)/B2733)/($K$7*卓尔金历!$N$40),0),-卓尔金历!$M$43))+MIN(MAX(((B2734-B2733)/B2733)/($K$7*卓尔金历!$N$40),0),卓尔金历!$M$43),0),1)</f>
        <v>0</v>
      </c>
      <c r="M2734" s="4">
        <f>MIN(MAX(M2733*(1+MAX(MIN(((B2734-B2733)/B2733)/($K$7*30),0),-卓尔金历!$M$43))+MIN(MAX(((B2734-B2733)/B2733)/($K$7*7),0),卓尔金历!$M$43),0),1)</f>
        <v>0.13970387176034127</v>
      </c>
      <c r="N2734">
        <f t="shared" si="373"/>
        <v>201745.97082457592</v>
      </c>
      <c r="O2734">
        <f t="shared" si="374"/>
        <v>543456.3073428818</v>
      </c>
      <c r="P2734">
        <f t="shared" si="375"/>
        <v>-0.11261127758104056</v>
      </c>
      <c r="Q2734">
        <f t="shared" si="376"/>
        <v>7.2616551904844687E-2</v>
      </c>
      <c r="R2734">
        <f t="shared" si="377"/>
        <v>3.9294772343349625E-2</v>
      </c>
      <c r="S2734">
        <f t="shared" si="369"/>
        <v>961.41885782690088</v>
      </c>
      <c r="T2734" s="564">
        <f>IF((I2734-MAX(I$470:I2734))/MAX(I$470:I2734)&gt;T2733,T2733,(I2734-MAX(I$470:I2734))/MAX(I$470:I2734))</f>
        <v>-0.91338805338419748</v>
      </c>
      <c r="U2734" s="564">
        <f>IF((J2734-MAX(J$470:J2734))/MAX(J$470:J2734)&gt;U2733,U2733,(J2734-MAX(J$470:J2734))/MAX(J$470:J2734))</f>
        <v>-0.8283551177402233</v>
      </c>
      <c r="V2734" s="564">
        <f>IF((K2734-MAX(K$470:K2734))/MAX(K$470:K2734)&gt;V2733,V2733,(K2734-MAX(K$470:K2734))/MAX(K$470:K2734))</f>
        <v>-0.84885940676762139</v>
      </c>
      <c r="W2734" s="564">
        <f>IF((N2734-MAX(N$470:N2734))/MAX(N$470:N2734)&gt;W2733,W2733,(N2734-MAX(N$470:N2734))/MAX(N$470:N2734))</f>
        <v>-0.62788758315546067</v>
      </c>
      <c r="X2734" s="564">
        <f>IF((O2734-MAX(O$470:O2734))/MAX(O$470:O2734)&gt;X2733,X2733,(O2734-MAX(O$470:O2734))/MAX(O$470:O2734))</f>
        <v>-0.62788758315546067</v>
      </c>
    </row>
    <row r="2735" spans="1:24">
      <c r="A2735" s="799">
        <v>43137</v>
      </c>
      <c r="B2735">
        <v>6252.44</v>
      </c>
      <c r="C2735">
        <v>3893.5658899999999</v>
      </c>
      <c r="D2735">
        <v>1.481012</v>
      </c>
      <c r="E2735">
        <f>LN(D2735/参数实验室!$E$53)/参数实验室!$E$55</f>
        <v>-0.2296489486374641</v>
      </c>
      <c r="F2735">
        <f t="shared" si="368"/>
        <v>0.62272742961147964</v>
      </c>
      <c r="G2735">
        <f>LN(F2735/参数实验室!$E$58)/参数实验室!$E$59</f>
        <v>-0.43912523620058103</v>
      </c>
      <c r="H2735" s="856">
        <f>INDEX(神经网络!$G$10:$BO$70,MATCH(ROUND(G2735*2,1)/2,神经网络!$E$10:$E$70,0),MATCH(ROUND(E2735*2,1)/2,神经网络!$G$8:$BO$8,0))</f>
        <v>-0.71763360586304159</v>
      </c>
      <c r="I2735">
        <f t="shared" si="370"/>
        <v>638227.0070644347</v>
      </c>
      <c r="J2735">
        <f t="shared" si="371"/>
        <v>2494.8884721280065</v>
      </c>
      <c r="K2735">
        <f t="shared" si="372"/>
        <v>255.81384266049423</v>
      </c>
      <c r="L2735" s="4">
        <f>MIN(MAX(L2734*(1+MAX(MIN(((B2735-B2734)/B2734)/($K$7*卓尔金历!$N$40),0),-卓尔金历!$M$43))+MIN(MAX(((B2735-B2734)/B2734)/($K$7*卓尔金历!$N$40),0),卓尔金历!$M$43),0),1)</f>
        <v>0</v>
      </c>
      <c r="M2735" s="4">
        <f>MIN(MAX(M2734*(1+MAX(MIN(((B2735-B2734)/B2734)/($K$7*30),0),-卓尔金历!$M$43))+MIN(MAX(((B2735-B2734)/B2734)/($K$7*7),0),卓尔金历!$M$43),0),1)</f>
        <v>0</v>
      </c>
      <c r="N2735">
        <f t="shared" si="373"/>
        <v>201745.97082457592</v>
      </c>
      <c r="O2735">
        <f t="shared" si="374"/>
        <v>559916.34535156447</v>
      </c>
      <c r="P2735">
        <f t="shared" si="375"/>
        <v>-0.23226518631484988</v>
      </c>
      <c r="Q2735">
        <f t="shared" si="376"/>
        <v>8.5354661142534524E-2</v>
      </c>
      <c r="R2735">
        <f t="shared" si="377"/>
        <v>0</v>
      </c>
      <c r="S2735">
        <f t="shared" si="369"/>
        <v>969.60925894022785</v>
      </c>
      <c r="T2735" s="564">
        <f>IF((I2735-MAX(I$470:I2735))/MAX(I$470:I2735)&gt;T2734,T2734,(I2735-MAX(I$470:I2735))/MAX(I$470:I2735))</f>
        <v>-0.91338805338419748</v>
      </c>
      <c r="U2735" s="564">
        <f>IF((J2735-MAX(J$470:J2735))/MAX(J$470:J2735)&gt;U2734,U2734,(J2735-MAX(J$470:J2735))/MAX(J$470:J2735))</f>
        <v>-0.8283551177402233</v>
      </c>
      <c r="V2735" s="564">
        <f>IF((K2735-MAX(K$470:K2735))/MAX(K$470:K2735)&gt;V2734,V2734,(K2735-MAX(K$470:K2735))/MAX(K$470:K2735))</f>
        <v>-0.84885940676762139</v>
      </c>
      <c r="W2735" s="564">
        <f>IF((N2735-MAX(N$470:N2735))/MAX(N$470:N2735)&gt;W2734,W2734,(N2735-MAX(N$470:N2735))/MAX(N$470:N2735))</f>
        <v>-0.62788758315546067</v>
      </c>
      <c r="X2735" s="564">
        <f>IF((O2735-MAX(O$470:O2735))/MAX(O$470:O2735)&gt;X2734,X2734,(O2735-MAX(O$470:O2735))/MAX(O$470:O2735))</f>
        <v>-0.62788758315546067</v>
      </c>
    </row>
    <row r="2736" spans="1:24">
      <c r="A2736" s="799">
        <v>43138</v>
      </c>
      <c r="B2736">
        <v>7386.63</v>
      </c>
      <c r="C2736">
        <v>3954.4913080000001</v>
      </c>
      <c r="D2736">
        <v>1.4648460000000001</v>
      </c>
      <c r="E2736">
        <f>LN(D2736/参数实验室!$E$53)/参数实验室!$E$55</f>
        <v>-0.24259735442954503</v>
      </c>
      <c r="F2736">
        <f t="shared" si="368"/>
        <v>0.53535797894303627</v>
      </c>
      <c r="G2736">
        <f>LN(F2736/参数实验室!$E$58)/参数实验室!$E$59</f>
        <v>-0.51846913697645525</v>
      </c>
      <c r="H2736" s="856">
        <f>INDEX(神经网络!$G$10:$BO$70,MATCH(ROUND(G2736*2,1)/2,神经网络!$E$10:$E$70,0),MATCH(ROUND(E2736*2,1)/2,神经网络!$G$8:$BO$8,0))</f>
        <v>-0.77260185649253221</v>
      </c>
      <c r="I2736">
        <f t="shared" si="370"/>
        <v>555143.61356880201</v>
      </c>
      <c r="J2736">
        <f t="shared" si="371"/>
        <v>2947.4601971190286</v>
      </c>
      <c r="K2736">
        <f t="shared" si="372"/>
        <v>188.34643267156676</v>
      </c>
      <c r="L2736" s="4">
        <f>MIN(MAX(L2735*(1+MAX(MIN(((B2736-B2735)/B2735)/($K$7*卓尔金历!$N$40),0),-卓尔金历!$M$43))+MIN(MAX(((B2736-B2735)/B2735)/($K$7*卓尔金历!$N$40),0),卓尔金历!$M$43),0),1)</f>
        <v>1</v>
      </c>
      <c r="M2736" s="4">
        <f>MIN(MAX(M2735*(1+MAX(MIN(((B2736-B2735)/B2735)/($K$7*30),0),-卓尔金历!$M$43))+MIN(MAX(((B2736-B2735)/B2735)/($K$7*7),0),卓尔金历!$M$43),0),1)</f>
        <v>1</v>
      </c>
      <c r="N2736">
        <f t="shared" si="373"/>
        <v>201745.97082457592</v>
      </c>
      <c r="O2736">
        <f t="shared" si="374"/>
        <v>559916.34535156447</v>
      </c>
      <c r="P2736">
        <f t="shared" si="375"/>
        <v>0.18139958160334216</v>
      </c>
      <c r="Q2736">
        <f t="shared" si="376"/>
        <v>8.9755827196409066E-2</v>
      </c>
      <c r="R2736">
        <f t="shared" si="377"/>
        <v>2.5298329560875292E-2</v>
      </c>
      <c r="S2736">
        <f t="shared" si="369"/>
        <v>969.60925894022785</v>
      </c>
      <c r="T2736" s="564">
        <f>IF((I2736-MAX(I$470:I2736))/MAX(I$470:I2736)&gt;T2735,T2735,(I2736-MAX(I$470:I2736))/MAX(I$470:I2736))</f>
        <v>-0.91338805338419748</v>
      </c>
      <c r="U2736" s="564">
        <f>IF((J2736-MAX(J$470:J2736))/MAX(J$470:J2736)&gt;U2735,U2735,(J2736-MAX(J$470:J2736))/MAX(J$470:J2736))</f>
        <v>-0.8283551177402233</v>
      </c>
      <c r="V2736" s="564">
        <f>IF((K2736-MAX(K$470:K2736))/MAX(K$470:K2736)&gt;V2735,V2735,(K2736-MAX(K$470:K2736))/MAX(K$470:K2736))</f>
        <v>-0.84885940676762139</v>
      </c>
      <c r="W2736" s="564">
        <f>IF((N2736-MAX(N$470:N2736))/MAX(N$470:N2736)&gt;W2735,W2735,(N2736-MAX(N$470:N2736))/MAX(N$470:N2736))</f>
        <v>-0.62788758315546067</v>
      </c>
      <c r="X2736" s="564">
        <f>IF((O2736-MAX(O$470:O2736))/MAX(O$470:O2736)&gt;X2735,X2735,(O2736-MAX(O$470:O2736))/MAX(O$470:O2736))</f>
        <v>-0.62788758315546067</v>
      </c>
    </row>
    <row r="2737" spans="1:24">
      <c r="A2737" s="799">
        <v>43139</v>
      </c>
      <c r="B2737">
        <v>8179.93</v>
      </c>
      <c r="C2737">
        <v>4036.3270550000002</v>
      </c>
      <c r="D2737">
        <v>1.5808500000000001</v>
      </c>
      <c r="E2737">
        <f>LN(D2737/参数实验室!$E$53)/参数实验室!$E$55</f>
        <v>-0.15268534003803813</v>
      </c>
      <c r="F2737">
        <f t="shared" si="368"/>
        <v>0.49344273789629006</v>
      </c>
      <c r="G2737">
        <f>LN(F2737/参数实验室!$E$58)/参数实验室!$E$59</f>
        <v>-0.56125986943202788</v>
      </c>
      <c r="H2737" s="856">
        <f>INDEX(神经网络!$G$10:$BO$70,MATCH(ROUND(G2737*2,1)/2,神经网络!$E$10:$E$70,0),MATCH(ROUND(E2737*2,1)/2,神经网络!$G$8:$BO$8,0))</f>
        <v>-0.77358826692730598</v>
      </c>
      <c r="I2737">
        <f t="shared" si="370"/>
        <v>509080.61518370896</v>
      </c>
      <c r="J2737">
        <f t="shared" si="371"/>
        <v>3264.0078209169615</v>
      </c>
      <c r="K2737">
        <f t="shared" si="372"/>
        <v>155.96795201326827</v>
      </c>
      <c r="L2737" s="4">
        <f>MIN(MAX(L2736*(1+MAX(MIN(((B2737-B2736)/B2736)/($K$7*卓尔金历!$N$40),0),-卓尔金历!$M$43))+MIN(MAX(((B2737-B2736)/B2736)/($K$7*卓尔金历!$N$40),0),卓尔金历!$M$43),0),1)</f>
        <v>1</v>
      </c>
      <c r="M2737" s="4">
        <f>MIN(MAX(M2736*(1+MAX(MIN(((B2737-B2736)/B2736)/($K$7*30),0),-卓尔金历!$M$43))+MIN(MAX(((B2737-B2736)/B2736)/($K$7*7),0),卓尔金历!$M$43),0),1)</f>
        <v>1</v>
      </c>
      <c r="N2737">
        <f t="shared" si="373"/>
        <v>185006.11450424424</v>
      </c>
      <c r="O2737">
        <f t="shared" si="374"/>
        <v>513457.32991605706</v>
      </c>
      <c r="P2737">
        <f t="shared" si="375"/>
        <v>0.10739674249285536</v>
      </c>
      <c r="Q2737">
        <f t="shared" si="376"/>
        <v>9.1610154269187241E-2</v>
      </c>
      <c r="R2737">
        <f t="shared" si="377"/>
        <v>7.5485751885981445E-2</v>
      </c>
      <c r="S2737">
        <f t="shared" si="369"/>
        <v>967.57392602543962</v>
      </c>
      <c r="T2737" s="564">
        <f>IF((I2737-MAX(I$470:I2737))/MAX(I$470:I2737)&gt;T2736,T2736,(I2737-MAX(I$470:I2737))/MAX(I$470:I2737))</f>
        <v>-0.91338805338419748</v>
      </c>
      <c r="U2737" s="564">
        <f>IF((J2737-MAX(J$470:J2737))/MAX(J$470:J2737)&gt;U2736,U2736,(J2737-MAX(J$470:J2737))/MAX(J$470:J2737))</f>
        <v>-0.8283551177402233</v>
      </c>
      <c r="V2737" s="564">
        <f>IF((K2737-MAX(K$470:K2737))/MAX(K$470:K2737)&gt;V2736,V2736,(K2737-MAX(K$470:K2737))/MAX(K$470:K2737))</f>
        <v>-0.84885940676762139</v>
      </c>
      <c r="W2737" s="564">
        <f>IF((N2737-MAX(N$470:N2737))/MAX(N$470:N2737)&gt;W2736,W2736,(N2737-MAX(N$470:N2737))/MAX(N$470:N2737))</f>
        <v>-0.62788758315546067</v>
      </c>
      <c r="X2737" s="564">
        <f>IF((O2737-MAX(O$470:O2737))/MAX(O$470:O2737)&gt;X2736,X2736,(O2737-MAX(O$470:O2737))/MAX(O$470:O2737))</f>
        <v>-0.62788758315546067</v>
      </c>
    </row>
    <row r="2738" spans="1:24">
      <c r="A2738" s="799">
        <v>43140</v>
      </c>
      <c r="B2738">
        <v>8003.77</v>
      </c>
      <c r="C2738">
        <v>4115.3729970000004</v>
      </c>
      <c r="D2738">
        <v>1.6660919999999999</v>
      </c>
      <c r="E2738">
        <f>LN(D2738/参数实验室!$E$53)/参数实验室!$E$55</f>
        <v>-9.0726956246028764E-2</v>
      </c>
      <c r="F2738">
        <f t="shared" si="368"/>
        <v>0.51417931762157087</v>
      </c>
      <c r="G2738">
        <f>LN(F2738/参数实验室!$E$58)/参数实验室!$E$59</f>
        <v>-0.53965412044668748</v>
      </c>
      <c r="H2738" s="856">
        <f>INDEX(神经网络!$G$10:$BO$70,MATCH(ROUND(G2738*2,1)/2,神经网络!$E$10:$E$70,0),MATCH(ROUND(E2738*2,1)/2,神经网络!$G$8:$BO$8,0))</f>
        <v>-0.74748334855909448</v>
      </c>
      <c r="I2738">
        <f t="shared" si="370"/>
        <v>517561.75355432491</v>
      </c>
      <c r="J2738">
        <f t="shared" si="371"/>
        <v>3193.715334583615</v>
      </c>
      <c r="K2738">
        <f t="shared" si="372"/>
        <v>162.05631978211443</v>
      </c>
      <c r="L2738" s="4">
        <f>MIN(MAX(L2737*(1+MAX(MIN(((B2738-B2737)/B2737)/($K$7*卓尔金历!$N$40),0),-卓尔金历!$M$43))+MIN(MAX(((B2738-B2737)/B2737)/($K$7*卓尔金历!$N$40),0),卓尔金历!$M$43),0),1)</f>
        <v>0.67095613875740612</v>
      </c>
      <c r="M2738" s="4">
        <f>MIN(MAX(M2737*(1+MAX(MIN(((B2738-B2737)/B2737)/($K$7*30),0),-卓尔金历!$M$43))+MIN(MAX(((B2738-B2737)/B2737)/($K$7*7),0),卓尔金历!$M$43),0),1)</f>
        <v>0.83547806937870306</v>
      </c>
      <c r="N2738">
        <f t="shared" si="373"/>
        <v>188088.2637940071</v>
      </c>
      <c r="O2738">
        <f t="shared" si="374"/>
        <v>522011.38311027194</v>
      </c>
      <c r="P2738">
        <f t="shared" si="375"/>
        <v>-2.1535636613027234E-2</v>
      </c>
      <c r="Q2738">
        <f t="shared" si="376"/>
        <v>9.1583214019073975E-2</v>
      </c>
      <c r="R2738">
        <f t="shared" si="377"/>
        <v>1</v>
      </c>
      <c r="S2738">
        <f t="shared" si="369"/>
        <v>968.79071910325285</v>
      </c>
      <c r="T2738" s="564">
        <f>IF((I2738-MAX(I$470:I2738))/MAX(I$470:I2738)&gt;T2737,T2737,(I2738-MAX(I$470:I2738))/MAX(I$470:I2738))</f>
        <v>-0.91338805338419748</v>
      </c>
      <c r="U2738" s="564">
        <f>IF((J2738-MAX(J$470:J2738))/MAX(J$470:J2738)&gt;U2737,U2737,(J2738-MAX(J$470:J2738))/MAX(J$470:J2738))</f>
        <v>-0.8283551177402233</v>
      </c>
      <c r="V2738" s="564">
        <f>IF((K2738-MAX(K$470:K2738))/MAX(K$470:K2738)&gt;V2737,V2737,(K2738-MAX(K$470:K2738))/MAX(K$470:K2738))</f>
        <v>-0.84885940676762139</v>
      </c>
      <c r="W2738" s="564">
        <f>IF((N2738-MAX(N$470:N2738))/MAX(N$470:N2738)&gt;W2737,W2737,(N2738-MAX(N$470:N2738))/MAX(N$470:N2738))</f>
        <v>-0.62788758315546067</v>
      </c>
      <c r="X2738" s="564">
        <f>IF((O2738-MAX(O$470:O2738))/MAX(O$470:O2738)&gt;X2737,X2737,(O2738-MAX(O$470:O2738))/MAX(O$470:O2738))</f>
        <v>-0.62788758315546067</v>
      </c>
    </row>
    <row r="2739" spans="1:24">
      <c r="A2739" s="799">
        <v>43141</v>
      </c>
      <c r="B2739">
        <v>8907.83</v>
      </c>
      <c r="C2739">
        <v>4246.4856220000001</v>
      </c>
      <c r="D2739">
        <v>1.6413949999999999</v>
      </c>
      <c r="E2739">
        <f>LN(D2739/参数实验室!$E$53)/参数实验室!$E$55</f>
        <v>-0.10834571477429895</v>
      </c>
      <c r="F2739">
        <f t="shared" si="368"/>
        <v>0.4767138149246225</v>
      </c>
      <c r="G2739">
        <f>LN(F2739/参数实验室!$E$58)/参数实验室!$E$59</f>
        <v>-0.57936233593587916</v>
      </c>
      <c r="H2739" s="856">
        <f>INDEX(神经网络!$G$10:$BO$70,MATCH(ROUND(G2739*2,1)/2,神经网络!$E$10:$E$70,0),MATCH(ROUND(E2739*2,1)/2,神经网络!$G$8:$BO$8,0))</f>
        <v>-0.80225187632605699</v>
      </c>
      <c r="I2739">
        <f t="shared" si="370"/>
        <v>473863.27138058643</v>
      </c>
      <c r="J2739">
        <f t="shared" si="371"/>
        <v>3554.4591197478144</v>
      </c>
      <c r="K2739">
        <f t="shared" si="372"/>
        <v>133.31515581313158</v>
      </c>
      <c r="L2739" s="4">
        <f>MIN(MAX(L2738*(1+MAX(MIN(((B2739-B2738)/B2738)/($K$7*卓尔金历!$N$40),0),-卓尔金历!$M$43))+MIN(MAX(((B2739-B2738)/B2738)/($K$7*卓尔金历!$N$40),0),卓尔金历!$M$43),0),1)</f>
        <v>1</v>
      </c>
      <c r="M2739" s="4">
        <f>MIN(MAX(M2738*(1+MAX(MIN(((B2739-B2738)/B2738)/($K$7*30),0),-卓尔金历!$M$43))+MIN(MAX(((B2739-B2738)/B2738)/($K$7*7),0),卓尔金历!$M$43),0),1)</f>
        <v>1</v>
      </c>
      <c r="N2739">
        <f t="shared" si="373"/>
        <v>177433.10306940027</v>
      </c>
      <c r="O2739">
        <f t="shared" si="374"/>
        <v>485188.3799911004</v>
      </c>
      <c r="P2739">
        <f t="shared" si="375"/>
        <v>0.11295427030012099</v>
      </c>
      <c r="Q2739">
        <f t="shared" si="376"/>
        <v>9.4379463199534899E-2</v>
      </c>
      <c r="R2739">
        <f t="shared" si="377"/>
        <v>7.5129414949272749E-2</v>
      </c>
      <c r="S2739">
        <f t="shared" si="369"/>
        <v>886.99432731408797</v>
      </c>
      <c r="T2739" s="564">
        <f>IF((I2739-MAX(I$470:I2739))/MAX(I$470:I2739)&gt;T2738,T2738,(I2739-MAX(I$470:I2739))/MAX(I$470:I2739))</f>
        <v>-0.91338805338419748</v>
      </c>
      <c r="U2739" s="564">
        <f>IF((J2739-MAX(J$470:J2739))/MAX(J$470:J2739)&gt;U2738,U2738,(J2739-MAX(J$470:J2739))/MAX(J$470:J2739))</f>
        <v>-0.8283551177402233</v>
      </c>
      <c r="V2739" s="564">
        <f>IF((K2739-MAX(K$470:K2739))/MAX(K$470:K2739)&gt;V2738,V2738,(K2739-MAX(K$470:K2739))/MAX(K$470:K2739))</f>
        <v>-0.84885940676762139</v>
      </c>
      <c r="W2739" s="564">
        <f>IF((N2739-MAX(N$470:N2739))/MAX(N$470:N2739)&gt;W2738,W2738,(N2739-MAX(N$470:N2739))/MAX(N$470:N2739))</f>
        <v>-0.62788758315546067</v>
      </c>
      <c r="X2739" s="564">
        <f>IF((O2739-MAX(O$470:O2739))/MAX(O$470:O2739)&gt;X2738,X2738,(O2739-MAX(O$470:O2739))/MAX(O$470:O2739))</f>
        <v>-0.62788758315546067</v>
      </c>
    </row>
    <row r="2740" spans="1:24">
      <c r="A2740" s="799">
        <v>43142</v>
      </c>
      <c r="B2740">
        <v>8151.89</v>
      </c>
      <c r="C2740">
        <v>4320.3488829999997</v>
      </c>
      <c r="D2740">
        <v>1.559715</v>
      </c>
      <c r="E2740">
        <f>LN(D2740/参数实验室!$E$53)/参数实验室!$E$55</f>
        <v>-0.1685643052761682</v>
      </c>
      <c r="F2740">
        <f t="shared" si="368"/>
        <v>0.52998125379513206</v>
      </c>
      <c r="G2740">
        <f>LN(F2740/参数实验室!$E$58)/参数实验室!$E$59</f>
        <v>-0.5237670173257567</v>
      </c>
      <c r="H2740" s="856">
        <f>INDEX(神经网络!$G$10:$BO$70,MATCH(ROUND(G2740*2,1)/2,神经网络!$E$10:$E$70,0),MATCH(ROUND(E2740*2,1)/2,神经网络!$G$8:$BO$8,0))</f>
        <v>-0.71877904311679242</v>
      </c>
      <c r="I2740">
        <f t="shared" si="370"/>
        <v>506124.37320560071</v>
      </c>
      <c r="J2740">
        <f t="shared" si="371"/>
        <v>3252.81912134392</v>
      </c>
      <c r="K2740">
        <f t="shared" si="372"/>
        <v>155.59560932379563</v>
      </c>
      <c r="L2740" s="4">
        <f>MIN(MAX(L2739*(1+MAX(MIN(((B2740-B2739)/B2739)/($K$7*卓尔金历!$N$40),0),-卓尔金历!$M$43))+MIN(MAX(((B2740-B2739)/B2739)/($K$7*卓尔金历!$N$40),0),卓尔金历!$M$43),0),1)</f>
        <v>0</v>
      </c>
      <c r="M2740" s="4">
        <f>MIN(MAX(M2739*(1+MAX(MIN(((B2740-B2739)/B2739)/($K$7*30),0),-卓尔金历!$M$43))+MIN(MAX(((B2740-B2739)/B2739)/($K$7*7),0),卓尔金历!$M$43),0),1)</f>
        <v>0.35169183860439412</v>
      </c>
      <c r="N2740">
        <f t="shared" si="373"/>
        <v>189512.93231755644</v>
      </c>
      <c r="O2740">
        <f t="shared" si="374"/>
        <v>518220.50692848233</v>
      </c>
      <c r="P2740">
        <f t="shared" si="375"/>
        <v>-8.4862418793353669E-2</v>
      </c>
      <c r="Q2740">
        <f t="shared" si="376"/>
        <v>9.4403853513128438E-2</v>
      </c>
      <c r="R2740">
        <f t="shared" si="377"/>
        <v>0.21098619770547247</v>
      </c>
      <c r="S2740">
        <f t="shared" si="369"/>
        <v>891.53120422692564</v>
      </c>
      <c r="T2740" s="564">
        <f>IF((I2740-MAX(I$470:I2740))/MAX(I$470:I2740)&gt;T2739,T2739,(I2740-MAX(I$470:I2740))/MAX(I$470:I2740))</f>
        <v>-0.91338805338419748</v>
      </c>
      <c r="U2740" s="564">
        <f>IF((J2740-MAX(J$470:J2740))/MAX(J$470:J2740)&gt;U2739,U2739,(J2740-MAX(J$470:J2740))/MAX(J$470:J2740))</f>
        <v>-0.8283551177402233</v>
      </c>
      <c r="V2740" s="564">
        <f>IF((K2740-MAX(K$470:K2740))/MAX(K$470:K2740)&gt;V2739,V2739,(K2740-MAX(K$470:K2740))/MAX(K$470:K2740))</f>
        <v>-0.84885940676762139</v>
      </c>
      <c r="W2740" s="564">
        <f>IF((N2740-MAX(N$470:N2740))/MAX(N$470:N2740)&gt;W2739,W2739,(N2740-MAX(N$470:N2740))/MAX(N$470:N2740))</f>
        <v>-0.62788758315546067</v>
      </c>
      <c r="X2740" s="564">
        <f>IF((O2740-MAX(O$470:O2740))/MAX(O$470:O2740)&gt;X2739,X2739,(O2740-MAX(O$470:O2740))/MAX(O$470:O2740))</f>
        <v>-0.62788758315546067</v>
      </c>
    </row>
    <row r="2741" spans="1:24">
      <c r="A2741" s="799">
        <v>43143</v>
      </c>
      <c r="B2741">
        <v>8514.7199999999993</v>
      </c>
      <c r="C2741">
        <v>4276.2856469999997</v>
      </c>
      <c r="D2741">
        <v>1.713646</v>
      </c>
      <c r="E2741">
        <f>LN(D2741/参数实验室!$E$53)/参数实验室!$E$55</f>
        <v>-5.7525750443980186E-2</v>
      </c>
      <c r="F2741">
        <f t="shared" si="368"/>
        <v>0.50222269751677096</v>
      </c>
      <c r="G2741">
        <f>LN(F2741/参数实验室!$E$58)/参数实验室!$E$59</f>
        <v>-0.55200311190771512</v>
      </c>
      <c r="H2741" s="856">
        <f>INDEX(神经网络!$G$10:$BO$70,MATCH(ROUND(G2741*2,1)/2,神经网络!$E$10:$E$70,0),MATCH(ROUND(E2741*2,1)/2,神经网络!$G$8:$BO$8,0))</f>
        <v>-0.71920921928105808</v>
      </c>
      <c r="I2741">
        <f t="shared" si="370"/>
        <v>489932.48352495622</v>
      </c>
      <c r="J2741">
        <f t="shared" si="371"/>
        <v>3397.597861218625</v>
      </c>
      <c r="K2741">
        <f t="shared" si="372"/>
        <v>144.19966798225818</v>
      </c>
      <c r="L2741" s="4">
        <f>MIN(MAX(L2740*(1+MAX(MIN(((B2741-B2740)/B2740)/($K$7*卓尔金历!$N$40),0),-卓尔金历!$M$43))+MIN(MAX(((B2741-B2740)/B2740)/($K$7*卓尔金历!$N$40),0),卓尔金历!$M$43),0),1)</f>
        <v>0.680050174633826</v>
      </c>
      <c r="M2741" s="4">
        <f>MIN(MAX(M2740*(1+MAX(MIN(((B2741-B2740)/B2740)/($K$7*30),0),-卓尔金历!$M$43))+MIN(MAX(((B2741-B2740)/B2740)/($K$7*7),0),卓尔金历!$M$43),0),1)</f>
        <v>1</v>
      </c>
      <c r="N2741">
        <f t="shared" si="373"/>
        <v>189512.93231755644</v>
      </c>
      <c r="O2741">
        <f t="shared" si="374"/>
        <v>512389.8542876807</v>
      </c>
      <c r="P2741">
        <f t="shared" si="375"/>
        <v>4.4508696756212239E-2</v>
      </c>
      <c r="Q2741">
        <f t="shared" si="376"/>
        <v>9.4311528089186344E-2</v>
      </c>
      <c r="R2741">
        <f t="shared" si="377"/>
        <v>0.91621231305095596</v>
      </c>
      <c r="S2741">
        <f t="shared" si="369"/>
        <v>885.51349944469064</v>
      </c>
      <c r="T2741" s="564">
        <f>IF((I2741-MAX(I$470:I2741))/MAX(I$470:I2741)&gt;T2740,T2740,(I2741-MAX(I$470:I2741))/MAX(I$470:I2741))</f>
        <v>-0.91338805338419748</v>
      </c>
      <c r="U2741" s="564">
        <f>IF((J2741-MAX(J$470:J2741))/MAX(J$470:J2741)&gt;U2740,U2740,(J2741-MAX(J$470:J2741))/MAX(J$470:J2741))</f>
        <v>-0.8283551177402233</v>
      </c>
      <c r="V2741" s="564">
        <f>IF((K2741-MAX(K$470:K2741))/MAX(K$470:K2741)&gt;V2740,V2740,(K2741-MAX(K$470:K2741))/MAX(K$470:K2741))</f>
        <v>-0.84885940676762139</v>
      </c>
      <c r="W2741" s="564">
        <f>IF((N2741-MAX(N$470:N2741))/MAX(N$470:N2741)&gt;W2740,W2740,(N2741-MAX(N$470:N2741))/MAX(N$470:N2741))</f>
        <v>-0.62788758315546067</v>
      </c>
      <c r="X2741" s="564">
        <f>IF((O2741-MAX(O$470:O2741))/MAX(O$470:O2741)&gt;X2740,X2740,(O2741-MAX(O$470:O2741))/MAX(O$470:O2741))</f>
        <v>-0.62788758315546067</v>
      </c>
    </row>
    <row r="2742" spans="1:24">
      <c r="A2742" s="799">
        <v>43144</v>
      </c>
      <c r="B2742">
        <v>8690.49</v>
      </c>
      <c r="C2742">
        <v>4253.9704700000002</v>
      </c>
      <c r="D2742">
        <v>1.6424190000000001</v>
      </c>
      <c r="E2742">
        <f>LN(D2742/参数实验室!$E$53)/参数实验室!$E$55</f>
        <v>-0.10760994389264424</v>
      </c>
      <c r="F2742">
        <f t="shared" si="368"/>
        <v>0.48949719405925329</v>
      </c>
      <c r="G2742">
        <f>LN(F2742/参数实验室!$E$58)/参数实验室!$E$59</f>
        <v>-0.56547344482933481</v>
      </c>
      <c r="H2742" s="856">
        <f>INDEX(神经网络!$G$10:$BO$70,MATCH(ROUND(G2742*2,1)/2,神经网络!$E$10:$E$70,0),MATCH(ROUND(E2742*2,1)/2,神经网络!$G$8:$BO$8,0))</f>
        <v>-0.74748334855909448</v>
      </c>
      <c r="I2742">
        <f t="shared" si="370"/>
        <v>482658.60803999787</v>
      </c>
      <c r="J2742">
        <f t="shared" si="371"/>
        <v>3467.7347272654711</v>
      </c>
      <c r="K2742">
        <f t="shared" si="372"/>
        <v>139.18556233411914</v>
      </c>
      <c r="L2742" s="4">
        <f>MIN(MAX(L2741*(1+MAX(MIN(((B2742-B2741)/B2741)/($K$7*卓尔金历!$N$40),0),-卓尔金历!$M$43))+MIN(MAX(((B2742-B2741)/B2741)/($K$7*卓尔金历!$N$40),0),卓尔金历!$M$43),0),1)</f>
        <v>0.99545654456133303</v>
      </c>
      <c r="M2742" s="4">
        <f>MIN(MAX(M2741*(1+MAX(MIN(((B2742-B2741)/B2741)/($K$7*30),0),-卓尔金历!$M$43))+MIN(MAX(((B2742-B2741)/B2741)/($K$7*7),0),卓尔金历!$M$43),0),1)</f>
        <v>1</v>
      </c>
      <c r="N2742">
        <f t="shared" si="373"/>
        <v>187599.5161669509</v>
      </c>
      <c r="O2742">
        <f t="shared" si="374"/>
        <v>504782.56119082548</v>
      </c>
      <c r="P2742">
        <f t="shared" si="375"/>
        <v>2.06430745814308E-2</v>
      </c>
      <c r="Q2742">
        <f t="shared" si="376"/>
        <v>9.3941906157895605E-2</v>
      </c>
      <c r="R2742">
        <f t="shared" si="377"/>
        <v>1</v>
      </c>
      <c r="S2742">
        <f t="shared" si="369"/>
        <v>873.46810745321318</v>
      </c>
      <c r="T2742" s="564">
        <f>IF((I2742-MAX(I$470:I2742))/MAX(I$470:I2742)&gt;T2741,T2741,(I2742-MAX(I$470:I2742))/MAX(I$470:I2742))</f>
        <v>-0.91338805338419748</v>
      </c>
      <c r="U2742" s="564">
        <f>IF((J2742-MAX(J$470:J2742))/MAX(J$470:J2742)&gt;U2741,U2741,(J2742-MAX(J$470:J2742))/MAX(J$470:J2742))</f>
        <v>-0.8283551177402233</v>
      </c>
      <c r="V2742" s="564">
        <f>IF((K2742-MAX(K$470:K2742))/MAX(K$470:K2742)&gt;V2741,V2741,(K2742-MAX(K$470:K2742))/MAX(K$470:K2742))</f>
        <v>-0.84885940676762139</v>
      </c>
      <c r="W2742" s="564">
        <f>IF((N2742-MAX(N$470:N2742))/MAX(N$470:N2742)&gt;W2741,W2741,(N2742-MAX(N$470:N2742))/MAX(N$470:N2742))</f>
        <v>-0.62788758315546067</v>
      </c>
      <c r="X2742" s="564">
        <f>IF((O2742-MAX(O$470:O2742))/MAX(O$470:O2742)&gt;X2741,X2741,(O2742-MAX(O$470:O2742))/MAX(O$470:O2742))</f>
        <v>-0.62788758315546067</v>
      </c>
    </row>
    <row r="2743" spans="1:24">
      <c r="A2743" s="799">
        <v>43145</v>
      </c>
      <c r="B2743">
        <v>8856.73</v>
      </c>
      <c r="C2743">
        <v>4179.698625</v>
      </c>
      <c r="D2743">
        <v>1.81958</v>
      </c>
      <c r="E2743">
        <f>LN(D2743/参数实验室!$E$53)/参数实验室!$E$55</f>
        <v>1.3238728676624636E-2</v>
      </c>
      <c r="F2743">
        <f t="shared" si="368"/>
        <v>0.47192345538364611</v>
      </c>
      <c r="G2743">
        <f>LN(F2743/参数实验室!$E$58)/参数实验室!$E$59</f>
        <v>-0.58466312059349523</v>
      </c>
      <c r="H2743" s="856">
        <f>INDEX(神经网络!$G$10:$BO$70,MATCH(ROUND(G2743*2,1)/2,神经网络!$E$10:$E$70,0),MATCH(ROUND(E2743*2,1)/2,神经网络!$G$8:$BO$8,0))</f>
        <v>-0.74765207656611588</v>
      </c>
      <c r="I2743">
        <f t="shared" si="370"/>
        <v>475757.27724409563</v>
      </c>
      <c r="J2743">
        <f t="shared" si="371"/>
        <v>3534.0688719524346</v>
      </c>
      <c r="K2743">
        <f t="shared" si="372"/>
        <v>134.62026193656445</v>
      </c>
      <c r="L2743" s="4">
        <f>MIN(MAX(L2742*(1+MAX(MIN(((B2743-B2742)/B2742)/($K$7*卓尔金历!$N$40),0),-卓尔金历!$M$43))+MIN(MAX(((B2743-B2742)/B2742)/($K$7*卓尔金历!$N$40),0),卓尔金历!$M$43),0),1)</f>
        <v>1</v>
      </c>
      <c r="M2743" s="4">
        <f>MIN(MAX(M2742*(1+MAX(MIN(((B2743-B2742)/B2742)/($K$7*30),0),-卓尔金历!$M$43))+MIN(MAX(((B2743-B2742)/B2742)/($K$7*7),0),卓尔金历!$M$43),0),1)</f>
        <v>1</v>
      </c>
      <c r="N2743">
        <f t="shared" si="373"/>
        <v>184929.29761670253</v>
      </c>
      <c r="O2743">
        <f t="shared" si="374"/>
        <v>497564.88936906453</v>
      </c>
      <c r="P2743">
        <f t="shared" si="375"/>
        <v>1.9128955904672784E-2</v>
      </c>
      <c r="Q2743">
        <f t="shared" si="376"/>
        <v>9.4086554151156548E-2</v>
      </c>
      <c r="R2743">
        <f t="shared" si="377"/>
        <v>1</v>
      </c>
      <c r="S2743">
        <f t="shared" si="369"/>
        <v>860.97875732293278</v>
      </c>
      <c r="T2743" s="564">
        <f>IF((I2743-MAX(I$470:I2743))/MAX(I$470:I2743)&gt;T2742,T2742,(I2743-MAX(I$470:I2743))/MAX(I$470:I2743))</f>
        <v>-0.91338805338419748</v>
      </c>
      <c r="U2743" s="564">
        <f>IF((J2743-MAX(J$470:J2743))/MAX(J$470:J2743)&gt;U2742,U2742,(J2743-MAX(J$470:J2743))/MAX(J$470:J2743))</f>
        <v>-0.8283551177402233</v>
      </c>
      <c r="V2743" s="564">
        <f>IF((K2743-MAX(K$470:K2743))/MAX(K$470:K2743)&gt;V2742,V2742,(K2743-MAX(K$470:K2743))/MAX(K$470:K2743))</f>
        <v>-0.84885940676762139</v>
      </c>
      <c r="W2743" s="564">
        <f>IF((N2743-MAX(N$470:N2743))/MAX(N$470:N2743)&gt;W2742,W2742,(N2743-MAX(N$470:N2743))/MAX(N$470:N2743))</f>
        <v>-0.62788758315546067</v>
      </c>
      <c r="X2743" s="564">
        <f>IF((O2743-MAX(O$470:O2743))/MAX(O$470:O2743)&gt;X2742,X2742,(O2743-MAX(O$470:O2743))/MAX(O$470:O2743))</f>
        <v>-0.62788758315546067</v>
      </c>
    </row>
    <row r="2744" spans="1:24">
      <c r="A2744" s="799">
        <v>43146</v>
      </c>
      <c r="B2744">
        <v>9761.57</v>
      </c>
      <c r="C2744">
        <v>4254.4340629999997</v>
      </c>
      <c r="D2744">
        <v>1.934822</v>
      </c>
      <c r="E2744">
        <f>LN(D2744/参数实验室!$E$53)/参数实验室!$E$55</f>
        <v>8.5686935765397682E-2</v>
      </c>
      <c r="F2744">
        <f t="shared" si="368"/>
        <v>0.43583502069851465</v>
      </c>
      <c r="G2744">
        <f>LN(F2744/参数实验室!$E$58)/参数实验室!$E$59</f>
        <v>-0.62641684624420402</v>
      </c>
      <c r="H2744" s="856">
        <f>INDEX(神经网络!$G$10:$BO$70,MATCH(ROUND(G2744*2,1)/2,神经网络!$E$10:$E$70,0),MATCH(ROUND(E2744*2,1)/2,神经网络!$G$8:$BO$8,0))</f>
        <v>-0.74741540822442254</v>
      </c>
      <c r="I2744">
        <f t="shared" si="370"/>
        <v>439417.40721526428</v>
      </c>
      <c r="J2744">
        <f t="shared" si="371"/>
        <v>3895.1238976896361</v>
      </c>
      <c r="K2744">
        <f t="shared" si="372"/>
        <v>112.81217716229808</v>
      </c>
      <c r="L2744" s="4">
        <f>MIN(MAX(L2743*(1+MAX(MIN(((B2744-B2743)/B2743)/($K$7*卓尔金历!$N$40),0),-卓尔金历!$M$43))+MIN(MAX(((B2744-B2743)/B2743)/($K$7*卓尔金历!$N$40),0),卓尔金历!$M$43),0),1)</f>
        <v>1</v>
      </c>
      <c r="M2744" s="4">
        <f>MIN(MAX(M2743*(1+MAX(MIN(((B2744-B2743)/B2743)/($K$7*30),0),-卓尔金历!$M$43))+MIN(MAX(((B2744-B2743)/B2743)/($K$7*7),0),卓尔金历!$M$43),0),1)</f>
        <v>1</v>
      </c>
      <c r="N2744">
        <f t="shared" si="373"/>
        <v>170803.80345959251</v>
      </c>
      <c r="O2744">
        <f t="shared" si="374"/>
        <v>459559.28383146459</v>
      </c>
      <c r="P2744">
        <f t="shared" si="375"/>
        <v>0.10216411700480879</v>
      </c>
      <c r="Q2744">
        <f t="shared" si="376"/>
        <v>9.5348087069040202E-2</v>
      </c>
      <c r="R2744">
        <f t="shared" si="377"/>
        <v>8.7590231272836522E-2</v>
      </c>
      <c r="S2744">
        <f t="shared" si="369"/>
        <v>795.21443245555429</v>
      </c>
      <c r="T2744" s="564">
        <f>IF((I2744-MAX(I$470:I2744))/MAX(I$470:I2744)&gt;T2743,T2743,(I2744-MAX(I$470:I2744))/MAX(I$470:I2744))</f>
        <v>-0.91338805338419748</v>
      </c>
      <c r="U2744" s="564">
        <f>IF((J2744-MAX(J$470:J2744))/MAX(J$470:J2744)&gt;U2743,U2743,(J2744-MAX(J$470:J2744))/MAX(J$470:J2744))</f>
        <v>-0.8283551177402233</v>
      </c>
      <c r="V2744" s="564">
        <f>IF((K2744-MAX(K$470:K2744))/MAX(K$470:K2744)&gt;V2743,V2743,(K2744-MAX(K$470:K2744))/MAX(K$470:K2744))</f>
        <v>-0.84885940676762139</v>
      </c>
      <c r="W2744" s="564">
        <f>IF((N2744-MAX(N$470:N2744))/MAX(N$470:N2744)&gt;W2743,W2743,(N2744-MAX(N$470:N2744))/MAX(N$470:N2744))</f>
        <v>-0.62788758315546067</v>
      </c>
      <c r="X2744" s="564">
        <f>IF((O2744-MAX(O$470:O2744))/MAX(O$470:O2744)&gt;X2743,X2743,(O2744-MAX(O$470:O2744))/MAX(O$470:O2744))</f>
        <v>-0.62788758315546067</v>
      </c>
    </row>
    <row r="2745" spans="1:24">
      <c r="A2745" s="799">
        <v>43147</v>
      </c>
      <c r="B2745">
        <v>10091.9</v>
      </c>
      <c r="C2745">
        <v>4282.6684080000005</v>
      </c>
      <c r="D2745">
        <v>1.9474860000000001</v>
      </c>
      <c r="E2745">
        <f>LN(D2745/参数实验室!$E$53)/参数实验室!$E$55</f>
        <v>9.3383619322224651E-2</v>
      </c>
      <c r="F2745">
        <f t="shared" si="368"/>
        <v>0.4243669089071434</v>
      </c>
      <c r="G2745">
        <f>LN(F2745/参数实验室!$E$58)/参数实验室!$E$59</f>
        <v>-0.64041226122762018</v>
      </c>
      <c r="H2745" s="856">
        <f>INDEX(神经网络!$G$10:$BO$70,MATCH(ROUND(G2745*2,1)/2,神经网络!$E$10:$E$70,0),MATCH(ROUND(E2745*2,1)/2,神经网络!$G$8:$BO$8,0))</f>
        <v>-0.74741540822442254</v>
      </c>
      <c r="I2745">
        <f t="shared" si="370"/>
        <v>428303.47743914038</v>
      </c>
      <c r="J2745">
        <f t="shared" si="371"/>
        <v>4026.9342803559307</v>
      </c>
      <c r="K2745">
        <f t="shared" si="372"/>
        <v>106.35968893966745</v>
      </c>
      <c r="L2745" s="4">
        <f>MIN(MAX(L2744*(1+MAX(MIN(((B2745-B2744)/B2744)/($K$7*卓尔金历!$N$40),0),-卓尔金历!$M$43))+MIN(MAX(((B2745-B2744)/B2744)/($K$7*卓尔金历!$N$40),0),卓尔金历!$M$43),0),1)</f>
        <v>1</v>
      </c>
      <c r="M2745" s="4">
        <f>MIN(MAX(M2744*(1+MAX(MIN(((B2745-B2744)/B2744)/($K$7*30),0),-卓尔金历!$M$43))+MIN(MAX(((B2745-B2744)/B2744)/($K$7*7),0),卓尔金历!$M$43),0),1)</f>
        <v>1</v>
      </c>
      <c r="N2745">
        <f t="shared" si="373"/>
        <v>166483.76186366449</v>
      </c>
      <c r="O2745">
        <f t="shared" si="374"/>
        <v>447935.91724515503</v>
      </c>
      <c r="P2745">
        <f t="shared" si="375"/>
        <v>3.3839843385848785E-2</v>
      </c>
      <c r="Q2745">
        <f t="shared" si="376"/>
        <v>9.5678040379719526E-2</v>
      </c>
      <c r="R2745">
        <f t="shared" si="377"/>
        <v>1</v>
      </c>
      <c r="S2745">
        <f t="shared" si="369"/>
        <v>793.45273909437435</v>
      </c>
      <c r="T2745" s="564">
        <f>IF((I2745-MAX(I$470:I2745))/MAX(I$470:I2745)&gt;T2744,T2744,(I2745-MAX(I$470:I2745))/MAX(I$470:I2745))</f>
        <v>-0.91338805338419748</v>
      </c>
      <c r="U2745" s="564">
        <f>IF((J2745-MAX(J$470:J2745))/MAX(J$470:J2745)&gt;U2744,U2744,(J2745-MAX(J$470:J2745))/MAX(J$470:J2745))</f>
        <v>-0.8283551177402233</v>
      </c>
      <c r="V2745" s="564">
        <f>IF((K2745-MAX(K$470:K2745))/MAX(K$470:K2745)&gt;V2744,V2744,(K2745-MAX(K$470:K2745))/MAX(K$470:K2745))</f>
        <v>-0.84885940676762139</v>
      </c>
      <c r="W2745" s="564">
        <f>IF((N2745-MAX(N$470:N2745))/MAX(N$470:N2745)&gt;W2744,W2744,(N2745-MAX(N$470:N2745))/MAX(N$470:N2745))</f>
        <v>-0.62788758315546067</v>
      </c>
      <c r="X2745" s="564">
        <f>IF((O2745-MAX(O$470:O2745))/MAX(O$470:O2745)&gt;X2744,X2744,(O2745-MAX(O$470:O2745))/MAX(O$470:O2745))</f>
        <v>-0.62788758315546067</v>
      </c>
    </row>
    <row r="2746" spans="1:24">
      <c r="A2746" s="799">
        <v>43148</v>
      </c>
      <c r="B2746">
        <v>10567.8</v>
      </c>
      <c r="C2746">
        <v>4349.0871850000003</v>
      </c>
      <c r="D2746">
        <v>2.113607</v>
      </c>
      <c r="E2746">
        <f>LN(D2746/参数实验室!$E$53)/参数实验室!$E$55</f>
        <v>0.18995427552444522</v>
      </c>
      <c r="F2746">
        <f t="shared" si="368"/>
        <v>0.4115413979257746</v>
      </c>
      <c r="G2746">
        <f>LN(F2746/参数实验室!$E$58)/参数实验室!$E$59</f>
        <v>-0.65651940968862632</v>
      </c>
      <c r="H2746" s="856">
        <f>INDEX(神经网络!$G$10:$BO$70,MATCH(ROUND(G2746*2,1)/2,神经网络!$E$10:$E$70,0),MATCH(ROUND(E2746*2,1)/2,神经网络!$G$8:$BO$8,0))</f>
        <v>-0.68496956415366794</v>
      </c>
      <c r="I2746">
        <f t="shared" si="370"/>
        <v>413207.66769936937</v>
      </c>
      <c r="J2746">
        <f t="shared" si="371"/>
        <v>4216.8309325246391</v>
      </c>
      <c r="K2746">
        <f t="shared" si="372"/>
        <v>97.990095953877798</v>
      </c>
      <c r="L2746" s="4">
        <f>MIN(MAX(L2745*(1+MAX(MIN(((B2746-B2745)/B2745)/($K$7*卓尔金历!$N$40),0),-卓尔金历!$M$43))+MIN(MAX(((B2746-B2745)/B2745)/($K$7*卓尔金历!$N$40),0),卓尔金历!$M$43),0),1)</f>
        <v>1</v>
      </c>
      <c r="M2746" s="4">
        <f>MIN(MAX(M2745*(1+MAX(MIN(((B2746-B2745)/B2745)/($K$7*30),0),-卓尔金历!$M$43))+MIN(MAX(((B2746-B2745)/B2745)/($K$7*7),0),卓尔金历!$M$43),0),1)</f>
        <v>1</v>
      </c>
      <c r="N2746">
        <f t="shared" si="373"/>
        <v>160615.94307106003</v>
      </c>
      <c r="O2746">
        <f t="shared" si="374"/>
        <v>432148.15053643502</v>
      </c>
      <c r="P2746">
        <f t="shared" si="375"/>
        <v>4.7156630565106633E-2</v>
      </c>
      <c r="Q2746">
        <f t="shared" si="376"/>
        <v>9.5798664135376757E-2</v>
      </c>
      <c r="R2746">
        <f t="shared" si="377"/>
        <v>0.87226627304773108</v>
      </c>
      <c r="S2746">
        <f t="shared" si="369"/>
        <v>765.487027355387</v>
      </c>
      <c r="T2746" s="564">
        <f>IF((I2746-MAX(I$470:I2746))/MAX(I$470:I2746)&gt;T2745,T2745,(I2746-MAX(I$470:I2746))/MAX(I$470:I2746))</f>
        <v>-0.91338805338419748</v>
      </c>
      <c r="U2746" s="564">
        <f>IF((J2746-MAX(J$470:J2746))/MAX(J$470:J2746)&gt;U2745,U2745,(J2746-MAX(J$470:J2746))/MAX(J$470:J2746))</f>
        <v>-0.8283551177402233</v>
      </c>
      <c r="V2746" s="564">
        <f>IF((K2746-MAX(K$470:K2746))/MAX(K$470:K2746)&gt;V2745,V2745,(K2746-MAX(K$470:K2746))/MAX(K$470:K2746))</f>
        <v>-0.84885940676762139</v>
      </c>
      <c r="W2746" s="564">
        <f>IF((N2746-MAX(N$470:N2746))/MAX(N$470:N2746)&gt;W2745,W2745,(N2746-MAX(N$470:N2746))/MAX(N$470:N2746))</f>
        <v>-0.62788758315546067</v>
      </c>
      <c r="X2746" s="564">
        <f>IF((O2746-MAX(O$470:O2746))/MAX(O$470:O2746)&gt;X2745,X2745,(O2746-MAX(O$470:O2746))/MAX(O$470:O2746))</f>
        <v>-0.62788758315546067</v>
      </c>
    </row>
    <row r="2747" spans="1:24">
      <c r="A2747" s="799">
        <v>43149</v>
      </c>
      <c r="B2747">
        <v>10989</v>
      </c>
      <c r="C2747">
        <v>4358.961088</v>
      </c>
      <c r="D2747">
        <v>1.991085</v>
      </c>
      <c r="E2747">
        <f>LN(D2747/参数实验室!$E$53)/参数实验室!$E$55</f>
        <v>0.11950383542068485</v>
      </c>
      <c r="F2747">
        <f t="shared" si="368"/>
        <v>0.39666585567385565</v>
      </c>
      <c r="G2747">
        <f>LN(F2747/参数实验室!$E$58)/参数实验室!$E$59</f>
        <v>-0.67584210266436728</v>
      </c>
      <c r="H2747" s="856">
        <f>INDEX(神经网络!$G$10:$BO$70,MATCH(ROUND(G2747*2,1)/2,神经网络!$E$10:$E$70,0),MATCH(ROUND(E2747*2,1)/2,神经网络!$G$8:$BO$8,0))</f>
        <v>-0.80204774264935907</v>
      </c>
      <c r="I2747">
        <f t="shared" si="370"/>
        <v>401926.77616548009</v>
      </c>
      <c r="J2747">
        <f t="shared" si="371"/>
        <v>4384.9008419456522</v>
      </c>
      <c r="K2747">
        <f t="shared" si="372"/>
        <v>91.661542792638983</v>
      </c>
      <c r="L2747" s="4">
        <f>MIN(MAX(L2746*(1+MAX(MIN(((B2747-B2746)/B2746)/($K$7*卓尔金历!$N$40),0),-卓尔金历!$M$43))+MIN(MAX(((B2747-B2746)/B2746)/($K$7*卓尔金历!$N$40),0),卓尔金历!$M$43),0),1)</f>
        <v>1</v>
      </c>
      <c r="M2747" s="4">
        <f>MIN(MAX(M2746*(1+MAX(MIN(((B2747-B2746)/B2746)/($K$7*30),0),-卓尔金历!$M$43))+MIN(MAX(((B2747-B2746)/B2746)/($K$7*7),0),卓尔金历!$M$43),0),1)</f>
        <v>1</v>
      </c>
      <c r="N2747">
        <f t="shared" si="373"/>
        <v>156231.0025822107</v>
      </c>
      <c r="O2747">
        <f t="shared" si="374"/>
        <v>420350.16905193072</v>
      </c>
      <c r="P2747">
        <f t="shared" si="375"/>
        <v>3.9856923863055768E-2</v>
      </c>
      <c r="Q2747">
        <f t="shared" si="376"/>
        <v>9.5805154536364762E-2</v>
      </c>
      <c r="R2747">
        <f t="shared" si="377"/>
        <v>1</v>
      </c>
      <c r="S2747">
        <f t="shared" si="369"/>
        <v>747.25806420012907</v>
      </c>
      <c r="T2747" s="564">
        <f>IF((I2747-MAX(I$470:I2747))/MAX(I$470:I2747)&gt;T2746,T2746,(I2747-MAX(I$470:I2747))/MAX(I$470:I2747))</f>
        <v>-0.91338805338419748</v>
      </c>
      <c r="U2747" s="564">
        <f>IF((J2747-MAX(J$470:J2747))/MAX(J$470:J2747)&gt;U2746,U2746,(J2747-MAX(J$470:J2747))/MAX(J$470:J2747))</f>
        <v>-0.8283551177402233</v>
      </c>
      <c r="V2747" s="564">
        <f>IF((K2747-MAX(K$470:K2747))/MAX(K$470:K2747)&gt;V2746,V2746,(K2747-MAX(K$470:K2747))/MAX(K$470:K2747))</f>
        <v>-0.84885940676762139</v>
      </c>
      <c r="W2747" s="564">
        <f>IF((N2747-MAX(N$470:N2747))/MAX(N$470:N2747)&gt;W2746,W2746,(N2747-MAX(N$470:N2747))/MAX(N$470:N2747))</f>
        <v>-0.62788758315546067</v>
      </c>
      <c r="X2747" s="564">
        <f>IF((O2747-MAX(O$470:O2747))/MAX(O$470:O2747)&gt;X2746,X2746,(O2747-MAX(O$470:O2747))/MAX(O$470:O2747))</f>
        <v>-0.62788758315546067</v>
      </c>
    </row>
    <row r="2748" spans="1:24">
      <c r="A2748" s="799">
        <v>43150</v>
      </c>
      <c r="B2748">
        <v>10669.4</v>
      </c>
      <c r="C2748">
        <v>4404.7782200000001</v>
      </c>
      <c r="D2748">
        <v>2.1148539999999998</v>
      </c>
      <c r="E2748">
        <f>LN(D2748/参数实验室!$E$53)/参数实验室!$E$55</f>
        <v>0.19065010899098622</v>
      </c>
      <c r="F2748">
        <f t="shared" si="368"/>
        <v>0.41284216731962436</v>
      </c>
      <c r="G2748">
        <f>LN(F2748/参数实验室!$E$58)/参数实验室!$E$59</f>
        <v>-0.65486310631034561</v>
      </c>
      <c r="H2748" s="856">
        <f>INDEX(神经网络!$G$10:$BO$70,MATCH(ROUND(G2748*2,1)/2,神经网络!$E$10:$E$70,0),MATCH(ROUND(E2748*2,1)/2,神经网络!$G$8:$BO$8,0))</f>
        <v>-0.68496956415366794</v>
      </c>
      <c r="I2748">
        <f t="shared" si="370"/>
        <v>411302.30465264193</v>
      </c>
      <c r="J2748">
        <f t="shared" si="371"/>
        <v>4257.3720122900113</v>
      </c>
      <c r="K2748">
        <f t="shared" si="372"/>
        <v>96.609434990719834</v>
      </c>
      <c r="L2748" s="4">
        <f>MIN(MAX(L2747*(1+MAX(MIN(((B2748-B2747)/B2747)/($K$7*卓尔金历!$N$40),0),-卓尔金历!$M$43))+MIN(MAX(((B2748-B2747)/B2747)/($K$7*卓尔金历!$N$40),0),卓尔金历!$M$43),0),1)</f>
        <v>0.55563005707312985</v>
      </c>
      <c r="M2748" s="4">
        <f>MIN(MAX(M2747*(1+MAX(MIN(((B2748-B2747)/B2747)/($K$7*30),0),-卓尔金历!$M$43))+MIN(MAX(((B2748-B2747)/B2747)/($K$7*7),0),卓尔金历!$M$43),0),1)</f>
        <v>0.77781502853656492</v>
      </c>
      <c r="N2748">
        <f t="shared" si="373"/>
        <v>159875.31866700001</v>
      </c>
      <c r="O2748">
        <f t="shared" si="374"/>
        <v>430155.45005890471</v>
      </c>
      <c r="P2748">
        <f t="shared" si="375"/>
        <v>-2.9083629083629117E-2</v>
      </c>
      <c r="Q2748">
        <f t="shared" si="376"/>
        <v>9.6036353347450323E-2</v>
      </c>
      <c r="R2748">
        <f t="shared" si="377"/>
        <v>1</v>
      </c>
      <c r="S2748">
        <f t="shared" si="369"/>
        <v>764.68894883789517</v>
      </c>
      <c r="T2748" s="564">
        <f>IF((I2748-MAX(I$470:I2748))/MAX(I$470:I2748)&gt;T2747,T2747,(I2748-MAX(I$470:I2748))/MAX(I$470:I2748))</f>
        <v>-0.91338805338419748</v>
      </c>
      <c r="U2748" s="564">
        <f>IF((J2748-MAX(J$470:J2748))/MAX(J$470:J2748)&gt;U2747,U2747,(J2748-MAX(J$470:J2748))/MAX(J$470:J2748))</f>
        <v>-0.8283551177402233</v>
      </c>
      <c r="V2748" s="564">
        <f>IF((K2748-MAX(K$470:K2748))/MAX(K$470:K2748)&gt;V2747,V2747,(K2748-MAX(K$470:K2748))/MAX(K$470:K2748))</f>
        <v>-0.84885940676762139</v>
      </c>
      <c r="W2748" s="564">
        <f>IF((N2748-MAX(N$470:N2748))/MAX(N$470:N2748)&gt;W2747,W2747,(N2748-MAX(N$470:N2748))/MAX(N$470:N2748))</f>
        <v>-0.62788758315546067</v>
      </c>
      <c r="X2748" s="564">
        <f>IF((O2748-MAX(O$470:O2748))/MAX(O$470:O2748)&gt;X2747,X2747,(O2748-MAX(O$470:O2748))/MAX(O$470:O2748))</f>
        <v>-0.62788758315546067</v>
      </c>
    </row>
    <row r="2749" spans="1:24">
      <c r="A2749" s="799">
        <v>43151</v>
      </c>
      <c r="B2749">
        <v>11601.3</v>
      </c>
      <c r="C2749">
        <v>4536.5826909999996</v>
      </c>
      <c r="D2749">
        <v>2.1278060000000001</v>
      </c>
      <c r="E2749">
        <f>LN(D2749/参数实验室!$E$53)/参数实验室!$E$55</f>
        <v>0.19785323697415083</v>
      </c>
      <c r="F2749">
        <f t="shared" si="368"/>
        <v>0.39104089119322832</v>
      </c>
      <c r="G2749">
        <f>LN(F2749/参数实验室!$E$58)/参数实验室!$E$59</f>
        <v>-0.68333812969491692</v>
      </c>
      <c r="H2749" s="856">
        <f>INDEX(神经网络!$G$10:$BO$70,MATCH(ROUND(G2749*2,1)/2,神经网络!$E$10:$E$70,0),MATCH(ROUND(E2749*2,1)/2,神经网络!$G$8:$BO$8,0))</f>
        <v>-0.74659481473176814</v>
      </c>
      <c r="I2749">
        <f t="shared" si="370"/>
        <v>386695.13111961685</v>
      </c>
      <c r="J2749">
        <f t="shared" si="371"/>
        <v>4629.2246917521234</v>
      </c>
      <c r="K2749">
        <f t="shared" si="372"/>
        <v>83.533454707564857</v>
      </c>
      <c r="L2749" s="4">
        <f>MIN(MAX(L2748*(1+MAX(MIN(((B2749-B2748)/B2748)/($K$7*卓尔金历!$N$40),0),-卓尔金历!$M$43))+MIN(MAX(((B2749-B2748)/B2748)/($K$7*卓尔金历!$N$40),0),卓尔金历!$M$43),0),1)</f>
        <v>1</v>
      </c>
      <c r="M2749" s="4">
        <f>MIN(MAX(M2748*(1+MAX(MIN(((B2749-B2748)/B2748)/($K$7*30),0),-卓尔金历!$M$43))+MIN(MAX(((B2749-B2748)/B2748)/($K$7*7),0),卓尔金历!$M$43),0),1)</f>
        <v>1</v>
      </c>
      <c r="N2749">
        <f t="shared" si="373"/>
        <v>154560.75342114831</v>
      </c>
      <c r="O2749">
        <f t="shared" si="374"/>
        <v>410138.29520831438</v>
      </c>
      <c r="P2749">
        <f t="shared" si="375"/>
        <v>8.7343243293905901E-2</v>
      </c>
      <c r="Q2749">
        <f t="shared" si="376"/>
        <v>9.7264390791365229E-2</v>
      </c>
      <c r="R2749">
        <f t="shared" si="377"/>
        <v>0.21395590952439847</v>
      </c>
      <c r="S2749">
        <f t="shared" si="369"/>
        <v>718.93954882241974</v>
      </c>
      <c r="T2749" s="564">
        <f>IF((I2749-MAX(I$470:I2749))/MAX(I$470:I2749)&gt;T2748,T2748,(I2749-MAX(I$470:I2749))/MAX(I$470:I2749))</f>
        <v>-0.91338805338419748</v>
      </c>
      <c r="U2749" s="564">
        <f>IF((J2749-MAX(J$470:J2749))/MAX(J$470:J2749)&gt;U2748,U2748,(J2749-MAX(J$470:J2749))/MAX(J$470:J2749))</f>
        <v>-0.8283551177402233</v>
      </c>
      <c r="V2749" s="564">
        <f>IF((K2749-MAX(K$470:K2749))/MAX(K$470:K2749)&gt;V2748,V2748,(K2749-MAX(K$470:K2749))/MAX(K$470:K2749))</f>
        <v>-0.84885940676762139</v>
      </c>
      <c r="W2749" s="564">
        <f>IF((N2749-MAX(N$470:N2749))/MAX(N$470:N2749)&gt;W2748,W2748,(N2749-MAX(N$470:N2749))/MAX(N$470:N2749))</f>
        <v>-0.62788758315546067</v>
      </c>
      <c r="X2749" s="564">
        <f>IF((O2749-MAX(O$470:O2749))/MAX(O$470:O2749)&gt;X2748,X2748,(O2749-MAX(O$470:O2749))/MAX(O$470:O2749))</f>
        <v>-0.62788758315546067</v>
      </c>
    </row>
    <row r="2750" spans="1:24">
      <c r="A2750" s="799">
        <v>43152</v>
      </c>
      <c r="B2750">
        <v>11003.5</v>
      </c>
      <c r="C2750">
        <v>4532.6185349999996</v>
      </c>
      <c r="D2750">
        <v>1.97827</v>
      </c>
      <c r="E2750">
        <f>LN(D2750/参数实验室!$E$53)/参数实验室!$E$55</f>
        <v>0.11188617947949089</v>
      </c>
      <c r="F2750">
        <f t="shared" si="368"/>
        <v>0.4119251633571136</v>
      </c>
      <c r="G2750">
        <f>LN(F2750/参数实验室!$E$58)/参数实验室!$E$59</f>
        <v>-0.65603020742520557</v>
      </c>
      <c r="H2750" s="856">
        <f>INDEX(神经网络!$G$10:$BO$70,MATCH(ROUND(G2750*2,1)/2,神经网络!$E$10:$E$70,0),MATCH(ROUND(E2750*2,1)/2,神经网络!$G$8:$BO$8,0))</f>
        <v>-0.74741540822442254</v>
      </c>
      <c r="I2750">
        <f t="shared" si="370"/>
        <v>401571.70510615705</v>
      </c>
      <c r="J2750">
        <f t="shared" si="371"/>
        <v>4390.6867243924808</v>
      </c>
      <c r="K2750">
        <f t="shared" si="372"/>
        <v>91.459885506115384</v>
      </c>
      <c r="L2750" s="4">
        <f>MIN(MAX(L2749*(1+MAX(MIN(((B2750-B2749)/B2749)/($K$7*卓尔金历!$N$40),0),-卓尔金历!$M$43))+MIN(MAX(((B2750-B2749)/B2749)/($K$7*卓尔金历!$N$40),0),卓尔金历!$M$43),0),1)</f>
        <v>0.21269079032050575</v>
      </c>
      <c r="M2750" s="4">
        <f>MIN(MAX(M2749*(1+MAX(MIN(((B2750-B2749)/B2749)/($K$7*30),0),-卓尔金历!$M$43))+MIN(MAX(((B2750-B2749)/B2749)/($K$7*7),0),卓尔金历!$M$43),0),1)</f>
        <v>0.60634539516025288</v>
      </c>
      <c r="N2750">
        <f t="shared" si="373"/>
        <v>160506.87039714368</v>
      </c>
      <c r="O2750">
        <f t="shared" si="374"/>
        <v>425916.75271232828</v>
      </c>
      <c r="P2750">
        <f t="shared" si="375"/>
        <v>-5.1528707989621794E-2</v>
      </c>
      <c r="Q2750">
        <f t="shared" si="376"/>
        <v>9.5409089542150799E-2</v>
      </c>
      <c r="R2750">
        <f t="shared" si="377"/>
        <v>0.77321739981293702</v>
      </c>
      <c r="S2750">
        <f t="shared" si="369"/>
        <v>724.857220739882</v>
      </c>
      <c r="T2750" s="564">
        <f>IF((I2750-MAX(I$470:I2750))/MAX(I$470:I2750)&gt;T2749,T2749,(I2750-MAX(I$470:I2750))/MAX(I$470:I2750))</f>
        <v>-0.91338805338419748</v>
      </c>
      <c r="U2750" s="564">
        <f>IF((J2750-MAX(J$470:J2750))/MAX(J$470:J2750)&gt;U2749,U2749,(J2750-MAX(J$470:J2750))/MAX(J$470:J2750))</f>
        <v>-0.8283551177402233</v>
      </c>
      <c r="V2750" s="564">
        <f>IF((K2750-MAX(K$470:K2750))/MAX(K$470:K2750)&gt;V2749,V2749,(K2750-MAX(K$470:K2750))/MAX(K$470:K2750))</f>
        <v>-0.84885940676762139</v>
      </c>
      <c r="W2750" s="564">
        <f>IF((N2750-MAX(N$470:N2750))/MAX(N$470:N2750)&gt;W2749,W2749,(N2750-MAX(N$470:N2750))/MAX(N$470:N2750))</f>
        <v>-0.62788758315546067</v>
      </c>
      <c r="X2750" s="564">
        <f>IF((O2750-MAX(O$470:O2750))/MAX(O$470:O2750)&gt;X2749,X2749,(O2750-MAX(O$470:O2750))/MAX(O$470:O2750))</f>
        <v>-0.62788758315546067</v>
      </c>
    </row>
    <row r="2751" spans="1:24">
      <c r="A2751" s="799">
        <v>43153</v>
      </c>
      <c r="B2751">
        <v>10904.5</v>
      </c>
      <c r="C2751">
        <v>4615.9969819999997</v>
      </c>
      <c r="D2751">
        <v>1.8460730000000001</v>
      </c>
      <c r="E2751">
        <f>LN(D2751/参数实验室!$E$53)/参数实验室!$E$55</f>
        <v>3.0292032364807622E-2</v>
      </c>
      <c r="F2751">
        <f t="shared" si="368"/>
        <v>0.42331120014672841</v>
      </c>
      <c r="G2751">
        <f>LN(F2751/参数实验室!$E$58)/参数实验室!$E$59</f>
        <v>-0.64171958128644502</v>
      </c>
      <c r="H2751" s="856">
        <f>INDEX(神经网络!$G$10:$BO$70,MATCH(ROUND(G2751*2,1)/2,神经网络!$E$10:$E$70,0),MATCH(ROUND(E2751*2,1)/2,神经网络!$G$8:$BO$8,0))</f>
        <v>-0.77387982430637781</v>
      </c>
      <c r="I2751">
        <f t="shared" si="370"/>
        <v>404272.11380433728</v>
      </c>
      <c r="J2751">
        <f t="shared" si="371"/>
        <v>4351.1831132037814</v>
      </c>
      <c r="K2751">
        <f t="shared" si="372"/>
        <v>92.91084821908845</v>
      </c>
      <c r="L2751" s="4">
        <f>MIN(MAX(L2750*(1+MAX(MIN(((B2751-B2750)/B2750)/($K$7*卓尔金历!$N$40),0),-卓尔金历!$M$43))+MIN(MAX(((B2751-B2750)/B2750)/($K$7*卓尔金历!$N$40),0),卓尔金历!$M$43),0),1)</f>
        <v>0.18345269280340384</v>
      </c>
      <c r="M2751" s="4">
        <f>MIN(MAX(M2750*(1+MAX(MIN(((B2751-B2750)/B2750)/($K$7*30),0),-卓尔金历!$M$43))+MIN(MAX(((B2751-B2750)/B2750)/($K$7*7),0),卓尔金历!$M$43),0),1)</f>
        <v>0.56466896486906326</v>
      </c>
      <c r="N2751">
        <f t="shared" si="373"/>
        <v>160736.43699886723</v>
      </c>
      <c r="O2751">
        <f t="shared" si="374"/>
        <v>427653.3983105935</v>
      </c>
      <c r="P2751">
        <f t="shared" si="375"/>
        <v>-8.9971372745035662E-3</v>
      </c>
      <c r="Q2751">
        <f t="shared" si="376"/>
        <v>9.5486736063961755E-2</v>
      </c>
      <c r="R2751">
        <f t="shared" si="377"/>
        <v>1</v>
      </c>
      <c r="S2751">
        <f t="shared" si="369"/>
        <v>728.62617165564927</v>
      </c>
      <c r="T2751" s="564">
        <f>IF((I2751-MAX(I$470:I2751))/MAX(I$470:I2751)&gt;T2750,T2750,(I2751-MAX(I$470:I2751))/MAX(I$470:I2751))</f>
        <v>-0.91338805338419748</v>
      </c>
      <c r="U2751" s="564">
        <f>IF((J2751-MAX(J$470:J2751))/MAX(J$470:J2751)&gt;U2750,U2750,(J2751-MAX(J$470:J2751))/MAX(J$470:J2751))</f>
        <v>-0.8283551177402233</v>
      </c>
      <c r="V2751" s="564">
        <f>IF((K2751-MAX(K$470:K2751))/MAX(K$470:K2751)&gt;V2750,V2750,(K2751-MAX(K$470:K2751))/MAX(K$470:K2751))</f>
        <v>-0.84885940676762139</v>
      </c>
      <c r="W2751" s="564">
        <f>IF((N2751-MAX(N$470:N2751))/MAX(N$470:N2751)&gt;W2750,W2750,(N2751-MAX(N$470:N2751))/MAX(N$470:N2751))</f>
        <v>-0.62788758315546067</v>
      </c>
      <c r="X2751" s="564">
        <f>IF((O2751-MAX(O$470:O2751))/MAX(O$470:O2751)&gt;X2750,X2750,(O2751-MAX(O$470:O2751))/MAX(O$470:O2751))</f>
        <v>-0.62788758315546067</v>
      </c>
    </row>
    <row r="2752" spans="1:24">
      <c r="A2752" s="799">
        <v>43154</v>
      </c>
      <c r="B2752">
        <v>10007.200000000001</v>
      </c>
      <c r="C2752">
        <v>4701.4016659999998</v>
      </c>
      <c r="D2752">
        <v>1.8957710000000001</v>
      </c>
      <c r="E2752">
        <f>LN(D2752/参数实验室!$E$53)/参数实验室!$E$55</f>
        <v>6.1632101417094277E-2</v>
      </c>
      <c r="F2752">
        <f t="shared" si="368"/>
        <v>0.46980190922535769</v>
      </c>
      <c r="G2752">
        <f>LN(F2752/参数实验室!$E$58)/参数实验室!$E$59</f>
        <v>-0.58702793735298175</v>
      </c>
      <c r="H2752" s="856">
        <f>INDEX(神经网络!$G$10:$BO$70,MATCH(ROUND(G2752*2,1)/2,神经网络!$E$10:$E$70,0),MATCH(ROUND(E2752*2,1)/2,神经网络!$G$8:$BO$8,0))</f>
        <v>-0.71920957378287209</v>
      </c>
      <c r="I2752">
        <f t="shared" si="370"/>
        <v>430016.30312756111</v>
      </c>
      <c r="J2752">
        <f t="shared" si="371"/>
        <v>3993.136746338932</v>
      </c>
      <c r="K2752">
        <f t="shared" si="372"/>
        <v>107.68884975497454</v>
      </c>
      <c r="L2752" s="4">
        <f>MIN(MAX(L2751*(1+MAX(MIN(((B2752-B2751)/B2751)/($K$7*卓尔金历!$N$40),0),-卓尔金历!$M$43))+MIN(MAX(((B2752-B2751)/B2751)/($K$7*卓尔金历!$N$40),0),卓尔金历!$M$43),0),1)</f>
        <v>0</v>
      </c>
      <c r="M2752" s="4">
        <f>MIN(MAX(M2751*(1+MAX(MIN(((B2752-B2751)/B2751)/($K$7*30),0),-卓尔金历!$M$43))+MIN(MAX(((B2752-B2751)/B2751)/($K$7*7),0),卓尔金历!$M$43),0),1)</f>
        <v>0.20969875073372896</v>
      </c>
      <c r="N2752">
        <f t="shared" si="373"/>
        <v>162614.21334229034</v>
      </c>
      <c r="O2752">
        <f t="shared" si="374"/>
        <v>443031.09468230658</v>
      </c>
      <c r="P2752">
        <f t="shared" si="375"/>
        <v>-8.2287129166857653E-2</v>
      </c>
      <c r="Q2752">
        <f t="shared" si="376"/>
        <v>9.2899719457548796E-2</v>
      </c>
      <c r="R2752">
        <f t="shared" si="377"/>
        <v>0.22837576216021996</v>
      </c>
      <c r="S2752">
        <f t="shared" si="369"/>
        <v>775.02534060262587</v>
      </c>
      <c r="T2752" s="564">
        <f>IF((I2752-MAX(I$470:I2752))/MAX(I$470:I2752)&gt;T2751,T2751,(I2752-MAX(I$470:I2752))/MAX(I$470:I2752))</f>
        <v>-0.91338805338419748</v>
      </c>
      <c r="U2752" s="564">
        <f>IF((J2752-MAX(J$470:J2752))/MAX(J$470:J2752)&gt;U2751,U2751,(J2752-MAX(J$470:J2752))/MAX(J$470:J2752))</f>
        <v>-0.8283551177402233</v>
      </c>
      <c r="V2752" s="564">
        <f>IF((K2752-MAX(K$470:K2752))/MAX(K$470:K2752)&gt;V2751,V2751,(K2752-MAX(K$470:K2752))/MAX(K$470:K2752))</f>
        <v>-0.84885940676762139</v>
      </c>
      <c r="W2752" s="564">
        <f>IF((N2752-MAX(N$470:N2752))/MAX(N$470:N2752)&gt;W2751,W2751,(N2752-MAX(N$470:N2752))/MAX(N$470:N2752))</f>
        <v>-0.62788758315546067</v>
      </c>
      <c r="X2752" s="564">
        <f>IF((O2752-MAX(O$470:O2752))/MAX(O$470:O2752)&gt;X2751,X2751,(O2752-MAX(O$470:O2752))/MAX(O$470:O2752))</f>
        <v>-0.62788758315546067</v>
      </c>
    </row>
    <row r="2753" spans="1:24">
      <c r="A2753" s="799">
        <v>43155</v>
      </c>
      <c r="B2753">
        <v>10524.3</v>
      </c>
      <c r="C2753">
        <v>4742.6176459999997</v>
      </c>
      <c r="D2753">
        <v>1.809329</v>
      </c>
      <c r="E2753">
        <f>LN(D2753/参数实验室!$E$53)/参数实验室!$E$55</f>
        <v>6.5735394026302024E-3</v>
      </c>
      <c r="F2753">
        <f t="shared" si="368"/>
        <v>0.45063497296732324</v>
      </c>
      <c r="G2753">
        <f>LN(F2753/参数实验室!$E$58)/参数实验室!$E$59</f>
        <v>-0.60888994362079063</v>
      </c>
      <c r="H2753" s="856">
        <f>INDEX(神经网络!$G$10:$BO$70,MATCH(ROUND(G2753*2,1)/2,神经网络!$E$10:$E$70,0),MATCH(ROUND(E2753*2,1)/2,神经网络!$G$8:$BO$8,0))</f>
        <v>-0.74765207656611588</v>
      </c>
      <c r="I2753">
        <f t="shared" si="370"/>
        <v>414035.36245026841</v>
      </c>
      <c r="J2753">
        <f t="shared" si="371"/>
        <v>4199.4732851841491</v>
      </c>
      <c r="K2753">
        <f t="shared" si="372"/>
        <v>98.592212483169249</v>
      </c>
      <c r="L2753" s="4">
        <f>MIN(MAX(L2752*(1+MAX(MIN(((B2753-B2752)/B2752)/($K$7*卓尔金历!$N$40),0),-卓尔金历!$M$43))+MIN(MAX(((B2753-B2752)/B2752)/($K$7*卓尔金历!$N$40),0),卓尔金历!$M$43),0),1)</f>
        <v>0.78951072989961546</v>
      </c>
      <c r="M2753" s="4">
        <f>MIN(MAX(M2752*(1+MAX(MIN(((B2753-B2752)/B2752)/($K$7*30),0),-卓尔金历!$M$43))+MIN(MAX(((B2753-B2752)/B2752)/($K$7*7),0),卓尔金历!$M$43),0),1)</f>
        <v>1</v>
      </c>
      <c r="N2753">
        <f t="shared" si="373"/>
        <v>162614.21334229034</v>
      </c>
      <c r="O2753">
        <f t="shared" si="374"/>
        <v>439578.48511117458</v>
      </c>
      <c r="P2753">
        <f t="shared" si="375"/>
        <v>5.1672795587177085E-2</v>
      </c>
      <c r="Q2753">
        <f t="shared" si="376"/>
        <v>9.1903103255810706E-2</v>
      </c>
      <c r="R2753">
        <f t="shared" si="377"/>
        <v>0.72219504028634851</v>
      </c>
      <c r="S2753">
        <f t="shared" si="369"/>
        <v>768.4475002228786</v>
      </c>
      <c r="T2753" s="564">
        <f>IF((I2753-MAX(I$470:I2753))/MAX(I$470:I2753)&gt;T2752,T2752,(I2753-MAX(I$470:I2753))/MAX(I$470:I2753))</f>
        <v>-0.91338805338419748</v>
      </c>
      <c r="U2753" s="564">
        <f>IF((J2753-MAX(J$470:J2753))/MAX(J$470:J2753)&gt;U2752,U2752,(J2753-MAX(J$470:J2753))/MAX(J$470:J2753))</f>
        <v>-0.8283551177402233</v>
      </c>
      <c r="V2753" s="564">
        <f>IF((K2753-MAX(K$470:K2753))/MAX(K$470:K2753)&gt;V2752,V2752,(K2753-MAX(K$470:K2753))/MAX(K$470:K2753))</f>
        <v>-0.84885940676762139</v>
      </c>
      <c r="W2753" s="564">
        <f>IF((N2753-MAX(N$470:N2753))/MAX(N$470:N2753)&gt;W2752,W2752,(N2753-MAX(N$470:N2753))/MAX(N$470:N2753))</f>
        <v>-0.62788758315546067</v>
      </c>
      <c r="X2753" s="564">
        <f>IF((O2753-MAX(O$470:O2753))/MAX(O$470:O2753)&gt;X2752,X2752,(O2753-MAX(O$470:O2753))/MAX(O$470:O2753))</f>
        <v>-0.62788758315546067</v>
      </c>
    </row>
    <row r="2754" spans="1:24">
      <c r="A2754" s="799">
        <v>43156</v>
      </c>
      <c r="B2754">
        <v>9764.16</v>
      </c>
      <c r="C2754">
        <v>4695.8293780000004</v>
      </c>
      <c r="D2754">
        <v>1.794098</v>
      </c>
      <c r="E2754">
        <f>LN(D2754/参数实验室!$E$53)/参数实验室!$E$55</f>
        <v>-3.3997047729450239E-3</v>
      </c>
      <c r="F2754">
        <f t="shared" si="368"/>
        <v>0.48092507476321572</v>
      </c>
      <c r="G2754">
        <f>LN(F2754/参数实验室!$E$58)/参数实验室!$E$59</f>
        <v>-0.57474616793228872</v>
      </c>
      <c r="H2754" s="856">
        <f>INDEX(神经网络!$G$10:$BO$70,MATCH(ROUND(G2754*2,1)/2,神经网络!$E$10:$E$70,0),MATCH(ROUND(E2754*2,1)/2,神经网络!$G$8:$BO$8,0))</f>
        <v>-0.68581666050085766</v>
      </c>
      <c r="I2754">
        <f t="shared" si="370"/>
        <v>436393.58869635407</v>
      </c>
      <c r="J2754">
        <f t="shared" si="371"/>
        <v>3896.1573760025522</v>
      </c>
      <c r="K2754">
        <f t="shared" si="372"/>
        <v>112.00615031215521</v>
      </c>
      <c r="L2754" s="4">
        <f>MIN(MAX(L2753*(1+MAX(MIN(((B2754-B2753)/B2753)/($K$7*卓尔金历!$N$40),0),-卓尔金历!$M$43))+MIN(MAX(((B2754-B2753)/B2753)/($K$7*卓尔金历!$N$40),0),卓尔金历!$M$43),0),1)</f>
        <v>0</v>
      </c>
      <c r="M2754" s="4">
        <f>MIN(MAX(M2753*(1+MAX(MIN(((B2754-B2753)/B2753)/($K$7*30),0),-卓尔金历!$M$43))+MIN(MAX(((B2754-B2753)/B2753)/($K$7*7),0),卓尔金历!$M$43),0),1)</f>
        <v>0.44821937096953024</v>
      </c>
      <c r="N2754">
        <f t="shared" si="373"/>
        <v>169547.13751617045</v>
      </c>
      <c r="O2754">
        <f t="shared" si="374"/>
        <v>463316.05951753398</v>
      </c>
      <c r="P2754">
        <f t="shared" si="375"/>
        <v>-7.2227131495681371E-2</v>
      </c>
      <c r="Q2754">
        <f t="shared" si="376"/>
        <v>9.1135537384646248E-2</v>
      </c>
      <c r="R2754">
        <f t="shared" si="377"/>
        <v>0.34580558383914267</v>
      </c>
      <c r="S2754">
        <f t="shared" si="369"/>
        <v>798.41624925191775</v>
      </c>
      <c r="T2754" s="564">
        <f>IF((I2754-MAX(I$470:I2754))/MAX(I$470:I2754)&gt;T2753,T2753,(I2754-MAX(I$470:I2754))/MAX(I$470:I2754))</f>
        <v>-0.91338805338419748</v>
      </c>
      <c r="U2754" s="564">
        <f>IF((J2754-MAX(J$470:J2754))/MAX(J$470:J2754)&gt;U2753,U2753,(J2754-MAX(J$470:J2754))/MAX(J$470:J2754))</f>
        <v>-0.8283551177402233</v>
      </c>
      <c r="V2754" s="564">
        <f>IF((K2754-MAX(K$470:K2754))/MAX(K$470:K2754)&gt;V2753,V2753,(K2754-MAX(K$470:K2754))/MAX(K$470:K2754))</f>
        <v>-0.84885940676762139</v>
      </c>
      <c r="W2754" s="564">
        <f>IF((N2754-MAX(N$470:N2754))/MAX(N$470:N2754)&gt;W2753,W2753,(N2754-MAX(N$470:N2754))/MAX(N$470:N2754))</f>
        <v>-0.62788758315546067</v>
      </c>
      <c r="X2754" s="564">
        <f>IF((O2754-MAX(O$470:O2754))/MAX(O$470:O2754)&gt;X2753,X2753,(O2754-MAX(O$470:O2754))/MAX(O$470:O2754))</f>
        <v>-0.62788758315546067</v>
      </c>
    </row>
    <row r="2755" spans="1:24">
      <c r="A2755" s="799">
        <v>43157</v>
      </c>
      <c r="B2755">
        <v>9680.17</v>
      </c>
      <c r="C2755">
        <v>4746.1117919999997</v>
      </c>
      <c r="D2755">
        <v>1.924091</v>
      </c>
      <c r="E2755">
        <f>LN(D2755/参数实验室!$E$53)/参数实验室!$E$55</f>
        <v>7.9125520830941765E-2</v>
      </c>
      <c r="F2755">
        <f t="shared" si="368"/>
        <v>0.49029219445526262</v>
      </c>
      <c r="G2755">
        <f>LN(F2755/参数实验室!$E$58)/参数实验室!$E$59</f>
        <v>-0.56462171226607494</v>
      </c>
      <c r="H2755" s="856">
        <f>INDEX(神经网络!$G$10:$BO$70,MATCH(ROUND(G2755*2,1)/2,神经网络!$E$10:$E$70,0),MATCH(ROUND(E2755*2,1)/2,神经网络!$G$8:$BO$8,0))</f>
        <v>-0.62387933845584365</v>
      </c>
      <c r="I2755">
        <f t="shared" si="370"/>
        <v>438968.00683450582</v>
      </c>
      <c r="J2755">
        <f t="shared" si="371"/>
        <v>3862.6431507122606</v>
      </c>
      <c r="K2755">
        <f t="shared" si="372"/>
        <v>113.64446305467315</v>
      </c>
      <c r="L2755" s="4">
        <f>MIN(MAX(L2754*(1+MAX(MIN(((B2755-B2754)/B2754)/($K$7*卓尔金历!$N$40),0),-卓尔金历!$M$43))+MIN(MAX(((B2755-B2754)/B2754)/($K$7*卓尔金历!$N$40),0),卓尔金历!$M$43),0),1)</f>
        <v>0</v>
      </c>
      <c r="M2755" s="4">
        <f>MIN(MAX(M2754*(1+MAX(MIN(((B2755-B2754)/B2754)/($K$7*30),0),-卓尔金历!$M$43))+MIN(MAX(((B2755-B2754)/B2754)/($K$7*7),0),卓尔金历!$M$43),0),1)</f>
        <v>0.41876502400081717</v>
      </c>
      <c r="N2755">
        <f t="shared" si="373"/>
        <v>169547.13751617045</v>
      </c>
      <c r="O2755">
        <f t="shared" si="374"/>
        <v>464541.15150916146</v>
      </c>
      <c r="P2755">
        <f t="shared" si="375"/>
        <v>-8.6018664175924794E-3</v>
      </c>
      <c r="Q2755">
        <f t="shared" si="376"/>
        <v>8.7228407813606024E-2</v>
      </c>
      <c r="R2755">
        <f t="shared" si="377"/>
        <v>1</v>
      </c>
      <c r="S2755">
        <f t="shared" si="369"/>
        <v>800.04502799903491</v>
      </c>
      <c r="T2755" s="564">
        <f>IF((I2755-MAX(I$470:I2755))/MAX(I$470:I2755)&gt;T2754,T2754,(I2755-MAX(I$470:I2755))/MAX(I$470:I2755))</f>
        <v>-0.91338805338419748</v>
      </c>
      <c r="U2755" s="564">
        <f>IF((J2755-MAX(J$470:J2755))/MAX(J$470:J2755)&gt;U2754,U2754,(J2755-MAX(J$470:J2755))/MAX(J$470:J2755))</f>
        <v>-0.8283551177402233</v>
      </c>
      <c r="V2755" s="564">
        <f>IF((K2755-MAX(K$470:K2755))/MAX(K$470:K2755)&gt;V2754,V2754,(K2755-MAX(K$470:K2755))/MAX(K$470:K2755))</f>
        <v>-0.84885940676762139</v>
      </c>
      <c r="W2755" s="564">
        <f>IF((N2755-MAX(N$470:N2755))/MAX(N$470:N2755)&gt;W2754,W2754,(N2755-MAX(N$470:N2755))/MAX(N$470:N2755))</f>
        <v>-0.62788758315546067</v>
      </c>
      <c r="X2755" s="564">
        <f>IF((O2755-MAX(O$470:O2755))/MAX(O$470:O2755)&gt;X2754,X2754,(O2755-MAX(O$470:O2755))/MAX(O$470:O2755))</f>
        <v>-0.62788758315546067</v>
      </c>
    </row>
    <row r="2756" spans="1:24">
      <c r="A2756" s="799">
        <v>43158</v>
      </c>
      <c r="B2756">
        <v>10380.799999999999</v>
      </c>
      <c r="C2756">
        <v>4741.7753640000001</v>
      </c>
      <c r="D2756">
        <v>1.9845999999999999</v>
      </c>
      <c r="E2756">
        <f>LN(D2756/参数实验室!$E$53)/参数实验室!$E$55</f>
        <v>0.11565508655221149</v>
      </c>
      <c r="F2756">
        <f t="shared" si="368"/>
        <v>0.45678323096485823</v>
      </c>
      <c r="G2756">
        <f>LN(F2756/参数实验室!$E$58)/参数实验室!$E$59</f>
        <v>-0.60177748447870538</v>
      </c>
      <c r="H2756" s="856">
        <f>INDEX(神经网络!$G$10:$BO$70,MATCH(ROUND(G2756*2,1)/2,神经网络!$E$10:$E$70,0),MATCH(ROUND(E2756*2,1)/2,神经网络!$G$8:$BO$8,0))</f>
        <v>-0.68565175691125302</v>
      </c>
      <c r="I2756">
        <f t="shared" si="370"/>
        <v>419146.38360589003</v>
      </c>
      <c r="J2756">
        <f t="shared" si="371"/>
        <v>4142.2130002793165</v>
      </c>
      <c r="K2756">
        <f t="shared" si="372"/>
        <v>101.18899814606981</v>
      </c>
      <c r="L2756" s="4">
        <f>MIN(MAX(L2755*(1+MAX(MIN(((B2756-B2755)/B2755)/($K$7*卓尔金历!$N$40),0),-卓尔金历!$M$43))+MIN(MAX(((B2756-B2755)/B2755)/($K$7*卓尔金历!$N$40),0),卓尔金历!$M$43),0),1)</f>
        <v>1</v>
      </c>
      <c r="M2756" s="4">
        <f>MIN(MAX(M2755*(1+MAX(MIN(((B2756-B2755)/B2755)/($K$7*30),0),-卓尔金历!$M$43))+MIN(MAX(((B2756-B2755)/B2755)/($K$7*7),0),卓尔金历!$M$43),0),1)</f>
        <v>1</v>
      </c>
      <c r="N2756">
        <f t="shared" si="373"/>
        <v>169547.13751617045</v>
      </c>
      <c r="O2756">
        <f t="shared" si="374"/>
        <v>455756.97727298067</v>
      </c>
      <c r="P2756">
        <f t="shared" si="375"/>
        <v>7.2377861132603999E-2</v>
      </c>
      <c r="Q2756">
        <f t="shared" si="376"/>
        <v>6.8733312989595299E-2</v>
      </c>
      <c r="R2756">
        <f t="shared" si="377"/>
        <v>8.2721623005421241E-2</v>
      </c>
      <c r="S2756">
        <f t="shared" si="369"/>
        <v>763.91895305958519</v>
      </c>
      <c r="T2756" s="564">
        <f>IF((I2756-MAX(I$470:I2756))/MAX(I$470:I2756)&gt;T2755,T2755,(I2756-MAX(I$470:I2756))/MAX(I$470:I2756))</f>
        <v>-0.91338805338419748</v>
      </c>
      <c r="U2756" s="564">
        <f>IF((J2756-MAX(J$470:J2756))/MAX(J$470:J2756)&gt;U2755,U2755,(J2756-MAX(J$470:J2756))/MAX(J$470:J2756))</f>
        <v>-0.8283551177402233</v>
      </c>
      <c r="V2756" s="564">
        <f>IF((K2756-MAX(K$470:K2756))/MAX(K$470:K2756)&gt;V2755,V2755,(K2756-MAX(K$470:K2756))/MAX(K$470:K2756))</f>
        <v>-0.84885940676762139</v>
      </c>
      <c r="W2756" s="564">
        <f>IF((N2756-MAX(N$470:N2756))/MAX(N$470:N2756)&gt;W2755,W2755,(N2756-MAX(N$470:N2756))/MAX(N$470:N2756))</f>
        <v>-0.62788758315546067</v>
      </c>
      <c r="X2756" s="564">
        <f>IF((O2756-MAX(O$470:O2756))/MAX(O$470:O2756)&gt;X2755,X2755,(O2756-MAX(O$470:O2756))/MAX(O$470:O2756))</f>
        <v>-0.62788758315546067</v>
      </c>
    </row>
    <row r="2757" spans="1:24">
      <c r="A2757" s="799">
        <v>43159</v>
      </c>
      <c r="B2757">
        <v>10980.6</v>
      </c>
      <c r="C2757">
        <v>4722.1337700000004</v>
      </c>
      <c r="D2757">
        <v>1.9177500000000001</v>
      </c>
      <c r="E2757">
        <f>LN(D2757/参数实验室!$E$53)/参数实验室!$E$55</f>
        <v>7.5231126391878497E-2</v>
      </c>
      <c r="F2757">
        <f t="shared" ref="F2757:F2820" si="378">C2757/B2757</f>
        <v>0.43004332823342989</v>
      </c>
      <c r="G2757">
        <f>LN(F2757/参数实验室!$E$58)/参数实验室!$E$59</f>
        <v>-0.6334382449086492</v>
      </c>
      <c r="H2757" s="856">
        <f>INDEX(神经网络!$G$10:$BO$70,MATCH(ROUND(G2757*2,1)/2,神经网络!$E$10:$E$70,0),MATCH(ROUND(E2757*2,1)/2,神经网络!$G$8:$BO$8,0))</f>
        <v>-0.74741540822442254</v>
      </c>
      <c r="I2757">
        <f t="shared" si="370"/>
        <v>402541.15135957359</v>
      </c>
      <c r="J2757">
        <f t="shared" si="371"/>
        <v>4381.5490203902464</v>
      </c>
      <c r="K2757">
        <f t="shared" si="372"/>
        <v>91.87188126534322</v>
      </c>
      <c r="L2757" s="4">
        <f>MIN(MAX(L2756*(1+MAX(MIN(((B2757-B2756)/B2756)/($K$7*卓尔金历!$N$40),0),-卓尔金历!$M$43))+MIN(MAX(((B2757-B2756)/B2756)/($K$7*卓尔金历!$N$40),0),卓尔金历!$M$43),0),1)</f>
        <v>1</v>
      </c>
      <c r="M2757" s="4">
        <f>MIN(MAX(M2756*(1+MAX(MIN(((B2757-B2756)/B2756)/($K$7*30),0),-卓尔金历!$M$43))+MIN(MAX(((B2757-B2756)/B2756)/($K$7*7),0),卓尔金历!$M$43),0),1)</f>
        <v>1</v>
      </c>
      <c r="N2757">
        <f t="shared" si="373"/>
        <v>162830.22498806103</v>
      </c>
      <c r="O2757">
        <f t="shared" si="374"/>
        <v>437701.35100134165</v>
      </c>
      <c r="P2757">
        <f t="shared" si="375"/>
        <v>5.7779747225647458E-2</v>
      </c>
      <c r="Q2757">
        <f t="shared" si="376"/>
        <v>5.9969518281870575E-2</v>
      </c>
      <c r="R2757">
        <f t="shared" si="377"/>
        <v>0.10848814479657244</v>
      </c>
      <c r="S2757">
        <f t="shared" si="369"/>
        <v>761.41546477953568</v>
      </c>
      <c r="T2757" s="564">
        <f>IF((I2757-MAX(I$470:I2757))/MAX(I$470:I2757)&gt;T2756,T2756,(I2757-MAX(I$470:I2757))/MAX(I$470:I2757))</f>
        <v>-0.91338805338419748</v>
      </c>
      <c r="U2757" s="564">
        <f>IF((J2757-MAX(J$470:J2757))/MAX(J$470:J2757)&gt;U2756,U2756,(J2757-MAX(J$470:J2757))/MAX(J$470:J2757))</f>
        <v>-0.8283551177402233</v>
      </c>
      <c r="V2757" s="564">
        <f>IF((K2757-MAX(K$470:K2757))/MAX(K$470:K2757)&gt;V2756,V2756,(K2757-MAX(K$470:K2757))/MAX(K$470:K2757))</f>
        <v>-0.84885940676762139</v>
      </c>
      <c r="W2757" s="564">
        <f>IF((N2757-MAX(N$470:N2757))/MAX(N$470:N2757)&gt;W2756,W2756,(N2757-MAX(N$470:N2757))/MAX(N$470:N2757))</f>
        <v>-0.62788758315546067</v>
      </c>
      <c r="X2757" s="564">
        <f>IF((O2757-MAX(O$470:O2757))/MAX(O$470:O2757)&gt;X2756,X2756,(O2757-MAX(O$470:O2757))/MAX(O$470:O2757))</f>
        <v>-0.62788758315546067</v>
      </c>
    </row>
    <row r="2758" spans="1:24">
      <c r="A2758" s="799">
        <v>43160</v>
      </c>
      <c r="B2758">
        <v>10486.3</v>
      </c>
      <c r="C2758">
        <v>4730.0692929999996</v>
      </c>
      <c r="D2758">
        <v>2.0275910000000001</v>
      </c>
      <c r="E2758">
        <f>LN(D2758/参数实验室!$E$53)/参数实验室!$E$55</f>
        <v>0.1409383858304171</v>
      </c>
      <c r="F2758">
        <f t="shared" si="378"/>
        <v>0.45107133049788772</v>
      </c>
      <c r="G2758">
        <f>LN(F2758/参数实验室!$E$58)/参数实验室!$E$59</f>
        <v>-0.60838196440151804</v>
      </c>
      <c r="H2758" s="856">
        <f>INDEX(神经网络!$G$10:$BO$70,MATCH(ROUND(G2758*2,1)/2,神经网络!$E$10:$E$70,0),MATCH(ROUND(E2758*2,1)/2,神经网络!$G$8:$BO$8,0))</f>
        <v>-0.65705504950951177</v>
      </c>
      <c r="I2758">
        <f t="shared" si="370"/>
        <v>416084.83716628182</v>
      </c>
      <c r="J2758">
        <f t="shared" si="371"/>
        <v>4184.3102829096988</v>
      </c>
      <c r="K2758">
        <f t="shared" si="372"/>
        <v>99.439288445154077</v>
      </c>
      <c r="L2758" s="4">
        <f>MIN(MAX(L2757*(1+MAX(MIN(((B2758-B2757)/B2757)/($K$7*卓尔金历!$N$40),0),-卓尔金历!$M$43))+MIN(MAX(((B2758-B2757)/B2757)/($K$7*卓尔金历!$N$40),0),卓尔金历!$M$43),0),1)</f>
        <v>0.31220246108821825</v>
      </c>
      <c r="M2758" s="4">
        <f>MIN(MAX(M2757*(1+MAX(MIN(((B2758-B2757)/B2757)/($K$7*30),0),-卓尔金历!$M$43))+MIN(MAX(((B2758-B2757)/B2757)/($K$7*7),0),卓尔金历!$M$43),0),1)</f>
        <v>0.65610123054410918</v>
      </c>
      <c r="N2758">
        <f t="shared" si="373"/>
        <v>168308.72426602428</v>
      </c>
      <c r="O2758">
        <f t="shared" si="374"/>
        <v>452428.01821315818</v>
      </c>
      <c r="P2758">
        <f t="shared" si="375"/>
        <v>-4.5015755058922198E-2</v>
      </c>
      <c r="Q2758">
        <f t="shared" si="376"/>
        <v>5.8253471748896821E-2</v>
      </c>
      <c r="R2758">
        <f t="shared" si="377"/>
        <v>0.33322027999370679</v>
      </c>
      <c r="S2758">
        <f t="shared" si="369"/>
        <v>764.19473364133592</v>
      </c>
      <c r="T2758" s="564">
        <f>IF((I2758-MAX(I$470:I2758))/MAX(I$470:I2758)&gt;T2757,T2757,(I2758-MAX(I$470:I2758))/MAX(I$470:I2758))</f>
        <v>-0.91338805338419748</v>
      </c>
      <c r="U2758" s="564">
        <f>IF((J2758-MAX(J$470:J2758))/MAX(J$470:J2758)&gt;U2757,U2757,(J2758-MAX(J$470:J2758))/MAX(J$470:J2758))</f>
        <v>-0.8283551177402233</v>
      </c>
      <c r="V2758" s="564">
        <f>IF((K2758-MAX(K$470:K2758))/MAX(K$470:K2758)&gt;V2757,V2757,(K2758-MAX(K$470:K2758))/MAX(K$470:K2758))</f>
        <v>-0.84885940676762139</v>
      </c>
      <c r="W2758" s="564">
        <f>IF((N2758-MAX(N$470:N2758))/MAX(N$470:N2758)&gt;W2757,W2757,(N2758-MAX(N$470:N2758))/MAX(N$470:N2758))</f>
        <v>-0.62788758315546067</v>
      </c>
      <c r="X2758" s="564">
        <f>IF((O2758-MAX(O$470:O2758))/MAX(O$470:O2758)&gt;X2757,X2757,(O2758-MAX(O$470:O2758))/MAX(O$470:O2758))</f>
        <v>-0.62788758315546067</v>
      </c>
    </row>
    <row r="2759" spans="1:24">
      <c r="A2759" s="799">
        <v>43161</v>
      </c>
      <c r="B2759">
        <v>11046.3</v>
      </c>
      <c r="C2759">
        <v>4614.7462859999996</v>
      </c>
      <c r="D2759">
        <v>2.0411049999999999</v>
      </c>
      <c r="E2759">
        <f>LN(D2759/参数实验室!$E$53)/参数实验室!$E$55</f>
        <v>0.14877541468106253</v>
      </c>
      <c r="F2759">
        <f t="shared" si="378"/>
        <v>0.41776398305314899</v>
      </c>
      <c r="G2759">
        <f>LN(F2759/参数实验室!$E$58)/参数实验室!$E$59</f>
        <v>-0.64864291369308824</v>
      </c>
      <c r="H2759" s="856">
        <f>INDEX(神经网络!$G$10:$BO$70,MATCH(ROUND(G2759*2,1)/2,神经网络!$E$10:$E$70,0),MATCH(ROUND(E2759*2,1)/2,神经网络!$G$8:$BO$8,0))</f>
        <v>-0.71877074124418883</v>
      </c>
      <c r="I2759">
        <f t="shared" si="370"/>
        <v>401484.95348573761</v>
      </c>
      <c r="J2759">
        <f t="shared" si="371"/>
        <v>4407.76505327002</v>
      </c>
      <c r="K2759">
        <f t="shared" si="372"/>
        <v>91.085833440211417</v>
      </c>
      <c r="L2759" s="4">
        <f>MIN(MAX(L2758*(1+MAX(MIN(((B2759-B2758)/B2758)/($K$7*卓尔金历!$N$40),0),-卓尔金历!$M$43))+MIN(MAX(((B2759-B2758)/B2758)/($K$7*卓尔金历!$N$40),0),卓尔金历!$M$43),0),1)</f>
        <v>1</v>
      </c>
      <c r="M2759" s="4">
        <f>MIN(MAX(M2758*(1+MAX(MIN(((B2759-B2758)/B2758)/($K$7*30),0),-卓尔金历!$M$43))+MIN(MAX(((B2759-B2758)/B2758)/($K$7*7),0),卓尔金历!$M$43),0),1)</f>
        <v>1</v>
      </c>
      <c r="N2759">
        <f t="shared" si="373"/>
        <v>166464.93850599023</v>
      </c>
      <c r="O2759">
        <f t="shared" si="374"/>
        <v>442012.33288837085</v>
      </c>
      <c r="P2759">
        <f t="shared" si="375"/>
        <v>5.3403011548401248E-2</v>
      </c>
      <c r="Q2759">
        <f t="shared" si="376"/>
        <v>5.8288032646693709E-2</v>
      </c>
      <c r="R2759">
        <f t="shared" si="377"/>
        <v>0.15088203826722335</v>
      </c>
      <c r="S2759">
        <f t="shared" si="369"/>
        <v>755.25956051993489</v>
      </c>
      <c r="T2759" s="564">
        <f>IF((I2759-MAX(I$470:I2759))/MAX(I$470:I2759)&gt;T2758,T2758,(I2759-MAX(I$470:I2759))/MAX(I$470:I2759))</f>
        <v>-0.91338805338419748</v>
      </c>
      <c r="U2759" s="564">
        <f>IF((J2759-MAX(J$470:J2759))/MAX(J$470:J2759)&gt;U2758,U2758,(J2759-MAX(J$470:J2759))/MAX(J$470:J2759))</f>
        <v>-0.8283551177402233</v>
      </c>
      <c r="V2759" s="564">
        <f>IF((K2759-MAX(K$470:K2759))/MAX(K$470:K2759)&gt;V2758,V2758,(K2759-MAX(K$470:K2759))/MAX(K$470:K2759))</f>
        <v>-0.84885940676762139</v>
      </c>
      <c r="W2759" s="564">
        <f>IF((N2759-MAX(N$470:N2759))/MAX(N$470:N2759)&gt;W2758,W2758,(N2759-MAX(N$470:N2759))/MAX(N$470:N2759))</f>
        <v>-0.62788758315546067</v>
      </c>
      <c r="X2759" s="564">
        <f>IF((O2759-MAX(O$470:O2759))/MAX(O$470:O2759)&gt;X2758,X2758,(O2759-MAX(O$470:O2759))/MAX(O$470:O2759))</f>
        <v>-0.62788758315546067</v>
      </c>
    </row>
    <row r="2760" spans="1:24">
      <c r="A2760" s="799">
        <v>43162</v>
      </c>
      <c r="B2760">
        <v>11389.3</v>
      </c>
      <c r="C2760">
        <v>4558.1439559999999</v>
      </c>
      <c r="D2760">
        <v>2.1146449999999999</v>
      </c>
      <c r="E2760">
        <f>LN(D2760/参数实验室!$E$53)/参数实验室!$E$55</f>
        <v>0.1905335143644403</v>
      </c>
      <c r="F2760">
        <f t="shared" si="378"/>
        <v>0.40021282747842274</v>
      </c>
      <c r="G2760">
        <f>LN(F2760/参数实验室!$E$58)/参数实验室!$E$59</f>
        <v>-0.67116973577542061</v>
      </c>
      <c r="H2760" s="856">
        <f>INDEX(神经网络!$G$10:$BO$70,MATCH(ROUND(G2760*2,1)/2,神经网络!$E$10:$E$70,0),MATCH(ROUND(E2760*2,1)/2,神经网络!$G$8:$BO$8,0))</f>
        <v>-0.68496956415366794</v>
      </c>
      <c r="I2760">
        <f t="shared" si="370"/>
        <v>392524.35638969106</v>
      </c>
      <c r="J2760">
        <f t="shared" si="371"/>
        <v>4544.6311001157164</v>
      </c>
      <c r="K2760">
        <f t="shared" si="372"/>
        <v>86.371005202093642</v>
      </c>
      <c r="L2760" s="4">
        <f>MIN(MAX(L2759*(1+MAX(MIN(((B2760-B2759)/B2759)/($K$7*卓尔金历!$N$40),0),-卓尔金历!$M$43))+MIN(MAX(((B2760-B2759)/B2759)/($K$7*卓尔金历!$N$40),0),卓尔金历!$M$43),0),1)</f>
        <v>1</v>
      </c>
      <c r="M2760" s="4">
        <f>MIN(MAX(M2759*(1+MAX(MIN(((B2760-B2759)/B2759)/($K$7*30),0),-卓尔金历!$M$43))+MIN(MAX(((B2760-B2759)/B2759)/($K$7*7),0),卓尔金历!$M$43),0),1)</f>
        <v>1</v>
      </c>
      <c r="N2760">
        <f t="shared" si="373"/>
        <v>162749.66790463921</v>
      </c>
      <c r="O2760">
        <f t="shared" si="374"/>
        <v>432147.21990690264</v>
      </c>
      <c r="P2760">
        <f t="shared" si="375"/>
        <v>3.1051121189900693E-2</v>
      </c>
      <c r="Q2760">
        <f t="shared" si="376"/>
        <v>5.4354798384458433E-2</v>
      </c>
      <c r="R2760">
        <f t="shared" si="377"/>
        <v>0.65082136386479461</v>
      </c>
      <c r="S2760">
        <f t="shared" si="369"/>
        <v>752.71623792114883</v>
      </c>
      <c r="T2760" s="564">
        <f>IF((I2760-MAX(I$470:I2760))/MAX(I$470:I2760)&gt;T2759,T2759,(I2760-MAX(I$470:I2760))/MAX(I$470:I2760))</f>
        <v>-0.91338805338419748</v>
      </c>
      <c r="U2760" s="564">
        <f>IF((J2760-MAX(J$470:J2760))/MAX(J$470:J2760)&gt;U2759,U2759,(J2760-MAX(J$470:J2760))/MAX(J$470:J2760))</f>
        <v>-0.8283551177402233</v>
      </c>
      <c r="V2760" s="564">
        <f>IF((K2760-MAX(K$470:K2760))/MAX(K$470:K2760)&gt;V2759,V2759,(K2760-MAX(K$470:K2760))/MAX(K$470:K2760))</f>
        <v>-0.84885940676762139</v>
      </c>
      <c r="W2760" s="564">
        <f>IF((N2760-MAX(N$470:N2760))/MAX(N$470:N2760)&gt;W2759,W2759,(N2760-MAX(N$470:N2760))/MAX(N$470:N2760))</f>
        <v>-0.62788758315546067</v>
      </c>
      <c r="X2760" s="564">
        <f>IF((O2760-MAX(O$470:O2760))/MAX(O$470:O2760)&gt;X2759,X2759,(O2760-MAX(O$470:O2760))/MAX(O$470:O2760))</f>
        <v>-0.62788758315546067</v>
      </c>
    </row>
    <row r="2761" spans="1:24">
      <c r="A2761" s="799">
        <v>43163</v>
      </c>
      <c r="B2761">
        <v>11242.1</v>
      </c>
      <c r="C2761">
        <v>4618.3179579999996</v>
      </c>
      <c r="D2761">
        <v>2.1171570000000002</v>
      </c>
      <c r="E2761">
        <f>LN(D2761/参数实验室!$E$53)/参数实验室!$E$55</f>
        <v>0.19193411888087927</v>
      </c>
      <c r="F2761">
        <f t="shared" si="378"/>
        <v>0.41080562866368381</v>
      </c>
      <c r="G2761">
        <f>LN(F2761/参数实验室!$E$58)/参数实验室!$E$59</f>
        <v>-0.65745860339284956</v>
      </c>
      <c r="H2761" s="856">
        <f>INDEX(神经网络!$G$10:$BO$70,MATCH(ROUND(G2761*2,1)/2,神经网络!$E$10:$E$70,0),MATCH(ROUND(E2761*2,1)/2,神经网络!$G$8:$BO$8,0))</f>
        <v>-0.68496956415366794</v>
      </c>
      <c r="I2761">
        <f t="shared" si="370"/>
        <v>395999.30720606318</v>
      </c>
      <c r="J2761">
        <f t="shared" si="371"/>
        <v>4485.8944176210034</v>
      </c>
      <c r="K2761">
        <f t="shared" si="372"/>
        <v>88.276555429067102</v>
      </c>
      <c r="L2761" s="4">
        <f>MIN(MAX(L2760*(1+MAX(MIN(((B2761-B2760)/B2760)/($K$7*卓尔金历!$N$40),0),-卓尔金历!$M$43))+MIN(MAX(((B2761-B2760)/B2760)/($K$7*卓尔金历!$N$40),0),卓尔金历!$M$43),0),1)</f>
        <v>0.80252739477165913</v>
      </c>
      <c r="M2761" s="4">
        <f>MIN(MAX(M2760*(1+MAX(MIN(((B2761-B2760)/B2760)/($K$7*30),0),-卓尔金历!$M$43))+MIN(MAX(((B2761-B2760)/B2760)/($K$7*7),0),卓尔金历!$M$43),0),1)</f>
        <v>0.90126369738582957</v>
      </c>
      <c r="N2761">
        <f t="shared" si="373"/>
        <v>164190.46280600847</v>
      </c>
      <c r="O2761">
        <f t="shared" si="374"/>
        <v>435972.94513939641</v>
      </c>
      <c r="P2761">
        <f t="shared" si="375"/>
        <v>-1.2924411509047872E-2</v>
      </c>
      <c r="Q2761">
        <f t="shared" si="376"/>
        <v>5.0168977389907998E-2</v>
      </c>
      <c r="R2761">
        <f t="shared" si="377"/>
        <v>1</v>
      </c>
      <c r="S2761">
        <f t="shared" si="369"/>
        <v>757.05309527228189</v>
      </c>
      <c r="T2761" s="564">
        <f>IF((I2761-MAX(I$470:I2761))/MAX(I$470:I2761)&gt;T2760,T2760,(I2761-MAX(I$470:I2761))/MAX(I$470:I2761))</f>
        <v>-0.91338805338419748</v>
      </c>
      <c r="U2761" s="564">
        <f>IF((J2761-MAX(J$470:J2761))/MAX(J$470:J2761)&gt;U2760,U2760,(J2761-MAX(J$470:J2761))/MAX(J$470:J2761))</f>
        <v>-0.8283551177402233</v>
      </c>
      <c r="V2761" s="564">
        <f>IF((K2761-MAX(K$470:K2761))/MAX(K$470:K2761)&gt;V2760,V2760,(K2761-MAX(K$470:K2761))/MAX(K$470:K2761))</f>
        <v>-0.84885940676762139</v>
      </c>
      <c r="W2761" s="564">
        <f>IF((N2761-MAX(N$470:N2761))/MAX(N$470:N2761)&gt;W2760,W2760,(N2761-MAX(N$470:N2761))/MAX(N$470:N2761))</f>
        <v>-0.62788758315546067</v>
      </c>
      <c r="X2761" s="564">
        <f>IF((O2761-MAX(O$470:O2761))/MAX(O$470:O2761)&gt;X2760,X2760,(O2761-MAX(O$470:O2761))/MAX(O$470:O2761))</f>
        <v>-0.62788758315546067</v>
      </c>
    </row>
    <row r="2762" spans="1:24">
      <c r="A2762" s="799">
        <v>43164</v>
      </c>
      <c r="B2762">
        <v>11542.6</v>
      </c>
      <c r="C2762">
        <v>4646.640144</v>
      </c>
      <c r="D2762">
        <v>2.1244869999999998</v>
      </c>
      <c r="E2762">
        <f>LN(D2762/参数实验室!$E$53)/参数实验室!$E$55</f>
        <v>0.19601159444768898</v>
      </c>
      <c r="F2762">
        <f t="shared" si="378"/>
        <v>0.4025644260391939</v>
      </c>
      <c r="G2762">
        <f>LN(F2762/参数实验室!$E$58)/参数实验室!$E$59</f>
        <v>-0.66809478680974621</v>
      </c>
      <c r="H2762" s="856">
        <f>INDEX(神经网络!$G$10:$BO$70,MATCH(ROUND(G2762*2,1)/2,神经网络!$E$10:$E$70,0),MATCH(ROUND(E2762*2,1)/2,神经网络!$G$8:$BO$8,0))</f>
        <v>-0.68496956415366794</v>
      </c>
      <c r="I2762">
        <f t="shared" si="370"/>
        <v>388748.8944188563</v>
      </c>
      <c r="J2762">
        <f t="shared" si="371"/>
        <v>4605.8018435018548</v>
      </c>
      <c r="K2762">
        <f t="shared" si="372"/>
        <v>84.404172742977835</v>
      </c>
      <c r="L2762" s="4">
        <f>MIN(MAX(L2761*(1+MAX(MIN(((B2762-B2761)/B2761)/($K$7*卓尔金历!$N$40),0),-卓尔金历!$M$43))+MIN(MAX(((B2762-B2761)/B2761)/($K$7*卓尔金历!$N$40),0),卓尔金历!$M$43),0),1)</f>
        <v>1</v>
      </c>
      <c r="M2762" s="4">
        <f>MIN(MAX(M2761*(1+MAX(MIN(((B2762-B2761)/B2761)/($K$7*30),0),-卓尔金历!$M$43))+MIN(MAX(((B2762-B2761)/B2761)/($K$7*7),0),卓尔金历!$M$43),0),1)</f>
        <v>1</v>
      </c>
      <c r="N2762">
        <f t="shared" si="373"/>
        <v>161777.9140436395</v>
      </c>
      <c r="O2762">
        <f t="shared" si="374"/>
        <v>428778.79123602528</v>
      </c>
      <c r="P2762">
        <f t="shared" si="375"/>
        <v>2.6729881427847109E-2</v>
      </c>
      <c r="Q2762">
        <f t="shared" si="376"/>
        <v>4.9841143231595129E-2</v>
      </c>
      <c r="R2762">
        <f t="shared" si="377"/>
        <v>0.70448591415646722</v>
      </c>
      <c r="S2762">
        <f t="shared" si="369"/>
        <v>743.19209263244534</v>
      </c>
      <c r="T2762" s="564">
        <f>IF((I2762-MAX(I$470:I2762))/MAX(I$470:I2762)&gt;T2761,T2761,(I2762-MAX(I$470:I2762))/MAX(I$470:I2762))</f>
        <v>-0.91338805338419748</v>
      </c>
      <c r="U2762" s="564">
        <f>IF((J2762-MAX(J$470:J2762))/MAX(J$470:J2762)&gt;U2761,U2761,(J2762-MAX(J$470:J2762))/MAX(J$470:J2762))</f>
        <v>-0.8283551177402233</v>
      </c>
      <c r="V2762" s="564">
        <f>IF((K2762-MAX(K$470:K2762))/MAX(K$470:K2762)&gt;V2761,V2761,(K2762-MAX(K$470:K2762))/MAX(K$470:K2762))</f>
        <v>-0.84885940676762139</v>
      </c>
      <c r="W2762" s="564">
        <f>IF((N2762-MAX(N$470:N2762))/MAX(N$470:N2762)&gt;W2761,W2761,(N2762-MAX(N$470:N2762))/MAX(N$470:N2762))</f>
        <v>-0.62788758315546067</v>
      </c>
      <c r="X2762" s="564">
        <f>IF((O2762-MAX(O$470:O2762))/MAX(O$470:O2762)&gt;X2761,X2761,(O2762-MAX(O$470:O2762))/MAX(O$470:O2762))</f>
        <v>-0.62788758315546067</v>
      </c>
    </row>
    <row r="2763" spans="1:24">
      <c r="A2763" s="799">
        <v>43165</v>
      </c>
      <c r="B2763">
        <v>11342.8</v>
      </c>
      <c r="C2763">
        <v>4714.5102930000003</v>
      </c>
      <c r="D2763">
        <v>1.967271</v>
      </c>
      <c r="E2763">
        <f>LN(D2763/参数实验室!$E$53)/参数实验室!$E$55</f>
        <v>0.10530855702198044</v>
      </c>
      <c r="F2763">
        <f t="shared" si="378"/>
        <v>0.4156390214938111</v>
      </c>
      <c r="G2763">
        <f>LN(F2763/参数实验室!$E$58)/参数实验室!$E$59</f>
        <v>-0.65131940292253798</v>
      </c>
      <c r="H2763" s="856">
        <f>INDEX(神经网络!$G$10:$BO$70,MATCH(ROUND(G2763*2,1)/2,神经网络!$E$10:$E$70,0),MATCH(ROUND(E2763*2,1)/2,神经网络!$G$8:$BO$8,0))</f>
        <v>-0.74741540822442254</v>
      </c>
      <c r="I2763">
        <f t="shared" si="370"/>
        <v>393358.16580683703</v>
      </c>
      <c r="J2763">
        <f t="shared" si="371"/>
        <v>4526.0763736482968</v>
      </c>
      <c r="K2763">
        <f t="shared" si="372"/>
        <v>86.909308048146357</v>
      </c>
      <c r="L2763" s="4">
        <f>MIN(MAX(L2762*(1+MAX(MIN(((B2763-B2762)/B2762)/($K$7*卓尔金历!$N$40),0),-卓尔金历!$M$43))+MIN(MAX(((B2763-B2762)/B2762)/($K$7*卓尔金历!$N$40),0),卓尔金历!$M$43),0),1)</f>
        <v>0.73552299600755355</v>
      </c>
      <c r="M2763" s="4">
        <f>MIN(MAX(M2762*(1+MAX(MIN(((B2763-B2762)/B2762)/($K$7*30),0),-卓尔金历!$M$43))+MIN(MAX(((B2763-B2762)/B2762)/($K$7*7),0),卓尔金历!$M$43),0),1)</f>
        <v>0.86776149800377678</v>
      </c>
      <c r="N2763">
        <f t="shared" si="373"/>
        <v>163696.0630624895</v>
      </c>
      <c r="O2763">
        <f t="shared" si="374"/>
        <v>433862.68431608571</v>
      </c>
      <c r="P2763">
        <f t="shared" si="375"/>
        <v>-1.7309791554762453E-2</v>
      </c>
      <c r="Q2763">
        <f t="shared" si="376"/>
        <v>5.0319742090926226E-2</v>
      </c>
      <c r="R2763">
        <f t="shared" si="377"/>
        <v>1</v>
      </c>
      <c r="S2763">
        <f t="shared" si="369"/>
        <v>749.39987534155398</v>
      </c>
      <c r="T2763" s="564">
        <f>IF((I2763-MAX(I$470:I2763))/MAX(I$470:I2763)&gt;T2762,T2762,(I2763-MAX(I$470:I2763))/MAX(I$470:I2763))</f>
        <v>-0.91338805338419748</v>
      </c>
      <c r="U2763" s="564">
        <f>IF((J2763-MAX(J$470:J2763))/MAX(J$470:J2763)&gt;U2762,U2762,(J2763-MAX(J$470:J2763))/MAX(J$470:J2763))</f>
        <v>-0.8283551177402233</v>
      </c>
      <c r="V2763" s="564">
        <f>IF((K2763-MAX(K$470:K2763))/MAX(K$470:K2763)&gt;V2762,V2762,(K2763-MAX(K$470:K2763))/MAX(K$470:K2763))</f>
        <v>-0.84885940676762139</v>
      </c>
      <c r="W2763" s="564">
        <f>IF((N2763-MAX(N$470:N2763))/MAX(N$470:N2763)&gt;W2762,W2762,(N2763-MAX(N$470:N2763))/MAX(N$470:N2763))</f>
        <v>-0.62788758315546067</v>
      </c>
      <c r="X2763" s="564">
        <f>IF((O2763-MAX(O$470:O2763))/MAX(O$470:O2763)&gt;X2762,X2762,(O2763-MAX(O$470:O2763))/MAX(O$470:O2763))</f>
        <v>-0.62788758315546067</v>
      </c>
    </row>
    <row r="2764" spans="1:24">
      <c r="A2764" s="799">
        <v>43166</v>
      </c>
      <c r="B2764">
        <v>10598.8</v>
      </c>
      <c r="C2764">
        <v>4802.3204560000004</v>
      </c>
      <c r="D2764">
        <v>1.8272079999999999</v>
      </c>
      <c r="E2764">
        <f>LN(D2764/参数实验室!$E$53)/参数实验室!$E$55</f>
        <v>1.8174124356055067E-2</v>
      </c>
      <c r="F2764">
        <f t="shared" si="378"/>
        <v>0.45310039400686875</v>
      </c>
      <c r="G2764">
        <f>LN(F2764/参数实验室!$E$58)/参数实验室!$E$59</f>
        <v>-0.60602629689891274</v>
      </c>
      <c r="H2764" s="856">
        <f>INDEX(神经网络!$G$10:$BO$70,MATCH(ROUND(G2764*2,1)/2,神经网络!$E$10:$E$70,0),MATCH(ROUND(E2764*2,1)/2,神经网络!$G$8:$BO$8,0))</f>
        <v>-0.74765207656611588</v>
      </c>
      <c r="I2764">
        <f t="shared" si="370"/>
        <v>412642.42135500378</v>
      </c>
      <c r="J2764">
        <f t="shared" si="371"/>
        <v>4229.2007501695853</v>
      </c>
      <c r="K2764">
        <f t="shared" si="372"/>
        <v>97.569835467956295</v>
      </c>
      <c r="L2764" s="4">
        <f>MIN(MAX(L2763*(1+MAX(MIN(((B2764-B2763)/B2763)/($K$7*卓尔金历!$N$40),0),-卓尔金历!$M$43))+MIN(MAX(((B2764-B2763)/B2763)/($K$7*卓尔金历!$N$40),0),卓尔金历!$M$43),0),1)</f>
        <v>0</v>
      </c>
      <c r="M2764" s="4">
        <f>MIN(MAX(M2763*(1+MAX(MIN(((B2764-B2763)/B2763)/($K$7*30),0),-卓尔金历!$M$43))+MIN(MAX(((B2764-B2763)/B2763)/($K$7*7),0),卓尔金历!$M$43),0),1)</f>
        <v>0.43293187731728161</v>
      </c>
      <c r="N2764">
        <f t="shared" si="373"/>
        <v>169598.74249448851</v>
      </c>
      <c r="O2764">
        <f t="shared" si="374"/>
        <v>452319.95084144984</v>
      </c>
      <c r="P2764">
        <f t="shared" si="375"/>
        <v>-6.5592269986246787E-2</v>
      </c>
      <c r="Q2764">
        <f t="shared" si="376"/>
        <v>5.3069899498893833E-2</v>
      </c>
      <c r="R2764">
        <f t="shared" si="377"/>
        <v>3.9659607867352148E-2</v>
      </c>
      <c r="S2764">
        <f t="shared" si="369"/>
        <v>786.13895936236838</v>
      </c>
      <c r="T2764" s="564">
        <f>IF((I2764-MAX(I$470:I2764))/MAX(I$470:I2764)&gt;T2763,T2763,(I2764-MAX(I$470:I2764))/MAX(I$470:I2764))</f>
        <v>-0.91338805338419748</v>
      </c>
      <c r="U2764" s="564">
        <f>IF((J2764-MAX(J$470:J2764))/MAX(J$470:J2764)&gt;U2763,U2763,(J2764-MAX(J$470:J2764))/MAX(J$470:J2764))</f>
        <v>-0.8283551177402233</v>
      </c>
      <c r="V2764" s="564">
        <f>IF((K2764-MAX(K$470:K2764))/MAX(K$470:K2764)&gt;V2763,V2763,(K2764-MAX(K$470:K2764))/MAX(K$470:K2764))</f>
        <v>-0.84885940676762139</v>
      </c>
      <c r="W2764" s="564">
        <f>IF((N2764-MAX(N$470:N2764))/MAX(N$470:N2764)&gt;W2763,W2763,(N2764-MAX(N$470:N2764))/MAX(N$470:N2764))</f>
        <v>-0.62788758315546067</v>
      </c>
      <c r="X2764" s="564">
        <f>IF((O2764-MAX(O$470:O2764))/MAX(O$470:O2764)&gt;X2763,X2763,(O2764-MAX(O$470:O2764))/MAX(O$470:O2764))</f>
        <v>-0.62788758315546067</v>
      </c>
    </row>
    <row r="2765" spans="1:24">
      <c r="A2765" s="799">
        <v>43167</v>
      </c>
      <c r="B2765">
        <v>9820.6200000000008</v>
      </c>
      <c r="C2765">
        <v>4829.1384749999997</v>
      </c>
      <c r="D2765">
        <v>1.724809</v>
      </c>
      <c r="E2765">
        <f>LN(D2765/参数实验室!$E$53)/参数实验室!$E$55</f>
        <v>-4.9865547398532557E-2</v>
      </c>
      <c r="F2765">
        <f t="shared" si="378"/>
        <v>0.49173458243980517</v>
      </c>
      <c r="G2765">
        <f>LN(F2765/参数实验室!$E$58)/参数实验室!$E$59</f>
        <v>-0.56307991375794819</v>
      </c>
      <c r="H2765" s="856">
        <f>INDEX(神经网络!$G$10:$BO$70,MATCH(ROUND(G2765*2,1)/2,神经网络!$E$10:$E$70,0),MATCH(ROUND(E2765*2,1)/2,神经网络!$G$8:$BO$8,0))</f>
        <v>-0.71920921928105808</v>
      </c>
      <c r="I2765">
        <f t="shared" si="370"/>
        <v>435293.91187347099</v>
      </c>
      <c r="J2765">
        <f t="shared" si="371"/>
        <v>3918.6864051713819</v>
      </c>
      <c r="K2765">
        <f t="shared" si="372"/>
        <v>111.0815887944046</v>
      </c>
      <c r="L2765" s="4">
        <f>MIN(MAX(L2764*(1+MAX(MIN(((B2765-B2764)/B2764)/($K$7*卓尔金历!$N$40),0),-卓尔金历!$M$43))+MIN(MAX(((B2765-B2764)/B2764)/($K$7*卓尔金历!$N$40),0),卓尔金历!$M$43),0),1)</f>
        <v>0</v>
      </c>
      <c r="M2765" s="4">
        <f>MIN(MAX(M2764*(1+MAX(MIN(((B2765-B2764)/B2764)/($K$7*30),0),-卓尔金历!$M$43))+MIN(MAX(((B2765-B2764)/B2764)/($K$7*7),0),卓尔金历!$M$43),0),1)</f>
        <v>0.19009814488688487</v>
      </c>
      <c r="N2765">
        <f t="shared" si="373"/>
        <v>169598.74249448851</v>
      </c>
      <c r="O2765">
        <f t="shared" si="374"/>
        <v>463069.44975655165</v>
      </c>
      <c r="P2765">
        <f t="shared" si="375"/>
        <v>-7.3421519417292386E-2</v>
      </c>
      <c r="Q2765">
        <f t="shared" si="376"/>
        <v>5.1703501042853171E-2</v>
      </c>
      <c r="R2765">
        <f t="shared" si="377"/>
        <v>3.4458732854731458E-2</v>
      </c>
      <c r="S2765">
        <f t="shared" si="369"/>
        <v>787.85043470640619</v>
      </c>
      <c r="T2765" s="564">
        <f>IF((I2765-MAX(I$470:I2765))/MAX(I$470:I2765)&gt;T2764,T2764,(I2765-MAX(I$470:I2765))/MAX(I$470:I2765))</f>
        <v>-0.91338805338419748</v>
      </c>
      <c r="U2765" s="564">
        <f>IF((J2765-MAX(J$470:J2765))/MAX(J$470:J2765)&gt;U2764,U2764,(J2765-MAX(J$470:J2765))/MAX(J$470:J2765))</f>
        <v>-0.8283551177402233</v>
      </c>
      <c r="V2765" s="564">
        <f>IF((K2765-MAX(K$470:K2765))/MAX(K$470:K2765)&gt;V2764,V2764,(K2765-MAX(K$470:K2765))/MAX(K$470:K2765))</f>
        <v>-0.84885940676762139</v>
      </c>
      <c r="W2765" s="564">
        <f>IF((N2765-MAX(N$470:N2765))/MAX(N$470:N2765)&gt;W2764,W2764,(N2765-MAX(N$470:N2765))/MAX(N$470:N2765))</f>
        <v>-0.62788758315546067</v>
      </c>
      <c r="X2765" s="564">
        <f>IF((O2765-MAX(O$470:O2765))/MAX(O$470:O2765)&gt;X2764,X2764,(O2765-MAX(O$470:O2765))/MAX(O$470:O2765))</f>
        <v>-0.62788758315546067</v>
      </c>
    </row>
    <row r="2766" spans="1:24">
      <c r="A2766" s="799">
        <v>43168</v>
      </c>
      <c r="B2766">
        <v>8858.27</v>
      </c>
      <c r="C2766">
        <v>4815.1602860000003</v>
      </c>
      <c r="D2766">
        <v>1.724718</v>
      </c>
      <c r="E2766">
        <f>LN(D2766/参数实验室!$E$53)/参数实验室!$E$55</f>
        <v>-4.9927792190486098E-2</v>
      </c>
      <c r="F2766">
        <f t="shared" si="378"/>
        <v>0.54357795438612733</v>
      </c>
      <c r="G2766">
        <f>LN(F2766/参数实验室!$E$58)/参数实验室!$E$59</f>
        <v>-0.51047168191663184</v>
      </c>
      <c r="H2766" s="856">
        <f>INDEX(神经网络!$G$10:$BO$70,MATCH(ROUND(G2766*2,1)/2,神经网络!$E$10:$E$70,0),MATCH(ROUND(E2766*2,1)/2,神经网络!$G$8:$BO$8,0))</f>
        <v>-0.65734140017930154</v>
      </c>
      <c r="I2766">
        <f t="shared" si="370"/>
        <v>465972.26080793515</v>
      </c>
      <c r="J2766">
        <f t="shared" si="371"/>
        <v>3534.6833725709271</v>
      </c>
      <c r="K2766">
        <f t="shared" si="372"/>
        <v>131.82857181038355</v>
      </c>
      <c r="L2766" s="4">
        <f>MIN(MAX(L2765*(1+MAX(MIN(((B2766-B2765)/B2765)/($K$7*卓尔金历!$N$40),0),-卓尔金历!$M$43))+MIN(MAX(((B2766-B2765)/B2765)/($K$7*卓尔金历!$N$40),0),卓尔金历!$M$43),0),1)</f>
        <v>0</v>
      </c>
      <c r="M2766" s="4">
        <f>MIN(MAX(M2765*(1+MAX(MIN(((B2766-B2765)/B2765)/($K$7*30),0),-卓尔金历!$M$43))+MIN(MAX(((B2766-B2765)/B2765)/($K$7*7),0),卓尔金历!$M$43),0),1)</f>
        <v>4.7787264483875665E-2</v>
      </c>
      <c r="N2766">
        <f t="shared" si="373"/>
        <v>169598.74249448851</v>
      </c>
      <c r="O2766">
        <f t="shared" si="374"/>
        <v>469273.47274730011</v>
      </c>
      <c r="P2766">
        <f t="shared" si="375"/>
        <v>-9.7992794752266174E-2</v>
      </c>
      <c r="Q2766">
        <f t="shared" si="376"/>
        <v>5.529048997778719E-2</v>
      </c>
      <c r="R2766">
        <f t="shared" si="377"/>
        <v>2.2113947730102074E-2</v>
      </c>
      <c r="S2766">
        <f t="shared" si="369"/>
        <v>789.76377612054728</v>
      </c>
      <c r="T2766" s="564">
        <f>IF((I2766-MAX(I$470:I2766))/MAX(I$470:I2766)&gt;T2765,T2765,(I2766-MAX(I$470:I2766))/MAX(I$470:I2766))</f>
        <v>-0.91338805338419748</v>
      </c>
      <c r="U2766" s="564">
        <f>IF((J2766-MAX(J$470:J2766))/MAX(J$470:J2766)&gt;U2765,U2765,(J2766-MAX(J$470:J2766))/MAX(J$470:J2766))</f>
        <v>-0.8283551177402233</v>
      </c>
      <c r="V2766" s="564">
        <f>IF((K2766-MAX(K$470:K2766))/MAX(K$470:K2766)&gt;V2765,V2765,(K2766-MAX(K$470:K2766))/MAX(K$470:K2766))</f>
        <v>-0.84885940676762139</v>
      </c>
      <c r="W2766" s="564">
        <f>IF((N2766-MAX(N$470:N2766))/MAX(N$470:N2766)&gt;W2765,W2765,(N2766-MAX(N$470:N2766))/MAX(N$470:N2766))</f>
        <v>-0.62788758315546067</v>
      </c>
      <c r="X2766" s="564">
        <f>IF((O2766-MAX(O$470:O2766))/MAX(O$470:O2766)&gt;X2765,X2765,(O2766-MAX(O$470:O2766))/MAX(O$470:O2766))</f>
        <v>-0.62788758315546067</v>
      </c>
    </row>
    <row r="2767" spans="1:24">
      <c r="A2767" s="799">
        <v>43169</v>
      </c>
      <c r="B2767">
        <v>9490.0499999999993</v>
      </c>
      <c r="C2767">
        <v>4788.757149</v>
      </c>
      <c r="D2767">
        <v>1.6363099999999999</v>
      </c>
      <c r="E2767">
        <f>LN(D2767/参数实验室!$E$53)/参数实验室!$E$55</f>
        <v>-0.1120062333740288</v>
      </c>
      <c r="F2767">
        <f t="shared" si="378"/>
        <v>0.50460821059952266</v>
      </c>
      <c r="G2767">
        <f>LN(F2767/参数实验室!$E$58)/参数实验室!$E$59</f>
        <v>-0.54951600405455148</v>
      </c>
      <c r="H2767" s="856">
        <f>INDEX(神经网络!$G$10:$BO$70,MATCH(ROUND(G2767*2,1)/2,神经网络!$E$10:$E$70,0),MATCH(ROUND(E2767*2,1)/2,神经网络!$G$8:$BO$8,0))</f>
        <v>-0.74748334855909448</v>
      </c>
      <c r="I2767">
        <f t="shared" si="370"/>
        <v>444126.45797540288</v>
      </c>
      <c r="J2767">
        <f t="shared" si="371"/>
        <v>3786.7802561749331</v>
      </c>
      <c r="K2767">
        <f t="shared" si="372"/>
        <v>117.28339854185775</v>
      </c>
      <c r="L2767" s="4">
        <f>MIN(MAX(L2766*(1+MAX(MIN(((B2767-B2766)/B2766)/($K$7*卓尔金历!$N$40),0),-卓尔金历!$M$43))+MIN(MAX(((B2767-B2766)/B2766)/($K$7*卓尔金历!$N$40),0),卓尔金历!$M$43),0),1)</f>
        <v>1</v>
      </c>
      <c r="M2767" s="4">
        <f>MIN(MAX(M2766*(1+MAX(MIN(((B2767-B2766)/B2766)/($K$7*30),0),-卓尔金历!$M$43))+MIN(MAX(((B2767-B2766)/B2766)/($K$7*7),0),卓尔金历!$M$43),0),1)</f>
        <v>1</v>
      </c>
      <c r="N2767">
        <f t="shared" si="373"/>
        <v>169598.74249448851</v>
      </c>
      <c r="O2767">
        <f t="shared" si="374"/>
        <v>468222.12564702478</v>
      </c>
      <c r="P2767">
        <f t="shared" si="375"/>
        <v>7.1320923837272829E-2</v>
      </c>
      <c r="Q2767">
        <f t="shared" si="376"/>
        <v>5.6592765361502755E-2</v>
      </c>
      <c r="R2767">
        <f t="shared" si="377"/>
        <v>4.2501324714394856E-2</v>
      </c>
      <c r="S2767">
        <f t="shared" si="369"/>
        <v>788.94498818571685</v>
      </c>
      <c r="T2767" s="564">
        <f>IF((I2767-MAX(I$470:I2767))/MAX(I$470:I2767)&gt;T2766,T2766,(I2767-MAX(I$470:I2767))/MAX(I$470:I2767))</f>
        <v>-0.91338805338419748</v>
      </c>
      <c r="U2767" s="564">
        <f>IF((J2767-MAX(J$470:J2767))/MAX(J$470:J2767)&gt;U2766,U2766,(J2767-MAX(J$470:J2767))/MAX(J$470:J2767))</f>
        <v>-0.8283551177402233</v>
      </c>
      <c r="V2767" s="564">
        <f>IF((K2767-MAX(K$470:K2767))/MAX(K$470:K2767)&gt;V2766,V2766,(K2767-MAX(K$470:K2767))/MAX(K$470:K2767))</f>
        <v>-0.84885940676762139</v>
      </c>
      <c r="W2767" s="564">
        <f>IF((N2767-MAX(N$470:N2767))/MAX(N$470:N2767)&gt;W2766,W2766,(N2767-MAX(N$470:N2767))/MAX(N$470:N2767))</f>
        <v>-0.62788758315546067</v>
      </c>
      <c r="X2767" s="564">
        <f>IF((O2767-MAX(O$470:O2767))/MAX(O$470:O2767)&gt;X2766,X2766,(O2767-MAX(O$470:O2767))/MAX(O$470:O2767))</f>
        <v>-0.62788758315546067</v>
      </c>
    </row>
    <row r="2768" spans="1:24">
      <c r="A2768" s="799">
        <v>43170</v>
      </c>
      <c r="B2768">
        <v>8888.24</v>
      </c>
      <c r="C2768">
        <v>4735.1270409999997</v>
      </c>
      <c r="D2768">
        <v>1.769582</v>
      </c>
      <c r="E2768">
        <f>LN(D2768/参数实验室!$E$53)/参数实验室!$E$55</f>
        <v>-1.9631962894662569E-2</v>
      </c>
      <c r="F2768">
        <f t="shared" si="378"/>
        <v>0.53274068218229931</v>
      </c>
      <c r="G2768">
        <f>LN(F2768/参数实验室!$E$58)/参数实验室!$E$59</f>
        <v>-0.52104137414203322</v>
      </c>
      <c r="H2768" s="856">
        <f>INDEX(神经网络!$G$10:$BO$70,MATCH(ROUND(G2768*2,1)/2,神经网络!$E$10:$E$70,0),MATCH(ROUND(E2768*2,1)/2,神经网络!$G$8:$BO$8,0))</f>
        <v>-0.62397769287443428</v>
      </c>
      <c r="I2768">
        <f t="shared" si="370"/>
        <v>465178.73460235324</v>
      </c>
      <c r="J2768">
        <f t="shared" si="371"/>
        <v>3546.6421930489605</v>
      </c>
      <c r="K2768">
        <f t="shared" si="372"/>
        <v>131.16032271709108</v>
      </c>
      <c r="L2768" s="4">
        <f>MIN(MAX(L2767*(1+MAX(MIN(((B2768-B2767)/B2767)/($K$7*卓尔金历!$N$40),0),-卓尔金历!$M$43))+MIN(MAX(((B2768-B2767)/B2767)/($K$7*卓尔金历!$N$40),0),卓尔金历!$M$43),0),1)</f>
        <v>3.1082103240173797E-2</v>
      </c>
      <c r="M2768" s="4">
        <f>MIN(MAX(M2767*(1+MAX(MIN(((B2768-B2767)/B2767)/($K$7*30),0),-卓尔金历!$M$43))+MIN(MAX(((B2768-B2767)/B2767)/($K$7*7),0),卓尔金历!$M$43),0),1)</f>
        <v>0.5155410516200869</v>
      </c>
      <c r="N2768">
        <f t="shared" si="373"/>
        <v>177637.98352249013</v>
      </c>
      <c r="O2768">
        <f t="shared" si="374"/>
        <v>490416.57395103871</v>
      </c>
      <c r="P2768">
        <f t="shared" si="375"/>
        <v>-6.3414839753215158E-2</v>
      </c>
      <c r="Q2768">
        <f t="shared" si="376"/>
        <v>5.7096490217326164E-2</v>
      </c>
      <c r="R2768">
        <f t="shared" si="377"/>
        <v>5.0653057406700466E-2</v>
      </c>
      <c r="S2768">
        <f t="shared" si="369"/>
        <v>790.5344189330815</v>
      </c>
      <c r="T2768" s="564">
        <f>IF((I2768-MAX(I$470:I2768))/MAX(I$470:I2768)&gt;T2767,T2767,(I2768-MAX(I$470:I2768))/MAX(I$470:I2768))</f>
        <v>-0.91338805338419748</v>
      </c>
      <c r="U2768" s="564">
        <f>IF((J2768-MAX(J$470:J2768))/MAX(J$470:J2768)&gt;U2767,U2767,(J2768-MAX(J$470:J2768))/MAX(J$470:J2768))</f>
        <v>-0.8283551177402233</v>
      </c>
      <c r="V2768" s="564">
        <f>IF((K2768-MAX(K$470:K2768))/MAX(K$470:K2768)&gt;V2767,V2767,(K2768-MAX(K$470:K2768))/MAX(K$470:K2768))</f>
        <v>-0.84885940676762139</v>
      </c>
      <c r="W2768" s="564">
        <f>IF((N2768-MAX(N$470:N2768))/MAX(N$470:N2768)&gt;W2767,W2767,(N2768-MAX(N$470:N2768))/MAX(N$470:N2768))</f>
        <v>-0.62788758315546067</v>
      </c>
      <c r="X2768" s="564">
        <f>IF((O2768-MAX(O$470:O2768))/MAX(O$470:O2768)&gt;X2767,X2767,(O2768-MAX(O$470:O2768))/MAX(O$470:O2768))</f>
        <v>-0.62788758315546067</v>
      </c>
    </row>
    <row r="2769" spans="1:24">
      <c r="A2769" s="799">
        <v>43171</v>
      </c>
      <c r="B2769">
        <v>9658.8700000000008</v>
      </c>
      <c r="C2769">
        <v>4682.3956330000001</v>
      </c>
      <c r="D2769">
        <v>1.7033130000000001</v>
      </c>
      <c r="E2769">
        <f>LN(D2769/参数实验室!$E$53)/参数实验室!$E$55</f>
        <v>-6.4660999903896524E-2</v>
      </c>
      <c r="F2769">
        <f t="shared" si="378"/>
        <v>0.48477675266361381</v>
      </c>
      <c r="G2769">
        <f>LN(F2769/参数实验室!$E$58)/参数实验室!$E$59</f>
        <v>-0.57055941094162954</v>
      </c>
      <c r="H2769" s="856">
        <f>INDEX(神经网络!$G$10:$BO$70,MATCH(ROUND(G2769*2,1)/2,神经网络!$E$10:$E$70,0),MATCH(ROUND(E2769*2,1)/2,神经网络!$G$8:$BO$8,0))</f>
        <v>-0.71920921928105808</v>
      </c>
      <c r="I2769">
        <f t="shared" si="370"/>
        <v>440012.45277466177</v>
      </c>
      <c r="J2769">
        <f t="shared" si="371"/>
        <v>3854.1438889110573</v>
      </c>
      <c r="K2769">
        <f t="shared" si="372"/>
        <v>114.16606786286385</v>
      </c>
      <c r="L2769" s="4">
        <f>MIN(MAX(L2768*(1+MAX(MIN(((B2769-B2768)/B2768)/($K$7*卓尔金历!$N$40),0),-卓尔金历!$M$43))+MIN(MAX(((B2769-B2768)/B2768)/($K$7*卓尔金历!$N$40),0),卓尔金历!$M$43),0),1)</f>
        <v>1</v>
      </c>
      <c r="M2769" s="4">
        <f>MIN(MAX(M2768*(1+MAX(MIN(((B2769-B2768)/B2768)/($K$7*30),0),-卓尔金历!$M$43))+MIN(MAX(((B2769-B2768)/B2768)/($K$7*7),0),卓尔金历!$M$43),0),1)</f>
        <v>1</v>
      </c>
      <c r="N2769">
        <f t="shared" si="373"/>
        <v>177339.27649778518</v>
      </c>
      <c r="O2769">
        <f t="shared" si="374"/>
        <v>476738.41661646997</v>
      </c>
      <c r="P2769">
        <f t="shared" si="375"/>
        <v>8.6702204260911159E-2</v>
      </c>
      <c r="Q2769">
        <f t="shared" si="376"/>
        <v>6.0333171335624457E-2</v>
      </c>
      <c r="R2769">
        <f t="shared" si="377"/>
        <v>3.6393459884703237E-2</v>
      </c>
      <c r="S2769">
        <f t="shared" si="369"/>
        <v>788.36808376247484</v>
      </c>
      <c r="T2769" s="564">
        <f>IF((I2769-MAX(I$470:I2769))/MAX(I$470:I2769)&gt;T2768,T2768,(I2769-MAX(I$470:I2769))/MAX(I$470:I2769))</f>
        <v>-0.91338805338419748</v>
      </c>
      <c r="U2769" s="564">
        <f>IF((J2769-MAX(J$470:J2769))/MAX(J$470:J2769)&gt;U2768,U2768,(J2769-MAX(J$470:J2769))/MAX(J$470:J2769))</f>
        <v>-0.8283551177402233</v>
      </c>
      <c r="V2769" s="564">
        <f>IF((K2769-MAX(K$470:K2769))/MAX(K$470:K2769)&gt;V2768,V2768,(K2769-MAX(K$470:K2769))/MAX(K$470:K2769))</f>
        <v>-0.84885940676762139</v>
      </c>
      <c r="W2769" s="564">
        <f>IF((N2769-MAX(N$470:N2769))/MAX(N$470:N2769)&gt;W2768,W2768,(N2769-MAX(N$470:N2769))/MAX(N$470:N2769))</f>
        <v>-0.62788758315546067</v>
      </c>
      <c r="X2769" s="564">
        <f>IF((O2769-MAX(O$470:O2769))/MAX(O$470:O2769)&gt;X2768,X2768,(O2769-MAX(O$470:O2769))/MAX(O$470:O2769))</f>
        <v>-0.62788758315546067</v>
      </c>
    </row>
    <row r="2770" spans="1:24">
      <c r="A2770" s="799">
        <v>43172</v>
      </c>
      <c r="B2770">
        <v>9404.81</v>
      </c>
      <c r="C2770">
        <v>4663.1518429999996</v>
      </c>
      <c r="D2770">
        <v>1.7070240000000001</v>
      </c>
      <c r="E2770">
        <f>LN(D2770/参数实验室!$E$53)/参数实验室!$E$55</f>
        <v>-6.2093472990046167E-2</v>
      </c>
      <c r="F2770">
        <f t="shared" si="378"/>
        <v>0.4958262679416171</v>
      </c>
      <c r="G2770">
        <f>LN(F2770/参数实验室!$E$58)/参数实验室!$E$59</f>
        <v>-0.55873071347045467</v>
      </c>
      <c r="H2770" s="856">
        <f>INDEX(神经网络!$G$10:$BO$70,MATCH(ROUND(G2770*2,1)/2,神经网络!$E$10:$E$70,0),MATCH(ROUND(E2770*2,1)/2,神经网络!$G$8:$BO$8,0))</f>
        <v>-0.71920921928105808</v>
      </c>
      <c r="I2770">
        <f t="shared" si="370"/>
        <v>448336.41664101434</v>
      </c>
      <c r="J2770">
        <f t="shared" si="371"/>
        <v>3752.767247915087</v>
      </c>
      <c r="K2770">
        <f t="shared" si="372"/>
        <v>119.46821825683305</v>
      </c>
      <c r="L2770" s="4">
        <f>MIN(MAX(L2769*(1+MAX(MIN(((B2770-B2769)/B2769)/($K$7*卓尔金历!$N$40),0),-卓尔金历!$M$43))+MIN(MAX(((B2770-B2769)/B2769)/($K$7*卓尔金历!$N$40),0),卓尔金历!$M$43),0),1)</f>
        <v>0.59811106300670569</v>
      </c>
      <c r="M2770" s="4">
        <f>MIN(MAX(M2769*(1+MAX(MIN(((B2770-B2769)/B2769)/($K$7*30),0),-卓尔金历!$M$43))+MIN(MAX(((B2770-B2769)/B2769)/($K$7*7),0),卓尔金历!$M$43),0),1)</f>
        <v>0.79905553150335284</v>
      </c>
      <c r="N2770">
        <f t="shared" si="373"/>
        <v>180694.1036631169</v>
      </c>
      <c r="O2770">
        <f t="shared" si="374"/>
        <v>485757.1462651281</v>
      </c>
      <c r="P2770">
        <f t="shared" si="375"/>
        <v>-2.6303283924517185E-2</v>
      </c>
      <c r="Q2770">
        <f t="shared" si="376"/>
        <v>5.7000591357289687E-2</v>
      </c>
      <c r="R2770">
        <f t="shared" si="377"/>
        <v>0.88036075318710527</v>
      </c>
      <c r="S2770">
        <f t="shared" si="369"/>
        <v>788.91085596561732</v>
      </c>
      <c r="T2770" s="564">
        <f>IF((I2770-MAX(I$470:I2770))/MAX(I$470:I2770)&gt;T2769,T2769,(I2770-MAX(I$470:I2770))/MAX(I$470:I2770))</f>
        <v>-0.91338805338419748</v>
      </c>
      <c r="U2770" s="564">
        <f>IF((J2770-MAX(J$470:J2770))/MAX(J$470:J2770)&gt;U2769,U2769,(J2770-MAX(J$470:J2770))/MAX(J$470:J2770))</f>
        <v>-0.8283551177402233</v>
      </c>
      <c r="V2770" s="564">
        <f>IF((K2770-MAX(K$470:K2770))/MAX(K$470:K2770)&gt;V2769,V2769,(K2770-MAX(K$470:K2770))/MAX(K$470:K2770))</f>
        <v>-0.84885940676762139</v>
      </c>
      <c r="W2770" s="564">
        <f>IF((N2770-MAX(N$470:N2770))/MAX(N$470:N2770)&gt;W2769,W2769,(N2770-MAX(N$470:N2770))/MAX(N$470:N2770))</f>
        <v>-0.62788758315546067</v>
      </c>
      <c r="X2770" s="564">
        <f>IF((O2770-MAX(O$470:O2770))/MAX(O$470:O2770)&gt;X2769,X2769,(O2770-MAX(O$470:O2770))/MAX(O$470:O2770))</f>
        <v>-0.62788758315546067</v>
      </c>
    </row>
    <row r="2771" spans="1:24">
      <c r="A2771" s="799">
        <v>43173</v>
      </c>
      <c r="B2771">
        <v>9196.64</v>
      </c>
      <c r="C2771">
        <v>4731.1420639999997</v>
      </c>
      <c r="D2771">
        <v>1.5369159999999999</v>
      </c>
      <c r="E2771">
        <f>LN(D2771/参数实验室!$E$53)/参数实验室!$E$55</f>
        <v>-0.18593652704073907</v>
      </c>
      <c r="F2771">
        <f t="shared" si="378"/>
        <v>0.51444245550548895</v>
      </c>
      <c r="G2771">
        <f>LN(F2771/参数实验室!$E$58)/参数实验室!$E$59</f>
        <v>-0.53938558834113959</v>
      </c>
      <c r="H2771" s="856">
        <f>INDEX(神经网络!$G$10:$BO$70,MATCH(ROUND(G2771*2,1)/2,神经网络!$E$10:$E$70,0),MATCH(ROUND(E2771*2,1)/2,神经网络!$G$8:$BO$8,0))</f>
        <v>-0.80168467006951394</v>
      </c>
      <c r="I2771">
        <f t="shared" si="370"/>
        <v>455473.60861164884</v>
      </c>
      <c r="J2771">
        <f t="shared" si="371"/>
        <v>3669.7019272973939</v>
      </c>
      <c r="K2771">
        <f t="shared" si="372"/>
        <v>124.11733095365844</v>
      </c>
      <c r="L2771" s="4">
        <f>MIN(MAX(L2770*(1+MAX(MIN(((B2771-B2770)/B2770)/($K$7*卓尔金历!$N$40),0),-卓尔金历!$M$43))+MIN(MAX(((B2771-B2770)/B2770)/($K$7*卓尔金历!$N$40),0),卓尔金历!$M$43),0),1)</f>
        <v>0.3958342837788687</v>
      </c>
      <c r="M2771" s="4">
        <f>MIN(MAX(M2770*(1+MAX(MIN(((B2771-B2770)/B2770)/($K$7*30),0),-卓尔金历!$M$43))+MIN(MAX(((B2771-B2770)/B2770)/($K$7*7),0),卓尔金历!$M$43),0),1)</f>
        <v>0.66393816841348674</v>
      </c>
      <c r="N2771">
        <f t="shared" si="373"/>
        <v>182414.58188010255</v>
      </c>
      <c r="O2771">
        <f t="shared" si="374"/>
        <v>491936.16515111149</v>
      </c>
      <c r="P2771">
        <f t="shared" si="375"/>
        <v>-2.213441845183476E-2</v>
      </c>
      <c r="Q2771">
        <f t="shared" si="376"/>
        <v>5.6278526290463426E-2</v>
      </c>
      <c r="R2771">
        <f t="shared" si="377"/>
        <v>1</v>
      </c>
      <c r="S2771">
        <f t="shared" si="369"/>
        <v>799.96721078179792</v>
      </c>
      <c r="T2771" s="564">
        <f>IF((I2771-MAX(I$470:I2771))/MAX(I$470:I2771)&gt;T2770,T2770,(I2771-MAX(I$470:I2771))/MAX(I$470:I2771))</f>
        <v>-0.91338805338419748</v>
      </c>
      <c r="U2771" s="564">
        <f>IF((J2771-MAX(J$470:J2771))/MAX(J$470:J2771)&gt;U2770,U2770,(J2771-MAX(J$470:J2771))/MAX(J$470:J2771))</f>
        <v>-0.8283551177402233</v>
      </c>
      <c r="V2771" s="564">
        <f>IF((K2771-MAX(K$470:K2771))/MAX(K$470:K2771)&gt;V2770,V2770,(K2771-MAX(K$470:K2771))/MAX(K$470:K2771))</f>
        <v>-0.84885940676762139</v>
      </c>
      <c r="W2771" s="564">
        <f>IF((N2771-MAX(N$470:N2771))/MAX(N$470:N2771)&gt;W2770,W2770,(N2771-MAX(N$470:N2771))/MAX(N$470:N2771))</f>
        <v>-0.62788758315546067</v>
      </c>
      <c r="X2771" s="564">
        <f>IF((O2771-MAX(O$470:O2771))/MAX(O$470:O2771)&gt;X2770,X2770,(O2771-MAX(O$470:O2771))/MAX(O$470:O2771))</f>
        <v>-0.62788758315546067</v>
      </c>
    </row>
    <row r="2772" spans="1:24">
      <c r="A2772" s="799">
        <v>43174</v>
      </c>
      <c r="B2772">
        <v>7899.96</v>
      </c>
      <c r="C2772">
        <v>4794.237196</v>
      </c>
      <c r="D2772">
        <v>1.5474920000000001</v>
      </c>
      <c r="E2772">
        <f>LN(D2772/参数实验室!$E$53)/参数实验室!$E$55</f>
        <v>-0.17784608037704167</v>
      </c>
      <c r="F2772">
        <f t="shared" si="378"/>
        <v>0.60686854060020556</v>
      </c>
      <c r="G2772">
        <f>LN(F2772/参数实验室!$E$58)/参数实验室!$E$59</f>
        <v>-0.45266474642268634</v>
      </c>
      <c r="H2772" s="856">
        <f>INDEX(神经网络!$G$10:$BO$70,MATCH(ROUND(G2772*2,1)/2,神经网络!$E$10:$E$70,0),MATCH(ROUND(E2772*2,1)/2,神经网络!$G$8:$BO$8,0))</f>
        <v>-0.68481748404425757</v>
      </c>
      <c r="I2772">
        <f t="shared" si="370"/>
        <v>506957.38824450813</v>
      </c>
      <c r="J2772">
        <f t="shared" si="371"/>
        <v>3152.2924065280713</v>
      </c>
      <c r="K2772">
        <f t="shared" si="372"/>
        <v>160.82181563951741</v>
      </c>
      <c r="L2772" s="4">
        <f>MIN(MAX(L2771*(1+MAX(MIN(((B2772-B2771)/B2771)/($K$7*卓尔金历!$N$40),0),-卓尔金历!$M$43))+MIN(MAX(((B2772-B2771)/B2771)/($K$7*卓尔金历!$N$40),0),卓尔金历!$M$43),0),1)</f>
        <v>0</v>
      </c>
      <c r="M2772" s="4">
        <f>MIN(MAX(M2771*(1+MAX(MIN(((B2772-B2771)/B2771)/($K$7*30),0),-卓尔金历!$M$43))+MIN(MAX(((B2772-B2771)/B2771)/($K$7*7),0),卓尔金历!$M$43),0),1)</f>
        <v>0</v>
      </c>
      <c r="N2772">
        <f t="shared" si="373"/>
        <v>190576.27315988549</v>
      </c>
      <c r="O2772">
        <f t="shared" si="374"/>
        <v>528854.62646634481</v>
      </c>
      <c r="P2772">
        <f t="shared" si="375"/>
        <v>-0.1409949720767584</v>
      </c>
      <c r="Q2772">
        <f t="shared" si="376"/>
        <v>6.3116113375021918E-2</v>
      </c>
      <c r="R2772">
        <f t="shared" si="377"/>
        <v>1.1044765955313385E-2</v>
      </c>
      <c r="S2772">
        <f t="shared" si="369"/>
        <v>890.39031063810387</v>
      </c>
      <c r="T2772" s="564">
        <f>IF((I2772-MAX(I$470:I2772))/MAX(I$470:I2772)&gt;T2771,T2771,(I2772-MAX(I$470:I2772))/MAX(I$470:I2772))</f>
        <v>-0.91338805338419748</v>
      </c>
      <c r="U2772" s="564">
        <f>IF((J2772-MAX(J$470:J2772))/MAX(J$470:J2772)&gt;U2771,U2771,(J2772-MAX(J$470:J2772))/MAX(J$470:J2772))</f>
        <v>-0.8283551177402233</v>
      </c>
      <c r="V2772" s="564">
        <f>IF((K2772-MAX(K$470:K2772))/MAX(K$470:K2772)&gt;V2771,V2771,(K2772-MAX(K$470:K2772))/MAX(K$470:K2772))</f>
        <v>-0.84885940676762139</v>
      </c>
      <c r="W2772" s="564">
        <f>IF((N2772-MAX(N$470:N2772))/MAX(N$470:N2772)&gt;W2771,W2771,(N2772-MAX(N$470:N2772))/MAX(N$470:N2772))</f>
        <v>-0.62788758315546067</v>
      </c>
      <c r="X2772" s="564">
        <f>IF((O2772-MAX(O$470:O2772))/MAX(O$470:O2772)&gt;X2771,X2771,(O2772-MAX(O$470:O2772))/MAX(O$470:O2772))</f>
        <v>-0.62788758315546067</v>
      </c>
    </row>
    <row r="2773" spans="1:24">
      <c r="A2773" s="799">
        <v>43175</v>
      </c>
      <c r="B2773">
        <v>8240.75</v>
      </c>
      <c r="C2773">
        <v>4868.0631030000004</v>
      </c>
      <c r="D2773">
        <v>1.5695840000000001</v>
      </c>
      <c r="E2773">
        <f>LN(D2773/参数实验室!$E$53)/参数实验室!$E$55</f>
        <v>-0.1611230071671039</v>
      </c>
      <c r="F2773">
        <f t="shared" si="378"/>
        <v>0.59073058920607957</v>
      </c>
      <c r="G2773">
        <f>LN(F2773/参数实验室!$E$58)/参数实验室!$E$59</f>
        <v>-0.46681068483105204</v>
      </c>
      <c r="H2773" s="856">
        <f>INDEX(神经网络!$G$10:$BO$70,MATCH(ROUND(G2773*2,1)/2,神经网络!$E$10:$E$70,0),MATCH(ROUND(E2773*2,1)/2,神经网络!$G$8:$BO$8,0))</f>
        <v>-0.65684808564670449</v>
      </c>
      <c r="I2773">
        <f t="shared" si="370"/>
        <v>491980.96011580084</v>
      </c>
      <c r="J2773">
        <f t="shared" si="371"/>
        <v>3288.2766050835958</v>
      </c>
      <c r="K2773">
        <f t="shared" si="372"/>
        <v>149.61665918104646</v>
      </c>
      <c r="L2773" s="4">
        <f>MIN(MAX(L2772*(1+MAX(MIN(((B2773-B2772)/B2772)/($K$7*卓尔金历!$N$40),0),-卓尔金历!$M$43))+MIN(MAX(((B2773-B2772)/B2772)/($K$7*卓尔金历!$N$40),0),卓尔金历!$M$43),0),1)</f>
        <v>0.65911019401383708</v>
      </c>
      <c r="M2773" s="4">
        <f>MIN(MAX(M2772*(1+MAX(MIN(((B2773-B2772)/B2772)/($K$7*30),0),-卓尔金历!$M$43))+MIN(MAX(((B2773-B2772)/B2772)/($K$7*7),0),卓尔金历!$M$43),0),1)</f>
        <v>1</v>
      </c>
      <c r="N2773">
        <f t="shared" si="373"/>
        <v>190576.27315988549</v>
      </c>
      <c r="O2773">
        <f t="shared" si="374"/>
        <v>528854.62646634481</v>
      </c>
      <c r="P2773">
        <f t="shared" si="375"/>
        <v>4.3138193104775208E-2</v>
      </c>
      <c r="Q2773">
        <f t="shared" si="376"/>
        <v>6.2223924624663286E-2</v>
      </c>
      <c r="R2773">
        <f t="shared" si="377"/>
        <v>0.45256830076388477</v>
      </c>
      <c r="S2773">
        <f t="shared" si="369"/>
        <v>890.09979217859586</v>
      </c>
      <c r="T2773" s="564">
        <f>IF((I2773-MAX(I$470:I2773))/MAX(I$470:I2773)&gt;T2772,T2772,(I2773-MAX(I$470:I2773))/MAX(I$470:I2773))</f>
        <v>-0.91338805338419748</v>
      </c>
      <c r="U2773" s="564">
        <f>IF((J2773-MAX(J$470:J2773))/MAX(J$470:J2773)&gt;U2772,U2772,(J2773-MAX(J$470:J2773))/MAX(J$470:J2773))</f>
        <v>-0.8283551177402233</v>
      </c>
      <c r="V2773" s="564">
        <f>IF((K2773-MAX(K$470:K2773))/MAX(K$470:K2773)&gt;V2772,V2772,(K2773-MAX(K$470:K2773))/MAX(K$470:K2773))</f>
        <v>-0.84885940676762139</v>
      </c>
      <c r="W2773" s="564">
        <f>IF((N2773-MAX(N$470:N2773))/MAX(N$470:N2773)&gt;W2772,W2772,(N2773-MAX(N$470:N2773))/MAX(N$470:N2773))</f>
        <v>-0.62788758315546067</v>
      </c>
      <c r="X2773" s="564">
        <f>IF((O2773-MAX(O$470:O2773))/MAX(O$470:O2773)&gt;X2772,X2772,(O2773-MAX(O$470:O2773))/MAX(O$470:O2773))</f>
        <v>-0.62788758315546067</v>
      </c>
    </row>
    <row r="2774" spans="1:24">
      <c r="A2774" s="799">
        <v>43176</v>
      </c>
      <c r="B2774">
        <v>8231.27</v>
      </c>
      <c r="C2774">
        <v>4813.23207</v>
      </c>
      <c r="D2774">
        <v>1.4789620000000001</v>
      </c>
      <c r="E2774">
        <f>LN(D2774/参数实验室!$E$53)/参数实验室!$E$55</f>
        <v>-0.23128308092161703</v>
      </c>
      <c r="F2774">
        <f t="shared" si="378"/>
        <v>0.58474962794319707</v>
      </c>
      <c r="G2774">
        <f>LN(F2774/参数实验室!$E$58)/参数实验室!$E$59</f>
        <v>-0.47215175096619505</v>
      </c>
      <c r="H2774" s="856">
        <f>INDEX(神经网络!$G$10:$BO$70,MATCH(ROUND(G2774*2,1)/2,神经网络!$E$10:$E$70,0),MATCH(ROUND(E2774*2,1)/2,神经网络!$G$8:$BO$8,0))</f>
        <v>-0.71763360586304159</v>
      </c>
      <c r="I2774">
        <f t="shared" si="370"/>
        <v>492352.71341584233</v>
      </c>
      <c r="J2774">
        <f t="shared" si="371"/>
        <v>3284.4938350424959</v>
      </c>
      <c r="K2774">
        <f t="shared" si="372"/>
        <v>149.90215787982203</v>
      </c>
      <c r="L2774" s="4">
        <f>MIN(MAX(L2773*(1+MAX(MIN(((B2774-B2773)/B2773)/($K$7*卓尔金历!$N$40),0),-卓尔金历!$M$43))+MIN(MAX(((B2774-B2773)/B2773)/($K$7*卓尔金历!$N$40),0),卓尔金历!$M$43),0),1)</f>
        <v>0.64752520289279036</v>
      </c>
      <c r="M2774" s="4">
        <f>MIN(MAX(M2773*(1+MAX(MIN(((B2774-B2773)/B2773)/($K$7*30),0),-卓尔金历!$M$43))+MIN(MAX(((B2774-B2773)/B2773)/($K$7*7),0),卓尔金历!$M$43),0),1)</f>
        <v>0.99121164319239508</v>
      </c>
      <c r="N2774">
        <f t="shared" si="373"/>
        <v>190671.18784147568</v>
      </c>
      <c r="O2774">
        <f t="shared" si="374"/>
        <v>529254.242444542</v>
      </c>
      <c r="P2774">
        <f t="shared" si="375"/>
        <v>-1.1503807299092393E-3</v>
      </c>
      <c r="Q2774">
        <f t="shared" si="376"/>
        <v>6.0844481675970008E-2</v>
      </c>
      <c r="R2774">
        <f t="shared" si="377"/>
        <v>1</v>
      </c>
      <c r="S2774">
        <f t="shared" si="369"/>
        <v>890.40418146869331</v>
      </c>
      <c r="T2774" s="564">
        <f>IF((I2774-MAX(I$470:I2774))/MAX(I$470:I2774)&gt;T2773,T2773,(I2774-MAX(I$470:I2774))/MAX(I$470:I2774))</f>
        <v>-0.91338805338419748</v>
      </c>
      <c r="U2774" s="564">
        <f>IF((J2774-MAX(J$470:J2774))/MAX(J$470:J2774)&gt;U2773,U2773,(J2774-MAX(J$470:J2774))/MAX(J$470:J2774))</f>
        <v>-0.8283551177402233</v>
      </c>
      <c r="V2774" s="564">
        <f>IF((K2774-MAX(K$470:K2774))/MAX(K$470:K2774)&gt;V2773,V2773,(K2774-MAX(K$470:K2774))/MAX(K$470:K2774))</f>
        <v>-0.84885940676762139</v>
      </c>
      <c r="W2774" s="564">
        <f>IF((N2774-MAX(N$470:N2774))/MAX(N$470:N2774)&gt;W2773,W2773,(N2774-MAX(N$470:N2774))/MAX(N$470:N2774))</f>
        <v>-0.62788758315546067</v>
      </c>
      <c r="X2774" s="564">
        <f>IF((O2774-MAX(O$470:O2774))/MAX(O$470:O2774)&gt;X2773,X2773,(O2774-MAX(O$470:O2774))/MAX(O$470:O2774))</f>
        <v>-0.62788758315546067</v>
      </c>
    </row>
    <row r="2775" spans="1:24">
      <c r="A2775" s="799">
        <v>43177</v>
      </c>
      <c r="B2775">
        <v>7769.02</v>
      </c>
      <c r="C2775">
        <v>4833.6991699999999</v>
      </c>
      <c r="D2775">
        <v>1.5372129999999999</v>
      </c>
      <c r="E2775">
        <f>LN(D2775/参数实验室!$E$53)/参数实验室!$E$55</f>
        <v>-0.18570856867298668</v>
      </c>
      <c r="F2775">
        <f t="shared" si="378"/>
        <v>0.62217617794779778</v>
      </c>
      <c r="G2775">
        <f>LN(F2775/参数实验室!$E$58)/参数实验室!$E$59</f>
        <v>-0.43959005400911211</v>
      </c>
      <c r="H2775" s="856">
        <f>INDEX(神经网络!$G$10:$BO$70,MATCH(ROUND(G2775*2,1)/2,神经网络!$E$10:$E$70,0),MATCH(ROUND(E2775*2,1)/2,神经网络!$G$8:$BO$8,0))</f>
        <v>-0.68481748404425757</v>
      </c>
      <c r="I2775">
        <f t="shared" si="370"/>
        <v>512194.8838632424</v>
      </c>
      <c r="J2775">
        <f t="shared" si="371"/>
        <v>3100.0438929013203</v>
      </c>
      <c r="K2775">
        <f t="shared" si="372"/>
        <v>165.22181670914375</v>
      </c>
      <c r="L2775" s="4">
        <f>MIN(MAX(L2774*(1+MAX(MIN(((B2775-B2774)/B2774)/($K$7*卓尔金历!$N$40),0),-卓尔金历!$M$43))+MIN(MAX(((B2775-B2774)/B2774)/($K$7*卓尔金历!$N$40),0),卓尔金历!$M$43),0),1)</f>
        <v>9.192444771561481E-2</v>
      </c>
      <c r="M2775" s="4">
        <f>MIN(MAX(M2774*(1+MAX(MIN(((B2775-B2774)/B2774)/($K$7*30),0),-卓尔金历!$M$43))+MIN(MAX(((B2775-B2774)/B2774)/($K$7*7),0),卓尔金历!$M$43),0),1)</f>
        <v>0.56596337869412094</v>
      </c>
      <c r="N2775">
        <f t="shared" si="373"/>
        <v>195646.8924413574</v>
      </c>
      <c r="O2775">
        <f t="shared" si="374"/>
        <v>550396.12144944875</v>
      </c>
      <c r="P2775">
        <f t="shared" si="375"/>
        <v>-5.6157798249844799E-2</v>
      </c>
      <c r="Q2775">
        <f t="shared" si="376"/>
        <v>6.0150923661262796E-2</v>
      </c>
      <c r="R2775">
        <f t="shared" si="377"/>
        <v>0.13371520910046453</v>
      </c>
      <c r="S2775">
        <f t="shared" ref="S2775:S2838" si="379">S2774*(1+(B2775-B2774)/B2774*H2774*R2774)</f>
        <v>926.2881139714832</v>
      </c>
      <c r="T2775" s="564">
        <f>IF((I2775-MAX(I$470:I2775))/MAX(I$470:I2775)&gt;T2774,T2774,(I2775-MAX(I$470:I2775))/MAX(I$470:I2775))</f>
        <v>-0.91338805338419748</v>
      </c>
      <c r="U2775" s="564">
        <f>IF((J2775-MAX(J$470:J2775))/MAX(J$470:J2775)&gt;U2774,U2774,(J2775-MAX(J$470:J2775))/MAX(J$470:J2775))</f>
        <v>-0.8283551177402233</v>
      </c>
      <c r="V2775" s="564">
        <f>IF((K2775-MAX(K$470:K2775))/MAX(K$470:K2775)&gt;V2774,V2774,(K2775-MAX(K$470:K2775))/MAX(K$470:K2775))</f>
        <v>-0.84885940676762139</v>
      </c>
      <c r="W2775" s="564">
        <f>IF((N2775-MAX(N$470:N2775))/MAX(N$470:N2775)&gt;W2774,W2774,(N2775-MAX(N$470:N2775))/MAX(N$470:N2775))</f>
        <v>-0.62788758315546067</v>
      </c>
      <c r="X2775" s="564">
        <f>IF((O2775-MAX(O$470:O2775))/MAX(O$470:O2775)&gt;X2774,X2774,(O2775-MAX(O$470:O2775))/MAX(O$470:O2775))</f>
        <v>-0.62788758315546067</v>
      </c>
    </row>
    <row r="2776" spans="1:24">
      <c r="A2776" s="799">
        <v>43178</v>
      </c>
      <c r="B2776">
        <v>8321.7199999999993</v>
      </c>
      <c r="C2776">
        <v>4816.701153</v>
      </c>
      <c r="D2776">
        <v>1.602624</v>
      </c>
      <c r="E2776">
        <f>LN(D2776/参数实验室!$E$53)/参数实验室!$E$55</f>
        <v>-0.13654677712295485</v>
      </c>
      <c r="F2776">
        <f t="shared" si="378"/>
        <v>0.57881076904774498</v>
      </c>
      <c r="G2776">
        <f>LN(F2776/参数实验室!$E$58)/参数实验室!$E$59</f>
        <v>-0.47750954963066028</v>
      </c>
      <c r="H2776" s="856">
        <f>INDEX(神经网络!$G$10:$BO$70,MATCH(ROUND(G2776*2,1)/2,神经网络!$E$10:$E$70,0),MATCH(ROUND(E2776*2,1)/2,神经网络!$G$8:$BO$8,0))</f>
        <v>-0.71877904311679242</v>
      </c>
      <c r="I2776">
        <f t="shared" ref="I2776:I2839" si="380">I2775*(1+(B2776-B2775)/B2775*H2775)</f>
        <v>487241.27858602966</v>
      </c>
      <c r="J2776">
        <f t="shared" ref="J2776:J2839" si="381">J2775*B2776/B2775</f>
        <v>3320.5857707194436</v>
      </c>
      <c r="K2776">
        <f t="shared" ref="K2776:K2839" si="382">I2776/J2776</f>
        <v>146.73353204198762</v>
      </c>
      <c r="L2776" s="4">
        <f>MIN(MAX(L2775*(1+MAX(MIN(((B2776-B2775)/B2775)/($K$7*卓尔金历!$N$40),0),-卓尔金历!$M$43))+MIN(MAX(((B2776-B2775)/B2775)/($K$7*卓尔金历!$N$40),0),卓尔金历!$M$43),0),1)</f>
        <v>1</v>
      </c>
      <c r="M2776" s="4">
        <f>MIN(MAX(M2775*(1+MAX(MIN(((B2776-B2775)/B2775)/($K$7*30),0),-卓尔金历!$M$43))+MIN(MAX(((B2776-B2775)/B2775)/($K$7*7),0),卓尔金历!$M$43),0),1)</f>
        <v>1</v>
      </c>
      <c r="N2776">
        <f t="shared" ref="N2776:N2839" si="383">N2775*(1+(B2776-B2775)/B2775*H2775*L2775)</f>
        <v>194770.69486338011</v>
      </c>
      <c r="O2776">
        <f t="shared" ref="O2776:O2839" si="384">O2775*(1+(B2776-B2775)/B2775*H2775*M2775)</f>
        <v>535219.96621282364</v>
      </c>
      <c r="P2776">
        <f t="shared" ref="P2776:P2839" si="385">(B2776-B2775)/B2775</f>
        <v>7.1141533938643337E-2</v>
      </c>
      <c r="Q2776">
        <f t="shared" si="376"/>
        <v>6.2524962769870795E-2</v>
      </c>
      <c r="R2776">
        <f t="shared" si="377"/>
        <v>5.2385111761234976E-2</v>
      </c>
      <c r="S2776">
        <f t="shared" si="379"/>
        <v>920.25384083942606</v>
      </c>
      <c r="T2776" s="564">
        <f>IF((I2776-MAX(I$470:I2776))/MAX(I$470:I2776)&gt;T2775,T2775,(I2776-MAX(I$470:I2776))/MAX(I$470:I2776))</f>
        <v>-0.91338805338419748</v>
      </c>
      <c r="U2776" s="564">
        <f>IF((J2776-MAX(J$470:J2776))/MAX(J$470:J2776)&gt;U2775,U2775,(J2776-MAX(J$470:J2776))/MAX(J$470:J2776))</f>
        <v>-0.8283551177402233</v>
      </c>
      <c r="V2776" s="564">
        <f>IF((K2776-MAX(K$470:K2776))/MAX(K$470:K2776)&gt;V2775,V2775,(K2776-MAX(K$470:K2776))/MAX(K$470:K2776))</f>
        <v>-0.84885940676762139</v>
      </c>
      <c r="W2776" s="564">
        <f>IF((N2776-MAX(N$470:N2776))/MAX(N$470:N2776)&gt;W2775,W2775,(N2776-MAX(N$470:N2776))/MAX(N$470:N2776))</f>
        <v>-0.62788758315546067</v>
      </c>
      <c r="X2776" s="564">
        <f>IF((O2776-MAX(O$470:O2776))/MAX(O$470:O2776)&gt;X2775,X2775,(O2776-MAX(O$470:O2776))/MAX(O$470:O2776))</f>
        <v>-0.62788758315546067</v>
      </c>
    </row>
    <row r="2777" spans="1:24">
      <c r="A2777" s="799">
        <v>43179</v>
      </c>
      <c r="B2777">
        <v>8564.91</v>
      </c>
      <c r="C2777">
        <v>4929.0082300000004</v>
      </c>
      <c r="D2777">
        <v>1.669848</v>
      </c>
      <c r="E2777">
        <f>LN(D2777/参数实验室!$E$53)/参数实验室!$E$55</f>
        <v>-8.807034068531068E-2</v>
      </c>
      <c r="F2777">
        <f t="shared" si="378"/>
        <v>0.57548861926161521</v>
      </c>
      <c r="G2777">
        <f>LN(F2777/参数实验室!$E$58)/参数实验室!$E$59</f>
        <v>-0.48053068709120123</v>
      </c>
      <c r="H2777" s="856">
        <f>INDEX(神经网络!$G$10:$BO$70,MATCH(ROUND(G2777*2,1)/2,神经网络!$E$10:$E$70,0),MATCH(ROUND(E2777*2,1)/2,神经网络!$G$8:$BO$8,0))</f>
        <v>-0.68558939822602361</v>
      </c>
      <c r="I2777">
        <f t="shared" si="380"/>
        <v>477006.6498274146</v>
      </c>
      <c r="J2777">
        <f t="shared" si="381"/>
        <v>3417.6249950121692</v>
      </c>
      <c r="K2777">
        <f t="shared" si="382"/>
        <v>139.57255419292019</v>
      </c>
      <c r="L2777" s="4">
        <f>MIN(MAX(L2776*(1+MAX(MIN(((B2777-B2776)/B2776)/($K$7*卓尔金历!$N$40),0),-卓尔金历!$M$43))+MIN(MAX(((B2777-B2776)/B2776)/($K$7*卓尔金历!$N$40),0),卓尔金历!$M$43),0),1)</f>
        <v>1</v>
      </c>
      <c r="M2777" s="4">
        <f>MIN(MAX(M2776*(1+MAX(MIN(((B2777-B2776)/B2776)/($K$7*30),0),-卓尔金历!$M$43))+MIN(MAX(((B2777-B2776)/B2776)/($K$7*7),0),卓尔金历!$M$43),0),1)</f>
        <v>1</v>
      </c>
      <c r="N2777">
        <f t="shared" si="383"/>
        <v>190679.48616946765</v>
      </c>
      <c r="O2777">
        <f t="shared" si="384"/>
        <v>523977.53274273011</v>
      </c>
      <c r="P2777">
        <f t="shared" si="385"/>
        <v>2.922352590570225E-2</v>
      </c>
      <c r="Q2777">
        <f t="shared" si="376"/>
        <v>6.062238336031988E-2</v>
      </c>
      <c r="R2777">
        <f t="shared" si="377"/>
        <v>0.83783893106852192</v>
      </c>
      <c r="S2777">
        <f t="shared" si="379"/>
        <v>919.24122775816772</v>
      </c>
      <c r="T2777" s="564">
        <f>IF((I2777-MAX(I$470:I2777))/MAX(I$470:I2777)&gt;T2776,T2776,(I2777-MAX(I$470:I2777))/MAX(I$470:I2777))</f>
        <v>-0.91338805338419748</v>
      </c>
      <c r="U2777" s="564">
        <f>IF((J2777-MAX(J$470:J2777))/MAX(J$470:J2777)&gt;U2776,U2776,(J2777-MAX(J$470:J2777))/MAX(J$470:J2777))</f>
        <v>-0.8283551177402233</v>
      </c>
      <c r="V2777" s="564">
        <f>IF((K2777-MAX(K$470:K2777))/MAX(K$470:K2777)&gt;V2776,V2776,(K2777-MAX(K$470:K2777))/MAX(K$470:K2777))</f>
        <v>-0.84885940676762139</v>
      </c>
      <c r="W2777" s="564">
        <f>IF((N2777-MAX(N$470:N2777))/MAX(N$470:N2777)&gt;W2776,W2776,(N2777-MAX(N$470:N2777))/MAX(N$470:N2777))</f>
        <v>-0.62788758315546067</v>
      </c>
      <c r="X2777" s="564">
        <f>IF((O2777-MAX(O$470:O2777))/MAX(O$470:O2777)&gt;X2776,X2776,(O2777-MAX(O$470:O2777))/MAX(O$470:O2777))</f>
        <v>-0.62788758315546067</v>
      </c>
    </row>
    <row r="2778" spans="1:24">
      <c r="A2778" s="799">
        <v>43180</v>
      </c>
      <c r="B2778">
        <v>9107.93</v>
      </c>
      <c r="C2778">
        <v>4963.0837119999997</v>
      </c>
      <c r="D2778">
        <v>1.6668540000000001</v>
      </c>
      <c r="E2778">
        <f>LN(D2778/参数实验室!$E$53)/参数实验室!$E$55</f>
        <v>-9.0187510369875892E-2</v>
      </c>
      <c r="F2778">
        <f t="shared" si="378"/>
        <v>0.54491895655763711</v>
      </c>
      <c r="G2778">
        <f>LN(F2778/参数实验室!$E$58)/参数实验室!$E$59</f>
        <v>-0.50917846599565819</v>
      </c>
      <c r="H2778" s="856">
        <f>INDEX(神经网络!$G$10:$BO$70,MATCH(ROUND(G2778*2,1)/2,神经网络!$E$10:$E$70,0),MATCH(ROUND(E2778*2,1)/2,神经网络!$G$8:$BO$8,0))</f>
        <v>-0.68558939822602361</v>
      </c>
      <c r="I2778">
        <f t="shared" si="380"/>
        <v>456272.72363288957</v>
      </c>
      <c r="J2778">
        <f t="shared" si="381"/>
        <v>3634.3042975140647</v>
      </c>
      <c r="K2778">
        <f t="shared" si="382"/>
        <v>125.54609803724719</v>
      </c>
      <c r="L2778" s="4">
        <f>MIN(MAX(L2777*(1+MAX(MIN(((B2778-B2777)/B2777)/($K$7*卓尔金历!$N$40),0),-卓尔金历!$M$43))+MIN(MAX(((B2778-B2777)/B2777)/($K$7*卓尔金历!$N$40),0),卓尔金历!$M$43),0),1)</f>
        <v>1</v>
      </c>
      <c r="M2778" s="4">
        <f>MIN(MAX(M2777*(1+MAX(MIN(((B2778-B2777)/B2777)/($K$7*30),0),-卓尔金历!$M$43))+MIN(MAX(((B2778-B2777)/B2777)/($K$7*7),0),卓尔金历!$M$43),0),1)</f>
        <v>1</v>
      </c>
      <c r="N2778">
        <f t="shared" si="383"/>
        <v>182391.26965408339</v>
      </c>
      <c r="O2778">
        <f t="shared" si="384"/>
        <v>501201.93517945125</v>
      </c>
      <c r="P2778">
        <f t="shared" si="385"/>
        <v>6.3400549451191016E-2</v>
      </c>
      <c r="Q2778">
        <f t="shared" si="376"/>
        <v>6.0920515264409295E-2</v>
      </c>
      <c r="R2778">
        <f t="shared" si="377"/>
        <v>5.8203396175060075E-2</v>
      </c>
      <c r="S2778">
        <f t="shared" si="379"/>
        <v>885.76418050088569</v>
      </c>
      <c r="T2778" s="564">
        <f>IF((I2778-MAX(I$470:I2778))/MAX(I$470:I2778)&gt;T2777,T2777,(I2778-MAX(I$470:I2778))/MAX(I$470:I2778))</f>
        <v>-0.91338805338419748</v>
      </c>
      <c r="U2778" s="564">
        <f>IF((J2778-MAX(J$470:J2778))/MAX(J$470:J2778)&gt;U2777,U2777,(J2778-MAX(J$470:J2778))/MAX(J$470:J2778))</f>
        <v>-0.8283551177402233</v>
      </c>
      <c r="V2778" s="564">
        <f>IF((K2778-MAX(K$470:K2778))/MAX(K$470:K2778)&gt;V2777,V2777,(K2778-MAX(K$470:K2778))/MAX(K$470:K2778))</f>
        <v>-0.84885940676762139</v>
      </c>
      <c r="W2778" s="564">
        <f>IF((N2778-MAX(N$470:N2778))/MAX(N$470:N2778)&gt;W2777,W2777,(N2778-MAX(N$470:N2778))/MAX(N$470:N2778))</f>
        <v>-0.62788758315546067</v>
      </c>
      <c r="X2778" s="564">
        <f>IF((O2778-MAX(O$470:O2778))/MAX(O$470:O2778)&gt;X2777,X2777,(O2778-MAX(O$470:O2778))/MAX(O$470:O2778))</f>
        <v>-0.62788758315546067</v>
      </c>
    </row>
    <row r="2779" spans="1:24">
      <c r="A2779" s="799">
        <v>43181</v>
      </c>
      <c r="B2779">
        <v>9049.33</v>
      </c>
      <c r="C2779">
        <v>4958.2673290000002</v>
      </c>
      <c r="D2779">
        <v>1.6366039999999999</v>
      </c>
      <c r="E2779">
        <f>LN(D2779/参数实验室!$E$53)/参数实验室!$E$55</f>
        <v>-0.11179428313356379</v>
      </c>
      <c r="F2779">
        <f t="shared" si="378"/>
        <v>0.54791540688647666</v>
      </c>
      <c r="G2779">
        <f>LN(F2779/参数实验室!$E$58)/参数实验室!$E$59</f>
        <v>-0.50630025670096046</v>
      </c>
      <c r="H2779" s="856">
        <f>INDEX(神经网络!$G$10:$BO$70,MATCH(ROUND(G2779*2,1)/2,神经网络!$E$10:$E$70,0),MATCH(ROUND(E2779*2,1)/2,神经网络!$G$8:$BO$8,0))</f>
        <v>-0.68558939822602361</v>
      </c>
      <c r="I2779">
        <f t="shared" si="380"/>
        <v>458285.36563634302</v>
      </c>
      <c r="J2779">
        <f t="shared" si="381"/>
        <v>3610.9213519013597</v>
      </c>
      <c r="K2779">
        <f t="shared" si="382"/>
        <v>126.91646285650314</v>
      </c>
      <c r="L2779" s="4">
        <f>MIN(MAX(L2778*(1+MAX(MIN(((B2779-B2778)/B2778)/($K$7*卓尔金历!$N$40),0),-卓尔金历!$M$43))+MIN(MAX(((B2779-B2778)/B2778)/($K$7*卓尔金历!$N$40),0),卓尔金历!$M$43),0),1)</f>
        <v>0.90169536153804775</v>
      </c>
      <c r="M2779" s="4">
        <f>MIN(MAX(M2778*(1+MAX(MIN(((B2779-B2778)/B2778)/($K$7*30),0),-卓尔金历!$M$43))+MIN(MAX(((B2779-B2778)/B2778)/($K$7*7),0),卓尔金历!$M$43),0),1)</f>
        <v>0.95084768076902382</v>
      </c>
      <c r="N2779">
        <f t="shared" si="383"/>
        <v>183195.80674638692</v>
      </c>
      <c r="O2779">
        <f t="shared" si="384"/>
        <v>503412.76220176945</v>
      </c>
      <c r="P2779">
        <f t="shared" si="385"/>
        <v>-6.4339537084716686E-3</v>
      </c>
      <c r="Q2779">
        <f t="shared" si="376"/>
        <v>6.0324189489966012E-2</v>
      </c>
      <c r="R2779">
        <f t="shared" si="377"/>
        <v>1</v>
      </c>
      <c r="S2779">
        <f t="shared" si="379"/>
        <v>885.99158992865773</v>
      </c>
      <c r="T2779" s="564">
        <f>IF((I2779-MAX(I$470:I2779))/MAX(I$470:I2779)&gt;T2778,T2778,(I2779-MAX(I$470:I2779))/MAX(I$470:I2779))</f>
        <v>-0.91338805338419748</v>
      </c>
      <c r="U2779" s="564">
        <f>IF((J2779-MAX(J$470:J2779))/MAX(J$470:J2779)&gt;U2778,U2778,(J2779-MAX(J$470:J2779))/MAX(J$470:J2779))</f>
        <v>-0.8283551177402233</v>
      </c>
      <c r="V2779" s="564">
        <f>IF((K2779-MAX(K$470:K2779))/MAX(K$470:K2779)&gt;V2778,V2778,(K2779-MAX(K$470:K2779))/MAX(K$470:K2779))</f>
        <v>-0.84885940676762139</v>
      </c>
      <c r="W2779" s="564">
        <f>IF((N2779-MAX(N$470:N2779))/MAX(N$470:N2779)&gt;W2778,W2778,(N2779-MAX(N$470:N2779))/MAX(N$470:N2779))</f>
        <v>-0.62788758315546067</v>
      </c>
      <c r="X2779" s="564">
        <f>IF((O2779-MAX(O$470:O2779))/MAX(O$470:O2779)&gt;X2778,X2778,(O2779-MAX(O$470:O2779))/MAX(O$470:O2779))</f>
        <v>-0.62788758315546067</v>
      </c>
    </row>
    <row r="2780" spans="1:24">
      <c r="A2780" s="799">
        <v>43182</v>
      </c>
      <c r="B2780">
        <v>8415.39</v>
      </c>
      <c r="C2780">
        <v>5078.3759319999999</v>
      </c>
      <c r="D2780">
        <v>1.648304</v>
      </c>
      <c r="E2780">
        <f>LN(D2780/参数实验室!$E$53)/参数实验室!$E$55</f>
        <v>-0.10339029049586256</v>
      </c>
      <c r="F2780">
        <f t="shared" si="378"/>
        <v>0.60346293303103005</v>
      </c>
      <c r="G2780">
        <f>LN(F2780/参数实验室!$E$58)/参数实验室!$E$59</f>
        <v>-0.45561840276904142</v>
      </c>
      <c r="H2780" s="856">
        <f>INDEX(神经网络!$G$10:$BO$70,MATCH(ROUND(G2780*2,1)/2,神经网络!$E$10:$E$70,0),MATCH(ROUND(E2780*2,1)/2,神经网络!$G$8:$BO$8,0))</f>
        <v>-0.6237015065022109</v>
      </c>
      <c r="I2780">
        <f t="shared" si="380"/>
        <v>480295.96212068031</v>
      </c>
      <c r="J2780">
        <f t="shared" si="381"/>
        <v>3357.9625713259634</v>
      </c>
      <c r="K2780">
        <f t="shared" si="382"/>
        <v>143.03195819452662</v>
      </c>
      <c r="L2780" s="4">
        <f>MIN(MAX(L2779*(1+MAX(MIN(((B2780-B2779)/B2779)/($K$7*卓尔金历!$N$40),0),-卓尔金历!$M$43))+MIN(MAX(((B2780-B2779)/B2779)/($K$7*卓尔金历!$N$40),0),卓尔金历!$M$43),0),1)</f>
        <v>0</v>
      </c>
      <c r="M2780" s="4">
        <f>MIN(MAX(M2779*(1+MAX(MIN(((B2780-B2779)/B2779)/($K$7*30),0),-卓尔金历!$M$43))+MIN(MAX(((B2780-B2779)/B2779)/($K$7*7),0),卓尔金历!$M$43),0),1)</f>
        <v>0.44197543596235933</v>
      </c>
      <c r="N2780">
        <f t="shared" si="383"/>
        <v>191129.42294796364</v>
      </c>
      <c r="O2780">
        <f t="shared" si="384"/>
        <v>526402.34000646498</v>
      </c>
      <c r="P2780">
        <f t="shared" si="385"/>
        <v>-7.005380508833256E-2</v>
      </c>
      <c r="Q2780">
        <f t="shared" si="376"/>
        <v>6.0349176586443135E-2</v>
      </c>
      <c r="R2780">
        <f t="shared" si="377"/>
        <v>5.1328870310890402E-2</v>
      </c>
      <c r="S2780">
        <f t="shared" si="379"/>
        <v>928.54412343004526</v>
      </c>
      <c r="T2780" s="564">
        <f>IF((I2780-MAX(I$470:I2780))/MAX(I$470:I2780)&gt;T2779,T2779,(I2780-MAX(I$470:I2780))/MAX(I$470:I2780))</f>
        <v>-0.91338805338419748</v>
      </c>
      <c r="U2780" s="564">
        <f>IF((J2780-MAX(J$470:J2780))/MAX(J$470:J2780)&gt;U2779,U2779,(J2780-MAX(J$470:J2780))/MAX(J$470:J2780))</f>
        <v>-0.8283551177402233</v>
      </c>
      <c r="V2780" s="564">
        <f>IF((K2780-MAX(K$470:K2780))/MAX(K$470:K2780)&gt;V2779,V2779,(K2780-MAX(K$470:K2780))/MAX(K$470:K2780))</f>
        <v>-0.84885940676762139</v>
      </c>
      <c r="W2780" s="564">
        <f>IF((N2780-MAX(N$470:N2780))/MAX(N$470:N2780)&gt;W2779,W2779,(N2780-MAX(N$470:N2780))/MAX(N$470:N2780))</f>
        <v>-0.62788758315546067</v>
      </c>
      <c r="X2780" s="564">
        <f>IF((O2780-MAX(O$470:O2780))/MAX(O$470:O2780)&gt;X2779,X2779,(O2780-MAX(O$470:O2780))/MAX(O$470:O2780))</f>
        <v>-0.62788758315546067</v>
      </c>
    </row>
    <row r="2781" spans="1:24">
      <c r="A2781" s="799">
        <v>43183</v>
      </c>
      <c r="B2781">
        <v>8927.67</v>
      </c>
      <c r="C2781">
        <v>5056.885593</v>
      </c>
      <c r="D2781">
        <v>1.617872</v>
      </c>
      <c r="E2781">
        <f>LN(D2781/参数实验室!$E$53)/参数实验室!$E$55</f>
        <v>-0.12537519865452312</v>
      </c>
      <c r="F2781">
        <f t="shared" si="378"/>
        <v>0.56642837302454052</v>
      </c>
      <c r="G2781">
        <f>LN(F2781/参数实验室!$E$58)/参数实验室!$E$59</f>
        <v>-0.48885950028938829</v>
      </c>
      <c r="H2781" s="856">
        <f>INDEX(神经网络!$G$10:$BO$70,MATCH(ROUND(G2781*2,1)/2,神经网络!$E$10:$E$70,0),MATCH(ROUND(E2781*2,1)/2,神经网络!$G$8:$BO$8,0))</f>
        <v>-0.71877904311679242</v>
      </c>
      <c r="I2781">
        <f t="shared" si="380"/>
        <v>462060.41147825762</v>
      </c>
      <c r="J2781">
        <f t="shared" si="381"/>
        <v>3562.3758030405797</v>
      </c>
      <c r="K2781">
        <f t="shared" si="382"/>
        <v>129.70568997349386</v>
      </c>
      <c r="L2781" s="4">
        <f>MIN(MAX(L2780*(1+MAX(MIN(((B2781-B2780)/B2780)/($K$7*卓尔金历!$N$40),0),-卓尔金历!$M$43))+MIN(MAX(((B2781-B2780)/B2780)/($K$7*卓尔金历!$N$40),0),卓尔金历!$M$43),0),1)</f>
        <v>0.93009911622152375</v>
      </c>
      <c r="M2781" s="4">
        <f>MIN(MAX(M2780*(1+MAX(MIN(((B2781-B2780)/B2780)/($K$7*30),0),-卓尔金历!$M$43))+MIN(MAX(((B2781-B2780)/B2780)/($K$7*7),0),卓尔金历!$M$43),0),1)</f>
        <v>1</v>
      </c>
      <c r="N2781">
        <f t="shared" si="383"/>
        <v>191129.42294796364</v>
      </c>
      <c r="O2781">
        <f t="shared" si="384"/>
        <v>517568.98081833235</v>
      </c>
      <c r="P2781">
        <f t="shared" si="385"/>
        <v>6.0874184084160177E-2</v>
      </c>
      <c r="Q2781">
        <f t="shared" si="376"/>
        <v>6.1658906055036211E-2</v>
      </c>
      <c r="R2781">
        <f t="shared" si="377"/>
        <v>7.393066172560428E-2</v>
      </c>
      <c r="S2781">
        <f t="shared" si="379"/>
        <v>926.73455838640587</v>
      </c>
      <c r="T2781" s="564">
        <f>IF((I2781-MAX(I$470:I2781))/MAX(I$470:I2781)&gt;T2780,T2780,(I2781-MAX(I$470:I2781))/MAX(I$470:I2781))</f>
        <v>-0.91338805338419748</v>
      </c>
      <c r="U2781" s="564">
        <f>IF((J2781-MAX(J$470:J2781))/MAX(J$470:J2781)&gt;U2780,U2780,(J2781-MAX(J$470:J2781))/MAX(J$470:J2781))</f>
        <v>-0.8283551177402233</v>
      </c>
      <c r="V2781" s="564">
        <f>IF((K2781-MAX(K$470:K2781))/MAX(K$470:K2781)&gt;V2780,V2780,(K2781-MAX(K$470:K2781))/MAX(K$470:K2781))</f>
        <v>-0.84885940676762139</v>
      </c>
      <c r="W2781" s="564">
        <f>IF((N2781-MAX(N$470:N2781))/MAX(N$470:N2781)&gt;W2780,W2780,(N2781-MAX(N$470:N2781))/MAX(N$470:N2781))</f>
        <v>-0.62788758315546067</v>
      </c>
      <c r="X2781" s="564">
        <f>IF((O2781-MAX(O$470:O2781))/MAX(O$470:O2781)&gt;X2780,X2780,(O2781-MAX(O$470:O2781))/MAX(O$470:O2781))</f>
        <v>-0.62788758315546067</v>
      </c>
    </row>
    <row r="2782" spans="1:24">
      <c r="A2782" s="799">
        <v>43184</v>
      </c>
      <c r="B2782">
        <v>8568.19</v>
      </c>
      <c r="C2782">
        <v>5101.9937259999997</v>
      </c>
      <c r="D2782">
        <v>1.587853</v>
      </c>
      <c r="E2782">
        <f>LN(D2782/参数实验室!$E$53)/参数实验室!$E$55</f>
        <v>-0.14747069832581636</v>
      </c>
      <c r="F2782">
        <f t="shared" si="378"/>
        <v>0.59545758509090008</v>
      </c>
      <c r="G2782">
        <f>LN(F2782/参数实验室!$E$58)/参数实验室!$E$59</f>
        <v>-0.46262754409719781</v>
      </c>
      <c r="H2782" s="856">
        <f>INDEX(神经网络!$G$10:$BO$70,MATCH(ROUND(G2782*2,1)/2,神经网络!$E$10:$E$70,0),MATCH(ROUND(E2782*2,1)/2,神经网络!$G$8:$BO$8,0))</f>
        <v>-0.65684808564670449</v>
      </c>
      <c r="I2782">
        <f t="shared" si="380"/>
        <v>475433.47079785576</v>
      </c>
      <c r="J2782">
        <f t="shared" si="381"/>
        <v>3418.9338015242797</v>
      </c>
      <c r="K2782">
        <f t="shared" si="382"/>
        <v>139.05898692331832</v>
      </c>
      <c r="L2782" s="4">
        <f>MIN(MAX(L2781*(1+MAX(MIN(((B2782-B2781)/B2781)/($K$7*卓尔金历!$N$40),0),-卓尔金历!$M$43))+MIN(MAX(((B2782-B2781)/B2781)/($K$7*卓尔金历!$N$40),0),卓尔金历!$M$43),0),1)</f>
        <v>0.35788059007389406</v>
      </c>
      <c r="M2782" s="4">
        <f>MIN(MAX(M2781*(1+MAX(MIN(((B2782-B2781)/B2781)/($K$7*30),0),-卓尔金历!$M$43))+MIN(MAX(((B2782-B2781)/B2781)/($K$7*7),0),卓尔金历!$M$43),0),1)</f>
        <v>0.69238841529479367</v>
      </c>
      <c r="N2782">
        <f t="shared" si="383"/>
        <v>196274.46336600807</v>
      </c>
      <c r="O2782">
        <f t="shared" si="384"/>
        <v>532548.58199282771</v>
      </c>
      <c r="P2782">
        <f t="shared" si="385"/>
        <v>-4.0265825237715949E-2</v>
      </c>
      <c r="Q2782">
        <f t="shared" si="376"/>
        <v>6.2003310404400235E-2</v>
      </c>
      <c r="R2782">
        <f t="shared" si="377"/>
        <v>0.51996078804111945</v>
      </c>
      <c r="S2782">
        <f t="shared" si="379"/>
        <v>928.71750929356142</v>
      </c>
      <c r="T2782" s="564">
        <f>IF((I2782-MAX(I$470:I2782))/MAX(I$470:I2782)&gt;T2781,T2781,(I2782-MAX(I$470:I2782))/MAX(I$470:I2782))</f>
        <v>-0.91338805338419748</v>
      </c>
      <c r="U2782" s="564">
        <f>IF((J2782-MAX(J$470:J2782))/MAX(J$470:J2782)&gt;U2781,U2781,(J2782-MAX(J$470:J2782))/MAX(J$470:J2782))</f>
        <v>-0.8283551177402233</v>
      </c>
      <c r="V2782" s="564">
        <f>IF((K2782-MAX(K$470:K2782))/MAX(K$470:K2782)&gt;V2781,V2781,(K2782-MAX(K$470:K2782))/MAX(K$470:K2782))</f>
        <v>-0.84885940676762139</v>
      </c>
      <c r="W2782" s="564">
        <f>IF((N2782-MAX(N$470:N2782))/MAX(N$470:N2782)&gt;W2781,W2781,(N2782-MAX(N$470:N2782))/MAX(N$470:N2782))</f>
        <v>-0.62788758315546067</v>
      </c>
      <c r="X2782" s="564">
        <f>IF((O2782-MAX(O$470:O2782))/MAX(O$470:O2782)&gt;X2781,X2781,(O2782-MAX(O$470:O2782))/MAX(O$470:O2782))</f>
        <v>-0.62788758315546067</v>
      </c>
    </row>
    <row r="2783" spans="1:24">
      <c r="A2783" s="799">
        <v>43185</v>
      </c>
      <c r="B2783">
        <v>8490.6200000000008</v>
      </c>
      <c r="C2783">
        <v>5086.998278</v>
      </c>
      <c r="D2783">
        <v>1.540562</v>
      </c>
      <c r="E2783">
        <f>LN(D2783/参数实验室!$E$53)/参数实验室!$E$55</f>
        <v>-0.18314113266911575</v>
      </c>
      <c r="F2783">
        <f t="shared" si="378"/>
        <v>0.59913154492840326</v>
      </c>
      <c r="G2783">
        <f>LN(F2783/参数实验室!$E$58)/参数实验室!$E$59</f>
        <v>-0.45939915584867308</v>
      </c>
      <c r="H2783" s="856">
        <f>INDEX(神经网络!$G$10:$BO$70,MATCH(ROUND(G2783*2,1)/2,神经网络!$E$10:$E$70,0),MATCH(ROUND(E2783*2,1)/2,神经网络!$G$8:$BO$8,0))</f>
        <v>-0.68481748404425757</v>
      </c>
      <c r="I2783">
        <f t="shared" si="380"/>
        <v>478260.68943193951</v>
      </c>
      <c r="J2783">
        <f t="shared" si="381"/>
        <v>3387.981325565619</v>
      </c>
      <c r="K2783">
        <f t="shared" si="382"/>
        <v>141.16390955965335</v>
      </c>
      <c r="L2783" s="4">
        <f>MIN(MAX(L2782*(1+MAX(MIN(((B2783-B2782)/B2782)/($K$7*卓尔金历!$N$40),0),-卓尔金历!$M$43))+MIN(MAX(((B2783-B2782)/B2782)/($K$7*卓尔金历!$N$40),0),卓尔金历!$M$43),0),1)</f>
        <v>0.30837674576135027</v>
      </c>
      <c r="M2783" s="4">
        <f>MIN(MAX(M2782*(1+MAX(MIN(((B2783-B2782)/B2782)/($K$7*30),0),-卓尔金历!$M$43))+MIN(MAX(((B2783-B2782)/B2782)/($K$7*7),0),卓尔金历!$M$43),0),1)</f>
        <v>0.64450109021314395</v>
      </c>
      <c r="N2783">
        <f t="shared" si="383"/>
        <v>196692.17020403649</v>
      </c>
      <c r="O2783">
        <f t="shared" si="384"/>
        <v>534741.27921808802</v>
      </c>
      <c r="P2783">
        <f t="shared" si="385"/>
        <v>-9.0532539544524223E-3</v>
      </c>
      <c r="Q2783">
        <f t="shared" si="376"/>
        <v>6.1435118629239165E-2</v>
      </c>
      <c r="R2783">
        <f t="shared" si="377"/>
        <v>1</v>
      </c>
      <c r="S2783">
        <f t="shared" si="379"/>
        <v>931.58910878856432</v>
      </c>
      <c r="T2783" s="564">
        <f>IF((I2783-MAX(I$470:I2783))/MAX(I$470:I2783)&gt;T2782,T2782,(I2783-MAX(I$470:I2783))/MAX(I$470:I2783))</f>
        <v>-0.91338805338419748</v>
      </c>
      <c r="U2783" s="564">
        <f>IF((J2783-MAX(J$470:J2783))/MAX(J$470:J2783)&gt;U2782,U2782,(J2783-MAX(J$470:J2783))/MAX(J$470:J2783))</f>
        <v>-0.8283551177402233</v>
      </c>
      <c r="V2783" s="564">
        <f>IF((K2783-MAX(K$470:K2783))/MAX(K$470:K2783)&gt;V2782,V2782,(K2783-MAX(K$470:K2783))/MAX(K$470:K2783))</f>
        <v>-0.84885940676762139</v>
      </c>
      <c r="W2783" s="564">
        <f>IF((N2783-MAX(N$470:N2783))/MAX(N$470:N2783)&gt;W2782,W2782,(N2783-MAX(N$470:N2783))/MAX(N$470:N2783))</f>
        <v>-0.62788758315546067</v>
      </c>
      <c r="X2783" s="564">
        <f>IF((O2783-MAX(O$470:O2783))/MAX(O$470:O2783)&gt;X2782,X2782,(O2783-MAX(O$470:O2783))/MAX(O$470:O2783))</f>
        <v>-0.62788758315546067</v>
      </c>
    </row>
    <row r="2784" spans="1:24">
      <c r="A2784" s="799">
        <v>43186</v>
      </c>
      <c r="B2784">
        <v>8016.17</v>
      </c>
      <c r="C2784">
        <v>5153.0608679999996</v>
      </c>
      <c r="D2784">
        <v>1.479724</v>
      </c>
      <c r="E2784">
        <f>LN(D2784/参数实验室!$E$53)/参数实验室!$E$55</f>
        <v>-0.23067539765155518</v>
      </c>
      <c r="F2784">
        <f t="shared" si="378"/>
        <v>0.64283328172930454</v>
      </c>
      <c r="G2784">
        <f>LN(F2784/参数实验室!$E$58)/参数实验室!$E$59</f>
        <v>-0.42244721258468826</v>
      </c>
      <c r="H2784" s="856">
        <f>INDEX(神经网络!$G$10:$BO$70,MATCH(ROUND(G2784*2,1)/2,神经网络!$E$10:$E$70,0),MATCH(ROUND(E2784*2,1)/2,神经网络!$G$8:$BO$8,0))</f>
        <v>-0.6555766345053301</v>
      </c>
      <c r="I2784">
        <f t="shared" si="380"/>
        <v>496562.35318211868</v>
      </c>
      <c r="J2784">
        <f t="shared" si="381"/>
        <v>3198.6632616415932</v>
      </c>
      <c r="K2784">
        <f t="shared" si="382"/>
        <v>155.24058413303462</v>
      </c>
      <c r="L2784" s="4">
        <f>MIN(MAX(L2783*(1+MAX(MIN(((B2784-B2783)/B2783)/($K$7*卓尔金历!$N$40),0),-卓尔金历!$M$43))+MIN(MAX(((B2784-B2783)/B2783)/($K$7*卓尔金历!$N$40),0),卓尔金历!$M$43),0),1)</f>
        <v>4.5090151850966216E-2</v>
      </c>
      <c r="M2784" s="4">
        <f>MIN(MAX(M2783*(1+MAX(MIN(((B2784-B2783)/B2783)/($K$7*30),0),-卓尔金历!$M$43))+MIN(MAX(((B2784-B2783)/B2783)/($K$7*7),0),卓尔金历!$M$43),0),1)</f>
        <v>0.36936929258877305</v>
      </c>
      <c r="N2784">
        <f t="shared" si="383"/>
        <v>199013.27409517235</v>
      </c>
      <c r="O2784">
        <f t="shared" si="384"/>
        <v>547929.71391819825</v>
      </c>
      <c r="P2784">
        <f t="shared" si="385"/>
        <v>-5.5879311522597959E-2</v>
      </c>
      <c r="Q2784">
        <f t="shared" si="376"/>
        <v>6.2121339376347111E-2</v>
      </c>
      <c r="R2784">
        <f t="shared" si="377"/>
        <v>0.17383615723064455</v>
      </c>
      <c r="S2784">
        <f t="shared" si="379"/>
        <v>967.23834988054762</v>
      </c>
      <c r="T2784" s="564">
        <f>IF((I2784-MAX(I$470:I2784))/MAX(I$470:I2784)&gt;T2783,T2783,(I2784-MAX(I$470:I2784))/MAX(I$470:I2784))</f>
        <v>-0.91338805338419748</v>
      </c>
      <c r="U2784" s="564">
        <f>IF((J2784-MAX(J$470:J2784))/MAX(J$470:J2784)&gt;U2783,U2783,(J2784-MAX(J$470:J2784))/MAX(J$470:J2784))</f>
        <v>-0.8283551177402233</v>
      </c>
      <c r="V2784" s="564">
        <f>IF((K2784-MAX(K$470:K2784))/MAX(K$470:K2784)&gt;V2783,V2783,(K2784-MAX(K$470:K2784))/MAX(K$470:K2784))</f>
        <v>-0.84885940676762139</v>
      </c>
      <c r="W2784" s="564">
        <f>IF((N2784-MAX(N$470:N2784))/MAX(N$470:N2784)&gt;W2783,W2783,(N2784-MAX(N$470:N2784))/MAX(N$470:N2784))</f>
        <v>-0.62788758315546067</v>
      </c>
      <c r="X2784" s="564">
        <f>IF((O2784-MAX(O$470:O2784))/MAX(O$470:O2784)&gt;X2783,X2783,(O2784-MAX(O$470:O2784))/MAX(O$470:O2784))</f>
        <v>-0.62788758315546067</v>
      </c>
    </row>
    <row r="2785" spans="1:24">
      <c r="A2785" s="799">
        <v>43187</v>
      </c>
      <c r="B2785">
        <v>7922.57</v>
      </c>
      <c r="C2785">
        <v>5175.2157669999997</v>
      </c>
      <c r="D2785">
        <v>1.4999530000000001</v>
      </c>
      <c r="E2785">
        <f>LN(D2785/参数实验室!$E$53)/参数实验室!$E$55</f>
        <v>-0.21465648349738822</v>
      </c>
      <c r="F2785">
        <f t="shared" si="378"/>
        <v>0.65322436620944968</v>
      </c>
      <c r="G2785">
        <f>LN(F2785/参数实验室!$E$58)/参数实验室!$E$59</f>
        <v>-0.41403104441399158</v>
      </c>
      <c r="H2785" s="856">
        <f>INDEX(神经网络!$G$10:$BO$70,MATCH(ROUND(G2785*2,1)/2,神经网络!$E$10:$E$70,0),MATCH(ROUND(E2785*2,1)/2,神经网络!$G$8:$BO$8,0))</f>
        <v>-0.62285645839876758</v>
      </c>
      <c r="I2785">
        <f t="shared" si="380"/>
        <v>500363.42597669049</v>
      </c>
      <c r="J2785">
        <f t="shared" si="381"/>
        <v>3161.3143928813679</v>
      </c>
      <c r="K2785">
        <f t="shared" si="382"/>
        <v>158.27702145139577</v>
      </c>
      <c r="L2785" s="4">
        <f>MIN(MAX(L2784*(1+MAX(MIN(((B2785-B2784)/B2784)/($K$7*卓尔金历!$N$40),0),-卓尔金历!$M$43))+MIN(MAX(((B2785-B2784)/B2784)/($K$7*卓尔金历!$N$40),0),卓尔金历!$M$43),0),1)</f>
        <v>3.7045880603364237E-2</v>
      </c>
      <c r="M2785" s="4">
        <f>MIN(MAX(M2784*(1+MAX(MIN(((B2785-B2784)/B2784)/($K$7*30),0),-卓尔金历!$M$43))+MIN(MAX(((B2785-B2784)/B2784)/($K$7*7),0),卓尔金历!$M$43),0),1)</f>
        <v>0.33642078101644757</v>
      </c>
      <c r="N2785">
        <f t="shared" si="383"/>
        <v>199081.96450996611</v>
      </c>
      <c r="O2785">
        <f t="shared" si="384"/>
        <v>549478.95154640009</v>
      </c>
      <c r="P2785">
        <f t="shared" si="385"/>
        <v>-1.1676399078362905E-2</v>
      </c>
      <c r="Q2785">
        <f t="shared" si="376"/>
        <v>6.1058888613044378E-2</v>
      </c>
      <c r="R2785">
        <f t="shared" si="377"/>
        <v>1</v>
      </c>
      <c r="S2785">
        <f t="shared" si="379"/>
        <v>968.52543128846685</v>
      </c>
      <c r="T2785" s="564">
        <f>IF((I2785-MAX(I$470:I2785))/MAX(I$470:I2785)&gt;T2784,T2784,(I2785-MAX(I$470:I2785))/MAX(I$470:I2785))</f>
        <v>-0.91338805338419748</v>
      </c>
      <c r="U2785" s="564">
        <f>IF((J2785-MAX(J$470:J2785))/MAX(J$470:J2785)&gt;U2784,U2784,(J2785-MAX(J$470:J2785))/MAX(J$470:J2785))</f>
        <v>-0.8283551177402233</v>
      </c>
      <c r="V2785" s="564">
        <f>IF((K2785-MAX(K$470:K2785))/MAX(K$470:K2785)&gt;V2784,V2784,(K2785-MAX(K$470:K2785))/MAX(K$470:K2785))</f>
        <v>-0.84885940676762139</v>
      </c>
      <c r="W2785" s="564">
        <f>IF((N2785-MAX(N$470:N2785))/MAX(N$470:N2785)&gt;W2784,W2784,(N2785-MAX(N$470:N2785))/MAX(N$470:N2785))</f>
        <v>-0.62788758315546067</v>
      </c>
      <c r="X2785" s="564">
        <f>IF((O2785-MAX(O$470:O2785))/MAX(O$470:O2785)&gt;X2784,X2784,(O2785-MAX(O$470:O2785))/MAX(O$470:O2785))</f>
        <v>-0.62788758315546067</v>
      </c>
    </row>
    <row r="2786" spans="1:24">
      <c r="A2786" s="799">
        <v>43188</v>
      </c>
      <c r="B2786">
        <v>7633.15</v>
      </c>
      <c r="C2786">
        <v>5204.6035620000002</v>
      </c>
      <c r="D2786">
        <v>1.349021</v>
      </c>
      <c r="E2786">
        <f>LN(D2786/参数实验室!$E$53)/参数实验室!$E$55</f>
        <v>-0.33977477738758194</v>
      </c>
      <c r="F2786">
        <f t="shared" si="378"/>
        <v>0.68184217027046512</v>
      </c>
      <c r="G2786">
        <f>LN(F2786/参数实验室!$E$58)/参数实验室!$E$59</f>
        <v>-0.39152659107073889</v>
      </c>
      <c r="H2786" s="856">
        <f>INDEX(神经网络!$G$10:$BO$70,MATCH(ROUND(G2786*2,1)/2,神经网络!$E$10:$E$70,0),MATCH(ROUND(E2786*2,1)/2,神经网络!$G$8:$BO$8,0))</f>
        <v>-0.71502507457718045</v>
      </c>
      <c r="I2786">
        <f t="shared" si="380"/>
        <v>511748.50327454362</v>
      </c>
      <c r="J2786">
        <f t="shared" si="381"/>
        <v>3045.8281792426465</v>
      </c>
      <c r="K2786">
        <f t="shared" si="382"/>
        <v>168.01620878095341</v>
      </c>
      <c r="L2786" s="4">
        <f>MIN(MAX(L2785*(1+MAX(MIN(((B2786-B2785)/B2785)/($K$7*卓尔金历!$N$40),0),-卓尔金历!$M$43))+MIN(MAX(((B2786-B2785)/B2785)/($K$7*卓尔金历!$N$40),0),卓尔金历!$M$43),0),1)</f>
        <v>1.6368360334361148E-2</v>
      </c>
      <c r="M2786" s="4">
        <f>MIN(MAX(M2785*(1+MAX(MIN(((B2786-B2785)/B2785)/($K$7*30),0),-卓尔金历!$M$43))+MIN(MAX(((B2786-B2785)/B2785)/($K$7*7),0),卓尔金历!$M$43),0),1)</f>
        <v>0.2425325078119267</v>
      </c>
      <c r="N2786">
        <f t="shared" si="383"/>
        <v>199249.77622133982</v>
      </c>
      <c r="O2786">
        <f t="shared" si="384"/>
        <v>553685.09714219638</v>
      </c>
      <c r="P2786">
        <f t="shared" si="385"/>
        <v>-3.6531075143545602E-2</v>
      </c>
      <c r="Q2786">
        <f t="shared" si="376"/>
        <v>5.9779847190996285E-2</v>
      </c>
      <c r="R2786">
        <f t="shared" si="377"/>
        <v>0.58363604509875211</v>
      </c>
      <c r="S2786">
        <f t="shared" si="379"/>
        <v>990.56288712095886</v>
      </c>
      <c r="T2786" s="564">
        <f>IF((I2786-MAX(I$470:I2786))/MAX(I$470:I2786)&gt;T2785,T2785,(I2786-MAX(I$470:I2786))/MAX(I$470:I2786))</f>
        <v>-0.91338805338419748</v>
      </c>
      <c r="U2786" s="564">
        <f>IF((J2786-MAX(J$470:J2786))/MAX(J$470:J2786)&gt;U2785,U2785,(J2786-MAX(J$470:J2786))/MAX(J$470:J2786))</f>
        <v>-0.8283551177402233</v>
      </c>
      <c r="V2786" s="564">
        <f>IF((K2786-MAX(K$470:K2786))/MAX(K$470:K2786)&gt;V2785,V2785,(K2786-MAX(K$470:K2786))/MAX(K$470:K2786))</f>
        <v>-0.84885940676762139</v>
      </c>
      <c r="W2786" s="564">
        <f>IF((N2786-MAX(N$470:N2786))/MAX(N$470:N2786)&gt;W2785,W2785,(N2786-MAX(N$470:N2786))/MAX(N$470:N2786))</f>
        <v>-0.62788758315546067</v>
      </c>
      <c r="X2786" s="564">
        <f>IF((O2786-MAX(O$470:O2786))/MAX(O$470:O2786)&gt;X2785,X2785,(O2786-MAX(O$470:O2786))/MAX(O$470:O2786))</f>
        <v>-0.62788758315546067</v>
      </c>
    </row>
    <row r="2787" spans="1:24">
      <c r="A2787" s="799">
        <v>43189</v>
      </c>
      <c r="B2787">
        <v>7158.86</v>
      </c>
      <c r="C2787">
        <v>5182.4713730000003</v>
      </c>
      <c r="D2787">
        <v>1.300767</v>
      </c>
      <c r="E2787">
        <f>LN(D2787/参数实验室!$E$53)/参数实验室!$E$55</f>
        <v>-0.38274735265822901</v>
      </c>
      <c r="F2787">
        <f t="shared" si="378"/>
        <v>0.72392411263804579</v>
      </c>
      <c r="G2787">
        <f>LN(F2787/参数实验室!$E$58)/参数实验室!$E$59</f>
        <v>-0.36009394270661321</v>
      </c>
      <c r="H2787" s="856">
        <f>INDEX(神经网络!$G$10:$BO$70,MATCH(ROUND(G2787*2,1)/2,神经网络!$E$10:$E$70,0),MATCH(ROUND(E2787*2,1)/2,神经网络!$G$8:$BO$8,0))</f>
        <v>-0.67886450745175153</v>
      </c>
      <c r="I2787">
        <f t="shared" si="380"/>
        <v>534484.71078101662</v>
      </c>
      <c r="J2787">
        <f t="shared" si="381"/>
        <v>2856.573959538724</v>
      </c>
      <c r="K2787">
        <f t="shared" si="382"/>
        <v>187.10690440772782</v>
      </c>
      <c r="L2787" s="4">
        <f>MIN(MAX(L2786*(1+MAX(MIN(((B2787-B2786)/B2786)/($K$7*卓尔金历!$N$40),0),-卓尔金历!$M$43))+MIN(MAX(((B2787-B2786)/B2786)/($K$7*卓尔金历!$N$40),0),卓尔金历!$M$43),0),1)</f>
        <v>8.2870340244206424E-4</v>
      </c>
      <c r="M2787" s="4">
        <f>MIN(MAX(M2786*(1+MAX(MIN(((B2787-B2786)/B2786)/($K$7*30),0),-卓尔金历!$M$43))+MIN(MAX(((B2787-B2786)/B2786)/($K$7*7),0),卓尔金历!$M$43),0),1)</f>
        <v>0.12740576667086223</v>
      </c>
      <c r="N2787">
        <f t="shared" si="383"/>
        <v>199394.67491247036</v>
      </c>
      <c r="O2787">
        <f t="shared" si="384"/>
        <v>559651.24805916881</v>
      </c>
      <c r="P2787">
        <f t="shared" si="385"/>
        <v>-6.2135553473991731E-2</v>
      </c>
      <c r="Q2787">
        <f t="shared" si="376"/>
        <v>5.7721846938409094E-2</v>
      </c>
      <c r="R2787">
        <f t="shared" si="377"/>
        <v>5.5375111833931213E-2</v>
      </c>
      <c r="S2787">
        <f t="shared" si="379"/>
        <v>1016.2482438336606</v>
      </c>
      <c r="T2787" s="564">
        <f>IF((I2787-MAX(I$470:I2787))/MAX(I$470:I2787)&gt;T2786,T2786,(I2787-MAX(I$470:I2787))/MAX(I$470:I2787))</f>
        <v>-0.91338805338419748</v>
      </c>
      <c r="U2787" s="564">
        <f>IF((J2787-MAX(J$470:J2787))/MAX(J$470:J2787)&gt;U2786,U2786,(J2787-MAX(J$470:J2787))/MAX(J$470:J2787))</f>
        <v>-0.8283551177402233</v>
      </c>
      <c r="V2787" s="564">
        <f>IF((K2787-MAX(K$470:K2787))/MAX(K$470:K2787)&gt;V2786,V2786,(K2787-MAX(K$470:K2787))/MAX(K$470:K2787))</f>
        <v>-0.84885940676762139</v>
      </c>
      <c r="W2787" s="564">
        <f>IF((N2787-MAX(N$470:N2787))/MAX(N$470:N2787)&gt;W2786,W2786,(N2787-MAX(N$470:N2787))/MAX(N$470:N2787))</f>
        <v>-0.62788758315546067</v>
      </c>
      <c r="X2787" s="564">
        <f>IF((O2787-MAX(O$470:O2787))/MAX(O$470:O2787)&gt;X2786,X2786,(O2787-MAX(O$470:O2787))/MAX(O$470:O2787))</f>
        <v>-0.62788758315546067</v>
      </c>
    </row>
    <row r="2788" spans="1:24">
      <c r="A2788" s="799">
        <v>43190</v>
      </c>
      <c r="B2788">
        <v>6939.83</v>
      </c>
      <c r="C2788">
        <v>5313.2478179999998</v>
      </c>
      <c r="D2788">
        <v>1.3187530000000001</v>
      </c>
      <c r="E2788">
        <f>LN(D2788/参数实验室!$E$53)/参数实验室!$E$55</f>
        <v>-0.36654638812643786</v>
      </c>
      <c r="F2788">
        <f t="shared" si="378"/>
        <v>0.76561642259248419</v>
      </c>
      <c r="G2788">
        <f>LN(F2788/参数实验室!$E$58)/参数实验室!$E$59</f>
        <v>-0.33070488729662573</v>
      </c>
      <c r="H2788" s="856">
        <f>INDEX(神经网络!$G$10:$BO$70,MATCH(ROUND(G2788*2,1)/2,神经网络!$E$10:$E$70,0),MATCH(ROUND(E2788*2,1)/2,神经网络!$G$8:$BO$8,0))</f>
        <v>-0.65265855327381539</v>
      </c>
      <c r="I2788">
        <f t="shared" si="380"/>
        <v>545586.12030216097</v>
      </c>
      <c r="J2788">
        <f t="shared" si="381"/>
        <v>2769.1752124815439</v>
      </c>
      <c r="K2788">
        <f t="shared" si="382"/>
        <v>197.02116277909491</v>
      </c>
      <c r="L2788" s="4">
        <f>MIN(MAX(L2787*(1+MAX(MIN(((B2788-B2787)/B2787)/($K$7*卓尔金历!$N$40),0),-卓尔金历!$M$43))+MIN(MAX(((B2788-B2787)/B2787)/($K$7*卓尔金历!$N$40),0),卓尔金历!$M$43),0),1)</f>
        <v>4.4130757904097082E-4</v>
      </c>
      <c r="M2788" s="4">
        <f>MIN(MAX(M2787*(1+MAX(MIN(((B2788-B2787)/B2787)/($K$7*30),0),-卓尔金历!$M$43))+MIN(MAX(((B2788-B2787)/B2787)/($K$7*7),0),卓尔金历!$M$43),0),1)</f>
        <v>9.7626438059407156E-2</v>
      </c>
      <c r="N2788">
        <f t="shared" si="383"/>
        <v>199398.1069775534</v>
      </c>
      <c r="O2788">
        <f t="shared" si="384"/>
        <v>561132.22876089031</v>
      </c>
      <c r="P2788">
        <f t="shared" si="385"/>
        <v>-3.0595653497903264E-2</v>
      </c>
      <c r="Q2788">
        <f t="shared" si="376"/>
        <v>5.5037132223333944E-2</v>
      </c>
      <c r="R2788">
        <f t="shared" si="377"/>
        <v>0.67876336946358096</v>
      </c>
      <c r="S2788">
        <f t="shared" si="379"/>
        <v>1017.4170897439473</v>
      </c>
      <c r="T2788" s="564">
        <f>IF((I2788-MAX(I$470:I2788))/MAX(I$470:I2788)&gt;T2787,T2787,(I2788-MAX(I$470:I2788))/MAX(I$470:I2788))</f>
        <v>-0.91338805338419748</v>
      </c>
      <c r="U2788" s="564">
        <f>IF((J2788-MAX(J$470:J2788))/MAX(J$470:J2788)&gt;U2787,U2787,(J2788-MAX(J$470:J2788))/MAX(J$470:J2788))</f>
        <v>-0.8283551177402233</v>
      </c>
      <c r="V2788" s="564">
        <f>IF((K2788-MAX(K$470:K2788))/MAX(K$470:K2788)&gt;V2787,V2787,(K2788-MAX(K$470:K2788))/MAX(K$470:K2788))</f>
        <v>-0.84885940676762139</v>
      </c>
      <c r="W2788" s="564">
        <f>IF((N2788-MAX(N$470:N2788))/MAX(N$470:N2788)&gt;W2787,W2787,(N2788-MAX(N$470:N2788))/MAX(N$470:N2788))</f>
        <v>-0.62788758315546067</v>
      </c>
      <c r="X2788" s="564">
        <f>IF((O2788-MAX(O$470:O2788))/MAX(O$470:O2788)&gt;X2787,X2787,(O2788-MAX(O$470:O2788))/MAX(O$470:O2788))</f>
        <v>-0.62788758315546067</v>
      </c>
    </row>
    <row r="2789" spans="1:24">
      <c r="A2789" s="799">
        <v>43191</v>
      </c>
      <c r="B2789">
        <v>6917.68</v>
      </c>
      <c r="C2789">
        <v>5294.0201079999997</v>
      </c>
      <c r="D2789">
        <v>1.298044</v>
      </c>
      <c r="E2789">
        <f>LN(D2789/参数实验室!$E$53)/参数实验室!$E$55</f>
        <v>-0.38521961344129307</v>
      </c>
      <c r="F2789">
        <f t="shared" si="378"/>
        <v>0.76528837818459361</v>
      </c>
      <c r="G2789">
        <f>LN(F2789/参数实验室!$E$58)/参数实验室!$E$59</f>
        <v>-0.33092982020733247</v>
      </c>
      <c r="H2789" s="856">
        <f>INDEX(神经网络!$G$10:$BO$70,MATCH(ROUND(G2789*2,1)/2,神经网络!$E$10:$E$70,0),MATCH(ROUND(E2789*2,1)/2,神经网络!$G$8:$BO$8,0))</f>
        <v>-0.67886450745175153</v>
      </c>
      <c r="I2789">
        <f t="shared" si="380"/>
        <v>546722.63287845941</v>
      </c>
      <c r="J2789">
        <f t="shared" si="381"/>
        <v>2760.3367782610421</v>
      </c>
      <c r="K2789">
        <f t="shared" si="382"/>
        <v>198.0637425056822</v>
      </c>
      <c r="L2789" s="4">
        <f>MIN(MAX(L2788*(1+MAX(MIN(((B2789-B2788)/B2788)/($K$7*卓尔金历!$N$40),0),-卓尔金历!$M$43))+MIN(MAX(((B2789-B2788)/B2788)/($K$7*卓尔金历!$N$40),0),卓尔金历!$M$43),0),1)</f>
        <v>4.1978658322242441E-4</v>
      </c>
      <c r="M2789" s="4">
        <f>MIN(MAX(M2788*(1+MAX(MIN(((B2789-B2788)/B2788)/($K$7*30),0),-卓尔金历!$M$43))+MIN(MAX(((B2789-B2788)/B2788)/($K$7*7),0),卓尔金历!$M$43),0),1)</f>
        <v>9.5245991557874235E-2</v>
      </c>
      <c r="N2789">
        <f t="shared" si="383"/>
        <v>199398.29028214744</v>
      </c>
      <c r="O2789">
        <f t="shared" si="384"/>
        <v>561246.34398563602</v>
      </c>
      <c r="P2789">
        <f t="shared" si="385"/>
        <v>-3.1917208346601625E-3</v>
      </c>
      <c r="Q2789">
        <f t="shared" si="376"/>
        <v>5.3906022723555526E-2</v>
      </c>
      <c r="R2789">
        <f t="shared" si="377"/>
        <v>1</v>
      </c>
      <c r="S2789">
        <f t="shared" si="379"/>
        <v>1018.8556509939189</v>
      </c>
      <c r="T2789" s="564">
        <f>IF((I2789-MAX(I$470:I2789))/MAX(I$470:I2789)&gt;T2788,T2788,(I2789-MAX(I$470:I2789))/MAX(I$470:I2789))</f>
        <v>-0.91338805338419748</v>
      </c>
      <c r="U2789" s="564">
        <f>IF((J2789-MAX(J$470:J2789))/MAX(J$470:J2789)&gt;U2788,U2788,(J2789-MAX(J$470:J2789))/MAX(J$470:J2789))</f>
        <v>-0.8283551177402233</v>
      </c>
      <c r="V2789" s="564">
        <f>IF((K2789-MAX(K$470:K2789))/MAX(K$470:K2789)&gt;V2788,V2788,(K2789-MAX(K$470:K2789))/MAX(K$470:K2789))</f>
        <v>-0.84885940676762139</v>
      </c>
      <c r="W2789" s="564">
        <f>IF((N2789-MAX(N$470:N2789))/MAX(N$470:N2789)&gt;W2788,W2788,(N2789-MAX(N$470:N2789))/MAX(N$470:N2789))</f>
        <v>-0.62788758315546067</v>
      </c>
      <c r="X2789" s="564">
        <f>IF((O2789-MAX(O$470:O2789))/MAX(O$470:O2789)&gt;X2788,X2788,(O2789-MAX(O$470:O2789))/MAX(O$470:O2789))</f>
        <v>-0.62788758315546067</v>
      </c>
    </row>
    <row r="2790" spans="1:24">
      <c r="A2790" s="799">
        <v>43192</v>
      </c>
      <c r="B2790">
        <v>6963.81</v>
      </c>
      <c r="C2790">
        <v>5381.6860960000004</v>
      </c>
      <c r="D2790">
        <v>1.3426990000000001</v>
      </c>
      <c r="E2790">
        <f>LN(D2790/参数实验室!$E$53)/参数实验室!$E$55</f>
        <v>-0.34531652297979626</v>
      </c>
      <c r="F2790">
        <f t="shared" si="378"/>
        <v>0.77280771531675907</v>
      </c>
      <c r="G2790">
        <f>LN(F2790/参数实验室!$E$58)/参数实验室!$E$59</f>
        <v>-0.32579803949128222</v>
      </c>
      <c r="H2790" s="856">
        <f>INDEX(神经网络!$G$10:$BO$70,MATCH(ROUND(G2790*2,1)/2,神经网络!$E$10:$E$70,0),MATCH(ROUND(E2790*2,1)/2,神经网络!$G$8:$BO$8,0))</f>
        <v>-0.65265855327381539</v>
      </c>
      <c r="I2790">
        <f t="shared" si="380"/>
        <v>544247.64462266036</v>
      </c>
      <c r="J2790">
        <f t="shared" si="381"/>
        <v>2778.7438649694732</v>
      </c>
      <c r="K2790">
        <f t="shared" si="382"/>
        <v>195.86103328333911</v>
      </c>
      <c r="L2790" s="4">
        <f>MIN(MAX(L2789*(1+MAX(MIN(((B2790-B2789)/B2789)/($K$7*卓尔金历!$N$40),0),-卓尔金历!$M$43))+MIN(MAX(((B2790-B2789)/B2789)/($K$7*卓尔金历!$N$40),0),卓尔金历!$M$43),0),1)</f>
        <v>0.10230685455262421</v>
      </c>
      <c r="M2790" s="4">
        <f>MIN(MAX(M2789*(1+MAX(MIN(((B2790-B2789)/B2789)/($K$7*30),0),-卓尔金历!$M$43))+MIN(MAX(((B2790-B2789)/B2789)/($K$7*7),0),卓尔金历!$M$43),0),1)</f>
        <v>0.31357542292087809</v>
      </c>
      <c r="N2790">
        <f t="shared" si="383"/>
        <v>199397.91135469178</v>
      </c>
      <c r="O2790">
        <f t="shared" si="384"/>
        <v>561004.34902515798</v>
      </c>
      <c r="P2790">
        <f t="shared" si="385"/>
        <v>6.6684206265684607E-3</v>
      </c>
      <c r="Q2790">
        <f t="shared" si="376"/>
        <v>4.9561399589264143E-2</v>
      </c>
      <c r="R2790">
        <f t="shared" si="377"/>
        <v>1</v>
      </c>
      <c r="S2790">
        <f t="shared" si="379"/>
        <v>1014.2433382435064</v>
      </c>
      <c r="T2790" s="564">
        <f>IF((I2790-MAX(I$470:I2790))/MAX(I$470:I2790)&gt;T2789,T2789,(I2790-MAX(I$470:I2790))/MAX(I$470:I2790))</f>
        <v>-0.91338805338419748</v>
      </c>
      <c r="U2790" s="564">
        <f>IF((J2790-MAX(J$470:J2790))/MAX(J$470:J2790)&gt;U2789,U2789,(J2790-MAX(J$470:J2790))/MAX(J$470:J2790))</f>
        <v>-0.8283551177402233</v>
      </c>
      <c r="V2790" s="564">
        <f>IF((K2790-MAX(K$470:K2790))/MAX(K$470:K2790)&gt;V2789,V2789,(K2790-MAX(K$470:K2790))/MAX(K$470:K2790))</f>
        <v>-0.84885940676762139</v>
      </c>
      <c r="W2790" s="564">
        <f>IF((N2790-MAX(N$470:N2790))/MAX(N$470:N2790)&gt;W2789,W2789,(N2790-MAX(N$470:N2790))/MAX(N$470:N2790))</f>
        <v>-0.62788758315546067</v>
      </c>
      <c r="X2790" s="564">
        <f>IF((O2790-MAX(O$470:O2790))/MAX(O$470:O2790)&gt;X2789,X2789,(O2790-MAX(O$470:O2790))/MAX(O$470:O2790))</f>
        <v>-0.62788758315546067</v>
      </c>
    </row>
    <row r="2791" spans="1:24">
      <c r="A2791" s="799">
        <v>43193</v>
      </c>
      <c r="B2791">
        <v>7366.17</v>
      </c>
      <c r="C2791">
        <v>5329.93505</v>
      </c>
      <c r="D2791">
        <v>1.417529</v>
      </c>
      <c r="E2791">
        <f>LN(D2791/参数实验室!$E$53)/参数实验室!$E$55</f>
        <v>-0.28133443719937407</v>
      </c>
      <c r="F2791">
        <f t="shared" si="378"/>
        <v>0.72356937865946613</v>
      </c>
      <c r="G2791">
        <f>LN(F2791/参数实验室!$E$58)/参数实验室!$E$59</f>
        <v>-0.36035119231460472</v>
      </c>
      <c r="H2791" s="856">
        <f>INDEX(神经网络!$G$10:$BO$70,MATCH(ROUND(G2791*2,1)/2,神经网络!$E$10:$E$70,0),MATCH(ROUND(E2791*2,1)/2,神经网络!$G$8:$BO$8,0))</f>
        <v>-0.62084997534914133</v>
      </c>
      <c r="I2791">
        <f t="shared" si="380"/>
        <v>523724.18939592422</v>
      </c>
      <c r="J2791">
        <f t="shared" si="381"/>
        <v>2939.2961174733632</v>
      </c>
      <c r="K2791">
        <f t="shared" si="382"/>
        <v>178.18013853130276</v>
      </c>
      <c r="L2791" s="4">
        <f>MIN(MAX(L2790*(1+MAX(MIN(((B2791-B2790)/B2790)/($K$7*卓尔金历!$N$40),0),-卓尔金历!$M$43))+MIN(MAX(((B2791-B2790)/B2790)/($K$7*卓尔金历!$N$40),0),卓尔金历!$M$43),0),1)</f>
        <v>0.98511018835876207</v>
      </c>
      <c r="M2791" s="4">
        <f>MIN(MAX(M2790*(1+MAX(MIN(((B2791-B2790)/B2790)/($K$7*30),0),-卓尔金历!$M$43))+MIN(MAX(((B2791-B2790)/B2790)/($K$7*7),0),卓尔金历!$M$43),0),1)</f>
        <v>1</v>
      </c>
      <c r="N2791">
        <f t="shared" si="383"/>
        <v>198628.64053781427</v>
      </c>
      <c r="O2791">
        <f t="shared" si="384"/>
        <v>554370.55222135829</v>
      </c>
      <c r="P2791">
        <f t="shared" si="385"/>
        <v>5.7778715961521017E-2</v>
      </c>
      <c r="Q2791">
        <f t="shared" si="376"/>
        <v>5.1768742155882161E-2</v>
      </c>
      <c r="R2791">
        <f t="shared" si="377"/>
        <v>4.4117875896569882E-2</v>
      </c>
      <c r="S2791">
        <f t="shared" si="379"/>
        <v>975.99645201970282</v>
      </c>
      <c r="T2791" s="564">
        <f>IF((I2791-MAX(I$470:I2791))/MAX(I$470:I2791)&gt;T2790,T2790,(I2791-MAX(I$470:I2791))/MAX(I$470:I2791))</f>
        <v>-0.91338805338419748</v>
      </c>
      <c r="U2791" s="564">
        <f>IF((J2791-MAX(J$470:J2791))/MAX(J$470:J2791)&gt;U2790,U2790,(J2791-MAX(J$470:J2791))/MAX(J$470:J2791))</f>
        <v>-0.8283551177402233</v>
      </c>
      <c r="V2791" s="564">
        <f>IF((K2791-MAX(K$470:K2791))/MAX(K$470:K2791)&gt;V2790,V2790,(K2791-MAX(K$470:K2791))/MAX(K$470:K2791))</f>
        <v>-0.84885940676762139</v>
      </c>
      <c r="W2791" s="564">
        <f>IF((N2791-MAX(N$470:N2791))/MAX(N$470:N2791)&gt;W2790,W2790,(N2791-MAX(N$470:N2791))/MAX(N$470:N2791))</f>
        <v>-0.62788758315546067</v>
      </c>
      <c r="X2791" s="564">
        <f>IF((O2791-MAX(O$470:O2791))/MAX(O$470:O2791)&gt;X2790,X2790,(O2791-MAX(O$470:O2791))/MAX(O$470:O2791))</f>
        <v>-0.62788758315546067</v>
      </c>
    </row>
    <row r="2792" spans="1:24">
      <c r="A2792" s="799">
        <v>43194</v>
      </c>
      <c r="B2792">
        <v>7378.37</v>
      </c>
      <c r="C2792">
        <v>5338.9126020000003</v>
      </c>
      <c r="D2792">
        <v>1.29796</v>
      </c>
      <c r="E2792">
        <f>LN(D2792/参数实验室!$E$53)/参数实验室!$E$55</f>
        <v>-0.38529596099124153</v>
      </c>
      <c r="F2792">
        <f t="shared" si="378"/>
        <v>0.72358970910919351</v>
      </c>
      <c r="G2792">
        <f>LN(F2792/参数实验室!$E$58)/参数实验室!$E$59</f>
        <v>-0.36033644546496252</v>
      </c>
      <c r="H2792" s="856">
        <f>INDEX(神经网络!$G$10:$BO$70,MATCH(ROUND(G2792*2,1)/2,神经网络!$E$10:$E$70,0),MATCH(ROUND(E2792*2,1)/2,神经网络!$G$8:$BO$8,0))</f>
        <v>-0.67886450745175153</v>
      </c>
      <c r="I2792">
        <f t="shared" si="380"/>
        <v>523185.66250461846</v>
      </c>
      <c r="J2792">
        <f t="shared" si="381"/>
        <v>2944.1642392562126</v>
      </c>
      <c r="K2792">
        <f t="shared" si="382"/>
        <v>177.70260759528531</v>
      </c>
      <c r="L2792" s="4">
        <f>MIN(MAX(L2791*(1+MAX(MIN(((B2792-B2791)/B2791)/($K$7*卓尔金历!$N$40),0),-卓尔金历!$M$43))+MIN(MAX(((B2792-B2791)/B2791)/($K$7*卓尔金历!$N$40),0),卓尔金历!$M$43),0),1)</f>
        <v>1</v>
      </c>
      <c r="M2792" s="4">
        <f>MIN(MAX(M2791*(1+MAX(MIN(((B2792-B2791)/B2791)/($K$7*30),0),-卓尔金历!$M$43))+MIN(MAX(((B2792-B2791)/B2791)/($K$7*7),0),卓尔金历!$M$43),0),1)</f>
        <v>1</v>
      </c>
      <c r="N2792">
        <f t="shared" si="383"/>
        <v>198427.43893211187</v>
      </c>
      <c r="O2792">
        <f t="shared" si="384"/>
        <v>553800.51276898244</v>
      </c>
      <c r="P2792">
        <f t="shared" si="385"/>
        <v>1.6562202610039976E-3</v>
      </c>
      <c r="Q2792">
        <f t="shared" si="376"/>
        <v>5.1755310745128222E-2</v>
      </c>
      <c r="R2792">
        <f t="shared" si="377"/>
        <v>1</v>
      </c>
      <c r="S2792">
        <f t="shared" si="379"/>
        <v>975.95217609960889</v>
      </c>
      <c r="T2792" s="564">
        <f>IF((I2792-MAX(I$470:I2792))/MAX(I$470:I2792)&gt;T2791,T2791,(I2792-MAX(I$470:I2792))/MAX(I$470:I2792))</f>
        <v>-0.91338805338419748</v>
      </c>
      <c r="U2792" s="564">
        <f>IF((J2792-MAX(J$470:J2792))/MAX(J$470:J2792)&gt;U2791,U2791,(J2792-MAX(J$470:J2792))/MAX(J$470:J2792))</f>
        <v>-0.8283551177402233</v>
      </c>
      <c r="V2792" s="564">
        <f>IF((K2792-MAX(K$470:K2792))/MAX(K$470:K2792)&gt;V2791,V2791,(K2792-MAX(K$470:K2792))/MAX(K$470:K2792))</f>
        <v>-0.84885940676762139</v>
      </c>
      <c r="W2792" s="564">
        <f>IF((N2792-MAX(N$470:N2792))/MAX(N$470:N2792)&gt;W2791,W2791,(N2792-MAX(N$470:N2792))/MAX(N$470:N2792))</f>
        <v>-0.62788758315546067</v>
      </c>
      <c r="X2792" s="564">
        <f>IF((O2792-MAX(O$470:O2792))/MAX(O$470:O2792)&gt;X2791,X2791,(O2792-MAX(O$470:O2792))/MAX(O$470:O2792))</f>
        <v>-0.62788758315546067</v>
      </c>
    </row>
    <row r="2793" spans="1:24">
      <c r="A2793" s="799">
        <v>43195</v>
      </c>
      <c r="B2793">
        <v>6851.6</v>
      </c>
      <c r="C2793">
        <v>5340.8699909999996</v>
      </c>
      <c r="D2793">
        <v>1.303129</v>
      </c>
      <c r="E2793">
        <f>LN(D2793/参数实验室!$E$53)/参数实验室!$E$55</f>
        <v>-0.38060703835492343</v>
      </c>
      <c r="F2793">
        <f t="shared" si="378"/>
        <v>0.77950697515908685</v>
      </c>
      <c r="G2793">
        <f>LN(F2793/参数实验室!$E$58)/参数实验室!$E$59</f>
        <v>-0.32126782990821567</v>
      </c>
      <c r="H2793" s="856">
        <f>INDEX(神经网络!$G$10:$BO$70,MATCH(ROUND(G2793*2,1)/2,神经网络!$E$10:$E$70,0),MATCH(ROUND(E2793*2,1)/2,神经网络!$G$8:$BO$8,0))</f>
        <v>-0.61630412378541077</v>
      </c>
      <c r="I2793">
        <f t="shared" si="380"/>
        <v>548542.76003720274</v>
      </c>
      <c r="J2793">
        <f t="shared" si="381"/>
        <v>2733.9691153585236</v>
      </c>
      <c r="K2793">
        <f t="shared" si="382"/>
        <v>200.63970618968338</v>
      </c>
      <c r="L2793" s="4">
        <f>MIN(MAX(L2792*(1+MAX(MIN(((B2793-B2792)/B2792)/($K$7*卓尔金历!$N$40),0),-卓尔金历!$M$43))+MIN(MAX(((B2793-B2792)/B2792)/($K$7*卓尔金历!$N$40),0),卓尔金历!$M$43),0),1)</f>
        <v>0</v>
      </c>
      <c r="M2793" s="4">
        <f>MIN(MAX(M2792*(1+MAX(MIN(((B2793-B2792)/B2792)/($K$7*30),0),-卓尔金历!$M$43))+MIN(MAX(((B2793-B2792)/B2792)/($K$7*7),0),卓尔金历!$M$43),0),1)</f>
        <v>0.45458549133164672</v>
      </c>
      <c r="N2793">
        <f t="shared" si="383"/>
        <v>208044.56776942601</v>
      </c>
      <c r="O2793">
        <f t="shared" si="384"/>
        <v>580641.41194166243</v>
      </c>
      <c r="P2793">
        <f t="shared" si="385"/>
        <v>-7.1393817333638671E-2</v>
      </c>
      <c r="Q2793">
        <f t="shared" si="376"/>
        <v>4.4986081727829912E-2</v>
      </c>
      <c r="R2793">
        <f t="shared" si="377"/>
        <v>2.7851699880777948E-2</v>
      </c>
      <c r="S2793">
        <f t="shared" si="379"/>
        <v>1023.2533853835639</v>
      </c>
      <c r="T2793" s="564">
        <f>IF((I2793-MAX(I$470:I2793))/MAX(I$470:I2793)&gt;T2792,T2792,(I2793-MAX(I$470:I2793))/MAX(I$470:I2793))</f>
        <v>-0.91338805338419748</v>
      </c>
      <c r="U2793" s="564">
        <f>IF((J2793-MAX(J$470:J2793))/MAX(J$470:J2793)&gt;U2792,U2792,(J2793-MAX(J$470:J2793))/MAX(J$470:J2793))</f>
        <v>-0.8283551177402233</v>
      </c>
      <c r="V2793" s="564">
        <f>IF((K2793-MAX(K$470:K2793))/MAX(K$470:K2793)&gt;V2792,V2792,(K2793-MAX(K$470:K2793))/MAX(K$470:K2793))</f>
        <v>-0.84885940676762139</v>
      </c>
      <c r="W2793" s="564">
        <f>IF((N2793-MAX(N$470:N2793))/MAX(N$470:N2793)&gt;W2792,W2792,(N2793-MAX(N$470:N2793))/MAX(N$470:N2793))</f>
        <v>-0.62788758315546067</v>
      </c>
      <c r="X2793" s="564">
        <f>IF((O2793-MAX(O$470:O2793))/MAX(O$470:O2793)&gt;X2792,X2792,(O2793-MAX(O$470:O2793))/MAX(O$470:O2793))</f>
        <v>-0.62788758315546067</v>
      </c>
    </row>
    <row r="2794" spans="1:24">
      <c r="A2794" s="799">
        <v>43196</v>
      </c>
      <c r="B2794">
        <v>6695.06</v>
      </c>
      <c r="C2794">
        <v>5411.0805920000003</v>
      </c>
      <c r="D2794">
        <v>1.2696320000000001</v>
      </c>
      <c r="E2794">
        <f>LN(D2794/参数实验室!$E$53)/参数实验室!$E$55</f>
        <v>-0.41132922952679285</v>
      </c>
      <c r="F2794">
        <f t="shared" si="378"/>
        <v>0.80821988032967595</v>
      </c>
      <c r="G2794">
        <f>LN(F2794/参数实验室!$E$58)/参数实验室!$E$59</f>
        <v>-0.30228253973094243</v>
      </c>
      <c r="H2794" s="856">
        <f>INDEX(神经网络!$G$10:$BO$70,MATCH(ROUND(G2794*2,1)/2,神经网络!$E$10:$E$70,0),MATCH(ROUND(E2794*2,1)/2,神经网络!$G$8:$BO$8,0))</f>
        <v>-0.61630412378541077</v>
      </c>
      <c r="I2794">
        <f t="shared" si="380"/>
        <v>556266.70000774693</v>
      </c>
      <c r="J2794">
        <f t="shared" si="381"/>
        <v>2671.505526515301</v>
      </c>
      <c r="K2794">
        <f t="shared" si="382"/>
        <v>208.22217827613426</v>
      </c>
      <c r="L2794" s="4">
        <f>MIN(MAX(L2793*(1+MAX(MIN(((B2794-B2793)/B2793)/($K$7*卓尔金历!$N$40),0),-卓尔金历!$M$43))+MIN(MAX(((B2794-B2793)/B2793)/($K$7*卓尔金历!$N$40),0),卓尔金历!$M$43),0),1)</f>
        <v>0</v>
      </c>
      <c r="M2794" s="4">
        <f>MIN(MAX(M2793*(1+MAX(MIN(((B2794-B2793)/B2793)/($K$7*30),0),-卓尔金历!$M$43))+MIN(MAX(((B2794-B2793)/B2793)/($K$7*7),0),卓尔金历!$M$43),0),1)</f>
        <v>0.37524132851858744</v>
      </c>
      <c r="N2794">
        <f t="shared" si="383"/>
        <v>208044.56776942601</v>
      </c>
      <c r="O2794">
        <f t="shared" si="384"/>
        <v>584358.06463563559</v>
      </c>
      <c r="P2794">
        <f t="shared" si="385"/>
        <v>-2.2847218168019143E-2</v>
      </c>
      <c r="Q2794">
        <f t="shared" si="376"/>
        <v>4.3749465270293005E-2</v>
      </c>
      <c r="R2794">
        <f t="shared" si="377"/>
        <v>0.72386131438464196</v>
      </c>
      <c r="S2794">
        <f t="shared" si="379"/>
        <v>1023.6546799684554</v>
      </c>
      <c r="T2794" s="564">
        <f>IF((I2794-MAX(I$470:I2794))/MAX(I$470:I2794)&gt;T2793,T2793,(I2794-MAX(I$470:I2794))/MAX(I$470:I2794))</f>
        <v>-0.91338805338419748</v>
      </c>
      <c r="U2794" s="564">
        <f>IF((J2794-MAX(J$470:J2794))/MAX(J$470:J2794)&gt;U2793,U2793,(J2794-MAX(J$470:J2794))/MAX(J$470:J2794))</f>
        <v>-0.8283551177402233</v>
      </c>
      <c r="V2794" s="564">
        <f>IF((K2794-MAX(K$470:K2794))/MAX(K$470:K2794)&gt;V2793,V2793,(K2794-MAX(K$470:K2794))/MAX(K$470:K2794))</f>
        <v>-0.84885940676762139</v>
      </c>
      <c r="W2794" s="564">
        <f>IF((N2794-MAX(N$470:N2794))/MAX(N$470:N2794)&gt;W2793,W2793,(N2794-MAX(N$470:N2794))/MAX(N$470:N2794))</f>
        <v>-0.62788758315546067</v>
      </c>
      <c r="X2794" s="564">
        <f>IF((O2794-MAX(O$470:O2794))/MAX(O$470:O2794)&gt;X2793,X2793,(O2794-MAX(O$470:O2794))/MAX(O$470:O2794))</f>
        <v>-0.62788758315546067</v>
      </c>
    </row>
    <row r="2795" spans="1:24">
      <c r="A2795" s="799">
        <v>43197</v>
      </c>
      <c r="B2795">
        <v>6870.79</v>
      </c>
      <c r="C2795">
        <v>5348.4382880000003</v>
      </c>
      <c r="D2795">
        <v>1.3234919999999999</v>
      </c>
      <c r="E2795">
        <f>LN(D2795/参数实验室!$E$53)/参数实验室!$E$55</f>
        <v>-0.36231448940537103</v>
      </c>
      <c r="F2795">
        <f t="shared" si="378"/>
        <v>0.77843134312066009</v>
      </c>
      <c r="G2795">
        <f>LN(F2795/参数实验室!$E$58)/参数实验室!$E$59</f>
        <v>-0.32199256965858397</v>
      </c>
      <c r="H2795" s="856">
        <f>INDEX(神经网络!$G$10:$BO$70,MATCH(ROUND(G2795*2,1)/2,神经网络!$E$10:$E$70,0),MATCH(ROUND(E2795*2,1)/2,神经网络!$G$8:$BO$8,0))</f>
        <v>-0.58334816509486931</v>
      </c>
      <c r="I2795">
        <f t="shared" si="380"/>
        <v>547268.21138986968</v>
      </c>
      <c r="J2795">
        <f t="shared" si="381"/>
        <v>2741.6264315071207</v>
      </c>
      <c r="K2795">
        <f t="shared" si="382"/>
        <v>199.61443510340928</v>
      </c>
      <c r="L2795" s="4">
        <f>MIN(MAX(L2794*(1+MAX(MIN(((B2795-B2794)/B2794)/($K$7*卓尔金历!$N$40),0),-卓尔金历!$M$43))+MIN(MAX(((B2795-B2794)/B2794)/($K$7*卓尔金历!$N$40),0),卓尔金历!$M$43),0),1)</f>
        <v>0.40103983601853571</v>
      </c>
      <c r="M2795" s="4">
        <f>MIN(MAX(M2794*(1+MAX(MIN(((B2795-B2794)/B2794)/($K$7*30),0),-卓尔金历!$M$43))+MIN(MAX(((B2795-B2794)/B2794)/($K$7*7),0),卓尔金历!$M$43),0),1)</f>
        <v>1</v>
      </c>
      <c r="N2795">
        <f t="shared" si="383"/>
        <v>208044.56776942601</v>
      </c>
      <c r="O2795">
        <f t="shared" si="384"/>
        <v>580810.94189801847</v>
      </c>
      <c r="P2795">
        <f t="shared" si="385"/>
        <v>2.6247710998855808E-2</v>
      </c>
      <c r="Q2795">
        <f t="shared" si="376"/>
        <v>4.4364918381440549E-2</v>
      </c>
      <c r="R2795">
        <f t="shared" si="377"/>
        <v>0.59158250322993711</v>
      </c>
      <c r="S2795">
        <f t="shared" si="379"/>
        <v>1011.6680981921879</v>
      </c>
      <c r="T2795" s="564">
        <f>IF((I2795-MAX(I$470:I2795))/MAX(I$470:I2795)&gt;T2794,T2794,(I2795-MAX(I$470:I2795))/MAX(I$470:I2795))</f>
        <v>-0.91338805338419748</v>
      </c>
      <c r="U2795" s="564">
        <f>IF((J2795-MAX(J$470:J2795))/MAX(J$470:J2795)&gt;U2794,U2794,(J2795-MAX(J$470:J2795))/MAX(J$470:J2795))</f>
        <v>-0.8283551177402233</v>
      </c>
      <c r="V2795" s="564">
        <f>IF((K2795-MAX(K$470:K2795))/MAX(K$470:K2795)&gt;V2794,V2794,(K2795-MAX(K$470:K2795))/MAX(K$470:K2795))</f>
        <v>-0.84885940676762139</v>
      </c>
      <c r="W2795" s="564">
        <f>IF((N2795-MAX(N$470:N2795))/MAX(N$470:N2795)&gt;W2794,W2794,(N2795-MAX(N$470:N2795))/MAX(N$470:N2795))</f>
        <v>-0.62788758315546067</v>
      </c>
      <c r="X2795" s="564">
        <f>IF((O2795-MAX(O$470:O2795))/MAX(O$470:O2795)&gt;X2794,X2794,(O2795-MAX(O$470:O2795))/MAX(O$470:O2795))</f>
        <v>-0.62788758315546067</v>
      </c>
    </row>
    <row r="2796" spans="1:24">
      <c r="A2796" s="799">
        <v>43198</v>
      </c>
      <c r="B2796">
        <v>6960.79</v>
      </c>
      <c r="C2796">
        <v>5297.1229990000002</v>
      </c>
      <c r="D2796">
        <v>1.3475839999999999</v>
      </c>
      <c r="E2796">
        <f>LN(D2796/参数实验室!$E$53)/参数实验室!$E$55</f>
        <v>-0.3410321403102663</v>
      </c>
      <c r="F2796">
        <f t="shared" si="378"/>
        <v>0.76099451341011581</v>
      </c>
      <c r="G2796">
        <f>LN(F2796/参数实验室!$E$58)/参数实验室!$E$59</f>
        <v>-0.33388295326716483</v>
      </c>
      <c r="H2796" s="856">
        <f>INDEX(神经网络!$G$10:$BO$70,MATCH(ROUND(G2796*2,1)/2,神经网络!$E$10:$E$70,0),MATCH(ROUND(E2796*2,1)/2,神经网络!$G$8:$BO$8,0))</f>
        <v>-0.65265855327381539</v>
      </c>
      <c r="I2796">
        <f t="shared" si="380"/>
        <v>543086.40527680074</v>
      </c>
      <c r="J2796">
        <f t="shared" si="381"/>
        <v>2777.5388053150295</v>
      </c>
      <c r="K2796">
        <f t="shared" si="382"/>
        <v>195.52792718415455</v>
      </c>
      <c r="L2796" s="4">
        <f>MIN(MAX(L2795*(1+MAX(MIN(((B2796-B2795)/B2795)/($K$7*卓尔金历!$N$40),0),-卓尔金历!$M$43))+MIN(MAX(((B2796-B2795)/B2795)/($K$7*卓尔金历!$N$40),0),卓尔金历!$M$43),0),1)</f>
        <v>0.60117892242066695</v>
      </c>
      <c r="M2796" s="4">
        <f>MIN(MAX(M2795*(1+MAX(MIN(((B2796-B2795)/B2795)/($K$7*30),0),-卓尔金历!$M$43))+MIN(MAX(((B2796-B2795)/B2795)/($K$7*7),0),卓尔金历!$M$43),0),1)</f>
        <v>1</v>
      </c>
      <c r="N2796">
        <f t="shared" si="383"/>
        <v>207407.02758288314</v>
      </c>
      <c r="O2796">
        <f t="shared" si="384"/>
        <v>576372.82783106389</v>
      </c>
      <c r="P2796">
        <f t="shared" si="385"/>
        <v>1.309893039956104E-2</v>
      </c>
      <c r="Q2796">
        <f t="shared" ref="Q2796:Q2859" si="386">STDEVP(P2776:P2796)</f>
        <v>4.3189984784605055E-2</v>
      </c>
      <c r="R2796">
        <f t="shared" ref="R2796:R2859" si="387">MIN(Q2795*MAX(1-LN(MAX(ABS(P2796),0.0001)/Q2796),0)+MAX(-LN(MAX(ABS(P2796),0.0001)/Q2796),0),1)</f>
        <v>1</v>
      </c>
      <c r="S2796">
        <f t="shared" si="379"/>
        <v>1007.0949313429255</v>
      </c>
      <c r="T2796" s="564">
        <f>IF((I2796-MAX(I$470:I2796))/MAX(I$470:I2796)&gt;T2795,T2795,(I2796-MAX(I$470:I2796))/MAX(I$470:I2796))</f>
        <v>-0.91338805338419748</v>
      </c>
      <c r="U2796" s="564">
        <f>IF((J2796-MAX(J$470:J2796))/MAX(J$470:J2796)&gt;U2795,U2795,(J2796-MAX(J$470:J2796))/MAX(J$470:J2796))</f>
        <v>-0.8283551177402233</v>
      </c>
      <c r="V2796" s="564">
        <f>IF((K2796-MAX(K$470:K2796))/MAX(K$470:K2796)&gt;V2795,V2795,(K2796-MAX(K$470:K2796))/MAX(K$470:K2796))</f>
        <v>-0.84885940676762139</v>
      </c>
      <c r="W2796" s="564">
        <f>IF((N2796-MAX(N$470:N2796))/MAX(N$470:N2796)&gt;W2795,W2795,(N2796-MAX(N$470:N2796))/MAX(N$470:N2796))</f>
        <v>-0.62788758315546067</v>
      </c>
      <c r="X2796" s="564">
        <f>IF((O2796-MAX(O$470:O2796))/MAX(O$470:O2796)&gt;X2795,X2795,(O2796-MAX(O$470:O2796))/MAX(O$470:O2796))</f>
        <v>-0.62788758315546067</v>
      </c>
    </row>
    <row r="2797" spans="1:24">
      <c r="A2797" s="799">
        <v>43199</v>
      </c>
      <c r="B2797">
        <v>7115.75</v>
      </c>
      <c r="C2797">
        <v>5274.29493</v>
      </c>
      <c r="D2797">
        <v>1.2973380000000001</v>
      </c>
      <c r="E2797">
        <f>LN(D2797/参数实验室!$E$53)/参数实验室!$E$55</f>
        <v>-0.38586145021968493</v>
      </c>
      <c r="F2797">
        <f t="shared" si="378"/>
        <v>0.74121419808172018</v>
      </c>
      <c r="G2797">
        <f>LN(F2797/参数实验室!$E$58)/参数实验室!$E$59</f>
        <v>-0.34770577091376026</v>
      </c>
      <c r="H2797" s="856">
        <f>INDEX(神经网络!$G$10:$BO$70,MATCH(ROUND(G2797*2,1)/2,神经网络!$E$10:$E$70,0),MATCH(ROUND(E2797*2,1)/2,神经网络!$G$8:$BO$8,0))</f>
        <v>-0.67886450745175153</v>
      </c>
      <c r="I2797">
        <f t="shared" si="380"/>
        <v>535195.69602196827</v>
      </c>
      <c r="J2797">
        <f t="shared" si="381"/>
        <v>2839.3719324847352</v>
      </c>
      <c r="K2797">
        <f t="shared" si="382"/>
        <v>188.49087359739389</v>
      </c>
      <c r="L2797" s="4">
        <f>MIN(MAX(L2796*(1+MAX(MIN(((B2797-B2796)/B2796)/($K$7*卓尔金历!$N$40),0),-卓尔金历!$M$43))+MIN(MAX(((B2797-B2796)/B2796)/($K$7*卓尔金历!$N$40),0),卓尔金历!$M$43),0),1)</f>
        <v>0.94131848933939788</v>
      </c>
      <c r="M2797" s="4">
        <f>MIN(MAX(M2796*(1+MAX(MIN(((B2797-B2796)/B2796)/($K$7*30),0),-卓尔金历!$M$43))+MIN(MAX(((B2797-B2796)/B2796)/($K$7*7),0),卓尔金历!$M$43),0),1)</f>
        <v>1</v>
      </c>
      <c r="N2797">
        <f t="shared" si="383"/>
        <v>205595.37747966376</v>
      </c>
      <c r="O2797">
        <f t="shared" si="384"/>
        <v>567998.48746347078</v>
      </c>
      <c r="P2797">
        <f t="shared" si="385"/>
        <v>2.226184096920034E-2</v>
      </c>
      <c r="Q2797">
        <f t="shared" si="386"/>
        <v>4.0281598507209505E-2</v>
      </c>
      <c r="R2797">
        <f t="shared" si="387"/>
        <v>0.66182324657779623</v>
      </c>
      <c r="S2797">
        <f t="shared" si="379"/>
        <v>992.46246546267162</v>
      </c>
      <c r="T2797" s="564">
        <f>IF((I2797-MAX(I$470:I2797))/MAX(I$470:I2797)&gt;T2796,T2796,(I2797-MAX(I$470:I2797))/MAX(I$470:I2797))</f>
        <v>-0.91338805338419748</v>
      </c>
      <c r="U2797" s="564">
        <f>IF((J2797-MAX(J$470:J2797))/MAX(J$470:J2797)&gt;U2796,U2796,(J2797-MAX(J$470:J2797))/MAX(J$470:J2797))</f>
        <v>-0.8283551177402233</v>
      </c>
      <c r="V2797" s="564">
        <f>IF((K2797-MAX(K$470:K2797))/MAX(K$470:K2797)&gt;V2796,V2796,(K2797-MAX(K$470:K2797))/MAX(K$470:K2797))</f>
        <v>-0.84885940676762139</v>
      </c>
      <c r="W2797" s="564">
        <f>IF((N2797-MAX(N$470:N2797))/MAX(N$470:N2797)&gt;W2796,W2796,(N2797-MAX(N$470:N2797))/MAX(N$470:N2797))</f>
        <v>-0.62788758315546067</v>
      </c>
      <c r="X2797" s="564">
        <f>IF((O2797-MAX(O$470:O2797))/MAX(O$470:O2797)&gt;X2796,X2796,(O2797-MAX(O$470:O2797))/MAX(O$470:O2797))</f>
        <v>-0.62788758315546067</v>
      </c>
    </row>
    <row r="2798" spans="1:24">
      <c r="A2798" s="799">
        <v>43200</v>
      </c>
      <c r="B2798">
        <v>6755.97</v>
      </c>
      <c r="C2798">
        <v>5237.872918</v>
      </c>
      <c r="D2798">
        <v>1.3143590000000001</v>
      </c>
      <c r="E2798">
        <f>LN(D2798/参数实验室!$E$53)/参数实验室!$E$55</f>
        <v>-0.37048381317016155</v>
      </c>
      <c r="F2798">
        <f t="shared" si="378"/>
        <v>0.77529546726820864</v>
      </c>
      <c r="G2798">
        <f>LN(F2798/参数实验室!$E$58)/参数实验室!$E$59</f>
        <v>-0.32411119095493013</v>
      </c>
      <c r="H2798" s="856">
        <f>INDEX(神经网络!$G$10:$BO$70,MATCH(ROUND(G2798*2,1)/2,神经网络!$E$10:$E$70,0),MATCH(ROUND(E2798*2,1)/2,神经网络!$G$8:$BO$8,0))</f>
        <v>-0.58334816509486931</v>
      </c>
      <c r="I2798">
        <f t="shared" si="380"/>
        <v>553565.81848910451</v>
      </c>
      <c r="J2798">
        <f t="shared" si="381"/>
        <v>2695.810223055742</v>
      </c>
      <c r="K2798">
        <f t="shared" si="382"/>
        <v>205.34302220340615</v>
      </c>
      <c r="L2798" s="4">
        <f>MIN(MAX(L2797*(1+MAX(MIN(((B2798-B2797)/B2797)/($K$7*卓尔金历!$N$40),0),-卓尔金历!$M$43))+MIN(MAX(((B2798-B2797)/B2797)/($K$7*卓尔金历!$N$40),0),卓尔金历!$M$43),0),1)</f>
        <v>0.21412663816792604</v>
      </c>
      <c r="M2798" s="4">
        <f>MIN(MAX(M2797*(1+MAX(MIN(((B2798-B2797)/B2797)/($K$7*30),0),-卓尔金历!$M$43))+MIN(MAX(((B2798-B2797)/B2797)/($K$7*7),0),卓尔金历!$M$43),0),1)</f>
        <v>0.61373761409817662</v>
      </c>
      <c r="N2798">
        <f t="shared" si="383"/>
        <v>212238.14990913324</v>
      </c>
      <c r="O2798">
        <f t="shared" si="384"/>
        <v>587494.53695229883</v>
      </c>
      <c r="P2798">
        <f t="shared" si="385"/>
        <v>-5.0561079295928013E-2</v>
      </c>
      <c r="Q2798">
        <f t="shared" si="386"/>
        <v>4.0484564177266404E-2</v>
      </c>
      <c r="R2798">
        <f t="shared" si="387"/>
        <v>3.1328556993208946E-2</v>
      </c>
      <c r="S2798">
        <f t="shared" si="379"/>
        <v>1015.0077410297362</v>
      </c>
      <c r="T2798" s="564">
        <f>IF((I2798-MAX(I$470:I2798))/MAX(I$470:I2798)&gt;T2797,T2797,(I2798-MAX(I$470:I2798))/MAX(I$470:I2798))</f>
        <v>-0.91338805338419748</v>
      </c>
      <c r="U2798" s="564">
        <f>IF((J2798-MAX(J$470:J2798))/MAX(J$470:J2798)&gt;U2797,U2797,(J2798-MAX(J$470:J2798))/MAX(J$470:J2798))</f>
        <v>-0.8283551177402233</v>
      </c>
      <c r="V2798" s="564">
        <f>IF((K2798-MAX(K$470:K2798))/MAX(K$470:K2798)&gt;V2797,V2797,(K2798-MAX(K$470:K2798))/MAX(K$470:K2798))</f>
        <v>-0.84885940676762139</v>
      </c>
      <c r="W2798" s="564">
        <f>IF((N2798-MAX(N$470:N2798))/MAX(N$470:N2798)&gt;W2797,W2797,(N2798-MAX(N$470:N2798))/MAX(N$470:N2798))</f>
        <v>-0.62788758315546067</v>
      </c>
      <c r="X2798" s="564">
        <f>IF((O2798-MAX(O$470:O2798))/MAX(O$470:O2798)&gt;X2797,X2797,(O2798-MAX(O$470:O2798))/MAX(O$470:O2798))</f>
        <v>-0.62788758315546067</v>
      </c>
    </row>
    <row r="2799" spans="1:24">
      <c r="A2799" s="799">
        <v>43201</v>
      </c>
      <c r="B2799">
        <v>6837.63</v>
      </c>
      <c r="C2799">
        <v>5239.8533530000004</v>
      </c>
      <c r="D2799">
        <v>1.3391949999999999</v>
      </c>
      <c r="E2799">
        <f>LN(D2799/参数实验室!$E$53)/参数实验室!$E$55</f>
        <v>-0.34839931276873426</v>
      </c>
      <c r="F2799">
        <f t="shared" si="378"/>
        <v>0.76632595694707084</v>
      </c>
      <c r="G2799">
        <f>LN(F2799/参数实验室!$E$58)/参数实验室!$E$59</f>
        <v>-0.33021870451806601</v>
      </c>
      <c r="H2799" s="856">
        <f>INDEX(神经网络!$G$10:$BO$70,MATCH(ROUND(G2799*2,1)/2,神经网络!$E$10:$E$70,0),MATCH(ROUND(E2799*2,1)/2,神经网络!$G$8:$BO$8,0))</f>
        <v>-0.65265855327381539</v>
      </c>
      <c r="I2799">
        <f t="shared" si="380"/>
        <v>549662.63682586199</v>
      </c>
      <c r="J2799">
        <f t="shared" si="381"/>
        <v>2728.3947168907844</v>
      </c>
      <c r="K2799">
        <f t="shared" si="382"/>
        <v>201.46008692328977</v>
      </c>
      <c r="L2799" s="4">
        <f>MIN(MAX(L2798*(1+MAX(MIN(((B2799-B2798)/B2798)/($K$7*卓尔金历!$N$40),0),-卓尔金历!$M$43))+MIN(MAX(((B2799-B2798)/B2798)/($K$7*卓尔金历!$N$40),0),卓尔金历!$M$43),0),1)</f>
        <v>0.39880573484245047</v>
      </c>
      <c r="M2799" s="4">
        <f>MIN(MAX(M2798*(1+MAX(MIN(((B2799-B2798)/B2798)/($K$7*30),0),-卓尔金历!$M$43))+MIN(MAX(((B2799-B2798)/B2798)/($K$7*7),0),卓尔金历!$M$43),0),1)</f>
        <v>1</v>
      </c>
      <c r="N2799">
        <f t="shared" si="383"/>
        <v>211917.71217723232</v>
      </c>
      <c r="O2799">
        <f t="shared" si="384"/>
        <v>584952.18265689339</v>
      </c>
      <c r="P2799">
        <f t="shared" si="385"/>
        <v>1.2087087420459216E-2</v>
      </c>
      <c r="Q2799">
        <f t="shared" si="386"/>
        <v>3.7385780387122564E-2</v>
      </c>
      <c r="R2799">
        <f t="shared" si="387"/>
        <v>1</v>
      </c>
      <c r="S2799">
        <f t="shared" si="379"/>
        <v>1014.7835288270218</v>
      </c>
      <c r="T2799" s="564">
        <f>IF((I2799-MAX(I$470:I2799))/MAX(I$470:I2799)&gt;T2798,T2798,(I2799-MAX(I$470:I2799))/MAX(I$470:I2799))</f>
        <v>-0.91338805338419748</v>
      </c>
      <c r="U2799" s="564">
        <f>IF((J2799-MAX(J$470:J2799))/MAX(J$470:J2799)&gt;U2798,U2798,(J2799-MAX(J$470:J2799))/MAX(J$470:J2799))</f>
        <v>-0.8283551177402233</v>
      </c>
      <c r="V2799" s="564">
        <f>IF((K2799-MAX(K$470:K2799))/MAX(K$470:K2799)&gt;V2798,V2798,(K2799-MAX(K$470:K2799))/MAX(K$470:K2799))</f>
        <v>-0.84885940676762139</v>
      </c>
      <c r="W2799" s="564">
        <f>IF((N2799-MAX(N$470:N2799))/MAX(N$470:N2799)&gt;W2798,W2798,(N2799-MAX(N$470:N2799))/MAX(N$470:N2799))</f>
        <v>-0.62788758315546067</v>
      </c>
      <c r="X2799" s="564">
        <f>IF((O2799-MAX(O$470:O2799))/MAX(O$470:O2799)&gt;X2798,X2798,(O2799-MAX(O$470:O2799))/MAX(O$470:O2799))</f>
        <v>-0.62788758315546067</v>
      </c>
    </row>
    <row r="2800" spans="1:24">
      <c r="A2800" s="799">
        <v>43202</v>
      </c>
      <c r="B2800">
        <v>6943.48</v>
      </c>
      <c r="C2800">
        <v>5255.6982360000002</v>
      </c>
      <c r="D2800">
        <v>1.5221579999999999</v>
      </c>
      <c r="E2800">
        <f>LN(D2800/参数实验室!$E$53)/参数实验室!$E$55</f>
        <v>-0.19731966680829691</v>
      </c>
      <c r="F2800">
        <f t="shared" si="378"/>
        <v>0.75692566782074699</v>
      </c>
      <c r="G2800">
        <f>LN(F2800/参数实验室!$E$58)/参数实验室!$E$59</f>
        <v>-0.33669674439997271</v>
      </c>
      <c r="H2800" s="856">
        <f>INDEX(神经网络!$G$10:$BO$70,MATCH(ROUND(G2800*2,1)/2,神经网络!$E$10:$E$70,0),MATCH(ROUND(E2800*2,1)/2,神经网络!$G$8:$BO$8,0))</f>
        <v>-0.55379843649671057</v>
      </c>
      <c r="I2800">
        <f t="shared" si="380"/>
        <v>544109.12735565391</v>
      </c>
      <c r="J2800">
        <f t="shared" si="381"/>
        <v>2770.6316587526412</v>
      </c>
      <c r="K2800">
        <f t="shared" si="382"/>
        <v>196.38450518558494</v>
      </c>
      <c r="L2800" s="4">
        <f>MIN(MAX(L2799*(1+MAX(MIN(((B2800-B2799)/B2799)/($K$7*卓尔金历!$N$40),0),-卓尔金历!$M$43))+MIN(MAX(((B2800-B2799)/B2799)/($K$7*卓尔金历!$N$40),0),卓尔金历!$M$43),0),1)</f>
        <v>0.63533307302157493</v>
      </c>
      <c r="M2800" s="4">
        <f>MIN(MAX(M2799*(1+MAX(MIN(((B2800-B2799)/B2799)/($K$7*30),0),-卓尔金历!$M$43))+MIN(MAX(((B2800-B2799)/B2799)/($K$7*7),0),卓尔金历!$M$43),0),1)</f>
        <v>1</v>
      </c>
      <c r="N2800">
        <f t="shared" si="383"/>
        <v>211063.82606239893</v>
      </c>
      <c r="O2800">
        <f t="shared" si="384"/>
        <v>579042.12570857455</v>
      </c>
      <c r="P2800">
        <f t="shared" si="385"/>
        <v>1.5480510059772093E-2</v>
      </c>
      <c r="Q2800">
        <f t="shared" si="386"/>
        <v>3.7853357977188376E-2</v>
      </c>
      <c r="R2800">
        <f t="shared" si="387"/>
        <v>0.96495169943858583</v>
      </c>
      <c r="S2800">
        <f t="shared" si="379"/>
        <v>1004.5306763317238</v>
      </c>
      <c r="T2800" s="564">
        <f>IF((I2800-MAX(I$470:I2800))/MAX(I$470:I2800)&gt;T2799,T2799,(I2800-MAX(I$470:I2800))/MAX(I$470:I2800))</f>
        <v>-0.91338805338419748</v>
      </c>
      <c r="U2800" s="564">
        <f>IF((J2800-MAX(J$470:J2800))/MAX(J$470:J2800)&gt;U2799,U2799,(J2800-MAX(J$470:J2800))/MAX(J$470:J2800))</f>
        <v>-0.8283551177402233</v>
      </c>
      <c r="V2800" s="564">
        <f>IF((K2800-MAX(K$470:K2800))/MAX(K$470:K2800)&gt;V2799,V2799,(K2800-MAX(K$470:K2800))/MAX(K$470:K2800))</f>
        <v>-0.84885940676762139</v>
      </c>
      <c r="W2800" s="564">
        <f>IF((N2800-MAX(N$470:N2800))/MAX(N$470:N2800)&gt;W2799,W2799,(N2800-MAX(N$470:N2800))/MAX(N$470:N2800))</f>
        <v>-0.62788758315546067</v>
      </c>
      <c r="X2800" s="564">
        <f>IF((O2800-MAX(O$470:O2800))/MAX(O$470:O2800)&gt;X2799,X2799,(O2800-MAX(O$470:O2800))/MAX(O$470:O2800))</f>
        <v>-0.62788758315546067</v>
      </c>
    </row>
    <row r="2801" spans="1:24">
      <c r="A2801" s="799">
        <v>43203</v>
      </c>
      <c r="B2801">
        <v>7810.71</v>
      </c>
      <c r="C2801">
        <v>5185.0158369999999</v>
      </c>
      <c r="D2801">
        <v>1.5236959999999999</v>
      </c>
      <c r="E2801">
        <f>LN(D2801/参数实验室!$E$53)/参数实验室!$E$55</f>
        <v>-0.19612823698701057</v>
      </c>
      <c r="F2801">
        <f t="shared" si="378"/>
        <v>0.66383412481067661</v>
      </c>
      <c r="G2801">
        <f>LN(F2801/参数实验室!$E$58)/参数实验室!$E$59</f>
        <v>-0.40557478344257475</v>
      </c>
      <c r="H2801" s="856">
        <f>INDEX(神经网络!$G$10:$BO$70,MATCH(ROUND(G2801*2,1)/2,神经网络!$E$10:$E$70,0),MATCH(ROUND(E2801*2,1)/2,神经网络!$G$8:$BO$8,0))</f>
        <v>-0.62285645839876758</v>
      </c>
      <c r="I2801">
        <f t="shared" si="380"/>
        <v>506473.8742981489</v>
      </c>
      <c r="J2801">
        <f t="shared" si="381"/>
        <v>3116.6793025018933</v>
      </c>
      <c r="K2801">
        <f t="shared" si="382"/>
        <v>162.50432756799214</v>
      </c>
      <c r="L2801" s="4">
        <f>MIN(MAX(L2800*(1+MAX(MIN(((B2801-B2800)/B2800)/($K$7*卓尔金历!$N$40),0),-卓尔金历!$M$43))+MIN(MAX(((B2801-B2800)/B2800)/($K$7*卓尔金历!$N$40),0),卓尔金历!$M$43),0),1)</f>
        <v>1</v>
      </c>
      <c r="M2801" s="4">
        <f>MIN(MAX(M2800*(1+MAX(MIN(((B2801-B2800)/B2800)/($K$7*30),0),-卓尔金历!$M$43))+MIN(MAX(((B2801-B2800)/B2800)/($K$7*7),0),卓尔金历!$M$43),0),1)</f>
        <v>1</v>
      </c>
      <c r="N2801">
        <f t="shared" si="383"/>
        <v>201788.60862389754</v>
      </c>
      <c r="O2801">
        <f t="shared" si="384"/>
        <v>538990.60692978126</v>
      </c>
      <c r="P2801">
        <f t="shared" si="385"/>
        <v>0.12489846589894413</v>
      </c>
      <c r="Q2801">
        <f t="shared" si="386"/>
        <v>4.5553651435913556E-2</v>
      </c>
      <c r="R2801">
        <f t="shared" si="387"/>
        <v>0</v>
      </c>
      <c r="S2801">
        <f t="shared" si="379"/>
        <v>937.48394523191428</v>
      </c>
      <c r="T2801" s="564">
        <f>IF((I2801-MAX(I$470:I2801))/MAX(I$470:I2801)&gt;T2800,T2800,(I2801-MAX(I$470:I2801))/MAX(I$470:I2801))</f>
        <v>-0.91338805338419748</v>
      </c>
      <c r="U2801" s="564">
        <f>IF((J2801-MAX(J$470:J2801))/MAX(J$470:J2801)&gt;U2800,U2800,(J2801-MAX(J$470:J2801))/MAX(J$470:J2801))</f>
        <v>-0.8283551177402233</v>
      </c>
      <c r="V2801" s="564">
        <f>IF((K2801-MAX(K$470:K2801))/MAX(K$470:K2801)&gt;V2800,V2800,(K2801-MAX(K$470:K2801))/MAX(K$470:K2801))</f>
        <v>-0.84885940676762139</v>
      </c>
      <c r="W2801" s="564">
        <f>IF((N2801-MAX(N$470:N2801))/MAX(N$470:N2801)&gt;W2800,W2800,(N2801-MAX(N$470:N2801))/MAX(N$470:N2801))</f>
        <v>-0.62788758315546067</v>
      </c>
      <c r="X2801" s="564">
        <f>IF((O2801-MAX(O$470:O2801))/MAX(O$470:O2801)&gt;X2800,X2800,(O2801-MAX(O$470:O2801))/MAX(O$470:O2801))</f>
        <v>-0.62788758315546067</v>
      </c>
    </row>
    <row r="2802" spans="1:24">
      <c r="A2802" s="799">
        <v>43204</v>
      </c>
      <c r="B2802">
        <v>7997.07</v>
      </c>
      <c r="C2802">
        <v>5210.7807720000001</v>
      </c>
      <c r="D2802">
        <v>1.540378</v>
      </c>
      <c r="E2802">
        <f>LN(D2802/参数实验室!$E$53)/参数实验室!$E$55</f>
        <v>-0.18328204719335112</v>
      </c>
      <c r="F2802">
        <f t="shared" si="378"/>
        <v>0.65158623996038556</v>
      </c>
      <c r="G2802">
        <f>LN(F2802/参数实验室!$E$58)/参数实验室!$E$59</f>
        <v>-0.41534890254995288</v>
      </c>
      <c r="H2802" s="856">
        <f>INDEX(神经网络!$G$10:$BO$70,MATCH(ROUND(G2802*2,1)/2,神经网络!$E$10:$E$70,0),MATCH(ROUND(E2802*2,1)/2,神经网络!$G$8:$BO$8,0))</f>
        <v>-0.62285645839876758</v>
      </c>
      <c r="I2802">
        <f t="shared" si="380"/>
        <v>498947.12920311454</v>
      </c>
      <c r="J2802">
        <f t="shared" si="381"/>
        <v>3191.0418578668027</v>
      </c>
      <c r="K2802">
        <f t="shared" si="382"/>
        <v>156.35869143272802</v>
      </c>
      <c r="L2802" s="4">
        <f>MIN(MAX(L2801*(1+MAX(MIN(((B2802-B2801)/B2801)/($K$7*卓尔金历!$N$40),0),-卓尔金历!$M$43))+MIN(MAX(((B2802-B2801)/B2801)/($K$7*卓尔金历!$N$40),0),卓尔金历!$M$43),0),1)</f>
        <v>1</v>
      </c>
      <c r="M2802" s="4">
        <f>MIN(MAX(M2801*(1+MAX(MIN(((B2802-B2801)/B2801)/($K$7*30),0),-卓尔金历!$M$43))+MIN(MAX(((B2802-B2801)/B2801)/($K$7*7),0),卓尔金历!$M$43),0),1)</f>
        <v>1</v>
      </c>
      <c r="N2802">
        <f t="shared" si="383"/>
        <v>198789.81342977536</v>
      </c>
      <c r="O2802">
        <f t="shared" si="384"/>
        <v>530980.62830531597</v>
      </c>
      <c r="P2802">
        <f t="shared" si="385"/>
        <v>2.385954669933971E-2</v>
      </c>
      <c r="Q2802">
        <f t="shared" si="386"/>
        <v>4.3746615819475386E-2</v>
      </c>
      <c r="R2802">
        <f t="shared" si="387"/>
        <v>0.67939947318664728</v>
      </c>
      <c r="S2802">
        <f t="shared" si="379"/>
        <v>937.48394523191428</v>
      </c>
      <c r="T2802" s="564">
        <f>IF((I2802-MAX(I$470:I2802))/MAX(I$470:I2802)&gt;T2801,T2801,(I2802-MAX(I$470:I2802))/MAX(I$470:I2802))</f>
        <v>-0.91338805338419748</v>
      </c>
      <c r="U2802" s="564">
        <f>IF((J2802-MAX(J$470:J2802))/MAX(J$470:J2802)&gt;U2801,U2801,(J2802-MAX(J$470:J2802))/MAX(J$470:J2802))</f>
        <v>-0.8283551177402233</v>
      </c>
      <c r="V2802" s="564">
        <f>IF((K2802-MAX(K$470:K2802))/MAX(K$470:K2802)&gt;V2801,V2801,(K2802-MAX(K$470:K2802))/MAX(K$470:K2802))</f>
        <v>-0.84885940676762139</v>
      </c>
      <c r="W2802" s="564">
        <f>IF((N2802-MAX(N$470:N2802))/MAX(N$470:N2802)&gt;W2801,W2801,(N2802-MAX(N$470:N2802))/MAX(N$470:N2802))</f>
        <v>-0.62788758315546067</v>
      </c>
      <c r="X2802" s="564">
        <f>IF((O2802-MAX(O$470:O2802))/MAX(O$470:O2802)&gt;X2801,X2801,(O2802-MAX(O$470:O2802))/MAX(O$470:O2802))</f>
        <v>-0.62788758315546067</v>
      </c>
    </row>
    <row r="2803" spans="1:24">
      <c r="A2803" s="799">
        <v>43205</v>
      </c>
      <c r="B2803">
        <v>8091.03</v>
      </c>
      <c r="C2803">
        <v>5188.6678730000003</v>
      </c>
      <c r="D2803">
        <v>1.604063</v>
      </c>
      <c r="E2803">
        <f>LN(D2803/参数实验室!$E$53)/参数实验室!$E$55</f>
        <v>-0.13548794909762371</v>
      </c>
      <c r="F2803">
        <f t="shared" si="378"/>
        <v>0.6412864459778298</v>
      </c>
      <c r="G2803">
        <f>LN(F2803/参数实验室!$E$58)/参数实验室!$E$59</f>
        <v>-0.42371167939928156</v>
      </c>
      <c r="H2803" s="856">
        <f>INDEX(神经网络!$G$10:$BO$70,MATCH(ROUND(G2803*2,1)/2,神经网络!$E$10:$E$70,0),MATCH(ROUND(E2803*2,1)/2,神经网络!$G$8:$BO$8,0))</f>
        <v>-0.58779147677555854</v>
      </c>
      <c r="I2803">
        <f t="shared" si="380"/>
        <v>495295.76956342731</v>
      </c>
      <c r="J2803">
        <f t="shared" si="381"/>
        <v>3228.5343761222593</v>
      </c>
      <c r="K2803">
        <f t="shared" si="382"/>
        <v>153.41195473294576</v>
      </c>
      <c r="L2803" s="4">
        <f>MIN(MAX(L2802*(1+MAX(MIN(((B2803-B2802)/B2802)/($K$7*卓尔金历!$N$40),0),-卓尔金历!$M$43))+MIN(MAX(((B2803-B2802)/B2802)/($K$7*卓尔金历!$N$40),0),卓尔金历!$M$43),0),1)</f>
        <v>1</v>
      </c>
      <c r="M2803" s="4">
        <f>MIN(MAX(M2802*(1+MAX(MIN(((B2803-B2802)/B2802)/($K$7*30),0),-卓尔金历!$M$43))+MIN(MAX(((B2803-B2802)/B2802)/($K$7*7),0),卓尔金历!$M$43),0),1)</f>
        <v>1</v>
      </c>
      <c r="N2803">
        <f t="shared" si="383"/>
        <v>197335.04385790165</v>
      </c>
      <c r="O2803">
        <f t="shared" si="384"/>
        <v>527094.84337506432</v>
      </c>
      <c r="P2803">
        <f t="shared" si="385"/>
        <v>1.1749303182290519E-2</v>
      </c>
      <c r="Q2803">
        <f t="shared" si="386"/>
        <v>4.3107437126547257E-2</v>
      </c>
      <c r="R2803">
        <f t="shared" si="387"/>
        <v>1</v>
      </c>
      <c r="S2803">
        <f t="shared" si="379"/>
        <v>932.82283764465808</v>
      </c>
      <c r="T2803" s="564">
        <f>IF((I2803-MAX(I$470:I2803))/MAX(I$470:I2803)&gt;T2802,T2802,(I2803-MAX(I$470:I2803))/MAX(I$470:I2803))</f>
        <v>-0.91338805338419748</v>
      </c>
      <c r="U2803" s="564">
        <f>IF((J2803-MAX(J$470:J2803))/MAX(J$470:J2803)&gt;U2802,U2802,(J2803-MAX(J$470:J2803))/MAX(J$470:J2803))</f>
        <v>-0.8283551177402233</v>
      </c>
      <c r="V2803" s="564">
        <f>IF((K2803-MAX(K$470:K2803))/MAX(K$470:K2803)&gt;V2802,V2802,(K2803-MAX(K$470:K2803))/MAX(K$470:K2803))</f>
        <v>-0.84885940676762139</v>
      </c>
      <c r="W2803" s="564">
        <f>IF((N2803-MAX(N$470:N2803))/MAX(N$470:N2803)&gt;W2802,W2802,(N2803-MAX(N$470:N2803))/MAX(N$470:N2803))</f>
        <v>-0.62788758315546067</v>
      </c>
      <c r="X2803" s="564">
        <f>IF((O2803-MAX(O$470:O2803))/MAX(O$470:O2803)&gt;X2802,X2802,(O2803-MAX(O$470:O2803))/MAX(O$470:O2803))</f>
        <v>-0.62788758315546067</v>
      </c>
    </row>
    <row r="2804" spans="1:24">
      <c r="A2804" s="799">
        <v>43206</v>
      </c>
      <c r="B2804">
        <v>8056.67</v>
      </c>
      <c r="C2804">
        <v>5217.956631</v>
      </c>
      <c r="D2804">
        <v>1.5477719999999999</v>
      </c>
      <c r="E2804">
        <f>LN(D2804/参数实验室!$E$53)/参数实验室!$E$55</f>
        <v>-0.17763263757590231</v>
      </c>
      <c r="F2804">
        <f t="shared" si="378"/>
        <v>0.64765674043990884</v>
      </c>
      <c r="G2804">
        <f>LN(F2804/参数实验室!$E$58)/参数实验室!$E$59</f>
        <v>-0.41852370515466003</v>
      </c>
      <c r="H2804" s="856">
        <f>INDEX(神经网络!$G$10:$BO$70,MATCH(ROUND(G2804*2,1)/2,神经网络!$E$10:$E$70,0),MATCH(ROUND(E2804*2,1)/2,神经网络!$G$8:$BO$8,0))</f>
        <v>-0.62285645839876758</v>
      </c>
      <c r="I2804">
        <f t="shared" si="380"/>
        <v>496532.1076451994</v>
      </c>
      <c r="J2804">
        <f t="shared" si="381"/>
        <v>3214.8238298551514</v>
      </c>
      <c r="K2804">
        <f t="shared" si="382"/>
        <v>154.45079852713775</v>
      </c>
      <c r="L2804" s="4">
        <f>MIN(MAX(L2803*(1+MAX(MIN(((B2804-B2803)/B2803)/($K$7*卓尔金历!$N$40),0),-卓尔金历!$M$43))+MIN(MAX(((B2804-B2803)/B2803)/($K$7*卓尔金历!$N$40),0),卓尔金历!$M$43),0),1)</f>
        <v>0.93511483368932968</v>
      </c>
      <c r="M2804" s="4">
        <f>MIN(MAX(M2803*(1+MAX(MIN(((B2804-B2803)/B2803)/($K$7*30),0),-卓尔金历!$M$43))+MIN(MAX(((B2804-B2803)/B2803)/($K$7*7),0),卓尔金历!$M$43),0),1)</f>
        <v>0.9675574168446649</v>
      </c>
      <c r="N2804">
        <f t="shared" si="383"/>
        <v>197827.6239374867</v>
      </c>
      <c r="O2804">
        <f t="shared" si="384"/>
        <v>528410.55707103375</v>
      </c>
      <c r="P2804">
        <f t="shared" si="385"/>
        <v>-4.2466781114394178E-3</v>
      </c>
      <c r="Q2804">
        <f t="shared" si="386"/>
        <v>4.3081140304492387E-2</v>
      </c>
      <c r="R2804">
        <f t="shared" si="387"/>
        <v>1</v>
      </c>
      <c r="S2804">
        <f t="shared" si="379"/>
        <v>935.15131381707397</v>
      </c>
      <c r="T2804" s="564">
        <f>IF((I2804-MAX(I$470:I2804))/MAX(I$470:I2804)&gt;T2803,T2803,(I2804-MAX(I$470:I2804))/MAX(I$470:I2804))</f>
        <v>-0.91338805338419748</v>
      </c>
      <c r="U2804" s="564">
        <f>IF((J2804-MAX(J$470:J2804))/MAX(J$470:J2804)&gt;U2803,U2803,(J2804-MAX(J$470:J2804))/MAX(J$470:J2804))</f>
        <v>-0.8283551177402233</v>
      </c>
      <c r="V2804" s="564">
        <f>IF((K2804-MAX(K$470:K2804))/MAX(K$470:K2804)&gt;V2803,V2803,(K2804-MAX(K$470:K2804))/MAX(K$470:K2804))</f>
        <v>-0.84885940676762139</v>
      </c>
      <c r="W2804" s="564">
        <f>IF((N2804-MAX(N$470:N2804))/MAX(N$470:N2804)&gt;W2803,W2803,(N2804-MAX(N$470:N2804))/MAX(N$470:N2804))</f>
        <v>-0.62788758315546067</v>
      </c>
      <c r="X2804" s="564">
        <f>IF((O2804-MAX(O$470:O2804))/MAX(O$470:O2804)&gt;X2803,X2803,(O2804-MAX(O$470:O2804))/MAX(O$470:O2804))</f>
        <v>-0.62788758315546067</v>
      </c>
    </row>
    <row r="2805" spans="1:24">
      <c r="A2805" s="799">
        <v>43207</v>
      </c>
      <c r="B2805">
        <v>8023.62</v>
      </c>
      <c r="C2805">
        <v>5182.0649519999997</v>
      </c>
      <c r="D2805">
        <v>1.517917</v>
      </c>
      <c r="E2805">
        <f>LN(D2805/参数实验室!$E$53)/参数实验室!$E$55</f>
        <v>-0.20061125451805628</v>
      </c>
      <c r="F2805">
        <f t="shared" si="378"/>
        <v>0.64585124320443887</v>
      </c>
      <c r="G2805">
        <f>LN(F2805/参数实验室!$E$58)/参数实验室!$E$59</f>
        <v>-0.4199889039028844</v>
      </c>
      <c r="H2805" s="856">
        <f>INDEX(神经网络!$G$10:$BO$70,MATCH(ROUND(G2805*2,1)/2,神经网络!$E$10:$E$70,0),MATCH(ROUND(E2805*2,1)/2,神经网络!$G$8:$BO$8,0))</f>
        <v>-0.62285645839876758</v>
      </c>
      <c r="I2805">
        <f t="shared" si="380"/>
        <v>497800.7850271854</v>
      </c>
      <c r="J2805">
        <f t="shared" si="381"/>
        <v>3201.6360081401363</v>
      </c>
      <c r="K2805">
        <f t="shared" si="382"/>
        <v>155.48325411181364</v>
      </c>
      <c r="L2805" s="4">
        <f>MIN(MAX(L2804*(1+MAX(MIN(((B2805-B2804)/B2804)/($K$7*卓尔金历!$N$40),0),-卓尔金历!$M$43))+MIN(MAX(((B2805-B2804)/B2804)/($K$7*卓尔金历!$N$40),0),卓尔金历!$M$43),0),1)</f>
        <v>0.87650413303517494</v>
      </c>
      <c r="M2805" s="4">
        <f>MIN(MAX(M2804*(1+MAX(MIN(((B2805-B2804)/B2804)/($K$7*30),0),-卓尔金历!$M$43))+MIN(MAX(((B2805-B2804)/B2804)/($K$7*7),0),卓尔金历!$M$43),0),1)</f>
        <v>0.9372353558093085</v>
      </c>
      <c r="N2805">
        <f t="shared" si="383"/>
        <v>198300.29143717221</v>
      </c>
      <c r="O2805">
        <f t="shared" si="384"/>
        <v>529716.88464069238</v>
      </c>
      <c r="P2805">
        <f t="shared" si="385"/>
        <v>-4.1021911037687009E-3</v>
      </c>
      <c r="Q2805">
        <f t="shared" si="386"/>
        <v>4.1350082531250672E-2</v>
      </c>
      <c r="R2805">
        <f t="shared" si="387"/>
        <v>1</v>
      </c>
      <c r="S2805">
        <f t="shared" si="379"/>
        <v>937.54069670351157</v>
      </c>
      <c r="T2805" s="564">
        <f>IF((I2805-MAX(I$470:I2805))/MAX(I$470:I2805)&gt;T2804,T2804,(I2805-MAX(I$470:I2805))/MAX(I$470:I2805))</f>
        <v>-0.91338805338419748</v>
      </c>
      <c r="U2805" s="564">
        <f>IF((J2805-MAX(J$470:J2805))/MAX(J$470:J2805)&gt;U2804,U2804,(J2805-MAX(J$470:J2805))/MAX(J$470:J2805))</f>
        <v>-0.8283551177402233</v>
      </c>
      <c r="V2805" s="564">
        <f>IF((K2805-MAX(K$470:K2805))/MAX(K$470:K2805)&gt;V2804,V2804,(K2805-MAX(K$470:K2805))/MAX(K$470:K2805))</f>
        <v>-0.84885940676762139</v>
      </c>
      <c r="W2805" s="564">
        <f>IF((N2805-MAX(N$470:N2805))/MAX(N$470:N2805)&gt;W2804,W2804,(N2805-MAX(N$470:N2805))/MAX(N$470:N2805))</f>
        <v>-0.62788758315546067</v>
      </c>
      <c r="X2805" s="564">
        <f>IF((O2805-MAX(O$470:O2805))/MAX(O$470:O2805)&gt;X2804,X2804,(O2805-MAX(O$470:O2805))/MAX(O$470:O2805))</f>
        <v>-0.62788758315546067</v>
      </c>
    </row>
    <row r="2806" spans="1:24">
      <c r="A2806" s="799">
        <v>43208</v>
      </c>
      <c r="B2806">
        <v>7947.79</v>
      </c>
      <c r="C2806">
        <v>5166.9090589999996</v>
      </c>
      <c r="D2806">
        <v>1.5700229999999999</v>
      </c>
      <c r="E2806">
        <f>LN(D2806/参数实验室!$E$53)/参数实验室!$E$55</f>
        <v>-0.16079308582505122</v>
      </c>
      <c r="F2806">
        <f t="shared" si="378"/>
        <v>0.65010638919750019</v>
      </c>
      <c r="G2806">
        <f>LN(F2806/参数实验室!$E$58)/参数实验室!$E$59</f>
        <v>-0.41654228103774887</v>
      </c>
      <c r="H2806" s="856">
        <f>INDEX(神经网络!$G$10:$BO$70,MATCH(ROUND(G2806*2,1)/2,神经网络!$E$10:$E$70,0),MATCH(ROUND(E2806*2,1)/2,神经网络!$G$8:$BO$8,0))</f>
        <v>-0.58779147677555854</v>
      </c>
      <c r="I2806">
        <f t="shared" si="380"/>
        <v>500731.09965405462</v>
      </c>
      <c r="J2806">
        <f t="shared" si="381"/>
        <v>3171.377838075095</v>
      </c>
      <c r="K2806">
        <f t="shared" si="382"/>
        <v>157.89071035382503</v>
      </c>
      <c r="L2806" s="4">
        <f>MIN(MAX(L2805*(1+MAX(MIN(((B2806-B2805)/B2805)/($K$7*卓尔金历!$N$40),0),-卓尔金历!$M$43))+MIN(MAX(((B2806-B2805)/B2805)/($K$7*卓尔金历!$N$40),0),卓尔金历!$M$43),0),1)</f>
        <v>0.74993705601881178</v>
      </c>
      <c r="M2806" s="4">
        <f>MIN(MAX(M2805*(1+MAX(MIN(((B2806-B2805)/B2805)/($K$7*30),0),-卓尔金历!$M$43))+MIN(MAX(((B2806-B2805)/B2805)/($K$7*7),0),卓尔金历!$M$43),0),1)</f>
        <v>0.8695670271669752</v>
      </c>
      <c r="N2806">
        <f t="shared" si="383"/>
        <v>199323.43363434501</v>
      </c>
      <c r="O2806">
        <f t="shared" si="384"/>
        <v>532639.36199997331</v>
      </c>
      <c r="P2806">
        <f t="shared" si="385"/>
        <v>-9.4508463760746304E-3</v>
      </c>
      <c r="Q2806">
        <f t="shared" si="386"/>
        <v>4.1320603544784687E-2</v>
      </c>
      <c r="R2806">
        <f t="shared" si="387"/>
        <v>1</v>
      </c>
      <c r="S2806">
        <f t="shared" si="379"/>
        <v>943.0595494242549</v>
      </c>
      <c r="T2806" s="564">
        <f>IF((I2806-MAX(I$470:I2806))/MAX(I$470:I2806)&gt;T2805,T2805,(I2806-MAX(I$470:I2806))/MAX(I$470:I2806))</f>
        <v>-0.91338805338419748</v>
      </c>
      <c r="U2806" s="564">
        <f>IF((J2806-MAX(J$470:J2806))/MAX(J$470:J2806)&gt;U2805,U2805,(J2806-MAX(J$470:J2806))/MAX(J$470:J2806))</f>
        <v>-0.8283551177402233</v>
      </c>
      <c r="V2806" s="564">
        <f>IF((K2806-MAX(K$470:K2806))/MAX(K$470:K2806)&gt;V2805,V2805,(K2806-MAX(K$470:K2806))/MAX(K$470:K2806))</f>
        <v>-0.84885940676762139</v>
      </c>
      <c r="W2806" s="564">
        <f>IF((N2806-MAX(N$470:N2806))/MAX(N$470:N2806)&gt;W2805,W2805,(N2806-MAX(N$470:N2806))/MAX(N$470:N2806))</f>
        <v>-0.62788758315546067</v>
      </c>
      <c r="X2806" s="564">
        <f>IF((O2806-MAX(O$470:O2806))/MAX(O$470:O2806)&gt;X2805,X2805,(O2806-MAX(O$470:O2806))/MAX(O$470:O2806))</f>
        <v>-0.62788758315546067</v>
      </c>
    </row>
    <row r="2807" spans="1:24">
      <c r="A2807" s="799">
        <v>43209</v>
      </c>
      <c r="B2807">
        <v>8203.1200000000008</v>
      </c>
      <c r="C2807">
        <v>4998.7820769999998</v>
      </c>
      <c r="D2807">
        <v>1.5861270000000001</v>
      </c>
      <c r="E2807">
        <f>LN(D2807/参数实验室!$E$53)/参数实验室!$E$55</f>
        <v>-0.14875379040567371</v>
      </c>
      <c r="F2807">
        <f t="shared" si="378"/>
        <v>0.60937571033948046</v>
      </c>
      <c r="G2807">
        <f>LN(F2807/参数实验室!$E$58)/参数实验室!$E$59</f>
        <v>-0.45050087179428538</v>
      </c>
      <c r="H2807" s="856">
        <f>INDEX(神经网络!$G$10:$BO$70,MATCH(ROUND(G2807*2,1)/2,神经网络!$E$10:$E$70,0),MATCH(ROUND(E2807*2,1)/2,神经网络!$G$8:$BO$8,0))</f>
        <v>-0.65684808564670449</v>
      </c>
      <c r="I2807">
        <f t="shared" si="380"/>
        <v>491275.62550314242</v>
      </c>
      <c r="J2807">
        <f t="shared" si="381"/>
        <v>3273.2612425681323</v>
      </c>
      <c r="K2807">
        <f t="shared" si="382"/>
        <v>150.08750878609916</v>
      </c>
      <c r="L2807" s="4">
        <f>MIN(MAX(L2806*(1+MAX(MIN(((B2807-B2806)/B2806)/($K$7*卓尔金历!$N$40),0),-卓尔金历!$M$43))+MIN(MAX(((B2807-B2806)/B2806)/($K$7*卓尔金历!$N$40),0),卓尔金历!$M$43),0),1)</f>
        <v>1</v>
      </c>
      <c r="M2807" s="4">
        <f>MIN(MAX(M2806*(1+MAX(MIN(((B2807-B2806)/B2806)/($K$7*30),0),-卓尔金历!$M$43))+MIN(MAX(((B2807-B2806)/B2806)/($K$7*7),0),卓尔金历!$M$43),0),1)</f>
        <v>1</v>
      </c>
      <c r="N2807">
        <f t="shared" si="383"/>
        <v>196500.75185682354</v>
      </c>
      <c r="O2807">
        <f t="shared" si="384"/>
        <v>523893.24934067251</v>
      </c>
      <c r="P2807">
        <f t="shared" si="385"/>
        <v>3.2125911731437397E-2</v>
      </c>
      <c r="Q2807">
        <f t="shared" si="386"/>
        <v>4.0937101728323391E-2</v>
      </c>
      <c r="R2807">
        <f t="shared" si="387"/>
        <v>0.29370949878204433</v>
      </c>
      <c r="S2807">
        <f t="shared" si="379"/>
        <v>925.25143804768459</v>
      </c>
      <c r="T2807" s="564">
        <f>IF((I2807-MAX(I$470:I2807))/MAX(I$470:I2807)&gt;T2806,T2806,(I2807-MAX(I$470:I2807))/MAX(I$470:I2807))</f>
        <v>-0.91338805338419748</v>
      </c>
      <c r="U2807" s="564">
        <f>IF((J2807-MAX(J$470:J2807))/MAX(J$470:J2807)&gt;U2806,U2806,(J2807-MAX(J$470:J2807))/MAX(J$470:J2807))</f>
        <v>-0.8283551177402233</v>
      </c>
      <c r="V2807" s="564">
        <f>IF((K2807-MAX(K$470:K2807))/MAX(K$470:K2807)&gt;V2806,V2806,(K2807-MAX(K$470:K2807))/MAX(K$470:K2807))</f>
        <v>-0.84885940676762139</v>
      </c>
      <c r="W2807" s="564">
        <f>IF((N2807-MAX(N$470:N2807))/MAX(N$470:N2807)&gt;W2806,W2806,(N2807-MAX(N$470:N2807))/MAX(N$470:N2807))</f>
        <v>-0.62788758315546067</v>
      </c>
      <c r="X2807" s="564">
        <f>IF((O2807-MAX(O$470:O2807))/MAX(O$470:O2807)&gt;X2806,X2806,(O2807-MAX(O$470:O2807))/MAX(O$470:O2807))</f>
        <v>-0.62788758315546067</v>
      </c>
    </row>
    <row r="2808" spans="1:24">
      <c r="A2808" s="799">
        <v>43210</v>
      </c>
      <c r="B2808">
        <v>8294.76</v>
      </c>
      <c r="C2808">
        <v>5049.7016940000003</v>
      </c>
      <c r="D2808">
        <v>1.691311</v>
      </c>
      <c r="E2808">
        <f>LN(D2808/参数实验室!$E$53)/参数实验室!$E$55</f>
        <v>-7.3003283134072255E-2</v>
      </c>
      <c r="F2808">
        <f t="shared" si="378"/>
        <v>0.60878213402196091</v>
      </c>
      <c r="G2808">
        <f>LN(F2808/参数实验室!$E$58)/参数实验室!$E$59</f>
        <v>-0.45101236701015851</v>
      </c>
      <c r="H2808" s="856">
        <f>INDEX(神经网络!$G$10:$BO$70,MATCH(ROUND(G2808*2,1)/2,神经网络!$E$10:$E$70,0),MATCH(ROUND(E2808*2,1)/2,神经网络!$G$8:$BO$8,0))</f>
        <v>-0.58832479446590058</v>
      </c>
      <c r="I2808">
        <f t="shared" si="380"/>
        <v>487670.70101866819</v>
      </c>
      <c r="J2808">
        <f t="shared" si="381"/>
        <v>3309.8280196320961</v>
      </c>
      <c r="K2808">
        <f t="shared" si="382"/>
        <v>147.34019354663485</v>
      </c>
      <c r="L2808" s="4">
        <f>MIN(MAX(L2807*(1+MAX(MIN(((B2808-B2807)/B2807)/($K$7*卓尔金历!$N$40),0),-卓尔金历!$M$43))+MIN(MAX(((B2808-B2807)/B2807)/($K$7*卓尔金历!$N$40),0),卓尔金历!$M$43),0),1)</f>
        <v>1</v>
      </c>
      <c r="M2808" s="4">
        <f>MIN(MAX(M2807*(1+MAX(MIN(((B2808-B2807)/B2807)/($K$7*30),0),-卓尔金历!$M$43))+MIN(MAX(((B2808-B2807)/B2807)/($K$7*7),0),卓尔金历!$M$43),0),1)</f>
        <v>1</v>
      </c>
      <c r="N2808">
        <f t="shared" si="383"/>
        <v>195058.85176080151</v>
      </c>
      <c r="O2808">
        <f t="shared" si="384"/>
        <v>520048.98045421037</v>
      </c>
      <c r="P2808">
        <f t="shared" si="385"/>
        <v>1.117135919016172E-2</v>
      </c>
      <c r="Q2808">
        <f t="shared" si="386"/>
        <v>3.8158050257846819E-2</v>
      </c>
      <c r="R2808">
        <f t="shared" si="387"/>
        <v>1</v>
      </c>
      <c r="S2808">
        <f t="shared" si="379"/>
        <v>923.25732986663218</v>
      </c>
      <c r="T2808" s="564">
        <f>IF((I2808-MAX(I$470:I2808))/MAX(I$470:I2808)&gt;T2807,T2807,(I2808-MAX(I$470:I2808))/MAX(I$470:I2808))</f>
        <v>-0.91338805338419748</v>
      </c>
      <c r="U2808" s="564">
        <f>IF((J2808-MAX(J$470:J2808))/MAX(J$470:J2808)&gt;U2807,U2807,(J2808-MAX(J$470:J2808))/MAX(J$470:J2808))</f>
        <v>-0.8283551177402233</v>
      </c>
      <c r="V2808" s="564">
        <f>IF((K2808-MAX(K$470:K2808))/MAX(K$470:K2808)&gt;V2807,V2807,(K2808-MAX(K$470:K2808))/MAX(K$470:K2808))</f>
        <v>-0.84885940676762139</v>
      </c>
      <c r="W2808" s="564">
        <f>IF((N2808-MAX(N$470:N2808))/MAX(N$470:N2808)&gt;W2807,W2807,(N2808-MAX(N$470:N2808))/MAX(N$470:N2808))</f>
        <v>-0.62788758315546067</v>
      </c>
      <c r="X2808" s="564">
        <f>IF((O2808-MAX(O$470:O2808))/MAX(O$470:O2808)&gt;X2807,X2807,(O2808-MAX(O$470:O2808))/MAX(O$470:O2808))</f>
        <v>-0.62788758315546067</v>
      </c>
    </row>
    <row r="2809" spans="1:24">
      <c r="A2809" s="799">
        <v>43211</v>
      </c>
      <c r="B2809">
        <v>8910.51</v>
      </c>
      <c r="C2809">
        <v>4998.9875400000001</v>
      </c>
      <c r="D2809">
        <v>1.693784</v>
      </c>
      <c r="E2809">
        <f>LN(D2809/参数实验室!$E$53)/参数实验室!$E$55</f>
        <v>-7.1279532225230355E-2</v>
      </c>
      <c r="F2809">
        <f t="shared" si="378"/>
        <v>0.56102148361878279</v>
      </c>
      <c r="G2809">
        <f>LN(F2809/参数实验室!$E$58)/参数实验室!$E$59</f>
        <v>-0.49389360358719064</v>
      </c>
      <c r="H2809" s="856">
        <f>INDEX(神经网络!$G$10:$BO$70,MATCH(ROUND(G2809*2,1)/2,神经网络!$E$10:$E$70,0),MATCH(ROUND(E2809*2,1)/2,神经网络!$G$8:$BO$8,0))</f>
        <v>-0.65734140017930154</v>
      </c>
      <c r="I2809">
        <f t="shared" si="380"/>
        <v>466372.42692584626</v>
      </c>
      <c r="J2809">
        <f t="shared" si="381"/>
        <v>3555.528510434538</v>
      </c>
      <c r="K2809">
        <f t="shared" si="382"/>
        <v>131.16824279630055</v>
      </c>
      <c r="L2809" s="4">
        <f>MIN(MAX(L2808*(1+MAX(MIN(((B2809-B2808)/B2808)/($K$7*卓尔金历!$N$40),0),-卓尔金历!$M$43))+MIN(MAX(((B2809-B2808)/B2808)/($K$7*卓尔金历!$N$40),0),卓尔金历!$M$43),0),1)</f>
        <v>1</v>
      </c>
      <c r="M2809" s="4">
        <f>MIN(MAX(M2808*(1+MAX(MIN(((B2809-B2808)/B2808)/($K$7*30),0),-卓尔金历!$M$43))+MIN(MAX(((B2809-B2808)/B2808)/($K$7*7),0),卓尔金历!$M$43),0),1)</f>
        <v>1</v>
      </c>
      <c r="N2809">
        <f t="shared" si="383"/>
        <v>186539.95390543572</v>
      </c>
      <c r="O2809">
        <f t="shared" si="384"/>
        <v>497336.63438898639</v>
      </c>
      <c r="P2809">
        <f t="shared" si="385"/>
        <v>7.4233612545751768E-2</v>
      </c>
      <c r="Q2809">
        <f t="shared" si="386"/>
        <v>3.9643477366251449E-2</v>
      </c>
      <c r="R2809">
        <f t="shared" si="387"/>
        <v>1.422186334574612E-2</v>
      </c>
      <c r="S2809">
        <f t="shared" si="379"/>
        <v>882.93547409667951</v>
      </c>
      <c r="T2809" s="564">
        <f>IF((I2809-MAX(I$470:I2809))/MAX(I$470:I2809)&gt;T2808,T2808,(I2809-MAX(I$470:I2809))/MAX(I$470:I2809))</f>
        <v>-0.91338805338419748</v>
      </c>
      <c r="U2809" s="564">
        <f>IF((J2809-MAX(J$470:J2809))/MAX(J$470:J2809)&gt;U2808,U2808,(J2809-MAX(J$470:J2809))/MAX(J$470:J2809))</f>
        <v>-0.8283551177402233</v>
      </c>
      <c r="V2809" s="564">
        <f>IF((K2809-MAX(K$470:K2809))/MAX(K$470:K2809)&gt;V2808,V2808,(K2809-MAX(K$470:K2809))/MAX(K$470:K2809))</f>
        <v>-0.84885940676762139</v>
      </c>
      <c r="W2809" s="564">
        <f>IF((N2809-MAX(N$470:N2809))/MAX(N$470:N2809)&gt;W2808,W2808,(N2809-MAX(N$470:N2809))/MAX(N$470:N2809))</f>
        <v>-0.62788758315546067</v>
      </c>
      <c r="X2809" s="564">
        <f>IF((O2809-MAX(O$470:O2809))/MAX(O$470:O2809)&gt;X2808,X2808,(O2809-MAX(O$470:O2809))/MAX(O$470:O2809))</f>
        <v>-0.62788758315546067</v>
      </c>
    </row>
    <row r="2810" spans="1:24">
      <c r="A2810" s="799">
        <v>43212</v>
      </c>
      <c r="B2810">
        <v>8869.08</v>
      </c>
      <c r="C2810">
        <v>4913.7160690000001</v>
      </c>
      <c r="D2810">
        <v>1.6809259999999999</v>
      </c>
      <c r="E2810">
        <f>LN(D2810/参数实验室!$E$53)/参数实验室!$E$55</f>
        <v>-8.026954358337339E-2</v>
      </c>
      <c r="F2810">
        <f t="shared" si="378"/>
        <v>0.55402770851091654</v>
      </c>
      <c r="G2810">
        <f>LN(F2810/参数实验室!$E$58)/参数实验室!$E$59</f>
        <v>-0.50047763468496242</v>
      </c>
      <c r="H2810" s="856">
        <f>INDEX(神经网络!$G$10:$BO$70,MATCH(ROUND(G2810*2,1)/2,神经网络!$E$10:$E$70,0),MATCH(ROUND(E2810*2,1)/2,神经网络!$G$8:$BO$8,0))</f>
        <v>-0.68558939822602361</v>
      </c>
      <c r="I2810">
        <f t="shared" si="380"/>
        <v>467797.82518113247</v>
      </c>
      <c r="J2810">
        <f t="shared" si="381"/>
        <v>3538.9968476916306</v>
      </c>
      <c r="K2810">
        <f t="shared" si="382"/>
        <v>132.18373604550152</v>
      </c>
      <c r="L2810" s="4">
        <f>MIN(MAX(L2809*(1+MAX(MIN(((B2810-B2809)/B2809)/($K$7*卓尔金历!$N$40),0),-卓尔金历!$M$43))+MIN(MAX(((B2810-B2809)/B2809)/($K$7*卓尔金历!$N$40),0),卓尔金历!$M$43),0),1)</f>
        <v>0.9289591008143</v>
      </c>
      <c r="M2810" s="4">
        <f>MIN(MAX(M2809*(1+MAX(MIN(((B2810-B2809)/B2809)/($K$7*30),0),-卓尔金历!$M$43))+MIN(MAX(((B2810-B2809)/B2809)/($K$7*7),0),卓尔金历!$M$43),0),1)</f>
        <v>0.96447955040714994</v>
      </c>
      <c r="N2810">
        <f t="shared" si="383"/>
        <v>187110.08564883799</v>
      </c>
      <c r="O2810">
        <f t="shared" si="384"/>
        <v>498856.67015872692</v>
      </c>
      <c r="P2810">
        <f t="shared" si="385"/>
        <v>-4.6495655130851425E-3</v>
      </c>
      <c r="Q2810">
        <f t="shared" si="386"/>
        <v>3.9672579649181208E-2</v>
      </c>
      <c r="R2810">
        <f t="shared" si="387"/>
        <v>1</v>
      </c>
      <c r="S2810">
        <f t="shared" si="379"/>
        <v>882.97385266981701</v>
      </c>
      <c r="T2810" s="564">
        <f>IF((I2810-MAX(I$470:I2810))/MAX(I$470:I2810)&gt;T2809,T2809,(I2810-MAX(I$470:I2810))/MAX(I$470:I2810))</f>
        <v>-0.91338805338419748</v>
      </c>
      <c r="U2810" s="564">
        <f>IF((J2810-MAX(J$470:J2810))/MAX(J$470:J2810)&gt;U2809,U2809,(J2810-MAX(J$470:J2810))/MAX(J$470:J2810))</f>
        <v>-0.8283551177402233</v>
      </c>
      <c r="V2810" s="564">
        <f>IF((K2810-MAX(K$470:K2810))/MAX(K$470:K2810)&gt;V2809,V2809,(K2810-MAX(K$470:K2810))/MAX(K$470:K2810))</f>
        <v>-0.84885940676762139</v>
      </c>
      <c r="W2810" s="564">
        <f>IF((N2810-MAX(N$470:N2810))/MAX(N$470:N2810)&gt;W2809,W2809,(N2810-MAX(N$470:N2810))/MAX(N$470:N2810))</f>
        <v>-0.62788758315546067</v>
      </c>
      <c r="X2810" s="564">
        <f>IF((O2810-MAX(O$470:O2810))/MAX(O$470:O2810)&gt;X2809,X2809,(O2810-MAX(O$470:O2810))/MAX(O$470:O2810))</f>
        <v>-0.62788758315546067</v>
      </c>
    </row>
    <row r="2811" spans="1:24">
      <c r="A2811" s="799">
        <v>43213</v>
      </c>
      <c r="B2811">
        <v>8864.44</v>
      </c>
      <c r="C2811">
        <v>4925.0650029999997</v>
      </c>
      <c r="D2811">
        <v>1.703395</v>
      </c>
      <c r="E2811">
        <f>LN(D2811/参数实验室!$E$53)/参数实验室!$E$55</f>
        <v>-6.4604206209793999E-2</v>
      </c>
      <c r="F2811">
        <f t="shared" si="378"/>
        <v>0.55559798509550518</v>
      </c>
      <c r="G2811">
        <f>LN(F2811/参数实验室!$E$58)/参数实验室!$E$59</f>
        <v>-0.49899214895929489</v>
      </c>
      <c r="H2811" s="856">
        <f>INDEX(神经网络!$G$10:$BO$70,MATCH(ROUND(G2811*2,1)/2,神经网络!$E$10:$E$70,0),MATCH(ROUND(E2811*2,1)/2,神经网络!$G$8:$BO$8,0))</f>
        <v>-0.65734140017930154</v>
      </c>
      <c r="I2811">
        <f t="shared" si="380"/>
        <v>467965.61349115812</v>
      </c>
      <c r="J2811">
        <f t="shared" si="381"/>
        <v>3537.1453653086451</v>
      </c>
      <c r="K2811">
        <f t="shared" si="382"/>
        <v>132.30036234327176</v>
      </c>
      <c r="L2811" s="4">
        <f>MIN(MAX(L2810*(1+MAX(MIN(((B2811-B2810)/B2810)/($K$7*卓尔金历!$N$40),0),-卓尔金历!$M$43))+MIN(MAX(((B2811-B2810)/B2810)/($K$7*卓尔金历!$N$40),0),卓尔金历!$M$43),0),1)</f>
        <v>0.92153349176267696</v>
      </c>
      <c r="M2811" s="4">
        <f>MIN(MAX(M2810*(1+MAX(MIN(((B2811-B2810)/B2810)/($K$7*30),0),-卓尔金历!$M$43))+MIN(MAX(((B2811-B2810)/B2810)/($K$7*7),0),卓尔金历!$M$43),0),1)</f>
        <v>0.96062478001234408</v>
      </c>
      <c r="N2811">
        <f t="shared" si="383"/>
        <v>187172.43002631344</v>
      </c>
      <c r="O2811">
        <f t="shared" si="384"/>
        <v>499029.24294408661</v>
      </c>
      <c r="P2811">
        <f t="shared" si="385"/>
        <v>-5.2316587515271237E-4</v>
      </c>
      <c r="Q2811">
        <f t="shared" si="386"/>
        <v>3.9753861978596886E-2</v>
      </c>
      <c r="R2811">
        <f t="shared" si="387"/>
        <v>1</v>
      </c>
      <c r="S2811">
        <f t="shared" si="379"/>
        <v>883.2905550625203</v>
      </c>
      <c r="T2811" s="564">
        <f>IF((I2811-MAX(I$470:I2811))/MAX(I$470:I2811)&gt;T2810,T2810,(I2811-MAX(I$470:I2811))/MAX(I$470:I2811))</f>
        <v>-0.91338805338419748</v>
      </c>
      <c r="U2811" s="564">
        <f>IF((J2811-MAX(J$470:J2811))/MAX(J$470:J2811)&gt;U2810,U2810,(J2811-MAX(J$470:J2811))/MAX(J$470:J2811))</f>
        <v>-0.8283551177402233</v>
      </c>
      <c r="V2811" s="564">
        <f>IF((K2811-MAX(K$470:K2811))/MAX(K$470:K2811)&gt;V2810,V2810,(K2811-MAX(K$470:K2811))/MAX(K$470:K2811))</f>
        <v>-0.84885940676762139</v>
      </c>
      <c r="W2811" s="564">
        <f>IF((N2811-MAX(N$470:N2811))/MAX(N$470:N2811)&gt;W2810,W2810,(N2811-MAX(N$470:N2811))/MAX(N$470:N2811))</f>
        <v>-0.62788758315546067</v>
      </c>
      <c r="X2811" s="564">
        <f>IF((O2811-MAX(O$470:O2811))/MAX(O$470:O2811)&gt;X2810,X2810,(O2811-MAX(O$470:O2811))/MAX(O$470:O2811))</f>
        <v>-0.62788758315546067</v>
      </c>
    </row>
    <row r="2812" spans="1:24">
      <c r="A2812" s="799">
        <v>43214</v>
      </c>
      <c r="B2812">
        <v>9243.85</v>
      </c>
      <c r="C2812">
        <v>4850.8765569999996</v>
      </c>
      <c r="D2812">
        <v>1.8353109999999999</v>
      </c>
      <c r="E2812">
        <f>LN(D2812/参数实验室!$E$53)/参数实验室!$E$55</f>
        <v>2.3394332706204019E-2</v>
      </c>
      <c r="F2812">
        <f t="shared" si="378"/>
        <v>0.52476798704003191</v>
      </c>
      <c r="G2812">
        <f>LN(F2812/参数实验室!$E$58)/参数实验室!$E$59</f>
        <v>-0.52895540961880305</v>
      </c>
      <c r="H2812" s="856">
        <f>INDEX(神经网络!$G$10:$BO$70,MATCH(ROUND(G2812*2,1)/2,神经网络!$E$10:$E$70,0),MATCH(ROUND(E2812*2,1)/2,神经网络!$G$8:$BO$8,0))</f>
        <v>-0.68581666050085766</v>
      </c>
      <c r="I2812">
        <f t="shared" si="380"/>
        <v>454799.354433642</v>
      </c>
      <c r="J2812">
        <f t="shared" si="381"/>
        <v>3688.5399624915185</v>
      </c>
      <c r="K2812">
        <f t="shared" si="382"/>
        <v>123.30064444426844</v>
      </c>
      <c r="L2812" s="4">
        <f>MIN(MAX(L2811*(1+MAX(MIN(((B2812-B2811)/B2811)/($K$7*卓尔金历!$N$40),0),-卓尔金历!$M$43))+MIN(MAX(((B2812-B2811)/B2811)/($K$7*卓尔金历!$N$40),0),卓尔金历!$M$43),0),1)</f>
        <v>1</v>
      </c>
      <c r="M2812" s="4">
        <f>MIN(MAX(M2811*(1+MAX(MIN(((B2812-B2811)/B2811)/($K$7*30),0),-卓尔金历!$M$43))+MIN(MAX(((B2812-B2811)/B2811)/($K$7*7),0),卓尔金历!$M$43),0),1)</f>
        <v>1</v>
      </c>
      <c r="N2812">
        <f t="shared" si="383"/>
        <v>182319.52875035448</v>
      </c>
      <c r="O2812">
        <f t="shared" si="384"/>
        <v>485541.84301851975</v>
      </c>
      <c r="P2812">
        <f t="shared" si="385"/>
        <v>4.2801350113487124E-2</v>
      </c>
      <c r="Q2812">
        <f t="shared" si="386"/>
        <v>3.9060342121119938E-2</v>
      </c>
      <c r="R2812">
        <f t="shared" si="387"/>
        <v>3.6117895744028447E-2</v>
      </c>
      <c r="S2812">
        <f t="shared" si="379"/>
        <v>858.43908748512729</v>
      </c>
      <c r="T2812" s="564">
        <f>IF((I2812-MAX(I$470:I2812))/MAX(I$470:I2812)&gt;T2811,T2811,(I2812-MAX(I$470:I2812))/MAX(I$470:I2812))</f>
        <v>-0.91338805338419748</v>
      </c>
      <c r="U2812" s="564">
        <f>IF((J2812-MAX(J$470:J2812))/MAX(J$470:J2812)&gt;U2811,U2811,(J2812-MAX(J$470:J2812))/MAX(J$470:J2812))</f>
        <v>-0.8283551177402233</v>
      </c>
      <c r="V2812" s="564">
        <f>IF((K2812-MAX(K$470:K2812))/MAX(K$470:K2812)&gt;V2811,V2811,(K2812-MAX(K$470:K2812))/MAX(K$470:K2812))</f>
        <v>-0.84885940676762139</v>
      </c>
      <c r="W2812" s="564">
        <f>IF((N2812-MAX(N$470:N2812))/MAX(N$470:N2812)&gt;W2811,W2811,(N2812-MAX(N$470:N2812))/MAX(N$470:N2812))</f>
        <v>-0.62788758315546067</v>
      </c>
      <c r="X2812" s="564">
        <f>IF((O2812-MAX(O$470:O2812))/MAX(O$470:O2812)&gt;X2811,X2811,(O2812-MAX(O$470:O2812))/MAX(O$470:O2812))</f>
        <v>-0.62788758315546067</v>
      </c>
    </row>
    <row r="2813" spans="1:24">
      <c r="A2813" s="799">
        <v>43215</v>
      </c>
      <c r="B2813">
        <v>9458.1</v>
      </c>
      <c r="C2813">
        <v>4937.9390890000004</v>
      </c>
      <c r="D2813">
        <v>1.6845559999999999</v>
      </c>
      <c r="E2813">
        <f>LN(D2813/参数实验室!$E$53)/参数实验室!$E$55</f>
        <v>-7.7724585127891543E-2</v>
      </c>
      <c r="F2813">
        <f t="shared" si="378"/>
        <v>0.52208573487275456</v>
      </c>
      <c r="G2813">
        <f>LN(F2813/参数实验室!$E$58)/参数实验室!$E$59</f>
        <v>-0.53164498113345959</v>
      </c>
      <c r="H2813" s="856">
        <f>INDEX(神经网络!$G$10:$BO$70,MATCH(ROUND(G2813*2,1)/2,神经网络!$E$10:$E$70,0),MATCH(ROUND(E2813*2,1)/2,神经网络!$G$8:$BO$8,0))</f>
        <v>-0.74748334855909448</v>
      </c>
      <c r="I2813">
        <f t="shared" si="380"/>
        <v>447570.06168472051</v>
      </c>
      <c r="J2813">
        <f t="shared" si="381"/>
        <v>3774.0313634731233</v>
      </c>
      <c r="K2813">
        <f t="shared" si="382"/>
        <v>118.59203556613683</v>
      </c>
      <c r="L2813" s="4">
        <f>MIN(MAX(L2812*(1+MAX(MIN(((B2813-B2812)/B2812)/($K$7*卓尔金历!$N$40),0),-卓尔金历!$M$43))+MIN(MAX(((B2813-B2812)/B2812)/($K$7*卓尔金历!$N$40),0),卓尔金历!$M$43),0),1)</f>
        <v>1</v>
      </c>
      <c r="M2813" s="4">
        <f>MIN(MAX(M2812*(1+MAX(MIN(((B2813-B2812)/B2812)/($K$7*30),0),-卓尔金历!$M$43))+MIN(MAX(((B2813-B2812)/B2812)/($K$7*7),0),卓尔金历!$M$43),0),1)</f>
        <v>1</v>
      </c>
      <c r="N2813">
        <f t="shared" si="383"/>
        <v>179421.45681086575</v>
      </c>
      <c r="O2813">
        <f t="shared" si="384"/>
        <v>477823.88104075292</v>
      </c>
      <c r="P2813">
        <f t="shared" si="385"/>
        <v>2.317757211551464E-2</v>
      </c>
      <c r="Q2813">
        <f t="shared" si="386"/>
        <v>3.9067958675312126E-2</v>
      </c>
      <c r="R2813">
        <f t="shared" si="387"/>
        <v>0.58157200083257254</v>
      </c>
      <c r="S2813">
        <f t="shared" si="379"/>
        <v>857.94624527496751</v>
      </c>
      <c r="T2813" s="564">
        <f>IF((I2813-MAX(I$470:I2813))/MAX(I$470:I2813)&gt;T2812,T2812,(I2813-MAX(I$470:I2813))/MAX(I$470:I2813))</f>
        <v>-0.91338805338419748</v>
      </c>
      <c r="U2813" s="564">
        <f>IF((J2813-MAX(J$470:J2813))/MAX(J$470:J2813)&gt;U2812,U2812,(J2813-MAX(J$470:J2813))/MAX(J$470:J2813))</f>
        <v>-0.8283551177402233</v>
      </c>
      <c r="V2813" s="564">
        <f>IF((K2813-MAX(K$470:K2813))/MAX(K$470:K2813)&gt;V2812,V2812,(K2813-MAX(K$470:K2813))/MAX(K$470:K2813))</f>
        <v>-0.84885940676762139</v>
      </c>
      <c r="W2813" s="564">
        <f>IF((N2813-MAX(N$470:N2813))/MAX(N$470:N2813)&gt;W2812,W2812,(N2813-MAX(N$470:N2813))/MAX(N$470:N2813))</f>
        <v>-0.62788758315546067</v>
      </c>
      <c r="X2813" s="564">
        <f>IF((O2813-MAX(O$470:O2813))/MAX(O$470:O2813)&gt;X2812,X2812,(O2813-MAX(O$470:O2813))/MAX(O$470:O2813))</f>
        <v>-0.62788758315546067</v>
      </c>
    </row>
    <row r="2814" spans="1:24">
      <c r="A2814" s="799">
        <v>43216</v>
      </c>
      <c r="B2814">
        <v>8920.16</v>
      </c>
      <c r="C2814">
        <v>4975.0611349999999</v>
      </c>
      <c r="D2814">
        <v>1.7570809999999999</v>
      </c>
      <c r="E2814">
        <f>LN(D2814/参数实验室!$E$53)/参数实验室!$E$55</f>
        <v>-2.799576577187142E-2</v>
      </c>
      <c r="F2814">
        <f t="shared" si="378"/>
        <v>0.55773227554214277</v>
      </c>
      <c r="G2814">
        <f>LN(F2814/参数实验室!$E$58)/参数实验室!$E$59</f>
        <v>-0.4969798218325196</v>
      </c>
      <c r="H2814" s="856">
        <f>INDEX(神经网络!$G$10:$BO$70,MATCH(ROUND(G2814*2,1)/2,神经网络!$E$10:$E$70,0),MATCH(ROUND(E2814*2,1)/2,神经网络!$G$8:$BO$8,0))</f>
        <v>-0.65734140017930154</v>
      </c>
      <c r="I2814">
        <f t="shared" si="380"/>
        <v>466598.03300469095</v>
      </c>
      <c r="J2814">
        <f t="shared" si="381"/>
        <v>3559.3791149594967</v>
      </c>
      <c r="K2814">
        <f t="shared" si="382"/>
        <v>131.08972602655746</v>
      </c>
      <c r="L2814" s="4">
        <f>MIN(MAX(L2813*(1+MAX(MIN(((B2814-B2813)/B2813)/($K$7*卓尔金历!$N$40),0),-卓尔金历!$M$43))+MIN(MAX(((B2814-B2813)/B2813)/($K$7*卓尔金历!$N$40),0),卓尔金历!$M$43),0),1)</f>
        <v>0.13098751571673806</v>
      </c>
      <c r="M2814" s="4">
        <f>MIN(MAX(M2813*(1+MAX(MIN(((B2814-B2813)/B2813)/($K$7*30),0),-卓尔金历!$M$43))+MIN(MAX(((B2814-B2813)/B2813)/($K$7*7),0),卓尔金历!$M$43),0),1)</f>
        <v>0.56549375785836897</v>
      </c>
      <c r="N2814">
        <f t="shared" si="383"/>
        <v>187049.37169313821</v>
      </c>
      <c r="O2814">
        <f t="shared" si="384"/>
        <v>498138.06173062458</v>
      </c>
      <c r="P2814">
        <f t="shared" si="385"/>
        <v>-5.6876116767638374E-2</v>
      </c>
      <c r="Q2814">
        <f t="shared" si="386"/>
        <v>3.7678599775202999E-2</v>
      </c>
      <c r="R2814">
        <f t="shared" si="387"/>
        <v>2.2980428677712567E-2</v>
      </c>
      <c r="S2814">
        <f t="shared" si="379"/>
        <v>879.15890020435961</v>
      </c>
      <c r="T2814" s="564">
        <f>IF((I2814-MAX(I$470:I2814))/MAX(I$470:I2814)&gt;T2813,T2813,(I2814-MAX(I$470:I2814))/MAX(I$470:I2814))</f>
        <v>-0.91338805338419748</v>
      </c>
      <c r="U2814" s="564">
        <f>IF((J2814-MAX(J$470:J2814))/MAX(J$470:J2814)&gt;U2813,U2813,(J2814-MAX(J$470:J2814))/MAX(J$470:J2814))</f>
        <v>-0.8283551177402233</v>
      </c>
      <c r="V2814" s="564">
        <f>IF((K2814-MAX(K$470:K2814))/MAX(K$470:K2814)&gt;V2813,V2813,(K2814-MAX(K$470:K2814))/MAX(K$470:K2814))</f>
        <v>-0.84885940676762139</v>
      </c>
      <c r="W2814" s="564">
        <f>IF((N2814-MAX(N$470:N2814))/MAX(N$470:N2814)&gt;W2813,W2813,(N2814-MAX(N$470:N2814))/MAX(N$470:N2814))</f>
        <v>-0.62788758315546067</v>
      </c>
      <c r="X2814" s="564">
        <f>IF((O2814-MAX(O$470:O2814))/MAX(O$470:O2814)&gt;X2813,X2813,(O2814-MAX(O$470:O2814))/MAX(O$470:O2814))</f>
        <v>-0.62788758315546067</v>
      </c>
    </row>
    <row r="2815" spans="1:24">
      <c r="A2815" s="799">
        <v>43217</v>
      </c>
      <c r="B2815">
        <v>9247.43</v>
      </c>
      <c r="C2815">
        <v>4954.0858040000003</v>
      </c>
      <c r="D2815">
        <v>1.7040280000000001</v>
      </c>
      <c r="E2815">
        <f>LN(D2815/参数实验室!$E$53)/参数实验室!$E$55</f>
        <v>-6.416587858682192E-2</v>
      </c>
      <c r="F2815">
        <f t="shared" si="378"/>
        <v>0.53572568854265457</v>
      </c>
      <c r="G2815">
        <f>LN(F2815/参数实验室!$E$58)/参数实验室!$E$59</f>
        <v>-0.51810876573099562</v>
      </c>
      <c r="H2815" s="856">
        <f>INDEX(神经网络!$G$10:$BO$70,MATCH(ROUND(G2815*2,1)/2,神经网络!$E$10:$E$70,0),MATCH(ROUND(E2815*2,1)/2,神经网络!$G$8:$BO$8,0))</f>
        <v>-0.65734140017930154</v>
      </c>
      <c r="I2815">
        <f t="shared" si="380"/>
        <v>455345.0557427234</v>
      </c>
      <c r="J2815">
        <f t="shared" si="381"/>
        <v>3689.9684769163223</v>
      </c>
      <c r="K2815">
        <f t="shared" si="382"/>
        <v>123.40079829713117</v>
      </c>
      <c r="L2815" s="4">
        <f>MIN(MAX(L2814*(1+MAX(MIN(((B2815-B2814)/B2814)/($K$7*卓尔金历!$N$40),0),-卓尔金历!$M$43))+MIN(MAX(((B2815-B2814)/B2814)/($K$7*卓尔金历!$N$40),0),卓尔金历!$M$43),0),1)</f>
        <v>0.69155722999035973</v>
      </c>
      <c r="M2815" s="4">
        <f>MIN(MAX(M2814*(1+MAX(MIN(((B2815-B2814)/B2814)/($K$7*30),0),-卓尔金历!$M$43))+MIN(MAX(((B2815-B2814)/B2814)/($K$7*7),0),卓尔金历!$M$43),0),1)</f>
        <v>1</v>
      </c>
      <c r="N2815">
        <f t="shared" si="383"/>
        <v>186458.47617370743</v>
      </c>
      <c r="O2815">
        <f t="shared" si="384"/>
        <v>491344.42876888049</v>
      </c>
      <c r="P2815">
        <f t="shared" si="385"/>
        <v>3.6688803788272904E-2</v>
      </c>
      <c r="Q2815">
        <f t="shared" si="386"/>
        <v>3.7084994804636069E-2</v>
      </c>
      <c r="R2815">
        <f t="shared" si="387"/>
        <v>4.8824098565415155E-2</v>
      </c>
      <c r="S2815">
        <f t="shared" si="379"/>
        <v>878.67165223200345</v>
      </c>
      <c r="T2815" s="564">
        <f>IF((I2815-MAX(I$470:I2815))/MAX(I$470:I2815)&gt;T2814,T2814,(I2815-MAX(I$470:I2815))/MAX(I$470:I2815))</f>
        <v>-0.91338805338419748</v>
      </c>
      <c r="U2815" s="564">
        <f>IF((J2815-MAX(J$470:J2815))/MAX(J$470:J2815)&gt;U2814,U2814,(J2815-MAX(J$470:J2815))/MAX(J$470:J2815))</f>
        <v>-0.8283551177402233</v>
      </c>
      <c r="V2815" s="564">
        <f>IF((K2815-MAX(K$470:K2815))/MAX(K$470:K2815)&gt;V2814,V2814,(K2815-MAX(K$470:K2815))/MAX(K$470:K2815))</f>
        <v>-0.84885940676762139</v>
      </c>
      <c r="W2815" s="564">
        <f>IF((N2815-MAX(N$470:N2815))/MAX(N$470:N2815)&gt;W2814,W2814,(N2815-MAX(N$470:N2815))/MAX(N$470:N2815))</f>
        <v>-0.62788758315546067</v>
      </c>
      <c r="X2815" s="564">
        <f>IF((O2815-MAX(O$470:O2815))/MAX(O$470:O2815)&gt;X2814,X2814,(O2815-MAX(O$470:O2815))/MAX(O$470:O2815))</f>
        <v>-0.62788758315546067</v>
      </c>
    </row>
    <row r="2816" spans="1:24">
      <c r="A2816" s="799">
        <v>43218</v>
      </c>
      <c r="B2816">
        <v>9176.0499999999993</v>
      </c>
      <c r="C2816">
        <v>5033.7649460000002</v>
      </c>
      <c r="D2816">
        <v>1.7709159999999999</v>
      </c>
      <c r="E2816">
        <f>LN(D2816/参数实验室!$E$53)/参数实验室!$E$55</f>
        <v>-1.8742940558294299E-2</v>
      </c>
      <c r="F2816">
        <f t="shared" si="378"/>
        <v>0.54857645130530031</v>
      </c>
      <c r="G2816">
        <f>LN(F2816/参数实验室!$E$58)/参数实验室!$E$59</f>
        <v>-0.50566741683932748</v>
      </c>
      <c r="H2816" s="856">
        <f>INDEX(神经网络!$G$10:$BO$70,MATCH(ROUND(G2816*2,1)/2,神经网络!$E$10:$E$70,0),MATCH(ROUND(E2816*2,1)/2,神经网络!$G$8:$BO$8,0))</f>
        <v>-0.62397769287443428</v>
      </c>
      <c r="I2816">
        <f t="shared" si="380"/>
        <v>457655.45534904045</v>
      </c>
      <c r="J2816">
        <f t="shared" si="381"/>
        <v>3661.4859742228941</v>
      </c>
      <c r="K2816">
        <f t="shared" si="382"/>
        <v>124.99172701219271</v>
      </c>
      <c r="L2816" s="4">
        <f>MIN(MAX(L2815*(1+MAX(MIN(((B2816-B2815)/B2815)/($K$7*卓尔金历!$N$40),0),-卓尔金历!$M$43))+MIN(MAX(((B2816-B2815)/B2815)/($K$7*卓尔金历!$N$40),0),卓尔金历!$M$43),0),1)</f>
        <v>0.60999676453087681</v>
      </c>
      <c r="M2816" s="4">
        <f>MIN(MAX(M2815*(1+MAX(MIN(((B2816-B2815)/B2815)/($K$7*30),0),-卓尔金历!$M$43))+MIN(MAX(((B2816-B2815)/B2815)/($K$7*7),0),卓尔金历!$M$43),0),1)</f>
        <v>0.94103129725025081</v>
      </c>
      <c r="N2816">
        <f t="shared" si="383"/>
        <v>187112.74576114121</v>
      </c>
      <c r="O2816">
        <f t="shared" si="384"/>
        <v>493837.48751735431</v>
      </c>
      <c r="P2816">
        <f t="shared" si="385"/>
        <v>-7.7189013596211074E-3</v>
      </c>
      <c r="Q2816">
        <f t="shared" si="386"/>
        <v>3.7349760993583468E-2</v>
      </c>
      <c r="R2816">
        <f t="shared" si="387"/>
        <v>1</v>
      </c>
      <c r="S2816">
        <f t="shared" si="379"/>
        <v>878.88932661680656</v>
      </c>
      <c r="T2816" s="564">
        <f>IF((I2816-MAX(I$470:I2816))/MAX(I$470:I2816)&gt;T2815,T2815,(I2816-MAX(I$470:I2816))/MAX(I$470:I2816))</f>
        <v>-0.91338805338419748</v>
      </c>
      <c r="U2816" s="564">
        <f>IF((J2816-MAX(J$470:J2816))/MAX(J$470:J2816)&gt;U2815,U2815,(J2816-MAX(J$470:J2816))/MAX(J$470:J2816))</f>
        <v>-0.8283551177402233</v>
      </c>
      <c r="V2816" s="564">
        <f>IF((K2816-MAX(K$470:K2816))/MAX(K$470:K2816)&gt;V2815,V2815,(K2816-MAX(K$470:K2816))/MAX(K$470:K2816))</f>
        <v>-0.84885940676762139</v>
      </c>
      <c r="W2816" s="564">
        <f>IF((N2816-MAX(N$470:N2816))/MAX(N$470:N2816)&gt;W2815,W2815,(N2816-MAX(N$470:N2816))/MAX(N$470:N2816))</f>
        <v>-0.62788758315546067</v>
      </c>
      <c r="X2816" s="564">
        <f>IF((O2816-MAX(O$470:O2816))/MAX(O$470:O2816)&gt;X2815,X2815,(O2816-MAX(O$470:O2816))/MAX(O$470:O2816))</f>
        <v>-0.62788758315546067</v>
      </c>
    </row>
    <row r="2817" spans="1:24">
      <c r="A2817" s="799">
        <v>43219</v>
      </c>
      <c r="B2817">
        <v>9452.56</v>
      </c>
      <c r="C2817">
        <v>5048.8254269999998</v>
      </c>
      <c r="D2817">
        <v>1.780548</v>
      </c>
      <c r="E2817">
        <f>LN(D2817/参数实验室!$E$53)/参数实验室!$E$55</f>
        <v>-1.2343657835696104E-2</v>
      </c>
      <c r="F2817">
        <f t="shared" si="378"/>
        <v>0.53412254743688481</v>
      </c>
      <c r="G2817">
        <f>LN(F2817/参数实验室!$E$58)/参数实验室!$E$59</f>
        <v>-0.51968172849800542</v>
      </c>
      <c r="H2817" s="856">
        <f>INDEX(神经网络!$G$10:$BO$70,MATCH(ROUND(G2817*2,1)/2,神经网络!$E$10:$E$70,0),MATCH(ROUND(E2817*2,1)/2,神经网络!$G$8:$BO$8,0))</f>
        <v>-0.62397769287443428</v>
      </c>
      <c r="I2817">
        <f t="shared" si="380"/>
        <v>449050.2194872353</v>
      </c>
      <c r="J2817">
        <f t="shared" si="381"/>
        <v>3771.820757352059</v>
      </c>
      <c r="K2817">
        <f t="shared" si="382"/>
        <v>119.05396580999866</v>
      </c>
      <c r="L2817" s="4">
        <f>MIN(MAX(L2816*(1+MAX(MIN(((B2817-B2816)/B2816)/($K$7*卓尔金历!$N$40),0),-卓尔金历!$M$43))+MIN(MAX(((B2817-B2816)/B2816)/($K$7*卓尔金历!$N$40),0),卓尔金历!$M$43),0),1)</f>
        <v>1</v>
      </c>
      <c r="M2817" s="4">
        <f>MIN(MAX(M2816*(1+MAX(MIN(((B2817-B2816)/B2816)/($K$7*30),0),-卓尔金历!$M$43))+MIN(MAX(((B2817-B2816)/B2816)/($K$7*7),0),卓尔金历!$M$43),0),1)</f>
        <v>1</v>
      </c>
      <c r="N2817">
        <f t="shared" si="383"/>
        <v>184966.62064005519</v>
      </c>
      <c r="O2817">
        <f t="shared" si="384"/>
        <v>485099.48316106998</v>
      </c>
      <c r="P2817">
        <f t="shared" si="385"/>
        <v>3.013388113621877E-2</v>
      </c>
      <c r="Q2817">
        <f t="shared" si="386"/>
        <v>3.7494191652330804E-2</v>
      </c>
      <c r="R2817">
        <f t="shared" si="387"/>
        <v>0.26404789749473001</v>
      </c>
      <c r="S2817">
        <f t="shared" si="379"/>
        <v>862.36368519034829</v>
      </c>
      <c r="T2817" s="564">
        <f>IF((I2817-MAX(I$470:I2817))/MAX(I$470:I2817)&gt;T2816,T2816,(I2817-MAX(I$470:I2817))/MAX(I$470:I2817))</f>
        <v>-0.91338805338419748</v>
      </c>
      <c r="U2817" s="564">
        <f>IF((J2817-MAX(J$470:J2817))/MAX(J$470:J2817)&gt;U2816,U2816,(J2817-MAX(J$470:J2817))/MAX(J$470:J2817))</f>
        <v>-0.8283551177402233</v>
      </c>
      <c r="V2817" s="564">
        <f>IF((K2817-MAX(K$470:K2817))/MAX(K$470:K2817)&gt;V2816,V2816,(K2817-MAX(K$470:K2817))/MAX(K$470:K2817))</f>
        <v>-0.84885940676762139</v>
      </c>
      <c r="W2817" s="564">
        <f>IF((N2817-MAX(N$470:N2817))/MAX(N$470:N2817)&gt;W2816,W2816,(N2817-MAX(N$470:N2817))/MAX(N$470:N2817))</f>
        <v>-0.62788758315546067</v>
      </c>
      <c r="X2817" s="564">
        <f>IF((O2817-MAX(O$470:O2817))/MAX(O$470:O2817)&gt;X2816,X2816,(O2817-MAX(O$470:O2817))/MAX(O$470:O2817))</f>
        <v>-0.62788758315546067</v>
      </c>
    </row>
    <row r="2818" spans="1:24">
      <c r="A2818" s="799">
        <v>43220</v>
      </c>
      <c r="B2818">
        <v>9303.52</v>
      </c>
      <c r="C2818">
        <v>4962.4352339999996</v>
      </c>
      <c r="D2818">
        <v>1.7474000000000001</v>
      </c>
      <c r="E2818">
        <f>LN(D2818/参数实验室!$E$53)/参数实验室!$E$55</f>
        <v>-3.4513832331516024E-2</v>
      </c>
      <c r="F2818">
        <f t="shared" si="378"/>
        <v>0.53339329995528573</v>
      </c>
      <c r="G2818">
        <f>LN(F2818/参数实验室!$E$58)/参数实验室!$E$59</f>
        <v>-0.5203988111522766</v>
      </c>
      <c r="H2818" s="856">
        <f>INDEX(神经网络!$G$10:$BO$70,MATCH(ROUND(G2818*2,1)/2,神经网络!$E$10:$E$70,0),MATCH(ROUND(E2818*2,1)/2,神经网络!$G$8:$BO$8,0))</f>
        <v>-0.65734140017930154</v>
      </c>
      <c r="I2818">
        <f t="shared" si="380"/>
        <v>453468.13469368912</v>
      </c>
      <c r="J2818">
        <f t="shared" si="381"/>
        <v>3712.3498663261626</v>
      </c>
      <c r="K2818">
        <f t="shared" si="382"/>
        <v>122.15123870920412</v>
      </c>
      <c r="L2818" s="4">
        <f>MIN(MAX(L2817*(1+MAX(MIN(((B2818-B2817)/B2817)/($K$7*卓尔金历!$N$40),0),-卓尔金历!$M$43))+MIN(MAX(((B2818-B2817)/B2817)/($K$7*卓尔金历!$N$40),0),卓尔金历!$M$43),0),1)</f>
        <v>0.75909296772395685</v>
      </c>
      <c r="M2818" s="4">
        <f>MIN(MAX(M2817*(1+MAX(MIN(((B2818-B2817)/B2817)/($K$7*30),0),-卓尔金历!$M$43))+MIN(MAX(((B2818-B2817)/B2817)/($K$7*7),0),卓尔金历!$M$43),0),1)</f>
        <v>0.87954648386197842</v>
      </c>
      <c r="N2818">
        <f t="shared" si="383"/>
        <v>186786.38780762319</v>
      </c>
      <c r="O2818">
        <f t="shared" si="384"/>
        <v>489872.06379970629</v>
      </c>
      <c r="P2818">
        <f t="shared" si="385"/>
        <v>-1.5767157256869998E-2</v>
      </c>
      <c r="Q2818">
        <f t="shared" si="386"/>
        <v>3.8031584794097163E-2</v>
      </c>
      <c r="R2818">
        <f t="shared" si="387"/>
        <v>0.9509952439227527</v>
      </c>
      <c r="S2818">
        <f t="shared" si="379"/>
        <v>864.60393080900496</v>
      </c>
      <c r="T2818" s="564">
        <f>IF((I2818-MAX(I$470:I2818))/MAX(I$470:I2818)&gt;T2817,T2817,(I2818-MAX(I$470:I2818))/MAX(I$470:I2818))</f>
        <v>-0.91338805338419748</v>
      </c>
      <c r="U2818" s="564">
        <f>IF((J2818-MAX(J$470:J2818))/MAX(J$470:J2818)&gt;U2817,U2817,(J2818-MAX(J$470:J2818))/MAX(J$470:J2818))</f>
        <v>-0.8283551177402233</v>
      </c>
      <c r="V2818" s="564">
        <f>IF((K2818-MAX(K$470:K2818))/MAX(K$470:K2818)&gt;V2817,V2817,(K2818-MAX(K$470:K2818))/MAX(K$470:K2818))</f>
        <v>-0.84885940676762139</v>
      </c>
      <c r="W2818" s="564">
        <f>IF((N2818-MAX(N$470:N2818))/MAX(N$470:N2818)&gt;W2817,W2817,(N2818-MAX(N$470:N2818))/MAX(N$470:N2818))</f>
        <v>-0.62788758315546067</v>
      </c>
      <c r="X2818" s="564">
        <f>IF((O2818-MAX(O$470:O2818))/MAX(O$470:O2818)&gt;X2817,X2817,(O2818-MAX(O$470:O2818))/MAX(O$470:O2818))</f>
        <v>-0.62788758315546067</v>
      </c>
    </row>
    <row r="2819" spans="1:24">
      <c r="A2819" s="799">
        <v>43221</v>
      </c>
      <c r="B2819">
        <v>8984.6200000000008</v>
      </c>
      <c r="C2819">
        <v>4977.2168339999998</v>
      </c>
      <c r="D2819">
        <v>1.7172460000000001</v>
      </c>
      <c r="E2819">
        <f>LN(D2819/参数实验室!$E$53)/参数实验室!$E$55</f>
        <v>-5.5049943431107841E-2</v>
      </c>
      <c r="F2819">
        <f t="shared" si="378"/>
        <v>0.55397076715542781</v>
      </c>
      <c r="G2819">
        <f>LN(F2819/参数实验室!$E$58)/参数实验室!$E$59</f>
        <v>-0.50053158042826351</v>
      </c>
      <c r="H2819" s="856">
        <f>INDEX(神经网络!$G$10:$BO$70,MATCH(ROUND(G2819*2,1)/2,神经网络!$E$10:$E$70,0),MATCH(ROUND(E2819*2,1)/2,神经网络!$G$8:$BO$8,0))</f>
        <v>-0.65734140017930154</v>
      </c>
      <c r="I2819">
        <f t="shared" si="380"/>
        <v>463685.64262986195</v>
      </c>
      <c r="J2819">
        <f t="shared" si="381"/>
        <v>3585.1003551334729</v>
      </c>
      <c r="K2819">
        <f t="shared" si="382"/>
        <v>129.33686555410216</v>
      </c>
      <c r="L2819" s="4">
        <f>MIN(MAX(L2818*(1+MAX(MIN(((B2819-B2818)/B2818)/($K$7*卓尔金历!$N$40),0),-卓尔金历!$M$43))+MIN(MAX(((B2819-B2818)/B2818)/($K$7*卓尔金历!$N$40),0),卓尔金历!$M$43),0),1)</f>
        <v>0.36153700625727864</v>
      </c>
      <c r="M2819" s="4">
        <f>MIN(MAX(M2818*(1+MAX(MIN(((B2819-B2818)/B2818)/($K$7*30),0),-卓尔金历!$M$43))+MIN(MAX(((B2819-B2818)/B2818)/($K$7*7),0),卓尔金历!$M$43),0),1)</f>
        <v>0.64922624450129596</v>
      </c>
      <c r="N2819">
        <f t="shared" si="383"/>
        <v>189981.14900407076</v>
      </c>
      <c r="O2819">
        <f t="shared" si="384"/>
        <v>499580.28536441602</v>
      </c>
      <c r="P2819">
        <f t="shared" si="385"/>
        <v>-3.4277348788415526E-2</v>
      </c>
      <c r="Q2819">
        <f t="shared" si="386"/>
        <v>3.6864673900171611E-2</v>
      </c>
      <c r="R2819">
        <f t="shared" si="387"/>
        <v>0.11356809976352764</v>
      </c>
      <c r="S2819">
        <f t="shared" si="379"/>
        <v>883.13044697976557</v>
      </c>
      <c r="T2819" s="564">
        <f>IF((I2819-MAX(I$470:I2819))/MAX(I$470:I2819)&gt;T2818,T2818,(I2819-MAX(I$470:I2819))/MAX(I$470:I2819))</f>
        <v>-0.91338805338419748</v>
      </c>
      <c r="U2819" s="564">
        <f>IF((J2819-MAX(J$470:J2819))/MAX(J$470:J2819)&gt;U2818,U2818,(J2819-MAX(J$470:J2819))/MAX(J$470:J2819))</f>
        <v>-0.8283551177402233</v>
      </c>
      <c r="V2819" s="564">
        <f>IF((K2819-MAX(K$470:K2819))/MAX(K$470:K2819)&gt;V2818,V2818,(K2819-MAX(K$470:K2819))/MAX(K$470:K2819))</f>
        <v>-0.84885940676762139</v>
      </c>
      <c r="W2819" s="564">
        <f>IF((N2819-MAX(N$470:N2819))/MAX(N$470:N2819)&gt;W2818,W2818,(N2819-MAX(N$470:N2819))/MAX(N$470:N2819))</f>
        <v>-0.62788758315546067</v>
      </c>
      <c r="X2819" s="564">
        <f>IF((O2819-MAX(O$470:O2819))/MAX(O$470:O2819)&gt;X2818,X2818,(O2819-MAX(O$470:O2819))/MAX(O$470:O2819))</f>
        <v>-0.62788758315546067</v>
      </c>
    </row>
    <row r="2820" spans="1:24">
      <c r="A2820" s="799">
        <v>43222</v>
      </c>
      <c r="B2820">
        <v>9112.2000000000007</v>
      </c>
      <c r="C2820">
        <v>5031.0972460000003</v>
      </c>
      <c r="D2820">
        <v>1.7386520000000001</v>
      </c>
      <c r="E2820">
        <f>LN(D2820/参数实验室!$E$53)/参数实验室!$E$55</f>
        <v>-4.0434858777389941E-2</v>
      </c>
      <c r="F2820">
        <f t="shared" si="378"/>
        <v>0.55212761418757272</v>
      </c>
      <c r="G2820">
        <f>LN(F2820/参数实验室!$E$58)/参数实验室!$E$59</f>
        <v>-0.5022807687444365</v>
      </c>
      <c r="H2820" s="856">
        <f>INDEX(神经网络!$G$10:$BO$70,MATCH(ROUND(G2820*2,1)/2,神经网络!$E$10:$E$70,0),MATCH(ROUND(E2820*2,1)/2,神经网络!$G$8:$BO$8,0))</f>
        <v>-0.65734140017930154</v>
      </c>
      <c r="I2820">
        <f t="shared" si="380"/>
        <v>459357.54031705874</v>
      </c>
      <c r="J2820">
        <f t="shared" si="381"/>
        <v>3636.0081401380617</v>
      </c>
      <c r="K2820">
        <f t="shared" si="382"/>
        <v>126.33567434742228</v>
      </c>
      <c r="L2820" s="4">
        <f>MIN(MAX(L2819*(1+MAX(MIN(((B2820-B2819)/B2819)/($K$7*卓尔金历!$N$40),0),-卓尔金历!$M$43))+MIN(MAX(((B2820-B2819)/B2819)/($K$7*卓尔金历!$N$40),0),卓尔金历!$M$43),0),1)</f>
        <v>0.57849665181075582</v>
      </c>
      <c r="M2820" s="4">
        <f>MIN(MAX(M2819*(1+MAX(MIN(((B2820-B2819)/B2819)/($K$7*30),0),-卓尔金历!$M$43))+MIN(MAX(((B2820-B2819)/B2819)/($K$7*7),0),卓尔金历!$M$43),0),1)</f>
        <v>1</v>
      </c>
      <c r="N2820">
        <f t="shared" si="383"/>
        <v>189340.03223384521</v>
      </c>
      <c r="O2820">
        <f t="shared" si="384"/>
        <v>496552.84756480739</v>
      </c>
      <c r="P2820">
        <f t="shared" si="385"/>
        <v>1.4199821472694439E-2</v>
      </c>
      <c r="Q2820">
        <f t="shared" si="386"/>
        <v>3.686131578460259E-2</v>
      </c>
      <c r="R2820">
        <f t="shared" si="387"/>
        <v>1</v>
      </c>
      <c r="S2820">
        <f t="shared" si="379"/>
        <v>882.19427618872419</v>
      </c>
      <c r="T2820" s="564">
        <f>IF((I2820-MAX(I$470:I2820))/MAX(I$470:I2820)&gt;T2819,T2819,(I2820-MAX(I$470:I2820))/MAX(I$470:I2820))</f>
        <v>-0.91338805338419748</v>
      </c>
      <c r="U2820" s="564">
        <f>IF((J2820-MAX(J$470:J2820))/MAX(J$470:J2820)&gt;U2819,U2819,(J2820-MAX(J$470:J2820))/MAX(J$470:J2820))</f>
        <v>-0.8283551177402233</v>
      </c>
      <c r="V2820" s="564">
        <f>IF((K2820-MAX(K$470:K2820))/MAX(K$470:K2820)&gt;V2819,V2819,(K2820-MAX(K$470:K2820))/MAX(K$470:K2820))</f>
        <v>-0.84885940676762139</v>
      </c>
      <c r="W2820" s="564">
        <f>IF((N2820-MAX(N$470:N2820))/MAX(N$470:N2820)&gt;W2819,W2819,(N2820-MAX(N$470:N2820))/MAX(N$470:N2820))</f>
        <v>-0.62788758315546067</v>
      </c>
      <c r="X2820" s="564">
        <f>IF((O2820-MAX(O$470:O2820))/MAX(O$470:O2820)&gt;X2819,X2819,(O2820-MAX(O$470:O2820))/MAX(O$470:O2820))</f>
        <v>-0.62788758315546067</v>
      </c>
    </row>
    <row r="2821" spans="1:24">
      <c r="A2821" s="799">
        <v>43223</v>
      </c>
      <c r="B2821">
        <v>9213.31</v>
      </c>
      <c r="C2821">
        <v>5072.5575319999998</v>
      </c>
      <c r="D2821">
        <v>1.839048</v>
      </c>
      <c r="E2821">
        <f>LN(D2821/参数实验室!$E$53)/参数实验室!$E$55</f>
        <v>2.5794065227081289E-2</v>
      </c>
      <c r="F2821">
        <f t="shared" ref="F2821:F2884" si="388">C2821/B2821</f>
        <v>0.55056842025287334</v>
      </c>
      <c r="G2821">
        <f>LN(F2821/参数实验室!$E$58)/参数实验室!$E$59</f>
        <v>-0.50376503958681751</v>
      </c>
      <c r="H2821" s="856">
        <f>INDEX(神经网络!$G$10:$BO$70,MATCH(ROUND(G2821*2,1)/2,神经网络!$E$10:$E$70,0),MATCH(ROUND(E2821*2,1)/2,神经网络!$G$8:$BO$8,0))</f>
        <v>-0.58842899763854939</v>
      </c>
      <c r="I2821">
        <f t="shared" si="380"/>
        <v>456007.01655524614</v>
      </c>
      <c r="J2821">
        <f t="shared" si="381"/>
        <v>3676.3536969793686</v>
      </c>
      <c r="K2821">
        <f t="shared" si="382"/>
        <v>124.03785221479609</v>
      </c>
      <c r="L2821" s="4">
        <f>MIN(MAX(L2820*(1+MAX(MIN(((B2821-B2820)/B2820)/($K$7*卓尔金历!$N$40),0),-卓尔金历!$M$43))+MIN(MAX(((B2821-B2820)/B2820)/($K$7*卓尔金历!$N$40),0),卓尔金历!$M$43),0),1)</f>
        <v>0.74803460883446493</v>
      </c>
      <c r="M2821" s="4">
        <f>MIN(MAX(M2820*(1+MAX(MIN(((B2821-B2820)/B2820)/($K$7*30),0),-卓尔金历!$M$43))+MIN(MAX(((B2821-B2820)/B2820)/($K$7*7),0),卓尔金历!$M$43),0),1)</f>
        <v>1</v>
      </c>
      <c r="N2821">
        <f t="shared" si="383"/>
        <v>188541.10882012488</v>
      </c>
      <c r="O2821">
        <f t="shared" si="384"/>
        <v>492931.02367221762</v>
      </c>
      <c r="P2821">
        <f t="shared" si="385"/>
        <v>1.109611290357968E-2</v>
      </c>
      <c r="Q2821">
        <f t="shared" si="386"/>
        <v>3.6867157671128109E-2</v>
      </c>
      <c r="R2821">
        <f t="shared" si="387"/>
        <v>1</v>
      </c>
      <c r="S2821">
        <f t="shared" si="379"/>
        <v>875.75960901668816</v>
      </c>
      <c r="T2821" s="564">
        <f>IF((I2821-MAX(I$470:I2821))/MAX(I$470:I2821)&gt;T2820,T2820,(I2821-MAX(I$470:I2821))/MAX(I$470:I2821))</f>
        <v>-0.91338805338419748</v>
      </c>
      <c r="U2821" s="564">
        <f>IF((J2821-MAX(J$470:J2821))/MAX(J$470:J2821)&gt;U2820,U2820,(J2821-MAX(J$470:J2821))/MAX(J$470:J2821))</f>
        <v>-0.8283551177402233</v>
      </c>
      <c r="V2821" s="564">
        <f>IF((K2821-MAX(K$470:K2821))/MAX(K$470:K2821)&gt;V2820,V2820,(K2821-MAX(K$470:K2821))/MAX(K$470:K2821))</f>
        <v>-0.84885940676762139</v>
      </c>
      <c r="W2821" s="564">
        <f>IF((N2821-MAX(N$470:N2821))/MAX(N$470:N2821)&gt;W2820,W2820,(N2821-MAX(N$470:N2821))/MAX(N$470:N2821))</f>
        <v>-0.62788758315546067</v>
      </c>
      <c r="X2821" s="564">
        <f>IF((O2821-MAX(O$470:O2821))/MAX(O$470:O2821)&gt;X2820,X2820,(O2821-MAX(O$470:O2821))/MAX(O$470:O2821))</f>
        <v>-0.62788758315546067</v>
      </c>
    </row>
    <row r="2822" spans="1:24">
      <c r="A2822" s="799">
        <v>43224</v>
      </c>
      <c r="B2822">
        <v>9624.3799999999992</v>
      </c>
      <c r="C2822">
        <v>5104.2414779999999</v>
      </c>
      <c r="D2822">
        <v>1.8266249999999999</v>
      </c>
      <c r="E2822">
        <f>LN(D2822/参数实验室!$E$53)/参数实验室!$E$55</f>
        <v>1.7797645109700506E-2</v>
      </c>
      <c r="F2822">
        <f t="shared" si="388"/>
        <v>0.53034496538997844</v>
      </c>
      <c r="G2822">
        <f>LN(F2822/参数实验室!$E$58)/参数实验室!$E$59</f>
        <v>-0.52340694793370757</v>
      </c>
      <c r="H2822" s="856">
        <f>INDEX(神经网络!$G$10:$BO$70,MATCH(ROUND(G2822*2,1)/2,神经网络!$E$10:$E$70,0),MATCH(ROUND(E2822*2,1)/2,神经网络!$G$8:$BO$8,0))</f>
        <v>-0.62397769287443428</v>
      </c>
      <c r="I2822">
        <f t="shared" si="380"/>
        <v>444035.04460617882</v>
      </c>
      <c r="J2822">
        <f t="shared" si="381"/>
        <v>3840.3814692151132</v>
      </c>
      <c r="K2822">
        <f t="shared" si="382"/>
        <v>115.62264013760318</v>
      </c>
      <c r="L2822" s="4">
        <f>MIN(MAX(L2821*(1+MAX(MIN(((B2822-B2821)/B2821)/($K$7*卓尔金历!$N$40),0),-卓尔金历!$M$43))+MIN(MAX(((B2822-B2821)/B2821)/($K$7*卓尔金历!$N$40),0),卓尔金历!$M$43),0),1)</f>
        <v>1</v>
      </c>
      <c r="M2822" s="4">
        <f>MIN(MAX(M2821*(1+MAX(MIN(((B2822-B2821)/B2821)/($K$7*30),0),-卓尔金历!$M$43))+MIN(MAX(((B2822-B2821)/B2821)/($K$7*7),0),卓尔金历!$M$43),0),1)</f>
        <v>1</v>
      </c>
      <c r="N2822">
        <f t="shared" si="383"/>
        <v>184838.3799368692</v>
      </c>
      <c r="O2822">
        <f t="shared" si="384"/>
        <v>479989.65177665191</v>
      </c>
      <c r="P2822">
        <f t="shared" si="385"/>
        <v>4.4616972618961019E-2</v>
      </c>
      <c r="Q2822">
        <f t="shared" si="386"/>
        <v>2.8376332012367056E-2</v>
      </c>
      <c r="R2822">
        <f t="shared" si="387"/>
        <v>2.0182596583911649E-2</v>
      </c>
      <c r="S2822">
        <f t="shared" si="379"/>
        <v>852.76748588560963</v>
      </c>
      <c r="T2822" s="564">
        <f>IF((I2822-MAX(I$470:I2822))/MAX(I$470:I2822)&gt;T2821,T2821,(I2822-MAX(I$470:I2822))/MAX(I$470:I2822))</f>
        <v>-0.91338805338419748</v>
      </c>
      <c r="U2822" s="564">
        <f>IF((J2822-MAX(J$470:J2822))/MAX(J$470:J2822)&gt;U2821,U2821,(J2822-MAX(J$470:J2822))/MAX(J$470:J2822))</f>
        <v>-0.8283551177402233</v>
      </c>
      <c r="V2822" s="564">
        <f>IF((K2822-MAX(K$470:K2822))/MAX(K$470:K2822)&gt;V2821,V2821,(K2822-MAX(K$470:K2822))/MAX(K$470:K2822))</f>
        <v>-0.84885940676762139</v>
      </c>
      <c r="W2822" s="564">
        <f>IF((N2822-MAX(N$470:N2822))/MAX(N$470:N2822)&gt;W2821,W2821,(N2822-MAX(N$470:N2822))/MAX(N$470:N2822))</f>
        <v>-0.62788758315546067</v>
      </c>
      <c r="X2822" s="564">
        <f>IF((O2822-MAX(O$470:O2822))/MAX(O$470:O2822)&gt;X2821,X2821,(O2822-MAX(O$470:O2822))/MAX(O$470:O2822))</f>
        <v>-0.62788758315546067</v>
      </c>
    </row>
    <row r="2823" spans="1:24">
      <c r="A2823" s="799">
        <v>43225</v>
      </c>
      <c r="B2823">
        <v>9811.99</v>
      </c>
      <c r="C2823">
        <v>5089.4390389999999</v>
      </c>
      <c r="D2823">
        <v>1.8439380000000001</v>
      </c>
      <c r="E2823">
        <f>LN(D2823/参数实验室!$E$53)/参数实验室!$E$55</f>
        <v>2.8926847568910383E-2</v>
      </c>
      <c r="F2823">
        <f t="shared" si="388"/>
        <v>0.51869590562159151</v>
      </c>
      <c r="G2823">
        <f>LN(F2823/参数实验室!$E$58)/参数实验室!$E$59</f>
        <v>-0.53506389593713655</v>
      </c>
      <c r="H2823" s="856">
        <f>INDEX(神经网络!$G$10:$BO$70,MATCH(ROUND(G2823*2,1)/2,神经网络!$E$10:$E$70,0),MATCH(ROUND(E2823*2,1)/2,神经网络!$G$8:$BO$8,0))</f>
        <v>-0.65739850872180483</v>
      </c>
      <c r="I2823">
        <f t="shared" si="380"/>
        <v>438634.10236573959</v>
      </c>
      <c r="J2823">
        <f t="shared" si="381"/>
        <v>3915.2428075495773</v>
      </c>
      <c r="K2823">
        <f t="shared" si="382"/>
        <v>112.03241380584167</v>
      </c>
      <c r="L2823" s="4">
        <f>MIN(MAX(L2822*(1+MAX(MIN(((B2823-B2822)/B2822)/($K$7*卓尔金历!$N$40),0),-卓尔金历!$M$43))+MIN(MAX(((B2823-B2822)/B2822)/($K$7*卓尔金历!$N$40),0),卓尔金历!$M$43),0),1)</f>
        <v>1</v>
      </c>
      <c r="M2823" s="4">
        <f>MIN(MAX(M2822*(1+MAX(MIN(((B2823-B2822)/B2822)/($K$7*30),0),-卓尔金历!$M$43))+MIN(MAX(((B2823-B2822)/B2822)/($K$7*7),0),卓尔金历!$M$43),0),1)</f>
        <v>1</v>
      </c>
      <c r="N2823">
        <f t="shared" si="383"/>
        <v>182590.13078180351</v>
      </c>
      <c r="O2823">
        <f t="shared" si="384"/>
        <v>474151.38198974024</v>
      </c>
      <c r="P2823">
        <f t="shared" si="385"/>
        <v>1.9493203718057746E-2</v>
      </c>
      <c r="Q2823">
        <f t="shared" si="386"/>
        <v>2.8292767123455385E-2</v>
      </c>
      <c r="R2823">
        <f t="shared" si="387"/>
        <v>0.41148797546658095</v>
      </c>
      <c r="S2823">
        <f t="shared" si="379"/>
        <v>852.55814215545945</v>
      </c>
      <c r="T2823" s="564">
        <f>IF((I2823-MAX(I$470:I2823))/MAX(I$470:I2823)&gt;T2822,T2822,(I2823-MAX(I$470:I2823))/MAX(I$470:I2823))</f>
        <v>-0.91338805338419748</v>
      </c>
      <c r="U2823" s="564">
        <f>IF((J2823-MAX(J$470:J2823))/MAX(J$470:J2823)&gt;U2822,U2822,(J2823-MAX(J$470:J2823))/MAX(J$470:J2823))</f>
        <v>-0.8283551177402233</v>
      </c>
      <c r="V2823" s="564">
        <f>IF((K2823-MAX(K$470:K2823))/MAX(K$470:K2823)&gt;V2822,V2822,(K2823-MAX(K$470:K2823))/MAX(K$470:K2823))</f>
        <v>-0.84885940676762139</v>
      </c>
      <c r="W2823" s="564">
        <f>IF((N2823-MAX(N$470:N2823))/MAX(N$470:N2823)&gt;W2822,W2822,(N2823-MAX(N$470:N2823))/MAX(N$470:N2823))</f>
        <v>-0.62788758315546067</v>
      </c>
      <c r="X2823" s="564">
        <f>IF((O2823-MAX(O$470:O2823))/MAX(O$470:O2823)&gt;X2822,X2822,(O2823-MAX(O$470:O2823))/MAX(O$470:O2823))</f>
        <v>-0.62788758315546067</v>
      </c>
    </row>
    <row r="2824" spans="1:24">
      <c r="A2824" s="799">
        <v>43226</v>
      </c>
      <c r="B2824">
        <v>9659.33</v>
      </c>
      <c r="C2824">
        <v>5094.4122289999996</v>
      </c>
      <c r="D2824">
        <v>1.8057780000000001</v>
      </c>
      <c r="E2824">
        <f>LN(D2824/参数实验室!$E$53)/参数实验室!$E$55</f>
        <v>4.2558734985816676E-3</v>
      </c>
      <c r="F2824">
        <f t="shared" si="388"/>
        <v>0.52740844644504326</v>
      </c>
      <c r="G2824">
        <f>LN(F2824/参数实验室!$E$58)/参数实验室!$E$59</f>
        <v>-0.5263211390545639</v>
      </c>
      <c r="H2824" s="856">
        <f>INDEX(神经网络!$G$10:$BO$70,MATCH(ROUND(G2824*2,1)/2,神经网络!$E$10:$E$70,0),MATCH(ROUND(E2824*2,1)/2,神经网络!$G$8:$BO$8,0))</f>
        <v>-0.68581666050085766</v>
      </c>
      <c r="I2824">
        <f t="shared" si="380"/>
        <v>443120.5155614473</v>
      </c>
      <c r="J2824">
        <f t="shared" si="381"/>
        <v>3854.3274410438512</v>
      </c>
      <c r="K2824">
        <f t="shared" si="382"/>
        <v>114.9670136591817</v>
      </c>
      <c r="L2824" s="4">
        <f>MIN(MAX(L2823*(1+MAX(MIN(((B2824-B2823)/B2823)/($K$7*卓尔金历!$N$40),0),-卓尔金历!$M$43))+MIN(MAX(((B2824-B2823)/B2823)/($K$7*卓尔金历!$N$40),0),卓尔金历!$M$43),0),1)</f>
        <v>0.76228081121595936</v>
      </c>
      <c r="M2824" s="4">
        <f>MIN(MAX(M2823*(1+MAX(MIN(((B2824-B2823)/B2823)/($K$7*30),0),-卓尔金历!$M$43))+MIN(MAX(((B2824-B2823)/B2823)/($K$7*7),0),卓尔金历!$M$43),0),1)</f>
        <v>0.88114040560797968</v>
      </c>
      <c r="N2824">
        <f t="shared" si="383"/>
        <v>184457.68911283003</v>
      </c>
      <c r="O2824">
        <f t="shared" si="384"/>
        <v>479001.07107102399</v>
      </c>
      <c r="P2824">
        <f t="shared" si="385"/>
        <v>-1.5558515652788055E-2</v>
      </c>
      <c r="Q2824">
        <f t="shared" si="386"/>
        <v>2.8813721717410926E-2</v>
      </c>
      <c r="R2824">
        <f t="shared" si="387"/>
        <v>0.66197160693897195</v>
      </c>
      <c r="S2824">
        <f t="shared" si="379"/>
        <v>856.14635363127616</v>
      </c>
      <c r="T2824" s="564">
        <f>IF((I2824-MAX(I$470:I2824))/MAX(I$470:I2824)&gt;T2823,T2823,(I2824-MAX(I$470:I2824))/MAX(I$470:I2824))</f>
        <v>-0.91338805338419748</v>
      </c>
      <c r="U2824" s="564">
        <f>IF((J2824-MAX(J$470:J2824))/MAX(J$470:J2824)&gt;U2823,U2823,(J2824-MAX(J$470:J2824))/MAX(J$470:J2824))</f>
        <v>-0.8283551177402233</v>
      </c>
      <c r="V2824" s="564">
        <f>IF((K2824-MAX(K$470:K2824))/MAX(K$470:K2824)&gt;V2823,V2823,(K2824-MAX(K$470:K2824))/MAX(K$470:K2824))</f>
        <v>-0.84885940676762139</v>
      </c>
      <c r="W2824" s="564">
        <f>IF((N2824-MAX(N$470:N2824))/MAX(N$470:N2824)&gt;W2823,W2823,(N2824-MAX(N$470:N2824))/MAX(N$470:N2824))</f>
        <v>-0.62788758315546067</v>
      </c>
      <c r="X2824" s="564">
        <f>IF((O2824-MAX(O$470:O2824))/MAX(O$470:O2824)&gt;X2823,X2823,(O2824-MAX(O$470:O2824))/MAX(O$470:O2824))</f>
        <v>-0.62788758315546067</v>
      </c>
    </row>
    <row r="2825" spans="1:24">
      <c r="A2825" s="799">
        <v>43227</v>
      </c>
      <c r="B2825">
        <v>9376.24</v>
      </c>
      <c r="C2825">
        <v>5197.8287739999996</v>
      </c>
      <c r="D2825">
        <v>1.7576240000000001</v>
      </c>
      <c r="E2825">
        <f>LN(D2825/参数实验室!$E$53)/参数实验室!$E$55</f>
        <v>-2.7631236733688128E-2</v>
      </c>
      <c r="F2825">
        <f t="shared" si="388"/>
        <v>0.55436174564644247</v>
      </c>
      <c r="G2825">
        <f>LN(F2825/参数实验室!$E$58)/参数实验室!$E$59</f>
        <v>-0.50016128243933178</v>
      </c>
      <c r="H2825" s="856">
        <f>INDEX(神经网络!$G$10:$BO$70,MATCH(ROUND(G2825*2,1)/2,神经网络!$E$10:$E$70,0),MATCH(ROUND(E2825*2,1)/2,神经网络!$G$8:$BO$8,0))</f>
        <v>-0.65734140017930154</v>
      </c>
      <c r="I2825">
        <f t="shared" si="380"/>
        <v>452027.02256103605</v>
      </c>
      <c r="J2825">
        <f t="shared" si="381"/>
        <v>3741.3670643629525</v>
      </c>
      <c r="K2825">
        <f t="shared" si="382"/>
        <v>120.81867798181499</v>
      </c>
      <c r="L2825" s="4">
        <f>MIN(MAX(L2824*(1+MAX(MIN(((B2825-B2824)/B2824)/($K$7*卓尔金历!$N$40),0),-卓尔金历!$M$43))+MIN(MAX(((B2825-B2824)/B2824)/($K$7*卓尔金历!$N$40),0),卓尔金历!$M$43),0),1)</f>
        <v>0.42093970561320737</v>
      </c>
      <c r="M2825" s="4">
        <f>MIN(MAX(M2824*(1+MAX(MIN(((B2825-B2824)/B2824)/($K$7*30),0),-卓尔金历!$M$43))+MIN(MAX(((B2825-B2824)/B2824)/($K$7*7),0),卓尔金历!$M$43),0),1)</f>
        <v>0.68385783216781271</v>
      </c>
      <c r="N2825">
        <f t="shared" si="383"/>
        <v>187283.8527684971</v>
      </c>
      <c r="O2825">
        <f t="shared" si="384"/>
        <v>487484.41662086331</v>
      </c>
      <c r="P2825">
        <f t="shared" si="385"/>
        <v>-2.9307415731732962E-2</v>
      </c>
      <c r="Q2825">
        <f t="shared" si="386"/>
        <v>2.9833757164685674E-2</v>
      </c>
      <c r="R2825">
        <f t="shared" si="387"/>
        <v>4.7126567387221853E-2</v>
      </c>
      <c r="S2825">
        <f t="shared" si="379"/>
        <v>867.5376441924509</v>
      </c>
      <c r="T2825" s="564">
        <f>IF((I2825-MAX(I$470:I2825))/MAX(I$470:I2825)&gt;T2824,T2824,(I2825-MAX(I$470:I2825))/MAX(I$470:I2825))</f>
        <v>-0.91338805338419748</v>
      </c>
      <c r="U2825" s="564">
        <f>IF((J2825-MAX(J$470:J2825))/MAX(J$470:J2825)&gt;U2824,U2824,(J2825-MAX(J$470:J2825))/MAX(J$470:J2825))</f>
        <v>-0.8283551177402233</v>
      </c>
      <c r="V2825" s="564">
        <f>IF((K2825-MAX(K$470:K2825))/MAX(K$470:K2825)&gt;V2824,V2824,(K2825-MAX(K$470:K2825))/MAX(K$470:K2825))</f>
        <v>-0.84885940676762139</v>
      </c>
      <c r="W2825" s="564">
        <f>IF((N2825-MAX(N$470:N2825))/MAX(N$470:N2825)&gt;W2824,W2824,(N2825-MAX(N$470:N2825))/MAX(N$470:N2825))</f>
        <v>-0.62788758315546067</v>
      </c>
      <c r="X2825" s="564">
        <f>IF((O2825-MAX(O$470:O2825))/MAX(O$470:O2825)&gt;X2824,X2824,(O2825-MAX(O$470:O2825))/MAX(O$470:O2825))</f>
        <v>-0.62788758315546067</v>
      </c>
    </row>
    <row r="2826" spans="1:24">
      <c r="A2826" s="799">
        <v>43228</v>
      </c>
      <c r="B2826">
        <v>9372.82</v>
      </c>
      <c r="C2826">
        <v>5275.7954710000004</v>
      </c>
      <c r="D2826">
        <v>1.7338720000000001</v>
      </c>
      <c r="E2826">
        <f>LN(D2826/参数实验室!$E$53)/参数实验室!$E$55</f>
        <v>-4.368276955810084E-2</v>
      </c>
      <c r="F2826">
        <f t="shared" si="388"/>
        <v>0.56288240582876881</v>
      </c>
      <c r="G2826">
        <f>LN(F2826/参数实验室!$E$58)/参数实验室!$E$59</f>
        <v>-0.49215553070121493</v>
      </c>
      <c r="H2826" s="856">
        <f>INDEX(神经网络!$G$10:$BO$70,MATCH(ROUND(G2826*2,1)/2,神经网络!$E$10:$E$70,0),MATCH(ROUND(E2826*2,1)/2,神经网络!$G$8:$BO$8,0))</f>
        <v>-0.65734140017930154</v>
      </c>
      <c r="I2826">
        <f t="shared" si="380"/>
        <v>452135.40346635389</v>
      </c>
      <c r="J2826">
        <f t="shared" si="381"/>
        <v>3740.0023941582517</v>
      </c>
      <c r="K2826">
        <f t="shared" si="382"/>
        <v>120.89174171989114</v>
      </c>
      <c r="L2826" s="4">
        <f>MIN(MAX(L2825*(1+MAX(MIN(((B2826-B2825)/B2825)/($K$7*卓尔金历!$N$40),0),-卓尔金历!$M$43))+MIN(MAX(((B2826-B2825)/B2825)/($K$7*卓尔金历!$N$40),0),卓尔金历!$M$43),0),1)</f>
        <v>0.41859378472529896</v>
      </c>
      <c r="M2826" s="4">
        <f>MIN(MAX(M2825*(1+MAX(MIN(((B2826-B2825)/B2825)/($K$7*30),0),-卓尔金历!$M$43))+MIN(MAX(((B2826-B2825)/B2825)/($K$7*7),0),卓尔金历!$M$43),0),1)</f>
        <v>0.68195224289760448</v>
      </c>
      <c r="N2826">
        <f t="shared" si="383"/>
        <v>187302.75480529593</v>
      </c>
      <c r="O2826">
        <f t="shared" si="384"/>
        <v>487564.3475642447</v>
      </c>
      <c r="P2826">
        <f t="shared" si="385"/>
        <v>-3.647517555011468E-4</v>
      </c>
      <c r="Q2826">
        <f t="shared" si="386"/>
        <v>2.9773962980565956E-2</v>
      </c>
      <c r="R2826">
        <f t="shared" si="387"/>
        <v>1</v>
      </c>
      <c r="S2826">
        <f t="shared" si="379"/>
        <v>867.54744682024534</v>
      </c>
      <c r="T2826" s="564">
        <f>IF((I2826-MAX(I$470:I2826))/MAX(I$470:I2826)&gt;T2825,T2825,(I2826-MAX(I$470:I2826))/MAX(I$470:I2826))</f>
        <v>-0.91338805338419748</v>
      </c>
      <c r="U2826" s="564">
        <f>IF((J2826-MAX(J$470:J2826))/MAX(J$470:J2826)&gt;U2825,U2825,(J2826-MAX(J$470:J2826))/MAX(J$470:J2826))</f>
        <v>-0.8283551177402233</v>
      </c>
      <c r="V2826" s="564">
        <f>IF((K2826-MAX(K$470:K2826))/MAX(K$470:K2826)&gt;V2825,V2825,(K2826-MAX(K$470:K2826))/MAX(K$470:K2826))</f>
        <v>-0.84885940676762139</v>
      </c>
      <c r="W2826" s="564">
        <f>IF((N2826-MAX(N$470:N2826))/MAX(N$470:N2826)&gt;W2825,W2825,(N2826-MAX(N$470:N2826))/MAX(N$470:N2826))</f>
        <v>-0.62788758315546067</v>
      </c>
      <c r="X2826" s="564">
        <f>IF((O2826-MAX(O$470:O2826))/MAX(O$470:O2826)&gt;X2825,X2825,(O2826-MAX(O$470:O2826))/MAX(O$470:O2826))</f>
        <v>-0.62788758315546067</v>
      </c>
    </row>
    <row r="2827" spans="1:24">
      <c r="A2827" s="799">
        <v>43229</v>
      </c>
      <c r="B2827">
        <v>9088.69</v>
      </c>
      <c r="C2827">
        <v>5232.5037009999996</v>
      </c>
      <c r="D2827">
        <v>1.747233</v>
      </c>
      <c r="E2827">
        <f>LN(D2827/参数实验室!$E$53)/参数实验室!$E$55</f>
        <v>-3.4626587400156075E-2</v>
      </c>
      <c r="F2827">
        <f t="shared" si="388"/>
        <v>0.57571593937080034</v>
      </c>
      <c r="G2827">
        <f>LN(F2827/参数实验室!$E$58)/参数实验室!$E$59</f>
        <v>-0.48032340875993407</v>
      </c>
      <c r="H2827" s="856">
        <f>INDEX(神经网络!$G$10:$BO$70,MATCH(ROUND(G2827*2,1)/2,神经网络!$E$10:$E$70,0),MATCH(ROUND(E2827*2,1)/2,神经网络!$G$8:$BO$8,0))</f>
        <v>-0.65734140017930154</v>
      </c>
      <c r="I2827">
        <f t="shared" si="380"/>
        <v>461145.02016656712</v>
      </c>
      <c r="J2827">
        <f t="shared" si="381"/>
        <v>3626.6270300466845</v>
      </c>
      <c r="K2827">
        <f t="shared" si="382"/>
        <v>127.15534747465634</v>
      </c>
      <c r="L2827" s="4">
        <f>MIN(MAX(L2826*(1+MAX(MIN(((B2827-B2826)/B2826)/($K$7*卓尔金历!$N$40),0),-卓尔金历!$M$43))+MIN(MAX(((B2827-B2826)/B2826)/($K$7*卓尔金历!$N$40),0),卓尔金历!$M$43),0),1)</f>
        <v>0.22471259827834617</v>
      </c>
      <c r="M2827" s="4">
        <f>MIN(MAX(M2826*(1+MAX(MIN(((B2827-B2826)/B2826)/($K$7*30),0),-卓尔金历!$M$43))+MIN(MAX(((B2827-B2826)/B2826)/($K$7*7),0),卓尔金历!$M$43),0),1)</f>
        <v>0.52402143410655233</v>
      </c>
      <c r="N2827">
        <f t="shared" si="383"/>
        <v>188865.09188692566</v>
      </c>
      <c r="O2827">
        <f t="shared" si="384"/>
        <v>494189.92452846724</v>
      </c>
      <c r="P2827">
        <f t="shared" si="385"/>
        <v>-3.0314249073384446E-2</v>
      </c>
      <c r="Q2827">
        <f t="shared" si="386"/>
        <v>3.0669912142398711E-2</v>
      </c>
      <c r="R2827">
        <f t="shared" si="387"/>
        <v>4.1785498870633875E-2</v>
      </c>
      <c r="S2827">
        <f t="shared" si="379"/>
        <v>884.83490076694943</v>
      </c>
      <c r="T2827" s="564">
        <f>IF((I2827-MAX(I$470:I2827))/MAX(I$470:I2827)&gt;T2826,T2826,(I2827-MAX(I$470:I2827))/MAX(I$470:I2827))</f>
        <v>-0.91338805338419748</v>
      </c>
      <c r="U2827" s="564">
        <f>IF((J2827-MAX(J$470:J2827))/MAX(J$470:J2827)&gt;U2826,U2826,(J2827-MAX(J$470:J2827))/MAX(J$470:J2827))</f>
        <v>-0.8283551177402233</v>
      </c>
      <c r="V2827" s="564">
        <f>IF((K2827-MAX(K$470:K2827))/MAX(K$470:K2827)&gt;V2826,V2826,(K2827-MAX(K$470:K2827))/MAX(K$470:K2827))</f>
        <v>-0.84885940676762139</v>
      </c>
      <c r="W2827" s="564">
        <f>IF((N2827-MAX(N$470:N2827))/MAX(N$470:N2827)&gt;W2826,W2826,(N2827-MAX(N$470:N2827))/MAX(N$470:N2827))</f>
        <v>-0.62788758315546067</v>
      </c>
      <c r="X2827" s="564">
        <f>IF((O2827-MAX(O$470:O2827))/MAX(O$470:O2827)&gt;X2826,X2826,(O2827-MAX(O$470:O2827))/MAX(O$470:O2827))</f>
        <v>-0.62788758315546067</v>
      </c>
    </row>
    <row r="2828" spans="1:24">
      <c r="A2828" s="799">
        <v>43230</v>
      </c>
      <c r="B2828">
        <v>9322.81</v>
      </c>
      <c r="C2828">
        <v>5269.1772149999997</v>
      </c>
      <c r="D2828">
        <v>1.698871</v>
      </c>
      <c r="E2828">
        <f>LN(D2828/参数实验室!$E$53)/参数实验室!$E$55</f>
        <v>-6.7741648621008788E-2</v>
      </c>
      <c r="F2828">
        <f t="shared" si="388"/>
        <v>0.56519195553701085</v>
      </c>
      <c r="G2828">
        <f>LN(F2828/参数实验室!$E$58)/参数实验室!$E$59</f>
        <v>-0.49000642025736824</v>
      </c>
      <c r="H2828" s="856">
        <f>INDEX(神经网络!$G$10:$BO$70,MATCH(ROUND(G2828*2,1)/2,神经网络!$E$10:$E$70,0),MATCH(ROUND(E2828*2,1)/2,神经网络!$G$8:$BO$8,0))</f>
        <v>-0.65734140017930154</v>
      </c>
      <c r="I2828">
        <f t="shared" si="380"/>
        <v>453336.55398890923</v>
      </c>
      <c r="J2828">
        <f t="shared" si="381"/>
        <v>3720.0470851123241</v>
      </c>
      <c r="K2828">
        <f t="shared" si="382"/>
        <v>121.86312259411122</v>
      </c>
      <c r="L2828" s="4">
        <f>MIN(MAX(L2827*(1+MAX(MIN(((B2828-B2827)/B2827)/($K$7*卓尔金历!$N$40),0),-卓尔金历!$M$43))+MIN(MAX(((B2828-B2827)/B2827)/($K$7*卓尔金历!$N$40),0),卓尔金历!$M$43),0),1)</f>
        <v>0.61829285372142284</v>
      </c>
      <c r="M2828" s="4">
        <f>MIN(MAX(M2827*(1+MAX(MIN(((B2828-B2827)/B2827)/($K$7*30),0),-卓尔金历!$M$43))+MIN(MAX(((B2828-B2827)/B2827)/($K$7*7),0),卓尔金历!$M$43),0),1)</f>
        <v>1</v>
      </c>
      <c r="N2828">
        <f t="shared" si="383"/>
        <v>188146.45860617116</v>
      </c>
      <c r="O2828">
        <f t="shared" si="384"/>
        <v>489804.90886989143</v>
      </c>
      <c r="P2828">
        <f t="shared" si="385"/>
        <v>2.5759487890994078E-2</v>
      </c>
      <c r="Q2828">
        <f t="shared" si="386"/>
        <v>3.0449492052383093E-2</v>
      </c>
      <c r="R2828">
        <f t="shared" si="387"/>
        <v>0.2030662462302455</v>
      </c>
      <c r="S2828">
        <f t="shared" si="379"/>
        <v>884.20884063824349</v>
      </c>
      <c r="T2828" s="564">
        <f>IF((I2828-MAX(I$470:I2828))/MAX(I$470:I2828)&gt;T2827,T2827,(I2828-MAX(I$470:I2828))/MAX(I$470:I2828))</f>
        <v>-0.91338805338419748</v>
      </c>
      <c r="U2828" s="564">
        <f>IF((J2828-MAX(J$470:J2828))/MAX(J$470:J2828)&gt;U2827,U2827,(J2828-MAX(J$470:J2828))/MAX(J$470:J2828))</f>
        <v>-0.8283551177402233</v>
      </c>
      <c r="V2828" s="564">
        <f>IF((K2828-MAX(K$470:K2828))/MAX(K$470:K2828)&gt;V2827,V2827,(K2828-MAX(K$470:K2828))/MAX(K$470:K2828))</f>
        <v>-0.84885940676762139</v>
      </c>
      <c r="W2828" s="564">
        <f>IF((N2828-MAX(N$470:N2828))/MAX(N$470:N2828)&gt;W2827,W2827,(N2828-MAX(N$470:N2828))/MAX(N$470:N2828))</f>
        <v>-0.62788758315546067</v>
      </c>
      <c r="X2828" s="564">
        <f>IF((O2828-MAX(O$470:O2828))/MAX(O$470:O2828)&gt;X2827,X2827,(O2828-MAX(O$470:O2828))/MAX(O$470:O2828))</f>
        <v>-0.62788758315546067</v>
      </c>
    </row>
    <row r="2829" spans="1:24">
      <c r="A2829" s="799">
        <v>43231</v>
      </c>
      <c r="B2829">
        <v>9003.08</v>
      </c>
      <c r="C2829">
        <v>5391.3884070000004</v>
      </c>
      <c r="D2829">
        <v>1.5849390000000001</v>
      </c>
      <c r="E2829">
        <f>LN(D2829/参数实验室!$E$53)/参数实验室!$E$55</f>
        <v>-0.14963774988138914</v>
      </c>
      <c r="F2829">
        <f t="shared" si="388"/>
        <v>0.59883822058673264</v>
      </c>
      <c r="G2829">
        <f>LN(F2829/参数实验室!$E$58)/参数实验室!$E$59</f>
        <v>-0.45965617814450788</v>
      </c>
      <c r="H2829" s="856">
        <f>INDEX(神经网络!$G$10:$BO$70,MATCH(ROUND(G2829*2,1)/2,神经网络!$E$10:$E$70,0),MATCH(ROUND(E2829*2,1)/2,神经网络!$G$8:$BO$8,0))</f>
        <v>-0.65684808564670449</v>
      </c>
      <c r="I2829">
        <f t="shared" si="380"/>
        <v>463556.49240763683</v>
      </c>
      <c r="J2829">
        <f t="shared" si="381"/>
        <v>3592.4663820278502</v>
      </c>
      <c r="K2829">
        <f t="shared" si="382"/>
        <v>129.03572173331563</v>
      </c>
      <c r="L2829" s="4">
        <f>MIN(MAX(L2828*(1+MAX(MIN(((B2829-B2828)/B2828)/($K$7*卓尔金历!$N$40),0),-卓尔金历!$M$43))+MIN(MAX(((B2829-B2828)/B2828)/($K$7*卓尔金历!$N$40),0),卓尔金历!$M$43),0),1)</f>
        <v>0.29430639440783379</v>
      </c>
      <c r="M2829" s="4">
        <f>MIN(MAX(M2828*(1+MAX(MIN(((B2829-B2828)/B2828)/($K$7*30),0),-卓尔金历!$M$43))+MIN(MAX(((B2829-B2828)/B2828)/($K$7*7),0),卓尔金历!$M$43),0),1)</f>
        <v>0.73799918811647469</v>
      </c>
      <c r="N2829">
        <f t="shared" si="383"/>
        <v>190768.9726043994</v>
      </c>
      <c r="O2829">
        <f t="shared" si="384"/>
        <v>500846.98337677808</v>
      </c>
      <c r="P2829">
        <f t="shared" si="385"/>
        <v>-3.4295453838488567E-2</v>
      </c>
      <c r="Q2829">
        <f t="shared" si="386"/>
        <v>3.1638712679189877E-2</v>
      </c>
      <c r="R2829">
        <f t="shared" si="387"/>
        <v>2.7994308442117723E-2</v>
      </c>
      <c r="S2829">
        <f t="shared" si="379"/>
        <v>888.25665077335577</v>
      </c>
      <c r="T2829" s="564">
        <f>IF((I2829-MAX(I$470:I2829))/MAX(I$470:I2829)&gt;T2828,T2828,(I2829-MAX(I$470:I2829))/MAX(I$470:I2829))</f>
        <v>-0.91338805338419748</v>
      </c>
      <c r="U2829" s="564">
        <f>IF((J2829-MAX(J$470:J2829))/MAX(J$470:J2829)&gt;U2828,U2828,(J2829-MAX(J$470:J2829))/MAX(J$470:J2829))</f>
        <v>-0.8283551177402233</v>
      </c>
      <c r="V2829" s="564">
        <f>IF((K2829-MAX(K$470:K2829))/MAX(K$470:K2829)&gt;V2828,V2828,(K2829-MAX(K$470:K2829))/MAX(K$470:K2829))</f>
        <v>-0.84885940676762139</v>
      </c>
      <c r="W2829" s="564">
        <f>IF((N2829-MAX(N$470:N2829))/MAX(N$470:N2829)&gt;W2828,W2828,(N2829-MAX(N$470:N2829))/MAX(N$470:N2829))</f>
        <v>-0.62788758315546067</v>
      </c>
      <c r="X2829" s="564">
        <f>IF((O2829-MAX(O$470:O2829))/MAX(O$470:O2829)&gt;X2828,X2828,(O2829-MAX(O$470:O2829))/MAX(O$470:O2829))</f>
        <v>-0.62788758315546067</v>
      </c>
    </row>
    <row r="2830" spans="1:24">
      <c r="A2830" s="799">
        <v>43232</v>
      </c>
      <c r="B2830">
        <v>8252.7999999999993</v>
      </c>
      <c r="C2830">
        <v>5354.0231940000003</v>
      </c>
      <c r="D2830">
        <v>1.5974429999999999</v>
      </c>
      <c r="E2830">
        <f>LN(D2830/参数实验室!$E$53)/参数实验室!$E$55</f>
        <v>-0.14036688895040056</v>
      </c>
      <c r="F2830">
        <f t="shared" si="388"/>
        <v>0.64875232575610708</v>
      </c>
      <c r="G2830">
        <f>LN(F2830/参数实验室!$E$58)/参数实验室!$E$59</f>
        <v>-0.41763660472527964</v>
      </c>
      <c r="H2830" s="856">
        <f>INDEX(神经网络!$G$10:$BO$70,MATCH(ROUND(G2830*2,1)/2,神经网络!$E$10:$E$70,0),MATCH(ROUND(E2830*2,1)/2,神经网络!$G$8:$BO$8,0))</f>
        <v>-0.58779147677555854</v>
      </c>
      <c r="I2830">
        <f t="shared" si="380"/>
        <v>488931.13109848357</v>
      </c>
      <c r="J2830">
        <f t="shared" si="381"/>
        <v>3293.0848729100976</v>
      </c>
      <c r="K2830">
        <f t="shared" si="382"/>
        <v>148.47207101176696</v>
      </c>
      <c r="L2830" s="4">
        <f>MIN(MAX(L2829*(1+MAX(MIN(((B2830-B2829)/B2829)/($K$7*卓尔金历!$N$40),0),-卓尔金历!$M$43))+MIN(MAX(((B2830-B2829)/B2829)/($K$7*卓尔金历!$N$40),0),卓尔金历!$M$43),0),1)</f>
        <v>0</v>
      </c>
      <c r="M2830" s="4">
        <f>MIN(MAX(M2829*(1+MAX(MIN(((B2830-B2829)/B2829)/($K$7*30),0),-卓尔金历!$M$43))+MIN(MAX(((B2830-B2829)/B2829)/($K$7*7),0),卓尔金历!$M$43),0),1)</f>
        <v>0.26815460161870119</v>
      </c>
      <c r="N2830">
        <f t="shared" si="383"/>
        <v>193842.27035405507</v>
      </c>
      <c r="O2830">
        <f t="shared" si="384"/>
        <v>521079.883859394</v>
      </c>
      <c r="P2830">
        <f t="shared" si="385"/>
        <v>-8.3335925038986736E-2</v>
      </c>
      <c r="Q2830">
        <f t="shared" si="386"/>
        <v>3.285028113152836E-2</v>
      </c>
      <c r="R2830">
        <f t="shared" si="387"/>
        <v>2.1856204246855334E-3</v>
      </c>
      <c r="S2830">
        <f t="shared" si="379"/>
        <v>889.61779896437042</v>
      </c>
      <c r="T2830" s="564">
        <f>IF((I2830-MAX(I$470:I2830))/MAX(I$470:I2830)&gt;T2829,T2829,(I2830-MAX(I$470:I2830))/MAX(I$470:I2830))</f>
        <v>-0.91338805338419748</v>
      </c>
      <c r="U2830" s="564">
        <f>IF((J2830-MAX(J$470:J2830))/MAX(J$470:J2830)&gt;U2829,U2829,(J2830-MAX(J$470:J2830))/MAX(J$470:J2830))</f>
        <v>-0.8283551177402233</v>
      </c>
      <c r="V2830" s="564">
        <f>IF((K2830-MAX(K$470:K2830))/MAX(K$470:K2830)&gt;V2829,V2829,(K2830-MAX(K$470:K2830))/MAX(K$470:K2830))</f>
        <v>-0.84885940676762139</v>
      </c>
      <c r="W2830" s="564">
        <f>IF((N2830-MAX(N$470:N2830))/MAX(N$470:N2830)&gt;W2829,W2829,(N2830-MAX(N$470:N2830))/MAX(N$470:N2830))</f>
        <v>-0.62788758315546067</v>
      </c>
      <c r="X2830" s="564">
        <f>IF((O2830-MAX(O$470:O2830))/MAX(O$470:O2830)&gt;X2829,X2829,(O2830-MAX(O$470:O2830))/MAX(O$470:O2830))</f>
        <v>-0.62788758315546067</v>
      </c>
    </row>
    <row r="2831" spans="1:24">
      <c r="A2831" s="799">
        <v>43233</v>
      </c>
      <c r="B2831">
        <v>8447.1299999999992</v>
      </c>
      <c r="C2831">
        <v>5417.0248549999997</v>
      </c>
      <c r="D2831">
        <v>1.636809</v>
      </c>
      <c r="E2831">
        <f>LN(D2831/参数实验室!$E$53)/参数实验室!$E$55</f>
        <v>-0.11164651722970108</v>
      </c>
      <c r="F2831">
        <f t="shared" si="388"/>
        <v>0.64128583968756259</v>
      </c>
      <c r="G2831">
        <f>LN(F2831/参数实验室!$E$58)/参数实验室!$E$59</f>
        <v>-0.42371217561131047</v>
      </c>
      <c r="H2831" s="856">
        <f>INDEX(神经网络!$G$10:$BO$70,MATCH(ROUND(G2831*2,1)/2,神经网络!$E$10:$E$70,0),MATCH(ROUND(E2831*2,1)/2,神经网络!$G$8:$BO$8,0))</f>
        <v>-0.55467644745781164</v>
      </c>
      <c r="I2831">
        <f t="shared" si="380"/>
        <v>482163.92341618548</v>
      </c>
      <c r="J2831">
        <f t="shared" si="381"/>
        <v>3370.6276684888853</v>
      </c>
      <c r="K2831">
        <f t="shared" si="382"/>
        <v>143.04870511917102</v>
      </c>
      <c r="L2831" s="4">
        <f>MIN(MAX(L2830*(1+MAX(MIN(((B2831-B2830)/B2830)/($K$7*卓尔金历!$N$40),0),-卓尔金历!$M$43))+MIN(MAX(((B2831-B2830)/B2830)/($K$7*卓尔金历!$N$40),0),卓尔金历!$M$43),0),1)</f>
        <v>0.35977800448932679</v>
      </c>
      <c r="M2831" s="4">
        <f>MIN(MAX(M2830*(1+MAX(MIN(((B2831-B2830)/B2830)/($K$7*30),0),-卓尔金历!$M$43))+MIN(MAX(((B2831-B2830)/B2830)/($K$7*7),0),卓尔金历!$M$43),0),1)</f>
        <v>1</v>
      </c>
      <c r="N2831">
        <f t="shared" si="383"/>
        <v>193842.27035405507</v>
      </c>
      <c r="O2831">
        <f t="shared" si="384"/>
        <v>519145.90654178732</v>
      </c>
      <c r="P2831">
        <f t="shared" si="385"/>
        <v>2.3547159751841792E-2</v>
      </c>
      <c r="Q2831">
        <f t="shared" si="386"/>
        <v>3.3332066209589055E-2</v>
      </c>
      <c r="R2831">
        <f t="shared" si="387"/>
        <v>0.3917809106065856</v>
      </c>
      <c r="S2831">
        <f t="shared" si="379"/>
        <v>889.59088733342094</v>
      </c>
      <c r="T2831" s="564">
        <f>IF((I2831-MAX(I$470:I2831))/MAX(I$470:I2831)&gt;T2830,T2830,(I2831-MAX(I$470:I2831))/MAX(I$470:I2831))</f>
        <v>-0.91338805338419748</v>
      </c>
      <c r="U2831" s="564">
        <f>IF((J2831-MAX(J$470:J2831))/MAX(J$470:J2831)&gt;U2830,U2830,(J2831-MAX(J$470:J2831))/MAX(J$470:J2831))</f>
        <v>-0.8283551177402233</v>
      </c>
      <c r="V2831" s="564">
        <f>IF((K2831-MAX(K$470:K2831))/MAX(K$470:K2831)&gt;V2830,V2830,(K2831-MAX(K$470:K2831))/MAX(K$470:K2831))</f>
        <v>-0.84885940676762139</v>
      </c>
      <c r="W2831" s="564">
        <f>IF((N2831-MAX(N$470:N2831))/MAX(N$470:N2831)&gt;W2830,W2830,(N2831-MAX(N$470:N2831))/MAX(N$470:N2831))</f>
        <v>-0.62788758315546067</v>
      </c>
      <c r="X2831" s="564">
        <f>IF((O2831-MAX(O$470:O2831))/MAX(O$470:O2831)&gt;X2830,X2830,(O2831-MAX(O$470:O2831))/MAX(O$470:O2831))</f>
        <v>-0.62788758315546067</v>
      </c>
    </row>
    <row r="2832" spans="1:24">
      <c r="A2832" s="799">
        <v>43234</v>
      </c>
      <c r="B2832">
        <v>8422.6299999999992</v>
      </c>
      <c r="C2832">
        <v>5436.8648400000002</v>
      </c>
      <c r="D2832">
        <v>1.6236120000000001</v>
      </c>
      <c r="E2832">
        <f>LN(D2832/参数实验室!$E$53)/参数实验室!$E$55</f>
        <v>-0.12119699465997448</v>
      </c>
      <c r="F2832">
        <f t="shared" si="388"/>
        <v>0.64550678825972418</v>
      </c>
      <c r="G2832">
        <f>LN(F2832/参数实验室!$E$58)/参数实验室!$E$59</f>
        <v>-0.42026890150273771</v>
      </c>
      <c r="H2832" s="856">
        <f>INDEX(神经网络!$G$10:$BO$70,MATCH(ROUND(G2832*2,1)/2,神经网络!$E$10:$E$70,0),MATCH(ROUND(E2832*2,1)/2,神经网络!$G$8:$BO$8,0))</f>
        <v>-0.55467644745781164</v>
      </c>
      <c r="I2832">
        <f t="shared" si="380"/>
        <v>482939.61904502677</v>
      </c>
      <c r="J2832">
        <f t="shared" si="381"/>
        <v>3360.8515222856213</v>
      </c>
      <c r="K2832">
        <f t="shared" si="382"/>
        <v>143.69561280606442</v>
      </c>
      <c r="L2832" s="4">
        <f>MIN(MAX(L2831*(1+MAX(MIN(((B2832-B2831)/B2831)/($K$7*卓尔金历!$N$40),0),-卓尔金历!$M$43))+MIN(MAX(((B2832-B2831)/B2831)/($K$7*卓尔金历!$N$40),0),卓尔金历!$M$43),0),1)</f>
        <v>0.34383436030969361</v>
      </c>
      <c r="M2832" s="4">
        <f>MIN(MAX(M2831*(1+MAX(MIN(((B2832-B2831)/B2831)/($K$7*30),0),-卓尔金历!$M$43))+MIN(MAX(((B2832-B2831)/B2831)/($K$7*7),0),卓尔金历!$M$43),0),1)</f>
        <v>0.97784238616495778</v>
      </c>
      <c r="N2832">
        <f t="shared" si="383"/>
        <v>193954.46696229887</v>
      </c>
      <c r="O2832">
        <f t="shared" si="384"/>
        <v>519981.09804176964</v>
      </c>
      <c r="P2832">
        <f t="shared" si="385"/>
        <v>-2.9003933880501426E-3</v>
      </c>
      <c r="Q2832">
        <f t="shared" si="386"/>
        <v>3.3331732109504665E-2</v>
      </c>
      <c r="R2832">
        <f t="shared" si="387"/>
        <v>1</v>
      </c>
      <c r="S2832">
        <f t="shared" si="379"/>
        <v>890.15158691057911</v>
      </c>
      <c r="T2832" s="564">
        <f>IF((I2832-MAX(I$470:I2832))/MAX(I$470:I2832)&gt;T2831,T2831,(I2832-MAX(I$470:I2832))/MAX(I$470:I2832))</f>
        <v>-0.91338805338419748</v>
      </c>
      <c r="U2832" s="564">
        <f>IF((J2832-MAX(J$470:J2832))/MAX(J$470:J2832)&gt;U2831,U2831,(J2832-MAX(J$470:J2832))/MAX(J$470:J2832))</f>
        <v>-0.8283551177402233</v>
      </c>
      <c r="V2832" s="564">
        <f>IF((K2832-MAX(K$470:K2832))/MAX(K$470:K2832)&gt;V2831,V2831,(K2832-MAX(K$470:K2832))/MAX(K$470:K2832))</f>
        <v>-0.84885940676762139</v>
      </c>
      <c r="W2832" s="564">
        <f>IF((N2832-MAX(N$470:N2832))/MAX(N$470:N2832)&gt;W2831,W2831,(N2832-MAX(N$470:N2832))/MAX(N$470:N2832))</f>
        <v>-0.62788758315546067</v>
      </c>
      <c r="X2832" s="564">
        <f>IF((O2832-MAX(O$470:O2832))/MAX(O$470:O2832)&gt;X2831,X2831,(O2832-MAX(O$470:O2832))/MAX(O$470:O2832))</f>
        <v>-0.62788758315546067</v>
      </c>
    </row>
    <row r="2833" spans="1:24">
      <c r="A2833" s="799">
        <v>43235</v>
      </c>
      <c r="B2833">
        <v>8771.7999999999993</v>
      </c>
      <c r="C2833">
        <v>5501.1224869999996</v>
      </c>
      <c r="D2833">
        <v>1.5895820000000001</v>
      </c>
      <c r="E2833">
        <f>LN(D2833/参数实验室!$E$53)/参数实验室!$E$55</f>
        <v>-0.14618677367580468</v>
      </c>
      <c r="F2833">
        <f t="shared" si="388"/>
        <v>0.6271372451492282</v>
      </c>
      <c r="G2833">
        <f>LN(F2833/参数实验室!$E$58)/参数实验室!$E$59</f>
        <v>-0.43542160465542096</v>
      </c>
      <c r="H2833" s="856">
        <f>INDEX(神经网络!$G$10:$BO$70,MATCH(ROUND(G2833*2,1)/2,神经网络!$E$10:$E$70,0),MATCH(ROUND(E2833*2,1)/2,神经网络!$G$8:$BO$8,0))</f>
        <v>-0.65684808564670449</v>
      </c>
      <c r="I2833">
        <f t="shared" si="380"/>
        <v>471834.53727873362</v>
      </c>
      <c r="J2833">
        <f t="shared" si="381"/>
        <v>3500.1795618690376</v>
      </c>
      <c r="K2833">
        <f t="shared" si="382"/>
        <v>134.80295194535159</v>
      </c>
      <c r="L2833" s="4">
        <f>MIN(MAX(L2832*(1+MAX(MIN(((B2833-B2832)/B2832)/($K$7*卓尔金历!$N$40),0),-卓尔金历!$M$43))+MIN(MAX(((B2833-B2832)/B2832)/($K$7*卓尔金历!$N$40),0),卓尔金历!$M$43),0),1)</f>
        <v>0.97724488963570422</v>
      </c>
      <c r="M2833" s="4">
        <f>MIN(MAX(M2832*(1+MAX(MIN(((B2833-B2832)/B2832)/($K$7*30),0),-卓尔金历!$M$43))+MIN(MAX(((B2833-B2832)/B2832)/($K$7*7),0),卓尔金历!$M$43),0),1)</f>
        <v>1</v>
      </c>
      <c r="N2833">
        <f t="shared" si="383"/>
        <v>192420.98742044775</v>
      </c>
      <c r="O2833">
        <f t="shared" si="384"/>
        <v>508289.19135177333</v>
      </c>
      <c r="P2833">
        <f t="shared" si="385"/>
        <v>4.1456172240737173E-2</v>
      </c>
      <c r="Q2833">
        <f t="shared" si="386"/>
        <v>3.3247013411314953E-2</v>
      </c>
      <c r="R2833">
        <f t="shared" si="387"/>
        <v>2.5976357529713247E-2</v>
      </c>
      <c r="S2833">
        <f t="shared" si="379"/>
        <v>869.68276271971069</v>
      </c>
      <c r="T2833" s="564">
        <f>IF((I2833-MAX(I$470:I2833))/MAX(I$470:I2833)&gt;T2832,T2832,(I2833-MAX(I$470:I2833))/MAX(I$470:I2833))</f>
        <v>-0.91338805338419748</v>
      </c>
      <c r="U2833" s="564">
        <f>IF((J2833-MAX(J$470:J2833))/MAX(J$470:J2833)&gt;U2832,U2832,(J2833-MAX(J$470:J2833))/MAX(J$470:J2833))</f>
        <v>-0.8283551177402233</v>
      </c>
      <c r="V2833" s="564">
        <f>IF((K2833-MAX(K$470:K2833))/MAX(K$470:K2833)&gt;V2832,V2832,(K2833-MAX(K$470:K2833))/MAX(K$470:K2833))</f>
        <v>-0.84885940676762139</v>
      </c>
      <c r="W2833" s="564">
        <f>IF((N2833-MAX(N$470:N2833))/MAX(N$470:N2833)&gt;W2832,W2832,(N2833-MAX(N$470:N2833))/MAX(N$470:N2833))</f>
        <v>-0.62788758315546067</v>
      </c>
      <c r="X2833" s="564">
        <f>IF((O2833-MAX(O$470:O2833))/MAX(O$470:O2833)&gt;X2832,X2832,(O2833-MAX(O$470:O2833))/MAX(O$470:O2833))</f>
        <v>-0.62788758315546067</v>
      </c>
    </row>
    <row r="2834" spans="1:24">
      <c r="A2834" s="799">
        <v>43236</v>
      </c>
      <c r="B2834">
        <v>8247.4</v>
      </c>
      <c r="C2834">
        <v>5365.1794769999997</v>
      </c>
      <c r="D2834">
        <v>1.561321</v>
      </c>
      <c r="E2834">
        <f>LN(D2834/参数实验室!$E$53)/参数实验室!$E$55</f>
        <v>-0.16735016748535292</v>
      </c>
      <c r="F2834">
        <f t="shared" si="388"/>
        <v>0.65052980054320153</v>
      </c>
      <c r="G2834">
        <f>LN(F2834/参数实验室!$E$58)/参数实验室!$E$59</f>
        <v>-0.41620055724706656</v>
      </c>
      <c r="H2834" s="856">
        <f>INDEX(神经网络!$G$10:$BO$70,MATCH(ROUND(G2834*2,1)/2,神经网络!$E$10:$E$70,0),MATCH(ROUND(E2834*2,1)/2,神经网络!$G$8:$BO$8,0))</f>
        <v>-0.58779147677555854</v>
      </c>
      <c r="I2834">
        <f t="shared" si="380"/>
        <v>490362.540929418</v>
      </c>
      <c r="J2834">
        <f t="shared" si="381"/>
        <v>3290.9301304816231</v>
      </c>
      <c r="K2834">
        <f t="shared" si="382"/>
        <v>149.00423937522311</v>
      </c>
      <c r="L2834" s="4">
        <f>MIN(MAX(L2833*(1+MAX(MIN(((B2834-B2833)/B2833)/($K$7*卓尔金历!$N$40),0),-卓尔金历!$M$43))+MIN(MAX(((B2834-B2833)/B2833)/($K$7*卓尔金历!$N$40),0),卓尔金历!$M$43),0),1)</f>
        <v>8.4610841263972267E-2</v>
      </c>
      <c r="M2834" s="4">
        <f>MIN(MAX(M2833*(1+MAX(MIN(((B2834-B2833)/B2833)/($K$7*30),0),-卓尔金历!$M$43))+MIN(MAX(((B2834-B2833)/B2833)/($K$7*7),0),卓尔金历!$M$43),0),1)</f>
        <v>0.54329050075437757</v>
      </c>
      <c r="N2834">
        <f t="shared" si="383"/>
        <v>199805.03943771974</v>
      </c>
      <c r="O2834">
        <f t="shared" si="384"/>
        <v>528248.69674805948</v>
      </c>
      <c r="P2834">
        <f t="shared" si="385"/>
        <v>-5.978248478077472E-2</v>
      </c>
      <c r="Q2834">
        <f t="shared" si="386"/>
        <v>3.4915745622143647E-2</v>
      </c>
      <c r="R2834">
        <f t="shared" si="387"/>
        <v>1.5367606426415381E-2</v>
      </c>
      <c r="S2834">
        <f t="shared" si="379"/>
        <v>870.56987382497653</v>
      </c>
      <c r="T2834" s="564">
        <f>IF((I2834-MAX(I$470:I2834))/MAX(I$470:I2834)&gt;T2833,T2833,(I2834-MAX(I$470:I2834))/MAX(I$470:I2834))</f>
        <v>-0.91338805338419748</v>
      </c>
      <c r="U2834" s="564">
        <f>IF((J2834-MAX(J$470:J2834))/MAX(J$470:J2834)&gt;U2833,U2833,(J2834-MAX(J$470:J2834))/MAX(J$470:J2834))</f>
        <v>-0.8283551177402233</v>
      </c>
      <c r="V2834" s="564">
        <f>IF((K2834-MAX(K$470:K2834))/MAX(K$470:K2834)&gt;V2833,V2833,(K2834-MAX(K$470:K2834))/MAX(K$470:K2834))</f>
        <v>-0.84885940676762139</v>
      </c>
      <c r="W2834" s="564">
        <f>IF((N2834-MAX(N$470:N2834))/MAX(N$470:N2834)&gt;W2833,W2833,(N2834-MAX(N$470:N2834))/MAX(N$470:N2834))</f>
        <v>-0.62788758315546067</v>
      </c>
      <c r="X2834" s="564">
        <f>IF((O2834-MAX(O$470:O2834))/MAX(O$470:O2834)&gt;X2833,X2833,(O2834-MAX(O$470:O2834))/MAX(O$470:O2834))</f>
        <v>-0.62788758315546067</v>
      </c>
    </row>
    <row r="2835" spans="1:24">
      <c r="A2835" s="799">
        <v>43237</v>
      </c>
      <c r="B2835">
        <v>8377.0400000000009</v>
      </c>
      <c r="C2835">
        <v>5475.6195159999997</v>
      </c>
      <c r="D2835">
        <v>1.5042690000000001</v>
      </c>
      <c r="E2835">
        <f>LN(D2835/参数实验室!$E$53)/参数实验室!$E$55</f>
        <v>-0.21126670837153574</v>
      </c>
      <c r="F2835">
        <f t="shared" si="388"/>
        <v>0.65364609886069536</v>
      </c>
      <c r="G2835">
        <f>LN(F2835/参数实验室!$E$58)/参数实验室!$E$59</f>
        <v>-0.41369229914320066</v>
      </c>
      <c r="H2835" s="856">
        <f>INDEX(神经网络!$G$10:$BO$70,MATCH(ROUND(G2835*2,1)/2,神经网络!$E$10:$E$70,0),MATCH(ROUND(E2835*2,1)/2,神经网络!$G$8:$BO$8,0))</f>
        <v>-0.62285645839876758</v>
      </c>
      <c r="I2835">
        <f t="shared" si="380"/>
        <v>485831.86984040448</v>
      </c>
      <c r="J2835">
        <f t="shared" si="381"/>
        <v>3342.6599098200381</v>
      </c>
      <c r="K2835">
        <f t="shared" si="382"/>
        <v>145.34289546272169</v>
      </c>
      <c r="L2835" s="4">
        <f>MIN(MAX(L2834*(1+MAX(MIN(((B2835-B2834)/B2834)/($K$7*卓尔金历!$N$40),0),-卓尔金历!$M$43))+MIN(MAX(((B2835-B2834)/B2834)/($K$7*卓尔金历!$N$40),0),卓尔金历!$M$43),0),1)</f>
        <v>0.3247804454784623</v>
      </c>
      <c r="M2835" s="4">
        <f>MIN(MAX(M2834*(1+MAX(MIN(((B2835-B2834)/B2834)/($K$7*30),0),-卓尔金历!$M$43))+MIN(MAX(((B2835-B2834)/B2834)/($K$7*7),0),卓尔金历!$M$43),0),1)</f>
        <v>1</v>
      </c>
      <c r="N2835">
        <f t="shared" si="383"/>
        <v>199648.8406355429</v>
      </c>
      <c r="O2835">
        <f t="shared" si="384"/>
        <v>525597.04922330391</v>
      </c>
      <c r="P2835">
        <f t="shared" si="385"/>
        <v>1.5718893226956524E-2</v>
      </c>
      <c r="Q2835">
        <f t="shared" si="386"/>
        <v>3.3249730884793473E-2</v>
      </c>
      <c r="R2835">
        <f t="shared" si="387"/>
        <v>0.81025733321519233</v>
      </c>
      <c r="S2835">
        <f t="shared" si="379"/>
        <v>870.44626339645572</v>
      </c>
      <c r="T2835" s="564">
        <f>IF((I2835-MAX(I$470:I2835))/MAX(I$470:I2835)&gt;T2834,T2834,(I2835-MAX(I$470:I2835))/MAX(I$470:I2835))</f>
        <v>-0.91338805338419748</v>
      </c>
      <c r="U2835" s="564">
        <f>IF((J2835-MAX(J$470:J2835))/MAX(J$470:J2835)&gt;U2834,U2834,(J2835-MAX(J$470:J2835))/MAX(J$470:J2835))</f>
        <v>-0.8283551177402233</v>
      </c>
      <c r="V2835" s="564">
        <f>IF((K2835-MAX(K$470:K2835))/MAX(K$470:K2835)&gt;V2834,V2834,(K2835-MAX(K$470:K2835))/MAX(K$470:K2835))</f>
        <v>-0.84885940676762139</v>
      </c>
      <c r="W2835" s="564">
        <f>IF((N2835-MAX(N$470:N2835))/MAX(N$470:N2835)&gt;W2834,W2834,(N2835-MAX(N$470:N2835))/MAX(N$470:N2835))</f>
        <v>-0.62788758315546067</v>
      </c>
      <c r="X2835" s="564">
        <f>IF((O2835-MAX(O$470:O2835))/MAX(O$470:O2835)&gt;X2834,X2834,(O2835-MAX(O$470:O2835))/MAX(O$470:O2835))</f>
        <v>-0.62788758315546067</v>
      </c>
    </row>
    <row r="2836" spans="1:24">
      <c r="A2836" s="799">
        <v>43238</v>
      </c>
      <c r="B2836">
        <v>8053.8</v>
      </c>
      <c r="C2836">
        <v>5521.8665460000002</v>
      </c>
      <c r="D2836">
        <v>1.5392870000000001</v>
      </c>
      <c r="E2836">
        <f>LN(D2836/参数实验室!$E$53)/参数实验室!$E$55</f>
        <v>-0.18411792437026339</v>
      </c>
      <c r="F2836">
        <f t="shared" si="388"/>
        <v>0.685622506891157</v>
      </c>
      <c r="G2836">
        <f>LN(F2836/参数实验室!$E$58)/参数实验室!$E$59</f>
        <v>-0.3886246806269516</v>
      </c>
      <c r="H2836" s="856">
        <f>INDEX(神经网络!$G$10:$BO$70,MATCH(ROUND(G2836*2,1)/2,神经网络!$E$10:$E$70,0),MATCH(ROUND(E2836*2,1)/2,神经网络!$G$8:$BO$8,0))</f>
        <v>-0.62285645839876758</v>
      </c>
      <c r="I2836">
        <f t="shared" si="380"/>
        <v>497508.25685802544</v>
      </c>
      <c r="J2836">
        <f t="shared" si="381"/>
        <v>3213.6786241570553</v>
      </c>
      <c r="K2836">
        <f t="shared" si="382"/>
        <v>154.80958584915172</v>
      </c>
      <c r="L2836" s="4">
        <f>MIN(MAX(L2835*(1+MAX(MIN(((B2836-B2835)/B2835)/($K$7*卓尔金历!$N$40),0),-卓尔金历!$M$43))+MIN(MAX(((B2836-B2835)/B2835)/($K$7*卓尔金历!$N$40),0),卓尔金历!$M$43),0),1)</f>
        <v>0.13330174978607329</v>
      </c>
      <c r="M2836" s="4">
        <f>MIN(MAX(M2835*(1+MAX(MIN(((B2836-B2835)/B2835)/($K$7*30),0),-卓尔金历!$M$43))+MIN(MAX(((B2836-B2835)/B2835)/($K$7*7),0),卓尔金历!$M$43),0),1)</f>
        <v>0.70521825073195976</v>
      </c>
      <c r="N2836">
        <f t="shared" si="383"/>
        <v>201207.24137879818</v>
      </c>
      <c r="O2836">
        <f t="shared" si="384"/>
        <v>538229.14469301212</v>
      </c>
      <c r="P2836">
        <f t="shared" si="385"/>
        <v>-3.8586421934239383E-2</v>
      </c>
      <c r="Q2836">
        <f t="shared" si="386"/>
        <v>3.2895549989462876E-2</v>
      </c>
      <c r="R2836">
        <f t="shared" si="387"/>
        <v>2.7944302038021111E-2</v>
      </c>
      <c r="S2836">
        <f t="shared" si="379"/>
        <v>887.39695476627048</v>
      </c>
      <c r="T2836" s="564">
        <f>IF((I2836-MAX(I$470:I2836))/MAX(I$470:I2836)&gt;T2835,T2835,(I2836-MAX(I$470:I2836))/MAX(I$470:I2836))</f>
        <v>-0.91338805338419748</v>
      </c>
      <c r="U2836" s="564">
        <f>IF((J2836-MAX(J$470:J2836))/MAX(J$470:J2836)&gt;U2835,U2835,(J2836-MAX(J$470:J2836))/MAX(J$470:J2836))</f>
        <v>-0.8283551177402233</v>
      </c>
      <c r="V2836" s="564">
        <f>IF((K2836-MAX(K$470:K2836))/MAX(K$470:K2836)&gt;V2835,V2835,(K2836-MAX(K$470:K2836))/MAX(K$470:K2836))</f>
        <v>-0.84885940676762139</v>
      </c>
      <c r="W2836" s="564">
        <f>IF((N2836-MAX(N$470:N2836))/MAX(N$470:N2836)&gt;W2835,W2835,(N2836-MAX(N$470:N2836))/MAX(N$470:N2836))</f>
        <v>-0.62788758315546067</v>
      </c>
      <c r="X2836" s="564">
        <f>IF((O2836-MAX(O$470:O2836))/MAX(O$470:O2836)&gt;X2835,X2835,(O2836-MAX(O$470:O2836))/MAX(O$470:O2836))</f>
        <v>-0.62788758315546067</v>
      </c>
    </row>
    <row r="2837" spans="1:24">
      <c r="A2837" s="799">
        <v>43239</v>
      </c>
      <c r="B2837">
        <v>8254.0300000000007</v>
      </c>
      <c r="C2837">
        <v>5614.0383169999996</v>
      </c>
      <c r="D2837">
        <v>1.5382180000000001</v>
      </c>
      <c r="E2837">
        <f>LN(D2837/参数实验室!$E$53)/参数实验室!$E$55</f>
        <v>-0.18493752093860641</v>
      </c>
      <c r="F2837">
        <f t="shared" si="388"/>
        <v>0.68015724646021392</v>
      </c>
      <c r="G2837">
        <f>LN(F2837/参数实验室!$E$58)/参数实验室!$E$59</f>
        <v>-0.39282518123805427</v>
      </c>
      <c r="H2837" s="856">
        <f>INDEX(神经网络!$G$10:$BO$70,MATCH(ROUND(G2837*2,1)/2,神经网络!$E$10:$E$70,0),MATCH(ROUND(E2837*2,1)/2,神经网络!$G$8:$BO$8,0))</f>
        <v>-0.62285645839876758</v>
      </c>
      <c r="I2837">
        <f t="shared" si="380"/>
        <v>489804.25157961628</v>
      </c>
      <c r="J2837">
        <f t="shared" si="381"/>
        <v>3293.5756753521396</v>
      </c>
      <c r="K2837">
        <f t="shared" si="382"/>
        <v>148.71504403105837</v>
      </c>
      <c r="L2837" s="4">
        <f>MIN(MAX(L2836*(1+MAX(MIN(((B2837-B2836)/B2836)/($K$7*卓尔金历!$N$40),0),-卓尔金历!$M$43))+MIN(MAX(((B2837-B2836)/B2836)/($K$7*卓尔金历!$N$40),0),卓尔金历!$M$43),0),1)</f>
        <v>0.51316246816038991</v>
      </c>
      <c r="M2837" s="4">
        <f>MIN(MAX(M2836*(1+MAX(MIN(((B2837-B2836)/B2836)/($K$7*30),0),-卓尔金历!$M$43))+MIN(MAX(((B2837-B2836)/B2836)/($K$7*7),0),卓尔金历!$M$43),0),1)</f>
        <v>1</v>
      </c>
      <c r="N2837">
        <f t="shared" si="383"/>
        <v>200791.90905135547</v>
      </c>
      <c r="O2837">
        <f t="shared" si="384"/>
        <v>532351.44987728237</v>
      </c>
      <c r="P2837">
        <f t="shared" si="385"/>
        <v>2.4861556035660242E-2</v>
      </c>
      <c r="Q2837">
        <f t="shared" si="386"/>
        <v>3.3540293226331896E-2</v>
      </c>
      <c r="R2837">
        <f t="shared" si="387"/>
        <v>0.34217011709624157</v>
      </c>
      <c r="S2837">
        <f t="shared" si="379"/>
        <v>887.01295807735846</v>
      </c>
      <c r="T2837" s="564">
        <f>IF((I2837-MAX(I$470:I2837))/MAX(I$470:I2837)&gt;T2836,T2836,(I2837-MAX(I$470:I2837))/MAX(I$470:I2837))</f>
        <v>-0.91338805338419748</v>
      </c>
      <c r="U2837" s="564">
        <f>IF((J2837-MAX(J$470:J2837))/MAX(J$470:J2837)&gt;U2836,U2836,(J2837-MAX(J$470:J2837))/MAX(J$470:J2837))</f>
        <v>-0.8283551177402233</v>
      </c>
      <c r="V2837" s="564">
        <f>IF((K2837-MAX(K$470:K2837))/MAX(K$470:K2837)&gt;V2836,V2836,(K2837-MAX(K$470:K2837))/MAX(K$470:K2837))</f>
        <v>-0.84885940676762139</v>
      </c>
      <c r="W2837" s="564">
        <f>IF((N2837-MAX(N$470:N2837))/MAX(N$470:N2837)&gt;W2836,W2836,(N2837-MAX(N$470:N2837))/MAX(N$470:N2837))</f>
        <v>-0.62788758315546067</v>
      </c>
      <c r="X2837" s="564">
        <f>IF((O2837-MAX(O$470:O2837))/MAX(O$470:O2837)&gt;X2836,X2836,(O2837-MAX(O$470:O2837))/MAX(O$470:O2837))</f>
        <v>-0.62788758315546067</v>
      </c>
    </row>
    <row r="2838" spans="1:24">
      <c r="A2838" s="799">
        <v>43240</v>
      </c>
      <c r="B2838">
        <v>8277.4699999999993</v>
      </c>
      <c r="C2838">
        <v>5589.4141550000004</v>
      </c>
      <c r="D2838">
        <v>1.590363</v>
      </c>
      <c r="E2838">
        <f>LN(D2838/参数实验室!$E$53)/参数实验室!$E$55</f>
        <v>-0.14560727478379981</v>
      </c>
      <c r="F2838">
        <f t="shared" si="388"/>
        <v>0.67525634704807158</v>
      </c>
      <c r="G2838">
        <f>LN(F2838/参数实验室!$E$58)/参数实验室!$E$59</f>
        <v>-0.39662072835885559</v>
      </c>
      <c r="H2838" s="856">
        <f>INDEX(神经网络!$G$10:$BO$70,MATCH(ROUND(G2838*2,1)/2,神经网络!$E$10:$E$70,0),MATCH(ROUND(E2838*2,1)/2,神经网络!$G$8:$BO$8,0))</f>
        <v>-0.58779147677555854</v>
      </c>
      <c r="I2838">
        <f t="shared" si="380"/>
        <v>488937.88421003683</v>
      </c>
      <c r="J2838">
        <f t="shared" si="381"/>
        <v>3302.928853597221</v>
      </c>
      <c r="K2838">
        <f t="shared" si="382"/>
        <v>148.03161251188757</v>
      </c>
      <c r="L2838" s="4">
        <f>MIN(MAX(L2837*(1+MAX(MIN(((B2838-B2837)/B2837)/($K$7*卓尔金历!$N$40),0),-卓尔金历!$M$43))+MIN(MAX(((B2838-B2837)/B2837)/($K$7*卓尔金历!$N$40),0),卓尔金历!$M$43),0),1)</f>
        <v>0.55655226760559251</v>
      </c>
      <c r="M2838" s="4">
        <f>MIN(MAX(M2837*(1+MAX(MIN(((B2838-B2837)/B2837)/($K$7*30),0),-卓尔金历!$M$43))+MIN(MAX(((B2838-B2837)/B2837)/($K$7*7),0),卓尔金历!$M$43),0),1)</f>
        <v>1</v>
      </c>
      <c r="N2838">
        <f t="shared" si="383"/>
        <v>200609.65355664442</v>
      </c>
      <c r="O2838">
        <f t="shared" si="384"/>
        <v>531409.82488355355</v>
      </c>
      <c r="P2838">
        <f t="shared" si="385"/>
        <v>2.8398249097711893E-3</v>
      </c>
      <c r="Q2838">
        <f t="shared" si="386"/>
        <v>3.2692791612171132E-2</v>
      </c>
      <c r="R2838">
        <f t="shared" si="387"/>
        <v>1</v>
      </c>
      <c r="S2838">
        <f t="shared" si="379"/>
        <v>886.47610978120474</v>
      </c>
      <c r="T2838" s="564">
        <f>IF((I2838-MAX(I$470:I2838))/MAX(I$470:I2838)&gt;T2837,T2837,(I2838-MAX(I$470:I2838))/MAX(I$470:I2838))</f>
        <v>-0.91338805338419748</v>
      </c>
      <c r="U2838" s="564">
        <f>IF((J2838-MAX(J$470:J2838))/MAX(J$470:J2838)&gt;U2837,U2837,(J2838-MAX(J$470:J2838))/MAX(J$470:J2838))</f>
        <v>-0.8283551177402233</v>
      </c>
      <c r="V2838" s="564">
        <f>IF((K2838-MAX(K$470:K2838))/MAX(K$470:K2838)&gt;V2837,V2837,(K2838-MAX(K$470:K2838))/MAX(K$470:K2838))</f>
        <v>-0.84885940676762139</v>
      </c>
      <c r="W2838" s="564">
        <f>IF((N2838-MAX(N$470:N2838))/MAX(N$470:N2838)&gt;W2837,W2837,(N2838-MAX(N$470:N2838))/MAX(N$470:N2838))</f>
        <v>-0.62788758315546067</v>
      </c>
      <c r="X2838" s="564">
        <f>IF((O2838-MAX(O$470:O2838))/MAX(O$470:O2838)&gt;X2837,X2837,(O2838-MAX(O$470:O2838))/MAX(O$470:O2838))</f>
        <v>-0.62788758315546067</v>
      </c>
    </row>
    <row r="2839" spans="1:24">
      <c r="A2839" s="799">
        <v>43241</v>
      </c>
      <c r="B2839">
        <v>8500.56</v>
      </c>
      <c r="C2839">
        <v>5599.0265040000004</v>
      </c>
      <c r="D2839">
        <v>1.5688340000000001</v>
      </c>
      <c r="E2839">
        <f>LN(D2839/参数实验室!$E$53)/参数实验室!$E$55</f>
        <v>-0.16168686765338877</v>
      </c>
      <c r="F2839">
        <f t="shared" si="388"/>
        <v>0.6586656060306616</v>
      </c>
      <c r="G2839">
        <f>LN(F2839/参数实验室!$E$58)/参数实验室!$E$59</f>
        <v>-0.40967721420497949</v>
      </c>
      <c r="H2839" s="856">
        <f>INDEX(神经网络!$G$10:$BO$70,MATCH(ROUND(G2839*2,1)/2,神经网络!$E$10:$E$70,0),MATCH(ROUND(E2839*2,1)/2,神经网络!$G$8:$BO$8,0))</f>
        <v>-0.58779147677555854</v>
      </c>
      <c r="I2839">
        <f t="shared" si="380"/>
        <v>481192.20580801077</v>
      </c>
      <c r="J2839">
        <f t="shared" si="381"/>
        <v>3391.9476477395137</v>
      </c>
      <c r="K2839">
        <f t="shared" si="382"/>
        <v>141.86309925175004</v>
      </c>
      <c r="L2839" s="4">
        <f>MIN(MAX(L2838*(1+MAX(MIN(((B2839-B2838)/B2838)/($K$7*卓尔金历!$N$40),0),-卓尔金历!$M$43))+MIN(MAX(((B2839-B2838)/B2838)/($K$7*卓尔金历!$N$40),0),卓尔金历!$M$43),0),1)</f>
        <v>0.96834489464527196</v>
      </c>
      <c r="M2839" s="4">
        <f>MIN(MAX(M2838*(1+MAX(MIN(((B2839-B2838)/B2838)/($K$7*30),0),-卓尔金历!$M$43))+MIN(MAX(((B2839-B2838)/B2838)/($K$7*7),0),卓尔金历!$M$43),0),1)</f>
        <v>1</v>
      </c>
      <c r="N2839">
        <f t="shared" si="383"/>
        <v>198840.91535105908</v>
      </c>
      <c r="O2839">
        <f t="shared" si="384"/>
        <v>522991.31256091915</v>
      </c>
      <c r="P2839">
        <f t="shared" si="385"/>
        <v>2.695147188694132E-2</v>
      </c>
      <c r="Q2839">
        <f t="shared" si="386"/>
        <v>3.3329487005810746E-2</v>
      </c>
      <c r="R2839">
        <f t="shared" si="387"/>
        <v>0.25204148009605248</v>
      </c>
      <c r="S2839">
        <f t="shared" ref="S2839:S2902" si="389">S2838*(1+(B2839-B2838)/B2838*H2838*R2838)</f>
        <v>872.43269224456174</v>
      </c>
      <c r="T2839" s="564">
        <f>IF((I2839-MAX(I$470:I2839))/MAX(I$470:I2839)&gt;T2838,T2838,(I2839-MAX(I$470:I2839))/MAX(I$470:I2839))</f>
        <v>-0.91338805338419748</v>
      </c>
      <c r="U2839" s="564">
        <f>IF((J2839-MAX(J$470:J2839))/MAX(J$470:J2839)&gt;U2838,U2838,(J2839-MAX(J$470:J2839))/MAX(J$470:J2839))</f>
        <v>-0.8283551177402233</v>
      </c>
      <c r="V2839" s="564">
        <f>IF((K2839-MAX(K$470:K2839))/MAX(K$470:K2839)&gt;V2838,V2838,(K2839-MAX(K$470:K2839))/MAX(K$470:K2839))</f>
        <v>-0.84885940676762139</v>
      </c>
      <c r="W2839" s="564">
        <f>IF((N2839-MAX(N$470:N2839))/MAX(N$470:N2839)&gt;W2838,W2838,(N2839-MAX(N$470:N2839))/MAX(N$470:N2839))</f>
        <v>-0.62788758315546067</v>
      </c>
      <c r="X2839" s="564">
        <f>IF((O2839-MAX(O$470:O2839))/MAX(O$470:O2839)&gt;X2838,X2838,(O2839-MAX(O$470:O2839))/MAX(O$470:O2839))</f>
        <v>-0.62788758315546067</v>
      </c>
    </row>
    <row r="2840" spans="1:24">
      <c r="A2840" s="799">
        <v>43242</v>
      </c>
      <c r="B2840">
        <v>8357.8799999999992</v>
      </c>
      <c r="C2840">
        <v>5635.2088979999999</v>
      </c>
      <c r="D2840">
        <v>1.497171</v>
      </c>
      <c r="E2840">
        <f>LN(D2840/参数实验室!$E$53)/参数实验室!$E$55</f>
        <v>-0.21684663276538049</v>
      </c>
      <c r="F2840">
        <f t="shared" si="388"/>
        <v>0.6742390292753665</v>
      </c>
      <c r="G2840">
        <f>LN(F2840/参数实验室!$E$58)/参数实验室!$E$59</f>
        <v>-0.39741205148098846</v>
      </c>
      <c r="H2840" s="856">
        <f>INDEX(神经网络!$G$10:$BO$70,MATCH(ROUND(G2840*2,1)/2,神经网络!$E$10:$E$70,0),MATCH(ROUND(E2840*2,1)/2,神经网络!$G$8:$BO$8,0))</f>
        <v>-0.62285645839876758</v>
      </c>
      <c r="I2840">
        <f t="shared" ref="I2840:I2903" si="390">I2839*(1+(B2840-B2839)/B2839*H2839)</f>
        <v>485939.62337016413</v>
      </c>
      <c r="J2840">
        <f t="shared" ref="J2840:J2903" si="391">J2839*B2840/B2839</f>
        <v>3335.0145644627091</v>
      </c>
      <c r="K2840">
        <f t="shared" ref="K2840:K2903" si="392">I2840/J2840</f>
        <v>145.70839616361673</v>
      </c>
      <c r="L2840" s="4">
        <f>MIN(MAX(L2839*(1+MAX(MIN(((B2840-B2839)/B2839)/($K$7*卓尔金历!$N$40),0),-卓尔金历!$M$43))+MIN(MAX(((B2840-B2839)/B2839)/($K$7*卓尔金历!$N$40),0),卓尔金历!$M$43),0),1)</f>
        <v>0.72000773522815753</v>
      </c>
      <c r="M2840" s="4">
        <f>MIN(MAX(M2839*(1+MAX(MIN(((B2840-B2839)/B2839)/($K$7*30),0),-卓尔金历!$M$43))+MIN(MAX(((B2840-B2839)/B2839)/($K$7*7),0),卓尔金历!$M$43),0),1)</f>
        <v>0.87177236086524401</v>
      </c>
      <c r="N2840">
        <f t="shared" ref="N2840:N2903" si="393">N2839*(1+(B2840-B2839)/B2839*H2839*L2839)</f>
        <v>200740.57006118348</v>
      </c>
      <c r="O2840">
        <f t="shared" ref="O2840:O2903" si="394">O2839*(1+(B2840-B2839)/B2839*H2839*M2839)</f>
        <v>528151.11796120857</v>
      </c>
      <c r="P2840">
        <f t="shared" ref="P2840:P2903" si="395">(B2840-B2839)/B2839</f>
        <v>-1.6784776532369667E-2</v>
      </c>
      <c r="Q2840">
        <f t="shared" si="386"/>
        <v>3.2769337011356744E-2</v>
      </c>
      <c r="R2840">
        <f t="shared" si="387"/>
        <v>0.72464852499119581</v>
      </c>
      <c r="S2840">
        <f t="shared" si="389"/>
        <v>874.60210805297709</v>
      </c>
      <c r="T2840" s="564">
        <f>IF((I2840-MAX(I$470:I2840))/MAX(I$470:I2840)&gt;T2839,T2839,(I2840-MAX(I$470:I2840))/MAX(I$470:I2840))</f>
        <v>-0.91338805338419748</v>
      </c>
      <c r="U2840" s="564">
        <f>IF((J2840-MAX(J$470:J2840))/MAX(J$470:J2840)&gt;U2839,U2839,(J2840-MAX(J$470:J2840))/MAX(J$470:J2840))</f>
        <v>-0.8283551177402233</v>
      </c>
      <c r="V2840" s="564">
        <f>IF((K2840-MAX(K$470:K2840))/MAX(K$470:K2840)&gt;V2839,V2839,(K2840-MAX(K$470:K2840))/MAX(K$470:K2840))</f>
        <v>-0.84885940676762139</v>
      </c>
      <c r="W2840" s="564">
        <f>IF((N2840-MAX(N$470:N2840))/MAX(N$470:N2840)&gt;W2839,W2839,(N2840-MAX(N$470:N2840))/MAX(N$470:N2840))</f>
        <v>-0.62788758315546067</v>
      </c>
      <c r="X2840" s="564">
        <f>IF((O2840-MAX(O$470:O2840))/MAX(O$470:O2840)&gt;X2839,X2839,(O2840-MAX(O$470:O2840))/MAX(O$470:O2840))</f>
        <v>-0.62788758315546067</v>
      </c>
    </row>
    <row r="2841" spans="1:24">
      <c r="A2841" s="799">
        <v>43243</v>
      </c>
      <c r="B2841">
        <v>7974.42</v>
      </c>
      <c r="C2841">
        <v>5603.122883</v>
      </c>
      <c r="D2841">
        <v>1.408102</v>
      </c>
      <c r="E2841">
        <f>LN(D2841/参数实验室!$E$53)/参数实验室!$E$55</f>
        <v>-0.28920636038685565</v>
      </c>
      <c r="F2841">
        <f t="shared" si="388"/>
        <v>0.70263704231781121</v>
      </c>
      <c r="G2841">
        <f>LN(F2841/参数实验室!$E$58)/参数实验室!$E$59</f>
        <v>-0.37575879414667823</v>
      </c>
      <c r="H2841" s="856">
        <f>INDEX(神经网络!$G$10:$BO$70,MATCH(ROUND(G2841*2,1)/2,神经网络!$E$10:$E$70,0),MATCH(ROUND(E2841*2,1)/2,神经网络!$G$8:$BO$8,0))</f>
        <v>-0.6829786341344618</v>
      </c>
      <c r="I2841">
        <f t="shared" si="390"/>
        <v>499826.16886454116</v>
      </c>
      <c r="J2841">
        <f t="shared" si="391"/>
        <v>3182.0039104584798</v>
      </c>
      <c r="K2841">
        <f t="shared" si="392"/>
        <v>157.07905550390214</v>
      </c>
      <c r="L2841" s="4">
        <f>MIN(MAX(L2840*(1+MAX(MIN(((B2841-B2840)/B2840)/($K$7*卓尔金历!$N$40),0),-卓尔金历!$M$43))+MIN(MAX(((B2841-B2840)/B2840)/($K$7*卓尔金历!$N$40),0),卓尔金历!$M$43),0),1)</f>
        <v>0.21527999194518097</v>
      </c>
      <c r="M2841" s="4">
        <f>MIN(MAX(M2840*(1+MAX(MIN(((B2841-B2840)/B2840)/($K$7*30),0),-卓尔金历!$M$43))+MIN(MAX(((B2841-B2840)/B2840)/($K$7*7),0),卓尔金历!$M$43),0),1)</f>
        <v>0.56621474333731792</v>
      </c>
      <c r="N2841">
        <f t="shared" si="393"/>
        <v>204870.89504071107</v>
      </c>
      <c r="O2841">
        <f t="shared" si="394"/>
        <v>541308.6127831341</v>
      </c>
      <c r="P2841">
        <f t="shared" si="395"/>
        <v>-4.5880055707906688E-2</v>
      </c>
      <c r="Q2841">
        <f t="shared" si="386"/>
        <v>3.3760090301292678E-2</v>
      </c>
      <c r="R2841">
        <f t="shared" si="387"/>
        <v>2.2717304806992418E-2</v>
      </c>
      <c r="S2841">
        <f t="shared" si="389"/>
        <v>892.71341708173679</v>
      </c>
      <c r="T2841" s="564">
        <f>IF((I2841-MAX(I$470:I2841))/MAX(I$470:I2841)&gt;T2840,T2840,(I2841-MAX(I$470:I2841))/MAX(I$470:I2841))</f>
        <v>-0.91338805338419748</v>
      </c>
      <c r="U2841" s="564">
        <f>IF((J2841-MAX(J$470:J2841))/MAX(J$470:J2841)&gt;U2840,U2840,(J2841-MAX(J$470:J2841))/MAX(J$470:J2841))</f>
        <v>-0.8283551177402233</v>
      </c>
      <c r="V2841" s="564">
        <f>IF((K2841-MAX(K$470:K2841))/MAX(K$470:K2841)&gt;V2840,V2840,(K2841-MAX(K$470:K2841))/MAX(K$470:K2841))</f>
        <v>-0.84885940676762139</v>
      </c>
      <c r="W2841" s="564">
        <f>IF((N2841-MAX(N$470:N2841))/MAX(N$470:N2841)&gt;W2840,W2840,(N2841-MAX(N$470:N2841))/MAX(N$470:N2841))</f>
        <v>-0.62788758315546067</v>
      </c>
      <c r="X2841" s="564">
        <f>IF((O2841-MAX(O$470:O2841))/MAX(O$470:O2841)&gt;X2840,X2840,(O2841-MAX(O$470:O2841))/MAX(O$470:O2841))</f>
        <v>-0.62788758315546067</v>
      </c>
    </row>
    <row r="2842" spans="1:24">
      <c r="A2842" s="799">
        <v>43244</v>
      </c>
      <c r="B2842">
        <v>7704.68</v>
      </c>
      <c r="C2842">
        <v>5666.0428009999996</v>
      </c>
      <c r="D2842">
        <v>1.4182650000000001</v>
      </c>
      <c r="E2842">
        <f>LN(D2842/参数实验室!$E$53)/参数实验室!$E$55</f>
        <v>-0.28072205251483068</v>
      </c>
      <c r="F2842">
        <f t="shared" si="388"/>
        <v>0.73540274235918945</v>
      </c>
      <c r="G2842">
        <f>LN(F2842/参数实验室!$E$58)/参数实验室!$E$59</f>
        <v>-0.35183708174620165</v>
      </c>
      <c r="H2842" s="856">
        <f>INDEX(神经网络!$G$10:$BO$70,MATCH(ROUND(G2842*2,1)/2,神经网络!$E$10:$E$70,0),MATCH(ROUND(E2842*2,1)/2,神经网络!$G$8:$BO$8,0))</f>
        <v>-0.62084997534914133</v>
      </c>
      <c r="I2842">
        <f t="shared" si="390"/>
        <v>511373.25367532193</v>
      </c>
      <c r="J2842">
        <f t="shared" si="391"/>
        <v>3074.3705358924212</v>
      </c>
      <c r="K2842">
        <f t="shared" si="392"/>
        <v>166.33429435560268</v>
      </c>
      <c r="L2842" s="4">
        <f>MIN(MAX(L2841*(1+MAX(MIN(((B2842-B2841)/B2841)/($K$7*卓尔金历!$N$40),0),-卓尔金历!$M$43))+MIN(MAX(((B2842-B2841)/B2841)/($K$7*卓尔金历!$N$40),0),卓尔金历!$M$43),0),1)</f>
        <v>0.10401821426522578</v>
      </c>
      <c r="M2842" s="4">
        <f>MIN(MAX(M2841*(1+MAX(MIN(((B2842-B2841)/B2841)/($K$7*30),0),-卓尔金历!$M$43))+MIN(MAX(((B2842-B2841)/B2841)/($K$7*7),0),卓尔金历!$M$43),0),1)</f>
        <v>0.41989817596130408</v>
      </c>
      <c r="N2842">
        <f t="shared" si="393"/>
        <v>205889.80849899119</v>
      </c>
      <c r="O2842">
        <f t="shared" si="394"/>
        <v>548389.36628951097</v>
      </c>
      <c r="P2842">
        <f t="shared" si="395"/>
        <v>-3.3825657539984073E-2</v>
      </c>
      <c r="Q2842">
        <f t="shared" si="386"/>
        <v>3.4046810401965028E-2</v>
      </c>
      <c r="R2842">
        <f t="shared" si="387"/>
        <v>4.0496836984727301E-2</v>
      </c>
      <c r="S2842">
        <f t="shared" si="389"/>
        <v>893.18193071463224</v>
      </c>
      <c r="T2842" s="564">
        <f>IF((I2842-MAX(I$470:I2842))/MAX(I$470:I2842)&gt;T2841,T2841,(I2842-MAX(I$470:I2842))/MAX(I$470:I2842))</f>
        <v>-0.91338805338419748</v>
      </c>
      <c r="U2842" s="564">
        <f>IF((J2842-MAX(J$470:J2842))/MAX(J$470:J2842)&gt;U2841,U2841,(J2842-MAX(J$470:J2842))/MAX(J$470:J2842))</f>
        <v>-0.8283551177402233</v>
      </c>
      <c r="V2842" s="564">
        <f>IF((K2842-MAX(K$470:K2842))/MAX(K$470:K2842)&gt;V2841,V2841,(K2842-MAX(K$470:K2842))/MAX(K$470:K2842))</f>
        <v>-0.84885940676762139</v>
      </c>
      <c r="W2842" s="564">
        <f>IF((N2842-MAX(N$470:N2842))/MAX(N$470:N2842)&gt;W2841,W2841,(N2842-MAX(N$470:N2842))/MAX(N$470:N2842))</f>
        <v>-0.62788758315546067</v>
      </c>
      <c r="X2842" s="564">
        <f>IF((O2842-MAX(O$470:O2842))/MAX(O$470:O2842)&gt;X2841,X2841,(O2842-MAX(O$470:O2842))/MAX(O$470:O2842))</f>
        <v>-0.62788758315546067</v>
      </c>
    </row>
    <row r="2843" spans="1:24">
      <c r="A2843" s="799">
        <v>43245</v>
      </c>
      <c r="B2843">
        <v>7636.52</v>
      </c>
      <c r="C2843">
        <v>5469.3911230000003</v>
      </c>
      <c r="D2843">
        <v>1.391505</v>
      </c>
      <c r="E2843">
        <f>LN(D2843/参数实验室!$E$53)/参数实验室!$E$55</f>
        <v>-0.30319446227387548</v>
      </c>
      <c r="F2843">
        <f t="shared" si="388"/>
        <v>0.71621512455935421</v>
      </c>
      <c r="G2843">
        <f>LN(F2843/参数实验室!$E$58)/参数实验室!$E$59</f>
        <v>-0.36571302744920053</v>
      </c>
      <c r="H2843" s="856">
        <f>INDEX(神经网络!$G$10:$BO$70,MATCH(ROUND(G2843*2,1)/2,神经网络!$E$10:$E$70,0),MATCH(ROUND(E2843*2,1)/2,神经网络!$G$8:$BO$8,0))</f>
        <v>-0.62084997534914133</v>
      </c>
      <c r="I2843">
        <f t="shared" si="390"/>
        <v>514181.91680777259</v>
      </c>
      <c r="J2843">
        <f t="shared" si="391"/>
        <v>3047.1728981285651</v>
      </c>
      <c r="K2843">
        <f t="shared" si="392"/>
        <v>168.74064386814405</v>
      </c>
      <c r="L2843" s="4">
        <f>MIN(MAX(L2842*(1+MAX(MIN(((B2843-B2842)/B2842)/($K$7*卓尔金历!$N$40),0),-卓尔金历!$M$43))+MIN(MAX(((B2843-B2842)/B2842)/($K$7*卓尔金历!$N$40),0),卓尔金历!$M$43),0),1)</f>
        <v>8.9958372009599094E-2</v>
      </c>
      <c r="M2843" s="4">
        <f>MIN(MAX(M2842*(1+MAX(MIN(((B2843-B2842)/B2842)/($K$7*30),0),-卓尔金历!$M$43))+MIN(MAX(((B2843-B2842)/B2842)/($K$7*7),0),卓尔金历!$M$43),0),1)</f>
        <v>0.39151996278419626</v>
      </c>
      <c r="N2843">
        <f t="shared" si="393"/>
        <v>206007.43519207643</v>
      </c>
      <c r="O2843">
        <f t="shared" si="394"/>
        <v>549654.08707776049</v>
      </c>
      <c r="P2843">
        <f t="shared" si="395"/>
        <v>-8.8465711749222357E-3</v>
      </c>
      <c r="Q2843">
        <f t="shared" si="386"/>
        <v>3.196032158850929E-2</v>
      </c>
      <c r="R2843">
        <f t="shared" si="387"/>
        <v>1</v>
      </c>
      <c r="S2843">
        <f t="shared" si="389"/>
        <v>893.38059631619637</v>
      </c>
      <c r="T2843" s="564">
        <f>IF((I2843-MAX(I$470:I2843))/MAX(I$470:I2843)&gt;T2842,T2842,(I2843-MAX(I$470:I2843))/MAX(I$470:I2843))</f>
        <v>-0.91338805338419748</v>
      </c>
      <c r="U2843" s="564">
        <f>IF((J2843-MAX(J$470:J2843))/MAX(J$470:J2843)&gt;U2842,U2842,(J2843-MAX(J$470:J2843))/MAX(J$470:J2843))</f>
        <v>-0.8283551177402233</v>
      </c>
      <c r="V2843" s="564">
        <f>IF((K2843-MAX(K$470:K2843))/MAX(K$470:K2843)&gt;V2842,V2842,(K2843-MAX(K$470:K2843))/MAX(K$470:K2843))</f>
        <v>-0.84885940676762139</v>
      </c>
      <c r="W2843" s="564">
        <f>IF((N2843-MAX(N$470:N2843))/MAX(N$470:N2843)&gt;W2842,W2842,(N2843-MAX(N$470:N2843))/MAX(N$470:N2843))</f>
        <v>-0.62788758315546067</v>
      </c>
      <c r="X2843" s="564">
        <f>IF((O2843-MAX(O$470:O2843))/MAX(O$470:O2843)&gt;X2842,X2842,(O2843-MAX(O$470:O2843))/MAX(O$470:O2843))</f>
        <v>-0.62788758315546067</v>
      </c>
    </row>
    <row r="2844" spans="1:24">
      <c r="A2844" s="799">
        <v>43246</v>
      </c>
      <c r="B2844">
        <v>7457.9</v>
      </c>
      <c r="C2844">
        <v>5395.1667770000004</v>
      </c>
      <c r="D2844">
        <v>1.373605</v>
      </c>
      <c r="E2844">
        <f>LN(D2844/参数实验室!$E$53)/参数实验室!$E$55</f>
        <v>-0.3184689924462113</v>
      </c>
      <c r="F2844">
        <f t="shared" si="388"/>
        <v>0.72341634736319882</v>
      </c>
      <c r="G2844">
        <f>LN(F2844/参数实验室!$E$58)/参数实验室!$E$59</f>
        <v>-0.36046220805362539</v>
      </c>
      <c r="H2844" s="856">
        <f>INDEX(神经网络!$G$10:$BO$70,MATCH(ROUND(G2844*2,1)/2,神经网络!$E$10:$E$70,0),MATCH(ROUND(E2844*2,1)/2,神经网络!$G$8:$BO$8,0))</f>
        <v>-0.62084997534914133</v>
      </c>
      <c r="I2844">
        <f t="shared" si="390"/>
        <v>521648.77766868792</v>
      </c>
      <c r="J2844">
        <f t="shared" si="391"/>
        <v>2975.8988069111351</v>
      </c>
      <c r="K2844">
        <f t="shared" si="392"/>
        <v>175.29116798502253</v>
      </c>
      <c r="L2844" s="4">
        <f>MIN(MAX(L2843*(1+MAX(MIN(((B2844-B2843)/B2843)/($K$7*卓尔金历!$N$40),0),-卓尔金历!$M$43))+MIN(MAX(((B2844-B2843)/B2843)/($K$7*卓尔金历!$N$40),0),卓尔金历!$M$43),0),1)</f>
        <v>5.7809017525639314E-2</v>
      </c>
      <c r="M2844" s="4">
        <f>MIN(MAX(M2843*(1+MAX(MIN(((B2844-B2843)/B2843)/($K$7*30),0),-卓尔金历!$M$43))+MIN(MAX(((B2844-B2843)/B2843)/($K$7*7),0),卓尔金历!$M$43),0),1)</f>
        <v>0.32155919209710143</v>
      </c>
      <c r="N2844">
        <f t="shared" si="393"/>
        <v>206276.55504837839</v>
      </c>
      <c r="O2844">
        <f t="shared" si="394"/>
        <v>552779.19220975472</v>
      </c>
      <c r="P2844">
        <f t="shared" si="395"/>
        <v>-2.3390235342800228E-2</v>
      </c>
      <c r="Q2844">
        <f t="shared" si="386"/>
        <v>3.134690219079514E-2</v>
      </c>
      <c r="R2844">
        <f t="shared" si="387"/>
        <v>0.33411500795300386</v>
      </c>
      <c r="S2844">
        <f t="shared" si="389"/>
        <v>906.35411481320807</v>
      </c>
      <c r="T2844" s="564">
        <f>IF((I2844-MAX(I$470:I2844))/MAX(I$470:I2844)&gt;T2843,T2843,(I2844-MAX(I$470:I2844))/MAX(I$470:I2844))</f>
        <v>-0.91338805338419748</v>
      </c>
      <c r="U2844" s="564">
        <f>IF((J2844-MAX(J$470:J2844))/MAX(J$470:J2844)&gt;U2843,U2843,(J2844-MAX(J$470:J2844))/MAX(J$470:J2844))</f>
        <v>-0.8283551177402233</v>
      </c>
      <c r="V2844" s="564">
        <f>IF((K2844-MAX(K$470:K2844))/MAX(K$470:K2844)&gt;V2843,V2843,(K2844-MAX(K$470:K2844))/MAX(K$470:K2844))</f>
        <v>-0.84885940676762139</v>
      </c>
      <c r="W2844" s="564">
        <f>IF((N2844-MAX(N$470:N2844))/MAX(N$470:N2844)&gt;W2843,W2843,(N2844-MAX(N$470:N2844))/MAX(N$470:N2844))</f>
        <v>-0.62788758315546067</v>
      </c>
      <c r="X2844" s="564">
        <f>IF((O2844-MAX(O$470:O2844))/MAX(O$470:O2844)&gt;X2843,X2843,(O2844-MAX(O$470:O2844))/MAX(O$470:O2844))</f>
        <v>-0.62788758315546067</v>
      </c>
    </row>
    <row r="2845" spans="1:24">
      <c r="A2845" s="799">
        <v>43247</v>
      </c>
      <c r="B2845">
        <v>7326.04</v>
      </c>
      <c r="C2845">
        <v>5318.7899859999998</v>
      </c>
      <c r="D2845">
        <v>1.3764479999999999</v>
      </c>
      <c r="E2845">
        <f>LN(D2845/参数实验室!$E$53)/参数实验室!$E$55</f>
        <v>-0.31602973788095201</v>
      </c>
      <c r="F2845">
        <f t="shared" si="388"/>
        <v>0.72601159507728596</v>
      </c>
      <c r="G2845">
        <f>LN(F2845/参数实验室!$E$58)/参数实验室!$E$59</f>
        <v>-0.35858266969049968</v>
      </c>
      <c r="H2845" s="856">
        <f>INDEX(神经网络!$G$10:$BO$70,MATCH(ROUND(G2845*2,1)/2,神经网络!$E$10:$E$70,0),MATCH(ROUND(E2845*2,1)/2,神经网络!$G$8:$BO$8,0))</f>
        <v>-0.62084997534914133</v>
      </c>
      <c r="I2845">
        <f t="shared" si="390"/>
        <v>527374.90996753261</v>
      </c>
      <c r="J2845">
        <f t="shared" si="391"/>
        <v>2923.2831890187922</v>
      </c>
      <c r="K2845">
        <f t="shared" si="392"/>
        <v>180.40500213889555</v>
      </c>
      <c r="L2845" s="4">
        <f>MIN(MAX(L2844*(1+MAX(MIN(((B2845-B2844)/B2844)/($K$7*卓尔金历!$N$40),0),-卓尔金历!$M$43))+MIN(MAX(((B2845-B2844)/B2844)/($K$7*卓尔金历!$N$40),0),卓尔金历!$M$43),0),1)</f>
        <v>4.2192356537548971E-2</v>
      </c>
      <c r="M2845" s="4">
        <f>MIN(MAX(M2844*(1+MAX(MIN(((B2845-B2844)/B2844)/($K$7*30),0),-卓尔金历!$M$43))+MIN(MAX(((B2845-B2844)/B2844)/($K$7*7),0),卓尔金历!$M$43),0),1)</f>
        <v>0.27812582213576759</v>
      </c>
      <c r="N2845">
        <f t="shared" si="393"/>
        <v>206407.45173160516</v>
      </c>
      <c r="O2845">
        <f t="shared" si="394"/>
        <v>554730.36530828453</v>
      </c>
      <c r="P2845">
        <f t="shared" si="395"/>
        <v>-1.7680580324219913E-2</v>
      </c>
      <c r="Q2845">
        <f t="shared" si="386"/>
        <v>3.1360087293627409E-2</v>
      </c>
      <c r="R2845">
        <f t="shared" si="387"/>
        <v>0.62237994181158562</v>
      </c>
      <c r="S2845">
        <f t="shared" si="389"/>
        <v>909.67823776171213</v>
      </c>
      <c r="T2845" s="564">
        <f>IF((I2845-MAX(I$470:I2845))/MAX(I$470:I2845)&gt;T2844,T2844,(I2845-MAX(I$470:I2845))/MAX(I$470:I2845))</f>
        <v>-0.91338805338419748</v>
      </c>
      <c r="U2845" s="564">
        <f>IF((J2845-MAX(J$470:J2845))/MAX(J$470:J2845)&gt;U2844,U2844,(J2845-MAX(J$470:J2845))/MAX(J$470:J2845))</f>
        <v>-0.8283551177402233</v>
      </c>
      <c r="V2845" s="564">
        <f>IF((K2845-MAX(K$470:K2845))/MAX(K$470:K2845)&gt;V2844,V2844,(K2845-MAX(K$470:K2845))/MAX(K$470:K2845))</f>
        <v>-0.84885940676762139</v>
      </c>
      <c r="W2845" s="564">
        <f>IF((N2845-MAX(N$470:N2845))/MAX(N$470:N2845)&gt;W2844,W2844,(N2845-MAX(N$470:N2845))/MAX(N$470:N2845))</f>
        <v>-0.62788758315546067</v>
      </c>
      <c r="X2845" s="564">
        <f>IF((O2845-MAX(O$470:O2845))/MAX(O$470:O2845)&gt;X2844,X2844,(O2845-MAX(O$470:O2845))/MAX(O$470:O2845))</f>
        <v>-0.62788758315546067</v>
      </c>
    </row>
    <row r="2846" spans="1:24">
      <c r="A2846" s="799">
        <v>43248</v>
      </c>
      <c r="B2846">
        <v>7232.68</v>
      </c>
      <c r="C2846">
        <v>5223.0381740000003</v>
      </c>
      <c r="D2846">
        <v>1.335974</v>
      </c>
      <c r="E2846">
        <f>LN(D2846/参数实验室!$E$53)/参数实验室!$E$55</f>
        <v>-0.3512402450874918</v>
      </c>
      <c r="F2846">
        <f t="shared" si="388"/>
        <v>0.72214423616142287</v>
      </c>
      <c r="G2846">
        <f>LN(F2846/参数实验室!$E$58)/参数实验室!$E$59</f>
        <v>-0.36138596439765491</v>
      </c>
      <c r="H2846" s="856">
        <f>INDEX(神经网络!$G$10:$BO$70,MATCH(ROUND(G2846*2,1)/2,神经网络!$E$10:$E$70,0),MATCH(ROUND(E2846*2,1)/2,神经网络!$G$8:$BO$8,0))</f>
        <v>-0.65265855327381539</v>
      </c>
      <c r="I2846">
        <f t="shared" si="390"/>
        <v>531547.42288560094</v>
      </c>
      <c r="J2846">
        <f t="shared" si="391"/>
        <v>2886.0300865887216</v>
      </c>
      <c r="K2846">
        <f t="shared" si="392"/>
        <v>184.17944613802982</v>
      </c>
      <c r="L2846" s="4">
        <f>MIN(MAX(L2845*(1+MAX(MIN(((B2846-B2845)/B2845)/($K$7*卓尔金历!$N$40),0),-卓尔金历!$M$43))+MIN(MAX(((B2846-B2845)/B2845)/($K$7*卓尔金历!$N$40),0),卓尔金历!$M$43),0),1)</f>
        <v>3.3977094540864373E-2</v>
      </c>
      <c r="M2846" s="4">
        <f>MIN(MAX(M2845*(1+MAX(MIN(((B2846-B2845)/B2845)/($K$7*30),0),-卓尔金历!$M$43))+MIN(MAX(((B2846-B2845)/B2845)/($K$7*7),0),卓尔金历!$M$43),0),1)</f>
        <v>0.25104892143154628</v>
      </c>
      <c r="N2846">
        <f t="shared" si="393"/>
        <v>206476.35461244645</v>
      </c>
      <c r="O2846">
        <f t="shared" si="394"/>
        <v>555951.04431911337</v>
      </c>
      <c r="P2846">
        <f t="shared" si="395"/>
        <v>-1.2743583163619046E-2</v>
      </c>
      <c r="Q2846">
        <f t="shared" si="386"/>
        <v>3.1136933513668166E-2</v>
      </c>
      <c r="R2846">
        <f t="shared" si="387"/>
        <v>0.95274297260521479</v>
      </c>
      <c r="S2846">
        <f t="shared" si="389"/>
        <v>914.15765604774651</v>
      </c>
      <c r="T2846" s="564">
        <f>IF((I2846-MAX(I$470:I2846))/MAX(I$470:I2846)&gt;T2845,T2845,(I2846-MAX(I$470:I2846))/MAX(I$470:I2846))</f>
        <v>-0.91338805338419748</v>
      </c>
      <c r="U2846" s="564">
        <f>IF((J2846-MAX(J$470:J2846))/MAX(J$470:J2846)&gt;U2845,U2845,(J2846-MAX(J$470:J2846))/MAX(J$470:J2846))</f>
        <v>-0.8283551177402233</v>
      </c>
      <c r="V2846" s="564">
        <f>IF((K2846-MAX(K$470:K2846))/MAX(K$470:K2846)&gt;V2845,V2845,(K2846-MAX(K$470:K2846))/MAX(K$470:K2846))</f>
        <v>-0.84885940676762139</v>
      </c>
      <c r="W2846" s="564">
        <f>IF((N2846-MAX(N$470:N2846))/MAX(N$470:N2846)&gt;W2845,W2845,(N2846-MAX(N$470:N2846))/MAX(N$470:N2846))</f>
        <v>-0.62788758315546067</v>
      </c>
      <c r="X2846" s="564">
        <f>IF((O2846-MAX(O$470:O2846))/MAX(O$470:O2846)&gt;X2845,X2845,(O2846-MAX(O$470:O2846))/MAX(O$470:O2846))</f>
        <v>-0.62788758315546067</v>
      </c>
    </row>
    <row r="2847" spans="1:24">
      <c r="A2847" s="799">
        <v>43249</v>
      </c>
      <c r="B2847">
        <v>7132.14</v>
      </c>
      <c r="C2847">
        <v>5290.7805550000003</v>
      </c>
      <c r="D2847">
        <v>1.4008860000000001</v>
      </c>
      <c r="E2847">
        <f>LN(D2847/参数实验室!$E$53)/参数实验室!$E$55</f>
        <v>-0.29526770214781151</v>
      </c>
      <c r="F2847">
        <f t="shared" si="388"/>
        <v>0.74182230789075931</v>
      </c>
      <c r="G2847">
        <f>LN(F2847/参数实验室!$E$58)/参数实验室!$E$59</f>
        <v>-0.34727534467878318</v>
      </c>
      <c r="H2847" s="856">
        <f>INDEX(神经网络!$G$10:$BO$70,MATCH(ROUND(G2847*2,1)/2,神经网络!$E$10:$E$70,0),MATCH(ROUND(E2847*2,1)/2,神经网络!$G$8:$BO$8,0))</f>
        <v>-0.62084997534914133</v>
      </c>
      <c r="I2847">
        <f t="shared" si="390"/>
        <v>536369.87230221869</v>
      </c>
      <c r="J2847">
        <f t="shared" si="391"/>
        <v>2845.9119747815312</v>
      </c>
      <c r="K2847">
        <f t="shared" si="392"/>
        <v>188.47029600885443</v>
      </c>
      <c r="L2847" s="4">
        <f>MIN(MAX(L2846*(1+MAX(MIN(((B2847-B2846)/B2846)/($K$7*卓尔金历!$N$40),0),-卓尔金历!$M$43))+MIN(MAX(((B2847-B2846)/B2846)/($K$7*卓尔金历!$N$40),0),卓尔金历!$M$43),0),1)</f>
        <v>2.6760672119830561E-2</v>
      </c>
      <c r="M2847" s="4">
        <f>MIN(MAX(M2846*(1+MAX(MIN(((B2847-B2846)/B2846)/($K$7*30),0),-卓尔金历!$M$43))+MIN(MAX(((B2847-B2846)/B2846)/($K$7*7),0),卓尔金历!$M$43),0),1)</f>
        <v>0.22438868032093487</v>
      </c>
      <c r="N2847">
        <f t="shared" si="393"/>
        <v>206540.00224096968</v>
      </c>
      <c r="O2847">
        <f t="shared" si="394"/>
        <v>557217.29757281125</v>
      </c>
      <c r="P2847">
        <f t="shared" si="395"/>
        <v>-1.3900794726159592E-2</v>
      </c>
      <c r="Q2847">
        <f t="shared" si="386"/>
        <v>3.1033673653904192E-2</v>
      </c>
      <c r="R2847">
        <f t="shared" si="387"/>
        <v>0.85927068960769515</v>
      </c>
      <c r="S2847">
        <f t="shared" si="389"/>
        <v>922.05939210889892</v>
      </c>
      <c r="T2847" s="564">
        <f>IF((I2847-MAX(I$470:I2847))/MAX(I$470:I2847)&gt;T2846,T2846,(I2847-MAX(I$470:I2847))/MAX(I$470:I2847))</f>
        <v>-0.91338805338419748</v>
      </c>
      <c r="U2847" s="564">
        <f>IF((J2847-MAX(J$470:J2847))/MAX(J$470:J2847)&gt;U2846,U2846,(J2847-MAX(J$470:J2847))/MAX(J$470:J2847))</f>
        <v>-0.8283551177402233</v>
      </c>
      <c r="V2847" s="564">
        <f>IF((K2847-MAX(K$470:K2847))/MAX(K$470:K2847)&gt;V2846,V2846,(K2847-MAX(K$470:K2847))/MAX(K$470:K2847))</f>
        <v>-0.84885940676762139</v>
      </c>
      <c r="W2847" s="564">
        <f>IF((N2847-MAX(N$470:N2847))/MAX(N$470:N2847)&gt;W2846,W2846,(N2847-MAX(N$470:N2847))/MAX(N$470:N2847))</f>
        <v>-0.62788758315546067</v>
      </c>
      <c r="X2847" s="564">
        <f>IF((O2847-MAX(O$470:O2847))/MAX(O$470:O2847)&gt;X2846,X2846,(O2847-MAX(O$470:O2847))/MAX(O$470:O2847))</f>
        <v>-0.62788758315546067</v>
      </c>
    </row>
    <row r="2848" spans="1:24">
      <c r="A2848" s="799">
        <v>43250</v>
      </c>
      <c r="B2848">
        <v>7547.04</v>
      </c>
      <c r="C2848">
        <v>5226.8561570000002</v>
      </c>
      <c r="D2848">
        <v>1.386647</v>
      </c>
      <c r="E2848">
        <f>LN(D2848/参数实验室!$E$53)/参数实验室!$E$55</f>
        <v>-0.30732040433954316</v>
      </c>
      <c r="F2848">
        <f t="shared" si="388"/>
        <v>0.69257035301257186</v>
      </c>
      <c r="G2848">
        <f>LN(F2848/参数实验室!$E$58)/参数实验室!$E$59</f>
        <v>-0.38333277101657853</v>
      </c>
      <c r="H2848" s="856">
        <f>INDEX(神经网络!$G$10:$BO$70,MATCH(ROUND(G2848*2,1)/2,神经网络!$E$10:$E$70,0),MATCH(ROUND(E2848*2,1)/2,神经网络!$G$8:$BO$8,0))</f>
        <v>-0.6829786341344618</v>
      </c>
      <c r="I2848">
        <f t="shared" si="390"/>
        <v>516997.86521788011</v>
      </c>
      <c r="J2848">
        <f t="shared" si="391"/>
        <v>3011.4680180359901</v>
      </c>
      <c r="K2848">
        <f t="shared" si="392"/>
        <v>171.67635921136369</v>
      </c>
      <c r="L2848" s="4">
        <f>MIN(MAX(L2847*(1+MAX(MIN(((B2848-B2847)/B2847)/($K$7*卓尔金历!$N$40),0),-卓尔金历!$M$43))+MIN(MAX(((B2848-B2847)/B2847)/($K$7*卓尔金历!$N$40),0),卓尔金历!$M$43),0),1)</f>
        <v>0.91559261460199426</v>
      </c>
      <c r="M2848" s="4">
        <f>MIN(MAX(M2847*(1+MAX(MIN(((B2848-B2847)/B2847)/($K$7*30),0),-卓尔金历!$M$43))+MIN(MAX(((B2848-B2847)/B2847)/($K$7*7),0),卓尔金历!$M$43),0),1)</f>
        <v>1</v>
      </c>
      <c r="N2848">
        <f t="shared" si="393"/>
        <v>206340.37884575356</v>
      </c>
      <c r="O2848">
        <f t="shared" si="394"/>
        <v>552701.48636044282</v>
      </c>
      <c r="P2848">
        <f t="shared" si="395"/>
        <v>5.8173283194104378E-2</v>
      </c>
      <c r="Q2848">
        <f t="shared" si="386"/>
        <v>3.4168942821426851E-2</v>
      </c>
      <c r="R2848">
        <f t="shared" si="387"/>
        <v>1.45203744012315E-2</v>
      </c>
      <c r="S2848">
        <f t="shared" si="389"/>
        <v>893.44403715903184</v>
      </c>
      <c r="T2848" s="564">
        <f>IF((I2848-MAX(I$470:I2848))/MAX(I$470:I2848)&gt;T2847,T2847,(I2848-MAX(I$470:I2848))/MAX(I$470:I2848))</f>
        <v>-0.91338805338419748</v>
      </c>
      <c r="U2848" s="564">
        <f>IF((J2848-MAX(J$470:J2848))/MAX(J$470:J2848)&gt;U2847,U2847,(J2848-MAX(J$470:J2848))/MAX(J$470:J2848))</f>
        <v>-0.8283551177402233</v>
      </c>
      <c r="V2848" s="564">
        <f>IF((K2848-MAX(K$470:K2848))/MAX(K$470:K2848)&gt;V2847,V2847,(K2848-MAX(K$470:K2848))/MAX(K$470:K2848))</f>
        <v>-0.84885940676762139</v>
      </c>
      <c r="W2848" s="564">
        <f>IF((N2848-MAX(N$470:N2848))/MAX(N$470:N2848)&gt;W2847,W2847,(N2848-MAX(N$470:N2848))/MAX(N$470:N2848))</f>
        <v>-0.62788758315546067</v>
      </c>
      <c r="X2848" s="564">
        <f>IF((O2848-MAX(O$470:O2848))/MAX(O$470:O2848)&gt;X2847,X2847,(O2848-MAX(O$470:O2848))/MAX(O$470:O2848))</f>
        <v>-0.62788758315546067</v>
      </c>
    </row>
    <row r="2849" spans="1:24">
      <c r="A2849" s="799">
        <v>43251</v>
      </c>
      <c r="B2849">
        <v>7549.99</v>
      </c>
      <c r="C2849">
        <v>5187.7491019999998</v>
      </c>
      <c r="D2849">
        <v>1.406892</v>
      </c>
      <c r="E2849">
        <f>LN(D2849/参数实验室!$E$53)/参数实验室!$E$55</f>
        <v>-0.2902205732151053</v>
      </c>
      <c r="F2849">
        <f t="shared" si="388"/>
        <v>0.6871199964503264</v>
      </c>
      <c r="G2849">
        <f>LN(F2849/参数实验室!$E$58)/参数实验室!$E$59</f>
        <v>-0.38747958056709791</v>
      </c>
      <c r="H2849" s="856">
        <f>INDEX(神经网络!$G$10:$BO$70,MATCH(ROUND(G2849*2,1)/2,神经网络!$E$10:$E$70,0),MATCH(ROUND(E2849*2,1)/2,神经网络!$G$8:$BO$8,0))</f>
        <v>-0.6829786341344618</v>
      </c>
      <c r="I2849">
        <f t="shared" si="390"/>
        <v>516859.84546938015</v>
      </c>
      <c r="J2849">
        <f t="shared" si="391"/>
        <v>3012.6451458441384</v>
      </c>
      <c r="K2849">
        <f t="shared" si="392"/>
        <v>171.56346680337515</v>
      </c>
      <c r="L2849" s="4">
        <f>MIN(MAX(L2848*(1+MAX(MIN(((B2849-B2848)/B2848)/($K$7*卓尔金历!$N$40),0),-卓尔金历!$M$43))+MIN(MAX(((B2849-B2848)/B2848)/($K$7*卓尔金历!$N$40),0),卓尔金历!$M$43),0),1)</f>
        <v>0.9215649122308357</v>
      </c>
      <c r="M2849" s="4">
        <f>MIN(MAX(M2848*(1+MAX(MIN(((B2849-B2848)/B2848)/($K$7*30),0),-卓尔金历!$M$43))+MIN(MAX(((B2849-B2848)/B2848)/($K$7*7),0),卓尔金历!$M$43),0),1)</f>
        <v>1</v>
      </c>
      <c r="N2849">
        <f t="shared" si="393"/>
        <v>206289.94303733791</v>
      </c>
      <c r="O2849">
        <f t="shared" si="394"/>
        <v>552553.93503523397</v>
      </c>
      <c r="P2849">
        <f t="shared" si="395"/>
        <v>3.9088172316561435E-4</v>
      </c>
      <c r="Q2849">
        <f t="shared" si="386"/>
        <v>3.3385686123845695E-2</v>
      </c>
      <c r="R2849">
        <f t="shared" si="387"/>
        <v>1</v>
      </c>
      <c r="S2849">
        <f t="shared" si="389"/>
        <v>893.44057379891694</v>
      </c>
      <c r="T2849" s="564">
        <f>IF((I2849-MAX(I$470:I2849))/MAX(I$470:I2849)&gt;T2848,T2848,(I2849-MAX(I$470:I2849))/MAX(I$470:I2849))</f>
        <v>-0.91338805338419748</v>
      </c>
      <c r="U2849" s="564">
        <f>IF((J2849-MAX(J$470:J2849))/MAX(J$470:J2849)&gt;U2848,U2848,(J2849-MAX(J$470:J2849))/MAX(J$470:J2849))</f>
        <v>-0.8283551177402233</v>
      </c>
      <c r="V2849" s="564">
        <f>IF((K2849-MAX(K$470:K2849))/MAX(K$470:K2849)&gt;V2848,V2848,(K2849-MAX(K$470:K2849))/MAX(K$470:K2849))</f>
        <v>-0.84885940676762139</v>
      </c>
      <c r="W2849" s="564">
        <f>IF((N2849-MAX(N$470:N2849))/MAX(N$470:N2849)&gt;W2848,W2848,(N2849-MAX(N$470:N2849))/MAX(N$470:N2849))</f>
        <v>-0.62788758315546067</v>
      </c>
      <c r="X2849" s="564">
        <f>IF((O2849-MAX(O$470:O2849))/MAX(O$470:O2849)&gt;X2848,X2848,(O2849-MAX(O$470:O2849))/MAX(O$470:O2849))</f>
        <v>-0.62788758315546067</v>
      </c>
    </row>
    <row r="2850" spans="1:24">
      <c r="A2850" s="799">
        <v>43252</v>
      </c>
      <c r="B2850">
        <v>7556.43</v>
      </c>
      <c r="C2850">
        <v>5101.970851</v>
      </c>
      <c r="D2850">
        <v>1.415241</v>
      </c>
      <c r="E2850">
        <f>LN(D2850/参数实验室!$E$53)/参数实验室!$E$55</f>
        <v>-0.28324018740795298</v>
      </c>
      <c r="F2850">
        <f t="shared" si="388"/>
        <v>0.67518270545747128</v>
      </c>
      <c r="G2850">
        <f>LN(F2850/参数实验室!$E$58)/参数实验室!$E$59</f>
        <v>-0.39667797061133958</v>
      </c>
      <c r="H2850" s="856">
        <f>INDEX(神经网络!$G$10:$BO$70,MATCH(ROUND(G2850*2,1)/2,神经网络!$E$10:$E$70,0),MATCH(ROUND(E2850*2,1)/2,神经网络!$G$8:$BO$8,0))</f>
        <v>-0.6829786341344618</v>
      </c>
      <c r="I2850">
        <f t="shared" si="390"/>
        <v>516558.73947459646</v>
      </c>
      <c r="J2850">
        <f t="shared" si="391"/>
        <v>3015.2148757032824</v>
      </c>
      <c r="K2850">
        <f t="shared" si="392"/>
        <v>171.3173888988963</v>
      </c>
      <c r="L2850" s="4">
        <f>MIN(MAX(L2849*(1+MAX(MIN(((B2850-B2849)/B2849)/($K$7*卓尔金历!$N$40),0),-卓尔金历!$M$43))+MIN(MAX(((B2850-B2849)/B2849)/($K$7*卓尔金历!$N$40),0),卓尔金历!$M$43),0),1)</f>
        <v>0.93459764737277906</v>
      </c>
      <c r="M2850" s="4">
        <f>MIN(MAX(M2849*(1+MAX(MIN(((B2850-B2849)/B2849)/($K$7*30),0),-卓尔金历!$M$43))+MIN(MAX(((B2850-B2849)/B2849)/($K$7*7),0),卓尔金历!$M$43),0),1)</f>
        <v>1</v>
      </c>
      <c r="N2850">
        <f t="shared" si="393"/>
        <v>206179.19128776225</v>
      </c>
      <c r="O2850">
        <f t="shared" si="394"/>
        <v>552232.03480688611</v>
      </c>
      <c r="P2850">
        <f t="shared" si="395"/>
        <v>8.5298126222690485E-4</v>
      </c>
      <c r="Q2850">
        <f t="shared" si="386"/>
        <v>3.2975640319807979E-2</v>
      </c>
      <c r="R2850">
        <f t="shared" si="387"/>
        <v>1</v>
      </c>
      <c r="S2850">
        <f t="shared" si="389"/>
        <v>892.92008393089566</v>
      </c>
      <c r="T2850" s="564">
        <f>IF((I2850-MAX(I$470:I2850))/MAX(I$470:I2850)&gt;T2849,T2849,(I2850-MAX(I$470:I2850))/MAX(I$470:I2850))</f>
        <v>-0.91338805338419748</v>
      </c>
      <c r="U2850" s="564">
        <f>IF((J2850-MAX(J$470:J2850))/MAX(J$470:J2850)&gt;U2849,U2849,(J2850-MAX(J$470:J2850))/MAX(J$470:J2850))</f>
        <v>-0.8283551177402233</v>
      </c>
      <c r="V2850" s="564">
        <f>IF((K2850-MAX(K$470:K2850))/MAX(K$470:K2850)&gt;V2849,V2849,(K2850-MAX(K$470:K2850))/MAX(K$470:K2850))</f>
        <v>-0.84885940676762139</v>
      </c>
      <c r="W2850" s="564">
        <f>IF((N2850-MAX(N$470:N2850))/MAX(N$470:N2850)&gt;W2849,W2849,(N2850-MAX(N$470:N2850))/MAX(N$470:N2850))</f>
        <v>-0.62788758315546067</v>
      </c>
      <c r="X2850" s="564">
        <f>IF((O2850-MAX(O$470:O2850))/MAX(O$470:O2850)&gt;X2849,X2849,(O2850-MAX(O$470:O2850))/MAX(O$470:O2850))</f>
        <v>-0.62788758315546067</v>
      </c>
    </row>
    <row r="2851" spans="1:24">
      <c r="A2851" s="799">
        <v>43253</v>
      </c>
      <c r="B2851">
        <v>7501.66</v>
      </c>
      <c r="C2851">
        <v>5100.4428470000003</v>
      </c>
      <c r="D2851">
        <v>1.437303</v>
      </c>
      <c r="E2851">
        <f>LN(D2851/参数实验室!$E$53)/参数实验室!$E$55</f>
        <v>-0.26499104905686388</v>
      </c>
      <c r="F2851">
        <f t="shared" si="388"/>
        <v>0.67990855983875575</v>
      </c>
      <c r="G2851">
        <f>LN(F2851/参数实验室!$E$58)/参数实验室!$E$59</f>
        <v>-0.39301711927455629</v>
      </c>
      <c r="H2851" s="856">
        <f>INDEX(神经网络!$G$10:$BO$70,MATCH(ROUND(G2851*2,1)/2,神经网络!$E$10:$E$70,0),MATCH(ROUND(E2851*2,1)/2,神经网络!$G$8:$BO$8,0))</f>
        <v>-0.6555766345053301</v>
      </c>
      <c r="I2851">
        <f t="shared" si="390"/>
        <v>519115.87007126375</v>
      </c>
      <c r="J2851">
        <f t="shared" si="391"/>
        <v>2993.3602011092917</v>
      </c>
      <c r="K2851">
        <f t="shared" si="392"/>
        <v>173.42245342838717</v>
      </c>
      <c r="L2851" s="4">
        <f>MIN(MAX(L2850*(1+MAX(MIN(((B2851-B2850)/B2850)/($K$7*卓尔金历!$N$40),0),-卓尔金历!$M$43))+MIN(MAX(((B2851-B2850)/B2850)/($K$7*卓尔金历!$N$40),0),卓尔金历!$M$43),0),1)</f>
        <v>0.8310961008071942</v>
      </c>
      <c r="M2851" s="4">
        <f>MIN(MAX(M2850*(1+MAX(MIN(((B2851-B2850)/B2850)/($K$7*30),0),-卓尔金历!$M$43))+MIN(MAX(((B2851-B2850)/B2850)/($K$7*7),0),卓尔金历!$M$43),0),1)</f>
        <v>0.94462775138770405</v>
      </c>
      <c r="N2851">
        <f t="shared" si="393"/>
        <v>207133.0909837088</v>
      </c>
      <c r="O2851">
        <f t="shared" si="394"/>
        <v>554965.75959896075</v>
      </c>
      <c r="P2851">
        <f t="shared" si="395"/>
        <v>-7.2481317235785197E-3</v>
      </c>
      <c r="Q2851">
        <f t="shared" si="386"/>
        <v>2.8324162243943112E-2</v>
      </c>
      <c r="R2851">
        <f t="shared" si="387"/>
        <v>1</v>
      </c>
      <c r="S2851">
        <f t="shared" si="389"/>
        <v>897.34032328125647</v>
      </c>
      <c r="T2851" s="564">
        <f>IF((I2851-MAX(I$470:I2851))/MAX(I$470:I2851)&gt;T2850,T2850,(I2851-MAX(I$470:I2851))/MAX(I$470:I2851))</f>
        <v>-0.91338805338419748</v>
      </c>
      <c r="U2851" s="564">
        <f>IF((J2851-MAX(J$470:J2851))/MAX(J$470:J2851)&gt;U2850,U2850,(J2851-MAX(J$470:J2851))/MAX(J$470:J2851))</f>
        <v>-0.8283551177402233</v>
      </c>
      <c r="V2851" s="564">
        <f>IF((K2851-MAX(K$470:K2851))/MAX(K$470:K2851)&gt;V2850,V2850,(K2851-MAX(K$470:K2851))/MAX(K$470:K2851))</f>
        <v>-0.84885940676762139</v>
      </c>
      <c r="W2851" s="564">
        <f>IF((N2851-MAX(N$470:N2851))/MAX(N$470:N2851)&gt;W2850,W2850,(N2851-MAX(N$470:N2851))/MAX(N$470:N2851))</f>
        <v>-0.62788758315546067</v>
      </c>
      <c r="X2851" s="564">
        <f>IF((O2851-MAX(O$470:O2851))/MAX(O$470:O2851)&gt;X2850,X2850,(O2851-MAX(O$470:O2851))/MAX(O$470:O2851))</f>
        <v>-0.62788758315546067</v>
      </c>
    </row>
    <row r="2852" spans="1:24">
      <c r="A2852" s="799">
        <v>43254</v>
      </c>
      <c r="B2852">
        <v>7656.1</v>
      </c>
      <c r="C2852">
        <v>5019.8396110000003</v>
      </c>
      <c r="D2852">
        <v>1.4491959999999999</v>
      </c>
      <c r="E2852">
        <f>LN(D2852/参数实验室!$E$53)/参数实验室!$E$55</f>
        <v>-0.2552693171401923</v>
      </c>
      <c r="F2852">
        <f t="shared" si="388"/>
        <v>0.65566536630921746</v>
      </c>
      <c r="G2852">
        <f>LN(F2852/参数实验室!$E$58)/参数实验室!$E$59</f>
        <v>-0.41207340012203919</v>
      </c>
      <c r="H2852" s="856">
        <f>INDEX(神经网络!$G$10:$BO$70,MATCH(ROUND(G2852*2,1)/2,神经网络!$E$10:$E$70,0),MATCH(ROUND(E2852*2,1)/2,神经网络!$G$8:$BO$8,0))</f>
        <v>-0.6555766345053301</v>
      </c>
      <c r="I2852">
        <f t="shared" si="390"/>
        <v>512109.54652468453</v>
      </c>
      <c r="J2852">
        <f t="shared" si="391"/>
        <v>3054.985834563663</v>
      </c>
      <c r="K2852">
        <f t="shared" si="392"/>
        <v>167.6307434001009</v>
      </c>
      <c r="L2852" s="4">
        <f>MIN(MAX(L2851*(1+MAX(MIN(((B2852-B2851)/B2851)/($K$7*卓尔金历!$N$40),0),-卓尔金历!$M$43))+MIN(MAX(((B2852-B2851)/B2851)/($K$7*卓尔金历!$N$40),0),卓尔金历!$M$43),0),1)</f>
        <v>1</v>
      </c>
      <c r="M2852" s="4">
        <f>MIN(MAX(M2851*(1+MAX(MIN(((B2852-B2851)/B2851)/($K$7*30),0),-卓尔金历!$M$43))+MIN(MAX(((B2852-B2851)/B2851)/($K$7*7),0),卓尔金历!$M$43),0),1)</f>
        <v>1</v>
      </c>
      <c r="N2852">
        <f t="shared" si="393"/>
        <v>204809.67692116232</v>
      </c>
      <c r="O2852">
        <f t="shared" si="394"/>
        <v>547890.33068993059</v>
      </c>
      <c r="P2852">
        <f t="shared" si="395"/>
        <v>2.0587443312546892E-2</v>
      </c>
      <c r="Q2852">
        <f t="shared" si="386"/>
        <v>2.8193141531398531E-2</v>
      </c>
      <c r="R2852">
        <f t="shared" si="387"/>
        <v>0.35162660340765184</v>
      </c>
      <c r="S2852">
        <f t="shared" si="389"/>
        <v>885.22923787861339</v>
      </c>
      <c r="T2852" s="564">
        <f>IF((I2852-MAX(I$470:I2852))/MAX(I$470:I2852)&gt;T2851,T2851,(I2852-MAX(I$470:I2852))/MAX(I$470:I2852))</f>
        <v>-0.91338805338419748</v>
      </c>
      <c r="U2852" s="564">
        <f>IF((J2852-MAX(J$470:J2852))/MAX(J$470:J2852)&gt;U2851,U2851,(J2852-MAX(J$470:J2852))/MAX(J$470:J2852))</f>
        <v>-0.8283551177402233</v>
      </c>
      <c r="V2852" s="564">
        <f>IF((K2852-MAX(K$470:K2852))/MAX(K$470:K2852)&gt;V2851,V2851,(K2852-MAX(K$470:K2852))/MAX(K$470:K2852))</f>
        <v>-0.84885940676762139</v>
      </c>
      <c r="W2852" s="564">
        <f>IF((N2852-MAX(N$470:N2852))/MAX(N$470:N2852)&gt;W2851,W2851,(N2852-MAX(N$470:N2852))/MAX(N$470:N2852))</f>
        <v>-0.62788758315546067</v>
      </c>
      <c r="X2852" s="564">
        <f>IF((O2852-MAX(O$470:O2852))/MAX(O$470:O2852)&gt;X2851,X2851,(O2852-MAX(O$470:O2852))/MAX(O$470:O2852))</f>
        <v>-0.62788758315546067</v>
      </c>
    </row>
    <row r="2853" spans="1:24">
      <c r="A2853" s="799">
        <v>43255</v>
      </c>
      <c r="B2853">
        <v>7622.28</v>
      </c>
      <c r="C2853">
        <v>4950.7810499999996</v>
      </c>
      <c r="D2853">
        <v>1.4095279999999999</v>
      </c>
      <c r="E2853">
        <f>LN(D2853/参数实验室!$E$53)/参数实验室!$E$55</f>
        <v>-0.28801221618088152</v>
      </c>
      <c r="F2853">
        <f t="shared" si="388"/>
        <v>0.64951445630441285</v>
      </c>
      <c r="G2853">
        <f>LN(F2853/参数实验室!$E$58)/参数实验室!$E$59</f>
        <v>-0.41702038724038254</v>
      </c>
      <c r="H2853" s="856">
        <f>INDEX(神经网络!$G$10:$BO$70,MATCH(ROUND(G2853*2,1)/2,神经网络!$E$10:$E$70,0),MATCH(ROUND(E2853*2,1)/2,神经网络!$G$8:$BO$8,0))</f>
        <v>-0.6829786341344618</v>
      </c>
      <c r="I2853">
        <f t="shared" si="390"/>
        <v>513592.58474685432</v>
      </c>
      <c r="J2853">
        <f t="shared" si="391"/>
        <v>3041.4907625394017</v>
      </c>
      <c r="K2853">
        <f t="shared" si="392"/>
        <v>168.86212217789068</v>
      </c>
      <c r="L2853" s="4">
        <f>MIN(MAX(L2852*(1+MAX(MIN(((B2853-B2852)/B2852)/($K$7*卓尔金历!$N$40),0),-卓尔金历!$M$43))+MIN(MAX(((B2853-B2852)/B2852)/($K$7*卓尔金历!$N$40),0),卓尔金历!$M$43),0),1)</f>
        <v>0.93250647909851336</v>
      </c>
      <c r="M2853" s="4">
        <f>MIN(MAX(M2852*(1+MAX(MIN(((B2853-B2852)/B2852)/($K$7*30),0),-卓尔金历!$M$43))+MIN(MAX(((B2853-B2852)/B2852)/($K$7*7),0),卓尔金历!$M$43),0),1)</f>
        <v>0.96625323954925668</v>
      </c>
      <c r="N2853">
        <f t="shared" si="393"/>
        <v>205402.79333776812</v>
      </c>
      <c r="O2853">
        <f t="shared" si="394"/>
        <v>549476.98789537535</v>
      </c>
      <c r="P2853">
        <f t="shared" si="395"/>
        <v>-4.4173926672849903E-3</v>
      </c>
      <c r="Q2853">
        <f t="shared" si="386"/>
        <v>2.8191474926485185E-2</v>
      </c>
      <c r="R2853">
        <f t="shared" si="387"/>
        <v>1</v>
      </c>
      <c r="S2853">
        <f t="shared" si="389"/>
        <v>886.13065737611987</v>
      </c>
      <c r="T2853" s="564">
        <f>IF((I2853-MAX(I$470:I2853))/MAX(I$470:I2853)&gt;T2852,T2852,(I2853-MAX(I$470:I2853))/MAX(I$470:I2853))</f>
        <v>-0.91338805338419748</v>
      </c>
      <c r="U2853" s="564">
        <f>IF((J2853-MAX(J$470:J2853))/MAX(J$470:J2853)&gt;U2852,U2852,(J2853-MAX(J$470:J2853))/MAX(J$470:J2853))</f>
        <v>-0.8283551177402233</v>
      </c>
      <c r="V2853" s="564">
        <f>IF((K2853-MAX(K$470:K2853))/MAX(K$470:K2853)&gt;V2852,V2852,(K2853-MAX(K$470:K2853))/MAX(K$470:K2853))</f>
        <v>-0.84885940676762139</v>
      </c>
      <c r="W2853" s="564">
        <f>IF((N2853-MAX(N$470:N2853))/MAX(N$470:N2853)&gt;W2852,W2852,(N2853-MAX(N$470:N2853))/MAX(N$470:N2853))</f>
        <v>-0.62788758315546067</v>
      </c>
      <c r="X2853" s="564">
        <f>IF((O2853-MAX(O$470:O2853))/MAX(O$470:O2853)&gt;X2852,X2852,(O2853-MAX(O$470:O2853))/MAX(O$470:O2853))</f>
        <v>-0.62788758315546067</v>
      </c>
    </row>
    <row r="2854" spans="1:24">
      <c r="A2854" s="799">
        <v>43256</v>
      </c>
      <c r="B2854">
        <v>7436.43</v>
      </c>
      <c r="C2854">
        <v>4832.9054770000002</v>
      </c>
      <c r="D2854">
        <v>1.4337200000000001</v>
      </c>
      <c r="E2854">
        <f>LN(D2854/参数实验室!$E$53)/参数实验室!$E$55</f>
        <v>-0.26793568451792538</v>
      </c>
      <c r="F2854">
        <f t="shared" si="388"/>
        <v>0.64989591470638464</v>
      </c>
      <c r="G2854">
        <f>LN(F2854/参数实验室!$E$58)/参数实验室!$E$59</f>
        <v>-0.41671223210362168</v>
      </c>
      <c r="H2854" s="856">
        <f>INDEX(神经网络!$G$10:$BO$70,MATCH(ROUND(G2854*2,1)/2,神经网络!$E$10:$E$70,0),MATCH(ROUND(E2854*2,1)/2,神经网络!$G$8:$BO$8,0))</f>
        <v>-0.6555766345053301</v>
      </c>
      <c r="I2854">
        <f t="shared" si="390"/>
        <v>522145.29047580238</v>
      </c>
      <c r="J2854">
        <f t="shared" si="391"/>
        <v>2967.3317106260706</v>
      </c>
      <c r="K2854">
        <f t="shared" si="392"/>
        <v>175.96458414338724</v>
      </c>
      <c r="L2854" s="4">
        <f>MIN(MAX(L2853*(1+MAX(MIN(((B2854-B2853)/B2853)/($K$7*卓尔金历!$N$40),0),-卓尔金历!$M$43))+MIN(MAX(((B2854-B2853)/B2853)/($K$7*卓尔金历!$N$40),0),卓尔金历!$M$43),0),1)</f>
        <v>0.58510984716903813</v>
      </c>
      <c r="M2854" s="4">
        <f>MIN(MAX(M2853*(1+MAX(MIN(((B2854-B2853)/B2853)/($K$7*30),0),-卓尔金历!$M$43))+MIN(MAX(((B2854-B2853)/B2853)/($K$7*7),0),卓尔金历!$M$43),0),1)</f>
        <v>0.78626890242440206</v>
      </c>
      <c r="N2854">
        <f t="shared" si="393"/>
        <v>208592.44302690667</v>
      </c>
      <c r="O2854">
        <f t="shared" si="394"/>
        <v>558318.47375560016</v>
      </c>
      <c r="P2854">
        <f t="shared" si="395"/>
        <v>-2.4382468237850022E-2</v>
      </c>
      <c r="Q2854">
        <f t="shared" si="386"/>
        <v>2.6535891313930457E-2</v>
      </c>
      <c r="R2854">
        <f t="shared" si="387"/>
        <v>0.11521127452981965</v>
      </c>
      <c r="S2854">
        <f t="shared" si="389"/>
        <v>900.88712967540903</v>
      </c>
      <c r="T2854" s="564">
        <f>IF((I2854-MAX(I$470:I2854))/MAX(I$470:I2854)&gt;T2853,T2853,(I2854-MAX(I$470:I2854))/MAX(I$470:I2854))</f>
        <v>-0.91338805338419748</v>
      </c>
      <c r="U2854" s="564">
        <f>IF((J2854-MAX(J$470:J2854))/MAX(J$470:J2854)&gt;U2853,U2853,(J2854-MAX(J$470:J2854))/MAX(J$470:J2854))</f>
        <v>-0.8283551177402233</v>
      </c>
      <c r="V2854" s="564">
        <f>IF((K2854-MAX(K$470:K2854))/MAX(K$470:K2854)&gt;V2853,V2853,(K2854-MAX(K$470:K2854))/MAX(K$470:K2854))</f>
        <v>-0.84885940676762139</v>
      </c>
      <c r="W2854" s="564">
        <f>IF((N2854-MAX(N$470:N2854))/MAX(N$470:N2854)&gt;W2853,W2853,(N2854-MAX(N$470:N2854))/MAX(N$470:N2854))</f>
        <v>-0.62788758315546067</v>
      </c>
      <c r="X2854" s="564">
        <f>IF((O2854-MAX(O$470:O2854))/MAX(O$470:O2854)&gt;X2853,X2853,(O2854-MAX(O$470:O2854))/MAX(O$470:O2854))</f>
        <v>-0.62788758315546067</v>
      </c>
    </row>
    <row r="2855" spans="1:24">
      <c r="A2855" s="799">
        <v>43257</v>
      </c>
      <c r="B2855">
        <v>7638.11</v>
      </c>
      <c r="C2855">
        <v>4843.8898600000002</v>
      </c>
      <c r="D2855">
        <v>1.4413309999999999</v>
      </c>
      <c r="E2855">
        <f>LN(D2855/参数实验室!$E$53)/参数实验室!$E$55</f>
        <v>-0.26168944894502061</v>
      </c>
      <c r="F2855">
        <f t="shared" si="388"/>
        <v>0.63417388071132785</v>
      </c>
      <c r="G2855">
        <f>LN(F2855/参数实验室!$E$58)/参数实验室!$E$59</f>
        <v>-0.42956540492106321</v>
      </c>
      <c r="H2855" s="856">
        <f>INDEX(神经网络!$G$10:$BO$70,MATCH(ROUND(G2855*2,1)/2,神经网络!$E$10:$E$70,0),MATCH(ROUND(E2855*2,1)/2,神经网络!$G$8:$BO$8,0))</f>
        <v>-0.71763360586304159</v>
      </c>
      <c r="I2855">
        <f t="shared" si="390"/>
        <v>512861.75994376326</v>
      </c>
      <c r="J2855">
        <f t="shared" si="391"/>
        <v>3047.8073500658375</v>
      </c>
      <c r="K2855">
        <f t="shared" si="392"/>
        <v>168.27236798043833</v>
      </c>
      <c r="L2855" s="4">
        <f>MIN(MAX(L2854*(1+MAX(MIN(((B2855-B2854)/B2854)/($K$7*卓尔金历!$N$40),0),-卓尔金历!$M$43))+MIN(MAX(((B2855-B2854)/B2854)/($K$7*卓尔金历!$N$40),0),卓尔金历!$M$43),0),1)</f>
        <v>0.99948567833831525</v>
      </c>
      <c r="M2855" s="4">
        <f>MIN(MAX(M2854*(1+MAX(MIN(((B2855-B2854)/B2854)/($K$7*30),0),-卓尔金历!$M$43))+MIN(MAX(((B2855-B2854)/B2854)/($K$7*7),0),卓尔金历!$M$43),0),1)</f>
        <v>1</v>
      </c>
      <c r="N2855">
        <f t="shared" si="393"/>
        <v>206422.45277641405</v>
      </c>
      <c r="O2855">
        <f t="shared" si="394"/>
        <v>550513.43790408107</v>
      </c>
      <c r="P2855">
        <f t="shared" si="395"/>
        <v>2.7120540366815712E-2</v>
      </c>
      <c r="Q2855">
        <f t="shared" si="386"/>
        <v>2.4774556976337059E-2</v>
      </c>
      <c r="R2855">
        <f t="shared" si="387"/>
        <v>2.4135078048510814E-2</v>
      </c>
      <c r="S2855">
        <f t="shared" si="389"/>
        <v>899.04174390098547</v>
      </c>
      <c r="T2855" s="564">
        <f>IF((I2855-MAX(I$470:I2855))/MAX(I$470:I2855)&gt;T2854,T2854,(I2855-MAX(I$470:I2855))/MAX(I$470:I2855))</f>
        <v>-0.91338805338419748</v>
      </c>
      <c r="U2855" s="564">
        <f>IF((J2855-MAX(J$470:J2855))/MAX(J$470:J2855)&gt;U2854,U2854,(J2855-MAX(J$470:J2855))/MAX(J$470:J2855))</f>
        <v>-0.8283551177402233</v>
      </c>
      <c r="V2855" s="564">
        <f>IF((K2855-MAX(K$470:K2855))/MAX(K$470:K2855)&gt;V2854,V2854,(K2855-MAX(K$470:K2855))/MAX(K$470:K2855))</f>
        <v>-0.84885940676762139</v>
      </c>
      <c r="W2855" s="564">
        <f>IF((N2855-MAX(N$470:N2855))/MAX(N$470:N2855)&gt;W2854,W2854,(N2855-MAX(N$470:N2855))/MAX(N$470:N2855))</f>
        <v>-0.62788758315546067</v>
      </c>
      <c r="X2855" s="564">
        <f>IF((O2855-MAX(O$470:O2855))/MAX(O$470:O2855)&gt;X2854,X2854,(O2855-MAX(O$470:O2855))/MAX(O$470:O2855))</f>
        <v>-0.62788758315546067</v>
      </c>
    </row>
    <row r="2856" spans="1:24">
      <c r="A2856" s="799">
        <v>43258</v>
      </c>
      <c r="B2856">
        <v>7711.17</v>
      </c>
      <c r="C2856">
        <v>4833.0704990000004</v>
      </c>
      <c r="D2856">
        <v>1.444502</v>
      </c>
      <c r="E2856">
        <f>LN(D2856/参数实验室!$E$53)/参数实验室!$E$55</f>
        <v>-0.25909678399021541</v>
      </c>
      <c r="F2856">
        <f t="shared" si="388"/>
        <v>0.62676228108056242</v>
      </c>
      <c r="G2856">
        <f>LN(F2856/参数实验室!$E$58)/参数实验室!$E$59</f>
        <v>-0.43573550765833152</v>
      </c>
      <c r="H2856" s="856">
        <f>INDEX(神经网络!$G$10:$BO$70,MATCH(ROUND(G2856*2,1)/2,神经网络!$E$10:$E$70,0),MATCH(ROUND(E2856*2,1)/2,神经网络!$G$8:$BO$8,0))</f>
        <v>-0.71763360586304159</v>
      </c>
      <c r="I2856">
        <f t="shared" si="390"/>
        <v>509341.320764545</v>
      </c>
      <c r="J2856">
        <f t="shared" si="391"/>
        <v>3076.960217070347</v>
      </c>
      <c r="K2856">
        <f t="shared" si="392"/>
        <v>165.53393116323809</v>
      </c>
      <c r="L2856" s="4">
        <f>MIN(MAX(L2855*(1+MAX(MIN(((B2856-B2855)/B2855)/($K$7*卓尔金历!$N$40),0),-卓尔金历!$M$43))+MIN(MAX(((B2856-B2855)/B2855)/($K$7*卓尔金历!$N$40),0),卓尔金历!$M$43),0),1)</f>
        <v>1</v>
      </c>
      <c r="M2856" s="4">
        <f>MIN(MAX(M2855*(1+MAX(MIN(((B2856-B2855)/B2855)/($K$7*30),0),-卓尔金历!$M$43))+MIN(MAX(((B2856-B2855)/B2855)/($K$7*7),0),卓尔金历!$M$43),0),1)</f>
        <v>1</v>
      </c>
      <c r="N2856">
        <f t="shared" si="393"/>
        <v>205006.23501445714</v>
      </c>
      <c r="O2856">
        <f t="shared" si="394"/>
        <v>546734.54615029506</v>
      </c>
      <c r="P2856">
        <f t="shared" si="395"/>
        <v>9.5651934837283573E-3</v>
      </c>
      <c r="Q2856">
        <f t="shared" si="386"/>
        <v>2.458302000848021E-2</v>
      </c>
      <c r="R2856">
        <f t="shared" si="387"/>
        <v>0.99208501395358595</v>
      </c>
      <c r="S2856">
        <f t="shared" si="389"/>
        <v>898.89279918795137</v>
      </c>
      <c r="T2856" s="564">
        <f>IF((I2856-MAX(I$470:I2856))/MAX(I$470:I2856)&gt;T2855,T2855,(I2856-MAX(I$470:I2856))/MAX(I$470:I2856))</f>
        <v>-0.91338805338419748</v>
      </c>
      <c r="U2856" s="564">
        <f>IF((J2856-MAX(J$470:J2856))/MAX(J$470:J2856)&gt;U2855,U2855,(J2856-MAX(J$470:J2856))/MAX(J$470:J2856))</f>
        <v>-0.8283551177402233</v>
      </c>
      <c r="V2856" s="564">
        <f>IF((K2856-MAX(K$470:K2856))/MAX(K$470:K2856)&gt;V2855,V2855,(K2856-MAX(K$470:K2856))/MAX(K$470:K2856))</f>
        <v>-0.84885940676762139</v>
      </c>
      <c r="W2856" s="564">
        <f>IF((N2856-MAX(N$470:N2856))/MAX(N$470:N2856)&gt;W2855,W2855,(N2856-MAX(N$470:N2856))/MAX(N$470:N2856))</f>
        <v>-0.62788758315546067</v>
      </c>
      <c r="X2856" s="564">
        <f>IF((O2856-MAX(O$470:O2856))/MAX(O$470:O2856)&gt;X2855,X2855,(O2856-MAX(O$470:O2856))/MAX(O$470:O2856))</f>
        <v>-0.62788758315546067</v>
      </c>
    </row>
    <row r="2857" spans="1:24">
      <c r="A2857" s="799">
        <v>43259</v>
      </c>
      <c r="B2857">
        <v>7652.63</v>
      </c>
      <c r="C2857">
        <v>4883.1396450000002</v>
      </c>
      <c r="D2857">
        <v>1.437122</v>
      </c>
      <c r="E2857">
        <f>LN(D2857/参数实验室!$E$53)/参数实验室!$E$55</f>
        <v>-0.26513962509376959</v>
      </c>
      <c r="F2857">
        <f t="shared" si="388"/>
        <v>0.63809953506180228</v>
      </c>
      <c r="G2857">
        <f>LN(F2857/参数实验室!$E$58)/参数实验室!$E$59</f>
        <v>-0.42632647518976796</v>
      </c>
      <c r="H2857" s="856">
        <f>INDEX(神经网络!$G$10:$BO$70,MATCH(ROUND(G2857*2,1)/2,神经网络!$E$10:$E$70,0),MATCH(ROUND(E2857*2,1)/2,神经网络!$G$8:$BO$8,0))</f>
        <v>-0.71763360586304159</v>
      </c>
      <c r="I2857">
        <f t="shared" si="390"/>
        <v>512116.20020088356</v>
      </c>
      <c r="J2857">
        <f t="shared" si="391"/>
        <v>3053.6012130401809</v>
      </c>
      <c r="K2857">
        <f t="shared" si="392"/>
        <v>167.70893265758761</v>
      </c>
      <c r="L2857" s="4">
        <f>MIN(MAX(L2856*(1+MAX(MIN(((B2857-B2856)/B2856)/($K$7*卓尔金历!$N$40),0),-卓尔金历!$M$43))+MIN(MAX(((B2857-B2856)/B2856)/($K$7*卓尔金历!$N$40),0),卓尔金历!$M$43),0),1)</f>
        <v>0.88400787126150049</v>
      </c>
      <c r="M2857" s="4">
        <f>MIN(MAX(M2856*(1+MAX(MIN(((B2857-B2856)/B2856)/($K$7*30),0),-卓尔金历!$M$43))+MIN(MAX(((B2857-B2856)/B2856)/($K$7*7),0),卓尔金历!$M$43),0),1)</f>
        <v>0.94200393563075024</v>
      </c>
      <c r="N2857">
        <f t="shared" si="393"/>
        <v>206123.10412102976</v>
      </c>
      <c r="O2857">
        <f t="shared" si="394"/>
        <v>549713.14299174328</v>
      </c>
      <c r="P2857">
        <f t="shared" si="395"/>
        <v>-7.5915846752178931E-3</v>
      </c>
      <c r="Q2857">
        <f t="shared" si="386"/>
        <v>2.3339271422298673E-2</v>
      </c>
      <c r="R2857">
        <f t="shared" si="387"/>
        <v>1</v>
      </c>
      <c r="S2857">
        <f t="shared" si="389"/>
        <v>903.7511849929856</v>
      </c>
      <c r="T2857" s="564">
        <f>IF((I2857-MAX(I$470:I2857))/MAX(I$470:I2857)&gt;T2856,T2856,(I2857-MAX(I$470:I2857))/MAX(I$470:I2857))</f>
        <v>-0.91338805338419748</v>
      </c>
      <c r="U2857" s="564">
        <f>IF((J2857-MAX(J$470:J2857))/MAX(J$470:J2857)&gt;U2856,U2856,(J2857-MAX(J$470:J2857))/MAX(J$470:J2857))</f>
        <v>-0.8283551177402233</v>
      </c>
      <c r="V2857" s="564">
        <f>IF((K2857-MAX(K$470:K2857))/MAX(K$470:K2857)&gt;V2856,V2856,(K2857-MAX(K$470:K2857))/MAX(K$470:K2857))</f>
        <v>-0.84885940676762139</v>
      </c>
      <c r="W2857" s="564">
        <f>IF((N2857-MAX(N$470:N2857))/MAX(N$470:N2857)&gt;W2856,W2856,(N2857-MAX(N$470:N2857))/MAX(N$470:N2857))</f>
        <v>-0.62788758315546067</v>
      </c>
      <c r="X2857" s="564">
        <f>IF((O2857-MAX(O$470:O2857))/MAX(O$470:O2857)&gt;X2856,X2856,(O2857-MAX(O$470:O2857))/MAX(O$470:O2857))</f>
        <v>-0.62788758315546067</v>
      </c>
    </row>
    <row r="2858" spans="1:24">
      <c r="A2858" s="799">
        <v>43260</v>
      </c>
      <c r="B2858">
        <v>7675.77</v>
      </c>
      <c r="C2858">
        <v>4919.5499120000004</v>
      </c>
      <c r="D2858">
        <v>1.4251819999999999</v>
      </c>
      <c r="E2858">
        <f>LN(D2858/参数实验室!$E$53)/参数实验室!$E$55</f>
        <v>-0.27498228012929343</v>
      </c>
      <c r="F2858">
        <f t="shared" si="388"/>
        <v>0.6409194011805982</v>
      </c>
      <c r="G2858">
        <f>LN(F2858/参数实验室!$E$58)/参数实验室!$E$59</f>
        <v>-0.42401216929567076</v>
      </c>
      <c r="H2858" s="856">
        <f>INDEX(神经网络!$G$10:$BO$70,MATCH(ROUND(G2858*2,1)/2,神经网络!$E$10:$E$70,0),MATCH(ROUND(E2858*2,1)/2,神经网络!$G$8:$BO$8,0))</f>
        <v>-0.6555766345053301</v>
      </c>
      <c r="I2858">
        <f t="shared" si="390"/>
        <v>511004.91911910044</v>
      </c>
      <c r="J2858">
        <f t="shared" si="391"/>
        <v>3062.83468337257</v>
      </c>
      <c r="K2858">
        <f t="shared" si="392"/>
        <v>166.84051604000354</v>
      </c>
      <c r="L2858" s="4">
        <f>MIN(MAX(L2857*(1+MAX(MIN(((B2858-B2857)/B2857)/($K$7*卓尔金历!$N$40),0),-卓尔金历!$M$43))+MIN(MAX(((B2858-B2857)/B2857)/($K$7*卓尔金历!$N$40),0),卓尔金历!$M$43),0),1)</f>
        <v>0.93020858842712506</v>
      </c>
      <c r="M2858" s="4">
        <f>MIN(MAX(M2857*(1+MAX(MIN(((B2858-B2857)/B2857)/($K$7*30),0),-卓尔金历!$M$43))+MIN(MAX(((B2858-B2857)/B2857)/($K$7*7),0),卓尔金历!$M$43),0),1)</f>
        <v>1</v>
      </c>
      <c r="N2858">
        <f t="shared" si="393"/>
        <v>205727.70271186804</v>
      </c>
      <c r="O2858">
        <f t="shared" si="394"/>
        <v>548589.45886913768</v>
      </c>
      <c r="P2858">
        <f t="shared" si="395"/>
        <v>3.0237970475510156E-3</v>
      </c>
      <c r="Q2858">
        <f t="shared" si="386"/>
        <v>2.2586527080953257E-2</v>
      </c>
      <c r="R2858">
        <f t="shared" si="387"/>
        <v>1</v>
      </c>
      <c r="S2858">
        <f t="shared" si="389"/>
        <v>901.79006446188771</v>
      </c>
      <c r="T2858" s="564">
        <f>IF((I2858-MAX(I$470:I2858))/MAX(I$470:I2858)&gt;T2857,T2857,(I2858-MAX(I$470:I2858))/MAX(I$470:I2858))</f>
        <v>-0.91338805338419748</v>
      </c>
      <c r="U2858" s="564">
        <f>IF((J2858-MAX(J$470:J2858))/MAX(J$470:J2858)&gt;U2857,U2857,(J2858-MAX(J$470:J2858))/MAX(J$470:J2858))</f>
        <v>-0.8283551177402233</v>
      </c>
      <c r="V2858" s="564">
        <f>IF((K2858-MAX(K$470:K2858))/MAX(K$470:K2858)&gt;V2857,V2857,(K2858-MAX(K$470:K2858))/MAX(K$470:K2858))</f>
        <v>-0.84885940676762139</v>
      </c>
      <c r="W2858" s="564">
        <f>IF((N2858-MAX(N$470:N2858))/MAX(N$470:N2858)&gt;W2857,W2857,(N2858-MAX(N$470:N2858))/MAX(N$470:N2858))</f>
        <v>-0.62788758315546067</v>
      </c>
      <c r="X2858" s="564">
        <f>IF((O2858-MAX(O$470:O2858))/MAX(O$470:O2858)&gt;X2857,X2857,(O2858-MAX(O$470:O2858))/MAX(O$470:O2858))</f>
        <v>-0.62788758315546067</v>
      </c>
    </row>
    <row r="2859" spans="1:24">
      <c r="A2859" s="799">
        <v>43261</v>
      </c>
      <c r="B2859">
        <v>7337.87</v>
      </c>
      <c r="C2859">
        <v>4921.0066820000002</v>
      </c>
      <c r="D2859">
        <v>1.27552</v>
      </c>
      <c r="E2859">
        <f>LN(D2859/参数实验室!$E$53)/参数实验室!$E$55</f>
        <v>-0.40587069542535148</v>
      </c>
      <c r="F2859">
        <f t="shared" si="388"/>
        <v>0.67063148870176226</v>
      </c>
      <c r="G2859">
        <f>LN(F2859/参数实验室!$E$58)/参数实验室!$E$59</f>
        <v>-0.40022784195560979</v>
      </c>
      <c r="H2859" s="856">
        <f>INDEX(神经网络!$G$10:$BO$70,MATCH(ROUND(G2859*2,1)/2,神经网络!$E$10:$E$70,0),MATCH(ROUND(E2859*2,1)/2,神经网络!$G$8:$BO$8,0))</f>
        <v>-0.74160238842247306</v>
      </c>
      <c r="I2859">
        <f t="shared" si="390"/>
        <v>525752.29623859574</v>
      </c>
      <c r="J2859">
        <f t="shared" si="391"/>
        <v>2928.0036710426548</v>
      </c>
      <c r="K2859">
        <f t="shared" si="392"/>
        <v>179.55998533682734</v>
      </c>
      <c r="L2859" s="4">
        <f>MIN(MAX(L2858*(1+MAX(MIN(((B2859-B2858)/B2858)/($K$7*卓尔金历!$N$40),0),-卓尔金历!$M$43))+MIN(MAX(((B2859-B2858)/B2858)/($K$7*卓尔金历!$N$40),0),卓尔金历!$M$43),0),1)</f>
        <v>0.30454243408849785</v>
      </c>
      <c r="M2859" s="4">
        <f>MIN(MAX(M2858*(1+MAX(MIN(((B2859-B2858)/B2858)/($K$7*30),0),-卓尔金历!$M$43))+MIN(MAX(((B2859-B2858)/B2858)/($K$7*7),0),卓尔金历!$M$43),0),1)</f>
        <v>0.66369577634380039</v>
      </c>
      <c r="N2859">
        <f t="shared" si="393"/>
        <v>211250.54735529594</v>
      </c>
      <c r="O2859">
        <f t="shared" si="394"/>
        <v>564421.50926831877</v>
      </c>
      <c r="P2859">
        <f t="shared" si="395"/>
        <v>-4.4021642128411941E-2</v>
      </c>
      <c r="Q2859">
        <f t="shared" si="386"/>
        <v>2.4141045505032613E-2</v>
      </c>
      <c r="R2859">
        <f t="shared" si="387"/>
        <v>9.017267660339133E-3</v>
      </c>
      <c r="S2859">
        <f t="shared" si="389"/>
        <v>927.81532892736311</v>
      </c>
      <c r="T2859" s="564">
        <f>IF((I2859-MAX(I$470:I2859))/MAX(I$470:I2859)&gt;T2858,T2858,(I2859-MAX(I$470:I2859))/MAX(I$470:I2859))</f>
        <v>-0.91338805338419748</v>
      </c>
      <c r="U2859" s="564">
        <f>IF((J2859-MAX(J$470:J2859))/MAX(J$470:J2859)&gt;U2858,U2858,(J2859-MAX(J$470:J2859))/MAX(J$470:J2859))</f>
        <v>-0.8283551177402233</v>
      </c>
      <c r="V2859" s="564">
        <f>IF((K2859-MAX(K$470:K2859))/MAX(K$470:K2859)&gt;V2858,V2858,(K2859-MAX(K$470:K2859))/MAX(K$470:K2859))</f>
        <v>-0.84885940676762139</v>
      </c>
      <c r="W2859" s="564">
        <f>IF((N2859-MAX(N$470:N2859))/MAX(N$470:N2859)&gt;W2858,W2858,(N2859-MAX(N$470:N2859))/MAX(N$470:N2859))</f>
        <v>-0.62788758315546067</v>
      </c>
      <c r="X2859" s="564">
        <f>IF((O2859-MAX(O$470:O2859))/MAX(O$470:O2859)&gt;X2858,X2858,(O2859-MAX(O$470:O2859))/MAX(O$470:O2859))</f>
        <v>-0.62788758315546067</v>
      </c>
    </row>
    <row r="2860" spans="1:24">
      <c r="A2860" s="799">
        <v>43262</v>
      </c>
      <c r="B2860">
        <v>6778.59</v>
      </c>
      <c r="C2860">
        <v>5002.9499169999999</v>
      </c>
      <c r="D2860">
        <v>1.297509</v>
      </c>
      <c r="E2860">
        <f>LN(D2860/参数实验室!$E$53)/参数实验室!$E$55</f>
        <v>-0.38570595912135713</v>
      </c>
      <c r="F2860">
        <f t="shared" si="388"/>
        <v>0.73805170647583052</v>
      </c>
      <c r="G2860">
        <f>LN(F2860/参数实验室!$E$58)/参数实验室!$E$59</f>
        <v>-0.34994992327236851</v>
      </c>
      <c r="H2860" s="856">
        <f>INDEX(神经网络!$G$10:$BO$70,MATCH(ROUND(G2860*2,1)/2,神经网络!$E$10:$E$70,0),MATCH(ROUND(E2860*2,1)/2,神经网络!$G$8:$BO$8,0))</f>
        <v>-0.67886450745175153</v>
      </c>
      <c r="I2860">
        <f t="shared" si="390"/>
        <v>555469.7485002086</v>
      </c>
      <c r="J2860">
        <f t="shared" si="391"/>
        <v>2704.8361996727976</v>
      </c>
      <c r="K2860">
        <f t="shared" si="392"/>
        <v>205.36169567954002</v>
      </c>
      <c r="L2860" s="4">
        <f>MIN(MAX(L2859*(1+MAX(MIN(((B2860-B2859)/B2859)/($K$7*卓尔金历!$N$40),0),-卓尔金历!$M$43))+MIN(MAX(((B2860-B2859)/B2859)/($K$7*卓尔金历!$N$40),0),卓尔金历!$M$43),0),1)</f>
        <v>0</v>
      </c>
      <c r="M2860" s="4">
        <f>MIN(MAX(M2859*(1+MAX(MIN(((B2860-B2859)/B2859)/($K$7*30),0),-卓尔金历!$M$43))+MIN(MAX(((B2860-B2859)/B2859)/($K$7*7),0),卓尔金历!$M$43),0),1)</f>
        <v>0.27724479687241949</v>
      </c>
      <c r="N2860">
        <f t="shared" si="393"/>
        <v>214886.98423008245</v>
      </c>
      <c r="O2860">
        <f t="shared" si="394"/>
        <v>585595.513968796</v>
      </c>
      <c r="P2860">
        <f t="shared" si="395"/>
        <v>-7.6218303131562665E-2</v>
      </c>
      <c r="Q2860">
        <f t="shared" ref="Q2860:Q2923" si="396">STDEVP(P2840:P2860)</f>
        <v>2.7337383106794885E-2</v>
      </c>
      <c r="R2860">
        <f t="shared" ref="R2860:R2923" si="397">MIN(Q2859*MAX(1-LN(MAX(ABS(P2860),0.0001)/Q2860),0)+MAX(-LN(MAX(ABS(P2860),0.0001)/Q2860),0),1)</f>
        <v>0</v>
      </c>
      <c r="S2860">
        <f t="shared" si="389"/>
        <v>928.28822629886031</v>
      </c>
      <c r="T2860" s="564">
        <f>IF((I2860-MAX(I$470:I2860))/MAX(I$470:I2860)&gt;T2859,T2859,(I2860-MAX(I$470:I2860))/MAX(I$470:I2860))</f>
        <v>-0.91338805338419748</v>
      </c>
      <c r="U2860" s="564">
        <f>IF((J2860-MAX(J$470:J2860))/MAX(J$470:J2860)&gt;U2859,U2859,(J2860-MAX(J$470:J2860))/MAX(J$470:J2860))</f>
        <v>-0.8283551177402233</v>
      </c>
      <c r="V2860" s="564">
        <f>IF((K2860-MAX(K$470:K2860))/MAX(K$470:K2860)&gt;V2859,V2859,(K2860-MAX(K$470:K2860))/MAX(K$470:K2860))</f>
        <v>-0.84885940676762139</v>
      </c>
      <c r="W2860" s="564">
        <f>IF((N2860-MAX(N$470:N2860))/MAX(N$470:N2860)&gt;W2859,W2859,(N2860-MAX(N$470:N2860))/MAX(N$470:N2860))</f>
        <v>-0.62788758315546067</v>
      </c>
      <c r="X2860" s="564">
        <f>IF((O2860-MAX(O$470:O2860))/MAX(O$470:O2860)&gt;X2859,X2859,(O2860-MAX(O$470:O2860))/MAX(O$470:O2860))</f>
        <v>-0.62788758315546067</v>
      </c>
    </row>
    <row r="2861" spans="1:24">
      <c r="A2861" s="799">
        <v>43263</v>
      </c>
      <c r="B2861">
        <v>6877.72</v>
      </c>
      <c r="C2861">
        <v>5014.401946</v>
      </c>
      <c r="D2861">
        <v>1.23858</v>
      </c>
      <c r="E2861">
        <f>LN(D2861/参数实验室!$E$53)/参数实验室!$E$55</f>
        <v>-0.44054172790542001</v>
      </c>
      <c r="F2861">
        <f t="shared" si="388"/>
        <v>0.72907910557568489</v>
      </c>
      <c r="G2861">
        <f>LN(F2861/参数实验室!$E$58)/参数实验室!$E$59</f>
        <v>-0.35636975241791735</v>
      </c>
      <c r="H2861" s="856">
        <f>INDEX(神经网络!$G$10:$BO$70,MATCH(ROUND(G2861*2,1)/2,神经网络!$E$10:$E$70,0),MATCH(ROUND(E2861*2,1)/2,神经网络!$G$8:$BO$8,0))</f>
        <v>-0.70933288466392619</v>
      </c>
      <c r="I2861">
        <f t="shared" si="390"/>
        <v>549955.20896390197</v>
      </c>
      <c r="J2861">
        <f t="shared" si="391"/>
        <v>2744.3916842903309</v>
      </c>
      <c r="K2861">
        <f t="shared" si="392"/>
        <v>200.39239009212866</v>
      </c>
      <c r="L2861" s="4">
        <f>MIN(MAX(L2860*(1+MAX(MIN(((B2861-B2860)/B2860)/($K$7*卓尔金历!$N$40),0),-卓尔金历!$M$43))+MIN(MAX(((B2861-B2860)/B2860)/($K$7*卓尔金历!$N$40),0),卓尔金历!$M$43),0),1)</f>
        <v>0.22344046063492895</v>
      </c>
      <c r="M2861" s="4">
        <f>MIN(MAX(M2860*(1+MAX(MIN(((B2861-B2860)/B2860)/($K$7*30),0),-卓尔金历!$M$43))+MIN(MAX(((B2861-B2860)/B2860)/($K$7*7),0),卓尔金历!$M$43),0),1)</f>
        <v>0.75604578394726718</v>
      </c>
      <c r="N2861">
        <f t="shared" si="393"/>
        <v>214886.98423008245</v>
      </c>
      <c r="O2861">
        <f t="shared" si="394"/>
        <v>583983.7182850329</v>
      </c>
      <c r="P2861">
        <f t="shared" si="395"/>
        <v>1.4623985224065788E-2</v>
      </c>
      <c r="Q2861">
        <f t="shared" si="396"/>
        <v>2.7799369507236132E-2</v>
      </c>
      <c r="R2861">
        <f t="shared" si="397"/>
        <v>0.68724789686674026</v>
      </c>
      <c r="S2861">
        <f t="shared" si="389"/>
        <v>928.28822629886031</v>
      </c>
      <c r="T2861" s="564">
        <f>IF((I2861-MAX(I$470:I2861))/MAX(I$470:I2861)&gt;T2860,T2860,(I2861-MAX(I$470:I2861))/MAX(I$470:I2861))</f>
        <v>-0.91338805338419748</v>
      </c>
      <c r="U2861" s="564">
        <f>IF((J2861-MAX(J$470:J2861))/MAX(J$470:J2861)&gt;U2860,U2860,(J2861-MAX(J$470:J2861))/MAX(J$470:J2861))</f>
        <v>-0.8283551177402233</v>
      </c>
      <c r="V2861" s="564">
        <f>IF((K2861-MAX(K$470:K2861))/MAX(K$470:K2861)&gt;V2860,V2860,(K2861-MAX(K$470:K2861))/MAX(K$470:K2861))</f>
        <v>-0.84885940676762139</v>
      </c>
      <c r="W2861" s="564">
        <f>IF((N2861-MAX(N$470:N2861))/MAX(N$470:N2861)&gt;W2860,W2860,(N2861-MAX(N$470:N2861))/MAX(N$470:N2861))</f>
        <v>-0.62788758315546067</v>
      </c>
      <c r="X2861" s="564">
        <f>IF((O2861-MAX(O$470:O2861))/MAX(O$470:O2861)&gt;X2860,X2860,(O2861-MAX(O$470:O2861))/MAX(O$470:O2861))</f>
        <v>-0.62788758315546067</v>
      </c>
    </row>
    <row r="2862" spans="1:24">
      <c r="A2862" s="799">
        <v>43264</v>
      </c>
      <c r="B2862">
        <v>6600.79</v>
      </c>
      <c r="C2862">
        <v>4980.394988</v>
      </c>
      <c r="D2862">
        <v>1.2009289999999999</v>
      </c>
      <c r="E2862">
        <f>LN(D2862/参数实验室!$E$53)/参数实验室!$E$55</f>
        <v>-0.47696087356542538</v>
      </c>
      <c r="F2862">
        <f t="shared" si="388"/>
        <v>0.75451498805446016</v>
      </c>
      <c r="G2862">
        <f>LN(F2862/参数实验室!$E$58)/参数实验室!$E$59</f>
        <v>-0.33837098293508194</v>
      </c>
      <c r="H2862" s="856">
        <f>INDEX(神经网络!$G$10:$BO$70,MATCH(ROUND(G2862*2,1)/2,神经网络!$E$10:$E$70,0),MATCH(ROUND(E2862*2,1)/2,神经网络!$G$8:$BO$8,0))</f>
        <v>-0.73401713105440403</v>
      </c>
      <c r="I2862">
        <f t="shared" si="390"/>
        <v>565662.55923556478</v>
      </c>
      <c r="J2862">
        <f t="shared" si="391"/>
        <v>2633.8893100833957</v>
      </c>
      <c r="K2862">
        <f t="shared" si="392"/>
        <v>214.76322375052825</v>
      </c>
      <c r="L2862" s="4">
        <f>MIN(MAX(L2861*(1+MAX(MIN(((B2862-B2861)/B2861)/($K$7*卓尔金历!$N$40),0),-卓尔金历!$M$43))+MIN(MAX(((B2862-B2861)/B2861)/($K$7*卓尔金历!$N$40),0),卓尔金历!$M$43),0),1)</f>
        <v>8.5978222439504343E-2</v>
      </c>
      <c r="M2862" s="4">
        <f>MIN(MAX(M2861*(1+MAX(MIN(((B2862-B2861)/B2861)/($K$7*30),0),-卓尔金历!$M$43))+MIN(MAX(((B2862-B2861)/B2861)/($K$7*7),0),卓尔金历!$M$43),0),1)</f>
        <v>0.52348328084401441</v>
      </c>
      <c r="N2862">
        <f t="shared" si="393"/>
        <v>216258.33178851183</v>
      </c>
      <c r="O2862">
        <f t="shared" si="394"/>
        <v>596593.98997366219</v>
      </c>
      <c r="P2862">
        <f t="shared" si="395"/>
        <v>-4.0264797054837979E-2</v>
      </c>
      <c r="Q2862">
        <f t="shared" si="396"/>
        <v>2.7466902011638317E-2</v>
      </c>
      <c r="R2862">
        <f t="shared" si="397"/>
        <v>1.7166226082529861E-2</v>
      </c>
      <c r="S2862">
        <f t="shared" si="389"/>
        <v>946.50921212887363</v>
      </c>
      <c r="T2862" s="564">
        <f>IF((I2862-MAX(I$470:I2862))/MAX(I$470:I2862)&gt;T2861,T2861,(I2862-MAX(I$470:I2862))/MAX(I$470:I2862))</f>
        <v>-0.91338805338419748</v>
      </c>
      <c r="U2862" s="564">
        <f>IF((J2862-MAX(J$470:J2862))/MAX(J$470:J2862)&gt;U2861,U2861,(J2862-MAX(J$470:J2862))/MAX(J$470:J2862))</f>
        <v>-0.8283551177402233</v>
      </c>
      <c r="V2862" s="564">
        <f>IF((K2862-MAX(K$470:K2862))/MAX(K$470:K2862)&gt;V2861,V2861,(K2862-MAX(K$470:K2862))/MAX(K$470:K2862))</f>
        <v>-0.84885940676762139</v>
      </c>
      <c r="W2862" s="564">
        <f>IF((N2862-MAX(N$470:N2862))/MAX(N$470:N2862)&gt;W2861,W2861,(N2862-MAX(N$470:N2862))/MAX(N$470:N2862))</f>
        <v>-0.62788758315546067</v>
      </c>
      <c r="X2862" s="564">
        <f>IF((O2862-MAX(O$470:O2862))/MAX(O$470:O2862)&gt;X2861,X2861,(O2862-MAX(O$470:O2862))/MAX(O$470:O2862))</f>
        <v>-0.62788758315546067</v>
      </c>
    </row>
    <row r="2863" spans="1:24">
      <c r="A2863" s="799">
        <v>43265</v>
      </c>
      <c r="B2863">
        <v>6519.79</v>
      </c>
      <c r="C2863">
        <v>4959.6345279999996</v>
      </c>
      <c r="D2863">
        <v>1.2632479999999999</v>
      </c>
      <c r="E2863">
        <f>LN(D2863/参数实验室!$E$53)/参数实验室!$E$55</f>
        <v>-0.4172762626732987</v>
      </c>
      <c r="F2863">
        <f t="shared" si="388"/>
        <v>0.76070464355447021</v>
      </c>
      <c r="G2863">
        <f>LN(F2863/参数实验室!$E$58)/参数实验室!$E$59</f>
        <v>-0.33408291311710886</v>
      </c>
      <c r="H2863" s="856">
        <f>INDEX(神经网络!$G$10:$BO$70,MATCH(ROUND(G2863*2,1)/2,神经网络!$E$10:$E$70,0),MATCH(ROUND(E2863*2,1)/2,神经网络!$G$8:$BO$8,0))</f>
        <v>-0.67886450745175153</v>
      </c>
      <c r="I2863">
        <f t="shared" si="390"/>
        <v>570757.65947642585</v>
      </c>
      <c r="J2863">
        <f t="shared" si="391"/>
        <v>2601.5681736562778</v>
      </c>
      <c r="K2863">
        <f t="shared" si="392"/>
        <v>219.38985311089334</v>
      </c>
      <c r="L2863" s="4">
        <f>MIN(MAX(L2862*(1+MAX(MIN(((B2863-B2862)/B2862)/($K$7*卓尔金历!$N$40),0),-卓尔金历!$M$43))+MIN(MAX(((B2863-B2862)/B2862)/($K$7*卓尔金历!$N$40),0),卓尔金历!$M$43),0),1)</f>
        <v>6.9857903012349926E-2</v>
      </c>
      <c r="M2863" s="4">
        <f>MIN(MAX(M2862*(1+MAX(MIN(((B2863-B2862)/B2862)/($K$7*30),0),-卓尔金历!$M$43))+MIN(MAX(((B2863-B2862)/B2862)/($K$7*7),0),卓尔金历!$M$43),0),1)</f>
        <v>0.47440854155222506</v>
      </c>
      <c r="N2863">
        <f t="shared" si="393"/>
        <v>216425.80934243099</v>
      </c>
      <c r="O2863">
        <f t="shared" si="394"/>
        <v>599407.0369731161</v>
      </c>
      <c r="P2863">
        <f t="shared" si="395"/>
        <v>-1.2271258440277603E-2</v>
      </c>
      <c r="Q2863">
        <f t="shared" si="396"/>
        <v>2.6901258202949887E-2</v>
      </c>
      <c r="R2863">
        <f t="shared" si="397"/>
        <v>0.83393928016976926</v>
      </c>
      <c r="S2863">
        <f t="shared" si="389"/>
        <v>946.65556288541723</v>
      </c>
      <c r="T2863" s="564">
        <f>IF((I2863-MAX(I$470:I2863))/MAX(I$470:I2863)&gt;T2862,T2862,(I2863-MAX(I$470:I2863))/MAX(I$470:I2863))</f>
        <v>-0.91338805338419748</v>
      </c>
      <c r="U2863" s="564">
        <f>IF((J2863-MAX(J$470:J2863))/MAX(J$470:J2863)&gt;U2862,U2862,(J2863-MAX(J$470:J2863))/MAX(J$470:J2863))</f>
        <v>-0.8283551177402233</v>
      </c>
      <c r="V2863" s="564">
        <f>IF((K2863-MAX(K$470:K2863))/MAX(K$470:K2863)&gt;V2862,V2862,(K2863-MAX(K$470:K2863))/MAX(K$470:K2863))</f>
        <v>-0.84885940676762139</v>
      </c>
      <c r="W2863" s="564">
        <f>IF((N2863-MAX(N$470:N2863))/MAX(N$470:N2863)&gt;W2862,W2862,(N2863-MAX(N$470:N2863))/MAX(N$470:N2863))</f>
        <v>-0.62788758315546067</v>
      </c>
      <c r="X2863" s="564">
        <f>IF((O2863-MAX(O$470:O2863))/MAX(O$470:O2863)&gt;X2862,X2862,(O2863-MAX(O$470:O2863))/MAX(O$470:O2863))</f>
        <v>-0.62788758315546067</v>
      </c>
    </row>
    <row r="2864" spans="1:24">
      <c r="A2864" s="799">
        <v>43266</v>
      </c>
      <c r="B2864">
        <v>6615.55</v>
      </c>
      <c r="C2864">
        <v>5045.8320880000001</v>
      </c>
      <c r="D2864">
        <v>1.220971</v>
      </c>
      <c r="E2864">
        <f>LN(D2864/参数实验室!$E$53)/参数实验室!$E$55</f>
        <v>-0.45743475417734381</v>
      </c>
      <c r="F2864">
        <f t="shared" si="388"/>
        <v>0.76272299173916003</v>
      </c>
      <c r="G2864">
        <f>LN(F2864/参数实验室!$E$58)/参数实验室!$E$59</f>
        <v>-0.3326921823723667</v>
      </c>
      <c r="H2864" s="856">
        <f>INDEX(神经网络!$G$10:$BO$70,MATCH(ROUND(G2864*2,1)/2,神经网络!$E$10:$E$70,0),MATCH(ROUND(E2864*2,1)/2,神经网络!$G$8:$BO$8,0))</f>
        <v>-0.70933288466392619</v>
      </c>
      <c r="I2864">
        <f t="shared" si="390"/>
        <v>565066.70146093622</v>
      </c>
      <c r="J2864">
        <f t="shared" si="391"/>
        <v>2639.7789393878925</v>
      </c>
      <c r="K2864">
        <f t="shared" si="392"/>
        <v>214.05834141246802</v>
      </c>
      <c r="L2864" s="4">
        <f>MIN(MAX(L2863*(1+MAX(MIN(((B2864-B2863)/B2863)/($K$7*卓尔金历!$N$40),0),-卓尔金历!$M$43))+MIN(MAX(((B2864-B2863)/B2863)/($K$7*卓尔金历!$N$40),0),卓尔金历!$M$43),0),1)</f>
        <v>0.29427017794795363</v>
      </c>
      <c r="M2864" s="4">
        <f>MIN(MAX(M2863*(1+MAX(MIN(((B2864-B2863)/B2863)/($K$7*30),0),-卓尔金历!$M$43))+MIN(MAX(((B2864-B2863)/B2863)/($K$7*7),0),卓尔金历!$M$43),0),1)</f>
        <v>0.95529198784280456</v>
      </c>
      <c r="N2864">
        <f t="shared" si="393"/>
        <v>216275.059027376</v>
      </c>
      <c r="O2864">
        <f t="shared" si="394"/>
        <v>596571.67852690211</v>
      </c>
      <c r="P2864">
        <f t="shared" si="395"/>
        <v>1.4687589630954404E-2</v>
      </c>
      <c r="Q2864">
        <f t="shared" si="396"/>
        <v>2.731115830623369E-2</v>
      </c>
      <c r="R2864">
        <f t="shared" si="397"/>
        <v>0.66388035908519072</v>
      </c>
      <c r="S2864">
        <f t="shared" si="389"/>
        <v>938.78401657192842</v>
      </c>
      <c r="T2864" s="564">
        <f>IF((I2864-MAX(I$470:I2864))/MAX(I$470:I2864)&gt;T2863,T2863,(I2864-MAX(I$470:I2864))/MAX(I$470:I2864))</f>
        <v>-0.91338805338419748</v>
      </c>
      <c r="U2864" s="564">
        <f>IF((J2864-MAX(J$470:J2864))/MAX(J$470:J2864)&gt;U2863,U2863,(J2864-MAX(J$470:J2864))/MAX(J$470:J2864))</f>
        <v>-0.8283551177402233</v>
      </c>
      <c r="V2864" s="564">
        <f>IF((K2864-MAX(K$470:K2864))/MAX(K$470:K2864)&gt;V2863,V2863,(K2864-MAX(K$470:K2864))/MAX(K$470:K2864))</f>
        <v>-0.84885940676762139</v>
      </c>
      <c r="W2864" s="564">
        <f>IF((N2864-MAX(N$470:N2864))/MAX(N$470:N2864)&gt;W2863,W2863,(N2864-MAX(N$470:N2864))/MAX(N$470:N2864))</f>
        <v>-0.62788758315546067</v>
      </c>
      <c r="X2864" s="564">
        <f>IF((O2864-MAX(O$470:O2864))/MAX(O$470:O2864)&gt;X2863,X2863,(O2864-MAX(O$470:O2864))/MAX(O$470:O2864))</f>
        <v>-0.62788758315546067</v>
      </c>
    </row>
    <row r="2865" spans="1:24">
      <c r="A2865" s="799">
        <v>43267</v>
      </c>
      <c r="B2865">
        <v>6515.33</v>
      </c>
      <c r="C2865">
        <v>4937.7131609999997</v>
      </c>
      <c r="D2865">
        <v>1.2395579999999999</v>
      </c>
      <c r="E2865">
        <f>LN(D2865/参数实验室!$E$53)/参数实验室!$E$55</f>
        <v>-0.43961054591918197</v>
      </c>
      <c r="F2865">
        <f t="shared" si="388"/>
        <v>0.75786079308338949</v>
      </c>
      <c r="G2865">
        <f>LN(F2865/参数实验室!$E$58)/参数实验室!$E$59</f>
        <v>-0.33604872654412127</v>
      </c>
      <c r="H2865" s="856">
        <f>INDEX(神经网络!$G$10:$BO$70,MATCH(ROUND(G2865*2,1)/2,神经网络!$E$10:$E$70,0),MATCH(ROUND(E2865*2,1)/2,神经网络!$G$8:$BO$8,0))</f>
        <v>-0.70933288466392619</v>
      </c>
      <c r="I2865">
        <f t="shared" si="390"/>
        <v>571138.79219020659</v>
      </c>
      <c r="J2865">
        <f t="shared" si="391"/>
        <v>2599.7885160209075</v>
      </c>
      <c r="K2865">
        <f t="shared" si="392"/>
        <v>219.68663553617046</v>
      </c>
      <c r="L2865" s="4">
        <f>MIN(MAX(L2864*(1+MAX(MIN(((B2865-B2864)/B2864)/($K$7*卓尔金历!$N$40),0),-卓尔金历!$M$43))+MIN(MAX(((B2865-B2864)/B2864)/($K$7*卓尔金历!$N$40),0),卓尔金历!$M$43),0),1)</f>
        <v>0.22615705819035312</v>
      </c>
      <c r="M2865" s="4">
        <f>MIN(MAX(M2864*(1+MAX(MIN(((B2865-B2864)/B2864)/($K$7*30),0),-卓尔金历!$M$43))+MIN(MAX(((B2865-B2864)/B2864)/($K$7*7),0),卓尔金历!$M$43),0),1)</f>
        <v>0.84473386396978078</v>
      </c>
      <c r="N2865">
        <f t="shared" si="393"/>
        <v>216958.95686023857</v>
      </c>
      <c r="O2865">
        <f t="shared" si="394"/>
        <v>602695.70844428684</v>
      </c>
      <c r="P2865">
        <f t="shared" si="395"/>
        <v>-1.5149156154817097E-2</v>
      </c>
      <c r="Q2865">
        <f t="shared" si="396"/>
        <v>2.7123251041744616E-2</v>
      </c>
      <c r="R2865">
        <f t="shared" si="397"/>
        <v>0.62566494790616178</v>
      </c>
      <c r="S2865">
        <f t="shared" si="389"/>
        <v>945.4812285222057</v>
      </c>
      <c r="T2865" s="564">
        <f>IF((I2865-MAX(I$470:I2865))/MAX(I$470:I2865)&gt;T2864,T2864,(I2865-MAX(I$470:I2865))/MAX(I$470:I2865))</f>
        <v>-0.91338805338419748</v>
      </c>
      <c r="U2865" s="564">
        <f>IF((J2865-MAX(J$470:J2865))/MAX(J$470:J2865)&gt;U2864,U2864,(J2865-MAX(J$470:J2865))/MAX(J$470:J2865))</f>
        <v>-0.8283551177402233</v>
      </c>
      <c r="V2865" s="564">
        <f>IF((K2865-MAX(K$470:K2865))/MAX(K$470:K2865)&gt;V2864,V2864,(K2865-MAX(K$470:K2865))/MAX(K$470:K2865))</f>
        <v>-0.84885940676762139</v>
      </c>
      <c r="W2865" s="564">
        <f>IF((N2865-MAX(N$470:N2865))/MAX(N$470:N2865)&gt;W2864,W2864,(N2865-MAX(N$470:N2865))/MAX(N$470:N2865))</f>
        <v>-0.62788758315546067</v>
      </c>
      <c r="X2865" s="564">
        <f>IF((O2865-MAX(O$470:O2865))/MAX(O$470:O2865)&gt;X2864,X2864,(O2865-MAX(O$470:O2865))/MAX(O$470:O2865))</f>
        <v>-0.62788758315546067</v>
      </c>
    </row>
    <row r="2866" spans="1:24">
      <c r="A2866" s="799">
        <v>43268</v>
      </c>
      <c r="B2866">
        <v>6562.72</v>
      </c>
      <c r="C2866">
        <v>4910.9090480000004</v>
      </c>
      <c r="D2866">
        <v>1.231727</v>
      </c>
      <c r="E2866">
        <f>LN(D2866/参数实验室!$E$53)/参数实验室!$E$55</f>
        <v>-0.44708736755353623</v>
      </c>
      <c r="F2866">
        <f t="shared" si="388"/>
        <v>0.74830391179267142</v>
      </c>
      <c r="G2866">
        <f>LN(F2866/参数实验室!$E$58)/参数实验室!$E$59</f>
        <v>-0.34270939929322997</v>
      </c>
      <c r="H2866" s="856">
        <f>INDEX(神经网络!$G$10:$BO$70,MATCH(ROUND(G2866*2,1)/2,神经网络!$E$10:$E$70,0),MATCH(ROUND(E2866*2,1)/2,神经网络!$G$8:$BO$8,0))</f>
        <v>-0.70933288466392619</v>
      </c>
      <c r="I2866">
        <f t="shared" si="390"/>
        <v>568192.05065832753</v>
      </c>
      <c r="J2866">
        <f t="shared" si="391"/>
        <v>2618.6983759626496</v>
      </c>
      <c r="K2866">
        <f t="shared" si="392"/>
        <v>216.97498874778071</v>
      </c>
      <c r="L2866" s="4">
        <f>MIN(MAX(L2865*(1+MAX(MIN(((B2866-B2865)/B2865)/($K$7*卓尔金历!$N$40),0),-卓尔金历!$M$43))+MIN(MAX(((B2866-B2865)/B2865)/($K$7*卓尔金历!$N$40),0),卓尔金历!$M$43),0),1)</f>
        <v>0.33729091069191902</v>
      </c>
      <c r="M2866" s="4">
        <f>MIN(MAX(M2865*(1+MAX(MIN(((B2866-B2865)/B2865)/($K$7*30),0),-卓尔金历!$M$43))+MIN(MAX(((B2866-B2865)/B2865)/($K$7*7),0),卓尔金历!$M$43),0),1)</f>
        <v>1</v>
      </c>
      <c r="N2866">
        <f t="shared" si="393"/>
        <v>216705.80092389096</v>
      </c>
      <c r="O2866">
        <f t="shared" si="394"/>
        <v>600068.96057231526</v>
      </c>
      <c r="P2866">
        <f t="shared" si="395"/>
        <v>7.2736146902766747E-3</v>
      </c>
      <c r="Q2866">
        <f t="shared" si="396"/>
        <v>2.7133917450711437E-2</v>
      </c>
      <c r="R2866">
        <f t="shared" si="397"/>
        <v>1</v>
      </c>
      <c r="S2866">
        <f t="shared" si="389"/>
        <v>942.42915408764793</v>
      </c>
      <c r="T2866" s="564">
        <f>IF((I2866-MAX(I$470:I2866))/MAX(I$470:I2866)&gt;T2865,T2865,(I2866-MAX(I$470:I2866))/MAX(I$470:I2866))</f>
        <v>-0.91338805338419748</v>
      </c>
      <c r="U2866" s="564">
        <f>IF((J2866-MAX(J$470:J2866))/MAX(J$470:J2866)&gt;U2865,U2865,(J2866-MAX(J$470:J2866))/MAX(J$470:J2866))</f>
        <v>-0.8283551177402233</v>
      </c>
      <c r="V2866" s="564">
        <f>IF((K2866-MAX(K$470:K2866))/MAX(K$470:K2866)&gt;V2865,V2865,(K2866-MAX(K$470:K2866))/MAX(K$470:K2866))</f>
        <v>-0.84885940676762139</v>
      </c>
      <c r="W2866" s="564">
        <f>IF((N2866-MAX(N$470:N2866))/MAX(N$470:N2866)&gt;W2865,W2865,(N2866-MAX(N$470:N2866))/MAX(N$470:N2866))</f>
        <v>-0.62788758315546067</v>
      </c>
      <c r="X2866" s="564">
        <f>IF((O2866-MAX(O$470:O2866))/MAX(O$470:O2866)&gt;X2865,X2865,(O2866-MAX(O$470:O2866))/MAX(O$470:O2866))</f>
        <v>-0.62788758315546067</v>
      </c>
    </row>
    <row r="2867" spans="1:24">
      <c r="A2867" s="799">
        <v>43269</v>
      </c>
      <c r="B2867">
        <v>6488.37</v>
      </c>
      <c r="C2867">
        <v>4881.2425890000004</v>
      </c>
      <c r="D2867">
        <v>1.2805679999999999</v>
      </c>
      <c r="E2867">
        <f>LN(D2867/参数实验室!$E$53)/参数实验室!$E$55</f>
        <v>-0.40121091679644405</v>
      </c>
      <c r="F2867">
        <f t="shared" si="388"/>
        <v>0.75230644815261771</v>
      </c>
      <c r="G2867">
        <f>LN(F2867/参数实验室!$E$58)/参数实验室!$E$59</f>
        <v>-0.33990953541249802</v>
      </c>
      <c r="H2867" s="856">
        <f>INDEX(神经网络!$G$10:$BO$70,MATCH(ROUND(G2867*2,1)/2,神经网络!$E$10:$E$70,0),MATCH(ROUND(E2867*2,1)/2,神经网络!$G$8:$BO$8,0))</f>
        <v>-0.67886450745175153</v>
      </c>
      <c r="I2867">
        <f t="shared" si="390"/>
        <v>572758.11834461079</v>
      </c>
      <c r="J2867">
        <f t="shared" si="391"/>
        <v>2589.0307649335605</v>
      </c>
      <c r="K2867">
        <f t="shared" si="392"/>
        <v>221.22491787358459</v>
      </c>
      <c r="L2867" s="4">
        <f>MIN(MAX(L2866*(1+MAX(MIN(((B2867-B2866)/B2866)/($K$7*卓尔金历!$N$40),0),-卓尔金历!$M$43))+MIN(MAX(((B2867-B2866)/B2866)/($K$7*卓尔金历!$N$40),0),卓尔金历!$M$43),0),1)</f>
        <v>0.2789063772704955</v>
      </c>
      <c r="M2867" s="4">
        <f>MIN(MAX(M2866*(1+MAX(MIN(((B2867-B2866)/B2866)/($K$7*30),0),-卓尔金历!$M$43))+MIN(MAX(((B2867-B2866)/B2866)/($K$7*7),0),卓尔金历!$M$43),0),1)</f>
        <v>0.91345077562028965</v>
      </c>
      <c r="N2867">
        <f t="shared" si="393"/>
        <v>217293.18526771371</v>
      </c>
      <c r="O2867">
        <f t="shared" si="394"/>
        <v>604891.19539104647</v>
      </c>
      <c r="P2867">
        <f t="shared" si="395"/>
        <v>-1.132914401345789E-2</v>
      </c>
      <c r="Q2867">
        <f t="shared" si="396"/>
        <v>2.7115996368359884E-2</v>
      </c>
      <c r="R2867">
        <f t="shared" si="397"/>
        <v>0.92356022038028818</v>
      </c>
      <c r="S2867">
        <f t="shared" si="389"/>
        <v>950.0026414359927</v>
      </c>
      <c r="T2867" s="564">
        <f>IF((I2867-MAX(I$470:I2867))/MAX(I$470:I2867)&gt;T2866,T2866,(I2867-MAX(I$470:I2867))/MAX(I$470:I2867))</f>
        <v>-0.91338805338419748</v>
      </c>
      <c r="U2867" s="564">
        <f>IF((J2867-MAX(J$470:J2867))/MAX(J$470:J2867)&gt;U2866,U2866,(J2867-MAX(J$470:J2867))/MAX(J$470:J2867))</f>
        <v>-0.8283551177402233</v>
      </c>
      <c r="V2867" s="564">
        <f>IF((K2867-MAX(K$470:K2867))/MAX(K$470:K2867)&gt;V2866,V2866,(K2867-MAX(K$470:K2867))/MAX(K$470:K2867))</f>
        <v>-0.84885940676762139</v>
      </c>
      <c r="W2867" s="564">
        <f>IF((N2867-MAX(N$470:N2867))/MAX(N$470:N2867)&gt;W2866,W2866,(N2867-MAX(N$470:N2867))/MAX(N$470:N2867))</f>
        <v>-0.62788758315546067</v>
      </c>
      <c r="X2867" s="564">
        <f>IF((O2867-MAX(O$470:O2867))/MAX(O$470:O2867)&gt;X2866,X2866,(O2867-MAX(O$470:O2867))/MAX(O$470:O2867))</f>
        <v>-0.62788758315546067</v>
      </c>
    </row>
    <row r="2868" spans="1:24">
      <c r="A2868" s="799">
        <v>43270</v>
      </c>
      <c r="B2868">
        <v>6712.75</v>
      </c>
      <c r="C2868">
        <v>4848.6066419999997</v>
      </c>
      <c r="D2868">
        <v>1.286646</v>
      </c>
      <c r="E2868">
        <f>LN(D2868/参数实验室!$E$53)/参数实验室!$E$55</f>
        <v>-0.3956246636718237</v>
      </c>
      <c r="F2868">
        <f t="shared" si="388"/>
        <v>0.7222981106104055</v>
      </c>
      <c r="G2868">
        <f>LN(F2868/参数实验室!$E$58)/参数实验室!$E$59</f>
        <v>-0.36127414044405576</v>
      </c>
      <c r="H2868" s="856">
        <f>INDEX(神经网络!$G$10:$BO$70,MATCH(ROUND(G2868*2,1)/2,神经网络!$E$10:$E$70,0),MATCH(ROUND(E2868*2,1)/2,神经网络!$G$8:$BO$8,0))</f>
        <v>-0.67886450745175153</v>
      </c>
      <c r="I2868">
        <f t="shared" si="390"/>
        <v>559311.81535489555</v>
      </c>
      <c r="J2868">
        <f t="shared" si="391"/>
        <v>2678.5643031004333</v>
      </c>
      <c r="K2868">
        <f t="shared" si="392"/>
        <v>208.8102998712755</v>
      </c>
      <c r="L2868" s="4">
        <f>MIN(MAX(L2867*(1+MAX(MIN(((B2868-B2867)/B2867)/($K$7*卓尔金历!$N$40),0),-卓尔金历!$M$43))+MIN(MAX(((B2868-B2867)/B2867)/($K$7*卓尔金历!$N$40),0),卓尔金历!$M$43),0),1)</f>
        <v>0.80728424083588113</v>
      </c>
      <c r="M2868" s="4">
        <f>MIN(MAX(M2867*(1+MAX(MIN(((B2868-B2867)/B2867)/($K$7*30),0),-卓尔金历!$M$43))+MIN(MAX(((B2868-B2867)/B2867)/($K$7*7),0),卓尔金历!$M$43),0),1)</f>
        <v>1</v>
      </c>
      <c r="N2868">
        <f t="shared" si="393"/>
        <v>215870.41038279043</v>
      </c>
      <c r="O2868">
        <f t="shared" si="394"/>
        <v>591919.5803547682</v>
      </c>
      <c r="P2868">
        <f t="shared" si="395"/>
        <v>3.4581874954726706E-2</v>
      </c>
      <c r="Q2868">
        <f t="shared" si="396"/>
        <v>2.8280559998929065E-2</v>
      </c>
      <c r="R2868">
        <f t="shared" si="397"/>
        <v>2.1661476578827592E-2</v>
      </c>
      <c r="S2868">
        <f t="shared" si="389"/>
        <v>929.40480187755907</v>
      </c>
      <c r="T2868" s="564">
        <f>IF((I2868-MAX(I$470:I2868))/MAX(I$470:I2868)&gt;T2867,T2867,(I2868-MAX(I$470:I2868))/MAX(I$470:I2868))</f>
        <v>-0.91338805338419748</v>
      </c>
      <c r="U2868" s="564">
        <f>IF((J2868-MAX(J$470:J2868))/MAX(J$470:J2868)&gt;U2867,U2867,(J2868-MAX(J$470:J2868))/MAX(J$470:J2868))</f>
        <v>-0.8283551177402233</v>
      </c>
      <c r="V2868" s="564">
        <f>IF((K2868-MAX(K$470:K2868))/MAX(K$470:K2868)&gt;V2867,V2867,(K2868-MAX(K$470:K2868))/MAX(K$470:K2868))</f>
        <v>-0.84885940676762139</v>
      </c>
      <c r="W2868" s="564">
        <f>IF((N2868-MAX(N$470:N2868))/MAX(N$470:N2868)&gt;W2867,W2867,(N2868-MAX(N$470:N2868))/MAX(N$470:N2868))</f>
        <v>-0.62788758315546067</v>
      </c>
      <c r="X2868" s="564">
        <f>IF((O2868-MAX(O$470:O2868))/MAX(O$470:O2868)&gt;X2867,X2867,(O2868-MAX(O$470:O2868))/MAX(O$470:O2868))</f>
        <v>-0.62788758315546067</v>
      </c>
    </row>
    <row r="2869" spans="1:24">
      <c r="A2869" s="799">
        <v>43271</v>
      </c>
      <c r="B2869">
        <v>6658.06</v>
      </c>
      <c r="C2869">
        <v>4856.5893329999999</v>
      </c>
      <c r="D2869">
        <v>1.291231</v>
      </c>
      <c r="E2869">
        <f>LN(D2869/参数实验室!$E$53)/参数实验室!$E$55</f>
        <v>-0.39142805202013192</v>
      </c>
      <c r="F2869">
        <f t="shared" si="388"/>
        <v>0.7294300942016142</v>
      </c>
      <c r="G2869">
        <f>LN(F2869/参数实验室!$E$58)/参数实验室!$E$59</f>
        <v>-0.35611714132300082</v>
      </c>
      <c r="H2869" s="856">
        <f>INDEX(神经网络!$G$10:$BO$70,MATCH(ROUND(G2869*2,1)/2,神经网络!$E$10:$E$70,0),MATCH(ROUND(E2869*2,1)/2,神经网络!$G$8:$BO$8,0))</f>
        <v>-0.67886450745175153</v>
      </c>
      <c r="I2869">
        <f t="shared" si="390"/>
        <v>562405.27565819048</v>
      </c>
      <c r="J2869">
        <f t="shared" si="391"/>
        <v>2656.7415506164939</v>
      </c>
      <c r="K2869">
        <f t="shared" si="392"/>
        <v>211.6898708222804</v>
      </c>
      <c r="L2869" s="4">
        <f>MIN(MAX(L2868*(1+MAX(MIN(((B2869-B2868)/B2868)/($K$7*卓尔金历!$N$40),0),-卓尔金历!$M$43))+MIN(MAX(((B2869-B2868)/B2868)/($K$7*卓尔金历!$N$40),0),卓尔金历!$M$43),0),1)</f>
        <v>0.70679258479909712</v>
      </c>
      <c r="M2869" s="4">
        <f>MIN(MAX(M2868*(1+MAX(MIN(((B2869-B2868)/B2868)/($K$7*30),0),-卓尔金历!$M$43))+MIN(MAX(((B2869-B2868)/B2868)/($K$7*7),0),卓尔金历!$M$43),0),1)</f>
        <v>0.93775943406703166</v>
      </c>
      <c r="N2869">
        <f t="shared" si="393"/>
        <v>216834.26192206118</v>
      </c>
      <c r="O2869">
        <f t="shared" si="394"/>
        <v>595193.38876414101</v>
      </c>
      <c r="P2869">
        <f t="shared" si="395"/>
        <v>-8.1471826002755352E-3</v>
      </c>
      <c r="Q2869">
        <f t="shared" si="396"/>
        <v>2.4823054811583218E-2</v>
      </c>
      <c r="R2869">
        <f t="shared" si="397"/>
        <v>1</v>
      </c>
      <c r="S2869">
        <f t="shared" si="389"/>
        <v>929.51615016014853</v>
      </c>
      <c r="T2869" s="564">
        <f>IF((I2869-MAX(I$470:I2869))/MAX(I$470:I2869)&gt;T2868,T2868,(I2869-MAX(I$470:I2869))/MAX(I$470:I2869))</f>
        <v>-0.91338805338419748</v>
      </c>
      <c r="U2869" s="564">
        <f>IF((J2869-MAX(J$470:J2869))/MAX(J$470:J2869)&gt;U2868,U2868,(J2869-MAX(J$470:J2869))/MAX(J$470:J2869))</f>
        <v>-0.8283551177402233</v>
      </c>
      <c r="V2869" s="564">
        <f>IF((K2869-MAX(K$470:K2869))/MAX(K$470:K2869)&gt;V2868,V2868,(K2869-MAX(K$470:K2869))/MAX(K$470:K2869))</f>
        <v>-0.84885940676762139</v>
      </c>
      <c r="W2869" s="564">
        <f>IF((N2869-MAX(N$470:N2869))/MAX(N$470:N2869)&gt;W2868,W2868,(N2869-MAX(N$470:N2869))/MAX(N$470:N2869))</f>
        <v>-0.62788758315546067</v>
      </c>
      <c r="X2869" s="564">
        <f>IF((O2869-MAX(O$470:O2869))/MAX(O$470:O2869)&gt;X2868,X2868,(O2869-MAX(O$470:O2869))/MAX(O$470:O2869))</f>
        <v>-0.62788758315546067</v>
      </c>
    </row>
    <row r="2870" spans="1:24">
      <c r="A2870" s="799">
        <v>43272</v>
      </c>
      <c r="B2870">
        <v>6773.49</v>
      </c>
      <c r="C2870">
        <v>4799.7090920000001</v>
      </c>
      <c r="D2870">
        <v>1.2846649999999999</v>
      </c>
      <c r="E2870">
        <f>LN(D2870/参数实验室!$E$53)/参数实验室!$E$55</f>
        <v>-0.39744248472785698</v>
      </c>
      <c r="F2870">
        <f t="shared" si="388"/>
        <v>0.70860207839680878</v>
      </c>
      <c r="G2870">
        <f>LN(F2870/参数实验室!$E$58)/参数实验室!$E$59</f>
        <v>-0.37132185372725468</v>
      </c>
      <c r="H2870" s="856">
        <f>INDEX(神经网络!$G$10:$BO$70,MATCH(ROUND(G2870*2,1)/2,神经网络!$E$10:$E$70,0),MATCH(ROUND(E2870*2,1)/2,神经网络!$G$8:$BO$8,0))</f>
        <v>-0.67886450745175153</v>
      </c>
      <c r="I2870">
        <f t="shared" si="390"/>
        <v>555786.10649283184</v>
      </c>
      <c r="J2870">
        <f t="shared" si="391"/>
        <v>2702.8011651570146</v>
      </c>
      <c r="K2870">
        <f t="shared" si="392"/>
        <v>205.63336795089194</v>
      </c>
      <c r="L2870" s="4">
        <f>MIN(MAX(L2869*(1+MAX(MIN(((B2870-B2869)/B2869)/($K$7*卓尔金历!$N$40),0),-卓尔金历!$M$43))+MIN(MAX(((B2870-B2869)/B2869)/($K$7*卓尔金历!$N$40),0),卓尔金历!$M$43),0),1)</f>
        <v>0.97168350349244803</v>
      </c>
      <c r="M2870" s="4">
        <f>MIN(MAX(M2869*(1+MAX(MIN(((B2870-B2869)/B2869)/($K$7*30),0),-卓尔金历!$M$43))+MIN(MAX(((B2870-B2869)/B2869)/($K$7*7),0),卓尔金历!$M$43),0),1)</f>
        <v>1</v>
      </c>
      <c r="N2870">
        <f t="shared" si="393"/>
        <v>215030.52171976888</v>
      </c>
      <c r="O2870">
        <f t="shared" si="394"/>
        <v>588624.32261730544</v>
      </c>
      <c r="P2870">
        <f t="shared" si="395"/>
        <v>1.7336881914551593E-2</v>
      </c>
      <c r="Q2870">
        <f t="shared" si="396"/>
        <v>2.5277115168023251E-2</v>
      </c>
      <c r="R2870">
        <f t="shared" si="397"/>
        <v>0.41124623087083806</v>
      </c>
      <c r="S2870">
        <f t="shared" si="389"/>
        <v>918.57630854390038</v>
      </c>
      <c r="T2870" s="564">
        <f>IF((I2870-MAX(I$470:I2870))/MAX(I$470:I2870)&gt;T2869,T2869,(I2870-MAX(I$470:I2870))/MAX(I$470:I2870))</f>
        <v>-0.91338805338419748</v>
      </c>
      <c r="U2870" s="564">
        <f>IF((J2870-MAX(J$470:J2870))/MAX(J$470:J2870)&gt;U2869,U2869,(J2870-MAX(J$470:J2870))/MAX(J$470:J2870))</f>
        <v>-0.8283551177402233</v>
      </c>
      <c r="V2870" s="564">
        <f>IF((K2870-MAX(K$470:K2870))/MAX(K$470:K2870)&gt;V2869,V2869,(K2870-MAX(K$470:K2870))/MAX(K$470:K2870))</f>
        <v>-0.84885940676762139</v>
      </c>
      <c r="W2870" s="564">
        <f>IF((N2870-MAX(N$470:N2870))/MAX(N$470:N2870)&gt;W2869,W2869,(N2870-MAX(N$470:N2870))/MAX(N$470:N2870))</f>
        <v>-0.62788758315546067</v>
      </c>
      <c r="X2870" s="564">
        <f>IF((O2870-MAX(O$470:O2870))/MAX(O$470:O2870)&gt;X2869,X2869,(O2870-MAX(O$470:O2870))/MAX(O$470:O2870))</f>
        <v>-0.62788758315546067</v>
      </c>
    </row>
    <row r="2871" spans="1:24">
      <c r="A2871" s="799">
        <v>43273</v>
      </c>
      <c r="B2871">
        <v>6659.2</v>
      </c>
      <c r="C2871">
        <v>4835.335873</v>
      </c>
      <c r="D2871">
        <v>1.1611359999999999</v>
      </c>
      <c r="E2871">
        <f>LN(D2871/参数实验室!$E$53)/参数实验室!$E$55</f>
        <v>-0.51671453221130159</v>
      </c>
      <c r="F2871">
        <f t="shared" si="388"/>
        <v>0.72611362821359926</v>
      </c>
      <c r="G2871">
        <f>LN(F2871/参数实验室!$E$58)/参数实验室!$E$59</f>
        <v>-0.35850891227157805</v>
      </c>
      <c r="H2871" s="856">
        <f>INDEX(神经网络!$G$10:$BO$70,MATCH(ROUND(G2871*2,1)/2,神经网络!$E$10:$E$70,0),MATCH(ROUND(E2871*2,1)/2,神经网络!$G$8:$BO$8,0))</f>
        <v>-0.73401713105440403</v>
      </c>
      <c r="I2871">
        <f t="shared" si="390"/>
        <v>562152.39811017434</v>
      </c>
      <c r="J2871">
        <f t="shared" si="391"/>
        <v>2657.1964406847269</v>
      </c>
      <c r="K2871">
        <f t="shared" si="392"/>
        <v>211.55846421550774</v>
      </c>
      <c r="L2871" s="4">
        <f>MIN(MAX(L2870*(1+MAX(MIN(((B2871-B2870)/B2870)/($K$7*卓尔金历!$N$40),0),-卓尔金历!$M$43))+MIN(MAX(((B2871-B2870)/B2870)/($K$7*卓尔金历!$N$40),0),卓尔金历!$M$43),0),1)</f>
        <v>0.72117836034270677</v>
      </c>
      <c r="M2871" s="4">
        <f>MIN(MAX(M2870*(1+MAX(MIN(((B2871-B2870)/B2870)/($K$7*30),0),-卓尔金历!$M$43))+MIN(MAX(((B2871-B2870)/B2870)/($K$7*7),0),卓尔金历!$M$43),0),1)</f>
        <v>0.87109735719019121</v>
      </c>
      <c r="N2871">
        <f t="shared" si="393"/>
        <v>217423.85830949227</v>
      </c>
      <c r="O2871">
        <f t="shared" si="394"/>
        <v>595366.76192455855</v>
      </c>
      <c r="P2871">
        <f t="shared" si="395"/>
        <v>-1.6873133347801498E-2</v>
      </c>
      <c r="Q2871">
        <f t="shared" si="396"/>
        <v>2.5369117013592263E-2</v>
      </c>
      <c r="R2871">
        <f t="shared" si="397"/>
        <v>0.4433953287931065</v>
      </c>
      <c r="S2871">
        <f t="shared" si="389"/>
        <v>922.9033993866841</v>
      </c>
      <c r="T2871" s="564">
        <f>IF((I2871-MAX(I$470:I2871))/MAX(I$470:I2871)&gt;T2870,T2870,(I2871-MAX(I$470:I2871))/MAX(I$470:I2871))</f>
        <v>-0.91338805338419748</v>
      </c>
      <c r="U2871" s="564">
        <f>IF((J2871-MAX(J$470:J2871))/MAX(J$470:J2871)&gt;U2870,U2870,(J2871-MAX(J$470:J2871))/MAX(J$470:J2871))</f>
        <v>-0.8283551177402233</v>
      </c>
      <c r="V2871" s="564">
        <f>IF((K2871-MAX(K$470:K2871))/MAX(K$470:K2871)&gt;V2870,V2870,(K2871-MAX(K$470:K2871))/MAX(K$470:K2871))</f>
        <v>-0.84885940676762139</v>
      </c>
      <c r="W2871" s="564">
        <f>IF((N2871-MAX(N$470:N2871))/MAX(N$470:N2871)&gt;W2870,W2870,(N2871-MAX(N$470:N2871))/MAX(N$470:N2871))</f>
        <v>-0.62788758315546067</v>
      </c>
      <c r="X2871" s="564">
        <f>IF((O2871-MAX(O$470:O2871))/MAX(O$470:O2871)&gt;X2870,X2870,(O2871-MAX(O$470:O2871))/MAX(O$470:O2871))</f>
        <v>-0.62788758315546067</v>
      </c>
    </row>
    <row r="2872" spans="1:24">
      <c r="A2872" s="799">
        <v>43274</v>
      </c>
      <c r="B2872">
        <v>6078.86</v>
      </c>
      <c r="C2872">
        <v>4784.7997379999997</v>
      </c>
      <c r="D2872">
        <v>1.183846</v>
      </c>
      <c r="E2872">
        <f>LN(D2872/参数实验室!$E$53)/参数实验室!$E$55</f>
        <v>-0.49386315524669261</v>
      </c>
      <c r="F2872">
        <f t="shared" si="388"/>
        <v>0.78712122634836135</v>
      </c>
      <c r="G2872">
        <f>LN(F2872/参数实验室!$E$58)/参数实验室!$E$59</f>
        <v>-0.31616591487033247</v>
      </c>
      <c r="H2872" s="856">
        <f>INDEX(神经网络!$G$10:$BO$70,MATCH(ROUND(G2872*2,1)/2,神经网络!$E$10:$E$70,0),MATCH(ROUND(E2872*2,1)/2,神经网络!$G$8:$BO$8,0))</f>
        <v>-0.669927870239578</v>
      </c>
      <c r="I2872">
        <f t="shared" si="390"/>
        <v>598112.4831808958</v>
      </c>
      <c r="J2872">
        <f t="shared" si="391"/>
        <v>2425.6254738438188</v>
      </c>
      <c r="K2872">
        <f t="shared" si="392"/>
        <v>246.58072304669699</v>
      </c>
      <c r="L2872" s="4">
        <f>MIN(MAX(L2871*(1+MAX(MIN(((B2872-B2871)/B2871)/($K$7*卓尔金历!$N$40),0),-卓尔金历!$M$43))+MIN(MAX(((B2872-B2871)/B2871)/($K$7*卓尔金历!$N$40),0),卓尔金历!$M$43),0),1)</f>
        <v>0</v>
      </c>
      <c r="M2872" s="4">
        <f>MIN(MAX(M2871*(1+MAX(MIN(((B2872-B2871)/B2871)/($K$7*30),0),-卓尔金历!$M$43))+MIN(MAX(((B2872-B2871)/B2871)/($K$7*7),0),卓尔金历!$M$43),0),1)</f>
        <v>0.29114378769470989</v>
      </c>
      <c r="N2872">
        <f t="shared" si="393"/>
        <v>227454.21847829662</v>
      </c>
      <c r="O2872">
        <f t="shared" si="394"/>
        <v>628542.2960842154</v>
      </c>
      <c r="P2872">
        <f t="shared" si="395"/>
        <v>-8.7148606439211948E-2</v>
      </c>
      <c r="Q2872">
        <f t="shared" si="396"/>
        <v>3.0742690563656395E-2</v>
      </c>
      <c r="R2872">
        <f t="shared" si="397"/>
        <v>0</v>
      </c>
      <c r="S2872">
        <f t="shared" si="389"/>
        <v>949.08004551120928</v>
      </c>
      <c r="T2872" s="564">
        <f>IF((I2872-MAX(I$470:I2872))/MAX(I$470:I2872)&gt;T2871,T2871,(I2872-MAX(I$470:I2872))/MAX(I$470:I2872))</f>
        <v>-0.91338805338419748</v>
      </c>
      <c r="U2872" s="564">
        <f>IF((J2872-MAX(J$470:J2872))/MAX(J$470:J2872)&gt;U2871,U2871,(J2872-MAX(J$470:J2872))/MAX(J$470:J2872))</f>
        <v>-0.8283551177402233</v>
      </c>
      <c r="V2872" s="564">
        <f>IF((K2872-MAX(K$470:K2872))/MAX(K$470:K2872)&gt;V2871,V2871,(K2872-MAX(K$470:K2872))/MAX(K$470:K2872))</f>
        <v>-0.84885940676762139</v>
      </c>
      <c r="W2872" s="564">
        <f>IF((N2872-MAX(N$470:N2872))/MAX(N$470:N2872)&gt;W2871,W2871,(N2872-MAX(N$470:N2872))/MAX(N$470:N2872))</f>
        <v>-0.62788758315546067</v>
      </c>
      <c r="X2872" s="564">
        <f>IF((O2872-MAX(O$470:O2872))/MAX(O$470:O2872)&gt;X2871,X2871,(O2872-MAX(O$470:O2872))/MAX(O$470:O2872))</f>
        <v>-0.62788758315546067</v>
      </c>
    </row>
    <row r="2873" spans="1:24">
      <c r="A2873" s="799">
        <v>43275</v>
      </c>
      <c r="B2873">
        <v>5893.52</v>
      </c>
      <c r="C2873">
        <v>4802.0250990000004</v>
      </c>
      <c r="D2873">
        <v>1.179637</v>
      </c>
      <c r="E2873">
        <f>LN(D2873/参数实验室!$E$53)/参数实验室!$E$55</f>
        <v>-0.49806507813185241</v>
      </c>
      <c r="F2873">
        <f t="shared" si="388"/>
        <v>0.81479745534078107</v>
      </c>
      <c r="G2873">
        <f>LN(F2873/参数实验室!$E$58)/参数实验室!$E$59</f>
        <v>-0.29802838216546151</v>
      </c>
      <c r="H2873" s="856">
        <f>INDEX(神经网络!$G$10:$BO$70,MATCH(ROUND(G2873*2,1)/2,神经网络!$E$10:$E$70,0),MATCH(ROUND(E2873*2,1)/2,神经网络!$G$8:$BO$8,0))</f>
        <v>-0.669927870239578</v>
      </c>
      <c r="I2873">
        <f t="shared" si="390"/>
        <v>610329.29627239448</v>
      </c>
      <c r="J2873">
        <f t="shared" si="391"/>
        <v>2351.6699253820657</v>
      </c>
      <c r="K2873">
        <f t="shared" si="392"/>
        <v>259.5301703206656</v>
      </c>
      <c r="L2873" s="4">
        <f>MIN(MAX(L2872*(1+MAX(MIN(((B2873-B2872)/B2872)/($K$7*卓尔金历!$N$40),0),-卓尔金历!$M$43))+MIN(MAX(((B2873-B2872)/B2872)/($K$7*卓尔金历!$N$40),0),卓尔金历!$M$43),0),1)</f>
        <v>0</v>
      </c>
      <c r="M2873" s="4">
        <f>MIN(MAX(M2872*(1+MAX(MIN(((B2873-B2872)/B2872)/($K$7*30),0),-卓尔金历!$M$43))+MIN(MAX(((B2873-B2872)/B2872)/($K$7*7),0),卓尔金历!$M$43),0),1)</f>
        <v>0.22332959003617736</v>
      </c>
      <c r="N2873">
        <f t="shared" si="393"/>
        <v>227454.21847829662</v>
      </c>
      <c r="O2873">
        <f t="shared" si="394"/>
        <v>632280.10502338118</v>
      </c>
      <c r="P2873">
        <f t="shared" si="395"/>
        <v>-3.0489269369585622E-2</v>
      </c>
      <c r="Q2873">
        <f t="shared" si="396"/>
        <v>3.0284998634138471E-2</v>
      </c>
      <c r="R2873">
        <f t="shared" si="397"/>
        <v>3.0536028900232652E-2</v>
      </c>
      <c r="S2873">
        <f t="shared" si="389"/>
        <v>949.08004551120928</v>
      </c>
      <c r="T2873" s="564">
        <f>IF((I2873-MAX(I$470:I2873))/MAX(I$470:I2873)&gt;T2872,T2872,(I2873-MAX(I$470:I2873))/MAX(I$470:I2873))</f>
        <v>-0.91338805338419748</v>
      </c>
      <c r="U2873" s="564">
        <f>IF((J2873-MAX(J$470:J2873))/MAX(J$470:J2873)&gt;U2872,U2872,(J2873-MAX(J$470:J2873))/MAX(J$470:J2873))</f>
        <v>-0.8283551177402233</v>
      </c>
      <c r="V2873" s="564">
        <f>IF((K2873-MAX(K$470:K2873))/MAX(K$470:K2873)&gt;V2872,V2872,(K2873-MAX(K$470:K2873))/MAX(K$470:K2873))</f>
        <v>-0.84885940676762139</v>
      </c>
      <c r="W2873" s="564">
        <f>IF((N2873-MAX(N$470:N2873))/MAX(N$470:N2873)&gt;W2872,W2872,(N2873-MAX(N$470:N2873))/MAX(N$470:N2873))</f>
        <v>-0.62788758315546067</v>
      </c>
      <c r="X2873" s="564">
        <f>IF((O2873-MAX(O$470:O2873))/MAX(O$470:O2873)&gt;X2872,X2872,(O2873-MAX(O$470:O2873))/MAX(O$470:O2873))</f>
        <v>-0.62788758315546067</v>
      </c>
    </row>
    <row r="2874" spans="1:24">
      <c r="A2874" s="799">
        <v>43276</v>
      </c>
      <c r="B2874">
        <v>6171.12</v>
      </c>
      <c r="C2874">
        <v>4819.1716420000002</v>
      </c>
      <c r="D2874">
        <v>1.1990719999999999</v>
      </c>
      <c r="E2874">
        <f>LN(D2874/参数实验室!$E$53)/参数实验室!$E$55</f>
        <v>-0.47878654131411341</v>
      </c>
      <c r="F2874">
        <f t="shared" si="388"/>
        <v>0.78092334000959318</v>
      </c>
      <c r="G2874">
        <f>LN(F2874/参数实验室!$E$58)/参数实验室!$E$59</f>
        <v>-0.32031503500902303</v>
      </c>
      <c r="H2874" s="856">
        <f>INDEX(神经网络!$G$10:$BO$70,MATCH(ROUND(G2874*2,1)/2,神经网络!$E$10:$E$70,0),MATCH(ROUND(E2874*2,1)/2,神经网络!$G$8:$BO$8,0))</f>
        <v>-0.669927870239578</v>
      </c>
      <c r="I2874">
        <f t="shared" si="390"/>
        <v>591070.15305855765</v>
      </c>
      <c r="J2874">
        <f t="shared" si="391"/>
        <v>2462.4396472606818</v>
      </c>
      <c r="K2874">
        <f t="shared" si="392"/>
        <v>240.03437148849036</v>
      </c>
      <c r="L2874" s="4">
        <f>MIN(MAX(L2873*(1+MAX(MIN(((B2874-B2873)/B2873)/($K$7*卓尔金历!$N$40),0),-卓尔金历!$M$43))+MIN(MAX(((B2874-B2873)/B2873)/($K$7*卓尔金历!$N$40),0),卓尔金历!$M$43),0),1)</f>
        <v>0.71968222848285501</v>
      </c>
      <c r="M2874" s="4">
        <f>MIN(MAX(M2873*(1+MAX(MIN(((B2874-B2873)/B2873)/($K$7*30),0),-卓尔金历!$M$43))+MIN(MAX(((B2874-B2873)/B2873)/($K$7*7),0),卓尔金历!$M$43),0),1)</f>
        <v>1</v>
      </c>
      <c r="N2874">
        <f t="shared" si="393"/>
        <v>227454.21847829662</v>
      </c>
      <c r="O2874">
        <f t="shared" si="394"/>
        <v>627824.27586448123</v>
      </c>
      <c r="P2874">
        <f t="shared" si="395"/>
        <v>4.7102580461252264E-2</v>
      </c>
      <c r="Q2874">
        <f t="shared" si="396"/>
        <v>3.2776776042590688E-2</v>
      </c>
      <c r="R2874">
        <f t="shared" si="397"/>
        <v>1.9303428894352066E-2</v>
      </c>
      <c r="S2874">
        <f t="shared" si="389"/>
        <v>948.16553616957458</v>
      </c>
      <c r="T2874" s="564">
        <f>IF((I2874-MAX(I$470:I2874))/MAX(I$470:I2874)&gt;T2873,T2873,(I2874-MAX(I$470:I2874))/MAX(I$470:I2874))</f>
        <v>-0.91338805338419748</v>
      </c>
      <c r="U2874" s="564">
        <f>IF((J2874-MAX(J$470:J2874))/MAX(J$470:J2874)&gt;U2873,U2873,(J2874-MAX(J$470:J2874))/MAX(J$470:J2874))</f>
        <v>-0.8283551177402233</v>
      </c>
      <c r="V2874" s="564">
        <f>IF((K2874-MAX(K$470:K2874))/MAX(K$470:K2874)&gt;V2873,V2873,(K2874-MAX(K$470:K2874))/MAX(K$470:K2874))</f>
        <v>-0.84885940676762139</v>
      </c>
      <c r="W2874" s="564">
        <f>IF((N2874-MAX(N$470:N2874))/MAX(N$470:N2874)&gt;W2873,W2873,(N2874-MAX(N$470:N2874))/MAX(N$470:N2874))</f>
        <v>-0.62788758315546067</v>
      </c>
      <c r="X2874" s="564">
        <f>IF((O2874-MAX(O$470:O2874))/MAX(O$470:O2874)&gt;X2873,X2873,(O2874-MAX(O$470:O2874))/MAX(O$470:O2874))</f>
        <v>-0.62788758315546067</v>
      </c>
    </row>
    <row r="2875" spans="1:24">
      <c r="A2875" s="799">
        <v>43277</v>
      </c>
      <c r="B2875">
        <v>6241.11</v>
      </c>
      <c r="C2875">
        <v>4876.7860819999996</v>
      </c>
      <c r="D2875">
        <v>1.171832</v>
      </c>
      <c r="E2875">
        <f>LN(D2875/参数实验室!$E$53)/参数实验室!$E$55</f>
        <v>-0.50589678493681933</v>
      </c>
      <c r="F2875">
        <f t="shared" si="388"/>
        <v>0.78139723254356996</v>
      </c>
      <c r="G2875">
        <f>LN(F2875/参数实验室!$E$58)/参数实验室!$E$59</f>
        <v>-0.31999663118788463</v>
      </c>
      <c r="H2875" s="856">
        <f>INDEX(神经网络!$G$10:$BO$70,MATCH(ROUND(G2875*2,1)/2,神经网络!$E$10:$E$70,0),MATCH(ROUND(E2875*2,1)/2,神经网络!$G$8:$BO$8,0))</f>
        <v>-0.669927870239578</v>
      </c>
      <c r="I2875">
        <f t="shared" si="390"/>
        <v>586579.19419333362</v>
      </c>
      <c r="J2875">
        <f t="shared" si="391"/>
        <v>2490.367503291965</v>
      </c>
      <c r="K2875">
        <f t="shared" si="392"/>
        <v>235.53920994308945</v>
      </c>
      <c r="L2875" s="4">
        <f>MIN(MAX(L2874*(1+MAX(MIN(((B2875-B2874)/B2874)/($K$7*卓尔金历!$N$40),0),-卓尔金历!$M$43))+MIN(MAX(((B2875-B2874)/B2874)/($K$7*卓尔金历!$N$40),0),卓尔金历!$M$43),0),1)</f>
        <v>0.89297006531335299</v>
      </c>
      <c r="M2875" s="4">
        <f>MIN(MAX(M2874*(1+MAX(MIN(((B2875-B2874)/B2874)/($K$7*30),0),-卓尔金历!$M$43))+MIN(MAX(((B2875-B2874)/B2874)/($K$7*7),0),卓尔金历!$M$43),0),1)</f>
        <v>1</v>
      </c>
      <c r="N2875">
        <f t="shared" si="393"/>
        <v>226210.46352879622</v>
      </c>
      <c r="O2875">
        <f t="shared" si="394"/>
        <v>623054.05868652626</v>
      </c>
      <c r="P2875">
        <f t="shared" si="395"/>
        <v>1.1341539299187147E-2</v>
      </c>
      <c r="Q2875">
        <f t="shared" si="396"/>
        <v>3.2884795866222581E-2</v>
      </c>
      <c r="R2875">
        <f t="shared" si="397"/>
        <v>1</v>
      </c>
      <c r="S2875">
        <f t="shared" si="389"/>
        <v>948.02647090276832</v>
      </c>
      <c r="T2875" s="564">
        <f>IF((I2875-MAX(I$470:I2875))/MAX(I$470:I2875)&gt;T2874,T2874,(I2875-MAX(I$470:I2875))/MAX(I$470:I2875))</f>
        <v>-0.91338805338419748</v>
      </c>
      <c r="U2875" s="564">
        <f>IF((J2875-MAX(J$470:J2875))/MAX(J$470:J2875)&gt;U2874,U2874,(J2875-MAX(J$470:J2875))/MAX(J$470:J2875))</f>
        <v>-0.8283551177402233</v>
      </c>
      <c r="V2875" s="564">
        <f>IF((K2875-MAX(K$470:K2875))/MAX(K$470:K2875)&gt;V2874,V2874,(K2875-MAX(K$470:K2875))/MAX(K$470:K2875))</f>
        <v>-0.84885940676762139</v>
      </c>
      <c r="W2875" s="564">
        <f>IF((N2875-MAX(N$470:N2875))/MAX(N$470:N2875)&gt;W2874,W2874,(N2875-MAX(N$470:N2875))/MAX(N$470:N2875))</f>
        <v>-0.62788758315546067</v>
      </c>
      <c r="X2875" s="564">
        <f>IF((O2875-MAX(O$470:O2875))/MAX(O$470:O2875)&gt;X2874,X2874,(O2875-MAX(O$470:O2875))/MAX(O$470:O2875))</f>
        <v>-0.62788758315546067</v>
      </c>
    </row>
    <row r="2876" spans="1:24">
      <c r="A2876" s="799">
        <v>43278</v>
      </c>
      <c r="B2876">
        <v>6090.15</v>
      </c>
      <c r="C2876">
        <v>4989.5405220000002</v>
      </c>
      <c r="D2876">
        <v>1.190005</v>
      </c>
      <c r="E2876">
        <f>LN(D2876/参数实验室!$E$53)/参数实验室!$E$55</f>
        <v>-0.48774135861019735</v>
      </c>
      <c r="F2876">
        <f t="shared" si="388"/>
        <v>0.81928039900495075</v>
      </c>
      <c r="G2876">
        <f>LN(F2876/参数实验室!$E$58)/参数实验室!$E$59</f>
        <v>-0.29514859647634706</v>
      </c>
      <c r="H2876" s="856">
        <f>INDEX(神经网络!$G$10:$BO$70,MATCH(ROUND(G2876*2,1)/2,神经网络!$E$10:$E$70,0),MATCH(ROUND(E2876*2,1)/2,神经网络!$G$8:$BO$8,0))</f>
        <v>-0.669927870239578</v>
      </c>
      <c r="I2876">
        <f t="shared" si="390"/>
        <v>596084.25173345057</v>
      </c>
      <c r="J2876">
        <f t="shared" si="391"/>
        <v>2430.130481624833</v>
      </c>
      <c r="K2876">
        <f t="shared" si="392"/>
        <v>245.2889901347589</v>
      </c>
      <c r="L2876" s="4">
        <f>MIN(MAX(L2875*(1+MAX(MIN(((B2876-B2875)/B2875)/($K$7*卓尔金历!$N$40),0),-卓尔金历!$M$43))+MIN(MAX(((B2876-B2875)/B2875)/($K$7*卓尔金历!$N$40),0),卓尔金历!$M$43),0),1)</f>
        <v>0.56295556012762882</v>
      </c>
      <c r="M2876" s="4">
        <f>MIN(MAX(M2875*(1+MAX(MIN(((B2876-B2875)/B2875)/($K$7*30),0),-卓尔金历!$M$43))+MIN(MAX(((B2876-B2875)/B2875)/($K$7*7),0),卓尔金历!$M$43),0),1)</f>
        <v>0.81521524740590356</v>
      </c>
      <c r="N2876">
        <f t="shared" si="393"/>
        <v>229483.70229288356</v>
      </c>
      <c r="O2876">
        <f t="shared" si="394"/>
        <v>633150.1629074798</v>
      </c>
      <c r="P2876">
        <f t="shared" si="395"/>
        <v>-2.418800501833809E-2</v>
      </c>
      <c r="Q2876">
        <f t="shared" si="396"/>
        <v>3.2099567885464808E-2</v>
      </c>
      <c r="R2876">
        <f t="shared" si="397"/>
        <v>0.3251764421072878</v>
      </c>
      <c r="S2876">
        <f t="shared" si="389"/>
        <v>963.38849915860658</v>
      </c>
      <c r="T2876" s="564">
        <f>IF((I2876-MAX(I$470:I2876))/MAX(I$470:I2876)&gt;T2875,T2875,(I2876-MAX(I$470:I2876))/MAX(I$470:I2876))</f>
        <v>-0.91338805338419748</v>
      </c>
      <c r="U2876" s="564">
        <f>IF((J2876-MAX(J$470:J2876))/MAX(J$470:J2876)&gt;U2875,U2875,(J2876-MAX(J$470:J2876))/MAX(J$470:J2876))</f>
        <v>-0.8283551177402233</v>
      </c>
      <c r="V2876" s="564">
        <f>IF((K2876-MAX(K$470:K2876))/MAX(K$470:K2876)&gt;V2875,V2875,(K2876-MAX(K$470:K2876))/MAX(K$470:K2876))</f>
        <v>-0.84885940676762139</v>
      </c>
      <c r="W2876" s="564">
        <f>IF((N2876-MAX(N$470:N2876))/MAX(N$470:N2876)&gt;W2875,W2875,(N2876-MAX(N$470:N2876))/MAX(N$470:N2876))</f>
        <v>-0.62788758315546067</v>
      </c>
      <c r="X2876" s="564">
        <f>IF((O2876-MAX(O$470:O2876))/MAX(O$470:O2876)&gt;X2875,X2875,(O2876-MAX(O$470:O2876))/MAX(O$470:O2876))</f>
        <v>-0.62788758315546067</v>
      </c>
    </row>
    <row r="2877" spans="1:24">
      <c r="A2877" s="799">
        <v>43279</v>
      </c>
      <c r="B2877">
        <v>6117.9</v>
      </c>
      <c r="C2877">
        <v>4933.6416200000003</v>
      </c>
      <c r="D2877">
        <v>1.137764</v>
      </c>
      <c r="E2877">
        <f>LN(D2877/参数实验室!$E$53)/参数实验室!$E$55</f>
        <v>-0.54070352073925754</v>
      </c>
      <c r="F2877">
        <f t="shared" si="388"/>
        <v>0.80642730675558616</v>
      </c>
      <c r="G2877">
        <f>LN(F2877/参数实验室!$E$58)/参数实验室!$E$59</f>
        <v>-0.30344792109963592</v>
      </c>
      <c r="H2877" s="856">
        <f>INDEX(神经网络!$G$10:$BO$70,MATCH(ROUND(G2877*2,1)/2,神经网络!$E$10:$E$70,0),MATCH(ROUND(E2877*2,1)/2,神经网络!$G$8:$BO$8,0))</f>
        <v>-0.69734249383370006</v>
      </c>
      <c r="I2877">
        <f t="shared" si="390"/>
        <v>594264.67367254756</v>
      </c>
      <c r="J2877">
        <f t="shared" si="391"/>
        <v>2441.2034635489381</v>
      </c>
      <c r="K2877">
        <f t="shared" si="392"/>
        <v>243.4310300414804</v>
      </c>
      <c r="L2877" s="4">
        <f>MIN(MAX(L2876*(1+MAX(MIN(((B2877-B2876)/B2876)/($K$7*卓尔金历!$N$40),0),-卓尔金历!$M$43))+MIN(MAX(((B2877-B2876)/B2876)/($K$7*卓尔金历!$N$40),0),卓尔金历!$M$43),0),1)</f>
        <v>0.63257508843433896</v>
      </c>
      <c r="M2877" s="4">
        <f>MIN(MAX(M2876*(1+MAX(MIN(((B2877-B2876)/B2876)/($K$7*30),0),-卓尔金历!$M$43))+MIN(MAX(((B2877-B2876)/B2876)/($K$7*7),0),卓尔金历!$M$43),0),1)</f>
        <v>0.9643999509202823</v>
      </c>
      <c r="N2877">
        <f t="shared" si="393"/>
        <v>229089.34579211634</v>
      </c>
      <c r="O2877">
        <f t="shared" si="394"/>
        <v>631574.57709851034</v>
      </c>
      <c r="P2877">
        <f t="shared" si="395"/>
        <v>4.556538016305017E-3</v>
      </c>
      <c r="Q2877">
        <f t="shared" si="396"/>
        <v>3.1970184636772397E-2</v>
      </c>
      <c r="R2877">
        <f t="shared" si="397"/>
        <v>1</v>
      </c>
      <c r="S2877">
        <f t="shared" si="389"/>
        <v>962.43222245445099</v>
      </c>
      <c r="T2877" s="564">
        <f>IF((I2877-MAX(I$470:I2877))/MAX(I$470:I2877)&gt;T2876,T2876,(I2877-MAX(I$470:I2877))/MAX(I$470:I2877))</f>
        <v>-0.91338805338419748</v>
      </c>
      <c r="U2877" s="564">
        <f>IF((J2877-MAX(J$470:J2877))/MAX(J$470:J2877)&gt;U2876,U2876,(J2877-MAX(J$470:J2877))/MAX(J$470:J2877))</f>
        <v>-0.8283551177402233</v>
      </c>
      <c r="V2877" s="564">
        <f>IF((K2877-MAX(K$470:K2877))/MAX(K$470:K2877)&gt;V2876,V2876,(K2877-MAX(K$470:K2877))/MAX(K$470:K2877))</f>
        <v>-0.84885940676762139</v>
      </c>
      <c r="W2877" s="564">
        <f>IF((N2877-MAX(N$470:N2877))/MAX(N$470:N2877)&gt;W2876,W2876,(N2877-MAX(N$470:N2877))/MAX(N$470:N2877))</f>
        <v>-0.62788758315546067</v>
      </c>
      <c r="X2877" s="564">
        <f>IF((O2877-MAX(O$470:O2877))/MAX(O$470:O2877)&gt;X2876,X2876,(O2877-MAX(O$470:O2877))/MAX(O$470:O2877))</f>
        <v>-0.62788758315546067</v>
      </c>
    </row>
    <row r="2878" spans="1:24">
      <c r="A2878" s="799">
        <v>43280</v>
      </c>
      <c r="B2878">
        <v>5905.97</v>
      </c>
      <c r="C2878">
        <v>5009.3157769999998</v>
      </c>
      <c r="D2878">
        <v>1.2083410000000001</v>
      </c>
      <c r="E2878">
        <f>LN(D2878/参数实验室!$E$53)/参数实验室!$E$55</f>
        <v>-0.46970194564823414</v>
      </c>
      <c r="F2878">
        <f t="shared" si="388"/>
        <v>0.84817833090923245</v>
      </c>
      <c r="G2878">
        <f>LN(F2878/参数实验室!$E$58)/参数实验室!$E$59</f>
        <v>-0.27695478469275797</v>
      </c>
      <c r="H2878" s="856">
        <f>INDEX(神经网络!$G$10:$BO$70,MATCH(ROUND(G2878*2,1)/2,神经网络!$E$10:$E$70,0),MATCH(ROUND(E2878*2,1)/2,神经网络!$G$8:$BO$8,0))</f>
        <v>-0.64617113922746461</v>
      </c>
      <c r="I2878">
        <f t="shared" si="390"/>
        <v>608620.10046948481</v>
      </c>
      <c r="J2878">
        <f t="shared" si="391"/>
        <v>2356.6378037588261</v>
      </c>
      <c r="K2878">
        <f t="shared" si="392"/>
        <v>258.25780249249107</v>
      </c>
      <c r="L2878" s="4">
        <f>MIN(MAX(L2877*(1+MAX(MIN(((B2878-B2877)/B2877)/($K$7*卓尔金历!$N$40),0),-卓尔金历!$M$43))+MIN(MAX(((B2878-B2877)/B2877)/($K$7*卓尔金历!$N$40),0),卓尔金历!$M$43),0),1)</f>
        <v>0.29776523753360662</v>
      </c>
      <c r="M2878" s="4">
        <f>MIN(MAX(M2877*(1+MAX(MIN(((B2878-B2877)/B2877)/($K$7*30),0),-卓尔金历!$M$43))+MIN(MAX(((B2878-B2877)/B2877)/($K$7*7),0),卓尔金历!$M$43),0),1)</f>
        <v>0.70918076059817614</v>
      </c>
      <c r="N2878">
        <f t="shared" si="393"/>
        <v>232590.0319039957</v>
      </c>
      <c r="O2878">
        <f t="shared" si="394"/>
        <v>646288.14555693569</v>
      </c>
      <c r="P2878">
        <f t="shared" si="395"/>
        <v>-3.4640971575213619E-2</v>
      </c>
      <c r="Q2878">
        <f t="shared" si="396"/>
        <v>3.2372001119389301E-2</v>
      </c>
      <c r="R2878">
        <f t="shared" si="397"/>
        <v>2.9804420590326373E-2</v>
      </c>
      <c r="S2878">
        <f t="shared" si="389"/>
        <v>985.68133337850281</v>
      </c>
      <c r="T2878" s="564">
        <f>IF((I2878-MAX(I$470:I2878))/MAX(I$470:I2878)&gt;T2877,T2877,(I2878-MAX(I$470:I2878))/MAX(I$470:I2878))</f>
        <v>-0.91338805338419748</v>
      </c>
      <c r="U2878" s="564">
        <f>IF((J2878-MAX(J$470:J2878))/MAX(J$470:J2878)&gt;U2877,U2877,(J2878-MAX(J$470:J2878))/MAX(J$470:J2878))</f>
        <v>-0.8283551177402233</v>
      </c>
      <c r="V2878" s="564">
        <f>IF((K2878-MAX(K$470:K2878))/MAX(K$470:K2878)&gt;V2877,V2877,(K2878-MAX(K$470:K2878))/MAX(K$470:K2878))</f>
        <v>-0.84885940676762139</v>
      </c>
      <c r="W2878" s="564">
        <f>IF((N2878-MAX(N$470:N2878))/MAX(N$470:N2878)&gt;W2877,W2877,(N2878-MAX(N$470:N2878))/MAX(N$470:N2878))</f>
        <v>-0.62788758315546067</v>
      </c>
      <c r="X2878" s="564">
        <f>IF((O2878-MAX(O$470:O2878))/MAX(O$470:O2878)&gt;X2877,X2877,(O2878-MAX(O$470:O2878))/MAX(O$470:O2878))</f>
        <v>-0.62788758315546067</v>
      </c>
    </row>
    <row r="2879" spans="1:24">
      <c r="A2879" s="799">
        <v>43281</v>
      </c>
      <c r="B2879">
        <v>6430.12</v>
      </c>
      <c r="C2879">
        <v>5106.3404300000002</v>
      </c>
      <c r="D2879">
        <v>1.238515</v>
      </c>
      <c r="E2879">
        <f>LN(D2879/参数实验室!$E$53)/参数实验室!$E$55</f>
        <v>-0.44060364233411642</v>
      </c>
      <c r="F2879">
        <f t="shared" si="388"/>
        <v>0.79412832575441827</v>
      </c>
      <c r="G2879">
        <f>LN(F2879/参数实验室!$E$58)/参数实验室!$E$59</f>
        <v>-0.31151424110764703</v>
      </c>
      <c r="H2879" s="856">
        <f>INDEX(神经网络!$G$10:$BO$70,MATCH(ROUND(G2879*2,1)/2,神经网络!$E$10:$E$70,0),MATCH(ROUND(E2879*2,1)/2,神经网络!$G$8:$BO$8,0))</f>
        <v>-0.64617113922746461</v>
      </c>
      <c r="I2879">
        <f t="shared" si="390"/>
        <v>573717.46659251757</v>
      </c>
      <c r="J2879">
        <f t="shared" si="391"/>
        <v>2565.7874785523295</v>
      </c>
      <c r="K2879">
        <f t="shared" si="392"/>
        <v>223.60287879969735</v>
      </c>
      <c r="L2879" s="4">
        <f>MIN(MAX(L2878*(1+MAX(MIN(((B2879-B2878)/B2878)/($K$7*卓尔金历!$N$40),0),-卓尔金历!$M$43))+MIN(MAX(((B2879-B2878)/B2878)/($K$7*卓尔金历!$N$40),0),卓尔金历!$M$43),0),1)</f>
        <v>1</v>
      </c>
      <c r="M2879" s="4">
        <f>MIN(MAX(M2878*(1+MAX(MIN(((B2879-B2878)/B2878)/($K$7*30),0),-卓尔金历!$M$43))+MIN(MAX(((B2879-B2878)/B2878)/($K$7*7),0),卓尔金历!$M$43),0),1)</f>
        <v>1</v>
      </c>
      <c r="N2879">
        <f t="shared" si="393"/>
        <v>228618.32672376474</v>
      </c>
      <c r="O2879">
        <f t="shared" si="394"/>
        <v>620003.92847929255</v>
      </c>
      <c r="P2879">
        <f t="shared" si="395"/>
        <v>8.8749180913550121E-2</v>
      </c>
      <c r="Q2879">
        <f t="shared" si="396"/>
        <v>3.8750955352285933E-2</v>
      </c>
      <c r="R2879">
        <f t="shared" si="397"/>
        <v>5.5466578606332565E-3</v>
      </c>
      <c r="S2879">
        <f t="shared" si="389"/>
        <v>983.9966079705963</v>
      </c>
      <c r="T2879" s="564">
        <f>IF((I2879-MAX(I$470:I2879))/MAX(I$470:I2879)&gt;T2878,T2878,(I2879-MAX(I$470:I2879))/MAX(I$470:I2879))</f>
        <v>-0.91338805338419748</v>
      </c>
      <c r="U2879" s="564">
        <f>IF((J2879-MAX(J$470:J2879))/MAX(J$470:J2879)&gt;U2878,U2878,(J2879-MAX(J$470:J2879))/MAX(J$470:J2879))</f>
        <v>-0.8283551177402233</v>
      </c>
      <c r="V2879" s="564">
        <f>IF((K2879-MAX(K$470:K2879))/MAX(K$470:K2879)&gt;V2878,V2878,(K2879-MAX(K$470:K2879))/MAX(K$470:K2879))</f>
        <v>-0.84885940676762139</v>
      </c>
      <c r="W2879" s="564">
        <f>IF((N2879-MAX(N$470:N2879))/MAX(N$470:N2879)&gt;W2878,W2878,(N2879-MAX(N$470:N2879))/MAX(N$470:N2879))</f>
        <v>-0.62788758315546067</v>
      </c>
      <c r="X2879" s="564">
        <f>IF((O2879-MAX(O$470:O2879))/MAX(O$470:O2879)&gt;X2878,X2878,(O2879-MAX(O$470:O2879))/MAX(O$470:O2879))</f>
        <v>-0.62788758315546067</v>
      </c>
    </row>
    <row r="2880" spans="1:24">
      <c r="A2880" s="799">
        <v>43282</v>
      </c>
      <c r="B2880">
        <v>6377.34</v>
      </c>
      <c r="C2880">
        <v>5171.9156919999996</v>
      </c>
      <c r="D2880">
        <v>1.2386060000000001</v>
      </c>
      <c r="E2880">
        <f>LN(D2880/参数实验室!$E$53)/参数实验室!$E$55</f>
        <v>-0.44051696304372251</v>
      </c>
      <c r="F2880">
        <f t="shared" si="388"/>
        <v>0.81098321431819531</v>
      </c>
      <c r="G2880">
        <f>LN(F2880/参数实验室!$E$58)/参数实验室!$E$59</f>
        <v>-0.30049110488364628</v>
      </c>
      <c r="H2880" s="856">
        <f>INDEX(神经网络!$G$10:$BO$70,MATCH(ROUND(G2880*2,1)/2,神经网络!$E$10:$E$70,0),MATCH(ROUND(E2880*2,1)/2,神经网络!$G$8:$BO$8,0))</f>
        <v>-0.64617113922746461</v>
      </c>
      <c r="I2880">
        <f t="shared" si="390"/>
        <v>576760.4244422795</v>
      </c>
      <c r="J2880">
        <f t="shared" si="391"/>
        <v>2544.7268664458693</v>
      </c>
      <c r="K2880">
        <f t="shared" si="392"/>
        <v>226.64924556238154</v>
      </c>
      <c r="L2880" s="4">
        <f>MIN(MAX(L2879*(1+MAX(MIN(((B2880-B2879)/B2879)/($K$7*卓尔金历!$N$40),0),-卓尔金历!$M$43))+MIN(MAX(((B2880-B2879)/B2879)/($K$7*卓尔金历!$N$40),0),卓尔金历!$M$43),0),1)</f>
        <v>0.87458589406994669</v>
      </c>
      <c r="M2880" s="4">
        <f>MIN(MAX(M2879*(1+MAX(MIN(((B2880-B2879)/B2879)/($K$7*30),0),-卓尔金历!$M$43))+MIN(MAX(((B2880-B2879)/B2879)/($K$7*7),0),卓尔金历!$M$43),0),1)</f>
        <v>0.93729294703497334</v>
      </c>
      <c r="N2880">
        <f t="shared" si="393"/>
        <v>229830.90255143712</v>
      </c>
      <c r="O2880">
        <f t="shared" si="394"/>
        <v>623292.38652860851</v>
      </c>
      <c r="P2880">
        <f t="shared" si="395"/>
        <v>-8.2082449472171189E-3</v>
      </c>
      <c r="Q2880">
        <f t="shared" si="396"/>
        <v>3.78909166472697E-2</v>
      </c>
      <c r="R2880">
        <f t="shared" si="397"/>
        <v>1</v>
      </c>
      <c r="S2880">
        <f t="shared" si="389"/>
        <v>984.02555625586785</v>
      </c>
      <c r="T2880" s="564">
        <f>IF((I2880-MAX(I$470:I2880))/MAX(I$470:I2880)&gt;T2879,T2879,(I2880-MAX(I$470:I2880))/MAX(I$470:I2880))</f>
        <v>-0.91338805338419748</v>
      </c>
      <c r="U2880" s="564">
        <f>IF((J2880-MAX(J$470:J2880))/MAX(J$470:J2880)&gt;U2879,U2879,(J2880-MAX(J$470:J2880))/MAX(J$470:J2880))</f>
        <v>-0.8283551177402233</v>
      </c>
      <c r="V2880" s="564">
        <f>IF((K2880-MAX(K$470:K2880))/MAX(K$470:K2880)&gt;V2879,V2879,(K2880-MAX(K$470:K2880))/MAX(K$470:K2880))</f>
        <v>-0.84885940676762139</v>
      </c>
      <c r="W2880" s="564">
        <f>IF((N2880-MAX(N$470:N2880))/MAX(N$470:N2880)&gt;W2879,W2879,(N2880-MAX(N$470:N2880))/MAX(N$470:N2880))</f>
        <v>-0.62788758315546067</v>
      </c>
      <c r="X2880" s="564">
        <f>IF((O2880-MAX(O$470:O2880))/MAX(O$470:O2880)&gt;X2879,X2879,(O2880-MAX(O$470:O2880))/MAX(O$470:O2880))</f>
        <v>-0.62788758315546067</v>
      </c>
    </row>
    <row r="2881" spans="1:24">
      <c r="A2881" s="799">
        <v>43283</v>
      </c>
      <c r="B2881">
        <v>6341.27</v>
      </c>
      <c r="C2881">
        <v>5211.0644339999999</v>
      </c>
      <c r="D2881">
        <v>1.2863340000000001</v>
      </c>
      <c r="E2881">
        <f>LN(D2881/参数实验室!$E$53)/参数实验室!$E$55</f>
        <v>-0.39591077783821688</v>
      </c>
      <c r="F2881">
        <f t="shared" si="388"/>
        <v>0.82176984011089249</v>
      </c>
      <c r="G2881">
        <f>LN(F2881/参数实验室!$E$58)/参数实验室!$E$59</f>
        <v>-0.29355620862546755</v>
      </c>
      <c r="H2881" s="856">
        <f>INDEX(神经网络!$G$10:$BO$70,MATCH(ROUND(G2881*2,1)/2,神经网络!$E$10:$E$70,0),MATCH(ROUND(E2881*2,1)/2,神经网络!$G$8:$BO$8,0))</f>
        <v>-0.61630412378541077</v>
      </c>
      <c r="I2881">
        <f t="shared" si="390"/>
        <v>578868.32238635502</v>
      </c>
      <c r="J2881">
        <f t="shared" si="391"/>
        <v>2530.333985076411</v>
      </c>
      <c r="K2881">
        <f t="shared" si="392"/>
        <v>228.77150834650564</v>
      </c>
      <c r="L2881" s="4">
        <f>MIN(MAX(L2880*(1+MAX(MIN(((B2881-B2880)/B2880)/($K$7*卓尔金历!$N$40),0),-卓尔金历!$M$43))+MIN(MAX(((B2881-B2880)/B2880)/($K$7*卓尔金历!$N$40),0),卓尔金历!$M$43),0),1)</f>
        <v>0.79900620207451412</v>
      </c>
      <c r="M2881" s="4">
        <f>MIN(MAX(M2880*(1+MAX(MIN(((B2881-B2880)/B2880)/($K$7*30),0),-卓尔金历!$M$43))+MIN(MAX(((B2881-B2880)/B2880)/($K$7*7),0),卓尔金历!$M$43),0),1)</f>
        <v>0.89679360172954303</v>
      </c>
      <c r="N2881">
        <f t="shared" si="393"/>
        <v>230565.52639237832</v>
      </c>
      <c r="O2881">
        <f t="shared" si="394"/>
        <v>625427.50166113907</v>
      </c>
      <c r="P2881">
        <f t="shared" si="395"/>
        <v>-5.6559631445084798E-3</v>
      </c>
      <c r="Q2881">
        <f t="shared" si="396"/>
        <v>3.4485093195397221E-2</v>
      </c>
      <c r="R2881">
        <f t="shared" si="397"/>
        <v>1</v>
      </c>
      <c r="S2881">
        <f t="shared" si="389"/>
        <v>987.6218942829704</v>
      </c>
      <c r="T2881" s="564">
        <f>IF((I2881-MAX(I$470:I2881))/MAX(I$470:I2881)&gt;T2880,T2880,(I2881-MAX(I$470:I2881))/MAX(I$470:I2881))</f>
        <v>-0.91338805338419748</v>
      </c>
      <c r="U2881" s="564">
        <f>IF((J2881-MAX(J$470:J2881))/MAX(J$470:J2881)&gt;U2880,U2880,(J2881-MAX(J$470:J2881))/MAX(J$470:J2881))</f>
        <v>-0.8283551177402233</v>
      </c>
      <c r="V2881" s="564">
        <f>IF((K2881-MAX(K$470:K2881))/MAX(K$470:K2881)&gt;V2880,V2880,(K2881-MAX(K$470:K2881))/MAX(K$470:K2881))</f>
        <v>-0.84885940676762139</v>
      </c>
      <c r="W2881" s="564">
        <f>IF((N2881-MAX(N$470:N2881))/MAX(N$470:N2881)&gt;W2880,W2880,(N2881-MAX(N$470:N2881))/MAX(N$470:N2881))</f>
        <v>-0.62788758315546067</v>
      </c>
      <c r="X2881" s="564">
        <f>IF((O2881-MAX(O$470:O2881))/MAX(O$470:O2881)&gt;X2880,X2880,(O2881-MAX(O$470:O2881))/MAX(O$470:O2881))</f>
        <v>-0.62788758315546067</v>
      </c>
    </row>
    <row r="2882" spans="1:24">
      <c r="A2882" s="799">
        <v>43284</v>
      </c>
      <c r="B2882">
        <v>6658.22</v>
      </c>
      <c r="C2882">
        <v>5376.6763229999997</v>
      </c>
      <c r="D2882">
        <v>1.2657940000000001</v>
      </c>
      <c r="E2882">
        <f>LN(D2882/参数实验室!$E$53)/参数实验室!$E$55</f>
        <v>-0.41490093417037688</v>
      </c>
      <c r="F2882">
        <f t="shared" si="388"/>
        <v>0.80752458209551492</v>
      </c>
      <c r="G2882">
        <f>LN(F2882/参数实验室!$E$58)/参数实验室!$E$59</f>
        <v>-0.30273425733896719</v>
      </c>
      <c r="H2882" s="856">
        <f>INDEX(神经网络!$G$10:$BO$70,MATCH(ROUND(G2882*2,1)/2,神经网络!$E$10:$E$70,0),MATCH(ROUND(E2882*2,1)/2,神经网络!$G$8:$BO$8,0))</f>
        <v>-0.61630412378541077</v>
      </c>
      <c r="I2882">
        <f t="shared" si="390"/>
        <v>561036.76116918749</v>
      </c>
      <c r="J2882">
        <f t="shared" si="391"/>
        <v>2656.805394836596</v>
      </c>
      <c r="K2882">
        <f t="shared" si="392"/>
        <v>211.16968606716242</v>
      </c>
      <c r="L2882" s="4">
        <f>MIN(MAX(L2881*(1+MAX(MIN(((B2882-B2881)/B2881)/($K$7*卓尔金历!$N$40),0),-卓尔金历!$M$43))+MIN(MAX(((B2882-B2881)/B2881)/($K$7*卓尔金历!$N$40),0),卓尔金历!$M$43),0),1)</f>
        <v>1</v>
      </c>
      <c r="M2882" s="4">
        <f>MIN(MAX(M2881*(1+MAX(MIN(((B2882-B2881)/B2881)/($K$7*30),0),-卓尔金历!$M$43))+MIN(MAX(((B2882-B2881)/B2881)/($K$7*7),0),卓尔金历!$M$43),0),1)</f>
        <v>1</v>
      </c>
      <c r="N2882">
        <f t="shared" si="393"/>
        <v>224890.68002876287</v>
      </c>
      <c r="O2882">
        <f t="shared" si="394"/>
        <v>608150.07492026128</v>
      </c>
      <c r="P2882">
        <f t="shared" si="395"/>
        <v>4.9982101377168894E-2</v>
      </c>
      <c r="Q2882">
        <f t="shared" si="396"/>
        <v>3.6108757528290535E-2</v>
      </c>
      <c r="R2882">
        <f t="shared" si="397"/>
        <v>2.3272970633630225E-2</v>
      </c>
      <c r="S2882">
        <f t="shared" si="389"/>
        <v>957.19901642584057</v>
      </c>
      <c r="T2882" s="564">
        <f>IF((I2882-MAX(I$470:I2882))/MAX(I$470:I2882)&gt;T2881,T2881,(I2882-MAX(I$470:I2882))/MAX(I$470:I2882))</f>
        <v>-0.91338805338419748</v>
      </c>
      <c r="U2882" s="564">
        <f>IF((J2882-MAX(J$470:J2882))/MAX(J$470:J2882)&gt;U2881,U2881,(J2882-MAX(J$470:J2882))/MAX(J$470:J2882))</f>
        <v>-0.8283551177402233</v>
      </c>
      <c r="V2882" s="564">
        <f>IF((K2882-MAX(K$470:K2882))/MAX(K$470:K2882)&gt;V2881,V2881,(K2882-MAX(K$470:K2882))/MAX(K$470:K2882))</f>
        <v>-0.84885940676762139</v>
      </c>
      <c r="W2882" s="564">
        <f>IF((N2882-MAX(N$470:N2882))/MAX(N$470:N2882)&gt;W2881,W2881,(N2882-MAX(N$470:N2882))/MAX(N$470:N2882))</f>
        <v>-0.62788758315546067</v>
      </c>
      <c r="X2882" s="564">
        <f>IF((O2882-MAX(O$470:O2882))/MAX(O$470:O2882)&gt;X2881,X2881,(O2882-MAX(O$470:O2882))/MAX(O$470:O2882))</f>
        <v>-0.62788758315546067</v>
      </c>
    </row>
    <row r="2883" spans="1:24">
      <c r="A2883" s="799">
        <v>43285</v>
      </c>
      <c r="B2883">
        <v>6497.39</v>
      </c>
      <c r="C2883">
        <v>5557.0280489999996</v>
      </c>
      <c r="D2883">
        <v>1.281377</v>
      </c>
      <c r="E2883">
        <f>LN(D2883/参数实验室!$E$53)/参数实验室!$E$55</f>
        <v>-0.4004658419364478</v>
      </c>
      <c r="F2883">
        <f t="shared" si="388"/>
        <v>0.8552708162816145</v>
      </c>
      <c r="G2883">
        <f>LN(F2883/参数实验室!$E$58)/参数实验室!$E$59</f>
        <v>-0.27258419207454915</v>
      </c>
      <c r="H2883" s="856">
        <f>INDEX(神经网络!$G$10:$BO$70,MATCH(ROUND(G2883*2,1)/2,神经网络!$E$10:$E$70,0),MATCH(ROUND(E2883*2,1)/2,神经网络!$G$8:$BO$8,0))</f>
        <v>-0.54697219397271091</v>
      </c>
      <c r="I2883">
        <f t="shared" si="390"/>
        <v>569388.85401296453</v>
      </c>
      <c r="J2883">
        <f t="shared" si="391"/>
        <v>2592.6299828418632</v>
      </c>
      <c r="K2883">
        <f t="shared" si="392"/>
        <v>219.61824779517497</v>
      </c>
      <c r="L2883" s="4">
        <f>MIN(MAX(L2882*(1+MAX(MIN(((B2883-B2882)/B2882)/($K$7*卓尔金历!$N$40),0),-卓尔金历!$M$43))+MIN(MAX(((B2883-B2882)/B2882)/($K$7*卓尔金历!$N$40),0),卓尔金历!$M$43),0),1)</f>
        <v>0.63093318289353229</v>
      </c>
      <c r="M2883" s="4">
        <f>MIN(MAX(M2882*(1+MAX(MIN(((B2883-B2882)/B2882)/($K$7*30),0),-卓尔金历!$M$43))+MIN(MAX(((B2883-B2882)/B2882)/($K$7*7),0),卓尔金历!$M$43),0),1)</f>
        <v>0.81546659144676614</v>
      </c>
      <c r="N2883">
        <f t="shared" si="393"/>
        <v>228238.60296234398</v>
      </c>
      <c r="O2883">
        <f t="shared" si="394"/>
        <v>617203.53850809962</v>
      </c>
      <c r="P2883">
        <f t="shared" si="395"/>
        <v>-2.4155104517423562E-2</v>
      </c>
      <c r="Q2883">
        <f t="shared" si="396"/>
        <v>3.5428882455704226E-2</v>
      </c>
      <c r="R2883">
        <f t="shared" si="397"/>
        <v>0.43297120566217023</v>
      </c>
      <c r="S2883">
        <f t="shared" si="389"/>
        <v>957.53064967036846</v>
      </c>
      <c r="T2883" s="564">
        <f>IF((I2883-MAX(I$470:I2883))/MAX(I$470:I2883)&gt;T2882,T2882,(I2883-MAX(I$470:I2883))/MAX(I$470:I2883))</f>
        <v>-0.91338805338419748</v>
      </c>
      <c r="U2883" s="564">
        <f>IF((J2883-MAX(J$470:J2883))/MAX(J$470:J2883)&gt;U2882,U2882,(J2883-MAX(J$470:J2883))/MAX(J$470:J2883))</f>
        <v>-0.8283551177402233</v>
      </c>
      <c r="V2883" s="564">
        <f>IF((K2883-MAX(K$470:K2883))/MAX(K$470:K2883)&gt;V2882,V2882,(K2883-MAX(K$470:K2883))/MAX(K$470:K2883))</f>
        <v>-0.84885940676762139</v>
      </c>
      <c r="W2883" s="564">
        <f>IF((N2883-MAX(N$470:N2883))/MAX(N$470:N2883)&gt;W2882,W2882,(N2883-MAX(N$470:N2883))/MAX(N$470:N2883))</f>
        <v>-0.62788758315546067</v>
      </c>
      <c r="X2883" s="564">
        <f>IF((O2883-MAX(O$470:O2883))/MAX(O$470:O2883)&gt;X2882,X2882,(O2883-MAX(O$470:O2883))/MAX(O$470:O2883))</f>
        <v>-0.62788758315546067</v>
      </c>
    </row>
    <row r="2884" spans="1:24">
      <c r="A2884" s="799">
        <v>43286</v>
      </c>
      <c r="B2884">
        <v>6685.24</v>
      </c>
      <c r="C2884">
        <v>5702.8962549999997</v>
      </c>
      <c r="D2884">
        <v>1.273245</v>
      </c>
      <c r="E2884">
        <f>LN(D2884/参数实验室!$E$53)/参数实验室!$E$55</f>
        <v>-0.40797676588913734</v>
      </c>
      <c r="F2884">
        <f t="shared" si="388"/>
        <v>0.85305781916580403</v>
      </c>
      <c r="G2884">
        <f>LN(F2884/参数实验室!$E$58)/参数实验室!$E$59</f>
        <v>-0.27394400201880342</v>
      </c>
      <c r="H2884" s="856">
        <f>INDEX(神经网络!$G$10:$BO$70,MATCH(ROUND(G2884*2,1)/2,神经网络!$E$10:$E$70,0),MATCH(ROUND(E2884*2,1)/2,神经网络!$G$8:$BO$8,0))</f>
        <v>-0.54697219397271091</v>
      </c>
      <c r="I2884">
        <f t="shared" si="390"/>
        <v>560384.6262058646</v>
      </c>
      <c r="J2884">
        <f t="shared" si="391"/>
        <v>2667.5870875064811</v>
      </c>
      <c r="K2884">
        <f t="shared" si="392"/>
        <v>210.07172692895378</v>
      </c>
      <c r="L2884" s="4">
        <f>MIN(MAX(L2883*(1+MAX(MIN(((B2884-B2883)/B2883)/($K$7*卓尔金历!$N$40),0),-卓尔金历!$M$43))+MIN(MAX(((B2884-B2883)/B2883)/($K$7*卓尔金历!$N$40),0),卓尔金历!$M$43),0),1)</f>
        <v>1</v>
      </c>
      <c r="M2884" s="4">
        <f>MIN(MAX(M2883*(1+MAX(MIN(((B2884-B2883)/B2883)/($K$7*30),0),-卓尔金历!$M$43))+MIN(MAX(((B2884-B2883)/B2883)/($K$7*7),0),卓尔金历!$M$43),0),1)</f>
        <v>1</v>
      </c>
      <c r="N2884">
        <f t="shared" si="393"/>
        <v>225961.35678320599</v>
      </c>
      <c r="O2884">
        <f t="shared" si="394"/>
        <v>609244.28947672015</v>
      </c>
      <c r="P2884">
        <f t="shared" si="395"/>
        <v>2.8911609123047785E-2</v>
      </c>
      <c r="Q2884">
        <f t="shared" si="396"/>
        <v>3.5839739068615858E-2</v>
      </c>
      <c r="R2884">
        <f t="shared" si="397"/>
        <v>0.2578535991315602</v>
      </c>
      <c r="S2884">
        <f t="shared" si="389"/>
        <v>950.9744946805007</v>
      </c>
      <c r="T2884" s="564">
        <f>IF((I2884-MAX(I$470:I2884))/MAX(I$470:I2884)&gt;T2883,T2883,(I2884-MAX(I$470:I2884))/MAX(I$470:I2884))</f>
        <v>-0.91338805338419748</v>
      </c>
      <c r="U2884" s="564">
        <f>IF((J2884-MAX(J$470:J2884))/MAX(J$470:J2884)&gt;U2883,U2883,(J2884-MAX(J$470:J2884))/MAX(J$470:J2884))</f>
        <v>-0.8283551177402233</v>
      </c>
      <c r="V2884" s="564">
        <f>IF((K2884-MAX(K$470:K2884))/MAX(K$470:K2884)&gt;V2883,V2883,(K2884-MAX(K$470:K2884))/MAX(K$470:K2884))</f>
        <v>-0.84885940676762139</v>
      </c>
      <c r="W2884" s="564">
        <f>IF((N2884-MAX(N$470:N2884))/MAX(N$470:N2884)&gt;W2883,W2883,(N2884-MAX(N$470:N2884))/MAX(N$470:N2884))</f>
        <v>-0.62788758315546067</v>
      </c>
      <c r="X2884" s="564">
        <f>IF((O2884-MAX(O$470:O2884))/MAX(O$470:O2884)&gt;X2883,X2883,(O2884-MAX(O$470:O2884))/MAX(O$470:O2884))</f>
        <v>-0.62788758315546067</v>
      </c>
    </row>
    <row r="2885" spans="1:24">
      <c r="A2885" s="799">
        <v>43287</v>
      </c>
      <c r="B2885">
        <v>6559.07</v>
      </c>
      <c r="C2885">
        <v>5655.1476350000003</v>
      </c>
      <c r="D2885">
        <v>1.286613</v>
      </c>
      <c r="E2885">
        <f>LN(D2885/参数实验室!$E$53)/参数实验室!$E$55</f>
        <v>-0.39565492246586897</v>
      </c>
      <c r="F2885">
        <f t="shared" ref="F2885:F2948" si="398">C2885/B2885</f>
        <v>0.86218741910057384</v>
      </c>
      <c r="G2885">
        <f>LN(F2885/参数实验室!$E$58)/参数实验室!$E$59</f>
        <v>-0.26835675119133506</v>
      </c>
      <c r="H2885" s="856">
        <f>INDEX(神经网络!$G$10:$BO$70,MATCH(ROUND(G2885*2,1)/2,神经网络!$E$10:$E$70,0),MATCH(ROUND(E2885*2,1)/2,神经网络!$G$8:$BO$8,0))</f>
        <v>-0.54697219397271091</v>
      </c>
      <c r="I2885">
        <f t="shared" si="390"/>
        <v>566169.4556785468</v>
      </c>
      <c r="J2885">
        <f t="shared" si="391"/>
        <v>2617.2419296915496</v>
      </c>
      <c r="K2885">
        <f t="shared" si="392"/>
        <v>216.3229349398631</v>
      </c>
      <c r="L2885" s="4">
        <f>MIN(MAX(L2884*(1+MAX(MIN(((B2885-B2884)/B2884)/($K$7*卓尔金历!$N$40),0),-卓尔金历!$M$43))+MIN(MAX(((B2885-B2884)/B2884)/($K$7*卓尔金历!$N$40),0),卓尔金历!$M$43),0),1)</f>
        <v>0.71163989270266081</v>
      </c>
      <c r="M2885" s="4">
        <f>MIN(MAX(M2884*(1+MAX(MIN(((B2885-B2884)/B2884)/($K$7*30),0),-卓尔金历!$M$43))+MIN(MAX(((B2885-B2884)/B2884)/($K$7*7),0),卓尔金历!$M$43),0),1)</f>
        <v>0.85581994635133041</v>
      </c>
      <c r="N2885">
        <f t="shared" si="393"/>
        <v>228293.94739201141</v>
      </c>
      <c r="O2885">
        <f t="shared" si="394"/>
        <v>615533.49542030634</v>
      </c>
      <c r="P2885">
        <f t="shared" si="395"/>
        <v>-1.8872920044755322E-2</v>
      </c>
      <c r="Q2885">
        <f t="shared" si="396"/>
        <v>3.5978983239131047E-2</v>
      </c>
      <c r="R2885">
        <f t="shared" si="397"/>
        <v>0.70417066146822194</v>
      </c>
      <c r="S2885">
        <f t="shared" si="389"/>
        <v>953.50581098171858</v>
      </c>
      <c r="T2885" s="564">
        <f>IF((I2885-MAX(I$470:I2885))/MAX(I$470:I2885)&gt;T2884,T2884,(I2885-MAX(I$470:I2885))/MAX(I$470:I2885))</f>
        <v>-0.91338805338419748</v>
      </c>
      <c r="U2885" s="564">
        <f>IF((J2885-MAX(J$470:J2885))/MAX(J$470:J2885)&gt;U2884,U2884,(J2885-MAX(J$470:J2885))/MAX(J$470:J2885))</f>
        <v>-0.8283551177402233</v>
      </c>
      <c r="V2885" s="564">
        <f>IF((K2885-MAX(K$470:K2885))/MAX(K$470:K2885)&gt;V2884,V2884,(K2885-MAX(K$470:K2885))/MAX(K$470:K2885))</f>
        <v>-0.84885940676762139</v>
      </c>
      <c r="W2885" s="564">
        <f>IF((N2885-MAX(N$470:N2885))/MAX(N$470:N2885)&gt;W2884,W2884,(N2885-MAX(N$470:N2885))/MAX(N$470:N2885))</f>
        <v>-0.62788758315546067</v>
      </c>
      <c r="X2885" s="564">
        <f>IF((O2885-MAX(O$470:O2885))/MAX(O$470:O2885)&gt;X2884,X2884,(O2885-MAX(O$470:O2885))/MAX(O$470:O2885))</f>
        <v>-0.62788758315546067</v>
      </c>
    </row>
    <row r="2886" spans="1:24">
      <c r="A2886" s="799">
        <v>43288</v>
      </c>
      <c r="B2886">
        <v>6639.77</v>
      </c>
      <c r="C2886">
        <v>5607.8900709999998</v>
      </c>
      <c r="D2886">
        <v>1.313782</v>
      </c>
      <c r="E2886">
        <f>LN(D2886/参数实验室!$E$53)/参数实验室!$E$55</f>
        <v>-0.37100183532552461</v>
      </c>
      <c r="F2886">
        <f t="shared" si="398"/>
        <v>0.84459101309232087</v>
      </c>
      <c r="G2886">
        <f>LN(F2886/参数实验室!$E$58)/参数实验室!$E$59</f>
        <v>-0.27917933003355139</v>
      </c>
      <c r="H2886" s="856">
        <f>INDEX(神经网络!$G$10:$BO$70,MATCH(ROUND(G2886*2,1)/2,神经网络!$E$10:$E$70,0),MATCH(ROUND(E2886*2,1)/2,神经网络!$G$8:$BO$8,0))</f>
        <v>-0.58334816509486931</v>
      </c>
      <c r="I2886">
        <f t="shared" si="390"/>
        <v>562359.29795631487</v>
      </c>
      <c r="J2886">
        <f t="shared" si="391"/>
        <v>2649.4433582059742</v>
      </c>
      <c r="K2886">
        <f t="shared" si="392"/>
        <v>212.25564087435595</v>
      </c>
      <c r="L2886" s="4">
        <f>MIN(MAX(L2885*(1+MAX(MIN(((B2886-B2885)/B2885)/($K$7*卓尔金历!$N$40),0),-卓尔金历!$M$43))+MIN(MAX(((B2886-B2885)/B2885)/($K$7*卓尔金历!$N$40),0),卓尔金历!$M$43),0),1)</f>
        <v>0.89962668930694834</v>
      </c>
      <c r="M2886" s="4">
        <f>MIN(MAX(M2885*(1+MAX(MIN(((B2886-B2885)/B2885)/($K$7*30),0),-卓尔金历!$M$43))+MIN(MAX(((B2886-B2885)/B2885)/($K$7*7),0),卓尔金历!$M$43),0),1)</f>
        <v>1</v>
      </c>
      <c r="N2886">
        <f t="shared" si="393"/>
        <v>227200.61755322394</v>
      </c>
      <c r="O2886">
        <f t="shared" si="394"/>
        <v>611988.37809254404</v>
      </c>
      <c r="P2886">
        <f t="shared" si="395"/>
        <v>1.2303573524905319E-2</v>
      </c>
      <c r="Q2886">
        <f t="shared" si="396"/>
        <v>3.5894825819050576E-2</v>
      </c>
      <c r="R2886">
        <f t="shared" si="397"/>
        <v>1</v>
      </c>
      <c r="S2886">
        <f t="shared" si="389"/>
        <v>948.98727454516347</v>
      </c>
      <c r="T2886" s="564">
        <f>IF((I2886-MAX(I$470:I2886))/MAX(I$470:I2886)&gt;T2885,T2885,(I2886-MAX(I$470:I2886))/MAX(I$470:I2886))</f>
        <v>-0.91338805338419748</v>
      </c>
      <c r="U2886" s="564">
        <f>IF((J2886-MAX(J$470:J2886))/MAX(J$470:J2886)&gt;U2885,U2885,(J2886-MAX(J$470:J2886))/MAX(J$470:J2886))</f>
        <v>-0.8283551177402233</v>
      </c>
      <c r="V2886" s="564">
        <f>IF((K2886-MAX(K$470:K2886))/MAX(K$470:K2886)&gt;V2885,V2885,(K2886-MAX(K$470:K2886))/MAX(K$470:K2886))</f>
        <v>-0.84885940676762139</v>
      </c>
      <c r="W2886" s="564">
        <f>IF((N2886-MAX(N$470:N2886))/MAX(N$470:N2886)&gt;W2885,W2885,(N2886-MAX(N$470:N2886))/MAX(N$470:N2886))</f>
        <v>-0.62788758315546067</v>
      </c>
      <c r="X2886" s="564">
        <f>IF((O2886-MAX(O$470:O2886))/MAX(O$470:O2886)&gt;X2885,X2885,(O2886-MAX(O$470:O2886))/MAX(O$470:O2886))</f>
        <v>-0.62788758315546067</v>
      </c>
    </row>
    <row r="2887" spans="1:24">
      <c r="A2887" s="799">
        <v>43289</v>
      </c>
      <c r="B2887">
        <v>6837.42</v>
      </c>
      <c r="C2887">
        <v>5559.3307869999999</v>
      </c>
      <c r="D2887">
        <v>1.308656</v>
      </c>
      <c r="E2887">
        <f>LN(D2887/参数实验室!$E$53)/参数实验室!$E$55</f>
        <v>-0.37561389694945863</v>
      </c>
      <c r="F2887">
        <f t="shared" si="398"/>
        <v>0.81307434485522312</v>
      </c>
      <c r="G2887">
        <f>LN(F2887/参数实验室!$E$58)/参数实验室!$E$59</f>
        <v>-0.29913950386764843</v>
      </c>
      <c r="H2887" s="856">
        <f>INDEX(神经网络!$G$10:$BO$70,MATCH(ROUND(G2887*2,1)/2,神经网络!$E$10:$E$70,0),MATCH(ROUND(E2887*2,1)/2,神经网络!$G$8:$BO$8,0))</f>
        <v>-0.61630412378541077</v>
      </c>
      <c r="I2887">
        <f t="shared" si="390"/>
        <v>552593.99999485048</v>
      </c>
      <c r="J2887">
        <f t="shared" si="391"/>
        <v>2728.3109213518974</v>
      </c>
      <c r="K2887">
        <f t="shared" si="392"/>
        <v>202.540698594952</v>
      </c>
      <c r="L2887" s="4">
        <f>MIN(MAX(L2886*(1+MAX(MIN(((B2887-B2886)/B2886)/($K$7*卓尔金历!$N$40),0),-卓尔金历!$M$43))+MIN(MAX(((B2887-B2886)/B2886)/($K$7*卓尔金历!$N$40),0),卓尔金历!$M$43),0),1)</f>
        <v>1</v>
      </c>
      <c r="M2887" s="4">
        <f>MIN(MAX(M2886*(1+MAX(MIN(((B2887-B2886)/B2886)/($K$7*30),0),-卓尔金历!$M$43))+MIN(MAX(((B2887-B2886)/B2886)/($K$7*7),0),卓尔金历!$M$43),0),1)</f>
        <v>1</v>
      </c>
      <c r="N2887">
        <f t="shared" si="393"/>
        <v>223651.31143463985</v>
      </c>
      <c r="O2887">
        <f t="shared" si="394"/>
        <v>601361.2774422206</v>
      </c>
      <c r="P2887">
        <f t="shared" si="395"/>
        <v>2.9767597371595646E-2</v>
      </c>
      <c r="Q2887">
        <f t="shared" si="396"/>
        <v>3.6382127191576165E-2</v>
      </c>
      <c r="R2887">
        <f t="shared" si="397"/>
        <v>0.24375455768046192</v>
      </c>
      <c r="S2887">
        <f t="shared" si="389"/>
        <v>932.50823075367737</v>
      </c>
      <c r="T2887" s="564">
        <f>IF((I2887-MAX(I$470:I2887))/MAX(I$470:I2887)&gt;T2886,T2886,(I2887-MAX(I$470:I2887))/MAX(I$470:I2887))</f>
        <v>-0.91338805338419748</v>
      </c>
      <c r="U2887" s="564">
        <f>IF((J2887-MAX(J$470:J2887))/MAX(J$470:J2887)&gt;U2886,U2886,(J2887-MAX(J$470:J2887))/MAX(J$470:J2887))</f>
        <v>-0.8283551177402233</v>
      </c>
      <c r="V2887" s="564">
        <f>IF((K2887-MAX(K$470:K2887))/MAX(K$470:K2887)&gt;V2886,V2886,(K2887-MAX(K$470:K2887))/MAX(K$470:K2887))</f>
        <v>-0.84885940676762139</v>
      </c>
      <c r="W2887" s="564">
        <f>IF((N2887-MAX(N$470:N2887))/MAX(N$470:N2887)&gt;W2886,W2886,(N2887-MAX(N$470:N2887))/MAX(N$470:N2887))</f>
        <v>-0.62788758315546067</v>
      </c>
      <c r="X2887" s="564">
        <f>IF((O2887-MAX(O$470:O2887))/MAX(O$470:O2887)&gt;X2886,X2886,(O2887-MAX(O$470:O2887))/MAX(O$470:O2887))</f>
        <v>-0.62788758315546067</v>
      </c>
    </row>
    <row r="2888" spans="1:24">
      <c r="A2888" s="799">
        <v>43290</v>
      </c>
      <c r="B2888">
        <v>6768.26</v>
      </c>
      <c r="C2888">
        <v>5587.2663480000001</v>
      </c>
      <c r="D2888">
        <v>1.300988</v>
      </c>
      <c r="E2888">
        <f>LN(D2888/参数实验室!$E$53)/参数实验室!$E$55</f>
        <v>-0.38254692989163874</v>
      </c>
      <c r="F2888">
        <f t="shared" si="398"/>
        <v>0.8255100052302955</v>
      </c>
      <c r="G2888">
        <f>LN(F2888/参数实验室!$E$58)/参数实验室!$E$59</f>
        <v>-0.29117283197750715</v>
      </c>
      <c r="H2888" s="856">
        <f>INDEX(神经网络!$G$10:$BO$70,MATCH(ROUND(G2888*2,1)/2,神经网络!$E$10:$E$70,0),MATCH(ROUND(E2888*2,1)/2,神经网络!$G$8:$BO$8,0))</f>
        <v>-0.61630412378541077</v>
      </c>
      <c r="I2888">
        <f t="shared" si="390"/>
        <v>556038.79962118517</v>
      </c>
      <c r="J2888">
        <f t="shared" si="391"/>
        <v>2700.7142572123976</v>
      </c>
      <c r="K2888">
        <f t="shared" si="392"/>
        <v>205.88583117827244</v>
      </c>
      <c r="L2888" s="4">
        <f>MIN(MAX(L2887*(1+MAX(MIN(((B2888-B2887)/B2887)/($K$7*卓尔金历!$N$40),0),-卓尔金历!$M$43))+MIN(MAX(((B2888-B2887)/B2887)/($K$7*卓尔金历!$N$40),0),卓尔金历!$M$43),0),1)</f>
        <v>0.84545363132397311</v>
      </c>
      <c r="M2888" s="4">
        <f>MIN(MAX(M2887*(1+MAX(MIN(((B2888-B2887)/B2887)/($K$7*30),0),-卓尔金历!$M$43))+MIN(MAX(((B2888-B2887)/B2887)/($K$7*7),0),卓尔金历!$M$43),0),1)</f>
        <v>0.92272681566198655</v>
      </c>
      <c r="N2888">
        <f t="shared" si="393"/>
        <v>225045.52482469924</v>
      </c>
      <c r="O2888">
        <f t="shared" si="394"/>
        <v>605110.08597768133</v>
      </c>
      <c r="P2888">
        <f t="shared" si="395"/>
        <v>-1.0114926390363595E-2</v>
      </c>
      <c r="Q2888">
        <f t="shared" si="396"/>
        <v>3.6360878556785846E-2</v>
      </c>
      <c r="R2888">
        <f t="shared" si="397"/>
        <v>1</v>
      </c>
      <c r="S2888">
        <f t="shared" si="389"/>
        <v>933.92520911726035</v>
      </c>
      <c r="T2888" s="564">
        <f>IF((I2888-MAX(I$470:I2888))/MAX(I$470:I2888)&gt;T2887,T2887,(I2888-MAX(I$470:I2888))/MAX(I$470:I2888))</f>
        <v>-0.91338805338419748</v>
      </c>
      <c r="U2888" s="564">
        <f>IF((J2888-MAX(J$470:J2888))/MAX(J$470:J2888)&gt;U2887,U2887,(J2888-MAX(J$470:J2888))/MAX(J$470:J2888))</f>
        <v>-0.8283551177402233</v>
      </c>
      <c r="V2888" s="564">
        <f>IF((K2888-MAX(K$470:K2888))/MAX(K$470:K2888)&gt;V2887,V2887,(K2888-MAX(K$470:K2888))/MAX(K$470:K2888))</f>
        <v>-0.84885940676762139</v>
      </c>
      <c r="W2888" s="564">
        <f>IF((N2888-MAX(N$470:N2888))/MAX(N$470:N2888)&gt;W2887,W2887,(N2888-MAX(N$470:N2888))/MAX(N$470:N2888))</f>
        <v>-0.62788758315546067</v>
      </c>
      <c r="X2888" s="564">
        <f>IF((O2888-MAX(O$470:O2888))/MAX(O$470:O2888)&gt;X2887,X2887,(O2888-MAX(O$470:O2888))/MAX(O$470:O2888))</f>
        <v>-0.62788758315546067</v>
      </c>
    </row>
    <row r="2889" spans="1:24">
      <c r="A2889" s="799">
        <v>43291</v>
      </c>
      <c r="B2889">
        <v>6685.89</v>
      </c>
      <c r="C2889">
        <v>5507.4451570000001</v>
      </c>
      <c r="D2889">
        <v>1.2330460000000001</v>
      </c>
      <c r="E2889">
        <f>LN(D2889/参数实验室!$E$53)/参数实验室!$E$55</f>
        <v>-0.44582469981306544</v>
      </c>
      <c r="F2889">
        <f t="shared" si="398"/>
        <v>0.82374151489180947</v>
      </c>
      <c r="G2889">
        <f>LN(F2889/参数实验室!$E$58)/参数实验室!$E$59</f>
        <v>-0.29229843307441228</v>
      </c>
      <c r="H2889" s="856">
        <f>INDEX(神经网络!$G$10:$BO$70,MATCH(ROUND(G2889*2,1)/2,神经网络!$E$10:$E$70,0),MATCH(ROUND(E2889*2,1)/2,神经网络!$G$8:$BO$8,0))</f>
        <v>-0.64617113922746461</v>
      </c>
      <c r="I2889">
        <f t="shared" si="390"/>
        <v>560209.33877860545</v>
      </c>
      <c r="J2889">
        <f t="shared" si="391"/>
        <v>2667.8464546506484</v>
      </c>
      <c r="K2889">
        <f t="shared" si="392"/>
        <v>209.98560010904535</v>
      </c>
      <c r="L2889" s="4">
        <f>MIN(MAX(L2888*(1+MAX(MIN(((B2889-B2888)/B2888)/($K$7*卓尔金历!$N$40),0),-卓尔金历!$M$43))+MIN(MAX(((B2889-B2888)/B2888)/($K$7*卓尔金历!$N$40),0),卓尔金历!$M$43),0),1)</f>
        <v>0.68824445052565042</v>
      </c>
      <c r="M2889" s="4">
        <f>MIN(MAX(M2888*(1+MAX(MIN(((B2889-B2888)/B2888)/($K$7*30),0),-卓尔金历!$M$43))+MIN(MAX(((B2889-B2888)/B2888)/($K$7*7),0),卓尔金历!$M$43),0),1)</f>
        <v>0.83693788447973994</v>
      </c>
      <c r="N2889">
        <f t="shared" si="393"/>
        <v>226472.60141158852</v>
      </c>
      <c r="O2889">
        <f t="shared" si="394"/>
        <v>609297.96994070709</v>
      </c>
      <c r="P2889">
        <f t="shared" si="395"/>
        <v>-1.2170040749025583E-2</v>
      </c>
      <c r="Q2889">
        <f t="shared" si="396"/>
        <v>3.5765417776035903E-2</v>
      </c>
      <c r="R2889">
        <f t="shared" si="397"/>
        <v>1</v>
      </c>
      <c r="S2889">
        <f t="shared" si="389"/>
        <v>940.93006499670446</v>
      </c>
      <c r="T2889" s="564">
        <f>IF((I2889-MAX(I$470:I2889))/MAX(I$470:I2889)&gt;T2888,T2888,(I2889-MAX(I$470:I2889))/MAX(I$470:I2889))</f>
        <v>-0.91338805338419748</v>
      </c>
      <c r="U2889" s="564">
        <f>IF((J2889-MAX(J$470:J2889))/MAX(J$470:J2889)&gt;U2888,U2888,(J2889-MAX(J$470:J2889))/MAX(J$470:J2889))</f>
        <v>-0.8283551177402233</v>
      </c>
      <c r="V2889" s="564">
        <f>IF((K2889-MAX(K$470:K2889))/MAX(K$470:K2889)&gt;V2888,V2888,(K2889-MAX(K$470:K2889))/MAX(K$470:K2889))</f>
        <v>-0.84885940676762139</v>
      </c>
      <c r="W2889" s="564">
        <f>IF((N2889-MAX(N$470:N2889))/MAX(N$470:N2889)&gt;W2888,W2888,(N2889-MAX(N$470:N2889))/MAX(N$470:N2889))</f>
        <v>-0.62788758315546067</v>
      </c>
      <c r="X2889" s="564">
        <f>IF((O2889-MAX(O$470:O2889))/MAX(O$470:O2889)&gt;X2888,X2888,(O2889-MAX(O$470:O2889))/MAX(O$470:O2889))</f>
        <v>-0.62788758315546067</v>
      </c>
    </row>
    <row r="2890" spans="1:24">
      <c r="A2890" s="799">
        <v>43292</v>
      </c>
      <c r="B2890">
        <v>6368.71</v>
      </c>
      <c r="C2890">
        <v>5527.6184320000002</v>
      </c>
      <c r="D2890">
        <v>1.247466</v>
      </c>
      <c r="E2890">
        <f>LN(D2890/参数实验室!$E$53)/参数实验室!$E$55</f>
        <v>-0.43210798856910576</v>
      </c>
      <c r="F2890">
        <f t="shared" si="398"/>
        <v>0.86793376241028408</v>
      </c>
      <c r="G2890">
        <f>LN(F2890/参数实验室!$E$58)/参数实验室!$E$59</f>
        <v>-0.26487028718924122</v>
      </c>
      <c r="H2890" s="856">
        <f>INDEX(神经网络!$G$10:$BO$70,MATCH(ROUND(G2890*2,1)/2,神经网络!$E$10:$E$70,0),MATCH(ROUND(E2890*2,1)/2,神经网络!$G$8:$BO$8,0))</f>
        <v>-0.57635827880181312</v>
      </c>
      <c r="I2890">
        <f t="shared" si="390"/>
        <v>577382.27150790289</v>
      </c>
      <c r="J2890">
        <f t="shared" si="391"/>
        <v>2541.2832688240651</v>
      </c>
      <c r="K2890">
        <f t="shared" si="392"/>
        <v>227.20106750440164</v>
      </c>
      <c r="L2890" s="4">
        <f>MIN(MAX(L2889*(1+MAX(MIN(((B2890-B2889)/B2889)/($K$7*卓尔金历!$N$40),0),-卓尔金历!$M$43))+MIN(MAX(((B2890-B2889)/B2889)/($K$7*卓尔金历!$N$40),0),卓尔金历!$M$43),0),1)</f>
        <v>0.18937677503363334</v>
      </c>
      <c r="M2890" s="4">
        <f>MIN(MAX(M2889*(1+MAX(MIN(((B2890-B2889)/B2889)/($K$7*30),0),-卓尔金历!$M$43))+MIN(MAX(((B2890-B2889)/B2889)/($K$7*7),0),卓尔金历!$M$43),0),1)</f>
        <v>0.5336145110455407</v>
      </c>
      <c r="N2890">
        <f t="shared" si="393"/>
        <v>231250.6714485407</v>
      </c>
      <c r="O2890">
        <f t="shared" si="394"/>
        <v>624930.06122333847</v>
      </c>
      <c r="P2890">
        <f t="shared" si="395"/>
        <v>-4.7440206165521762E-2</v>
      </c>
      <c r="Q2890">
        <f t="shared" si="396"/>
        <v>3.7166467006159866E-2</v>
      </c>
      <c r="R2890">
        <f t="shared" si="397"/>
        <v>2.7036396526148091E-2</v>
      </c>
      <c r="S2890">
        <f t="shared" si="389"/>
        <v>969.77379820613555</v>
      </c>
      <c r="T2890" s="564">
        <f>IF((I2890-MAX(I$470:I2890))/MAX(I$470:I2890)&gt;T2889,T2889,(I2890-MAX(I$470:I2890))/MAX(I$470:I2890))</f>
        <v>-0.91338805338419748</v>
      </c>
      <c r="U2890" s="564">
        <f>IF((J2890-MAX(J$470:J2890))/MAX(J$470:J2890)&gt;U2889,U2889,(J2890-MAX(J$470:J2890))/MAX(J$470:J2890))</f>
        <v>-0.8283551177402233</v>
      </c>
      <c r="V2890" s="564">
        <f>IF((K2890-MAX(K$470:K2890))/MAX(K$470:K2890)&gt;V2889,V2889,(K2890-MAX(K$470:K2890))/MAX(K$470:K2890))</f>
        <v>-0.84885940676762139</v>
      </c>
      <c r="W2890" s="564">
        <f>IF((N2890-MAX(N$470:N2890))/MAX(N$470:N2890)&gt;W2889,W2889,(N2890-MAX(N$470:N2890))/MAX(N$470:N2890))</f>
        <v>-0.62788758315546067</v>
      </c>
      <c r="X2890" s="564">
        <f>IF((O2890-MAX(O$470:O2890))/MAX(O$470:O2890)&gt;X2889,X2889,(O2890-MAX(O$470:O2890))/MAX(O$470:O2890))</f>
        <v>-0.62788758315546067</v>
      </c>
    </row>
    <row r="2891" spans="1:24">
      <c r="A2891" s="799">
        <v>43293</v>
      </c>
      <c r="B2891">
        <v>6229.81</v>
      </c>
      <c r="C2891">
        <v>5544.2499209999996</v>
      </c>
      <c r="D2891">
        <v>1.206218</v>
      </c>
      <c r="E2891">
        <f>LN(D2891/参数实验室!$E$53)/参数实验室!$E$55</f>
        <v>-0.47177654128443614</v>
      </c>
      <c r="F2891">
        <f t="shared" si="398"/>
        <v>0.88995489766140534</v>
      </c>
      <c r="G2891">
        <f>LN(F2891/参数实验室!$E$58)/参数实验室!$E$59</f>
        <v>-0.25171986786050127</v>
      </c>
      <c r="H2891" s="856">
        <f>INDEX(神经网络!$G$10:$BO$70,MATCH(ROUND(G2891*2,1)/2,神经网络!$E$10:$E$70,0),MATCH(ROUND(E2891*2,1)/2,神经网络!$G$8:$BO$8,0))</f>
        <v>-0.57635827880181312</v>
      </c>
      <c r="I2891">
        <f t="shared" si="390"/>
        <v>584640.10085685074</v>
      </c>
      <c r="J2891">
        <f t="shared" si="391"/>
        <v>2485.8585052471926</v>
      </c>
      <c r="K2891">
        <f t="shared" si="392"/>
        <v>235.1863952122707</v>
      </c>
      <c r="L2891" s="4">
        <f>MIN(MAX(L2890*(1+MAX(MIN(((B2891-B2890)/B2890)/($K$7*卓尔金历!$N$40),0),-卓尔金历!$M$43))+MIN(MAX(((B2891-B2890)/B2890)/($K$7*卓尔金历!$N$40),0),卓尔金历!$M$43),0),1)</f>
        <v>0.12627035162290198</v>
      </c>
      <c r="M2891" s="4">
        <f>MIN(MAX(M2890*(1+MAX(MIN(((B2891-B2890)/B2890)/($K$7*30),0),-卓尔金历!$M$43))+MIN(MAX(((B2891-B2890)/B2890)/($K$7*7),0),卓尔金历!$M$43),0),1)</f>
        <v>0.4447057648009981</v>
      </c>
      <c r="N2891">
        <f t="shared" si="393"/>
        <v>231801.16600233407</v>
      </c>
      <c r="O2891">
        <f t="shared" si="394"/>
        <v>629121.87861501658</v>
      </c>
      <c r="P2891">
        <f t="shared" si="395"/>
        <v>-2.1809754251645882E-2</v>
      </c>
      <c r="Q2891">
        <f t="shared" si="396"/>
        <v>3.7160462241396325E-2</v>
      </c>
      <c r="R2891">
        <f t="shared" si="397"/>
        <v>0.58986007341550806</v>
      </c>
      <c r="S2891">
        <f t="shared" si="389"/>
        <v>970.10337950512917</v>
      </c>
      <c r="T2891" s="564">
        <f>IF((I2891-MAX(I$470:I2891))/MAX(I$470:I2891)&gt;T2890,T2890,(I2891-MAX(I$470:I2891))/MAX(I$470:I2891))</f>
        <v>-0.91338805338419748</v>
      </c>
      <c r="U2891" s="564">
        <f>IF((J2891-MAX(J$470:J2891))/MAX(J$470:J2891)&gt;U2890,U2890,(J2891-MAX(J$470:J2891))/MAX(J$470:J2891))</f>
        <v>-0.8283551177402233</v>
      </c>
      <c r="V2891" s="564">
        <f>IF((K2891-MAX(K$470:K2891))/MAX(K$470:K2891)&gt;V2890,V2890,(K2891-MAX(K$470:K2891))/MAX(K$470:K2891))</f>
        <v>-0.84885940676762139</v>
      </c>
      <c r="W2891" s="564">
        <f>IF((N2891-MAX(N$470:N2891))/MAX(N$470:N2891)&gt;W2890,W2890,(N2891-MAX(N$470:N2891))/MAX(N$470:N2891))</f>
        <v>-0.62788758315546067</v>
      </c>
      <c r="X2891" s="564">
        <f>IF((O2891-MAX(O$470:O2891))/MAX(O$470:O2891)&gt;X2890,X2890,(O2891-MAX(O$470:O2891))/MAX(O$470:O2891))</f>
        <v>-0.62788758315546067</v>
      </c>
    </row>
    <row r="2892" spans="1:24">
      <c r="A2892" s="799">
        <v>43294</v>
      </c>
      <c r="B2892">
        <v>6256.71</v>
      </c>
      <c r="C2892">
        <v>5546.091531</v>
      </c>
      <c r="D2892">
        <v>1.217225</v>
      </c>
      <c r="E2892">
        <f>LN(D2892/参数实验室!$E$53)/参数实验室!$E$55</f>
        <v>-0.46105985989417364</v>
      </c>
      <c r="F2892">
        <f t="shared" si="398"/>
        <v>0.88642298124733288</v>
      </c>
      <c r="G2892">
        <f>LN(F2892/参数实验室!$E$58)/参数实验室!$E$59</f>
        <v>-0.25380697227056087</v>
      </c>
      <c r="H2892" s="856">
        <f>INDEX(神经网络!$G$10:$BO$70,MATCH(ROUND(G2892*2,1)/2,神经网络!$E$10:$E$70,0),MATCH(ROUND(E2892*2,1)/2,神经网络!$G$8:$BO$8,0))</f>
        <v>-0.57635827880181312</v>
      </c>
      <c r="I2892">
        <f t="shared" si="390"/>
        <v>583185.11552592076</v>
      </c>
      <c r="J2892">
        <f t="shared" si="391"/>
        <v>2496.5923147520007</v>
      </c>
      <c r="K2892">
        <f t="shared" si="392"/>
        <v>233.59245002877114</v>
      </c>
      <c r="L2892" s="4">
        <f>MIN(MAX(L2891*(1+MAX(MIN(((B2892-B2891)/B2891)/($K$7*卓尔金历!$N$40),0),-卓尔金历!$M$43))+MIN(MAX(((B2892-B2891)/B2891)/($K$7*卓尔金历!$N$40),0),卓尔金历!$M$43),0),1)</f>
        <v>0.19224446415620322</v>
      </c>
      <c r="M2892" s="4">
        <f>MIN(MAX(M2891*(1+MAX(MIN(((B2892-B2891)/B2891)/($K$7*30),0),-卓尔金历!$M$43))+MIN(MAX(((B2892-B2891)/B2891)/($K$7*7),0),卓尔金历!$M$43),0),1)</f>
        <v>0.58607886308664359</v>
      </c>
      <c r="N2892">
        <f t="shared" si="393"/>
        <v>231728.32313708597</v>
      </c>
      <c r="O2892">
        <f t="shared" si="394"/>
        <v>628425.60880907485</v>
      </c>
      <c r="P2892">
        <f t="shared" si="395"/>
        <v>4.3179487014852191E-3</v>
      </c>
      <c r="Q2892">
        <f t="shared" si="396"/>
        <v>3.7065462470350259E-2</v>
      </c>
      <c r="R2892">
        <f t="shared" si="397"/>
        <v>1</v>
      </c>
      <c r="S2892">
        <f t="shared" si="389"/>
        <v>968.67929083165075</v>
      </c>
      <c r="T2892" s="564">
        <f>IF((I2892-MAX(I$470:I2892))/MAX(I$470:I2892)&gt;T2891,T2891,(I2892-MAX(I$470:I2892))/MAX(I$470:I2892))</f>
        <v>-0.91338805338419748</v>
      </c>
      <c r="U2892" s="564">
        <f>IF((J2892-MAX(J$470:J2892))/MAX(J$470:J2892)&gt;U2891,U2891,(J2892-MAX(J$470:J2892))/MAX(J$470:J2892))</f>
        <v>-0.8283551177402233</v>
      </c>
      <c r="V2892" s="564">
        <f>IF((K2892-MAX(K$470:K2892))/MAX(K$470:K2892)&gt;V2891,V2891,(K2892-MAX(K$470:K2892))/MAX(K$470:K2892))</f>
        <v>-0.84885940676762139</v>
      </c>
      <c r="W2892" s="564">
        <f>IF((N2892-MAX(N$470:N2892))/MAX(N$470:N2892)&gt;W2891,W2891,(N2892-MAX(N$470:N2892))/MAX(N$470:N2892))</f>
        <v>-0.62788758315546067</v>
      </c>
      <c r="X2892" s="564">
        <f>IF((O2892-MAX(O$470:O2892))/MAX(O$470:O2892)&gt;X2891,X2891,(O2892-MAX(O$470:O2892))/MAX(O$470:O2892))</f>
        <v>-0.62788758315546067</v>
      </c>
    </row>
    <row r="2893" spans="1:24">
      <c r="A2893" s="799">
        <v>43295</v>
      </c>
      <c r="B2893">
        <v>6229.23</v>
      </c>
      <c r="C2893">
        <v>5622.7571690000004</v>
      </c>
      <c r="D2893">
        <v>1.2266710000000001</v>
      </c>
      <c r="E2893">
        <f>LN(D2893/参数实验室!$E$53)/参数实验室!$E$55</f>
        <v>-0.45193999175138005</v>
      </c>
      <c r="F2893">
        <f t="shared" si="398"/>
        <v>0.90264080295638482</v>
      </c>
      <c r="G2893">
        <f>LN(F2893/参数实验室!$E$58)/参数实验室!$E$59</f>
        <v>-0.2442911321593165</v>
      </c>
      <c r="H2893" s="856">
        <f>INDEX(神经网络!$G$10:$BO$70,MATCH(ROUND(G2893*2,1)/2,神经网络!$E$10:$E$70,0),MATCH(ROUND(E2893*2,1)/2,神经网络!$G$8:$BO$8,0))</f>
        <v>-0.57635827880181312</v>
      </c>
      <c r="I2893">
        <f t="shared" si="390"/>
        <v>584661.39869827719</v>
      </c>
      <c r="J2893">
        <f t="shared" si="391"/>
        <v>2485.6270699493193</v>
      </c>
      <c r="K2893">
        <f t="shared" si="392"/>
        <v>235.21686167917304</v>
      </c>
      <c r="L2893" s="4">
        <f>MIN(MAX(L2892*(1+MAX(MIN(((B2893-B2892)/B2892)/($K$7*卓尔金历!$N$40),0),-卓尔金历!$M$43))+MIN(MAX(((B2893-B2892)/B2892)/($K$7*卓尔金历!$N$40),0),卓尔金历!$M$43),0),1)</f>
        <v>0.17934354588900828</v>
      </c>
      <c r="M2893" s="4">
        <f>MIN(MAX(M2892*(1+MAX(MIN(((B2893-B2892)/B2892)/($K$7*30),0),-卓尔金历!$M$43))+MIN(MAX(((B2893-B2892)/B2892)/($K$7*7),0),卓尔金历!$M$43),0),1)</f>
        <v>0.56641391319069267</v>
      </c>
      <c r="N2893">
        <f t="shared" si="393"/>
        <v>231841.09381730523</v>
      </c>
      <c r="O2893">
        <f t="shared" si="394"/>
        <v>629357.94635028078</v>
      </c>
      <c r="P2893">
        <f t="shared" si="395"/>
        <v>-4.3920846579113418E-3</v>
      </c>
      <c r="Q2893">
        <f t="shared" si="396"/>
        <v>3.1867528158040059E-2</v>
      </c>
      <c r="R2893">
        <f t="shared" si="397"/>
        <v>1</v>
      </c>
      <c r="S2893">
        <f t="shared" si="389"/>
        <v>971.13141949267686</v>
      </c>
      <c r="T2893" s="564">
        <f>IF((I2893-MAX(I$470:I2893))/MAX(I$470:I2893)&gt;T2892,T2892,(I2893-MAX(I$470:I2893))/MAX(I$470:I2893))</f>
        <v>-0.91338805338419748</v>
      </c>
      <c r="U2893" s="564">
        <f>IF((J2893-MAX(J$470:J2893))/MAX(J$470:J2893)&gt;U2892,U2892,(J2893-MAX(J$470:J2893))/MAX(J$470:J2893))</f>
        <v>-0.8283551177402233</v>
      </c>
      <c r="V2893" s="564">
        <f>IF((K2893-MAX(K$470:K2893))/MAX(K$470:K2893)&gt;V2892,V2892,(K2893-MAX(K$470:K2893))/MAX(K$470:K2893))</f>
        <v>-0.84885940676762139</v>
      </c>
      <c r="W2893" s="564">
        <f>IF((N2893-MAX(N$470:N2893))/MAX(N$470:N2893)&gt;W2892,W2892,(N2893-MAX(N$470:N2893))/MAX(N$470:N2893))</f>
        <v>-0.62788758315546067</v>
      </c>
      <c r="X2893" s="564">
        <f>IF((O2893-MAX(O$470:O2893))/MAX(O$470:O2893)&gt;X2892,X2892,(O2893-MAX(O$470:O2893))/MAX(O$470:O2893))</f>
        <v>-0.62788758315546067</v>
      </c>
    </row>
    <row r="2894" spans="1:24">
      <c r="A2894" s="799">
        <v>43296</v>
      </c>
      <c r="B2894">
        <v>6294.14</v>
      </c>
      <c r="C2894">
        <v>5700.8261549999997</v>
      </c>
      <c r="D2894">
        <v>1.2448079999999999</v>
      </c>
      <c r="E2894">
        <f>LN(D2894/参数实验室!$E$53)/参数实验室!$E$55</f>
        <v>-0.43462439351605259</v>
      </c>
      <c r="F2894">
        <f t="shared" si="398"/>
        <v>0.9057355182757294</v>
      </c>
      <c r="G2894">
        <f>LN(F2894/参数实验室!$E$58)/参数实验室!$E$59</f>
        <v>-0.24249474120450629</v>
      </c>
      <c r="H2894" s="856">
        <f>INDEX(神经网络!$G$10:$BO$70,MATCH(ROUND(G2894*2,1)/2,神经网络!$E$10:$E$70,0),MATCH(ROUND(E2894*2,1)/2,神经网络!$G$8:$BO$8,0))</f>
        <v>-0.57635827880181312</v>
      </c>
      <c r="I2894">
        <f t="shared" si="390"/>
        <v>581150.04806040623</v>
      </c>
      <c r="J2894">
        <f t="shared" si="391"/>
        <v>2511.5278719923349</v>
      </c>
      <c r="K2894">
        <f t="shared" si="392"/>
        <v>231.39303152522604</v>
      </c>
      <c r="L2894" s="4">
        <f>MIN(MAX(L2893*(1+MAX(MIN(((B2894-B2893)/B2893)/($K$7*卓尔金历!$N$40),0),-卓尔金历!$M$43))+MIN(MAX(((B2894-B2893)/B2893)/($K$7*卓尔金历!$N$40),0),卓尔金历!$M$43),0),1)</f>
        <v>0.33855463787513751</v>
      </c>
      <c r="M2894" s="4">
        <f>MIN(MAX(M2893*(1+MAX(MIN(((B2894-B2893)/B2893)/($K$7*30),0),-卓尔金历!$M$43))+MIN(MAX(((B2894-B2893)/B2893)/($K$7*7),0),卓尔金历!$M$43),0),1)</f>
        <v>0.90758053887525536</v>
      </c>
      <c r="N2894">
        <f t="shared" si="393"/>
        <v>231591.37805998168</v>
      </c>
      <c r="O2894">
        <f t="shared" si="394"/>
        <v>627217.02155963937</v>
      </c>
      <c r="P2894">
        <f t="shared" si="395"/>
        <v>1.0420228503362498E-2</v>
      </c>
      <c r="Q2894">
        <f t="shared" si="396"/>
        <v>3.1083344777156619E-2</v>
      </c>
      <c r="R2894">
        <f t="shared" si="397"/>
        <v>1</v>
      </c>
      <c r="S2894">
        <f t="shared" si="389"/>
        <v>965.29901301452674</v>
      </c>
      <c r="T2894" s="564">
        <f>IF((I2894-MAX(I$470:I2894))/MAX(I$470:I2894)&gt;T2893,T2893,(I2894-MAX(I$470:I2894))/MAX(I$470:I2894))</f>
        <v>-0.91338805338419748</v>
      </c>
      <c r="U2894" s="564">
        <f>IF((J2894-MAX(J$470:J2894))/MAX(J$470:J2894)&gt;U2893,U2893,(J2894-MAX(J$470:J2894))/MAX(J$470:J2894))</f>
        <v>-0.8283551177402233</v>
      </c>
      <c r="V2894" s="564">
        <f>IF((K2894-MAX(K$470:K2894))/MAX(K$470:K2894)&gt;V2893,V2893,(K2894-MAX(K$470:K2894))/MAX(K$470:K2894))</f>
        <v>-0.84885940676762139</v>
      </c>
      <c r="W2894" s="564">
        <f>IF((N2894-MAX(N$470:N2894))/MAX(N$470:N2894)&gt;W2893,W2893,(N2894-MAX(N$470:N2894))/MAX(N$470:N2894))</f>
        <v>-0.62788758315546067</v>
      </c>
      <c r="X2894" s="564">
        <f>IF((O2894-MAX(O$470:O2894))/MAX(O$470:O2894)&gt;X2893,X2893,(O2894-MAX(O$470:O2894))/MAX(O$470:O2894))</f>
        <v>-0.62788758315546067</v>
      </c>
    </row>
    <row r="2895" spans="1:24">
      <c r="A2895" s="799">
        <v>43297</v>
      </c>
      <c r="B2895">
        <v>6383.29</v>
      </c>
      <c r="C2895">
        <v>5883.347178</v>
      </c>
      <c r="D2895">
        <v>1.3156810000000001</v>
      </c>
      <c r="E2895">
        <f>LN(D2895/参数实验室!$E$53)/参数实验室!$E$55</f>
        <v>-0.36929779780926636</v>
      </c>
      <c r="F2895">
        <f t="shared" si="398"/>
        <v>0.92167944398578161</v>
      </c>
      <c r="G2895">
        <f>LN(F2895/参数实验室!$E$58)/参数实验室!$E$59</f>
        <v>-0.23333596074957688</v>
      </c>
      <c r="H2895" s="856">
        <f>INDEX(神经网络!$G$10:$BO$70,MATCH(ROUND(G2895*2,1)/2,神经网络!$E$10:$E$70,0),MATCH(ROUND(E2895*2,1)/2,神经网络!$G$8:$BO$8,0))</f>
        <v>-0.51075529571207356</v>
      </c>
      <c r="I2895">
        <f t="shared" si="390"/>
        <v>576405.8177631615</v>
      </c>
      <c r="J2895">
        <f t="shared" si="391"/>
        <v>2547.1010733809467</v>
      </c>
      <c r="K2895">
        <f t="shared" si="392"/>
        <v>226.29876128082245</v>
      </c>
      <c r="L2895" s="4">
        <f>MIN(MAX(L2894*(1+MAX(MIN(((B2895-B2894)/B2894)/($K$7*卓尔金历!$N$40),0),-卓尔金历!$M$43))+MIN(MAX(((B2895-B2894)/B2894)/($K$7*卓尔金历!$N$40),0),卓尔金历!$M$43),0),1)</f>
        <v>0.55496648272524784</v>
      </c>
      <c r="M2895" s="4">
        <f>MIN(MAX(M2894*(1+MAX(MIN(((B2895-B2894)/B2894)/($K$7*30),0),-卓尔金历!$M$43))+MIN(MAX(((B2895-B2894)/B2894)/($K$7*7),0),卓尔金历!$M$43),0),1)</f>
        <v>1</v>
      </c>
      <c r="N2895">
        <f t="shared" si="393"/>
        <v>230951.30634032752</v>
      </c>
      <c r="O2895">
        <f t="shared" si="394"/>
        <v>622569.93785479187</v>
      </c>
      <c r="P2895">
        <f t="shared" si="395"/>
        <v>1.4163968389644913E-2</v>
      </c>
      <c r="Q2895">
        <f t="shared" si="396"/>
        <v>2.9646939435744663E-2</v>
      </c>
      <c r="R2895">
        <f t="shared" si="397"/>
        <v>0.79270088799042671</v>
      </c>
      <c r="S2895">
        <f t="shared" si="389"/>
        <v>957.41877478908327</v>
      </c>
      <c r="T2895" s="564">
        <f>IF((I2895-MAX(I$470:I2895))/MAX(I$470:I2895)&gt;T2894,T2894,(I2895-MAX(I$470:I2895))/MAX(I$470:I2895))</f>
        <v>-0.91338805338419748</v>
      </c>
      <c r="U2895" s="564">
        <f>IF((J2895-MAX(J$470:J2895))/MAX(J$470:J2895)&gt;U2894,U2894,(J2895-MAX(J$470:J2895))/MAX(J$470:J2895))</f>
        <v>-0.8283551177402233</v>
      </c>
      <c r="V2895" s="564">
        <f>IF((K2895-MAX(K$470:K2895))/MAX(K$470:K2895)&gt;V2894,V2894,(K2895-MAX(K$470:K2895))/MAX(K$470:K2895))</f>
        <v>-0.84885940676762139</v>
      </c>
      <c r="W2895" s="564">
        <f>IF((N2895-MAX(N$470:N2895))/MAX(N$470:N2895)&gt;W2894,W2894,(N2895-MAX(N$470:N2895))/MAX(N$470:N2895))</f>
        <v>-0.62788758315546067</v>
      </c>
      <c r="X2895" s="564">
        <f>IF((O2895-MAX(O$470:O2895))/MAX(O$470:O2895)&gt;X2894,X2894,(O2895-MAX(O$470:O2895))/MAX(O$470:O2895))</f>
        <v>-0.62788758315546067</v>
      </c>
    </row>
    <row r="2896" spans="1:24">
      <c r="A2896" s="799">
        <v>43298</v>
      </c>
      <c r="B2896">
        <v>6687.88</v>
      </c>
      <c r="C2896">
        <v>5877.4916880000001</v>
      </c>
      <c r="D2896">
        <v>1.4330940000000001</v>
      </c>
      <c r="E2896">
        <f>LN(D2896/参数实验室!$E$53)/参数实验室!$E$55</f>
        <v>-0.26845090841627711</v>
      </c>
      <c r="F2896">
        <f t="shared" si="398"/>
        <v>0.87882732465295432</v>
      </c>
      <c r="G2896">
        <f>LN(F2896/参数实验室!$E$58)/参数实验室!$E$59</f>
        <v>-0.25832376591062539</v>
      </c>
      <c r="H2896" s="856">
        <f>INDEX(神经网络!$G$10:$BO$70,MATCH(ROUND(G2896*2,1)/2,神经网络!$E$10:$E$70,0),MATCH(ROUND(E2896*2,1)/2,神经网络!$G$8:$BO$8,0))</f>
        <v>-0.4381120976531464</v>
      </c>
      <c r="I2896">
        <f t="shared" si="390"/>
        <v>562357.88889932411</v>
      </c>
      <c r="J2896">
        <f t="shared" si="391"/>
        <v>2668.6405171381793</v>
      </c>
      <c r="K2896">
        <f t="shared" si="392"/>
        <v>210.728228582241</v>
      </c>
      <c r="L2896" s="4">
        <f>MIN(MAX(L2895*(1+MAX(MIN(((B2896-B2895)/B2895)/($K$7*卓尔金历!$N$40),0),-卓尔金历!$M$43))+MIN(MAX(((B2896-B2895)/B2895)/($K$7*卓尔金历!$N$40),0),卓尔金历!$M$43),0),1)</f>
        <v>1</v>
      </c>
      <c r="M2896" s="4">
        <f>MIN(MAX(M2895*(1+MAX(MIN(((B2896-B2895)/B2895)/($K$7*30),0),-卓尔金历!$M$43))+MIN(MAX(((B2896-B2895)/B2895)/($K$7*7),0),卓尔金历!$M$43),0),1)</f>
        <v>1</v>
      </c>
      <c r="N2896">
        <f t="shared" si="393"/>
        <v>227827.59336509209</v>
      </c>
      <c r="O2896">
        <f t="shared" si="394"/>
        <v>607396.9157751617</v>
      </c>
      <c r="P2896">
        <f t="shared" si="395"/>
        <v>4.7716773012036133E-2</v>
      </c>
      <c r="Q2896">
        <f t="shared" si="396"/>
        <v>3.1163556659093136E-2</v>
      </c>
      <c r="R2896">
        <f t="shared" si="397"/>
        <v>1.7016346646860237E-2</v>
      </c>
      <c r="S2896">
        <f t="shared" si="389"/>
        <v>938.92203324612774</v>
      </c>
      <c r="T2896" s="564">
        <f>IF((I2896-MAX(I$470:I2896))/MAX(I$470:I2896)&gt;T2895,T2895,(I2896-MAX(I$470:I2896))/MAX(I$470:I2896))</f>
        <v>-0.91338805338419748</v>
      </c>
      <c r="U2896" s="564">
        <f>IF((J2896-MAX(J$470:J2896))/MAX(J$470:J2896)&gt;U2895,U2895,(J2896-MAX(J$470:J2896))/MAX(J$470:J2896))</f>
        <v>-0.8283551177402233</v>
      </c>
      <c r="V2896" s="564">
        <f>IF((K2896-MAX(K$470:K2896))/MAX(K$470:K2896)&gt;V2895,V2895,(K2896-MAX(K$470:K2896))/MAX(K$470:K2896))</f>
        <v>-0.84885940676762139</v>
      </c>
      <c r="W2896" s="564">
        <f>IF((N2896-MAX(N$470:N2896))/MAX(N$470:N2896)&gt;W2895,W2895,(N2896-MAX(N$470:N2896))/MAX(N$470:N2896))</f>
        <v>-0.62788758315546067</v>
      </c>
      <c r="X2896" s="564">
        <f>IF((O2896-MAX(O$470:O2896))/MAX(O$470:O2896)&gt;X2895,X2895,(O2896-MAX(O$470:O2896))/MAX(O$470:O2896))</f>
        <v>-0.62788758315546067</v>
      </c>
    </row>
    <row r="2897" spans="1:24">
      <c r="A2897" s="799">
        <v>43299</v>
      </c>
      <c r="B2897">
        <v>7438.13</v>
      </c>
      <c r="C2897">
        <v>5839.9304469999997</v>
      </c>
      <c r="D2897">
        <v>1.4433990000000001</v>
      </c>
      <c r="E2897">
        <f>LN(D2897/参数实验室!$E$53)/参数实验室!$E$55</f>
        <v>-0.25999796993209928</v>
      </c>
      <c r="F2897">
        <f t="shared" si="398"/>
        <v>0.78513422688229428</v>
      </c>
      <c r="G2897">
        <f>LN(F2897/参数实验室!$E$58)/参数实验室!$E$59</f>
        <v>-0.31749252532214295</v>
      </c>
      <c r="H2897" s="856">
        <f>INDEX(神经网络!$G$10:$BO$70,MATCH(ROUND(G2897*2,1)/2,神经网络!$E$10:$E$70,0),MATCH(ROUND(E2897*2,1)/2,神经网络!$G$8:$BO$8,0))</f>
        <v>-0.51388151638675161</v>
      </c>
      <c r="I2897">
        <f t="shared" si="390"/>
        <v>534719.31887389114</v>
      </c>
      <c r="J2897">
        <f t="shared" si="391"/>
        <v>2968.0100554646624</v>
      </c>
      <c r="K2897">
        <f t="shared" si="392"/>
        <v>180.16088519962145</v>
      </c>
      <c r="L2897" s="4">
        <f>MIN(MAX(L2896*(1+MAX(MIN(((B2897-B2896)/B2896)/($K$7*卓尔金历!$N$40),0),-卓尔金历!$M$43))+MIN(MAX(((B2897-B2896)/B2896)/($K$7*卓尔金历!$N$40),0),卓尔金历!$M$43),0),1)</f>
        <v>1</v>
      </c>
      <c r="M2897" s="4">
        <f>MIN(MAX(M2896*(1+MAX(MIN(((B2897-B2896)/B2896)/($K$7*30),0),-卓尔金历!$M$43))+MIN(MAX(((B2897-B2896)/B2896)/($K$7*7),0),卓尔金历!$M$43),0),1)</f>
        <v>1</v>
      </c>
      <c r="N2897">
        <f t="shared" si="393"/>
        <v>216630.40200840737</v>
      </c>
      <c r="O2897">
        <f t="shared" si="394"/>
        <v>577544.7833142099</v>
      </c>
      <c r="P2897">
        <f t="shared" si="395"/>
        <v>0.11218054151689325</v>
      </c>
      <c r="Q2897">
        <f t="shared" si="396"/>
        <v>3.8097144063423523E-2</v>
      </c>
      <c r="R2897">
        <f t="shared" si="397"/>
        <v>0</v>
      </c>
      <c r="S2897">
        <f t="shared" si="389"/>
        <v>938.13680008419692</v>
      </c>
      <c r="T2897" s="564">
        <f>IF((I2897-MAX(I$470:I2897))/MAX(I$470:I2897)&gt;T2896,T2896,(I2897-MAX(I$470:I2897))/MAX(I$470:I2897))</f>
        <v>-0.91338805338419748</v>
      </c>
      <c r="U2897" s="564">
        <f>IF((J2897-MAX(J$470:J2897))/MAX(J$470:J2897)&gt;U2896,U2896,(J2897-MAX(J$470:J2897))/MAX(J$470:J2897))</f>
        <v>-0.8283551177402233</v>
      </c>
      <c r="V2897" s="564">
        <f>IF((K2897-MAX(K$470:K2897))/MAX(K$470:K2897)&gt;V2896,V2896,(K2897-MAX(K$470:K2897))/MAX(K$470:K2897))</f>
        <v>-0.84885940676762139</v>
      </c>
      <c r="W2897" s="564">
        <f>IF((N2897-MAX(N$470:N2897))/MAX(N$470:N2897)&gt;W2896,W2896,(N2897-MAX(N$470:N2897))/MAX(N$470:N2897))</f>
        <v>-0.62788758315546067</v>
      </c>
      <c r="X2897" s="564">
        <f>IF((O2897-MAX(O$470:O2897))/MAX(O$470:O2897)&gt;X2896,X2896,(O2897-MAX(O$470:O2897))/MAX(O$470:O2897))</f>
        <v>-0.62788758315546067</v>
      </c>
    </row>
    <row r="2898" spans="1:24">
      <c r="A2898" s="799">
        <v>43300</v>
      </c>
      <c r="B2898">
        <v>7345.14</v>
      </c>
      <c r="C2898">
        <v>5779.0754779999997</v>
      </c>
      <c r="D2898">
        <v>1.460186</v>
      </c>
      <c r="E2898">
        <f>LN(D2898/参数实验室!$E$53)/参数实验室!$E$55</f>
        <v>-0.24635639348835403</v>
      </c>
      <c r="F2898">
        <f t="shared" si="398"/>
        <v>0.78678901668314005</v>
      </c>
      <c r="G2898">
        <f>LN(F2898/参数实验室!$E$58)/参数实验室!$E$59</f>
        <v>-0.31638747971407571</v>
      </c>
      <c r="H2898" s="856">
        <f>INDEX(神经网络!$G$10:$BO$70,MATCH(ROUND(G2898*2,1)/2,神经网络!$E$10:$E$70,0),MATCH(ROUND(E2898*2,1)/2,神经网络!$G$8:$BO$8,0))</f>
        <v>-0.51388151638675161</v>
      </c>
      <c r="I2898">
        <f t="shared" si="390"/>
        <v>538154.59265879495</v>
      </c>
      <c r="J2898">
        <f t="shared" si="391"/>
        <v>2930.9045927935804</v>
      </c>
      <c r="K2898">
        <f t="shared" si="392"/>
        <v>183.61382147409137</v>
      </c>
      <c r="L2898" s="4">
        <f>MIN(MAX(L2897*(1+MAX(MIN(((B2898-B2897)/B2897)/($K$7*卓尔金历!$N$40),0),-卓尔金历!$M$43))+MIN(MAX(((B2898-B2897)/B2897)/($K$7*卓尔金历!$N$40),0),卓尔金历!$M$43),0),1)</f>
        <v>0.80898452108627561</v>
      </c>
      <c r="M2898" s="4">
        <f>MIN(MAX(M2897*(1+MAX(MIN(((B2898-B2897)/B2897)/($K$7*30),0),-卓尔金历!$M$43))+MIN(MAX(((B2898-B2897)/B2897)/($K$7*7),0),卓尔金历!$M$43),0),1)</f>
        <v>0.9044922605431378</v>
      </c>
      <c r="N2898">
        <f t="shared" si="393"/>
        <v>218022.13167809631</v>
      </c>
      <c r="O2898">
        <f t="shared" si="394"/>
        <v>581255.18685434305</v>
      </c>
      <c r="P2898">
        <f t="shared" si="395"/>
        <v>-1.2501798167012378E-2</v>
      </c>
      <c r="Q2898">
        <f t="shared" si="396"/>
        <v>3.8390969300199591E-2</v>
      </c>
      <c r="R2898">
        <f t="shared" si="397"/>
        <v>1</v>
      </c>
      <c r="S2898">
        <f t="shared" si="389"/>
        <v>938.13680008419692</v>
      </c>
      <c r="T2898" s="564">
        <f>IF((I2898-MAX(I$470:I2898))/MAX(I$470:I2898)&gt;T2897,T2897,(I2898-MAX(I$470:I2898))/MAX(I$470:I2898))</f>
        <v>-0.91338805338419748</v>
      </c>
      <c r="U2898" s="564">
        <f>IF((J2898-MAX(J$470:J2898))/MAX(J$470:J2898)&gt;U2897,U2897,(J2898-MAX(J$470:J2898))/MAX(J$470:J2898))</f>
        <v>-0.8283551177402233</v>
      </c>
      <c r="V2898" s="564">
        <f>IF((K2898-MAX(K$470:K2898))/MAX(K$470:K2898)&gt;V2897,V2897,(K2898-MAX(K$470:K2898))/MAX(K$470:K2898))</f>
        <v>-0.84885940676762139</v>
      </c>
      <c r="W2898" s="564">
        <f>IF((N2898-MAX(N$470:N2898))/MAX(N$470:N2898)&gt;W2897,W2897,(N2898-MAX(N$470:N2898))/MAX(N$470:N2898))</f>
        <v>-0.62788758315546067</v>
      </c>
      <c r="X2898" s="564">
        <f>IF((O2898-MAX(O$470:O2898))/MAX(O$470:O2898)&gt;X2897,X2897,(O2898-MAX(O$470:O2898))/MAX(O$470:O2898))</f>
        <v>-0.62788758315546067</v>
      </c>
    </row>
    <row r="2899" spans="1:24">
      <c r="A2899" s="799">
        <v>43301</v>
      </c>
      <c r="B2899">
        <v>7377.84</v>
      </c>
      <c r="C2899">
        <v>5785.0640810000004</v>
      </c>
      <c r="D2899">
        <v>1.4326540000000001</v>
      </c>
      <c r="E2899">
        <f>LN(D2899/参数实验室!$E$53)/参数实验室!$E$55</f>
        <v>-0.26881318132473025</v>
      </c>
      <c r="F2899">
        <f t="shared" si="398"/>
        <v>0.78411351845526611</v>
      </c>
      <c r="G2899">
        <f>LN(F2899/参数实验室!$E$58)/参数实验室!$E$59</f>
        <v>-0.31817530217732815</v>
      </c>
      <c r="H2899" s="856">
        <f>INDEX(神经网络!$G$10:$BO$70,MATCH(ROUND(G2899*2,1)/2,神经网络!$E$10:$E$70,0),MATCH(ROUND(E2899*2,1)/2,神经网络!$G$8:$BO$8,0))</f>
        <v>-0.51388151638675161</v>
      </c>
      <c r="I2899">
        <f t="shared" si="390"/>
        <v>536923.4235144736</v>
      </c>
      <c r="J2899">
        <f t="shared" si="391"/>
        <v>2943.9527552771206</v>
      </c>
      <c r="K2899">
        <f t="shared" si="392"/>
        <v>182.38180709660602</v>
      </c>
      <c r="L2899" s="4">
        <f>MIN(MAX(L2898*(1+MAX(MIN(((B2899-B2898)/B2898)/($K$7*卓尔金历!$N$40),0),-卓尔金历!$M$43))+MIN(MAX(((B2899-B2898)/B2898)/($K$7*卓尔金历!$N$40),0),卓尔金历!$M$43),0),1)</f>
        <v>0.87700563711094737</v>
      </c>
      <c r="M2899" s="4">
        <f>MIN(MAX(M2898*(1+MAX(MIN(((B2899-B2898)/B2898)/($K$7*30),0),-卓尔金历!$M$43))+MIN(MAX(((B2899-B2898)/B2898)/($K$7*7),0),卓尔金历!$M$43),0),1)</f>
        <v>1</v>
      </c>
      <c r="N2899">
        <f t="shared" si="393"/>
        <v>217618.62431383322</v>
      </c>
      <c r="O2899">
        <f t="shared" si="394"/>
        <v>580052.41746102902</v>
      </c>
      <c r="P2899">
        <f t="shared" si="395"/>
        <v>4.4519233125576664E-3</v>
      </c>
      <c r="Q2899">
        <f t="shared" si="396"/>
        <v>3.7134896980303818E-2</v>
      </c>
      <c r="R2899">
        <f t="shared" si="397"/>
        <v>1</v>
      </c>
      <c r="S2899">
        <f t="shared" si="389"/>
        <v>935.99056720395788</v>
      </c>
      <c r="T2899" s="564">
        <f>IF((I2899-MAX(I$470:I2899))/MAX(I$470:I2899)&gt;T2898,T2898,(I2899-MAX(I$470:I2899))/MAX(I$470:I2899))</f>
        <v>-0.91338805338419748</v>
      </c>
      <c r="U2899" s="564">
        <f>IF((J2899-MAX(J$470:J2899))/MAX(J$470:J2899)&gt;U2898,U2898,(J2899-MAX(J$470:J2899))/MAX(J$470:J2899))</f>
        <v>-0.8283551177402233</v>
      </c>
      <c r="V2899" s="564">
        <f>IF((K2899-MAX(K$470:K2899))/MAX(K$470:K2899)&gt;V2898,V2898,(K2899-MAX(K$470:K2899))/MAX(K$470:K2899))</f>
        <v>-0.84885940676762139</v>
      </c>
      <c r="W2899" s="564">
        <f>IF((N2899-MAX(N$470:N2899))/MAX(N$470:N2899)&gt;W2898,W2898,(N2899-MAX(N$470:N2899))/MAX(N$470:N2899))</f>
        <v>-0.62788758315546067</v>
      </c>
      <c r="X2899" s="564">
        <f>IF((O2899-MAX(O$470:O2899))/MAX(O$470:O2899)&gt;X2898,X2898,(O2899-MAX(O$470:O2899))/MAX(O$470:O2899))</f>
        <v>-0.62788758315546067</v>
      </c>
    </row>
    <row r="2900" spans="1:24">
      <c r="A2900" s="799">
        <v>43302</v>
      </c>
      <c r="B2900">
        <v>7344.44</v>
      </c>
      <c r="C2900">
        <v>5918.4189109999998</v>
      </c>
      <c r="D2900">
        <v>1.4483379999999999</v>
      </c>
      <c r="E2900">
        <f>LN(D2900/参数实验室!$E$53)/参数实验室!$E$55</f>
        <v>-0.25596799975300255</v>
      </c>
      <c r="F2900">
        <f t="shared" si="398"/>
        <v>0.80583664799494581</v>
      </c>
      <c r="G2900">
        <f>LN(F2900/参数实验室!$E$58)/参数实验室!$E$59</f>
        <v>-0.30383248549005043</v>
      </c>
      <c r="H2900" s="856">
        <f>INDEX(神经网络!$G$10:$BO$70,MATCH(ROUND(G2900*2,1)/2,神经网络!$E$10:$E$70,0),MATCH(ROUND(E2900*2,1)/2,神经网络!$G$8:$BO$8,0))</f>
        <v>-0.51388151638675161</v>
      </c>
      <c r="I2900">
        <f t="shared" si="390"/>
        <v>538172.51020789298</v>
      </c>
      <c r="J2900">
        <f t="shared" si="391"/>
        <v>2930.62527433063</v>
      </c>
      <c r="K2900">
        <f t="shared" si="392"/>
        <v>183.637435642745</v>
      </c>
      <c r="L2900" s="4">
        <f>MIN(MAX(L2899*(1+MAX(MIN(((B2900-B2899)/B2899)/($K$7*卓尔金历!$N$40),0),-卓尔金历!$M$43))+MIN(MAX(((B2900-B2899)/B2899)/($K$7*卓尔金历!$N$40),0),卓尔金历!$M$43),0),1)</f>
        <v>0.81634378059298163</v>
      </c>
      <c r="M2900" s="4">
        <f>MIN(MAX(M2899*(1+MAX(MIN(((B2900-B2899)/B2899)/($K$7*30),0),-卓尔金历!$M$43))+MIN(MAX(((B2900-B2899)/B2899)/($K$7*7),0),卓尔金历!$M$43),0),1)</f>
        <v>0.96541535541447632</v>
      </c>
      <c r="N2900">
        <f t="shared" si="393"/>
        <v>218062.61992439374</v>
      </c>
      <c r="O2900">
        <f t="shared" si="394"/>
        <v>581401.83848534164</v>
      </c>
      <c r="P2900">
        <f t="shared" si="395"/>
        <v>-4.5270702536244411E-3</v>
      </c>
      <c r="Q2900">
        <f t="shared" si="396"/>
        <v>3.2950095374747308E-2</v>
      </c>
      <c r="R2900">
        <f t="shared" si="397"/>
        <v>1</v>
      </c>
      <c r="S2900">
        <f t="shared" si="389"/>
        <v>938.16803481192301</v>
      </c>
      <c r="T2900" s="564">
        <f>IF((I2900-MAX(I$470:I2900))/MAX(I$470:I2900)&gt;T2899,T2899,(I2900-MAX(I$470:I2900))/MAX(I$470:I2900))</f>
        <v>-0.91338805338419748</v>
      </c>
      <c r="U2900" s="564">
        <f>IF((J2900-MAX(J$470:J2900))/MAX(J$470:J2900)&gt;U2899,U2899,(J2900-MAX(J$470:J2900))/MAX(J$470:J2900))</f>
        <v>-0.8283551177402233</v>
      </c>
      <c r="V2900" s="564">
        <f>IF((K2900-MAX(K$470:K2900))/MAX(K$470:K2900)&gt;V2899,V2899,(K2900-MAX(K$470:K2900))/MAX(K$470:K2900))</f>
        <v>-0.84885940676762139</v>
      </c>
      <c r="W2900" s="564">
        <f>IF((N2900-MAX(N$470:N2900))/MAX(N$470:N2900)&gt;W2899,W2899,(N2900-MAX(N$470:N2900))/MAX(N$470:N2900))</f>
        <v>-0.62788758315546067</v>
      </c>
      <c r="X2900" s="564">
        <f>IF((O2900-MAX(O$470:O2900))/MAX(O$470:O2900)&gt;X2899,X2899,(O2900-MAX(O$470:O2900))/MAX(O$470:O2900))</f>
        <v>-0.62788758315546067</v>
      </c>
    </row>
    <row r="2901" spans="1:24">
      <c r="A2901" s="799">
        <v>43303</v>
      </c>
      <c r="B2901">
        <v>7398.14</v>
      </c>
      <c r="C2901">
        <v>5797.2097739999999</v>
      </c>
      <c r="D2901">
        <v>1.4458340000000001</v>
      </c>
      <c r="E2901">
        <f>LN(D2901/参数实验室!$E$53)/参数实验室!$E$55</f>
        <v>-0.25800941461017268</v>
      </c>
      <c r="F2901">
        <f t="shared" si="398"/>
        <v>0.78360368606163167</v>
      </c>
      <c r="G2901">
        <f>LN(F2901/参数实验室!$E$58)/参数实验室!$E$59</f>
        <v>-0.31851667446278287</v>
      </c>
      <c r="H2901" s="856">
        <f>INDEX(神经网络!$G$10:$BO$70,MATCH(ROUND(G2901*2,1)/2,神经网络!$E$10:$E$70,0),MATCH(ROUND(E2901*2,1)/2,神经网络!$G$8:$BO$8,0))</f>
        <v>-0.51388151638675161</v>
      </c>
      <c r="I2901">
        <f t="shared" si="390"/>
        <v>536150.42195719294</v>
      </c>
      <c r="J2901">
        <f t="shared" si="391"/>
        <v>2952.0529907026826</v>
      </c>
      <c r="K2901">
        <f t="shared" si="392"/>
        <v>181.6195114538144</v>
      </c>
      <c r="L2901" s="4">
        <f>MIN(MAX(L2900*(1+MAX(MIN(((B2901-B2900)/B2900)/($K$7*卓尔金历!$N$40),0),-卓尔金历!$M$43))+MIN(MAX(((B2901-B2900)/B2900)/($K$7*卓尔金历!$N$40),0),卓尔金历!$M$43),0),1)</f>
        <v>0.92805882870625023</v>
      </c>
      <c r="M2901" s="4">
        <f>MIN(MAX(M2900*(1+MAX(MIN(((B2901-B2900)/B2900)/($K$7*30),0),-卓尔金历!$M$43))+MIN(MAX(((B2901-B2900)/B2900)/($K$7*7),0),卓尔金历!$M$43),0),1)</f>
        <v>1</v>
      </c>
      <c r="N2901">
        <f t="shared" si="393"/>
        <v>217393.76348979984</v>
      </c>
      <c r="O2901">
        <f t="shared" si="394"/>
        <v>579292.87432990945</v>
      </c>
      <c r="P2901">
        <f t="shared" si="395"/>
        <v>7.3116534412427268E-3</v>
      </c>
      <c r="Q2901">
        <f t="shared" si="396"/>
        <v>3.2777105200009031E-2</v>
      </c>
      <c r="R2901">
        <f t="shared" si="397"/>
        <v>1</v>
      </c>
      <c r="S2901">
        <f t="shared" si="389"/>
        <v>934.64303395366164</v>
      </c>
      <c r="T2901" s="564">
        <f>IF((I2901-MAX(I$470:I2901))/MAX(I$470:I2901)&gt;T2900,T2900,(I2901-MAX(I$470:I2901))/MAX(I$470:I2901))</f>
        <v>-0.91338805338419748</v>
      </c>
      <c r="U2901" s="564">
        <f>IF((J2901-MAX(J$470:J2901))/MAX(J$470:J2901)&gt;U2900,U2900,(J2901-MAX(J$470:J2901))/MAX(J$470:J2901))</f>
        <v>-0.8283551177402233</v>
      </c>
      <c r="V2901" s="564">
        <f>IF((K2901-MAX(K$470:K2901))/MAX(K$470:K2901)&gt;V2900,V2900,(K2901-MAX(K$470:K2901))/MAX(K$470:K2901))</f>
        <v>-0.84885940676762139</v>
      </c>
      <c r="W2901" s="564">
        <f>IF((N2901-MAX(N$470:N2901))/MAX(N$470:N2901)&gt;W2900,W2900,(N2901-MAX(N$470:N2901))/MAX(N$470:N2901))</f>
        <v>-0.62788758315546067</v>
      </c>
      <c r="X2901" s="564">
        <f>IF((O2901-MAX(O$470:O2901))/MAX(O$470:O2901)&gt;X2900,X2900,(O2901-MAX(O$470:O2901))/MAX(O$470:O2901))</f>
        <v>-0.62788758315546067</v>
      </c>
    </row>
    <row r="2902" spans="1:24">
      <c r="A2902" s="799">
        <v>43304</v>
      </c>
      <c r="B2902">
        <v>7674.75</v>
      </c>
      <c r="C2902">
        <v>5775.8888980000002</v>
      </c>
      <c r="D2902">
        <v>1.5061960000000001</v>
      </c>
      <c r="E2902">
        <f>LN(D2902/参数实验室!$E$53)/参数实验室!$E$55</f>
        <v>-0.20975638700149835</v>
      </c>
      <c r="F2902">
        <f t="shared" si="398"/>
        <v>0.75258332818658591</v>
      </c>
      <c r="G2902">
        <f>LN(F2902/参数实验室!$E$58)/参数实验室!$E$59</f>
        <v>-0.33971640285328825</v>
      </c>
      <c r="H2902" s="856">
        <f>INDEX(神经网络!$G$10:$BO$70,MATCH(ROUND(G2902*2,1)/2,神经网络!$E$10:$E$70,0),MATCH(ROUND(E2902*2,1)/2,神经网络!$G$8:$BO$8,0))</f>
        <v>-0.55379843649671057</v>
      </c>
      <c r="I2902">
        <f t="shared" si="390"/>
        <v>525849.05209899449</v>
      </c>
      <c r="J2902">
        <f t="shared" si="391"/>
        <v>3062.4276764694118</v>
      </c>
      <c r="K2902">
        <f t="shared" si="392"/>
        <v>171.70986800420746</v>
      </c>
      <c r="L2902" s="4">
        <f>MIN(MAX(L2901*(1+MAX(MIN(((B2902-B2901)/B2901)/($K$7*卓尔金历!$N$40),0),-卓尔金历!$M$43))+MIN(MAX(((B2902-B2901)/B2901)/($K$7*卓尔金历!$N$40),0),卓尔金历!$M$43),0),1)</f>
        <v>1</v>
      </c>
      <c r="M2902" s="4">
        <f>MIN(MAX(M2901*(1+MAX(MIN(((B2902-B2901)/B2901)/($K$7*30),0),-卓尔金历!$M$43))+MIN(MAX(((B2902-B2901)/B2901)/($K$7*7),0),卓尔金历!$M$43),0),1)</f>
        <v>1</v>
      </c>
      <c r="N2902">
        <f t="shared" si="393"/>
        <v>213517.34268491136</v>
      </c>
      <c r="O2902">
        <f t="shared" si="394"/>
        <v>568162.58344455098</v>
      </c>
      <c r="P2902">
        <f t="shared" si="395"/>
        <v>3.7389127537462076E-2</v>
      </c>
      <c r="Q2902">
        <f t="shared" si="396"/>
        <v>3.3226043606605901E-2</v>
      </c>
      <c r="R2902">
        <f t="shared" si="397"/>
        <v>2.8907900999156019E-2</v>
      </c>
      <c r="S2902">
        <f t="shared" si="389"/>
        <v>916.68519379567306</v>
      </c>
      <c r="T2902" s="564">
        <f>IF((I2902-MAX(I$470:I2902))/MAX(I$470:I2902)&gt;T2901,T2901,(I2902-MAX(I$470:I2902))/MAX(I$470:I2902))</f>
        <v>-0.91338805338419748</v>
      </c>
      <c r="U2902" s="564">
        <f>IF((J2902-MAX(J$470:J2902))/MAX(J$470:J2902)&gt;U2901,U2901,(J2902-MAX(J$470:J2902))/MAX(J$470:J2902))</f>
        <v>-0.8283551177402233</v>
      </c>
      <c r="V2902" s="564">
        <f>IF((K2902-MAX(K$470:K2902))/MAX(K$470:K2902)&gt;V2901,V2901,(K2902-MAX(K$470:K2902))/MAX(K$470:K2902))</f>
        <v>-0.84885940676762139</v>
      </c>
      <c r="W2902" s="564">
        <f>IF((N2902-MAX(N$470:N2902))/MAX(N$470:N2902)&gt;W2901,W2901,(N2902-MAX(N$470:N2902))/MAX(N$470:N2902))</f>
        <v>-0.62788758315546067</v>
      </c>
      <c r="X2902" s="564">
        <f>IF((O2902-MAX(O$470:O2902))/MAX(O$470:O2902)&gt;X2901,X2901,(O2902-MAX(O$470:O2902))/MAX(O$470:O2902))</f>
        <v>-0.62788758315546067</v>
      </c>
    </row>
    <row r="2903" spans="1:24">
      <c r="A2903" s="799">
        <v>43305</v>
      </c>
      <c r="B2903">
        <v>7994.39</v>
      </c>
      <c r="C2903">
        <v>5825.2723749999996</v>
      </c>
      <c r="D2903">
        <v>1.6358140000000001</v>
      </c>
      <c r="E2903">
        <f>LN(D2903/参数实验室!$E$53)/参数实验室!$E$55</f>
        <v>-0.11236389562245948</v>
      </c>
      <c r="F2903">
        <f t="shared" si="398"/>
        <v>0.72867002673124515</v>
      </c>
      <c r="G2903">
        <f>LN(F2903/参数实验室!$E$58)/参数实验室!$E$59</f>
        <v>-0.35666432531296627</v>
      </c>
      <c r="H2903" s="856">
        <f>INDEX(神经网络!$G$10:$BO$70,MATCH(ROUND(G2903*2,1)/2,神经网络!$E$10:$E$70,0),MATCH(ROUND(E2903*2,1)/2,神经网络!$G$8:$BO$8,0))</f>
        <v>-0.47881512889002076</v>
      </c>
      <c r="I2903">
        <f t="shared" si="390"/>
        <v>513720.47913628101</v>
      </c>
      <c r="J2903">
        <f t="shared" si="391"/>
        <v>3189.9724671800777</v>
      </c>
      <c r="K2903">
        <f t="shared" si="392"/>
        <v>161.04229250304712</v>
      </c>
      <c r="L2903" s="4">
        <f>MIN(MAX(L2902*(1+MAX(MIN(((B2903-B2902)/B2902)/($K$7*卓尔金历!$N$40),0),-卓尔金历!$M$43))+MIN(MAX(((B2903-B2902)/B2902)/($K$7*卓尔金历!$N$40),0),卓尔金历!$M$43),0),1)</f>
        <v>1</v>
      </c>
      <c r="M2903" s="4">
        <f>MIN(MAX(M2902*(1+MAX(MIN(((B2903-B2902)/B2902)/($K$7*30),0),-卓尔金历!$M$43))+MIN(MAX(((B2903-B2902)/B2902)/($K$7*7),0),卓尔金历!$M$43),0),1)</f>
        <v>1</v>
      </c>
      <c r="N2903">
        <f t="shared" si="393"/>
        <v>208592.62016383486</v>
      </c>
      <c r="O2903">
        <f t="shared" si="394"/>
        <v>555058.05977852037</v>
      </c>
      <c r="P2903">
        <f t="shared" si="395"/>
        <v>4.1648262158376539E-2</v>
      </c>
      <c r="Q2903">
        <f t="shared" si="396"/>
        <v>3.2789006053108721E-2</v>
      </c>
      <c r="R2903">
        <f t="shared" si="397"/>
        <v>2.5279491535317899E-2</v>
      </c>
      <c r="S2903">
        <f t="shared" ref="S2903:S2966" si="399">S2902*(1+(B2903-B2902)/B2902*H2902*R2902)</f>
        <v>916.07399092518244</v>
      </c>
      <c r="T2903" s="564">
        <f>IF((I2903-MAX(I$470:I2903))/MAX(I$470:I2903)&gt;T2902,T2902,(I2903-MAX(I$470:I2903))/MAX(I$470:I2903))</f>
        <v>-0.91338805338419748</v>
      </c>
      <c r="U2903" s="564">
        <f>IF((J2903-MAX(J$470:J2903))/MAX(J$470:J2903)&gt;U2902,U2902,(J2903-MAX(J$470:J2903))/MAX(J$470:J2903))</f>
        <v>-0.8283551177402233</v>
      </c>
      <c r="V2903" s="564">
        <f>IF((K2903-MAX(K$470:K2903))/MAX(K$470:K2903)&gt;V2902,V2902,(K2903-MAX(K$470:K2903))/MAX(K$470:K2903))</f>
        <v>-0.84885940676762139</v>
      </c>
      <c r="W2903" s="564">
        <f>IF((N2903-MAX(N$470:N2903))/MAX(N$470:N2903)&gt;W2902,W2902,(N2903-MAX(N$470:N2903))/MAX(N$470:N2903))</f>
        <v>-0.62788758315546067</v>
      </c>
      <c r="X2903" s="564">
        <f>IF((O2903-MAX(O$470:O2903))/MAX(O$470:O2903)&gt;X2902,X2902,(O2903-MAX(O$470:O2903))/MAX(O$470:O2903))</f>
        <v>-0.62788758315546067</v>
      </c>
    </row>
    <row r="2904" spans="1:24">
      <c r="A2904" s="799">
        <v>43306</v>
      </c>
      <c r="B2904">
        <v>8292.35</v>
      </c>
      <c r="C2904">
        <v>5749.1604450000004</v>
      </c>
      <c r="D2904">
        <v>1.596352</v>
      </c>
      <c r="E2904">
        <f>LN(D2904/参数实验室!$E$53)/参数实验室!$E$55</f>
        <v>-0.14117289612320802</v>
      </c>
      <c r="F2904">
        <f t="shared" si="398"/>
        <v>0.69330894680036426</v>
      </c>
      <c r="G2904">
        <f>LN(F2904/参数实验室!$E$58)/参数实验室!$E$59</f>
        <v>-0.38277333705653377</v>
      </c>
      <c r="H2904" s="856">
        <f>INDEX(神经网络!$G$10:$BO$70,MATCH(ROUND(G2904*2,1)/2,神经网络!$E$10:$E$70,0),MATCH(ROUND(E2904*2,1)/2,神经网络!$G$8:$BO$8,0))</f>
        <v>-0.58779147677555854</v>
      </c>
      <c r="I2904">
        <f t="shared" ref="I2904:I2967" si="400">I2903*(1+(B2904-B2903)/B2903*H2903)</f>
        <v>504552.63169964543</v>
      </c>
      <c r="J2904">
        <f t="shared" ref="J2904:J2967" si="401">J2903*B2904/B2903</f>
        <v>3308.8663660667939</v>
      </c>
      <c r="K2904">
        <f t="shared" ref="K2904:K2967" si="402">I2904/J2904</f>
        <v>152.48504348013321</v>
      </c>
      <c r="L2904" s="4">
        <f>MIN(MAX(L2903*(1+MAX(MIN(((B2904-B2903)/B2903)/($K$7*卓尔金历!$N$40),0),-卓尔金历!$M$43))+MIN(MAX(((B2904-B2903)/B2903)/($K$7*卓尔金历!$N$40),0),卓尔金历!$M$43),0),1)</f>
        <v>1</v>
      </c>
      <c r="M2904" s="4">
        <f>MIN(MAX(M2903*(1+MAX(MIN(((B2904-B2903)/B2903)/($K$7*30),0),-卓尔金历!$M$43))+MIN(MAX(((B2904-B2903)/B2903)/($K$7*7),0),卓尔金历!$M$43),0),1)</f>
        <v>1</v>
      </c>
      <c r="N2904">
        <f t="shared" ref="N2904:N2967" si="403">N2903*(1+(B2904-B2903)/B2903*H2903*L2903)</f>
        <v>204870.07960776176</v>
      </c>
      <c r="O2904">
        <f t="shared" ref="O2904:O2967" si="404">O2903*(1+(B2904-B2903)/B2903*H2903*M2903)</f>
        <v>545152.50254031166</v>
      </c>
      <c r="P2904">
        <f t="shared" ref="P2904:P2967" si="405">(B2904-B2903)/B2903</f>
        <v>3.7271136384389558E-2</v>
      </c>
      <c r="Q2904">
        <f t="shared" si="396"/>
        <v>3.2414768470285828E-2</v>
      </c>
      <c r="R2904">
        <f t="shared" si="397"/>
        <v>2.8211494643589172E-2</v>
      </c>
      <c r="S2904">
        <f t="shared" si="399"/>
        <v>915.66071568601831</v>
      </c>
      <c r="T2904" s="564">
        <f>IF((I2904-MAX(I$470:I2904))/MAX(I$470:I2904)&gt;T2903,T2903,(I2904-MAX(I$470:I2904))/MAX(I$470:I2904))</f>
        <v>-0.91338805338419748</v>
      </c>
      <c r="U2904" s="564">
        <f>IF((J2904-MAX(J$470:J2904))/MAX(J$470:J2904)&gt;U2903,U2903,(J2904-MAX(J$470:J2904))/MAX(J$470:J2904))</f>
        <v>-0.8283551177402233</v>
      </c>
      <c r="V2904" s="564">
        <f>IF((K2904-MAX(K$470:K2904))/MAX(K$470:K2904)&gt;V2903,V2903,(K2904-MAX(K$470:K2904))/MAX(K$470:K2904))</f>
        <v>-0.84885940676762139</v>
      </c>
      <c r="W2904" s="564">
        <f>IF((N2904-MAX(N$470:N2904))/MAX(N$470:N2904)&gt;W2903,W2903,(N2904-MAX(N$470:N2904))/MAX(N$470:N2904))</f>
        <v>-0.62788758315546067</v>
      </c>
      <c r="X2904" s="564">
        <f>IF((O2904-MAX(O$470:O2904))/MAX(O$470:O2904)&gt;X2903,X2903,(O2904-MAX(O$470:O2904))/MAX(O$470:O2904))</f>
        <v>-0.62788758315546067</v>
      </c>
    </row>
    <row r="2905" spans="1:24">
      <c r="A2905" s="799">
        <v>43307</v>
      </c>
      <c r="B2905">
        <v>8266.23</v>
      </c>
      <c r="C2905">
        <v>5678.0547230000002</v>
      </c>
      <c r="D2905">
        <v>1.5404040000000001</v>
      </c>
      <c r="E2905">
        <f>LN(D2905/参数实验室!$E$53)/参数实验室!$E$55</f>
        <v>-0.18326213433723595</v>
      </c>
      <c r="F2905">
        <f t="shared" si="398"/>
        <v>0.68689774213879851</v>
      </c>
      <c r="G2905">
        <f>LN(F2905/参数实验室!$E$58)/参数实验室!$E$59</f>
        <v>-0.38764937615523182</v>
      </c>
      <c r="H2905" s="856">
        <f>INDEX(神经网络!$G$10:$BO$70,MATCH(ROUND(G2905*2,1)/2,神经网络!$E$10:$E$70,0),MATCH(ROUND(E2905*2,1)/2,神经网络!$G$8:$BO$8,0))</f>
        <v>-0.62285645839876758</v>
      </c>
      <c r="I2905">
        <f t="shared" si="400"/>
        <v>505486.80039215373</v>
      </c>
      <c r="J2905">
        <f t="shared" si="401"/>
        <v>3298.4437971349871</v>
      </c>
      <c r="K2905">
        <f t="shared" si="402"/>
        <v>153.2500874597946</v>
      </c>
      <c r="L2905" s="4">
        <f>MIN(MAX(L2904*(1+MAX(MIN(((B2905-B2904)/B2904)/($K$7*卓尔金历!$N$40),0),-卓尔金历!$M$43))+MIN(MAX(((B2905-B2904)/B2904)/($K$7*卓尔金历!$N$40),0),卓尔金历!$M$43),0),1)</f>
        <v>0.95187268572707273</v>
      </c>
      <c r="M2905" s="4">
        <f>MIN(MAX(M2904*(1+MAX(MIN(((B2905-B2904)/B2904)/($K$7*30),0),-卓尔金历!$M$43))+MIN(MAX(((B2905-B2904)/B2904)/($K$7*7),0),卓尔金历!$M$43),0),1)</f>
        <v>0.97593634286353637</v>
      </c>
      <c r="N2905">
        <f t="shared" si="403"/>
        <v>205249.39229463955</v>
      </c>
      <c r="O2905">
        <f t="shared" si="404"/>
        <v>546161.84104836814</v>
      </c>
      <c r="P2905">
        <f t="shared" si="405"/>
        <v>-3.149891164748328E-3</v>
      </c>
      <c r="Q2905">
        <f t="shared" si="396"/>
        <v>3.2346281582976345E-2</v>
      </c>
      <c r="R2905">
        <f t="shared" si="397"/>
        <v>1</v>
      </c>
      <c r="S2905">
        <f t="shared" si="399"/>
        <v>915.70854338755908</v>
      </c>
      <c r="T2905" s="564">
        <f>IF((I2905-MAX(I$470:I2905))/MAX(I$470:I2905)&gt;T2904,T2904,(I2905-MAX(I$470:I2905))/MAX(I$470:I2905))</f>
        <v>-0.91338805338419748</v>
      </c>
      <c r="U2905" s="564">
        <f>IF((J2905-MAX(J$470:J2905))/MAX(J$470:J2905)&gt;U2904,U2904,(J2905-MAX(J$470:J2905))/MAX(J$470:J2905))</f>
        <v>-0.8283551177402233</v>
      </c>
      <c r="V2905" s="564">
        <f>IF((K2905-MAX(K$470:K2905))/MAX(K$470:K2905)&gt;V2904,V2904,(K2905-MAX(K$470:K2905))/MAX(K$470:K2905))</f>
        <v>-0.84885940676762139</v>
      </c>
      <c r="W2905" s="564">
        <f>IF((N2905-MAX(N$470:N2905))/MAX(N$470:N2905)&gt;W2904,W2904,(N2905-MAX(N$470:N2905))/MAX(N$470:N2905))</f>
        <v>-0.62788758315546067</v>
      </c>
      <c r="X2905" s="564">
        <f>IF((O2905-MAX(O$470:O2905))/MAX(O$470:O2905)&gt;X2904,X2904,(O2905-MAX(O$470:O2905))/MAX(O$470:O2905))</f>
        <v>-0.62788758315546067</v>
      </c>
    </row>
    <row r="2906" spans="1:24">
      <c r="A2906" s="799">
        <v>43308</v>
      </c>
      <c r="B2906">
        <v>7917.23</v>
      </c>
      <c r="C2906">
        <v>5507.7958710000003</v>
      </c>
      <c r="D2906">
        <v>1.589537</v>
      </c>
      <c r="E2906">
        <f>LN(D2906/参数实验室!$E$53)/参数实验室!$E$55</f>
        <v>-0.14622017217141464</v>
      </c>
      <c r="F2906">
        <f t="shared" si="398"/>
        <v>0.69567208114454182</v>
      </c>
      <c r="G2906">
        <f>LN(F2906/参数实验室!$E$58)/参数实验室!$E$59</f>
        <v>-0.38098742092571874</v>
      </c>
      <c r="H2906" s="856">
        <f>INDEX(神经网络!$G$10:$BO$70,MATCH(ROUND(G2906*2,1)/2,神经网络!$E$10:$E$70,0),MATCH(ROUND(E2906*2,1)/2,神经网络!$G$8:$BO$8,0))</f>
        <v>-0.58779147677555854</v>
      </c>
      <c r="I2906">
        <f t="shared" si="400"/>
        <v>518779.57783393725</v>
      </c>
      <c r="J2906">
        <f t="shared" si="401"/>
        <v>3159.1835920354301</v>
      </c>
      <c r="K2906">
        <f t="shared" si="402"/>
        <v>164.21317809507005</v>
      </c>
      <c r="L2906" s="4">
        <f>MIN(MAX(L2905*(1+MAX(MIN(((B2906-B2905)/B2905)/($K$7*卓尔金历!$N$40),0),-卓尔金历!$M$43))+MIN(MAX(((B2906-B2905)/B2905)/($K$7*卓尔金历!$N$40),0),卓尔金历!$M$43),0),1)</f>
        <v>0.33783802703561699</v>
      </c>
      <c r="M2906" s="4">
        <f>MIN(MAX(M2905*(1+MAX(MIN(((B2906-B2905)/B2905)/($K$7*30),0),-卓尔金历!$M$43))+MIN(MAX(((B2906-B2905)/B2905)/($K$7*7),0),卓尔金历!$M$43),0),1)</f>
        <v>0.66115751362490516</v>
      </c>
      <c r="N2906">
        <f t="shared" si="403"/>
        <v>210387.06765686275</v>
      </c>
      <c r="O2906">
        <f t="shared" si="404"/>
        <v>560178.63724609418</v>
      </c>
      <c r="P2906">
        <f t="shared" si="405"/>
        <v>-4.2219972103365137E-2</v>
      </c>
      <c r="Q2906">
        <f t="shared" si="396"/>
        <v>3.3714694817858819E-2</v>
      </c>
      <c r="R2906">
        <f t="shared" si="397"/>
        <v>2.5069675296354791E-2</v>
      </c>
      <c r="S2906">
        <f t="shared" si="399"/>
        <v>939.78891474314617</v>
      </c>
      <c r="T2906" s="564">
        <f>IF((I2906-MAX(I$470:I2906))/MAX(I$470:I2906)&gt;T2905,T2905,(I2906-MAX(I$470:I2906))/MAX(I$470:I2906))</f>
        <v>-0.91338805338419748</v>
      </c>
      <c r="U2906" s="564">
        <f>IF((J2906-MAX(J$470:J2906))/MAX(J$470:J2906)&gt;U2905,U2905,(J2906-MAX(J$470:J2906))/MAX(J$470:J2906))</f>
        <v>-0.8283551177402233</v>
      </c>
      <c r="V2906" s="564">
        <f>IF((K2906-MAX(K$470:K2906))/MAX(K$470:K2906)&gt;V2905,V2905,(K2906-MAX(K$470:K2906))/MAX(K$470:K2906))</f>
        <v>-0.84885940676762139</v>
      </c>
      <c r="W2906" s="564">
        <f>IF((N2906-MAX(N$470:N2906))/MAX(N$470:N2906)&gt;W2905,W2905,(N2906-MAX(N$470:N2906))/MAX(N$470:N2906))</f>
        <v>-0.62788758315546067</v>
      </c>
      <c r="X2906" s="564">
        <f>IF((O2906-MAX(O$470:O2906))/MAX(O$470:O2906)&gt;X2905,X2905,(O2906-MAX(O$470:O2906))/MAX(O$470:O2906))</f>
        <v>-0.62788758315546067</v>
      </c>
    </row>
    <row r="2907" spans="1:24">
      <c r="A2907" s="799">
        <v>43309</v>
      </c>
      <c r="B2907">
        <v>8183.19</v>
      </c>
      <c r="C2907">
        <v>5553.9708179999998</v>
      </c>
      <c r="D2907">
        <v>1.591958</v>
      </c>
      <c r="E2907">
        <f>LN(D2907/参数实验室!$E$53)/参数实验室!$E$55</f>
        <v>-0.1444246746741929</v>
      </c>
      <c r="F2907">
        <f t="shared" si="398"/>
        <v>0.67870485935191538</v>
      </c>
      <c r="G2907">
        <f>LN(F2907/参数实验室!$E$58)/参数实验室!$E$59</f>
        <v>-0.39394713692866851</v>
      </c>
      <c r="H2907" s="856">
        <f>INDEX(神经网络!$G$10:$BO$70,MATCH(ROUND(G2907*2,1)/2,神经网络!$E$10:$E$70,0),MATCH(ROUND(E2907*2,1)/2,神经网络!$G$8:$BO$8,0))</f>
        <v>-0.58779147677555854</v>
      </c>
      <c r="I2907">
        <f t="shared" si="400"/>
        <v>508536.05786517903</v>
      </c>
      <c r="J2907">
        <f t="shared" si="401"/>
        <v>3265.3086469015566</v>
      </c>
      <c r="K2907">
        <f t="shared" si="402"/>
        <v>155.73904731723528</v>
      </c>
      <c r="L2907" s="4">
        <f>MIN(MAX(L2906*(1+MAX(MIN(((B2907-B2906)/B2906)/($K$7*卓尔金历!$N$40),0),-卓尔金历!$M$43))+MIN(MAX(((B2907-B2906)/B2906)/($K$7*卓尔金历!$N$40),0),卓尔金历!$M$43),0),1)</f>
        <v>0.8511000615199853</v>
      </c>
      <c r="M2907" s="4">
        <f>MIN(MAX(M2906*(1+MAX(MIN(((B2907-B2906)/B2906)/($K$7*30),0),-卓尔金历!$M$43))+MIN(MAX(((B2907-B2906)/B2906)/($K$7*7),0),卓尔金历!$M$43),0),1)</f>
        <v>1</v>
      </c>
      <c r="N2907">
        <f t="shared" si="403"/>
        <v>208983.6274329045</v>
      </c>
      <c r="O2907">
        <f t="shared" si="404"/>
        <v>552865.59929041844</v>
      </c>
      <c r="P2907">
        <f t="shared" si="405"/>
        <v>3.3592556992786626E-2</v>
      </c>
      <c r="Q2907">
        <f t="shared" si="396"/>
        <v>3.410001968453346E-2</v>
      </c>
      <c r="R2907">
        <f t="shared" si="397"/>
        <v>4.9213631166752946E-2</v>
      </c>
      <c r="S2907">
        <f t="shared" si="399"/>
        <v>939.32370867183408</v>
      </c>
      <c r="T2907" s="564">
        <f>IF((I2907-MAX(I$470:I2907))/MAX(I$470:I2907)&gt;T2906,T2906,(I2907-MAX(I$470:I2907))/MAX(I$470:I2907))</f>
        <v>-0.91338805338419748</v>
      </c>
      <c r="U2907" s="564">
        <f>IF((J2907-MAX(J$470:J2907))/MAX(J$470:J2907)&gt;U2906,U2906,(J2907-MAX(J$470:J2907))/MAX(J$470:J2907))</f>
        <v>-0.8283551177402233</v>
      </c>
      <c r="V2907" s="564">
        <f>IF((K2907-MAX(K$470:K2907))/MAX(K$470:K2907)&gt;V2906,V2906,(K2907-MAX(K$470:K2907))/MAX(K$470:K2907))</f>
        <v>-0.84885940676762139</v>
      </c>
      <c r="W2907" s="564">
        <f>IF((N2907-MAX(N$470:N2907))/MAX(N$470:N2907)&gt;W2906,W2906,(N2907-MAX(N$470:N2907))/MAX(N$470:N2907))</f>
        <v>-0.62788758315546067</v>
      </c>
      <c r="X2907" s="564">
        <f>IF((O2907-MAX(O$470:O2907))/MAX(O$470:O2907)&gt;X2906,X2906,(O2907-MAX(O$470:O2907))/MAX(O$470:O2907))</f>
        <v>-0.62788758315546067</v>
      </c>
    </row>
    <row r="2908" spans="1:24">
      <c r="A2908" s="799">
        <v>43310</v>
      </c>
      <c r="B2908">
        <v>8210.6200000000008</v>
      </c>
      <c r="C2908">
        <v>5486.1714819999997</v>
      </c>
      <c r="D2908">
        <v>1.5980939999999999</v>
      </c>
      <c r="E2908">
        <f>LN(D2908/参数实验室!$E$53)/参数实验室!$E$55</f>
        <v>-0.13988620644073116</v>
      </c>
      <c r="F2908">
        <f t="shared" si="398"/>
        <v>0.66817992819056282</v>
      </c>
      <c r="G2908">
        <f>LN(F2908/参数实验室!$E$58)/参数实验室!$E$59</f>
        <v>-0.40215001391812411</v>
      </c>
      <c r="H2908" s="856">
        <f>INDEX(神经网络!$G$10:$BO$70,MATCH(ROUND(G2908*2,1)/2,神经网络!$E$10:$E$70,0),MATCH(ROUND(E2908*2,1)/2,神经网络!$G$8:$BO$8,0))</f>
        <v>-0.58779147677555854</v>
      </c>
      <c r="I2908">
        <f t="shared" si="400"/>
        <v>507534.10288294847</v>
      </c>
      <c r="J2908">
        <f t="shared" si="401"/>
        <v>3276.2539403854566</v>
      </c>
      <c r="K2908">
        <f t="shared" si="402"/>
        <v>154.91293169516533</v>
      </c>
      <c r="L2908" s="4">
        <f>MIN(MAX(L2907*(1+MAX(MIN(((B2908-B2907)/B2907)/($K$7*卓尔金历!$N$40),0),-卓尔金历!$M$43))+MIN(MAX(((B2908-B2907)/B2907)/($K$7*卓尔金历!$N$40),0),卓尔金历!$M$43),0),1)</f>
        <v>0.90231530611263888</v>
      </c>
      <c r="M2908" s="4">
        <f>MIN(MAX(M2907*(1+MAX(MIN(((B2908-B2907)/B2907)/($K$7*30),0),-卓尔金历!$M$43))+MIN(MAX(((B2908-B2907)/B2907)/($K$7*7),0),卓尔金历!$M$43),0),1)</f>
        <v>1</v>
      </c>
      <c r="N2908">
        <f t="shared" si="403"/>
        <v>208633.18285727364</v>
      </c>
      <c r="O2908">
        <f t="shared" si="404"/>
        <v>551776.3029993386</v>
      </c>
      <c r="P2908">
        <f t="shared" si="405"/>
        <v>3.3519935379725022E-3</v>
      </c>
      <c r="Q2908">
        <f t="shared" si="396"/>
        <v>3.3854873161815291E-2</v>
      </c>
      <c r="R2908">
        <f t="shared" si="397"/>
        <v>1</v>
      </c>
      <c r="S2908">
        <f t="shared" si="399"/>
        <v>939.23262780582832</v>
      </c>
      <c r="T2908" s="564">
        <f>IF((I2908-MAX(I$470:I2908))/MAX(I$470:I2908)&gt;T2907,T2907,(I2908-MAX(I$470:I2908))/MAX(I$470:I2908))</f>
        <v>-0.91338805338419748</v>
      </c>
      <c r="U2908" s="564">
        <f>IF((J2908-MAX(J$470:J2908))/MAX(J$470:J2908)&gt;U2907,U2907,(J2908-MAX(J$470:J2908))/MAX(J$470:J2908))</f>
        <v>-0.8283551177402233</v>
      </c>
      <c r="V2908" s="564">
        <f>IF((K2908-MAX(K$470:K2908))/MAX(K$470:K2908)&gt;V2907,V2907,(K2908-MAX(K$470:K2908))/MAX(K$470:K2908))</f>
        <v>-0.84885940676762139</v>
      </c>
      <c r="W2908" s="564">
        <f>IF((N2908-MAX(N$470:N2908))/MAX(N$470:N2908)&gt;W2907,W2907,(N2908-MAX(N$470:N2908))/MAX(N$470:N2908))</f>
        <v>-0.62788758315546067</v>
      </c>
      <c r="X2908" s="564">
        <f>IF((O2908-MAX(O$470:O2908))/MAX(O$470:O2908)&gt;X2907,X2907,(O2908-MAX(O$470:O2908))/MAX(O$470:O2908))</f>
        <v>-0.62788758315546067</v>
      </c>
    </row>
    <row r="2909" spans="1:24">
      <c r="A2909" s="799">
        <v>43311</v>
      </c>
      <c r="B2909">
        <v>8139.36</v>
      </c>
      <c r="C2909">
        <v>5513.5312480000002</v>
      </c>
      <c r="D2909">
        <v>1.5863149999999999</v>
      </c>
      <c r="E2909">
        <f>LN(D2909/参数实验室!$E$53)/参数实验室!$E$55</f>
        <v>-0.14861396524251794</v>
      </c>
      <c r="F2909">
        <f t="shared" si="398"/>
        <v>0.6773912504177233</v>
      </c>
      <c r="G2909">
        <f>LN(F2909/参数实验室!$E$58)/参数实验室!$E$59</f>
        <v>-0.39496395744871071</v>
      </c>
      <c r="H2909" s="856">
        <f>INDEX(神经网络!$G$10:$BO$70,MATCH(ROUND(G2909*2,1)/2,神经网络!$E$10:$E$70,0),MATCH(ROUND(E2909*2,1)/2,神经网络!$G$8:$BO$8,0))</f>
        <v>-0.58779147677555854</v>
      </c>
      <c r="I2909">
        <f t="shared" si="400"/>
        <v>510123.25984141626</v>
      </c>
      <c r="J2909">
        <f t="shared" si="401"/>
        <v>3247.8193208571051</v>
      </c>
      <c r="K2909">
        <f t="shared" si="402"/>
        <v>157.06639115220051</v>
      </c>
      <c r="L2909" s="4">
        <f>MIN(MAX(L2908*(1+MAX(MIN(((B2909-B2908)/B2908)/($K$7*卓尔金历!$N$40),0),-卓尔金历!$M$43))+MIN(MAX(((B2909-B2908)/B2908)/($K$7*卓尔金历!$N$40),0),卓尔金历!$M$43),0),1)</f>
        <v>0.78266211982219658</v>
      </c>
      <c r="M2909" s="4">
        <f>MIN(MAX(M2908*(1+MAX(MIN(((B2909-B2908)/B2908)/($K$7*30),0),-卓尔金历!$M$43))+MIN(MAX(((B2909-B2908)/B2908)/($K$7*7),0),卓尔金历!$M$43),0),1)</f>
        <v>0.93369657730514788</v>
      </c>
      <c r="N2909">
        <f t="shared" si="403"/>
        <v>209593.54461449705</v>
      </c>
      <c r="O2909">
        <f t="shared" si="404"/>
        <v>554591.15907760663</v>
      </c>
      <c r="P2909">
        <f t="shared" si="405"/>
        <v>-8.6790035344469878E-3</v>
      </c>
      <c r="Q2909">
        <f t="shared" si="396"/>
        <v>3.3817002032506219E-2</v>
      </c>
      <c r="R2909">
        <f t="shared" si="397"/>
        <v>1</v>
      </c>
      <c r="S2909">
        <f t="shared" si="399"/>
        <v>944.02407074550456</v>
      </c>
      <c r="T2909" s="564">
        <f>IF((I2909-MAX(I$470:I2909))/MAX(I$470:I2909)&gt;T2908,T2908,(I2909-MAX(I$470:I2909))/MAX(I$470:I2909))</f>
        <v>-0.91338805338419748</v>
      </c>
      <c r="U2909" s="564">
        <f>IF((J2909-MAX(J$470:J2909))/MAX(J$470:J2909)&gt;U2908,U2908,(J2909-MAX(J$470:J2909))/MAX(J$470:J2909))</f>
        <v>-0.8283551177402233</v>
      </c>
      <c r="V2909" s="564">
        <f>IF((K2909-MAX(K$470:K2909))/MAX(K$470:K2909)&gt;V2908,V2908,(K2909-MAX(K$470:K2909))/MAX(K$470:K2909))</f>
        <v>-0.84885940676762139</v>
      </c>
      <c r="W2909" s="564">
        <f>IF((N2909-MAX(N$470:N2909))/MAX(N$470:N2909)&gt;W2908,W2908,(N2909-MAX(N$470:N2909))/MAX(N$470:N2909))</f>
        <v>-0.62788758315546067</v>
      </c>
      <c r="X2909" s="564">
        <f>IF((O2909-MAX(O$470:O2909))/MAX(O$470:O2909)&gt;X2908,X2908,(O2909-MAX(O$470:O2909))/MAX(O$470:O2909))</f>
        <v>-0.62788758315546067</v>
      </c>
    </row>
    <row r="2910" spans="1:24">
      <c r="A2910" s="799">
        <v>43312</v>
      </c>
      <c r="B2910">
        <v>8131.98</v>
      </c>
      <c r="C2910">
        <v>5515.4098320000003</v>
      </c>
      <c r="D2910">
        <v>1.5000249999999999</v>
      </c>
      <c r="E2910">
        <f>LN(D2910/参数实验室!$E$53)/参数实验室!$E$55</f>
        <v>-0.21459985492639061</v>
      </c>
      <c r="F2910">
        <f t="shared" si="398"/>
        <v>0.67823701386378232</v>
      </c>
      <c r="G2910">
        <f>LN(F2910/参数实验室!$E$58)/参数实验室!$E$59</f>
        <v>-0.39430905457681653</v>
      </c>
      <c r="H2910" s="856">
        <f>INDEX(神经网络!$G$10:$BO$70,MATCH(ROUND(G2910*2,1)/2,神经网络!$E$10:$E$70,0),MATCH(ROUND(E2910*2,1)/2,神经网络!$G$8:$BO$8,0))</f>
        <v>-0.62285645839876758</v>
      </c>
      <c r="I2910">
        <f t="shared" si="400"/>
        <v>510395.13186197926</v>
      </c>
      <c r="J2910">
        <f t="shared" si="401"/>
        <v>3244.8745062048565</v>
      </c>
      <c r="K2910">
        <f t="shared" si="402"/>
        <v>157.29271837354588</v>
      </c>
      <c r="L2910" s="4">
        <f>MIN(MAX(L2909*(1+MAX(MIN(((B2910-B2909)/B2909)/($K$7*卓尔金历!$N$40),0),-卓尔金历!$M$43))+MIN(MAX(((B2910-B2909)/B2909)/($K$7*卓尔金历!$N$40),0),卓尔金历!$M$43),0),1)</f>
        <v>0.77181944339412412</v>
      </c>
      <c r="M2910" s="4">
        <f>MIN(MAX(M2909*(1+MAX(MIN(((B2910-B2909)/B2909)/($K$7*30),0),-卓尔金历!$M$43))+MIN(MAX(((B2910-B2909)/B2909)/($K$7*7),0),卓尔金历!$M$43),0),1)</f>
        <v>0.92722905472208339</v>
      </c>
      <c r="N2910">
        <f t="shared" si="403"/>
        <v>209680.97081526459</v>
      </c>
      <c r="O2910">
        <f t="shared" si="404"/>
        <v>554867.13303257211</v>
      </c>
      <c r="P2910">
        <f t="shared" si="405"/>
        <v>-9.0670519549449955E-4</v>
      </c>
      <c r="Q2910">
        <f t="shared" si="396"/>
        <v>3.3559336741445518E-2</v>
      </c>
      <c r="R2910">
        <f t="shared" si="397"/>
        <v>1</v>
      </c>
      <c r="S2910">
        <f t="shared" si="399"/>
        <v>944.52719175914638</v>
      </c>
      <c r="T2910" s="564">
        <f>IF((I2910-MAX(I$470:I2910))/MAX(I$470:I2910)&gt;T2909,T2909,(I2910-MAX(I$470:I2910))/MAX(I$470:I2910))</f>
        <v>-0.91338805338419748</v>
      </c>
      <c r="U2910" s="564">
        <f>IF((J2910-MAX(J$470:J2910))/MAX(J$470:J2910)&gt;U2909,U2909,(J2910-MAX(J$470:J2910))/MAX(J$470:J2910))</f>
        <v>-0.8283551177402233</v>
      </c>
      <c r="V2910" s="564">
        <f>IF((K2910-MAX(K$470:K2910))/MAX(K$470:K2910)&gt;V2909,V2909,(K2910-MAX(K$470:K2910))/MAX(K$470:K2910))</f>
        <v>-0.84885940676762139</v>
      </c>
      <c r="W2910" s="564">
        <f>IF((N2910-MAX(N$470:N2910))/MAX(N$470:N2910)&gt;W2909,W2909,(N2910-MAX(N$470:N2910))/MAX(N$470:N2910))</f>
        <v>-0.62788758315546067</v>
      </c>
      <c r="X2910" s="564">
        <f>IF((O2910-MAX(O$470:O2910))/MAX(O$470:O2910)&gt;X2909,X2909,(O2910-MAX(O$470:O2910))/MAX(O$470:O2910))</f>
        <v>-0.62788758315546067</v>
      </c>
    </row>
    <row r="2911" spans="1:24">
      <c r="A2911" s="799">
        <v>43313</v>
      </c>
      <c r="B2911">
        <v>7568</v>
      </c>
      <c r="C2911">
        <v>5484.3479079999997</v>
      </c>
      <c r="D2911">
        <v>1.4754879999999999</v>
      </c>
      <c r="E2911">
        <f>LN(D2911/参数实验室!$E$53)/参数实验室!$E$55</f>
        <v>-0.23405751586446513</v>
      </c>
      <c r="F2911">
        <f t="shared" si="398"/>
        <v>0.7246759920718816</v>
      </c>
      <c r="G2911">
        <f>LN(F2911/参数实验室!$E$58)/参数实验室!$E$59</f>
        <v>-0.35954910359620146</v>
      </c>
      <c r="H2911" s="856">
        <f>INDEX(神经网络!$G$10:$BO$70,MATCH(ROUND(G2911*2,1)/2,神经网络!$E$10:$E$70,0),MATCH(ROUND(E2911*2,1)/2,神经网络!$G$8:$BO$8,0))</f>
        <v>-0.5864484419700331</v>
      </c>
      <c r="I2911">
        <f t="shared" si="400"/>
        <v>532442.76108874462</v>
      </c>
      <c r="J2911">
        <f t="shared" si="401"/>
        <v>3019.8316108694753</v>
      </c>
      <c r="K2911">
        <f t="shared" si="402"/>
        <v>176.31538102067975</v>
      </c>
      <c r="L2911" s="4">
        <f>MIN(MAX(L2910*(1+MAX(MIN(((B2911-B2910)/B2910)/($K$7*卓尔金历!$N$40),0),-卓尔金历!$M$43))+MIN(MAX(((B2911-B2910)/B2910)/($K$7*卓尔金历!$N$40),0),卓尔金历!$M$43),0),1)</f>
        <v>0</v>
      </c>
      <c r="M2911" s="4">
        <f>MIN(MAX(M2910*(1+MAX(MIN(((B2911-B2910)/B2910)/($K$7*30),0),-卓尔金历!$M$43))+MIN(MAX(((B2911-B2910)/B2910)/($K$7*7),0),卓尔金历!$M$43),0),1)</f>
        <v>0.43595874740473833</v>
      </c>
      <c r="N2911">
        <f t="shared" si="403"/>
        <v>216671.82279980427</v>
      </c>
      <c r="O2911">
        <f t="shared" si="404"/>
        <v>577091.60266668152</v>
      </c>
      <c r="P2911">
        <f t="shared" si="405"/>
        <v>-6.9353343220224295E-2</v>
      </c>
      <c r="Q2911">
        <f t="shared" si="396"/>
        <v>3.5604803291090469E-2</v>
      </c>
      <c r="R2911">
        <f t="shared" si="397"/>
        <v>1.1184192601169238E-2</v>
      </c>
      <c r="S2911">
        <f t="shared" si="399"/>
        <v>985.32810073829978</v>
      </c>
      <c r="T2911" s="564">
        <f>IF((I2911-MAX(I$470:I2911))/MAX(I$470:I2911)&gt;T2910,T2910,(I2911-MAX(I$470:I2911))/MAX(I$470:I2911))</f>
        <v>-0.91338805338419748</v>
      </c>
      <c r="U2911" s="564">
        <f>IF((J2911-MAX(J$470:J2911))/MAX(J$470:J2911)&gt;U2910,U2910,(J2911-MAX(J$470:J2911))/MAX(J$470:J2911))</f>
        <v>-0.8283551177402233</v>
      </c>
      <c r="V2911" s="564">
        <f>IF((K2911-MAX(K$470:K2911))/MAX(K$470:K2911)&gt;V2910,V2910,(K2911-MAX(K$470:K2911))/MAX(K$470:K2911))</f>
        <v>-0.84885940676762139</v>
      </c>
      <c r="W2911" s="564">
        <f>IF((N2911-MAX(N$470:N2911))/MAX(N$470:N2911)&gt;W2910,W2910,(N2911-MAX(N$470:N2911))/MAX(N$470:N2911))</f>
        <v>-0.62788758315546067</v>
      </c>
      <c r="X2911" s="564">
        <f>IF((O2911-MAX(O$470:O2911))/MAX(O$470:O2911)&gt;X2910,X2910,(O2911-MAX(O$470:O2911))/MAX(O$470:O2911))</f>
        <v>-0.62788758315546067</v>
      </c>
    </row>
    <row r="2912" spans="1:24">
      <c r="A2912" s="799">
        <v>43314</v>
      </c>
      <c r="B2912">
        <v>7707.07</v>
      </c>
      <c r="C2912">
        <v>5353.3915390000002</v>
      </c>
      <c r="D2912">
        <v>1.465503</v>
      </c>
      <c r="E2912">
        <f>LN(D2912/参数实验室!$E$53)/参数实验室!$E$55</f>
        <v>-0.24206834038085867</v>
      </c>
      <c r="F2912">
        <f t="shared" si="398"/>
        <v>0.69460787809115532</v>
      </c>
      <c r="G2912">
        <f>LN(F2912/参数实验室!$E$58)/参数实验室!$E$59</f>
        <v>-0.38179093014788595</v>
      </c>
      <c r="H2912" s="856">
        <f>INDEX(神经网络!$G$10:$BO$70,MATCH(ROUND(G2912*2,1)/2,神经网络!$E$10:$E$70,0),MATCH(ROUND(E2912*2,1)/2,神经网络!$G$8:$BO$8,0))</f>
        <v>-0.6555766345053301</v>
      </c>
      <c r="I2912">
        <f t="shared" si="400"/>
        <v>526704.83308091178</v>
      </c>
      <c r="J2912">
        <f t="shared" si="401"/>
        <v>3075.3242089302071</v>
      </c>
      <c r="K2912">
        <f t="shared" si="402"/>
        <v>171.26806713628841</v>
      </c>
      <c r="L2912" s="4">
        <f>MIN(MAX(L2911*(1+MAX(MIN(((B2912-B2911)/B2911)/($K$7*卓尔金历!$N$40),0),-卓尔金历!$M$43))+MIN(MAX(((B2912-B2911)/B2911)/($K$7*卓尔金历!$N$40),0),卓尔金历!$M$43),0),1)</f>
        <v>0.28076851803706665</v>
      </c>
      <c r="M2912" s="4">
        <f>MIN(MAX(M2911*(1+MAX(MIN(((B2912-B2911)/B2911)/($K$7*30),0),-卓尔金历!$M$43))+MIN(MAX(((B2912-B2911)/B2911)/($K$7*7),0),卓尔金历!$M$43),0),1)</f>
        <v>1</v>
      </c>
      <c r="N2912">
        <f t="shared" si="403"/>
        <v>216671.82279980427</v>
      </c>
      <c r="O2912">
        <f t="shared" si="404"/>
        <v>574380.33547348029</v>
      </c>
      <c r="P2912">
        <f t="shared" si="405"/>
        <v>1.8376057082452393E-2</v>
      </c>
      <c r="Q2912">
        <f t="shared" si="396"/>
        <v>3.4978861201765875E-2</v>
      </c>
      <c r="R2912">
        <f t="shared" si="397"/>
        <v>0.70221879093291029</v>
      </c>
      <c r="S2912">
        <f t="shared" si="399"/>
        <v>985.20934142597616</v>
      </c>
      <c r="T2912" s="564">
        <f>IF((I2912-MAX(I$470:I2912))/MAX(I$470:I2912)&gt;T2911,T2911,(I2912-MAX(I$470:I2912))/MAX(I$470:I2912))</f>
        <v>-0.91338805338419748</v>
      </c>
      <c r="U2912" s="564">
        <f>IF((J2912-MAX(J$470:J2912))/MAX(J$470:J2912)&gt;U2911,U2911,(J2912-MAX(J$470:J2912))/MAX(J$470:J2912))</f>
        <v>-0.8283551177402233</v>
      </c>
      <c r="V2912" s="564">
        <f>IF((K2912-MAX(K$470:K2912))/MAX(K$470:K2912)&gt;V2911,V2911,(K2912-MAX(K$470:K2912))/MAX(K$470:K2912))</f>
        <v>-0.84885940676762139</v>
      </c>
      <c r="W2912" s="564">
        <f>IF((N2912-MAX(N$470:N2912))/MAX(N$470:N2912)&gt;W2911,W2911,(N2912-MAX(N$470:N2912))/MAX(N$470:N2912))</f>
        <v>-0.62788758315546067</v>
      </c>
      <c r="X2912" s="564">
        <f>IF((O2912-MAX(O$470:O2912))/MAX(O$470:O2912)&gt;X2911,X2911,(O2912-MAX(O$470:O2912))/MAX(O$470:O2912))</f>
        <v>-0.62788758315546067</v>
      </c>
    </row>
    <row r="2913" spans="1:24">
      <c r="A2913" s="799">
        <v>43315</v>
      </c>
      <c r="B2913">
        <v>7343.75</v>
      </c>
      <c r="C2913">
        <v>5243.9065579999997</v>
      </c>
      <c r="D2913">
        <v>1.440984</v>
      </c>
      <c r="E2913">
        <f>LN(D2913/参数实验室!$E$53)/参数实验室!$E$55</f>
        <v>-0.26197350837477468</v>
      </c>
      <c r="F2913">
        <f t="shared" si="398"/>
        <v>0.7140638717276595</v>
      </c>
      <c r="G2913">
        <f>LN(F2913/参数实验室!$E$58)/参数实验室!$E$59</f>
        <v>-0.36729187269655489</v>
      </c>
      <c r="H2913" s="856">
        <f>INDEX(神经网络!$G$10:$BO$70,MATCH(ROUND(G2913*2,1)/2,神经网络!$E$10:$E$70,0),MATCH(ROUND(E2913*2,1)/2,神经网络!$G$8:$BO$8,0))</f>
        <v>-0.5864484419700331</v>
      </c>
      <c r="I2913">
        <f t="shared" si="400"/>
        <v>542982.4480673247</v>
      </c>
      <c r="J2913">
        <f t="shared" si="401"/>
        <v>2930.3499461314364</v>
      </c>
      <c r="K2913">
        <f t="shared" si="402"/>
        <v>185.29611072020751</v>
      </c>
      <c r="L2913" s="4">
        <f>MIN(MAX(L2912*(1+MAX(MIN(((B2913-B2912)/B2912)/($K$7*卓尔金历!$N$40),0),-卓尔金历!$M$43))+MIN(MAX(((B2913-B2912)/B2912)/($K$7*卓尔金历!$N$40),0),卓尔金历!$M$43),0),1)</f>
        <v>7.8539026402595358E-2</v>
      </c>
      <c r="M2913" s="4">
        <f>MIN(MAX(M2912*(1+MAX(MIN(((B2913-B2912)/B2912)/($K$7*30),0),-卓尔金历!$M$43))+MIN(MAX(((B2913-B2912)/B2912)/($K$7*7),0),卓尔金历!$M$43),0),1)</f>
        <v>0.63986437466651225</v>
      </c>
      <c r="N2913">
        <f t="shared" si="403"/>
        <v>218551.89407928646</v>
      </c>
      <c r="O2913">
        <f t="shared" si="404"/>
        <v>592131.34394992562</v>
      </c>
      <c r="P2913">
        <f t="shared" si="405"/>
        <v>-4.7141131454625396E-2</v>
      </c>
      <c r="Q2913">
        <f t="shared" si="396"/>
        <v>3.7085063780734201E-2</v>
      </c>
      <c r="R2913">
        <f t="shared" si="397"/>
        <v>2.6586326920970373E-2</v>
      </c>
      <c r="S2913">
        <f t="shared" si="399"/>
        <v>1006.5901653089297</v>
      </c>
      <c r="T2913" s="564">
        <f>IF((I2913-MAX(I$470:I2913))/MAX(I$470:I2913)&gt;T2912,T2912,(I2913-MAX(I$470:I2913))/MAX(I$470:I2913))</f>
        <v>-0.91338805338419748</v>
      </c>
      <c r="U2913" s="564">
        <f>IF((J2913-MAX(J$470:J2913))/MAX(J$470:J2913)&gt;U2912,U2912,(J2913-MAX(J$470:J2913))/MAX(J$470:J2913))</f>
        <v>-0.8283551177402233</v>
      </c>
      <c r="V2913" s="564">
        <f>IF((K2913-MAX(K$470:K2913))/MAX(K$470:K2913)&gt;V2912,V2912,(K2913-MAX(K$470:K2913))/MAX(K$470:K2913))</f>
        <v>-0.84885940676762139</v>
      </c>
      <c r="W2913" s="564">
        <f>IF((N2913-MAX(N$470:N2913))/MAX(N$470:N2913)&gt;W2912,W2912,(N2913-MAX(N$470:N2913))/MAX(N$470:N2913))</f>
        <v>-0.62788758315546067</v>
      </c>
      <c r="X2913" s="564">
        <f>IF((O2913-MAX(O$470:O2913))/MAX(O$470:O2913)&gt;X2912,X2912,(O2913-MAX(O$470:O2913))/MAX(O$470:O2913))</f>
        <v>-0.62788758315546067</v>
      </c>
    </row>
    <row r="2914" spans="1:24">
      <c r="A2914" s="799">
        <v>43316</v>
      </c>
      <c r="B2914">
        <v>7473.89</v>
      </c>
      <c r="C2914">
        <v>5114.1955580000003</v>
      </c>
      <c r="D2914">
        <v>1.3629039999999999</v>
      </c>
      <c r="E2914">
        <f>LN(D2914/参数实验室!$E$53)/参数实验室!$E$55</f>
        <v>-0.32769578747187478</v>
      </c>
      <c r="F2914">
        <f t="shared" si="398"/>
        <v>0.6842749301903025</v>
      </c>
      <c r="G2914">
        <f>LN(F2914/参数实验室!$E$58)/参数实验室!$E$59</f>
        <v>-0.38965728538815642</v>
      </c>
      <c r="H2914" s="856">
        <f>INDEX(神经网络!$G$10:$BO$70,MATCH(ROUND(G2914*2,1)/2,神经网络!$E$10:$E$70,0),MATCH(ROUND(E2914*2,1)/2,神经网络!$G$8:$BO$8,0))</f>
        <v>-0.71502507457718045</v>
      </c>
      <c r="I2914">
        <f t="shared" si="400"/>
        <v>537339.46760656603</v>
      </c>
      <c r="J2914">
        <f t="shared" si="401"/>
        <v>2982.2792386576725</v>
      </c>
      <c r="K2914">
        <f t="shared" si="402"/>
        <v>180.17744973083848</v>
      </c>
      <c r="L2914" s="4">
        <f>MIN(MAX(L2913*(1+MAX(MIN(((B2914-B2913)/B2913)/($K$7*卓尔金历!$N$40),0),-卓尔金历!$M$43))+MIN(MAX(((B2914-B2913)/B2913)/($K$7*卓尔金历!$N$40),0),卓尔金历!$M$43),0),1)</f>
        <v>0.3493018266047353</v>
      </c>
      <c r="M2914" s="4">
        <f>MIN(MAX(M2913*(1+MAX(MIN(((B2914-B2913)/B2913)/($K$7*30),0),-卓尔金历!$M$43))+MIN(MAX(((B2914-B2913)/B2913)/($K$7*7),0),卓尔金历!$M$43),0),1)</f>
        <v>1</v>
      </c>
      <c r="N2914">
        <f t="shared" si="403"/>
        <v>218373.50722659999</v>
      </c>
      <c r="O2914">
        <f t="shared" si="404"/>
        <v>588193.76987602143</v>
      </c>
      <c r="P2914">
        <f t="shared" si="405"/>
        <v>1.7721191489361746E-2</v>
      </c>
      <c r="Q2914">
        <f t="shared" si="396"/>
        <v>3.7022672801891955E-2</v>
      </c>
      <c r="R2914">
        <f t="shared" si="397"/>
        <v>0.80117752170910439</v>
      </c>
      <c r="S2914">
        <f t="shared" si="399"/>
        <v>1006.3120443110423</v>
      </c>
      <c r="T2914" s="564">
        <f>IF((I2914-MAX(I$470:I2914))/MAX(I$470:I2914)&gt;T2913,T2913,(I2914-MAX(I$470:I2914))/MAX(I$470:I2914))</f>
        <v>-0.91338805338419748</v>
      </c>
      <c r="U2914" s="564">
        <f>IF((J2914-MAX(J$470:J2914))/MAX(J$470:J2914)&gt;U2913,U2913,(J2914-MAX(J$470:J2914))/MAX(J$470:J2914))</f>
        <v>-0.8283551177402233</v>
      </c>
      <c r="V2914" s="564">
        <f>IF((K2914-MAX(K$470:K2914))/MAX(K$470:K2914)&gt;V2913,V2913,(K2914-MAX(K$470:K2914))/MAX(K$470:K2914))</f>
        <v>-0.84885940676762139</v>
      </c>
      <c r="W2914" s="564">
        <f>IF((N2914-MAX(N$470:N2914))/MAX(N$470:N2914)&gt;W2913,W2913,(N2914-MAX(N$470:N2914))/MAX(N$470:N2914))</f>
        <v>-0.62788758315546067</v>
      </c>
      <c r="X2914" s="564">
        <f>IF((O2914-MAX(O$470:O2914))/MAX(O$470:O2914)&gt;X2913,X2913,(O2914-MAX(O$470:O2914))/MAX(O$470:O2914))</f>
        <v>-0.62788758315546067</v>
      </c>
    </row>
    <row r="2915" spans="1:24">
      <c r="A2915" s="799">
        <v>43317</v>
      </c>
      <c r="B2915">
        <v>6996.36</v>
      </c>
      <c r="C2915">
        <v>5116.0910249999997</v>
      </c>
      <c r="D2915">
        <v>1.36894</v>
      </c>
      <c r="E2915">
        <f>LN(D2915/参数实验室!$E$53)/参数实验室!$E$55</f>
        <v>-0.3224824574511419</v>
      </c>
      <c r="F2915">
        <f t="shared" si="398"/>
        <v>0.7312503966348215</v>
      </c>
      <c r="G2915">
        <f>LN(F2915/参数实验室!$E$58)/参数实验室!$E$59</f>
        <v>-0.35480899270011534</v>
      </c>
      <c r="H2915" s="856">
        <f>INDEX(神经网络!$G$10:$BO$70,MATCH(ROUND(G2915*2,1)/2,神经网络!$E$10:$E$70,0),MATCH(ROUND(E2915*2,1)/2,神经网络!$G$8:$BO$8,0))</f>
        <v>-0.62084997534914133</v>
      </c>
      <c r="I2915">
        <f t="shared" si="400"/>
        <v>561887.91171597771</v>
      </c>
      <c r="J2915">
        <f t="shared" si="401"/>
        <v>2791.7321734966654</v>
      </c>
      <c r="K2915">
        <f t="shared" si="402"/>
        <v>201.26855901517547</v>
      </c>
      <c r="L2915" s="4">
        <f>MIN(MAX(L2914*(1+MAX(MIN(((B2915-B2914)/B2914)/($K$7*卓尔金历!$N$40),0),-卓尔金历!$M$43))+MIN(MAX(((B2915-B2914)/B2914)/($K$7*卓尔金历!$N$40),0),卓尔金历!$M$43),0),1)</f>
        <v>8.3045629002171436E-3</v>
      </c>
      <c r="M2915" s="4">
        <f>MIN(MAX(M2914*(1+MAX(MIN(((B2915-B2914)/B2914)/($K$7*30),0),-卓尔金历!$M$43))+MIN(MAX(((B2915-B2914)/B2914)/($K$7*7),0),卓尔金历!$M$43),0),1)</f>
        <v>0.51188737399534767</v>
      </c>
      <c r="N2915">
        <f t="shared" si="403"/>
        <v>221858.29261261318</v>
      </c>
      <c r="O2915">
        <f t="shared" si="404"/>
        <v>615065.50135262671</v>
      </c>
      <c r="P2915">
        <f t="shared" si="405"/>
        <v>-6.3893099844926887E-2</v>
      </c>
      <c r="Q2915">
        <f t="shared" si="396"/>
        <v>4.0172307849626547E-2</v>
      </c>
      <c r="R2915">
        <f t="shared" si="397"/>
        <v>1.9842913357625485E-2</v>
      </c>
      <c r="S2915">
        <f t="shared" si="399"/>
        <v>1043.1450073784094</v>
      </c>
      <c r="T2915" s="564">
        <f>IF((I2915-MAX(I$470:I2915))/MAX(I$470:I2915)&gt;T2914,T2914,(I2915-MAX(I$470:I2915))/MAX(I$470:I2915))</f>
        <v>-0.91338805338419748</v>
      </c>
      <c r="U2915" s="564">
        <f>IF((J2915-MAX(J$470:J2915))/MAX(J$470:J2915)&gt;U2914,U2914,(J2915-MAX(J$470:J2915))/MAX(J$470:J2915))</f>
        <v>-0.8283551177402233</v>
      </c>
      <c r="V2915" s="564">
        <f>IF((K2915-MAX(K$470:K2915))/MAX(K$470:K2915)&gt;V2914,V2914,(K2915-MAX(K$470:K2915))/MAX(K$470:K2915))</f>
        <v>-0.84885940676762139</v>
      </c>
      <c r="W2915" s="564">
        <f>IF((N2915-MAX(N$470:N2915))/MAX(N$470:N2915)&gt;W2914,W2914,(N2915-MAX(N$470:N2915))/MAX(N$470:N2915))</f>
        <v>-0.62788758315546067</v>
      </c>
      <c r="X2915" s="564">
        <f>IF((O2915-MAX(O$470:O2915))/MAX(O$470:O2915)&gt;X2914,X2914,(O2915-MAX(O$470:O2915))/MAX(O$470:O2915))</f>
        <v>-0.62788758315546067</v>
      </c>
    </row>
    <row r="2916" spans="1:24">
      <c r="A2916" s="799">
        <v>43318</v>
      </c>
      <c r="B2916">
        <v>7020.76</v>
      </c>
      <c r="C2916">
        <v>5201.7027900000003</v>
      </c>
      <c r="D2916">
        <v>1.3504100000000001</v>
      </c>
      <c r="E2916">
        <f>LN(D2916/参数实验室!$E$53)/参数实验室!$E$55</f>
        <v>-0.33856068641767112</v>
      </c>
      <c r="F2916">
        <f t="shared" si="398"/>
        <v>0.74090309168807933</v>
      </c>
      <c r="G2916">
        <f>LN(F2916/参数实验室!$E$58)/参数实验室!$E$59</f>
        <v>-0.34792611170872467</v>
      </c>
      <c r="H2916" s="856">
        <f>INDEX(神经网络!$G$10:$BO$70,MATCH(ROUND(G2916*2,1)/2,神经网络!$E$10:$E$70,0),MATCH(ROUND(E2916*2,1)/2,神经网络!$G$8:$BO$8,0))</f>
        <v>-0.65265855327381539</v>
      </c>
      <c r="I2916">
        <f t="shared" si="400"/>
        <v>560671.29428266047</v>
      </c>
      <c r="J2916">
        <f t="shared" si="401"/>
        <v>2801.4684170623655</v>
      </c>
      <c r="K2916">
        <f t="shared" si="402"/>
        <v>200.13479033634201</v>
      </c>
      <c r="L2916" s="4">
        <f>MIN(MAX(L2915*(1+MAX(MIN(((B2916-B2915)/B2915)/($K$7*卓尔金历!$N$40),0),-卓尔金历!$M$43))+MIN(MAX(((B2916-B2915)/B2915)/($K$7*卓尔金历!$N$40),0),卓尔金历!$M$43),0),1)</f>
        <v>6.1590640956753664E-2</v>
      </c>
      <c r="M2916" s="4">
        <f>MIN(MAX(M2915*(1+MAX(MIN(((B2916-B2915)/B2915)/($K$7*30),0),-卓尔金历!$M$43))+MIN(MAX(((B2916-B2915)/B2915)/($K$7*7),0),卓尔金历!$M$43),0),1)</f>
        <v>0.62607182697364028</v>
      </c>
      <c r="N2916">
        <f t="shared" si="403"/>
        <v>221854.30331174342</v>
      </c>
      <c r="O2916">
        <f t="shared" si="404"/>
        <v>614383.79061856784</v>
      </c>
      <c r="P2916">
        <f t="shared" si="405"/>
        <v>3.4875278001704523E-3</v>
      </c>
      <c r="Q2916">
        <f t="shared" si="396"/>
        <v>4.0131382056902316E-2</v>
      </c>
      <c r="R2916">
        <f t="shared" si="397"/>
        <v>1</v>
      </c>
      <c r="S2916">
        <f t="shared" si="399"/>
        <v>1043.1001891726314</v>
      </c>
      <c r="T2916" s="564">
        <f>IF((I2916-MAX(I$470:I2916))/MAX(I$470:I2916)&gt;T2915,T2915,(I2916-MAX(I$470:I2916))/MAX(I$470:I2916))</f>
        <v>-0.91338805338419748</v>
      </c>
      <c r="U2916" s="564">
        <f>IF((J2916-MAX(J$470:J2916))/MAX(J$470:J2916)&gt;U2915,U2915,(J2916-MAX(J$470:J2916))/MAX(J$470:J2916))</f>
        <v>-0.8283551177402233</v>
      </c>
      <c r="V2916" s="564">
        <f>IF((K2916-MAX(K$470:K2916))/MAX(K$470:K2916)&gt;V2915,V2915,(K2916-MAX(K$470:K2916))/MAX(K$470:K2916))</f>
        <v>-0.84885940676762139</v>
      </c>
      <c r="W2916" s="564">
        <f>IF((N2916-MAX(N$470:N2916))/MAX(N$470:N2916)&gt;W2915,W2915,(N2916-MAX(N$470:N2916))/MAX(N$470:N2916))</f>
        <v>-0.62788758315546067</v>
      </c>
      <c r="X2916" s="564">
        <f>IF((O2916-MAX(O$470:O2916))/MAX(O$470:O2916)&gt;X2915,X2915,(O2916-MAX(O$470:O2916))/MAX(O$470:O2916))</f>
        <v>-0.62788758315546067</v>
      </c>
    </row>
    <row r="2917" spans="1:24">
      <c r="A2917" s="799">
        <v>43319</v>
      </c>
      <c r="B2917">
        <v>7046.78</v>
      </c>
      <c r="C2917">
        <v>5227.3963819999999</v>
      </c>
      <c r="D2917">
        <v>1.311267</v>
      </c>
      <c r="E2917">
        <f>LN(D2917/参数实验室!$E$53)/参数实验室!$E$55</f>
        <v>-0.37326242574987883</v>
      </c>
      <c r="F2917">
        <f t="shared" si="398"/>
        <v>0.74181347821274402</v>
      </c>
      <c r="G2917">
        <f>LN(F2917/参数实验室!$E$58)/参数实验室!$E$59</f>
        <v>-0.34728159188884494</v>
      </c>
      <c r="H2917" s="856">
        <f>INDEX(神经网络!$G$10:$BO$70,MATCH(ROUND(G2917*2,1)/2,神经网络!$E$10:$E$70,0),MATCH(ROUND(E2917*2,1)/2,神经网络!$G$8:$BO$8,0))</f>
        <v>-0.65265855327381539</v>
      </c>
      <c r="I2917">
        <f t="shared" si="400"/>
        <v>559315.1137055119</v>
      </c>
      <c r="J2917">
        <f t="shared" si="401"/>
        <v>2811.851083356607</v>
      </c>
      <c r="K2917">
        <f t="shared" si="402"/>
        <v>198.91349048180655</v>
      </c>
      <c r="L2917" s="4">
        <f>MIN(MAX(L2916*(1+MAX(MIN(((B2917-B2916)/B2916)/($K$7*卓尔金历!$N$40),0),-卓尔金历!$M$43))+MIN(MAX(((B2917-B2916)/B2916)/($K$7*卓尔金历!$N$40),0),卓尔金历!$M$43),0),1)</f>
        <v>0.11821707890277525</v>
      </c>
      <c r="M2917" s="4">
        <f>MIN(MAX(M2916*(1+MAX(MIN(((B2917-B2916)/B2916)/($K$7*30),0),-卓尔金历!$M$43))+MIN(MAX(((B2917-B2916)/B2916)/($K$7*7),0),卓尔金历!$M$43),0),1)</f>
        <v>0.74741419400082942</v>
      </c>
      <c r="N2917">
        <f t="shared" si="403"/>
        <v>221821.25176565323</v>
      </c>
      <c r="O2917">
        <f t="shared" si="404"/>
        <v>613453.38331866497</v>
      </c>
      <c r="P2917">
        <f t="shared" si="405"/>
        <v>3.7061514707808735E-3</v>
      </c>
      <c r="Q2917">
        <f t="shared" si="396"/>
        <v>3.8996747298485145E-2</v>
      </c>
      <c r="R2917">
        <f t="shared" si="397"/>
        <v>1</v>
      </c>
      <c r="S2917">
        <f t="shared" si="399"/>
        <v>1040.577084760115</v>
      </c>
      <c r="T2917" s="564">
        <f>IF((I2917-MAX(I$470:I2917))/MAX(I$470:I2917)&gt;T2916,T2916,(I2917-MAX(I$470:I2917))/MAX(I$470:I2917))</f>
        <v>-0.91338805338419748</v>
      </c>
      <c r="U2917" s="564">
        <f>IF((J2917-MAX(J$470:J2917))/MAX(J$470:J2917)&gt;U2916,U2916,(J2917-MAX(J$470:J2917))/MAX(J$470:J2917))</f>
        <v>-0.8283551177402233</v>
      </c>
      <c r="V2917" s="564">
        <f>IF((K2917-MAX(K$470:K2917))/MAX(K$470:K2917)&gt;V2916,V2916,(K2917-MAX(K$470:K2917))/MAX(K$470:K2917))</f>
        <v>-0.84885940676762139</v>
      </c>
      <c r="W2917" s="564">
        <f>IF((N2917-MAX(N$470:N2917))/MAX(N$470:N2917)&gt;W2916,W2916,(N2917-MAX(N$470:N2917))/MAX(N$470:N2917))</f>
        <v>-0.62788758315546067</v>
      </c>
      <c r="X2917" s="564">
        <f>IF((O2917-MAX(O$470:O2917))/MAX(O$470:O2917)&gt;X2916,X2916,(O2917-MAX(O$470:O2917))/MAX(O$470:O2917))</f>
        <v>-0.62788758315546067</v>
      </c>
    </row>
    <row r="2918" spans="1:24">
      <c r="A2918" s="799">
        <v>43320</v>
      </c>
      <c r="B2918">
        <v>6504.95</v>
      </c>
      <c r="C2918">
        <v>5158.0817189999998</v>
      </c>
      <c r="D2918">
        <v>1.224575</v>
      </c>
      <c r="E2918">
        <f>LN(D2918/参数实验室!$E$53)/参数实验室!$E$55</f>
        <v>-0.45395754804888983</v>
      </c>
      <c r="F2918">
        <f t="shared" si="398"/>
        <v>0.79294717392139835</v>
      </c>
      <c r="G2918">
        <f>LN(F2918/参数实验室!$E$58)/参数实验室!$E$59</f>
        <v>-0.31229546724293383</v>
      </c>
      <c r="H2918" s="856">
        <f>INDEX(神经网络!$G$10:$BO$70,MATCH(ROUND(G2918*2,1)/2,神经网络!$E$10:$E$70,0),MATCH(ROUND(E2918*2,1)/2,神经网络!$G$8:$BO$8,0))</f>
        <v>-0.64617113922746461</v>
      </c>
      <c r="I2918">
        <f t="shared" si="400"/>
        <v>587383.33701688098</v>
      </c>
      <c r="J2918">
        <f t="shared" si="401"/>
        <v>2595.6466222417271</v>
      </c>
      <c r="K2918">
        <f t="shared" si="402"/>
        <v>226.29557197180719</v>
      </c>
      <c r="L2918" s="4">
        <f>MIN(MAX(L2917*(1+MAX(MIN(((B2918-B2917)/B2917)/($K$7*卓尔金历!$N$40),0),-卓尔金历!$M$43))+MIN(MAX(((B2918-B2917)/B2917)/($K$7*卓尔金历!$N$40),0),卓尔金历!$M$43),0),1)</f>
        <v>0</v>
      </c>
      <c r="M2918" s="4">
        <f>MIN(MAX(M2917*(1+MAX(MIN(((B2918-B2917)/B2917)/($K$7*30),0),-卓尔金历!$M$43))+MIN(MAX(((B2918-B2917)/B2917)/($K$7*7),0),卓尔金历!$M$43),0),1)</f>
        <v>0.30837857275353842</v>
      </c>
      <c r="N2918">
        <f t="shared" si="403"/>
        <v>223137.20890288154</v>
      </c>
      <c r="O2918">
        <f t="shared" si="404"/>
        <v>636462.57041060668</v>
      </c>
      <c r="P2918">
        <f t="shared" si="405"/>
        <v>-7.6890437902134012E-2</v>
      </c>
      <c r="Q2918">
        <f t="shared" si="396"/>
        <v>3.4356402588077303E-2</v>
      </c>
      <c r="R2918">
        <f t="shared" si="397"/>
        <v>7.5812355731541374E-3</v>
      </c>
      <c r="S2918">
        <f t="shared" si="399"/>
        <v>1092.7965747614496</v>
      </c>
      <c r="T2918" s="564">
        <f>IF((I2918-MAX(I$470:I2918))/MAX(I$470:I2918)&gt;T2917,T2917,(I2918-MAX(I$470:I2918))/MAX(I$470:I2918))</f>
        <v>-0.91338805338419748</v>
      </c>
      <c r="U2918" s="564">
        <f>IF((J2918-MAX(J$470:J2918))/MAX(J$470:J2918)&gt;U2917,U2917,(J2918-MAX(J$470:J2918))/MAX(J$470:J2918))</f>
        <v>-0.8283551177402233</v>
      </c>
      <c r="V2918" s="564">
        <f>IF((K2918-MAX(K$470:K2918))/MAX(K$470:K2918)&gt;V2917,V2917,(K2918-MAX(K$470:K2918))/MAX(K$470:K2918))</f>
        <v>-0.84885940676762139</v>
      </c>
      <c r="W2918" s="564">
        <f>IF((N2918-MAX(N$470:N2918))/MAX(N$470:N2918)&gt;W2917,W2917,(N2918-MAX(N$470:N2918))/MAX(N$470:N2918))</f>
        <v>-0.62788758315546067</v>
      </c>
      <c r="X2918" s="564">
        <f>IF((O2918-MAX(O$470:O2918))/MAX(O$470:O2918)&gt;X2917,X2917,(O2918-MAX(O$470:O2918))/MAX(O$470:O2918))</f>
        <v>-0.62788758315546067</v>
      </c>
    </row>
    <row r="2919" spans="1:24">
      <c r="A2919" s="799">
        <v>43321</v>
      </c>
      <c r="B2919">
        <v>6351.71</v>
      </c>
      <c r="C2919">
        <v>5159.8611799999999</v>
      </c>
      <c r="D2919">
        <v>1.2826310000000001</v>
      </c>
      <c r="E2919">
        <f>LN(D2919/参数实验室!$E$53)/参数实验室!$E$55</f>
        <v>-0.39931185904255784</v>
      </c>
      <c r="F2919">
        <f t="shared" si="398"/>
        <v>0.81235780285938741</v>
      </c>
      <c r="G2919">
        <f>LN(F2919/参数实验室!$E$58)/参数实验室!$E$59</f>
        <v>-0.29960224848414002</v>
      </c>
      <c r="H2919" s="856">
        <f>INDEX(神经网络!$G$10:$BO$70,MATCH(ROUND(G2919*2,1)/2,神经网络!$E$10:$E$70,0),MATCH(ROUND(E2919*2,1)/2,神经网络!$G$8:$BO$8,0))</f>
        <v>-0.61630412378541077</v>
      </c>
      <c r="I2919">
        <f t="shared" si="400"/>
        <v>596324.56892874115</v>
      </c>
      <c r="J2919">
        <f t="shared" si="401"/>
        <v>2534.4998204381282</v>
      </c>
      <c r="K2919">
        <f t="shared" si="402"/>
        <v>235.2829399000143</v>
      </c>
      <c r="L2919" s="4">
        <f>MIN(MAX(L2918*(1+MAX(MIN(((B2919-B2918)/B2918)/($K$7*卓尔金历!$N$40),0),-卓尔金历!$M$43))+MIN(MAX(((B2919-B2918)/B2918)/($K$7*卓尔金历!$N$40),0),卓尔金历!$M$43),0),1)</f>
        <v>0</v>
      </c>
      <c r="M2919" s="4">
        <f>MIN(MAX(M2918*(1+MAX(MIN(((B2919-B2918)/B2918)/($K$7*30),0),-卓尔金历!$M$43))+MIN(MAX(((B2919-B2918)/B2918)/($K$7*7),0),卓尔金历!$M$43),0),1)</f>
        <v>0.25288042900899604</v>
      </c>
      <c r="N2919">
        <f t="shared" si="403"/>
        <v>223137.20890288154</v>
      </c>
      <c r="O2919">
        <f t="shared" si="404"/>
        <v>639450.24160421861</v>
      </c>
      <c r="P2919">
        <f t="shared" si="405"/>
        <v>-2.355744471517841E-2</v>
      </c>
      <c r="Q2919">
        <f t="shared" si="396"/>
        <v>3.4539895925680533E-2</v>
      </c>
      <c r="R2919">
        <f t="shared" si="397"/>
        <v>0.43017684118164101</v>
      </c>
      <c r="S2919">
        <f t="shared" si="399"/>
        <v>1092.9226863667959</v>
      </c>
      <c r="T2919" s="564">
        <f>IF((I2919-MAX(I$470:I2919))/MAX(I$470:I2919)&gt;T2918,T2918,(I2919-MAX(I$470:I2919))/MAX(I$470:I2919))</f>
        <v>-0.91338805338419748</v>
      </c>
      <c r="U2919" s="564">
        <f>IF((J2919-MAX(J$470:J2919))/MAX(J$470:J2919)&gt;U2918,U2918,(J2919-MAX(J$470:J2919))/MAX(J$470:J2919))</f>
        <v>-0.8283551177402233</v>
      </c>
      <c r="V2919" s="564">
        <f>IF((K2919-MAX(K$470:K2919))/MAX(K$470:K2919)&gt;V2918,V2918,(K2919-MAX(K$470:K2919))/MAX(K$470:K2919))</f>
        <v>-0.84885940676762139</v>
      </c>
      <c r="W2919" s="564">
        <f>IF((N2919-MAX(N$470:N2919))/MAX(N$470:N2919)&gt;W2918,W2918,(N2919-MAX(N$470:N2919))/MAX(N$470:N2919))</f>
        <v>-0.62788758315546067</v>
      </c>
      <c r="X2919" s="564">
        <f>IF((O2919-MAX(O$470:O2919))/MAX(O$470:O2919)&gt;X2918,X2918,(O2919-MAX(O$470:O2919))/MAX(O$470:O2919))</f>
        <v>-0.62788758315546067</v>
      </c>
    </row>
    <row r="2920" spans="1:24">
      <c r="A2920" s="799">
        <v>43322</v>
      </c>
      <c r="B2920">
        <v>6487.3</v>
      </c>
      <c r="C2920">
        <v>5026.5062639999996</v>
      </c>
      <c r="D2920">
        <v>1.2014819999999999</v>
      </c>
      <c r="E2920">
        <f>LN(D2920/参数实验室!$E$53)/参数实验室!$E$55</f>
        <v>-0.47641774954922739</v>
      </c>
      <c r="F2920">
        <f t="shared" si="398"/>
        <v>0.77482254003976991</v>
      </c>
      <c r="G2920">
        <f>LN(F2920/参数实验室!$E$58)/参数实验室!$E$59</f>
        <v>-0.32443144757340775</v>
      </c>
      <c r="H2920" s="856">
        <f>INDEX(神经网络!$G$10:$BO$70,MATCH(ROUND(G2920*2,1)/2,神经网络!$E$10:$E$70,0),MATCH(ROUND(E2920*2,1)/2,神经网络!$G$8:$BO$8,0))</f>
        <v>-0.669927870239578</v>
      </c>
      <c r="I2920">
        <f t="shared" si="400"/>
        <v>588479.17462086515</v>
      </c>
      <c r="J2920">
        <f t="shared" si="401"/>
        <v>2588.603806711621</v>
      </c>
      <c r="K2920">
        <f t="shared" si="402"/>
        <v>227.33458596293553</v>
      </c>
      <c r="L2920" s="4">
        <f>MIN(MAX(L2919*(1+MAX(MIN(((B2920-B2919)/B2919)/($K$7*卓尔金历!$N$40),0),-卓尔金历!$M$43))+MIN(MAX(((B2920-B2919)/B2919)/($K$7*卓尔金历!$N$40),0),卓尔金历!$M$43),0),1)</f>
        <v>0.32616178698503329</v>
      </c>
      <c r="M2920" s="4">
        <f>MIN(MAX(M2919*(1+MAX(MIN(((B2920-B2919)/B2919)/($K$7*30),0),-卓尔金历!$M$43))+MIN(MAX(((B2920-B2919)/B2919)/($K$7*7),0),卓尔金历!$M$43),0),1)</f>
        <v>0.95179854397692454</v>
      </c>
      <c r="N2920">
        <f t="shared" si="403"/>
        <v>223137.20890288154</v>
      </c>
      <c r="O2920">
        <f t="shared" si="404"/>
        <v>637322.81763263734</v>
      </c>
      <c r="P2920">
        <f t="shared" si="405"/>
        <v>2.1347007341330153E-2</v>
      </c>
      <c r="Q2920">
        <f t="shared" si="396"/>
        <v>3.4974676161331146E-2</v>
      </c>
      <c r="R2920">
        <f t="shared" si="397"/>
        <v>0.54530538417844487</v>
      </c>
      <c r="S2920">
        <f t="shared" si="399"/>
        <v>1086.7372756817631</v>
      </c>
      <c r="T2920" s="564">
        <f>IF((I2920-MAX(I$470:I2920))/MAX(I$470:I2920)&gt;T2919,T2919,(I2920-MAX(I$470:I2920))/MAX(I$470:I2920))</f>
        <v>-0.91338805338419748</v>
      </c>
      <c r="U2920" s="564">
        <f>IF((J2920-MAX(J$470:J2920))/MAX(J$470:J2920)&gt;U2919,U2919,(J2920-MAX(J$470:J2920))/MAX(J$470:J2920))</f>
        <v>-0.8283551177402233</v>
      </c>
      <c r="V2920" s="564">
        <f>IF((K2920-MAX(K$470:K2920))/MAX(K$470:K2920)&gt;V2919,V2919,(K2920-MAX(K$470:K2920))/MAX(K$470:K2920))</f>
        <v>-0.84885940676762139</v>
      </c>
      <c r="W2920" s="564">
        <f>IF((N2920-MAX(N$470:N2920))/MAX(N$470:N2920)&gt;W2919,W2919,(N2920-MAX(N$470:N2920))/MAX(N$470:N2920))</f>
        <v>-0.62788758315546067</v>
      </c>
      <c r="X2920" s="564">
        <f>IF((O2920-MAX(O$470:O2920))/MAX(O$470:O2920)&gt;X2919,X2919,(O2920-MAX(O$470:O2920))/MAX(O$470:O2920))</f>
        <v>-0.62788758315546067</v>
      </c>
    </row>
    <row r="2921" spans="1:24">
      <c r="A2921" s="799">
        <v>43323</v>
      </c>
      <c r="B2921">
        <v>6152.86</v>
      </c>
      <c r="C2921">
        <v>4935.4853599999997</v>
      </c>
      <c r="D2921">
        <v>1.237093</v>
      </c>
      <c r="E2921">
        <f>LN(D2921/参数实验室!$E$53)/参数实验室!$E$55</f>
        <v>-0.44195895326979934</v>
      </c>
      <c r="F2921">
        <f t="shared" si="398"/>
        <v>0.80214491472258431</v>
      </c>
      <c r="G2921">
        <f>LN(F2921/参数实验室!$E$58)/参数实验室!$E$59</f>
        <v>-0.30624249389233249</v>
      </c>
      <c r="H2921" s="856">
        <f>INDEX(神经网络!$G$10:$BO$70,MATCH(ROUND(G2921*2,1)/2,神经网络!$E$10:$E$70,0),MATCH(ROUND(E2921*2,1)/2,神经网络!$G$8:$BO$8,0))</f>
        <v>-0.64617113922746461</v>
      </c>
      <c r="I2921">
        <f t="shared" si="400"/>
        <v>608803.3707315505</v>
      </c>
      <c r="J2921">
        <f t="shared" si="401"/>
        <v>2455.153425641432</v>
      </c>
      <c r="K2921">
        <f t="shared" si="402"/>
        <v>247.96958282657829</v>
      </c>
      <c r="L2921" s="4">
        <f>MIN(MAX(L2920*(1+MAX(MIN(((B2921-B2920)/B2920)/($K$7*卓尔金历!$N$40),0),-卓尔金历!$M$43))+MIN(MAX(((B2921-B2920)/B2920)/($K$7*卓尔金历!$N$40),0),卓尔金历!$M$43),0),1)</f>
        <v>6.9250379109771651E-2</v>
      </c>
      <c r="M2921" s="4">
        <f>MIN(MAX(M2920*(1+MAX(MIN(((B2921-B2920)/B2920)/($K$7*30),0),-卓尔金历!$M$43))+MIN(MAX(((B2921-B2920)/B2920)/($K$7*7),0),卓尔金历!$M$43),0),1)</f>
        <v>0.57694178008821595</v>
      </c>
      <c r="N2921">
        <f t="shared" si="403"/>
        <v>225650.75788413553</v>
      </c>
      <c r="O2921">
        <f t="shared" si="404"/>
        <v>658272.95051687432</v>
      </c>
      <c r="P2921">
        <f t="shared" si="405"/>
        <v>-5.15530343902703E-2</v>
      </c>
      <c r="Q2921">
        <f t="shared" si="396"/>
        <v>3.6321408104696008E-2</v>
      </c>
      <c r="R2921">
        <f t="shared" si="397"/>
        <v>2.2726413435671857E-2</v>
      </c>
      <c r="S2921">
        <f t="shared" si="399"/>
        <v>1107.2039193328258</v>
      </c>
      <c r="T2921" s="564">
        <f>IF((I2921-MAX(I$470:I2921))/MAX(I$470:I2921)&gt;T2920,T2920,(I2921-MAX(I$470:I2921))/MAX(I$470:I2921))</f>
        <v>-0.91338805338419748</v>
      </c>
      <c r="U2921" s="564">
        <f>IF((J2921-MAX(J$470:J2921))/MAX(J$470:J2921)&gt;U2920,U2920,(J2921-MAX(J$470:J2921))/MAX(J$470:J2921))</f>
        <v>-0.8283551177402233</v>
      </c>
      <c r="V2921" s="564">
        <f>IF((K2921-MAX(K$470:K2921))/MAX(K$470:K2921)&gt;V2920,V2920,(K2921-MAX(K$470:K2921))/MAX(K$470:K2921))</f>
        <v>-0.84885940676762139</v>
      </c>
      <c r="W2921" s="564">
        <f>IF((N2921-MAX(N$470:N2921))/MAX(N$470:N2921)&gt;W2920,W2920,(N2921-MAX(N$470:N2921))/MAX(N$470:N2921))</f>
        <v>-0.62788758315546067</v>
      </c>
      <c r="X2921" s="564">
        <f>IF((O2921-MAX(O$470:O2921))/MAX(O$470:O2921)&gt;X2920,X2920,(O2921-MAX(O$470:O2921))/MAX(O$470:O2921))</f>
        <v>-0.62788758315546067</v>
      </c>
    </row>
    <row r="2922" spans="1:24">
      <c r="A2922" s="799">
        <v>43324</v>
      </c>
      <c r="B2922">
        <v>6343.83</v>
      </c>
      <c r="C2922">
        <v>4899.4307760000002</v>
      </c>
      <c r="D2922">
        <v>1.2377149999999999</v>
      </c>
      <c r="E2922">
        <f>LN(D2922/参数实验室!$E$53)/参数实验室!$E$55</f>
        <v>-0.44136593228942306</v>
      </c>
      <c r="F2922">
        <f t="shared" si="398"/>
        <v>0.77231432368143538</v>
      </c>
      <c r="G2922">
        <f>LN(F2922/参数实验室!$E$58)/参数实验室!$E$59</f>
        <v>-0.32613323450745307</v>
      </c>
      <c r="H2922" s="856">
        <f>INDEX(神经网络!$G$10:$BO$70,MATCH(ROUND(G2922*2,1)/2,神经网络!$E$10:$E$70,0),MATCH(ROUND(E2922*2,1)/2,神经网络!$G$8:$BO$8,0))</f>
        <v>-0.70933288466392619</v>
      </c>
      <c r="I2922">
        <f t="shared" si="400"/>
        <v>596593.45350890665</v>
      </c>
      <c r="J2922">
        <f t="shared" si="401"/>
        <v>2531.3554925980579</v>
      </c>
      <c r="K2922">
        <f t="shared" si="402"/>
        <v>235.68141861283681</v>
      </c>
      <c r="L2922" s="4">
        <f>MIN(MAX(L2921*(1+MAX(MIN(((B2922-B2921)/B2921)/($K$7*卓尔金历!$N$40),0),-卓尔金历!$M$43))+MIN(MAX(((B2922-B2921)/B2921)/($K$7*卓尔金历!$N$40),0),卓尔金历!$M$43),0),1)</f>
        <v>0.54347510383946063</v>
      </c>
      <c r="M2922" s="4">
        <f>MIN(MAX(M2921*(1+MAX(MIN(((B2922-B2921)/B2921)/($K$7*30),0),-卓尔金历!$M$43))+MIN(MAX(((B2922-B2921)/B2921)/($K$7*7),0),卓尔金历!$M$43),0),1)</f>
        <v>1</v>
      </c>
      <c r="N2922">
        <f t="shared" si="403"/>
        <v>225337.36103692607</v>
      </c>
      <c r="O2922">
        <f t="shared" si="404"/>
        <v>650656.130891965</v>
      </c>
      <c r="P2922">
        <f t="shared" si="405"/>
        <v>3.1037598775203769E-2</v>
      </c>
      <c r="Q2922">
        <f t="shared" si="396"/>
        <v>3.7131415202109261E-2</v>
      </c>
      <c r="R2922">
        <f t="shared" si="397"/>
        <v>0.22209657976110669</v>
      </c>
      <c r="S2922">
        <f t="shared" si="399"/>
        <v>1106.6992647879451</v>
      </c>
      <c r="T2922" s="564">
        <f>IF((I2922-MAX(I$470:I2922))/MAX(I$470:I2922)&gt;T2921,T2921,(I2922-MAX(I$470:I2922))/MAX(I$470:I2922))</f>
        <v>-0.91338805338419748</v>
      </c>
      <c r="U2922" s="564">
        <f>IF((J2922-MAX(J$470:J2922))/MAX(J$470:J2922)&gt;U2921,U2921,(J2922-MAX(J$470:J2922))/MAX(J$470:J2922))</f>
        <v>-0.8283551177402233</v>
      </c>
      <c r="V2922" s="564">
        <f>IF((K2922-MAX(K$470:K2922))/MAX(K$470:K2922)&gt;V2921,V2921,(K2922-MAX(K$470:K2922))/MAX(K$470:K2922))</f>
        <v>-0.84885940676762139</v>
      </c>
      <c r="W2922" s="564">
        <f>IF((N2922-MAX(N$470:N2922))/MAX(N$470:N2922)&gt;W2921,W2921,(N2922-MAX(N$470:N2922))/MAX(N$470:N2922))</f>
        <v>-0.62788758315546067</v>
      </c>
      <c r="X2922" s="564">
        <f>IF((O2922-MAX(O$470:O2922))/MAX(O$470:O2922)&gt;X2921,X2921,(O2922-MAX(O$470:O2922))/MAX(O$470:O2922))</f>
        <v>-0.62788758315546067</v>
      </c>
    </row>
    <row r="2923" spans="1:24">
      <c r="A2923" s="799">
        <v>43325</v>
      </c>
      <c r="B2923">
        <v>6479.14</v>
      </c>
      <c r="C2923">
        <v>4848.1860489999999</v>
      </c>
      <c r="D2923">
        <v>1.2285950000000001</v>
      </c>
      <c r="E2923">
        <f>LN(D2923/参数实验室!$E$53)/参数实验室!$E$55</f>
        <v>-0.45009103061559091</v>
      </c>
      <c r="F2923">
        <f t="shared" si="398"/>
        <v>0.74827616767040062</v>
      </c>
      <c r="G2923">
        <f>LN(F2923/参数实验室!$E$58)/参数实验室!$E$59</f>
        <v>-0.34272885914699536</v>
      </c>
      <c r="H2923" s="856">
        <f>INDEX(神经网络!$G$10:$BO$70,MATCH(ROUND(G2923*2,1)/2,神经网络!$E$10:$E$70,0),MATCH(ROUND(E2923*2,1)/2,神经网络!$G$8:$BO$8,0))</f>
        <v>-0.70933288466392619</v>
      </c>
      <c r="I2923">
        <f t="shared" si="400"/>
        <v>587567.2122930662</v>
      </c>
      <c r="J2923">
        <f t="shared" si="401"/>
        <v>2585.3477514863707</v>
      </c>
      <c r="K2923">
        <f t="shared" si="402"/>
        <v>227.26815452786244</v>
      </c>
      <c r="L2923" s="4">
        <f>MIN(MAX(L2922*(1+MAX(MIN(((B2923-B2922)/B2922)/($K$7*卓尔金历!$N$40),0),-卓尔金历!$M$43))+MIN(MAX(((B2923-B2922)/B2922)/($K$7*卓尔金历!$N$40),0),卓尔金历!$M$43),0),1)</f>
        <v>0.86936765655707893</v>
      </c>
      <c r="M2923" s="4">
        <f>MIN(MAX(M2922*(1+MAX(MIN(((B2923-B2922)/B2922)/($K$7*30),0),-卓尔金历!$M$43))+MIN(MAX(((B2923-B2922)/B2922)/($K$7*7),0),卓尔金历!$M$43),0),1)</f>
        <v>1</v>
      </c>
      <c r="N2923">
        <f t="shared" si="403"/>
        <v>223484.50656519216</v>
      </c>
      <c r="O2923">
        <f t="shared" si="404"/>
        <v>640811.94109830575</v>
      </c>
      <c r="P2923">
        <f t="shared" si="405"/>
        <v>2.132938619099194E-2</v>
      </c>
      <c r="Q2923">
        <f t="shared" si="396"/>
        <v>3.6375416704282862E-2</v>
      </c>
      <c r="R2923">
        <f t="shared" si="397"/>
        <v>0.59075986631090605</v>
      </c>
      <c r="S2923">
        <f t="shared" si="399"/>
        <v>1102.9804894354024</v>
      </c>
      <c r="T2923" s="564">
        <f>IF((I2923-MAX(I$470:I2923))/MAX(I$470:I2923)&gt;T2922,T2922,(I2923-MAX(I$470:I2923))/MAX(I$470:I2923))</f>
        <v>-0.91338805338419748</v>
      </c>
      <c r="U2923" s="564">
        <f>IF((J2923-MAX(J$470:J2923))/MAX(J$470:J2923)&gt;U2922,U2922,(J2923-MAX(J$470:J2923))/MAX(J$470:J2923))</f>
        <v>-0.8283551177402233</v>
      </c>
      <c r="V2923" s="564">
        <f>IF((K2923-MAX(K$470:K2923))/MAX(K$470:K2923)&gt;V2922,V2922,(K2923-MAX(K$470:K2923))/MAX(K$470:K2923))</f>
        <v>-0.84885940676762139</v>
      </c>
      <c r="W2923" s="564">
        <f>IF((N2923-MAX(N$470:N2923))/MAX(N$470:N2923)&gt;W2922,W2922,(N2923-MAX(N$470:N2923))/MAX(N$470:N2923))</f>
        <v>-0.62788758315546067</v>
      </c>
      <c r="X2923" s="564">
        <f>IF((O2923-MAX(O$470:O2923))/MAX(O$470:O2923)&gt;X2922,X2922,(O2923-MAX(O$470:O2923))/MAX(O$470:O2923))</f>
        <v>-0.62788758315546067</v>
      </c>
    </row>
    <row r="2924" spans="1:24">
      <c r="A2924" s="799">
        <v>43326</v>
      </c>
      <c r="B2924">
        <v>6059.4</v>
      </c>
      <c r="C2924">
        <v>4840.4447659999996</v>
      </c>
      <c r="D2924">
        <v>1.214626</v>
      </c>
      <c r="E2924">
        <f>LN(D2924/参数实验室!$E$53)/参数实验室!$E$55</f>
        <v>-0.46358154386944317</v>
      </c>
      <c r="F2924">
        <f t="shared" si="398"/>
        <v>0.79883235402845165</v>
      </c>
      <c r="G2924">
        <f>LN(F2924/参数实验室!$E$58)/参数实验室!$E$59</f>
        <v>-0.30841443397952489</v>
      </c>
      <c r="H2924" s="856">
        <f>INDEX(神经网络!$G$10:$BO$70,MATCH(ROUND(G2924*2,1)/2,神经网络!$E$10:$E$70,0),MATCH(ROUND(E2924*2,1)/2,神经网络!$G$8:$BO$8,0))</f>
        <v>-0.64617113922746461</v>
      </c>
      <c r="I2924">
        <f t="shared" si="400"/>
        <v>614567.63984527916</v>
      </c>
      <c r="J2924">
        <f t="shared" si="401"/>
        <v>2417.860420573797</v>
      </c>
      <c r="K2924">
        <f t="shared" si="402"/>
        <v>254.17829524643628</v>
      </c>
      <c r="L2924" s="4">
        <f>MIN(MAX(L2923*(1+MAX(MIN(((B2924-B2923)/B2923)/($K$7*卓尔金历!$N$40),0),-卓尔金历!$M$43))+MIN(MAX(((B2924-B2923)/B2923)/($K$7*卓尔金历!$N$40),0),卓尔金历!$M$43),0),1)</f>
        <v>8.8445203818667568E-3</v>
      </c>
      <c r="M2924" s="4">
        <f>MIN(MAX(M2923*(1+MAX(MIN(((B2924-B2923)/B2923)/($K$7*30),0),-卓尔金历!$M$43))+MIN(MAX(((B2924-B2923)/B2923)/($K$7*7),0),卓尔金历!$M$43),0),1)</f>
        <v>0.50508675490464716</v>
      </c>
      <c r="N2924">
        <f t="shared" si="403"/>
        <v>232412.70815078856</v>
      </c>
      <c r="O2924">
        <f t="shared" si="404"/>
        <v>670259.11927336664</v>
      </c>
      <c r="P2924">
        <f t="shared" si="405"/>
        <v>-6.4783289140225506E-2</v>
      </c>
      <c r="Q2924">
        <f t="shared" ref="Q2924:Q2987" si="406">STDEVP(P2904:P2924)</f>
        <v>3.6608391337812622E-2</v>
      </c>
      <c r="R2924">
        <f t="shared" ref="R2924:R2987" si="407">MIN(Q2923*MAX(1-LN(MAX(ABS(P2924),0.0001)/Q2924),0)+MAX(-LN(MAX(ABS(P2924),0.0001)/Q2924),0),1)</f>
        <v>1.5613412807487403E-2</v>
      </c>
      <c r="S2924">
        <f t="shared" si="399"/>
        <v>1132.9232544476552</v>
      </c>
      <c r="T2924" s="564">
        <f>IF((I2924-MAX(I$470:I2924))/MAX(I$470:I2924)&gt;T2923,T2923,(I2924-MAX(I$470:I2924))/MAX(I$470:I2924))</f>
        <v>-0.91338805338419748</v>
      </c>
      <c r="U2924" s="564">
        <f>IF((J2924-MAX(J$470:J2924))/MAX(J$470:J2924)&gt;U2923,U2923,(J2924-MAX(J$470:J2924))/MAX(J$470:J2924))</f>
        <v>-0.8283551177402233</v>
      </c>
      <c r="V2924" s="564">
        <f>IF((K2924-MAX(K$470:K2924))/MAX(K$470:K2924)&gt;V2923,V2923,(K2924-MAX(K$470:K2924))/MAX(K$470:K2924))</f>
        <v>-0.84885940676762139</v>
      </c>
      <c r="W2924" s="564">
        <f>IF((N2924-MAX(N$470:N2924))/MAX(N$470:N2924)&gt;W2923,W2923,(N2924-MAX(N$470:N2924))/MAX(N$470:N2924))</f>
        <v>-0.62788758315546067</v>
      </c>
      <c r="X2924" s="564">
        <f>IF((O2924-MAX(O$470:O2924))/MAX(O$470:O2924)&gt;X2923,X2923,(O2924-MAX(O$470:O2924))/MAX(O$470:O2924))</f>
        <v>-0.62788758315546067</v>
      </c>
    </row>
    <row r="2925" spans="1:24">
      <c r="A2925" s="799">
        <v>43327</v>
      </c>
      <c r="B2925">
        <v>6445.74</v>
      </c>
      <c r="C2925">
        <v>4717.8864080000003</v>
      </c>
      <c r="D2925">
        <v>1.232726</v>
      </c>
      <c r="E2925">
        <f>LN(D2925/参数实验室!$E$53)/参数实验室!$E$55</f>
        <v>-0.44613090901666624</v>
      </c>
      <c r="F2925">
        <f t="shared" si="398"/>
        <v>0.73193867701768922</v>
      </c>
      <c r="G2925">
        <f>LN(F2925/参数实验室!$E$58)/参数实验室!$E$59</f>
        <v>-0.35431521267554894</v>
      </c>
      <c r="H2925" s="856">
        <f>INDEX(神经网络!$G$10:$BO$70,MATCH(ROUND(G2925*2,1)/2,神经网络!$E$10:$E$70,0),MATCH(ROUND(E2925*2,1)/2,神经网络!$G$8:$BO$8,0))</f>
        <v>-0.70933288466392619</v>
      </c>
      <c r="I2925">
        <f t="shared" si="400"/>
        <v>589248.01315330679</v>
      </c>
      <c r="J2925">
        <f t="shared" si="401"/>
        <v>2572.0202705398797</v>
      </c>
      <c r="K2925">
        <f t="shared" si="402"/>
        <v>229.09928817536914</v>
      </c>
      <c r="L2925" s="4">
        <f>MIN(MAX(L2924*(1+MAX(MIN(((B2925-B2924)/B2924)/($K$7*卓尔金历!$N$40),0),-卓尔金历!$M$43))+MIN(MAX(((B2925-B2924)/B2924)/($K$7*卓尔金历!$N$40),0),卓尔金历!$M$43),0),1)</f>
        <v>0.9830176162719696</v>
      </c>
      <c r="M2925" s="4">
        <f>MIN(MAX(M2924*(1+MAX(MIN(((B2925-B2924)/B2924)/($K$7*30),0),-卓尔金历!$M$43))+MIN(MAX(((B2925-B2924)/B2924)/($K$7*7),0),卓尔金历!$M$43),0),1)</f>
        <v>1</v>
      </c>
      <c r="N2925">
        <f t="shared" si="403"/>
        <v>232328.02017199414</v>
      </c>
      <c r="O2925">
        <f t="shared" si="404"/>
        <v>656311.62084760214</v>
      </c>
      <c r="P2925">
        <f t="shared" si="405"/>
        <v>6.3758787998811794E-2</v>
      </c>
      <c r="Q2925">
        <f t="shared" si="406"/>
        <v>3.8695680119340332E-2</v>
      </c>
      <c r="R2925">
        <f t="shared" si="407"/>
        <v>1.8326927410903408E-2</v>
      </c>
      <c r="S2925">
        <f t="shared" si="399"/>
        <v>1132.194492071688</v>
      </c>
      <c r="T2925" s="564">
        <f>IF((I2925-MAX(I$470:I2925))/MAX(I$470:I2925)&gt;T2924,T2924,(I2925-MAX(I$470:I2925))/MAX(I$470:I2925))</f>
        <v>-0.91338805338419748</v>
      </c>
      <c r="U2925" s="564">
        <f>IF((J2925-MAX(J$470:J2925))/MAX(J$470:J2925)&gt;U2924,U2924,(J2925-MAX(J$470:J2925))/MAX(J$470:J2925))</f>
        <v>-0.8283551177402233</v>
      </c>
      <c r="V2925" s="564">
        <f>IF((K2925-MAX(K$470:K2925))/MAX(K$470:K2925)&gt;V2924,V2924,(K2925-MAX(K$470:K2925))/MAX(K$470:K2925))</f>
        <v>-0.84885940676762139</v>
      </c>
      <c r="W2925" s="564">
        <f>IF((N2925-MAX(N$470:N2925))/MAX(N$470:N2925)&gt;W2924,W2924,(N2925-MAX(N$470:N2925))/MAX(N$470:N2925))</f>
        <v>-0.62788758315546067</v>
      </c>
      <c r="X2925" s="564">
        <f>IF((O2925-MAX(O$470:O2925))/MAX(O$470:O2925)&gt;X2924,X2924,(O2925-MAX(O$470:O2925))/MAX(O$470:O2925))</f>
        <v>-0.62788758315546067</v>
      </c>
    </row>
    <row r="2926" spans="1:24">
      <c r="A2926" s="799">
        <v>43328</v>
      </c>
      <c r="B2926">
        <v>6413.35</v>
      </c>
      <c r="C2926">
        <v>4722.5942050000003</v>
      </c>
      <c r="D2926">
        <v>1.2370190000000001</v>
      </c>
      <c r="E2926">
        <f>LN(D2926/参数实验室!$E$53)/参数实验室!$E$55</f>
        <v>-0.44202952545091312</v>
      </c>
      <c r="F2926">
        <f t="shared" si="398"/>
        <v>0.736369324144168</v>
      </c>
      <c r="G2926">
        <f>LN(F2926/参数实验室!$E$58)/参数实验室!$E$59</f>
        <v>-0.35114768908507044</v>
      </c>
      <c r="H2926" s="856">
        <f>INDEX(神经网络!$G$10:$BO$70,MATCH(ROUND(G2926*2,1)/2,神经网络!$E$10:$E$70,0),MATCH(ROUND(E2926*2,1)/2,神经网络!$G$8:$BO$8,0))</f>
        <v>-0.70933288466392619</v>
      </c>
      <c r="I2926">
        <f t="shared" si="400"/>
        <v>591348.33759111096</v>
      </c>
      <c r="J2926">
        <f t="shared" si="401"/>
        <v>2559.0958062327891</v>
      </c>
      <c r="K2926">
        <f t="shared" si="402"/>
        <v>231.07706094897128</v>
      </c>
      <c r="L2926" s="4">
        <f>MIN(MAX(L2925*(1+MAX(MIN(((B2926-B2925)/B2925)/($K$7*卓尔金历!$N$40),0),-卓尔金历!$M$43))+MIN(MAX(((B2926-B2925)/B2925)/($K$7*卓尔金历!$N$40),0),卓尔金历!$M$43),0),1)</f>
        <v>0.9075439332307742</v>
      </c>
      <c r="M2926" s="4">
        <f>MIN(MAX(M2925*(1+MAX(MIN(((B2926-B2925)/B2925)/($K$7*30),0),-卓尔金历!$M$43))+MIN(MAX(((B2926-B2925)/B2925)/($K$7*7),0),卓尔金历!$M$43),0),1)</f>
        <v>0.96161122558137646</v>
      </c>
      <c r="N2926">
        <f t="shared" si="403"/>
        <v>233142.0703037635</v>
      </c>
      <c r="O2926">
        <f t="shared" si="404"/>
        <v>658650.98781246354</v>
      </c>
      <c r="P2926">
        <f t="shared" si="405"/>
        <v>-5.0250242796016312E-3</v>
      </c>
      <c r="Q2926">
        <f t="shared" si="406"/>
        <v>3.8679246898704361E-2</v>
      </c>
      <c r="R2926">
        <f t="shared" si="407"/>
        <v>1</v>
      </c>
      <c r="S2926">
        <f t="shared" si="399"/>
        <v>1132.268452421433</v>
      </c>
      <c r="T2926" s="564">
        <f>IF((I2926-MAX(I$470:I2926))/MAX(I$470:I2926)&gt;T2925,T2925,(I2926-MAX(I$470:I2926))/MAX(I$470:I2926))</f>
        <v>-0.91338805338419748</v>
      </c>
      <c r="U2926" s="564">
        <f>IF((J2926-MAX(J$470:J2926))/MAX(J$470:J2926)&gt;U2925,U2925,(J2926-MAX(J$470:J2926))/MAX(J$470:J2926))</f>
        <v>-0.8283551177402233</v>
      </c>
      <c r="V2926" s="564">
        <f>IF((K2926-MAX(K$470:K2926))/MAX(K$470:K2926)&gt;V2925,V2925,(K2926-MAX(K$470:K2926))/MAX(K$470:K2926))</f>
        <v>-0.84885940676762139</v>
      </c>
      <c r="W2926" s="564">
        <f>IF((N2926-MAX(N$470:N2926))/MAX(N$470:N2926)&gt;W2925,W2925,(N2926-MAX(N$470:N2926))/MAX(N$470:N2926))</f>
        <v>-0.62788758315546067</v>
      </c>
      <c r="X2926" s="564">
        <f>IF((O2926-MAX(O$470:O2926))/MAX(O$470:O2926)&gt;X2925,X2925,(O2926-MAX(O$470:O2926))/MAX(O$470:O2926))</f>
        <v>-0.62788758315546067</v>
      </c>
    </row>
    <row r="2927" spans="1:24">
      <c r="A2927" s="799">
        <v>43329</v>
      </c>
      <c r="B2927">
        <v>6496.01</v>
      </c>
      <c r="C2927">
        <v>4790.5519599999998</v>
      </c>
      <c r="D2927">
        <v>1.289979</v>
      </c>
      <c r="E2927">
        <f>LN(D2927/参数实验室!$E$53)/参数实验室!$E$55</f>
        <v>-0.39257251618793493</v>
      </c>
      <c r="F2927">
        <f t="shared" si="398"/>
        <v>0.73746068124895126</v>
      </c>
      <c r="G2927">
        <f>LN(F2927/参数实验室!$E$58)/参数实验室!$E$59</f>
        <v>-0.35037039008655679</v>
      </c>
      <c r="H2927" s="856">
        <f>INDEX(神经网络!$G$10:$BO$70,MATCH(ROUND(G2927*2,1)/2,神经网络!$E$10:$E$70,0),MATCH(ROUND(E2927*2,1)/2,神经网络!$G$8:$BO$8,0))</f>
        <v>-0.67886450745175153</v>
      </c>
      <c r="I2927">
        <f t="shared" si="400"/>
        <v>585941.99038123118</v>
      </c>
      <c r="J2927">
        <f t="shared" si="401"/>
        <v>2592.0793264434751</v>
      </c>
      <c r="K2927">
        <f t="shared" si="402"/>
        <v>226.05094851984603</v>
      </c>
      <c r="L2927" s="4">
        <f>MIN(MAX(L2926*(1+MAX(MIN(((B2927-B2926)/B2926)/($K$7*卓尔金历!$N$40),0),-卓尔金历!$M$43))+MIN(MAX(((B2927-B2926)/B2926)/($K$7*卓尔金历!$N$40),0),卓尔金历!$M$43),0),1)</f>
        <v>1</v>
      </c>
      <c r="M2927" s="4">
        <f>MIN(MAX(M2926*(1+MAX(MIN(((B2927-B2926)/B2926)/($K$7*30),0),-卓尔金历!$M$43))+MIN(MAX(((B2927-B2926)/B2926)/($K$7*7),0),卓尔金历!$M$43),0),1)</f>
        <v>1</v>
      </c>
      <c r="N2927">
        <f t="shared" si="403"/>
        <v>231207.65882694986</v>
      </c>
      <c r="O2927">
        <f t="shared" si="404"/>
        <v>652860.49635086791</v>
      </c>
      <c r="P2927">
        <f t="shared" si="405"/>
        <v>1.2888739894127071E-2</v>
      </c>
      <c r="Q2927">
        <f t="shared" si="406"/>
        <v>3.8357293367018576E-2</v>
      </c>
      <c r="R2927">
        <f t="shared" si="407"/>
        <v>1</v>
      </c>
      <c r="S2927">
        <f t="shared" si="399"/>
        <v>1121.9167933408994</v>
      </c>
      <c r="T2927" s="564">
        <f>IF((I2927-MAX(I$470:I2927))/MAX(I$470:I2927)&gt;T2926,T2926,(I2927-MAX(I$470:I2927))/MAX(I$470:I2927))</f>
        <v>-0.91338805338419748</v>
      </c>
      <c r="U2927" s="564">
        <f>IF((J2927-MAX(J$470:J2927))/MAX(J$470:J2927)&gt;U2926,U2926,(J2927-MAX(J$470:J2927))/MAX(J$470:J2927))</f>
        <v>-0.8283551177402233</v>
      </c>
      <c r="V2927" s="564">
        <f>IF((K2927-MAX(K$470:K2927))/MAX(K$470:K2927)&gt;V2926,V2926,(K2927-MAX(K$470:K2927))/MAX(K$470:K2927))</f>
        <v>-0.84885940676762139</v>
      </c>
      <c r="W2927" s="564">
        <f>IF((N2927-MAX(N$470:N2927))/MAX(N$470:N2927)&gt;W2926,W2926,(N2927-MAX(N$470:N2927))/MAX(N$470:N2927))</f>
        <v>-0.62788758315546067</v>
      </c>
      <c r="X2927" s="564">
        <f>IF((O2927-MAX(O$470:O2927))/MAX(O$470:O2927)&gt;X2926,X2926,(O2927-MAX(O$470:O2927))/MAX(O$470:O2927))</f>
        <v>-0.62788758315546067</v>
      </c>
    </row>
    <row r="2928" spans="1:24">
      <c r="A2928" s="799">
        <v>43330</v>
      </c>
      <c r="B2928">
        <v>6504.95</v>
      </c>
      <c r="C2928">
        <v>4825.9513939999997</v>
      </c>
      <c r="D2928">
        <v>1.2582009999999999</v>
      </c>
      <c r="E2928">
        <f>LN(D2928/参数实验室!$E$53)/参数实验室!$E$55</f>
        <v>-0.421999120501651</v>
      </c>
      <c r="F2928">
        <f t="shared" si="398"/>
        <v>0.74188908354407024</v>
      </c>
      <c r="G2928">
        <f>LN(F2928/参数实验室!$E$58)/参数实验室!$E$59</f>
        <v>-0.3472281017016845</v>
      </c>
      <c r="H2928" s="856">
        <f>INDEX(神经网络!$G$10:$BO$70,MATCH(ROUND(G2928*2,1)/2,神经网络!$E$10:$E$70,0),MATCH(ROUND(E2928*2,1)/2,神经网络!$G$8:$BO$8,0))</f>
        <v>-0.67886450745175153</v>
      </c>
      <c r="I2928">
        <f t="shared" si="400"/>
        <v>585394.56042453204</v>
      </c>
      <c r="J2928">
        <f t="shared" si="401"/>
        <v>2595.6466222417271</v>
      </c>
      <c r="K2928">
        <f t="shared" si="402"/>
        <v>225.52937499595254</v>
      </c>
      <c r="L2928" s="4">
        <f>MIN(MAX(L2927*(1+MAX(MIN(((B2928-B2927)/B2927)/($K$7*卓尔金历!$N$40),0),-卓尔金历!$M$43))+MIN(MAX(((B2928-B2927)/B2927)/($K$7*卓尔金历!$N$40),0),卓尔金历!$M$43),0),1)</f>
        <v>1</v>
      </c>
      <c r="M2928" s="4">
        <f>MIN(MAX(M2927*(1+MAX(MIN(((B2928-B2927)/B2927)/($K$7*30),0),-卓尔金历!$M$43))+MIN(MAX(((B2928-B2927)/B2927)/($K$7*7),0),卓尔金历!$M$43),0),1)</f>
        <v>1</v>
      </c>
      <c r="N2928">
        <f t="shared" si="403"/>
        <v>230991.64768465608</v>
      </c>
      <c r="O2928">
        <f t="shared" si="404"/>
        <v>652250.54622079548</v>
      </c>
      <c r="P2928">
        <f t="shared" si="405"/>
        <v>1.37622940851378E-3</v>
      </c>
      <c r="Q2928">
        <f t="shared" si="406"/>
        <v>3.7266744030620129E-2</v>
      </c>
      <c r="R2928">
        <f t="shared" si="407"/>
        <v>1</v>
      </c>
      <c r="S2928">
        <f t="shared" si="399"/>
        <v>1120.8686164365627</v>
      </c>
      <c r="T2928" s="564">
        <f>IF((I2928-MAX(I$470:I2928))/MAX(I$470:I2928)&gt;T2927,T2927,(I2928-MAX(I$470:I2928))/MAX(I$470:I2928))</f>
        <v>-0.91338805338419748</v>
      </c>
      <c r="U2928" s="564">
        <f>IF((J2928-MAX(J$470:J2928))/MAX(J$470:J2928)&gt;U2927,U2927,(J2928-MAX(J$470:J2928))/MAX(J$470:J2928))</f>
        <v>-0.8283551177402233</v>
      </c>
      <c r="V2928" s="564">
        <f>IF((K2928-MAX(K$470:K2928))/MAX(K$470:K2928)&gt;V2927,V2927,(K2928-MAX(K$470:K2928))/MAX(K$470:K2928))</f>
        <v>-0.84885940676762139</v>
      </c>
      <c r="W2928" s="564">
        <f>IF((N2928-MAX(N$470:N2928))/MAX(N$470:N2928)&gt;W2927,W2927,(N2928-MAX(N$470:N2928))/MAX(N$470:N2928))</f>
        <v>-0.62788758315546067</v>
      </c>
      <c r="X2928" s="564">
        <f>IF((O2928-MAX(O$470:O2928))/MAX(O$470:O2928)&gt;X2927,X2927,(O2928-MAX(O$470:O2928))/MAX(O$470:O2928))</f>
        <v>-0.62788758315546067</v>
      </c>
    </row>
    <row r="2929" spans="1:24">
      <c r="A2929" s="799">
        <v>43331</v>
      </c>
      <c r="B2929">
        <v>6391.76</v>
      </c>
      <c r="C2929">
        <v>4855.3260330000003</v>
      </c>
      <c r="D2929">
        <v>1.2757499999999999</v>
      </c>
      <c r="E2929">
        <f>LN(D2929/参数实验室!$E$53)/参数实验室!$E$55</f>
        <v>-0.40565798313159301</v>
      </c>
      <c r="F2929">
        <f t="shared" si="398"/>
        <v>0.75962270689137268</v>
      </c>
      <c r="G2929">
        <f>LN(F2929/参数实验室!$E$58)/参数实验室!$E$59</f>
        <v>-0.3348299350366723</v>
      </c>
      <c r="H2929" s="856">
        <f>INDEX(神经网络!$G$10:$BO$70,MATCH(ROUND(G2929*2,1)/2,神经网络!$E$10:$E$70,0),MATCH(ROUND(E2929*2,1)/2,神经网络!$G$8:$BO$8,0))</f>
        <v>-0.67886450745175153</v>
      </c>
      <c r="I2929">
        <f t="shared" si="400"/>
        <v>592309.61931720574</v>
      </c>
      <c r="J2929">
        <f t="shared" si="401"/>
        <v>2550.4808267826475</v>
      </c>
      <c r="K2929">
        <f t="shared" si="402"/>
        <v>232.234492060223</v>
      </c>
      <c r="L2929" s="4">
        <f>MIN(MAX(L2928*(1+MAX(MIN(((B2929-B2928)/B2928)/($K$7*卓尔金历!$N$40),0),-卓尔金历!$M$43))+MIN(MAX(((B2929-B2928)/B2928)/($K$7*卓尔金历!$N$40),0),卓尔金历!$M$43),0),1)</f>
        <v>0.73413560754769036</v>
      </c>
      <c r="M2929" s="4">
        <f>MIN(MAX(M2928*(1+MAX(MIN(((B2929-B2928)/B2928)/($K$7*30),0),-卓尔金历!$M$43))+MIN(MAX(((B2929-B2928)/B2928)/($K$7*7),0),卓尔金历!$M$43),0),1)</f>
        <v>0.86706780377384518</v>
      </c>
      <c r="N2929">
        <f t="shared" si="403"/>
        <v>233720.27031875905</v>
      </c>
      <c r="O2929">
        <f t="shared" si="404"/>
        <v>659955.35122722469</v>
      </c>
      <c r="P2929">
        <f t="shared" si="405"/>
        <v>-1.7400594931552063E-2</v>
      </c>
      <c r="Q2929">
        <f t="shared" si="406"/>
        <v>3.717031321713464E-2</v>
      </c>
      <c r="R2929">
        <f t="shared" si="407"/>
        <v>0.82455844064415196</v>
      </c>
      <c r="S2929">
        <f t="shared" si="399"/>
        <v>1134.1090409597894</v>
      </c>
      <c r="T2929" s="564">
        <f>IF((I2929-MAX(I$470:I2929))/MAX(I$470:I2929)&gt;T2928,T2928,(I2929-MAX(I$470:I2929))/MAX(I$470:I2929))</f>
        <v>-0.91338805338419748</v>
      </c>
      <c r="U2929" s="564">
        <f>IF((J2929-MAX(J$470:J2929))/MAX(J$470:J2929)&gt;U2928,U2928,(J2929-MAX(J$470:J2929))/MAX(J$470:J2929))</f>
        <v>-0.8283551177402233</v>
      </c>
      <c r="V2929" s="564">
        <f>IF((K2929-MAX(K$470:K2929))/MAX(K$470:K2929)&gt;V2928,V2928,(K2929-MAX(K$470:K2929))/MAX(K$470:K2929))</f>
        <v>-0.84885940676762139</v>
      </c>
      <c r="W2929" s="564">
        <f>IF((N2929-MAX(N$470:N2929))/MAX(N$470:N2929)&gt;W2928,W2928,(N2929-MAX(N$470:N2929))/MAX(N$470:N2929))</f>
        <v>-0.62788758315546067</v>
      </c>
      <c r="X2929" s="564">
        <f>IF((O2929-MAX(O$470:O2929))/MAX(O$470:O2929)&gt;X2928,X2928,(O2929-MAX(O$470:O2929))/MAX(O$470:O2929))</f>
        <v>-0.62788758315546067</v>
      </c>
    </row>
    <row r="2930" spans="1:24">
      <c r="A2930" s="799">
        <v>43332</v>
      </c>
      <c r="B2930">
        <v>6489.82</v>
      </c>
      <c r="C2930">
        <v>4816.9715180000003</v>
      </c>
      <c r="D2930">
        <v>1.233544</v>
      </c>
      <c r="E2930">
        <f>LN(D2930/参数实验室!$E$53)/参数实验室!$E$55</f>
        <v>-0.44534831977140388</v>
      </c>
      <c r="F2930">
        <f t="shared" si="398"/>
        <v>0.74223499542360194</v>
      </c>
      <c r="G2930">
        <f>LN(F2930/参数实验室!$E$58)/参数实验室!$E$59</f>
        <v>-0.34698344122567365</v>
      </c>
      <c r="H2930" s="856">
        <f>INDEX(神经网络!$G$10:$BO$70,MATCH(ROUND(G2930*2,1)/2,神经网络!$E$10:$E$70,0),MATCH(ROUND(E2930*2,1)/2,神经网络!$G$8:$BO$8,0))</f>
        <v>-0.70933288466392619</v>
      </c>
      <c r="I2930">
        <f t="shared" si="400"/>
        <v>586140.78198282584</v>
      </c>
      <c r="J2930">
        <f t="shared" si="401"/>
        <v>2589.6093531782421</v>
      </c>
      <c r="K2930">
        <f t="shared" si="402"/>
        <v>226.34332134437651</v>
      </c>
      <c r="L2930" s="4">
        <f>MIN(MAX(L2929*(1+MAX(MIN(((B2930-B2929)/B2929)/($K$7*卓尔金历!$N$40),0),-卓尔金历!$M$43))+MIN(MAX(((B2930-B2929)/B2929)/($K$7*卓尔金历!$N$40),0),卓尔金历!$M$43),0),1)</f>
        <v>0.96854095112402938</v>
      </c>
      <c r="M2930" s="4">
        <f>MIN(MAX(M2929*(1+MAX(MIN(((B2930-B2929)/B2929)/($K$7*30),0),-卓尔金历!$M$43))+MIN(MAX(((B2930-B2929)/B2929)/($K$7*7),0),卓尔金历!$M$43),0),1)</f>
        <v>1</v>
      </c>
      <c r="N2930">
        <f t="shared" si="403"/>
        <v>231933.25941806758</v>
      </c>
      <c r="O2930">
        <f t="shared" si="404"/>
        <v>653995.68211923423</v>
      </c>
      <c r="P2930">
        <f t="shared" si="405"/>
        <v>1.5341627345206874E-2</v>
      </c>
      <c r="Q2930">
        <f t="shared" si="406"/>
        <v>3.7595915914716047E-2</v>
      </c>
      <c r="R2930">
        <f t="shared" si="407"/>
        <v>0.9668125644572636</v>
      </c>
      <c r="S2930">
        <f t="shared" si="399"/>
        <v>1124.3696727093211</v>
      </c>
      <c r="T2930" s="564">
        <f>IF((I2930-MAX(I$470:I2930))/MAX(I$470:I2930)&gt;T2929,T2929,(I2930-MAX(I$470:I2930))/MAX(I$470:I2930))</f>
        <v>-0.91338805338419748</v>
      </c>
      <c r="U2930" s="564">
        <f>IF((J2930-MAX(J$470:J2930))/MAX(J$470:J2930)&gt;U2929,U2929,(J2930-MAX(J$470:J2930))/MAX(J$470:J2930))</f>
        <v>-0.8283551177402233</v>
      </c>
      <c r="V2930" s="564">
        <f>IF((K2930-MAX(K$470:K2930))/MAX(K$470:K2930)&gt;V2929,V2929,(K2930-MAX(K$470:K2930))/MAX(K$470:K2930))</f>
        <v>-0.84885940676762139</v>
      </c>
      <c r="W2930" s="564">
        <f>IF((N2930-MAX(N$470:N2930))/MAX(N$470:N2930)&gt;W2929,W2929,(N2930-MAX(N$470:N2930))/MAX(N$470:N2930))</f>
        <v>-0.62788758315546067</v>
      </c>
      <c r="X2930" s="564">
        <f>IF((O2930-MAX(O$470:O2930))/MAX(O$470:O2930)&gt;X2929,X2929,(O2930-MAX(O$470:O2930))/MAX(O$470:O2930))</f>
        <v>-0.62788758315546067</v>
      </c>
    </row>
    <row r="2931" spans="1:24">
      <c r="A2931" s="799">
        <v>43333</v>
      </c>
      <c r="B2931">
        <v>6489.95</v>
      </c>
      <c r="C2931">
        <v>4924.3148229999997</v>
      </c>
      <c r="D2931">
        <v>1.272723</v>
      </c>
      <c r="E2931">
        <f>LN(D2931/参数实验室!$E$53)/参数实验室!$E$55</f>
        <v>-0.40846053567884621</v>
      </c>
      <c r="F2931">
        <f t="shared" si="398"/>
        <v>0.75876005562446547</v>
      </c>
      <c r="G2931">
        <f>LN(F2931/参数实验室!$E$58)/参数实验室!$E$59</f>
        <v>-0.33542631437539749</v>
      </c>
      <c r="H2931" s="856">
        <f>INDEX(神经网络!$G$10:$BO$70,MATCH(ROUND(G2931*2,1)/2,神经网络!$E$10:$E$70,0),MATCH(ROUND(E2931*2,1)/2,神经网络!$G$8:$BO$8,0))</f>
        <v>-0.67886450745175153</v>
      </c>
      <c r="I2931">
        <f t="shared" si="400"/>
        <v>586132.45356060122</v>
      </c>
      <c r="J2931">
        <f t="shared" si="401"/>
        <v>2589.6612266070756</v>
      </c>
      <c r="K2931">
        <f t="shared" si="402"/>
        <v>226.33557144018437</v>
      </c>
      <c r="L2931" s="4">
        <f>MIN(MAX(L2930*(1+MAX(MIN(((B2931-B2930)/B2930)/($K$7*卓尔金历!$N$40),0),-卓尔金历!$M$43))+MIN(MAX(((B2931-B2930)/B2930)/($K$7*卓尔金历!$N$40),0),卓尔金历!$M$43),0),1)</f>
        <v>0.96884701126873818</v>
      </c>
      <c r="M2931" s="4">
        <f>MIN(MAX(M2930*(1+MAX(MIN(((B2931-B2930)/B2930)/($K$7*30),0),-卓尔金历!$M$43))+MIN(MAX(((B2931-B2930)/B2930)/($K$7*7),0),卓尔金历!$M$43),0),1)</f>
        <v>1</v>
      </c>
      <c r="N2931">
        <f t="shared" si="403"/>
        <v>231930.06757291354</v>
      </c>
      <c r="O2931">
        <f t="shared" si="404"/>
        <v>653986.38955277042</v>
      </c>
      <c r="P2931">
        <f t="shared" si="405"/>
        <v>2.0031372210648237E-5</v>
      </c>
      <c r="Q2931">
        <f t="shared" si="406"/>
        <v>3.7607113494539345E-2</v>
      </c>
      <c r="R2931">
        <f t="shared" si="407"/>
        <v>1</v>
      </c>
      <c r="S2931">
        <f t="shared" si="399"/>
        <v>1124.3542268454207</v>
      </c>
      <c r="T2931" s="564">
        <f>IF((I2931-MAX(I$470:I2931))/MAX(I$470:I2931)&gt;T2930,T2930,(I2931-MAX(I$470:I2931))/MAX(I$470:I2931))</f>
        <v>-0.91338805338419748</v>
      </c>
      <c r="U2931" s="564">
        <f>IF((J2931-MAX(J$470:J2931))/MAX(J$470:J2931)&gt;U2930,U2930,(J2931-MAX(J$470:J2931))/MAX(J$470:J2931))</f>
        <v>-0.8283551177402233</v>
      </c>
      <c r="V2931" s="564">
        <f>IF((K2931-MAX(K$470:K2931))/MAX(K$470:K2931)&gt;V2930,V2930,(K2931-MAX(K$470:K2931))/MAX(K$470:K2931))</f>
        <v>-0.84885940676762139</v>
      </c>
      <c r="W2931" s="564">
        <f>IF((N2931-MAX(N$470:N2931))/MAX(N$470:N2931)&gt;W2930,W2930,(N2931-MAX(N$470:N2931))/MAX(N$470:N2931))</f>
        <v>-0.62788758315546067</v>
      </c>
      <c r="X2931" s="564">
        <f>IF((O2931-MAX(O$470:O2931))/MAX(O$470:O2931)&gt;X2930,X2930,(O2931-MAX(O$470:O2931))/MAX(O$470:O2931))</f>
        <v>-0.62788758315546067</v>
      </c>
    </row>
    <row r="2932" spans="1:24">
      <c r="A2932" s="799">
        <v>43334</v>
      </c>
      <c r="B2932">
        <v>6669.11</v>
      </c>
      <c r="C2932">
        <v>4945.1153590000004</v>
      </c>
      <c r="D2932">
        <v>1.2516290000000001</v>
      </c>
      <c r="E2932">
        <f>LN(D2932/参数实验室!$E$53)/参数实验室!$E$55</f>
        <v>-0.42817751189857972</v>
      </c>
      <c r="F2932">
        <f t="shared" si="398"/>
        <v>0.7414955457324891</v>
      </c>
      <c r="G2932">
        <f>LN(F2932/参数实验室!$E$58)/参数实验室!$E$59</f>
        <v>-0.3475065863405073</v>
      </c>
      <c r="H2932" s="856">
        <f>INDEX(神经网络!$G$10:$BO$70,MATCH(ROUND(G2932*2,1)/2,神经网络!$E$10:$E$70,0),MATCH(ROUND(E2932*2,1)/2,神经网络!$G$8:$BO$8,0))</f>
        <v>-0.70933288466392619</v>
      </c>
      <c r="I2932">
        <f t="shared" si="400"/>
        <v>575147.99702495197</v>
      </c>
      <c r="J2932">
        <f t="shared" si="401"/>
        <v>2661.1507920673525</v>
      </c>
      <c r="K2932">
        <f t="shared" si="402"/>
        <v>216.12754855508962</v>
      </c>
      <c r="L2932" s="4">
        <f>MIN(MAX(L2931*(1+MAX(MIN(((B2932-B2931)/B2931)/($K$7*卓尔金历!$N$40),0),-卓尔金历!$M$43))+MIN(MAX(((B2932-B2931)/B2931)/($K$7*卓尔金历!$N$40),0),卓尔金历!$M$43),0),1)</f>
        <v>1</v>
      </c>
      <c r="M2932" s="4">
        <f>MIN(MAX(M2931*(1+MAX(MIN(((B2932-B2931)/B2931)/($K$7*30),0),-卓尔金历!$M$43))+MIN(MAX(((B2932-B2931)/B2931)/($K$7*7),0),卓尔金历!$M$43),0),1)</f>
        <v>1</v>
      </c>
      <c r="N2932">
        <f t="shared" si="403"/>
        <v>227718.97232405533</v>
      </c>
      <c r="O2932">
        <f t="shared" si="404"/>
        <v>641730.31154973619</v>
      </c>
      <c r="P2932">
        <f t="shared" si="405"/>
        <v>2.7605759674573741E-2</v>
      </c>
      <c r="Q2932">
        <f t="shared" si="406"/>
        <v>3.5947432839425877E-2</v>
      </c>
      <c r="R2932">
        <f t="shared" si="407"/>
        <v>0.31156987903651573</v>
      </c>
      <c r="S2932">
        <f t="shared" si="399"/>
        <v>1103.2831872528654</v>
      </c>
      <c r="T2932" s="564">
        <f>IF((I2932-MAX(I$470:I2932))/MAX(I$470:I2932)&gt;T2931,T2931,(I2932-MAX(I$470:I2932))/MAX(I$470:I2932))</f>
        <v>-0.91338805338419748</v>
      </c>
      <c r="U2932" s="564">
        <f>IF((J2932-MAX(J$470:J2932))/MAX(J$470:J2932)&gt;U2931,U2931,(J2932-MAX(J$470:J2932))/MAX(J$470:J2932))</f>
        <v>-0.8283551177402233</v>
      </c>
      <c r="V2932" s="564">
        <f>IF((K2932-MAX(K$470:K2932))/MAX(K$470:K2932)&gt;V2931,V2931,(K2932-MAX(K$470:K2932))/MAX(K$470:K2932))</f>
        <v>-0.84885940676762139</v>
      </c>
      <c r="W2932" s="564">
        <f>IF((N2932-MAX(N$470:N2932))/MAX(N$470:N2932)&gt;W2931,W2931,(N2932-MAX(N$470:N2932))/MAX(N$470:N2932))</f>
        <v>-0.62788758315546067</v>
      </c>
      <c r="X2932" s="564">
        <f>IF((O2932-MAX(O$470:O2932))/MAX(O$470:O2932)&gt;X2931,X2931,(O2932-MAX(O$470:O2932))/MAX(O$470:O2932))</f>
        <v>-0.62788758315546067</v>
      </c>
    </row>
    <row r="2933" spans="1:24">
      <c r="A2933" s="799">
        <v>43335</v>
      </c>
      <c r="B2933">
        <v>6453.43</v>
      </c>
      <c r="C2933">
        <v>4978.678559</v>
      </c>
      <c r="D2933">
        <v>1.2810870000000001</v>
      </c>
      <c r="E2933">
        <f>LN(D2933/参数实验室!$E$53)/参数实验室!$E$55</f>
        <v>-0.40073287276475394</v>
      </c>
      <c r="F2933">
        <f t="shared" si="398"/>
        <v>0.77147788989731036</v>
      </c>
      <c r="G2933">
        <f>LN(F2933/参数实验室!$E$58)/参数实验室!$E$59</f>
        <v>-0.32670197127456957</v>
      </c>
      <c r="H2933" s="856">
        <f>INDEX(神经网络!$G$10:$BO$70,MATCH(ROUND(G2933*2,1)/2,神经网络!$E$10:$E$70,0),MATCH(ROUND(E2933*2,1)/2,神经网络!$G$8:$BO$8,0))</f>
        <v>-0.67886450745175153</v>
      </c>
      <c r="I2933">
        <f t="shared" si="400"/>
        <v>588341.85181651835</v>
      </c>
      <c r="J2933">
        <f t="shared" si="401"/>
        <v>2575.0887833685774</v>
      </c>
      <c r="K2933">
        <f t="shared" si="402"/>
        <v>228.47439498644573</v>
      </c>
      <c r="L2933" s="4">
        <f>MIN(MAX(L2932*(1+MAX(MIN(((B2933-B2932)/B2932)/($K$7*卓尔金历!$N$40),0),-卓尔金历!$M$43))+MIN(MAX(((B2933-B2932)/B2932)/($K$7*卓尔金历!$N$40),0),卓尔金历!$M$43),0),1)</f>
        <v>0.50587358322367204</v>
      </c>
      <c r="M2933" s="4">
        <f>MIN(MAX(M2932*(1+MAX(MIN(((B2933-B2932)/B2932)/($K$7*30),0),-卓尔金历!$M$43))+MIN(MAX(((B2933-B2932)/B2932)/($K$7*7),0),卓尔金历!$M$43),0),1)</f>
        <v>0.75293679161183602</v>
      </c>
      <c r="N2933">
        <f t="shared" si="403"/>
        <v>232942.8296089099</v>
      </c>
      <c r="O2933">
        <f t="shared" si="404"/>
        <v>656451.55997575924</v>
      </c>
      <c r="P2933">
        <f t="shared" si="405"/>
        <v>-3.2340147336001261E-2</v>
      </c>
      <c r="Q2933">
        <f t="shared" si="406"/>
        <v>3.597626801745836E-2</v>
      </c>
      <c r="R2933">
        <f t="shared" si="407"/>
        <v>0.14632772437438352</v>
      </c>
      <c r="S2933">
        <f t="shared" si="399"/>
        <v>1111.1687838134251</v>
      </c>
      <c r="T2933" s="564">
        <f>IF((I2933-MAX(I$470:I2933))/MAX(I$470:I2933)&gt;T2932,T2932,(I2933-MAX(I$470:I2933))/MAX(I$470:I2933))</f>
        <v>-0.91338805338419748</v>
      </c>
      <c r="U2933" s="564">
        <f>IF((J2933-MAX(J$470:J2933))/MAX(J$470:J2933)&gt;U2932,U2932,(J2933-MAX(J$470:J2933))/MAX(J$470:J2933))</f>
        <v>-0.8283551177402233</v>
      </c>
      <c r="V2933" s="564">
        <f>IF((K2933-MAX(K$470:K2933))/MAX(K$470:K2933)&gt;V2932,V2932,(K2933-MAX(K$470:K2933))/MAX(K$470:K2933))</f>
        <v>-0.84885940676762139</v>
      </c>
      <c r="W2933" s="564">
        <f>IF((N2933-MAX(N$470:N2933))/MAX(N$470:N2933)&gt;W2932,W2932,(N2933-MAX(N$470:N2933))/MAX(N$470:N2933))</f>
        <v>-0.62788758315546067</v>
      </c>
      <c r="X2933" s="564">
        <f>IF((O2933-MAX(O$470:O2933))/MAX(O$470:O2933)&gt;X2932,X2932,(O2933-MAX(O$470:O2933))/MAX(O$470:O2933))</f>
        <v>-0.62788758315546067</v>
      </c>
    </row>
    <row r="2934" spans="1:24">
      <c r="A2934" s="799">
        <v>43336</v>
      </c>
      <c r="B2934">
        <v>6537.72</v>
      </c>
      <c r="C2934">
        <v>5080.9142380000003</v>
      </c>
      <c r="D2934">
        <v>1.3163279999999999</v>
      </c>
      <c r="E2934">
        <f>LN(D2934/参数实验室!$E$53)/参数实验室!$E$55</f>
        <v>-0.36871778431826052</v>
      </c>
      <c r="F2934">
        <f t="shared" si="398"/>
        <v>0.77716914122966418</v>
      </c>
      <c r="G2934">
        <f>LN(F2934/参数实验室!$E$58)/参数实验室!$E$59</f>
        <v>-0.32284429465831249</v>
      </c>
      <c r="H2934" s="856">
        <f>INDEX(神经网络!$G$10:$BO$70,MATCH(ROUND(G2934*2,1)/2,神经网络!$E$10:$E$70,0),MATCH(ROUND(E2934*2,1)/2,神经网络!$G$8:$BO$8,0))</f>
        <v>-0.58334816509486931</v>
      </c>
      <c r="I2934">
        <f t="shared" si="400"/>
        <v>583125.12257362891</v>
      </c>
      <c r="J2934">
        <f t="shared" si="401"/>
        <v>2608.7227165715622</v>
      </c>
      <c r="K2934">
        <f t="shared" si="402"/>
        <v>223.52897794365211</v>
      </c>
      <c r="L2934" s="4">
        <f>MIN(MAX(L2933*(1+MAX(MIN(((B2934-B2933)/B2933)/($K$7*卓尔金历!$N$40),0),-卓尔金历!$M$43))+MIN(MAX(((B2934-B2933)/B2933)/($K$7*卓尔金历!$N$40),0),卓尔金历!$M$43),0),1)</f>
        <v>0.70543727461538008</v>
      </c>
      <c r="M2934" s="4">
        <f>MIN(MAX(M2933*(1+MAX(MIN(((B2934-B2933)/B2933)/($K$7*30),0),-卓尔金历!$M$43))+MIN(MAX(((B2934-B2933)/B2933)/($K$7*7),0),卓尔金历!$M$43),0),1)</f>
        <v>1</v>
      </c>
      <c r="N2934">
        <f t="shared" si="403"/>
        <v>231897.96528373074</v>
      </c>
      <c r="O2934">
        <f t="shared" si="404"/>
        <v>652068.98093559383</v>
      </c>
      <c r="P2934">
        <f t="shared" si="405"/>
        <v>1.3061271292940338E-2</v>
      </c>
      <c r="Q2934">
        <f t="shared" si="406"/>
        <v>3.5112213087277765E-2</v>
      </c>
      <c r="R2934">
        <f t="shared" si="407"/>
        <v>1</v>
      </c>
      <c r="S2934">
        <f t="shared" si="399"/>
        <v>1109.7270827975317</v>
      </c>
      <c r="T2934" s="564">
        <f>IF((I2934-MAX(I$470:I2934))/MAX(I$470:I2934)&gt;T2933,T2933,(I2934-MAX(I$470:I2934))/MAX(I$470:I2934))</f>
        <v>-0.91338805338419748</v>
      </c>
      <c r="U2934" s="564">
        <f>IF((J2934-MAX(J$470:J2934))/MAX(J$470:J2934)&gt;U2933,U2933,(J2934-MAX(J$470:J2934))/MAX(J$470:J2934))</f>
        <v>-0.8283551177402233</v>
      </c>
      <c r="V2934" s="564">
        <f>IF((K2934-MAX(K$470:K2934))/MAX(K$470:K2934)&gt;V2933,V2933,(K2934-MAX(K$470:K2934))/MAX(K$470:K2934))</f>
        <v>-0.84885940676762139</v>
      </c>
      <c r="W2934" s="564">
        <f>IF((N2934-MAX(N$470:N2934))/MAX(N$470:N2934)&gt;W2933,W2933,(N2934-MAX(N$470:N2934))/MAX(N$470:N2934))</f>
        <v>-0.62788758315546067</v>
      </c>
      <c r="X2934" s="564">
        <f>IF((O2934-MAX(O$470:O2934))/MAX(O$470:O2934)&gt;X2933,X2933,(O2934-MAX(O$470:O2934))/MAX(O$470:O2934))</f>
        <v>-0.62788758315546067</v>
      </c>
    </row>
    <row r="2935" spans="1:24">
      <c r="A2935" s="799">
        <v>43337</v>
      </c>
      <c r="B2935">
        <v>6719.69</v>
      </c>
      <c r="C2935">
        <v>5182.4364310000001</v>
      </c>
      <c r="D2935">
        <v>1.324789</v>
      </c>
      <c r="E2935">
        <f>LN(D2935/参数实验室!$E$53)/参数实验室!$E$55</f>
        <v>-0.36115891710789189</v>
      </c>
      <c r="F2935">
        <f t="shared" si="398"/>
        <v>0.7712314751126913</v>
      </c>
      <c r="G2935">
        <f>LN(F2935/参数实验室!$E$58)/参数实验室!$E$59</f>
        <v>-0.32686963966372384</v>
      </c>
      <c r="H2935" s="856">
        <f>INDEX(神经网络!$G$10:$BO$70,MATCH(ROUND(G2935*2,1)/2,神经网络!$E$10:$E$70,0),MATCH(ROUND(E2935*2,1)/2,神经网络!$G$8:$BO$8,0))</f>
        <v>-0.65265855327381539</v>
      </c>
      <c r="I2935">
        <f t="shared" si="400"/>
        <v>573657.0175399523</v>
      </c>
      <c r="J2935">
        <f t="shared" si="401"/>
        <v>2681.3335461473966</v>
      </c>
      <c r="K2935">
        <f t="shared" si="402"/>
        <v>213.94466882503158</v>
      </c>
      <c r="L2935" s="4">
        <f>MIN(MAX(L2934*(1+MAX(MIN(((B2935-B2934)/B2934)/($K$7*卓尔金历!$N$40),0),-卓尔金历!$M$43))+MIN(MAX(((B2935-B2934)/B2934)/($K$7*卓尔金历!$N$40),0),卓尔金历!$M$43),0),1)</f>
        <v>1</v>
      </c>
      <c r="M2935" s="4">
        <f>MIN(MAX(M2934*(1+MAX(MIN(((B2935-B2934)/B2934)/($K$7*30),0),-卓尔金历!$M$43))+MIN(MAX(((B2935-B2934)/B2934)/($K$7*7),0),卓尔金历!$M$43),0),1)</f>
        <v>1</v>
      </c>
      <c r="N2935">
        <f t="shared" si="403"/>
        <v>229241.79045722299</v>
      </c>
      <c r="O2935">
        <f t="shared" si="404"/>
        <v>641481.44601092406</v>
      </c>
      <c r="P2935">
        <f t="shared" si="405"/>
        <v>2.7833862569825465E-2</v>
      </c>
      <c r="Q2935">
        <f t="shared" si="406"/>
        <v>3.548641736586141E-2</v>
      </c>
      <c r="R2935">
        <f t="shared" si="407"/>
        <v>0.28653750860635613</v>
      </c>
      <c r="S2935">
        <f t="shared" si="399"/>
        <v>1091.70862985853</v>
      </c>
      <c r="T2935" s="564">
        <f>IF((I2935-MAX(I$470:I2935))/MAX(I$470:I2935)&gt;T2934,T2934,(I2935-MAX(I$470:I2935))/MAX(I$470:I2935))</f>
        <v>-0.91338805338419748</v>
      </c>
      <c r="U2935" s="564">
        <f>IF((J2935-MAX(J$470:J2935))/MAX(J$470:J2935)&gt;U2934,U2934,(J2935-MAX(J$470:J2935))/MAX(J$470:J2935))</f>
        <v>-0.8283551177402233</v>
      </c>
      <c r="V2935" s="564">
        <f>IF((K2935-MAX(K$470:K2935))/MAX(K$470:K2935)&gt;V2934,V2934,(K2935-MAX(K$470:K2935))/MAX(K$470:K2935))</f>
        <v>-0.84885940676762139</v>
      </c>
      <c r="W2935" s="564">
        <f>IF((N2935-MAX(N$470:N2935))/MAX(N$470:N2935)&gt;W2934,W2934,(N2935-MAX(N$470:N2935))/MAX(N$470:N2935))</f>
        <v>-0.62788758315546067</v>
      </c>
      <c r="X2935" s="564">
        <f>IF((O2935-MAX(O$470:O2935))/MAX(O$470:O2935)&gt;X2934,X2934,(O2935-MAX(O$470:O2935))/MAX(O$470:O2935))</f>
        <v>-0.62788758315546067</v>
      </c>
    </row>
    <row r="2936" spans="1:24">
      <c r="A2936" s="799">
        <v>43338</v>
      </c>
      <c r="B2936">
        <v>6666.5</v>
      </c>
      <c r="C2936">
        <v>5164.3044369999998</v>
      </c>
      <c r="D2936">
        <v>1.313339</v>
      </c>
      <c r="E2936">
        <f>LN(D2936/参数实验室!$E$53)/参数实验室!$E$55</f>
        <v>-0.37139970865685057</v>
      </c>
      <c r="F2936">
        <f t="shared" si="398"/>
        <v>0.7746650321758044</v>
      </c>
      <c r="G2936">
        <f>LN(F2936/参数实验室!$E$58)/参数实验室!$E$59</f>
        <v>-0.32453815206202258</v>
      </c>
      <c r="H2936" s="856">
        <f>INDEX(神经网络!$G$10:$BO$70,MATCH(ROUND(G2936*2,1)/2,神经网络!$E$10:$E$70,0),MATCH(ROUND(E2936*2,1)/2,神经网络!$G$8:$BO$8,0))</f>
        <v>-0.58334816509486931</v>
      </c>
      <c r="I2936">
        <f t="shared" si="400"/>
        <v>576620.61420063395</v>
      </c>
      <c r="J2936">
        <f t="shared" si="401"/>
        <v>2660.1093332269224</v>
      </c>
      <c r="K2936">
        <f t="shared" si="402"/>
        <v>216.76575733116491</v>
      </c>
      <c r="L2936" s="4">
        <f>MIN(MAX(L2935*(1+MAX(MIN(((B2936-B2935)/B2935)/($K$7*卓尔金历!$N$40),0),-卓尔金历!$M$43))+MIN(MAX(((B2936-B2935)/B2935)/($K$7*卓尔金历!$N$40),0),卓尔金历!$M$43),0),1)</f>
        <v>0.87905808789164597</v>
      </c>
      <c r="M2936" s="4">
        <f>MIN(MAX(M2935*(1+MAX(MIN(((B2936-B2935)/B2935)/($K$7*30),0),-卓尔金历!$M$43))+MIN(MAX(((B2936-B2935)/B2935)/($K$7*7),0),卓尔金历!$M$43),0),1)</f>
        <v>0.93952904394582304</v>
      </c>
      <c r="N2936">
        <f t="shared" si="403"/>
        <v>230426.08731739415</v>
      </c>
      <c r="O2936">
        <f t="shared" si="404"/>
        <v>644795.43366061721</v>
      </c>
      <c r="P2936">
        <f t="shared" si="405"/>
        <v>-7.9155437229990674E-3</v>
      </c>
      <c r="Q2936">
        <f t="shared" si="406"/>
        <v>3.2928527640270606E-2</v>
      </c>
      <c r="R2936">
        <f t="shared" si="407"/>
        <v>1</v>
      </c>
      <c r="S2936">
        <f t="shared" si="399"/>
        <v>1093.3246806636166</v>
      </c>
      <c r="T2936" s="564">
        <f>IF((I2936-MAX(I$470:I2936))/MAX(I$470:I2936)&gt;T2935,T2935,(I2936-MAX(I$470:I2936))/MAX(I$470:I2936))</f>
        <v>-0.91338805338419748</v>
      </c>
      <c r="U2936" s="564">
        <f>IF((J2936-MAX(J$470:J2936))/MAX(J$470:J2936)&gt;U2935,U2935,(J2936-MAX(J$470:J2936))/MAX(J$470:J2936))</f>
        <v>-0.8283551177402233</v>
      </c>
      <c r="V2936" s="564">
        <f>IF((K2936-MAX(K$470:K2936))/MAX(K$470:K2936)&gt;V2935,V2935,(K2936-MAX(K$470:K2936))/MAX(K$470:K2936))</f>
        <v>-0.84885940676762139</v>
      </c>
      <c r="W2936" s="564">
        <f>IF((N2936-MAX(N$470:N2936))/MAX(N$470:N2936)&gt;W2935,W2935,(N2936-MAX(N$470:N2936))/MAX(N$470:N2936))</f>
        <v>-0.62788758315546067</v>
      </c>
      <c r="X2936" s="564">
        <f>IF((O2936-MAX(O$470:O2936))/MAX(O$470:O2936)&gt;X2935,X2935,(O2936-MAX(O$470:O2936))/MAX(O$470:O2936))</f>
        <v>-0.62788758315546067</v>
      </c>
    </row>
    <row r="2937" spans="1:24">
      <c r="A2937" s="799">
        <v>43339</v>
      </c>
      <c r="B2937">
        <v>6729.51</v>
      </c>
      <c r="C2937">
        <v>5034.4106389999997</v>
      </c>
      <c r="D2937">
        <v>1.341634</v>
      </c>
      <c r="E2937">
        <f>LN(D2937/参数实验室!$E$53)/参数实验室!$E$55</f>
        <v>-0.34625264921357946</v>
      </c>
      <c r="F2937">
        <f t="shared" si="398"/>
        <v>0.74810954125931894</v>
      </c>
      <c r="G2937">
        <f>LN(F2937/参数实验室!$E$58)/参数实验室!$E$59</f>
        <v>-0.34284574685232427</v>
      </c>
      <c r="H2937" s="856">
        <f>INDEX(神经网络!$G$10:$BO$70,MATCH(ROUND(G2937*2,1)/2,神经网络!$E$10:$E$70,0),MATCH(ROUND(E2937*2,1)/2,神经网络!$G$8:$BO$8,0))</f>
        <v>-0.65265855327381539</v>
      </c>
      <c r="I2937">
        <f t="shared" si="400"/>
        <v>573441.3282076075</v>
      </c>
      <c r="J2937">
        <f t="shared" si="401"/>
        <v>2685.2519851562151</v>
      </c>
      <c r="K2937">
        <f t="shared" si="402"/>
        <v>213.55214757405622</v>
      </c>
      <c r="L2937" s="4">
        <f>MIN(MAX(L2936*(1+MAX(MIN(((B2937-B2936)/B2936)/($K$7*卓尔金历!$N$40),0),-卓尔金历!$M$43))+MIN(MAX(((B2937-B2936)/B2936)/($K$7*卓尔金历!$N$40),0),卓尔金历!$M$43),0),1)</f>
        <v>1</v>
      </c>
      <c r="M2937" s="4">
        <f>MIN(MAX(M2936*(1+MAX(MIN(((B2937-B2936)/B2936)/($K$7*30),0),-卓尔金历!$M$43))+MIN(MAX(((B2937-B2936)/B2936)/($K$7*7),0),卓尔金历!$M$43),0),1)</f>
        <v>1</v>
      </c>
      <c r="N2937">
        <f t="shared" si="403"/>
        <v>229309.25325291953</v>
      </c>
      <c r="O2937">
        <f t="shared" si="404"/>
        <v>641455.24039842328</v>
      </c>
      <c r="P2937">
        <f t="shared" si="405"/>
        <v>9.4517362934073684E-3</v>
      </c>
      <c r="Q2937">
        <f t="shared" si="406"/>
        <v>3.2998091805049153E-2</v>
      </c>
      <c r="R2937">
        <f t="shared" si="407"/>
        <v>1</v>
      </c>
      <c r="S2937">
        <f t="shared" si="399"/>
        <v>1087.2964677321681</v>
      </c>
      <c r="T2937" s="564">
        <f>IF((I2937-MAX(I$470:I2937))/MAX(I$470:I2937)&gt;T2936,T2936,(I2937-MAX(I$470:I2937))/MAX(I$470:I2937))</f>
        <v>-0.91338805338419748</v>
      </c>
      <c r="U2937" s="564">
        <f>IF((J2937-MAX(J$470:J2937))/MAX(J$470:J2937)&gt;U2936,U2936,(J2937-MAX(J$470:J2937))/MAX(J$470:J2937))</f>
        <v>-0.8283551177402233</v>
      </c>
      <c r="V2937" s="564">
        <f>IF((K2937-MAX(K$470:K2937))/MAX(K$470:K2937)&gt;V2936,V2936,(K2937-MAX(K$470:K2937))/MAX(K$470:K2937))</f>
        <v>-0.84885940676762139</v>
      </c>
      <c r="W2937" s="564">
        <f>IF((N2937-MAX(N$470:N2937))/MAX(N$470:N2937)&gt;W2936,W2936,(N2937-MAX(N$470:N2937))/MAX(N$470:N2937))</f>
        <v>-0.62788758315546067</v>
      </c>
      <c r="X2937" s="564">
        <f>IF((O2937-MAX(O$470:O2937))/MAX(O$470:O2937)&gt;X2936,X2936,(O2937-MAX(O$470:O2937))/MAX(O$470:O2937))</f>
        <v>-0.62788758315546067</v>
      </c>
    </row>
    <row r="2938" spans="1:24">
      <c r="A2938" s="799">
        <v>43340</v>
      </c>
      <c r="B2938">
        <v>6935.84</v>
      </c>
      <c r="C2938">
        <v>5091.7958330000001</v>
      </c>
      <c r="D2938">
        <v>1.3899319999999999</v>
      </c>
      <c r="E2938">
        <f>LN(D2938/参数实验室!$E$53)/参数实验室!$E$55</f>
        <v>-0.30452884594002366</v>
      </c>
      <c r="F2938">
        <f t="shared" si="398"/>
        <v>0.73412821417449081</v>
      </c>
      <c r="G2938">
        <f>LN(F2938/参数实验室!$E$58)/参数实验室!$E$59</f>
        <v>-0.35274749664493582</v>
      </c>
      <c r="H2938" s="856">
        <f>INDEX(神经网络!$G$10:$BO$70,MATCH(ROUND(G2938*2,1)/2,神经网络!$E$10:$E$70,0),MATCH(ROUND(E2938*2,1)/2,神经网络!$G$8:$BO$8,0))</f>
        <v>-0.62084997534914133</v>
      </c>
      <c r="I2938">
        <f t="shared" si="400"/>
        <v>561966.2947928512</v>
      </c>
      <c r="J2938">
        <f t="shared" si="401"/>
        <v>2767.5830972427239</v>
      </c>
      <c r="K2938">
        <f t="shared" si="402"/>
        <v>203.0530882171974</v>
      </c>
      <c r="L2938" s="4">
        <f>MIN(MAX(L2937*(1+MAX(MIN(((B2938-B2937)/B2937)/($K$7*卓尔金历!$N$40),0),-卓尔金历!$M$43))+MIN(MAX(((B2938-B2937)/B2937)/($K$7*卓尔金历!$N$40),0),卓尔金历!$M$43),0),1)</f>
        <v>1</v>
      </c>
      <c r="M2938" s="4">
        <f>MIN(MAX(M2937*(1+MAX(MIN(((B2938-B2937)/B2937)/($K$7*30),0),-卓尔金历!$M$43))+MIN(MAX(((B2938-B2937)/B2937)/($K$7*7),0),卓尔金历!$M$43),0),1)</f>
        <v>1</v>
      </c>
      <c r="N2938">
        <f t="shared" si="403"/>
        <v>224720.58617582766</v>
      </c>
      <c r="O2938">
        <f t="shared" si="404"/>
        <v>628619.19256655581</v>
      </c>
      <c r="P2938">
        <f t="shared" si="405"/>
        <v>3.0660478994755921E-2</v>
      </c>
      <c r="Q2938">
        <f t="shared" si="406"/>
        <v>3.3691115063145489E-2</v>
      </c>
      <c r="R2938">
        <f t="shared" si="407"/>
        <v>0.13036813917707085</v>
      </c>
      <c r="S2938">
        <f t="shared" si="399"/>
        <v>1065.5387696290832</v>
      </c>
      <c r="T2938" s="564">
        <f>IF((I2938-MAX(I$470:I2938))/MAX(I$470:I2938)&gt;T2937,T2937,(I2938-MAX(I$470:I2938))/MAX(I$470:I2938))</f>
        <v>-0.91338805338419748</v>
      </c>
      <c r="U2938" s="564">
        <f>IF((J2938-MAX(J$470:J2938))/MAX(J$470:J2938)&gt;U2937,U2937,(J2938-MAX(J$470:J2938))/MAX(J$470:J2938))</f>
        <v>-0.8283551177402233</v>
      </c>
      <c r="V2938" s="564">
        <f>IF((K2938-MAX(K$470:K2938))/MAX(K$470:K2938)&gt;V2937,V2937,(K2938-MAX(K$470:K2938))/MAX(K$470:K2938))</f>
        <v>-0.84885940676762139</v>
      </c>
      <c r="W2938" s="564">
        <f>IF((N2938-MAX(N$470:N2938))/MAX(N$470:N2938)&gt;W2937,W2937,(N2938-MAX(N$470:N2938))/MAX(N$470:N2938))</f>
        <v>-0.62788758315546067</v>
      </c>
      <c r="X2938" s="564">
        <f>IF((O2938-MAX(O$470:O2938))/MAX(O$470:O2938)&gt;X2937,X2937,(O2938-MAX(O$470:O2938))/MAX(O$470:O2938))</f>
        <v>-0.62788758315546067</v>
      </c>
    </row>
    <row r="2939" spans="1:24">
      <c r="A2939" s="799">
        <v>43341</v>
      </c>
      <c r="B2939">
        <v>7063.13</v>
      </c>
      <c r="C2939">
        <v>5076.9860550000003</v>
      </c>
      <c r="D2939">
        <v>1.376706</v>
      </c>
      <c r="E2939">
        <f>LN(D2939/参数实验室!$E$53)/参数实验室!$E$55</f>
        <v>-0.31580862686585021</v>
      </c>
      <c r="F2939">
        <f t="shared" si="398"/>
        <v>0.71880116251576853</v>
      </c>
      <c r="G2939">
        <f>LN(F2939/参数实验室!$E$58)/参数实验室!$E$59</f>
        <v>-0.36382135003967297</v>
      </c>
      <c r="H2939" s="856">
        <f>INDEX(神经网络!$G$10:$BO$70,MATCH(ROUND(G2939*2,1)/2,神经网络!$E$10:$E$70,0),MATCH(ROUND(E2939*2,1)/2,神经网络!$G$8:$BO$8,0))</f>
        <v>-0.62084997534914133</v>
      </c>
      <c r="I2939">
        <f t="shared" si="400"/>
        <v>555563.16718110337</v>
      </c>
      <c r="J2939">
        <f t="shared" si="401"/>
        <v>2818.3751645983757</v>
      </c>
      <c r="K2939">
        <f t="shared" si="402"/>
        <v>197.1217934927667</v>
      </c>
      <c r="L2939" s="4">
        <f>MIN(MAX(L2938*(1+MAX(MIN(((B2939-B2938)/B2938)/($K$7*卓尔金历!$N$40),0),-卓尔金历!$M$43))+MIN(MAX(((B2939-B2938)/B2938)/($K$7*卓尔金历!$N$40),0),卓尔金历!$M$43),0),1)</f>
        <v>1</v>
      </c>
      <c r="M2939" s="4">
        <f>MIN(MAX(M2938*(1+MAX(MIN(((B2939-B2938)/B2938)/($K$7*30),0),-卓尔金历!$M$43))+MIN(MAX(((B2939-B2938)/B2938)/($K$7*7),0),卓尔金历!$M$43),0),1)</f>
        <v>1</v>
      </c>
      <c r="N2939">
        <f t="shared" si="403"/>
        <v>222160.08636720301</v>
      </c>
      <c r="O2939">
        <f t="shared" si="404"/>
        <v>621456.61191626743</v>
      </c>
      <c r="P2939">
        <f t="shared" si="405"/>
        <v>1.835249948095688E-2</v>
      </c>
      <c r="Q2939">
        <f t="shared" si="406"/>
        <v>2.9165921515571729E-2</v>
      </c>
      <c r="R2939">
        <f t="shared" si="407"/>
        <v>0.51253320441134254</v>
      </c>
      <c r="S2939">
        <f t="shared" si="399"/>
        <v>1063.9559821303376</v>
      </c>
      <c r="T2939" s="564">
        <f>IF((I2939-MAX(I$470:I2939))/MAX(I$470:I2939)&gt;T2938,T2938,(I2939-MAX(I$470:I2939))/MAX(I$470:I2939))</f>
        <v>-0.91338805338419748</v>
      </c>
      <c r="U2939" s="564">
        <f>IF((J2939-MAX(J$470:J2939))/MAX(J$470:J2939)&gt;U2938,U2938,(J2939-MAX(J$470:J2939))/MAX(J$470:J2939))</f>
        <v>-0.8283551177402233</v>
      </c>
      <c r="V2939" s="564">
        <f>IF((K2939-MAX(K$470:K2939))/MAX(K$470:K2939)&gt;V2938,V2938,(K2939-MAX(K$470:K2939))/MAX(K$470:K2939))</f>
        <v>-0.84885940676762139</v>
      </c>
      <c r="W2939" s="564">
        <f>IF((N2939-MAX(N$470:N2939))/MAX(N$470:N2939)&gt;W2938,W2938,(N2939-MAX(N$470:N2939))/MAX(N$470:N2939))</f>
        <v>-0.62788758315546067</v>
      </c>
      <c r="X2939" s="564">
        <f>IF((O2939-MAX(O$470:O2939))/MAX(O$470:O2939)&gt;X2938,X2938,(O2939-MAX(O$470:O2939))/MAX(O$470:O2939))</f>
        <v>-0.62788758315546067</v>
      </c>
    </row>
    <row r="2940" spans="1:24">
      <c r="A2940" s="799">
        <v>43342</v>
      </c>
      <c r="B2940">
        <v>6994.99</v>
      </c>
      <c r="C2940">
        <v>5055.8799980000003</v>
      </c>
      <c r="D2940">
        <v>1.363591</v>
      </c>
      <c r="E2940">
        <f>LN(D2940/参数实验室!$E$53)/参数实验室!$E$55</f>
        <v>-0.3271012582350622</v>
      </c>
      <c r="F2940">
        <f t="shared" si="398"/>
        <v>0.72278587932220062</v>
      </c>
      <c r="G2940">
        <f>LN(F2940/参数实验室!$E$58)/参数实验室!$E$59</f>
        <v>-0.36091982555027763</v>
      </c>
      <c r="H2940" s="856">
        <f>INDEX(神经网络!$G$10:$BO$70,MATCH(ROUND(G2940*2,1)/2,神经网络!$E$10:$E$70,0),MATCH(ROUND(E2940*2,1)/2,神经网络!$G$8:$BO$8,0))</f>
        <v>-0.65265855327381539</v>
      </c>
      <c r="I2940">
        <f t="shared" si="400"/>
        <v>558890.7206511884</v>
      </c>
      <c r="J2940">
        <f t="shared" si="401"/>
        <v>2791.1855073620322</v>
      </c>
      <c r="K2940">
        <f t="shared" si="402"/>
        <v>200.23417260409886</v>
      </c>
      <c r="L2940" s="4">
        <f>MIN(MAX(L2939*(1+MAX(MIN(((B2940-B2939)/B2939)/($K$7*卓尔金历!$N$40),0),-卓尔金历!$M$43))+MIN(MAX(((B2940-B2939)/B2939)/($K$7*卓尔金历!$N$40),0),卓尔金历!$M$43),0),1)</f>
        <v>0.85259880379751984</v>
      </c>
      <c r="M2940" s="4">
        <f>MIN(MAX(M2939*(1+MAX(MIN(((B2940-B2939)/B2939)/($K$7*30),0),-卓尔金历!$M$43))+MIN(MAX(((B2940-B2939)/B2939)/($K$7*7),0),卓尔金历!$M$43),0),1)</f>
        <v>0.92629940189875992</v>
      </c>
      <c r="N2940">
        <f t="shared" si="403"/>
        <v>223490.71735567637</v>
      </c>
      <c r="O2940">
        <f t="shared" si="404"/>
        <v>625178.83510824363</v>
      </c>
      <c r="P2940">
        <f t="shared" si="405"/>
        <v>-9.6472810213036331E-3</v>
      </c>
      <c r="Q2940">
        <f t="shared" si="406"/>
        <v>2.8678322340508683E-2</v>
      </c>
      <c r="R2940">
        <f t="shared" si="407"/>
        <v>1</v>
      </c>
      <c r="S2940">
        <f t="shared" si="399"/>
        <v>1067.2221406943672</v>
      </c>
      <c r="T2940" s="564">
        <f>IF((I2940-MAX(I$470:I2940))/MAX(I$470:I2940)&gt;T2939,T2939,(I2940-MAX(I$470:I2940))/MAX(I$470:I2940))</f>
        <v>-0.91338805338419748</v>
      </c>
      <c r="U2940" s="564">
        <f>IF((J2940-MAX(J$470:J2940))/MAX(J$470:J2940)&gt;U2939,U2939,(J2940-MAX(J$470:J2940))/MAX(J$470:J2940))</f>
        <v>-0.8283551177402233</v>
      </c>
      <c r="V2940" s="564">
        <f>IF((K2940-MAX(K$470:K2940))/MAX(K$470:K2940)&gt;V2939,V2939,(K2940-MAX(K$470:K2940))/MAX(K$470:K2940))</f>
        <v>-0.84885940676762139</v>
      </c>
      <c r="W2940" s="564">
        <f>IF((N2940-MAX(N$470:N2940))/MAX(N$470:N2940)&gt;W2939,W2939,(N2940-MAX(N$470:N2940))/MAX(N$470:N2940))</f>
        <v>-0.62788758315546067</v>
      </c>
      <c r="X2940" s="564">
        <f>IF((O2940-MAX(O$470:O2940))/MAX(O$470:O2940)&gt;X2939,X2939,(O2940-MAX(O$470:O2940))/MAX(O$470:O2940))</f>
        <v>-0.62788758315546067</v>
      </c>
    </row>
    <row r="2941" spans="1:24">
      <c r="A2941" s="799">
        <v>43343</v>
      </c>
      <c r="B2941">
        <v>6971.92</v>
      </c>
      <c r="C2941">
        <v>5041.4026119999999</v>
      </c>
      <c r="D2941">
        <v>1.374938</v>
      </c>
      <c r="E2941">
        <f>LN(D2941/参数实验室!$E$53)/参数实验室!$E$55</f>
        <v>-0.31732466892825095</v>
      </c>
      <c r="F2941">
        <f t="shared" si="398"/>
        <v>0.72310104132003805</v>
      </c>
      <c r="G2941">
        <f>LN(F2941/参数实验室!$E$58)/参数实验室!$E$59</f>
        <v>-0.36069101920443031</v>
      </c>
      <c r="H2941" s="856">
        <f>INDEX(神经网络!$G$10:$BO$70,MATCH(ROUND(G2941*2,1)/2,神经网络!$E$10:$E$70,0),MATCH(ROUND(E2941*2,1)/2,神经网络!$G$8:$BO$8,0))</f>
        <v>-0.62084997534914133</v>
      </c>
      <c r="I2941">
        <f t="shared" si="400"/>
        <v>560093.7422634773</v>
      </c>
      <c r="J2941">
        <f t="shared" si="401"/>
        <v>2781.9799688759385</v>
      </c>
      <c r="K2941">
        <f t="shared" si="402"/>
        <v>201.32917868915629</v>
      </c>
      <c r="L2941" s="4">
        <f>MIN(MAX(L2940*(1+MAX(MIN(((B2941-B2940)/B2940)/($K$7*卓尔金历!$N$40),0),-卓尔金历!$M$43))+MIN(MAX(((B2941-B2940)/B2940)/($K$7*卓尔金历!$N$40),0),卓尔金历!$M$43),0),1)</f>
        <v>0.80963514153012939</v>
      </c>
      <c r="M2941" s="4">
        <f>MIN(MAX(M2940*(1+MAX(MIN(((B2941-B2940)/B2940)/($K$7*30),0),-卓尔金历!$M$43))+MIN(MAX(((B2941-B2940)/B2940)/($K$7*7),0),卓尔金历!$M$43),0),1)</f>
        <v>0.90296063196124343</v>
      </c>
      <c r="N2941">
        <f t="shared" si="403"/>
        <v>223900.87493280909</v>
      </c>
      <c r="O2941">
        <f t="shared" si="404"/>
        <v>626425.36351815646</v>
      </c>
      <c r="P2941">
        <f t="shared" si="405"/>
        <v>-3.2980747649388647E-3</v>
      </c>
      <c r="Q2941">
        <f t="shared" si="406"/>
        <v>2.8489780333137642E-2</v>
      </c>
      <c r="R2941">
        <f t="shared" si="407"/>
        <v>1</v>
      </c>
      <c r="S2941">
        <f t="shared" si="399"/>
        <v>1069.5193541798096</v>
      </c>
      <c r="T2941" s="564">
        <f>IF((I2941-MAX(I$470:I2941))/MAX(I$470:I2941)&gt;T2940,T2940,(I2941-MAX(I$470:I2941))/MAX(I$470:I2941))</f>
        <v>-0.91338805338419748</v>
      </c>
      <c r="U2941" s="564">
        <f>IF((J2941-MAX(J$470:J2941))/MAX(J$470:J2941)&gt;U2940,U2940,(J2941-MAX(J$470:J2941))/MAX(J$470:J2941))</f>
        <v>-0.8283551177402233</v>
      </c>
      <c r="V2941" s="564">
        <f>IF((K2941-MAX(K$470:K2941))/MAX(K$470:K2941)&gt;V2940,V2940,(K2941-MAX(K$470:K2941))/MAX(K$470:K2941))</f>
        <v>-0.84885940676762139</v>
      </c>
      <c r="W2941" s="564">
        <f>IF((N2941-MAX(N$470:N2941))/MAX(N$470:N2941)&gt;W2940,W2940,(N2941-MAX(N$470:N2941))/MAX(N$470:N2941))</f>
        <v>-0.62788758315546067</v>
      </c>
      <c r="X2941" s="564">
        <f>IF((O2941-MAX(O$470:O2941))/MAX(O$470:O2941)&gt;X2940,X2940,(O2941-MAX(O$470:O2941))/MAX(O$470:O2941))</f>
        <v>-0.62788758315546067</v>
      </c>
    </row>
    <row r="2942" spans="1:24">
      <c r="A2942" s="799">
        <v>43344</v>
      </c>
      <c r="B2942">
        <v>7056.51</v>
      </c>
      <c r="C2942">
        <v>5049.6690570000001</v>
      </c>
      <c r="D2942">
        <v>1.4071130000000001</v>
      </c>
      <c r="E2942">
        <f>LN(D2942/参数实验室!$E$53)/参数实验室!$E$55</f>
        <v>-0.29003526759734416</v>
      </c>
      <c r="F2942">
        <f t="shared" si="398"/>
        <v>0.71560432239166383</v>
      </c>
      <c r="G2942">
        <f>LN(F2942/参数实验室!$E$58)/参数实验室!$E$59</f>
        <v>-0.36616082414223267</v>
      </c>
      <c r="H2942" s="856">
        <f>INDEX(神经网络!$G$10:$BO$70,MATCH(ROUND(G2942*2,1)/2,神经网络!$E$10:$E$70,0),MATCH(ROUND(E2942*2,1)/2,神经网络!$G$8:$BO$8,0))</f>
        <v>-0.62084997534914133</v>
      </c>
      <c r="I2942">
        <f t="shared" si="400"/>
        <v>555874.69861405296</v>
      </c>
      <c r="J2942">
        <f t="shared" si="401"/>
        <v>2815.733609991616</v>
      </c>
      <c r="K2942">
        <f t="shared" si="402"/>
        <v>197.41736101793668</v>
      </c>
      <c r="L2942" s="4">
        <f>MIN(MAX(L2941*(1+MAX(MIN(((B2942-B2941)/B2941)/($K$7*卓尔金历!$N$40),0),-卓尔金历!$M$43))+MIN(MAX(((B2942-B2941)/B2941)/($K$7*卓尔金历!$N$40),0),卓尔金历!$M$43),0),1)</f>
        <v>0.99501506916118787</v>
      </c>
      <c r="M2942" s="4">
        <f>MIN(MAX(M2941*(1+MAX(MIN(((B2942-B2941)/B2941)/($K$7*30),0),-卓尔金历!$M$43))+MIN(MAX(((B2942-B2941)/B2941)/($K$7*7),0),卓尔金历!$M$43),0),1)</f>
        <v>1</v>
      </c>
      <c r="N2942">
        <f t="shared" si="403"/>
        <v>222535.35375866108</v>
      </c>
      <c r="O2942">
        <f t="shared" si="404"/>
        <v>622164.56058826798</v>
      </c>
      <c r="P2942">
        <f t="shared" si="405"/>
        <v>1.2132956201448115E-2</v>
      </c>
      <c r="Q2942">
        <f t="shared" si="406"/>
        <v>2.5682649442971838E-2</v>
      </c>
      <c r="R2942">
        <f t="shared" si="407"/>
        <v>0.79974423035685238</v>
      </c>
      <c r="S2942">
        <f t="shared" si="399"/>
        <v>1061.462937014795</v>
      </c>
      <c r="T2942" s="564">
        <f>IF((I2942-MAX(I$470:I2942))/MAX(I$470:I2942)&gt;T2941,T2941,(I2942-MAX(I$470:I2942))/MAX(I$470:I2942))</f>
        <v>-0.91338805338419748</v>
      </c>
      <c r="U2942" s="564">
        <f>IF((J2942-MAX(J$470:J2942))/MAX(J$470:J2942)&gt;U2941,U2941,(J2942-MAX(J$470:J2942))/MAX(J$470:J2942))</f>
        <v>-0.8283551177402233</v>
      </c>
      <c r="V2942" s="564">
        <f>IF((K2942-MAX(K$470:K2942))/MAX(K$470:K2942)&gt;V2941,V2941,(K2942-MAX(K$470:K2942))/MAX(K$470:K2942))</f>
        <v>-0.84885940676762139</v>
      </c>
      <c r="W2942" s="564">
        <f>IF((N2942-MAX(N$470:N2942))/MAX(N$470:N2942)&gt;W2941,W2941,(N2942-MAX(N$470:N2942))/MAX(N$470:N2942))</f>
        <v>-0.62788758315546067</v>
      </c>
      <c r="X2942" s="564">
        <f>IF((O2942-MAX(O$470:O2942))/MAX(O$470:O2942)&gt;X2941,X2941,(O2942-MAX(O$470:O2942))/MAX(O$470:O2942))</f>
        <v>-0.62788758315546067</v>
      </c>
    </row>
    <row r="2943" spans="1:24">
      <c r="A2943" s="799">
        <v>43345</v>
      </c>
      <c r="B2943">
        <v>7257.12</v>
      </c>
      <c r="C2943">
        <v>5123.7125059999998</v>
      </c>
      <c r="D2943">
        <v>1.4250780000000001</v>
      </c>
      <c r="E2943">
        <f>LN(D2943/参数实验室!$E$53)/参数实验室!$E$55</f>
        <v>-0.27506837356457831</v>
      </c>
      <c r="F2943">
        <f t="shared" si="398"/>
        <v>0.70602560051370244</v>
      </c>
      <c r="G2943">
        <f>LN(F2943/参数实验室!$E$58)/参数实验室!$E$59</f>
        <v>-0.37323370141589557</v>
      </c>
      <c r="H2943" s="856">
        <f>INDEX(神经网络!$G$10:$BO$70,MATCH(ROUND(G2943*2,1)/2,神经网络!$E$10:$E$70,0),MATCH(ROUND(E2943*2,1)/2,神经网络!$G$8:$BO$8,0))</f>
        <v>-0.62084997534914133</v>
      </c>
      <c r="I2943">
        <f t="shared" si="400"/>
        <v>546063.4068267477</v>
      </c>
      <c r="J2943">
        <f t="shared" si="401"/>
        <v>2895.7822912094443</v>
      </c>
      <c r="K2943">
        <f t="shared" si="402"/>
        <v>188.57198225308588</v>
      </c>
      <c r="L2943" s="4">
        <f>MIN(MAX(L2942*(1+MAX(MIN(((B2943-B2942)/B2942)/($K$7*卓尔金历!$N$40),0),-卓尔金历!$M$43))+MIN(MAX(((B2943-B2942)/B2942)/($K$7*卓尔金历!$N$40),0),卓尔金历!$M$43),0),1)</f>
        <v>1</v>
      </c>
      <c r="M2943" s="4">
        <f>MIN(MAX(M2942*(1+MAX(MIN(((B2943-B2942)/B2942)/($K$7*30),0),-卓尔金历!$M$43))+MIN(MAX(((B2943-B2942)/B2942)/($K$7*7),0),卓尔金历!$M$43),0),1)</f>
        <v>1</v>
      </c>
      <c r="N2943">
        <f t="shared" si="403"/>
        <v>218627.14315097654</v>
      </c>
      <c r="O2943">
        <f t="shared" si="404"/>
        <v>611183.24041148787</v>
      </c>
      <c r="P2943">
        <f t="shared" si="405"/>
        <v>2.8429067626914675E-2</v>
      </c>
      <c r="Q2943">
        <f t="shared" si="406"/>
        <v>2.5571568252421555E-2</v>
      </c>
      <c r="R2943">
        <f t="shared" si="407"/>
        <v>2.2962060433254616E-2</v>
      </c>
      <c r="S2943">
        <f t="shared" si="399"/>
        <v>1046.4797143022636</v>
      </c>
      <c r="T2943" s="564">
        <f>IF((I2943-MAX(I$470:I2943))/MAX(I$470:I2943)&gt;T2942,T2942,(I2943-MAX(I$470:I2943))/MAX(I$470:I2943))</f>
        <v>-0.91338805338419748</v>
      </c>
      <c r="U2943" s="564">
        <f>IF((J2943-MAX(J$470:J2943))/MAX(J$470:J2943)&gt;U2942,U2942,(J2943-MAX(J$470:J2943))/MAX(J$470:J2943))</f>
        <v>-0.8283551177402233</v>
      </c>
      <c r="V2943" s="564">
        <f>IF((K2943-MAX(K$470:K2943))/MAX(K$470:K2943)&gt;V2942,V2942,(K2943-MAX(K$470:K2943))/MAX(K$470:K2943))</f>
        <v>-0.84885940676762139</v>
      </c>
      <c r="W2943" s="564">
        <f>IF((N2943-MAX(N$470:N2943))/MAX(N$470:N2943)&gt;W2942,W2942,(N2943-MAX(N$470:N2943))/MAX(N$470:N2943))</f>
        <v>-0.62788758315546067</v>
      </c>
      <c r="X2943" s="564">
        <f>IF((O2943-MAX(O$470:O2943))/MAX(O$470:O2943)&gt;X2942,X2942,(O2943-MAX(O$470:O2943))/MAX(O$470:O2943))</f>
        <v>-0.62788758315546067</v>
      </c>
    </row>
    <row r="2944" spans="1:24">
      <c r="A2944" s="799">
        <v>43346</v>
      </c>
      <c r="B2944">
        <v>7259.35</v>
      </c>
      <c r="C2944">
        <v>5233.197545</v>
      </c>
      <c r="D2944">
        <v>1.419243</v>
      </c>
      <c r="E2944">
        <f>LN(D2944/参数实验室!$E$53)/参数实验室!$E$55</f>
        <v>-0.27990880460977186</v>
      </c>
      <c r="F2944">
        <f t="shared" si="398"/>
        <v>0.72089065067809099</v>
      </c>
      <c r="G2944">
        <f>LN(F2944/参数实验室!$E$58)/参数实验室!$E$59</f>
        <v>-0.36229786137365488</v>
      </c>
      <c r="H2944" s="856">
        <f>INDEX(神经网络!$G$10:$BO$70,MATCH(ROUND(G2944*2,1)/2,神经网络!$E$10:$E$70,0),MATCH(ROUND(E2944*2,1)/2,神经网络!$G$8:$BO$8,0))</f>
        <v>-0.62084997534914133</v>
      </c>
      <c r="I2944">
        <f t="shared" si="400"/>
        <v>545959.23019752721</v>
      </c>
      <c r="J2944">
        <f t="shared" si="401"/>
        <v>2896.6721200271295</v>
      </c>
      <c r="K2944">
        <f t="shared" si="402"/>
        <v>188.47809057257535</v>
      </c>
      <c r="L2944" s="4">
        <f>MIN(MAX(L2943*(1+MAX(MIN(((B2944-B2943)/B2943)/($K$7*卓尔金历!$N$40),0),-卓尔金历!$M$43))+MIN(MAX(((B2944-B2943)/B2943)/($K$7*卓尔金历!$N$40),0),卓尔金历!$M$43),0),1)</f>
        <v>1</v>
      </c>
      <c r="M2944" s="4">
        <f>MIN(MAX(M2943*(1+MAX(MIN(((B2944-B2943)/B2943)/($K$7*30),0),-卓尔金历!$M$43))+MIN(MAX(((B2944-B2943)/B2943)/($K$7*7),0),卓尔金历!$M$43),0),1)</f>
        <v>1</v>
      </c>
      <c r="N2944">
        <f t="shared" si="403"/>
        <v>218585.43400411771</v>
      </c>
      <c r="O2944">
        <f t="shared" si="404"/>
        <v>611066.64038111386</v>
      </c>
      <c r="P2944">
        <f t="shared" si="405"/>
        <v>3.0728443239197824E-4</v>
      </c>
      <c r="Q2944">
        <f t="shared" si="406"/>
        <v>2.5392235547376747E-2</v>
      </c>
      <c r="R2944">
        <f t="shared" si="407"/>
        <v>1</v>
      </c>
      <c r="S2944">
        <f t="shared" si="399"/>
        <v>1046.4751300458995</v>
      </c>
      <c r="T2944" s="564">
        <f>IF((I2944-MAX(I$470:I2944))/MAX(I$470:I2944)&gt;T2943,T2943,(I2944-MAX(I$470:I2944))/MAX(I$470:I2944))</f>
        <v>-0.91338805338419748</v>
      </c>
      <c r="U2944" s="564">
        <f>IF((J2944-MAX(J$470:J2944))/MAX(J$470:J2944)&gt;U2943,U2943,(J2944-MAX(J$470:J2944))/MAX(J$470:J2944))</f>
        <v>-0.8283551177402233</v>
      </c>
      <c r="V2944" s="564">
        <f>IF((K2944-MAX(K$470:K2944))/MAX(K$470:K2944)&gt;V2943,V2943,(K2944-MAX(K$470:K2944))/MAX(K$470:K2944))</f>
        <v>-0.84885940676762139</v>
      </c>
      <c r="W2944" s="564">
        <f>IF((N2944-MAX(N$470:N2944))/MAX(N$470:N2944)&gt;W2943,W2943,(N2944-MAX(N$470:N2944))/MAX(N$470:N2944))</f>
        <v>-0.62788758315546067</v>
      </c>
      <c r="X2944" s="564">
        <f>IF((O2944-MAX(O$470:O2944))/MAX(O$470:O2944)&gt;X2943,X2943,(O2944-MAX(O$470:O2944))/MAX(O$470:O2944))</f>
        <v>-0.62788758315546067</v>
      </c>
    </row>
    <row r="2945" spans="1:24">
      <c r="A2945" s="799">
        <v>43347</v>
      </c>
      <c r="B2945">
        <v>7306.47</v>
      </c>
      <c r="C2945">
        <v>5352.6090299999996</v>
      </c>
      <c r="D2945">
        <v>1.438429</v>
      </c>
      <c r="E2945">
        <f>LN(D2945/参数实验室!$E$53)/参数实验室!$E$55</f>
        <v>-0.26406717838977811</v>
      </c>
      <c r="F2945">
        <f t="shared" si="398"/>
        <v>0.73258482276667114</v>
      </c>
      <c r="G2945">
        <f>LN(F2945/参数实验室!$E$58)/参数实验室!$E$59</f>
        <v>-0.35385208288510472</v>
      </c>
      <c r="H2945" s="856">
        <f>INDEX(神经网络!$G$10:$BO$70,MATCH(ROUND(G2945*2,1)/2,神经网络!$E$10:$E$70,0),MATCH(ROUND(E2945*2,1)/2,神经网络!$G$8:$BO$8,0))</f>
        <v>-0.5864484419700331</v>
      </c>
      <c r="I2945">
        <f t="shared" si="400"/>
        <v>543759.06937601941</v>
      </c>
      <c r="J2945">
        <f t="shared" si="401"/>
        <v>2915.4742428474478</v>
      </c>
      <c r="K2945">
        <f t="shared" si="402"/>
        <v>186.50793115735016</v>
      </c>
      <c r="L2945" s="4">
        <f>MIN(MAX(L2944*(1+MAX(MIN(((B2945-B2944)/B2944)/($K$7*卓尔金历!$N$40),0),-卓尔金历!$M$43))+MIN(MAX(((B2945-B2944)/B2944)/($K$7*卓尔金历!$N$40),0),卓尔金历!$M$43),0),1)</f>
        <v>1</v>
      </c>
      <c r="M2945" s="4">
        <f>MIN(MAX(M2944*(1+MAX(MIN(((B2945-B2944)/B2944)/($K$7*30),0),-卓尔金历!$M$43))+MIN(MAX(((B2945-B2944)/B2944)/($K$7*7),0),卓尔金历!$M$43),0),1)</f>
        <v>1</v>
      </c>
      <c r="N2945">
        <f t="shared" si="403"/>
        <v>217704.55667583417</v>
      </c>
      <c r="O2945">
        <f t="shared" si="404"/>
        <v>608604.10324072978</v>
      </c>
      <c r="P2945">
        <f t="shared" si="405"/>
        <v>6.4909392714223571E-3</v>
      </c>
      <c r="Q2945">
        <f t="shared" si="406"/>
        <v>1.9908561107191296E-2</v>
      </c>
      <c r="R2945">
        <f t="shared" si="407"/>
        <v>1</v>
      </c>
      <c r="S2945">
        <f t="shared" si="399"/>
        <v>1042.2579404565299</v>
      </c>
      <c r="T2945" s="564">
        <f>IF((I2945-MAX(I$470:I2945))/MAX(I$470:I2945)&gt;T2944,T2944,(I2945-MAX(I$470:I2945))/MAX(I$470:I2945))</f>
        <v>-0.91338805338419748</v>
      </c>
      <c r="U2945" s="564">
        <f>IF((J2945-MAX(J$470:J2945))/MAX(J$470:J2945)&gt;U2944,U2944,(J2945-MAX(J$470:J2945))/MAX(J$470:J2945))</f>
        <v>-0.8283551177402233</v>
      </c>
      <c r="V2945" s="564">
        <f>IF((K2945-MAX(K$470:K2945))/MAX(K$470:K2945)&gt;V2944,V2944,(K2945-MAX(K$470:K2945))/MAX(K$470:K2945))</f>
        <v>-0.84885940676762139</v>
      </c>
      <c r="W2945" s="564">
        <f>IF((N2945-MAX(N$470:N2945))/MAX(N$470:N2945)&gt;W2944,W2944,(N2945-MAX(N$470:N2945))/MAX(N$470:N2945))</f>
        <v>-0.62788758315546067</v>
      </c>
      <c r="X2945" s="564">
        <f>IF((O2945-MAX(O$470:O2945))/MAX(O$470:O2945)&gt;X2944,X2944,(O2945-MAX(O$470:O2945))/MAX(O$470:O2945))</f>
        <v>-0.62788758315546067</v>
      </c>
    </row>
    <row r="2946" spans="1:24">
      <c r="A2946" s="799">
        <v>43348</v>
      </c>
      <c r="B2946">
        <v>7375.72</v>
      </c>
      <c r="C2946">
        <v>5350.7210519999999</v>
      </c>
      <c r="D2946">
        <v>1.3290789999999999</v>
      </c>
      <c r="E2946">
        <f>LN(D2946/参数实验室!$E$53)/参数实验室!$E$55</f>
        <v>-0.35734475165198393</v>
      </c>
      <c r="F2946">
        <f t="shared" si="398"/>
        <v>0.72545067491716064</v>
      </c>
      <c r="G2946">
        <f>LN(F2946/参数实验室!$E$58)/参数实验室!$E$59</f>
        <v>-0.35898833125625945</v>
      </c>
      <c r="H2946" s="856">
        <f>INDEX(神经网络!$G$10:$BO$70,MATCH(ROUND(G2946*2,1)/2,神经网络!$E$10:$E$70,0),MATCH(ROUND(E2946*2,1)/2,神经网络!$G$8:$BO$8,0))</f>
        <v>-0.65265855327381539</v>
      </c>
      <c r="I2946">
        <f t="shared" si="400"/>
        <v>540736.69316169119</v>
      </c>
      <c r="J2946">
        <f t="shared" si="401"/>
        <v>2943.1068193607553</v>
      </c>
      <c r="K2946">
        <f t="shared" si="402"/>
        <v>183.72989033375947</v>
      </c>
      <c r="L2946" s="4">
        <f>MIN(MAX(L2945*(1+MAX(MIN(((B2946-B2945)/B2945)/($K$7*卓尔金历!$N$40),0),-卓尔金历!$M$43))+MIN(MAX(((B2946-B2945)/B2945)/($K$7*卓尔金历!$N$40),0),卓尔金历!$M$43),0),1)</f>
        <v>1</v>
      </c>
      <c r="M2946" s="4">
        <f>MIN(MAX(M2945*(1+MAX(MIN(((B2946-B2945)/B2945)/($K$7*30),0),-卓尔金历!$M$43))+MIN(MAX(((B2946-B2945)/B2945)/($K$7*7),0),卓尔金历!$M$43),0),1)</f>
        <v>1</v>
      </c>
      <c r="N2946">
        <f t="shared" si="403"/>
        <v>216494.48936679054</v>
      </c>
      <c r="O2946">
        <f t="shared" si="404"/>
        <v>605221.2988533231</v>
      </c>
      <c r="P2946">
        <f t="shared" si="405"/>
        <v>9.4779010931407368E-3</v>
      </c>
      <c r="Q2946">
        <f t="shared" si="406"/>
        <v>1.5736991879103164E-2</v>
      </c>
      <c r="R2946">
        <f t="shared" si="407"/>
        <v>0.53705444487857212</v>
      </c>
      <c r="S2946">
        <f t="shared" si="399"/>
        <v>1036.4647578029599</v>
      </c>
      <c r="T2946" s="564">
        <f>IF((I2946-MAX(I$470:I2946))/MAX(I$470:I2946)&gt;T2945,T2945,(I2946-MAX(I$470:I2946))/MAX(I$470:I2946))</f>
        <v>-0.91338805338419748</v>
      </c>
      <c r="U2946" s="564">
        <f>IF((J2946-MAX(J$470:J2946))/MAX(J$470:J2946)&gt;U2945,U2945,(J2946-MAX(J$470:J2946))/MAX(J$470:J2946))</f>
        <v>-0.8283551177402233</v>
      </c>
      <c r="V2946" s="564">
        <f>IF((K2946-MAX(K$470:K2946))/MAX(K$470:K2946)&gt;V2945,V2945,(K2946-MAX(K$470:K2946))/MAX(K$470:K2946))</f>
        <v>-0.84885940676762139</v>
      </c>
      <c r="W2946" s="564">
        <f>IF((N2946-MAX(N$470:N2946))/MAX(N$470:N2946)&gt;W2945,W2945,(N2946-MAX(N$470:N2946))/MAX(N$470:N2946))</f>
        <v>-0.62788758315546067</v>
      </c>
      <c r="X2946" s="564">
        <f>IF((O2946-MAX(O$470:O2946))/MAX(O$470:O2946)&gt;X2945,X2945,(O2946-MAX(O$470:O2946))/MAX(O$470:O2946))</f>
        <v>-0.62788758315546067</v>
      </c>
    </row>
    <row r="2947" spans="1:24">
      <c r="A2947" s="799">
        <v>43349</v>
      </c>
      <c r="B2947">
        <v>6436.45</v>
      </c>
      <c r="C2947">
        <v>5356.0931780000001</v>
      </c>
      <c r="D2947">
        <v>1.271393</v>
      </c>
      <c r="E2947">
        <f>LN(D2947/参数实验室!$E$53)/参数实验室!$E$55</f>
        <v>-0.40969402657110277</v>
      </c>
      <c r="F2947">
        <f t="shared" si="398"/>
        <v>0.8321502036060251</v>
      </c>
      <c r="G2947">
        <f>LN(F2947/参数实验室!$E$58)/参数实验室!$E$59</f>
        <v>-0.28696792485965911</v>
      </c>
      <c r="H2947" s="856">
        <f>INDEX(神经网络!$G$10:$BO$70,MATCH(ROUND(G2947*2,1)/2,神经网络!$E$10:$E$70,0),MATCH(ROUND(E2947*2,1)/2,神经网络!$G$8:$BO$8,0))</f>
        <v>-0.61630412378541077</v>
      </c>
      <c r="I2947">
        <f t="shared" si="400"/>
        <v>585679.2632696915</v>
      </c>
      <c r="J2947">
        <f t="shared" si="401"/>
        <v>2568.3133155101514</v>
      </c>
      <c r="K2947">
        <f t="shared" si="402"/>
        <v>228.04042627227369</v>
      </c>
      <c r="L2947" s="4">
        <f>MIN(MAX(L2946*(1+MAX(MIN(((B2947-B2946)/B2946)/($K$7*卓尔金历!$N$40),0),-卓尔金历!$M$43))+MIN(MAX(((B2947-B2946)/B2946)/($K$7*卓尔金历!$N$40),0),卓尔金历!$M$43),0),1)</f>
        <v>0</v>
      </c>
      <c r="M2947" s="4">
        <f>MIN(MAX(M2946*(1+MAX(MIN(((B2947-B2946)/B2946)/($K$7*30),0),-卓尔金历!$M$43))+MIN(MAX(((B2947-B2946)/B2946)/($K$7*7),0),卓尔金历!$M$43),0),1)</f>
        <v>2.7136045700683842E-2</v>
      </c>
      <c r="N2947">
        <f t="shared" si="403"/>
        <v>234488.12451197067</v>
      </c>
      <c r="O2947">
        <f t="shared" si="404"/>
        <v>655523.4163137282</v>
      </c>
      <c r="P2947">
        <f t="shared" si="405"/>
        <v>-0.12734621162408558</v>
      </c>
      <c r="Q2947">
        <f t="shared" si="406"/>
        <v>3.2576198224806216E-2</v>
      </c>
      <c r="R2947">
        <f t="shared" si="407"/>
        <v>0</v>
      </c>
      <c r="S2947">
        <f t="shared" si="399"/>
        <v>1082.728943102504</v>
      </c>
      <c r="T2947" s="564">
        <f>IF((I2947-MAX(I$470:I2947))/MAX(I$470:I2947)&gt;T2946,T2946,(I2947-MAX(I$470:I2947))/MAX(I$470:I2947))</f>
        <v>-0.91338805338419748</v>
      </c>
      <c r="U2947" s="564">
        <f>IF((J2947-MAX(J$470:J2947))/MAX(J$470:J2947)&gt;U2946,U2946,(J2947-MAX(J$470:J2947))/MAX(J$470:J2947))</f>
        <v>-0.8283551177402233</v>
      </c>
      <c r="V2947" s="564">
        <f>IF((K2947-MAX(K$470:K2947))/MAX(K$470:K2947)&gt;V2946,V2946,(K2947-MAX(K$470:K2947))/MAX(K$470:K2947))</f>
        <v>-0.84885940676762139</v>
      </c>
      <c r="W2947" s="564">
        <f>IF((N2947-MAX(N$470:N2947))/MAX(N$470:N2947)&gt;W2946,W2946,(N2947-MAX(N$470:N2947))/MAX(N$470:N2947))</f>
        <v>-0.62788758315546067</v>
      </c>
      <c r="X2947" s="564">
        <f>IF((O2947-MAX(O$470:O2947))/MAX(O$470:O2947)&gt;X2946,X2946,(O2947-MAX(O$470:O2947))/MAX(O$470:O2947))</f>
        <v>-0.62788758315546067</v>
      </c>
    </row>
    <row r="2948" spans="1:24">
      <c r="A2948" s="799">
        <v>43350</v>
      </c>
      <c r="B2948">
        <v>6521.66</v>
      </c>
      <c r="C2948">
        <v>5375.623775</v>
      </c>
      <c r="D2948">
        <v>1.2568319999999999</v>
      </c>
      <c r="E2948">
        <f>LN(D2948/参数实验室!$E$53)/参数实验室!$E$55</f>
        <v>-0.42328346337151374</v>
      </c>
      <c r="F2948">
        <f t="shared" si="398"/>
        <v>0.82427231333740181</v>
      </c>
      <c r="G2948">
        <f>LN(F2948/参数实验室!$E$58)/参数实验室!$E$59</f>
        <v>-0.29196033916392183</v>
      </c>
      <c r="H2948" s="856">
        <f>INDEX(神经网络!$G$10:$BO$70,MATCH(ROUND(G2948*2,1)/2,神经网络!$E$10:$E$70,0),MATCH(ROUND(E2948*2,1)/2,神经网络!$G$8:$BO$8,0))</f>
        <v>-0.61630412378541077</v>
      </c>
      <c r="I2948">
        <f t="shared" si="400"/>
        <v>580900.68078807101</v>
      </c>
      <c r="J2948">
        <f t="shared" si="401"/>
        <v>2602.314352978728</v>
      </c>
      <c r="K2948">
        <f t="shared" si="402"/>
        <v>223.22463853113885</v>
      </c>
      <c r="L2948" s="4">
        <f>MIN(MAX(L2947*(1+MAX(MIN(((B2948-B2947)/B2947)/($K$7*卓尔金历!$N$40),0),-卓尔金历!$M$43))+MIN(MAX(((B2948-B2947)/B2947)/($K$7*卓尔金历!$N$40),0),卓尔金历!$M$43),0),1)</f>
        <v>0.20227408432910007</v>
      </c>
      <c r="M2948" s="4">
        <f>MIN(MAX(M2947*(1+MAX(MIN(((B2948-B2947)/B2947)/($K$7*30),0),-卓尔金历!$M$43))+MIN(MAX(((B2948-B2947)/B2947)/($K$7*7),0),卓尔金历!$M$43),0),1)</f>
        <v>0.46058051212018403</v>
      </c>
      <c r="N2948">
        <f t="shared" si="403"/>
        <v>234488.12451197067</v>
      </c>
      <c r="O2948">
        <f t="shared" si="404"/>
        <v>655378.28069421719</v>
      </c>
      <c r="P2948">
        <f t="shared" si="405"/>
        <v>1.3238664170466645E-2</v>
      </c>
      <c r="Q2948">
        <f t="shared" si="406"/>
        <v>3.2582498454173957E-2</v>
      </c>
      <c r="R2948">
        <f t="shared" si="407"/>
        <v>0.96254905307726968</v>
      </c>
      <c r="S2948">
        <f t="shared" si="399"/>
        <v>1082.728943102504</v>
      </c>
      <c r="T2948" s="564">
        <f>IF((I2948-MAX(I$470:I2948))/MAX(I$470:I2948)&gt;T2947,T2947,(I2948-MAX(I$470:I2948))/MAX(I$470:I2948))</f>
        <v>-0.91338805338419748</v>
      </c>
      <c r="U2948" s="564">
        <f>IF((J2948-MAX(J$470:J2948))/MAX(J$470:J2948)&gt;U2947,U2947,(J2948-MAX(J$470:J2948))/MAX(J$470:J2948))</f>
        <v>-0.8283551177402233</v>
      </c>
      <c r="V2948" s="564">
        <f>IF((K2948-MAX(K$470:K2948))/MAX(K$470:K2948)&gt;V2947,V2947,(K2948-MAX(K$470:K2948))/MAX(K$470:K2948))</f>
        <v>-0.84885940676762139</v>
      </c>
      <c r="W2948" s="564">
        <f>IF((N2948-MAX(N$470:N2948))/MAX(N$470:N2948)&gt;W2947,W2947,(N2948-MAX(N$470:N2948))/MAX(N$470:N2948))</f>
        <v>-0.62788758315546067</v>
      </c>
      <c r="X2948" s="564">
        <f>IF((O2948-MAX(O$470:O2948))/MAX(O$470:O2948)&gt;X2947,X2947,(O2948-MAX(O$470:O2948))/MAX(O$470:O2948))</f>
        <v>-0.62788758315546067</v>
      </c>
    </row>
    <row r="2949" spans="1:24">
      <c r="A2949" s="799">
        <v>43351</v>
      </c>
      <c r="B2949">
        <v>6509.69</v>
      </c>
      <c r="C2949">
        <v>5373.9463850000002</v>
      </c>
      <c r="D2949">
        <v>1.2142839999999999</v>
      </c>
      <c r="E2949">
        <f>LN(D2949/参数实验室!$E$53)/参数实验室!$E$55</f>
        <v>-0.46391377158648917</v>
      </c>
      <c r="F2949">
        <f t="shared" ref="F2949:F3012" si="408">C2949/B2949</f>
        <v>0.82553030712676034</v>
      </c>
      <c r="G2949">
        <f>LN(F2949/参数实验室!$E$58)/参数实验室!$E$59</f>
        <v>-0.29115992431878729</v>
      </c>
      <c r="H2949" s="856">
        <f>INDEX(神经网络!$G$10:$BO$70,MATCH(ROUND(G2949*2,1)/2,神经网络!$E$10:$E$70,0),MATCH(ROUND(E2949*2,1)/2,神经网络!$G$8:$BO$8,0))</f>
        <v>-0.64617113922746461</v>
      </c>
      <c r="I2949">
        <f t="shared" si="400"/>
        <v>581557.78304062644</v>
      </c>
      <c r="J2949">
        <f t="shared" si="401"/>
        <v>2597.5380072622761</v>
      </c>
      <c r="K2949">
        <f t="shared" si="402"/>
        <v>223.88807455932866</v>
      </c>
      <c r="L2949" s="4">
        <f>MIN(MAX(L2948*(1+MAX(MIN(((B2949-B2948)/B2948)/($K$7*卓尔金历!$N$40),0),-卓尔金历!$M$43))+MIN(MAX(((B2949-B2948)/B2948)/($K$7*卓尔金历!$N$40),0),卓尔金历!$M$43),0),1)</f>
        <v>0.19660161287389533</v>
      </c>
      <c r="M2949" s="4">
        <f>MIN(MAX(M2948*(1+MAX(MIN(((B2949-B2948)/B2948)/($K$7*30),0),-卓尔金历!$M$43))+MIN(MAX(((B2949-B2948)/B2948)/($K$7*7),0),卓尔金历!$M$43),0),1)</f>
        <v>0.45412236940632411</v>
      </c>
      <c r="N2949">
        <f t="shared" si="403"/>
        <v>234541.77728427725</v>
      </c>
      <c r="O2949">
        <f t="shared" si="404"/>
        <v>655719.73191798024</v>
      </c>
      <c r="P2949">
        <f t="shared" si="405"/>
        <v>-1.8354222697902459E-3</v>
      </c>
      <c r="Q2949">
        <f t="shared" si="406"/>
        <v>3.2586755712564155E-2</v>
      </c>
      <c r="R2949">
        <f t="shared" si="407"/>
        <v>1</v>
      </c>
      <c r="S2949">
        <f t="shared" si="399"/>
        <v>1083.9078341995889</v>
      </c>
      <c r="T2949" s="564">
        <f>IF((I2949-MAX(I$470:I2949))/MAX(I$470:I2949)&gt;T2948,T2948,(I2949-MAX(I$470:I2949))/MAX(I$470:I2949))</f>
        <v>-0.91338805338419748</v>
      </c>
      <c r="U2949" s="564">
        <f>IF((J2949-MAX(J$470:J2949))/MAX(J$470:J2949)&gt;U2948,U2948,(J2949-MAX(J$470:J2949))/MAX(J$470:J2949))</f>
        <v>-0.8283551177402233</v>
      </c>
      <c r="V2949" s="564">
        <f>IF((K2949-MAX(K$470:K2949))/MAX(K$470:K2949)&gt;V2948,V2948,(K2949-MAX(K$470:K2949))/MAX(K$470:K2949))</f>
        <v>-0.84885940676762139</v>
      </c>
      <c r="W2949" s="564">
        <f>IF((N2949-MAX(N$470:N2949))/MAX(N$470:N2949)&gt;W2948,W2948,(N2949-MAX(N$470:N2949))/MAX(N$470:N2949))</f>
        <v>-0.62788758315546067</v>
      </c>
      <c r="X2949" s="564">
        <f>IF((O2949-MAX(O$470:O2949))/MAX(O$470:O2949)&gt;X2948,X2948,(O2949-MAX(O$470:O2949))/MAX(O$470:O2949))</f>
        <v>-0.62788758315546067</v>
      </c>
    </row>
    <row r="2950" spans="1:24">
      <c r="A2950" s="799">
        <v>43352</v>
      </c>
      <c r="B2950">
        <v>6222.11</v>
      </c>
      <c r="C2950">
        <v>5422.2194849999996</v>
      </c>
      <c r="D2950">
        <v>1.226898</v>
      </c>
      <c r="E2950">
        <f>LN(D2950/参数实验室!$E$53)/参数实验室!$E$55</f>
        <v>-0.45172169425320846</v>
      </c>
      <c r="F2950">
        <f t="shared" si="408"/>
        <v>0.87144384863012703</v>
      </c>
      <c r="G2950">
        <f>LN(F2950/参数实验室!$E$58)/参数实验室!$E$59</f>
        <v>-0.26275195999773915</v>
      </c>
      <c r="H2950" s="856">
        <f>INDEX(神经网络!$G$10:$BO$70,MATCH(ROUND(G2950*2,1)/2,神经网络!$E$10:$E$70,0),MATCH(ROUND(E2950*2,1)/2,神经网络!$G$8:$BO$8,0))</f>
        <v>-0.57635827880181312</v>
      </c>
      <c r="I2950">
        <f t="shared" si="400"/>
        <v>598158.9570192151</v>
      </c>
      <c r="J2950">
        <f t="shared" si="401"/>
        <v>2482.7860021547385</v>
      </c>
      <c r="K2950">
        <f t="shared" si="402"/>
        <v>240.9224784174271</v>
      </c>
      <c r="L2950" s="4">
        <f>MIN(MAX(L2949*(1+MAX(MIN(((B2950-B2949)/B2949)/($K$7*卓尔金历!$N$40),0),-卓尔金历!$M$43))+MIN(MAX(((B2950-B2949)/B2949)/($K$7*卓尔金历!$N$40),0),卓尔金历!$M$43),0),1)</f>
        <v>6.3898372774468776E-2</v>
      </c>
      <c r="M2950" s="4">
        <f>MIN(MAX(M2949*(1+MAX(MIN(((B2950-B2949)/B2949)/($K$7*30),0),-卓尔金历!$M$43))+MIN(MAX(((B2950-B2949)/B2949)/($K$7*7),0),卓尔金历!$M$43),0),1)</f>
        <v>0.30085935965547772</v>
      </c>
      <c r="N2950">
        <f t="shared" si="403"/>
        <v>235858.07223934331</v>
      </c>
      <c r="O2950">
        <f t="shared" si="404"/>
        <v>664220.08717102162</v>
      </c>
      <c r="P2950">
        <f t="shared" si="405"/>
        <v>-4.4177218884463E-2</v>
      </c>
      <c r="Q2950">
        <f t="shared" si="406"/>
        <v>3.3768623296392082E-2</v>
      </c>
      <c r="R2950">
        <f t="shared" si="407"/>
        <v>2.3831438087126528E-2</v>
      </c>
      <c r="S2950">
        <f t="shared" si="399"/>
        <v>1114.8491147688587</v>
      </c>
      <c r="T2950" s="564">
        <f>IF((I2950-MAX(I$470:I2950))/MAX(I$470:I2950)&gt;T2949,T2949,(I2950-MAX(I$470:I2950))/MAX(I$470:I2950))</f>
        <v>-0.91338805338419748</v>
      </c>
      <c r="U2950" s="564">
        <f>IF((J2950-MAX(J$470:J2950))/MAX(J$470:J2950)&gt;U2949,U2949,(J2950-MAX(J$470:J2950))/MAX(J$470:J2950))</f>
        <v>-0.8283551177402233</v>
      </c>
      <c r="V2950" s="564">
        <f>IF((K2950-MAX(K$470:K2950))/MAX(K$470:K2950)&gt;V2949,V2949,(K2950-MAX(K$470:K2950))/MAX(K$470:K2950))</f>
        <v>-0.84885940676762139</v>
      </c>
      <c r="W2950" s="564">
        <f>IF((N2950-MAX(N$470:N2950))/MAX(N$470:N2950)&gt;W2949,W2949,(N2950-MAX(N$470:N2950))/MAX(N$470:N2950))</f>
        <v>-0.62788758315546067</v>
      </c>
      <c r="X2950" s="564">
        <f>IF((O2950-MAX(O$470:O2950))/MAX(O$470:O2950)&gt;X2949,X2949,(O2950-MAX(O$470:O2950))/MAX(O$470:O2950))</f>
        <v>-0.62788758315546067</v>
      </c>
    </row>
    <row r="2951" spans="1:24">
      <c r="A2951" s="799">
        <v>43353</v>
      </c>
      <c r="B2951">
        <v>6344.49</v>
      </c>
      <c r="C2951">
        <v>5551.1392779999996</v>
      </c>
      <c r="D2951">
        <v>1.23658</v>
      </c>
      <c r="E2951">
        <f>LN(D2951/参数实验室!$E$53)/参数实验室!$E$55</f>
        <v>-0.44244827697817479</v>
      </c>
      <c r="F2951">
        <f t="shared" si="408"/>
        <v>0.87495437426806566</v>
      </c>
      <c r="G2951">
        <f>LN(F2951/参数实验室!$E$58)/参数实验室!$E$59</f>
        <v>-0.26064188449268044</v>
      </c>
      <c r="H2951" s="856">
        <f>INDEX(神经网络!$G$10:$BO$70,MATCH(ROUND(G2951*2,1)/2,神经网络!$E$10:$E$70,0),MATCH(ROUND(E2951*2,1)/2,神经网络!$G$8:$BO$8,0))</f>
        <v>-0.57635827880181312</v>
      </c>
      <c r="I2951">
        <f t="shared" si="400"/>
        <v>591378.14179200737</v>
      </c>
      <c r="J2951">
        <f t="shared" si="401"/>
        <v>2531.6188500059811</v>
      </c>
      <c r="K2951">
        <f t="shared" si="402"/>
        <v>233.59683144664933</v>
      </c>
      <c r="L2951" s="4">
        <f>MIN(MAX(L2950*(1+MAX(MIN(((B2951-B2950)/B2950)/($K$7*卓尔金历!$N$40),0),-卓尔金历!$M$43))+MIN(MAX(((B2951-B2950)/B2950)/($K$7*卓尔金历!$N$40),0),卓尔金历!$M$43),0),1)</f>
        <v>0.36441523292309819</v>
      </c>
      <c r="M2951" s="4">
        <f>MIN(MAX(M2950*(1+MAX(MIN(((B2951-B2950)/B2950)/($K$7*30),0),-卓尔金历!$M$43))+MIN(MAX(((B2951-B2950)/B2950)/($K$7*7),0),卓尔金历!$M$43),0),1)</f>
        <v>0.94482405997396945</v>
      </c>
      <c r="N2951">
        <f t="shared" si="403"/>
        <v>235687.22583496405</v>
      </c>
      <c r="O2951">
        <f t="shared" si="404"/>
        <v>661954.70837066323</v>
      </c>
      <c r="P2951">
        <f t="shared" si="405"/>
        <v>1.9668569022405602E-2</v>
      </c>
      <c r="Q2951">
        <f t="shared" si="406"/>
        <v>3.3878738456221504E-2</v>
      </c>
      <c r="R2951">
        <f t="shared" si="407"/>
        <v>0.59589659709802356</v>
      </c>
      <c r="S2951">
        <f t="shared" si="399"/>
        <v>1114.5479309445307</v>
      </c>
      <c r="T2951" s="564">
        <f>IF((I2951-MAX(I$470:I2951))/MAX(I$470:I2951)&gt;T2950,T2950,(I2951-MAX(I$470:I2951))/MAX(I$470:I2951))</f>
        <v>-0.91338805338419748</v>
      </c>
      <c r="U2951" s="564">
        <f>IF((J2951-MAX(J$470:J2951))/MAX(J$470:J2951)&gt;U2950,U2950,(J2951-MAX(J$470:J2951))/MAX(J$470:J2951))</f>
        <v>-0.8283551177402233</v>
      </c>
      <c r="V2951" s="564">
        <f>IF((K2951-MAX(K$470:K2951))/MAX(K$470:K2951)&gt;V2950,V2950,(K2951-MAX(K$470:K2951))/MAX(K$470:K2951))</f>
        <v>-0.84885940676762139</v>
      </c>
      <c r="W2951" s="564">
        <f>IF((N2951-MAX(N$470:N2951))/MAX(N$470:N2951)&gt;W2950,W2950,(N2951-MAX(N$470:N2951))/MAX(N$470:N2951))</f>
        <v>-0.62788758315546067</v>
      </c>
      <c r="X2951" s="564">
        <f>IF((O2951-MAX(O$470:O2951))/MAX(O$470:O2951)&gt;X2950,X2950,(O2951-MAX(O$470:O2951))/MAX(O$470:O2951))</f>
        <v>-0.62788758315546067</v>
      </c>
    </row>
    <row r="2952" spans="1:24">
      <c r="A2952" s="799">
        <v>43354</v>
      </c>
      <c r="B2952">
        <v>6348.01</v>
      </c>
      <c r="C2952">
        <v>5604.968226</v>
      </c>
      <c r="D2952">
        <v>1.234488</v>
      </c>
      <c r="E2952">
        <f>LN(D2952/参数实验室!$E$53)/参数实验室!$E$55</f>
        <v>-0.44444582975780561</v>
      </c>
      <c r="F2952">
        <f t="shared" si="408"/>
        <v>0.88294886523493188</v>
      </c>
      <c r="G2952">
        <f>LN(F2952/参数实验室!$E$58)/参数实验室!$E$59</f>
        <v>-0.25586804968861526</v>
      </c>
      <c r="H2952" s="856">
        <f>INDEX(神经网络!$G$10:$BO$70,MATCH(ROUND(G2952*2,1)/2,神经网络!$E$10:$E$70,0),MATCH(ROUND(E2952*2,1)/2,神经网络!$G$8:$BO$8,0))</f>
        <v>-0.57635827880181312</v>
      </c>
      <c r="I2952">
        <f t="shared" si="400"/>
        <v>591189.03647046164</v>
      </c>
      <c r="J2952">
        <f t="shared" si="401"/>
        <v>2533.0234228482464</v>
      </c>
      <c r="K2952">
        <f t="shared" si="402"/>
        <v>233.39264498616515</v>
      </c>
      <c r="L2952" s="4">
        <f>MIN(MAX(L2951*(1+MAX(MIN(((B2952-B2951)/B2951)/($K$7*卓尔金历!$N$40),0),-卓尔金历!$M$43))+MIN(MAX(((B2952-B2951)/B2951)/($K$7*卓尔金历!$N$40),0),卓尔金历!$M$43),0),1)</f>
        <v>0.37289222983044606</v>
      </c>
      <c r="M2952" s="4">
        <f>MIN(MAX(M2951*(1+MAX(MIN(((B2952-B2951)/B2951)/($K$7*30),0),-卓尔金历!$M$43))+MIN(MAX(((B2952-B2951)/B2951)/($K$7*7),0),卓尔金历!$M$43),0),1)</f>
        <v>0.9629890533468578</v>
      </c>
      <c r="N2952">
        <f t="shared" si="403"/>
        <v>235659.7613759278</v>
      </c>
      <c r="O2952">
        <f t="shared" si="404"/>
        <v>661754.71403217816</v>
      </c>
      <c r="P2952">
        <f t="shared" si="405"/>
        <v>5.548121283192875E-4</v>
      </c>
      <c r="Q2952">
        <f t="shared" si="406"/>
        <v>3.3879296742607666E-2</v>
      </c>
      <c r="R2952">
        <f t="shared" si="407"/>
        <v>1</v>
      </c>
      <c r="S2952">
        <f t="shared" si="399"/>
        <v>1114.3355536239183</v>
      </c>
      <c r="T2952" s="564">
        <f>IF((I2952-MAX(I$470:I2952))/MAX(I$470:I2952)&gt;T2951,T2951,(I2952-MAX(I$470:I2952))/MAX(I$470:I2952))</f>
        <v>-0.91338805338419748</v>
      </c>
      <c r="U2952" s="564">
        <f>IF((J2952-MAX(J$470:J2952))/MAX(J$470:J2952)&gt;U2951,U2951,(J2952-MAX(J$470:J2952))/MAX(J$470:J2952))</f>
        <v>-0.8283551177402233</v>
      </c>
      <c r="V2952" s="564">
        <f>IF((K2952-MAX(K$470:K2952))/MAX(K$470:K2952)&gt;V2951,V2951,(K2952-MAX(K$470:K2952))/MAX(K$470:K2952))</f>
        <v>-0.84885940676762139</v>
      </c>
      <c r="W2952" s="564">
        <f>IF((N2952-MAX(N$470:N2952))/MAX(N$470:N2952)&gt;W2951,W2951,(N2952-MAX(N$470:N2952))/MAX(N$470:N2952))</f>
        <v>-0.62788758315546067</v>
      </c>
      <c r="X2952" s="564">
        <f>IF((O2952-MAX(O$470:O2952))/MAX(O$470:O2952)&gt;X2951,X2951,(O2952-MAX(O$470:O2952))/MAX(O$470:O2952))</f>
        <v>-0.62788758315546067</v>
      </c>
    </row>
    <row r="2953" spans="1:24">
      <c r="A2953" s="799">
        <v>43355</v>
      </c>
      <c r="B2953">
        <v>6266.55</v>
      </c>
      <c r="C2953">
        <v>5540.3447139999998</v>
      </c>
      <c r="D2953">
        <v>1.2448509999999999</v>
      </c>
      <c r="E2953">
        <f>LN(D2953/参数实验室!$E$53)/参数实验室!$E$55</f>
        <v>-0.43458364143755845</v>
      </c>
      <c r="F2953">
        <f t="shared" si="408"/>
        <v>0.88411402031420794</v>
      </c>
      <c r="G2953">
        <f>LN(F2953/参数实验室!$E$58)/参数实验室!$E$59</f>
        <v>-0.25517589951353908</v>
      </c>
      <c r="H2953" s="856">
        <f>INDEX(神经网络!$G$10:$BO$70,MATCH(ROUND(G2953*2,1)/2,神经网络!$E$10:$E$70,0),MATCH(ROUND(E2953*2,1)/2,神经网络!$G$8:$BO$8,0))</f>
        <v>-0.57635827880181312</v>
      </c>
      <c r="I2953">
        <f t="shared" si="400"/>
        <v>595561.49511749728</v>
      </c>
      <c r="J2953">
        <f t="shared" si="401"/>
        <v>2500.5187342883328</v>
      </c>
      <c r="K2953">
        <f t="shared" si="402"/>
        <v>238.17517819437523</v>
      </c>
      <c r="L2953" s="4">
        <f>MIN(MAX(L2952*(1+MAX(MIN(((B2953-B2952)/B2952)/($K$7*卓尔金历!$N$40),0),-卓尔金历!$M$43))+MIN(MAX(((B2953-B2952)/B2952)/($K$7*卓尔金历!$N$40),0),卓尔金历!$M$43),0),1)</f>
        <v>0.29978064203428162</v>
      </c>
      <c r="M2953" s="4">
        <f>MIN(MAX(M2952*(1+MAX(MIN(((B2953-B2952)/B2952)/($K$7*30),0),-卓尔金历!$M$43))+MIN(MAX(((B2953-B2952)/B2952)/($K$7*7),0),卓尔金历!$M$43),0),1)</f>
        <v>0.86858421853369017</v>
      </c>
      <c r="N2953">
        <f t="shared" si="403"/>
        <v>236309.69365470397</v>
      </c>
      <c r="O2953">
        <f t="shared" si="404"/>
        <v>666467.93426480633</v>
      </c>
      <c r="P2953">
        <f t="shared" si="405"/>
        <v>-1.2832367938928897E-2</v>
      </c>
      <c r="Q2953">
        <f t="shared" si="406"/>
        <v>3.337583302589895E-2</v>
      </c>
      <c r="R2953">
        <f t="shared" si="407"/>
        <v>1</v>
      </c>
      <c r="S2953">
        <f t="shared" si="399"/>
        <v>1122.5772256214768</v>
      </c>
      <c r="T2953" s="564">
        <f>IF((I2953-MAX(I$470:I2953))/MAX(I$470:I2953)&gt;T2952,T2952,(I2953-MAX(I$470:I2953))/MAX(I$470:I2953))</f>
        <v>-0.91338805338419748</v>
      </c>
      <c r="U2953" s="564">
        <f>IF((J2953-MAX(J$470:J2953))/MAX(J$470:J2953)&gt;U2952,U2952,(J2953-MAX(J$470:J2953))/MAX(J$470:J2953))</f>
        <v>-0.8283551177402233</v>
      </c>
      <c r="V2953" s="564">
        <f>IF((K2953-MAX(K$470:K2953))/MAX(K$470:K2953)&gt;V2952,V2952,(K2953-MAX(K$470:K2953))/MAX(K$470:K2953))</f>
        <v>-0.84885940676762139</v>
      </c>
      <c r="W2953" s="564">
        <f>IF((N2953-MAX(N$470:N2953))/MAX(N$470:N2953)&gt;W2952,W2952,(N2953-MAX(N$470:N2953))/MAX(N$470:N2953))</f>
        <v>-0.62788758315546067</v>
      </c>
      <c r="X2953" s="564">
        <f>IF((O2953-MAX(O$470:O2953))/MAX(O$470:O2953)&gt;X2952,X2952,(O2953-MAX(O$470:O2953))/MAX(O$470:O2953))</f>
        <v>-0.62788758315546067</v>
      </c>
    </row>
    <row r="2954" spans="1:24">
      <c r="A2954" s="799">
        <v>43356</v>
      </c>
      <c r="B2954">
        <v>6409.88</v>
      </c>
      <c r="C2954">
        <v>5498.2787630000003</v>
      </c>
      <c r="D2954">
        <v>1.278562</v>
      </c>
      <c r="E2954">
        <f>LN(D2954/参数实验室!$E$53)/参数实验室!$E$55</f>
        <v>-0.40306044026114807</v>
      </c>
      <c r="F2954">
        <f t="shared" si="408"/>
        <v>0.85778185597858314</v>
      </c>
      <c r="G2954">
        <f>LN(F2954/参数实验室!$E$58)/参数实验室!$E$59</f>
        <v>-0.27104550000447075</v>
      </c>
      <c r="H2954" s="856">
        <f>INDEX(神经网络!$G$10:$BO$70,MATCH(ROUND(G2954*2,1)/2,神经网络!$E$10:$E$70,0),MATCH(ROUND(E2954*2,1)/2,神经网络!$G$8:$BO$8,0))</f>
        <v>-0.54697219397271091</v>
      </c>
      <c r="I2954">
        <f t="shared" si="400"/>
        <v>587710.44519486383</v>
      </c>
      <c r="J2954">
        <f t="shared" si="401"/>
        <v>2557.7111847093056</v>
      </c>
      <c r="K2954">
        <f t="shared" si="402"/>
        <v>229.7798315573537</v>
      </c>
      <c r="L2954" s="4">
        <f>MIN(MAX(L2953*(1+MAX(MIN(((B2954-B2953)/B2953)/($K$7*卓尔金历!$N$40),0),-卓尔金历!$M$43))+MIN(MAX(((B2954-B2953)/B2953)/($K$7*卓尔金历!$N$40),0),卓尔金历!$M$43),0),1)</f>
        <v>0.64924643365620116</v>
      </c>
      <c r="M2954" s="4">
        <f>MIN(MAX(M2953*(1+MAX(MIN(((B2954-B2953)/B2953)/($K$7*30),0),-卓尔金历!$M$43))+MIN(MAX(((B2954-B2953)/B2953)/($K$7*7),0),卓尔金历!$M$43),0),1)</f>
        <v>1</v>
      </c>
      <c r="N2954">
        <f t="shared" si="403"/>
        <v>235375.82402929399</v>
      </c>
      <c r="O2954">
        <f t="shared" si="404"/>
        <v>658836.74331376341</v>
      </c>
      <c r="P2954">
        <f t="shared" si="405"/>
        <v>2.2872234323511331E-2</v>
      </c>
      <c r="Q2954">
        <f t="shared" si="406"/>
        <v>3.3084646576131506E-2</v>
      </c>
      <c r="R2954">
        <f t="shared" si="407"/>
        <v>0.41484200091888634</v>
      </c>
      <c r="S2954">
        <f t="shared" si="399"/>
        <v>1107.7787372829605</v>
      </c>
      <c r="T2954" s="564">
        <f>IF((I2954-MAX(I$470:I2954))/MAX(I$470:I2954)&gt;T2953,T2953,(I2954-MAX(I$470:I2954))/MAX(I$470:I2954))</f>
        <v>-0.91338805338419748</v>
      </c>
      <c r="U2954" s="564">
        <f>IF((J2954-MAX(J$470:J2954))/MAX(J$470:J2954)&gt;U2953,U2953,(J2954-MAX(J$470:J2954))/MAX(J$470:J2954))</f>
        <v>-0.8283551177402233</v>
      </c>
      <c r="V2954" s="564">
        <f>IF((K2954-MAX(K$470:K2954))/MAX(K$470:K2954)&gt;V2953,V2953,(K2954-MAX(K$470:K2954))/MAX(K$470:K2954))</f>
        <v>-0.84885940676762139</v>
      </c>
      <c r="W2954" s="564">
        <f>IF((N2954-MAX(N$470:N2954))/MAX(N$470:N2954)&gt;W2953,W2953,(N2954-MAX(N$470:N2954))/MAX(N$470:N2954))</f>
        <v>-0.62788758315546067</v>
      </c>
      <c r="X2954" s="564">
        <f>IF((O2954-MAX(O$470:O2954))/MAX(O$470:O2954)&gt;X2953,X2953,(O2954-MAX(O$470:O2954))/MAX(O$470:O2954))</f>
        <v>-0.62788758315546067</v>
      </c>
    </row>
    <row r="2955" spans="1:24">
      <c r="A2955" s="799">
        <v>43357</v>
      </c>
      <c r="B2955">
        <v>6547.79</v>
      </c>
      <c r="C2955">
        <v>5607.019131</v>
      </c>
      <c r="D2955">
        <v>1.27942</v>
      </c>
      <c r="E2955">
        <f>LN(D2955/参数实验室!$E$53)/参数实验室!$E$55</f>
        <v>-0.40226901301788442</v>
      </c>
      <c r="F2955">
        <f t="shared" si="408"/>
        <v>0.85632238220834822</v>
      </c>
      <c r="G2955">
        <f>LN(F2955/参数实验室!$E$58)/参数实验室!$E$59</f>
        <v>-0.27193927399688617</v>
      </c>
      <c r="H2955" s="856">
        <f>INDEX(神经网络!$G$10:$BO$70,MATCH(ROUND(G2955*2,1)/2,神经网络!$E$10:$E$70,0),MATCH(ROUND(E2955*2,1)/2,神经网络!$G$8:$BO$8,0))</f>
        <v>-0.54697219397271091</v>
      </c>
      <c r="I2955">
        <f t="shared" si="400"/>
        <v>580794.13412970456</v>
      </c>
      <c r="J2955">
        <f t="shared" si="401"/>
        <v>2612.7409121742908</v>
      </c>
      <c r="K2955">
        <f t="shared" si="402"/>
        <v>222.29304536988127</v>
      </c>
      <c r="L2955" s="4">
        <f>MIN(MAX(L2954*(1+MAX(MIN(((B2955-B2954)/B2954)/($K$7*卓尔金历!$N$40),0),-卓尔金历!$M$43))+MIN(MAX(((B2955-B2954)/B2954)/($K$7*卓尔金历!$N$40),0),卓尔金历!$M$43),0),1)</f>
        <v>0.97797840019430304</v>
      </c>
      <c r="M2955" s="4">
        <f>MIN(MAX(M2954*(1+MAX(MIN(((B2955-B2954)/B2954)/($K$7*30),0),-卓尔金历!$M$43))+MIN(MAX(((B2955-B2954)/B2954)/($K$7*7),0),卓尔金历!$M$43),0),1)</f>
        <v>1</v>
      </c>
      <c r="N2955">
        <f t="shared" si="403"/>
        <v>233577.43959679705</v>
      </c>
      <c r="O2955">
        <f t="shared" si="404"/>
        <v>651083.40168920939</v>
      </c>
      <c r="P2955">
        <f t="shared" si="405"/>
        <v>2.1515223373916495E-2</v>
      </c>
      <c r="Q2955">
        <f t="shared" si="406"/>
        <v>3.3288753331154136E-2</v>
      </c>
      <c r="R2955">
        <f t="shared" si="407"/>
        <v>0.48398358715370093</v>
      </c>
      <c r="S2955">
        <f t="shared" si="399"/>
        <v>1102.3706106311693</v>
      </c>
      <c r="T2955" s="564">
        <f>IF((I2955-MAX(I$470:I2955))/MAX(I$470:I2955)&gt;T2954,T2954,(I2955-MAX(I$470:I2955))/MAX(I$470:I2955))</f>
        <v>-0.91338805338419748</v>
      </c>
      <c r="U2955" s="564">
        <f>IF((J2955-MAX(J$470:J2955))/MAX(J$470:J2955)&gt;U2954,U2954,(J2955-MAX(J$470:J2955))/MAX(J$470:J2955))</f>
        <v>-0.8283551177402233</v>
      </c>
      <c r="V2955" s="564">
        <f>IF((K2955-MAX(K$470:K2955))/MAX(K$470:K2955)&gt;V2954,V2954,(K2955-MAX(K$470:K2955))/MAX(K$470:K2955))</f>
        <v>-0.84885940676762139</v>
      </c>
      <c r="W2955" s="564">
        <f>IF((N2955-MAX(N$470:N2955))/MAX(N$470:N2955)&gt;W2954,W2954,(N2955-MAX(N$470:N2955))/MAX(N$470:N2955))</f>
        <v>-0.62788758315546067</v>
      </c>
      <c r="X2955" s="564">
        <f>IF((O2955-MAX(O$470:O2955))/MAX(O$470:O2955)&gt;X2954,X2954,(O2955-MAX(O$470:O2955))/MAX(O$470:O2955))</f>
        <v>-0.62788758315546067</v>
      </c>
    </row>
    <row r="2956" spans="1:24">
      <c r="A2956" s="799">
        <v>43358</v>
      </c>
      <c r="B2956">
        <v>6527.97</v>
      </c>
      <c r="C2956">
        <v>5676.7072330000001</v>
      </c>
      <c r="D2956">
        <v>1.2853270000000001</v>
      </c>
      <c r="E2956">
        <f>LN(D2956/参数实验室!$E$53)/参数实验室!$E$55</f>
        <v>-0.39683470333026255</v>
      </c>
      <c r="F2956">
        <f t="shared" si="408"/>
        <v>0.8695976288187599</v>
      </c>
      <c r="G2956">
        <f>LN(F2956/参数实验室!$E$58)/参数实验室!$E$59</f>
        <v>-0.26386508258346453</v>
      </c>
      <c r="H2956" s="856">
        <f>INDEX(神经网络!$G$10:$BO$70,MATCH(ROUND(G2956*2,1)/2,神经网络!$E$10:$E$70,0),MATCH(ROUND(E2956*2,1)/2,神经网络!$G$8:$BO$8,0))</f>
        <v>-0.54697219397271091</v>
      </c>
      <c r="I2956">
        <f t="shared" si="400"/>
        <v>581755.73838889832</v>
      </c>
      <c r="J2956">
        <f t="shared" si="401"/>
        <v>2604.8322094090381</v>
      </c>
      <c r="K2956">
        <f t="shared" si="402"/>
        <v>223.33712562656081</v>
      </c>
      <c r="L2956" s="4">
        <f>MIN(MAX(L2955*(1+MAX(MIN(((B2956-B2955)/B2955)/($K$7*卓尔金历!$N$40),0),-卓尔金历!$M$43))+MIN(MAX(((B2956-B2955)/B2955)/($K$7*卓尔金历!$N$40),0),卓尔金历!$M$43),0),1)</f>
        <v>0.93274760227264952</v>
      </c>
      <c r="M2956" s="4">
        <f>MIN(MAX(M2955*(1+MAX(MIN(((B2956-B2955)/B2955)/($K$7*30),0),-卓尔金历!$M$43))+MIN(MAX(((B2956-B2955)/B2955)/($K$7*7),0),卓尔金历!$M$43),0),1)</f>
        <v>0.97687535945954063</v>
      </c>
      <c r="N2956">
        <f t="shared" si="403"/>
        <v>233955.65073394639</v>
      </c>
      <c r="O2956">
        <f t="shared" si="404"/>
        <v>652161.38188109419</v>
      </c>
      <c r="P2956">
        <f t="shared" si="405"/>
        <v>-3.0269755138756294E-3</v>
      </c>
      <c r="Q2956">
        <f t="shared" si="406"/>
        <v>3.2733413752531644E-2</v>
      </c>
      <c r="R2956">
        <f t="shared" si="407"/>
        <v>1</v>
      </c>
      <c r="S2956">
        <f t="shared" si="399"/>
        <v>1103.2539598255119</v>
      </c>
      <c r="T2956" s="564">
        <f>IF((I2956-MAX(I$470:I2956))/MAX(I$470:I2956)&gt;T2955,T2955,(I2956-MAX(I$470:I2956))/MAX(I$470:I2956))</f>
        <v>-0.91338805338419748</v>
      </c>
      <c r="U2956" s="564">
        <f>IF((J2956-MAX(J$470:J2956))/MAX(J$470:J2956)&gt;U2955,U2955,(J2956-MAX(J$470:J2956))/MAX(J$470:J2956))</f>
        <v>-0.8283551177402233</v>
      </c>
      <c r="V2956" s="564">
        <f>IF((K2956-MAX(K$470:K2956))/MAX(K$470:K2956)&gt;V2955,V2955,(K2956-MAX(K$470:K2956))/MAX(K$470:K2956))</f>
        <v>-0.84885940676762139</v>
      </c>
      <c r="W2956" s="564">
        <f>IF((N2956-MAX(N$470:N2956))/MAX(N$470:N2956)&gt;W2955,W2955,(N2956-MAX(N$470:N2956))/MAX(N$470:N2956))</f>
        <v>-0.62788758315546067</v>
      </c>
      <c r="X2956" s="564">
        <f>IF((O2956-MAX(O$470:O2956))/MAX(O$470:O2956)&gt;X2955,X2955,(O2956-MAX(O$470:O2956))/MAX(O$470:O2956))</f>
        <v>-0.62788758315546067</v>
      </c>
    </row>
    <row r="2957" spans="1:24">
      <c r="A2957" s="799">
        <v>43359</v>
      </c>
      <c r="B2957">
        <v>6496.49</v>
      </c>
      <c r="C2957">
        <v>5728.2480100000002</v>
      </c>
      <c r="D2957">
        <v>1.2801659999999999</v>
      </c>
      <c r="E2957">
        <f>LN(D2957/参数实验室!$E$53)/参数实验室!$E$55</f>
        <v>-0.40158132684916553</v>
      </c>
      <c r="F2957">
        <f t="shared" si="408"/>
        <v>0.88174506695153854</v>
      </c>
      <c r="G2957">
        <f>LN(F2957/参数实验室!$E$58)/参数实验室!$E$59</f>
        <v>-0.25658411549761823</v>
      </c>
      <c r="H2957" s="856">
        <f>INDEX(神经网络!$G$10:$BO$70,MATCH(ROUND(G2957*2,1)/2,神经网络!$E$10:$E$70,0),MATCH(ROUND(E2957*2,1)/2,神经网络!$G$8:$BO$8,0))</f>
        <v>-0.54697219397271091</v>
      </c>
      <c r="I2957">
        <f t="shared" si="400"/>
        <v>583290.22286295483</v>
      </c>
      <c r="J2957">
        <f t="shared" si="401"/>
        <v>2592.2708591037826</v>
      </c>
      <c r="K2957">
        <f t="shared" si="402"/>
        <v>225.01129494801862</v>
      </c>
      <c r="L2957" s="4">
        <f>MIN(MAX(L2956*(1+MAX(MIN(((B2957-B2956)/B2956)/($K$7*卓尔金历!$N$40),0),-卓尔金历!$M$43))+MIN(MAX(((B2957-B2956)/B2956)/($K$7*卓尔金历!$N$40),0),卓尔金历!$M$43),0),1)</f>
        <v>0.86402227865801129</v>
      </c>
      <c r="M2957" s="4">
        <f>MIN(MAX(M2956*(1+MAX(MIN(((B2957-B2956)/B2956)/($K$7*30),0),-卓尔金历!$M$43))+MIN(MAX(((B2957-B2956)/B2956)/($K$7*7),0),卓尔金历!$M$43),0),1)</f>
        <v>0.94088701971658906</v>
      </c>
      <c r="N2957">
        <f t="shared" si="403"/>
        <v>234531.24903481553</v>
      </c>
      <c r="O2957">
        <f t="shared" si="404"/>
        <v>653841.79497202369</v>
      </c>
      <c r="P2957">
        <f t="shared" si="405"/>
        <v>-4.8223260829937135E-3</v>
      </c>
      <c r="Q2957">
        <f t="shared" si="406"/>
        <v>3.2708040188967752E-2</v>
      </c>
      <c r="R2957">
        <f t="shared" si="407"/>
        <v>1</v>
      </c>
      <c r="S2957">
        <f t="shared" si="399"/>
        <v>1106.1639888300936</v>
      </c>
      <c r="T2957" s="564">
        <f>IF((I2957-MAX(I$470:I2957))/MAX(I$470:I2957)&gt;T2956,T2956,(I2957-MAX(I$470:I2957))/MAX(I$470:I2957))</f>
        <v>-0.91338805338419748</v>
      </c>
      <c r="U2957" s="564">
        <f>IF((J2957-MAX(J$470:J2957))/MAX(J$470:J2957)&gt;U2956,U2956,(J2957-MAX(J$470:J2957))/MAX(J$470:J2957))</f>
        <v>-0.8283551177402233</v>
      </c>
      <c r="V2957" s="564">
        <f>IF((K2957-MAX(K$470:K2957))/MAX(K$470:K2957)&gt;V2956,V2956,(K2957-MAX(K$470:K2957))/MAX(K$470:K2957))</f>
        <v>-0.84885940676762139</v>
      </c>
      <c r="W2957" s="564">
        <f>IF((N2957-MAX(N$470:N2957))/MAX(N$470:N2957)&gt;W2956,W2956,(N2957-MAX(N$470:N2957))/MAX(N$470:N2957))</f>
        <v>-0.62788758315546067</v>
      </c>
      <c r="X2957" s="564">
        <f>IF((O2957-MAX(O$470:O2957))/MAX(O$470:O2957)&gt;X2956,X2956,(O2957-MAX(O$470:O2957))/MAX(O$470:O2957))</f>
        <v>-0.62788758315546067</v>
      </c>
    </row>
    <row r="2958" spans="1:24">
      <c r="A2958" s="799">
        <v>43360</v>
      </c>
      <c r="B2958">
        <v>6481.54</v>
      </c>
      <c r="C2958">
        <v>5827.3234060000004</v>
      </c>
      <c r="D2958">
        <v>1.233816</v>
      </c>
      <c r="E2958">
        <f>LN(D2958/参数实验室!$E$53)/参数实验室!$E$55</f>
        <v>-0.44508820946430605</v>
      </c>
      <c r="F2958">
        <f t="shared" si="408"/>
        <v>0.89906463679927928</v>
      </c>
      <c r="G2958">
        <f>LN(F2958/参数实验室!$E$58)/参数实验室!$E$59</f>
        <v>-0.24637467777093275</v>
      </c>
      <c r="H2958" s="856">
        <f>INDEX(神经网络!$G$10:$BO$70,MATCH(ROUND(G2958*2,1)/2,神经网络!$E$10:$E$70,0),MATCH(ROUND(E2958*2,1)/2,神经网络!$G$8:$BO$8,0))</f>
        <v>-0.57635827880181312</v>
      </c>
      <c r="I2958">
        <f t="shared" si="400"/>
        <v>584024.41945483547</v>
      </c>
      <c r="J2958">
        <f t="shared" si="401"/>
        <v>2586.3054147879134</v>
      </c>
      <c r="K2958">
        <f t="shared" si="402"/>
        <v>225.81417342109521</v>
      </c>
      <c r="L2958" s="4">
        <f>MIN(MAX(L2957*(1+MAX(MIN(((B2958-B2957)/B2957)/($K$7*卓尔金历!$N$40),0),-卓尔金历!$M$43))+MIN(MAX(((B2958-B2957)/B2957)/($K$7*卓尔金历!$N$40),0),卓尔金历!$M$43),0),1)</f>
        <v>0.83364258168284355</v>
      </c>
      <c r="M2958" s="4">
        <f>MIN(MAX(M2957*(1+MAX(MIN(((B2958-B2957)/B2957)/($K$7*30),0),-卓尔金历!$M$43))+MIN(MAX(((B2958-B2957)/B2957)/($K$7*7),0),卓尔金历!$M$43),0),1)</f>
        <v>0.92434585911639311</v>
      </c>
      <c r="N2958">
        <f t="shared" si="403"/>
        <v>234786.31547714482</v>
      </c>
      <c r="O2958">
        <f t="shared" si="404"/>
        <v>654616.14589915227</v>
      </c>
      <c r="P2958">
        <f t="shared" si="405"/>
        <v>-2.3012426710423348E-3</v>
      </c>
      <c r="Q2958">
        <f t="shared" si="406"/>
        <v>3.2630713059437509E-2</v>
      </c>
      <c r="R2958">
        <f t="shared" si="407"/>
        <v>1</v>
      </c>
      <c r="S2958">
        <f t="shared" si="399"/>
        <v>1107.5563348678411</v>
      </c>
      <c r="T2958" s="564">
        <f>IF((I2958-MAX(I$470:I2958))/MAX(I$470:I2958)&gt;T2957,T2957,(I2958-MAX(I$470:I2958))/MAX(I$470:I2958))</f>
        <v>-0.91338805338419748</v>
      </c>
      <c r="U2958" s="564">
        <f>IF((J2958-MAX(J$470:J2958))/MAX(J$470:J2958)&gt;U2957,U2957,(J2958-MAX(J$470:J2958))/MAX(J$470:J2958))</f>
        <v>-0.8283551177402233</v>
      </c>
      <c r="V2958" s="564">
        <f>IF((K2958-MAX(K$470:K2958))/MAX(K$470:K2958)&gt;V2957,V2957,(K2958-MAX(K$470:K2958))/MAX(K$470:K2958))</f>
        <v>-0.84885940676762139</v>
      </c>
      <c r="W2958" s="564">
        <f>IF((N2958-MAX(N$470:N2958))/MAX(N$470:N2958)&gt;W2957,W2957,(N2958-MAX(N$470:N2958))/MAX(N$470:N2958))</f>
        <v>-0.62788758315546067</v>
      </c>
      <c r="X2958" s="564">
        <f>IF((O2958-MAX(O$470:O2958))/MAX(O$470:O2958)&gt;X2957,X2957,(O2958-MAX(O$470:O2958))/MAX(O$470:O2958))</f>
        <v>-0.62788758315546067</v>
      </c>
    </row>
    <row r="2959" spans="1:24">
      <c r="A2959" s="799">
        <v>43361</v>
      </c>
      <c r="B2959">
        <v>6276.37</v>
      </c>
      <c r="C2959">
        <v>5841.0571190000001</v>
      </c>
      <c r="D2959">
        <v>1.2502409999999999</v>
      </c>
      <c r="E2959">
        <f>LN(D2959/参数实验室!$E$53)/参数实验室!$E$55</f>
        <v>-0.42948653088888172</v>
      </c>
      <c r="F2959">
        <f t="shared" si="408"/>
        <v>0.93064257190063682</v>
      </c>
      <c r="G2959">
        <f>LN(F2959/参数实验室!$E$58)/参数实验室!$E$59</f>
        <v>-0.22825653006571922</v>
      </c>
      <c r="H2959" s="856">
        <f>INDEX(神经网络!$G$10:$BO$70,MATCH(ROUND(G2959*2,1)/2,神经网络!$E$10:$E$70,0),MATCH(ROUND(E2959*2,1)/2,神经网络!$G$8:$BO$8,0))</f>
        <v>-0.57635827880181312</v>
      </c>
      <c r="I2959">
        <f t="shared" si="400"/>
        <v>594679.56030461483</v>
      </c>
      <c r="J2959">
        <f t="shared" si="401"/>
        <v>2504.4371732971508</v>
      </c>
      <c r="K2959">
        <f t="shared" si="402"/>
        <v>237.45038072634304</v>
      </c>
      <c r="L2959" s="4">
        <f>MIN(MAX(L2958*(1+MAX(MIN(((B2959-B2958)/B2958)/($K$7*卓尔金历!$N$40),0),-卓尔金历!$M$43))+MIN(MAX(((B2959-B2958)/B2958)/($K$7*卓尔金历!$N$40),0),卓尔金历!$M$43),0),1)</f>
        <v>0.43045084646050785</v>
      </c>
      <c r="M2959" s="4">
        <f>MIN(MAX(M2958*(1+MAX(MIN(((B2959-B2958)/B2958)/($K$7*30),0),-卓尔金历!$M$43))+MIN(MAX(((B2959-B2958)/B2958)/($K$7*7),0),卓尔金历!$M$43),0),1)</f>
        <v>0.70081564420679332</v>
      </c>
      <c r="N2959">
        <f t="shared" si="403"/>
        <v>238357.24154719251</v>
      </c>
      <c r="O2959">
        <f t="shared" si="404"/>
        <v>665655.64583967079</v>
      </c>
      <c r="P2959">
        <f t="shared" si="405"/>
        <v>-3.1654514204957476E-2</v>
      </c>
      <c r="Q2959">
        <f t="shared" si="406"/>
        <v>3.242956720440323E-2</v>
      </c>
      <c r="R2959">
        <f t="shared" si="407"/>
        <v>5.7609851092794706E-2</v>
      </c>
      <c r="S2959">
        <f t="shared" si="399"/>
        <v>1127.7629706761488</v>
      </c>
      <c r="T2959" s="564">
        <f>IF((I2959-MAX(I$470:I2959))/MAX(I$470:I2959)&gt;T2958,T2958,(I2959-MAX(I$470:I2959))/MAX(I$470:I2959))</f>
        <v>-0.91338805338419748</v>
      </c>
      <c r="U2959" s="564">
        <f>IF((J2959-MAX(J$470:J2959))/MAX(J$470:J2959)&gt;U2958,U2958,(J2959-MAX(J$470:J2959))/MAX(J$470:J2959))</f>
        <v>-0.8283551177402233</v>
      </c>
      <c r="V2959" s="564">
        <f>IF((K2959-MAX(K$470:K2959))/MAX(K$470:K2959)&gt;V2958,V2958,(K2959-MAX(K$470:K2959))/MAX(K$470:K2959))</f>
        <v>-0.84885940676762139</v>
      </c>
      <c r="W2959" s="564">
        <f>IF((N2959-MAX(N$470:N2959))/MAX(N$470:N2959)&gt;W2958,W2958,(N2959-MAX(N$470:N2959))/MAX(N$470:N2959))</f>
        <v>-0.62788758315546067</v>
      </c>
      <c r="X2959" s="564">
        <f>IF((O2959-MAX(O$470:O2959))/MAX(O$470:O2959)&gt;X2958,X2958,(O2959-MAX(O$470:O2959))/MAX(O$470:O2959))</f>
        <v>-0.62788758315546067</v>
      </c>
    </row>
    <row r="2960" spans="1:24">
      <c r="A2960" s="799">
        <v>43362</v>
      </c>
      <c r="B2960">
        <v>6337</v>
      </c>
      <c r="C2960">
        <v>5819.5270220000002</v>
      </c>
      <c r="D2960">
        <v>1.2591060000000001</v>
      </c>
      <c r="E2960">
        <f>LN(D2960/参数实验室!$E$53)/参数实验室!$E$55</f>
        <v>-0.42115085151277243</v>
      </c>
      <c r="F2960">
        <f t="shared" si="408"/>
        <v>0.91834101656935463</v>
      </c>
      <c r="G2960">
        <f>LN(F2960/参数实验室!$E$58)/参数实验室!$E$59</f>
        <v>-0.23524049288631263</v>
      </c>
      <c r="H2960" s="856">
        <f>INDEX(神经网络!$G$10:$BO$70,MATCH(ROUND(G2960*2,1)/2,神经网络!$E$10:$E$70,0),MATCH(ROUND(E2960*2,1)/2,神经网络!$G$8:$BO$8,0))</f>
        <v>-0.54697219397271091</v>
      </c>
      <c r="I2960">
        <f t="shared" si="400"/>
        <v>591368.59539714898</v>
      </c>
      <c r="J2960">
        <f t="shared" si="401"/>
        <v>2528.6301424524122</v>
      </c>
      <c r="K2960">
        <f t="shared" si="402"/>
        <v>233.86915526665572</v>
      </c>
      <c r="L2960" s="4">
        <f>MIN(MAX(L2959*(1+MAX(MIN(((B2960-B2959)/B2959)/($K$7*卓尔金历!$N$40),0),-卓尔金历!$M$43))+MIN(MAX(((B2960-B2959)/B2959)/($K$7*卓尔金历!$N$40),0),卓尔金历!$M$43),0),1)</f>
        <v>0.5780470235089441</v>
      </c>
      <c r="M2960" s="4">
        <f>MIN(MAX(M2959*(1+MAX(MIN(((B2960-B2959)/B2959)/($K$7*30),0),-卓尔金历!$M$43))+MIN(MAX(((B2960-B2959)/B2959)/($K$7*7),0),卓尔金历!$M$43),0),1)</f>
        <v>1</v>
      </c>
      <c r="N2960">
        <f t="shared" si="403"/>
        <v>237785.99513811537</v>
      </c>
      <c r="O2960">
        <f t="shared" si="404"/>
        <v>663058.32874485943</v>
      </c>
      <c r="P2960">
        <f t="shared" si="405"/>
        <v>9.6600423493197682E-3</v>
      </c>
      <c r="Q2960">
        <f t="shared" si="406"/>
        <v>3.2193868123883543E-2</v>
      </c>
      <c r="R2960">
        <f t="shared" si="407"/>
        <v>1</v>
      </c>
      <c r="S2960">
        <f t="shared" si="399"/>
        <v>1127.4012393258865</v>
      </c>
      <c r="T2960" s="564">
        <f>IF((I2960-MAX(I$470:I2960))/MAX(I$470:I2960)&gt;T2959,T2959,(I2960-MAX(I$470:I2960))/MAX(I$470:I2960))</f>
        <v>-0.91338805338419748</v>
      </c>
      <c r="U2960" s="564">
        <f>IF((J2960-MAX(J$470:J2960))/MAX(J$470:J2960)&gt;U2959,U2959,(J2960-MAX(J$470:J2960))/MAX(J$470:J2960))</f>
        <v>-0.8283551177402233</v>
      </c>
      <c r="V2960" s="564">
        <f>IF((K2960-MAX(K$470:K2960))/MAX(K$470:K2960)&gt;V2959,V2959,(K2960-MAX(K$470:K2960))/MAX(K$470:K2960))</f>
        <v>-0.84885940676762139</v>
      </c>
      <c r="W2960" s="564">
        <f>IF((N2960-MAX(N$470:N2960))/MAX(N$470:N2960)&gt;W2959,W2959,(N2960-MAX(N$470:N2960))/MAX(N$470:N2960))</f>
        <v>-0.62788758315546067</v>
      </c>
      <c r="X2960" s="564">
        <f>IF((O2960-MAX(O$470:O2960))/MAX(O$470:O2960)&gt;X2959,X2959,(O2960-MAX(O$470:O2960))/MAX(O$470:O2960))</f>
        <v>-0.62788758315546067</v>
      </c>
    </row>
    <row r="2961" spans="1:24">
      <c r="A2961" s="799">
        <v>43363</v>
      </c>
      <c r="B2961">
        <v>6405.11</v>
      </c>
      <c r="C2961">
        <v>5798.0810149999998</v>
      </c>
      <c r="D2961">
        <v>1.282065</v>
      </c>
      <c r="E2961">
        <f>LN(D2961/参数实验室!$E$53)/参数实验室!$E$55</f>
        <v>-0.3998325759984302</v>
      </c>
      <c r="F2961">
        <f t="shared" si="408"/>
        <v>0.90522739109866968</v>
      </c>
      <c r="G2961">
        <f>LN(F2961/参数实验室!$E$58)/参数实验室!$E$59</f>
        <v>-0.24278927248275342</v>
      </c>
      <c r="H2961" s="856">
        <f>INDEX(神经网络!$G$10:$BO$70,MATCH(ROUND(G2961*2,1)/2,神经网络!$E$10:$E$70,0),MATCH(ROUND(E2961*2,1)/2,神经网络!$G$8:$BO$8,0))</f>
        <v>-0.54697219397271091</v>
      </c>
      <c r="I2961">
        <f t="shared" si="400"/>
        <v>587892.02778654278</v>
      </c>
      <c r="J2961">
        <f t="shared" si="401"/>
        <v>2555.8078288974862</v>
      </c>
      <c r="K2961">
        <f t="shared" si="402"/>
        <v>230.02199975267516</v>
      </c>
      <c r="L2961" s="4">
        <f>MIN(MAX(L2960*(1+MAX(MIN(((B2961-B2960)/B2960)/($K$7*卓尔金历!$N$40),0),-卓尔金历!$M$43))+MIN(MAX(((B2961-B2960)/B2960)/($K$7*卓尔金历!$N$40),0),卓尔金历!$M$43),0),1)</f>
        <v>0.7422659661825215</v>
      </c>
      <c r="M2961" s="4">
        <f>MIN(MAX(M2960*(1+MAX(MIN(((B2961-B2960)/B2960)/($K$7*30),0),-卓尔金历!$M$43))+MIN(MAX(((B2961-B2960)/B2960)/($K$7*7),0),卓尔金历!$M$43),0),1)</f>
        <v>1</v>
      </c>
      <c r="N2961">
        <f t="shared" si="403"/>
        <v>236977.93838554906</v>
      </c>
      <c r="O2961">
        <f t="shared" si="404"/>
        <v>659160.3079037139</v>
      </c>
      <c r="P2961">
        <f t="shared" si="405"/>
        <v>1.0747988006943297E-2</v>
      </c>
      <c r="Q2961">
        <f t="shared" si="406"/>
        <v>3.2334276379789188E-2</v>
      </c>
      <c r="R2961">
        <f t="shared" si="407"/>
        <v>1</v>
      </c>
      <c r="S2961">
        <f t="shared" si="399"/>
        <v>1120.7734158951116</v>
      </c>
      <c r="T2961" s="564">
        <f>IF((I2961-MAX(I$470:I2961))/MAX(I$470:I2961)&gt;T2960,T2960,(I2961-MAX(I$470:I2961))/MAX(I$470:I2961))</f>
        <v>-0.91338805338419748</v>
      </c>
      <c r="U2961" s="564">
        <f>IF((J2961-MAX(J$470:J2961))/MAX(J$470:J2961)&gt;U2960,U2960,(J2961-MAX(J$470:J2961))/MAX(J$470:J2961))</f>
        <v>-0.8283551177402233</v>
      </c>
      <c r="V2961" s="564">
        <f>IF((K2961-MAX(K$470:K2961))/MAX(K$470:K2961)&gt;V2960,V2960,(K2961-MAX(K$470:K2961))/MAX(K$470:K2961))</f>
        <v>-0.84885940676762139</v>
      </c>
      <c r="W2961" s="564">
        <f>IF((N2961-MAX(N$470:N2961))/MAX(N$470:N2961)&gt;W2960,W2960,(N2961-MAX(N$470:N2961))/MAX(N$470:N2961))</f>
        <v>-0.62788758315546067</v>
      </c>
      <c r="X2961" s="564">
        <f>IF((O2961-MAX(O$470:O2961))/MAX(O$470:O2961)&gt;X2960,X2960,(O2961-MAX(O$470:O2961))/MAX(O$470:O2961))</f>
        <v>-0.62788758315546067</v>
      </c>
    </row>
    <row r="2962" spans="1:24">
      <c r="A2962" s="799">
        <v>43364</v>
      </c>
      <c r="B2962">
        <v>6702.86</v>
      </c>
      <c r="C2962">
        <v>5863.0047409999997</v>
      </c>
      <c r="D2962">
        <v>1.331493</v>
      </c>
      <c r="E2962">
        <f>LN(D2962/参数实验室!$E$53)/参数实验室!$E$55</f>
        <v>-0.35520391493532733</v>
      </c>
      <c r="F2962">
        <f t="shared" si="408"/>
        <v>0.87470195424042874</v>
      </c>
      <c r="G2962">
        <f>LN(F2962/参数实验室!$E$58)/参数实验室!$E$59</f>
        <v>-0.26079332414493728</v>
      </c>
      <c r="H2962" s="856">
        <f>INDEX(神经网络!$G$10:$BO$70,MATCH(ROUND(G2962*2,1)/2,神经网络!$E$10:$E$70,0),MATCH(ROUND(E2962*2,1)/2,神经网络!$G$8:$BO$8,0))</f>
        <v>-0.51075529571207356</v>
      </c>
      <c r="I2962">
        <f t="shared" si="400"/>
        <v>572943.85884882556</v>
      </c>
      <c r="J2962">
        <f t="shared" si="401"/>
        <v>2674.6179322453172</v>
      </c>
      <c r="K2962">
        <f t="shared" si="402"/>
        <v>214.21521628991863</v>
      </c>
      <c r="L2962" s="4">
        <f>MIN(MAX(L2961*(1+MAX(MIN(((B2962-B2961)/B2961)/($K$7*卓尔金历!$N$40),0),-卓尔金历!$M$43))+MIN(MAX(((B2962-B2961)/B2961)/($K$7*卓尔金历!$N$40),0),卓尔金历!$M$43),0),1)</f>
        <v>1</v>
      </c>
      <c r="M2962" s="4">
        <f>MIN(MAX(M2961*(1+MAX(MIN(((B2962-B2961)/B2961)/($K$7*30),0),-卓尔金历!$M$43))+MIN(MAX(((B2962-B2961)/B2961)/($K$7*7),0),卓尔金历!$M$43),0),1)</f>
        <v>1</v>
      </c>
      <c r="N2962">
        <f t="shared" si="403"/>
        <v>232505.36071186612</v>
      </c>
      <c r="O2962">
        <f t="shared" si="404"/>
        <v>642400.02000411332</v>
      </c>
      <c r="P2962">
        <f t="shared" si="405"/>
        <v>4.6486321078014273E-2</v>
      </c>
      <c r="Q2962">
        <f t="shared" si="406"/>
        <v>3.4051066544431643E-2</v>
      </c>
      <c r="R2962">
        <f t="shared" si="407"/>
        <v>2.2268721424598095E-2</v>
      </c>
      <c r="S2962">
        <f t="shared" si="399"/>
        <v>1092.2758184284803</v>
      </c>
      <c r="T2962" s="564">
        <f>IF((I2962-MAX(I$470:I2962))/MAX(I$470:I2962)&gt;T2961,T2961,(I2962-MAX(I$470:I2962))/MAX(I$470:I2962))</f>
        <v>-0.91338805338419748</v>
      </c>
      <c r="U2962" s="564">
        <f>IF((J2962-MAX(J$470:J2962))/MAX(J$470:J2962)&gt;U2961,U2961,(J2962-MAX(J$470:J2962))/MAX(J$470:J2962))</f>
        <v>-0.8283551177402233</v>
      </c>
      <c r="V2962" s="564">
        <f>IF((K2962-MAX(K$470:K2962))/MAX(K$470:K2962)&gt;V2961,V2961,(K2962-MAX(K$470:K2962))/MAX(K$470:K2962))</f>
        <v>-0.84885940676762139</v>
      </c>
      <c r="W2962" s="564">
        <f>IF((N2962-MAX(N$470:N2962))/MAX(N$470:N2962)&gt;W2961,W2961,(N2962-MAX(N$470:N2962))/MAX(N$470:N2962))</f>
        <v>-0.62788758315546067</v>
      </c>
      <c r="X2962" s="564">
        <f>IF((O2962-MAX(O$470:O2962))/MAX(O$470:O2962)&gt;X2961,X2961,(O2962-MAX(O$470:O2962))/MAX(O$470:O2962))</f>
        <v>-0.62788758315546067</v>
      </c>
    </row>
    <row r="2963" spans="1:24">
      <c r="A2963" s="799">
        <v>43365</v>
      </c>
      <c r="B2963">
        <v>6686.89</v>
      </c>
      <c r="C2963">
        <v>5841.3582260000003</v>
      </c>
      <c r="D2963">
        <v>1.324624</v>
      </c>
      <c r="E2963">
        <f>LN(D2963/参数实验室!$E$53)/参数实验室!$E$55</f>
        <v>-0.3613058623259513</v>
      </c>
      <c r="F2963">
        <f t="shared" si="408"/>
        <v>0.87355380842215136</v>
      </c>
      <c r="G2963">
        <f>LN(F2963/参数实验室!$E$58)/参数实验室!$E$59</f>
        <v>-0.26148270732819467</v>
      </c>
      <c r="H2963" s="856">
        <f>INDEX(神经网络!$G$10:$BO$70,MATCH(ROUND(G2963*2,1)/2,神经网络!$E$10:$E$70,0),MATCH(ROUND(E2963*2,1)/2,神经网络!$G$8:$BO$8,0))</f>
        <v>-0.51075529571207356</v>
      </c>
      <c r="I2963">
        <f t="shared" si="400"/>
        <v>573641.07865313918</v>
      </c>
      <c r="J2963">
        <f t="shared" si="401"/>
        <v>2668.2454810262916</v>
      </c>
      <c r="K2963">
        <f t="shared" si="402"/>
        <v>214.98811962102477</v>
      </c>
      <c r="L2963" s="4">
        <f>MIN(MAX(L2962*(1+MAX(MIN(((B2963-B2962)/B2962)/($K$7*卓尔金历!$N$40),0),-卓尔金历!$M$43))+MIN(MAX(((B2963-B2962)/B2962)/($K$7*卓尔金历!$N$40),0),卓尔金历!$M$43),0),1)</f>
        <v>0.96359669234663403</v>
      </c>
      <c r="M2963" s="4">
        <f>MIN(MAX(M2962*(1+MAX(MIN(((B2963-B2962)/B2962)/($K$7*30),0),-卓尔金历!$M$43))+MIN(MAX(((B2963-B2962)/B2962)/($K$7*7),0),卓尔金历!$M$43),0),1)</f>
        <v>0.98179834617331696</v>
      </c>
      <c r="N2963">
        <f t="shared" si="403"/>
        <v>232788.29827999559</v>
      </c>
      <c r="O2963">
        <f t="shared" si="404"/>
        <v>643181.7615470601</v>
      </c>
      <c r="P2963">
        <f t="shared" si="405"/>
        <v>-2.3825650543199987E-3</v>
      </c>
      <c r="Q2963">
        <f t="shared" si="406"/>
        <v>3.3919299552881164E-2</v>
      </c>
      <c r="R2963">
        <f t="shared" si="407"/>
        <v>1</v>
      </c>
      <c r="S2963">
        <f t="shared" si="399"/>
        <v>1092.3054179879364</v>
      </c>
      <c r="T2963" s="564">
        <f>IF((I2963-MAX(I$470:I2963))/MAX(I$470:I2963)&gt;T2962,T2962,(I2963-MAX(I$470:I2963))/MAX(I$470:I2963))</f>
        <v>-0.91338805338419748</v>
      </c>
      <c r="U2963" s="564">
        <f>IF((J2963-MAX(J$470:J2963))/MAX(J$470:J2963)&gt;U2962,U2962,(J2963-MAX(J$470:J2963))/MAX(J$470:J2963))</f>
        <v>-0.8283551177402233</v>
      </c>
      <c r="V2963" s="564">
        <f>IF((K2963-MAX(K$470:K2963))/MAX(K$470:K2963)&gt;V2962,V2962,(K2963-MAX(K$470:K2963))/MAX(K$470:K2963))</f>
        <v>-0.84885940676762139</v>
      </c>
      <c r="W2963" s="564">
        <f>IF((N2963-MAX(N$470:N2963))/MAX(N$470:N2963)&gt;W2962,W2962,(N2963-MAX(N$470:N2963))/MAX(N$470:N2963))</f>
        <v>-0.62788758315546067</v>
      </c>
      <c r="X2963" s="564">
        <f>IF((O2963-MAX(O$470:O2963))/MAX(O$470:O2963)&gt;X2962,X2962,(O2963-MAX(O$470:O2963))/MAX(O$470:O2963))</f>
        <v>-0.62788758315546067</v>
      </c>
    </row>
    <row r="2964" spans="1:24">
      <c r="A2964" s="799">
        <v>43366</v>
      </c>
      <c r="B2964">
        <v>6756.65</v>
      </c>
      <c r="C2964">
        <v>5827.615468</v>
      </c>
      <c r="D2964">
        <v>1.3241149999999999</v>
      </c>
      <c r="E2964">
        <f>LN(D2964/参数实验室!$E$53)/参数实验室!$E$55</f>
        <v>-0.36175928141222102</v>
      </c>
      <c r="F2964">
        <f t="shared" si="408"/>
        <v>0.86250071677532514</v>
      </c>
      <c r="G2964">
        <f>LN(F2964/参数实验室!$E$58)/参数实验室!$E$59</f>
        <v>-0.26816606680072613</v>
      </c>
      <c r="H2964" s="856">
        <f>INDEX(神经网络!$G$10:$BO$70,MATCH(ROUND(G2964*2,1)/2,神经网络!$E$10:$E$70,0),MATCH(ROUND(E2964*2,1)/2,神经网络!$G$8:$BO$8,0))</f>
        <v>-0.51075529571207356</v>
      </c>
      <c r="I2964">
        <f t="shared" si="400"/>
        <v>570584.50113194436</v>
      </c>
      <c r="J2964">
        <f t="shared" si="401"/>
        <v>2696.081560991177</v>
      </c>
      <c r="K2964">
        <f t="shared" si="402"/>
        <v>211.63473293522208</v>
      </c>
      <c r="L2964" s="4">
        <f>MIN(MAX(L2963*(1+MAX(MIN(((B2964-B2963)/B2963)/($K$7*卓尔金历!$N$40),0),-卓尔金历!$M$43))+MIN(MAX(((B2964-B2963)/B2963)/($K$7*卓尔金历!$N$40),0),卓尔金历!$M$43),0),1)</f>
        <v>1</v>
      </c>
      <c r="M2964" s="4">
        <f>MIN(MAX(M2963*(1+MAX(MIN(((B2964-B2963)/B2963)/($K$7*30),0),-卓尔金历!$M$43))+MIN(MAX(((B2964-B2963)/B2963)/($K$7*7),0),卓尔金历!$M$43),0),1)</f>
        <v>1</v>
      </c>
      <c r="N2964">
        <f t="shared" si="403"/>
        <v>231593.06791686485</v>
      </c>
      <c r="O2964">
        <f t="shared" si="404"/>
        <v>639817.02404924762</v>
      </c>
      <c r="P2964">
        <f t="shared" si="405"/>
        <v>1.0432353455791752E-2</v>
      </c>
      <c r="Q2964">
        <f t="shared" si="406"/>
        <v>3.3363755027483052E-2</v>
      </c>
      <c r="R2964">
        <f t="shared" si="407"/>
        <v>1</v>
      </c>
      <c r="S2964">
        <f t="shared" si="399"/>
        <v>1086.4851998913866</v>
      </c>
      <c r="T2964" s="564">
        <f>IF((I2964-MAX(I$470:I2964))/MAX(I$470:I2964)&gt;T2963,T2963,(I2964-MAX(I$470:I2964))/MAX(I$470:I2964))</f>
        <v>-0.91338805338419748</v>
      </c>
      <c r="U2964" s="564">
        <f>IF((J2964-MAX(J$470:J2964))/MAX(J$470:J2964)&gt;U2963,U2963,(J2964-MAX(J$470:J2964))/MAX(J$470:J2964))</f>
        <v>-0.8283551177402233</v>
      </c>
      <c r="V2964" s="564">
        <f>IF((K2964-MAX(K$470:K2964))/MAX(K$470:K2964)&gt;V2963,V2963,(K2964-MAX(K$470:K2964))/MAX(K$470:K2964))</f>
        <v>-0.84885940676762139</v>
      </c>
      <c r="W2964" s="564">
        <f>IF((N2964-MAX(N$470:N2964))/MAX(N$470:N2964)&gt;W2963,W2963,(N2964-MAX(N$470:N2964))/MAX(N$470:N2964))</f>
        <v>-0.62788758315546067</v>
      </c>
      <c r="X2964" s="564">
        <f>IF((O2964-MAX(O$470:O2964))/MAX(O$470:O2964)&gt;X2963,X2963,(O2964-MAX(O$470:O2964))/MAX(O$470:O2964))</f>
        <v>-0.62788758315546067</v>
      </c>
    </row>
    <row r="2965" spans="1:24">
      <c r="A2965" s="799">
        <v>43367</v>
      </c>
      <c r="B2965">
        <v>6617.27</v>
      </c>
      <c r="C2965">
        <v>5778.7512029999998</v>
      </c>
      <c r="D2965">
        <v>1.2994460000000001</v>
      </c>
      <c r="E2965">
        <f>LN(D2965/参数实验室!$E$53)/参数实验室!$E$55</f>
        <v>-0.3839460653555089</v>
      </c>
      <c r="F2965">
        <f t="shared" si="408"/>
        <v>0.87328327286025798</v>
      </c>
      <c r="G2965">
        <f>LN(F2965/参数实验室!$E$58)/参数实验室!$E$59</f>
        <v>-0.26164527736533638</v>
      </c>
      <c r="H2965" s="856">
        <f>INDEX(神经网络!$G$10:$BO$70,MATCH(ROUND(G2965*2,1)/2,神经网络!$E$10:$E$70,0),MATCH(ROUND(E2965*2,1)/2,神经网络!$G$8:$BO$8,0))</f>
        <v>-0.54697219397271091</v>
      </c>
      <c r="I2965">
        <f t="shared" si="400"/>
        <v>576596.26461978769</v>
      </c>
      <c r="J2965">
        <f t="shared" si="401"/>
        <v>2640.4652647539965</v>
      </c>
      <c r="K2965">
        <f t="shared" si="402"/>
        <v>218.36919133776496</v>
      </c>
      <c r="L2965" s="4">
        <f>MIN(MAX(L2964*(1+MAX(MIN(((B2965-B2964)/B2964)/($K$7*卓尔金历!$N$40),0),-卓尔金历!$M$43))+MIN(MAX(((B2965-B2964)/B2964)/($K$7*卓尔金历!$N$40),0),卓尔金历!$M$43),0),1)</f>
        <v>0.68481530832294601</v>
      </c>
      <c r="M2965" s="4">
        <f>MIN(MAX(M2964*(1+MAX(MIN(((B2965-B2964)/B2964)/($K$7*30),0),-卓尔金历!$M$43))+MIN(MAX(((B2965-B2964)/B2964)/($K$7*7),0),卓尔金历!$M$43),0),1)</f>
        <v>0.84240765416147301</v>
      </c>
      <c r="N2965">
        <f t="shared" si="403"/>
        <v>234033.16705551685</v>
      </c>
      <c r="O2965">
        <f t="shared" si="404"/>
        <v>646558.23173443566</v>
      </c>
      <c r="P2965">
        <f t="shared" si="405"/>
        <v>-2.0628565931341599E-2</v>
      </c>
      <c r="Q2965">
        <f t="shared" si="406"/>
        <v>3.3567998890660693E-2</v>
      </c>
      <c r="R2965">
        <f t="shared" si="407"/>
        <v>0.53650483509799052</v>
      </c>
      <c r="S2965">
        <f t="shared" si="399"/>
        <v>1097.9325701614018</v>
      </c>
      <c r="T2965" s="564">
        <f>IF((I2965-MAX(I$470:I2965))/MAX(I$470:I2965)&gt;T2964,T2964,(I2965-MAX(I$470:I2965))/MAX(I$470:I2965))</f>
        <v>-0.91338805338419748</v>
      </c>
      <c r="U2965" s="564">
        <f>IF((J2965-MAX(J$470:J2965))/MAX(J$470:J2965)&gt;U2964,U2964,(J2965-MAX(J$470:J2965))/MAX(J$470:J2965))</f>
        <v>-0.8283551177402233</v>
      </c>
      <c r="V2965" s="564">
        <f>IF((K2965-MAX(K$470:K2965))/MAX(K$470:K2965)&gt;V2964,V2964,(K2965-MAX(K$470:K2965))/MAX(K$470:K2965))</f>
        <v>-0.84885940676762139</v>
      </c>
      <c r="W2965" s="564">
        <f>IF((N2965-MAX(N$470:N2965))/MAX(N$470:N2965)&gt;W2964,W2964,(N2965-MAX(N$470:N2965))/MAX(N$470:N2965))</f>
        <v>-0.62788758315546067</v>
      </c>
      <c r="X2965" s="564">
        <f>IF((O2965-MAX(O$470:O2965))/MAX(O$470:O2965)&gt;X2964,X2964,(O2965-MAX(O$470:O2965))/MAX(O$470:O2965))</f>
        <v>-0.62788758315546067</v>
      </c>
    </row>
    <row r="2966" spans="1:24">
      <c r="A2966" s="799">
        <v>43368</v>
      </c>
      <c r="B2966">
        <v>6435.09</v>
      </c>
      <c r="C2966">
        <v>5796.5893880000003</v>
      </c>
      <c r="D2966">
        <v>1.2694730000000001</v>
      </c>
      <c r="E2966">
        <f>LN(D2966/参数实验室!$E$53)/参数实验室!$E$55</f>
        <v>-0.4114769829801056</v>
      </c>
      <c r="F2966">
        <f t="shared" si="408"/>
        <v>0.90077829338828208</v>
      </c>
      <c r="G2966">
        <f>LN(F2966/参数实验室!$E$58)/参数实验室!$E$59</f>
        <v>-0.24537523515748283</v>
      </c>
      <c r="H2966" s="856">
        <f>INDEX(神经网络!$G$10:$BO$70,MATCH(ROUND(G2966*2,1)/2,神经网络!$E$10:$E$70,0),MATCH(ROUND(E2966*2,1)/2,神经网络!$G$8:$BO$8,0))</f>
        <v>-0.54697219397271091</v>
      </c>
      <c r="I2966">
        <f t="shared" si="400"/>
        <v>585279.04699549428</v>
      </c>
      <c r="J2966">
        <f t="shared" si="401"/>
        <v>2567.7706396392764</v>
      </c>
      <c r="K2966">
        <f t="shared" si="402"/>
        <v>227.93275924274724</v>
      </c>
      <c r="L2966" s="4">
        <f>MIN(MAX(L2965*(1+MAX(MIN(((B2966-B2965)/B2965)/($K$7*卓尔金历!$N$40),0),-卓尔金历!$M$43))+MIN(MAX(((B2966-B2965)/B2965)/($K$7*卓尔金历!$N$40),0),卓尔金历!$M$43),0),1)</f>
        <v>0.39674972040298029</v>
      </c>
      <c r="M2966" s="4">
        <f>MIN(MAX(M2965*(1+MAX(MIN(((B2966-B2965)/B2965)/($K$7*30),0),-卓尔金历!$M$43))+MIN(MAX(((B2966-B2965)/B2965)/($K$7*7),0),卓尔金历!$M$43),0),1)</f>
        <v>0.6652294769106033</v>
      </c>
      <c r="N2966">
        <f t="shared" si="403"/>
        <v>236446.61514022996</v>
      </c>
      <c r="O2966">
        <f t="shared" si="404"/>
        <v>654760.18029177026</v>
      </c>
      <c r="P2966">
        <f t="shared" si="405"/>
        <v>-2.7530990876902452E-2</v>
      </c>
      <c r="Q2966">
        <f t="shared" si="406"/>
        <v>3.3851888404114495E-2</v>
      </c>
      <c r="R2966">
        <f t="shared" si="407"/>
        <v>0.24718839004286602</v>
      </c>
      <c r="S2966">
        <f t="shared" si="399"/>
        <v>1106.8028311943085</v>
      </c>
      <c r="T2966" s="564">
        <f>IF((I2966-MAX(I$470:I2966))/MAX(I$470:I2966)&gt;T2965,T2965,(I2966-MAX(I$470:I2966))/MAX(I$470:I2966))</f>
        <v>-0.91338805338419748</v>
      </c>
      <c r="U2966" s="564">
        <f>IF((J2966-MAX(J$470:J2966))/MAX(J$470:J2966)&gt;U2965,U2965,(J2966-MAX(J$470:J2966))/MAX(J$470:J2966))</f>
        <v>-0.8283551177402233</v>
      </c>
      <c r="V2966" s="564">
        <f>IF((K2966-MAX(K$470:K2966))/MAX(K$470:K2966)&gt;V2965,V2965,(K2966-MAX(K$470:K2966))/MAX(K$470:K2966))</f>
        <v>-0.84885940676762139</v>
      </c>
      <c r="W2966" s="564">
        <f>IF((N2966-MAX(N$470:N2966))/MAX(N$470:N2966)&gt;W2965,W2965,(N2966-MAX(N$470:N2966))/MAX(N$470:N2966))</f>
        <v>-0.62788758315546067</v>
      </c>
      <c r="X2966" s="564">
        <f>IF((O2966-MAX(O$470:O2966))/MAX(O$470:O2966)&gt;X2965,X2965,(O2966-MAX(O$470:O2966))/MAX(O$470:O2966))</f>
        <v>-0.62788758315546067</v>
      </c>
    </row>
    <row r="2967" spans="1:24">
      <c r="A2967" s="799">
        <v>43369</v>
      </c>
      <c r="B2967">
        <v>6462.19</v>
      </c>
      <c r="C2967">
        <v>5981.8757809999997</v>
      </c>
      <c r="D2967">
        <v>1.2789250000000001</v>
      </c>
      <c r="E2967">
        <f>LN(D2967/参数实验室!$E$53)/参数实验室!$E$55</f>
        <v>-0.40272554086151263</v>
      </c>
      <c r="F2967">
        <f t="shared" si="408"/>
        <v>0.92567315120725324</v>
      </c>
      <c r="G2967">
        <f>LN(F2967/参数实验室!$E$58)/参数实验室!$E$59</f>
        <v>-0.2310666412347078</v>
      </c>
      <c r="H2967" s="856">
        <f>INDEX(神经网络!$G$10:$BO$70,MATCH(ROUND(G2967*2,1)/2,神经网络!$E$10:$E$70,0),MATCH(ROUND(E2967*2,1)/2,神经网络!$G$8:$BO$8,0))</f>
        <v>-0.54697219397271091</v>
      </c>
      <c r="I2967">
        <f t="shared" si="400"/>
        <v>583930.88248251635</v>
      </c>
      <c r="J2967">
        <f t="shared" si="401"/>
        <v>2578.5842544192133</v>
      </c>
      <c r="K2967">
        <f t="shared" si="402"/>
        <v>226.45406349696253</v>
      </c>
      <c r="L2967" s="4">
        <f>MIN(MAX(L2966*(1+MAX(MIN(((B2967-B2966)/B2966)/($K$7*卓尔金历!$N$40),0),-卓尔金历!$M$43))+MIN(MAX(((B2967-B2966)/B2966)/($K$7*卓尔金历!$N$40),0),卓尔金历!$M$43),0),1)</f>
        <v>0.4610941187059473</v>
      </c>
      <c r="M2967" s="4">
        <f>MIN(MAX(M2966*(1+MAX(MIN(((B2967-B2966)/B2966)/($K$7*30),0),-卓尔金历!$M$43))+MIN(MAX(((B2967-B2966)/B2966)/($K$7*7),0),卓尔金历!$M$43),0),1)</f>
        <v>0.80311033041696123</v>
      </c>
      <c r="N2967">
        <f t="shared" si="403"/>
        <v>236230.52764012289</v>
      </c>
      <c r="O2967">
        <f t="shared" si="404"/>
        <v>653756.87371482595</v>
      </c>
      <c r="P2967">
        <f t="shared" si="405"/>
        <v>4.2112853122488504E-3</v>
      </c>
      <c r="Q2967">
        <f t="shared" si="406"/>
        <v>3.3759949820827029E-2</v>
      </c>
      <c r="R2967">
        <f t="shared" si="407"/>
        <v>1</v>
      </c>
      <c r="S2967">
        <f t="shared" ref="S2967:S3030" si="409">S2966*(1+(B2967-B2966)/B2966*H2966*R2966)</f>
        <v>1106.1726314176387</v>
      </c>
      <c r="T2967" s="564">
        <f>IF((I2967-MAX(I$470:I2967))/MAX(I$470:I2967)&gt;T2966,T2966,(I2967-MAX(I$470:I2967))/MAX(I$470:I2967))</f>
        <v>-0.91338805338419748</v>
      </c>
      <c r="U2967" s="564">
        <f>IF((J2967-MAX(J$470:J2967))/MAX(J$470:J2967)&gt;U2966,U2966,(J2967-MAX(J$470:J2967))/MAX(J$470:J2967))</f>
        <v>-0.8283551177402233</v>
      </c>
      <c r="V2967" s="564">
        <f>IF((K2967-MAX(K$470:K2967))/MAX(K$470:K2967)&gt;V2966,V2966,(K2967-MAX(K$470:K2967))/MAX(K$470:K2967))</f>
        <v>-0.84885940676762139</v>
      </c>
      <c r="W2967" s="564">
        <f>IF((N2967-MAX(N$470:N2967))/MAX(N$470:N2967)&gt;W2966,W2966,(N2967-MAX(N$470:N2967))/MAX(N$470:N2967))</f>
        <v>-0.62788758315546067</v>
      </c>
      <c r="X2967" s="564">
        <f>IF((O2967-MAX(O$470:O2967))/MAX(O$470:O2967)&gt;X2966,X2966,(O2967-MAX(O$470:O2967))/MAX(O$470:O2967))</f>
        <v>-0.62788758315546067</v>
      </c>
    </row>
    <row r="2968" spans="1:24">
      <c r="A2968" s="799">
        <v>43370</v>
      </c>
      <c r="B2968">
        <v>6494.61</v>
      </c>
      <c r="C2968">
        <v>6024.7555270000003</v>
      </c>
      <c r="D2968">
        <v>1.321054</v>
      </c>
      <c r="E2968">
        <f>LN(D2968/参数实验室!$E$53)/参数实验室!$E$55</f>
        <v>-0.36448971284533993</v>
      </c>
      <c r="F2968">
        <f t="shared" si="408"/>
        <v>0.92765470551734441</v>
      </c>
      <c r="G2968">
        <f>LN(F2968/参数实验室!$E$58)/参数实验室!$E$59</f>
        <v>-0.22994430642085403</v>
      </c>
      <c r="H2968" s="856">
        <f>INDEX(神经网络!$G$10:$BO$70,MATCH(ROUND(G2968*2,1)/2,神经网络!$E$10:$E$70,0),MATCH(ROUND(E2968*2,1)/2,神经网络!$G$8:$BO$8,0))</f>
        <v>-0.51075529571207356</v>
      </c>
      <c r="I2968">
        <f t="shared" ref="I2968:I3031" si="410">I2967*(1+(B2968-B2967)/B2967*H2967)</f>
        <v>582328.52290303598</v>
      </c>
      <c r="J2968">
        <f t="shared" ref="J2968:J3031" si="411">J2967*B2968/B2967</f>
        <v>2591.5206895175734</v>
      </c>
      <c r="K2968">
        <f t="shared" ref="K2968:K3031" si="412">I2968/J2968</f>
        <v>224.70533430757206</v>
      </c>
      <c r="L2968" s="4">
        <f>MIN(MAX(L2967*(1+MAX(MIN(((B2968-B2967)/B2967)/($K$7*卓尔金历!$N$40),0),-卓尔金历!$M$43))+MIN(MAX(((B2968-B2967)/B2967)/($K$7*卓尔金历!$N$40),0),卓尔金历!$M$43),0),1)</f>
        <v>0.5377471556567891</v>
      </c>
      <c r="M2968" s="4">
        <f>MIN(MAX(M2967*(1+MAX(MIN(((B2968-B2967)/B2967)/($K$7*30),0),-卓尔金历!$M$43))+MIN(MAX(((B2968-B2967)/B2967)/($K$7*7),0),卓尔金历!$M$43),0),1)</f>
        <v>0.96736683816876512</v>
      </c>
      <c r="N2968">
        <f t="shared" ref="N2968:N3031" si="413">N2967*(1+(B2968-B2967)/B2967*H2967*L2967)</f>
        <v>235931.62886221384</v>
      </c>
      <c r="O2968">
        <f t="shared" ref="O2968:O3031" si="414">O2967*(1+(B2968-B2967)/B2967*H2967*M2967)</f>
        <v>652316.11910768168</v>
      </c>
      <c r="P2968">
        <f t="shared" ref="P2968:P3031" si="415">(B2968-B2967)/B2967</f>
        <v>5.0168750841433126E-3</v>
      </c>
      <c r="Q2968">
        <f t="shared" si="406"/>
        <v>2.0012213076525977E-2</v>
      </c>
      <c r="R2968">
        <f t="shared" si="407"/>
        <v>1</v>
      </c>
      <c r="S2968">
        <f t="shared" si="409"/>
        <v>1103.1371928654328</v>
      </c>
      <c r="T2968" s="564">
        <f>IF((I2968-MAX(I$470:I2968))/MAX(I$470:I2968)&gt;T2967,T2967,(I2968-MAX(I$470:I2968))/MAX(I$470:I2968))</f>
        <v>-0.91338805338419748</v>
      </c>
      <c r="U2968" s="564">
        <f>IF((J2968-MAX(J$470:J2968))/MAX(J$470:J2968)&gt;U2967,U2967,(J2968-MAX(J$470:J2968))/MAX(J$470:J2968))</f>
        <v>-0.8283551177402233</v>
      </c>
      <c r="V2968" s="564">
        <f>IF((K2968-MAX(K$470:K2968))/MAX(K$470:K2968)&gt;V2967,V2967,(K2968-MAX(K$470:K2968))/MAX(K$470:K2968))</f>
        <v>-0.84885940676762139</v>
      </c>
      <c r="W2968" s="564">
        <f>IF((N2968-MAX(N$470:N2968))/MAX(N$470:N2968)&gt;W2967,W2967,(N2968-MAX(N$470:N2968))/MAX(N$470:N2968))</f>
        <v>-0.62788758315546067</v>
      </c>
      <c r="X2968" s="564">
        <f>IF((O2968-MAX(O$470:O2968))/MAX(O$470:O2968)&gt;X2967,X2967,(O2968-MAX(O$470:O2968))/MAX(O$470:O2968))</f>
        <v>-0.62788758315546067</v>
      </c>
    </row>
    <row r="2969" spans="1:24">
      <c r="A2969" s="799">
        <v>43371</v>
      </c>
      <c r="B2969">
        <v>6653.71</v>
      </c>
      <c r="C2969">
        <v>5965.6429470000003</v>
      </c>
      <c r="D2969">
        <v>1.3101449999999999</v>
      </c>
      <c r="E2969">
        <f>LN(D2969/参数实验室!$E$53)/参数实验室!$E$55</f>
        <v>-0.3742723266891953</v>
      </c>
      <c r="F2969">
        <f t="shared" si="408"/>
        <v>0.89658896269900556</v>
      </c>
      <c r="G2969">
        <f>LN(F2969/参数实验室!$E$58)/参数实验室!$E$59</f>
        <v>-0.24782191501594997</v>
      </c>
      <c r="H2969" s="856">
        <f>INDEX(神经网络!$G$10:$BO$70,MATCH(ROUND(G2969*2,1)/2,神经网络!$E$10:$E$70,0),MATCH(ROUND(E2969*2,1)/2,神经网络!$G$8:$BO$8,0))</f>
        <v>-0.51075529571207356</v>
      </c>
      <c r="I2969">
        <f t="shared" si="410"/>
        <v>575042.3739783921</v>
      </c>
      <c r="J2969">
        <f t="shared" si="411"/>
        <v>2655.005785882443</v>
      </c>
      <c r="K2969">
        <f t="shared" si="412"/>
        <v>216.58799277805173</v>
      </c>
      <c r="L2969" s="4">
        <f>MIN(MAX(L2968*(1+MAX(MIN(((B2969-B2968)/B2968)/($K$7*卓尔金历!$N$40),0),-卓尔金历!$M$43))+MIN(MAX(((B2969-B2968)/B2968)/($K$7*卓尔金历!$N$40),0),卓尔金历!$M$43),0),1)</f>
        <v>0.91204142785349362</v>
      </c>
      <c r="M2969" s="4">
        <f>MIN(MAX(M2968*(1+MAX(MIN(((B2969-B2968)/B2968)/($K$7*30),0),-卓尔金历!$M$43))+MIN(MAX(((B2969-B2968)/B2968)/($K$7*7),0),卓尔金历!$M$43),0),1)</f>
        <v>1</v>
      </c>
      <c r="N2969">
        <f t="shared" si="413"/>
        <v>234344.20001195435</v>
      </c>
      <c r="O2969">
        <f t="shared" si="414"/>
        <v>644420.62549011852</v>
      </c>
      <c r="P2969">
        <f t="shared" si="415"/>
        <v>2.4497236939554551E-2</v>
      </c>
      <c r="Q2969">
        <f t="shared" si="406"/>
        <v>2.0487989324617498E-2</v>
      </c>
      <c r="R2969">
        <f t="shared" si="407"/>
        <v>1.6435600229670288E-2</v>
      </c>
      <c r="S2969">
        <f t="shared" si="409"/>
        <v>1089.3346371680718</v>
      </c>
      <c r="T2969" s="564">
        <f>IF((I2969-MAX(I$470:I2969))/MAX(I$470:I2969)&gt;T2968,T2968,(I2969-MAX(I$470:I2969))/MAX(I$470:I2969))</f>
        <v>-0.91338805338419748</v>
      </c>
      <c r="U2969" s="564">
        <f>IF((J2969-MAX(J$470:J2969))/MAX(J$470:J2969)&gt;U2968,U2968,(J2969-MAX(J$470:J2969))/MAX(J$470:J2969))</f>
        <v>-0.8283551177402233</v>
      </c>
      <c r="V2969" s="564">
        <f>IF((K2969-MAX(K$470:K2969))/MAX(K$470:K2969)&gt;V2968,V2968,(K2969-MAX(K$470:K2969))/MAX(K$470:K2969))</f>
        <v>-0.84885940676762139</v>
      </c>
      <c r="W2969" s="564">
        <f>IF((N2969-MAX(N$470:N2969))/MAX(N$470:N2969)&gt;W2968,W2968,(N2969-MAX(N$470:N2969))/MAX(N$470:N2969))</f>
        <v>-0.62788758315546067</v>
      </c>
      <c r="X2969" s="564">
        <f>IF((O2969-MAX(O$470:O2969))/MAX(O$470:O2969)&gt;X2968,X2968,(O2969-MAX(O$470:O2969))/MAX(O$470:O2969))</f>
        <v>-0.62788758315546067</v>
      </c>
    </row>
    <row r="2970" spans="1:24">
      <c r="A2970" s="799">
        <v>43372</v>
      </c>
      <c r="B2970">
        <v>6573.42</v>
      </c>
      <c r="C2970">
        <v>5975.8513210000001</v>
      </c>
      <c r="D2970">
        <v>1.3028919999999999</v>
      </c>
      <c r="E2970">
        <f>LN(D2970/参数实验室!$E$53)/参数实验室!$E$55</f>
        <v>-0.38082161952644306</v>
      </c>
      <c r="F2970">
        <f t="shared" si="408"/>
        <v>0.9090931845219079</v>
      </c>
      <c r="G2970">
        <f>LN(F2970/参数实验室!$E$58)/参数实验室!$E$59</f>
        <v>-0.24055264417610328</v>
      </c>
      <c r="H2970" s="856">
        <f>INDEX(神经网络!$G$10:$BO$70,MATCH(ROUND(G2970*2,1)/2,神经网络!$E$10:$E$70,0),MATCH(ROUND(E2970*2,1)/2,神经网络!$G$8:$BO$8,0))</f>
        <v>-0.54697219397271091</v>
      </c>
      <c r="I2970">
        <f t="shared" si="410"/>
        <v>578586.50946722727</v>
      </c>
      <c r="J2970">
        <f t="shared" si="411"/>
        <v>2622.9679581820324</v>
      </c>
      <c r="K2970">
        <f t="shared" si="412"/>
        <v>220.58466542162529</v>
      </c>
      <c r="L2970" s="4">
        <f>MIN(MAX(L2969*(1+MAX(MIN(((B2970-B2969)/B2969)/($K$7*卓尔金历!$N$40),0),-卓尔金历!$M$43))+MIN(MAX(((B2970-B2969)/B2969)/($K$7*卓尔金历!$N$40),0),卓尔金历!$M$43),0),1)</f>
        <v>0.74388702859136402</v>
      </c>
      <c r="M2970" s="4">
        <f>MIN(MAX(M2969*(1+MAX(MIN(((B2970-B2969)/B2969)/($K$7*30),0),-卓尔金历!$M$43))+MIN(MAX(((B2970-B2969)/B2969)/($K$7*7),0),卓尔金历!$M$43),0),1)</f>
        <v>0.90781427568598272</v>
      </c>
      <c r="N2970">
        <f t="shared" si="413"/>
        <v>235661.48348446158</v>
      </c>
      <c r="O2970">
        <f t="shared" si="414"/>
        <v>648392.35716049233</v>
      </c>
      <c r="P2970">
        <f t="shared" si="415"/>
        <v>-1.2066952121448029E-2</v>
      </c>
      <c r="Q2970">
        <f t="shared" si="406"/>
        <v>2.0674362434526264E-2</v>
      </c>
      <c r="R2970">
        <f t="shared" si="407"/>
        <v>0.5699431293484748</v>
      </c>
      <c r="S2970">
        <f t="shared" si="409"/>
        <v>1089.4449833599519</v>
      </c>
      <c r="T2970" s="564">
        <f>IF((I2970-MAX(I$470:I2970))/MAX(I$470:I2970)&gt;T2969,T2969,(I2970-MAX(I$470:I2970))/MAX(I$470:I2970))</f>
        <v>-0.91338805338419748</v>
      </c>
      <c r="U2970" s="564">
        <f>IF((J2970-MAX(J$470:J2970))/MAX(J$470:J2970)&gt;U2969,U2969,(J2970-MAX(J$470:J2970))/MAX(J$470:J2970))</f>
        <v>-0.8283551177402233</v>
      </c>
      <c r="V2970" s="564">
        <f>IF((K2970-MAX(K$470:K2970))/MAX(K$470:K2970)&gt;V2969,V2969,(K2970-MAX(K$470:K2970))/MAX(K$470:K2970))</f>
        <v>-0.84885940676762139</v>
      </c>
      <c r="W2970" s="564">
        <f>IF((N2970-MAX(N$470:N2970))/MAX(N$470:N2970)&gt;W2969,W2969,(N2970-MAX(N$470:N2970))/MAX(N$470:N2970))</f>
        <v>-0.62788758315546067</v>
      </c>
      <c r="X2970" s="564">
        <f>IF((O2970-MAX(O$470:O2970))/MAX(O$470:O2970)&gt;X2969,X2969,(O2970-MAX(O$470:O2970))/MAX(O$470:O2970))</f>
        <v>-0.62788758315546067</v>
      </c>
    </row>
    <row r="2971" spans="1:24">
      <c r="A2971" s="799">
        <v>43373</v>
      </c>
      <c r="B2971">
        <v>6598.19</v>
      </c>
      <c r="C2971">
        <v>5945.6842900000001</v>
      </c>
      <c r="D2971">
        <v>1.306972</v>
      </c>
      <c r="E2971">
        <f>LN(D2971/参数实验室!$E$53)/参数实验室!$E$55</f>
        <v>-0.37713300038263059</v>
      </c>
      <c r="F2971">
        <f t="shared" si="408"/>
        <v>0.90110837820675072</v>
      </c>
      <c r="G2971">
        <f>LN(F2971/参数实验室!$E$58)/参数实验室!$E$59</f>
        <v>-0.24518294076272196</v>
      </c>
      <c r="H2971" s="856">
        <f>INDEX(神经网络!$G$10:$BO$70,MATCH(ROUND(G2971*2,1)/2,神经网络!$E$10:$E$70,0),MATCH(ROUND(E2971*2,1)/2,神经网络!$G$8:$BO$8,0))</f>
        <v>-0.54697219397271091</v>
      </c>
      <c r="I2971">
        <f t="shared" si="410"/>
        <v>577393.9825872035</v>
      </c>
      <c r="J2971">
        <f t="shared" si="411"/>
        <v>2632.8518415067197</v>
      </c>
      <c r="K2971">
        <f t="shared" si="412"/>
        <v>219.30363626415621</v>
      </c>
      <c r="L2971" s="4">
        <f>MIN(MAX(L2970*(1+MAX(MIN(((B2971-B2970)/B2970)/($K$7*卓尔金历!$N$40),0),-卓尔金历!$M$43))+MIN(MAX(((B2971-B2970)/B2970)/($K$7*卓尔金历!$N$40),0),卓尔金历!$M$43),0),1)</f>
        <v>0.80146159860350008</v>
      </c>
      <c r="M2971" s="4">
        <f>MIN(MAX(M2970*(1+MAX(MIN(((B2971-B2970)/B2970)/($K$7*30),0),-卓尔金历!$M$43))+MIN(MAX(((B2971-B2970)/B2970)/($K$7*7),0),卓尔金历!$M$43),0),1)</f>
        <v>1</v>
      </c>
      <c r="N2971">
        <f t="shared" si="413"/>
        <v>235300.16060148075</v>
      </c>
      <c r="O2971">
        <f t="shared" si="414"/>
        <v>647179.15054828289</v>
      </c>
      <c r="P2971">
        <f t="shared" si="415"/>
        <v>3.7682058958653985E-3</v>
      </c>
      <c r="Q2971">
        <f t="shared" si="406"/>
        <v>1.8079326123981512E-2</v>
      </c>
      <c r="R2971">
        <f t="shared" si="407"/>
        <v>1</v>
      </c>
      <c r="S2971">
        <f t="shared" si="409"/>
        <v>1088.1651992907875</v>
      </c>
      <c r="T2971" s="564">
        <f>IF((I2971-MAX(I$470:I2971))/MAX(I$470:I2971)&gt;T2970,T2970,(I2971-MAX(I$470:I2971))/MAX(I$470:I2971))</f>
        <v>-0.91338805338419748</v>
      </c>
      <c r="U2971" s="564">
        <f>IF((J2971-MAX(J$470:J2971))/MAX(J$470:J2971)&gt;U2970,U2970,(J2971-MAX(J$470:J2971))/MAX(J$470:J2971))</f>
        <v>-0.8283551177402233</v>
      </c>
      <c r="V2971" s="564">
        <f>IF((K2971-MAX(K$470:K2971))/MAX(K$470:K2971)&gt;V2970,V2970,(K2971-MAX(K$470:K2971))/MAX(K$470:K2971))</f>
        <v>-0.84885940676762139</v>
      </c>
      <c r="W2971" s="564">
        <f>IF((N2971-MAX(N$470:N2971))/MAX(N$470:N2971)&gt;W2970,W2970,(N2971-MAX(N$470:N2971))/MAX(N$470:N2971))</f>
        <v>-0.62788758315546067</v>
      </c>
      <c r="X2971" s="564">
        <f>IF((O2971-MAX(O$470:O2971))/MAX(O$470:O2971)&gt;X2970,X2970,(O2971-MAX(O$470:O2971))/MAX(O$470:O2971))</f>
        <v>-0.62788758315546067</v>
      </c>
    </row>
    <row r="2972" spans="1:24">
      <c r="A2972" s="799">
        <v>43374</v>
      </c>
      <c r="B2972">
        <v>6619.6</v>
      </c>
      <c r="C2972">
        <v>5919.6700010000004</v>
      </c>
      <c r="D2972">
        <v>1.2994209999999999</v>
      </c>
      <c r="E2972">
        <f>LN(D2972/参数实验室!$E$53)/参数实验室!$E$55</f>
        <v>-0.38396876280874565</v>
      </c>
      <c r="F2972">
        <f t="shared" si="408"/>
        <v>0.8942640040183697</v>
      </c>
      <c r="G2972">
        <f>LN(F2972/参数实验室!$E$58)/参数实验室!$E$59</f>
        <v>-0.24918468981853259</v>
      </c>
      <c r="H2972" s="856">
        <f>INDEX(神经网络!$G$10:$BO$70,MATCH(ROUND(G2972*2,1)/2,神经网络!$E$10:$E$70,0),MATCH(ROUND(E2972*2,1)/2,神经网络!$G$8:$BO$8,0))</f>
        <v>-0.54697219397271091</v>
      </c>
      <c r="I2972">
        <f t="shared" si="410"/>
        <v>576369.20562743105</v>
      </c>
      <c r="J2972">
        <f t="shared" si="411"/>
        <v>2641.3949962092461</v>
      </c>
      <c r="K2972">
        <f t="shared" si="412"/>
        <v>218.20636688363447</v>
      </c>
      <c r="L2972" s="4">
        <f>MIN(MAX(L2971*(1+MAX(MIN(((B2972-B2971)/B2971)/($K$7*卓尔金历!$N$40),0),-卓尔金历!$M$43))+MIN(MAX(((B2972-B2971)/B2971)/($K$7*卓尔金历!$N$40),0),卓尔金历!$M$43),0),1)</f>
        <v>0.85103947592439988</v>
      </c>
      <c r="M2972" s="4">
        <f>MIN(MAX(M2971*(1+MAX(MIN(((B2972-B2971)/B2971)/($K$7*30),0),-卓尔金历!$M$43))+MIN(MAX(((B2972-B2971)/B2971)/($K$7*7),0),卓尔金历!$M$43),0),1)</f>
        <v>1</v>
      </c>
      <c r="N2972">
        <f t="shared" si="413"/>
        <v>234965.45572415375</v>
      </c>
      <c r="O2972">
        <f t="shared" si="414"/>
        <v>646030.51668245136</v>
      </c>
      <c r="P2972">
        <f t="shared" si="415"/>
        <v>3.2448292637830625E-3</v>
      </c>
      <c r="Q2972">
        <f t="shared" si="406"/>
        <v>1.7690731189194463E-2</v>
      </c>
      <c r="R2972">
        <f t="shared" si="407"/>
        <v>1</v>
      </c>
      <c r="S2972">
        <f t="shared" si="409"/>
        <v>1086.2338895468538</v>
      </c>
      <c r="T2972" s="564">
        <f>IF((I2972-MAX(I$470:I2972))/MAX(I$470:I2972)&gt;T2971,T2971,(I2972-MAX(I$470:I2972))/MAX(I$470:I2972))</f>
        <v>-0.91338805338419748</v>
      </c>
      <c r="U2972" s="564">
        <f>IF((J2972-MAX(J$470:J2972))/MAX(J$470:J2972)&gt;U2971,U2971,(J2972-MAX(J$470:J2972))/MAX(J$470:J2972))</f>
        <v>-0.8283551177402233</v>
      </c>
      <c r="V2972" s="564">
        <f>IF((K2972-MAX(K$470:K2972))/MAX(K$470:K2972)&gt;V2971,V2971,(K2972-MAX(K$470:K2972))/MAX(K$470:K2972))</f>
        <v>-0.84885940676762139</v>
      </c>
      <c r="W2972" s="564">
        <f>IF((N2972-MAX(N$470:N2972))/MAX(N$470:N2972)&gt;W2971,W2971,(N2972-MAX(N$470:N2972))/MAX(N$470:N2972))</f>
        <v>-0.62788758315546067</v>
      </c>
      <c r="X2972" s="564">
        <f>IF((O2972-MAX(O$470:O2972))/MAX(O$470:O2972)&gt;X2971,X2971,(O2972-MAX(O$470:O2972))/MAX(O$470:O2972))</f>
        <v>-0.62788758315546067</v>
      </c>
    </row>
    <row r="2973" spans="1:24">
      <c r="A2973" s="799">
        <v>43375</v>
      </c>
      <c r="B2973">
        <v>6587.25</v>
      </c>
      <c r="C2973">
        <v>5949.7209679999996</v>
      </c>
      <c r="D2973">
        <v>1.2895300000000001</v>
      </c>
      <c r="E2973">
        <f>LN(D2973/参数实验室!$E$53)/参数实验室!$E$55</f>
        <v>-0.39298322164536359</v>
      </c>
      <c r="F2973">
        <f t="shared" si="408"/>
        <v>0.90321772636532693</v>
      </c>
      <c r="G2973">
        <f>LN(F2973/参数实验室!$E$58)/参数实验室!$E$59</f>
        <v>-0.24395577854316469</v>
      </c>
      <c r="H2973" s="856">
        <f>INDEX(神经网络!$G$10:$BO$70,MATCH(ROUND(G2973*2,1)/2,神经网络!$E$10:$E$70,0),MATCH(ROUND(E2973*2,1)/2,神经网络!$G$8:$BO$8,0))</f>
        <v>-0.54697219397271091</v>
      </c>
      <c r="I2973">
        <f t="shared" si="410"/>
        <v>577909.87183101138</v>
      </c>
      <c r="J2973">
        <f t="shared" si="411"/>
        <v>2628.4864929571813</v>
      </c>
      <c r="K2973">
        <f t="shared" si="412"/>
        <v>219.86412080848598</v>
      </c>
      <c r="L2973" s="4">
        <f>MIN(MAX(L2972*(1+MAX(MIN(((B2973-B2972)/B2972)/($K$7*卓尔金历!$N$40),0),-卓尔金历!$M$43))+MIN(MAX(((B2973-B2972)/B2972)/($K$7*卓尔金历!$N$40),0),卓尔金历!$M$43),0),1)</f>
        <v>0.78749346081487437</v>
      </c>
      <c r="M2973" s="4">
        <f>MIN(MAX(M2972*(1+MAX(MIN(((B2973-B2972)/B2972)/($K$7*30),0),-卓尔金历!$M$43))+MIN(MAX(((B2973-B2972)/B2972)/($K$7*7),0),卓尔金历!$M$43),0),1)</f>
        <v>0.96266564777121433</v>
      </c>
      <c r="N2973">
        <f t="shared" si="413"/>
        <v>235499.97270891219</v>
      </c>
      <c r="O2973">
        <f t="shared" si="414"/>
        <v>647757.39135551918</v>
      </c>
      <c r="P2973">
        <f t="shared" si="415"/>
        <v>-4.8870022357846944E-3</v>
      </c>
      <c r="Q2973">
        <f t="shared" si="406"/>
        <v>1.7752374221565389E-2</v>
      </c>
      <c r="R2973">
        <f t="shared" si="407"/>
        <v>1</v>
      </c>
      <c r="S2973">
        <f t="shared" si="409"/>
        <v>1089.1374517539753</v>
      </c>
      <c r="T2973" s="564">
        <f>IF((I2973-MAX(I$470:I2973))/MAX(I$470:I2973)&gt;T2972,T2972,(I2973-MAX(I$470:I2973))/MAX(I$470:I2973))</f>
        <v>-0.91338805338419748</v>
      </c>
      <c r="U2973" s="564">
        <f>IF((J2973-MAX(J$470:J2973))/MAX(J$470:J2973)&gt;U2972,U2972,(J2973-MAX(J$470:J2973))/MAX(J$470:J2973))</f>
        <v>-0.8283551177402233</v>
      </c>
      <c r="V2973" s="564">
        <f>IF((K2973-MAX(K$470:K2973))/MAX(K$470:K2973)&gt;V2972,V2972,(K2973-MAX(K$470:K2973))/MAX(K$470:K2973))</f>
        <v>-0.84885940676762139</v>
      </c>
      <c r="W2973" s="564">
        <f>IF((N2973-MAX(N$470:N2973))/MAX(N$470:N2973)&gt;W2972,W2972,(N2973-MAX(N$470:N2973))/MAX(N$470:N2973))</f>
        <v>-0.62788758315546067</v>
      </c>
      <c r="X2973" s="564">
        <f>IF((O2973-MAX(O$470:O2973))/MAX(O$470:O2973)&gt;X2972,X2972,(O2973-MAX(O$470:O2973))/MAX(O$470:O2973))</f>
        <v>-0.62788758315546067</v>
      </c>
    </row>
    <row r="2974" spans="1:24">
      <c r="A2974" s="799">
        <v>43376</v>
      </c>
      <c r="B2974">
        <v>6464.8</v>
      </c>
      <c r="C2974">
        <v>5947.6670620000004</v>
      </c>
      <c r="D2974">
        <v>1.281431</v>
      </c>
      <c r="E2974">
        <f>LN(D2974/参数实验室!$E$53)/参数实验室!$E$55</f>
        <v>-0.40041612562903506</v>
      </c>
      <c r="F2974">
        <f t="shared" si="408"/>
        <v>0.92000789846553643</v>
      </c>
      <c r="G2974">
        <f>LN(F2974/参数实验室!$E$58)/参数实验室!$E$59</f>
        <v>-0.23428869321960616</v>
      </c>
      <c r="H2974" s="856">
        <f>INDEX(神经网络!$G$10:$BO$70,MATCH(ROUND(G2974*2,1)/2,神经网络!$E$10:$E$70,0),MATCH(ROUND(E2974*2,1)/2,神经网络!$G$8:$BO$8,0))</f>
        <v>-0.54697219397271091</v>
      </c>
      <c r="I2974">
        <f t="shared" si="410"/>
        <v>583785.84772481013</v>
      </c>
      <c r="J2974">
        <f t="shared" si="411"/>
        <v>2579.6257132596434</v>
      </c>
      <c r="K2974">
        <f t="shared" si="412"/>
        <v>226.30641519971977</v>
      </c>
      <c r="L2974" s="4">
        <f>MIN(MAX(L2973*(1+MAX(MIN(((B2974-B2973)/B2973)/($K$7*卓尔金历!$N$40),0),-卓尔金历!$M$43))+MIN(MAX(((B2974-B2973)/B2973)/($K$7*卓尔金历!$N$40),0),卓尔金历!$M$43),0),1)</f>
        <v>0.56382864175246206</v>
      </c>
      <c r="M2974" s="4">
        <f>MIN(MAX(M2973*(1+MAX(MIN(((B2974-B2973)/B2973)/($K$7*30),0),-卓尔金历!$M$43))+MIN(MAX(((B2974-B2973)/B2973)/($K$7*7),0),卓尔金历!$M$43),0),1)</f>
        <v>0.82595693294357131</v>
      </c>
      <c r="N2974">
        <f t="shared" si="413"/>
        <v>237385.60805157156</v>
      </c>
      <c r="O2974">
        <f t="shared" si="414"/>
        <v>654097.66123026295</v>
      </c>
      <c r="P2974">
        <f t="shared" si="415"/>
        <v>-1.8588940756764934E-2</v>
      </c>
      <c r="Q2974">
        <f t="shared" si="406"/>
        <v>1.8020475639741834E-2</v>
      </c>
      <c r="R2974">
        <f t="shared" si="407"/>
        <v>1.720101789441765E-2</v>
      </c>
      <c r="S2974">
        <f t="shared" si="409"/>
        <v>1100.2114024225514</v>
      </c>
      <c r="T2974" s="564">
        <f>IF((I2974-MAX(I$470:I2974))/MAX(I$470:I2974)&gt;T2973,T2973,(I2974-MAX(I$470:I2974))/MAX(I$470:I2974))</f>
        <v>-0.91338805338419748</v>
      </c>
      <c r="U2974" s="564">
        <f>IF((J2974-MAX(J$470:J2974))/MAX(J$470:J2974)&gt;U2973,U2973,(J2974-MAX(J$470:J2974))/MAX(J$470:J2974))</f>
        <v>-0.8283551177402233</v>
      </c>
      <c r="V2974" s="564">
        <f>IF((K2974-MAX(K$470:K2974))/MAX(K$470:K2974)&gt;V2973,V2973,(K2974-MAX(K$470:K2974))/MAX(K$470:K2974))</f>
        <v>-0.84885940676762139</v>
      </c>
      <c r="W2974" s="564">
        <f>IF((N2974-MAX(N$470:N2974))/MAX(N$470:N2974)&gt;W2973,W2973,(N2974-MAX(N$470:N2974))/MAX(N$470:N2974))</f>
        <v>-0.62788758315546067</v>
      </c>
      <c r="X2974" s="564">
        <f>IF((O2974-MAX(O$470:O2974))/MAX(O$470:O2974)&gt;X2973,X2973,(O2974-MAX(O$470:O2974))/MAX(O$470:O2974))</f>
        <v>-0.62788758315546067</v>
      </c>
    </row>
    <row r="2975" spans="1:24">
      <c r="A2975" s="799">
        <v>43377</v>
      </c>
      <c r="B2975">
        <v>6597.41</v>
      </c>
      <c r="C2975">
        <v>5853.8439289999997</v>
      </c>
      <c r="D2975">
        <v>1.2976479999999999</v>
      </c>
      <c r="E2975">
        <f>LN(D2975/参数实验室!$E$53)/参数实验室!$E$55</f>
        <v>-0.38557958087058564</v>
      </c>
      <c r="F2975">
        <f t="shared" si="408"/>
        <v>0.88729424562062986</v>
      </c>
      <c r="G2975">
        <f>LN(F2975/参数实验室!$E$58)/参数实验室!$E$59</f>
        <v>-0.2532913470527754</v>
      </c>
      <c r="H2975" s="856">
        <f>INDEX(神经网络!$G$10:$BO$70,MATCH(ROUND(G2975*2,1)/2,神经网络!$E$10:$E$70,0),MATCH(ROUND(E2975*2,1)/2,神经网络!$G$8:$BO$8,0))</f>
        <v>-0.54697219397271091</v>
      </c>
      <c r="I2975">
        <f t="shared" si="410"/>
        <v>577235.86743989214</v>
      </c>
      <c r="J2975">
        <f t="shared" si="411"/>
        <v>2632.540600933718</v>
      </c>
      <c r="K2975">
        <f t="shared" si="412"/>
        <v>219.2695023336606</v>
      </c>
      <c r="L2975" s="4">
        <f>MIN(MAX(L2974*(1+MAX(MIN(((B2975-B2974)/B2974)/($K$7*卓尔金历!$N$40),0),-卓尔金历!$M$43))+MIN(MAX(((B2975-B2974)/B2974)/($K$7*卓尔金历!$N$40),0),卓尔金历!$M$43),0),1)</f>
        <v>0.87724182448089461</v>
      </c>
      <c r="M2975" s="4">
        <f>MIN(MAX(M2974*(1+MAX(MIN(((B2975-B2974)/B2974)/($K$7*30),0),-卓尔金历!$M$43))+MIN(MAX(((B2975-B2974)/B2974)/($K$7*7),0),卓尔金历!$M$43),0),1)</f>
        <v>1</v>
      </c>
      <c r="N2975">
        <f t="shared" si="413"/>
        <v>235883.89156231648</v>
      </c>
      <c r="O2975">
        <f t="shared" si="414"/>
        <v>648036.07302074169</v>
      </c>
      <c r="P2975">
        <f t="shared" si="415"/>
        <v>2.0512622200222694E-2</v>
      </c>
      <c r="Q2975">
        <f t="shared" si="406"/>
        <v>1.7894690465027882E-2</v>
      </c>
      <c r="R2975">
        <f t="shared" si="407"/>
        <v>1.5560025364780405E-2</v>
      </c>
      <c r="S2975">
        <f t="shared" si="409"/>
        <v>1099.9990698020954</v>
      </c>
      <c r="T2975" s="564">
        <f>IF((I2975-MAX(I$470:I2975))/MAX(I$470:I2975)&gt;T2974,T2974,(I2975-MAX(I$470:I2975))/MAX(I$470:I2975))</f>
        <v>-0.91338805338419748</v>
      </c>
      <c r="U2975" s="564">
        <f>IF((J2975-MAX(J$470:J2975))/MAX(J$470:J2975)&gt;U2974,U2974,(J2975-MAX(J$470:J2975))/MAX(J$470:J2975))</f>
        <v>-0.8283551177402233</v>
      </c>
      <c r="V2975" s="564">
        <f>IF((K2975-MAX(K$470:K2975))/MAX(K$470:K2975)&gt;V2974,V2974,(K2975-MAX(K$470:K2975))/MAX(K$470:K2975))</f>
        <v>-0.84885940676762139</v>
      </c>
      <c r="W2975" s="564">
        <f>IF((N2975-MAX(N$470:N2975))/MAX(N$470:N2975)&gt;W2974,W2974,(N2975-MAX(N$470:N2975))/MAX(N$470:N2975))</f>
        <v>-0.62788758315546067</v>
      </c>
      <c r="X2975" s="564">
        <f>IF((O2975-MAX(O$470:O2975))/MAX(O$470:O2975)&gt;X2974,X2974,(O2975-MAX(O$470:O2975))/MAX(O$470:O2975))</f>
        <v>-0.62788758315546067</v>
      </c>
    </row>
    <row r="2976" spans="1:24">
      <c r="A2976" s="799">
        <v>43378</v>
      </c>
      <c r="B2976">
        <v>6574.37</v>
      </c>
      <c r="C2976">
        <v>5863.5072760000003</v>
      </c>
      <c r="D2976">
        <v>1.305566</v>
      </c>
      <c r="E2976">
        <f>LN(D2976/参数实验室!$E$53)/参数实验室!$E$55</f>
        <v>-0.37840282552673593</v>
      </c>
      <c r="F2976">
        <f t="shared" si="408"/>
        <v>0.89187363595295066</v>
      </c>
      <c r="G2976">
        <f>LN(F2976/参数实验室!$E$58)/参数实验室!$E$59</f>
        <v>-0.25058950327132928</v>
      </c>
      <c r="H2976" s="856">
        <f>INDEX(神经网络!$G$10:$BO$70,MATCH(ROUND(G2976*2,1)/2,神经网络!$E$10:$E$70,0),MATCH(ROUND(E2976*2,1)/2,神经网络!$G$8:$BO$8,0))</f>
        <v>-0.54697219397271091</v>
      </c>
      <c r="I2976">
        <f t="shared" si="410"/>
        <v>578338.49173675722</v>
      </c>
      <c r="J2976">
        <f t="shared" si="411"/>
        <v>2623.3470332388933</v>
      </c>
      <c r="K2976">
        <f t="shared" si="412"/>
        <v>220.45824834037168</v>
      </c>
      <c r="L2976" s="4">
        <f>MIN(MAX(L2975*(1+MAX(MIN(((B2976-B2975)/B2975)/($K$7*卓尔金历!$N$40),0),-卓尔金历!$M$43))+MIN(MAX(((B2976-B2975)/B2975)/($K$7*卓尔金历!$N$40),0),卓尔金历!$M$43),0),1)</f>
        <v>0.83043335853326339</v>
      </c>
      <c r="M2976" s="4">
        <f>MIN(MAX(M2975*(1+MAX(MIN(((B2976-B2975)/B2975)/($K$7*30),0),-卓尔金历!$M$43))+MIN(MAX(((B2976-B2975)/B2975)/($K$7*7),0),卓尔金历!$M$43),0),1)</f>
        <v>0.97332065991305761</v>
      </c>
      <c r="N2976">
        <f t="shared" si="413"/>
        <v>236279.15975033533</v>
      </c>
      <c r="O2976">
        <f t="shared" si="414"/>
        <v>649273.93844051671</v>
      </c>
      <c r="P2976">
        <f t="shared" si="415"/>
        <v>-3.4922795460642832E-3</v>
      </c>
      <c r="Q2976">
        <f t="shared" si="406"/>
        <v>1.7349114005133566E-2</v>
      </c>
      <c r="R2976">
        <f t="shared" si="407"/>
        <v>1</v>
      </c>
      <c r="S2976">
        <f t="shared" si="409"/>
        <v>1100.0317644652912</v>
      </c>
      <c r="T2976" s="564">
        <f>IF((I2976-MAX(I$470:I2976))/MAX(I$470:I2976)&gt;T2975,T2975,(I2976-MAX(I$470:I2976))/MAX(I$470:I2976))</f>
        <v>-0.91338805338419748</v>
      </c>
      <c r="U2976" s="564">
        <f>IF((J2976-MAX(J$470:J2976))/MAX(J$470:J2976)&gt;U2975,U2975,(J2976-MAX(J$470:J2976))/MAX(J$470:J2976))</f>
        <v>-0.8283551177402233</v>
      </c>
      <c r="V2976" s="564">
        <f>IF((K2976-MAX(K$470:K2976))/MAX(K$470:K2976)&gt;V2975,V2975,(K2976-MAX(K$470:K2976))/MAX(K$470:K2976))</f>
        <v>-0.84885940676762139</v>
      </c>
      <c r="W2976" s="564">
        <f>IF((N2976-MAX(N$470:N2976))/MAX(N$470:N2976)&gt;W2975,W2975,(N2976-MAX(N$470:N2976))/MAX(N$470:N2976))</f>
        <v>-0.62788758315546067</v>
      </c>
      <c r="X2976" s="564">
        <f>IF((O2976-MAX(O$470:O2976))/MAX(O$470:O2976)&gt;X2975,X2975,(O2976-MAX(O$470:O2976))/MAX(O$470:O2976))</f>
        <v>-0.62788758315546067</v>
      </c>
    </row>
    <row r="2977" spans="1:24">
      <c r="A2977" s="799">
        <v>43379</v>
      </c>
      <c r="B2977">
        <v>6615.01</v>
      </c>
      <c r="C2977">
        <v>5965.3477800000001</v>
      </c>
      <c r="D2977">
        <v>1.298913</v>
      </c>
      <c r="E2977">
        <f>LN(D2977/参数实验室!$E$53)/参数实验室!$E$55</f>
        <v>-0.38443006967350901</v>
      </c>
      <c r="F2977">
        <f t="shared" si="408"/>
        <v>0.90178968436933582</v>
      </c>
      <c r="G2977">
        <f>LN(F2977/参数实验室!$E$58)/参数实验室!$E$59</f>
        <v>-0.24478626130706826</v>
      </c>
      <c r="H2977" s="856">
        <f>INDEX(神经网络!$G$10:$BO$70,MATCH(ROUND(G2977*2,1)/2,神经网络!$E$10:$E$70,0),MATCH(ROUND(E2977*2,1)/2,神经网络!$G$8:$BO$8,0))</f>
        <v>-0.54697219397271091</v>
      </c>
      <c r="I2977">
        <f t="shared" si="410"/>
        <v>576383.04088830738</v>
      </c>
      <c r="J2977">
        <f t="shared" si="411"/>
        <v>2639.5634651450423</v>
      </c>
      <c r="K2977">
        <f t="shared" si="412"/>
        <v>218.36301665004123</v>
      </c>
      <c r="L2977" s="4">
        <f>MIN(MAX(L2976*(1+MAX(MIN(((B2977-B2976)/B2976)/($K$7*卓尔金历!$N$40),0),-卓尔金历!$M$43))+MIN(MAX(((B2977-B2976)/B2976)/($K$7*卓尔金历!$N$40),0),卓尔金历!$M$43),0),1)</f>
        <v>0.92488198261579291</v>
      </c>
      <c r="M2977" s="4">
        <f>MIN(MAX(M2976*(1+MAX(MIN(((B2977-B2976)/B2976)/($K$7*30),0),-卓尔金历!$M$43))+MIN(MAX(((B2977-B2976)/B2976)/($K$7*7),0),卓尔金历!$M$43),0),1)</f>
        <v>1</v>
      </c>
      <c r="N2977">
        <f t="shared" si="413"/>
        <v>235615.72989681404</v>
      </c>
      <c r="O2977">
        <f t="shared" si="414"/>
        <v>647137.21301007736</v>
      </c>
      <c r="P2977">
        <f t="shared" si="415"/>
        <v>6.1815808967247551E-3</v>
      </c>
      <c r="Q2977">
        <f t="shared" si="406"/>
        <v>1.7374759838616773E-2</v>
      </c>
      <c r="R2977">
        <f t="shared" si="407"/>
        <v>1</v>
      </c>
      <c r="S2977">
        <f t="shared" si="409"/>
        <v>1096.3123889129467</v>
      </c>
      <c r="T2977" s="564">
        <f>IF((I2977-MAX(I$470:I2977))/MAX(I$470:I2977)&gt;T2976,T2976,(I2977-MAX(I$470:I2977))/MAX(I$470:I2977))</f>
        <v>-0.91338805338419748</v>
      </c>
      <c r="U2977" s="564">
        <f>IF((J2977-MAX(J$470:J2977))/MAX(J$470:J2977)&gt;U2976,U2976,(J2977-MAX(J$470:J2977))/MAX(J$470:J2977))</f>
        <v>-0.8283551177402233</v>
      </c>
      <c r="V2977" s="564">
        <f>IF((K2977-MAX(K$470:K2977))/MAX(K$470:K2977)&gt;V2976,V2976,(K2977-MAX(K$470:K2977))/MAX(K$470:K2977))</f>
        <v>-0.84885940676762139</v>
      </c>
      <c r="W2977" s="564">
        <f>IF((N2977-MAX(N$470:N2977))/MAX(N$470:N2977)&gt;W2976,W2976,(N2977-MAX(N$470:N2977))/MAX(N$470:N2977))</f>
        <v>-0.62788758315546067</v>
      </c>
      <c r="X2977" s="564">
        <f>IF((O2977-MAX(O$470:O2977))/MAX(O$470:O2977)&gt;X2976,X2976,(O2977-MAX(O$470:O2977))/MAX(O$470:O2977))</f>
        <v>-0.62788758315546067</v>
      </c>
    </row>
    <row r="2978" spans="1:24">
      <c r="A2978" s="799">
        <v>43380</v>
      </c>
      <c r="B2978">
        <v>6557.04</v>
      </c>
      <c r="C2978">
        <v>6008.0095209999999</v>
      </c>
      <c r="D2978">
        <v>1.301758</v>
      </c>
      <c r="E2978">
        <f>LN(D2978/参数实验室!$E$53)/参数实验室!$E$55</f>
        <v>-0.38184889018714174</v>
      </c>
      <c r="F2978">
        <f t="shared" si="408"/>
        <v>0.91626854815587522</v>
      </c>
      <c r="G2978">
        <f>LN(F2978/参数实验室!$E$58)/参数实验室!$E$59</f>
        <v>-0.23642629711363408</v>
      </c>
      <c r="H2978" s="856">
        <f>INDEX(神经网络!$G$10:$BO$70,MATCH(ROUND(G2978*2,1)/2,神经网络!$E$10:$E$70,0),MATCH(ROUND(E2978*2,1)/2,神经网络!$G$8:$BO$8,0))</f>
        <v>-0.54697219397271091</v>
      </c>
      <c r="I2978">
        <f t="shared" si="410"/>
        <v>579145.83955812349</v>
      </c>
      <c r="J2978">
        <f t="shared" si="411"/>
        <v>2616.4319061489928</v>
      </c>
      <c r="K2978">
        <f t="shared" si="412"/>
        <v>221.34947911201019</v>
      </c>
      <c r="L2978" s="4">
        <f>MIN(MAX(L2977*(1+MAX(MIN(((B2978-B2977)/B2977)/($K$7*卓尔金历!$N$40),0),-卓尔金历!$M$43))+MIN(MAX(((B2978-B2977)/B2977)/($K$7*卓尔金历!$N$40),0),卓尔金历!$M$43),0),1)</f>
        <v>0.80104362235421289</v>
      </c>
      <c r="M2978" s="4">
        <f>MIN(MAX(M2977*(1+MAX(MIN(((B2978-B2977)/B2977)/($K$7*30),0),-卓尔金历!$M$43))+MIN(MAX(((B2978-B2977)/B2977)/($K$7*7),0),卓尔金历!$M$43),0),1)</f>
        <v>0.93305180412784405</v>
      </c>
      <c r="N2978">
        <f t="shared" si="413"/>
        <v>236660.27848012248</v>
      </c>
      <c r="O2978">
        <f t="shared" si="414"/>
        <v>650239.16033409524</v>
      </c>
      <c r="P2978">
        <f t="shared" si="415"/>
        <v>-8.7634032299271289E-3</v>
      </c>
      <c r="Q2978">
        <f t="shared" si="406"/>
        <v>1.7455368564754211E-2</v>
      </c>
      <c r="R2978">
        <f t="shared" si="407"/>
        <v>0.71840999215386636</v>
      </c>
      <c r="S2978">
        <f t="shared" si="409"/>
        <v>1101.5673846274694</v>
      </c>
      <c r="T2978" s="564">
        <f>IF((I2978-MAX(I$470:I2978))/MAX(I$470:I2978)&gt;T2977,T2977,(I2978-MAX(I$470:I2978))/MAX(I$470:I2978))</f>
        <v>-0.91338805338419748</v>
      </c>
      <c r="U2978" s="564">
        <f>IF((J2978-MAX(J$470:J2978))/MAX(J$470:J2978)&gt;U2977,U2977,(J2978-MAX(J$470:J2978))/MAX(J$470:J2978))</f>
        <v>-0.8283551177402233</v>
      </c>
      <c r="V2978" s="564">
        <f>IF((K2978-MAX(K$470:K2978))/MAX(K$470:K2978)&gt;V2977,V2977,(K2978-MAX(K$470:K2978))/MAX(K$470:K2978))</f>
        <v>-0.84885940676762139</v>
      </c>
      <c r="W2978" s="564">
        <f>IF((N2978-MAX(N$470:N2978))/MAX(N$470:N2978)&gt;W2977,W2977,(N2978-MAX(N$470:N2978))/MAX(N$470:N2978))</f>
        <v>-0.62788758315546067</v>
      </c>
      <c r="X2978" s="564">
        <f>IF((O2978-MAX(O$470:O2978))/MAX(O$470:O2978)&gt;X2977,X2977,(O2978-MAX(O$470:O2978))/MAX(O$470:O2978))</f>
        <v>-0.62788758315546067</v>
      </c>
    </row>
    <row r="2979" spans="1:24">
      <c r="A2979" s="799">
        <v>43381</v>
      </c>
      <c r="B2979">
        <v>6581.04</v>
      </c>
      <c r="C2979">
        <v>6071.6616629999999</v>
      </c>
      <c r="D2979">
        <v>1.309607</v>
      </c>
      <c r="E2979">
        <f>LN(D2979/参数实验室!$E$53)/参数实验室!$E$55</f>
        <v>-0.37475688190982659</v>
      </c>
      <c r="F2979">
        <f t="shared" si="408"/>
        <v>0.92259911245031179</v>
      </c>
      <c r="G2979">
        <f>LN(F2979/参数实验室!$E$58)/参数实验室!$E$59</f>
        <v>-0.23281251297621544</v>
      </c>
      <c r="H2979" s="856">
        <f>INDEX(神经网络!$G$10:$BO$70,MATCH(ROUND(G2979*2,1)/2,神经网络!$E$10:$E$70,0),MATCH(ROUND(E2979*2,1)/2,神经网络!$G$8:$BO$8,0))</f>
        <v>-0.51075529571207356</v>
      </c>
      <c r="I2979">
        <f t="shared" si="410"/>
        <v>577986.37734776048</v>
      </c>
      <c r="J2979">
        <f t="shared" si="411"/>
        <v>2626.0085391644352</v>
      </c>
      <c r="K2979">
        <f t="shared" si="412"/>
        <v>220.10072272334227</v>
      </c>
      <c r="L2979" s="4">
        <f>MIN(MAX(L2978*(1+MAX(MIN(((B2979-B2978)/B2978)/($K$7*卓尔金历!$N$40),0),-卓尔金历!$M$43))+MIN(MAX(((B2979-B2978)/B2978)/($K$7*卓尔金历!$N$40),0),卓尔金历!$M$43),0),1)</f>
        <v>0.85696778461689638</v>
      </c>
      <c r="M2979" s="4">
        <f>MIN(MAX(M2978*(1+MAX(MIN(((B2979-B2978)/B2978)/($K$7*30),0),-卓尔金历!$M$43))+MIN(MAX(((B2979-B2978)/B2978)/($K$7*7),0),卓尔金历!$M$43),0),1)</f>
        <v>1</v>
      </c>
      <c r="N2979">
        <f t="shared" si="413"/>
        <v>236280.74490977734</v>
      </c>
      <c r="O2979">
        <f t="shared" si="414"/>
        <v>649024.52045508672</v>
      </c>
      <c r="P2979">
        <f t="shared" si="415"/>
        <v>3.6601881336700707E-3</v>
      </c>
      <c r="Q2979">
        <f t="shared" si="406"/>
        <v>1.7454458838368044E-2</v>
      </c>
      <c r="R2979">
        <f t="shared" si="407"/>
        <v>1</v>
      </c>
      <c r="S2979">
        <f t="shared" si="409"/>
        <v>1099.9830311163184</v>
      </c>
      <c r="T2979" s="564">
        <f>IF((I2979-MAX(I$470:I2979))/MAX(I$470:I2979)&gt;T2978,T2978,(I2979-MAX(I$470:I2979))/MAX(I$470:I2979))</f>
        <v>-0.91338805338419748</v>
      </c>
      <c r="U2979" s="564">
        <f>IF((J2979-MAX(J$470:J2979))/MAX(J$470:J2979)&gt;U2978,U2978,(J2979-MAX(J$470:J2979))/MAX(J$470:J2979))</f>
        <v>-0.8283551177402233</v>
      </c>
      <c r="V2979" s="564">
        <f>IF((K2979-MAX(K$470:K2979))/MAX(K$470:K2979)&gt;V2978,V2978,(K2979-MAX(K$470:K2979))/MAX(K$470:K2979))</f>
        <v>-0.84885940676762139</v>
      </c>
      <c r="W2979" s="564">
        <f>IF((N2979-MAX(N$470:N2979))/MAX(N$470:N2979)&gt;W2978,W2978,(N2979-MAX(N$470:N2979))/MAX(N$470:N2979))</f>
        <v>-0.62788758315546067</v>
      </c>
      <c r="X2979" s="564">
        <f>IF((O2979-MAX(O$470:O2979))/MAX(O$470:O2979)&gt;X2978,X2978,(O2979-MAX(O$470:O2979))/MAX(O$470:O2979))</f>
        <v>-0.62788758315546067</v>
      </c>
    </row>
    <row r="2980" spans="1:24">
      <c r="A2980" s="799">
        <v>43382</v>
      </c>
      <c r="B2980">
        <v>6635.56</v>
      </c>
      <c r="C2980">
        <v>6212.4618989999999</v>
      </c>
      <c r="D2980">
        <v>1.3069630000000001</v>
      </c>
      <c r="E2980">
        <f>LN(D2980/参数实验室!$E$53)/参数实验室!$E$55</f>
        <v>-0.3771411243636752</v>
      </c>
      <c r="F2980">
        <f t="shared" si="408"/>
        <v>0.93623777028615518</v>
      </c>
      <c r="G2980">
        <f>LN(F2980/参数实验室!$E$58)/参数实验室!$E$59</f>
        <v>-0.22511045667146679</v>
      </c>
      <c r="H2980" s="856">
        <f>INDEX(神经网络!$G$10:$BO$70,MATCH(ROUND(G2980*2,1)/2,神经网络!$E$10:$E$70,0),MATCH(ROUND(E2980*2,1)/2,神经网络!$G$8:$BO$8,0))</f>
        <v>-0.54697219397271091</v>
      </c>
      <c r="I2980">
        <f t="shared" si="410"/>
        <v>575540.74146651512</v>
      </c>
      <c r="J2980">
        <f t="shared" si="411"/>
        <v>2647.7634571645153</v>
      </c>
      <c r="K2980">
        <f t="shared" si="412"/>
        <v>217.36863990216881</v>
      </c>
      <c r="L2980" s="4">
        <f>MIN(MAX(L2979*(1+MAX(MIN(((B2980-B2979)/B2979)/($K$7*卓尔金历!$N$40),0),-卓尔金历!$M$43))+MIN(MAX(((B2980-B2979)/B2979)/($K$7*卓尔金历!$N$40),0),卓尔金历!$M$43),0),1)</f>
        <v>0.98354554148661233</v>
      </c>
      <c r="M2980" s="4">
        <f>MIN(MAX(M2979*(1+MAX(MIN(((B2980-B2979)/B2979)/($K$7*30),0),-卓尔金历!$M$43))+MIN(MAX(((B2980-B2979)/B2979)/($K$7*7),0),卓尔金历!$M$43),0),1)</f>
        <v>1</v>
      </c>
      <c r="N2980">
        <f t="shared" si="413"/>
        <v>235423.96944267728</v>
      </c>
      <c r="O2980">
        <f t="shared" si="414"/>
        <v>646278.30061800906</v>
      </c>
      <c r="P2980">
        <f t="shared" si="415"/>
        <v>8.2844048964905905E-3</v>
      </c>
      <c r="Q2980">
        <f t="shared" si="406"/>
        <v>1.5914062729083901E-2</v>
      </c>
      <c r="R2980">
        <f t="shared" si="407"/>
        <v>0.68167757179020982</v>
      </c>
      <c r="S2980">
        <f t="shared" si="409"/>
        <v>1095.3286688768421</v>
      </c>
      <c r="T2980" s="564">
        <f>IF((I2980-MAX(I$470:I2980))/MAX(I$470:I2980)&gt;T2979,T2979,(I2980-MAX(I$470:I2980))/MAX(I$470:I2980))</f>
        <v>-0.91338805338419748</v>
      </c>
      <c r="U2980" s="564">
        <f>IF((J2980-MAX(J$470:J2980))/MAX(J$470:J2980)&gt;U2979,U2979,(J2980-MAX(J$470:J2980))/MAX(J$470:J2980))</f>
        <v>-0.8283551177402233</v>
      </c>
      <c r="V2980" s="564">
        <f>IF((K2980-MAX(K$470:K2980))/MAX(K$470:K2980)&gt;V2979,V2979,(K2980-MAX(K$470:K2980))/MAX(K$470:K2980))</f>
        <v>-0.84885940676762139</v>
      </c>
      <c r="W2980" s="564">
        <f>IF((N2980-MAX(N$470:N2980))/MAX(N$470:N2980)&gt;W2979,W2979,(N2980-MAX(N$470:N2980))/MAX(N$470:N2980))</f>
        <v>-0.62788758315546067</v>
      </c>
      <c r="X2980" s="564">
        <f>IF((O2980-MAX(O$470:O2980))/MAX(O$470:O2980)&gt;X2979,X2979,(O2980-MAX(O$470:O2980))/MAX(O$470:O2980))</f>
        <v>-0.62788758315546067</v>
      </c>
    </row>
    <row r="2981" spans="1:24">
      <c r="A2981" s="799">
        <v>43383</v>
      </c>
      <c r="B2981">
        <v>6573.1</v>
      </c>
      <c r="C2981">
        <v>6176.18372</v>
      </c>
      <c r="D2981">
        <v>1.2949310000000001</v>
      </c>
      <c r="E2981">
        <f>LN(D2981/参数实验室!$E$53)/参数实验室!$E$55</f>
        <v>-0.3880523238322085</v>
      </c>
      <c r="F2981">
        <f t="shared" si="408"/>
        <v>0.93961505530115164</v>
      </c>
      <c r="G2981">
        <f>LN(F2981/参数实验室!$E$58)/参数实验室!$E$59</f>
        <v>-0.22322056042179994</v>
      </c>
      <c r="H2981" s="856">
        <f>INDEX(神经网络!$G$10:$BO$70,MATCH(ROUND(G2981*2,1)/2,神经网络!$E$10:$E$70,0),MATCH(ROUND(E2981*2,1)/2,神经网络!$G$8:$BO$8,0))</f>
        <v>-0.47127462620209248</v>
      </c>
      <c r="I2981">
        <f t="shared" si="410"/>
        <v>578503.97391242103</v>
      </c>
      <c r="J2981">
        <f t="shared" si="411"/>
        <v>2622.8402697418269</v>
      </c>
      <c r="K2981">
        <f t="shared" si="412"/>
        <v>220.56393619782446</v>
      </c>
      <c r="L2981" s="4">
        <f>MIN(MAX(L2980*(1+MAX(MIN(((B2981-B2980)/B2980)/($K$7*卓尔金历!$N$40),0),-卓尔金历!$M$43))+MIN(MAX(((B2981-B2980)/B2980)/($K$7*卓尔金历!$N$40),0),卓尔金历!$M$43),0),1)</f>
        <v>0.84209163300561318</v>
      </c>
      <c r="M2981" s="4">
        <f>MIN(MAX(M2980*(1+MAX(MIN(((B2981-B2980)/B2980)/($K$7*30),0),-卓尔金历!$M$43))+MIN(MAX(((B2981-B2980)/B2980)/($K$7*7),0),卓尔金历!$M$43),0),1)</f>
        <v>0.92808980239634153</v>
      </c>
      <c r="N2981">
        <f t="shared" si="413"/>
        <v>236616.13014085178</v>
      </c>
      <c r="O2981">
        <f t="shared" si="414"/>
        <v>649605.73287692515</v>
      </c>
      <c r="P2981">
        <f t="shared" si="415"/>
        <v>-9.4129206879298849E-3</v>
      </c>
      <c r="Q2981">
        <f t="shared" si="406"/>
        <v>1.6039214388429895E-2</v>
      </c>
      <c r="R2981">
        <f t="shared" si="407"/>
        <v>0.5573488517870101</v>
      </c>
      <c r="S2981">
        <f t="shared" si="409"/>
        <v>1099.1729320267591</v>
      </c>
      <c r="T2981" s="564">
        <f>IF((I2981-MAX(I$470:I2981))/MAX(I$470:I2981)&gt;T2980,T2980,(I2981-MAX(I$470:I2981))/MAX(I$470:I2981))</f>
        <v>-0.91338805338419748</v>
      </c>
      <c r="U2981" s="564">
        <f>IF((J2981-MAX(J$470:J2981))/MAX(J$470:J2981)&gt;U2980,U2980,(J2981-MAX(J$470:J2981))/MAX(J$470:J2981))</f>
        <v>-0.8283551177402233</v>
      </c>
      <c r="V2981" s="564">
        <f>IF((K2981-MAX(K$470:K2981))/MAX(K$470:K2981)&gt;V2980,V2980,(K2981-MAX(K$470:K2981))/MAX(K$470:K2981))</f>
        <v>-0.84885940676762139</v>
      </c>
      <c r="W2981" s="564">
        <f>IF((N2981-MAX(N$470:N2981))/MAX(N$470:N2981)&gt;W2980,W2980,(N2981-MAX(N$470:N2981))/MAX(N$470:N2981))</f>
        <v>-0.62788758315546067</v>
      </c>
      <c r="X2981" s="564">
        <f>IF((O2981-MAX(O$470:O2981))/MAX(O$470:O2981)&gt;X2980,X2980,(O2981-MAX(O$470:O2981))/MAX(O$470:O2981))</f>
        <v>-0.62788758315546067</v>
      </c>
    </row>
    <row r="2982" spans="1:24">
      <c r="A2982" s="799">
        <v>43384</v>
      </c>
      <c r="B2982">
        <v>6284.12</v>
      </c>
      <c r="C2982">
        <v>6102.6845110000004</v>
      </c>
      <c r="D2982">
        <v>1.2274119999999999</v>
      </c>
      <c r="E2982">
        <f>LN(D2982/参数实验室!$E$53)/参数实验室!$E$55</f>
        <v>-0.45122754870821447</v>
      </c>
      <c r="F2982">
        <f t="shared" si="408"/>
        <v>0.9711279401093551</v>
      </c>
      <c r="G2982">
        <f>LN(F2982/参数实验室!$E$58)/参数实验室!$E$59</f>
        <v>-0.20590670409317682</v>
      </c>
      <c r="H2982" s="856">
        <f>INDEX(神经网络!$G$10:$BO$70,MATCH(ROUND(G2982*2,1)/2,神经网络!$E$10:$E$70,0),MATCH(ROUND(E2982*2,1)/2,神经网络!$G$8:$BO$8,0))</f>
        <v>-0.50364904160200485</v>
      </c>
      <c r="I2982">
        <f t="shared" si="410"/>
        <v>590490.07542449853</v>
      </c>
      <c r="J2982">
        <f t="shared" si="411"/>
        <v>2507.5296277083885</v>
      </c>
      <c r="K2982">
        <f t="shared" si="412"/>
        <v>235.48677905917415</v>
      </c>
      <c r="L2982" s="4">
        <f>MIN(MAX(L2981*(1+MAX(MIN(((B2982-B2981)/B2981)/($K$7*卓尔金历!$N$40),0),-卓尔金历!$M$43))+MIN(MAX(((B2982-B2981)/B2981)/($K$7*卓尔金历!$N$40),0),卓尔金历!$M$43),0),1)</f>
        <v>0.27643487781273907</v>
      </c>
      <c r="M2982" s="4">
        <f>MIN(MAX(M2981*(1+MAX(MIN(((B2982-B2981)/B2981)/($K$7*30),0),-卓尔金历!$M$43))+MIN(MAX(((B2982-B2981)/B2981)/($K$7*7),0),卓尔金历!$M$43),0),1)</f>
        <v>0.61637772405794355</v>
      </c>
      <c r="N2982">
        <f t="shared" si="413"/>
        <v>240744.46868449412</v>
      </c>
      <c r="O2982">
        <f t="shared" si="414"/>
        <v>662097.14262946637</v>
      </c>
      <c r="P2982">
        <f t="shared" si="415"/>
        <v>-4.3964035234516509E-2</v>
      </c>
      <c r="Q2982">
        <f t="shared" si="406"/>
        <v>1.8621399597767332E-2</v>
      </c>
      <c r="R2982">
        <f t="shared" si="407"/>
        <v>2.2605591248793981E-3</v>
      </c>
      <c r="S2982">
        <f t="shared" si="409"/>
        <v>1111.8659454889028</v>
      </c>
      <c r="T2982" s="564">
        <f>IF((I2982-MAX(I$470:I2982))/MAX(I$470:I2982)&gt;T2981,T2981,(I2982-MAX(I$470:I2982))/MAX(I$470:I2982))</f>
        <v>-0.91338805338419748</v>
      </c>
      <c r="U2982" s="564">
        <f>IF((J2982-MAX(J$470:J2982))/MAX(J$470:J2982)&gt;U2981,U2981,(J2982-MAX(J$470:J2982))/MAX(J$470:J2982))</f>
        <v>-0.8283551177402233</v>
      </c>
      <c r="V2982" s="564">
        <f>IF((K2982-MAX(K$470:K2982))/MAX(K$470:K2982)&gt;V2981,V2981,(K2982-MAX(K$470:K2982))/MAX(K$470:K2982))</f>
        <v>-0.84885940676762139</v>
      </c>
      <c r="W2982" s="564">
        <f>IF((N2982-MAX(N$470:N2982))/MAX(N$470:N2982)&gt;W2981,W2981,(N2982-MAX(N$470:N2982))/MAX(N$470:N2982))</f>
        <v>-0.62788758315546067</v>
      </c>
      <c r="X2982" s="564">
        <f>IF((O2982-MAX(O$470:O2982))/MAX(O$470:O2982)&gt;X2981,X2981,(O2982-MAX(O$470:O2982))/MAX(O$470:O2982))</f>
        <v>-0.62788758315546067</v>
      </c>
    </row>
    <row r="2983" spans="1:24">
      <c r="A2983" s="799">
        <v>43385</v>
      </c>
      <c r="B2983">
        <v>6278.36</v>
      </c>
      <c r="C2983">
        <v>6257.35466</v>
      </c>
      <c r="D2983">
        <v>1.234381</v>
      </c>
      <c r="E2983">
        <f>LN(D2983/参数实验室!$E$53)/参数实验室!$E$55</f>
        <v>-0.44454809002125745</v>
      </c>
      <c r="F2983">
        <f t="shared" si="408"/>
        <v>0.99665432692613998</v>
      </c>
      <c r="G2983">
        <f>LN(F2983/参数实验室!$E$58)/参数实验室!$E$59</f>
        <v>-0.19228895874573362</v>
      </c>
      <c r="H2983" s="856">
        <f>INDEX(神经网络!$G$10:$BO$70,MATCH(ROUND(G2983*2,1)/2,神经网络!$E$10:$E$70,0),MATCH(ROUND(E2983*2,1)/2,神经网络!$G$8:$BO$8,0))</f>
        <v>-0.50364904160200485</v>
      </c>
      <c r="I2983">
        <f t="shared" si="410"/>
        <v>590762.67089066457</v>
      </c>
      <c r="J2983">
        <f t="shared" si="411"/>
        <v>2505.2312357846822</v>
      </c>
      <c r="K2983">
        <f t="shared" si="412"/>
        <v>235.81163385328276</v>
      </c>
      <c r="L2983" s="4">
        <f>MIN(MAX(L2982*(1+MAX(MIN(((B2983-B2982)/B2982)/($K$7*卓尔金历!$N$40),0),-卓尔金历!$M$43))+MIN(MAX(((B2983-B2982)/B2982)/($K$7*卓尔金历!$N$40),0),卓尔金历!$M$43),0),1)</f>
        <v>0.27256348776422917</v>
      </c>
      <c r="M2983" s="4">
        <f>MIN(MAX(M2982*(1+MAX(MIN(((B2983-B2982)/B2982)/($K$7*30),0),-卓尔金历!$M$43))+MIN(MAX(((B2983-B2982)/B2982)/($K$7*7),0),卓尔金历!$M$43),0),1)</f>
        <v>0.61206162869775971</v>
      </c>
      <c r="N2983">
        <f t="shared" si="413"/>
        <v>240775.19108740275</v>
      </c>
      <c r="O2983">
        <f t="shared" si="414"/>
        <v>662285.53992935107</v>
      </c>
      <c r="P2983">
        <f t="shared" si="415"/>
        <v>-9.1659611847008302E-4</v>
      </c>
      <c r="Q2983">
        <f t="shared" si="406"/>
        <v>1.5345427209489376E-2</v>
      </c>
      <c r="R2983">
        <f t="shared" si="407"/>
        <v>1</v>
      </c>
      <c r="S2983">
        <f t="shared" si="409"/>
        <v>1111.8671057996767</v>
      </c>
      <c r="T2983" s="564">
        <f>IF((I2983-MAX(I$470:I2983))/MAX(I$470:I2983)&gt;T2982,T2982,(I2983-MAX(I$470:I2983))/MAX(I$470:I2983))</f>
        <v>-0.91338805338419748</v>
      </c>
      <c r="U2983" s="564">
        <f>IF((J2983-MAX(J$470:J2983))/MAX(J$470:J2983)&gt;U2982,U2982,(J2983-MAX(J$470:J2983))/MAX(J$470:J2983))</f>
        <v>-0.8283551177402233</v>
      </c>
      <c r="V2983" s="564">
        <f>IF((K2983-MAX(K$470:K2983))/MAX(K$470:K2983)&gt;V2982,V2982,(K2983-MAX(K$470:K2983))/MAX(K$470:K2983))</f>
        <v>-0.84885940676762139</v>
      </c>
      <c r="W2983" s="564">
        <f>IF((N2983-MAX(N$470:N2983))/MAX(N$470:N2983)&gt;W2982,W2982,(N2983-MAX(N$470:N2983))/MAX(N$470:N2983))</f>
        <v>-0.62788758315546067</v>
      </c>
      <c r="X2983" s="564">
        <f>IF((O2983-MAX(O$470:O2983))/MAX(O$470:O2983)&gt;X2982,X2982,(O2983-MAX(O$470:O2983))/MAX(O$470:O2983))</f>
        <v>-0.62788758315546067</v>
      </c>
    </row>
    <row r="2984" spans="1:24">
      <c r="A2984" s="799">
        <v>43386</v>
      </c>
      <c r="B2984">
        <v>6305.39</v>
      </c>
      <c r="C2984">
        <v>6289.6975519999996</v>
      </c>
      <c r="D2984">
        <v>1.2359530000000001</v>
      </c>
      <c r="E2984">
        <f>LN(D2984/参数实验室!$E$53)/参数实验室!$E$55</f>
        <v>-0.44304661503863862</v>
      </c>
      <c r="F2984">
        <f t="shared" si="408"/>
        <v>0.99751126448958738</v>
      </c>
      <c r="G2984">
        <f>LN(F2984/参数实验室!$E$58)/参数实验室!$E$59</f>
        <v>-0.19183787567172533</v>
      </c>
      <c r="H2984" s="856">
        <f>INDEX(神经网络!$G$10:$BO$70,MATCH(ROUND(G2984*2,1)/2,神经网络!$E$10:$E$70,0),MATCH(ROUND(E2984*2,1)/2,神经网络!$G$8:$BO$8,0))</f>
        <v>-0.50364904160200485</v>
      </c>
      <c r="I2984">
        <f t="shared" si="410"/>
        <v>589481.69519911218</v>
      </c>
      <c r="J2984">
        <f t="shared" si="411"/>
        <v>2516.0169187183242</v>
      </c>
      <c r="K2984">
        <f t="shared" si="412"/>
        <v>234.29162610694928</v>
      </c>
      <c r="L2984" s="4">
        <f>MIN(MAX(L2983*(1+MAX(MIN(((B2984-B2983)/B2983)/($K$7*卓尔金历!$N$40),0),-卓尔金历!$M$43))+MIN(MAX(((B2984-B2983)/B2983)/($K$7*卓尔金历!$N$40),0),卓尔金历!$M$43),0),1)</f>
        <v>0.33834379683370486</v>
      </c>
      <c r="M2984" s="4">
        <f>MIN(MAX(M2983*(1+MAX(MIN(((B2984-B2983)/B2983)/($K$7*30),0),-卓尔金历!$M$43))+MIN(MAX(((B2984-B2983)/B2983)/($K$7*7),0),卓尔金历!$M$43),0),1)</f>
        <v>0.75301943384663617</v>
      </c>
      <c r="N2984">
        <f t="shared" si="413"/>
        <v>240632.89031506723</v>
      </c>
      <c r="O2984">
        <f t="shared" si="414"/>
        <v>661406.58163312229</v>
      </c>
      <c r="P2984">
        <f t="shared" si="415"/>
        <v>4.3052644321129492E-3</v>
      </c>
      <c r="Q2984">
        <f t="shared" si="406"/>
        <v>1.5423959391059205E-2</v>
      </c>
      <c r="R2984">
        <f t="shared" si="407"/>
        <v>1</v>
      </c>
      <c r="S2984">
        <f t="shared" si="409"/>
        <v>1109.4561973165478</v>
      </c>
      <c r="T2984" s="564">
        <f>IF((I2984-MAX(I$470:I2984))/MAX(I$470:I2984)&gt;T2983,T2983,(I2984-MAX(I$470:I2984))/MAX(I$470:I2984))</f>
        <v>-0.91338805338419748</v>
      </c>
      <c r="U2984" s="564">
        <f>IF((J2984-MAX(J$470:J2984))/MAX(J$470:J2984)&gt;U2983,U2983,(J2984-MAX(J$470:J2984))/MAX(J$470:J2984))</f>
        <v>-0.8283551177402233</v>
      </c>
      <c r="V2984" s="564">
        <f>IF((K2984-MAX(K$470:K2984))/MAX(K$470:K2984)&gt;V2983,V2983,(K2984-MAX(K$470:K2984))/MAX(K$470:K2984))</f>
        <v>-0.84885940676762139</v>
      </c>
      <c r="W2984" s="564">
        <f>IF((N2984-MAX(N$470:N2984))/MAX(N$470:N2984)&gt;W2983,W2983,(N2984-MAX(N$470:N2984))/MAX(N$470:N2984))</f>
        <v>-0.62788758315546067</v>
      </c>
      <c r="X2984" s="564">
        <f>IF((O2984-MAX(O$470:O2984))/MAX(O$470:O2984)&gt;X2983,X2983,(O2984-MAX(O$470:O2984))/MAX(O$470:O2984))</f>
        <v>-0.62788758315546067</v>
      </c>
    </row>
    <row r="2985" spans="1:24">
      <c r="A2985" s="799">
        <v>43387</v>
      </c>
      <c r="B2985">
        <v>6309.65</v>
      </c>
      <c r="C2985">
        <v>6370.2234760000001</v>
      </c>
      <c r="D2985">
        <v>1.233487</v>
      </c>
      <c r="E2985">
        <f>LN(D2985/参数实验室!$E$53)/参数实验室!$E$55</f>
        <v>-0.44540283545030562</v>
      </c>
      <c r="F2985">
        <f t="shared" si="408"/>
        <v>1.0096001324954633</v>
      </c>
      <c r="G2985">
        <f>LN(F2985/参数实验室!$E$58)/参数实验室!$E$59</f>
        <v>-0.18551538855480049</v>
      </c>
      <c r="H2985" s="856">
        <f>INDEX(神经网络!$G$10:$BO$70,MATCH(ROUND(G2985*2,1)/2,神经网络!$E$10:$E$70,0),MATCH(ROUND(E2985*2,1)/2,神经网络!$G$8:$BO$8,0))</f>
        <v>-0.50364904160200485</v>
      </c>
      <c r="I2985">
        <f t="shared" si="410"/>
        <v>589281.11134070985</v>
      </c>
      <c r="J2985">
        <f t="shared" si="411"/>
        <v>2517.7167710785648</v>
      </c>
      <c r="K2985">
        <f t="shared" si="412"/>
        <v>234.05377368490409</v>
      </c>
      <c r="L2985" s="4">
        <f>MIN(MAX(L2984*(1+MAX(MIN(((B2985-B2984)/B2984)/($K$7*卓尔金历!$N$40),0),-卓尔金历!$M$43))+MIN(MAX(((B2985-B2984)/B2984)/($K$7*卓尔金历!$N$40),0),卓尔金历!$M$43),0),1)</f>
        <v>0.34866650676660438</v>
      </c>
      <c r="M2985" s="4">
        <f>MIN(MAX(M2984*(1+MAX(MIN(((B2985-B2984)/B2984)/($K$7*30),0),-卓尔金历!$M$43))+MIN(MAX(((B2985-B2984)/B2984)/($K$7*7),0),卓尔金历!$M$43),0),1)</f>
        <v>0.7751395265599923</v>
      </c>
      <c r="N2985">
        <f t="shared" si="413"/>
        <v>240605.18654567769</v>
      </c>
      <c r="O2985">
        <f t="shared" si="414"/>
        <v>661237.10869682417</v>
      </c>
      <c r="P2985">
        <f t="shared" si="415"/>
        <v>6.7561245220348128E-4</v>
      </c>
      <c r="Q2985">
        <f t="shared" si="406"/>
        <v>1.5166999404437441E-2</v>
      </c>
      <c r="R2985">
        <f t="shared" si="407"/>
        <v>1</v>
      </c>
      <c r="S2985">
        <f t="shared" si="409"/>
        <v>1109.0786809210456</v>
      </c>
      <c r="T2985" s="564">
        <f>IF((I2985-MAX(I$470:I2985))/MAX(I$470:I2985)&gt;T2984,T2984,(I2985-MAX(I$470:I2985))/MAX(I$470:I2985))</f>
        <v>-0.91338805338419748</v>
      </c>
      <c r="U2985" s="564">
        <f>IF((J2985-MAX(J$470:J2985))/MAX(J$470:J2985)&gt;U2984,U2984,(J2985-MAX(J$470:J2985))/MAX(J$470:J2985))</f>
        <v>-0.8283551177402233</v>
      </c>
      <c r="V2985" s="564">
        <f>IF((K2985-MAX(K$470:K2985))/MAX(K$470:K2985)&gt;V2984,V2984,(K2985-MAX(K$470:K2985))/MAX(K$470:K2985))</f>
        <v>-0.84885940676762139</v>
      </c>
      <c r="W2985" s="564">
        <f>IF((N2985-MAX(N$470:N2985))/MAX(N$470:N2985)&gt;W2984,W2984,(N2985-MAX(N$470:N2985))/MAX(N$470:N2985))</f>
        <v>-0.62788758315546067</v>
      </c>
      <c r="X2985" s="564">
        <f>IF((O2985-MAX(O$470:O2985))/MAX(O$470:O2985)&gt;X2984,X2984,(O2985-MAX(O$470:O2985))/MAX(O$470:O2985))</f>
        <v>-0.62788758315546067</v>
      </c>
    </row>
    <row r="2986" spans="1:24">
      <c r="A2986" s="799">
        <v>43388</v>
      </c>
      <c r="B2986">
        <v>6602.71</v>
      </c>
      <c r="C2986">
        <v>6276.3292090000004</v>
      </c>
      <c r="D2986">
        <v>1.2852650000000001</v>
      </c>
      <c r="E2986">
        <f>LN(D2986/参数实验室!$E$53)/参数实验室!$E$55</f>
        <v>-0.39689161216771357</v>
      </c>
      <c r="F2986">
        <f t="shared" si="408"/>
        <v>0.95056866180704591</v>
      </c>
      <c r="G2986">
        <f>LN(F2986/参数实验室!$E$58)/参数实验室!$E$59</f>
        <v>-0.2171374384850665</v>
      </c>
      <c r="H2986" s="856">
        <f>INDEX(神经网络!$G$10:$BO$70,MATCH(ROUND(G2986*2,1)/2,神经网络!$E$10:$E$70,0),MATCH(ROUND(E2986*2,1)/2,神经网络!$G$8:$BO$8,0))</f>
        <v>-0.47127462620209248</v>
      </c>
      <c r="I2986">
        <f t="shared" si="410"/>
        <v>575496.26884206652</v>
      </c>
      <c r="J2986">
        <f t="shared" si="411"/>
        <v>2634.6554407246285</v>
      </c>
      <c r="K2986">
        <f t="shared" si="412"/>
        <v>218.43321898812832</v>
      </c>
      <c r="L2986" s="4">
        <f>MIN(MAX(L2985*(1+MAX(MIN(((B2986-B2985)/B2985)/($K$7*卓尔金历!$N$40),0),-卓尔金历!$M$43))+MIN(MAX(((B2986-B2985)/B2985)/($K$7*卓尔金历!$N$40),0),卓尔金历!$M$43),0),1)</f>
        <v>1</v>
      </c>
      <c r="M2986" s="4">
        <f>MIN(MAX(M2985*(1+MAX(MIN(((B2986-B2985)/B2985)/($K$7*30),0),-卓尔金历!$M$43))+MIN(MAX(((B2986-B2985)/B2985)/($K$7*7),0),卓尔金历!$M$43),0),1)</f>
        <v>1</v>
      </c>
      <c r="N2986">
        <f t="shared" si="413"/>
        <v>238642.75505939164</v>
      </c>
      <c r="O2986">
        <f t="shared" si="414"/>
        <v>649247.18582523277</v>
      </c>
      <c r="P2986">
        <f t="shared" si="415"/>
        <v>4.6446316356691802E-2</v>
      </c>
      <c r="Q2986">
        <f t="shared" si="406"/>
        <v>1.7953924630016705E-2</v>
      </c>
      <c r="R2986">
        <f t="shared" si="407"/>
        <v>7.5094202352164242E-4</v>
      </c>
      <c r="S2986">
        <f t="shared" si="409"/>
        <v>1083.1343995910095</v>
      </c>
      <c r="T2986" s="564">
        <f>IF((I2986-MAX(I$470:I2986))/MAX(I$470:I2986)&gt;T2985,T2985,(I2986-MAX(I$470:I2986))/MAX(I$470:I2986))</f>
        <v>-0.91338805338419748</v>
      </c>
      <c r="U2986" s="564">
        <f>IF((J2986-MAX(J$470:J2986))/MAX(J$470:J2986)&gt;U2985,U2985,(J2986-MAX(J$470:J2986))/MAX(J$470:J2986))</f>
        <v>-0.8283551177402233</v>
      </c>
      <c r="V2986" s="564">
        <f>IF((K2986-MAX(K$470:K2986))/MAX(K$470:K2986)&gt;V2985,V2985,(K2986-MAX(K$470:K2986))/MAX(K$470:K2986))</f>
        <v>-0.84885940676762139</v>
      </c>
      <c r="W2986" s="564">
        <f>IF((N2986-MAX(N$470:N2986))/MAX(N$470:N2986)&gt;W2985,W2985,(N2986-MAX(N$470:N2986))/MAX(N$470:N2986))</f>
        <v>-0.62788758315546067</v>
      </c>
      <c r="X2986" s="564">
        <f>IF((O2986-MAX(O$470:O2986))/MAX(O$470:O2986)&gt;X2985,X2985,(O2986-MAX(O$470:O2986))/MAX(O$470:O2986))</f>
        <v>-0.62788758315546067</v>
      </c>
    </row>
    <row r="2987" spans="1:24">
      <c r="A2987" s="799">
        <v>43389</v>
      </c>
      <c r="B2987">
        <v>6601.22</v>
      </c>
      <c r="C2987">
        <v>6295.6391299999996</v>
      </c>
      <c r="D2987">
        <v>1.289893</v>
      </c>
      <c r="E2987">
        <f>LN(D2987/参数实验室!$E$53)/参数实验室!$E$55</f>
        <v>-0.39265117030644858</v>
      </c>
      <c r="F2987">
        <f t="shared" si="408"/>
        <v>0.95370842510929787</v>
      </c>
      <c r="G2987">
        <f>LN(F2987/参数实验室!$E$58)/参数实验室!$E$59</f>
        <v>-0.21540668305232696</v>
      </c>
      <c r="H2987" s="856">
        <f>INDEX(神经网络!$G$10:$BO$70,MATCH(ROUND(G2987*2,1)/2,神经网络!$E$10:$E$70,0),MATCH(ROUND(E2987*2,1)/2,神经网络!$G$8:$BO$8,0))</f>
        <v>-0.47127462620209248</v>
      </c>
      <c r="I2987">
        <f t="shared" si="410"/>
        <v>575557.47295607103</v>
      </c>
      <c r="J2987">
        <f t="shared" si="411"/>
        <v>2634.0608914249196</v>
      </c>
      <c r="K2987">
        <f t="shared" si="412"/>
        <v>218.50575847725293</v>
      </c>
      <c r="L2987" s="4">
        <f>MIN(MAX(L2986*(1+MAX(MIN(((B2987-B2986)/B2986)/($K$7*卓尔金历!$N$40),0),-卓尔金历!$M$43))+MIN(MAX(((B2987-B2986)/B2986)/($K$7*卓尔金历!$N$40),0),卓尔金历!$M$43),0),1)</f>
        <v>0.99655205663220703</v>
      </c>
      <c r="M2987" s="4">
        <f>MIN(MAX(M2986*(1+MAX(MIN(((B2987-B2986)/B2986)/($K$7*30),0),-卓尔金历!$M$43))+MIN(MAX(((B2987-B2986)/B2986)/($K$7*7),0),卓尔金历!$M$43),0),1)</f>
        <v>0.99827602831610351</v>
      </c>
      <c r="N2987">
        <f t="shared" si="413"/>
        <v>238668.13475197661</v>
      </c>
      <c r="O2987">
        <f t="shared" si="414"/>
        <v>649316.2333602556</v>
      </c>
      <c r="P2987">
        <f t="shared" si="415"/>
        <v>-2.2566491637521287E-4</v>
      </c>
      <c r="Q2987">
        <f t="shared" si="406"/>
        <v>1.6864630835013703E-2</v>
      </c>
      <c r="R2987">
        <f t="shared" si="407"/>
        <v>1</v>
      </c>
      <c r="S2987">
        <f t="shared" si="409"/>
        <v>1083.1344860931513</v>
      </c>
      <c r="T2987" s="564">
        <f>IF((I2987-MAX(I$470:I2987))/MAX(I$470:I2987)&gt;T2986,T2986,(I2987-MAX(I$470:I2987))/MAX(I$470:I2987))</f>
        <v>-0.91338805338419748</v>
      </c>
      <c r="U2987" s="564">
        <f>IF((J2987-MAX(J$470:J2987))/MAX(J$470:J2987)&gt;U2986,U2986,(J2987-MAX(J$470:J2987))/MAX(J$470:J2987))</f>
        <v>-0.8283551177402233</v>
      </c>
      <c r="V2987" s="564">
        <f>IF((K2987-MAX(K$470:K2987))/MAX(K$470:K2987)&gt;V2986,V2986,(K2987-MAX(K$470:K2987))/MAX(K$470:K2987))</f>
        <v>-0.84885940676762139</v>
      </c>
      <c r="W2987" s="564">
        <f>IF((N2987-MAX(N$470:N2987))/MAX(N$470:N2987)&gt;W2986,W2986,(N2987-MAX(N$470:N2987))/MAX(N$470:N2987))</f>
        <v>-0.62788758315546067</v>
      </c>
      <c r="X2987" s="564">
        <f>IF((O2987-MAX(O$470:O2987))/MAX(O$470:O2987)&gt;X2986,X2986,(O2987-MAX(O$470:O2987))/MAX(O$470:O2987))</f>
        <v>-0.62788758315546067</v>
      </c>
    </row>
    <row r="2988" spans="1:24">
      <c r="A2988" s="799">
        <v>43390</v>
      </c>
      <c r="B2988">
        <v>6538.9</v>
      </c>
      <c r="C2988">
        <v>6284.6023699999996</v>
      </c>
      <c r="D2988">
        <v>1.2866610000000001</v>
      </c>
      <c r="E2988">
        <f>LN(D2988/参数实验室!$E$53)/参数实验室!$E$55</f>
        <v>-0.3956109099310845</v>
      </c>
      <c r="F2988">
        <f t="shared" si="408"/>
        <v>0.96111002920980593</v>
      </c>
      <c r="G2988">
        <f>LN(F2988/参数实验室!$E$58)/参数实验室!$E$59</f>
        <v>-0.21134908565763866</v>
      </c>
      <c r="H2988" s="856">
        <f>INDEX(神经网络!$G$10:$BO$70,MATCH(ROUND(G2988*2,1)/2,神经网络!$E$10:$E$70,0),MATCH(ROUND(E2988*2,1)/2,神经网络!$G$8:$BO$8,0))</f>
        <v>-0.47127462620209248</v>
      </c>
      <c r="I2988">
        <f t="shared" si="410"/>
        <v>578118.21594659367</v>
      </c>
      <c r="J2988">
        <f t="shared" si="411"/>
        <v>2609.193567694821</v>
      </c>
      <c r="K2988">
        <f t="shared" si="412"/>
        <v>221.56969230050319</v>
      </c>
      <c r="L2988" s="4">
        <f>MIN(MAX(L2987*(1+MAX(MIN(((B2988-B2987)/B2987)/($K$7*卓尔金历!$N$40),0),-卓尔金历!$M$43))+MIN(MAX(((B2988-B2987)/B2987)/($K$7*卓尔金历!$N$40),0),卓尔金历!$M$43),0),1)</f>
        <v>0.85280488573380819</v>
      </c>
      <c r="M2988" s="4">
        <f>MIN(MAX(M2987*(1+MAX(MIN(((B2988-B2987)/B2987)/($K$7*30),0),-卓尔金历!$M$43))+MIN(MAX(((B2988-B2987)/B2987)/($K$7*7),0),卓尔金历!$M$43),0),1)</f>
        <v>0.92627810613475858</v>
      </c>
      <c r="N2988">
        <f t="shared" si="413"/>
        <v>239726.34441816006</v>
      </c>
      <c r="O2988">
        <f t="shared" si="414"/>
        <v>652200.15993288893</v>
      </c>
      <c r="P2988">
        <f t="shared" si="415"/>
        <v>-9.4406791471880382E-3</v>
      </c>
      <c r="Q2988">
        <f t="shared" ref="Q2988:Q3051" si="416">STDEVP(P2968:P2988)</f>
        <v>1.7004601095486065E-2</v>
      </c>
      <c r="R2988">
        <f t="shared" ref="R2988:R3051" si="417">MIN(Q2987*MAX(1-LN(MAX(ABS(P2988),0.0001)/Q2988),0)+MAX(-LN(MAX(ABS(P2988),0.0001)/Q2988),0),1)</f>
        <v>0.6152447636795082</v>
      </c>
      <c r="S2988">
        <f t="shared" si="409"/>
        <v>1087.9535166389819</v>
      </c>
      <c r="T2988" s="564">
        <f>IF((I2988-MAX(I$470:I2988))/MAX(I$470:I2988)&gt;T2987,T2987,(I2988-MAX(I$470:I2988))/MAX(I$470:I2988))</f>
        <v>-0.91338805338419748</v>
      </c>
      <c r="U2988" s="564">
        <f>IF((J2988-MAX(J$470:J2988))/MAX(J$470:J2988)&gt;U2987,U2987,(J2988-MAX(J$470:J2988))/MAX(J$470:J2988))</f>
        <v>-0.8283551177402233</v>
      </c>
      <c r="V2988" s="564">
        <f>IF((K2988-MAX(K$470:K2988))/MAX(K$470:K2988)&gt;V2987,V2987,(K2988-MAX(K$470:K2988))/MAX(K$470:K2988))</f>
        <v>-0.84885940676762139</v>
      </c>
      <c r="W2988" s="564">
        <f>IF((N2988-MAX(N$470:N2988))/MAX(N$470:N2988)&gt;W2987,W2987,(N2988-MAX(N$470:N2988))/MAX(N$470:N2988))</f>
        <v>-0.62788758315546067</v>
      </c>
      <c r="X2988" s="564">
        <f>IF((O2988-MAX(O$470:O2988))/MAX(O$470:O2988)&gt;X2987,X2987,(O2988-MAX(O$470:O2988))/MAX(O$470:O2988))</f>
        <v>-0.62788758315546067</v>
      </c>
    </row>
    <row r="2989" spans="1:24">
      <c r="A2989" s="799">
        <v>43391</v>
      </c>
      <c r="B2989">
        <v>6535.54</v>
      </c>
      <c r="C2989">
        <v>6303.9847760000002</v>
      </c>
      <c r="D2989">
        <v>1.278022</v>
      </c>
      <c r="E2989">
        <f>LN(D2989/参数实验室!$E$53)/参数实验室!$E$55</f>
        <v>-0.40355881368538843</v>
      </c>
      <c r="F2989">
        <f t="shared" si="408"/>
        <v>0.96456984059465634</v>
      </c>
      <c r="G2989">
        <f>LN(F2989/参数实验室!$E$58)/参数实验室!$E$59</f>
        <v>-0.20946310452854797</v>
      </c>
      <c r="H2989" s="856">
        <f>INDEX(神经网络!$G$10:$BO$70,MATCH(ROUND(G2989*2,1)/2,神经网络!$E$10:$E$70,0),MATCH(ROUND(E2989*2,1)/2,神经网络!$G$8:$BO$8,0))</f>
        <v>-0.47127462620209248</v>
      </c>
      <c r="I2989">
        <f t="shared" si="410"/>
        <v>578258.21506249474</v>
      </c>
      <c r="J2989">
        <f t="shared" si="411"/>
        <v>2607.8528390726597</v>
      </c>
      <c r="K2989">
        <f t="shared" si="412"/>
        <v>221.7372876255244</v>
      </c>
      <c r="L2989" s="4">
        <f>MIN(MAX(L2988*(1+MAX(MIN(((B2989-B2988)/B2988)/($K$7*卓尔金历!$N$40),0),-卓尔金历!$M$43))+MIN(MAX(((B2989-B2988)/B2988)/($K$7*卓尔金历!$N$40),0),卓尔金历!$M$43),0),1)</f>
        <v>0.84610942696622216</v>
      </c>
      <c r="M2989" s="4">
        <f>MIN(MAX(M2988*(1+MAX(MIN(((B2989-B2988)/B2988)/($K$7*30),0),-卓尔金历!$M$43))+MIN(MAX(((B2989-B2988)/B2988)/($K$7*7),0),卓尔金历!$M$43),0),1)</f>
        <v>0.92264195385028469</v>
      </c>
      <c r="N2989">
        <f t="shared" si="413"/>
        <v>239775.85226993114</v>
      </c>
      <c r="O2989">
        <f t="shared" si="414"/>
        <v>652346.45542336348</v>
      </c>
      <c r="P2989">
        <f t="shared" si="415"/>
        <v>-5.13847894905821E-4</v>
      </c>
      <c r="Q2989">
        <f t="shared" si="416"/>
        <v>1.6978611138995455E-2</v>
      </c>
      <c r="R2989">
        <f t="shared" si="417"/>
        <v>1</v>
      </c>
      <c r="S2989">
        <f t="shared" si="409"/>
        <v>1088.1156106263884</v>
      </c>
      <c r="T2989" s="564">
        <f>IF((I2989-MAX(I$470:I2989))/MAX(I$470:I2989)&gt;T2988,T2988,(I2989-MAX(I$470:I2989))/MAX(I$470:I2989))</f>
        <v>-0.91338805338419748</v>
      </c>
      <c r="U2989" s="564">
        <f>IF((J2989-MAX(J$470:J2989))/MAX(J$470:J2989)&gt;U2988,U2988,(J2989-MAX(J$470:J2989))/MAX(J$470:J2989))</f>
        <v>-0.8283551177402233</v>
      </c>
      <c r="V2989" s="564">
        <f>IF((K2989-MAX(K$470:K2989))/MAX(K$470:K2989)&gt;V2988,V2988,(K2989-MAX(K$470:K2989))/MAX(K$470:K2989))</f>
        <v>-0.84885940676762139</v>
      </c>
      <c r="W2989" s="564">
        <f>IF((N2989-MAX(N$470:N2989))/MAX(N$470:N2989)&gt;W2988,W2988,(N2989-MAX(N$470:N2989))/MAX(N$470:N2989))</f>
        <v>-0.62788758315546067</v>
      </c>
      <c r="X2989" s="564">
        <f>IF((O2989-MAX(O$470:O2989))/MAX(O$470:O2989)&gt;X2988,X2988,(O2989-MAX(O$470:O2989))/MAX(O$470:O2989))</f>
        <v>-0.62788758315546067</v>
      </c>
    </row>
    <row r="2990" spans="1:24">
      <c r="A2990" s="799">
        <v>43392</v>
      </c>
      <c r="B2990">
        <v>6472.5</v>
      </c>
      <c r="C2990">
        <v>6367.434311</v>
      </c>
      <c r="D2990">
        <v>1.274991</v>
      </c>
      <c r="E2990">
        <f>LN(D2990/参数实验室!$E$53)/参数实验室!$E$55</f>
        <v>-0.4063600792978464</v>
      </c>
      <c r="F2990">
        <f t="shared" si="408"/>
        <v>0.9837673713402858</v>
      </c>
      <c r="G2990">
        <f>LN(F2990/参数实验室!$E$58)/参数实验室!$E$59</f>
        <v>-0.19911969203604277</v>
      </c>
      <c r="H2990" s="856">
        <f>INDEX(神经网络!$G$10:$BO$70,MATCH(ROUND(G2990*2,1)/2,神经网络!$E$10:$E$70,0),MATCH(ROUND(E2990*2,1)/2,神经网络!$G$8:$BO$8,0))</f>
        <v>-0.47127462620209248</v>
      </c>
      <c r="I2990">
        <f t="shared" si="410"/>
        <v>580886.85194001882</v>
      </c>
      <c r="J2990">
        <f t="shared" si="411"/>
        <v>2582.6982163520979</v>
      </c>
      <c r="K2990">
        <f t="shared" si="412"/>
        <v>224.91472223204062</v>
      </c>
      <c r="L2990" s="4">
        <f>MIN(MAX(L2989*(1+MAX(MIN(((B2990-B2989)/B2989)/($K$7*卓尔金历!$N$40),0),-卓尔金历!$M$43))+MIN(MAX(((B2990-B2989)/B2989)/($K$7*卓尔金历!$N$40),0),卓尔金历!$M$43),0),1)</f>
        <v>0.72141204381219493</v>
      </c>
      <c r="M2990" s="4">
        <f>MIN(MAX(M2989*(1+MAX(MIN(((B2990-B2989)/B2989)/($K$7*30),0),-卓尔金历!$M$43))+MIN(MAX(((B2990-B2989)/B2989)/($K$7*7),0),卓尔金历!$M$43),0),1)</f>
        <v>0.85465368095881489</v>
      </c>
      <c r="N2990">
        <f t="shared" si="413"/>
        <v>240698.08549035044</v>
      </c>
      <c r="O2990">
        <f t="shared" si="414"/>
        <v>655082.48186836508</v>
      </c>
      <c r="P2990">
        <f t="shared" si="415"/>
        <v>-9.6457217001196475E-3</v>
      </c>
      <c r="Q2990">
        <f t="shared" si="416"/>
        <v>1.621493359381803E-2</v>
      </c>
      <c r="R2990">
        <f t="shared" si="417"/>
        <v>0.54521578483241284</v>
      </c>
      <c r="S2990">
        <f t="shared" si="409"/>
        <v>1093.0619490381878</v>
      </c>
      <c r="T2990" s="564">
        <f>IF((I2990-MAX(I$470:I2990))/MAX(I$470:I2990)&gt;T2989,T2989,(I2990-MAX(I$470:I2990))/MAX(I$470:I2990))</f>
        <v>-0.91338805338419748</v>
      </c>
      <c r="U2990" s="564">
        <f>IF((J2990-MAX(J$470:J2990))/MAX(J$470:J2990)&gt;U2989,U2989,(J2990-MAX(J$470:J2990))/MAX(J$470:J2990))</f>
        <v>-0.8283551177402233</v>
      </c>
      <c r="V2990" s="564">
        <f>IF((K2990-MAX(K$470:K2990))/MAX(K$470:K2990)&gt;V2989,V2989,(K2990-MAX(K$470:K2990))/MAX(K$470:K2990))</f>
        <v>-0.84885940676762139</v>
      </c>
      <c r="W2990" s="564">
        <f>IF((N2990-MAX(N$470:N2990))/MAX(N$470:N2990)&gt;W2989,W2989,(N2990-MAX(N$470:N2990))/MAX(N$470:N2990))</f>
        <v>-0.62788758315546067</v>
      </c>
      <c r="X2990" s="564">
        <f>IF((O2990-MAX(O$470:O2990))/MAX(O$470:O2990)&gt;X2989,X2989,(O2990-MAX(O$470:O2990))/MAX(O$470:O2990))</f>
        <v>-0.62788758315546067</v>
      </c>
    </row>
    <row r="2991" spans="1:24">
      <c r="A2991" s="799">
        <v>43393</v>
      </c>
      <c r="B2991">
        <v>6492.16</v>
      </c>
      <c r="C2991">
        <v>6418.3394479999997</v>
      </c>
      <c r="D2991">
        <v>1.286422</v>
      </c>
      <c r="E2991">
        <f>LN(D2991/参数实验室!$E$53)/参数实验室!$E$55</f>
        <v>-0.39583007194499581</v>
      </c>
      <c r="F2991">
        <f t="shared" si="408"/>
        <v>0.98862927715891169</v>
      </c>
      <c r="G2991">
        <f>LN(F2991/参数实验室!$E$58)/参数实验室!$E$59</f>
        <v>-0.19653218399474037</v>
      </c>
      <c r="H2991" s="856">
        <f>INDEX(神经网络!$G$10:$BO$70,MATCH(ROUND(G2991*2,1)/2,神经网络!$E$10:$E$70,0),MATCH(ROUND(E2991*2,1)/2,神经网络!$G$8:$BO$8,0))</f>
        <v>-0.47127462620209248</v>
      </c>
      <c r="I2991">
        <f t="shared" si="410"/>
        <v>580055.32359382953</v>
      </c>
      <c r="J2991">
        <f t="shared" si="411"/>
        <v>2590.5430748972476</v>
      </c>
      <c r="K2991">
        <f t="shared" si="412"/>
        <v>223.91263407841117</v>
      </c>
      <c r="L2991" s="4">
        <f>MIN(MAX(L2990*(1+MAX(MIN(((B2991-B2990)/B2990)/($K$7*卓尔金历!$N$40),0),-卓尔金历!$M$43))+MIN(MAX(((B2991-B2990)/B2990)/($K$7*卓尔金历!$N$40),0),卓尔金历!$M$43),0),1)</f>
        <v>0.76782161255832782</v>
      </c>
      <c r="M2991" s="4">
        <f>MIN(MAX(M2990*(1+MAX(MIN(((B2991-B2990)/B2990)/($K$7*30),0),-卓尔金历!$M$43))+MIN(MAX(((B2991-B2990)/B2990)/($K$7*7),0),卓尔金历!$M$43),0),1)</f>
        <v>0.95410275684338541</v>
      </c>
      <c r="N2991">
        <f t="shared" si="413"/>
        <v>240449.51959746156</v>
      </c>
      <c r="O2991">
        <f t="shared" si="414"/>
        <v>654281.04066725692</v>
      </c>
      <c r="P2991">
        <f t="shared" si="415"/>
        <v>3.0374662031672234E-3</v>
      </c>
      <c r="Q2991">
        <f t="shared" si="416"/>
        <v>1.6050348937147862E-2</v>
      </c>
      <c r="R2991">
        <f t="shared" si="417"/>
        <v>1</v>
      </c>
      <c r="S2991">
        <f t="shared" si="409"/>
        <v>1092.2088514600364</v>
      </c>
      <c r="T2991" s="564">
        <f>IF((I2991-MAX(I$470:I2991))/MAX(I$470:I2991)&gt;T2990,T2990,(I2991-MAX(I$470:I2991))/MAX(I$470:I2991))</f>
        <v>-0.91338805338419748</v>
      </c>
      <c r="U2991" s="564">
        <f>IF((J2991-MAX(J$470:J2991))/MAX(J$470:J2991)&gt;U2990,U2990,(J2991-MAX(J$470:J2991))/MAX(J$470:J2991))</f>
        <v>-0.8283551177402233</v>
      </c>
      <c r="V2991" s="564">
        <f>IF((K2991-MAX(K$470:K2991))/MAX(K$470:K2991)&gt;V2990,V2990,(K2991-MAX(K$470:K2991))/MAX(K$470:K2991))</f>
        <v>-0.84885940676762139</v>
      </c>
      <c r="W2991" s="564">
        <f>IF((N2991-MAX(N$470:N2991))/MAX(N$470:N2991)&gt;W2990,W2990,(N2991-MAX(N$470:N2991))/MAX(N$470:N2991))</f>
        <v>-0.62788758315546067</v>
      </c>
      <c r="X2991" s="564">
        <f>IF((O2991-MAX(O$470:O2991))/MAX(O$470:O2991)&gt;X2990,X2990,(O2991-MAX(O$470:O2991))/MAX(O$470:O2991))</f>
        <v>-0.62788758315546067</v>
      </c>
    </row>
    <row r="2992" spans="1:24">
      <c r="A2992" s="799">
        <v>43394</v>
      </c>
      <c r="B2992">
        <v>6525.12</v>
      </c>
      <c r="C2992">
        <v>6447.2180250000001</v>
      </c>
      <c r="D2992">
        <v>1.2879309999999999</v>
      </c>
      <c r="E2992">
        <f>LN(D2992/参数实验室!$E$53)/参数实验室!$E$55</f>
        <v>-0.39444700765735025</v>
      </c>
      <c r="F2992">
        <f t="shared" si="408"/>
        <v>0.98806121956377813</v>
      </c>
      <c r="G2992">
        <f>LN(F2992/参数实验室!$E$58)/参数实验室!$E$59</f>
        <v>-0.19683384713746402</v>
      </c>
      <c r="H2992" s="856">
        <f>INDEX(神经网络!$G$10:$BO$70,MATCH(ROUND(G2992*2,1)/2,神经网络!$E$10:$E$70,0),MATCH(ROUND(E2992*2,1)/2,神经网络!$G$8:$BO$8,0))</f>
        <v>-0.47127462620209248</v>
      </c>
      <c r="I2992">
        <f t="shared" si="410"/>
        <v>578667.47700236004</v>
      </c>
      <c r="J2992">
        <f t="shared" si="411"/>
        <v>2603.6949842384552</v>
      </c>
      <c r="K2992">
        <f t="shared" si="412"/>
        <v>222.24856617435637</v>
      </c>
      <c r="L2992" s="4">
        <f>MIN(MAX(L2991*(1+MAX(MIN(((B2992-B2991)/B2991)/($K$7*卓尔金历!$N$40),0),-卓尔金历!$M$43))+MIN(MAX(((B2992-B2991)/B2991)/($K$7*卓尔金历!$N$40),0),卓尔金历!$M$43),0),1)</f>
        <v>0.84539166176446656</v>
      </c>
      <c r="M2992" s="4">
        <f>MIN(MAX(M2991*(1+MAX(MIN(((B2992-B2991)/B2991)/($K$7*30),0),-卓尔金历!$M$43))+MIN(MAX(((B2992-B2991)/B2991)/($K$7*7),0),卓尔金历!$M$43),0),1)</f>
        <v>1</v>
      </c>
      <c r="N2992">
        <f t="shared" si="413"/>
        <v>240007.79021078325</v>
      </c>
      <c r="O2992">
        <f t="shared" si="414"/>
        <v>652787.45020156412</v>
      </c>
      <c r="P2992">
        <f t="shared" si="415"/>
        <v>5.076892744479501E-3</v>
      </c>
      <c r="Q2992">
        <f t="shared" si="416"/>
        <v>1.6069188085034023E-2</v>
      </c>
      <c r="R2992">
        <f t="shared" si="417"/>
        <v>1</v>
      </c>
      <c r="S2992">
        <f t="shared" si="409"/>
        <v>1089.5956208421703</v>
      </c>
      <c r="T2992" s="564">
        <f>IF((I2992-MAX(I$470:I2992))/MAX(I$470:I2992)&gt;T2991,T2991,(I2992-MAX(I$470:I2992))/MAX(I$470:I2992))</f>
        <v>-0.91338805338419748</v>
      </c>
      <c r="U2992" s="564">
        <f>IF((J2992-MAX(J$470:J2992))/MAX(J$470:J2992)&gt;U2991,U2991,(J2992-MAX(J$470:J2992))/MAX(J$470:J2992))</f>
        <v>-0.8283551177402233</v>
      </c>
      <c r="V2992" s="564">
        <f>IF((K2992-MAX(K$470:K2992))/MAX(K$470:K2992)&gt;V2991,V2991,(K2992-MAX(K$470:K2992))/MAX(K$470:K2992))</f>
        <v>-0.84885940676762139</v>
      </c>
      <c r="W2992" s="564">
        <f>IF((N2992-MAX(N$470:N2992))/MAX(N$470:N2992)&gt;W2991,W2991,(N2992-MAX(N$470:N2992))/MAX(N$470:N2992))</f>
        <v>-0.62788758315546067</v>
      </c>
      <c r="X2992" s="564">
        <f>IF((O2992-MAX(O$470:O2992))/MAX(O$470:O2992)&gt;X2991,X2991,(O2992-MAX(O$470:O2992))/MAX(O$470:O2992))</f>
        <v>-0.62788758315546067</v>
      </c>
    </row>
    <row r="2993" spans="1:24">
      <c r="A2993" s="799">
        <v>43395</v>
      </c>
      <c r="B2993">
        <v>6479.71</v>
      </c>
      <c r="C2993">
        <v>6449.5124830000004</v>
      </c>
      <c r="D2993">
        <v>1.286896</v>
      </c>
      <c r="E2993">
        <f>LN(D2993/参数实验室!$E$53)/参数实验室!$E$55</f>
        <v>-0.39539545559057143</v>
      </c>
      <c r="F2993">
        <f t="shared" si="408"/>
        <v>0.99533968078818347</v>
      </c>
      <c r="G2993">
        <f>LN(F2993/参数实验室!$E$58)/参数实验室!$E$59</f>
        <v>-0.19298172934467411</v>
      </c>
      <c r="H2993" s="856">
        <f>INDEX(神经网络!$G$10:$BO$70,MATCH(ROUND(G2993*2,1)/2,神经网络!$E$10:$E$70,0),MATCH(ROUND(E2993*2,1)/2,神经网络!$G$8:$BO$8,0))</f>
        <v>-0.47127462620209248</v>
      </c>
      <c r="I2993">
        <f t="shared" si="410"/>
        <v>580565.34556017036</v>
      </c>
      <c r="J2993">
        <f t="shared" si="411"/>
        <v>2585.5751965204868</v>
      </c>
      <c r="K2993">
        <f t="shared" si="412"/>
        <v>224.54011252175556</v>
      </c>
      <c r="L2993" s="4">
        <f>MIN(MAX(L2992*(1+MAX(MIN(((B2993-B2992)/B2992)/($K$7*卓尔金历!$N$40),0),-卓尔金历!$M$43))+MIN(MAX(((B2993-B2992)/B2992)/($K$7*卓尔金历!$N$40),0),卓尔金历!$M$43),0),1)</f>
        <v>0.75550049088660243</v>
      </c>
      <c r="M2993" s="4">
        <f>MIN(MAX(M2992*(1+MAX(MIN(((B2993-B2992)/B2992)/($K$7*30),0),-卓尔金历!$M$43))+MIN(MAX(((B2993-B2992)/B2992)/($K$7*7),0),卓尔金历!$M$43),0),1)</f>
        <v>0.94683460049141777</v>
      </c>
      <c r="N2993">
        <f t="shared" si="413"/>
        <v>240673.2477579632</v>
      </c>
      <c r="O2993">
        <f t="shared" si="414"/>
        <v>654928.41167928278</v>
      </c>
      <c r="P2993">
        <f t="shared" si="415"/>
        <v>-6.9592589868078831E-3</v>
      </c>
      <c r="Q2993">
        <f t="shared" si="416"/>
        <v>1.6105826476797622E-2</v>
      </c>
      <c r="R2993">
        <f t="shared" si="417"/>
        <v>0.86866107216524224</v>
      </c>
      <c r="S2993">
        <f t="shared" si="409"/>
        <v>1093.1691917645182</v>
      </c>
      <c r="T2993" s="564">
        <f>IF((I2993-MAX(I$470:I2993))/MAX(I$470:I2993)&gt;T2992,T2992,(I2993-MAX(I$470:I2993))/MAX(I$470:I2993))</f>
        <v>-0.91338805338419748</v>
      </c>
      <c r="U2993" s="564">
        <f>IF((J2993-MAX(J$470:J2993))/MAX(J$470:J2993)&gt;U2992,U2992,(J2993-MAX(J$470:J2993))/MAX(J$470:J2993))</f>
        <v>-0.8283551177402233</v>
      </c>
      <c r="V2993" s="564">
        <f>IF((K2993-MAX(K$470:K2993))/MAX(K$470:K2993)&gt;V2992,V2992,(K2993-MAX(K$470:K2993))/MAX(K$470:K2993))</f>
        <v>-0.84885940676762139</v>
      </c>
      <c r="W2993" s="564">
        <f>IF((N2993-MAX(N$470:N2993))/MAX(N$470:N2993)&gt;W2992,W2992,(N2993-MAX(N$470:N2993))/MAX(N$470:N2993))</f>
        <v>-0.62788758315546067</v>
      </c>
      <c r="X2993" s="564">
        <f>IF((O2993-MAX(O$470:O2993))/MAX(O$470:O2993)&gt;X2992,X2992,(O2993-MAX(O$470:O2993))/MAX(O$470:O2993))</f>
        <v>-0.62788758315546067</v>
      </c>
    </row>
    <row r="2994" spans="1:24">
      <c r="A2994" s="799">
        <v>43396</v>
      </c>
      <c r="B2994">
        <v>6468.5</v>
      </c>
      <c r="C2994">
        <v>6433.866892</v>
      </c>
      <c r="D2994">
        <v>1.284929</v>
      </c>
      <c r="E2994">
        <f>LN(D2994/参数实验室!$E$53)/参数实验室!$E$55</f>
        <v>-0.39720006911083378</v>
      </c>
      <c r="F2994">
        <f t="shared" si="408"/>
        <v>0.99464588266213183</v>
      </c>
      <c r="G2994">
        <f>LN(F2994/参数实验室!$E$58)/参数实验室!$E$59</f>
        <v>-0.19334770462910134</v>
      </c>
      <c r="H2994" s="856">
        <f>INDEX(神经网络!$G$10:$BO$70,MATCH(ROUND(G2994*2,1)/2,神经网络!$E$10:$E$70,0),MATCH(ROUND(E2994*2,1)/2,神经网络!$G$8:$BO$8,0))</f>
        <v>-0.47127462620209248</v>
      </c>
      <c r="I2994">
        <f t="shared" si="410"/>
        <v>581038.68774350383</v>
      </c>
      <c r="J2994">
        <f t="shared" si="411"/>
        <v>2581.1021108495238</v>
      </c>
      <c r="K2994">
        <f t="shared" si="412"/>
        <v>225.11263126752675</v>
      </c>
      <c r="L2994" s="4">
        <f>MIN(MAX(L2993*(1+MAX(MIN(((B2994-B2993)/B2993)/($K$7*卓尔金历!$N$40),0),-卓尔金历!$M$43))+MIN(MAX(((B2994-B2993)/B2993)/($K$7*卓尔金历!$N$40),0),卓尔金历!$M$43),0),1)</f>
        <v>0.7355303617854505</v>
      </c>
      <c r="M2994" s="4">
        <f>MIN(MAX(M2993*(1+MAX(MIN(((B2994-B2993)/B2993)/($K$7*30),0),-卓尔金历!$M$43))+MIN(MAX(((B2994-B2993)/B2993)/($K$7*7),0),卓尔金历!$M$43),0),1)</f>
        <v>0.93432077062807661</v>
      </c>
      <c r="N2994">
        <f t="shared" si="413"/>
        <v>240821.49501627142</v>
      </c>
      <c r="O2994">
        <f t="shared" si="414"/>
        <v>655433.99420137517</v>
      </c>
      <c r="P2994">
        <f t="shared" si="415"/>
        <v>-1.7300156951468562E-3</v>
      </c>
      <c r="Q2994">
        <f t="shared" si="416"/>
        <v>1.6082506820772016E-2</v>
      </c>
      <c r="R2994">
        <f t="shared" si="417"/>
        <v>1</v>
      </c>
      <c r="S2994">
        <f t="shared" si="409"/>
        <v>1093.9434072331187</v>
      </c>
      <c r="T2994" s="564">
        <f>IF((I2994-MAX(I$470:I2994))/MAX(I$470:I2994)&gt;T2993,T2993,(I2994-MAX(I$470:I2994))/MAX(I$470:I2994))</f>
        <v>-0.91338805338419748</v>
      </c>
      <c r="U2994" s="564">
        <f>IF((J2994-MAX(J$470:J2994))/MAX(J$470:J2994)&gt;U2993,U2993,(J2994-MAX(J$470:J2994))/MAX(J$470:J2994))</f>
        <v>-0.8283551177402233</v>
      </c>
      <c r="V2994" s="564">
        <f>IF((K2994-MAX(K$470:K2994))/MAX(K$470:K2994)&gt;V2993,V2993,(K2994-MAX(K$470:K2994))/MAX(K$470:K2994))</f>
        <v>-0.84885940676762139</v>
      </c>
      <c r="W2994" s="564">
        <f>IF((N2994-MAX(N$470:N2994))/MAX(N$470:N2994)&gt;W2993,W2993,(N2994-MAX(N$470:N2994))/MAX(N$470:N2994))</f>
        <v>-0.62788758315546067</v>
      </c>
      <c r="X2994" s="564">
        <f>IF((O2994-MAX(O$470:O2994))/MAX(O$470:O2994)&gt;X2993,X2993,(O2994-MAX(O$470:O2994))/MAX(O$470:O2994))</f>
        <v>-0.62788758315546067</v>
      </c>
    </row>
    <row r="2995" spans="1:24">
      <c r="A2995" s="799">
        <v>43397</v>
      </c>
      <c r="B2995">
        <v>6493.35</v>
      </c>
      <c r="C2995">
        <v>6594.7114499999998</v>
      </c>
      <c r="D2995">
        <v>1.288761</v>
      </c>
      <c r="E2995">
        <f>LN(D2995/参数实验室!$E$53)/参数实验室!$E$55</f>
        <v>-0.39368696708877293</v>
      </c>
      <c r="F2995">
        <f t="shared" si="408"/>
        <v>1.0156100395019518</v>
      </c>
      <c r="G2995">
        <f>LN(F2995/参数实验室!$E$58)/参数实验室!$E$59</f>
        <v>-0.18240032099893824</v>
      </c>
      <c r="H2995" s="856">
        <f>INDEX(神经网络!$G$10:$BO$70,MATCH(ROUND(G2995*2,1)/2,神经网络!$E$10:$E$70,0),MATCH(ROUND(E2995*2,1)/2,神经网络!$G$8:$BO$8,0))</f>
        <v>-0.47127462620209248</v>
      </c>
      <c r="I2995">
        <f t="shared" si="410"/>
        <v>579986.72122254444</v>
      </c>
      <c r="J2995">
        <f t="shared" si="411"/>
        <v>2591.0179162842633</v>
      </c>
      <c r="K2995">
        <f t="shared" si="412"/>
        <v>223.84512186403327</v>
      </c>
      <c r="L2995" s="4">
        <f>MIN(MAX(L2994*(1+MAX(MIN(((B2995-B2994)/B2994)/($K$7*卓尔金历!$N$40),0),-卓尔金历!$M$43))+MIN(MAX(((B2995-B2994)/B2994)/($K$7*卓尔金历!$N$40),0),卓尔金历!$M$43),0),1)</f>
        <v>0.79422776508435</v>
      </c>
      <c r="M2995" s="4">
        <f>MIN(MAX(M2994*(1+MAX(MIN(((B2995-B2994)/B2994)/($K$7*30),0),-卓尔金历!$M$43))+MIN(MAX(((B2995-B2994)/B2994)/($K$7*7),0),卓尔金历!$M$43),0),1)</f>
        <v>1</v>
      </c>
      <c r="N2995">
        <f t="shared" si="413"/>
        <v>240500.79962334374</v>
      </c>
      <c r="O2995">
        <f t="shared" si="414"/>
        <v>654325.2743226788</v>
      </c>
      <c r="P2995">
        <f t="shared" si="415"/>
        <v>3.8416943649996699E-3</v>
      </c>
      <c r="Q2995">
        <f t="shared" si="416"/>
        <v>1.5598981876294712E-2</v>
      </c>
      <c r="R2995">
        <f t="shared" si="417"/>
        <v>1</v>
      </c>
      <c r="S2995">
        <f t="shared" si="409"/>
        <v>1091.9628302689537</v>
      </c>
      <c r="T2995" s="564">
        <f>IF((I2995-MAX(I$470:I2995))/MAX(I$470:I2995)&gt;T2994,T2994,(I2995-MAX(I$470:I2995))/MAX(I$470:I2995))</f>
        <v>-0.91338805338419748</v>
      </c>
      <c r="U2995" s="564">
        <f>IF((J2995-MAX(J$470:J2995))/MAX(J$470:J2995)&gt;U2994,U2994,(J2995-MAX(J$470:J2995))/MAX(J$470:J2995))</f>
        <v>-0.8283551177402233</v>
      </c>
      <c r="V2995" s="564">
        <f>IF((K2995-MAX(K$470:K2995))/MAX(K$470:K2995)&gt;V2994,V2994,(K2995-MAX(K$470:K2995))/MAX(K$470:K2995))</f>
        <v>-0.84885940676762139</v>
      </c>
      <c r="W2995" s="564">
        <f>IF((N2995-MAX(N$470:N2995))/MAX(N$470:N2995)&gt;W2994,W2994,(N2995-MAX(N$470:N2995))/MAX(N$470:N2995))</f>
        <v>-0.62788758315546067</v>
      </c>
      <c r="X2995" s="564">
        <f>IF((O2995-MAX(O$470:O2995))/MAX(O$470:O2995)&gt;X2994,X2994,(O2995-MAX(O$470:O2995))/MAX(O$470:O2995))</f>
        <v>-0.62788758315546067</v>
      </c>
    </row>
    <row r="2996" spans="1:24">
      <c r="A2996" s="799">
        <v>43398</v>
      </c>
      <c r="B2996">
        <v>6470.13</v>
      </c>
      <c r="C2996">
        <v>6746.9908740000001</v>
      </c>
      <c r="D2996">
        <v>1.28695</v>
      </c>
      <c r="E2996">
        <f>LN(D2996/参数实验室!$E$53)/参数实验室!$E$55</f>
        <v>-0.39534595249272964</v>
      </c>
      <c r="F2996">
        <f t="shared" si="408"/>
        <v>1.0427906199720871</v>
      </c>
      <c r="G2996">
        <f>LN(F2996/参数实验室!$E$58)/参数实验室!$E$59</f>
        <v>-0.16853842610963529</v>
      </c>
      <c r="H2996" s="856">
        <f>INDEX(神经网络!$G$10:$BO$70,MATCH(ROUND(G2996*2,1)/2,神经网络!$E$10:$E$70,0),MATCH(ROUND(E2996*2,1)/2,神经网络!$G$8:$BO$8,0))</f>
        <v>-0.38990896592980601</v>
      </c>
      <c r="I2996">
        <f t="shared" si="410"/>
        <v>580964.15087691706</v>
      </c>
      <c r="J2996">
        <f t="shared" si="411"/>
        <v>2581.7525238418229</v>
      </c>
      <c r="K2996">
        <f t="shared" si="412"/>
        <v>225.02704868567457</v>
      </c>
      <c r="L2996" s="4">
        <f>MIN(MAX(L2995*(1+MAX(MIN(((B2996-B2995)/B2995)/($K$7*卓尔金历!$N$40),0),-卓尔金历!$M$43))+MIN(MAX(((B2996-B2995)/B2995)/($K$7*卓尔金历!$N$40),0),卓尔金历!$M$43),0),1)</f>
        <v>0.75083327928227617</v>
      </c>
      <c r="M2996" s="4">
        <f>MIN(MAX(M2995*(1+MAX(MIN(((B2996-B2995)/B2995)/($K$7*30),0),-卓尔金历!$M$43))+MIN(MAX(((B2996-B2995)/B2995)/($K$7*7),0),卓尔金历!$M$43),0),1)</f>
        <v>0.97268133417781921</v>
      </c>
      <c r="N2996">
        <f t="shared" si="413"/>
        <v>240822.70560771023</v>
      </c>
      <c r="O2996">
        <f t="shared" si="414"/>
        <v>655427.98392503033</v>
      </c>
      <c r="P2996">
        <f t="shared" si="415"/>
        <v>-3.5759661807849958E-3</v>
      </c>
      <c r="Q2996">
        <f t="shared" si="416"/>
        <v>1.4944728662233307E-2</v>
      </c>
      <c r="R2996">
        <f t="shared" si="417"/>
        <v>1</v>
      </c>
      <c r="S2996">
        <f t="shared" si="409"/>
        <v>1093.8030738688894</v>
      </c>
      <c r="T2996" s="564">
        <f>IF((I2996-MAX(I$470:I2996))/MAX(I$470:I2996)&gt;T2995,T2995,(I2996-MAX(I$470:I2996))/MAX(I$470:I2996))</f>
        <v>-0.91338805338419748</v>
      </c>
      <c r="U2996" s="564">
        <f>IF((J2996-MAX(J$470:J2996))/MAX(J$470:J2996)&gt;U2995,U2995,(J2996-MAX(J$470:J2996))/MAX(J$470:J2996))</f>
        <v>-0.8283551177402233</v>
      </c>
      <c r="V2996" s="564">
        <f>IF((K2996-MAX(K$470:K2996))/MAX(K$470:K2996)&gt;V2995,V2995,(K2996-MAX(K$470:K2996))/MAX(K$470:K2996))</f>
        <v>-0.84885940676762139</v>
      </c>
      <c r="W2996" s="564">
        <f>IF((N2996-MAX(N$470:N2996))/MAX(N$470:N2996)&gt;W2995,W2995,(N2996-MAX(N$470:N2996))/MAX(N$470:N2996))</f>
        <v>-0.62788758315546067</v>
      </c>
      <c r="X2996" s="564">
        <f>IF((O2996-MAX(O$470:O2996))/MAX(O$470:O2996)&gt;X2995,X2995,(O2996-MAX(O$470:O2996))/MAX(O$470:O2996))</f>
        <v>-0.62788758315546067</v>
      </c>
    </row>
    <row r="2997" spans="1:24">
      <c r="A2997" s="799">
        <v>43399</v>
      </c>
      <c r="B2997">
        <v>6488.52</v>
      </c>
      <c r="C2997">
        <v>6730.1754510000001</v>
      </c>
      <c r="D2997">
        <v>1.2886340000000001</v>
      </c>
      <c r="E2997">
        <f>LN(D2997/参数实验室!$E$53)/参数实验室!$E$55</f>
        <v>-0.39380323072869272</v>
      </c>
      <c r="F2997">
        <f t="shared" si="408"/>
        <v>1.0372435395128627</v>
      </c>
      <c r="G2997">
        <f>LN(F2997/参数实验室!$E$58)/参数实验室!$E$59</f>
        <v>-0.17133781716289626</v>
      </c>
      <c r="H2997" s="856">
        <f>INDEX(神经网络!$G$10:$BO$70,MATCH(ROUND(G2997*2,1)/2,神经网络!$E$10:$E$70,0),MATCH(ROUND(E2997*2,1)/2,神经网络!$G$8:$BO$8,0))</f>
        <v>-0.38990896592980601</v>
      </c>
      <c r="I2997">
        <f t="shared" si="410"/>
        <v>580320.30594879284</v>
      </c>
      <c r="J2997">
        <f t="shared" si="411"/>
        <v>2589.0906188899057</v>
      </c>
      <c r="K2997">
        <f t="shared" si="412"/>
        <v>224.14059272966276</v>
      </c>
      <c r="L2997" s="4">
        <f>MIN(MAX(L2996*(1+MAX(MIN(((B2997-B2996)/B2996)/($K$7*卓尔金历!$N$40),0),-卓尔金历!$M$43))+MIN(MAX(((B2997-B2996)/B2996)/($K$7*卓尔金历!$N$40),0),卓尔金历!$M$43),0),1)</f>
        <v>0.79426077647896032</v>
      </c>
      <c r="M2997" s="4">
        <f>MIN(MAX(M2996*(1+MAX(MIN(((B2997-B2996)/B2996)/($K$7*30),0),-卓尔金历!$M$43))+MIN(MAX(((B2997-B2996)/B2996)/($K$7*7),0),卓尔金历!$M$43),0),1)</f>
        <v>1</v>
      </c>
      <c r="N2997">
        <f t="shared" si="413"/>
        <v>240622.31706389302</v>
      </c>
      <c r="O2997">
        <f t="shared" si="414"/>
        <v>654721.45896996174</v>
      </c>
      <c r="P2997">
        <f t="shared" si="415"/>
        <v>2.8422921950564096E-3</v>
      </c>
      <c r="Q2997">
        <f t="shared" si="416"/>
        <v>1.4951588552183053E-2</v>
      </c>
      <c r="R2997">
        <f t="shared" si="417"/>
        <v>1</v>
      </c>
      <c r="S2997">
        <f t="shared" si="409"/>
        <v>1092.5908827889164</v>
      </c>
      <c r="T2997" s="564">
        <f>IF((I2997-MAX(I$470:I2997))/MAX(I$470:I2997)&gt;T2996,T2996,(I2997-MAX(I$470:I2997))/MAX(I$470:I2997))</f>
        <v>-0.91338805338419748</v>
      </c>
      <c r="U2997" s="564">
        <f>IF((J2997-MAX(J$470:J2997))/MAX(J$470:J2997)&gt;U2996,U2996,(J2997-MAX(J$470:J2997))/MAX(J$470:J2997))</f>
        <v>-0.8283551177402233</v>
      </c>
      <c r="V2997" s="564">
        <f>IF((K2997-MAX(K$470:K2997))/MAX(K$470:K2997)&gt;V2996,V2996,(K2997-MAX(K$470:K2997))/MAX(K$470:K2997))</f>
        <v>-0.84885940676762139</v>
      </c>
      <c r="W2997" s="564">
        <f>IF((N2997-MAX(N$470:N2997))/MAX(N$470:N2997)&gt;W2996,W2996,(N2997-MAX(N$470:N2997))/MAX(N$470:N2997))</f>
        <v>-0.62788758315546067</v>
      </c>
      <c r="X2997" s="564">
        <f>IF((O2997-MAX(O$470:O2997))/MAX(O$470:O2997)&gt;X2996,X2996,(O2997-MAX(O$470:O2997))/MAX(O$470:O2997))</f>
        <v>-0.62788758315546067</v>
      </c>
    </row>
    <row r="2998" spans="1:24">
      <c r="A2998" s="799">
        <v>43400</v>
      </c>
      <c r="B2998">
        <v>6492.69</v>
      </c>
      <c r="C2998">
        <v>6765.6353440000003</v>
      </c>
      <c r="D2998">
        <v>1.2898069999999999</v>
      </c>
      <c r="E2998">
        <f>LN(D2998/参数实验室!$E$53)/参数实验室!$E$55</f>
        <v>-0.39272982966918019</v>
      </c>
      <c r="F2998">
        <f t="shared" si="408"/>
        <v>1.042038868943381</v>
      </c>
      <c r="G2998">
        <f>LN(F2998/参数实验室!$E$58)/参数实验室!$E$59</f>
        <v>-0.16891693148477988</v>
      </c>
      <c r="H2998" s="856">
        <f>INDEX(神经网络!$G$10:$BO$70,MATCH(ROUND(G2998*2,1)/2,神经网络!$E$10:$E$70,0),MATCH(ROUND(E2998*2,1)/2,神经网络!$G$8:$BO$8,0))</f>
        <v>-0.38990896592980601</v>
      </c>
      <c r="I2998">
        <f t="shared" si="410"/>
        <v>580174.88686755858</v>
      </c>
      <c r="J2998">
        <f t="shared" si="411"/>
        <v>2590.7545588763387</v>
      </c>
      <c r="K2998">
        <f t="shared" si="412"/>
        <v>223.94050601195966</v>
      </c>
      <c r="L2998" s="4">
        <f>MIN(MAX(L2997*(1+MAX(MIN(((B2998-B2997)/B2997)/($K$7*卓尔金历!$N$40),0),-卓尔金历!$M$43))+MIN(MAX(((B2998-B2997)/B2997)/($K$7*卓尔金历!$N$40),0),卓尔金历!$M$43),0),1)</f>
        <v>0.80408021116519723</v>
      </c>
      <c r="M2998" s="4">
        <f>MIN(MAX(M2997*(1+MAX(MIN(((B2998-B2997)/B2997)/($K$7*30),0),-卓尔金历!$M$43))+MIN(MAX(((B2998-B2997)/B2997)/($K$7*7),0),卓尔金历!$M$43),0),1)</f>
        <v>1</v>
      </c>
      <c r="N2998">
        <f t="shared" si="413"/>
        <v>240574.42620237282</v>
      </c>
      <c r="O2998">
        <f t="shared" si="414"/>
        <v>654557.39613767446</v>
      </c>
      <c r="P2998">
        <f t="shared" si="415"/>
        <v>6.4267352185077078E-4</v>
      </c>
      <c r="Q2998">
        <f t="shared" si="416"/>
        <v>1.4879827991448397E-2</v>
      </c>
      <c r="R2998">
        <f t="shared" si="417"/>
        <v>1</v>
      </c>
      <c r="S2998">
        <f t="shared" si="409"/>
        <v>1092.317096811222</v>
      </c>
      <c r="T2998" s="564">
        <f>IF((I2998-MAX(I$470:I2998))/MAX(I$470:I2998)&gt;T2997,T2997,(I2998-MAX(I$470:I2998))/MAX(I$470:I2998))</f>
        <v>-0.91338805338419748</v>
      </c>
      <c r="U2998" s="564">
        <f>IF((J2998-MAX(J$470:J2998))/MAX(J$470:J2998)&gt;U2997,U2997,(J2998-MAX(J$470:J2998))/MAX(J$470:J2998))</f>
        <v>-0.8283551177402233</v>
      </c>
      <c r="V2998" s="564">
        <f>IF((K2998-MAX(K$470:K2998))/MAX(K$470:K2998)&gt;V2997,V2997,(K2998-MAX(K$470:K2998))/MAX(K$470:K2998))</f>
        <v>-0.84885940676762139</v>
      </c>
      <c r="W2998" s="564">
        <f>IF((N2998-MAX(N$470:N2998))/MAX(N$470:N2998)&gt;W2997,W2997,(N2998-MAX(N$470:N2998))/MAX(N$470:N2998))</f>
        <v>-0.62788758315546067</v>
      </c>
      <c r="X2998" s="564">
        <f>IF((O2998-MAX(O$470:O2998))/MAX(O$470:O2998)&gt;X2997,X2997,(O2998-MAX(O$470:O2998))/MAX(O$470:O2998))</f>
        <v>-0.62788758315546067</v>
      </c>
    </row>
    <row r="2999" spans="1:24">
      <c r="A2999" s="799">
        <v>43401</v>
      </c>
      <c r="B2999">
        <v>6482.96</v>
      </c>
      <c r="C2999">
        <v>6835.2134550000001</v>
      </c>
      <c r="D2999">
        <v>1.2893749999999999</v>
      </c>
      <c r="E2999">
        <f>LN(D2999/参数实验室!$E$53)/参数实验室!$E$55</f>
        <v>-0.39312503513057212</v>
      </c>
      <c r="F2999">
        <f t="shared" si="408"/>
        <v>1.0543352812604119</v>
      </c>
      <c r="G2999">
        <f>LN(F2999/参数实验室!$E$58)/参数实验室!$E$59</f>
        <v>-0.16275973312867914</v>
      </c>
      <c r="H2999" s="856">
        <f>INDEX(神经网络!$G$10:$BO$70,MATCH(ROUND(G2999*2,1)/2,神经网络!$E$10:$E$70,0),MATCH(ROUND(E2999*2,1)/2,神经网络!$G$8:$BO$8,0))</f>
        <v>-0.38990896592980601</v>
      </c>
      <c r="I2999">
        <f t="shared" si="410"/>
        <v>580513.89515944012</v>
      </c>
      <c r="J2999">
        <f t="shared" si="411"/>
        <v>2586.8720322413283</v>
      </c>
      <c r="K2999">
        <f t="shared" si="412"/>
        <v>224.40765833185372</v>
      </c>
      <c r="L2999" s="4">
        <f>MIN(MAX(L2998*(1+MAX(MIN(((B2999-B2998)/B2998)/($K$7*卓尔金历!$N$40),0),-卓尔金历!$M$43))+MIN(MAX(((B2999-B2998)/B2998)/($K$7*卓尔金历!$N$40),0),卓尔金历!$M$43),0),1)</f>
        <v>0.78566894632686779</v>
      </c>
      <c r="M2999" s="4">
        <f>MIN(MAX(M2998*(1+MAX(MIN(((B2999-B2998)/B2998)/($K$7*30),0),-卓尔金历!$M$43))+MIN(MAX(((B2999-B2998)/B2998)/($K$7*7),0),卓尔金历!$M$43),0),1)</f>
        <v>0.98855135060987909</v>
      </c>
      <c r="N2999">
        <f t="shared" si="413"/>
        <v>240687.45789399435</v>
      </c>
      <c r="O2999">
        <f t="shared" si="414"/>
        <v>654939.867681731</v>
      </c>
      <c r="P2999">
        <f t="shared" si="415"/>
        <v>-1.4986084350245529E-3</v>
      </c>
      <c r="Q2999">
        <f t="shared" si="416"/>
        <v>1.4774225379547945E-2</v>
      </c>
      <c r="R2999">
        <f t="shared" si="417"/>
        <v>1</v>
      </c>
      <c r="S2999">
        <f t="shared" si="409"/>
        <v>1092.9553604823407</v>
      </c>
      <c r="T2999" s="564">
        <f>IF((I2999-MAX(I$470:I2999))/MAX(I$470:I2999)&gt;T2998,T2998,(I2999-MAX(I$470:I2999))/MAX(I$470:I2999))</f>
        <v>-0.91338805338419748</v>
      </c>
      <c r="U2999" s="564">
        <f>IF((J2999-MAX(J$470:J2999))/MAX(J$470:J2999)&gt;U2998,U2998,(J2999-MAX(J$470:J2999))/MAX(J$470:J2999))</f>
        <v>-0.8283551177402233</v>
      </c>
      <c r="V2999" s="564">
        <f>IF((K2999-MAX(K$470:K2999))/MAX(K$470:K2999)&gt;V2998,V2998,(K2999-MAX(K$470:K2999))/MAX(K$470:K2999))</f>
        <v>-0.84885940676762139</v>
      </c>
      <c r="W2999" s="564">
        <f>IF((N2999-MAX(N$470:N2999))/MAX(N$470:N2999)&gt;W2998,W2998,(N2999-MAX(N$470:N2999))/MAX(N$470:N2999))</f>
        <v>-0.62788758315546067</v>
      </c>
      <c r="X2999" s="564">
        <f>IF((O2999-MAX(O$470:O2999))/MAX(O$470:O2999)&gt;X2998,X2998,(O2999-MAX(O$470:O2999))/MAX(O$470:O2999))</f>
        <v>-0.62788758315546067</v>
      </c>
    </row>
    <row r="3000" spans="1:24">
      <c r="A3000" s="799">
        <v>43402</v>
      </c>
      <c r="B3000">
        <v>6467.27</v>
      </c>
      <c r="C3000">
        <v>6866.6745979999996</v>
      </c>
      <c r="D3000">
        <v>1.261077</v>
      </c>
      <c r="E3000">
        <f>LN(D3000/参数实验室!$E$53)/参数实验室!$E$55</f>
        <v>-0.41930551399723115</v>
      </c>
      <c r="F3000">
        <f t="shared" si="408"/>
        <v>1.0617578356864641</v>
      </c>
      <c r="G3000">
        <f>LN(F3000/参数实验室!$E$58)/参数实验室!$E$59</f>
        <v>-0.15907768941624348</v>
      </c>
      <c r="H3000" s="856">
        <f>INDEX(神经网络!$G$10:$BO$70,MATCH(ROUND(G3000*2,1)/2,神经网络!$E$10:$E$70,0),MATCH(ROUND(E3000*2,1)/2,神经网络!$G$8:$BO$8,0))</f>
        <v>-0.38990896592980601</v>
      </c>
      <c r="I3000">
        <f t="shared" si="410"/>
        <v>581061.69946698099</v>
      </c>
      <c r="J3000">
        <f t="shared" si="411"/>
        <v>2580.6113084074832</v>
      </c>
      <c r="K3000">
        <f t="shared" si="412"/>
        <v>225.16436224778036</v>
      </c>
      <c r="L3000" s="4">
        <f>MIN(MAX(L2999*(1+MAX(MIN(((B3000-B2999)/B2999)/($K$7*卓尔金历!$N$40),0),-卓尔金历!$M$43))+MIN(MAX(((B3000-B2999)/B2999)/($K$7*卓尔金历!$N$40),0),卓尔金历!$M$43),0),1)</f>
        <v>0.75661632871760109</v>
      </c>
      <c r="M3000" s="4">
        <f>MIN(MAX(M2999*(1+MAX(MIN(((B3000-B2999)/B2999)/($K$7*30),0),-卓尔金历!$M$43))+MIN(MAX(((B3000-B2999)/B2999)/($K$7*7),0),卓尔金历!$M$43),0),1)</f>
        <v>0.97027392949589486</v>
      </c>
      <c r="N3000">
        <f t="shared" si="413"/>
        <v>240865.90350530209</v>
      </c>
      <c r="O3000">
        <f t="shared" si="414"/>
        <v>655550.82867687696</v>
      </c>
      <c r="P3000">
        <f t="shared" si="415"/>
        <v>-2.420190777052396E-3</v>
      </c>
      <c r="Q3000">
        <f t="shared" si="416"/>
        <v>1.4750754112374196E-2</v>
      </c>
      <c r="R3000">
        <f t="shared" si="417"/>
        <v>1</v>
      </c>
      <c r="S3000">
        <f t="shared" si="409"/>
        <v>1093.9867322710516</v>
      </c>
      <c r="T3000" s="564">
        <f>IF((I3000-MAX(I$470:I3000))/MAX(I$470:I3000)&gt;T2999,T2999,(I3000-MAX(I$470:I3000))/MAX(I$470:I3000))</f>
        <v>-0.91338805338419748</v>
      </c>
      <c r="U3000" s="564">
        <f>IF((J3000-MAX(J$470:J3000))/MAX(J$470:J3000)&gt;U2999,U2999,(J3000-MAX(J$470:J3000))/MAX(J$470:J3000))</f>
        <v>-0.8283551177402233</v>
      </c>
      <c r="V3000" s="564">
        <f>IF((K3000-MAX(K$470:K3000))/MAX(K$470:K3000)&gt;V2999,V2999,(K3000-MAX(K$470:K3000))/MAX(K$470:K3000))</f>
        <v>-0.84885940676762139</v>
      </c>
      <c r="W3000" s="564">
        <f>IF((N3000-MAX(N$470:N3000))/MAX(N$470:N3000)&gt;W2999,W2999,(N3000-MAX(N$470:N3000))/MAX(N$470:N3000))</f>
        <v>-0.62788758315546067</v>
      </c>
      <c r="X3000" s="564">
        <f>IF((O3000-MAX(O$470:O3000))/MAX(O$470:O3000)&gt;X2999,X2999,(O3000-MAX(O$470:O3000))/MAX(O$470:O3000))</f>
        <v>-0.62788758315546067</v>
      </c>
    </row>
    <row r="3001" spans="1:24">
      <c r="A3001" s="799">
        <v>43403</v>
      </c>
      <c r="B3001">
        <v>6332.3</v>
      </c>
      <c r="C3001">
        <v>6913.1853730000003</v>
      </c>
      <c r="D3001">
        <v>1.2632920000000001</v>
      </c>
      <c r="E3001">
        <f>LN(D3001/参数实验室!$E$53)/参数实验室!$E$55</f>
        <v>-0.41723517158213036</v>
      </c>
      <c r="F3001">
        <f t="shared" si="408"/>
        <v>1.0917337101842932</v>
      </c>
      <c r="G3001">
        <f>LN(F3001/参数实验室!$E$58)/参数实验室!$E$59</f>
        <v>-0.14446516382077479</v>
      </c>
      <c r="H3001" s="856">
        <f>INDEX(神经网络!$G$10:$BO$70,MATCH(ROUND(G3001*2,1)/2,神经网络!$E$10:$E$70,0),MATCH(ROUND(E3001*2,1)/2,神经网络!$G$8:$BO$8,0))</f>
        <v>-0.38990896592980601</v>
      </c>
      <c r="I3001">
        <f t="shared" si="410"/>
        <v>585789.9635763173</v>
      </c>
      <c r="J3001">
        <f t="shared" si="411"/>
        <v>2526.7547184868895</v>
      </c>
      <c r="K3001">
        <f t="shared" si="412"/>
        <v>231.83491428369001</v>
      </c>
      <c r="L3001" s="4">
        <f>MIN(MAX(L3000*(1+MAX(MIN(((B3001-B3000)/B3000)/($K$7*卓尔金历!$N$40),0),-卓尔金历!$M$43))+MIN(MAX(((B3001-B3000)/B3000)/($K$7*卓尔金历!$N$40),0),卓尔金历!$M$43),0),1)</f>
        <v>0.51535481771912883</v>
      </c>
      <c r="M3001" s="4">
        <f>MIN(MAX(M3000*(1+MAX(MIN(((B3001-B3000)/B3000)/($K$7*30),0),-卓尔金历!$M$43))+MIN(MAX(((B3001-B3000)/B3000)/($K$7*7),0),卓尔金历!$M$43),0),1)</f>
        <v>0.81557877858012851</v>
      </c>
      <c r="N3001">
        <f t="shared" si="413"/>
        <v>242348.86718099396</v>
      </c>
      <c r="O3001">
        <f t="shared" si="414"/>
        <v>660726.66114153946</v>
      </c>
      <c r="P3001">
        <f t="shared" si="415"/>
        <v>-2.0869702362820826E-2</v>
      </c>
      <c r="Q3001">
        <f t="shared" si="416"/>
        <v>1.5202836104554111E-2</v>
      </c>
      <c r="R3001">
        <f t="shared" si="417"/>
        <v>1.0077472364518832E-2</v>
      </c>
      <c r="S3001">
        <f t="shared" si="409"/>
        <v>1102.888813077672</v>
      </c>
      <c r="T3001" s="564">
        <f>IF((I3001-MAX(I$470:I3001))/MAX(I$470:I3001)&gt;T3000,T3000,(I3001-MAX(I$470:I3001))/MAX(I$470:I3001))</f>
        <v>-0.91338805338419748</v>
      </c>
      <c r="U3001" s="564">
        <f>IF((J3001-MAX(J$470:J3001))/MAX(J$470:J3001)&gt;U3000,U3000,(J3001-MAX(J$470:J3001))/MAX(J$470:J3001))</f>
        <v>-0.8283551177402233</v>
      </c>
      <c r="V3001" s="564">
        <f>IF((K3001-MAX(K$470:K3001))/MAX(K$470:K3001)&gt;V3000,V3000,(K3001-MAX(K$470:K3001))/MAX(K$470:K3001))</f>
        <v>-0.84885940676762139</v>
      </c>
      <c r="W3001" s="564">
        <f>IF((N3001-MAX(N$470:N3001))/MAX(N$470:N3001)&gt;W3000,W3000,(N3001-MAX(N$470:N3001))/MAX(N$470:N3001))</f>
        <v>-0.62788758315546067</v>
      </c>
      <c r="X3001" s="564">
        <f>IF((O3001-MAX(O$470:O3001))/MAX(O$470:O3001)&gt;X3000,X3000,(O3001-MAX(O$470:O3001))/MAX(O$470:O3001))</f>
        <v>-0.62788758315546067</v>
      </c>
    </row>
    <row r="3002" spans="1:24">
      <c r="A3002" s="799">
        <v>43404</v>
      </c>
      <c r="B3002">
        <v>6325.36</v>
      </c>
      <c r="C3002">
        <v>6891.2229340000004</v>
      </c>
      <c r="D3002">
        <v>1.270737</v>
      </c>
      <c r="E3002">
        <f>LN(D3002/参数实验室!$E$53)/参数实验室!$E$55</f>
        <v>-0.41030290034642075</v>
      </c>
      <c r="F3002">
        <f t="shared" si="408"/>
        <v>1.0894594037335426</v>
      </c>
      <c r="G3002">
        <f>LN(F3002/参数实验室!$E$58)/参数实验室!$E$59</f>
        <v>-0.14555968347688059</v>
      </c>
      <c r="H3002" s="856">
        <f>INDEX(神经网络!$G$10:$BO$70,MATCH(ROUND(G3002*2,1)/2,神经网络!$E$10:$E$70,0),MATCH(ROUND(E3002*2,1)/2,神经网络!$G$8:$BO$8,0))</f>
        <v>-0.38990896592980601</v>
      </c>
      <c r="I3002">
        <f t="shared" si="410"/>
        <v>586040.2879493119</v>
      </c>
      <c r="J3002">
        <f t="shared" si="411"/>
        <v>2523.9854754399239</v>
      </c>
      <c r="K3002">
        <f t="shared" si="412"/>
        <v>232.18845498592523</v>
      </c>
      <c r="L3002" s="4">
        <f>MIN(MAX(L3001*(1+MAX(MIN(((B3002-B3001)/B3001)/($K$7*卓尔金历!$N$40),0),-卓尔金历!$M$43))+MIN(MAX(((B3002-B3001)/B3001)/($K$7*卓尔金历!$N$40),0),卓尔金历!$M$43),0),1)</f>
        <v>0.50672502414710263</v>
      </c>
      <c r="M3002" s="4">
        <f>MIN(MAX(M3001*(1+MAX(MIN(((B3002-B3001)/B3001)/($K$7*30),0),-卓尔金历!$M$43))+MIN(MAX(((B3002-B3001)/B3001)/($K$7*7),0),卓尔金历!$M$43),0),1)</f>
        <v>0.80875020508194906</v>
      </c>
      <c r="N3002">
        <f t="shared" si="413"/>
        <v>242402.23857482051</v>
      </c>
      <c r="O3002">
        <f t="shared" si="414"/>
        <v>660956.93729098991</v>
      </c>
      <c r="P3002">
        <f t="shared" si="415"/>
        <v>-1.0959682895631143E-3</v>
      </c>
      <c r="Q3002">
        <f t="shared" si="416"/>
        <v>1.5115505274427139E-2</v>
      </c>
      <c r="R3002">
        <f t="shared" si="417"/>
        <v>1</v>
      </c>
      <c r="S3002">
        <f t="shared" si="409"/>
        <v>1102.8935625412096</v>
      </c>
      <c r="T3002" s="564">
        <f>IF((I3002-MAX(I$470:I3002))/MAX(I$470:I3002)&gt;T3001,T3001,(I3002-MAX(I$470:I3002))/MAX(I$470:I3002))</f>
        <v>-0.91338805338419748</v>
      </c>
      <c r="U3002" s="564">
        <f>IF((J3002-MAX(J$470:J3002))/MAX(J$470:J3002)&gt;U3001,U3001,(J3002-MAX(J$470:J3002))/MAX(J$470:J3002))</f>
        <v>-0.8283551177402233</v>
      </c>
      <c r="V3002" s="564">
        <f>IF((K3002-MAX(K$470:K3002))/MAX(K$470:K3002)&gt;V3001,V3001,(K3002-MAX(K$470:K3002))/MAX(K$470:K3002))</f>
        <v>-0.84885940676762139</v>
      </c>
      <c r="W3002" s="564">
        <f>IF((N3002-MAX(N$470:N3002))/MAX(N$470:N3002)&gt;W3001,W3001,(N3002-MAX(N$470:N3002))/MAX(N$470:N3002))</f>
        <v>-0.62788758315546067</v>
      </c>
      <c r="X3002" s="564">
        <f>IF((O3002-MAX(O$470:O3002))/MAX(O$470:O3002)&gt;X3001,X3001,(O3002-MAX(O$470:O3002))/MAX(O$470:O3002))</f>
        <v>-0.62788758315546067</v>
      </c>
    </row>
    <row r="3003" spans="1:24">
      <c r="A3003" s="799">
        <v>43405</v>
      </c>
      <c r="B3003">
        <v>6393.02</v>
      </c>
      <c r="C3003">
        <v>6811.0311069999998</v>
      </c>
      <c r="D3003">
        <v>1.2788390000000001</v>
      </c>
      <c r="E3003">
        <f>LN(D3003/参数实验室!$E$53)/参数实验室!$E$55</f>
        <v>-0.40280487482588134</v>
      </c>
      <c r="F3003">
        <f t="shared" si="408"/>
        <v>1.0653855465804893</v>
      </c>
      <c r="G3003">
        <f>LN(F3003/参数实验室!$E$58)/参数实验室!$E$59</f>
        <v>-0.15728747575063512</v>
      </c>
      <c r="H3003" s="856">
        <f>INDEX(神经网络!$G$10:$BO$70,MATCH(ROUND(G3003*2,1)/2,神经网络!$E$10:$E$70,0),MATCH(ROUND(E3003*2,1)/2,神经网络!$G$8:$BO$8,0))</f>
        <v>-0.38990896592980601</v>
      </c>
      <c r="I3003">
        <f t="shared" si="410"/>
        <v>583596.08400549134</v>
      </c>
      <c r="J3003">
        <f t="shared" si="411"/>
        <v>2550.9836000159585</v>
      </c>
      <c r="K3003">
        <f t="shared" si="412"/>
        <v>228.7729658480911</v>
      </c>
      <c r="L3003" s="4">
        <f>MIN(MAX(L3002*(1+MAX(MIN(((B3003-B3002)/B3002)/($K$7*卓尔金历!$N$40),0),-卓尔金历!$M$43))+MIN(MAX(((B3003-B3002)/B3002)/($K$7*卓尔金历!$N$40),0),卓尔金历!$M$43),0),1)</f>
        <v>0.67015917991929141</v>
      </c>
      <c r="M3003" s="4">
        <f>MIN(MAX(M3002*(1+MAX(MIN(((B3003-B3002)/B3002)/($K$7*30),0),-卓尔金历!$M$43))+MIN(MAX(((B3003-B3002)/B3002)/($K$7*7),0),卓尔金历!$M$43),0),1)</f>
        <v>1</v>
      </c>
      <c r="N3003">
        <f t="shared" si="413"/>
        <v>241889.94495670078</v>
      </c>
      <c r="O3003">
        <f t="shared" si="414"/>
        <v>658727.48831960687</v>
      </c>
      <c r="P3003">
        <f t="shared" si="415"/>
        <v>1.0696624381853486E-2</v>
      </c>
      <c r="Q3003">
        <f t="shared" si="416"/>
        <v>1.2001388809227045E-2</v>
      </c>
      <c r="R3003">
        <f t="shared" si="417"/>
        <v>0.13194937554579556</v>
      </c>
      <c r="S3003">
        <f t="shared" si="409"/>
        <v>1098.293713604867</v>
      </c>
      <c r="T3003" s="564">
        <f>IF((I3003-MAX(I$470:I3003))/MAX(I$470:I3003)&gt;T3002,T3002,(I3003-MAX(I$470:I3003))/MAX(I$470:I3003))</f>
        <v>-0.91338805338419748</v>
      </c>
      <c r="U3003" s="564">
        <f>IF((J3003-MAX(J$470:J3003))/MAX(J$470:J3003)&gt;U3002,U3002,(J3003-MAX(J$470:J3003))/MAX(J$470:J3003))</f>
        <v>-0.8283551177402233</v>
      </c>
      <c r="V3003" s="564">
        <f>IF((K3003-MAX(K$470:K3003))/MAX(K$470:K3003)&gt;V3002,V3002,(K3003-MAX(K$470:K3003))/MAX(K$470:K3003))</f>
        <v>-0.84885940676762139</v>
      </c>
      <c r="W3003" s="564">
        <f>IF((N3003-MAX(N$470:N3003))/MAX(N$470:N3003)&gt;W3002,W3002,(N3003-MAX(N$470:N3003))/MAX(N$470:N3003))</f>
        <v>-0.62788758315546067</v>
      </c>
      <c r="X3003" s="564">
        <f>IF((O3003-MAX(O$470:O3003))/MAX(O$470:O3003)&gt;X3002,X3002,(O3003-MAX(O$470:O3003))/MAX(O$470:O3003))</f>
        <v>-0.62788758315546067</v>
      </c>
    </row>
    <row r="3004" spans="1:24">
      <c r="A3004" s="799">
        <v>43406</v>
      </c>
      <c r="B3004">
        <v>6356.13</v>
      </c>
      <c r="C3004">
        <v>6822.919707</v>
      </c>
      <c r="D3004">
        <v>1.2799510000000001</v>
      </c>
      <c r="E3004">
        <f>LN(D3004/参数实验室!$E$53)/参数实验室!$E$55</f>
        <v>-0.40177947947113579</v>
      </c>
      <c r="F3004">
        <f t="shared" si="408"/>
        <v>1.0734392951371352</v>
      </c>
      <c r="G3004">
        <f>LN(F3004/参数实验室!$E$58)/参数实验室!$E$59</f>
        <v>-0.1533347794960791</v>
      </c>
      <c r="H3004" s="856">
        <f>INDEX(神经网络!$G$10:$BO$70,MATCH(ROUND(G3004*2,1)/2,神经网络!$E$10:$E$70,0),MATCH(ROUND(E3004*2,1)/2,神经网络!$G$8:$BO$8,0))</f>
        <v>-0.38990896592980601</v>
      </c>
      <c r="I3004">
        <f t="shared" si="410"/>
        <v>584909.12469056435</v>
      </c>
      <c r="J3004">
        <f t="shared" si="411"/>
        <v>2536.2635170184722</v>
      </c>
      <c r="K3004">
        <f t="shared" si="412"/>
        <v>230.61843564984116</v>
      </c>
      <c r="L3004" s="4">
        <f>MIN(MAX(L3003*(1+MAX(MIN(((B3004-B3003)/B3003)/($K$7*卓尔金历!$N$40),0),-卓尔金历!$M$43))+MIN(MAX(((B3004-B3003)/B3003)/($K$7*卓尔金历!$N$40),0),卓尔金历!$M$43),0),1)</f>
        <v>0.61107426131811304</v>
      </c>
      <c r="M3004" s="4">
        <f>MIN(MAX(M3003*(1+MAX(MIN(((B3004-B3003)/B3003)/($K$7*30),0),-卓尔金历!$M$43))+MIN(MAX(((B3004-B3003)/B3003)/($K$7*7),0),卓尔金历!$M$43),0),1)</f>
        <v>0.95591725042974562</v>
      </c>
      <c r="N3004">
        <f t="shared" si="413"/>
        <v>242254.66665435513</v>
      </c>
      <c r="O3004">
        <f t="shared" si="414"/>
        <v>660209.5681625749</v>
      </c>
      <c r="P3004">
        <f t="shared" si="415"/>
        <v>-5.7703557942881964E-3</v>
      </c>
      <c r="Q3004">
        <f t="shared" si="416"/>
        <v>1.208041835030265E-2</v>
      </c>
      <c r="R3004">
        <f t="shared" si="417"/>
        <v>0.75972072206697694</v>
      </c>
      <c r="S3004">
        <f t="shared" si="409"/>
        <v>1098.6197691954487</v>
      </c>
      <c r="T3004" s="564">
        <f>IF((I3004-MAX(I$470:I3004))/MAX(I$470:I3004)&gt;T3003,T3003,(I3004-MAX(I$470:I3004))/MAX(I$470:I3004))</f>
        <v>-0.91338805338419748</v>
      </c>
      <c r="U3004" s="564">
        <f>IF((J3004-MAX(J$470:J3004))/MAX(J$470:J3004)&gt;U3003,U3003,(J3004-MAX(J$470:J3004))/MAX(J$470:J3004))</f>
        <v>-0.8283551177402233</v>
      </c>
      <c r="V3004" s="564">
        <f>IF((K3004-MAX(K$470:K3004))/MAX(K$470:K3004)&gt;V3003,V3003,(K3004-MAX(K$470:K3004))/MAX(K$470:K3004))</f>
        <v>-0.84885940676762139</v>
      </c>
      <c r="W3004" s="564">
        <f>IF((N3004-MAX(N$470:N3004))/MAX(N$470:N3004)&gt;W3003,W3003,(N3004-MAX(N$470:N3004))/MAX(N$470:N3004))</f>
        <v>-0.62788758315546067</v>
      </c>
      <c r="X3004" s="564">
        <f>IF((O3004-MAX(O$470:O3004))/MAX(O$470:O3004)&gt;X3003,X3003,(O3004-MAX(O$470:O3004))/MAX(O$470:O3004))</f>
        <v>-0.62788758315546067</v>
      </c>
    </row>
    <row r="3005" spans="1:24">
      <c r="A3005" s="799">
        <v>43407</v>
      </c>
      <c r="B3005">
        <v>6371.47</v>
      </c>
      <c r="C3005">
        <v>6772.5408120000002</v>
      </c>
      <c r="D3005">
        <v>1.2769010000000001</v>
      </c>
      <c r="E3005">
        <f>LN(D3005/参数实验室!$E$53)/参数实验室!$E$55</f>
        <v>-0.40459407265120334</v>
      </c>
      <c r="F3005">
        <f t="shared" si="408"/>
        <v>1.0629479244193256</v>
      </c>
      <c r="G3005">
        <f>LN(F3005/参数实验室!$E$58)/参数实验室!$E$59</f>
        <v>-0.15848972758160446</v>
      </c>
      <c r="H3005" s="856">
        <f>INDEX(神经网络!$G$10:$BO$70,MATCH(ROUND(G3005*2,1)/2,神经网络!$E$10:$E$70,0),MATCH(ROUND(E3005*2,1)/2,神经网络!$G$8:$BO$8,0))</f>
        <v>-0.38990896592980601</v>
      </c>
      <c r="I3005">
        <f t="shared" si="410"/>
        <v>584358.71736320714</v>
      </c>
      <c r="J3005">
        <f t="shared" si="411"/>
        <v>2542.3845816208427</v>
      </c>
      <c r="K3005">
        <f t="shared" si="412"/>
        <v>229.84670438437831</v>
      </c>
      <c r="L3005" s="4">
        <f>MIN(MAX(L3004*(1+MAX(MIN(((B3005-B3004)/B3004)/($K$7*卓尔金历!$N$40),0),-卓尔金历!$M$43))+MIN(MAX(((B3005-B3004)/B3004)/($K$7*卓尔金历!$N$40),0),卓尔金历!$M$43),0),1)</f>
        <v>0.64794897585403766</v>
      </c>
      <c r="M3005" s="4">
        <f>MIN(MAX(M3004*(1+MAX(MIN(((B3005-B3004)/B3004)/($K$7*30),0),-卓尔金历!$M$43))+MIN(MAX(((B3005-B3004)/B3004)/($K$7*7),0),卓尔金历!$M$43),0),1)</f>
        <v>1</v>
      </c>
      <c r="N3005">
        <f t="shared" si="413"/>
        <v>242115.36317827832</v>
      </c>
      <c r="O3005">
        <f t="shared" si="414"/>
        <v>659615.68922434701</v>
      </c>
      <c r="P3005">
        <f t="shared" si="415"/>
        <v>2.4134182277581085E-3</v>
      </c>
      <c r="Q3005">
        <f t="shared" si="416"/>
        <v>1.2059920506407083E-2</v>
      </c>
      <c r="R3005">
        <f t="shared" si="417"/>
        <v>1</v>
      </c>
      <c r="S3005">
        <f t="shared" si="409"/>
        <v>1097.8343578103165</v>
      </c>
      <c r="T3005" s="564">
        <f>IF((I3005-MAX(I$470:I3005))/MAX(I$470:I3005)&gt;T3004,T3004,(I3005-MAX(I$470:I3005))/MAX(I$470:I3005))</f>
        <v>-0.91338805338419748</v>
      </c>
      <c r="U3005" s="564">
        <f>IF((J3005-MAX(J$470:J3005))/MAX(J$470:J3005)&gt;U3004,U3004,(J3005-MAX(J$470:J3005))/MAX(J$470:J3005))</f>
        <v>-0.8283551177402233</v>
      </c>
      <c r="V3005" s="564">
        <f>IF((K3005-MAX(K$470:K3005))/MAX(K$470:K3005)&gt;V3004,V3004,(K3005-MAX(K$470:K3005))/MAX(K$470:K3005))</f>
        <v>-0.84885940676762139</v>
      </c>
      <c r="W3005" s="564">
        <f>IF((N3005-MAX(N$470:N3005))/MAX(N$470:N3005)&gt;W3004,W3004,(N3005-MAX(N$470:N3005))/MAX(N$470:N3005))</f>
        <v>-0.62788758315546067</v>
      </c>
      <c r="X3005" s="564">
        <f>IF((O3005-MAX(O$470:O3005))/MAX(O$470:O3005)&gt;X3004,X3004,(O3005-MAX(O$470:O3005))/MAX(O$470:O3005))</f>
        <v>-0.62788758315546067</v>
      </c>
    </row>
    <row r="3006" spans="1:24">
      <c r="A3006" s="799">
        <v>43408</v>
      </c>
      <c r="B3006">
        <v>6367.93</v>
      </c>
      <c r="C3006">
        <v>6808.0587560000004</v>
      </c>
      <c r="D3006">
        <v>1.2945949999999999</v>
      </c>
      <c r="E3006">
        <f>LN(D3006/参数实验室!$E$53)/参数实验室!$E$55</f>
        <v>-0.38835847800266243</v>
      </c>
      <c r="F3006">
        <f t="shared" si="408"/>
        <v>1.0691164563680819</v>
      </c>
      <c r="G3006">
        <f>LN(F3006/参数实验室!$E$58)/参数实验室!$E$59</f>
        <v>-0.15545268236286786</v>
      </c>
      <c r="H3006" s="856">
        <f>INDEX(神经网络!$G$10:$BO$70,MATCH(ROUND(G3006*2,1)/2,神经网络!$E$10:$E$70,0),MATCH(ROUND(E3006*2,1)/2,神经网络!$G$8:$BO$8,0))</f>
        <v>-0.38990896592980601</v>
      </c>
      <c r="I3006">
        <f t="shared" si="410"/>
        <v>584485.30939446448</v>
      </c>
      <c r="J3006">
        <f t="shared" si="411"/>
        <v>2540.9720282510648</v>
      </c>
      <c r="K3006">
        <f t="shared" si="412"/>
        <v>230.02429892813976</v>
      </c>
      <c r="L3006" s="4">
        <f>MIN(MAX(L3005*(1+MAX(MIN(((B3006-B3005)/B3005)/($K$7*卓尔金历!$N$40),0),-卓尔金历!$M$43))+MIN(MAX(((B3006-B3005)/B3005)/($K$7*卓尔金历!$N$40),0),卓尔金历!$M$43),0),1)</f>
        <v>0.64244849692127959</v>
      </c>
      <c r="M3006" s="4">
        <f>MIN(MAX(M3005*(1+MAX(MIN(((B3006-B3005)/B3005)/($K$7*30),0),-卓尔金历!$M$43))+MIN(MAX(((B3006-B3005)/B3005)/($K$7*7),0),卓尔金历!$M$43),0),1)</f>
        <v>0.99575546907415968</v>
      </c>
      <c r="N3006">
        <f t="shared" si="413"/>
        <v>242149.34839135059</v>
      </c>
      <c r="O3006">
        <f t="shared" si="414"/>
        <v>659758.58448280219</v>
      </c>
      <c r="P3006">
        <f t="shared" si="415"/>
        <v>-5.5560176850867442E-4</v>
      </c>
      <c r="Q3006">
        <f t="shared" si="416"/>
        <v>1.2062247153655401E-2</v>
      </c>
      <c r="R3006">
        <f t="shared" si="417"/>
        <v>1</v>
      </c>
      <c r="S3006">
        <f t="shared" si="409"/>
        <v>1098.0721861804766</v>
      </c>
      <c r="T3006" s="564">
        <f>IF((I3006-MAX(I$470:I3006))/MAX(I$470:I3006)&gt;T3005,T3005,(I3006-MAX(I$470:I3006))/MAX(I$470:I3006))</f>
        <v>-0.91338805338419748</v>
      </c>
      <c r="U3006" s="564">
        <f>IF((J3006-MAX(J$470:J3006))/MAX(J$470:J3006)&gt;U3005,U3005,(J3006-MAX(J$470:J3006))/MAX(J$470:J3006))</f>
        <v>-0.8283551177402233</v>
      </c>
      <c r="V3006" s="564">
        <f>IF((K3006-MAX(K$470:K3006))/MAX(K$470:K3006)&gt;V3005,V3005,(K3006-MAX(K$470:K3006))/MAX(K$470:K3006))</f>
        <v>-0.84885940676762139</v>
      </c>
      <c r="W3006" s="564">
        <f>IF((N3006-MAX(N$470:N3006))/MAX(N$470:N3006)&gt;W3005,W3005,(N3006-MAX(N$470:N3006))/MAX(N$470:N3006))</f>
        <v>-0.62788758315546067</v>
      </c>
      <c r="X3006" s="564">
        <f>IF((O3006-MAX(O$470:O3006))/MAX(O$470:O3006)&gt;X3005,X3005,(O3006-MAX(O$470:O3006))/MAX(O$470:O3006))</f>
        <v>-0.62788758315546067</v>
      </c>
    </row>
    <row r="3007" spans="1:24">
      <c r="A3007" s="799">
        <v>43409</v>
      </c>
      <c r="B3007">
        <v>6432.68</v>
      </c>
      <c r="C3007">
        <v>6719.566984</v>
      </c>
      <c r="D3007">
        <v>1.2912360000000001</v>
      </c>
      <c r="E3007">
        <f>LN(D3007/参数实验室!$E$53)/参数实验室!$E$55</f>
        <v>-0.39142348370137325</v>
      </c>
      <c r="F3007">
        <f t="shared" si="408"/>
        <v>1.0445983608698084</v>
      </c>
      <c r="G3007">
        <f>LN(F3007/参数实验室!$E$58)/参数实验室!$E$59</f>
        <v>-0.16762934748085684</v>
      </c>
      <c r="H3007" s="856">
        <f>INDEX(神经网络!$G$10:$BO$70,MATCH(ROUND(G3007*2,1)/2,神经网络!$E$10:$E$70,0),MATCH(ROUND(E3007*2,1)/2,神经网络!$G$8:$BO$8,0))</f>
        <v>-0.38990896592980601</v>
      </c>
      <c r="I3007">
        <f t="shared" si="410"/>
        <v>582168.03045884205</v>
      </c>
      <c r="J3007">
        <f t="shared" si="411"/>
        <v>2566.8089860739769</v>
      </c>
      <c r="K3007">
        <f t="shared" si="412"/>
        <v>226.80613696513825</v>
      </c>
      <c r="L3007" s="4">
        <f>MIN(MAX(L3006*(1+MAX(MIN(((B3007-B3006)/B3006)/($K$7*卓尔金历!$N$40),0),-卓尔金历!$M$43))+MIN(MAX(((B3007-B3006)/B3006)/($K$7*卓尔金历!$N$40),0),卓尔金历!$M$43),0),1)</f>
        <v>0.79780790948914038</v>
      </c>
      <c r="M3007" s="4">
        <f>MIN(MAX(M3006*(1+MAX(MIN(((B3007-B3006)/B3006)/($K$7*30),0),-卓尔金历!$M$43))+MIN(MAX(((B3007-B3006)/B3006)/($K$7*7),0),卓尔金历!$M$43),0),1)</f>
        <v>1</v>
      </c>
      <c r="N3007">
        <f t="shared" si="413"/>
        <v>241532.57399630317</v>
      </c>
      <c r="O3007">
        <f t="shared" si="414"/>
        <v>657153.97591956751</v>
      </c>
      <c r="P3007">
        <f t="shared" si="415"/>
        <v>1.0168139411080209E-2</v>
      </c>
      <c r="Q3007">
        <f t="shared" si="416"/>
        <v>6.8168825268547237E-3</v>
      </c>
      <c r="R3007">
        <f t="shared" si="417"/>
        <v>7.2390733779714462E-3</v>
      </c>
      <c r="S3007">
        <f t="shared" si="409"/>
        <v>1093.71871568955</v>
      </c>
      <c r="T3007" s="564">
        <f>IF((I3007-MAX(I$470:I3007))/MAX(I$470:I3007)&gt;T3006,T3006,(I3007-MAX(I$470:I3007))/MAX(I$470:I3007))</f>
        <v>-0.91338805338419748</v>
      </c>
      <c r="U3007" s="564">
        <f>IF((J3007-MAX(J$470:J3007))/MAX(J$470:J3007)&gt;U3006,U3006,(J3007-MAX(J$470:J3007))/MAX(J$470:J3007))</f>
        <v>-0.8283551177402233</v>
      </c>
      <c r="V3007" s="564">
        <f>IF((K3007-MAX(K$470:K3007))/MAX(K$470:K3007)&gt;V3006,V3006,(K3007-MAX(K$470:K3007))/MAX(K$470:K3007))</f>
        <v>-0.84885940676762139</v>
      </c>
      <c r="W3007" s="564">
        <f>IF((N3007-MAX(N$470:N3007))/MAX(N$470:N3007)&gt;W3006,W3006,(N3007-MAX(N$470:N3007))/MAX(N$470:N3007))</f>
        <v>-0.62788758315546067</v>
      </c>
      <c r="X3007" s="564">
        <f>IF((O3007-MAX(O$470:O3007))/MAX(O$470:O3007)&gt;X3006,X3006,(O3007-MAX(O$470:O3007))/MAX(O$470:O3007))</f>
        <v>-0.62788758315546067</v>
      </c>
    </row>
    <row r="3008" spans="1:24">
      <c r="A3008" s="799">
        <v>43410</v>
      </c>
      <c r="B3008">
        <v>6426.57</v>
      </c>
      <c r="C3008">
        <v>6788.2609160000002</v>
      </c>
      <c r="D3008">
        <v>1.298994</v>
      </c>
      <c r="E3008">
        <f>LN(D3008/参数实验室!$E$53)/参数实验室!$E$55</f>
        <v>-0.38435650274998717</v>
      </c>
      <c r="F3008">
        <f t="shared" si="408"/>
        <v>1.0562805533900665</v>
      </c>
      <c r="G3008">
        <f>LN(F3008/参数实验室!$E$58)/参数实验室!$E$59</f>
        <v>-0.16179225793544283</v>
      </c>
      <c r="H3008" s="856">
        <f>INDEX(神经网络!$G$10:$BO$70,MATCH(ROUND(G3008*2,1)/2,神经网络!$E$10:$E$70,0),MATCH(ROUND(E3008*2,1)/2,神经网络!$G$8:$BO$8,0))</f>
        <v>-0.38990896592980601</v>
      </c>
      <c r="I3008">
        <f t="shared" si="410"/>
        <v>582383.63645624043</v>
      </c>
      <c r="J3008">
        <f t="shared" si="411"/>
        <v>2564.3709349187952</v>
      </c>
      <c r="K3008">
        <f t="shared" si="412"/>
        <v>227.10584827100394</v>
      </c>
      <c r="L3008" s="4">
        <f>MIN(MAX(L3007*(1+MAX(MIN(((B3008-B3007)/B3007)/($K$7*卓尔金历!$N$40),0),-卓尔金历!$M$43))+MIN(MAX(((B3008-B3007)/B3007)/($K$7*卓尔金历!$N$40),0),卓尔金历!$M$43),0),1)</f>
        <v>0.78622963933323553</v>
      </c>
      <c r="M3008" s="4">
        <f>MIN(MAX(M3007*(1+MAX(MIN(((B3008-B3007)/B3007)/($K$7*30),0),-卓尔金历!$M$43))+MIN(MAX(((B3008-B3007)/B3007)/($K$7*7),0),卓尔金历!$M$43),0),1)</f>
        <v>0.99274369806428797</v>
      </c>
      <c r="N3008">
        <f t="shared" si="413"/>
        <v>241603.93920362997</v>
      </c>
      <c r="O3008">
        <f t="shared" si="414"/>
        <v>657397.35297053808</v>
      </c>
      <c r="P3008">
        <f t="shared" si="415"/>
        <v>-9.4983739281303929E-4</v>
      </c>
      <c r="Q3008">
        <f t="shared" si="416"/>
        <v>6.8136052359828361E-3</v>
      </c>
      <c r="R3008">
        <f t="shared" si="417"/>
        <v>1</v>
      </c>
      <c r="S3008">
        <f t="shared" si="409"/>
        <v>1093.721647940308</v>
      </c>
      <c r="T3008" s="564">
        <f>IF((I3008-MAX(I$470:I3008))/MAX(I$470:I3008)&gt;T3007,T3007,(I3008-MAX(I$470:I3008))/MAX(I$470:I3008))</f>
        <v>-0.91338805338419748</v>
      </c>
      <c r="U3008" s="564">
        <f>IF((J3008-MAX(J$470:J3008))/MAX(J$470:J3008)&gt;U3007,U3007,(J3008-MAX(J$470:J3008))/MAX(J$470:J3008))</f>
        <v>-0.8283551177402233</v>
      </c>
      <c r="V3008" s="564">
        <f>IF((K3008-MAX(K$470:K3008))/MAX(K$470:K3008)&gt;V3007,V3007,(K3008-MAX(K$470:K3008))/MAX(K$470:K3008))</f>
        <v>-0.84885940676762139</v>
      </c>
      <c r="W3008" s="564">
        <f>IF((N3008-MAX(N$470:N3008))/MAX(N$470:N3008)&gt;W3007,W3007,(N3008-MAX(N$470:N3008))/MAX(N$470:N3008))</f>
        <v>-0.62788758315546067</v>
      </c>
      <c r="X3008" s="564">
        <f>IF((O3008-MAX(O$470:O3008))/MAX(O$470:O3008)&gt;X3007,X3007,(O3008-MAX(O$470:O3008))/MAX(O$470:O3008))</f>
        <v>-0.62788758315546067</v>
      </c>
    </row>
    <row r="3009" spans="1:24">
      <c r="A3009" s="799">
        <v>43411</v>
      </c>
      <c r="B3009">
        <v>6537.26</v>
      </c>
      <c r="C3009">
        <v>6814.3340740000003</v>
      </c>
      <c r="D3009">
        <v>1.3108439999999999</v>
      </c>
      <c r="E3009">
        <f>LN(D3009/参数实验室!$E$53)/参数实验室!$E$55</f>
        <v>-0.37364306228778987</v>
      </c>
      <c r="F3009">
        <f t="shared" si="408"/>
        <v>1.0423838234979181</v>
      </c>
      <c r="G3009">
        <f>LN(F3009/参数实验室!$E$58)/参数实验室!$E$59</f>
        <v>-0.16874321355804878</v>
      </c>
      <c r="H3009" s="856">
        <f>INDEX(神经网络!$G$10:$BO$70,MATCH(ROUND(G3009*2,1)/2,神经网络!$E$10:$E$70,0),MATCH(ROUND(E3009*2,1)/2,神经网络!$G$8:$BO$8,0))</f>
        <v>-0.35365214793145566</v>
      </c>
      <c r="I3009">
        <f t="shared" si="410"/>
        <v>578472.51294616098</v>
      </c>
      <c r="J3009">
        <f t="shared" si="411"/>
        <v>2608.5391644387669</v>
      </c>
      <c r="K3009">
        <f t="shared" si="412"/>
        <v>221.76109940470096</v>
      </c>
      <c r="L3009" s="4">
        <f>MIN(MAX(L3008*(1+MAX(MIN(((B3009-B3008)/B3008)/($K$7*卓尔金历!$N$40),0),-卓尔金历!$M$43))+MIN(MAX(((B3009-B3008)/B3008)/($K$7*卓尔金历!$N$40),0),卓尔金历!$M$43),0),1)</f>
        <v>1</v>
      </c>
      <c r="M3009" s="4">
        <f>MIN(MAX(M3008*(1+MAX(MIN(((B3009-B3008)/B3008)/($K$7*30),0),-卓尔金历!$M$43))+MIN(MAX(((B3009-B3008)/B3008)/($K$7*7),0),卓尔金历!$M$43),0),1)</f>
        <v>1</v>
      </c>
      <c r="N3009">
        <f t="shared" si="413"/>
        <v>240328.24732789447</v>
      </c>
      <c r="O3009">
        <f t="shared" si="414"/>
        <v>653014.49439875479</v>
      </c>
      <c r="P3009">
        <f t="shared" si="415"/>
        <v>1.7223806789625026E-2</v>
      </c>
      <c r="Q3009">
        <f t="shared" si="416"/>
        <v>7.6076733665735438E-3</v>
      </c>
      <c r="R3009">
        <f t="shared" si="417"/>
        <v>1.2459688922242373E-3</v>
      </c>
      <c r="S3009">
        <f t="shared" si="409"/>
        <v>1086.3765232098613</v>
      </c>
      <c r="T3009" s="564">
        <f>IF((I3009-MAX(I$470:I3009))/MAX(I$470:I3009)&gt;T3008,T3008,(I3009-MAX(I$470:I3009))/MAX(I$470:I3009))</f>
        <v>-0.91338805338419748</v>
      </c>
      <c r="U3009" s="564">
        <f>IF((J3009-MAX(J$470:J3009))/MAX(J$470:J3009)&gt;U3008,U3008,(J3009-MAX(J$470:J3009))/MAX(J$470:J3009))</f>
        <v>-0.8283551177402233</v>
      </c>
      <c r="V3009" s="564">
        <f>IF((K3009-MAX(K$470:K3009))/MAX(K$470:K3009)&gt;V3008,V3008,(K3009-MAX(K$470:K3009))/MAX(K$470:K3009))</f>
        <v>-0.84885940676762139</v>
      </c>
      <c r="W3009" s="564">
        <f>IF((N3009-MAX(N$470:N3009))/MAX(N$470:N3009)&gt;W3008,W3008,(N3009-MAX(N$470:N3009))/MAX(N$470:N3009))</f>
        <v>-0.62788758315546067</v>
      </c>
      <c r="X3009" s="564">
        <f>IF((O3009-MAX(O$470:O3009))/MAX(O$470:O3009)&gt;X3008,X3008,(O3009-MAX(O$470:O3009))/MAX(O$470:O3009))</f>
        <v>-0.62788758315546067</v>
      </c>
    </row>
    <row r="3010" spans="1:24">
      <c r="A3010" s="799">
        <v>43412</v>
      </c>
      <c r="B3010">
        <v>6481.21</v>
      </c>
      <c r="C3010">
        <v>6859.8137880000004</v>
      </c>
      <c r="D3010">
        <v>1.2919579999999999</v>
      </c>
      <c r="E3010">
        <f>LN(D3010/参数实验室!$E$53)/参数实验室!$E$55</f>
        <v>-0.3907640041080262</v>
      </c>
      <c r="F3010">
        <f t="shared" si="408"/>
        <v>1.0584156026420992</v>
      </c>
      <c r="G3010">
        <f>LN(F3010/参数实验室!$E$58)/参数实验室!$E$59</f>
        <v>-0.16073244647301027</v>
      </c>
      <c r="H3010" s="856">
        <f>INDEX(神经网络!$G$10:$BO$70,MATCH(ROUND(G3010*2,1)/2,神经网络!$E$10:$E$70,0),MATCH(ROUND(E3010*2,1)/2,神经网络!$G$8:$BO$8,0))</f>
        <v>-0.38990896592980601</v>
      </c>
      <c r="I3010">
        <f t="shared" si="410"/>
        <v>580226.55049687915</v>
      </c>
      <c r="J3010">
        <f t="shared" si="411"/>
        <v>2586.1737360839525</v>
      </c>
      <c r="K3010">
        <f t="shared" si="412"/>
        <v>224.35714291007858</v>
      </c>
      <c r="L3010" s="4">
        <f>MIN(MAX(L3009*(1+MAX(MIN(((B3010-B3009)/B3009)/($K$7*卓尔金历!$N$40),0),-卓尔金历!$M$43))+MIN(MAX(((B3010-B3009)/B3009)/($K$7*卓尔金历!$N$40),0),卓尔金历!$M$43),0),1)</f>
        <v>0.86899859989679051</v>
      </c>
      <c r="M3010" s="4">
        <f>MIN(MAX(M3009*(1+MAX(MIN(((B3010-B3009)/B3009)/($K$7*30),0),-卓尔金历!$M$43))+MIN(MAX(((B3010-B3009)/B3009)/($K$7*7),0),卓尔金历!$M$43),0),1)</f>
        <v>0.93449929994839531</v>
      </c>
      <c r="N3010">
        <f t="shared" si="413"/>
        <v>241056.96781309866</v>
      </c>
      <c r="O3010">
        <f t="shared" si="414"/>
        <v>654994.55726899405</v>
      </c>
      <c r="P3010">
        <f t="shared" si="415"/>
        <v>-8.5739285266304508E-3</v>
      </c>
      <c r="Q3010">
        <f t="shared" si="416"/>
        <v>7.8249904237487362E-3</v>
      </c>
      <c r="R3010">
        <f t="shared" si="417"/>
        <v>6.912305245976599E-3</v>
      </c>
      <c r="S3010">
        <f t="shared" si="409"/>
        <v>1086.3806275536435</v>
      </c>
      <c r="T3010" s="564">
        <f>IF((I3010-MAX(I$470:I3010))/MAX(I$470:I3010)&gt;T3009,T3009,(I3010-MAX(I$470:I3010))/MAX(I$470:I3010))</f>
        <v>-0.91338805338419748</v>
      </c>
      <c r="U3010" s="564">
        <f>IF((J3010-MAX(J$470:J3010))/MAX(J$470:J3010)&gt;U3009,U3009,(J3010-MAX(J$470:J3010))/MAX(J$470:J3010))</f>
        <v>-0.8283551177402233</v>
      </c>
      <c r="V3010" s="564">
        <f>IF((K3010-MAX(K$470:K3010))/MAX(K$470:K3010)&gt;V3009,V3009,(K3010-MAX(K$470:K3010))/MAX(K$470:K3010))</f>
        <v>-0.84885940676762139</v>
      </c>
      <c r="W3010" s="564">
        <f>IF((N3010-MAX(N$470:N3010))/MAX(N$470:N3010)&gt;W3009,W3009,(N3010-MAX(N$470:N3010))/MAX(N$470:N3010))</f>
        <v>-0.62788758315546067</v>
      </c>
      <c r="X3010" s="564">
        <f>IF((O3010-MAX(O$470:O3010))/MAX(O$470:O3010)&gt;X3009,X3009,(O3010-MAX(O$470:O3010))/MAX(O$470:O3010))</f>
        <v>-0.62788758315546067</v>
      </c>
    </row>
    <row r="3011" spans="1:24">
      <c r="A3011" s="799">
        <v>43413</v>
      </c>
      <c r="B3011">
        <v>6402.31</v>
      </c>
      <c r="C3011">
        <v>6945.190775</v>
      </c>
      <c r="D3011">
        <v>1.2768820000000001</v>
      </c>
      <c r="E3011">
        <f>LN(D3011/参数实验室!$E$53)/参数实验室!$E$55</f>
        <v>-0.40461162724502409</v>
      </c>
      <c r="F3011">
        <f t="shared" si="408"/>
        <v>1.0847945155732852</v>
      </c>
      <c r="G3011">
        <f>LN(F3011/参数实验室!$E$58)/参数实验室!$E$59</f>
        <v>-0.14781184836574174</v>
      </c>
      <c r="H3011" s="856">
        <f>INDEX(神经网络!$G$10:$BO$70,MATCH(ROUND(G3011*2,1)/2,神经网络!$E$10:$E$70,0),MATCH(ROUND(E3011*2,1)/2,神经网络!$G$8:$BO$8,0))</f>
        <v>-0.38990896592980601</v>
      </c>
      <c r="I3011">
        <f t="shared" si="410"/>
        <v>582980.66333337105</v>
      </c>
      <c r="J3011">
        <f t="shared" si="411"/>
        <v>2554.6905550456859</v>
      </c>
      <c r="K3011">
        <f t="shared" si="412"/>
        <v>228.20010908246596</v>
      </c>
      <c r="L3011" s="4">
        <f>MIN(MAX(L3010*(1+MAX(MIN(((B3011-B3010)/B3010)/($K$7*卓尔金历!$N$40),0),-卓尔金历!$M$43))+MIN(MAX(((B3011-B3010)/B3010)/($K$7*卓尔金历!$N$40),0),卓尔金历!$M$43),0),1)</f>
        <v>0.707363355226726</v>
      </c>
      <c r="M3011" s="4">
        <f>MIN(MAX(M3010*(1+MAX(MIN(((B3011-B3010)/B3010)/($K$7*30),0),-卓尔金历!$M$43))+MIN(MAX(((B3011-B3010)/B3010)/($K$7*7),0),卓尔金历!$M$43),0),1)</f>
        <v>0.84759005578557234</v>
      </c>
      <c r="N3011">
        <f t="shared" si="413"/>
        <v>242051.28030991775</v>
      </c>
      <c r="O3011">
        <f t="shared" si="414"/>
        <v>657899.92295691464</v>
      </c>
      <c r="P3011">
        <f t="shared" si="415"/>
        <v>-1.2173652759284091E-2</v>
      </c>
      <c r="Q3011">
        <f t="shared" si="416"/>
        <v>7.98462574020967E-3</v>
      </c>
      <c r="R3011">
        <f t="shared" si="417"/>
        <v>4.5247530089548692E-3</v>
      </c>
      <c r="S3011">
        <f t="shared" si="409"/>
        <v>1086.4162717684751</v>
      </c>
      <c r="T3011" s="564">
        <f>IF((I3011-MAX(I$470:I3011))/MAX(I$470:I3011)&gt;T3010,T3010,(I3011-MAX(I$470:I3011))/MAX(I$470:I3011))</f>
        <v>-0.91338805338419748</v>
      </c>
      <c r="U3011" s="564">
        <f>IF((J3011-MAX(J$470:J3011))/MAX(J$470:J3011)&gt;U3010,U3010,(J3011-MAX(J$470:J3011))/MAX(J$470:J3011))</f>
        <v>-0.8283551177402233</v>
      </c>
      <c r="V3011" s="564">
        <f>IF((K3011-MAX(K$470:K3011))/MAX(K$470:K3011)&gt;V3010,V3010,(K3011-MAX(K$470:K3011))/MAX(K$470:K3011))</f>
        <v>-0.84885940676762139</v>
      </c>
      <c r="W3011" s="564">
        <f>IF((N3011-MAX(N$470:N3011))/MAX(N$470:N3011)&gt;W3010,W3010,(N3011-MAX(N$470:N3011))/MAX(N$470:N3011))</f>
        <v>-0.62788758315546067</v>
      </c>
      <c r="X3011" s="564">
        <f>IF((O3011-MAX(O$470:O3011))/MAX(O$470:O3011)&gt;X3010,X3010,(O3011-MAX(O$470:O3011))/MAX(O$470:O3011))</f>
        <v>-0.62788758315546067</v>
      </c>
    </row>
    <row r="3012" spans="1:24">
      <c r="A3012" s="799">
        <v>43414</v>
      </c>
      <c r="B3012">
        <v>6403.88</v>
      </c>
      <c r="C3012">
        <v>7087.6202389999999</v>
      </c>
      <c r="D3012">
        <v>1.2813369999999999</v>
      </c>
      <c r="E3012">
        <f>LN(D3012/参数实验室!$E$53)/参数实验室!$E$55</f>
        <v>-0.4005026701816306</v>
      </c>
      <c r="F3012">
        <f t="shared" si="408"/>
        <v>1.1067696832232958</v>
      </c>
      <c r="G3012">
        <f>LN(F3012/参数实验室!$E$58)/参数实验室!$E$59</f>
        <v>-0.13728590331882889</v>
      </c>
      <c r="H3012" s="856">
        <f>INDEX(神经网络!$G$10:$BO$70,MATCH(ROUND(G3012*2,1)/2,神经网络!$E$10:$E$70,0),MATCH(ROUND(E3012*2,1)/2,神经网络!$G$8:$BO$8,0))</f>
        <v>-0.38990896592980601</v>
      </c>
      <c r="I3012">
        <f t="shared" si="410"/>
        <v>582924.92161850131</v>
      </c>
      <c r="J3012">
        <f t="shared" si="411"/>
        <v>2555.317026455446</v>
      </c>
      <c r="K3012">
        <f t="shared" si="412"/>
        <v>228.12234864927632</v>
      </c>
      <c r="L3012" s="4">
        <f>MIN(MAX(L3011*(1+MAX(MIN(((B3012-B3011)/B3011)/($K$7*卓尔金历!$N$40),0),-卓尔金历!$M$43))+MIN(MAX(((B3012-B3011)/B3011)/($K$7*卓尔金历!$N$40),0),卓尔金历!$M$43),0),1)</f>
        <v>0.71111014246191184</v>
      </c>
      <c r="M3012" s="4">
        <f>MIN(MAX(M3011*(1+MAX(MIN(((B3012-B3011)/B3011)/($K$7*30),0),-卓尔金历!$M$43))+MIN(MAX(((B3012-B3011)/B3011)/($K$7*7),0),卓尔金历!$M$43),0),1)</f>
        <v>0.85561888557525623</v>
      </c>
      <c r="N3012">
        <f t="shared" si="413"/>
        <v>242034.90927566704</v>
      </c>
      <c r="O3012">
        <f t="shared" si="414"/>
        <v>657846.6052008057</v>
      </c>
      <c r="P3012">
        <f t="shared" si="415"/>
        <v>2.4522398946625652E-4</v>
      </c>
      <c r="Q3012">
        <f t="shared" si="416"/>
        <v>7.9479899109230721E-3</v>
      </c>
      <c r="R3012">
        <f t="shared" si="417"/>
        <v>1</v>
      </c>
      <c r="S3012">
        <f t="shared" si="409"/>
        <v>1086.4158017474185</v>
      </c>
      <c r="T3012" s="564">
        <f>IF((I3012-MAX(I$470:I3012))/MAX(I$470:I3012)&gt;T3011,T3011,(I3012-MAX(I$470:I3012))/MAX(I$470:I3012))</f>
        <v>-0.91338805338419748</v>
      </c>
      <c r="U3012" s="564">
        <f>IF((J3012-MAX(J$470:J3012))/MAX(J$470:J3012)&gt;U3011,U3011,(J3012-MAX(J$470:J3012))/MAX(J$470:J3012))</f>
        <v>-0.8283551177402233</v>
      </c>
      <c r="V3012" s="564">
        <f>IF((K3012-MAX(K$470:K3012))/MAX(K$470:K3012)&gt;V3011,V3011,(K3012-MAX(K$470:K3012))/MAX(K$470:K3012))</f>
        <v>-0.84885940676762139</v>
      </c>
      <c r="W3012" s="564">
        <f>IF((N3012-MAX(N$470:N3012))/MAX(N$470:N3012)&gt;W3011,W3011,(N3012-MAX(N$470:N3012))/MAX(N$470:N3012))</f>
        <v>-0.62788758315546067</v>
      </c>
      <c r="X3012" s="564">
        <f>IF((O3012-MAX(O$470:O3012))/MAX(O$470:O3012)&gt;X3011,X3011,(O3012-MAX(O$470:O3012))/MAX(O$470:O3012))</f>
        <v>-0.62788758315546067</v>
      </c>
    </row>
    <row r="3013" spans="1:24">
      <c r="A3013" s="799">
        <v>43415</v>
      </c>
      <c r="B3013">
        <v>6415.57</v>
      </c>
      <c r="C3013">
        <v>7019.3272029999998</v>
      </c>
      <c r="D3013">
        <v>1.277814</v>
      </c>
      <c r="E3013">
        <f>LN(D3013/参数实验室!$E$53)/参数实验室!$E$55</f>
        <v>-0.40375083592412991</v>
      </c>
      <c r="F3013">
        <f t="shared" ref="F3013:F3076" si="418">C3013/B3013</f>
        <v>1.0941081155688428</v>
      </c>
      <c r="G3013">
        <f>LN(F3013/参数实验室!$E$58)/参数实验室!$E$59</f>
        <v>-0.1433249012990491</v>
      </c>
      <c r="H3013" s="856">
        <f>INDEX(神经网络!$G$10:$BO$70,MATCH(ROUND(G3013*2,1)/2,神经网络!$E$10:$E$70,0),MATCH(ROUND(E3013*2,1)/2,神经网络!$G$8:$BO$8,0))</f>
        <v>-0.38990896592980601</v>
      </c>
      <c r="I3013">
        <f t="shared" si="410"/>
        <v>582510.0180493712</v>
      </c>
      <c r="J3013">
        <f t="shared" si="411"/>
        <v>2559.9816447867179</v>
      </c>
      <c r="K3013">
        <f t="shared" si="412"/>
        <v>227.54460729655051</v>
      </c>
      <c r="L3013" s="4">
        <f>MIN(MAX(L3012*(1+MAX(MIN(((B3013-B3012)/B3012)/($K$7*卓尔金历!$N$40),0),-卓尔金历!$M$43))+MIN(MAX(((B3013-B3012)/B3012)/($K$7*卓尔金历!$N$40),0),卓尔金历!$M$43),0),1)</f>
        <v>0.7390013555930437</v>
      </c>
      <c r="M3013" s="4">
        <f>MIN(MAX(M3012*(1+MAX(MIN(((B3013-B3012)/B3012)/($K$7*30),0),-卓尔金历!$M$43))+MIN(MAX(((B3013-B3012)/B3012)/($K$7*7),0),卓尔金历!$M$43),0),1)</f>
        <v>0.91538577085625317</v>
      </c>
      <c r="N3013">
        <f t="shared" si="413"/>
        <v>241912.40551230454</v>
      </c>
      <c r="O3013">
        <f t="shared" si="414"/>
        <v>657445.97881641227</v>
      </c>
      <c r="P3013">
        <f t="shared" si="415"/>
        <v>1.8254558174106322E-3</v>
      </c>
      <c r="Q3013">
        <f t="shared" si="416"/>
        <v>7.8667562851207767E-3</v>
      </c>
      <c r="R3013">
        <f t="shared" si="417"/>
        <v>1</v>
      </c>
      <c r="S3013">
        <f t="shared" si="409"/>
        <v>1085.6425327088384</v>
      </c>
      <c r="T3013" s="564">
        <f>IF((I3013-MAX(I$470:I3013))/MAX(I$470:I3013)&gt;T3012,T3012,(I3013-MAX(I$470:I3013))/MAX(I$470:I3013))</f>
        <v>-0.91338805338419748</v>
      </c>
      <c r="U3013" s="564">
        <f>IF((J3013-MAX(J$470:J3013))/MAX(J$470:J3013)&gt;U3012,U3012,(J3013-MAX(J$470:J3013))/MAX(J$470:J3013))</f>
        <v>-0.8283551177402233</v>
      </c>
      <c r="V3013" s="564">
        <f>IF((K3013-MAX(K$470:K3013))/MAX(K$470:K3013)&gt;V3012,V3012,(K3013-MAX(K$470:K3013))/MAX(K$470:K3013))</f>
        <v>-0.84885940676762139</v>
      </c>
      <c r="W3013" s="564">
        <f>IF((N3013-MAX(N$470:N3013))/MAX(N$470:N3013)&gt;W3012,W3012,(N3013-MAX(N$470:N3013))/MAX(N$470:N3013))</f>
        <v>-0.62788758315546067</v>
      </c>
      <c r="X3013" s="564">
        <f>IF((O3013-MAX(O$470:O3013))/MAX(O$470:O3013)&gt;X3012,X3012,(O3013-MAX(O$470:O3013))/MAX(O$470:O3013))</f>
        <v>-0.62788758315546067</v>
      </c>
    </row>
    <row r="3014" spans="1:24">
      <c r="A3014" s="799">
        <v>43416</v>
      </c>
      <c r="B3014">
        <v>6399.63</v>
      </c>
      <c r="C3014">
        <v>7026.5962129999998</v>
      </c>
      <c r="D3014">
        <v>1.275015</v>
      </c>
      <c r="E3014">
        <f>LN(D3014/参数实验室!$E$53)/参数实验室!$E$55</f>
        <v>-0.40633787223021106</v>
      </c>
      <c r="F3014">
        <f t="shared" si="418"/>
        <v>1.0979691346218452</v>
      </c>
      <c r="G3014">
        <f>LN(F3014/参数实验室!$E$58)/参数实验室!$E$59</f>
        <v>-0.1414759942353718</v>
      </c>
      <c r="H3014" s="856">
        <f>INDEX(神经网络!$G$10:$BO$70,MATCH(ROUND(G3014*2,1)/2,神经网络!$E$10:$E$70,0),MATCH(ROUND(E3014*2,1)/2,神经网络!$G$8:$BO$8,0))</f>
        <v>-0.38990896592980601</v>
      </c>
      <c r="I3014">
        <f t="shared" si="410"/>
        <v>583074.33057464566</v>
      </c>
      <c r="J3014">
        <f t="shared" si="411"/>
        <v>2553.6211643589618</v>
      </c>
      <c r="K3014">
        <f t="shared" si="412"/>
        <v>228.33235356624067</v>
      </c>
      <c r="L3014" s="4">
        <f>MIN(MAX(L3013*(1+MAX(MIN(((B3014-B3013)/B3013)/($K$7*卓尔金历!$N$40),0),-卓尔金历!$M$43))+MIN(MAX(((B3014-B3013)/B3013)/($K$7*卓尔金历!$N$40),0),卓尔金历!$M$43),0),1)</f>
        <v>0.71094738207895647</v>
      </c>
      <c r="M3014" s="4">
        <f>MIN(MAX(M3013*(1+MAX(MIN(((B3014-B3013)/B3013)/($K$7*30),0),-卓尔金历!$M$43))+MIN(MAX(((B3014-B3013)/B3013)/($K$7*7),0),卓尔金历!$M$43),0),1)</f>
        <v>0.89801083102940704</v>
      </c>
      <c r="N3014">
        <f t="shared" si="413"/>
        <v>242085.59425767238</v>
      </c>
      <c r="O3014">
        <f t="shared" si="414"/>
        <v>658028.99488117592</v>
      </c>
      <c r="P3014">
        <f t="shared" si="415"/>
        <v>-2.4845804815471738E-3</v>
      </c>
      <c r="Q3014">
        <f t="shared" si="416"/>
        <v>7.7561851088361472E-3</v>
      </c>
      <c r="R3014">
        <f t="shared" si="417"/>
        <v>1</v>
      </c>
      <c r="S3014">
        <f t="shared" si="409"/>
        <v>1086.6942599928254</v>
      </c>
      <c r="T3014" s="564">
        <f>IF((I3014-MAX(I$470:I3014))/MAX(I$470:I3014)&gt;T3013,T3013,(I3014-MAX(I$470:I3014))/MAX(I$470:I3014))</f>
        <v>-0.91338805338419748</v>
      </c>
      <c r="U3014" s="564">
        <f>IF((J3014-MAX(J$470:J3014))/MAX(J$470:J3014)&gt;U3013,U3013,(J3014-MAX(J$470:J3014))/MAX(J$470:J3014))</f>
        <v>-0.8283551177402233</v>
      </c>
      <c r="V3014" s="564">
        <f>IF((K3014-MAX(K$470:K3014))/MAX(K$470:K3014)&gt;V3013,V3013,(K3014-MAX(K$470:K3014))/MAX(K$470:K3014))</f>
        <v>-0.84885940676762139</v>
      </c>
      <c r="W3014" s="564">
        <f>IF((N3014-MAX(N$470:N3014))/MAX(N$470:N3014)&gt;W3013,W3013,(N3014-MAX(N$470:N3014))/MAX(N$470:N3014))</f>
        <v>-0.62788758315546067</v>
      </c>
      <c r="X3014" s="564">
        <f>IF((O3014-MAX(O$470:O3014))/MAX(O$470:O3014)&gt;X3013,X3013,(O3014-MAX(O$470:O3014))/MAX(O$470:O3014))</f>
        <v>-0.62788758315546067</v>
      </c>
    </row>
    <row r="3015" spans="1:24">
      <c r="A3015" s="799">
        <v>43417</v>
      </c>
      <c r="B3015">
        <v>6349.53</v>
      </c>
      <c r="C3015">
        <v>6998.4840459999996</v>
      </c>
      <c r="D3015">
        <v>1.2649950000000001</v>
      </c>
      <c r="E3015">
        <f>LN(D3015/参数实验室!$E$53)/参数实验室!$E$55</f>
        <v>-0.41564585828159439</v>
      </c>
      <c r="F3015">
        <f t="shared" si="418"/>
        <v>1.1022050523424569</v>
      </c>
      <c r="G3015">
        <f>LN(F3015/参数实验室!$E$58)/参数实验室!$E$59</f>
        <v>-0.13945502580303529</v>
      </c>
      <c r="H3015" s="856">
        <f>INDEX(神经网络!$G$10:$BO$70,MATCH(ROUND(G3015*2,1)/2,神经网络!$E$10:$E$70,0),MATCH(ROUND(E3015*2,1)/2,神经网络!$G$8:$BO$8,0))</f>
        <v>-0.38990896592980601</v>
      </c>
      <c r="I3015">
        <f t="shared" si="410"/>
        <v>584854.12566524593</v>
      </c>
      <c r="J3015">
        <f t="shared" si="411"/>
        <v>2533.6299429392257</v>
      </c>
      <c r="K3015">
        <f t="shared" si="412"/>
        <v>230.83644369420639</v>
      </c>
      <c r="L3015" s="4">
        <f>MIN(MAX(L3014*(1+MAX(MIN(((B3015-B3014)/B3014)/($K$7*卓尔金历!$N$40),0),-卓尔金历!$M$43))+MIN(MAX(((B3015-B3014)/B3014)/($K$7*卓尔金历!$N$40),0),卓尔金历!$M$43),0),1)</f>
        <v>0.62590872405882658</v>
      </c>
      <c r="M3015" s="4">
        <f>MIN(MAX(M3014*(1+MAX(MIN(((B3015-B3014)/B3014)/($K$7*30),0),-卓尔金历!$M$43))+MIN(MAX(((B3015-B3014)/B3014)/($K$7*7),0),卓尔金历!$M$43),0),1)</f>
        <v>0.84430387754504821</v>
      </c>
      <c r="N3015">
        <f t="shared" si="413"/>
        <v>242610.9487958923</v>
      </c>
      <c r="O3015">
        <f t="shared" si="414"/>
        <v>659832.72969377483</v>
      </c>
      <c r="P3015">
        <f t="shared" si="415"/>
        <v>-7.8285775896419583E-3</v>
      </c>
      <c r="Q3015">
        <f t="shared" si="416"/>
        <v>7.9071880265262837E-3</v>
      </c>
      <c r="R3015">
        <f t="shared" si="417"/>
        <v>1.7825070849420605E-2</v>
      </c>
      <c r="S3015">
        <f t="shared" si="409"/>
        <v>1090.0113209703043</v>
      </c>
      <c r="T3015" s="564">
        <f>IF((I3015-MAX(I$470:I3015))/MAX(I$470:I3015)&gt;T3014,T3014,(I3015-MAX(I$470:I3015))/MAX(I$470:I3015))</f>
        <v>-0.91338805338419748</v>
      </c>
      <c r="U3015" s="564">
        <f>IF((J3015-MAX(J$470:J3015))/MAX(J$470:J3015)&gt;U3014,U3014,(J3015-MAX(J$470:J3015))/MAX(J$470:J3015))</f>
        <v>-0.8283551177402233</v>
      </c>
      <c r="V3015" s="564">
        <f>IF((K3015-MAX(K$470:K3015))/MAX(K$470:K3015)&gt;V3014,V3014,(K3015-MAX(K$470:K3015))/MAX(K$470:K3015))</f>
        <v>-0.84885940676762139</v>
      </c>
      <c r="W3015" s="564">
        <f>IF((N3015-MAX(N$470:N3015))/MAX(N$470:N3015)&gt;W3014,W3014,(N3015-MAX(N$470:N3015))/MAX(N$470:N3015))</f>
        <v>-0.62788758315546067</v>
      </c>
      <c r="X3015" s="564">
        <f>IF((O3015-MAX(O$470:O3015))/MAX(O$470:O3015)&gt;X3014,X3014,(O3015-MAX(O$470:O3015))/MAX(O$470:O3015))</f>
        <v>-0.62788758315546067</v>
      </c>
    </row>
    <row r="3016" spans="1:24">
      <c r="A3016" s="799">
        <v>43418</v>
      </c>
      <c r="B3016">
        <v>6347.57</v>
      </c>
      <c r="C3016">
        <v>7137.2503900000002</v>
      </c>
      <c r="D3016">
        <v>1.1274999999999999</v>
      </c>
      <c r="E3016">
        <f>LN(D3016/参数实验室!$E$53)/参数实验室!$E$55</f>
        <v>-0.55139461031139114</v>
      </c>
      <c r="F3016">
        <f t="shared" si="418"/>
        <v>1.1244067241479812</v>
      </c>
      <c r="G3016">
        <f>LN(F3016/参数实验室!$E$58)/参数实验室!$E$59</f>
        <v>-0.12898798028354602</v>
      </c>
      <c r="H3016" s="856">
        <f>INDEX(神经网络!$G$10:$BO$70,MATCH(ROUND(G3016*2,1)/2,神经网络!$E$10:$E$70,0),MATCH(ROUND(E3016*2,1)/2,神经网络!$G$8:$BO$8,0))</f>
        <v>-0.48776321125584055</v>
      </c>
      <c r="I3016">
        <f t="shared" si="410"/>
        <v>584924.51798405091</v>
      </c>
      <c r="J3016">
        <f t="shared" si="411"/>
        <v>2532.8478512429647</v>
      </c>
      <c r="K3016">
        <f t="shared" si="412"/>
        <v>230.9355130419722</v>
      </c>
      <c r="L3016" s="4">
        <f>MIN(MAX(L3015*(1+MAX(MIN(((B3016-B3015)/B3015)/($K$7*卓尔金历!$N$40),0),-卓尔金历!$M$43))+MIN(MAX(((B3016-B3015)/B3015)/($K$7*卓尔金历!$N$40),0),卓尔金历!$M$43),0),1)</f>
        <v>0.62295668856307485</v>
      </c>
      <c r="M3016" s="4">
        <f>MIN(MAX(M3015*(1+MAX(MIN(((B3016-B3015)/B3015)/($K$7*30),0),-卓尔金历!$M$43))+MIN(MAX(((B3016-B3015)/B3015)/($K$7*7),0),卓尔金历!$M$43),0),1)</f>
        <v>0.8423128404178204</v>
      </c>
      <c r="N3016">
        <f t="shared" si="413"/>
        <v>242629.22555193407</v>
      </c>
      <c r="O3016">
        <f t="shared" si="414"/>
        <v>659899.78147998638</v>
      </c>
      <c r="P3016">
        <f t="shared" si="415"/>
        <v>-3.0868426481960655E-4</v>
      </c>
      <c r="Q3016">
        <f t="shared" si="416"/>
        <v>7.8389685871426817E-3</v>
      </c>
      <c r="R3016">
        <f t="shared" si="417"/>
        <v>1</v>
      </c>
      <c r="S3016">
        <f t="shared" si="409"/>
        <v>1090.0136594843734</v>
      </c>
      <c r="T3016" s="564">
        <f>IF((I3016-MAX(I$470:I3016))/MAX(I$470:I3016)&gt;T3015,T3015,(I3016-MAX(I$470:I3016))/MAX(I$470:I3016))</f>
        <v>-0.91338805338419748</v>
      </c>
      <c r="U3016" s="564">
        <f>IF((J3016-MAX(J$470:J3016))/MAX(J$470:J3016)&gt;U3015,U3015,(J3016-MAX(J$470:J3016))/MAX(J$470:J3016))</f>
        <v>-0.8283551177402233</v>
      </c>
      <c r="V3016" s="564">
        <f>IF((K3016-MAX(K$470:K3016))/MAX(K$470:K3016)&gt;V3015,V3015,(K3016-MAX(K$470:K3016))/MAX(K$470:K3016))</f>
        <v>-0.84885940676762139</v>
      </c>
      <c r="W3016" s="564">
        <f>IF((N3016-MAX(N$470:N3016))/MAX(N$470:N3016)&gt;W3015,W3015,(N3016-MAX(N$470:N3016))/MAX(N$470:N3016))</f>
        <v>-0.62788758315546067</v>
      </c>
      <c r="X3016" s="564">
        <f>IF((O3016-MAX(O$470:O3016))/MAX(O$470:O3016)&gt;X3015,X3015,(O3016-MAX(O$470:O3016))/MAX(O$470:O3016))</f>
        <v>-0.62788758315546067</v>
      </c>
    </row>
    <row r="3017" spans="1:24">
      <c r="A3017" s="799">
        <v>43419</v>
      </c>
      <c r="B3017">
        <v>5659.07</v>
      </c>
      <c r="C3017">
        <v>7180.494745</v>
      </c>
      <c r="D3017">
        <v>1.1283570000000001</v>
      </c>
      <c r="E3017">
        <f>LN(D3017/参数实验室!$E$53)/参数实验室!$E$55</f>
        <v>-0.55049823383121188</v>
      </c>
      <c r="F3017">
        <f t="shared" si="418"/>
        <v>1.2688471330094875</v>
      </c>
      <c r="G3017">
        <f>LN(F3017/参数实验室!$E$58)/参数实验室!$E$59</f>
        <v>-6.5557700838100724E-2</v>
      </c>
      <c r="H3017" s="856">
        <f>INDEX(神经网络!$G$10:$BO$70,MATCH(ROUND(G3017*2,1)/2,神经网络!$E$10:$E$70,0),MATCH(ROUND(E3017*2,1)/2,神经网络!$G$8:$BO$8,0))</f>
        <v>-0.33449656962510349</v>
      </c>
      <c r="I3017">
        <f t="shared" si="410"/>
        <v>615870.5743898456</v>
      </c>
      <c r="J3017">
        <f t="shared" si="411"/>
        <v>2258.1181916124633</v>
      </c>
      <c r="K3017">
        <f t="shared" si="412"/>
        <v>272.73619984880793</v>
      </c>
      <c r="L3017" s="4">
        <f>MIN(MAX(L3016*(1+MAX(MIN(((B3017-B3016)/B3016)/($K$7*卓尔金历!$N$40),0),-卓尔金历!$M$43))+MIN(MAX(((B3017-B3016)/B3016)/($K$7*卓尔金历!$N$40),0),卓尔金历!$M$43),0),1)</f>
        <v>0</v>
      </c>
      <c r="M3017" s="4">
        <f>MIN(MAX(M3016*(1+MAX(MIN(((B3017-B3016)/B3016)/($K$7*30),0),-卓尔金历!$M$43))+MIN(MAX(((B3017-B3016)/B3016)/($K$7*7),0),卓尔金历!$M$43),0),1)</f>
        <v>0.14434413670068497</v>
      </c>
      <c r="N3017">
        <f t="shared" si="413"/>
        <v>250625.84542799462</v>
      </c>
      <c r="O3017">
        <f t="shared" si="414"/>
        <v>689307.19934649649</v>
      </c>
      <c r="P3017">
        <f t="shared" si="415"/>
        <v>-0.10846670458143826</v>
      </c>
      <c r="Q3017">
        <f t="shared" si="416"/>
        <v>2.4200076486232111E-2</v>
      </c>
      <c r="R3017">
        <f t="shared" si="417"/>
        <v>0</v>
      </c>
      <c r="S3017">
        <f t="shared" si="409"/>
        <v>1147.6819964276538</v>
      </c>
      <c r="T3017" s="564">
        <f>IF((I3017-MAX(I$470:I3017))/MAX(I$470:I3017)&gt;T3016,T3016,(I3017-MAX(I$470:I3017))/MAX(I$470:I3017))</f>
        <v>-0.91338805338419748</v>
      </c>
      <c r="U3017" s="564">
        <f>IF((J3017-MAX(J$470:J3017))/MAX(J$470:J3017)&gt;U3016,U3016,(J3017-MAX(J$470:J3017))/MAX(J$470:J3017))</f>
        <v>-0.8283551177402233</v>
      </c>
      <c r="V3017" s="564">
        <f>IF((K3017-MAX(K$470:K3017))/MAX(K$470:K3017)&gt;V3016,V3016,(K3017-MAX(K$470:K3017))/MAX(K$470:K3017))</f>
        <v>-0.84885940676762139</v>
      </c>
      <c r="W3017" s="564">
        <f>IF((N3017-MAX(N$470:N3017))/MAX(N$470:N3017)&gt;W3016,W3016,(N3017-MAX(N$470:N3017))/MAX(N$470:N3017))</f>
        <v>-0.62788758315546067</v>
      </c>
      <c r="X3017" s="564">
        <f>IF((O3017-MAX(O$470:O3017))/MAX(O$470:O3017)&gt;X3016,X3016,(O3017-MAX(O$470:O3017))/MAX(O$470:O3017))</f>
        <v>-0.62788758315546067</v>
      </c>
    </row>
    <row r="3018" spans="1:24">
      <c r="A3018" s="799">
        <v>43420</v>
      </c>
      <c r="B3018">
        <v>5555.92</v>
      </c>
      <c r="C3018">
        <v>7244.9328699999996</v>
      </c>
      <c r="D3018">
        <v>1.1213839999999999</v>
      </c>
      <c r="E3018">
        <f>LN(D3018/参数实验室!$E$53)/参数实验室!$E$55</f>
        <v>-0.55781147185575586</v>
      </c>
      <c r="F3018">
        <f t="shared" si="418"/>
        <v>1.3040023740442626</v>
      </c>
      <c r="G3018">
        <f>LN(F3018/参数实验室!$E$58)/参数实验室!$E$59</f>
        <v>-5.1213668060698131E-2</v>
      </c>
      <c r="H3018" s="856">
        <f>INDEX(神经网络!$G$10:$BO$70,MATCH(ROUND(G3018*2,1)/2,神经网络!$E$10:$E$70,0),MATCH(ROUND(E3018*2,1)/2,神经网络!$G$8:$BO$8,0))</f>
        <v>-0.33449656962510349</v>
      </c>
      <c r="I3018">
        <f t="shared" si="410"/>
        <v>619625.53416578285</v>
      </c>
      <c r="J3018">
        <f t="shared" si="411"/>
        <v>2216.9586209648437</v>
      </c>
      <c r="K3018">
        <f t="shared" si="412"/>
        <v>279.49350443722551</v>
      </c>
      <c r="L3018" s="4">
        <f>MIN(MAX(L3017*(1+MAX(MIN(((B3018-B3017)/B3017)/($K$7*卓尔金历!$N$40),0),-卓尔金历!$M$43))+MIN(MAX(((B3018-B3017)/B3017)/($K$7*卓尔金历!$N$40),0),卓尔金历!$M$43),0),1)</f>
        <v>0</v>
      </c>
      <c r="M3018" s="4">
        <f>MIN(MAX(M3017*(1+MAX(MIN(((B3018-B3017)/B3017)/($K$7*30),0),-卓尔金历!$M$43))+MIN(MAX(((B3018-B3017)/B3017)/($K$7*7),0),卓尔金历!$M$43),0),1)</f>
        <v>0.12424444497853672</v>
      </c>
      <c r="N3018">
        <f t="shared" si="413"/>
        <v>250625.84542799462</v>
      </c>
      <c r="O3018">
        <f t="shared" si="414"/>
        <v>689913.83481164044</v>
      </c>
      <c r="P3018">
        <f t="shared" si="415"/>
        <v>-1.8227376583078075E-2</v>
      </c>
      <c r="Q3018">
        <f t="shared" si="416"/>
        <v>2.4247549736522035E-2</v>
      </c>
      <c r="R3018">
        <f t="shared" si="417"/>
        <v>0.3164974567927103</v>
      </c>
      <c r="S3018">
        <f t="shared" si="409"/>
        <v>1147.6819964276538</v>
      </c>
      <c r="T3018" s="564">
        <f>IF((I3018-MAX(I$470:I3018))/MAX(I$470:I3018)&gt;T3017,T3017,(I3018-MAX(I$470:I3018))/MAX(I$470:I3018))</f>
        <v>-0.91338805338419748</v>
      </c>
      <c r="U3018" s="564">
        <f>IF((J3018-MAX(J$470:J3018))/MAX(J$470:J3018)&gt;U3017,U3017,(J3018-MAX(J$470:J3018))/MAX(J$470:J3018))</f>
        <v>-0.8283551177402233</v>
      </c>
      <c r="V3018" s="564">
        <f>IF((K3018-MAX(K$470:K3018))/MAX(K$470:K3018)&gt;V3017,V3017,(K3018-MAX(K$470:K3018))/MAX(K$470:K3018))</f>
        <v>-0.84885940676762139</v>
      </c>
      <c r="W3018" s="564">
        <f>IF((N3018-MAX(N$470:N3018))/MAX(N$470:N3018)&gt;W3017,W3017,(N3018-MAX(N$470:N3018))/MAX(N$470:N3018))</f>
        <v>-0.62788758315546067</v>
      </c>
      <c r="X3018" s="564">
        <f>IF((O3018-MAX(O$470:O3018))/MAX(O$470:O3018)&gt;X3017,X3017,(O3018-MAX(O$470:O3018))/MAX(O$470:O3018))</f>
        <v>-0.62788758315546067</v>
      </c>
    </row>
    <row r="3019" spans="1:24">
      <c r="A3019" s="799">
        <v>43421</v>
      </c>
      <c r="B3019">
        <v>5550.15</v>
      </c>
      <c r="C3019">
        <v>7210.8584140000003</v>
      </c>
      <c r="D3019">
        <v>1.122959</v>
      </c>
      <c r="E3019">
        <f>LN(D3019/参数实验室!$E$53)/参数实验室!$E$55</f>
        <v>-0.55615565394888533</v>
      </c>
      <c r="F3019">
        <f t="shared" si="418"/>
        <v>1.2992186542706055</v>
      </c>
      <c r="G3019">
        <f>LN(F3019/参数实验室!$E$58)/参数实验室!$E$59</f>
        <v>-5.3142630267903529E-2</v>
      </c>
      <c r="H3019" s="856">
        <f>INDEX(神经网络!$G$10:$BO$70,MATCH(ROUND(G3019*2,1)/2,神经网络!$E$10:$E$70,0),MATCH(ROUND(E3019*2,1)/2,神经网络!$G$8:$BO$8,0))</f>
        <v>-0.33449656962510349</v>
      </c>
      <c r="I3019">
        <f t="shared" si="410"/>
        <v>619840.78299805336</v>
      </c>
      <c r="J3019">
        <f t="shared" si="411"/>
        <v>2214.6562387773811</v>
      </c>
      <c r="K3019">
        <f t="shared" si="412"/>
        <v>279.88126199677902</v>
      </c>
      <c r="L3019" s="4">
        <f>MIN(MAX(L3018*(1+MAX(MIN(((B3019-B3018)/B3018)/($K$7*卓尔金历!$N$40),0),-卓尔金历!$M$43))+MIN(MAX(((B3019-B3018)/B3018)/($K$7*卓尔金历!$N$40),0),卓尔金历!$M$43),0),1)</f>
        <v>0</v>
      </c>
      <c r="M3019" s="4">
        <f>MIN(MAX(M3018*(1+MAX(MIN(((B3019-B3018)/B3018)/($K$7*30),0),-卓尔金历!$M$43))+MIN(MAX(((B3019-B3018)/B3018)/($K$7*7),0),卓尔金历!$M$43),0),1)</f>
        <v>0.12325870381506586</v>
      </c>
      <c r="N3019">
        <f t="shared" si="413"/>
        <v>250625.84542799462</v>
      </c>
      <c r="O3019">
        <f t="shared" si="414"/>
        <v>689943.61197558499</v>
      </c>
      <c r="P3019">
        <f t="shared" si="415"/>
        <v>-1.0385318723092551E-3</v>
      </c>
      <c r="Q3019">
        <f t="shared" si="416"/>
        <v>2.4224790155176649E-2</v>
      </c>
      <c r="R3019">
        <f t="shared" si="417"/>
        <v>1</v>
      </c>
      <c r="S3019">
        <f t="shared" si="409"/>
        <v>1147.8081801374015</v>
      </c>
      <c r="T3019" s="564">
        <f>IF((I3019-MAX(I$470:I3019))/MAX(I$470:I3019)&gt;T3018,T3018,(I3019-MAX(I$470:I3019))/MAX(I$470:I3019))</f>
        <v>-0.91338805338419748</v>
      </c>
      <c r="U3019" s="564">
        <f>IF((J3019-MAX(J$470:J3019))/MAX(J$470:J3019)&gt;U3018,U3018,(J3019-MAX(J$470:J3019))/MAX(J$470:J3019))</f>
        <v>-0.8283551177402233</v>
      </c>
      <c r="V3019" s="564">
        <f>IF((K3019-MAX(K$470:K3019))/MAX(K$470:K3019)&gt;V3018,V3018,(K3019-MAX(K$470:K3019))/MAX(K$470:K3019))</f>
        <v>-0.84885940676762139</v>
      </c>
      <c r="W3019" s="564">
        <f>IF((N3019-MAX(N$470:N3019))/MAX(N$470:N3019)&gt;W3018,W3018,(N3019-MAX(N$470:N3019))/MAX(N$470:N3019))</f>
        <v>-0.62788758315546067</v>
      </c>
      <c r="X3019" s="564">
        <f>IF((O3019-MAX(O$470:O3019))/MAX(O$470:O3019)&gt;X3018,X3018,(O3019-MAX(O$470:O3019))/MAX(O$470:O3019))</f>
        <v>-0.62788758315546067</v>
      </c>
    </row>
    <row r="3020" spans="1:24">
      <c r="A3020" s="799">
        <v>43422</v>
      </c>
      <c r="B3020">
        <v>5598.26</v>
      </c>
      <c r="C3020">
        <v>7312.5082849999999</v>
      </c>
      <c r="D3020">
        <v>1.134323</v>
      </c>
      <c r="E3020">
        <f>LN(D3020/参数实验室!$E$53)/参数实验室!$E$55</f>
        <v>-0.54427691737078765</v>
      </c>
      <c r="F3020">
        <f t="shared" si="418"/>
        <v>1.3062109092825269</v>
      </c>
      <c r="G3020">
        <f>LN(F3020/参数实验室!$E$58)/参数实验室!$E$59</f>
        <v>-5.0325496252583979E-2</v>
      </c>
      <c r="H3020" s="856">
        <f>INDEX(神经网络!$G$10:$BO$70,MATCH(ROUND(G3020*2,1)/2,神经网络!$E$10:$E$70,0),MATCH(ROUND(E3020*2,1)/2,神经网络!$G$8:$BO$8,0))</f>
        <v>-0.33449656962510349</v>
      </c>
      <c r="I3020">
        <f t="shared" si="410"/>
        <v>618043.55799372098</v>
      </c>
      <c r="J3020">
        <f t="shared" si="411"/>
        <v>2233.8533977095867</v>
      </c>
      <c r="K3020">
        <f t="shared" si="412"/>
        <v>276.67149448008229</v>
      </c>
      <c r="L3020" s="4">
        <f>MIN(MAX(L3019*(1+MAX(MIN(((B3020-B3019)/B3019)/($K$7*卓尔金历!$N$40),0),-卓尔金历!$M$43))+MIN(MAX(((B3020-B3019)/B3019)/($K$7*卓尔金历!$N$40),0),卓尔金历!$M$43),0),1)</f>
        <v>0.13244230016967443</v>
      </c>
      <c r="M3020" s="4">
        <f>MIN(MAX(M3019*(1+MAX(MIN(((B3020-B3019)/B3019)/($K$7*30),0),-卓尔金历!$M$43))+MIN(MAX(((B3020-B3019)/B3019)/($K$7*7),0),卓尔金历!$M$43),0),1)</f>
        <v>0.40706363275008245</v>
      </c>
      <c r="N3020">
        <f t="shared" si="413"/>
        <v>250625.84542799462</v>
      </c>
      <c r="O3020">
        <f t="shared" si="414"/>
        <v>689697.03444500547</v>
      </c>
      <c r="P3020">
        <f t="shared" si="415"/>
        <v>8.6682341918687938E-3</v>
      </c>
      <c r="Q3020">
        <f t="shared" si="416"/>
        <v>2.4433154716653294E-2</v>
      </c>
      <c r="R3020">
        <f t="shared" si="417"/>
        <v>1</v>
      </c>
      <c r="S3020">
        <f t="shared" si="409"/>
        <v>1144.4801165150911</v>
      </c>
      <c r="T3020" s="564">
        <f>IF((I3020-MAX(I$470:I3020))/MAX(I$470:I3020)&gt;T3019,T3019,(I3020-MAX(I$470:I3020))/MAX(I$470:I3020))</f>
        <v>-0.91338805338419748</v>
      </c>
      <c r="U3020" s="564">
        <f>IF((J3020-MAX(J$470:J3020))/MAX(J$470:J3020)&gt;U3019,U3019,(J3020-MAX(J$470:J3020))/MAX(J$470:J3020))</f>
        <v>-0.8283551177402233</v>
      </c>
      <c r="V3020" s="564">
        <f>IF((K3020-MAX(K$470:K3020))/MAX(K$470:K3020)&gt;V3019,V3019,(K3020-MAX(K$470:K3020))/MAX(K$470:K3020))</f>
        <v>-0.84885940676762139</v>
      </c>
      <c r="W3020" s="564">
        <f>IF((N3020-MAX(N$470:N3020))/MAX(N$470:N3020)&gt;W3019,W3019,(N3020-MAX(N$470:N3020))/MAX(N$470:N3020))</f>
        <v>-0.62788758315546067</v>
      </c>
      <c r="X3020" s="564">
        <f>IF((O3020-MAX(O$470:O3020))/MAX(O$470:O3020)&gt;X3019,X3019,(O3020-MAX(O$470:O3020))/MAX(O$470:O3020))</f>
        <v>-0.62788758315546067</v>
      </c>
    </row>
    <row r="3021" spans="1:24">
      <c r="A3021" s="799">
        <v>43423</v>
      </c>
      <c r="B3021">
        <v>5290.59</v>
      </c>
      <c r="C3021">
        <v>7405.3376520000002</v>
      </c>
      <c r="D3021">
        <v>0.98256699999999997</v>
      </c>
      <c r="E3021">
        <f>LN(D3021/参数实验室!$E$53)/参数实验室!$E$55</f>
        <v>-0.71371631242150479</v>
      </c>
      <c r="F3021">
        <f t="shared" si="418"/>
        <v>1.3997186801472048</v>
      </c>
      <c r="G3021">
        <f>LN(F3021/参数实验室!$E$58)/参数实验室!$E$59</f>
        <v>-1.4036687091552473E-2</v>
      </c>
      <c r="H3021" s="856">
        <f>INDEX(神经网络!$G$10:$BO$70,MATCH(ROUND(G3021*2,1)/2,神经网络!$E$10:$E$70,0),MATCH(ROUND(E3021*2,1)/2,神经网络!$G$8:$BO$8,0))</f>
        <v>-0.29487647096998976</v>
      </c>
      <c r="I3021">
        <f t="shared" si="410"/>
        <v>629405.24547698384</v>
      </c>
      <c r="J3021">
        <f t="shared" si="411"/>
        <v>2111.0849527153728</v>
      </c>
      <c r="K3021">
        <f t="shared" si="412"/>
        <v>298.14302104110703</v>
      </c>
      <c r="L3021" s="4">
        <f>MIN(MAX(L3020*(1+MAX(MIN(((B3021-B3020)/B3020)/($K$7*卓尔金历!$N$40),0),-卓尔金历!$M$43))+MIN(MAX(((B3021-B3020)/B3020)/($K$7*卓尔金历!$N$40),0),卓尔金历!$M$43),0),1)</f>
        <v>2.1229473279826175E-2</v>
      </c>
      <c r="M3021" s="4">
        <f>MIN(MAX(M3020*(1+MAX(MIN(((B3021-B3020)/B3020)/($K$7*30),0),-卓尔金历!$M$43))+MIN(MAX(((B3021-B3020)/B3020)/($K$7*7),0),卓尔金历!$M$43),0),1)</f>
        <v>0.23615638761695465</v>
      </c>
      <c r="N3021">
        <f t="shared" si="413"/>
        <v>251236.05121904824</v>
      </c>
      <c r="O3021">
        <f t="shared" si="414"/>
        <v>694858.15992441552</v>
      </c>
      <c r="P3021">
        <f t="shared" si="415"/>
        <v>-5.4958147710181392E-2</v>
      </c>
      <c r="Q3021">
        <f t="shared" si="416"/>
        <v>2.6476892478881624E-2</v>
      </c>
      <c r="R3021">
        <f t="shared" si="417"/>
        <v>6.5896322313845884E-3</v>
      </c>
      <c r="S3021">
        <f t="shared" si="409"/>
        <v>1165.5194514397419</v>
      </c>
      <c r="T3021" s="564">
        <f>IF((I3021-MAX(I$470:I3021))/MAX(I$470:I3021)&gt;T3020,T3020,(I3021-MAX(I$470:I3021))/MAX(I$470:I3021))</f>
        <v>-0.91338805338419748</v>
      </c>
      <c r="U3021" s="564">
        <f>IF((J3021-MAX(J$470:J3021))/MAX(J$470:J3021)&gt;U3020,U3020,(J3021-MAX(J$470:J3021))/MAX(J$470:J3021))</f>
        <v>-0.8283551177402233</v>
      </c>
      <c r="V3021" s="564">
        <f>IF((K3021-MAX(K$470:K3021))/MAX(K$470:K3021)&gt;V3020,V3020,(K3021-MAX(K$470:K3021))/MAX(K$470:K3021))</f>
        <v>-0.84885940676762139</v>
      </c>
      <c r="W3021" s="564">
        <f>IF((N3021-MAX(N$470:N3021))/MAX(N$470:N3021)&gt;W3020,W3020,(N3021-MAX(N$470:N3021))/MAX(N$470:N3021))</f>
        <v>-0.62788758315546067</v>
      </c>
      <c r="X3021" s="564">
        <f>IF((O3021-MAX(O$470:O3021))/MAX(O$470:O3021)&gt;X3020,X3020,(O3021-MAX(O$470:O3021))/MAX(O$470:O3021))</f>
        <v>-0.62788758315546067</v>
      </c>
    </row>
    <row r="3022" spans="1:24">
      <c r="A3022" s="799">
        <v>43424</v>
      </c>
      <c r="B3022">
        <v>4488.05</v>
      </c>
      <c r="C3022">
        <v>7439.9618790000004</v>
      </c>
      <c r="D3022">
        <v>0.892598</v>
      </c>
      <c r="E3022">
        <f>LN(D3022/参数实验室!$E$53)/参数实验室!$E$55</f>
        <v>-0.82701063933271979</v>
      </c>
      <c r="F3022">
        <f t="shared" si="418"/>
        <v>1.6577270482726352</v>
      </c>
      <c r="G3022">
        <f>LN(F3022/参数实验室!$E$58)/参数实验室!$E$59</f>
        <v>7.4756095232549863E-2</v>
      </c>
      <c r="H3022" s="856">
        <f>INDEX(神经网络!$G$10:$BO$70,MATCH(ROUND(G3022*2,1)/2,神经网络!$E$10:$E$70,0),MATCH(ROUND(E3022*2,1)/2,神经网络!$G$8:$BO$8,0))</f>
        <v>-0.15101802788283913</v>
      </c>
      <c r="I3022">
        <f t="shared" si="410"/>
        <v>657558.78864379448</v>
      </c>
      <c r="J3022">
        <f t="shared" si="411"/>
        <v>1790.8503252064945</v>
      </c>
      <c r="K3022">
        <f t="shared" si="412"/>
        <v>367.1768541393734</v>
      </c>
      <c r="L3022" s="4">
        <f>MIN(MAX(L3021*(1+MAX(MIN(((B3022-B3021)/B3021)/($K$7*卓尔金历!$N$40),0),-卓尔金历!$M$43))+MIN(MAX(((B3022-B3021)/B3021)/($K$7*卓尔金历!$N$40),0),卓尔金历!$M$43),0),1)</f>
        <v>0</v>
      </c>
      <c r="M3022" s="4">
        <f>MIN(MAX(M3021*(1+MAX(MIN(((B3022-B3021)/B3021)/($K$7*30),0),-卓尔金历!$M$43))+MIN(MAX(((B3022-B3021)/B3021)/($K$7*7),0),卓尔金历!$M$43),0),1)</f>
        <v>0</v>
      </c>
      <c r="N3022">
        <f t="shared" si="413"/>
        <v>251474.62564040392</v>
      </c>
      <c r="O3022">
        <f t="shared" si="414"/>
        <v>702198.20218096371</v>
      </c>
      <c r="P3022">
        <f t="shared" si="415"/>
        <v>-0.15169196630243506</v>
      </c>
      <c r="Q3022">
        <f t="shared" si="416"/>
        <v>4.0289748660107469E-2</v>
      </c>
      <c r="R3022">
        <f t="shared" si="417"/>
        <v>0</v>
      </c>
      <c r="S3022">
        <f t="shared" si="409"/>
        <v>1165.8629962595471</v>
      </c>
      <c r="T3022" s="564">
        <f>IF((I3022-MAX(I$470:I3022))/MAX(I$470:I3022)&gt;T3021,T3021,(I3022-MAX(I$470:I3022))/MAX(I$470:I3022))</f>
        <v>-0.91338805338419748</v>
      </c>
      <c r="U3022" s="564">
        <f>IF((J3022-MAX(J$470:J3022))/MAX(J$470:J3022)&gt;U3021,U3021,(J3022-MAX(J$470:J3022))/MAX(J$470:J3022))</f>
        <v>-0.8283551177402233</v>
      </c>
      <c r="V3022" s="564">
        <f>IF((K3022-MAX(K$470:K3022))/MAX(K$470:K3022)&gt;V3021,V3021,(K3022-MAX(K$470:K3022))/MAX(K$470:K3022))</f>
        <v>-0.84885940676762139</v>
      </c>
      <c r="W3022" s="564">
        <f>IF((N3022-MAX(N$470:N3022))/MAX(N$470:N3022)&gt;W3021,W3021,(N3022-MAX(N$470:N3022))/MAX(N$470:N3022))</f>
        <v>-0.62788758315546067</v>
      </c>
      <c r="X3022" s="564">
        <f>IF((O3022-MAX(O$470:O3022))/MAX(O$470:O3022)&gt;X3021,X3021,(O3022-MAX(O$470:O3022))/MAX(O$470:O3022))</f>
        <v>-0.62788758315546067</v>
      </c>
    </row>
    <row r="3023" spans="1:24">
      <c r="A3023" s="799">
        <v>43425</v>
      </c>
      <c r="B3023">
        <v>4650.16</v>
      </c>
      <c r="C3023">
        <v>7719.1919289999996</v>
      </c>
      <c r="D3023">
        <v>0.942052</v>
      </c>
      <c r="E3023">
        <f>LN(D3023/参数实验室!$E$53)/参数实验室!$E$55</f>
        <v>-0.76339343286435357</v>
      </c>
      <c r="F3023">
        <f t="shared" si="418"/>
        <v>1.6599841573193179</v>
      </c>
      <c r="G3023">
        <f>LN(F3023/参数实验室!$E$58)/参数实验室!$E$59</f>
        <v>7.5470233937327921E-2</v>
      </c>
      <c r="H3023" s="856">
        <f>INDEX(神经网络!$G$10:$BO$70,MATCH(ROUND(G3023*2,1)/2,神经网络!$E$10:$E$70,0),MATCH(ROUND(E3023*2,1)/2,神经网络!$G$8:$BO$8,0))</f>
        <v>-0.14674409267063451</v>
      </c>
      <c r="I3023">
        <f t="shared" si="410"/>
        <v>653971.91976869258</v>
      </c>
      <c r="J3023">
        <f t="shared" si="411"/>
        <v>1855.5364909620507</v>
      </c>
      <c r="K3023">
        <f t="shared" si="412"/>
        <v>352.44357788384099</v>
      </c>
      <c r="L3023" s="4">
        <f>MIN(MAX(L3022*(1+MAX(MIN(((B3023-B3022)/B3022)/($K$7*卓尔金历!$N$40),0),-卓尔金历!$M$43))+MIN(MAX(((B3023-B3022)/B3022)/($K$7*卓尔金历!$N$40),0),卓尔金历!$M$43),0),1)</f>
        <v>0.55188450099052144</v>
      </c>
      <c r="M3023" s="4">
        <f>MIN(MAX(M3022*(1+MAX(MIN(((B3023-B3022)/B3022)/($K$7*30),0),-卓尔金历!$M$43))+MIN(MAX(((B3023-B3022)/B3022)/($K$7*7),0),卓尔金历!$M$43),0),1)</f>
        <v>1</v>
      </c>
      <c r="N3023">
        <f t="shared" si="413"/>
        <v>251474.62564040392</v>
      </c>
      <c r="O3023">
        <f t="shared" si="414"/>
        <v>702198.20218096371</v>
      </c>
      <c r="P3023">
        <f t="shared" si="415"/>
        <v>3.6120364077940233E-2</v>
      </c>
      <c r="Q3023">
        <f t="shared" si="416"/>
        <v>4.1673616147952897E-2</v>
      </c>
      <c r="R3023">
        <f t="shared" si="417"/>
        <v>0.18906305669220419</v>
      </c>
      <c r="S3023">
        <f t="shared" si="409"/>
        <v>1165.8629962595471</v>
      </c>
      <c r="T3023" s="564">
        <f>IF((I3023-MAX(I$470:I3023))/MAX(I$470:I3023)&gt;T3022,T3022,(I3023-MAX(I$470:I3023))/MAX(I$470:I3023))</f>
        <v>-0.91338805338419748</v>
      </c>
      <c r="U3023" s="564">
        <f>IF((J3023-MAX(J$470:J3023))/MAX(J$470:J3023)&gt;U3022,U3022,(J3023-MAX(J$470:J3023))/MAX(J$470:J3023))</f>
        <v>-0.8283551177402233</v>
      </c>
      <c r="V3023" s="564">
        <f>IF((K3023-MAX(K$470:K3023))/MAX(K$470:K3023)&gt;V3022,V3022,(K3023-MAX(K$470:K3023))/MAX(K$470:K3023))</f>
        <v>-0.84885940676762139</v>
      </c>
      <c r="W3023" s="564">
        <f>IF((N3023-MAX(N$470:N3023))/MAX(N$470:N3023)&gt;W3022,W3022,(N3023-MAX(N$470:N3023))/MAX(N$470:N3023))</f>
        <v>-0.62788758315546067</v>
      </c>
      <c r="X3023" s="564">
        <f>IF((O3023-MAX(O$470:O3023))/MAX(O$470:O3023)&gt;X3022,X3022,(O3023-MAX(O$470:O3023))/MAX(O$470:O3023))</f>
        <v>-0.62788758315546067</v>
      </c>
    </row>
    <row r="3024" spans="1:24">
      <c r="A3024" s="799">
        <v>43426</v>
      </c>
      <c r="B3024">
        <v>4525.33</v>
      </c>
      <c r="C3024">
        <v>7906.2357140000004</v>
      </c>
      <c r="D3024">
        <v>0.89310500000000004</v>
      </c>
      <c r="E3024">
        <f>LN(D3024/参数实验室!$E$53)/参数实验室!$E$55</f>
        <v>-0.82634072399879677</v>
      </c>
      <c r="F3024">
        <f t="shared" si="418"/>
        <v>1.7471069986056267</v>
      </c>
      <c r="G3024">
        <f>LN(F3024/参数实验室!$E$58)/参数实验室!$E$59</f>
        <v>0.10231820711227124</v>
      </c>
      <c r="H3024" s="856">
        <f>INDEX(神经网络!$G$10:$BO$70,MATCH(ROUND(G3024*2,1)/2,神经网络!$E$10:$E$70,0),MATCH(ROUND(E3024*2,1)/2,神经网络!$G$8:$BO$8,0))</f>
        <v>-0.1058115802451777</v>
      </c>
      <c r="I3024">
        <f t="shared" si="410"/>
        <v>656548.06772749324</v>
      </c>
      <c r="J3024">
        <f t="shared" si="411"/>
        <v>1805.7260284904814</v>
      </c>
      <c r="K3024">
        <f t="shared" si="412"/>
        <v>363.59229327626326</v>
      </c>
      <c r="L3024" s="4">
        <f>MIN(MAX(L3023*(1+MAX(MIN(((B3024-B3023)/B3023)/($K$7*卓尔金历!$N$40),0),-卓尔金历!$M$43))+MIN(MAX(((B3024-B3023)/B3023)/($K$7*卓尔金历!$N$40),0),卓尔金历!$M$43),0),1)</f>
        <v>0.32552676034231554</v>
      </c>
      <c r="M3024" s="4">
        <f>MIN(MAX(M3023*(1+MAX(MIN(((B3024-B3023)/B3023)/($K$7*30),0),-卓尔金历!$M$43))+MIN(MAX(((B3024-B3023)/B3023)/($K$7*7),0),卓尔金历!$M$43),0),1)</f>
        <v>0.79492290484518102</v>
      </c>
      <c r="N3024">
        <f t="shared" si="413"/>
        <v>252021.33192919809</v>
      </c>
      <c r="O3024">
        <f t="shared" si="414"/>
        <v>704964.32471702271</v>
      </c>
      <c r="P3024">
        <f t="shared" si="415"/>
        <v>-2.6844237617630346E-2</v>
      </c>
      <c r="Q3024">
        <f t="shared" si="416"/>
        <v>4.1397165255332241E-2</v>
      </c>
      <c r="R3024">
        <f t="shared" si="417"/>
        <v>0.49288623299794682</v>
      </c>
      <c r="S3024">
        <f t="shared" si="409"/>
        <v>1166.7312884503892</v>
      </c>
      <c r="T3024" s="564">
        <f>IF((I3024-MAX(I$470:I3024))/MAX(I$470:I3024)&gt;T3023,T3023,(I3024-MAX(I$470:I3024))/MAX(I$470:I3024))</f>
        <v>-0.91338805338419748</v>
      </c>
      <c r="U3024" s="564">
        <f>IF((J3024-MAX(J$470:J3024))/MAX(J$470:J3024)&gt;U3023,U3023,(J3024-MAX(J$470:J3024))/MAX(J$470:J3024))</f>
        <v>-0.8283551177402233</v>
      </c>
      <c r="V3024" s="564">
        <f>IF((K3024-MAX(K$470:K3024))/MAX(K$470:K3024)&gt;V3023,V3023,(K3024-MAX(K$470:K3024))/MAX(K$470:K3024))</f>
        <v>-0.84885940676762139</v>
      </c>
      <c r="W3024" s="564">
        <f>IF((N3024-MAX(N$470:N3024))/MAX(N$470:N3024)&gt;W3023,W3023,(N3024-MAX(N$470:N3024))/MAX(N$470:N3024))</f>
        <v>-0.62788758315546067</v>
      </c>
      <c r="X3024" s="564">
        <f>IF((O3024-MAX(O$470:O3024))/MAX(O$470:O3024)&gt;X3023,X3023,(O3024-MAX(O$470:O3024))/MAX(O$470:O3024))</f>
        <v>-0.62788758315546067</v>
      </c>
    </row>
    <row r="3025" spans="1:24">
      <c r="A3025" s="799">
        <v>43427</v>
      </c>
      <c r="B3025">
        <v>4390.43</v>
      </c>
      <c r="C3025">
        <v>7838.4593009999999</v>
      </c>
      <c r="D3025">
        <v>0.89181200000000005</v>
      </c>
      <c r="E3025">
        <f>LN(D3025/参数实验室!$E$53)/参数实验室!$E$55</f>
        <v>-0.82804995889462985</v>
      </c>
      <c r="F3025">
        <f t="shared" si="418"/>
        <v>1.7853511617313109</v>
      </c>
      <c r="G3025">
        <f>LN(F3025/参数实验室!$E$58)/参数实验室!$E$59</f>
        <v>0.11368331720977522</v>
      </c>
      <c r="H3025" s="856">
        <f>INDEX(神经网络!$G$10:$BO$70,MATCH(ROUND(G3025*2,1)/2,神经网络!$E$10:$E$70,0),MATCH(ROUND(E3025*2,1)/2,神经网络!$G$8:$BO$8,0))</f>
        <v>-0.1058115802451777</v>
      </c>
      <c r="I3025">
        <f t="shared" si="410"/>
        <v>658618.97867008124</v>
      </c>
      <c r="J3025">
        <f t="shared" si="411"/>
        <v>1751.8973704161829</v>
      </c>
      <c r="K3025">
        <f t="shared" si="412"/>
        <v>375.94609695293906</v>
      </c>
      <c r="L3025" s="4">
        <f>MIN(MAX(L3024*(1+MAX(MIN(((B3025-B3024)/B3024)/($K$7*卓尔金历!$N$40),0),-卓尔金历!$M$43))+MIN(MAX(((B3025-B3024)/B3024)/($K$7*卓尔金历!$N$40),0),卓尔金历!$M$43),0),1)</f>
        <v>0.17725977082922439</v>
      </c>
      <c r="M3025" s="4">
        <f>MIN(MAX(M3024*(1+MAX(MIN(((B3025-B3024)/B3024)/($K$7*30),0),-卓尔金历!$M$43))+MIN(MAX(((B3025-B3024)/B3024)/($K$7*7),0),卓尔金历!$M$43),0),1)</f>
        <v>0.61389197228458747</v>
      </c>
      <c r="N3025">
        <f t="shared" si="413"/>
        <v>252280.10488943855</v>
      </c>
      <c r="O3025">
        <f t="shared" si="414"/>
        <v>706731.9371434343</v>
      </c>
      <c r="P3025">
        <f t="shared" si="415"/>
        <v>-2.9809980708589128E-2</v>
      </c>
      <c r="Q3025">
        <f t="shared" si="416"/>
        <v>4.144765489774338E-2</v>
      </c>
      <c r="R3025">
        <f t="shared" si="417"/>
        <v>0.38462921871251682</v>
      </c>
      <c r="S3025">
        <f t="shared" si="409"/>
        <v>1168.5451846372885</v>
      </c>
      <c r="T3025" s="564">
        <f>IF((I3025-MAX(I$470:I3025))/MAX(I$470:I3025)&gt;T3024,T3024,(I3025-MAX(I$470:I3025))/MAX(I$470:I3025))</f>
        <v>-0.91338805338419748</v>
      </c>
      <c r="U3025" s="564">
        <f>IF((J3025-MAX(J$470:J3025))/MAX(J$470:J3025)&gt;U3024,U3024,(J3025-MAX(J$470:J3025))/MAX(J$470:J3025))</f>
        <v>-0.8283551177402233</v>
      </c>
      <c r="V3025" s="564">
        <f>IF((K3025-MAX(K$470:K3025))/MAX(K$470:K3025)&gt;V3024,V3024,(K3025-MAX(K$470:K3025))/MAX(K$470:K3025))</f>
        <v>-0.84885940676762139</v>
      </c>
      <c r="W3025" s="564">
        <f>IF((N3025-MAX(N$470:N3025))/MAX(N$470:N3025)&gt;W3024,W3024,(N3025-MAX(N$470:N3025))/MAX(N$470:N3025))</f>
        <v>-0.62788758315546067</v>
      </c>
      <c r="X3025" s="564">
        <f>IF((O3025-MAX(O$470:O3025))/MAX(O$470:O3025)&gt;X3024,X3024,(O3025-MAX(O$470:O3025))/MAX(O$470:O3025))</f>
        <v>-0.62788758315546067</v>
      </c>
    </row>
    <row r="3026" spans="1:24">
      <c r="A3026" s="799">
        <v>43428</v>
      </c>
      <c r="B3026">
        <v>4329.0600000000004</v>
      </c>
      <c r="C3026">
        <v>7806.3037519999998</v>
      </c>
      <c r="D3026">
        <v>0.79317199999999999</v>
      </c>
      <c r="E3026">
        <f>LN(D3026/参数实验室!$E$53)/参数实验室!$E$55</f>
        <v>-0.96633503275840804</v>
      </c>
      <c r="F3026">
        <f t="shared" si="418"/>
        <v>1.8032329771359139</v>
      </c>
      <c r="G3026">
        <f>LN(F3026/参数实验室!$E$58)/参数实验室!$E$59</f>
        <v>0.11891402683235196</v>
      </c>
      <c r="H3026" s="856">
        <f>INDEX(神经网络!$G$10:$BO$70,MATCH(ROUND(G3026*2,1)/2,神经网络!$E$10:$E$70,0),MATCH(ROUND(E3026*2,1)/2,神经网络!$G$8:$BO$8,0))</f>
        <v>-1.6113682648580298E-2</v>
      </c>
      <c r="I3026">
        <f t="shared" si="410"/>
        <v>659593.10774859588</v>
      </c>
      <c r="J3026">
        <f t="shared" si="411"/>
        <v>1727.4091217429457</v>
      </c>
      <c r="K3026">
        <f t="shared" si="412"/>
        <v>381.83954191643397</v>
      </c>
      <c r="L3026" s="4">
        <f>MIN(MAX(L3025*(1+MAX(MIN(((B3026-B3025)/B3025)/($K$7*卓尔金历!$N$40),0),-卓尔金历!$M$43))+MIN(MAX(((B3026-B3025)/B3025)/($K$7*卓尔金历!$N$40),0),卓尔金历!$M$43),0),1)</f>
        <v>0.13940197471711671</v>
      </c>
      <c r="M3026" s="4">
        <f>MIN(MAX(M3025*(1+MAX(MIN(((B3026-B3025)/B3025)/($K$7*30),0),-卓尔金历!$M$43))+MIN(MAX(((B3026-B3025)/B3025)/($K$7*7),0),卓尔金历!$M$43),0),1)</f>
        <v>0.54833677887299259</v>
      </c>
      <c r="N3026">
        <f t="shared" si="413"/>
        <v>252346.24660462141</v>
      </c>
      <c r="O3026">
        <f t="shared" si="414"/>
        <v>707373.63256134663</v>
      </c>
      <c r="P3026">
        <f t="shared" si="415"/>
        <v>-1.3978129704835264E-2</v>
      </c>
      <c r="Q3026">
        <f t="shared" si="416"/>
        <v>4.1237264496602935E-2</v>
      </c>
      <c r="R3026">
        <f t="shared" si="417"/>
        <v>1</v>
      </c>
      <c r="S3026">
        <f t="shared" si="409"/>
        <v>1169.2099525510801</v>
      </c>
      <c r="T3026" s="564">
        <f>IF((I3026-MAX(I$470:I3026))/MAX(I$470:I3026)&gt;T3025,T3025,(I3026-MAX(I$470:I3026))/MAX(I$470:I3026))</f>
        <v>-0.91338805338419748</v>
      </c>
      <c r="U3026" s="564">
        <f>IF((J3026-MAX(J$470:J3026))/MAX(J$470:J3026)&gt;U3025,U3025,(J3026-MAX(J$470:J3026))/MAX(J$470:J3026))</f>
        <v>-0.8283551177402233</v>
      </c>
      <c r="V3026" s="564">
        <f>IF((K3026-MAX(K$470:K3026))/MAX(K$470:K3026)&gt;V3025,V3025,(K3026-MAX(K$470:K3026))/MAX(K$470:K3026))</f>
        <v>-0.84885940676762139</v>
      </c>
      <c r="W3026" s="564">
        <f>IF((N3026-MAX(N$470:N3026))/MAX(N$470:N3026)&gt;W3025,W3025,(N3026-MAX(N$470:N3026))/MAX(N$470:N3026))</f>
        <v>-0.62788758315546067</v>
      </c>
      <c r="X3026" s="564">
        <f>IF((O3026-MAX(O$470:O3026))/MAX(O$470:O3026)&gt;X3025,X3025,(O3026-MAX(O$470:O3026))/MAX(O$470:O3026))</f>
        <v>-0.62788758315546067</v>
      </c>
    </row>
    <row r="3027" spans="1:24">
      <c r="A3027" s="799">
        <v>43429</v>
      </c>
      <c r="B3027">
        <v>3707.1</v>
      </c>
      <c r="C3027">
        <v>7901.6456010000002</v>
      </c>
      <c r="D3027">
        <v>0.82453799999999999</v>
      </c>
      <c r="E3027">
        <f>LN(D3027/参数实验室!$E$53)/参数实验室!$E$55</f>
        <v>-0.92058050519569534</v>
      </c>
      <c r="F3027">
        <f t="shared" si="418"/>
        <v>2.1314897361819214</v>
      </c>
      <c r="G3027">
        <f>LN(F3027/参数实验室!$E$58)/参数实验室!$E$59</f>
        <v>0.20669061156700089</v>
      </c>
      <c r="H3027" s="856">
        <f>INDEX(神经网络!$G$10:$BO$70,MATCH(ROUND(G3027*2,1)/2,神经网络!$E$10:$E$70,0),MATCH(ROUND(E3027*2,1)/2,神经网络!$G$8:$BO$8,0))</f>
        <v>-2.9417266768257934E-2</v>
      </c>
      <c r="I3027">
        <f t="shared" si="410"/>
        <v>661120.1103077312</v>
      </c>
      <c r="J3027">
        <f t="shared" si="411"/>
        <v>1479.2306771477579</v>
      </c>
      <c r="K3027">
        <f t="shared" si="412"/>
        <v>446.93509979288581</v>
      </c>
      <c r="L3027" s="4">
        <f>MIN(MAX(L3026*(1+MAX(MIN(((B3027-B3026)/B3026)/($K$7*卓尔金历!$N$40),0),-卓尔金历!$M$43))+MIN(MAX(((B3027-B3026)/B3026)/($K$7*卓尔金历!$N$40),0),卓尔金历!$M$43),0),1)</f>
        <v>0</v>
      </c>
      <c r="M3027" s="4">
        <f>MIN(MAX(M3026*(1+MAX(MIN(((B3027-B3026)/B3026)/($K$7*30),0),-卓尔金历!$M$43))+MIN(MAX(((B3027-B3026)/B3026)/($K$7*7),0),卓尔金历!$M$43),0),1)</f>
        <v>0</v>
      </c>
      <c r="N3027">
        <f t="shared" si="413"/>
        <v>252427.68504187043</v>
      </c>
      <c r="O3027">
        <f t="shared" si="414"/>
        <v>708271.59857527411</v>
      </c>
      <c r="P3027">
        <f t="shared" si="415"/>
        <v>-0.14367091239206675</v>
      </c>
      <c r="Q3027">
        <f t="shared" si="416"/>
        <v>4.8999530920048863E-2</v>
      </c>
      <c r="R3027">
        <f t="shared" si="417"/>
        <v>0</v>
      </c>
      <c r="S3027">
        <f t="shared" si="409"/>
        <v>1171.9167524990148</v>
      </c>
      <c r="T3027" s="564">
        <f>IF((I3027-MAX(I$470:I3027))/MAX(I$470:I3027)&gt;T3026,T3026,(I3027-MAX(I$470:I3027))/MAX(I$470:I3027))</f>
        <v>-0.91338805338419748</v>
      </c>
      <c r="U3027" s="564">
        <f>IF((J3027-MAX(J$470:J3027))/MAX(J$470:J3027)&gt;U3026,U3026,(J3027-MAX(J$470:J3027))/MAX(J$470:J3027))</f>
        <v>-0.8283551177402233</v>
      </c>
      <c r="V3027" s="564">
        <f>IF((K3027-MAX(K$470:K3027))/MAX(K$470:K3027)&gt;V3026,V3026,(K3027-MAX(K$470:K3027))/MAX(K$470:K3027))</f>
        <v>-0.84885940676762139</v>
      </c>
      <c r="W3027" s="564">
        <f>IF((N3027-MAX(N$470:N3027))/MAX(N$470:N3027)&gt;W3026,W3026,(N3027-MAX(N$470:N3027))/MAX(N$470:N3027))</f>
        <v>-0.62788758315546067</v>
      </c>
      <c r="X3027" s="564">
        <f>IF((O3027-MAX(O$470:O3027))/MAX(O$470:O3027)&gt;X3026,X3026,(O3027-MAX(O$470:O3027))/MAX(O$470:O3027))</f>
        <v>-0.62788758315546067</v>
      </c>
    </row>
    <row r="3028" spans="1:24">
      <c r="A3028" s="799">
        <v>43430</v>
      </c>
      <c r="B3028">
        <v>3936.63</v>
      </c>
      <c r="C3028">
        <v>8052.1014740000001</v>
      </c>
      <c r="D3028">
        <v>0.77562799999999998</v>
      </c>
      <c r="E3028">
        <f>LN(D3028/参数实验室!$E$53)/参数实验室!$E$55</f>
        <v>-0.992722658711781</v>
      </c>
      <c r="F3028">
        <f t="shared" si="418"/>
        <v>2.0454300947764965</v>
      </c>
      <c r="G3028">
        <f>LN(F3028/参数实验室!$E$58)/参数实验室!$E$59</f>
        <v>0.18505977080083844</v>
      </c>
      <c r="H3028" s="856">
        <f>INDEX(神经网络!$G$10:$BO$70,MATCH(ROUND(G3028*2,1)/2,神经网络!$E$10:$E$70,0),MATCH(ROUND(E3028*2,1)/2,神经网络!$G$8:$BO$8,0))</f>
        <v>-3.50288925007241E-2</v>
      </c>
      <c r="I3028">
        <f t="shared" si="410"/>
        <v>659915.94019989646</v>
      </c>
      <c r="J3028">
        <f t="shared" si="411"/>
        <v>1570.8192011491942</v>
      </c>
      <c r="K3028">
        <f t="shared" si="412"/>
        <v>420.10941788660921</v>
      </c>
      <c r="L3028" s="4">
        <f>MIN(MAX(L3027*(1+MAX(MIN(((B3028-B3027)/B3027)/($K$7*卓尔金历!$N$40),0),-卓尔金历!$M$43))+MIN(MAX(((B3028-B3027)/B3027)/($K$7*卓尔金历!$N$40),0),卓尔金历!$M$43),0),1)</f>
        <v>0.94602199469570536</v>
      </c>
      <c r="M3028" s="4">
        <f>MIN(MAX(M3027*(1+MAX(MIN(((B3028-B3027)/B3027)/($K$7*30),0),-卓尔金历!$M$43))+MIN(MAX(((B3028-B3027)/B3027)/($K$7*7),0),卓尔金历!$M$43),0),1)</f>
        <v>1</v>
      </c>
      <c r="N3028">
        <f t="shared" si="413"/>
        <v>252427.68504187043</v>
      </c>
      <c r="O3028">
        <f t="shared" si="414"/>
        <v>708271.59857527411</v>
      </c>
      <c r="P3028">
        <f t="shared" si="415"/>
        <v>6.191632273205476E-2</v>
      </c>
      <c r="Q3028">
        <f t="shared" si="416"/>
        <v>5.1879091345425565E-2</v>
      </c>
      <c r="R3028">
        <f t="shared" si="417"/>
        <v>4.0333082112369828E-2</v>
      </c>
      <c r="S3028">
        <f t="shared" si="409"/>
        <v>1171.9167524990148</v>
      </c>
      <c r="T3028" s="564">
        <f>IF((I3028-MAX(I$470:I3028))/MAX(I$470:I3028)&gt;T3027,T3027,(I3028-MAX(I$470:I3028))/MAX(I$470:I3028))</f>
        <v>-0.91338805338419748</v>
      </c>
      <c r="U3028" s="564">
        <f>IF((J3028-MAX(J$470:J3028))/MAX(J$470:J3028)&gt;U3027,U3027,(J3028-MAX(J$470:J3028))/MAX(J$470:J3028))</f>
        <v>-0.8283551177402233</v>
      </c>
      <c r="V3028" s="564">
        <f>IF((K3028-MAX(K$470:K3028))/MAX(K$470:K3028)&gt;V3027,V3027,(K3028-MAX(K$470:K3028))/MAX(K$470:K3028))</f>
        <v>-0.84885940676762139</v>
      </c>
      <c r="W3028" s="564">
        <f>IF((N3028-MAX(N$470:N3028))/MAX(N$470:N3028)&gt;W3027,W3027,(N3028-MAX(N$470:N3028))/MAX(N$470:N3028))</f>
        <v>-0.62788758315546067</v>
      </c>
      <c r="X3028" s="564">
        <f>IF((O3028-MAX(O$470:O3028))/MAX(O$470:O3028)&gt;X3027,X3027,(O3028-MAX(O$470:O3028))/MAX(O$470:O3028))</f>
        <v>-0.62788758315546067</v>
      </c>
    </row>
    <row r="3029" spans="1:24">
      <c r="A3029" s="799">
        <v>43431</v>
      </c>
      <c r="B3029">
        <v>3721.87</v>
      </c>
      <c r="C3029">
        <v>8108.8821529999996</v>
      </c>
      <c r="D3029">
        <v>0.79405400000000004</v>
      </c>
      <c r="E3029">
        <f>LN(D3029/参数实验室!$E$53)/参数实验室!$E$55</f>
        <v>-0.96502388681159812</v>
      </c>
      <c r="F3029">
        <f t="shared" si="418"/>
        <v>2.1787118177152882</v>
      </c>
      <c r="G3029">
        <f>LN(F3029/参数实验室!$E$58)/参数实验室!$E$59</f>
        <v>0.21819155500314713</v>
      </c>
      <c r="H3029" s="856">
        <f>INDEX(神经网络!$G$10:$BO$70,MATCH(ROUND(G3029*2,1)/2,神经网络!$E$10:$E$70,0),MATCH(ROUND(E3029*2,1)/2,神经网络!$G$8:$BO$8,0))</f>
        <v>-3.1040164896446166E-2</v>
      </c>
      <c r="I3029">
        <f t="shared" si="410"/>
        <v>661177.02364025021</v>
      </c>
      <c r="J3029">
        <f t="shared" si="411"/>
        <v>1485.124296716011</v>
      </c>
      <c r="K3029">
        <f t="shared" si="412"/>
        <v>445.19978906969698</v>
      </c>
      <c r="L3029" s="4">
        <f>MIN(MAX(L3028*(1+MAX(MIN(((B3029-B3028)/B3028)/($K$7*卓尔金历!$N$40),0),-卓尔金历!$M$43))+MIN(MAX(((B3029-B3028)/B3028)/($K$7*卓尔金历!$N$40),0),卓尔金历!$M$43),0),1)</f>
        <v>0.15747767133424936</v>
      </c>
      <c r="M3029" s="4">
        <f>MIN(MAX(M3028*(1+MAX(MIN(((B3029-B3028)/B3028)/($K$7*30),0),-卓尔金历!$M$43))+MIN(MAX(((B3029-B3028)/B3028)/($K$7*7),0),卓尔金历!$M$43),0),1)</f>
        <v>0.58323150635884691</v>
      </c>
      <c r="N3029">
        <f t="shared" si="413"/>
        <v>252884.03017403526</v>
      </c>
      <c r="O3029">
        <f t="shared" si="414"/>
        <v>709625.0885121373</v>
      </c>
      <c r="P3029">
        <f t="shared" si="415"/>
        <v>-5.4554276119421999E-2</v>
      </c>
      <c r="Q3029">
        <f t="shared" si="416"/>
        <v>5.2115161050758932E-2</v>
      </c>
      <c r="R3029">
        <f t="shared" si="417"/>
        <v>4.9506131709408686E-2</v>
      </c>
      <c r="S3029">
        <f t="shared" si="409"/>
        <v>1172.0070786235488</v>
      </c>
      <c r="T3029" s="564">
        <f>IF((I3029-MAX(I$470:I3029))/MAX(I$470:I3029)&gt;T3028,T3028,(I3029-MAX(I$470:I3029))/MAX(I$470:I3029))</f>
        <v>-0.91338805338419748</v>
      </c>
      <c r="U3029" s="564">
        <f>IF((J3029-MAX(J$470:J3029))/MAX(J$470:J3029)&gt;U3028,U3028,(J3029-MAX(J$470:J3029))/MAX(J$470:J3029))</f>
        <v>-0.8283551177402233</v>
      </c>
      <c r="V3029" s="564">
        <f>IF((K3029-MAX(K$470:K3029))/MAX(K$470:K3029)&gt;V3028,V3028,(K3029-MAX(K$470:K3029))/MAX(K$470:K3029))</f>
        <v>-0.84885940676762139</v>
      </c>
      <c r="W3029" s="564">
        <f>IF((N3029-MAX(N$470:N3029))/MAX(N$470:N3029)&gt;W3028,W3028,(N3029-MAX(N$470:N3029))/MAX(N$470:N3029))</f>
        <v>-0.62788758315546067</v>
      </c>
      <c r="X3029" s="564">
        <f>IF((O3029-MAX(O$470:O3029))/MAX(O$470:O3029)&gt;X3028,X3028,(O3029-MAX(O$470:O3029))/MAX(O$470:O3029))</f>
        <v>-0.62788758315546067</v>
      </c>
    </row>
    <row r="3030" spans="1:24">
      <c r="A3030" s="799">
        <v>43432</v>
      </c>
      <c r="B3030">
        <v>4027.16</v>
      </c>
      <c r="C3030">
        <v>8283.4226660000004</v>
      </c>
      <c r="D3030">
        <v>0.88549999999999995</v>
      </c>
      <c r="E3030">
        <f>LN(D3030/参数实验室!$E$53)/参数实验室!$E$55</f>
        <v>-0.83642961737140931</v>
      </c>
      <c r="F3030">
        <f t="shared" si="418"/>
        <v>2.0568893875584782</v>
      </c>
      <c r="G3030">
        <f>LN(F3030/参数实验室!$E$58)/参数实验室!$E$59</f>
        <v>0.18799200063660521</v>
      </c>
      <c r="H3030" s="856">
        <f>INDEX(神经网络!$G$10:$BO$70,MATCH(ROUND(G3030*2,1)/2,神经网络!$E$10:$E$70,0),MATCH(ROUND(E3030*2,1)/2,神经网络!$G$8:$BO$8,0))</f>
        <v>-3.0194283106222054E-2</v>
      </c>
      <c r="I3030">
        <f t="shared" si="410"/>
        <v>659493.6010452183</v>
      </c>
      <c r="J3030">
        <f t="shared" si="411"/>
        <v>1606.9430589361937</v>
      </c>
      <c r="K3030">
        <f t="shared" si="412"/>
        <v>410.40259477632469</v>
      </c>
      <c r="L3030" s="4">
        <f>MIN(MAX(L3029*(1+MAX(MIN(((B3030-B3029)/B3029)/($K$7*卓尔金历!$N$40),0),-卓尔金历!$M$43))+MIN(MAX(((B3030-B3029)/B3029)/($K$7*卓尔金历!$N$40),0),卓尔金历!$M$43),0),1)</f>
        <v>1</v>
      </c>
      <c r="M3030" s="4">
        <f>MIN(MAX(M3029*(1+MAX(MIN(((B3030-B3029)/B3029)/($K$7*30),0),-卓尔金历!$M$43))+MIN(MAX(((B3030-B3029)/B3029)/($K$7*7),0),卓尔金历!$M$43),0),1)</f>
        <v>1</v>
      </c>
      <c r="N3030">
        <f t="shared" si="413"/>
        <v>252782.63534968969</v>
      </c>
      <c r="O3030">
        <f t="shared" si="414"/>
        <v>708571.31970938435</v>
      </c>
      <c r="P3030">
        <f t="shared" si="415"/>
        <v>8.2025970815745836E-2</v>
      </c>
      <c r="Q3030">
        <f t="shared" si="416"/>
        <v>5.6233518135543406E-2</v>
      </c>
      <c r="R3030">
        <f t="shared" si="417"/>
        <v>3.2440492901443255E-2</v>
      </c>
      <c r="S3030">
        <f t="shared" si="409"/>
        <v>1171.859350008438</v>
      </c>
      <c r="T3030" s="564">
        <f>IF((I3030-MAX(I$470:I3030))/MAX(I$470:I3030)&gt;T3029,T3029,(I3030-MAX(I$470:I3030))/MAX(I$470:I3030))</f>
        <v>-0.91338805338419748</v>
      </c>
      <c r="U3030" s="564">
        <f>IF((J3030-MAX(J$470:J3030))/MAX(J$470:J3030)&gt;U3029,U3029,(J3030-MAX(J$470:J3030))/MAX(J$470:J3030))</f>
        <v>-0.8283551177402233</v>
      </c>
      <c r="V3030" s="564">
        <f>IF((K3030-MAX(K$470:K3030))/MAX(K$470:K3030)&gt;V3029,V3029,(K3030-MAX(K$470:K3030))/MAX(K$470:K3030))</f>
        <v>-0.84885940676762139</v>
      </c>
      <c r="W3030" s="564">
        <f>IF((N3030-MAX(N$470:N3030))/MAX(N$470:N3030)&gt;W3029,W3029,(N3030-MAX(N$470:N3030))/MAX(N$470:N3030))</f>
        <v>-0.62788758315546067</v>
      </c>
      <c r="X3030" s="564">
        <f>IF((O3030-MAX(O$470:O3030))/MAX(O$470:O3030)&gt;X3029,X3029,(O3030-MAX(O$470:O3030))/MAX(O$470:O3030))</f>
        <v>-0.62788758315546067</v>
      </c>
    </row>
    <row r="3031" spans="1:24">
      <c r="A3031" s="799">
        <v>43433</v>
      </c>
      <c r="B3031">
        <v>4342.0737304699996</v>
      </c>
      <c r="C3031">
        <v>8599.0426709999992</v>
      </c>
      <c r="D3031">
        <v>0.89130900000000002</v>
      </c>
      <c r="E3031">
        <f>LN(D3031/参数实验室!$E$53)/参数实验室!$E$55</f>
        <v>-0.82871555129969765</v>
      </c>
      <c r="F3031">
        <f t="shared" si="418"/>
        <v>1.9803999666466308</v>
      </c>
      <c r="G3031">
        <f>LN(F3031/参数实验室!$E$58)/参数实验室!$E$59</f>
        <v>0.16810212767865854</v>
      </c>
      <c r="H3031" s="856">
        <f>INDEX(神经网络!$G$10:$BO$70,MATCH(ROUND(G3031*2,1)/2,神经网络!$E$10:$E$70,0),MATCH(ROUND(E3031*2,1)/2,神经网络!$G$8:$BO$8,0))</f>
        <v>-6.6879706399616448E-2</v>
      </c>
      <c r="I3031">
        <f t="shared" si="410"/>
        <v>657936.45975537924</v>
      </c>
      <c r="J3031">
        <f t="shared" si="411"/>
        <v>1732.6019434459895</v>
      </c>
      <c r="K3031">
        <f t="shared" si="412"/>
        <v>379.73895980215906</v>
      </c>
      <c r="L3031" s="4">
        <f>MIN(MAX(L3030*(1+MAX(MIN(((B3031-B3030)/B3030)/($K$7*卓尔金历!$N$40),0),-卓尔金历!$M$43))+MIN(MAX(((B3031-B3030)/B3030)/($K$7*卓尔金历!$N$40),0),卓尔金历!$M$43),0),1)</f>
        <v>1</v>
      </c>
      <c r="M3031" s="4">
        <f>MIN(MAX(M3030*(1+MAX(MIN(((B3031-B3030)/B3030)/($K$7*30),0),-卓尔金历!$M$43))+MIN(MAX(((B3031-B3030)/B3030)/($K$7*7),0),卓尔金历!$M$43),0),1)</f>
        <v>1</v>
      </c>
      <c r="N3031">
        <f t="shared" si="413"/>
        <v>252185.78607286047</v>
      </c>
      <c r="O3031">
        <f t="shared" si="414"/>
        <v>706898.30020325631</v>
      </c>
      <c r="P3031">
        <f t="shared" si="415"/>
        <v>7.8197471784086009E-2</v>
      </c>
      <c r="Q3031">
        <f t="shared" si="416"/>
        <v>6.0062182109428409E-2</v>
      </c>
      <c r="R3031">
        <f t="shared" si="417"/>
        <v>4.1395915079361724E-2</v>
      </c>
      <c r="S3031">
        <f t="shared" ref="S3031:S3094" si="419">S3030*(1+(B3031-B3030)/B3030*H3030*R3030)</f>
        <v>1171.7695905200419</v>
      </c>
      <c r="T3031" s="564">
        <f>IF((I3031-MAX(I$470:I3031))/MAX(I$470:I3031)&gt;T3030,T3030,(I3031-MAX(I$470:I3031))/MAX(I$470:I3031))</f>
        <v>-0.91338805338419748</v>
      </c>
      <c r="U3031" s="564">
        <f>IF((J3031-MAX(J$470:J3031))/MAX(J$470:J3031)&gt;U3030,U3030,(J3031-MAX(J$470:J3031))/MAX(J$470:J3031))</f>
        <v>-0.8283551177402233</v>
      </c>
      <c r="V3031" s="564">
        <f>IF((K3031-MAX(K$470:K3031))/MAX(K$470:K3031)&gt;V3030,V3030,(K3031-MAX(K$470:K3031))/MAX(K$470:K3031))</f>
        <v>-0.84885940676762139</v>
      </c>
      <c r="W3031" s="564">
        <f>IF((N3031-MAX(N$470:N3031))/MAX(N$470:N3031)&gt;W3030,W3030,(N3031-MAX(N$470:N3031))/MAX(N$470:N3031))</f>
        <v>-0.62788758315546067</v>
      </c>
      <c r="X3031" s="564">
        <f>IF((O3031-MAX(O$470:O3031))/MAX(O$470:O3031)&gt;X3030,X3030,(O3031-MAX(O$470:O3031))/MAX(O$470:O3031))</f>
        <v>-0.62788758315546067</v>
      </c>
    </row>
    <row r="3032" spans="1:24">
      <c r="A3032" s="799">
        <v>43434</v>
      </c>
      <c r="B3032">
        <v>4215.9802886699999</v>
      </c>
      <c r="C3032">
        <v>9021.0695859999996</v>
      </c>
      <c r="D3032">
        <v>0.83737099999999998</v>
      </c>
      <c r="E3032">
        <f>LN(D3032/参数实验室!$E$53)/参数实验室!$E$55</f>
        <v>-0.90236040493386038</v>
      </c>
      <c r="F3032">
        <f t="shared" si="418"/>
        <v>2.139732391596604</v>
      </c>
      <c r="G3032">
        <f>LN(F3032/参数实验室!$E$58)/参数实验室!$E$59</f>
        <v>0.20871635326865426</v>
      </c>
      <c r="H3032" s="856">
        <f>INDEX(神经网络!$G$10:$BO$70,MATCH(ROUND(G3032*2,1)/2,神经网络!$E$10:$E$70,0),MATCH(ROUND(E3032*2,1)/2,神经网络!$G$8:$BO$8,0))</f>
        <v>-2.9417266768257934E-2</v>
      </c>
      <c r="I3032">
        <f t="shared" ref="I3032:I3095" si="420">I3031*(1+(B3032-B3031)/B3031*H3031)</f>
        <v>659214.29133559181</v>
      </c>
      <c r="J3032">
        <f t="shared" ref="J3032:J3095" si="421">J3031*B3032/B3031</f>
        <v>1682.2873343721299</v>
      </c>
      <c r="K3032">
        <f t="shared" ref="K3032:K3095" si="422">I3032/J3032</f>
        <v>391.85594390843255</v>
      </c>
      <c r="L3032" s="4">
        <f>MIN(MAX(L3031*(1+MAX(MIN(((B3032-B3031)/B3031)/($K$7*卓尔金历!$N$40),0),-卓尔金历!$M$43))+MIN(MAX(((B3032-B3031)/B3031)/($K$7*卓尔金历!$N$40),0),卓尔金历!$M$43),0),1)</f>
        <v>0.55629800241293303</v>
      </c>
      <c r="M3032" s="4">
        <f>MIN(MAX(M3031*(1+MAX(MIN(((B3032-B3031)/B3031)/($K$7*30),0),-卓尔金历!$M$43))+MIN(MAX(((B3032-B3031)/B3031)/($K$7*7),0),卓尔金历!$M$43),0),1)</f>
        <v>0.77814900120646646</v>
      </c>
      <c r="N3032">
        <f t="shared" ref="N3032:N3095" si="423">N3031*(1+(B3032-B3031)/B3031*H3031*L3031)</f>
        <v>252675.57647244472</v>
      </c>
      <c r="O3032">
        <f t="shared" ref="O3032:O3095" si="424">O3031*(1+(B3032-B3031)/B3031*H3031*M3031)</f>
        <v>708271.22453144169</v>
      </c>
      <c r="P3032">
        <f t="shared" ref="P3032:P3095" si="425">(B3032-B3031)/B3031</f>
        <v>-2.9039912637860932E-2</v>
      </c>
      <c r="Q3032">
        <f t="shared" si="416"/>
        <v>6.0105003667114541E-2</v>
      </c>
      <c r="R3032">
        <f t="shared" si="417"/>
        <v>0.83117464162168753</v>
      </c>
      <c r="S3032">
        <f t="shared" si="419"/>
        <v>1171.8637988649255</v>
      </c>
      <c r="T3032" s="564">
        <f>IF((I3032-MAX(I$470:I3032))/MAX(I$470:I3032)&gt;T3031,T3031,(I3032-MAX(I$470:I3032))/MAX(I$470:I3032))</f>
        <v>-0.91338805338419748</v>
      </c>
      <c r="U3032" s="564">
        <f>IF((J3032-MAX(J$470:J3032))/MAX(J$470:J3032)&gt;U3031,U3031,(J3032-MAX(J$470:J3032))/MAX(J$470:J3032))</f>
        <v>-0.8283551177402233</v>
      </c>
      <c r="V3032" s="564">
        <f>IF((K3032-MAX(K$470:K3032))/MAX(K$470:K3032)&gt;V3031,V3031,(K3032-MAX(K$470:K3032))/MAX(K$470:K3032))</f>
        <v>-0.84885940676762139</v>
      </c>
      <c r="W3032" s="564">
        <f>IF((N3032-MAX(N$470:N3032))/MAX(N$470:N3032)&gt;W3031,W3031,(N3032-MAX(N$470:N3032))/MAX(N$470:N3032))</f>
        <v>-0.62788758315546067</v>
      </c>
      <c r="X3032" s="564">
        <f>IF((O3032-MAX(O$470:O3032))/MAX(O$470:O3032)&gt;X3031,X3031,(O3032-MAX(O$470:O3032))/MAX(O$470:O3032))</f>
        <v>-0.62788758315546067</v>
      </c>
    </row>
    <row r="3033" spans="1:24">
      <c r="A3033" s="799">
        <v>43435</v>
      </c>
      <c r="B3033">
        <v>4012.9425286999999</v>
      </c>
      <c r="C3033">
        <v>9236.7753350000003</v>
      </c>
      <c r="D3033">
        <v>0.87346400000000002</v>
      </c>
      <c r="E3033">
        <f>LN(D3033/参数实验室!$E$53)/参数实验室!$E$55</f>
        <v>-0.85257517994962595</v>
      </c>
      <c r="F3033">
        <f t="shared" si="418"/>
        <v>2.3017462295908508</v>
      </c>
      <c r="G3033">
        <f>LN(F3033/参数实验室!$E$58)/参数实验室!$E$59</f>
        <v>0.24702402991416852</v>
      </c>
      <c r="H3033" s="856">
        <f>INDEX(神经网络!$G$10:$BO$70,MATCH(ROUND(G3033*2,1)/2,神经网络!$E$10:$E$70,0),MATCH(ROUND(E3033*2,1)/2,神经网络!$G$8:$BO$8,0))</f>
        <v>1.477732630187956E-2</v>
      </c>
      <c r="I3033">
        <f t="shared" si="420"/>
        <v>660148.20595652203</v>
      </c>
      <c r="J3033">
        <f t="shared" si="421"/>
        <v>1601.2699128925401</v>
      </c>
      <c r="K3033">
        <f t="shared" si="422"/>
        <v>412.26541549389867</v>
      </c>
      <c r="L3033" s="4">
        <f>MIN(MAX(L3032*(1+MAX(MIN(((B3033-B3032)/B3032)/($K$7*卓尔金历!$N$40),0),-卓尔金历!$M$43))+MIN(MAX(((B3033-B3032)/B3032)/($K$7*卓尔金历!$N$40),0),卓尔金历!$M$43),0),1)</f>
        <v>0.14696023120077217</v>
      </c>
      <c r="M3033" s="4">
        <f>MIN(MAX(M3032*(1+MAX(MIN(((B3033-B3032)/B3032)/($K$7*30),0),-卓尔金历!$M$43))+MIN(MAX(((B3033-B3032)/B3032)/($K$7*7),0),卓尔金历!$M$43),0),1)</f>
        <v>0.49185840116545976</v>
      </c>
      <c r="N3033">
        <f t="shared" si="423"/>
        <v>252874.7131817464</v>
      </c>
      <c r="O3033">
        <f t="shared" si="424"/>
        <v>709052.03013717209</v>
      </c>
      <c r="P3033">
        <f t="shared" si="425"/>
        <v>-4.8159086634167264E-2</v>
      </c>
      <c r="Q3033">
        <f t="shared" si="416"/>
        <v>6.0296426396129033E-2</v>
      </c>
      <c r="R3033">
        <f t="shared" si="417"/>
        <v>0.2983773874133504</v>
      </c>
      <c r="S3033">
        <f t="shared" si="419"/>
        <v>1173.243706392064</v>
      </c>
      <c r="T3033" s="564">
        <f>IF((I3033-MAX(I$470:I3033))/MAX(I$470:I3033)&gt;T3032,T3032,(I3033-MAX(I$470:I3033))/MAX(I$470:I3033))</f>
        <v>-0.91338805338419748</v>
      </c>
      <c r="U3033" s="564">
        <f>IF((J3033-MAX(J$470:J3033))/MAX(J$470:J3033)&gt;U3032,U3032,(J3033-MAX(J$470:J3033))/MAX(J$470:J3033))</f>
        <v>-0.8283551177402233</v>
      </c>
      <c r="V3033" s="564">
        <f>IF((K3033-MAX(K$470:K3033))/MAX(K$470:K3033)&gt;V3032,V3032,(K3033-MAX(K$470:K3033))/MAX(K$470:K3033))</f>
        <v>-0.84885940676762139</v>
      </c>
      <c r="W3033" s="564">
        <f>IF((N3033-MAX(N$470:N3033))/MAX(N$470:N3033)&gt;W3032,W3032,(N3033-MAX(N$470:N3033))/MAX(N$470:N3033))</f>
        <v>-0.62788758315546067</v>
      </c>
      <c r="X3033" s="564">
        <f>IF((O3033-MAX(O$470:O3033))/MAX(O$470:O3033)&gt;X3032,X3032,(O3033-MAX(O$470:O3033))/MAX(O$470:O3033))</f>
        <v>-0.62788758315546067</v>
      </c>
    </row>
    <row r="3034" spans="1:24">
      <c r="A3034" s="799">
        <v>43436</v>
      </c>
      <c r="B3034">
        <v>4220.5119737699997</v>
      </c>
      <c r="C3034">
        <v>9451.7101120000007</v>
      </c>
      <c r="D3034">
        <v>0.86368500000000004</v>
      </c>
      <c r="E3034">
        <f>LN(D3034/参数实验室!$E$53)/参数实验室!$E$55</f>
        <v>-0.86585778131560864</v>
      </c>
      <c r="F3034">
        <f t="shared" si="418"/>
        <v>2.2394700384079704</v>
      </c>
      <c r="G3034">
        <f>LN(F3034/参数实验室!$E$58)/参数实验室!$E$59</f>
        <v>0.23262790428680094</v>
      </c>
      <c r="H3034" s="856">
        <f>INDEX(神经网络!$G$10:$BO$70,MATCH(ROUND(G3034*2,1)/2,神经网络!$E$10:$E$70,0),MATCH(ROUND(E3034*2,1)/2,神经网络!$G$8:$BO$8,0))</f>
        <v>1.477732630187956E-2</v>
      </c>
      <c r="I3034">
        <f t="shared" si="420"/>
        <v>660652.79497520067</v>
      </c>
      <c r="J3034">
        <f t="shared" si="421"/>
        <v>1684.09559625314</v>
      </c>
      <c r="K3034">
        <f t="shared" si="422"/>
        <v>392.28936673491341</v>
      </c>
      <c r="L3034" s="4">
        <f>MIN(MAX(L3033*(1+MAX(MIN(((B3034-B3033)/B3033)/($K$7*卓尔金历!$N$40),0),-卓尔金历!$M$43))+MIN(MAX(((B3034-B3033)/B3033)/($K$7*卓尔金历!$N$40),0),卓尔金历!$M$43),0),1)</f>
        <v>0.93726856691509186</v>
      </c>
      <c r="M3034" s="4">
        <f>MIN(MAX(M3033*(1+MAX(MIN(((B3034-B3033)/B3033)/($K$7*30),0),-卓尔金历!$M$43))+MIN(MAX(((B3034-B3033)/B3033)/($K$7*7),0),卓尔金历!$M$43),0),1)</f>
        <v>1</v>
      </c>
      <c r="N3034">
        <f t="shared" si="423"/>
        <v>252903.11862542588</v>
      </c>
      <c r="O3034">
        <f t="shared" si="424"/>
        <v>709318.60214675218</v>
      </c>
      <c r="P3034">
        <f t="shared" si="425"/>
        <v>5.1724998199075209E-2</v>
      </c>
      <c r="Q3034">
        <f t="shared" si="416"/>
        <v>6.2071141931574689E-2</v>
      </c>
      <c r="R3034">
        <f t="shared" si="417"/>
        <v>0.25363086503910715</v>
      </c>
      <c r="S3034">
        <f t="shared" si="419"/>
        <v>1173.5112844439934</v>
      </c>
      <c r="T3034" s="564">
        <f>IF((I3034-MAX(I$470:I3034))/MAX(I$470:I3034)&gt;T3033,T3033,(I3034-MAX(I$470:I3034))/MAX(I$470:I3034))</f>
        <v>-0.91338805338419748</v>
      </c>
      <c r="U3034" s="564">
        <f>IF((J3034-MAX(J$470:J3034))/MAX(J$470:J3034)&gt;U3033,U3033,(J3034-MAX(J$470:J3034))/MAX(J$470:J3034))</f>
        <v>-0.8283551177402233</v>
      </c>
      <c r="V3034" s="564">
        <f>IF((K3034-MAX(K$470:K3034))/MAX(K$470:K3034)&gt;V3033,V3033,(K3034-MAX(K$470:K3034))/MAX(K$470:K3034))</f>
        <v>-0.84885940676762139</v>
      </c>
      <c r="W3034" s="564">
        <f>IF((N3034-MAX(N$470:N3034))/MAX(N$470:N3034)&gt;W3033,W3033,(N3034-MAX(N$470:N3034))/MAX(N$470:N3034))</f>
        <v>-0.62788758315546067</v>
      </c>
      <c r="X3034" s="564">
        <f>IF((O3034-MAX(O$470:O3034))/MAX(O$470:O3034)&gt;X3033,X3033,(O3034-MAX(O$470:O3034))/MAX(O$470:O3034))</f>
        <v>-0.62788758315546067</v>
      </c>
    </row>
    <row r="3035" spans="1:24">
      <c r="A3035" s="799">
        <v>43437</v>
      </c>
      <c r="B3035">
        <v>4031.0967965</v>
      </c>
      <c r="C3035">
        <v>9812.7689069999997</v>
      </c>
      <c r="D3035">
        <v>0.80764000000000002</v>
      </c>
      <c r="E3035">
        <f>LN(D3035/参数实验室!$E$53)/参数实验室!$E$55</f>
        <v>-0.94500943712118302</v>
      </c>
      <c r="F3035">
        <f t="shared" si="418"/>
        <v>2.4342677445800698</v>
      </c>
      <c r="G3035">
        <f>LN(F3035/参数实验室!$E$58)/参数实验室!$E$59</f>
        <v>0.27640427031795423</v>
      </c>
      <c r="H3035" s="856">
        <f>INDEX(神经网络!$G$10:$BO$70,MATCH(ROUND(G3035*2,1)/2,神经网络!$E$10:$E$70,0),MATCH(ROUND(E3035*2,1)/2,神经网络!$G$8:$BO$8,0))</f>
        <v>5.4281003389025029E-2</v>
      </c>
      <c r="I3035">
        <f t="shared" si="420"/>
        <v>660214.64904914214</v>
      </c>
      <c r="J3035">
        <f t="shared" si="421"/>
        <v>1608.5139445752343</v>
      </c>
      <c r="K3035">
        <f t="shared" si="422"/>
        <v>410.4500624789344</v>
      </c>
      <c r="L3035" s="4">
        <f>MIN(MAX(L3034*(1+MAX(MIN(((B3035-B3034)/B3034)/($K$7*卓尔金历!$N$40),0),-卓尔金历!$M$43))+MIN(MAX(((B3035-B3034)/B3034)/($K$7*卓尔金历!$N$40),0),卓尔金历!$M$43),0),1)</f>
        <v>0.29456639304273358</v>
      </c>
      <c r="M3035" s="4">
        <f>MIN(MAX(M3034*(1+MAX(MIN(((B3035-B3034)/B3034)/($K$7*30),0),-卓尔金历!$M$43))+MIN(MAX(((B3035-B3034)/B3034)/($K$7*7),0),卓尔金历!$M$43),0),1)</f>
        <v>0.65714086839179076</v>
      </c>
      <c r="N3035">
        <f t="shared" si="423"/>
        <v>252745.91457253715</v>
      </c>
      <c r="O3035">
        <f t="shared" si="424"/>
        <v>708848.18098427181</v>
      </c>
      <c r="P3035">
        <f t="shared" si="425"/>
        <v>-4.4879668259963111E-2</v>
      </c>
      <c r="Q3035">
        <f t="shared" si="416"/>
        <v>6.2231572090423945E-2</v>
      </c>
      <c r="R3035">
        <f t="shared" si="417"/>
        <v>0.40923839866773143</v>
      </c>
      <c r="S3035">
        <f t="shared" si="419"/>
        <v>1173.3138900228419</v>
      </c>
      <c r="T3035" s="564">
        <f>IF((I3035-MAX(I$470:I3035))/MAX(I$470:I3035)&gt;T3034,T3034,(I3035-MAX(I$470:I3035))/MAX(I$470:I3035))</f>
        <v>-0.91338805338419748</v>
      </c>
      <c r="U3035" s="564">
        <f>IF((J3035-MAX(J$470:J3035))/MAX(J$470:J3035)&gt;U3034,U3034,(J3035-MAX(J$470:J3035))/MAX(J$470:J3035))</f>
        <v>-0.8283551177402233</v>
      </c>
      <c r="V3035" s="564">
        <f>IF((K3035-MAX(K$470:K3035))/MAX(K$470:K3035)&gt;V3034,V3034,(K3035-MAX(K$470:K3035))/MAX(K$470:K3035))</f>
        <v>-0.84885940676762139</v>
      </c>
      <c r="W3035" s="564">
        <f>IF((N3035-MAX(N$470:N3035))/MAX(N$470:N3035)&gt;W3034,W3034,(N3035-MAX(N$470:N3035))/MAX(N$470:N3035))</f>
        <v>-0.62788758315546067</v>
      </c>
      <c r="X3035" s="564">
        <f>IF((O3035-MAX(O$470:O3035))/MAX(O$470:O3035)&gt;X3034,X3034,(O3035-MAX(O$470:O3035))/MAX(O$470:O3035))</f>
        <v>-0.62788758315546067</v>
      </c>
    </row>
    <row r="3036" spans="1:24">
      <c r="A3036" s="799">
        <v>43438</v>
      </c>
      <c r="B3036">
        <v>4010.2661633799999</v>
      </c>
      <c r="C3036">
        <v>9699.4415260000005</v>
      </c>
      <c r="D3036">
        <v>0.81335900000000005</v>
      </c>
      <c r="E3036">
        <f>LN(D3036/参数实验室!$E$53)/参数实验室!$E$55</f>
        <v>-0.93668489553112533</v>
      </c>
      <c r="F3036">
        <f t="shared" si="418"/>
        <v>2.4186528102725617</v>
      </c>
      <c r="G3036">
        <f>LN(F3036/参数实验室!$E$58)/参数实验室!$E$59</f>
        <v>0.2730266796095645</v>
      </c>
      <c r="H3036" s="856">
        <f>INDEX(神经网络!$G$10:$BO$70,MATCH(ROUND(G3036*2,1)/2,神经网络!$E$10:$E$70,0),MATCH(ROUND(E3036*2,1)/2,神经网络!$G$8:$BO$8,0))</f>
        <v>1.0198703166351869E-4</v>
      </c>
      <c r="I3036">
        <f t="shared" si="420"/>
        <v>660029.46129424078</v>
      </c>
      <c r="J3036">
        <f t="shared" si="421"/>
        <v>1600.2019725390026</v>
      </c>
      <c r="K3036">
        <f t="shared" si="422"/>
        <v>412.46634651186417</v>
      </c>
      <c r="L3036" s="4">
        <f>MIN(MAX(L3035*(1+MAX(MIN(((B3036-B3035)/B3035)/($K$7*卓尔金历!$N$40),0),-卓尔金历!$M$43))+MIN(MAX(((B3036-B3035)/B3035)/($K$7*卓尔金历!$N$40),0),卓尔金历!$M$43),0),1)</f>
        <v>0.27130913462305017</v>
      </c>
      <c r="M3036" s="4">
        <f>MIN(MAX(M3035*(1+MAX(MIN(((B3036-B3035)/B3035)/($K$7*30),0),-卓尔金历!$M$43))+MIN(MAX(((B3036-B3035)/B3035)/($K$7*7),0),卓尔金历!$M$43),0),1)</f>
        <v>0.63119884758545619</v>
      </c>
      <c r="N3036">
        <f t="shared" si="423"/>
        <v>252725.03149738364</v>
      </c>
      <c r="O3036">
        <f t="shared" si="424"/>
        <v>708717.5221386638</v>
      </c>
      <c r="P3036">
        <f t="shared" si="425"/>
        <v>-5.1674852209171278E-3</v>
      </c>
      <c r="Q3036">
        <f t="shared" si="416"/>
        <v>6.2258426649397028E-2</v>
      </c>
      <c r="R3036">
        <f t="shared" si="417"/>
        <v>1</v>
      </c>
      <c r="S3036">
        <f t="shared" si="419"/>
        <v>1173.1792054978714</v>
      </c>
      <c r="T3036" s="564">
        <f>IF((I3036-MAX(I$470:I3036))/MAX(I$470:I3036)&gt;T3035,T3035,(I3036-MAX(I$470:I3036))/MAX(I$470:I3036))</f>
        <v>-0.91338805338419748</v>
      </c>
      <c r="U3036" s="564">
        <f>IF((J3036-MAX(J$470:J3036))/MAX(J$470:J3036)&gt;U3035,U3035,(J3036-MAX(J$470:J3036))/MAX(J$470:J3036))</f>
        <v>-0.8283551177402233</v>
      </c>
      <c r="V3036" s="564">
        <f>IF((K3036-MAX(K$470:K3036))/MAX(K$470:K3036)&gt;V3035,V3035,(K3036-MAX(K$470:K3036))/MAX(K$470:K3036))</f>
        <v>-0.84885940676762139</v>
      </c>
      <c r="W3036" s="564">
        <f>IF((N3036-MAX(N$470:N3036))/MAX(N$470:N3036)&gt;W3035,W3035,(N3036-MAX(N$470:N3036))/MAX(N$470:N3036))</f>
        <v>-0.62788758315546067</v>
      </c>
      <c r="X3036" s="564">
        <f>IF((O3036-MAX(O$470:O3036))/MAX(O$470:O3036)&gt;X3035,X3035,(O3036-MAX(O$470:O3036))/MAX(O$470:O3036))</f>
        <v>-0.62788758315546067</v>
      </c>
    </row>
    <row r="3037" spans="1:24">
      <c r="A3037" s="799">
        <v>43439</v>
      </c>
      <c r="B3037">
        <v>3868.1228711600002</v>
      </c>
      <c r="C3037">
        <v>9810.9598449999994</v>
      </c>
      <c r="D3037">
        <v>0.78473800000000005</v>
      </c>
      <c r="E3037">
        <f>LN(D3037/参数实验室!$E$53)/参数实验室!$E$55</f>
        <v>-0.97894682128523847</v>
      </c>
      <c r="F3037">
        <f t="shared" si="418"/>
        <v>2.5363619956720296</v>
      </c>
      <c r="G3037">
        <f>LN(F3037/参数实验室!$E$58)/参数实验室!$E$59</f>
        <v>0.2979677825612505</v>
      </c>
      <c r="H3037" s="856">
        <f>INDEX(神经网络!$G$10:$BO$70,MATCH(ROUND(G3037*2,1)/2,神经网络!$E$10:$E$70,0),MATCH(ROUND(E3037*2,1)/2,神经网络!$G$8:$BO$8,0))</f>
        <v>4.8142520475640702E-2</v>
      </c>
      <c r="I3037">
        <f t="shared" si="420"/>
        <v>660027.07534365368</v>
      </c>
      <c r="J3037">
        <f t="shared" si="421"/>
        <v>1543.4830498224312</v>
      </c>
      <c r="K3037">
        <f t="shared" si="422"/>
        <v>427.62184879165727</v>
      </c>
      <c r="L3037" s="4">
        <f>MIN(MAX(L3036*(1+MAX(MIN(((B3037-B3036)/B3036)/($K$7*卓尔金历!$N$40),0),-卓尔金历!$M$43))+MIN(MAX(((B3037-B3036)/B3036)/($K$7*卓尔金历!$N$40),0),卓尔金历!$M$43),0),1)</f>
        <v>0.1243780560289736</v>
      </c>
      <c r="M3037" s="4">
        <f>MIN(MAX(M3036*(1+MAX(MIN(((B3037-B3036)/B3036)/($K$7*30),0),-卓尔金历!$M$43))+MIN(MAX(((B3037-B3036)/B3036)/($K$7*7),0),卓尔金历!$M$43),0),1)</f>
        <v>0.46028177247126306</v>
      </c>
      <c r="N3037">
        <f t="shared" si="423"/>
        <v>252724.78363489869</v>
      </c>
      <c r="O3037">
        <f t="shared" si="424"/>
        <v>708715.90503637621</v>
      </c>
      <c r="P3037">
        <f t="shared" si="425"/>
        <v>-3.5444852393586787E-2</v>
      </c>
      <c r="Q3037">
        <f t="shared" si="416"/>
        <v>6.2188901558862981E-2</v>
      </c>
      <c r="R3037">
        <f t="shared" si="417"/>
        <v>0.65945853918129604</v>
      </c>
      <c r="S3037">
        <f t="shared" si="419"/>
        <v>1173.1749645544314</v>
      </c>
      <c r="T3037" s="564">
        <f>IF((I3037-MAX(I$470:I3037))/MAX(I$470:I3037)&gt;T3036,T3036,(I3037-MAX(I$470:I3037))/MAX(I$470:I3037))</f>
        <v>-0.91338805338419748</v>
      </c>
      <c r="U3037" s="564">
        <f>IF((J3037-MAX(J$470:J3037))/MAX(J$470:J3037)&gt;U3036,U3036,(J3037-MAX(J$470:J3037))/MAX(J$470:J3037))</f>
        <v>-0.8283551177402233</v>
      </c>
      <c r="V3037" s="564">
        <f>IF((K3037-MAX(K$470:K3037))/MAX(K$470:K3037)&gt;V3036,V3036,(K3037-MAX(K$470:K3037))/MAX(K$470:K3037))</f>
        <v>-0.84885940676762139</v>
      </c>
      <c r="W3037" s="564">
        <f>IF((N3037-MAX(N$470:N3037))/MAX(N$470:N3037)&gt;W3036,W3036,(N3037-MAX(N$470:N3037))/MAX(N$470:N3037))</f>
        <v>-0.62788758315546067</v>
      </c>
      <c r="X3037" s="564">
        <f>IF((O3037-MAX(O$470:O3037))/MAX(O$470:O3037)&gt;X3036,X3036,(O3037-MAX(O$470:O3037))/MAX(O$470:O3037))</f>
        <v>-0.62788758315546067</v>
      </c>
    </row>
    <row r="3038" spans="1:24">
      <c r="A3038" s="799">
        <v>43440</v>
      </c>
      <c r="B3038">
        <v>3869.7186355600002</v>
      </c>
      <c r="C3038">
        <v>9759.4506380000003</v>
      </c>
      <c r="D3038">
        <v>0.74841800000000003</v>
      </c>
      <c r="E3038">
        <f>LN(D3038/参数实验室!$E$53)/参数实验室!$E$55</f>
        <v>-1.0348532732019917</v>
      </c>
      <c r="F3038">
        <f t="shared" si="418"/>
        <v>2.5220052301264215</v>
      </c>
      <c r="G3038">
        <f>LN(F3038/参数实验室!$E$58)/参数实验室!$E$59</f>
        <v>0.2949884707243639</v>
      </c>
      <c r="H3038" s="856">
        <f>INDEX(神经网络!$G$10:$BO$70,MATCH(ROUND(G3038*2,1)/2,神经网络!$E$10:$E$70,0),MATCH(ROUND(E3038*2,1)/2,神经网络!$G$8:$BO$8,0))</f>
        <v>4.3807147118261176E-2</v>
      </c>
      <c r="I3038">
        <f t="shared" si="420"/>
        <v>660040.18402740743</v>
      </c>
      <c r="J3038">
        <f t="shared" si="421"/>
        <v>1544.119801907344</v>
      </c>
      <c r="K3038">
        <f t="shared" si="422"/>
        <v>427.45399884912143</v>
      </c>
      <c r="L3038" s="4">
        <f>MIN(MAX(L3037*(1+MAX(MIN(((B3038-B3037)/B3037)/($K$7*卓尔金历!$N$40),0),-卓尔金历!$M$43))+MIN(MAX(((B3038-B3037)/B3037)/($K$7*卓尔金历!$N$40),0),卓尔金历!$M$43),0),1)</f>
        <v>0.13068130685723647</v>
      </c>
      <c r="M3038" s="4">
        <f>MIN(MAX(M3037*(1+MAX(MIN(((B3038-B3037)/B3037)/($K$7*30),0),-卓尔金历!$M$43))+MIN(MAX(((B3038-B3037)/B3037)/($K$7*7),0),卓尔金历!$M$43),0),1)</f>
        <v>0.47378873853182635</v>
      </c>
      <c r="N3038">
        <f t="shared" si="423"/>
        <v>252725.40792857096</v>
      </c>
      <c r="O3038">
        <f t="shared" si="424"/>
        <v>708722.38381724455</v>
      </c>
      <c r="P3038">
        <f t="shared" si="425"/>
        <v>4.125423243138753E-4</v>
      </c>
      <c r="Q3038">
        <f t="shared" si="416"/>
        <v>5.9170983463870667E-2</v>
      </c>
      <c r="R3038">
        <f t="shared" si="417"/>
        <v>1</v>
      </c>
      <c r="S3038">
        <f t="shared" si="419"/>
        <v>1173.1903300870088</v>
      </c>
      <c r="T3038" s="564">
        <f>IF((I3038-MAX(I$470:I3038))/MAX(I$470:I3038)&gt;T3037,T3037,(I3038-MAX(I$470:I3038))/MAX(I$470:I3038))</f>
        <v>-0.91338805338419748</v>
      </c>
      <c r="U3038" s="564">
        <f>IF((J3038-MAX(J$470:J3038))/MAX(J$470:J3038)&gt;U3037,U3037,(J3038-MAX(J$470:J3038))/MAX(J$470:J3038))</f>
        <v>-0.8283551177402233</v>
      </c>
      <c r="V3038" s="564">
        <f>IF((K3038-MAX(K$470:K3038))/MAX(K$470:K3038)&gt;V3037,V3037,(K3038-MAX(K$470:K3038))/MAX(K$470:K3038))</f>
        <v>-0.84885940676762139</v>
      </c>
      <c r="W3038" s="564">
        <f>IF((N3038-MAX(N$470:N3038))/MAX(N$470:N3038)&gt;W3037,W3037,(N3038-MAX(N$470:N3038))/MAX(N$470:N3038))</f>
        <v>-0.62788758315546067</v>
      </c>
      <c r="X3038" s="564">
        <f>IF((O3038-MAX(O$470:O3038))/MAX(O$470:O3038)&gt;X3037,X3037,(O3038-MAX(O$470:O3038))/MAX(O$470:O3038))</f>
        <v>-0.62788758315546067</v>
      </c>
    </row>
    <row r="3039" spans="1:24">
      <c r="A3039" s="799">
        <v>43441</v>
      </c>
      <c r="B3039">
        <v>3411.2805601300001</v>
      </c>
      <c r="C3039">
        <v>9887.2793509999992</v>
      </c>
      <c r="D3039">
        <v>0.72100900000000001</v>
      </c>
      <c r="E3039">
        <f>LN(D3039/参数实验室!$E$53)/参数实验室!$E$55</f>
        <v>-1.0788698968774764</v>
      </c>
      <c r="F3039">
        <f t="shared" si="418"/>
        <v>2.8984069696756944</v>
      </c>
      <c r="G3039">
        <f>LN(F3039/参数实验室!$E$58)/参数实验室!$E$59</f>
        <v>0.367999317908626</v>
      </c>
      <c r="H3039" s="856">
        <f>INDEX(神经网络!$G$10:$BO$70,MATCH(ROUND(G3039*2,1)/2,神经网络!$E$10:$E$70,0),MATCH(ROUND(E3039*2,1)/2,神经网络!$G$8:$BO$8,0))</f>
        <v>0.10641540556165399</v>
      </c>
      <c r="I3039">
        <f t="shared" si="420"/>
        <v>656614.7418594833</v>
      </c>
      <c r="J3039">
        <f t="shared" si="421"/>
        <v>1361.1909182115621</v>
      </c>
      <c r="K3039">
        <f t="shared" si="422"/>
        <v>482.38254683787818</v>
      </c>
      <c r="L3039" s="4">
        <f>MIN(MAX(L3038*(1+MAX(MIN(((B3039-B3038)/B3038)/($K$7*卓尔金历!$N$40),0),-卓尔金历!$M$43))+MIN(MAX(((B3039-B3038)/B3038)/($K$7*卓尔金历!$N$40),0),卓尔金历!$M$43),0),1)</f>
        <v>0</v>
      </c>
      <c r="M3039" s="4">
        <f>MIN(MAX(M3038*(1+MAX(MIN(((B3039-B3038)/B3038)/($K$7*30),0),-卓尔金历!$M$43))+MIN(MAX(((B3039-B3038)/B3038)/($K$7*7),0),卓尔金历!$M$43),0),1)</f>
        <v>4.4991373181719037E-2</v>
      </c>
      <c r="N3039">
        <f t="shared" si="423"/>
        <v>252554.00878872862</v>
      </c>
      <c r="O3039">
        <f t="shared" si="424"/>
        <v>706979.74595302122</v>
      </c>
      <c r="P3039">
        <f t="shared" si="425"/>
        <v>-0.11846806411641292</v>
      </c>
      <c r="Q3039">
        <f t="shared" si="416"/>
        <v>6.3064090250351978E-2</v>
      </c>
      <c r="R3039">
        <f t="shared" si="417"/>
        <v>2.1864157185056649E-2</v>
      </c>
      <c r="S3039">
        <f t="shared" si="419"/>
        <v>1167.1017680192272</v>
      </c>
      <c r="T3039" s="564">
        <f>IF((I3039-MAX(I$470:I3039))/MAX(I$470:I3039)&gt;T3038,T3038,(I3039-MAX(I$470:I3039))/MAX(I$470:I3039))</f>
        <v>-0.91338805338419748</v>
      </c>
      <c r="U3039" s="564">
        <f>IF((J3039-MAX(J$470:J3039))/MAX(J$470:J3039)&gt;U3038,U3038,(J3039-MAX(J$470:J3039))/MAX(J$470:J3039))</f>
        <v>-0.8283551177402233</v>
      </c>
      <c r="V3039" s="564">
        <f>IF((K3039-MAX(K$470:K3039))/MAX(K$470:K3039)&gt;V3038,V3038,(K3039-MAX(K$470:K3039))/MAX(K$470:K3039))</f>
        <v>-0.84885940676762139</v>
      </c>
      <c r="W3039" s="564">
        <f>IF((N3039-MAX(N$470:N3039))/MAX(N$470:N3039)&gt;W3038,W3038,(N3039-MAX(N$470:N3039))/MAX(N$470:N3039))</f>
        <v>-0.62788758315546067</v>
      </c>
      <c r="X3039" s="564">
        <f>IF((O3039-MAX(O$470:O3039))/MAX(O$470:O3039)&gt;X3038,X3038,(O3039-MAX(O$470:O3039))/MAX(O$470:O3039))</f>
        <v>-0.62788758315546067</v>
      </c>
    </row>
    <row r="3040" spans="1:24">
      <c r="A3040" s="799">
        <v>43442</v>
      </c>
      <c r="B3040">
        <v>3430.6274548199999</v>
      </c>
      <c r="C3040">
        <v>9842.9029429999991</v>
      </c>
      <c r="D3040">
        <v>0.72909000000000002</v>
      </c>
      <c r="E3040">
        <f>LN(D3040/参数实验室!$E$53)/参数实验室!$E$55</f>
        <v>-1.0657208847677526</v>
      </c>
      <c r="F3040">
        <f t="shared" si="418"/>
        <v>2.8691261504279084</v>
      </c>
      <c r="G3040">
        <f>LN(F3040/参数实验室!$E$58)/参数实验室!$E$59</f>
        <v>0.36267007641724514</v>
      </c>
      <c r="H3040" s="856">
        <f>INDEX(神经网络!$G$10:$BO$70,MATCH(ROUND(G3040*2,1)/2,神经网络!$E$10:$E$70,0),MATCH(ROUND(E3040*2,1)/2,神经网络!$G$8:$BO$8,0))</f>
        <v>0.10902654065164828</v>
      </c>
      <c r="I3040">
        <f t="shared" si="420"/>
        <v>657011.02807118488</v>
      </c>
      <c r="J3040">
        <f t="shared" si="421"/>
        <v>1368.9108394796679</v>
      </c>
      <c r="K3040">
        <f t="shared" si="422"/>
        <v>479.95165873689712</v>
      </c>
      <c r="L3040" s="4">
        <f>MIN(MAX(L3039*(1+MAX(MIN(((B3040-B3039)/B3039)/($K$7*卓尔金历!$N$40),0),-卓尔金历!$M$43))+MIN(MAX(((B3040-B3039)/B3039)/($K$7*卓尔金历!$N$40),0),卓尔金历!$M$43),0),1)</f>
        <v>8.6654257785811623E-2</v>
      </c>
      <c r="M3040" s="4">
        <f>MIN(MAX(M3039*(1+MAX(MIN(((B3040-B3039)/B3039)/($K$7*30),0),-卓尔金历!$M$43))+MIN(MAX(((B3040-B3039)/B3039)/($K$7*7),0),卓尔金历!$M$43),0),1)</f>
        <v>0.23067906843702965</v>
      </c>
      <c r="N3040">
        <f t="shared" si="423"/>
        <v>252554.00878872862</v>
      </c>
      <c r="O3040">
        <f t="shared" si="424"/>
        <v>706998.94300555403</v>
      </c>
      <c r="P3040">
        <f t="shared" si="425"/>
        <v>5.6714463524696083E-3</v>
      </c>
      <c r="Q3040">
        <f t="shared" si="416"/>
        <v>6.3180739359640165E-2</v>
      </c>
      <c r="R3040">
        <f t="shared" si="417"/>
        <v>1</v>
      </c>
      <c r="S3040">
        <f t="shared" si="419"/>
        <v>1167.1171686958119</v>
      </c>
      <c r="T3040" s="564">
        <f>IF((I3040-MAX(I$470:I3040))/MAX(I$470:I3040)&gt;T3039,T3039,(I3040-MAX(I$470:I3040))/MAX(I$470:I3040))</f>
        <v>-0.91338805338419748</v>
      </c>
      <c r="U3040" s="564">
        <f>IF((J3040-MAX(J$470:J3040))/MAX(J$470:J3040)&gt;U3039,U3039,(J3040-MAX(J$470:J3040))/MAX(J$470:J3040))</f>
        <v>-0.8283551177402233</v>
      </c>
      <c r="V3040" s="564">
        <f>IF((K3040-MAX(K$470:K3040))/MAX(K$470:K3040)&gt;V3039,V3039,(K3040-MAX(K$470:K3040))/MAX(K$470:K3040))</f>
        <v>-0.84885940676762139</v>
      </c>
      <c r="W3040" s="564">
        <f>IF((N3040-MAX(N$470:N3040))/MAX(N$470:N3040)&gt;W3039,W3039,(N3040-MAX(N$470:N3040))/MAX(N$470:N3040))</f>
        <v>-0.62788758315546067</v>
      </c>
      <c r="X3040" s="564">
        <f>IF((O3040-MAX(O$470:O3040))/MAX(O$470:O3040)&gt;X3039,X3039,(O3040-MAX(O$470:O3040))/MAX(O$470:O3040))</f>
        <v>-0.62788758315546067</v>
      </c>
    </row>
    <row r="3041" spans="1:24">
      <c r="A3041" s="799">
        <v>43443</v>
      </c>
      <c r="B3041">
        <v>3505.2029653099999</v>
      </c>
      <c r="C3041">
        <v>9837.9343979999994</v>
      </c>
      <c r="D3041">
        <v>0.75773299999999999</v>
      </c>
      <c r="E3041">
        <f>LN(D3041/参数实验室!$E$53)/参数实验室!$E$55</f>
        <v>-1.0202603916319521</v>
      </c>
      <c r="F3041">
        <f t="shared" si="418"/>
        <v>2.806666117586698</v>
      </c>
      <c r="G3041">
        <f>LN(F3041/参数实验室!$E$58)/参数实验室!$E$59</f>
        <v>0.35111795376924482</v>
      </c>
      <c r="H3041" s="856">
        <f>INDEX(神经网络!$G$10:$BO$70,MATCH(ROUND(G3041*2,1)/2,神经网络!$E$10:$E$70,0),MATCH(ROUND(E3041*2,1)/2,神经网络!$G$8:$BO$8,0))</f>
        <v>0.11413027310871283</v>
      </c>
      <c r="I3041">
        <f t="shared" si="420"/>
        <v>658568.16773668851</v>
      </c>
      <c r="J3041">
        <f t="shared" si="421"/>
        <v>1398.6684351422509</v>
      </c>
      <c r="K3041">
        <f t="shared" si="422"/>
        <v>470.85367138474754</v>
      </c>
      <c r="L3041" s="4">
        <f>MIN(MAX(L3040*(1+MAX(MIN(((B3041-B3040)/B3040)/($K$7*卓尔金历!$N$40),0),-卓尔金历!$M$43))+MIN(MAX(((B3041-B3040)/B3040)/($K$7*卓尔金历!$N$40),0),卓尔金历!$M$43),0),1)</f>
        <v>0.41879240176366772</v>
      </c>
      <c r="M3041" s="4">
        <f>MIN(MAX(M3040*(1+MAX(MIN(((B3041-B3040)/B3040)/($K$7*30),0),-卓尔金历!$M$43))+MIN(MAX(((B3041-B3040)/B3040)/($K$7*7),0),卓尔金历!$M$43),0),1)</f>
        <v>0.94240366267529274</v>
      </c>
      <c r="N3041">
        <f t="shared" si="423"/>
        <v>252605.8767385055</v>
      </c>
      <c r="O3041">
        <f t="shared" si="424"/>
        <v>707385.47180856543</v>
      </c>
      <c r="P3041">
        <f t="shared" si="425"/>
        <v>2.173815474636339E-2</v>
      </c>
      <c r="Q3041">
        <f t="shared" si="416"/>
        <v>6.3529087065421208E-2</v>
      </c>
      <c r="R3041">
        <f t="shared" si="417"/>
        <v>1</v>
      </c>
      <c r="S3041">
        <f t="shared" si="419"/>
        <v>1169.8832781825915</v>
      </c>
      <c r="T3041" s="564">
        <f>IF((I3041-MAX(I$470:I3041))/MAX(I$470:I3041)&gt;T3040,T3040,(I3041-MAX(I$470:I3041))/MAX(I$470:I3041))</f>
        <v>-0.91338805338419748</v>
      </c>
      <c r="U3041" s="564">
        <f>IF((J3041-MAX(J$470:J3041))/MAX(J$470:J3041)&gt;U3040,U3040,(J3041-MAX(J$470:J3041))/MAX(J$470:J3041))</f>
        <v>-0.8283551177402233</v>
      </c>
      <c r="V3041" s="564">
        <f>IF((K3041-MAX(K$470:K3041))/MAX(K$470:K3041)&gt;V3040,V3040,(K3041-MAX(K$470:K3041))/MAX(K$470:K3041))</f>
        <v>-0.84885940676762139</v>
      </c>
      <c r="W3041" s="564">
        <f>IF((N3041-MAX(N$470:N3041))/MAX(N$470:N3041)&gt;W3040,W3040,(N3041-MAX(N$470:N3041))/MAX(N$470:N3041))</f>
        <v>-0.62788758315546067</v>
      </c>
      <c r="X3041" s="564">
        <f>IF((O3041-MAX(O$470:O3041))/MAX(O$470:O3041)&gt;X3040,X3040,(O3041-MAX(O$470:O3041))/MAX(O$470:O3041))</f>
        <v>-0.62788758315546067</v>
      </c>
    </row>
    <row r="3042" spans="1:24">
      <c r="A3042" s="799">
        <v>43444</v>
      </c>
      <c r="B3042">
        <v>3550.4666040500001</v>
      </c>
      <c r="C3042">
        <v>9895.8441430000003</v>
      </c>
      <c r="D3042">
        <v>0.73200600000000005</v>
      </c>
      <c r="E3042">
        <f>LN(D3042/参数实验室!$E$53)/参数实验室!$E$55</f>
        <v>-1.0610118649266245</v>
      </c>
      <c r="F3042">
        <f t="shared" si="418"/>
        <v>2.7871953877025231</v>
      </c>
      <c r="G3042">
        <f>LN(F3042/参数实验室!$E$58)/参数实验室!$E$59</f>
        <v>0.34746418702415255</v>
      </c>
      <c r="H3042" s="856">
        <f>INDEX(神经网络!$G$10:$BO$70,MATCH(ROUND(G3042*2,1)/2,神经网络!$E$10:$E$70,0),MATCH(ROUND(E3042*2,1)/2,神经网络!$G$8:$BO$8,0))</f>
        <v>0.10902654065164828</v>
      </c>
      <c r="I3042">
        <f t="shared" si="420"/>
        <v>659538.76236860082</v>
      </c>
      <c r="J3042">
        <f t="shared" si="421"/>
        <v>1416.7298208571069</v>
      </c>
      <c r="K3042">
        <f t="shared" si="422"/>
        <v>465.53602010691543</v>
      </c>
      <c r="L3042" s="4">
        <f>MIN(MAX(L3041*(1+MAX(MIN(((B3042-B3041)/B3041)/($K$7*卓尔金历!$N$40),0),-卓尔金历!$M$43))+MIN(MAX(((B3042-B3041)/B3041)/($K$7*卓尔金历!$N$40),0),卓尔金历!$M$43),0),1)</f>
        <v>0.61609480351526424</v>
      </c>
      <c r="M3042" s="4">
        <f>MIN(MAX(M3041*(1+MAX(MIN(((B3042-B3041)/B3041)/($K$7*30),0),-卓尔金历!$M$43))+MIN(MAX(((B3042-B3041)/B3041)/($K$7*7),0),卓尔金历!$M$43),0),1)</f>
        <v>1</v>
      </c>
      <c r="N3042">
        <f t="shared" si="423"/>
        <v>252761.78868499913</v>
      </c>
      <c r="O3042">
        <f t="shared" si="424"/>
        <v>708367.96658809925</v>
      </c>
      <c r="P3042">
        <f t="shared" si="425"/>
        <v>1.2913271838453198E-2</v>
      </c>
      <c r="Q3042">
        <f t="shared" si="416"/>
        <v>6.3391949064640546E-2</v>
      </c>
      <c r="R3042">
        <f t="shared" si="417"/>
        <v>1</v>
      </c>
      <c r="S3042">
        <f t="shared" si="419"/>
        <v>1171.6074465912625</v>
      </c>
      <c r="T3042" s="564">
        <f>IF((I3042-MAX(I$470:I3042))/MAX(I$470:I3042)&gt;T3041,T3041,(I3042-MAX(I$470:I3042))/MAX(I$470:I3042))</f>
        <v>-0.91338805338419748</v>
      </c>
      <c r="U3042" s="564">
        <f>IF((J3042-MAX(J$470:J3042))/MAX(J$470:J3042)&gt;U3041,U3041,(J3042-MAX(J$470:J3042))/MAX(J$470:J3042))</f>
        <v>-0.8283551177402233</v>
      </c>
      <c r="V3042" s="564">
        <f>IF((K3042-MAX(K$470:K3042))/MAX(K$470:K3042)&gt;V3041,V3041,(K3042-MAX(K$470:K3042))/MAX(K$470:K3042))</f>
        <v>-0.84885940676762139</v>
      </c>
      <c r="W3042" s="564">
        <f>IF((N3042-MAX(N$470:N3042))/MAX(N$470:N3042)&gt;W3041,W3041,(N3042-MAX(N$470:N3042))/MAX(N$470:N3042))</f>
        <v>-0.62788758315546067</v>
      </c>
      <c r="X3042" s="564">
        <f>IF((O3042-MAX(O$470:O3042))/MAX(O$470:O3042)&gt;X3041,X3041,(O3042-MAX(O$470:O3042))/MAX(O$470:O3042))</f>
        <v>-0.62788758315546067</v>
      </c>
    </row>
    <row r="3043" spans="1:24">
      <c r="A3043" s="799">
        <v>43445</v>
      </c>
      <c r="B3043">
        <v>3482.8706020599998</v>
      </c>
      <c r="C3043">
        <v>10066.576068</v>
      </c>
      <c r="D3043">
        <v>0.72229699999999997</v>
      </c>
      <c r="E3043">
        <f>LN(D3043/参数实验室!$E$53)/参数实验室!$E$55</f>
        <v>-1.0767642829860304</v>
      </c>
      <c r="F3043">
        <f t="shared" si="418"/>
        <v>2.8903100970923128</v>
      </c>
      <c r="G3043">
        <f>LN(F3043/参数实验室!$E$58)/参数实验室!$E$59</f>
        <v>0.36653105506761119</v>
      </c>
      <c r="H3043" s="856">
        <f>INDEX(神经网络!$G$10:$BO$70,MATCH(ROUND(G3043*2,1)/2,神经网络!$E$10:$E$70,0),MATCH(ROUND(E3043*2,1)/2,神经网络!$G$8:$BO$8,0))</f>
        <v>0.10641540556165399</v>
      </c>
      <c r="I3043">
        <f t="shared" si="420"/>
        <v>658169.7475930627</v>
      </c>
      <c r="J3043">
        <f t="shared" si="421"/>
        <v>1389.7572331750509</v>
      </c>
      <c r="K3043">
        <f t="shared" si="422"/>
        <v>473.58612848475889</v>
      </c>
      <c r="L3043" s="4">
        <f>MIN(MAX(L3042*(1+MAX(MIN(((B3043-B3042)/B3042)/($K$7*卓尔金历!$N$40),0),-卓尔金历!$M$43))+MIN(MAX(((B3043-B3042)/B3042)/($K$7*卓尔金历!$N$40),0),卓尔金历!$M$43),0),1)</f>
        <v>0.43687780390781022</v>
      </c>
      <c r="M3043" s="4">
        <f>MIN(MAX(M3042*(1+MAX(MIN(((B3043-B3042)/B3042)/($K$7*30),0),-卓尔金历!$M$43))+MIN(MAX(((B3043-B3042)/B3042)/($K$7*7),0),卓尔金历!$M$43),0),1)</f>
        <v>0.85455404055926776</v>
      </c>
      <c r="N3043">
        <f t="shared" si="423"/>
        <v>252438.54743599627</v>
      </c>
      <c r="O3043">
        <f t="shared" si="424"/>
        <v>706897.59628068283</v>
      </c>
      <c r="P3043">
        <f t="shared" si="425"/>
        <v>-1.9038624926902257E-2</v>
      </c>
      <c r="Q3043">
        <f t="shared" si="416"/>
        <v>5.5779178717038094E-2</v>
      </c>
      <c r="R3043">
        <f t="shared" si="417"/>
        <v>1</v>
      </c>
      <c r="S3043">
        <f t="shared" si="419"/>
        <v>1169.1755229545779</v>
      </c>
      <c r="T3043" s="564">
        <f>IF((I3043-MAX(I$470:I3043))/MAX(I$470:I3043)&gt;T3042,T3042,(I3043-MAX(I$470:I3043))/MAX(I$470:I3043))</f>
        <v>-0.91338805338419748</v>
      </c>
      <c r="U3043" s="564">
        <f>IF((J3043-MAX(J$470:J3043))/MAX(J$470:J3043)&gt;U3042,U3042,(J3043-MAX(J$470:J3043))/MAX(J$470:J3043))</f>
        <v>-0.8283551177402233</v>
      </c>
      <c r="V3043" s="564">
        <f>IF((K3043-MAX(K$470:K3043))/MAX(K$470:K3043)&gt;V3042,V3042,(K3043-MAX(K$470:K3043))/MAX(K$470:K3043))</f>
        <v>-0.84885940676762139</v>
      </c>
      <c r="W3043" s="564">
        <f>IF((N3043-MAX(N$470:N3043))/MAX(N$470:N3043)&gt;W3042,W3042,(N3043-MAX(N$470:N3043))/MAX(N$470:N3043))</f>
        <v>-0.62788758315546067</v>
      </c>
      <c r="X3043" s="564">
        <f>IF((O3043-MAX(O$470:O3043))/MAX(O$470:O3043)&gt;X3042,X3042,(O3043-MAX(O$470:O3043))/MAX(O$470:O3043))</f>
        <v>-0.62788758315546067</v>
      </c>
    </row>
    <row r="3044" spans="1:24">
      <c r="A3044" s="799">
        <v>43446</v>
      </c>
      <c r="B3044">
        <v>3456.4430893399999</v>
      </c>
      <c r="C3044">
        <v>10232.839757</v>
      </c>
      <c r="D3044">
        <v>0.73845400000000005</v>
      </c>
      <c r="E3044">
        <f>LN(D3044/参数实验室!$E$53)/参数实验室!$E$55</f>
        <v>-1.0506653098691927</v>
      </c>
      <c r="F3044">
        <f t="shared" si="418"/>
        <v>2.960511569989118</v>
      </c>
      <c r="G3044">
        <f>LN(F3044/参数实验室!$E$58)/参数实验室!$E$59</f>
        <v>0.3791266518204599</v>
      </c>
      <c r="H3044" s="856">
        <f>INDEX(神经网络!$G$10:$BO$70,MATCH(ROUND(G3044*2,1)/2,神经网络!$E$10:$E$70,0),MATCH(ROUND(E3044*2,1)/2,神经网络!$G$8:$BO$8,0))</f>
        <v>0.1786141066114118</v>
      </c>
      <c r="I3044">
        <f t="shared" si="420"/>
        <v>657638.29886520805</v>
      </c>
      <c r="J3044">
        <f t="shared" si="421"/>
        <v>1379.2119585571186</v>
      </c>
      <c r="K3044">
        <f t="shared" si="422"/>
        <v>476.82177839670516</v>
      </c>
      <c r="L3044" s="4">
        <f>MIN(MAX(L3043*(1+MAX(MIN(((B3044-B3043)/B3043)/($K$7*卓尔金历!$N$40),0),-卓尔金历!$M$43))+MIN(MAX(((B3044-B3043)/B3043)/($K$7*卓尔金历!$N$40),0),卓尔金历!$M$43),0),1)</f>
        <v>0.38622832170837074</v>
      </c>
      <c r="M3044" s="4">
        <f>MIN(MAX(M3043*(1+MAX(MIN(((B3044-B3043)/B3043)/($K$7*30),0),-卓尔金历!$M$43))+MIN(MAX(((B3044-B3043)/B3043)/($K$7*7),0),卓尔金历!$M$43),0),1)</f>
        <v>0.80501762639653407</v>
      </c>
      <c r="N3044">
        <f t="shared" si="423"/>
        <v>252349.49637290349</v>
      </c>
      <c r="O3044">
        <f t="shared" si="424"/>
        <v>706409.8213314754</v>
      </c>
      <c r="P3044">
        <f t="shared" si="425"/>
        <v>-7.5878537389155055E-3</v>
      </c>
      <c r="Q3044">
        <f t="shared" si="416"/>
        <v>5.4811675975419999E-2</v>
      </c>
      <c r="R3044">
        <f t="shared" si="417"/>
        <v>1</v>
      </c>
      <c r="S3044">
        <f t="shared" si="419"/>
        <v>1168.2314551869763</v>
      </c>
      <c r="T3044" s="564">
        <f>IF((I3044-MAX(I$470:I3044))/MAX(I$470:I3044)&gt;T3043,T3043,(I3044-MAX(I$470:I3044))/MAX(I$470:I3044))</f>
        <v>-0.91338805338419748</v>
      </c>
      <c r="U3044" s="564">
        <f>IF((J3044-MAX(J$470:J3044))/MAX(J$470:J3044)&gt;U3043,U3043,(J3044-MAX(J$470:J3044))/MAX(J$470:J3044))</f>
        <v>-0.8283551177402233</v>
      </c>
      <c r="V3044" s="564">
        <f>IF((K3044-MAX(K$470:K3044))/MAX(K$470:K3044)&gt;V3043,V3043,(K3044-MAX(K$470:K3044))/MAX(K$470:K3044))</f>
        <v>-0.84885940676762139</v>
      </c>
      <c r="W3044" s="564">
        <f>IF((N3044-MAX(N$470:N3044))/MAX(N$470:N3044)&gt;W3043,W3043,(N3044-MAX(N$470:N3044))/MAX(N$470:N3044))</f>
        <v>-0.62788758315546067</v>
      </c>
      <c r="X3044" s="564">
        <f>IF((O3044-MAX(O$470:O3044))/MAX(O$470:O3044)&gt;X3043,X3043,(O3044-MAX(O$470:O3044))/MAX(O$470:O3044))</f>
        <v>-0.62788758315546067</v>
      </c>
    </row>
    <row r="3045" spans="1:24">
      <c r="A3045" s="799">
        <v>43447</v>
      </c>
      <c r="B3045">
        <v>3437.1882836</v>
      </c>
      <c r="C3045">
        <v>10145.51282</v>
      </c>
      <c r="D3045">
        <v>0.70446399999999998</v>
      </c>
      <c r="E3045">
        <f>LN(D3045/参数实验室!$E$53)/参数实验室!$E$55</f>
        <v>-1.1062571486781574</v>
      </c>
      <c r="F3045">
        <f t="shared" si="418"/>
        <v>2.9516895738321085</v>
      </c>
      <c r="G3045">
        <f>LN(F3045/参数实验室!$E$58)/参数实验室!$E$59</f>
        <v>0.37756031005537111</v>
      </c>
      <c r="H3045" s="856">
        <f>INDEX(神经网络!$G$10:$BO$70,MATCH(ROUND(G3045*2,1)/2,神经网络!$E$10:$E$70,0),MATCH(ROUND(E3045*2,1)/2,神经网络!$G$8:$BO$8,0))</f>
        <v>0.17503699385514823</v>
      </c>
      <c r="I3045">
        <f t="shared" si="420"/>
        <v>656983.94513304543</v>
      </c>
      <c r="J3045">
        <f t="shared" si="421"/>
        <v>1371.528783208968</v>
      </c>
      <c r="K3045">
        <f t="shared" si="422"/>
        <v>479.0157911202557</v>
      </c>
      <c r="L3045" s="4">
        <f>MIN(MAX(L3044*(1+MAX(MIN(((B3045-B3044)/B3044)/($K$7*卓尔金历!$N$40),0),-卓尔金历!$M$43))+MIN(MAX(((B3045-B3044)/B3044)/($K$7*卓尔金历!$N$40),0),卓尔金历!$M$43),0),1)</f>
        <v>0.3533545203758951</v>
      </c>
      <c r="M3045" s="4">
        <f>MIN(MAX(M3044*(1+MAX(MIN(((B3045-B3044)/B3044)/($K$7*30),0),-卓尔金历!$M$43))+MIN(MAX(((B3045-B3044)/B3044)/($K$7*7),0),卓尔金历!$M$43),0),1)</f>
        <v>0.77075811196962096</v>
      </c>
      <c r="N3045">
        <f t="shared" si="423"/>
        <v>252252.51863583972</v>
      </c>
      <c r="O3045">
        <f t="shared" si="424"/>
        <v>705843.98920120567</v>
      </c>
      <c r="P3045">
        <f t="shared" si="425"/>
        <v>-5.5706994856601563E-3</v>
      </c>
      <c r="Q3045">
        <f t="shared" si="416"/>
        <v>5.4733335191514208E-2</v>
      </c>
      <c r="R3045">
        <f t="shared" si="417"/>
        <v>1</v>
      </c>
      <c r="S3045">
        <f t="shared" si="419"/>
        <v>1167.0690584499698</v>
      </c>
      <c r="T3045" s="564">
        <f>IF((I3045-MAX(I$470:I3045))/MAX(I$470:I3045)&gt;T3044,T3044,(I3045-MAX(I$470:I3045))/MAX(I$470:I3045))</f>
        <v>-0.91338805338419748</v>
      </c>
      <c r="U3045" s="564">
        <f>IF((J3045-MAX(J$470:J3045))/MAX(J$470:J3045)&gt;U3044,U3044,(J3045-MAX(J$470:J3045))/MAX(J$470:J3045))</f>
        <v>-0.8283551177402233</v>
      </c>
      <c r="V3045" s="564">
        <f>IF((K3045-MAX(K$470:K3045))/MAX(K$470:K3045)&gt;V3044,V3044,(K3045-MAX(K$470:K3045))/MAX(K$470:K3045))</f>
        <v>-0.84885940676762139</v>
      </c>
      <c r="W3045" s="564">
        <f>IF((N3045-MAX(N$470:N3045))/MAX(N$470:N3045)&gt;W3044,W3044,(N3045-MAX(N$470:N3045))/MAX(N$470:N3045))</f>
        <v>-0.62788758315546067</v>
      </c>
      <c r="X3045" s="564">
        <f>IF((O3045-MAX(O$470:O3045))/MAX(O$470:O3045)&gt;X3044,X3044,(O3045-MAX(O$470:O3045))/MAX(O$470:O3045))</f>
        <v>-0.62788758315546067</v>
      </c>
    </row>
    <row r="3046" spans="1:24">
      <c r="A3046" s="799">
        <v>43448</v>
      </c>
      <c r="B3046">
        <v>3318.6234249399999</v>
      </c>
      <c r="C3046">
        <v>10059.538386</v>
      </c>
      <c r="D3046">
        <v>0.692774</v>
      </c>
      <c r="E3046">
        <f>LN(D3046/参数实验室!$E$53)/参数实验室!$E$55</f>
        <v>-1.1259984343083125</v>
      </c>
      <c r="F3046">
        <f t="shared" si="418"/>
        <v>3.0312382870562891</v>
      </c>
      <c r="G3046">
        <f>LN(F3046/参数实验室!$E$58)/参数实验室!$E$59</f>
        <v>0.39151799943291726</v>
      </c>
      <c r="H3046" s="856">
        <f>INDEX(神经网络!$G$10:$BO$70,MATCH(ROUND(G3046*2,1)/2,神经网络!$E$10:$E$70,0),MATCH(ROUND(E3046*2,1)/2,神经网络!$G$8:$BO$8,0))</f>
        <v>0.17378392343155213</v>
      </c>
      <c r="I3046">
        <f t="shared" si="420"/>
        <v>653017.17286935484</v>
      </c>
      <c r="J3046">
        <f t="shared" si="421"/>
        <v>1324.2182773791926</v>
      </c>
      <c r="K3046">
        <f t="shared" si="422"/>
        <v>493.13408825753731</v>
      </c>
      <c r="L3046" s="4">
        <f>MIN(MAX(L3045*(1+MAX(MIN(((B3046-B3045)/B3045)/($K$7*卓尔金历!$N$40),0),-卓尔金历!$M$43))+MIN(MAX(((B3046-B3045)/B3045)/($K$7*卓尔金历!$N$40),0),卓尔金历!$M$43),0),1)</f>
        <v>0.16712033863155987</v>
      </c>
      <c r="M3046" s="4">
        <f>MIN(MAX(M3045*(1+MAX(MIN(((B3046-B3045)/B3045)/($K$7*30),0),-卓尔金历!$M$43))+MIN(MAX(((B3046-B3045)/B3045)/($K$7*7),0),卓尔金历!$M$43),0),1)</f>
        <v>0.56764551820292319</v>
      </c>
      <c r="N3046">
        <f t="shared" si="423"/>
        <v>251714.33724853001</v>
      </c>
      <c r="O3046">
        <f t="shared" si="424"/>
        <v>702559.18614481378</v>
      </c>
      <c r="P3046">
        <f t="shared" si="425"/>
        <v>-3.4494723267187159E-2</v>
      </c>
      <c r="Q3046">
        <f t="shared" si="416"/>
        <v>5.4817133403668734E-2</v>
      </c>
      <c r="R3046">
        <f t="shared" si="417"/>
        <v>0.54328205579861744</v>
      </c>
      <c r="S3046">
        <f t="shared" si="419"/>
        <v>1160.0224674256895</v>
      </c>
      <c r="T3046" s="564">
        <f>IF((I3046-MAX(I$470:I3046))/MAX(I$470:I3046)&gt;T3045,T3045,(I3046-MAX(I$470:I3046))/MAX(I$470:I3046))</f>
        <v>-0.91338805338419748</v>
      </c>
      <c r="U3046" s="564">
        <f>IF((J3046-MAX(J$470:J3046))/MAX(J$470:J3046)&gt;U3045,U3045,(J3046-MAX(J$470:J3046))/MAX(J$470:J3046))</f>
        <v>-0.83012518492093978</v>
      </c>
      <c r="V3046" s="564">
        <f>IF((K3046-MAX(K$470:K3046))/MAX(K$470:K3046)&gt;V3045,V3045,(K3046-MAX(K$470:K3046))/MAX(K$470:K3046))</f>
        <v>-0.84885940676762139</v>
      </c>
      <c r="W3046" s="564">
        <f>IF((N3046-MAX(N$470:N3046))/MAX(N$470:N3046)&gt;W3045,W3045,(N3046-MAX(N$470:N3046))/MAX(N$470:N3046))</f>
        <v>-0.62788758315546067</v>
      </c>
      <c r="X3046" s="564">
        <f>IF((O3046-MAX(O$470:O3046))/MAX(O$470:O3046)&gt;X3045,X3045,(O3046-MAX(O$470:O3046))/MAX(O$470:O3046))</f>
        <v>-0.62788758315546067</v>
      </c>
    </row>
    <row r="3047" spans="1:24">
      <c r="A3047" s="799">
        <v>43449</v>
      </c>
      <c r="B3047">
        <v>3209.7573281499999</v>
      </c>
      <c r="C3047">
        <v>9887.3092329999999</v>
      </c>
      <c r="D3047">
        <v>0.69048100000000001</v>
      </c>
      <c r="E3047">
        <f>LN(D3047/参数实验室!$E$53)/参数实验室!$E$55</f>
        <v>-1.1299097545873604</v>
      </c>
      <c r="F3047">
        <f t="shared" si="418"/>
        <v>3.0803915131798218</v>
      </c>
      <c r="G3047">
        <f>LN(F3047/参数实验室!$E$58)/参数实验室!$E$59</f>
        <v>0.3999605349144647</v>
      </c>
      <c r="H3047" s="856">
        <f>INDEX(神经网络!$G$10:$BO$70,MATCH(ROUND(G3047*2,1)/2,神经网络!$E$10:$E$70,0),MATCH(ROUND(E3047*2,1)/2,神经网络!$G$8:$BO$8,0))</f>
        <v>0.17378392343155213</v>
      </c>
      <c r="I3047">
        <f t="shared" si="420"/>
        <v>649294.37995927304</v>
      </c>
      <c r="J3047">
        <f t="shared" si="421"/>
        <v>1280.7778333466322</v>
      </c>
      <c r="K3047">
        <f t="shared" si="422"/>
        <v>506.95316787509296</v>
      </c>
      <c r="L3047" s="4">
        <f>MIN(MAX(L3046*(1+MAX(MIN(((B3047-B3046)/B3046)/($K$7*卓尔金历!$N$40),0),-卓尔金历!$M$43))+MIN(MAX(((B3047-B3046)/B3046)/($K$7*卓尔金历!$N$40),0),卓尔金历!$M$43),0),1)</f>
        <v>8.335582651173748E-2</v>
      </c>
      <c r="M3047" s="4">
        <f>MIN(MAX(M3046*(1+MAX(MIN(((B3047-B3046)/B3046)/($K$7*30),0),-卓尔金历!$M$43))+MIN(MAX(((B3047-B3046)/B3046)/($K$7*7),0),卓尔金历!$M$43),0),1)</f>
        <v>0.42538710047048001</v>
      </c>
      <c r="N3047">
        <f t="shared" si="423"/>
        <v>251474.51938165622</v>
      </c>
      <c r="O3047">
        <f t="shared" si="424"/>
        <v>700285.63668910961</v>
      </c>
      <c r="P3047">
        <f t="shared" si="425"/>
        <v>-3.2804594812371128E-2</v>
      </c>
      <c r="Q3047">
        <f t="shared" si="416"/>
        <v>5.5000890658947019E-2</v>
      </c>
      <c r="R3047">
        <f t="shared" si="417"/>
        <v>0.5999263623551655</v>
      </c>
      <c r="S3047">
        <f t="shared" si="419"/>
        <v>1156.4296426461531</v>
      </c>
      <c r="T3047" s="564">
        <f>IF((I3047-MAX(I$470:I3047))/MAX(I$470:I3047)&gt;T3046,T3046,(I3047-MAX(I$470:I3047))/MAX(I$470:I3047))</f>
        <v>-0.91338805338419748</v>
      </c>
      <c r="U3047" s="564">
        <f>IF((J3047-MAX(J$470:J3047))/MAX(J$470:J3047)&gt;U3046,U3046,(J3047-MAX(J$470:J3047))/MAX(J$470:J3047))</f>
        <v>-0.83569785939843477</v>
      </c>
      <c r="V3047" s="564">
        <f>IF((K3047-MAX(K$470:K3047))/MAX(K$470:K3047)&gt;V3046,V3046,(K3047-MAX(K$470:K3047))/MAX(K$470:K3047))</f>
        <v>-0.84885940676762139</v>
      </c>
      <c r="W3047" s="564">
        <f>IF((N3047-MAX(N$470:N3047))/MAX(N$470:N3047)&gt;W3046,W3046,(N3047-MAX(N$470:N3047))/MAX(N$470:N3047))</f>
        <v>-0.62788758315546067</v>
      </c>
      <c r="X3047" s="564">
        <f>IF((O3047-MAX(O$470:O3047))/MAX(O$470:O3047)&gt;X3046,X3046,(O3047-MAX(O$470:O3047))/MAX(O$470:O3047))</f>
        <v>-0.62788758315546067</v>
      </c>
    </row>
    <row r="3048" spans="1:24">
      <c r="A3048" s="799">
        <v>43450</v>
      </c>
      <c r="B3048">
        <v>3285.2406444399999</v>
      </c>
      <c r="C3048">
        <v>9977.2388809999993</v>
      </c>
      <c r="D3048">
        <v>0.69338599999999995</v>
      </c>
      <c r="E3048">
        <f>LN(D3048/参数实验室!$E$53)/参数实验室!$E$55</f>
        <v>-1.1249566944915173</v>
      </c>
      <c r="F3048">
        <f t="shared" si="418"/>
        <v>3.0369887508501567</v>
      </c>
      <c r="G3048">
        <f>LN(F3048/参数实验室!$E$58)/参数实验室!$E$59</f>
        <v>0.39251273976033052</v>
      </c>
      <c r="H3048" s="856">
        <f>INDEX(神经网络!$G$10:$BO$70,MATCH(ROUND(G3048*2,1)/2,神经网络!$E$10:$E$70,0),MATCH(ROUND(E3048*2,1)/2,神经网络!$G$8:$BO$8,0))</f>
        <v>0.17503699385514823</v>
      </c>
      <c r="I3048">
        <f t="shared" si="420"/>
        <v>651947.94669780193</v>
      </c>
      <c r="J3048">
        <f t="shared" si="421"/>
        <v>1310.8976674673775</v>
      </c>
      <c r="K3048">
        <f t="shared" si="422"/>
        <v>497.32939715832248</v>
      </c>
      <c r="L3048" s="4">
        <f>MIN(MAX(L3047*(1+MAX(MIN(((B3048-B3047)/B3047)/($K$7*卓尔金历!$N$40),0),-卓尔金历!$M$43))+MIN(MAX(((B3048-B3047)/B3047)/($K$7*卓尔金历!$N$40),0),卓尔金历!$M$43),0),1)</f>
        <v>0.44267041608417301</v>
      </c>
      <c r="M3048" s="4">
        <f>MIN(MAX(M3047*(1+MAX(MIN(((B3048-B3047)/B3047)/($K$7*30),0),-卓尔金历!$M$43))+MIN(MAX(((B3048-B3047)/B3047)/($K$7*7),0),卓尔金历!$M$43),0),1)</f>
        <v>1</v>
      </c>
      <c r="N3048">
        <f t="shared" si="423"/>
        <v>251560.1873208824</v>
      </c>
      <c r="O3048">
        <f t="shared" si="424"/>
        <v>701503.07763989607</v>
      </c>
      <c r="P3048">
        <f t="shared" si="425"/>
        <v>2.3516829645656136E-2</v>
      </c>
      <c r="Q3048">
        <f t="shared" si="416"/>
        <v>4.6962891820355554E-2</v>
      </c>
      <c r="R3048">
        <f t="shared" si="417"/>
        <v>0.78468321971200705</v>
      </c>
      <c r="S3048">
        <f t="shared" si="419"/>
        <v>1159.2649851792071</v>
      </c>
      <c r="T3048" s="564">
        <f>IF((I3048-MAX(I$470:I3048))/MAX(I$470:I3048)&gt;T3047,T3047,(I3048-MAX(I$470:I3048))/MAX(I$470:I3048))</f>
        <v>-0.91338805338419748</v>
      </c>
      <c r="U3048" s="564">
        <f>IF((J3048-MAX(J$470:J3048))/MAX(J$470:J3048)&gt;U3047,U3047,(J3048-MAX(J$470:J3048))/MAX(J$470:J3048))</f>
        <v>-0.83569785939843477</v>
      </c>
      <c r="V3048" s="564">
        <f>IF((K3048-MAX(K$470:K3048))/MAX(K$470:K3048)&gt;V3047,V3047,(K3048-MAX(K$470:K3048))/MAX(K$470:K3048))</f>
        <v>-0.84885940676762139</v>
      </c>
      <c r="W3048" s="564">
        <f>IF((N3048-MAX(N$470:N3048))/MAX(N$470:N3048)&gt;W3047,W3047,(N3048-MAX(N$470:N3048))/MAX(N$470:N3048))</f>
        <v>-0.62788758315546067</v>
      </c>
      <c r="X3048" s="564">
        <f>IF((O3048-MAX(O$470:O3048))/MAX(O$470:O3048)&gt;X3047,X3047,(O3048-MAX(O$470:O3048))/MAX(O$470:O3048))</f>
        <v>-0.62788758315546067</v>
      </c>
    </row>
    <row r="3049" spans="1:24">
      <c r="A3049" s="799">
        <v>43451</v>
      </c>
      <c r="B3049">
        <v>3288.4467390099999</v>
      </c>
      <c r="C3049">
        <v>9862.0019909999992</v>
      </c>
      <c r="D3049">
        <v>0.75972600000000001</v>
      </c>
      <c r="E3049">
        <f>LN(D3049/参数实验室!$E$53)/参数实验室!$E$55</f>
        <v>-1.0171614616876445</v>
      </c>
      <c r="F3049">
        <f t="shared" si="418"/>
        <v>2.998984862369702</v>
      </c>
      <c r="G3049">
        <f>LN(F3049/参数实验室!$E$58)/参数实验室!$E$59</f>
        <v>0.38590344708188024</v>
      </c>
      <c r="H3049" s="856">
        <f>INDEX(神经网络!$G$10:$BO$70,MATCH(ROUND(G3049*2,1)/2,神经网络!$E$10:$E$70,0),MATCH(ROUND(E3049*2,1)/2,神经网络!$G$8:$BO$8,0))</f>
        <v>0.18453004070413137</v>
      </c>
      <c r="I3049">
        <f t="shared" si="420"/>
        <v>652059.31251524854</v>
      </c>
      <c r="J3049">
        <f t="shared" si="421"/>
        <v>1312.1769837636145</v>
      </c>
      <c r="K3049">
        <f t="shared" si="422"/>
        <v>496.92939335439178</v>
      </c>
      <c r="L3049" s="4">
        <f>MIN(MAX(L3048*(1+MAX(MIN(((B3049-B3048)/B3048)/($K$7*卓尔金历!$N$40),0),-卓尔金历!$M$43))+MIN(MAX(((B3049-B3048)/B3048)/($K$7*卓尔金历!$N$40),0),卓尔金历!$M$43),0),1)</f>
        <v>0.45758136285262496</v>
      </c>
      <c r="M3049" s="4">
        <f>MIN(MAX(M3048*(1+MAX(MIN(((B3049-B3048)/B3048)/($K$7*30),0),-卓尔金历!$M$43))+MIN(MAX(((B3049-B3048)/B3048)/($K$7*7),0),卓尔金历!$M$43),0),1)</f>
        <v>1</v>
      </c>
      <c r="N3049">
        <f t="shared" si="423"/>
        <v>251579.20954944281</v>
      </c>
      <c r="O3049">
        <f t="shared" si="424"/>
        <v>701622.90847006964</v>
      </c>
      <c r="P3049">
        <f t="shared" si="425"/>
        <v>9.759085914835666E-4</v>
      </c>
      <c r="Q3049">
        <f t="shared" si="416"/>
        <v>4.4584185819242166E-2</v>
      </c>
      <c r="R3049">
        <f t="shared" si="417"/>
        <v>1</v>
      </c>
      <c r="S3049">
        <f t="shared" si="419"/>
        <v>1159.4203726762719</v>
      </c>
      <c r="T3049" s="564">
        <f>IF((I3049-MAX(I$470:I3049))/MAX(I$470:I3049)&gt;T3048,T3048,(I3049-MAX(I$470:I3049))/MAX(I$470:I3049))</f>
        <v>-0.91338805338419748</v>
      </c>
      <c r="U3049" s="564">
        <f>IF((J3049-MAX(J$470:J3049))/MAX(J$470:J3049)&gt;U3048,U3048,(J3049-MAX(J$470:J3049))/MAX(J$470:J3049))</f>
        <v>-0.83569785939843477</v>
      </c>
      <c r="V3049" s="564">
        <f>IF((K3049-MAX(K$470:K3049))/MAX(K$470:K3049)&gt;V3048,V3048,(K3049-MAX(K$470:K3049))/MAX(K$470:K3049))</f>
        <v>-0.84885940676762139</v>
      </c>
      <c r="W3049" s="564">
        <f>IF((N3049-MAX(N$470:N3049))/MAX(N$470:N3049)&gt;W3048,W3048,(N3049-MAX(N$470:N3049))/MAX(N$470:N3049))</f>
        <v>-0.62788758315546067</v>
      </c>
      <c r="X3049" s="564">
        <f>IF((O3049-MAX(O$470:O3049))/MAX(O$470:O3049)&gt;X3048,X3048,(O3049-MAX(O$470:O3049))/MAX(O$470:O3049))</f>
        <v>-0.62788758315546067</v>
      </c>
    </row>
    <row r="3050" spans="1:24">
      <c r="A3050" s="799">
        <v>43452</v>
      </c>
      <c r="B3050">
        <v>3511.1819352399998</v>
      </c>
      <c r="C3050">
        <v>9825.6647850000008</v>
      </c>
      <c r="D3050">
        <v>0.79650100000000001</v>
      </c>
      <c r="E3050">
        <f>LN(D3050/参数实验室!$E$53)/参数实验室!$E$55</f>
        <v>-0.96139388537739756</v>
      </c>
      <c r="F3050">
        <f t="shared" si="418"/>
        <v>2.7983923835972879</v>
      </c>
      <c r="G3050">
        <f>LN(F3050/参数实验室!$E$58)/参数实验室!$E$59</f>
        <v>0.34956845847358992</v>
      </c>
      <c r="H3050" s="856">
        <f>INDEX(神经网络!$G$10:$BO$70,MATCH(ROUND(G3050*2,1)/2,神经网络!$E$10:$E$70,0),MATCH(ROUND(E3050*2,1)/2,神经网络!$G$8:$BO$8,0))</f>
        <v>0.12125743470149908</v>
      </c>
      <c r="I3050">
        <f t="shared" si="420"/>
        <v>660209.21131474595</v>
      </c>
      <c r="J3050">
        <f t="shared" si="421"/>
        <v>1401.0542018434996</v>
      </c>
      <c r="K3050">
        <f t="shared" si="422"/>
        <v>471.22317640962513</v>
      </c>
      <c r="L3050" s="4">
        <f>MIN(MAX(L3049*(1+MAX(MIN(((B3050-B3049)/B3049)/($K$7*卓尔金历!$N$40),0),-卓尔金历!$M$43))+MIN(MAX(((B3050-B3049)/B3049)/($K$7*卓尔金历!$N$40),0),卓尔金历!$M$43),0),1)</f>
        <v>1</v>
      </c>
      <c r="M3050" s="4">
        <f>MIN(MAX(M3049*(1+MAX(MIN(((B3050-B3049)/B3049)/($K$7*30),0),-卓尔金历!$M$43))+MIN(MAX(((B3050-B3049)/B3049)/($K$7*7),0),卓尔金历!$M$43),0),1)</f>
        <v>1</v>
      </c>
      <c r="N3050">
        <f t="shared" si="423"/>
        <v>253018.03526084879</v>
      </c>
      <c r="O3050">
        <f t="shared" si="424"/>
        <v>710392.2881717151</v>
      </c>
      <c r="P3050">
        <f t="shared" si="425"/>
        <v>6.7732645199251498E-2</v>
      </c>
      <c r="Q3050">
        <f t="shared" si="416"/>
        <v>4.6024164952455759E-2</v>
      </c>
      <c r="R3050">
        <f t="shared" si="417"/>
        <v>2.7356781342611446E-2</v>
      </c>
      <c r="S3050">
        <f t="shared" si="419"/>
        <v>1173.9116291034488</v>
      </c>
      <c r="T3050" s="564">
        <f>IF((I3050-MAX(I$470:I3050))/MAX(I$470:I3050)&gt;T3049,T3049,(I3050-MAX(I$470:I3050))/MAX(I$470:I3050))</f>
        <v>-0.91338805338419748</v>
      </c>
      <c r="U3050" s="564">
        <f>IF((J3050-MAX(J$470:J3050))/MAX(J$470:J3050)&gt;U3049,U3049,(J3050-MAX(J$470:J3050))/MAX(J$470:J3050))</f>
        <v>-0.83569785939843477</v>
      </c>
      <c r="V3050" s="564">
        <f>IF((K3050-MAX(K$470:K3050))/MAX(K$470:K3050)&gt;V3049,V3049,(K3050-MAX(K$470:K3050))/MAX(K$470:K3050))</f>
        <v>-0.84885940676762139</v>
      </c>
      <c r="W3050" s="564">
        <f>IF((N3050-MAX(N$470:N3050))/MAX(N$470:N3050)&gt;W3049,W3049,(N3050-MAX(N$470:N3050))/MAX(N$470:N3050))</f>
        <v>-0.62788758315546067</v>
      </c>
      <c r="X3050" s="564">
        <f>IF((O3050-MAX(O$470:O3050))/MAX(O$470:O3050)&gt;X3049,X3049,(O3050-MAX(O$470:O3050))/MAX(O$470:O3050))</f>
        <v>-0.62788758315546067</v>
      </c>
    </row>
    <row r="3051" spans="1:24">
      <c r="A3051" s="799">
        <v>43453</v>
      </c>
      <c r="B3051">
        <v>3819.7421834400002</v>
      </c>
      <c r="C3051">
        <v>9651.1920829999999</v>
      </c>
      <c r="D3051">
        <v>0.80573899999999998</v>
      </c>
      <c r="E3051">
        <f>LN(D3051/参数实验室!$E$53)/参数实验室!$E$55</f>
        <v>-0.94778957985846102</v>
      </c>
      <c r="F3051">
        <f t="shared" si="418"/>
        <v>2.526660601556173</v>
      </c>
      <c r="G3051">
        <f>LN(F3051/参数实验室!$E$58)/参数实验室!$E$59</f>
        <v>0.2959564061318255</v>
      </c>
      <c r="H3051" s="856">
        <f>INDEX(神经网络!$G$10:$BO$70,MATCH(ROUND(G3051*2,1)/2,神经网络!$E$10:$E$70,0),MATCH(ROUND(E3051*2,1)/2,神经网络!$G$8:$BO$8,0))</f>
        <v>5.4281003389025029E-2</v>
      </c>
      <c r="I3051">
        <f t="shared" si="420"/>
        <v>667244.41372841876</v>
      </c>
      <c r="J3051">
        <f t="shared" si="421"/>
        <v>1524.1778793503829</v>
      </c>
      <c r="K3051">
        <f t="shared" si="422"/>
        <v>437.77332210909907</v>
      </c>
      <c r="L3051" s="4">
        <f>MIN(MAX(L3050*(1+MAX(MIN(((B3051-B3050)/B3050)/($K$7*卓尔金历!$N$40),0),-卓尔金历!$M$43))+MIN(MAX(((B3051-B3050)/B3050)/($K$7*卓尔金历!$N$40),0),卓尔金历!$M$43),0),1)</f>
        <v>1</v>
      </c>
      <c r="M3051" s="4">
        <f>MIN(MAX(M3050*(1+MAX(MIN(((B3051-B3050)/B3050)/($K$7*30),0),-卓尔金历!$M$43))+MIN(MAX(((B3051-B3050)/B3050)/($K$7*7),0),卓尔金历!$M$43),0),1)</f>
        <v>1</v>
      </c>
      <c r="N3051">
        <f t="shared" si="423"/>
        <v>255714.20044888835</v>
      </c>
      <c r="O3051">
        <f t="shared" si="424"/>
        <v>717962.24244491826</v>
      </c>
      <c r="P3051">
        <f t="shared" si="425"/>
        <v>8.787931069681508E-2</v>
      </c>
      <c r="Q3051">
        <f t="shared" si="416"/>
        <v>4.6545169043792745E-2</v>
      </c>
      <c r="R3051">
        <f t="shared" si="417"/>
        <v>1.6773912601461837E-2</v>
      </c>
      <c r="S3051">
        <f t="shared" si="419"/>
        <v>1174.2538412512533</v>
      </c>
      <c r="T3051" s="564">
        <f>IF((I3051-MAX(I$470:I3051))/MAX(I$470:I3051)&gt;T3050,T3050,(I3051-MAX(I$470:I3051))/MAX(I$470:I3051))</f>
        <v>-0.91338805338419748</v>
      </c>
      <c r="U3051" s="564">
        <f>IF((J3051-MAX(J$470:J3051))/MAX(J$470:J3051)&gt;U3050,U3050,(J3051-MAX(J$470:J3051))/MAX(J$470:J3051))</f>
        <v>-0.83569785939843477</v>
      </c>
      <c r="V3051" s="564">
        <f>IF((K3051-MAX(K$470:K3051))/MAX(K$470:K3051)&gt;V3050,V3050,(K3051-MAX(K$470:K3051))/MAX(K$470:K3051))</f>
        <v>-0.84885940676762139</v>
      </c>
      <c r="W3051" s="564">
        <f>IF((N3051-MAX(N$470:N3051))/MAX(N$470:N3051)&gt;W3050,W3050,(N3051-MAX(N$470:N3051))/MAX(N$470:N3051))</f>
        <v>-0.62788758315546067</v>
      </c>
      <c r="X3051" s="564">
        <f>IF((O3051-MAX(O$470:O3051))/MAX(O$470:O3051)&gt;X3050,X3050,(O3051-MAX(O$470:O3051))/MAX(O$470:O3051))</f>
        <v>-0.62788758315546067</v>
      </c>
    </row>
    <row r="3052" spans="1:24">
      <c r="A3052" s="799">
        <v>43454</v>
      </c>
      <c r="B3052">
        <v>4110.5991235499996</v>
      </c>
      <c r="C3052">
        <v>9631.2826519999999</v>
      </c>
      <c r="D3052">
        <v>0.88611700000000004</v>
      </c>
      <c r="E3052">
        <f>LN(D3052/参数实验室!$E$53)/参数实验室!$E$55</f>
        <v>-0.83560787341550846</v>
      </c>
      <c r="F3052">
        <f t="shared" si="418"/>
        <v>2.3430362247735368</v>
      </c>
      <c r="G3052">
        <f>LN(F3052/参数实验室!$E$58)/参数实验室!$E$59</f>
        <v>0.25635570131069613</v>
      </c>
      <c r="H3052" s="856">
        <f>INDEX(神经网络!$G$10:$BO$70,MATCH(ROUND(G3052*2,1)/2,神经网络!$E$10:$E$70,0),MATCH(ROUND(E3052*2,1)/2,神经网络!$G$8:$BO$8,0))</f>
        <v>1.477732630187956E-2</v>
      </c>
      <c r="I3052">
        <f t="shared" si="420"/>
        <v>670002.31168846658</v>
      </c>
      <c r="J3052">
        <f t="shared" si="421"/>
        <v>1640.2374699932141</v>
      </c>
      <c r="K3052">
        <f t="shared" si="422"/>
        <v>408.47884769468078</v>
      </c>
      <c r="L3052" s="4">
        <f>MIN(MAX(L3051*(1+MAX(MIN(((B3052-B3051)/B3051)/($K$7*卓尔金历!$N$40),0),-卓尔金历!$M$43))+MIN(MAX(((B3052-B3051)/B3051)/($K$7*卓尔金历!$N$40),0),卓尔金历!$M$43),0),1)</f>
        <v>1</v>
      </c>
      <c r="M3052" s="4">
        <f>MIN(MAX(M3051*(1+MAX(MIN(((B3052-B3051)/B3051)/($K$7*30),0),-卓尔金历!$M$43))+MIN(MAX(((B3052-B3051)/B3051)/($K$7*7),0),卓尔金历!$M$43),0),1)</f>
        <v>1</v>
      </c>
      <c r="N3052">
        <f t="shared" si="423"/>
        <v>256771.13499530524</v>
      </c>
      <c r="O3052">
        <f t="shared" si="424"/>
        <v>720929.77062962949</v>
      </c>
      <c r="P3052">
        <f t="shared" si="425"/>
        <v>7.6145699406355793E-2</v>
      </c>
      <c r="Q3052">
        <f t="shared" ref="Q3052:Q3115" si="426">STDEVP(P3032:P3052)</f>
        <v>4.6379792999139947E-2</v>
      </c>
      <c r="R3052">
        <f t="shared" ref="R3052:R3115" si="427">MIN(Q3051*MAX(1-LN(MAX(ABS(P3052),0.0001)/Q3052),0)+MAX(-LN(MAX(ABS(P3052),0.0001)/Q3052),0),1)</f>
        <v>2.3468784800481011E-2</v>
      </c>
      <c r="S3052">
        <f t="shared" si="419"/>
        <v>1174.3352534740582</v>
      </c>
      <c r="T3052" s="564">
        <f>IF((I3052-MAX(I$470:I3052))/MAX(I$470:I3052)&gt;T3051,T3051,(I3052-MAX(I$470:I3052))/MAX(I$470:I3052))</f>
        <v>-0.91338805338419748</v>
      </c>
      <c r="U3052" s="564">
        <f>IF((J3052-MAX(J$470:J3052))/MAX(J$470:J3052)&gt;U3051,U3051,(J3052-MAX(J$470:J3052))/MAX(J$470:J3052))</f>
        <v>-0.83569785939843477</v>
      </c>
      <c r="V3052" s="564">
        <f>IF((K3052-MAX(K$470:K3052))/MAX(K$470:K3052)&gt;V3051,V3051,(K3052-MAX(K$470:K3052))/MAX(K$470:K3052))</f>
        <v>-0.84885940676762139</v>
      </c>
      <c r="W3052" s="564">
        <f>IF((N3052-MAX(N$470:N3052))/MAX(N$470:N3052)&gt;W3051,W3051,(N3052-MAX(N$470:N3052))/MAX(N$470:N3052))</f>
        <v>-0.62788758315546067</v>
      </c>
      <c r="X3052" s="564">
        <f>IF((O3052-MAX(O$470:O3052))/MAX(O$470:O3052)&gt;X3051,X3051,(O3052-MAX(O$470:O3052))/MAX(O$470:O3052))</f>
        <v>-0.62788758315546067</v>
      </c>
    </row>
    <row r="3053" spans="1:24">
      <c r="A3053" s="799">
        <v>43455</v>
      </c>
      <c r="B3053">
        <v>4055.0432872699998</v>
      </c>
      <c r="C3053">
        <v>9372.5711389999997</v>
      </c>
      <c r="D3053">
        <v>0.83767100000000005</v>
      </c>
      <c r="E3053">
        <f>LN(D3053/参数实验室!$E$53)/参数实验室!$E$55</f>
        <v>-0.90193781734862244</v>
      </c>
      <c r="F3053">
        <f t="shared" si="418"/>
        <v>2.3113368896512938</v>
      </c>
      <c r="G3053">
        <f>LN(F3053/参数实验室!$E$58)/参数实验室!$E$59</f>
        <v>0.24920638988073471</v>
      </c>
      <c r="H3053" s="856">
        <f>INDEX(神经网络!$G$10:$BO$70,MATCH(ROUND(G3053*2,1)/2,神经网络!$E$10:$E$70,0),MATCH(ROUND(E3053*2,1)/2,神经网络!$G$8:$BO$8,0))</f>
        <v>6.2043519095610665E-3</v>
      </c>
      <c r="I3053">
        <f t="shared" si="420"/>
        <v>669868.49917497532</v>
      </c>
      <c r="J3053">
        <f t="shared" si="421"/>
        <v>1618.069225996566</v>
      </c>
      <c r="K3053">
        <f t="shared" si="422"/>
        <v>413.99248463081329</v>
      </c>
      <c r="L3053" s="4">
        <f>MIN(MAX(L3052*(1+MAX(MIN(((B3053-B3052)/B3052)/($K$7*卓尔金历!$N$40),0),-卓尔金历!$M$43))+MIN(MAX(((B3053-B3052)/B3052)/($K$7*卓尔金历!$N$40),0),卓尔金历!$M$43),0),1)</f>
        <v>0.79349972111182854</v>
      </c>
      <c r="M3053" s="4">
        <f>MIN(MAX(M3052*(1+MAX(MIN(((B3053-B3052)/B3052)/($K$7*30),0),-卓尔金历!$M$43))+MIN(MAX(((B3053-B3052)/B3052)/($K$7*7),0),卓尔金历!$M$43),0),1)</f>
        <v>0.89674986055591432</v>
      </c>
      <c r="N3053">
        <f t="shared" si="423"/>
        <v>256719.85279766755</v>
      </c>
      <c r="O3053">
        <f t="shared" si="424"/>
        <v>720785.7869105055</v>
      </c>
      <c r="P3053">
        <f t="shared" si="425"/>
        <v>-1.3515264955348062E-2</v>
      </c>
      <c r="Q3053">
        <f t="shared" si="426"/>
        <v>4.6057877500997657E-2</v>
      </c>
      <c r="R3053">
        <f t="shared" si="427"/>
        <v>1</v>
      </c>
      <c r="S3053">
        <f t="shared" si="419"/>
        <v>1174.3297491609737</v>
      </c>
      <c r="T3053" s="564">
        <f>IF((I3053-MAX(I$470:I3053))/MAX(I$470:I3053)&gt;T3052,T3052,(I3053-MAX(I$470:I3053))/MAX(I$470:I3053))</f>
        <v>-0.91338805338419748</v>
      </c>
      <c r="U3053" s="564">
        <f>IF((J3053-MAX(J$470:J3053))/MAX(J$470:J3053)&gt;U3052,U3052,(J3053-MAX(J$470:J3053))/MAX(J$470:J3053))</f>
        <v>-0.83569785939843477</v>
      </c>
      <c r="V3053" s="564">
        <f>IF((K3053-MAX(K$470:K3053))/MAX(K$470:K3053)&gt;V3052,V3052,(K3053-MAX(K$470:K3053))/MAX(K$470:K3053))</f>
        <v>-0.84885940676762139</v>
      </c>
      <c r="W3053" s="564">
        <f>IF((N3053-MAX(N$470:N3053))/MAX(N$470:N3053)&gt;W3052,W3052,(N3053-MAX(N$470:N3053))/MAX(N$470:N3053))</f>
        <v>-0.62788758315546067</v>
      </c>
      <c r="X3053" s="564">
        <f>IF((O3053-MAX(O$470:O3053))/MAX(O$470:O3053)&gt;X3052,X3052,(O3053-MAX(O$470:O3053))/MAX(O$470:O3053))</f>
        <v>-0.62788758315546067</v>
      </c>
    </row>
    <row r="3054" spans="1:24">
      <c r="A3054" s="799">
        <v>43456</v>
      </c>
      <c r="B3054">
        <v>3961.4607663400002</v>
      </c>
      <c r="C3054">
        <v>8997.4957689999992</v>
      </c>
      <c r="D3054">
        <v>0.86519500000000005</v>
      </c>
      <c r="E3054">
        <f>LN(D3054/参数实验室!$E$53)/参数实验室!$E$55</f>
        <v>-0.86379699300020218</v>
      </c>
      <c r="F3054">
        <f t="shared" si="418"/>
        <v>2.2712570689707472</v>
      </c>
      <c r="G3054">
        <f>LN(F3054/参数实验室!$E$58)/参数实验室!$E$59</f>
        <v>0.24002530487785864</v>
      </c>
      <c r="H3054" s="856">
        <f>INDEX(神经网络!$G$10:$BO$70,MATCH(ROUND(G3054*2,1)/2,神经网络!$E$10:$E$70,0),MATCH(ROUND(E3054*2,1)/2,神经网络!$G$8:$BO$8,0))</f>
        <v>1.477732630187956E-2</v>
      </c>
      <c r="I3054">
        <f t="shared" si="420"/>
        <v>669772.58446370997</v>
      </c>
      <c r="J3054">
        <f t="shared" si="421"/>
        <v>1580.7273318462931</v>
      </c>
      <c r="K3054">
        <f t="shared" si="422"/>
        <v>423.71164904285808</v>
      </c>
      <c r="L3054" s="4">
        <f>MIN(MAX(L3053*(1+MAX(MIN(((B3054-B3053)/B3053)/($K$7*卓尔金历!$N$40),0),-卓尔金历!$M$43))+MIN(MAX(((B3054-B3053)/B3053)/($K$7*卓尔金历!$N$40),0),卓尔金历!$M$43),0),1)</f>
        <v>0.51370333401782009</v>
      </c>
      <c r="M3054" s="4">
        <f>MIN(MAX(M3053*(1+MAX(MIN(((B3054-B3053)/B3053)/($K$7*30),0),-卓尔金历!$M$43))+MIN(MAX(((B3054-B3053)/B3053)/($K$7*7),0),卓尔金历!$M$43),0),1)</f>
        <v>0.73864812186907736</v>
      </c>
      <c r="N3054">
        <f t="shared" si="423"/>
        <v>256690.68511664646</v>
      </c>
      <c r="O3054">
        <f t="shared" si="424"/>
        <v>720693.23759726551</v>
      </c>
      <c r="P3054">
        <f t="shared" si="425"/>
        <v>-2.3078057199483745E-2</v>
      </c>
      <c r="Q3054">
        <f t="shared" si="426"/>
        <v>4.5129683953841308E-2</v>
      </c>
      <c r="R3054">
        <f t="shared" si="427"/>
        <v>0.7476049086834281</v>
      </c>
      <c r="S3054">
        <f t="shared" si="419"/>
        <v>1174.161603474231</v>
      </c>
      <c r="T3054" s="564">
        <f>IF((I3054-MAX(I$470:I3054))/MAX(I$470:I3054)&gt;T3053,T3053,(I3054-MAX(I$470:I3054))/MAX(I$470:I3054))</f>
        <v>-0.91338805338419748</v>
      </c>
      <c r="U3054" s="564">
        <f>IF((J3054-MAX(J$470:J3054))/MAX(J$470:J3054)&gt;U3053,U3053,(J3054-MAX(J$470:J3054))/MAX(J$470:J3054))</f>
        <v>-0.83569785939843477</v>
      </c>
      <c r="V3054" s="564">
        <f>IF((K3054-MAX(K$470:K3054))/MAX(K$470:K3054)&gt;V3053,V3053,(K3054-MAX(K$470:K3054))/MAX(K$470:K3054))</f>
        <v>-0.84885940676762139</v>
      </c>
      <c r="W3054" s="564">
        <f>IF((N3054-MAX(N$470:N3054))/MAX(N$470:N3054)&gt;W3053,W3053,(N3054-MAX(N$470:N3054))/MAX(N$470:N3054))</f>
        <v>-0.62788758315546067</v>
      </c>
      <c r="X3054" s="564">
        <f>IF((O3054-MAX(O$470:O3054))/MAX(O$470:O3054)&gt;X3053,X3053,(O3054-MAX(O$470:O3054))/MAX(O$470:O3054))</f>
        <v>-0.62788758315546067</v>
      </c>
    </row>
    <row r="3055" spans="1:24">
      <c r="A3055" s="799">
        <v>43457</v>
      </c>
      <c r="B3055">
        <v>4080.1488802700001</v>
      </c>
      <c r="C3055">
        <v>8655.4723310000008</v>
      </c>
      <c r="D3055">
        <v>0.86090699999999998</v>
      </c>
      <c r="E3055">
        <f>LN(D3055/参数实验室!$E$53)/参数实验室!$E$55</f>
        <v>-0.86965851487621126</v>
      </c>
      <c r="F3055">
        <f t="shared" si="418"/>
        <v>2.1213618877621037</v>
      </c>
      <c r="G3055">
        <f>LN(F3055/参数实验室!$E$58)/参数实验室!$E$59</f>
        <v>0.20419080545590526</v>
      </c>
      <c r="H3055" s="856">
        <f>INDEX(神经网络!$G$10:$BO$70,MATCH(ROUND(G3055*2,1)/2,神经网络!$E$10:$E$70,0),MATCH(ROUND(E3055*2,1)/2,神经网络!$G$8:$BO$8,0))</f>
        <v>-3.0194283106222054E-2</v>
      </c>
      <c r="I3055">
        <f t="shared" si="420"/>
        <v>670069.11887576943</v>
      </c>
      <c r="J3055">
        <f t="shared" si="421"/>
        <v>1628.0870197797353</v>
      </c>
      <c r="K3055">
        <f t="shared" si="422"/>
        <v>411.56836872664422</v>
      </c>
      <c r="L3055" s="4">
        <f>MIN(MAX(L3054*(1+MAX(MIN(((B3055-B3054)/B3054)/($K$7*卓尔金历!$N$40),0),-卓尔金历!$M$43))+MIN(MAX(((B3055-B3054)/B3054)/($K$7*卓尔金历!$N$40),0),卓尔金历!$M$43),0),1)</f>
        <v>0.97147398766063142</v>
      </c>
      <c r="M3055" s="4">
        <f>MIN(MAX(M3054*(1+MAX(MIN(((B3055-B3054)/B3054)/($K$7*30),0),-卓尔金历!$M$43))+MIN(MAX(((B3055-B3054)/B3054)/($K$7*7),0),卓尔金历!$M$43),0),1)</f>
        <v>1</v>
      </c>
      <c r="N3055">
        <f t="shared" si="423"/>
        <v>256749.06594141253</v>
      </c>
      <c r="O3055">
        <f t="shared" si="424"/>
        <v>720928.92467819282</v>
      </c>
      <c r="P3055">
        <f t="shared" si="425"/>
        <v>2.9960694029454192E-2</v>
      </c>
      <c r="Q3055">
        <f t="shared" si="426"/>
        <v>4.4179298882552384E-2</v>
      </c>
      <c r="R3055">
        <f t="shared" si="427"/>
        <v>0.45102670424063174</v>
      </c>
      <c r="S3055">
        <f t="shared" si="419"/>
        <v>1174.5502437012753</v>
      </c>
      <c r="T3055" s="564">
        <f>IF((I3055-MAX(I$470:I3055))/MAX(I$470:I3055)&gt;T3054,T3054,(I3055-MAX(I$470:I3055))/MAX(I$470:I3055))</f>
        <v>-0.91338805338419748</v>
      </c>
      <c r="U3055" s="564">
        <f>IF((J3055-MAX(J$470:J3055))/MAX(J$470:J3055)&gt;U3054,U3054,(J3055-MAX(J$470:J3055))/MAX(J$470:J3055))</f>
        <v>-0.83569785939843477</v>
      </c>
      <c r="V3055" s="564">
        <f>IF((K3055-MAX(K$470:K3055))/MAX(K$470:K3055)&gt;V3054,V3054,(K3055-MAX(K$470:K3055))/MAX(K$470:K3055))</f>
        <v>-0.84885940676762139</v>
      </c>
      <c r="W3055" s="564">
        <f>IF((N3055-MAX(N$470:N3055))/MAX(N$470:N3055)&gt;W3054,W3054,(N3055-MAX(N$470:N3055))/MAX(N$470:N3055))</f>
        <v>-0.62788758315546067</v>
      </c>
      <c r="X3055" s="564">
        <f>IF((O3055-MAX(O$470:O3055))/MAX(O$470:O3055)&gt;X3054,X3054,(O3055-MAX(O$470:O3055))/MAX(O$470:O3055))</f>
        <v>-0.62788758315546067</v>
      </c>
    </row>
    <row r="3056" spans="1:24">
      <c r="A3056" s="799">
        <v>43458</v>
      </c>
      <c r="B3056">
        <v>4176.8095022999996</v>
      </c>
      <c r="C3056">
        <v>8599.3044109999992</v>
      </c>
      <c r="D3056">
        <v>0.88260099999999997</v>
      </c>
      <c r="E3056">
        <f>LN(D3056/参数实验室!$E$53)/参数实验室!$E$55</f>
        <v>-0.84029829650124221</v>
      </c>
      <c r="F3056">
        <f t="shared" si="418"/>
        <v>2.0588213099651087</v>
      </c>
      <c r="G3056">
        <f>LN(F3056/参数实验室!$E$58)/参数实验室!$E$59</f>
        <v>0.18848473563915175</v>
      </c>
      <c r="H3056" s="856">
        <f>INDEX(神经网络!$G$10:$BO$70,MATCH(ROUND(G3056*2,1)/2,神经网络!$E$10:$E$70,0),MATCH(ROUND(E3056*2,1)/2,神经网络!$G$8:$BO$8,0))</f>
        <v>-3.0194283106222054E-2</v>
      </c>
      <c r="I3056">
        <f t="shared" si="420"/>
        <v>669589.80731808662</v>
      </c>
      <c r="J3056">
        <f t="shared" si="421"/>
        <v>1666.6571574558054</v>
      </c>
      <c r="K3056">
        <f t="shared" si="422"/>
        <v>401.75617662137097</v>
      </c>
      <c r="L3056" s="4">
        <f>MIN(MAX(L3055*(1+MAX(MIN(((B3056-B3055)/B3055)/($K$7*卓尔金历!$N$40),0),-卓尔金历!$M$43))+MIN(MAX(((B3056-B3055)/B3055)/($K$7*卓尔金历!$N$40),0),卓尔金历!$M$43),0),1)</f>
        <v>1</v>
      </c>
      <c r="M3056" s="4">
        <f>MIN(MAX(M3055*(1+MAX(MIN(((B3056-B3055)/B3055)/($K$7*30),0),-卓尔金历!$M$43))+MIN(MAX(((B3056-B3055)/B3055)/($K$7*7),0),卓尔金历!$M$43),0),1)</f>
        <v>1</v>
      </c>
      <c r="N3056">
        <f t="shared" si="423"/>
        <v>256570.64807292522</v>
      </c>
      <c r="O3056">
        <f t="shared" si="424"/>
        <v>720413.23225761717</v>
      </c>
      <c r="P3056">
        <f t="shared" si="425"/>
        <v>2.3690464457660459E-2</v>
      </c>
      <c r="Q3056">
        <f t="shared" si="426"/>
        <v>4.3313225846580122E-2</v>
      </c>
      <c r="R3056">
        <f t="shared" si="427"/>
        <v>0.67422185487260222</v>
      </c>
      <c r="S3056">
        <f t="shared" si="419"/>
        <v>1174.1713022155602</v>
      </c>
      <c r="T3056" s="564">
        <f>IF((I3056-MAX(I$470:I3056))/MAX(I$470:I3056)&gt;T3055,T3055,(I3056-MAX(I$470:I3056))/MAX(I$470:I3056))</f>
        <v>-0.91338805338419748</v>
      </c>
      <c r="U3056" s="564">
        <f>IF((J3056-MAX(J$470:J3056))/MAX(J$470:J3056)&gt;U3055,U3055,(J3056-MAX(J$470:J3056))/MAX(J$470:J3056))</f>
        <v>-0.83569785939843477</v>
      </c>
      <c r="V3056" s="564">
        <f>IF((K3056-MAX(K$470:K3056))/MAX(K$470:K3056)&gt;V3055,V3055,(K3056-MAX(K$470:K3056))/MAX(K$470:K3056))</f>
        <v>-0.84885940676762139</v>
      </c>
      <c r="W3056" s="564">
        <f>IF((N3056-MAX(N$470:N3056))/MAX(N$470:N3056)&gt;W3055,W3055,(N3056-MAX(N$470:N3056))/MAX(N$470:N3056))</f>
        <v>-0.62788758315546067</v>
      </c>
      <c r="X3056" s="564">
        <f>IF((O3056-MAX(O$470:O3056))/MAX(O$470:O3056)&gt;X3055,X3055,(O3056-MAX(O$470:O3056))/MAX(O$470:O3056))</f>
        <v>-0.62788758315546067</v>
      </c>
    </row>
    <row r="3057" spans="1:24">
      <c r="A3057" s="799">
        <v>43459</v>
      </c>
      <c r="B3057">
        <v>3810.1325489400001</v>
      </c>
      <c r="C3057">
        <v>8396.2832529999996</v>
      </c>
      <c r="D3057">
        <v>0.82260900000000003</v>
      </c>
      <c r="E3057">
        <f>LN(D3057/参数实验室!$E$53)/参数实验室!$E$55</f>
        <v>-0.92334376196394607</v>
      </c>
      <c r="F3057">
        <f t="shared" si="418"/>
        <v>2.2036722201005556</v>
      </c>
      <c r="G3057">
        <f>LN(F3057/参数实验室!$E$58)/参数实验室!$E$59</f>
        <v>0.22417035999141185</v>
      </c>
      <c r="H3057" s="856">
        <f>INDEX(神经网络!$G$10:$BO$70,MATCH(ROUND(G3057*2,1)/2,神经网络!$E$10:$E$70,0),MATCH(ROUND(E3057*2,1)/2,神经网络!$G$8:$BO$8,0))</f>
        <v>-2.9417266768257934E-2</v>
      </c>
      <c r="I3057">
        <f t="shared" si="420"/>
        <v>671364.70165135816</v>
      </c>
      <c r="J3057">
        <f t="shared" si="421"/>
        <v>1520.34338172459</v>
      </c>
      <c r="K3057">
        <f t="shared" si="422"/>
        <v>441.5875451043176</v>
      </c>
      <c r="L3057" s="4">
        <f>MIN(MAX(L3056*(1+MAX(MIN(((B3057-B3056)/B3056)/($K$7*卓尔金历!$N$40),0),-卓尔金历!$M$43))+MIN(MAX(((B3057-B3056)/B3056)/($K$7*卓尔金历!$N$40),0),卓尔金历!$M$43),0),1)</f>
        <v>0</v>
      </c>
      <c r="M3057" s="4">
        <f>MIN(MAX(M3056*(1+MAX(MIN(((B3057-B3056)/B3056)/($K$7*30),0),-卓尔金历!$M$43))+MIN(MAX(((B3057-B3056)/B3056)/($K$7*7),0),卓尔金历!$M$43),0),1)</f>
        <v>0.32933594760468266</v>
      </c>
      <c r="N3057">
        <f t="shared" si="423"/>
        <v>257250.74472967154</v>
      </c>
      <c r="O3057">
        <f t="shared" si="424"/>
        <v>722322.84520209918</v>
      </c>
      <c r="P3057">
        <f t="shared" si="425"/>
        <v>-8.7788766319863376E-2</v>
      </c>
      <c r="Q3057">
        <f t="shared" si="426"/>
        <v>4.740318496920274E-2</v>
      </c>
      <c r="R3057">
        <f t="shared" si="427"/>
        <v>1.6621704826415725E-2</v>
      </c>
      <c r="S3057">
        <f t="shared" si="419"/>
        <v>1176.2697489817904</v>
      </c>
      <c r="T3057" s="564">
        <f>IF((I3057-MAX(I$470:I3057))/MAX(I$470:I3057)&gt;T3056,T3056,(I3057-MAX(I$470:I3057))/MAX(I$470:I3057))</f>
        <v>-0.91338805338419748</v>
      </c>
      <c r="U3057" s="564">
        <f>IF((J3057-MAX(J$470:J3057))/MAX(J$470:J3057)&gt;U3056,U3056,(J3057-MAX(J$470:J3057))/MAX(J$470:J3057))</f>
        <v>-0.83569785939843477</v>
      </c>
      <c r="V3057" s="564">
        <f>IF((K3057-MAX(K$470:K3057))/MAX(K$470:K3057)&gt;V3056,V3056,(K3057-MAX(K$470:K3057))/MAX(K$470:K3057))</f>
        <v>-0.84885940676762139</v>
      </c>
      <c r="W3057" s="564">
        <f>IF((N3057-MAX(N$470:N3057))/MAX(N$470:N3057)&gt;W3056,W3056,(N3057-MAX(N$470:N3057))/MAX(N$470:N3057))</f>
        <v>-0.62788758315546067</v>
      </c>
      <c r="X3057" s="564">
        <f>IF((O3057-MAX(O$470:O3057))/MAX(O$470:O3057)&gt;X3056,X3056,(O3057-MAX(O$470:O3057))/MAX(O$470:O3057))</f>
        <v>-0.62788758315546067</v>
      </c>
    </row>
    <row r="3058" spans="1:24">
      <c r="A3058" s="799">
        <v>43460</v>
      </c>
      <c r="B3058">
        <v>3798.3160174</v>
      </c>
      <c r="C3058">
        <v>8114.242776</v>
      </c>
      <c r="D3058">
        <v>0.83308599999999999</v>
      </c>
      <c r="E3058">
        <f>LN(D3058/参数实验室!$E$53)/参数实验室!$E$55</f>
        <v>-0.90841294473396139</v>
      </c>
      <c r="F3058">
        <f t="shared" si="418"/>
        <v>2.1362737431084819</v>
      </c>
      <c r="G3058">
        <f>LN(F3058/参数实验室!$E$58)/参数实验室!$E$59</f>
        <v>0.20786729647066116</v>
      </c>
      <c r="H3058" s="856">
        <f>INDEX(神经网络!$G$10:$BO$70,MATCH(ROUND(G3058*2,1)/2,神经网络!$E$10:$E$70,0),MATCH(ROUND(E3058*2,1)/2,神经网络!$G$8:$BO$8,0))</f>
        <v>-2.9417266768257934E-2</v>
      </c>
      <c r="I3058">
        <f t="shared" si="420"/>
        <v>671425.95230907667</v>
      </c>
      <c r="J3058">
        <f t="shared" si="421"/>
        <v>1515.6282739715075</v>
      </c>
      <c r="K3058">
        <f t="shared" si="422"/>
        <v>443.00173323482016</v>
      </c>
      <c r="L3058" s="4">
        <f>MIN(MAX(L3057*(1+MAX(MIN(((B3058-B3057)/B3057)/($K$7*卓尔金历!$N$40),0),-卓尔金历!$M$43))+MIN(MAX(((B3058-B3057)/B3057)/($K$7*卓尔金历!$N$40),0),卓尔金历!$M$43),0),1)</f>
        <v>0</v>
      </c>
      <c r="M3058" s="4">
        <f>MIN(MAX(M3057*(1+MAX(MIN(((B3058-B3057)/B3057)/($K$7*30),0),-卓尔金历!$M$43))+MIN(MAX(((B3058-B3057)/B3057)/($K$7*7),0),卓尔金历!$M$43),0),1)</f>
        <v>0.32153306354065964</v>
      </c>
      <c r="N3058">
        <f t="shared" si="423"/>
        <v>257250.74472967154</v>
      </c>
      <c r="O3058">
        <f t="shared" si="424"/>
        <v>722344.54835054767</v>
      </c>
      <c r="P3058">
        <f t="shared" si="425"/>
        <v>-3.1013439527943893E-3</v>
      </c>
      <c r="Q3058">
        <f t="shared" si="426"/>
        <v>4.6790013308741829E-2</v>
      </c>
      <c r="R3058">
        <f t="shared" si="427"/>
        <v>1</v>
      </c>
      <c r="S3058">
        <f t="shared" si="419"/>
        <v>1176.2715327349147</v>
      </c>
      <c r="T3058" s="564">
        <f>IF((I3058-MAX(I$470:I3058))/MAX(I$470:I3058)&gt;T3057,T3057,(I3058-MAX(I$470:I3058))/MAX(I$470:I3058))</f>
        <v>-0.91338805338419748</v>
      </c>
      <c r="U3058" s="564">
        <f>IF((J3058-MAX(J$470:J3058))/MAX(J$470:J3058)&gt;U3057,U3057,(J3058-MAX(J$470:J3058))/MAX(J$470:J3058))</f>
        <v>-0.83569785939843477</v>
      </c>
      <c r="V3058" s="564">
        <f>IF((K3058-MAX(K$470:K3058))/MAX(K$470:K3058)&gt;V3057,V3057,(K3058-MAX(K$470:K3058))/MAX(K$470:K3058))</f>
        <v>-0.84885940676762139</v>
      </c>
      <c r="W3058" s="564">
        <f>IF((N3058-MAX(N$470:N3058))/MAX(N$470:N3058)&gt;W3057,W3057,(N3058-MAX(N$470:N3058))/MAX(N$470:N3058))</f>
        <v>-0.62788758315546067</v>
      </c>
      <c r="X3058" s="564">
        <f>IF((O3058-MAX(O$470:O3058))/MAX(O$470:O3058)&gt;X3057,X3057,(O3058-MAX(O$470:O3058))/MAX(O$470:O3058))</f>
        <v>-0.62788758315546067</v>
      </c>
    </row>
    <row r="3059" spans="1:24">
      <c r="A3059" s="799">
        <v>43461</v>
      </c>
      <c r="B3059">
        <v>3793.0669061399999</v>
      </c>
      <c r="C3059">
        <v>7862.4517169999999</v>
      </c>
      <c r="D3059">
        <v>0.78552599999999995</v>
      </c>
      <c r="E3059">
        <f>LN(D3059/参数实验室!$E$53)/参数实验室!$E$55</f>
        <v>-0.97776275843429428</v>
      </c>
      <c r="F3059">
        <f t="shared" si="418"/>
        <v>2.072848149415111</v>
      </c>
      <c r="G3059">
        <f>LN(F3059/参数实验室!$E$58)/参数实验室!$E$59</f>
        <v>0.1920484629672343</v>
      </c>
      <c r="H3059" s="856">
        <f>INDEX(神经网络!$G$10:$BO$70,MATCH(ROUND(G3059*2,1)/2,神经网络!$E$10:$E$70,0),MATCH(ROUND(E3059*2,1)/2,神经网络!$G$8:$BO$8,0))</f>
        <v>-3.50288925007241E-2</v>
      </c>
      <c r="I3059">
        <f t="shared" si="420"/>
        <v>671453.2480649912</v>
      </c>
      <c r="J3059">
        <f t="shared" si="421"/>
        <v>1513.5337401300806</v>
      </c>
      <c r="K3059">
        <f t="shared" si="422"/>
        <v>443.6328244702911</v>
      </c>
      <c r="L3059" s="4">
        <f>MIN(MAX(L3058*(1+MAX(MIN(((B3059-B3058)/B3058)/($K$7*卓尔金历!$N$40),0),-卓尔金历!$M$43))+MIN(MAX(((B3059-B3058)/B3058)/($K$7*卓尔金历!$N$40),0),卓尔金历!$M$43),0),1)</f>
        <v>0</v>
      </c>
      <c r="M3059" s="4">
        <f>MIN(MAX(M3058*(1+MAX(MIN(((B3059-B3058)/B3058)/($K$7*30),0),-卓尔金历!$M$43))+MIN(MAX(((B3059-B3058)/B3058)/($K$7*7),0),卓尔金历!$M$43),0),1)</f>
        <v>0.31813848075551843</v>
      </c>
      <c r="N3059">
        <f t="shared" si="423"/>
        <v>257250.74472967154</v>
      </c>
      <c r="O3059">
        <f t="shared" si="424"/>
        <v>722353.99041672598</v>
      </c>
      <c r="P3059">
        <f t="shared" si="425"/>
        <v>-1.3819574874639191E-3</v>
      </c>
      <c r="Q3059">
        <f t="shared" si="426"/>
        <v>4.6791271746881156E-2</v>
      </c>
      <c r="R3059">
        <f t="shared" si="427"/>
        <v>1</v>
      </c>
      <c r="S3059">
        <f t="shared" si="419"/>
        <v>1176.3193521862424</v>
      </c>
      <c r="T3059" s="564">
        <f>IF((I3059-MAX(I$470:I3059))/MAX(I$470:I3059)&gt;T3058,T3058,(I3059-MAX(I$470:I3059))/MAX(I$470:I3059))</f>
        <v>-0.91338805338419748</v>
      </c>
      <c r="U3059" s="564">
        <f>IF((J3059-MAX(J$470:J3059))/MAX(J$470:J3059)&gt;U3058,U3058,(J3059-MAX(J$470:J3059))/MAX(J$470:J3059))</f>
        <v>-0.83569785939843477</v>
      </c>
      <c r="V3059" s="564">
        <f>IF((K3059-MAX(K$470:K3059))/MAX(K$470:K3059)&gt;V3058,V3058,(K3059-MAX(K$470:K3059))/MAX(K$470:K3059))</f>
        <v>-0.84885940676762139</v>
      </c>
      <c r="W3059" s="564">
        <f>IF((N3059-MAX(N$470:N3059))/MAX(N$470:N3059)&gt;W3058,W3058,(N3059-MAX(N$470:N3059))/MAX(N$470:N3059))</f>
        <v>-0.62788758315546067</v>
      </c>
      <c r="X3059" s="564">
        <f>IF((O3059-MAX(O$470:O3059))/MAX(O$470:O3059)&gt;X3058,X3058,(O3059-MAX(O$470:O3059))/MAX(O$470:O3059))</f>
        <v>-0.62788758315546067</v>
      </c>
    </row>
    <row r="3060" spans="1:24">
      <c r="A3060" s="799">
        <v>43462</v>
      </c>
      <c r="B3060">
        <v>3673.8816382099999</v>
      </c>
      <c r="C3060">
        <v>7587.6010679999999</v>
      </c>
      <c r="D3060">
        <v>0.85252300000000003</v>
      </c>
      <c r="E3060">
        <f>LN(D3060/参数实验室!$E$53)/参数实验室!$E$55</f>
        <v>-0.88120392978955397</v>
      </c>
      <c r="F3060">
        <f t="shared" si="418"/>
        <v>2.0652818504236992</v>
      </c>
      <c r="G3060">
        <f>LN(F3060/参数实验室!$E$58)/参数实验室!$E$59</f>
        <v>0.19012913851757143</v>
      </c>
      <c r="H3060" s="856">
        <f>INDEX(神经网络!$G$10:$BO$70,MATCH(ROUND(G3060*2,1)/2,神经网络!$E$10:$E$70,0),MATCH(ROUND(E3060*2,1)/2,神经网络!$G$8:$BO$8,0))</f>
        <v>-2.9417266768257934E-2</v>
      </c>
      <c r="I3060">
        <f t="shared" si="420"/>
        <v>672192.29881040857</v>
      </c>
      <c r="J3060">
        <f t="shared" si="421"/>
        <v>1465.9756746378816</v>
      </c>
      <c r="K3060">
        <f t="shared" si="422"/>
        <v>458.52895818100825</v>
      </c>
      <c r="L3060" s="4">
        <f>MIN(MAX(L3059*(1+MAX(MIN(((B3060-B3059)/B3059)/($K$7*卓尔金历!$N$40),0),-卓尔金历!$M$43))+MIN(MAX(((B3060-B3059)/B3059)/($K$7*卓尔金历!$N$40),0),卓尔金历!$M$43),0),1)</f>
        <v>0</v>
      </c>
      <c r="M3060" s="4">
        <f>MIN(MAX(M3059*(1+MAX(MIN(((B3060-B3059)/B3059)/($K$7*30),0),-卓尔金历!$M$43))+MIN(MAX(((B3060-B3059)/B3059)/($K$7*7),0),卓尔金历!$M$43),0),1)</f>
        <v>0.24176996335994336</v>
      </c>
      <c r="N3060">
        <f t="shared" si="423"/>
        <v>257250.74472967154</v>
      </c>
      <c r="O3060">
        <f t="shared" si="424"/>
        <v>722606.93463647633</v>
      </c>
      <c r="P3060">
        <f t="shared" si="425"/>
        <v>-3.142187334925986E-2</v>
      </c>
      <c r="Q3060">
        <f t="shared" si="426"/>
        <v>3.9364950132747809E-2</v>
      </c>
      <c r="R3060">
        <f t="shared" si="427"/>
        <v>0.28270827036768936</v>
      </c>
      <c r="S3060">
        <f t="shared" si="419"/>
        <v>1177.6140956350046</v>
      </c>
      <c r="T3060" s="564">
        <f>IF((I3060-MAX(I$470:I3060))/MAX(I$470:I3060)&gt;T3059,T3059,(I3060-MAX(I$470:I3060))/MAX(I$470:I3060))</f>
        <v>-0.91338805338419748</v>
      </c>
      <c r="U3060" s="564">
        <f>IF((J3060-MAX(J$470:J3060))/MAX(J$470:J3060)&gt;U3059,U3059,(J3060-MAX(J$470:J3060))/MAX(J$470:J3060))</f>
        <v>-0.83569785939843477</v>
      </c>
      <c r="V3060" s="564">
        <f>IF((K3060-MAX(K$470:K3060))/MAX(K$470:K3060)&gt;V3059,V3059,(K3060-MAX(K$470:K3060))/MAX(K$470:K3060))</f>
        <v>-0.84885940676762139</v>
      </c>
      <c r="W3060" s="564">
        <f>IF((N3060-MAX(N$470:N3060))/MAX(N$470:N3060)&gt;W3059,W3059,(N3060-MAX(N$470:N3060))/MAX(N$470:N3060))</f>
        <v>-0.62788758315546067</v>
      </c>
      <c r="X3060" s="564">
        <f>IF((O3060-MAX(O$470:O3060))/MAX(O$470:O3060)&gt;X3059,X3059,(O3060-MAX(O$470:O3060))/MAX(O$470:O3060))</f>
        <v>-0.62788758315546067</v>
      </c>
    </row>
    <row r="3061" spans="1:24">
      <c r="A3061" s="799">
        <v>43463</v>
      </c>
      <c r="B3061">
        <v>3901.35255478</v>
      </c>
      <c r="C3061">
        <v>7410.1469719999996</v>
      </c>
      <c r="D3061">
        <v>0.84031299999999998</v>
      </c>
      <c r="E3061">
        <f>LN(D3061/参数实验室!$E$53)/参数实验室!$E$55</f>
        <v>-0.89822275135721463</v>
      </c>
      <c r="F3061">
        <f t="shared" si="418"/>
        <v>1.8993789635650764</v>
      </c>
      <c r="G3061">
        <f>LN(F3061/参数实验室!$E$58)/参数实验室!$E$59</f>
        <v>0.14617800006331549</v>
      </c>
      <c r="H3061" s="856">
        <f>INDEX(神经网络!$G$10:$BO$70,MATCH(ROUND(G3061*2,1)/2,神经网络!$E$10:$E$70,0),MATCH(ROUND(E3061*2,1)/2,神经网络!$G$8:$BO$8,0))</f>
        <v>-4.5496982226918441E-2</v>
      </c>
      <c r="I3061">
        <f t="shared" si="420"/>
        <v>670967.97423085908</v>
      </c>
      <c r="J3061">
        <f t="shared" si="421"/>
        <v>1556.7425700410977</v>
      </c>
      <c r="K3061">
        <f t="shared" si="422"/>
        <v>431.00766121732357</v>
      </c>
      <c r="L3061" s="4">
        <f>MIN(MAX(L3060*(1+MAX(MIN(((B3061-B3060)/B3060)/($K$7*卓尔金历!$N$40),0),-卓尔金历!$M$43))+MIN(MAX(((B3061-B3060)/B3060)/($K$7*卓尔金历!$N$40),0),卓尔金历!$M$43),0),1)</f>
        <v>0.9460123269986348</v>
      </c>
      <c r="M3061" s="4">
        <f>MIN(MAX(M3060*(1+MAX(MIN(((B3061-B3060)/B3060)/($K$7*30),0),-卓尔金历!$M$43))+MIN(MAX(((B3061-B3060)/B3060)/($K$7*7),0),卓尔金历!$M$43),0),1)</f>
        <v>1</v>
      </c>
      <c r="N3061">
        <f t="shared" si="423"/>
        <v>257250.74472967154</v>
      </c>
      <c r="O3061">
        <f t="shared" si="424"/>
        <v>722288.72926560359</v>
      </c>
      <c r="P3061">
        <f t="shared" si="425"/>
        <v>6.191568998962884E-2</v>
      </c>
      <c r="Q3061">
        <f t="shared" si="426"/>
        <v>4.1235606349506036E-2</v>
      </c>
      <c r="R3061">
        <f t="shared" si="427"/>
        <v>2.3364219574899897E-2</v>
      </c>
      <c r="S3061">
        <f t="shared" si="419"/>
        <v>1177.0077160871085</v>
      </c>
      <c r="T3061" s="564">
        <f>IF((I3061-MAX(I$470:I3061))/MAX(I$470:I3061)&gt;T3060,T3060,(I3061-MAX(I$470:I3061))/MAX(I$470:I3061))</f>
        <v>-0.91338805338419748</v>
      </c>
      <c r="U3061" s="564">
        <f>IF((J3061-MAX(J$470:J3061))/MAX(J$470:J3061)&gt;U3060,U3060,(J3061-MAX(J$470:J3061))/MAX(J$470:J3061))</f>
        <v>-0.83569785939843477</v>
      </c>
      <c r="V3061" s="564">
        <f>IF((K3061-MAX(K$470:K3061))/MAX(K$470:K3061)&gt;V3060,V3060,(K3061-MAX(K$470:K3061))/MAX(K$470:K3061))</f>
        <v>-0.84885940676762139</v>
      </c>
      <c r="W3061" s="564">
        <f>IF((N3061-MAX(N$470:N3061))/MAX(N$470:N3061)&gt;W3060,W3060,(N3061-MAX(N$470:N3061))/MAX(N$470:N3061))</f>
        <v>-0.62788758315546067</v>
      </c>
      <c r="X3061" s="564">
        <f>IF((O3061-MAX(O$470:O3061))/MAX(O$470:O3061)&gt;X3060,X3060,(O3061-MAX(O$470:O3061))/MAX(O$470:O3061))</f>
        <v>-0.62788758315546067</v>
      </c>
    </row>
    <row r="3062" spans="1:24">
      <c r="A3062" s="799">
        <v>43464</v>
      </c>
      <c r="B3062">
        <v>3892.3904047000001</v>
      </c>
      <c r="C3062">
        <v>7024.8538319999998</v>
      </c>
      <c r="D3062">
        <v>0.841503</v>
      </c>
      <c r="E3062">
        <f>LN(D3062/参数实验室!$E$53)/参数实验室!$E$55</f>
        <v>-0.89655323864641034</v>
      </c>
      <c r="F3062">
        <f t="shared" si="418"/>
        <v>1.8047659925164752</v>
      </c>
      <c r="G3062">
        <f>LN(F3062/参数实验室!$E$58)/参数实验室!$E$59</f>
        <v>0.1193600410223678</v>
      </c>
      <c r="H3062" s="856">
        <f>INDEX(神经网络!$G$10:$BO$70,MATCH(ROUND(G3062*2,1)/2,神经网络!$E$10:$E$70,0),MATCH(ROUND(E3062*2,1)/2,神经网络!$G$8:$BO$8,0))</f>
        <v>-6.5486849937294242E-2</v>
      </c>
      <c r="I3062">
        <f t="shared" si="420"/>
        <v>671038.10060702101</v>
      </c>
      <c r="J3062">
        <f t="shared" si="421"/>
        <v>1553.1664357767027</v>
      </c>
      <c r="K3062">
        <f t="shared" si="422"/>
        <v>432.0451982156377</v>
      </c>
      <c r="L3062" s="4">
        <f>MIN(MAX(L3061*(1+MAX(MIN(((B3062-B3061)/B3061)/($K$7*卓尔金历!$N$40),0),-卓尔金历!$M$43))+MIN(MAX(((B3062-B3061)/B3061)/($K$7*卓尔金历!$N$40),0),卓尔金历!$M$43),0),1)</f>
        <v>0.9128083665287966</v>
      </c>
      <c r="M3062" s="4">
        <f>MIN(MAX(M3061*(1+MAX(MIN(((B3062-B3061)/B3061)/($K$7*30),0),-卓尔金历!$M$43))+MIN(MAX(((B3062-B3061)/B3061)/($K$7*7),0),卓尔金历!$M$43),0),1)</f>
        <v>0.98245056669864828</v>
      </c>
      <c r="N3062">
        <f t="shared" si="423"/>
        <v>257276.17980579066</v>
      </c>
      <c r="O3062">
        <f t="shared" si="424"/>
        <v>722364.21944258863</v>
      </c>
      <c r="P3062">
        <f t="shared" si="425"/>
        <v>-2.2971905138435464E-3</v>
      </c>
      <c r="Q3062">
        <f t="shared" si="426"/>
        <v>4.1143693440739412E-2</v>
      </c>
      <c r="R3062">
        <f t="shared" si="427"/>
        <v>1</v>
      </c>
      <c r="S3062">
        <f t="shared" si="419"/>
        <v>1177.0105902421683</v>
      </c>
      <c r="T3062" s="564">
        <f>IF((I3062-MAX(I$470:I3062))/MAX(I$470:I3062)&gt;T3061,T3061,(I3062-MAX(I$470:I3062))/MAX(I$470:I3062))</f>
        <v>-0.91338805338419748</v>
      </c>
      <c r="U3062" s="564">
        <f>IF((J3062-MAX(J$470:J3062))/MAX(J$470:J3062)&gt;U3061,U3061,(J3062-MAX(J$470:J3062))/MAX(J$470:J3062))</f>
        <v>-0.83569785939843477</v>
      </c>
      <c r="V3062" s="564">
        <f>IF((K3062-MAX(K$470:K3062))/MAX(K$470:K3062)&gt;V3061,V3061,(K3062-MAX(K$470:K3062))/MAX(K$470:K3062))</f>
        <v>-0.84885940676762139</v>
      </c>
      <c r="W3062" s="564">
        <f>IF((N3062-MAX(N$470:N3062))/MAX(N$470:N3062)&gt;W3061,W3061,(N3062-MAX(N$470:N3062))/MAX(N$470:N3062))</f>
        <v>-0.62788758315546067</v>
      </c>
      <c r="X3062" s="564">
        <f>IF((O3062-MAX(O$470:O3062))/MAX(O$470:O3062)&gt;X3061,X3061,(O3062-MAX(O$470:O3062))/MAX(O$470:O3062))</f>
        <v>-0.62788758315546067</v>
      </c>
    </row>
    <row r="3063" spans="1:24">
      <c r="A3063" s="799">
        <v>43465</v>
      </c>
      <c r="B3063">
        <v>3829.34078559</v>
      </c>
      <c r="C3063">
        <v>6874.7156859999996</v>
      </c>
      <c r="D3063">
        <v>0.81213599999999997</v>
      </c>
      <c r="E3063">
        <f>LN(D3063/参数实验室!$E$53)/参数实验室!$E$55</f>
        <v>-0.93846015597749355</v>
      </c>
      <c r="F3063">
        <f t="shared" si="418"/>
        <v>1.7952739311867716</v>
      </c>
      <c r="G3063">
        <f>LN(F3063/参数实验室!$E$58)/参数实验室!$E$59</f>
        <v>0.11659231709905098</v>
      </c>
      <c r="H3063" s="856">
        <f>INDEX(神经网络!$G$10:$BO$70,MATCH(ROUND(G3063*2,1)/2,神经网络!$E$10:$E$70,0),MATCH(ROUND(E3063*2,1)/2,神经网络!$G$8:$BO$8,0))</f>
        <v>-1.6113682648580298E-2</v>
      </c>
      <c r="I3063">
        <f t="shared" si="420"/>
        <v>671749.91596483253</v>
      </c>
      <c r="J3063">
        <f t="shared" si="421"/>
        <v>1528.0079747775405</v>
      </c>
      <c r="K3063">
        <f t="shared" si="422"/>
        <v>439.62461391121417</v>
      </c>
      <c r="L3063" s="4">
        <f>MIN(MAX(L3062*(1+MAX(MIN(((B3063-B3062)/B3062)/($K$7*卓尔金历!$N$40),0),-卓尔金历!$M$43))+MIN(MAX(((B3063-B3062)/B3062)/($K$7*卓尔金历!$N$40),0),卓尔金历!$M$43),0),1)</f>
        <v>0.68689508475528049</v>
      </c>
      <c r="M3063" s="4">
        <f>MIN(MAX(M3062*(1+MAX(MIN(((B3063-B3062)/B3062)/($K$7*30),0),-卓尔金历!$M$43))+MIN(MAX(((B3063-B3062)/B3062)/($K$7*7),0),卓尔金历!$M$43),0),1)</f>
        <v>0.86087596252013776</v>
      </c>
      <c r="N3063">
        <f t="shared" si="423"/>
        <v>257525.29451114705</v>
      </c>
      <c r="O3063">
        <f t="shared" si="424"/>
        <v>723117.03243893862</v>
      </c>
      <c r="P3063">
        <f t="shared" si="425"/>
        <v>-1.6198174528913818E-2</v>
      </c>
      <c r="Q3063">
        <f t="shared" si="426"/>
        <v>4.1371829714317812E-2</v>
      </c>
      <c r="R3063">
        <f t="shared" si="427"/>
        <v>1</v>
      </c>
      <c r="S3063">
        <f t="shared" si="419"/>
        <v>1178.2591247347452</v>
      </c>
      <c r="T3063" s="564">
        <f>IF((I3063-MAX(I$470:I3063))/MAX(I$470:I3063)&gt;T3062,T3062,(I3063-MAX(I$470:I3063))/MAX(I$470:I3063))</f>
        <v>-0.91338805338419748</v>
      </c>
      <c r="U3063" s="564">
        <f>IF((J3063-MAX(J$470:J3063))/MAX(J$470:J3063)&gt;U3062,U3062,(J3063-MAX(J$470:J3063))/MAX(J$470:J3063))</f>
        <v>-0.83569785939843477</v>
      </c>
      <c r="V3063" s="564">
        <f>IF((K3063-MAX(K$470:K3063))/MAX(K$470:K3063)&gt;V3062,V3062,(K3063-MAX(K$470:K3063))/MAX(K$470:K3063))</f>
        <v>-0.84885940676762139</v>
      </c>
      <c r="W3063" s="564">
        <f>IF((N3063-MAX(N$470:N3063))/MAX(N$470:N3063)&gt;W3062,W3062,(N3063-MAX(N$470:N3063))/MAX(N$470:N3063))</f>
        <v>-0.62788758315546067</v>
      </c>
      <c r="X3063" s="564">
        <f>IF((O3063-MAX(O$470:O3063))/MAX(O$470:O3063)&gt;X3062,X3062,(O3063-MAX(O$470:O3063))/MAX(O$470:O3063))</f>
        <v>-0.62788758315546067</v>
      </c>
    </row>
    <row r="3064" spans="1:24">
      <c r="A3064" s="799">
        <v>43466</v>
      </c>
      <c r="B3064">
        <v>3768.8432918799999</v>
      </c>
      <c r="C3064">
        <v>6709.945815</v>
      </c>
      <c r="D3064">
        <v>0.83910399999999996</v>
      </c>
      <c r="E3064">
        <f>LN(D3064/参数实验室!$E$53)/参数实验室!$E$55</f>
        <v>-0.89992134309274852</v>
      </c>
      <c r="F3064">
        <f t="shared" si="418"/>
        <v>1.7803727285389199</v>
      </c>
      <c r="G3064">
        <f>LN(F3064/参数实验室!$E$58)/参数实验室!$E$59</f>
        <v>0.11221772280734688</v>
      </c>
      <c r="H3064" s="856">
        <f>INDEX(神经网络!$G$10:$BO$70,MATCH(ROUND(G3064*2,1)/2,神经网络!$E$10:$E$70,0),MATCH(ROUND(E3064*2,1)/2,神经网络!$G$8:$BO$8,0))</f>
        <v>-6.5486849937294242E-2</v>
      </c>
      <c r="I3064">
        <f t="shared" si="420"/>
        <v>671920.92371474428</v>
      </c>
      <c r="J3064">
        <f t="shared" si="421"/>
        <v>1503.8678791269281</v>
      </c>
      <c r="K3064">
        <f t="shared" si="422"/>
        <v>446.79518263587664</v>
      </c>
      <c r="L3064" s="4">
        <f>MIN(MAX(L3063*(1+MAX(MIN(((B3064-B3063)/B3063)/($K$7*卓尔金历!$N$40),0),-卓尔金历!$M$43))+MIN(MAX(((B3064-B3063)/B3063)/($K$7*卓尔金历!$N$40),0),卓尔金历!$M$43),0),1)</f>
        <v>0.52108923342811198</v>
      </c>
      <c r="M3064" s="4">
        <f>MIN(MAX(M3063*(1+MAX(MIN(((B3064-B3063)/B3063)/($K$7*30),0),-卓尔金历!$M$43))+MIN(MAX(((B3064-B3063)/B3063)/($K$7*7),0),卓尔金历!$M$43),0),1)</f>
        <v>0.75697489012885677</v>
      </c>
      <c r="N3064">
        <f t="shared" si="423"/>
        <v>257570.32622469711</v>
      </c>
      <c r="O3064">
        <f t="shared" si="424"/>
        <v>723275.50619247998</v>
      </c>
      <c r="P3064">
        <f t="shared" si="425"/>
        <v>-1.5798409464536339E-2</v>
      </c>
      <c r="Q3064">
        <f t="shared" si="426"/>
        <v>4.1289886696993156E-2</v>
      </c>
      <c r="R3064">
        <f t="shared" si="427"/>
        <v>1</v>
      </c>
      <c r="S3064">
        <f t="shared" si="419"/>
        <v>1178.5590748157874</v>
      </c>
      <c r="T3064" s="564">
        <f>IF((I3064-MAX(I$470:I3064))/MAX(I$470:I3064)&gt;T3063,T3063,(I3064-MAX(I$470:I3064))/MAX(I$470:I3064))</f>
        <v>-0.91338805338419748</v>
      </c>
      <c r="U3064" s="564">
        <f>IF((J3064-MAX(J$470:J3064))/MAX(J$470:J3064)&gt;U3063,U3063,(J3064-MAX(J$470:J3064))/MAX(J$470:J3064))</f>
        <v>-0.83569785939843477</v>
      </c>
      <c r="V3064" s="564">
        <f>IF((K3064-MAX(K$470:K3064))/MAX(K$470:K3064)&gt;V3063,V3063,(K3064-MAX(K$470:K3064))/MAX(K$470:K3064))</f>
        <v>-0.84885940676762139</v>
      </c>
      <c r="W3064" s="564">
        <f>IF((N3064-MAX(N$470:N3064))/MAX(N$470:N3064)&gt;W3063,W3063,(N3064-MAX(N$470:N3064))/MAX(N$470:N3064))</f>
        <v>-0.62788758315546067</v>
      </c>
      <c r="X3064" s="564">
        <f>IF((O3064-MAX(O$470:O3064))/MAX(O$470:O3064)&gt;X3063,X3063,(O3064-MAX(O$470:O3064))/MAX(O$470:O3064))</f>
        <v>-0.62788758315546067</v>
      </c>
    </row>
    <row r="3065" spans="1:24">
      <c r="A3065" s="799">
        <v>43467</v>
      </c>
      <c r="B3065">
        <v>3849.0572354699998</v>
      </c>
      <c r="C3065">
        <v>6541.3776859999998</v>
      </c>
      <c r="D3065">
        <v>0.85907299999999998</v>
      </c>
      <c r="E3065">
        <f>LN(D3065/参数实验室!$E$53)/参数实验室!$E$55</f>
        <v>-0.87217443746770562</v>
      </c>
      <c r="F3065">
        <f t="shared" si="418"/>
        <v>1.6994752963711766</v>
      </c>
      <c r="G3065">
        <f>LN(F3065/参数实验室!$E$58)/参数实验室!$E$59</f>
        <v>8.7810337507762473E-2</v>
      </c>
      <c r="H3065" s="856">
        <f>INDEX(神经网络!$G$10:$BO$70,MATCH(ROUND(G3065*2,1)/2,神经网络!$E$10:$E$70,0),MATCH(ROUND(E3065*2,1)/2,神经网络!$G$8:$BO$8,0))</f>
        <v>-0.1058115802451777</v>
      </c>
      <c r="I3065">
        <f t="shared" si="420"/>
        <v>670984.41018915898</v>
      </c>
      <c r="J3065">
        <f t="shared" si="421"/>
        <v>1535.8753583137122</v>
      </c>
      <c r="K3065">
        <f t="shared" si="422"/>
        <v>436.87425972238702</v>
      </c>
      <c r="L3065" s="4">
        <f>MIN(MAX(L3064*(1+MAX(MIN(((B3065-B3064)/B3064)/($K$7*卓尔金历!$N$40),0),-卓尔金历!$M$43))+MIN(MAX(((B3065-B3064)/B3064)/($K$7*卓尔金历!$N$40),0),卓尔金历!$M$43),0),1)</f>
        <v>0.84627974615981971</v>
      </c>
      <c r="M3065" s="4">
        <f>MIN(MAX(M3064*(1+MAX(MIN(((B3065-B3064)/B3064)/($K$7*30),0),-卓尔金历!$M$43))+MIN(MAX(((B3065-B3064)/B3064)/($K$7*7),0),卓尔金历!$M$43),0),1)</f>
        <v>1</v>
      </c>
      <c r="N3065">
        <f t="shared" si="423"/>
        <v>257383.25636660689</v>
      </c>
      <c r="O3065">
        <f t="shared" si="424"/>
        <v>722512.40677807841</v>
      </c>
      <c r="P3065">
        <f t="shared" si="425"/>
        <v>2.1283438280074257E-2</v>
      </c>
      <c r="Q3065">
        <f t="shared" si="426"/>
        <v>4.1341527412764735E-2</v>
      </c>
      <c r="R3065">
        <f t="shared" si="427"/>
        <v>0.73264209931665336</v>
      </c>
      <c r="S3065">
        <f t="shared" si="419"/>
        <v>1176.9164164681888</v>
      </c>
      <c r="T3065" s="564">
        <f>IF((I3065-MAX(I$470:I3065))/MAX(I$470:I3065)&gt;T3064,T3064,(I3065-MAX(I$470:I3065))/MAX(I$470:I3065))</f>
        <v>-0.91338805338419748</v>
      </c>
      <c r="U3065" s="564">
        <f>IF((J3065-MAX(J$470:J3065))/MAX(J$470:J3065)&gt;U3064,U3064,(J3065-MAX(J$470:J3065))/MAX(J$470:J3065))</f>
        <v>-0.83569785939843477</v>
      </c>
      <c r="V3065" s="564">
        <f>IF((K3065-MAX(K$470:K3065))/MAX(K$470:K3065)&gt;V3064,V3064,(K3065-MAX(K$470:K3065))/MAX(K$470:K3065))</f>
        <v>-0.84885940676762139</v>
      </c>
      <c r="W3065" s="564">
        <f>IF((N3065-MAX(N$470:N3065))/MAX(N$470:N3065)&gt;W3064,W3064,(N3065-MAX(N$470:N3065))/MAX(N$470:N3065))</f>
        <v>-0.62788758315546067</v>
      </c>
      <c r="X3065" s="564">
        <f>IF((O3065-MAX(O$470:O3065))/MAX(O$470:O3065)&gt;X3064,X3064,(O3065-MAX(O$470:O3065))/MAX(O$470:O3065))</f>
        <v>-0.62788758315546067</v>
      </c>
    </row>
    <row r="3066" spans="1:24">
      <c r="A3066" s="799">
        <v>43468</v>
      </c>
      <c r="B3066">
        <v>3884.22327124</v>
      </c>
      <c r="C3066">
        <v>6467.092936</v>
      </c>
      <c r="D3066">
        <v>0.83487100000000003</v>
      </c>
      <c r="E3066">
        <f>LN(D3066/参数实验室!$E$53)/参数实验室!$E$55</f>
        <v>-0.90588786723566272</v>
      </c>
      <c r="F3066">
        <f t="shared" si="418"/>
        <v>1.6649642629671606</v>
      </c>
      <c r="G3066">
        <f>LN(F3066/参数实验室!$E$58)/参数实验室!$E$59</f>
        <v>7.704248722277586E-2</v>
      </c>
      <c r="H3066" s="856">
        <f>INDEX(神经网络!$G$10:$BO$70,MATCH(ROUND(G3066*2,1)/2,神经网络!$E$10:$E$70,0),MATCH(ROUND(E3066*2,1)/2,神经网络!$G$8:$BO$8,0))</f>
        <v>-6.5486849937294242E-2</v>
      </c>
      <c r="I3066">
        <f t="shared" si="420"/>
        <v>670335.75383816892</v>
      </c>
      <c r="J3066">
        <f t="shared" si="421"/>
        <v>1549.9075341127625</v>
      </c>
      <c r="K3066">
        <f t="shared" si="422"/>
        <v>432.50048088959034</v>
      </c>
      <c r="L3066" s="4">
        <f>MIN(MAX(L3065*(1+MAX(MIN(((B3066-B3065)/B3065)/($K$7*卓尔金历!$N$40),0),-卓尔金历!$M$43))+MIN(MAX(((B3066-B3065)/B3065)/($K$7*卓尔金历!$N$40),0),卓尔金历!$M$43),0),1)</f>
        <v>0.98587322252961385</v>
      </c>
      <c r="M3066" s="4">
        <f>MIN(MAX(M3065*(1+MAX(MIN(((B3066-B3065)/B3065)/($K$7*30),0),-卓尔金历!$M$43))+MIN(MAX(((B3066-B3065)/B3065)/($K$7*7),0),卓尔金历!$M$43),0),1)</f>
        <v>1</v>
      </c>
      <c r="N3066">
        <f t="shared" si="423"/>
        <v>257172.6863733886</v>
      </c>
      <c r="O3066">
        <f t="shared" si="424"/>
        <v>721813.93710544682</v>
      </c>
      <c r="P3066">
        <f t="shared" si="425"/>
        <v>9.1362724996491736E-3</v>
      </c>
      <c r="Q3066">
        <f t="shared" si="426"/>
        <v>4.1264365913116753E-2</v>
      </c>
      <c r="R3066">
        <f t="shared" si="427"/>
        <v>1</v>
      </c>
      <c r="S3066">
        <f t="shared" si="419"/>
        <v>1176.0828509592725</v>
      </c>
      <c r="T3066" s="564">
        <f>IF((I3066-MAX(I$470:I3066))/MAX(I$470:I3066)&gt;T3065,T3065,(I3066-MAX(I$470:I3066))/MAX(I$470:I3066))</f>
        <v>-0.91338805338419748</v>
      </c>
      <c r="U3066" s="564">
        <f>IF((J3066-MAX(J$470:J3066))/MAX(J$470:J3066)&gt;U3065,U3065,(J3066-MAX(J$470:J3066))/MAX(J$470:J3066))</f>
        <v>-0.83569785939843477</v>
      </c>
      <c r="V3066" s="564">
        <f>IF((K3066-MAX(K$470:K3066))/MAX(K$470:K3066)&gt;V3065,V3065,(K3066-MAX(K$470:K3066))/MAX(K$470:K3066))</f>
        <v>-0.84885940676762139</v>
      </c>
      <c r="W3066" s="564">
        <f>IF((N3066-MAX(N$470:N3066))/MAX(N$470:N3066)&gt;W3065,W3065,(N3066-MAX(N$470:N3066))/MAX(N$470:N3066))</f>
        <v>-0.62788758315546067</v>
      </c>
      <c r="X3066" s="564">
        <f>IF((O3066-MAX(O$470:O3066))/MAX(O$470:O3066)&gt;X3065,X3065,(O3066-MAX(O$470:O3066))/MAX(O$470:O3066))</f>
        <v>-0.62788758315546067</v>
      </c>
    </row>
    <row r="3067" spans="1:24">
      <c r="A3067" s="799">
        <v>43469</v>
      </c>
      <c r="B3067">
        <v>3831.6650145399999</v>
      </c>
      <c r="C3067">
        <v>6385.0615619999999</v>
      </c>
      <c r="D3067">
        <v>0.84472700000000001</v>
      </c>
      <c r="E3067">
        <f>LN(D3067/参数实验室!$E$53)/参数实验室!$E$55</f>
        <v>-0.8920419571566085</v>
      </c>
      <c r="F3067">
        <f t="shared" si="418"/>
        <v>1.6663934706637034</v>
      </c>
      <c r="G3067">
        <f>LN(F3067/参数实验室!$E$58)/参数实验室!$E$59</f>
        <v>7.749282942192337E-2</v>
      </c>
      <c r="H3067" s="856">
        <f>INDEX(神经网络!$G$10:$BO$70,MATCH(ROUND(G3067*2,1)/2,神经网络!$E$10:$E$70,0),MATCH(ROUND(E3067*2,1)/2,神经网络!$G$8:$BO$8,0))</f>
        <v>-6.5486849937294242E-2</v>
      </c>
      <c r="I3067">
        <f t="shared" si="420"/>
        <v>670929.74946871481</v>
      </c>
      <c r="J3067">
        <f t="shared" si="421"/>
        <v>1528.9354034316245</v>
      </c>
      <c r="K3067">
        <f t="shared" si="422"/>
        <v>438.82151460607435</v>
      </c>
      <c r="L3067" s="4">
        <f>MIN(MAX(L3066*(1+MAX(MIN(((B3067-B3066)/B3066)/($K$7*卓尔金历!$N$40),0),-卓尔金历!$M$43))+MIN(MAX(((B3067-B3066)/B3066)/($K$7*卓尔金历!$N$40),0),卓尔金历!$M$43),0),1)</f>
        <v>0.7820498820066567</v>
      </c>
      <c r="M3067" s="4">
        <f>MIN(MAX(M3066*(1+MAX(MIN(((B3067-B3066)/B3066)/($K$7*30),0),-卓尔金历!$M$43))+MIN(MAX(((B3067-B3066)/B3066)/($K$7*7),0),卓尔金历!$M$43),0),1)</f>
        <v>0.89662801673425374</v>
      </c>
      <c r="N3067">
        <f t="shared" si="423"/>
        <v>257397.35207614177</v>
      </c>
      <c r="O3067">
        <f t="shared" si="424"/>
        <v>722453.5484080707</v>
      </c>
      <c r="P3067">
        <f t="shared" si="425"/>
        <v>-1.3531214101196974E-2</v>
      </c>
      <c r="Q3067">
        <f t="shared" si="426"/>
        <v>4.0502651946288895E-2</v>
      </c>
      <c r="R3067">
        <f t="shared" si="427"/>
        <v>1</v>
      </c>
      <c r="S3067">
        <f t="shared" si="419"/>
        <v>1177.1249974815635</v>
      </c>
      <c r="T3067" s="564">
        <f>IF((I3067-MAX(I$470:I3067))/MAX(I$470:I3067)&gt;T3066,T3066,(I3067-MAX(I$470:I3067))/MAX(I$470:I3067))</f>
        <v>-0.91338805338419748</v>
      </c>
      <c r="U3067" s="564">
        <f>IF((J3067-MAX(J$470:J3067))/MAX(J$470:J3067)&gt;U3066,U3066,(J3067-MAX(J$470:J3067))/MAX(J$470:J3067))</f>
        <v>-0.83569785939843477</v>
      </c>
      <c r="V3067" s="564">
        <f>IF((K3067-MAX(K$470:K3067))/MAX(K$470:K3067)&gt;V3066,V3066,(K3067-MAX(K$470:K3067))/MAX(K$470:K3067))</f>
        <v>-0.84885940676762139</v>
      </c>
      <c r="W3067" s="564">
        <f>IF((N3067-MAX(N$470:N3067))/MAX(N$470:N3067)&gt;W3066,W3066,(N3067-MAX(N$470:N3067))/MAX(N$470:N3067))</f>
        <v>-0.62788758315546067</v>
      </c>
      <c r="X3067" s="564">
        <f>IF((O3067-MAX(O$470:O3067))/MAX(O$470:O3067)&gt;X3066,X3066,(O3067-MAX(O$470:O3067))/MAX(O$470:O3067))</f>
        <v>-0.62788758315546067</v>
      </c>
    </row>
    <row r="3068" spans="1:24">
      <c r="A3068" s="799">
        <v>43470</v>
      </c>
      <c r="B3068">
        <v>3864.8705710999998</v>
      </c>
      <c r="C3068">
        <v>6265.9082179999996</v>
      </c>
      <c r="D3068">
        <v>0.83856699999999995</v>
      </c>
      <c r="E3068">
        <f>LN(D3068/参数实验室!$E$53)/参数实验室!$E$55</f>
        <v>-0.90067658951907303</v>
      </c>
      <c r="F3068">
        <f t="shared" si="418"/>
        <v>1.6212465858117024</v>
      </c>
      <c r="G3068">
        <f>LN(F3068/参数实验室!$E$58)/参数实验室!$E$59</f>
        <v>6.3077008784704569E-2</v>
      </c>
      <c r="H3068" s="856">
        <f>INDEX(神经网络!$G$10:$BO$70,MATCH(ROUND(G3068*2,1)/2,神经网络!$E$10:$E$70,0),MATCH(ROUND(E3068*2,1)/2,神经网络!$G$8:$BO$8,0))</f>
        <v>-0.10645589364307358</v>
      </c>
      <c r="I3068">
        <f t="shared" si="420"/>
        <v>670548.98678441194</v>
      </c>
      <c r="J3068">
        <f t="shared" si="421"/>
        <v>1542.1852963169842</v>
      </c>
      <c r="K3068">
        <f t="shared" si="422"/>
        <v>434.80442226093288</v>
      </c>
      <c r="L3068" s="4">
        <f>MIN(MAX(L3067*(1+MAX(MIN(((B3068-B3067)/B3067)/($K$7*卓尔金历!$N$40),0),-卓尔金历!$M$43))+MIN(MAX(((B3068-B3067)/B3067)/($K$7*卓尔金历!$N$40),0),卓尔金历!$M$43),0),1)</f>
        <v>0.91445943172529998</v>
      </c>
      <c r="M3068" s="4">
        <f>MIN(MAX(M3067*(1+MAX(MIN(((B3068-B3067)/B3067)/($K$7*30),0),-卓尔金历!$M$43))+MIN(MAX(((B3068-B3067)/B3067)/($K$7*7),0),卓尔金历!$M$43),0),1)</f>
        <v>1</v>
      </c>
      <c r="N3068">
        <f t="shared" si="423"/>
        <v>257283.11269011328</v>
      </c>
      <c r="O3068">
        <f t="shared" si="424"/>
        <v>722085.92804115021</v>
      </c>
      <c r="P3068">
        <f t="shared" si="425"/>
        <v>8.6660907031264264E-3</v>
      </c>
      <c r="Q3068">
        <f t="shared" si="426"/>
        <v>3.9478551488207683E-2</v>
      </c>
      <c r="R3068">
        <f t="shared" si="427"/>
        <v>1</v>
      </c>
      <c r="S3068">
        <f t="shared" si="419"/>
        <v>1176.4569614104903</v>
      </c>
      <c r="T3068" s="564">
        <f>IF((I3068-MAX(I$470:I3068))/MAX(I$470:I3068)&gt;T3067,T3067,(I3068-MAX(I$470:I3068))/MAX(I$470:I3068))</f>
        <v>-0.91338805338419748</v>
      </c>
      <c r="U3068" s="564">
        <f>IF((J3068-MAX(J$470:J3068))/MAX(J$470:J3068)&gt;U3067,U3067,(J3068-MAX(J$470:J3068))/MAX(J$470:J3068))</f>
        <v>-0.83569785939843477</v>
      </c>
      <c r="V3068" s="564">
        <f>IF((K3068-MAX(K$470:K3068))/MAX(K$470:K3068)&gt;V3067,V3067,(K3068-MAX(K$470:K3068))/MAX(K$470:K3068))</f>
        <v>-0.84885940676762139</v>
      </c>
      <c r="W3068" s="564">
        <f>IF((N3068-MAX(N$470:N3068))/MAX(N$470:N3068)&gt;W3067,W3067,(N3068-MAX(N$470:N3068))/MAX(N$470:N3068))</f>
        <v>-0.62788758315546067</v>
      </c>
      <c r="X3068" s="564">
        <f>IF((O3068-MAX(O$470:O3068))/MAX(O$470:O3068)&gt;X3067,X3067,(O3068-MAX(O$470:O3068))/MAX(O$470:O3068))</f>
        <v>-0.62788758315546067</v>
      </c>
    </row>
    <row r="3069" spans="1:24">
      <c r="A3069" s="799">
        <v>43471</v>
      </c>
      <c r="B3069">
        <v>3857.2190091699999</v>
      </c>
      <c r="C3069">
        <v>6153.6020079999998</v>
      </c>
      <c r="D3069">
        <v>0.89346700000000001</v>
      </c>
      <c r="E3069">
        <f>LN(D3069/参数实验室!$E$53)/参数实验室!$E$55</f>
        <v>-0.8258626344729757</v>
      </c>
      <c r="F3069">
        <f t="shared" si="418"/>
        <v>1.5953468012499861</v>
      </c>
      <c r="G3069">
        <f>LN(F3069/参数实验室!$E$58)/参数实验室!$E$59</f>
        <v>5.4624650160634426E-2</v>
      </c>
      <c r="H3069" s="856">
        <f>INDEX(神经网络!$G$10:$BO$70,MATCH(ROUND(G3069*2,1)/2,神经网络!$E$10:$E$70,0),MATCH(ROUND(E3069*2,1)/2,神经网络!$G$8:$BO$8,0))</f>
        <v>-0.15101802788283913</v>
      </c>
      <c r="I3069">
        <f t="shared" si="420"/>
        <v>670690.31060301943</v>
      </c>
      <c r="J3069">
        <f t="shared" si="421"/>
        <v>1539.132121292045</v>
      </c>
      <c r="K3069">
        <f t="shared" si="422"/>
        <v>435.75876386752265</v>
      </c>
      <c r="L3069" s="4">
        <f>MIN(MAX(L3068*(1+MAX(MIN(((B3069-B3068)/B3068)/($K$7*卓尔金历!$N$40),0),-卓尔金历!$M$43))+MIN(MAX(((B3069-B3068)/B3068)/($K$7*卓尔金历!$N$40),0),卓尔金历!$M$43),0),1)</f>
        <v>0.88679793566197385</v>
      </c>
      <c r="M3069" s="4">
        <f>MIN(MAX(M3068*(1+MAX(MIN(((B3069-B3068)/B3068)/($K$7*30),0),-卓尔金历!$M$43))+MIN(MAX(((B3069-B3068)/B3068)/($K$7*7),0),卓尔金历!$M$43),0),1)</f>
        <v>0.98487549304886191</v>
      </c>
      <c r="N3069">
        <f t="shared" si="423"/>
        <v>257332.69886159431</v>
      </c>
      <c r="O3069">
        <f t="shared" si="424"/>
        <v>722238.1137020411</v>
      </c>
      <c r="P3069">
        <f t="shared" si="425"/>
        <v>-1.9797718420935619E-3</v>
      </c>
      <c r="Q3069">
        <f t="shared" si="426"/>
        <v>3.9425653391718857E-2</v>
      </c>
      <c r="R3069">
        <f t="shared" si="427"/>
        <v>1</v>
      </c>
      <c r="S3069">
        <f t="shared" si="419"/>
        <v>1176.7049095745926</v>
      </c>
      <c r="T3069" s="564">
        <f>IF((I3069-MAX(I$470:I3069))/MAX(I$470:I3069)&gt;T3068,T3068,(I3069-MAX(I$470:I3069))/MAX(I$470:I3069))</f>
        <v>-0.91338805338419748</v>
      </c>
      <c r="U3069" s="564">
        <f>IF((J3069-MAX(J$470:J3069))/MAX(J$470:J3069)&gt;U3068,U3068,(J3069-MAX(J$470:J3069))/MAX(J$470:J3069))</f>
        <v>-0.83569785939843477</v>
      </c>
      <c r="V3069" s="564">
        <f>IF((K3069-MAX(K$470:K3069))/MAX(K$470:K3069)&gt;V3068,V3068,(K3069-MAX(K$470:K3069))/MAX(K$470:K3069))</f>
        <v>-0.84885940676762139</v>
      </c>
      <c r="W3069" s="564">
        <f>IF((N3069-MAX(N$470:N3069))/MAX(N$470:N3069)&gt;W3068,W3068,(N3069-MAX(N$470:N3069))/MAX(N$470:N3069))</f>
        <v>-0.62788758315546067</v>
      </c>
      <c r="X3069" s="564">
        <f>IF((O3069-MAX(O$470:O3069))/MAX(O$470:O3069)&gt;X3068,X3068,(O3069-MAX(O$470:O3069))/MAX(O$470:O3069))</f>
        <v>-0.62788758315546067</v>
      </c>
    </row>
    <row r="3070" spans="1:24">
      <c r="A3070" s="799">
        <v>43472</v>
      </c>
      <c r="B3070">
        <v>4023.1307491100001</v>
      </c>
      <c r="C3070">
        <v>6097.3762880000004</v>
      </c>
      <c r="D3070">
        <v>0.884158</v>
      </c>
      <c r="E3070">
        <f>LN(D3070/参数实验室!$E$53)/参数实验室!$E$55</f>
        <v>-0.83821892260089859</v>
      </c>
      <c r="F3070">
        <f t="shared" si="418"/>
        <v>1.515579947121745</v>
      </c>
      <c r="G3070">
        <f>LN(F3070/参数实验室!$E$58)/参数实验室!$E$59</f>
        <v>2.770332550020568E-2</v>
      </c>
      <c r="H3070" s="856">
        <f>INDEX(神经网络!$G$10:$BO$70,MATCH(ROUND(G3070*2,1)/2,神经网络!$E$10:$E$70,0),MATCH(ROUND(E3070*2,1)/2,神经网络!$G$8:$BO$8,0))</f>
        <v>-0.15101802788283913</v>
      </c>
      <c r="I3070">
        <f t="shared" si="420"/>
        <v>666333.65082424926</v>
      </c>
      <c r="J3070">
        <f t="shared" si="421"/>
        <v>1605.3352815569986</v>
      </c>
      <c r="K3070">
        <f t="shared" si="422"/>
        <v>415.07444487109194</v>
      </c>
      <c r="L3070" s="4">
        <f>MIN(MAX(L3069*(1+MAX(MIN(((B3070-B3069)/B3069)/($K$7*卓尔金历!$N$40),0),-卓尔金历!$M$43))+MIN(MAX(((B3070-B3069)/B3069)/($K$7*卓尔金历!$N$40),0),卓尔金历!$M$43),0),1)</f>
        <v>1</v>
      </c>
      <c r="M3070" s="4">
        <f>MIN(MAX(M3069*(1+MAX(MIN(((B3070-B3069)/B3069)/($K$7*30),0),-卓尔金历!$M$43))+MIN(MAX(((B3070-B3069)/B3069)/($K$7*7),0),卓尔金历!$M$43),0),1)</f>
        <v>1</v>
      </c>
      <c r="N3070">
        <f t="shared" si="423"/>
        <v>255850.34713907121</v>
      </c>
      <c r="O3070">
        <f t="shared" si="424"/>
        <v>717617.56717148575</v>
      </c>
      <c r="P3070">
        <f t="shared" si="425"/>
        <v>4.3013305582485249E-2</v>
      </c>
      <c r="Q3070">
        <f t="shared" si="426"/>
        <v>4.0057850572859238E-2</v>
      </c>
      <c r="R3070">
        <f t="shared" si="427"/>
        <v>3.661914510020306E-2</v>
      </c>
      <c r="S3070">
        <f t="shared" si="419"/>
        <v>1169.0612879656628</v>
      </c>
      <c r="T3070" s="564">
        <f>IF((I3070-MAX(I$470:I3070))/MAX(I$470:I3070)&gt;T3069,T3069,(I3070-MAX(I$470:I3070))/MAX(I$470:I3070))</f>
        <v>-0.91338805338419748</v>
      </c>
      <c r="U3070" s="564">
        <f>IF((J3070-MAX(J$470:J3070))/MAX(J$470:J3070)&gt;U3069,U3069,(J3070-MAX(J$470:J3070))/MAX(J$470:J3070))</f>
        <v>-0.83569785939843477</v>
      </c>
      <c r="V3070" s="564">
        <f>IF((K3070-MAX(K$470:K3070))/MAX(K$470:K3070)&gt;V3069,V3069,(K3070-MAX(K$470:K3070))/MAX(K$470:K3070))</f>
        <v>-0.84885940676762139</v>
      </c>
      <c r="W3070" s="564">
        <f>IF((N3070-MAX(N$470:N3070))/MAX(N$470:N3070)&gt;W3069,W3069,(N3070-MAX(N$470:N3070))/MAX(N$470:N3070))</f>
        <v>-0.62788758315546067</v>
      </c>
      <c r="X3070" s="564">
        <f>IF((O3070-MAX(O$470:O3070))/MAX(O$470:O3070)&gt;X3069,X3069,(O3070-MAX(O$470:O3070))/MAX(O$470:O3070))</f>
        <v>-0.62788758315546067</v>
      </c>
    </row>
    <row r="3071" spans="1:24">
      <c r="A3071" s="799">
        <v>43473</v>
      </c>
      <c r="B3071">
        <v>4031.8023878600002</v>
      </c>
      <c r="C3071">
        <v>5933.3761949999998</v>
      </c>
      <c r="D3071">
        <v>0.88278699999999999</v>
      </c>
      <c r="E3071">
        <f>LN(D3071/参数实验室!$E$53)/参数实验室!$E$55</f>
        <v>-0.84004970060709228</v>
      </c>
      <c r="F3071">
        <f t="shared" si="418"/>
        <v>1.4716436035818008</v>
      </c>
      <c r="G3071">
        <f>LN(F3071/参数实验室!$E$58)/参数实验室!$E$59</f>
        <v>1.2263014307211119E-2</v>
      </c>
      <c r="H3071" s="856">
        <f>INDEX(神经网络!$G$10:$BO$70,MATCH(ROUND(G3071*2,1)/2,神经网络!$E$10:$E$70,0),MATCH(ROUND(E3071*2,1)/2,神经网络!$G$8:$BO$8,0))</f>
        <v>-0.22003120115745864</v>
      </c>
      <c r="I3071">
        <f t="shared" si="420"/>
        <v>666116.75181351369</v>
      </c>
      <c r="J3071">
        <f t="shared" si="421"/>
        <v>1608.7954941383002</v>
      </c>
      <c r="K3071">
        <f t="shared" si="422"/>
        <v>414.04687807774957</v>
      </c>
      <c r="L3071" s="4">
        <f>MIN(MAX(L3070*(1+MAX(MIN(((B3071-B3070)/B3070)/($K$7*卓尔金历!$N$40),0),-卓尔金历!$M$43))+MIN(MAX(((B3071-B3070)/B3070)/($K$7*卓尔金历!$N$40),0),卓尔金历!$M$43),0),1)</f>
        <v>1</v>
      </c>
      <c r="M3071" s="4">
        <f>MIN(MAX(M3070*(1+MAX(MIN(((B3071-B3070)/B3070)/($K$7*30),0),-卓尔金历!$M$43))+MIN(MAX(((B3071-B3070)/B3070)/($K$7*7),0),卓尔金历!$M$43),0),1)</f>
        <v>1</v>
      </c>
      <c r="N3071">
        <f t="shared" si="423"/>
        <v>255767.06500688085</v>
      </c>
      <c r="O3071">
        <f t="shared" si="424"/>
        <v>717383.97467587423</v>
      </c>
      <c r="P3071">
        <f t="shared" si="425"/>
        <v>2.1554454206884534E-3</v>
      </c>
      <c r="Q3071">
        <f t="shared" si="426"/>
        <v>3.7971943535870738E-2</v>
      </c>
      <c r="R3071">
        <f t="shared" si="427"/>
        <v>1</v>
      </c>
      <c r="S3071">
        <f t="shared" si="419"/>
        <v>1169.0473528266427</v>
      </c>
      <c r="T3071" s="564">
        <f>IF((I3071-MAX(I$470:I3071))/MAX(I$470:I3071)&gt;T3070,T3070,(I3071-MAX(I$470:I3071))/MAX(I$470:I3071))</f>
        <v>-0.91338805338419748</v>
      </c>
      <c r="U3071" s="564">
        <f>IF((J3071-MAX(J$470:J3071))/MAX(J$470:J3071)&gt;U3070,U3070,(J3071-MAX(J$470:J3071))/MAX(J$470:J3071))</f>
        <v>-0.83569785939843477</v>
      </c>
      <c r="V3071" s="564">
        <f>IF((K3071-MAX(K$470:K3071))/MAX(K$470:K3071)&gt;V3070,V3070,(K3071-MAX(K$470:K3071))/MAX(K$470:K3071))</f>
        <v>-0.84885940676762139</v>
      </c>
      <c r="W3071" s="564">
        <f>IF((N3071-MAX(N$470:N3071))/MAX(N$470:N3071)&gt;W3070,W3070,(N3071-MAX(N$470:N3071))/MAX(N$470:N3071))</f>
        <v>-0.62788758315546067</v>
      </c>
      <c r="X3071" s="564">
        <f>IF((O3071-MAX(O$470:O3071))/MAX(O$470:O3071)&gt;X3070,X3070,(O3071-MAX(O$470:O3071))/MAX(O$470:O3071))</f>
        <v>-0.62788758315546067</v>
      </c>
    </row>
    <row r="3072" spans="1:24">
      <c r="A3072" s="799">
        <v>43474</v>
      </c>
      <c r="B3072">
        <v>4055.34147252</v>
      </c>
      <c r="C3072">
        <v>5779.0226000000002</v>
      </c>
      <c r="D3072">
        <v>0.88542100000000001</v>
      </c>
      <c r="E3072">
        <f>LN(D3072/参数实验室!$E$53)/参数实验室!$E$55</f>
        <v>-0.83653487390892345</v>
      </c>
      <c r="F3072">
        <f t="shared" si="418"/>
        <v>1.4250397011349332</v>
      </c>
      <c r="G3072">
        <f>LN(F3072/参数实验室!$E$58)/参数实验室!$E$59</f>
        <v>-4.6268938127838688E-3</v>
      </c>
      <c r="H3072" s="856">
        <f>INDEX(神经网络!$G$10:$BO$70,MATCH(ROUND(G3072*2,1)/2,神经网络!$E$10:$E$70,0),MATCH(ROUND(E3072*2,1)/2,神经网络!$G$8:$BO$8,0))</f>
        <v>-0.22003120115745864</v>
      </c>
      <c r="I3072">
        <f t="shared" si="420"/>
        <v>665261.04506241053</v>
      </c>
      <c r="J3072">
        <f t="shared" si="421"/>
        <v>1618.1882097761438</v>
      </c>
      <c r="K3072">
        <f t="shared" si="422"/>
        <v>411.11475231576497</v>
      </c>
      <c r="L3072" s="4">
        <f>MIN(MAX(L3071*(1+MAX(MIN(((B3072-B3071)/B3071)/($K$7*卓尔金历!$N$40),0),-卓尔金历!$M$43))+MIN(MAX(((B3072-B3071)/B3071)/($K$7*卓尔金历!$N$40),0),卓尔金历!$M$43),0),1)</f>
        <v>1</v>
      </c>
      <c r="M3072" s="4">
        <f>MIN(MAX(M3071*(1+MAX(MIN(((B3072-B3071)/B3071)/($K$7*30),0),-卓尔金历!$M$43))+MIN(MAX(((B3072-B3071)/B3071)/($K$7*7),0),卓尔金历!$M$43),0),1)</f>
        <v>1</v>
      </c>
      <c r="N3072">
        <f t="shared" si="423"/>
        <v>255438.50157766163</v>
      </c>
      <c r="O3072">
        <f t="shared" si="424"/>
        <v>716462.40903652937</v>
      </c>
      <c r="P3072">
        <f t="shared" si="425"/>
        <v>5.8383527751452915E-3</v>
      </c>
      <c r="Q3072">
        <f t="shared" si="426"/>
        <v>3.3431799388425984E-2</v>
      </c>
      <c r="R3072">
        <f t="shared" si="427"/>
        <v>1</v>
      </c>
      <c r="S3072">
        <f t="shared" si="419"/>
        <v>1167.5455714805807</v>
      </c>
      <c r="T3072" s="564">
        <f>IF((I3072-MAX(I$470:I3072))/MAX(I$470:I3072)&gt;T3071,T3071,(I3072-MAX(I$470:I3072))/MAX(I$470:I3072))</f>
        <v>-0.91338805338419748</v>
      </c>
      <c r="U3072" s="564">
        <f>IF((J3072-MAX(J$470:J3072))/MAX(J$470:J3072)&gt;U3071,U3071,(J3072-MAX(J$470:J3072))/MAX(J$470:J3072))</f>
        <v>-0.83569785939843477</v>
      </c>
      <c r="V3072" s="564">
        <f>IF((K3072-MAX(K$470:K3072))/MAX(K$470:K3072)&gt;V3071,V3071,(K3072-MAX(K$470:K3072))/MAX(K$470:K3072))</f>
        <v>-0.84885940676762139</v>
      </c>
      <c r="W3072" s="564">
        <f>IF((N3072-MAX(N$470:N3072))/MAX(N$470:N3072)&gt;W3071,W3071,(N3072-MAX(N$470:N3072))/MAX(N$470:N3072))</f>
        <v>-0.62788758315546067</v>
      </c>
      <c r="X3072" s="564">
        <f>IF((O3072-MAX(O$470:O3072))/MAX(O$470:O3072)&gt;X3071,X3071,(O3072-MAX(O$470:O3072))/MAX(O$470:O3072))</f>
        <v>-0.62788758315546067</v>
      </c>
    </row>
    <row r="3073" spans="1:24">
      <c r="A3073" s="799">
        <v>43475</v>
      </c>
      <c r="B3073">
        <v>3825.0523221499998</v>
      </c>
      <c r="C3073">
        <v>5663.4590109999999</v>
      </c>
      <c r="D3073">
        <v>0.80976700000000001</v>
      </c>
      <c r="E3073">
        <f>LN(D3073/参数实验室!$E$53)/参数实验室!$E$55</f>
        <v>-0.94190652412960907</v>
      </c>
      <c r="F3073">
        <f t="shared" si="418"/>
        <v>1.4806226252655967</v>
      </c>
      <c r="G3073">
        <f>LN(F3073/参数实验室!$E$58)/参数实验室!$E$59</f>
        <v>1.5455606031234049E-2</v>
      </c>
      <c r="H3073" s="856">
        <f>INDEX(神经网络!$G$10:$BO$70,MATCH(ROUND(G3073*2,1)/2,神经网络!$E$10:$E$70,0),MATCH(ROUND(E3073*2,1)/2,神经网络!$G$8:$BO$8,0))</f>
        <v>-0.18770289180533153</v>
      </c>
      <c r="I3073">
        <f t="shared" si="420"/>
        <v>673573.36808275885</v>
      </c>
      <c r="J3073">
        <f t="shared" si="421"/>
        <v>1526.2967647539979</v>
      </c>
      <c r="K3073">
        <f t="shared" si="422"/>
        <v>441.31219015675669</v>
      </c>
      <c r="L3073" s="4">
        <f>MIN(MAX(L3072*(1+MAX(MIN(((B3073-B3072)/B3072)/($K$7*卓尔金历!$N$40),0),-卓尔金历!$M$43))+MIN(MAX(((B3073-B3072)/B3072)/($K$7*卓尔金历!$N$40),0),卓尔金历!$M$43),0),1)</f>
        <v>0.13235488317547972</v>
      </c>
      <c r="M3073" s="4">
        <f>MIN(MAX(M3072*(1+MAX(MIN(((B3073-B3072)/B3072)/($K$7*30),0),-卓尔金历!$M$43))+MIN(MAX(((B3073-B3072)/B3072)/($K$7*7),0),卓尔金历!$M$43),0),1)</f>
        <v>0.56617744158773986</v>
      </c>
      <c r="N3073">
        <f t="shared" si="423"/>
        <v>258630.16198331199</v>
      </c>
      <c r="O3073">
        <f t="shared" si="424"/>
        <v>725414.48434598907</v>
      </c>
      <c r="P3073">
        <f t="shared" si="425"/>
        <v>-5.6786623748085498E-2</v>
      </c>
      <c r="Q3073">
        <f t="shared" si="426"/>
        <v>3.1595941638062515E-2</v>
      </c>
      <c r="R3073">
        <f t="shared" si="427"/>
        <v>1.3831667571462369E-2</v>
      </c>
      <c r="S3073">
        <f t="shared" si="419"/>
        <v>1182.1338537844292</v>
      </c>
      <c r="T3073" s="564">
        <f>IF((I3073-MAX(I$470:I3073))/MAX(I$470:I3073)&gt;T3072,T3072,(I3073-MAX(I$470:I3073))/MAX(I$470:I3073))</f>
        <v>-0.91338805338419748</v>
      </c>
      <c r="U3073" s="564">
        <f>IF((J3073-MAX(J$470:J3073))/MAX(J$470:J3073)&gt;U3072,U3072,(J3073-MAX(J$470:J3073))/MAX(J$470:J3073))</f>
        <v>-0.83569785939843477</v>
      </c>
      <c r="V3073" s="564">
        <f>IF((K3073-MAX(K$470:K3073))/MAX(K$470:K3073)&gt;V3072,V3072,(K3073-MAX(K$470:K3073))/MAX(K$470:K3073))</f>
        <v>-0.84885940676762139</v>
      </c>
      <c r="W3073" s="564">
        <f>IF((N3073-MAX(N$470:N3073))/MAX(N$470:N3073)&gt;W3072,W3072,(N3073-MAX(N$470:N3073))/MAX(N$470:N3073))</f>
        <v>-0.62788758315546067</v>
      </c>
      <c r="X3073" s="564">
        <f>IF((O3073-MAX(O$470:O3073))/MAX(O$470:O3073)&gt;X3072,X3072,(O3073-MAX(O$470:O3073))/MAX(O$470:O3073))</f>
        <v>-0.62788758315546067</v>
      </c>
    </row>
    <row r="3074" spans="1:24">
      <c r="A3074" s="799">
        <v>43476</v>
      </c>
      <c r="B3074">
        <v>3687.7191406500001</v>
      </c>
      <c r="C3074">
        <v>5561.8251339999997</v>
      </c>
      <c r="D3074">
        <v>0.80976199999999998</v>
      </c>
      <c r="E3074">
        <f>LN(D3074/参数实验室!$E$53)/参数实验室!$E$55</f>
        <v>-0.94191380867495511</v>
      </c>
      <c r="F3074">
        <f t="shared" si="418"/>
        <v>1.5082019323791747</v>
      </c>
      <c r="G3074">
        <f>LN(F3074/参数实验室!$E$58)/参数实验室!$E$59</f>
        <v>2.5142037215045255E-2</v>
      </c>
      <c r="H3074" s="856">
        <f>INDEX(神经网络!$G$10:$BO$70,MATCH(ROUND(G3074*2,1)/2,神经网络!$E$10:$E$70,0),MATCH(ROUND(E3074*2,1)/2,神经网络!$G$8:$BO$8,0))</f>
        <v>-8.4970844332659848E-2</v>
      </c>
      <c r="I3074">
        <f t="shared" si="420"/>
        <v>678112.7212440212</v>
      </c>
      <c r="J3074">
        <f t="shared" si="421"/>
        <v>1471.4972030844717</v>
      </c>
      <c r="K3074">
        <f t="shared" si="422"/>
        <v>460.83181118020377</v>
      </c>
      <c r="L3074" s="4">
        <f>MIN(MAX(L3073*(1+MAX(MIN(((B3074-B3073)/B3073)/($K$7*卓尔金历!$N$40),0),-卓尔金历!$M$43))+MIN(MAX(((B3074-B3073)/B3073)/($K$7*卓尔金历!$N$40),0),卓尔金历!$M$43),0),1)</f>
        <v>5.9748609473396913E-2</v>
      </c>
      <c r="M3074" s="4">
        <f>MIN(MAX(M3073*(1+MAX(MIN(((B3074-B3073)/B3073)/($K$7*30),0),-卓尔金历!$M$43))+MIN(MAX(((B3074-B3073)/B3073)/($K$7*7),0),卓尔金历!$M$43),0),1)</f>
        <v>0.41088270178821817</v>
      </c>
      <c r="N3074">
        <f t="shared" si="423"/>
        <v>258860.85168391655</v>
      </c>
      <c r="O3074">
        <f t="shared" si="424"/>
        <v>728182.36811560206</v>
      </c>
      <c r="P3074">
        <f t="shared" si="425"/>
        <v>-3.5903608613334456E-2</v>
      </c>
      <c r="Q3074">
        <f t="shared" si="426"/>
        <v>3.2305373276933329E-2</v>
      </c>
      <c r="R3074">
        <f t="shared" si="427"/>
        <v>2.8259276322640383E-2</v>
      </c>
      <c r="S3074">
        <f t="shared" si="419"/>
        <v>1182.2440458342337</v>
      </c>
      <c r="T3074" s="564">
        <f>IF((I3074-MAX(I$470:I3074))/MAX(I$470:I3074)&gt;T3073,T3073,(I3074-MAX(I$470:I3074))/MAX(I$470:I3074))</f>
        <v>-0.91338805338419748</v>
      </c>
      <c r="U3074" s="564">
        <f>IF((J3074-MAX(J$470:J3074))/MAX(J$470:J3074)&gt;U3073,U3073,(J3074-MAX(J$470:J3074))/MAX(J$470:J3074))</f>
        <v>-0.83569785939843477</v>
      </c>
      <c r="V3074" s="564">
        <f>IF((K3074-MAX(K$470:K3074))/MAX(K$470:K3074)&gt;V3073,V3073,(K3074-MAX(K$470:K3074))/MAX(K$470:K3074))</f>
        <v>-0.84885940676762139</v>
      </c>
      <c r="W3074" s="564">
        <f>IF((N3074-MAX(N$470:N3074))/MAX(N$470:N3074)&gt;W3073,W3073,(N3074-MAX(N$470:N3074))/MAX(N$470:N3074))</f>
        <v>-0.62788758315546067</v>
      </c>
      <c r="X3074" s="564">
        <f>IF((O3074-MAX(O$470:O3074))/MAX(O$470:O3074)&gt;X3073,X3073,(O3074-MAX(O$470:O3074))/MAX(O$470:O3074))</f>
        <v>-0.62788758315546067</v>
      </c>
    </row>
    <row r="3075" spans="1:24">
      <c r="A3075" s="799">
        <v>43477</v>
      </c>
      <c r="B3075">
        <v>3659.4587028699998</v>
      </c>
      <c r="C3075">
        <v>5538.0735210000003</v>
      </c>
      <c r="D3075">
        <v>0.80855900000000003</v>
      </c>
      <c r="E3075">
        <f>LN(D3075/参数实验室!$E$53)/参数实验室!$E$55</f>
        <v>-0.94366777888719089</v>
      </c>
      <c r="F3075">
        <f t="shared" si="418"/>
        <v>1.5133586605736693</v>
      </c>
      <c r="G3075">
        <f>LN(F3075/参数实验室!$E$58)/参数实验室!$E$59</f>
        <v>2.6933516939781108E-2</v>
      </c>
      <c r="H3075" s="856">
        <f>INDEX(神经网络!$G$10:$BO$70,MATCH(ROUND(G3075*2,1)/2,神经网络!$E$10:$E$70,0),MATCH(ROUND(E3075*2,1)/2,神经网络!$G$8:$BO$8,0))</f>
        <v>-8.4970844332659848E-2</v>
      </c>
      <c r="I3075">
        <f t="shared" si="420"/>
        <v>678554.28444522223</v>
      </c>
      <c r="J3075">
        <f t="shared" si="421"/>
        <v>1460.2205430230215</v>
      </c>
      <c r="K3075">
        <f t="shared" si="422"/>
        <v>464.69301345428636</v>
      </c>
      <c r="L3075" s="4">
        <f>MIN(MAX(L3074*(1+MAX(MIN(((B3075-B3074)/B3074)/($K$7*卓尔金历!$N$40),0),-卓尔金历!$M$43))+MIN(MAX(((B3075-B3074)/B3074)/($K$7*卓尔金历!$N$40),0),卓尔金历!$M$43),0),1)</f>
        <v>5.2752687959120345E-2</v>
      </c>
      <c r="M3075" s="4">
        <f>MIN(MAX(M3074*(1+MAX(MIN(((B3075-B3074)/B3074)/($K$7*30),0),-卓尔金历!$M$43))+MIN(MAX(((B3075-B3074)/B3074)/($K$7*7),0),卓尔金历!$M$43),0),1)</f>
        <v>0.38682772244544239</v>
      </c>
      <c r="N3075">
        <f t="shared" si="423"/>
        <v>258870.9229752633</v>
      </c>
      <c r="O3075">
        <f t="shared" si="424"/>
        <v>728377.1950505462</v>
      </c>
      <c r="P3075">
        <f t="shared" si="425"/>
        <v>-7.6633921137006919E-3</v>
      </c>
      <c r="Q3075">
        <f t="shared" si="426"/>
        <v>3.2037133749319061E-2</v>
      </c>
      <c r="R3075">
        <f t="shared" si="427"/>
        <v>1</v>
      </c>
      <c r="S3075">
        <f t="shared" si="419"/>
        <v>1182.2658008375054</v>
      </c>
      <c r="T3075" s="564">
        <f>IF((I3075-MAX(I$470:I3075))/MAX(I$470:I3075)&gt;T3074,T3074,(I3075-MAX(I$470:I3075))/MAX(I$470:I3075))</f>
        <v>-0.91338805338419748</v>
      </c>
      <c r="U3075" s="564">
        <f>IF((J3075-MAX(J$470:J3075))/MAX(J$470:J3075)&gt;U3074,U3074,(J3075-MAX(J$470:J3075))/MAX(J$470:J3075))</f>
        <v>-0.83569785939843477</v>
      </c>
      <c r="V3075" s="564">
        <f>IF((K3075-MAX(K$470:K3075))/MAX(K$470:K3075)&gt;V3074,V3074,(K3075-MAX(K$470:K3075))/MAX(K$470:K3075))</f>
        <v>-0.84885940676762139</v>
      </c>
      <c r="W3075" s="564">
        <f>IF((N3075-MAX(N$470:N3075))/MAX(N$470:N3075)&gt;W3074,W3074,(N3075-MAX(N$470:N3075))/MAX(N$470:N3075))</f>
        <v>-0.62788758315546067</v>
      </c>
      <c r="X3075" s="564">
        <f>IF((O3075-MAX(O$470:O3075))/MAX(O$470:O3075)&gt;X3074,X3074,(O3075-MAX(O$470:O3075))/MAX(O$470:O3075))</f>
        <v>-0.62788758315546067</v>
      </c>
    </row>
    <row r="3076" spans="1:24">
      <c r="A3076" s="799">
        <v>43478</v>
      </c>
      <c r="B3076">
        <v>3666.1740714100001</v>
      </c>
      <c r="C3076">
        <v>5572.6232730000002</v>
      </c>
      <c r="D3076">
        <v>0.78483400000000003</v>
      </c>
      <c r="E3076">
        <f>LN(D3076/参数实验室!$E$53)/参数实验室!$E$55</f>
        <v>-0.978802506387212</v>
      </c>
      <c r="F3076">
        <f t="shared" si="418"/>
        <v>1.5200105517239626</v>
      </c>
      <c r="G3076">
        <f>LN(F3076/参数实验室!$E$58)/参数实验室!$E$59</f>
        <v>2.9235430961026668E-2</v>
      </c>
      <c r="H3076" s="856">
        <f>INDEX(神经网络!$G$10:$BO$70,MATCH(ROUND(G3076*2,1)/2,神经网络!$E$10:$E$70,0),MATCH(ROUND(E3076*2,1)/2,神经网络!$G$8:$BO$8,0))</f>
        <v>-9.3012473748848107E-2</v>
      </c>
      <c r="I3076">
        <f t="shared" si="420"/>
        <v>678448.47911864007</v>
      </c>
      <c r="J3076">
        <f t="shared" si="421"/>
        <v>1462.9001521926477</v>
      </c>
      <c r="K3076">
        <f t="shared" si="422"/>
        <v>463.76950477567243</v>
      </c>
      <c r="L3076" s="4">
        <f>MIN(MAX(L3075*(1+MAX(MIN(((B3076-B3075)/B3075)/($K$7*卓尔金历!$N$40),0),-卓尔金历!$M$43))+MIN(MAX(((B3076-B3075)/B3075)/($K$7*卓尔金历!$N$40),0),卓尔金历!$M$43),0),1)</f>
        <v>8.0790820198084826E-2</v>
      </c>
      <c r="M3076" s="4">
        <f>MIN(MAX(M3075*(1+MAX(MIN(((B3076-B3075)/B3075)/($K$7*30),0),-卓尔金历!$M$43))+MIN(MAX(((B3076-B3075)/B3075)/($K$7*7),0),卓尔金历!$M$43),0),1)</f>
        <v>0.44690943438608055</v>
      </c>
      <c r="N3076">
        <f t="shared" si="423"/>
        <v>258868.79360688329</v>
      </c>
      <c r="O3076">
        <f t="shared" si="424"/>
        <v>728333.26144305582</v>
      </c>
      <c r="P3076">
        <f t="shared" si="425"/>
        <v>1.8350715461643745E-3</v>
      </c>
      <c r="Q3076">
        <f t="shared" si="426"/>
        <v>3.1197778630116153E-2</v>
      </c>
      <c r="R3076">
        <f t="shared" si="427"/>
        <v>1</v>
      </c>
      <c r="S3076">
        <f t="shared" si="419"/>
        <v>1182.0814529938145</v>
      </c>
      <c r="T3076" s="564">
        <f>IF((I3076-MAX(I$470:I3076))/MAX(I$470:I3076)&gt;T3075,T3075,(I3076-MAX(I$470:I3076))/MAX(I$470:I3076))</f>
        <v>-0.91338805338419748</v>
      </c>
      <c r="U3076" s="564">
        <f>IF((J3076-MAX(J$470:J3076))/MAX(J$470:J3076)&gt;U3075,U3075,(J3076-MAX(J$470:J3076))/MAX(J$470:J3076))</f>
        <v>-0.83569785939843477</v>
      </c>
      <c r="V3076" s="564">
        <f>IF((K3076-MAX(K$470:K3076))/MAX(K$470:K3076)&gt;V3075,V3075,(K3076-MAX(K$470:K3076))/MAX(K$470:K3076))</f>
        <v>-0.84885940676762139</v>
      </c>
      <c r="W3076" s="564">
        <f>IF((N3076-MAX(N$470:N3076))/MAX(N$470:N3076)&gt;W3075,W3075,(N3076-MAX(N$470:N3076))/MAX(N$470:N3076))</f>
        <v>-0.62788758315546067</v>
      </c>
      <c r="X3076" s="564">
        <f>IF((O3076-MAX(O$470:O3076))/MAX(O$470:O3076)&gt;X3075,X3075,(O3076-MAX(O$470:O3076))/MAX(O$470:O3076))</f>
        <v>-0.62788758315546067</v>
      </c>
    </row>
    <row r="3077" spans="1:24">
      <c r="A3077" s="799">
        <v>43479</v>
      </c>
      <c r="B3077">
        <v>3584.7142030599998</v>
      </c>
      <c r="C3077">
        <v>5574.5128560000003</v>
      </c>
      <c r="D3077">
        <v>0.82050800000000002</v>
      </c>
      <c r="E3077">
        <f>LN(D3077/参数实验室!$E$53)/参数实验室!$E$55</f>
        <v>-0.92636078743011718</v>
      </c>
      <c r="F3077">
        <f t="shared" ref="F3077:F3140" si="428">C3077/B3077</f>
        <v>1.5550787427464816</v>
      </c>
      <c r="G3077">
        <f>LN(F3077/参数实验室!$E$58)/参数实验室!$E$59</f>
        <v>4.1206777500502022E-2</v>
      </c>
      <c r="H3077" s="856">
        <f>INDEX(神经网络!$G$10:$BO$70,MATCH(ROUND(G3077*2,1)/2,神经网络!$E$10:$E$70,0),MATCH(ROUND(E3077*2,1)/2,神经网络!$G$8:$BO$8,0))</f>
        <v>-8.4970844332659848E-2</v>
      </c>
      <c r="I3077">
        <f t="shared" si="420"/>
        <v>679850.61043884035</v>
      </c>
      <c r="J3077">
        <f t="shared" si="421"/>
        <v>1430.3955161645563</v>
      </c>
      <c r="K3077">
        <f t="shared" si="422"/>
        <v>475.28854974446705</v>
      </c>
      <c r="L3077" s="4">
        <f>MIN(MAX(L3076*(1+MAX(MIN(((B3077-B3076)/B3076)/($K$7*卓尔金历!$N$40),0),-卓尔金历!$M$43))+MIN(MAX(((B3077-B3076)/B3076)/($K$7*卓尔金历!$N$40),0),卓尔金历!$M$43),0),1)</f>
        <v>5.3363162681829196E-2</v>
      </c>
      <c r="M3077" s="4">
        <f>MIN(MAX(M3076*(1+MAX(MIN(((B3077-B3076)/B3076)/($K$7*30),0),-卓尔金历!$M$43))+MIN(MAX(((B3077-B3076)/B3076)/($K$7*7),0),卓尔金历!$M$43),0),1)</f>
        <v>0.37104884232208574</v>
      </c>
      <c r="N3077">
        <f t="shared" si="423"/>
        <v>258912.01647026878</v>
      </c>
      <c r="O3077">
        <f t="shared" si="424"/>
        <v>729005.96152999823</v>
      </c>
      <c r="P3077">
        <f t="shared" si="425"/>
        <v>-2.2219312766747889E-2</v>
      </c>
      <c r="Q3077">
        <f t="shared" si="426"/>
        <v>3.0744944723259088E-2</v>
      </c>
      <c r="R3077">
        <f t="shared" si="427"/>
        <v>0.3660934118217738</v>
      </c>
      <c r="S3077">
        <f t="shared" si="419"/>
        <v>1184.5244291066413</v>
      </c>
      <c r="T3077" s="564">
        <f>IF((I3077-MAX(I$470:I3077))/MAX(I$470:I3077)&gt;T3076,T3076,(I3077-MAX(I$470:I3077))/MAX(I$470:I3077))</f>
        <v>-0.91338805338419748</v>
      </c>
      <c r="U3077" s="564">
        <f>IF((J3077-MAX(J$470:J3077))/MAX(J$470:J3077)&gt;U3076,U3076,(J3077-MAX(J$470:J3077))/MAX(J$470:J3077))</f>
        <v>-0.83569785939843477</v>
      </c>
      <c r="V3077" s="564">
        <f>IF((K3077-MAX(K$470:K3077))/MAX(K$470:K3077)&gt;V3076,V3076,(K3077-MAX(K$470:K3077))/MAX(K$470:K3077))</f>
        <v>-0.84885940676762139</v>
      </c>
      <c r="W3077" s="564">
        <f>IF((N3077-MAX(N$470:N3077))/MAX(N$470:N3077)&gt;W3076,W3076,(N3077-MAX(N$470:N3077))/MAX(N$470:N3077))</f>
        <v>-0.62788758315546067</v>
      </c>
      <c r="X3077" s="564">
        <f>IF((O3077-MAX(O$470:O3077))/MAX(O$470:O3077)&gt;X3076,X3076,(O3077-MAX(O$470:O3077))/MAX(O$470:O3077))</f>
        <v>-0.62788758315546067</v>
      </c>
    </row>
    <row r="3078" spans="1:24">
      <c r="A3078" s="799">
        <v>43480</v>
      </c>
      <c r="B3078">
        <v>3683.7108807999998</v>
      </c>
      <c r="C3078">
        <v>5514.364826</v>
      </c>
      <c r="D3078">
        <v>0.800902</v>
      </c>
      <c r="E3078">
        <f>LN(D3078/参数实验室!$E$53)/参数实验室!$E$55</f>
        <v>-0.95489319999775757</v>
      </c>
      <c r="F3078">
        <f t="shared" si="428"/>
        <v>1.4969591817701049</v>
      </c>
      <c r="G3078">
        <f>LN(F3078/参数实验室!$E$58)/参数实验室!$E$59</f>
        <v>2.1214906243896069E-2</v>
      </c>
      <c r="H3078" s="856">
        <f>INDEX(神经网络!$G$10:$BO$70,MATCH(ROUND(G3078*2,1)/2,神经网络!$E$10:$E$70,0),MATCH(ROUND(E3078*2,1)/2,神经网络!$G$8:$BO$8,0))</f>
        <v>-0.18770289180533153</v>
      </c>
      <c r="I3078">
        <f t="shared" si="420"/>
        <v>678255.28419636167</v>
      </c>
      <c r="J3078">
        <f t="shared" si="421"/>
        <v>1469.8978016838892</v>
      </c>
      <c r="K3078">
        <f t="shared" si="422"/>
        <v>461.43023237354618</v>
      </c>
      <c r="L3078" s="4">
        <f>MIN(MAX(L3077*(1+MAX(MIN(((B3078-B3077)/B3077)/($K$7*卓尔金历!$N$40),0),-卓尔金历!$M$43))+MIN(MAX(((B3078-B3077)/B3077)/($K$7*卓尔金历!$N$40),0),卓尔金历!$M$43),0),1)</f>
        <v>0.47531430025680044</v>
      </c>
      <c r="M3078" s="4">
        <f>MIN(MAX(M3077*(1+MAX(MIN(((B3078-B3077)/B3077)/($K$7*30),0),-卓尔金历!$M$43))+MIN(MAX(((B3078-B3077)/B3077)/($K$7*7),0),卓尔金历!$M$43),0),1)</f>
        <v>1</v>
      </c>
      <c r="N3078">
        <f t="shared" si="423"/>
        <v>258879.59521799008</v>
      </c>
      <c r="O3078">
        <f t="shared" si="424"/>
        <v>728371.21815292304</v>
      </c>
      <c r="P3078">
        <f t="shared" si="425"/>
        <v>2.7616337630345541E-2</v>
      </c>
      <c r="Q3078">
        <f t="shared" si="426"/>
        <v>2.5667372713456725E-2</v>
      </c>
      <c r="R3078">
        <f t="shared" si="427"/>
        <v>2.8494817540632902E-2</v>
      </c>
      <c r="S3078">
        <f t="shared" si="419"/>
        <v>1183.5068411633663</v>
      </c>
      <c r="T3078" s="564">
        <f>IF((I3078-MAX(I$470:I3078))/MAX(I$470:I3078)&gt;T3077,T3077,(I3078-MAX(I$470:I3078))/MAX(I$470:I3078))</f>
        <v>-0.91338805338419748</v>
      </c>
      <c r="U3078" s="564">
        <f>IF((J3078-MAX(J$470:J3078))/MAX(J$470:J3078)&gt;U3077,U3077,(J3078-MAX(J$470:J3078))/MAX(J$470:J3078))</f>
        <v>-0.83569785939843477</v>
      </c>
      <c r="V3078" s="564">
        <f>IF((K3078-MAX(K$470:K3078))/MAX(K$470:K3078)&gt;V3077,V3077,(K3078-MAX(K$470:K3078))/MAX(K$470:K3078))</f>
        <v>-0.84885940676762139</v>
      </c>
      <c r="W3078" s="564">
        <f>IF((N3078-MAX(N$470:N3078))/MAX(N$470:N3078)&gt;W3077,W3077,(N3078-MAX(N$470:N3078))/MAX(N$470:N3078))</f>
        <v>-0.62788758315546067</v>
      </c>
      <c r="X3078" s="564">
        <f>IF((O3078-MAX(O$470:O3078))/MAX(O$470:O3078)&gt;X3077,X3077,(O3078-MAX(O$470:O3078))/MAX(O$470:O3078))</f>
        <v>-0.62788758315546067</v>
      </c>
    </row>
    <row r="3079" spans="1:24">
      <c r="A3079" s="799">
        <v>43481</v>
      </c>
      <c r="B3079">
        <v>3661.3517425599998</v>
      </c>
      <c r="C3079">
        <v>5614.6840149999998</v>
      </c>
      <c r="D3079">
        <v>0.80691100000000004</v>
      </c>
      <c r="E3079">
        <f>LN(D3079/参数实验室!$E$53)/参数实验室!$E$55</f>
        <v>-0.94607479854154197</v>
      </c>
      <c r="F3079">
        <f t="shared" si="428"/>
        <v>1.5335003052927767</v>
      </c>
      <c r="G3079">
        <f>LN(F3079/参数实验室!$E$58)/参数实验室!$E$59</f>
        <v>3.3872845460944045E-2</v>
      </c>
      <c r="H3079" s="856">
        <f>INDEX(神经网络!$G$10:$BO$70,MATCH(ROUND(G3079*2,1)/2,神经网络!$E$10:$E$70,0),MATCH(ROUND(E3079*2,1)/2,神经网络!$G$8:$BO$8,0))</f>
        <v>-8.4970844332659848E-2</v>
      </c>
      <c r="I3079">
        <f t="shared" si="420"/>
        <v>679028.02469477861</v>
      </c>
      <c r="J3079">
        <f t="shared" si="421"/>
        <v>1460.9759157894716</v>
      </c>
      <c r="K3079">
        <f t="shared" si="422"/>
        <v>464.77701470379839</v>
      </c>
      <c r="L3079" s="4">
        <f>MIN(MAX(L3078*(1+MAX(MIN(((B3079-B3078)/B3078)/($K$7*卓尔金历!$N$40),0),-卓尔金历!$M$43))+MIN(MAX(((B3079-B3078)/B3078)/($K$7*卓尔金历!$N$40),0),卓尔金历!$M$43),0),1)</f>
        <v>0.43123380317744703</v>
      </c>
      <c r="M3079" s="4">
        <f>MIN(MAX(M3078*(1+MAX(MIN(((B3079-B3078)/B3078)/($K$7*30),0),-卓尔金历!$M$43))+MIN(MAX(((B3079-B3078)/B3078)/($K$7*7),0),卓尔金历!$M$43),0),1)</f>
        <v>0.95363015897529502</v>
      </c>
      <c r="N3079">
        <f t="shared" si="423"/>
        <v>259019.78591313542</v>
      </c>
      <c r="O3079">
        <f t="shared" si="424"/>
        <v>729201.05604915845</v>
      </c>
      <c r="P3079">
        <f t="shared" si="425"/>
        <v>-6.0697321162034865E-3</v>
      </c>
      <c r="Q3079">
        <f t="shared" si="426"/>
        <v>2.5685196094377753E-2</v>
      </c>
      <c r="R3079">
        <f t="shared" si="427"/>
        <v>1</v>
      </c>
      <c r="S3079">
        <f t="shared" si="419"/>
        <v>1183.5452629132767</v>
      </c>
      <c r="T3079" s="564">
        <f>IF((I3079-MAX(I$470:I3079))/MAX(I$470:I3079)&gt;T3078,T3078,(I3079-MAX(I$470:I3079))/MAX(I$470:I3079))</f>
        <v>-0.91338805338419748</v>
      </c>
      <c r="U3079" s="564">
        <f>IF((J3079-MAX(J$470:J3079))/MAX(J$470:J3079)&gt;U3078,U3078,(J3079-MAX(J$470:J3079))/MAX(J$470:J3079))</f>
        <v>-0.83569785939843477</v>
      </c>
      <c r="V3079" s="564">
        <f>IF((K3079-MAX(K$470:K3079))/MAX(K$470:K3079)&gt;V3078,V3078,(K3079-MAX(K$470:K3079))/MAX(K$470:K3079))</f>
        <v>-0.84885940676762139</v>
      </c>
      <c r="W3079" s="564">
        <f>IF((N3079-MAX(N$470:N3079))/MAX(N$470:N3079)&gt;W3078,W3078,(N3079-MAX(N$470:N3079))/MAX(N$470:N3079))</f>
        <v>-0.62788758315546067</v>
      </c>
      <c r="X3079" s="564">
        <f>IF((O3079-MAX(O$470:O3079))/MAX(O$470:O3079)&gt;X3078,X3078,(O3079-MAX(O$470:O3079))/MAX(O$470:O3079))</f>
        <v>-0.62788758315546067</v>
      </c>
    </row>
    <row r="3080" spans="1:24">
      <c r="A3080" s="799">
        <v>43482</v>
      </c>
      <c r="B3080">
        <v>3638.1620931900002</v>
      </c>
      <c r="C3080">
        <v>5620.0060249999997</v>
      </c>
      <c r="D3080">
        <v>0.81483000000000005</v>
      </c>
      <c r="E3080">
        <f>LN(D3080/参数实验室!$E$53)/参数实验室!$E$55</f>
        <v>-0.93455318048569358</v>
      </c>
      <c r="F3080">
        <f t="shared" si="428"/>
        <v>1.544737667274271</v>
      </c>
      <c r="G3080">
        <f>LN(F3080/参数实验室!$E$58)/参数实验室!$E$59</f>
        <v>3.7704908558479779E-2</v>
      </c>
      <c r="H3080" s="856">
        <f>INDEX(神经网络!$G$10:$BO$70,MATCH(ROUND(G3080*2,1)/2,神经网络!$E$10:$E$70,0),MATCH(ROUND(E3080*2,1)/2,神经网络!$G$8:$BO$8,0))</f>
        <v>-8.4970844332659848E-2</v>
      </c>
      <c r="I3080">
        <f t="shared" si="420"/>
        <v>679393.45988103573</v>
      </c>
      <c r="J3080">
        <f t="shared" si="421"/>
        <v>1451.7226340489187</v>
      </c>
      <c r="K3080">
        <f t="shared" si="422"/>
        <v>467.99122914146295</v>
      </c>
      <c r="L3080" s="4">
        <f>MIN(MAX(L3079*(1+MAX(MIN(((B3080-B3079)/B3079)/($K$7*卓尔金历!$N$40),0),-卓尔金历!$M$43))+MIN(MAX(((B3080-B3079)/B3079)/($K$7*卓尔金历!$N$40),0),卓尔金历!$M$43),0),1)</f>
        <v>0.38950253295720405</v>
      </c>
      <c r="M3080" s="4">
        <f>MIN(MAX(M3079*(1+MAX(MIN(((B3080-B3079)/B3079)/($K$7*30),0),-卓尔金历!$M$43))+MIN(MAX(((B3080-B3079)/B3079)/($K$7*7),0),卓尔金历!$M$43),0),1)</f>
        <v>0.90748790672008894</v>
      </c>
      <c r="N3080">
        <f t="shared" si="423"/>
        <v>259079.89891271852</v>
      </c>
      <c r="O3080">
        <f t="shared" si="424"/>
        <v>729575.29581180145</v>
      </c>
      <c r="P3080">
        <f t="shared" si="425"/>
        <v>-6.3336305825087294E-3</v>
      </c>
      <c r="Q3080">
        <f t="shared" si="426"/>
        <v>2.57064968306937E-2</v>
      </c>
      <c r="R3080">
        <f t="shared" si="427"/>
        <v>1</v>
      </c>
      <c r="S3080">
        <f t="shared" si="419"/>
        <v>1184.1822161285595</v>
      </c>
      <c r="T3080" s="564">
        <f>IF((I3080-MAX(I$470:I3080))/MAX(I$470:I3080)&gt;T3079,T3079,(I3080-MAX(I$470:I3080))/MAX(I$470:I3080))</f>
        <v>-0.91338805338419748</v>
      </c>
      <c r="U3080" s="564">
        <f>IF((J3080-MAX(J$470:J3080))/MAX(J$470:J3080)&gt;U3079,U3079,(J3080-MAX(J$470:J3080))/MAX(J$470:J3080))</f>
        <v>-0.83569785939843477</v>
      </c>
      <c r="V3080" s="564">
        <f>IF((K3080-MAX(K$470:K3080))/MAX(K$470:K3080)&gt;V3079,V3079,(K3080-MAX(K$470:K3080))/MAX(K$470:K3080))</f>
        <v>-0.84885940676762139</v>
      </c>
      <c r="W3080" s="564">
        <f>IF((N3080-MAX(N$470:N3080))/MAX(N$470:N3080)&gt;W3079,W3079,(N3080-MAX(N$470:N3080))/MAX(N$470:N3080))</f>
        <v>-0.62788758315546067</v>
      </c>
      <c r="X3080" s="564">
        <f>IF((O3080-MAX(O$470:O3080))/MAX(O$470:O3080)&gt;X3079,X3079,(O3080-MAX(O$470:O3080))/MAX(O$470:O3080))</f>
        <v>-0.62788758315546067</v>
      </c>
    </row>
    <row r="3081" spans="1:24">
      <c r="A3081" s="799">
        <v>43483</v>
      </c>
      <c r="B3081">
        <v>3660.3639183599998</v>
      </c>
      <c r="C3081">
        <v>5662.6962800000001</v>
      </c>
      <c r="D3081">
        <v>0.80838100000000002</v>
      </c>
      <c r="E3081">
        <f>LN(D3081/参数实验室!$E$53)/参数实验室!$E$55</f>
        <v>-0.94392752393434831</v>
      </c>
      <c r="F3081">
        <f t="shared" si="428"/>
        <v>1.5470309527412047</v>
      </c>
      <c r="G3081">
        <f>LN(F3081/参数实验室!$E$58)/参数实验室!$E$59</f>
        <v>3.8483518162191137E-2</v>
      </c>
      <c r="H3081" s="856">
        <f>INDEX(神经网络!$G$10:$BO$70,MATCH(ROUND(G3081*2,1)/2,神经网络!$E$10:$E$70,0),MATCH(ROUND(E3081*2,1)/2,神经网络!$G$8:$BO$8,0))</f>
        <v>-8.4970844332659848E-2</v>
      </c>
      <c r="I3081">
        <f t="shared" si="420"/>
        <v>679041.17181657557</v>
      </c>
      <c r="J3081">
        <f t="shared" si="421"/>
        <v>1460.5817478791728</v>
      </c>
      <c r="K3081">
        <f t="shared" si="422"/>
        <v>464.9114455952722</v>
      </c>
      <c r="L3081" s="4">
        <f>MIN(MAX(L3080*(1+MAX(MIN(((B3081-B3080)/B3080)/($K$7*卓尔金历!$N$40),0),-卓尔金历!$M$43))+MIN(MAX(((B3081-B3080)/B3080)/($K$7*卓尔金历!$N$40),0),卓尔金历!$M$43),0),1)</f>
        <v>0.48274262903064835</v>
      </c>
      <c r="M3081" s="4">
        <f>MIN(MAX(M3080*(1+MAX(MIN(((B3081-B3080)/B3080)/($K$7*30),0),-卓尔金历!$M$43))+MIN(MAX(((B3081-B3080)/B3080)/($K$7*7),0),卓尔金历!$M$43),0),1)</f>
        <v>1</v>
      </c>
      <c r="N3081">
        <f t="shared" si="423"/>
        <v>259027.57254692866</v>
      </c>
      <c r="O3081">
        <f t="shared" si="424"/>
        <v>729231.98495804402</v>
      </c>
      <c r="P3081">
        <f t="shared" si="425"/>
        <v>6.1024837820056396E-3</v>
      </c>
      <c r="Q3081">
        <f t="shared" si="426"/>
        <v>2.4865658982924071E-2</v>
      </c>
      <c r="R3081">
        <f t="shared" si="427"/>
        <v>1</v>
      </c>
      <c r="S3081">
        <f t="shared" si="419"/>
        <v>1183.5681783352591</v>
      </c>
      <c r="T3081" s="564">
        <f>IF((I3081-MAX(I$470:I3081))/MAX(I$470:I3081)&gt;T3080,T3080,(I3081-MAX(I$470:I3081))/MAX(I$470:I3081))</f>
        <v>-0.91338805338419748</v>
      </c>
      <c r="U3081" s="564">
        <f>IF((J3081-MAX(J$470:J3081))/MAX(J$470:J3081)&gt;U3080,U3080,(J3081-MAX(J$470:J3081))/MAX(J$470:J3081))</f>
        <v>-0.83569785939843477</v>
      </c>
      <c r="V3081" s="564">
        <f>IF((K3081-MAX(K$470:K3081))/MAX(K$470:K3081)&gt;V3080,V3080,(K3081-MAX(K$470:K3081))/MAX(K$470:K3081))</f>
        <v>-0.84885940676762139</v>
      </c>
      <c r="W3081" s="564">
        <f>IF((N3081-MAX(N$470:N3081))/MAX(N$470:N3081)&gt;W3080,W3080,(N3081-MAX(N$470:N3081))/MAX(N$470:N3081))</f>
        <v>-0.62788758315546067</v>
      </c>
      <c r="X3081" s="564">
        <f>IF((O3081-MAX(O$470:O3081))/MAX(O$470:O3081)&gt;X3080,X3080,(O3081-MAX(O$470:O3081))/MAX(O$470:O3081))</f>
        <v>-0.62788758315546067</v>
      </c>
    </row>
    <row r="3082" spans="1:24">
      <c r="A3082" s="799">
        <v>43484</v>
      </c>
      <c r="B3082">
        <v>3754.7836548999999</v>
      </c>
      <c r="C3082">
        <v>5671.8953160000001</v>
      </c>
      <c r="D3082">
        <v>0.82616400000000001</v>
      </c>
      <c r="E3082">
        <f>LN(D3082/参数实验室!$E$53)/参数实验室!$E$55</f>
        <v>-0.91825630689081517</v>
      </c>
      <c r="F3082">
        <f t="shared" si="428"/>
        <v>1.5105784613177822</v>
      </c>
      <c r="G3082">
        <f>LN(F3082/参数实验室!$E$58)/参数实验室!$E$59</f>
        <v>2.5968418015857937E-2</v>
      </c>
      <c r="H3082" s="856">
        <f>INDEX(神经网络!$G$10:$BO$70,MATCH(ROUND(G3082*2,1)/2,神经网络!$E$10:$E$70,0),MATCH(ROUND(E3082*2,1)/2,神经网络!$G$8:$BO$8,0))</f>
        <v>-0.10645589364307358</v>
      </c>
      <c r="I3082">
        <f t="shared" si="420"/>
        <v>677552.82357162528</v>
      </c>
      <c r="J3082">
        <f t="shared" si="421"/>
        <v>1498.2577131399364</v>
      </c>
      <c r="K3082">
        <f t="shared" si="422"/>
        <v>452.22715533475264</v>
      </c>
      <c r="L3082" s="4">
        <f>MIN(MAX(L3081*(1+MAX(MIN(((B3082-B3081)/B3081)/($K$7*卓尔金历!$N$40),0),-卓尔金历!$M$43))+MIN(MAX(((B3082-B3081)/B3081)/($K$7*卓尔金历!$N$40),0),卓尔金历!$M$43),0),1)</f>
        <v>0.87686818557765722</v>
      </c>
      <c r="M3082" s="4">
        <f>MIN(MAX(M3081*(1+MAX(MIN(((B3082-B3081)/B3081)/($K$7*30),0),-卓尔金历!$M$43))+MIN(MAX(((B3082-B3081)/B3081)/($K$7*7),0),卓尔金历!$M$43),0),1)</f>
        <v>1</v>
      </c>
      <c r="N3082">
        <f t="shared" si="423"/>
        <v>258753.49712002926</v>
      </c>
      <c r="O3082">
        <f t="shared" si="424"/>
        <v>727633.62658152555</v>
      </c>
      <c r="P3082">
        <f t="shared" si="425"/>
        <v>2.5795177377418835E-2</v>
      </c>
      <c r="Q3082">
        <f t="shared" si="426"/>
        <v>2.1562312274277927E-2</v>
      </c>
      <c r="R3082">
        <f t="shared" si="427"/>
        <v>2.0408724280733814E-2</v>
      </c>
      <c r="S3082">
        <f t="shared" si="419"/>
        <v>1180.9739886246532</v>
      </c>
      <c r="T3082" s="564">
        <f>IF((I3082-MAX(I$470:I3082))/MAX(I$470:I3082)&gt;T3081,T3081,(I3082-MAX(I$470:I3082))/MAX(I$470:I3082))</f>
        <v>-0.91338805338419748</v>
      </c>
      <c r="U3082" s="564">
        <f>IF((J3082-MAX(J$470:J3082))/MAX(J$470:J3082)&gt;U3081,U3081,(J3082-MAX(J$470:J3082))/MAX(J$470:J3082))</f>
        <v>-0.83569785939843477</v>
      </c>
      <c r="V3082" s="564">
        <f>IF((K3082-MAX(K$470:K3082))/MAX(K$470:K3082)&gt;V3081,V3081,(K3082-MAX(K$470:K3082))/MAX(K$470:K3082))</f>
        <v>-0.84885940676762139</v>
      </c>
      <c r="W3082" s="564">
        <f>IF((N3082-MAX(N$470:N3082))/MAX(N$470:N3082)&gt;W3081,W3081,(N3082-MAX(N$470:N3082))/MAX(N$470:N3082))</f>
        <v>-0.62788758315546067</v>
      </c>
      <c r="X3082" s="564">
        <f>IF((O3082-MAX(O$470:O3082))/MAX(O$470:O3082)&gt;X3081,X3081,(O3082-MAX(O$470:O3082))/MAX(O$470:O3082))</f>
        <v>-0.62788758315546067</v>
      </c>
    </row>
    <row r="3083" spans="1:24">
      <c r="A3083" s="799">
        <v>43485</v>
      </c>
      <c r="B3083">
        <v>3733.1532261799998</v>
      </c>
      <c r="C3083">
        <v>5610.6847319999997</v>
      </c>
      <c r="D3083">
        <v>0.79320000000000002</v>
      </c>
      <c r="E3083">
        <f>LN(D3083/参数实验室!$E$53)/参数实验室!$E$55</f>
        <v>-0.96629338667434372</v>
      </c>
      <c r="F3083">
        <f t="shared" si="428"/>
        <v>1.5029344878354243</v>
      </c>
      <c r="G3083">
        <f>LN(F3083/参数实验室!$E$58)/参数实验室!$E$59</f>
        <v>2.3305758813981916E-2</v>
      </c>
      <c r="H3083" s="856">
        <f>INDEX(神经网络!$G$10:$BO$70,MATCH(ROUND(G3083*2,1)/2,神经网络!$E$10:$E$70,0),MATCH(ROUND(E3083*2,1)/2,神经网络!$G$8:$BO$8,0))</f>
        <v>-0.18770289180533153</v>
      </c>
      <c r="I3083">
        <f t="shared" si="420"/>
        <v>677968.34466793435</v>
      </c>
      <c r="J3083">
        <f t="shared" si="421"/>
        <v>1489.6266015641811</v>
      </c>
      <c r="K3083">
        <f t="shared" si="422"/>
        <v>455.12636788040322</v>
      </c>
      <c r="L3083" s="4">
        <f>MIN(MAX(L3082*(1+MAX(MIN(((B3083-B3082)/B3082)/($K$7*卓尔金历!$N$40),0),-卓尔金历!$M$43))+MIN(MAX(((B3083-B3082)/B3082)/($K$7*卓尔金历!$N$40),0),卓尔金历!$M$43),0),1)</f>
        <v>0.7996871501711238</v>
      </c>
      <c r="M3083" s="4">
        <f>MIN(MAX(M3082*(1+MAX(MIN(((B3083-B3082)/B3082)/($K$7*30),0),-卓尔金历!$M$43))+MIN(MAX(((B3083-B3082)/B3082)/($K$7*7),0),卓尔金历!$M$43),0),1)</f>
        <v>0.95599051449466799</v>
      </c>
      <c r="N3083">
        <f t="shared" si="423"/>
        <v>258892.64303475234</v>
      </c>
      <c r="O3083">
        <f t="shared" si="424"/>
        <v>728079.86060448294</v>
      </c>
      <c r="P3083">
        <f t="shared" si="425"/>
        <v>-5.7607656547061783E-3</v>
      </c>
      <c r="Q3083">
        <f t="shared" si="426"/>
        <v>2.1580348457866955E-2</v>
      </c>
      <c r="R3083">
        <f t="shared" si="427"/>
        <v>1</v>
      </c>
      <c r="S3083">
        <f t="shared" si="419"/>
        <v>1180.9887697026727</v>
      </c>
      <c r="T3083" s="564">
        <f>IF((I3083-MAX(I$470:I3083))/MAX(I$470:I3083)&gt;T3082,T3082,(I3083-MAX(I$470:I3083))/MAX(I$470:I3083))</f>
        <v>-0.91338805338419748</v>
      </c>
      <c r="U3083" s="564">
        <f>IF((J3083-MAX(J$470:J3083))/MAX(J$470:J3083)&gt;U3082,U3082,(J3083-MAX(J$470:J3083))/MAX(J$470:J3083))</f>
        <v>-0.83569785939843477</v>
      </c>
      <c r="V3083" s="564">
        <f>IF((K3083-MAX(K$470:K3083))/MAX(K$470:K3083)&gt;V3082,V3082,(K3083-MAX(K$470:K3083))/MAX(K$470:K3083))</f>
        <v>-0.84885940676762139</v>
      </c>
      <c r="W3083" s="564">
        <f>IF((N3083-MAX(N$470:N3083))/MAX(N$470:N3083)&gt;W3082,W3082,(N3083-MAX(N$470:N3083))/MAX(N$470:N3083))</f>
        <v>-0.62788758315546067</v>
      </c>
      <c r="X3083" s="564">
        <f>IF((O3083-MAX(O$470:O3083))/MAX(O$470:O3083)&gt;X3082,X3082,(O3083-MAX(O$470:O3083))/MAX(O$470:O3083))</f>
        <v>-0.62788758315546067</v>
      </c>
    </row>
    <row r="3084" spans="1:24">
      <c r="A3084" s="799">
        <v>43486</v>
      </c>
      <c r="B3084">
        <v>3578.2720405999999</v>
      </c>
      <c r="C3084">
        <v>5705.9532829999998</v>
      </c>
      <c r="D3084">
        <v>0.79297099999999998</v>
      </c>
      <c r="E3084">
        <f>LN(D3084/参数实验室!$E$53)/参数实验室!$E$55</f>
        <v>-0.96663403531152936</v>
      </c>
      <c r="F3084">
        <f t="shared" si="428"/>
        <v>1.5946113705885909</v>
      </c>
      <c r="G3084">
        <f>LN(F3084/参数实验室!$E$58)/参数实验室!$E$59</f>
        <v>5.438264462821979E-2</v>
      </c>
      <c r="H3084" s="856">
        <f>INDEX(神经网络!$G$10:$BO$70,MATCH(ROUND(G3084*2,1)/2,神经网络!$E$10:$E$70,0),MATCH(ROUND(E3084*2,1)/2,神经网络!$G$8:$BO$8,0))</f>
        <v>-8.4970844332659848E-2</v>
      </c>
      <c r="I3084">
        <f t="shared" si="420"/>
        <v>683247.97151572886</v>
      </c>
      <c r="J3084">
        <f t="shared" si="421"/>
        <v>1427.8249234268362</v>
      </c>
      <c r="K3084">
        <f t="shared" si="422"/>
        <v>478.52363430938487</v>
      </c>
      <c r="L3084" s="4">
        <f>MIN(MAX(L3083*(1+MAX(MIN(((B3084-B3083)/B3083)/($K$7*卓尔金历!$N$40),0),-卓尔金历!$M$43))+MIN(MAX(((B3084-B3083)/B3083)/($K$7*卓尔金历!$N$40),0),卓尔金历!$M$43),0),1)</f>
        <v>0.29276759554041798</v>
      </c>
      <c r="M3084" s="4">
        <f>MIN(MAX(M3083*(1+MAX(MIN(((B3084-B3083)/B3083)/($K$7*30),0),-卓尔金历!$M$43))+MIN(MAX(((B3084-B3083)/B3083)/($K$7*7),0),卓尔金历!$M$43),0),1)</f>
        <v>0.65299059400381387</v>
      </c>
      <c r="N3084">
        <f t="shared" si="423"/>
        <v>260504.8976877158</v>
      </c>
      <c r="O3084">
        <f t="shared" si="424"/>
        <v>733500.19916012068</v>
      </c>
      <c r="P3084">
        <f t="shared" si="425"/>
        <v>-4.1488033358460422E-2</v>
      </c>
      <c r="Q3084">
        <f t="shared" si="426"/>
        <v>2.3011093492983657E-2</v>
      </c>
      <c r="R3084">
        <f t="shared" si="427"/>
        <v>8.8602737187631515E-3</v>
      </c>
      <c r="S3084">
        <f t="shared" si="419"/>
        <v>1190.1856297987292</v>
      </c>
      <c r="T3084" s="564">
        <f>IF((I3084-MAX(I$470:I3084))/MAX(I$470:I3084)&gt;T3083,T3083,(I3084-MAX(I$470:I3084))/MAX(I$470:I3084))</f>
        <v>-0.91338805338419748</v>
      </c>
      <c r="U3084" s="564">
        <f>IF((J3084-MAX(J$470:J3084))/MAX(J$470:J3084)&gt;U3083,U3083,(J3084-MAX(J$470:J3084))/MAX(J$470:J3084))</f>
        <v>-0.83569785939843477</v>
      </c>
      <c r="V3084" s="564">
        <f>IF((K3084-MAX(K$470:K3084))/MAX(K$470:K3084)&gt;V3083,V3083,(K3084-MAX(K$470:K3084))/MAX(K$470:K3084))</f>
        <v>-0.84885940676762139</v>
      </c>
      <c r="W3084" s="564">
        <f>IF((N3084-MAX(N$470:N3084))/MAX(N$470:N3084)&gt;W3083,W3083,(N3084-MAX(N$470:N3084))/MAX(N$470:N3084))</f>
        <v>-0.62788758315546067</v>
      </c>
      <c r="X3084" s="564">
        <f>IF((O3084-MAX(O$470:O3084))/MAX(O$470:O3084)&gt;X3083,X3083,(O3084-MAX(O$470:O3084))/MAX(O$470:O3084))</f>
        <v>-0.62788758315546067</v>
      </c>
    </row>
    <row r="3085" spans="1:24">
      <c r="A3085" s="799">
        <v>43487</v>
      </c>
      <c r="B3085">
        <v>3564.1327421999999</v>
      </c>
      <c r="C3085">
        <v>5884.9471629999998</v>
      </c>
      <c r="D3085">
        <v>0.80398599999999998</v>
      </c>
      <c r="E3085">
        <f>LN(D3085/参数实验室!$E$53)/参数实验室!$E$55</f>
        <v>-0.95035909732787971</v>
      </c>
      <c r="F3085">
        <f t="shared" si="428"/>
        <v>1.6511582448434432</v>
      </c>
      <c r="G3085">
        <f>LN(F3085/参数实验室!$E$58)/参数实验室!$E$59</f>
        <v>7.2672210623850431E-2</v>
      </c>
      <c r="H3085" s="856">
        <f>INDEX(神经网络!$G$10:$BO$70,MATCH(ROUND(G3085*2,1)/2,神经网络!$E$10:$E$70,0),MATCH(ROUND(E3085*2,1)/2,神经网络!$G$8:$BO$8,0))</f>
        <v>-8.4970844332659848E-2</v>
      </c>
      <c r="I3085">
        <f t="shared" si="420"/>
        <v>683477.37646841723</v>
      </c>
      <c r="J3085">
        <f t="shared" si="421"/>
        <v>1422.1829704321435</v>
      </c>
      <c r="K3085">
        <f t="shared" si="422"/>
        <v>480.58329390678631</v>
      </c>
      <c r="L3085" s="4">
        <f>MIN(MAX(L3084*(1+MAX(MIN(((B3085-B3084)/B3084)/($K$7*卓尔金历!$N$40),0),-卓尔金历!$M$43))+MIN(MAX(((B3085-B3084)/B3084)/($K$7*卓尔金历!$N$40),0),卓尔金历!$M$43),0),1)</f>
        <v>0.27509201896246638</v>
      </c>
      <c r="M3085" s="4">
        <f>MIN(MAX(M3084*(1+MAX(MIN(((B3085-B3084)/B3084)/($K$7*30),0),-卓尔金历!$M$43))+MIN(MAX(((B3085-B3084)/B3084)/($K$7*7),0),卓尔金历!$M$43),0),1)</f>
        <v>0.63327873820964509</v>
      </c>
      <c r="N3085">
        <f t="shared" si="423"/>
        <v>260530.50496106705</v>
      </c>
      <c r="O3085">
        <f t="shared" si="424"/>
        <v>733661.01602837059</v>
      </c>
      <c r="P3085">
        <f t="shared" si="425"/>
        <v>-3.9514319312706752E-3</v>
      </c>
      <c r="Q3085">
        <f t="shared" si="426"/>
        <v>2.2833890398396266E-2</v>
      </c>
      <c r="R3085">
        <f t="shared" si="427"/>
        <v>1</v>
      </c>
      <c r="S3085">
        <f t="shared" si="419"/>
        <v>1190.1891704754842</v>
      </c>
      <c r="T3085" s="564">
        <f>IF((I3085-MAX(I$470:I3085))/MAX(I$470:I3085)&gt;T3084,T3084,(I3085-MAX(I$470:I3085))/MAX(I$470:I3085))</f>
        <v>-0.91338805338419748</v>
      </c>
      <c r="U3085" s="564">
        <f>IF((J3085-MAX(J$470:J3085))/MAX(J$470:J3085)&gt;U3084,U3084,(J3085-MAX(J$470:J3085))/MAX(J$470:J3085))</f>
        <v>-0.83569785939843477</v>
      </c>
      <c r="V3085" s="564">
        <f>IF((K3085-MAX(K$470:K3085))/MAX(K$470:K3085)&gt;V3084,V3084,(K3085-MAX(K$470:K3085))/MAX(K$470:K3085))</f>
        <v>-0.84885940676762139</v>
      </c>
      <c r="W3085" s="564">
        <f>IF((N3085-MAX(N$470:N3085))/MAX(N$470:N3085)&gt;W3084,W3084,(N3085-MAX(N$470:N3085))/MAX(N$470:N3085))</f>
        <v>-0.62788758315546067</v>
      </c>
      <c r="X3085" s="564">
        <f>IF((O3085-MAX(O$470:O3085))/MAX(O$470:O3085)&gt;X3084,X3084,(O3085-MAX(O$470:O3085))/MAX(O$470:O3085))</f>
        <v>-0.62788758315546067</v>
      </c>
    </row>
    <row r="3086" spans="1:24">
      <c r="A3086" s="799">
        <v>43488</v>
      </c>
      <c r="B3086">
        <v>3604.2195756599999</v>
      </c>
      <c r="C3086">
        <v>5910.5744519999998</v>
      </c>
      <c r="D3086">
        <v>0.79874599999999996</v>
      </c>
      <c r="E3086">
        <f>LN(D3086/参数实验室!$E$53)/参数实验室!$E$55</f>
        <v>-0.95807333654551208</v>
      </c>
      <c r="F3086">
        <f t="shared" si="428"/>
        <v>1.6399040979398884</v>
      </c>
      <c r="G3086">
        <f>LN(F3086/参数实验室!$E$58)/参数实验室!$E$59</f>
        <v>6.9082605254637552E-2</v>
      </c>
      <c r="H3086" s="856">
        <f>INDEX(神经网络!$G$10:$BO$70,MATCH(ROUND(G3086*2,1)/2,神经网络!$E$10:$E$70,0),MATCH(ROUND(E3086*2,1)/2,神经网络!$G$8:$BO$8,0))</f>
        <v>-8.4970844332659848E-2</v>
      </c>
      <c r="I3086">
        <f t="shared" si="420"/>
        <v>682824.18281138048</v>
      </c>
      <c r="J3086">
        <f t="shared" si="421"/>
        <v>1438.178674298709</v>
      </c>
      <c r="K3086">
        <f t="shared" si="422"/>
        <v>474.78397157039075</v>
      </c>
      <c r="L3086" s="4">
        <f>MIN(MAX(L3085*(1+MAX(MIN(((B3086-B3085)/B3085)/($K$7*卓尔金历!$N$40),0),-卓尔金历!$M$43))+MIN(MAX(((B3086-B3085)/B3085)/($K$7*卓尔金历!$N$40),0),卓尔金历!$M$43),0),1)</f>
        <v>0.4469398122728826</v>
      </c>
      <c r="M3086" s="4">
        <f>MIN(MAX(M3085*(1+MAX(MIN(((B3086-B3085)/B3085)/($K$7*30),0),-卓尔金历!$M$43))+MIN(MAX(((B3086-B3085)/B3085)/($K$7*7),0),卓尔金历!$M$43),0),1)</f>
        <v>1</v>
      </c>
      <c r="N3086">
        <f t="shared" si="423"/>
        <v>260462.01066810283</v>
      </c>
      <c r="O3086">
        <f t="shared" si="424"/>
        <v>733216.9902694911</v>
      </c>
      <c r="P3086">
        <f t="shared" si="425"/>
        <v>1.1247289694170017E-2</v>
      </c>
      <c r="Q3086">
        <f t="shared" si="426"/>
        <v>2.2434892120483729E-2</v>
      </c>
      <c r="R3086">
        <f t="shared" si="427"/>
        <v>0.72909071635522593</v>
      </c>
      <c r="S3086">
        <f t="shared" si="419"/>
        <v>1189.0517165617271</v>
      </c>
      <c r="T3086" s="564">
        <f>IF((I3086-MAX(I$470:I3086))/MAX(I$470:I3086)&gt;T3085,T3085,(I3086-MAX(I$470:I3086))/MAX(I$470:I3086))</f>
        <v>-0.91338805338419748</v>
      </c>
      <c r="U3086" s="564">
        <f>IF((J3086-MAX(J$470:J3086))/MAX(J$470:J3086)&gt;U3085,U3085,(J3086-MAX(J$470:J3086))/MAX(J$470:J3086))</f>
        <v>-0.83569785939843477</v>
      </c>
      <c r="V3086" s="564">
        <f>IF((K3086-MAX(K$470:K3086))/MAX(K$470:K3086)&gt;V3085,V3085,(K3086-MAX(K$470:K3086))/MAX(K$470:K3086))</f>
        <v>-0.84885940676762139</v>
      </c>
      <c r="W3086" s="564">
        <f>IF((N3086-MAX(N$470:N3086))/MAX(N$470:N3086)&gt;W3085,W3085,(N3086-MAX(N$470:N3086))/MAX(N$470:N3086))</f>
        <v>-0.62788758315546067</v>
      </c>
      <c r="X3086" s="564">
        <f>IF((O3086-MAX(O$470:O3086))/MAX(O$470:O3086)&gt;X3085,X3085,(O3086-MAX(O$470:O3086))/MAX(O$470:O3086))</f>
        <v>-0.62788758315546067</v>
      </c>
    </row>
    <row r="3087" spans="1:24">
      <c r="A3087" s="799">
        <v>43489</v>
      </c>
      <c r="B3087">
        <v>3575.6947324900002</v>
      </c>
      <c r="C3087">
        <v>5900.8940890000003</v>
      </c>
      <c r="D3087">
        <v>0.802566</v>
      </c>
      <c r="E3087">
        <f>LN(D3087/参数实验室!$E$53)/参数实验室!$E$55</f>
        <v>-0.95244461966727589</v>
      </c>
      <c r="F3087">
        <f t="shared" si="428"/>
        <v>1.6502790451831455</v>
      </c>
      <c r="G3087">
        <f>LN(F3087/参数实验室!$E$58)/参数实验室!$E$59</f>
        <v>7.2392664797742548E-2</v>
      </c>
      <c r="H3087" s="856">
        <f>INDEX(神经网络!$G$10:$BO$70,MATCH(ROUND(G3087*2,1)/2,神经网络!$E$10:$E$70,0),MATCH(ROUND(E3087*2,1)/2,神经网络!$G$8:$BO$8,0))</f>
        <v>-8.4970844332659848E-2</v>
      </c>
      <c r="I3087">
        <f t="shared" si="420"/>
        <v>683283.37115131167</v>
      </c>
      <c r="J3087">
        <f t="shared" si="421"/>
        <v>1426.7965095127868</v>
      </c>
      <c r="K3087">
        <f t="shared" si="422"/>
        <v>478.89335766922704</v>
      </c>
      <c r="L3087" s="4">
        <f>MIN(MAX(L3086*(1+MAX(MIN(((B3087-B3086)/B3086)/($K$7*卓尔金历!$N$40),0),-卓尔金历!$M$43))+MIN(MAX(((B3087-B3086)/B3086)/($K$7*卓尔金历!$N$40),0),卓尔金历!$M$43),0),1)</f>
        <v>0.39289461021307154</v>
      </c>
      <c r="M3087" s="4">
        <f>MIN(MAX(M3086*(1+MAX(MIN(((B3087-B3086)/B3086)/($K$7*30),0),-卓尔金历!$M$43))+MIN(MAX(((B3087-B3086)/B3086)/($K$7*7),0),卓尔金历!$M$43),0),1)</f>
        <v>0.93953861283360751</v>
      </c>
      <c r="N3087">
        <f t="shared" si="423"/>
        <v>260540.29509724793</v>
      </c>
      <c r="O3087">
        <f t="shared" si="424"/>
        <v>733710.06696631364</v>
      </c>
      <c r="P3087">
        <f t="shared" si="425"/>
        <v>-7.9142911721121426E-3</v>
      </c>
      <c r="Q3087">
        <f t="shared" si="426"/>
        <v>2.2293756859948735E-2</v>
      </c>
      <c r="R3087">
        <f t="shared" si="427"/>
        <v>1</v>
      </c>
      <c r="S3087">
        <f t="shared" si="419"/>
        <v>1189.6347108105197</v>
      </c>
      <c r="T3087" s="564">
        <f>IF((I3087-MAX(I$470:I3087))/MAX(I$470:I3087)&gt;T3086,T3086,(I3087-MAX(I$470:I3087))/MAX(I$470:I3087))</f>
        <v>-0.91338805338419748</v>
      </c>
      <c r="U3087" s="564">
        <f>IF((J3087-MAX(J$470:J3087))/MAX(J$470:J3087)&gt;U3086,U3086,(J3087-MAX(J$470:J3087))/MAX(J$470:J3087))</f>
        <v>-0.83569785939843477</v>
      </c>
      <c r="V3087" s="564">
        <f>IF((K3087-MAX(K$470:K3087))/MAX(K$470:K3087)&gt;V3086,V3086,(K3087-MAX(K$470:K3087))/MAX(K$470:K3087))</f>
        <v>-0.84885940676762139</v>
      </c>
      <c r="W3087" s="564">
        <f>IF((N3087-MAX(N$470:N3087))/MAX(N$470:N3087)&gt;W3086,W3086,(N3087-MAX(N$470:N3087))/MAX(N$470:N3087))</f>
        <v>-0.62788758315546067</v>
      </c>
      <c r="X3087" s="564">
        <f>IF((O3087-MAX(O$470:O3087))/MAX(O$470:O3087)&gt;X3086,X3086,(O3087-MAX(O$470:O3087))/MAX(O$470:O3087))</f>
        <v>-0.62788758315546067</v>
      </c>
    </row>
    <row r="3088" spans="1:24">
      <c r="A3088" s="799">
        <v>43490</v>
      </c>
      <c r="B3088">
        <v>3581.3797197600002</v>
      </c>
      <c r="C3088">
        <v>5978.4033509999999</v>
      </c>
      <c r="D3088">
        <v>0.80172500000000002</v>
      </c>
      <c r="E3088">
        <f>LN(D3088/参数实验室!$E$53)/参数实验室!$E$55</f>
        <v>-0.95368151817143199</v>
      </c>
      <c r="F3088">
        <f t="shared" si="428"/>
        <v>1.6693017269335049</v>
      </c>
      <c r="G3088">
        <f>LN(F3088/参数实验室!$E$58)/参数实验室!$E$59</f>
        <v>7.8408027219002335E-2</v>
      </c>
      <c r="H3088" s="856">
        <f>INDEX(神经网络!$G$10:$BO$70,MATCH(ROUND(G3088*2,1)/2,神经网络!$E$10:$E$70,0),MATCH(ROUND(E3088*2,1)/2,神经网络!$G$8:$BO$8,0))</f>
        <v>-1.6113682648580298E-2</v>
      </c>
      <c r="I3088">
        <f t="shared" si="420"/>
        <v>683191.0630438173</v>
      </c>
      <c r="J3088">
        <f t="shared" si="421"/>
        <v>1429.0649693787138</v>
      </c>
      <c r="K3088">
        <f t="shared" si="422"/>
        <v>478.06858168305303</v>
      </c>
      <c r="L3088" s="4">
        <f>MIN(MAX(L3087*(1+MAX(MIN(((B3088-B3087)/B3087)/($K$7*卓尔金历!$N$40),0),-卓尔金历!$M$43))+MIN(MAX(((B3088-B3087)/B3087)/($K$7*卓尔金历!$N$40),0),卓尔金历!$M$43),0),1)</f>
        <v>0.41718671468781277</v>
      </c>
      <c r="M3088" s="4">
        <f>MIN(MAX(M3087*(1+MAX(MIN(((B3088-B3087)/B3087)/($K$7*30),0),-卓尔金历!$M$43))+MIN(MAX(((B3088-B3087)/B3087)/($K$7*7),0),卓尔金历!$M$43),0),1)</f>
        <v>0.99159312242233877</v>
      </c>
      <c r="N3088">
        <f t="shared" si="423"/>
        <v>260526.46612301536</v>
      </c>
      <c r="O3088">
        <f t="shared" si="424"/>
        <v>733616.93943152134</v>
      </c>
      <c r="P3088">
        <f t="shared" si="425"/>
        <v>1.5898972634168691E-3</v>
      </c>
      <c r="Q3088">
        <f t="shared" si="426"/>
        <v>2.2208059606894467E-2</v>
      </c>
      <c r="R3088">
        <f t="shared" si="427"/>
        <v>1</v>
      </c>
      <c r="S3088">
        <f t="shared" si="419"/>
        <v>1189.47399721291</v>
      </c>
      <c r="T3088" s="564">
        <f>IF((I3088-MAX(I$470:I3088))/MAX(I$470:I3088)&gt;T3087,T3087,(I3088-MAX(I$470:I3088))/MAX(I$470:I3088))</f>
        <v>-0.91338805338419748</v>
      </c>
      <c r="U3088" s="564">
        <f>IF((J3088-MAX(J$470:J3088))/MAX(J$470:J3088)&gt;U3087,U3087,(J3088-MAX(J$470:J3088))/MAX(J$470:J3088))</f>
        <v>-0.83569785939843477</v>
      </c>
      <c r="V3088" s="564">
        <f>IF((K3088-MAX(K$470:K3088))/MAX(K$470:K3088)&gt;V3087,V3087,(K3088-MAX(K$470:K3088))/MAX(K$470:K3088))</f>
        <v>-0.84885940676762139</v>
      </c>
      <c r="W3088" s="564">
        <f>IF((N3088-MAX(N$470:N3088))/MAX(N$470:N3088)&gt;W3087,W3087,(N3088-MAX(N$470:N3088))/MAX(N$470:N3088))</f>
        <v>-0.62788758315546067</v>
      </c>
      <c r="X3088" s="564">
        <f>IF((O3088-MAX(O$470:O3088))/MAX(O$470:O3088)&gt;X3087,X3087,(O3088-MAX(O$470:O3088))/MAX(O$470:O3088))</f>
        <v>-0.62788758315546067</v>
      </c>
    </row>
    <row r="3089" spans="1:24">
      <c r="A3089" s="799">
        <v>43491</v>
      </c>
      <c r="B3089">
        <v>3636.5997564999998</v>
      </c>
      <c r="C3089">
        <v>6077.9026690000001</v>
      </c>
      <c r="D3089">
        <v>0.80118100000000003</v>
      </c>
      <c r="E3089">
        <f>LN(D3089/参数实验室!$E$53)/参数实验室!$E$55</f>
        <v>-0.9544822959954109</v>
      </c>
      <c r="F3089">
        <f t="shared" si="428"/>
        <v>1.6713147104342332</v>
      </c>
      <c r="G3089">
        <f>LN(F3089/参数实验室!$E$58)/参数实验室!$E$59</f>
        <v>7.9040558775196806E-2</v>
      </c>
      <c r="H3089" s="856">
        <f>INDEX(神经网络!$G$10:$BO$70,MATCH(ROUND(G3089*2,1)/2,神经网络!$E$10:$E$70,0),MATCH(ROUND(E3089*2,1)/2,神经网络!$G$8:$BO$8,0))</f>
        <v>-1.6113682648580298E-2</v>
      </c>
      <c r="I3089">
        <f t="shared" si="420"/>
        <v>683021.32339315012</v>
      </c>
      <c r="J3089">
        <f t="shared" si="421"/>
        <v>1451.0992205019727</v>
      </c>
      <c r="K3089">
        <f t="shared" si="422"/>
        <v>470.69236461782083</v>
      </c>
      <c r="L3089" s="4">
        <f>MIN(MAX(L3088*(1+MAX(MIN(((B3089-B3088)/B3088)/($K$7*卓尔金历!$N$40),0),-卓尔金历!$M$43))+MIN(MAX(((B3089-B3088)/B3088)/($K$7*卓尔金历!$N$40),0),卓尔金历!$M$43),0),1)</f>
        <v>0.65276887483323232</v>
      </c>
      <c r="M3089" s="4">
        <f>MIN(MAX(M3088*(1+MAX(MIN(((B3089-B3088)/B3088)/($K$7*30),0),-卓尔金历!$M$43))+MIN(MAX(((B3089-B3088)/B3088)/($K$7*7),0),卓尔金历!$M$43),0),1)</f>
        <v>1</v>
      </c>
      <c r="N3089">
        <f t="shared" si="423"/>
        <v>260499.46241236079</v>
      </c>
      <c r="O3089">
        <f t="shared" si="424"/>
        <v>733436.20371546492</v>
      </c>
      <c r="P3089">
        <f t="shared" si="425"/>
        <v>1.5418648973558182E-2</v>
      </c>
      <c r="Q3089">
        <f t="shared" si="426"/>
        <v>2.2421956178621045E-2</v>
      </c>
      <c r="R3089">
        <f t="shared" si="427"/>
        <v>0.40498707061584821</v>
      </c>
      <c r="S3089">
        <f t="shared" si="419"/>
        <v>1189.1784709513909</v>
      </c>
      <c r="T3089" s="564">
        <f>IF((I3089-MAX(I$470:I3089))/MAX(I$470:I3089)&gt;T3088,T3088,(I3089-MAX(I$470:I3089))/MAX(I$470:I3089))</f>
        <v>-0.91338805338419748</v>
      </c>
      <c r="U3089" s="564">
        <f>IF((J3089-MAX(J$470:J3089))/MAX(J$470:J3089)&gt;U3088,U3088,(J3089-MAX(J$470:J3089))/MAX(J$470:J3089))</f>
        <v>-0.83569785939843477</v>
      </c>
      <c r="V3089" s="564">
        <f>IF((K3089-MAX(K$470:K3089))/MAX(K$470:K3089)&gt;V3088,V3088,(K3089-MAX(K$470:K3089))/MAX(K$470:K3089))</f>
        <v>-0.84885940676762139</v>
      </c>
      <c r="W3089" s="564">
        <f>IF((N3089-MAX(N$470:N3089))/MAX(N$470:N3089)&gt;W3088,W3088,(N3089-MAX(N$470:N3089))/MAX(N$470:N3089))</f>
        <v>-0.62788758315546067</v>
      </c>
      <c r="X3089" s="564">
        <f>IF((O3089-MAX(O$470:O3089))/MAX(O$470:O3089)&gt;X3088,X3088,(O3089-MAX(O$470:O3089))/MAX(O$470:O3089))</f>
        <v>-0.62788758315546067</v>
      </c>
    </row>
    <row r="3090" spans="1:24">
      <c r="A3090" s="799">
        <v>43492</v>
      </c>
      <c r="B3090">
        <v>3573.8919480300001</v>
      </c>
      <c r="C3090">
        <v>6204.6613509999997</v>
      </c>
      <c r="D3090">
        <v>0.79718199999999995</v>
      </c>
      <c r="E3090">
        <f>LN(D3090/参数实验室!$E$53)/参数实验室!$E$55</f>
        <v>-0.96038563968732638</v>
      </c>
      <c r="F3090">
        <f t="shared" si="428"/>
        <v>1.7361077058919288</v>
      </c>
      <c r="G3090">
        <f>LN(F3090/参数实验室!$E$58)/参数实验室!$E$59</f>
        <v>9.9003428707467603E-2</v>
      </c>
      <c r="H3090" s="856">
        <f>INDEX(神经网络!$G$10:$BO$70,MATCH(ROUND(G3090*2,1)/2,神经网络!$E$10:$E$70,0),MATCH(ROUND(E3090*2,1)/2,神经网络!$G$8:$BO$8,0))</f>
        <v>-1.6113682648580298E-2</v>
      </c>
      <c r="I3090">
        <f t="shared" si="420"/>
        <v>683211.10546620633</v>
      </c>
      <c r="J3090">
        <f t="shared" si="421"/>
        <v>1426.0771509636463</v>
      </c>
      <c r="K3090">
        <f t="shared" si="422"/>
        <v>479.08425221211809</v>
      </c>
      <c r="L3090" s="4">
        <f>MIN(MAX(L3089*(1+MAX(MIN(((B3090-B3089)/B3089)/($K$7*卓尔金历!$N$40),0),-卓尔金历!$M$43))+MIN(MAX(((B3090-B3089)/B3089)/($K$7*卓尔金历!$N$40),0),卓尔金历!$M$43),0),1)</f>
        <v>0.48078741358536992</v>
      </c>
      <c r="M3090" s="4">
        <f>MIN(MAX(M3089*(1+MAX(MIN(((B3090-B3089)/B3089)/($K$7*30),0),-卓尔金历!$M$43))+MIN(MAX(((B3090-B3089)/B3089)/($K$7*7),0),卓尔金历!$M$43),0),1)</f>
        <v>0.86826772240649519</v>
      </c>
      <c r="N3090">
        <f t="shared" si="423"/>
        <v>260546.71082187223</v>
      </c>
      <c r="O3090">
        <f t="shared" si="424"/>
        <v>733639.99390243017</v>
      </c>
      <c r="P3090">
        <f t="shared" si="425"/>
        <v>-1.7243527654622087E-2</v>
      </c>
      <c r="Q3090">
        <f t="shared" si="426"/>
        <v>2.2635130941484016E-2</v>
      </c>
      <c r="R3090">
        <f t="shared" si="427"/>
        <v>0.30058851600236308</v>
      </c>
      <c r="S3090">
        <f t="shared" si="419"/>
        <v>1189.312287283125</v>
      </c>
      <c r="T3090" s="564">
        <f>IF((I3090-MAX(I$470:I3090))/MAX(I$470:I3090)&gt;T3089,T3089,(I3090-MAX(I$470:I3090))/MAX(I$470:I3090))</f>
        <v>-0.91338805338419748</v>
      </c>
      <c r="U3090" s="564">
        <f>IF((J3090-MAX(J$470:J3090))/MAX(J$470:J3090)&gt;U3089,U3089,(J3090-MAX(J$470:J3090))/MAX(J$470:J3090))</f>
        <v>-0.83569785939843477</v>
      </c>
      <c r="V3090" s="564">
        <f>IF((K3090-MAX(K$470:K3090))/MAX(K$470:K3090)&gt;V3089,V3089,(K3090-MAX(K$470:K3090))/MAX(K$470:K3090))</f>
        <v>-0.84885940676762139</v>
      </c>
      <c r="W3090" s="564">
        <f>IF((N3090-MAX(N$470:N3090))/MAX(N$470:N3090)&gt;W3089,W3089,(N3090-MAX(N$470:N3090))/MAX(N$470:N3090))</f>
        <v>-0.62788758315546067</v>
      </c>
      <c r="X3090" s="564">
        <f>IF((O3090-MAX(O$470:O3090))/MAX(O$470:O3090)&gt;X3089,X3089,(O3090-MAX(O$470:O3090))/MAX(O$470:O3090))</f>
        <v>-0.62788758315546067</v>
      </c>
    </row>
    <row r="3091" spans="1:24">
      <c r="A3091" s="799">
        <v>43493</v>
      </c>
      <c r="B3091">
        <v>3478.9486338699999</v>
      </c>
      <c r="C3091">
        <v>6177.2568389999997</v>
      </c>
      <c r="D3091">
        <v>0.77522899999999995</v>
      </c>
      <c r="E3091">
        <f>LN(D3091/参数实验室!$E$53)/参数实验室!$E$55</f>
        <v>-0.99332970572479484</v>
      </c>
      <c r="F3091">
        <f t="shared" si="428"/>
        <v>1.775610245825443</v>
      </c>
      <c r="G3091">
        <f>LN(F3091/参数实验室!$E$58)/参数实验室!$E$59</f>
        <v>0.11081186129462083</v>
      </c>
      <c r="H3091" s="856">
        <f>INDEX(神经网络!$G$10:$BO$70,MATCH(ROUND(G3091*2,1)/2,神经网络!$E$10:$E$70,0),MATCH(ROUND(E3091*2,1)/2,神经网络!$G$8:$BO$8,0))</f>
        <v>-4.1170039005268881E-2</v>
      </c>
      <c r="I3091">
        <f t="shared" si="420"/>
        <v>683503.56965286774</v>
      </c>
      <c r="J3091">
        <f t="shared" si="421"/>
        <v>1388.1922644228061</v>
      </c>
      <c r="K3091">
        <f t="shared" si="422"/>
        <v>492.36952774481881</v>
      </c>
      <c r="L3091" s="4">
        <f>MIN(MAX(L3090*(1+MAX(MIN(((B3091-B3090)/B3090)/($K$7*卓尔金历!$N$40),0),-卓尔金历!$M$43))+MIN(MAX(((B3091-B3090)/B3090)/($K$7*卓尔金历!$N$40),0),卓尔金历!$M$43),0),1)</f>
        <v>0.28563580397473798</v>
      </c>
      <c r="M3091" s="4">
        <f>MIN(MAX(M3090*(1+MAX(MIN(((B3091-B3090)/B3090)/($K$7*30),0),-卓尔金历!$M$43))+MIN(MAX(((B3091-B3090)/B3090)/($K$7*7),0),卓尔金历!$M$43),0),1)</f>
        <v>0.69205278955603489</v>
      </c>
      <c r="N3091">
        <f t="shared" si="423"/>
        <v>260600.33448281221</v>
      </c>
      <c r="O3091">
        <f t="shared" si="424"/>
        <v>733912.67462158273</v>
      </c>
      <c r="P3091">
        <f t="shared" si="425"/>
        <v>-2.6565804322185749E-2</v>
      </c>
      <c r="Q3091">
        <f t="shared" si="426"/>
        <v>2.0604838196281384E-2</v>
      </c>
      <c r="R3091">
        <f t="shared" si="427"/>
        <v>1.6883568505571031E-2</v>
      </c>
      <c r="S3091">
        <f t="shared" si="419"/>
        <v>1189.4653206261967</v>
      </c>
      <c r="T3091" s="564">
        <f>IF((I3091-MAX(I$470:I3091))/MAX(I$470:I3091)&gt;T3090,T3090,(I3091-MAX(I$470:I3091))/MAX(I$470:I3091))</f>
        <v>-0.91338805338419748</v>
      </c>
      <c r="U3091" s="564">
        <f>IF((J3091-MAX(J$470:J3091))/MAX(J$470:J3091)&gt;U3090,U3090,(J3091-MAX(J$470:J3091))/MAX(J$470:J3091))</f>
        <v>-0.83569785939843477</v>
      </c>
      <c r="V3091" s="564">
        <f>IF((K3091-MAX(K$470:K3091))/MAX(K$470:K3091)&gt;V3090,V3090,(K3091-MAX(K$470:K3091))/MAX(K$470:K3091))</f>
        <v>-0.84885940676762139</v>
      </c>
      <c r="W3091" s="564">
        <f>IF((N3091-MAX(N$470:N3091))/MAX(N$470:N3091)&gt;W3090,W3090,(N3091-MAX(N$470:N3091))/MAX(N$470:N3091))</f>
        <v>-0.62788758315546067</v>
      </c>
      <c r="X3091" s="564">
        <f>IF((O3091-MAX(O$470:O3091))/MAX(O$470:O3091)&gt;X3090,X3090,(O3091-MAX(O$470:O3091))/MAX(O$470:O3091))</f>
        <v>-0.62788758315546067</v>
      </c>
    </row>
    <row r="3092" spans="1:24">
      <c r="A3092" s="799">
        <v>43494</v>
      </c>
      <c r="B3092">
        <v>3422.9898524</v>
      </c>
      <c r="C3092">
        <v>6306.885714</v>
      </c>
      <c r="D3092">
        <v>0.76708100000000001</v>
      </c>
      <c r="E3092">
        <f>LN(D3092/参数实验室!$E$53)/参数实验室!$E$55</f>
        <v>-1.0057950581670967</v>
      </c>
      <c r="F3092">
        <f t="shared" si="428"/>
        <v>1.8425078618266955</v>
      </c>
      <c r="G3092">
        <f>LN(F3092/参数实验室!$E$58)/参数实验室!$E$59</f>
        <v>0.13022277334711876</v>
      </c>
      <c r="H3092" s="856">
        <f>INDEX(神经网络!$G$10:$BO$70,MATCH(ROUND(G3092*2,1)/2,神经网络!$E$10:$E$70,0),MATCH(ROUND(E3092*2,1)/2,神经网络!$G$8:$BO$8,0))</f>
        <v>-3.6945941366045107E-2</v>
      </c>
      <c r="I3092">
        <f t="shared" si="420"/>
        <v>683956.1985717112</v>
      </c>
      <c r="J3092">
        <f t="shared" si="421"/>
        <v>1365.8632346674092</v>
      </c>
      <c r="K3092">
        <f t="shared" si="422"/>
        <v>500.75013457570378</v>
      </c>
      <c r="L3092" s="4">
        <f>MIN(MAX(L3091*(1+MAX(MIN(((B3092-B3091)/B3091)/($K$7*卓尔金历!$N$40),0),-卓尔金历!$M$43))+MIN(MAX(((B3092-B3091)/B3091)/($K$7*卓尔金历!$N$40),0),卓尔金历!$M$43),0),1)</f>
        <v>0.21543712241449933</v>
      </c>
      <c r="M3092" s="4">
        <f>MIN(MAX(M3091*(1+MAX(MIN(((B3092-B3091)/B3091)/($K$7*30),0),-卓尔金历!$M$43))+MIN(MAX(((B3092-B3091)/B3091)/($K$7*7),0),卓尔金历!$M$43),0),1)</f>
        <v>0.60701234168344342</v>
      </c>
      <c r="N3092">
        <f t="shared" si="423"/>
        <v>260649.62792251125</v>
      </c>
      <c r="O3092">
        <f t="shared" si="424"/>
        <v>734249.0197350235</v>
      </c>
      <c r="P3092">
        <f t="shared" si="425"/>
        <v>-1.6084969155681673E-2</v>
      </c>
      <c r="Q3092">
        <f t="shared" si="426"/>
        <v>2.0598490609486667E-2</v>
      </c>
      <c r="R3092">
        <f t="shared" si="427"/>
        <v>0.27303364416782905</v>
      </c>
      <c r="S3092">
        <f t="shared" si="419"/>
        <v>1189.4786195819088</v>
      </c>
      <c r="T3092" s="564">
        <f>IF((I3092-MAX(I$470:I3092))/MAX(I$470:I3092)&gt;T3091,T3091,(I3092-MAX(I$470:I3092))/MAX(I$470:I3092))</f>
        <v>-0.91338805338419748</v>
      </c>
      <c r="U3092" s="564">
        <f>IF((J3092-MAX(J$470:J3092))/MAX(J$470:J3092)&gt;U3091,U3091,(J3092-MAX(J$470:J3092))/MAX(J$470:J3092))</f>
        <v>-0.83569785939843477</v>
      </c>
      <c r="V3092" s="564">
        <f>IF((K3092-MAX(K$470:K3092))/MAX(K$470:K3092)&gt;V3091,V3091,(K3092-MAX(K$470:K3092))/MAX(K$470:K3092))</f>
        <v>-0.84885940676762139</v>
      </c>
      <c r="W3092" s="564">
        <f>IF((N3092-MAX(N$470:N3092))/MAX(N$470:N3092)&gt;W3091,W3091,(N3092-MAX(N$470:N3092))/MAX(N$470:N3092))</f>
        <v>-0.62788758315546067</v>
      </c>
      <c r="X3092" s="564">
        <f>IF((O3092-MAX(O$470:O3092))/MAX(O$470:O3092)&gt;X3091,X3091,(O3092-MAX(O$470:O3092))/MAX(O$470:O3092))</f>
        <v>-0.62788758315546067</v>
      </c>
    </row>
    <row r="3093" spans="1:24">
      <c r="A3093" s="799">
        <v>43495</v>
      </c>
      <c r="B3093">
        <v>3467.9778898099999</v>
      </c>
      <c r="C3093">
        <v>6391.4817480000002</v>
      </c>
      <c r="D3093">
        <v>0.77747699999999997</v>
      </c>
      <c r="E3093">
        <f>LN(D3093/参数实验室!$E$53)/参数实验室!$E$55</f>
        <v>-0.98991362161682706</v>
      </c>
      <c r="F3093">
        <f t="shared" si="428"/>
        <v>1.8429995666293508</v>
      </c>
      <c r="G3093">
        <f>LN(F3093/参数实验室!$E$58)/参数实验室!$E$59</f>
        <v>0.13036282095804738</v>
      </c>
      <c r="H3093" s="856">
        <f>INDEX(神经网络!$G$10:$BO$70,MATCH(ROUND(G3093*2,1)/2,神经网络!$E$10:$E$70,0),MATCH(ROUND(E3093*2,1)/2,神经网络!$G$8:$BO$8,0))</f>
        <v>-3.6945941366045107E-2</v>
      </c>
      <c r="I3093">
        <f t="shared" si="420"/>
        <v>683624.0851229711</v>
      </c>
      <c r="J3093">
        <f t="shared" si="421"/>
        <v>1383.8146481824324</v>
      </c>
      <c r="K3093">
        <f t="shared" si="422"/>
        <v>494.01419909875597</v>
      </c>
      <c r="L3093" s="4">
        <f>MIN(MAX(L3092*(1+MAX(MIN(((B3093-B3092)/B3092)/($K$7*卓尔金历!$N$40),0),-卓尔金历!$M$43))+MIN(MAX(((B3093-B3092)/B3092)/($K$7*卓尔金历!$N$40),0),卓尔金历!$M$43),0),1)</f>
        <v>0.41624812959669694</v>
      </c>
      <c r="M3093" s="4">
        <f>MIN(MAX(M3092*(1+MAX(MIN(((B3093-B3092)/B3092)/($K$7*30),0),-卓尔金历!$M$43))+MIN(MAX(((B3093-B3092)/B3092)/($K$7*7),0),卓尔金历!$M$43),0),1)</f>
        <v>1</v>
      </c>
      <c r="N3093">
        <f t="shared" si="423"/>
        <v>260622.36101898772</v>
      </c>
      <c r="O3093">
        <f t="shared" si="424"/>
        <v>734032.59889959008</v>
      </c>
      <c r="P3093">
        <f t="shared" si="425"/>
        <v>1.3142907034461951E-2</v>
      </c>
      <c r="Q3093">
        <f t="shared" si="426"/>
        <v>2.0881361122009407E-2</v>
      </c>
      <c r="R3093">
        <f t="shared" si="427"/>
        <v>0.49310979576600006</v>
      </c>
      <c r="S3093">
        <f t="shared" si="419"/>
        <v>1189.3209198415043</v>
      </c>
      <c r="T3093" s="564">
        <f>IF((I3093-MAX(I$470:I3093))/MAX(I$470:I3093)&gt;T3092,T3092,(I3093-MAX(I$470:I3093))/MAX(I$470:I3093))</f>
        <v>-0.91338805338419748</v>
      </c>
      <c r="U3093" s="564">
        <f>IF((J3093-MAX(J$470:J3093))/MAX(J$470:J3093)&gt;U3092,U3092,(J3093-MAX(J$470:J3093))/MAX(J$470:J3093))</f>
        <v>-0.83569785939843477</v>
      </c>
      <c r="V3093" s="564">
        <f>IF((K3093-MAX(K$470:K3093))/MAX(K$470:K3093)&gt;V3092,V3092,(K3093-MAX(K$470:K3093))/MAX(K$470:K3093))</f>
        <v>-0.84885940676762139</v>
      </c>
      <c r="W3093" s="564">
        <f>IF((N3093-MAX(N$470:N3093))/MAX(N$470:N3093)&gt;W3092,W3092,(N3093-MAX(N$470:N3093))/MAX(N$470:N3093))</f>
        <v>-0.62788758315546067</v>
      </c>
      <c r="X3093" s="564">
        <f>IF((O3093-MAX(O$470:O3093))/MAX(O$470:O3093)&gt;X3092,X3092,(O3093-MAX(O$470:O3093))/MAX(O$470:O3093))</f>
        <v>-0.62788758315546067</v>
      </c>
    </row>
    <row r="3094" spans="1:24">
      <c r="A3094" s="799">
        <v>43496</v>
      </c>
      <c r="B3094">
        <v>3458.3921312500001</v>
      </c>
      <c r="C3094">
        <v>6367.4685749999999</v>
      </c>
      <c r="D3094">
        <v>0.77173700000000001</v>
      </c>
      <c r="E3094">
        <f>LN(D3094/参数实验室!$E$53)/参数实验室!$E$55</f>
        <v>-0.99865588008839679</v>
      </c>
      <c r="F3094">
        <f t="shared" si="428"/>
        <v>1.8411644294074148</v>
      </c>
      <c r="G3094">
        <f>LN(F3094/参数实验室!$E$58)/参数实验室!$E$59</f>
        <v>0.12983994560763423</v>
      </c>
      <c r="H3094" s="856">
        <f>INDEX(神经网络!$G$10:$BO$70,MATCH(ROUND(G3094*2,1)/2,神经网络!$E$10:$E$70,0),MATCH(ROUND(E3094*2,1)/2,神经网络!$G$8:$BO$8,0))</f>
        <v>-3.6945941366045107E-2</v>
      </c>
      <c r="I3094">
        <f t="shared" si="420"/>
        <v>683693.89779456891</v>
      </c>
      <c r="J3094">
        <f t="shared" si="421"/>
        <v>1379.9896776864427</v>
      </c>
      <c r="K3094">
        <f t="shared" si="422"/>
        <v>495.434066536486</v>
      </c>
      <c r="L3094" s="4">
        <f>MIN(MAX(L3093*(1+MAX(MIN(((B3094-B3093)/B3093)/($K$7*卓尔金历!$N$40),0),-卓尔金历!$M$43))+MIN(MAX(((B3094-B3093)/B3093)/($K$7*卓尔金历!$N$40),0),卓尔金历!$M$43),0),1)</f>
        <v>0.39866895257220092</v>
      </c>
      <c r="M3094" s="4">
        <f>MIN(MAX(M3093*(1+MAX(MIN(((B3094-B3093)/B3093)/($K$7*30),0),-卓尔金历!$M$43))+MIN(MAX(((B3094-B3093)/B3093)/($K$7*7),0),卓尔金历!$M$43),0),1)</f>
        <v>0.97888377655711212</v>
      </c>
      <c r="N3094">
        <f t="shared" si="423"/>
        <v>260633.43951670639</v>
      </c>
      <c r="O3094">
        <f t="shared" si="424"/>
        <v>734107.55936087901</v>
      </c>
      <c r="P3094">
        <f t="shared" si="425"/>
        <v>-2.7640771840459683E-3</v>
      </c>
      <c r="Q3094">
        <f t="shared" si="426"/>
        <v>1.769950104714486E-2</v>
      </c>
      <c r="R3094">
        <f t="shared" si="427"/>
        <v>1</v>
      </c>
      <c r="S3094">
        <f t="shared" si="419"/>
        <v>1189.3808105693215</v>
      </c>
      <c r="T3094" s="564">
        <f>IF((I3094-MAX(I$470:I3094))/MAX(I$470:I3094)&gt;T3093,T3093,(I3094-MAX(I$470:I3094))/MAX(I$470:I3094))</f>
        <v>-0.91338805338419748</v>
      </c>
      <c r="U3094" s="564">
        <f>IF((J3094-MAX(J$470:J3094))/MAX(J$470:J3094)&gt;U3093,U3093,(J3094-MAX(J$470:J3094))/MAX(J$470:J3094))</f>
        <v>-0.83569785939843477</v>
      </c>
      <c r="V3094" s="564">
        <f>IF((K3094-MAX(K$470:K3094))/MAX(K$470:K3094)&gt;V3093,V3093,(K3094-MAX(K$470:K3094))/MAX(K$470:K3094))</f>
        <v>-0.84885940676762139</v>
      </c>
      <c r="W3094" s="564">
        <f>IF((N3094-MAX(N$470:N3094))/MAX(N$470:N3094)&gt;W3093,W3093,(N3094-MAX(N$470:N3094))/MAX(N$470:N3094))</f>
        <v>-0.62788758315546067</v>
      </c>
      <c r="X3094" s="564">
        <f>IF((O3094-MAX(O$470:O3094))/MAX(O$470:O3094)&gt;X3093,X3093,(O3094-MAX(O$470:O3094))/MAX(O$470:O3094))</f>
        <v>-0.62788758315546067</v>
      </c>
    </row>
    <row r="3095" spans="1:24">
      <c r="A3095" s="799">
        <v>43497</v>
      </c>
      <c r="B3095">
        <v>3454.7889194099998</v>
      </c>
      <c r="C3095">
        <v>6339.283367</v>
      </c>
      <c r="D3095">
        <v>0.78014399999999995</v>
      </c>
      <c r="E3095">
        <f>LN(D3095/参数实验室!$E$53)/参数实验室!$E$55</f>
        <v>-0.98587360806222202</v>
      </c>
      <c r="F3095">
        <f t="shared" si="428"/>
        <v>1.8349263919957828</v>
      </c>
      <c r="G3095">
        <f>LN(F3095/参数实验室!$E$58)/参数实验室!$E$59</f>
        <v>0.12805867171748456</v>
      </c>
      <c r="H3095" s="856">
        <f>INDEX(神经网络!$G$10:$BO$70,MATCH(ROUND(G3095*2,1)/2,神经网络!$E$10:$E$70,0),MATCH(ROUND(E3095*2,1)/2,神经网络!$G$8:$BO$8,0))</f>
        <v>-3.6945941366045107E-2</v>
      </c>
      <c r="I3095">
        <f t="shared" si="420"/>
        <v>683720.21525640809</v>
      </c>
      <c r="J3095">
        <f t="shared" si="421"/>
        <v>1378.551901125252</v>
      </c>
      <c r="K3095">
        <f t="shared" si="422"/>
        <v>495.96987585183916</v>
      </c>
      <c r="L3095" s="4">
        <f>MIN(MAX(L3094*(1+MAX(MIN(((B3095-B3094)/B3094)/($K$7*卓尔金历!$N$40),0),-卓尔金历!$M$43))+MIN(MAX(((B3095-B3094)/B3094)/($K$7*卓尔金历!$N$40),0),卓尔金历!$M$43),0),1)</f>
        <v>0.39232260205512837</v>
      </c>
      <c r="M3095" s="4">
        <f>MIN(MAX(M3094*(1+MAX(MIN(((B3095-B3094)/B3094)/($K$7*30),0),-卓尔金历!$M$43))+MIN(MAX(((B3095-B3094)/B3094)/($K$7*7),0),卓尔金历!$M$43),0),1)</f>
        <v>0.97109242546063801</v>
      </c>
      <c r="N3095">
        <f t="shared" si="423"/>
        <v>260637.43919304339</v>
      </c>
      <c r="O3095">
        <f t="shared" si="424"/>
        <v>734135.22069516883</v>
      </c>
      <c r="P3095">
        <f t="shared" si="425"/>
        <v>-1.0418748664854176E-3</v>
      </c>
      <c r="Q3095">
        <f t="shared" si="426"/>
        <v>1.6265111926314829E-2</v>
      </c>
      <c r="R3095">
        <f t="shared" si="427"/>
        <v>1</v>
      </c>
      <c r="S3095">
        <f t="shared" ref="S3095:S3158" si="429">S3094*(1+(B3095-B3094)/B3094*H3094*R3094)</f>
        <v>1189.4265934616294</v>
      </c>
      <c r="T3095" s="564">
        <f>IF((I3095-MAX(I$470:I3095))/MAX(I$470:I3095)&gt;T3094,T3094,(I3095-MAX(I$470:I3095))/MAX(I$470:I3095))</f>
        <v>-0.91338805338419748</v>
      </c>
      <c r="U3095" s="564">
        <f>IF((J3095-MAX(J$470:J3095))/MAX(J$470:J3095)&gt;U3094,U3094,(J3095-MAX(J$470:J3095))/MAX(J$470:J3095))</f>
        <v>-0.83569785939843477</v>
      </c>
      <c r="V3095" s="564">
        <f>IF((K3095-MAX(K$470:K3095))/MAX(K$470:K3095)&gt;V3094,V3094,(K3095-MAX(K$470:K3095))/MAX(K$470:K3095))</f>
        <v>-0.84885940676762139</v>
      </c>
      <c r="W3095" s="564">
        <f>IF((N3095-MAX(N$470:N3095))/MAX(N$470:N3095)&gt;W3094,W3094,(N3095-MAX(N$470:N3095))/MAX(N$470:N3095))</f>
        <v>-0.62788758315546067</v>
      </c>
      <c r="X3095" s="564">
        <f>IF((O3095-MAX(O$470:O3095))/MAX(O$470:O3095)&gt;X3094,X3094,(O3095-MAX(O$470:O3095))/MAX(O$470:O3095))</f>
        <v>-0.62788758315546067</v>
      </c>
    </row>
    <row r="3096" spans="1:24">
      <c r="A3096" s="799">
        <v>43498</v>
      </c>
      <c r="B3096">
        <v>3483.4113569900001</v>
      </c>
      <c r="C3096">
        <v>6389.3417879999997</v>
      </c>
      <c r="D3096">
        <v>0.78422199999999997</v>
      </c>
      <c r="E3096">
        <f>LN(D3096/参数实验室!$E$53)/参数实验室!$E$55</f>
        <v>-0.9797228164614542</v>
      </c>
      <c r="F3096">
        <f t="shared" si="428"/>
        <v>1.8342197154461255</v>
      </c>
      <c r="G3096">
        <f>LN(F3096/参数实验室!$E$58)/参数实验室!$E$59</f>
        <v>0.12785649822100131</v>
      </c>
      <c r="H3096" s="856">
        <f>INDEX(神经网络!$G$10:$BO$70,MATCH(ROUND(G3096*2,1)/2,神经网络!$E$10:$E$70,0),MATCH(ROUND(E3096*2,1)/2,神经网络!$G$8:$BO$8,0))</f>
        <v>-3.6945941366045107E-2</v>
      </c>
      <c r="I3096">
        <f t="shared" ref="I3096:I3159" si="430">I3095*(1+(B3096-B3095)/B3095*H3095)</f>
        <v>683510.93403741519</v>
      </c>
      <c r="J3096">
        <f t="shared" ref="J3096:J3159" si="431">J3095*B3096/B3095</f>
        <v>1389.9730086548798</v>
      </c>
      <c r="K3096">
        <f t="shared" ref="K3096:K3159" si="432">I3096/J3096</f>
        <v>491.74403371966918</v>
      </c>
      <c r="L3096" s="4">
        <f>MIN(MAX(L3095*(1+MAX(MIN(((B3096-B3095)/B3095)/($K$7*卓尔金历!$N$40),0),-卓尔金历!$M$43))+MIN(MAX(((B3096-B3095)/B3095)/($K$7*卓尔金历!$N$40),0),卓尔金历!$M$43),0),1)</f>
        <v>0.51890729059189833</v>
      </c>
      <c r="M3096" s="4">
        <f>MIN(MAX(M3095*(1+MAX(MIN(((B3096-B3095)/B3095)/($K$7*30),0),-卓尔金历!$M$43))+MIN(MAX(((B3096-B3095)/B3095)/($K$7*7),0),卓尔金历!$M$43),0),1)</f>
        <v>1</v>
      </c>
      <c r="N3096">
        <f t="shared" ref="N3096:N3159" si="433">N3095*(1+(B3096-B3095)/B3095*H3095*L3095)</f>
        <v>260606.1400847676</v>
      </c>
      <c r="O3096">
        <f t="shared" ref="O3096:O3159" si="434">O3095*(1+(B3096-B3095)/B3095*H3095*M3095)</f>
        <v>733917.00375470927</v>
      </c>
      <c r="P3096">
        <f t="shared" ref="P3096:P3159" si="435">(B3096-B3095)/B3095</f>
        <v>8.2848585681142839E-3</v>
      </c>
      <c r="Q3096">
        <f t="shared" si="426"/>
        <v>1.6399967441429315E-2</v>
      </c>
      <c r="R3096">
        <f t="shared" si="427"/>
        <v>0.7102215095123976</v>
      </c>
      <c r="S3096">
        <f t="shared" si="429"/>
        <v>1189.0625196170542</v>
      </c>
      <c r="T3096" s="564">
        <f>IF((I3096-MAX(I$470:I3096))/MAX(I$470:I3096)&gt;T3095,T3095,(I3096-MAX(I$470:I3096))/MAX(I$470:I3096))</f>
        <v>-0.91338805338419748</v>
      </c>
      <c r="U3096" s="564">
        <f>IF((J3096-MAX(J$470:J3096))/MAX(J$470:J3096)&gt;U3095,U3095,(J3096-MAX(J$470:J3096))/MAX(J$470:J3096))</f>
        <v>-0.83569785939843477</v>
      </c>
      <c r="V3096" s="564">
        <f>IF((K3096-MAX(K$470:K3096))/MAX(K$470:K3096)&gt;V3095,V3095,(K3096-MAX(K$470:K3096))/MAX(K$470:K3096))</f>
        <v>-0.84885940676762139</v>
      </c>
      <c r="W3096" s="564">
        <f>IF((N3096-MAX(N$470:N3096))/MAX(N$470:N3096)&gt;W3095,W3095,(N3096-MAX(N$470:N3096))/MAX(N$470:N3096))</f>
        <v>-0.62788758315546067</v>
      </c>
      <c r="X3096" s="564">
        <f>IF((O3096-MAX(O$470:O3096))/MAX(O$470:O3096)&gt;X3095,X3095,(O3096-MAX(O$470:O3096))/MAX(O$470:O3096))</f>
        <v>-0.62788758315546067</v>
      </c>
    </row>
    <row r="3097" spans="1:24">
      <c r="A3097" s="799">
        <v>43499</v>
      </c>
      <c r="B3097">
        <v>3480.1000416900001</v>
      </c>
      <c r="C3097">
        <v>6439.8298439999999</v>
      </c>
      <c r="D3097">
        <v>0.77343499999999998</v>
      </c>
      <c r="E3097">
        <f>LN(D3097/参数实验室!$E$53)/参数实验室!$E$55</f>
        <v>-0.9960630013478734</v>
      </c>
      <c r="F3097">
        <f t="shared" si="428"/>
        <v>1.8504726205723387</v>
      </c>
      <c r="G3097">
        <f>LN(F3097/参数实验室!$E$58)/参数实验室!$E$59</f>
        <v>0.13248671291102718</v>
      </c>
      <c r="H3097" s="856">
        <f>INDEX(神经网络!$G$10:$BO$70,MATCH(ROUND(G3097*2,1)/2,神经网络!$E$10:$E$70,0),MATCH(ROUND(E3097*2,1)/2,神经网络!$G$8:$BO$8,0))</f>
        <v>-3.6945941366045107E-2</v>
      </c>
      <c r="I3097">
        <f t="shared" si="430"/>
        <v>683534.93938370782</v>
      </c>
      <c r="J3097">
        <f t="shared" si="431"/>
        <v>1388.6517065121081</v>
      </c>
      <c r="K3097">
        <f t="shared" si="432"/>
        <v>492.22921498476398</v>
      </c>
      <c r="L3097" s="4">
        <f>MIN(MAX(L3096*(1+MAX(MIN(((B3097-B3096)/B3096)/($K$7*卓尔金历!$N$40),0),-卓尔金历!$M$43))+MIN(MAX(((B3097-B3096)/B3096)/($K$7*卓尔金历!$N$40),0),卓尔金历!$M$43),0),1)</f>
        <v>0.51137058373912481</v>
      </c>
      <c r="M3097" s="4">
        <f>MIN(MAX(M3096*(1+MAX(MIN(((B3097-B3096)/B3096)/($K$7*30),0),-卓尔金历!$M$43))+MIN(MAX(((B3097-B3096)/B3096)/($K$7*7),0),卓尔金历!$M$43),0),1)</f>
        <v>0.99273790618341795</v>
      </c>
      <c r="N3097">
        <f t="shared" si="433"/>
        <v>260610.88946483642</v>
      </c>
      <c r="O3097">
        <f t="shared" si="434"/>
        <v>733942.77939478727</v>
      </c>
      <c r="P3097">
        <f t="shared" si="435"/>
        <v>-9.5059554001719322E-4</v>
      </c>
      <c r="Q3097">
        <f t="shared" si="426"/>
        <v>1.637796564729152E-2</v>
      </c>
      <c r="R3097">
        <f t="shared" si="427"/>
        <v>1</v>
      </c>
      <c r="S3097">
        <f t="shared" si="429"/>
        <v>1189.0921789254642</v>
      </c>
      <c r="T3097" s="564">
        <f>IF((I3097-MAX(I$470:I3097))/MAX(I$470:I3097)&gt;T3096,T3096,(I3097-MAX(I$470:I3097))/MAX(I$470:I3097))</f>
        <v>-0.91338805338419748</v>
      </c>
      <c r="U3097" s="564">
        <f>IF((J3097-MAX(J$470:J3097))/MAX(J$470:J3097)&gt;U3096,U3096,(J3097-MAX(J$470:J3097))/MAX(J$470:J3097))</f>
        <v>-0.83569785939843477</v>
      </c>
      <c r="V3097" s="564">
        <f>IF((K3097-MAX(K$470:K3097))/MAX(K$470:K3097)&gt;V3096,V3096,(K3097-MAX(K$470:K3097))/MAX(K$470:K3097))</f>
        <v>-0.84885940676762139</v>
      </c>
      <c r="W3097" s="564">
        <f>IF((N3097-MAX(N$470:N3097))/MAX(N$470:N3097)&gt;W3096,W3096,(N3097-MAX(N$470:N3097))/MAX(N$470:N3097))</f>
        <v>-0.62788758315546067</v>
      </c>
      <c r="X3097" s="564">
        <f>IF((O3097-MAX(O$470:O3097))/MAX(O$470:O3097)&gt;X3096,X3096,(O3097-MAX(O$470:O3097))/MAX(O$470:O3097))</f>
        <v>-0.62788758315546067</v>
      </c>
    </row>
    <row r="3098" spans="1:24">
      <c r="A3098" s="799">
        <v>43500</v>
      </c>
      <c r="B3098">
        <v>3454.3760472200001</v>
      </c>
      <c r="C3098">
        <v>6513.4073600000002</v>
      </c>
      <c r="D3098">
        <v>0.77384699999999995</v>
      </c>
      <c r="E3098">
        <f>LN(D3098/参数实验室!$E$53)/参数实验室!$E$55</f>
        <v>-0.9954347275774762</v>
      </c>
      <c r="F3098">
        <f t="shared" si="428"/>
        <v>1.8855524908012942</v>
      </c>
      <c r="G3098">
        <f>LN(F3098/参数实验室!$E$58)/参数实验室!$E$59</f>
        <v>0.14234336659661978</v>
      </c>
      <c r="H3098" s="856">
        <f>INDEX(神经网络!$G$10:$BO$70,MATCH(ROUND(G3098*2,1)/2,神经网络!$E$10:$E$70,0),MATCH(ROUND(E3098*2,1)/2,神经网络!$G$8:$BO$8,0))</f>
        <v>-3.6945941366045107E-2</v>
      </c>
      <c r="I3098">
        <f t="shared" si="430"/>
        <v>683721.60921469668</v>
      </c>
      <c r="J3098">
        <f t="shared" si="431"/>
        <v>1378.3871542316724</v>
      </c>
      <c r="K3098">
        <f t="shared" si="432"/>
        <v>496.03016620958743</v>
      </c>
      <c r="L3098" s="4">
        <f>MIN(MAX(L3097*(1+MAX(MIN(((B3098-B3097)/B3097)/($K$7*卓尔金历!$N$40),0),-卓尔金历!$M$43))+MIN(MAX(((B3098-B3097)/B3097)/($K$7*卓尔金历!$N$40),0),卓尔金历!$M$43),0),1)</f>
        <v>0.45361705840045008</v>
      </c>
      <c r="M3098" s="4">
        <f>MIN(MAX(M3097*(1+MAX(MIN(((B3098-B3097)/B3097)/($K$7*30),0),-卓尔金历!$M$43))+MIN(MAX(((B3098-B3097)/B3097)/($K$7*7),0),卓尔金历!$M$43),0),1)</f>
        <v>0.93667864540212531</v>
      </c>
      <c r="N3098">
        <f t="shared" si="433"/>
        <v>260647.2844641814</v>
      </c>
      <c r="O3098">
        <f t="shared" si="434"/>
        <v>734141.75975960807</v>
      </c>
      <c r="P3098">
        <f t="shared" si="435"/>
        <v>-7.3917399390357576E-3</v>
      </c>
      <c r="Q3098">
        <f t="shared" si="426"/>
        <v>1.5815796495135634E-2</v>
      </c>
      <c r="R3098">
        <f t="shared" si="427"/>
        <v>0.78948186724104408</v>
      </c>
      <c r="S3098">
        <f t="shared" si="429"/>
        <v>1189.416913804811</v>
      </c>
      <c r="T3098" s="564">
        <f>IF((I3098-MAX(I$470:I3098))/MAX(I$470:I3098)&gt;T3097,T3097,(I3098-MAX(I$470:I3098))/MAX(I$470:I3098))</f>
        <v>-0.91338805338419748</v>
      </c>
      <c r="U3098" s="564">
        <f>IF((J3098-MAX(J$470:J3098))/MAX(J$470:J3098)&gt;U3097,U3097,(J3098-MAX(J$470:J3098))/MAX(J$470:J3098))</f>
        <v>-0.83569785939843477</v>
      </c>
      <c r="V3098" s="564">
        <f>IF((K3098-MAX(K$470:K3098))/MAX(K$470:K3098)&gt;V3097,V3097,(K3098-MAX(K$470:K3098))/MAX(K$470:K3098))</f>
        <v>-0.84885940676762139</v>
      </c>
      <c r="W3098" s="564">
        <f>IF((N3098-MAX(N$470:N3098))/MAX(N$470:N3098)&gt;W3097,W3097,(N3098-MAX(N$470:N3098))/MAX(N$470:N3098))</f>
        <v>-0.62788758315546067</v>
      </c>
      <c r="X3098" s="564">
        <f>IF((O3098-MAX(O$470:O3098))/MAX(O$470:O3098)&gt;X3097,X3097,(O3098-MAX(O$470:O3098))/MAX(O$470:O3098))</f>
        <v>-0.62788758315546067</v>
      </c>
    </row>
    <row r="3099" spans="1:24">
      <c r="A3099" s="799">
        <v>43501</v>
      </c>
      <c r="B3099">
        <v>3471.8798597099999</v>
      </c>
      <c r="C3099">
        <v>6488.6634270000004</v>
      </c>
      <c r="D3099">
        <v>0.77765700000000004</v>
      </c>
      <c r="E3099">
        <f>LN(D3099/参数实验室!$E$53)/参数实验室!$E$55</f>
        <v>-0.98964051899690708</v>
      </c>
      <c r="F3099">
        <f t="shared" si="428"/>
        <v>1.8689193431773838</v>
      </c>
      <c r="G3099">
        <f>LN(F3099/参数实验室!$E$58)/参数实验室!$E$59</f>
        <v>0.1376928952225685</v>
      </c>
      <c r="H3099" s="856">
        <f>INDEX(神经网络!$G$10:$BO$70,MATCH(ROUND(G3099*2,1)/2,神经网络!$E$10:$E$70,0),MATCH(ROUND(E3099*2,1)/2,神经网络!$G$8:$BO$8,0))</f>
        <v>-3.6945941366045107E-2</v>
      </c>
      <c r="I3099">
        <f t="shared" si="430"/>
        <v>683593.60947646562</v>
      </c>
      <c r="J3099">
        <f t="shared" si="431"/>
        <v>1385.371637089499</v>
      </c>
      <c r="K3099">
        <f t="shared" si="432"/>
        <v>493.43698916242755</v>
      </c>
      <c r="L3099" s="4">
        <f>MIN(MAX(L3098*(1+MAX(MIN(((B3099-B3098)/B3098)/($K$7*卓尔金历!$N$40),0),-卓尔金历!$M$43))+MIN(MAX(((B3099-B3098)/B3098)/($K$7*卓尔金历!$N$40),0),卓尔金历!$M$43),0),1)</f>
        <v>0.53103811911853249</v>
      </c>
      <c r="M3099" s="4">
        <f>MIN(MAX(M3098*(1+MAX(MIN(((B3099-B3098)/B3098)/($K$7*30),0),-卓尔金历!$M$43))+MIN(MAX(((B3099-B3098)/B3098)/($K$7*7),0),卓尔金历!$M$43),0),1)</f>
        <v>1</v>
      </c>
      <c r="N3099">
        <f t="shared" si="433"/>
        <v>260625.14982953368</v>
      </c>
      <c r="O3099">
        <f t="shared" si="434"/>
        <v>734013.02366707078</v>
      </c>
      <c r="P3099">
        <f t="shared" si="435"/>
        <v>5.0671415765768755E-3</v>
      </c>
      <c r="Q3099">
        <f t="shared" si="426"/>
        <v>1.4504405251722396E-2</v>
      </c>
      <c r="R3099">
        <f t="shared" si="427"/>
        <v>1</v>
      </c>
      <c r="S3099">
        <f t="shared" si="429"/>
        <v>1189.2411189965351</v>
      </c>
      <c r="T3099" s="564">
        <f>IF((I3099-MAX(I$470:I3099))/MAX(I$470:I3099)&gt;T3098,T3098,(I3099-MAX(I$470:I3099))/MAX(I$470:I3099))</f>
        <v>-0.91338805338419748</v>
      </c>
      <c r="U3099" s="564">
        <f>IF((J3099-MAX(J$470:J3099))/MAX(J$470:J3099)&gt;U3098,U3098,(J3099-MAX(J$470:J3099))/MAX(J$470:J3099))</f>
        <v>-0.83569785939843477</v>
      </c>
      <c r="V3099" s="564">
        <f>IF((K3099-MAX(K$470:K3099))/MAX(K$470:K3099)&gt;V3098,V3098,(K3099-MAX(K$470:K3099))/MAX(K$470:K3099))</f>
        <v>-0.84885940676762139</v>
      </c>
      <c r="W3099" s="564">
        <f>IF((N3099-MAX(N$470:N3099))/MAX(N$470:N3099)&gt;W3098,W3098,(N3099-MAX(N$470:N3099))/MAX(N$470:N3099))</f>
        <v>-0.62788758315546067</v>
      </c>
      <c r="X3099" s="564">
        <f>IF((O3099-MAX(O$470:O3099))/MAX(O$470:O3099)&gt;X3098,X3098,(O3099-MAX(O$470:O3099))/MAX(O$470:O3099))</f>
        <v>-0.62788758315546067</v>
      </c>
    </row>
    <row r="3100" spans="1:24">
      <c r="A3100" s="799">
        <v>43502</v>
      </c>
      <c r="B3100">
        <v>3409.2127395900002</v>
      </c>
      <c r="C3100">
        <v>6389.2196039999999</v>
      </c>
      <c r="D3100">
        <v>0.76510900000000004</v>
      </c>
      <c r="E3100">
        <f>LN(D3100/参数实验室!$E$53)/参数实验室!$E$55</f>
        <v>-1.0088318547546047</v>
      </c>
      <c r="F3100">
        <f t="shared" si="428"/>
        <v>1.8741041090819055</v>
      </c>
      <c r="G3100">
        <f>LN(F3100/参数实验室!$E$58)/参数实验室!$E$59</f>
        <v>0.13914693211150211</v>
      </c>
      <c r="H3100" s="856">
        <f>INDEX(神经网络!$G$10:$BO$70,MATCH(ROUND(G3100*2,1)/2,神经网络!$E$10:$E$70,0),MATCH(ROUND(E3100*2,1)/2,神经网络!$G$8:$BO$8,0))</f>
        <v>-3.6945941366045107E-2</v>
      </c>
      <c r="I3100">
        <f t="shared" si="430"/>
        <v>684049.47818150383</v>
      </c>
      <c r="J3100">
        <f t="shared" si="431"/>
        <v>1360.365803276004</v>
      </c>
      <c r="K3100">
        <f t="shared" si="432"/>
        <v>502.84230648417537</v>
      </c>
      <c r="L3100" s="4">
        <f>MIN(MAX(L3099*(1+MAX(MIN(((B3100-B3099)/B3099)/($K$7*卓尔金历!$N$40),0),-卓尔金历!$M$43))+MIN(MAX(((B3100-B3099)/B3099)/($K$7*卓尔金历!$N$40),0),卓尔金历!$M$43),0),1)</f>
        <v>0.38458560759502364</v>
      </c>
      <c r="M3100" s="4">
        <f>MIN(MAX(M3099*(1+MAX(MIN(((B3100-B3099)/B3099)/($K$7*30),0),-卓尔金历!$M$43))+MIN(MAX(((B3100-B3099)/B3099)/($K$7*7),0),卓尔金历!$M$43),0),1)</f>
        <v>0.8621073457338575</v>
      </c>
      <c r="N3100">
        <f t="shared" si="433"/>
        <v>260717.44602599152</v>
      </c>
      <c r="O3100">
        <f t="shared" si="434"/>
        <v>734502.51561366254</v>
      </c>
      <c r="P3100">
        <f t="shared" si="435"/>
        <v>-1.8049910323001263E-2</v>
      </c>
      <c r="Q3100">
        <f t="shared" si="426"/>
        <v>1.4856650564107243E-2</v>
      </c>
      <c r="R3100">
        <f t="shared" si="427"/>
        <v>1.1680497599397677E-2</v>
      </c>
      <c r="S3100">
        <f t="shared" si="429"/>
        <v>1190.0341893257184</v>
      </c>
      <c r="T3100" s="564">
        <f>IF((I3100-MAX(I$470:I3100))/MAX(I$470:I3100)&gt;T3099,T3099,(I3100-MAX(I$470:I3100))/MAX(I$470:I3100))</f>
        <v>-0.91338805338419748</v>
      </c>
      <c r="U3100" s="564">
        <f>IF((J3100-MAX(J$470:J3100))/MAX(J$470:J3100)&gt;U3099,U3099,(J3100-MAX(J$470:J3100))/MAX(J$470:J3100))</f>
        <v>-0.83569785939843477</v>
      </c>
      <c r="V3100" s="564">
        <f>IF((K3100-MAX(K$470:K3100))/MAX(K$470:K3100)&gt;V3099,V3099,(K3100-MAX(K$470:K3100))/MAX(K$470:K3100))</f>
        <v>-0.84885940676762139</v>
      </c>
      <c r="W3100" s="564">
        <f>IF((N3100-MAX(N$470:N3100))/MAX(N$470:N3100)&gt;W3099,W3099,(N3100-MAX(N$470:N3100))/MAX(N$470:N3100))</f>
        <v>-0.62788758315546067</v>
      </c>
      <c r="X3100" s="564">
        <f>IF((O3100-MAX(O$470:O3100))/MAX(O$470:O3100)&gt;X3099,X3099,(O3100-MAX(O$470:O3100))/MAX(O$470:O3100))</f>
        <v>-0.62788758315546067</v>
      </c>
    </row>
    <row r="3101" spans="1:24">
      <c r="A3101" s="799">
        <v>43503</v>
      </c>
      <c r="B3101">
        <v>3426.6181622700001</v>
      </c>
      <c r="C3101">
        <v>6369.8734640000002</v>
      </c>
      <c r="D3101">
        <v>0.76378900000000005</v>
      </c>
      <c r="E3101">
        <f>LN(D3101/参数实验室!$E$53)/参数实验室!$E$55</f>
        <v>-1.0108689751759483</v>
      </c>
      <c r="F3101">
        <f t="shared" si="428"/>
        <v>1.8589388027349418</v>
      </c>
      <c r="G3101">
        <f>LN(F3101/参数实验室!$E$58)/参数实验室!$E$59</f>
        <v>0.1348825203025821</v>
      </c>
      <c r="H3101" s="856">
        <f>INDEX(神经网络!$G$10:$BO$70,MATCH(ROUND(G3101*2,1)/2,神经网络!$E$10:$E$70,0),MATCH(ROUND(E3101*2,1)/2,神经网络!$G$8:$BO$8,0))</f>
        <v>-3.6945941366045107E-2</v>
      </c>
      <c r="I3101">
        <f t="shared" si="430"/>
        <v>683920.4499560853</v>
      </c>
      <c r="J3101">
        <f t="shared" si="431"/>
        <v>1367.3110260045462</v>
      </c>
      <c r="K3101">
        <f t="shared" si="432"/>
        <v>500.19376495089517</v>
      </c>
      <c r="L3101" s="4">
        <f>MIN(MAX(L3100*(1+MAX(MIN(((B3101-B3100)/B3100)/($K$7*卓尔金历!$N$40),0),-卓尔金历!$M$43))+MIN(MAX(((B3101-B3100)/B3100)/($K$7*卓尔金历!$N$40),0),卓尔金历!$M$43),0),1)</f>
        <v>0.4625913456140982</v>
      </c>
      <c r="M3101" s="4">
        <f>MIN(MAX(M3100*(1+MAX(MIN(((B3101-B3100)/B3100)/($K$7*30),0),-卓尔金历!$M$43))+MIN(MAX(((B3101-B3100)/B3100)/($K$7*7),0),卓尔金历!$M$43),0),1)</f>
        <v>1</v>
      </c>
      <c r="N3101">
        <f t="shared" si="433"/>
        <v>260698.5330300646</v>
      </c>
      <c r="O3101">
        <f t="shared" si="434"/>
        <v>734383.07505075878</v>
      </c>
      <c r="P3101">
        <f t="shared" si="435"/>
        <v>5.1054082011007381E-3</v>
      </c>
      <c r="Q3101">
        <f t="shared" si="426"/>
        <v>1.4944172475281998E-2</v>
      </c>
      <c r="R3101">
        <f t="shared" si="427"/>
        <v>1</v>
      </c>
      <c r="S3101">
        <f t="shared" si="429"/>
        <v>1190.031567414441</v>
      </c>
      <c r="T3101" s="564">
        <f>IF((I3101-MAX(I$470:I3101))/MAX(I$470:I3101)&gt;T3100,T3100,(I3101-MAX(I$470:I3101))/MAX(I$470:I3101))</f>
        <v>-0.91338805338419748</v>
      </c>
      <c r="U3101" s="564">
        <f>IF((J3101-MAX(J$470:J3101))/MAX(J$470:J3101)&gt;U3100,U3100,(J3101-MAX(J$470:J3101))/MAX(J$470:J3101))</f>
        <v>-0.83569785939843477</v>
      </c>
      <c r="V3101" s="564">
        <f>IF((K3101-MAX(K$470:K3101))/MAX(K$470:K3101)&gt;V3100,V3100,(K3101-MAX(K$470:K3101))/MAX(K$470:K3101))</f>
        <v>-0.84885940676762139</v>
      </c>
      <c r="W3101" s="564">
        <f>IF((N3101-MAX(N$470:N3101))/MAX(N$470:N3101)&gt;W3100,W3100,(N3101-MAX(N$470:N3101))/MAX(N$470:N3101))</f>
        <v>-0.62788758315546067</v>
      </c>
      <c r="X3101" s="564">
        <f>IF((O3101-MAX(O$470:O3101))/MAX(O$470:O3101)&gt;X3100,X3100,(O3101-MAX(O$470:O3101))/MAX(O$470:O3101))</f>
        <v>-0.62788758315546067</v>
      </c>
    </row>
    <row r="3102" spans="1:24">
      <c r="A3102" s="799">
        <v>43504</v>
      </c>
      <c r="B3102">
        <v>3441.98434425</v>
      </c>
      <c r="C3102">
        <v>6376.5973839999997</v>
      </c>
      <c r="D3102">
        <v>0.82160100000000003</v>
      </c>
      <c r="E3102">
        <f>LN(D3102/参数实验室!$E$53)/参数实验室!$E$55</f>
        <v>-0.92479028207866021</v>
      </c>
      <c r="F3102">
        <f t="shared" si="428"/>
        <v>1.852593372381955</v>
      </c>
      <c r="G3102">
        <f>LN(F3102/参数实验室!$E$58)/参数实验室!$E$59</f>
        <v>0.13308788247455108</v>
      </c>
      <c r="H3102" s="856">
        <f>INDEX(神经网络!$G$10:$BO$70,MATCH(ROUND(G3102*2,1)/2,神经网络!$E$10:$E$70,0),MATCH(ROUND(E3102*2,1)/2,神经网络!$G$8:$BO$8,0))</f>
        <v>-4.5496982226918441E-2</v>
      </c>
      <c r="I3102">
        <f t="shared" si="430"/>
        <v>683807.13882201712</v>
      </c>
      <c r="J3102">
        <f t="shared" si="431"/>
        <v>1373.4425379075028</v>
      </c>
      <c r="K3102">
        <f t="shared" si="432"/>
        <v>497.87822930242567</v>
      </c>
      <c r="L3102" s="4">
        <f>MIN(MAX(L3101*(1+MAX(MIN(((B3102-B3101)/B3101)/($K$7*卓尔金历!$N$40),0),-卓尔金历!$M$43))+MIN(MAX(((B3102-B3101)/B3101)/($K$7*卓尔金历!$N$40),0),卓尔金历!$M$43),0),1)</f>
        <v>0.5311080299116927</v>
      </c>
      <c r="M3102" s="4">
        <f>MIN(MAX(M3101*(1+MAX(MIN(((B3102-B3101)/B3101)/($K$7*30),0),-卓尔金历!$M$43))+MIN(MAX(((B3102-B3101)/B3101)/($K$7*7),0),卓尔金历!$M$43),0),1)</f>
        <v>1</v>
      </c>
      <c r="N3102">
        <f t="shared" si="433"/>
        <v>260678.55268026324</v>
      </c>
      <c r="O3102">
        <f t="shared" si="434"/>
        <v>734261.40332844097</v>
      </c>
      <c r="P3102">
        <f t="shared" si="435"/>
        <v>4.4843578281335179E-3</v>
      </c>
      <c r="Q3102">
        <f t="shared" si="426"/>
        <v>1.4902515974388398E-2</v>
      </c>
      <c r="R3102">
        <f t="shared" si="427"/>
        <v>1</v>
      </c>
      <c r="S3102">
        <f t="shared" si="429"/>
        <v>1189.8344043869438</v>
      </c>
      <c r="T3102" s="564">
        <f>IF((I3102-MAX(I$470:I3102))/MAX(I$470:I3102)&gt;T3101,T3101,(I3102-MAX(I$470:I3102))/MAX(I$470:I3102))</f>
        <v>-0.91338805338419748</v>
      </c>
      <c r="U3102" s="564">
        <f>IF((J3102-MAX(J$470:J3102))/MAX(J$470:J3102)&gt;U3101,U3101,(J3102-MAX(J$470:J3102))/MAX(J$470:J3102))</f>
        <v>-0.83569785939843477</v>
      </c>
      <c r="V3102" s="564">
        <f>IF((K3102-MAX(K$470:K3102))/MAX(K$470:K3102)&gt;V3101,V3101,(K3102-MAX(K$470:K3102))/MAX(K$470:K3102))</f>
        <v>-0.84885940676762139</v>
      </c>
      <c r="W3102" s="564">
        <f>IF((N3102-MAX(N$470:N3102))/MAX(N$470:N3102)&gt;W3101,W3101,(N3102-MAX(N$470:N3102))/MAX(N$470:N3102))</f>
        <v>-0.62788758315546067</v>
      </c>
      <c r="X3102" s="564">
        <f>IF((O3102-MAX(O$470:O3102))/MAX(O$470:O3102)&gt;X3101,X3101,(O3102-MAX(O$470:O3102))/MAX(O$470:O3102))</f>
        <v>-0.62788758315546067</v>
      </c>
    </row>
    <row r="3103" spans="1:24">
      <c r="A3103" s="799">
        <v>43505</v>
      </c>
      <c r="B3103">
        <v>3674.3990707500002</v>
      </c>
      <c r="C3103">
        <v>6405.065979</v>
      </c>
      <c r="D3103">
        <v>0.82367900000000005</v>
      </c>
      <c r="E3103">
        <f>LN(D3103/参数实验室!$E$53)/参数实验室!$E$55</f>
        <v>-0.92181020750834608</v>
      </c>
      <c r="F3103">
        <f t="shared" si="428"/>
        <v>1.7431601346700289</v>
      </c>
      <c r="G3103">
        <f>LN(F3103/参数实验室!$E$58)/参数实验室!$E$59</f>
        <v>0.10113117569147603</v>
      </c>
      <c r="H3103" s="856">
        <f>INDEX(神经网络!$G$10:$BO$70,MATCH(ROUND(G3103*2,1)/2,神经网络!$E$10:$E$70,0),MATCH(ROUND(E3103*2,1)/2,神经网络!$G$8:$BO$8,0))</f>
        <v>-6.5486849937294242E-2</v>
      </c>
      <c r="I3103">
        <f t="shared" si="430"/>
        <v>681706.40526024229</v>
      </c>
      <c r="J3103">
        <f t="shared" si="431"/>
        <v>1466.1821438689567</v>
      </c>
      <c r="K3103">
        <f t="shared" si="432"/>
        <v>464.95342213168522</v>
      </c>
      <c r="L3103" s="4">
        <f>MIN(MAX(L3102*(1+MAX(MIN(((B3103-B3102)/B3102)/($K$7*卓尔金历!$N$40),0),-卓尔金历!$M$43))+MIN(MAX(((B3103-B3102)/B3102)/($K$7*卓尔金历!$N$40),0),卓尔金历!$M$43),0),1)</f>
        <v>1</v>
      </c>
      <c r="M3103" s="4">
        <f>MIN(MAX(M3102*(1+MAX(MIN(((B3103-B3102)/B3102)/($K$7*30),0),-卓尔金历!$M$43))+MIN(MAX(((B3103-B3102)/B3102)/($K$7*7),0),卓尔金历!$M$43),0),1)</f>
        <v>1</v>
      </c>
      <c r="N3103">
        <f t="shared" si="433"/>
        <v>260253.22317380004</v>
      </c>
      <c r="O3103">
        <f t="shared" si="434"/>
        <v>732005.66850861267</v>
      </c>
      <c r="P3103">
        <f t="shared" si="435"/>
        <v>6.7523469968206018E-2</v>
      </c>
      <c r="Q3103">
        <f t="shared" si="426"/>
        <v>2.036529788873423E-2</v>
      </c>
      <c r="R3103">
        <f t="shared" si="427"/>
        <v>0</v>
      </c>
      <c r="S3103">
        <f t="shared" si="429"/>
        <v>1186.1790973210423</v>
      </c>
      <c r="T3103" s="564">
        <f>IF((I3103-MAX(I$470:I3103))/MAX(I$470:I3103)&gt;T3102,T3102,(I3103-MAX(I$470:I3103))/MAX(I$470:I3103))</f>
        <v>-0.91338805338419748</v>
      </c>
      <c r="U3103" s="564">
        <f>IF((J3103-MAX(J$470:J3103))/MAX(J$470:J3103)&gt;U3102,U3102,(J3103-MAX(J$470:J3103))/MAX(J$470:J3103))</f>
        <v>-0.83569785939843477</v>
      </c>
      <c r="V3103" s="564">
        <f>IF((K3103-MAX(K$470:K3103))/MAX(K$470:K3103)&gt;V3102,V3102,(K3103-MAX(K$470:K3103))/MAX(K$470:K3103))</f>
        <v>-0.84885940676762139</v>
      </c>
      <c r="W3103" s="564">
        <f>IF((N3103-MAX(N$470:N3103))/MAX(N$470:N3103)&gt;W3102,W3102,(N3103-MAX(N$470:N3103))/MAX(N$470:N3103))</f>
        <v>-0.62788758315546067</v>
      </c>
      <c r="X3103" s="564">
        <f>IF((O3103-MAX(O$470:O3103))/MAX(O$470:O3103)&gt;X3102,X3102,(O3103-MAX(O$470:O3103))/MAX(O$470:O3103))</f>
        <v>-0.62788758315546067</v>
      </c>
    </row>
    <row r="3104" spans="1:24">
      <c r="A3104" s="799">
        <v>43506</v>
      </c>
      <c r="B3104">
        <v>3654.0535618899999</v>
      </c>
      <c r="C3104">
        <v>6442.4012849999999</v>
      </c>
      <c r="D3104">
        <v>0.82848100000000002</v>
      </c>
      <c r="E3104">
        <f>LN(D3104/参数实验室!$E$53)/参数实验室!$E$55</f>
        <v>-0.91495228693132991</v>
      </c>
      <c r="F3104">
        <f t="shared" si="428"/>
        <v>1.7630834293703599</v>
      </c>
      <c r="G3104">
        <f>LN(F3104/参数实验室!$E$58)/参数实验室!$E$59</f>
        <v>0.10709592635906402</v>
      </c>
      <c r="H3104" s="856">
        <f>INDEX(神经网络!$G$10:$BO$70,MATCH(ROUND(G3104*2,1)/2,神经网络!$E$10:$E$70,0),MATCH(ROUND(E3104*2,1)/2,神经网络!$G$8:$BO$8,0))</f>
        <v>-6.5486849937294242E-2</v>
      </c>
      <c r="I3104">
        <f t="shared" si="430"/>
        <v>681953.59686040529</v>
      </c>
      <c r="J3104">
        <f t="shared" si="431"/>
        <v>1458.0637492079295</v>
      </c>
      <c r="K3104">
        <f t="shared" si="432"/>
        <v>467.7117836794626</v>
      </c>
      <c r="L3104" s="4">
        <f>MIN(MAX(L3103*(1+MAX(MIN(((B3104-B3103)/B3103)/($K$7*卓尔金历!$N$40),0),-卓尔金历!$M$43))+MIN(MAX(((B3104-B3103)/B3103)/($K$7*卓尔金历!$N$40),0),卓尔金历!$M$43),0),1)</f>
        <v>0.91539845148255505</v>
      </c>
      <c r="M3104" s="4">
        <f>MIN(MAX(M3103*(1+MAX(MIN(((B3104-B3103)/B3103)/($K$7*30),0),-卓尔金历!$M$43))+MIN(MAX(((B3104-B3103)/B3103)/($K$7*7),0),卓尔金历!$M$43),0),1)</f>
        <v>0.95769922574127753</v>
      </c>
      <c r="N3104">
        <f t="shared" si="433"/>
        <v>260347.59284700171</v>
      </c>
      <c r="O3104">
        <f t="shared" si="434"/>
        <v>732271.09898004553</v>
      </c>
      <c r="P3104">
        <f t="shared" si="435"/>
        <v>-5.5370983032192829E-3</v>
      </c>
      <c r="Q3104">
        <f t="shared" si="426"/>
        <v>2.0362772533108819E-2</v>
      </c>
      <c r="R3104">
        <f t="shared" si="427"/>
        <v>1</v>
      </c>
      <c r="S3104">
        <f t="shared" si="429"/>
        <v>1186.1790973210423</v>
      </c>
      <c r="T3104" s="564">
        <f>IF((I3104-MAX(I$470:I3104))/MAX(I$470:I3104)&gt;T3103,T3103,(I3104-MAX(I$470:I3104))/MAX(I$470:I3104))</f>
        <v>-0.91338805338419748</v>
      </c>
      <c r="U3104" s="564">
        <f>IF((J3104-MAX(J$470:J3104))/MAX(J$470:J3104)&gt;U3103,U3103,(J3104-MAX(J$470:J3104))/MAX(J$470:J3104))</f>
        <v>-0.83569785939843477</v>
      </c>
      <c r="V3104" s="564">
        <f>IF((K3104-MAX(K$470:K3104))/MAX(K$470:K3104)&gt;V3103,V3103,(K3104-MAX(K$470:K3104))/MAX(K$470:K3104))</f>
        <v>-0.84885940676762139</v>
      </c>
      <c r="W3104" s="564">
        <f>IF((N3104-MAX(N$470:N3104))/MAX(N$470:N3104)&gt;W3103,W3103,(N3104-MAX(N$470:N3104))/MAX(N$470:N3104))</f>
        <v>-0.62788758315546067</v>
      </c>
      <c r="X3104" s="564">
        <f>IF((O3104-MAX(O$470:O3104))/MAX(O$470:O3104)&gt;X3103,X3103,(O3104-MAX(O$470:O3104))/MAX(O$470:O3104))</f>
        <v>-0.62788758315546067</v>
      </c>
    </row>
    <row r="3105" spans="1:24">
      <c r="A3105" s="799">
        <v>43507</v>
      </c>
      <c r="B3105">
        <v>3656.6783498599998</v>
      </c>
      <c r="C3105">
        <v>6413.6081210000002</v>
      </c>
      <c r="D3105">
        <v>0.81717200000000001</v>
      </c>
      <c r="E3105">
        <f>LN(D3105/参数实验室!$E$53)/参数实验室!$E$55</f>
        <v>-0.93116717483858757</v>
      </c>
      <c r="F3105">
        <f t="shared" si="428"/>
        <v>1.7539437454884574</v>
      </c>
      <c r="G3105">
        <f>LN(F3105/参数实验室!$E$58)/参数实验室!$E$59</f>
        <v>0.10436804818363331</v>
      </c>
      <c r="H3105" s="856">
        <f>INDEX(神经网络!$G$10:$BO$70,MATCH(ROUND(G3105*2,1)/2,神经网络!$E$10:$E$70,0),MATCH(ROUND(E3105*2,1)/2,神经网络!$G$8:$BO$8,0))</f>
        <v>-1.6113682648580298E-2</v>
      </c>
      <c r="I3105">
        <f t="shared" si="430"/>
        <v>681921.51731224579</v>
      </c>
      <c r="J3105">
        <f t="shared" si="431"/>
        <v>1459.1111088384309</v>
      </c>
      <c r="K3105">
        <f t="shared" si="432"/>
        <v>467.35407138056115</v>
      </c>
      <c r="L3105" s="4">
        <f>MIN(MAX(L3104*(1+MAX(MIN(((B3105-B3104)/B3104)/($K$7*卓尔金历!$N$40),0),-卓尔金历!$M$43))+MIN(MAX(((B3105-B3104)/B3104)/($K$7*卓尔金历!$N$40),0),卓尔金历!$M$43),0),1)</f>
        <v>0.92637372611434476</v>
      </c>
      <c r="M3105" s="4">
        <f>MIN(MAX(M3104*(1+MAX(MIN(((B3105-B3104)/B3104)/($K$7*30),0),-卓尔金历!$M$43))+MIN(MAX(((B3105-B3104)/B3104)/($K$7*7),0),卓尔金历!$M$43),0),1)</f>
        <v>0.98121767138082683</v>
      </c>
      <c r="N3105">
        <f t="shared" si="433"/>
        <v>260336.38203271569</v>
      </c>
      <c r="O3105">
        <f t="shared" si="434"/>
        <v>732238.10957764066</v>
      </c>
      <c r="P3105">
        <f t="shared" si="435"/>
        <v>7.1832224830396688E-4</v>
      </c>
      <c r="Q3105">
        <f t="shared" si="426"/>
        <v>1.8219218240048556E-2</v>
      </c>
      <c r="R3105">
        <f t="shared" si="427"/>
        <v>1</v>
      </c>
      <c r="S3105">
        <f t="shared" si="429"/>
        <v>1186.1232986719062</v>
      </c>
      <c r="T3105" s="564">
        <f>IF((I3105-MAX(I$470:I3105))/MAX(I$470:I3105)&gt;T3104,T3104,(I3105-MAX(I$470:I3105))/MAX(I$470:I3105))</f>
        <v>-0.91338805338419748</v>
      </c>
      <c r="U3105" s="564">
        <f>IF((J3105-MAX(J$470:J3105))/MAX(J$470:J3105)&gt;U3104,U3104,(J3105-MAX(J$470:J3105))/MAX(J$470:J3105))</f>
        <v>-0.83569785939843477</v>
      </c>
      <c r="V3105" s="564">
        <f>IF((K3105-MAX(K$470:K3105))/MAX(K$470:K3105)&gt;V3104,V3104,(K3105-MAX(K$470:K3105))/MAX(K$470:K3105))</f>
        <v>-0.84885940676762139</v>
      </c>
      <c r="W3105" s="564">
        <f>IF((N3105-MAX(N$470:N3105))/MAX(N$470:N3105)&gt;W3104,W3104,(N3105-MAX(N$470:N3105))/MAX(N$470:N3105))</f>
        <v>-0.62788758315546067</v>
      </c>
      <c r="X3105" s="564">
        <f>IF((O3105-MAX(O$470:O3105))/MAX(O$470:O3105)&gt;X3104,X3104,(O3105-MAX(O$470:O3105))/MAX(O$470:O3105))</f>
        <v>-0.62788758315546067</v>
      </c>
    </row>
    <row r="3106" spans="1:24">
      <c r="A3106" s="799">
        <v>43508</v>
      </c>
      <c r="B3106">
        <v>3623.4570645200001</v>
      </c>
      <c r="C3106">
        <v>6455.2629539999998</v>
      </c>
      <c r="D3106">
        <v>0.81707600000000002</v>
      </c>
      <c r="E3106">
        <f>LN(D3106/参数实验室!$E$53)/参数实验室!$E$55</f>
        <v>-0.93130577841840123</v>
      </c>
      <c r="F3106">
        <f t="shared" si="428"/>
        <v>1.7815204759036187</v>
      </c>
      <c r="G3106">
        <f>LN(F3106/参数实验室!$E$58)/参数实验室!$E$59</f>
        <v>0.11255596981873768</v>
      </c>
      <c r="H3106" s="856">
        <f>INDEX(神经网络!$G$10:$BO$70,MATCH(ROUND(G3106*2,1)/2,神经网络!$E$10:$E$70,0),MATCH(ROUND(E3106*2,1)/2,神经网络!$G$8:$BO$8,0))</f>
        <v>-1.6113682648580298E-2</v>
      </c>
      <c r="I3106">
        <f t="shared" si="430"/>
        <v>682021.34680662712</v>
      </c>
      <c r="J3106">
        <f t="shared" si="431"/>
        <v>1445.8549397549948</v>
      </c>
      <c r="K3106">
        <f t="shared" si="432"/>
        <v>471.7080033784012</v>
      </c>
      <c r="L3106" s="4">
        <f>MIN(MAX(L3105*(1+MAX(MIN(((B3106-B3105)/B3105)/($K$7*卓尔金历!$N$40),0),-卓尔金历!$M$43))+MIN(MAX(((B3106-B3105)/B3105)/($K$7*卓尔金历!$N$40),0),卓尔金历!$M$43),0),1)</f>
        <v>0.79778231016544843</v>
      </c>
      <c r="M3106" s="4">
        <f>MIN(MAX(M3105*(1+MAX(MIN(((B3106-B3105)/B3105)/($K$7*30),0),-卓尔金历!$M$43))+MIN(MAX(((B3106-B3105)/B3105)/($K$7*7),0),卓尔金历!$M$43),0),1)</f>
        <v>0.9131154756038683</v>
      </c>
      <c r="N3106">
        <f t="shared" si="433"/>
        <v>260371.68779325069</v>
      </c>
      <c r="O3106">
        <f t="shared" si="434"/>
        <v>732343.29175730771</v>
      </c>
      <c r="P3106">
        <f t="shared" si="435"/>
        <v>-9.0850991423053612E-3</v>
      </c>
      <c r="Q3106">
        <f t="shared" si="426"/>
        <v>1.8320784393791496E-2</v>
      </c>
      <c r="R3106">
        <f t="shared" si="427"/>
        <v>0.73239874816619488</v>
      </c>
      <c r="S3106">
        <f t="shared" si="429"/>
        <v>1186.2969404857722</v>
      </c>
      <c r="T3106" s="564">
        <f>IF((I3106-MAX(I$470:I3106))/MAX(I$470:I3106)&gt;T3105,T3105,(I3106-MAX(I$470:I3106))/MAX(I$470:I3106))</f>
        <v>-0.91338805338419748</v>
      </c>
      <c r="U3106" s="564">
        <f>IF((J3106-MAX(J$470:J3106))/MAX(J$470:J3106)&gt;U3105,U3105,(J3106-MAX(J$470:J3106))/MAX(J$470:J3106))</f>
        <v>-0.83569785939843477</v>
      </c>
      <c r="V3106" s="564">
        <f>IF((K3106-MAX(K$470:K3106))/MAX(K$470:K3106)&gt;V3105,V3105,(K3106-MAX(K$470:K3106))/MAX(K$470:K3106))</f>
        <v>-0.84885940676762139</v>
      </c>
      <c r="W3106" s="564">
        <f>IF((N3106-MAX(N$470:N3106))/MAX(N$470:N3106)&gt;W3105,W3105,(N3106-MAX(N$470:N3106))/MAX(N$470:N3106))</f>
        <v>-0.62788758315546067</v>
      </c>
      <c r="X3106" s="564">
        <f>IF((O3106-MAX(O$470:O3106))/MAX(O$470:O3106)&gt;X3105,X3105,(O3106-MAX(O$470:O3106))/MAX(O$470:O3106))</f>
        <v>-0.62788758315546067</v>
      </c>
    </row>
    <row r="3107" spans="1:24">
      <c r="A3107" s="799">
        <v>43509</v>
      </c>
      <c r="B3107">
        <v>3638.5198942000002</v>
      </c>
      <c r="C3107">
        <v>6439.7709160000004</v>
      </c>
      <c r="D3107">
        <v>0.81622399999999995</v>
      </c>
      <c r="E3107">
        <f>LN(D3107/参数实验室!$E$53)/参数实验室!$E$55</f>
        <v>-0.93253659927805399</v>
      </c>
      <c r="F3107">
        <f t="shared" si="428"/>
        <v>1.7698875101013869</v>
      </c>
      <c r="G3107">
        <f>LN(F3107/参数实验室!$E$58)/参数实验室!$E$59</f>
        <v>0.10911754145722144</v>
      </c>
      <c r="H3107" s="856">
        <f>INDEX(神经网络!$G$10:$BO$70,MATCH(ROUND(G3107*2,1)/2,神经网络!$E$10:$E$70,0),MATCH(ROUND(E3107*2,1)/2,神经网络!$G$8:$BO$8,0))</f>
        <v>-1.6113682648580298E-2</v>
      </c>
      <c r="I3107">
        <f t="shared" si="430"/>
        <v>681975.66153409705</v>
      </c>
      <c r="J3107">
        <f t="shared" si="431"/>
        <v>1451.8654060891395</v>
      </c>
      <c r="K3107">
        <f t="shared" si="432"/>
        <v>469.72374896039508</v>
      </c>
      <c r="L3107" s="4">
        <f>MIN(MAX(L3106*(1+MAX(MIN(((B3107-B3106)/B3106)/($K$7*卓尔金历!$N$40),0),-卓尔金历!$M$43))+MIN(MAX(((B3107-B3106)/B3106)/($K$7*卓尔金历!$N$40),0),卓尔金历!$M$43),0),1)</f>
        <v>0.86129778135665214</v>
      </c>
      <c r="M3107" s="4">
        <f>MIN(MAX(M3106*(1+MAX(MIN(((B3107-B3106)/B3106)/($K$7*30),0),-卓尔金历!$M$43))+MIN(MAX(((B3107-B3106)/B3106)/($K$7*7),0),卓尔金历!$M$43),0),1)</f>
        <v>1</v>
      </c>
      <c r="N3107">
        <f t="shared" si="433"/>
        <v>260357.77365185233</v>
      </c>
      <c r="O3107">
        <f t="shared" si="434"/>
        <v>732298.49787927861</v>
      </c>
      <c r="P3107">
        <f t="shared" si="435"/>
        <v>4.1570327485018575E-3</v>
      </c>
      <c r="Q3107">
        <f t="shared" si="426"/>
        <v>1.8192794473672794E-2</v>
      </c>
      <c r="R3107">
        <f t="shared" si="427"/>
        <v>1</v>
      </c>
      <c r="S3107">
        <f t="shared" si="429"/>
        <v>1186.2387409854941</v>
      </c>
      <c r="T3107" s="564">
        <f>IF((I3107-MAX(I$470:I3107))/MAX(I$470:I3107)&gt;T3106,T3106,(I3107-MAX(I$470:I3107))/MAX(I$470:I3107))</f>
        <v>-0.91338805338419748</v>
      </c>
      <c r="U3107" s="564">
        <f>IF((J3107-MAX(J$470:J3107))/MAX(J$470:J3107)&gt;U3106,U3106,(J3107-MAX(J$470:J3107))/MAX(J$470:J3107))</f>
        <v>-0.83569785939843477</v>
      </c>
      <c r="V3107" s="564">
        <f>IF((K3107-MAX(K$470:K3107))/MAX(K$470:K3107)&gt;V3106,V3106,(K3107-MAX(K$470:K3107))/MAX(K$470:K3107))</f>
        <v>-0.84885940676762139</v>
      </c>
      <c r="W3107" s="564">
        <f>IF((N3107-MAX(N$470:N3107))/MAX(N$470:N3107)&gt;W3106,W3106,(N3107-MAX(N$470:N3107))/MAX(N$470:N3107))</f>
        <v>-0.62788758315546067</v>
      </c>
      <c r="X3107" s="564">
        <f>IF((O3107-MAX(O$470:O3107))/MAX(O$470:O3107)&gt;X3106,X3106,(O3107-MAX(O$470:O3107))/MAX(O$470:O3107))</f>
        <v>-0.62788758315546067</v>
      </c>
    </row>
    <row r="3108" spans="1:24">
      <c r="A3108" s="799">
        <v>43510</v>
      </c>
      <c r="B3108">
        <v>3622.47325146</v>
      </c>
      <c r="C3108">
        <v>6402.1566579999999</v>
      </c>
      <c r="D3108">
        <v>0.81324399999999997</v>
      </c>
      <c r="E3108">
        <f>LN(D3108/参数实验室!$E$53)/参数实验室!$E$55</f>
        <v>-0.93685171143307933</v>
      </c>
      <c r="F3108">
        <f t="shared" si="428"/>
        <v>1.7673440805724867</v>
      </c>
      <c r="G3108">
        <f>LN(F3108/参数实验室!$E$58)/参数实验室!$E$59</f>
        <v>0.10836275372711038</v>
      </c>
      <c r="H3108" s="856">
        <f>INDEX(神经网络!$G$10:$BO$70,MATCH(ROUND(G3108*2,1)/2,神经网络!$E$10:$E$70,0),MATCH(ROUND(E3108*2,1)/2,神经网络!$G$8:$BO$8,0))</f>
        <v>-1.6113682648580298E-2</v>
      </c>
      <c r="I3108">
        <f t="shared" si="430"/>
        <v>682024.1259643716</v>
      </c>
      <c r="J3108">
        <f t="shared" si="431"/>
        <v>1445.4623723953523</v>
      </c>
      <c r="K3108">
        <f t="shared" si="432"/>
        <v>471.8380353506908</v>
      </c>
      <c r="L3108" s="4">
        <f>MIN(MAX(L3107*(1+MAX(MIN(((B3108-B3107)/B3107)/($K$7*卓尔金历!$N$40),0),-卓尔金历!$M$43))+MIN(MAX(((B3108-B3107)/B3107)/($K$7*卓尔金历!$N$40),0),卓尔金历!$M$43),0),1)</f>
        <v>0.80326026263679562</v>
      </c>
      <c r="M3108" s="4">
        <f>MIN(MAX(M3107*(1+MAX(MIN(((B3108-B3107)/B3107)/($K$7*30),0),-卓尔金历!$M$43))+MIN(MAX(((B3108-B3107)/B3107)/($K$7*7),0),卓尔金历!$M$43),0),1)</f>
        <v>0.96630809925665884</v>
      </c>
      <c r="N3108">
        <f t="shared" si="433"/>
        <v>260373.70960754785</v>
      </c>
      <c r="O3108">
        <f t="shared" si="434"/>
        <v>732350.53848936548</v>
      </c>
      <c r="P3108">
        <f t="shared" si="435"/>
        <v>-4.4102116263207407E-3</v>
      </c>
      <c r="Q3108">
        <f t="shared" si="426"/>
        <v>1.8129783139750912E-2</v>
      </c>
      <c r="R3108">
        <f t="shared" si="427"/>
        <v>1</v>
      </c>
      <c r="S3108">
        <f t="shared" si="429"/>
        <v>1186.3230407457263</v>
      </c>
      <c r="T3108" s="564">
        <f>IF((I3108-MAX(I$470:I3108))/MAX(I$470:I3108)&gt;T3107,T3107,(I3108-MAX(I$470:I3108))/MAX(I$470:I3108))</f>
        <v>-0.91338805338419748</v>
      </c>
      <c r="U3108" s="564">
        <f>IF((J3108-MAX(J$470:J3108))/MAX(J$470:J3108)&gt;U3107,U3107,(J3108-MAX(J$470:J3108))/MAX(J$470:J3108))</f>
        <v>-0.83569785939843477</v>
      </c>
      <c r="V3108" s="564">
        <f>IF((K3108-MAX(K$470:K3108))/MAX(K$470:K3108)&gt;V3107,V3107,(K3108-MAX(K$470:K3108))/MAX(K$470:K3108))</f>
        <v>-0.84885940676762139</v>
      </c>
      <c r="W3108" s="564">
        <f>IF((N3108-MAX(N$470:N3108))/MAX(N$470:N3108)&gt;W3107,W3107,(N3108-MAX(N$470:N3108))/MAX(N$470:N3108))</f>
        <v>-0.62788758315546067</v>
      </c>
      <c r="X3108" s="564">
        <f>IF((O3108-MAX(O$470:O3108))/MAX(O$470:O3108)&gt;X3107,X3107,(O3108-MAX(O$470:O3108))/MAX(O$470:O3108))</f>
        <v>-0.62788758315546067</v>
      </c>
    </row>
    <row r="3109" spans="1:24">
      <c r="A3109" s="799">
        <v>43511</v>
      </c>
      <c r="B3109">
        <v>3637.0047541899999</v>
      </c>
      <c r="C3109">
        <v>6430.4207699999997</v>
      </c>
      <c r="D3109">
        <v>0.81432599999999999</v>
      </c>
      <c r="E3109">
        <f>LN(D3109/参数实验室!$E$53)/参数实验室!$E$55</f>
        <v>-0.93528312366354849</v>
      </c>
      <c r="F3109">
        <f t="shared" si="428"/>
        <v>1.7680539907438542</v>
      </c>
      <c r="G3109">
        <f>LN(F3109/参数实验室!$E$58)/参数实验室!$E$59</f>
        <v>0.10857353577832994</v>
      </c>
      <c r="H3109" s="856">
        <f>INDEX(神经网络!$G$10:$BO$70,MATCH(ROUND(G3109*2,1)/2,神经网络!$E$10:$E$70,0),MATCH(ROUND(E3109*2,1)/2,神经网络!$G$8:$BO$8,0))</f>
        <v>-1.6113682648580298E-2</v>
      </c>
      <c r="I3109">
        <f t="shared" si="430"/>
        <v>681980.04004679213</v>
      </c>
      <c r="J3109">
        <f t="shared" si="431"/>
        <v>1451.2608252623568</v>
      </c>
      <c r="K3109">
        <f t="shared" si="432"/>
        <v>469.92244824324035</v>
      </c>
      <c r="L3109" s="4">
        <f>MIN(MAX(L3108*(1+MAX(MIN(((B3109-B3108)/B3108)/($K$7*卓尔金历!$N$40),0),-卓尔金历!$M$43))+MIN(MAX(((B3109-B3108)/B3108)/($K$7*卓尔金历!$N$40),0),卓尔金历!$M$43),0),1)</f>
        <v>0.86455192760214095</v>
      </c>
      <c r="M3109" s="4">
        <f>MIN(MAX(M3108*(1+MAX(MIN(((B3109-B3108)/B3108)/($K$7*30),0),-卓尔金历!$M$43))+MIN(MAX(((B3109-B3108)/B3108)/($K$7*7),0),卓尔金历!$M$43),0),1)</f>
        <v>1</v>
      </c>
      <c r="N3109">
        <f t="shared" si="433"/>
        <v>260360.19032763041</v>
      </c>
      <c r="O3109">
        <f t="shared" si="434"/>
        <v>732304.7944226322</v>
      </c>
      <c r="P3109">
        <f t="shared" si="435"/>
        <v>4.011486551113403E-3</v>
      </c>
      <c r="Q3109">
        <f t="shared" si="426"/>
        <v>1.8142268544088961E-2</v>
      </c>
      <c r="R3109">
        <f t="shared" si="427"/>
        <v>1</v>
      </c>
      <c r="S3109">
        <f t="shared" si="429"/>
        <v>1186.2463570364471</v>
      </c>
      <c r="T3109" s="564">
        <f>IF((I3109-MAX(I$470:I3109))/MAX(I$470:I3109)&gt;T3108,T3108,(I3109-MAX(I$470:I3109))/MAX(I$470:I3109))</f>
        <v>-0.91338805338419748</v>
      </c>
      <c r="U3109" s="564">
        <f>IF((J3109-MAX(J$470:J3109))/MAX(J$470:J3109)&gt;U3108,U3108,(J3109-MAX(J$470:J3109))/MAX(J$470:J3109))</f>
        <v>-0.83569785939843477</v>
      </c>
      <c r="V3109" s="564">
        <f>IF((K3109-MAX(K$470:K3109))/MAX(K$470:K3109)&gt;V3108,V3108,(K3109-MAX(K$470:K3109))/MAX(K$470:K3109))</f>
        <v>-0.84885940676762139</v>
      </c>
      <c r="W3109" s="564">
        <f>IF((N3109-MAX(N$470:N3109))/MAX(N$470:N3109)&gt;W3108,W3108,(N3109-MAX(N$470:N3109))/MAX(N$470:N3109))</f>
        <v>-0.62788758315546067</v>
      </c>
      <c r="X3109" s="564">
        <f>IF((O3109-MAX(O$470:O3109))/MAX(O$470:O3109)&gt;X3108,X3108,(O3109-MAX(O$470:O3109))/MAX(O$470:O3109))</f>
        <v>-0.62788758315546067</v>
      </c>
    </row>
    <row r="3110" spans="1:24">
      <c r="A3110" s="799">
        <v>43512</v>
      </c>
      <c r="B3110">
        <v>3635.3968331199999</v>
      </c>
      <c r="C3110">
        <v>6332.0774869999996</v>
      </c>
      <c r="D3110">
        <v>0.81951499999999999</v>
      </c>
      <c r="E3110">
        <f>LN(D3110/参数实验室!$E$53)/参数实验室!$E$55</f>
        <v>-0.9277894199729817</v>
      </c>
      <c r="F3110">
        <f t="shared" si="428"/>
        <v>1.7417843986967532</v>
      </c>
      <c r="G3110">
        <f>LN(F3110/参数实验室!$E$58)/参数实验室!$E$59</f>
        <v>0.10071678710171122</v>
      </c>
      <c r="H3110" s="856">
        <f>INDEX(神经网络!$G$10:$BO$70,MATCH(ROUND(G3110*2,1)/2,神经网络!$E$10:$E$70,0),MATCH(ROUND(E3110*2,1)/2,神经网络!$G$8:$BO$8,0))</f>
        <v>-1.6113682648580298E-2</v>
      </c>
      <c r="I3110">
        <f t="shared" si="430"/>
        <v>681984.8983803374</v>
      </c>
      <c r="J3110">
        <f t="shared" si="431"/>
        <v>1450.6192223454741</v>
      </c>
      <c r="K3110">
        <f t="shared" si="432"/>
        <v>470.13364215431471</v>
      </c>
      <c r="L3110" s="4">
        <f>MIN(MAX(L3109*(1+MAX(MIN(((B3110-B3109)/B3109)/($K$7*卓尔金历!$N$40),0),-卓尔金历!$M$43))+MIN(MAX(((B3110-B3109)/B3109)/($K$7*卓尔金历!$N$40),0),卓尔金历!$M$43),0),1)</f>
        <v>0.85871199252182429</v>
      </c>
      <c r="M3110" s="4">
        <f>MIN(MAX(M3109*(1+MAX(MIN(((B3110-B3109)/B3109)/($K$7*30),0),-卓尔金历!$M$43))+MIN(MAX(((B3110-B3109)/B3109)/($K$7*7),0),卓尔金历!$M$43),0),1)</f>
        <v>0.99662256546202266</v>
      </c>
      <c r="N3110">
        <f t="shared" si="433"/>
        <v>260361.79387327807</v>
      </c>
      <c r="O3110">
        <f t="shared" si="434"/>
        <v>732310.01126291964</v>
      </c>
      <c r="P3110">
        <f t="shared" si="435"/>
        <v>-4.4210034868598244E-4</v>
      </c>
      <c r="Q3110">
        <f t="shared" si="426"/>
        <v>1.7849693659516049E-2</v>
      </c>
      <c r="R3110">
        <f t="shared" si="427"/>
        <v>1</v>
      </c>
      <c r="S3110">
        <f t="shared" si="429"/>
        <v>1186.2548076950161</v>
      </c>
      <c r="T3110" s="564">
        <f>IF((I3110-MAX(I$470:I3110))/MAX(I$470:I3110)&gt;T3109,T3109,(I3110-MAX(I$470:I3110))/MAX(I$470:I3110))</f>
        <v>-0.91338805338419748</v>
      </c>
      <c r="U3110" s="564">
        <f>IF((J3110-MAX(J$470:J3110))/MAX(J$470:J3110)&gt;U3109,U3109,(J3110-MAX(J$470:J3110))/MAX(J$470:J3110))</f>
        <v>-0.83569785939843477</v>
      </c>
      <c r="V3110" s="564">
        <f>IF((K3110-MAX(K$470:K3110))/MAX(K$470:K3110)&gt;V3109,V3109,(K3110-MAX(K$470:K3110))/MAX(K$470:K3110))</f>
        <v>-0.84885940676762139</v>
      </c>
      <c r="W3110" s="564">
        <f>IF((N3110-MAX(N$470:N3110))/MAX(N$470:N3110)&gt;W3109,W3109,(N3110-MAX(N$470:N3110))/MAX(N$470:N3110))</f>
        <v>-0.62788758315546067</v>
      </c>
      <c r="X3110" s="564">
        <f>IF((O3110-MAX(O$470:O3110))/MAX(O$470:O3110)&gt;X3109,X3109,(O3110-MAX(O$470:O3110))/MAX(O$470:O3110))</f>
        <v>-0.62788758315546067</v>
      </c>
    </row>
    <row r="3111" spans="1:24">
      <c r="A3111" s="799">
        <v>43513</v>
      </c>
      <c r="B3111">
        <v>3644.6004409400002</v>
      </c>
      <c r="C3111">
        <v>6244.3604610000002</v>
      </c>
      <c r="D3111">
        <v>0.82849300000000003</v>
      </c>
      <c r="E3111">
        <f>LN(D3111/参数实验室!$E$53)/参数实验室!$E$55</f>
        <v>-0.91493519910867505</v>
      </c>
      <c r="F3111">
        <f t="shared" si="428"/>
        <v>1.7133182531771523</v>
      </c>
      <c r="G3111">
        <f>LN(F3111/参数实验室!$E$58)/参数实验室!$E$59</f>
        <v>9.2068181756849582E-2</v>
      </c>
      <c r="H3111" s="856">
        <f>INDEX(神经网络!$G$10:$BO$70,MATCH(ROUND(G3111*2,1)/2,神经网络!$E$10:$E$70,0),MATCH(ROUND(E3111*2,1)/2,神经网络!$G$8:$BO$8,0))</f>
        <v>-6.5486849937294242E-2</v>
      </c>
      <c r="I3111">
        <f t="shared" si="430"/>
        <v>681957.07718125684</v>
      </c>
      <c r="J3111">
        <f t="shared" si="431"/>
        <v>1454.2917046167324</v>
      </c>
      <c r="K3111">
        <f t="shared" si="432"/>
        <v>468.92729637138478</v>
      </c>
      <c r="L3111" s="4">
        <f>MIN(MAX(L3110*(1+MAX(MIN(((B3111-B3110)/B3110)/($K$7*卓尔金历!$N$40),0),-卓尔金历!$M$43))+MIN(MAX(((B3111-B3110)/B3110)/($K$7*卓尔金历!$N$40),0),卓尔金历!$M$43),0),1)</f>
        <v>0.89739340803243883</v>
      </c>
      <c r="M3111" s="4">
        <f>MIN(MAX(M3110*(1+MAX(MIN(((B3111-B3110)/B3110)/($K$7*30),0),-卓尔金历!$M$43))+MIN(MAX(((B3111-B3110)/B3110)/($K$7*7),0),卓尔金历!$M$43),0),1)</f>
        <v>1</v>
      </c>
      <c r="N3111">
        <f t="shared" si="433"/>
        <v>260352.67322161654</v>
      </c>
      <c r="O3111">
        <f t="shared" si="434"/>
        <v>732280.23797662207</v>
      </c>
      <c r="P3111">
        <f t="shared" si="435"/>
        <v>2.5316652465974527E-3</v>
      </c>
      <c r="Q3111">
        <f t="shared" si="426"/>
        <v>1.7424362652319628E-2</v>
      </c>
      <c r="R3111">
        <f t="shared" si="427"/>
        <v>1</v>
      </c>
      <c r="S3111">
        <f t="shared" si="429"/>
        <v>1186.2064150821539</v>
      </c>
      <c r="T3111" s="564">
        <f>IF((I3111-MAX(I$470:I3111))/MAX(I$470:I3111)&gt;T3110,T3110,(I3111-MAX(I$470:I3111))/MAX(I$470:I3111))</f>
        <v>-0.91338805338419748</v>
      </c>
      <c r="U3111" s="564">
        <f>IF((J3111-MAX(J$470:J3111))/MAX(J$470:J3111)&gt;U3110,U3110,(J3111-MAX(J$470:J3111))/MAX(J$470:J3111))</f>
        <v>-0.83569785939843477</v>
      </c>
      <c r="V3111" s="564">
        <f>IF((K3111-MAX(K$470:K3111))/MAX(K$470:K3111)&gt;V3110,V3110,(K3111-MAX(K$470:K3111))/MAX(K$470:K3111))</f>
        <v>-0.84885940676762139</v>
      </c>
      <c r="W3111" s="564">
        <f>IF((N3111-MAX(N$470:N3111))/MAX(N$470:N3111)&gt;W3110,W3110,(N3111-MAX(N$470:N3111))/MAX(N$470:N3111))</f>
        <v>-0.62788758315546067</v>
      </c>
      <c r="X3111" s="564">
        <f>IF((O3111-MAX(O$470:O3111))/MAX(O$470:O3111)&gt;X3110,X3110,(O3111-MAX(O$470:O3111))/MAX(O$470:O3111))</f>
        <v>-0.62788758315546067</v>
      </c>
    </row>
    <row r="3112" spans="1:24">
      <c r="A3112" s="799">
        <v>43514</v>
      </c>
      <c r="B3112">
        <v>3743.3483746500001</v>
      </c>
      <c r="C3112">
        <v>6154.056106</v>
      </c>
      <c r="D3112">
        <v>0.88420799999999999</v>
      </c>
      <c r="E3112">
        <f>LN(D3112/参数实验室!$E$53)/参数实验室!$E$55</f>
        <v>-0.83815220828699033</v>
      </c>
      <c r="F3112">
        <f t="shared" si="428"/>
        <v>1.643997696734651</v>
      </c>
      <c r="G3112">
        <f>LN(F3112/参数实验室!$E$58)/参数实验室!$E$59</f>
        <v>7.039113585355003E-2</v>
      </c>
      <c r="H3112" s="856">
        <f>INDEX(神经网络!$G$10:$BO$70,MATCH(ROUND(G3112*2,1)/2,神经网络!$E$10:$E$70,0),MATCH(ROUND(E3112*2,1)/2,神经网络!$G$8:$BO$8,0))</f>
        <v>-0.15101802788283913</v>
      </c>
      <c r="I3112">
        <f t="shared" si="430"/>
        <v>680747.06641483807</v>
      </c>
      <c r="J3112">
        <f t="shared" si="431"/>
        <v>1493.6947347073112</v>
      </c>
      <c r="K3112">
        <f t="shared" si="432"/>
        <v>455.74711525526675</v>
      </c>
      <c r="L3112" s="4">
        <f>MIN(MAX(L3111*(1+MAX(MIN(((B3112-B3111)/B3111)/($K$7*卓尔金历!$N$40),0),-卓尔金历!$M$43))+MIN(MAX(((B3112-B3111)/B3111)/($K$7*卓尔金历!$N$40),0),卓尔金历!$M$43),0),1)</f>
        <v>1</v>
      </c>
      <c r="M3112" s="4">
        <f>MIN(MAX(M3111*(1+MAX(MIN(((B3112-B3111)/B3111)/($K$7*30),0),-卓尔金历!$M$43))+MIN(MAX(((B3112-B3111)/B3111)/($K$7*7),0),卓尔金历!$M$43),0),1)</f>
        <v>1</v>
      </c>
      <c r="N3112">
        <f t="shared" si="433"/>
        <v>259938.12303965533</v>
      </c>
      <c r="O3112">
        <f t="shared" si="434"/>
        <v>730980.93776897585</v>
      </c>
      <c r="P3112">
        <f t="shared" si="435"/>
        <v>2.7094309872972306E-2</v>
      </c>
      <c r="Q3112">
        <f t="shared" si="426"/>
        <v>1.7114457055498418E-2</v>
      </c>
      <c r="R3112">
        <f t="shared" si="427"/>
        <v>9.4196071411952655E-3</v>
      </c>
      <c r="S3112">
        <f t="shared" si="429"/>
        <v>1184.1017041238381</v>
      </c>
      <c r="T3112" s="564">
        <f>IF((I3112-MAX(I$470:I3112))/MAX(I$470:I3112)&gt;T3111,T3111,(I3112-MAX(I$470:I3112))/MAX(I$470:I3112))</f>
        <v>-0.91338805338419748</v>
      </c>
      <c r="U3112" s="564">
        <f>IF((J3112-MAX(J$470:J3112))/MAX(J$470:J3112)&gt;U3111,U3111,(J3112-MAX(J$470:J3112))/MAX(J$470:J3112))</f>
        <v>-0.83569785939843477</v>
      </c>
      <c r="V3112" s="564">
        <f>IF((K3112-MAX(K$470:K3112))/MAX(K$470:K3112)&gt;V3111,V3111,(K3112-MAX(K$470:K3112))/MAX(K$470:K3112))</f>
        <v>-0.84885940676762139</v>
      </c>
      <c r="W3112" s="564">
        <f>IF((N3112-MAX(N$470:N3112))/MAX(N$470:N3112)&gt;W3111,W3111,(N3112-MAX(N$470:N3112))/MAX(N$470:N3112))</f>
        <v>-0.62788758315546067</v>
      </c>
      <c r="X3112" s="564">
        <f>IF((O3112-MAX(O$470:O3112))/MAX(O$470:O3112)&gt;X3111,X3111,(O3112-MAX(O$470:O3112))/MAX(O$470:O3112))</f>
        <v>-0.62788758315546067</v>
      </c>
    </row>
    <row r="3113" spans="1:24">
      <c r="A3113" s="799">
        <v>43515</v>
      </c>
      <c r="B3113">
        <v>3925.6861569900002</v>
      </c>
      <c r="C3113">
        <v>6160.3984119999996</v>
      </c>
      <c r="D3113">
        <v>0.89132999999999996</v>
      </c>
      <c r="E3113">
        <f>LN(D3113/参数实验室!$E$53)/参数实验室!$E$55</f>
        <v>-0.82868775563481589</v>
      </c>
      <c r="F3113">
        <f t="shared" si="428"/>
        <v>1.5692539254649571</v>
      </c>
      <c r="G3113">
        <f>LN(F3113/参数实验室!$E$58)/参数实验室!$E$59</f>
        <v>4.5969364459770727E-2</v>
      </c>
      <c r="H3113" s="856">
        <f>INDEX(神经网络!$G$10:$BO$70,MATCH(ROUND(G3113*2,1)/2,神经网络!$E$10:$E$70,0),MATCH(ROUND(E3113*2,1)/2,神经网络!$G$8:$BO$8,0))</f>
        <v>-0.15101802788283913</v>
      </c>
      <c r="I3113">
        <f t="shared" si="430"/>
        <v>675739.45068545011</v>
      </c>
      <c r="J3113">
        <f t="shared" si="431"/>
        <v>1566.4523191373019</v>
      </c>
      <c r="K3113">
        <f t="shared" si="432"/>
        <v>431.38207427698956</v>
      </c>
      <c r="L3113" s="4">
        <f>MIN(MAX(L3112*(1+MAX(MIN(((B3113-B3112)/B3112)/($K$7*卓尔金历!$N$40),0),-卓尔金历!$M$43))+MIN(MAX(((B3113-B3112)/B3112)/($K$7*卓尔金历!$N$40),0),卓尔金历!$M$43),0),1)</f>
        <v>1</v>
      </c>
      <c r="M3113" s="4">
        <f>MIN(MAX(M3112*(1+MAX(MIN(((B3113-B3112)/B3112)/($K$7*30),0),-卓尔金历!$M$43))+MIN(MAX(((B3113-B3112)/B3112)/($K$7*7),0),卓尔金历!$M$43),0),1)</f>
        <v>1</v>
      </c>
      <c r="N3113">
        <f t="shared" si="433"/>
        <v>258026.00281494949</v>
      </c>
      <c r="O3113">
        <f t="shared" si="434"/>
        <v>725603.79870742594</v>
      </c>
      <c r="P3113">
        <f t="shared" si="435"/>
        <v>4.870980846313791E-2</v>
      </c>
      <c r="Q3113">
        <f t="shared" si="426"/>
        <v>1.9015985791923762E-2</v>
      </c>
      <c r="R3113">
        <f t="shared" si="427"/>
        <v>1.0165913431624356E-3</v>
      </c>
      <c r="S3113">
        <f t="shared" si="429"/>
        <v>1184.0196563101761</v>
      </c>
      <c r="T3113" s="564">
        <f>IF((I3113-MAX(I$470:I3113))/MAX(I$470:I3113)&gt;T3112,T3112,(I3113-MAX(I$470:I3113))/MAX(I$470:I3113))</f>
        <v>-0.91338805338419748</v>
      </c>
      <c r="U3113" s="564">
        <f>IF((J3113-MAX(J$470:J3113))/MAX(J$470:J3113)&gt;U3112,U3112,(J3113-MAX(J$470:J3113))/MAX(J$470:J3113))</f>
        <v>-0.83569785939843477</v>
      </c>
      <c r="V3113" s="564">
        <f>IF((K3113-MAX(K$470:K3113))/MAX(K$470:K3113)&gt;V3112,V3112,(K3113-MAX(K$470:K3113))/MAX(K$470:K3113))</f>
        <v>-0.84885940676762139</v>
      </c>
      <c r="W3113" s="564">
        <f>IF((N3113-MAX(N$470:N3113))/MAX(N$470:N3113)&gt;W3112,W3112,(N3113-MAX(N$470:N3113))/MAX(N$470:N3113))</f>
        <v>-0.62788758315546067</v>
      </c>
      <c r="X3113" s="564">
        <f>IF((O3113-MAX(O$470:O3113))/MAX(O$470:O3113)&gt;X3112,X3112,(O3113-MAX(O$470:O3113))/MAX(O$470:O3113))</f>
        <v>-0.62788758315546067</v>
      </c>
    </row>
    <row r="3114" spans="1:24">
      <c r="A3114" s="799">
        <v>43516</v>
      </c>
      <c r="B3114">
        <v>3982.2926741800002</v>
      </c>
      <c r="C3114">
        <v>6246.3572389999999</v>
      </c>
      <c r="D3114">
        <v>0.89885400000000004</v>
      </c>
      <c r="E3114">
        <f>LN(D3114/参数实验室!$E$53)/参数实验室!$E$55</f>
        <v>-0.81877088041483492</v>
      </c>
      <c r="F3114">
        <f t="shared" si="428"/>
        <v>1.5685329407101392</v>
      </c>
      <c r="G3114">
        <f>LN(F3114/参数实验室!$E$58)/参数实验室!$E$59</f>
        <v>4.5728167854414782E-2</v>
      </c>
      <c r="H3114" s="856">
        <f>INDEX(神经网络!$G$10:$BO$70,MATCH(ROUND(G3114*2,1)/2,神经网络!$E$10:$E$70,0),MATCH(ROUND(E3114*2,1)/2,神经网络!$G$8:$BO$8,0))</f>
        <v>-0.18892090073293136</v>
      </c>
      <c r="I3114">
        <f t="shared" si="430"/>
        <v>674267.95522206463</v>
      </c>
      <c r="J3114">
        <f t="shared" si="431"/>
        <v>1589.039812529425</v>
      </c>
      <c r="K3114">
        <f t="shared" si="432"/>
        <v>424.32414210489071</v>
      </c>
      <c r="L3114" s="4">
        <f>MIN(MAX(L3113*(1+MAX(MIN(((B3114-B3113)/B3113)/($K$7*卓尔金历!$N$40),0),-卓尔金历!$M$43))+MIN(MAX(((B3114-B3113)/B3113)/($K$7*卓尔金历!$N$40),0),卓尔金历!$M$43),0),1)</f>
        <v>1</v>
      </c>
      <c r="M3114" s="4">
        <f>MIN(MAX(M3113*(1+MAX(MIN(((B3114-B3113)/B3113)/($K$7*30),0),-卓尔金历!$M$43))+MIN(MAX(((B3114-B3113)/B3113)/($K$7*7),0),卓尔金历!$M$43),0),1)</f>
        <v>1</v>
      </c>
      <c r="N3114">
        <f t="shared" si="433"/>
        <v>257464.12339205574</v>
      </c>
      <c r="O3114">
        <f t="shared" si="434"/>
        <v>724023.71825344302</v>
      </c>
      <c r="P3114">
        <f t="shared" si="435"/>
        <v>1.4419521817659191E-2</v>
      </c>
      <c r="Q3114">
        <f t="shared" si="426"/>
        <v>1.9038443182888082E-2</v>
      </c>
      <c r="R3114">
        <f t="shared" si="427"/>
        <v>0.30217738655211457</v>
      </c>
      <c r="S3114">
        <f t="shared" si="429"/>
        <v>1184.0170352018347</v>
      </c>
      <c r="T3114" s="564">
        <f>IF((I3114-MAX(I$470:I3114))/MAX(I$470:I3114)&gt;T3113,T3113,(I3114-MAX(I$470:I3114))/MAX(I$470:I3114))</f>
        <v>-0.91338805338419748</v>
      </c>
      <c r="U3114" s="564">
        <f>IF((J3114-MAX(J$470:J3114))/MAX(J$470:J3114)&gt;U3113,U3113,(J3114-MAX(J$470:J3114))/MAX(J$470:J3114))</f>
        <v>-0.83569785939843477</v>
      </c>
      <c r="V3114" s="564">
        <f>IF((K3114-MAX(K$470:K3114))/MAX(K$470:K3114)&gt;V3113,V3113,(K3114-MAX(K$470:K3114))/MAX(K$470:K3114))</f>
        <v>-0.84885940676762139</v>
      </c>
      <c r="W3114" s="564">
        <f>IF((N3114-MAX(N$470:N3114))/MAX(N$470:N3114)&gt;W3113,W3113,(N3114-MAX(N$470:N3114))/MAX(N$470:N3114))</f>
        <v>-0.62788758315546067</v>
      </c>
      <c r="X3114" s="564">
        <f>IF((O3114-MAX(O$470:O3114))/MAX(O$470:O3114)&gt;X3113,X3113,(O3114-MAX(O$470:O3114))/MAX(O$470:O3114))</f>
        <v>-0.62788758315546067</v>
      </c>
    </row>
    <row r="3115" spans="1:24">
      <c r="A3115" s="799">
        <v>43517</v>
      </c>
      <c r="B3115">
        <v>3952.2389259299998</v>
      </c>
      <c r="C3115">
        <v>6294.9871880000001</v>
      </c>
      <c r="D3115">
        <v>0.89047100000000001</v>
      </c>
      <c r="E3115">
        <f>LN(D3115/参数实验室!$E$53)/参数实验室!$E$55</f>
        <v>-0.82982526550834623</v>
      </c>
      <c r="F3115">
        <f t="shared" si="428"/>
        <v>1.5927648368370668</v>
      </c>
      <c r="G3115">
        <f>LN(F3115/参数实验室!$E$58)/参数实验室!$E$59</f>
        <v>5.3774520107907682E-2</v>
      </c>
      <c r="H3115" s="856">
        <f>INDEX(神经网络!$G$10:$BO$70,MATCH(ROUND(G3115*2,1)/2,神经网络!$E$10:$E$70,0),MATCH(ROUND(E3115*2,1)/2,神经网络!$G$8:$BO$8,0))</f>
        <v>-0.15101802788283913</v>
      </c>
      <c r="I3115">
        <f t="shared" si="430"/>
        <v>675229.29740011704</v>
      </c>
      <c r="J3115">
        <f t="shared" si="431"/>
        <v>1577.0475742907274</v>
      </c>
      <c r="K3115">
        <f t="shared" si="432"/>
        <v>428.16038552533803</v>
      </c>
      <c r="L3115" s="4">
        <f>MIN(MAX(L3114*(1+MAX(MIN(((B3115-B3114)/B3114)/($K$7*卓尔金历!$N$40),0),-卓尔金历!$M$43))+MIN(MAX(((B3115-B3114)/B3114)/($K$7*卓尔金历!$N$40),0),卓尔金历!$M$43),0),1)</f>
        <v>0.88469144023176183</v>
      </c>
      <c r="M3115" s="4">
        <f>MIN(MAX(M3114*(1+MAX(MIN(((B3115-B3114)/B3114)/($K$7*30),0),-卓尔金历!$M$43))+MIN(MAX(((B3115-B3114)/B3114)/($K$7*7),0),卓尔金历!$M$43),0),1)</f>
        <v>0.94234572011588091</v>
      </c>
      <c r="N3115">
        <f t="shared" si="433"/>
        <v>257831.20463807249</v>
      </c>
      <c r="O3115">
        <f t="shared" si="434"/>
        <v>725056.00005309959</v>
      </c>
      <c r="P3115">
        <f t="shared" si="435"/>
        <v>-7.5468456763260793E-3</v>
      </c>
      <c r="Q3115">
        <f t="shared" si="426"/>
        <v>1.9179370636581639E-2</v>
      </c>
      <c r="R3115">
        <f t="shared" si="427"/>
        <v>0.96950127584064594</v>
      </c>
      <c r="S3115">
        <f t="shared" si="429"/>
        <v>1184.5271470237835</v>
      </c>
      <c r="T3115" s="564">
        <f>IF((I3115-MAX(I$470:I3115))/MAX(I$470:I3115)&gt;T3114,T3114,(I3115-MAX(I$470:I3115))/MAX(I$470:I3115))</f>
        <v>-0.91338805338419748</v>
      </c>
      <c r="U3115" s="564">
        <f>IF((J3115-MAX(J$470:J3115))/MAX(J$470:J3115)&gt;U3114,U3114,(J3115-MAX(J$470:J3115))/MAX(J$470:J3115))</f>
        <v>-0.83569785939843477</v>
      </c>
      <c r="V3115" s="564">
        <f>IF((K3115-MAX(K$470:K3115))/MAX(K$470:K3115)&gt;V3114,V3114,(K3115-MAX(K$470:K3115))/MAX(K$470:K3115))</f>
        <v>-0.84885940676762139</v>
      </c>
      <c r="W3115" s="564">
        <f>IF((N3115-MAX(N$470:N3115))/MAX(N$470:N3115)&gt;W3114,W3114,(N3115-MAX(N$470:N3115))/MAX(N$470:N3115))</f>
        <v>-0.62788758315546067</v>
      </c>
      <c r="X3115" s="564">
        <f>IF((O3115-MAX(O$470:O3115))/MAX(O$470:O3115)&gt;X3114,X3114,(O3115-MAX(O$470:O3115))/MAX(O$470:O3115))</f>
        <v>-0.62788758315546067</v>
      </c>
    </row>
    <row r="3116" spans="1:24">
      <c r="A3116" s="799">
        <v>43518</v>
      </c>
      <c r="B3116">
        <v>3978.4327057</v>
      </c>
      <c r="C3116">
        <v>6229.1430049999999</v>
      </c>
      <c r="D3116">
        <v>0.90330999999999995</v>
      </c>
      <c r="E3116">
        <f>LN(D3116/参数实验室!$E$53)/参数实验室!$E$55</f>
        <v>-0.81293679298625343</v>
      </c>
      <c r="F3116">
        <f t="shared" si="428"/>
        <v>1.5657278797440386</v>
      </c>
      <c r="G3116">
        <f>LN(F3116/参数实验室!$E$58)/参数实验室!$E$59</f>
        <v>4.4788713184519852E-2</v>
      </c>
      <c r="H3116" s="856">
        <f>INDEX(神经网络!$G$10:$BO$70,MATCH(ROUND(G3116*2,1)/2,神经网络!$E$10:$E$70,0),MATCH(ROUND(E3116*2,1)/2,神经网络!$G$8:$BO$8,0))</f>
        <v>-0.18892090073293136</v>
      </c>
      <c r="I3116">
        <f t="shared" si="430"/>
        <v>674553.4711558501</v>
      </c>
      <c r="J3116">
        <f t="shared" si="431"/>
        <v>1587.4995832967529</v>
      </c>
      <c r="K3116">
        <f t="shared" si="432"/>
        <v>424.91568391785535</v>
      </c>
      <c r="L3116" s="4">
        <f>MIN(MAX(L3115*(1+MAX(MIN(((B3116-B3115)/B3115)/($K$7*卓尔金历!$N$40),0),-卓尔金历!$M$43))+MIN(MAX(((B3116-B3115)/B3115)/($K$7*卓尔金历!$N$40),0),卓尔金历!$M$43),0),1)</f>
        <v>0.98595450304150234</v>
      </c>
      <c r="M3116" s="4">
        <f>MIN(MAX(M3115*(1+MAX(MIN(((B3116-B3115)/B3115)/($K$7*30),0),-卓尔金历!$M$43))+MIN(MAX(((B3116-B3115)/B3115)/($K$7*7),0),卓尔金历!$M$43),0),1)</f>
        <v>1</v>
      </c>
      <c r="N3116">
        <f t="shared" si="433"/>
        <v>257602.90192204725</v>
      </c>
      <c r="O3116">
        <f t="shared" si="434"/>
        <v>724372.14259389054</v>
      </c>
      <c r="P3116">
        <f t="shared" si="435"/>
        <v>6.6275800276514333E-3</v>
      </c>
      <c r="Q3116">
        <f t="shared" ref="Q3116:Q3179" si="436">STDEVP(P3096:P3116)</f>
        <v>1.9104110078092342E-2</v>
      </c>
      <c r="R3116">
        <f t="shared" ref="R3116:R3179" si="437">MIN(Q3115*MAX(1-LN(MAX(ABS(P3116),0.0001)/Q3116),0)+MAX(-LN(MAX(ABS(P3116),0.0001)/Q3116),0),1)</f>
        <v>1</v>
      </c>
      <c r="S3116">
        <f t="shared" si="429"/>
        <v>1183.3777311822444</v>
      </c>
      <c r="T3116" s="564">
        <f>IF((I3116-MAX(I$470:I3116))/MAX(I$470:I3116)&gt;T3115,T3115,(I3116-MAX(I$470:I3116))/MAX(I$470:I3116))</f>
        <v>-0.91338805338419748</v>
      </c>
      <c r="U3116" s="564">
        <f>IF((J3116-MAX(J$470:J3116))/MAX(J$470:J3116)&gt;U3115,U3115,(J3116-MAX(J$470:J3116))/MAX(J$470:J3116))</f>
        <v>-0.83569785939843477</v>
      </c>
      <c r="V3116" s="564">
        <f>IF((K3116-MAX(K$470:K3116))/MAX(K$470:K3116)&gt;V3115,V3115,(K3116-MAX(K$470:K3116))/MAX(K$470:K3116))</f>
        <v>-0.84885940676762139</v>
      </c>
      <c r="W3116" s="564">
        <f>IF((N3116-MAX(N$470:N3116))/MAX(N$470:N3116)&gt;W3115,W3115,(N3116-MAX(N$470:N3116))/MAX(N$470:N3116))</f>
        <v>-0.62788758315546067</v>
      </c>
      <c r="X3116" s="564">
        <f>IF((O3116-MAX(O$470:O3116))/MAX(O$470:O3116)&gt;X3115,X3115,(O3116-MAX(O$470:O3116))/MAX(O$470:O3116))</f>
        <v>-0.62788758315546067</v>
      </c>
    </row>
    <row r="3117" spans="1:24">
      <c r="A3117" s="799">
        <v>43519</v>
      </c>
      <c r="B3117">
        <v>3990.0721365099998</v>
      </c>
      <c r="C3117">
        <v>6312.232172</v>
      </c>
      <c r="D3117">
        <v>0.94072900000000004</v>
      </c>
      <c r="E3117">
        <f>LN(D3117/参数实验室!$E$53)/参数实验室!$E$55</f>
        <v>-0.7650514204886889</v>
      </c>
      <c r="F3117">
        <f t="shared" si="428"/>
        <v>1.5819844744764755</v>
      </c>
      <c r="G3117">
        <f>LN(F3117/参数实验室!$E$58)/参数实验室!$E$59</f>
        <v>5.0210056924761173E-2</v>
      </c>
      <c r="H3117" s="856">
        <f>INDEX(神经网络!$G$10:$BO$70,MATCH(ROUND(G3117*2,1)/2,神经网络!$E$10:$E$70,0),MATCH(ROUND(E3117*2,1)/2,神经网络!$G$8:$BO$8,0))</f>
        <v>-0.21232817533669729</v>
      </c>
      <c r="I3117">
        <f t="shared" si="430"/>
        <v>674180.63663625252</v>
      </c>
      <c r="J3117">
        <f t="shared" si="431"/>
        <v>1592.1440231874194</v>
      </c>
      <c r="K3117">
        <f t="shared" si="432"/>
        <v>423.44199194151122</v>
      </c>
      <c r="L3117" s="4">
        <f>MIN(MAX(L3116*(1+MAX(MIN(((B3117-B3116)/B3116)/($K$7*卓尔金历!$N$40),0),-卓尔金历!$M$43))+MIN(MAX(((B3117-B3116)/B3116)/($K$7*卓尔金历!$N$40),0),卓尔金历!$M$43),0),1)</f>
        <v>1</v>
      </c>
      <c r="M3117" s="4">
        <f>MIN(MAX(M3116*(1+MAX(MIN(((B3117-B3116)/B3116)/($K$7*30),0),-卓尔金历!$M$43))+MIN(MAX(((B3117-B3116)/B3116)/($K$7*7),0),卓尔金历!$M$43),0),1)</f>
        <v>1</v>
      </c>
      <c r="N3117">
        <f t="shared" si="433"/>
        <v>257462.52123615704</v>
      </c>
      <c r="O3117">
        <f t="shared" si="434"/>
        <v>723971.77264348313</v>
      </c>
      <c r="P3117">
        <f t="shared" si="435"/>
        <v>2.9256321951414916E-3</v>
      </c>
      <c r="Q3117">
        <f t="shared" si="436"/>
        <v>1.911996290171495E-2</v>
      </c>
      <c r="R3117">
        <f t="shared" si="437"/>
        <v>1</v>
      </c>
      <c r="S3117">
        <f t="shared" si="429"/>
        <v>1182.7236628440417</v>
      </c>
      <c r="T3117" s="564">
        <f>IF((I3117-MAX(I$470:I3117))/MAX(I$470:I3117)&gt;T3116,T3116,(I3117-MAX(I$470:I3117))/MAX(I$470:I3117))</f>
        <v>-0.91338805338419748</v>
      </c>
      <c r="U3117" s="564">
        <f>IF((J3117-MAX(J$470:J3117))/MAX(J$470:J3117)&gt;U3116,U3116,(J3117-MAX(J$470:J3117))/MAX(J$470:J3117))</f>
        <v>-0.83569785939843477</v>
      </c>
      <c r="V3117" s="564">
        <f>IF((K3117-MAX(K$470:K3117))/MAX(K$470:K3117)&gt;V3116,V3116,(K3117-MAX(K$470:K3117))/MAX(K$470:K3117))</f>
        <v>-0.84885940676762139</v>
      </c>
      <c r="W3117" s="564">
        <f>IF((N3117-MAX(N$470:N3117))/MAX(N$470:N3117)&gt;W3116,W3116,(N3117-MAX(N$470:N3117))/MAX(N$470:N3117))</f>
        <v>-0.62788758315546067</v>
      </c>
      <c r="X3117" s="564">
        <f>IF((O3117-MAX(O$470:O3117))/MAX(O$470:O3117)&gt;X3116,X3116,(O3117-MAX(O$470:O3117))/MAX(O$470:O3117))</f>
        <v>-0.62788758315546067</v>
      </c>
    </row>
    <row r="3118" spans="1:24">
      <c r="A3118" s="799">
        <v>43520</v>
      </c>
      <c r="B3118">
        <v>4171.18462034</v>
      </c>
      <c r="C3118">
        <v>6318.4983819999998</v>
      </c>
      <c r="D3118">
        <v>0.85993600000000003</v>
      </c>
      <c r="E3118">
        <f>LN(D3118/参数实验室!$E$53)/参数实验室!$E$55</f>
        <v>-0.8709898862116231</v>
      </c>
      <c r="F3118">
        <f t="shared" si="428"/>
        <v>1.5147971037266073</v>
      </c>
      <c r="G3118">
        <f>LN(F3118/参数实验室!$E$58)/参数实验室!$E$59</f>
        <v>2.7432152294176483E-2</v>
      </c>
      <c r="H3118" s="856">
        <f>INDEX(神经网络!$G$10:$BO$70,MATCH(ROUND(G3118*2,1)/2,神经网络!$E$10:$E$70,0),MATCH(ROUND(E3118*2,1)/2,神经网络!$G$8:$BO$8,0))</f>
        <v>-0.15101802788283913</v>
      </c>
      <c r="I3118">
        <f t="shared" si="430"/>
        <v>667683.05803670152</v>
      </c>
      <c r="J3118">
        <f t="shared" si="431"/>
        <v>1664.4126811938836</v>
      </c>
      <c r="K3118">
        <f t="shared" si="432"/>
        <v>401.15234976326445</v>
      </c>
      <c r="L3118" s="4">
        <f>MIN(MAX(L3117*(1+MAX(MIN(((B3118-B3117)/B3117)/($K$7*卓尔金历!$N$40),0),-卓尔金历!$M$43))+MIN(MAX(((B3118-B3117)/B3117)/($K$7*卓尔金历!$N$40),0),卓尔金历!$M$43),0),1)</f>
        <v>1</v>
      </c>
      <c r="M3118" s="4">
        <f>MIN(MAX(M3117*(1+MAX(MIN(((B3118-B3117)/B3117)/($K$7*30),0),-卓尔金历!$M$43))+MIN(MAX(((B3118-B3117)/B3117)/($K$7*7),0),卓尔金历!$M$43),0),1)</f>
        <v>1</v>
      </c>
      <c r="N3118">
        <f t="shared" si="433"/>
        <v>254981.16404898366</v>
      </c>
      <c r="O3118">
        <f t="shared" si="434"/>
        <v>716994.31995353696</v>
      </c>
      <c r="P3118">
        <f t="shared" si="435"/>
        <v>4.5390779322705188E-2</v>
      </c>
      <c r="Q3118">
        <f t="shared" si="436"/>
        <v>2.0720901498399093E-2</v>
      </c>
      <c r="R3118">
        <f t="shared" si="437"/>
        <v>4.1267369114607591E-3</v>
      </c>
      <c r="S3118">
        <f t="shared" si="429"/>
        <v>1171.3248780921974</v>
      </c>
      <c r="T3118" s="564">
        <f>IF((I3118-MAX(I$470:I3118))/MAX(I$470:I3118)&gt;T3117,T3117,(I3118-MAX(I$470:I3118))/MAX(I$470:I3118))</f>
        <v>-0.91338805338419748</v>
      </c>
      <c r="U3118" s="564">
        <f>IF((J3118-MAX(J$470:J3118))/MAX(J$470:J3118)&gt;U3117,U3117,(J3118-MAX(J$470:J3118))/MAX(J$470:J3118))</f>
        <v>-0.83569785939843477</v>
      </c>
      <c r="V3118" s="564">
        <f>IF((K3118-MAX(K$470:K3118))/MAX(K$470:K3118)&gt;V3117,V3117,(K3118-MAX(K$470:K3118))/MAX(K$470:K3118))</f>
        <v>-0.84885940676762139</v>
      </c>
      <c r="W3118" s="564">
        <f>IF((N3118-MAX(N$470:N3118))/MAX(N$470:N3118)&gt;W3117,W3117,(N3118-MAX(N$470:N3118))/MAX(N$470:N3118))</f>
        <v>-0.62788758315546067</v>
      </c>
      <c r="X3118" s="564">
        <f>IF((O3118-MAX(O$470:O3118))/MAX(O$470:O3118)&gt;X3117,X3117,(O3118-MAX(O$470:O3118))/MAX(O$470:O3118))</f>
        <v>-0.62788758315546067</v>
      </c>
    </row>
    <row r="3119" spans="1:24">
      <c r="A3119" s="799">
        <v>43521</v>
      </c>
      <c r="B3119">
        <v>3840.2965783499999</v>
      </c>
      <c r="C3119">
        <v>6350.8145109999996</v>
      </c>
      <c r="D3119">
        <v>0.87605999999999995</v>
      </c>
      <c r="E3119">
        <f>LN(D3119/参数实验室!$E$53)/参数实验室!$E$55</f>
        <v>-0.84907406573903488</v>
      </c>
      <c r="F3119">
        <f t="shared" si="428"/>
        <v>1.6537302214634304</v>
      </c>
      <c r="G3119">
        <f>LN(F3119/参数实验室!$E$58)/参数实验室!$E$59</f>
        <v>7.3489129327157954E-2</v>
      </c>
      <c r="H3119" s="856">
        <f>INDEX(神经网络!$G$10:$BO$70,MATCH(ROUND(G3119*2,1)/2,神经网络!$E$10:$E$70,0),MATCH(ROUND(E3119*2,1)/2,神经网络!$G$8:$BO$8,0))</f>
        <v>-0.15101802788283913</v>
      </c>
      <c r="I3119">
        <f t="shared" si="430"/>
        <v>675681.78386840492</v>
      </c>
      <c r="J3119">
        <f t="shared" si="431"/>
        <v>1532.379625054863</v>
      </c>
      <c r="K3119">
        <f t="shared" si="432"/>
        <v>440.93628812391302</v>
      </c>
      <c r="L3119" s="4">
        <f>MIN(MAX(L3118*(1+MAX(MIN(((B3119-B3118)/B3118)/($K$7*卓尔金历!$N$40),0),-卓尔金历!$M$43))+MIN(MAX(((B3119-B3118)/B3118)/($K$7*卓尔金历!$N$40),0),卓尔金历!$M$43),0),1)</f>
        <v>0</v>
      </c>
      <c r="M3119" s="4">
        <f>MIN(MAX(M3118*(1+MAX(MIN(((B3119-B3118)/B3118)/($K$7*30),0),-卓尔金历!$M$43))+MIN(MAX(((B3119-B3118)/B3118)/($K$7*7),0),卓尔金历!$M$43),0),1)</f>
        <v>0.39397890380419998</v>
      </c>
      <c r="N3119">
        <f t="shared" si="433"/>
        <v>258035.79363547274</v>
      </c>
      <c r="O3119">
        <f t="shared" si="434"/>
        <v>725583.7860470165</v>
      </c>
      <c r="P3119">
        <f t="shared" si="435"/>
        <v>-7.9327114982273045E-2</v>
      </c>
      <c r="Q3119">
        <f t="shared" si="436"/>
        <v>2.7847008238623214E-2</v>
      </c>
      <c r="R3119">
        <f t="shared" si="437"/>
        <v>0</v>
      </c>
      <c r="S3119">
        <f t="shared" si="429"/>
        <v>1171.3827855640166</v>
      </c>
      <c r="T3119" s="564">
        <f>IF((I3119-MAX(I$470:I3119))/MAX(I$470:I3119)&gt;T3118,T3118,(I3119-MAX(I$470:I3119))/MAX(I$470:I3119))</f>
        <v>-0.91338805338419748</v>
      </c>
      <c r="U3119" s="564">
        <f>IF((J3119-MAX(J$470:J3119))/MAX(J$470:J3119)&gt;U3118,U3118,(J3119-MAX(J$470:J3119))/MAX(J$470:J3119))</f>
        <v>-0.83569785939843477</v>
      </c>
      <c r="V3119" s="564">
        <f>IF((K3119-MAX(K$470:K3119))/MAX(K$470:K3119)&gt;V3118,V3118,(K3119-MAX(K$470:K3119))/MAX(K$470:K3119))</f>
        <v>-0.84885940676762139</v>
      </c>
      <c r="W3119" s="564">
        <f>IF((N3119-MAX(N$470:N3119))/MAX(N$470:N3119)&gt;W3118,W3118,(N3119-MAX(N$470:N3119))/MAX(N$470:N3119))</f>
        <v>-0.62788758315546067</v>
      </c>
      <c r="X3119" s="564">
        <f>IF((O3119-MAX(O$470:O3119))/MAX(O$470:O3119)&gt;X3118,X3118,(O3119-MAX(O$470:O3119))/MAX(O$470:O3119))</f>
        <v>-0.62788758315546067</v>
      </c>
    </row>
    <row r="3120" spans="1:24">
      <c r="A3120" s="799">
        <v>43522</v>
      </c>
      <c r="B3120">
        <v>3861.7398380300001</v>
      </c>
      <c r="C3120">
        <v>6250.1087470000002</v>
      </c>
      <c r="D3120">
        <v>0.87035700000000005</v>
      </c>
      <c r="E3120">
        <f>LN(D3120/参数实验室!$E$53)/参数实验室!$E$55</f>
        <v>-0.85677916328021075</v>
      </c>
      <c r="F3120">
        <f t="shared" si="428"/>
        <v>1.6184696559435721</v>
      </c>
      <c r="G3120">
        <f>LN(F3120/参数实验室!$E$58)/参数实验室!$E$59</f>
        <v>6.2177248980558819E-2</v>
      </c>
      <c r="H3120" s="856">
        <f>INDEX(神经网络!$G$10:$BO$70,MATCH(ROUND(G3120*2,1)/2,神经网络!$E$10:$E$70,0),MATCH(ROUND(E3120*2,1)/2,神经网络!$G$8:$BO$8,0))</f>
        <v>-0.15101802788283913</v>
      </c>
      <c r="I3120">
        <f t="shared" si="430"/>
        <v>675112.01719259215</v>
      </c>
      <c r="J3120">
        <f t="shared" si="431"/>
        <v>1540.9360512469543</v>
      </c>
      <c r="K3120">
        <f t="shared" si="432"/>
        <v>438.11812738515584</v>
      </c>
      <c r="L3120" s="4">
        <f>MIN(MAX(L3119*(1+MAX(MIN(((B3120-B3119)/B3119)/($K$7*卓尔金历!$N$40),0),-卓尔金历!$M$43))+MIN(MAX(((B3120-B3119)/B3119)/($K$7*卓尔金历!$N$40),0),卓尔金历!$M$43),0),1)</f>
        <v>8.5314356240220587E-2</v>
      </c>
      <c r="M3120" s="4">
        <f>MIN(MAX(M3119*(1+MAX(MIN(((B3120-B3119)/B3119)/($K$7*30),0),-卓尔金历!$M$43))+MIN(MAX(((B3120-B3119)/B3119)/($K$7*7),0),卓尔金历!$M$43),0),1)</f>
        <v>0.57679538146181553</v>
      </c>
      <c r="N3120">
        <f t="shared" si="433"/>
        <v>258035.79363547274</v>
      </c>
      <c r="O3120">
        <f t="shared" si="434"/>
        <v>725342.7314760834</v>
      </c>
      <c r="P3120">
        <f t="shared" si="435"/>
        <v>5.5837509532176291E-3</v>
      </c>
      <c r="Q3120">
        <f t="shared" si="436"/>
        <v>2.784689078344129E-2</v>
      </c>
      <c r="R3120">
        <f t="shared" si="437"/>
        <v>1</v>
      </c>
      <c r="S3120">
        <f t="shared" si="429"/>
        <v>1171.3827855640166</v>
      </c>
      <c r="T3120" s="564">
        <f>IF((I3120-MAX(I$470:I3120))/MAX(I$470:I3120)&gt;T3119,T3119,(I3120-MAX(I$470:I3120))/MAX(I$470:I3120))</f>
        <v>-0.91338805338419748</v>
      </c>
      <c r="U3120" s="564">
        <f>IF((J3120-MAX(J$470:J3120))/MAX(J$470:J3120)&gt;U3119,U3119,(J3120-MAX(J$470:J3120))/MAX(J$470:J3120))</f>
        <v>-0.83569785939843477</v>
      </c>
      <c r="V3120" s="564">
        <f>IF((K3120-MAX(K$470:K3120))/MAX(K$470:K3120)&gt;V3119,V3119,(K3120-MAX(K$470:K3120))/MAX(K$470:K3120))</f>
        <v>-0.84885940676762139</v>
      </c>
      <c r="W3120" s="564">
        <f>IF((N3120-MAX(N$470:N3120))/MAX(N$470:N3120)&gt;W3119,W3119,(N3120-MAX(N$470:N3120))/MAX(N$470:N3120))</f>
        <v>-0.62788758315546067</v>
      </c>
      <c r="X3120" s="564">
        <f>IF((O3120-MAX(O$470:O3120))/MAX(O$470:O3120)&gt;X3119,X3119,(O3120-MAX(O$470:O3120))/MAX(O$470:O3120))</f>
        <v>-0.62788758315546067</v>
      </c>
    </row>
    <row r="3121" spans="1:24">
      <c r="A3121" s="799">
        <v>43523</v>
      </c>
      <c r="B3121">
        <v>3871.64561065</v>
      </c>
      <c r="C3121">
        <v>6269.1248059999998</v>
      </c>
      <c r="D3121">
        <v>0.87138800000000005</v>
      </c>
      <c r="E3121">
        <f>LN(D3121/参数实验室!$E$53)/参数实验室!$E$55</f>
        <v>-0.85538248840920839</v>
      </c>
      <c r="F3121">
        <f t="shared" si="428"/>
        <v>1.6192403531860173</v>
      </c>
      <c r="G3121">
        <f>LN(F3121/参数实验室!$E$58)/参数实验室!$E$59</f>
        <v>6.2427119148170285E-2</v>
      </c>
      <c r="H3121" s="856">
        <f>INDEX(神经网络!$G$10:$BO$70,MATCH(ROUND(G3121*2,1)/2,神经网络!$E$10:$E$70,0),MATCH(ROUND(E3121*2,1)/2,神经网络!$G$8:$BO$8,0))</f>
        <v>-0.15101802788283913</v>
      </c>
      <c r="I3121">
        <f t="shared" si="430"/>
        <v>674850.4941407108</v>
      </c>
      <c r="J3121">
        <f t="shared" si="431"/>
        <v>1544.8887157934607</v>
      </c>
      <c r="K3121">
        <f t="shared" si="432"/>
        <v>436.82790044466407</v>
      </c>
      <c r="L3121" s="4">
        <f>MIN(MAX(L3120*(1+MAX(MIN(((B3121-B3120)/B3120)/($K$7*卓尔金历!$N$40),0),-卓尔金历!$M$43))+MIN(MAX(((B3121-B3120)/B3120)/($K$7*卓尔金历!$N$40),0),卓尔金历!$M$43),0),1)</f>
        <v>0.12450671671055641</v>
      </c>
      <c r="M3121" s="4">
        <f>MIN(MAX(M3120*(1+MAX(MIN(((B3121-B3120)/B3120)/($K$7*30),0),-卓尔金历!$M$43))+MIN(MAX(((B3121-B3120)/B3120)/($K$7*7),0),卓尔金历!$M$43),0),1)</f>
        <v>0.66077901104110659</v>
      </c>
      <c r="N3121">
        <f t="shared" si="433"/>
        <v>258027.26585113621</v>
      </c>
      <c r="O3121">
        <f t="shared" si="434"/>
        <v>725180.66276632354</v>
      </c>
      <c r="P3121">
        <f t="shared" si="435"/>
        <v>2.5651061530476216E-3</v>
      </c>
      <c r="Q3121">
        <f t="shared" si="436"/>
        <v>2.7359530453125527E-2</v>
      </c>
      <c r="R3121">
        <f t="shared" si="437"/>
        <v>1</v>
      </c>
      <c r="S3121">
        <f t="shared" si="429"/>
        <v>1170.9290184954405</v>
      </c>
      <c r="T3121" s="564">
        <f>IF((I3121-MAX(I$470:I3121))/MAX(I$470:I3121)&gt;T3120,T3120,(I3121-MAX(I$470:I3121))/MAX(I$470:I3121))</f>
        <v>-0.91338805338419748</v>
      </c>
      <c r="U3121" s="564">
        <f>IF((J3121-MAX(J$470:J3121))/MAX(J$470:J3121)&gt;U3120,U3120,(J3121-MAX(J$470:J3121))/MAX(J$470:J3121))</f>
        <v>-0.83569785939843477</v>
      </c>
      <c r="V3121" s="564">
        <f>IF((K3121-MAX(K$470:K3121))/MAX(K$470:K3121)&gt;V3120,V3120,(K3121-MAX(K$470:K3121))/MAX(K$470:K3121))</f>
        <v>-0.84885940676762139</v>
      </c>
      <c r="W3121" s="564">
        <f>IF((N3121-MAX(N$470:N3121))/MAX(N$470:N3121)&gt;W3120,W3120,(N3121-MAX(N$470:N3121))/MAX(N$470:N3121))</f>
        <v>-0.62788758315546067</v>
      </c>
      <c r="X3121" s="564">
        <f>IF((O3121-MAX(O$470:O3121))/MAX(O$470:O3121)&gt;X3120,X3120,(O3121-MAX(O$470:O3121))/MAX(O$470:O3121))</f>
        <v>-0.62788758315546067</v>
      </c>
    </row>
    <row r="3122" spans="1:24">
      <c r="A3122" s="799">
        <v>43524</v>
      </c>
      <c r="B3122">
        <v>3866.86871329</v>
      </c>
      <c r="C3122">
        <v>6254.2282459999997</v>
      </c>
      <c r="D3122">
        <v>0.87032100000000001</v>
      </c>
      <c r="E3122">
        <f>LN(D3122/参数实验室!$E$53)/参数实验室!$E$55</f>
        <v>-0.8568279616412966</v>
      </c>
      <c r="F3122">
        <f t="shared" si="428"/>
        <v>1.6173883081432037</v>
      </c>
      <c r="G3122">
        <f>LN(F3122/参数实验室!$E$58)/参数实验室!$E$59</f>
        <v>6.1826461157096509E-2</v>
      </c>
      <c r="H3122" s="856">
        <f>INDEX(神经网络!$G$10:$BO$70,MATCH(ROUND(G3122*2,1)/2,神经网络!$E$10:$E$70,0),MATCH(ROUND(E3122*2,1)/2,神经网络!$G$8:$BO$8,0))</f>
        <v>-0.15101802788283913</v>
      </c>
      <c r="I3122">
        <f t="shared" si="430"/>
        <v>674976.23796863668</v>
      </c>
      <c r="J3122">
        <f t="shared" si="431"/>
        <v>1542.9826077530793</v>
      </c>
      <c r="K3122">
        <f t="shared" si="432"/>
        <v>437.44902539864006</v>
      </c>
      <c r="L3122" s="4">
        <f>MIN(MAX(L3121*(1+MAX(MIN(((B3122-B3121)/B3121)/($K$7*卓尔金历!$N$40),0),-卓尔金历!$M$43))+MIN(MAX(((B3122-B3121)/B3121)/($K$7*卓尔金历!$N$40),0),卓尔金历!$M$43),0),1)</f>
        <v>0.12215957575538075</v>
      </c>
      <c r="M3122" s="4">
        <f>MIN(MAX(M3121*(1+MAX(MIN(((B3122-B3121)/B3121)/($K$7*30),0),-卓尔金历!$M$43))+MIN(MAX(((B3122-B3121)/B3121)/($K$7*7),0),卓尔金历!$M$43),0),1)</f>
        <v>0.65455066641797843</v>
      </c>
      <c r="N3122">
        <f t="shared" si="433"/>
        <v>258033.2518618269</v>
      </c>
      <c r="O3122">
        <f t="shared" si="434"/>
        <v>725269.9483951109</v>
      </c>
      <c r="P3122">
        <f t="shared" si="435"/>
        <v>-1.2338157570155395E-3</v>
      </c>
      <c r="Q3122">
        <f t="shared" si="436"/>
        <v>2.7407655840042802E-2</v>
      </c>
      <c r="R3122">
        <f t="shared" si="437"/>
        <v>1</v>
      </c>
      <c r="S3122">
        <f t="shared" si="429"/>
        <v>1171.1471958521936</v>
      </c>
      <c r="T3122" s="564">
        <f>IF((I3122-MAX(I$470:I3122))/MAX(I$470:I3122)&gt;T3121,T3121,(I3122-MAX(I$470:I3122))/MAX(I$470:I3122))</f>
        <v>-0.91338805338419748</v>
      </c>
      <c r="U3122" s="564">
        <f>IF((J3122-MAX(J$470:J3122))/MAX(J$470:J3122)&gt;U3121,U3121,(J3122-MAX(J$470:J3122))/MAX(J$470:J3122))</f>
        <v>-0.83569785939843477</v>
      </c>
      <c r="V3122" s="564">
        <f>IF((K3122-MAX(K$470:K3122))/MAX(K$470:K3122)&gt;V3121,V3121,(K3122-MAX(K$470:K3122))/MAX(K$470:K3122))</f>
        <v>-0.84885940676762139</v>
      </c>
      <c r="W3122" s="564">
        <f>IF((N3122-MAX(N$470:N3122))/MAX(N$470:N3122)&gt;W3121,W3121,(N3122-MAX(N$470:N3122))/MAX(N$470:N3122))</f>
        <v>-0.62788758315546067</v>
      </c>
      <c r="X3122" s="564">
        <f>IF((O3122-MAX(O$470:O3122))/MAX(O$470:O3122)&gt;X3121,X3121,(O3122-MAX(O$470:O3122))/MAX(O$470:O3122))</f>
        <v>-0.62788758315546067</v>
      </c>
    </row>
    <row r="3123" spans="1:24">
      <c r="A3123" s="799">
        <v>43525</v>
      </c>
      <c r="B3123">
        <v>3868.6442709100002</v>
      </c>
      <c r="C3123">
        <v>6147.3017620000001</v>
      </c>
      <c r="D3123">
        <v>0.87459299999999995</v>
      </c>
      <c r="E3123">
        <f>LN(D3123/参数实验室!$E$53)/参数实验室!$E$55</f>
        <v>-0.85105126900433692</v>
      </c>
      <c r="F3123">
        <f t="shared" si="428"/>
        <v>1.5890067247134108</v>
      </c>
      <c r="G3123">
        <f>LN(F3123/参数实验室!$E$58)/参数实验室!$E$59</f>
        <v>5.2534669149691154E-2</v>
      </c>
      <c r="H3123" s="856">
        <f>INDEX(神经网络!$G$10:$BO$70,MATCH(ROUND(G3123*2,1)/2,神经网络!$E$10:$E$70,0),MATCH(ROUND(E3123*2,1)/2,神经网络!$G$8:$BO$8,0))</f>
        <v>-0.15101802788283913</v>
      </c>
      <c r="I3123">
        <f t="shared" si="430"/>
        <v>674929.43292851234</v>
      </c>
      <c r="J3123">
        <f t="shared" si="431"/>
        <v>1543.691102074934</v>
      </c>
      <c r="K3123">
        <f t="shared" si="432"/>
        <v>437.21793305753596</v>
      </c>
      <c r="L3123" s="4">
        <f>MIN(MAX(L3122*(1+MAX(MIN(((B3123-B3122)/B3122)/($K$7*卓尔金历!$N$40),0),-卓尔金历!$M$43))+MIN(MAX(((B3123-B3122)/B3122)/($K$7*卓尔金历!$N$40),0),卓尔金历!$M$43),0),1)</f>
        <v>0.12917528240846149</v>
      </c>
      <c r="M3123" s="4">
        <f>MIN(MAX(M3122*(1+MAX(MIN(((B3123-B3122)/B3122)/($K$7*30),0),-卓尔金历!$M$43))+MIN(MAX(((B3123-B3122)/B3122)/($K$7*7),0),卓尔金历!$M$43),0),1)</f>
        <v>0.66958432353172292</v>
      </c>
      <c r="N3123">
        <f t="shared" si="433"/>
        <v>258031.06607739092</v>
      </c>
      <c r="O3123">
        <f t="shared" si="434"/>
        <v>725237.02936054219</v>
      </c>
      <c r="P3123">
        <f t="shared" si="435"/>
        <v>4.591719428947263E-4</v>
      </c>
      <c r="Q3123">
        <f t="shared" si="436"/>
        <v>2.7432701411771294E-2</v>
      </c>
      <c r="R3123">
        <f t="shared" si="437"/>
        <v>1</v>
      </c>
      <c r="S3123">
        <f t="shared" si="429"/>
        <v>1171.0659847096231</v>
      </c>
      <c r="T3123" s="564">
        <f>IF((I3123-MAX(I$470:I3123))/MAX(I$470:I3123)&gt;T3122,T3122,(I3123-MAX(I$470:I3123))/MAX(I$470:I3123))</f>
        <v>-0.91338805338419748</v>
      </c>
      <c r="U3123" s="564">
        <f>IF((J3123-MAX(J$470:J3123))/MAX(J$470:J3123)&gt;U3122,U3122,(J3123-MAX(J$470:J3123))/MAX(J$470:J3123))</f>
        <v>-0.83569785939843477</v>
      </c>
      <c r="V3123" s="564">
        <f>IF((K3123-MAX(K$470:K3123))/MAX(K$470:K3123)&gt;V3122,V3122,(K3123-MAX(K$470:K3123))/MAX(K$470:K3123))</f>
        <v>-0.84885940676762139</v>
      </c>
      <c r="W3123" s="564">
        <f>IF((N3123-MAX(N$470:N3123))/MAX(N$470:N3123)&gt;W3122,W3122,(N3123-MAX(N$470:N3123))/MAX(N$470:N3123))</f>
        <v>-0.62788758315546067</v>
      </c>
      <c r="X3123" s="564">
        <f>IF((O3123-MAX(O$470:O3123))/MAX(O$470:O3123)&gt;X3122,X3122,(O3123-MAX(O$470:O3123))/MAX(O$470:O3123))</f>
        <v>-0.62788758315546067</v>
      </c>
    </row>
    <row r="3124" spans="1:24">
      <c r="A3124" s="799">
        <v>43526</v>
      </c>
      <c r="B3124">
        <v>3857.8977961800001</v>
      </c>
      <c r="C3124">
        <v>6245.6544869999998</v>
      </c>
      <c r="D3124">
        <v>0.87461500000000003</v>
      </c>
      <c r="E3124">
        <f>LN(D3124/参数实验室!$E$53)/参数实验室!$E$55</f>
        <v>-0.85102159320664006</v>
      </c>
      <c r="F3124">
        <f t="shared" si="428"/>
        <v>1.6189268915273753</v>
      </c>
      <c r="G3124">
        <f>LN(F3124/参数实验室!$E$58)/参数实验室!$E$59</f>
        <v>6.23255051134586E-2</v>
      </c>
      <c r="H3124" s="856">
        <f>INDEX(神经网络!$G$10:$BO$70,MATCH(ROUND(G3124*2,1)/2,神经网络!$E$10:$E$70,0),MATCH(ROUND(E3124*2,1)/2,神经网络!$G$8:$BO$8,0))</f>
        <v>-0.15101802788283913</v>
      </c>
      <c r="I3124">
        <f t="shared" si="430"/>
        <v>675212.56846850296</v>
      </c>
      <c r="J3124">
        <f t="shared" si="431"/>
        <v>1539.4029752124784</v>
      </c>
      <c r="K3124">
        <f t="shared" si="432"/>
        <v>438.61976320742508</v>
      </c>
      <c r="L3124" s="4">
        <f>MIN(MAX(L3123*(1+MAX(MIN(((B3124-B3123)/B3123)/($K$7*卓尔金历!$N$40),0),-卓尔金历!$M$43))+MIN(MAX(((B3124-B3123)/B3123)/($K$7*卓尔金历!$N$40),0),卓尔金历!$M$43),0),1)</f>
        <v>0.12369273087477024</v>
      </c>
      <c r="M3124" s="4">
        <f>MIN(MAX(M3123*(1+MAX(MIN(((B3124-B3123)/B3123)/($K$7*30),0),-卓尔金历!$M$43))+MIN(MAX(((B3124-B3123)/B3123)/($K$7*7),0),卓尔金历!$M$43),0),1)</f>
        <v>0.65537483046358935</v>
      </c>
      <c r="N3124">
        <f t="shared" si="433"/>
        <v>258045.04866133977</v>
      </c>
      <c r="O3124">
        <f t="shared" si="434"/>
        <v>725440.74354359822</v>
      </c>
      <c r="P3124">
        <f t="shared" si="435"/>
        <v>-2.7778399815168871E-3</v>
      </c>
      <c r="Q3124">
        <f t="shared" si="436"/>
        <v>2.375910134952558E-2</v>
      </c>
      <c r="R3124">
        <f t="shared" si="437"/>
        <v>1</v>
      </c>
      <c r="S3124">
        <f t="shared" si="429"/>
        <v>1171.5572514758489</v>
      </c>
      <c r="T3124" s="564">
        <f>IF((I3124-MAX(I$470:I3124))/MAX(I$470:I3124)&gt;T3123,T3123,(I3124-MAX(I$470:I3124))/MAX(I$470:I3124))</f>
        <v>-0.91338805338419748</v>
      </c>
      <c r="U3124" s="564">
        <f>IF((J3124-MAX(J$470:J3124))/MAX(J$470:J3124)&gt;U3123,U3123,(J3124-MAX(J$470:J3124))/MAX(J$470:J3124))</f>
        <v>-0.83569785939843477</v>
      </c>
      <c r="V3124" s="564">
        <f>IF((K3124-MAX(K$470:K3124))/MAX(K$470:K3124)&gt;V3123,V3123,(K3124-MAX(K$470:K3124))/MAX(K$470:K3124))</f>
        <v>-0.84885940676762139</v>
      </c>
      <c r="W3124" s="564">
        <f>IF((N3124-MAX(N$470:N3124))/MAX(N$470:N3124)&gt;W3123,W3123,(N3124-MAX(N$470:N3124))/MAX(N$470:N3124))</f>
        <v>-0.62788758315546067</v>
      </c>
      <c r="X3124" s="564">
        <f>IF((O3124-MAX(O$470:O3124))/MAX(O$470:O3124)&gt;X3123,X3123,(O3124-MAX(O$470:O3124))/MAX(O$470:O3124))</f>
        <v>-0.62788758315546067</v>
      </c>
    </row>
    <row r="3125" spans="1:24">
      <c r="A3125" s="799">
        <v>43527</v>
      </c>
      <c r="B3125">
        <v>3866.3862043899999</v>
      </c>
      <c r="C3125">
        <v>6298.8943040000004</v>
      </c>
      <c r="D3125">
        <v>0.86848499999999995</v>
      </c>
      <c r="E3125">
        <f>LN(D3125/参数实验室!$E$53)/参数实验室!$E$55</f>
        <v>-0.85931935833640194</v>
      </c>
      <c r="F3125">
        <f t="shared" si="428"/>
        <v>1.6291425561285278</v>
      </c>
      <c r="G3125">
        <f>LN(F3125/参数实验室!$E$58)/参数实验室!$E$59</f>
        <v>6.5627005056457563E-2</v>
      </c>
      <c r="H3125" s="856">
        <f>INDEX(神经网络!$G$10:$BO$70,MATCH(ROUND(G3125*2,1)/2,神经网络!$E$10:$E$70,0),MATCH(ROUND(E3125*2,1)/2,神经网络!$G$8:$BO$8,0))</f>
        <v>-0.15101802788283913</v>
      </c>
      <c r="I3125">
        <f t="shared" si="430"/>
        <v>674988.20876833994</v>
      </c>
      <c r="J3125">
        <f t="shared" si="431"/>
        <v>1542.7900739754966</v>
      </c>
      <c r="K3125">
        <f t="shared" si="432"/>
        <v>437.51137640457779</v>
      </c>
      <c r="L3125" s="4">
        <f>MIN(MAX(L3124*(1+MAX(MIN(((B3125-B3124)/B3124)/($K$7*卓尔金历!$N$40),0),-卓尔金历!$M$43))+MIN(MAX(((B3125-B3124)/B3124)/($K$7*卓尔金历!$N$40),0),卓尔金历!$M$43),0),1)</f>
        <v>0.15731071107663608</v>
      </c>
      <c r="M3125" s="4">
        <f>MIN(MAX(M3124*(1+MAX(MIN(((B3125-B3124)/B3124)/($K$7*30),0),-卓尔金历!$M$43))+MIN(MAX(((B3125-B3124)/B3124)/($K$7*7),0),卓尔金历!$M$43),0),1)</f>
        <v>0.72741335946758756</v>
      </c>
      <c r="N3125">
        <f t="shared" si="433"/>
        <v>258034.44284648282</v>
      </c>
      <c r="O3125">
        <f t="shared" si="434"/>
        <v>725282.76575317874</v>
      </c>
      <c r="P3125">
        <f t="shared" si="435"/>
        <v>2.2002677775457878E-3</v>
      </c>
      <c r="Q3125">
        <f t="shared" si="436"/>
        <v>2.3689777771014824E-2</v>
      </c>
      <c r="R3125">
        <f t="shared" si="437"/>
        <v>1</v>
      </c>
      <c r="S3125">
        <f t="shared" si="429"/>
        <v>1171.1679663144944</v>
      </c>
      <c r="T3125" s="564">
        <f>IF((I3125-MAX(I$470:I3125))/MAX(I$470:I3125)&gt;T3124,T3124,(I3125-MAX(I$470:I3125))/MAX(I$470:I3125))</f>
        <v>-0.91338805338419748</v>
      </c>
      <c r="U3125" s="564">
        <f>IF((J3125-MAX(J$470:J3125))/MAX(J$470:J3125)&gt;U3124,U3124,(J3125-MAX(J$470:J3125))/MAX(J$470:J3125))</f>
        <v>-0.83569785939843477</v>
      </c>
      <c r="V3125" s="564">
        <f>IF((K3125-MAX(K$470:K3125))/MAX(K$470:K3125)&gt;V3124,V3124,(K3125-MAX(K$470:K3125))/MAX(K$470:K3125))</f>
        <v>-0.84885940676762139</v>
      </c>
      <c r="W3125" s="564">
        <f>IF((N3125-MAX(N$470:N3125))/MAX(N$470:N3125)&gt;W3124,W3124,(N3125-MAX(N$470:N3125))/MAX(N$470:N3125))</f>
        <v>-0.62788758315546067</v>
      </c>
      <c r="X3125" s="564">
        <f>IF((O3125-MAX(O$470:O3125))/MAX(O$470:O3125)&gt;X3124,X3124,(O3125-MAX(O$470:O3125))/MAX(O$470:O3125))</f>
        <v>-0.62788758315546067</v>
      </c>
    </row>
    <row r="3126" spans="1:24">
      <c r="A3126" s="799">
        <v>43528</v>
      </c>
      <c r="B3126">
        <v>3744.1363999300002</v>
      </c>
      <c r="C3126">
        <v>6330.9676520000003</v>
      </c>
      <c r="D3126">
        <v>0.85007600000000005</v>
      </c>
      <c r="E3126">
        <f>LN(D3126/参数实验室!$E$53)/参数实验室!$E$55</f>
        <v>-0.88459504910265752</v>
      </c>
      <c r="F3126">
        <f t="shared" si="428"/>
        <v>1.690901979991531</v>
      </c>
      <c r="G3126">
        <f>LN(F3126/参数实验室!$E$58)/参数实验室!$E$59</f>
        <v>8.5155913537327474E-2</v>
      </c>
      <c r="H3126" s="856">
        <f>INDEX(神经网络!$G$10:$BO$70,MATCH(ROUND(G3126*2,1)/2,神经网络!$E$10:$E$70,0),MATCH(ROUND(E3126*2,1)/2,神经网络!$G$8:$BO$8,0))</f>
        <v>-6.5486849937294242E-2</v>
      </c>
      <c r="I3126">
        <f t="shared" si="430"/>
        <v>678211.26528881548</v>
      </c>
      <c r="J3126">
        <f t="shared" si="431"/>
        <v>1494.0091775787048</v>
      </c>
      <c r="K3126">
        <f t="shared" si="432"/>
        <v>453.95388158724154</v>
      </c>
      <c r="L3126" s="4">
        <f>MIN(MAX(L3125*(1+MAX(MIN(((B3126-B3125)/B3125)/($K$7*卓尔金历!$N$40),0),-卓尔金历!$M$43))+MIN(MAX(((B3126-B3125)/B3125)/($K$7*卓尔金历!$N$40),0),卓尔金历!$M$43),0),1)</f>
        <v>8.1313559804806562E-2</v>
      </c>
      <c r="M3126" s="4">
        <f>MIN(MAX(M3125*(1+MAX(MIN(((B3126-B3125)/B3125)/($K$7*30),0),-卓尔金历!$M$43))+MIN(MAX(((B3126-B3125)/B3125)/($K$7*7),0),卓尔金历!$M$43),0),1)</f>
        <v>0.55170586079104511</v>
      </c>
      <c r="N3126">
        <f t="shared" si="433"/>
        <v>258228.26691678714</v>
      </c>
      <c r="O3126">
        <f t="shared" si="434"/>
        <v>727801.95251796907</v>
      </c>
      <c r="P3126">
        <f t="shared" si="435"/>
        <v>-3.1618622144159829E-2</v>
      </c>
      <c r="Q3126">
        <f t="shared" si="436"/>
        <v>2.4811139784026836E-2</v>
      </c>
      <c r="R3126">
        <f t="shared" si="437"/>
        <v>1.7946107804559724E-2</v>
      </c>
      <c r="S3126">
        <f t="shared" si="429"/>
        <v>1176.7602722264596</v>
      </c>
      <c r="T3126" s="564">
        <f>IF((I3126-MAX(I$470:I3126))/MAX(I$470:I3126)&gt;T3125,T3125,(I3126-MAX(I$470:I3126))/MAX(I$470:I3126))</f>
        <v>-0.91338805338419748</v>
      </c>
      <c r="U3126" s="564">
        <f>IF((J3126-MAX(J$470:J3126))/MAX(J$470:J3126)&gt;U3125,U3125,(J3126-MAX(J$470:J3126))/MAX(J$470:J3126))</f>
        <v>-0.83569785939843477</v>
      </c>
      <c r="V3126" s="564">
        <f>IF((K3126-MAX(K$470:K3126))/MAX(K$470:K3126)&gt;V3125,V3125,(K3126-MAX(K$470:K3126))/MAX(K$470:K3126))</f>
        <v>-0.84885940676762139</v>
      </c>
      <c r="W3126" s="564">
        <f>IF((N3126-MAX(N$470:N3126))/MAX(N$470:N3126)&gt;W3125,W3125,(N3126-MAX(N$470:N3126))/MAX(N$470:N3126))</f>
        <v>-0.62788758315546067</v>
      </c>
      <c r="X3126" s="564">
        <f>IF((O3126-MAX(O$470:O3126))/MAX(O$470:O3126)&gt;X3125,X3125,(O3126-MAX(O$470:O3126))/MAX(O$470:O3126))</f>
        <v>-0.62788758315546067</v>
      </c>
    </row>
    <row r="3127" spans="1:24">
      <c r="A3127" s="799">
        <v>43529</v>
      </c>
      <c r="B3127">
        <v>3776.5107742700002</v>
      </c>
      <c r="C3127">
        <v>6285.8408449999997</v>
      </c>
      <c r="D3127">
        <v>0.88264299999999996</v>
      </c>
      <c r="E3127">
        <f>LN(D3127/参数实验室!$E$53)/参数实验室!$E$55</f>
        <v>-0.84024215736551233</v>
      </c>
      <c r="F3127">
        <f t="shared" si="428"/>
        <v>1.6644572783497626</v>
      </c>
      <c r="G3127">
        <f>LN(F3127/参数实验室!$E$58)/参数实验室!$E$59</f>
        <v>7.6882643883639551E-2</v>
      </c>
      <c r="H3127" s="856">
        <f>INDEX(神经网络!$G$10:$BO$70,MATCH(ROUND(G3127*2,1)/2,神经网络!$E$10:$E$70,0),MATCH(ROUND(E3127*2,1)/2,神经网络!$G$8:$BO$8,0))</f>
        <v>-0.1058115802451777</v>
      </c>
      <c r="I3127">
        <f t="shared" si="430"/>
        <v>677827.23204388446</v>
      </c>
      <c r="J3127">
        <f t="shared" si="431"/>
        <v>1506.9274068353186</v>
      </c>
      <c r="K3127">
        <f t="shared" si="432"/>
        <v>449.80748838285569</v>
      </c>
      <c r="L3127" s="4">
        <f>MIN(MAX(L3126*(1+MAX(MIN(((B3127-B3126)/B3126)/($K$7*卓尔金历!$N$40),0),-卓尔金历!$M$43))+MIN(MAX(((B3127-B3126)/B3126)/($K$7*卓尔金历!$N$40),0),卓尔金历!$M$43),0),1)</f>
        <v>0.21342663468142653</v>
      </c>
      <c r="M3127" s="4">
        <f>MIN(MAX(M3126*(1+MAX(MIN(((B3127-B3126)/B3126)/($K$7*30),0),-卓尔金历!$M$43))+MIN(MAX(((B3127-B3126)/B3126)/($K$7*7),0),卓尔金历!$M$43),0),1)</f>
        <v>0.83480530695523081</v>
      </c>
      <c r="N3127">
        <f t="shared" si="433"/>
        <v>258216.3772255244</v>
      </c>
      <c r="O3127">
        <f t="shared" si="434"/>
        <v>727574.58698122203</v>
      </c>
      <c r="P3127">
        <f t="shared" si="435"/>
        <v>8.6466866807003336E-3</v>
      </c>
      <c r="Q3127">
        <f t="shared" si="436"/>
        <v>2.4740213625072581E-2</v>
      </c>
      <c r="R3127">
        <f t="shared" si="437"/>
        <v>1</v>
      </c>
      <c r="S3127">
        <f t="shared" si="429"/>
        <v>1176.7483141288797</v>
      </c>
      <c r="T3127" s="564">
        <f>IF((I3127-MAX(I$470:I3127))/MAX(I$470:I3127)&gt;T3126,T3126,(I3127-MAX(I$470:I3127))/MAX(I$470:I3127))</f>
        <v>-0.91338805338419748</v>
      </c>
      <c r="U3127" s="564">
        <f>IF((J3127-MAX(J$470:J3127))/MAX(J$470:J3127)&gt;U3126,U3126,(J3127-MAX(J$470:J3127))/MAX(J$470:J3127))</f>
        <v>-0.83569785939843477</v>
      </c>
      <c r="V3127" s="564">
        <f>IF((K3127-MAX(K$470:K3127))/MAX(K$470:K3127)&gt;V3126,V3126,(K3127-MAX(K$470:K3127))/MAX(K$470:K3127))</f>
        <v>-0.84885940676762139</v>
      </c>
      <c r="W3127" s="564">
        <f>IF((N3127-MAX(N$470:N3127))/MAX(N$470:N3127)&gt;W3126,W3126,(N3127-MAX(N$470:N3127))/MAX(N$470:N3127))</f>
        <v>-0.62788758315546067</v>
      </c>
      <c r="X3127" s="564">
        <f>IF((O3127-MAX(O$470:O3127))/MAX(O$470:O3127)&gt;X3126,X3126,(O3127-MAX(O$470:O3127))/MAX(O$470:O3127))</f>
        <v>-0.62788758315546067</v>
      </c>
    </row>
    <row r="3128" spans="1:24">
      <c r="A3128" s="799">
        <v>43530</v>
      </c>
      <c r="B3128">
        <v>3899.7559300399998</v>
      </c>
      <c r="C3128">
        <v>6369.6172839999999</v>
      </c>
      <c r="D3128">
        <v>0.88556500000000005</v>
      </c>
      <c r="E3128">
        <f>LN(D3128/参数实验室!$E$53)/参数实验室!$E$55</f>
        <v>-0.83634302093266455</v>
      </c>
      <c r="F3128">
        <f t="shared" si="428"/>
        <v>1.6333374186149816</v>
      </c>
      <c r="G3128">
        <f>LN(F3128/参数实验室!$E$58)/参数实验室!$E$59</f>
        <v>6.697670943260732E-2</v>
      </c>
      <c r="H3128" s="856">
        <f>INDEX(神经网络!$G$10:$BO$70,MATCH(ROUND(G3128*2,1)/2,神经网络!$E$10:$E$70,0),MATCH(ROUND(E3128*2,1)/2,神经网络!$G$8:$BO$8,0))</f>
        <v>-0.15101802788283913</v>
      </c>
      <c r="I3128">
        <f t="shared" si="430"/>
        <v>675486.60971771437</v>
      </c>
      <c r="J3128">
        <f t="shared" si="431"/>
        <v>1556.1054746578316</v>
      </c>
      <c r="K3128">
        <f t="shared" si="432"/>
        <v>434.08793344567181</v>
      </c>
      <c r="L3128" s="4">
        <f>MIN(MAX(L3127*(1+MAX(MIN(((B3128-B3127)/B3127)/($K$7*卓尔金历!$N$40),0),-卓尔金历!$M$43))+MIN(MAX(((B3128-B3127)/B3127)/($K$7*卓尔金历!$N$40),0),卓尔金历!$M$43),0),1)</f>
        <v>0.71205296549100661</v>
      </c>
      <c r="M3128" s="4">
        <f>MIN(MAX(M3127*(1+MAX(MIN(((B3128-B3127)/B3127)/($K$7*30),0),-卓尔金历!$M$43))+MIN(MAX(((B3128-B3127)/B3127)/($K$7*7),0),卓尔金历!$M$43),0),1)</f>
        <v>1</v>
      </c>
      <c r="N3128">
        <f t="shared" si="433"/>
        <v>258026.07462171072</v>
      </c>
      <c r="O3128">
        <f t="shared" si="434"/>
        <v>725477.21697449416</v>
      </c>
      <c r="P3128">
        <f t="shared" si="435"/>
        <v>3.2634662824131078E-2</v>
      </c>
      <c r="Q3128">
        <f t="shared" si="436"/>
        <v>2.5572187346631338E-2</v>
      </c>
      <c r="R3128">
        <f t="shared" si="437"/>
        <v>1.8706825863166153E-2</v>
      </c>
      <c r="S3128">
        <f t="shared" si="429"/>
        <v>1172.6848548193034</v>
      </c>
      <c r="T3128" s="564">
        <f>IF((I3128-MAX(I$470:I3128))/MAX(I$470:I3128)&gt;T3127,T3127,(I3128-MAX(I$470:I3128))/MAX(I$470:I3128))</f>
        <v>-0.91338805338419748</v>
      </c>
      <c r="U3128" s="564">
        <f>IF((J3128-MAX(J$470:J3128))/MAX(J$470:J3128)&gt;U3127,U3127,(J3128-MAX(J$470:J3128))/MAX(J$470:J3128))</f>
        <v>-0.83569785939843477</v>
      </c>
      <c r="V3128" s="564">
        <f>IF((K3128-MAX(K$470:K3128))/MAX(K$470:K3128)&gt;V3127,V3127,(K3128-MAX(K$470:K3128))/MAX(K$470:K3128))</f>
        <v>-0.84885940676762139</v>
      </c>
      <c r="W3128" s="564">
        <f>IF((N3128-MAX(N$470:N3128))/MAX(N$470:N3128)&gt;W3127,W3127,(N3128-MAX(N$470:N3128))/MAX(N$470:N3128))</f>
        <v>-0.62788758315546067</v>
      </c>
      <c r="X3128" s="564">
        <f>IF((O3128-MAX(O$470:O3128))/MAX(O$470:O3128)&gt;X3127,X3127,(O3128-MAX(O$470:O3128))/MAX(O$470:O3128))</f>
        <v>-0.62788758315546067</v>
      </c>
    </row>
    <row r="3129" spans="1:24">
      <c r="A3129" s="799">
        <v>43531</v>
      </c>
      <c r="B3129">
        <v>3899.0775008300002</v>
      </c>
      <c r="C3129">
        <v>6393.4747129999996</v>
      </c>
      <c r="D3129">
        <v>0.88658999999999999</v>
      </c>
      <c r="E3129">
        <f>LN(D3129/参数实验室!$E$53)/参数实验室!$E$55</f>
        <v>-0.83497830146973107</v>
      </c>
      <c r="F3129">
        <f t="shared" si="428"/>
        <v>1.639740351823993</v>
      </c>
      <c r="G3129">
        <f>LN(F3129/参数实验室!$E$58)/参数实验室!$E$59</f>
        <v>6.9030195420367799E-2</v>
      </c>
      <c r="H3129" s="856">
        <f>INDEX(神经网络!$G$10:$BO$70,MATCH(ROUND(G3129*2,1)/2,神经网络!$E$10:$E$70,0),MATCH(ROUND(E3129*2,1)/2,神经网络!$G$8:$BO$8,0))</f>
        <v>-0.15101802788283913</v>
      </c>
      <c r="I3129">
        <f t="shared" si="430"/>
        <v>675504.35621512926</v>
      </c>
      <c r="J3129">
        <f t="shared" si="431"/>
        <v>1555.8347635090349</v>
      </c>
      <c r="K3129">
        <f t="shared" si="432"/>
        <v>434.17487001742683</v>
      </c>
      <c r="L3129" s="4">
        <f>MIN(MAX(L3128*(1+MAX(MIN(((B3129-B3128)/B3128)/($K$7*卓尔金历!$N$40),0),-卓尔金历!$M$43))+MIN(MAX(((B3129-B3128)/B3128)/($K$7*卓尔金历!$N$40),0),卓尔金历!$M$43),0),1)</f>
        <v>0.7101602929163473</v>
      </c>
      <c r="M3129" s="4">
        <f>MIN(MAX(M3128*(1+MAX(MIN(((B3129-B3128)/B3128)/($K$7*30),0),-卓尔金历!$M$43))+MIN(MAX(((B3129-B3128)/B3128)/($K$7*7),0),卓尔金历!$M$43),0),1)</f>
        <v>0.99867097486676837</v>
      </c>
      <c r="N3129">
        <f t="shared" si="433"/>
        <v>258030.90156060248</v>
      </c>
      <c r="O3129">
        <f t="shared" si="434"/>
        <v>725496.27683352085</v>
      </c>
      <c r="P3129">
        <f t="shared" si="435"/>
        <v>-1.7396709490808838E-4</v>
      </c>
      <c r="Q3129">
        <f t="shared" si="436"/>
        <v>2.5524550639022141E-2</v>
      </c>
      <c r="R3129">
        <f t="shared" si="437"/>
        <v>1</v>
      </c>
      <c r="S3129">
        <f t="shared" si="429"/>
        <v>1172.6854311573968</v>
      </c>
      <c r="T3129" s="564">
        <f>IF((I3129-MAX(I$470:I3129))/MAX(I$470:I3129)&gt;T3128,T3128,(I3129-MAX(I$470:I3129))/MAX(I$470:I3129))</f>
        <v>-0.91338805338419748</v>
      </c>
      <c r="U3129" s="564">
        <f>IF((J3129-MAX(J$470:J3129))/MAX(J$470:J3129)&gt;U3128,U3128,(J3129-MAX(J$470:J3129))/MAX(J$470:J3129))</f>
        <v>-0.83569785939843477</v>
      </c>
      <c r="V3129" s="564">
        <f>IF((K3129-MAX(K$470:K3129))/MAX(K$470:K3129)&gt;V3128,V3128,(K3129-MAX(K$470:K3129))/MAX(K$470:K3129))</f>
        <v>-0.84885940676762139</v>
      </c>
      <c r="W3129" s="564">
        <f>IF((N3129-MAX(N$470:N3129))/MAX(N$470:N3129)&gt;W3128,W3128,(N3129-MAX(N$470:N3129))/MAX(N$470:N3129))</f>
        <v>-0.62788758315546067</v>
      </c>
      <c r="X3129" s="564">
        <f>IF((O3129-MAX(O$470:O3129))/MAX(O$470:O3129)&gt;X3128,X3128,(O3129-MAX(O$470:O3129))/MAX(O$470:O3129))</f>
        <v>-0.62788758315546067</v>
      </c>
    </row>
    <row r="3130" spans="1:24">
      <c r="A3130" s="799">
        <v>43532</v>
      </c>
      <c r="B3130">
        <v>3930.4499960399999</v>
      </c>
      <c r="C3130">
        <v>6474.9610089999996</v>
      </c>
      <c r="D3130">
        <v>0.88315600000000005</v>
      </c>
      <c r="E3130">
        <f>LN(D3130/参数实验室!$E$53)/参数实验室!$E$55</f>
        <v>-0.83955667342177365</v>
      </c>
      <c r="F3130">
        <f t="shared" si="428"/>
        <v>1.6473841457145215</v>
      </c>
      <c r="G3130">
        <f>LN(F3130/参数实验室!$E$58)/参数实验室!$E$59</f>
        <v>7.1471163726970904E-2</v>
      </c>
      <c r="H3130" s="856">
        <f>INDEX(神经网络!$G$10:$BO$70,MATCH(ROUND(G3130*2,1)/2,神经网络!$E$10:$E$70,0),MATCH(ROUND(E3130*2,1)/2,神经网络!$G$8:$BO$8,0))</f>
        <v>-0.15101802788283913</v>
      </c>
      <c r="I3130">
        <f t="shared" si="430"/>
        <v>674683.54337286542</v>
      </c>
      <c r="J3130">
        <f t="shared" si="431"/>
        <v>1568.353216567572</v>
      </c>
      <c r="K3130">
        <f t="shared" si="432"/>
        <v>430.18596592000353</v>
      </c>
      <c r="L3130" s="4">
        <f>MIN(MAX(L3129*(1+MAX(MIN(((B3130-B3129)/B3129)/($K$7*卓尔金历!$N$40),0),-卓尔金历!$M$43))+MIN(MAX(((B3130-B3129)/B3129)/($K$7*卓尔金历!$N$40),0),卓尔金历!$M$43),0),1)</f>
        <v>0.83309748018058238</v>
      </c>
      <c r="M3130" s="4">
        <f>MIN(MAX(M3129*(1+MAX(MIN(((B3130-B3129)/B3129)/($K$7*30),0),-卓尔金历!$M$43))+MIN(MAX(((B3130-B3129)/B3129)/($K$7*7),0),卓尔金历!$M$43),0),1)</f>
        <v>1</v>
      </c>
      <c r="N3130">
        <f t="shared" si="433"/>
        <v>257808.24059174993</v>
      </c>
      <c r="O3130">
        <f t="shared" si="434"/>
        <v>724615.88986704382</v>
      </c>
      <c r="P3130">
        <f t="shared" si="435"/>
        <v>8.0461327591773643E-3</v>
      </c>
      <c r="Q3130">
        <f t="shared" si="436"/>
        <v>2.5540283735241458E-2</v>
      </c>
      <c r="R3130">
        <f t="shared" si="437"/>
        <v>1</v>
      </c>
      <c r="S3130">
        <f t="shared" si="429"/>
        <v>1171.2604880715774</v>
      </c>
      <c r="T3130" s="564">
        <f>IF((I3130-MAX(I$470:I3130))/MAX(I$470:I3130)&gt;T3129,T3129,(I3130-MAX(I$470:I3130))/MAX(I$470:I3130))</f>
        <v>-0.91338805338419748</v>
      </c>
      <c r="U3130" s="564">
        <f>IF((J3130-MAX(J$470:J3130))/MAX(J$470:J3130)&gt;U3129,U3129,(J3130-MAX(J$470:J3130))/MAX(J$470:J3130))</f>
        <v>-0.83569785939843477</v>
      </c>
      <c r="V3130" s="564">
        <f>IF((K3130-MAX(K$470:K3130))/MAX(K$470:K3130)&gt;V3129,V3129,(K3130-MAX(K$470:K3130))/MAX(K$470:K3130))</f>
        <v>-0.84885940676762139</v>
      </c>
      <c r="W3130" s="564">
        <f>IF((N3130-MAX(N$470:N3130))/MAX(N$470:N3130)&gt;W3129,W3129,(N3130-MAX(N$470:N3130))/MAX(N$470:N3130))</f>
        <v>-0.62788758315546067</v>
      </c>
      <c r="X3130" s="564">
        <f>IF((O3130-MAX(O$470:O3130))/MAX(O$470:O3130)&gt;X3129,X3129,(O3130-MAX(O$470:O3130))/MAX(O$470:O3130))</f>
        <v>-0.62788758315546067</v>
      </c>
    </row>
    <row r="3131" spans="1:24">
      <c r="A3131" s="799">
        <v>43533</v>
      </c>
      <c r="B3131">
        <v>3942.6946648600001</v>
      </c>
      <c r="C3131">
        <v>6639.7661980000003</v>
      </c>
      <c r="D3131">
        <v>0.89955700000000005</v>
      </c>
      <c r="E3131">
        <f>LN(D3131/参数实验室!$E$53)/参数实验室!$E$55</f>
        <v>-0.81784854778591332</v>
      </c>
      <c r="F3131">
        <f t="shared" si="428"/>
        <v>1.6840680707989264</v>
      </c>
      <c r="G3131">
        <f>LN(F3131/参数实验室!$E$58)/参数实验室!$E$59</f>
        <v>8.3030377773775643E-2</v>
      </c>
      <c r="H3131" s="856">
        <f>INDEX(神经网络!$G$10:$BO$70,MATCH(ROUND(G3131*2,1)/2,神经网络!$E$10:$E$70,0),MATCH(ROUND(E3131*2,1)/2,神经网络!$G$8:$BO$8,0))</f>
        <v>-0.13319218732003643</v>
      </c>
      <c r="I3131">
        <f t="shared" si="430"/>
        <v>674366.12381704722</v>
      </c>
      <c r="J3131">
        <f t="shared" si="431"/>
        <v>1573.2391623877706</v>
      </c>
      <c r="K3131">
        <f t="shared" si="432"/>
        <v>428.64819281102416</v>
      </c>
      <c r="L3131" s="4">
        <f>MIN(MAX(L3130*(1+MAX(MIN(((B3131-B3130)/B3130)/($K$7*卓尔金历!$N$40),0),-卓尔金历!$M$43))+MIN(MAX(((B3131-B3130)/B3130)/($K$7*卓尔金历!$N$40),0),卓尔金历!$M$43),0),1)</f>
        <v>0.88069681090058849</v>
      </c>
      <c r="M3131" s="4">
        <f>MIN(MAX(M3130*(1+MAX(MIN(((B3131-B3130)/B3130)/($K$7*30),0),-卓尔金历!$M$43))+MIN(MAX(((B3131-B3130)/B3130)/($K$7*7),0),卓尔金历!$M$43),0),1)</f>
        <v>1</v>
      </c>
      <c r="N3131">
        <f t="shared" si="433"/>
        <v>257707.1929509381</v>
      </c>
      <c r="O3131">
        <f t="shared" si="434"/>
        <v>724274.97855216195</v>
      </c>
      <c r="P3131">
        <f t="shared" si="435"/>
        <v>3.1153350970848045E-3</v>
      </c>
      <c r="Q3131">
        <f t="shared" si="436"/>
        <v>2.5521824025365847E-2</v>
      </c>
      <c r="R3131">
        <f t="shared" si="437"/>
        <v>1</v>
      </c>
      <c r="S3131">
        <f t="shared" si="429"/>
        <v>1170.7094430853422</v>
      </c>
      <c r="T3131" s="564">
        <f>IF((I3131-MAX(I$470:I3131))/MAX(I$470:I3131)&gt;T3130,T3130,(I3131-MAX(I$470:I3131))/MAX(I$470:I3131))</f>
        <v>-0.91338805338419748</v>
      </c>
      <c r="U3131" s="564">
        <f>IF((J3131-MAX(J$470:J3131))/MAX(J$470:J3131)&gt;U3130,U3130,(J3131-MAX(J$470:J3131))/MAX(J$470:J3131))</f>
        <v>-0.83569785939843477</v>
      </c>
      <c r="V3131" s="564">
        <f>IF((K3131-MAX(K$470:K3131))/MAX(K$470:K3131)&gt;V3130,V3130,(K3131-MAX(K$470:K3131))/MAX(K$470:K3131))</f>
        <v>-0.84885940676762139</v>
      </c>
      <c r="W3131" s="564">
        <f>IF((N3131-MAX(N$470:N3131))/MAX(N$470:N3131)&gt;W3130,W3130,(N3131-MAX(N$470:N3131))/MAX(N$470:N3131))</f>
        <v>-0.62788758315546067</v>
      </c>
      <c r="X3131" s="564">
        <f>IF((O3131-MAX(O$470:O3131))/MAX(O$470:O3131)&gt;X3130,X3130,(O3131-MAX(O$470:O3131))/MAX(O$470:O3131))</f>
        <v>-0.62788758315546067</v>
      </c>
    </row>
    <row r="3132" spans="1:24">
      <c r="A3132" s="799">
        <v>43534</v>
      </c>
      <c r="B3132">
        <v>3935.9638685300001</v>
      </c>
      <c r="C3132">
        <v>6767.5326830000004</v>
      </c>
      <c r="D3132">
        <v>0.89825500000000003</v>
      </c>
      <c r="E3132">
        <f>LN(D3132/参数实验室!$E$53)/参数实验室!$E$55</f>
        <v>-0.81955733490291471</v>
      </c>
      <c r="F3132">
        <f t="shared" si="428"/>
        <v>1.719409249945054</v>
      </c>
      <c r="G3132">
        <f>LN(F3132/参数实验室!$E$58)/参数实验室!$E$59</f>
        <v>9.3930775063318248E-2</v>
      </c>
      <c r="H3132" s="856">
        <f>INDEX(神经网络!$G$10:$BO$70,MATCH(ROUND(G3132*2,1)/2,神经网络!$E$10:$E$70,0),MATCH(ROUND(E3132*2,1)/2,神经网络!$G$8:$BO$8,0))</f>
        <v>-0.13319218732003643</v>
      </c>
      <c r="I3132">
        <f t="shared" si="430"/>
        <v>674519.46111319494</v>
      </c>
      <c r="J3132">
        <f t="shared" si="431"/>
        <v>1570.5533971230168</v>
      </c>
      <c r="K3132">
        <f t="shared" si="432"/>
        <v>429.47884634091292</v>
      </c>
      <c r="L3132" s="4">
        <f>MIN(MAX(L3131*(1+MAX(MIN(((B3132-B3131)/B3131)/($K$7*卓尔金历!$N$40),0),-卓尔金历!$M$43))+MIN(MAX(((B3132-B3131)/B3131)/($K$7*卓尔金历!$N$40),0),卓尔金历!$M$43),0),1)</f>
        <v>0.85772496965880762</v>
      </c>
      <c r="M3132" s="4">
        <f>MIN(MAX(M3131*(1+MAX(MIN(((B3132-B3131)/B3131)/($K$7*30),0),-卓尔金历!$M$43))+MIN(MAX(((B3132-B3131)/B3131)/($K$7*7),0),卓尔金历!$M$43),0),1)</f>
        <v>0.98695814441618668</v>
      </c>
      <c r="N3132">
        <f t="shared" si="433"/>
        <v>257758.79952383979</v>
      </c>
      <c r="O3132">
        <f t="shared" si="434"/>
        <v>724439.66411829041</v>
      </c>
      <c r="P3132">
        <f t="shared" si="435"/>
        <v>-1.7071563745449149E-3</v>
      </c>
      <c r="Q3132">
        <f t="shared" si="436"/>
        <v>2.5550993119780673E-2</v>
      </c>
      <c r="R3132">
        <f t="shared" si="437"/>
        <v>1</v>
      </c>
      <c r="S3132">
        <f t="shared" si="429"/>
        <v>1170.975638871633</v>
      </c>
      <c r="T3132" s="564">
        <f>IF((I3132-MAX(I$470:I3132))/MAX(I$470:I3132)&gt;T3131,T3131,(I3132-MAX(I$470:I3132))/MAX(I$470:I3132))</f>
        <v>-0.91338805338419748</v>
      </c>
      <c r="U3132" s="564">
        <f>IF((J3132-MAX(J$470:J3132))/MAX(J$470:J3132)&gt;U3131,U3131,(J3132-MAX(J$470:J3132))/MAX(J$470:J3132))</f>
        <v>-0.83569785939843477</v>
      </c>
      <c r="V3132" s="564">
        <f>IF((K3132-MAX(K$470:K3132))/MAX(K$470:K3132)&gt;V3131,V3131,(K3132-MAX(K$470:K3132))/MAX(K$470:K3132))</f>
        <v>-0.84885940676762139</v>
      </c>
      <c r="W3132" s="564">
        <f>IF((N3132-MAX(N$470:N3132))/MAX(N$470:N3132)&gt;W3131,W3131,(N3132-MAX(N$470:N3132))/MAX(N$470:N3132))</f>
        <v>-0.62788758315546067</v>
      </c>
      <c r="X3132" s="564">
        <f>IF((O3132-MAX(O$470:O3132))/MAX(O$470:O3132)&gt;X3131,X3131,(O3132-MAX(O$470:O3132))/MAX(O$470:O3132))</f>
        <v>-0.62788758315546067</v>
      </c>
    </row>
    <row r="3133" spans="1:24">
      <c r="A3133" s="799">
        <v>43535</v>
      </c>
      <c r="B3133">
        <v>3929.1173734600002</v>
      </c>
      <c r="C3133">
        <v>6807.5786509999998</v>
      </c>
      <c r="D3133">
        <v>0.88665300000000002</v>
      </c>
      <c r="E3133">
        <f>LN(D3133/参数实验室!$E$53)/参数实验室!$E$55</f>
        <v>-0.83489447262686911</v>
      </c>
      <c r="F3133">
        <f t="shared" si="428"/>
        <v>1.7325974268376749</v>
      </c>
      <c r="G3133">
        <f>LN(F3133/参数实验室!$E$58)/参数实验室!$E$59</f>
        <v>9.7941139056194837E-2</v>
      </c>
      <c r="H3133" s="856">
        <f>INDEX(神经网络!$G$10:$BO$70,MATCH(ROUND(G3133*2,1)/2,神经网络!$E$10:$E$70,0),MATCH(ROUND(E3133*2,1)/2,神经网络!$G$8:$BO$8,0))</f>
        <v>-0.1058115802451777</v>
      </c>
      <c r="I3133">
        <f t="shared" si="430"/>
        <v>674675.73644590855</v>
      </c>
      <c r="J3133">
        <f t="shared" si="431"/>
        <v>1567.8214650093742</v>
      </c>
      <c r="K3133">
        <f t="shared" si="432"/>
        <v>430.32689085033962</v>
      </c>
      <c r="L3133" s="4">
        <f>MIN(MAX(L3132*(1+MAX(MIN(((B3133-B3132)/B3132)/($K$7*卓尔金历!$N$40),0),-卓尔金历!$M$43))+MIN(MAX(((B3133-B3132)/B3132)/($K$7*卓尔金历!$N$40),0),卓尔金历!$M$43),0),1)</f>
        <v>0.83492882898094101</v>
      </c>
      <c r="M3133" s="4">
        <f>MIN(MAX(M3132*(1+MAX(MIN(((B3133-B3132)/B3132)/($K$7*30),0),-卓尔金历!$M$43))+MIN(MAX(((B3133-B3132)/B3132)/($K$7*7),0),卓尔金历!$M$43),0),1)</f>
        <v>0.97384273009390843</v>
      </c>
      <c r="N3133">
        <f t="shared" si="433"/>
        <v>257810.02163820414</v>
      </c>
      <c r="O3133">
        <f t="shared" si="434"/>
        <v>724605.31620215508</v>
      </c>
      <c r="P3133">
        <f t="shared" si="435"/>
        <v>-1.7394710161699144E-3</v>
      </c>
      <c r="Q3133">
        <f t="shared" si="436"/>
        <v>2.504283419781261E-2</v>
      </c>
      <c r="R3133">
        <f t="shared" si="437"/>
        <v>1</v>
      </c>
      <c r="S3133">
        <f t="shared" si="429"/>
        <v>1171.2469351323255</v>
      </c>
      <c r="T3133" s="564">
        <f>IF((I3133-MAX(I$470:I3133))/MAX(I$470:I3133)&gt;T3132,T3132,(I3133-MAX(I$470:I3133))/MAX(I$470:I3133))</f>
        <v>-0.91338805338419748</v>
      </c>
      <c r="U3133" s="564">
        <f>IF((J3133-MAX(J$470:J3133))/MAX(J$470:J3133)&gt;U3132,U3132,(J3133-MAX(J$470:J3133))/MAX(J$470:J3133))</f>
        <v>-0.83569785939843477</v>
      </c>
      <c r="V3133" s="564">
        <f>IF((K3133-MAX(K$470:K3133))/MAX(K$470:K3133)&gt;V3132,V3132,(K3133-MAX(K$470:K3133))/MAX(K$470:K3133))</f>
        <v>-0.84885940676762139</v>
      </c>
      <c r="W3133" s="564">
        <f>IF((N3133-MAX(N$470:N3133))/MAX(N$470:N3133)&gt;W3132,W3132,(N3133-MAX(N$470:N3133))/MAX(N$470:N3133))</f>
        <v>-0.62788758315546067</v>
      </c>
      <c r="X3133" s="564">
        <f>IF((O3133-MAX(O$470:O3133))/MAX(O$470:O3133)&gt;X3132,X3132,(O3133-MAX(O$470:O3133))/MAX(O$470:O3133))</f>
        <v>-0.62788758315546067</v>
      </c>
    </row>
    <row r="3134" spans="1:24">
      <c r="A3134" s="799">
        <v>43536</v>
      </c>
      <c r="B3134">
        <v>3924.65609399</v>
      </c>
      <c r="C3134">
        <v>6795.540473</v>
      </c>
      <c r="D3134">
        <v>0.88880800000000004</v>
      </c>
      <c r="E3134">
        <f>LN(D3134/参数实验室!$E$53)/参数实验室!$E$55</f>
        <v>-0.83203057475553988</v>
      </c>
      <c r="F3134">
        <f t="shared" si="428"/>
        <v>1.7314996041070485</v>
      </c>
      <c r="G3134">
        <f>LN(F3134/参数实验室!$E$58)/参数实验室!$E$59</f>
        <v>9.7608471285691278E-2</v>
      </c>
      <c r="H3134" s="856">
        <f>INDEX(神经网络!$G$10:$BO$70,MATCH(ROUND(G3134*2,1)/2,神经网络!$E$10:$E$70,0),MATCH(ROUND(E3134*2,1)/2,神经网络!$G$8:$BO$8,0))</f>
        <v>-0.1058115802451777</v>
      </c>
      <c r="I3134">
        <f t="shared" si="430"/>
        <v>674756.79385528725</v>
      </c>
      <c r="J3134">
        <f t="shared" si="431"/>
        <v>1566.0412968317275</v>
      </c>
      <c r="K3134">
        <f t="shared" si="432"/>
        <v>430.8678163343418</v>
      </c>
      <c r="L3134" s="4">
        <f>MIN(MAX(L3133*(1+MAX(MIN(((B3134-B3133)/B3133)/($K$7*卓尔金历!$N$40),0),-卓尔金历!$M$43))+MIN(MAX(((B3134-B3133)/B3133)/($K$7*卓尔金历!$N$40),0),卓尔金历!$M$43),0),1)</f>
        <v>0.82044411371044601</v>
      </c>
      <c r="M3134" s="4">
        <f>MIN(MAX(M3133*(1+MAX(MIN(((B3134-B3133)/B3133)/($K$7*30),0),-卓尔金历!$M$43))+MIN(MAX(((B3134-B3133)/B3133)/($K$7*7),0),卓尔金历!$M$43),0),1)</f>
        <v>0.96539540250499978</v>
      </c>
      <c r="N3134">
        <f t="shared" si="433"/>
        <v>257835.88273143207</v>
      </c>
      <c r="O3134">
        <f t="shared" si="434"/>
        <v>724690.09513979906</v>
      </c>
      <c r="P3134">
        <f t="shared" si="435"/>
        <v>-1.1354406208719367E-3</v>
      </c>
      <c r="Q3134">
        <f t="shared" si="436"/>
        <v>2.2826872304088874E-2</v>
      </c>
      <c r="R3134">
        <f t="shared" si="437"/>
        <v>1</v>
      </c>
      <c r="S3134">
        <f t="shared" si="429"/>
        <v>1171.3876519792136</v>
      </c>
      <c r="T3134" s="564">
        <f>IF((I3134-MAX(I$470:I3134))/MAX(I$470:I3134)&gt;T3133,T3133,(I3134-MAX(I$470:I3134))/MAX(I$470:I3134))</f>
        <v>-0.91338805338419748</v>
      </c>
      <c r="U3134" s="564">
        <f>IF((J3134-MAX(J$470:J3134))/MAX(J$470:J3134)&gt;U3133,U3133,(J3134-MAX(J$470:J3134))/MAX(J$470:J3134))</f>
        <v>-0.83569785939843477</v>
      </c>
      <c r="V3134" s="564">
        <f>IF((K3134-MAX(K$470:K3134))/MAX(K$470:K3134)&gt;V3133,V3133,(K3134-MAX(K$470:K3134))/MAX(K$470:K3134))</f>
        <v>-0.84885940676762139</v>
      </c>
      <c r="W3134" s="564">
        <f>IF((N3134-MAX(N$470:N3134))/MAX(N$470:N3134)&gt;W3133,W3133,(N3134-MAX(N$470:N3134))/MAX(N$470:N3134))</f>
        <v>-0.62788758315546067</v>
      </c>
      <c r="X3134" s="564">
        <f>IF((O3134-MAX(O$470:O3134))/MAX(O$470:O3134)&gt;X3133,X3133,(O3134-MAX(O$470:O3134))/MAX(O$470:O3134))</f>
        <v>-0.62788758315546067</v>
      </c>
    </row>
    <row r="3135" spans="1:24">
      <c r="A3135" s="799">
        <v>43537</v>
      </c>
      <c r="B3135">
        <v>3891.9041915299999</v>
      </c>
      <c r="C3135">
        <v>6845.2505250000004</v>
      </c>
      <c r="D3135">
        <v>0.88736999999999999</v>
      </c>
      <c r="E3135">
        <f>LN(D3135/参数实验室!$E$53)/参数实验室!$E$55</f>
        <v>-0.83394083998288815</v>
      </c>
      <c r="F3135">
        <f t="shared" si="428"/>
        <v>1.7588435347142937</v>
      </c>
      <c r="G3135">
        <f>LN(F3135/参数实验室!$E$58)/参数实验室!$E$59</f>
        <v>0.10583222784958127</v>
      </c>
      <c r="H3135" s="856">
        <f>INDEX(神经网络!$G$10:$BO$70,MATCH(ROUND(G3135*2,1)/2,神经网络!$E$10:$E$70,0),MATCH(ROUND(E3135*2,1)/2,神经网络!$G$8:$BO$8,0))</f>
        <v>-0.1058115802451777</v>
      </c>
      <c r="I3135">
        <f t="shared" si="430"/>
        <v>675352.61428656057</v>
      </c>
      <c r="J3135">
        <f t="shared" si="431"/>
        <v>1552.9724238976867</v>
      </c>
      <c r="K3135">
        <f t="shared" si="432"/>
        <v>434.87740277547539</v>
      </c>
      <c r="L3135" s="4">
        <f>MIN(MAX(L3134*(1+MAX(MIN(((B3135-B3134)/B3134)/($K$7*卓尔金历!$N$40),0),-卓尔金历!$M$43))+MIN(MAX(((B3135-B3134)/B3134)/($K$7*卓尔金历!$N$40),0),卓尔金历!$M$43),0),1)</f>
        <v>0.71583247456231702</v>
      </c>
      <c r="M3135" s="4">
        <f>MIN(MAX(M3134*(1+MAX(MIN(((B3135-B3134)/B3134)/($K$7*30),0),-卓尔金历!$M$43))+MIN(MAX(((B3135-B3134)/B3134)/($K$7*7),0),卓尔金历!$M$43),0),1)</f>
        <v>0.90384849529069677</v>
      </c>
      <c r="N3135">
        <f t="shared" si="433"/>
        <v>258022.67568385074</v>
      </c>
      <c r="O3135">
        <f t="shared" si="434"/>
        <v>725307.86352239514</v>
      </c>
      <c r="P3135">
        <f t="shared" si="435"/>
        <v>-8.3451649458291515E-3</v>
      </c>
      <c r="Q3135">
        <f t="shared" si="436"/>
        <v>2.2668457397048026E-2</v>
      </c>
      <c r="R3135">
        <f t="shared" si="437"/>
        <v>1</v>
      </c>
      <c r="S3135">
        <f t="shared" si="429"/>
        <v>1172.4220049525313</v>
      </c>
      <c r="T3135" s="564">
        <f>IF((I3135-MAX(I$470:I3135))/MAX(I$470:I3135)&gt;T3134,T3134,(I3135-MAX(I$470:I3135))/MAX(I$470:I3135))</f>
        <v>-0.91338805338419748</v>
      </c>
      <c r="U3135" s="564">
        <f>IF((J3135-MAX(J$470:J3135))/MAX(J$470:J3135)&gt;U3134,U3134,(J3135-MAX(J$470:J3135))/MAX(J$470:J3135))</f>
        <v>-0.83569785939843477</v>
      </c>
      <c r="V3135" s="564">
        <f>IF((K3135-MAX(K$470:K3135))/MAX(K$470:K3135)&gt;V3134,V3134,(K3135-MAX(K$470:K3135))/MAX(K$470:K3135))</f>
        <v>-0.84885940676762139</v>
      </c>
      <c r="W3135" s="564">
        <f>IF((N3135-MAX(N$470:N3135))/MAX(N$470:N3135)&gt;W3134,W3134,(N3135-MAX(N$470:N3135))/MAX(N$470:N3135))</f>
        <v>-0.62788758315546067</v>
      </c>
      <c r="X3135" s="564">
        <f>IF((O3135-MAX(O$470:O3135))/MAX(O$470:O3135)&gt;X3134,X3134,(O3135-MAX(O$470:O3135))/MAX(O$470:O3135))</f>
        <v>-0.62788758315546067</v>
      </c>
    </row>
    <row r="3136" spans="1:24">
      <c r="A3136" s="799">
        <v>43538</v>
      </c>
      <c r="B3136">
        <v>3919.31169232</v>
      </c>
      <c r="C3136">
        <v>6719.9982280000004</v>
      </c>
      <c r="D3136">
        <v>0.88808399999999998</v>
      </c>
      <c r="E3136">
        <f>LN(D3136/参数实验室!$E$53)/参数实验室!$E$55</f>
        <v>-0.83299196283754318</v>
      </c>
      <c r="F3136">
        <f t="shared" si="428"/>
        <v>1.7145863242181079</v>
      </c>
      <c r="G3136">
        <f>LN(F3136/参数实验室!$E$58)/参数实验室!$E$59</f>
        <v>9.2456496091798332E-2</v>
      </c>
      <c r="H3136" s="856">
        <f>INDEX(神经网络!$G$10:$BO$70,MATCH(ROUND(G3136*2,1)/2,神经网络!$E$10:$E$70,0),MATCH(ROUND(E3136*2,1)/2,神经网络!$G$8:$BO$8,0))</f>
        <v>-0.1058115802451777</v>
      </c>
      <c r="I3136">
        <f t="shared" si="430"/>
        <v>674849.37900630955</v>
      </c>
      <c r="J3136">
        <f t="shared" si="431"/>
        <v>1563.9087396033649</v>
      </c>
      <c r="K3136">
        <f t="shared" si="432"/>
        <v>431.51455191526287</v>
      </c>
      <c r="L3136" s="4">
        <f>MIN(MAX(L3135*(1+MAX(MIN(((B3136-B3135)/B3135)/($K$7*卓尔金历!$N$40),0),-卓尔金历!$M$43))+MIN(MAX(((B3136-B3135)/B3135)/($K$7*卓尔金历!$N$40),0),卓尔金历!$M$43),0),1)</f>
        <v>0.82343026999920621</v>
      </c>
      <c r="M3136" s="4">
        <f>MIN(MAX(M3135*(1+MAX(MIN(((B3136-B3135)/B3135)/($K$7*30),0),-卓尔金历!$M$43))+MIN(MAX(((B3136-B3135)/B3135)/($K$7*7),0),卓尔金历!$M$43),0),1)</f>
        <v>1</v>
      </c>
      <c r="N3136">
        <f t="shared" si="433"/>
        <v>257885.0467433845</v>
      </c>
      <c r="O3136">
        <f t="shared" si="434"/>
        <v>724819.37032473716</v>
      </c>
      <c r="P3136">
        <f t="shared" si="435"/>
        <v>7.042182808520152E-3</v>
      </c>
      <c r="Q3136">
        <f t="shared" si="436"/>
        <v>2.2675485892728026E-2</v>
      </c>
      <c r="R3136">
        <f t="shared" si="437"/>
        <v>1</v>
      </c>
      <c r="S3136">
        <f t="shared" si="429"/>
        <v>1171.5483811540093</v>
      </c>
      <c r="T3136" s="564">
        <f>IF((I3136-MAX(I$470:I3136))/MAX(I$470:I3136)&gt;T3135,T3135,(I3136-MAX(I$470:I3136))/MAX(I$470:I3136))</f>
        <v>-0.91338805338419748</v>
      </c>
      <c r="U3136" s="564">
        <f>IF((J3136-MAX(J$470:J3136))/MAX(J$470:J3136)&gt;U3135,U3135,(J3136-MAX(J$470:J3136))/MAX(J$470:J3136))</f>
        <v>-0.83569785939843477</v>
      </c>
      <c r="V3136" s="564">
        <f>IF((K3136-MAX(K$470:K3136))/MAX(K$470:K3136)&gt;V3135,V3135,(K3136-MAX(K$470:K3136))/MAX(K$470:K3136))</f>
        <v>-0.84885940676762139</v>
      </c>
      <c r="W3136" s="564">
        <f>IF((N3136-MAX(N$470:N3136))/MAX(N$470:N3136)&gt;W3135,W3135,(N3136-MAX(N$470:N3136))/MAX(N$470:N3136))</f>
        <v>-0.62788758315546067</v>
      </c>
      <c r="X3136" s="564">
        <f>IF((O3136-MAX(O$470:O3136))/MAX(O$470:O3136)&gt;X3135,X3135,(O3136-MAX(O$470:O3136))/MAX(O$470:O3136))</f>
        <v>-0.62788758315546067</v>
      </c>
    </row>
    <row r="3137" spans="1:24">
      <c r="A3137" s="799">
        <v>43539</v>
      </c>
      <c r="B3137">
        <v>3929.7653813799998</v>
      </c>
      <c r="C3137">
        <v>6722.3227390000002</v>
      </c>
      <c r="D3137">
        <v>0.89930600000000005</v>
      </c>
      <c r="E3137">
        <f>LN(D3137/参数实验室!$E$53)/参数实验室!$E$55</f>
        <v>-0.81817777582179907</v>
      </c>
      <c r="F3137">
        <f t="shared" si="428"/>
        <v>1.7106168146453948</v>
      </c>
      <c r="G3137">
        <f>LN(F3137/参数实验室!$E$58)/参数实验室!$E$59</f>
        <v>9.1239976080252305E-2</v>
      </c>
      <c r="H3137" s="856">
        <f>INDEX(神经网络!$G$10:$BO$70,MATCH(ROUND(G3137*2,1)/2,神经网络!$E$10:$E$70,0),MATCH(ROUND(E3137*2,1)/2,神经网络!$G$8:$BO$8,0))</f>
        <v>-0.13319218732003643</v>
      </c>
      <c r="I3137">
        <f t="shared" si="430"/>
        <v>674658.92073947284</v>
      </c>
      <c r="J3137">
        <f t="shared" si="431"/>
        <v>1568.08003726108</v>
      </c>
      <c r="K3137">
        <f t="shared" si="432"/>
        <v>430.24520732875351</v>
      </c>
      <c r="L3137" s="4">
        <f>MIN(MAX(L3136*(1+MAX(MIN(((B3137-B3136)/B3136)/($K$7*卓尔金历!$N$40),0),-卓尔金历!$M$43))+MIN(MAX(((B3137-B3136)/B3136)/($K$7*卓尔金历!$N$40),0),卓尔金历!$M$43),0),1)</f>
        <v>0.86418291988281526</v>
      </c>
      <c r="M3137" s="4">
        <f>MIN(MAX(M3136*(1+MAX(MIN(((B3137-B3136)/B3136)/($K$7*30),0),-卓尔金历!$M$43))+MIN(MAX(((B3137-B3136)/B3136)/($K$7*7),0),卓尔金历!$M$43),0),1)</f>
        <v>1</v>
      </c>
      <c r="N3137">
        <f t="shared" si="433"/>
        <v>257825.11651068361</v>
      </c>
      <c r="O3137">
        <f t="shared" si="434"/>
        <v>724614.80935848865</v>
      </c>
      <c r="P3137">
        <f t="shared" si="435"/>
        <v>2.6672257479506043E-3</v>
      </c>
      <c r="Q3137">
        <f t="shared" si="436"/>
        <v>2.2634896298795171E-2</v>
      </c>
      <c r="R3137">
        <f t="shared" si="437"/>
        <v>1</v>
      </c>
      <c r="S3137">
        <f t="shared" si="429"/>
        <v>1171.2177428202845</v>
      </c>
      <c r="T3137" s="564">
        <f>IF((I3137-MAX(I$470:I3137))/MAX(I$470:I3137)&gt;T3136,T3136,(I3137-MAX(I$470:I3137))/MAX(I$470:I3137))</f>
        <v>-0.91338805338419748</v>
      </c>
      <c r="U3137" s="564">
        <f>IF((J3137-MAX(J$470:J3137))/MAX(J$470:J3137)&gt;U3136,U3136,(J3137-MAX(J$470:J3137))/MAX(J$470:J3137))</f>
        <v>-0.83569785939843477</v>
      </c>
      <c r="V3137" s="564">
        <f>IF((K3137-MAX(K$470:K3137))/MAX(K$470:K3137)&gt;V3136,V3136,(K3137-MAX(K$470:K3137))/MAX(K$470:K3137))</f>
        <v>-0.84885940676762139</v>
      </c>
      <c r="W3137" s="564">
        <f>IF((N3137-MAX(N$470:N3137))/MAX(N$470:N3137)&gt;W3136,W3136,(N3137-MAX(N$470:N3137))/MAX(N$470:N3137))</f>
        <v>-0.62788758315546067</v>
      </c>
      <c r="X3137" s="564">
        <f>IF((O3137-MAX(O$470:O3137))/MAX(O$470:O3137)&gt;X3136,X3136,(O3137-MAX(O$470:O3137))/MAX(O$470:O3137))</f>
        <v>-0.62788758315546067</v>
      </c>
    </row>
    <row r="3138" spans="1:24">
      <c r="A3138" s="799">
        <v>43540</v>
      </c>
      <c r="B3138">
        <v>4069.3860273999999</v>
      </c>
      <c r="C3138">
        <v>6623.0507550000002</v>
      </c>
      <c r="D3138">
        <v>0.92006399999999999</v>
      </c>
      <c r="E3138">
        <f>LN(D3138/参数实验室!$E$53)/参数实验室!$E$55</f>
        <v>-0.79125595062181231</v>
      </c>
      <c r="F3138">
        <f t="shared" si="428"/>
        <v>1.6275307160357013</v>
      </c>
      <c r="G3138">
        <f>LN(F3138/参数实验室!$E$58)/参数实验室!$E$59</f>
        <v>6.5107468223684614E-2</v>
      </c>
      <c r="H3138" s="856">
        <f>INDEX(神经网络!$G$10:$BO$70,MATCH(ROUND(G3138*2,1)/2,神经网络!$E$10:$E$70,0),MATCH(ROUND(E3138*2,1)/2,神经网络!$G$8:$BO$8,0))</f>
        <v>-0.18892090073293136</v>
      </c>
      <c r="I3138">
        <f t="shared" si="430"/>
        <v>671466.30949450785</v>
      </c>
      <c r="J3138">
        <f t="shared" si="431"/>
        <v>1623.792357607435</v>
      </c>
      <c r="K3138">
        <f t="shared" si="432"/>
        <v>413.51734804558077</v>
      </c>
      <c r="L3138" s="4">
        <f>MIN(MAX(L3137*(1+MAX(MIN(((B3138-B3137)/B3137)/($K$7*卓尔金历!$N$40),0),-卓尔金历!$M$43))+MIN(MAX(((B3138-B3137)/B3137)/($K$7*卓尔金历!$N$40),0),卓尔金历!$M$43),0),1)</f>
        <v>1</v>
      </c>
      <c r="M3138" s="4">
        <f>MIN(MAX(M3137*(1+MAX(MIN(((B3138-B3137)/B3137)/($K$7*30),0),-卓尔金历!$M$43))+MIN(MAX(((B3138-B3137)/B3137)/($K$7*7),0),卓尔金历!$M$43),0),1)</f>
        <v>1</v>
      </c>
      <c r="N3138">
        <f t="shared" si="433"/>
        <v>256770.74740303526</v>
      </c>
      <c r="O3138">
        <f t="shared" si="434"/>
        <v>721185.79757563036</v>
      </c>
      <c r="P3138">
        <f t="shared" si="435"/>
        <v>3.5529002998894069E-2</v>
      </c>
      <c r="Q3138">
        <f t="shared" si="436"/>
        <v>2.3887932196759082E-2</v>
      </c>
      <c r="R3138">
        <f t="shared" si="437"/>
        <v>1.3649386918860544E-2</v>
      </c>
      <c r="S3138">
        <f t="shared" si="429"/>
        <v>1165.6753230566324</v>
      </c>
      <c r="T3138" s="564">
        <f>IF((I3138-MAX(I$470:I3138))/MAX(I$470:I3138)&gt;T3137,T3137,(I3138-MAX(I$470:I3138))/MAX(I$470:I3138))</f>
        <v>-0.91338805338419748</v>
      </c>
      <c r="U3138" s="564">
        <f>IF((J3138-MAX(J$470:J3138))/MAX(J$470:J3138)&gt;U3137,U3137,(J3138-MAX(J$470:J3138))/MAX(J$470:J3138))</f>
        <v>-0.83569785939843477</v>
      </c>
      <c r="V3138" s="564">
        <f>IF((K3138-MAX(K$470:K3138))/MAX(K$470:K3138)&gt;V3137,V3137,(K3138-MAX(K$470:K3138))/MAX(K$470:K3138))</f>
        <v>-0.84885940676762139</v>
      </c>
      <c r="W3138" s="564">
        <f>IF((N3138-MAX(N$470:N3138))/MAX(N$470:N3138)&gt;W3137,W3137,(N3138-MAX(N$470:N3138))/MAX(N$470:N3138))</f>
        <v>-0.62788758315546067</v>
      </c>
      <c r="X3138" s="564">
        <f>IF((O3138-MAX(O$470:O3138))/MAX(O$470:O3138)&gt;X3137,X3137,(O3138-MAX(O$470:O3138))/MAX(O$470:O3138))</f>
        <v>-0.62788758315546067</v>
      </c>
    </row>
    <row r="3139" spans="1:24">
      <c r="A3139" s="799">
        <v>43541</v>
      </c>
      <c r="B3139">
        <v>4027.8037057699999</v>
      </c>
      <c r="C3139">
        <v>6538.9792559999996</v>
      </c>
      <c r="D3139">
        <v>0.91484299999999996</v>
      </c>
      <c r="E3139">
        <f>LN(D3139/参数实验室!$E$53)/参数实验室!$E$55</f>
        <v>-0.79796965143565235</v>
      </c>
      <c r="F3139">
        <f t="shared" si="428"/>
        <v>1.6234602611424769</v>
      </c>
      <c r="G3139">
        <f>LN(F3139/参数实验室!$E$58)/参数实验室!$E$59</f>
        <v>6.3793163853555462E-2</v>
      </c>
      <c r="H3139" s="856">
        <f>INDEX(神经网络!$G$10:$BO$70,MATCH(ROUND(G3139*2,1)/2,神经网络!$E$10:$E$70,0),MATCH(ROUND(E3139*2,1)/2,神经网络!$G$8:$BO$8,0))</f>
        <v>-0.18892090073293136</v>
      </c>
      <c r="I3139">
        <f t="shared" si="430"/>
        <v>672762.54549282428</v>
      </c>
      <c r="J3139">
        <f t="shared" si="431"/>
        <v>1607.1999145165767</v>
      </c>
      <c r="K3139">
        <f t="shared" si="432"/>
        <v>418.59294504453845</v>
      </c>
      <c r="L3139" s="4">
        <f>MIN(MAX(L3138*(1+MAX(MIN(((B3139-B3138)/B3138)/($K$7*卓尔金历!$N$40),0),-卓尔金历!$M$43))+MIN(MAX(((B3139-B3138)/B3138)/($K$7*卓尔金历!$N$40),0),卓尔金历!$M$43),0),1)</f>
        <v>0.8438737522909906</v>
      </c>
      <c r="M3139" s="4">
        <f>MIN(MAX(M3138*(1+MAX(MIN(((B3139-B3138)/B3138)/($K$7*30),0),-卓尔金历!$M$43))+MIN(MAX(((B3139-B3138)/B3138)/($K$7*7),0),卓尔金历!$M$43),0),1)</f>
        <v>0.92193687614549535</v>
      </c>
      <c r="N3139">
        <f t="shared" si="433"/>
        <v>257266.43196887596</v>
      </c>
      <c r="O3139">
        <f t="shared" si="434"/>
        <v>722578.01484561653</v>
      </c>
      <c r="P3139">
        <f t="shared" si="435"/>
        <v>-1.0218328108962343E-2</v>
      </c>
      <c r="Q3139">
        <f t="shared" si="436"/>
        <v>2.1840209140292666E-2</v>
      </c>
      <c r="R3139">
        <f t="shared" si="437"/>
        <v>0.80160222835731787</v>
      </c>
      <c r="S3139">
        <f t="shared" si="429"/>
        <v>1165.7060380622304</v>
      </c>
      <c r="T3139" s="564">
        <f>IF((I3139-MAX(I$470:I3139))/MAX(I$470:I3139)&gt;T3138,T3138,(I3139-MAX(I$470:I3139))/MAX(I$470:I3139))</f>
        <v>-0.91338805338419748</v>
      </c>
      <c r="U3139" s="564">
        <f>IF((J3139-MAX(J$470:J3139))/MAX(J$470:J3139)&gt;U3138,U3138,(J3139-MAX(J$470:J3139))/MAX(J$470:J3139))</f>
        <v>-0.83569785939843477</v>
      </c>
      <c r="V3139" s="564">
        <f>IF((K3139-MAX(K$470:K3139))/MAX(K$470:K3139)&gt;V3138,V3138,(K3139-MAX(K$470:K3139))/MAX(K$470:K3139))</f>
        <v>-0.84885940676762139</v>
      </c>
      <c r="W3139" s="564">
        <f>IF((N3139-MAX(N$470:N3139))/MAX(N$470:N3139)&gt;W3138,W3138,(N3139-MAX(N$470:N3139))/MAX(N$470:N3139))</f>
        <v>-0.62788758315546067</v>
      </c>
      <c r="X3139" s="564">
        <f>IF((O3139-MAX(O$470:O3139))/MAX(O$470:O3139)&gt;X3138,X3138,(O3139-MAX(O$470:O3139))/MAX(O$470:O3139))</f>
        <v>-0.62788758315546067</v>
      </c>
    </row>
    <row r="3140" spans="1:24">
      <c r="A3140" s="799">
        <v>43542</v>
      </c>
      <c r="B3140">
        <v>4018.69333469</v>
      </c>
      <c r="C3140">
        <v>6492.0858550000003</v>
      </c>
      <c r="D3140">
        <v>0.91560399999999997</v>
      </c>
      <c r="E3140">
        <f>LN(D3140/参数实验室!$E$53)/参数实验室!$E$55</f>
        <v>-0.79698869730762878</v>
      </c>
      <c r="F3140">
        <f t="shared" si="428"/>
        <v>1.615471824873842</v>
      </c>
      <c r="G3140">
        <f>LN(F3140/参数实验室!$E$58)/参数实验室!$E$59</f>
        <v>6.1204179914564262E-2</v>
      </c>
      <c r="H3140" s="856">
        <f>INDEX(神经网络!$G$10:$BO$70,MATCH(ROUND(G3140*2,1)/2,神经网络!$E$10:$E$70,0),MATCH(ROUND(E3140*2,1)/2,神经网络!$G$8:$BO$8,0))</f>
        <v>-0.18892090073293136</v>
      </c>
      <c r="I3140">
        <f t="shared" si="430"/>
        <v>673050.02678108471</v>
      </c>
      <c r="J3140">
        <f t="shared" si="431"/>
        <v>1603.5646361637575</v>
      </c>
      <c r="K3140">
        <f t="shared" si="432"/>
        <v>419.72117094776854</v>
      </c>
      <c r="L3140" s="4">
        <f>MIN(MAX(L3139*(1+MAX(MIN(((B3140-B3139)/B3139)/($K$7*卓尔金历!$N$40),0),-卓尔金历!$M$43))+MIN(MAX(((B3140-B3139)/B3139)/($K$7*卓尔金历!$N$40),0),卓尔金历!$M$43),0),1)</f>
        <v>0.81471013925900049</v>
      </c>
      <c r="M3140" s="4">
        <f>MIN(MAX(M3139*(1+MAX(MIN(((B3140-B3139)/B3139)/($K$7*30),0),-卓尔金历!$M$43))+MIN(MAX(((B3140-B3139)/B3139)/($K$7*7),0),卓尔金历!$M$43),0),1)</f>
        <v>0.9060061695541155</v>
      </c>
      <c r="N3140">
        <f t="shared" si="433"/>
        <v>257359.20214464059</v>
      </c>
      <c r="O3140">
        <f t="shared" si="434"/>
        <v>722862.67960574641</v>
      </c>
      <c r="P3140">
        <f t="shared" si="435"/>
        <v>-2.2618706733272104E-3</v>
      </c>
      <c r="Q3140">
        <f t="shared" si="436"/>
        <v>1.3210797035066809E-2</v>
      </c>
      <c r="R3140">
        <f t="shared" si="437"/>
        <v>1</v>
      </c>
      <c r="S3140">
        <f t="shared" si="429"/>
        <v>1166.1053347788591</v>
      </c>
      <c r="T3140" s="564">
        <f>IF((I3140-MAX(I$470:I3140))/MAX(I$470:I3140)&gt;T3139,T3139,(I3140-MAX(I$470:I3140))/MAX(I$470:I3140))</f>
        <v>-0.91338805338419748</v>
      </c>
      <c r="U3140" s="564">
        <f>IF((J3140-MAX(J$470:J3140))/MAX(J$470:J3140)&gt;U3139,U3139,(J3140-MAX(J$470:J3140))/MAX(J$470:J3140))</f>
        <v>-0.83569785939843477</v>
      </c>
      <c r="V3140" s="564">
        <f>IF((K3140-MAX(K$470:K3140))/MAX(K$470:K3140)&gt;V3139,V3139,(K3140-MAX(K$470:K3140))/MAX(K$470:K3140))</f>
        <v>-0.84885940676762139</v>
      </c>
      <c r="W3140" s="564">
        <f>IF((N3140-MAX(N$470:N3140))/MAX(N$470:N3140)&gt;W3139,W3139,(N3140-MAX(N$470:N3140))/MAX(N$470:N3140))</f>
        <v>-0.62788758315546067</v>
      </c>
      <c r="X3140" s="564">
        <f>IF((O3140-MAX(O$470:O3140))/MAX(O$470:O3140)&gt;X3139,X3139,(O3140-MAX(O$470:O3140))/MAX(O$470:O3140))</f>
        <v>-0.62788758315546067</v>
      </c>
    </row>
    <row r="3141" spans="1:24">
      <c r="A3141" s="799">
        <v>43543</v>
      </c>
      <c r="B3141">
        <v>4058.9185332799998</v>
      </c>
      <c r="C3141">
        <v>6428.2166770000003</v>
      </c>
      <c r="D3141">
        <v>0.92168499999999998</v>
      </c>
      <c r="E3141">
        <f>LN(D3141/参数实验室!$E$53)/参数实验室!$E$55</f>
        <v>-0.78917925015688772</v>
      </c>
      <c r="F3141">
        <f t="shared" ref="F3141:F3204" si="438">C3141/B3141</f>
        <v>1.5837264592264131</v>
      </c>
      <c r="G3141">
        <f>LN(F3141/参数实验室!$E$58)/参数实验室!$E$59</f>
        <v>5.0787676202337977E-2</v>
      </c>
      <c r="H3141" s="856">
        <f>INDEX(神经网络!$G$10:$BO$70,MATCH(ROUND(G3141*2,1)/2,神经网络!$E$10:$E$70,0),MATCH(ROUND(E3141*2,1)/2,神经网络!$G$8:$BO$8,0))</f>
        <v>-0.18892090073293136</v>
      </c>
      <c r="I3141">
        <f t="shared" si="430"/>
        <v>671777.28387905483</v>
      </c>
      <c r="J3141">
        <f t="shared" si="431"/>
        <v>1619.6155513666624</v>
      </c>
      <c r="K3141">
        <f t="shared" si="432"/>
        <v>414.77576781242709</v>
      </c>
      <c r="L3141" s="4">
        <f>MIN(MAX(L3140*(1+MAX(MIN(((B3141-B3140)/B3140)/($K$7*卓尔金历!$N$40),0),-卓尔金历!$M$43))+MIN(MAX(((B3141-B3140)/B3140)/($K$7*卓尔金历!$N$40),0),卓尔金历!$M$43),0),1)</f>
        <v>0.9676460271294286</v>
      </c>
      <c r="M3141" s="4">
        <f>MIN(MAX(M3140*(1+MAX(MIN(((B3141-B3140)/B3140)/($K$7*30),0),-卓尔金历!$M$43))+MIN(MAX(((B3141-B3140)/B3140)/($K$7*7),0),卓尔金历!$M$43),0),1)</f>
        <v>1</v>
      </c>
      <c r="N3141">
        <f t="shared" si="433"/>
        <v>256962.70856378321</v>
      </c>
      <c r="O3141">
        <f t="shared" si="434"/>
        <v>721624.22441942594</v>
      </c>
      <c r="P3141">
        <f t="shared" si="435"/>
        <v>1.0009521812169506E-2</v>
      </c>
      <c r="Q3141">
        <f t="shared" si="436"/>
        <v>1.3297296778001967E-2</v>
      </c>
      <c r="R3141">
        <f t="shared" si="437"/>
        <v>0.30098692332871246</v>
      </c>
      <c r="S3141">
        <f t="shared" si="429"/>
        <v>1163.9002204057758</v>
      </c>
      <c r="T3141" s="564">
        <f>IF((I3141-MAX(I$470:I3141))/MAX(I$470:I3141)&gt;T3140,T3140,(I3141-MAX(I$470:I3141))/MAX(I$470:I3141))</f>
        <v>-0.91338805338419748</v>
      </c>
      <c r="U3141" s="564">
        <f>IF((J3141-MAX(J$470:J3141))/MAX(J$470:J3141)&gt;U3140,U3140,(J3141-MAX(J$470:J3141))/MAX(J$470:J3141))</f>
        <v>-0.83569785939843477</v>
      </c>
      <c r="V3141" s="564">
        <f>IF((K3141-MAX(K$470:K3141))/MAX(K$470:K3141)&gt;V3140,V3140,(K3141-MAX(K$470:K3141))/MAX(K$470:K3141))</f>
        <v>-0.84885940676762139</v>
      </c>
      <c r="W3141" s="564">
        <f>IF((N3141-MAX(N$470:N3141))/MAX(N$470:N3141)&gt;W3140,W3140,(N3141-MAX(N$470:N3141))/MAX(N$470:N3141))</f>
        <v>-0.62788758315546067</v>
      </c>
      <c r="X3141" s="564">
        <f>IF((O3141-MAX(O$470:O3141))/MAX(O$470:O3141)&gt;X3140,X3140,(O3141-MAX(O$470:O3141))/MAX(O$470:O3141))</f>
        <v>-0.62788758315546067</v>
      </c>
    </row>
    <row r="3142" spans="1:24">
      <c r="A3142" s="799">
        <v>43544</v>
      </c>
      <c r="B3142">
        <v>4039.6818282200002</v>
      </c>
      <c r="C3142">
        <v>6404.2304009999998</v>
      </c>
      <c r="D3142">
        <v>0.92967299999999997</v>
      </c>
      <c r="E3142">
        <f>LN(D3142/参数实验室!$E$53)/参数实验室!$E$55</f>
        <v>-0.77899869362168106</v>
      </c>
      <c r="F3142">
        <f t="shared" si="438"/>
        <v>1.5853303981174893</v>
      </c>
      <c r="G3142">
        <f>LN(F3142/参数实验室!$E$58)/参数实验室!$E$59</f>
        <v>5.131895974921942E-2</v>
      </c>
      <c r="H3142" s="856">
        <f>INDEX(神经网络!$G$10:$BO$70,MATCH(ROUND(G3142*2,1)/2,神经网络!$E$10:$E$70,0),MATCH(ROUND(E3142*2,1)/2,神经网络!$G$8:$BO$8,0))</f>
        <v>-0.18892090073293136</v>
      </c>
      <c r="I3142">
        <f t="shared" si="430"/>
        <v>672378.77008687134</v>
      </c>
      <c r="J3142">
        <f t="shared" si="431"/>
        <v>1611.9395986672494</v>
      </c>
      <c r="K3142">
        <f t="shared" si="432"/>
        <v>417.12404772659823</v>
      </c>
      <c r="L3142" s="4">
        <f>MIN(MAX(L3141*(1+MAX(MIN(((B3142-B3141)/B3141)/($K$7*卓尔金历!$N$40),0),-卓尔金历!$M$43))+MIN(MAX(((B3142-B3141)/B3141)/($K$7*卓尔金历!$N$40),0),卓尔金历!$M$43),0),1)</f>
        <v>0.89757589313211206</v>
      </c>
      <c r="M3142" s="4">
        <f>MIN(MAX(M3141*(1+MAX(MIN(((B3142-B3141)/B3141)/($K$7*30),0),-卓尔金历!$M$43))+MIN(MAX(((B3142-B3141)/B3141)/($K$7*7),0),卓尔金历!$M$43),0),1)</f>
        <v>0.96379350917959994</v>
      </c>
      <c r="N3142">
        <f t="shared" si="433"/>
        <v>257185.34025144303</v>
      </c>
      <c r="O3142">
        <f t="shared" si="434"/>
        <v>722270.3418583906</v>
      </c>
      <c r="P3142">
        <f t="shared" si="435"/>
        <v>-4.7393671250786345E-3</v>
      </c>
      <c r="Q3142">
        <f t="shared" si="436"/>
        <v>1.3385296816426796E-2</v>
      </c>
      <c r="R3142">
        <f t="shared" si="437"/>
        <v>1</v>
      </c>
      <c r="S3142">
        <f t="shared" si="429"/>
        <v>1164.2138837274699</v>
      </c>
      <c r="T3142" s="564">
        <f>IF((I3142-MAX(I$470:I3142))/MAX(I$470:I3142)&gt;T3141,T3141,(I3142-MAX(I$470:I3142))/MAX(I$470:I3142))</f>
        <v>-0.91338805338419748</v>
      </c>
      <c r="U3142" s="564">
        <f>IF((J3142-MAX(J$470:J3142))/MAX(J$470:J3142)&gt;U3141,U3141,(J3142-MAX(J$470:J3142))/MAX(J$470:J3142))</f>
        <v>-0.83569785939843477</v>
      </c>
      <c r="V3142" s="564">
        <f>IF((K3142-MAX(K$470:K3142))/MAX(K$470:K3142)&gt;V3141,V3141,(K3142-MAX(K$470:K3142))/MAX(K$470:K3142))</f>
        <v>-0.84885940676762139</v>
      </c>
      <c r="W3142" s="564">
        <f>IF((N3142-MAX(N$470:N3142))/MAX(N$470:N3142)&gt;W3141,W3141,(N3142-MAX(N$470:N3142))/MAX(N$470:N3142))</f>
        <v>-0.62788758315546067</v>
      </c>
      <c r="X3142" s="564">
        <f>IF((O3142-MAX(O$470:O3142))/MAX(O$470:O3142)&gt;X3141,X3141,(O3142-MAX(O$470:O3142))/MAX(O$470:O3142))</f>
        <v>-0.62788758315546067</v>
      </c>
    </row>
    <row r="3143" spans="1:24">
      <c r="A3143" s="799">
        <v>43545</v>
      </c>
      <c r="B3143">
        <v>4079.00779109</v>
      </c>
      <c r="C3143">
        <v>6463.5374629999997</v>
      </c>
      <c r="D3143">
        <v>0.91747999999999996</v>
      </c>
      <c r="E3143">
        <f>LN(D3143/参数实验室!$E$53)/参数实验室!$E$55</f>
        <v>-0.79457394942004778</v>
      </c>
      <c r="F3143">
        <f t="shared" si="438"/>
        <v>1.5845857115347164</v>
      </c>
      <c r="G3143">
        <f>LN(F3143/参数实验室!$E$58)/参数实验室!$E$59</f>
        <v>5.1072359045940846E-2</v>
      </c>
      <c r="H3143" s="856">
        <f>INDEX(神经网络!$G$10:$BO$70,MATCH(ROUND(G3143*2,1)/2,神经网络!$E$10:$E$70,0),MATCH(ROUND(E3143*2,1)/2,神经网络!$G$8:$BO$8,0))</f>
        <v>-0.18892090073293136</v>
      </c>
      <c r="I3143">
        <f t="shared" si="430"/>
        <v>671142.17873747018</v>
      </c>
      <c r="J3143">
        <f t="shared" si="431"/>
        <v>1627.6316950999535</v>
      </c>
      <c r="K3143">
        <f t="shared" si="432"/>
        <v>412.34278046929717</v>
      </c>
      <c r="L3143" s="4">
        <f>MIN(MAX(L3142*(1+MAX(MIN(((B3143-B3142)/B3142)/($K$7*卓尔金历!$N$40),0),-卓尔金历!$M$43))+MIN(MAX(((B3143-B3142)/B3142)/($K$7*卓尔金历!$N$40),0),卓尔金历!$M$43),0),1)</f>
        <v>1</v>
      </c>
      <c r="M3143" s="4">
        <f>MIN(MAX(M3142*(1+MAX(MIN(((B3143-B3142)/B3142)/($K$7*30),0),-卓尔金历!$M$43))+MIN(MAX(((B3143-B3142)/B3142)/($K$7*7),0),卓尔金历!$M$43),0),1)</f>
        <v>1</v>
      </c>
      <c r="N3143">
        <f t="shared" si="433"/>
        <v>256760.78951223416</v>
      </c>
      <c r="O3143">
        <f t="shared" si="434"/>
        <v>720990.08830224245</v>
      </c>
      <c r="P3143">
        <f t="shared" si="435"/>
        <v>9.7349159023565803E-3</v>
      </c>
      <c r="Q3143">
        <f t="shared" si="436"/>
        <v>1.345826972997758E-2</v>
      </c>
      <c r="R3143">
        <f t="shared" si="437"/>
        <v>0.3415952235220413</v>
      </c>
      <c r="S3143">
        <f t="shared" si="429"/>
        <v>1162.0727441175977</v>
      </c>
      <c r="T3143" s="564">
        <f>IF((I3143-MAX(I$470:I3143))/MAX(I$470:I3143)&gt;T3142,T3142,(I3143-MAX(I$470:I3143))/MAX(I$470:I3143))</f>
        <v>-0.91338805338419748</v>
      </c>
      <c r="U3143" s="564">
        <f>IF((J3143-MAX(J$470:J3143))/MAX(J$470:J3143)&gt;U3142,U3142,(J3143-MAX(J$470:J3143))/MAX(J$470:J3143))</f>
        <v>-0.83569785939843477</v>
      </c>
      <c r="V3143" s="564">
        <f>IF((K3143-MAX(K$470:K3143))/MAX(K$470:K3143)&gt;V3142,V3142,(K3143-MAX(K$470:K3143))/MAX(K$470:K3143))</f>
        <v>-0.84885940676762139</v>
      </c>
      <c r="W3143" s="564">
        <f>IF((N3143-MAX(N$470:N3143))/MAX(N$470:N3143)&gt;W3142,W3142,(N3143-MAX(N$470:N3143))/MAX(N$470:N3143))</f>
        <v>-0.62788758315546067</v>
      </c>
      <c r="X3143" s="564">
        <f>IF((O3143-MAX(O$470:O3143))/MAX(O$470:O3143)&gt;X3142,X3142,(O3143-MAX(O$470:O3143))/MAX(O$470:O3143))</f>
        <v>-0.62788758315546067</v>
      </c>
    </row>
    <row r="3144" spans="1:24">
      <c r="A3144" s="799">
        <v>43546</v>
      </c>
      <c r="B3144">
        <v>4036.6019815</v>
      </c>
      <c r="C3144">
        <v>6330.458533</v>
      </c>
      <c r="D3144">
        <v>0.91947500000000004</v>
      </c>
      <c r="E3144">
        <f>LN(D3144/参数实验室!$E$53)/参数实验室!$E$55</f>
        <v>-0.79201143847441668</v>
      </c>
      <c r="F3144">
        <f t="shared" si="438"/>
        <v>1.5682642385880223</v>
      </c>
      <c r="G3144">
        <f>LN(F3144/参数实验室!$E$58)/参数实验室!$E$59</f>
        <v>4.5638248495615687E-2</v>
      </c>
      <c r="H3144" s="856">
        <f>INDEX(神经网络!$G$10:$BO$70,MATCH(ROUND(G3144*2,1)/2,神经网络!$E$10:$E$70,0),MATCH(ROUND(E3144*2,1)/2,神经网络!$G$8:$BO$8,0))</f>
        <v>-0.18892090073293136</v>
      </c>
      <c r="I3144">
        <f t="shared" si="430"/>
        <v>672460.33034942416</v>
      </c>
      <c r="J3144">
        <f t="shared" si="431"/>
        <v>1610.7106585930305</v>
      </c>
      <c r="K3144">
        <f t="shared" si="432"/>
        <v>417.49294124422323</v>
      </c>
      <c r="L3144" s="4">
        <f>MIN(MAX(L3143*(1+MAX(MIN(((B3144-B3143)/B3143)/($K$7*卓尔金历!$N$40),0),-卓尔金历!$M$43))+MIN(MAX(((B3144-B3143)/B3143)/($K$7*卓尔金历!$N$40),0),卓尔金历!$M$43),0),1)</f>
        <v>0.84115743094699602</v>
      </c>
      <c r="M3144" s="4">
        <f>MIN(MAX(M3143*(1+MAX(MIN(((B3144-B3143)/B3143)/($K$7*30),0),-卓尔金历!$M$43))+MIN(MAX(((B3144-B3143)/B3143)/($K$7*7),0),卓尔金历!$M$43),0),1)</f>
        <v>0.92057871547349801</v>
      </c>
      <c r="N3144">
        <f t="shared" si="433"/>
        <v>257265.07855754317</v>
      </c>
      <c r="O3144">
        <f t="shared" si="434"/>
        <v>722406.14331593004</v>
      </c>
      <c r="P3144">
        <f t="shared" si="435"/>
        <v>-1.0396108995582043E-2</v>
      </c>
      <c r="Q3144">
        <f t="shared" si="436"/>
        <v>1.3737546359651851E-2</v>
      </c>
      <c r="R3144">
        <f t="shared" si="437"/>
        <v>0.29591019751948927</v>
      </c>
      <c r="S3144">
        <f t="shared" si="429"/>
        <v>1162.8523873908373</v>
      </c>
      <c r="T3144" s="564">
        <f>IF((I3144-MAX(I$470:I3144))/MAX(I$470:I3144)&gt;T3143,T3143,(I3144-MAX(I$470:I3144))/MAX(I$470:I3144))</f>
        <v>-0.91338805338419748</v>
      </c>
      <c r="U3144" s="564">
        <f>IF((J3144-MAX(J$470:J3144))/MAX(J$470:J3144)&gt;U3143,U3143,(J3144-MAX(J$470:J3144))/MAX(J$470:J3144))</f>
        <v>-0.83569785939843477</v>
      </c>
      <c r="V3144" s="564">
        <f>IF((K3144-MAX(K$470:K3144))/MAX(K$470:K3144)&gt;V3143,V3143,(K3144-MAX(K$470:K3144))/MAX(K$470:K3144))</f>
        <v>-0.84885940676762139</v>
      </c>
      <c r="W3144" s="564">
        <f>IF((N3144-MAX(N$470:N3144))/MAX(N$470:N3144)&gt;W3143,W3143,(N3144-MAX(N$470:N3144))/MAX(N$470:N3144))</f>
        <v>-0.62788758315546067</v>
      </c>
      <c r="X3144" s="564">
        <f>IF((O3144-MAX(O$470:O3144))/MAX(O$470:O3144)&gt;X3143,X3143,(O3144-MAX(O$470:O3144))/MAX(O$470:O3144))</f>
        <v>-0.62788758315546067</v>
      </c>
    </row>
    <row r="3145" spans="1:24">
      <c r="A3145" s="799">
        <v>43547</v>
      </c>
      <c r="B3145">
        <v>4027.5423213899999</v>
      </c>
      <c r="C3145">
        <v>6221.8108579999998</v>
      </c>
      <c r="D3145">
        <v>0.91913199999999995</v>
      </c>
      <c r="E3145">
        <f>LN(D3145/参数实验室!$E$53)/参数实验室!$E$55</f>
        <v>-0.79245161450700752</v>
      </c>
      <c r="F3145">
        <f t="shared" si="438"/>
        <v>1.5448157614524349</v>
      </c>
      <c r="G3145">
        <f>LN(F3145/参数实验室!$E$58)/参数实验室!$E$59</f>
        <v>3.7731441872180069E-2</v>
      </c>
      <c r="H3145" s="856">
        <f>INDEX(神经网络!$G$10:$BO$70,MATCH(ROUND(G3145*2,1)/2,神经网络!$E$10:$E$70,0),MATCH(ROUND(E3145*2,1)/2,神经网络!$G$8:$BO$8,0))</f>
        <v>-0.18892090073293136</v>
      </c>
      <c r="I3145">
        <f t="shared" si="430"/>
        <v>672745.46017782041</v>
      </c>
      <c r="J3145">
        <f t="shared" si="431"/>
        <v>1607.095615254776</v>
      </c>
      <c r="K3145">
        <f t="shared" si="432"/>
        <v>418.60948022757736</v>
      </c>
      <c r="L3145" s="4">
        <f>MIN(MAX(L3144*(1+MAX(MIN(((B3145-B3144)/B3144)/($K$7*卓尔金历!$N$40),0),-卓尔金历!$M$43))+MIN(MAX(((B3145-B3144)/B3144)/($K$7*卓尔金历!$N$40),0),卓尔金历!$M$43),0),1)</f>
        <v>0.81231251087319944</v>
      </c>
      <c r="M3145" s="4">
        <f>MIN(MAX(M3144*(1+MAX(MIN(((B3145-B3144)/B3144)/($K$7*30),0),-卓尔金历!$M$43))+MIN(MAX(((B3145-B3144)/B3144)/($K$7*7),0),卓尔金历!$M$43),0),1)</f>
        <v>0.90479450047846666</v>
      </c>
      <c r="N3145">
        <f t="shared" si="433"/>
        <v>257356.83448040378</v>
      </c>
      <c r="O3145">
        <f t="shared" si="434"/>
        <v>722688.12333986734</v>
      </c>
      <c r="P3145">
        <f t="shared" si="435"/>
        <v>-2.2443778582880072E-3</v>
      </c>
      <c r="Q3145">
        <f t="shared" si="436"/>
        <v>1.3728957165412132E-2</v>
      </c>
      <c r="R3145">
        <f t="shared" si="437"/>
        <v>1</v>
      </c>
      <c r="S3145">
        <f t="shared" si="429"/>
        <v>1162.9982891417726</v>
      </c>
      <c r="T3145" s="564">
        <f>IF((I3145-MAX(I$470:I3145))/MAX(I$470:I3145)&gt;T3144,T3144,(I3145-MAX(I$470:I3145))/MAX(I$470:I3145))</f>
        <v>-0.91338805338419748</v>
      </c>
      <c r="U3145" s="564">
        <f>IF((J3145-MAX(J$470:J3145))/MAX(J$470:J3145)&gt;U3144,U3144,(J3145-MAX(J$470:J3145))/MAX(J$470:J3145))</f>
        <v>-0.83569785939843477</v>
      </c>
      <c r="V3145" s="564">
        <f>IF((K3145-MAX(K$470:K3145))/MAX(K$470:K3145)&gt;V3144,V3144,(K3145-MAX(K$470:K3145))/MAX(K$470:K3145))</f>
        <v>-0.84885940676762139</v>
      </c>
      <c r="W3145" s="564">
        <f>IF((N3145-MAX(N$470:N3145))/MAX(N$470:N3145)&gt;W3144,W3144,(N3145-MAX(N$470:N3145))/MAX(N$470:N3145))</f>
        <v>-0.62788758315546067</v>
      </c>
      <c r="X3145" s="564">
        <f>IF((O3145-MAX(O$470:O3145))/MAX(O$470:O3145)&gt;X3144,X3144,(O3145-MAX(O$470:O3145))/MAX(O$470:O3145))</f>
        <v>-0.62788758315546067</v>
      </c>
    </row>
    <row r="3146" spans="1:24">
      <c r="A3146" s="799">
        <v>43548</v>
      </c>
      <c r="B3146">
        <v>4029.6234035900002</v>
      </c>
      <c r="C3146">
        <v>6274.7143329999999</v>
      </c>
      <c r="D3146">
        <v>0.91670499999999999</v>
      </c>
      <c r="E3146">
        <f>LN(D3146/参数实验室!$E$53)/参数实验室!$E$55</f>
        <v>-0.79557091408663227</v>
      </c>
      <c r="F3146">
        <f t="shared" si="438"/>
        <v>1.5571465877952375</v>
      </c>
      <c r="G3146">
        <f>LN(F3146/参数实验室!$E$58)/参数实验室!$E$59</f>
        <v>4.1904231494828331E-2</v>
      </c>
      <c r="H3146" s="856">
        <f>INDEX(神经网络!$G$10:$BO$70,MATCH(ROUND(G3146*2,1)/2,神经网络!$E$10:$E$70,0),MATCH(ROUND(E3146*2,1)/2,神经网络!$G$8:$BO$8,0))</f>
        <v>-0.18892090073293136</v>
      </c>
      <c r="I3146">
        <f t="shared" si="430"/>
        <v>672679.78822884941</v>
      </c>
      <c r="J3146">
        <f t="shared" si="431"/>
        <v>1607.9260219424582</v>
      </c>
      <c r="K3146">
        <f t="shared" si="432"/>
        <v>418.35244846415088</v>
      </c>
      <c r="L3146" s="4">
        <f>MIN(MAX(L3145*(1+MAX(MIN(((B3146-B3145)/B3145)/($K$7*卓尔金历!$N$40),0),-卓尔金历!$M$43))+MIN(MAX(((B3146-B3145)/B3145)/($K$7*卓尔金历!$N$40),0),卓尔金历!$M$43),0),1)</f>
        <v>0.82020738482199507</v>
      </c>
      <c r="M3146" s="4">
        <f>MIN(MAX(M3145*(1+MAX(MIN(((B3146-B3145)/B3145)/($K$7*30),0),-卓尔金历!$M$43))+MIN(MAX(((B3146-B3145)/B3145)/($K$7*7),0),卓尔金历!$M$43),0),1)</f>
        <v>0.92171208751160005</v>
      </c>
      <c r="N3146">
        <f t="shared" si="433"/>
        <v>257336.42706628083</v>
      </c>
      <c r="O3146">
        <f t="shared" si="434"/>
        <v>722624.29258224042</v>
      </c>
      <c r="P3146">
        <f t="shared" si="435"/>
        <v>5.1671268330262499E-4</v>
      </c>
      <c r="Q3146">
        <f t="shared" si="436"/>
        <v>1.3733315465816871E-2</v>
      </c>
      <c r="R3146">
        <f t="shared" si="437"/>
        <v>1</v>
      </c>
      <c r="S3146">
        <f t="shared" si="429"/>
        <v>1162.8847597776687</v>
      </c>
      <c r="T3146" s="564">
        <f>IF((I3146-MAX(I$470:I3146))/MAX(I$470:I3146)&gt;T3145,T3145,(I3146-MAX(I$470:I3146))/MAX(I$470:I3146))</f>
        <v>-0.91338805338419748</v>
      </c>
      <c r="U3146" s="564">
        <f>IF((J3146-MAX(J$470:J3146))/MAX(J$470:J3146)&gt;U3145,U3145,(J3146-MAX(J$470:J3146))/MAX(J$470:J3146))</f>
        <v>-0.83569785939843477</v>
      </c>
      <c r="V3146" s="564">
        <f>IF((K3146-MAX(K$470:K3146))/MAX(K$470:K3146)&gt;V3145,V3145,(K3146-MAX(K$470:K3146))/MAX(K$470:K3146))</f>
        <v>-0.84885940676762139</v>
      </c>
      <c r="W3146" s="564">
        <f>IF((N3146-MAX(N$470:N3146))/MAX(N$470:N3146)&gt;W3145,W3145,(N3146-MAX(N$470:N3146))/MAX(N$470:N3146))</f>
        <v>-0.62788758315546067</v>
      </c>
      <c r="X3146" s="564">
        <f>IF((O3146-MAX(O$470:O3146))/MAX(O$470:O3146)&gt;X3145,X3145,(O3146-MAX(O$470:O3146))/MAX(O$470:O3146))</f>
        <v>-0.62788758315546067</v>
      </c>
    </row>
    <row r="3147" spans="1:24">
      <c r="A3147" s="799">
        <v>43549</v>
      </c>
      <c r="B3147">
        <v>4027.2894111400001</v>
      </c>
      <c r="C3147">
        <v>6255.5725060000004</v>
      </c>
      <c r="D3147">
        <v>0.90273499999999995</v>
      </c>
      <c r="E3147">
        <f>LN(D3147/参数实验室!$E$53)/参数实验室!$E$55</f>
        <v>-0.81368800144252573</v>
      </c>
      <c r="F3147">
        <f t="shared" si="438"/>
        <v>1.553295993254491</v>
      </c>
      <c r="G3147">
        <f>LN(F3147/参数实验室!$E$58)/参数实验室!$E$59</f>
        <v>4.0604737231399478E-2</v>
      </c>
      <c r="H3147" s="856">
        <f>INDEX(神经网络!$G$10:$BO$70,MATCH(ROUND(G3147*2,1)/2,神经网络!$E$10:$E$70,0),MATCH(ROUND(E3147*2,1)/2,神经网络!$G$8:$BO$8,0))</f>
        <v>-0.18892090073293136</v>
      </c>
      <c r="I3147">
        <f t="shared" si="430"/>
        <v>672753.39595008979</v>
      </c>
      <c r="J3147">
        <f t="shared" si="431"/>
        <v>1606.9946973943556</v>
      </c>
      <c r="K3147">
        <f t="shared" si="432"/>
        <v>418.64070680564072</v>
      </c>
      <c r="L3147" s="4">
        <f>MIN(MAX(L3146*(1+MAX(MIN(((B3147-B3146)/B3146)/($K$7*卓尔金历!$N$40),0),-卓尔金历!$M$43))+MIN(MAX(((B3147-B3146)/B3146)/($K$7*卓尔金历!$N$40),0),卓尔金历!$M$43),0),1)</f>
        <v>0.81294875346887907</v>
      </c>
      <c r="M3147" s="4">
        <f>MIN(MAX(M3146*(1+MAX(MIN(((B3147-B3146)/B3146)/($K$7*30),0),-卓尔金历!$M$43))+MIN(MAX(((B3147-B3146)/B3146)/($K$7*7),0),卓尔金历!$M$43),0),1)</f>
        <v>0.91763362614880117</v>
      </c>
      <c r="N3147">
        <f t="shared" si="433"/>
        <v>257359.52323461373</v>
      </c>
      <c r="O3147">
        <f t="shared" si="434"/>
        <v>722697.17501059489</v>
      </c>
      <c r="P3147">
        <f t="shared" si="435"/>
        <v>-5.7920858011712394E-4</v>
      </c>
      <c r="Q3147">
        <f t="shared" si="436"/>
        <v>1.1520618163988139E-2</v>
      </c>
      <c r="R3147">
        <f t="shared" si="437"/>
        <v>1</v>
      </c>
      <c r="S3147">
        <f t="shared" si="429"/>
        <v>1163.0120079851076</v>
      </c>
      <c r="T3147" s="564">
        <f>IF((I3147-MAX(I$470:I3147))/MAX(I$470:I3147)&gt;T3146,T3146,(I3147-MAX(I$470:I3147))/MAX(I$470:I3147))</f>
        <v>-0.91338805338419748</v>
      </c>
      <c r="U3147" s="564">
        <f>IF((J3147-MAX(J$470:J3147))/MAX(J$470:J3147)&gt;U3146,U3146,(J3147-MAX(J$470:J3147))/MAX(J$470:J3147))</f>
        <v>-0.83569785939843477</v>
      </c>
      <c r="V3147" s="564">
        <f>IF((K3147-MAX(K$470:K3147))/MAX(K$470:K3147)&gt;V3146,V3146,(K3147-MAX(K$470:K3147))/MAX(K$470:K3147))</f>
        <v>-0.84885940676762139</v>
      </c>
      <c r="W3147" s="564">
        <f>IF((N3147-MAX(N$470:N3147))/MAX(N$470:N3147)&gt;W3146,W3146,(N3147-MAX(N$470:N3147))/MAX(N$470:N3147))</f>
        <v>-0.62788758315546067</v>
      </c>
      <c r="X3147" s="564">
        <f>IF((O3147-MAX(O$470:O3147))/MAX(O$470:O3147)&gt;X3146,X3146,(O3147-MAX(O$470:O3147))/MAX(O$470:O3147))</f>
        <v>-0.62788758315546067</v>
      </c>
    </row>
    <row r="3148" spans="1:24">
      <c r="A3148" s="799">
        <v>43550</v>
      </c>
      <c r="B3148">
        <v>3954.7020508700002</v>
      </c>
      <c r="C3148">
        <v>6270.2008720000003</v>
      </c>
      <c r="D3148">
        <v>0.90526899999999999</v>
      </c>
      <c r="E3148">
        <f>LN(D3148/参数实验室!$E$53)/参数实验室!$E$55</f>
        <v>-0.81038104340738915</v>
      </c>
      <c r="F3148">
        <f t="shared" si="438"/>
        <v>1.5855052520633282</v>
      </c>
      <c r="G3148">
        <f>LN(F3148/参数实验室!$E$58)/参数实验室!$E$59</f>
        <v>5.1376845310402666E-2</v>
      </c>
      <c r="H3148" s="856">
        <f>INDEX(神经网络!$G$10:$BO$70,MATCH(ROUND(G3148*2,1)/2,神经网络!$E$10:$E$70,0),MATCH(ROUND(E3148*2,1)/2,神经网络!$G$8:$BO$8,0))</f>
        <v>-0.18892090073293136</v>
      </c>
      <c r="I3148">
        <f t="shared" si="430"/>
        <v>675044.1795698225</v>
      </c>
      <c r="J3148">
        <f t="shared" si="431"/>
        <v>1578.0304261082938</v>
      </c>
      <c r="K3148">
        <f t="shared" si="432"/>
        <v>427.77640304097469</v>
      </c>
      <c r="L3148" s="4">
        <f>MIN(MAX(L3147*(1+MAX(MIN(((B3148-B3147)/B3147)/($K$7*卓尔金历!$N$40),0),-卓尔金历!$M$43))+MIN(MAX(((B3148-B3147)/B3147)/($K$7*卓尔金历!$N$40),0),卓尔金历!$M$43),0),1)</f>
        <v>0.58907281947133805</v>
      </c>
      <c r="M3148" s="4">
        <f>MIN(MAX(M3147*(1+MAX(MIN(((B3148-B3147)/B3147)/($K$7*30),0),-卓尔金历!$M$43))+MIN(MAX(((B3148-B3147)/B3147)/($K$7*7),0),卓尔金历!$M$43),0),1)</f>
        <v>0.7912812058732237</v>
      </c>
      <c r="N3148">
        <f t="shared" si="433"/>
        <v>258071.93582018628</v>
      </c>
      <c r="O3148">
        <f t="shared" si="434"/>
        <v>724955.33052245469</v>
      </c>
      <c r="P3148">
        <f t="shared" si="435"/>
        <v>-1.8023874834824111E-2</v>
      </c>
      <c r="Q3148">
        <f t="shared" si="436"/>
        <v>1.2329648544967734E-2</v>
      </c>
      <c r="R3148">
        <f t="shared" si="437"/>
        <v>7.1463495147407385E-3</v>
      </c>
      <c r="S3148">
        <f t="shared" si="429"/>
        <v>1166.9721646687944</v>
      </c>
      <c r="T3148" s="564">
        <f>IF((I3148-MAX(I$470:I3148))/MAX(I$470:I3148)&gt;T3147,T3147,(I3148-MAX(I$470:I3148))/MAX(I$470:I3148))</f>
        <v>-0.91338805338419748</v>
      </c>
      <c r="U3148" s="564">
        <f>IF((J3148-MAX(J$470:J3148))/MAX(J$470:J3148)&gt;U3147,U3147,(J3148-MAX(J$470:J3148))/MAX(J$470:J3148))</f>
        <v>-0.83569785939843477</v>
      </c>
      <c r="V3148" s="564">
        <f>IF((K3148-MAX(K$470:K3148))/MAX(K$470:K3148)&gt;V3147,V3147,(K3148-MAX(K$470:K3148))/MAX(K$470:K3148))</f>
        <v>-0.84885940676762139</v>
      </c>
      <c r="W3148" s="564">
        <f>IF((N3148-MAX(N$470:N3148))/MAX(N$470:N3148)&gt;W3147,W3147,(N3148-MAX(N$470:N3148))/MAX(N$470:N3148))</f>
        <v>-0.62788758315546067</v>
      </c>
      <c r="X3148" s="564">
        <f>IF((O3148-MAX(O$470:O3148))/MAX(O$470:O3148)&gt;X3147,X3147,(O3148-MAX(O$470:O3148))/MAX(O$470:O3148))</f>
        <v>-0.62788758315546067</v>
      </c>
    </row>
    <row r="3149" spans="1:24">
      <c r="A3149" s="799">
        <v>43551</v>
      </c>
      <c r="B3149">
        <v>4068.8036168799999</v>
      </c>
      <c r="C3149">
        <v>6246.8647140000003</v>
      </c>
      <c r="D3149">
        <v>0.930396</v>
      </c>
      <c r="E3149">
        <f>LN(D3149/参数实验室!$E$53)/参数实验室!$E$55</f>
        <v>-0.77808156459222222</v>
      </c>
      <c r="F3149">
        <f t="shared" si="438"/>
        <v>1.535307501223212</v>
      </c>
      <c r="G3149">
        <f>LN(F3149/参数实验室!$E$58)/参数实验室!$E$59</f>
        <v>3.4491010077419344E-2</v>
      </c>
      <c r="H3149" s="856">
        <f>INDEX(神经网络!$G$10:$BO$70,MATCH(ROUND(G3149*2,1)/2,神经网络!$E$10:$E$70,0),MATCH(ROUND(E3149*2,1)/2,神经网络!$G$8:$BO$8,0))</f>
        <v>-0.18892090073293136</v>
      </c>
      <c r="I3149">
        <f t="shared" si="430"/>
        <v>671364.66912188474</v>
      </c>
      <c r="J3149">
        <f t="shared" si="431"/>
        <v>1623.5599604485035</v>
      </c>
      <c r="K3149">
        <f t="shared" si="432"/>
        <v>413.51393571964064</v>
      </c>
      <c r="L3149" s="4">
        <f>MIN(MAX(L3148*(1+MAX(MIN(((B3149-B3148)/B3148)/($K$7*卓尔金历!$N$40),0),-卓尔金历!$M$43))+MIN(MAX(((B3149-B3148)/B3148)/($K$7*卓尔金历!$N$40),0),卓尔金历!$M$43),0),1)</f>
        <v>1</v>
      </c>
      <c r="M3149" s="4">
        <f>MIN(MAX(M3148*(1+MAX(MIN(((B3149-B3148)/B3148)/($K$7*30),0),-卓尔金历!$M$43))+MIN(MAX(((B3149-B3148)/B3148)/($K$7*7),0),卓尔金历!$M$43),0),1)</f>
        <v>1</v>
      </c>
      <c r="N3149">
        <f t="shared" si="433"/>
        <v>257243.29255060284</v>
      </c>
      <c r="O3149">
        <f t="shared" si="434"/>
        <v>721828.53168607608</v>
      </c>
      <c r="P3149">
        <f t="shared" si="435"/>
        <v>2.8852127048331837E-2</v>
      </c>
      <c r="Q3149">
        <f t="shared" si="436"/>
        <v>1.1905105783453301E-2</v>
      </c>
      <c r="R3149">
        <f t="shared" si="437"/>
        <v>1.415242031771002E-3</v>
      </c>
      <c r="S3149">
        <f t="shared" si="429"/>
        <v>1166.9267074779802</v>
      </c>
      <c r="T3149" s="564">
        <f>IF((I3149-MAX(I$470:I3149))/MAX(I$470:I3149)&gt;T3148,T3148,(I3149-MAX(I$470:I3149))/MAX(I$470:I3149))</f>
        <v>-0.91338805338419748</v>
      </c>
      <c r="U3149" s="564">
        <f>IF((J3149-MAX(J$470:J3149))/MAX(J$470:J3149)&gt;U3148,U3148,(J3149-MAX(J$470:J3149))/MAX(J$470:J3149))</f>
        <v>-0.83569785939843477</v>
      </c>
      <c r="V3149" s="564">
        <f>IF((K3149-MAX(K$470:K3149))/MAX(K$470:K3149)&gt;V3148,V3148,(K3149-MAX(K$470:K3149))/MAX(K$470:K3149))</f>
        <v>-0.84885940676762139</v>
      </c>
      <c r="W3149" s="564">
        <f>IF((N3149-MAX(N$470:N3149))/MAX(N$470:N3149)&gt;W3148,W3148,(N3149-MAX(N$470:N3149))/MAX(N$470:N3149))</f>
        <v>-0.62788758315546067</v>
      </c>
      <c r="X3149" s="564">
        <f>IF((O3149-MAX(O$470:O3149))/MAX(O$470:O3149)&gt;X3148,X3148,(O3149-MAX(O$470:O3149))/MAX(O$470:O3149))</f>
        <v>-0.62788758315546067</v>
      </c>
    </row>
    <row r="3150" spans="1:24">
      <c r="A3150" s="799">
        <v>43552</v>
      </c>
      <c r="B3150">
        <v>4080.9364577299998</v>
      </c>
      <c r="C3150">
        <v>6312.8180380000003</v>
      </c>
      <c r="D3150">
        <v>0.92674900000000004</v>
      </c>
      <c r="E3150">
        <f>LN(D3150/参数实验室!$E$53)/参数实验室!$E$55</f>
        <v>-0.7827150914428983</v>
      </c>
      <c r="F3150">
        <f t="shared" si="438"/>
        <v>1.5469042714552517</v>
      </c>
      <c r="G3150">
        <f>LN(F3150/参数实验室!$E$58)/参数实验室!$E$59</f>
        <v>3.8440537827869693E-2</v>
      </c>
      <c r="H3150" s="856">
        <f>INDEX(神经网络!$G$10:$BO$70,MATCH(ROUND(G3150*2,1)/2,神经网络!$E$10:$E$70,0),MATCH(ROUND(E3150*2,1)/2,神经网络!$G$8:$BO$8,0))</f>
        <v>-0.18892090073293136</v>
      </c>
      <c r="I3150">
        <f t="shared" si="430"/>
        <v>670986.45802937122</v>
      </c>
      <c r="J3150">
        <f t="shared" si="431"/>
        <v>1628.4012839591376</v>
      </c>
      <c r="K3150">
        <f t="shared" si="432"/>
        <v>412.05227767814057</v>
      </c>
      <c r="L3150" s="4">
        <f>MIN(MAX(L3149*(1+MAX(MIN(((B3150-B3149)/B3149)/($K$7*卓尔金历!$N$40),0),-卓尔金历!$M$43))+MIN(MAX(((B3150-B3149)/B3149)/($K$7*卓尔金历!$N$40),0),卓尔金历!$M$43),0),1)</f>
        <v>1</v>
      </c>
      <c r="M3150" s="4">
        <f>MIN(MAX(M3149*(1+MAX(MIN(((B3150-B3149)/B3149)/($K$7*30),0),-卓尔金历!$M$43))+MIN(MAX(((B3150-B3149)/B3149)/($K$7*7),0),卓尔金历!$M$43),0),1)</f>
        <v>1</v>
      </c>
      <c r="N3150">
        <f t="shared" si="433"/>
        <v>257098.37538234523</v>
      </c>
      <c r="O3150">
        <f t="shared" si="434"/>
        <v>721421.89194148907</v>
      </c>
      <c r="P3150">
        <f t="shared" si="435"/>
        <v>2.9819185176854154E-3</v>
      </c>
      <c r="Q3150">
        <f t="shared" si="436"/>
        <v>1.189545820323222E-2</v>
      </c>
      <c r="R3150">
        <f t="shared" si="437"/>
        <v>1</v>
      </c>
      <c r="S3150">
        <f t="shared" si="429"/>
        <v>1166.9257771200207</v>
      </c>
      <c r="T3150" s="564">
        <f>IF((I3150-MAX(I$470:I3150))/MAX(I$470:I3150)&gt;T3149,T3149,(I3150-MAX(I$470:I3150))/MAX(I$470:I3150))</f>
        <v>-0.91338805338419748</v>
      </c>
      <c r="U3150" s="564">
        <f>IF((J3150-MAX(J$470:J3150))/MAX(J$470:J3150)&gt;U3149,U3149,(J3150-MAX(J$470:J3150))/MAX(J$470:J3150))</f>
        <v>-0.83569785939843477</v>
      </c>
      <c r="V3150" s="564">
        <f>IF((K3150-MAX(K$470:K3150))/MAX(K$470:K3150)&gt;V3149,V3149,(K3150-MAX(K$470:K3150))/MAX(K$470:K3150))</f>
        <v>-0.84885940676762139</v>
      </c>
      <c r="W3150" s="564">
        <f>IF((N3150-MAX(N$470:N3150))/MAX(N$470:N3150)&gt;W3149,W3149,(N3150-MAX(N$470:N3150))/MAX(N$470:N3150))</f>
        <v>-0.62788758315546067</v>
      </c>
      <c r="X3150" s="564">
        <f>IF((O3150-MAX(O$470:O3150))/MAX(O$470:O3150)&gt;X3149,X3149,(O3150-MAX(O$470:O3150))/MAX(O$470:O3150))</f>
        <v>-0.62788758315546067</v>
      </c>
    </row>
    <row r="3151" spans="1:24">
      <c r="A3151" s="799">
        <v>43553</v>
      </c>
      <c r="B3151">
        <v>4094.8752094000001</v>
      </c>
      <c r="C3151">
        <v>6289.2423449999997</v>
      </c>
      <c r="D3151">
        <v>0.94438900000000003</v>
      </c>
      <c r="E3151">
        <f>LN(D3151/参数实验室!$E$53)/参数实验室!$E$55</f>
        <v>-0.7604703785609106</v>
      </c>
      <c r="F3151">
        <f t="shared" si="438"/>
        <v>1.5358813207696085</v>
      </c>
      <c r="G3151">
        <f>LN(F3151/参数实验室!$E$58)/参数实验室!$E$59</f>
        <v>3.4687137069204045E-2</v>
      </c>
      <c r="H3151" s="856">
        <f>INDEX(神经网络!$G$10:$BO$70,MATCH(ROUND(G3151*2,1)/2,神经网络!$E$10:$E$70,0),MATCH(ROUND(E3151*2,1)/2,神经网络!$G$8:$BO$8,0))</f>
        <v>-0.21232817533669729</v>
      </c>
      <c r="I3151">
        <f t="shared" si="430"/>
        <v>670553.48802401731</v>
      </c>
      <c r="J3151">
        <f t="shared" si="431"/>
        <v>1633.9632135190116</v>
      </c>
      <c r="K3151">
        <f t="shared" si="432"/>
        <v>410.38469071765013</v>
      </c>
      <c r="L3151" s="4">
        <f>MIN(MAX(L3150*(1+MAX(MIN(((B3151-B3150)/B3150)/($K$7*卓尔金历!$N$40),0),-卓尔金历!$M$43))+MIN(MAX(((B3151-B3150)/B3150)/($K$7*卓尔金历!$N$40),0),卓尔金历!$M$43),0),1)</f>
        <v>1</v>
      </c>
      <c r="M3151" s="4">
        <f>MIN(MAX(M3150*(1+MAX(MIN(((B3151-B3150)/B3150)/($K$7*30),0),-卓尔金历!$M$43))+MIN(MAX(((B3151-B3150)/B3150)/($K$7*7),0),卓尔金历!$M$43),0),1)</f>
        <v>1</v>
      </c>
      <c r="N3151">
        <f t="shared" si="433"/>
        <v>256932.47652755654</v>
      </c>
      <c r="O3151">
        <f t="shared" si="434"/>
        <v>720956.3772702486</v>
      </c>
      <c r="P3151">
        <f t="shared" si="435"/>
        <v>3.4155767467532903E-3</v>
      </c>
      <c r="Q3151">
        <f t="shared" si="436"/>
        <v>1.1828574627486309E-2</v>
      </c>
      <c r="R3151">
        <f t="shared" si="437"/>
        <v>1</v>
      </c>
      <c r="S3151">
        <f t="shared" si="429"/>
        <v>1166.1727904480524</v>
      </c>
      <c r="T3151" s="564">
        <f>IF((I3151-MAX(I$470:I3151))/MAX(I$470:I3151)&gt;T3150,T3150,(I3151-MAX(I$470:I3151))/MAX(I$470:I3151))</f>
        <v>-0.91338805338419748</v>
      </c>
      <c r="U3151" s="564">
        <f>IF((J3151-MAX(J$470:J3151))/MAX(J$470:J3151)&gt;U3150,U3150,(J3151-MAX(J$470:J3151))/MAX(J$470:J3151))</f>
        <v>-0.83569785939843477</v>
      </c>
      <c r="V3151" s="564">
        <f>IF((K3151-MAX(K$470:K3151))/MAX(K$470:K3151)&gt;V3150,V3150,(K3151-MAX(K$470:K3151))/MAX(K$470:K3151))</f>
        <v>-0.84885940676762139</v>
      </c>
      <c r="W3151" s="564">
        <f>IF((N3151-MAX(N$470:N3151))/MAX(N$470:N3151)&gt;W3150,W3150,(N3151-MAX(N$470:N3151))/MAX(N$470:N3151))</f>
        <v>-0.62788758315546067</v>
      </c>
      <c r="X3151" s="564">
        <f>IF((O3151-MAX(O$470:O3151))/MAX(O$470:O3151)&gt;X3150,X3150,(O3151-MAX(O$470:O3151))/MAX(O$470:O3151))</f>
        <v>-0.62788758315546067</v>
      </c>
    </row>
    <row r="3152" spans="1:24">
      <c r="A3152" s="799">
        <v>43554</v>
      </c>
      <c r="B3152">
        <v>4087.5367221000001</v>
      </c>
      <c r="C3152">
        <v>6338.3992939999998</v>
      </c>
      <c r="D3152">
        <v>0.94496500000000005</v>
      </c>
      <c r="E3152">
        <f>LN(D3152/参数实验室!$E$53)/参数实验室!$E$55</f>
        <v>-0.75975104497961155</v>
      </c>
      <c r="F3152">
        <f t="shared" si="438"/>
        <v>1.5506647951883361</v>
      </c>
      <c r="G3152">
        <f>LN(F3152/参数实验室!$E$58)/参数实验室!$E$59</f>
        <v>3.9714909448073855E-2</v>
      </c>
      <c r="H3152" s="856">
        <f>INDEX(神经网络!$G$10:$BO$70,MATCH(ROUND(G3152*2,1)/2,神经网络!$E$10:$E$70,0),MATCH(ROUND(E3152*2,1)/2,神经网络!$G$8:$BO$8,0))</f>
        <v>-0.21232817533669729</v>
      </c>
      <c r="I3152">
        <f t="shared" si="430"/>
        <v>670808.64469615999</v>
      </c>
      <c r="J3152">
        <f t="shared" si="431"/>
        <v>1631.0349635289872</v>
      </c>
      <c r="K3152">
        <f t="shared" si="432"/>
        <v>411.27790617361478</v>
      </c>
      <c r="L3152" s="4">
        <f>MIN(MAX(L3151*(1+MAX(MIN(((B3152-B3151)/B3151)/($K$7*卓尔金历!$N$40),0),-卓尔金历!$M$43))+MIN(MAX(((B3152-B3151)/B3151)/($K$7*卓尔金历!$N$40),0),卓尔金历!$M$43),0),1)</f>
        <v>0.97261820251148001</v>
      </c>
      <c r="M3152" s="4">
        <f>MIN(MAX(M3151*(1+MAX(MIN(((B3152-B3151)/B3151)/($K$7*30),0),-卓尔金历!$M$43))+MIN(MAX(((B3152-B3151)/B3151)/($K$7*7),0),卓尔金历!$M$43),0),1)</f>
        <v>0.98630910125574001</v>
      </c>
      <c r="N3152">
        <f t="shared" si="433"/>
        <v>257030.24357649003</v>
      </c>
      <c r="O3152">
        <f t="shared" si="434"/>
        <v>721230.71307383443</v>
      </c>
      <c r="P3152">
        <f t="shared" si="435"/>
        <v>-1.7921150034448218E-3</v>
      </c>
      <c r="Q3152">
        <f t="shared" si="436"/>
        <v>1.1853128358895217E-2</v>
      </c>
      <c r="R3152">
        <f t="shared" si="437"/>
        <v>1</v>
      </c>
      <c r="S3152">
        <f t="shared" si="429"/>
        <v>1166.6165384467854</v>
      </c>
      <c r="T3152" s="564">
        <f>IF((I3152-MAX(I$470:I3152))/MAX(I$470:I3152)&gt;T3151,T3151,(I3152-MAX(I$470:I3152))/MAX(I$470:I3152))</f>
        <v>-0.91338805338419748</v>
      </c>
      <c r="U3152" s="564">
        <f>IF((J3152-MAX(J$470:J3152))/MAX(J$470:J3152)&gt;U3151,U3151,(J3152-MAX(J$470:J3152))/MAX(J$470:J3152))</f>
        <v>-0.83569785939843477</v>
      </c>
      <c r="V3152" s="564">
        <f>IF((K3152-MAX(K$470:K3152))/MAX(K$470:K3152)&gt;V3151,V3151,(K3152-MAX(K$470:K3152))/MAX(K$470:K3152))</f>
        <v>-0.84885940676762139</v>
      </c>
      <c r="W3152" s="564">
        <f>IF((N3152-MAX(N$470:N3152))/MAX(N$470:N3152)&gt;W3151,W3151,(N3152-MAX(N$470:N3152))/MAX(N$470:N3152))</f>
        <v>-0.62788758315546067</v>
      </c>
      <c r="X3152" s="564">
        <f>IF((O3152-MAX(O$470:O3152))/MAX(O$470:O3152)&gt;X3151,X3151,(O3152-MAX(O$470:O3152))/MAX(O$470:O3152))</f>
        <v>-0.62788758315546067</v>
      </c>
    </row>
    <row r="3153" spans="1:24">
      <c r="A3153" s="799">
        <v>43555</v>
      </c>
      <c r="B3153">
        <v>4110.5398384600003</v>
      </c>
      <c r="C3153">
        <v>6440.6117539999996</v>
      </c>
      <c r="D3153">
        <v>0.94641900000000001</v>
      </c>
      <c r="E3153">
        <f>LN(D3153/参数实验室!$E$53)/参数实验室!$E$55</f>
        <v>-0.75793717581856557</v>
      </c>
      <c r="F3153">
        <f t="shared" si="438"/>
        <v>1.5668530186081235</v>
      </c>
      <c r="G3153">
        <f>LN(F3153/参数实验室!$E$58)/参数实验室!$E$59</f>
        <v>4.5165740132202412E-2</v>
      </c>
      <c r="H3153" s="856">
        <f>INDEX(神经网络!$G$10:$BO$70,MATCH(ROUND(G3153*2,1)/2,神经网络!$E$10:$E$70,0),MATCH(ROUND(E3153*2,1)/2,神经网络!$G$8:$BO$8,0))</f>
        <v>-0.21232817533669729</v>
      </c>
      <c r="I3153">
        <f t="shared" si="430"/>
        <v>670007.09346176882</v>
      </c>
      <c r="J3153">
        <f t="shared" si="431"/>
        <v>1640.213813678622</v>
      </c>
      <c r="K3153">
        <f t="shared" si="432"/>
        <v>408.48765439860375</v>
      </c>
      <c r="L3153" s="4">
        <f>MIN(MAX(L3152*(1+MAX(MIN(((B3153-B3152)/B3152)/($K$7*卓尔金历!$N$40),0),-卓尔金历!$M$43))+MIN(MAX(((B3153-B3152)/B3152)/($K$7*卓尔金历!$N$40),0),卓尔金历!$M$43),0),1)</f>
        <v>1</v>
      </c>
      <c r="M3153" s="4">
        <f>MIN(MAX(M3152*(1+MAX(MIN(((B3153-B3152)/B3152)/($K$7*30),0),-卓尔金历!$M$43))+MIN(MAX(((B3153-B3152)/B3152)/($K$7*7),0),卓尔金历!$M$43),0),1)</f>
        <v>1</v>
      </c>
      <c r="N3153">
        <f t="shared" si="433"/>
        <v>256731.527045291</v>
      </c>
      <c r="O3153">
        <f t="shared" si="434"/>
        <v>720380.71118704649</v>
      </c>
      <c r="P3153">
        <f t="shared" si="435"/>
        <v>5.6276231686506143E-3</v>
      </c>
      <c r="Q3153">
        <f t="shared" si="436"/>
        <v>1.1853031274020676E-2</v>
      </c>
      <c r="R3153">
        <f t="shared" si="437"/>
        <v>0.7655789397939381</v>
      </c>
      <c r="S3153">
        <f t="shared" si="429"/>
        <v>1165.2225448931144</v>
      </c>
      <c r="T3153" s="564">
        <f>IF((I3153-MAX(I$470:I3153))/MAX(I$470:I3153)&gt;T3152,T3152,(I3153-MAX(I$470:I3153))/MAX(I$470:I3153))</f>
        <v>-0.91338805338419748</v>
      </c>
      <c r="U3153" s="564">
        <f>IF((J3153-MAX(J$470:J3153))/MAX(J$470:J3153)&gt;U3152,U3152,(J3153-MAX(J$470:J3153))/MAX(J$470:J3153))</f>
        <v>-0.83569785939843477</v>
      </c>
      <c r="V3153" s="564">
        <f>IF((K3153-MAX(K$470:K3153))/MAX(K$470:K3153)&gt;V3152,V3152,(K3153-MAX(K$470:K3153))/MAX(K$470:K3153))</f>
        <v>-0.84885940676762139</v>
      </c>
      <c r="W3153" s="564">
        <f>IF((N3153-MAX(N$470:N3153))/MAX(N$470:N3153)&gt;W3152,W3152,(N3153-MAX(N$470:N3153))/MAX(N$470:N3153))</f>
        <v>-0.62788758315546067</v>
      </c>
      <c r="X3153" s="564">
        <f>IF((O3153-MAX(O$470:O3153))/MAX(O$470:O3153)&gt;X3152,X3152,(O3153-MAX(O$470:O3153))/MAX(O$470:O3153))</f>
        <v>-0.62788758315546067</v>
      </c>
    </row>
    <row r="3154" spans="1:24">
      <c r="A3154" s="799">
        <v>43556</v>
      </c>
      <c r="B3154">
        <v>4130.4415175499998</v>
      </c>
      <c r="C3154">
        <v>6425.0015720000001</v>
      </c>
      <c r="D3154">
        <v>0.95655100000000004</v>
      </c>
      <c r="E3154">
        <f>LN(D3154/参数实验室!$E$53)/参数实验室!$E$55</f>
        <v>-0.74537431584574498</v>
      </c>
      <c r="F3154">
        <f t="shared" si="438"/>
        <v>1.5555241599961049</v>
      </c>
      <c r="G3154">
        <f>LN(F3154/参数实验室!$E$58)/参数实验室!$E$59</f>
        <v>4.1357088583742374E-2</v>
      </c>
      <c r="H3154" s="856">
        <f>INDEX(神经网络!$G$10:$BO$70,MATCH(ROUND(G3154*2,1)/2,神经网络!$E$10:$E$70,0),MATCH(ROUND(E3154*2,1)/2,神经网络!$G$8:$BO$8,0))</f>
        <v>-0.21232817533669729</v>
      </c>
      <c r="I3154">
        <f t="shared" si="430"/>
        <v>669318.31765252782</v>
      </c>
      <c r="J3154">
        <f t="shared" si="431"/>
        <v>1648.1551085551232</v>
      </c>
      <c r="K3154">
        <f t="shared" si="432"/>
        <v>406.10153387765456</v>
      </c>
      <c r="L3154" s="4">
        <f>MIN(MAX(L3153*(1+MAX(MIN(((B3154-B3153)/B3153)/($K$7*卓尔金历!$N$40),0),-卓尔金历!$M$43))+MIN(MAX(((B3154-B3153)/B3153)/($K$7*卓尔金历!$N$40),0),卓尔金历!$M$43),0),1)</f>
        <v>1</v>
      </c>
      <c r="M3154" s="4">
        <f>MIN(MAX(M3153*(1+MAX(MIN(((B3154-B3153)/B3153)/($K$7*30),0),-卓尔金历!$M$43))+MIN(MAX(((B3154-B3153)/B3153)/($K$7*7),0),卓尔金历!$M$43),0),1)</f>
        <v>1</v>
      </c>
      <c r="N3154">
        <f t="shared" si="433"/>
        <v>256467.60377190498</v>
      </c>
      <c r="O3154">
        <f t="shared" si="434"/>
        <v>719640.15065843216</v>
      </c>
      <c r="P3154">
        <f t="shared" si="435"/>
        <v>4.8416217509415155E-3</v>
      </c>
      <c r="Q3154">
        <f t="shared" si="436"/>
        <v>1.1833349861794951E-2</v>
      </c>
      <c r="R3154">
        <f t="shared" si="437"/>
        <v>0.91611782170929867</v>
      </c>
      <c r="S3154">
        <f t="shared" si="429"/>
        <v>1164.3054857570014</v>
      </c>
      <c r="T3154" s="564">
        <f>IF((I3154-MAX(I$470:I3154))/MAX(I$470:I3154)&gt;T3153,T3153,(I3154-MAX(I$470:I3154))/MAX(I$470:I3154))</f>
        <v>-0.91338805338419748</v>
      </c>
      <c r="U3154" s="564">
        <f>IF((J3154-MAX(J$470:J3154))/MAX(J$470:J3154)&gt;U3153,U3153,(J3154-MAX(J$470:J3154))/MAX(J$470:J3154))</f>
        <v>-0.83569785939843477</v>
      </c>
      <c r="V3154" s="564">
        <f>IF((K3154-MAX(K$470:K3154))/MAX(K$470:K3154)&gt;V3153,V3153,(K3154-MAX(K$470:K3154))/MAX(K$470:K3154))</f>
        <v>-0.84885940676762139</v>
      </c>
      <c r="W3154" s="564">
        <f>IF((N3154-MAX(N$470:N3154))/MAX(N$470:N3154)&gt;W3153,W3153,(N3154-MAX(N$470:N3154))/MAX(N$470:N3154))</f>
        <v>-0.62788758315546067</v>
      </c>
      <c r="X3154" s="564">
        <f>IF((O3154-MAX(O$470:O3154))/MAX(O$470:O3154)&gt;X3153,X3153,(O3154-MAX(O$470:O3154))/MAX(O$470:O3154))</f>
        <v>-0.62788758315546067</v>
      </c>
    </row>
    <row r="3155" spans="1:24">
      <c r="A3155" s="799">
        <v>43557</v>
      </c>
      <c r="B3155">
        <v>4761.4147454900003</v>
      </c>
      <c r="C3155">
        <v>6379.2260390000001</v>
      </c>
      <c r="D3155">
        <v>1.1289199999999999</v>
      </c>
      <c r="E3155">
        <f>LN(D3155/参数实验室!$E$53)/参数实验室!$E$55</f>
        <v>-0.54990973619434302</v>
      </c>
      <c r="F3155">
        <f t="shared" si="438"/>
        <v>1.3397753356903821</v>
      </c>
      <c r="G3155">
        <f>LN(F3155/参数实验室!$E$58)/参数实验室!$E$59</f>
        <v>-3.7009198848951173E-2</v>
      </c>
      <c r="H3155" s="856">
        <f>INDEX(神经网络!$G$10:$BO$70,MATCH(ROUND(G3155*2,1)/2,神经网络!$E$10:$E$70,0),MATCH(ROUND(E3155*2,1)/2,神经网络!$G$8:$BO$8,0))</f>
        <v>-0.33449656962510349</v>
      </c>
      <c r="I3155">
        <f t="shared" si="430"/>
        <v>647608.56908974727</v>
      </c>
      <c r="J3155">
        <f t="shared" si="431"/>
        <v>1899.9300688280571</v>
      </c>
      <c r="K3155">
        <f t="shared" si="432"/>
        <v>340.85916093175723</v>
      </c>
      <c r="L3155" s="4">
        <f>MIN(MAX(L3154*(1+MAX(MIN(((B3155-B3154)/B3154)/($K$7*卓尔金历!$N$40),0),-卓尔金历!$M$43))+MIN(MAX(((B3155-B3154)/B3154)/($K$7*卓尔金历!$N$40),0),卓尔金历!$M$43),0),1)</f>
        <v>1</v>
      </c>
      <c r="M3155" s="4">
        <f>MIN(MAX(M3154*(1+MAX(MIN(((B3155-B3154)/B3154)/($K$7*30),0),-卓尔金历!$M$43))+MIN(MAX(((B3155-B3154)/B3154)/($K$7*7),0),卓尔金历!$M$43),0),1)</f>
        <v>1</v>
      </c>
      <c r="N3155">
        <f t="shared" si="433"/>
        <v>248148.92035096596</v>
      </c>
      <c r="O3155">
        <f t="shared" si="434"/>
        <v>696298.18269725237</v>
      </c>
      <c r="P3155">
        <f t="shared" si="435"/>
        <v>0.15276169030817477</v>
      </c>
      <c r="Q3155">
        <f t="shared" si="436"/>
        <v>3.4081860771061394E-2</v>
      </c>
      <c r="R3155">
        <f t="shared" si="437"/>
        <v>0</v>
      </c>
      <c r="S3155">
        <f t="shared" si="429"/>
        <v>1129.708333066565</v>
      </c>
      <c r="T3155" s="564">
        <f>IF((I3155-MAX(I$470:I3155))/MAX(I$470:I3155)&gt;T3154,T3154,(I3155-MAX(I$470:I3155))/MAX(I$470:I3155))</f>
        <v>-0.91338805338419748</v>
      </c>
      <c r="U3155" s="564">
        <f>IF((J3155-MAX(J$470:J3155))/MAX(J$470:J3155)&gt;U3154,U3154,(J3155-MAX(J$470:J3155))/MAX(J$470:J3155))</f>
        <v>-0.83569785939843477</v>
      </c>
      <c r="V3155" s="564">
        <f>IF((K3155-MAX(K$470:K3155))/MAX(K$470:K3155)&gt;V3154,V3154,(K3155-MAX(K$470:K3155))/MAX(K$470:K3155))</f>
        <v>-0.84885940676762139</v>
      </c>
      <c r="W3155" s="564">
        <f>IF((N3155-MAX(N$470:N3155))/MAX(N$470:N3155)&gt;W3154,W3154,(N3155-MAX(N$470:N3155))/MAX(N$470:N3155))</f>
        <v>-0.62788758315546067</v>
      </c>
      <c r="X3155" s="564">
        <f>IF((O3155-MAX(O$470:O3155))/MAX(O$470:O3155)&gt;X3154,X3154,(O3155-MAX(O$470:O3155))/MAX(O$470:O3155))</f>
        <v>-0.62788758315546067</v>
      </c>
    </row>
    <row r="3156" spans="1:24">
      <c r="A3156" s="799">
        <v>43558</v>
      </c>
      <c r="B3156">
        <v>4958.7761811199998</v>
      </c>
      <c r="C3156">
        <v>6359.579393</v>
      </c>
      <c r="D3156">
        <v>1.14052</v>
      </c>
      <c r="E3156">
        <f>LN(D3156/参数实验室!$E$53)/参数实验室!$E$55</f>
        <v>-0.53784926593489812</v>
      </c>
      <c r="F3156">
        <f t="shared" si="438"/>
        <v>1.2824897032484357</v>
      </c>
      <c r="G3156">
        <f>LN(F3156/参数实验室!$E$58)/参数实验室!$E$59</f>
        <v>-5.9944622790340053E-2</v>
      </c>
      <c r="H3156" s="856">
        <f>INDEX(神经网络!$G$10:$BO$70,MATCH(ROUND(G3156*2,1)/2,神经网络!$E$10:$E$70,0),MATCH(ROUND(E3156*2,1)/2,神经网络!$G$8:$BO$8,0))</f>
        <v>-0.33449656962510349</v>
      </c>
      <c r="I3156">
        <f t="shared" si="430"/>
        <v>638629.51602899609</v>
      </c>
      <c r="J3156">
        <f t="shared" si="431"/>
        <v>1978.6824871792799</v>
      </c>
      <c r="K3156">
        <f t="shared" si="432"/>
        <v>322.75492413105519</v>
      </c>
      <c r="L3156" s="4">
        <f>MIN(MAX(L3155*(1+MAX(MIN(((B3156-B3155)/B3155)/($K$7*卓尔金历!$N$40),0),-卓尔金历!$M$43))+MIN(MAX(((B3156-B3155)/B3155)/($K$7*卓尔金历!$N$40),0),卓尔金历!$M$43),0),1)</f>
        <v>1</v>
      </c>
      <c r="M3156" s="4">
        <f>MIN(MAX(M3155*(1+MAX(MIN(((B3156-B3155)/B3155)/($K$7*30),0),-卓尔金历!$M$43))+MIN(MAX(((B3156-B3155)/B3155)/($K$7*7),0),卓尔金历!$M$43),0),1)</f>
        <v>1</v>
      </c>
      <c r="N3156">
        <f t="shared" si="433"/>
        <v>244708.35080147526</v>
      </c>
      <c r="O3156">
        <f t="shared" si="434"/>
        <v>686644.0511323614</v>
      </c>
      <c r="P3156">
        <f t="shared" si="435"/>
        <v>4.1450166847351359E-2</v>
      </c>
      <c r="Q3156">
        <f t="shared" si="436"/>
        <v>3.4468372095573456E-2</v>
      </c>
      <c r="R3156">
        <f t="shared" si="437"/>
        <v>2.7795469931555791E-2</v>
      </c>
      <c r="S3156">
        <f t="shared" si="429"/>
        <v>1129.708333066565</v>
      </c>
      <c r="T3156" s="564">
        <f>IF((I3156-MAX(I$470:I3156))/MAX(I$470:I3156)&gt;T3155,T3155,(I3156-MAX(I$470:I3156))/MAX(I$470:I3156))</f>
        <v>-0.91338805338419748</v>
      </c>
      <c r="U3156" s="564">
        <f>IF((J3156-MAX(J$470:J3156))/MAX(J$470:J3156)&gt;U3155,U3155,(J3156-MAX(J$470:J3156))/MAX(J$470:J3156))</f>
        <v>-0.83569785939843477</v>
      </c>
      <c r="V3156" s="564">
        <f>IF((K3156-MAX(K$470:K3156))/MAX(K$470:K3156)&gt;V3155,V3155,(K3156-MAX(K$470:K3156))/MAX(K$470:K3156))</f>
        <v>-0.84885940676762139</v>
      </c>
      <c r="W3156" s="564">
        <f>IF((N3156-MAX(N$470:N3156))/MAX(N$470:N3156)&gt;W3155,W3155,(N3156-MAX(N$470:N3156))/MAX(N$470:N3156))</f>
        <v>-0.62788758315546067</v>
      </c>
      <c r="X3156" s="564">
        <f>IF((O3156-MAX(O$470:O3156))/MAX(O$470:O3156)&gt;X3155,X3155,(O3156-MAX(O$470:O3156))/MAX(O$470:O3156))</f>
        <v>-0.62788758315546067</v>
      </c>
    </row>
    <row r="3157" spans="1:24">
      <c r="A3157" s="799">
        <v>43559</v>
      </c>
      <c r="B3157">
        <v>4972.1930272600002</v>
      </c>
      <c r="C3157">
        <v>6400.7135950000002</v>
      </c>
      <c r="D3157">
        <v>1.1283879999999999</v>
      </c>
      <c r="E3157">
        <f>LN(D3157/参数实验室!$E$53)/参数实验室!$E$55</f>
        <v>-0.55046582223790796</v>
      </c>
      <c r="F3157">
        <f t="shared" si="438"/>
        <v>1.2873019128396965</v>
      </c>
      <c r="G3157">
        <f>LN(F3157/参数实验室!$E$58)/参数实验室!$E$59</f>
        <v>-5.7978929855094521E-2</v>
      </c>
      <c r="H3157" s="856">
        <f>INDEX(神经网络!$G$10:$BO$70,MATCH(ROUND(G3157*2,1)/2,神经网络!$E$10:$E$70,0),MATCH(ROUND(E3157*2,1)/2,神经网络!$G$8:$BO$8,0))</f>
        <v>-0.33449656962510349</v>
      </c>
      <c r="I3157">
        <f t="shared" si="430"/>
        <v>638051.53100181674</v>
      </c>
      <c r="J3157">
        <f t="shared" si="431"/>
        <v>1984.0361626670897</v>
      </c>
      <c r="K3157">
        <f t="shared" si="432"/>
        <v>321.59269221388593</v>
      </c>
      <c r="L3157" s="4">
        <f>MIN(MAX(L3156*(1+MAX(MIN(((B3157-B3156)/B3156)/($K$7*卓尔金历!$N$40),0),-卓尔金历!$M$43))+MIN(MAX(((B3157-B3156)/B3156)/($K$7*卓尔金历!$N$40),0),卓尔金历!$M$43),0),1)</f>
        <v>1</v>
      </c>
      <c r="M3157" s="4">
        <f>MIN(MAX(M3156*(1+MAX(MIN(((B3157-B3156)/B3156)/($K$7*30),0),-卓尔金历!$M$43))+MIN(MAX(((B3157-B3156)/B3156)/($K$7*7),0),卓尔金历!$M$43),0),1)</f>
        <v>1</v>
      </c>
      <c r="N3157">
        <f t="shared" si="433"/>
        <v>244486.88004379955</v>
      </c>
      <c r="O3157">
        <f t="shared" si="434"/>
        <v>686022.61104762496</v>
      </c>
      <c r="P3157">
        <f t="shared" si="435"/>
        <v>2.7056768948523218E-3</v>
      </c>
      <c r="Q3157">
        <f t="shared" si="436"/>
        <v>3.451132489459996E-2</v>
      </c>
      <c r="R3157">
        <f t="shared" si="437"/>
        <v>1</v>
      </c>
      <c r="S3157">
        <f t="shared" si="429"/>
        <v>1129.6799141213705</v>
      </c>
      <c r="T3157" s="564">
        <f>IF((I3157-MAX(I$470:I3157))/MAX(I$470:I3157)&gt;T3156,T3156,(I3157-MAX(I$470:I3157))/MAX(I$470:I3157))</f>
        <v>-0.91338805338419748</v>
      </c>
      <c r="U3157" s="564">
        <f>IF((J3157-MAX(J$470:J3157))/MAX(J$470:J3157)&gt;U3156,U3156,(J3157-MAX(J$470:J3157))/MAX(J$470:J3157))</f>
        <v>-0.83569785939843477</v>
      </c>
      <c r="V3157" s="564">
        <f>IF((K3157-MAX(K$470:K3157))/MAX(K$470:K3157)&gt;V3156,V3156,(K3157-MAX(K$470:K3157))/MAX(K$470:K3157))</f>
        <v>-0.84885940676762139</v>
      </c>
      <c r="W3157" s="564">
        <f>IF((N3157-MAX(N$470:N3157))/MAX(N$470:N3157)&gt;W3156,W3156,(N3157-MAX(N$470:N3157))/MAX(N$470:N3157))</f>
        <v>-0.62788758315546067</v>
      </c>
      <c r="X3157" s="564">
        <f>IF((O3157-MAX(O$470:O3157))/MAX(O$470:O3157)&gt;X3156,X3156,(O3157-MAX(O$470:O3157))/MAX(O$470:O3157))</f>
        <v>-0.62788758315546067</v>
      </c>
    </row>
    <row r="3158" spans="1:24">
      <c r="A3158" s="799">
        <v>43560</v>
      </c>
      <c r="B3158">
        <v>4975.5920978300001</v>
      </c>
      <c r="C3158">
        <v>6273.7611900000002</v>
      </c>
      <c r="D3158">
        <v>1.156145</v>
      </c>
      <c r="E3158">
        <f>LN(D3158/参数实验室!$E$53)/参数实验室!$E$55</f>
        <v>-0.52179648605772044</v>
      </c>
      <c r="F3158">
        <f t="shared" si="438"/>
        <v>1.2609074591818268</v>
      </c>
      <c r="G3158">
        <f>LN(F3158/参数实验室!$E$58)/参数实验室!$E$59</f>
        <v>-6.8852236683385026E-2</v>
      </c>
      <c r="H3158" s="856">
        <f>INDEX(神经网络!$G$10:$BO$70,MATCH(ROUND(G3158*2,1)/2,神经网络!$E$10:$E$70,0),MATCH(ROUND(E3158*2,1)/2,神经网络!$G$8:$BO$8,0))</f>
        <v>-0.29867672432117554</v>
      </c>
      <c r="I3158">
        <f t="shared" si="430"/>
        <v>637905.62954628421</v>
      </c>
      <c r="J3158">
        <f t="shared" si="431"/>
        <v>1985.3924814771931</v>
      </c>
      <c r="K3158">
        <f t="shared" si="432"/>
        <v>321.29950903796248</v>
      </c>
      <c r="L3158" s="4">
        <f>MIN(MAX(L3157*(1+MAX(MIN(((B3158-B3157)/B3157)/($K$7*卓尔金历!$N$40),0),-卓尔金历!$M$43))+MIN(MAX(((B3158-B3157)/B3157)/($K$7*卓尔金历!$N$40),0),卓尔金历!$M$43),0),1)</f>
        <v>1</v>
      </c>
      <c r="M3158" s="4">
        <f>MIN(MAX(M3157*(1+MAX(MIN(((B3158-B3157)/B3157)/($K$7*30),0),-卓尔金历!$M$43))+MIN(MAX(((B3158-B3157)/B3157)/($K$7*7),0),卓尔金历!$M$43),0),1)</f>
        <v>1</v>
      </c>
      <c r="N3158">
        <f t="shared" si="433"/>
        <v>244430.97391408464</v>
      </c>
      <c r="O3158">
        <f t="shared" si="434"/>
        <v>685865.74017965153</v>
      </c>
      <c r="P3158">
        <f t="shared" si="435"/>
        <v>6.8361597214035134E-4</v>
      </c>
      <c r="Q3158">
        <f t="shared" si="436"/>
        <v>3.4539291325956623E-2</v>
      </c>
      <c r="R3158">
        <f t="shared" si="437"/>
        <v>1</v>
      </c>
      <c r="S3158">
        <f t="shared" si="429"/>
        <v>1129.4215933811988</v>
      </c>
      <c r="T3158" s="564">
        <f>IF((I3158-MAX(I$470:I3158))/MAX(I$470:I3158)&gt;T3157,T3157,(I3158-MAX(I$470:I3158))/MAX(I$470:I3158))</f>
        <v>-0.91338805338419748</v>
      </c>
      <c r="U3158" s="564">
        <f>IF((J3158-MAX(J$470:J3158))/MAX(J$470:J3158)&gt;U3157,U3157,(J3158-MAX(J$470:J3158))/MAX(J$470:J3158))</f>
        <v>-0.83569785939843477</v>
      </c>
      <c r="V3158" s="564">
        <f>IF((K3158-MAX(K$470:K3158))/MAX(K$470:K3158)&gt;V3157,V3157,(K3158-MAX(K$470:K3158))/MAX(K$470:K3158))</f>
        <v>-0.84885940676762139</v>
      </c>
      <c r="W3158" s="564">
        <f>IF((N3158-MAX(N$470:N3158))/MAX(N$470:N3158)&gt;W3157,W3157,(N3158-MAX(N$470:N3158))/MAX(N$470:N3158))</f>
        <v>-0.62788758315546067</v>
      </c>
      <c r="X3158" s="564">
        <f>IF((O3158-MAX(O$470:O3158))/MAX(O$470:O3158)&gt;X3157,X3157,(O3158-MAX(O$470:O3158))/MAX(O$470:O3158))</f>
        <v>-0.62788758315546067</v>
      </c>
    </row>
    <row r="3159" spans="1:24">
      <c r="A3159" s="799">
        <v>43561</v>
      </c>
      <c r="B3159">
        <v>5002.5501167599996</v>
      </c>
      <c r="C3159">
        <v>6288.4978270000001</v>
      </c>
      <c r="D3159">
        <v>1.158417</v>
      </c>
      <c r="E3159">
        <f>LN(D3159/参数实验室!$E$53)/参数实验室!$E$55</f>
        <v>-0.519480367300725</v>
      </c>
      <c r="F3159">
        <f t="shared" si="438"/>
        <v>1.2570584362426878</v>
      </c>
      <c r="G3159">
        <f>LN(F3159/参数实验室!$E$58)/参数实验室!$E$59</f>
        <v>-7.0456846840101311E-2</v>
      </c>
      <c r="H3159" s="856">
        <f>INDEX(神经网络!$G$10:$BO$70,MATCH(ROUND(G3159*2,1)/2,神经网络!$E$10:$E$70,0),MATCH(ROUND(E3159*2,1)/2,神经网络!$G$8:$BO$8,0))</f>
        <v>-0.29867672432117554</v>
      </c>
      <c r="I3159">
        <f t="shared" si="430"/>
        <v>636873.34121311561</v>
      </c>
      <c r="J3159">
        <f t="shared" si="431"/>
        <v>1996.1494420653578</v>
      </c>
      <c r="K3159">
        <f t="shared" si="432"/>
        <v>319.05093265670592</v>
      </c>
      <c r="L3159" s="4">
        <f>MIN(MAX(L3158*(1+MAX(MIN(((B3159-B3158)/B3158)/($K$7*卓尔金历!$N$40),0),-卓尔金历!$M$43))+MIN(MAX(((B3159-B3158)/B3158)/($K$7*卓尔金历!$N$40),0),卓尔金历!$M$43),0),1)</f>
        <v>1</v>
      </c>
      <c r="M3159" s="4">
        <f>MIN(MAX(M3158*(1+MAX(MIN(((B3159-B3158)/B3158)/($K$7*30),0),-卓尔金历!$M$43))+MIN(MAX(((B3159-B3158)/B3158)/($K$7*7),0),卓尔金历!$M$43),0),1)</f>
        <v>1</v>
      </c>
      <c r="N3159">
        <f t="shared" si="433"/>
        <v>244035.42443003948</v>
      </c>
      <c r="O3159">
        <f t="shared" si="434"/>
        <v>684755.84058178926</v>
      </c>
      <c r="P3159">
        <f t="shared" si="435"/>
        <v>5.4180524448048505E-3</v>
      </c>
      <c r="Q3159">
        <f t="shared" si="436"/>
        <v>3.4149342665779542E-2</v>
      </c>
      <c r="R3159">
        <f t="shared" si="437"/>
        <v>1</v>
      </c>
      <c r="S3159">
        <f t="shared" ref="S3159:S3222" si="439">S3158*(1+(B3159-B3158)/B3158*H3158*R3158)</f>
        <v>1127.5939112287379</v>
      </c>
      <c r="T3159" s="564">
        <f>IF((I3159-MAX(I$470:I3159))/MAX(I$470:I3159)&gt;T3158,T3158,(I3159-MAX(I$470:I3159))/MAX(I$470:I3159))</f>
        <v>-0.91338805338419748</v>
      </c>
      <c r="U3159" s="564">
        <f>IF((J3159-MAX(J$470:J3159))/MAX(J$470:J3159)&gt;U3158,U3158,(J3159-MAX(J$470:J3159))/MAX(J$470:J3159))</f>
        <v>-0.83569785939843477</v>
      </c>
      <c r="V3159" s="564">
        <f>IF((K3159-MAX(K$470:K3159))/MAX(K$470:K3159)&gt;V3158,V3158,(K3159-MAX(K$470:K3159))/MAX(K$470:K3159))</f>
        <v>-0.84885940676762139</v>
      </c>
      <c r="W3159" s="564">
        <f>IF((N3159-MAX(N$470:N3159))/MAX(N$470:N3159)&gt;W3158,W3158,(N3159-MAX(N$470:N3159))/MAX(N$470:N3159))</f>
        <v>-0.62788758315546067</v>
      </c>
      <c r="X3159" s="564">
        <f>IF((O3159-MAX(O$470:O3159))/MAX(O$470:O3159)&gt;X3158,X3158,(O3159-MAX(O$470:O3159))/MAX(O$470:O3159))</f>
        <v>-0.62788758315546067</v>
      </c>
    </row>
    <row r="3160" spans="1:24">
      <c r="A3160" s="799">
        <v>43562</v>
      </c>
      <c r="B3160">
        <v>5145.9638347199998</v>
      </c>
      <c r="C3160">
        <v>6311.8644420000001</v>
      </c>
      <c r="D3160">
        <v>1.1912119999999999</v>
      </c>
      <c r="E3160">
        <f>LN(D3160/参数实验室!$E$53)/参数实验室!$E$55</f>
        <v>-0.48654536321168645</v>
      </c>
      <c r="F3160">
        <f t="shared" si="438"/>
        <v>1.2265660320839467</v>
      </c>
      <c r="G3160">
        <f>LN(F3160/参数实验室!$E$58)/参数实验室!$E$59</f>
        <v>-8.3345160675015142E-2</v>
      </c>
      <c r="H3160" s="856">
        <f>INDEX(神经网络!$G$10:$BO$70,MATCH(ROUND(G3160*2,1)/2,神经网络!$E$10:$E$70,0),MATCH(ROUND(E3160*2,1)/2,神经网络!$G$8:$BO$8,0))</f>
        <v>-0.38035935351566896</v>
      </c>
      <c r="I3160">
        <f t="shared" ref="I3160:I3223" si="440">I3159*(1+(B3160-B3159)/B3159*H3159)</f>
        <v>631420.11270341114</v>
      </c>
      <c r="J3160">
        <f t="shared" ref="J3160:J3223" si="441">J3159*B3160/B3159</f>
        <v>2053.3752981604857</v>
      </c>
      <c r="K3160">
        <f t="shared" ref="K3160:K3223" si="442">I3160/J3160</f>
        <v>307.50351057065325</v>
      </c>
      <c r="L3160" s="4">
        <f>MIN(MAX(L3159*(1+MAX(MIN(((B3160-B3159)/B3159)/($K$7*卓尔金历!$N$40),0),-卓尔金历!$M$43))+MIN(MAX(((B3160-B3159)/B3159)/($K$7*卓尔金历!$N$40),0),卓尔金历!$M$43),0),1)</f>
        <v>1</v>
      </c>
      <c r="M3160" s="4">
        <f>MIN(MAX(M3159*(1+MAX(MIN(((B3160-B3159)/B3159)/($K$7*30),0),-卓尔金历!$M$43))+MIN(MAX(((B3160-B3159)/B3159)/($K$7*7),0),卓尔金历!$M$43),0),1)</f>
        <v>1</v>
      </c>
      <c r="N3160">
        <f t="shared" ref="N3160:N3223" si="443">N3159*(1+(B3160-B3159)/B3159*H3159*L3159)</f>
        <v>241945.87090697183</v>
      </c>
      <c r="O3160">
        <f t="shared" ref="O3160:O3223" si="444">O3159*(1+(B3160-B3159)/B3159*H3159*M3159)</f>
        <v>678892.6181317264</v>
      </c>
      <c r="P3160">
        <f t="shared" ref="P3160:P3223" si="445">(B3160-B3159)/B3159</f>
        <v>2.8668122180230137E-2</v>
      </c>
      <c r="Q3160">
        <f t="shared" si="436"/>
        <v>3.4034336457520187E-2</v>
      </c>
      <c r="R3160">
        <f t="shared" si="437"/>
        <v>0.21159295874288511</v>
      </c>
      <c r="S3160">
        <f t="shared" si="439"/>
        <v>1117.9388874333169</v>
      </c>
      <c r="T3160" s="564">
        <f>IF((I3160-MAX(I$470:I3160))/MAX(I$470:I3160)&gt;T3159,T3159,(I3160-MAX(I$470:I3160))/MAX(I$470:I3160))</f>
        <v>-0.91338805338419748</v>
      </c>
      <c r="U3160" s="564">
        <f>IF((J3160-MAX(J$470:J3160))/MAX(J$470:J3160)&gt;U3159,U3159,(J3160-MAX(J$470:J3160))/MAX(J$470:J3160))</f>
        <v>-0.83569785939843477</v>
      </c>
      <c r="V3160" s="564">
        <f>IF((K3160-MAX(K$470:K3160))/MAX(K$470:K3160)&gt;V3159,V3159,(K3160-MAX(K$470:K3160))/MAX(K$470:K3160))</f>
        <v>-0.84885940676762139</v>
      </c>
      <c r="W3160" s="564">
        <f>IF((N3160-MAX(N$470:N3160))/MAX(N$470:N3160)&gt;W3159,W3159,(N3160-MAX(N$470:N3160))/MAX(N$470:N3160))</f>
        <v>-0.62788758315546067</v>
      </c>
      <c r="X3160" s="564">
        <f>IF((O3160-MAX(O$470:O3160))/MAX(O$470:O3160)&gt;X3159,X3159,(O3160-MAX(O$470:O3160))/MAX(O$470:O3160))</f>
        <v>-0.62788758315546067</v>
      </c>
    </row>
    <row r="3161" spans="1:24">
      <c r="A3161" s="799">
        <v>43563</v>
      </c>
      <c r="B3161">
        <v>5212.6069269600002</v>
      </c>
      <c r="C3161">
        <v>6271.318534</v>
      </c>
      <c r="D3161">
        <v>1.211792</v>
      </c>
      <c r="E3161">
        <f>LN(D3161/参数实验室!$E$53)/参数实验室!$E$55</f>
        <v>-0.46633739402695912</v>
      </c>
      <c r="F3161">
        <f t="shared" si="438"/>
        <v>1.2031059740116337</v>
      </c>
      <c r="G3161">
        <f>LN(F3161/参数实验室!$E$58)/参数实验室!$E$59</f>
        <v>-9.3481087645673089E-2</v>
      </c>
      <c r="H3161" s="856">
        <f>INDEX(神经网络!$G$10:$BO$70,MATCH(ROUND(G3161*2,1)/2,神经网络!$E$10:$E$70,0),MATCH(ROUND(E3161*2,1)/2,神经网络!$G$8:$BO$8,0))</f>
        <v>-0.34771742471376055</v>
      </c>
      <c r="I3161">
        <f t="shared" si="440"/>
        <v>628309.82242872415</v>
      </c>
      <c r="J3161">
        <f t="shared" si="441"/>
        <v>2079.9676497186838</v>
      </c>
      <c r="K3161">
        <f t="shared" si="442"/>
        <v>302.07672821916401</v>
      </c>
      <c r="L3161" s="4">
        <f>MIN(MAX(L3160*(1+MAX(MIN(((B3161-B3160)/B3160)/($K$7*卓尔金历!$N$40),0),-卓尔金历!$M$43))+MIN(MAX(((B3161-B3160)/B3160)/($K$7*卓尔金历!$N$40),0),卓尔金历!$M$43),0),1)</f>
        <v>1</v>
      </c>
      <c r="M3161" s="4">
        <f>MIN(MAX(M3160*(1+MAX(MIN(((B3161-B3160)/B3160)/($K$7*30),0),-卓尔金历!$M$43))+MIN(MAX(((B3161-B3160)/B3160)/($K$7*7),0),卓尔金历!$M$43),0),1)</f>
        <v>1</v>
      </c>
      <c r="N3161">
        <f t="shared" si="443"/>
        <v>240754.07819378009</v>
      </c>
      <c r="O3161">
        <f t="shared" si="444"/>
        <v>675548.48470098828</v>
      </c>
      <c r="P3161">
        <f t="shared" si="445"/>
        <v>1.2950555888161736E-2</v>
      </c>
      <c r="Q3161">
        <f t="shared" si="436"/>
        <v>3.3878903784859159E-2</v>
      </c>
      <c r="R3161">
        <f t="shared" si="437"/>
        <v>1</v>
      </c>
      <c r="S3161">
        <f t="shared" si="439"/>
        <v>1116.7736839191932</v>
      </c>
      <c r="T3161" s="564">
        <f>IF((I3161-MAX(I$470:I3161))/MAX(I$470:I3161)&gt;T3160,T3160,(I3161-MAX(I$470:I3161))/MAX(I$470:I3161))</f>
        <v>-0.91338805338419748</v>
      </c>
      <c r="U3161" s="564">
        <f>IF((J3161-MAX(J$470:J3161))/MAX(J$470:J3161)&gt;U3160,U3160,(J3161-MAX(J$470:J3161))/MAX(J$470:J3161))</f>
        <v>-0.83569785939843477</v>
      </c>
      <c r="V3161" s="564">
        <f>IF((K3161-MAX(K$470:K3161))/MAX(K$470:K3161)&gt;V3160,V3160,(K3161-MAX(K$470:K3161))/MAX(K$470:K3161))</f>
        <v>-0.84885940676762139</v>
      </c>
      <c r="W3161" s="564">
        <f>IF((N3161-MAX(N$470:N3161))/MAX(N$470:N3161)&gt;W3160,W3160,(N3161-MAX(N$470:N3161))/MAX(N$470:N3161))</f>
        <v>-0.62788758315546067</v>
      </c>
      <c r="X3161" s="564">
        <f>IF((O3161-MAX(O$470:O3161))/MAX(O$470:O3161)&gt;X3160,X3160,(O3161-MAX(O$470:O3161))/MAX(O$470:O3161))</f>
        <v>-0.62788758315546067</v>
      </c>
    </row>
    <row r="3162" spans="1:24">
      <c r="A3162" s="799">
        <v>43564</v>
      </c>
      <c r="B3162">
        <v>5192.9339355499997</v>
      </c>
      <c r="C3162">
        <v>6290.2045429999998</v>
      </c>
      <c r="D3162">
        <v>1.190998</v>
      </c>
      <c r="E3162">
        <f>LN(D3162/参数实验室!$E$53)/参数实验室!$E$55</f>
        <v>-0.48675732369786456</v>
      </c>
      <c r="F3162">
        <f t="shared" si="438"/>
        <v>1.211300706126504</v>
      </c>
      <c r="G3162">
        <f>LN(F3162/参数实验室!$E$58)/参数实验室!$E$59</f>
        <v>-8.9918262183169964E-2</v>
      </c>
      <c r="H3162" s="856">
        <f>INDEX(神经网络!$G$10:$BO$70,MATCH(ROUND(G3162*2,1)/2,神经网络!$E$10:$E$70,0),MATCH(ROUND(E3162*2,1)/2,神经网络!$G$8:$BO$8,0))</f>
        <v>-0.38035935351566896</v>
      </c>
      <c r="I3162">
        <f t="shared" si="440"/>
        <v>629134.37002336967</v>
      </c>
      <c r="J3162">
        <f t="shared" si="441"/>
        <v>2072.1176072582871</v>
      </c>
      <c r="K3162">
        <f t="shared" si="442"/>
        <v>303.61904547290919</v>
      </c>
      <c r="L3162" s="4">
        <f>MIN(MAX(L3161*(1+MAX(MIN(((B3162-B3161)/B3161)/($K$7*卓尔金历!$N$40),0),-卓尔金历!$M$43))+MIN(MAX(((B3162-B3161)/B3161)/($K$7*卓尔金历!$N$40),0),卓尔金历!$M$43),0),1)</f>
        <v>0.94233510521720198</v>
      </c>
      <c r="M3162" s="4">
        <f>MIN(MAX(M3161*(1+MAX(MIN(((B3162-B3161)/B3161)/($K$7*30),0),-卓尔金历!$M$43))+MIN(MAX(((B3162-B3161)/B3161)/($K$7*7),0),卓尔金历!$M$43),0),1)</f>
        <v>0.97116755260860099</v>
      </c>
      <c r="N3162">
        <f t="shared" si="443"/>
        <v>241070.0261369595</v>
      </c>
      <c r="O3162">
        <f t="shared" si="444"/>
        <v>676435.02484128636</v>
      </c>
      <c r="P3162">
        <f t="shared" si="445"/>
        <v>-3.774117574116392E-3</v>
      </c>
      <c r="Q3162">
        <f t="shared" si="436"/>
        <v>3.4063356399504044E-2</v>
      </c>
      <c r="R3162">
        <f t="shared" si="437"/>
        <v>1</v>
      </c>
      <c r="S3162">
        <f t="shared" si="439"/>
        <v>1118.2392555559368</v>
      </c>
      <c r="T3162" s="564">
        <f>IF((I3162-MAX(I$470:I3162))/MAX(I$470:I3162)&gt;T3161,T3161,(I3162-MAX(I$470:I3162))/MAX(I$470:I3162))</f>
        <v>-0.91338805338419748</v>
      </c>
      <c r="U3162" s="564">
        <f>IF((J3162-MAX(J$470:J3162))/MAX(J$470:J3162)&gt;U3161,U3161,(J3162-MAX(J$470:J3162))/MAX(J$470:J3162))</f>
        <v>-0.83569785939843477</v>
      </c>
      <c r="V3162" s="564">
        <f>IF((K3162-MAX(K$470:K3162))/MAX(K$470:K3162)&gt;V3161,V3161,(K3162-MAX(K$470:K3162))/MAX(K$470:K3162))</f>
        <v>-0.84885940676762139</v>
      </c>
      <c r="W3162" s="564">
        <f>IF((N3162-MAX(N$470:N3162))/MAX(N$470:N3162)&gt;W3161,W3161,(N3162-MAX(N$470:N3162))/MAX(N$470:N3162))</f>
        <v>-0.62788758315546067</v>
      </c>
      <c r="X3162" s="564">
        <f>IF((O3162-MAX(O$470:O3162))/MAX(O$470:O3162)&gt;X3161,X3161,(O3162-MAX(O$470:O3162))/MAX(O$470:O3162))</f>
        <v>-0.62788758315546067</v>
      </c>
    </row>
    <row r="3163" spans="1:24">
      <c r="A3163" s="799">
        <v>43565</v>
      </c>
      <c r="B3163">
        <v>5248.011418</v>
      </c>
      <c r="C3163">
        <v>6266.7881260000004</v>
      </c>
      <c r="D3163">
        <v>1.216513</v>
      </c>
      <c r="E3163">
        <f>LN(D3163/参数实验室!$E$53)/参数实验室!$E$55</f>
        <v>-0.46175014318158797</v>
      </c>
      <c r="F3163">
        <f t="shared" si="438"/>
        <v>1.1941262369410492</v>
      </c>
      <c r="G3163">
        <f>LN(F3163/参数实验室!$E$58)/参数实验室!$E$59</f>
        <v>-9.7413183443346235E-2</v>
      </c>
      <c r="H3163" s="856">
        <f>INDEX(神经网络!$G$10:$BO$70,MATCH(ROUND(G3163*2,1)/2,神经网络!$E$10:$E$70,0),MATCH(ROUND(E3163*2,1)/2,神经网络!$G$8:$BO$8,0))</f>
        <v>-0.34771742471376055</v>
      </c>
      <c r="I3163">
        <f t="shared" si="440"/>
        <v>626596.32807703479</v>
      </c>
      <c r="J3163">
        <f t="shared" si="441"/>
        <v>2094.0949754598755</v>
      </c>
      <c r="K3163">
        <f t="shared" si="442"/>
        <v>299.22058713666058</v>
      </c>
      <c r="L3163" s="4">
        <f>MIN(MAX(L3162*(1+MAX(MIN(((B3163-B3162)/B3162)/($K$7*卓尔金历!$N$40),0),-卓尔金历!$M$43))+MIN(MAX(((B3163-B3162)/B3162)/($K$7*卓尔金历!$N$40),0),卓尔金历!$M$43),0),1)</f>
        <v>1</v>
      </c>
      <c r="M3163" s="4">
        <f>MIN(MAX(M3162*(1+MAX(MIN(((B3163-B3162)/B3162)/($K$7*30),0),-卓尔金历!$M$43))+MIN(MAX(((B3163-B3162)/B3162)/($K$7*7),0),卓尔金历!$M$43),0),1)</f>
        <v>1</v>
      </c>
      <c r="N3163">
        <f t="shared" si="443"/>
        <v>240153.5862794024</v>
      </c>
      <c r="O3163">
        <f t="shared" si="444"/>
        <v>673784.84324151208</v>
      </c>
      <c r="P3163">
        <f t="shared" si="445"/>
        <v>1.0606235922423103E-2</v>
      </c>
      <c r="Q3163">
        <f t="shared" si="436"/>
        <v>3.3853158237962346E-2</v>
      </c>
      <c r="R3163">
        <f t="shared" si="437"/>
        <v>1</v>
      </c>
      <c r="S3163">
        <f t="shared" si="439"/>
        <v>1113.7280759544569</v>
      </c>
      <c r="T3163" s="564">
        <f>IF((I3163-MAX(I$470:I3163))/MAX(I$470:I3163)&gt;T3162,T3162,(I3163-MAX(I$470:I3163))/MAX(I$470:I3163))</f>
        <v>-0.91338805338419748</v>
      </c>
      <c r="U3163" s="564">
        <f>IF((J3163-MAX(J$470:J3163))/MAX(J$470:J3163)&gt;U3162,U3162,(J3163-MAX(J$470:J3163))/MAX(J$470:J3163))</f>
        <v>-0.83569785939843477</v>
      </c>
      <c r="V3163" s="564">
        <f>IF((K3163-MAX(K$470:K3163))/MAX(K$470:K3163)&gt;V3162,V3162,(K3163-MAX(K$470:K3163))/MAX(K$470:K3163))</f>
        <v>-0.84885940676762139</v>
      </c>
      <c r="W3163" s="564">
        <f>IF((N3163-MAX(N$470:N3163))/MAX(N$470:N3163)&gt;W3162,W3162,(N3163-MAX(N$470:N3163))/MAX(N$470:N3163))</f>
        <v>-0.62788758315546067</v>
      </c>
      <c r="X3163" s="564">
        <f>IF((O3163-MAX(O$470:O3163))/MAX(O$470:O3163)&gt;X3162,X3162,(O3163-MAX(O$470:O3163))/MAX(O$470:O3163))</f>
        <v>-0.62788758315546067</v>
      </c>
    </row>
    <row r="3164" spans="1:24">
      <c r="A3164" s="799">
        <v>43566</v>
      </c>
      <c r="B3164">
        <v>5028.1287000000002</v>
      </c>
      <c r="C3164">
        <v>6209.9840029999996</v>
      </c>
      <c r="D3164">
        <v>1.156954</v>
      </c>
      <c r="E3164">
        <f>LN(D3164/参数实验室!$E$53)/参数实验室!$E$55</f>
        <v>-0.52097125513306974</v>
      </c>
      <c r="F3164">
        <f t="shared" si="438"/>
        <v>1.23504873751541</v>
      </c>
      <c r="G3164">
        <f>LN(F3164/参数实验室!$E$58)/参数实验室!$E$59</f>
        <v>-7.97278604214572E-2</v>
      </c>
      <c r="H3164" s="856">
        <f>INDEX(神经网络!$G$10:$BO$70,MATCH(ROUND(G3164*2,1)/2,神经网络!$E$10:$E$70,0),MATCH(ROUND(E3164*2,1)/2,神经网络!$G$8:$BO$8,0))</f>
        <v>-0.38035935351566896</v>
      </c>
      <c r="I3164">
        <f t="shared" si="440"/>
        <v>635725.0636113073</v>
      </c>
      <c r="J3164">
        <f t="shared" si="441"/>
        <v>2006.3559714297094</v>
      </c>
      <c r="K3164">
        <f t="shared" si="442"/>
        <v>316.85556933264235</v>
      </c>
      <c r="L3164" s="4">
        <f>MIN(MAX(L3163*(1+MAX(MIN(((B3164-B3163)/B3163)/($K$7*卓尔金历!$N$40),0),-卓尔金历!$M$43))+MIN(MAX(((B3164-B3163)/B3163)/($K$7*卓尔金历!$N$40),0),卓尔金历!$M$43),0),1)</f>
        <v>0.35983429573772652</v>
      </c>
      <c r="M3164" s="4">
        <f>MIN(MAX(M3163*(1+MAX(MIN(((B3164-B3163)/B3163)/($K$7*30),0),-卓尔金历!$M$43))+MIN(MAX(((B3164-B3163)/B3163)/($K$7*7),0),卓尔金历!$M$43),0),1)</f>
        <v>0.67991714786886326</v>
      </c>
      <c r="N3164">
        <f t="shared" si="443"/>
        <v>243652.32777934021</v>
      </c>
      <c r="O3164">
        <f t="shared" si="444"/>
        <v>683601.05723023636</v>
      </c>
      <c r="P3164">
        <f t="shared" si="445"/>
        <v>-4.1898292607716242E-2</v>
      </c>
      <c r="Q3164">
        <f t="shared" si="436"/>
        <v>3.5823562870405078E-2</v>
      </c>
      <c r="R3164">
        <f t="shared" si="437"/>
        <v>2.855042596274765E-2</v>
      </c>
      <c r="S3164">
        <f t="shared" si="439"/>
        <v>1129.9537201322385</v>
      </c>
      <c r="T3164" s="564">
        <f>IF((I3164-MAX(I$470:I3164))/MAX(I$470:I3164)&gt;T3163,T3163,(I3164-MAX(I$470:I3164))/MAX(I$470:I3164))</f>
        <v>-0.91338805338419748</v>
      </c>
      <c r="U3164" s="564">
        <f>IF((J3164-MAX(J$470:J3164))/MAX(J$470:J3164)&gt;U3163,U3163,(J3164-MAX(J$470:J3164))/MAX(J$470:J3164))</f>
        <v>-0.83569785939843477</v>
      </c>
      <c r="V3164" s="564">
        <f>IF((K3164-MAX(K$470:K3164))/MAX(K$470:K3164)&gt;V3163,V3163,(K3164-MAX(K$470:K3164))/MAX(K$470:K3164))</f>
        <v>-0.84885940676762139</v>
      </c>
      <c r="W3164" s="564">
        <f>IF((N3164-MAX(N$470:N3164))/MAX(N$470:N3164)&gt;W3163,W3163,(N3164-MAX(N$470:N3164))/MAX(N$470:N3164))</f>
        <v>-0.62788758315546067</v>
      </c>
      <c r="X3164" s="564">
        <f>IF((O3164-MAX(O$470:O3164))/MAX(O$470:O3164)&gt;X3163,X3163,(O3164-MAX(O$470:O3164))/MAX(O$470:O3164))</f>
        <v>-0.62788758315546067</v>
      </c>
    </row>
    <row r="3165" spans="1:24">
      <c r="A3165" s="799">
        <v>43567</v>
      </c>
      <c r="B3165">
        <v>5045.3879999999999</v>
      </c>
      <c r="C3165">
        <v>6145.524915</v>
      </c>
      <c r="D3165">
        <v>1.1636850000000001</v>
      </c>
      <c r="E3165">
        <f>LN(D3165/参数实验室!$E$53)/参数实验室!$E$55</f>
        <v>-0.51412750101713789</v>
      </c>
      <c r="F3165">
        <f t="shared" si="438"/>
        <v>1.218048030201047</v>
      </c>
      <c r="G3165">
        <f>LN(F3165/参数实验室!$E$58)/参数实验室!$E$59</f>
        <v>-8.7002773456756416E-2</v>
      </c>
      <c r="H3165" s="856">
        <f>INDEX(神经网络!$G$10:$BO$70,MATCH(ROUND(G3165*2,1)/2,神经网络!$E$10:$E$70,0),MATCH(ROUND(E3165*2,1)/2,神经网络!$G$8:$BO$8,0))</f>
        <v>-0.38035935351566896</v>
      </c>
      <c r="I3165">
        <f t="shared" si="440"/>
        <v>634895.05953204341</v>
      </c>
      <c r="J3165">
        <f t="shared" si="441"/>
        <v>2013.2428873548517</v>
      </c>
      <c r="K3165">
        <f t="shared" si="442"/>
        <v>315.359395291949</v>
      </c>
      <c r="L3165" s="4">
        <f>MIN(MAX(L3164*(1+MAX(MIN(((B3165-B3164)/B3164)/($K$7*卓尔金历!$N$40),0),-卓尔金历!$M$43))+MIN(MAX(((B3165-B3164)/B3164)/($K$7*卓尔金历!$N$40),0),卓尔金历!$M$43),0),1)</f>
        <v>0.41228035613566189</v>
      </c>
      <c r="M3165" s="4">
        <f>MIN(MAX(M3164*(1+MAX(MIN(((B3165-B3164)/B3164)/($K$7*30),0),-卓尔金历!$M$43))+MIN(MAX(((B3165-B3164)/B3164)/($K$7*7),0),卓尔金历!$M$43),0),1)</f>
        <v>0.79230156300729615</v>
      </c>
      <c r="N3165">
        <f t="shared" si="443"/>
        <v>243537.85980136856</v>
      </c>
      <c r="O3165">
        <f t="shared" si="444"/>
        <v>682994.22363909066</v>
      </c>
      <c r="P3165">
        <f t="shared" si="445"/>
        <v>3.4325493697087966E-3</v>
      </c>
      <c r="Q3165">
        <f t="shared" si="436"/>
        <v>3.5557521654284253E-2</v>
      </c>
      <c r="R3165">
        <f t="shared" si="437"/>
        <v>1</v>
      </c>
      <c r="S3165">
        <f t="shared" si="439"/>
        <v>1129.9116005416236</v>
      </c>
      <c r="T3165" s="564">
        <f>IF((I3165-MAX(I$470:I3165))/MAX(I$470:I3165)&gt;T3164,T3164,(I3165-MAX(I$470:I3165))/MAX(I$470:I3165))</f>
        <v>-0.91338805338419748</v>
      </c>
      <c r="U3165" s="564">
        <f>IF((J3165-MAX(J$470:J3165))/MAX(J$470:J3165)&gt;U3164,U3164,(J3165-MAX(J$470:J3165))/MAX(J$470:J3165))</f>
        <v>-0.83569785939843477</v>
      </c>
      <c r="V3165" s="564">
        <f>IF((K3165-MAX(K$470:K3165))/MAX(K$470:K3165)&gt;V3164,V3164,(K3165-MAX(K$470:K3165))/MAX(K$470:K3165))</f>
        <v>-0.84885940676762139</v>
      </c>
      <c r="W3165" s="564">
        <f>IF((N3165-MAX(N$470:N3165))/MAX(N$470:N3165)&gt;W3164,W3164,(N3165-MAX(N$470:N3165))/MAX(N$470:N3165))</f>
        <v>-0.62788758315546067</v>
      </c>
      <c r="X3165" s="564">
        <f>IF((O3165-MAX(O$470:O3165))/MAX(O$470:O3165)&gt;X3164,X3164,(O3165-MAX(O$470:O3165))/MAX(O$470:O3165))</f>
        <v>-0.62788758315546067</v>
      </c>
    </row>
    <row r="3166" spans="1:24">
      <c r="A3166" s="799">
        <v>43568</v>
      </c>
      <c r="B3166">
        <v>5069.7887000000001</v>
      </c>
      <c r="C3166">
        <v>6230.785586</v>
      </c>
      <c r="D3166">
        <v>1.1615660000000001</v>
      </c>
      <c r="E3166">
        <f>LN(D3166/参数实验室!$E$53)/参数实验室!$E$55</f>
        <v>-0.51627771862031668</v>
      </c>
      <c r="F3166">
        <f t="shared" si="438"/>
        <v>1.2290030126896609</v>
      </c>
      <c r="G3166">
        <f>LN(F3166/参数实验室!$E$58)/参数实验室!$E$59</f>
        <v>-8.2303398443596104E-2</v>
      </c>
      <c r="H3166" s="856">
        <f>INDEX(神经网络!$G$10:$BO$70,MATCH(ROUND(G3166*2,1)/2,神经网络!$E$10:$E$70,0),MATCH(ROUND(E3166*2,1)/2,神经网络!$G$8:$BO$8,0))</f>
        <v>-0.38035935351566896</v>
      </c>
      <c r="I3166">
        <f t="shared" si="440"/>
        <v>633727.16462742887</v>
      </c>
      <c r="J3166">
        <f t="shared" si="441"/>
        <v>2022.9794102390147</v>
      </c>
      <c r="K3166">
        <f t="shared" si="442"/>
        <v>313.26426824707727</v>
      </c>
      <c r="L3166" s="4">
        <f>MIN(MAX(L3165*(1+MAX(MIN(((B3166-B3165)/B3165)/($K$7*卓尔金历!$N$40),0),-卓尔金历!$M$43))+MIN(MAX(((B3166-B3165)/B3165)/($K$7*卓尔金历!$N$40),0),卓尔金历!$M$43),0),1)</f>
        <v>0.48617344035433524</v>
      </c>
      <c r="M3166" s="4">
        <f>MIN(MAX(M3165*(1+MAX(MIN(((B3166-B3165)/B3165)/($K$7*30),0),-卓尔金历!$M$43))+MIN(MAX(((B3166-B3165)/B3165)/($K$7*7),0),卓尔金历!$M$43),0),1)</f>
        <v>0.95064388633302477</v>
      </c>
      <c r="N3166">
        <f t="shared" si="443"/>
        <v>243353.16233253069</v>
      </c>
      <c r="O3166">
        <f t="shared" si="444"/>
        <v>681998.79676963144</v>
      </c>
      <c r="P3166">
        <f t="shared" si="445"/>
        <v>4.8362385608401457E-3</v>
      </c>
      <c r="Q3166">
        <f t="shared" si="436"/>
        <v>3.5461245640319737E-2</v>
      </c>
      <c r="R3166">
        <f t="shared" si="437"/>
        <v>1</v>
      </c>
      <c r="S3166">
        <f t="shared" si="439"/>
        <v>1127.833118466318</v>
      </c>
      <c r="T3166" s="564">
        <f>IF((I3166-MAX(I$470:I3166))/MAX(I$470:I3166)&gt;T3165,T3165,(I3166-MAX(I$470:I3166))/MAX(I$470:I3166))</f>
        <v>-0.91338805338419748</v>
      </c>
      <c r="U3166" s="564">
        <f>IF((J3166-MAX(J$470:J3166))/MAX(J$470:J3166)&gt;U3165,U3165,(J3166-MAX(J$470:J3166))/MAX(J$470:J3166))</f>
        <v>-0.83569785939843477</v>
      </c>
      <c r="V3166" s="564">
        <f>IF((K3166-MAX(K$470:K3166))/MAX(K$470:K3166)&gt;V3165,V3165,(K3166-MAX(K$470:K3166))/MAX(K$470:K3166))</f>
        <v>-0.84885940676762139</v>
      </c>
      <c r="W3166" s="564">
        <f>IF((N3166-MAX(N$470:N3166))/MAX(N$470:N3166)&gt;W3165,W3165,(N3166-MAX(N$470:N3166))/MAX(N$470:N3166))</f>
        <v>-0.62788758315546067</v>
      </c>
      <c r="X3166" s="564">
        <f>IF((O3166-MAX(O$470:O3166))/MAX(O$470:O3166)&gt;X3165,X3165,(O3166-MAX(O$470:O3166))/MAX(O$470:O3166))</f>
        <v>-0.62788758315546067</v>
      </c>
    </row>
    <row r="3167" spans="1:24">
      <c r="A3167" s="799">
        <v>43569</v>
      </c>
      <c r="B3167">
        <v>5066.5275000000001</v>
      </c>
      <c r="C3167">
        <v>6364.7977010000004</v>
      </c>
      <c r="D3167">
        <v>1.1813530000000001</v>
      </c>
      <c r="E3167">
        <f>LN(D3167/参数实验室!$E$53)/参数实验室!$E$55</f>
        <v>-0.49635015606684146</v>
      </c>
      <c r="F3167">
        <f t="shared" si="438"/>
        <v>1.2562445779678488</v>
      </c>
      <c r="G3167">
        <f>LN(F3167/参数实验室!$E$58)/参数实验室!$E$59</f>
        <v>-7.0796763530257642E-2</v>
      </c>
      <c r="H3167" s="856">
        <f>INDEX(神经网络!$G$10:$BO$70,MATCH(ROUND(G3167*2,1)/2,神经网络!$E$10:$E$70,0),MATCH(ROUND(E3167*2,1)/2,神经网络!$G$8:$BO$8,0))</f>
        <v>-0.29867672432117554</v>
      </c>
      <c r="I3167">
        <f t="shared" si="440"/>
        <v>633882.21899310721</v>
      </c>
      <c r="J3167">
        <f t="shared" si="441"/>
        <v>2021.6781054227665</v>
      </c>
      <c r="K3167">
        <f t="shared" si="442"/>
        <v>313.54260467719308</v>
      </c>
      <c r="L3167" s="4">
        <f>MIN(MAX(L3166*(1+MAX(MIN(((B3167-B3166)/B3166)/($K$7*卓尔金历!$N$40),0),-卓尔金历!$M$43))+MIN(MAX(((B3167-B3166)/B3166)/($K$7*卓尔金历!$N$40),0),卓尔金历!$M$43),0),1)</f>
        <v>0.48139512418370545</v>
      </c>
      <c r="M3167" s="4">
        <f>MIN(MAX(M3166*(1+MAX(MIN(((B3167-B3166)/B3166)/($K$7*30),0),-卓尔金历!$M$43))+MIN(MAX(((B3167-B3166)/B3166)/($K$7*7),0),卓尔金历!$M$43),0),1)</f>
        <v>0.94597222322112717</v>
      </c>
      <c r="N3167">
        <f t="shared" si="443"/>
        <v>243382.10975497242</v>
      </c>
      <c r="O3167">
        <f t="shared" si="444"/>
        <v>682157.42597297649</v>
      </c>
      <c r="P3167">
        <f t="shared" si="445"/>
        <v>-6.4326152291118506E-4</v>
      </c>
      <c r="Q3167">
        <f t="shared" si="436"/>
        <v>3.5479371502123151E-2</v>
      </c>
      <c r="R3167">
        <f t="shared" si="437"/>
        <v>1</v>
      </c>
      <c r="S3167">
        <f t="shared" si="439"/>
        <v>1128.109066001055</v>
      </c>
      <c r="T3167" s="564">
        <f>IF((I3167-MAX(I$470:I3167))/MAX(I$470:I3167)&gt;T3166,T3166,(I3167-MAX(I$470:I3167))/MAX(I$470:I3167))</f>
        <v>-0.91338805338419748</v>
      </c>
      <c r="U3167" s="564">
        <f>IF((J3167-MAX(J$470:J3167))/MAX(J$470:J3167)&gt;U3166,U3166,(J3167-MAX(J$470:J3167))/MAX(J$470:J3167))</f>
        <v>-0.83569785939843477</v>
      </c>
      <c r="V3167" s="564">
        <f>IF((K3167-MAX(K$470:K3167))/MAX(K$470:K3167)&gt;V3166,V3166,(K3167-MAX(K$470:K3167))/MAX(K$470:K3167))</f>
        <v>-0.84885940676762139</v>
      </c>
      <c r="W3167" s="564">
        <f>IF((N3167-MAX(N$470:N3167))/MAX(N$470:N3167)&gt;W3166,W3166,(N3167-MAX(N$470:N3167))/MAX(N$470:N3167))</f>
        <v>-0.62788758315546067</v>
      </c>
      <c r="X3167" s="564">
        <f>IF((O3167-MAX(O$470:O3167))/MAX(O$470:O3167)&gt;X3166,X3166,(O3167-MAX(O$470:O3167))/MAX(O$470:O3167))</f>
        <v>-0.62788758315546067</v>
      </c>
    </row>
    <row r="3168" spans="1:24">
      <c r="A3168" s="799">
        <v>43570</v>
      </c>
      <c r="B3168">
        <v>5140.3552</v>
      </c>
      <c r="C3168">
        <v>6445.4436750000004</v>
      </c>
      <c r="D3168">
        <v>1.1555530000000001</v>
      </c>
      <c r="E3168">
        <f>LN(D3168/参数实验室!$E$53)/参数实验室!$E$55</f>
        <v>-0.52240072928992387</v>
      </c>
      <c r="F3168">
        <f t="shared" si="438"/>
        <v>1.2538907184857577</v>
      </c>
      <c r="G3168">
        <f>LN(F3168/参数实验室!$E$58)/参数实验室!$E$59</f>
        <v>-7.1781119257932749E-2</v>
      </c>
      <c r="H3168" s="856">
        <f>INDEX(神经网络!$G$10:$BO$70,MATCH(ROUND(G3168*2,1)/2,神经网络!$E$10:$E$70,0),MATCH(ROUND(E3168*2,1)/2,神经网络!$G$8:$BO$8,0))</f>
        <v>-0.29867672432117554</v>
      </c>
      <c r="I3168">
        <f t="shared" si="440"/>
        <v>631123.42746443243</v>
      </c>
      <c r="J3168">
        <f t="shared" si="441"/>
        <v>2051.1373049758568</v>
      </c>
      <c r="K3168">
        <f t="shared" si="442"/>
        <v>307.69438298128034</v>
      </c>
      <c r="L3168" s="4">
        <f>MIN(MAX(L3167*(1+MAX(MIN(((B3168-B3167)/B3167)/($K$7*卓尔金历!$N$40),0),-卓尔金历!$M$43))+MIN(MAX(((B3168-B3167)/B3167)/($K$7*卓尔金历!$N$40),0),卓尔金历!$M$43),0),1)</f>
        <v>0.70403605702305805</v>
      </c>
      <c r="M3168" s="4">
        <f>MIN(MAX(M3167*(1+MAX(MIN(((B3168-B3167)/B3167)/($K$7*30),0),-卓尔金历!$M$43))+MIN(MAX(((B3168-B3167)/B3167)/($K$7*7),0),卓尔金历!$M$43),0),1)</f>
        <v>1</v>
      </c>
      <c r="N3168">
        <f t="shared" si="443"/>
        <v>242872.19139087066</v>
      </c>
      <c r="O3168">
        <f t="shared" si="444"/>
        <v>679348.93320604612</v>
      </c>
      <c r="P3168">
        <f t="shared" si="445"/>
        <v>1.4571656820179071E-2</v>
      </c>
      <c r="Q3168">
        <f t="shared" si="436"/>
        <v>3.5379322485973037E-2</v>
      </c>
      <c r="R3168">
        <f t="shared" si="437"/>
        <v>0.95400053066720647</v>
      </c>
      <c r="S3168">
        <f t="shared" si="439"/>
        <v>1123.1992931103616</v>
      </c>
      <c r="T3168" s="564">
        <f>IF((I3168-MAX(I$470:I3168))/MAX(I$470:I3168)&gt;T3167,T3167,(I3168-MAX(I$470:I3168))/MAX(I$470:I3168))</f>
        <v>-0.91338805338419748</v>
      </c>
      <c r="U3168" s="564">
        <f>IF((J3168-MAX(J$470:J3168))/MAX(J$470:J3168)&gt;U3167,U3167,(J3168-MAX(J$470:J3168))/MAX(J$470:J3168))</f>
        <v>-0.83569785939843477</v>
      </c>
      <c r="V3168" s="564">
        <f>IF((K3168-MAX(K$470:K3168))/MAX(K$470:K3168)&gt;V3167,V3167,(K3168-MAX(K$470:K3168))/MAX(K$470:K3168))</f>
        <v>-0.84885940676762139</v>
      </c>
      <c r="W3168" s="564">
        <f>IF((N3168-MAX(N$470:N3168))/MAX(N$470:N3168)&gt;W3167,W3167,(N3168-MAX(N$470:N3168))/MAX(N$470:N3168))</f>
        <v>-0.62788758315546067</v>
      </c>
      <c r="X3168" s="564">
        <f>IF((O3168-MAX(O$470:O3168))/MAX(O$470:O3168)&gt;X3167,X3167,(O3168-MAX(O$470:O3168))/MAX(O$470:O3168))</f>
        <v>-0.62788758315546067</v>
      </c>
    </row>
    <row r="3169" spans="1:24">
      <c r="A3169" s="799">
        <v>43571</v>
      </c>
      <c r="B3169">
        <v>5064.6653159999996</v>
      </c>
      <c r="C3169">
        <v>6451.9532149999995</v>
      </c>
      <c r="D3169">
        <v>1.1922410000000001</v>
      </c>
      <c r="E3169">
        <f>LN(D3169/参数实验室!$E$53)/参数实验室!$E$55</f>
        <v>-0.48552670149402682</v>
      </c>
      <c r="F3169">
        <f t="shared" si="438"/>
        <v>1.2739150195408491</v>
      </c>
      <c r="G3169">
        <f>LN(F3169/参数实验室!$E$58)/参数实验室!$E$59</f>
        <v>-6.346556315610713E-2</v>
      </c>
      <c r="H3169" s="856">
        <f>INDEX(神经网络!$G$10:$BO$70,MATCH(ROUND(G3169*2,1)/2,神经网络!$E$10:$E$70,0),MATCH(ROUND(E3169*2,1)/2,神经网络!$G$8:$BO$8,0))</f>
        <v>-0.29867672432117554</v>
      </c>
      <c r="I3169">
        <f t="shared" si="440"/>
        <v>633899.04991098633</v>
      </c>
      <c r="J3169">
        <f t="shared" si="441"/>
        <v>2020.9350448904652</v>
      </c>
      <c r="K3169">
        <f t="shared" si="442"/>
        <v>313.66621679092299</v>
      </c>
      <c r="L3169" s="4">
        <f>MIN(MAX(L3168*(1+MAX(MIN(((B3169-B3168)/B3168)/($K$7*卓尔金历!$N$40),0),-卓尔金历!$M$43))+MIN(MAX(((B3169-B3168)/B3168)/($K$7*卓尔金历!$N$40),0),卓尔金历!$M$43),0),1)</f>
        <v>0.54564316437708038</v>
      </c>
      <c r="M3169" s="4">
        <f>MIN(MAX(M3168*(1+MAX(MIN(((B3169-B3168)/B3168)/($K$7*30),0),-卓尔金历!$M$43))+MIN(MAX(((B3169-B3168)/B3168)/($K$7*7),0),卓尔金历!$M$43),0),1)</f>
        <v>0.88751080923630155</v>
      </c>
      <c r="N3169">
        <f t="shared" si="443"/>
        <v>243624.19302230031</v>
      </c>
      <c r="O3169">
        <f t="shared" si="444"/>
        <v>682336.64696534141</v>
      </c>
      <c r="P3169">
        <f t="shared" si="445"/>
        <v>-1.4724640818595638E-2</v>
      </c>
      <c r="Q3169">
        <f t="shared" si="436"/>
        <v>3.5251544069804193E-2</v>
      </c>
      <c r="R3169">
        <f t="shared" si="437"/>
        <v>0.9392520059936359</v>
      </c>
      <c r="S3169">
        <f t="shared" si="439"/>
        <v>1127.9117948890382</v>
      </c>
      <c r="T3169" s="564">
        <f>IF((I3169-MAX(I$470:I3169))/MAX(I$470:I3169)&gt;T3168,T3168,(I3169-MAX(I$470:I3169))/MAX(I$470:I3169))</f>
        <v>-0.91338805338419748</v>
      </c>
      <c r="U3169" s="564">
        <f>IF((J3169-MAX(J$470:J3169))/MAX(J$470:J3169)&gt;U3168,U3168,(J3169-MAX(J$470:J3169))/MAX(J$470:J3169))</f>
        <v>-0.83569785939843477</v>
      </c>
      <c r="V3169" s="564">
        <f>IF((K3169-MAX(K$470:K3169))/MAX(K$470:K3169)&gt;V3168,V3168,(K3169-MAX(K$470:K3169))/MAX(K$470:K3169))</f>
        <v>-0.84885940676762139</v>
      </c>
      <c r="W3169" s="564">
        <f>IF((N3169-MAX(N$470:N3169))/MAX(N$470:N3169)&gt;W3168,W3168,(N3169-MAX(N$470:N3169))/MAX(N$470:N3169))</f>
        <v>-0.62788758315546067</v>
      </c>
      <c r="X3169" s="564">
        <f>IF((O3169-MAX(O$470:O3169))/MAX(O$470:O3169)&gt;X3168,X3168,(O3169-MAX(O$470:O3169))/MAX(O$470:O3169))</f>
        <v>-0.62788758315546067</v>
      </c>
    </row>
    <row r="3170" spans="1:24">
      <c r="A3170" s="799">
        <v>43572</v>
      </c>
      <c r="B3170">
        <v>5201.1373350000003</v>
      </c>
      <c r="C3170">
        <v>6556.4007369999999</v>
      </c>
      <c r="D3170">
        <v>1.1961379999999999</v>
      </c>
      <c r="E3170">
        <f>LN(D3170/参数实验室!$E$53)/参数实验室!$E$55</f>
        <v>-0.4816768079287978</v>
      </c>
      <c r="F3170">
        <f t="shared" si="438"/>
        <v>1.2605705857601623</v>
      </c>
      <c r="G3170">
        <f>LN(F3170/参数实验室!$E$58)/参数实验室!$E$59</f>
        <v>-6.89924793309655E-2</v>
      </c>
      <c r="H3170" s="856">
        <f>INDEX(神经网络!$G$10:$BO$70,MATCH(ROUND(G3170*2,1)/2,神经网络!$E$10:$E$70,0),MATCH(ROUND(E3170*2,1)/2,神经网络!$G$8:$BO$8,0))</f>
        <v>-0.29867672432117554</v>
      </c>
      <c r="I3170">
        <f t="shared" si="440"/>
        <v>628797.35662074096</v>
      </c>
      <c r="J3170">
        <f t="shared" si="441"/>
        <v>2075.3909800087768</v>
      </c>
      <c r="K3170">
        <f t="shared" si="442"/>
        <v>302.97778234445337</v>
      </c>
      <c r="L3170" s="4">
        <f>MIN(MAX(L3169*(1+MAX(MIN(((B3170-B3169)/B3169)/($K$7*卓尔金历!$N$40),0),-卓尔金历!$M$43))+MIN(MAX(((B3170-B3169)/B3169)/($K$7*卓尔金历!$N$40),0),卓尔金历!$M$43),0),1)</f>
        <v>0.95735082082045408</v>
      </c>
      <c r="M3170" s="4">
        <f>MIN(MAX(M3169*(1+MAX(MIN(((B3170-B3169)/B3169)/($K$7*30),0),-卓尔金历!$M$43))+MIN(MAX(((B3170-B3169)/B3169)/($K$7*7),0),卓尔金历!$M$43),0),1)</f>
        <v>1</v>
      </c>
      <c r="N3170">
        <f t="shared" si="443"/>
        <v>242554.3418245411</v>
      </c>
      <c r="O3170">
        <f t="shared" si="444"/>
        <v>677462.85942983651</v>
      </c>
      <c r="P3170">
        <f t="shared" si="445"/>
        <v>2.6945910634779E-2</v>
      </c>
      <c r="Q3170">
        <f t="shared" si="436"/>
        <v>3.5211564799181375E-2</v>
      </c>
      <c r="R3170">
        <f t="shared" si="437"/>
        <v>0.3122258760877139</v>
      </c>
      <c r="S3170">
        <f t="shared" si="439"/>
        <v>1119.3856734465835</v>
      </c>
      <c r="T3170" s="564">
        <f>IF((I3170-MAX(I$470:I3170))/MAX(I$470:I3170)&gt;T3169,T3169,(I3170-MAX(I$470:I3170))/MAX(I$470:I3170))</f>
        <v>-0.91338805338419748</v>
      </c>
      <c r="U3170" s="564">
        <f>IF((J3170-MAX(J$470:J3170))/MAX(J$470:J3170)&gt;U3169,U3169,(J3170-MAX(J$470:J3170))/MAX(J$470:J3170))</f>
        <v>-0.83569785939843477</v>
      </c>
      <c r="V3170" s="564">
        <f>IF((K3170-MAX(K$470:K3170))/MAX(K$470:K3170)&gt;V3169,V3169,(K3170-MAX(K$470:K3170))/MAX(K$470:K3170))</f>
        <v>-0.84885940676762139</v>
      </c>
      <c r="W3170" s="564">
        <f>IF((N3170-MAX(N$470:N3170))/MAX(N$470:N3170)&gt;W3169,W3169,(N3170-MAX(N$470:N3170))/MAX(N$470:N3170))</f>
        <v>-0.62788758315546067</v>
      </c>
      <c r="X3170" s="564">
        <f>IF((O3170-MAX(O$470:O3170))/MAX(O$470:O3170)&gt;X3169,X3169,(O3170-MAX(O$470:O3170))/MAX(O$470:O3170))</f>
        <v>-0.62788758315546067</v>
      </c>
    </row>
    <row r="3171" spans="1:24">
      <c r="A3171" s="799">
        <v>43573</v>
      </c>
      <c r="B3171">
        <v>5241.9361870000002</v>
      </c>
      <c r="C3171">
        <v>6672.463162</v>
      </c>
      <c r="D3171">
        <v>1.207657</v>
      </c>
      <c r="E3171">
        <f>LN(D3171/参数实验室!$E$53)/参数实验室!$E$55</f>
        <v>-0.47036995219495886</v>
      </c>
      <c r="F3171">
        <f t="shared" si="438"/>
        <v>1.2729004940097719</v>
      </c>
      <c r="G3171">
        <f>LN(F3171/参数实验室!$E$58)/参数实验室!$E$59</f>
        <v>-6.3883715041964065E-2</v>
      </c>
      <c r="H3171" s="856">
        <f>INDEX(神经网络!$G$10:$BO$70,MATCH(ROUND(G3171*2,1)/2,神经网络!$E$10:$E$70,0),MATCH(ROUND(E3171*2,1)/2,神经网络!$G$8:$BO$8,0))</f>
        <v>-0.26259475049172853</v>
      </c>
      <c r="I3171">
        <f t="shared" si="440"/>
        <v>627324.15662597655</v>
      </c>
      <c r="J3171">
        <f t="shared" si="441"/>
        <v>2091.6707980527494</v>
      </c>
      <c r="K3171">
        <f t="shared" si="442"/>
        <v>299.91533907247111</v>
      </c>
      <c r="L3171" s="4">
        <f>MIN(MAX(L3170*(1+MAX(MIN(((B3171-B3170)/B3170)/($K$7*卓尔金历!$N$40),0),-卓尔金历!$M$43))+MIN(MAX(((B3171-B3170)/B3170)/($K$7*卓尔金历!$N$40),0),卓尔金历!$M$43),0),1)</f>
        <v>1</v>
      </c>
      <c r="M3171" s="4">
        <f>MIN(MAX(M3170*(1+MAX(MIN(((B3171-B3170)/B3170)/($K$7*30),0),-卓尔金历!$M$43))+MIN(MAX(((B3171-B3170)/B3170)/($K$7*7),0),卓尔金历!$M$43),0),1)</f>
        <v>1</v>
      </c>
      <c r="N3171">
        <f t="shared" si="443"/>
        <v>242010.30140307875</v>
      </c>
      <c r="O3171">
        <f t="shared" si="444"/>
        <v>675875.64175079158</v>
      </c>
      <c r="P3171">
        <f t="shared" si="445"/>
        <v>7.8442174032691443E-3</v>
      </c>
      <c r="Q3171">
        <f t="shared" si="436"/>
        <v>3.5165247728002676E-2</v>
      </c>
      <c r="R3171">
        <f t="shared" si="437"/>
        <v>1</v>
      </c>
      <c r="S3171">
        <f t="shared" si="439"/>
        <v>1118.5668323363566</v>
      </c>
      <c r="T3171" s="564">
        <f>IF((I3171-MAX(I$470:I3171))/MAX(I$470:I3171)&gt;T3170,T3170,(I3171-MAX(I$470:I3171))/MAX(I$470:I3171))</f>
        <v>-0.91338805338419748</v>
      </c>
      <c r="U3171" s="564">
        <f>IF((J3171-MAX(J$470:J3171))/MAX(J$470:J3171)&gt;U3170,U3170,(J3171-MAX(J$470:J3171))/MAX(J$470:J3171))</f>
        <v>-0.83569785939843477</v>
      </c>
      <c r="V3171" s="564">
        <f>IF((K3171-MAX(K$470:K3171))/MAX(K$470:K3171)&gt;V3170,V3170,(K3171-MAX(K$470:K3171))/MAX(K$470:K3171))</f>
        <v>-0.84885940676762139</v>
      </c>
      <c r="W3171" s="564">
        <f>IF((N3171-MAX(N$470:N3171))/MAX(N$470:N3171)&gt;W3170,W3170,(N3171-MAX(N$470:N3171))/MAX(N$470:N3171))</f>
        <v>-0.62788758315546067</v>
      </c>
      <c r="X3171" s="564">
        <f>IF((O3171-MAX(O$470:O3171))/MAX(O$470:O3171)&gt;X3170,X3170,(O3171-MAX(O$470:O3171))/MAX(O$470:O3171))</f>
        <v>-0.62788758315546067</v>
      </c>
    </row>
    <row r="3172" spans="1:24">
      <c r="A3172" s="799">
        <v>43574</v>
      </c>
      <c r="B3172">
        <v>5260.8686719999996</v>
      </c>
      <c r="C3172">
        <v>6716.396855</v>
      </c>
      <c r="D3172">
        <v>1.207198</v>
      </c>
      <c r="E3172">
        <f>LN(D3172/参数实验室!$E$53)/参数实验室!$E$55</f>
        <v>-0.47081843191362055</v>
      </c>
      <c r="F3172">
        <f t="shared" si="438"/>
        <v>1.2766706933299399</v>
      </c>
      <c r="G3172">
        <f>LN(F3172/参数实验室!$E$58)/参数实验室!$E$59</f>
        <v>-6.2331449462082071E-2</v>
      </c>
      <c r="H3172" s="856">
        <f>INDEX(神经网络!$G$10:$BO$70,MATCH(ROUND(G3172*2,1)/2,神经网络!$E$10:$E$70,0),MATCH(ROUND(E3172*2,1)/2,神经网络!$G$8:$BO$8,0))</f>
        <v>-0.26259475049172853</v>
      </c>
      <c r="I3172">
        <f t="shared" si="440"/>
        <v>626729.18816717528</v>
      </c>
      <c r="J3172">
        <f t="shared" si="441"/>
        <v>2099.2253589242227</v>
      </c>
      <c r="K3172">
        <f t="shared" si="442"/>
        <v>298.55259965435602</v>
      </c>
      <c r="L3172" s="4">
        <f>MIN(MAX(L3171*(1+MAX(MIN(((B3172-B3171)/B3171)/($K$7*卓尔金历!$N$40),0),-卓尔金历!$M$43))+MIN(MAX(((B3172-B3171)/B3171)/($K$7*卓尔金历!$N$40),0),卓尔金历!$M$43),0),1)</f>
        <v>1</v>
      </c>
      <c r="M3172" s="4">
        <f>MIN(MAX(M3171*(1+MAX(MIN(((B3172-B3171)/B3171)/($K$7*30),0),-卓尔金历!$M$43))+MIN(MAX(((B3172-B3171)/B3171)/($K$7*7),0),卓尔金历!$M$43),0),1)</f>
        <v>1</v>
      </c>
      <c r="N3172">
        <f t="shared" si="443"/>
        <v>241780.77334406972</v>
      </c>
      <c r="O3172">
        <f t="shared" si="444"/>
        <v>675234.62596227706</v>
      </c>
      <c r="P3172">
        <f t="shared" si="445"/>
        <v>3.6117351155383988E-3</v>
      </c>
      <c r="Q3172">
        <f t="shared" si="436"/>
        <v>3.5162841329283025E-2</v>
      </c>
      <c r="R3172">
        <f t="shared" si="437"/>
        <v>1</v>
      </c>
      <c r="S3172">
        <f t="shared" si="439"/>
        <v>1117.5059581817875</v>
      </c>
      <c r="T3172" s="564">
        <f>IF((I3172-MAX(I$470:I3172))/MAX(I$470:I3172)&gt;T3171,T3171,(I3172-MAX(I$470:I3172))/MAX(I$470:I3172))</f>
        <v>-0.91338805338419748</v>
      </c>
      <c r="U3172" s="564">
        <f>IF((J3172-MAX(J$470:J3172))/MAX(J$470:J3172)&gt;U3171,U3171,(J3172-MAX(J$470:J3172))/MAX(J$470:J3172))</f>
        <v>-0.83569785939843477</v>
      </c>
      <c r="V3172" s="564">
        <f>IF((K3172-MAX(K$470:K3172))/MAX(K$470:K3172)&gt;V3171,V3171,(K3172-MAX(K$470:K3172))/MAX(K$470:K3172))</f>
        <v>-0.84885940676762139</v>
      </c>
      <c r="W3172" s="564">
        <f>IF((N3172-MAX(N$470:N3172))/MAX(N$470:N3172)&gt;W3171,W3171,(N3172-MAX(N$470:N3172))/MAX(N$470:N3172))</f>
        <v>-0.62788758315546067</v>
      </c>
      <c r="X3172" s="564">
        <f>IF((O3172-MAX(O$470:O3172))/MAX(O$470:O3172)&gt;X3171,X3171,(O3172-MAX(O$470:O3172))/MAX(O$470:O3172))</f>
        <v>-0.62788758315546067</v>
      </c>
    </row>
    <row r="3173" spans="1:24">
      <c r="A3173" s="799">
        <v>43575</v>
      </c>
      <c r="B3173">
        <v>5300.6820850000004</v>
      </c>
      <c r="C3173">
        <v>6774.4681860000001</v>
      </c>
      <c r="D3173">
        <v>1.2124649999999999</v>
      </c>
      <c r="E3173">
        <f>LN(D3173/参数实验室!$E$53)/参数实验室!$E$55</f>
        <v>-0.46568236945358293</v>
      </c>
      <c r="F3173">
        <f t="shared" si="438"/>
        <v>1.2780370671862318</v>
      </c>
      <c r="G3173">
        <f>LN(F3173/参数实验室!$E$58)/参数实验室!$E$59</f>
        <v>-6.1770017800659327E-2</v>
      </c>
      <c r="H3173" s="856">
        <f>INDEX(神经网络!$G$10:$BO$70,MATCH(ROUND(G3173*2,1)/2,神经网络!$E$10:$E$70,0),MATCH(ROUND(E3173*2,1)/2,神经网络!$G$8:$BO$8,0))</f>
        <v>-0.26259475049172853</v>
      </c>
      <c r="I3173">
        <f t="shared" si="440"/>
        <v>625483.70486462559</v>
      </c>
      <c r="J3173">
        <f t="shared" si="441"/>
        <v>2115.1119608156082</v>
      </c>
      <c r="K3173">
        <f t="shared" si="442"/>
        <v>295.72132182706434</v>
      </c>
      <c r="L3173" s="4">
        <f>MIN(MAX(L3172*(1+MAX(MIN(((B3173-B3172)/B3172)/($K$7*卓尔金历!$N$40),0),-卓尔金历!$M$43))+MIN(MAX(((B3173-B3172)/B3172)/($K$7*卓尔金历!$N$40),0),卓尔金历!$M$43),0),1)</f>
        <v>1</v>
      </c>
      <c r="M3173" s="4">
        <f>MIN(MAX(M3172*(1+MAX(MIN(((B3173-B3172)/B3172)/($K$7*30),0),-卓尔金历!$M$43))+MIN(MAX(((B3173-B3172)/B3172)/($K$7*7),0),卓尔金历!$M$43),0),1)</f>
        <v>1</v>
      </c>
      <c r="N3173">
        <f t="shared" si="443"/>
        <v>241300.28843645239</v>
      </c>
      <c r="O3173">
        <f t="shared" si="444"/>
        <v>673892.74901156593</v>
      </c>
      <c r="P3173">
        <f t="shared" si="445"/>
        <v>7.5678401196175625E-3</v>
      </c>
      <c r="Q3173">
        <f t="shared" si="436"/>
        <v>3.503697123806572E-2</v>
      </c>
      <c r="R3173">
        <f t="shared" si="437"/>
        <v>1</v>
      </c>
      <c r="S3173">
        <f t="shared" si="439"/>
        <v>1115.2851664304324</v>
      </c>
      <c r="T3173" s="564">
        <f>IF((I3173-MAX(I$470:I3173))/MAX(I$470:I3173)&gt;T3172,T3172,(I3173-MAX(I$470:I3173))/MAX(I$470:I3173))</f>
        <v>-0.91338805338419748</v>
      </c>
      <c r="U3173" s="564">
        <f>IF((J3173-MAX(J$470:J3173))/MAX(J$470:J3173)&gt;U3172,U3172,(J3173-MAX(J$470:J3173))/MAX(J$470:J3173))</f>
        <v>-0.83569785939843477</v>
      </c>
      <c r="V3173" s="564">
        <f>IF((K3173-MAX(K$470:K3173))/MAX(K$470:K3173)&gt;V3172,V3172,(K3173-MAX(K$470:K3173))/MAX(K$470:K3173))</f>
        <v>-0.84885940676762139</v>
      </c>
      <c r="W3173" s="564">
        <f>IF((N3173-MAX(N$470:N3173))/MAX(N$470:N3173)&gt;W3172,W3172,(N3173-MAX(N$470:N3173))/MAX(N$470:N3173))</f>
        <v>-0.62788758315546067</v>
      </c>
      <c r="X3173" s="564">
        <f>IF((O3173-MAX(O$470:O3173))/MAX(O$470:O3173)&gt;X3172,X3172,(O3173-MAX(O$470:O3173))/MAX(O$470:O3173))</f>
        <v>-0.62788758315546067</v>
      </c>
    </row>
    <row r="3174" spans="1:24">
      <c r="A3174" s="799">
        <v>43576</v>
      </c>
      <c r="B3174">
        <v>5234.1329009999999</v>
      </c>
      <c r="C3174">
        <v>6772.2396170000002</v>
      </c>
      <c r="D3174">
        <v>1.2083550000000001</v>
      </c>
      <c r="E3174">
        <f>LN(D3174/参数实验室!$E$53)/参数实验室!$E$55</f>
        <v>-0.46968827694897214</v>
      </c>
      <c r="F3174">
        <f t="shared" si="438"/>
        <v>1.2938608447840787</v>
      </c>
      <c r="G3174">
        <f>LN(F3174/参数实验室!$E$58)/参数实验室!$E$59</f>
        <v>-5.5311535597513888E-2</v>
      </c>
      <c r="H3174" s="856">
        <f>INDEX(神经网络!$G$10:$BO$70,MATCH(ROUND(G3174*2,1)/2,神经网络!$E$10:$E$70,0),MATCH(ROUND(E3174*2,1)/2,神经网络!$G$8:$BO$8,0))</f>
        <v>-0.26259475049172853</v>
      </c>
      <c r="I3174">
        <f t="shared" si="440"/>
        <v>627545.82050800067</v>
      </c>
      <c r="J3174">
        <f t="shared" si="441"/>
        <v>2088.5570811220605</v>
      </c>
      <c r="K3174">
        <f t="shared" si="442"/>
        <v>300.4685991971341</v>
      </c>
      <c r="L3174" s="4">
        <f>MIN(MAX(L3173*(1+MAX(MIN(((B3174-B3173)/B3173)/($K$7*卓尔金历!$N$40),0),-卓尔金历!$M$43))+MIN(MAX(((B3174-B3173)/B3173)/($K$7*卓尔金历!$N$40),0),卓尔金历!$M$43),0),1)</f>
        <v>0.80817418348424885</v>
      </c>
      <c r="M3174" s="4">
        <f>MIN(MAX(M3173*(1+MAX(MIN(((B3174-B3173)/B3173)/($K$7*30),0),-卓尔金历!$M$43))+MIN(MAX(((B3174-B3173)/B3173)/($K$7*7),0),卓尔金历!$M$43),0),1)</f>
        <v>0.90408709174212443</v>
      </c>
      <c r="N3174">
        <f t="shared" si="443"/>
        <v>242095.81531535552</v>
      </c>
      <c r="O3174">
        <f t="shared" si="444"/>
        <v>676114.46121427556</v>
      </c>
      <c r="P3174">
        <f t="shared" si="445"/>
        <v>-1.255483406339779E-2</v>
      </c>
      <c r="Q3174">
        <f t="shared" si="436"/>
        <v>3.5431468271646283E-2</v>
      </c>
      <c r="R3174">
        <f t="shared" si="437"/>
        <v>1</v>
      </c>
      <c r="S3174">
        <f t="shared" si="439"/>
        <v>1118.9620759496308</v>
      </c>
      <c r="T3174" s="564">
        <f>IF((I3174-MAX(I$470:I3174))/MAX(I$470:I3174)&gt;T3173,T3173,(I3174-MAX(I$470:I3174))/MAX(I$470:I3174))</f>
        <v>-0.91338805338419748</v>
      </c>
      <c r="U3174" s="564">
        <f>IF((J3174-MAX(J$470:J3174))/MAX(J$470:J3174)&gt;U3173,U3173,(J3174-MAX(J$470:J3174))/MAX(J$470:J3174))</f>
        <v>-0.83569785939843477</v>
      </c>
      <c r="V3174" s="564">
        <f>IF((K3174-MAX(K$470:K3174))/MAX(K$470:K3174)&gt;V3173,V3173,(K3174-MAX(K$470:K3174))/MAX(K$470:K3174))</f>
        <v>-0.84885940676762139</v>
      </c>
      <c r="W3174" s="564">
        <f>IF((N3174-MAX(N$470:N3174))/MAX(N$470:N3174)&gt;W3173,W3173,(N3174-MAX(N$470:N3174))/MAX(N$470:N3174))</f>
        <v>-0.62788758315546067</v>
      </c>
      <c r="X3174" s="564">
        <f>IF((O3174-MAX(O$470:O3174))/MAX(O$470:O3174)&gt;X3173,X3173,(O3174-MAX(O$470:O3174))/MAX(O$470:O3174))</f>
        <v>-0.62788758315546067</v>
      </c>
    </row>
    <row r="3175" spans="1:24">
      <c r="A3175" s="799">
        <v>43577</v>
      </c>
      <c r="B3175">
        <v>5309.7062519999999</v>
      </c>
      <c r="C3175">
        <v>6826.2348679999996</v>
      </c>
      <c r="D3175">
        <v>1.227946</v>
      </c>
      <c r="E3175">
        <f>LN(D3175/参数实验室!$E$53)/参数实验室!$E$55</f>
        <v>-0.45071439482823944</v>
      </c>
      <c r="F3175">
        <f t="shared" si="438"/>
        <v>1.285614409540786</v>
      </c>
      <c r="G3175">
        <f>LN(F3175/参数实验室!$E$58)/参数实验室!$E$59</f>
        <v>-5.8667403901795166E-2</v>
      </c>
      <c r="H3175" s="856">
        <f>INDEX(神经网络!$G$10:$BO$70,MATCH(ROUND(G3175*2,1)/2,神经网络!$E$10:$E$70,0),MATCH(ROUND(E3175*2,1)/2,神经网络!$G$8:$BO$8,0))</f>
        <v>-0.26259475049172853</v>
      </c>
      <c r="I3175">
        <f t="shared" si="440"/>
        <v>625166.48648166342</v>
      </c>
      <c r="J3175">
        <f t="shared" si="441"/>
        <v>2118.7128414668191</v>
      </c>
      <c r="K3175">
        <f t="shared" si="442"/>
        <v>295.06900333357612</v>
      </c>
      <c r="L3175" s="4">
        <f>MIN(MAX(L3174*(1+MAX(MIN(((B3175-B3174)/B3174)/($K$7*卓尔金历!$N$40),0),-卓尔金历!$M$43))+MIN(MAX(((B3175-B3174)/B3174)/($K$7*卓尔金历!$N$40),0),卓尔金历!$M$43),0),1)</f>
        <v>1</v>
      </c>
      <c r="M3175" s="4">
        <f>MIN(MAX(M3174*(1+MAX(MIN(((B3175-B3174)/B3174)/($K$7*30),0),-卓尔金历!$M$43))+MIN(MAX(((B3175-B3174)/B3174)/($K$7*7),0),卓尔金历!$M$43),0),1)</f>
        <v>1</v>
      </c>
      <c r="N3175">
        <f t="shared" si="443"/>
        <v>241353.98900970159</v>
      </c>
      <c r="O3175">
        <f t="shared" si="444"/>
        <v>673796.8506197104</v>
      </c>
      <c r="P3175">
        <f t="shared" si="445"/>
        <v>1.4438561731124833E-2</v>
      </c>
      <c r="Q3175">
        <f t="shared" si="436"/>
        <v>3.5396037842853452E-2</v>
      </c>
      <c r="R3175">
        <f t="shared" si="437"/>
        <v>0.96390013557911125</v>
      </c>
      <c r="S3175">
        <f t="shared" si="439"/>
        <v>1114.7195418517499</v>
      </c>
      <c r="T3175" s="564">
        <f>IF((I3175-MAX(I$470:I3175))/MAX(I$470:I3175)&gt;T3174,T3174,(I3175-MAX(I$470:I3175))/MAX(I$470:I3175))</f>
        <v>-0.91338805338419748</v>
      </c>
      <c r="U3175" s="564">
        <f>IF((J3175-MAX(J$470:J3175))/MAX(J$470:J3175)&gt;U3174,U3174,(J3175-MAX(J$470:J3175))/MAX(J$470:J3175))</f>
        <v>-0.83569785939843477</v>
      </c>
      <c r="V3175" s="564">
        <f>IF((K3175-MAX(K$470:K3175))/MAX(K$470:K3175)&gt;V3174,V3174,(K3175-MAX(K$470:K3175))/MAX(K$470:K3175))</f>
        <v>-0.84885940676762139</v>
      </c>
      <c r="W3175" s="564">
        <f>IF((N3175-MAX(N$470:N3175))/MAX(N$470:N3175)&gt;W3174,W3174,(N3175-MAX(N$470:N3175))/MAX(N$470:N3175))</f>
        <v>-0.62788758315546067</v>
      </c>
      <c r="X3175" s="564">
        <f>IF((O3175-MAX(O$470:O3175))/MAX(O$470:O3175)&gt;X3174,X3174,(O3175-MAX(O$470:O3175))/MAX(O$470:O3175))</f>
        <v>-0.62788758315546067</v>
      </c>
    </row>
    <row r="3176" spans="1:24">
      <c r="A3176" s="799">
        <v>43578</v>
      </c>
      <c r="B3176">
        <v>5542.078176</v>
      </c>
      <c r="C3176">
        <v>6992.0372360000001</v>
      </c>
      <c r="D3176">
        <v>1.2632969999999999</v>
      </c>
      <c r="E3176">
        <f>LN(D3176/参数实验室!$E$53)/参数实验室!$E$55</f>
        <v>-0.41723050223051072</v>
      </c>
      <c r="F3176">
        <f t="shared" si="438"/>
        <v>1.261627319924691</v>
      </c>
      <c r="G3176">
        <f>LN(F3176/参数实验室!$E$58)/参数实验室!$E$59</f>
        <v>-6.8552679400977173E-2</v>
      </c>
      <c r="H3176" s="856">
        <f>INDEX(神经网络!$G$10:$BO$70,MATCH(ROUND(G3176*2,1)/2,神经网络!$E$10:$E$70,0),MATCH(ROUND(E3176*2,1)/2,神经网络!$G$8:$BO$8,0))</f>
        <v>-0.2208887469036292</v>
      </c>
      <c r="I3176">
        <f t="shared" si="440"/>
        <v>617982.01397726091</v>
      </c>
      <c r="J3176">
        <f t="shared" si="441"/>
        <v>2211.4353681018297</v>
      </c>
      <c r="K3176">
        <f t="shared" si="442"/>
        <v>279.44837226136144</v>
      </c>
      <c r="L3176" s="4">
        <f>MIN(MAX(L3175*(1+MAX(MIN(((B3176-B3175)/B3175)/($K$7*卓尔金历!$N$40),0),-卓尔金历!$M$43))+MIN(MAX(((B3176-B3175)/B3175)/($K$7*卓尔金历!$N$40),0),卓尔金历!$M$43),0),1)</f>
        <v>1</v>
      </c>
      <c r="M3176" s="4">
        <f>MIN(MAX(M3175*(1+MAX(MIN(((B3176-B3175)/B3175)/($K$7*30),0),-卓尔金历!$M$43))+MIN(MAX(((B3176-B3175)/B3175)/($K$7*7),0),卓尔金历!$M$43),0),1)</f>
        <v>1</v>
      </c>
      <c r="N3176">
        <f t="shared" si="443"/>
        <v>238580.32609692018</v>
      </c>
      <c r="O3176">
        <f t="shared" si="444"/>
        <v>666053.51336234401</v>
      </c>
      <c r="P3176">
        <f t="shared" si="445"/>
        <v>4.3763611953575171E-2</v>
      </c>
      <c r="Q3176">
        <f t="shared" si="436"/>
        <v>1.8353264743304759E-2</v>
      </c>
      <c r="R3176">
        <f t="shared" si="437"/>
        <v>4.6370501172726701E-3</v>
      </c>
      <c r="S3176">
        <f t="shared" si="439"/>
        <v>1102.371535207521</v>
      </c>
      <c r="T3176" s="564">
        <f>IF((I3176-MAX(I$470:I3176))/MAX(I$470:I3176)&gt;T3175,T3175,(I3176-MAX(I$470:I3176))/MAX(I$470:I3176))</f>
        <v>-0.91338805338419748</v>
      </c>
      <c r="U3176" s="564">
        <f>IF((J3176-MAX(J$470:J3176))/MAX(J$470:J3176)&gt;U3175,U3175,(J3176-MAX(J$470:J3176))/MAX(J$470:J3176))</f>
        <v>-0.83569785939843477</v>
      </c>
      <c r="V3176" s="564">
        <f>IF((K3176-MAX(K$470:K3176))/MAX(K$470:K3176)&gt;V3175,V3175,(K3176-MAX(K$470:K3176))/MAX(K$470:K3176))</f>
        <v>-0.84885940676762139</v>
      </c>
      <c r="W3176" s="564">
        <f>IF((N3176-MAX(N$470:N3176))/MAX(N$470:N3176)&gt;W3175,W3175,(N3176-MAX(N$470:N3176))/MAX(N$470:N3176))</f>
        <v>-0.62788758315546067</v>
      </c>
      <c r="X3176" s="564">
        <f>IF((O3176-MAX(O$470:O3176))/MAX(O$470:O3176)&gt;X3175,X3175,(O3176-MAX(O$470:O3176))/MAX(O$470:O3176))</f>
        <v>-0.62788758315546067</v>
      </c>
    </row>
    <row r="3177" spans="1:24">
      <c r="A3177" s="799">
        <v>43579</v>
      </c>
      <c r="B3177">
        <v>5433.7510350000002</v>
      </c>
      <c r="C3177">
        <v>6921.5737600000002</v>
      </c>
      <c r="D3177">
        <v>1.2389079999999999</v>
      </c>
      <c r="E3177">
        <f>LN(D3177/参数实验室!$E$53)/参数实验室!$E$55</f>
        <v>-0.44022934773140215</v>
      </c>
      <c r="F3177">
        <f t="shared" si="438"/>
        <v>1.2738113534125142</v>
      </c>
      <c r="G3177">
        <f>LN(F3177/参数实验室!$E$58)/参数实验室!$E$59</f>
        <v>-6.3508275424735985E-2</v>
      </c>
      <c r="H3177" s="856">
        <f>INDEX(神经网络!$G$10:$BO$70,MATCH(ROUND(G3177*2,1)/2,神经网络!$E$10:$E$70,0),MATCH(ROUND(E3177*2,1)/2,神经网络!$G$8:$BO$8,0))</f>
        <v>-0.26259475049172853</v>
      </c>
      <c r="I3177">
        <f t="shared" si="440"/>
        <v>620650.18744051119</v>
      </c>
      <c r="J3177">
        <f t="shared" si="441"/>
        <v>2168.2099816447849</v>
      </c>
      <c r="K3177">
        <f t="shared" si="442"/>
        <v>286.25003698658901</v>
      </c>
      <c r="L3177" s="4">
        <f>MIN(MAX(L3176*(1+MAX(MIN(((B3177-B3176)/B3176)/($K$7*卓尔金历!$N$40),0),-卓尔金历!$M$43))+MIN(MAX(((B3177-B3176)/B3176)/($K$7*卓尔金历!$N$40),0),卓尔金历!$M$43),0),1)</f>
        <v>0.70135124259579873</v>
      </c>
      <c r="M3177" s="4">
        <f>MIN(MAX(M3176*(1+MAX(MIN(((B3177-B3176)/B3176)/($K$7*30),0),-卓尔金历!$M$43))+MIN(MAX(((B3177-B3176)/B3176)/($K$7*7),0),卓尔金历!$M$43),0),1)</f>
        <v>0.85067562129789942</v>
      </c>
      <c r="N3177">
        <f t="shared" si="443"/>
        <v>239610.41059864941</v>
      </c>
      <c r="O3177">
        <f t="shared" si="444"/>
        <v>668929.23833372386</v>
      </c>
      <c r="P3177">
        <f t="shared" si="445"/>
        <v>-1.954630331075282E-2</v>
      </c>
      <c r="Q3177">
        <f t="shared" si="436"/>
        <v>1.7547365246159064E-2</v>
      </c>
      <c r="R3177">
        <f t="shared" si="437"/>
        <v>1.637327105711734E-2</v>
      </c>
      <c r="S3177">
        <f t="shared" si="439"/>
        <v>1102.3936054957812</v>
      </c>
      <c r="T3177" s="564">
        <f>IF((I3177-MAX(I$470:I3177))/MAX(I$470:I3177)&gt;T3176,T3176,(I3177-MAX(I$470:I3177))/MAX(I$470:I3177))</f>
        <v>-0.91338805338419748</v>
      </c>
      <c r="U3177" s="564">
        <f>IF((J3177-MAX(J$470:J3177))/MAX(J$470:J3177)&gt;U3176,U3176,(J3177-MAX(J$470:J3177))/MAX(J$470:J3177))</f>
        <v>-0.83569785939843477</v>
      </c>
      <c r="V3177" s="564">
        <f>IF((K3177-MAX(K$470:K3177))/MAX(K$470:K3177)&gt;V3176,V3176,(K3177-MAX(K$470:K3177))/MAX(K$470:K3177))</f>
        <v>-0.84885940676762139</v>
      </c>
      <c r="W3177" s="564">
        <f>IF((N3177-MAX(N$470:N3177))/MAX(N$470:N3177)&gt;W3176,W3176,(N3177-MAX(N$470:N3177))/MAX(N$470:N3177))</f>
        <v>-0.62788758315546067</v>
      </c>
      <c r="X3177" s="564">
        <f>IF((O3177-MAX(O$470:O3177))/MAX(O$470:O3177)&gt;X3176,X3176,(O3177-MAX(O$470:O3177))/MAX(O$470:O3177))</f>
        <v>-0.62788758315546067</v>
      </c>
    </row>
    <row r="3178" spans="1:24">
      <c r="A3178" s="799">
        <v>43580</v>
      </c>
      <c r="B3178">
        <v>5437.4525389999999</v>
      </c>
      <c r="C3178">
        <v>6880.4575569999997</v>
      </c>
      <c r="D3178">
        <v>1.1703079999999999</v>
      </c>
      <c r="E3178">
        <f>LN(D3178/参数实验室!$E$53)/参数实验室!$E$55</f>
        <v>-0.5074320853010672</v>
      </c>
      <c r="F3178">
        <f t="shared" si="438"/>
        <v>1.26538254957631</v>
      </c>
      <c r="G3178">
        <f>LN(F3178/参数实验室!$E$58)/参数实验室!$E$59</f>
        <v>-6.6992773410929504E-2</v>
      </c>
      <c r="H3178" s="856">
        <f>INDEX(神经网络!$G$10:$BO$70,MATCH(ROUND(G3178*2,1)/2,神经网络!$E$10:$E$70,0),MATCH(ROUND(E3178*2,1)/2,神经网络!$G$8:$BO$8,0))</f>
        <v>-0.29867672432117554</v>
      </c>
      <c r="I3178">
        <f t="shared" si="440"/>
        <v>620539.16483432741</v>
      </c>
      <c r="J3178">
        <f t="shared" si="441"/>
        <v>2169.6869793703345</v>
      </c>
      <c r="K3178">
        <f t="shared" si="442"/>
        <v>286.00400460273505</v>
      </c>
      <c r="L3178" s="4">
        <f>MIN(MAX(L3177*(1+MAX(MIN(((B3178-B3177)/B3177)/($K$7*卓尔金历!$N$40),0),-卓尔金历!$M$43))+MIN(MAX(((B3178-B3177)/B3177)/($K$7*卓尔金历!$N$40),0),卓尔金历!$M$43),0),1)</f>
        <v>0.71175941711245261</v>
      </c>
      <c r="M3178" s="4">
        <f>MIN(MAX(M3177*(1+MAX(MIN(((B3178-B3177)/B3177)/($K$7*30),0),-卓尔金历!$M$43))+MIN(MAX(((B3178-B3177)/B3177)/($K$7*7),0),卓尔金历!$M$43),0),1)</f>
        <v>0.87297885240501494</v>
      </c>
      <c r="N3178">
        <f t="shared" si="443"/>
        <v>239580.34943546401</v>
      </c>
      <c r="O3178">
        <f t="shared" si="444"/>
        <v>668827.44749496493</v>
      </c>
      <c r="P3178">
        <f t="shared" si="445"/>
        <v>6.8120603541778921E-4</v>
      </c>
      <c r="Q3178">
        <f t="shared" si="436"/>
        <v>1.7562618203282847E-2</v>
      </c>
      <c r="R3178">
        <f t="shared" si="437"/>
        <v>1</v>
      </c>
      <c r="S3178">
        <f t="shared" si="439"/>
        <v>1102.3903767290922</v>
      </c>
      <c r="T3178" s="564">
        <f>IF((I3178-MAX(I$470:I3178))/MAX(I$470:I3178)&gt;T3177,T3177,(I3178-MAX(I$470:I3178))/MAX(I$470:I3178))</f>
        <v>-0.91338805338419748</v>
      </c>
      <c r="U3178" s="564">
        <f>IF((J3178-MAX(J$470:J3178))/MAX(J$470:J3178)&gt;U3177,U3177,(J3178-MAX(J$470:J3178))/MAX(J$470:J3178))</f>
        <v>-0.83569785939843477</v>
      </c>
      <c r="V3178" s="564">
        <f>IF((K3178-MAX(K$470:K3178))/MAX(K$470:K3178)&gt;V3177,V3177,(K3178-MAX(K$470:K3178))/MAX(K$470:K3178))</f>
        <v>-0.84885940676762139</v>
      </c>
      <c r="W3178" s="564">
        <f>IF((N3178-MAX(N$470:N3178))/MAX(N$470:N3178)&gt;W3177,W3177,(N3178-MAX(N$470:N3178))/MAX(N$470:N3178))</f>
        <v>-0.62788758315546067</v>
      </c>
      <c r="X3178" s="564">
        <f>IF((O3178-MAX(O$470:O3178))/MAX(O$470:O3178)&gt;X3177,X3177,(O3178-MAX(O$470:O3178))/MAX(O$470:O3178))</f>
        <v>-0.62788758315546067</v>
      </c>
    </row>
    <row r="3179" spans="1:24">
      <c r="A3179" s="799">
        <v>43581</v>
      </c>
      <c r="B3179">
        <v>5235.5506729999997</v>
      </c>
      <c r="C3179">
        <v>6873.2095680000002</v>
      </c>
      <c r="D3179">
        <v>1.176731</v>
      </c>
      <c r="E3179">
        <f>LN(D3179/参数实验室!$E$53)/参数实验室!$E$55</f>
        <v>-0.50097495015953908</v>
      </c>
      <c r="F3179">
        <f t="shared" si="438"/>
        <v>1.3127959210566886</v>
      </c>
      <c r="G3179">
        <f>LN(F3179/参数实验室!$E$58)/参数实验室!$E$59</f>
        <v>-4.7686192455086367E-2</v>
      </c>
      <c r="H3179" s="856">
        <f>INDEX(神经网络!$G$10:$BO$70,MATCH(ROUND(G3179*2,1)/2,神经网络!$E$10:$E$70,0),MATCH(ROUND(E3179*2,1)/2,神经网络!$G$8:$BO$8,0))</f>
        <v>-0.29867672432117554</v>
      </c>
      <c r="I3179">
        <f t="shared" si="440"/>
        <v>627421.17690522608</v>
      </c>
      <c r="J3179">
        <f t="shared" si="441"/>
        <v>2089.1228095447091</v>
      </c>
      <c r="K3179">
        <f t="shared" si="442"/>
        <v>300.32757003977304</v>
      </c>
      <c r="L3179" s="4">
        <f>MIN(MAX(L3178*(1+MAX(MIN(((B3179-B3178)/B3178)/($K$7*卓尔金历!$N$40),0),-卓尔金历!$M$43))+MIN(MAX(((B3179-B3178)/B3178)/($K$7*卓尔金历!$N$40),0),卓尔金历!$M$43),0),1)</f>
        <v>0.30795212822733331</v>
      </c>
      <c r="M3179" s="4">
        <f>MIN(MAX(M3178*(1+MAX(MIN(((B3179-B3178)/B3178)/($K$7*30),0),-卓尔金历!$M$43))+MIN(MAX(((B3179-B3178)/B3178)/($K$7*7),0),卓尔金历!$M$43),0),1)</f>
        <v>0.62534235110388992</v>
      </c>
      <c r="N3179">
        <f t="shared" si="443"/>
        <v>241471.51978005038</v>
      </c>
      <c r="O3179">
        <f t="shared" si="444"/>
        <v>675302.8093687956</v>
      </c>
      <c r="P3179">
        <f t="shared" si="445"/>
        <v>-3.7131701757737431E-2</v>
      </c>
      <c r="Q3179">
        <f t="shared" si="436"/>
        <v>1.9666331129612233E-2</v>
      </c>
      <c r="R3179">
        <f t="shared" si="437"/>
        <v>6.400467790528561E-3</v>
      </c>
      <c r="S3179">
        <f t="shared" si="439"/>
        <v>1114.6162994579463</v>
      </c>
      <c r="T3179" s="564">
        <f>IF((I3179-MAX(I$470:I3179))/MAX(I$470:I3179)&gt;T3178,T3178,(I3179-MAX(I$470:I3179))/MAX(I$470:I3179))</f>
        <v>-0.91338805338419748</v>
      </c>
      <c r="U3179" s="564">
        <f>IF((J3179-MAX(J$470:J3179))/MAX(J$470:J3179)&gt;U3178,U3178,(J3179-MAX(J$470:J3179))/MAX(J$470:J3179))</f>
        <v>-0.83569785939843477</v>
      </c>
      <c r="V3179" s="564">
        <f>IF((K3179-MAX(K$470:K3179))/MAX(K$470:K3179)&gt;V3178,V3178,(K3179-MAX(K$470:K3179))/MAX(K$470:K3179))</f>
        <v>-0.84885940676762139</v>
      </c>
      <c r="W3179" s="564">
        <f>IF((N3179-MAX(N$470:N3179))/MAX(N$470:N3179)&gt;W3178,W3178,(N3179-MAX(N$470:N3179))/MAX(N$470:N3179))</f>
        <v>-0.62788758315546067</v>
      </c>
      <c r="X3179" s="564">
        <f>IF((O3179-MAX(O$470:O3179))/MAX(O$470:O3179)&gt;X3178,X3178,(O3179-MAX(O$470:O3179))/MAX(O$470:O3179))</f>
        <v>-0.62788758315546067</v>
      </c>
    </row>
    <row r="3180" spans="1:24">
      <c r="A3180" s="799">
        <v>43582</v>
      </c>
      <c r="B3180">
        <v>5258.2172360000004</v>
      </c>
      <c r="C3180">
        <v>6918.6197259999999</v>
      </c>
      <c r="D3180">
        <v>1.184137</v>
      </c>
      <c r="E3180">
        <f>LN(D3180/参数实验室!$E$53)/参数实验室!$E$55</f>
        <v>-0.49357319691867735</v>
      </c>
      <c r="F3180">
        <f t="shared" si="438"/>
        <v>1.3157728970633193</v>
      </c>
      <c r="G3180">
        <f>LN(F3180/参数实验室!$E$58)/参数实验室!$E$59</f>
        <v>-4.6497348890854794E-2</v>
      </c>
      <c r="H3180" s="856">
        <f>INDEX(神经网络!$G$10:$BO$70,MATCH(ROUND(G3180*2,1)/2,神经网络!$E$10:$E$70,0),MATCH(ROUND(E3180*2,1)/2,神经网络!$G$8:$BO$8,0))</f>
        <v>-0.29867672432117554</v>
      </c>
      <c r="I3180">
        <f t="shared" si="440"/>
        <v>626609.87245710008</v>
      </c>
      <c r="J3180">
        <f t="shared" si="441"/>
        <v>2098.167366026893</v>
      </c>
      <c r="K3180">
        <f t="shared" si="442"/>
        <v>298.6462770334922</v>
      </c>
      <c r="L3180" s="4">
        <f>MIN(MAX(L3179*(1+MAX(MIN(((B3180-B3179)/B3179)/($K$7*卓尔金历!$N$40),0),-卓尔金历!$M$43))+MIN(MAX(((B3180-B3179)/B3179)/($K$7*卓尔金历!$N$40),0),卓尔金历!$M$43),0),1)</f>
        <v>0.37410053415389388</v>
      </c>
      <c r="M3180" s="4">
        <f>MIN(MAX(M3179*(1+MAX(MIN(((B3180-B3179)/B3179)/($K$7*30),0),-卓尔金历!$M$43))+MIN(MAX(((B3180-B3179)/B3179)/($K$7*7),0),卓尔金历!$M$43),0),1)</f>
        <v>0.76708893523223398</v>
      </c>
      <c r="N3180">
        <f t="shared" si="443"/>
        <v>241375.36435115832</v>
      </c>
      <c r="O3180">
        <f t="shared" si="444"/>
        <v>674756.74846617645</v>
      </c>
      <c r="P3180">
        <f t="shared" si="445"/>
        <v>4.329356053584448E-3</v>
      </c>
      <c r="Q3180">
        <f t="shared" ref="Q3180:Q3243" si="446">STDEVP(P3160:P3180)</f>
        <v>1.9660326301325026E-2</v>
      </c>
      <c r="R3180">
        <f t="shared" ref="R3180:R3243" si="447">MIN(Q3179*MAX(1-LN(MAX(ABS(P3180),0.0001)/Q3180),0)+MAX(-LN(MAX(ABS(P3180),0.0001)/Q3180),0),1)</f>
        <v>1</v>
      </c>
      <c r="S3180">
        <f t="shared" si="439"/>
        <v>1114.6070745553327</v>
      </c>
      <c r="T3180" s="564">
        <f>IF((I3180-MAX(I$470:I3180))/MAX(I$470:I3180)&gt;T3179,T3179,(I3180-MAX(I$470:I3180))/MAX(I$470:I3180))</f>
        <v>-0.91338805338419748</v>
      </c>
      <c r="U3180" s="564">
        <f>IF((J3180-MAX(J$470:J3180))/MAX(J$470:J3180)&gt;U3179,U3179,(J3180-MAX(J$470:J3180))/MAX(J$470:J3180))</f>
        <v>-0.83569785939843477</v>
      </c>
      <c r="V3180" s="564">
        <f>IF((K3180-MAX(K$470:K3180))/MAX(K$470:K3180)&gt;V3179,V3179,(K3180-MAX(K$470:K3180))/MAX(K$470:K3180))</f>
        <v>-0.84885940676762139</v>
      </c>
      <c r="W3180" s="564">
        <f>IF((N3180-MAX(N$470:N3180))/MAX(N$470:N3180)&gt;W3179,W3179,(N3180-MAX(N$470:N3180))/MAX(N$470:N3180))</f>
        <v>-0.62788758315546067</v>
      </c>
      <c r="X3180" s="564">
        <f>IF((O3180-MAX(O$470:O3180))/MAX(O$470:O3180)&gt;X3179,X3179,(O3180-MAX(O$470:O3180))/MAX(O$470:O3180))</f>
        <v>-0.62788758315546067</v>
      </c>
    </row>
    <row r="3181" spans="1:24">
      <c r="A3181" s="799">
        <v>43583</v>
      </c>
      <c r="B3181">
        <v>5280.5205530000003</v>
      </c>
      <c r="C3181">
        <v>6844.4159200000004</v>
      </c>
      <c r="D3181">
        <v>1.176507</v>
      </c>
      <c r="E3181">
        <f>LN(D3181/参数实验室!$E$53)/参数实验室!$E$55</f>
        <v>-0.50119954684499801</v>
      </c>
      <c r="F3181">
        <f t="shared" si="438"/>
        <v>1.2961631057588652</v>
      </c>
      <c r="G3181">
        <f>LN(F3181/参数实验室!$E$58)/参数实验室!$E$59</f>
        <v>-5.4378454419753995E-2</v>
      </c>
      <c r="H3181" s="856">
        <f>INDEX(神经网络!$G$10:$BO$70,MATCH(ROUND(G3181*2,1)/2,神经网络!$E$10:$E$70,0),MATCH(ROUND(E3181*2,1)/2,神经网络!$G$8:$BO$8,0))</f>
        <v>-0.29867672432117554</v>
      </c>
      <c r="I3181">
        <f t="shared" si="440"/>
        <v>625816.03873210959</v>
      </c>
      <c r="J3181">
        <f t="shared" si="441"/>
        <v>2107.0669777742296</v>
      </c>
      <c r="K3181">
        <f t="shared" si="442"/>
        <v>297.00813753589432</v>
      </c>
      <c r="L3181" s="4">
        <f>MIN(MAX(L3180*(1+MAX(MIN(((B3181-B3180)/B3180)/($K$7*卓尔金历!$N$40),0),-卓尔金历!$M$43))+MIN(MAX(((B3181-B3180)/B3180)/($K$7*卓尔金历!$N$40),0),卓尔金历!$M$43),0),1)</f>
        <v>0.43890829419368438</v>
      </c>
      <c r="M3181" s="4">
        <f>MIN(MAX(M3180*(1+MAX(MIN(((B3181-B3180)/B3180)/($K$7*30),0),-卓尔金历!$M$43))+MIN(MAX(((B3181-B3180)/B3180)/($K$7*7),0),卓尔金历!$M$43),0),1)</f>
        <v>0.90596270674607082</v>
      </c>
      <c r="N3181">
        <f t="shared" si="443"/>
        <v>241260.96762839131</v>
      </c>
      <c r="O3181">
        <f t="shared" si="444"/>
        <v>674101.01814283023</v>
      </c>
      <c r="P3181">
        <f t="shared" si="445"/>
        <v>4.2416119378449885E-3</v>
      </c>
      <c r="Q3181">
        <f t="shared" si="446"/>
        <v>1.8784971240901119E-2</v>
      </c>
      <c r="R3181">
        <f t="shared" si="447"/>
        <v>1</v>
      </c>
      <c r="S3181">
        <f t="shared" si="439"/>
        <v>1113.1950114443168</v>
      </c>
      <c r="T3181" s="564">
        <f>IF((I3181-MAX(I$470:I3181))/MAX(I$470:I3181)&gt;T3180,T3180,(I3181-MAX(I$470:I3181))/MAX(I$470:I3181))</f>
        <v>-0.91338805338419748</v>
      </c>
      <c r="U3181" s="564">
        <f>IF((J3181-MAX(J$470:J3181))/MAX(J$470:J3181)&gt;U3180,U3180,(J3181-MAX(J$470:J3181))/MAX(J$470:J3181))</f>
        <v>-0.83569785939843477</v>
      </c>
      <c r="V3181" s="564">
        <f>IF((K3181-MAX(K$470:K3181))/MAX(K$470:K3181)&gt;V3180,V3180,(K3181-MAX(K$470:K3181))/MAX(K$470:K3181))</f>
        <v>-0.84885940676762139</v>
      </c>
      <c r="W3181" s="564">
        <f>IF((N3181-MAX(N$470:N3181))/MAX(N$470:N3181)&gt;W3180,W3180,(N3181-MAX(N$470:N3181))/MAX(N$470:N3181))</f>
        <v>-0.62788758315546067</v>
      </c>
      <c r="X3181" s="564">
        <f>IF((O3181-MAX(O$470:O3181))/MAX(O$470:O3181)&gt;X3180,X3180,(O3181-MAX(O$470:O3181))/MAX(O$470:O3181))</f>
        <v>-0.62788758315546067</v>
      </c>
    </row>
    <row r="3182" spans="1:24">
      <c r="A3182" s="799">
        <v>43584</v>
      </c>
      <c r="B3182">
        <v>5218.865777</v>
      </c>
      <c r="C3182">
        <v>6733.8854860000001</v>
      </c>
      <c r="D3182">
        <v>1.1770830000000001</v>
      </c>
      <c r="E3182">
        <f>LN(D3182/参数实验室!$E$53)/参数实验室!$E$55</f>
        <v>-0.50062209887649456</v>
      </c>
      <c r="F3182">
        <f t="shared" si="438"/>
        <v>1.2902967375932191</v>
      </c>
      <c r="G3182">
        <f>LN(F3182/参数实验室!$E$58)/参数实验室!$E$59</f>
        <v>-5.6759308959312839E-2</v>
      </c>
      <c r="H3182" s="856">
        <f>INDEX(神经网络!$G$10:$BO$70,MATCH(ROUND(G3182*2,1)/2,神经网络!$E$10:$E$70,0),MATCH(ROUND(E3182*2,1)/2,神经网络!$G$8:$BO$8,0))</f>
        <v>-0.29867672432117554</v>
      </c>
      <c r="I3182">
        <f t="shared" si="440"/>
        <v>627998.4573395882</v>
      </c>
      <c r="J3182">
        <f t="shared" si="441"/>
        <v>2082.465095965842</v>
      </c>
      <c r="K3182">
        <f t="shared" si="442"/>
        <v>301.5649378979503</v>
      </c>
      <c r="L3182" s="4">
        <f>MIN(MAX(L3181*(1+MAX(MIN(((B3182-B3181)/B3181)/($K$7*卓尔金历!$N$40),0),-卓尔金历!$M$43))+MIN(MAX(((B3182-B3181)/B3181)/($K$7*卓尔金历!$N$40),0),卓尔金历!$M$43),0),1)</f>
        <v>0.36060863833332135</v>
      </c>
      <c r="M3182" s="4">
        <f>MIN(MAX(M3181*(1+MAX(MIN(((B3182-B3181)/B3181)/($K$7*30),0),-卓尔金历!$M$43))+MIN(MAX(((B3182-B3181)/B3181)/($K$7*7),0),卓尔金历!$M$43),0),1)</f>
        <v>0.82515246791148977</v>
      </c>
      <c r="N3182">
        <f t="shared" si="443"/>
        <v>241630.24459509741</v>
      </c>
      <c r="O3182">
        <f t="shared" si="444"/>
        <v>676230.7585476574</v>
      </c>
      <c r="P3182">
        <f t="shared" si="445"/>
        <v>-1.1675889787981725E-2</v>
      </c>
      <c r="Q3182">
        <f t="shared" si="446"/>
        <v>1.8796415422072266E-2</v>
      </c>
      <c r="R3182">
        <f t="shared" si="447"/>
        <v>0.50386941948292829</v>
      </c>
      <c r="S3182">
        <f t="shared" si="439"/>
        <v>1117.0770747925981</v>
      </c>
      <c r="T3182" s="564">
        <f>IF((I3182-MAX(I$470:I3182))/MAX(I$470:I3182)&gt;T3181,T3181,(I3182-MAX(I$470:I3182))/MAX(I$470:I3182))</f>
        <v>-0.91338805338419748</v>
      </c>
      <c r="U3182" s="564">
        <f>IF((J3182-MAX(J$470:J3182))/MAX(J$470:J3182)&gt;U3181,U3181,(J3182-MAX(J$470:J3182))/MAX(J$470:J3182))</f>
        <v>-0.83569785939843477</v>
      </c>
      <c r="V3182" s="564">
        <f>IF((K3182-MAX(K$470:K3182))/MAX(K$470:K3182)&gt;V3181,V3181,(K3182-MAX(K$470:K3182))/MAX(K$470:K3182))</f>
        <v>-0.84885940676762139</v>
      </c>
      <c r="W3182" s="564">
        <f>IF((N3182-MAX(N$470:N3182))/MAX(N$470:N3182)&gt;W3181,W3181,(N3182-MAX(N$470:N3182))/MAX(N$470:N3182))</f>
        <v>-0.62788758315546067</v>
      </c>
      <c r="X3182" s="564">
        <f>IF((O3182-MAX(O$470:O3182))/MAX(O$470:O3182)&gt;X3181,X3181,(O3182-MAX(O$470:O3182))/MAX(O$470:O3182))</f>
        <v>-0.62788758315546067</v>
      </c>
    </row>
    <row r="3183" spans="1:24">
      <c r="A3183" s="799">
        <v>43585</v>
      </c>
      <c r="B3183">
        <v>5290.0401119999997</v>
      </c>
      <c r="C3183">
        <v>6731.3487679999998</v>
      </c>
      <c r="D3183">
        <v>1.2033370000000001</v>
      </c>
      <c r="E3183">
        <f>LN(D3183/参数实验室!$E$53)/参数实验室!$E$55</f>
        <v>-0.47459770180208638</v>
      </c>
      <c r="F3183">
        <f t="shared" si="438"/>
        <v>1.2724570372785107</v>
      </c>
      <c r="G3183">
        <f>LN(F3183/参数实验室!$E$58)/参数实验室!$E$59</f>
        <v>-6.4066597059777339E-2</v>
      </c>
      <c r="H3183" s="856">
        <f>INDEX(神经网络!$G$10:$BO$70,MATCH(ROUND(G3183*2,1)/2,神经网络!$E$10:$E$70,0),MATCH(ROUND(E3183*2,1)/2,神经网络!$G$8:$BO$8,0))</f>
        <v>-0.26259475049172853</v>
      </c>
      <c r="I3183">
        <f t="shared" si="440"/>
        <v>625440.41783463652</v>
      </c>
      <c r="J3183">
        <f t="shared" si="441"/>
        <v>2110.8655328997229</v>
      </c>
      <c r="K3183">
        <f t="shared" si="442"/>
        <v>296.29571760331936</v>
      </c>
      <c r="L3183" s="4">
        <f>MIN(MAX(L3182*(1+MAX(MIN(((B3183-B3182)/B3182)/($K$7*卓尔金历!$N$40),0),-卓尔金历!$M$43))+MIN(MAX(((B3183-B3182)/B3182)/($K$7*卓尔金历!$N$40),0),卓尔金历!$M$43),0),1)</f>
        <v>0.56898256178096829</v>
      </c>
      <c r="M3183" s="4">
        <f>MIN(MAX(M3182*(1+MAX(MIN(((B3183-B3182)/B3182)/($K$7*30),0),-卓尔金历!$M$43))+MIN(MAX(((B3183-B3182)/B3182)/($K$7*7),0),卓尔金历!$M$43),0),1)</f>
        <v>1</v>
      </c>
      <c r="N3183">
        <f t="shared" si="443"/>
        <v>241275.32000471247</v>
      </c>
      <c r="O3183">
        <f t="shared" si="444"/>
        <v>673957.87181225943</v>
      </c>
      <c r="P3183">
        <f t="shared" si="445"/>
        <v>1.3637893374010737E-2</v>
      </c>
      <c r="Q3183">
        <f t="shared" si="446"/>
        <v>1.8984403914831003E-2</v>
      </c>
      <c r="R3183">
        <f t="shared" si="447"/>
        <v>0.3557792227746624</v>
      </c>
      <c r="S3183">
        <f t="shared" si="439"/>
        <v>1114.7843611742303</v>
      </c>
      <c r="T3183" s="564">
        <f>IF((I3183-MAX(I$470:I3183))/MAX(I$470:I3183)&gt;T3182,T3182,(I3183-MAX(I$470:I3183))/MAX(I$470:I3183))</f>
        <v>-0.91338805338419748</v>
      </c>
      <c r="U3183" s="564">
        <f>IF((J3183-MAX(J$470:J3183))/MAX(J$470:J3183)&gt;U3182,U3182,(J3183-MAX(J$470:J3183))/MAX(J$470:J3183))</f>
        <v>-0.83569785939843477</v>
      </c>
      <c r="V3183" s="564">
        <f>IF((K3183-MAX(K$470:K3183))/MAX(K$470:K3183)&gt;V3182,V3182,(K3183-MAX(K$470:K3183))/MAX(K$470:K3183))</f>
        <v>-0.84885940676762139</v>
      </c>
      <c r="W3183" s="564">
        <f>IF((N3183-MAX(N$470:N3183))/MAX(N$470:N3183)&gt;W3182,W3182,(N3183-MAX(N$470:N3183))/MAX(N$470:N3183))</f>
        <v>-0.62788758315546067</v>
      </c>
      <c r="X3183" s="564">
        <f>IF((O3183-MAX(O$470:O3183))/MAX(O$470:O3183)&gt;X3182,X3182,(O3183-MAX(O$470:O3183))/MAX(O$470:O3183))</f>
        <v>-0.62788758315546067</v>
      </c>
    </row>
    <row r="3184" spans="1:24">
      <c r="A3184" s="799">
        <v>43586</v>
      </c>
      <c r="B3184">
        <v>5331.3373320000001</v>
      </c>
      <c r="C3184">
        <v>6573.5399450000004</v>
      </c>
      <c r="D3184">
        <v>1.217997</v>
      </c>
      <c r="E3184">
        <f>LN(D3184/参数实验室!$E$53)/参数实验室!$E$55</f>
        <v>-0.4603118627630236</v>
      </c>
      <c r="F3184">
        <f t="shared" si="438"/>
        <v>1.2330001903169763</v>
      </c>
      <c r="G3184">
        <f>LN(F3184/参数实验室!$E$58)/参数实验室!$E$59</f>
        <v>-8.0599146654344769E-2</v>
      </c>
      <c r="H3184" s="856">
        <f>INDEX(神经网络!$G$10:$BO$70,MATCH(ROUND(G3184*2,1)/2,神经网络!$E$10:$E$70,0),MATCH(ROUND(E3184*2,1)/2,神经网络!$G$8:$BO$8,0))</f>
        <v>-0.34771742471376055</v>
      </c>
      <c r="I3184">
        <f t="shared" si="440"/>
        <v>624158.28259995591</v>
      </c>
      <c r="J3184">
        <f t="shared" si="441"/>
        <v>2127.3442129204723</v>
      </c>
      <c r="K3184">
        <f t="shared" si="442"/>
        <v>293.39788023448051</v>
      </c>
      <c r="L3184" s="4">
        <f>MIN(MAX(L3183*(1+MAX(MIN(((B3184-B3183)/B3183)/($K$7*卓尔金历!$N$40),0),-卓尔金历!$M$43))+MIN(MAX(((B3184-B3183)/B3183)/($K$7*卓尔金历!$N$40),0),卓尔金历!$M$43),0),1)</f>
        <v>0.68825989772994889</v>
      </c>
      <c r="M3184" s="4">
        <f>MIN(MAX(M3183*(1+MAX(MIN(((B3184-B3183)/B3183)/($K$7*30),0),-卓尔金历!$M$43))+MIN(MAX(((B3184-B3183)/B3183)/($K$7*7),0),卓尔金历!$M$43),0),1)</f>
        <v>1</v>
      </c>
      <c r="N3184">
        <f t="shared" si="443"/>
        <v>240993.89690081339</v>
      </c>
      <c r="O3184">
        <f t="shared" si="444"/>
        <v>672576.27716391149</v>
      </c>
      <c r="P3184">
        <f t="shared" si="445"/>
        <v>7.8065986506078086E-3</v>
      </c>
      <c r="Q3184">
        <f t="shared" si="446"/>
        <v>1.8926665265580019E-2</v>
      </c>
      <c r="R3184">
        <f t="shared" si="447"/>
        <v>0.92139946962837427</v>
      </c>
      <c r="S3184">
        <f t="shared" si="439"/>
        <v>1113.97130726614</v>
      </c>
      <c r="T3184" s="564">
        <f>IF((I3184-MAX(I$470:I3184))/MAX(I$470:I3184)&gt;T3183,T3183,(I3184-MAX(I$470:I3184))/MAX(I$470:I3184))</f>
        <v>-0.91338805338419748</v>
      </c>
      <c r="U3184" s="564">
        <f>IF((J3184-MAX(J$470:J3184))/MAX(J$470:J3184)&gt;U3183,U3183,(J3184-MAX(J$470:J3184))/MAX(J$470:J3184))</f>
        <v>-0.83569785939843477</v>
      </c>
      <c r="V3184" s="564">
        <f>IF((K3184-MAX(K$470:K3184))/MAX(K$470:K3184)&gt;V3183,V3183,(K3184-MAX(K$470:K3184))/MAX(K$470:K3184))</f>
        <v>-0.84885940676762139</v>
      </c>
      <c r="W3184" s="564">
        <f>IF((N3184-MAX(N$470:N3184))/MAX(N$470:N3184)&gt;W3183,W3183,(N3184-MAX(N$470:N3184))/MAX(N$470:N3184))</f>
        <v>-0.62788758315546067</v>
      </c>
      <c r="X3184" s="564">
        <f>IF((O3184-MAX(O$470:O3184))/MAX(O$470:O3184)&gt;X3183,X3183,(O3184-MAX(O$470:O3184))/MAX(O$470:O3184))</f>
        <v>-0.62788758315546067</v>
      </c>
    </row>
    <row r="3185" spans="1:24">
      <c r="A3185" s="799">
        <v>43587</v>
      </c>
      <c r="B3185">
        <v>5484.8153990000001</v>
      </c>
      <c r="C3185">
        <v>6455.9384810000001</v>
      </c>
      <c r="D3185">
        <v>1.2356799999999999</v>
      </c>
      <c r="E3185">
        <f>LN(D3185/参数实验室!$E$53)/参数实验室!$E$55</f>
        <v>-0.44330723029738794</v>
      </c>
      <c r="F3185">
        <f t="shared" si="438"/>
        <v>1.1770566575817769</v>
      </c>
      <c r="G3185">
        <f>LN(F3185/参数实验室!$E$58)/参数实验室!$E$59</f>
        <v>-0.10496991179595576</v>
      </c>
      <c r="H3185" s="856">
        <f>INDEX(神经网络!$G$10:$BO$70,MATCH(ROUND(G3185*2,1)/2,神经网络!$E$10:$E$70,0),MATCH(ROUND(E3185*2,1)/2,神经网络!$G$8:$BO$8,0))</f>
        <v>-0.34771742471376055</v>
      </c>
      <c r="I3185">
        <f t="shared" si="440"/>
        <v>617910.42172110232</v>
      </c>
      <c r="J3185">
        <f t="shared" si="441"/>
        <v>2188.586009736242</v>
      </c>
      <c r="K3185">
        <f t="shared" si="442"/>
        <v>282.33316806935539</v>
      </c>
      <c r="L3185" s="4">
        <f>MIN(MAX(L3184*(1+MAX(MIN(((B3185-B3184)/B3184)/($K$7*卓尔金历!$N$40),0),-卓尔金历!$M$43))+MIN(MAX(((B3185-B3184)/B3184)/($K$7*卓尔金历!$N$40),0),卓尔金历!$M$43),0),1)</f>
        <v>1</v>
      </c>
      <c r="M3185" s="4">
        <f>MIN(MAX(M3184*(1+MAX(MIN(((B3185-B3184)/B3184)/($K$7*30),0),-卓尔金历!$M$43))+MIN(MAX(((B3185-B3184)/B3184)/($K$7*7),0),卓尔金历!$M$43),0),1)</f>
        <v>1</v>
      </c>
      <c r="N3185">
        <f t="shared" si="443"/>
        <v>239333.56419642214</v>
      </c>
      <c r="O3185">
        <f t="shared" si="444"/>
        <v>665843.7493303736</v>
      </c>
      <c r="P3185">
        <f t="shared" si="445"/>
        <v>2.8787911445555477E-2</v>
      </c>
      <c r="Q3185">
        <f t="shared" si="446"/>
        <v>1.7219084918603973E-2</v>
      </c>
      <c r="R3185">
        <f t="shared" si="447"/>
        <v>9.1995479026772322E-3</v>
      </c>
      <c r="S3185">
        <f t="shared" si="439"/>
        <v>1103.6968574494183</v>
      </c>
      <c r="T3185" s="564">
        <f>IF((I3185-MAX(I$470:I3185))/MAX(I$470:I3185)&gt;T3184,T3184,(I3185-MAX(I$470:I3185))/MAX(I$470:I3185))</f>
        <v>-0.91338805338419748</v>
      </c>
      <c r="U3185" s="564">
        <f>IF((J3185-MAX(J$470:J3185))/MAX(J$470:J3185)&gt;U3184,U3184,(J3185-MAX(J$470:J3185))/MAX(J$470:J3185))</f>
        <v>-0.83569785939843477</v>
      </c>
      <c r="V3185" s="564">
        <f>IF((K3185-MAX(K$470:K3185))/MAX(K$470:K3185)&gt;V3184,V3184,(K3185-MAX(K$470:K3185))/MAX(K$470:K3185))</f>
        <v>-0.84885940676762139</v>
      </c>
      <c r="W3185" s="564">
        <f>IF((N3185-MAX(N$470:N3185))/MAX(N$470:N3185)&gt;W3184,W3184,(N3185-MAX(N$470:N3185))/MAX(N$470:N3185))</f>
        <v>-0.62788758315546067</v>
      </c>
      <c r="X3185" s="564">
        <f>IF((O3185-MAX(O$470:O3185))/MAX(O$470:O3185)&gt;X3184,X3184,(O3185-MAX(O$470:O3185))/MAX(O$470:O3185))</f>
        <v>-0.62788758315546067</v>
      </c>
    </row>
    <row r="3186" spans="1:24">
      <c r="A3186" s="799">
        <v>43588</v>
      </c>
      <c r="B3186">
        <v>5751.1396679999998</v>
      </c>
      <c r="C3186">
        <v>6414.3115809999999</v>
      </c>
      <c r="D3186">
        <v>1.295164</v>
      </c>
      <c r="E3186">
        <f>LN(D3186/参数实验室!$E$53)/参数实验室!$E$55</f>
        <v>-0.38784006713383501</v>
      </c>
      <c r="F3186">
        <f t="shared" si="438"/>
        <v>1.1153113906605268</v>
      </c>
      <c r="G3186">
        <f>LN(F3186/参数实验室!$E$58)/参数实验室!$E$59</f>
        <v>-0.13325079243310126</v>
      </c>
      <c r="H3186" s="856">
        <f>INDEX(神经网络!$G$10:$BO$70,MATCH(ROUND(G3186*2,1)/2,神经网络!$E$10:$E$70,0),MATCH(ROUND(E3186*2,1)/2,神经网络!$G$8:$BO$8,0))</f>
        <v>-0.38990896592980601</v>
      </c>
      <c r="I3186">
        <f t="shared" si="440"/>
        <v>607477.62601832824</v>
      </c>
      <c r="J3186">
        <f t="shared" si="441"/>
        <v>2294.8564175411975</v>
      </c>
      <c r="K3186">
        <f t="shared" si="442"/>
        <v>264.71269460474764</v>
      </c>
      <c r="L3186" s="4">
        <f>MIN(MAX(L3185*(1+MAX(MIN(((B3186-B3185)/B3185)/($K$7*卓尔金历!$N$40),0),-卓尔金历!$M$43))+MIN(MAX(((B3186-B3185)/B3185)/($K$7*卓尔金历!$N$40),0),卓尔金历!$M$43),0),1)</f>
        <v>1</v>
      </c>
      <c r="M3186" s="4">
        <f>MIN(MAX(M3185*(1+MAX(MIN(((B3186-B3185)/B3185)/($K$7*30),0),-卓尔金历!$M$43))+MIN(MAX(((B3186-B3185)/B3185)/($K$7*7),0),卓尔金历!$M$43),0),1)</f>
        <v>1</v>
      </c>
      <c r="N3186">
        <f t="shared" si="443"/>
        <v>235292.65779266992</v>
      </c>
      <c r="O3186">
        <f t="shared" si="444"/>
        <v>654601.64762348845</v>
      </c>
      <c r="P3186">
        <f t="shared" si="445"/>
        <v>4.8556651341183948E-2</v>
      </c>
      <c r="Q3186">
        <f t="shared" si="446"/>
        <v>1.9624710846788816E-2</v>
      </c>
      <c r="R3186">
        <f t="shared" si="447"/>
        <v>1.6195986206669565E-3</v>
      </c>
      <c r="S3186">
        <f t="shared" si="439"/>
        <v>1103.5254256143382</v>
      </c>
      <c r="T3186" s="564">
        <f>IF((I3186-MAX(I$470:I3186))/MAX(I$470:I3186)&gt;T3185,T3185,(I3186-MAX(I$470:I3186))/MAX(I$470:I3186))</f>
        <v>-0.91338805338419748</v>
      </c>
      <c r="U3186" s="564">
        <f>IF((J3186-MAX(J$470:J3186))/MAX(J$470:J3186)&gt;U3185,U3185,(J3186-MAX(J$470:J3186))/MAX(J$470:J3186))</f>
        <v>-0.83569785939843477</v>
      </c>
      <c r="V3186" s="564">
        <f>IF((K3186-MAX(K$470:K3186))/MAX(K$470:K3186)&gt;V3185,V3185,(K3186-MAX(K$470:K3186))/MAX(K$470:K3186))</f>
        <v>-0.84885940676762139</v>
      </c>
      <c r="W3186" s="564">
        <f>IF((N3186-MAX(N$470:N3186))/MAX(N$470:N3186)&gt;W3185,W3185,(N3186-MAX(N$470:N3186))/MAX(N$470:N3186))</f>
        <v>-0.62788758315546067</v>
      </c>
      <c r="X3186" s="564">
        <f>IF((O3186-MAX(O$470:O3186))/MAX(O$470:O3186)&gt;X3185,X3185,(O3186-MAX(O$470:O3186))/MAX(O$470:O3186))</f>
        <v>-0.62788758315546067</v>
      </c>
    </row>
    <row r="3187" spans="1:24">
      <c r="A3187" s="799">
        <v>43589</v>
      </c>
      <c r="B3187">
        <v>5635.4286549999997</v>
      </c>
      <c r="C3187">
        <v>6451.260413</v>
      </c>
      <c r="D3187">
        <v>1.3209949999999999</v>
      </c>
      <c r="E3187">
        <f>LN(D3187/参数实验室!$E$53)/参数实验室!$E$55</f>
        <v>-0.36454240334533139</v>
      </c>
      <c r="F3187">
        <f t="shared" si="438"/>
        <v>1.144768358885381</v>
      </c>
      <c r="G3187">
        <f>LN(F3187/参数实验室!$E$58)/参数实验室!$E$59</f>
        <v>-0.11956854567411698</v>
      </c>
      <c r="H3187" s="856">
        <f>INDEX(神经网络!$G$10:$BO$70,MATCH(ROUND(G3187*2,1)/2,神经网络!$E$10:$E$70,0),MATCH(ROUND(E3187*2,1)/2,神经网络!$G$8:$BO$8,0))</f>
        <v>-0.26728515199184727</v>
      </c>
      <c r="I3187">
        <f t="shared" si="440"/>
        <v>612243.18983812362</v>
      </c>
      <c r="J3187">
        <f t="shared" si="441"/>
        <v>2248.6846714017775</v>
      </c>
      <c r="K3187">
        <f t="shared" si="442"/>
        <v>272.2672492166123</v>
      </c>
      <c r="L3187" s="4">
        <f>MIN(MAX(L3186*(1+MAX(MIN(((B3187-B3186)/B3186)/($K$7*卓尔金历!$N$40),0),-卓尔金历!$M$43))+MIN(MAX(((B3187-B3186)/B3186)/($K$7*卓尔金历!$N$40),0),卓尔金历!$M$43),0),1)</f>
        <v>0.69259080092863079</v>
      </c>
      <c r="M3187" s="4">
        <f>MIN(MAX(M3186*(1+MAX(MIN(((B3187-B3186)/B3186)/($K$7*30),0),-卓尔金历!$M$43))+MIN(MAX(((B3187-B3186)/B3186)/($K$7*7),0),卓尔金历!$M$43),0),1)</f>
        <v>0.84629540046431539</v>
      </c>
      <c r="N3187">
        <f t="shared" si="443"/>
        <v>237138.49067443339</v>
      </c>
      <c r="O3187">
        <f t="shared" si="444"/>
        <v>659736.89177847037</v>
      </c>
      <c r="P3187">
        <f t="shared" si="445"/>
        <v>-2.0119666653868523E-2</v>
      </c>
      <c r="Q3187">
        <f t="shared" si="446"/>
        <v>2.0425415640655219E-2</v>
      </c>
      <c r="R3187">
        <f t="shared" si="447"/>
        <v>3.5002907862403287E-2</v>
      </c>
      <c r="S3187">
        <f t="shared" si="439"/>
        <v>1103.5394464450287</v>
      </c>
      <c r="T3187" s="564">
        <f>IF((I3187-MAX(I$470:I3187))/MAX(I$470:I3187)&gt;T3186,T3186,(I3187-MAX(I$470:I3187))/MAX(I$470:I3187))</f>
        <v>-0.91338805338419748</v>
      </c>
      <c r="U3187" s="564">
        <f>IF((J3187-MAX(J$470:J3187))/MAX(J$470:J3187)&gt;U3186,U3186,(J3187-MAX(J$470:J3187))/MAX(J$470:J3187))</f>
        <v>-0.83569785939843477</v>
      </c>
      <c r="V3187" s="564">
        <f>IF((K3187-MAX(K$470:K3187))/MAX(K$470:K3187)&gt;V3186,V3186,(K3187-MAX(K$470:K3187))/MAX(K$470:K3187))</f>
        <v>-0.84885940676762139</v>
      </c>
      <c r="W3187" s="564">
        <f>IF((N3187-MAX(N$470:N3187))/MAX(N$470:N3187)&gt;W3186,W3186,(N3187-MAX(N$470:N3187))/MAX(N$470:N3187))</f>
        <v>-0.62788758315546067</v>
      </c>
      <c r="X3187" s="564">
        <f>IF((O3187-MAX(O$470:O3187))/MAX(O$470:O3187)&gt;X3186,X3186,(O3187-MAX(O$470:O3187))/MAX(O$470:O3187))</f>
        <v>-0.62788758315546067</v>
      </c>
    </row>
    <row r="3188" spans="1:24">
      <c r="A3188" s="799">
        <v>43590</v>
      </c>
      <c r="B3188">
        <v>5747.2530550000001</v>
      </c>
      <c r="C3188">
        <v>6582.3683460000002</v>
      </c>
      <c r="D3188">
        <v>1.3095680000000001</v>
      </c>
      <c r="E3188">
        <f>LN(D3188/参数实验室!$E$53)/参数实验室!$E$55</f>
        <v>-0.37479201539767543</v>
      </c>
      <c r="F3188">
        <f t="shared" si="438"/>
        <v>1.145306859295758</v>
      </c>
      <c r="G3188">
        <f>LN(F3188/参数实验室!$E$58)/参数实验室!$E$59</f>
        <v>-0.11932171175307119</v>
      </c>
      <c r="H3188" s="856">
        <f>INDEX(神经网络!$G$10:$BO$70,MATCH(ROUND(G3188*2,1)/2,神经网络!$E$10:$E$70,0),MATCH(ROUND(E3188*2,1)/2,神经网络!$G$8:$BO$8,0))</f>
        <v>-0.26728515199184727</v>
      </c>
      <c r="I3188">
        <f t="shared" si="440"/>
        <v>608995.99447943433</v>
      </c>
      <c r="J3188">
        <f t="shared" si="441"/>
        <v>2293.3055564422789</v>
      </c>
      <c r="K3188">
        <f t="shared" si="442"/>
        <v>265.55379538006292</v>
      </c>
      <c r="L3188" s="4">
        <f>MIN(MAX(L3187*(1+MAX(MIN(((B3188-B3187)/B3187)/($K$7*卓尔金历!$N$40),0),-卓尔金历!$M$43))+MIN(MAX(((B3188-B3187)/B3187)/($K$7*卓尔金历!$N$40),0),卓尔金历!$M$43),0),1)</f>
        <v>0.99577439648973021</v>
      </c>
      <c r="M3188" s="4">
        <f>MIN(MAX(M3187*(1+MAX(MIN(((B3188-B3187)/B3187)/($K$7*30),0),-卓尔金历!$M$43))+MIN(MAX(((B3188-B3187)/B3187)/($K$7*7),0),卓尔金历!$M$43),0),1)</f>
        <v>1</v>
      </c>
      <c r="N3188">
        <f t="shared" si="443"/>
        <v>236267.40027996653</v>
      </c>
      <c r="O3188">
        <f t="shared" si="444"/>
        <v>656775.62724566692</v>
      </c>
      <c r="P3188">
        <f t="shared" si="445"/>
        <v>1.9843104552620838E-2</v>
      </c>
      <c r="Q3188">
        <f t="shared" si="446"/>
        <v>2.0608738789093032E-2</v>
      </c>
      <c r="R3188">
        <f t="shared" si="447"/>
        <v>5.9057323713899233E-2</v>
      </c>
      <c r="S3188">
        <f t="shared" si="439"/>
        <v>1103.3345773537237</v>
      </c>
      <c r="T3188" s="564">
        <f>IF((I3188-MAX(I$470:I3188))/MAX(I$470:I3188)&gt;T3187,T3187,(I3188-MAX(I$470:I3188))/MAX(I$470:I3188))</f>
        <v>-0.91338805338419748</v>
      </c>
      <c r="U3188" s="564">
        <f>IF((J3188-MAX(J$470:J3188))/MAX(J$470:J3188)&gt;U3187,U3187,(J3188-MAX(J$470:J3188))/MAX(J$470:J3188))</f>
        <v>-0.83569785939843477</v>
      </c>
      <c r="V3188" s="564">
        <f>IF((K3188-MAX(K$470:K3188))/MAX(K$470:K3188)&gt;V3187,V3187,(K3188-MAX(K$470:K3188))/MAX(K$470:K3188))</f>
        <v>-0.84885940676762139</v>
      </c>
      <c r="W3188" s="564">
        <f>IF((N3188-MAX(N$470:N3188))/MAX(N$470:N3188)&gt;W3187,W3187,(N3188-MAX(N$470:N3188))/MAX(N$470:N3188))</f>
        <v>-0.62788758315546067</v>
      </c>
      <c r="X3188" s="564">
        <f>IF((O3188-MAX(O$470:O3188))/MAX(O$470:O3188)&gt;X3187,X3187,(O3188-MAX(O$470:O3188))/MAX(O$470:O3188))</f>
        <v>-0.62788758315546067</v>
      </c>
    </row>
    <row r="3189" spans="1:24">
      <c r="A3189" s="799">
        <v>43591</v>
      </c>
      <c r="B3189">
        <v>5691.7555439999996</v>
      </c>
      <c r="C3189">
        <v>6530.692067</v>
      </c>
      <c r="D3189">
        <v>1.299393</v>
      </c>
      <c r="E3189">
        <f>LN(D3189/参数实验室!$E$53)/参数实验室!$E$55</f>
        <v>-0.38399418447480749</v>
      </c>
      <c r="F3189">
        <f t="shared" si="438"/>
        <v>1.1473950377022728</v>
      </c>
      <c r="G3189">
        <f>LN(F3189/参数实验室!$E$58)/参数实验室!$E$59</f>
        <v>-0.11836564399404188</v>
      </c>
      <c r="H3189" s="856">
        <f>INDEX(神经网络!$G$10:$BO$70,MATCH(ROUND(G3189*2,1)/2,神经网络!$E$10:$E$70,0),MATCH(ROUND(E3189*2,1)/2,神经网络!$G$8:$BO$8,0))</f>
        <v>-0.30661717938408184</v>
      </c>
      <c r="I3189">
        <f t="shared" si="440"/>
        <v>610567.81319711823</v>
      </c>
      <c r="J3189">
        <f t="shared" si="441"/>
        <v>2271.1605857707173</v>
      </c>
      <c r="K3189">
        <f t="shared" si="442"/>
        <v>268.8351572418303</v>
      </c>
      <c r="L3189" s="4">
        <f>MIN(MAX(L3188*(1+MAX(MIN(((B3189-B3188)/B3188)/($K$7*卓尔金历!$N$40),0),-卓尔金历!$M$43))+MIN(MAX(((B3189-B3188)/B3188)/($K$7*卓尔金历!$N$40),0),卓尔金历!$M$43),0),1)</f>
        <v>0.84885801609510037</v>
      </c>
      <c r="M3189" s="4">
        <f>MIN(MAX(M3188*(1+MAX(MIN(((B3189-B3188)/B3188)/($K$7*30),0),-卓尔金历!$M$43))+MIN(MAX(((B3189-B3188)/B3188)/($K$7*7),0),卓尔金历!$M$43),0),1)</f>
        <v>0.92623008740105461</v>
      </c>
      <c r="N3189">
        <f t="shared" si="443"/>
        <v>236874.6296626463</v>
      </c>
      <c r="O3189">
        <f t="shared" si="444"/>
        <v>658470.76519990875</v>
      </c>
      <c r="P3189">
        <f t="shared" si="445"/>
        <v>-9.6563541693572581E-3</v>
      </c>
      <c r="Q3189">
        <f t="shared" si="446"/>
        <v>2.0786976970594843E-2</v>
      </c>
      <c r="R3189">
        <f t="shared" si="447"/>
        <v>0.8031201972886578</v>
      </c>
      <c r="S3189">
        <f t="shared" si="439"/>
        <v>1103.5027552869283</v>
      </c>
      <c r="T3189" s="564">
        <f>IF((I3189-MAX(I$470:I3189))/MAX(I$470:I3189)&gt;T3188,T3188,(I3189-MAX(I$470:I3189))/MAX(I$470:I3189))</f>
        <v>-0.91338805338419748</v>
      </c>
      <c r="U3189" s="564">
        <f>IF((J3189-MAX(J$470:J3189))/MAX(J$470:J3189)&gt;U3188,U3188,(J3189-MAX(J$470:J3189))/MAX(J$470:J3189))</f>
        <v>-0.83569785939843477</v>
      </c>
      <c r="V3189" s="564">
        <f>IF((K3189-MAX(K$470:K3189))/MAX(K$470:K3189)&gt;V3188,V3188,(K3189-MAX(K$470:K3189))/MAX(K$470:K3189))</f>
        <v>-0.84885940676762139</v>
      </c>
      <c r="W3189" s="564">
        <f>IF((N3189-MAX(N$470:N3189))/MAX(N$470:N3189)&gt;W3188,W3188,(N3189-MAX(N$470:N3189))/MAX(N$470:N3189))</f>
        <v>-0.62788758315546067</v>
      </c>
      <c r="X3189" s="564">
        <f>IF((O3189-MAX(O$470:O3189))/MAX(O$470:O3189)&gt;X3188,X3188,(O3189-MAX(O$470:O3189))/MAX(O$470:O3189))</f>
        <v>-0.62788758315546067</v>
      </c>
    </row>
    <row r="3190" spans="1:24">
      <c r="A3190" s="799">
        <v>43592</v>
      </c>
      <c r="B3190">
        <v>5878.6421959999998</v>
      </c>
      <c r="C3190">
        <v>6595.5273829999996</v>
      </c>
      <c r="D3190">
        <v>1.328702</v>
      </c>
      <c r="E3190">
        <f>LN(D3190/参数实验室!$E$53)/参数实验室!$E$55</f>
        <v>-0.35767944211441138</v>
      </c>
      <c r="F3190">
        <f t="shared" si="438"/>
        <v>1.1219474094694502</v>
      </c>
      <c r="G3190">
        <f>LN(F3190/参数实验室!$E$58)/参数实验室!$E$59</f>
        <v>-0.1301372040400566</v>
      </c>
      <c r="H3190" s="856">
        <f>INDEX(神经网络!$G$10:$BO$70,MATCH(ROUND(G3190*2,1)/2,神经网络!$E$10:$E$70,0),MATCH(ROUND(E3190*2,1)/2,神经网络!$G$8:$BO$8,0))</f>
        <v>-0.35365214793145566</v>
      </c>
      <c r="I3190">
        <f t="shared" si="440"/>
        <v>604420.82420988847</v>
      </c>
      <c r="J3190">
        <f t="shared" si="441"/>
        <v>2345.7332891744122</v>
      </c>
      <c r="K3190">
        <f t="shared" si="442"/>
        <v>257.66817864558516</v>
      </c>
      <c r="L3190" s="4">
        <f>MIN(MAX(L3189*(1+MAX(MIN(((B3190-B3189)/B3189)/($K$7*卓尔金历!$N$40),0),-卓尔金历!$M$43))+MIN(MAX(((B3190-B3189)/B3189)/($K$7*卓尔金历!$N$40),0),卓尔金历!$M$43),0),1)</f>
        <v>1</v>
      </c>
      <c r="M3190" s="4">
        <f>MIN(MAX(M3189*(1+MAX(MIN(((B3190-B3189)/B3189)/($K$7*30),0),-卓尔金历!$M$43))+MIN(MAX(((B3190-B3189)/B3189)/($K$7*7),0),卓尔金历!$M$43),0),1)</f>
        <v>1</v>
      </c>
      <c r="N3190">
        <f t="shared" si="443"/>
        <v>234850.29584001095</v>
      </c>
      <c r="O3190">
        <f t="shared" si="444"/>
        <v>652330.54549359845</v>
      </c>
      <c r="P3190">
        <f t="shared" si="445"/>
        <v>3.283462379142546E-2</v>
      </c>
      <c r="Q3190">
        <f t="shared" si="446"/>
        <v>2.1094575617281987E-2</v>
      </c>
      <c r="R3190">
        <f t="shared" si="447"/>
        <v>1.1589412445168625E-2</v>
      </c>
      <c r="S3190">
        <f t="shared" si="439"/>
        <v>1094.5803386577354</v>
      </c>
      <c r="T3190" s="564">
        <f>IF((I3190-MAX(I$470:I3190))/MAX(I$470:I3190)&gt;T3189,T3189,(I3190-MAX(I$470:I3190))/MAX(I$470:I3190))</f>
        <v>-0.91338805338419748</v>
      </c>
      <c r="U3190" s="564">
        <f>IF((J3190-MAX(J$470:J3190))/MAX(J$470:J3190)&gt;U3189,U3189,(J3190-MAX(J$470:J3190))/MAX(J$470:J3190))</f>
        <v>-0.83569785939843477</v>
      </c>
      <c r="V3190" s="564">
        <f>IF((K3190-MAX(K$470:K3190))/MAX(K$470:K3190)&gt;V3189,V3189,(K3190-MAX(K$470:K3190))/MAX(K$470:K3190))</f>
        <v>-0.84885940676762139</v>
      </c>
      <c r="W3190" s="564">
        <f>IF((N3190-MAX(N$470:N3190))/MAX(N$470:N3190)&gt;W3189,W3189,(N3190-MAX(N$470:N3190))/MAX(N$470:N3190))</f>
        <v>-0.62788758315546067</v>
      </c>
      <c r="X3190" s="564">
        <f>IF((O3190-MAX(O$470:O3190))/MAX(O$470:O3190)&gt;X3189,X3189,(O3190-MAX(O$470:O3190))/MAX(O$470:O3190))</f>
        <v>-0.62788758315546067</v>
      </c>
    </row>
    <row r="3191" spans="1:24">
      <c r="A3191" s="799">
        <v>43593</v>
      </c>
      <c r="B3191">
        <v>5925.0631450000001</v>
      </c>
      <c r="C3191">
        <v>6579.70021</v>
      </c>
      <c r="D3191">
        <v>1.3512630000000001</v>
      </c>
      <c r="E3191">
        <f>LN(D3191/参数实验室!$E$53)/参数实验室!$E$55</f>
        <v>-0.33781571872502492</v>
      </c>
      <c r="F3191">
        <f t="shared" si="438"/>
        <v>1.1104860908617371</v>
      </c>
      <c r="G3191">
        <f>LN(F3191/参数实验室!$E$58)/参数实验室!$E$59</f>
        <v>-0.1355264550637128</v>
      </c>
      <c r="H3191" s="856">
        <f>INDEX(神经网络!$G$10:$BO$70,MATCH(ROUND(G3191*2,1)/2,神经网络!$E$10:$E$70,0),MATCH(ROUND(E3191*2,1)/2,神经网络!$G$8:$BO$8,0))</f>
        <v>-0.35365214793145566</v>
      </c>
      <c r="I3191">
        <f t="shared" si="440"/>
        <v>602732.90091879177</v>
      </c>
      <c r="J3191">
        <f t="shared" si="441"/>
        <v>2364.2564722078109</v>
      </c>
      <c r="K3191">
        <f t="shared" si="442"/>
        <v>254.93549790558146</v>
      </c>
      <c r="L3191" s="4">
        <f>MIN(MAX(L3190*(1+MAX(MIN(((B3191-B3190)/B3190)/($K$7*卓尔金历!$N$40),0),-卓尔金历!$M$43))+MIN(MAX(((B3191-B3190)/B3190)/($K$7*卓尔金历!$N$40),0),卓尔金历!$M$43),0),1)</f>
        <v>1</v>
      </c>
      <c r="M3191" s="4">
        <f>MIN(MAX(M3190*(1+MAX(MIN(((B3191-B3190)/B3190)/($K$7*30),0),-卓尔金历!$M$43))+MIN(MAX(((B3191-B3190)/B3190)/($K$7*7),0),卓尔金历!$M$43),0),1)</f>
        <v>1</v>
      </c>
      <c r="N3191">
        <f t="shared" si="443"/>
        <v>234194.4460274445</v>
      </c>
      <c r="O3191">
        <f t="shared" si="444"/>
        <v>650508.82811205089</v>
      </c>
      <c r="P3191">
        <f t="shared" si="445"/>
        <v>7.8965426798022278E-3</v>
      </c>
      <c r="Q3191">
        <f t="shared" si="446"/>
        <v>2.0636723513857678E-2</v>
      </c>
      <c r="R3191">
        <f t="shared" si="447"/>
        <v>1</v>
      </c>
      <c r="S3191">
        <f t="shared" si="439"/>
        <v>1094.5449126389242</v>
      </c>
      <c r="T3191" s="564">
        <f>IF((I3191-MAX(I$470:I3191))/MAX(I$470:I3191)&gt;T3190,T3190,(I3191-MAX(I$470:I3191))/MAX(I$470:I3191))</f>
        <v>-0.91338805338419748</v>
      </c>
      <c r="U3191" s="564">
        <f>IF((J3191-MAX(J$470:J3191))/MAX(J$470:J3191)&gt;U3190,U3190,(J3191-MAX(J$470:J3191))/MAX(J$470:J3191))</f>
        <v>-0.83569785939843477</v>
      </c>
      <c r="V3191" s="564">
        <f>IF((K3191-MAX(K$470:K3191))/MAX(K$470:K3191)&gt;V3190,V3190,(K3191-MAX(K$470:K3191))/MAX(K$470:K3191))</f>
        <v>-0.84885940676762139</v>
      </c>
      <c r="W3191" s="564">
        <f>IF((N3191-MAX(N$470:N3191))/MAX(N$470:N3191)&gt;W3190,W3190,(N3191-MAX(N$470:N3191))/MAX(N$470:N3191))</f>
        <v>-0.62788758315546067</v>
      </c>
      <c r="X3191" s="564">
        <f>IF((O3191-MAX(O$470:O3191))/MAX(O$470:O3191)&gt;X3190,X3190,(O3191-MAX(O$470:O3191))/MAX(O$470:O3191))</f>
        <v>-0.62788758315546067</v>
      </c>
    </row>
    <row r="3192" spans="1:24">
      <c r="A3192" s="799">
        <v>43594</v>
      </c>
      <c r="B3192">
        <v>6033.513817</v>
      </c>
      <c r="C3192">
        <v>6501.3422849999997</v>
      </c>
      <c r="D3192">
        <v>1.3992849999999999</v>
      </c>
      <c r="E3192">
        <f>LN(D3192/参数实验室!$E$53)/参数实验室!$E$55</f>
        <v>-0.29661675200899057</v>
      </c>
      <c r="F3192">
        <f t="shared" si="438"/>
        <v>1.0775383105416696</v>
      </c>
      <c r="G3192">
        <f>LN(F3192/参数实验室!$E$58)/参数实验室!$E$59</f>
        <v>-0.15133439845416735</v>
      </c>
      <c r="H3192" s="856">
        <f>INDEX(神经网络!$G$10:$BO$70,MATCH(ROUND(G3192*2,1)/2,神经网络!$E$10:$E$70,0),MATCH(ROUND(E3192*2,1)/2,神经网络!$G$8:$BO$8,0))</f>
        <v>-0.31016069708053556</v>
      </c>
      <c r="I3192">
        <f t="shared" si="440"/>
        <v>598831.32139739767</v>
      </c>
      <c r="J3192">
        <f t="shared" si="441"/>
        <v>2407.5311507920655</v>
      </c>
      <c r="K3192">
        <f t="shared" si="442"/>
        <v>248.73253299355449</v>
      </c>
      <c r="L3192" s="4">
        <f>MIN(MAX(L3191*(1+MAX(MIN(((B3192-B3191)/B3191)/($K$7*卓尔金历!$N$40),0),-卓尔金历!$M$43))+MIN(MAX(((B3192-B3191)/B3191)/($K$7*卓尔金历!$N$40),0),卓尔金历!$M$43),0),1)</f>
        <v>1</v>
      </c>
      <c r="M3192" s="4">
        <f>MIN(MAX(M3191*(1+MAX(MIN(((B3192-B3191)/B3191)/($K$7*30),0),-卓尔金历!$M$43))+MIN(MAX(((B3192-B3191)/B3191)/($K$7*7),0),卓尔金历!$M$43),0),1)</f>
        <v>1</v>
      </c>
      <c r="N3192">
        <f t="shared" si="443"/>
        <v>232678.47062067303</v>
      </c>
      <c r="O3192">
        <f t="shared" si="444"/>
        <v>646297.98792333854</v>
      </c>
      <c r="P3192">
        <f t="shared" si="445"/>
        <v>1.8303715816348477E-2</v>
      </c>
      <c r="Q3192">
        <f t="shared" si="446"/>
        <v>2.0790348971364402E-2</v>
      </c>
      <c r="R3192">
        <f t="shared" si="447"/>
        <v>0.15065032632848463</v>
      </c>
      <c r="S3192">
        <f t="shared" si="439"/>
        <v>1087.4597609740849</v>
      </c>
      <c r="T3192" s="564">
        <f>IF((I3192-MAX(I$470:I3192))/MAX(I$470:I3192)&gt;T3191,T3191,(I3192-MAX(I$470:I3192))/MAX(I$470:I3192))</f>
        <v>-0.91338805338419748</v>
      </c>
      <c r="U3192" s="564">
        <f>IF((J3192-MAX(J$470:J3192))/MAX(J$470:J3192)&gt;U3191,U3191,(J3192-MAX(J$470:J3192))/MAX(J$470:J3192))</f>
        <v>-0.83569785939843477</v>
      </c>
      <c r="V3192" s="564">
        <f>IF((K3192-MAX(K$470:K3192))/MAX(K$470:K3192)&gt;V3191,V3191,(K3192-MAX(K$470:K3192))/MAX(K$470:K3192))</f>
        <v>-0.84885940676762139</v>
      </c>
      <c r="W3192" s="564">
        <f>IF((N3192-MAX(N$470:N3192))/MAX(N$470:N3192)&gt;W3191,W3191,(N3192-MAX(N$470:N3192))/MAX(N$470:N3192))</f>
        <v>-0.62788758315546067</v>
      </c>
      <c r="X3192" s="564">
        <f>IF((O3192-MAX(O$470:O3192))/MAX(O$470:O3192)&gt;X3191,X3191,(O3192-MAX(O$470:O3192))/MAX(O$470:O3192))</f>
        <v>-0.62788758315546067</v>
      </c>
    </row>
    <row r="3193" spans="1:24">
      <c r="A3193" s="799">
        <v>43595</v>
      </c>
      <c r="B3193">
        <v>6295.3282950000003</v>
      </c>
      <c r="C3193">
        <v>6606.3911989999997</v>
      </c>
      <c r="D3193">
        <v>1.4447300000000001</v>
      </c>
      <c r="E3193">
        <f>LN(D3193/参数实验室!$E$53)/参数实验室!$E$55</f>
        <v>-0.25891058659230198</v>
      </c>
      <c r="F3193">
        <f t="shared" si="438"/>
        <v>1.0494117049061695</v>
      </c>
      <c r="G3193">
        <f>LN(F3193/参数实验室!$E$58)/参数实验室!$E$59</f>
        <v>-0.16521645790700004</v>
      </c>
      <c r="H3193" s="856">
        <f>INDEX(神经网络!$G$10:$BO$70,MATCH(ROUND(G3193*2,1)/2,神经网络!$E$10:$E$70,0),MATCH(ROUND(E3193*2,1)/2,神经网络!$G$8:$BO$8,0))</f>
        <v>-0.26937055401147175</v>
      </c>
      <c r="I3193">
        <f t="shared" si="440"/>
        <v>590771.70041311102</v>
      </c>
      <c r="J3193">
        <f t="shared" si="441"/>
        <v>2512.0020330393822</v>
      </c>
      <c r="K3193">
        <f t="shared" si="442"/>
        <v>235.17962670528186</v>
      </c>
      <c r="L3193" s="4">
        <f>MIN(MAX(L3192*(1+MAX(MIN(((B3193-B3192)/B3192)/($K$7*卓尔金历!$N$40),0),-卓尔金历!$M$43))+MIN(MAX(((B3193-B3192)/B3192)/($K$7*卓尔金历!$N$40),0),卓尔金历!$M$43),0),1)</f>
        <v>1</v>
      </c>
      <c r="M3193" s="4">
        <f>MIN(MAX(M3192*(1+MAX(MIN(((B3193-B3192)/B3192)/($K$7*30),0),-卓尔金历!$M$43))+MIN(MAX(((B3193-B3192)/B3192)/($K$7*7),0),卓尔金历!$M$43),0),1)</f>
        <v>1</v>
      </c>
      <c r="N3193">
        <f t="shared" si="443"/>
        <v>229546.87042309149</v>
      </c>
      <c r="O3193">
        <f t="shared" si="444"/>
        <v>637599.5170193552</v>
      </c>
      <c r="P3193">
        <f t="shared" si="445"/>
        <v>4.3393366774484382E-2</v>
      </c>
      <c r="Q3193">
        <f t="shared" si="446"/>
        <v>2.2168069636978534E-2</v>
      </c>
      <c r="R3193">
        <f t="shared" si="447"/>
        <v>6.8264353820342424E-3</v>
      </c>
      <c r="S3193">
        <f t="shared" si="439"/>
        <v>1085.2548381968707</v>
      </c>
      <c r="T3193" s="564">
        <f>IF((I3193-MAX(I$470:I3193))/MAX(I$470:I3193)&gt;T3192,T3192,(I3193-MAX(I$470:I3193))/MAX(I$470:I3193))</f>
        <v>-0.91338805338419748</v>
      </c>
      <c r="U3193" s="564">
        <f>IF((J3193-MAX(J$470:J3193))/MAX(J$470:J3193)&gt;U3192,U3192,(J3193-MAX(J$470:J3193))/MAX(J$470:J3193))</f>
        <v>-0.83569785939843477</v>
      </c>
      <c r="V3193" s="564">
        <f>IF((K3193-MAX(K$470:K3193))/MAX(K$470:K3193)&gt;V3192,V3192,(K3193-MAX(K$470:K3193))/MAX(K$470:K3193))</f>
        <v>-0.84885940676762139</v>
      </c>
      <c r="W3193" s="564">
        <f>IF((N3193-MAX(N$470:N3193))/MAX(N$470:N3193)&gt;W3192,W3192,(N3193-MAX(N$470:N3193))/MAX(N$470:N3193))</f>
        <v>-0.62788758315546067</v>
      </c>
      <c r="X3193" s="564">
        <f>IF((O3193-MAX(O$470:O3193))/MAX(O$470:O3193)&gt;X3192,X3192,(O3193-MAX(O$470:O3193))/MAX(O$470:O3193))</f>
        <v>-0.62788758315546067</v>
      </c>
    </row>
    <row r="3194" spans="1:24">
      <c r="A3194" s="799">
        <v>43596</v>
      </c>
      <c r="B3194">
        <v>6858.9445230000001</v>
      </c>
      <c r="C3194">
        <v>6732.3383210000002</v>
      </c>
      <c r="D3194">
        <v>1.6543369999999999</v>
      </c>
      <c r="E3194">
        <f>LN(D3194/参数实验室!$E$53)/参数实验室!$E$55</f>
        <v>-9.9080128272566445E-2</v>
      </c>
      <c r="F3194">
        <f t="shared" si="438"/>
        <v>0.98154144539652521</v>
      </c>
      <c r="G3194">
        <f>LN(F3194/参数实验室!$E$58)/参数实验室!$E$59</f>
        <v>-0.20030860109785978</v>
      </c>
      <c r="H3194" s="856">
        <f>INDEX(神经网络!$G$10:$BO$70,MATCH(ROUND(G3194*2,1)/2,神经网络!$E$10:$E$70,0),MATCH(ROUND(E3194*2,1)/2,神经网络!$G$8:$BO$8,0))</f>
        <v>-0.22522253134567718</v>
      </c>
      <c r="I3194">
        <f t="shared" si="440"/>
        <v>576524.32366064342</v>
      </c>
      <c r="J3194">
        <f t="shared" si="441"/>
        <v>2736.8997737520431</v>
      </c>
      <c r="K3194">
        <f t="shared" si="442"/>
        <v>210.64867964466251</v>
      </c>
      <c r="L3194" s="4">
        <f>MIN(MAX(L3193*(1+MAX(MIN(((B3194-B3193)/B3193)/($K$7*卓尔金历!$N$40),0),-卓尔金历!$M$43))+MIN(MAX(((B3194-B3193)/B3193)/($K$7*卓尔金历!$N$40),0),卓尔金历!$M$43),0),1)</f>
        <v>1</v>
      </c>
      <c r="M3194" s="4">
        <f>MIN(MAX(M3193*(1+MAX(MIN(((B3194-B3193)/B3193)/($K$7*30),0),-卓尔金历!$M$43))+MIN(MAX(((B3194-B3193)/B3193)/($K$7*7),0),卓尔金历!$M$43),0),1)</f>
        <v>1</v>
      </c>
      <c r="N3194">
        <f t="shared" si="443"/>
        <v>224010.99126202011</v>
      </c>
      <c r="O3194">
        <f t="shared" si="444"/>
        <v>622222.81476734509</v>
      </c>
      <c r="P3194">
        <f t="shared" si="445"/>
        <v>8.9529282920423114E-2</v>
      </c>
      <c r="Q3194">
        <f t="shared" si="446"/>
        <v>2.8039964937872214E-2</v>
      </c>
      <c r="R3194">
        <f t="shared" si="447"/>
        <v>0</v>
      </c>
      <c r="S3194">
        <f t="shared" si="439"/>
        <v>1085.0761725978384</v>
      </c>
      <c r="T3194" s="564">
        <f>IF((I3194-MAX(I$470:I3194))/MAX(I$470:I3194)&gt;T3193,T3193,(I3194-MAX(I$470:I3194))/MAX(I$470:I3194))</f>
        <v>-0.91338805338419748</v>
      </c>
      <c r="U3194" s="564">
        <f>IF((J3194-MAX(J$470:J3194))/MAX(J$470:J3194)&gt;U3193,U3193,(J3194-MAX(J$470:J3194))/MAX(J$470:J3194))</f>
        <v>-0.83569785939843477</v>
      </c>
      <c r="V3194" s="564">
        <f>IF((K3194-MAX(K$470:K3194))/MAX(K$470:K3194)&gt;V3193,V3193,(K3194-MAX(K$470:K3194))/MAX(K$470:K3194))</f>
        <v>-0.84885940676762139</v>
      </c>
      <c r="W3194" s="564">
        <f>IF((N3194-MAX(N$470:N3194))/MAX(N$470:N3194)&gt;W3193,W3193,(N3194-MAX(N$470:N3194))/MAX(N$470:N3194))</f>
        <v>-0.62788758315546067</v>
      </c>
      <c r="X3194" s="564">
        <f>IF((O3194-MAX(O$470:O3194))/MAX(O$470:O3194)&gt;X3193,X3193,(O3194-MAX(O$470:O3194))/MAX(O$470:O3194))</f>
        <v>-0.62788758315546067</v>
      </c>
    </row>
    <row r="3195" spans="1:24">
      <c r="A3195" s="799">
        <v>43597</v>
      </c>
      <c r="B3195">
        <v>6915.7680300000002</v>
      </c>
      <c r="C3195">
        <v>6702.2677180000001</v>
      </c>
      <c r="D3195">
        <v>1.5656950000000001</v>
      </c>
      <c r="E3195">
        <f>LN(D3195/参数实验室!$E$53)/参数实验室!$E$55</f>
        <v>-0.16404974046188314</v>
      </c>
      <c r="F3195">
        <f t="shared" si="438"/>
        <v>0.96912847407925562</v>
      </c>
      <c r="G3195">
        <f>LN(F3195/参数实验室!$E$58)/参数实验室!$E$59</f>
        <v>-0.20698844586061838</v>
      </c>
      <c r="H3195" s="856">
        <f>INDEX(神经网络!$G$10:$BO$70,MATCH(ROUND(G3195*2,1)/2,神经网络!$E$10:$E$70,0),MATCH(ROUND(E3195*2,1)/2,神经网络!$G$8:$BO$8,0))</f>
        <v>-0.27028357383289736</v>
      </c>
      <c r="I3195">
        <f t="shared" si="440"/>
        <v>575448.60125631152</v>
      </c>
      <c r="J3195">
        <f t="shared" si="441"/>
        <v>2759.5738518016024</v>
      </c>
      <c r="K3195">
        <f t="shared" si="442"/>
        <v>208.52806707116278</v>
      </c>
      <c r="L3195" s="4">
        <f>MIN(MAX(L3194*(1+MAX(MIN(((B3195-B3194)/B3194)/($K$7*卓尔金历!$N$40),0),-卓尔金历!$M$43))+MIN(MAX(((B3195-B3194)/B3194)/($K$7*卓尔金历!$N$40),0),卓尔金历!$M$43),0),1)</f>
        <v>1</v>
      </c>
      <c r="M3195" s="4">
        <f>MIN(MAX(M3194*(1+MAX(MIN(((B3195-B3194)/B3194)/($K$7*30),0),-卓尔金历!$M$43))+MIN(MAX(((B3195-B3194)/B3194)/($K$7*7),0),卓尔金历!$M$43),0),1)</f>
        <v>1</v>
      </c>
      <c r="N3195">
        <f t="shared" si="443"/>
        <v>223593.01472186809</v>
      </c>
      <c r="O3195">
        <f t="shared" si="444"/>
        <v>621061.82468442584</v>
      </c>
      <c r="P3195">
        <f t="shared" si="445"/>
        <v>8.2845847213743468E-3</v>
      </c>
      <c r="Q3195">
        <f t="shared" si="446"/>
        <v>2.7490892860190561E-2</v>
      </c>
      <c r="R3195">
        <f t="shared" si="447"/>
        <v>1</v>
      </c>
      <c r="S3195">
        <f t="shared" si="439"/>
        <v>1085.0761725978384</v>
      </c>
      <c r="T3195" s="564">
        <f>IF((I3195-MAX(I$470:I3195))/MAX(I$470:I3195)&gt;T3194,T3194,(I3195-MAX(I$470:I3195))/MAX(I$470:I3195))</f>
        <v>-0.91338805338419748</v>
      </c>
      <c r="U3195" s="564">
        <f>IF((J3195-MAX(J$470:J3195))/MAX(J$470:J3195)&gt;U3194,U3194,(J3195-MAX(J$470:J3195))/MAX(J$470:J3195))</f>
        <v>-0.83569785939843477</v>
      </c>
      <c r="V3195" s="564">
        <f>IF((K3195-MAX(K$470:K3195))/MAX(K$470:K3195)&gt;V3194,V3194,(K3195-MAX(K$470:K3195))/MAX(K$470:K3195))</f>
        <v>-0.84885940676762139</v>
      </c>
      <c r="W3195" s="564">
        <f>IF((N3195-MAX(N$470:N3195))/MAX(N$470:N3195)&gt;W3194,W3194,(N3195-MAX(N$470:N3195))/MAX(N$470:N3195))</f>
        <v>-0.62788758315546067</v>
      </c>
      <c r="X3195" s="564">
        <f>IF((O3195-MAX(O$470:O3195))/MAX(O$470:O3195)&gt;X3194,X3194,(O3195-MAX(O$470:O3195))/MAX(O$470:O3195))</f>
        <v>-0.62788758315546067</v>
      </c>
    </row>
    <row r="3196" spans="1:24">
      <c r="A3196" s="799">
        <v>43598</v>
      </c>
      <c r="B3196">
        <v>7753.9497119999996</v>
      </c>
      <c r="C3196">
        <v>6558.9648530000004</v>
      </c>
      <c r="D3196">
        <v>1.7475350000000001</v>
      </c>
      <c r="E3196">
        <f>LN(D3196/参数实验室!$E$53)/参数实验室!$E$55</f>
        <v>-3.442269090083671E-2</v>
      </c>
      <c r="F3196">
        <f t="shared" si="438"/>
        <v>0.84588694750616678</v>
      </c>
      <c r="G3196">
        <f>LN(F3196/参数实验室!$E$58)/参数实验室!$E$59</f>
        <v>-0.27837461495796562</v>
      </c>
      <c r="H3196" s="856">
        <f>INDEX(神经网络!$G$10:$BO$70,MATCH(ROUND(G3196*2,1)/2,神经网络!$E$10:$E$70,0),MATCH(ROUND(E3196*2,1)/2,神经网络!$G$8:$BO$8,0))</f>
        <v>-0.35787984315646648</v>
      </c>
      <c r="I3196">
        <f t="shared" si="440"/>
        <v>556598.05502732703</v>
      </c>
      <c r="J3196">
        <f t="shared" si="441"/>
        <v>3094.0304505007762</v>
      </c>
      <c r="K3196">
        <f t="shared" si="442"/>
        <v>179.89417490614559</v>
      </c>
      <c r="L3196" s="4">
        <f>MIN(MAX(L3195*(1+MAX(MIN(((B3196-B3195)/B3195)/($K$7*卓尔金历!$N$40),0),-卓尔金历!$M$43))+MIN(MAX(((B3196-B3195)/B3195)/($K$7*卓尔金历!$N$40),0),卓尔金历!$M$43),0),1)</f>
        <v>1</v>
      </c>
      <c r="M3196" s="4">
        <f>MIN(MAX(M3195*(1+MAX(MIN(((B3196-B3195)/B3195)/($K$7*30),0),-卓尔金历!$M$43))+MIN(MAX(((B3196-B3195)/B3195)/($K$7*7),0),卓尔金历!$M$43),0),1)</f>
        <v>1</v>
      </c>
      <c r="N3196">
        <f t="shared" si="443"/>
        <v>216268.55437685939</v>
      </c>
      <c r="O3196">
        <f t="shared" si="444"/>
        <v>600717.08040715789</v>
      </c>
      <c r="P3196">
        <f t="shared" si="445"/>
        <v>0.12119864031934562</v>
      </c>
      <c r="Q3196">
        <f t="shared" si="446"/>
        <v>3.5775973721941398E-2</v>
      </c>
      <c r="R3196">
        <f t="shared" si="447"/>
        <v>0</v>
      </c>
      <c r="S3196">
        <f t="shared" si="439"/>
        <v>1049.5312455463702</v>
      </c>
      <c r="T3196" s="564">
        <f>IF((I3196-MAX(I$470:I3196))/MAX(I$470:I3196)&gt;T3195,T3195,(I3196-MAX(I$470:I3196))/MAX(I$470:I3196))</f>
        <v>-0.91338805338419748</v>
      </c>
      <c r="U3196" s="564">
        <f>IF((J3196-MAX(J$470:J3196))/MAX(J$470:J3196)&gt;U3195,U3195,(J3196-MAX(J$470:J3196))/MAX(J$470:J3196))</f>
        <v>-0.83569785939843477</v>
      </c>
      <c r="V3196" s="564">
        <f>IF((K3196-MAX(K$470:K3196))/MAX(K$470:K3196)&gt;V3195,V3195,(K3196-MAX(K$470:K3196))/MAX(K$470:K3196))</f>
        <v>-0.84885940676762139</v>
      </c>
      <c r="W3196" s="564">
        <f>IF((N3196-MAX(N$470:N3196))/MAX(N$470:N3196)&gt;W3195,W3195,(N3196-MAX(N$470:N3196))/MAX(N$470:N3196))</f>
        <v>-0.62788758315546067</v>
      </c>
      <c r="X3196" s="564">
        <f>IF((O3196-MAX(O$470:O3196))/MAX(O$470:O3196)&gt;X3195,X3195,(O3196-MAX(O$470:O3196))/MAX(O$470:O3196))</f>
        <v>-0.62788758315546067</v>
      </c>
    </row>
    <row r="3197" spans="1:24">
      <c r="A3197" s="799">
        <v>43599</v>
      </c>
      <c r="B3197">
        <v>8064.286384</v>
      </c>
      <c r="C3197">
        <v>6428.2705269999997</v>
      </c>
      <c r="D3197">
        <v>1.7713369999999999</v>
      </c>
      <c r="E3197">
        <f>LN(D3197/参数实验室!$E$53)/参数实验室!$E$55</f>
        <v>-1.846251105873515E-2</v>
      </c>
      <c r="F3197">
        <f t="shared" si="438"/>
        <v>0.79712825424380407</v>
      </c>
      <c r="G3197">
        <f>LN(F3197/参数实验室!$E$58)/参数实验室!$E$59</f>
        <v>-0.30953526866310854</v>
      </c>
      <c r="H3197" s="856">
        <f>INDEX(神经网络!$G$10:$BO$70,MATCH(ROUND(G3197*2,1)/2,神经网络!$E$10:$E$70,0),MATCH(ROUND(E3197*2,1)/2,神经网络!$G$8:$BO$8,0))</f>
        <v>-0.31265452478407557</v>
      </c>
      <c r="I3197">
        <f t="shared" si="440"/>
        <v>548625.6557485885</v>
      </c>
      <c r="J3197">
        <f t="shared" si="441"/>
        <v>3217.8629679581804</v>
      </c>
      <c r="K3197">
        <f t="shared" si="442"/>
        <v>170.49379082065326</v>
      </c>
      <c r="L3197" s="4">
        <f>MIN(MAX(L3196*(1+MAX(MIN(((B3197-B3196)/B3196)/($K$7*卓尔金历!$N$40),0),-卓尔金历!$M$43))+MIN(MAX(((B3197-B3196)/B3196)/($K$7*卓尔金历!$N$40),0),卓尔金历!$M$43),0),1)</f>
        <v>1</v>
      </c>
      <c r="M3197" s="4">
        <f>MIN(MAX(M3196*(1+MAX(MIN(((B3197-B3196)/B3196)/($K$7*30),0),-卓尔金历!$M$43))+MIN(MAX(((B3197-B3196)/B3196)/($K$7*7),0),卓尔金历!$M$43),0),1)</f>
        <v>1</v>
      </c>
      <c r="N3197">
        <f t="shared" si="443"/>
        <v>213170.84454594154</v>
      </c>
      <c r="O3197">
        <f t="shared" si="444"/>
        <v>592112.74488117616</v>
      </c>
      <c r="P3197">
        <f t="shared" si="445"/>
        <v>4.0023044193815679E-2</v>
      </c>
      <c r="Q3197">
        <f t="shared" si="446"/>
        <v>3.5660403666193594E-2</v>
      </c>
      <c r="R3197">
        <f t="shared" si="447"/>
        <v>3.1646909003650567E-2</v>
      </c>
      <c r="S3197">
        <f t="shared" si="439"/>
        <v>1049.5312455463702</v>
      </c>
      <c r="T3197" s="564">
        <f>IF((I3197-MAX(I$470:I3197))/MAX(I$470:I3197)&gt;T3196,T3196,(I3197-MAX(I$470:I3197))/MAX(I$470:I3197))</f>
        <v>-0.91338805338419748</v>
      </c>
      <c r="U3197" s="564">
        <f>IF((J3197-MAX(J$470:J3197))/MAX(J$470:J3197)&gt;U3196,U3196,(J3197-MAX(J$470:J3197))/MAX(J$470:J3197))</f>
        <v>-0.83569785939843477</v>
      </c>
      <c r="V3197" s="564">
        <f>IF((K3197-MAX(K$470:K3197))/MAX(K$470:K3197)&gt;V3196,V3196,(K3197-MAX(K$470:K3197))/MAX(K$470:K3197))</f>
        <v>-0.84885940676762139</v>
      </c>
      <c r="W3197" s="564">
        <f>IF((N3197-MAX(N$470:N3197))/MAX(N$470:N3197)&gt;W3196,W3196,(N3197-MAX(N$470:N3197))/MAX(N$470:N3197))</f>
        <v>-0.62788758315546067</v>
      </c>
      <c r="X3197" s="564">
        <f>IF((O3197-MAX(O$470:O3197))/MAX(O$470:O3197)&gt;X3196,X3196,(O3197-MAX(O$470:O3197))/MAX(O$470:O3197))</f>
        <v>-0.62788758315546067</v>
      </c>
    </row>
    <row r="3198" spans="1:24">
      <c r="A3198" s="799">
        <v>43600</v>
      </c>
      <c r="B3198">
        <v>8002.7242809999998</v>
      </c>
      <c r="C3198">
        <v>6412.9632879999999</v>
      </c>
      <c r="D3198">
        <v>1.816675</v>
      </c>
      <c r="E3198">
        <f>LN(D3198/参数实验室!$E$53)/参数实验室!$E$55</f>
        <v>1.1353721215453456E-2</v>
      </c>
      <c r="F3198">
        <f t="shared" si="438"/>
        <v>0.80134752402073917</v>
      </c>
      <c r="G3198">
        <f>LN(F3198/参数实验室!$E$58)/参数实验室!$E$59</f>
        <v>-0.30676449668843586</v>
      </c>
      <c r="H3198" s="856">
        <f>INDEX(神经网络!$G$10:$BO$70,MATCH(ROUND(G3198*2,1)/2,神经网络!$E$10:$E$70,0),MATCH(ROUND(E3198*2,1)/2,神经网络!$G$8:$BO$8,0))</f>
        <v>-0.31265452478407557</v>
      </c>
      <c r="I3198">
        <f t="shared" si="440"/>
        <v>549935.1039879577</v>
      </c>
      <c r="J3198">
        <f t="shared" si="441"/>
        <v>3193.2980651211028</v>
      </c>
      <c r="K3198">
        <f t="shared" si="442"/>
        <v>172.21540012022083</v>
      </c>
      <c r="L3198" s="4">
        <f>MIN(MAX(L3197*(1+MAX(MIN(((B3198-B3197)/B3197)/($K$7*卓尔金历!$N$40),0),-卓尔金历!$M$43))+MIN(MAX(((B3198-B3197)/B3197)/($K$7*卓尔金历!$N$40),0),卓尔金历!$M$43),0),1)</f>
        <v>0.88336105486340577</v>
      </c>
      <c r="M3198" s="4">
        <f>MIN(MAX(M3197*(1+MAX(MIN(((B3198-B3197)/B3197)/($K$7*30),0),-卓尔金历!$M$43))+MIN(MAX(((B3198-B3197)/B3197)/($K$7*7),0),卓尔金历!$M$43),0),1)</f>
        <v>0.94168052743170283</v>
      </c>
      <c r="N3198">
        <f t="shared" si="443"/>
        <v>213679.6362587437</v>
      </c>
      <c r="O3198">
        <f t="shared" si="444"/>
        <v>593525.98719525419</v>
      </c>
      <c r="P3198">
        <f t="shared" si="445"/>
        <v>-7.6339182499945563E-3</v>
      </c>
      <c r="Q3198">
        <f t="shared" si="446"/>
        <v>3.5139566248277604E-2</v>
      </c>
      <c r="R3198">
        <f t="shared" si="447"/>
        <v>1</v>
      </c>
      <c r="S3198">
        <f t="shared" si="439"/>
        <v>1049.6105210288506</v>
      </c>
      <c r="T3198" s="564">
        <f>IF((I3198-MAX(I$470:I3198))/MAX(I$470:I3198)&gt;T3197,T3197,(I3198-MAX(I$470:I3198))/MAX(I$470:I3198))</f>
        <v>-0.91338805338419748</v>
      </c>
      <c r="U3198" s="564">
        <f>IF((J3198-MAX(J$470:J3198))/MAX(J$470:J3198)&gt;U3197,U3197,(J3198-MAX(J$470:J3198))/MAX(J$470:J3198))</f>
        <v>-0.83569785939843477</v>
      </c>
      <c r="V3198" s="564">
        <f>IF((K3198-MAX(K$470:K3198))/MAX(K$470:K3198)&gt;V3197,V3197,(K3198-MAX(K$470:K3198))/MAX(K$470:K3198))</f>
        <v>-0.84885940676762139</v>
      </c>
      <c r="W3198" s="564">
        <f>IF((N3198-MAX(N$470:N3198))/MAX(N$470:N3198)&gt;W3197,W3197,(N3198-MAX(N$470:N3198))/MAX(N$470:N3198))</f>
        <v>-0.62788758315546067</v>
      </c>
      <c r="X3198" s="564">
        <f>IF((O3198-MAX(O$470:O3198))/MAX(O$470:O3198)&gt;X3197,X3197,(O3198-MAX(O$470:O3198))/MAX(O$470:O3198))</f>
        <v>-0.62788758315546067</v>
      </c>
    </row>
    <row r="3199" spans="1:24">
      <c r="A3199" s="799">
        <v>43601</v>
      </c>
      <c r="B3199">
        <v>7994.4183620000003</v>
      </c>
      <c r="C3199">
        <v>6410.7095440000003</v>
      </c>
      <c r="D3199">
        <v>1.7279990000000001</v>
      </c>
      <c r="E3199">
        <f>LN(D3199/参数实验室!$E$53)/参数实验室!$E$55</f>
        <v>-4.7685632431326654E-2</v>
      </c>
      <c r="F3199">
        <f t="shared" si="438"/>
        <v>0.80189818117001865</v>
      </c>
      <c r="G3199">
        <f>LN(F3199/参数实验室!$E$58)/参数实验室!$E$59</f>
        <v>-0.30640395975815737</v>
      </c>
      <c r="H3199" s="856">
        <f>INDEX(神经网络!$G$10:$BO$70,MATCH(ROUND(G3199*2,1)/2,神经网络!$E$10:$E$70,0),MATCH(ROUND(E3199*2,1)/2,神经网络!$G$8:$BO$8,0))</f>
        <v>-0.35787984315646648</v>
      </c>
      <c r="I3199">
        <f t="shared" si="440"/>
        <v>550113.55786932423</v>
      </c>
      <c r="J3199">
        <f t="shared" si="441"/>
        <v>3189.9837843661453</v>
      </c>
      <c r="K3199">
        <f t="shared" si="442"/>
        <v>172.45026779301722</v>
      </c>
      <c r="L3199" s="4">
        <f>MIN(MAX(L3198*(1+MAX(MIN(((B3199-B3198)/B3198)/($K$7*卓尔金历!$N$40),0),-卓尔金历!$M$43))+MIN(MAX(((B3199-B3198)/B3198)/($K$7*卓尔金历!$N$40),0),卓尔金历!$M$43),0),1)</f>
        <v>0.86935279582606217</v>
      </c>
      <c r="M3199" s="4">
        <f>MIN(MAX(M3198*(1+MAX(MIN(((B3199-B3198)/B3198)/($K$7*30),0),-卓尔金历!$M$43))+MIN(MAX(((B3199-B3198)/B3198)/($K$7*7),0),卓尔金历!$M$43),0),1)</f>
        <v>0.93421398547467405</v>
      </c>
      <c r="N3199">
        <f t="shared" si="443"/>
        <v>213740.88764744598</v>
      </c>
      <c r="O3199">
        <f t="shared" si="444"/>
        <v>593707.35403448355</v>
      </c>
      <c r="P3199">
        <f t="shared" si="445"/>
        <v>-1.0378864382119587E-3</v>
      </c>
      <c r="Q3199">
        <f t="shared" si="446"/>
        <v>3.5184578376886357E-2</v>
      </c>
      <c r="R3199">
        <f t="shared" si="447"/>
        <v>1</v>
      </c>
      <c r="S3199">
        <f t="shared" si="439"/>
        <v>1049.9511195286418</v>
      </c>
      <c r="T3199" s="564">
        <f>IF((I3199-MAX(I$470:I3199))/MAX(I$470:I3199)&gt;T3198,T3198,(I3199-MAX(I$470:I3199))/MAX(I$470:I3199))</f>
        <v>-0.91338805338419748</v>
      </c>
      <c r="U3199" s="564">
        <f>IF((J3199-MAX(J$470:J3199))/MAX(J$470:J3199)&gt;U3198,U3198,(J3199-MAX(J$470:J3199))/MAX(J$470:J3199))</f>
        <v>-0.83569785939843477</v>
      </c>
      <c r="V3199" s="564">
        <f>IF((K3199-MAX(K$470:K3199))/MAX(K$470:K3199)&gt;V3198,V3198,(K3199-MAX(K$470:K3199))/MAX(K$470:K3199))</f>
        <v>-0.84885940676762139</v>
      </c>
      <c r="W3199" s="564">
        <f>IF((N3199-MAX(N$470:N3199))/MAX(N$470:N3199)&gt;W3198,W3198,(N3199-MAX(N$470:N3199))/MAX(N$470:N3199))</f>
        <v>-0.62788758315546067</v>
      </c>
      <c r="X3199" s="564">
        <f>IF((O3199-MAX(O$470:O3199))/MAX(O$470:O3199)&gt;X3198,X3198,(O3199-MAX(O$470:O3199))/MAX(O$470:O3199))</f>
        <v>-0.62788758315546067</v>
      </c>
    </row>
    <row r="3200" spans="1:24">
      <c r="A3200" s="799">
        <v>43602</v>
      </c>
      <c r="B3200">
        <v>7198.7580630000002</v>
      </c>
      <c r="C3200">
        <v>6356.5918730000003</v>
      </c>
      <c r="D3200">
        <v>1.610738</v>
      </c>
      <c r="E3200">
        <f>LN(D3200/参数实验室!$E$53)/参数实验室!$E$55</f>
        <v>-0.13058881896786889</v>
      </c>
      <c r="F3200">
        <f t="shared" si="438"/>
        <v>0.88301229425551264</v>
      </c>
      <c r="G3200">
        <f>LN(F3200/参数实验室!$E$58)/参数实验室!$E$59</f>
        <v>-0.2558303467326517</v>
      </c>
      <c r="H3200" s="856">
        <f>INDEX(神经网络!$G$10:$BO$70,MATCH(ROUND(G3200*2,1)/2,神经网络!$E$10:$E$70,0),MATCH(ROUND(E3200*2,1)/2,神经网络!$G$8:$BO$8,0))</f>
        <v>-0.35740581662515492</v>
      </c>
      <c r="I3200">
        <f t="shared" si="440"/>
        <v>569707.88721958222</v>
      </c>
      <c r="J3200">
        <f t="shared" si="441"/>
        <v>2872.4943390128074</v>
      </c>
      <c r="K3200">
        <f t="shared" si="442"/>
        <v>198.33211835514851</v>
      </c>
      <c r="L3200" s="4">
        <f>MIN(MAX(L3199*(1+MAX(MIN(((B3200-B3199)/B3199)/($K$7*卓尔金历!$N$40),0),-卓尔金历!$M$43))+MIN(MAX(((B3200-B3199)/B3199)/($K$7*卓尔金历!$N$40),0),卓尔金历!$M$43),0),1)</f>
        <v>0</v>
      </c>
      <c r="M3200" s="4">
        <f>MIN(MAX(M3199*(1+MAX(MIN(((B3200-B3199)/B3199)/($K$7*30),0),-卓尔金历!$M$43))+MIN(MAX(((B3200-B3199)/B3199)/($K$7*7),0),卓尔金历!$M$43),0),1)</f>
        <v>0.22389525951485201</v>
      </c>
      <c r="N3200">
        <f t="shared" si="443"/>
        <v>220359.420346709</v>
      </c>
      <c r="O3200">
        <f t="shared" si="444"/>
        <v>613463.25534481567</v>
      </c>
      <c r="P3200">
        <f t="shared" si="445"/>
        <v>-9.9526977820178289E-2</v>
      </c>
      <c r="Q3200">
        <f t="shared" si="446"/>
        <v>4.1818122813744411E-2</v>
      </c>
      <c r="R3200">
        <f t="shared" si="447"/>
        <v>4.6760679175470912E-3</v>
      </c>
      <c r="S3200">
        <f t="shared" si="439"/>
        <v>1087.3490126425638</v>
      </c>
      <c r="T3200" s="564">
        <f>IF((I3200-MAX(I$470:I3200))/MAX(I$470:I3200)&gt;T3199,T3199,(I3200-MAX(I$470:I3200))/MAX(I$470:I3200))</f>
        <v>-0.91338805338419748</v>
      </c>
      <c r="U3200" s="564">
        <f>IF((J3200-MAX(J$470:J3200))/MAX(J$470:J3200)&gt;U3199,U3199,(J3200-MAX(J$470:J3200))/MAX(J$470:J3200))</f>
        <v>-0.83569785939843477</v>
      </c>
      <c r="V3200" s="564">
        <f>IF((K3200-MAX(K$470:K3200))/MAX(K$470:K3200)&gt;V3199,V3199,(K3200-MAX(K$470:K3200))/MAX(K$470:K3200))</f>
        <v>-0.84885940676762139</v>
      </c>
      <c r="W3200" s="564">
        <f>IF((N3200-MAX(N$470:N3200))/MAX(N$470:N3200)&gt;W3199,W3199,(N3200-MAX(N$470:N3200))/MAX(N$470:N3200))</f>
        <v>-0.62788758315546067</v>
      </c>
      <c r="X3200" s="564">
        <f>IF((O3200-MAX(O$470:O3200))/MAX(O$470:O3200)&gt;X3199,X3199,(O3200-MAX(O$470:O3200))/MAX(O$470:O3200))</f>
        <v>-0.62788758315546067</v>
      </c>
    </row>
    <row r="3201" spans="1:24">
      <c r="A3201" s="799">
        <v>43603</v>
      </c>
      <c r="B3201">
        <v>7402.2062660000001</v>
      </c>
      <c r="C3201">
        <v>6341.5815599999996</v>
      </c>
      <c r="D3201">
        <v>1.5995079999999999</v>
      </c>
      <c r="E3201">
        <f>LN(D3201/参数实验室!$E$53)/参数实验室!$E$55</f>
        <v>-0.13884281755386418</v>
      </c>
      <c r="F3201">
        <f t="shared" si="438"/>
        <v>0.85671505658094282</v>
      </c>
      <c r="G3201">
        <f>LN(F3201/参数实验室!$E$58)/参数实验室!$E$59</f>
        <v>-0.27169865259420828</v>
      </c>
      <c r="H3201" s="856">
        <f>INDEX(神经网络!$G$10:$BO$70,MATCH(ROUND(G3201*2,1)/2,神经网络!$E$10:$E$70,0),MATCH(ROUND(E3201*2,1)/2,神经网络!$G$8:$BO$8,0))</f>
        <v>-0.35740581662515492</v>
      </c>
      <c r="I3201">
        <f t="shared" si="440"/>
        <v>563953.35364302865</v>
      </c>
      <c r="J3201">
        <f t="shared" si="441"/>
        <v>2953.6755380870663</v>
      </c>
      <c r="K3201">
        <f t="shared" si="442"/>
        <v>190.93273664319619</v>
      </c>
      <c r="L3201" s="4">
        <f>MIN(MAX(L3200*(1+MAX(MIN(((B3201-B3200)/B3200)/($K$7*卓尔金历!$N$40),0),-卓尔金历!$M$43))+MIN(MAX(((B3201-B3200)/B3200)/($K$7*卓尔金历!$N$40),0),卓尔金历!$M$43),0),1)</f>
        <v>0.43180966494507289</v>
      </c>
      <c r="M3201" s="4">
        <f>MIN(MAX(M3200*(1+MAX(MIN(((B3201-B3200)/B3200)/($K$7*30),0),-卓尔金历!$M$43))+MIN(MAX(((B3201-B3200)/B3200)/($K$7*7),0),卓尔金历!$M$43),0),1)</f>
        <v>1</v>
      </c>
      <c r="N3201">
        <f t="shared" si="443"/>
        <v>220359.420346709</v>
      </c>
      <c r="O3201">
        <f t="shared" si="444"/>
        <v>612075.8883779929</v>
      </c>
      <c r="P3201">
        <f t="shared" si="445"/>
        <v>2.8261569734601581E-2</v>
      </c>
      <c r="Q3201">
        <f t="shared" si="446"/>
        <v>4.1806730399710695E-2</v>
      </c>
      <c r="R3201">
        <f t="shared" si="447"/>
        <v>0.44974661263580012</v>
      </c>
      <c r="S3201">
        <f t="shared" si="439"/>
        <v>1087.2976546936077</v>
      </c>
      <c r="T3201" s="564">
        <f>IF((I3201-MAX(I$470:I3201))/MAX(I$470:I3201)&gt;T3200,T3200,(I3201-MAX(I$470:I3201))/MAX(I$470:I3201))</f>
        <v>-0.91338805338419748</v>
      </c>
      <c r="U3201" s="564">
        <f>IF((J3201-MAX(J$470:J3201))/MAX(J$470:J3201)&gt;U3200,U3200,(J3201-MAX(J$470:J3201))/MAX(J$470:J3201))</f>
        <v>-0.83569785939843477</v>
      </c>
      <c r="V3201" s="564">
        <f>IF((K3201-MAX(K$470:K3201))/MAX(K$470:K3201)&gt;V3200,V3200,(K3201-MAX(K$470:K3201))/MAX(K$470:K3201))</f>
        <v>-0.84885940676762139</v>
      </c>
      <c r="W3201" s="564">
        <f>IF((N3201-MAX(N$470:N3201))/MAX(N$470:N3201)&gt;W3200,W3200,(N3201-MAX(N$470:N3201))/MAX(N$470:N3201))</f>
        <v>-0.62788758315546067</v>
      </c>
      <c r="X3201" s="564">
        <f>IF((O3201-MAX(O$470:O3201))/MAX(O$470:O3201)&gt;X3200,X3200,(O3201-MAX(O$470:O3201))/MAX(O$470:O3201))</f>
        <v>-0.62788758315546067</v>
      </c>
    </row>
    <row r="3202" spans="1:24">
      <c r="A3202" s="799">
        <v>43604</v>
      </c>
      <c r="B3202">
        <v>7941.9481539999997</v>
      </c>
      <c r="C3202">
        <v>6296.9206910000003</v>
      </c>
      <c r="D3202">
        <v>1.802017</v>
      </c>
      <c r="E3202">
        <f>LN(D3202/参数实验室!$E$53)/参数实验室!$E$55</f>
        <v>1.7961696862096737E-3</v>
      </c>
      <c r="F3202">
        <f t="shared" si="438"/>
        <v>0.79286852153882748</v>
      </c>
      <c r="G3202">
        <f>LN(F3202/参数实验室!$E$58)/参数实验室!$E$59</f>
        <v>-0.31234753006605037</v>
      </c>
      <c r="H3202" s="856">
        <f>INDEX(神经网络!$G$10:$BO$70,MATCH(ROUND(G3202*2,1)/2,神经网络!$E$10:$E$70,0),MATCH(ROUND(E3202*2,1)/2,神经网络!$G$8:$BO$8,0))</f>
        <v>-0.31265452478407557</v>
      </c>
      <c r="I3202">
        <f t="shared" si="440"/>
        <v>549256.31822055031</v>
      </c>
      <c r="J3202">
        <f t="shared" si="441"/>
        <v>3169.0467874386482</v>
      </c>
      <c r="K3202">
        <f t="shared" si="442"/>
        <v>173.31909405619143</v>
      </c>
      <c r="L3202" s="4">
        <f>MIN(MAX(L3201*(1+MAX(MIN(((B3202-B3201)/B3201)/($K$7*卓尔金历!$N$40),0),-卓尔金历!$M$43))+MIN(MAX(((B3202-B3201)/B3201)/($K$7*卓尔金历!$N$40),0),卓尔金历!$M$43),0),1)</f>
        <v>1</v>
      </c>
      <c r="M3202" s="4">
        <f>MIN(MAX(M3201*(1+MAX(MIN(((B3202-B3201)/B3201)/($K$7*30),0),-卓尔金历!$M$43))+MIN(MAX(((B3202-B3201)/B3201)/($K$7*7),0),卓尔金历!$M$43),0),1)</f>
        <v>1</v>
      </c>
      <c r="N3202">
        <f t="shared" si="443"/>
        <v>217879.65528223824</v>
      </c>
      <c r="O3202">
        <f t="shared" si="444"/>
        <v>596124.74462713872</v>
      </c>
      <c r="P3202">
        <f t="shared" si="445"/>
        <v>7.291635339576466E-2</v>
      </c>
      <c r="Q3202">
        <f t="shared" si="446"/>
        <v>4.331734036292368E-2</v>
      </c>
      <c r="R3202">
        <f t="shared" si="447"/>
        <v>2.0035461023777082E-2</v>
      </c>
      <c r="S3202">
        <f t="shared" si="439"/>
        <v>1074.5537384177405</v>
      </c>
      <c r="T3202" s="564">
        <f>IF((I3202-MAX(I$470:I3202))/MAX(I$470:I3202)&gt;T3201,T3201,(I3202-MAX(I$470:I3202))/MAX(I$470:I3202))</f>
        <v>-0.91338805338419748</v>
      </c>
      <c r="U3202" s="564">
        <f>IF((J3202-MAX(J$470:J3202))/MAX(J$470:J3202)&gt;U3201,U3201,(J3202-MAX(J$470:J3202))/MAX(J$470:J3202))</f>
        <v>-0.83569785939843477</v>
      </c>
      <c r="V3202" s="564">
        <f>IF((K3202-MAX(K$470:K3202))/MAX(K$470:K3202)&gt;V3201,V3201,(K3202-MAX(K$470:K3202))/MAX(K$470:K3202))</f>
        <v>-0.84885940676762139</v>
      </c>
      <c r="W3202" s="564">
        <f>IF((N3202-MAX(N$470:N3202))/MAX(N$470:N3202)&gt;W3201,W3201,(N3202-MAX(N$470:N3202))/MAX(N$470:N3202))</f>
        <v>-0.62788758315546067</v>
      </c>
      <c r="X3202" s="564">
        <f>IF((O3202-MAX(O$470:O3202))/MAX(O$470:O3202)&gt;X3201,X3201,(O3202-MAX(O$470:O3202))/MAX(O$470:O3202))</f>
        <v>-0.62788758315546067</v>
      </c>
    </row>
    <row r="3203" spans="1:24">
      <c r="A3203" s="799">
        <v>43605</v>
      </c>
      <c r="B3203">
        <v>7827.4134910000002</v>
      </c>
      <c r="C3203">
        <v>6173.355724</v>
      </c>
      <c r="D3203">
        <v>1.7472319999999999</v>
      </c>
      <c r="E3203">
        <f>LN(D3203/参数实验室!$E$53)/参数实验室!$E$55</f>
        <v>-3.4627262612667277E-2</v>
      </c>
      <c r="F3203">
        <f t="shared" si="438"/>
        <v>0.78868399262389244</v>
      </c>
      <c r="G3203">
        <f>LN(F3203/参数实验室!$E$58)/参数实验室!$E$59</f>
        <v>-0.3151248922145739</v>
      </c>
      <c r="H3203" s="856">
        <f>INDEX(神经网络!$G$10:$BO$70,MATCH(ROUND(G3203*2,1)/2,神经网络!$E$10:$E$70,0),MATCH(ROUND(E3203*2,1)/2,神经网络!$G$8:$BO$8,0))</f>
        <v>-0.35787984315646648</v>
      </c>
      <c r="I3203">
        <f t="shared" si="440"/>
        <v>551732.88289770391</v>
      </c>
      <c r="J3203">
        <f t="shared" si="441"/>
        <v>3123.344435976217</v>
      </c>
      <c r="K3203">
        <f t="shared" si="442"/>
        <v>176.6481072476584</v>
      </c>
      <c r="L3203" s="4">
        <f>MIN(MAX(L3202*(1+MAX(MIN(((B3203-B3202)/B3202)/($K$7*卓尔金历!$N$40),0),-卓尔金历!$M$43))+MIN(MAX(((B3203-B3202)/B3202)/($K$7*卓尔金历!$N$40),0),卓尔金历!$M$43),0),1)</f>
        <v>0.77965359304634685</v>
      </c>
      <c r="M3203" s="4">
        <f>MIN(MAX(M3202*(1+MAX(MIN(((B3203-B3202)/B3202)/($K$7*30),0),-卓尔金历!$M$43))+MIN(MAX(((B3203-B3202)/B3202)/($K$7*7),0),卓尔金历!$M$43),0),1)</f>
        <v>0.88982679652317342</v>
      </c>
      <c r="N3203">
        <f t="shared" si="443"/>
        <v>218862.06192963108</v>
      </c>
      <c r="O3203">
        <f t="shared" si="444"/>
        <v>598812.63630311203</v>
      </c>
      <c r="P3203">
        <f t="shared" si="445"/>
        <v>-1.4421482082115272E-2</v>
      </c>
      <c r="Q3203">
        <f t="shared" si="446"/>
        <v>4.3418444762524572E-2</v>
      </c>
      <c r="R3203">
        <f t="shared" si="447"/>
        <v>1</v>
      </c>
      <c r="S3203">
        <f t="shared" si="439"/>
        <v>1074.6508122315831</v>
      </c>
      <c r="T3203" s="564">
        <f>IF((I3203-MAX(I$470:I3203))/MAX(I$470:I3203)&gt;T3202,T3202,(I3203-MAX(I$470:I3203))/MAX(I$470:I3203))</f>
        <v>-0.91338805338419748</v>
      </c>
      <c r="U3203" s="564">
        <f>IF((J3203-MAX(J$470:J3203))/MAX(J$470:J3203)&gt;U3202,U3202,(J3203-MAX(J$470:J3203))/MAX(J$470:J3203))</f>
        <v>-0.83569785939843477</v>
      </c>
      <c r="V3203" s="564">
        <f>IF((K3203-MAX(K$470:K3203))/MAX(K$470:K3203)&gt;V3202,V3202,(K3203-MAX(K$470:K3203))/MAX(K$470:K3203))</f>
        <v>-0.84885940676762139</v>
      </c>
      <c r="W3203" s="564">
        <f>IF((N3203-MAX(N$470:N3203))/MAX(N$470:N3203)&gt;W3202,W3202,(N3203-MAX(N$470:N3203))/MAX(N$470:N3203))</f>
        <v>-0.62788758315546067</v>
      </c>
      <c r="X3203" s="564">
        <f>IF((O3203-MAX(O$470:O3203))/MAX(O$470:O3203)&gt;X3202,X3202,(O3203-MAX(O$470:O3203))/MAX(O$470:O3203))</f>
        <v>-0.62788758315546067</v>
      </c>
    </row>
    <row r="3204" spans="1:24">
      <c r="A3204" s="799">
        <v>43606</v>
      </c>
      <c r="B3204">
        <v>7981.5779689999999</v>
      </c>
      <c r="C3204">
        <v>6212.8855599999997</v>
      </c>
      <c r="D3204">
        <v>1.744974</v>
      </c>
      <c r="E3204">
        <f>LN(D3204/参数实验室!$E$53)/参数实验室!$E$55</f>
        <v>-3.6152878911429952E-2</v>
      </c>
      <c r="F3204">
        <f t="shared" si="438"/>
        <v>0.77840316590660363</v>
      </c>
      <c r="G3204">
        <f>LN(F3204/参数实验室!$E$58)/参数实验室!$E$59</f>
        <v>-0.32201156836992562</v>
      </c>
      <c r="H3204" s="856">
        <f>INDEX(神经网络!$G$10:$BO$70,MATCH(ROUND(G3204*2,1)/2,神经网络!$E$10:$E$70,0),MATCH(ROUND(E3204*2,1)/2,神经网络!$G$8:$BO$8,0))</f>
        <v>-0.35787984315646648</v>
      </c>
      <c r="I3204">
        <f t="shared" si="440"/>
        <v>547843.93480054359</v>
      </c>
      <c r="J3204">
        <f t="shared" si="441"/>
        <v>3184.860128885518</v>
      </c>
      <c r="K3204">
        <f t="shared" si="442"/>
        <v>172.01506899213538</v>
      </c>
      <c r="L3204" s="4">
        <f>MIN(MAX(L3203*(1+MAX(MIN(((B3204-B3203)/B3203)/($K$7*卓尔金历!$N$40),0),-卓尔金历!$M$43))+MIN(MAX(((B3204-B3203)/B3203)/($K$7*卓尔金历!$N$40),0),卓尔金历!$M$43),0),1)</f>
        <v>1</v>
      </c>
      <c r="M3204" s="4">
        <f>MIN(MAX(M3203*(1+MAX(MIN(((B3204-B3203)/B3203)/($K$7*30),0),-卓尔金历!$M$43))+MIN(MAX(((B3204-B3203)/B3203)/($K$7*7),0),卓尔金历!$M$43),0),1)</f>
        <v>1</v>
      </c>
      <c r="N3204">
        <f t="shared" si="443"/>
        <v>217659.31169652584</v>
      </c>
      <c r="O3204">
        <f t="shared" si="444"/>
        <v>595056.86002069723</v>
      </c>
      <c r="P3204">
        <f t="shared" si="445"/>
        <v>1.969545599925937E-2</v>
      </c>
      <c r="Q3204">
        <f t="shared" si="446"/>
        <v>4.3392524968371003E-2</v>
      </c>
      <c r="R3204">
        <f t="shared" si="447"/>
        <v>0.86761388265815387</v>
      </c>
      <c r="S3204">
        <f t="shared" si="439"/>
        <v>1067.0760213121252</v>
      </c>
      <c r="T3204" s="564">
        <f>IF((I3204-MAX(I$470:I3204))/MAX(I$470:I3204)&gt;T3203,T3203,(I3204-MAX(I$470:I3204))/MAX(I$470:I3204))</f>
        <v>-0.91338805338419748</v>
      </c>
      <c r="U3204" s="564">
        <f>IF((J3204-MAX(J$470:J3204))/MAX(J$470:J3204)&gt;U3203,U3203,(J3204-MAX(J$470:J3204))/MAX(J$470:J3204))</f>
        <v>-0.83569785939843477</v>
      </c>
      <c r="V3204" s="564">
        <f>IF((K3204-MAX(K$470:K3204))/MAX(K$470:K3204)&gt;V3203,V3203,(K3204-MAX(K$470:K3204))/MAX(K$470:K3204))</f>
        <v>-0.84885940676762139</v>
      </c>
      <c r="W3204" s="564">
        <f>IF((N3204-MAX(N$470:N3204))/MAX(N$470:N3204)&gt;W3203,W3203,(N3204-MAX(N$470:N3204))/MAX(N$470:N3204))</f>
        <v>-0.62788758315546067</v>
      </c>
      <c r="X3204" s="564">
        <f>IF((O3204-MAX(O$470:O3204))/MAX(O$470:O3204)&gt;X3203,X3203,(O3204-MAX(O$470:O3204))/MAX(O$470:O3204))</f>
        <v>-0.62788758315546067</v>
      </c>
    </row>
    <row r="3205" spans="1:24">
      <c r="A3205" s="799">
        <v>43607</v>
      </c>
      <c r="B3205">
        <v>7996.8841329999996</v>
      </c>
      <c r="C3205">
        <v>6079.4493119999997</v>
      </c>
      <c r="D3205">
        <v>1.6754290000000001</v>
      </c>
      <c r="E3205">
        <f>LN(D3205/参数实验室!$E$53)/参数实验室!$E$55</f>
        <v>-8.4133919896705558E-2</v>
      </c>
      <c r="F3205">
        <f t="shared" ref="F3205:F3268" si="448">C3205/B3205</f>
        <v>0.76022725987894468</v>
      </c>
      <c r="G3205">
        <f>LN(F3205/参数实验室!$E$58)/参数实验室!$E$59</f>
        <v>-0.33441239106396914</v>
      </c>
      <c r="H3205" s="856">
        <f>INDEX(神经网络!$G$10:$BO$70,MATCH(ROUND(G3205*2,1)/2,神经网络!$E$10:$E$70,0),MATCH(ROUND(E3205*2,1)/2,神经网络!$G$8:$BO$8,0))</f>
        <v>-0.47881512889002076</v>
      </c>
      <c r="I3205">
        <f t="shared" si="440"/>
        <v>547467.94877973048</v>
      </c>
      <c r="J3205">
        <f t="shared" si="441"/>
        <v>3190.9676920314414</v>
      </c>
      <c r="K3205">
        <f t="shared" si="442"/>
        <v>171.56800118875543</v>
      </c>
      <c r="L3205" s="4">
        <f>MIN(MAX(L3204*(1+MAX(MIN(((B3205-B3204)/B3204)/($K$7*卓尔金历!$N$40),0),-卓尔金历!$M$43))+MIN(MAX(((B3205-B3204)/B3204)/($K$7*卓尔金历!$N$40),0),卓尔金历!$M$43),0),1)</f>
        <v>1</v>
      </c>
      <c r="M3205" s="4">
        <f>MIN(MAX(M3204*(1+MAX(MIN(((B3205-B3204)/B3204)/($K$7*30),0),-卓尔金历!$M$43))+MIN(MAX(((B3205-B3204)/B3204)/($K$7*7),0),卓尔金历!$M$43),0),1)</f>
        <v>1</v>
      </c>
      <c r="N3205">
        <f t="shared" si="443"/>
        <v>217509.93182153007</v>
      </c>
      <c r="O3205">
        <f t="shared" si="444"/>
        <v>594648.4717065359</v>
      </c>
      <c r="P3205">
        <f t="shared" si="445"/>
        <v>1.9176864599265843E-3</v>
      </c>
      <c r="Q3205">
        <f t="shared" si="446"/>
        <v>4.3493924964086619E-2</v>
      </c>
      <c r="R3205">
        <f t="shared" si="447"/>
        <v>1</v>
      </c>
      <c r="S3205">
        <f t="shared" si="439"/>
        <v>1066.4406366988881</v>
      </c>
      <c r="T3205" s="564">
        <f>IF((I3205-MAX(I$470:I3205))/MAX(I$470:I3205)&gt;T3204,T3204,(I3205-MAX(I$470:I3205))/MAX(I$470:I3205))</f>
        <v>-0.91338805338419748</v>
      </c>
      <c r="U3205" s="564">
        <f>IF((J3205-MAX(J$470:J3205))/MAX(J$470:J3205)&gt;U3204,U3204,(J3205-MAX(J$470:J3205))/MAX(J$470:J3205))</f>
        <v>-0.83569785939843477</v>
      </c>
      <c r="V3205" s="564">
        <f>IF((K3205-MAX(K$470:K3205))/MAX(K$470:K3205)&gt;V3204,V3204,(K3205-MAX(K$470:K3205))/MAX(K$470:K3205))</f>
        <v>-0.84885940676762139</v>
      </c>
      <c r="W3205" s="564">
        <f>IF((N3205-MAX(N$470:N3205))/MAX(N$470:N3205)&gt;W3204,W3204,(N3205-MAX(N$470:N3205))/MAX(N$470:N3205))</f>
        <v>-0.62788758315546067</v>
      </c>
      <c r="X3205" s="564">
        <f>IF((O3205-MAX(O$470:O3205))/MAX(O$470:O3205)&gt;X3204,X3204,(O3205-MAX(O$470:O3205))/MAX(O$470:O3205))</f>
        <v>-0.62788758315546067</v>
      </c>
    </row>
    <row r="3206" spans="1:24">
      <c r="A3206" s="799">
        <v>43608</v>
      </c>
      <c r="B3206">
        <v>7820.8784560000004</v>
      </c>
      <c r="C3206">
        <v>5914.412883</v>
      </c>
      <c r="D3206">
        <v>1.7226840000000001</v>
      </c>
      <c r="E3206">
        <f>LN(D3206/参数实验室!$E$53)/参数实验室!$E$55</f>
        <v>-5.131992364291553E-2</v>
      </c>
      <c r="F3206">
        <f t="shared" si="448"/>
        <v>0.75623383182263837</v>
      </c>
      <c r="G3206">
        <f>LN(F3206/参数实验室!$E$58)/参数实验室!$E$59</f>
        <v>-0.33717668448050547</v>
      </c>
      <c r="H3206" s="856">
        <f>INDEX(神经网络!$G$10:$BO$70,MATCH(ROUND(G3206*2,1)/2,神经网络!$E$10:$E$70,0),MATCH(ROUND(E3206*2,1)/2,神经网络!$G$8:$BO$8,0))</f>
        <v>-0.43992575380605697</v>
      </c>
      <c r="I3206">
        <f t="shared" si="440"/>
        <v>553237.37249464332</v>
      </c>
      <c r="J3206">
        <f t="shared" si="441"/>
        <v>3120.7367846454636</v>
      </c>
      <c r="K3206">
        <f t="shared" si="442"/>
        <v>177.27780670791009</v>
      </c>
      <c r="L3206" s="4">
        <f>MIN(MAX(L3205*(1+MAX(MIN(((B3206-B3205)/B3205)/($K$7*卓尔金历!$N$40),0),-卓尔金历!$M$43))+MIN(MAX(((B3206-B3205)/B3205)/($K$7*卓尔金历!$N$40),0),卓尔金历!$M$43),0),1)</f>
        <v>0.66371929368720473</v>
      </c>
      <c r="M3206" s="4">
        <f>MIN(MAX(M3205*(1+MAX(MIN(((B3206-B3205)/B3205)/($K$7*30),0),-卓尔金历!$M$43))+MIN(MAX(((B3206-B3205)/B3205)/($K$7*7),0),卓尔金历!$M$43),0),1)</f>
        <v>0.83185964684360236</v>
      </c>
      <c r="N3206">
        <f t="shared" si="443"/>
        <v>219802.13351420872</v>
      </c>
      <c r="O3206">
        <f t="shared" si="444"/>
        <v>600915.10156559409</v>
      </c>
      <c r="P3206">
        <f t="shared" si="445"/>
        <v>-2.2009281874385663E-2</v>
      </c>
      <c r="Q3206">
        <f t="shared" si="446"/>
        <v>4.4365685053089556E-2</v>
      </c>
      <c r="R3206">
        <f t="shared" si="447"/>
        <v>0.7749852989531143</v>
      </c>
      <c r="S3206">
        <f t="shared" si="439"/>
        <v>1077.6791903231347</v>
      </c>
      <c r="T3206" s="564">
        <f>IF((I3206-MAX(I$470:I3206))/MAX(I$470:I3206)&gt;T3205,T3205,(I3206-MAX(I$470:I3206))/MAX(I$470:I3206))</f>
        <v>-0.91338805338419748</v>
      </c>
      <c r="U3206" s="564">
        <f>IF((J3206-MAX(J$470:J3206))/MAX(J$470:J3206)&gt;U3205,U3205,(J3206-MAX(J$470:J3206))/MAX(J$470:J3206))</f>
        <v>-0.83569785939843477</v>
      </c>
      <c r="V3206" s="564">
        <f>IF((K3206-MAX(K$470:K3206))/MAX(K$470:K3206)&gt;V3205,V3205,(K3206-MAX(K$470:K3206))/MAX(K$470:K3206))</f>
        <v>-0.84885940676762139</v>
      </c>
      <c r="W3206" s="564">
        <f>IF((N3206-MAX(N$470:N3206))/MAX(N$470:N3206)&gt;W3205,W3205,(N3206-MAX(N$470:N3206))/MAX(N$470:N3206))</f>
        <v>-0.62788758315546067</v>
      </c>
      <c r="X3206" s="564">
        <f>IF((O3206-MAX(O$470:O3206))/MAX(O$470:O3206)&gt;X3205,X3205,(O3206-MAX(O$470:O3206))/MAX(O$470:O3206))</f>
        <v>-0.62788758315546067</v>
      </c>
    </row>
    <row r="3207" spans="1:24">
      <c r="A3207" s="799">
        <v>43609</v>
      </c>
      <c r="B3207">
        <v>8119.8357779999997</v>
      </c>
      <c r="C3207">
        <v>5955.7024709999996</v>
      </c>
      <c r="D3207">
        <v>1.738999</v>
      </c>
      <c r="E3207">
        <f>LN(D3207/参数实验室!$E$53)/参数实验室!$E$55</f>
        <v>-4.0199427230626548E-2</v>
      </c>
      <c r="F3207">
        <f t="shared" si="448"/>
        <v>0.73347572953833207</v>
      </c>
      <c r="G3207">
        <f>LN(F3207/参数实验室!$E$58)/参数实验室!$E$59</f>
        <v>-0.35321418825252832</v>
      </c>
      <c r="H3207" s="856">
        <f>INDEX(神经网络!$G$10:$BO$70,MATCH(ROUND(G3207*2,1)/2,神经网络!$E$10:$E$70,0),MATCH(ROUND(E3207*2,1)/2,神经网络!$G$8:$BO$8,0))</f>
        <v>-0.43992575380605697</v>
      </c>
      <c r="I3207">
        <f t="shared" si="440"/>
        <v>543933.91120645741</v>
      </c>
      <c r="J3207">
        <f t="shared" si="441"/>
        <v>3240.0286413151889</v>
      </c>
      <c r="K3207">
        <f t="shared" si="442"/>
        <v>167.87935275339552</v>
      </c>
      <c r="L3207" s="4">
        <f>MIN(MAX(L3206*(1+MAX(MIN(((B3207-B3206)/B3206)/($K$7*卓尔金历!$N$40),0),-卓尔金历!$M$43))+MIN(MAX(((B3207-B3206)/B3206)/($K$7*卓尔金历!$N$40),0),卓尔金历!$M$43),0),1)</f>
        <v>1</v>
      </c>
      <c r="M3207" s="4">
        <f>MIN(MAX(M3206*(1+MAX(MIN(((B3207-B3206)/B3206)/($K$7*30),0),-卓尔金历!$M$43))+MIN(MAX(((B3207-B3206)/B3206)/($K$7*7),0),卓尔金历!$M$43),0),1)</f>
        <v>1</v>
      </c>
      <c r="N3207">
        <f t="shared" si="443"/>
        <v>217348.84067745303</v>
      </c>
      <c r="O3207">
        <f t="shared" si="444"/>
        <v>592508.96927149151</v>
      </c>
      <c r="P3207">
        <f t="shared" si="445"/>
        <v>3.822554252465668E-2</v>
      </c>
      <c r="Q3207">
        <f t="shared" si="446"/>
        <v>4.4080619014284519E-2</v>
      </c>
      <c r="R3207">
        <f t="shared" si="447"/>
        <v>0.19320477977360356</v>
      </c>
      <c r="S3207">
        <f t="shared" si="439"/>
        <v>1063.63437587575</v>
      </c>
      <c r="T3207" s="564">
        <f>IF((I3207-MAX(I$470:I3207))/MAX(I$470:I3207)&gt;T3206,T3206,(I3207-MAX(I$470:I3207))/MAX(I$470:I3207))</f>
        <v>-0.91338805338419748</v>
      </c>
      <c r="U3207" s="564">
        <f>IF((J3207-MAX(J$470:J3207))/MAX(J$470:J3207)&gt;U3206,U3206,(J3207-MAX(J$470:J3207))/MAX(J$470:J3207))</f>
        <v>-0.83569785939843477</v>
      </c>
      <c r="V3207" s="564">
        <f>IF((K3207-MAX(K$470:K3207))/MAX(K$470:K3207)&gt;V3206,V3206,(K3207-MAX(K$470:K3207))/MAX(K$470:K3207))</f>
        <v>-0.84885940676762139</v>
      </c>
      <c r="W3207" s="564">
        <f>IF((N3207-MAX(N$470:N3207))/MAX(N$470:N3207)&gt;W3206,W3206,(N3207-MAX(N$470:N3207))/MAX(N$470:N3207))</f>
        <v>-0.62788758315546067</v>
      </c>
      <c r="X3207" s="564">
        <f>IF((O3207-MAX(O$470:O3207))/MAX(O$470:O3207)&gt;X3206,X3206,(O3207-MAX(O$470:O3207))/MAX(O$470:O3207))</f>
        <v>-0.62788758315546067</v>
      </c>
    </row>
    <row r="3208" spans="1:24">
      <c r="A3208" s="799">
        <v>43610</v>
      </c>
      <c r="B3208">
        <v>8093.1204630000002</v>
      </c>
      <c r="C3208">
        <v>5969.422012</v>
      </c>
      <c r="D3208">
        <v>1.7530790000000001</v>
      </c>
      <c r="E3208">
        <f>LN(D3208/参数实验室!$E$53)/参数实验室!$E$55</f>
        <v>-3.0685885041707411E-2</v>
      </c>
      <c r="F3208">
        <f t="shared" si="448"/>
        <v>0.73759213634480159</v>
      </c>
      <c r="G3208">
        <f>LN(F3208/参数实验室!$E$58)/参数实验室!$E$59</f>
        <v>-0.35027684124830449</v>
      </c>
      <c r="H3208" s="856">
        <f>INDEX(神经网络!$G$10:$BO$70,MATCH(ROUND(G3208*2,1)/2,神经网络!$E$10:$E$70,0),MATCH(ROUND(E3208*2,1)/2,神经网络!$G$8:$BO$8,0))</f>
        <v>-0.43992575380605697</v>
      </c>
      <c r="I3208">
        <f t="shared" si="440"/>
        <v>544721.20816886972</v>
      </c>
      <c r="J3208">
        <f t="shared" si="441"/>
        <v>3229.3685259965664</v>
      </c>
      <c r="K3208">
        <f t="shared" si="442"/>
        <v>168.67731377940879</v>
      </c>
      <c r="L3208" s="4">
        <f>MIN(MAX(L3207*(1+MAX(MIN(((B3208-B3207)/B3207)/($K$7*卓尔金历!$N$40),0),-卓尔金历!$M$43))+MIN(MAX(((B3208-B3207)/B3207)/($K$7*卓尔金历!$N$40),0),卓尔金历!$M$43),0),1)</f>
        <v>0.94972997144400884</v>
      </c>
      <c r="M3208" s="4">
        <f>MIN(MAX(M3207*(1+MAX(MIN(((B3208-B3207)/B3207)/($K$7*30),0),-卓尔金历!$M$43))+MIN(MAX(((B3208-B3207)/B3207)/($K$7*7),0),卓尔金历!$M$43),0),1)</f>
        <v>0.97486498572200442</v>
      </c>
      <c r="N3208">
        <f t="shared" si="443"/>
        <v>217663.4341942824</v>
      </c>
      <c r="O3208">
        <f t="shared" si="444"/>
        <v>593366.5743997962</v>
      </c>
      <c r="P3208">
        <f t="shared" si="445"/>
        <v>-3.2901299644978441E-3</v>
      </c>
      <c r="Q3208">
        <f t="shared" si="446"/>
        <v>4.3538681991465905E-2</v>
      </c>
      <c r="R3208">
        <f t="shared" si="447"/>
        <v>1</v>
      </c>
      <c r="S3208">
        <f t="shared" si="439"/>
        <v>1063.9318181353874</v>
      </c>
      <c r="T3208" s="564">
        <f>IF((I3208-MAX(I$470:I3208))/MAX(I$470:I3208)&gt;T3207,T3207,(I3208-MAX(I$470:I3208))/MAX(I$470:I3208))</f>
        <v>-0.91338805338419748</v>
      </c>
      <c r="U3208" s="564">
        <f>IF((J3208-MAX(J$470:J3208))/MAX(J$470:J3208)&gt;U3207,U3207,(J3208-MAX(J$470:J3208))/MAX(J$470:J3208))</f>
        <v>-0.83569785939843477</v>
      </c>
      <c r="V3208" s="564">
        <f>IF((K3208-MAX(K$470:K3208))/MAX(K$470:K3208)&gt;V3207,V3207,(K3208-MAX(K$470:K3208))/MAX(K$470:K3208))</f>
        <v>-0.84885940676762139</v>
      </c>
      <c r="W3208" s="564">
        <f>IF((N3208-MAX(N$470:N3208))/MAX(N$470:N3208)&gt;W3207,W3207,(N3208-MAX(N$470:N3208))/MAX(N$470:N3208))</f>
        <v>-0.62788758315546067</v>
      </c>
      <c r="X3208" s="564">
        <f>IF((O3208-MAX(O$470:O3208))/MAX(O$470:O3208)&gt;X3207,X3207,(O3208-MAX(O$470:O3208))/MAX(O$470:O3208))</f>
        <v>-0.62788758315546067</v>
      </c>
    </row>
    <row r="3209" spans="1:24">
      <c r="A3209" s="799">
        <v>43611</v>
      </c>
      <c r="B3209">
        <v>8021.5576060000003</v>
      </c>
      <c r="C3209">
        <v>5916.5812910000004</v>
      </c>
      <c r="D3209">
        <v>1.893964</v>
      </c>
      <c r="E3209">
        <f>LN(D3209/参数实验室!$E$53)/参数实验室!$E$55</f>
        <v>6.0507054798576015E-2</v>
      </c>
      <c r="F3209">
        <f t="shared" si="448"/>
        <v>0.73758509027903629</v>
      </c>
      <c r="G3209">
        <f>LN(F3209/参数实验室!$E$58)/参数实验室!$E$59</f>
        <v>-0.35028185509482812</v>
      </c>
      <c r="H3209" s="856">
        <f>INDEX(神经网络!$G$10:$BO$70,MATCH(ROUND(G3209*2,1)/2,神经网络!$E$10:$E$70,0),MATCH(ROUND(E3209*2,1)/2,神经网络!$G$8:$BO$8,0))</f>
        <v>-0.35803544821391908</v>
      </c>
      <c r="I3209">
        <f t="shared" si="440"/>
        <v>546840.18074992846</v>
      </c>
      <c r="J3209">
        <f t="shared" si="441"/>
        <v>3200.8130585371673</v>
      </c>
      <c r="K3209">
        <f t="shared" si="442"/>
        <v>170.84414826770447</v>
      </c>
      <c r="L3209" s="4">
        <f>MIN(MAX(L3208*(1+MAX(MIN(((B3209-B3208)/B3208)/($K$7*卓尔金历!$N$40),0),-卓尔金历!$M$43))+MIN(MAX(((B3209-B3208)/B3208)/($K$7*卓尔金历!$N$40),0),卓尔金历!$M$43),0),1)</f>
        <v>0.8214177901901325</v>
      </c>
      <c r="M3209" s="4">
        <f>MIN(MAX(M3208*(1+MAX(MIN(((B3209-B3208)/B3208)/($K$7*30),0),-卓尔金历!$M$43))+MIN(MAX(((B3209-B3208)/B3208)/($K$7*7),0),卓尔金历!$M$43),0),1)</f>
        <v>0.90901097642090178</v>
      </c>
      <c r="N3209">
        <f t="shared" si="443"/>
        <v>218467.58346660744</v>
      </c>
      <c r="O3209">
        <f t="shared" si="444"/>
        <v>595616.76135521813</v>
      </c>
      <c r="P3209">
        <f t="shared" si="445"/>
        <v>-8.8424307196673796E-3</v>
      </c>
      <c r="Q3209">
        <f t="shared" si="446"/>
        <v>4.3917846731683662E-2</v>
      </c>
      <c r="R3209">
        <f t="shared" si="447"/>
        <v>1</v>
      </c>
      <c r="S3209">
        <f t="shared" si="439"/>
        <v>1068.0705267388644</v>
      </c>
      <c r="T3209" s="564">
        <f>IF((I3209-MAX(I$470:I3209))/MAX(I$470:I3209)&gt;T3208,T3208,(I3209-MAX(I$470:I3209))/MAX(I$470:I3209))</f>
        <v>-0.91338805338419748</v>
      </c>
      <c r="U3209" s="564">
        <f>IF((J3209-MAX(J$470:J3209))/MAX(J$470:J3209)&gt;U3208,U3208,(J3209-MAX(J$470:J3209))/MAX(J$470:J3209))</f>
        <v>-0.83569785939843477</v>
      </c>
      <c r="V3209" s="564">
        <f>IF((K3209-MAX(K$470:K3209))/MAX(K$470:K3209)&gt;V3208,V3208,(K3209-MAX(K$470:K3209))/MAX(K$470:K3209))</f>
        <v>-0.84885940676762139</v>
      </c>
      <c r="W3209" s="564">
        <f>IF((N3209-MAX(N$470:N3209))/MAX(N$470:N3209)&gt;W3208,W3208,(N3209-MAX(N$470:N3209))/MAX(N$470:N3209))</f>
        <v>-0.62788758315546067</v>
      </c>
      <c r="X3209" s="564">
        <f>IF((O3209-MAX(O$470:O3209))/MAX(O$470:O3209)&gt;X3208,X3208,(O3209-MAX(O$470:O3209))/MAX(O$470:O3209))</f>
        <v>-0.62788758315546067</v>
      </c>
    </row>
    <row r="3210" spans="1:24">
      <c r="A3210" s="799">
        <v>43612</v>
      </c>
      <c r="B3210">
        <v>8877.4185230000003</v>
      </c>
      <c r="C3210">
        <v>5803.0481790000003</v>
      </c>
      <c r="D3210">
        <v>1.907149</v>
      </c>
      <c r="E3210">
        <f>LN(D3210/参数实验室!$E$53)/参数实验室!$E$55</f>
        <v>6.8691557026453839E-2</v>
      </c>
      <c r="F3210">
        <f t="shared" si="448"/>
        <v>0.65368644769481266</v>
      </c>
      <c r="G3210">
        <f>LN(F3210/参数实验室!$E$58)/参数实验室!$E$59</f>
        <v>-0.41365990149689014</v>
      </c>
      <c r="H3210" s="856">
        <f>INDEX(神经网络!$G$10:$BO$70,MATCH(ROUND(G3210*2,1)/2,神经网络!$E$10:$E$70,0),MATCH(ROUND(E3210*2,1)/2,神经网络!$G$8:$BO$8,0))</f>
        <v>-0.44008177200229937</v>
      </c>
      <c r="I3210">
        <f t="shared" si="440"/>
        <v>525950.54182023054</v>
      </c>
      <c r="J3210">
        <f t="shared" si="441"/>
        <v>3542.3241383025393</v>
      </c>
      <c r="K3210">
        <f t="shared" si="442"/>
        <v>148.47611943052252</v>
      </c>
      <c r="L3210" s="4">
        <f>MIN(MAX(L3209*(1+MAX(MIN(((B3210-B3209)/B3209)/($K$7*卓尔金历!$N$40),0),-卓尔金历!$M$43))+MIN(MAX(((B3210-B3209)/B3209)/($K$7*卓尔金历!$N$40),0),卓尔金历!$M$43),0),1)</f>
        <v>1</v>
      </c>
      <c r="M3210" s="4">
        <f>MIN(MAX(M3209*(1+MAX(MIN(((B3210-B3209)/B3209)/($K$7*30),0),-卓尔金历!$M$43))+MIN(MAX(((B3210-B3209)/B3209)/($K$7*7),0),卓尔金历!$M$43),0),1)</f>
        <v>1</v>
      </c>
      <c r="N3210">
        <f t="shared" si="443"/>
        <v>211612.35987181254</v>
      </c>
      <c r="O3210">
        <f t="shared" si="444"/>
        <v>574934.09369908925</v>
      </c>
      <c r="P3210">
        <f t="shared" si="445"/>
        <v>0.10669510325025021</v>
      </c>
      <c r="Q3210">
        <f t="shared" si="446"/>
        <v>4.7411429658296471E-2</v>
      </c>
      <c r="R3210">
        <f t="shared" si="447"/>
        <v>8.2955571802442694E-3</v>
      </c>
      <c r="S3210">
        <f t="shared" si="439"/>
        <v>1027.2695606788552</v>
      </c>
      <c r="T3210" s="564">
        <f>IF((I3210-MAX(I$470:I3210))/MAX(I$470:I3210)&gt;T3209,T3209,(I3210-MAX(I$470:I3210))/MAX(I$470:I3210))</f>
        <v>-0.91338805338419748</v>
      </c>
      <c r="U3210" s="564">
        <f>IF((J3210-MAX(J$470:J3210))/MAX(J$470:J3210)&gt;U3209,U3209,(J3210-MAX(J$470:J3210))/MAX(J$470:J3210))</f>
        <v>-0.83569785939843477</v>
      </c>
      <c r="V3210" s="564">
        <f>IF((K3210-MAX(K$470:K3210))/MAX(K$470:K3210)&gt;V3209,V3209,(K3210-MAX(K$470:K3210))/MAX(K$470:K3210))</f>
        <v>-0.84885940676762139</v>
      </c>
      <c r="W3210" s="564">
        <f>IF((N3210-MAX(N$470:N3210))/MAX(N$470:N3210)&gt;W3209,W3209,(N3210-MAX(N$470:N3210))/MAX(N$470:N3210))</f>
        <v>-0.62788758315546067</v>
      </c>
      <c r="X3210" s="564">
        <f>IF((O3210-MAX(O$470:O3210))/MAX(O$470:O3210)&gt;X3209,X3209,(O3210-MAX(O$470:O3210))/MAX(O$470:O3210))</f>
        <v>-0.62788758315546067</v>
      </c>
    </row>
    <row r="3211" spans="1:24">
      <c r="A3211" s="799">
        <v>43613</v>
      </c>
      <c r="B3211">
        <v>8737.9535830000004</v>
      </c>
      <c r="C3211">
        <v>5801.37464</v>
      </c>
      <c r="D3211">
        <v>1.88106</v>
      </c>
      <c r="E3211">
        <f>LN(D3211/参数实验室!$E$53)/参数实验室!$E$55</f>
        <v>5.2441625199372989E-2</v>
      </c>
      <c r="F3211">
        <f t="shared" si="448"/>
        <v>0.66392829681388799</v>
      </c>
      <c r="G3211">
        <f>LN(F3211/参数实验室!$E$58)/参数实验室!$E$59</f>
        <v>-0.40550033253794232</v>
      </c>
      <c r="H3211" s="856">
        <f>INDEX(神经网络!$G$10:$BO$70,MATCH(ROUND(G3211*2,1)/2,神经网络!$E$10:$E$70,0),MATCH(ROUND(E3211*2,1)/2,神经网络!$G$8:$BO$8,0))</f>
        <v>-0.44008177200229937</v>
      </c>
      <c r="I3211">
        <f t="shared" si="440"/>
        <v>529586.81612249825</v>
      </c>
      <c r="J3211">
        <f t="shared" si="441"/>
        <v>3486.6739487650111</v>
      </c>
      <c r="K3211">
        <f t="shared" si="442"/>
        <v>151.88882697508302</v>
      </c>
      <c r="L3211" s="4">
        <f>MIN(MAX(L3210*(1+MAX(MIN(((B3211-B3210)/B3210)/($K$7*卓尔金历!$N$40),0),-卓尔金历!$M$43))+MIN(MAX(((B3211-B3210)/B3210)/($K$7*卓尔金历!$N$40),0),卓尔金历!$M$43),0),1)</f>
        <v>0.75996507957936721</v>
      </c>
      <c r="M3211" s="4">
        <f>MIN(MAX(M3210*(1+MAX(MIN(((B3211-B3210)/B3210)/($K$7*30),0),-卓尔金历!$M$43))+MIN(MAX(((B3211-B3210)/B3210)/($K$7*7),0),卓尔金历!$M$43),0),1)</f>
        <v>0.87998253978968366</v>
      </c>
      <c r="N3211">
        <f t="shared" si="443"/>
        <v>213075.38828429603</v>
      </c>
      <c r="O3211">
        <f t="shared" si="444"/>
        <v>578909.0265191606</v>
      </c>
      <c r="P3211">
        <f t="shared" si="445"/>
        <v>-1.5710078288938167E-2</v>
      </c>
      <c r="Q3211">
        <f t="shared" si="446"/>
        <v>4.8030398958815369E-2</v>
      </c>
      <c r="R3211">
        <f t="shared" si="447"/>
        <v>1</v>
      </c>
      <c r="S3211">
        <f t="shared" si="439"/>
        <v>1027.3284778261686</v>
      </c>
      <c r="T3211" s="564">
        <f>IF((I3211-MAX(I$470:I3211))/MAX(I$470:I3211)&gt;T3210,T3210,(I3211-MAX(I$470:I3211))/MAX(I$470:I3211))</f>
        <v>-0.91338805338419748</v>
      </c>
      <c r="U3211" s="564">
        <f>IF((J3211-MAX(J$470:J3211))/MAX(J$470:J3211)&gt;U3210,U3210,(J3211-MAX(J$470:J3211))/MAX(J$470:J3211))</f>
        <v>-0.83569785939843477</v>
      </c>
      <c r="V3211" s="564">
        <f>IF((K3211-MAX(K$470:K3211))/MAX(K$470:K3211)&gt;V3210,V3210,(K3211-MAX(K$470:K3211))/MAX(K$470:K3211))</f>
        <v>-0.84885940676762139</v>
      </c>
      <c r="W3211" s="564">
        <f>IF((N3211-MAX(N$470:N3211))/MAX(N$470:N3211)&gt;W3210,W3210,(N3211-MAX(N$470:N3211))/MAX(N$470:N3211))</f>
        <v>-0.62788758315546067</v>
      </c>
      <c r="X3211" s="564">
        <f>IF((O3211-MAX(O$470:O3211))/MAX(O$470:O3211)&gt;X3210,X3210,(O3211-MAX(O$470:O3211))/MAX(O$470:O3211))</f>
        <v>-0.62788758315546067</v>
      </c>
    </row>
    <row r="3212" spans="1:24">
      <c r="A3212" s="799">
        <v>43614</v>
      </c>
      <c r="B3212">
        <v>8751.1386719999991</v>
      </c>
      <c r="C3212">
        <v>5761.9578789999996</v>
      </c>
      <c r="D3212">
        <v>1.8407199999999999</v>
      </c>
      <c r="E3212">
        <f>LN(D3212/参数实验室!$E$53)/参数实验室!$E$55</f>
        <v>2.6866169533478347E-2</v>
      </c>
      <c r="F3212">
        <f t="shared" si="448"/>
        <v>0.65842378860203254</v>
      </c>
      <c r="G3212">
        <f>LN(F3212/参数实验室!$E$58)/参数实验室!$E$59</f>
        <v>-0.40986994046493858</v>
      </c>
      <c r="H3212" s="856">
        <f>INDEX(神经网络!$G$10:$BO$70,MATCH(ROUND(G3212*2,1)/2,神经网络!$E$10:$E$70,0),MATCH(ROUND(E3212*2,1)/2,神经网络!$G$8:$BO$8,0))</f>
        <v>-0.44008177200229937</v>
      </c>
      <c r="I3212">
        <f t="shared" si="440"/>
        <v>529235.13919383322</v>
      </c>
      <c r="J3212">
        <f t="shared" si="441"/>
        <v>3491.9351470412166</v>
      </c>
      <c r="K3212">
        <f t="shared" si="442"/>
        <v>151.55926926141922</v>
      </c>
      <c r="L3212" s="4">
        <f>MIN(MAX(L3211*(1+MAX(MIN(((B3212-B3211)/B3211)/($K$7*卓尔金历!$N$40),0),-卓尔金历!$M$43))+MIN(MAX(((B3212-B3211)/B3211)/($K$7*卓尔金历!$N$40),0),卓尔金历!$M$43),0),1)</f>
        <v>0.78302030701025371</v>
      </c>
      <c r="M3212" s="4">
        <f>MIN(MAX(M3211*(1+MAX(MIN(((B3212-B3211)/B3211)/($K$7*30),0),-卓尔金历!$M$43))+MIN(MAX(((B3212-B3211)/B3211)/($K$7*7),0),卓尔金历!$M$43),0),1)</f>
        <v>0.92938659857015482</v>
      </c>
      <c r="N3212">
        <f t="shared" si="443"/>
        <v>212967.85729574837</v>
      </c>
      <c r="O3212">
        <f t="shared" si="444"/>
        <v>578570.7350163284</v>
      </c>
      <c r="P3212">
        <f t="shared" si="445"/>
        <v>1.5089447288494137E-3</v>
      </c>
      <c r="Q3212">
        <f t="shared" si="446"/>
        <v>4.812738044876641E-2</v>
      </c>
      <c r="R3212">
        <f t="shared" si="447"/>
        <v>1</v>
      </c>
      <c r="S3212">
        <f t="shared" si="439"/>
        <v>1026.6462710324699</v>
      </c>
      <c r="T3212" s="564">
        <f>IF((I3212-MAX(I$470:I3212))/MAX(I$470:I3212)&gt;T3211,T3211,(I3212-MAX(I$470:I3212))/MAX(I$470:I3212))</f>
        <v>-0.91338805338419748</v>
      </c>
      <c r="U3212" s="564">
        <f>IF((J3212-MAX(J$470:J3212))/MAX(J$470:J3212)&gt;U3211,U3211,(J3212-MAX(J$470:J3212))/MAX(J$470:J3212))</f>
        <v>-0.83569785939843477</v>
      </c>
      <c r="V3212" s="564">
        <f>IF((K3212-MAX(K$470:K3212))/MAX(K$470:K3212)&gt;V3211,V3211,(K3212-MAX(K$470:K3212))/MAX(K$470:K3212))</f>
        <v>-0.84885940676762139</v>
      </c>
      <c r="W3212" s="564">
        <f>IF((N3212-MAX(N$470:N3212))/MAX(N$470:N3212)&gt;W3211,W3211,(N3212-MAX(N$470:N3212))/MAX(N$470:N3212))</f>
        <v>-0.62788758315546067</v>
      </c>
      <c r="X3212" s="564">
        <f>IF((O3212-MAX(O$470:O3212))/MAX(O$470:O3212)&gt;X3211,X3211,(O3212-MAX(O$470:O3212))/MAX(O$470:O3212))</f>
        <v>-0.62788758315546067</v>
      </c>
    </row>
    <row r="3213" spans="1:24">
      <c r="A3213" s="799">
        <v>43615</v>
      </c>
      <c r="B3213">
        <v>8799.6116999999995</v>
      </c>
      <c r="C3213">
        <v>5689.2327640000003</v>
      </c>
      <c r="D3213">
        <v>1.757871</v>
      </c>
      <c r="E3213">
        <f>LN(D3213/参数实验室!$E$53)/参数实验室!$E$55</f>
        <v>-2.7465456920751204E-2</v>
      </c>
      <c r="F3213">
        <f t="shared" si="448"/>
        <v>0.646532251417412</v>
      </c>
      <c r="G3213">
        <f>LN(F3213/参数实验室!$E$58)/参数实验室!$E$59</f>
        <v>-0.41943577095353901</v>
      </c>
      <c r="H3213" s="856">
        <f>INDEX(神经网络!$G$10:$BO$70,MATCH(ROUND(G3213*2,1)/2,神经网络!$E$10:$E$70,0),MATCH(ROUND(E3213*2,1)/2,神经网络!$G$8:$BO$8,0))</f>
        <v>-0.51577837593697917</v>
      </c>
      <c r="I3213">
        <f t="shared" si="440"/>
        <v>527945.05624018167</v>
      </c>
      <c r="J3213">
        <f t="shared" si="441"/>
        <v>3511.2771637205192</v>
      </c>
      <c r="K3213">
        <f t="shared" si="442"/>
        <v>150.35698739337786</v>
      </c>
      <c r="L3213" s="4">
        <f>MIN(MAX(L3212*(1+MAX(MIN(((B3213-B3212)/B3212)/($K$7*卓尔金历!$N$40),0),-卓尔金历!$M$43))+MIN(MAX(((B3213-B3212)/B3212)/($K$7*卓尔金历!$N$40),0),卓尔金历!$M$43),0),1)</f>
        <v>0.86765173378954641</v>
      </c>
      <c r="M3213" s="4">
        <f>MIN(MAX(M3212*(1+MAX(MIN(((B3213-B3212)/B3212)/($K$7*30),0),-卓尔金历!$M$43))+MIN(MAX(((B3213-B3212)/B3212)/($K$7*7),0),卓尔金历!$M$43),0),1)</f>
        <v>1</v>
      </c>
      <c r="N3213">
        <f t="shared" si="443"/>
        <v>212561.3615062593</v>
      </c>
      <c r="O3213">
        <f t="shared" si="444"/>
        <v>577259.97908020078</v>
      </c>
      <c r="P3213">
        <f t="shared" si="445"/>
        <v>5.5390538096595195E-3</v>
      </c>
      <c r="Q3213">
        <f t="shared" si="446"/>
        <v>4.8223961762828969E-2</v>
      </c>
      <c r="R3213">
        <f t="shared" si="447"/>
        <v>1</v>
      </c>
      <c r="S3213">
        <f t="shared" si="439"/>
        <v>1024.1436804907564</v>
      </c>
      <c r="T3213" s="564">
        <f>IF((I3213-MAX(I$470:I3213))/MAX(I$470:I3213)&gt;T3212,T3212,(I3213-MAX(I$470:I3213))/MAX(I$470:I3213))</f>
        <v>-0.91338805338419748</v>
      </c>
      <c r="U3213" s="564">
        <f>IF((J3213-MAX(J$470:J3213))/MAX(J$470:J3213)&gt;U3212,U3212,(J3213-MAX(J$470:J3213))/MAX(J$470:J3213))</f>
        <v>-0.83569785939843477</v>
      </c>
      <c r="V3213" s="564">
        <f>IF((K3213-MAX(K$470:K3213))/MAX(K$470:K3213)&gt;V3212,V3212,(K3213-MAX(K$470:K3213))/MAX(K$470:K3213))</f>
        <v>-0.84885940676762139</v>
      </c>
      <c r="W3213" s="564">
        <f>IF((N3213-MAX(N$470:N3213))/MAX(N$470:N3213)&gt;W3212,W3212,(N3213-MAX(N$470:N3213))/MAX(N$470:N3213))</f>
        <v>-0.62788758315546067</v>
      </c>
      <c r="X3213" s="564">
        <f>IF((O3213-MAX(O$470:O3213))/MAX(O$470:O3213)&gt;X3212,X3212,(O3213-MAX(O$470:O3213))/MAX(O$470:O3213))</f>
        <v>-0.62788758315546067</v>
      </c>
    </row>
    <row r="3214" spans="1:24">
      <c r="A3214" s="799">
        <v>43616</v>
      </c>
      <c r="B3214">
        <v>8451.0229359999994</v>
      </c>
      <c r="C3214">
        <v>5895.7536890000001</v>
      </c>
      <c r="D3214">
        <v>1.8147610000000001</v>
      </c>
      <c r="E3214">
        <f>LN(D3214/参数实验室!$E$53)/参数实验室!$E$55</f>
        <v>1.0110109642480209E-2</v>
      </c>
      <c r="F3214">
        <f t="shared" si="448"/>
        <v>0.69763787575170777</v>
      </c>
      <c r="G3214">
        <f>LN(F3214/参数实验室!$E$58)/参数实验室!$E$59</f>
        <v>-0.37950640670209662</v>
      </c>
      <c r="H3214" s="856">
        <f>INDEX(神经网络!$G$10:$BO$70,MATCH(ROUND(G3214*2,1)/2,神经网络!$E$10:$E$70,0),MATCH(ROUND(E3214*2,1)/2,神经网络!$G$8:$BO$8,0))</f>
        <v>-0.47913293868224294</v>
      </c>
      <c r="I3214">
        <f t="shared" si="440"/>
        <v>538732.08244479913</v>
      </c>
      <c r="J3214">
        <f t="shared" si="441"/>
        <v>3372.1810526315762</v>
      </c>
      <c r="K3214">
        <f t="shared" si="442"/>
        <v>159.75775737912542</v>
      </c>
      <c r="L3214" s="4">
        <f>MIN(MAX(L3213*(1+MAX(MIN(((B3214-B3213)/B3213)/($K$7*卓尔金历!$N$40),0),-卓尔金历!$M$43))+MIN(MAX(((B3214-B3213)/B3213)/($K$7*卓尔金历!$N$40),0),卓尔金历!$M$43),0),1)</f>
        <v>0.3424920316130049</v>
      </c>
      <c r="M3214" s="4">
        <f>MIN(MAX(M3213*(1+MAX(MIN(((B3214-B3213)/B3213)/($K$7*30),0),-卓尔金历!$M$43))+MIN(MAX(((B3214-B3213)/B3213)/($K$7*7),0),卓尔金历!$M$43),0),1)</f>
        <v>0.69736722597045953</v>
      </c>
      <c r="N3214">
        <f t="shared" si="443"/>
        <v>216329.63806249667</v>
      </c>
      <c r="O3214">
        <f t="shared" si="444"/>
        <v>589054.6127217405</v>
      </c>
      <c r="P3214">
        <f t="shared" si="445"/>
        <v>-3.9614107517948784E-2</v>
      </c>
      <c r="Q3214">
        <f t="shared" si="446"/>
        <v>4.9470636791955312E-2</v>
      </c>
      <c r="R3214">
        <f t="shared" si="447"/>
        <v>0.28113302851573091</v>
      </c>
      <c r="S3214">
        <f t="shared" si="439"/>
        <v>1045.069086625673</v>
      </c>
      <c r="T3214" s="564">
        <f>IF((I3214-MAX(I$470:I3214))/MAX(I$470:I3214)&gt;T3213,T3213,(I3214-MAX(I$470:I3214))/MAX(I$470:I3214))</f>
        <v>-0.91338805338419748</v>
      </c>
      <c r="U3214" s="564">
        <f>IF((J3214-MAX(J$470:J3214))/MAX(J$470:J3214)&gt;U3213,U3213,(J3214-MAX(J$470:J3214))/MAX(J$470:J3214))</f>
        <v>-0.83569785939843477</v>
      </c>
      <c r="V3214" s="564">
        <f>IF((K3214-MAX(K$470:K3214))/MAX(K$470:K3214)&gt;V3213,V3213,(K3214-MAX(K$470:K3214))/MAX(K$470:K3214))</f>
        <v>-0.84885940676762139</v>
      </c>
      <c r="W3214" s="564">
        <f>IF((N3214-MAX(N$470:N3214))/MAX(N$470:N3214)&gt;W3213,W3213,(N3214-MAX(N$470:N3214))/MAX(N$470:N3214))</f>
        <v>-0.62788758315546067</v>
      </c>
      <c r="X3214" s="564">
        <f>IF((O3214-MAX(O$470:O3214))/MAX(O$470:O3214)&gt;X3213,X3213,(O3214-MAX(O$470:O3214))/MAX(O$470:O3214))</f>
        <v>-0.62788758315546067</v>
      </c>
    </row>
    <row r="3215" spans="1:24">
      <c r="A3215" s="799">
        <v>43617</v>
      </c>
      <c r="B3215">
        <v>8588.7054499999995</v>
      </c>
      <c r="C3215">
        <v>6027.957762</v>
      </c>
      <c r="D3215">
        <v>1.8124610000000001</v>
      </c>
      <c r="E3215">
        <f>LN(D3215/参数实验室!$E$53)/参数实验室!$E$55</f>
        <v>8.6139603443099264E-3</v>
      </c>
      <c r="F3215">
        <f t="shared" si="448"/>
        <v>0.70184707079458641</v>
      </c>
      <c r="G3215">
        <f>LN(F3215/参数实验室!$E$58)/参数实验室!$E$59</f>
        <v>-0.37634921704678331</v>
      </c>
      <c r="H3215" s="856">
        <f>INDEX(神经网络!$G$10:$BO$70,MATCH(ROUND(G3215*2,1)/2,神经网络!$E$10:$E$70,0),MATCH(ROUND(E3215*2,1)/2,神经网络!$G$8:$BO$8,0))</f>
        <v>-0.47913293868224294</v>
      </c>
      <c r="I3215">
        <f t="shared" si="440"/>
        <v>534526.76897377102</v>
      </c>
      <c r="J3215">
        <f t="shared" si="441"/>
        <v>3427.1200071824719</v>
      </c>
      <c r="K3215">
        <f t="shared" si="442"/>
        <v>155.96966778330588</v>
      </c>
      <c r="L3215" s="4">
        <f>MIN(MAX(L3214*(1+MAX(MIN(((B3215-B3214)/B3214)/($K$7*卓尔金历!$N$40),0),-卓尔金历!$M$43))+MIN(MAX(((B3215-B3214)/B3214)/($K$7*卓尔金历!$N$40),0),卓尔金历!$M$43),0),1)</f>
        <v>0.59141535199993656</v>
      </c>
      <c r="M3215" s="4">
        <f>MIN(MAX(M3214*(1+MAX(MIN(((B3215-B3214)/B3214)/($K$7*30),0),-卓尔金历!$M$43))+MIN(MAX(((B3215-B3214)/B3214)/($K$7*7),0),卓尔金历!$M$43),0),1)</f>
        <v>1</v>
      </c>
      <c r="N3215">
        <f t="shared" si="443"/>
        <v>215751.28634393949</v>
      </c>
      <c r="O3215">
        <f t="shared" si="444"/>
        <v>585848.02866213047</v>
      </c>
      <c r="P3215">
        <f t="shared" si="445"/>
        <v>1.6291816392249359E-2</v>
      </c>
      <c r="Q3215">
        <f t="shared" si="446"/>
        <v>4.6615272514645083E-2</v>
      </c>
      <c r="R3215">
        <f t="shared" si="447"/>
        <v>1</v>
      </c>
      <c r="S3215">
        <f t="shared" si="439"/>
        <v>1042.7756728990641</v>
      </c>
      <c r="T3215" s="564">
        <f>IF((I3215-MAX(I$470:I3215))/MAX(I$470:I3215)&gt;T3214,T3214,(I3215-MAX(I$470:I3215))/MAX(I$470:I3215))</f>
        <v>-0.91338805338419748</v>
      </c>
      <c r="U3215" s="564">
        <f>IF((J3215-MAX(J$470:J3215))/MAX(J$470:J3215)&gt;U3214,U3214,(J3215-MAX(J$470:J3215))/MAX(J$470:J3215))</f>
        <v>-0.83569785939843477</v>
      </c>
      <c r="V3215" s="564">
        <f>IF((K3215-MAX(K$470:K3215))/MAX(K$470:K3215)&gt;V3214,V3214,(K3215-MAX(K$470:K3215))/MAX(K$470:K3215))</f>
        <v>-0.84885940676762139</v>
      </c>
      <c r="W3215" s="564">
        <f>IF((N3215-MAX(N$470:N3215))/MAX(N$470:N3215)&gt;W3214,W3214,(N3215-MAX(N$470:N3215))/MAX(N$470:N3215))</f>
        <v>-0.62788758315546067</v>
      </c>
      <c r="X3215" s="564">
        <f>IF((O3215-MAX(O$470:O3215))/MAX(O$470:O3215)&gt;X3214,X3214,(O3215-MAX(O$470:O3215))/MAX(O$470:O3215))</f>
        <v>-0.62788758315546067</v>
      </c>
    </row>
    <row r="3216" spans="1:24">
      <c r="A3216" s="799">
        <v>43618</v>
      </c>
      <c r="B3216">
        <v>8772.8665760000004</v>
      </c>
      <c r="C3216">
        <v>6114.6138879999999</v>
      </c>
      <c r="D3216">
        <v>1.8504970000000001</v>
      </c>
      <c r="E3216">
        <f>LN(D3216/参数实验室!$E$53)/参数实验室!$E$55</f>
        <v>3.3115855986792009E-2</v>
      </c>
      <c r="F3216">
        <f t="shared" si="448"/>
        <v>0.69699155173837901</v>
      </c>
      <c r="G3216">
        <f>LN(F3216/参数实验室!$E$58)/参数实验室!$E$59</f>
        <v>-0.3799928811577985</v>
      </c>
      <c r="H3216" s="856">
        <f>INDEX(神经网络!$G$10:$BO$70,MATCH(ROUND(G3216*2,1)/2,神经网络!$E$10:$E$70,0),MATCH(ROUND(E3216*2,1)/2,神经网络!$G$8:$BO$8,0))</f>
        <v>-0.44008177200229937</v>
      </c>
      <c r="I3216">
        <f t="shared" si="440"/>
        <v>529035.2088808812</v>
      </c>
      <c r="J3216">
        <f t="shared" si="441"/>
        <v>3500.6051538246652</v>
      </c>
      <c r="K3216">
        <f t="shared" si="442"/>
        <v>151.12678683651936</v>
      </c>
      <c r="L3216" s="4">
        <f>MIN(MAX(L3215*(1+MAX(MIN(((B3216-B3215)/B3215)/($K$7*卓尔金历!$N$40),0),-卓尔金历!$M$43))+MIN(MAX(((B3216-B3215)/B3215)/($K$7*卓尔金历!$N$40),0),卓尔金历!$M$43),0),1)</f>
        <v>0.91903227814192079</v>
      </c>
      <c r="M3216" s="4">
        <f>MIN(MAX(M3215*(1+MAX(MIN(((B3216-B3215)/B3215)/($K$7*30),0),-卓尔金历!$M$43))+MIN(MAX(((B3216-B3215)/B3215)/($K$7*7),0),卓尔金历!$M$43),0),1)</f>
        <v>1</v>
      </c>
      <c r="N3216">
        <f t="shared" si="443"/>
        <v>214440.37817915922</v>
      </c>
      <c r="O3216">
        <f t="shared" si="444"/>
        <v>579829.21007073263</v>
      </c>
      <c r="P3216">
        <f t="shared" si="445"/>
        <v>2.1442244942746394E-2</v>
      </c>
      <c r="Q3216">
        <f t="shared" si="446"/>
        <v>4.6651792972672079E-2</v>
      </c>
      <c r="R3216">
        <f t="shared" si="447"/>
        <v>0.86019989864806001</v>
      </c>
      <c r="S3216">
        <f t="shared" si="439"/>
        <v>1032.0625232431114</v>
      </c>
      <c r="T3216" s="564">
        <f>IF((I3216-MAX(I$470:I3216))/MAX(I$470:I3216)&gt;T3215,T3215,(I3216-MAX(I$470:I3216))/MAX(I$470:I3216))</f>
        <v>-0.91338805338419748</v>
      </c>
      <c r="U3216" s="564">
        <f>IF((J3216-MAX(J$470:J3216))/MAX(J$470:J3216)&gt;U3215,U3215,(J3216-MAX(J$470:J3216))/MAX(J$470:J3216))</f>
        <v>-0.83569785939843477</v>
      </c>
      <c r="V3216" s="564">
        <f>IF((K3216-MAX(K$470:K3216))/MAX(K$470:K3216)&gt;V3215,V3215,(K3216-MAX(K$470:K3216))/MAX(K$470:K3216))</f>
        <v>-0.84885940676762139</v>
      </c>
      <c r="W3216" s="564">
        <f>IF((N3216-MAX(N$470:N3216))/MAX(N$470:N3216)&gt;W3215,W3215,(N3216-MAX(N$470:N3216))/MAX(N$470:N3216))</f>
        <v>-0.62788758315546067</v>
      </c>
      <c r="X3216" s="564">
        <f>IF((O3216-MAX(O$470:O3216))/MAX(O$470:O3216)&gt;X3215,X3215,(O3216-MAX(O$470:O3216))/MAX(O$470:O3216))</f>
        <v>-0.62788758315546067</v>
      </c>
    </row>
    <row r="3217" spans="1:24">
      <c r="A3217" s="799">
        <v>43619</v>
      </c>
      <c r="B3217">
        <v>8411.9065389999996</v>
      </c>
      <c r="C3217">
        <v>6169.6072100000001</v>
      </c>
      <c r="D3217">
        <v>1.727012</v>
      </c>
      <c r="E3217">
        <f>LN(D3217/参数实验室!$E$53)/参数实验室!$E$55</f>
        <v>-4.8359677453745413E-2</v>
      </c>
      <c r="F3217">
        <f t="shared" si="448"/>
        <v>0.73343744148795997</v>
      </c>
      <c r="G3217">
        <f>LN(F3217/参数实验室!$E$58)/参数实验室!$E$59</f>
        <v>-0.35324158679041179</v>
      </c>
      <c r="H3217" s="856">
        <f>INDEX(神经网络!$G$10:$BO$70,MATCH(ROUND(G3217*2,1)/2,神经网络!$E$10:$E$70,0),MATCH(ROUND(E3217*2,1)/2,神经网络!$G$8:$BO$8,0))</f>
        <v>-0.43992575380605697</v>
      </c>
      <c r="I3217">
        <f t="shared" si="440"/>
        <v>538614.54816202482</v>
      </c>
      <c r="J3217">
        <f t="shared" si="441"/>
        <v>3356.5725785084369</v>
      </c>
      <c r="K3217">
        <f t="shared" si="442"/>
        <v>160.46563438272781</v>
      </c>
      <c r="L3217" s="4">
        <f>MIN(MAX(L3216*(1+MAX(MIN(((B3217-B3216)/B3216)/($K$7*卓尔金历!$N$40),0),-卓尔金历!$M$43))+MIN(MAX(((B3217-B3216)/B3216)/($K$7*卓尔金历!$N$40),0),卓尔金历!$M$43),0),1)</f>
        <v>0.34127630855936425</v>
      </c>
      <c r="M3217" s="4">
        <f>MIN(MAX(M3216*(1+MAX(MIN(((B3217-B3216)/B3216)/($K$7*30),0),-卓尔金历!$M$43))+MIN(MAX(((B3217-B3216)/B3216)/($K$7*7),0),卓尔金历!$M$43),0),1)</f>
        <v>0.68567155728705698</v>
      </c>
      <c r="N3217">
        <f t="shared" si="443"/>
        <v>218008.89960068182</v>
      </c>
      <c r="O3217">
        <f t="shared" si="444"/>
        <v>590328.28581303474</v>
      </c>
      <c r="P3217">
        <f t="shared" si="445"/>
        <v>-4.1145050351897743E-2</v>
      </c>
      <c r="Q3217">
        <f t="shared" si="446"/>
        <v>4.1114298123239294E-2</v>
      </c>
      <c r="R3217">
        <f t="shared" si="447"/>
        <v>4.6616911911777428E-2</v>
      </c>
      <c r="S3217">
        <f t="shared" si="439"/>
        <v>1048.1377228336253</v>
      </c>
      <c r="T3217" s="564">
        <f>IF((I3217-MAX(I$470:I3217))/MAX(I$470:I3217)&gt;T3216,T3216,(I3217-MAX(I$470:I3217))/MAX(I$470:I3217))</f>
        <v>-0.91338805338419748</v>
      </c>
      <c r="U3217" s="564">
        <f>IF((J3217-MAX(J$470:J3217))/MAX(J$470:J3217)&gt;U3216,U3216,(J3217-MAX(J$470:J3217))/MAX(J$470:J3217))</f>
        <v>-0.83569785939843477</v>
      </c>
      <c r="V3217" s="564">
        <f>IF((K3217-MAX(K$470:K3217))/MAX(K$470:K3217)&gt;V3216,V3216,(K3217-MAX(K$470:K3217))/MAX(K$470:K3217))</f>
        <v>-0.84885940676762139</v>
      </c>
      <c r="W3217" s="564">
        <f>IF((N3217-MAX(N$470:N3217))/MAX(N$470:N3217)&gt;W3216,W3216,(N3217-MAX(N$470:N3217))/MAX(N$470:N3217))</f>
        <v>-0.62788758315546067</v>
      </c>
      <c r="X3217" s="564">
        <f>IF((O3217-MAX(O$470:O3217))/MAX(O$470:O3217)&gt;X3216,X3216,(O3217-MAX(O$470:O3217))/MAX(O$470:O3217))</f>
        <v>-0.62788758315546067</v>
      </c>
    </row>
    <row r="3218" spans="1:24">
      <c r="A3218" s="799">
        <v>43620</v>
      </c>
      <c r="B3218">
        <v>7990.0568400000002</v>
      </c>
      <c r="C3218">
        <v>6069.6246570000003</v>
      </c>
      <c r="D3218">
        <v>1.626369</v>
      </c>
      <c r="E3218">
        <f>LN(D3218/参数实验室!$E$53)/参数实验室!$E$55</f>
        <v>-0.11919539497440446</v>
      </c>
      <c r="F3218">
        <f t="shared" si="448"/>
        <v>0.75964724388618998</v>
      </c>
      <c r="G3218">
        <f>LN(F3218/参数实验室!$E$58)/参数实验室!$E$59</f>
        <v>-0.33481298170862223</v>
      </c>
      <c r="H3218" s="856">
        <f>INDEX(神经网络!$G$10:$BO$70,MATCH(ROUND(G3218*2,1)/2,神经网络!$E$10:$E$70,0),MATCH(ROUND(E3218*2,1)/2,神经网络!$G$8:$BO$8,0))</f>
        <v>-0.47881512889002076</v>
      </c>
      <c r="I3218">
        <f t="shared" si="440"/>
        <v>550497.40244026808</v>
      </c>
      <c r="J3218">
        <f t="shared" si="441"/>
        <v>3188.243422050195</v>
      </c>
      <c r="K3218">
        <f t="shared" si="442"/>
        <v>172.66479674449437</v>
      </c>
      <c r="L3218" s="4">
        <f>MIN(MAX(L3217*(1+MAX(MIN(((B3218-B3217)/B3217)/($K$7*卓尔金历!$N$40),0),-卓尔金历!$M$43))+MIN(MAX(((B3218-B3217)/B3217)/($K$7*卓尔金历!$N$40),0),卓尔金历!$M$43),0),1)</f>
        <v>7.9780023313345647E-2</v>
      </c>
      <c r="M3218" s="4">
        <f>MIN(MAX(M3217*(1+MAX(MIN(((B3218-B3217)/B3217)/($K$7*30),0),-卓尔金历!$M$43))+MIN(MAX(((B3218-B3217)/B3217)/($K$7*7),0),卓尔金历!$M$43),0),1)</f>
        <v>0.42298035864173827</v>
      </c>
      <c r="N3218">
        <f t="shared" si="443"/>
        <v>219650.33220237686</v>
      </c>
      <c r="O3218">
        <f t="shared" si="444"/>
        <v>599258.30556295451</v>
      </c>
      <c r="P3218">
        <f t="shared" si="445"/>
        <v>-5.0149118638466064E-2</v>
      </c>
      <c r="Q3218">
        <f t="shared" si="446"/>
        <v>4.190501767398324E-2</v>
      </c>
      <c r="R3218">
        <f t="shared" si="447"/>
        <v>3.3730360686182709E-2</v>
      </c>
      <c r="S3218">
        <f t="shared" si="439"/>
        <v>1049.2156875455025</v>
      </c>
      <c r="T3218" s="564">
        <f>IF((I3218-MAX(I$470:I3218))/MAX(I$470:I3218)&gt;T3217,T3217,(I3218-MAX(I$470:I3218))/MAX(I$470:I3218))</f>
        <v>-0.91338805338419748</v>
      </c>
      <c r="U3218" s="564">
        <f>IF((J3218-MAX(J$470:J3218))/MAX(J$470:J3218)&gt;U3217,U3217,(J3218-MAX(J$470:J3218))/MAX(J$470:J3218))</f>
        <v>-0.83569785939843477</v>
      </c>
      <c r="V3218" s="564">
        <f>IF((K3218-MAX(K$470:K3218))/MAX(K$470:K3218)&gt;V3217,V3217,(K3218-MAX(K$470:K3218))/MAX(K$470:K3218))</f>
        <v>-0.84885940676762139</v>
      </c>
      <c r="W3218" s="564">
        <f>IF((N3218-MAX(N$470:N3218))/MAX(N$470:N3218)&gt;W3217,W3217,(N3218-MAX(N$470:N3218))/MAX(N$470:N3218))</f>
        <v>-0.62788758315546067</v>
      </c>
      <c r="X3218" s="564">
        <f>IF((O3218-MAX(O$470:O3218))/MAX(O$470:O3218)&gt;X3217,X3217,(O3218-MAX(O$470:O3218))/MAX(O$470:O3218))</f>
        <v>-0.62788758315546067</v>
      </c>
    </row>
    <row r="3219" spans="1:24">
      <c r="A3219" s="799">
        <v>43621</v>
      </c>
      <c r="B3219">
        <v>7662.3679510000002</v>
      </c>
      <c r="C3219">
        <v>6035.5788819999998</v>
      </c>
      <c r="D3219">
        <v>1.656126</v>
      </c>
      <c r="E3219">
        <f>LN(D3219/参数实验室!$E$53)/参数实验室!$E$55</f>
        <v>-9.7805032457313604E-2</v>
      </c>
      <c r="F3219">
        <f t="shared" si="448"/>
        <v>0.7876910793891474</v>
      </c>
      <c r="G3219">
        <f>LN(F3219/参数实验室!$E$58)/参数实验室!$E$59</f>
        <v>-0.31578607317823576</v>
      </c>
      <c r="H3219" s="856">
        <f>INDEX(神经网络!$G$10:$BO$70,MATCH(ROUND(G3219*2,1)/2,神经网络!$E$10:$E$70,0),MATCH(ROUND(E3219*2,1)/2,神经网络!$G$8:$BO$8,0))</f>
        <v>-0.39677503106834472</v>
      </c>
      <c r="I3219">
        <f t="shared" si="440"/>
        <v>561307.63371363666</v>
      </c>
      <c r="J3219">
        <f t="shared" si="441"/>
        <v>3057.4869123339026</v>
      </c>
      <c r="K3219">
        <f t="shared" si="442"/>
        <v>183.58463987182466</v>
      </c>
      <c r="L3219" s="4">
        <f>MIN(MAX(L3218*(1+MAX(MIN(((B3219-B3218)/B3218)/($K$7*卓尔金历!$N$40),0),-卓尔金历!$M$43))+MIN(MAX(((B3219-B3218)/B3218)/($K$7*卓尔金历!$N$40),0),卓尔金历!$M$43),0),1)</f>
        <v>2.9787842270261679E-2</v>
      </c>
      <c r="M3219" s="4">
        <f>MIN(MAX(M3218*(1+MAX(MIN(((B3219-B3218)/B3218)/($K$7*30),0),-卓尔金历!$M$43))+MIN(MAX(((B3219-B3218)/B3218)/($K$7*7),0),卓尔金历!$M$43),0),1)</f>
        <v>0.2904552615768124</v>
      </c>
      <c r="N3219">
        <f t="shared" si="443"/>
        <v>219994.44889057855</v>
      </c>
      <c r="O3219">
        <f t="shared" si="444"/>
        <v>604235.83657245396</v>
      </c>
      <c r="P3219">
        <f t="shared" si="445"/>
        <v>-4.1012084840187445E-2</v>
      </c>
      <c r="Q3219">
        <f t="shared" si="446"/>
        <v>4.2804245785728536E-2</v>
      </c>
      <c r="R3219">
        <f t="shared" si="447"/>
        <v>8.6467839983388459E-2</v>
      </c>
      <c r="S3219">
        <f t="shared" si="439"/>
        <v>1049.910656608118</v>
      </c>
      <c r="T3219" s="564">
        <f>IF((I3219-MAX(I$470:I3219))/MAX(I$470:I3219)&gt;T3218,T3218,(I3219-MAX(I$470:I3219))/MAX(I$470:I3219))</f>
        <v>-0.91338805338419748</v>
      </c>
      <c r="U3219" s="564">
        <f>IF((J3219-MAX(J$470:J3219))/MAX(J$470:J3219)&gt;U3218,U3218,(J3219-MAX(J$470:J3219))/MAX(J$470:J3219))</f>
        <v>-0.83569785939843477</v>
      </c>
      <c r="V3219" s="564">
        <f>IF((K3219-MAX(K$470:K3219))/MAX(K$470:K3219)&gt;V3218,V3218,(K3219-MAX(K$470:K3219))/MAX(K$470:K3219))</f>
        <v>-0.84885940676762139</v>
      </c>
      <c r="W3219" s="564">
        <f>IF((N3219-MAX(N$470:N3219))/MAX(N$470:N3219)&gt;W3218,W3218,(N3219-MAX(N$470:N3219))/MAX(N$470:N3219))</f>
        <v>-0.62788758315546067</v>
      </c>
      <c r="X3219" s="564">
        <f>IF((O3219-MAX(O$470:O3219))/MAX(O$470:O3219)&gt;X3218,X3218,(O3219-MAX(O$470:O3219))/MAX(O$470:O3219))</f>
        <v>-0.62788758315546067</v>
      </c>
    </row>
    <row r="3220" spans="1:24">
      <c r="A3220" s="799">
        <v>43622</v>
      </c>
      <c r="B3220">
        <v>7707.9494629999999</v>
      </c>
      <c r="C3220">
        <v>5918.9823839999999</v>
      </c>
      <c r="D3220">
        <v>1.6513420000000001</v>
      </c>
      <c r="E3220">
        <f>LN(D3220/参数实验室!$E$53)/参数实验室!$E$55</f>
        <v>-0.1012178808689331</v>
      </c>
      <c r="F3220">
        <f t="shared" si="448"/>
        <v>0.76790622621652238</v>
      </c>
      <c r="G3220">
        <f>LN(F3220/参数实验室!$E$58)/参数实验室!$E$59</f>
        <v>-0.32913749788240509</v>
      </c>
      <c r="H3220" s="856">
        <f>INDEX(神经网络!$G$10:$BO$70,MATCH(ROUND(G3220*2,1)/2,神经网络!$E$10:$E$70,0),MATCH(ROUND(E3220*2,1)/2,神经网络!$G$8:$BO$8,0))</f>
        <v>-0.47881512889002076</v>
      </c>
      <c r="I3220">
        <f t="shared" si="440"/>
        <v>559982.77060562442</v>
      </c>
      <c r="J3220">
        <f t="shared" si="441"/>
        <v>3075.67513786361</v>
      </c>
      <c r="K3220">
        <f t="shared" si="442"/>
        <v>182.06824372049684</v>
      </c>
      <c r="L3220" s="4">
        <f>MIN(MAX(L3219*(1+MAX(MIN(((B3220-B3219)/B3219)/($K$7*卓尔金历!$N$40),0),-卓尔金历!$M$43))+MIN(MAX(((B3220-B3219)/B3219)/($K$7*卓尔金历!$N$40),0),卓尔金历!$M$43),0),1)</f>
        <v>0.12067903498102592</v>
      </c>
      <c r="M3220" s="4">
        <f>MIN(MAX(M3219*(1+MAX(MIN(((B3220-B3219)/B3219)/($K$7*30),0),-卓尔金历!$M$43))+MIN(MAX(((B3220-B3219)/B3219)/($K$7*7),0),卓尔金历!$M$43),0),1)</f>
        <v>0.48522210309987862</v>
      </c>
      <c r="N3220">
        <f t="shared" si="443"/>
        <v>219978.98136559033</v>
      </c>
      <c r="O3220">
        <f t="shared" si="444"/>
        <v>603821.59299314208</v>
      </c>
      <c r="P3220">
        <f t="shared" si="445"/>
        <v>5.9487500850244337E-3</v>
      </c>
      <c r="Q3220">
        <f t="shared" si="446"/>
        <v>4.2831010282829332E-2</v>
      </c>
      <c r="R3220">
        <f t="shared" si="447"/>
        <v>1</v>
      </c>
      <c r="S3220">
        <f t="shared" si="439"/>
        <v>1049.6963788902397</v>
      </c>
      <c r="T3220" s="564">
        <f>IF((I3220-MAX(I$470:I3220))/MAX(I$470:I3220)&gt;T3219,T3219,(I3220-MAX(I$470:I3220))/MAX(I$470:I3220))</f>
        <v>-0.91338805338419748</v>
      </c>
      <c r="U3220" s="564">
        <f>IF((J3220-MAX(J$470:J3220))/MAX(J$470:J3220)&gt;U3219,U3219,(J3220-MAX(J$470:J3220))/MAX(J$470:J3220))</f>
        <v>-0.83569785939843477</v>
      </c>
      <c r="V3220" s="564">
        <f>IF((K3220-MAX(K$470:K3220))/MAX(K$470:K3220)&gt;V3219,V3219,(K3220-MAX(K$470:K3220))/MAX(K$470:K3220))</f>
        <v>-0.84885940676762139</v>
      </c>
      <c r="W3220" s="564">
        <f>IF((N3220-MAX(N$470:N3220))/MAX(N$470:N3220)&gt;W3219,W3219,(N3220-MAX(N$470:N3220))/MAX(N$470:N3220))</f>
        <v>-0.62788758315546067</v>
      </c>
      <c r="X3220" s="564">
        <f>IF((O3220-MAX(O$470:O3220))/MAX(O$470:O3220)&gt;X3219,X3219,(O3220-MAX(O$470:O3220))/MAX(O$470:O3220))</f>
        <v>-0.62788758315546067</v>
      </c>
    </row>
    <row r="3221" spans="1:24">
      <c r="A3221" s="799">
        <v>43623</v>
      </c>
      <c r="B3221">
        <v>7916.1860720000004</v>
      </c>
      <c r="C3221">
        <v>5897.6992460000001</v>
      </c>
      <c r="D3221">
        <v>1.7018359999999999</v>
      </c>
      <c r="E3221">
        <f>LN(D3221/参数实验室!$E$53)/参数实验室!$E$55</f>
        <v>-6.5684447424476072E-2</v>
      </c>
      <c r="F3221">
        <f t="shared" si="448"/>
        <v>0.74501776390280883</v>
      </c>
      <c r="G3221">
        <f>LN(F3221/参数实验室!$E$58)/参数实验室!$E$59</f>
        <v>-0.34501935141976048</v>
      </c>
      <c r="H3221" s="856">
        <f>INDEX(神经网络!$G$10:$BO$70,MATCH(ROUND(G3221*2,1)/2,神经网络!$E$10:$E$70,0),MATCH(ROUND(E3221*2,1)/2,神经网络!$G$8:$BO$8,0))</f>
        <v>-0.43992575380605697</v>
      </c>
      <c r="I3221">
        <f t="shared" si="440"/>
        <v>552739.06563645904</v>
      </c>
      <c r="J3221">
        <f t="shared" si="441"/>
        <v>3158.7670372291577</v>
      </c>
      <c r="K3221">
        <f t="shared" si="442"/>
        <v>174.98570142143714</v>
      </c>
      <c r="L3221" s="4">
        <f>MIN(MAX(L3220*(1+MAX(MIN(((B3221-B3220)/B3220)/($K$7*卓尔金历!$N$40),0),-卓尔金历!$M$43))+MIN(MAX(((B3221-B3220)/B3220)/($K$7*卓尔金历!$N$40),0),卓尔金历!$M$43),0),1)</f>
        <v>0.53345490631592496</v>
      </c>
      <c r="M3221" s="4">
        <f>MIN(MAX(M3220*(1+MAX(MIN(((B3221-B3220)/B3220)/($K$7*30),0),-卓尔金历!$M$43))+MIN(MAX(((B3221-B3220)/B3220)/($K$7*7),0),卓尔金历!$M$43),0),1)</f>
        <v>1</v>
      </c>
      <c r="N3221">
        <f t="shared" si="443"/>
        <v>219635.58230412772</v>
      </c>
      <c r="O3221">
        <f t="shared" si="444"/>
        <v>600031.62707974249</v>
      </c>
      <c r="P3221">
        <f t="shared" si="445"/>
        <v>2.7015824377103925E-2</v>
      </c>
      <c r="Q3221">
        <f t="shared" si="446"/>
        <v>3.7029167351496771E-2</v>
      </c>
      <c r="R3221">
        <f t="shared" si="447"/>
        <v>0.37161803164528801</v>
      </c>
      <c r="S3221">
        <f t="shared" si="439"/>
        <v>1036.1179417042908</v>
      </c>
      <c r="T3221" s="564">
        <f>IF((I3221-MAX(I$470:I3221))/MAX(I$470:I3221)&gt;T3220,T3220,(I3221-MAX(I$470:I3221))/MAX(I$470:I3221))</f>
        <v>-0.91338805338419748</v>
      </c>
      <c r="U3221" s="564">
        <f>IF((J3221-MAX(J$470:J3221))/MAX(J$470:J3221)&gt;U3220,U3220,(J3221-MAX(J$470:J3221))/MAX(J$470:J3221))</f>
        <v>-0.83569785939843477</v>
      </c>
      <c r="V3221" s="564">
        <f>IF((K3221-MAX(K$470:K3221))/MAX(K$470:K3221)&gt;V3220,V3220,(K3221-MAX(K$470:K3221))/MAX(K$470:K3221))</f>
        <v>-0.84885940676762139</v>
      </c>
      <c r="W3221" s="564">
        <f>IF((N3221-MAX(N$470:N3221))/MAX(N$470:N3221)&gt;W3220,W3220,(N3221-MAX(N$470:N3221))/MAX(N$470:N3221))</f>
        <v>-0.62788758315546067</v>
      </c>
      <c r="X3221" s="564">
        <f>IF((O3221-MAX(O$470:O3221))/MAX(O$470:O3221)&gt;X3220,X3220,(O3221-MAX(O$470:O3221))/MAX(O$470:O3221))</f>
        <v>-0.62788758315546067</v>
      </c>
    </row>
    <row r="3222" spans="1:24">
      <c r="A3222" s="799">
        <v>43624</v>
      </c>
      <c r="B3222">
        <v>7896.5880829999996</v>
      </c>
      <c r="C3222">
        <v>6001.5671910000001</v>
      </c>
      <c r="D3222">
        <v>1.6835169999999999</v>
      </c>
      <c r="E3222">
        <f>LN(D3222/参数实验室!$E$53)/参数实验室!$E$55</f>
        <v>-7.8452457510330781E-2</v>
      </c>
      <c r="F3222">
        <f t="shared" si="448"/>
        <v>0.76002029331127774</v>
      </c>
      <c r="G3222">
        <f>LN(F3222/参数实验室!$E$58)/参数实验室!$E$59</f>
        <v>-0.33455529836911935</v>
      </c>
      <c r="H3222" s="856">
        <f>INDEX(神经网络!$G$10:$BO$70,MATCH(ROUND(G3222*2,1)/2,神经网络!$E$10:$E$70,0),MATCH(ROUND(E3222*2,1)/2,神经网络!$G$8:$BO$8,0))</f>
        <v>-0.47881512889002076</v>
      </c>
      <c r="I3222">
        <f t="shared" si="440"/>
        <v>553341.06365617085</v>
      </c>
      <c r="J3222">
        <f t="shared" si="441"/>
        <v>3150.9469227085874</v>
      </c>
      <c r="K3222">
        <f t="shared" si="442"/>
        <v>175.61103923023654</v>
      </c>
      <c r="L3222" s="4">
        <f>MIN(MAX(L3221*(1+MAX(MIN(((B3222-B3221)/B3221)/($K$7*卓尔金历!$N$40),0),-卓尔金历!$M$43))+MIN(MAX(((B3222-B3221)/B3221)/($K$7*卓尔金历!$N$40),0),卓尔金历!$M$43),0),1)</f>
        <v>0.51327638639305839</v>
      </c>
      <c r="M3222" s="4">
        <f>MIN(MAX(M3221*(1+MAX(MIN(((B3222-B3221)/B3221)/($K$7*30),0),-卓尔金历!$M$43))+MIN(MAX(((B3222-B3221)/B3221)/($K$7*7),0),卓尔金历!$M$43),0),1)</f>
        <v>0.98108694878989799</v>
      </c>
      <c r="N3222">
        <f t="shared" si="443"/>
        <v>219763.18954434321</v>
      </c>
      <c r="O3222">
        <f t="shared" si="444"/>
        <v>600685.13227545458</v>
      </c>
      <c r="P3222">
        <f t="shared" si="445"/>
        <v>-2.4756857433303621E-3</v>
      </c>
      <c r="Q3222">
        <f t="shared" si="446"/>
        <v>3.6694766504600296E-2</v>
      </c>
      <c r="R3222">
        <f t="shared" si="447"/>
        <v>1</v>
      </c>
      <c r="S3222">
        <f t="shared" si="439"/>
        <v>1036.5372957868396</v>
      </c>
      <c r="T3222" s="564">
        <f>IF((I3222-MAX(I$470:I3222))/MAX(I$470:I3222)&gt;T3221,T3221,(I3222-MAX(I$470:I3222))/MAX(I$470:I3222))</f>
        <v>-0.91338805338419748</v>
      </c>
      <c r="U3222" s="564">
        <f>IF((J3222-MAX(J$470:J3222))/MAX(J$470:J3222)&gt;U3221,U3221,(J3222-MAX(J$470:J3222))/MAX(J$470:J3222))</f>
        <v>-0.83569785939843477</v>
      </c>
      <c r="V3222" s="564">
        <f>IF((K3222-MAX(K$470:K3222))/MAX(K$470:K3222)&gt;V3221,V3221,(K3222-MAX(K$470:K3222))/MAX(K$470:K3222))</f>
        <v>-0.84885940676762139</v>
      </c>
      <c r="W3222" s="564">
        <f>IF((N3222-MAX(N$470:N3222))/MAX(N$470:N3222)&gt;W3221,W3221,(N3222-MAX(N$470:N3222))/MAX(N$470:N3222))</f>
        <v>-0.62788758315546067</v>
      </c>
      <c r="X3222" s="564">
        <f>IF((O3222-MAX(O$470:O3222))/MAX(O$470:O3222)&gt;X3221,X3221,(O3222-MAX(O$470:O3222))/MAX(O$470:O3222))</f>
        <v>-0.62788758315546067</v>
      </c>
    </row>
    <row r="3223" spans="1:24">
      <c r="A3223" s="799">
        <v>43625</v>
      </c>
      <c r="B3223">
        <v>7735.948754</v>
      </c>
      <c r="C3223">
        <v>5916.8598279999997</v>
      </c>
      <c r="D3223">
        <v>1.6184240000000001</v>
      </c>
      <c r="E3223">
        <f>LN(D3223/参数实验室!$E$53)/参数实验室!$E$55</f>
        <v>-0.12497274857147257</v>
      </c>
      <c r="F3223">
        <f t="shared" si="448"/>
        <v>0.76485251081072503</v>
      </c>
      <c r="G3223">
        <f>LN(F3223/参数实验室!$E$58)/参数实验室!$E$59</f>
        <v>-0.331228834188666</v>
      </c>
      <c r="H3223" s="856">
        <f>INDEX(神经网络!$G$10:$BO$70,MATCH(ROUND(G3223*2,1)/2,神经网络!$E$10:$E$70,0),MATCH(ROUND(E3223*2,1)/2,神经网络!$G$8:$BO$8,0))</f>
        <v>-0.47881512889002076</v>
      </c>
      <c r="I3223">
        <f t="shared" si="440"/>
        <v>558730.87000967108</v>
      </c>
      <c r="J3223">
        <f t="shared" si="441"/>
        <v>3086.8475934719254</v>
      </c>
      <c r="K3223">
        <f t="shared" si="442"/>
        <v>181.00371109713251</v>
      </c>
      <c r="L3223" s="4">
        <f>MIN(MAX(L3222*(1+MAX(MIN(((B3223-B3222)/B3222)/($K$7*卓尔金历!$N$40),0),-卓尔金历!$M$43))+MIN(MAX(((B3223-B3222)/B3222)/($K$7*卓尔金历!$N$40),0),卓尔金历!$M$43),0),1)</f>
        <v>0.35373999644029663</v>
      </c>
      <c r="M3223" s="4">
        <f>MIN(MAX(M3222*(1+MAX(MIN(((B3223-B3222)/B3222)/($K$7*30),0),-卓尔金历!$M$43))+MIN(MAX(((B3223-B3222)/B3222)/($K$7*7),0),卓尔金历!$M$43),0),1)</f>
        <v>0.82861639472874671</v>
      </c>
      <c r="N3223">
        <f t="shared" si="443"/>
        <v>220861.90819269043</v>
      </c>
      <c r="O3223">
        <f t="shared" si="444"/>
        <v>606425.4329689563</v>
      </c>
      <c r="P3223">
        <f t="shared" si="445"/>
        <v>-2.0342878128065026E-2</v>
      </c>
      <c r="Q3223">
        <f t="shared" si="446"/>
        <v>3.3563707619697632E-2</v>
      </c>
      <c r="R3223">
        <f t="shared" si="447"/>
        <v>0.55578283845958232</v>
      </c>
      <c r="S3223">
        <f t="shared" ref="S3223:S3286" si="449">S3222*(1+(B3223-B3222)/B3222*H3222*R3222)</f>
        <v>1046.6336643186773</v>
      </c>
      <c r="T3223" s="564">
        <f>IF((I3223-MAX(I$470:I3223))/MAX(I$470:I3223)&gt;T3222,T3222,(I3223-MAX(I$470:I3223))/MAX(I$470:I3223))</f>
        <v>-0.91338805338419748</v>
      </c>
      <c r="U3223" s="564">
        <f>IF((J3223-MAX(J$470:J3223))/MAX(J$470:J3223)&gt;U3222,U3222,(J3223-MAX(J$470:J3223))/MAX(J$470:J3223))</f>
        <v>-0.83569785939843477</v>
      </c>
      <c r="V3223" s="564">
        <f>IF((K3223-MAX(K$470:K3223))/MAX(K$470:K3223)&gt;V3222,V3222,(K3223-MAX(K$470:K3223))/MAX(K$470:K3223))</f>
        <v>-0.84885940676762139</v>
      </c>
      <c r="W3223" s="564">
        <f>IF((N3223-MAX(N$470:N3223))/MAX(N$470:N3223)&gt;W3222,W3222,(N3223-MAX(N$470:N3223))/MAX(N$470:N3223))</f>
        <v>-0.62788758315546067</v>
      </c>
      <c r="X3223" s="564">
        <f>IF((O3223-MAX(O$470:O3223))/MAX(O$470:O3223)&gt;X3222,X3222,(O3223-MAX(O$470:O3223))/MAX(O$470:O3223))</f>
        <v>-0.62788758315546067</v>
      </c>
    </row>
    <row r="3224" spans="1:24">
      <c r="A3224" s="799">
        <v>43626</v>
      </c>
      <c r="B3224">
        <v>7883.4923230000004</v>
      </c>
      <c r="C3224">
        <v>5814.7853189999996</v>
      </c>
      <c r="D3224">
        <v>1.6911149999999999</v>
      </c>
      <c r="E3224">
        <f>LN(D3224/参数实验室!$E$53)/参数实验室!$E$55</f>
        <v>-7.3140008452572847E-2</v>
      </c>
      <c r="F3224">
        <f t="shared" si="448"/>
        <v>0.73759002745971203</v>
      </c>
      <c r="G3224">
        <f>LN(F3224/参数实验室!$E$58)/参数实验室!$E$59</f>
        <v>-0.350278341885843</v>
      </c>
      <c r="H3224" s="856">
        <f>INDEX(神经网络!$G$10:$BO$70,MATCH(ROUND(G3224*2,1)/2,神经网络!$E$10:$E$70,0),MATCH(ROUND(E3224*2,1)/2,神经网络!$G$8:$BO$8,0))</f>
        <v>-0.43992575380605697</v>
      </c>
      <c r="I3224">
        <f t="shared" ref="I3224:I3287" si="450">I3223*(1+(B3224-B3223)/B3223*H3223)</f>
        <v>553628.43794036261</v>
      </c>
      <c r="J3224">
        <f t="shared" ref="J3224:J3287" si="451">J3223*B3224/B3223</f>
        <v>3145.7213690594917</v>
      </c>
      <c r="K3224">
        <f t="shared" ref="K3224:K3287" si="452">I3224/J3224</f>
        <v>175.99411167998218</v>
      </c>
      <c r="L3224" s="4">
        <f>MIN(MAX(L3223*(1+MAX(MIN(((B3224-B3223)/B3223)/($K$7*卓尔金历!$N$40),0),-卓尔金历!$M$43))+MIN(MAX(((B3224-B3223)/B3223)/($K$7*卓尔金历!$N$40),0),卓尔金历!$M$43),0),1)</f>
        <v>0.6451488745282008</v>
      </c>
      <c r="M3224" s="4">
        <f>MIN(MAX(M3223*(1+MAX(MIN(((B3224-B3223)/B3223)/($K$7*30),0),-卓尔金历!$M$43))+MIN(MAX(((B3224-B3223)/B3223)/($K$7*7),0),卓尔金历!$M$43),0),1)</f>
        <v>1</v>
      </c>
      <c r="N3224">
        <f t="shared" ref="N3224:N3287" si="453">N3223*(1+(B3224-B3223)/B3223*H3223*L3223)</f>
        <v>220148.43189219036</v>
      </c>
      <c r="O3224">
        <f t="shared" ref="O3224:O3287" si="454">O3223*(1+(B3224-B3223)/B3223*H3223*M3223)</f>
        <v>601836.56572843064</v>
      </c>
      <c r="P3224">
        <f t="shared" ref="P3224:P3287" si="455">(B3224-B3223)/B3223</f>
        <v>1.9072459460607278E-2</v>
      </c>
      <c r="Q3224">
        <f t="shared" si="446"/>
        <v>3.3669488492580099E-2</v>
      </c>
      <c r="R3224">
        <f t="shared" si="447"/>
        <v>0.62098618857065124</v>
      </c>
      <c r="S3224">
        <f t="shared" si="449"/>
        <v>1041.3214645757894</v>
      </c>
      <c r="T3224" s="564">
        <f>IF((I3224-MAX(I$470:I3224))/MAX(I$470:I3224)&gt;T3223,T3223,(I3224-MAX(I$470:I3224))/MAX(I$470:I3224))</f>
        <v>-0.91338805338419748</v>
      </c>
      <c r="U3224" s="564">
        <f>IF((J3224-MAX(J$470:J3224))/MAX(J$470:J3224)&gt;U3223,U3223,(J3224-MAX(J$470:J3224))/MAX(J$470:J3224))</f>
        <v>-0.83569785939843477</v>
      </c>
      <c r="V3224" s="564">
        <f>IF((K3224-MAX(K$470:K3224))/MAX(K$470:K3224)&gt;V3223,V3223,(K3224-MAX(K$470:K3224))/MAX(K$470:K3224))</f>
        <v>-0.84885940676762139</v>
      </c>
      <c r="W3224" s="564">
        <f>IF((N3224-MAX(N$470:N3224))/MAX(N$470:N3224)&gt;W3223,W3223,(N3224-MAX(N$470:N3224))/MAX(N$470:N3224))</f>
        <v>-0.62788758315546067</v>
      </c>
      <c r="X3224" s="564">
        <f>IF((O3224-MAX(O$470:O3224))/MAX(O$470:O3224)&gt;X3223,X3223,(O3224-MAX(O$470:O3224))/MAX(O$470:O3224))</f>
        <v>-0.62788758315546067</v>
      </c>
    </row>
    <row r="3225" spans="1:24">
      <c r="A3225" s="799">
        <v>43627</v>
      </c>
      <c r="B3225">
        <v>7772.7243829999998</v>
      </c>
      <c r="C3225">
        <v>5874.2243660000004</v>
      </c>
      <c r="D3225">
        <v>1.675117</v>
      </c>
      <c r="E3225">
        <f>LN(D3225/参数实验室!$E$53)/参数实验室!$E$55</f>
        <v>-8.4353635139047242E-2</v>
      </c>
      <c r="F3225">
        <f t="shared" si="448"/>
        <v>0.75574844501726113</v>
      </c>
      <c r="G3225">
        <f>LN(F3225/参数实验室!$E$58)/参数实验室!$E$59</f>
        <v>-0.33751366890144024</v>
      </c>
      <c r="H3225" s="856">
        <f>INDEX(神经网络!$G$10:$BO$70,MATCH(ROUND(G3225*2,1)/2,神经网络!$E$10:$E$70,0),MATCH(ROUND(E3225*2,1)/2,神经网络!$G$8:$BO$8,0))</f>
        <v>-0.47881512889002076</v>
      </c>
      <c r="I3225">
        <f t="shared" si="450"/>
        <v>557050.54196513072</v>
      </c>
      <c r="J3225">
        <f t="shared" si="451"/>
        <v>3101.5220394238027</v>
      </c>
      <c r="K3225">
        <f t="shared" si="452"/>
        <v>179.60554040383957</v>
      </c>
      <c r="L3225" s="4">
        <f>MIN(MAX(L3224*(1+MAX(MIN(((B3225-B3224)/B3224)/($K$7*卓尔金历!$N$40),0),-卓尔金历!$M$43))+MIN(MAX(((B3225-B3224)/B3224)/($K$7*卓尔金历!$N$40),0),卓尔金历!$M$43),0),1)</f>
        <v>0.50664833908316398</v>
      </c>
      <c r="M3225" s="4">
        <f>MIN(MAX(M3224*(1+MAX(MIN(((B3225-B3224)/B3224)/($K$7*30),0),-卓尔金历!$M$43))+MIN(MAX(((B3225-B3224)/B3224)/($K$7*7),0),卓尔金历!$M$43),0),1)</f>
        <v>0.89266001932784689</v>
      </c>
      <c r="N3225">
        <f t="shared" si="453"/>
        <v>221026.34262235023</v>
      </c>
      <c r="O3225">
        <f t="shared" si="454"/>
        <v>605556.65521930635</v>
      </c>
      <c r="P3225">
        <f t="shared" si="455"/>
        <v>-1.4050618109544727E-2</v>
      </c>
      <c r="Q3225">
        <f t="shared" si="446"/>
        <v>3.3538821514742675E-2</v>
      </c>
      <c r="R3225">
        <f t="shared" si="447"/>
        <v>0.93300042771320535</v>
      </c>
      <c r="S3225">
        <f t="shared" si="449"/>
        <v>1045.3185329596627</v>
      </c>
      <c r="T3225" s="564">
        <f>IF((I3225-MAX(I$470:I3225))/MAX(I$470:I3225)&gt;T3224,T3224,(I3225-MAX(I$470:I3225))/MAX(I$470:I3225))</f>
        <v>-0.91338805338419748</v>
      </c>
      <c r="U3225" s="564">
        <f>IF((J3225-MAX(J$470:J3225))/MAX(J$470:J3225)&gt;U3224,U3224,(J3225-MAX(J$470:J3225))/MAX(J$470:J3225))</f>
        <v>-0.83569785939843477</v>
      </c>
      <c r="V3225" s="564">
        <f>IF((K3225-MAX(K$470:K3225))/MAX(K$470:K3225)&gt;V3224,V3224,(K3225-MAX(K$470:K3225))/MAX(K$470:K3225))</f>
        <v>-0.84885940676762139</v>
      </c>
      <c r="W3225" s="564">
        <f>IF((N3225-MAX(N$470:N3225))/MAX(N$470:N3225)&gt;W3224,W3224,(N3225-MAX(N$470:N3225))/MAX(N$470:N3225))</f>
        <v>-0.62788758315546067</v>
      </c>
      <c r="X3225" s="564">
        <f>IF((O3225-MAX(O$470:O3225))/MAX(O$470:O3225)&gt;X3224,X3224,(O3225-MAX(O$470:O3225))/MAX(O$470:O3225))</f>
        <v>-0.62788758315546067</v>
      </c>
    </row>
    <row r="3226" spans="1:24">
      <c r="A3226" s="799">
        <v>43628</v>
      </c>
      <c r="B3226">
        <v>8122.2590689999997</v>
      </c>
      <c r="C3226">
        <v>6017.3092559999996</v>
      </c>
      <c r="D3226">
        <v>1.7200850000000001</v>
      </c>
      <c r="E3226">
        <f>LN(D3226/参数实验室!$E$53)/参数实验室!$E$55</f>
        <v>-5.3101152220001634E-2</v>
      </c>
      <c r="F3226">
        <f t="shared" si="448"/>
        <v>0.74084182797937292</v>
      </c>
      <c r="G3226">
        <f>LN(F3226/参数实验室!$E$58)/参数实验室!$E$59</f>
        <v>-0.34796951257320574</v>
      </c>
      <c r="H3226" s="856">
        <f>INDEX(神经网络!$G$10:$BO$70,MATCH(ROUND(G3226*2,1)/2,神经网络!$E$10:$E$70,0),MATCH(ROUND(E3226*2,1)/2,神经网络!$G$8:$BO$8,0))</f>
        <v>-0.43992575380605697</v>
      </c>
      <c r="I3226">
        <f t="shared" si="450"/>
        <v>545056.11576957803</v>
      </c>
      <c r="J3226">
        <f t="shared" si="451"/>
        <v>3240.9955983400469</v>
      </c>
      <c r="K3226">
        <f t="shared" si="452"/>
        <v>168.17551867356485</v>
      </c>
      <c r="L3226" s="4">
        <f>MIN(MAX(L3225*(1+MAX(MIN(((B3226-B3225)/B3225)/($K$7*卓尔金历!$N$40),0),-卓尔金历!$M$43))+MIN(MAX(((B3226-B3225)/B3225)/($K$7*卓尔金历!$N$40),0),卓尔金历!$M$43),0),1)</f>
        <v>1</v>
      </c>
      <c r="M3226" s="4">
        <f>MIN(MAX(M3225*(1+MAX(MIN(((B3226-B3225)/B3225)/($K$7*30),0),-卓尔金历!$M$43))+MIN(MAX(((B3226-B3225)/B3225)/($K$7*7),0),卓尔金历!$M$43),0),1)</f>
        <v>1</v>
      </c>
      <c r="N3226">
        <f t="shared" si="453"/>
        <v>218615.12984696572</v>
      </c>
      <c r="O3226">
        <f t="shared" si="454"/>
        <v>593917.38527242665</v>
      </c>
      <c r="P3226">
        <f t="shared" si="455"/>
        <v>4.4969391525637989E-2</v>
      </c>
      <c r="Q3226">
        <f t="shared" si="446"/>
        <v>3.4924169330604146E-2</v>
      </c>
      <c r="R3226">
        <f t="shared" si="447"/>
        <v>2.506010851186101E-2</v>
      </c>
      <c r="S3226">
        <f t="shared" si="449"/>
        <v>1024.318722809222</v>
      </c>
      <c r="T3226" s="564">
        <f>IF((I3226-MAX(I$470:I3226))/MAX(I$470:I3226)&gt;T3225,T3225,(I3226-MAX(I$470:I3226))/MAX(I$470:I3226))</f>
        <v>-0.91338805338419748</v>
      </c>
      <c r="U3226" s="564">
        <f>IF((J3226-MAX(J$470:J3226))/MAX(J$470:J3226)&gt;U3225,U3225,(J3226-MAX(J$470:J3226))/MAX(J$470:J3226))</f>
        <v>-0.83569785939843477</v>
      </c>
      <c r="V3226" s="564">
        <f>IF((K3226-MAX(K$470:K3226))/MAX(K$470:K3226)&gt;V3225,V3225,(K3226-MAX(K$470:K3226))/MAX(K$470:K3226))</f>
        <v>-0.84885940676762139</v>
      </c>
      <c r="W3226" s="564">
        <f>IF((N3226-MAX(N$470:N3226))/MAX(N$470:N3226)&gt;W3225,W3225,(N3226-MAX(N$470:N3226))/MAX(N$470:N3226))</f>
        <v>-0.62788758315546067</v>
      </c>
      <c r="X3226" s="564">
        <f>IF((O3226-MAX(O$470:O3226))/MAX(O$470:O3226)&gt;X3225,X3225,(O3226-MAX(O$470:O3226))/MAX(O$470:O3226))</f>
        <v>-0.62788758315546067</v>
      </c>
    </row>
    <row r="3227" spans="1:24">
      <c r="A3227" s="799">
        <v>43629</v>
      </c>
      <c r="B3227">
        <v>8172.0304239999996</v>
      </c>
      <c r="C3227">
        <v>6023.3355170000004</v>
      </c>
      <c r="D3227">
        <v>1.7364919999999999</v>
      </c>
      <c r="E3227">
        <f>LN(D3227/参数实验室!$E$53)/参数实验室!$E$55</f>
        <v>-4.1901426686599137E-2</v>
      </c>
      <c r="F3227">
        <f t="shared" si="448"/>
        <v>0.7370671919319326</v>
      </c>
      <c r="G3227">
        <f>LN(F3227/参数实验室!$E$58)/参数实验室!$E$59</f>
        <v>-0.35065051292126931</v>
      </c>
      <c r="H3227" s="856">
        <f>INDEX(神经网络!$G$10:$BO$70,MATCH(ROUND(G3227*2,1)/2,神经网络!$E$10:$E$70,0),MATCH(ROUND(E3227*2,1)/2,神经网络!$G$8:$BO$8,0))</f>
        <v>-0.43992575380605697</v>
      </c>
      <c r="I3227">
        <f t="shared" si="450"/>
        <v>543586.77262688009</v>
      </c>
      <c r="J3227">
        <f t="shared" si="451"/>
        <v>3260.8556817365593</v>
      </c>
      <c r="K3227">
        <f t="shared" si="452"/>
        <v>166.70065335040971</v>
      </c>
      <c r="L3227" s="4">
        <f>MIN(MAX(L3226*(1+MAX(MIN(((B3227-B3226)/B3226)/($K$7*卓尔金历!$N$40),0),-卓尔金历!$M$43))+MIN(MAX(((B3227-B3226)/B3226)/($K$7*卓尔金历!$N$40),0),卓尔金历!$M$43),0),1)</f>
        <v>1</v>
      </c>
      <c r="M3227" s="4">
        <f>MIN(MAX(M3226*(1+MAX(MIN(((B3227-B3226)/B3226)/($K$7*30),0),-卓尔金历!$M$43))+MIN(MAX(((B3227-B3226)/B3226)/($K$7*7),0),卓尔金历!$M$43),0),1)</f>
        <v>1</v>
      </c>
      <c r="N3227">
        <f t="shared" si="453"/>
        <v>218025.79485440793</v>
      </c>
      <c r="O3227">
        <f t="shared" si="454"/>
        <v>592316.32363467768</v>
      </c>
      <c r="P3227">
        <f t="shared" si="455"/>
        <v>6.1277724063199118E-3</v>
      </c>
      <c r="Q3227">
        <f t="shared" si="446"/>
        <v>3.4540437033058854E-2</v>
      </c>
      <c r="R3227">
        <f t="shared" si="447"/>
        <v>1</v>
      </c>
      <c r="S3227">
        <f t="shared" si="449"/>
        <v>1024.2495237688825</v>
      </c>
      <c r="T3227" s="564">
        <f>IF((I3227-MAX(I$470:I3227))/MAX(I$470:I3227)&gt;T3226,T3226,(I3227-MAX(I$470:I3227))/MAX(I$470:I3227))</f>
        <v>-0.91338805338419748</v>
      </c>
      <c r="U3227" s="564">
        <f>IF((J3227-MAX(J$470:J3227))/MAX(J$470:J3227)&gt;U3226,U3226,(J3227-MAX(J$470:J3227))/MAX(J$470:J3227))</f>
        <v>-0.83569785939843477</v>
      </c>
      <c r="V3227" s="564">
        <f>IF((K3227-MAX(K$470:K3227))/MAX(K$470:K3227)&gt;V3226,V3226,(K3227-MAX(K$470:K3227))/MAX(K$470:K3227))</f>
        <v>-0.84885940676762139</v>
      </c>
      <c r="W3227" s="564">
        <f>IF((N3227-MAX(N$470:N3227))/MAX(N$470:N3227)&gt;W3226,W3226,(N3227-MAX(N$470:N3227))/MAX(N$470:N3227))</f>
        <v>-0.62788758315546067</v>
      </c>
      <c r="X3227" s="564">
        <f>IF((O3227-MAX(O$470:O3227))/MAX(O$470:O3227)&gt;X3226,X3226,(O3227-MAX(O$470:O3227))/MAX(O$470:O3227))</f>
        <v>-0.62788758315546067</v>
      </c>
    </row>
    <row r="3228" spans="1:24">
      <c r="A3228" s="799">
        <v>43630</v>
      </c>
      <c r="B3228">
        <v>8409.6680359999991</v>
      </c>
      <c r="C3228">
        <v>5946.3998940000001</v>
      </c>
      <c r="D3228">
        <v>1.829016</v>
      </c>
      <c r="E3228">
        <f>LN(D3228/参数实验室!$E$53)/参数实验室!$E$55</f>
        <v>1.9340898623147022E-2</v>
      </c>
      <c r="F3228">
        <f t="shared" si="448"/>
        <v>0.70709091827938131</v>
      </c>
      <c r="G3228">
        <f>LN(F3228/参数实验室!$E$58)/参数实验室!$E$59</f>
        <v>-0.37244234920258212</v>
      </c>
      <c r="H3228" s="856">
        <f>INDEX(神经网络!$G$10:$BO$70,MATCH(ROUND(G3228*2,1)/2,神经网络!$E$10:$E$70,0),MATCH(ROUND(E3228*2,1)/2,神经网络!$G$8:$BO$8,0))</f>
        <v>-0.39707804310729755</v>
      </c>
      <c r="I3228">
        <f t="shared" si="450"/>
        <v>536632.7920733114</v>
      </c>
      <c r="J3228">
        <f t="shared" si="451"/>
        <v>3355.679356769479</v>
      </c>
      <c r="K3228">
        <f t="shared" si="452"/>
        <v>159.91777968617632</v>
      </c>
      <c r="L3228" s="4">
        <f>MIN(MAX(L3227*(1+MAX(MIN(((B3228-B3227)/B3227)/($K$7*卓尔金历!$N$40),0),-卓尔金历!$M$43))+MIN(MAX(((B3228-B3227)/B3227)/($K$7*卓尔金历!$N$40),0),卓尔金历!$M$43),0),1)</f>
        <v>1</v>
      </c>
      <c r="M3228" s="4">
        <f>MIN(MAX(M3227*(1+MAX(MIN(((B3228-B3227)/B3227)/($K$7*30),0),-卓尔金历!$M$43))+MIN(MAX(((B3228-B3227)/B3227)/($K$7*7),0),卓尔金历!$M$43),0),1)</f>
        <v>1</v>
      </c>
      <c r="N3228">
        <f t="shared" si="453"/>
        <v>215236.64100824806</v>
      </c>
      <c r="O3228">
        <f t="shared" si="454"/>
        <v>584738.95714319369</v>
      </c>
      <c r="P3228">
        <f t="shared" si="455"/>
        <v>2.9079384151837508E-2</v>
      </c>
      <c r="Q3228">
        <f t="shared" si="446"/>
        <v>3.4144838889149202E-2</v>
      </c>
      <c r="R3228">
        <f t="shared" si="447"/>
        <v>0.20066897768200354</v>
      </c>
      <c r="S3228">
        <f t="shared" si="449"/>
        <v>1011.1465351956492</v>
      </c>
      <c r="T3228" s="564">
        <f>IF((I3228-MAX(I$470:I3228))/MAX(I$470:I3228)&gt;T3227,T3227,(I3228-MAX(I$470:I3228))/MAX(I$470:I3228))</f>
        <v>-0.91338805338419748</v>
      </c>
      <c r="U3228" s="564">
        <f>IF((J3228-MAX(J$470:J3228))/MAX(J$470:J3228)&gt;U3227,U3227,(J3228-MAX(J$470:J3228))/MAX(J$470:J3228))</f>
        <v>-0.83569785939843477</v>
      </c>
      <c r="V3228" s="564">
        <f>IF((K3228-MAX(K$470:K3228))/MAX(K$470:K3228)&gt;V3227,V3227,(K3228-MAX(K$470:K3228))/MAX(K$470:K3228))</f>
        <v>-0.84885940676762139</v>
      </c>
      <c r="W3228" s="564">
        <f>IF((N3228-MAX(N$470:N3228))/MAX(N$470:N3228)&gt;W3227,W3227,(N3228-MAX(N$470:N3228))/MAX(N$470:N3228))</f>
        <v>-0.62788758315546067</v>
      </c>
      <c r="X3228" s="564">
        <f>IF((O3228-MAX(O$470:O3228))/MAX(O$470:O3228)&gt;X3227,X3227,(O3228-MAX(O$470:O3228))/MAX(O$470:O3228))</f>
        <v>-0.62788758315546067</v>
      </c>
    </row>
    <row r="3229" spans="1:24">
      <c r="A3229" s="799">
        <v>43631</v>
      </c>
      <c r="B3229">
        <v>8695.0316039999998</v>
      </c>
      <c r="C3229">
        <v>5948.342678</v>
      </c>
      <c r="D3229">
        <v>1.858786</v>
      </c>
      <c r="E3229">
        <f>LN(D3229/参数实验室!$E$53)/参数实验室!$E$55</f>
        <v>3.8388568215630046E-2</v>
      </c>
      <c r="F3229">
        <f t="shared" si="448"/>
        <v>0.68410822972323271</v>
      </c>
      <c r="G3229">
        <f>LN(F3229/参数实验室!$E$58)/参数实验室!$E$59</f>
        <v>-0.38978516391972734</v>
      </c>
      <c r="H3229" s="856">
        <f>INDEX(神经网络!$G$10:$BO$70,MATCH(ROUND(G3229*2,1)/2,神经网络!$E$10:$E$70,0),MATCH(ROUND(E3229*2,1)/2,神经网络!$G$8:$BO$8,0))</f>
        <v>-0.44008177200229937</v>
      </c>
      <c r="I3229">
        <f t="shared" si="450"/>
        <v>529402.21842142649</v>
      </c>
      <c r="J3229">
        <f t="shared" si="451"/>
        <v>3469.5469470491967</v>
      </c>
      <c r="K3229">
        <f t="shared" si="452"/>
        <v>152.58540279204925</v>
      </c>
      <c r="L3229" s="4">
        <f>MIN(MAX(L3228*(1+MAX(MIN(((B3229-B3228)/B3228)/($K$7*卓尔金历!$N$40),0),-卓尔金历!$M$43))+MIN(MAX(((B3229-B3228)/B3228)/($K$7*卓尔金历!$N$40),0),卓尔金历!$M$43),0),1)</f>
        <v>1</v>
      </c>
      <c r="M3229" s="4">
        <f>MIN(MAX(M3228*(1+MAX(MIN(((B3229-B3228)/B3228)/($K$7*30),0),-卓尔金历!$M$43))+MIN(MAX(((B3229-B3228)/B3228)/($K$7*7),0),卓尔金历!$M$43),0),1)</f>
        <v>1</v>
      </c>
      <c r="N3229">
        <f t="shared" si="453"/>
        <v>212336.54916074532</v>
      </c>
      <c r="O3229">
        <f t="shared" si="454"/>
        <v>576860.20251022559</v>
      </c>
      <c r="P3229">
        <f t="shared" si="455"/>
        <v>3.3932798153080472E-2</v>
      </c>
      <c r="Q3229">
        <f t="shared" si="446"/>
        <v>3.4772099783560731E-2</v>
      </c>
      <c r="R3229">
        <f t="shared" si="447"/>
        <v>5.9412400737575539E-2</v>
      </c>
      <c r="S3229">
        <f t="shared" si="449"/>
        <v>1008.4125895068858</v>
      </c>
      <c r="T3229" s="564">
        <f>IF((I3229-MAX(I$470:I3229))/MAX(I$470:I3229)&gt;T3228,T3228,(I3229-MAX(I$470:I3229))/MAX(I$470:I3229))</f>
        <v>-0.91338805338419748</v>
      </c>
      <c r="U3229" s="564">
        <f>IF((J3229-MAX(J$470:J3229))/MAX(J$470:J3229)&gt;U3228,U3228,(J3229-MAX(J$470:J3229))/MAX(J$470:J3229))</f>
        <v>-0.83569785939843477</v>
      </c>
      <c r="V3229" s="564">
        <f>IF((K3229-MAX(K$470:K3229))/MAX(K$470:K3229)&gt;V3228,V3228,(K3229-MAX(K$470:K3229))/MAX(K$470:K3229))</f>
        <v>-0.84885940676762139</v>
      </c>
      <c r="W3229" s="564">
        <f>IF((N3229-MAX(N$470:N3229))/MAX(N$470:N3229)&gt;W3228,W3228,(N3229-MAX(N$470:N3229))/MAX(N$470:N3229))</f>
        <v>-0.62788758315546067</v>
      </c>
      <c r="X3229" s="564">
        <f>IF((O3229-MAX(O$470:O3229))/MAX(O$470:O3229)&gt;X3228,X3228,(O3229-MAX(O$470:O3229))/MAX(O$470:O3229))</f>
        <v>-0.62788758315546067</v>
      </c>
    </row>
    <row r="3230" spans="1:24">
      <c r="A3230" s="799">
        <v>43632</v>
      </c>
      <c r="B3230">
        <v>9156.889443</v>
      </c>
      <c r="C3230">
        <v>6033.3357260000002</v>
      </c>
      <c r="D3230">
        <v>1.88896</v>
      </c>
      <c r="E3230">
        <f>LN(D3230/参数实验室!$E$53)/参数实验室!$E$55</f>
        <v>5.7385930146811794E-2</v>
      </c>
      <c r="F3230">
        <f t="shared" si="448"/>
        <v>0.6588848498779456</v>
      </c>
      <c r="G3230">
        <f>LN(F3230/参数实验室!$E$58)/参数实验室!$E$59</f>
        <v>-0.40950254002804176</v>
      </c>
      <c r="H3230" s="856">
        <f>INDEX(神经网络!$G$10:$BO$70,MATCH(ROUND(G3230*2,1)/2,神经网络!$E$10:$E$70,0),MATCH(ROUND(E3230*2,1)/2,神经网络!$G$8:$BO$8,0))</f>
        <v>-0.44008177200229937</v>
      </c>
      <c r="I3230">
        <f t="shared" si="450"/>
        <v>517026.9025786813</v>
      </c>
      <c r="J3230">
        <f t="shared" si="451"/>
        <v>3653.8404066078733</v>
      </c>
      <c r="K3230">
        <f t="shared" si="452"/>
        <v>141.50232222613005</v>
      </c>
      <c r="L3230" s="4">
        <f>MIN(MAX(L3229*(1+MAX(MIN(((B3230-B3229)/B3229)/($K$7*卓尔金历!$N$40),0),-卓尔金历!$M$43))+MIN(MAX(((B3230-B3229)/B3229)/($K$7*卓尔金历!$N$40),0),卓尔金历!$M$43),0),1)</f>
        <v>1</v>
      </c>
      <c r="M3230" s="4">
        <f>MIN(MAX(M3229*(1+MAX(MIN(((B3230-B3229)/B3229)/($K$7*30),0),-卓尔金历!$M$43))+MIN(MAX(((B3230-B3229)/B3229)/($K$7*7),0),卓尔金历!$M$43),0),1)</f>
        <v>1</v>
      </c>
      <c r="N3230">
        <f t="shared" si="453"/>
        <v>207372.9661431709</v>
      </c>
      <c r="O3230">
        <f t="shared" si="454"/>
        <v>563375.50797218503</v>
      </c>
      <c r="P3230">
        <f t="shared" si="455"/>
        <v>5.3117442239948902E-2</v>
      </c>
      <c r="Q3230">
        <f t="shared" si="446"/>
        <v>3.6157196925409439E-2</v>
      </c>
      <c r="R3230">
        <f t="shared" si="447"/>
        <v>2.1397730009321516E-2</v>
      </c>
      <c r="S3230">
        <f t="shared" si="449"/>
        <v>1007.0120805339606</v>
      </c>
      <c r="T3230" s="564">
        <f>IF((I3230-MAX(I$470:I3230))/MAX(I$470:I3230)&gt;T3229,T3229,(I3230-MAX(I$470:I3230))/MAX(I$470:I3230))</f>
        <v>-0.91338805338419748</v>
      </c>
      <c r="U3230" s="564">
        <f>IF((J3230-MAX(J$470:J3230))/MAX(J$470:J3230)&gt;U3229,U3229,(J3230-MAX(J$470:J3230))/MAX(J$470:J3230))</f>
        <v>-0.83569785939843477</v>
      </c>
      <c r="V3230" s="564">
        <f>IF((K3230-MAX(K$470:K3230))/MAX(K$470:K3230)&gt;V3229,V3229,(K3230-MAX(K$470:K3230))/MAX(K$470:K3230))</f>
        <v>-0.84885940676762139</v>
      </c>
      <c r="W3230" s="564">
        <f>IF((N3230-MAX(N$470:N3230))/MAX(N$470:N3230)&gt;W3229,W3229,(N3230-MAX(N$470:N3230))/MAX(N$470:N3230))</f>
        <v>-0.62788758315546067</v>
      </c>
      <c r="X3230" s="564">
        <f>IF((O3230-MAX(O$470:O3230))/MAX(O$470:O3230)&gt;X3229,X3229,(O3230-MAX(O$470:O3230))/MAX(O$470:O3230))</f>
        <v>-0.62788758315546067</v>
      </c>
    </row>
    <row r="3231" spans="1:24">
      <c r="A3231" s="799">
        <v>43633</v>
      </c>
      <c r="B3231">
        <v>9250.7612570000001</v>
      </c>
      <c r="C3231">
        <v>6115.9035029999995</v>
      </c>
      <c r="D3231">
        <v>1.9511579999999999</v>
      </c>
      <c r="E3231">
        <f>LN(D3231/参数实验室!$E$53)/参数实验室!$E$55</f>
        <v>9.5605958778133576E-2</v>
      </c>
      <c r="F3231">
        <f t="shared" si="448"/>
        <v>0.6611243478337665</v>
      </c>
      <c r="G3231">
        <f>LN(F3231/参数实验室!$E$58)/参数实验室!$E$59</f>
        <v>-0.40772162715806815</v>
      </c>
      <c r="H3231" s="856">
        <f>INDEX(神经网络!$G$10:$BO$70,MATCH(ROUND(G3231*2,1)/2,神经网络!$E$10:$E$70,0),MATCH(ROUND(E3231*2,1)/2,神经网络!$G$8:$BO$8,0))</f>
        <v>-0.39711723485410799</v>
      </c>
      <c r="I3231">
        <f t="shared" si="450"/>
        <v>514694.33754138974</v>
      </c>
      <c r="J3231">
        <f t="shared" si="451"/>
        <v>3691.2977363233676</v>
      </c>
      <c r="K3231">
        <f t="shared" si="452"/>
        <v>139.43452257363538</v>
      </c>
      <c r="L3231" s="4">
        <f>MIN(MAX(L3230*(1+MAX(MIN(((B3231-B3230)/B3230)/($K$7*卓尔金历!$N$40),0),-卓尔金历!$M$43))+MIN(MAX(((B3231-B3230)/B3230)/($K$7*卓尔金历!$N$40),0),卓尔金历!$M$43),0),1)</f>
        <v>1</v>
      </c>
      <c r="M3231" s="4">
        <f>MIN(MAX(M3230*(1+MAX(MIN(((B3231-B3230)/B3230)/($K$7*30),0),-卓尔金历!$M$43))+MIN(MAX(((B3231-B3230)/B3230)/($K$7*7),0),卓尔金历!$M$43),0),1)</f>
        <v>1</v>
      </c>
      <c r="N3231">
        <f t="shared" si="453"/>
        <v>206437.40374188675</v>
      </c>
      <c r="O3231">
        <f t="shared" si="454"/>
        <v>560833.8413660411</v>
      </c>
      <c r="P3231">
        <f t="shared" si="455"/>
        <v>1.0251495836477588E-2</v>
      </c>
      <c r="Q3231">
        <f t="shared" si="446"/>
        <v>2.8515466803295926E-2</v>
      </c>
      <c r="R3231">
        <f t="shared" si="447"/>
        <v>1</v>
      </c>
      <c r="S3231">
        <f t="shared" si="449"/>
        <v>1006.9148678342277</v>
      </c>
      <c r="T3231" s="564">
        <f>IF((I3231-MAX(I$470:I3231))/MAX(I$470:I3231)&gt;T3230,T3230,(I3231-MAX(I$470:I3231))/MAX(I$470:I3231))</f>
        <v>-0.91338805338419748</v>
      </c>
      <c r="U3231" s="564">
        <f>IF((J3231-MAX(J$470:J3231))/MAX(J$470:J3231)&gt;U3230,U3230,(J3231-MAX(J$470:J3231))/MAX(J$470:J3231))</f>
        <v>-0.83569785939843477</v>
      </c>
      <c r="V3231" s="564">
        <f>IF((K3231-MAX(K$470:K3231))/MAX(K$470:K3231)&gt;V3230,V3230,(K3231-MAX(K$470:K3231))/MAX(K$470:K3231))</f>
        <v>-0.84885940676762139</v>
      </c>
      <c r="W3231" s="564">
        <f>IF((N3231-MAX(N$470:N3231))/MAX(N$470:N3231)&gt;W3230,W3230,(N3231-MAX(N$470:N3231))/MAX(N$470:N3231))</f>
        <v>-0.62788758315546067</v>
      </c>
      <c r="X3231" s="564">
        <f>IF((O3231-MAX(O$470:O3231))/MAX(O$470:O3231)&gt;X3230,X3230,(O3231-MAX(O$470:O3231))/MAX(O$470:O3231))</f>
        <v>-0.62788758315546067</v>
      </c>
    </row>
    <row r="3232" spans="1:24">
      <c r="A3232" s="799">
        <v>43634</v>
      </c>
      <c r="B3232">
        <v>9018.7020890000003</v>
      </c>
      <c r="C3232">
        <v>6118.1336780000001</v>
      </c>
      <c r="D3232">
        <v>1.887559</v>
      </c>
      <c r="E3232">
        <f>LN(D3232/参数实验室!$E$53)/参数实验室!$E$55</f>
        <v>5.6510608523577213E-2</v>
      </c>
      <c r="F3232">
        <f t="shared" si="448"/>
        <v>0.67838294442192659</v>
      </c>
      <c r="G3232">
        <f>LN(F3232/参数实验室!$E$58)/参数实验室!$E$59</f>
        <v>-0.39419613829060268</v>
      </c>
      <c r="H3232" s="856">
        <f>INDEX(神经网络!$G$10:$BO$70,MATCH(ROUND(G3232*2,1)/2,神经网络!$E$10:$E$70,0),MATCH(ROUND(E3232*2,1)/2,神经网络!$G$8:$BO$8,0))</f>
        <v>-0.44008177200229937</v>
      </c>
      <c r="I3232">
        <f t="shared" si="450"/>
        <v>519821.64527723246</v>
      </c>
      <c r="J3232">
        <f t="shared" si="451"/>
        <v>3598.7000075814976</v>
      </c>
      <c r="K3232">
        <f t="shared" si="452"/>
        <v>144.44706260096908</v>
      </c>
      <c r="L3232" s="4">
        <f>MIN(MAX(L3231*(1+MAX(MIN(((B3232-B3231)/B3231)/($K$7*卓尔金历!$N$40),0),-卓尔金历!$M$43))+MIN(MAX(((B3232-B3231)/B3231)/($K$7*卓尔金历!$N$40),0),卓尔金历!$M$43),0),1)</f>
        <v>0.61671895987667935</v>
      </c>
      <c r="M3232" s="4">
        <f>MIN(MAX(M3231*(1+MAX(MIN(((B3232-B3231)/B3231)/($K$7*30),0),-卓尔金历!$M$43))+MIN(MAX(((B3232-B3231)/B3231)/($K$7*7),0),卓尔金历!$M$43),0),1)</f>
        <v>0.80835947993833968</v>
      </c>
      <c r="N3232">
        <f t="shared" si="453"/>
        <v>208493.90217206025</v>
      </c>
      <c r="O3232">
        <f t="shared" si="454"/>
        <v>566420.78391352389</v>
      </c>
      <c r="P3232">
        <f t="shared" si="455"/>
        <v>-2.5085413140934956E-2</v>
      </c>
      <c r="Q3232">
        <f t="shared" si="446"/>
        <v>2.886629149952101E-2</v>
      </c>
      <c r="R3232">
        <f t="shared" si="447"/>
        <v>0.17290669905957456</v>
      </c>
      <c r="S3232">
        <f t="shared" si="449"/>
        <v>1016.9456026113833</v>
      </c>
      <c r="T3232" s="564">
        <f>IF((I3232-MAX(I$470:I3232))/MAX(I$470:I3232)&gt;T3231,T3231,(I3232-MAX(I$470:I3232))/MAX(I$470:I3232))</f>
        <v>-0.91338805338419748</v>
      </c>
      <c r="U3232" s="564">
        <f>IF((J3232-MAX(J$470:J3232))/MAX(J$470:J3232)&gt;U3231,U3231,(J3232-MAX(J$470:J3232))/MAX(J$470:J3232))</f>
        <v>-0.83569785939843477</v>
      </c>
      <c r="V3232" s="564">
        <f>IF((K3232-MAX(K$470:K3232))/MAX(K$470:K3232)&gt;V3231,V3231,(K3232-MAX(K$470:K3232))/MAX(K$470:K3232))</f>
        <v>-0.84885940676762139</v>
      </c>
      <c r="W3232" s="564">
        <f>IF((N3232-MAX(N$470:N3232))/MAX(N$470:N3232)&gt;W3231,W3231,(N3232-MAX(N$470:N3232))/MAX(N$470:N3232))</f>
        <v>-0.62788758315546067</v>
      </c>
      <c r="X3232" s="564">
        <f>IF((O3232-MAX(O$470:O3232))/MAX(O$470:O3232)&gt;X3231,X3231,(O3232-MAX(O$470:O3232))/MAX(O$470:O3232))</f>
        <v>-0.62788758315546067</v>
      </c>
    </row>
    <row r="3233" spans="1:24">
      <c r="A3233" s="799">
        <v>43635</v>
      </c>
      <c r="B3233">
        <v>9062.829882</v>
      </c>
      <c r="C3233">
        <v>6063.7949040000003</v>
      </c>
      <c r="D3233">
        <v>1.9315089999999999</v>
      </c>
      <c r="E3233">
        <f>LN(D3233/参数实验室!$E$53)/参数实验室!$E$55</f>
        <v>8.3665110187663427E-2</v>
      </c>
      <c r="F3233">
        <f t="shared" si="448"/>
        <v>0.66908404802384225</v>
      </c>
      <c r="G3233">
        <f>LN(F3233/参数实验室!$E$58)/参数实验室!$E$59</f>
        <v>-0.40144030958050464</v>
      </c>
      <c r="H3233" s="856">
        <f>INDEX(神经网络!$G$10:$BO$70,MATCH(ROUND(G3233*2,1)/2,神经网络!$E$10:$E$70,0),MATCH(ROUND(E3233*2,1)/2,神经网络!$G$8:$BO$8,0))</f>
        <v>-0.39711723485410799</v>
      </c>
      <c r="I3233">
        <f t="shared" si="450"/>
        <v>518702.32104449579</v>
      </c>
      <c r="J3233">
        <f t="shared" si="451"/>
        <v>3616.3081608874309</v>
      </c>
      <c r="K3233">
        <f t="shared" si="452"/>
        <v>143.43421466527008</v>
      </c>
      <c r="L3233" s="4">
        <f>MIN(MAX(L3232*(1+MAX(MIN(((B3233-B3232)/B3232)/($K$7*卓尔金历!$N$40),0),-卓尔金历!$M$43))+MIN(MAX(((B3233-B3232)/B3232)/($K$7*卓尔金历!$N$40),0),卓尔金历!$M$43),0),1)</f>
        <v>0.69147809085931145</v>
      </c>
      <c r="M3233" s="4">
        <f>MIN(MAX(M3232*(1+MAX(MIN(((B3233-B3232)/B3232)/($K$7*30),0),-卓尔金历!$M$43))+MIN(MAX(((B3233-B3232)/B3232)/($K$7*7),0),卓尔金历!$M$43),0),1)</f>
        <v>0.96855761775826554</v>
      </c>
      <c r="N3233">
        <f t="shared" si="453"/>
        <v>208217.02815326586</v>
      </c>
      <c r="O3233">
        <f t="shared" si="454"/>
        <v>565434.85577151761</v>
      </c>
      <c r="P3233">
        <f t="shared" si="455"/>
        <v>4.8929205737732236E-3</v>
      </c>
      <c r="Q3233">
        <f t="shared" si="446"/>
        <v>2.8872964340121463E-2</v>
      </c>
      <c r="R3233">
        <f t="shared" si="447"/>
        <v>1</v>
      </c>
      <c r="S3233">
        <f t="shared" si="449"/>
        <v>1016.5669760396719</v>
      </c>
      <c r="T3233" s="564">
        <f>IF((I3233-MAX(I$470:I3233))/MAX(I$470:I3233)&gt;T3232,T3232,(I3233-MAX(I$470:I3233))/MAX(I$470:I3233))</f>
        <v>-0.91338805338419748</v>
      </c>
      <c r="U3233" s="564">
        <f>IF((J3233-MAX(J$470:J3233))/MAX(J$470:J3233)&gt;U3232,U3232,(J3233-MAX(J$470:J3233))/MAX(J$470:J3233))</f>
        <v>-0.83569785939843477</v>
      </c>
      <c r="V3233" s="564">
        <f>IF((K3233-MAX(K$470:K3233))/MAX(K$470:K3233)&gt;V3232,V3232,(K3233-MAX(K$470:K3233))/MAX(K$470:K3233))</f>
        <v>-0.84885940676762139</v>
      </c>
      <c r="W3233" s="564">
        <f>IF((N3233-MAX(N$470:N3233))/MAX(N$470:N3233)&gt;W3232,W3232,(N3233-MAX(N$470:N3233))/MAX(N$470:N3233))</f>
        <v>-0.62788758315546067</v>
      </c>
      <c r="X3233" s="564">
        <f>IF((O3233-MAX(O$470:O3233))/MAX(O$470:O3233)&gt;X3232,X3232,(O3233-MAX(O$470:O3233))/MAX(O$470:O3233))</f>
        <v>-0.62788758315546067</v>
      </c>
    </row>
    <row r="3234" spans="1:24">
      <c r="A3234" s="799">
        <v>43636</v>
      </c>
      <c r="B3234">
        <v>9325.0991720000002</v>
      </c>
      <c r="C3234">
        <v>6122.4313700000002</v>
      </c>
      <c r="D3234">
        <v>1.980866</v>
      </c>
      <c r="E3234">
        <f>LN(D3234/参数实验室!$E$53)/参数实验室!$E$55</f>
        <v>0.11343330484233261</v>
      </c>
      <c r="F3234">
        <f t="shared" si="448"/>
        <v>0.65655402232970483</v>
      </c>
      <c r="G3234">
        <f>LN(F3234/参数实验室!$E$58)/参数实验室!$E$59</f>
        <v>-0.41136252085809538</v>
      </c>
      <c r="H3234" s="856">
        <f>INDEX(神经网络!$G$10:$BO$70,MATCH(ROUND(G3234*2,1)/2,神经网络!$E$10:$E$70,0),MATCH(ROUND(E3234*2,1)/2,神经网络!$G$8:$BO$8,0))</f>
        <v>-0.39711723485410799</v>
      </c>
      <c r="I3234">
        <f t="shared" si="450"/>
        <v>512741.30158227053</v>
      </c>
      <c r="J3234">
        <f t="shared" si="451"/>
        <v>3720.9605251187068</v>
      </c>
      <c r="K3234">
        <f t="shared" si="452"/>
        <v>137.79810296856428</v>
      </c>
      <c r="L3234" s="4">
        <f>MIN(MAX(L3233*(1+MAX(MIN(((B3234-B3233)/B3233)/($K$7*卓尔金历!$N$40),0),-卓尔金历!$M$43))+MIN(MAX(((B3234-B3233)/B3233)/($K$7*卓尔金历!$N$40),0),卓尔金历!$M$43),0),1)</f>
        <v>1</v>
      </c>
      <c r="M3234" s="4">
        <f>MIN(MAX(M3233*(1+MAX(MIN(((B3234-B3233)/B3233)/($K$7*30),0),-卓尔金历!$M$43))+MIN(MAX(((B3234-B3233)/B3233)/($K$7*7),0),卓尔金历!$M$43),0),1)</f>
        <v>1</v>
      </c>
      <c r="N3234">
        <f t="shared" si="453"/>
        <v>206562.41292799733</v>
      </c>
      <c r="O3234">
        <f t="shared" si="454"/>
        <v>559141.09275110683</v>
      </c>
      <c r="P3234">
        <f t="shared" si="455"/>
        <v>2.8939006184028931E-2</v>
      </c>
      <c r="Q3234">
        <f t="shared" si="446"/>
        <v>2.9430867146274107E-2</v>
      </c>
      <c r="R3234">
        <f t="shared" si="447"/>
        <v>4.6213225542118652E-2</v>
      </c>
      <c r="S3234">
        <f t="shared" si="449"/>
        <v>1004.8844072849657</v>
      </c>
      <c r="T3234" s="564">
        <f>IF((I3234-MAX(I$470:I3234))/MAX(I$470:I3234)&gt;T3233,T3233,(I3234-MAX(I$470:I3234))/MAX(I$470:I3234))</f>
        <v>-0.91338805338419748</v>
      </c>
      <c r="U3234" s="564">
        <f>IF((J3234-MAX(J$470:J3234))/MAX(J$470:J3234)&gt;U3233,U3233,(J3234-MAX(J$470:J3234))/MAX(J$470:J3234))</f>
        <v>-0.83569785939843477</v>
      </c>
      <c r="V3234" s="564">
        <f>IF((K3234-MAX(K$470:K3234))/MAX(K$470:K3234)&gt;V3233,V3233,(K3234-MAX(K$470:K3234))/MAX(K$470:K3234))</f>
        <v>-0.84885940676762139</v>
      </c>
      <c r="W3234" s="564">
        <f>IF((N3234-MAX(N$470:N3234))/MAX(N$470:N3234)&gt;W3233,W3233,(N3234-MAX(N$470:N3234))/MAX(N$470:N3234))</f>
        <v>-0.62788758315546067</v>
      </c>
      <c r="X3234" s="564">
        <f>IF((O3234-MAX(O$470:O3234))/MAX(O$470:O3234)&gt;X3233,X3233,(O3234-MAX(O$470:O3234))/MAX(O$470:O3234))</f>
        <v>-0.62788758315546067</v>
      </c>
    </row>
    <row r="3235" spans="1:24">
      <c r="A3235" s="799">
        <v>43637</v>
      </c>
      <c r="B3235">
        <v>9811.1827439999997</v>
      </c>
      <c r="C3235">
        <v>6235.8474310000001</v>
      </c>
      <c r="D3235">
        <v>2.084225</v>
      </c>
      <c r="E3235">
        <f>LN(D3235/参数实验室!$E$53)/参数实验室!$E$55</f>
        <v>0.17343904771500718</v>
      </c>
      <c r="F3235">
        <f t="shared" si="448"/>
        <v>0.63558569784193597</v>
      </c>
      <c r="G3235">
        <f>LN(F3235/参数实验室!$E$58)/参数实验室!$E$59</f>
        <v>-0.42839825761701322</v>
      </c>
      <c r="H3235" s="856">
        <f>INDEX(神经网络!$G$10:$BO$70,MATCH(ROUND(G3235*2,1)/2,神经网络!$E$10:$E$70,0),MATCH(ROUND(E3235*2,1)/2,神经网络!$G$8:$BO$8,0))</f>
        <v>-0.43998174972381759</v>
      </c>
      <c r="I3235">
        <f t="shared" si="450"/>
        <v>502127.41306466871</v>
      </c>
      <c r="J3235">
        <f t="shared" si="451"/>
        <v>3914.9206911136785</v>
      </c>
      <c r="K3235">
        <f t="shared" si="452"/>
        <v>128.25991959541545</v>
      </c>
      <c r="L3235" s="4">
        <f>MIN(MAX(L3234*(1+MAX(MIN(((B3235-B3234)/B3234)/($K$7*卓尔金历!$N$40),0),-卓尔金历!$M$43))+MIN(MAX(((B3235-B3234)/B3234)/($K$7*卓尔金历!$N$40),0),卓尔金历!$M$43),0),1)</f>
        <v>1</v>
      </c>
      <c r="M3235" s="4">
        <f>MIN(MAX(M3234*(1+MAX(MIN(((B3235-B3234)/B3234)/($K$7*30),0),-卓尔金历!$M$43))+MIN(MAX(((B3235-B3234)/B3234)/($K$7*7),0),卓尔金历!$M$43),0),1)</f>
        <v>1</v>
      </c>
      <c r="N3235">
        <f t="shared" si="453"/>
        <v>202286.51313997759</v>
      </c>
      <c r="O3235">
        <f t="shared" si="454"/>
        <v>547566.71556370938</v>
      </c>
      <c r="P3235">
        <f t="shared" si="455"/>
        <v>5.2126370243818734E-2</v>
      </c>
      <c r="Q3235">
        <f t="shared" si="446"/>
        <v>2.9559950597807222E-2</v>
      </c>
      <c r="R3235">
        <f t="shared" si="447"/>
        <v>1.2736191788435396E-2</v>
      </c>
      <c r="S3235">
        <f t="shared" si="449"/>
        <v>1003.9231080214173</v>
      </c>
      <c r="T3235" s="564">
        <f>IF((I3235-MAX(I$470:I3235))/MAX(I$470:I3235)&gt;T3234,T3234,(I3235-MAX(I$470:I3235))/MAX(I$470:I3235))</f>
        <v>-0.91338805338419748</v>
      </c>
      <c r="U3235" s="564">
        <f>IF((J3235-MAX(J$470:J3235))/MAX(J$470:J3235)&gt;U3234,U3234,(J3235-MAX(J$470:J3235))/MAX(J$470:J3235))</f>
        <v>-0.83569785939843477</v>
      </c>
      <c r="V3235" s="564">
        <f>IF((K3235-MAX(K$470:K3235))/MAX(K$470:K3235)&gt;V3234,V3234,(K3235-MAX(K$470:K3235))/MAX(K$470:K3235))</f>
        <v>-0.84885940676762139</v>
      </c>
      <c r="W3235" s="564">
        <f>IF((N3235-MAX(N$470:N3235))/MAX(N$470:N3235)&gt;W3234,W3234,(N3235-MAX(N$470:N3235))/MAX(N$470:N3235))</f>
        <v>-0.62788758315546067</v>
      </c>
      <c r="X3235" s="564">
        <f>IF((O3235-MAX(O$470:O3235))/MAX(O$470:O3235)&gt;X3234,X3234,(O3235-MAX(O$470:O3235))/MAX(O$470:O3235))</f>
        <v>-0.62788758315546067</v>
      </c>
    </row>
    <row r="3236" spans="1:24">
      <c r="A3236" s="799">
        <v>43638</v>
      </c>
      <c r="B3236">
        <v>10797.195351</v>
      </c>
      <c r="C3236">
        <v>6309.4311019999996</v>
      </c>
      <c r="D3236">
        <v>2.1968809999999999</v>
      </c>
      <c r="E3236">
        <f>LN(D3236/参数实验室!$E$53)/参数实验室!$E$55</f>
        <v>0.23554307960502893</v>
      </c>
      <c r="F3236">
        <f t="shared" si="448"/>
        <v>0.58435833537230952</v>
      </c>
      <c r="G3236">
        <f>LN(F3236/参数实验室!$E$58)/参数实验室!$E$59</f>
        <v>-0.47250308121450552</v>
      </c>
      <c r="H3236" s="856">
        <f>INDEX(神经网络!$G$10:$BO$70,MATCH(ROUND(G3236*2,1)/2,神经网络!$E$10:$E$70,0),MATCH(ROUND(E3236*2,1)/2,神经网络!$G$8:$BO$8,0))</f>
        <v>-0.35771050867962073</v>
      </c>
      <c r="I3236">
        <f t="shared" si="450"/>
        <v>479924.51336084632</v>
      </c>
      <c r="J3236">
        <f t="shared" si="451"/>
        <v>4308.3657280236184</v>
      </c>
      <c r="K3236">
        <f t="shared" si="452"/>
        <v>111.39363360895609</v>
      </c>
      <c r="L3236" s="4">
        <f>MIN(MAX(L3235*(1+MAX(MIN(((B3236-B3235)/B3235)/($K$7*卓尔金历!$N$40),0),-卓尔金历!$M$43))+MIN(MAX(((B3236-B3235)/B3235)/($K$7*卓尔金历!$N$40),0),卓尔金历!$M$43),0),1)</f>
        <v>1</v>
      </c>
      <c r="M3236" s="4">
        <f>MIN(MAX(M3235*(1+MAX(MIN(((B3236-B3235)/B3235)/($K$7*30),0),-卓尔金历!$M$43))+MIN(MAX(((B3236-B3235)/B3235)/($K$7*7),0),卓尔金历!$M$43),0),1)</f>
        <v>1</v>
      </c>
      <c r="N3236">
        <f t="shared" si="453"/>
        <v>193341.87668750723</v>
      </c>
      <c r="O3236">
        <f t="shared" si="454"/>
        <v>523354.59618824976</v>
      </c>
      <c r="P3236">
        <f t="shared" si="455"/>
        <v>0.10049885245517354</v>
      </c>
      <c r="Q3236">
        <f t="shared" si="446"/>
        <v>3.5571412619042619E-2</v>
      </c>
      <c r="R3236">
        <f t="shared" si="447"/>
        <v>0</v>
      </c>
      <c r="S3236">
        <f t="shared" si="449"/>
        <v>1003.3577340555418</v>
      </c>
      <c r="T3236" s="564">
        <f>IF((I3236-MAX(I$470:I3236))/MAX(I$470:I3236)&gt;T3235,T3235,(I3236-MAX(I$470:I3236))/MAX(I$470:I3236))</f>
        <v>-0.91338805338419748</v>
      </c>
      <c r="U3236" s="564">
        <f>IF((J3236-MAX(J$470:J3236))/MAX(J$470:J3236)&gt;U3235,U3235,(J3236-MAX(J$470:J3236))/MAX(J$470:J3236))</f>
        <v>-0.83569785939843477</v>
      </c>
      <c r="V3236" s="564">
        <f>IF((K3236-MAX(K$470:K3236))/MAX(K$470:K3236)&gt;V3235,V3235,(K3236-MAX(K$470:K3236))/MAX(K$470:K3236))</f>
        <v>-0.84885940676762139</v>
      </c>
      <c r="W3236" s="564">
        <f>IF((N3236-MAX(N$470:N3236))/MAX(N$470:N3236)&gt;W3235,W3235,(N3236-MAX(N$470:N3236))/MAX(N$470:N3236))</f>
        <v>-0.62788758315546067</v>
      </c>
      <c r="X3236" s="564">
        <f>IF((O3236-MAX(O$470:O3236))/MAX(O$470:O3236)&gt;X3235,X3235,(O3236-MAX(O$470:O3236))/MAX(O$470:O3236))</f>
        <v>-0.62788758315546067</v>
      </c>
    </row>
    <row r="3237" spans="1:24">
      <c r="A3237" s="799">
        <v>43639</v>
      </c>
      <c r="B3237">
        <v>10750.192486</v>
      </c>
      <c r="C3237">
        <v>6194.5552770000004</v>
      </c>
      <c r="D3237">
        <v>2.2136740000000001</v>
      </c>
      <c r="E3237">
        <f>LN(D3237/参数实验室!$E$53)/参数实验室!$E$55</f>
        <v>0.24452684330883565</v>
      </c>
      <c r="F3237">
        <f t="shared" si="448"/>
        <v>0.57622738244614535</v>
      </c>
      <c r="G3237">
        <f>LN(F3237/参数实验室!$E$58)/参数实验室!$E$59</f>
        <v>-0.47985735634493254</v>
      </c>
      <c r="H3237" s="856">
        <f>INDEX(神经网络!$G$10:$BO$70,MATCH(ROUND(G3237*2,1)/2,神经网络!$E$10:$E$70,0),MATCH(ROUND(E3237*2,1)/2,神经网络!$G$8:$BO$8,0))</f>
        <v>-0.43955859219778332</v>
      </c>
      <c r="I3237">
        <f t="shared" si="450"/>
        <v>480671.85297530296</v>
      </c>
      <c r="J3237">
        <f t="shared" si="451"/>
        <v>4289.610345157811</v>
      </c>
      <c r="K3237">
        <f t="shared" si="452"/>
        <v>112.05489876671291</v>
      </c>
      <c r="L3237" s="4">
        <f>MIN(MAX(L3236*(1+MAX(MIN(((B3237-B3236)/B3236)/($K$7*卓尔金历!$N$40),0),-卓尔金历!$M$43))+MIN(MAX(((B3237-B3236)/B3236)/($K$7*卓尔金历!$N$40),0),卓尔金历!$M$43),0),1)</f>
        <v>0.93348655381527545</v>
      </c>
      <c r="M3237" s="4">
        <f>MIN(MAX(M3236*(1+MAX(MIN(((B3237-B3236)/B3236)/($K$7*30),0),-卓尔金历!$M$43))+MIN(MAX(((B3237-B3236)/B3236)/($K$7*7),0),卓尔金历!$M$43),0),1)</f>
        <v>0.96674327690763773</v>
      </c>
      <c r="N3237">
        <f t="shared" si="453"/>
        <v>193642.94912610826</v>
      </c>
      <c r="O3237">
        <f t="shared" si="454"/>
        <v>524169.5652328615</v>
      </c>
      <c r="P3237">
        <f t="shared" si="455"/>
        <v>-4.3532476232957234E-3</v>
      </c>
      <c r="Q3237">
        <f t="shared" si="446"/>
        <v>3.5654885150266422E-2</v>
      </c>
      <c r="R3237">
        <f t="shared" si="447"/>
        <v>1</v>
      </c>
      <c r="S3237">
        <f t="shared" si="449"/>
        <v>1003.3577340555418</v>
      </c>
      <c r="T3237" s="564">
        <f>IF((I3237-MAX(I$470:I3237))/MAX(I$470:I3237)&gt;T3236,T3236,(I3237-MAX(I$470:I3237))/MAX(I$470:I3237))</f>
        <v>-0.91338805338419748</v>
      </c>
      <c r="U3237" s="564">
        <f>IF((J3237-MAX(J$470:J3237))/MAX(J$470:J3237)&gt;U3236,U3236,(J3237-MAX(J$470:J3237))/MAX(J$470:J3237))</f>
        <v>-0.83569785939843477</v>
      </c>
      <c r="V3237" s="564">
        <f>IF((K3237-MAX(K$470:K3237))/MAX(K$470:K3237)&gt;V3236,V3236,(K3237-MAX(K$470:K3237))/MAX(K$470:K3237))</f>
        <v>-0.84885940676762139</v>
      </c>
      <c r="W3237" s="564">
        <f>IF((N3237-MAX(N$470:N3237))/MAX(N$470:N3237)&gt;W3236,W3236,(N3237-MAX(N$470:N3237))/MAX(N$470:N3237))</f>
        <v>-0.62788758315546067</v>
      </c>
      <c r="X3237" s="564">
        <f>IF((O3237-MAX(O$470:O3237))/MAX(O$470:O3237)&gt;X3236,X3236,(O3237-MAX(O$470:O3237))/MAX(O$470:O3237))</f>
        <v>-0.62788758315546067</v>
      </c>
    </row>
    <row r="3238" spans="1:24">
      <c r="A3238" s="799">
        <v>43640</v>
      </c>
      <c r="B3238">
        <v>10885.037759000001</v>
      </c>
      <c r="C3238">
        <v>6046.1980409999996</v>
      </c>
      <c r="D3238">
        <v>2.2470669999999999</v>
      </c>
      <c r="E3238">
        <f>LN(D3238/参数实验室!$E$53)/参数实验室!$E$55</f>
        <v>0.26219038217222301</v>
      </c>
      <c r="F3238">
        <f t="shared" si="448"/>
        <v>0.55545953765763134</v>
      </c>
      <c r="G3238">
        <f>LN(F3238/参数实验室!$E$58)/参数实验室!$E$59</f>
        <v>-0.49912295172406701</v>
      </c>
      <c r="H3238" s="856">
        <f>INDEX(神经网络!$G$10:$BO$70,MATCH(ROUND(G3238*2,1)/2,神经网络!$E$10:$E$70,0),MATCH(ROUND(E3238*2,1)/2,神经网络!$G$8:$BO$8,0))</f>
        <v>-0.43955859219778332</v>
      </c>
      <c r="I3238">
        <f t="shared" si="450"/>
        <v>478021.61451778573</v>
      </c>
      <c r="J3238">
        <f t="shared" si="451"/>
        <v>4343.4171657156503</v>
      </c>
      <c r="K3238">
        <f t="shared" si="452"/>
        <v>110.05657441587785</v>
      </c>
      <c r="L3238" s="4">
        <f>MIN(MAX(L3237*(1+MAX(MIN(((B3238-B3237)/B3237)/($K$7*卓尔金历!$N$40),0),-卓尔金历!$M$43))+MIN(MAX(((B3238-B3237)/B3237)/($K$7*卓尔金历!$N$40),0),卓尔金历!$M$43),0),1)</f>
        <v>1</v>
      </c>
      <c r="M3238" s="4">
        <f>MIN(MAX(M3237*(1+MAX(MIN(((B3238-B3237)/B3237)/($K$7*30),0),-卓尔金历!$M$43))+MIN(MAX(((B3238-B3237)/B3237)/($K$7*7),0),卓尔金历!$M$43),0),1)</f>
        <v>1</v>
      </c>
      <c r="N3238">
        <f t="shared" si="453"/>
        <v>192646.29145234279</v>
      </c>
      <c r="O3238">
        <f t="shared" si="454"/>
        <v>521375.61142555281</v>
      </c>
      <c r="P3238">
        <f t="shared" si="455"/>
        <v>1.2543521725365395E-2</v>
      </c>
      <c r="Q3238">
        <f t="shared" si="446"/>
        <v>3.3744456989830113E-2</v>
      </c>
      <c r="R3238">
        <f t="shared" si="447"/>
        <v>1</v>
      </c>
      <c r="S3238">
        <f t="shared" si="449"/>
        <v>997.82560805943535</v>
      </c>
      <c r="T3238" s="564">
        <f>IF((I3238-MAX(I$470:I3238))/MAX(I$470:I3238)&gt;T3237,T3237,(I3238-MAX(I$470:I3238))/MAX(I$470:I3238))</f>
        <v>-0.91338805338419748</v>
      </c>
      <c r="U3238" s="564">
        <f>IF((J3238-MAX(J$470:J3238))/MAX(J$470:J3238)&gt;U3237,U3237,(J3238-MAX(J$470:J3238))/MAX(J$470:J3238))</f>
        <v>-0.83569785939843477</v>
      </c>
      <c r="V3238" s="564">
        <f>IF((K3238-MAX(K$470:K3238))/MAX(K$470:K3238)&gt;V3237,V3237,(K3238-MAX(K$470:K3238))/MAX(K$470:K3238))</f>
        <v>-0.84885940676762139</v>
      </c>
      <c r="W3238" s="564">
        <f>IF((N3238-MAX(N$470:N3238))/MAX(N$470:N3238)&gt;W3237,W3237,(N3238-MAX(N$470:N3238))/MAX(N$470:N3238))</f>
        <v>-0.62788758315546067</v>
      </c>
      <c r="X3238" s="564">
        <f>IF((O3238-MAX(O$470:O3238))/MAX(O$470:O3238)&gt;X3237,X3237,(O3238-MAX(O$470:O3238))/MAX(O$470:O3238))</f>
        <v>-0.62788758315546067</v>
      </c>
    </row>
    <row r="3239" spans="1:24">
      <c r="A3239" s="799">
        <v>43641</v>
      </c>
      <c r="B3239">
        <v>11372.926153</v>
      </c>
      <c r="C3239">
        <v>6125.0195290000001</v>
      </c>
      <c r="D3239">
        <v>2.3798270000000001</v>
      </c>
      <c r="E3239">
        <f>LN(D3239/参数实验室!$E$53)/参数实验室!$E$55</f>
        <v>0.32991056097995014</v>
      </c>
      <c r="F3239">
        <f t="shared" si="448"/>
        <v>0.53856144378325321</v>
      </c>
      <c r="G3239">
        <f>LN(F3239/参数实验室!$E$58)/参数实验室!$E$59</f>
        <v>-0.51533788443620077</v>
      </c>
      <c r="H3239" s="856">
        <f>INDEX(神经网络!$G$10:$BO$70,MATCH(ROUND(G3239*2,1)/2,神经网络!$E$10:$E$70,0),MATCH(ROUND(E3239*2,1)/2,神经网络!$G$8:$BO$8,0))</f>
        <v>-0.35701968704750298</v>
      </c>
      <c r="I3239">
        <f t="shared" si="450"/>
        <v>468603.69758931128</v>
      </c>
      <c r="J3239">
        <f t="shared" si="451"/>
        <v>4538.0975032919632</v>
      </c>
      <c r="K3239">
        <f t="shared" si="452"/>
        <v>103.25994477848555</v>
      </c>
      <c r="L3239" s="4">
        <f>MIN(MAX(L3238*(1+MAX(MIN(((B3239-B3238)/B3238)/($K$7*卓尔金历!$N$40),0),-卓尔金历!$M$43))+MIN(MAX(((B3239-B3238)/B3238)/($K$7*卓尔金历!$N$40),0),卓尔金历!$M$43),0),1)</f>
        <v>1</v>
      </c>
      <c r="M3239" s="4">
        <f>MIN(MAX(M3238*(1+MAX(MIN(((B3239-B3238)/B3238)/($K$7*30),0),-卓尔金历!$M$43))+MIN(MAX(((B3239-B3238)/B3238)/($K$7*7),0),卓尔金历!$M$43),0),1)</f>
        <v>1</v>
      </c>
      <c r="N3239">
        <f t="shared" si="453"/>
        <v>188850.80038169932</v>
      </c>
      <c r="O3239">
        <f t="shared" si="454"/>
        <v>511103.53993796586</v>
      </c>
      <c r="P3239">
        <f t="shared" si="455"/>
        <v>4.4821929404572088E-2</v>
      </c>
      <c r="Q3239">
        <f t="shared" si="446"/>
        <v>3.1263431448669089E-2</v>
      </c>
      <c r="R3239">
        <f t="shared" si="447"/>
        <v>2.1588069503548617E-2</v>
      </c>
      <c r="S3239">
        <f t="shared" si="449"/>
        <v>978.16658344547909</v>
      </c>
      <c r="T3239" s="564">
        <f>IF((I3239-MAX(I$470:I3239))/MAX(I$470:I3239)&gt;T3238,T3238,(I3239-MAX(I$470:I3239))/MAX(I$470:I3239))</f>
        <v>-0.91338805338419748</v>
      </c>
      <c r="U3239" s="564">
        <f>IF((J3239-MAX(J$470:J3239))/MAX(J$470:J3239)&gt;U3238,U3238,(J3239-MAX(J$470:J3239))/MAX(J$470:J3239))</f>
        <v>-0.83569785939843477</v>
      </c>
      <c r="V3239" s="564">
        <f>IF((K3239-MAX(K$470:K3239))/MAX(K$470:K3239)&gt;V3238,V3238,(K3239-MAX(K$470:K3239))/MAX(K$470:K3239))</f>
        <v>-0.84885940676762139</v>
      </c>
      <c r="W3239" s="564">
        <f>IF((N3239-MAX(N$470:N3239))/MAX(N$470:N3239)&gt;W3238,W3238,(N3239-MAX(N$470:N3239))/MAX(N$470:N3239))</f>
        <v>-0.62788758315546067</v>
      </c>
      <c r="X3239" s="564">
        <f>IF((O3239-MAX(O$470:O3239))/MAX(O$470:O3239)&gt;X3238,X3238,(O3239-MAX(O$470:O3239))/MAX(O$470:O3239))</f>
        <v>-0.62788758315546067</v>
      </c>
    </row>
    <row r="3240" spans="1:24">
      <c r="A3240" s="799">
        <v>43642</v>
      </c>
      <c r="B3240">
        <v>12807.985051</v>
      </c>
      <c r="C3240">
        <v>6135.4461979999996</v>
      </c>
      <c r="D3240">
        <v>2.5717639999999999</v>
      </c>
      <c r="E3240">
        <f>LN(D3240/参数实验室!$E$53)/参数实验室!$E$55</f>
        <v>0.4214172351326298</v>
      </c>
      <c r="F3240">
        <f t="shared" si="448"/>
        <v>0.47903289811545857</v>
      </c>
      <c r="G3240">
        <f>LN(F3240/参数实验室!$E$58)/参数实验室!$E$59</f>
        <v>-0.57681525403403411</v>
      </c>
      <c r="H3240" s="856">
        <f>INDEX(神经网络!$G$10:$BO$70,MATCH(ROUND(G3240*2,1)/2,神经网络!$E$10:$E$70,0),MATCH(ROUND(E3240*2,1)/2,神经网络!$G$8:$BO$8,0))</f>
        <v>-0.47617205905534382</v>
      </c>
      <c r="I3240">
        <f t="shared" si="450"/>
        <v>447493.35006851412</v>
      </c>
      <c r="J3240">
        <f t="shared" si="451"/>
        <v>5110.7238541957568</v>
      </c>
      <c r="K3240">
        <f t="shared" si="452"/>
        <v>87.559680944439009</v>
      </c>
      <c r="L3240" s="4">
        <f>MIN(MAX(L3239*(1+MAX(MIN(((B3240-B3239)/B3239)/($K$7*卓尔金历!$N$40),0),-卓尔金历!$M$43))+MIN(MAX(((B3240-B3239)/B3239)/($K$7*卓尔金历!$N$40),0),卓尔金历!$M$43),0),1)</f>
        <v>1</v>
      </c>
      <c r="M3240" s="4">
        <f>MIN(MAX(M3239*(1+MAX(MIN(((B3240-B3239)/B3239)/($K$7*30),0),-卓尔金历!$M$43))+MIN(MAX(((B3240-B3239)/B3239)/($K$7*7),0),卓尔金历!$M$43),0),1)</f>
        <v>1</v>
      </c>
      <c r="N3240">
        <f t="shared" si="453"/>
        <v>180343.17219577674</v>
      </c>
      <c r="O3240">
        <f t="shared" si="454"/>
        <v>488078.59710736922</v>
      </c>
      <c r="P3240">
        <f t="shared" si="455"/>
        <v>0.12618202903053699</v>
      </c>
      <c r="Q3240">
        <f t="shared" si="446"/>
        <v>3.6257036146648311E-2</v>
      </c>
      <c r="R3240">
        <f t="shared" si="447"/>
        <v>0</v>
      </c>
      <c r="S3240">
        <f t="shared" si="449"/>
        <v>977.21528606375716</v>
      </c>
      <c r="T3240" s="564">
        <f>IF((I3240-MAX(I$470:I3240))/MAX(I$470:I3240)&gt;T3239,T3239,(I3240-MAX(I$470:I3240))/MAX(I$470:I3240))</f>
        <v>-0.91338805338419748</v>
      </c>
      <c r="U3240" s="564">
        <f>IF((J3240-MAX(J$470:J3240))/MAX(J$470:J3240)&gt;U3239,U3239,(J3240-MAX(J$470:J3240))/MAX(J$470:J3240))</f>
        <v>-0.83569785939843477</v>
      </c>
      <c r="V3240" s="564">
        <f>IF((K3240-MAX(K$470:K3240))/MAX(K$470:K3240)&gt;V3239,V3239,(K3240-MAX(K$470:K3240))/MAX(K$470:K3240))</f>
        <v>-0.84885940676762139</v>
      </c>
      <c r="W3240" s="564">
        <f>IF((N3240-MAX(N$470:N3240))/MAX(N$470:N3240)&gt;W3239,W3239,(N3240-MAX(N$470:N3240))/MAX(N$470:N3240))</f>
        <v>-0.62788758315546067</v>
      </c>
      <c r="X3240" s="564">
        <f>IF((O3240-MAX(O$470:O3240))/MAX(O$470:O3240)&gt;X3239,X3239,(O3240-MAX(O$470:O3240))/MAX(O$470:O3240))</f>
        <v>-0.62788758315546067</v>
      </c>
    </row>
    <row r="3241" spans="1:24">
      <c r="A3241" s="799">
        <v>43643</v>
      </c>
      <c r="B3241">
        <v>11712.325489000001</v>
      </c>
      <c r="C3241">
        <v>6228.2344700000003</v>
      </c>
      <c r="D3241">
        <v>2.2152430000000001</v>
      </c>
      <c r="E3241">
        <f>LN(D3241/参数实验室!$E$53)/参数实验室!$E$55</f>
        <v>0.24536272843254803</v>
      </c>
      <c r="F3241">
        <f t="shared" si="448"/>
        <v>0.53176753633165696</v>
      </c>
      <c r="G3241">
        <f>LN(F3241/参数实验室!$E$58)/参数实验室!$E$59</f>
        <v>-0.52200099036221403</v>
      </c>
      <c r="H3241" s="856">
        <f>INDEX(神经网络!$G$10:$BO$70,MATCH(ROUND(G3241*2,1)/2,神经网络!$E$10:$E$70,0),MATCH(ROUND(E3241*2,1)/2,神经网络!$G$8:$BO$8,0))</f>
        <v>-0.43955859219778332</v>
      </c>
      <c r="I3241">
        <f t="shared" si="450"/>
        <v>465721.61429782695</v>
      </c>
      <c r="J3241">
        <f t="shared" si="451"/>
        <v>4673.5267902318301</v>
      </c>
      <c r="K3241">
        <f t="shared" si="452"/>
        <v>99.650999170740789</v>
      </c>
      <c r="L3241" s="4">
        <f>MIN(MAX(L3240*(1+MAX(MIN(((B3241-B3240)/B3240)/($K$7*卓尔金历!$N$40),0),-卓尔金历!$M$43))+MIN(MAX(((B3241-B3240)/B3240)/($K$7*卓尔金历!$N$40),0),卓尔金历!$M$43),0),1)</f>
        <v>0</v>
      </c>
      <c r="M3241" s="4">
        <f>MIN(MAX(M3240*(1+MAX(MIN(((B3241-B3240)/B3240)/($K$7*30),0),-卓尔金历!$M$43))+MIN(MAX(((B3241-B3240)/B3240)/($K$7*7),0),卓尔金历!$M$43),0),1)</f>
        <v>0.34647695890985442</v>
      </c>
      <c r="N3241">
        <f t="shared" si="453"/>
        <v>187689.29922589633</v>
      </c>
      <c r="O3241">
        <f t="shared" si="454"/>
        <v>507960.06714794808</v>
      </c>
      <c r="P3241">
        <f t="shared" si="455"/>
        <v>-8.5545037540034757E-2</v>
      </c>
      <c r="Q3241">
        <f t="shared" si="446"/>
        <v>4.3169772608781701E-2</v>
      </c>
      <c r="R3241">
        <f t="shared" si="447"/>
        <v>1.146076029983336E-2</v>
      </c>
      <c r="S3241">
        <f t="shared" si="449"/>
        <v>977.21528606375716</v>
      </c>
      <c r="T3241" s="564">
        <f>IF((I3241-MAX(I$470:I3241))/MAX(I$470:I3241)&gt;T3240,T3240,(I3241-MAX(I$470:I3241))/MAX(I$470:I3241))</f>
        <v>-0.91338805338419748</v>
      </c>
      <c r="U3241" s="564">
        <f>IF((J3241-MAX(J$470:J3241))/MAX(J$470:J3241)&gt;U3240,U3240,(J3241-MAX(J$470:J3241))/MAX(J$470:J3241))</f>
        <v>-0.83569785939843477</v>
      </c>
      <c r="V3241" s="564">
        <f>IF((K3241-MAX(K$470:K3241))/MAX(K$470:K3241)&gt;V3240,V3240,(K3241-MAX(K$470:K3241))/MAX(K$470:K3241))</f>
        <v>-0.84885940676762139</v>
      </c>
      <c r="W3241" s="564">
        <f>IF((N3241-MAX(N$470:N3241))/MAX(N$470:N3241)&gt;W3240,W3240,(N3241-MAX(N$470:N3241))/MAX(N$470:N3241))</f>
        <v>-0.62788758315546067</v>
      </c>
      <c r="X3241" s="564">
        <f>IF((O3241-MAX(O$470:O3241))/MAX(O$470:O3241)&gt;X3240,X3240,(O3241-MAX(O$470:O3241))/MAX(O$470:O3241))</f>
        <v>-0.62788758315546067</v>
      </c>
    </row>
    <row r="3242" spans="1:24">
      <c r="A3242" s="799">
        <v>43644</v>
      </c>
      <c r="B3242">
        <v>12000.098846999999</v>
      </c>
      <c r="C3242">
        <v>6276.6132390000002</v>
      </c>
      <c r="D3242">
        <v>2.4416850000000001</v>
      </c>
      <c r="E3242">
        <f>LN(D3242/参数实验室!$E$53)/参数实验室!$E$55</f>
        <v>0.36018371203016963</v>
      </c>
      <c r="F3242">
        <f t="shared" si="448"/>
        <v>0.5230467947827897</v>
      </c>
      <c r="G3242">
        <f>LN(F3242/参数实验室!$E$58)/参数实验室!$E$59</f>
        <v>-0.53067971346206144</v>
      </c>
      <c r="H3242" s="856">
        <f>INDEX(神经网络!$G$10:$BO$70,MATCH(ROUND(G3242*2,1)/2,神经网络!$E$10:$E$70,0),MATCH(ROUND(E3242*2,1)/2,神经网络!$G$8:$BO$8,0))</f>
        <v>-0.43852150770207837</v>
      </c>
      <c r="I3242">
        <f t="shared" si="450"/>
        <v>460691.81542245595</v>
      </c>
      <c r="J3242">
        <f t="shared" si="451"/>
        <v>4788.3559502813087</v>
      </c>
      <c r="K3242">
        <f t="shared" si="452"/>
        <v>96.210854039660731</v>
      </c>
      <c r="L3242" s="4">
        <f>MIN(MAX(L3241*(1+MAX(MIN(((B3242-B3241)/B3241)/($K$7*卓尔金历!$N$40),0),-卓尔金历!$M$43))+MIN(MAX(((B3242-B3241)/B3241)/($K$7*卓尔金历!$N$40),0),卓尔金历!$M$43),0),1)</f>
        <v>0.37540800577446387</v>
      </c>
      <c r="M3242" s="4">
        <f>MIN(MAX(M3241*(1+MAX(MIN(((B3242-B3241)/B3241)/($K$7*30),0),-卓尔金历!$M$43))+MIN(MAX(((B3242-B3241)/B3241)/($K$7*7),0),卓尔金历!$M$43),0),1)</f>
        <v>1</v>
      </c>
      <c r="N3242">
        <f t="shared" si="453"/>
        <v>187689.29922589633</v>
      </c>
      <c r="O3242">
        <f t="shared" si="454"/>
        <v>506059.30333122727</v>
      </c>
      <c r="P3242">
        <f t="shared" si="455"/>
        <v>2.4570129840591433E-2</v>
      </c>
      <c r="Q3242">
        <f t="shared" si="446"/>
        <v>4.3156775540644919E-2</v>
      </c>
      <c r="R3242">
        <f t="shared" si="447"/>
        <v>0.63079560615086472</v>
      </c>
      <c r="S3242">
        <f t="shared" si="449"/>
        <v>977.09432992724055</v>
      </c>
      <c r="T3242" s="564">
        <f>IF((I3242-MAX(I$470:I3242))/MAX(I$470:I3242)&gt;T3241,T3241,(I3242-MAX(I$470:I3242))/MAX(I$470:I3242))</f>
        <v>-0.91338805338419748</v>
      </c>
      <c r="U3242" s="564">
        <f>IF((J3242-MAX(J$470:J3242))/MAX(J$470:J3242)&gt;U3241,U3241,(J3242-MAX(J$470:J3242))/MAX(J$470:J3242))</f>
        <v>-0.83569785939843477</v>
      </c>
      <c r="V3242" s="564">
        <f>IF((K3242-MAX(K$470:K3242))/MAX(K$470:K3242)&gt;V3241,V3241,(K3242-MAX(K$470:K3242))/MAX(K$470:K3242))</f>
        <v>-0.84885940676762139</v>
      </c>
      <c r="W3242" s="564">
        <f>IF((N3242-MAX(N$470:N3242))/MAX(N$470:N3242)&gt;W3241,W3241,(N3242-MAX(N$470:N3242))/MAX(N$470:N3242))</f>
        <v>-0.62788758315546067</v>
      </c>
      <c r="X3242" s="564">
        <f>IF((O3242-MAX(O$470:O3242))/MAX(O$470:O3242)&gt;X3241,X3241,(O3242-MAX(O$470:O3242))/MAX(O$470:O3242))</f>
        <v>-0.62788758315546067</v>
      </c>
    </row>
    <row r="3243" spans="1:24">
      <c r="A3243" s="799">
        <v>43645</v>
      </c>
      <c r="B3243">
        <v>12028.006573999999</v>
      </c>
      <c r="C3243">
        <v>6220.4231669999999</v>
      </c>
      <c r="D3243">
        <v>2.3532920000000002</v>
      </c>
      <c r="E3243">
        <f>LN(D3243/参数实验室!$E$53)/参数实验室!$E$55</f>
        <v>0.31668246326947447</v>
      </c>
      <c r="F3243">
        <f t="shared" si="448"/>
        <v>0.51716160352341356</v>
      </c>
      <c r="G3243">
        <f>LN(F3243/参数实验室!$E$58)/参数实验室!$E$59</f>
        <v>-0.53661871451274168</v>
      </c>
      <c r="H3243" s="856">
        <f>INDEX(神经网络!$G$10:$BO$70,MATCH(ROUND(G3243*2,1)/2,神经网络!$E$10:$E$70,0),MATCH(ROUND(E3243*2,1)/2,神经网络!$G$8:$BO$8,0))</f>
        <v>-0.47804204532135114</v>
      </c>
      <c r="I3243">
        <f t="shared" si="450"/>
        <v>460221.98510486266</v>
      </c>
      <c r="J3243">
        <f t="shared" si="451"/>
        <v>4799.4918694385651</v>
      </c>
      <c r="K3243">
        <f t="shared" si="452"/>
        <v>95.88973116829105</v>
      </c>
      <c r="L3243" s="4">
        <f>MIN(MAX(L3242*(1+MAX(MIN(((B3243-B3242)/B3242)/($K$7*卓尔金历!$N$40),0),-卓尔金历!$M$43))+MIN(MAX(((B3243-B3242)/B3242)/($K$7*卓尔金历!$N$40),0),卓尔金历!$M$43),0),1)</f>
        <v>0.4109413203708206</v>
      </c>
      <c r="M3243" s="4">
        <f>MIN(MAX(M3242*(1+MAX(MIN(((B3243-B3242)/B3242)/($K$7*30),0),-卓尔金历!$M$43))+MIN(MAX(((B3243-B3242)/B3242)/($K$7*7),0),卓尔金历!$M$43),0),1)</f>
        <v>1</v>
      </c>
      <c r="N3243">
        <f t="shared" si="453"/>
        <v>187617.44148096524</v>
      </c>
      <c r="O3243">
        <f t="shared" si="454"/>
        <v>505543.20559463714</v>
      </c>
      <c r="P3243">
        <f t="shared" si="455"/>
        <v>2.3256247599140962E-3</v>
      </c>
      <c r="Q3243">
        <f t="shared" si="446"/>
        <v>4.3044810194070561E-2</v>
      </c>
      <c r="R3243">
        <f t="shared" si="447"/>
        <v>1</v>
      </c>
      <c r="S3243">
        <f t="shared" si="449"/>
        <v>976.46575696837988</v>
      </c>
      <c r="T3243" s="564">
        <f>IF((I3243-MAX(I$470:I3243))/MAX(I$470:I3243)&gt;T3242,T3242,(I3243-MAX(I$470:I3243))/MAX(I$470:I3243))</f>
        <v>-0.91338805338419748</v>
      </c>
      <c r="U3243" s="564">
        <f>IF((J3243-MAX(J$470:J3243))/MAX(J$470:J3243)&gt;U3242,U3242,(J3243-MAX(J$470:J3243))/MAX(J$470:J3243))</f>
        <v>-0.83569785939843477</v>
      </c>
      <c r="V3243" s="564">
        <f>IF((K3243-MAX(K$470:K3243))/MAX(K$470:K3243)&gt;V3242,V3242,(K3243-MAX(K$470:K3243))/MAX(K$470:K3243))</f>
        <v>-0.84885940676762139</v>
      </c>
      <c r="W3243" s="564">
        <f>IF((N3243-MAX(N$470:N3243))/MAX(N$470:N3243)&gt;W3242,W3242,(N3243-MAX(N$470:N3243))/MAX(N$470:N3243))</f>
        <v>-0.62788758315546067</v>
      </c>
      <c r="X3243" s="564">
        <f>IF((O3243-MAX(O$470:O3243))/MAX(O$470:O3243)&gt;X3242,X3242,(O3243-MAX(O$470:O3243))/MAX(O$470:O3243))</f>
        <v>-0.62788758315546067</v>
      </c>
    </row>
    <row r="3244" spans="1:24">
      <c r="A3244" s="799">
        <v>43646</v>
      </c>
      <c r="B3244">
        <v>11164.074879</v>
      </c>
      <c r="C3244">
        <v>6079.0702339999998</v>
      </c>
      <c r="D3244">
        <v>2.1302099999999999</v>
      </c>
      <c r="E3244">
        <f>LN(D3244/参数实验室!$E$53)/参数实验室!$E$55</f>
        <v>0.19918537245689688</v>
      </c>
      <c r="F3244">
        <f t="shared" si="448"/>
        <v>0.54452073278681923</v>
      </c>
      <c r="G3244">
        <f>LN(F3244/参数实验室!$E$58)/参数实验室!$E$59</f>
        <v>-0.50956216665851828</v>
      </c>
      <c r="H3244" s="856">
        <f>INDEX(神经网络!$G$10:$BO$70,MATCH(ROUND(G3244*2,1)/2,神经网络!$E$10:$E$70,0),MATCH(ROUND(E3244*2,1)/2,神经网络!$G$8:$BO$8,0))</f>
        <v>-0.47884554394413442</v>
      </c>
      <c r="I3244">
        <f t="shared" si="450"/>
        <v>476024.24527048401</v>
      </c>
      <c r="J3244">
        <f t="shared" si="451"/>
        <v>4454.7603363792305</v>
      </c>
      <c r="K3244">
        <f t="shared" si="452"/>
        <v>106.85743100096607</v>
      </c>
      <c r="L3244" s="4">
        <f>MIN(MAX(L3243*(1+MAX(MIN(((B3244-B3243)/B3243)/($K$7*卓尔金历!$N$40),0),-卓尔金历!$M$43))+MIN(MAX(((B3244-B3243)/B3243)/($K$7*卓尔金历!$N$40),0),卓尔金历!$M$43),0),1)</f>
        <v>0</v>
      </c>
      <c r="M3244" s="4">
        <f>MIN(MAX(M3243*(1+MAX(MIN(((B3244-B3243)/B3243)/($K$7*30),0),-卓尔金历!$M$43))+MIN(MAX(((B3244-B3243)/B3243)/($K$7*7),0),卓尔金历!$M$43),0),1)</f>
        <v>0.45127868175157404</v>
      </c>
      <c r="N3244">
        <f t="shared" si="453"/>
        <v>190264.75189172398</v>
      </c>
      <c r="O3244">
        <f t="shared" si="454"/>
        <v>522901.62287656777</v>
      </c>
      <c r="P3244">
        <f t="shared" si="455"/>
        <v>-7.1826672997293908E-2</v>
      </c>
      <c r="Q3244">
        <f t="shared" ref="Q3244:Q3307" si="456">STDEVP(P3224:P3244)</f>
        <v>4.6652913471847149E-2</v>
      </c>
      <c r="R3244">
        <f t="shared" ref="R3244:R3307" si="457">MIN(Q3243*MAX(1-LN(MAX(ABS(P3244),0.0001)/Q3244),0)+MAX(-LN(MAX(ABS(P3244),0.0001)/Q3244),0),1)</f>
        <v>2.4470091397864675E-2</v>
      </c>
      <c r="S3244">
        <f t="shared" si="449"/>
        <v>1009.9938508748864</v>
      </c>
      <c r="T3244" s="564">
        <f>IF((I3244-MAX(I$470:I3244))/MAX(I$470:I3244)&gt;T3243,T3243,(I3244-MAX(I$470:I3244))/MAX(I$470:I3244))</f>
        <v>-0.91338805338419748</v>
      </c>
      <c r="U3244" s="564">
        <f>IF((J3244-MAX(J$470:J3244))/MAX(J$470:J3244)&gt;U3243,U3243,(J3244-MAX(J$470:J3244))/MAX(J$470:J3244))</f>
        <v>-0.83569785939843477</v>
      </c>
      <c r="V3244" s="564">
        <f>IF((K3244-MAX(K$470:K3244))/MAX(K$470:K3244)&gt;V3243,V3243,(K3244-MAX(K$470:K3244))/MAX(K$470:K3244))</f>
        <v>-0.84885940676762139</v>
      </c>
      <c r="W3244" s="564">
        <f>IF((N3244-MAX(N$470:N3244))/MAX(N$470:N3244)&gt;W3243,W3243,(N3244-MAX(N$470:N3244))/MAX(N$470:N3244))</f>
        <v>-0.62788758315546067</v>
      </c>
      <c r="X3244" s="564">
        <f>IF((O3244-MAX(O$470:O3244))/MAX(O$470:O3244)&gt;X3243,X3243,(O3244-MAX(O$470:O3244))/MAX(O$470:O3244))</f>
        <v>-0.62788758315546067</v>
      </c>
    </row>
    <row r="3245" spans="1:24">
      <c r="A3245" s="799">
        <v>43647</v>
      </c>
      <c r="B3245">
        <v>10167.657423000001</v>
      </c>
      <c r="C3245">
        <v>6113.422364</v>
      </c>
      <c r="D3245">
        <v>2.075583</v>
      </c>
      <c r="E3245">
        <f>LN(D3245/参数实验室!$E$53)/参数实验室!$E$55</f>
        <v>0.16853716656939424</v>
      </c>
      <c r="F3245">
        <f t="shared" si="448"/>
        <v>0.60126163871050398</v>
      </c>
      <c r="G3245">
        <f>LN(F3245/参数实验室!$E$58)/参数实验室!$E$59</f>
        <v>-0.45753645032456031</v>
      </c>
      <c r="H3245" s="856">
        <f>INDEX(神经网络!$G$10:$BO$70,MATCH(ROUND(G3245*2,1)/2,神经网络!$E$10:$E$70,0),MATCH(ROUND(E3245*2,1)/2,神经网络!$G$8:$BO$8,0))</f>
        <v>-0.43998174972381759</v>
      </c>
      <c r="I3245">
        <f t="shared" si="450"/>
        <v>496368.56206849345</v>
      </c>
      <c r="J3245">
        <f t="shared" si="451"/>
        <v>4057.1634902837045</v>
      </c>
      <c r="K3245">
        <f t="shared" si="452"/>
        <v>122.34374169471391</v>
      </c>
      <c r="L3245" s="4">
        <f>MIN(MAX(L3244*(1+MAX(MIN(((B3245-B3244)/B3244)/($K$7*卓尔金历!$N$40),0),-卓尔金历!$M$43))+MIN(MAX(((B3245-B3244)/B3244)/($K$7*卓尔金历!$N$40),0),卓尔金历!$M$43),0),1)</f>
        <v>0</v>
      </c>
      <c r="M3245" s="4">
        <f>MIN(MAX(M3244*(1+MAX(MIN(((B3245-B3244)/B3244)/($K$7*30),0),-卓尔金历!$M$43))+MIN(MAX(((B3245-B3244)/B3244)/($K$7*7),0),卓尔金历!$M$43),0),1)</f>
        <v>0.14357727101585019</v>
      </c>
      <c r="N3245">
        <f t="shared" si="453"/>
        <v>190264.75189172398</v>
      </c>
      <c r="O3245">
        <f t="shared" si="454"/>
        <v>532986.69119649718</v>
      </c>
      <c r="P3245">
        <f t="shared" si="455"/>
        <v>-8.9252129424023663E-2</v>
      </c>
      <c r="Q3245">
        <f t="shared" si="456"/>
        <v>5.200732500991833E-2</v>
      </c>
      <c r="R3245">
        <f t="shared" si="457"/>
        <v>2.1456575062859837E-2</v>
      </c>
      <c r="S3245">
        <f t="shared" si="449"/>
        <v>1011.0501048539272</v>
      </c>
      <c r="T3245" s="564">
        <f>IF((I3245-MAX(I$470:I3245))/MAX(I$470:I3245)&gt;T3244,T3244,(I3245-MAX(I$470:I3245))/MAX(I$470:I3245))</f>
        <v>-0.91338805338419748</v>
      </c>
      <c r="U3245" s="564">
        <f>IF((J3245-MAX(J$470:J3245))/MAX(J$470:J3245)&gt;U3244,U3244,(J3245-MAX(J$470:J3245))/MAX(J$470:J3245))</f>
        <v>-0.83569785939843477</v>
      </c>
      <c r="V3245" s="564">
        <f>IF((K3245-MAX(K$470:K3245))/MAX(K$470:K3245)&gt;V3244,V3244,(K3245-MAX(K$470:K3245))/MAX(K$470:K3245))</f>
        <v>-0.84885940676762139</v>
      </c>
      <c r="W3245" s="564">
        <f>IF((N3245-MAX(N$470:N3245))/MAX(N$470:N3245)&gt;W3244,W3244,(N3245-MAX(N$470:N3245))/MAX(N$470:N3245))</f>
        <v>-0.62788758315546067</v>
      </c>
      <c r="X3245" s="564">
        <f>IF((O3245-MAX(O$470:O3245))/MAX(O$470:O3245)&gt;X3244,X3244,(O3245-MAX(O$470:O3245))/MAX(O$470:O3245))</f>
        <v>-0.62788758315546067</v>
      </c>
    </row>
    <row r="3246" spans="1:24">
      <c r="A3246" s="799">
        <v>43648</v>
      </c>
      <c r="B3246">
        <v>10464.606072</v>
      </c>
      <c r="C3246">
        <v>6007.0692319999998</v>
      </c>
      <c r="D3246">
        <v>2.110004</v>
      </c>
      <c r="E3246">
        <f>LN(D3246/参数实验室!$E$53)/参数实验室!$E$55</f>
        <v>0.18794147085606144</v>
      </c>
      <c r="F3246">
        <f t="shared" si="448"/>
        <v>0.57403682381060006</v>
      </c>
      <c r="G3246">
        <f>LN(F3246/参数实验室!$E$58)/参数实验室!$E$59</f>
        <v>-0.48185641871709478</v>
      </c>
      <c r="H3246" s="856">
        <f>INDEX(神经网络!$G$10:$BO$70,MATCH(ROUND(G3246*2,1)/2,神经网络!$E$10:$E$70,0),MATCH(ROUND(E3246*2,1)/2,神经网络!$G$8:$BO$8,0))</f>
        <v>-0.47884554394413442</v>
      </c>
      <c r="I3246">
        <f t="shared" si="450"/>
        <v>489990.34378219617</v>
      </c>
      <c r="J3246">
        <f t="shared" si="451"/>
        <v>4175.6538334463876</v>
      </c>
      <c r="K3246">
        <f t="shared" si="452"/>
        <v>117.34457963383934</v>
      </c>
      <c r="L3246" s="4">
        <f>MIN(MAX(L3245*(1+MAX(MIN(((B3246-B3245)/B3245)/($K$7*卓尔金历!$N$40),0),-卓尔金历!$M$43))+MIN(MAX(((B3246-B3245)/B3245)/($K$7*卓尔金历!$N$40),0),卓尔金历!$M$43),0),1)</f>
        <v>0.44622770099979936</v>
      </c>
      <c r="M3246" s="4">
        <f>MIN(MAX(M3245*(1+MAX(MIN(((B3246-B3245)/B3245)/($K$7*30),0),-卓尔金历!$M$43))+MIN(MAX(((B3246-B3245)/B3245)/($K$7*7),0),卓尔金历!$M$43),0),1)</f>
        <v>1</v>
      </c>
      <c r="N3246">
        <f t="shared" si="453"/>
        <v>190264.75189172398</v>
      </c>
      <c r="O3246">
        <f t="shared" si="454"/>
        <v>532003.36599407753</v>
      </c>
      <c r="P3246">
        <f t="shared" si="455"/>
        <v>2.9205217745464154E-2</v>
      </c>
      <c r="Q3246">
        <f t="shared" si="456"/>
        <v>5.1729775918874961E-2</v>
      </c>
      <c r="R3246">
        <f t="shared" si="457"/>
        <v>0.65342536244437133</v>
      </c>
      <c r="S3246">
        <f t="shared" si="449"/>
        <v>1010.7713463083617</v>
      </c>
      <c r="T3246" s="564">
        <f>IF((I3246-MAX(I$470:I3246))/MAX(I$470:I3246)&gt;T3245,T3245,(I3246-MAX(I$470:I3246))/MAX(I$470:I3246))</f>
        <v>-0.91338805338419748</v>
      </c>
      <c r="U3246" s="564">
        <f>IF((J3246-MAX(J$470:J3246))/MAX(J$470:J3246)&gt;U3245,U3245,(J3246-MAX(J$470:J3246))/MAX(J$470:J3246))</f>
        <v>-0.83569785939843477</v>
      </c>
      <c r="V3246" s="564">
        <f>IF((K3246-MAX(K$470:K3246))/MAX(K$470:K3246)&gt;V3245,V3245,(K3246-MAX(K$470:K3246))/MAX(K$470:K3246))</f>
        <v>-0.84885940676762139</v>
      </c>
      <c r="W3246" s="564">
        <f>IF((N3246-MAX(N$470:N3246))/MAX(N$470:N3246)&gt;W3245,W3245,(N3246-MAX(N$470:N3246))/MAX(N$470:N3246))</f>
        <v>-0.62788758315546067</v>
      </c>
      <c r="X3246" s="564">
        <f>IF((O3246-MAX(O$470:O3246))/MAX(O$470:O3246)&gt;X3245,X3245,(O3246-MAX(O$470:O3246))/MAX(O$470:O3246))</f>
        <v>-0.62788758315546067</v>
      </c>
    </row>
    <row r="3247" spans="1:24">
      <c r="A3247" s="799">
        <v>43649</v>
      </c>
      <c r="B3247">
        <v>11398.932811000001</v>
      </c>
      <c r="C3247">
        <v>5815.0005659999997</v>
      </c>
      <c r="D3247">
        <v>2.3315779999999999</v>
      </c>
      <c r="E3247">
        <f>LN(D3247/参数实验室!$E$53)/参数实验室!$E$55</f>
        <v>0.30574625996731125</v>
      </c>
      <c r="F3247">
        <f t="shared" si="448"/>
        <v>0.51013552430000364</v>
      </c>
      <c r="G3247">
        <f>LN(F3247/参数实验室!$E$58)/参数实验室!$E$59</f>
        <v>-0.54379818282561931</v>
      </c>
      <c r="H3247" s="856">
        <f>INDEX(神经网络!$G$10:$BO$70,MATCH(ROUND(G3247*2,1)/2,神经网络!$E$10:$E$70,0),MATCH(ROUND(E3247*2,1)/2,神经网络!$G$8:$BO$8,0))</f>
        <v>-0.47804204532135114</v>
      </c>
      <c r="I3247">
        <f t="shared" si="450"/>
        <v>469041.55754593574</v>
      </c>
      <c r="J3247">
        <f t="shared" si="451"/>
        <v>4548.4748457763017</v>
      </c>
      <c r="K3247">
        <f t="shared" si="452"/>
        <v>103.12062250525275</v>
      </c>
      <c r="L3247" s="4">
        <f>MIN(MAX(L3246*(1+MAX(MIN(((B3247-B3246)/B3246)/($K$7*卓尔金历!$N$40),0),-卓尔金历!$M$43))+MIN(MAX(((B3247-B3246)/B3246)/($K$7*卓尔金历!$N$40),0),卓尔金历!$M$43),0),1)</f>
        <v>1</v>
      </c>
      <c r="M3247" s="4">
        <f>MIN(MAX(M3246*(1+MAX(MIN(((B3247-B3246)/B3246)/($K$7*30),0),-卓尔金历!$M$43))+MIN(MAX(((B3247-B3246)/B3246)/($K$7*7),0),卓尔金历!$M$43),0),1)</f>
        <v>1</v>
      </c>
      <c r="N3247">
        <f t="shared" si="453"/>
        <v>186634.92252597984</v>
      </c>
      <c r="O3247">
        <f t="shared" si="454"/>
        <v>509258.37737827143</v>
      </c>
      <c r="P3247">
        <f t="shared" si="455"/>
        <v>8.9284463511719286E-2</v>
      </c>
      <c r="Q3247">
        <f t="shared" si="456"/>
        <v>5.3749427168298225E-2</v>
      </c>
      <c r="R3247">
        <f t="shared" si="457"/>
        <v>2.5477200069574001E-2</v>
      </c>
      <c r="S3247">
        <f t="shared" si="449"/>
        <v>982.53423582933624</v>
      </c>
      <c r="T3247" s="564">
        <f>IF((I3247-MAX(I$470:I3247))/MAX(I$470:I3247)&gt;T3246,T3246,(I3247-MAX(I$470:I3247))/MAX(I$470:I3247))</f>
        <v>-0.91338805338419748</v>
      </c>
      <c r="U3247" s="564">
        <f>IF((J3247-MAX(J$470:J3247))/MAX(J$470:J3247)&gt;U3246,U3246,(J3247-MAX(J$470:J3247))/MAX(J$470:J3247))</f>
        <v>-0.83569785939843477</v>
      </c>
      <c r="V3247" s="564">
        <f>IF((K3247-MAX(K$470:K3247))/MAX(K$470:K3247)&gt;V3246,V3246,(K3247-MAX(K$470:K3247))/MAX(K$470:K3247))</f>
        <v>-0.84885940676762139</v>
      </c>
      <c r="W3247" s="564">
        <f>IF((N3247-MAX(N$470:N3247))/MAX(N$470:N3247)&gt;W3246,W3246,(N3247-MAX(N$470:N3247))/MAX(N$470:N3247))</f>
        <v>-0.62788758315546067</v>
      </c>
      <c r="X3247" s="564">
        <f>IF((O3247-MAX(O$470:O3247))/MAX(O$470:O3247)&gt;X3246,X3246,(O3247-MAX(O$470:O3247))/MAX(O$470:O3247))</f>
        <v>-0.62788758315546067</v>
      </c>
    </row>
    <row r="3248" spans="1:24">
      <c r="A3248" s="799">
        <v>43650</v>
      </c>
      <c r="B3248">
        <v>11811.794787999999</v>
      </c>
      <c r="C3248">
        <v>5779.2581909999999</v>
      </c>
      <c r="D3248">
        <v>2.1742509999999999</v>
      </c>
      <c r="E3248">
        <f>LN(D3248/参数实验室!$E$53)/参数实验室!$E$55</f>
        <v>0.22332745470926388</v>
      </c>
      <c r="F3248">
        <f t="shared" si="448"/>
        <v>0.48927858083610998</v>
      </c>
      <c r="G3248">
        <f>LN(F3248/参数实验室!$E$58)/参数实验室!$E$59</f>
        <v>-0.56570790105289248</v>
      </c>
      <c r="H3248" s="856">
        <f>INDEX(神经网络!$G$10:$BO$70,MATCH(ROUND(G3248*2,1)/2,神经网络!$E$10:$E$70,0),MATCH(ROUND(E3248*2,1)/2,神经网络!$G$8:$BO$8,0))</f>
        <v>-0.55452970074764008</v>
      </c>
      <c r="I3248">
        <f t="shared" si="450"/>
        <v>460920.39667810535</v>
      </c>
      <c r="J3248">
        <f t="shared" si="451"/>
        <v>4713.2176640995922</v>
      </c>
      <c r="K3248">
        <f t="shared" si="452"/>
        <v>97.793148869172597</v>
      </c>
      <c r="L3248" s="4">
        <f>MIN(MAX(L3247*(1+MAX(MIN(((B3248-B3247)/B3247)/($K$7*卓尔金历!$N$40),0),-卓尔金历!$M$43))+MIN(MAX(((B3248-B3247)/B3247)/($K$7*卓尔金历!$N$40),0),卓尔金历!$M$43),0),1)</f>
        <v>1</v>
      </c>
      <c r="M3248" s="4">
        <f>MIN(MAX(M3247*(1+MAX(MIN(((B3248-B3247)/B3247)/($K$7*30),0),-卓尔金历!$M$43))+MIN(MAX(((B3248-B3247)/B3247)/($K$7*7),0),卓尔金历!$M$43),0),1)</f>
        <v>1</v>
      </c>
      <c r="N3248">
        <f t="shared" si="453"/>
        <v>183403.45570815931</v>
      </c>
      <c r="O3248">
        <f t="shared" si="454"/>
        <v>500440.88745772385</v>
      </c>
      <c r="P3248">
        <f t="shared" si="455"/>
        <v>3.6219353499617593E-2</v>
      </c>
      <c r="Q3248">
        <f t="shared" si="456"/>
        <v>5.3822706781271636E-2</v>
      </c>
      <c r="R3248">
        <f t="shared" si="457"/>
        <v>0.47114150808470656</v>
      </c>
      <c r="S3248">
        <f t="shared" si="449"/>
        <v>982.10081859199863</v>
      </c>
      <c r="T3248" s="564">
        <f>IF((I3248-MAX(I$470:I3248))/MAX(I$470:I3248)&gt;T3247,T3247,(I3248-MAX(I$470:I3248))/MAX(I$470:I3248))</f>
        <v>-0.91338805338419748</v>
      </c>
      <c r="U3248" s="564">
        <f>IF((J3248-MAX(J$470:J3248))/MAX(J$470:J3248)&gt;U3247,U3247,(J3248-MAX(J$470:J3248))/MAX(J$470:J3248))</f>
        <v>-0.83569785939843477</v>
      </c>
      <c r="V3248" s="564">
        <f>IF((K3248-MAX(K$470:K3248))/MAX(K$470:K3248)&gt;V3247,V3247,(K3248-MAX(K$470:K3248))/MAX(K$470:K3248))</f>
        <v>-0.84885940676762139</v>
      </c>
      <c r="W3248" s="564">
        <f>IF((N3248-MAX(N$470:N3248))/MAX(N$470:N3248)&gt;W3247,W3247,(N3248-MAX(N$470:N3248))/MAX(N$470:N3248))</f>
        <v>-0.62788758315546067</v>
      </c>
      <c r="X3248" s="564">
        <f>IF((O3248-MAX(O$470:O3248))/MAX(O$470:O3248)&gt;X3247,X3247,(O3248-MAX(O$470:O3248))/MAX(O$470:O3248))</f>
        <v>-0.62788758315546067</v>
      </c>
    </row>
    <row r="3249" spans="1:24">
      <c r="A3249" s="799">
        <v>43651</v>
      </c>
      <c r="B3249">
        <v>11295.577714999999</v>
      </c>
      <c r="C3249">
        <v>5688.354636</v>
      </c>
      <c r="D3249">
        <v>2.138404</v>
      </c>
      <c r="E3249">
        <f>LN(D3249/参数实验室!$E$53)/参数实验室!$E$55</f>
        <v>0.20371466929881285</v>
      </c>
      <c r="F3249">
        <f t="shared" si="448"/>
        <v>0.50359129736641361</v>
      </c>
      <c r="G3249">
        <f>LN(F3249/参数实验室!$E$58)/参数实验室!$E$59</f>
        <v>-0.55057478497765733</v>
      </c>
      <c r="H3249" s="856">
        <f>INDEX(神经网络!$G$10:$BO$70,MATCH(ROUND(G3249*2,1)/2,神经网络!$E$10:$E$70,0),MATCH(ROUND(E3249*2,1)/2,神经网络!$G$8:$BO$8,0))</f>
        <v>-0.55452970074764008</v>
      </c>
      <c r="I3249">
        <f t="shared" si="450"/>
        <v>472090.75770694681</v>
      </c>
      <c r="J3249">
        <f t="shared" si="451"/>
        <v>4507.2334364151429</v>
      </c>
      <c r="K3249">
        <f t="shared" si="452"/>
        <v>104.74069390167358</v>
      </c>
      <c r="L3249" s="4">
        <f>MIN(MAX(L3248*(1+MAX(MIN(((B3249-B3248)/B3248)/($K$7*卓尔金历!$N$40),0),-卓尔金历!$M$43))+MIN(MAX(((B3249-B3248)/B3248)/($K$7*卓尔金历!$N$40),0),卓尔金历!$M$43),0),1)</f>
        <v>0.33225207171850923</v>
      </c>
      <c r="M3249" s="4">
        <f>MIN(MAX(M3248*(1+MAX(MIN(((B3249-B3248)/B3248)/($K$7*30),0),-卓尔金历!$M$43))+MIN(MAX(((B3249-B3248)/B3248)/($K$7*7),0),卓尔金历!$M$43),0),1)</f>
        <v>0.66612603585925467</v>
      </c>
      <c r="N3249">
        <f t="shared" si="453"/>
        <v>187848.22063711952</v>
      </c>
      <c r="O3249">
        <f t="shared" si="454"/>
        <v>512569.023740659</v>
      </c>
      <c r="P3249">
        <f t="shared" si="455"/>
        <v>-4.3703525354541556E-2</v>
      </c>
      <c r="Q3249">
        <f t="shared" si="456"/>
        <v>5.5391566586199065E-2</v>
      </c>
      <c r="R3249">
        <f t="shared" si="457"/>
        <v>0.30357719597335969</v>
      </c>
      <c r="S3249">
        <f t="shared" si="449"/>
        <v>993.31451318019481</v>
      </c>
      <c r="T3249" s="564">
        <f>IF((I3249-MAX(I$470:I3249))/MAX(I$470:I3249)&gt;T3248,T3248,(I3249-MAX(I$470:I3249))/MAX(I$470:I3249))</f>
        <v>-0.91338805338419748</v>
      </c>
      <c r="U3249" s="564">
        <f>IF((J3249-MAX(J$470:J3249))/MAX(J$470:J3249)&gt;U3248,U3248,(J3249-MAX(J$470:J3249))/MAX(J$470:J3249))</f>
        <v>-0.83569785939843477</v>
      </c>
      <c r="V3249" s="564">
        <f>IF((K3249-MAX(K$470:K3249))/MAX(K$470:K3249)&gt;V3248,V3248,(K3249-MAX(K$470:K3249))/MAX(K$470:K3249))</f>
        <v>-0.84885940676762139</v>
      </c>
      <c r="W3249" s="564">
        <f>IF((N3249-MAX(N$470:N3249))/MAX(N$470:N3249)&gt;W3248,W3248,(N3249-MAX(N$470:N3249))/MAX(N$470:N3249))</f>
        <v>-0.62788758315546067</v>
      </c>
      <c r="X3249" s="564">
        <f>IF((O3249-MAX(O$470:O3249))/MAX(O$470:O3249)&gt;X3248,X3248,(O3249-MAX(O$470:O3249))/MAX(O$470:O3249))</f>
        <v>-0.62788758315546067</v>
      </c>
    </row>
    <row r="3250" spans="1:24">
      <c r="A3250" s="799">
        <v>43652</v>
      </c>
      <c r="B3250">
        <v>11462.344272</v>
      </c>
      <c r="C3250">
        <v>5639.139126</v>
      </c>
      <c r="D3250">
        <v>2.1771259999999999</v>
      </c>
      <c r="E3250">
        <f>LN(D3250/参数实验室!$E$53)/参数实验室!$E$55</f>
        <v>0.22488640539083832</v>
      </c>
      <c r="F3250">
        <f t="shared" si="448"/>
        <v>0.49197083879038456</v>
      </c>
      <c r="G3250">
        <f>LN(F3250/参数实验室!$E$58)/参数实验室!$E$59</f>
        <v>-0.562827805554591</v>
      </c>
      <c r="H3250" s="856">
        <f>INDEX(神经网络!$G$10:$BO$70,MATCH(ROUND(G3250*2,1)/2,神经网络!$E$10:$E$70,0),MATCH(ROUND(E3250*2,1)/2,神经网络!$G$8:$BO$8,0))</f>
        <v>-0.55452970074764008</v>
      </c>
      <c r="I3250">
        <f t="shared" si="450"/>
        <v>468225.74590089085</v>
      </c>
      <c r="J3250">
        <f t="shared" si="451"/>
        <v>4573.7776912333866</v>
      </c>
      <c r="K3250">
        <f t="shared" si="452"/>
        <v>102.37177613558801</v>
      </c>
      <c r="L3250" s="4">
        <f>MIN(MAX(L3249*(1+MAX(MIN(((B3250-B3249)/B3249)/($K$7*卓尔金历!$N$40),0),-卓尔金历!$M$43))+MIN(MAX(((B3250-B3249)/B3249)/($K$7*卓尔金历!$N$40),0),卓尔金历!$M$43),0),1)</f>
        <v>0.55782999445577564</v>
      </c>
      <c r="M3250" s="4">
        <f>MIN(MAX(M3249*(1+MAX(MIN(((B3250-B3249)/B3249)/($K$7*30),0),-卓尔金历!$M$43))+MIN(MAX(((B3250-B3249)/B3249)/($K$7*7),0),卓尔金历!$M$43),0),1)</f>
        <v>1</v>
      </c>
      <c r="N3250">
        <f t="shared" si="453"/>
        <v>187337.24509873003</v>
      </c>
      <c r="O3250">
        <f t="shared" si="454"/>
        <v>509773.68726178614</v>
      </c>
      <c r="P3250">
        <f t="shared" si="455"/>
        <v>1.4763880273121633E-2</v>
      </c>
      <c r="Q3250">
        <f t="shared" si="456"/>
        <v>5.524088786899347E-2</v>
      </c>
      <c r="R3250">
        <f t="shared" si="457"/>
        <v>1</v>
      </c>
      <c r="S3250">
        <f t="shared" si="449"/>
        <v>990.84573964690719</v>
      </c>
      <c r="T3250" s="564">
        <f>IF((I3250-MAX(I$470:I3250))/MAX(I$470:I3250)&gt;T3249,T3249,(I3250-MAX(I$470:I3250))/MAX(I$470:I3250))</f>
        <v>-0.91338805338419748</v>
      </c>
      <c r="U3250" s="564">
        <f>IF((J3250-MAX(J$470:J3250))/MAX(J$470:J3250)&gt;U3249,U3249,(J3250-MAX(J$470:J3250))/MAX(J$470:J3250))</f>
        <v>-0.83569785939843477</v>
      </c>
      <c r="V3250" s="564">
        <f>IF((K3250-MAX(K$470:K3250))/MAX(K$470:K3250)&gt;V3249,V3249,(K3250-MAX(K$470:K3250))/MAX(K$470:K3250))</f>
        <v>-0.84885940676762139</v>
      </c>
      <c r="W3250" s="564">
        <f>IF((N3250-MAX(N$470:N3250))/MAX(N$470:N3250)&gt;W3249,W3249,(N3250-MAX(N$470:N3250))/MAX(N$470:N3250))</f>
        <v>-0.62788758315546067</v>
      </c>
      <c r="X3250" s="564">
        <f>IF((O3250-MAX(O$470:O3250))/MAX(O$470:O3250)&gt;X3249,X3249,(O3250-MAX(O$470:O3250))/MAX(O$470:O3250))</f>
        <v>-0.62788758315546067</v>
      </c>
    </row>
    <row r="3251" spans="1:24">
      <c r="A3251" s="799">
        <v>43653</v>
      </c>
      <c r="B3251">
        <v>11333.67374</v>
      </c>
      <c r="C3251">
        <v>5666.6641360000003</v>
      </c>
      <c r="D3251">
        <v>2.2225609999999998</v>
      </c>
      <c r="E3251">
        <f>LN(D3251/参数实验室!$E$53)/参数实验室!$E$55</f>
        <v>0.24925359069905617</v>
      </c>
      <c r="F3251">
        <f t="shared" si="448"/>
        <v>0.49998475922247609</v>
      </c>
      <c r="G3251">
        <f>LN(F3251/参数实验室!$E$58)/参数实验室!$E$59</f>
        <v>-0.5543471234321441</v>
      </c>
      <c r="H3251" s="856">
        <f>INDEX(神经网络!$G$10:$BO$70,MATCH(ROUND(G3251*2,1)/2,神经网络!$E$10:$E$70,0),MATCH(ROUND(E3251*2,1)/2,神经网络!$G$8:$BO$8,0))</f>
        <v>-0.51515281392710921</v>
      </c>
      <c r="I3251">
        <f t="shared" si="450"/>
        <v>471140.39146873576</v>
      </c>
      <c r="J3251">
        <f t="shared" si="451"/>
        <v>4522.4347551973142</v>
      </c>
      <c r="K3251">
        <f t="shared" si="452"/>
        <v>104.17848282438734</v>
      </c>
      <c r="L3251" s="4">
        <f>MIN(MAX(L3250*(1+MAX(MIN(((B3251-B3250)/B3250)/($K$7*卓尔金历!$N$40),0),-卓尔金历!$M$43))+MIN(MAX(((B3251-B3250)/B3250)/($K$7*卓尔金历!$N$40),0),卓尔金历!$M$43),0),1)</f>
        <v>0.4621538668926779</v>
      </c>
      <c r="M3251" s="4">
        <f>MIN(MAX(M3250*(1+MAX(MIN(((B3251-B3250)/B3250)/($K$7*30),0),-卓尔金历!$M$43))+MIN(MAX(((B3251-B3250)/B3250)/($K$7*7),0),卓尔金历!$M$43),0),1)</f>
        <v>0.91424257523437735</v>
      </c>
      <c r="N3251">
        <f t="shared" si="453"/>
        <v>187987.75880593157</v>
      </c>
      <c r="O3251">
        <f t="shared" si="454"/>
        <v>512946.96346709761</v>
      </c>
      <c r="P3251">
        <f t="shared" si="455"/>
        <v>-1.1225498811295876E-2</v>
      </c>
      <c r="Q3251">
        <f t="shared" si="456"/>
        <v>5.4811181571691063E-2</v>
      </c>
      <c r="R3251">
        <f t="shared" si="457"/>
        <v>1</v>
      </c>
      <c r="S3251">
        <f t="shared" si="449"/>
        <v>997.01362803997972</v>
      </c>
      <c r="T3251" s="564">
        <f>IF((I3251-MAX(I$470:I3251))/MAX(I$470:I3251)&gt;T3250,T3250,(I3251-MAX(I$470:I3251))/MAX(I$470:I3251))</f>
        <v>-0.91338805338419748</v>
      </c>
      <c r="U3251" s="564">
        <f>IF((J3251-MAX(J$470:J3251))/MAX(J$470:J3251)&gt;U3250,U3250,(J3251-MAX(J$470:J3251))/MAX(J$470:J3251))</f>
        <v>-0.83569785939843477</v>
      </c>
      <c r="V3251" s="564">
        <f>IF((K3251-MAX(K$470:K3251))/MAX(K$470:K3251)&gt;V3250,V3250,(K3251-MAX(K$470:K3251))/MAX(K$470:K3251))</f>
        <v>-0.84885940676762139</v>
      </c>
      <c r="W3251" s="564">
        <f>IF((N3251-MAX(N$470:N3251))/MAX(N$470:N3251)&gt;W3250,W3250,(N3251-MAX(N$470:N3251))/MAX(N$470:N3251))</f>
        <v>-0.62788758315546067</v>
      </c>
      <c r="X3251" s="564">
        <f>IF((O3251-MAX(O$470:O3251))/MAX(O$470:O3251)&gt;X3250,X3250,(O3251-MAX(O$470:O3251))/MAX(O$470:O3251))</f>
        <v>-0.62788758315546067</v>
      </c>
    </row>
    <row r="3252" spans="1:24">
      <c r="A3252" s="799">
        <v>43654</v>
      </c>
      <c r="B3252">
        <v>11841.810390000001</v>
      </c>
      <c r="C3252">
        <v>5499.6373000000003</v>
      </c>
      <c r="D3252">
        <v>2.3790550000000001</v>
      </c>
      <c r="E3252">
        <f>LN(D3252/参数实验室!$E$53)/参数实验室!$E$55</f>
        <v>0.32952779481246119</v>
      </c>
      <c r="F3252">
        <f t="shared" si="448"/>
        <v>0.46442538082219709</v>
      </c>
      <c r="G3252">
        <f>LN(F3252/参数实验室!$E$58)/参数实验室!$E$59</f>
        <v>-0.5930691306581346</v>
      </c>
      <c r="H3252" s="856">
        <f>INDEX(神经网络!$G$10:$BO$70,MATCH(ROUND(G3252*2,1)/2,神经网络!$E$10:$E$70,0),MATCH(ROUND(E3252*2,1)/2,神经网络!$G$8:$BO$8,0))</f>
        <v>-0.51370981073688593</v>
      </c>
      <c r="I3252">
        <f t="shared" si="450"/>
        <v>460258.7045019017</v>
      </c>
      <c r="J3252">
        <f t="shared" si="451"/>
        <v>4725.1946809784085</v>
      </c>
      <c r="K3252">
        <f t="shared" si="452"/>
        <v>97.405236307977802</v>
      </c>
      <c r="L3252" s="4">
        <f>MIN(MAX(L3251*(1+MAX(MIN(((B3252-B3251)/B3251)/($K$7*卓尔金历!$N$40),0),-卓尔金历!$M$43))+MIN(MAX(((B3252-B3251)/B3251)/($K$7*卓尔金历!$N$40),0),卓尔金历!$M$43),0),1)</f>
        <v>1</v>
      </c>
      <c r="M3252" s="4">
        <f>MIN(MAX(M3251*(1+MAX(MIN(((B3252-B3251)/B3251)/($K$7*30),0),-卓尔金历!$M$43))+MIN(MAX(((B3252-B3251)/B3251)/($K$7*7),0),卓尔金历!$M$43),0),1)</f>
        <v>1</v>
      </c>
      <c r="N3252">
        <f t="shared" si="453"/>
        <v>185981.15306065217</v>
      </c>
      <c r="O3252">
        <f t="shared" si="454"/>
        <v>502115.68316126132</v>
      </c>
      <c r="P3252">
        <f t="shared" si="455"/>
        <v>4.4834240128744027E-2</v>
      </c>
      <c r="Q3252">
        <f t="shared" si="456"/>
        <v>5.52606924990467E-2</v>
      </c>
      <c r="R3252">
        <f t="shared" si="457"/>
        <v>0.27536135088295777</v>
      </c>
      <c r="S3252">
        <f t="shared" si="449"/>
        <v>973.98611777244093</v>
      </c>
      <c r="T3252" s="564">
        <f>IF((I3252-MAX(I$470:I3252))/MAX(I$470:I3252)&gt;T3251,T3251,(I3252-MAX(I$470:I3252))/MAX(I$470:I3252))</f>
        <v>-0.91338805338419748</v>
      </c>
      <c r="U3252" s="564">
        <f>IF((J3252-MAX(J$470:J3252))/MAX(J$470:J3252)&gt;U3251,U3251,(J3252-MAX(J$470:J3252))/MAX(J$470:J3252))</f>
        <v>-0.83569785939843477</v>
      </c>
      <c r="V3252" s="564">
        <f>IF((K3252-MAX(K$470:K3252))/MAX(K$470:K3252)&gt;V3251,V3251,(K3252-MAX(K$470:K3252))/MAX(K$470:K3252))</f>
        <v>-0.84885940676762139</v>
      </c>
      <c r="W3252" s="564">
        <f>IF((N3252-MAX(N$470:N3252))/MAX(N$470:N3252)&gt;W3251,W3251,(N3252-MAX(N$470:N3252))/MAX(N$470:N3252))</f>
        <v>-0.62788758315546067</v>
      </c>
      <c r="X3252" s="564">
        <f>IF((O3252-MAX(O$470:O3252))/MAX(O$470:O3252)&gt;X3251,X3251,(O3252-MAX(O$470:O3252))/MAX(O$470:O3252))</f>
        <v>-0.62788758315546067</v>
      </c>
    </row>
    <row r="3253" spans="1:24">
      <c r="A3253" s="799">
        <v>43655</v>
      </c>
      <c r="B3253">
        <v>12325.649217</v>
      </c>
      <c r="C3253">
        <v>5497.9262900000003</v>
      </c>
      <c r="D3253">
        <v>2.4191780000000001</v>
      </c>
      <c r="E3253">
        <f>LN(D3253/参数实验室!$E$53)/参数实验室!$E$55</f>
        <v>0.34925853433199822</v>
      </c>
      <c r="F3253">
        <f t="shared" si="448"/>
        <v>0.44605571627148477</v>
      </c>
      <c r="G3253">
        <f>LN(F3253/参数实验室!$E$58)/参数实验室!$E$59</f>
        <v>-0.61425068242195469</v>
      </c>
      <c r="H3253" s="856">
        <f>INDEX(神经网络!$G$10:$BO$70,MATCH(ROUND(G3253*2,1)/2,神经网络!$E$10:$E$70,0),MATCH(ROUND(E3253*2,1)/2,神经网络!$G$8:$BO$8,0))</f>
        <v>-0.51370981073688593</v>
      </c>
      <c r="I3253">
        <f t="shared" si="450"/>
        <v>450598.14045120368</v>
      </c>
      <c r="J3253">
        <f t="shared" si="451"/>
        <v>4918.2591345117871</v>
      </c>
      <c r="K3253">
        <f t="shared" si="452"/>
        <v>91.617405290689803</v>
      </c>
      <c r="L3253" s="4">
        <f>MIN(MAX(L3252*(1+MAX(MIN(((B3253-B3252)/B3252)/($K$7*卓尔金历!$N$40),0),-卓尔金历!$M$43))+MIN(MAX(((B3253-B3252)/B3252)/($K$7*卓尔金历!$N$40),0),卓尔金历!$M$43),0),1)</f>
        <v>1</v>
      </c>
      <c r="M3253" s="4">
        <f>MIN(MAX(M3252*(1+MAX(MIN(((B3253-B3252)/B3252)/($K$7*30),0),-卓尔金历!$M$43))+MIN(MAX(((B3253-B3252)/B3252)/($K$7*7),0),卓尔金历!$M$43),0),1)</f>
        <v>1</v>
      </c>
      <c r="N3253">
        <f t="shared" si="453"/>
        <v>182077.51620644101</v>
      </c>
      <c r="O3253">
        <f t="shared" si="454"/>
        <v>491576.56533341086</v>
      </c>
      <c r="P3253">
        <f t="shared" si="455"/>
        <v>4.0858518340116709E-2</v>
      </c>
      <c r="Q3253">
        <f t="shared" si="456"/>
        <v>5.4859921024749625E-2</v>
      </c>
      <c r="R3253">
        <f t="shared" si="457"/>
        <v>0.36621195377705373</v>
      </c>
      <c r="S3253">
        <f t="shared" si="449"/>
        <v>968.35679405070005</v>
      </c>
      <c r="T3253" s="564">
        <f>IF((I3253-MAX(I$470:I3253))/MAX(I$470:I3253)&gt;T3252,T3252,(I3253-MAX(I$470:I3253))/MAX(I$470:I3253))</f>
        <v>-0.91338805338419748</v>
      </c>
      <c r="U3253" s="564">
        <f>IF((J3253-MAX(J$470:J3253))/MAX(J$470:J3253)&gt;U3252,U3252,(J3253-MAX(J$470:J3253))/MAX(J$470:J3253))</f>
        <v>-0.83569785939843477</v>
      </c>
      <c r="V3253" s="564">
        <f>IF((K3253-MAX(K$470:K3253))/MAX(K$470:K3253)&gt;V3252,V3252,(K3253-MAX(K$470:K3253))/MAX(K$470:K3253))</f>
        <v>-0.84885940676762139</v>
      </c>
      <c r="W3253" s="564">
        <f>IF((N3253-MAX(N$470:N3253))/MAX(N$470:N3253)&gt;W3252,W3252,(N3253-MAX(N$470:N3253))/MAX(N$470:N3253))</f>
        <v>-0.62788758315546067</v>
      </c>
      <c r="X3253" s="564">
        <f>IF((O3253-MAX(O$470:O3253))/MAX(O$470:O3253)&gt;X3252,X3252,(O3253-MAX(O$470:O3253))/MAX(O$470:O3253))</f>
        <v>-0.62788758315546067</v>
      </c>
    </row>
    <row r="3254" spans="1:24">
      <c r="A3254" s="799">
        <v>43656</v>
      </c>
      <c r="B3254">
        <v>12344.728234</v>
      </c>
      <c r="C3254">
        <v>5603.0557250000002</v>
      </c>
      <c r="D3254">
        <v>2.3132869999999999</v>
      </c>
      <c r="E3254">
        <f>LN(D3254/参数实验室!$E$53)/参数实验室!$E$55</f>
        <v>0.29645471839272003</v>
      </c>
      <c r="F3254">
        <f t="shared" si="448"/>
        <v>0.45388246859643261</v>
      </c>
      <c r="G3254">
        <f>LN(F3254/参数实验室!$E$58)/参数实验室!$E$59</f>
        <v>-0.60512115275786627</v>
      </c>
      <c r="H3254" s="856">
        <f>INDEX(神经网络!$G$10:$BO$70,MATCH(ROUND(G3254*2,1)/2,神经网络!$E$10:$E$70,0),MATCH(ROUND(E3254*2,1)/2,神经网络!$G$8:$BO$8,0))</f>
        <v>-0.55344013881159115</v>
      </c>
      <c r="I3254">
        <f t="shared" si="450"/>
        <v>450239.83497462847</v>
      </c>
      <c r="J3254">
        <f t="shared" si="451"/>
        <v>4925.8721655161371</v>
      </c>
      <c r="K3254">
        <f t="shared" si="452"/>
        <v>91.403069313604888</v>
      </c>
      <c r="L3254" s="4">
        <f>MIN(MAX(L3253*(1+MAX(MIN(((B3254-B3253)/B3253)/($K$7*卓尔金历!$N$40),0),-卓尔金历!$M$43))+MIN(MAX(((B3254-B3253)/B3253)/($K$7*卓尔金历!$N$40),0),卓尔金历!$M$43),0),1)</f>
        <v>1</v>
      </c>
      <c r="M3254" s="4">
        <f>MIN(MAX(M3253*(1+MAX(MIN(((B3254-B3253)/B3253)/($K$7*30),0),-卓尔金历!$M$43))+MIN(MAX(((B3254-B3253)/B3253)/($K$7*7),0),卓尔金历!$M$43),0),1)</f>
        <v>1</v>
      </c>
      <c r="N3254">
        <f t="shared" si="453"/>
        <v>181932.73227290623</v>
      </c>
      <c r="O3254">
        <f t="shared" si="454"/>
        <v>491185.67473777139</v>
      </c>
      <c r="P3254">
        <f t="shared" si="455"/>
        <v>1.5479117297679966E-3</v>
      </c>
      <c r="Q3254">
        <f t="shared" si="456"/>
        <v>5.4898186776021429E-2</v>
      </c>
      <c r="R3254">
        <f t="shared" si="457"/>
        <v>1</v>
      </c>
      <c r="S3254">
        <f t="shared" si="449"/>
        <v>968.07480517799661</v>
      </c>
      <c r="T3254" s="564">
        <f>IF((I3254-MAX(I$470:I3254))/MAX(I$470:I3254)&gt;T3253,T3253,(I3254-MAX(I$470:I3254))/MAX(I$470:I3254))</f>
        <v>-0.91338805338419748</v>
      </c>
      <c r="U3254" s="564">
        <f>IF((J3254-MAX(J$470:J3254))/MAX(J$470:J3254)&gt;U3253,U3253,(J3254-MAX(J$470:J3254))/MAX(J$470:J3254))</f>
        <v>-0.83569785939843477</v>
      </c>
      <c r="V3254" s="564">
        <f>IF((K3254-MAX(K$470:K3254))/MAX(K$470:K3254)&gt;V3253,V3253,(K3254-MAX(K$470:K3254))/MAX(K$470:K3254))</f>
        <v>-0.84885940676762139</v>
      </c>
      <c r="W3254" s="564">
        <f>IF((N3254-MAX(N$470:N3254))/MAX(N$470:N3254)&gt;W3253,W3253,(N3254-MAX(N$470:N3254))/MAX(N$470:N3254))</f>
        <v>-0.62788758315546067</v>
      </c>
      <c r="X3254" s="564">
        <f>IF((O3254-MAX(O$470:O3254))/MAX(O$470:O3254)&gt;X3253,X3253,(O3254-MAX(O$470:O3254))/MAX(O$470:O3254))</f>
        <v>-0.62788758315546067</v>
      </c>
    </row>
    <row r="3255" spans="1:24">
      <c r="A3255" s="799">
        <v>43657</v>
      </c>
      <c r="B3255">
        <v>11689.040326</v>
      </c>
      <c r="C3255">
        <v>5536.9165439999997</v>
      </c>
      <c r="D3255">
        <v>2.1570399999999998</v>
      </c>
      <c r="E3255">
        <f>LN(D3255/参数实验室!$E$53)/参数实验室!$E$55</f>
        <v>0.21395157118979874</v>
      </c>
      <c r="F3255">
        <f t="shared" si="448"/>
        <v>0.47368444197118598</v>
      </c>
      <c r="G3255">
        <f>LN(F3255/参数实验室!$E$58)/参数实验室!$E$59</f>
        <v>-0.5827082680561112</v>
      </c>
      <c r="H3255" s="856">
        <f>INDEX(神经网络!$G$10:$BO$70,MATCH(ROUND(G3255*2,1)/2,神经网络!$E$10:$E$70,0),MATCH(ROUND(E3255*2,1)/2,神经网络!$G$8:$BO$8,0))</f>
        <v>-0.62333235540231335</v>
      </c>
      <c r="I3255">
        <f t="shared" si="450"/>
        <v>463475.02592001058</v>
      </c>
      <c r="J3255">
        <f t="shared" si="451"/>
        <v>4664.2353960336741</v>
      </c>
      <c r="K3255">
        <f t="shared" si="452"/>
        <v>99.367846295694221</v>
      </c>
      <c r="L3255" s="4">
        <f>MIN(MAX(L3254*(1+MAX(MIN(((B3255-B3254)/B3254)/($K$7*卓尔金历!$N$40),0),-卓尔金历!$M$43))+MIN(MAX(((B3255-B3254)/B3254)/($K$7*卓尔金历!$N$40),0),卓尔金历!$M$43),0),1)</f>
        <v>0.18845665714757598</v>
      </c>
      <c r="M3255" s="4">
        <f>MIN(MAX(M3254*(1+MAX(MIN(((B3255-B3254)/B3254)/($K$7*30),0),-卓尔金历!$M$43))+MIN(MAX(((B3255-B3254)/B3254)/($K$7*7),0),卓尔金历!$M$43),0),1)</f>
        <v>0.59422832857378793</v>
      </c>
      <c r="N3255">
        <f t="shared" si="453"/>
        <v>187280.80293169786</v>
      </c>
      <c r="O3255">
        <f t="shared" si="454"/>
        <v>505624.50420108868</v>
      </c>
      <c r="P3255">
        <f t="shared" si="455"/>
        <v>-5.3114811081389081E-2</v>
      </c>
      <c r="Q3255">
        <f t="shared" si="456"/>
        <v>5.6750126414382047E-2</v>
      </c>
      <c r="R3255">
        <f t="shared" si="457"/>
        <v>0.12473462667095002</v>
      </c>
      <c r="S3255">
        <f t="shared" si="449"/>
        <v>996.53220476963077</v>
      </c>
      <c r="T3255" s="564">
        <f>IF((I3255-MAX(I$470:I3255))/MAX(I$470:I3255)&gt;T3254,T3254,(I3255-MAX(I$470:I3255))/MAX(I$470:I3255))</f>
        <v>-0.91338805338419748</v>
      </c>
      <c r="U3255" s="564">
        <f>IF((J3255-MAX(J$470:J3255))/MAX(J$470:J3255)&gt;U3254,U3254,(J3255-MAX(J$470:J3255))/MAX(J$470:J3255))</f>
        <v>-0.83569785939843477</v>
      </c>
      <c r="V3255" s="564">
        <f>IF((K3255-MAX(K$470:K3255))/MAX(K$470:K3255)&gt;V3254,V3254,(K3255-MAX(K$470:K3255))/MAX(K$470:K3255))</f>
        <v>-0.84885940676762139</v>
      </c>
      <c r="W3255" s="564">
        <f>IF((N3255-MAX(N$470:N3255))/MAX(N$470:N3255)&gt;W3254,W3254,(N3255-MAX(N$470:N3255))/MAX(N$470:N3255))</f>
        <v>-0.62788758315546067</v>
      </c>
      <c r="X3255" s="564">
        <f>IF((O3255-MAX(O$470:O3255))/MAX(O$470:O3255)&gt;X3254,X3254,(O3255-MAX(O$470:O3255))/MAX(O$470:O3255))</f>
        <v>-0.62788758315546067</v>
      </c>
    </row>
    <row r="3256" spans="1:24">
      <c r="A3256" s="799">
        <v>43658</v>
      </c>
      <c r="B3256">
        <v>11478.326512</v>
      </c>
      <c r="C3256">
        <v>5423.1126260000001</v>
      </c>
      <c r="D3256">
        <v>2.2485780000000002</v>
      </c>
      <c r="E3256">
        <f>LN(D3256/参数实验室!$E$53)/参数实验室!$E$55</f>
        <v>0.26298341953116322</v>
      </c>
      <c r="F3256">
        <f t="shared" si="448"/>
        <v>0.47246544348868408</v>
      </c>
      <c r="G3256">
        <f>LN(F3256/参数实验室!$E$58)/参数实验室!$E$59</f>
        <v>-0.58406068937093025</v>
      </c>
      <c r="H3256" s="856">
        <f>INDEX(神经网络!$G$10:$BO$70,MATCH(ROUND(G3256*2,1)/2,神经网络!$E$10:$E$70,0),MATCH(ROUND(E3256*2,1)/2,神经网络!$G$8:$BO$8,0))</f>
        <v>-0.587388640492574</v>
      </c>
      <c r="I3256">
        <f t="shared" si="450"/>
        <v>468682.89621129062</v>
      </c>
      <c r="J3256">
        <f t="shared" si="451"/>
        <v>4580.1550265352498</v>
      </c>
      <c r="K3256">
        <f t="shared" si="452"/>
        <v>102.32904639602017</v>
      </c>
      <c r="L3256" s="4">
        <f>MIN(MAX(L3255*(1+MAX(MIN(((B3256-B3255)/B3255)/($K$7*卓尔金历!$N$40),0),-卓尔金历!$M$43))+MIN(MAX(((B3256-B3255)/B3255)/($K$7*卓尔金历!$N$40),0),卓尔金历!$M$43),0),1)</f>
        <v>0.13655016108482276</v>
      </c>
      <c r="M3256" s="4">
        <f>MIN(MAX(M3255*(1+MAX(MIN(((B3256-B3255)/B3255)/($K$7*30),0),-卓尔金历!$M$43))+MIN(MAX(((B3256-B3255)/B3255)/($K$7*7),0),卓尔金历!$M$43),0),1)</f>
        <v>0.51239436509289504</v>
      </c>
      <c r="N3256">
        <f t="shared" si="453"/>
        <v>187677.39001710375</v>
      </c>
      <c r="O3256">
        <f t="shared" si="454"/>
        <v>509000.6040830636</v>
      </c>
      <c r="P3256">
        <f t="shared" si="455"/>
        <v>-1.8026613658891112E-2</v>
      </c>
      <c r="Q3256">
        <f t="shared" si="456"/>
        <v>5.6377877509375625E-2</v>
      </c>
      <c r="R3256">
        <f t="shared" si="457"/>
        <v>1</v>
      </c>
      <c r="S3256">
        <f t="shared" si="449"/>
        <v>997.92893390163874</v>
      </c>
      <c r="T3256" s="564">
        <f>IF((I3256-MAX(I$470:I3256))/MAX(I$470:I3256)&gt;T3255,T3255,(I3256-MAX(I$470:I3256))/MAX(I$470:I3256))</f>
        <v>-0.91338805338419748</v>
      </c>
      <c r="U3256" s="564">
        <f>IF((J3256-MAX(J$470:J3256))/MAX(J$470:J3256)&gt;U3255,U3255,(J3256-MAX(J$470:J3256))/MAX(J$470:J3256))</f>
        <v>-0.83569785939843477</v>
      </c>
      <c r="V3256" s="564">
        <f>IF((K3256-MAX(K$470:K3256))/MAX(K$470:K3256)&gt;V3255,V3255,(K3256-MAX(K$470:K3256))/MAX(K$470:K3256))</f>
        <v>-0.84885940676762139</v>
      </c>
      <c r="W3256" s="564">
        <f>IF((N3256-MAX(N$470:N3256))/MAX(N$470:N3256)&gt;W3255,W3255,(N3256-MAX(N$470:N3256))/MAX(N$470:N3256))</f>
        <v>-0.62788758315546067</v>
      </c>
      <c r="X3256" s="564">
        <f>IF((O3256-MAX(O$470:O3256))/MAX(O$470:O3256)&gt;X3255,X3255,(O3256-MAX(O$470:O3256))/MAX(O$470:O3256))</f>
        <v>-0.62788758315546067</v>
      </c>
    </row>
    <row r="3257" spans="1:24">
      <c r="A3257" s="799">
        <v>43659</v>
      </c>
      <c r="B3257">
        <v>11405.047585</v>
      </c>
      <c r="C3257">
        <v>5459.5851259999999</v>
      </c>
      <c r="D3257">
        <v>2.158909</v>
      </c>
      <c r="E3257">
        <f>LN(D3257/参数实验室!$E$53)/参数实验室!$E$55</f>
        <v>0.21497334366709858</v>
      </c>
      <c r="F3257">
        <f t="shared" si="448"/>
        <v>0.47869902210495685</v>
      </c>
      <c r="G3257">
        <f>LN(F3257/参数实验室!$E$58)/参数实验室!$E$59</f>
        <v>-0.57718119397484402</v>
      </c>
      <c r="H3257" s="856">
        <f>INDEX(神经网络!$G$10:$BO$70,MATCH(ROUND(G3257*2,1)/2,神经网络!$E$10:$E$70,0),MATCH(ROUND(E3257*2,1)/2,神经网络!$G$8:$BO$8,0))</f>
        <v>-0.62333235540231335</v>
      </c>
      <c r="I3257">
        <f t="shared" si="450"/>
        <v>470440.43603900645</v>
      </c>
      <c r="J3257">
        <f t="shared" si="451"/>
        <v>4550.9148018834003</v>
      </c>
      <c r="K3257">
        <f t="shared" si="452"/>
        <v>103.37271878706986</v>
      </c>
      <c r="L3257" s="4">
        <f>MIN(MAX(L3256*(1+MAX(MIN(((B3257-B3256)/B3256)/($K$7*卓尔金历!$N$40),0),-卓尔金历!$M$43))+MIN(MAX(((B3257-B3256)/B3256)/($K$7*卓尔金历!$N$40),0),卓尔金历!$M$43),0),1)</f>
        <v>0.12323063348202126</v>
      </c>
      <c r="M3257" s="4">
        <f>MIN(MAX(M3256*(1+MAX(MIN(((B3257-B3256)/B3256)/($K$7*30),0),-卓尔金历!$M$43))+MIN(MAX(((B3257-B3256)/B3256)/($K$7*7),0),卓尔金历!$M$43),0),1)</f>
        <v>0.48740409472208501</v>
      </c>
      <c r="N3257">
        <f t="shared" si="453"/>
        <v>187773.49153391976</v>
      </c>
      <c r="O3257">
        <f t="shared" si="454"/>
        <v>509978.62628384336</v>
      </c>
      <c r="P3257">
        <f t="shared" si="455"/>
        <v>-6.3841124334100482E-3</v>
      </c>
      <c r="Q3257">
        <f t="shared" si="456"/>
        <v>5.2592217737751343E-2</v>
      </c>
      <c r="R3257">
        <f t="shared" si="457"/>
        <v>1</v>
      </c>
      <c r="S3257">
        <f t="shared" si="449"/>
        <v>1001.6711226197256</v>
      </c>
      <c r="T3257" s="564">
        <f>IF((I3257-MAX(I$470:I3257))/MAX(I$470:I3257)&gt;T3256,T3256,(I3257-MAX(I$470:I3257))/MAX(I$470:I3257))</f>
        <v>-0.91338805338419748</v>
      </c>
      <c r="U3257" s="564">
        <f>IF((J3257-MAX(J$470:J3257))/MAX(J$470:J3257)&gt;U3256,U3256,(J3257-MAX(J$470:J3257))/MAX(J$470:J3257))</f>
        <v>-0.83569785939843477</v>
      </c>
      <c r="V3257" s="564">
        <f>IF((K3257-MAX(K$470:K3257))/MAX(K$470:K3257)&gt;V3256,V3256,(K3257-MAX(K$470:K3257))/MAX(K$470:K3257))</f>
        <v>-0.84885940676762139</v>
      </c>
      <c r="W3257" s="564">
        <f>IF((N3257-MAX(N$470:N3257))/MAX(N$470:N3257)&gt;W3256,W3256,(N3257-MAX(N$470:N3257))/MAX(N$470:N3257))</f>
        <v>-0.62788758315546067</v>
      </c>
      <c r="X3257" s="564">
        <f>IF((O3257-MAX(O$470:O3257))/MAX(O$470:O3257)&gt;X3256,X3256,(O3257-MAX(O$470:O3257))/MAX(O$470:O3257))</f>
        <v>-0.62788758315546067</v>
      </c>
    </row>
    <row r="3258" spans="1:24">
      <c r="A3258" s="799">
        <v>43660</v>
      </c>
      <c r="B3258">
        <v>10600.704164999999</v>
      </c>
      <c r="C3258">
        <v>5546.0395289999997</v>
      </c>
      <c r="D3258">
        <v>1.9587589999999999</v>
      </c>
      <c r="E3258">
        <f>LN(D3258/参数实验室!$E$53)/参数实验室!$E$55</f>
        <v>0.10019291840108217</v>
      </c>
      <c r="F3258">
        <f t="shared" si="448"/>
        <v>0.52317652135894688</v>
      </c>
      <c r="G3258">
        <f>LN(F3258/参数实验室!$E$58)/参数实验室!$E$59</f>
        <v>-0.5305495547907918</v>
      </c>
      <c r="H3258" s="856">
        <f>INDEX(神经网络!$G$10:$BO$70,MATCH(ROUND(G3258*2,1)/2,神经网络!$E$10:$E$70,0),MATCH(ROUND(E3258*2,1)/2,神经网络!$G$8:$BO$8,0))</f>
        <v>-0.62387933845584365</v>
      </c>
      <c r="I3258">
        <f t="shared" si="450"/>
        <v>491121.30229732214</v>
      </c>
      <c r="J3258">
        <f t="shared" si="451"/>
        <v>4229.9605622281588</v>
      </c>
      <c r="K3258">
        <f t="shared" si="452"/>
        <v>116.10540927564129</v>
      </c>
      <c r="L3258" s="4">
        <f>MIN(MAX(L3257*(1+MAX(MIN(((B3258-B3257)/B3257)/($K$7*卓尔金历!$N$40),0),-卓尔金历!$M$43))+MIN(MAX(((B3258-B3257)/B3257)/($K$7*卓尔金历!$N$40),0),卓尔金历!$M$43),0),1)</f>
        <v>0</v>
      </c>
      <c r="M3258" s="4">
        <f>MIN(MAX(M3257*(1+MAX(MIN(((B3258-B3257)/B3257)/($K$7*30),0),-卓尔金历!$M$43))+MIN(MAX(((B3258-B3257)/B3257)/($K$7*7),0),卓尔金历!$M$43),0),1)</f>
        <v>0.22480110394448552</v>
      </c>
      <c r="N3258">
        <f t="shared" si="453"/>
        <v>188790.71658055237</v>
      </c>
      <c r="O3258">
        <f t="shared" si="454"/>
        <v>520905.73415502853</v>
      </c>
      <c r="P3258">
        <f t="shared" si="455"/>
        <v>-7.0525213858632141E-2</v>
      </c>
      <c r="Q3258">
        <f t="shared" si="456"/>
        <v>5.4927985990922544E-2</v>
      </c>
      <c r="R3258">
        <f t="shared" si="457"/>
        <v>3.9446934513855739E-2</v>
      </c>
      <c r="S3258">
        <f t="shared" si="449"/>
        <v>1045.7052339221773</v>
      </c>
      <c r="T3258" s="564">
        <f>IF((I3258-MAX(I$470:I3258))/MAX(I$470:I3258)&gt;T3257,T3257,(I3258-MAX(I$470:I3258))/MAX(I$470:I3258))</f>
        <v>-0.91338805338419748</v>
      </c>
      <c r="U3258" s="564">
        <f>IF((J3258-MAX(J$470:J3258))/MAX(J$470:J3258)&gt;U3257,U3257,(J3258-MAX(J$470:J3258))/MAX(J$470:J3258))</f>
        <v>-0.83569785939843477</v>
      </c>
      <c r="V3258" s="564">
        <f>IF((K3258-MAX(K$470:K3258))/MAX(K$470:K3258)&gt;V3257,V3257,(K3258-MAX(K$470:K3258))/MAX(K$470:K3258))</f>
        <v>-0.84885940676762139</v>
      </c>
      <c r="W3258" s="564">
        <f>IF((N3258-MAX(N$470:N3258))/MAX(N$470:N3258)&gt;W3257,W3257,(N3258-MAX(N$470:N3258))/MAX(N$470:N3258))</f>
        <v>-0.62788758315546067</v>
      </c>
      <c r="X3258" s="564">
        <f>IF((O3258-MAX(O$470:O3258))/MAX(O$470:O3258)&gt;X3257,X3257,(O3258-MAX(O$470:O3258))/MAX(O$470:O3258))</f>
        <v>-0.62788758315546067</v>
      </c>
    </row>
    <row r="3259" spans="1:24">
      <c r="A3259" s="799">
        <v>43661</v>
      </c>
      <c r="B3259">
        <v>10511.656727</v>
      </c>
      <c r="C3259">
        <v>5547.8452230000003</v>
      </c>
      <c r="D3259">
        <v>2.078373</v>
      </c>
      <c r="E3259">
        <f>LN(D3259/参数实验室!$E$53)/参数实验室!$E$55</f>
        <v>0.1701219267573354</v>
      </c>
      <c r="F3259">
        <f t="shared" si="448"/>
        <v>0.52778028878644145</v>
      </c>
      <c r="G3259">
        <f>LN(F3259/参数实验室!$E$58)/参数实验室!$E$59</f>
        <v>-0.52595122804654404</v>
      </c>
      <c r="H3259" s="856">
        <f>INDEX(神经网络!$G$10:$BO$70,MATCH(ROUND(G3259*2,1)/2,神经网络!$E$10:$E$70,0),MATCH(ROUND(E3259*2,1)/2,神经网络!$G$8:$BO$8,0))</f>
        <v>-0.58817789686013844</v>
      </c>
      <c r="I3259">
        <f t="shared" si="450"/>
        <v>493695.10995688761</v>
      </c>
      <c r="J3259">
        <f t="shared" si="451"/>
        <v>4194.4282857826856</v>
      </c>
      <c r="K3259">
        <f t="shared" si="452"/>
        <v>117.70259885722744</v>
      </c>
      <c r="L3259" s="4">
        <f>MIN(MAX(L3258*(1+MAX(MIN(((B3259-B3258)/B3258)/($K$7*卓尔金历!$N$40),0),-卓尔金历!$M$43))+MIN(MAX(((B3259-B3258)/B3258)/($K$7*卓尔金历!$N$40),0),卓尔金历!$M$43),0),1)</f>
        <v>0</v>
      </c>
      <c r="M3259" s="4">
        <f>MIN(MAX(M3258*(1+MAX(MIN(((B3259-B3258)/B3258)/($K$7*30),0),-卓尔金历!$M$43))+MIN(MAX(((B3259-B3258)/B3258)/($K$7*7),0),卓尔金历!$M$43),0),1)</f>
        <v>0.21037492760809423</v>
      </c>
      <c r="N3259">
        <f t="shared" si="453"/>
        <v>188790.71658055237</v>
      </c>
      <c r="O3259">
        <f t="shared" si="454"/>
        <v>521519.4182883274</v>
      </c>
      <c r="P3259">
        <f t="shared" si="455"/>
        <v>-8.4001436710218393E-3</v>
      </c>
      <c r="Q3259">
        <f t="shared" si="456"/>
        <v>5.4896484306331449E-2</v>
      </c>
      <c r="R3259">
        <f t="shared" si="457"/>
        <v>1</v>
      </c>
      <c r="S3259">
        <f t="shared" si="449"/>
        <v>1045.9214111074673</v>
      </c>
      <c r="T3259" s="564">
        <f>IF((I3259-MAX(I$470:I3259))/MAX(I$470:I3259)&gt;T3258,T3258,(I3259-MAX(I$470:I3259))/MAX(I$470:I3259))</f>
        <v>-0.91338805338419748</v>
      </c>
      <c r="U3259" s="564">
        <f>IF((J3259-MAX(J$470:J3259))/MAX(J$470:J3259)&gt;U3258,U3258,(J3259-MAX(J$470:J3259))/MAX(J$470:J3259))</f>
        <v>-0.83569785939843477</v>
      </c>
      <c r="V3259" s="564">
        <f>IF((K3259-MAX(K$470:K3259))/MAX(K$470:K3259)&gt;V3258,V3258,(K3259-MAX(K$470:K3259))/MAX(K$470:K3259))</f>
        <v>-0.84885940676762139</v>
      </c>
      <c r="W3259" s="564">
        <f>IF((N3259-MAX(N$470:N3259))/MAX(N$470:N3259)&gt;W3258,W3258,(N3259-MAX(N$470:N3259))/MAX(N$470:N3259))</f>
        <v>-0.62788758315546067</v>
      </c>
      <c r="X3259" s="564">
        <f>IF((O3259-MAX(O$470:O3259))/MAX(O$470:O3259)&gt;X3258,X3258,(O3259-MAX(O$470:O3259))/MAX(O$470:O3259))</f>
        <v>-0.62788758315546067</v>
      </c>
    </row>
    <row r="3260" spans="1:24">
      <c r="A3260" s="799">
        <v>43662</v>
      </c>
      <c r="B3260">
        <v>10447.694062</v>
      </c>
      <c r="C3260">
        <v>5437.2368919999999</v>
      </c>
      <c r="D3260">
        <v>1.804522</v>
      </c>
      <c r="E3260">
        <f>LN(D3260/参数实验室!$E$53)/参数实验室!$E$55</f>
        <v>3.4350164317403066E-3</v>
      </c>
      <c r="F3260">
        <f t="shared" si="448"/>
        <v>0.52042458936236791</v>
      </c>
      <c r="G3260">
        <f>LN(F3260/参数实验室!$E$58)/参数实验室!$E$59</f>
        <v>-0.53331759703927073</v>
      </c>
      <c r="H3260" s="856">
        <f>INDEX(神经网络!$G$10:$BO$70,MATCH(ROUND(G3260*2,1)/2,神经网络!$E$10:$E$70,0),MATCH(ROUND(E3260*2,1)/2,神经网络!$G$8:$BO$8,0))</f>
        <v>-0.68581666050085766</v>
      </c>
      <c r="I3260">
        <f t="shared" si="450"/>
        <v>495462.05444701121</v>
      </c>
      <c r="J3260">
        <f t="shared" si="451"/>
        <v>4168.9054953912409</v>
      </c>
      <c r="K3260">
        <f t="shared" si="452"/>
        <v>118.84703431026406</v>
      </c>
      <c r="L3260" s="4">
        <f>MIN(MAX(L3259*(1+MAX(MIN(((B3260-B3259)/B3259)/($K$7*卓尔金历!$N$40),0),-卓尔金历!$M$43))+MIN(MAX(((B3260-B3259)/B3259)/($K$7*卓尔金历!$N$40),0),卓尔金历!$M$43),0),1)</f>
        <v>0</v>
      </c>
      <c r="M3260" s="4">
        <f>MIN(MAX(M3259*(1+MAX(MIN(((B3260-B3259)/B3259)/($K$7*30),0),-卓尔金历!$M$43))+MIN(MAX(((B3260-B3259)/B3259)/($K$7*7),0),卓尔金历!$M$43),0),1)</f>
        <v>0.20059545481815755</v>
      </c>
      <c r="N3260">
        <f t="shared" si="453"/>
        <v>188790.71658055237</v>
      </c>
      <c r="O3260">
        <f t="shared" si="454"/>
        <v>521912.0890308235</v>
      </c>
      <c r="P3260">
        <f t="shared" si="455"/>
        <v>-6.0849271110334181E-3</v>
      </c>
      <c r="Q3260">
        <f t="shared" si="456"/>
        <v>5.397278050114733E-2</v>
      </c>
      <c r="R3260">
        <f t="shared" si="457"/>
        <v>1</v>
      </c>
      <c r="S3260">
        <f t="shared" si="449"/>
        <v>1049.6647843700059</v>
      </c>
      <c r="T3260" s="564">
        <f>IF((I3260-MAX(I$470:I3260))/MAX(I$470:I3260)&gt;T3259,T3259,(I3260-MAX(I$470:I3260))/MAX(I$470:I3260))</f>
        <v>-0.91338805338419748</v>
      </c>
      <c r="U3260" s="564">
        <f>IF((J3260-MAX(J$470:J3260))/MAX(J$470:J3260)&gt;U3259,U3259,(J3260-MAX(J$470:J3260))/MAX(J$470:J3260))</f>
        <v>-0.83569785939843477</v>
      </c>
      <c r="V3260" s="564">
        <f>IF((K3260-MAX(K$470:K3260))/MAX(K$470:K3260)&gt;V3259,V3259,(K3260-MAX(K$470:K3260))/MAX(K$470:K3260))</f>
        <v>-0.84885940676762139</v>
      </c>
      <c r="W3260" s="564">
        <f>IF((N3260-MAX(N$470:N3260))/MAX(N$470:N3260)&gt;W3259,W3259,(N3260-MAX(N$470:N3260))/MAX(N$470:N3260))</f>
        <v>-0.62788758315546067</v>
      </c>
      <c r="X3260" s="564">
        <f>IF((O3260-MAX(O$470:O3260))/MAX(O$470:O3260)&gt;X3259,X3259,(O3260-MAX(O$470:O3260))/MAX(O$470:O3260))</f>
        <v>-0.62788758315546067</v>
      </c>
    </row>
    <row r="3261" spans="1:24">
      <c r="A3261" s="799">
        <v>43663</v>
      </c>
      <c r="B3261">
        <v>9781.2261259999996</v>
      </c>
      <c r="C3261">
        <v>5438.8491510000003</v>
      </c>
      <c r="D3261">
        <v>1.840114</v>
      </c>
      <c r="E3261">
        <f>LN(D3261/参数实验室!$E$53)/参数实验室!$E$55</f>
        <v>2.6477708400861905E-2</v>
      </c>
      <c r="F3261">
        <f t="shared" si="448"/>
        <v>0.55604983270376551</v>
      </c>
      <c r="G3261">
        <f>LN(F3261/参数实验室!$E$58)/参数实验室!$E$59</f>
        <v>-0.49856547775405263</v>
      </c>
      <c r="H3261" s="856">
        <f>INDEX(神经网络!$G$10:$BO$70,MATCH(ROUND(G3261*2,1)/2,神经网络!$E$10:$E$70,0),MATCH(ROUND(E3261*2,1)/2,神经网络!$G$8:$BO$8,0))</f>
        <v>-0.58842899763854939</v>
      </c>
      <c r="I3261">
        <f t="shared" si="450"/>
        <v>517137.95968838106</v>
      </c>
      <c r="J3261">
        <f t="shared" si="451"/>
        <v>3902.9672104066035</v>
      </c>
      <c r="K3261">
        <f t="shared" si="452"/>
        <v>132.49866878448785</v>
      </c>
      <c r="L3261" s="4">
        <f>MIN(MAX(L3260*(1+MAX(MIN(((B3261-B3260)/B3260)/($K$7*卓尔金历!$N$40),0),-卓尔金历!$M$43))+MIN(MAX(((B3261-B3260)/B3260)/($K$7*卓尔金历!$N$40),0),卓尔金历!$M$43),0),1)</f>
        <v>0</v>
      </c>
      <c r="M3261" s="4">
        <f>MIN(MAX(M3260*(1+MAX(MIN(((B3261-B3260)/B3260)/($K$7*30),0),-卓尔金历!$M$43))+MIN(MAX(((B3261-B3260)/B3260)/($K$7*7),0),卓尔金历!$M$43),0),1)</f>
        <v>0.10283887816285625</v>
      </c>
      <c r="N3261">
        <f t="shared" si="453"/>
        <v>188790.71658055237</v>
      </c>
      <c r="O3261">
        <f t="shared" si="454"/>
        <v>526492.29796466627</v>
      </c>
      <c r="P3261">
        <f t="shared" si="455"/>
        <v>-6.3790912333857058E-2</v>
      </c>
      <c r="Q3261">
        <f t="shared" si="456"/>
        <v>4.7117238178290853E-2</v>
      </c>
      <c r="R3261">
        <f t="shared" si="457"/>
        <v>3.7620549222051131E-2</v>
      </c>
      <c r="S3261">
        <f t="shared" si="449"/>
        <v>1095.5864330552949</v>
      </c>
      <c r="T3261" s="564">
        <f>IF((I3261-MAX(I$470:I3261))/MAX(I$470:I3261)&gt;T3260,T3260,(I3261-MAX(I$470:I3261))/MAX(I$470:I3261))</f>
        <v>-0.91338805338419748</v>
      </c>
      <c r="U3261" s="564">
        <f>IF((J3261-MAX(J$470:J3261))/MAX(J$470:J3261)&gt;U3260,U3260,(J3261-MAX(J$470:J3261))/MAX(J$470:J3261))</f>
        <v>-0.83569785939843477</v>
      </c>
      <c r="V3261" s="564">
        <f>IF((K3261-MAX(K$470:K3261))/MAX(K$470:K3261)&gt;V3260,V3260,(K3261-MAX(K$470:K3261))/MAX(K$470:K3261))</f>
        <v>-0.84885940676762139</v>
      </c>
      <c r="W3261" s="564">
        <f>IF((N3261-MAX(N$470:N3261))/MAX(N$470:N3261)&gt;W3260,W3260,(N3261-MAX(N$470:N3261))/MAX(N$470:N3261))</f>
        <v>-0.62788758315546067</v>
      </c>
      <c r="X3261" s="564">
        <f>IF((O3261-MAX(O$470:O3261))/MAX(O$470:O3261)&gt;X3260,X3260,(O3261-MAX(O$470:O3261))/MAX(O$470:O3261))</f>
        <v>-0.62788758315546067</v>
      </c>
    </row>
    <row r="3262" spans="1:24">
      <c r="A3262" s="799">
        <v>43664</v>
      </c>
      <c r="B3262">
        <v>10356.334494999999</v>
      </c>
      <c r="C3262">
        <v>5596.0229509999999</v>
      </c>
      <c r="D3262">
        <v>2.0231270000000001</v>
      </c>
      <c r="E3262">
        <f>LN(D3262/参数实验室!$E$53)/参数实验室!$E$55</f>
        <v>0.13833814527402649</v>
      </c>
      <c r="F3262">
        <f t="shared" si="448"/>
        <v>0.54034783771243966</v>
      </c>
      <c r="G3262">
        <f>LN(F3262/参数实验室!$E$58)/参数实验室!$E$59</f>
        <v>-0.51359983852418312</v>
      </c>
      <c r="H3262" s="856">
        <f>INDEX(神经网络!$G$10:$BO$70,MATCH(ROUND(G3262*2,1)/2,神经网络!$E$10:$E$70,0),MATCH(ROUND(E3262*2,1)/2,神经网络!$G$8:$BO$8,0))</f>
        <v>-0.51574774143142676</v>
      </c>
      <c r="I3262">
        <f t="shared" si="450"/>
        <v>499246.04278599122</v>
      </c>
      <c r="J3262">
        <f t="shared" si="451"/>
        <v>4132.4506184908778</v>
      </c>
      <c r="K3262">
        <f t="shared" si="452"/>
        <v>120.81113336287368</v>
      </c>
      <c r="L3262" s="4">
        <f>MIN(MAX(L3261*(1+MAX(MIN(((B3262-B3261)/B3261)/($K$7*卓尔金历!$N$40),0),-卓尔金历!$M$43))+MIN(MAX(((B3262-B3261)/B3261)/($K$7*卓尔金历!$N$40),0),卓尔金历!$M$43),0),1)</f>
        <v>0.8983642617919384</v>
      </c>
      <c r="M3262" s="4">
        <f>MIN(MAX(M3261*(1+MAX(MIN(((B3262-B3261)/B3261)/($K$7*30),0),-卓尔金历!$M$43))+MIN(MAX(((B3262-B3261)/B3261)/($K$7*7),0),卓尔金历!$M$43),0),1)</f>
        <v>1</v>
      </c>
      <c r="N3262">
        <f t="shared" si="453"/>
        <v>188790.71658055237</v>
      </c>
      <c r="O3262">
        <f t="shared" si="454"/>
        <v>524619.03042552923</v>
      </c>
      <c r="P3262">
        <f t="shared" si="455"/>
        <v>5.8797165262468816E-2</v>
      </c>
      <c r="Q3262">
        <f t="shared" si="456"/>
        <v>4.6355610874259129E-2</v>
      </c>
      <c r="R3262">
        <f t="shared" si="457"/>
        <v>3.5915053324040526E-2</v>
      </c>
      <c r="S3262">
        <f t="shared" si="449"/>
        <v>1094.1604241686557</v>
      </c>
      <c r="T3262" s="564">
        <f>IF((I3262-MAX(I$470:I3262))/MAX(I$470:I3262)&gt;T3261,T3261,(I3262-MAX(I$470:I3262))/MAX(I$470:I3262))</f>
        <v>-0.91338805338419748</v>
      </c>
      <c r="U3262" s="564">
        <f>IF((J3262-MAX(J$470:J3262))/MAX(J$470:J3262)&gt;U3261,U3261,(J3262-MAX(J$470:J3262))/MAX(J$470:J3262))</f>
        <v>-0.83569785939843477</v>
      </c>
      <c r="V3262" s="564">
        <f>IF((K3262-MAX(K$470:K3262))/MAX(K$470:K3262)&gt;V3261,V3261,(K3262-MAX(K$470:K3262))/MAX(K$470:K3262))</f>
        <v>-0.84885940676762139</v>
      </c>
      <c r="W3262" s="564">
        <f>IF((N3262-MAX(N$470:N3262))/MAX(N$470:N3262)&gt;W3261,W3261,(N3262-MAX(N$470:N3262))/MAX(N$470:N3262))</f>
        <v>-0.62788758315546067</v>
      </c>
      <c r="X3262" s="564">
        <f>IF((O3262-MAX(O$470:O3262))/MAX(O$470:O3262)&gt;X3261,X3261,(O3262-MAX(O$470:O3262))/MAX(O$470:O3262))</f>
        <v>-0.62788758315546067</v>
      </c>
    </row>
    <row r="3263" spans="1:24">
      <c r="A3263" s="799">
        <v>43665</v>
      </c>
      <c r="B3263">
        <v>10399.845359000001</v>
      </c>
      <c r="C3263">
        <v>5812.0357910000002</v>
      </c>
      <c r="D3263">
        <v>1.9920020000000001</v>
      </c>
      <c r="E3263">
        <f>LN(D3263/参数实验室!$E$53)/参数实验室!$E$55</f>
        <v>0.12004704913599443</v>
      </c>
      <c r="F3263">
        <f t="shared" si="448"/>
        <v>0.5588579051293564</v>
      </c>
      <c r="G3263">
        <f>LN(F3263/参数实验室!$E$58)/参数实验室!$E$59</f>
        <v>-0.49592161542837948</v>
      </c>
      <c r="H3263" s="856">
        <f>INDEX(神经网络!$G$10:$BO$70,MATCH(ROUND(G3263*2,1)/2,神经网络!$E$10:$E$70,0),MATCH(ROUND(E3263*2,1)/2,神经网络!$G$8:$BO$8,0))</f>
        <v>-0.55494491182501449</v>
      </c>
      <c r="I3263">
        <f t="shared" si="450"/>
        <v>498164.25118795788</v>
      </c>
      <c r="J3263">
        <f t="shared" si="451"/>
        <v>4149.812600853913</v>
      </c>
      <c r="K3263">
        <f t="shared" si="452"/>
        <v>120.04499940200911</v>
      </c>
      <c r="L3263" s="4">
        <f>MIN(MAX(L3262*(1+MAX(MIN(((B3263-B3262)/B3262)/($K$7*卓尔金历!$N$40),0),-卓尔金历!$M$43))+MIN(MAX(((B3263-B3262)/B3262)/($K$7*卓尔金历!$N$40),0),卓尔金历!$M$43),0),1)</f>
        <v>0.96255726830291555</v>
      </c>
      <c r="M3263" s="4">
        <f>MIN(MAX(M3262*(1+MAX(MIN(((B3263-B3262)/B3262)/($K$7*30),0),-卓尔金历!$M$43))+MIN(MAX(((B3263-B3262)/B3262)/($K$7*7),0),卓尔金历!$M$43),0),1)</f>
        <v>1</v>
      </c>
      <c r="N3263">
        <f t="shared" si="453"/>
        <v>188423.21257705442</v>
      </c>
      <c r="O3263">
        <f t="shared" si="454"/>
        <v>523482.25935346284</v>
      </c>
      <c r="P3263">
        <f t="shared" si="455"/>
        <v>4.2013768501788507E-3</v>
      </c>
      <c r="Q3263">
        <f t="shared" si="456"/>
        <v>4.5943055382778951E-2</v>
      </c>
      <c r="R3263">
        <f t="shared" si="457"/>
        <v>1</v>
      </c>
      <c r="S3263">
        <f t="shared" si="449"/>
        <v>1094.0752738081972</v>
      </c>
      <c r="T3263" s="564">
        <f>IF((I3263-MAX(I$470:I3263))/MAX(I$470:I3263)&gt;T3262,T3262,(I3263-MAX(I$470:I3263))/MAX(I$470:I3263))</f>
        <v>-0.91338805338419748</v>
      </c>
      <c r="U3263" s="564">
        <f>IF((J3263-MAX(J$470:J3263))/MAX(J$470:J3263)&gt;U3262,U3262,(J3263-MAX(J$470:J3263))/MAX(J$470:J3263))</f>
        <v>-0.83569785939843477</v>
      </c>
      <c r="V3263" s="564">
        <f>IF((K3263-MAX(K$470:K3263))/MAX(K$470:K3263)&gt;V3262,V3262,(K3263-MAX(K$470:K3263))/MAX(K$470:K3263))</f>
        <v>-0.84885940676762139</v>
      </c>
      <c r="W3263" s="564">
        <f>IF((N3263-MAX(N$470:N3263))/MAX(N$470:N3263)&gt;W3262,W3262,(N3263-MAX(N$470:N3263))/MAX(N$470:N3263))</f>
        <v>-0.62788758315546067</v>
      </c>
      <c r="X3263" s="564">
        <f>IF((O3263-MAX(O$470:O3263))/MAX(O$470:O3263)&gt;X3262,X3262,(O3263-MAX(O$470:O3263))/MAX(O$470:O3263))</f>
        <v>-0.62788758315546067</v>
      </c>
    </row>
    <row r="3264" spans="1:24">
      <c r="A3264" s="799">
        <v>43666</v>
      </c>
      <c r="B3264">
        <v>10571.764868</v>
      </c>
      <c r="C3264">
        <v>5712.9309540000004</v>
      </c>
      <c r="D3264">
        <v>2.0519759999999998</v>
      </c>
      <c r="E3264">
        <f>LN(D3264/参数实验室!$E$53)/参数实验室!$E$55</f>
        <v>0.15504215001888128</v>
      </c>
      <c r="F3264">
        <f t="shared" si="448"/>
        <v>0.54039519657617874</v>
      </c>
      <c r="G3264">
        <f>LN(F3264/参数实验室!$E$58)/参数实验室!$E$59</f>
        <v>-0.51355383963205714</v>
      </c>
      <c r="H3264" s="856">
        <f>INDEX(神经网络!$G$10:$BO$70,MATCH(ROUND(G3264*2,1)/2,神经网络!$E$10:$E$70,0),MATCH(ROUND(E3264*2,1)/2,神经网络!$G$8:$BO$8,0))</f>
        <v>-0.51574774143142676</v>
      </c>
      <c r="I3264">
        <f t="shared" si="450"/>
        <v>493594.20369661157</v>
      </c>
      <c r="J3264">
        <f t="shared" si="451"/>
        <v>4218.4130194325808</v>
      </c>
      <c r="K3264">
        <f t="shared" si="452"/>
        <v>117.00945389245101</v>
      </c>
      <c r="L3264" s="4">
        <f>MIN(MAX(L3263*(1+MAX(MIN(((B3264-B3263)/B3263)/($K$7*卓尔金历!$N$40),0),-卓尔金历!$M$43))+MIN(MAX(((B3264-B3263)/B3263)/($K$7*卓尔金历!$N$40),0),卓尔金历!$M$43),0),1)</f>
        <v>1</v>
      </c>
      <c r="M3264" s="4">
        <f>MIN(MAX(M3263*(1+MAX(MIN(((B3264-B3263)/B3263)/($K$7*30),0),-卓尔金历!$M$43))+MIN(MAX(((B3264-B3263)/B3263)/($K$7*7),0),卓尔金历!$M$43),0),1)</f>
        <v>1</v>
      </c>
      <c r="N3264">
        <f t="shared" si="453"/>
        <v>186759.38186608171</v>
      </c>
      <c r="O3264">
        <f t="shared" si="454"/>
        <v>518679.95011425577</v>
      </c>
      <c r="P3264">
        <f t="shared" si="455"/>
        <v>1.6530967823595633E-2</v>
      </c>
      <c r="Q3264">
        <f t="shared" si="456"/>
        <v>4.6160720602786059E-2</v>
      </c>
      <c r="R3264">
        <f t="shared" si="457"/>
        <v>1</v>
      </c>
      <c r="S3264">
        <f t="shared" si="449"/>
        <v>1084.0384717926213</v>
      </c>
      <c r="T3264" s="564">
        <f>IF((I3264-MAX(I$470:I3264))/MAX(I$470:I3264)&gt;T3263,T3263,(I3264-MAX(I$470:I3264))/MAX(I$470:I3264))</f>
        <v>-0.91338805338419748</v>
      </c>
      <c r="U3264" s="564">
        <f>IF((J3264-MAX(J$470:J3264))/MAX(J$470:J3264)&gt;U3263,U3263,(J3264-MAX(J$470:J3264))/MAX(J$470:J3264))</f>
        <v>-0.83569785939843477</v>
      </c>
      <c r="V3264" s="564">
        <f>IF((K3264-MAX(K$470:K3264))/MAX(K$470:K3264)&gt;V3263,V3263,(K3264-MAX(K$470:K3264))/MAX(K$470:K3264))</f>
        <v>-0.84885940676762139</v>
      </c>
      <c r="W3264" s="564">
        <f>IF((N3264-MAX(N$470:N3264))/MAX(N$470:N3264)&gt;W3263,W3263,(N3264-MAX(N$470:N3264))/MAX(N$470:N3264))</f>
        <v>-0.62788758315546067</v>
      </c>
      <c r="X3264" s="564">
        <f>IF((O3264-MAX(O$470:O3264))/MAX(O$470:O3264)&gt;X3263,X3263,(O3264-MAX(O$470:O3264))/MAX(O$470:O3264))</f>
        <v>-0.62788758315546067</v>
      </c>
    </row>
    <row r="3265" spans="1:24">
      <c r="A3265" s="799">
        <v>43667</v>
      </c>
      <c r="B3265">
        <v>10441.700648</v>
      </c>
      <c r="C3265">
        <v>5707.3299779999998</v>
      </c>
      <c r="D3265">
        <v>1.9981390000000001</v>
      </c>
      <c r="E3265">
        <f>LN(D3265/参数实验室!$E$53)/参数实验室!$E$55</f>
        <v>0.12367606944745173</v>
      </c>
      <c r="F3265">
        <f t="shared" si="448"/>
        <v>0.5465900786088117</v>
      </c>
      <c r="G3265">
        <f>LN(F3265/参数实验室!$E$58)/参数实验室!$E$59</f>
        <v>-0.50757134077343025</v>
      </c>
      <c r="H3265" s="856">
        <f>INDEX(神经网络!$G$10:$BO$70,MATCH(ROUND(G3265*2,1)/2,神经网络!$E$10:$E$70,0),MATCH(ROUND(E3265*2,1)/2,神经网络!$G$8:$BO$8,0))</f>
        <v>-0.55494491182501449</v>
      </c>
      <c r="I3265">
        <f t="shared" si="450"/>
        <v>496726.17469210672</v>
      </c>
      <c r="J3265">
        <f t="shared" si="451"/>
        <v>4166.5139651250911</v>
      </c>
      <c r="K3265">
        <f t="shared" si="452"/>
        <v>119.21865109533925</v>
      </c>
      <c r="L3265" s="4">
        <f>MIN(MAX(L3264*(1+MAX(MIN(((B3265-B3264)/B3264)/($K$7*卓尔金历!$N$40),0),-卓尔金历!$M$43))+MIN(MAX(((B3265-B3264)/B3264)/($K$7*卓尔金历!$N$40),0),卓尔金历!$M$43),0),1)</f>
        <v>0.81202225994257815</v>
      </c>
      <c r="M3265" s="4">
        <f>MIN(MAX(M3264*(1+MAX(MIN(((B3265-B3264)/B3264)/($K$7*30),0),-卓尔金历!$M$43))+MIN(MAX(((B3265-B3264)/B3264)/($K$7*7),0),卓尔金历!$M$43),0),1)</f>
        <v>0.90601112997128908</v>
      </c>
      <c r="N3265">
        <f t="shared" si="453"/>
        <v>187944.41394863164</v>
      </c>
      <c r="O3265">
        <f t="shared" si="454"/>
        <v>521971.09605465911</v>
      </c>
      <c r="P3265">
        <f t="shared" si="455"/>
        <v>-1.2302980781732632E-2</v>
      </c>
      <c r="Q3265">
        <f t="shared" si="456"/>
        <v>4.3737340361988661E-2</v>
      </c>
      <c r="R3265">
        <f t="shared" si="457"/>
        <v>1</v>
      </c>
      <c r="S3265">
        <f t="shared" si="449"/>
        <v>1090.9169501585104</v>
      </c>
      <c r="T3265" s="564">
        <f>IF((I3265-MAX(I$470:I3265))/MAX(I$470:I3265)&gt;T3264,T3264,(I3265-MAX(I$470:I3265))/MAX(I$470:I3265))</f>
        <v>-0.91338805338419748</v>
      </c>
      <c r="U3265" s="564">
        <f>IF((J3265-MAX(J$470:J3265))/MAX(J$470:J3265)&gt;U3264,U3264,(J3265-MAX(J$470:J3265))/MAX(J$470:J3265))</f>
        <v>-0.83569785939843477</v>
      </c>
      <c r="V3265" s="564">
        <f>IF((K3265-MAX(K$470:K3265))/MAX(K$470:K3265)&gt;V3264,V3264,(K3265-MAX(K$470:K3265))/MAX(K$470:K3265))</f>
        <v>-0.84885940676762139</v>
      </c>
      <c r="W3265" s="564">
        <f>IF((N3265-MAX(N$470:N3265))/MAX(N$470:N3265)&gt;W3264,W3264,(N3265-MAX(N$470:N3265))/MAX(N$470:N3265))</f>
        <v>-0.62788758315546067</v>
      </c>
      <c r="X3265" s="564">
        <f>IF((O3265-MAX(O$470:O3265))/MAX(O$470:O3265)&gt;X3264,X3264,(O3265-MAX(O$470:O3265))/MAX(O$470:O3265))</f>
        <v>-0.62788758315546067</v>
      </c>
    </row>
    <row r="3266" spans="1:24">
      <c r="A3266" s="799">
        <v>43668</v>
      </c>
      <c r="B3266">
        <v>10320.688957</v>
      </c>
      <c r="C3266">
        <v>5571.183258</v>
      </c>
      <c r="D3266">
        <v>1.946979</v>
      </c>
      <c r="E3266">
        <f>LN(D3266/参数实验室!$E$53)/参数实验室!$E$55</f>
        <v>9.3076447529399087E-2</v>
      </c>
      <c r="F3266">
        <f t="shared" si="448"/>
        <v>0.53980730174232683</v>
      </c>
      <c r="G3266">
        <f>LN(F3266/参数实验室!$E$58)/参数实验室!$E$59</f>
        <v>-0.51412513809026217</v>
      </c>
      <c r="H3266" s="856">
        <f>INDEX(神经网络!$G$10:$BO$70,MATCH(ROUND(G3266*2,1)/2,神经网络!$E$10:$E$70,0),MATCH(ROUND(E3266*2,1)/2,神经网络!$G$8:$BO$8,0))</f>
        <v>-0.55494491182501449</v>
      </c>
      <c r="I3266">
        <f t="shared" si="450"/>
        <v>499920.82267752342</v>
      </c>
      <c r="J3266">
        <f t="shared" si="451"/>
        <v>4118.2271086548781</v>
      </c>
      <c r="K3266">
        <f t="shared" si="452"/>
        <v>121.39224221677536</v>
      </c>
      <c r="L3266" s="4">
        <f>MIN(MAX(L3265*(1+MAX(MIN(((B3266-B3265)/B3265)/($K$7*卓尔金历!$N$40),0),-卓尔金历!$M$43))+MIN(MAX(((B3266-B3265)/B3265)/($K$7*卓尔金历!$N$40),0),卓尔金历!$M$43),0),1)</f>
        <v>0.66823510036847789</v>
      </c>
      <c r="M3266" s="4">
        <f>MIN(MAX(M3265*(1+MAX(MIN(((B3266-B3265)/B3265)/($K$7*30),0),-卓尔金历!$M$43))+MIN(MAX(((B3266-B3265)/B3265)/($K$7*7),0),卓尔金历!$M$43),0),1)</f>
        <v>0.82579610795310898</v>
      </c>
      <c r="N3266">
        <f t="shared" si="453"/>
        <v>188925.9433700821</v>
      </c>
      <c r="O3266">
        <f t="shared" si="454"/>
        <v>525012.58297286346</v>
      </c>
      <c r="P3266">
        <f t="shared" si="455"/>
        <v>-1.1589270280716029E-2</v>
      </c>
      <c r="Q3266">
        <f t="shared" si="456"/>
        <v>3.9277792064363402E-2</v>
      </c>
      <c r="R3266">
        <f t="shared" si="457"/>
        <v>1</v>
      </c>
      <c r="S3266">
        <f t="shared" si="449"/>
        <v>1097.9330806035005</v>
      </c>
      <c r="T3266" s="564">
        <f>IF((I3266-MAX(I$470:I3266))/MAX(I$470:I3266)&gt;T3265,T3265,(I3266-MAX(I$470:I3266))/MAX(I$470:I3266))</f>
        <v>-0.91338805338419748</v>
      </c>
      <c r="U3266" s="564">
        <f>IF((J3266-MAX(J$470:J3266))/MAX(J$470:J3266)&gt;U3265,U3265,(J3266-MAX(J$470:J3266))/MAX(J$470:J3266))</f>
        <v>-0.83569785939843477</v>
      </c>
      <c r="V3266" s="564">
        <f>IF((K3266-MAX(K$470:K3266))/MAX(K$470:K3266)&gt;V3265,V3265,(K3266-MAX(K$470:K3266))/MAX(K$470:K3266))</f>
        <v>-0.84885940676762139</v>
      </c>
      <c r="W3266" s="564">
        <f>IF((N3266-MAX(N$470:N3266))/MAX(N$470:N3266)&gt;W3265,W3265,(N3266-MAX(N$470:N3266))/MAX(N$470:N3266))</f>
        <v>-0.62788758315546067</v>
      </c>
      <c r="X3266" s="564">
        <f>IF((O3266-MAX(O$470:O3266))/MAX(O$470:O3266)&gt;X3265,X3265,(O3266-MAX(O$470:O3266))/MAX(O$470:O3266))</f>
        <v>-0.62788758315546067</v>
      </c>
    </row>
    <row r="3267" spans="1:24">
      <c r="A3267" s="799">
        <v>43669</v>
      </c>
      <c r="B3267">
        <v>9972.0110519999998</v>
      </c>
      <c r="C3267">
        <v>5711.4257539999999</v>
      </c>
      <c r="D3267">
        <v>1.863029</v>
      </c>
      <c r="E3267">
        <f>LN(D3267/参数实验室!$E$53)/参数实验室!$E$55</f>
        <v>4.1078489763464156E-2</v>
      </c>
      <c r="F3267">
        <f t="shared" si="448"/>
        <v>0.57274563016599433</v>
      </c>
      <c r="G3267">
        <f>LN(F3267/参数实验室!$E$58)/参数实验室!$E$59</f>
        <v>-0.48303831418261056</v>
      </c>
      <c r="H3267" s="856">
        <f>INDEX(神经网络!$G$10:$BO$70,MATCH(ROUND(G3267*2,1)/2,神经网络!$E$10:$E$70,0),MATCH(ROUND(E3267*2,1)/2,神经网络!$G$8:$BO$8,0))</f>
        <v>-0.58842899763854939</v>
      </c>
      <c r="I3267">
        <f t="shared" si="450"/>
        <v>509293.56847473944</v>
      </c>
      <c r="J3267">
        <f t="shared" si="451"/>
        <v>3979.0954279557836</v>
      </c>
      <c r="K3267">
        <f t="shared" si="452"/>
        <v>127.99229817325175</v>
      </c>
      <c r="L3267" s="4">
        <f>MIN(MAX(L3266*(1+MAX(MIN(((B3267-B3266)/B3266)/($K$7*卓尔金历!$N$40),0),-卓尔金历!$M$43))+MIN(MAX(((B3267-B3266)/B3266)/($K$7*卓尔金历!$N$40),0),卓尔金历!$M$43),0),1)</f>
        <v>0.32329705278156884</v>
      </c>
      <c r="M3267" s="4">
        <f>MIN(MAX(M3266*(1+MAX(MIN(((B3267-B3266)/B3266)/($K$7*30),0),-卓尔金历!$M$43))+MIN(MAX(((B3267-B3266)/B3266)/($K$7*7),0),卓尔金历!$M$43),0),1)</f>
        <v>0.61266116710284335</v>
      </c>
      <c r="N3267">
        <f t="shared" si="453"/>
        <v>191292.87926412732</v>
      </c>
      <c r="O3267">
        <f t="shared" si="454"/>
        <v>533141.0407859392</v>
      </c>
      <c r="P3267">
        <f t="shared" si="455"/>
        <v>-3.3784363277754817E-2</v>
      </c>
      <c r="Q3267">
        <f t="shared" si="456"/>
        <v>3.9450803942126675E-2</v>
      </c>
      <c r="R3267">
        <f t="shared" si="457"/>
        <v>0.20042441866565197</v>
      </c>
      <c r="S3267">
        <f t="shared" si="449"/>
        <v>1118.5176355970998</v>
      </c>
      <c r="T3267" s="564">
        <f>IF((I3267-MAX(I$470:I3267))/MAX(I$470:I3267)&gt;T3266,T3266,(I3267-MAX(I$470:I3267))/MAX(I$470:I3267))</f>
        <v>-0.91338805338419748</v>
      </c>
      <c r="U3267" s="564">
        <f>IF((J3267-MAX(J$470:J3267))/MAX(J$470:J3267)&gt;U3266,U3266,(J3267-MAX(J$470:J3267))/MAX(J$470:J3267))</f>
        <v>-0.83569785939843477</v>
      </c>
      <c r="V3267" s="564">
        <f>IF((K3267-MAX(K$470:K3267))/MAX(K$470:K3267)&gt;V3266,V3266,(K3267-MAX(K$470:K3267))/MAX(K$470:K3267))</f>
        <v>-0.84885940676762139</v>
      </c>
      <c r="W3267" s="564">
        <f>IF((N3267-MAX(N$470:N3267))/MAX(N$470:N3267)&gt;W3266,W3266,(N3267-MAX(N$470:N3267))/MAX(N$470:N3267))</f>
        <v>-0.62788758315546067</v>
      </c>
      <c r="X3267" s="564">
        <f>IF((O3267-MAX(O$470:O3267))/MAX(O$470:O3267)&gt;X3266,X3266,(O3267-MAX(O$470:O3267))/MAX(O$470:O3267))</f>
        <v>-0.62788758315546067</v>
      </c>
    </row>
    <row r="3268" spans="1:24">
      <c r="A3268" s="799">
        <v>43670</v>
      </c>
      <c r="B3268">
        <v>9894.0729140000003</v>
      </c>
      <c r="C3268">
        <v>5856.3316089999998</v>
      </c>
      <c r="D3268">
        <v>1.8427480000000001</v>
      </c>
      <c r="E3268">
        <f>LN(D3268/参数实验室!$E$53)/参数实验室!$E$55</f>
        <v>2.8165238682726773E-2</v>
      </c>
      <c r="F3268">
        <f t="shared" si="448"/>
        <v>0.59190301707938264</v>
      </c>
      <c r="G3268">
        <f>LN(F3268/参数实验室!$E$58)/参数实验室!$E$59</f>
        <v>-0.46577003503411202</v>
      </c>
      <c r="H3268" s="856">
        <f>INDEX(神经网络!$G$10:$BO$70,MATCH(ROUND(G3268*2,1)/2,神经网络!$E$10:$E$70,0),MATCH(ROUND(E3268*2,1)/2,神经网络!$G$8:$BO$8,0))</f>
        <v>-0.51591640708691688</v>
      </c>
      <c r="I3268">
        <f t="shared" si="450"/>
        <v>511635.79844160669</v>
      </c>
      <c r="J3268">
        <f t="shared" si="451"/>
        <v>3947.996055225246</v>
      </c>
      <c r="K3268">
        <f t="shared" si="452"/>
        <v>129.59379677303559</v>
      </c>
      <c r="L3268" s="4">
        <f>MIN(MAX(L3267*(1+MAX(MIN(((B3268-B3267)/B3267)/($K$7*卓尔金历!$N$40),0),-卓尔金历!$M$43))+MIN(MAX(((B3268-B3267)/B3267)/($K$7*卓尔金历!$N$40),0),卓尔金历!$M$43),0),1)</f>
        <v>0.28469013783880603</v>
      </c>
      <c r="M3268" s="4">
        <f>MIN(MAX(M3267*(1+MAX(MIN(((B3268-B3267)/B3267)/($K$7*30),0),-卓尔金历!$M$43))+MIN(MAX(((B3268-B3267)/B3267)/($K$7*7),0),卓尔金历!$M$43),0),1)</f>
        <v>0.57608032393775876</v>
      </c>
      <c r="N3268">
        <f t="shared" si="453"/>
        <v>191577.30041597388</v>
      </c>
      <c r="O3268">
        <f t="shared" si="454"/>
        <v>534643.22713365138</v>
      </c>
      <c r="P3268">
        <f t="shared" si="455"/>
        <v>-7.8156890915567281E-3</v>
      </c>
      <c r="Q3268">
        <f t="shared" si="456"/>
        <v>3.3826681646516768E-2</v>
      </c>
      <c r="R3268">
        <f t="shared" si="457"/>
        <v>1</v>
      </c>
      <c r="S3268">
        <f t="shared" si="449"/>
        <v>1119.5486264445572</v>
      </c>
      <c r="T3268" s="564">
        <f>IF((I3268-MAX(I$470:I3268))/MAX(I$470:I3268)&gt;T3267,T3267,(I3268-MAX(I$470:I3268))/MAX(I$470:I3268))</f>
        <v>-0.91338805338419748</v>
      </c>
      <c r="U3268" s="564">
        <f>IF((J3268-MAX(J$470:J3268))/MAX(J$470:J3268)&gt;U3267,U3267,(J3268-MAX(J$470:J3268))/MAX(J$470:J3268))</f>
        <v>-0.83569785939843477</v>
      </c>
      <c r="V3268" s="564">
        <f>IF((K3268-MAX(K$470:K3268))/MAX(K$470:K3268)&gt;V3267,V3267,(K3268-MAX(K$470:K3268))/MAX(K$470:K3268))</f>
        <v>-0.84885940676762139</v>
      </c>
      <c r="W3268" s="564">
        <f>IF((N3268-MAX(N$470:N3268))/MAX(N$470:N3268)&gt;W3267,W3267,(N3268-MAX(N$470:N3268))/MAX(N$470:N3268))</f>
        <v>-0.62788758315546067</v>
      </c>
      <c r="X3268" s="564">
        <f>IF((O3268-MAX(O$470:O3268))/MAX(O$470:O3268)&gt;X3267,X3267,(O3268-MAX(O$470:O3268))/MAX(O$470:O3268))</f>
        <v>-0.62788758315546067</v>
      </c>
    </row>
    <row r="3269" spans="1:24">
      <c r="A3269" s="799">
        <v>43671</v>
      </c>
      <c r="B3269">
        <v>10031.217718</v>
      </c>
      <c r="C3269">
        <v>5842.9926859999996</v>
      </c>
      <c r="D3269">
        <v>1.861772</v>
      </c>
      <c r="E3269">
        <f>LN(D3269/参数实验室!$E$53)/参数实验室!$E$55</f>
        <v>4.0282232522356042E-2</v>
      </c>
      <c r="F3269">
        <f t="shared" ref="F3269:F3332" si="458">C3269/B3269</f>
        <v>0.58248089616431553</v>
      </c>
      <c r="G3269">
        <f>LN(F3269/参数实验室!$E$58)/参数实验室!$E$59</f>
        <v>-0.47419205838062256</v>
      </c>
      <c r="H3269" s="856">
        <f>INDEX(神经网络!$G$10:$BO$70,MATCH(ROUND(G3269*2,1)/2,神经网络!$E$10:$E$70,0),MATCH(ROUND(E3269*2,1)/2,神经网络!$G$8:$BO$8,0))</f>
        <v>-0.51591640708691688</v>
      </c>
      <c r="I3269">
        <f t="shared" si="450"/>
        <v>507976.94920325762</v>
      </c>
      <c r="J3269">
        <f t="shared" si="451"/>
        <v>4002.7204493036943</v>
      </c>
      <c r="K3269">
        <f t="shared" si="452"/>
        <v>126.90792565631816</v>
      </c>
      <c r="L3269" s="4">
        <f>MIN(MAX(L3268*(1+MAX(MIN(((B3269-B3268)/B3268)/($K$7*卓尔金历!$N$40),0),-卓尔金历!$M$43))+MIN(MAX(((B3269-B3268)/B3268)/($K$7*卓尔金历!$N$40),0),卓尔金历!$M$43),0),1)</f>
        <v>0.49647764085304891</v>
      </c>
      <c r="M3269" s="4">
        <f>MIN(MAX(M3268*(1+MAX(MIN(((B3269-B3268)/B3268)/($K$7*30),0),-卓尔金历!$M$43))+MIN(MAX(((B3269-B3268)/B3268)/($K$7*7),0),卓尔金历!$M$43),0),1)</f>
        <v>1</v>
      </c>
      <c r="N3269">
        <f t="shared" si="453"/>
        <v>191187.26857500093</v>
      </c>
      <c r="O3269">
        <f t="shared" si="454"/>
        <v>532440.65214785794</v>
      </c>
      <c r="P3269">
        <f t="shared" si="455"/>
        <v>1.3861309209268232E-2</v>
      </c>
      <c r="Q3269">
        <f t="shared" si="456"/>
        <v>3.2813288162944786E-2</v>
      </c>
      <c r="R3269">
        <f t="shared" si="457"/>
        <v>0.92470833086771564</v>
      </c>
      <c r="S3269">
        <f t="shared" si="449"/>
        <v>1111.5424242756742</v>
      </c>
      <c r="T3269" s="564">
        <f>IF((I3269-MAX(I$470:I3269))/MAX(I$470:I3269)&gt;T3268,T3268,(I3269-MAX(I$470:I3269))/MAX(I$470:I3269))</f>
        <v>-0.91338805338419748</v>
      </c>
      <c r="U3269" s="564">
        <f>IF((J3269-MAX(J$470:J3269))/MAX(J$470:J3269)&gt;U3268,U3268,(J3269-MAX(J$470:J3269))/MAX(J$470:J3269))</f>
        <v>-0.83569785939843477</v>
      </c>
      <c r="V3269" s="564">
        <f>IF((K3269-MAX(K$470:K3269))/MAX(K$470:K3269)&gt;V3268,V3268,(K3269-MAX(K$470:K3269))/MAX(K$470:K3269))</f>
        <v>-0.84885940676762139</v>
      </c>
      <c r="W3269" s="564">
        <f>IF((N3269-MAX(N$470:N3269))/MAX(N$470:N3269)&gt;W3268,W3268,(N3269-MAX(N$470:N3269))/MAX(N$470:N3269))</f>
        <v>-0.62788758315546067</v>
      </c>
      <c r="X3269" s="564">
        <f>IF((O3269-MAX(O$470:O3269))/MAX(O$470:O3269)&gt;X3268,X3268,(O3269-MAX(O$470:O3269))/MAX(O$470:O3269))</f>
        <v>-0.62788758315546067</v>
      </c>
    </row>
    <row r="3270" spans="1:24">
      <c r="A3270" s="799">
        <v>43672</v>
      </c>
      <c r="B3270">
        <v>9788.9100660000004</v>
      </c>
      <c r="C3270">
        <v>5841.336096</v>
      </c>
      <c r="D3270">
        <v>1.8493790000000001</v>
      </c>
      <c r="E3270">
        <f>LN(D3270/参数实验室!$E$53)/参数实验室!$E$55</f>
        <v>3.2402878488678614E-2</v>
      </c>
      <c r="F3270">
        <f t="shared" si="458"/>
        <v>0.5967299787837278</v>
      </c>
      <c r="G3270">
        <f>LN(F3270/参数实验室!$E$58)/参数实验室!$E$59</f>
        <v>-0.4615072149679979</v>
      </c>
      <c r="H3270" s="856">
        <f>INDEX(神经网络!$G$10:$BO$70,MATCH(ROUND(G3270*2,1)/2,神经网络!$E$10:$E$70,0),MATCH(ROUND(E3270*2,1)/2,神经网络!$G$8:$BO$8,0))</f>
        <v>-0.51591640708691688</v>
      </c>
      <c r="I3270">
        <f t="shared" si="450"/>
        <v>514307.43177818676</v>
      </c>
      <c r="J3270">
        <f t="shared" si="451"/>
        <v>3906.0333051354655</v>
      </c>
      <c r="K3270">
        <f t="shared" si="452"/>
        <v>131.67000678207222</v>
      </c>
      <c r="L3270" s="4">
        <f>MIN(MAX(L3269*(1+MAX(MIN(((B3270-B3269)/B3269)/($K$7*卓尔金历!$N$40),0),-卓尔金历!$M$43))+MIN(MAX(((B3270-B3269)/B3269)/($K$7*卓尔金历!$N$40),0),卓尔金历!$M$43),0),1)</f>
        <v>0.31324229772088108</v>
      </c>
      <c r="M3270" s="4">
        <f>MIN(MAX(M3269*(1+MAX(MIN(((B3270-B3269)/B3269)/($K$7*30),0),-卓尔金历!$M$43))+MIN(MAX(((B3270-B3269)/B3269)/($K$7*7),0),卓尔金历!$M$43),0),1)</f>
        <v>0.81546465736369067</v>
      </c>
      <c r="N3270">
        <f t="shared" si="453"/>
        <v>192370.17795459702</v>
      </c>
      <c r="O3270">
        <f t="shared" si="454"/>
        <v>539076.00494465826</v>
      </c>
      <c r="P3270">
        <f t="shared" si="455"/>
        <v>-2.4155357685558262E-2</v>
      </c>
      <c r="Q3270">
        <f t="shared" si="456"/>
        <v>3.2032731650062138E-2</v>
      </c>
      <c r="R3270">
        <f t="shared" si="457"/>
        <v>0.32432694389727418</v>
      </c>
      <c r="S3270">
        <f t="shared" si="449"/>
        <v>1124.3516720245402</v>
      </c>
      <c r="T3270" s="564">
        <f>IF((I3270-MAX(I$470:I3270))/MAX(I$470:I3270)&gt;T3269,T3269,(I3270-MAX(I$470:I3270))/MAX(I$470:I3270))</f>
        <v>-0.91338805338419748</v>
      </c>
      <c r="U3270" s="564">
        <f>IF((J3270-MAX(J$470:J3270))/MAX(J$470:J3270)&gt;U3269,U3269,(J3270-MAX(J$470:J3270))/MAX(J$470:J3270))</f>
        <v>-0.83569785939843477</v>
      </c>
      <c r="V3270" s="564">
        <f>IF((K3270-MAX(K$470:K3270))/MAX(K$470:K3270)&gt;V3269,V3269,(K3270-MAX(K$470:K3270))/MAX(K$470:K3270))</f>
        <v>-0.84885940676762139</v>
      </c>
      <c r="W3270" s="564">
        <f>IF((N3270-MAX(N$470:N3270))/MAX(N$470:N3270)&gt;W3269,W3269,(N3270-MAX(N$470:N3270))/MAX(N$470:N3270))</f>
        <v>-0.62788758315546067</v>
      </c>
      <c r="X3270" s="564">
        <f>IF((O3270-MAX(O$470:O3270))/MAX(O$470:O3270)&gt;X3269,X3269,(O3270-MAX(O$470:O3270))/MAX(O$470:O3270))</f>
        <v>-0.62788758315546067</v>
      </c>
    </row>
    <row r="3271" spans="1:24">
      <c r="A3271" s="799">
        <v>43673</v>
      </c>
      <c r="B3271">
        <v>9458.2268449999992</v>
      </c>
      <c r="C3271">
        <v>5805.3124580000003</v>
      </c>
      <c r="D3271">
        <v>1.77643</v>
      </c>
      <c r="E3271">
        <f>LN(D3271/参数实验室!$E$53)/参数实验室!$E$55</f>
        <v>-1.5075317142677205E-2</v>
      </c>
      <c r="F3271">
        <f t="shared" si="458"/>
        <v>0.61378443900073332</v>
      </c>
      <c r="G3271">
        <f>LN(F3271/参数实验室!$E$58)/参数实验室!$E$59</f>
        <v>-0.4467173131416165</v>
      </c>
      <c r="H3271" s="856">
        <f>INDEX(神经网络!$G$10:$BO$70,MATCH(ROUND(G3271*2,1)/2,神经网络!$E$10:$E$70,0),MATCH(ROUND(E3271*2,1)/2,神经网络!$G$8:$BO$8,0))</f>
        <v>-0.55498441126737386</v>
      </c>
      <c r="I3271">
        <f t="shared" si="450"/>
        <v>523270.98001764849</v>
      </c>
      <c r="J3271">
        <f t="shared" si="451"/>
        <v>3774.0819779737394</v>
      </c>
      <c r="K3271">
        <f t="shared" si="452"/>
        <v>138.64854634095323</v>
      </c>
      <c r="L3271" s="4">
        <f>MIN(MAX(L3270*(1+MAX(MIN(((B3271-B3270)/B3270)/($K$7*卓尔金历!$N$40),0),-卓尔金历!$M$43))+MIN(MAX(((B3271-B3270)/B3270)/($K$7*卓尔金历!$N$40),0),卓尔金历!$M$43),0),1)</f>
        <v>0.15156304243771571</v>
      </c>
      <c r="M3271" s="4">
        <f>MIN(MAX(M3270*(1+MAX(MIN(((B3271-B3270)/B3270)/($K$7*30),0),-卓尔金历!$M$43))+MIN(MAX(((B3271-B3270)/B3270)/($K$7*7),0),卓尔金历!$M$43),0),1)</f>
        <v>0.60501460085538294</v>
      </c>
      <c r="N3271">
        <f t="shared" si="453"/>
        <v>193420.38591984846</v>
      </c>
      <c r="O3271">
        <f t="shared" si="454"/>
        <v>546737.47845890187</v>
      </c>
      <c r="P3271">
        <f t="shared" si="455"/>
        <v>-3.3781413739673548E-2</v>
      </c>
      <c r="Q3271">
        <f t="shared" si="456"/>
        <v>3.2182237358986163E-2</v>
      </c>
      <c r="R3271">
        <f t="shared" si="457"/>
        <v>3.0479269209421418E-2</v>
      </c>
      <c r="S3271">
        <f t="shared" si="449"/>
        <v>1130.7070642734791</v>
      </c>
      <c r="T3271" s="564">
        <f>IF((I3271-MAX(I$470:I3271))/MAX(I$470:I3271)&gt;T3270,T3270,(I3271-MAX(I$470:I3271))/MAX(I$470:I3271))</f>
        <v>-0.91338805338419748</v>
      </c>
      <c r="U3271" s="564">
        <f>IF((J3271-MAX(J$470:J3271))/MAX(J$470:J3271)&gt;U3270,U3270,(J3271-MAX(J$470:J3271))/MAX(J$470:J3271))</f>
        <v>-0.83569785939843477</v>
      </c>
      <c r="V3271" s="564">
        <f>IF((K3271-MAX(K$470:K3271))/MAX(K$470:K3271)&gt;V3270,V3270,(K3271-MAX(K$470:K3271))/MAX(K$470:K3271))</f>
        <v>-0.84885940676762139</v>
      </c>
      <c r="W3271" s="564">
        <f>IF((N3271-MAX(N$470:N3271))/MAX(N$470:N3271)&gt;W3270,W3270,(N3271-MAX(N$470:N3271))/MAX(N$470:N3271))</f>
        <v>-0.62788758315546067</v>
      </c>
      <c r="X3271" s="564">
        <f>IF((O3271-MAX(O$470:O3271))/MAX(O$470:O3271)&gt;X3270,X3270,(O3271-MAX(O$470:O3271))/MAX(O$470:O3271))</f>
        <v>-0.62788758315546067</v>
      </c>
    </row>
    <row r="3272" spans="1:24">
      <c r="A3272" s="799">
        <v>43674</v>
      </c>
      <c r="B3272">
        <v>9576.0893340000002</v>
      </c>
      <c r="C3272">
        <v>5762.389666</v>
      </c>
      <c r="D3272">
        <v>1.791847</v>
      </c>
      <c r="E3272">
        <f>LN(D3272/参数实验室!$E$53)/参数实验室!$E$55</f>
        <v>-4.8808345175405873E-3</v>
      </c>
      <c r="F3272">
        <f t="shared" si="458"/>
        <v>0.60174769313613008</v>
      </c>
      <c r="G3272">
        <f>LN(F3272/参数实验室!$E$58)/参数实验室!$E$59</f>
        <v>-0.45711233450504724</v>
      </c>
      <c r="H3272" s="856">
        <f>INDEX(神经网络!$G$10:$BO$70,MATCH(ROUND(G3272*2,1)/2,神经网络!$E$10:$E$70,0),MATCH(ROUND(E3272*2,1)/2,神经网络!$G$8:$BO$8,0))</f>
        <v>-0.55498441126737386</v>
      </c>
      <c r="I3272">
        <f t="shared" si="450"/>
        <v>519652.10722983745</v>
      </c>
      <c r="J3272">
        <f t="shared" si="451"/>
        <v>3821.112219783723</v>
      </c>
      <c r="K3272">
        <f t="shared" si="452"/>
        <v>135.99498715042972</v>
      </c>
      <c r="L3272" s="4">
        <f>MIN(MAX(L3271*(1+MAX(MIN(((B3272-B3271)/B3271)/($K$7*卓尔金历!$N$40),0),-卓尔金历!$M$43))+MIN(MAX(((B3272-B3271)/B3271)/($K$7*卓尔金历!$N$40),0),卓尔金历!$M$43),0),1)</f>
        <v>0.34196085772191942</v>
      </c>
      <c r="M3272" s="4">
        <f>MIN(MAX(M3271*(1+MAX(MIN(((B3272-B3271)/B3271)/($K$7*30),0),-卓尔金历!$M$43))+MIN(MAX(((B3272-B3271)/B3271)/($K$7*7),0),卓尔金历!$M$43),0),1)</f>
        <v>1</v>
      </c>
      <c r="N3272">
        <f t="shared" si="453"/>
        <v>193217.64461980984</v>
      </c>
      <c r="O3272">
        <f t="shared" si="454"/>
        <v>544449.81904109777</v>
      </c>
      <c r="P3272">
        <f t="shared" si="455"/>
        <v>1.2461372615767604E-2</v>
      </c>
      <c r="Q3272">
        <f t="shared" si="456"/>
        <v>3.2483718047404402E-2</v>
      </c>
      <c r="R3272">
        <f t="shared" si="457"/>
        <v>1</v>
      </c>
      <c r="S3272">
        <f t="shared" si="449"/>
        <v>1130.4687218657389</v>
      </c>
      <c r="T3272" s="564">
        <f>IF((I3272-MAX(I$470:I3272))/MAX(I$470:I3272)&gt;T3271,T3271,(I3272-MAX(I$470:I3272))/MAX(I$470:I3272))</f>
        <v>-0.91338805338419748</v>
      </c>
      <c r="U3272" s="564">
        <f>IF((J3272-MAX(J$470:J3272))/MAX(J$470:J3272)&gt;U3271,U3271,(J3272-MAX(J$470:J3272))/MAX(J$470:J3272))</f>
        <v>-0.83569785939843477</v>
      </c>
      <c r="V3272" s="564">
        <f>IF((K3272-MAX(K$470:K3272))/MAX(K$470:K3272)&gt;V3271,V3271,(K3272-MAX(K$470:K3272))/MAX(K$470:K3272))</f>
        <v>-0.84885940676762139</v>
      </c>
      <c r="W3272" s="564">
        <f>IF((N3272-MAX(N$470:N3272))/MAX(N$470:N3272)&gt;W3271,W3271,(N3272-MAX(N$470:N3272))/MAX(N$470:N3272))</f>
        <v>-0.62788758315546067</v>
      </c>
      <c r="X3272" s="564">
        <f>IF((O3272-MAX(O$470:O3272))/MAX(O$470:O3272)&gt;X3271,X3271,(O3272-MAX(O$470:O3272))/MAX(O$470:O3272))</f>
        <v>-0.62788758315546067</v>
      </c>
    </row>
    <row r="3273" spans="1:24">
      <c r="A3273" s="799">
        <v>43675</v>
      </c>
      <c r="B3273">
        <v>9576.4348140000002</v>
      </c>
      <c r="C3273">
        <v>5787.0873819999997</v>
      </c>
      <c r="D3273">
        <v>1.7550680000000001</v>
      </c>
      <c r="E3273">
        <f>LN(D3273/参数实验室!$E$53)/参数实验室!$E$55</f>
        <v>-2.9348124991349294E-2</v>
      </c>
      <c r="F3273">
        <f t="shared" si="458"/>
        <v>0.60430499391482617</v>
      </c>
      <c r="G3273">
        <f>LN(F3273/参数实验室!$E$58)/参数实验室!$E$59</f>
        <v>-0.45488654175314236</v>
      </c>
      <c r="H3273" s="856">
        <f>INDEX(神经网络!$G$10:$BO$70,MATCH(ROUND(G3273*2,1)/2,神经网络!$E$10:$E$70,0),MATCH(ROUND(E3273*2,1)/2,神经网络!$G$8:$BO$8,0))</f>
        <v>-0.58832479446590058</v>
      </c>
      <c r="I3273">
        <f t="shared" si="450"/>
        <v>519641.70256249967</v>
      </c>
      <c r="J3273">
        <f t="shared" si="451"/>
        <v>3821.2500754159805</v>
      </c>
      <c r="K3273">
        <f t="shared" si="452"/>
        <v>135.98735814376963</v>
      </c>
      <c r="L3273" s="4">
        <f>MIN(MAX(L3272*(1+MAX(MIN(((B3273-B3272)/B3272)/($K$7*卓尔金历!$N$40),0),-卓尔金历!$M$43))+MIN(MAX(((B3273-B3272)/B3272)/($K$7*卓尔金历!$N$40),0),卓尔金历!$M$43),0),1)</f>
        <v>0.3425120851262945</v>
      </c>
      <c r="M3273" s="4">
        <f>MIN(MAX(M3272*(1+MAX(MIN(((B3273-B3272)/B3272)/($K$7*30),0),-卓尔金历!$M$43))+MIN(MAX(((B3273-B3272)/B3272)/($K$7*7),0),卓尔金历!$M$43),0),1)</f>
        <v>1</v>
      </c>
      <c r="N3273">
        <f t="shared" si="453"/>
        <v>193216.32168425689</v>
      </c>
      <c r="O3273">
        <f t="shared" si="454"/>
        <v>544438.91786477144</v>
      </c>
      <c r="P3273">
        <f t="shared" si="455"/>
        <v>3.6077357671813073E-5</v>
      </c>
      <c r="Q3273">
        <f t="shared" si="456"/>
        <v>3.0382448143281549E-2</v>
      </c>
      <c r="R3273">
        <f t="shared" si="457"/>
        <v>1</v>
      </c>
      <c r="S3273">
        <f t="shared" si="449"/>
        <v>1130.4460872014643</v>
      </c>
      <c r="T3273" s="564">
        <f>IF((I3273-MAX(I$470:I3273))/MAX(I$470:I3273)&gt;T3272,T3272,(I3273-MAX(I$470:I3273))/MAX(I$470:I3273))</f>
        <v>-0.91338805338419748</v>
      </c>
      <c r="U3273" s="564">
        <f>IF((J3273-MAX(J$470:J3273))/MAX(J$470:J3273)&gt;U3272,U3272,(J3273-MAX(J$470:J3273))/MAX(J$470:J3273))</f>
        <v>-0.83569785939843477</v>
      </c>
      <c r="V3273" s="564">
        <f>IF((K3273-MAX(K$470:K3273))/MAX(K$470:K3273)&gt;V3272,V3272,(K3273-MAX(K$470:K3273))/MAX(K$470:K3273))</f>
        <v>-0.84885940676762139</v>
      </c>
      <c r="W3273" s="564">
        <f>IF((N3273-MAX(N$470:N3273))/MAX(N$470:N3273)&gt;W3272,W3272,(N3273-MAX(N$470:N3273))/MAX(N$470:N3273))</f>
        <v>-0.62788758315546067</v>
      </c>
      <c r="X3273" s="564">
        <f>IF((O3273-MAX(O$470:O3273))/MAX(O$470:O3273)&gt;X3272,X3272,(O3273-MAX(O$470:O3273))/MAX(O$470:O3273))</f>
        <v>-0.62788758315546067</v>
      </c>
    </row>
    <row r="3274" spans="1:24">
      <c r="A3274" s="799">
        <v>43676</v>
      </c>
      <c r="B3274">
        <v>9687.8821619999999</v>
      </c>
      <c r="C3274">
        <v>5826.7610439999999</v>
      </c>
      <c r="D3274">
        <v>1.769755</v>
      </c>
      <c r="E3274">
        <f>LN(D3274/参数实验室!$E$53)/参数实验室!$E$55</f>
        <v>-1.9516632079105971E-2</v>
      </c>
      <c r="F3274">
        <f t="shared" si="458"/>
        <v>0.60144838124219124</v>
      </c>
      <c r="G3274">
        <f>LN(F3274/参数实验室!$E$58)/参数实验室!$E$59</f>
        <v>-0.45737346411519481</v>
      </c>
      <c r="H3274" s="856">
        <f>INDEX(神经网络!$G$10:$BO$70,MATCH(ROUND(G3274*2,1)/2,神经网络!$E$10:$E$70,0),MATCH(ROUND(E3274*2,1)/2,神经网络!$G$8:$BO$8,0))</f>
        <v>-0.55498441126737386</v>
      </c>
      <c r="I3274">
        <f t="shared" si="450"/>
        <v>516083.85750811209</v>
      </c>
      <c r="J3274">
        <f t="shared" si="451"/>
        <v>3865.7205067634923</v>
      </c>
      <c r="K3274">
        <f t="shared" si="452"/>
        <v>133.50263077870429</v>
      </c>
      <c r="L3274" s="4">
        <f>MIN(MAX(L3273*(1+MAX(MIN(((B3274-B3273)/B3273)/($K$7*卓尔金历!$N$40),0),-卓尔金历!$M$43))+MIN(MAX(((B3274-B3273)/B3273)/($K$7*卓尔金历!$N$40),0),卓尔金历!$M$43),0),1)</f>
        <v>0.52032445084420265</v>
      </c>
      <c r="M3274" s="4">
        <f>MIN(MAX(M3273*(1+MAX(MIN(((B3274-B3273)/B3273)/($K$7*30),0),-卓尔金历!$M$43))+MIN(MAX(((B3274-B3273)/B3273)/($K$7*7),0),卓尔金历!$M$43),0),1)</f>
        <v>1</v>
      </c>
      <c r="N3274">
        <f t="shared" si="453"/>
        <v>192763.21262730597</v>
      </c>
      <c r="O3274">
        <f t="shared" si="454"/>
        <v>540711.29303830105</v>
      </c>
      <c r="P3274">
        <f t="shared" si="455"/>
        <v>1.1637665808268477E-2</v>
      </c>
      <c r="Q3274">
        <f t="shared" si="456"/>
        <v>2.8660292128007459E-2</v>
      </c>
      <c r="R3274">
        <f t="shared" si="457"/>
        <v>0.9590308322675889</v>
      </c>
      <c r="S3274">
        <f t="shared" si="449"/>
        <v>1122.706231064499</v>
      </c>
      <c r="T3274" s="564">
        <f>IF((I3274-MAX(I$470:I3274))/MAX(I$470:I3274)&gt;T3273,T3273,(I3274-MAX(I$470:I3274))/MAX(I$470:I3274))</f>
        <v>-0.91338805338419748</v>
      </c>
      <c r="U3274" s="564">
        <f>IF((J3274-MAX(J$470:J3274))/MAX(J$470:J3274)&gt;U3273,U3273,(J3274-MAX(J$470:J3274))/MAX(J$470:J3274))</f>
        <v>-0.83569785939843477</v>
      </c>
      <c r="V3274" s="564">
        <f>IF((K3274-MAX(K$470:K3274))/MAX(K$470:K3274)&gt;V3273,V3273,(K3274-MAX(K$470:K3274))/MAX(K$470:K3274))</f>
        <v>-0.84885940676762139</v>
      </c>
      <c r="W3274" s="564">
        <f>IF((N3274-MAX(N$470:N3274))/MAX(N$470:N3274)&gt;W3273,W3273,(N3274-MAX(N$470:N3274))/MAX(N$470:N3274))</f>
        <v>-0.62788758315546067</v>
      </c>
      <c r="X3274" s="564">
        <f>IF((O3274-MAX(O$470:O3274))/MAX(O$470:O3274)&gt;X3273,X3273,(O3274-MAX(O$470:O3274))/MAX(O$470:O3274))</f>
        <v>-0.62788758315546067</v>
      </c>
    </row>
    <row r="3275" spans="1:24">
      <c r="A3275" s="799">
        <v>43677</v>
      </c>
      <c r="B3275">
        <v>10043.887226999999</v>
      </c>
      <c r="C3275">
        <v>5723.7970420000001</v>
      </c>
      <c r="D3275">
        <v>1.8548210000000001</v>
      </c>
      <c r="E3275">
        <f>LN(D3275/参数实验室!$E$53)/参数实验室!$E$55</f>
        <v>3.5869333740984319E-2</v>
      </c>
      <c r="F3275">
        <f t="shared" si="458"/>
        <v>0.56987866476768845</v>
      </c>
      <c r="G3275">
        <f>LN(F3275/参数实验室!$E$58)/参数实验室!$E$59</f>
        <v>-0.48567214849737134</v>
      </c>
      <c r="H3275" s="856">
        <f>INDEX(神经网络!$G$10:$BO$70,MATCH(ROUND(G3275*2,1)/2,神经网络!$E$10:$E$70,0),MATCH(ROUND(E3275*2,1)/2,神经网络!$G$8:$BO$8,0))</f>
        <v>-0.58842899763854939</v>
      </c>
      <c r="I3275">
        <f t="shared" si="450"/>
        <v>505558.70520775835</v>
      </c>
      <c r="J3275">
        <f t="shared" si="451"/>
        <v>4007.7759175611459</v>
      </c>
      <c r="K3275">
        <f t="shared" si="452"/>
        <v>126.1444540830033</v>
      </c>
      <c r="L3275" s="4">
        <f>MIN(MAX(L3274*(1+MAX(MIN(((B3275-B3274)/B3274)/($K$7*卓尔金历!$N$40),0),-卓尔金历!$M$43))+MIN(MAX(((B3275-B3274)/B3274)/($K$7*卓尔金历!$N$40),0),卓尔金历!$M$43),0),1)</f>
        <v>1</v>
      </c>
      <c r="M3275" s="4">
        <f>MIN(MAX(M3274*(1+MAX(MIN(((B3275-B3274)/B3274)/($K$7*30),0),-卓尔金历!$M$43))+MIN(MAX(((B3275-B3274)/B3274)/($K$7*7),0),卓尔金历!$M$43),0),1)</f>
        <v>1</v>
      </c>
      <c r="N3275">
        <f t="shared" si="453"/>
        <v>190717.67956226994</v>
      </c>
      <c r="O3275">
        <f t="shared" si="454"/>
        <v>529683.88222714257</v>
      </c>
      <c r="P3275">
        <f t="shared" si="455"/>
        <v>3.6747460285634241E-2</v>
      </c>
      <c r="Q3275">
        <f t="shared" si="456"/>
        <v>3.0325191913196804E-2</v>
      </c>
      <c r="R3275">
        <f t="shared" si="457"/>
        <v>2.3154927096789384E-2</v>
      </c>
      <c r="S3275">
        <f t="shared" si="449"/>
        <v>1100.7475214032861</v>
      </c>
      <c r="T3275" s="564">
        <f>IF((I3275-MAX(I$470:I3275))/MAX(I$470:I3275)&gt;T3274,T3274,(I3275-MAX(I$470:I3275))/MAX(I$470:I3275))</f>
        <v>-0.91338805338419748</v>
      </c>
      <c r="U3275" s="564">
        <f>IF((J3275-MAX(J$470:J3275))/MAX(J$470:J3275)&gt;U3274,U3274,(J3275-MAX(J$470:J3275))/MAX(J$470:J3275))</f>
        <v>-0.83569785939843477</v>
      </c>
      <c r="V3275" s="564">
        <f>IF((K3275-MAX(K$470:K3275))/MAX(K$470:K3275)&gt;V3274,V3274,(K3275-MAX(K$470:K3275))/MAX(K$470:K3275))</f>
        <v>-0.84885940676762139</v>
      </c>
      <c r="W3275" s="564">
        <f>IF((N3275-MAX(N$470:N3275))/MAX(N$470:N3275)&gt;W3274,W3274,(N3275-MAX(N$470:N3275))/MAX(N$470:N3275))</f>
        <v>-0.62788758315546067</v>
      </c>
      <c r="X3275" s="564">
        <f>IF((O3275-MAX(O$470:O3275))/MAX(O$470:O3275)&gt;X3274,X3274,(O3275-MAX(O$470:O3275))/MAX(O$470:O3275))</f>
        <v>-0.62788758315546067</v>
      </c>
    </row>
    <row r="3276" spans="1:24">
      <c r="A3276" s="799">
        <v>43678</v>
      </c>
      <c r="B3276">
        <v>9986.7969720000001</v>
      </c>
      <c r="C3276">
        <v>5785.4160780000002</v>
      </c>
      <c r="D3276">
        <v>1.9151689999999999</v>
      </c>
      <c r="E3276">
        <f>LN(D3276/参数实验室!$E$53)/参数实验室!$E$55</f>
        <v>7.3642288442043208E-2</v>
      </c>
      <c r="F3276">
        <f t="shared" si="458"/>
        <v>0.57930646775143035</v>
      </c>
      <c r="G3276">
        <f>LN(F3276/参数实验室!$E$58)/参数实验室!$E$59</f>
        <v>-0.47706025231187321</v>
      </c>
      <c r="H3276" s="856">
        <f>INDEX(神经网络!$G$10:$BO$70,MATCH(ROUND(G3276*2,1)/2,神经网络!$E$10:$E$70,0),MATCH(ROUND(E3276*2,1)/2,神经网络!$G$8:$BO$8,0))</f>
        <v>-0.58842899763854939</v>
      </c>
      <c r="I3276">
        <f t="shared" si="450"/>
        <v>507249.63592848845</v>
      </c>
      <c r="J3276">
        <f t="shared" si="451"/>
        <v>3984.9954000239368</v>
      </c>
      <c r="K3276">
        <f t="shared" si="452"/>
        <v>127.28989246146722</v>
      </c>
      <c r="L3276" s="4">
        <f>MIN(MAX(L3275*(1+MAX(MIN(((B3276-B3275)/B3275)/($K$7*卓尔金历!$N$40),0),-卓尔金历!$M$43))+MIN(MAX(((B3276-B3275)/B3275)/($K$7*卓尔金历!$N$40),0),卓尔金历!$M$43),0),1)</f>
        <v>0.91315271754189264</v>
      </c>
      <c r="M3276" s="4">
        <f>MIN(MAX(M3275*(1+MAX(MIN(((B3276-B3275)/B3275)/($K$7*30),0),-卓尔金历!$M$43))+MIN(MAX(((B3276-B3275)/B3275)/($K$7*7),0),卓尔金历!$M$43),0),1)</f>
        <v>0.95657635877094627</v>
      </c>
      <c r="N3276">
        <f t="shared" si="453"/>
        <v>191355.5686541523</v>
      </c>
      <c r="O3276">
        <f t="shared" si="454"/>
        <v>531455.50387959811</v>
      </c>
      <c r="P3276">
        <f t="shared" si="455"/>
        <v>-5.6840796506086822E-3</v>
      </c>
      <c r="Q3276">
        <f t="shared" si="456"/>
        <v>2.870124969976889E-2</v>
      </c>
      <c r="R3276">
        <f t="shared" si="457"/>
        <v>1</v>
      </c>
      <c r="S3276">
        <f t="shared" si="449"/>
        <v>1100.832769630375</v>
      </c>
      <c r="T3276" s="564">
        <f>IF((I3276-MAX(I$470:I3276))/MAX(I$470:I3276)&gt;T3275,T3275,(I3276-MAX(I$470:I3276))/MAX(I$470:I3276))</f>
        <v>-0.91338805338419748</v>
      </c>
      <c r="U3276" s="564">
        <f>IF((J3276-MAX(J$470:J3276))/MAX(J$470:J3276)&gt;U3275,U3275,(J3276-MAX(J$470:J3276))/MAX(J$470:J3276))</f>
        <v>-0.83569785939843477</v>
      </c>
      <c r="V3276" s="564">
        <f>IF((K3276-MAX(K$470:K3276))/MAX(K$470:K3276)&gt;V3275,V3275,(K3276-MAX(K$470:K3276))/MAX(K$470:K3276))</f>
        <v>-0.84885940676762139</v>
      </c>
      <c r="W3276" s="564">
        <f>IF((N3276-MAX(N$470:N3276))/MAX(N$470:N3276)&gt;W3275,W3275,(N3276-MAX(N$470:N3276))/MAX(N$470:N3276))</f>
        <v>-0.62788758315546067</v>
      </c>
      <c r="X3276" s="564">
        <f>IF((O3276-MAX(O$470:O3276))/MAX(O$470:O3276)&gt;X3275,X3275,(O3276-MAX(O$470:O3276))/MAX(O$470:O3276))</f>
        <v>-0.62788758315546067</v>
      </c>
    </row>
    <row r="3277" spans="1:24">
      <c r="A3277" s="799">
        <v>43679</v>
      </c>
      <c r="B3277">
        <v>10595.872300999999</v>
      </c>
      <c r="C3277">
        <v>5787.5920960000003</v>
      </c>
      <c r="D3277">
        <v>1.93669</v>
      </c>
      <c r="E3277">
        <f>LN(D3277/参数实验室!$E$53)/参数实验室!$E$55</f>
        <v>8.682539496725844E-2</v>
      </c>
      <c r="F3277">
        <f t="shared" si="458"/>
        <v>0.54621195231409014</v>
      </c>
      <c r="G3277">
        <f>LN(F3277/参数实验室!$E$58)/参数实验室!$E$59</f>
        <v>-0.50793455591557779</v>
      </c>
      <c r="H3277" s="856">
        <f>INDEX(神经网络!$G$10:$BO$70,MATCH(ROUND(G3277*2,1)/2,神经网络!$E$10:$E$70,0),MATCH(ROUND(E3277*2,1)/2,神经网络!$G$8:$BO$8,0))</f>
        <v>-0.55494491182501449</v>
      </c>
      <c r="I3277">
        <f t="shared" si="450"/>
        <v>489045.89701340738</v>
      </c>
      <c r="J3277">
        <f t="shared" si="451"/>
        <v>4228.0325210486362</v>
      </c>
      <c r="K3277">
        <f t="shared" si="452"/>
        <v>115.66748708264767</v>
      </c>
      <c r="L3277" s="4">
        <f>MIN(MAX(L3276*(1+MAX(MIN(((B3277-B3276)/B3276)/($K$7*卓尔金历!$N$40),0),-卓尔金历!$M$43))+MIN(MAX(((B3277-B3276)/B3276)/($K$7*卓尔金历!$N$40),0),卓尔金历!$M$43),0),1)</f>
        <v>1</v>
      </c>
      <c r="M3277" s="4">
        <f>MIN(MAX(M3276*(1+MAX(MIN(((B3277-B3276)/B3276)/($K$7*30),0),-卓尔金历!$M$43))+MIN(MAX(((B3277-B3276)/B3276)/($K$7*7),0),卓尔金历!$M$43),0),1)</f>
        <v>1</v>
      </c>
      <c r="N3277">
        <f t="shared" si="453"/>
        <v>185084.76251043612</v>
      </c>
      <c r="O3277">
        <f t="shared" si="454"/>
        <v>513211.27943176188</v>
      </c>
      <c r="P3277">
        <f t="shared" si="455"/>
        <v>6.0988055600575929E-2</v>
      </c>
      <c r="Q3277">
        <f t="shared" si="456"/>
        <v>3.2004760946694022E-2</v>
      </c>
      <c r="R3277">
        <f t="shared" si="457"/>
        <v>1.0194874358980739E-2</v>
      </c>
      <c r="S3277">
        <f t="shared" si="449"/>
        <v>1061.32702944224</v>
      </c>
      <c r="T3277" s="564">
        <f>IF((I3277-MAX(I$470:I3277))/MAX(I$470:I3277)&gt;T3276,T3276,(I3277-MAX(I$470:I3277))/MAX(I$470:I3277))</f>
        <v>-0.91338805338419748</v>
      </c>
      <c r="U3277" s="564">
        <f>IF((J3277-MAX(J$470:J3277))/MAX(J$470:J3277)&gt;U3276,U3276,(J3277-MAX(J$470:J3277))/MAX(J$470:J3277))</f>
        <v>-0.83569785939843477</v>
      </c>
      <c r="V3277" s="564">
        <f>IF((K3277-MAX(K$470:K3277))/MAX(K$470:K3277)&gt;V3276,V3276,(K3277-MAX(K$470:K3277))/MAX(K$470:K3277))</f>
        <v>-0.84885940676762139</v>
      </c>
      <c r="W3277" s="564">
        <f>IF((N3277-MAX(N$470:N3277))/MAX(N$470:N3277)&gt;W3276,W3276,(N3277-MAX(N$470:N3277))/MAX(N$470:N3277))</f>
        <v>-0.62788758315546067</v>
      </c>
      <c r="X3277" s="564">
        <f>IF((O3277-MAX(O$470:O3277))/MAX(O$470:O3277)&gt;X3276,X3276,(O3277-MAX(O$470:O3277))/MAX(O$470:O3277))</f>
        <v>-0.62788758315546067</v>
      </c>
    </row>
    <row r="3278" spans="1:24">
      <c r="A3278" s="799">
        <v>43680</v>
      </c>
      <c r="B3278">
        <v>10764.775786</v>
      </c>
      <c r="C3278">
        <v>5756.0494429999999</v>
      </c>
      <c r="D3278">
        <v>1.9863360000000001</v>
      </c>
      <c r="E3278">
        <f>LN(D3278/参数实验室!$E$53)/参数实验室!$E$55</f>
        <v>0.11668660746416398</v>
      </c>
      <c r="F3278">
        <f t="shared" si="458"/>
        <v>0.53471150327960948</v>
      </c>
      <c r="G3278">
        <f>LN(F3278/参数实验室!$E$58)/参数实验室!$E$59</f>
        <v>-0.5191033115092708</v>
      </c>
      <c r="H3278" s="856">
        <f>INDEX(神经网络!$G$10:$BO$70,MATCH(ROUND(G3278*2,1)/2,神经网络!$E$10:$E$70,0),MATCH(ROUND(E3278*2,1)/2,神经网络!$G$8:$BO$8,0))</f>
        <v>-0.55494491182501449</v>
      </c>
      <c r="I3278">
        <f t="shared" si="450"/>
        <v>484719.74885945866</v>
      </c>
      <c r="J3278">
        <f t="shared" si="451"/>
        <v>4295.4294665017305</v>
      </c>
      <c r="K3278">
        <f t="shared" si="452"/>
        <v>112.84546810501408</v>
      </c>
      <c r="L3278" s="4">
        <f>MIN(MAX(L3277*(1+MAX(MIN(((B3278-B3277)/B3277)/($K$7*卓尔金历!$N$40),0),-卓尔金历!$M$43))+MIN(MAX(((B3278-B3277)/B3277)/($K$7*卓尔金历!$N$40),0),卓尔金历!$M$43),0),1)</f>
        <v>1</v>
      </c>
      <c r="M3278" s="4">
        <f>MIN(MAX(M3277*(1+MAX(MIN(((B3278-B3277)/B3277)/($K$7*30),0),-卓尔金历!$M$43))+MIN(MAX(((B3278-B3277)/B3277)/($K$7*7),0),卓尔金历!$M$43),0),1)</f>
        <v>1</v>
      </c>
      <c r="N3278">
        <f t="shared" si="453"/>
        <v>183447.48447876581</v>
      </c>
      <c r="O3278">
        <f t="shared" si="454"/>
        <v>508671.36192573997</v>
      </c>
      <c r="P3278">
        <f t="shared" si="455"/>
        <v>1.5940498356521362E-2</v>
      </c>
      <c r="Q3278">
        <f t="shared" si="456"/>
        <v>3.2254045365850192E-2</v>
      </c>
      <c r="R3278">
        <f t="shared" si="457"/>
        <v>0.75934162918896786</v>
      </c>
      <c r="S3278">
        <f t="shared" si="449"/>
        <v>1061.2313138102186</v>
      </c>
      <c r="T3278" s="564">
        <f>IF((I3278-MAX(I$470:I3278))/MAX(I$470:I3278)&gt;T3277,T3277,(I3278-MAX(I$470:I3278))/MAX(I$470:I3278))</f>
        <v>-0.91338805338419748</v>
      </c>
      <c r="U3278" s="564">
        <f>IF((J3278-MAX(J$470:J3278))/MAX(J$470:J3278)&gt;U3277,U3277,(J3278-MAX(J$470:J3278))/MAX(J$470:J3278))</f>
        <v>-0.83569785939843477</v>
      </c>
      <c r="V3278" s="564">
        <f>IF((K3278-MAX(K$470:K3278))/MAX(K$470:K3278)&gt;V3277,V3277,(K3278-MAX(K$470:K3278))/MAX(K$470:K3278))</f>
        <v>-0.84885940676762139</v>
      </c>
      <c r="W3278" s="564">
        <f>IF((N3278-MAX(N$470:N3278))/MAX(N$470:N3278)&gt;W3277,W3277,(N3278-MAX(N$470:N3278))/MAX(N$470:N3278))</f>
        <v>-0.62788758315546067</v>
      </c>
      <c r="X3278" s="564">
        <f>IF((O3278-MAX(O$470:O3278))/MAX(O$470:O3278)&gt;X3277,X3277,(O3278-MAX(O$470:O3278))/MAX(O$470:O3278))</f>
        <v>-0.62788758315546067</v>
      </c>
    </row>
    <row r="3279" spans="1:24">
      <c r="A3279" s="799">
        <v>43681</v>
      </c>
      <c r="B3279">
        <v>10787.776968</v>
      </c>
      <c r="C3279">
        <v>5826.0196159999996</v>
      </c>
      <c r="D3279">
        <v>2.0166430000000002</v>
      </c>
      <c r="E3279">
        <f>LN(D3279/参数实验室!$E$53)/参数实验室!$E$55</f>
        <v>0.13455103531344942</v>
      </c>
      <c r="F3279">
        <f t="shared" si="458"/>
        <v>0.54005747739148102</v>
      </c>
      <c r="G3279">
        <f>LN(F3279/参数实验室!$E$58)/参数实验室!$E$59</f>
        <v>-0.5138819489320906</v>
      </c>
      <c r="H3279" s="856">
        <f>INDEX(神经网络!$G$10:$BO$70,MATCH(ROUND(G3279*2,1)/2,神经网络!$E$10:$E$70,0),MATCH(ROUND(E3279*2,1)/2,神经网络!$G$8:$BO$8,0))</f>
        <v>-0.51574774143142676</v>
      </c>
      <c r="I3279">
        <f t="shared" si="450"/>
        <v>484144.98989437439</v>
      </c>
      <c r="J3279">
        <f t="shared" si="451"/>
        <v>4304.6075447907051</v>
      </c>
      <c r="K3279">
        <f t="shared" si="452"/>
        <v>112.47134259202579</v>
      </c>
      <c r="L3279" s="4">
        <f>MIN(MAX(L3278*(1+MAX(MIN(((B3279-B3278)/B3278)/($K$7*卓尔金历!$N$40),0),-卓尔金历!$M$43))+MIN(MAX(((B3279-B3278)/B3278)/($K$7*卓尔金历!$N$40),0),卓尔金历!$M$43),0),1)</f>
        <v>1</v>
      </c>
      <c r="M3279" s="4">
        <f>MIN(MAX(M3278*(1+MAX(MIN(((B3279-B3278)/B3278)/($K$7*30),0),-卓尔金历!$M$43))+MIN(MAX(((B3279-B3278)/B3278)/($K$7*7),0),卓尔金历!$M$43),0),1)</f>
        <v>1</v>
      </c>
      <c r="N3279">
        <f t="shared" si="453"/>
        <v>183229.96066923582</v>
      </c>
      <c r="O3279">
        <f t="shared" si="454"/>
        <v>508068.2022107988</v>
      </c>
      <c r="P3279">
        <f t="shared" si="455"/>
        <v>2.1367079498222233E-3</v>
      </c>
      <c r="Q3279">
        <f t="shared" si="456"/>
        <v>2.8409751425655036E-2</v>
      </c>
      <c r="R3279">
        <f t="shared" si="457"/>
        <v>1</v>
      </c>
      <c r="S3279">
        <f t="shared" si="449"/>
        <v>1060.275788257145</v>
      </c>
      <c r="T3279" s="564">
        <f>IF((I3279-MAX(I$470:I3279))/MAX(I$470:I3279)&gt;T3278,T3278,(I3279-MAX(I$470:I3279))/MAX(I$470:I3279))</f>
        <v>-0.91338805338419748</v>
      </c>
      <c r="U3279" s="564">
        <f>IF((J3279-MAX(J$470:J3279))/MAX(J$470:J3279)&gt;U3278,U3278,(J3279-MAX(J$470:J3279))/MAX(J$470:J3279))</f>
        <v>-0.83569785939843477</v>
      </c>
      <c r="V3279" s="564">
        <f>IF((K3279-MAX(K$470:K3279))/MAX(K$470:K3279)&gt;V3278,V3278,(K3279-MAX(K$470:K3279))/MAX(K$470:K3279))</f>
        <v>-0.84885940676762139</v>
      </c>
      <c r="W3279" s="564">
        <f>IF((N3279-MAX(N$470:N3279))/MAX(N$470:N3279)&gt;W3278,W3278,(N3279-MAX(N$470:N3279))/MAX(N$470:N3279))</f>
        <v>-0.62788758315546067</v>
      </c>
      <c r="X3279" s="564">
        <f>IF((O3279-MAX(O$470:O3279))/MAX(O$470:O3279)&gt;X3278,X3278,(O3279-MAX(O$470:O3279))/MAX(O$470:O3279))</f>
        <v>-0.62788758315546067</v>
      </c>
    </row>
    <row r="3280" spans="1:24">
      <c r="A3280" s="799">
        <v>43682</v>
      </c>
      <c r="B3280">
        <v>11694.674773000001</v>
      </c>
      <c r="C3280">
        <v>5935.5565219999999</v>
      </c>
      <c r="D3280">
        <v>2.1520929999999998</v>
      </c>
      <c r="E3280">
        <f>LN(D3280/参数实验室!$E$53)/参数实验室!$E$55</f>
        <v>0.21124279340924773</v>
      </c>
      <c r="F3280">
        <f t="shared" si="458"/>
        <v>0.50754353047112299</v>
      </c>
      <c r="G3280">
        <f>LN(F3280/参数实验室!$E$58)/参数实验室!$E$59</f>
        <v>-0.54647175928581704</v>
      </c>
      <c r="H3280" s="856">
        <f>INDEX(神经网络!$G$10:$BO$70,MATCH(ROUND(G3280*2,1)/2,神经网络!$E$10:$E$70,0),MATCH(ROUND(E3280*2,1)/2,神经网络!$G$8:$BO$8,0))</f>
        <v>-0.55452970074764008</v>
      </c>
      <c r="I3280">
        <f t="shared" si="450"/>
        <v>463153.69796541968</v>
      </c>
      <c r="J3280">
        <f t="shared" si="451"/>
        <v>4666.4836889988374</v>
      </c>
      <c r="K3280">
        <f t="shared" si="452"/>
        <v>99.251112579113325</v>
      </c>
      <c r="L3280" s="4">
        <f>MIN(MAX(L3279*(1+MAX(MIN(((B3280-B3279)/B3279)/($K$7*卓尔金历!$N$40),0),-卓尔金历!$M$43))+MIN(MAX(((B3280-B3279)/B3279)/($K$7*卓尔金历!$N$40),0),卓尔金历!$M$43),0),1)</f>
        <v>1</v>
      </c>
      <c r="M3280" s="4">
        <f>MIN(MAX(M3279*(1+MAX(MIN(((B3280-B3279)/B3279)/($K$7*30),0),-卓尔金历!$M$43))+MIN(MAX(((B3280-B3279)/B3279)/($K$7*7),0),卓尔金历!$M$43),0),1)</f>
        <v>1</v>
      </c>
      <c r="N3280">
        <f t="shared" si="453"/>
        <v>175285.57691060609</v>
      </c>
      <c r="O3280">
        <f t="shared" si="454"/>
        <v>486039.66081299802</v>
      </c>
      <c r="P3280">
        <f t="shared" si="455"/>
        <v>8.4067163020717775E-2</v>
      </c>
      <c r="Q3280">
        <f t="shared" si="456"/>
        <v>3.3316980051860248E-2</v>
      </c>
      <c r="R3280">
        <f t="shared" si="457"/>
        <v>2.1151383624853273E-3</v>
      </c>
      <c r="S3280">
        <f t="shared" si="449"/>
        <v>1014.3049343578534</v>
      </c>
      <c r="T3280" s="564">
        <f>IF((I3280-MAX(I$470:I3280))/MAX(I$470:I3280)&gt;T3279,T3279,(I3280-MAX(I$470:I3280))/MAX(I$470:I3280))</f>
        <v>-0.91338805338419748</v>
      </c>
      <c r="U3280" s="564">
        <f>IF((J3280-MAX(J$470:J3280))/MAX(J$470:J3280)&gt;U3279,U3279,(J3280-MAX(J$470:J3280))/MAX(J$470:J3280))</f>
        <v>-0.83569785939843477</v>
      </c>
      <c r="V3280" s="564">
        <f>IF((K3280-MAX(K$470:K3280))/MAX(K$470:K3280)&gt;V3279,V3279,(K3280-MAX(K$470:K3280))/MAX(K$470:K3280))</f>
        <v>-0.84885940676762139</v>
      </c>
      <c r="W3280" s="564">
        <f>IF((N3280-MAX(N$470:N3280))/MAX(N$470:N3280)&gt;W3279,W3279,(N3280-MAX(N$470:N3280))/MAX(N$470:N3280))</f>
        <v>-0.62788758315546067</v>
      </c>
      <c r="X3280" s="564">
        <f>IF((O3280-MAX(O$470:O3280))/MAX(O$470:O3280)&gt;X3279,X3279,(O3280-MAX(O$470:O3280))/MAX(O$470:O3280))</f>
        <v>-0.62788758315546067</v>
      </c>
    </row>
    <row r="3281" spans="1:24">
      <c r="A3281" s="799">
        <v>43683</v>
      </c>
      <c r="B3281">
        <v>11706.456236</v>
      </c>
      <c r="C3281">
        <v>5898.9078220000001</v>
      </c>
      <c r="D3281">
        <v>2.0776340000000002</v>
      </c>
      <c r="E3281">
        <f>LN(D3281/参数实验室!$E$53)/参数实验室!$E$55</f>
        <v>0.16970237132516991</v>
      </c>
      <c r="F3281">
        <f t="shared" si="458"/>
        <v>0.50390209497042537</v>
      </c>
      <c r="G3281">
        <f>LN(F3281/参数实验室!$E$58)/参数实验室!$E$59</f>
        <v>-0.55025096472144353</v>
      </c>
      <c r="H3281" s="856">
        <f>INDEX(神经网络!$G$10:$BO$70,MATCH(ROUND(G3281*2,1)/2,神经网络!$E$10:$E$70,0),MATCH(ROUND(E3281*2,1)/2,神经网络!$G$8:$BO$8,0))</f>
        <v>-0.58817789686013844</v>
      </c>
      <c r="I3281">
        <f t="shared" si="450"/>
        <v>462894.95948511886</v>
      </c>
      <c r="J3281">
        <f t="shared" si="451"/>
        <v>4671.1848034795039</v>
      </c>
      <c r="K3281">
        <f t="shared" si="452"/>
        <v>99.095835202305523</v>
      </c>
      <c r="L3281" s="4">
        <f>MIN(MAX(L3280*(1+MAX(MIN(((B3281-B3280)/B3280)/($K$7*卓尔金历!$N$40),0),-卓尔金历!$M$43))+MIN(MAX(((B3281-B3280)/B3280)/($K$7*卓尔金历!$N$40),0),卓尔金历!$M$43),0),1)</f>
        <v>1</v>
      </c>
      <c r="M3281" s="4">
        <f>MIN(MAX(M3280*(1+MAX(MIN(((B3281-B3280)/B3280)/($K$7*30),0),-卓尔金历!$M$43))+MIN(MAX(((B3281-B3280)/B3280)/($K$7*7),0),卓尔金历!$M$43),0),1)</f>
        <v>1</v>
      </c>
      <c r="N3281">
        <f t="shared" si="453"/>
        <v>175187.65450603989</v>
      </c>
      <c r="O3281">
        <f t="shared" si="454"/>
        <v>485768.13720483705</v>
      </c>
      <c r="P3281">
        <f t="shared" si="455"/>
        <v>1.0074211749094314E-3</v>
      </c>
      <c r="Q3281">
        <f t="shared" si="456"/>
        <v>3.3232264567642722E-2</v>
      </c>
      <c r="R3281">
        <f t="shared" si="457"/>
        <v>1</v>
      </c>
      <c r="S3281">
        <f t="shared" si="449"/>
        <v>1014.3037358435885</v>
      </c>
      <c r="T3281" s="564">
        <f>IF((I3281-MAX(I$470:I3281))/MAX(I$470:I3281)&gt;T3280,T3280,(I3281-MAX(I$470:I3281))/MAX(I$470:I3281))</f>
        <v>-0.91338805338419748</v>
      </c>
      <c r="U3281" s="564">
        <f>IF((J3281-MAX(J$470:J3281))/MAX(J$470:J3281)&gt;U3280,U3280,(J3281-MAX(J$470:J3281))/MAX(J$470:J3281))</f>
        <v>-0.83569785939843477</v>
      </c>
      <c r="V3281" s="564">
        <f>IF((K3281-MAX(K$470:K3281))/MAX(K$470:K3281)&gt;V3280,V3280,(K3281-MAX(K$470:K3281))/MAX(K$470:K3281))</f>
        <v>-0.84885940676762139</v>
      </c>
      <c r="W3281" s="564">
        <f>IF((N3281-MAX(N$470:N3281))/MAX(N$470:N3281)&gt;W3280,W3280,(N3281-MAX(N$470:N3281))/MAX(N$470:N3281))</f>
        <v>-0.62788758315546067</v>
      </c>
      <c r="X3281" s="564">
        <f>IF((O3281-MAX(O$470:O3281))/MAX(O$470:O3281)&gt;X3280,X3280,(O3281-MAX(O$470:O3281))/MAX(O$470:O3281))</f>
        <v>-0.62788758315546067</v>
      </c>
    </row>
    <row r="3282" spans="1:24">
      <c r="A3282" s="799">
        <v>43684</v>
      </c>
      <c r="B3282">
        <v>11715.475004</v>
      </c>
      <c r="C3282">
        <v>5970.9781469999998</v>
      </c>
      <c r="D3282">
        <v>2.1693570000000002</v>
      </c>
      <c r="E3282">
        <f>LN(D3282/参数实验室!$E$53)/参数实验室!$E$55</f>
        <v>0.22066896673373279</v>
      </c>
      <c r="F3282">
        <f t="shared" si="458"/>
        <v>0.50966590300105941</v>
      </c>
      <c r="G3282">
        <f>LN(F3282/参数实验室!$E$58)/参数实验室!$E$59</f>
        <v>-0.54428157625554174</v>
      </c>
      <c r="H3282" s="856">
        <f>INDEX(神经网络!$G$10:$BO$70,MATCH(ROUND(G3282*2,1)/2,神经网络!$E$10:$E$70,0),MATCH(ROUND(E3282*2,1)/2,神经网络!$G$8:$BO$8,0))</f>
        <v>-0.55452970074764008</v>
      </c>
      <c r="I3282">
        <f t="shared" si="450"/>
        <v>462685.20419574354</v>
      </c>
      <c r="J3282">
        <f t="shared" si="451"/>
        <v>4674.7835297873135</v>
      </c>
      <c r="K3282">
        <f t="shared" si="452"/>
        <v>98.974680056852634</v>
      </c>
      <c r="L3282" s="4">
        <f>MIN(MAX(L3281*(1+MAX(MIN(((B3282-B3281)/B3281)/($K$7*卓尔金历!$N$40),0),-卓尔金历!$M$43))+MIN(MAX(((B3282-B3281)/B3281)/($K$7*卓尔金历!$N$40),0),卓尔金历!$M$43),0),1)</f>
        <v>1</v>
      </c>
      <c r="M3282" s="4">
        <f>MIN(MAX(M3281*(1+MAX(MIN(((B3282-B3281)/B3281)/($K$7*30),0),-卓尔金历!$M$43))+MIN(MAX(((B3282-B3281)/B3281)/($K$7*7),0),卓尔金历!$M$43),0),1)</f>
        <v>1</v>
      </c>
      <c r="N3282">
        <f t="shared" si="453"/>
        <v>175108.27032521673</v>
      </c>
      <c r="O3282">
        <f t="shared" si="454"/>
        <v>485548.01720979105</v>
      </c>
      <c r="P3282">
        <f t="shared" si="455"/>
        <v>7.7040974810678898E-4</v>
      </c>
      <c r="Q3282">
        <f t="shared" si="456"/>
        <v>2.9401297887511977E-2</v>
      </c>
      <c r="R3282">
        <f t="shared" si="457"/>
        <v>1</v>
      </c>
      <c r="S3282">
        <f t="shared" si="449"/>
        <v>1013.8441162921832</v>
      </c>
      <c r="T3282" s="564">
        <f>IF((I3282-MAX(I$470:I3282))/MAX(I$470:I3282)&gt;T3281,T3281,(I3282-MAX(I$470:I3282))/MAX(I$470:I3282))</f>
        <v>-0.91338805338419748</v>
      </c>
      <c r="U3282" s="564">
        <f>IF((J3282-MAX(J$470:J3282))/MAX(J$470:J3282)&gt;U3281,U3281,(J3282-MAX(J$470:J3282))/MAX(J$470:J3282))</f>
        <v>-0.83569785939843477</v>
      </c>
      <c r="V3282" s="564">
        <f>IF((K3282-MAX(K$470:K3282))/MAX(K$470:K3282)&gt;V3281,V3281,(K3282-MAX(K$470:K3282))/MAX(K$470:K3282))</f>
        <v>-0.84885940676762139</v>
      </c>
      <c r="W3282" s="564">
        <f>IF((N3282-MAX(N$470:N3282))/MAX(N$470:N3282)&gt;W3281,W3281,(N3282-MAX(N$470:N3282))/MAX(N$470:N3282))</f>
        <v>-0.62788758315546067</v>
      </c>
      <c r="X3282" s="564">
        <f>IF((O3282-MAX(O$470:O3282))/MAX(O$470:O3282)&gt;X3281,X3281,(O3282-MAX(O$470:O3282))/MAX(O$470:O3282))</f>
        <v>-0.62788758315546067</v>
      </c>
    </row>
    <row r="3283" spans="1:24">
      <c r="A3283" s="799">
        <v>43685</v>
      </c>
      <c r="B3283">
        <v>11769.027451</v>
      </c>
      <c r="C3283">
        <v>5996.4719009999999</v>
      </c>
      <c r="D3283">
        <v>2.1571370000000001</v>
      </c>
      <c r="E3283">
        <f>LN(D3283/参数实验室!$E$53)/参数实验室!$E$55</f>
        <v>0.21400462235792894</v>
      </c>
      <c r="F3283">
        <f t="shared" si="458"/>
        <v>0.50951295049366951</v>
      </c>
      <c r="G3283">
        <f>LN(F3283/参数实验室!$E$58)/参数实验室!$E$59</f>
        <v>-0.54443911041596993</v>
      </c>
      <c r="H3283" s="856">
        <f>INDEX(神经网络!$G$10:$BO$70,MATCH(ROUND(G3283*2,1)/2,神经网络!$E$10:$E$70,0),MATCH(ROUND(E3283*2,1)/2,神经网络!$G$8:$BO$8,0))</f>
        <v>-0.55452970074764008</v>
      </c>
      <c r="I3283">
        <f t="shared" si="450"/>
        <v>461512.38830380584</v>
      </c>
      <c r="J3283">
        <f t="shared" si="451"/>
        <v>4696.1523686205601</v>
      </c>
      <c r="K3283">
        <f t="shared" si="452"/>
        <v>98.274577159720593</v>
      </c>
      <c r="L3283" s="4">
        <f>MIN(MAX(L3282*(1+MAX(MIN(((B3283-B3282)/B3282)/($K$7*卓尔金历!$N$40),0),-卓尔金历!$M$43))+MIN(MAX(((B3283-B3282)/B3282)/($K$7*卓尔金历!$N$40),0),卓尔金历!$M$43),0),1)</f>
        <v>1</v>
      </c>
      <c r="M3283" s="4">
        <f>MIN(MAX(M3282*(1+MAX(MIN(((B3283-B3282)/B3282)/($K$7*30),0),-卓尔金历!$M$43))+MIN(MAX(((B3283-B3282)/B3282)/($K$7*7),0),卓尔金历!$M$43),0),1)</f>
        <v>1</v>
      </c>
      <c r="N3283">
        <f t="shared" si="453"/>
        <v>174664.40533799693</v>
      </c>
      <c r="O3283">
        <f t="shared" si="454"/>
        <v>484317.24858845089</v>
      </c>
      <c r="P3283">
        <f t="shared" si="455"/>
        <v>4.5710862753508231E-3</v>
      </c>
      <c r="Q3283">
        <f t="shared" si="456"/>
        <v>2.7219151579506638E-2</v>
      </c>
      <c r="R3283">
        <f t="shared" si="457"/>
        <v>1</v>
      </c>
      <c r="S3283">
        <f t="shared" si="449"/>
        <v>1011.2742210788667</v>
      </c>
      <c r="T3283" s="564">
        <f>IF((I3283-MAX(I$470:I3283))/MAX(I$470:I3283)&gt;T3282,T3282,(I3283-MAX(I$470:I3283))/MAX(I$470:I3283))</f>
        <v>-0.91338805338419748</v>
      </c>
      <c r="U3283" s="564">
        <f>IF((J3283-MAX(J$470:J3283))/MAX(J$470:J3283)&gt;U3282,U3282,(J3283-MAX(J$470:J3283))/MAX(J$470:J3283))</f>
        <v>-0.83569785939843477</v>
      </c>
      <c r="V3283" s="564">
        <f>IF((K3283-MAX(K$470:K3283))/MAX(K$470:K3283)&gt;V3282,V3282,(K3283-MAX(K$470:K3283))/MAX(K$470:K3283))</f>
        <v>-0.84885940676762139</v>
      </c>
      <c r="W3283" s="564">
        <f>IF((N3283-MAX(N$470:N3283))/MAX(N$470:N3283)&gt;W3282,W3282,(N3283-MAX(N$470:N3283))/MAX(N$470:N3283))</f>
        <v>-0.62788758315546067</v>
      </c>
      <c r="X3283" s="564">
        <f>IF((O3283-MAX(O$470:O3283))/MAX(O$470:O3283)&gt;X3282,X3282,(O3283-MAX(O$470:O3283))/MAX(O$470:O3283))</f>
        <v>-0.62788758315546067</v>
      </c>
    </row>
    <row r="3284" spans="1:24">
      <c r="A3284" s="799">
        <v>43686</v>
      </c>
      <c r="B3284">
        <v>11761.021935999999</v>
      </c>
      <c r="C3284">
        <v>5924.0721800000001</v>
      </c>
      <c r="D3284">
        <v>2.1398269999999999</v>
      </c>
      <c r="E3284">
        <f>LN(D3284/参数实验室!$E$53)/参数实验室!$E$55</f>
        <v>0.2044994744802448</v>
      </c>
      <c r="F3284">
        <f t="shared" si="458"/>
        <v>0.50370386283071722</v>
      </c>
      <c r="G3284">
        <f>LN(F3284/参数实验室!$E$58)/参数实验室!$E$59</f>
        <v>-0.55045747985869808</v>
      </c>
      <c r="H3284" s="856">
        <f>INDEX(神经网络!$G$10:$BO$70,MATCH(ROUND(G3284*2,1)/2,神经网络!$E$10:$E$70,0),MATCH(ROUND(E3284*2,1)/2,神经网络!$G$8:$BO$8,0))</f>
        <v>-0.55452970074764008</v>
      </c>
      <c r="I3284">
        <f t="shared" si="450"/>
        <v>461686.47150930273</v>
      </c>
      <c r="J3284">
        <f t="shared" si="451"/>
        <v>4692.9579569849511</v>
      </c>
      <c r="K3284">
        <f t="shared" si="452"/>
        <v>98.378565446582201</v>
      </c>
      <c r="L3284" s="4">
        <f>MIN(MAX(L3283*(1+MAX(MIN(((B3284-B3283)/B3283)/($K$7*卓尔金历!$N$40),0),-卓尔金历!$M$43))+MIN(MAX(((B3284-B3283)/B3283)/($K$7*卓尔金历!$N$40),0),卓尔金历!$M$43),0),1)</f>
        <v>0.98960690784423566</v>
      </c>
      <c r="M3284" s="4">
        <f>MIN(MAX(M3283*(1+MAX(MIN(((B3284-B3283)/B3283)/($K$7*30),0),-卓尔金历!$M$43))+MIN(MAX(((B3284-B3283)/B3283)/($K$7*7),0),卓尔金历!$M$43),0),1)</f>
        <v>0.99480345392211778</v>
      </c>
      <c r="N3284">
        <f t="shared" si="453"/>
        <v>174730.28902896176</v>
      </c>
      <c r="O3284">
        <f t="shared" si="454"/>
        <v>484499.93382344878</v>
      </c>
      <c r="P3284">
        <f t="shared" si="455"/>
        <v>-6.8021890792008667E-4</v>
      </c>
      <c r="Q3284">
        <f t="shared" si="456"/>
        <v>2.725833973900094E-2</v>
      </c>
      <c r="R3284">
        <f t="shared" si="457"/>
        <v>1</v>
      </c>
      <c r="S3284">
        <f t="shared" si="449"/>
        <v>1011.6556753204069</v>
      </c>
      <c r="T3284" s="564">
        <f>IF((I3284-MAX(I$470:I3284))/MAX(I$470:I3284)&gt;T3283,T3283,(I3284-MAX(I$470:I3284))/MAX(I$470:I3284))</f>
        <v>-0.91338805338419748</v>
      </c>
      <c r="U3284" s="564">
        <f>IF((J3284-MAX(J$470:J3284))/MAX(J$470:J3284)&gt;U3283,U3283,(J3284-MAX(J$470:J3284))/MAX(J$470:J3284))</f>
        <v>-0.83569785939843477</v>
      </c>
      <c r="V3284" s="564">
        <f>IF((K3284-MAX(K$470:K3284))/MAX(K$470:K3284)&gt;V3283,V3283,(K3284-MAX(K$470:K3284))/MAX(K$470:K3284))</f>
        <v>-0.84885940676762139</v>
      </c>
      <c r="W3284" s="564">
        <f>IF((N3284-MAX(N$470:N3284))/MAX(N$470:N3284)&gt;W3283,W3283,(N3284-MAX(N$470:N3284))/MAX(N$470:N3284))</f>
        <v>-0.62788758315546067</v>
      </c>
      <c r="X3284" s="564">
        <f>IF((O3284-MAX(O$470:O3284))/MAX(O$470:O3284)&gt;X3283,X3283,(O3284-MAX(O$470:O3284))/MAX(O$470:O3284))</f>
        <v>-0.62788758315546067</v>
      </c>
    </row>
    <row r="3285" spans="1:24">
      <c r="A3285" s="799">
        <v>43687</v>
      </c>
      <c r="B3285">
        <v>11437.269528000001</v>
      </c>
      <c r="C3285">
        <v>5968.975187</v>
      </c>
      <c r="D3285">
        <v>2.0392329999999999</v>
      </c>
      <c r="E3285">
        <f>LN(D3285/参数实验室!$E$53)/参数实验室!$E$55</f>
        <v>0.14769290718895414</v>
      </c>
      <c r="F3285">
        <f t="shared" si="458"/>
        <v>0.52188812831481601</v>
      </c>
      <c r="G3285">
        <f>LN(F3285/参数实验室!$E$58)/参数实验室!$E$59</f>
        <v>-0.53184367308499081</v>
      </c>
      <c r="H3285" s="856">
        <f>INDEX(神经网络!$G$10:$BO$70,MATCH(ROUND(G3285*2,1)/2,神经网络!$E$10:$E$70,0),MATCH(ROUND(E3285*2,1)/2,神经网络!$G$8:$BO$8,0))</f>
        <v>-0.58817789686013844</v>
      </c>
      <c r="I3285">
        <f t="shared" si="450"/>
        <v>468734.0497857547</v>
      </c>
      <c r="J3285">
        <f t="shared" si="451"/>
        <v>4563.7722070148793</v>
      </c>
      <c r="K3285">
        <f t="shared" si="452"/>
        <v>102.70759111624226</v>
      </c>
      <c r="L3285" s="4">
        <f>MIN(MAX(L3284*(1+MAX(MIN(((B3285-B3284)/B3284)/($K$7*卓尔金历!$N$40),0),-卓尔金历!$M$43))+MIN(MAX(((B3285-B3284)/B3284)/($K$7*卓尔金历!$N$40),0),卓尔金历!$M$43),0),1)</f>
        <v>0.57338326691502073</v>
      </c>
      <c r="M3285" s="4">
        <f>MIN(MAX(M3284*(1+MAX(MIN(((B3285-B3284)/B3284)/($K$7*30),0),-卓尔金历!$M$43))+MIN(MAX(((B3285-B3284)/B3284)/($K$7*7),0),卓尔金历!$M$43),0),1)</f>
        <v>0.78559881300948797</v>
      </c>
      <c r="N3285">
        <f t="shared" si="453"/>
        <v>177369.80122359455</v>
      </c>
      <c r="O3285">
        <f t="shared" si="454"/>
        <v>491857.32362255087</v>
      </c>
      <c r="P3285">
        <f t="shared" si="455"/>
        <v>-2.7527574539165326E-2</v>
      </c>
      <c r="Q3285">
        <f t="shared" si="456"/>
        <v>2.8068745590863951E-2</v>
      </c>
      <c r="R3285">
        <f t="shared" si="457"/>
        <v>4.7257506359263936E-2</v>
      </c>
      <c r="S3285">
        <f t="shared" si="449"/>
        <v>1027.0984552167499</v>
      </c>
      <c r="T3285" s="564">
        <f>IF((I3285-MAX(I$470:I3285))/MAX(I$470:I3285)&gt;T3284,T3284,(I3285-MAX(I$470:I3285))/MAX(I$470:I3285))</f>
        <v>-0.91338805338419748</v>
      </c>
      <c r="U3285" s="564">
        <f>IF((J3285-MAX(J$470:J3285))/MAX(J$470:J3285)&gt;U3284,U3284,(J3285-MAX(J$470:J3285))/MAX(J$470:J3285))</f>
        <v>-0.83569785939843477</v>
      </c>
      <c r="V3285" s="564">
        <f>IF((K3285-MAX(K$470:K3285))/MAX(K$470:K3285)&gt;V3284,V3284,(K3285-MAX(K$470:K3285))/MAX(K$470:K3285))</f>
        <v>-0.84885940676762139</v>
      </c>
      <c r="W3285" s="564">
        <f>IF((N3285-MAX(N$470:N3285))/MAX(N$470:N3285)&gt;W3284,W3284,(N3285-MAX(N$470:N3285))/MAX(N$470:N3285))</f>
        <v>-0.62788758315546067</v>
      </c>
      <c r="X3285" s="564">
        <f>IF((O3285-MAX(O$470:O3285))/MAX(O$470:O3285)&gt;X3284,X3284,(O3285-MAX(O$470:O3285))/MAX(O$470:O3285))</f>
        <v>-0.62788758315546067</v>
      </c>
    </row>
    <row r="3286" spans="1:24">
      <c r="A3286" s="799">
        <v>43688</v>
      </c>
      <c r="B3286">
        <v>11398.755563999999</v>
      </c>
      <c r="C3286">
        <v>6014.3496830000004</v>
      </c>
      <c r="D3286">
        <v>2.0776810000000001</v>
      </c>
      <c r="E3286">
        <f>LN(D3286/参数实验室!$E$53)/参数实验室!$E$55</f>
        <v>0.16972905926698373</v>
      </c>
      <c r="F3286">
        <f t="shared" si="458"/>
        <v>0.52763213047525626</v>
      </c>
      <c r="G3286">
        <f>LN(F3286/参数实验室!$E$58)/参数实验室!$E$59</f>
        <v>-0.52609858558703393</v>
      </c>
      <c r="H3286" s="856">
        <f>INDEX(神经网络!$G$10:$BO$70,MATCH(ROUND(G3286*2,1)/2,神经网络!$E$10:$E$70,0),MATCH(ROUND(E3286*2,1)/2,神经网络!$G$8:$BO$8,0))</f>
        <v>-0.58817789686013844</v>
      </c>
      <c r="I3286">
        <f t="shared" si="450"/>
        <v>469662.44109691086</v>
      </c>
      <c r="J3286">
        <f t="shared" si="451"/>
        <v>4548.4041195482969</v>
      </c>
      <c r="K3286">
        <f t="shared" si="452"/>
        <v>103.25873179966101</v>
      </c>
      <c r="L3286" s="4">
        <f>MIN(MAX(L3285*(1+MAX(MIN(((B3286-B3285)/B3285)/($K$7*卓尔金历!$N$40),0),-卓尔金历!$M$43))+MIN(MAX(((B3286-B3285)/B3285)/($K$7*卓尔金历!$N$40),0),卓尔金历!$M$43),0),1)</f>
        <v>0.54388225196955398</v>
      </c>
      <c r="M3286" s="4">
        <f>MIN(MAX(M3285*(1+MAX(MIN(((B3286-B3285)/B3285)/($K$7*30),0),-卓尔金历!$M$43))+MIN(MAX(((B3286-B3285)/B3285)/($K$7*7),0),卓尔金历!$M$43),0),1)</f>
        <v>0.76538897810409579</v>
      </c>
      <c r="N3286">
        <f t="shared" si="453"/>
        <v>177571.23359175859</v>
      </c>
      <c r="O3286">
        <f t="shared" si="454"/>
        <v>492622.6461999499</v>
      </c>
      <c r="P3286">
        <f t="shared" si="455"/>
        <v>-3.3674089699218964E-3</v>
      </c>
      <c r="Q3286">
        <f t="shared" si="456"/>
        <v>2.788339829878532E-2</v>
      </c>
      <c r="R3286">
        <f t="shared" si="457"/>
        <v>1</v>
      </c>
      <c r="S3286">
        <f t="shared" si="449"/>
        <v>1027.1945915252945</v>
      </c>
      <c r="T3286" s="564">
        <f>IF((I3286-MAX(I$470:I3286))/MAX(I$470:I3286)&gt;T3285,T3285,(I3286-MAX(I$470:I3286))/MAX(I$470:I3286))</f>
        <v>-0.91338805338419748</v>
      </c>
      <c r="U3286" s="564">
        <f>IF((J3286-MAX(J$470:J3286))/MAX(J$470:J3286)&gt;U3285,U3285,(J3286-MAX(J$470:J3286))/MAX(J$470:J3286))</f>
        <v>-0.83569785939843477</v>
      </c>
      <c r="V3286" s="564">
        <f>IF((K3286-MAX(K$470:K3286))/MAX(K$470:K3286)&gt;V3285,V3285,(K3286-MAX(K$470:K3286))/MAX(K$470:K3286))</f>
        <v>-0.84885940676762139</v>
      </c>
      <c r="W3286" s="564">
        <f>IF((N3286-MAX(N$470:N3286))/MAX(N$470:N3286)&gt;W3285,W3285,(N3286-MAX(N$470:N3286))/MAX(N$470:N3286))</f>
        <v>-0.62788758315546067</v>
      </c>
      <c r="X3286" s="564">
        <f>IF((O3286-MAX(O$470:O3286))/MAX(O$470:O3286)&gt;X3285,X3285,(O3286-MAX(O$470:O3286))/MAX(O$470:O3286))</f>
        <v>-0.62788758315546067</v>
      </c>
    </row>
    <row r="3287" spans="1:24">
      <c r="A3287" s="799">
        <v>43689</v>
      </c>
      <c r="B3287">
        <v>11369.756507</v>
      </c>
      <c r="C3287">
        <v>6047.9240810000001</v>
      </c>
      <c r="D3287">
        <v>2.049442</v>
      </c>
      <c r="E3287">
        <f>LN(D3287/参数实验室!$E$53)/参数实验室!$E$55</f>
        <v>0.15358436390656158</v>
      </c>
      <c r="F3287">
        <f t="shared" si="458"/>
        <v>0.5319308357462611</v>
      </c>
      <c r="G3287">
        <f>LN(F3287/参数实验室!$E$58)/参数实验室!$E$59</f>
        <v>-0.5218398387408314</v>
      </c>
      <c r="H3287" s="856">
        <f>INDEX(神经网络!$G$10:$BO$70,MATCH(ROUND(G3287*2,1)/2,神经网络!$E$10:$E$70,0),MATCH(ROUND(E3287*2,1)/2,神经网络!$G$8:$BO$8,0))</f>
        <v>-0.51574774143142676</v>
      </c>
      <c r="I3287">
        <f t="shared" si="450"/>
        <v>470365.22364139499</v>
      </c>
      <c r="J3287">
        <f t="shared" si="451"/>
        <v>4536.8327309365104</v>
      </c>
      <c r="K3287">
        <f t="shared" si="452"/>
        <v>103.67700365807853</v>
      </c>
      <c r="L3287" s="4">
        <f>MIN(MAX(L3286*(1+MAX(MIN(((B3287-B3286)/B3286)/($K$7*卓尔金历!$N$40),0),-卓尔金历!$M$43))+MIN(MAX(((B3287-B3286)/B3286)/($K$7*卓尔金历!$N$40),0),卓尔金历!$M$43),0),1)</f>
        <v>0.5227411607343817</v>
      </c>
      <c r="M3287" s="4">
        <f>MIN(MAX(M3286*(1+MAX(MIN(((B3287-B3286)/B3286)/($K$7*30),0),-卓尔金历!$M$43))+MIN(MAX(((B3287-B3286)/B3286)/($K$7*7),0),卓尔金历!$M$43),0),1)</f>
        <v>0.75051337023318498</v>
      </c>
      <c r="N3287">
        <f t="shared" si="453"/>
        <v>177715.74849414633</v>
      </c>
      <c r="O3287">
        <f t="shared" si="454"/>
        <v>493186.84442004486</v>
      </c>
      <c r="P3287">
        <f t="shared" si="455"/>
        <v>-2.5440546415071005E-3</v>
      </c>
      <c r="Q3287">
        <f t="shared" si="456"/>
        <v>2.7699807281383826E-2</v>
      </c>
      <c r="R3287">
        <f t="shared" si="457"/>
        <v>1</v>
      </c>
      <c r="S3287">
        <f t="shared" ref="S3287:S3350" si="459">S3286*(1+(B3287-B3286)/B3286*H3286*R3286)</f>
        <v>1028.7316410432982</v>
      </c>
      <c r="T3287" s="564">
        <f>IF((I3287-MAX(I$470:I3287))/MAX(I$470:I3287)&gt;T3286,T3286,(I3287-MAX(I$470:I3287))/MAX(I$470:I3287))</f>
        <v>-0.91338805338419748</v>
      </c>
      <c r="U3287" s="564">
        <f>IF((J3287-MAX(J$470:J3287))/MAX(J$470:J3287)&gt;U3286,U3286,(J3287-MAX(J$470:J3287))/MAX(J$470:J3287))</f>
        <v>-0.83569785939843477</v>
      </c>
      <c r="V3287" s="564">
        <f>IF((K3287-MAX(K$470:K3287))/MAX(K$470:K3287)&gt;V3286,V3286,(K3287-MAX(K$470:K3287))/MAX(K$470:K3287))</f>
        <v>-0.84885940676762139</v>
      </c>
      <c r="W3287" s="564">
        <f>IF((N3287-MAX(N$470:N3287))/MAX(N$470:N3287)&gt;W3286,W3286,(N3287-MAX(N$470:N3287))/MAX(N$470:N3287))</f>
        <v>-0.62788758315546067</v>
      </c>
      <c r="X3287" s="564">
        <f>IF((O3287-MAX(O$470:O3287))/MAX(O$470:O3287)&gt;X3286,X3286,(O3287-MAX(O$470:O3287))/MAX(O$470:O3287))</f>
        <v>-0.62788758315546067</v>
      </c>
    </row>
    <row r="3288" spans="1:24">
      <c r="A3288" s="799">
        <v>43690</v>
      </c>
      <c r="B3288">
        <v>10989.476517999999</v>
      </c>
      <c r="C3288">
        <v>6002.4072130000004</v>
      </c>
      <c r="D3288">
        <v>1.9541710000000001</v>
      </c>
      <c r="E3288">
        <f>LN(D3288/参数实验室!$E$53)/参数实验室!$E$55</f>
        <v>9.7426341762180985E-2</v>
      </c>
      <c r="F3288">
        <f t="shared" si="458"/>
        <v>0.5461959178099588</v>
      </c>
      <c r="G3288">
        <f>LN(F3288/参数实验室!$E$58)/参数实验室!$E$59</f>
        <v>-0.50794996366675371</v>
      </c>
      <c r="H3288" s="856">
        <f>INDEX(神经网络!$G$10:$BO$70,MATCH(ROUND(G3288*2,1)/2,神经网络!$E$10:$E$70,0),MATCH(ROUND(E3288*2,1)/2,神经网络!$G$8:$BO$8,0))</f>
        <v>-0.55494491182501449</v>
      </c>
      <c r="I3288">
        <f t="shared" ref="I3288:I3351" si="460">I3287*(1+(B3288-B3287)/B3287*H3287)</f>
        <v>478479.03391347599</v>
      </c>
      <c r="J3288">
        <f t="shared" ref="J3288:J3351" si="461">J3287*B3288/B3287</f>
        <v>4385.0909851961169</v>
      </c>
      <c r="K3288">
        <f t="shared" ref="K3288:K3351" si="462">I3288/J3288</f>
        <v>109.11496147487044</v>
      </c>
      <c r="L3288" s="4">
        <f>MIN(MAX(L3287*(1+MAX(MIN(((B3288-B3287)/B3287)/($K$7*卓尔金历!$N$40),0),-卓尔金历!$M$43))+MIN(MAX(((B3288-B3287)/B3287)/($K$7*卓尔金历!$N$40),0),卓尔金历!$M$43),0),1)</f>
        <v>0.25560352070118358</v>
      </c>
      <c r="M3288" s="4">
        <f>MIN(MAX(M3287*(1+MAX(MIN(((B3288-B3287)/B3287)/($K$7*30),0),-卓尔金历!$M$43))+MIN(MAX(((B3288-B3287)/B3287)/($K$7*7),0),卓尔金历!$M$43),0),1)</f>
        <v>0.55874506729737572</v>
      </c>
      <c r="N3288">
        <f t="shared" ref="N3288:N3351" si="463">N3287*(1+(B3288-B3287)/B3287*H3287*L3287)</f>
        <v>179318.26405882521</v>
      </c>
      <c r="O3288">
        <f t="shared" ref="O3288:O3351" si="464">O3287*(1+(B3288-B3287)/B3287*H3287*M3287)</f>
        <v>499571.82470170193</v>
      </c>
      <c r="P3288">
        <f t="shared" ref="P3288:P3351" si="465">(B3288-B3287)/B3287</f>
        <v>-3.3446625595356785E-2</v>
      </c>
      <c r="Q3288">
        <f t="shared" si="456"/>
        <v>2.7677376219130308E-2</v>
      </c>
      <c r="R3288">
        <f t="shared" si="457"/>
        <v>2.2455248593397946E-2</v>
      </c>
      <c r="S3288">
        <f t="shared" si="459"/>
        <v>1046.4772840814737</v>
      </c>
      <c r="T3288" s="564">
        <f>IF((I3288-MAX(I$470:I3288))/MAX(I$470:I3288)&gt;T3287,T3287,(I3288-MAX(I$470:I3288))/MAX(I$470:I3288))</f>
        <v>-0.91338805338419748</v>
      </c>
      <c r="U3288" s="564">
        <f>IF((J3288-MAX(J$470:J3288))/MAX(J$470:J3288)&gt;U3287,U3287,(J3288-MAX(J$470:J3288))/MAX(J$470:J3288))</f>
        <v>-0.83569785939843477</v>
      </c>
      <c r="V3288" s="564">
        <f>IF((K3288-MAX(K$470:K3288))/MAX(K$470:K3288)&gt;V3287,V3287,(K3288-MAX(K$470:K3288))/MAX(K$470:K3288))</f>
        <v>-0.84885940676762139</v>
      </c>
      <c r="W3288" s="564">
        <f>IF((N3288-MAX(N$470:N3288))/MAX(N$470:N3288)&gt;W3287,W3287,(N3288-MAX(N$470:N3288))/MAX(N$470:N3288))</f>
        <v>-0.62788758315546067</v>
      </c>
      <c r="X3288" s="564">
        <f>IF((O3288-MAX(O$470:O3288))/MAX(O$470:O3288)&gt;X3287,X3287,(O3288-MAX(O$470:O3288))/MAX(O$470:O3288))</f>
        <v>-0.62788758315546067</v>
      </c>
    </row>
    <row r="3289" spans="1:24">
      <c r="A3289" s="799">
        <v>43691</v>
      </c>
      <c r="B3289">
        <v>10515.604536999999</v>
      </c>
      <c r="C3289">
        <v>5980.8006290000003</v>
      </c>
      <c r="D3289">
        <v>1.8019480000000001</v>
      </c>
      <c r="E3289">
        <f>LN(D3289/参数实验室!$E$53)/参数实验室!$E$55</f>
        <v>1.7509955661260232E-3</v>
      </c>
      <c r="F3289">
        <f t="shared" si="458"/>
        <v>0.56875480700667969</v>
      </c>
      <c r="G3289">
        <f>LN(F3289/参数实验室!$E$58)/参数实验室!$E$59</f>
        <v>-0.48670823516772993</v>
      </c>
      <c r="H3289" s="856">
        <f>INDEX(神经网络!$G$10:$BO$70,MATCH(ROUND(G3289*2,1)/2,神经网络!$E$10:$E$70,0),MATCH(ROUND(E3289*2,1)/2,神经网络!$G$8:$BO$8,0))</f>
        <v>-0.62397769287443428</v>
      </c>
      <c r="I3289">
        <f t="shared" si="460"/>
        <v>489928.80519943009</v>
      </c>
      <c r="J3289">
        <f t="shared" si="461"/>
        <v>4196.0035660987151</v>
      </c>
      <c r="K3289">
        <f t="shared" si="462"/>
        <v>116.76081716368685</v>
      </c>
      <c r="L3289" s="4">
        <f>MIN(MAX(L3288*(1+MAX(MIN(((B3289-B3288)/B3288)/($K$7*卓尔金历!$N$40),0),-卓尔金历!$M$43))+MIN(MAX(((B3289-B3288)/B3288)/($K$7*卓尔金历!$N$40),0),卓尔金历!$M$43),0),1)</f>
        <v>8.7201640844191047E-2</v>
      </c>
      <c r="M3289" s="4">
        <f>MIN(MAX(M3288*(1+MAX(MIN(((B3289-B3288)/B3288)/($K$7*30),0),-卓尔金历!$M$43))+MIN(MAX(((B3289-B3288)/B3288)/($K$7*7),0),卓尔金历!$M$43),0),1)</f>
        <v>0.37468320571664016</v>
      </c>
      <c r="N3289">
        <f t="shared" si="463"/>
        <v>180415.05853983754</v>
      </c>
      <c r="O3289">
        <f t="shared" si="464"/>
        <v>506251.34905799804</v>
      </c>
      <c r="P3289">
        <f t="shared" si="465"/>
        <v>-4.3120523550310229E-2</v>
      </c>
      <c r="Q3289">
        <f t="shared" si="456"/>
        <v>2.9422633350601631E-2</v>
      </c>
      <c r="R3289">
        <f t="shared" si="457"/>
        <v>1.7098118521264409E-2</v>
      </c>
      <c r="S3289">
        <f t="shared" si="459"/>
        <v>1047.0396015457252</v>
      </c>
      <c r="T3289" s="564">
        <f>IF((I3289-MAX(I$470:I3289))/MAX(I$470:I3289)&gt;T3288,T3288,(I3289-MAX(I$470:I3289))/MAX(I$470:I3289))</f>
        <v>-0.91338805338419748</v>
      </c>
      <c r="U3289" s="564">
        <f>IF((J3289-MAX(J$470:J3289))/MAX(J$470:J3289)&gt;U3288,U3288,(J3289-MAX(J$470:J3289))/MAX(J$470:J3289))</f>
        <v>-0.83569785939843477</v>
      </c>
      <c r="V3289" s="564">
        <f>IF((K3289-MAX(K$470:K3289))/MAX(K$470:K3289)&gt;V3288,V3288,(K3289-MAX(K$470:K3289))/MAX(K$470:K3289))</f>
        <v>-0.84885940676762139</v>
      </c>
      <c r="W3289" s="564">
        <f>IF((N3289-MAX(N$470:N3289))/MAX(N$470:N3289)&gt;W3288,W3288,(N3289-MAX(N$470:N3289))/MAX(N$470:N3289))</f>
        <v>-0.62788758315546067</v>
      </c>
      <c r="X3289" s="564">
        <f>IF((O3289-MAX(O$470:O3289))/MAX(O$470:O3289)&gt;X3288,X3288,(O3289-MAX(O$470:O3289))/MAX(O$470:O3289))</f>
        <v>-0.62788758315546067</v>
      </c>
    </row>
    <row r="3290" spans="1:24">
      <c r="A3290" s="799">
        <v>43692</v>
      </c>
      <c r="B3290">
        <v>10033.692698000001</v>
      </c>
      <c r="C3290">
        <v>6002.5807809999997</v>
      </c>
      <c r="D3290">
        <v>1.8528089999999999</v>
      </c>
      <c r="E3290">
        <f>LN(D3290/参数实验室!$E$53)/参数实验室!$E$55</f>
        <v>3.4588912685013178E-2</v>
      </c>
      <c r="F3290">
        <f t="shared" si="458"/>
        <v>0.59824243792083487</v>
      </c>
      <c r="G3290">
        <f>LN(F3290/参数实验室!$E$58)/参数实验室!$E$59</f>
        <v>-0.46017861406324184</v>
      </c>
      <c r="H3290" s="856">
        <f>INDEX(神经网络!$G$10:$BO$70,MATCH(ROUND(G3290*2,1)/2,神经网络!$E$10:$E$70,0),MATCH(ROUND(E3290*2,1)/2,神经网络!$G$8:$BO$8,0))</f>
        <v>-0.51591640708691688</v>
      </c>
      <c r="I3290">
        <f t="shared" si="460"/>
        <v>503938.71660349373</v>
      </c>
      <c r="J3290">
        <f t="shared" si="461"/>
        <v>4003.7080316028855</v>
      </c>
      <c r="K3290">
        <f t="shared" si="462"/>
        <v>125.86799852179574</v>
      </c>
      <c r="L3290" s="4">
        <f>MIN(MAX(L3289*(1+MAX(MIN(((B3290-B3289)/B3289)/($K$7*卓尔金历!$N$40),0),-卓尔金历!$M$43))+MIN(MAX(((B3290-B3289)/B3289)/($K$7*卓尔金历!$N$40),0),卓尔金历!$M$43),0),1)</f>
        <v>2.6142022425096494E-2</v>
      </c>
      <c r="M3290" s="4">
        <f>MIN(MAX(M3289*(1+MAX(MIN(((B3290-B3289)/B3289)/($K$7*30),0),-卓尔金历!$M$43))+MIN(MAX(((B3290-B3289)/B3289)/($K$7*7),0),卓尔金历!$M$43),0),1)</f>
        <v>0.24350440364582351</v>
      </c>
      <c r="N3290">
        <f t="shared" si="463"/>
        <v>180864.9418221534</v>
      </c>
      <c r="O3290">
        <f t="shared" si="464"/>
        <v>511675.51334972412</v>
      </c>
      <c r="P3290">
        <f t="shared" si="465"/>
        <v>-4.5828258119098429E-2</v>
      </c>
      <c r="Q3290">
        <f t="shared" si="456"/>
        <v>3.1103067250897516E-2</v>
      </c>
      <c r="R3290">
        <f t="shared" si="457"/>
        <v>1.8018583941648413E-2</v>
      </c>
      <c r="S3290">
        <f t="shared" si="459"/>
        <v>1047.5515353944425</v>
      </c>
      <c r="T3290" s="564">
        <f>IF((I3290-MAX(I$470:I3290))/MAX(I$470:I3290)&gt;T3289,T3289,(I3290-MAX(I$470:I3290))/MAX(I$470:I3290))</f>
        <v>-0.91338805338419748</v>
      </c>
      <c r="U3290" s="564">
        <f>IF((J3290-MAX(J$470:J3290))/MAX(J$470:J3290)&gt;U3289,U3289,(J3290-MAX(J$470:J3290))/MAX(J$470:J3290))</f>
        <v>-0.83569785939843477</v>
      </c>
      <c r="V3290" s="564">
        <f>IF((K3290-MAX(K$470:K3290))/MAX(K$470:K3290)&gt;V3289,V3289,(K3290-MAX(K$470:K3290))/MAX(K$470:K3290))</f>
        <v>-0.84885940676762139</v>
      </c>
      <c r="W3290" s="564">
        <f>IF((N3290-MAX(N$470:N3290))/MAX(N$470:N3290)&gt;W3289,W3289,(N3290-MAX(N$470:N3290))/MAX(N$470:N3290))</f>
        <v>-0.62788758315546067</v>
      </c>
      <c r="X3290" s="564">
        <f>IF((O3290-MAX(O$470:O3290))/MAX(O$470:O3290)&gt;X3289,X3289,(O3290-MAX(O$470:O3290))/MAX(O$470:O3290))</f>
        <v>-0.62788758315546067</v>
      </c>
    </row>
    <row r="3291" spans="1:24">
      <c r="A3291" s="799">
        <v>43693</v>
      </c>
      <c r="B3291">
        <v>10263.228418999999</v>
      </c>
      <c r="C3291">
        <v>5949.5982329999997</v>
      </c>
      <c r="D3291">
        <v>1.863326</v>
      </c>
      <c r="E3291">
        <f>LN(D3291/参数实验室!$E$53)/参数实验室!$E$55</f>
        <v>4.1266548450412339E-2</v>
      </c>
      <c r="F3291">
        <f t="shared" si="458"/>
        <v>0.57970045974867823</v>
      </c>
      <c r="G3291">
        <f>LN(F3291/参数实验室!$E$58)/参数实验室!$E$59</f>
        <v>-0.47670341527189314</v>
      </c>
      <c r="H3291" s="856">
        <f>INDEX(神经网络!$G$10:$BO$70,MATCH(ROUND(G3291*2,1)/2,神经网络!$E$10:$E$70,0),MATCH(ROUND(E3291*2,1)/2,神经网络!$G$8:$BO$8,0))</f>
        <v>-0.58842899763854939</v>
      </c>
      <c r="I3291">
        <f t="shared" si="460"/>
        <v>497991.0508979322</v>
      </c>
      <c r="J3291">
        <f t="shared" si="461"/>
        <v>4095.2988384342166</v>
      </c>
      <c r="K3291">
        <f t="shared" si="462"/>
        <v>121.60066225797884</v>
      </c>
      <c r="L3291" s="4">
        <f>MIN(MAX(L3290*(1+MAX(MIN(((B3291-B3290)/B3290)/($K$7*卓尔金历!$N$40),0),-卓尔金历!$M$43))+MIN(MAX(((B3291-B3290)/B3290)/($K$7*卓尔金历!$N$40),0),卓尔金历!$M$43),0),1)</f>
        <v>0.37567291334279918</v>
      </c>
      <c r="M3291" s="4">
        <f>MIN(MAX(M3290*(1+MAX(MIN(((B3291-B3290)/B3290)/($K$7*30),0),-卓尔金历!$M$43))+MIN(MAX(((B3291-B3290)/B3290)/($K$7*7),0),卓尔金历!$M$43),0),1)</f>
        <v>0.99249916989804354</v>
      </c>
      <c r="N3291">
        <f t="shared" si="463"/>
        <v>180809.13819853423</v>
      </c>
      <c r="O3291">
        <f t="shared" si="464"/>
        <v>510204.99557444669</v>
      </c>
      <c r="P3291">
        <f t="shared" si="465"/>
        <v>2.2876495016211862E-2</v>
      </c>
      <c r="Q3291">
        <f t="shared" si="456"/>
        <v>3.0940896767850522E-2</v>
      </c>
      <c r="R3291">
        <f t="shared" si="457"/>
        <v>0.34246408902457814</v>
      </c>
      <c r="S3291">
        <f t="shared" si="459"/>
        <v>1047.3287612009749</v>
      </c>
      <c r="T3291" s="564">
        <f>IF((I3291-MAX(I$470:I3291))/MAX(I$470:I3291)&gt;T3290,T3290,(I3291-MAX(I$470:I3291))/MAX(I$470:I3291))</f>
        <v>-0.91338805338419748</v>
      </c>
      <c r="U3291" s="564">
        <f>IF((J3291-MAX(J$470:J3291))/MAX(J$470:J3291)&gt;U3290,U3290,(J3291-MAX(J$470:J3291))/MAX(J$470:J3291))</f>
        <v>-0.83569785939843477</v>
      </c>
      <c r="V3291" s="564">
        <f>IF((K3291-MAX(K$470:K3291))/MAX(K$470:K3291)&gt;V3290,V3290,(K3291-MAX(K$470:K3291))/MAX(K$470:K3291))</f>
        <v>-0.84885940676762139</v>
      </c>
      <c r="W3291" s="564">
        <f>IF((N3291-MAX(N$470:N3291))/MAX(N$470:N3291)&gt;W3290,W3290,(N3291-MAX(N$470:N3291))/MAX(N$470:N3291))</f>
        <v>-0.62788758315546067</v>
      </c>
      <c r="X3291" s="564">
        <f>IF((O3291-MAX(O$470:O3291))/MAX(O$470:O3291)&gt;X3290,X3290,(O3291-MAX(O$470:O3291))/MAX(O$470:O3291))</f>
        <v>-0.62788758315546067</v>
      </c>
    </row>
    <row r="3292" spans="1:24">
      <c r="A3292" s="799">
        <v>43694</v>
      </c>
      <c r="B3292">
        <v>10343.764369</v>
      </c>
      <c r="C3292">
        <v>5916.3131489999996</v>
      </c>
      <c r="D3292">
        <v>1.833539</v>
      </c>
      <c r="E3292">
        <f>LN(D3292/参数实验室!$E$53)/参数实验室!$E$55</f>
        <v>2.2254726066045002E-2</v>
      </c>
      <c r="F3292">
        <f t="shared" si="458"/>
        <v>0.57196905671314791</v>
      </c>
      <c r="G3292">
        <f>LN(F3292/参数实验室!$E$58)/参数实验室!$E$59</f>
        <v>-0.48375043534900347</v>
      </c>
      <c r="H3292" s="856">
        <f>INDEX(神经网络!$G$10:$BO$70,MATCH(ROUND(G3292*2,1)/2,神经网络!$E$10:$E$70,0),MATCH(ROUND(E3292*2,1)/2,神经网络!$G$8:$BO$8,0))</f>
        <v>-0.62397769287443428</v>
      </c>
      <c r="I3292">
        <f t="shared" si="460"/>
        <v>495691.61452850746</v>
      </c>
      <c r="J3292">
        <f t="shared" si="461"/>
        <v>4127.4348066717175</v>
      </c>
      <c r="K3292">
        <f t="shared" si="462"/>
        <v>120.09677626579484</v>
      </c>
      <c r="L3292" s="4">
        <f>MIN(MAX(L3291*(1+MAX(MIN(((B3292-B3291)/B3291)/($K$7*卓尔金历!$N$40),0),-卓尔金历!$M$43))+MIN(MAX(((B3292-B3291)/B3291)/($K$7*卓尔金历!$N$40),0),卓尔金历!$M$43),0),1)</f>
        <v>0.49556813355949947</v>
      </c>
      <c r="M3292" s="4">
        <f>MIN(MAX(M3291*(1+MAX(MIN(((B3292-B3291)/B3291)/($K$7*30),0),-卓尔金历!$M$43))+MIN(MAX(((B3292-B3291)/B3291)/($K$7*7),0),卓尔金历!$M$43),0),1)</f>
        <v>1</v>
      </c>
      <c r="N3292">
        <f t="shared" si="463"/>
        <v>180495.49915786972</v>
      </c>
      <c r="O3292">
        <f t="shared" si="464"/>
        <v>507866.83293617406</v>
      </c>
      <c r="P3292">
        <f t="shared" si="465"/>
        <v>7.8470386424322001E-3</v>
      </c>
      <c r="Q3292">
        <f t="shared" si="456"/>
        <v>2.9852795854405093E-2</v>
      </c>
      <c r="R3292">
        <f t="shared" si="457"/>
        <v>1</v>
      </c>
      <c r="S3292">
        <f t="shared" si="459"/>
        <v>1045.6726178486135</v>
      </c>
      <c r="T3292" s="564">
        <f>IF((I3292-MAX(I$470:I3292))/MAX(I$470:I3292)&gt;T3291,T3291,(I3292-MAX(I$470:I3292))/MAX(I$470:I3292))</f>
        <v>-0.91338805338419748</v>
      </c>
      <c r="U3292" s="564">
        <f>IF((J3292-MAX(J$470:J3292))/MAX(J$470:J3292)&gt;U3291,U3291,(J3292-MAX(J$470:J3292))/MAX(J$470:J3292))</f>
        <v>-0.83569785939843477</v>
      </c>
      <c r="V3292" s="564">
        <f>IF((K3292-MAX(K$470:K3292))/MAX(K$470:K3292)&gt;V3291,V3291,(K3292-MAX(K$470:K3292))/MAX(K$470:K3292))</f>
        <v>-0.84885940676762139</v>
      </c>
      <c r="W3292" s="564">
        <f>IF((N3292-MAX(N$470:N3292))/MAX(N$470:N3292)&gt;W3291,W3291,(N3292-MAX(N$470:N3292))/MAX(N$470:N3292))</f>
        <v>-0.62788758315546067</v>
      </c>
      <c r="X3292" s="564">
        <f>IF((O3292-MAX(O$470:O3292))/MAX(O$470:O3292)&gt;X3291,X3291,(O3292-MAX(O$470:O3292))/MAX(O$470:O3292))</f>
        <v>-0.62788758315546067</v>
      </c>
    </row>
    <row r="3293" spans="1:24">
      <c r="A3293" s="799">
        <v>43695</v>
      </c>
      <c r="B3293">
        <v>10427.580203</v>
      </c>
      <c r="C3293">
        <v>5883.2559920000003</v>
      </c>
      <c r="D3293">
        <v>1.85527</v>
      </c>
      <c r="E3293">
        <f>LN(D3293/参数实验室!$E$53)/参数实验室!$E$55</f>
        <v>3.6154884262052142E-2</v>
      </c>
      <c r="F3293">
        <f t="shared" si="458"/>
        <v>0.56420146164950102</v>
      </c>
      <c r="G3293">
        <f>LN(F3293/参数实验室!$E$58)/参数实验室!$E$59</f>
        <v>-0.49092702922653958</v>
      </c>
      <c r="H3293" s="856">
        <f>INDEX(神经网络!$G$10:$BO$70,MATCH(ROUND(G3293*2,1)/2,神经网络!$E$10:$E$70,0),MATCH(ROUND(E3293*2,1)/2,神经网络!$G$8:$BO$8,0))</f>
        <v>-0.58842899763854939</v>
      </c>
      <c r="I3293">
        <f t="shared" si="460"/>
        <v>493185.34318682196</v>
      </c>
      <c r="J3293">
        <f t="shared" si="461"/>
        <v>4160.8795351342687</v>
      </c>
      <c r="K3293">
        <f t="shared" si="462"/>
        <v>118.52910881518881</v>
      </c>
      <c r="L3293" s="4">
        <f>MIN(MAX(L3292*(1+MAX(MIN(((B3293-B3292)/B3292)/($K$7*卓尔金历!$N$40),0),-卓尔金历!$M$43))+MIN(MAX(((B3293-B3292)/B3292)/($K$7*卓尔金历!$N$40),0),卓尔金历!$M$43),0),1)</f>
        <v>0.61937465754790832</v>
      </c>
      <c r="M3293" s="4">
        <f>MIN(MAX(M3292*(1+MAX(MIN(((B3293-B3292)/B3292)/($K$7*30),0),-卓尔金历!$M$43))+MIN(MAX(((B3293-B3292)/B3292)/($K$7*7),0),卓尔金历!$M$43),0),1)</f>
        <v>1</v>
      </c>
      <c r="N3293">
        <f t="shared" si="463"/>
        <v>180043.24115038957</v>
      </c>
      <c r="O3293">
        <f t="shared" si="464"/>
        <v>505299.00235063711</v>
      </c>
      <c r="P3293">
        <f t="shared" si="465"/>
        <v>8.1030300971658836E-3</v>
      </c>
      <c r="Q3293">
        <f t="shared" si="456"/>
        <v>2.9813302666654263E-2</v>
      </c>
      <c r="R3293">
        <f t="shared" si="457"/>
        <v>1</v>
      </c>
      <c r="S3293">
        <f t="shared" si="459"/>
        <v>1040.3855820423048</v>
      </c>
      <c r="T3293" s="564">
        <f>IF((I3293-MAX(I$470:I3293))/MAX(I$470:I3293)&gt;T3292,T3292,(I3293-MAX(I$470:I3293))/MAX(I$470:I3293))</f>
        <v>-0.91338805338419748</v>
      </c>
      <c r="U3293" s="564">
        <f>IF((J3293-MAX(J$470:J3293))/MAX(J$470:J3293)&gt;U3292,U3292,(J3293-MAX(J$470:J3293))/MAX(J$470:J3293))</f>
        <v>-0.83569785939843477</v>
      </c>
      <c r="V3293" s="564">
        <f>IF((K3293-MAX(K$470:K3293))/MAX(K$470:K3293)&gt;V3292,V3292,(K3293-MAX(K$470:K3293))/MAX(K$470:K3293))</f>
        <v>-0.84885940676762139</v>
      </c>
      <c r="W3293" s="564">
        <f>IF((N3293-MAX(N$470:N3293))/MAX(N$470:N3293)&gt;W3292,W3292,(N3293-MAX(N$470:N3293))/MAX(N$470:N3293))</f>
        <v>-0.62788758315546067</v>
      </c>
      <c r="X3293" s="564">
        <f>IF((O3293-MAX(O$470:O3293))/MAX(O$470:O3293)&gt;X3292,X3292,(O3293-MAX(O$470:O3293))/MAX(O$470:O3293))</f>
        <v>-0.62788758315546067</v>
      </c>
    </row>
    <row r="3294" spans="1:24">
      <c r="A3294" s="799">
        <v>43696</v>
      </c>
      <c r="B3294">
        <v>10692.449024</v>
      </c>
      <c r="C3294">
        <v>5896.9311939999998</v>
      </c>
      <c r="D3294">
        <v>1.9528300000000001</v>
      </c>
      <c r="E3294">
        <f>LN(D3294/参数实验室!$E$53)/参数实验室!$E$55</f>
        <v>9.6616488290276387E-2</v>
      </c>
      <c r="F3294">
        <f t="shared" si="458"/>
        <v>0.55150426069499114</v>
      </c>
      <c r="G3294">
        <f>LN(F3294/参数实验室!$E$58)/参数实验室!$E$59</f>
        <v>-0.5028736650590282</v>
      </c>
      <c r="H3294" s="856">
        <f>INDEX(神经网络!$G$10:$BO$70,MATCH(ROUND(G3294*2,1)/2,神经网络!$E$10:$E$70,0),MATCH(ROUND(E3294*2,1)/2,神经网络!$G$8:$BO$8,0))</f>
        <v>-0.55494491182501449</v>
      </c>
      <c r="I3294">
        <f t="shared" si="460"/>
        <v>485813.91689208418</v>
      </c>
      <c r="J3294">
        <f t="shared" si="461"/>
        <v>4266.5691807988469</v>
      </c>
      <c r="K3294">
        <f t="shared" si="462"/>
        <v>113.86523839304611</v>
      </c>
      <c r="L3294" s="4">
        <f>MIN(MAX(L3293*(1+MAX(MIN(((B3294-B3293)/B3293)/($K$7*卓尔金历!$N$40),0),-卓尔金历!$M$43))+MIN(MAX(((B3294-B3293)/B3293)/($K$7*卓尔金历!$N$40),0),卓尔金历!$M$43),0),1)</f>
        <v>1</v>
      </c>
      <c r="M3294" s="4">
        <f>MIN(MAX(M3293*(1+MAX(MIN(((B3294-B3293)/B3293)/($K$7*30),0),-卓尔金历!$M$43))+MIN(MAX(((B3294-B3293)/B3293)/($K$7*7),0),卓尔金历!$M$43),0),1)</f>
        <v>1</v>
      </c>
      <c r="N3294">
        <f t="shared" si="463"/>
        <v>178376.48671206486</v>
      </c>
      <c r="O3294">
        <f t="shared" si="464"/>
        <v>497746.51847395935</v>
      </c>
      <c r="P3294">
        <f t="shared" si="465"/>
        <v>2.5400794416694839E-2</v>
      </c>
      <c r="Q3294">
        <f t="shared" si="456"/>
        <v>3.0120156176090835E-2</v>
      </c>
      <c r="R3294">
        <f t="shared" si="457"/>
        <v>0.20530804921360224</v>
      </c>
      <c r="S3294">
        <f t="shared" si="459"/>
        <v>1024.8353923578809</v>
      </c>
      <c r="T3294" s="564">
        <f>IF((I3294-MAX(I$470:I3294))/MAX(I$470:I3294)&gt;T3293,T3293,(I3294-MAX(I$470:I3294))/MAX(I$470:I3294))</f>
        <v>-0.91338805338419748</v>
      </c>
      <c r="U3294" s="564">
        <f>IF((J3294-MAX(J$470:J3294))/MAX(J$470:J3294)&gt;U3293,U3293,(J3294-MAX(J$470:J3294))/MAX(J$470:J3294))</f>
        <v>-0.83569785939843477</v>
      </c>
      <c r="V3294" s="564">
        <f>IF((K3294-MAX(K$470:K3294))/MAX(K$470:K3294)&gt;V3293,V3293,(K3294-MAX(K$470:K3294))/MAX(K$470:K3294))</f>
        <v>-0.84885940676762139</v>
      </c>
      <c r="W3294" s="564">
        <f>IF((N3294-MAX(N$470:N3294))/MAX(N$470:N3294)&gt;W3293,W3293,(N3294-MAX(N$470:N3294))/MAX(N$470:N3294))</f>
        <v>-0.62788758315546067</v>
      </c>
      <c r="X3294" s="564">
        <f>IF((O3294-MAX(O$470:O3294))/MAX(O$470:O3294)&gt;X3293,X3293,(O3294-MAX(O$470:O3294))/MAX(O$470:O3294))</f>
        <v>-0.62788758315546067</v>
      </c>
    </row>
    <row r="3295" spans="1:24">
      <c r="A3295" s="799">
        <v>43697</v>
      </c>
      <c r="B3295">
        <v>10695.969619</v>
      </c>
      <c r="C3295">
        <v>5856.7360719999997</v>
      </c>
      <c r="D3295">
        <v>1.9299249999999999</v>
      </c>
      <c r="E3295">
        <f>LN(D3295/参数实验室!$E$53)/参数实验室!$E$55</f>
        <v>8.2697216268839344E-2</v>
      </c>
      <c r="F3295">
        <f t="shared" si="458"/>
        <v>0.54756476323532832</v>
      </c>
      <c r="G3295">
        <f>LN(F3295/参数实验室!$E$58)/参数实验室!$E$59</f>
        <v>-0.50663624953641384</v>
      </c>
      <c r="H3295" s="856">
        <f>INDEX(神经网络!$G$10:$BO$70,MATCH(ROUND(G3295*2,1)/2,神经网络!$E$10:$E$70,0),MATCH(ROUND(E3295*2,1)/2,神经网络!$G$8:$BO$8,0))</f>
        <v>-0.55494491182501449</v>
      </c>
      <c r="I3295">
        <f t="shared" si="460"/>
        <v>485725.14842814038</v>
      </c>
      <c r="J3295">
        <f t="shared" si="461"/>
        <v>4267.9739910618055</v>
      </c>
      <c r="K3295">
        <f t="shared" si="462"/>
        <v>113.80696073719501</v>
      </c>
      <c r="L3295" s="4">
        <f>MIN(MAX(L3294*(1+MAX(MIN(((B3295-B3294)/B3294)/($K$7*卓尔金历!$N$40),0),-卓尔金历!$M$43))+MIN(MAX(((B3295-B3294)/B3294)/($K$7*卓尔金历!$N$40),0),卓尔金历!$M$43),0),1)</f>
        <v>1</v>
      </c>
      <c r="M3295" s="4">
        <f>MIN(MAX(M3294*(1+MAX(MIN(((B3295-B3294)/B3294)/($K$7*30),0),-卓尔金历!$M$43))+MIN(MAX(((B3295-B3294)/B3294)/($K$7*7),0),卓尔金历!$M$43),0),1)</f>
        <v>1</v>
      </c>
      <c r="N3295">
        <f t="shared" si="463"/>
        <v>178343.89356028687</v>
      </c>
      <c r="O3295">
        <f t="shared" si="464"/>
        <v>497655.56967166695</v>
      </c>
      <c r="P3295">
        <f t="shared" si="465"/>
        <v>3.2925992839411434E-4</v>
      </c>
      <c r="Q3295">
        <f t="shared" si="456"/>
        <v>3.0110439195380832E-2</v>
      </c>
      <c r="R3295">
        <f t="shared" si="457"/>
        <v>1</v>
      </c>
      <c r="S3295">
        <f t="shared" si="459"/>
        <v>1024.7969465629703</v>
      </c>
      <c r="T3295" s="564">
        <f>IF((I3295-MAX(I$470:I3295))/MAX(I$470:I3295)&gt;T3294,T3294,(I3295-MAX(I$470:I3295))/MAX(I$470:I3295))</f>
        <v>-0.91338805338419748</v>
      </c>
      <c r="U3295" s="564">
        <f>IF((J3295-MAX(J$470:J3295))/MAX(J$470:J3295)&gt;U3294,U3294,(J3295-MAX(J$470:J3295))/MAX(J$470:J3295))</f>
        <v>-0.83569785939843477</v>
      </c>
      <c r="V3295" s="564">
        <f>IF((K3295-MAX(K$470:K3295))/MAX(K$470:K3295)&gt;V3294,V3294,(K3295-MAX(K$470:K3295))/MAX(K$470:K3295))</f>
        <v>-0.84885940676762139</v>
      </c>
      <c r="W3295" s="564">
        <f>IF((N3295-MAX(N$470:N3295))/MAX(N$470:N3295)&gt;W3294,W3294,(N3295-MAX(N$470:N3295))/MAX(N$470:N3295))</f>
        <v>-0.62788758315546067</v>
      </c>
      <c r="X3295" s="564">
        <f>IF((O3295-MAX(O$470:O3295))/MAX(O$470:O3295)&gt;X3294,X3294,(O3295-MAX(O$470:O3295))/MAX(O$470:O3295))</f>
        <v>-0.62788758315546067</v>
      </c>
    </row>
    <row r="3296" spans="1:24">
      <c r="A3296" s="799">
        <v>43698</v>
      </c>
      <c r="B3296">
        <v>10071.42079</v>
      </c>
      <c r="C3296">
        <v>6025.843777</v>
      </c>
      <c r="D3296">
        <v>1.809671</v>
      </c>
      <c r="E3296">
        <f>LN(D3296/参数实验室!$E$53)/参数实验室!$E$55</f>
        <v>6.7965157003034397E-3</v>
      </c>
      <c r="F3296">
        <f t="shared" si="458"/>
        <v>0.59831119190085991</v>
      </c>
      <c r="G3296">
        <f>LN(F3296/参数实验室!$E$58)/参数实验室!$E$59</f>
        <v>-0.46011829782912678</v>
      </c>
      <c r="H3296" s="856">
        <f>INDEX(神经网络!$G$10:$BO$70,MATCH(ROUND(G3296*2,1)/2,神经网络!$E$10:$E$70,0),MATCH(ROUND(E3296*2,1)/2,神经网络!$G$8:$BO$8,0))</f>
        <v>-0.55498441126737386</v>
      </c>
      <c r="I3296">
        <f t="shared" si="460"/>
        <v>501464.49510067224</v>
      </c>
      <c r="J3296">
        <f t="shared" si="461"/>
        <v>4018.7625354135876</v>
      </c>
      <c r="K3296">
        <f t="shared" si="462"/>
        <v>124.78082262431175</v>
      </c>
      <c r="L3296" s="4">
        <f>MIN(MAX(L3295*(1+MAX(MIN(((B3296-B3295)/B3295)/($K$7*卓尔金历!$N$40),0),-卓尔金历!$M$43))+MIN(MAX(((B3296-B3295)/B3295)/($K$7*卓尔金历!$N$40),0),卓尔金历!$M$43),0),1)</f>
        <v>0.10784088658098434</v>
      </c>
      <c r="M3296" s="4">
        <f>MIN(MAX(M3295*(1+MAX(MIN(((B3296-B3295)/B3295)/($K$7*30),0),-卓尔金历!$M$43))+MIN(MAX(((B3296-B3295)/B3295)/($K$7*7),0),卓尔金历!$M$43),0),1)</f>
        <v>0.55392044329049217</v>
      </c>
      <c r="N3296">
        <f t="shared" si="463"/>
        <v>184122.91566107431</v>
      </c>
      <c r="O3296">
        <f t="shared" si="464"/>
        <v>513781.50747811247</v>
      </c>
      <c r="P3296">
        <f t="shared" si="465"/>
        <v>-5.839104365915266E-2</v>
      </c>
      <c r="Q3296">
        <f t="shared" si="456"/>
        <v>3.2109496404250579E-2</v>
      </c>
      <c r="R3296">
        <f t="shared" si="457"/>
        <v>1.2104074629304842E-2</v>
      </c>
      <c r="S3296">
        <f t="shared" si="459"/>
        <v>1058.0042747466232</v>
      </c>
      <c r="T3296" s="564">
        <f>IF((I3296-MAX(I$470:I3296))/MAX(I$470:I3296)&gt;T3295,T3295,(I3296-MAX(I$470:I3296))/MAX(I$470:I3296))</f>
        <v>-0.91338805338419748</v>
      </c>
      <c r="U3296" s="564">
        <f>IF((J3296-MAX(J$470:J3296))/MAX(J$470:J3296)&gt;U3295,U3295,(J3296-MAX(J$470:J3296))/MAX(J$470:J3296))</f>
        <v>-0.83569785939843477</v>
      </c>
      <c r="V3296" s="564">
        <f>IF((K3296-MAX(K$470:K3296))/MAX(K$470:K3296)&gt;V3295,V3295,(K3296-MAX(K$470:K3296))/MAX(K$470:K3296))</f>
        <v>-0.84885940676762139</v>
      </c>
      <c r="W3296" s="564">
        <f>IF((N3296-MAX(N$470:N3296))/MAX(N$470:N3296)&gt;W3295,W3295,(N3296-MAX(N$470:N3296))/MAX(N$470:N3296))</f>
        <v>-0.62788758315546067</v>
      </c>
      <c r="X3296" s="564">
        <f>IF((O3296-MAX(O$470:O3296))/MAX(O$470:O3296)&gt;X3295,X3295,(O3296-MAX(O$470:O3296))/MAX(O$470:O3296))</f>
        <v>-0.62788758315546067</v>
      </c>
    </row>
    <row r="3297" spans="1:24">
      <c r="A3297" s="799">
        <v>43699</v>
      </c>
      <c r="B3297">
        <v>10139.262264000001</v>
      </c>
      <c r="C3297">
        <v>6035.6703939999998</v>
      </c>
      <c r="D3297">
        <v>1.8139209999999999</v>
      </c>
      <c r="E3297">
        <f>LN(D3297/参数实验室!$E$53)/参数实验室!$E$55</f>
        <v>9.5639098142019409E-3</v>
      </c>
      <c r="F3297">
        <f t="shared" si="458"/>
        <v>0.59527707606794766</v>
      </c>
      <c r="G3297">
        <f>LN(F3297/参数实验室!$E$58)/参数实验室!$E$59</f>
        <v>-0.46278667424487119</v>
      </c>
      <c r="H3297" s="856">
        <f>INDEX(神经网络!$G$10:$BO$70,MATCH(ROUND(G3297*2,1)/2,神经网络!$E$10:$E$70,0),MATCH(ROUND(E3297*2,1)/2,神经网络!$G$8:$BO$8,0))</f>
        <v>-0.55498441126737386</v>
      </c>
      <c r="I3297">
        <f t="shared" si="460"/>
        <v>499589.82217273279</v>
      </c>
      <c r="J3297">
        <f t="shared" si="461"/>
        <v>4045.8330729021163</v>
      </c>
      <c r="K3297">
        <f t="shared" si="462"/>
        <v>123.48255925802991</v>
      </c>
      <c r="L3297" s="4">
        <f>MIN(MAX(L3296*(1+MAX(MIN(((B3297-B3296)/B3296)/($K$7*卓尔金历!$N$40),0),-卓尔金历!$M$43))+MIN(MAX(((B3297-B3296)/B3296)/($K$7*卓尔金历!$N$40),0),卓尔金历!$M$43),0),1)</f>
        <v>0.21076108441015295</v>
      </c>
      <c r="M3297" s="4">
        <f>MIN(MAX(M3296*(1+MAX(MIN(((B3297-B3296)/B3296)/($K$7*30),0),-卓尔金历!$M$43))+MIN(MAX(((B3297-B3296)/B3296)/($K$7*7),0),卓尔金历!$M$43),0),1)</f>
        <v>0.77446372435299637</v>
      </c>
      <c r="N3297">
        <f t="shared" si="463"/>
        <v>184048.68614801942</v>
      </c>
      <c r="O3297">
        <f t="shared" si="464"/>
        <v>512717.58206934156</v>
      </c>
      <c r="P3297">
        <f t="shared" si="465"/>
        <v>6.7360380838581511E-3</v>
      </c>
      <c r="Q3297">
        <f t="shared" si="456"/>
        <v>3.2101941265803666E-2</v>
      </c>
      <c r="R3297">
        <f t="shared" si="457"/>
        <v>1</v>
      </c>
      <c r="S3297">
        <f t="shared" si="459"/>
        <v>1057.9564002375434</v>
      </c>
      <c r="T3297" s="564">
        <f>IF((I3297-MAX(I$470:I3297))/MAX(I$470:I3297)&gt;T3296,T3296,(I3297-MAX(I$470:I3297))/MAX(I$470:I3297))</f>
        <v>-0.91338805338419748</v>
      </c>
      <c r="U3297" s="564">
        <f>IF((J3297-MAX(J$470:J3297))/MAX(J$470:J3297)&gt;U3296,U3296,(J3297-MAX(J$470:J3297))/MAX(J$470:J3297))</f>
        <v>-0.83569785939843477</v>
      </c>
      <c r="V3297" s="564">
        <f>IF((K3297-MAX(K$470:K3297))/MAX(K$470:K3297)&gt;V3296,V3296,(K3297-MAX(K$470:K3297))/MAX(K$470:K3297))</f>
        <v>-0.84885940676762139</v>
      </c>
      <c r="W3297" s="564">
        <f>IF((N3297-MAX(N$470:N3297))/MAX(N$470:N3297)&gt;W3296,W3296,(N3297-MAX(N$470:N3297))/MAX(N$470:N3297))</f>
        <v>-0.62788758315546067</v>
      </c>
      <c r="X3297" s="564">
        <f>IF((O3297-MAX(O$470:O3297))/MAX(O$470:O3297)&gt;X3296,X3296,(O3297-MAX(O$470:O3297))/MAX(O$470:O3297))</f>
        <v>-0.62788758315546067</v>
      </c>
    </row>
    <row r="3298" spans="1:24">
      <c r="A3298" s="799">
        <v>43700</v>
      </c>
      <c r="B3298">
        <v>10395.571065</v>
      </c>
      <c r="C3298">
        <v>5982.4137739999996</v>
      </c>
      <c r="D3298">
        <v>1.858881</v>
      </c>
      <c r="E3298">
        <f>LN(D3298/参数实验室!$E$53)/参数实验室!$E$55</f>
        <v>3.844886224314889E-2</v>
      </c>
      <c r="F3298">
        <f t="shared" si="458"/>
        <v>0.57547716586169084</v>
      </c>
      <c r="G3298">
        <f>LN(F3298/参数实验室!$E$58)/参数实验室!$E$59</f>
        <v>-0.48054113286350003</v>
      </c>
      <c r="H3298" s="856">
        <f>INDEX(神经网络!$G$10:$BO$70,MATCH(ROUND(G3298*2,1)/2,神经网络!$E$10:$E$70,0),MATCH(ROUND(E3298*2,1)/2,神经网络!$G$8:$BO$8,0))</f>
        <v>-0.58842899763854939</v>
      </c>
      <c r="I3298">
        <f t="shared" si="460"/>
        <v>492580.89529644791</v>
      </c>
      <c r="J3298">
        <f t="shared" si="461"/>
        <v>4148.1070448106584</v>
      </c>
      <c r="K3298">
        <f t="shared" si="462"/>
        <v>118.74835677460969</v>
      </c>
      <c r="L3298" s="4">
        <f>MIN(MAX(L3297*(1+MAX(MIN(((B3298-B3297)/B3297)/($K$7*卓尔金历!$N$40),0),-卓尔金历!$M$43))+MIN(MAX(((B3298-B3297)/B3297)/($K$7*卓尔金历!$N$40),0),卓尔金历!$M$43),0),1)</f>
        <v>0.59699752017412533</v>
      </c>
      <c r="M3298" s="4">
        <f>MIN(MAX(M3297*(1+MAX(MIN(((B3298-B3297)/B3297)/($K$7*30),0),-卓尔金历!$M$43))+MIN(MAX(((B3298-B3297)/B3297)/($K$7*7),0),卓尔金历!$M$43),0),1)</f>
        <v>1</v>
      </c>
      <c r="N3298">
        <f t="shared" si="463"/>
        <v>183504.4829459395</v>
      </c>
      <c r="O3298">
        <f t="shared" si="464"/>
        <v>507146.78629248991</v>
      </c>
      <c r="P3298">
        <f t="shared" si="465"/>
        <v>2.5278841233847701E-2</v>
      </c>
      <c r="Q3298">
        <f t="shared" si="456"/>
        <v>2.9751316687191665E-2</v>
      </c>
      <c r="R3298">
        <f t="shared" si="457"/>
        <v>0.20023718759094722</v>
      </c>
      <c r="S3298">
        <f t="shared" si="459"/>
        <v>1043.1139460511995</v>
      </c>
      <c r="T3298" s="564">
        <f>IF((I3298-MAX(I$470:I3298))/MAX(I$470:I3298)&gt;T3297,T3297,(I3298-MAX(I$470:I3298))/MAX(I$470:I3298))</f>
        <v>-0.91338805338419748</v>
      </c>
      <c r="U3298" s="564">
        <f>IF((J3298-MAX(J$470:J3298))/MAX(J$470:J3298)&gt;U3297,U3297,(J3298-MAX(J$470:J3298))/MAX(J$470:J3298))</f>
        <v>-0.83569785939843477</v>
      </c>
      <c r="V3298" s="564">
        <f>IF((K3298-MAX(K$470:K3298))/MAX(K$470:K3298)&gt;V3297,V3297,(K3298-MAX(K$470:K3298))/MAX(K$470:K3298))</f>
        <v>-0.84885940676762139</v>
      </c>
      <c r="W3298" s="564">
        <f>IF((N3298-MAX(N$470:N3298))/MAX(N$470:N3298)&gt;W3297,W3297,(N3298-MAX(N$470:N3298))/MAX(N$470:N3298))</f>
        <v>-0.62788758315546067</v>
      </c>
      <c r="X3298" s="564">
        <f>IF((O3298-MAX(O$470:O3298))/MAX(O$470:O3298)&gt;X3297,X3297,(O3298-MAX(O$470:O3298))/MAX(O$470:O3298))</f>
        <v>-0.62788758315546067</v>
      </c>
    </row>
    <row r="3299" spans="1:24">
      <c r="A3299" s="799">
        <v>43701</v>
      </c>
      <c r="B3299">
        <v>9991.4618699999992</v>
      </c>
      <c r="C3299">
        <v>5945.4328450000003</v>
      </c>
      <c r="D3299">
        <v>1.8109980000000001</v>
      </c>
      <c r="E3299">
        <f>LN(D3299/参数实验室!$E$53)/参数实验室!$E$55</f>
        <v>7.6612910359382278E-3</v>
      </c>
      <c r="F3299">
        <f t="shared" si="458"/>
        <v>0.59505134707580087</v>
      </c>
      <c r="G3299">
        <f>LN(F3299/参数实验室!$E$58)/参数实验室!$E$59</f>
        <v>-0.46298573657638514</v>
      </c>
      <c r="H3299" s="856">
        <f>INDEX(神经网络!$G$10:$BO$70,MATCH(ROUND(G3299*2,1)/2,神经网络!$E$10:$E$70,0),MATCH(ROUND(E3299*2,1)/2,神经网络!$G$8:$BO$8,0))</f>
        <v>-0.55498441126737386</v>
      </c>
      <c r="I3299">
        <f t="shared" si="460"/>
        <v>503848.25115754682</v>
      </c>
      <c r="J3299">
        <f t="shared" si="461"/>
        <v>3986.856817365624</v>
      </c>
      <c r="K3299">
        <f t="shared" si="462"/>
        <v>126.37731281517959</v>
      </c>
      <c r="L3299" s="4">
        <f>MIN(MAX(L3298*(1+MAX(MIN(((B3299-B3298)/B3298)/($K$7*卓尔金历!$N$40),0),-卓尔金历!$M$43))+MIN(MAX(((B3299-B3298)/B3298)/($K$7*卓尔金历!$N$40),0),卓尔金历!$M$43),0),1)</f>
        <v>0.24241364148119221</v>
      </c>
      <c r="M3299" s="4">
        <f>MIN(MAX(M3298*(1+MAX(MIN(((B3299-B3298)/B3298)/($K$7*30),0),-卓尔金历!$M$43))+MIN(MAX(((B3299-B3298)/B3298)/($K$7*7),0),卓尔金历!$M$43),0),1)</f>
        <v>0.70302734374046294</v>
      </c>
      <c r="N3299">
        <f t="shared" si="463"/>
        <v>186010.38246501141</v>
      </c>
      <c r="O3299">
        <f t="shared" si="464"/>
        <v>518747.32413212984</v>
      </c>
      <c r="P3299">
        <f t="shared" si="465"/>
        <v>-3.8873207876050524E-2</v>
      </c>
      <c r="Q3299">
        <f t="shared" si="456"/>
        <v>3.058986604331666E-2</v>
      </c>
      <c r="R3299">
        <f t="shared" si="457"/>
        <v>2.2621815561599163E-2</v>
      </c>
      <c r="S3299">
        <f t="shared" si="459"/>
        <v>1047.8916687100786</v>
      </c>
      <c r="T3299" s="564">
        <f>IF((I3299-MAX(I$470:I3299))/MAX(I$470:I3299)&gt;T3298,T3298,(I3299-MAX(I$470:I3299))/MAX(I$470:I3299))</f>
        <v>-0.91338805338419748</v>
      </c>
      <c r="U3299" s="564">
        <f>IF((J3299-MAX(J$470:J3299))/MAX(J$470:J3299)&gt;U3298,U3298,(J3299-MAX(J$470:J3299))/MAX(J$470:J3299))</f>
        <v>-0.83569785939843477</v>
      </c>
      <c r="V3299" s="564">
        <f>IF((K3299-MAX(K$470:K3299))/MAX(K$470:K3299)&gt;V3298,V3298,(K3299-MAX(K$470:K3299))/MAX(K$470:K3299))</f>
        <v>-0.84885940676762139</v>
      </c>
      <c r="W3299" s="564">
        <f>IF((N3299-MAX(N$470:N3299))/MAX(N$470:N3299)&gt;W3298,W3298,(N3299-MAX(N$470:N3299))/MAX(N$470:N3299))</f>
        <v>-0.62788758315546067</v>
      </c>
      <c r="X3299" s="564">
        <f>IF((O3299-MAX(O$470:O3299))/MAX(O$470:O3299)&gt;X3298,X3298,(O3299-MAX(O$470:O3299))/MAX(O$470:O3299))</f>
        <v>-0.62788758315546067</v>
      </c>
    </row>
    <row r="3300" spans="1:24">
      <c r="A3300" s="799">
        <v>43702</v>
      </c>
      <c r="B3300">
        <v>10091.571105999999</v>
      </c>
      <c r="C3300">
        <v>5990.5287580000004</v>
      </c>
      <c r="D3300">
        <v>1.802197</v>
      </c>
      <c r="E3300">
        <f>LN(D3300/参数实验室!$E$53)/参数实验室!$E$55</f>
        <v>1.9140070754944934E-3</v>
      </c>
      <c r="F3300">
        <f t="shared" si="458"/>
        <v>0.59361705873907966</v>
      </c>
      <c r="G3300">
        <f>LN(F3300/参数实验室!$E$58)/参数实验室!$E$59</f>
        <v>-0.46425235120858604</v>
      </c>
      <c r="H3300" s="856">
        <f>INDEX(神经网络!$G$10:$BO$70,MATCH(ROUND(G3300*2,1)/2,神经网络!$E$10:$E$70,0),MATCH(ROUND(E3300*2,1)/2,神经网络!$G$8:$BO$8,0))</f>
        <v>-0.55498441126737386</v>
      </c>
      <c r="I3300">
        <f t="shared" si="460"/>
        <v>501046.52521354379</v>
      </c>
      <c r="J3300">
        <f t="shared" si="461"/>
        <v>4026.803042975137</v>
      </c>
      <c r="K3300">
        <f t="shared" si="462"/>
        <v>124.42786991721199</v>
      </c>
      <c r="L3300" s="4">
        <f>MIN(MAX(L3299*(1+MAX(MIN(((B3300-B3299)/B3299)/($K$7*卓尔金历!$N$40),0),-卓尔金历!$M$43))+MIN(MAX(((B3300-B3299)/B3299)/($K$7*卓尔金历!$N$40),0),卓尔金历!$M$43),0),1)</f>
        <v>0.39550165586129743</v>
      </c>
      <c r="M3300" s="4">
        <f>MIN(MAX(M3299*(1+MAX(MIN(((B3300-B3299)/B3299)/($K$7*30),0),-卓尔金历!$M$43))+MIN(MAX(((B3300-B3299)/B3299)/($K$7*7),0),卓尔金历!$M$43),0),1)</f>
        <v>1</v>
      </c>
      <c r="N3300">
        <f t="shared" si="463"/>
        <v>185759.64447653713</v>
      </c>
      <c r="O3300">
        <f t="shared" si="464"/>
        <v>516719.38935672125</v>
      </c>
      <c r="P3300">
        <f t="shared" si="465"/>
        <v>1.001947836087776E-2</v>
      </c>
      <c r="Q3300">
        <f t="shared" si="456"/>
        <v>3.069973032706726E-2</v>
      </c>
      <c r="R3300">
        <f t="shared" si="457"/>
        <v>1</v>
      </c>
      <c r="S3300">
        <f t="shared" si="459"/>
        <v>1047.7598522207315</v>
      </c>
      <c r="T3300" s="564">
        <f>IF((I3300-MAX(I$470:I3300))/MAX(I$470:I3300)&gt;T3299,T3299,(I3300-MAX(I$470:I3300))/MAX(I$470:I3300))</f>
        <v>-0.91338805338419748</v>
      </c>
      <c r="U3300" s="564">
        <f>IF((J3300-MAX(J$470:J3300))/MAX(J$470:J3300)&gt;U3299,U3299,(J3300-MAX(J$470:J3300))/MAX(J$470:J3300))</f>
        <v>-0.83569785939843477</v>
      </c>
      <c r="V3300" s="564">
        <f>IF((K3300-MAX(K$470:K3300))/MAX(K$470:K3300)&gt;V3299,V3299,(K3300-MAX(K$470:K3300))/MAX(K$470:K3300))</f>
        <v>-0.84885940676762139</v>
      </c>
      <c r="W3300" s="564">
        <f>IF((N3300-MAX(N$470:N3300))/MAX(N$470:N3300)&gt;W3299,W3299,(N3300-MAX(N$470:N3300))/MAX(N$470:N3300))</f>
        <v>-0.62788758315546067</v>
      </c>
      <c r="X3300" s="564">
        <f>IF((O3300-MAX(O$470:O3300))/MAX(O$470:O3300)&gt;X3299,X3299,(O3300-MAX(O$470:O3300))/MAX(O$470:O3300))</f>
        <v>-0.62788758315546067</v>
      </c>
    </row>
    <row r="3301" spans="1:24">
      <c r="A3301" s="799">
        <v>43703</v>
      </c>
      <c r="B3301">
        <v>10350.351212</v>
      </c>
      <c r="C3301">
        <v>6051.7454660000003</v>
      </c>
      <c r="D3301">
        <v>1.8474090000000001</v>
      </c>
      <c r="E3301">
        <f>LN(D3301/参数实验室!$E$53)/参数实验室!$E$55</f>
        <v>3.1145509058446895E-2</v>
      </c>
      <c r="F3301">
        <f t="shared" si="458"/>
        <v>0.58468986627079111</v>
      </c>
      <c r="G3301">
        <f>LN(F3301/参数实验室!$E$58)/参数实验室!$E$59</f>
        <v>-0.47220539402437128</v>
      </c>
      <c r="H3301" s="856">
        <f>INDEX(神经网络!$G$10:$BO$70,MATCH(ROUND(G3301*2,1)/2,神经网络!$E$10:$E$70,0),MATCH(ROUND(E3301*2,1)/2,神经网络!$G$8:$BO$8,0))</f>
        <v>-0.51591640708691688</v>
      </c>
      <c r="I3301">
        <f t="shared" si="460"/>
        <v>493915.84531661519</v>
      </c>
      <c r="J3301">
        <f t="shared" si="461"/>
        <v>4130.0631307609401</v>
      </c>
      <c r="K3301">
        <f t="shared" si="462"/>
        <v>119.59038631586584</v>
      </c>
      <c r="L3301" s="4">
        <f>MIN(MAX(L3300*(1+MAX(MIN(((B3301-B3300)/B3300)/($K$7*卓尔金历!$N$40),0),-卓尔金历!$M$43))+MIN(MAX(((B3301-B3300)/B3300)/($K$7*卓尔金历!$N$40),0),卓尔金历!$M$43),0),1)</f>
        <v>0.78730503765966775</v>
      </c>
      <c r="M3301" s="4">
        <f>MIN(MAX(M3300*(1+MAX(MIN(((B3301-B3300)/B3300)/($K$7*30),0),-卓尔金历!$M$43))+MIN(MAX(((B3301-B3300)/B3300)/($K$7*7),0),卓尔金历!$M$43),0),1)</f>
        <v>1</v>
      </c>
      <c r="N3301">
        <f t="shared" si="463"/>
        <v>184714.0758008564</v>
      </c>
      <c r="O3301">
        <f t="shared" si="464"/>
        <v>509365.65995909926</v>
      </c>
      <c r="P3301">
        <f t="shared" si="465"/>
        <v>2.5643193045148442E-2</v>
      </c>
      <c r="Q3301">
        <f t="shared" si="456"/>
        <v>2.4788435755895087E-2</v>
      </c>
      <c r="R3301">
        <f t="shared" si="457"/>
        <v>2.9658981415957821E-2</v>
      </c>
      <c r="S3301">
        <f t="shared" si="459"/>
        <v>1032.8485820310918</v>
      </c>
      <c r="T3301" s="564">
        <f>IF((I3301-MAX(I$470:I3301))/MAX(I$470:I3301)&gt;T3300,T3300,(I3301-MAX(I$470:I3301))/MAX(I$470:I3301))</f>
        <v>-0.91338805338419748</v>
      </c>
      <c r="U3301" s="564">
        <f>IF((J3301-MAX(J$470:J3301))/MAX(J$470:J3301)&gt;U3300,U3300,(J3301-MAX(J$470:J3301))/MAX(J$470:J3301))</f>
        <v>-0.83569785939843477</v>
      </c>
      <c r="V3301" s="564">
        <f>IF((K3301-MAX(K$470:K3301))/MAX(K$470:K3301)&gt;V3300,V3300,(K3301-MAX(K$470:K3301))/MAX(K$470:K3301))</f>
        <v>-0.84885940676762139</v>
      </c>
      <c r="W3301" s="564">
        <f>IF((N3301-MAX(N$470:N3301))/MAX(N$470:N3301)&gt;W3300,W3300,(N3301-MAX(N$470:N3301))/MAX(N$470:N3301))</f>
        <v>-0.62788758315546067</v>
      </c>
      <c r="X3301" s="564">
        <f>IF((O3301-MAX(O$470:O3301))/MAX(O$470:O3301)&gt;X3300,X3300,(O3301-MAX(O$470:O3301))/MAX(O$470:O3301))</f>
        <v>-0.62788758315546067</v>
      </c>
    </row>
    <row r="3302" spans="1:24">
      <c r="A3302" s="799">
        <v>43704</v>
      </c>
      <c r="B3302">
        <v>10115.756385000001</v>
      </c>
      <c r="C3302">
        <v>6215.8801569999996</v>
      </c>
      <c r="D3302">
        <v>1.8115619999999999</v>
      </c>
      <c r="E3302">
        <f>LN(D3302/参数实验室!$E$53)/参数实验室!$E$55</f>
        <v>8.0286449707115837E-3</v>
      </c>
      <c r="F3302">
        <f t="shared" si="458"/>
        <v>0.61447507437181126</v>
      </c>
      <c r="G3302">
        <f>LN(F3302/参数实验室!$E$58)/参数实验室!$E$59</f>
        <v>-0.44612707500210169</v>
      </c>
      <c r="H3302" s="856">
        <f>INDEX(神经网络!$G$10:$BO$70,MATCH(ROUND(G3302*2,1)/2,神经网络!$E$10:$E$70,0),MATCH(ROUND(E3302*2,1)/2,神经网络!$G$8:$BO$8,0))</f>
        <v>-0.55498441126737386</v>
      </c>
      <c r="I3302">
        <f t="shared" si="460"/>
        <v>499691.42583896132</v>
      </c>
      <c r="J3302">
        <f t="shared" si="461"/>
        <v>4036.453607198433</v>
      </c>
      <c r="K3302">
        <f t="shared" si="462"/>
        <v>123.79466592848577</v>
      </c>
      <c r="L3302" s="4">
        <f>MIN(MAX(L3301*(1+MAX(MIN(((B3302-B3301)/B3301)/($K$7*卓尔金历!$N$40),0),-卓尔金历!$M$43))+MIN(MAX(((B3302-B3301)/B3301)/($K$7*卓尔金历!$N$40),0),卓尔金历!$M$43),0),1)</f>
        <v>0.5146569515585252</v>
      </c>
      <c r="M3302" s="4">
        <f>MIN(MAX(M3301*(1+MAX(MIN(((B3302-B3301)/B3301)/($K$7*30),0),-卓尔金历!$M$43))+MIN(MAX(((B3302-B3301)/B3301)/($K$7*7),0),卓尔金历!$M$43),0),1)</f>
        <v>0.82684723642083346</v>
      </c>
      <c r="N3302">
        <f t="shared" si="463"/>
        <v>186414.61131329453</v>
      </c>
      <c r="O3302">
        <f t="shared" si="464"/>
        <v>515321.90212526411</v>
      </c>
      <c r="P3302">
        <f t="shared" si="465"/>
        <v>-2.2665397743026752E-2</v>
      </c>
      <c r="Q3302">
        <f t="shared" si="456"/>
        <v>2.5004858368590618E-2</v>
      </c>
      <c r="R3302">
        <f t="shared" si="457"/>
        <v>0.12545412905897474</v>
      </c>
      <c r="S3302">
        <f t="shared" si="459"/>
        <v>1033.2067902725432</v>
      </c>
      <c r="T3302" s="564">
        <f>IF((I3302-MAX(I$470:I3302))/MAX(I$470:I3302)&gt;T3301,T3301,(I3302-MAX(I$470:I3302))/MAX(I$470:I3302))</f>
        <v>-0.91338805338419748</v>
      </c>
      <c r="U3302" s="564">
        <f>IF((J3302-MAX(J$470:J3302))/MAX(J$470:J3302)&gt;U3301,U3301,(J3302-MAX(J$470:J3302))/MAX(J$470:J3302))</f>
        <v>-0.83569785939843477</v>
      </c>
      <c r="V3302" s="564">
        <f>IF((K3302-MAX(K$470:K3302))/MAX(K$470:K3302)&gt;V3301,V3301,(K3302-MAX(K$470:K3302))/MAX(K$470:K3302))</f>
        <v>-0.84885940676762139</v>
      </c>
      <c r="W3302" s="564">
        <f>IF((N3302-MAX(N$470:N3302))/MAX(N$470:N3302)&gt;W3301,W3301,(N3302-MAX(N$470:N3302))/MAX(N$470:N3302))</f>
        <v>-0.62788758315546067</v>
      </c>
      <c r="X3302" s="564">
        <f>IF((O3302-MAX(O$470:O3302))/MAX(O$470:O3302)&gt;X3301,X3301,(O3302-MAX(O$470:O3302))/MAX(O$470:O3302))</f>
        <v>-0.62788758315546067</v>
      </c>
    </row>
    <row r="3303" spans="1:24">
      <c r="A3303" s="799">
        <v>43705</v>
      </c>
      <c r="B3303">
        <v>10227.063672</v>
      </c>
      <c r="C3303">
        <v>6288.7314050000004</v>
      </c>
      <c r="D3303">
        <v>1.7330920000000001</v>
      </c>
      <c r="E3303">
        <f>LN(D3303/参数实验室!$E$53)/参数实验室!$E$55</f>
        <v>-4.4213612996812174E-2</v>
      </c>
      <c r="F3303">
        <f t="shared" si="458"/>
        <v>0.61491075118829086</v>
      </c>
      <c r="G3303">
        <f>LN(F3303/参数实验室!$E$58)/参数实验室!$E$59</f>
        <v>-0.44575507340028597</v>
      </c>
      <c r="H3303" s="856">
        <f>INDEX(神经网络!$G$10:$BO$70,MATCH(ROUND(G3303*2,1)/2,神经网络!$E$10:$E$70,0),MATCH(ROUND(E3303*2,1)/2,神经网络!$G$8:$BO$8,0))</f>
        <v>-0.58832479446590058</v>
      </c>
      <c r="I3303">
        <f t="shared" si="460"/>
        <v>496639.96417889482</v>
      </c>
      <c r="J3303">
        <f t="shared" si="461"/>
        <v>4080.8681505127461</v>
      </c>
      <c r="K3303">
        <f t="shared" si="462"/>
        <v>121.69958593651056</v>
      </c>
      <c r="L3303" s="4">
        <f>MIN(MAX(L3302*(1+MAX(MIN(((B3303-B3302)/B3302)/($K$7*卓尔金历!$N$40),0),-卓尔金历!$M$43))+MIN(MAX(((B3303-B3302)/B3302)/($K$7*卓尔金历!$N$40),0),卓尔金历!$M$43),0),1)</f>
        <v>0.68277769972808111</v>
      </c>
      <c r="M3303" s="4">
        <f>MIN(MAX(M3302*(1+MAX(MIN(((B3303-B3302)/B3302)/($K$7*30),0),-卓尔金历!$M$43))+MIN(MAX(((B3303-B3302)/B3302)/($K$7*7),0),卓尔金历!$M$43),0),1)</f>
        <v>1</v>
      </c>
      <c r="N3303">
        <f t="shared" si="463"/>
        <v>185828.73786932352</v>
      </c>
      <c r="O3303">
        <f t="shared" si="464"/>
        <v>512719.88649802899</v>
      </c>
      <c r="P3303">
        <f t="shared" si="465"/>
        <v>1.100335780773151E-2</v>
      </c>
      <c r="Q3303">
        <f t="shared" si="456"/>
        <v>2.5242568468784275E-2</v>
      </c>
      <c r="R3303">
        <f t="shared" si="457"/>
        <v>0.87609848811342139</v>
      </c>
      <c r="S3303">
        <f t="shared" si="459"/>
        <v>1032.4152404941306</v>
      </c>
      <c r="T3303" s="564">
        <f>IF((I3303-MAX(I$470:I3303))/MAX(I$470:I3303)&gt;T3302,T3302,(I3303-MAX(I$470:I3303))/MAX(I$470:I3303))</f>
        <v>-0.91338805338419748</v>
      </c>
      <c r="U3303" s="564">
        <f>IF((J3303-MAX(J$470:J3303))/MAX(J$470:J3303)&gt;U3302,U3302,(J3303-MAX(J$470:J3303))/MAX(J$470:J3303))</f>
        <v>-0.83569785939843477</v>
      </c>
      <c r="V3303" s="564">
        <f>IF((K3303-MAX(K$470:K3303))/MAX(K$470:K3303)&gt;V3302,V3302,(K3303-MAX(K$470:K3303))/MAX(K$470:K3303))</f>
        <v>-0.84885940676762139</v>
      </c>
      <c r="W3303" s="564">
        <f>IF((N3303-MAX(N$470:N3303))/MAX(N$470:N3303)&gt;W3302,W3302,(N3303-MAX(N$470:N3303))/MAX(N$470:N3303))</f>
        <v>-0.62788758315546067</v>
      </c>
      <c r="X3303" s="564">
        <f>IF((O3303-MAX(O$470:O3303))/MAX(O$470:O3303)&gt;X3302,X3302,(O3303-MAX(O$470:O3303))/MAX(O$470:O3303))</f>
        <v>-0.62788758315546067</v>
      </c>
    </row>
    <row r="3304" spans="1:24">
      <c r="A3304" s="799">
        <v>43706</v>
      </c>
      <c r="B3304">
        <v>9536.9374059999991</v>
      </c>
      <c r="C3304">
        <v>6195.5070150000001</v>
      </c>
      <c r="D3304">
        <v>1.691074</v>
      </c>
      <c r="E3304">
        <f>LN(D3304/参数实验室!$E$53)/参数实验室!$E$55</f>
        <v>-7.3168611161058494E-2</v>
      </c>
      <c r="F3304">
        <f t="shared" si="458"/>
        <v>0.64963276482261534</v>
      </c>
      <c r="G3304">
        <f>LN(F3304/参数实验室!$E$58)/参数实验室!$E$59</f>
        <v>-0.41692479421863493</v>
      </c>
      <c r="H3304" s="856">
        <f>INDEX(神经网络!$G$10:$BO$70,MATCH(ROUND(G3304*2,1)/2,神经网络!$E$10:$E$70,0),MATCH(ROUND(E3304*2,1)/2,神经网络!$G$8:$BO$8,0))</f>
        <v>-0.51577837593697917</v>
      </c>
      <c r="I3304">
        <f t="shared" si="460"/>
        <v>516356.76334242517</v>
      </c>
      <c r="J3304">
        <f t="shared" si="461"/>
        <v>3805.4895678544322</v>
      </c>
      <c r="K3304">
        <f t="shared" si="462"/>
        <v>135.68734170346224</v>
      </c>
      <c r="L3304" s="4">
        <f>MIN(MAX(L3303*(1+MAX(MIN(((B3304-B3303)/B3303)/($K$7*卓尔金历!$N$40),0),-卓尔金历!$M$43))+MIN(MAX(((B3304-B3303)/B3303)/($K$7*卓尔金历!$N$40),0),卓尔金历!$M$43),0),1)</f>
        <v>0</v>
      </c>
      <c r="M3304" s="4">
        <f>MIN(MAX(M3303*(1+MAX(MIN(((B3304-B3303)/B3303)/($K$7*30),0),-卓尔金历!$M$43))+MIN(MAX(((B3304-B3303)/B3303)/($K$7*7),0),卓尔金历!$M$43),0),1)</f>
        <v>0.48448218286182387</v>
      </c>
      <c r="N3304">
        <f t="shared" si="463"/>
        <v>190865.91188235447</v>
      </c>
      <c r="O3304">
        <f t="shared" si="464"/>
        <v>533075.06481305533</v>
      </c>
      <c r="P3304">
        <f t="shared" si="465"/>
        <v>-6.7480392039550127E-2</v>
      </c>
      <c r="Q3304">
        <f t="shared" si="456"/>
        <v>2.8270569165516766E-2</v>
      </c>
      <c r="R3304">
        <f t="shared" si="457"/>
        <v>3.2811360105525159E-3</v>
      </c>
      <c r="S3304">
        <f t="shared" si="459"/>
        <v>1068.3241392602595</v>
      </c>
      <c r="T3304" s="564">
        <f>IF((I3304-MAX(I$470:I3304))/MAX(I$470:I3304)&gt;T3303,T3303,(I3304-MAX(I$470:I3304))/MAX(I$470:I3304))</f>
        <v>-0.91338805338419748</v>
      </c>
      <c r="U3304" s="564">
        <f>IF((J3304-MAX(J$470:J3304))/MAX(J$470:J3304)&gt;U3303,U3303,(J3304-MAX(J$470:J3304))/MAX(J$470:J3304))</f>
        <v>-0.83569785939843477</v>
      </c>
      <c r="V3304" s="564">
        <f>IF((K3304-MAX(K$470:K3304))/MAX(K$470:K3304)&gt;V3303,V3303,(K3304-MAX(K$470:K3304))/MAX(K$470:K3304))</f>
        <v>-0.84885940676762139</v>
      </c>
      <c r="W3304" s="564">
        <f>IF((N3304-MAX(N$470:N3304))/MAX(N$470:N3304)&gt;W3303,W3303,(N3304-MAX(N$470:N3304))/MAX(N$470:N3304))</f>
        <v>-0.62788758315546067</v>
      </c>
      <c r="X3304" s="564">
        <f>IF((O3304-MAX(O$470:O3304))/MAX(O$470:O3304)&gt;X3303,X3303,(O3304-MAX(O$470:O3304))/MAX(O$470:O3304))</f>
        <v>-0.62788758315546067</v>
      </c>
    </row>
    <row r="3305" spans="1:24">
      <c r="A3305" s="799">
        <v>43707</v>
      </c>
      <c r="B3305">
        <v>9590.1030200000005</v>
      </c>
      <c r="C3305">
        <v>6243.1660680000005</v>
      </c>
      <c r="D3305">
        <v>1.708116</v>
      </c>
      <c r="E3305">
        <f>LN(D3305/参数实验室!$E$53)/参数实验室!$E$55</f>
        <v>-6.1339014557113318E-2</v>
      </c>
      <c r="F3305">
        <f t="shared" si="458"/>
        <v>0.65100093867396225</v>
      </c>
      <c r="G3305">
        <f>LN(F3305/参数实验室!$E$58)/参数实验室!$E$59</f>
        <v>-0.41582057580501602</v>
      </c>
      <c r="H3305" s="856">
        <f>INDEX(神经网络!$G$10:$BO$70,MATCH(ROUND(G3305*2,1)/2,神经网络!$E$10:$E$70,0),MATCH(ROUND(E3305*2,1)/2,神经网络!$G$8:$BO$8,0))</f>
        <v>-0.51577837593697917</v>
      </c>
      <c r="I3305">
        <f t="shared" si="460"/>
        <v>514872.07635620266</v>
      </c>
      <c r="J3305">
        <f t="shared" si="461"/>
        <v>3826.7040501177107</v>
      </c>
      <c r="K3305">
        <f t="shared" si="462"/>
        <v>134.54713759230088</v>
      </c>
      <c r="L3305" s="4">
        <f>MIN(MAX(L3304*(1+MAX(MIN(((B3305-B3304)/B3304)/($K$7*卓尔金历!$N$40),0),-卓尔金历!$M$43))+MIN(MAX(((B3305-B3304)/B3304)/($K$7*卓尔金历!$N$40),0),卓尔金历!$M$43),0),1)</f>
        <v>8.5176144931584541E-2</v>
      </c>
      <c r="M3305" s="4">
        <f>MIN(MAX(M3304*(1+MAX(MIN(((B3305-B3304)/B3304)/($K$7*30),0),-卓尔金历!$M$43))+MIN(MAX(((B3305-B3304)/B3304)/($K$7*7),0),卓尔金历!$M$43),0),1)</f>
        <v>0.66700249342950502</v>
      </c>
      <c r="N3305">
        <f t="shared" si="463"/>
        <v>190865.91188235447</v>
      </c>
      <c r="O3305">
        <f t="shared" si="464"/>
        <v>532332.47119836556</v>
      </c>
      <c r="P3305">
        <f t="shared" si="465"/>
        <v>5.5747051424027529E-3</v>
      </c>
      <c r="Q3305">
        <f t="shared" si="456"/>
        <v>2.8395194979272717E-2</v>
      </c>
      <c r="R3305">
        <f t="shared" si="457"/>
        <v>1</v>
      </c>
      <c r="S3305">
        <f t="shared" si="459"/>
        <v>1068.31406037951</v>
      </c>
      <c r="T3305" s="564">
        <f>IF((I3305-MAX(I$470:I3305))/MAX(I$470:I3305)&gt;T3304,T3304,(I3305-MAX(I$470:I3305))/MAX(I$470:I3305))</f>
        <v>-0.91338805338419748</v>
      </c>
      <c r="U3305" s="564">
        <f>IF((J3305-MAX(J$470:J3305))/MAX(J$470:J3305)&gt;U3304,U3304,(J3305-MAX(J$470:J3305))/MAX(J$470:J3305))</f>
        <v>-0.83569785939843477</v>
      </c>
      <c r="V3305" s="564">
        <f>IF((K3305-MAX(K$470:K3305))/MAX(K$470:K3305)&gt;V3304,V3304,(K3305-MAX(K$470:K3305))/MAX(K$470:K3305))</f>
        <v>-0.84885940676762139</v>
      </c>
      <c r="W3305" s="564">
        <f>IF((N3305-MAX(N$470:N3305))/MAX(N$470:N3305)&gt;W3304,W3304,(N3305-MAX(N$470:N3305))/MAX(N$470:N3305))</f>
        <v>-0.62788758315546067</v>
      </c>
      <c r="X3305" s="564">
        <f>IF((O3305-MAX(O$470:O3305))/MAX(O$470:O3305)&gt;X3304,X3304,(O3305-MAX(O$470:O3305))/MAX(O$470:O3305))</f>
        <v>-0.62788758315546067</v>
      </c>
    </row>
    <row r="3306" spans="1:24">
      <c r="A3306" s="799">
        <v>43708</v>
      </c>
      <c r="B3306">
        <v>9562.5429679999997</v>
      </c>
      <c r="C3306">
        <v>6146.8110770000003</v>
      </c>
      <c r="D3306">
        <v>1.7131019999999999</v>
      </c>
      <c r="E3306">
        <f>LN(D3306/参数实验室!$E$53)/参数实验室!$E$55</f>
        <v>-5.7900324687614337E-2</v>
      </c>
      <c r="F3306">
        <f t="shared" si="458"/>
        <v>0.64280088440591887</v>
      </c>
      <c r="G3306">
        <f>LN(F3306/参数实验室!$E$58)/参数实验室!$E$59</f>
        <v>-0.42247366469154024</v>
      </c>
      <c r="H3306" s="856">
        <f>INDEX(神经网络!$G$10:$BO$70,MATCH(ROUND(G3306*2,1)/2,神经网络!$E$10:$E$70,0),MATCH(ROUND(E3306*2,1)/2,神经网络!$G$8:$BO$8,0))</f>
        <v>-0.51577837593697917</v>
      </c>
      <c r="I3306">
        <f t="shared" si="460"/>
        <v>515635.24273504195</v>
      </c>
      <c r="J3306">
        <f t="shared" si="461"/>
        <v>3815.7068624556055</v>
      </c>
      <c r="K3306">
        <f t="shared" si="462"/>
        <v>135.13492029710162</v>
      </c>
      <c r="L3306" s="4">
        <f>MIN(MAX(L3305*(1+MAX(MIN(((B3306-B3305)/B3305)/($K$7*卓尔金历!$N$40),0),-卓尔金历!$M$43))+MIN(MAX(((B3306-B3305)/B3305)/($K$7*卓尔金历!$N$40),0),卓尔金历!$M$43),0),1)</f>
        <v>8.1436151679706401E-2</v>
      </c>
      <c r="M3306" s="4">
        <f>MIN(MAX(M3305*(1+MAX(MIN(((B3306-B3305)/B3305)/($K$7*30),0),-卓尔金历!$M$43))+MIN(MAX(((B3306-B3305)/B3305)/($K$7*7),0),卓尔金历!$M$43),0),1)</f>
        <v>0.65235881105566695</v>
      </c>
      <c r="N3306">
        <f t="shared" si="463"/>
        <v>190890.00906348115</v>
      </c>
      <c r="O3306">
        <f t="shared" si="464"/>
        <v>532858.76748519752</v>
      </c>
      <c r="P3306">
        <f t="shared" si="465"/>
        <v>-2.8738014536991621E-3</v>
      </c>
      <c r="Q3306">
        <f t="shared" si="456"/>
        <v>2.8123960214000845E-2</v>
      </c>
      <c r="R3306">
        <f t="shared" si="457"/>
        <v>1</v>
      </c>
      <c r="S3306">
        <f t="shared" si="459"/>
        <v>1069.8975631763462</v>
      </c>
      <c r="T3306" s="564">
        <f>IF((I3306-MAX(I$470:I3306))/MAX(I$470:I3306)&gt;T3305,T3305,(I3306-MAX(I$470:I3306))/MAX(I$470:I3306))</f>
        <v>-0.91338805338419748</v>
      </c>
      <c r="U3306" s="564">
        <f>IF((J3306-MAX(J$470:J3306))/MAX(J$470:J3306)&gt;U3305,U3305,(J3306-MAX(J$470:J3306))/MAX(J$470:J3306))</f>
        <v>-0.83569785939843477</v>
      </c>
      <c r="V3306" s="564">
        <f>IF((K3306-MAX(K$470:K3306))/MAX(K$470:K3306)&gt;V3305,V3305,(K3306-MAX(K$470:K3306))/MAX(K$470:K3306))</f>
        <v>-0.84885940676762139</v>
      </c>
      <c r="W3306" s="564">
        <f>IF((N3306-MAX(N$470:N3306))/MAX(N$470:N3306)&gt;W3305,W3305,(N3306-MAX(N$470:N3306))/MAX(N$470:N3306))</f>
        <v>-0.62788758315546067</v>
      </c>
      <c r="X3306" s="564">
        <f>IF((O3306-MAX(O$470:O3306))/MAX(O$470:O3306)&gt;X3305,X3305,(O3306-MAX(O$470:O3306))/MAX(O$470:O3306))</f>
        <v>-0.62788758315546067</v>
      </c>
    </row>
    <row r="3307" spans="1:24">
      <c r="A3307" s="799">
        <v>43709</v>
      </c>
      <c r="B3307">
        <v>9527.6555960000005</v>
      </c>
      <c r="C3307">
        <v>6255.7649090000004</v>
      </c>
      <c r="D3307">
        <v>1.740394</v>
      </c>
      <c r="E3307">
        <f>LN(D3307/参数实验室!$E$53)/参数实验室!$E$55</f>
        <v>-3.9253425520831525E-2</v>
      </c>
      <c r="F3307">
        <f t="shared" si="458"/>
        <v>0.65659015966386958</v>
      </c>
      <c r="G3307">
        <f>LN(F3307/参数实验室!$E$58)/参数实验室!$E$59</f>
        <v>-0.41133363320629374</v>
      </c>
      <c r="H3307" s="856">
        <f>INDEX(神经网络!$G$10:$BO$70,MATCH(ROUND(G3307*2,1)/2,神经网络!$E$10:$E$70,0),MATCH(ROUND(E3307*2,1)/2,神经网络!$G$8:$BO$8,0))</f>
        <v>-0.51577837593697917</v>
      </c>
      <c r="I3307">
        <f t="shared" si="460"/>
        <v>516605.53055512527</v>
      </c>
      <c r="J3307">
        <f t="shared" si="461"/>
        <v>3801.7858808507212</v>
      </c>
      <c r="K3307">
        <f t="shared" si="462"/>
        <v>135.88496215876447</v>
      </c>
      <c r="L3307" s="4">
        <f>MIN(MAX(L3306*(1+MAX(MIN(((B3307-B3306)/B3306)/($K$7*卓尔金历!$N$40),0),-卓尔金历!$M$43))+MIN(MAX(((B3307-B3306)/B3306)/($K$7*卓尔金历!$N$40),0),卓尔金历!$M$43),0),1)</f>
        <v>7.689665003778455E-2</v>
      </c>
      <c r="M3307" s="4">
        <f>MIN(MAX(M3306*(1+MAX(MIN(((B3307-B3306)/B3306)/($K$7*30),0),-卓尔金历!$M$43))+MIN(MAX(((B3307-B3306)/B3306)/($K$7*7),0),卓尔金历!$M$43),0),1)</f>
        <v>0.634176567464659</v>
      </c>
      <c r="N3307">
        <f t="shared" si="463"/>
        <v>190919.26125633658</v>
      </c>
      <c r="O3307">
        <f t="shared" si="464"/>
        <v>533512.88629111578</v>
      </c>
      <c r="P3307">
        <f t="shared" si="465"/>
        <v>-3.6483362340693258E-3</v>
      </c>
      <c r="Q3307">
        <f t="shared" si="456"/>
        <v>2.8121779931668131E-2</v>
      </c>
      <c r="R3307">
        <f t="shared" si="457"/>
        <v>1</v>
      </c>
      <c r="S3307">
        <f t="shared" si="459"/>
        <v>1071.9108246609192</v>
      </c>
      <c r="T3307" s="564">
        <f>IF((I3307-MAX(I$470:I3307))/MAX(I$470:I3307)&gt;T3306,T3306,(I3307-MAX(I$470:I3307))/MAX(I$470:I3307))</f>
        <v>-0.91338805338419748</v>
      </c>
      <c r="U3307" s="564">
        <f>IF((J3307-MAX(J$470:J3307))/MAX(J$470:J3307)&gt;U3306,U3306,(J3307-MAX(J$470:J3307))/MAX(J$470:J3307))</f>
        <v>-0.83569785939843477</v>
      </c>
      <c r="V3307" s="564">
        <f>IF((K3307-MAX(K$470:K3307))/MAX(K$470:K3307)&gt;V3306,V3306,(K3307-MAX(K$470:K3307))/MAX(K$470:K3307))</f>
        <v>-0.84885940676762139</v>
      </c>
      <c r="W3307" s="564">
        <f>IF((N3307-MAX(N$470:N3307))/MAX(N$470:N3307)&gt;W3306,W3306,(N3307-MAX(N$470:N3307))/MAX(N$470:N3307))</f>
        <v>-0.62788758315546067</v>
      </c>
      <c r="X3307" s="564">
        <f>IF((O3307-MAX(O$470:O3307))/MAX(O$470:O3307)&gt;X3306,X3306,(O3307-MAX(O$470:O3307))/MAX(O$470:O3307))</f>
        <v>-0.62788758315546067</v>
      </c>
    </row>
    <row r="3308" spans="1:24">
      <c r="A3308" s="799">
        <v>43710</v>
      </c>
      <c r="B3308">
        <v>9866.3866820000003</v>
      </c>
      <c r="C3308">
        <v>6358.8535439999996</v>
      </c>
      <c r="D3308">
        <v>1.8474600000000001</v>
      </c>
      <c r="E3308">
        <f>LN(D3308/参数实验室!$E$53)/参数实验室!$E$55</f>
        <v>3.1178077149735868E-2</v>
      </c>
      <c r="F3308">
        <f t="shared" si="458"/>
        <v>0.64449668849903685</v>
      </c>
      <c r="G3308">
        <f>LN(F3308/参数实验室!$E$58)/参数实验室!$E$59</f>
        <v>-0.42109084510399747</v>
      </c>
      <c r="H3308" s="856">
        <f>INDEX(神经网络!$G$10:$BO$70,MATCH(ROUND(G3308*2,1)/2,神经网络!$E$10:$E$70,0),MATCH(ROUND(E3308*2,1)/2,神经网络!$G$8:$BO$8,0))</f>
        <v>-0.44008177200229937</v>
      </c>
      <c r="I3308">
        <f t="shared" si="460"/>
        <v>507132.45096536208</v>
      </c>
      <c r="J3308">
        <f t="shared" si="461"/>
        <v>3936.9485184150644</v>
      </c>
      <c r="K3308">
        <f t="shared" si="462"/>
        <v>128.81358458035496</v>
      </c>
      <c r="L3308" s="4">
        <f>MIN(MAX(L3307*(1+MAX(MIN(((B3308-B3307)/B3307)/($K$7*卓尔金历!$N$40),0),-卓尔金历!$M$43))+MIN(MAX(((B3308-B3307)/B3307)/($K$7*卓尔金历!$N$40),0),卓尔金历!$M$43),0),1)</f>
        <v>0.62010330628450461</v>
      </c>
      <c r="M3308" s="4">
        <f>MIN(MAX(M3307*(1+MAX(MIN(((B3308-B3307)/B3307)/($K$7*30),0),-卓尔金历!$M$43))+MIN(MAX(((B3308-B3307)/B3307)/($K$7*7),0),卓尔金历!$M$43),0),1)</f>
        <v>1</v>
      </c>
      <c r="N3308">
        <f t="shared" si="463"/>
        <v>190650.05242635726</v>
      </c>
      <c r="O3308">
        <f t="shared" si="464"/>
        <v>527308.66557390825</v>
      </c>
      <c r="P3308">
        <f t="shared" si="465"/>
        <v>3.5552406632142472E-2</v>
      </c>
      <c r="Q3308">
        <f t="shared" ref="Q3308:Q3371" si="466">STDEVP(P3288:P3308)</f>
        <v>2.9610913363009837E-2</v>
      </c>
      <c r="R3308">
        <f t="shared" ref="R3308:R3371" si="467">MIN(Q3307*MAX(1-LN(MAX(ABS(P3308),0.0001)/Q3308),0)+MAX(-LN(MAX(ABS(P3308),0.0001)/Q3308),0),1)</f>
        <v>2.2979294497443358E-2</v>
      </c>
      <c r="S3308">
        <f t="shared" si="459"/>
        <v>1052.2550216263869</v>
      </c>
      <c r="T3308" s="564">
        <f>IF((I3308-MAX(I$470:I3308))/MAX(I$470:I3308)&gt;T3307,T3307,(I3308-MAX(I$470:I3308))/MAX(I$470:I3308))</f>
        <v>-0.91338805338419748</v>
      </c>
      <c r="U3308" s="564">
        <f>IF((J3308-MAX(J$470:J3308))/MAX(J$470:J3308)&gt;U3307,U3307,(J3308-MAX(J$470:J3308))/MAX(J$470:J3308))</f>
        <v>-0.83569785939843477</v>
      </c>
      <c r="V3308" s="564">
        <f>IF((K3308-MAX(K$470:K3308))/MAX(K$470:K3308)&gt;V3307,V3307,(K3308-MAX(K$470:K3308))/MAX(K$470:K3308))</f>
        <v>-0.84885940676762139</v>
      </c>
      <c r="W3308" s="564">
        <f>IF((N3308-MAX(N$470:N3308))/MAX(N$470:N3308)&gt;W3307,W3307,(N3308-MAX(N$470:N3308))/MAX(N$470:N3308))</f>
        <v>-0.62788758315546067</v>
      </c>
      <c r="X3308" s="564">
        <f>IF((O3308-MAX(O$470:O3308))/MAX(O$470:O3308)&gt;X3307,X3307,(O3308-MAX(O$470:O3308))/MAX(O$470:O3308))</f>
        <v>-0.62788758315546067</v>
      </c>
    </row>
    <row r="3309" spans="1:24">
      <c r="A3309" s="799">
        <v>43711</v>
      </c>
      <c r="B3309">
        <v>10593.299150999999</v>
      </c>
      <c r="C3309">
        <v>6373.9510270000001</v>
      </c>
      <c r="D3309">
        <v>1.887659</v>
      </c>
      <c r="E3309">
        <f>LN(D3309/参数实验室!$E$53)/参数实验室!$E$55</f>
        <v>5.6573108397451943E-2</v>
      </c>
      <c r="F3309">
        <f t="shared" si="458"/>
        <v>0.601696500414444</v>
      </c>
      <c r="G3309">
        <f>LN(F3309/参数实验室!$E$58)/参数实验室!$E$59</f>
        <v>-0.45715698752196898</v>
      </c>
      <c r="H3309" s="856">
        <f>INDEX(神经网络!$G$10:$BO$70,MATCH(ROUND(G3309*2,1)/2,神经网络!$E$10:$E$70,0),MATCH(ROUND(E3309*2,1)/2,神经网络!$G$8:$BO$8,0))</f>
        <v>-0.51591640708691688</v>
      </c>
      <c r="I3309">
        <f t="shared" si="460"/>
        <v>490689.53760389681</v>
      </c>
      <c r="J3309">
        <f t="shared" si="461"/>
        <v>4227.0057663301513</v>
      </c>
      <c r="K3309">
        <f t="shared" si="462"/>
        <v>116.08442588662686</v>
      </c>
      <c r="L3309" s="4">
        <f>MIN(MAX(L3308*(1+MAX(MIN(((B3309-B3308)/B3308)/($K$7*卓尔金历!$N$40),0),-卓尔金历!$M$43))+MIN(MAX(((B3309-B3308)/B3308)/($K$7*卓尔金历!$N$40),0),卓尔金历!$M$43),0),1)</f>
        <v>1</v>
      </c>
      <c r="M3309" s="4">
        <f>MIN(MAX(M3308*(1+MAX(MIN(((B3309-B3308)/B3308)/($K$7*30),0),-卓尔金历!$M$43))+MIN(MAX(((B3309-B3308)/B3308)/($K$7*7),0),卓尔金历!$M$43),0),1)</f>
        <v>1</v>
      </c>
      <c r="N3309">
        <f t="shared" si="463"/>
        <v>186816.88011064191</v>
      </c>
      <c r="O3309">
        <f t="shared" si="464"/>
        <v>510211.57252400235</v>
      </c>
      <c r="P3309">
        <f t="shared" si="465"/>
        <v>7.3675651728323271E-2</v>
      </c>
      <c r="Q3309">
        <f t="shared" si="466"/>
        <v>3.3467980207773994E-2</v>
      </c>
      <c r="R3309">
        <f t="shared" si="467"/>
        <v>6.2454388689527117E-3</v>
      </c>
      <c r="S3309">
        <f t="shared" si="459"/>
        <v>1051.4710234276183</v>
      </c>
      <c r="T3309" s="564">
        <f>IF((I3309-MAX(I$470:I3309))/MAX(I$470:I3309)&gt;T3308,T3308,(I3309-MAX(I$470:I3309))/MAX(I$470:I3309))</f>
        <v>-0.91338805338419748</v>
      </c>
      <c r="U3309" s="564">
        <f>IF((J3309-MAX(J$470:J3309))/MAX(J$470:J3309)&gt;U3308,U3308,(J3309-MAX(J$470:J3309))/MAX(J$470:J3309))</f>
        <v>-0.83569785939843477</v>
      </c>
      <c r="V3309" s="564">
        <f>IF((K3309-MAX(K$470:K3309))/MAX(K$470:K3309)&gt;V3308,V3308,(K3309-MAX(K$470:K3309))/MAX(K$470:K3309))</f>
        <v>-0.84885940676762139</v>
      </c>
      <c r="W3309" s="564">
        <f>IF((N3309-MAX(N$470:N3309))/MAX(N$470:N3309)&gt;W3308,W3308,(N3309-MAX(N$470:N3309))/MAX(N$470:N3309))</f>
        <v>-0.62788758315546067</v>
      </c>
      <c r="X3309" s="564">
        <f>IF((O3309-MAX(O$470:O3309))/MAX(O$470:O3309)&gt;X3308,X3308,(O3309-MAX(O$470:O3309))/MAX(O$470:O3309))</f>
        <v>-0.62788758315546067</v>
      </c>
    </row>
    <row r="3310" spans="1:24">
      <c r="A3310" s="799">
        <v>43712</v>
      </c>
      <c r="B3310">
        <v>10431.685719999999</v>
      </c>
      <c r="C3310">
        <v>6405.8469500000001</v>
      </c>
      <c r="D3310">
        <v>1.878709</v>
      </c>
      <c r="E3310">
        <f>LN(D3310/参数实验室!$E$53)/参数实验室!$E$55</f>
        <v>5.0966215280265438E-2</v>
      </c>
      <c r="F3310">
        <f t="shared" si="458"/>
        <v>0.6140759146643463</v>
      </c>
      <c r="G3310">
        <f>LN(F3310/参数实验室!$E$58)/参数实验室!$E$59</f>
        <v>-0.44646812815421277</v>
      </c>
      <c r="H3310" s="856">
        <f>INDEX(神经网络!$G$10:$BO$70,MATCH(ROUND(G3310*2,1)/2,神经网络!$E$10:$E$70,0),MATCH(ROUND(E3310*2,1)/2,神经网络!$G$8:$BO$8,0))</f>
        <v>-0.51591640708691688</v>
      </c>
      <c r="I3310">
        <f t="shared" si="460"/>
        <v>494551.71618580987</v>
      </c>
      <c r="J3310">
        <f t="shared" si="461"/>
        <v>4162.5177447029218</v>
      </c>
      <c r="K3310">
        <f t="shared" si="462"/>
        <v>118.81071661860409</v>
      </c>
      <c r="L3310" s="4">
        <f>MIN(MAX(L3309*(1+MAX(MIN(((B3310-B3309)/B3309)/($K$7*卓尔金历!$N$40),0),-卓尔金历!$M$43))+MIN(MAX(((B3310-B3309)/B3309)/($K$7*卓尔金历!$N$40),0),卓尔金历!$M$43),0),1)</f>
        <v>0.76689999010940479</v>
      </c>
      <c r="M3310" s="4">
        <f>MIN(MAX(M3309*(1+MAX(MIN(((B3310-B3309)/B3309)/($K$7*30),0),-卓尔金历!$M$43))+MIN(MAX(((B3310-B3309)/B3309)/($K$7*7),0),卓尔金历!$M$43),0),1)</f>
        <v>0.88344999505470245</v>
      </c>
      <c r="N3310">
        <f t="shared" si="463"/>
        <v>188287.30101390067</v>
      </c>
      <c r="O3310">
        <f t="shared" si="464"/>
        <v>514227.40750036796</v>
      </c>
      <c r="P3310">
        <f t="shared" si="465"/>
        <v>-1.5256194382535075E-2</v>
      </c>
      <c r="Q3310">
        <f t="shared" si="466"/>
        <v>3.2311386758052008E-2</v>
      </c>
      <c r="R3310">
        <f t="shared" si="467"/>
        <v>0.80901758318298023</v>
      </c>
      <c r="S3310">
        <f t="shared" si="459"/>
        <v>1051.5227109629311</v>
      </c>
      <c r="T3310" s="564">
        <f>IF((I3310-MAX(I$470:I3310))/MAX(I$470:I3310)&gt;T3309,T3309,(I3310-MAX(I$470:I3310))/MAX(I$470:I3310))</f>
        <v>-0.91338805338419748</v>
      </c>
      <c r="U3310" s="564">
        <f>IF((J3310-MAX(J$470:J3310))/MAX(J$470:J3310)&gt;U3309,U3309,(J3310-MAX(J$470:J3310))/MAX(J$470:J3310))</f>
        <v>-0.83569785939843477</v>
      </c>
      <c r="V3310" s="564">
        <f>IF((K3310-MAX(K$470:K3310))/MAX(K$470:K3310)&gt;V3309,V3309,(K3310-MAX(K$470:K3310))/MAX(K$470:K3310))</f>
        <v>-0.84885940676762139</v>
      </c>
      <c r="W3310" s="564">
        <f>IF((N3310-MAX(N$470:N3310))/MAX(N$470:N3310)&gt;W3309,W3309,(N3310-MAX(N$470:N3310))/MAX(N$470:N3310))</f>
        <v>-0.62788758315546067</v>
      </c>
      <c r="X3310" s="564">
        <f>IF((O3310-MAX(O$470:O3310))/MAX(O$470:O3310)&gt;X3309,X3309,(O3310-MAX(O$470:O3310))/MAX(O$470:O3310))</f>
        <v>-0.62788758315546067</v>
      </c>
    </row>
    <row r="3311" spans="1:24">
      <c r="A3311" s="799">
        <v>43713</v>
      </c>
      <c r="B3311">
        <v>10516.922474000001</v>
      </c>
      <c r="C3311">
        <v>6391.0332529999996</v>
      </c>
      <c r="D3311">
        <v>1.877391</v>
      </c>
      <c r="E3311">
        <f>LN(D3311/参数实验室!$E$53)/参数实验室!$E$55</f>
        <v>5.0138274150171414E-2</v>
      </c>
      <c r="F3311">
        <f t="shared" si="458"/>
        <v>0.60769044069688172</v>
      </c>
      <c r="G3311">
        <f>LN(F3311/参数实验室!$E$58)/参数实验室!$E$59</f>
        <v>-0.45195440190876879</v>
      </c>
      <c r="H3311" s="856">
        <f>INDEX(神经网络!$G$10:$BO$70,MATCH(ROUND(G3311*2,1)/2,神经网络!$E$10:$E$70,0),MATCH(ROUND(E3311*2,1)/2,神经网络!$G$8:$BO$8,0))</f>
        <v>-0.51591640708691688</v>
      </c>
      <c r="I3311">
        <f t="shared" si="460"/>
        <v>492466.92068645562</v>
      </c>
      <c r="J3311">
        <f t="shared" si="461"/>
        <v>4196.5294577231534</v>
      </c>
      <c r="K3311">
        <f t="shared" si="462"/>
        <v>117.35099816352674</v>
      </c>
      <c r="L3311" s="4">
        <f>MIN(MAX(L3310*(1+MAX(MIN(((B3311-B3310)/B3310)/($K$7*卓尔金历!$N$40),0),-卓尔金历!$M$43))+MIN(MAX(((B3311-B3310)/B3310)/($K$7*卓尔金历!$N$40),0),卓尔金历!$M$43),0),1)</f>
        <v>0.89174422338891002</v>
      </c>
      <c r="M3311" s="4">
        <f>MIN(MAX(M3310*(1+MAX(MIN(((B3311-B3310)/B3310)/($K$7*30),0),-卓尔金历!$M$43))+MIN(MAX(((B3311-B3310)/B3310)/($K$7*7),0),卓尔金历!$M$43),0),1)</f>
        <v>1</v>
      </c>
      <c r="N3311">
        <f t="shared" si="463"/>
        <v>187678.5895094829</v>
      </c>
      <c r="O3311">
        <f t="shared" si="464"/>
        <v>512312.31859495351</v>
      </c>
      <c r="P3311">
        <f t="shared" si="465"/>
        <v>8.1709472742820879E-3</v>
      </c>
      <c r="Q3311">
        <f t="shared" si="466"/>
        <v>3.0656834912606002E-2</v>
      </c>
      <c r="R3311">
        <f t="shared" si="467"/>
        <v>1</v>
      </c>
      <c r="S3311">
        <f t="shared" si="459"/>
        <v>1047.9365616714686</v>
      </c>
      <c r="T3311" s="564">
        <f>IF((I3311-MAX(I$470:I3311))/MAX(I$470:I3311)&gt;T3310,T3310,(I3311-MAX(I$470:I3311))/MAX(I$470:I3311))</f>
        <v>-0.91338805338419748</v>
      </c>
      <c r="U3311" s="564">
        <f>IF((J3311-MAX(J$470:J3311))/MAX(J$470:J3311)&gt;U3310,U3310,(J3311-MAX(J$470:J3311))/MAX(J$470:J3311))</f>
        <v>-0.83569785939843477</v>
      </c>
      <c r="V3311" s="564">
        <f>IF((K3311-MAX(K$470:K3311))/MAX(K$470:K3311)&gt;V3310,V3310,(K3311-MAX(K$470:K3311))/MAX(K$470:K3311))</f>
        <v>-0.84885940676762139</v>
      </c>
      <c r="W3311" s="564">
        <f>IF((N3311-MAX(N$470:N3311))/MAX(N$470:N3311)&gt;W3310,W3310,(N3311-MAX(N$470:N3311))/MAX(N$470:N3311))</f>
        <v>-0.62788758315546067</v>
      </c>
      <c r="X3311" s="564">
        <f>IF((O3311-MAX(O$470:O3311))/MAX(O$470:O3311)&gt;X3310,X3310,(O3311-MAX(O$470:O3311))/MAX(O$470:O3311))</f>
        <v>-0.62788758315546067</v>
      </c>
    </row>
    <row r="3312" spans="1:24">
      <c r="A3312" s="799">
        <v>43714</v>
      </c>
      <c r="B3312">
        <v>10842.256558999999</v>
      </c>
      <c r="C3312">
        <v>6371.9039210000001</v>
      </c>
      <c r="D3312">
        <v>1.8187359999999999</v>
      </c>
      <c r="E3312">
        <f>LN(D3312/参数实验室!$E$53)/参数实验室!$E$55</f>
        <v>1.2691381081872972E-2</v>
      </c>
      <c r="F3312">
        <f t="shared" si="458"/>
        <v>0.58769167528237243</v>
      </c>
      <c r="G3312">
        <f>LN(F3312/参数实验室!$E$58)/参数实验室!$E$59</f>
        <v>-0.46951767678660905</v>
      </c>
      <c r="H3312" s="856">
        <f>INDEX(神经网络!$G$10:$BO$70,MATCH(ROUND(G3312*2,1)/2,神经网络!$E$10:$E$70,0),MATCH(ROUND(E3312*2,1)/2,神经网络!$G$8:$BO$8,0))</f>
        <v>-0.55498441126737386</v>
      </c>
      <c r="I3312">
        <f t="shared" si="460"/>
        <v>484607.37763316312</v>
      </c>
      <c r="J3312">
        <f t="shared" si="461"/>
        <v>4326.3463385339746</v>
      </c>
      <c r="K3312">
        <f t="shared" si="462"/>
        <v>112.01307979364803</v>
      </c>
      <c r="L3312" s="4">
        <f>MIN(MAX(L3311*(1+MAX(MIN(((B3312-B3311)/B3311)/($K$7*卓尔金历!$N$40),0),-卓尔金历!$M$43))+MIN(MAX(((B3312-B3311)/B3311)/($K$7*卓尔金历!$N$40),0),卓尔金历!$M$43),0),1)</f>
        <v>1</v>
      </c>
      <c r="M3312" s="4">
        <f>MIN(MAX(M3311*(1+MAX(MIN(((B3312-B3311)/B3311)/($K$7*30),0),-卓尔金历!$M$43))+MIN(MAX(((B3312-B3311)/B3311)/($K$7*7),0),卓尔金历!$M$43),0),1)</f>
        <v>1</v>
      </c>
      <c r="N3312">
        <f t="shared" si="463"/>
        <v>185007.58101689946</v>
      </c>
      <c r="O3312">
        <f t="shared" si="464"/>
        <v>504136.05221930234</v>
      </c>
      <c r="P3312">
        <f t="shared" si="465"/>
        <v>3.093434279888356E-2</v>
      </c>
      <c r="Q3312">
        <f t="shared" si="466"/>
        <v>3.0955743834188833E-2</v>
      </c>
      <c r="R3312">
        <f t="shared" si="467"/>
        <v>3.1369618668152834E-2</v>
      </c>
      <c r="S3312">
        <f t="shared" si="459"/>
        <v>1031.2119814456626</v>
      </c>
      <c r="T3312" s="564">
        <f>IF((I3312-MAX(I$470:I3312))/MAX(I$470:I3312)&gt;T3311,T3311,(I3312-MAX(I$470:I3312))/MAX(I$470:I3312))</f>
        <v>-0.91338805338419748</v>
      </c>
      <c r="U3312" s="564">
        <f>IF((J3312-MAX(J$470:J3312))/MAX(J$470:J3312)&gt;U3311,U3311,(J3312-MAX(J$470:J3312))/MAX(J$470:J3312))</f>
        <v>-0.83569785939843477</v>
      </c>
      <c r="V3312" s="564">
        <f>IF((K3312-MAX(K$470:K3312))/MAX(K$470:K3312)&gt;V3311,V3311,(K3312-MAX(K$470:K3312))/MAX(K$470:K3312))</f>
        <v>-0.84885940676762139</v>
      </c>
      <c r="W3312" s="564">
        <f>IF((N3312-MAX(N$470:N3312))/MAX(N$470:N3312)&gt;W3311,W3311,(N3312-MAX(N$470:N3312))/MAX(N$470:N3312))</f>
        <v>-0.62788758315546067</v>
      </c>
      <c r="X3312" s="564">
        <f>IF((O3312-MAX(O$470:O3312))/MAX(O$470:O3312)&gt;X3311,X3311,(O3312-MAX(O$470:O3312))/MAX(O$470:O3312))</f>
        <v>-0.62788758315546067</v>
      </c>
    </row>
    <row r="3313" spans="1:24">
      <c r="A3313" s="799">
        <v>43715</v>
      </c>
      <c r="B3313">
        <v>10442.881987000001</v>
      </c>
      <c r="C3313">
        <v>6340.0202239999999</v>
      </c>
      <c r="D3313">
        <v>1.846322</v>
      </c>
      <c r="E3313">
        <f>LN(D3313/参数实验室!$E$53)/参数实验室!$E$55</f>
        <v>3.0451147821411985E-2</v>
      </c>
      <c r="F3313">
        <f t="shared" si="458"/>
        <v>0.60711403536806041</v>
      </c>
      <c r="G3313">
        <f>LN(F3313/参数实验室!$E$58)/参数实验室!$E$59</f>
        <v>-0.45245247167382091</v>
      </c>
      <c r="H3313" s="856">
        <f>INDEX(神经网络!$G$10:$BO$70,MATCH(ROUND(G3313*2,1)/2,神经网络!$E$10:$E$70,0),MATCH(ROUND(E3313*2,1)/2,神经网络!$G$8:$BO$8,0))</f>
        <v>-0.51591640708691688</v>
      </c>
      <c r="I3313">
        <f t="shared" si="460"/>
        <v>494514.13522657717</v>
      </c>
      <c r="J3313">
        <f t="shared" si="461"/>
        <v>4166.985350544669</v>
      </c>
      <c r="K3313">
        <f t="shared" si="462"/>
        <v>118.67431575249934</v>
      </c>
      <c r="L3313" s="4">
        <f>MIN(MAX(L3312*(1+MAX(MIN(((B3313-B3312)/B3312)/($K$7*卓尔金历!$N$40),0),-卓尔金历!$M$43))+MIN(MAX(((B3313-B3312)/B3312)/($K$7*卓尔金历!$N$40),0),卓尔金历!$M$43),0),1)</f>
        <v>0.43719647512046644</v>
      </c>
      <c r="M3313" s="4">
        <f>MIN(MAX(M3312*(1+MAX(MIN(((B3313-B3312)/B3312)/($K$7*30),0),-卓尔金历!$M$43))+MIN(MAX(((B3313-B3312)/B3312)/($K$7*7),0),卓尔金历!$M$43),0),1)</f>
        <v>0.71859823756023322</v>
      </c>
      <c r="N3313">
        <f t="shared" si="463"/>
        <v>188789.66387958699</v>
      </c>
      <c r="O3313">
        <f t="shared" si="464"/>
        <v>514442.03164501791</v>
      </c>
      <c r="P3313">
        <f t="shared" si="465"/>
        <v>-3.6835004763697811E-2</v>
      </c>
      <c r="Q3313">
        <f t="shared" si="466"/>
        <v>3.2071747720239491E-2</v>
      </c>
      <c r="R3313">
        <f t="shared" si="467"/>
        <v>2.6669206016634878E-2</v>
      </c>
      <c r="S3313">
        <f t="shared" si="459"/>
        <v>1031.8732817227749</v>
      </c>
      <c r="T3313" s="564">
        <f>IF((I3313-MAX(I$470:I3313))/MAX(I$470:I3313)&gt;T3312,T3312,(I3313-MAX(I$470:I3313))/MAX(I$470:I3313))</f>
        <v>-0.91338805338419748</v>
      </c>
      <c r="U3313" s="564">
        <f>IF((J3313-MAX(J$470:J3313))/MAX(J$470:J3313)&gt;U3312,U3312,(J3313-MAX(J$470:J3313))/MAX(J$470:J3313))</f>
        <v>-0.83569785939843477</v>
      </c>
      <c r="V3313" s="564">
        <f>IF((K3313-MAX(K$470:K3313))/MAX(K$470:K3313)&gt;V3312,V3312,(K3313-MAX(K$470:K3313))/MAX(K$470:K3313))</f>
        <v>-0.84885940676762139</v>
      </c>
      <c r="W3313" s="564">
        <f>IF((N3313-MAX(N$470:N3313))/MAX(N$470:N3313)&gt;W3312,W3312,(N3313-MAX(N$470:N3313))/MAX(N$470:N3313))</f>
        <v>-0.62788758315546067</v>
      </c>
      <c r="X3313" s="564">
        <f>IF((O3313-MAX(O$470:O3313))/MAX(O$470:O3313)&gt;X3312,X3312,(O3313-MAX(O$470:O3313))/MAX(O$470:O3313))</f>
        <v>-0.62788758315546067</v>
      </c>
    </row>
    <row r="3314" spans="1:24">
      <c r="A3314" s="799">
        <v>43716</v>
      </c>
      <c r="B3314">
        <v>10382.117649</v>
      </c>
      <c r="C3314">
        <v>6217.0824510000002</v>
      </c>
      <c r="D3314">
        <v>1.83013</v>
      </c>
      <c r="E3314">
        <f>LN(D3314/参数实验室!$E$53)/参数实验室!$E$55</f>
        <v>2.0059232985530313E-2</v>
      </c>
      <c r="F3314">
        <f t="shared" si="458"/>
        <v>0.59882604505053227</v>
      </c>
      <c r="G3314">
        <f>LN(F3314/参数实验室!$E$58)/参数实验室!$E$59</f>
        <v>-0.45966684954814746</v>
      </c>
      <c r="H3314" s="856">
        <f>INDEX(神经网络!$G$10:$BO$70,MATCH(ROUND(G3314*2,1)/2,神经网络!$E$10:$E$70,0),MATCH(ROUND(E3314*2,1)/2,神经网络!$G$8:$BO$8,0))</f>
        <v>-0.55498441126737386</v>
      </c>
      <c r="I3314">
        <f t="shared" si="460"/>
        <v>495998.6565842678</v>
      </c>
      <c r="J3314">
        <f t="shared" si="461"/>
        <v>4142.7387769841562</v>
      </c>
      <c r="K3314">
        <f t="shared" si="462"/>
        <v>119.72723439380033</v>
      </c>
      <c r="L3314" s="4">
        <f>MIN(MAX(L3313*(1+MAX(MIN(((B3314-B3313)/B3313)/($K$7*卓尔金历!$N$40),0),-卓尔金历!$M$43))+MIN(MAX(((B3314-B3313)/B3313)/($K$7*卓尔金历!$N$40),0),卓尔金历!$M$43),0),1)</f>
        <v>0.39832767529167673</v>
      </c>
      <c r="M3314" s="4">
        <f>MIN(MAX(M3313*(1+MAX(MIN(((B3314-B3313)/B3313)/($K$7*30),0),-卓尔金历!$M$43))+MIN(MAX(((B3314-B3313)/B3313)/($K$7*7),0),卓尔金历!$M$43),0),1)</f>
        <v>0.68665487497324806</v>
      </c>
      <c r="N3314">
        <f t="shared" si="463"/>
        <v>189037.4418008957</v>
      </c>
      <c r="O3314">
        <f t="shared" si="464"/>
        <v>515551.79487852257</v>
      </c>
      <c r="P3314">
        <f t="shared" si="465"/>
        <v>-5.8187326138171803E-3</v>
      </c>
      <c r="Q3314">
        <f t="shared" si="466"/>
        <v>3.2061364163910894E-2</v>
      </c>
      <c r="R3314">
        <f t="shared" si="467"/>
        <v>1</v>
      </c>
      <c r="S3314">
        <f t="shared" si="459"/>
        <v>1031.9558939239228</v>
      </c>
      <c r="T3314" s="564">
        <f>IF((I3314-MAX(I$470:I3314))/MAX(I$470:I3314)&gt;T3313,T3313,(I3314-MAX(I$470:I3314))/MAX(I$470:I3314))</f>
        <v>-0.91338805338419748</v>
      </c>
      <c r="U3314" s="564">
        <f>IF((J3314-MAX(J$470:J3314))/MAX(J$470:J3314)&gt;U3313,U3313,(J3314-MAX(J$470:J3314))/MAX(J$470:J3314))</f>
        <v>-0.83569785939843477</v>
      </c>
      <c r="V3314" s="564">
        <f>IF((K3314-MAX(K$470:K3314))/MAX(K$470:K3314)&gt;V3313,V3313,(K3314-MAX(K$470:K3314))/MAX(K$470:K3314))</f>
        <v>-0.84885940676762139</v>
      </c>
      <c r="W3314" s="564">
        <f>IF((N3314-MAX(N$470:N3314))/MAX(N$470:N3314)&gt;W3313,W3313,(N3314-MAX(N$470:N3314))/MAX(N$470:N3314))</f>
        <v>-0.62788758315546067</v>
      </c>
      <c r="X3314" s="564">
        <f>IF((O3314-MAX(O$470:O3314))/MAX(O$470:O3314)&gt;X3313,X3313,(O3314-MAX(O$470:O3314))/MAX(O$470:O3314))</f>
        <v>-0.62788758315546067</v>
      </c>
    </row>
    <row r="3315" spans="1:24">
      <c r="A3315" s="799">
        <v>43717</v>
      </c>
      <c r="B3315">
        <v>10343.273157</v>
      </c>
      <c r="C3315">
        <v>6239.7736789999999</v>
      </c>
      <c r="D3315">
        <v>1.8165279999999999</v>
      </c>
      <c r="E3315">
        <f>LN(D3315/参数实验室!$E$53)/参数实验室!$E$55</f>
        <v>1.1258255188942421E-2</v>
      </c>
      <c r="F3315">
        <f t="shared" si="458"/>
        <v>0.60326877036763926</v>
      </c>
      <c r="G3315">
        <f>LN(F3315/参数实验室!$E$58)/参数实验室!$E$59</f>
        <v>-0.45578730039473331</v>
      </c>
      <c r="H3315" s="856">
        <f>INDEX(神经网络!$G$10:$BO$70,MATCH(ROUND(G3315*2,1)/2,神经网络!$E$10:$E$70,0),MATCH(ROUND(E3315*2,1)/2,神经网络!$G$8:$BO$8,0))</f>
        <v>-0.55498441126737386</v>
      </c>
      <c r="I3315">
        <f t="shared" si="460"/>
        <v>497028.57965119259</v>
      </c>
      <c r="J3315">
        <f t="shared" si="461"/>
        <v>4127.2388001276859</v>
      </c>
      <c r="K3315">
        <f t="shared" si="462"/>
        <v>120.42641672098446</v>
      </c>
      <c r="L3315" s="4">
        <f>MIN(MAX(L3314*(1+MAX(MIN(((B3315-B3314)/B3314)/($K$7*卓尔金历!$N$40),0),-卓尔金历!$M$43))+MIN(MAX(((B3315-B3314)/B3314)/($K$7*卓尔金历!$N$40),0),卓尔金历!$M$43),0),1)</f>
        <v>0.37555678240632445</v>
      </c>
      <c r="M3315" s="4">
        <f>MIN(MAX(M3314*(1+MAX(MIN(((B3315-B3314)/B3314)/($K$7*30),0),-卓尔金历!$M$43))+MIN(MAX(((B3315-B3314)/B3314)/($K$7*7),0),卓尔金历!$M$43),0),1)</f>
        <v>0.66702813852345022</v>
      </c>
      <c r="N3315">
        <f t="shared" si="463"/>
        <v>189193.79709758156</v>
      </c>
      <c r="O3315">
        <f t="shared" si="464"/>
        <v>516286.8757063236</v>
      </c>
      <c r="P3315">
        <f t="shared" si="465"/>
        <v>-3.7414806220907788E-3</v>
      </c>
      <c r="Q3315">
        <f t="shared" si="466"/>
        <v>3.1572204215102061E-2</v>
      </c>
      <c r="R3315">
        <f t="shared" si="467"/>
        <v>1</v>
      </c>
      <c r="S3315">
        <f t="shared" si="459"/>
        <v>1034.0987125890388</v>
      </c>
      <c r="T3315" s="564">
        <f>IF((I3315-MAX(I$470:I3315))/MAX(I$470:I3315)&gt;T3314,T3314,(I3315-MAX(I$470:I3315))/MAX(I$470:I3315))</f>
        <v>-0.91338805338419748</v>
      </c>
      <c r="U3315" s="564">
        <f>IF((J3315-MAX(J$470:J3315))/MAX(J$470:J3315)&gt;U3314,U3314,(J3315-MAX(J$470:J3315))/MAX(J$470:J3315))</f>
        <v>-0.83569785939843477</v>
      </c>
      <c r="V3315" s="564">
        <f>IF((K3315-MAX(K$470:K3315))/MAX(K$470:K3315)&gt;V3314,V3314,(K3315-MAX(K$470:K3315))/MAX(K$470:K3315))</f>
        <v>-0.84885940676762139</v>
      </c>
      <c r="W3315" s="564">
        <f>IF((N3315-MAX(N$470:N3315))/MAX(N$470:N3315)&gt;W3314,W3314,(N3315-MAX(N$470:N3315))/MAX(N$470:N3315))</f>
        <v>-0.62788758315546067</v>
      </c>
      <c r="X3315" s="564">
        <f>IF((O3315-MAX(O$470:O3315))/MAX(O$470:O3315)&gt;X3314,X3314,(O3315-MAX(O$470:O3315))/MAX(O$470:O3315))</f>
        <v>-0.62788758315546067</v>
      </c>
    </row>
    <row r="3316" spans="1:24">
      <c r="A3316" s="799">
        <v>43718</v>
      </c>
      <c r="B3316">
        <v>10196.625975000001</v>
      </c>
      <c r="C3316">
        <v>6123.5615070000003</v>
      </c>
      <c r="D3316">
        <v>1.773288</v>
      </c>
      <c r="E3316">
        <f>LN(D3316/参数实验室!$E$53)/参数实验室!$E$55</f>
        <v>-1.7163812995371841E-2</v>
      </c>
      <c r="F3316">
        <f t="shared" si="458"/>
        <v>0.60054782062357637</v>
      </c>
      <c r="G3316">
        <f>LN(F3316/参数实验室!$E$58)/参数实验室!$E$59</f>
        <v>-0.45815992744915002</v>
      </c>
      <c r="H3316" s="856">
        <f>INDEX(神经网络!$G$10:$BO$70,MATCH(ROUND(G3316*2,1)/2,神经网络!$E$10:$E$70,0),MATCH(ROUND(E3316*2,1)/2,神经网络!$G$8:$BO$8,0))</f>
        <v>-0.55498441126737386</v>
      </c>
      <c r="I3316">
        <f t="shared" si="460"/>
        <v>500939.49012203148</v>
      </c>
      <c r="J3316">
        <f t="shared" si="461"/>
        <v>4068.7227065959041</v>
      </c>
      <c r="K3316">
        <f t="shared" si="462"/>
        <v>123.11959458675973</v>
      </c>
      <c r="L3316" s="4">
        <f>MIN(MAX(L3315*(1+MAX(MIN(((B3316-B3315)/B3315)/($K$7*卓尔金历!$N$40),0),-卓尔金历!$M$43))+MIN(MAX(((B3316-B3315)/B3315)/($K$7*卓尔金历!$N$40),0),卓尔金历!$M$43),0),1)</f>
        <v>0.29420118926708999</v>
      </c>
      <c r="M3316" s="4">
        <f>MIN(MAX(M3315*(1+MAX(MIN(((B3316-B3315)/B3315)/($K$7*30),0),-卓尔金历!$M$43))+MIN(MAX(((B3316-B3315)/B3315)/($K$7*7),0),卓尔金历!$M$43),0),1)</f>
        <v>0.59478011586435942</v>
      </c>
      <c r="N3316">
        <f t="shared" si="463"/>
        <v>189752.8836101052</v>
      </c>
      <c r="O3316">
        <f t="shared" si="464"/>
        <v>518996.64147656242</v>
      </c>
      <c r="P3316">
        <f t="shared" si="465"/>
        <v>-1.4178024671112222E-2</v>
      </c>
      <c r="Q3316">
        <f t="shared" si="466"/>
        <v>3.1692312529747128E-2</v>
      </c>
      <c r="R3316">
        <f t="shared" si="467"/>
        <v>0.86134922042080098</v>
      </c>
      <c r="S3316">
        <f t="shared" si="459"/>
        <v>1042.2356038031894</v>
      </c>
      <c r="T3316" s="564">
        <f>IF((I3316-MAX(I$470:I3316))/MAX(I$470:I3316)&gt;T3315,T3315,(I3316-MAX(I$470:I3316))/MAX(I$470:I3316))</f>
        <v>-0.91338805338419748</v>
      </c>
      <c r="U3316" s="564">
        <f>IF((J3316-MAX(J$470:J3316))/MAX(J$470:J3316)&gt;U3315,U3315,(J3316-MAX(J$470:J3316))/MAX(J$470:J3316))</f>
        <v>-0.83569785939843477</v>
      </c>
      <c r="V3316" s="564">
        <f>IF((K3316-MAX(K$470:K3316))/MAX(K$470:K3316)&gt;V3315,V3315,(K3316-MAX(K$470:K3316))/MAX(K$470:K3316))</f>
        <v>-0.84885940676762139</v>
      </c>
      <c r="W3316" s="564">
        <f>IF((N3316-MAX(N$470:N3316))/MAX(N$470:N3316)&gt;W3315,W3315,(N3316-MAX(N$470:N3316))/MAX(N$470:N3316))</f>
        <v>-0.62788758315546067</v>
      </c>
      <c r="X3316" s="564">
        <f>IF((O3316-MAX(O$470:O3316))/MAX(O$470:O3316)&gt;X3315,X3315,(O3316-MAX(O$470:O3316))/MAX(O$470:O3316))</f>
        <v>-0.62788758315546067</v>
      </c>
    </row>
    <row r="3317" spans="1:24">
      <c r="A3317" s="799">
        <v>43719</v>
      </c>
      <c r="B3317">
        <v>9998.6461020000006</v>
      </c>
      <c r="C3317">
        <v>5924.3771310000002</v>
      </c>
      <c r="D3317">
        <v>1.7778609999999999</v>
      </c>
      <c r="E3317">
        <f>LN(D3317/参数实验室!$E$53)/参数实验室!$E$55</f>
        <v>-1.412535160336548E-2</v>
      </c>
      <c r="F3317">
        <f t="shared" si="458"/>
        <v>0.59251793398457853</v>
      </c>
      <c r="G3317">
        <f>LN(F3317/参数实验室!$E$58)/参数实验室!$E$59</f>
        <v>-0.46522505708086237</v>
      </c>
      <c r="H3317" s="856">
        <f>INDEX(神经网络!$G$10:$BO$70,MATCH(ROUND(G3317*2,1)/2,神经网络!$E$10:$E$70,0),MATCH(ROUND(E3317*2,1)/2,神经网络!$G$8:$BO$8,0))</f>
        <v>-0.55498441126737386</v>
      </c>
      <c r="I3317">
        <f t="shared" si="460"/>
        <v>506337.46185701911</v>
      </c>
      <c r="J3317">
        <f t="shared" si="461"/>
        <v>3989.7235154223672</v>
      </c>
      <c r="K3317">
        <f t="shared" si="462"/>
        <v>126.91041369151525</v>
      </c>
      <c r="L3317" s="4">
        <f>MIN(MAX(L3316*(1+MAX(MIN(((B3317-B3316)/B3316)/($K$7*卓尔金历!$N$40),0),-卓尔金历!$M$43))+MIN(MAX(((B3317-B3316)/B3316)/($K$7*卓尔金历!$N$40),0),卓尔金历!$M$43),0),1)</f>
        <v>0.20692313523065956</v>
      </c>
      <c r="M3317" s="4">
        <f>MIN(MAX(M3316*(1+MAX(MIN(((B3317-B3316)/B3316)/($K$7*30),0),-卓尔金历!$M$43))+MIN(MAX(((B3317-B3316)/B3316)/($K$7*7),0),卓尔金历!$M$43),0),1)</f>
        <v>0.50655604848121161</v>
      </c>
      <c r="N3317">
        <f t="shared" si="463"/>
        <v>190354.4424944011</v>
      </c>
      <c r="O3317">
        <f t="shared" si="464"/>
        <v>522322.97907974751</v>
      </c>
      <c r="P3317">
        <f t="shared" si="465"/>
        <v>-1.9416214097232317E-2</v>
      </c>
      <c r="Q3317">
        <f t="shared" si="466"/>
        <v>2.9378950327964014E-2</v>
      </c>
      <c r="R3317">
        <f t="shared" si="467"/>
        <v>0.45898826340882198</v>
      </c>
      <c r="S3317">
        <f t="shared" si="459"/>
        <v>1051.9092568444764</v>
      </c>
      <c r="T3317" s="564">
        <f>IF((I3317-MAX(I$470:I3317))/MAX(I$470:I3317)&gt;T3316,T3316,(I3317-MAX(I$470:I3317))/MAX(I$470:I3317))</f>
        <v>-0.91338805338419748</v>
      </c>
      <c r="U3317" s="564">
        <f>IF((J3317-MAX(J$470:J3317))/MAX(J$470:J3317)&gt;U3316,U3316,(J3317-MAX(J$470:J3317))/MAX(J$470:J3317))</f>
        <v>-0.83569785939843477</v>
      </c>
      <c r="V3317" s="564">
        <f>IF((K3317-MAX(K$470:K3317))/MAX(K$470:K3317)&gt;V3316,V3316,(K3317-MAX(K$470:K3317))/MAX(K$470:K3317))</f>
        <v>-0.84885940676762139</v>
      </c>
      <c r="W3317" s="564">
        <f>IF((N3317-MAX(N$470:N3317))/MAX(N$470:N3317)&gt;W3316,W3316,(N3317-MAX(N$470:N3317))/MAX(N$470:N3317))</f>
        <v>-0.62788758315546067</v>
      </c>
      <c r="X3317" s="564">
        <f>IF((O3317-MAX(O$470:O3317))/MAX(O$470:O3317)&gt;X3316,X3316,(O3317-MAX(O$470:O3317))/MAX(O$470:O3317))</f>
        <v>-0.62788758315546067</v>
      </c>
    </row>
    <row r="3318" spans="1:24">
      <c r="A3318" s="799">
        <v>43720</v>
      </c>
      <c r="B3318">
        <v>10312.057027999999</v>
      </c>
      <c r="C3318">
        <v>5922.5839319999995</v>
      </c>
      <c r="D3318">
        <v>1.8223100000000001</v>
      </c>
      <c r="E3318">
        <f>LN(D3318/参数实验室!$E$53)/参数实验室!$E$55</f>
        <v>1.5007440504441579E-2</v>
      </c>
      <c r="F3318">
        <f t="shared" si="458"/>
        <v>0.57433583967957091</v>
      </c>
      <c r="G3318">
        <f>LN(F3318/参数实验室!$E$58)/参数实验室!$E$59</f>
        <v>-0.4815830933475328</v>
      </c>
      <c r="H3318" s="856">
        <f>INDEX(神经网络!$G$10:$BO$70,MATCH(ROUND(G3318*2,1)/2,神经网络!$E$10:$E$70,0),MATCH(ROUND(E3318*2,1)/2,神经网络!$G$8:$BO$8,0))</f>
        <v>-0.62397769287443428</v>
      </c>
      <c r="I3318">
        <f t="shared" si="460"/>
        <v>497529.12772886519</v>
      </c>
      <c r="J3318">
        <f t="shared" si="461"/>
        <v>4114.7827413111972</v>
      </c>
      <c r="K3318">
        <f t="shared" si="462"/>
        <v>120.91261167541616</v>
      </c>
      <c r="L3318" s="4">
        <f>MIN(MAX(L3317*(1+MAX(MIN(((B3318-B3317)/B3317)/($K$7*卓尔金历!$N$40),0),-卓尔金历!$M$43))+MIN(MAX(((B3318-B3317)/B3317)/($K$7*卓尔金历!$N$40),0),卓尔金历!$M$43),0),1)</f>
        <v>0.68584979614683239</v>
      </c>
      <c r="M3318" s="4">
        <f>MIN(MAX(M3317*(1+MAX(MIN(((B3318-B3317)/B3317)/($K$7*30),0),-卓尔金历!$M$43))+MIN(MAX(((B3318-B3317)/B3317)/($K$7*7),0),卓尔金历!$M$43),0),1)</f>
        <v>1</v>
      </c>
      <c r="N3318">
        <f t="shared" si="463"/>
        <v>189669.22918957614</v>
      </c>
      <c r="O3318">
        <f t="shared" si="464"/>
        <v>517720.19758711831</v>
      </c>
      <c r="P3318">
        <f t="shared" si="465"/>
        <v>3.1345336438831251E-2</v>
      </c>
      <c r="Q3318">
        <f t="shared" si="466"/>
        <v>3.0102737029178112E-2</v>
      </c>
      <c r="R3318">
        <f t="shared" si="467"/>
        <v>2.8190589436350087E-2</v>
      </c>
      <c r="S3318">
        <f t="shared" si="459"/>
        <v>1043.5101408771716</v>
      </c>
      <c r="T3318" s="564">
        <f>IF((I3318-MAX(I$470:I3318))/MAX(I$470:I3318)&gt;T3317,T3317,(I3318-MAX(I$470:I3318))/MAX(I$470:I3318))</f>
        <v>-0.91338805338419748</v>
      </c>
      <c r="U3318" s="564">
        <f>IF((J3318-MAX(J$470:J3318))/MAX(J$470:J3318)&gt;U3317,U3317,(J3318-MAX(J$470:J3318))/MAX(J$470:J3318))</f>
        <v>-0.83569785939843477</v>
      </c>
      <c r="V3318" s="564">
        <f>IF((K3318-MAX(K$470:K3318))/MAX(K$470:K3318)&gt;V3317,V3317,(K3318-MAX(K$470:K3318))/MAX(K$470:K3318))</f>
        <v>-0.84885940676762139</v>
      </c>
      <c r="W3318" s="564">
        <f>IF((N3318-MAX(N$470:N3318))/MAX(N$470:N3318)&gt;W3317,W3317,(N3318-MAX(N$470:N3318))/MAX(N$470:N3318))</f>
        <v>-0.62788758315546067</v>
      </c>
      <c r="X3318" s="564">
        <f>IF((O3318-MAX(O$470:O3318))/MAX(O$470:O3318)&gt;X3317,X3317,(O3318-MAX(O$470:O3318))/MAX(O$470:O3318))</f>
        <v>-0.62788758315546067</v>
      </c>
    </row>
    <row r="3319" spans="1:24">
      <c r="A3319" s="799">
        <v>43721</v>
      </c>
      <c r="B3319">
        <v>10294.044984</v>
      </c>
      <c r="C3319">
        <v>5932.291115</v>
      </c>
      <c r="D3319">
        <v>1.8110850000000001</v>
      </c>
      <c r="E3319">
        <f>LN(D3319/参数实验室!$E$53)/参数实验室!$E$55</f>
        <v>7.717964796448676E-3</v>
      </c>
      <c r="F3319">
        <f t="shared" si="458"/>
        <v>0.57628377612692971</v>
      </c>
      <c r="G3319">
        <f>LN(F3319/参数实验室!$E$58)/参数实验室!$E$59</f>
        <v>-0.47980599293527287</v>
      </c>
      <c r="H3319" s="856">
        <f>INDEX(神经网络!$G$10:$BO$70,MATCH(ROUND(G3319*2,1)/2,神经网络!$E$10:$E$70,0),MATCH(ROUND(E3319*2,1)/2,神经网络!$G$8:$BO$8,0))</f>
        <v>-0.62397769287443428</v>
      </c>
      <c r="I3319">
        <f t="shared" si="460"/>
        <v>498071.3848556499</v>
      </c>
      <c r="J3319">
        <f t="shared" si="461"/>
        <v>4107.5954606759469</v>
      </c>
      <c r="K3319">
        <f t="shared" si="462"/>
        <v>121.2561922477359</v>
      </c>
      <c r="L3319" s="4">
        <f>MIN(MAX(L3318*(1+MAX(MIN(((B3319-B3318)/B3318)/($K$7*卓尔金历!$N$40),0),-卓尔金历!$M$43))+MIN(MAX(((B3319-B3318)/B3318)/($K$7*卓尔金历!$N$40),0),卓尔金历!$M$43),0),1)</f>
        <v>0.66754593192970013</v>
      </c>
      <c r="M3319" s="4">
        <f>MIN(MAX(M3318*(1+MAX(MIN(((B3319-B3318)/B3318)/($K$7*30),0),-卓尔金历!$M$43))+MIN(MAX(((B3319-B3318)/B3318)/($K$7*7),0),卓尔金历!$M$43),0),1)</f>
        <v>0.98665606936098471</v>
      </c>
      <c r="N3319">
        <f t="shared" si="463"/>
        <v>189811.00843160032</v>
      </c>
      <c r="O3319">
        <f t="shared" si="464"/>
        <v>518284.46096623648</v>
      </c>
      <c r="P3319">
        <f t="shared" si="465"/>
        <v>-1.7466974776314389E-3</v>
      </c>
      <c r="Q3319">
        <f t="shared" si="466"/>
        <v>2.9622144964380204E-2</v>
      </c>
      <c r="R3319">
        <f t="shared" si="467"/>
        <v>1</v>
      </c>
      <c r="S3319">
        <f t="shared" si="459"/>
        <v>1043.5422026540593</v>
      </c>
      <c r="T3319" s="564">
        <f>IF((I3319-MAX(I$470:I3319))/MAX(I$470:I3319)&gt;T3318,T3318,(I3319-MAX(I$470:I3319))/MAX(I$470:I3319))</f>
        <v>-0.91338805338419748</v>
      </c>
      <c r="U3319" s="564">
        <f>IF((J3319-MAX(J$470:J3319))/MAX(J$470:J3319)&gt;U3318,U3318,(J3319-MAX(J$470:J3319))/MAX(J$470:J3319))</f>
        <v>-0.83569785939843477</v>
      </c>
      <c r="V3319" s="564">
        <f>IF((K3319-MAX(K$470:K3319))/MAX(K$470:K3319)&gt;V3318,V3318,(K3319-MAX(K$470:K3319))/MAX(K$470:K3319))</f>
        <v>-0.84885940676762139</v>
      </c>
      <c r="W3319" s="564">
        <f>IF((N3319-MAX(N$470:N3319))/MAX(N$470:N3319)&gt;W3318,W3318,(N3319-MAX(N$470:N3319))/MAX(N$470:N3319))</f>
        <v>-0.62788758315546067</v>
      </c>
      <c r="X3319" s="564">
        <f>IF((O3319-MAX(O$470:O3319))/MAX(O$470:O3319)&gt;X3318,X3318,(O3319-MAX(O$470:O3319))/MAX(O$470:O3319))</f>
        <v>-0.62788758315546067</v>
      </c>
    </row>
    <row r="3320" spans="1:24">
      <c r="A3320" s="799">
        <v>43722</v>
      </c>
      <c r="B3320">
        <v>10305.215618</v>
      </c>
      <c r="C3320">
        <v>5942.0831509999998</v>
      </c>
      <c r="D3320">
        <v>1.8136110000000001</v>
      </c>
      <c r="E3320">
        <f>LN(D3320/参数实验室!$E$53)/参数实验室!$E$55</f>
        <v>9.3622721682645876E-3</v>
      </c>
      <c r="F3320">
        <f t="shared" si="458"/>
        <v>0.5766092987536362</v>
      </c>
      <c r="G3320">
        <f>LN(F3320/参数实验室!$E$58)/参数实验室!$E$59</f>
        <v>-0.4795096048746551</v>
      </c>
      <c r="H3320" s="856">
        <f>INDEX(神经网络!$G$10:$BO$70,MATCH(ROUND(G3320*2,1)/2,神经网络!$E$10:$E$70,0),MATCH(ROUND(E3320*2,1)/2,神经网络!$G$8:$BO$8,0))</f>
        <v>-0.62397769287443428</v>
      </c>
      <c r="I3320">
        <f t="shared" si="460"/>
        <v>497734.13450005371</v>
      </c>
      <c r="J3320">
        <f t="shared" si="461"/>
        <v>4112.0528382746061</v>
      </c>
      <c r="K3320">
        <f t="shared" si="462"/>
        <v>121.04273803760267</v>
      </c>
      <c r="L3320" s="4">
        <f>MIN(MAX(L3319*(1+MAX(MIN(((B3320-B3319)/B3319)/($K$7*卓尔金历!$N$40),0),-卓尔金历!$M$43))+MIN(MAX(((B3320-B3319)/B3319)/($K$7*卓尔金历!$N$40),0),卓尔金历!$M$43),0),1)</f>
        <v>0.68412605841348251</v>
      </c>
      <c r="M3320" s="4">
        <f>MIN(MAX(M3319*(1+MAX(MIN(((B3320-B3319)/B3319)/($K$7*30),0),-卓尔金历!$M$43))+MIN(MAX(((B3320-B3319)/B3319)/($K$7*7),0),卓尔金历!$M$43),0),1)</f>
        <v>1</v>
      </c>
      <c r="N3320">
        <f t="shared" si="463"/>
        <v>189725.21315573648</v>
      </c>
      <c r="O3320">
        <f t="shared" si="464"/>
        <v>517938.20696175512</v>
      </c>
      <c r="P3320">
        <f t="shared" si="465"/>
        <v>1.0851549626373833E-3</v>
      </c>
      <c r="Q3320">
        <f t="shared" si="466"/>
        <v>2.832066140190374E-2</v>
      </c>
      <c r="R3320">
        <f t="shared" si="467"/>
        <v>1</v>
      </c>
      <c r="S3320">
        <f t="shared" si="459"/>
        <v>1042.8356071948026</v>
      </c>
      <c r="T3320" s="564">
        <f>IF((I3320-MAX(I$470:I3320))/MAX(I$470:I3320)&gt;T3319,T3319,(I3320-MAX(I$470:I3320))/MAX(I$470:I3320))</f>
        <v>-0.91338805338419748</v>
      </c>
      <c r="U3320" s="564">
        <f>IF((J3320-MAX(J$470:J3320))/MAX(J$470:J3320)&gt;U3319,U3319,(J3320-MAX(J$470:J3320))/MAX(J$470:J3320))</f>
        <v>-0.83569785939843477</v>
      </c>
      <c r="V3320" s="564">
        <f>IF((K3320-MAX(K$470:K3320))/MAX(K$470:K3320)&gt;V3319,V3319,(K3320-MAX(K$470:K3320))/MAX(K$470:K3320))</f>
        <v>-0.84885940676762139</v>
      </c>
      <c r="W3320" s="564">
        <f>IF((N3320-MAX(N$470:N3320))/MAX(N$470:N3320)&gt;W3319,W3319,(N3320-MAX(N$470:N3320))/MAX(N$470:N3320))</f>
        <v>-0.62788758315546067</v>
      </c>
      <c r="X3320" s="564">
        <f>IF((O3320-MAX(O$470:O3320))/MAX(O$470:O3320)&gt;X3319,X3319,(O3320-MAX(O$470:O3320))/MAX(O$470:O3320))</f>
        <v>-0.62788758315546067</v>
      </c>
    </row>
    <row r="3321" spans="1:24">
      <c r="A3321" s="799">
        <v>43723</v>
      </c>
      <c r="B3321">
        <v>10239.202867</v>
      </c>
      <c r="C3321">
        <v>5944.0174370000004</v>
      </c>
      <c r="D3321">
        <v>1.80308</v>
      </c>
      <c r="E3321">
        <f>LN(D3321/参数实验室!$E$53)/参数实验室!$E$55</f>
        <v>2.4918945084195063E-3</v>
      </c>
      <c r="F3321">
        <f t="shared" si="458"/>
        <v>0.58051564308360537</v>
      </c>
      <c r="G3321">
        <f>LN(F3321/参数实验室!$E$58)/参数实验室!$E$59</f>
        <v>-0.47596587622455511</v>
      </c>
      <c r="H3321" s="856">
        <f>INDEX(神经网络!$G$10:$BO$70,MATCH(ROUND(G3321*2,1)/2,神经网络!$E$10:$E$70,0),MATCH(ROUND(E3321*2,1)/2,神经网络!$G$8:$BO$8,0))</f>
        <v>-0.62397769287443428</v>
      </c>
      <c r="I3321">
        <f t="shared" si="460"/>
        <v>499723.60378413618</v>
      </c>
      <c r="J3321">
        <f t="shared" si="461"/>
        <v>4085.7120094968236</v>
      </c>
      <c r="K3321">
        <f t="shared" si="462"/>
        <v>122.31004109505989</v>
      </c>
      <c r="L3321" s="4">
        <f>MIN(MAX(L3320*(1+MAX(MIN(((B3321-B3320)/B3320)/($K$7*卓尔金历!$N$40),0),-卓尔金历!$M$43))+MIN(MAX(((B3321-B3320)/B3320)/($K$7*卓尔金历!$N$40),0),卓尔金历!$M$43),0),1)</f>
        <v>0.61716798329425504</v>
      </c>
      <c r="M3321" s="4">
        <f>MIN(MAX(M3320*(1+MAX(MIN(((B3321-B3320)/B3320)/($K$7*30),0),-卓尔金历!$M$43))+MIN(MAX(((B3321-B3320)/B3320)/($K$7*7),0),卓尔金历!$M$43),0),1)</f>
        <v>0.9510630575346698</v>
      </c>
      <c r="N3321">
        <f t="shared" si="463"/>
        <v>190244.01438356345</v>
      </c>
      <c r="O3321">
        <f t="shared" si="464"/>
        <v>520008.43297677051</v>
      </c>
      <c r="P3321">
        <f t="shared" si="465"/>
        <v>-6.4057612617727765E-3</v>
      </c>
      <c r="Q3321">
        <f t="shared" si="466"/>
        <v>2.8311700835222133E-2</v>
      </c>
      <c r="R3321">
        <f t="shared" si="467"/>
        <v>1</v>
      </c>
      <c r="S3321">
        <f t="shared" si="459"/>
        <v>1047.0038754831439</v>
      </c>
      <c r="T3321" s="564">
        <f>IF((I3321-MAX(I$470:I3321))/MAX(I$470:I3321)&gt;T3320,T3320,(I3321-MAX(I$470:I3321))/MAX(I$470:I3321))</f>
        <v>-0.91338805338419748</v>
      </c>
      <c r="U3321" s="564">
        <f>IF((J3321-MAX(J$470:J3321))/MAX(J$470:J3321)&gt;U3320,U3320,(J3321-MAX(J$470:J3321))/MAX(J$470:J3321))</f>
        <v>-0.83569785939843477</v>
      </c>
      <c r="V3321" s="564">
        <f>IF((K3321-MAX(K$470:K3321))/MAX(K$470:K3321)&gt;V3320,V3320,(K3321-MAX(K$470:K3321))/MAX(K$470:K3321))</f>
        <v>-0.84885940676762139</v>
      </c>
      <c r="W3321" s="564">
        <f>IF((N3321-MAX(N$470:N3321))/MAX(N$470:N3321)&gt;W3320,W3320,(N3321-MAX(N$470:N3321))/MAX(N$470:N3321))</f>
        <v>-0.62788758315546067</v>
      </c>
      <c r="X3321" s="564">
        <f>IF((O3321-MAX(O$470:O3321))/MAX(O$470:O3321)&gt;X3320,X3320,(O3321-MAX(O$470:O3321))/MAX(O$470:O3321))</f>
        <v>-0.62788758315546067</v>
      </c>
    </row>
    <row r="3322" spans="1:24">
      <c r="A3322" s="799">
        <v>43724</v>
      </c>
      <c r="B3322">
        <v>10100.452837999999</v>
      </c>
      <c r="C3322">
        <v>5812.2739689999999</v>
      </c>
      <c r="D3322">
        <v>1.7943629999999999</v>
      </c>
      <c r="E3322">
        <f>LN(D3322/参数实验室!$E$53)/参数实验室!$E$55</f>
        <v>-3.2254603766865798E-3</v>
      </c>
      <c r="F3322">
        <f t="shared" si="458"/>
        <v>0.57544686978122594</v>
      </c>
      <c r="G3322">
        <f>LN(F3322/参数实验室!$E$58)/参数实验室!$E$59</f>
        <v>-0.48056876460952797</v>
      </c>
      <c r="H3322" s="856">
        <f>INDEX(神经网络!$G$10:$BO$70,MATCH(ROUND(G3322*2,1)/2,神经网络!$E$10:$E$70,0),MATCH(ROUND(E3322*2,1)/2,神经网络!$G$8:$BO$8,0))</f>
        <v>-0.62397769287443428</v>
      </c>
      <c r="I3322">
        <f t="shared" si="460"/>
        <v>503948.98465791345</v>
      </c>
      <c r="J3322">
        <f t="shared" si="461"/>
        <v>4030.3470883045325</v>
      </c>
      <c r="K3322">
        <f t="shared" si="462"/>
        <v>125.03860675431612</v>
      </c>
      <c r="L3322" s="4">
        <f>MIN(MAX(L3321*(1+MAX(MIN(((B3322-B3321)/B3321)/($K$7*卓尔金历!$N$40),0),-卓尔金历!$M$43))+MIN(MAX(((B3322-B3321)/B3321)/($K$7*卓尔金历!$N$40),0),卓尔金历!$M$43),0),1)</f>
        <v>0.48938694829564111</v>
      </c>
      <c r="M3322" s="4">
        <f>MIN(MAX(M3321*(1+MAX(MIN(((B3322-B3321)/B3321)/($K$7*30),0),-卓尔金历!$M$43))+MIN(MAX(((B3322-B3321)/B3321)/($K$7*7),0),卓尔金历!$M$43),0),1)</f>
        <v>0.85260702519802145</v>
      </c>
      <c r="N3322">
        <f t="shared" si="463"/>
        <v>191236.7883693433</v>
      </c>
      <c r="O3322">
        <f t="shared" si="464"/>
        <v>524190.16018068854</v>
      </c>
      <c r="P3322">
        <f t="shared" si="465"/>
        <v>-1.3550862386678476E-2</v>
      </c>
      <c r="Q3322">
        <f t="shared" si="466"/>
        <v>2.7920851891339978E-2</v>
      </c>
      <c r="R3322">
        <f t="shared" si="467"/>
        <v>0.77170249672551372</v>
      </c>
      <c r="S3322">
        <f t="shared" si="459"/>
        <v>1055.8567495854209</v>
      </c>
      <c r="T3322" s="564">
        <f>IF((I3322-MAX(I$470:I3322))/MAX(I$470:I3322)&gt;T3321,T3321,(I3322-MAX(I$470:I3322))/MAX(I$470:I3322))</f>
        <v>-0.91338805338419748</v>
      </c>
      <c r="U3322" s="564">
        <f>IF((J3322-MAX(J$470:J3322))/MAX(J$470:J3322)&gt;U3321,U3321,(J3322-MAX(J$470:J3322))/MAX(J$470:J3322))</f>
        <v>-0.83569785939843477</v>
      </c>
      <c r="V3322" s="564">
        <f>IF((K3322-MAX(K$470:K3322))/MAX(K$470:K3322)&gt;V3321,V3321,(K3322-MAX(K$470:K3322))/MAX(K$470:K3322))</f>
        <v>-0.84885940676762139</v>
      </c>
      <c r="W3322" s="564">
        <f>IF((N3322-MAX(N$470:N3322))/MAX(N$470:N3322)&gt;W3321,W3321,(N3322-MAX(N$470:N3322))/MAX(N$470:N3322))</f>
        <v>-0.62788758315546067</v>
      </c>
      <c r="X3322" s="564">
        <f>IF((O3322-MAX(O$470:O3322))/MAX(O$470:O3322)&gt;X3321,X3321,(O3322-MAX(O$470:O3322))/MAX(O$470:O3322))</f>
        <v>-0.62788758315546067</v>
      </c>
    </row>
    <row r="3323" spans="1:24">
      <c r="A3323" s="799">
        <v>43725</v>
      </c>
      <c r="B3323">
        <v>10120.182563</v>
      </c>
      <c r="C3323">
        <v>5732.0444310000003</v>
      </c>
      <c r="D3323">
        <v>1.782837</v>
      </c>
      <c r="E3323">
        <f>LN(D3323/参数实验室!$E$53)/参数实验室!$E$55</f>
        <v>-1.0827989140404013E-2</v>
      </c>
      <c r="F3323">
        <f t="shared" si="458"/>
        <v>0.56639733476317922</v>
      </c>
      <c r="G3323">
        <f>LN(F3323/参数实验室!$E$58)/参数实验室!$E$59</f>
        <v>-0.48888826121325818</v>
      </c>
      <c r="H3323" s="856">
        <f>INDEX(神经网络!$G$10:$BO$70,MATCH(ROUND(G3323*2,1)/2,神经网络!$E$10:$E$70,0),MATCH(ROUND(E3323*2,1)/2,神经网络!$G$8:$BO$8,0))</f>
        <v>-0.62397769287443428</v>
      </c>
      <c r="I3323">
        <f t="shared" si="460"/>
        <v>503334.74786766962</v>
      </c>
      <c r="J3323">
        <f t="shared" si="461"/>
        <v>4038.2197689637242</v>
      </c>
      <c r="K3323">
        <f t="shared" si="462"/>
        <v>124.64273285374804</v>
      </c>
      <c r="L3323" s="4">
        <f>MIN(MAX(L3322*(1+MAX(MIN(((B3323-B3322)/B3322)/($K$7*卓尔金历!$N$40),0),-卓尔金历!$M$43))+MIN(MAX(((B3323-B3322)/B3322)/($K$7*卓尔金历!$N$40),0),卓尔金历!$M$43),0),1)</f>
        <v>0.5192322700484604</v>
      </c>
      <c r="M3323" s="4">
        <f>MIN(MAX(M3322*(1+MAX(MIN(((B3323-B3322)/B3322)/($K$7*30),0),-卓尔金历!$M$43))+MIN(MAX(((B3323-B3322)/B3322)/($K$7*7),0),卓尔金历!$M$43),0),1)</f>
        <v>0.91656128609691989</v>
      </c>
      <c r="N3323">
        <f t="shared" si="463"/>
        <v>191122.71794028222</v>
      </c>
      <c r="O3323">
        <f t="shared" si="464"/>
        <v>523645.42299607792</v>
      </c>
      <c r="P3323">
        <f t="shared" si="465"/>
        <v>1.9533505394702436E-3</v>
      </c>
      <c r="Q3323">
        <f t="shared" si="466"/>
        <v>2.7490644875556206E-2</v>
      </c>
      <c r="R3323">
        <f t="shared" si="467"/>
        <v>1</v>
      </c>
      <c r="S3323">
        <f t="shared" si="459"/>
        <v>1054.8636240318135</v>
      </c>
      <c r="T3323" s="564">
        <f>IF((I3323-MAX(I$470:I3323))/MAX(I$470:I3323)&gt;T3322,T3322,(I3323-MAX(I$470:I3323))/MAX(I$470:I3323))</f>
        <v>-0.91338805338419748</v>
      </c>
      <c r="U3323" s="564">
        <f>IF((J3323-MAX(J$470:J3323))/MAX(J$470:J3323)&gt;U3322,U3322,(J3323-MAX(J$470:J3323))/MAX(J$470:J3323))</f>
        <v>-0.83569785939843477</v>
      </c>
      <c r="V3323" s="564">
        <f>IF((K3323-MAX(K$470:K3323))/MAX(K$470:K3323)&gt;V3322,V3322,(K3323-MAX(K$470:K3323))/MAX(K$470:K3323))</f>
        <v>-0.84885940676762139</v>
      </c>
      <c r="W3323" s="564">
        <f>IF((N3323-MAX(N$470:N3323))/MAX(N$470:N3323)&gt;W3322,W3322,(N3323-MAX(N$470:N3323))/MAX(N$470:N3323))</f>
        <v>-0.62788758315546067</v>
      </c>
      <c r="X3323" s="564">
        <f>IF((O3323-MAX(O$470:O3323))/MAX(O$470:O3323)&gt;X3322,X3322,(O3323-MAX(O$470:O3323))/MAX(O$470:O3323))</f>
        <v>-0.62788758315546067</v>
      </c>
    </row>
    <row r="3324" spans="1:24">
      <c r="A3324" s="799">
        <v>43726</v>
      </c>
      <c r="B3324">
        <v>10026.050592</v>
      </c>
      <c r="C3324">
        <v>5693.749444</v>
      </c>
      <c r="D3324">
        <v>1.774735</v>
      </c>
      <c r="E3324">
        <f>LN(D3324/参数实验室!$E$53)/参数实验室!$E$55</f>
        <v>-1.6201528907205616E-2</v>
      </c>
      <c r="F3324">
        <f t="shared" si="458"/>
        <v>0.56789554289135191</v>
      </c>
      <c r="G3324">
        <f>LN(F3324/参数实验室!$E$58)/参数实验室!$E$59</f>
        <v>-0.4875017744139109</v>
      </c>
      <c r="H3324" s="856">
        <f>INDEX(神经网络!$G$10:$BO$70,MATCH(ROUND(G3324*2,1)/2,神经网络!$E$10:$E$70,0),MATCH(ROUND(E3324*2,1)/2,神经网络!$G$8:$BO$8,0))</f>
        <v>-0.62397769287443428</v>
      </c>
      <c r="I3324">
        <f t="shared" si="460"/>
        <v>506256.03860979353</v>
      </c>
      <c r="J3324">
        <f t="shared" si="461"/>
        <v>4000.6586297434214</v>
      </c>
      <c r="K3324">
        <f t="shared" si="462"/>
        <v>126.54317337799496</v>
      </c>
      <c r="L3324" s="4">
        <f>MIN(MAX(L3323*(1+MAX(MIN(((B3324-B3323)/B3323)/($K$7*卓尔金历!$N$40),0),-卓尔金历!$M$43))+MIN(MAX(((B3324-B3323)/B3323)/($K$7*卓尔金历!$N$40),0),卓尔金历!$M$43),0),1)</f>
        <v>0.44544073249730837</v>
      </c>
      <c r="M3324" s="4">
        <f>MIN(MAX(M3323*(1+MAX(MIN(((B3324-B3323)/B3323)/($K$7*30),0),-卓尔金历!$M$43))+MIN(MAX(((B3324-B3323)/B3323)/($K$7*7),0),卓尔金历!$M$43),0),1)</f>
        <v>0.85143198803283704</v>
      </c>
      <c r="N3324">
        <f t="shared" si="463"/>
        <v>191698.67732353043</v>
      </c>
      <c r="O3324">
        <f t="shared" si="464"/>
        <v>526431.009763023</v>
      </c>
      <c r="P3324">
        <f t="shared" si="465"/>
        <v>-9.3014103662667994E-3</v>
      </c>
      <c r="Q3324">
        <f t="shared" si="466"/>
        <v>2.7457665691347163E-2</v>
      </c>
      <c r="R3324">
        <f t="shared" si="467"/>
        <v>1</v>
      </c>
      <c r="S3324">
        <f t="shared" si="459"/>
        <v>1060.9859180958379</v>
      </c>
      <c r="T3324" s="564">
        <f>IF((I3324-MAX(I$470:I3324))/MAX(I$470:I3324)&gt;T3323,T3323,(I3324-MAX(I$470:I3324))/MAX(I$470:I3324))</f>
        <v>-0.91338805338419748</v>
      </c>
      <c r="U3324" s="564">
        <f>IF((J3324-MAX(J$470:J3324))/MAX(J$470:J3324)&gt;U3323,U3323,(J3324-MAX(J$470:J3324))/MAX(J$470:J3324))</f>
        <v>-0.83569785939843477</v>
      </c>
      <c r="V3324" s="564">
        <f>IF((K3324-MAX(K$470:K3324))/MAX(K$470:K3324)&gt;V3323,V3323,(K3324-MAX(K$470:K3324))/MAX(K$470:K3324))</f>
        <v>-0.84885940676762139</v>
      </c>
      <c r="W3324" s="564">
        <f>IF((N3324-MAX(N$470:N3324))/MAX(N$470:N3324)&gt;W3323,W3323,(N3324-MAX(N$470:N3324))/MAX(N$470:N3324))</f>
        <v>-0.62788758315546067</v>
      </c>
      <c r="X3324" s="564">
        <f>IF((O3324-MAX(O$470:O3324))/MAX(O$470:O3324)&gt;X3323,X3323,(O3324-MAX(O$470:O3324))/MAX(O$470:O3324))</f>
        <v>-0.62788758315546067</v>
      </c>
    </row>
    <row r="3325" spans="1:24">
      <c r="A3325" s="799">
        <v>43727</v>
      </c>
      <c r="B3325">
        <v>9739.3648190000004</v>
      </c>
      <c r="C3325">
        <v>5713.9836160000004</v>
      </c>
      <c r="D3325">
        <v>1.792821</v>
      </c>
      <c r="E3325">
        <f>LN(D3325/参数实验室!$E$53)/参数实验室!$E$55</f>
        <v>-4.2397265053580602E-3</v>
      </c>
      <c r="F3325">
        <f t="shared" si="458"/>
        <v>0.58668955544748658</v>
      </c>
      <c r="G3325">
        <f>LN(F3325/参数实验室!$E$58)/参数实验室!$E$59</f>
        <v>-0.47041341108632406</v>
      </c>
      <c r="H3325" s="856">
        <f>INDEX(神经网络!$G$10:$BO$70,MATCH(ROUND(G3325*2,1)/2,神经网络!$E$10:$E$70,0),MATCH(ROUND(E3325*2,1)/2,神经网络!$G$8:$BO$8,0))</f>
        <v>-0.55498441126737386</v>
      </c>
      <c r="I3325">
        <f t="shared" si="460"/>
        <v>515288.69584029779</v>
      </c>
      <c r="J3325">
        <f t="shared" si="461"/>
        <v>3886.2634447946971</v>
      </c>
      <c r="K3325">
        <f t="shared" si="462"/>
        <v>132.59232246091833</v>
      </c>
      <c r="L3325" s="4">
        <f>MIN(MAX(L3324*(1+MAX(MIN(((B3325-B3324)/B3324)/($K$7*卓尔金历!$N$40),0),-卓尔金历!$M$43))+MIN(MAX(((B3325-B3324)/B3324)/($K$7*卓尔金历!$N$40),0),卓尔金历!$M$43),0),1)</f>
        <v>0.25083203062200959</v>
      </c>
      <c r="M3325" s="4">
        <f>MIN(MAX(M3324*(1+MAX(MIN(((B3325-B3324)/B3324)/($K$7*30),0),-卓尔金历!$M$43))+MIN(MAX(((B3325-B3324)/B3324)/($K$7*7),0),卓尔金历!$M$43),0),1)</f>
        <v>0.66544083159186584</v>
      </c>
      <c r="N3325">
        <f t="shared" si="463"/>
        <v>193222.21906592799</v>
      </c>
      <c r="O3325">
        <f t="shared" si="464"/>
        <v>534428.18734215305</v>
      </c>
      <c r="P3325">
        <f t="shared" si="465"/>
        <v>-2.8594088007969157E-2</v>
      </c>
      <c r="Q3325">
        <f t="shared" si="466"/>
        <v>2.3972901664950308E-2</v>
      </c>
      <c r="R3325">
        <f t="shared" si="467"/>
        <v>2.2617541280795257E-2</v>
      </c>
      <c r="S3325">
        <f t="shared" si="459"/>
        <v>1079.9161063675047</v>
      </c>
      <c r="T3325" s="564">
        <f>IF((I3325-MAX(I$470:I3325))/MAX(I$470:I3325)&gt;T3324,T3324,(I3325-MAX(I$470:I3325))/MAX(I$470:I3325))</f>
        <v>-0.91338805338419748</v>
      </c>
      <c r="U3325" s="564">
        <f>IF((J3325-MAX(J$470:J3325))/MAX(J$470:J3325)&gt;U3324,U3324,(J3325-MAX(J$470:J3325))/MAX(J$470:J3325))</f>
        <v>-0.83569785939843477</v>
      </c>
      <c r="V3325" s="564">
        <f>IF((K3325-MAX(K$470:K3325))/MAX(K$470:K3325)&gt;V3324,V3324,(K3325-MAX(K$470:K3325))/MAX(K$470:K3325))</f>
        <v>-0.84885940676762139</v>
      </c>
      <c r="W3325" s="564">
        <f>IF((N3325-MAX(N$470:N3325))/MAX(N$470:N3325)&gt;W3324,W3324,(N3325-MAX(N$470:N3325))/MAX(N$470:N3325))</f>
        <v>-0.62788758315546067</v>
      </c>
      <c r="X3325" s="564">
        <f>IF((O3325-MAX(O$470:O3325))/MAX(O$470:O3325)&gt;X3324,X3324,(O3325-MAX(O$470:O3325))/MAX(O$470:O3325))</f>
        <v>-0.62788758315546067</v>
      </c>
    </row>
    <row r="3326" spans="1:24">
      <c r="A3326" s="799">
        <v>43728</v>
      </c>
      <c r="B3326">
        <v>10157.188681</v>
      </c>
      <c r="C3326">
        <v>5661.0034059999998</v>
      </c>
      <c r="D3326">
        <v>1.775239</v>
      </c>
      <c r="E3326">
        <f>LN(D3326/参数实验室!$E$53)/参数实验室!$E$55</f>
        <v>-1.5866542995220275E-2</v>
      </c>
      <c r="F3326">
        <f t="shared" si="458"/>
        <v>0.5573395930499403</v>
      </c>
      <c r="G3326">
        <f>LN(F3326/参数实验室!$E$58)/参数实验室!$E$59</f>
        <v>-0.49734948590172451</v>
      </c>
      <c r="H3326" s="856">
        <f>INDEX(神经网络!$G$10:$BO$70,MATCH(ROUND(G3326*2,1)/2,神经网络!$E$10:$E$70,0),MATCH(ROUND(E3326*2,1)/2,神经网络!$G$8:$BO$8,0))</f>
        <v>-0.62397769287443428</v>
      </c>
      <c r="I3326">
        <f t="shared" si="460"/>
        <v>503020.12415723078</v>
      </c>
      <c r="J3326">
        <f t="shared" si="461"/>
        <v>4052.9861861058971</v>
      </c>
      <c r="K3326">
        <f t="shared" si="462"/>
        <v>124.11098904843091</v>
      </c>
      <c r="L3326" s="4">
        <f>MIN(MAX(L3325*(1+MAX(MIN(((B3326-B3325)/B3325)/($K$7*卓尔金历!$N$40),0),-卓尔金历!$M$43))+MIN(MAX(((B3326-B3325)/B3325)/($K$7*卓尔金历!$N$40),0),卓尔金历!$M$43),0),1)</f>
        <v>0.90631088108463631</v>
      </c>
      <c r="M3326" s="4">
        <f>MIN(MAX(M3325*(1+MAX(MIN(((B3326-B3325)/B3325)/($K$7*30),0),-卓尔金历!$M$43))+MIN(MAX(((B3326-B3325)/B3325)/($K$7*7),0),卓尔金历!$M$43),0),1)</f>
        <v>1</v>
      </c>
      <c r="N3326">
        <f t="shared" si="463"/>
        <v>192068.27847846464</v>
      </c>
      <c r="O3326">
        <f t="shared" si="464"/>
        <v>525960.94107336714</v>
      </c>
      <c r="P3326">
        <f t="shared" si="465"/>
        <v>4.2900524804747972E-2</v>
      </c>
      <c r="Q3326">
        <f t="shared" si="466"/>
        <v>2.5556677671115795E-2</v>
      </c>
      <c r="R3326">
        <f t="shared" si="467"/>
        <v>1.1555288137545756E-2</v>
      </c>
      <c r="S3326">
        <f t="shared" si="459"/>
        <v>1079.3345674286174</v>
      </c>
      <c r="T3326" s="564">
        <f>IF((I3326-MAX(I$470:I3326))/MAX(I$470:I3326)&gt;T3325,T3325,(I3326-MAX(I$470:I3326))/MAX(I$470:I3326))</f>
        <v>-0.91338805338419748</v>
      </c>
      <c r="U3326" s="564">
        <f>IF((J3326-MAX(J$470:J3326))/MAX(J$470:J3326)&gt;U3325,U3325,(J3326-MAX(J$470:J3326))/MAX(J$470:J3326))</f>
        <v>-0.83569785939843477</v>
      </c>
      <c r="V3326" s="564">
        <f>IF((K3326-MAX(K$470:K3326))/MAX(K$470:K3326)&gt;V3325,V3325,(K3326-MAX(K$470:K3326))/MAX(K$470:K3326))</f>
        <v>-0.84885940676762139</v>
      </c>
      <c r="W3326" s="564">
        <f>IF((N3326-MAX(N$470:N3326))/MAX(N$470:N3326)&gt;W3325,W3325,(N3326-MAX(N$470:N3326))/MAX(N$470:N3326))</f>
        <v>-0.62788758315546067</v>
      </c>
      <c r="X3326" s="564">
        <f>IF((O3326-MAX(O$470:O3326))/MAX(O$470:O3326)&gt;X3325,X3325,(O3326-MAX(O$470:O3326))/MAX(O$470:O3326))</f>
        <v>-0.62788758315546067</v>
      </c>
    </row>
    <row r="3327" spans="1:24">
      <c r="A3327" s="799">
        <v>43729</v>
      </c>
      <c r="B3327">
        <v>10024.223012</v>
      </c>
      <c r="C3327">
        <v>5573.1183039999996</v>
      </c>
      <c r="D3327">
        <v>1.7431840000000001</v>
      </c>
      <c r="E3327">
        <f>LN(D3327/参数实验室!$E$53)/参数实验室!$E$55</f>
        <v>-3.7363694758693208E-2</v>
      </c>
      <c r="F3327">
        <f t="shared" si="458"/>
        <v>0.55596511543372673</v>
      </c>
      <c r="G3327">
        <f>LN(F3327/参数实验室!$E$58)/参数实验室!$E$59</f>
        <v>-0.49864544826498725</v>
      </c>
      <c r="H3327" s="856">
        <f>INDEX(神经网络!$G$10:$BO$70,MATCH(ROUND(G3327*2,1)/2,神经网络!$E$10:$E$70,0),MATCH(ROUND(E3327*2,1)/2,神经网络!$G$8:$BO$8,0))</f>
        <v>-0.65734140017930154</v>
      </c>
      <c r="I3327">
        <f t="shared" si="460"/>
        <v>507128.97548264812</v>
      </c>
      <c r="J3327">
        <f t="shared" si="461"/>
        <v>3999.9293771198231</v>
      </c>
      <c r="K3327">
        <f t="shared" si="462"/>
        <v>126.78448234198821</v>
      </c>
      <c r="L3327" s="4">
        <f>MIN(MAX(L3326*(1+MAX(MIN(((B3327-B3326)/B3326)/($K$7*卓尔金历!$N$40),0),-卓尔金历!$M$43))+MIN(MAX(((B3327-B3326)/B3326)/($K$7*卓尔金历!$N$40),0),卓尔金历!$M$43),0),1)</f>
        <v>0.72503531269232369</v>
      </c>
      <c r="M3327" s="4">
        <f>MIN(MAX(M3326*(1+MAX(MIN(((B3327-B3326)/B3326)/($K$7*30),0),-卓尔金历!$M$43))+MIN(MAX(((B3327-B3326)/B3326)/($K$7*7),0),卓尔金历!$M$43),0),1)</f>
        <v>0.8999926117099194</v>
      </c>
      <c r="N3327">
        <f t="shared" si="463"/>
        <v>193490.17471546642</v>
      </c>
      <c r="O3327">
        <f t="shared" si="464"/>
        <v>530257.18133506202</v>
      </c>
      <c r="P3327">
        <f t="shared" si="465"/>
        <v>-1.3090794429045543E-2</v>
      </c>
      <c r="Q3327">
        <f t="shared" si="466"/>
        <v>2.5761431069666527E-2</v>
      </c>
      <c r="R3327">
        <f t="shared" si="467"/>
        <v>0.71982694673855663</v>
      </c>
      <c r="S3327">
        <f t="shared" si="459"/>
        <v>1079.4364434398342</v>
      </c>
      <c r="T3327" s="564">
        <f>IF((I3327-MAX(I$470:I3327))/MAX(I$470:I3327)&gt;T3326,T3326,(I3327-MAX(I$470:I3327))/MAX(I$470:I3327))</f>
        <v>-0.91338805338419748</v>
      </c>
      <c r="U3327" s="564">
        <f>IF((J3327-MAX(J$470:J3327))/MAX(J$470:J3327)&gt;U3326,U3326,(J3327-MAX(J$470:J3327))/MAX(J$470:J3327))</f>
        <v>-0.83569785939843477</v>
      </c>
      <c r="V3327" s="564">
        <f>IF((K3327-MAX(K$470:K3327))/MAX(K$470:K3327)&gt;V3326,V3326,(K3327-MAX(K$470:K3327))/MAX(K$470:K3327))</f>
        <v>-0.84885940676762139</v>
      </c>
      <c r="W3327" s="564">
        <f>IF((N3327-MAX(N$470:N3327))/MAX(N$470:N3327)&gt;W3326,W3326,(N3327-MAX(N$470:N3327))/MAX(N$470:N3327))</f>
        <v>-0.62788758315546067</v>
      </c>
      <c r="X3327" s="564">
        <f>IF((O3327-MAX(O$470:O3327))/MAX(O$470:O3327)&gt;X3326,X3326,(O3327-MAX(O$470:O3327))/MAX(O$470:O3327))</f>
        <v>-0.62788758315546067</v>
      </c>
    </row>
    <row r="3328" spans="1:24">
      <c r="A3328" s="799">
        <v>43730</v>
      </c>
      <c r="B3328">
        <v>9974.1289770000003</v>
      </c>
      <c r="C3328">
        <v>5529.1190999999999</v>
      </c>
      <c r="D3328">
        <v>1.753528</v>
      </c>
      <c r="E3328">
        <f>LN(D3328/参数实验室!$E$53)/参数实验室!$E$55</f>
        <v>-3.0383764382370133E-2</v>
      </c>
      <c r="F3328">
        <f t="shared" si="458"/>
        <v>0.5543460599667358</v>
      </c>
      <c r="G3328">
        <f>LN(F3328/参数实验室!$E$58)/参数实验室!$E$59</f>
        <v>-0.50017613340794831</v>
      </c>
      <c r="H3328" s="856">
        <f>INDEX(神经网络!$G$10:$BO$70,MATCH(ROUND(G3328*2,1)/2,神经网络!$E$10:$E$70,0),MATCH(ROUND(E3328*2,1)/2,神经网络!$G$8:$BO$8,0))</f>
        <v>-0.65734140017930154</v>
      </c>
      <c r="I3328">
        <f t="shared" si="460"/>
        <v>508794.85928572383</v>
      </c>
      <c r="J3328">
        <f t="shared" si="461"/>
        <v>3979.9405358924182</v>
      </c>
      <c r="K3328">
        <f t="shared" si="462"/>
        <v>127.83981436336643</v>
      </c>
      <c r="L3328" s="4">
        <f>MIN(MAX(L3327*(1+MAX(MIN(((B3328-B3327)/B3327)/($K$7*卓尔金历!$N$40),0),-卓尔金历!$M$43))+MIN(MAX(((B3328-B3327)/B3327)/($K$7*卓尔金历!$N$40),0),卓尔金历!$M$43),0),1)</f>
        <v>0.66967602000115056</v>
      </c>
      <c r="M3328" s="4">
        <f>MIN(MAX(M3327*(1+MAX(MIN(((B3328-B3327)/B3327)/($K$7*30),0),-卓尔金历!$M$43))+MIN(MAX(((B3328-B3327)/B3327)/($K$7*7),0),卓尔金历!$M$43),0),1)</f>
        <v>0.86563362702368951</v>
      </c>
      <c r="N3328">
        <f t="shared" si="463"/>
        <v>193951.00854886218</v>
      </c>
      <c r="O3328">
        <f t="shared" si="464"/>
        <v>531824.8409973525</v>
      </c>
      <c r="P3328">
        <f t="shared" si="465"/>
        <v>-4.9972985377552447E-3</v>
      </c>
      <c r="Q3328">
        <f t="shared" si="466"/>
        <v>2.5778540200336708E-2</v>
      </c>
      <c r="R3328">
        <f t="shared" si="467"/>
        <v>1</v>
      </c>
      <c r="S3328">
        <f t="shared" si="459"/>
        <v>1081.9888594336815</v>
      </c>
      <c r="T3328" s="564">
        <f>IF((I3328-MAX(I$470:I3328))/MAX(I$470:I3328)&gt;T3327,T3327,(I3328-MAX(I$470:I3328))/MAX(I$470:I3328))</f>
        <v>-0.91338805338419748</v>
      </c>
      <c r="U3328" s="564">
        <f>IF((J3328-MAX(J$470:J3328))/MAX(J$470:J3328)&gt;U3327,U3327,(J3328-MAX(J$470:J3328))/MAX(J$470:J3328))</f>
        <v>-0.83569785939843477</v>
      </c>
      <c r="V3328" s="564">
        <f>IF((K3328-MAX(K$470:K3328))/MAX(K$470:K3328)&gt;V3327,V3327,(K3328-MAX(K$470:K3328))/MAX(K$470:K3328))</f>
        <v>-0.84885940676762139</v>
      </c>
      <c r="W3328" s="564">
        <f>IF((N3328-MAX(N$470:N3328))/MAX(N$470:N3328)&gt;W3327,W3327,(N3328-MAX(N$470:N3328))/MAX(N$470:N3328))</f>
        <v>-0.62788758315546067</v>
      </c>
      <c r="X3328" s="564">
        <f>IF((O3328-MAX(O$470:O3328))/MAX(O$470:O3328)&gt;X3327,X3327,(O3328-MAX(O$470:O3328))/MAX(O$470:O3328))</f>
        <v>-0.62788758315546067</v>
      </c>
    </row>
    <row r="3329" spans="1:24">
      <c r="A3329" s="799">
        <v>43731</v>
      </c>
      <c r="B3329">
        <v>9874.349811</v>
      </c>
      <c r="C3329">
        <v>5695.8072940000002</v>
      </c>
      <c r="D3329">
        <v>1.6924170000000001</v>
      </c>
      <c r="E3329">
        <f>LN(D3329/参数实验室!$E$53)/参数实验室!$E$55</f>
        <v>-7.2232058535463661E-2</v>
      </c>
      <c r="F3329">
        <f t="shared" si="458"/>
        <v>0.57682859155494837</v>
      </c>
      <c r="G3329">
        <f>LN(F3329/参数实验室!$E$58)/参数实验室!$E$59</f>
        <v>-0.47931003328828509</v>
      </c>
      <c r="H3329" s="856">
        <f>INDEX(神经网络!$G$10:$BO$70,MATCH(ROUND(G3329*2,1)/2,神经网络!$E$10:$E$70,0),MATCH(ROUND(E3329*2,1)/2,神经网络!$G$8:$BO$8,0))</f>
        <v>-0.65734140017930154</v>
      </c>
      <c r="I3329">
        <f t="shared" si="460"/>
        <v>512140.64860138169</v>
      </c>
      <c r="J3329">
        <f t="shared" si="461"/>
        <v>3940.126016918714</v>
      </c>
      <c r="K3329">
        <f t="shared" si="462"/>
        <v>129.98077888937411</v>
      </c>
      <c r="L3329" s="4">
        <f>MIN(MAX(L3328*(1+MAX(MIN(((B3329-B3328)/B3328)/($K$7*卓尔金历!$N$40),0),-卓尔金历!$M$43))+MIN(MAX(((B3329-B3328)/B3328)/($K$7*卓尔金历!$N$40),0),卓尔金历!$M$43),0),1)</f>
        <v>0.56731709503697547</v>
      </c>
      <c r="M3329" s="4">
        <f>MIN(MAX(M3328*(1+MAX(MIN(((B3329-B3328)/B3328)/($K$7*30),0),-卓尔金历!$M$43))+MIN(MAX(((B3329-B3328)/B3328)/($K$7*7),0),卓尔金历!$M$43),0),1)</f>
        <v>0.79947825873468281</v>
      </c>
      <c r="N3329">
        <f t="shared" si="463"/>
        <v>194805.11630442055</v>
      </c>
      <c r="O3329">
        <f t="shared" si="464"/>
        <v>534852.16297105153</v>
      </c>
      <c r="P3329">
        <f t="shared" si="465"/>
        <v>-1.000379744738489E-2</v>
      </c>
      <c r="Q3329">
        <f t="shared" si="466"/>
        <v>2.480500667418728E-2</v>
      </c>
      <c r="R3329">
        <f t="shared" si="467"/>
        <v>0.95726828546943787</v>
      </c>
      <c r="S3329">
        <f t="shared" si="459"/>
        <v>1089.103921033628</v>
      </c>
      <c r="T3329" s="564">
        <f>IF((I3329-MAX(I$470:I3329))/MAX(I$470:I3329)&gt;T3328,T3328,(I3329-MAX(I$470:I3329))/MAX(I$470:I3329))</f>
        <v>-0.91338805338419748</v>
      </c>
      <c r="U3329" s="564">
        <f>IF((J3329-MAX(J$470:J3329))/MAX(J$470:J3329)&gt;U3328,U3328,(J3329-MAX(J$470:J3329))/MAX(J$470:J3329))</f>
        <v>-0.83569785939843477</v>
      </c>
      <c r="V3329" s="564">
        <f>IF((K3329-MAX(K$470:K3329))/MAX(K$470:K3329)&gt;V3328,V3328,(K3329-MAX(K$470:K3329))/MAX(K$470:K3329))</f>
        <v>-0.84885940676762139</v>
      </c>
      <c r="W3329" s="564">
        <f>IF((N3329-MAX(N$470:N3329))/MAX(N$470:N3329)&gt;W3328,W3328,(N3329-MAX(N$470:N3329))/MAX(N$470:N3329))</f>
        <v>-0.62788758315546067</v>
      </c>
      <c r="X3329" s="564">
        <f>IF((O3329-MAX(O$470:O3329))/MAX(O$470:O3329)&gt;X3328,X3328,(O3329-MAX(O$470:O3329))/MAX(O$470:O3329))</f>
        <v>-0.62788758315546067</v>
      </c>
    </row>
    <row r="3330" spans="1:24">
      <c r="A3330" s="799">
        <v>43732</v>
      </c>
      <c r="B3330">
        <v>9540.9167080000007</v>
      </c>
      <c r="C3330">
        <v>5690.4603450000004</v>
      </c>
      <c r="D3330">
        <v>1.5076989999999999</v>
      </c>
      <c r="E3330">
        <f>LN(D3330/参数实验室!$E$53)/参数实验室!$E$55</f>
        <v>-0.20857972406355194</v>
      </c>
      <c r="F3330">
        <f t="shared" si="458"/>
        <v>0.59642700163482032</v>
      </c>
      <c r="G3330">
        <f>LN(F3330/参数实验室!$E$58)/参数实验室!$E$59</f>
        <v>-0.46177376628956412</v>
      </c>
      <c r="H3330" s="856">
        <f>INDEX(神经网络!$G$10:$BO$70,MATCH(ROUND(G3330*2,1)/2,神经网络!$E$10:$E$70,0),MATCH(ROUND(E3330*2,1)/2,神经网络!$G$8:$BO$8,0))</f>
        <v>-0.68481748404425757</v>
      </c>
      <c r="I3330">
        <f t="shared" si="460"/>
        <v>523508.5536697412</v>
      </c>
      <c r="J3330">
        <f t="shared" si="461"/>
        <v>3807.0774143090821</v>
      </c>
      <c r="K3330">
        <f t="shared" si="462"/>
        <v>137.50930088842148</v>
      </c>
      <c r="L3330" s="4">
        <f>MIN(MAX(L3329*(1+MAX(MIN(((B3330-B3329)/B3329)/($K$7*卓尔金历!$N$40),0),-卓尔金历!$M$43))+MIN(MAX(((B3330-B3329)/B3329)/($K$7*卓尔金历!$N$40),0),卓尔金历!$M$43),0),1)</f>
        <v>0.27461747790620861</v>
      </c>
      <c r="M3330" s="4">
        <f>MIN(MAX(M3329*(1+MAX(MIN(((B3330-B3329)/B3329)/($K$7*30),0),-卓尔金历!$M$43))+MIN(MAX(((B3330-B3329)/B3329)/($K$7*7),0),卓尔金历!$M$43),0),1)</f>
        <v>0.59323823681117449</v>
      </c>
      <c r="N3330">
        <f t="shared" si="463"/>
        <v>197258.22854959773</v>
      </c>
      <c r="O3330">
        <f t="shared" si="464"/>
        <v>544343.5920155003</v>
      </c>
      <c r="P3330">
        <f t="shared" si="465"/>
        <v>-3.3767600842797341E-2</v>
      </c>
      <c r="Q3330">
        <f t="shared" si="466"/>
        <v>1.9707910202155489E-2</v>
      </c>
      <c r="R3330">
        <f t="shared" si="467"/>
        <v>1.1447964522199403E-2</v>
      </c>
      <c r="S3330">
        <f t="shared" si="459"/>
        <v>1112.2455637127082</v>
      </c>
      <c r="T3330" s="564">
        <f>IF((I3330-MAX(I$470:I3330))/MAX(I$470:I3330)&gt;T3329,T3329,(I3330-MAX(I$470:I3330))/MAX(I$470:I3330))</f>
        <v>-0.91338805338419748</v>
      </c>
      <c r="U3330" s="564">
        <f>IF((J3330-MAX(J$470:J3330))/MAX(J$470:J3330)&gt;U3329,U3329,(J3330-MAX(J$470:J3330))/MAX(J$470:J3330))</f>
        <v>-0.83569785939843477</v>
      </c>
      <c r="V3330" s="564">
        <f>IF((K3330-MAX(K$470:K3330))/MAX(K$470:K3330)&gt;V3329,V3329,(K3330-MAX(K$470:K3330))/MAX(K$470:K3330))</f>
        <v>-0.84885940676762139</v>
      </c>
      <c r="W3330" s="564">
        <f>IF((N3330-MAX(N$470:N3330))/MAX(N$470:N3330)&gt;W3329,W3329,(N3330-MAX(N$470:N3330))/MAX(N$470:N3330))</f>
        <v>-0.62788758315546067</v>
      </c>
      <c r="X3330" s="564">
        <f>IF((O3330-MAX(O$470:O3330))/MAX(O$470:O3330)&gt;X3329,X3329,(O3330-MAX(O$470:O3330))/MAX(O$470:O3330))</f>
        <v>-0.62788758315546067</v>
      </c>
    </row>
    <row r="3331" spans="1:24">
      <c r="A3331" s="799">
        <v>43733</v>
      </c>
      <c r="B3331">
        <v>8399.0426669999997</v>
      </c>
      <c r="C3331">
        <v>5623.4329349999998</v>
      </c>
      <c r="D3331">
        <v>1.477789</v>
      </c>
      <c r="E3331">
        <f>LN(D3331/参数实验室!$E$53)/参数实验室!$E$55</f>
        <v>-0.23221914258374496</v>
      </c>
      <c r="F3331">
        <f t="shared" si="458"/>
        <v>0.66953260722136532</v>
      </c>
      <c r="G3331">
        <f>LN(F3331/参数实验室!$E$58)/参数实验室!$E$59</f>
        <v>-0.40108856120464104</v>
      </c>
      <c r="H3331" s="856">
        <f>INDEX(神经网络!$G$10:$BO$70,MATCH(ROUND(G3331*2,1)/2,神经网络!$E$10:$E$70,0),MATCH(ROUND(E3331*2,1)/2,神经网络!$G$8:$BO$8,0))</f>
        <v>-0.6555766345053301</v>
      </c>
      <c r="I3331">
        <f t="shared" si="460"/>
        <v>566415.41209314158</v>
      </c>
      <c r="J3331">
        <f t="shared" si="461"/>
        <v>3351.439554287535</v>
      </c>
      <c r="K3331">
        <f t="shared" si="462"/>
        <v>169.00660236241464</v>
      </c>
      <c r="L3331" s="4">
        <f>MIN(MAX(L3330*(1+MAX(MIN(((B3331-B3330)/B3330)/($K$7*卓尔金历!$N$40),0),-卓尔金历!$M$43))+MIN(MAX(((B3331-B3330)/B3330)/($K$7*卓尔金历!$N$40),0),卓尔金历!$M$43),0),1)</f>
        <v>0</v>
      </c>
      <c r="M3331" s="4">
        <f>MIN(MAX(M3330*(1+MAX(MIN(((B3331-B3330)/B3330)/($K$7*30),0),-卓尔金历!$M$43))+MIN(MAX(((B3331-B3330)/B3330)/($K$7*7),0),卓尔金历!$M$43),0),1)</f>
        <v>5.0833699672711626E-2</v>
      </c>
      <c r="N3331">
        <f t="shared" si="463"/>
        <v>201698.05749429268</v>
      </c>
      <c r="O3331">
        <f t="shared" si="464"/>
        <v>570810.62054264161</v>
      </c>
      <c r="P3331">
        <f t="shared" si="465"/>
        <v>-0.11968179536066451</v>
      </c>
      <c r="Q3331">
        <f t="shared" si="466"/>
        <v>3.1419200815804599E-2</v>
      </c>
      <c r="R3331">
        <f t="shared" si="467"/>
        <v>0</v>
      </c>
      <c r="S3331">
        <f t="shared" si="459"/>
        <v>1113.289158478708</v>
      </c>
      <c r="T3331" s="564">
        <f>IF((I3331-MAX(I$470:I3331))/MAX(I$470:I3331)&gt;T3330,T3330,(I3331-MAX(I$470:I3331))/MAX(I$470:I3331))</f>
        <v>-0.91338805338419748</v>
      </c>
      <c r="U3331" s="564">
        <f>IF((J3331-MAX(J$470:J3331))/MAX(J$470:J3331)&gt;U3330,U3330,(J3331-MAX(J$470:J3331))/MAX(J$470:J3331))</f>
        <v>-0.83569785939843477</v>
      </c>
      <c r="V3331" s="564">
        <f>IF((K3331-MAX(K$470:K3331))/MAX(K$470:K3331)&gt;V3330,V3330,(K3331-MAX(K$470:K3331))/MAX(K$470:K3331))</f>
        <v>-0.84885940676762139</v>
      </c>
      <c r="W3331" s="564">
        <f>IF((N3331-MAX(N$470:N3331))/MAX(N$470:N3331)&gt;W3330,W3330,(N3331-MAX(N$470:N3331))/MAX(N$470:N3331))</f>
        <v>-0.62788758315546067</v>
      </c>
      <c r="X3331" s="564">
        <f>IF((O3331-MAX(O$470:O3331))/MAX(O$470:O3331)&gt;X3330,X3330,(O3331-MAX(O$470:O3331))/MAX(O$470:O3331))</f>
        <v>-0.62788758315546067</v>
      </c>
    </row>
    <row r="3332" spans="1:24">
      <c r="A3332" s="799">
        <v>43734</v>
      </c>
      <c r="B3332">
        <v>8198.1233069999998</v>
      </c>
      <c r="C3332">
        <v>5525.7708700000003</v>
      </c>
      <c r="D3332">
        <v>1.4245399999999999</v>
      </c>
      <c r="E3332">
        <f>LN(D3332/参数实验室!$E$53)/参数实验室!$E$55</f>
        <v>-0.27551384187141692</v>
      </c>
      <c r="F3332">
        <f t="shared" si="458"/>
        <v>0.67402875793314787</v>
      </c>
      <c r="G3332">
        <f>LN(F3332/参数实验室!$E$58)/参数实验室!$E$59</f>
        <v>-0.39757576045045206</v>
      </c>
      <c r="H3332" s="856">
        <f>INDEX(神经网络!$G$10:$BO$70,MATCH(ROUND(G3332*2,1)/2,神经网络!$E$10:$E$70,0),MATCH(ROUND(E3332*2,1)/2,神经网络!$G$8:$BO$8,0))</f>
        <v>-0.6829786341344618</v>
      </c>
      <c r="I3332">
        <f t="shared" si="460"/>
        <v>575298.22524683317</v>
      </c>
      <c r="J3332">
        <f t="shared" si="461"/>
        <v>3271.2674302701375</v>
      </c>
      <c r="K3332">
        <f t="shared" si="462"/>
        <v>175.86401525091017</v>
      </c>
      <c r="L3332" s="4">
        <f>MIN(MAX(L3331*(1+MAX(MIN(((B3332-B3331)/B3331)/($K$7*卓尔金历!$N$40),0),-卓尔金历!$M$43))+MIN(MAX(((B3332-B3331)/B3331)/($K$7*卓尔金历!$N$40),0),卓尔金历!$M$43),0),1)</f>
        <v>0</v>
      </c>
      <c r="M3332" s="4">
        <f>MIN(MAX(M3331*(1+MAX(MIN(((B3332-B3331)/B3331)/($K$7*30),0),-卓尔金历!$M$43))+MIN(MAX(((B3332-B3331)/B3331)/($K$7*7),0),卓尔金历!$M$43),0),1)</f>
        <v>4.1543826174487958E-2</v>
      </c>
      <c r="N3332">
        <f t="shared" si="463"/>
        <v>201698.05749429268</v>
      </c>
      <c r="O3332">
        <f t="shared" si="464"/>
        <v>571265.67065806442</v>
      </c>
      <c r="P3332">
        <f t="shared" si="465"/>
        <v>-2.3921697741745723E-2</v>
      </c>
      <c r="Q3332">
        <f t="shared" si="466"/>
        <v>3.1290613711268872E-2</v>
      </c>
      <c r="R3332">
        <f t="shared" si="467"/>
        <v>0.30838853884763462</v>
      </c>
      <c r="S3332">
        <f t="shared" si="459"/>
        <v>1113.289158478708</v>
      </c>
      <c r="T3332" s="564">
        <f>IF((I3332-MAX(I$470:I3332))/MAX(I$470:I3332)&gt;T3331,T3331,(I3332-MAX(I$470:I3332))/MAX(I$470:I3332))</f>
        <v>-0.91338805338419748</v>
      </c>
      <c r="U3332" s="564">
        <f>IF((J3332-MAX(J$470:J3332))/MAX(J$470:J3332)&gt;U3331,U3331,(J3332-MAX(J$470:J3332))/MAX(J$470:J3332))</f>
        <v>-0.83569785939843477</v>
      </c>
      <c r="V3332" s="564">
        <f>IF((K3332-MAX(K$470:K3332))/MAX(K$470:K3332)&gt;V3331,V3331,(K3332-MAX(K$470:K3332))/MAX(K$470:K3332))</f>
        <v>-0.84885940676762139</v>
      </c>
      <c r="W3332" s="564">
        <f>IF((N3332-MAX(N$470:N3332))/MAX(N$470:N3332)&gt;W3331,W3331,(N3332-MAX(N$470:N3332))/MAX(N$470:N3332))</f>
        <v>-0.62788758315546067</v>
      </c>
      <c r="X3332" s="564">
        <f>IF((O3332-MAX(O$470:O3332))/MAX(O$470:O3332)&gt;X3331,X3331,(O3332-MAX(O$470:O3332))/MAX(O$470:O3332))</f>
        <v>-0.62788758315546067</v>
      </c>
    </row>
    <row r="3333" spans="1:24">
      <c r="A3333" s="799">
        <v>43735</v>
      </c>
      <c r="B3333">
        <v>7966.6873340000002</v>
      </c>
      <c r="C3333">
        <v>5566.3742179999999</v>
      </c>
      <c r="D3333">
        <v>1.4413260000000001</v>
      </c>
      <c r="E3333">
        <f>LN(D3333/参数实验室!$E$53)/参数实验室!$E$55</f>
        <v>-0.26169354153475266</v>
      </c>
      <c r="F3333">
        <f t="shared" ref="F3333:F3396" si="468">C3333/B3333</f>
        <v>0.69870624823494543</v>
      </c>
      <c r="G3333">
        <f>LN(F3333/参数实验室!$E$58)/参数实验室!$E$59</f>
        <v>-0.37870325264124166</v>
      </c>
      <c r="H3333" s="856">
        <f>INDEX(神经网络!$G$10:$BO$70,MATCH(ROUND(G3333*2,1)/2,神经网络!$E$10:$E$70,0),MATCH(ROUND(E3333*2,1)/2,神经网络!$G$8:$BO$8,0))</f>
        <v>-0.6555766345053301</v>
      </c>
      <c r="I3333">
        <f t="shared" si="460"/>
        <v>586390.39659307222</v>
      </c>
      <c r="J3333">
        <f t="shared" si="461"/>
        <v>3178.9183727704371</v>
      </c>
      <c r="K3333">
        <f t="shared" si="462"/>
        <v>184.46223772711446</v>
      </c>
      <c r="L3333" s="4">
        <f>MIN(MAX(L3332*(1+MAX(MIN(((B3333-B3332)/B3332)/($K$7*卓尔金历!$N$40),0),-卓尔金历!$M$43))+MIN(MAX(((B3333-B3332)/B3332)/($K$7*卓尔金历!$N$40),0),卓尔金历!$M$43),0),1)</f>
        <v>0</v>
      </c>
      <c r="M3333" s="4">
        <f>MIN(MAX(M3332*(1+MAX(MIN(((B3333-B3332)/B3332)/($K$7*30),0),-卓尔金历!$M$43))+MIN(MAX(((B3333-B3332)/B3332)/($K$7*7),0),卓尔金历!$M$43),0),1)</f>
        <v>3.2584218502538627E-2</v>
      </c>
      <c r="N3333">
        <f t="shared" si="463"/>
        <v>201698.05749429268</v>
      </c>
      <c r="O3333">
        <f t="shared" si="464"/>
        <v>571723.25183865055</v>
      </c>
      <c r="P3333">
        <f t="shared" si="465"/>
        <v>-2.8230360087702893E-2</v>
      </c>
      <c r="Q3333">
        <f t="shared" si="466"/>
        <v>2.999999626687614E-2</v>
      </c>
      <c r="R3333">
        <f t="shared" si="467"/>
        <v>9.3992319398393434E-2</v>
      </c>
      <c r="S3333">
        <f t="shared" si="459"/>
        <v>1119.9087279525295</v>
      </c>
      <c r="T3333" s="564">
        <f>IF((I3333-MAX(I$470:I3333))/MAX(I$470:I3333)&gt;T3332,T3332,(I3333-MAX(I$470:I3333))/MAX(I$470:I3333))</f>
        <v>-0.91338805338419748</v>
      </c>
      <c r="U3333" s="564">
        <f>IF((J3333-MAX(J$470:J3333))/MAX(J$470:J3333)&gt;U3332,U3332,(J3333-MAX(J$470:J3333))/MAX(J$470:J3333))</f>
        <v>-0.83569785939843477</v>
      </c>
      <c r="V3333" s="564">
        <f>IF((K3333-MAX(K$470:K3333))/MAX(K$470:K3333)&gt;V3332,V3332,(K3333-MAX(K$470:K3333))/MAX(K$470:K3333))</f>
        <v>-0.84885940676762139</v>
      </c>
      <c r="W3333" s="564">
        <f>IF((N3333-MAX(N$470:N3333))/MAX(N$470:N3333)&gt;W3332,W3332,(N3333-MAX(N$470:N3333))/MAX(N$470:N3333))</f>
        <v>-0.62788758315546067</v>
      </c>
      <c r="X3333" s="564">
        <f>IF((O3333-MAX(O$470:O3333))/MAX(O$470:O3333)&gt;X3332,X3332,(O3333-MAX(O$470:O3333))/MAX(O$470:O3333))</f>
        <v>-0.62788758315546067</v>
      </c>
    </row>
    <row r="3334" spans="1:24">
      <c r="A3334" s="799">
        <v>43736</v>
      </c>
      <c r="B3334">
        <v>8071.5473920000004</v>
      </c>
      <c r="C3334">
        <v>5600.398443</v>
      </c>
      <c r="D3334">
        <v>1.444912</v>
      </c>
      <c r="E3334">
        <f>LN(D3334/参数实验室!$E$53)/参数实验室!$E$55</f>
        <v>-0.25876197642489246</v>
      </c>
      <c r="F3334">
        <f t="shared" si="468"/>
        <v>0.69384446017758072</v>
      </c>
      <c r="G3334">
        <f>LN(F3334/参数实验室!$E$58)/参数实验室!$E$59</f>
        <v>-0.38236809510750985</v>
      </c>
      <c r="H3334" s="856">
        <f>INDEX(神经网络!$G$10:$BO$70,MATCH(ROUND(G3334*2,1)/2,神经网络!$E$10:$E$70,0),MATCH(ROUND(E3334*2,1)/2,神经网络!$G$8:$BO$8,0))</f>
        <v>-0.6555766345053301</v>
      </c>
      <c r="I3334">
        <f t="shared" si="460"/>
        <v>581330.48840883048</v>
      </c>
      <c r="J3334">
        <f t="shared" si="461"/>
        <v>3220.7603016639368</v>
      </c>
      <c r="K3334">
        <f t="shared" si="462"/>
        <v>180.49480059366681</v>
      </c>
      <c r="L3334" s="4">
        <f>MIN(MAX(L3333*(1+MAX(MIN(((B3334-B3333)/B3333)/($K$7*卓尔金历!$N$40),0),-卓尔金历!$M$43))+MIN(MAX(((B3334-B3333)/B3333)/($K$7*卓尔金历!$N$40),0),卓尔金历!$M$43),0),1)</f>
        <v>0.2011075610727627</v>
      </c>
      <c r="M3334" s="4">
        <f>MIN(MAX(M3333*(1+MAX(MIN(((B3334-B3333)/B3333)/($K$7*30),0),-卓尔金历!$M$43))+MIN(MAX(((B3334-B3333)/B3333)/($K$7*7),0),卓尔金历!$M$43),0),1)</f>
        <v>0.46352899222988725</v>
      </c>
      <c r="N3334">
        <f t="shared" si="463"/>
        <v>201698.05749429268</v>
      </c>
      <c r="O3334">
        <f t="shared" si="464"/>
        <v>571562.50258998654</v>
      </c>
      <c r="P3334">
        <f t="shared" si="465"/>
        <v>1.3162316230546849E-2</v>
      </c>
      <c r="Q3334">
        <f t="shared" si="466"/>
        <v>3.0084661997909774E-2</v>
      </c>
      <c r="R3334">
        <f t="shared" si="467"/>
        <v>0.88145727785323436</v>
      </c>
      <c r="S3334">
        <f t="shared" si="459"/>
        <v>1119.0004248805246</v>
      </c>
      <c r="T3334" s="564">
        <f>IF((I3334-MAX(I$470:I3334))/MAX(I$470:I3334)&gt;T3333,T3333,(I3334-MAX(I$470:I3334))/MAX(I$470:I3334))</f>
        <v>-0.91338805338419748</v>
      </c>
      <c r="U3334" s="564">
        <f>IF((J3334-MAX(J$470:J3334))/MAX(J$470:J3334)&gt;U3333,U3333,(J3334-MAX(J$470:J3334))/MAX(J$470:J3334))</f>
        <v>-0.83569785939843477</v>
      </c>
      <c r="V3334" s="564">
        <f>IF((K3334-MAX(K$470:K3334))/MAX(K$470:K3334)&gt;V3333,V3333,(K3334-MAX(K$470:K3334))/MAX(K$470:K3334))</f>
        <v>-0.84885940676762139</v>
      </c>
      <c r="W3334" s="564">
        <f>IF((N3334-MAX(N$470:N3334))/MAX(N$470:N3334)&gt;W3333,W3333,(N3334-MAX(N$470:N3334))/MAX(N$470:N3334))</f>
        <v>-0.62788758315546067</v>
      </c>
      <c r="X3334" s="564">
        <f>IF((O3334-MAX(O$470:O3334))/MAX(O$470:O3334)&gt;X3333,X3333,(O3334-MAX(O$470:O3334))/MAX(O$470:O3334))</f>
        <v>-0.62788758315546067</v>
      </c>
    </row>
    <row r="3335" spans="1:24">
      <c r="A3335" s="799">
        <v>43737</v>
      </c>
      <c r="B3335">
        <v>7967.2507800000003</v>
      </c>
      <c r="C3335">
        <v>5710.8523919999998</v>
      </c>
      <c r="D3335">
        <v>1.421206</v>
      </c>
      <c r="E3335">
        <f>LN(D3335/参数实验室!$E$53)/参数实验室!$E$55</f>
        <v>-0.27827817791194781</v>
      </c>
      <c r="F3335">
        <f t="shared" si="468"/>
        <v>0.716790841620778</v>
      </c>
      <c r="G3335">
        <f>LN(F3335/参数实验室!$E$58)/参数实验室!$E$59</f>
        <v>-0.36529130213786487</v>
      </c>
      <c r="H3335" s="856">
        <f>INDEX(神经网络!$G$10:$BO$70,MATCH(ROUND(G3335*2,1)/2,神经网络!$E$10:$E$70,0),MATCH(ROUND(E3335*2,1)/2,神经网络!$G$8:$BO$8,0))</f>
        <v>-0.62084997534914133</v>
      </c>
      <c r="I3335">
        <f t="shared" si="460"/>
        <v>586254.9637465619</v>
      </c>
      <c r="J3335">
        <f t="shared" si="461"/>
        <v>3179.143202585688</v>
      </c>
      <c r="K3335">
        <f t="shared" si="462"/>
        <v>184.40659208737247</v>
      </c>
      <c r="L3335" s="4">
        <f>MIN(MAX(L3334*(1+MAX(MIN(((B3335-B3334)/B3334)/($K$7*卓尔金历!$N$40),0),-卓尔金历!$M$43))+MIN(MAX(((B3335-B3334)/B3334)/($K$7*卓尔金历!$N$40),0),卓尔金历!$M$43),0),1)</f>
        <v>0.16140323056000108</v>
      </c>
      <c r="M3335" s="4">
        <f>MIN(MAX(M3334*(1+MAX(MIN(((B3335-B3334)/B3334)/($K$7*30),0),-卓尔金历!$M$43))+MIN(MAX(((B3335-B3334)/B3334)/($K$7*7),0),卓尔金历!$M$43),0),1)</f>
        <v>0.41777211414044541</v>
      </c>
      <c r="N3335">
        <f t="shared" si="463"/>
        <v>202041.66843308345</v>
      </c>
      <c r="O3335">
        <f t="shared" si="464"/>
        <v>573806.78496292036</v>
      </c>
      <c r="P3335">
        <f t="shared" si="465"/>
        <v>-1.2921513922271236E-2</v>
      </c>
      <c r="Q3335">
        <f t="shared" si="466"/>
        <v>3.0056393171257665E-2</v>
      </c>
      <c r="R3335">
        <f t="shared" si="467"/>
        <v>0.89966330508934</v>
      </c>
      <c r="S3335">
        <f t="shared" si="459"/>
        <v>1127.3558468095075</v>
      </c>
      <c r="T3335" s="564">
        <f>IF((I3335-MAX(I$470:I3335))/MAX(I$470:I3335)&gt;T3334,T3334,(I3335-MAX(I$470:I3335))/MAX(I$470:I3335))</f>
        <v>-0.91338805338419748</v>
      </c>
      <c r="U3335" s="564">
        <f>IF((J3335-MAX(J$470:J3335))/MAX(J$470:J3335)&gt;U3334,U3334,(J3335-MAX(J$470:J3335))/MAX(J$470:J3335))</f>
        <v>-0.83569785939843477</v>
      </c>
      <c r="V3335" s="564">
        <f>IF((K3335-MAX(K$470:K3335))/MAX(K$470:K3335)&gt;V3334,V3334,(K3335-MAX(K$470:K3335))/MAX(K$470:K3335))</f>
        <v>-0.84885940676762139</v>
      </c>
      <c r="W3335" s="564">
        <f>IF((N3335-MAX(N$470:N3335))/MAX(N$470:N3335)&gt;W3334,W3334,(N3335-MAX(N$470:N3335))/MAX(N$470:N3335))</f>
        <v>-0.62788758315546067</v>
      </c>
      <c r="X3335" s="564">
        <f>IF((O3335-MAX(O$470:O3335))/MAX(O$470:O3335)&gt;X3334,X3334,(O3335-MAX(O$470:O3335))/MAX(O$470:O3335))</f>
        <v>-0.62788758315546067</v>
      </c>
    </row>
    <row r="3336" spans="1:24">
      <c r="A3336" s="799">
        <v>43738</v>
      </c>
      <c r="B3336">
        <v>8252.5369929999997</v>
      </c>
      <c r="C3336">
        <v>5881.041905</v>
      </c>
      <c r="D3336">
        <v>1.459948</v>
      </c>
      <c r="E3336">
        <f>LN(D3336/参数实验室!$E$53)/参数实验室!$E$55</f>
        <v>-0.24654870060349804</v>
      </c>
      <c r="F3336">
        <f t="shared" si="468"/>
        <v>0.71263441896576063</v>
      </c>
      <c r="G3336">
        <f>LN(F3336/参数实验室!$E$58)/参数实验室!$E$59</f>
        <v>-0.36834360776545105</v>
      </c>
      <c r="H3336" s="856">
        <f>INDEX(神经网络!$G$10:$BO$70,MATCH(ROUND(G3336*2,1)/2,神经网络!$E$10:$E$70,0),MATCH(ROUND(E3336*2,1)/2,神经网络!$G$8:$BO$8,0))</f>
        <v>-0.5864484419700331</v>
      </c>
      <c r="I3336">
        <f t="shared" si="460"/>
        <v>573221.93066161079</v>
      </c>
      <c r="J3336">
        <f t="shared" si="461"/>
        <v>3292.9799261801172</v>
      </c>
      <c r="K3336">
        <f t="shared" si="462"/>
        <v>174.0739219526773</v>
      </c>
      <c r="L3336" s="4">
        <f>MIN(MAX(L3335*(1+MAX(MIN(((B3336-B3335)/B3335)/($K$7*卓尔金历!$N$40),0),-卓尔金历!$M$43))+MIN(MAX(((B3336-B3335)/B3335)/($K$7*卓尔金历!$N$40),0),卓尔金历!$M$43),0),1)</f>
        <v>0.70850532214766349</v>
      </c>
      <c r="M3336" s="4">
        <f>MIN(MAX(M3335*(1+MAX(MIN(((B3336-B3335)/B3335)/($K$7*30),0),-卓尔金历!$M$43))+MIN(MAX(((B3336-B3335)/B3335)/($K$7*7),0),卓尔金历!$M$43),0),1)</f>
        <v>1</v>
      </c>
      <c r="N3336">
        <f t="shared" si="463"/>
        <v>201316.71162253359</v>
      </c>
      <c r="O3336">
        <f t="shared" si="464"/>
        <v>568477.55952760472</v>
      </c>
      <c r="P3336">
        <f t="shared" si="465"/>
        <v>3.5807359511783737E-2</v>
      </c>
      <c r="Q3336">
        <f t="shared" si="466"/>
        <v>3.1711598172473862E-2</v>
      </c>
      <c r="R3336">
        <f t="shared" si="467"/>
        <v>2.6405414289176466E-2</v>
      </c>
      <c r="S3336">
        <f t="shared" si="459"/>
        <v>1104.8082638478463</v>
      </c>
      <c r="T3336" s="564">
        <f>IF((I3336-MAX(I$470:I3336))/MAX(I$470:I3336)&gt;T3335,T3335,(I3336-MAX(I$470:I3336))/MAX(I$470:I3336))</f>
        <v>-0.91338805338419748</v>
      </c>
      <c r="U3336" s="564">
        <f>IF((J3336-MAX(J$470:J3336))/MAX(J$470:J3336)&gt;U3335,U3335,(J3336-MAX(J$470:J3336))/MAX(J$470:J3336))</f>
        <v>-0.83569785939843477</v>
      </c>
      <c r="V3336" s="564">
        <f>IF((K3336-MAX(K$470:K3336))/MAX(K$470:K3336)&gt;V3335,V3335,(K3336-MAX(K$470:K3336))/MAX(K$470:K3336))</f>
        <v>-0.84885940676762139</v>
      </c>
      <c r="W3336" s="564">
        <f>IF((N3336-MAX(N$470:N3336))/MAX(N$470:N3336)&gt;W3335,W3335,(N3336-MAX(N$470:N3336))/MAX(N$470:N3336))</f>
        <v>-0.62788758315546067</v>
      </c>
      <c r="X3336" s="564">
        <f>IF((O3336-MAX(O$470:O3336))/MAX(O$470:O3336)&gt;X3335,X3335,(O3336-MAX(O$470:O3336))/MAX(O$470:O3336))</f>
        <v>-0.62788758315546067</v>
      </c>
    </row>
    <row r="3337" spans="1:24">
      <c r="A3337" s="799">
        <v>43739</v>
      </c>
      <c r="B3337">
        <v>8305.22235</v>
      </c>
      <c r="C3337">
        <v>5909.6486789999999</v>
      </c>
      <c r="D3337">
        <v>1.4668779999999999</v>
      </c>
      <c r="E3337">
        <f>LN(D3337/参数实验室!$E$53)/参数实验室!$E$55</f>
        <v>-0.24096196243791773</v>
      </c>
      <c r="F3337">
        <f t="shared" si="468"/>
        <v>0.7115581534069344</v>
      </c>
      <c r="G3337">
        <f>LN(F3337/参数实验室!$E$58)/参数实验室!$E$59</f>
        <v>-0.36913687469924844</v>
      </c>
      <c r="H3337" s="856">
        <f>INDEX(神经网络!$G$10:$BO$70,MATCH(ROUND(G3337*2,1)/2,神经网络!$E$10:$E$70,0),MATCH(ROUND(E3337*2,1)/2,神经网络!$G$8:$BO$8,0))</f>
        <v>-0.5864484419700331</v>
      </c>
      <c r="I3337">
        <f t="shared" si="460"/>
        <v>571075.80532484478</v>
      </c>
      <c r="J3337">
        <f t="shared" si="461"/>
        <v>3314.0027732333074</v>
      </c>
      <c r="K3337">
        <f t="shared" si="462"/>
        <v>172.32206621471067</v>
      </c>
      <c r="L3337" s="4">
        <f>MIN(MAX(L3336*(1+MAX(MIN(((B3337-B3336)/B3336)/($K$7*卓尔金历!$N$40),0),-卓尔金历!$M$43))+MIN(MAX(((B3337-B3336)/B3336)/($K$7*卓尔金历!$N$40),0),卓尔金历!$M$43),0),1)</f>
        <v>0.8060488650954698</v>
      </c>
      <c r="M3337" s="4">
        <f>MIN(MAX(M3336*(1+MAX(MIN(((B3337-B3336)/B3336)/($K$7*30),0),-卓尔金历!$M$43))+MIN(MAX(((B3337-B3336)/B3336)/($K$7*7),0),卓尔金历!$M$43),0),1)</f>
        <v>1</v>
      </c>
      <c r="N3337">
        <f t="shared" si="463"/>
        <v>200782.69444254431</v>
      </c>
      <c r="O3337">
        <f t="shared" si="464"/>
        <v>566349.19697092974</v>
      </c>
      <c r="P3337">
        <f t="shared" si="465"/>
        <v>6.3841406642211095E-3</v>
      </c>
      <c r="Q3337">
        <f t="shared" si="466"/>
        <v>3.1889649690163835E-2</v>
      </c>
      <c r="R3337">
        <f t="shared" si="467"/>
        <v>1</v>
      </c>
      <c r="S3337">
        <f t="shared" si="459"/>
        <v>1104.6990413299482</v>
      </c>
      <c r="T3337" s="564">
        <f>IF((I3337-MAX(I$470:I3337))/MAX(I$470:I3337)&gt;T3336,T3336,(I3337-MAX(I$470:I3337))/MAX(I$470:I3337))</f>
        <v>-0.91338805338419748</v>
      </c>
      <c r="U3337" s="564">
        <f>IF((J3337-MAX(J$470:J3337))/MAX(J$470:J3337)&gt;U3336,U3336,(J3337-MAX(J$470:J3337))/MAX(J$470:J3337))</f>
        <v>-0.83569785939843477</v>
      </c>
      <c r="V3337" s="564">
        <f>IF((K3337-MAX(K$470:K3337))/MAX(K$470:K3337)&gt;V3336,V3336,(K3337-MAX(K$470:K3337))/MAX(K$470:K3337))</f>
        <v>-0.84885940676762139</v>
      </c>
      <c r="W3337" s="564">
        <f>IF((N3337-MAX(N$470:N3337))/MAX(N$470:N3337)&gt;W3336,W3336,(N3337-MAX(N$470:N3337))/MAX(N$470:N3337))</f>
        <v>-0.62788758315546067</v>
      </c>
      <c r="X3337" s="564">
        <f>IF((O3337-MAX(O$470:O3337))/MAX(O$470:O3337)&gt;X3336,X3336,(O3337-MAX(O$470:O3337))/MAX(O$470:O3337))</f>
        <v>-0.62788758315546067</v>
      </c>
    </row>
    <row r="3338" spans="1:24">
      <c r="A3338" s="799">
        <v>43740</v>
      </c>
      <c r="B3338">
        <v>8219.922681</v>
      </c>
      <c r="C3338">
        <v>5934.6586150000003</v>
      </c>
      <c r="D3338">
        <v>1.475603</v>
      </c>
      <c r="E3338">
        <f>LN(D3338/参数实验室!$E$53)/参数实验室!$E$55</f>
        <v>-0.23396556910773988</v>
      </c>
      <c r="F3338">
        <f t="shared" si="468"/>
        <v>0.72198472483417753</v>
      </c>
      <c r="G3338">
        <f>LN(F3338/参数实验室!$E$58)/参数实验室!$E$59</f>
        <v>-0.36150190995047421</v>
      </c>
      <c r="H3338" s="856">
        <f>INDEX(神经网络!$G$10:$BO$70,MATCH(ROUND(G3338*2,1)/2,神经网络!$E$10:$E$70,0),MATCH(ROUND(E3338*2,1)/2,神经网络!$G$8:$BO$8,0))</f>
        <v>-0.5864484419700331</v>
      </c>
      <c r="I3338">
        <f t="shared" si="460"/>
        <v>574515.49830122699</v>
      </c>
      <c r="J3338">
        <f t="shared" si="461"/>
        <v>3279.9659554686532</v>
      </c>
      <c r="K3338">
        <f t="shared" si="462"/>
        <v>175.15898216667259</v>
      </c>
      <c r="L3338" s="4">
        <f>MIN(MAX(L3337*(1+MAX(MIN(((B3338-B3337)/B3337)/($K$7*卓尔金历!$N$40),0),-卓尔金历!$M$43))+MIN(MAX(((B3338-B3337)/B3337)/($K$7*卓尔金历!$N$40),0),卓尔金历!$M$43),0),1)</f>
        <v>0.67955964023617832</v>
      </c>
      <c r="M3338" s="4">
        <f>MIN(MAX(M3337*(1+MAX(MIN(((B3338-B3337)/B3337)/($K$7*30),0),-卓尔金历!$M$43))+MIN(MAX(((B3338-B3337)/B3337)/($K$7*7),0),卓尔金历!$M$43),0),1)</f>
        <v>0.92153749584132849</v>
      </c>
      <c r="N3338">
        <f t="shared" si="463"/>
        <v>201757.4900591264</v>
      </c>
      <c r="O3338">
        <f t="shared" si="464"/>
        <v>569760.42072938068</v>
      </c>
      <c r="P3338">
        <f t="shared" si="465"/>
        <v>-1.0270606301106435E-2</v>
      </c>
      <c r="Q3338">
        <f t="shared" si="466"/>
        <v>3.1809369456077832E-2</v>
      </c>
      <c r="R3338">
        <f t="shared" si="467"/>
        <v>1</v>
      </c>
      <c r="S3338">
        <f t="shared" si="459"/>
        <v>1111.3528436764113</v>
      </c>
      <c r="T3338" s="564">
        <f>IF((I3338-MAX(I$470:I3338))/MAX(I$470:I3338)&gt;T3337,T3337,(I3338-MAX(I$470:I3338))/MAX(I$470:I3338))</f>
        <v>-0.91338805338419748</v>
      </c>
      <c r="U3338" s="564">
        <f>IF((J3338-MAX(J$470:J3338))/MAX(J$470:J3338)&gt;U3337,U3337,(J3338-MAX(J$470:J3338))/MAX(J$470:J3338))</f>
        <v>-0.83569785939843477</v>
      </c>
      <c r="V3338" s="564">
        <f>IF((K3338-MAX(K$470:K3338))/MAX(K$470:K3338)&gt;V3337,V3337,(K3338-MAX(K$470:K3338))/MAX(K$470:K3338))</f>
        <v>-0.84885940676762139</v>
      </c>
      <c r="W3338" s="564">
        <f>IF((N3338-MAX(N$470:N3338))/MAX(N$470:N3338)&gt;W3337,W3337,(N3338-MAX(N$470:N3338))/MAX(N$470:N3338))</f>
        <v>-0.62788758315546067</v>
      </c>
      <c r="X3338" s="564">
        <f>IF((O3338-MAX(O$470:O3338))/MAX(O$470:O3338)&gt;X3337,X3337,(O3338-MAX(O$470:O3338))/MAX(O$470:O3338))</f>
        <v>-0.62788758315546067</v>
      </c>
    </row>
    <row r="3339" spans="1:24">
      <c r="A3339" s="799">
        <v>43741</v>
      </c>
      <c r="B3339">
        <v>8128.2727180000002</v>
      </c>
      <c r="C3339">
        <v>6034.2479279999998</v>
      </c>
      <c r="D3339">
        <v>1.457214</v>
      </c>
      <c r="E3339">
        <f>LN(D3339/参数实验室!$E$53)/参数实验室!$E$55</f>
        <v>-0.24876005966644707</v>
      </c>
      <c r="F3339">
        <f t="shared" si="468"/>
        <v>0.74237764127146011</v>
      </c>
      <c r="G3339">
        <f>LN(F3339/参数实验室!$E$58)/参数实验室!$E$59</f>
        <v>-0.34688258225632762</v>
      </c>
      <c r="H3339" s="856">
        <f>INDEX(神经网络!$G$10:$BO$70,MATCH(ROUND(G3339*2,1)/2,神经网络!$E$10:$E$70,0),MATCH(ROUND(E3339*2,1)/2,神经网络!$G$8:$BO$8,0))</f>
        <v>-0.5864484419700331</v>
      </c>
      <c r="I3339">
        <f t="shared" si="460"/>
        <v>578272.10862060427</v>
      </c>
      <c r="J3339">
        <f t="shared" si="461"/>
        <v>3243.3952029049087</v>
      </c>
      <c r="K3339">
        <f t="shared" si="462"/>
        <v>178.2922130805033</v>
      </c>
      <c r="L3339" s="4">
        <f>MIN(MAX(L3338*(1+MAX(MIN(((B3339-B3338)/B3338)/($K$7*卓尔金历!$N$40),0),-卓尔金历!$M$43))+MIN(MAX(((B3339-B3338)/B3338)/($K$7*卓尔金历!$N$40),0),卓尔金历!$M$43),0),1)</f>
        <v>0.56379172362177121</v>
      </c>
      <c r="M3339" s="4">
        <f>MIN(MAX(M3338*(1+MAX(MIN(((B3339-B3338)/B3338)/($K$7*30),0),-卓尔金历!$M$43))+MIN(MAX(((B3339-B3338)/B3338)/($K$7*7),0),卓尔金历!$M$43),0),1)</f>
        <v>0.84304219560650973</v>
      </c>
      <c r="N3339">
        <f t="shared" si="463"/>
        <v>202653.99284313287</v>
      </c>
      <c r="O3339">
        <f t="shared" si="464"/>
        <v>573193.6253314123</v>
      </c>
      <c r="P3339">
        <f t="shared" si="465"/>
        <v>-1.114973541196985E-2</v>
      </c>
      <c r="Q3339">
        <f t="shared" si="466"/>
        <v>3.0519546836417989E-2</v>
      </c>
      <c r="R3339">
        <f t="shared" si="467"/>
        <v>1</v>
      </c>
      <c r="S3339">
        <f t="shared" si="459"/>
        <v>1118.6196964825911</v>
      </c>
      <c r="T3339" s="564">
        <f>IF((I3339-MAX(I$470:I3339))/MAX(I$470:I3339)&gt;T3338,T3338,(I3339-MAX(I$470:I3339))/MAX(I$470:I3339))</f>
        <v>-0.91338805338419748</v>
      </c>
      <c r="U3339" s="564">
        <f>IF((J3339-MAX(J$470:J3339))/MAX(J$470:J3339)&gt;U3338,U3338,(J3339-MAX(J$470:J3339))/MAX(J$470:J3339))</f>
        <v>-0.83569785939843477</v>
      </c>
      <c r="V3339" s="564">
        <f>IF((K3339-MAX(K$470:K3339))/MAX(K$470:K3339)&gt;V3338,V3338,(K3339-MAX(K$470:K3339))/MAX(K$470:K3339))</f>
        <v>-0.84885940676762139</v>
      </c>
      <c r="W3339" s="564">
        <f>IF((N3339-MAX(N$470:N3339))/MAX(N$470:N3339)&gt;W3338,W3338,(N3339-MAX(N$470:N3339))/MAX(N$470:N3339))</f>
        <v>-0.62788758315546067</v>
      </c>
      <c r="X3339" s="564">
        <f>IF((O3339-MAX(O$470:O3339))/MAX(O$470:O3339)&gt;X3338,X3338,(O3339-MAX(O$470:O3339))/MAX(O$470:O3339))</f>
        <v>-0.62788758315546067</v>
      </c>
    </row>
    <row r="3340" spans="1:24">
      <c r="A3340" s="799">
        <v>43742</v>
      </c>
      <c r="B3340">
        <v>8134.5929930000002</v>
      </c>
      <c r="C3340">
        <v>6012.475496</v>
      </c>
      <c r="D3340">
        <v>1.442091</v>
      </c>
      <c r="E3340">
        <f>LN(D3340/参数实验室!$E$53)/参数实验室!$E$55</f>
        <v>-0.26106754033352891</v>
      </c>
      <c r="F3340">
        <f t="shared" si="468"/>
        <v>0.73912431773462672</v>
      </c>
      <c r="G3340">
        <f>LN(F3340/参数实验室!$E$58)/参数实验室!$E$59</f>
        <v>-0.3491877061153757</v>
      </c>
      <c r="H3340" s="856">
        <f>INDEX(神经网络!$G$10:$BO$70,MATCH(ROUND(G3340*2,1)/2,神经网络!$E$10:$E$70,0),MATCH(ROUND(E3340*2,1)/2,神经网络!$G$8:$BO$8,0))</f>
        <v>-0.5864484419700331</v>
      </c>
      <c r="I3340">
        <f t="shared" si="460"/>
        <v>578008.41489799914</v>
      </c>
      <c r="J3340">
        <f t="shared" si="461"/>
        <v>3245.9171593312285</v>
      </c>
      <c r="K3340">
        <f t="shared" si="462"/>
        <v>178.07244810187606</v>
      </c>
      <c r="L3340" s="4">
        <f>MIN(MAX(L3339*(1+MAX(MIN(((B3340-B3339)/B3339)/($K$7*卓尔金历!$N$40),0),-卓尔金历!$M$43))+MIN(MAX(((B3340-B3339)/B3339)/($K$7*卓尔金历!$N$40),0),卓尔金历!$M$43),0),1)</f>
        <v>0.57567219813783332</v>
      </c>
      <c r="M3340" s="4">
        <f>MIN(MAX(M3339*(1+MAX(MIN(((B3340-B3339)/B3339)/($K$7*30),0),-卓尔金历!$M$43))+MIN(MAX(((B3340-B3339)/B3339)/($K$7*7),0),卓尔金历!$M$43),0),1)</f>
        <v>0.86850035528378555</v>
      </c>
      <c r="N3340">
        <f t="shared" si="463"/>
        <v>202601.8924012612</v>
      </c>
      <c r="O3340">
        <f t="shared" si="464"/>
        <v>572973.27271601011</v>
      </c>
      <c r="P3340">
        <f t="shared" si="465"/>
        <v>7.7756679915572168E-4</v>
      </c>
      <c r="Q3340">
        <f t="shared" si="466"/>
        <v>3.0559825447013508E-2</v>
      </c>
      <c r="R3340">
        <f t="shared" si="467"/>
        <v>1</v>
      </c>
      <c r="S3340">
        <f t="shared" si="459"/>
        <v>1118.1096027264725</v>
      </c>
      <c r="T3340" s="564">
        <f>IF((I3340-MAX(I$470:I3340))/MAX(I$470:I3340)&gt;T3339,T3339,(I3340-MAX(I$470:I3340))/MAX(I$470:I3340))</f>
        <v>-0.91338805338419748</v>
      </c>
      <c r="U3340" s="564">
        <f>IF((J3340-MAX(J$470:J3340))/MAX(J$470:J3340)&gt;U3339,U3339,(J3340-MAX(J$470:J3340))/MAX(J$470:J3340))</f>
        <v>-0.83569785939843477</v>
      </c>
      <c r="V3340" s="564">
        <f>IF((K3340-MAX(K$470:K3340))/MAX(K$470:K3340)&gt;V3339,V3339,(K3340-MAX(K$470:K3340))/MAX(K$470:K3340))</f>
        <v>-0.84885940676762139</v>
      </c>
      <c r="W3340" s="564">
        <f>IF((N3340-MAX(N$470:N3340))/MAX(N$470:N3340)&gt;W3339,W3339,(N3340-MAX(N$470:N3340))/MAX(N$470:N3340))</f>
        <v>-0.62788758315546067</v>
      </c>
      <c r="X3340" s="564">
        <f>IF((O3340-MAX(O$470:O3340))/MAX(O$470:O3340)&gt;X3339,X3339,(O3340-MAX(O$470:O3340))/MAX(O$470:O3340))</f>
        <v>-0.62788758315546067</v>
      </c>
    </row>
    <row r="3341" spans="1:24">
      <c r="A3341" s="799">
        <v>43743</v>
      </c>
      <c r="B3341">
        <v>8039.4171580000002</v>
      </c>
      <c r="C3341">
        <v>6093.798882</v>
      </c>
      <c r="D3341">
        <v>1.4379379999999999</v>
      </c>
      <c r="E3341">
        <f>LN(D3341/参数实验室!$E$53)/参数实验室!$E$55</f>
        <v>-0.26446994955800307</v>
      </c>
      <c r="F3341">
        <f t="shared" si="468"/>
        <v>0.75799013314492314</v>
      </c>
      <c r="G3341">
        <f>LN(F3341/参数实验室!$E$58)/参数实验室!$E$59</f>
        <v>-0.33595916014518529</v>
      </c>
      <c r="H3341" s="856">
        <f>INDEX(神经网络!$G$10:$BO$70,MATCH(ROUND(G3341*2,1)/2,神经网络!$E$10:$E$70,0),MATCH(ROUND(E3341*2,1)/2,神经网络!$G$8:$BO$8,0))</f>
        <v>-0.5864484419700331</v>
      </c>
      <c r="I3341">
        <f t="shared" si="460"/>
        <v>581974.43458176765</v>
      </c>
      <c r="J3341">
        <f t="shared" si="461"/>
        <v>3207.9394908423415</v>
      </c>
      <c r="K3341">
        <f t="shared" si="462"/>
        <v>181.41689899174273</v>
      </c>
      <c r="L3341" s="4">
        <f>MIN(MAX(L3340*(1+MAX(MIN(((B3341-B3340)/B3340)/($K$7*卓尔金历!$N$40),0),-卓尔金历!$M$43))+MIN(MAX(((B3341-B3340)/B3340)/($K$7*卓尔金历!$N$40),0),卓尔金历!$M$43),0),1)</f>
        <v>0.47276110255223452</v>
      </c>
      <c r="M3341" s="4">
        <f>MIN(MAX(M3340*(1+MAX(MIN(((B3341-B3340)/B3340)/($K$7*30),0),-卓尔金历!$M$43))+MIN(MAX(((B3341-B3340)/B3340)/($K$7*7),0),卓尔金历!$M$43),0),1)</f>
        <v>0.790870826388822</v>
      </c>
      <c r="N3341">
        <f t="shared" si="463"/>
        <v>203402.16778378672</v>
      </c>
      <c r="O3341">
        <f t="shared" si="464"/>
        <v>576387.75661159342</v>
      </c>
      <c r="P3341">
        <f t="shared" si="465"/>
        <v>-1.1700134853938107E-2</v>
      </c>
      <c r="Q3341">
        <f t="shared" si="466"/>
        <v>3.0446958766935137E-2</v>
      </c>
      <c r="R3341">
        <f t="shared" si="467"/>
        <v>1</v>
      </c>
      <c r="S3341">
        <f t="shared" si="459"/>
        <v>1125.7815406753452</v>
      </c>
      <c r="T3341" s="564">
        <f>IF((I3341-MAX(I$470:I3341))/MAX(I$470:I3341)&gt;T3340,T3340,(I3341-MAX(I$470:I3341))/MAX(I$470:I3341))</f>
        <v>-0.91338805338419748</v>
      </c>
      <c r="U3341" s="564">
        <f>IF((J3341-MAX(J$470:J3341))/MAX(J$470:J3341)&gt;U3340,U3340,(J3341-MAX(J$470:J3341))/MAX(J$470:J3341))</f>
        <v>-0.83569785939843477</v>
      </c>
      <c r="V3341" s="564">
        <f>IF((K3341-MAX(K$470:K3341))/MAX(K$470:K3341)&gt;V3340,V3340,(K3341-MAX(K$470:K3341))/MAX(K$470:K3341))</f>
        <v>-0.84885940676762139</v>
      </c>
      <c r="W3341" s="564">
        <f>IF((N3341-MAX(N$470:N3341))/MAX(N$470:N3341)&gt;W3340,W3340,(N3341-MAX(N$470:N3341))/MAX(N$470:N3341))</f>
        <v>-0.62788758315546067</v>
      </c>
      <c r="X3341" s="564">
        <f>IF((O3341-MAX(O$470:O3341))/MAX(O$470:O3341)&gt;X3340,X3340,(O3341-MAX(O$470:O3341))/MAX(O$470:O3341))</f>
        <v>-0.62788758315546067</v>
      </c>
    </row>
    <row r="3342" spans="1:24">
      <c r="A3342" s="799">
        <v>43744</v>
      </c>
      <c r="B3342">
        <v>8035.1472229999999</v>
      </c>
      <c r="C3342">
        <v>6213.1964250000001</v>
      </c>
      <c r="D3342">
        <v>1.3878950000000001</v>
      </c>
      <c r="E3342">
        <f>LN(D3342/参数实验室!$E$53)/参数实验室!$E$55</f>
        <v>-0.30625908888800307</v>
      </c>
      <c r="F3342">
        <f t="shared" si="468"/>
        <v>0.77325234405353471</v>
      </c>
      <c r="G3342">
        <f>LN(F3342/参数实验室!$E$58)/参数实验室!$E$59</f>
        <v>-0.32549615575114388</v>
      </c>
      <c r="H3342" s="856">
        <f>INDEX(神经网络!$G$10:$BO$70,MATCH(ROUND(G3342*2,1)/2,神经网络!$E$10:$E$70,0),MATCH(ROUND(E3342*2,1)/2,神经网络!$G$8:$BO$8,0))</f>
        <v>-0.62084997534914133</v>
      </c>
      <c r="I3342">
        <f t="shared" si="460"/>
        <v>582155.70646364812</v>
      </c>
      <c r="J3342">
        <f t="shared" si="461"/>
        <v>3206.2356741550584</v>
      </c>
      <c r="K3342">
        <f t="shared" si="462"/>
        <v>181.5698425278934</v>
      </c>
      <c r="L3342" s="4">
        <f>MIN(MAX(L3341*(1+MAX(MIN(((B3342-B3341)/B3341)/($K$7*卓尔金历!$N$40),0),-卓尔金历!$M$43))+MIN(MAX(((B3342-B3341)/B3341)/($K$7*卓尔金历!$N$40),0),卓尔金历!$M$43),0),1)</f>
        <v>0.46892460862762625</v>
      </c>
      <c r="M3342" s="4">
        <f>MIN(MAX(M3341*(1+MAX(MIN(((B3342-B3341)/B3341)/($K$7*30),0),-卓尔金历!$M$43))+MIN(MAX(((B3342-B3341)/B3341)/($K$7*7),0),卓尔金历!$M$43),0),1)</f>
        <v>0.78766183657958166</v>
      </c>
      <c r="N3342">
        <f t="shared" si="463"/>
        <v>203432.11964745907</v>
      </c>
      <c r="O3342">
        <f t="shared" si="464"/>
        <v>576529.74304138182</v>
      </c>
      <c r="P3342">
        <f t="shared" si="465"/>
        <v>-5.3112494551315324E-4</v>
      </c>
      <c r="Q3342">
        <f t="shared" si="466"/>
        <v>3.0517243016768614E-2</v>
      </c>
      <c r="R3342">
        <f t="shared" si="467"/>
        <v>1</v>
      </c>
      <c r="S3342">
        <f t="shared" si="459"/>
        <v>1126.1321961789863</v>
      </c>
      <c r="T3342" s="564">
        <f>IF((I3342-MAX(I$470:I3342))/MAX(I$470:I3342)&gt;T3341,T3341,(I3342-MAX(I$470:I3342))/MAX(I$470:I3342))</f>
        <v>-0.91338805338419748</v>
      </c>
      <c r="U3342" s="564">
        <f>IF((J3342-MAX(J$470:J3342))/MAX(J$470:J3342)&gt;U3341,U3341,(J3342-MAX(J$470:J3342))/MAX(J$470:J3342))</f>
        <v>-0.83569785939843477</v>
      </c>
      <c r="V3342" s="564">
        <f>IF((K3342-MAX(K$470:K3342))/MAX(K$470:K3342)&gt;V3341,V3341,(K3342-MAX(K$470:K3342))/MAX(K$470:K3342))</f>
        <v>-0.84885940676762139</v>
      </c>
      <c r="W3342" s="564">
        <f>IF((N3342-MAX(N$470:N3342))/MAX(N$470:N3342)&gt;W3341,W3341,(N3342-MAX(N$470:N3342))/MAX(N$470:N3342))</f>
        <v>-0.62788758315546067</v>
      </c>
      <c r="X3342" s="564">
        <f>IF((O3342-MAX(O$470:O3342))/MAX(O$470:O3342)&gt;X3341,X3341,(O3342-MAX(O$470:O3342))/MAX(O$470:O3342))</f>
        <v>-0.62788758315546067</v>
      </c>
    </row>
    <row r="3343" spans="1:24">
      <c r="A3343" s="799">
        <v>43745</v>
      </c>
      <c r="B3343">
        <v>8158.411599</v>
      </c>
      <c r="C3343">
        <v>6285.426923</v>
      </c>
      <c r="D3343">
        <v>1.4535020000000001</v>
      </c>
      <c r="E3343">
        <f>LN(D3343/参数实验室!$E$53)/参数实验室!$E$55</f>
        <v>-0.25176911064613777</v>
      </c>
      <c r="F3343">
        <f t="shared" si="468"/>
        <v>0.77042287542472399</v>
      </c>
      <c r="G3343">
        <f>LN(F3343/参数实验室!$E$58)/参数实验室!$E$59</f>
        <v>-0.32742021295433688</v>
      </c>
      <c r="H3343" s="856">
        <f>INDEX(神经网络!$G$10:$BO$70,MATCH(ROUND(G3343*2,1)/2,神经网络!$E$10:$E$70,0),MATCH(ROUND(E3343*2,1)/2,神经网络!$G$8:$BO$8,0))</f>
        <v>-0.5864484419700331</v>
      </c>
      <c r="I3343">
        <f t="shared" si="460"/>
        <v>576611.11476810952</v>
      </c>
      <c r="J3343">
        <f t="shared" si="461"/>
        <v>3255.4214113562875</v>
      </c>
      <c r="K3343">
        <f t="shared" si="462"/>
        <v>177.12334039354965</v>
      </c>
      <c r="L3343" s="4">
        <f>MIN(MAX(L3342*(1+MAX(MIN(((B3343-B3342)/B3342)/($K$7*卓尔金历!$N$40),0),-卓尔金历!$M$43))+MIN(MAX(((B3343-B3342)/B3342)/($K$7*卓尔金历!$N$40),0),卓尔金历!$M$43),0),1)</f>
        <v>0.70331500933070845</v>
      </c>
      <c r="M3343" s="4">
        <f>MIN(MAX(M3342*(1+MAX(MIN(((B3343-B3342)/B3342)/($K$7*30),0),-卓尔金历!$M$43))+MIN(MAX(((B3343-B3342)/B3342)/($K$7*7),0),卓尔金历!$M$43),0),1)</f>
        <v>1</v>
      </c>
      <c r="N3343">
        <f t="shared" si="463"/>
        <v>202523.56101288612</v>
      </c>
      <c r="O3343">
        <f t="shared" si="464"/>
        <v>572204.68507579109</v>
      </c>
      <c r="P3343">
        <f t="shared" si="465"/>
        <v>1.5340649347054295E-2</v>
      </c>
      <c r="Q3343">
        <f t="shared" si="466"/>
        <v>3.1017790040883713E-2</v>
      </c>
      <c r="R3343">
        <f t="shared" si="467"/>
        <v>0.75605784085331185</v>
      </c>
      <c r="S3343">
        <f t="shared" si="459"/>
        <v>1115.4066408787694</v>
      </c>
      <c r="T3343" s="564">
        <f>IF((I3343-MAX(I$470:I3343))/MAX(I$470:I3343)&gt;T3342,T3342,(I3343-MAX(I$470:I3343))/MAX(I$470:I3343))</f>
        <v>-0.91338805338419748</v>
      </c>
      <c r="U3343" s="564">
        <f>IF((J3343-MAX(J$470:J3343))/MAX(J$470:J3343)&gt;U3342,U3342,(J3343-MAX(J$470:J3343))/MAX(J$470:J3343))</f>
        <v>-0.83569785939843477</v>
      </c>
      <c r="V3343" s="564">
        <f>IF((K3343-MAX(K$470:K3343))/MAX(K$470:K3343)&gt;V3342,V3342,(K3343-MAX(K$470:K3343))/MAX(K$470:K3343))</f>
        <v>-0.84885940676762139</v>
      </c>
      <c r="W3343" s="564">
        <f>IF((N3343-MAX(N$470:N3343))/MAX(N$470:N3343)&gt;W3342,W3342,(N3343-MAX(N$470:N3343))/MAX(N$470:N3343))</f>
        <v>-0.62788758315546067</v>
      </c>
      <c r="X3343" s="564">
        <f>IF((O3343-MAX(O$470:O3343))/MAX(O$470:O3343)&gt;X3342,X3342,(O3343-MAX(O$470:O3343))/MAX(O$470:O3343))</f>
        <v>-0.62788758315546067</v>
      </c>
    </row>
    <row r="3344" spans="1:24">
      <c r="A3344" s="799">
        <v>43746</v>
      </c>
      <c r="B3344">
        <v>8202.7666289999997</v>
      </c>
      <c r="C3344">
        <v>5954.8570289999998</v>
      </c>
      <c r="D3344">
        <v>1.447114</v>
      </c>
      <c r="E3344">
        <f>LN(D3344/参数实验室!$E$53)/参数实验室!$E$55</f>
        <v>-0.25696543853398623</v>
      </c>
      <c r="F3344">
        <f t="shared" si="468"/>
        <v>0.7259571432822729</v>
      </c>
      <c r="G3344">
        <f>LN(F3344/参数实验室!$E$58)/参数实验室!$E$59</f>
        <v>-0.3586220358889915</v>
      </c>
      <c r="H3344" s="856">
        <f>INDEX(神经网络!$G$10:$BO$70,MATCH(ROUND(G3344*2,1)/2,神经网络!$E$10:$E$70,0),MATCH(ROUND(E3344*2,1)/2,神经网络!$G$8:$BO$8,0))</f>
        <v>-0.5864484419700331</v>
      </c>
      <c r="I3344">
        <f t="shared" si="460"/>
        <v>574772.67201217229</v>
      </c>
      <c r="J3344">
        <f t="shared" si="461"/>
        <v>3273.120238218743</v>
      </c>
      <c r="K3344">
        <f t="shared" si="462"/>
        <v>175.6038978650439</v>
      </c>
      <c r="L3344" s="4">
        <f>MIN(MAX(L3343*(1+MAX(MIN(((B3344-B3343)/B3343)/($K$7*卓尔金历!$N$40),0),-卓尔金历!$M$43))+MIN(MAX(((B3344-B3343)/B3343)/($K$7*卓尔金历!$N$40),0),卓尔金历!$M$43),0),1)</f>
        <v>0.78638293080514365</v>
      </c>
      <c r="M3344" s="4">
        <f>MIN(MAX(M3343*(1+MAX(MIN(((B3344-B3343)/B3343)/($K$7*30),0),-卓尔金历!$M$43))+MIN(MAX(((B3344-B3343)/B3343)/($K$7*7),0),卓尔金历!$M$43),0),1)</f>
        <v>1</v>
      </c>
      <c r="N3344">
        <f t="shared" si="463"/>
        <v>202069.41809826755</v>
      </c>
      <c r="O3344">
        <f t="shared" si="464"/>
        <v>570380.29159594292</v>
      </c>
      <c r="P3344">
        <f t="shared" si="465"/>
        <v>5.4367237374290407E-3</v>
      </c>
      <c r="Q3344">
        <f t="shared" si="466"/>
        <v>3.1088424531549606E-2</v>
      </c>
      <c r="R3344">
        <f t="shared" si="467"/>
        <v>1</v>
      </c>
      <c r="S3344">
        <f t="shared" si="459"/>
        <v>1112.7178603799448</v>
      </c>
      <c r="T3344" s="564">
        <f>IF((I3344-MAX(I$470:I3344))/MAX(I$470:I3344)&gt;T3343,T3343,(I3344-MAX(I$470:I3344))/MAX(I$470:I3344))</f>
        <v>-0.91338805338419748</v>
      </c>
      <c r="U3344" s="564">
        <f>IF((J3344-MAX(J$470:J3344))/MAX(J$470:J3344)&gt;U3343,U3343,(J3344-MAX(J$470:J3344))/MAX(J$470:J3344))</f>
        <v>-0.83569785939843477</v>
      </c>
      <c r="V3344" s="564">
        <f>IF((K3344-MAX(K$470:K3344))/MAX(K$470:K3344)&gt;V3343,V3343,(K3344-MAX(K$470:K3344))/MAX(K$470:K3344))</f>
        <v>-0.84885940676762139</v>
      </c>
      <c r="W3344" s="564">
        <f>IF((N3344-MAX(N$470:N3344))/MAX(N$470:N3344)&gt;W3343,W3343,(N3344-MAX(N$470:N3344))/MAX(N$470:N3344))</f>
        <v>-0.62788758315546067</v>
      </c>
      <c r="X3344" s="564">
        <f>IF((O3344-MAX(O$470:O3344))/MAX(O$470:O3344)&gt;X3343,X3343,(O3344-MAX(O$470:O3344))/MAX(O$470:O3344))</f>
        <v>-0.62788758315546067</v>
      </c>
    </row>
    <row r="3345" spans="1:24">
      <c r="A3345" s="799">
        <v>43747</v>
      </c>
      <c r="B3345">
        <v>8589.4303720000007</v>
      </c>
      <c r="C3345">
        <v>5987.8450210000001</v>
      </c>
      <c r="D3345">
        <v>1.518775</v>
      </c>
      <c r="E3345">
        <f>LN(D3345/参数实验室!$E$53)/参数实验室!$E$55</f>
        <v>-0.19994458940334336</v>
      </c>
      <c r="F3345">
        <f t="shared" si="468"/>
        <v>0.6971178252424397</v>
      </c>
      <c r="G3345">
        <f>LN(F3345/参数实验室!$E$58)/参数实验室!$E$59</f>
        <v>-0.37989780230614467</v>
      </c>
      <c r="H3345" s="856">
        <f>INDEX(神经网络!$G$10:$BO$70,MATCH(ROUND(G3345*2,1)/2,神经网络!$E$10:$E$70,0),MATCH(ROUND(E3345*2,1)/2,神经网络!$G$8:$BO$8,0))</f>
        <v>-0.62285645839876758</v>
      </c>
      <c r="I3345">
        <f t="shared" si="460"/>
        <v>558883.58136465307</v>
      </c>
      <c r="J3345">
        <f t="shared" si="461"/>
        <v>3427.4092701807558</v>
      </c>
      <c r="K3345">
        <f t="shared" si="462"/>
        <v>163.06298352725716</v>
      </c>
      <c r="L3345" s="4">
        <f>MIN(MAX(L3344*(1+MAX(MIN(((B3345-B3344)/B3344)/($K$7*卓尔金历!$N$40),0),-卓尔金历!$M$43))+MIN(MAX(((B3345-B3344)/B3344)/($K$7*卓尔金历!$N$40),0),卓尔金历!$M$43),0),1)</f>
        <v>1</v>
      </c>
      <c r="M3345" s="4">
        <f>MIN(MAX(M3344*(1+MAX(MIN(((B3345-B3344)/B3344)/($K$7*30),0),-卓尔金历!$M$43))+MIN(MAX(((B3345-B3344)/B3344)/($K$7*7),0),卓尔金历!$M$43),0),1)</f>
        <v>1</v>
      </c>
      <c r="N3345">
        <f t="shared" si="463"/>
        <v>197676.65683907998</v>
      </c>
      <c r="O3345">
        <f t="shared" si="464"/>
        <v>554612.62448504998</v>
      </c>
      <c r="P3345">
        <f t="shared" si="465"/>
        <v>4.713821086083235E-2</v>
      </c>
      <c r="Q3345">
        <f t="shared" si="466"/>
        <v>3.3342584064099158E-2</v>
      </c>
      <c r="R3345">
        <f t="shared" si="467"/>
        <v>2.03241022330258E-2</v>
      </c>
      <c r="S3345">
        <f t="shared" si="459"/>
        <v>1081.9577428420043</v>
      </c>
      <c r="T3345" s="564">
        <f>IF((I3345-MAX(I$470:I3345))/MAX(I$470:I3345)&gt;T3344,T3344,(I3345-MAX(I$470:I3345))/MAX(I$470:I3345))</f>
        <v>-0.91338805338419748</v>
      </c>
      <c r="U3345" s="564">
        <f>IF((J3345-MAX(J$470:J3345))/MAX(J$470:J3345)&gt;U3344,U3344,(J3345-MAX(J$470:J3345))/MAX(J$470:J3345))</f>
        <v>-0.83569785939843477</v>
      </c>
      <c r="V3345" s="564">
        <f>IF((K3345-MAX(K$470:K3345))/MAX(K$470:K3345)&gt;V3344,V3344,(K3345-MAX(K$470:K3345))/MAX(K$470:K3345))</f>
        <v>-0.84885940676762139</v>
      </c>
      <c r="W3345" s="564">
        <f>IF((N3345-MAX(N$470:N3345))/MAX(N$470:N3345)&gt;W3344,W3344,(N3345-MAX(N$470:N3345))/MAX(N$470:N3345))</f>
        <v>-0.62788758315546067</v>
      </c>
      <c r="X3345" s="564">
        <f>IF((O3345-MAX(O$470:O3345))/MAX(O$470:O3345)&gt;X3344,X3344,(O3345-MAX(O$470:O3345))/MAX(O$470:O3345))</f>
        <v>-0.62788758315546067</v>
      </c>
    </row>
    <row r="3346" spans="1:24">
      <c r="A3346" s="799">
        <v>43748</v>
      </c>
      <c r="B3346">
        <v>8495.7479390000008</v>
      </c>
      <c r="C3346">
        <v>6068.905624</v>
      </c>
      <c r="D3346">
        <v>1.515239</v>
      </c>
      <c r="E3346">
        <f>LN(D3346/参数实验室!$E$53)/参数实验室!$E$55</f>
        <v>-0.2026944840046368</v>
      </c>
      <c r="F3346">
        <f t="shared" si="468"/>
        <v>0.71434624327076557</v>
      </c>
      <c r="G3346">
        <f>LN(F3346/参数实验室!$E$58)/参数实验室!$E$59</f>
        <v>-0.36708436387758925</v>
      </c>
      <c r="H3346" s="856">
        <f>INDEX(神经网络!$G$10:$BO$70,MATCH(ROUND(G3346*2,1)/2,神经网络!$E$10:$E$70,0),MATCH(ROUND(E3346*2,1)/2,神经网络!$G$8:$BO$8,0))</f>
        <v>-0.55379843649671057</v>
      </c>
      <c r="I3346">
        <f t="shared" si="460"/>
        <v>562680.25372726517</v>
      </c>
      <c r="J3346">
        <f t="shared" si="461"/>
        <v>3390.0275084793075</v>
      </c>
      <c r="K3346">
        <f t="shared" si="462"/>
        <v>165.98102886181925</v>
      </c>
      <c r="L3346" s="4">
        <f>MIN(MAX(L3345*(1+MAX(MIN(((B3346-B3345)/B3345)/($K$7*卓尔金历!$N$40),0),-卓尔金历!$M$43))+MIN(MAX(((B3346-B3345)/B3345)/($K$7*卓尔金历!$N$40),0),卓尔金历!$M$43),0),1)</f>
        <v>0.83335592537075143</v>
      </c>
      <c r="M3346" s="4">
        <f>MIN(MAX(M3345*(1+MAX(MIN(((B3346-B3345)/B3345)/($K$7*30),0),-卓尔金历!$M$43))+MIN(MAX(((B3346-B3345)/B3345)/($K$7*7),0),卓尔金历!$M$43),0),1)</f>
        <v>0.91667796268537571</v>
      </c>
      <c r="N3346">
        <f t="shared" si="463"/>
        <v>199019.53668880096</v>
      </c>
      <c r="O3346">
        <f t="shared" si="464"/>
        <v>558380.28289111122</v>
      </c>
      <c r="P3346">
        <f t="shared" si="465"/>
        <v>-1.0906710799517957E-2</v>
      </c>
      <c r="Q3346">
        <f t="shared" si="466"/>
        <v>3.3002003969725503E-2</v>
      </c>
      <c r="R3346">
        <f t="shared" si="467"/>
        <v>1</v>
      </c>
      <c r="S3346">
        <f t="shared" si="459"/>
        <v>1082.1071266202923</v>
      </c>
      <c r="T3346" s="564">
        <f>IF((I3346-MAX(I$470:I3346))/MAX(I$470:I3346)&gt;T3345,T3345,(I3346-MAX(I$470:I3346))/MAX(I$470:I3346))</f>
        <v>-0.91338805338419748</v>
      </c>
      <c r="U3346" s="564">
        <f>IF((J3346-MAX(J$470:J3346))/MAX(J$470:J3346)&gt;U3345,U3345,(J3346-MAX(J$470:J3346))/MAX(J$470:J3346))</f>
        <v>-0.83569785939843477</v>
      </c>
      <c r="V3346" s="564">
        <f>IF((K3346-MAX(K$470:K3346))/MAX(K$470:K3346)&gt;V3345,V3345,(K3346-MAX(K$470:K3346))/MAX(K$470:K3346))</f>
        <v>-0.84885940676762139</v>
      </c>
      <c r="W3346" s="564">
        <f>IF((N3346-MAX(N$470:N3346))/MAX(N$470:N3346)&gt;W3345,W3345,(N3346-MAX(N$470:N3346))/MAX(N$470:N3346))</f>
        <v>-0.62788758315546067</v>
      </c>
      <c r="X3346" s="564">
        <f>IF((O3346-MAX(O$470:O3346))/MAX(O$470:O3346)&gt;X3345,X3345,(O3346-MAX(O$470:O3346))/MAX(O$470:O3346))</f>
        <v>-0.62788758315546067</v>
      </c>
    </row>
    <row r="3347" spans="1:24">
      <c r="A3347" s="799">
        <v>43749</v>
      </c>
      <c r="B3347">
        <v>8325.6638070000008</v>
      </c>
      <c r="C3347">
        <v>6208.3347199999998</v>
      </c>
      <c r="D3347">
        <v>1.4650270000000001</v>
      </c>
      <c r="E3347">
        <f>LN(D3347/参数实验室!$E$53)/参数实验室!$E$55</f>
        <v>-0.242451590201928</v>
      </c>
      <c r="F3347">
        <f t="shared" si="468"/>
        <v>0.74568645382728449</v>
      </c>
      <c r="G3347">
        <f>LN(F3347/参数实验室!$E$58)/参数实验室!$E$59</f>
        <v>-0.34454848049876252</v>
      </c>
      <c r="H3347" s="856">
        <f>INDEX(神经网络!$G$10:$BO$70,MATCH(ROUND(G3347*2,1)/2,神经网络!$E$10:$E$70,0),MATCH(ROUND(E3347*2,1)/2,神经网络!$G$8:$BO$8,0))</f>
        <v>-0.5864484419700331</v>
      </c>
      <c r="I3347">
        <f t="shared" si="460"/>
        <v>568918.68764551578</v>
      </c>
      <c r="J3347">
        <f t="shared" si="461"/>
        <v>3322.1594537328888</v>
      </c>
      <c r="K3347">
        <f t="shared" si="462"/>
        <v>171.24966322921671</v>
      </c>
      <c r="L3347" s="4">
        <f>MIN(MAX(L3346*(1+MAX(MIN(((B3347-B3346)/B3346)/($K$7*卓尔金历!$N$40),0),-卓尔金历!$M$43))+MIN(MAX(((B3347-B3346)/B3346)/($K$7*卓尔金历!$N$40),0),卓尔金历!$M$43),0),1)</f>
        <v>0.57844480290825329</v>
      </c>
      <c r="M3347" s="4">
        <f>MIN(MAX(M3346*(1+MAX(MIN(((B3347-B3346)/B3346)/($K$7*30),0),-卓尔金历!$M$43))+MIN(MAX(((B3347-B3346)/B3346)/($K$7*7),0),卓尔金历!$M$43),0),1)</f>
        <v>0.77647891850097928</v>
      </c>
      <c r="N3347">
        <f t="shared" si="463"/>
        <v>200858.36060251668</v>
      </c>
      <c r="O3347">
        <f t="shared" si="464"/>
        <v>564055.21629957226</v>
      </c>
      <c r="P3347">
        <f t="shared" si="465"/>
        <v>-2.0019912692939412E-2</v>
      </c>
      <c r="Q3347">
        <f t="shared" si="466"/>
        <v>3.1243425036793868E-2</v>
      </c>
      <c r="R3347">
        <f t="shared" si="467"/>
        <v>0.49277212913414309</v>
      </c>
      <c r="S3347">
        <f t="shared" si="459"/>
        <v>1094.1044443814392</v>
      </c>
      <c r="T3347" s="564">
        <f>IF((I3347-MAX(I$470:I3347))/MAX(I$470:I3347)&gt;T3346,T3346,(I3347-MAX(I$470:I3347))/MAX(I$470:I3347))</f>
        <v>-0.91338805338419748</v>
      </c>
      <c r="U3347" s="564">
        <f>IF((J3347-MAX(J$470:J3347))/MAX(J$470:J3347)&gt;U3346,U3346,(J3347-MAX(J$470:J3347))/MAX(J$470:J3347))</f>
        <v>-0.83569785939843477</v>
      </c>
      <c r="V3347" s="564">
        <f>IF((K3347-MAX(K$470:K3347))/MAX(K$470:K3347)&gt;V3346,V3346,(K3347-MAX(K$470:K3347))/MAX(K$470:K3347))</f>
        <v>-0.84885940676762139</v>
      </c>
      <c r="W3347" s="564">
        <f>IF((N3347-MAX(N$470:N3347))/MAX(N$470:N3347)&gt;W3346,W3346,(N3347-MAX(N$470:N3347))/MAX(N$470:N3347))</f>
        <v>-0.62788758315546067</v>
      </c>
      <c r="X3347" s="564">
        <f>IF((O3347-MAX(O$470:O3347))/MAX(O$470:O3347)&gt;X3346,X3346,(O3347-MAX(O$470:O3347))/MAX(O$470:O3347))</f>
        <v>-0.62788758315546067</v>
      </c>
    </row>
    <row r="3348" spans="1:24">
      <c r="A3348" s="799">
        <v>43750</v>
      </c>
      <c r="B3348">
        <v>8369.8242699999992</v>
      </c>
      <c r="C3348">
        <v>6377.0271549999998</v>
      </c>
      <c r="D3348">
        <v>1.4708589999999999</v>
      </c>
      <c r="E3348">
        <f>LN(D3348/参数实验室!$E$53)/参数实验室!$E$55</f>
        <v>-0.23776453493563107</v>
      </c>
      <c r="F3348">
        <f t="shared" si="468"/>
        <v>0.76190693487522887</v>
      </c>
      <c r="G3348">
        <f>LN(F3348/参数实验室!$E$58)/参数实验室!$E$59</f>
        <v>-0.33325403778113782</v>
      </c>
      <c r="H3348" s="856">
        <f>INDEX(神经网络!$G$10:$BO$70,MATCH(ROUND(G3348*2,1)/2,神经网络!$E$10:$E$70,0),MATCH(ROUND(E3348*2,1)/2,神经网络!$G$8:$BO$8,0))</f>
        <v>-0.5864484419700331</v>
      </c>
      <c r="I3348">
        <f t="shared" si="460"/>
        <v>567149.00747525762</v>
      </c>
      <c r="J3348">
        <f t="shared" si="461"/>
        <v>3339.7806432305138</v>
      </c>
      <c r="K3348">
        <f t="shared" si="462"/>
        <v>169.81624485572917</v>
      </c>
      <c r="L3348" s="4">
        <f>MIN(MAX(L3347*(1+MAX(MIN(((B3348-B3347)/B3347)/($K$7*卓尔金历!$N$40),0),-卓尔金历!$M$43))+MIN(MAX(((B3348-B3347)/B3347)/($K$7*卓尔金历!$N$40),0),卓尔金历!$M$43),0),1)</f>
        <v>0.65948692911643858</v>
      </c>
      <c r="M3348" s="4">
        <f>MIN(MAX(M3347*(1+MAX(MIN(((B3348-B3347)/B3347)/($K$7*30),0),-卓尔金历!$M$43))+MIN(MAX(((B3348-B3347)/B3347)/($K$7*7),0),卓尔金历!$M$43),0),1)</f>
        <v>0.95014061751851919</v>
      </c>
      <c r="N3348">
        <f t="shared" si="463"/>
        <v>200496.95371729671</v>
      </c>
      <c r="O3348">
        <f t="shared" si="464"/>
        <v>562692.84378303424</v>
      </c>
      <c r="P3348">
        <f t="shared" si="465"/>
        <v>5.3041371863789865E-3</v>
      </c>
      <c r="Q3348">
        <f t="shared" si="466"/>
        <v>3.1371580003490884E-2</v>
      </c>
      <c r="R3348">
        <f t="shared" si="467"/>
        <v>1</v>
      </c>
      <c r="S3348">
        <f t="shared" si="459"/>
        <v>1092.4273808943801</v>
      </c>
      <c r="T3348" s="564">
        <f>IF((I3348-MAX(I$470:I3348))/MAX(I$470:I3348)&gt;T3347,T3347,(I3348-MAX(I$470:I3348))/MAX(I$470:I3348))</f>
        <v>-0.91338805338419748</v>
      </c>
      <c r="U3348" s="564">
        <f>IF((J3348-MAX(J$470:J3348))/MAX(J$470:J3348)&gt;U3347,U3347,(J3348-MAX(J$470:J3348))/MAX(J$470:J3348))</f>
        <v>-0.83569785939843477</v>
      </c>
      <c r="V3348" s="564">
        <f>IF((K3348-MAX(K$470:K3348))/MAX(K$470:K3348)&gt;V3347,V3347,(K3348-MAX(K$470:K3348))/MAX(K$470:K3348))</f>
        <v>-0.84885940676762139</v>
      </c>
      <c r="W3348" s="564">
        <f>IF((N3348-MAX(N$470:N3348))/MAX(N$470:N3348)&gt;W3347,W3347,(N3348-MAX(N$470:N3348))/MAX(N$470:N3348))</f>
        <v>-0.62788758315546067</v>
      </c>
      <c r="X3348" s="564">
        <f>IF((O3348-MAX(O$470:O3348))/MAX(O$470:O3348)&gt;X3347,X3347,(O3348-MAX(O$470:O3348))/MAX(O$470:O3348))</f>
        <v>-0.62788758315546067</v>
      </c>
    </row>
    <row r="3349" spans="1:24">
      <c r="A3349" s="799">
        <v>43751</v>
      </c>
      <c r="B3349">
        <v>8394.8972080000003</v>
      </c>
      <c r="C3349">
        <v>6324.3523420000001</v>
      </c>
      <c r="D3349">
        <v>1.465325</v>
      </c>
      <c r="E3349">
        <f>LN(D3349/参数实验室!$E$53)/参数实验室!$E$55</f>
        <v>-0.2422116419172744</v>
      </c>
      <c r="F3349">
        <f t="shared" si="468"/>
        <v>0.75335673389462665</v>
      </c>
      <c r="G3349">
        <f>LN(F3349/参数实验室!$E$58)/参数实验室!$E$59</f>
        <v>-0.33917730417503844</v>
      </c>
      <c r="H3349" s="856">
        <f>INDEX(神经网络!$G$10:$BO$70,MATCH(ROUND(G3349*2,1)/2,神经网络!$E$10:$E$70,0),MATCH(ROUND(E3349*2,1)/2,神经网络!$G$8:$BO$8,0))</f>
        <v>-0.5864484419700331</v>
      </c>
      <c r="I3349">
        <f t="shared" si="460"/>
        <v>566152.64835574618</v>
      </c>
      <c r="J3349">
        <f t="shared" si="461"/>
        <v>3349.7854068073866</v>
      </c>
      <c r="K3349">
        <f t="shared" si="462"/>
        <v>169.01161704424968</v>
      </c>
      <c r="L3349" s="4">
        <f>MIN(MAX(L3348*(1+MAX(MIN(((B3349-B3348)/B3348)/($K$7*卓尔金历!$N$40),0),-卓尔金历!$M$43))+MIN(MAX(((B3349-B3348)/B3348)/($K$7*卓尔金历!$N$40),0),卓尔金历!$M$43),0),1)</f>
        <v>0.70525735625843511</v>
      </c>
      <c r="M3349" s="4">
        <f>MIN(MAX(M3348*(1+MAX(MIN(((B3349-B3348)/B3348)/($K$7*30),0),-卓尔金历!$M$43))+MIN(MAX(((B3349-B3348)/B3348)/($K$7*7),0),卓尔金历!$M$43),0),1)</f>
        <v>1</v>
      </c>
      <c r="N3349">
        <f t="shared" si="463"/>
        <v>200264.66255094152</v>
      </c>
      <c r="O3349">
        <f t="shared" si="464"/>
        <v>561753.60071210354</v>
      </c>
      <c r="P3349">
        <f t="shared" si="465"/>
        <v>2.9956349370285121E-3</v>
      </c>
      <c r="Q3349">
        <f t="shared" si="466"/>
        <v>3.1454512909608691E-2</v>
      </c>
      <c r="R3349">
        <f t="shared" si="467"/>
        <v>1</v>
      </c>
      <c r="S3349">
        <f t="shared" si="459"/>
        <v>1090.5082203756947</v>
      </c>
      <c r="T3349" s="564">
        <f>IF((I3349-MAX(I$470:I3349))/MAX(I$470:I3349)&gt;T3348,T3348,(I3349-MAX(I$470:I3349))/MAX(I$470:I3349))</f>
        <v>-0.91338805338419748</v>
      </c>
      <c r="U3349" s="564">
        <f>IF((J3349-MAX(J$470:J3349))/MAX(J$470:J3349)&gt;U3348,U3348,(J3349-MAX(J$470:J3349))/MAX(J$470:J3349))</f>
        <v>-0.83569785939843477</v>
      </c>
      <c r="V3349" s="564">
        <f>IF((K3349-MAX(K$470:K3349))/MAX(K$470:K3349)&gt;V3348,V3348,(K3349-MAX(K$470:K3349))/MAX(K$470:K3349))</f>
        <v>-0.84885940676762139</v>
      </c>
      <c r="W3349" s="564">
        <f>IF((N3349-MAX(N$470:N3349))/MAX(N$470:N3349)&gt;W3348,W3348,(N3349-MAX(N$470:N3349))/MAX(N$470:N3349))</f>
        <v>-0.62788758315546067</v>
      </c>
      <c r="X3349" s="564">
        <f>IF((O3349-MAX(O$470:O3349))/MAX(O$470:O3349)&gt;X3348,X3348,(O3349-MAX(O$470:O3349))/MAX(O$470:O3349))</f>
        <v>-0.62788758315546067</v>
      </c>
    </row>
    <row r="3350" spans="1:24">
      <c r="A3350" s="799">
        <v>43752</v>
      </c>
      <c r="B3350">
        <v>8273.2241510000003</v>
      </c>
      <c r="C3350">
        <v>6411.0947820000001</v>
      </c>
      <c r="D3350">
        <v>1.4683759999999999</v>
      </c>
      <c r="E3350">
        <f>LN(D3350/参数实验室!$E$53)/参数实验室!$E$55</f>
        <v>-0.23975779372686126</v>
      </c>
      <c r="F3350">
        <f t="shared" si="468"/>
        <v>0.77492095765652369</v>
      </c>
      <c r="G3350">
        <f>LN(F3350/参数实验室!$E$58)/参数实验室!$E$59</f>
        <v>-0.32436478507834332</v>
      </c>
      <c r="H3350" s="856">
        <f>INDEX(神经网络!$G$10:$BO$70,MATCH(ROUND(G3350*2,1)/2,神经网络!$E$10:$E$70,0),MATCH(ROUND(E3350*2,1)/2,神经网络!$G$8:$BO$8,0))</f>
        <v>-0.51388151638675161</v>
      </c>
      <c r="I3350">
        <f t="shared" si="460"/>
        <v>570964.83448536834</v>
      </c>
      <c r="J3350">
        <f t="shared" si="461"/>
        <v>3301.2346478592203</v>
      </c>
      <c r="K3350">
        <f t="shared" si="462"/>
        <v>172.95493819429853</v>
      </c>
      <c r="L3350" s="4">
        <f>MIN(MAX(L3349*(1+MAX(MIN(((B3350-B3349)/B3349)/($K$7*卓尔金历!$N$40),0),-卓尔金历!$M$43))+MIN(MAX(((B3350-B3349)/B3349)/($K$7*卓尔金历!$N$40),0),卓尔金历!$M$43),0),1)</f>
        <v>0.54907831941854413</v>
      </c>
      <c r="M3350" s="4">
        <f>MIN(MAX(M3349*(1+MAX(MIN(((B3350-B3349)/B3349)/($K$7*30),0),-卓尔金历!$M$43))+MIN(MAX(((B3350-B3349)/B3349)/($K$7*7),0),卓尔金历!$M$43),0),1)</f>
        <v>0.88927514512683747</v>
      </c>
      <c r="N3350">
        <f t="shared" si="463"/>
        <v>201465.15883955089</v>
      </c>
      <c r="O3350">
        <f t="shared" si="464"/>
        <v>566528.39580219635</v>
      </c>
      <c r="P3350">
        <f t="shared" si="465"/>
        <v>-1.44936922972744E-2</v>
      </c>
      <c r="Q3350">
        <f t="shared" si="466"/>
        <v>3.1484995324962683E-2</v>
      </c>
      <c r="R3350">
        <f t="shared" si="467"/>
        <v>0.83165439970157429</v>
      </c>
      <c r="S3350">
        <f t="shared" si="459"/>
        <v>1099.7773257089852</v>
      </c>
      <c r="T3350" s="564">
        <f>IF((I3350-MAX(I$470:I3350))/MAX(I$470:I3350)&gt;T3349,T3349,(I3350-MAX(I$470:I3350))/MAX(I$470:I3350))</f>
        <v>-0.91338805338419748</v>
      </c>
      <c r="U3350" s="564">
        <f>IF((J3350-MAX(J$470:J3350))/MAX(J$470:J3350)&gt;U3349,U3349,(J3350-MAX(J$470:J3350))/MAX(J$470:J3350))</f>
        <v>-0.83569785939843477</v>
      </c>
      <c r="V3350" s="564">
        <f>IF((K3350-MAX(K$470:K3350))/MAX(K$470:K3350)&gt;V3349,V3349,(K3350-MAX(K$470:K3350))/MAX(K$470:K3350))</f>
        <v>-0.84885940676762139</v>
      </c>
      <c r="W3350" s="564">
        <f>IF((N3350-MAX(N$470:N3350))/MAX(N$470:N3350)&gt;W3349,W3349,(N3350-MAX(N$470:N3350))/MAX(N$470:N3350))</f>
        <v>-0.62788758315546067</v>
      </c>
      <c r="X3350" s="564">
        <f>IF((O3350-MAX(O$470:O3350))/MAX(O$470:O3350)&gt;X3349,X3349,(O3350-MAX(O$470:O3350))/MAX(O$470:O3350))</f>
        <v>-0.62788758315546067</v>
      </c>
    </row>
    <row r="3351" spans="1:24">
      <c r="A3351" s="799">
        <v>43753</v>
      </c>
      <c r="B3351">
        <v>8256.2811149999998</v>
      </c>
      <c r="C3351">
        <v>6387.6352159999997</v>
      </c>
      <c r="D3351">
        <v>1.437012</v>
      </c>
      <c r="E3351">
        <f>LN(D3351/参数实验室!$E$53)/参数实验室!$E$55</f>
        <v>-0.26522992906491383</v>
      </c>
      <c r="F3351">
        <f t="shared" si="468"/>
        <v>0.77366978268156994</v>
      </c>
      <c r="G3351">
        <f>LN(F3351/参数实验室!$E$58)/参数实验室!$E$59</f>
        <v>-0.32521289086897009</v>
      </c>
      <c r="H3351" s="856">
        <f>INDEX(神经网络!$G$10:$BO$70,MATCH(ROUND(G3351*2,1)/2,神经网络!$E$10:$E$70,0),MATCH(ROUND(E3351*2,1)/2,神经网络!$G$8:$BO$8,0))</f>
        <v>-0.5864484419700331</v>
      </c>
      <c r="I3351">
        <f t="shared" si="460"/>
        <v>571565.71594033961</v>
      </c>
      <c r="J3351">
        <f t="shared" si="461"/>
        <v>3294.4739296117441</v>
      </c>
      <c r="K3351">
        <f t="shared" si="462"/>
        <v>173.4922564731599</v>
      </c>
      <c r="L3351" s="4">
        <f>MIN(MAX(L3350*(1+MAX(MIN(((B3351-B3350)/B3350)/($K$7*卓尔金历!$N$40),0),-卓尔金历!$M$43))+MIN(MAX(((B3351-B3350)/B3350)/($K$7*卓尔金历!$N$40),0),卓尔金历!$M$43),0),1)</f>
        <v>0.53189738355013971</v>
      </c>
      <c r="M3351" s="4">
        <f>MIN(MAX(M3350*(1+MAX(MIN(((B3351-B3350)/B3350)/($K$7*30),0),-卓尔金历!$M$43))+MIN(MAX(((B3351-B3350)/B3350)/($K$7*7),0),卓尔金历!$M$43),0),1)</f>
        <v>0.87536221258383551</v>
      </c>
      <c r="N3351">
        <f t="shared" si="463"/>
        <v>201581.57511104335</v>
      </c>
      <c r="O3351">
        <f t="shared" si="464"/>
        <v>567058.59281475132</v>
      </c>
      <c r="P3351">
        <f t="shared" si="465"/>
        <v>-2.0479362931261373E-3</v>
      </c>
      <c r="Q3351">
        <f t="shared" si="466"/>
        <v>3.0962832502881298E-2</v>
      </c>
      <c r="R3351">
        <f t="shared" si="467"/>
        <v>1</v>
      </c>
      <c r="S3351">
        <f t="shared" ref="S3351:S3414" si="469">S3350*(1+(B3351-B3350)/B3350*H3350*R3350)</f>
        <v>1100.7398841137015</v>
      </c>
      <c r="T3351" s="564">
        <f>IF((I3351-MAX(I$470:I3351))/MAX(I$470:I3351)&gt;T3350,T3350,(I3351-MAX(I$470:I3351))/MAX(I$470:I3351))</f>
        <v>-0.91338805338419748</v>
      </c>
      <c r="U3351" s="564">
        <f>IF((J3351-MAX(J$470:J3351))/MAX(J$470:J3351)&gt;U3350,U3350,(J3351-MAX(J$470:J3351))/MAX(J$470:J3351))</f>
        <v>-0.83569785939843477</v>
      </c>
      <c r="V3351" s="564">
        <f>IF((K3351-MAX(K$470:K3351))/MAX(K$470:K3351)&gt;V3350,V3350,(K3351-MAX(K$470:K3351))/MAX(K$470:K3351))</f>
        <v>-0.84885940676762139</v>
      </c>
      <c r="W3351" s="564">
        <f>IF((N3351-MAX(N$470:N3351))/MAX(N$470:N3351)&gt;W3350,W3350,(N3351-MAX(N$470:N3351))/MAX(N$470:N3351))</f>
        <v>-0.62788758315546067</v>
      </c>
      <c r="X3351" s="564">
        <f>IF((O3351-MAX(O$470:O3351))/MAX(O$470:O3351)&gt;X3350,X3350,(O3351-MAX(O$470:O3351))/MAX(O$470:O3351))</f>
        <v>-0.62788758315546067</v>
      </c>
    </row>
    <row r="3352" spans="1:24">
      <c r="A3352" s="799">
        <v>43754</v>
      </c>
      <c r="B3352">
        <v>7969.4306109999998</v>
      </c>
      <c r="C3352">
        <v>6475.6286030000001</v>
      </c>
      <c r="D3352">
        <v>1.4102239999999999</v>
      </c>
      <c r="E3352">
        <f>LN(D3352/参数实验室!$E$53)/参数实验室!$E$55</f>
        <v>-0.28742981866898676</v>
      </c>
      <c r="F3352">
        <f t="shared" si="468"/>
        <v>0.8125585024934977</v>
      </c>
      <c r="G3352">
        <f>LN(F3352/参数实验室!$E$58)/参数实验室!$E$59</f>
        <v>-0.29947259501879359</v>
      </c>
      <c r="H3352" s="856">
        <f>INDEX(神经网络!$G$10:$BO$70,MATCH(ROUND(G3352*2,1)/2,神经网络!$E$10:$E$70,0),MATCH(ROUND(E3352*2,1)/2,神经网络!$G$8:$BO$8,0))</f>
        <v>-0.5517202076005665</v>
      </c>
      <c r="I3352">
        <f t="shared" ref="I3352:I3415" si="470">I3351*(1+(B3352-B3351)/B3351*H3351)</f>
        <v>583211.45763652702</v>
      </c>
      <c r="J3352">
        <f t="shared" ref="J3352:J3415" si="471">J3351*B3352/B3351</f>
        <v>3180.0130126491331</v>
      </c>
      <c r="K3352">
        <f t="shared" ref="K3352:K3415" si="472">I3352/J3352</f>
        <v>183.39907897127705</v>
      </c>
      <c r="L3352" s="4">
        <f>MIN(MAX(L3351*(1+MAX(MIN(((B3352-B3351)/B3351)/($K$7*卓尔金历!$N$40),0),-卓尔金历!$M$43))+MIN(MAX(((B3352-B3351)/B3351)/($K$7*卓尔金历!$N$40),0),卓尔金历!$M$43),0),1)</f>
        <v>0.24954264664723966</v>
      </c>
      <c r="M3352" s="4">
        <f>MIN(MAX(M3351*(1+MAX(MIN(((B3352-B3351)/B3351)/($K$7*30),0),-卓尔金历!$M$43))+MIN(MAX(((B3352-B3351)/B3351)/($K$7*7),0),卓尔金历!$M$43),0),1)</f>
        <v>0.64302165698722169</v>
      </c>
      <c r="N3352">
        <f t="shared" ref="N3352:N3415" si="473">N3351*(1+(B3352-B3351)/B3351*H3351*L3351)</f>
        <v>203766.21405274133</v>
      </c>
      <c r="O3352">
        <f t="shared" ref="O3352:O3415" si="474">O3351*(1+(B3352-B3351)/B3351*H3351*M3351)</f>
        <v>577172.44759283634</v>
      </c>
      <c r="P3352">
        <f t="shared" ref="P3352:P3415" si="475">(B3352-B3351)/B3351</f>
        <v>-3.4743306339079273E-2</v>
      </c>
      <c r="Q3352">
        <f t="shared" si="466"/>
        <v>1.9213852746616182E-2</v>
      </c>
      <c r="R3352">
        <f t="shared" si="467"/>
        <v>1.2621831036363038E-2</v>
      </c>
      <c r="S3352">
        <f t="shared" si="469"/>
        <v>1123.1676330279095</v>
      </c>
      <c r="T3352" s="564">
        <f>IF((I3352-MAX(I$470:I3352))/MAX(I$470:I3352)&gt;T3351,T3351,(I3352-MAX(I$470:I3352))/MAX(I$470:I3352))</f>
        <v>-0.91338805338419748</v>
      </c>
      <c r="U3352" s="564">
        <f>IF((J3352-MAX(J$470:J3352))/MAX(J$470:J3352)&gt;U3351,U3351,(J3352-MAX(J$470:J3352))/MAX(J$470:J3352))</f>
        <v>-0.83569785939843477</v>
      </c>
      <c r="V3352" s="564">
        <f>IF((K3352-MAX(K$470:K3352))/MAX(K$470:K3352)&gt;V3351,V3351,(K3352-MAX(K$470:K3352))/MAX(K$470:K3352))</f>
        <v>-0.84885940676762139</v>
      </c>
      <c r="W3352" s="564">
        <f>IF((N3352-MAX(N$470:N3352))/MAX(N$470:N3352)&gt;W3351,W3351,(N3352-MAX(N$470:N3352))/MAX(N$470:N3352))</f>
        <v>-0.62788758315546067</v>
      </c>
      <c r="X3352" s="564">
        <f>IF((O3352-MAX(O$470:O3352))/MAX(O$470:O3352)&gt;X3351,X3351,(O3352-MAX(O$470:O3352))/MAX(O$470:O3352))</f>
        <v>-0.62788758315546067</v>
      </c>
    </row>
    <row r="3353" spans="1:24">
      <c r="A3353" s="799">
        <v>43755</v>
      </c>
      <c r="B3353">
        <v>8069.5056329999998</v>
      </c>
      <c r="C3353">
        <v>6469.1022359999997</v>
      </c>
      <c r="D3353">
        <v>1.4227590000000001</v>
      </c>
      <c r="E3353">
        <f>LN(D3353/参数实验室!$E$53)/参数实验室!$E$55</f>
        <v>-0.27698972536770078</v>
      </c>
      <c r="F3353">
        <f t="shared" si="468"/>
        <v>0.80167268358358923</v>
      </c>
      <c r="G3353">
        <f>LN(F3353/参数实验室!$E$58)/参数实验室!$E$59</f>
        <v>-0.30655157196953403</v>
      </c>
      <c r="H3353" s="856">
        <f>INDEX(神经网络!$G$10:$BO$70,MATCH(ROUND(G3353*2,1)/2,神经网络!$E$10:$E$70,0),MATCH(ROUND(E3353*2,1)/2,神经网络!$G$8:$BO$8,0))</f>
        <v>-0.5517202076005665</v>
      </c>
      <c r="I3353">
        <f t="shared" si="470"/>
        <v>579170.88108659186</v>
      </c>
      <c r="J3353">
        <f t="shared" si="471"/>
        <v>3219.9455859702298</v>
      </c>
      <c r="K3353">
        <f t="shared" si="472"/>
        <v>179.86977283408871</v>
      </c>
      <c r="L3353" s="4">
        <f>MIN(MAX(L3352*(1+MAX(MIN(((B3353-B3352)/B3352)/($K$7*卓尔金历!$N$40),0),-卓尔金历!$M$43))+MIN(MAX(((B3353-B3352)/B3352)/($K$7*卓尔金历!$N$40),0),卓尔金历!$M$43),0),1)</f>
        <v>0.44140708163398013</v>
      </c>
      <c r="M3353" s="4">
        <f>MIN(MAX(M3352*(1+MAX(MIN(((B3353-B3352)/B3352)/($K$7*30),0),-卓尔金历!$M$43))+MIN(MAX(((B3353-B3352)/B3352)/($K$7*7),0),卓尔金历!$M$43),0),1)</f>
        <v>1</v>
      </c>
      <c r="N3353">
        <f t="shared" si="473"/>
        <v>203413.92897714698</v>
      </c>
      <c r="O3353">
        <f t="shared" si="474"/>
        <v>574601.17285588116</v>
      </c>
      <c r="P3353">
        <f t="shared" si="475"/>
        <v>1.2557361608979821E-2</v>
      </c>
      <c r="Q3353">
        <f t="shared" si="466"/>
        <v>1.8826903309352803E-2</v>
      </c>
      <c r="R3353">
        <f t="shared" si="467"/>
        <v>0.43197487294181031</v>
      </c>
      <c r="S3353">
        <f t="shared" si="469"/>
        <v>1123.0694165777472</v>
      </c>
      <c r="T3353" s="564">
        <f>IF((I3353-MAX(I$470:I3353))/MAX(I$470:I3353)&gt;T3352,T3352,(I3353-MAX(I$470:I3353))/MAX(I$470:I3353))</f>
        <v>-0.91338805338419748</v>
      </c>
      <c r="U3353" s="564">
        <f>IF((J3353-MAX(J$470:J3353))/MAX(J$470:J3353)&gt;U3352,U3352,(J3353-MAX(J$470:J3353))/MAX(J$470:J3353))</f>
        <v>-0.83569785939843477</v>
      </c>
      <c r="V3353" s="564">
        <f>IF((K3353-MAX(K$470:K3353))/MAX(K$470:K3353)&gt;V3352,V3352,(K3353-MAX(K$470:K3353))/MAX(K$470:K3353))</f>
        <v>-0.84885940676762139</v>
      </c>
      <c r="W3353" s="564">
        <f>IF((N3353-MAX(N$470:N3353))/MAX(N$470:N3353)&gt;W3352,W3352,(N3353-MAX(N$470:N3353))/MAX(N$470:N3353))</f>
        <v>-0.62788758315546067</v>
      </c>
      <c r="X3353" s="564">
        <f>IF((O3353-MAX(O$470:O3353))/MAX(O$470:O3353)&gt;X3352,X3352,(O3353-MAX(O$470:O3353))/MAX(O$470:O3353))</f>
        <v>-0.62788758315546067</v>
      </c>
    </row>
    <row r="3354" spans="1:24">
      <c r="A3354" s="799">
        <v>43756</v>
      </c>
      <c r="B3354">
        <v>7924.5263409999998</v>
      </c>
      <c r="C3354">
        <v>6532.4227060000003</v>
      </c>
      <c r="D3354">
        <v>1.4033800000000001</v>
      </c>
      <c r="E3354">
        <f>LN(D3354/参数实验室!$E$53)/参数实验室!$E$55</f>
        <v>-0.29316925259543991</v>
      </c>
      <c r="F3354">
        <f t="shared" si="468"/>
        <v>0.82432973592408687</v>
      </c>
      <c r="G3354">
        <f>LN(F3354/参数实验室!$E$58)/参数实验室!$E$59</f>
        <v>-0.29192377669960667</v>
      </c>
      <c r="H3354" s="856">
        <f>INDEX(神经网络!$G$10:$BO$70,MATCH(ROUND(G3354*2,1)/2,神经网络!$E$10:$E$70,0),MATCH(ROUND(E3354*2,1)/2,神经网络!$G$8:$BO$8,0))</f>
        <v>-0.5517202076005665</v>
      </c>
      <c r="I3354">
        <f t="shared" si="470"/>
        <v>584911.84286114026</v>
      </c>
      <c r="J3354">
        <f t="shared" si="471"/>
        <v>3162.0950245401195</v>
      </c>
      <c r="K3354">
        <f t="shared" si="472"/>
        <v>184.97604857596178</v>
      </c>
      <c r="L3354" s="4">
        <f>MIN(MAX(L3353*(1+MAX(MIN(((B3354-B3353)/B3353)/($K$7*卓尔金历!$N$40),0),-卓尔金历!$M$43))+MIN(MAX(((B3354-B3353)/B3353)/($K$7*卓尔金历!$N$40),0),卓尔金历!$M$43),0),1)</f>
        <v>0.32023727347131736</v>
      </c>
      <c r="M3354" s="4">
        <f>MIN(MAX(M3353*(1+MAX(MIN(((B3354-B3353)/B3353)/($K$7*30),0),-卓尔金历!$M$43))+MIN(MAX(((B3354-B3353)/B3353)/($K$7*7),0),卓尔金历!$M$43),0),1)</f>
        <v>0.86274596262239156</v>
      </c>
      <c r="N3354">
        <f t="shared" si="473"/>
        <v>204303.9451965857</v>
      </c>
      <c r="O3354">
        <f t="shared" si="474"/>
        <v>580296.83794661809</v>
      </c>
      <c r="P3354">
        <f t="shared" si="475"/>
        <v>-1.7966316475090068E-2</v>
      </c>
      <c r="Q3354">
        <f t="shared" si="466"/>
        <v>1.8226296322725006E-2</v>
      </c>
      <c r="R3354">
        <f t="shared" si="467"/>
        <v>3.3464090209520056E-2</v>
      </c>
      <c r="S3354">
        <f t="shared" si="469"/>
        <v>1127.8782864216541</v>
      </c>
      <c r="T3354" s="564">
        <f>IF((I3354-MAX(I$470:I3354))/MAX(I$470:I3354)&gt;T3353,T3353,(I3354-MAX(I$470:I3354))/MAX(I$470:I3354))</f>
        <v>-0.91338805338419748</v>
      </c>
      <c r="U3354" s="564">
        <f>IF((J3354-MAX(J$470:J3354))/MAX(J$470:J3354)&gt;U3353,U3353,(J3354-MAX(J$470:J3354))/MAX(J$470:J3354))</f>
        <v>-0.83569785939843477</v>
      </c>
      <c r="V3354" s="564">
        <f>IF((K3354-MAX(K$470:K3354))/MAX(K$470:K3354)&gt;V3353,V3353,(K3354-MAX(K$470:K3354))/MAX(K$470:K3354))</f>
        <v>-0.84885940676762139</v>
      </c>
      <c r="W3354" s="564">
        <f>IF((N3354-MAX(N$470:N3354))/MAX(N$470:N3354)&gt;W3353,W3353,(N3354-MAX(N$470:N3354))/MAX(N$470:N3354))</f>
        <v>-0.62788758315546067</v>
      </c>
      <c r="X3354" s="564">
        <f>IF((O3354-MAX(O$470:O3354))/MAX(O$470:O3354)&gt;X3353,X3353,(O3354-MAX(O$470:O3354))/MAX(O$470:O3354))</f>
        <v>-0.62788758315546067</v>
      </c>
    </row>
    <row r="3355" spans="1:24">
      <c r="A3355" s="799">
        <v>43757</v>
      </c>
      <c r="B3355">
        <v>8010.837031</v>
      </c>
      <c r="C3355">
        <v>6560.8709859999999</v>
      </c>
      <c r="D3355">
        <v>1.4014759999999999</v>
      </c>
      <c r="E3355">
        <f>LN(D3355/参数实验室!$E$53)/参数实验室!$E$55</f>
        <v>-0.29477093947102118</v>
      </c>
      <c r="F3355">
        <f t="shared" si="468"/>
        <v>0.81899943296949085</v>
      </c>
      <c r="G3355">
        <f>LN(F3355/参数实验室!$E$58)/参数实验室!$E$59</f>
        <v>-0.29532862208399657</v>
      </c>
      <c r="H3355" s="856">
        <f>INDEX(神经网络!$G$10:$BO$70,MATCH(ROUND(G3355*2,1)/2,神经网络!$E$10:$E$70,0),MATCH(ROUND(E3355*2,1)/2,神经网络!$G$8:$BO$8,0))</f>
        <v>-0.5517202076005665</v>
      </c>
      <c r="I3355">
        <f t="shared" si="470"/>
        <v>581397.04315936146</v>
      </c>
      <c r="J3355">
        <f t="shared" si="471"/>
        <v>3196.5352663501035</v>
      </c>
      <c r="K3355">
        <f t="shared" si="472"/>
        <v>181.88350658280629</v>
      </c>
      <c r="L3355" s="4">
        <f>MIN(MAX(L3354*(1+MAX(MIN(((B3355-B3354)/B3354)/($K$7*卓尔金历!$N$40),0),-卓尔金历!$M$43))+MIN(MAX(((B3355-B3354)/B3354)/($K$7*卓尔金历!$N$40),0),卓尔金历!$M$43),0),1)</f>
        <v>0.48665031322663094</v>
      </c>
      <c r="M3355" s="4">
        <f>MIN(MAX(M3354*(1+MAX(MIN(((B3355-B3354)/B3354)/($K$7*30),0),-卓尔金历!$M$43))+MIN(MAX(((B3355-B3354)/B3354)/($K$7*7),0),卓尔金历!$M$43),0),1)</f>
        <v>1</v>
      </c>
      <c r="N3355">
        <f t="shared" si="473"/>
        <v>203910.7947269631</v>
      </c>
      <c r="O3355">
        <f t="shared" si="474"/>
        <v>577288.38442845736</v>
      </c>
      <c r="P3355">
        <f t="shared" si="475"/>
        <v>1.0891589766500627E-2</v>
      </c>
      <c r="Q3355">
        <f t="shared" si="466"/>
        <v>1.8153958834485149E-2</v>
      </c>
      <c r="R3355">
        <f t="shared" si="467"/>
        <v>0.53843581416951558</v>
      </c>
      <c r="S3355">
        <f t="shared" si="469"/>
        <v>1127.6514820484524</v>
      </c>
      <c r="T3355" s="564">
        <f>IF((I3355-MAX(I$470:I3355))/MAX(I$470:I3355)&gt;T3354,T3354,(I3355-MAX(I$470:I3355))/MAX(I$470:I3355))</f>
        <v>-0.91338805338419748</v>
      </c>
      <c r="U3355" s="564">
        <f>IF((J3355-MAX(J$470:J3355))/MAX(J$470:J3355)&gt;U3354,U3354,(J3355-MAX(J$470:J3355))/MAX(J$470:J3355))</f>
        <v>-0.83569785939843477</v>
      </c>
      <c r="V3355" s="564">
        <f>IF((K3355-MAX(K$470:K3355))/MAX(K$470:K3355)&gt;V3354,V3354,(K3355-MAX(K$470:K3355))/MAX(K$470:K3355))</f>
        <v>-0.84885940676762139</v>
      </c>
      <c r="W3355" s="564">
        <f>IF((N3355-MAX(N$470:N3355))/MAX(N$470:N3355)&gt;W3354,W3354,(N3355-MAX(N$470:N3355))/MAX(N$470:N3355))</f>
        <v>-0.62788758315546067</v>
      </c>
      <c r="X3355" s="564">
        <f>IF((O3355-MAX(O$470:O3355))/MAX(O$470:O3355)&gt;X3354,X3354,(O3355-MAX(O$470:O3355))/MAX(O$470:O3355))</f>
        <v>-0.62788758315546067</v>
      </c>
    </row>
    <row r="3356" spans="1:24">
      <c r="A3356" s="799">
        <v>43758</v>
      </c>
      <c r="B3356">
        <v>7996.4129220000004</v>
      </c>
      <c r="C3356">
        <v>6585.1014249999998</v>
      </c>
      <c r="D3356">
        <v>1.448002</v>
      </c>
      <c r="E3356">
        <f>LN(D3356/参数实验室!$E$53)/参数实验室!$E$55</f>
        <v>-0.25624172251466226</v>
      </c>
      <c r="F3356">
        <f t="shared" si="468"/>
        <v>0.82350692607217002</v>
      </c>
      <c r="G3356">
        <f>LN(F3356/参数实验室!$E$58)/参数实验室!$E$59</f>
        <v>-0.29244792466076924</v>
      </c>
      <c r="H3356" s="856">
        <f>INDEX(神经网络!$G$10:$BO$70,MATCH(ROUND(G3356*2,1)/2,神经网络!$E$10:$E$70,0),MATCH(ROUND(E3356*2,1)/2,神经网络!$G$8:$BO$8,0))</f>
        <v>-0.51388151638675161</v>
      </c>
      <c r="I3356">
        <f t="shared" si="470"/>
        <v>581974.61074083159</v>
      </c>
      <c r="J3356">
        <f t="shared" si="471"/>
        <v>3190.7796664139478</v>
      </c>
      <c r="K3356">
        <f t="shared" si="472"/>
        <v>182.3926035591486</v>
      </c>
      <c r="L3356" s="4">
        <f>MIN(MAX(L3355*(1+MAX(MIN(((B3356-B3355)/B3355)/($K$7*卓尔金历!$N$40),0),-卓尔金历!$M$43))+MIN(MAX(((B3356-B3355)/B3355)/($K$7*卓尔金历!$N$40),0),卓尔金历!$M$43),0),1)</f>
        <v>0.47326205178453373</v>
      </c>
      <c r="M3356" s="4">
        <f>MIN(MAX(M3355*(1+MAX(MIN(((B3356-B3355)/B3355)/($K$7*30),0),-卓尔金历!$M$43))+MIN(MAX(((B3356-B3355)/B3355)/($K$7*7),0),卓尔金历!$M$43),0),1)</f>
        <v>0.98624447464820353</v>
      </c>
      <c r="N3356">
        <f t="shared" si="473"/>
        <v>204009.37436389987</v>
      </c>
      <c r="O3356">
        <f t="shared" si="474"/>
        <v>577861.87041351374</v>
      </c>
      <c r="P3356">
        <f t="shared" si="475"/>
        <v>-1.8005745147706511E-3</v>
      </c>
      <c r="Q3356">
        <f t="shared" si="466"/>
        <v>1.7935916368091935E-2</v>
      </c>
      <c r="R3356">
        <f t="shared" si="467"/>
        <v>1</v>
      </c>
      <c r="S3356">
        <f t="shared" si="469"/>
        <v>1128.25465078657</v>
      </c>
      <c r="T3356" s="564">
        <f>IF((I3356-MAX(I$470:I3356))/MAX(I$470:I3356)&gt;T3355,T3355,(I3356-MAX(I$470:I3356))/MAX(I$470:I3356))</f>
        <v>-0.91338805338419748</v>
      </c>
      <c r="U3356" s="564">
        <f>IF((J3356-MAX(J$470:J3356))/MAX(J$470:J3356)&gt;U3355,U3355,(J3356-MAX(J$470:J3356))/MAX(J$470:J3356))</f>
        <v>-0.83569785939843477</v>
      </c>
      <c r="V3356" s="564">
        <f>IF((K3356-MAX(K$470:K3356))/MAX(K$470:K3356)&gt;V3355,V3355,(K3356-MAX(K$470:K3356))/MAX(K$470:K3356))</f>
        <v>-0.84885940676762139</v>
      </c>
      <c r="W3356" s="564">
        <f>IF((N3356-MAX(N$470:N3356))/MAX(N$470:N3356)&gt;W3355,W3355,(N3356-MAX(N$470:N3356))/MAX(N$470:N3356))</f>
        <v>-0.62788758315546067</v>
      </c>
      <c r="X3356" s="564">
        <f>IF((O3356-MAX(O$470:O3356))/MAX(O$470:O3356)&gt;X3355,X3355,(O3356-MAX(O$470:O3356))/MAX(O$470:O3356))</f>
        <v>-0.62788758315546067</v>
      </c>
    </row>
    <row r="3357" spans="1:24">
      <c r="A3357" s="799">
        <v>43759</v>
      </c>
      <c r="B3357">
        <v>8211.8295999999991</v>
      </c>
      <c r="C3357">
        <v>6618.5534459999999</v>
      </c>
      <c r="D3357">
        <v>1.448191</v>
      </c>
      <c r="E3357">
        <f>LN(D3357/参数实验室!$E$53)/参数实验室!$E$55</f>
        <v>-0.25608774564680353</v>
      </c>
      <c r="F3357">
        <f t="shared" si="468"/>
        <v>0.80597793285920116</v>
      </c>
      <c r="G3357">
        <f>LN(F3357/参数实验室!$E$58)/参数实验室!$E$59</f>
        <v>-0.303740472508779</v>
      </c>
      <c r="H3357" s="856">
        <f>INDEX(神经网络!$G$10:$BO$70,MATCH(ROUND(G3357*2,1)/2,神经网络!$E$10:$E$70,0),MATCH(ROUND(E3357*2,1)/2,神经网络!$G$8:$BO$8,0))</f>
        <v>-0.51388151638675161</v>
      </c>
      <c r="I3357">
        <f t="shared" si="470"/>
        <v>573918.02288394107</v>
      </c>
      <c r="J3357">
        <f t="shared" si="471"/>
        <v>3276.7366026894351</v>
      </c>
      <c r="K3357">
        <f t="shared" si="472"/>
        <v>175.14926967669248</v>
      </c>
      <c r="L3357" s="4">
        <f>MIN(MAX(L3356*(1+MAX(MIN(((B3357-B3356)/B3356)/($K$7*卓尔金历!$N$40),0),-卓尔金历!$M$43))+MIN(MAX(((B3357-B3356)/B3356)/($K$7*卓尔金历!$N$40),0),卓尔金历!$M$43),0),1)</f>
        <v>0.88486662398753801</v>
      </c>
      <c r="M3357" s="4">
        <f>MIN(MAX(M3356*(1+MAX(MIN(((B3357-B3356)/B3356)/($K$7*30),0),-卓尔金历!$M$43))+MIN(MAX(((B3357-B3356)/B3356)/($K$7*7),0),卓尔金历!$M$43),0),1)</f>
        <v>1</v>
      </c>
      <c r="N3357">
        <f t="shared" si="473"/>
        <v>202672.78218608283</v>
      </c>
      <c r="O3357">
        <f t="shared" si="474"/>
        <v>569972.25686451886</v>
      </c>
      <c r="P3357">
        <f t="shared" si="475"/>
        <v>2.6939163860252521E-2</v>
      </c>
      <c r="Q3357">
        <f t="shared" si="466"/>
        <v>1.7184378997297287E-2</v>
      </c>
      <c r="R3357">
        <f t="shared" si="467"/>
        <v>9.8722806292460639E-3</v>
      </c>
      <c r="S3357">
        <f t="shared" si="469"/>
        <v>1112.6356142319748</v>
      </c>
      <c r="T3357" s="564">
        <f>IF((I3357-MAX(I$470:I3357))/MAX(I$470:I3357)&gt;T3356,T3356,(I3357-MAX(I$470:I3357))/MAX(I$470:I3357))</f>
        <v>-0.91338805338419748</v>
      </c>
      <c r="U3357" s="564">
        <f>IF((J3357-MAX(J$470:J3357))/MAX(J$470:J3357)&gt;U3356,U3356,(J3357-MAX(J$470:J3357))/MAX(J$470:J3357))</f>
        <v>-0.83569785939843477</v>
      </c>
      <c r="V3357" s="564">
        <f>IF((K3357-MAX(K$470:K3357))/MAX(K$470:K3357)&gt;V3356,V3356,(K3357-MAX(K$470:K3357))/MAX(K$470:K3357))</f>
        <v>-0.84885940676762139</v>
      </c>
      <c r="W3357" s="564">
        <f>IF((N3357-MAX(N$470:N3357))/MAX(N$470:N3357)&gt;W3356,W3356,(N3357-MAX(N$470:N3357))/MAX(N$470:N3357))</f>
        <v>-0.62788758315546067</v>
      </c>
      <c r="X3357" s="564">
        <f>IF((O3357-MAX(O$470:O3357))/MAX(O$470:O3357)&gt;X3356,X3356,(O3357-MAX(O$470:O3357))/MAX(O$470:O3357))</f>
        <v>-0.62788758315546067</v>
      </c>
    </row>
    <row r="3358" spans="1:24">
      <c r="A3358" s="799">
        <v>43760</v>
      </c>
      <c r="B3358">
        <v>8197.5294595174</v>
      </c>
      <c r="C3358">
        <v>6607.6445249999997</v>
      </c>
      <c r="D3358">
        <v>1.416609</v>
      </c>
      <c r="E3358">
        <f>LN(D3358/参数实验室!$E$53)/参数实验室!$E$55</f>
        <v>-0.28210036533877852</v>
      </c>
      <c r="F3358">
        <f t="shared" si="468"/>
        <v>0.80605315999547511</v>
      </c>
      <c r="G3358">
        <f>LN(F3358/参数实验室!$E$58)/参数实验室!$E$59</f>
        <v>-0.30369148677044372</v>
      </c>
      <c r="H3358" s="856">
        <f>INDEX(神经网络!$G$10:$BO$70,MATCH(ROUND(G3358*2,1)/2,神经网络!$E$10:$E$70,0),MATCH(ROUND(E3358*2,1)/2,神经网络!$G$8:$BO$8,0))</f>
        <v>-0.5517202076005665</v>
      </c>
      <c r="I3358">
        <f t="shared" si="470"/>
        <v>574431.60895317153</v>
      </c>
      <c r="J3358">
        <f t="shared" si="471"/>
        <v>3271.030469461472</v>
      </c>
      <c r="K3358">
        <f t="shared" si="472"/>
        <v>175.61181845173806</v>
      </c>
      <c r="L3358" s="4">
        <f>MIN(MAX(L3357*(1+MAX(MIN(((B3358-B3357)/B3357)/($K$7*卓尔金历!$N$40),0),-卓尔金历!$M$43))+MIN(MAX(((B3358-B3357)/B3357)/($K$7*卓尔金历!$N$40),0),卓尔金历!$M$43),0),1)</f>
        <v>0.86132294824252387</v>
      </c>
      <c r="M3358" s="4">
        <f>MIN(MAX(M3357*(1+MAX(MIN(((B3358-B3357)/B3357)/($K$7*30),0),-卓尔金历!$M$43))+MIN(MAX(((B3358-B3357)/B3357)/($K$7*7),0),卓尔金历!$M$43),0),1)</f>
        <v>0.98669648334179583</v>
      </c>
      <c r="N3358">
        <f t="shared" si="473"/>
        <v>202833.26798763429</v>
      </c>
      <c r="O3358">
        <f t="shared" si="474"/>
        <v>570482.31195828028</v>
      </c>
      <c r="P3358">
        <f t="shared" si="475"/>
        <v>-1.7414073573322919E-3</v>
      </c>
      <c r="Q3358">
        <f t="shared" si="466"/>
        <v>1.7125654080111668E-2</v>
      </c>
      <c r="R3358">
        <f t="shared" si="467"/>
        <v>1</v>
      </c>
      <c r="S3358">
        <f t="shared" si="469"/>
        <v>1112.6454437861632</v>
      </c>
      <c r="T3358" s="564">
        <f>IF((I3358-MAX(I$470:I3358))/MAX(I$470:I3358)&gt;T3357,T3357,(I3358-MAX(I$470:I3358))/MAX(I$470:I3358))</f>
        <v>-0.91338805338419748</v>
      </c>
      <c r="U3358" s="564">
        <f>IF((J3358-MAX(J$470:J3358))/MAX(J$470:J3358)&gt;U3357,U3357,(J3358-MAX(J$470:J3358))/MAX(J$470:J3358))</f>
        <v>-0.83569785939843477</v>
      </c>
      <c r="V3358" s="564">
        <f>IF((K3358-MAX(K$470:K3358))/MAX(K$470:K3358)&gt;V3357,V3357,(K3358-MAX(K$470:K3358))/MAX(K$470:K3358))</f>
        <v>-0.84885940676762139</v>
      </c>
      <c r="W3358" s="564">
        <f>IF((N3358-MAX(N$470:N3358))/MAX(N$470:N3358)&gt;W3357,W3357,(N3358-MAX(N$470:N3358))/MAX(N$470:N3358))</f>
        <v>-0.62788758315546067</v>
      </c>
      <c r="X3358" s="564">
        <f>IF((O3358-MAX(O$470:O3358))/MAX(O$470:O3358)&gt;X3357,X3357,(O3358-MAX(O$470:O3358))/MAX(O$470:O3358))</f>
        <v>-0.62788758315546067</v>
      </c>
    </row>
    <row r="3359" spans="1:24">
      <c r="A3359" s="799">
        <v>43761</v>
      </c>
      <c r="B3359">
        <v>7456.8957514075</v>
      </c>
      <c r="C3359">
        <v>6375.2825720000001</v>
      </c>
      <c r="D3359">
        <v>1.3184940000000001</v>
      </c>
      <c r="E3359">
        <f>LN(D3359/参数实验室!$E$53)/参数实验室!$E$55</f>
        <v>-0.36677811165568724</v>
      </c>
      <c r="F3359">
        <f t="shared" si="468"/>
        <v>0.854951280604487</v>
      </c>
      <c r="G3359">
        <f>LN(F3359/参数实验室!$E$58)/参数实验室!$E$59</f>
        <v>-0.27278031817338283</v>
      </c>
      <c r="H3359" s="856">
        <f>INDEX(神经网络!$G$10:$BO$70,MATCH(ROUND(G3359*2,1)/2,神经网络!$E$10:$E$70,0),MATCH(ROUND(E3359*2,1)/2,神经网络!$G$8:$BO$8,0))</f>
        <v>-0.51075529571207356</v>
      </c>
      <c r="I3359">
        <f t="shared" si="470"/>
        <v>603065.32464496768</v>
      </c>
      <c r="J3359">
        <f t="shared" si="471"/>
        <v>2975.4980852350245</v>
      </c>
      <c r="K3359">
        <f t="shared" si="472"/>
        <v>202.67710056258818</v>
      </c>
      <c r="L3359" s="4">
        <f>MIN(MAX(L3358*(1+MAX(MIN(((B3359-B3358)/B3358)/($K$7*卓尔金历!$N$40),0),-卓尔金历!$M$43))+MIN(MAX(((B3359-B3358)/B3358)/($K$7*卓尔金历!$N$40),0),卓尔金历!$M$43),0),1)</f>
        <v>0</v>
      </c>
      <c r="M3359" s="4">
        <f>MIN(MAX(M3358*(1+MAX(MIN(((B3359-B3358)/B3358)/($K$7*30),0),-卓尔金历!$M$43))+MIN(MAX(((B3359-B3358)/B3358)/($K$7*7),0),卓尔金历!$M$43),0),1)</f>
        <v>0.30566035562795207</v>
      </c>
      <c r="N3359">
        <f t="shared" si="473"/>
        <v>211541.79263013418</v>
      </c>
      <c r="O3359">
        <f t="shared" si="474"/>
        <v>598540.85670952254</v>
      </c>
      <c r="P3359">
        <f t="shared" si="475"/>
        <v>-9.0348404573284954E-2</v>
      </c>
      <c r="Q3359">
        <f t="shared" si="466"/>
        <v>2.5667146858384275E-2</v>
      </c>
      <c r="R3359">
        <f t="shared" si="467"/>
        <v>0</v>
      </c>
      <c r="S3359">
        <f t="shared" si="469"/>
        <v>1168.1075263153691</v>
      </c>
      <c r="T3359" s="564">
        <f>IF((I3359-MAX(I$470:I3359))/MAX(I$470:I3359)&gt;T3358,T3358,(I3359-MAX(I$470:I3359))/MAX(I$470:I3359))</f>
        <v>-0.91338805338419748</v>
      </c>
      <c r="U3359" s="564">
        <f>IF((J3359-MAX(J$470:J3359))/MAX(J$470:J3359)&gt;U3358,U3358,(J3359-MAX(J$470:J3359))/MAX(J$470:J3359))</f>
        <v>-0.83569785939843477</v>
      </c>
      <c r="V3359" s="564">
        <f>IF((K3359-MAX(K$470:K3359))/MAX(K$470:K3359)&gt;V3358,V3358,(K3359-MAX(K$470:K3359))/MAX(K$470:K3359))</f>
        <v>-0.84885940676762139</v>
      </c>
      <c r="W3359" s="564">
        <f>IF((N3359-MAX(N$470:N3359))/MAX(N$470:N3359)&gt;W3358,W3358,(N3359-MAX(N$470:N3359))/MAX(N$470:N3359))</f>
        <v>-0.62788758315546067</v>
      </c>
      <c r="X3359" s="564">
        <f>IF((O3359-MAX(O$470:O3359))/MAX(O$470:O3359)&gt;X3358,X3358,(O3359-MAX(O$470:O3359))/MAX(O$470:O3359))</f>
        <v>-0.62788758315546067</v>
      </c>
    </row>
    <row r="3360" spans="1:24">
      <c r="A3360" s="799">
        <v>43762</v>
      </c>
      <c r="B3360">
        <v>7440.1183034433998</v>
      </c>
      <c r="C3360">
        <v>6480.1458409999996</v>
      </c>
      <c r="D3360">
        <v>1.3204400000000001</v>
      </c>
      <c r="E3360">
        <f>LN(D3360/参数实验室!$E$53)/参数实验室!$E$55</f>
        <v>-0.36503816648925863</v>
      </c>
      <c r="F3360">
        <f t="shared" si="468"/>
        <v>0.87097349487049014</v>
      </c>
      <c r="G3360">
        <f>LN(F3360/参数实验室!$E$58)/参数实验室!$E$59</f>
        <v>-0.26303532159229764</v>
      </c>
      <c r="H3360" s="856">
        <f>INDEX(神经网络!$G$10:$BO$70,MATCH(ROUND(G3360*2,1)/2,神经网络!$E$10:$E$70,0),MATCH(ROUND(E3360*2,1)/2,神经网络!$G$8:$BO$8,0))</f>
        <v>-0.51075529571207356</v>
      </c>
      <c r="I3360">
        <f t="shared" si="470"/>
        <v>603758.34352295671</v>
      </c>
      <c r="J3360">
        <f t="shared" si="471"/>
        <v>2968.8034409813636</v>
      </c>
      <c r="K3360">
        <f t="shared" si="472"/>
        <v>203.36757064771496</v>
      </c>
      <c r="L3360" s="4">
        <f>MIN(MAX(L3359*(1+MAX(MIN(((B3360-B3359)/B3359)/($K$7*卓尔金历!$N$40),0),-卓尔金历!$M$43))+MIN(MAX(((B3360-B3359)/B3359)/($K$7*卓尔金历!$N$40),0),卓尔金历!$M$43),0),1)</f>
        <v>0</v>
      </c>
      <c r="M3360" s="4">
        <f>MIN(MAX(M3359*(1+MAX(MIN(((B3360-B3359)/B3359)/($K$7*30),0),-卓尔金历!$M$43))+MIN(MAX(((B3360-B3359)/B3359)/($K$7*7),0),卓尔金历!$M$43),0),1)</f>
        <v>0.30040656180316772</v>
      </c>
      <c r="N3360">
        <f t="shared" si="473"/>
        <v>211541.79263013418</v>
      </c>
      <c r="O3360">
        <f t="shared" si="474"/>
        <v>598751.09587409836</v>
      </c>
      <c r="P3360">
        <f t="shared" si="475"/>
        <v>-2.2499238990880996E-3</v>
      </c>
      <c r="Q3360">
        <f t="shared" si="466"/>
        <v>2.5623804704627468E-2</v>
      </c>
      <c r="R3360">
        <f t="shared" si="467"/>
        <v>1</v>
      </c>
      <c r="S3360">
        <f t="shared" si="469"/>
        <v>1168.1075263153691</v>
      </c>
      <c r="T3360" s="564">
        <f>IF((I3360-MAX(I$470:I3360))/MAX(I$470:I3360)&gt;T3359,T3359,(I3360-MAX(I$470:I3360))/MAX(I$470:I3360))</f>
        <v>-0.91338805338419748</v>
      </c>
      <c r="U3360" s="564">
        <f>IF((J3360-MAX(J$470:J3360))/MAX(J$470:J3360)&gt;U3359,U3359,(J3360-MAX(J$470:J3360))/MAX(J$470:J3360))</f>
        <v>-0.83569785939843477</v>
      </c>
      <c r="V3360" s="564">
        <f>IF((K3360-MAX(K$470:K3360))/MAX(K$470:K3360)&gt;V3359,V3359,(K3360-MAX(K$470:K3360))/MAX(K$470:K3360))</f>
        <v>-0.84885940676762139</v>
      </c>
      <c r="W3360" s="564">
        <f>IF((N3360-MAX(N$470:N3360))/MAX(N$470:N3360)&gt;W3359,W3359,(N3360-MAX(N$470:N3360))/MAX(N$470:N3360))</f>
        <v>-0.62788758315546067</v>
      </c>
      <c r="X3360" s="564">
        <f>IF((O3360-MAX(O$470:O3360))/MAX(O$470:O3360)&gt;X3359,X3359,(O3360-MAX(O$470:O3360))/MAX(O$470:O3360))</f>
        <v>-0.62788758315546067</v>
      </c>
    </row>
    <row r="3361" spans="1:24">
      <c r="A3361" s="799">
        <v>43763</v>
      </c>
      <c r="B3361">
        <v>7722.1798708611004</v>
      </c>
      <c r="C3361">
        <v>6560.8466760000001</v>
      </c>
      <c r="D3361">
        <v>1.5303329999999999</v>
      </c>
      <c r="E3361">
        <f>LN(D3361/参数实验室!$E$53)/参数实验室!$E$55</f>
        <v>-0.19100056163961973</v>
      </c>
      <c r="F3361">
        <f t="shared" si="468"/>
        <v>0.84961070393564919</v>
      </c>
      <c r="G3361">
        <f>LN(F3361/参数实验室!$E$58)/参数实验室!$E$59</f>
        <v>-0.27606917766260874</v>
      </c>
      <c r="H3361" s="856">
        <f>INDEX(神经网络!$G$10:$BO$70,MATCH(ROUND(G3361*2,1)/2,神经网络!$E$10:$E$70,0),MATCH(ROUND(E3361*2,1)/2,神经网络!$G$8:$BO$8,0))</f>
        <v>-0.4779542486348563</v>
      </c>
      <c r="I3361">
        <f t="shared" si="470"/>
        <v>592067.65479059517</v>
      </c>
      <c r="J3361">
        <f t="shared" si="471"/>
        <v>3081.3534459363536</v>
      </c>
      <c r="K3361">
        <f t="shared" si="472"/>
        <v>192.14532353352902</v>
      </c>
      <c r="L3361" s="4">
        <f>MIN(MAX(L3360*(1+MAX(MIN(((B3361-B3360)/B3360)/($K$7*卓尔金历!$N$40),0),-卓尔金历!$M$43))+MIN(MAX(((B3361-B3360)/B3360)/($K$7*卓尔金历!$N$40),0),卓尔金历!$M$43),0),1)</f>
        <v>0.57924214375868499</v>
      </c>
      <c r="M3361" s="4">
        <f>MIN(MAX(M3360*(1+MAX(MIN(((B3361-B3360)/B3360)/($K$7*30),0),-卓尔金历!$M$43))+MIN(MAX(((B3361-B3360)/B3360)/($K$7*7),0),卓尔金历!$M$43),0),1)</f>
        <v>1</v>
      </c>
      <c r="N3361">
        <f t="shared" si="473"/>
        <v>211541.79263013418</v>
      </c>
      <c r="O3361">
        <f t="shared" si="474"/>
        <v>595268.26257492346</v>
      </c>
      <c r="P3361">
        <f t="shared" si="475"/>
        <v>3.7910898175793559E-2</v>
      </c>
      <c r="Q3361">
        <f t="shared" si="466"/>
        <v>2.7120708878770404E-2</v>
      </c>
      <c r="R3361">
        <f t="shared" si="467"/>
        <v>1.7041341414486735E-2</v>
      </c>
      <c r="S3361">
        <f t="shared" si="469"/>
        <v>1145.4892359967648</v>
      </c>
      <c r="T3361" s="564">
        <f>IF((I3361-MAX(I$470:I3361))/MAX(I$470:I3361)&gt;T3360,T3360,(I3361-MAX(I$470:I3361))/MAX(I$470:I3361))</f>
        <v>-0.91338805338419748</v>
      </c>
      <c r="U3361" s="564">
        <f>IF((J3361-MAX(J$470:J3361))/MAX(J$470:J3361)&gt;U3360,U3360,(J3361-MAX(J$470:J3361))/MAX(J$470:J3361))</f>
        <v>-0.83569785939843477</v>
      </c>
      <c r="V3361" s="564">
        <f>IF((K3361-MAX(K$470:K3361))/MAX(K$470:K3361)&gt;V3360,V3360,(K3361-MAX(K$470:K3361))/MAX(K$470:K3361))</f>
        <v>-0.84885940676762139</v>
      </c>
      <c r="W3361" s="564">
        <f>IF((N3361-MAX(N$470:N3361))/MAX(N$470:N3361)&gt;W3360,W3360,(N3361-MAX(N$470:N3361))/MAX(N$470:N3361))</f>
        <v>-0.62788758315546067</v>
      </c>
      <c r="X3361" s="564">
        <f>IF((O3361-MAX(O$470:O3361))/MAX(O$470:O3361)&gt;X3360,X3360,(O3361-MAX(O$470:O3361))/MAX(O$470:O3361))</f>
        <v>-0.62788758315546067</v>
      </c>
    </row>
    <row r="3362" spans="1:24">
      <c r="A3362" s="799">
        <v>43764</v>
      </c>
      <c r="B3362">
        <v>9226.5156797404998</v>
      </c>
      <c r="C3362">
        <v>6665.368082</v>
      </c>
      <c r="D3362">
        <v>1.63053</v>
      </c>
      <c r="E3362">
        <f>LN(D3362/参数实验室!$E$53)/参数实验室!$E$55</f>
        <v>-0.11618089810541843</v>
      </c>
      <c r="F3362">
        <f t="shared" si="468"/>
        <v>0.72241443177035458</v>
      </c>
      <c r="G3362">
        <f>LN(F3362/参数实验室!$E$58)/参数实验室!$E$59</f>
        <v>-0.36118962310315073</v>
      </c>
      <c r="H3362" s="856">
        <f>INDEX(神经网络!$G$10:$BO$70,MATCH(ROUND(G3362*2,1)/2,神经网络!$E$10:$E$70,0),MATCH(ROUND(E3362*2,1)/2,神经网络!$G$8:$BO$8,0))</f>
        <v>-0.47881512889002076</v>
      </c>
      <c r="I3362">
        <f t="shared" si="470"/>
        <v>536940.88535892754</v>
      </c>
      <c r="J3362">
        <f t="shared" si="471"/>
        <v>3681.6231115041273</v>
      </c>
      <c r="K3362">
        <f t="shared" si="472"/>
        <v>145.84352311379322</v>
      </c>
      <c r="L3362" s="4">
        <f>MIN(MAX(L3361*(1+MAX(MIN(((B3362-B3361)/B3361)/($K$7*卓尔金历!$N$40),0),-卓尔金历!$M$43))+MIN(MAX(((B3362-B3361)/B3361)/($K$7*卓尔金历!$N$40),0),卓尔金历!$M$43),0),1)</f>
        <v>1</v>
      </c>
      <c r="M3362" s="4">
        <f>MIN(MAX(M3361*(1+MAX(MIN(((B3362-B3361)/B3361)/($K$7*30),0),-卓尔金历!$M$43))+MIN(MAX(((B3362-B3361)/B3361)/($K$7*7),0),卓尔金历!$M$43),0),1)</f>
        <v>1</v>
      </c>
      <c r="N3362">
        <f t="shared" si="473"/>
        <v>200132.79370729628</v>
      </c>
      <c r="O3362">
        <f t="shared" si="474"/>
        <v>539843.48806572752</v>
      </c>
      <c r="P3362">
        <f t="shared" si="475"/>
        <v>0.19480714436034638</v>
      </c>
      <c r="Q3362">
        <f t="shared" si="466"/>
        <v>4.9806505301209121E-2</v>
      </c>
      <c r="R3362">
        <f t="shared" si="467"/>
        <v>0</v>
      </c>
      <c r="S3362">
        <f t="shared" si="469"/>
        <v>1143.6716875467134</v>
      </c>
      <c r="T3362" s="564">
        <f>IF((I3362-MAX(I$470:I3362))/MAX(I$470:I3362)&gt;T3361,T3361,(I3362-MAX(I$470:I3362))/MAX(I$470:I3362))</f>
        <v>-0.91338805338419748</v>
      </c>
      <c r="U3362" s="564">
        <f>IF((J3362-MAX(J$470:J3362))/MAX(J$470:J3362)&gt;U3361,U3361,(J3362-MAX(J$470:J3362))/MAX(J$470:J3362))</f>
        <v>-0.83569785939843477</v>
      </c>
      <c r="V3362" s="564">
        <f>IF((K3362-MAX(K$470:K3362))/MAX(K$470:K3362)&gt;V3361,V3361,(K3362-MAX(K$470:K3362))/MAX(K$470:K3362))</f>
        <v>-0.84885940676762139</v>
      </c>
      <c r="W3362" s="564">
        <f>IF((N3362-MAX(N$470:N3362))/MAX(N$470:N3362)&gt;W3361,W3361,(N3362-MAX(N$470:N3362))/MAX(N$470:N3362))</f>
        <v>-0.62788758315546067</v>
      </c>
      <c r="X3362" s="564">
        <f>IF((O3362-MAX(O$470:O3362))/MAX(O$470:O3362)&gt;X3361,X3361,(O3362-MAX(O$470:O3362))/MAX(O$470:O3362))</f>
        <v>-0.62788758315546067</v>
      </c>
    </row>
    <row r="3363" spans="1:24">
      <c r="A3363" s="799">
        <v>43765</v>
      </c>
      <c r="B3363">
        <v>9517.3249403668997</v>
      </c>
      <c r="C3363">
        <v>6780.9311170000001</v>
      </c>
      <c r="D3363">
        <v>1.683133</v>
      </c>
      <c r="E3363">
        <f>LN(D3363/参数实验室!$E$53)/参数实验室!$E$55</f>
        <v>-7.8721582752128871E-2</v>
      </c>
      <c r="F3363">
        <f t="shared" si="468"/>
        <v>0.71248288352951727</v>
      </c>
      <c r="G3363">
        <f>LN(F3363/参数实验室!$E$58)/参数实验室!$E$59</f>
        <v>-0.36845522522535129</v>
      </c>
      <c r="H3363" s="856">
        <f>INDEX(神经网络!$G$10:$BO$70,MATCH(ROUND(G3363*2,1)/2,神经网络!$E$10:$E$70,0),MATCH(ROUND(E3363*2,1)/2,神经网络!$G$8:$BO$8,0))</f>
        <v>-0.47881512889002076</v>
      </c>
      <c r="I3363">
        <f t="shared" si="470"/>
        <v>528837.53070461075</v>
      </c>
      <c r="J3363">
        <f t="shared" si="471"/>
        <v>3797.6636767754248</v>
      </c>
      <c r="K3363">
        <f t="shared" si="472"/>
        <v>139.25338727036612</v>
      </c>
      <c r="L3363" s="4">
        <f>MIN(MAX(L3362*(1+MAX(MIN(((B3363-B3362)/B3362)/($K$7*卓尔金历!$N$40),0),-卓尔金历!$M$43))+MIN(MAX(((B3363-B3362)/B3362)/($K$7*卓尔金历!$N$40),0),卓尔金历!$M$43),0),1)</f>
        <v>1</v>
      </c>
      <c r="M3363" s="4">
        <f>MIN(MAX(M3362*(1+MAX(MIN(((B3363-B3362)/B3362)/($K$7*30),0),-卓尔金历!$M$43))+MIN(MAX(((B3363-B3362)/B3362)/($K$7*7),0),卓尔金历!$M$43),0),1)</f>
        <v>1</v>
      </c>
      <c r="N3363">
        <f t="shared" si="473"/>
        <v>197112.44817282396</v>
      </c>
      <c r="O3363">
        <f t="shared" si="474"/>
        <v>531696.32818108622</v>
      </c>
      <c r="P3363">
        <f t="shared" si="475"/>
        <v>3.1518860501690393E-2</v>
      </c>
      <c r="Q3363">
        <f t="shared" si="466"/>
        <v>5.0020359024359667E-2</v>
      </c>
      <c r="R3363">
        <f t="shared" si="467"/>
        <v>0.53465333075219112</v>
      </c>
      <c r="S3363">
        <f t="shared" si="469"/>
        <v>1143.6716875467134</v>
      </c>
      <c r="T3363" s="564">
        <f>IF((I3363-MAX(I$470:I3363))/MAX(I$470:I3363)&gt;T3362,T3362,(I3363-MAX(I$470:I3363))/MAX(I$470:I3363))</f>
        <v>-0.91338805338419748</v>
      </c>
      <c r="U3363" s="564">
        <f>IF((J3363-MAX(J$470:J3363))/MAX(J$470:J3363)&gt;U3362,U3362,(J3363-MAX(J$470:J3363))/MAX(J$470:J3363))</f>
        <v>-0.83569785939843477</v>
      </c>
      <c r="V3363" s="564">
        <f>IF((K3363-MAX(K$470:K3363))/MAX(K$470:K3363)&gt;V3362,V3362,(K3363-MAX(K$470:K3363))/MAX(K$470:K3363))</f>
        <v>-0.84885940676762139</v>
      </c>
      <c r="W3363" s="564">
        <f>IF((N3363-MAX(N$470:N3363))/MAX(N$470:N3363)&gt;W3362,W3362,(N3363-MAX(N$470:N3363))/MAX(N$470:N3363))</f>
        <v>-0.62788758315546067</v>
      </c>
      <c r="X3363" s="564">
        <f>IF((O3363-MAX(O$470:O3363))/MAX(O$470:O3363)&gt;X3362,X3362,(O3363-MAX(O$470:O3363))/MAX(O$470:O3363))</f>
        <v>-0.62788758315546067</v>
      </c>
    </row>
    <row r="3364" spans="1:24">
      <c r="A3364" s="799">
        <v>43766</v>
      </c>
      <c r="B3364">
        <v>9349.0860376021992</v>
      </c>
      <c r="C3364">
        <v>6885.3276640000004</v>
      </c>
      <c r="D3364">
        <v>1.6384460000000001</v>
      </c>
      <c r="E3364">
        <f>LN(D3364/参数实验室!$E$53)/参数实验室!$E$55</f>
        <v>-0.11046721594097858</v>
      </c>
      <c r="F3364">
        <f t="shared" si="468"/>
        <v>0.73647067064171656</v>
      </c>
      <c r="G3364">
        <f>LN(F3364/参数实验室!$E$58)/参数实验室!$E$59</f>
        <v>-0.35107545840249421</v>
      </c>
      <c r="H3364" s="856">
        <f>INDEX(神经网络!$G$10:$BO$70,MATCH(ROUND(G3364*2,1)/2,神经网络!$E$10:$E$70,0),MATCH(ROUND(E3364*2,1)/2,神经网络!$G$8:$BO$8,0))</f>
        <v>-0.47881512889002076</v>
      </c>
      <c r="I3364">
        <f t="shared" si="470"/>
        <v>533313.65010582306</v>
      </c>
      <c r="J3364">
        <f t="shared" si="471"/>
        <v>3730.5319171629994</v>
      </c>
      <c r="K3364">
        <f t="shared" si="472"/>
        <v>142.95914415105668</v>
      </c>
      <c r="L3364" s="4">
        <f>MIN(MAX(L3363*(1+MAX(MIN(((B3364-B3363)/B3363)/($K$7*卓尔金历!$N$40),0),-卓尔金历!$M$43))+MIN(MAX(((B3364-B3363)/B3363)/($K$7*卓尔金历!$N$40),0),卓尔金历!$M$43),0),1)</f>
        <v>0.72991055747771494</v>
      </c>
      <c r="M3364" s="4">
        <f>MIN(MAX(M3363*(1+MAX(MIN(((B3364-B3363)/B3363)/($K$7*30),0),-卓尔金历!$M$43))+MIN(MAX(((B3364-B3363)/B3363)/($K$7*7),0),卓尔金历!$M$43),0),1)</f>
        <v>0.86495527873885747</v>
      </c>
      <c r="N3364">
        <f t="shared" si="473"/>
        <v>198780.82229958323</v>
      </c>
      <c r="O3364">
        <f t="shared" si="474"/>
        <v>536196.64465248678</v>
      </c>
      <c r="P3364">
        <f t="shared" si="475"/>
        <v>-1.7677120810610333E-2</v>
      </c>
      <c r="Q3364">
        <f t="shared" si="466"/>
        <v>5.0322616039516772E-2</v>
      </c>
      <c r="R3364">
        <f t="shared" si="467"/>
        <v>1</v>
      </c>
      <c r="S3364">
        <f t="shared" si="469"/>
        <v>1148.8471962213011</v>
      </c>
      <c r="T3364" s="564">
        <f>IF((I3364-MAX(I$470:I3364))/MAX(I$470:I3364)&gt;T3363,T3363,(I3364-MAX(I$470:I3364))/MAX(I$470:I3364))</f>
        <v>-0.91338805338419748</v>
      </c>
      <c r="U3364" s="564">
        <f>IF((J3364-MAX(J$470:J3364))/MAX(J$470:J3364)&gt;U3363,U3363,(J3364-MAX(J$470:J3364))/MAX(J$470:J3364))</f>
        <v>-0.83569785939843477</v>
      </c>
      <c r="V3364" s="564">
        <f>IF((K3364-MAX(K$470:K3364))/MAX(K$470:K3364)&gt;V3363,V3363,(K3364-MAX(K$470:K3364))/MAX(K$470:K3364))</f>
        <v>-0.84885940676762139</v>
      </c>
      <c r="W3364" s="564">
        <f>IF((N3364-MAX(N$470:N3364))/MAX(N$470:N3364)&gt;W3363,W3363,(N3364-MAX(N$470:N3364))/MAX(N$470:N3364))</f>
        <v>-0.62788758315546067</v>
      </c>
      <c r="X3364" s="564">
        <f>IF((O3364-MAX(O$470:O3364))/MAX(O$470:O3364)&gt;X3363,X3363,(O3364-MAX(O$470:O3364))/MAX(O$470:O3364))</f>
        <v>-0.62788758315546067</v>
      </c>
    </row>
    <row r="3365" spans="1:24">
      <c r="A3365" s="799">
        <v>43767</v>
      </c>
      <c r="B3365">
        <v>9338.6346879879002</v>
      </c>
      <c r="C3365">
        <v>6873.2580209999996</v>
      </c>
      <c r="D3365">
        <v>1.655718</v>
      </c>
      <c r="E3365">
        <f>LN(D3365/参数实验室!$E$53)/参数实验室!$E$55</f>
        <v>-9.8095709992835026E-2</v>
      </c>
      <c r="F3365">
        <f t="shared" si="468"/>
        <v>0.73600245117639462</v>
      </c>
      <c r="G3365">
        <f>LN(F3365/参数实验室!$E$58)/参数实验室!$E$59</f>
        <v>-0.35140924634614507</v>
      </c>
      <c r="H3365" s="856">
        <f>INDEX(神经网络!$G$10:$BO$70,MATCH(ROUND(G3365*2,1)/2,神经网络!$E$10:$E$70,0),MATCH(ROUND(E3365*2,1)/2,神经网络!$G$8:$BO$8,0))</f>
        <v>-0.47881512889002076</v>
      </c>
      <c r="I3365">
        <f t="shared" si="470"/>
        <v>533599.11570705264</v>
      </c>
      <c r="J3365">
        <f t="shared" si="471"/>
        <v>3726.3615530058237</v>
      </c>
      <c r="K3365">
        <f t="shared" si="472"/>
        <v>143.19574419090694</v>
      </c>
      <c r="L3365" s="4">
        <f>MIN(MAX(L3364*(1+MAX(MIN(((B3365-B3364)/B3364)/($K$7*卓尔金历!$N$40),0),-卓尔金历!$M$43))+MIN(MAX(((B3365-B3364)/B3364)/($K$7*卓尔金历!$N$40),0),卓尔金历!$M$43),0),1)</f>
        <v>0.71744335700185491</v>
      </c>
      <c r="M3365" s="4">
        <f>MIN(MAX(M3364*(1+MAX(MIN(((B3365-B3364)/B3364)/($K$7*30),0),-卓尔金历!$M$43))+MIN(MAX(((B3365-B3364)/B3364)/($K$7*7),0),卓尔金历!$M$43),0),1)</f>
        <v>0.85756836622456634</v>
      </c>
      <c r="N3365">
        <f t="shared" si="473"/>
        <v>198858.48548716909</v>
      </c>
      <c r="O3365">
        <f t="shared" si="474"/>
        <v>536444.89440768689</v>
      </c>
      <c r="P3365">
        <f t="shared" si="475"/>
        <v>-1.1179006773778216E-3</v>
      </c>
      <c r="Q3365">
        <f t="shared" si="466"/>
        <v>5.0355944646354907E-2</v>
      </c>
      <c r="R3365">
        <f t="shared" si="467"/>
        <v>1</v>
      </c>
      <c r="S3365">
        <f t="shared" si="469"/>
        <v>1149.4621370830719</v>
      </c>
      <c r="T3365" s="564">
        <f>IF((I3365-MAX(I$470:I3365))/MAX(I$470:I3365)&gt;T3364,T3364,(I3365-MAX(I$470:I3365))/MAX(I$470:I3365))</f>
        <v>-0.91338805338419748</v>
      </c>
      <c r="U3365" s="564">
        <f>IF((J3365-MAX(J$470:J3365))/MAX(J$470:J3365)&gt;U3364,U3364,(J3365-MAX(J$470:J3365))/MAX(J$470:J3365))</f>
        <v>-0.83569785939843477</v>
      </c>
      <c r="V3365" s="564">
        <f>IF((K3365-MAX(K$470:K3365))/MAX(K$470:K3365)&gt;V3364,V3364,(K3365-MAX(K$470:K3365))/MAX(K$470:K3365))</f>
        <v>-0.84885940676762139</v>
      </c>
      <c r="W3365" s="564">
        <f>IF((N3365-MAX(N$470:N3365))/MAX(N$470:N3365)&gt;W3364,W3364,(N3365-MAX(N$470:N3365))/MAX(N$470:N3365))</f>
        <v>-0.62788758315546067</v>
      </c>
      <c r="X3365" s="564">
        <f>IF((O3365-MAX(O$470:O3365))/MAX(O$470:O3365)&gt;X3364,X3364,(O3365-MAX(O$470:O3365))/MAX(O$470:O3365))</f>
        <v>-0.62788758315546067</v>
      </c>
    </row>
    <row r="3366" spans="1:24">
      <c r="A3366" s="799">
        <v>43768</v>
      </c>
      <c r="B3366">
        <v>9065.2320483233998</v>
      </c>
      <c r="C3366">
        <v>6814.6647350000003</v>
      </c>
      <c r="D3366">
        <v>1.6118170000000001</v>
      </c>
      <c r="E3366">
        <f>LN(D3366/参数实验室!$E$53)/参数实验室!$E$55</f>
        <v>-0.12979879130483984</v>
      </c>
      <c r="F3366">
        <f t="shared" si="468"/>
        <v>0.7517363812281409</v>
      </c>
      <c r="G3366">
        <f>LN(F3366/参数实验室!$E$58)/参数实验室!$E$59</f>
        <v>-0.34030739900869572</v>
      </c>
      <c r="H3366" s="856">
        <f>INDEX(神经网络!$G$10:$BO$70,MATCH(ROUND(G3366*2,1)/2,神经网络!$E$10:$E$70,0),MATCH(ROUND(E3366*2,1)/2,神经网络!$G$8:$BO$8,0))</f>
        <v>-0.51523219373049767</v>
      </c>
      <c r="I3366">
        <f t="shared" si="470"/>
        <v>541079.12748646317</v>
      </c>
      <c r="J3366">
        <f t="shared" si="471"/>
        <v>3617.2666886091515</v>
      </c>
      <c r="K3366">
        <f t="shared" si="472"/>
        <v>149.58231561701896</v>
      </c>
      <c r="L3366" s="4">
        <f>MIN(MAX(L3365*(1+MAX(MIN(((B3366-B3365)/B3365)/($K$7*卓尔金历!$N$40),0),-卓尔金历!$M$43))+MIN(MAX(((B3366-B3365)/B3365)/($K$7*卓尔金历!$N$40),0),卓尔金历!$M$43),0),1)</f>
        <v>0.39651875329579811</v>
      </c>
      <c r="M3366" s="4">
        <f>MIN(MAX(M3365*(1+MAX(MIN(((B3366-B3365)/B3365)/($K$7*30),0),-卓尔金历!$M$43))+MIN(MAX(((B3366-B3365)/B3365)/($K$7*7),0),卓尔金历!$M$43),0),1)</f>
        <v>0.66576591562304932</v>
      </c>
      <c r="N3366">
        <f t="shared" si="473"/>
        <v>200858.43451376111</v>
      </c>
      <c r="O3366">
        <f t="shared" si="474"/>
        <v>542893.72620248061</v>
      </c>
      <c r="P3366">
        <f t="shared" si="475"/>
        <v>-2.9276510839017268E-2</v>
      </c>
      <c r="Q3366">
        <f t="shared" si="466"/>
        <v>5.0111709217307635E-2</v>
      </c>
      <c r="R3366">
        <f t="shared" si="467"/>
        <v>0.61488989401314942</v>
      </c>
      <c r="S3366">
        <f t="shared" si="469"/>
        <v>1165.5753390586315</v>
      </c>
      <c r="T3366" s="564">
        <f>IF((I3366-MAX(I$470:I3366))/MAX(I$470:I3366)&gt;T3365,T3365,(I3366-MAX(I$470:I3366))/MAX(I$470:I3366))</f>
        <v>-0.91338805338419748</v>
      </c>
      <c r="U3366" s="564">
        <f>IF((J3366-MAX(J$470:J3366))/MAX(J$470:J3366)&gt;U3365,U3365,(J3366-MAX(J$470:J3366))/MAX(J$470:J3366))</f>
        <v>-0.83569785939843477</v>
      </c>
      <c r="V3366" s="564">
        <f>IF((K3366-MAX(K$470:K3366))/MAX(K$470:K3366)&gt;V3365,V3365,(K3366-MAX(K$470:K3366))/MAX(K$470:K3366))</f>
        <v>-0.84885940676762139</v>
      </c>
      <c r="W3366" s="564">
        <f>IF((N3366-MAX(N$470:N3366))/MAX(N$470:N3366)&gt;W3365,W3365,(N3366-MAX(N$470:N3366))/MAX(N$470:N3366))</f>
        <v>-0.62788758315546067</v>
      </c>
      <c r="X3366" s="564">
        <f>IF((O3366-MAX(O$470:O3366))/MAX(O$470:O3366)&gt;X3365,X3365,(O3366-MAX(O$470:O3366))/MAX(O$470:O3366))</f>
        <v>-0.62788758315546067</v>
      </c>
    </row>
    <row r="3367" spans="1:24">
      <c r="A3367" s="799">
        <v>43769</v>
      </c>
      <c r="B3367">
        <v>9200.8134680499006</v>
      </c>
      <c r="C3367">
        <v>6835.2291180000002</v>
      </c>
      <c r="D3367">
        <v>1.6064639999999999</v>
      </c>
      <c r="E3367">
        <f>LN(D3367/参数实验室!$E$53)/参数实验室!$E$55</f>
        <v>-0.1337233864156403</v>
      </c>
      <c r="F3367">
        <f t="shared" si="468"/>
        <v>0.74289399972464798</v>
      </c>
      <c r="G3367">
        <f>LN(F3367/参数实验室!$E$58)/参数实验室!$E$59</f>
        <v>-0.34651764856302464</v>
      </c>
      <c r="H3367" s="856">
        <f>INDEX(神经网络!$G$10:$BO$70,MATCH(ROUND(G3367*2,1)/2,神经网络!$E$10:$E$70,0),MATCH(ROUND(E3367*2,1)/2,神经网络!$G$8:$BO$8,0))</f>
        <v>-0.51523219373049767</v>
      </c>
      <c r="I3367">
        <f t="shared" si="470"/>
        <v>536909.61744153907</v>
      </c>
      <c r="J3367">
        <f t="shared" si="471"/>
        <v>3671.3672511272075</v>
      </c>
      <c r="K3367">
        <f t="shared" si="472"/>
        <v>146.2424161670815</v>
      </c>
      <c r="L3367" s="4">
        <f>MIN(MAX(L3366*(1+MAX(MIN(((B3367-B3366)/B3366)/($K$7*卓尔金历!$N$40),0),-卓尔金历!$M$43))+MIN(MAX(((B3367-B3366)/B3366)/($K$7*卓尔金历!$N$40),0),卓尔金历!$M$43),0),1)</f>
        <v>0.62503513044122805</v>
      </c>
      <c r="M3367" s="4">
        <f>MIN(MAX(M3366*(1+MAX(MIN(((B3367-B3366)/B3366)/($K$7*30),0),-卓尔金历!$M$43))+MIN(MAX(((B3367-B3366)/B3366)/($K$7*7),0),卓尔金历!$M$43),0),1)</f>
        <v>1</v>
      </c>
      <c r="N3367">
        <f t="shared" si="473"/>
        <v>200244.70352992057</v>
      </c>
      <c r="O3367">
        <f t="shared" si="474"/>
        <v>540108.49902878446</v>
      </c>
      <c r="P3367">
        <f t="shared" si="475"/>
        <v>1.4956199576995538E-2</v>
      </c>
      <c r="Q3367">
        <f t="shared" si="466"/>
        <v>5.005439357299666E-2</v>
      </c>
      <c r="R3367">
        <f t="shared" si="467"/>
        <v>1</v>
      </c>
      <c r="S3367">
        <f t="shared" si="469"/>
        <v>1160.0525055794199</v>
      </c>
      <c r="T3367" s="564">
        <f>IF((I3367-MAX(I$470:I3367))/MAX(I$470:I3367)&gt;T3366,T3366,(I3367-MAX(I$470:I3367))/MAX(I$470:I3367))</f>
        <v>-0.91338805338419748</v>
      </c>
      <c r="U3367" s="564">
        <f>IF((J3367-MAX(J$470:J3367))/MAX(J$470:J3367)&gt;U3366,U3366,(J3367-MAX(J$470:J3367))/MAX(J$470:J3367))</f>
        <v>-0.83569785939843477</v>
      </c>
      <c r="V3367" s="564">
        <f>IF((K3367-MAX(K$470:K3367))/MAX(K$470:K3367)&gt;V3366,V3366,(K3367-MAX(K$470:K3367))/MAX(K$470:K3367))</f>
        <v>-0.84885940676762139</v>
      </c>
      <c r="W3367" s="564">
        <f>IF((N3367-MAX(N$470:N3367))/MAX(N$470:N3367)&gt;W3366,W3366,(N3367-MAX(N$470:N3367))/MAX(N$470:N3367))</f>
        <v>-0.62788758315546067</v>
      </c>
      <c r="X3367" s="564">
        <f>IF((O3367-MAX(O$470:O3367))/MAX(O$470:O3367)&gt;X3366,X3366,(O3367-MAX(O$470:O3367))/MAX(O$470:O3367))</f>
        <v>-0.62788758315546067</v>
      </c>
    </row>
    <row r="3368" spans="1:24">
      <c r="A3368" s="799">
        <v>43770</v>
      </c>
      <c r="B3368">
        <v>9130.4625211815001</v>
      </c>
      <c r="C3368">
        <v>6898.0654750000003</v>
      </c>
      <c r="D3368">
        <v>1.620771</v>
      </c>
      <c r="E3368">
        <f>LN(D3368/参数实验室!$E$53)/参数实验室!$E$55</f>
        <v>-0.12326313778968957</v>
      </c>
      <c r="F3368">
        <f t="shared" si="468"/>
        <v>0.7555001139315094</v>
      </c>
      <c r="G3368">
        <f>LN(F3368/参数实验室!$E$58)/参数实验室!$E$59</f>
        <v>-0.33768615882678177</v>
      </c>
      <c r="H3368" s="856">
        <f>INDEX(神经网络!$G$10:$BO$70,MATCH(ROUND(G3368*2,1)/2,神经网络!$E$10:$E$70,0),MATCH(ROUND(E3368*2,1)/2,神经网络!$G$8:$BO$8,0))</f>
        <v>-0.47881512889002076</v>
      </c>
      <c r="I3368">
        <f t="shared" si="470"/>
        <v>539024.80019106541</v>
      </c>
      <c r="J3368">
        <f t="shared" si="471"/>
        <v>3643.2953677752262</v>
      </c>
      <c r="K3368">
        <f t="shared" si="472"/>
        <v>147.94979428753268</v>
      </c>
      <c r="L3368" s="4">
        <f>MIN(MAX(L3367*(1+MAX(MIN(((B3368-B3367)/B3367)/($K$7*卓尔金历!$N$40),0),-卓尔金历!$M$43))+MIN(MAX(((B3368-B3367)/B3367)/($K$7*卓尔金历!$N$40),0),卓尔金历!$M$43),0),1)</f>
        <v>0.55201472716498479</v>
      </c>
      <c r="M3368" s="4">
        <f>MIN(MAX(M3367*(1+MAX(MIN(((B3368-B3367)/B3367)/($K$7*30),0),-卓尔金历!$M$43))+MIN(MAX(((B3368-B3367)/B3367)/($K$7*7),0),卓尔金历!$M$43),0),1)</f>
        <v>0.94158696070035586</v>
      </c>
      <c r="N3368">
        <f t="shared" si="473"/>
        <v>200737.77761569407</v>
      </c>
      <c r="O3368">
        <f t="shared" si="474"/>
        <v>542236.28393504501</v>
      </c>
      <c r="P3368">
        <f t="shared" si="475"/>
        <v>-7.6461659735518311E-3</v>
      </c>
      <c r="Q3368">
        <f t="shared" si="466"/>
        <v>4.9829058567440992E-2</v>
      </c>
      <c r="R3368">
        <f t="shared" si="467"/>
        <v>1</v>
      </c>
      <c r="S3368">
        <f t="shared" si="469"/>
        <v>1164.6225914349102</v>
      </c>
      <c r="T3368" s="564">
        <f>IF((I3368-MAX(I$470:I3368))/MAX(I$470:I3368)&gt;T3367,T3367,(I3368-MAX(I$470:I3368))/MAX(I$470:I3368))</f>
        <v>-0.91338805338419748</v>
      </c>
      <c r="U3368" s="564">
        <f>IF((J3368-MAX(J$470:J3368))/MAX(J$470:J3368)&gt;U3367,U3367,(J3368-MAX(J$470:J3368))/MAX(J$470:J3368))</f>
        <v>-0.83569785939843477</v>
      </c>
      <c r="V3368" s="564">
        <f>IF((K3368-MAX(K$470:K3368))/MAX(K$470:K3368)&gt;V3367,V3367,(K3368-MAX(K$470:K3368))/MAX(K$470:K3368))</f>
        <v>-0.84885940676762139</v>
      </c>
      <c r="W3368" s="564">
        <f>IF((N3368-MAX(N$470:N3368))/MAX(N$470:N3368)&gt;W3367,W3367,(N3368-MAX(N$470:N3368))/MAX(N$470:N3368))</f>
        <v>-0.62788758315546067</v>
      </c>
      <c r="X3368" s="564">
        <f>IF((O3368-MAX(O$470:O3368))/MAX(O$470:O3368)&gt;X3367,X3367,(O3368-MAX(O$470:O3368))/MAX(O$470:O3368))</f>
        <v>-0.62788758315546067</v>
      </c>
    </row>
    <row r="3369" spans="1:24">
      <c r="A3369" s="799">
        <v>43771</v>
      </c>
      <c r="B3369">
        <v>9290.7941802090008</v>
      </c>
      <c r="C3369">
        <v>6923.7160160000003</v>
      </c>
      <c r="D3369">
        <v>1.628763</v>
      </c>
      <c r="E3369">
        <f>LN(D3369/参数实验室!$E$53)/参数实验室!$E$55</f>
        <v>-0.11746008606816692</v>
      </c>
      <c r="F3369">
        <f t="shared" si="468"/>
        <v>0.74522326958320884</v>
      </c>
      <c r="G3369">
        <f>LN(F3369/参数实验室!$E$58)/参数实验室!$E$59</f>
        <v>-0.34487459565811629</v>
      </c>
      <c r="H3369" s="856">
        <f>INDEX(神经网络!$G$10:$BO$70,MATCH(ROUND(G3369*2,1)/2,神经网络!$E$10:$E$70,0),MATCH(ROUND(E3369*2,1)/2,神经网络!$G$8:$BO$8,0))</f>
        <v>-0.47881512889002076</v>
      </c>
      <c r="I3369">
        <f t="shared" si="470"/>
        <v>534492.66224931926</v>
      </c>
      <c r="J3369">
        <f t="shared" si="471"/>
        <v>3707.2719285778676</v>
      </c>
      <c r="K3369">
        <f t="shared" si="472"/>
        <v>144.17411847486298</v>
      </c>
      <c r="L3369" s="4">
        <f>MIN(MAX(L3368*(1+MAX(MIN(((B3369-B3368)/B3368)/($K$7*卓尔金历!$N$40),0),-卓尔金历!$M$43))+MIN(MAX(((B3369-B3368)/B3368)/($K$7*卓尔金历!$N$40),0),卓尔金历!$M$43),0),1)</f>
        <v>0.82031590965972412</v>
      </c>
      <c r="M3369" s="4">
        <f>MIN(MAX(M3368*(1+MAX(MIN(((B3369-B3368)/B3368)/($K$7*30),0),-卓尔金历!$M$43))+MIN(MAX(((B3369-B3368)/B3368)/($K$7*7),0),卓尔金历!$M$43),0),1)</f>
        <v>1</v>
      </c>
      <c r="N3369">
        <f t="shared" si="473"/>
        <v>199806.08179238281</v>
      </c>
      <c r="O3369">
        <f t="shared" si="474"/>
        <v>537943.45696990716</v>
      </c>
      <c r="P3369">
        <f t="shared" si="475"/>
        <v>1.756008073583917E-2</v>
      </c>
      <c r="Q3369">
        <f t="shared" si="466"/>
        <v>4.9894367772251265E-2</v>
      </c>
      <c r="R3369">
        <f t="shared" si="467"/>
        <v>1</v>
      </c>
      <c r="S3369">
        <f t="shared" si="469"/>
        <v>1154.8304070445333</v>
      </c>
      <c r="T3369" s="564">
        <f>IF((I3369-MAX(I$470:I3369))/MAX(I$470:I3369)&gt;T3368,T3368,(I3369-MAX(I$470:I3369))/MAX(I$470:I3369))</f>
        <v>-0.91338805338419748</v>
      </c>
      <c r="U3369" s="564">
        <f>IF((J3369-MAX(J$470:J3369))/MAX(J$470:J3369)&gt;U3368,U3368,(J3369-MAX(J$470:J3369))/MAX(J$470:J3369))</f>
        <v>-0.83569785939843477</v>
      </c>
      <c r="V3369" s="564">
        <f>IF((K3369-MAX(K$470:K3369))/MAX(K$470:K3369)&gt;V3368,V3368,(K3369-MAX(K$470:K3369))/MAX(K$470:K3369))</f>
        <v>-0.84885940676762139</v>
      </c>
      <c r="W3369" s="564">
        <f>IF((N3369-MAX(N$470:N3369))/MAX(N$470:N3369)&gt;W3368,W3368,(N3369-MAX(N$470:N3369))/MAX(N$470:N3369))</f>
        <v>-0.62788758315546067</v>
      </c>
      <c r="X3369" s="564">
        <f>IF((O3369-MAX(O$470:O3369))/MAX(O$470:O3369)&gt;X3368,X3368,(O3369-MAX(O$470:O3369))/MAX(O$470:O3369))</f>
        <v>-0.62788758315546067</v>
      </c>
    </row>
    <row r="3370" spans="1:24">
      <c r="A3370" s="799">
        <v>43772</v>
      </c>
      <c r="B3370">
        <v>9171.7332987706995</v>
      </c>
      <c r="C3370">
        <v>6959.0261529999998</v>
      </c>
      <c r="D3370">
        <v>1.612948</v>
      </c>
      <c r="E3370">
        <f>LN(D3370/参数实验室!$E$53)/参数实验室!$E$55</f>
        <v>-0.12897125753190328</v>
      </c>
      <c r="F3370">
        <f t="shared" si="468"/>
        <v>0.75874711205707734</v>
      </c>
      <c r="G3370">
        <f>LN(F3370/参数实验室!$E$58)/参数实验室!$E$59</f>
        <v>-0.33543526785360223</v>
      </c>
      <c r="H3370" s="856">
        <f>INDEX(神经网络!$G$10:$BO$70,MATCH(ROUND(G3370*2,1)/2,神经网络!$E$10:$E$70,0),MATCH(ROUND(E3370*2,1)/2,神经网络!$G$8:$BO$8,0))</f>
        <v>-0.51523219373049767</v>
      </c>
      <c r="I3370">
        <f t="shared" si="470"/>
        <v>537772.29991675226</v>
      </c>
      <c r="J3370">
        <f t="shared" si="471"/>
        <v>3659.7634965766297</v>
      </c>
      <c r="K3370">
        <f t="shared" si="472"/>
        <v>146.94181752995473</v>
      </c>
      <c r="L3370" s="4">
        <f>MIN(MAX(L3369*(1+MAX(MIN(((B3370-B3369)/B3369)/($K$7*卓尔金历!$N$40),0),-卓尔金历!$M$43))+MIN(MAX(((B3370-B3369)/B3369)/($K$7*卓尔金历!$N$40),0),卓尔金历!$M$43),0),1)</f>
        <v>0.65969818577782979</v>
      </c>
      <c r="M3370" s="4">
        <f>MIN(MAX(M3369*(1+MAX(MIN(((B3370-B3369)/B3369)/($K$7*30),0),-卓尔金历!$M$43))+MIN(MAX(((B3370-B3369)/B3369)/($K$7*7),0),卓尔金历!$M$43),0),1)</f>
        <v>0.90210007998715991</v>
      </c>
      <c r="N3370">
        <f t="shared" si="473"/>
        <v>200811.79454311059</v>
      </c>
      <c r="O3370">
        <f t="shared" si="474"/>
        <v>541244.26865365054</v>
      </c>
      <c r="P3370">
        <f t="shared" si="475"/>
        <v>-1.2814930470844093E-2</v>
      </c>
      <c r="Q3370">
        <f t="shared" si="466"/>
        <v>5.0055225450966058E-2</v>
      </c>
      <c r="R3370">
        <f t="shared" si="467"/>
        <v>1</v>
      </c>
      <c r="S3370">
        <f t="shared" si="469"/>
        <v>1161.9164263109187</v>
      </c>
      <c r="T3370" s="564">
        <f>IF((I3370-MAX(I$470:I3370))/MAX(I$470:I3370)&gt;T3369,T3369,(I3370-MAX(I$470:I3370))/MAX(I$470:I3370))</f>
        <v>-0.91338805338419748</v>
      </c>
      <c r="U3370" s="564">
        <f>IF((J3370-MAX(J$470:J3370))/MAX(J$470:J3370)&gt;U3369,U3369,(J3370-MAX(J$470:J3370))/MAX(J$470:J3370))</f>
        <v>-0.83569785939843477</v>
      </c>
      <c r="V3370" s="564">
        <f>IF((K3370-MAX(K$470:K3370))/MAX(K$470:K3370)&gt;V3369,V3369,(K3370-MAX(K$470:K3370))/MAX(K$470:K3370))</f>
        <v>-0.84885940676762139</v>
      </c>
      <c r="W3370" s="564">
        <f>IF((N3370-MAX(N$470:N3370))/MAX(N$470:N3370)&gt;W3369,W3369,(N3370-MAX(N$470:N3370))/MAX(N$470:N3370))</f>
        <v>-0.62788758315546067</v>
      </c>
      <c r="X3370" s="564">
        <f>IF((O3370-MAX(O$470:O3370))/MAX(O$470:O3370)&gt;X3369,X3369,(O3370-MAX(O$470:O3370))/MAX(O$470:O3370))</f>
        <v>-0.62788758315546067</v>
      </c>
    </row>
    <row r="3371" spans="1:24">
      <c r="A3371" s="799">
        <v>43773</v>
      </c>
      <c r="B3371">
        <v>9292.5196824276009</v>
      </c>
      <c r="C3371">
        <v>7008.981616</v>
      </c>
      <c r="D3371">
        <v>1.6484890000000001</v>
      </c>
      <c r="E3371">
        <f>LN(D3371/参数实验室!$E$53)/参数实验室!$E$55</f>
        <v>-0.10325788645935552</v>
      </c>
      <c r="F3371">
        <f t="shared" si="468"/>
        <v>0.75426061558461577</v>
      </c>
      <c r="G3371">
        <f>LN(F3371/参数实验室!$E$58)/参数实验室!$E$59</f>
        <v>-0.33854795878250338</v>
      </c>
      <c r="H3371" s="856">
        <f>INDEX(神经网络!$G$10:$BO$70,MATCH(ROUND(G3371*2,1)/2,神经网络!$E$10:$E$70,0),MATCH(ROUND(E3371*2,1)/2,神经网络!$G$8:$BO$8,0))</f>
        <v>-0.47881512889002076</v>
      </c>
      <c r="I3371">
        <f t="shared" si="470"/>
        <v>534123.34933945211</v>
      </c>
      <c r="J3371">
        <f t="shared" si="471"/>
        <v>3707.9604494743198</v>
      </c>
      <c r="K3371">
        <f t="shared" si="472"/>
        <v>144.04774716924911</v>
      </c>
      <c r="L3371" s="4">
        <f>MIN(MAX(L3370*(1+MAX(MIN(((B3371-B3370)/B3370)/($K$7*卓尔金历!$N$40),0),-卓尔金历!$M$43))+MIN(MAX(((B3371-B3370)/B3370)/($K$7*卓尔金历!$N$40),0),卓尔金历!$M$43),0),1)</f>
        <v>0.86091424517888071</v>
      </c>
      <c r="M3371" s="4">
        <f>MIN(MAX(M3370*(1+MAX(MIN(((B3371-B3370)/B3370)/($K$7*30),0),-卓尔金历!$M$43))+MIN(MAX(((B3371-B3370)/B3370)/($K$7*7),0),卓尔金历!$M$43),0),1)</f>
        <v>1</v>
      </c>
      <c r="N3371">
        <f t="shared" si="473"/>
        <v>199912.9096953806</v>
      </c>
      <c r="O3371">
        <f t="shared" si="474"/>
        <v>537931.29803265014</v>
      </c>
      <c r="P3371">
        <f t="shared" si="475"/>
        <v>1.3169417352452941E-2</v>
      </c>
      <c r="Q3371">
        <f t="shared" si="466"/>
        <v>4.9878272694557184E-2</v>
      </c>
      <c r="R3371">
        <f t="shared" si="467"/>
        <v>1</v>
      </c>
      <c r="S3371">
        <f t="shared" si="469"/>
        <v>1154.0324657290553</v>
      </c>
      <c r="T3371" s="564">
        <f>IF((I3371-MAX(I$470:I3371))/MAX(I$470:I3371)&gt;T3370,T3370,(I3371-MAX(I$470:I3371))/MAX(I$470:I3371))</f>
        <v>-0.91338805338419748</v>
      </c>
      <c r="U3371" s="564">
        <f>IF((J3371-MAX(J$470:J3371))/MAX(J$470:J3371)&gt;U3370,U3370,(J3371-MAX(J$470:J3371))/MAX(J$470:J3371))</f>
        <v>-0.83569785939843477</v>
      </c>
      <c r="V3371" s="564">
        <f>IF((K3371-MAX(K$470:K3371))/MAX(K$470:K3371)&gt;V3370,V3370,(K3371-MAX(K$470:K3371))/MAX(K$470:K3371))</f>
        <v>-0.84885940676762139</v>
      </c>
      <c r="W3371" s="564">
        <f>IF((N3371-MAX(N$470:N3371))/MAX(N$470:N3371)&gt;W3370,W3370,(N3371-MAX(N$470:N3371))/MAX(N$470:N3371))</f>
        <v>-0.62788758315546067</v>
      </c>
      <c r="X3371" s="564">
        <f>IF((O3371-MAX(O$470:O3371))/MAX(O$470:O3371)&gt;X3370,X3370,(O3371-MAX(O$470:O3371))/MAX(O$470:O3371))</f>
        <v>-0.62788758315546067</v>
      </c>
    </row>
    <row r="3372" spans="1:24">
      <c r="A3372" s="799">
        <v>43774</v>
      </c>
      <c r="B3372">
        <v>9345.7594264137006</v>
      </c>
      <c r="C3372">
        <v>6939.515719</v>
      </c>
      <c r="D3372">
        <v>1.6375710000000001</v>
      </c>
      <c r="E3372">
        <f>LN(D3372/参数实验室!$E$53)/参数实验室!$E$55</f>
        <v>-0.11109742275188517</v>
      </c>
      <c r="F3372">
        <f t="shared" si="468"/>
        <v>0.74253096001883057</v>
      </c>
      <c r="G3372">
        <f>LN(F3372/参数实验室!$E$58)/参数实验室!$E$59</f>
        <v>-0.34677419852866431</v>
      </c>
      <c r="H3372" s="856">
        <f>INDEX(神经网络!$G$10:$BO$70,MATCH(ROUND(G3372*2,1)/2,神经网络!$E$10:$E$70,0),MATCH(ROUND(E3372*2,1)/2,神经网络!$G$8:$BO$8,0))</f>
        <v>-0.47881512889002076</v>
      </c>
      <c r="I3372">
        <f t="shared" si="470"/>
        <v>532658.09877756808</v>
      </c>
      <c r="J3372">
        <f t="shared" si="471"/>
        <v>3729.2045115572773</v>
      </c>
      <c r="K3372">
        <f t="shared" si="472"/>
        <v>142.83424176035214</v>
      </c>
      <c r="L3372" s="4">
        <f>MIN(MAX(L3371*(1+MAX(MIN(((B3372-B3371)/B3371)/($K$7*卓尔金历!$N$40),0),-卓尔金历!$M$43))+MIN(MAX(((B3372-B3371)/B3371)/($K$7*卓尔金历!$N$40),0),卓尔金历!$M$43),0),1)</f>
        <v>0.94845263364046473</v>
      </c>
      <c r="M3372" s="4">
        <f>MIN(MAX(M3371*(1+MAX(MIN(((B3372-B3371)/B3371)/($K$7*30),0),-卓尔金历!$M$43))+MIN(MAX(((B3372-B3371)/B3371)/($K$7*7),0),卓尔金历!$M$43),0),1)</f>
        <v>1</v>
      </c>
      <c r="N3372">
        <f t="shared" si="473"/>
        <v>199440.7694002577</v>
      </c>
      <c r="O3372">
        <f t="shared" si="474"/>
        <v>536455.60119656881</v>
      </c>
      <c r="P3372">
        <f t="shared" si="475"/>
        <v>5.7293119418167565E-3</v>
      </c>
      <c r="Q3372">
        <f t="shared" ref="Q3372:Q3435" si="476">STDEVP(P3352:P3372)</f>
        <v>4.9840739657170847E-2</v>
      </c>
      <c r="R3372">
        <f t="shared" ref="R3372:R3435" si="477">MIN(Q3371*MAX(1-LN(MAX(ABS(P3372),0.0001)/Q3372),0)+MAX(-LN(MAX(ABS(P3372),0.0001)/Q3372),0),1)</f>
        <v>1</v>
      </c>
      <c r="S3372">
        <f t="shared" si="469"/>
        <v>1150.8666301202336</v>
      </c>
      <c r="T3372" s="564">
        <f>IF((I3372-MAX(I$470:I3372))/MAX(I$470:I3372)&gt;T3371,T3371,(I3372-MAX(I$470:I3372))/MAX(I$470:I3372))</f>
        <v>-0.91338805338419748</v>
      </c>
      <c r="U3372" s="564">
        <f>IF((J3372-MAX(J$470:J3372))/MAX(J$470:J3372)&gt;U3371,U3371,(J3372-MAX(J$470:J3372))/MAX(J$470:J3372))</f>
        <v>-0.83569785939843477</v>
      </c>
      <c r="V3372" s="564">
        <f>IF((K3372-MAX(K$470:K3372))/MAX(K$470:K3372)&gt;V3371,V3371,(K3372-MAX(K$470:K3372))/MAX(K$470:K3372))</f>
        <v>-0.84885940676762139</v>
      </c>
      <c r="W3372" s="564">
        <f>IF((N3372-MAX(N$470:N3372))/MAX(N$470:N3372)&gt;W3371,W3371,(N3372-MAX(N$470:N3372))/MAX(N$470:N3372))</f>
        <v>-0.62788758315546067</v>
      </c>
      <c r="X3372" s="564">
        <f>IF((O3372-MAX(O$470:O3372))/MAX(O$470:O3372)&gt;X3371,X3371,(O3372-MAX(O$470:O3372))/MAX(O$470:O3372))</f>
        <v>-0.62788758315546067</v>
      </c>
    </row>
    <row r="3373" spans="1:24">
      <c r="A3373" s="799">
        <v>43775</v>
      </c>
      <c r="B3373">
        <v>9335.9798149962007</v>
      </c>
      <c r="C3373">
        <v>6946.2829529999999</v>
      </c>
      <c r="D3373">
        <v>1.641483</v>
      </c>
      <c r="E3373">
        <f>LN(D3373/参数实验室!$E$53)/参数实验室!$E$55</f>
        <v>-0.10828246643823858</v>
      </c>
      <c r="F3373">
        <f t="shared" si="468"/>
        <v>0.74403363017584101</v>
      </c>
      <c r="G3373">
        <f>LN(F3373/参数实验室!$E$58)/参数实验室!$E$59</f>
        <v>-0.3457131174546918</v>
      </c>
      <c r="H3373" s="856">
        <f>INDEX(神经网络!$G$10:$BO$70,MATCH(ROUND(G3373*2,1)/2,神经网络!$E$10:$E$70,0),MATCH(ROUND(E3373*2,1)/2,神经网络!$G$8:$BO$8,0))</f>
        <v>-0.47881512889002076</v>
      </c>
      <c r="I3373">
        <f t="shared" si="470"/>
        <v>532924.98330734298</v>
      </c>
      <c r="J3373">
        <f t="shared" si="471"/>
        <v>3725.3021886581514</v>
      </c>
      <c r="K3373">
        <f t="shared" si="472"/>
        <v>143.05550431045751</v>
      </c>
      <c r="L3373" s="4">
        <f>MIN(MAX(L3372*(1+MAX(MIN(((B3373-B3372)/B3372)/($K$7*卓尔金历!$N$40),0),-卓尔金历!$M$43))+MIN(MAX(((B3373-B3372)/B3372)/($K$7*卓尔金历!$N$40),0),卓尔金历!$M$43),0),1)</f>
        <v>0.93328846077071448</v>
      </c>
      <c r="M3373" s="4">
        <f>MIN(MAX(M3372*(1+MAX(MIN(((B3373-B3372)/B3372)/($K$7*30),0),-卓尔金历!$M$43))+MIN(MAX(((B3373-B3372)/B3372)/($K$7*7),0),卓尔金历!$M$43),0),1)</f>
        <v>0.99200583543558452</v>
      </c>
      <c r="N3373">
        <f t="shared" si="473"/>
        <v>199535.54672663833</v>
      </c>
      <c r="O3373">
        <f t="shared" si="474"/>
        <v>536724.38843776355</v>
      </c>
      <c r="P3373">
        <f t="shared" si="475"/>
        <v>-1.0464223367295279E-3</v>
      </c>
      <c r="Q3373">
        <f t="shared" si="476"/>
        <v>4.900385677193491E-2</v>
      </c>
      <c r="R3373">
        <f t="shared" si="477"/>
        <v>1</v>
      </c>
      <c r="S3373">
        <f t="shared" si="469"/>
        <v>1151.4432636119952</v>
      </c>
      <c r="T3373" s="564">
        <f>IF((I3373-MAX(I$470:I3373))/MAX(I$470:I3373)&gt;T3372,T3372,(I3373-MAX(I$470:I3373))/MAX(I$470:I3373))</f>
        <v>-0.91338805338419748</v>
      </c>
      <c r="U3373" s="564">
        <f>IF((J3373-MAX(J$470:J3373))/MAX(J$470:J3373)&gt;U3372,U3372,(J3373-MAX(J$470:J3373))/MAX(J$470:J3373))</f>
        <v>-0.83569785939843477</v>
      </c>
      <c r="V3373" s="564">
        <f>IF((K3373-MAX(K$470:K3373))/MAX(K$470:K3373)&gt;V3372,V3372,(K3373-MAX(K$470:K3373))/MAX(K$470:K3373))</f>
        <v>-0.84885940676762139</v>
      </c>
      <c r="W3373" s="564">
        <f>IF((N3373-MAX(N$470:N3373))/MAX(N$470:N3373)&gt;W3372,W3372,(N3373-MAX(N$470:N3373))/MAX(N$470:N3373))</f>
        <v>-0.62788758315546067</v>
      </c>
      <c r="X3373" s="564">
        <f>IF((O3373-MAX(O$470:O3373))/MAX(O$470:O3373)&gt;X3372,X3372,(O3373-MAX(O$470:O3373))/MAX(O$470:O3373))</f>
        <v>-0.62788758315546067</v>
      </c>
    </row>
    <row r="3374" spans="1:24">
      <c r="A3374" s="799">
        <v>43776</v>
      </c>
      <c r="B3374">
        <v>9213.4308144580009</v>
      </c>
      <c r="C3374">
        <v>7674.69517</v>
      </c>
      <c r="D3374">
        <v>1.615712</v>
      </c>
      <c r="E3374">
        <f>LN(D3374/参数实验室!$E$53)/参数实验室!$E$55</f>
        <v>-0.12695132433179063</v>
      </c>
      <c r="F3374">
        <f t="shared" si="468"/>
        <v>0.83298993877032546</v>
      </c>
      <c r="G3374">
        <f>LN(F3374/参数实验室!$E$58)/参数实验室!$E$59</f>
        <v>-0.28643855388090783</v>
      </c>
      <c r="H3374" s="856">
        <f>INDEX(神经网络!$G$10:$BO$70,MATCH(ROUND(G3374*2,1)/2,神经网络!$E$10:$E$70,0),MATCH(ROUND(E3374*2,1)/2,神经网络!$G$8:$BO$8,0))</f>
        <v>-0.43939765390169994</v>
      </c>
      <c r="I3374">
        <f t="shared" si="470"/>
        <v>536274.51286092424</v>
      </c>
      <c r="J3374">
        <f t="shared" si="471"/>
        <v>3676.4019051346686</v>
      </c>
      <c r="K3374">
        <f t="shared" si="472"/>
        <v>145.86939260148171</v>
      </c>
      <c r="L3374" s="4">
        <f>MIN(MAX(L3373*(1+MAX(MIN(((B3374-B3373)/B3373)/($K$7*卓尔金历!$N$40),0),-卓尔金历!$M$43))+MIN(MAX(((B3374-B3373)/B3373)/($K$7*卓尔金历!$N$40),0),卓尔金历!$M$43),0),1)</f>
        <v>0.74610742580613787</v>
      </c>
      <c r="M3374" s="4">
        <f>MIN(MAX(M3373*(1+MAX(MIN(((B3374-B3373)/B3373)/($K$7*30),0),-卓尔金历!$M$43))+MIN(MAX(((B3374-B3373)/B3373)/($K$7*7),0),卓尔金历!$M$43),0),1)</f>
        <v>0.89252711756180259</v>
      </c>
      <c r="N3374">
        <f t="shared" si="473"/>
        <v>200705.9995276618</v>
      </c>
      <c r="O3374">
        <f t="shared" si="474"/>
        <v>540070.83034656313</v>
      </c>
      <c r="P3374">
        <f t="shared" si="475"/>
        <v>-1.3126528009556295E-2</v>
      </c>
      <c r="Q3374">
        <f t="shared" si="476"/>
        <v>4.9211979600903698E-2</v>
      </c>
      <c r="R3374">
        <f t="shared" si="477"/>
        <v>1</v>
      </c>
      <c r="S3374">
        <f t="shared" si="469"/>
        <v>1158.6802920147641</v>
      </c>
      <c r="T3374" s="564">
        <f>IF((I3374-MAX(I$470:I3374))/MAX(I$470:I3374)&gt;T3373,T3373,(I3374-MAX(I$470:I3374))/MAX(I$470:I3374))</f>
        <v>-0.91338805338419748</v>
      </c>
      <c r="U3374" s="564">
        <f>IF((J3374-MAX(J$470:J3374))/MAX(J$470:J3374)&gt;U3373,U3373,(J3374-MAX(J$470:J3374))/MAX(J$470:J3374))</f>
        <v>-0.83569785939843477</v>
      </c>
      <c r="V3374" s="564">
        <f>IF((K3374-MAX(K$470:K3374))/MAX(K$470:K3374)&gt;V3373,V3373,(K3374-MAX(K$470:K3374))/MAX(K$470:K3374))</f>
        <v>-0.84885940676762139</v>
      </c>
      <c r="W3374" s="564">
        <f>IF((N3374-MAX(N$470:N3374))/MAX(N$470:N3374)&gt;W3373,W3373,(N3374-MAX(N$470:N3374))/MAX(N$470:N3374))</f>
        <v>-0.62788758315546067</v>
      </c>
      <c r="X3374" s="564">
        <f>IF((O3374-MAX(O$470:O3374))/MAX(O$470:O3374)&gt;X3373,X3373,(O3374-MAX(O$470:O3374))/MAX(O$470:O3374))</f>
        <v>-0.62788758315546067</v>
      </c>
    </row>
    <row r="3375" spans="1:24">
      <c r="A3375" s="799">
        <v>43777</v>
      </c>
      <c r="B3375">
        <v>8773.5941880824994</v>
      </c>
      <c r="C3375">
        <v>7808.4060239999999</v>
      </c>
      <c r="D3375">
        <v>1.543501</v>
      </c>
      <c r="E3375">
        <f>LN(D3375/参数实验室!$E$53)/参数实验室!$E$55</f>
        <v>-0.180892608022485</v>
      </c>
      <c r="F3375">
        <f t="shared" si="468"/>
        <v>0.88998942242011259</v>
      </c>
      <c r="G3375">
        <f>LN(F3375/参数实验室!$E$58)/参数实验室!$E$59</f>
        <v>-0.25169950715708855</v>
      </c>
      <c r="H3375" s="856">
        <f>INDEX(神经网络!$G$10:$BO$70,MATCH(ROUND(G3375*2,1)/2,神经网络!$E$10:$E$70,0),MATCH(ROUND(E3375*2,1)/2,神经网络!$G$8:$BO$8,0))</f>
        <v>-0.39598595774924455</v>
      </c>
      <c r="I3375">
        <f t="shared" si="470"/>
        <v>547523.53841102286</v>
      </c>
      <c r="J3375">
        <f t="shared" si="471"/>
        <v>3500.8954902368187</v>
      </c>
      <c r="K3375">
        <f t="shared" si="472"/>
        <v>156.39528227504601</v>
      </c>
      <c r="L3375" s="4">
        <f>MIN(MAX(L3374*(1+MAX(MIN(((B3375-B3374)/B3374)/($K$7*卓尔金历!$N$40),0),-卓尔金历!$M$43))+MIN(MAX(((B3375-B3374)/B3374)/($K$7*卓尔金历!$N$40),0),卓尔金历!$M$43),0),1)</f>
        <v>0.20189625356308916</v>
      </c>
      <c r="M3375" s="4">
        <f>MIN(MAX(M3374*(1+MAX(MIN(((B3375-B3374)/B3374)/($K$7*30),0),-卓尔金历!$M$43))+MIN(MAX(((B3375-B3374)/B3374)/($K$7*7),0),卓尔金历!$M$43),0),1)</f>
        <v>0.56702222905180399</v>
      </c>
      <c r="N3375">
        <f t="shared" si="473"/>
        <v>203847.15522269486</v>
      </c>
      <c r="O3375">
        <f t="shared" si="474"/>
        <v>550181.96484895737</v>
      </c>
      <c r="P3375">
        <f t="shared" si="475"/>
        <v>-4.7738636696039033E-2</v>
      </c>
      <c r="Q3375">
        <f t="shared" si="476"/>
        <v>5.0339991745090892E-2</v>
      </c>
      <c r="R3375">
        <f t="shared" si="477"/>
        <v>0.10488186838745175</v>
      </c>
      <c r="S3375">
        <f t="shared" si="469"/>
        <v>1182.9850536558417</v>
      </c>
      <c r="T3375" s="564">
        <f>IF((I3375-MAX(I$470:I3375))/MAX(I$470:I3375)&gt;T3374,T3374,(I3375-MAX(I$470:I3375))/MAX(I$470:I3375))</f>
        <v>-0.91338805338419748</v>
      </c>
      <c r="U3375" s="564">
        <f>IF((J3375-MAX(J$470:J3375))/MAX(J$470:J3375)&gt;U3374,U3374,(J3375-MAX(J$470:J3375))/MAX(J$470:J3375))</f>
        <v>-0.83569785939843477</v>
      </c>
      <c r="V3375" s="564">
        <f>IF((K3375-MAX(K$470:K3375))/MAX(K$470:K3375)&gt;V3374,V3374,(K3375-MAX(K$470:K3375))/MAX(K$470:K3375))</f>
        <v>-0.84885940676762139</v>
      </c>
      <c r="W3375" s="564">
        <f>IF((N3375-MAX(N$470:N3375))/MAX(N$470:N3375)&gt;W3374,W3374,(N3375-MAX(N$470:N3375))/MAX(N$470:N3375))</f>
        <v>-0.62788758315546067</v>
      </c>
      <c r="X3375" s="564">
        <f>IF((O3375-MAX(O$470:O3375))/MAX(O$470:O3375)&gt;X3374,X3374,(O3375-MAX(O$470:O3375))/MAX(O$470:O3375))</f>
        <v>-0.62788758315546067</v>
      </c>
    </row>
    <row r="3376" spans="1:24">
      <c r="A3376" s="799">
        <v>43778</v>
      </c>
      <c r="B3376">
        <v>8805.3029611530001</v>
      </c>
      <c r="C3376">
        <v>8036.9900719999996</v>
      </c>
      <c r="D3376">
        <v>1.5471239999999999</v>
      </c>
      <c r="E3376">
        <f>LN(D3376/参数实验室!$E$53)/参数实验室!$E$55</f>
        <v>-0.17812666394271084</v>
      </c>
      <c r="F3376">
        <f t="shared" si="468"/>
        <v>0.91274429823225589</v>
      </c>
      <c r="G3376">
        <f>LN(F3376/参数实验室!$E$58)/参数实验室!$E$59</f>
        <v>-0.23844893912415938</v>
      </c>
      <c r="H3376" s="856">
        <f>INDEX(神经网络!$G$10:$BO$70,MATCH(ROUND(G3376*2,1)/2,神经网络!$E$10:$E$70,0),MATCH(ROUND(E3376*2,1)/2,神经网络!$G$8:$BO$8,0))</f>
        <v>-0.39598595774924455</v>
      </c>
      <c r="I3376">
        <f t="shared" si="470"/>
        <v>546739.95636762411</v>
      </c>
      <c r="J3376">
        <f t="shared" si="471"/>
        <v>3513.5481270312407</v>
      </c>
      <c r="K3376">
        <f t="shared" si="472"/>
        <v>155.60906997724547</v>
      </c>
      <c r="L3376" s="4">
        <f>MIN(MAX(L3375*(1+MAX(MIN(((B3376-B3375)/B3375)/($K$7*卓尔金历!$N$40),0),-卓尔金历!$M$43))+MIN(MAX(((B3376-B3375)/B3375)/($K$7*卓尔金历!$N$40),0),卓尔金历!$M$43),0),1)</f>
        <v>0.25711645334644856</v>
      </c>
      <c r="M3376" s="4">
        <f>MIN(MAX(M3375*(1+MAX(MIN(((B3376-B3375)/B3375)/($K$7*30),0),-卓尔金历!$M$43))+MIN(MAX(((B3376-B3375)/B3375)/($K$7*7),0),卓尔金历!$M$43),0),1)</f>
        <v>0.68535122858757425</v>
      </c>
      <c r="N3376">
        <f t="shared" si="473"/>
        <v>203788.25531749355</v>
      </c>
      <c r="O3376">
        <f t="shared" si="474"/>
        <v>549735.49913258257</v>
      </c>
      <c r="P3376">
        <f t="shared" si="475"/>
        <v>3.6141143972184052E-3</v>
      </c>
      <c r="Q3376">
        <f t="shared" si="476"/>
        <v>5.0330467653102881E-2</v>
      </c>
      <c r="R3376">
        <f t="shared" si="477"/>
        <v>1</v>
      </c>
      <c r="S3376">
        <f t="shared" si="469"/>
        <v>1182.8074870253629</v>
      </c>
      <c r="T3376" s="564">
        <f>IF((I3376-MAX(I$470:I3376))/MAX(I$470:I3376)&gt;T3375,T3375,(I3376-MAX(I$470:I3376))/MAX(I$470:I3376))</f>
        <v>-0.91338805338419748</v>
      </c>
      <c r="U3376" s="564">
        <f>IF((J3376-MAX(J$470:J3376))/MAX(J$470:J3376)&gt;U3375,U3375,(J3376-MAX(J$470:J3376))/MAX(J$470:J3376))</f>
        <v>-0.83569785939843477</v>
      </c>
      <c r="V3376" s="564">
        <f>IF((K3376-MAX(K$470:K3376))/MAX(K$470:K3376)&gt;V3375,V3375,(K3376-MAX(K$470:K3376))/MAX(K$470:K3376))</f>
        <v>-0.84885940676762139</v>
      </c>
      <c r="W3376" s="564">
        <f>IF((N3376-MAX(N$470:N3376))/MAX(N$470:N3376)&gt;W3375,W3375,(N3376-MAX(N$470:N3376))/MAX(N$470:N3376))</f>
        <v>-0.62788758315546067</v>
      </c>
      <c r="X3376" s="564">
        <f>IF((O3376-MAX(O$470:O3376))/MAX(O$470:O3376)&gt;X3375,X3375,(O3376-MAX(O$470:O3376))/MAX(O$470:O3376))</f>
        <v>-0.62788758315546067</v>
      </c>
    </row>
    <row r="3377" spans="1:24">
      <c r="A3377" s="799">
        <v>43779</v>
      </c>
      <c r="B3377">
        <v>8821.0262277506008</v>
      </c>
      <c r="C3377">
        <v>8016.6671699999997</v>
      </c>
      <c r="D3377">
        <v>1.5874200000000001</v>
      </c>
      <c r="E3377">
        <f>LN(D3377/参数实验室!$E$53)/参数实验室!$E$55</f>
        <v>-0.14779245532611618</v>
      </c>
      <c r="F3377">
        <f t="shared" si="468"/>
        <v>0.90881343769049017</v>
      </c>
      <c r="G3377">
        <f>LN(F3377/参数实验室!$E$58)/参数实验室!$E$59</f>
        <v>-0.24071417750776483</v>
      </c>
      <c r="H3377" s="856">
        <f>INDEX(神经网络!$G$10:$BO$70,MATCH(ROUND(G3377*2,1)/2,神经网络!$E$10:$E$70,0),MATCH(ROUND(E3377*2,1)/2,神经网络!$G$8:$BO$8,0))</f>
        <v>-0.35740581662515492</v>
      </c>
      <c r="I3377">
        <f t="shared" si="470"/>
        <v>546353.35883823619</v>
      </c>
      <c r="J3377">
        <f t="shared" si="471"/>
        <v>3519.8221251149566</v>
      </c>
      <c r="K3377">
        <f t="shared" si="472"/>
        <v>155.22186616756733</v>
      </c>
      <c r="L3377" s="4">
        <f>MIN(MAX(L3376*(1+MAX(MIN(((B3377-B3376)/B3376)/($K$7*卓尔金历!$N$40),0),-卓尔金历!$M$43))+MIN(MAX(((B3377-B3376)/B3376)/($K$7*卓尔金历!$N$40),0),卓尔金历!$M$43),0),1)</f>
        <v>0.28439960603080167</v>
      </c>
      <c r="M3377" s="4">
        <f>MIN(MAX(M3376*(1+MAX(MIN(((B3377-B3376)/B3376)/($K$7*30),0),-卓尔金历!$M$43))+MIN(MAX(((B3377-B3376)/B3376)/($K$7*7),0),卓尔金历!$M$43),0),1)</f>
        <v>0.74381512719690235</v>
      </c>
      <c r="N3377">
        <f t="shared" si="473"/>
        <v>203751.20539698401</v>
      </c>
      <c r="O3377">
        <f t="shared" si="474"/>
        <v>549469.0923739284</v>
      </c>
      <c r="P3377">
        <f t="shared" si="475"/>
        <v>1.7856587861846693E-3</v>
      </c>
      <c r="Q3377">
        <f t="shared" si="476"/>
        <v>5.0310821316159902E-2</v>
      </c>
      <c r="R3377">
        <f t="shared" si="477"/>
        <v>1</v>
      </c>
      <c r="S3377">
        <f t="shared" si="469"/>
        <v>1181.9711288135661</v>
      </c>
      <c r="T3377" s="564">
        <f>IF((I3377-MAX(I$470:I3377))/MAX(I$470:I3377)&gt;T3376,T3376,(I3377-MAX(I$470:I3377))/MAX(I$470:I3377))</f>
        <v>-0.91338805338419748</v>
      </c>
      <c r="U3377" s="564">
        <f>IF((J3377-MAX(J$470:J3377))/MAX(J$470:J3377)&gt;U3376,U3376,(J3377-MAX(J$470:J3377))/MAX(J$470:J3377))</f>
        <v>-0.83569785939843477</v>
      </c>
      <c r="V3377" s="564">
        <f>IF((K3377-MAX(K$470:K3377))/MAX(K$470:K3377)&gt;V3376,V3376,(K3377-MAX(K$470:K3377))/MAX(K$470:K3377))</f>
        <v>-0.84885940676762139</v>
      </c>
      <c r="W3377" s="564">
        <f>IF((N3377-MAX(N$470:N3377))/MAX(N$470:N3377)&gt;W3376,W3376,(N3377-MAX(N$470:N3377))/MAX(N$470:N3377))</f>
        <v>-0.62788758315546067</v>
      </c>
      <c r="X3377" s="564">
        <f>IF((O3377-MAX(O$470:O3377))/MAX(O$470:O3377)&gt;X3376,X3376,(O3377-MAX(O$470:O3377))/MAX(O$470:O3377))</f>
        <v>-0.62788758315546067</v>
      </c>
    </row>
    <row r="3378" spans="1:24">
      <c r="A3378" s="799">
        <v>43780</v>
      </c>
      <c r="B3378">
        <v>8746.5583063920003</v>
      </c>
      <c r="C3378">
        <v>7893.8999970000004</v>
      </c>
      <c r="D3378">
        <v>1.5297829999999999</v>
      </c>
      <c r="E3378">
        <f>LN(D3378/参数实验室!$E$53)/参数实验室!$E$55</f>
        <v>-0.19142463987140682</v>
      </c>
      <c r="F3378">
        <f t="shared" si="468"/>
        <v>0.90251499166605043</v>
      </c>
      <c r="G3378">
        <f>LN(F3378/参数实验室!$E$58)/参数实验室!$E$59</f>
        <v>-0.24436429212113359</v>
      </c>
      <c r="H3378" s="856">
        <f>INDEX(神经网络!$G$10:$BO$70,MATCH(ROUND(G3378*2,1)/2,神经网络!$E$10:$E$70,0),MATCH(ROUND(E3378*2,1)/2,神经网络!$G$8:$BO$8,0))</f>
        <v>-0.39598595774924455</v>
      </c>
      <c r="I3378">
        <f t="shared" si="470"/>
        <v>548001.84517382702</v>
      </c>
      <c r="J3378">
        <f t="shared" si="471"/>
        <v>3490.1074603535344</v>
      </c>
      <c r="K3378">
        <f t="shared" si="472"/>
        <v>157.01575134833143</v>
      </c>
      <c r="L3378" s="4">
        <f>MIN(MAX(L3377*(1+MAX(MIN(((B3378-B3377)/B3377)/($K$7*卓尔金历!$N$40),0),-卓尔金历!$M$43))+MIN(MAX(((B3378-B3377)/B3377)/($K$7*卓尔金历!$N$40),0),卓尔金历!$M$43),0),1)</f>
        <v>0.24771573254926549</v>
      </c>
      <c r="M3378" s="4">
        <f>MIN(MAX(M3377*(1+MAX(MIN(((B3378-B3377)/B3377)/($K$7*30),0),-卓尔金历!$M$43))+MIN(MAX(((B3378-B3377)/B3377)/($K$7*7),0),卓尔金历!$M$43),0),1)</f>
        <v>0.6958438581776536</v>
      </c>
      <c r="N3378">
        <f t="shared" si="473"/>
        <v>203926.04544271436</v>
      </c>
      <c r="O3378">
        <f t="shared" si="474"/>
        <v>550702.2540209716</v>
      </c>
      <c r="P3378">
        <f t="shared" si="475"/>
        <v>-8.4420927266180626E-3</v>
      </c>
      <c r="Q3378">
        <f t="shared" si="476"/>
        <v>5.016916913357914E-2</v>
      </c>
      <c r="R3378">
        <f t="shared" si="477"/>
        <v>1</v>
      </c>
      <c r="S3378">
        <f t="shared" si="469"/>
        <v>1185.5374348010598</v>
      </c>
      <c r="T3378" s="564">
        <f>IF((I3378-MAX(I$470:I3378))/MAX(I$470:I3378)&gt;T3377,T3377,(I3378-MAX(I$470:I3378))/MAX(I$470:I3378))</f>
        <v>-0.91338805338419748</v>
      </c>
      <c r="U3378" s="564">
        <f>IF((J3378-MAX(J$470:J3378))/MAX(J$470:J3378)&gt;U3377,U3377,(J3378-MAX(J$470:J3378))/MAX(J$470:J3378))</f>
        <v>-0.83569785939843477</v>
      </c>
      <c r="V3378" s="564">
        <f>IF((K3378-MAX(K$470:K3378))/MAX(K$470:K3378)&gt;V3377,V3377,(K3378-MAX(K$470:K3378))/MAX(K$470:K3378))</f>
        <v>-0.84885940676762139</v>
      </c>
      <c r="W3378" s="564">
        <f>IF((N3378-MAX(N$470:N3378))/MAX(N$470:N3378)&gt;W3377,W3377,(N3378-MAX(N$470:N3378))/MAX(N$470:N3378))</f>
        <v>-0.62788758315546067</v>
      </c>
      <c r="X3378" s="564">
        <f>IF((O3378-MAX(O$470:O3378))/MAX(O$470:O3378)&gt;X3377,X3377,(O3378-MAX(O$470:O3378))/MAX(O$470:O3378))</f>
        <v>-0.62788758315546067</v>
      </c>
    </row>
    <row r="3379" spans="1:24">
      <c r="A3379" s="799">
        <v>43781</v>
      </c>
      <c r="B3379">
        <v>8646.1241992046998</v>
      </c>
      <c r="C3379">
        <v>7627.7453370000003</v>
      </c>
      <c r="D3379">
        <v>1.54267</v>
      </c>
      <c r="E3379">
        <f>LN(D3379/参数实验室!$E$53)/参数实验室!$E$55</f>
        <v>-0.18152794220807267</v>
      </c>
      <c r="F3379">
        <f t="shared" si="468"/>
        <v>0.88221556402134804</v>
      </c>
      <c r="G3379">
        <f>LN(F3379/参数实验室!$E$58)/参数实验室!$E$59</f>
        <v>-0.25630412932234004</v>
      </c>
      <c r="H3379" s="856">
        <f>INDEX(神经网络!$G$10:$BO$70,MATCH(ROUND(G3379*2,1)/2,神经网络!$E$10:$E$70,0),MATCH(ROUND(E3379*2,1)/2,神经网络!$G$8:$BO$8,0))</f>
        <v>-0.39598595774924455</v>
      </c>
      <c r="I3379">
        <f t="shared" si="470"/>
        <v>550493.60301693087</v>
      </c>
      <c r="J3379">
        <f t="shared" si="471"/>
        <v>3450.0316025716024</v>
      </c>
      <c r="K3379">
        <f t="shared" si="472"/>
        <v>159.5619015798583</v>
      </c>
      <c r="L3379" s="4">
        <f>MIN(MAX(L3378*(1+MAX(MIN(((B3379-B3378)/B3378)/($K$7*卓尔金历!$N$40),0),-卓尔金历!$M$43))+MIN(MAX(((B3379-B3378)/B3378)/($K$7*卓尔金历!$N$40),0),卓尔金历!$M$43),0),1)</f>
        <v>0.20425533488495118</v>
      </c>
      <c r="M3379" s="4">
        <f>MIN(MAX(M3378*(1+MAX(MIN(((B3379-B3378)/B3378)/($K$7*30),0),-卓尔金历!$M$43))+MIN(MAX(((B3379-B3378)/B3378)/($K$7*7),0),卓尔金历!$M$43),0),1)</f>
        <v>0.63480282037708291</v>
      </c>
      <c r="N3379">
        <f t="shared" si="473"/>
        <v>204155.73968042512</v>
      </c>
      <c r="O3379">
        <f t="shared" si="474"/>
        <v>552444.67248876812</v>
      </c>
      <c r="P3379">
        <f t="shared" si="475"/>
        <v>-1.1482700242666084E-2</v>
      </c>
      <c r="Q3379">
        <f t="shared" si="476"/>
        <v>5.0266734676498122E-2</v>
      </c>
      <c r="R3379">
        <f t="shared" si="477"/>
        <v>1</v>
      </c>
      <c r="S3379">
        <f t="shared" si="469"/>
        <v>1190.92805935365</v>
      </c>
      <c r="T3379" s="564">
        <f>IF((I3379-MAX(I$470:I3379))/MAX(I$470:I3379)&gt;T3378,T3378,(I3379-MAX(I$470:I3379))/MAX(I$470:I3379))</f>
        <v>-0.91338805338419748</v>
      </c>
      <c r="U3379" s="564">
        <f>IF((J3379-MAX(J$470:J3379))/MAX(J$470:J3379)&gt;U3378,U3378,(J3379-MAX(J$470:J3379))/MAX(J$470:J3379))</f>
        <v>-0.83569785939843477</v>
      </c>
      <c r="V3379" s="564">
        <f>IF((K3379-MAX(K$470:K3379))/MAX(K$470:K3379)&gt;V3378,V3378,(K3379-MAX(K$470:K3379))/MAX(K$470:K3379))</f>
        <v>-0.84885940676762139</v>
      </c>
      <c r="W3379" s="564">
        <f>IF((N3379-MAX(N$470:N3379))/MAX(N$470:N3379)&gt;W3378,W3378,(N3379-MAX(N$470:N3379))/MAX(N$470:N3379))</f>
        <v>-0.62788758315546067</v>
      </c>
      <c r="X3379" s="564">
        <f>IF((O3379-MAX(O$470:O3379))/MAX(O$470:O3379)&gt;X3378,X3378,(O3379-MAX(O$470:O3379))/MAX(O$470:O3379))</f>
        <v>-0.62788758315546067</v>
      </c>
    </row>
    <row r="3380" spans="1:24">
      <c r="A3380" s="799">
        <v>43782</v>
      </c>
      <c r="B3380">
        <v>8739.2029105510992</v>
      </c>
      <c r="C3380">
        <v>7630.011227</v>
      </c>
      <c r="D3380">
        <v>1.536122</v>
      </c>
      <c r="E3380">
        <f>LN(D3380/参数实验室!$E$53)/参数实验室!$E$55</f>
        <v>-0.18654616746598501</v>
      </c>
      <c r="F3380">
        <f t="shared" si="468"/>
        <v>0.87307862113924151</v>
      </c>
      <c r="G3380">
        <f>LN(F3380/参数实验室!$E$58)/参数实验室!$E$59</f>
        <v>-0.26176828999411611</v>
      </c>
      <c r="H3380" s="856">
        <f>INDEX(神经网络!$G$10:$BO$70,MATCH(ROUND(G3380*2,1)/2,神经网络!$E$10:$E$70,0),MATCH(ROUND(E3380*2,1)/2,神经网络!$G$8:$BO$8,0))</f>
        <v>-0.39598595774924455</v>
      </c>
      <c r="I3380">
        <f t="shared" si="470"/>
        <v>548146.88474791904</v>
      </c>
      <c r="J3380">
        <f t="shared" si="471"/>
        <v>3487.1724634097172</v>
      </c>
      <c r="K3380">
        <f t="shared" si="472"/>
        <v>157.18949679131939</v>
      </c>
      <c r="L3380" s="4">
        <f>MIN(MAX(L3379*(1+MAX(MIN(((B3380-B3379)/B3379)/($K$7*卓尔金历!$N$40),0),-卓尔金历!$M$43))+MIN(MAX(((B3380-B3379)/B3379)/($K$7*卓尔金历!$N$40),0),卓尔金历!$M$43),0),1)</f>
        <v>0.36873983171260843</v>
      </c>
      <c r="M3380" s="4">
        <f>MIN(MAX(M3379*(1+MAX(MIN(((B3380-B3379)/B3379)/($K$7*30),0),-卓尔金历!$M$43))+MIN(MAX(((B3380-B3379)/B3379)/($K$7*7),0),卓尔金历!$M$43),0),1)</f>
        <v>0.98726959929349134</v>
      </c>
      <c r="N3380">
        <f t="shared" si="473"/>
        <v>203977.97573510546</v>
      </c>
      <c r="O3380">
        <f t="shared" si="474"/>
        <v>550949.68927908409</v>
      </c>
      <c r="P3380">
        <f t="shared" si="475"/>
        <v>1.0765368297041241E-2</v>
      </c>
      <c r="Q3380">
        <f t="shared" si="476"/>
        <v>4.5657052760630687E-2</v>
      </c>
      <c r="R3380">
        <f t="shared" si="477"/>
        <v>1</v>
      </c>
      <c r="S3380">
        <f t="shared" si="469"/>
        <v>1185.8512108332538</v>
      </c>
      <c r="T3380" s="564">
        <f>IF((I3380-MAX(I$470:I3380))/MAX(I$470:I3380)&gt;T3379,T3379,(I3380-MAX(I$470:I3380))/MAX(I$470:I3380))</f>
        <v>-0.91338805338419748</v>
      </c>
      <c r="U3380" s="564">
        <f>IF((J3380-MAX(J$470:J3380))/MAX(J$470:J3380)&gt;U3379,U3379,(J3380-MAX(J$470:J3380))/MAX(J$470:J3380))</f>
        <v>-0.83569785939843477</v>
      </c>
      <c r="V3380" s="564">
        <f>IF((K3380-MAX(K$470:K3380))/MAX(K$470:K3380)&gt;V3379,V3379,(K3380-MAX(K$470:K3380))/MAX(K$470:K3380))</f>
        <v>-0.84885940676762139</v>
      </c>
      <c r="W3380" s="564">
        <f>IF((N3380-MAX(N$470:N3380))/MAX(N$470:N3380)&gt;W3379,W3379,(N3380-MAX(N$470:N3380))/MAX(N$470:N3380))</f>
        <v>-0.62788758315546067</v>
      </c>
      <c r="X3380" s="564">
        <f>IF((O3380-MAX(O$470:O3380))/MAX(O$470:O3380)&gt;X3379,X3379,(O3380-MAX(O$470:O3380))/MAX(O$470:O3380))</f>
        <v>-0.62788758315546067</v>
      </c>
    </row>
    <row r="3381" spans="1:24">
      <c r="A3381" s="799">
        <v>43783</v>
      </c>
      <c r="B3381">
        <v>8641.6050920528996</v>
      </c>
      <c r="C3381">
        <v>7547.3470649999999</v>
      </c>
      <c r="D3381">
        <v>1.515234</v>
      </c>
      <c r="E3381">
        <f>LN(D3381/参数实验室!$E$53)/参数实验室!$E$55</f>
        <v>-0.20269837697198539</v>
      </c>
      <c r="F3381">
        <f t="shared" si="468"/>
        <v>0.87337328940670811</v>
      </c>
      <c r="G3381">
        <f>LN(F3381/参数实验室!$E$58)/参数实验室!$E$59</f>
        <v>-0.26159117909620777</v>
      </c>
      <c r="H3381" s="856">
        <f>INDEX(神经网络!$G$10:$BO$70,MATCH(ROUND(G3381*2,1)/2,神经网络!$E$10:$E$70,0),MATCH(ROUND(E3381*2,1)/2,神经网络!$G$8:$BO$8,0))</f>
        <v>-0.39598595774924455</v>
      </c>
      <c r="I3381">
        <f t="shared" si="470"/>
        <v>550570.9540013579</v>
      </c>
      <c r="J3381">
        <f t="shared" si="471"/>
        <v>3448.2283596236753</v>
      </c>
      <c r="K3381">
        <f t="shared" si="472"/>
        <v>159.66777619723678</v>
      </c>
      <c r="L3381" s="4">
        <f>MIN(MAX(L3380*(1+MAX(MIN(((B3381-B3380)/B3380)/($K$7*卓尔金历!$N$40),0),-卓尔金历!$M$43))+MIN(MAX(((B3381-B3380)/B3380)/($K$7*卓尔金历!$N$40),0),卓尔金历!$M$43),0),1)</f>
        <v>0.30582045396748103</v>
      </c>
      <c r="M3381" s="4">
        <f>MIN(MAX(M3380*(1+MAX(MIN(((B3381-B3380)/B3380)/($K$7*30),0),-卓尔金历!$M$43))+MIN(MAX(((B3381-B3380)/B3380)/($K$7*7),0),卓尔金历!$M$43),0),1)</f>
        <v>0.90303895276187107</v>
      </c>
      <c r="N3381">
        <f t="shared" si="473"/>
        <v>204310.59806669809</v>
      </c>
      <c r="O3381">
        <f t="shared" si="474"/>
        <v>553355.13620714366</v>
      </c>
      <c r="P3381">
        <f t="shared" si="475"/>
        <v>-1.1167816961929882E-2</v>
      </c>
      <c r="Q3381">
        <f t="shared" si="476"/>
        <v>4.5796633171598454E-2</v>
      </c>
      <c r="R3381">
        <f t="shared" si="477"/>
        <v>1</v>
      </c>
      <c r="S3381">
        <f t="shared" si="469"/>
        <v>1191.0953990961427</v>
      </c>
      <c r="T3381" s="564">
        <f>IF((I3381-MAX(I$470:I3381))/MAX(I$470:I3381)&gt;T3380,T3380,(I3381-MAX(I$470:I3381))/MAX(I$470:I3381))</f>
        <v>-0.91338805338419748</v>
      </c>
      <c r="U3381" s="564">
        <f>IF((J3381-MAX(J$470:J3381))/MAX(J$470:J3381)&gt;U3380,U3380,(J3381-MAX(J$470:J3381))/MAX(J$470:J3381))</f>
        <v>-0.83569785939843477</v>
      </c>
      <c r="V3381" s="564">
        <f>IF((K3381-MAX(K$470:K3381))/MAX(K$470:K3381)&gt;V3380,V3380,(K3381-MAX(K$470:K3381))/MAX(K$470:K3381))</f>
        <v>-0.84885940676762139</v>
      </c>
      <c r="W3381" s="564">
        <f>IF((N3381-MAX(N$470:N3381))/MAX(N$470:N3381)&gt;W3380,W3380,(N3381-MAX(N$470:N3381))/MAX(N$470:N3381))</f>
        <v>-0.62788758315546067</v>
      </c>
      <c r="X3381" s="564">
        <f>IF((O3381-MAX(O$470:O3381))/MAX(O$470:O3381)&gt;X3380,X3380,(O3381-MAX(O$470:O3381))/MAX(O$470:O3381))</f>
        <v>-0.62788758315546067</v>
      </c>
    </row>
    <row r="3382" spans="1:24">
      <c r="A3382" s="799">
        <v>43784</v>
      </c>
      <c r="B3382">
        <v>8472.2521318837007</v>
      </c>
      <c r="C3382">
        <v>7470.9414489999999</v>
      </c>
      <c r="D3382">
        <v>1.4842010000000001</v>
      </c>
      <c r="E3382">
        <f>LN(D3382/参数实验室!$E$53)/参数实验室!$E$55</f>
        <v>-0.22711136732675113</v>
      </c>
      <c r="F3382">
        <f t="shared" si="468"/>
        <v>0.88181292679953904</v>
      </c>
      <c r="G3382">
        <f>LN(F3382/参数实验室!$E$58)/参数实验室!$E$59</f>
        <v>-0.25654372383969742</v>
      </c>
      <c r="H3382" s="856">
        <f>INDEX(神经网络!$G$10:$BO$70,MATCH(ROUND(G3382*2,1)/2,神经网络!$E$10:$E$70,0),MATCH(ROUND(E3382*2,1)/2,神经网络!$G$8:$BO$8,0))</f>
        <v>-0.4381120976531464</v>
      </c>
      <c r="I3382">
        <f t="shared" si="470"/>
        <v>554843.5463438289</v>
      </c>
      <c r="J3382">
        <f t="shared" si="471"/>
        <v>3380.6520617228734</v>
      </c>
      <c r="K3382">
        <f t="shared" si="472"/>
        <v>164.12323309635875</v>
      </c>
      <c r="L3382" s="4">
        <f>MIN(MAX(L3381*(1+MAX(MIN(((B3382-B3381)/B3381)/($K$7*卓尔金历!$N$40),0),-卓尔金历!$M$43))+MIN(MAX(((B3382-B3381)/B3381)/($K$7*卓尔金历!$N$40),0),卓尔金历!$M$43),0),1)</f>
        <v>0.21424881582262451</v>
      </c>
      <c r="M3382" s="4">
        <f>MIN(MAX(M3381*(1+MAX(MIN(((B3382-B3381)/B3381)/($K$7*30),0),-卓尔金历!$M$43))+MIN(MAX(((B3382-B3381)/B3381)/($K$7*7),0),卓尔金历!$M$43),0),1)</f>
        <v>0.76784074227557497</v>
      </c>
      <c r="N3382">
        <f t="shared" si="473"/>
        <v>204795.4795343804</v>
      </c>
      <c r="O3382">
        <f t="shared" si="474"/>
        <v>557232.96464613394</v>
      </c>
      <c r="P3382">
        <f t="shared" si="475"/>
        <v>-1.9597396359264486E-2</v>
      </c>
      <c r="Q3382">
        <f t="shared" si="476"/>
        <v>4.565185080865005E-2</v>
      </c>
      <c r="R3382">
        <f t="shared" si="477"/>
        <v>0.93017186943793917</v>
      </c>
      <c r="S3382">
        <f t="shared" si="469"/>
        <v>1200.3386492973113</v>
      </c>
      <c r="T3382" s="564">
        <f>IF((I3382-MAX(I$470:I3382))/MAX(I$470:I3382)&gt;T3381,T3381,(I3382-MAX(I$470:I3382))/MAX(I$470:I3382))</f>
        <v>-0.91338805338419748</v>
      </c>
      <c r="U3382" s="564">
        <f>IF((J3382-MAX(J$470:J3382))/MAX(J$470:J3382)&gt;U3381,U3381,(J3382-MAX(J$470:J3382))/MAX(J$470:J3382))</f>
        <v>-0.83569785939843477</v>
      </c>
      <c r="V3382" s="564">
        <f>IF((K3382-MAX(K$470:K3382))/MAX(K$470:K3382)&gt;V3381,V3381,(K3382-MAX(K$470:K3382))/MAX(K$470:K3382))</f>
        <v>-0.84885940676762139</v>
      </c>
      <c r="W3382" s="564">
        <f>IF((N3382-MAX(N$470:N3382))/MAX(N$470:N3382)&gt;W3381,W3381,(N3382-MAX(N$470:N3382))/MAX(N$470:N3382))</f>
        <v>-0.62788758315546067</v>
      </c>
      <c r="X3382" s="564">
        <f>IF((O3382-MAX(O$470:O3382))/MAX(O$470:O3382)&gt;X3381,X3381,(O3382-MAX(O$470:O3382))/MAX(O$470:O3382))</f>
        <v>-0.62788758315546067</v>
      </c>
    </row>
    <row r="3383" spans="1:24">
      <c r="A3383" s="799">
        <v>43785</v>
      </c>
      <c r="B3383">
        <v>8493.7054748087994</v>
      </c>
      <c r="C3383">
        <v>7483.8503600000004</v>
      </c>
      <c r="D3383">
        <v>1.48641</v>
      </c>
      <c r="E3383">
        <f>LN(D3383/参数实验室!$E$53)/参数实验室!$E$55</f>
        <v>-0.22535679535735276</v>
      </c>
      <c r="F3383">
        <f t="shared" si="468"/>
        <v>0.88110547065660627</v>
      </c>
      <c r="G3383">
        <f>LN(F3383/参数实验室!$E$58)/参数实验室!$E$59</f>
        <v>-0.2569649699250397</v>
      </c>
      <c r="H3383" s="856">
        <f>INDEX(神经网络!$G$10:$BO$70,MATCH(ROUND(G3383*2,1)/2,神经网络!$E$10:$E$70,0),MATCH(ROUND(E3383*2,1)/2,神经网络!$G$8:$BO$8,0))</f>
        <v>-0.4381120976531464</v>
      </c>
      <c r="I3383">
        <f t="shared" si="470"/>
        <v>554228.01256958314</v>
      </c>
      <c r="J3383">
        <f t="shared" si="471"/>
        <v>3389.2125113957113</v>
      </c>
      <c r="K3383">
        <f t="shared" si="472"/>
        <v>163.52707618836996</v>
      </c>
      <c r="L3383" s="4">
        <f>MIN(MAX(L3382*(1+MAX(MIN(((B3383-B3382)/B3382)/($K$7*卓尔金历!$N$40),0),-卓尔金历!$M$43))+MIN(MAX(((B3383-B3382)/B3382)/($K$7*卓尔金历!$N$40),0),卓尔金历!$M$43),0),1)</f>
        <v>0.25293823246885822</v>
      </c>
      <c r="M3383" s="4">
        <f>MIN(MAX(M3382*(1+MAX(MIN(((B3383-B3382)/B3382)/($K$7*30),0),-卓尔金历!$M$43))+MIN(MAX(((B3383-B3382)/B3382)/($K$7*7),0),卓尔金历!$M$43),0),1)</f>
        <v>0.850746635088933</v>
      </c>
      <c r="N3383">
        <f t="shared" si="473"/>
        <v>204746.80294453501</v>
      </c>
      <c r="O3383">
        <f t="shared" si="474"/>
        <v>556758.2973598442</v>
      </c>
      <c r="P3383">
        <f t="shared" si="475"/>
        <v>2.5321889140153351E-3</v>
      </c>
      <c r="Q3383">
        <f t="shared" si="476"/>
        <v>1.7081203983320893E-2</v>
      </c>
      <c r="R3383">
        <f t="shared" si="477"/>
        <v>1</v>
      </c>
      <c r="S3383">
        <f t="shared" si="469"/>
        <v>1199.1000000587642</v>
      </c>
      <c r="T3383" s="564">
        <f>IF((I3383-MAX(I$470:I3383))/MAX(I$470:I3383)&gt;T3382,T3382,(I3383-MAX(I$470:I3383))/MAX(I$470:I3383))</f>
        <v>-0.91338805338419748</v>
      </c>
      <c r="U3383" s="564">
        <f>IF((J3383-MAX(J$470:J3383))/MAX(J$470:J3383)&gt;U3382,U3382,(J3383-MAX(J$470:J3383))/MAX(J$470:J3383))</f>
        <v>-0.83569785939843477</v>
      </c>
      <c r="V3383" s="564">
        <f>IF((K3383-MAX(K$470:K3383))/MAX(K$470:K3383)&gt;V3382,V3382,(K3383-MAX(K$470:K3383))/MAX(K$470:K3383))</f>
        <v>-0.84885940676762139</v>
      </c>
      <c r="W3383" s="564">
        <f>IF((N3383-MAX(N$470:N3383))/MAX(N$470:N3383)&gt;W3382,W3382,(N3383-MAX(N$470:N3383))/MAX(N$470:N3383))</f>
        <v>-0.62788758315546067</v>
      </c>
      <c r="X3383" s="564">
        <f>IF((O3383-MAX(O$470:O3383))/MAX(O$470:O3383)&gt;X3382,X3382,(O3383-MAX(O$470:O3383))/MAX(O$470:O3383))</f>
        <v>-0.62788758315546067</v>
      </c>
    </row>
    <row r="3384" spans="1:24">
      <c r="A3384" s="799">
        <v>43786</v>
      </c>
      <c r="B3384">
        <v>8543.3922874992004</v>
      </c>
      <c r="C3384">
        <v>7517.9437850000004</v>
      </c>
      <c r="D3384">
        <v>1.491204</v>
      </c>
      <c r="E3384">
        <f>LN(D3384/参数实验室!$E$53)/参数实验室!$E$55</f>
        <v>-0.22155795377584472</v>
      </c>
      <c r="F3384">
        <f t="shared" si="468"/>
        <v>0.87997174096761899</v>
      </c>
      <c r="G3384">
        <f>LN(F3384/参数实验室!$E$58)/参数实验室!$E$59</f>
        <v>-0.25764074119651187</v>
      </c>
      <c r="H3384" s="856">
        <f>INDEX(神经网络!$G$10:$BO$70,MATCH(ROUND(G3384*2,1)/2,神经网络!$E$10:$E$70,0),MATCH(ROUND(E3384*2,1)/2,神经网络!$G$8:$BO$8,0))</f>
        <v>-0.39598595774924455</v>
      </c>
      <c r="I3384">
        <f t="shared" si="470"/>
        <v>552807.58968918934</v>
      </c>
      <c r="J3384">
        <f t="shared" si="471"/>
        <v>3409.0388601808359</v>
      </c>
      <c r="K3384">
        <f t="shared" si="472"/>
        <v>162.15936877289369</v>
      </c>
      <c r="L3384" s="4">
        <f>MIN(MAX(L3383*(1+MAX(MIN(((B3384-B3383)/B3383)/($K$7*卓尔金历!$N$40),0),-卓尔金历!$M$43))+MIN(MAX(((B3384-B3383)/B3383)/($K$7*卓尔金历!$N$40),0),卓尔金历!$M$43),0),1)</f>
        <v>0.34231816438357804</v>
      </c>
      <c r="M3384" s="4">
        <f>MIN(MAX(M3383*(1+MAX(MIN(((B3384-B3383)/B3383)/($K$7*30),0),-卓尔金历!$M$43))+MIN(MAX(((B3384-B3383)/B3383)/($K$7*7),0),卓尔金历!$M$43),0),1)</f>
        <v>1</v>
      </c>
      <c r="N3384">
        <f t="shared" si="473"/>
        <v>204614.0754809434</v>
      </c>
      <c r="O3384">
        <f t="shared" si="474"/>
        <v>555544.3604266945</v>
      </c>
      <c r="P3384">
        <f t="shared" si="475"/>
        <v>5.8498393707864561E-3</v>
      </c>
      <c r="Q3384">
        <f t="shared" si="476"/>
        <v>1.5340834863448366E-2</v>
      </c>
      <c r="R3384">
        <f t="shared" si="477"/>
        <v>0.99765327686395455</v>
      </c>
      <c r="S3384">
        <f t="shared" si="469"/>
        <v>1196.0268441782684</v>
      </c>
      <c r="T3384" s="564">
        <f>IF((I3384-MAX(I$470:I3384))/MAX(I$470:I3384)&gt;T3383,T3383,(I3384-MAX(I$470:I3384))/MAX(I$470:I3384))</f>
        <v>-0.91338805338419748</v>
      </c>
      <c r="U3384" s="564">
        <f>IF((J3384-MAX(J$470:J3384))/MAX(J$470:J3384)&gt;U3383,U3383,(J3384-MAX(J$470:J3384))/MAX(J$470:J3384))</f>
        <v>-0.83569785939843477</v>
      </c>
      <c r="V3384" s="564">
        <f>IF((K3384-MAX(K$470:K3384))/MAX(K$470:K3384)&gt;V3383,V3383,(K3384-MAX(K$470:K3384))/MAX(K$470:K3384))</f>
        <v>-0.84885940676762139</v>
      </c>
      <c r="W3384" s="564">
        <f>IF((N3384-MAX(N$470:N3384))/MAX(N$470:N3384)&gt;W3383,W3383,(N3384-MAX(N$470:N3384))/MAX(N$470:N3384))</f>
        <v>-0.62788758315546067</v>
      </c>
      <c r="X3384" s="564">
        <f>IF((O3384-MAX(O$470:O3384))/MAX(O$470:O3384)&gt;X3383,X3383,(O3384-MAX(O$470:O3384))/MAX(O$470:O3384))</f>
        <v>-0.62788758315546067</v>
      </c>
    </row>
    <row r="3385" spans="1:24">
      <c r="A3385" s="799">
        <v>43787</v>
      </c>
      <c r="B3385">
        <v>8434.0261648226005</v>
      </c>
      <c r="C3385">
        <v>7530.8206419999997</v>
      </c>
      <c r="D3385">
        <v>1.435851</v>
      </c>
      <c r="E3385">
        <f>LN(D3385/参数实验室!$E$53)/参数实验室!$E$55</f>
        <v>-0.26618346815871463</v>
      </c>
      <c r="F3385">
        <f t="shared" si="468"/>
        <v>0.89290932881026952</v>
      </c>
      <c r="G3385">
        <f>LN(F3385/参数实验室!$E$58)/参数实验室!$E$59</f>
        <v>-0.24998036742086233</v>
      </c>
      <c r="H3385" s="856">
        <f>INDEX(神经网络!$G$10:$BO$70,MATCH(ROUND(G3385*2,1)/2,神经网络!$E$10:$E$70,0),MATCH(ROUND(E3385*2,1)/2,神经网络!$G$8:$BO$8,0))</f>
        <v>-0.4381120976531464</v>
      </c>
      <c r="I3385">
        <f t="shared" si="470"/>
        <v>555609.83563547675</v>
      </c>
      <c r="J3385">
        <f t="shared" si="471"/>
        <v>3365.3988926310176</v>
      </c>
      <c r="K3385">
        <f t="shared" si="472"/>
        <v>165.09479362225304</v>
      </c>
      <c r="L3385" s="4">
        <f>MIN(MAX(L3384*(1+MAX(MIN(((B3385-B3384)/B3384)/($K$7*卓尔金历!$N$40),0),-卓尔金历!$M$43))+MIN(MAX(((B3385-B3384)/B3384)/($K$7*卓尔金历!$N$40),0),卓尔金历!$M$43),0),1)</f>
        <v>0.27536386186688494</v>
      </c>
      <c r="M3385" s="4">
        <f>MIN(MAX(M3384*(1+MAX(MIN(((B3385-B3384)/B3384)/($K$7*30),0),-卓尔金历!$M$43))+MIN(MAX(((B3385-B3384)/B3384)/($K$7*7),0),卓尔金历!$M$43),0),1)</f>
        <v>0.90220457240815777</v>
      </c>
      <c r="N3385">
        <f t="shared" si="473"/>
        <v>204969.13217330127</v>
      </c>
      <c r="O3385">
        <f t="shared" si="474"/>
        <v>558360.47938205081</v>
      </c>
      <c r="P3385">
        <f t="shared" si="475"/>
        <v>-1.2801252593378597E-2</v>
      </c>
      <c r="Q3385">
        <f t="shared" si="476"/>
        <v>1.5183423671386812E-2</v>
      </c>
      <c r="R3385">
        <f t="shared" si="477"/>
        <v>0.18862018090993027</v>
      </c>
      <c r="S3385">
        <f t="shared" si="469"/>
        <v>1202.075415600754</v>
      </c>
      <c r="T3385" s="564">
        <f>IF((I3385-MAX(I$470:I3385))/MAX(I$470:I3385)&gt;T3384,T3384,(I3385-MAX(I$470:I3385))/MAX(I$470:I3385))</f>
        <v>-0.91338805338419748</v>
      </c>
      <c r="U3385" s="564">
        <f>IF((J3385-MAX(J$470:J3385))/MAX(J$470:J3385)&gt;U3384,U3384,(J3385-MAX(J$470:J3385))/MAX(J$470:J3385))</f>
        <v>-0.83569785939843477</v>
      </c>
      <c r="V3385" s="564">
        <f>IF((K3385-MAX(K$470:K3385))/MAX(K$470:K3385)&gt;V3384,V3384,(K3385-MAX(K$470:K3385))/MAX(K$470:K3385))</f>
        <v>-0.84885940676762139</v>
      </c>
      <c r="W3385" s="564">
        <f>IF((N3385-MAX(N$470:N3385))/MAX(N$470:N3385)&gt;W3384,W3384,(N3385-MAX(N$470:N3385))/MAX(N$470:N3385))</f>
        <v>-0.62788758315546067</v>
      </c>
      <c r="X3385" s="564">
        <f>IF((O3385-MAX(O$470:O3385))/MAX(O$470:O3385)&gt;X3384,X3384,(O3385-MAX(O$470:O3385))/MAX(O$470:O3385))</f>
        <v>-0.62788758315546067</v>
      </c>
    </row>
    <row r="3386" spans="1:24">
      <c r="A3386" s="799">
        <v>43788</v>
      </c>
      <c r="B3386">
        <v>8111.0407640244002</v>
      </c>
      <c r="C3386">
        <v>7527.9697420000002</v>
      </c>
      <c r="D3386">
        <v>1.4246259999999999</v>
      </c>
      <c r="E3386">
        <f>LN(D3386/参数实验室!$E$53)/参数实验室!$E$55</f>
        <v>-0.27544262188703372</v>
      </c>
      <c r="F3386">
        <f t="shared" si="468"/>
        <v>0.92811390806830296</v>
      </c>
      <c r="G3386">
        <f>LN(F3386/参数实验室!$E$58)/参数实验室!$E$59</f>
        <v>-0.22968456033115445</v>
      </c>
      <c r="H3386" s="856">
        <f>INDEX(神经网络!$G$10:$BO$70,MATCH(ROUND(G3386*2,1)/2,神经网络!$E$10:$E$70,0),MATCH(ROUND(E3386*2,1)/2,神经网络!$G$8:$BO$8,0))</f>
        <v>-0.47592550752609075</v>
      </c>
      <c r="I3386">
        <f t="shared" si="470"/>
        <v>564931.70728821703</v>
      </c>
      <c r="J3386">
        <f t="shared" si="471"/>
        <v>3236.5191987647709</v>
      </c>
      <c r="K3386">
        <f t="shared" si="472"/>
        <v>174.54915994437025</v>
      </c>
      <c r="L3386" s="4">
        <f>MIN(MAX(L3385*(1+MAX(MIN(((B3386-B3385)/B3385)/($K$7*卓尔金历!$N$40),0),-卓尔金历!$M$43))+MIN(MAX(((B3386-B3385)/B3385)/($K$7*卓尔金历!$N$40),0),卓尔金历!$M$43),0),1)</f>
        <v>0.1142432989304536</v>
      </c>
      <c r="M3386" s="4">
        <f>MIN(MAX(M3385*(1+MAX(MIN(((B3386-B3385)/B3385)/($K$7*30),0),-卓尔金历!$M$43))+MIN(MAX(((B3386-B3385)/B3385)/($K$7*7),0),卓尔金历!$M$43),0),1)</f>
        <v>0.63825615956142101</v>
      </c>
      <c r="N3386">
        <f t="shared" si="473"/>
        <v>205916.08555667082</v>
      </c>
      <c r="O3386">
        <f t="shared" si="474"/>
        <v>566812.35095220117</v>
      </c>
      <c r="P3386">
        <f t="shared" si="475"/>
        <v>-3.8295517998905085E-2</v>
      </c>
      <c r="Q3386">
        <f t="shared" si="476"/>
        <v>1.6741197192663555E-2</v>
      </c>
      <c r="R3386">
        <f t="shared" si="477"/>
        <v>2.6197435713960992E-3</v>
      </c>
      <c r="S3386">
        <f t="shared" si="469"/>
        <v>1205.8795255975115</v>
      </c>
      <c r="T3386" s="564">
        <f>IF((I3386-MAX(I$470:I3386))/MAX(I$470:I3386)&gt;T3385,T3385,(I3386-MAX(I$470:I3386))/MAX(I$470:I3386))</f>
        <v>-0.91338805338419748</v>
      </c>
      <c r="U3386" s="564">
        <f>IF((J3386-MAX(J$470:J3386))/MAX(J$470:J3386)&gt;U3385,U3385,(J3386-MAX(J$470:J3386))/MAX(J$470:J3386))</f>
        <v>-0.83569785939843477</v>
      </c>
      <c r="V3386" s="564">
        <f>IF((K3386-MAX(K$470:K3386))/MAX(K$470:K3386)&gt;V3385,V3385,(K3386-MAX(K$470:K3386))/MAX(K$470:K3386))</f>
        <v>-0.84885940676762139</v>
      </c>
      <c r="W3386" s="564">
        <f>IF((N3386-MAX(N$470:N3386))/MAX(N$470:N3386)&gt;W3385,W3385,(N3386-MAX(N$470:N3386))/MAX(N$470:N3386))</f>
        <v>-0.62788758315546067</v>
      </c>
      <c r="X3386" s="564">
        <f>IF((O3386-MAX(O$470:O3386))/MAX(O$470:O3386)&gt;X3385,X3385,(O3386-MAX(O$470:O3386))/MAX(O$470:O3386))</f>
        <v>-0.62788758315546067</v>
      </c>
    </row>
    <row r="3387" spans="1:24">
      <c r="A3387" s="799">
        <v>43789</v>
      </c>
      <c r="B3387">
        <v>8118.3876837025</v>
      </c>
      <c r="C3387">
        <v>7620.8747890000004</v>
      </c>
      <c r="D3387">
        <v>1.4183619999999999</v>
      </c>
      <c r="E3387">
        <f>LN(D3387/参数实验室!$E$53)/参数实验室!$E$55</f>
        <v>-0.28064136790969252</v>
      </c>
      <c r="F3387">
        <f t="shared" si="468"/>
        <v>0.93871777080795904</v>
      </c>
      <c r="G3387">
        <f>LN(F3387/参数实验室!$E$58)/参数实验室!$E$59</f>
        <v>-0.22372200875228049</v>
      </c>
      <c r="H3387" s="856">
        <f>INDEX(神经网络!$G$10:$BO$70,MATCH(ROUND(G3387*2,1)/2,神经网络!$E$10:$E$70,0),MATCH(ROUND(E3387*2,1)/2,神经网络!$G$8:$BO$8,0))</f>
        <v>-0.3941382036686194</v>
      </c>
      <c r="I3387">
        <f t="shared" si="470"/>
        <v>564688.17102384008</v>
      </c>
      <c r="J3387">
        <f t="shared" si="471"/>
        <v>3239.4508134960661</v>
      </c>
      <c r="K3387">
        <f t="shared" si="472"/>
        <v>174.31601945343931</v>
      </c>
      <c r="L3387" s="4">
        <f>MIN(MAX(L3386*(1+MAX(MIN(((B3387-B3386)/B3386)/($K$7*卓尔金历!$N$40),0),-卓尔金历!$M$43))+MIN(MAX(((B3387-B3386)/B3386)/($K$7*卓尔金历!$N$40),0),卓尔金历!$M$43),0),1)</f>
        <v>0.12808293870490248</v>
      </c>
      <c r="M3387" s="4">
        <f>MIN(MAX(M3386*(1+MAX(MIN(((B3387-B3386)/B3386)/($K$7*30),0),-卓尔金历!$M$43))+MIN(MAX(((B3387-B3386)/B3386)/($K$7*7),0),卓尔金历!$M$43),0),1)</f>
        <v>0.66791253050666866</v>
      </c>
      <c r="N3387">
        <f t="shared" si="473"/>
        <v>205905.94437182695</v>
      </c>
      <c r="O3387">
        <f t="shared" si="474"/>
        <v>566656.39498039929</v>
      </c>
      <c r="P3387">
        <f t="shared" si="475"/>
        <v>9.0579247372127552E-4</v>
      </c>
      <c r="Q3387">
        <f t="shared" si="476"/>
        <v>1.6007613138155425E-2</v>
      </c>
      <c r="R3387">
        <f t="shared" si="477"/>
        <v>1</v>
      </c>
      <c r="S3387">
        <f t="shared" si="469"/>
        <v>1205.8781637440024</v>
      </c>
      <c r="T3387" s="564">
        <f>IF((I3387-MAX(I$470:I3387))/MAX(I$470:I3387)&gt;T3386,T3386,(I3387-MAX(I$470:I3387))/MAX(I$470:I3387))</f>
        <v>-0.91338805338419748</v>
      </c>
      <c r="U3387" s="564">
        <f>IF((J3387-MAX(J$470:J3387))/MAX(J$470:J3387)&gt;U3386,U3386,(J3387-MAX(J$470:J3387))/MAX(J$470:J3387))</f>
        <v>-0.83569785939843477</v>
      </c>
      <c r="V3387" s="564">
        <f>IF((K3387-MAX(K$470:K3387))/MAX(K$470:K3387)&gt;V3386,V3386,(K3387-MAX(K$470:K3387))/MAX(K$470:K3387))</f>
        <v>-0.84885940676762139</v>
      </c>
      <c r="W3387" s="564">
        <f>IF((N3387-MAX(N$470:N3387))/MAX(N$470:N3387)&gt;W3386,W3386,(N3387-MAX(N$470:N3387))/MAX(N$470:N3387))</f>
        <v>-0.62788758315546067</v>
      </c>
      <c r="X3387" s="564">
        <f>IF((O3387-MAX(O$470:O3387))/MAX(O$470:O3387)&gt;X3386,X3386,(O3387-MAX(O$470:O3387))/MAX(O$470:O3387))</f>
        <v>-0.62788758315546067</v>
      </c>
    </row>
    <row r="3388" spans="1:24">
      <c r="A3388" s="799">
        <v>43790</v>
      </c>
      <c r="B3388">
        <v>7668.2567466250002</v>
      </c>
      <c r="C3388">
        <v>7797.6566419999999</v>
      </c>
      <c r="D3388">
        <v>1.3389629999999999</v>
      </c>
      <c r="E3388">
        <f>LN(D3388/参数实验室!$E$53)/参数实验室!$E$55</f>
        <v>-0.3486037090390709</v>
      </c>
      <c r="F3388">
        <f t="shared" si="468"/>
        <v>1.0168747473709656</v>
      </c>
      <c r="G3388">
        <f>LN(F3388/参数实验室!$E$58)/参数实验室!$E$59</f>
        <v>-0.18174714304815889</v>
      </c>
      <c r="H3388" s="856">
        <f>INDEX(神经网络!$G$10:$BO$70,MATCH(ROUND(G3388*2,1)/2,神经网络!$E$10:$E$70,0),MATCH(ROUND(E3388*2,1)/2,神经网络!$G$8:$BO$8,0))</f>
        <v>-0.43513968992096197</v>
      </c>
      <c r="I3388">
        <f t="shared" si="470"/>
        <v>577028.48754353903</v>
      </c>
      <c r="J3388">
        <f t="shared" si="471"/>
        <v>3059.8366971090509</v>
      </c>
      <c r="K3388">
        <f t="shared" si="472"/>
        <v>188.58146517711825</v>
      </c>
      <c r="L3388" s="4">
        <f>MIN(MAX(L3387*(1+MAX(MIN(((B3388-B3387)/B3387)/($K$7*卓尔金历!$N$40),0),-卓尔金历!$M$43))+MIN(MAX(((B3388-B3387)/B3387)/($K$7*卓尔金历!$N$40),0),卓尔金历!$M$43),0),1)</f>
        <v>1.957626813538144E-2</v>
      </c>
      <c r="M3388" s="4">
        <f>MIN(MAX(M3387*(1+MAX(MIN(((B3388-B3387)/B3387)/($K$7*30),0),-卓尔金历!$M$43))+MIN(MAX(((B3388-B3387)/B3387)/($K$7*7),0),卓尔金历!$M$43),0),1)</f>
        <v>0.38499832799950717</v>
      </c>
      <c r="N3388">
        <f t="shared" si="473"/>
        <v>206482.28306419443</v>
      </c>
      <c r="O3388">
        <f t="shared" si="474"/>
        <v>574927.37543248816</v>
      </c>
      <c r="P3388">
        <f t="shared" si="475"/>
        <v>-5.5445853858535059E-2</v>
      </c>
      <c r="Q3388">
        <f t="shared" si="476"/>
        <v>1.8614210899740347E-2</v>
      </c>
      <c r="R3388">
        <f t="shared" si="477"/>
        <v>0</v>
      </c>
      <c r="S3388">
        <f t="shared" si="469"/>
        <v>1232.2306162804416</v>
      </c>
      <c r="T3388" s="564">
        <f>IF((I3388-MAX(I$470:I3388))/MAX(I$470:I3388)&gt;T3387,T3387,(I3388-MAX(I$470:I3388))/MAX(I$470:I3388))</f>
        <v>-0.91338805338419748</v>
      </c>
      <c r="U3388" s="564">
        <f>IF((J3388-MAX(J$470:J3388))/MAX(J$470:J3388)&gt;U3387,U3387,(J3388-MAX(J$470:J3388))/MAX(J$470:J3388))</f>
        <v>-0.83569785939843477</v>
      </c>
      <c r="V3388" s="564">
        <f>IF((K3388-MAX(K$470:K3388))/MAX(K$470:K3388)&gt;V3387,V3387,(K3388-MAX(K$470:K3388))/MAX(K$470:K3388))</f>
        <v>-0.84885940676762139</v>
      </c>
      <c r="W3388" s="564">
        <f>IF((N3388-MAX(N$470:N3388))/MAX(N$470:N3388)&gt;W3387,W3387,(N3388-MAX(N$470:N3388))/MAX(N$470:N3388))</f>
        <v>-0.62788758315546067</v>
      </c>
      <c r="X3388" s="564">
        <f>IF((O3388-MAX(O$470:O3388))/MAX(O$470:O3388)&gt;X3387,X3387,(O3388-MAX(O$470:O3388))/MAX(O$470:O3388))</f>
        <v>-0.62788758315546067</v>
      </c>
    </row>
    <row r="3389" spans="1:24">
      <c r="A3389" s="799">
        <v>43791</v>
      </c>
      <c r="B3389">
        <v>7063.2600713271004</v>
      </c>
      <c r="C3389">
        <v>8002.6996870000003</v>
      </c>
      <c r="D3389">
        <v>1.28345</v>
      </c>
      <c r="E3389">
        <f>LN(D3389/参数实验室!$E$53)/参数实验室!$E$55</f>
        <v>-0.39855879011011103</v>
      </c>
      <c r="F3389">
        <f t="shared" si="468"/>
        <v>1.1330036847271845</v>
      </c>
      <c r="G3389">
        <f>LN(F3389/参数实验室!$E$58)/参数实验室!$E$59</f>
        <v>-0.12499032765073798</v>
      </c>
      <c r="H3389" s="856">
        <f>INDEX(神经网络!$G$10:$BO$70,MATCH(ROUND(G3389*2,1)/2,神经网络!$E$10:$E$70,0),MATCH(ROUND(E3389*2,1)/2,神经网络!$G$8:$BO$8,0))</f>
        <v>-0.30661717938408184</v>
      </c>
      <c r="I3389">
        <f t="shared" si="470"/>
        <v>596838.38808539917</v>
      </c>
      <c r="J3389">
        <f t="shared" si="471"/>
        <v>2818.4270664886053</v>
      </c>
      <c r="K3389">
        <f t="shared" si="472"/>
        <v>211.76293514275054</v>
      </c>
      <c r="L3389" s="4">
        <f>MIN(MAX(L3388*(1+MAX(MIN(((B3389-B3388)/B3388)/($K$7*卓尔金历!$N$40),0),-卓尔金历!$M$43))+MIN(MAX(((B3389-B3388)/B3388)/($K$7*卓尔金历!$N$40),0),卓尔金历!$M$43),0),1)</f>
        <v>0</v>
      </c>
      <c r="M3389" s="4">
        <f>MIN(MAX(M3388*(1+MAX(MIN(((B3389-B3388)/B3388)/($K$7*30),0),-卓尔金历!$M$43))+MIN(MAX(((B3389-B3388)/B3388)/($K$7*7),0),卓尔金历!$M$43),0),1)</f>
        <v>0.15294849038484187</v>
      </c>
      <c r="N3389">
        <f t="shared" si="473"/>
        <v>206621.05375141476</v>
      </c>
      <c r="O3389">
        <f t="shared" si="474"/>
        <v>582526.38291716308</v>
      </c>
      <c r="P3389">
        <f t="shared" si="475"/>
        <v>-7.8896246603137626E-2</v>
      </c>
      <c r="Q3389">
        <f t="shared" si="476"/>
        <v>2.3899491009294106E-2</v>
      </c>
      <c r="R3389">
        <f t="shared" si="477"/>
        <v>0</v>
      </c>
      <c r="S3389">
        <f t="shared" si="469"/>
        <v>1232.2306162804416</v>
      </c>
      <c r="T3389" s="564">
        <f>IF((I3389-MAX(I$470:I3389))/MAX(I$470:I3389)&gt;T3388,T3388,(I3389-MAX(I$470:I3389))/MAX(I$470:I3389))</f>
        <v>-0.91338805338419748</v>
      </c>
      <c r="U3389" s="564">
        <f>IF((J3389-MAX(J$470:J3389))/MAX(J$470:J3389)&gt;U3388,U3388,(J3389-MAX(J$470:J3389))/MAX(J$470:J3389))</f>
        <v>-0.83569785939843477</v>
      </c>
      <c r="V3389" s="564">
        <f>IF((K3389-MAX(K$470:K3389))/MAX(K$470:K3389)&gt;V3388,V3388,(K3389-MAX(K$470:K3389))/MAX(K$470:K3389))</f>
        <v>-0.84885940676762139</v>
      </c>
      <c r="W3389" s="564">
        <f>IF((N3389-MAX(N$470:N3389))/MAX(N$470:N3389)&gt;W3388,W3388,(N3389-MAX(N$470:N3389))/MAX(N$470:N3389))</f>
        <v>-0.62788758315546067</v>
      </c>
      <c r="X3389" s="564">
        <f>IF((O3389-MAX(O$470:O3389))/MAX(O$470:O3389)&gt;X3388,X3388,(O3389-MAX(O$470:O3389))/MAX(O$470:O3389))</f>
        <v>-0.62788758315546067</v>
      </c>
    </row>
    <row r="3390" spans="1:24">
      <c r="A3390" s="799">
        <v>43792</v>
      </c>
      <c r="B3390">
        <v>7262.9697704016999</v>
      </c>
      <c r="C3390">
        <v>7780.7705390000001</v>
      </c>
      <c r="D3390">
        <v>1.29339</v>
      </c>
      <c r="E3390">
        <f>LN(D3390/参数实验室!$E$53)/参数实验室!$E$55</f>
        <v>-0.38945709546892981</v>
      </c>
      <c r="F3390">
        <f t="shared" si="468"/>
        <v>1.0712932567485631</v>
      </c>
      <c r="G3390">
        <f>LN(F3390/参数实验室!$E$58)/参数实验室!$E$59</f>
        <v>-0.15438512705551716</v>
      </c>
      <c r="H3390" s="856">
        <f>INDEX(神经网络!$G$10:$BO$70,MATCH(ROUND(G3390*2,1)/2,神经网络!$E$10:$E$70,0),MATCH(ROUND(E3390*2,1)/2,神经网络!$G$8:$BO$8,0))</f>
        <v>-0.38990896592980601</v>
      </c>
      <c r="I3390">
        <f t="shared" si="470"/>
        <v>591664.14065291139</v>
      </c>
      <c r="J3390">
        <f t="shared" si="471"/>
        <v>2898.1165038911827</v>
      </c>
      <c r="K3390">
        <f t="shared" si="472"/>
        <v>204.15471215822694</v>
      </c>
      <c r="L3390" s="4">
        <f>MIN(MAX(L3389*(1+MAX(MIN(((B3390-B3389)/B3389)/($K$7*卓尔金历!$N$40),0),-卓尔金历!$M$43))+MIN(MAX(((B3390-B3389)/B3389)/($K$7*卓尔金历!$N$40),0),卓尔金历!$M$43),0),1)</f>
        <v>0.43200625829781686</v>
      </c>
      <c r="M3390" s="4">
        <f>MIN(MAX(M3389*(1+MAX(MIN(((B3390-B3389)/B3389)/($K$7*30),0),-卓尔金历!$M$43))+MIN(MAX(((B3390-B3389)/B3389)/($K$7*7),0),卓尔金历!$M$43),0),1)</f>
        <v>1</v>
      </c>
      <c r="N3390">
        <f t="shared" si="473"/>
        <v>206621.05375141476</v>
      </c>
      <c r="O3390">
        <f t="shared" si="474"/>
        <v>581753.96695777704</v>
      </c>
      <c r="P3390">
        <f t="shared" si="475"/>
        <v>2.82744365997947E-2</v>
      </c>
      <c r="Q3390">
        <f t="shared" si="476"/>
        <v>2.462533116444145E-2</v>
      </c>
      <c r="R3390">
        <f t="shared" si="477"/>
        <v>2.0597000529833008E-2</v>
      </c>
      <c r="S3390">
        <f t="shared" si="469"/>
        <v>1232.2306162804416</v>
      </c>
      <c r="T3390" s="564">
        <f>IF((I3390-MAX(I$470:I3390))/MAX(I$470:I3390)&gt;T3389,T3389,(I3390-MAX(I$470:I3390))/MAX(I$470:I3390))</f>
        <v>-0.91338805338419748</v>
      </c>
      <c r="U3390" s="564">
        <f>IF((J3390-MAX(J$470:J3390))/MAX(J$470:J3390)&gt;U3389,U3389,(J3390-MAX(J$470:J3390))/MAX(J$470:J3390))</f>
        <v>-0.83569785939843477</v>
      </c>
      <c r="V3390" s="564">
        <f>IF((K3390-MAX(K$470:K3390))/MAX(K$470:K3390)&gt;V3389,V3389,(K3390-MAX(K$470:K3390))/MAX(K$470:K3390))</f>
        <v>-0.84885940676762139</v>
      </c>
      <c r="W3390" s="564">
        <f>IF((N3390-MAX(N$470:N3390))/MAX(N$470:N3390)&gt;W3389,W3389,(N3390-MAX(N$470:N3390))/MAX(N$470:N3390))</f>
        <v>-0.62788758315546067</v>
      </c>
      <c r="X3390" s="564">
        <f>IF((O3390-MAX(O$470:O3390))/MAX(O$470:O3390)&gt;X3389,X3389,(O3390-MAX(O$470:O3390))/MAX(O$470:O3390))</f>
        <v>-0.62788758315546067</v>
      </c>
    </row>
    <row r="3391" spans="1:24">
      <c r="A3391" s="799">
        <v>43793</v>
      </c>
      <c r="B3391">
        <v>7081.6408095459001</v>
      </c>
      <c r="C3391">
        <v>7821.7780069999999</v>
      </c>
      <c r="D3391">
        <v>1.226361</v>
      </c>
      <c r="E3391">
        <f>LN(D3391/参数实验室!$E$53)/参数实验室!$E$55</f>
        <v>-0.45223817253954635</v>
      </c>
      <c r="F3391">
        <f t="shared" si="468"/>
        <v>1.1045149305590889</v>
      </c>
      <c r="G3391">
        <f>LN(F3391/参数实验室!$E$58)/参数实验室!$E$59</f>
        <v>-0.13835624628120957</v>
      </c>
      <c r="H3391" s="856">
        <f>INDEX(神经网络!$G$10:$BO$70,MATCH(ROUND(G3391*2,1)/2,神经网络!$E$10:$E$70,0),MATCH(ROUND(E3391*2,1)/2,神经网络!$G$8:$BO$8,0))</f>
        <v>-0.42837081028630275</v>
      </c>
      <c r="I3391">
        <f t="shared" si="470"/>
        <v>597423.72849885409</v>
      </c>
      <c r="J3391">
        <f t="shared" si="471"/>
        <v>2825.7614658417037</v>
      </c>
      <c r="K3391">
        <f t="shared" si="472"/>
        <v>211.42043860411295</v>
      </c>
      <c r="L3391" s="4">
        <f>MIN(MAX(L3390*(1+MAX(MIN(((B3391-B3390)/B3390)/($K$7*卓尔金历!$N$40),0),-卓尔金历!$M$43))+MIN(MAX(((B3391-B3390)/B3390)/($K$7*卓尔金历!$N$40),0),卓尔金历!$M$43),0),1)</f>
        <v>0.26721314714886302</v>
      </c>
      <c r="M3391" s="4">
        <f>MIN(MAX(M3390*(1+MAX(MIN(((B3391-B3390)/B3390)/($K$7*30),0),-卓尔金历!$M$43))+MIN(MAX(((B3391-B3390)/B3390)/($K$7*7),0),卓尔金历!$M$43),0),1)</f>
        <v>0.80926999553401302</v>
      </c>
      <c r="N3391">
        <f t="shared" si="473"/>
        <v>207489.97570198469</v>
      </c>
      <c r="O3391">
        <f t="shared" si="474"/>
        <v>587417.08366064413</v>
      </c>
      <c r="P3391">
        <f t="shared" si="475"/>
        <v>-2.4966228221788515E-2</v>
      </c>
      <c r="Q3391">
        <f t="shared" si="476"/>
        <v>2.4795266310690022E-2</v>
      </c>
      <c r="R3391">
        <f t="shared" si="477"/>
        <v>2.4456123616266326E-2</v>
      </c>
      <c r="S3391">
        <f t="shared" si="469"/>
        <v>1232.4776817965039</v>
      </c>
      <c r="T3391" s="564">
        <f>IF((I3391-MAX(I$470:I3391))/MAX(I$470:I3391)&gt;T3390,T3390,(I3391-MAX(I$470:I3391))/MAX(I$470:I3391))</f>
        <v>-0.91338805338419748</v>
      </c>
      <c r="U3391" s="564">
        <f>IF((J3391-MAX(J$470:J3391))/MAX(J$470:J3391)&gt;U3390,U3390,(J3391-MAX(J$470:J3391))/MAX(J$470:J3391))</f>
        <v>-0.83569785939843477</v>
      </c>
      <c r="V3391" s="564">
        <f>IF((K3391-MAX(K$470:K3391))/MAX(K$470:K3391)&gt;V3390,V3390,(K3391-MAX(K$470:K3391))/MAX(K$470:K3391))</f>
        <v>-0.84885940676762139</v>
      </c>
      <c r="W3391" s="564">
        <f>IF((N3391-MAX(N$470:N3391))/MAX(N$470:N3391)&gt;W3390,W3390,(N3391-MAX(N$470:N3391))/MAX(N$470:N3391))</f>
        <v>-0.62788758315546067</v>
      </c>
      <c r="X3391" s="564">
        <f>IF((O3391-MAX(O$470:O3391))/MAX(O$470:O3391)&gt;X3390,X3390,(O3391-MAX(O$470:O3391))/MAX(O$470:O3391))</f>
        <v>-0.62788758315546067</v>
      </c>
    </row>
    <row r="3392" spans="1:24">
      <c r="A3392" s="799">
        <v>43794</v>
      </c>
      <c r="B3392">
        <v>7227.5637570673998</v>
      </c>
      <c r="C3392">
        <v>7907.8936430000003</v>
      </c>
      <c r="D3392">
        <v>1.2622230000000001</v>
      </c>
      <c r="E3392">
        <f>LN(D3392/参数实验室!$E$53)/参数实验室!$E$55</f>
        <v>-0.41823390355808393</v>
      </c>
      <c r="F3392">
        <f t="shared" si="468"/>
        <v>1.0941299044601782</v>
      </c>
      <c r="G3392">
        <f>LN(F3392/参数实验室!$E$58)/参数实验室!$E$59</f>
        <v>-0.14331444906523599</v>
      </c>
      <c r="H3392" s="856">
        <f>INDEX(神经网络!$G$10:$BO$70,MATCH(ROUND(G3392*2,1)/2,神经网络!$E$10:$E$70,0),MATCH(ROUND(E3392*2,1)/2,神经网络!$G$8:$BO$8,0))</f>
        <v>-0.38990896592980601</v>
      </c>
      <c r="I3392">
        <f t="shared" si="470"/>
        <v>592150.31245412887</v>
      </c>
      <c r="J3392">
        <f t="shared" si="471"/>
        <v>2883.988570714414</v>
      </c>
      <c r="K3392">
        <f t="shared" si="472"/>
        <v>205.32339083002779</v>
      </c>
      <c r="L3392" s="4">
        <f>MIN(MAX(L3391*(1+MAX(MIN(((B3392-B3391)/B3391)/($K$7*卓尔金历!$N$40),0),-卓尔金历!$M$43))+MIN(MAX(((B3392-B3391)/B3391)/($K$7*卓尔金历!$N$40),0),卓尔金历!$M$43),0),1)</f>
        <v>0.5820501554514953</v>
      </c>
      <c r="M3392" s="4">
        <f>MIN(MAX(M3391*(1+MAX(MIN(((B3392-B3391)/B3391)/($K$7*30),0),-卓尔金历!$M$43))+MIN(MAX(((B3392-B3391)/B3391)/($K$7*7),0),卓尔金历!$M$43),0),1)</f>
        <v>1</v>
      </c>
      <c r="N3392">
        <f t="shared" si="473"/>
        <v>207000.57508766107</v>
      </c>
      <c r="O3392">
        <f t="shared" si="474"/>
        <v>583220.94742543064</v>
      </c>
      <c r="P3392">
        <f t="shared" si="475"/>
        <v>2.0605810354684853E-2</v>
      </c>
      <c r="Q3392">
        <f t="shared" si="476"/>
        <v>2.5200877629138925E-2</v>
      </c>
      <c r="R3392">
        <f t="shared" si="477"/>
        <v>0.23109242384210488</v>
      </c>
      <c r="S3392">
        <f t="shared" si="469"/>
        <v>1232.2116238389281</v>
      </c>
      <c r="T3392" s="564">
        <f>IF((I3392-MAX(I$470:I3392))/MAX(I$470:I3392)&gt;T3391,T3391,(I3392-MAX(I$470:I3392))/MAX(I$470:I3392))</f>
        <v>-0.91338805338419748</v>
      </c>
      <c r="U3392" s="564">
        <f>IF((J3392-MAX(J$470:J3392))/MAX(J$470:J3392)&gt;U3391,U3391,(J3392-MAX(J$470:J3392))/MAX(J$470:J3392))</f>
        <v>-0.83569785939843477</v>
      </c>
      <c r="V3392" s="564">
        <f>IF((K3392-MAX(K$470:K3392))/MAX(K$470:K3392)&gt;V3391,V3391,(K3392-MAX(K$470:K3392))/MAX(K$470:K3392))</f>
        <v>-0.84885940676762139</v>
      </c>
      <c r="W3392" s="564">
        <f>IF((N3392-MAX(N$470:N3392))/MAX(N$470:N3392)&gt;W3391,W3391,(N3392-MAX(N$470:N3392))/MAX(N$470:N3392))</f>
        <v>-0.62788758315546067</v>
      </c>
      <c r="X3392" s="564">
        <f>IF((O3392-MAX(O$470:O3392))/MAX(O$470:O3392)&gt;X3391,X3391,(O3392-MAX(O$470:O3392))/MAX(O$470:O3392))</f>
        <v>-0.62788758315546067</v>
      </c>
    </row>
    <row r="3393" spans="1:24">
      <c r="A3393" s="799">
        <v>43795</v>
      </c>
      <c r="B3393">
        <v>7072.6546072643996</v>
      </c>
      <c r="C3393">
        <v>7870.6696739999998</v>
      </c>
      <c r="D3393">
        <v>1.2684169999999999</v>
      </c>
      <c r="E3393">
        <f>LN(D3393/参数实验室!$E$53)/参数实验室!$E$55</f>
        <v>-0.4124587587840472</v>
      </c>
      <c r="F3393">
        <f t="shared" si="468"/>
        <v>1.1128310529848227</v>
      </c>
      <c r="G3393">
        <f>LN(F3393/参数实验室!$E$58)/参数实验室!$E$59</f>
        <v>-0.13441931359183015</v>
      </c>
      <c r="H3393" s="856">
        <f>INDEX(神经网络!$G$10:$BO$70,MATCH(ROUND(G3393*2,1)/2,神经网络!$E$10:$E$70,0),MATCH(ROUND(E3393*2,1)/2,神经网络!$G$8:$BO$8,0))</f>
        <v>-0.38990896592980601</v>
      </c>
      <c r="I3393">
        <f t="shared" si="470"/>
        <v>597098.88935512304</v>
      </c>
      <c r="J3393">
        <f t="shared" si="471"/>
        <v>2822.175734114518</v>
      </c>
      <c r="K3393">
        <f t="shared" si="472"/>
        <v>211.57395768710626</v>
      </c>
      <c r="L3393" s="4">
        <f>MIN(MAX(L3392*(1+MAX(MIN(((B3393-B3392)/B3392)/($K$7*卓尔金历!$N$40),0),-卓尔金历!$M$43))+MIN(MAX(((B3393-B3392)/B3392)/($K$7*卓尔金历!$N$40),0),卓尔金历!$M$43),0),1)</f>
        <v>0.39144193490771534</v>
      </c>
      <c r="M3393" s="4">
        <f>MIN(MAX(M3392*(1+MAX(MIN(((B3393-B3392)/B3392)/($K$7*30),0),-卓尔金历!$M$43))+MIN(MAX(((B3393-B3392)/B3392)/($K$7*7),0),卓尔金历!$M$43),0),1)</f>
        <v>0.83626134383906703</v>
      </c>
      <c r="N3393">
        <f t="shared" si="473"/>
        <v>208007.46113411829</v>
      </c>
      <c r="O3393">
        <f t="shared" si="474"/>
        <v>588094.90197363333</v>
      </c>
      <c r="P3393">
        <f t="shared" si="475"/>
        <v>-2.1433107338765967E-2</v>
      </c>
      <c r="Q3393">
        <f t="shared" si="476"/>
        <v>2.4975909550935732E-2</v>
      </c>
      <c r="R3393">
        <f t="shared" si="477"/>
        <v>0.18203092434762916</v>
      </c>
      <c r="S3393">
        <f t="shared" si="469"/>
        <v>1234.5913082734146</v>
      </c>
      <c r="T3393" s="564">
        <f>IF((I3393-MAX(I$470:I3393))/MAX(I$470:I3393)&gt;T3392,T3392,(I3393-MAX(I$470:I3393))/MAX(I$470:I3393))</f>
        <v>-0.91338805338419748</v>
      </c>
      <c r="U3393" s="564">
        <f>IF((J3393-MAX(J$470:J3393))/MAX(J$470:J3393)&gt;U3392,U3392,(J3393-MAX(J$470:J3393))/MAX(J$470:J3393))</f>
        <v>-0.83569785939843477</v>
      </c>
      <c r="V3393" s="564">
        <f>IF((K3393-MAX(K$470:K3393))/MAX(K$470:K3393)&gt;V3392,V3392,(K3393-MAX(K$470:K3393))/MAX(K$470:K3393))</f>
        <v>-0.84885940676762139</v>
      </c>
      <c r="W3393" s="564">
        <f>IF((N3393-MAX(N$470:N3393))/MAX(N$470:N3393)&gt;W3392,W3392,(N3393-MAX(N$470:N3393))/MAX(N$470:N3393))</f>
        <v>-0.62788758315546067</v>
      </c>
      <c r="X3393" s="564">
        <f>IF((O3393-MAX(O$470:O3393))/MAX(O$470:O3393)&gt;X3392,X3392,(O3393-MAX(O$470:O3393))/MAX(O$470:O3393))</f>
        <v>-0.62788758315546067</v>
      </c>
    </row>
    <row r="3394" spans="1:24">
      <c r="A3394" s="799">
        <v>43796</v>
      </c>
      <c r="B3394">
        <v>7257.2835650327997</v>
      </c>
      <c r="C3394">
        <v>7845.1217470000001</v>
      </c>
      <c r="D3394">
        <v>1.332972</v>
      </c>
      <c r="E3394">
        <f>LN(D3394/参数实验室!$E$53)/参数实验室!$E$55</f>
        <v>-0.35389419217519225</v>
      </c>
      <c r="F3394">
        <f t="shared" si="468"/>
        <v>1.0809997537921123</v>
      </c>
      <c r="G3394">
        <f>LN(F3394/参数实验室!$E$58)/参数实验室!$E$59</f>
        <v>-0.14965107947804768</v>
      </c>
      <c r="H3394" s="856">
        <f>INDEX(神经网络!$G$10:$BO$70,MATCH(ROUND(G3394*2,1)/2,神经网络!$E$10:$E$70,0),MATCH(ROUND(E3394*2,1)/2,神经网络!$G$8:$BO$8,0))</f>
        <v>-0.35365214793145566</v>
      </c>
      <c r="I3394">
        <f t="shared" si="470"/>
        <v>591021.36296279787</v>
      </c>
      <c r="J3394">
        <f t="shared" si="471"/>
        <v>2895.8475579716669</v>
      </c>
      <c r="K3394">
        <f t="shared" si="472"/>
        <v>204.09270554861868</v>
      </c>
      <c r="L3394" s="4">
        <f>MIN(MAX(L3393*(1+MAX(MIN(((B3394-B3393)/B3393)/($K$7*卓尔金历!$N$40),0),-卓尔金历!$M$43))+MIN(MAX(((B3394-B3393)/B3393)/($K$7*卓尔金历!$N$40),0),卓尔金历!$M$43),0),1)</f>
        <v>0.79029547098270658</v>
      </c>
      <c r="M3394" s="4">
        <f>MIN(MAX(M3393*(1+MAX(MIN(((B3394-B3393)/B3393)/($K$7*30),0),-卓尔金历!$M$43))+MIN(MAX(((B3394-B3393)/B3393)/($K$7*7),0),卓尔金历!$M$43),0),1)</f>
        <v>1</v>
      </c>
      <c r="N3394">
        <f t="shared" si="473"/>
        <v>207178.70481507815</v>
      </c>
      <c r="O3394">
        <f t="shared" si="474"/>
        <v>583089.14193740732</v>
      </c>
      <c r="P3394">
        <f t="shared" si="475"/>
        <v>2.6104619555260871E-2</v>
      </c>
      <c r="Q3394">
        <f t="shared" si="476"/>
        <v>2.6225591722583787E-2</v>
      </c>
      <c r="R3394">
        <f t="shared" si="477"/>
        <v>2.9714807983740675E-2</v>
      </c>
      <c r="S3394">
        <f t="shared" si="469"/>
        <v>1232.3038721265943</v>
      </c>
      <c r="T3394" s="564">
        <f>IF((I3394-MAX(I$470:I3394))/MAX(I$470:I3394)&gt;T3393,T3393,(I3394-MAX(I$470:I3394))/MAX(I$470:I3394))</f>
        <v>-0.91338805338419748</v>
      </c>
      <c r="U3394" s="564">
        <f>IF((J3394-MAX(J$470:J3394))/MAX(J$470:J3394)&gt;U3393,U3393,(J3394-MAX(J$470:J3394))/MAX(J$470:J3394))</f>
        <v>-0.83569785939843477</v>
      </c>
      <c r="V3394" s="564">
        <f>IF((K3394-MAX(K$470:K3394))/MAX(K$470:K3394)&gt;V3393,V3393,(K3394-MAX(K$470:K3394))/MAX(K$470:K3394))</f>
        <v>-0.84885940676762139</v>
      </c>
      <c r="W3394" s="564">
        <f>IF((N3394-MAX(N$470:N3394))/MAX(N$470:N3394)&gt;W3393,W3393,(N3394-MAX(N$470:N3394))/MAX(N$470:N3394))</f>
        <v>-0.62788758315546067</v>
      </c>
      <c r="X3394" s="564">
        <f>IF((O3394-MAX(O$470:O3394))/MAX(O$470:O3394)&gt;X3393,X3393,(O3394-MAX(O$470:O3394))/MAX(O$470:O3394))</f>
        <v>-0.62788758315546067</v>
      </c>
    </row>
    <row r="3395" spans="1:24">
      <c r="A3395" s="799">
        <v>43797</v>
      </c>
      <c r="B3395">
        <v>7572.6485913449997</v>
      </c>
      <c r="C3395">
        <v>7682.9100609999996</v>
      </c>
      <c r="D3395">
        <v>1.317361</v>
      </c>
      <c r="E3395">
        <f>LN(D3395/参数实验室!$E$53)/参数实验室!$E$55</f>
        <v>-0.36779232564525999</v>
      </c>
      <c r="F3395">
        <f t="shared" si="468"/>
        <v>1.0145604894146312</v>
      </c>
      <c r="G3395">
        <f>LN(F3395/参数实验室!$E$58)/参数实验室!$E$59</f>
        <v>-0.18294299526986865</v>
      </c>
      <c r="H3395" s="856">
        <f>INDEX(神经网络!$G$10:$BO$70,MATCH(ROUND(G3395*2,1)/2,神经网络!$E$10:$E$70,0),MATCH(ROUND(E3395*2,1)/2,神经网络!$G$8:$BO$8,0))</f>
        <v>-0.43513968992096197</v>
      </c>
      <c r="I3395">
        <f t="shared" si="470"/>
        <v>581938.58044472383</v>
      </c>
      <c r="J3395">
        <f t="shared" si="471"/>
        <v>3021.6865214257191</v>
      </c>
      <c r="K3395">
        <f t="shared" si="472"/>
        <v>192.58734363025465</v>
      </c>
      <c r="L3395" s="4">
        <f>MIN(MAX(L3394*(1+MAX(MIN(((B3395-B3394)/B3394)/($K$7*卓尔金历!$N$40),0),-卓尔金历!$M$43))+MIN(MAX(((B3395-B3394)/B3394)/($K$7*卓尔金历!$N$40),0),卓尔金历!$M$43),0),1)</f>
        <v>1</v>
      </c>
      <c r="M3395" s="4">
        <f>MIN(MAX(M3394*(1+MAX(MIN(((B3395-B3394)/B3394)/($K$7*30),0),-卓尔金历!$M$43))+MIN(MAX(((B3395-B3394)/B3394)/($K$7*7),0),卓尔金历!$M$43),0),1)</f>
        <v>1</v>
      </c>
      <c r="N3395">
        <f t="shared" si="473"/>
        <v>204662.47477366653</v>
      </c>
      <c r="O3395">
        <f t="shared" si="474"/>
        <v>574128.26133857656</v>
      </c>
      <c r="P3395">
        <f t="shared" si="475"/>
        <v>4.3454968169040341E-2</v>
      </c>
      <c r="Q3395">
        <f t="shared" si="476"/>
        <v>2.8715526417914465E-2</v>
      </c>
      <c r="R3395">
        <f t="shared" si="477"/>
        <v>1.5360664215813639E-2</v>
      </c>
      <c r="S3395">
        <f t="shared" si="469"/>
        <v>1231.741133822271</v>
      </c>
      <c r="T3395" s="564">
        <f>IF((I3395-MAX(I$470:I3395))/MAX(I$470:I3395)&gt;T3394,T3394,(I3395-MAX(I$470:I3395))/MAX(I$470:I3395))</f>
        <v>-0.91338805338419748</v>
      </c>
      <c r="U3395" s="564">
        <f>IF((J3395-MAX(J$470:J3395))/MAX(J$470:J3395)&gt;U3394,U3394,(J3395-MAX(J$470:J3395))/MAX(J$470:J3395))</f>
        <v>-0.83569785939843477</v>
      </c>
      <c r="V3395" s="564">
        <f>IF((K3395-MAX(K$470:K3395))/MAX(K$470:K3395)&gt;V3394,V3394,(K3395-MAX(K$470:K3395))/MAX(K$470:K3395))</f>
        <v>-0.84885940676762139</v>
      </c>
      <c r="W3395" s="564">
        <f>IF((N3395-MAX(N$470:N3395))/MAX(N$470:N3395)&gt;W3394,W3394,(N3395-MAX(N$470:N3395))/MAX(N$470:N3395))</f>
        <v>-0.62788758315546067</v>
      </c>
      <c r="X3395" s="564">
        <f>IF((O3395-MAX(O$470:O3395))/MAX(O$470:O3395)&gt;X3394,X3394,(O3395-MAX(O$470:O3395))/MAX(O$470:O3395))</f>
        <v>-0.62788758315546067</v>
      </c>
    </row>
    <row r="3396" spans="1:24">
      <c r="A3396" s="799">
        <v>43798</v>
      </c>
      <c r="B3396">
        <v>7755.2317273449999</v>
      </c>
      <c r="C3396">
        <v>7674.3658500000001</v>
      </c>
      <c r="D3396">
        <v>1.372492</v>
      </c>
      <c r="E3396">
        <f>LN(D3396/参数实验室!$E$53)/参数实验室!$E$55</f>
        <v>-0.31942530639465533</v>
      </c>
      <c r="F3396">
        <f t="shared" si="468"/>
        <v>0.98957273229375387</v>
      </c>
      <c r="G3396">
        <f>LN(F3396/参数实验室!$E$58)/参数实验室!$E$59</f>
        <v>-0.19603155132207517</v>
      </c>
      <c r="H3396" s="856">
        <f>INDEX(神经网络!$G$10:$BO$70,MATCH(ROUND(G3396*2,1)/2,神经网络!$E$10:$E$70,0),MATCH(ROUND(E3396*2,1)/2,神经网络!$G$8:$BO$8,0))</f>
        <v>-0.3941382036686194</v>
      </c>
      <c r="I3396">
        <f t="shared" si="470"/>
        <v>575833.11599927244</v>
      </c>
      <c r="J3396">
        <f t="shared" si="471"/>
        <v>3094.5420084374109</v>
      </c>
      <c r="K3396">
        <f t="shared" si="472"/>
        <v>186.08023882992603</v>
      </c>
      <c r="L3396" s="4">
        <f>MIN(MAX(L3395*(1+MAX(MIN(((B3396-B3395)/B3395)/($K$7*卓尔金历!$N$40),0),-卓尔金历!$M$43))+MIN(MAX(((B3396-B3395)/B3395)/($K$7*卓尔金历!$N$40),0),卓尔金历!$M$43),0),1)</f>
        <v>1</v>
      </c>
      <c r="M3396" s="4">
        <f>MIN(MAX(M3395*(1+MAX(MIN(((B3396-B3395)/B3395)/($K$7*30),0),-卓尔金历!$M$43))+MIN(MAX(((B3396-B3395)/B3395)/($K$7*7),0),卓尔金历!$M$43),0),1)</f>
        <v>1</v>
      </c>
      <c r="N3396">
        <f t="shared" si="473"/>
        <v>202515.23878513009</v>
      </c>
      <c r="O3396">
        <f t="shared" si="474"/>
        <v>568104.73960531608</v>
      </c>
      <c r="P3396">
        <f t="shared" si="475"/>
        <v>2.4110868713580581E-2</v>
      </c>
      <c r="Q3396">
        <f t="shared" si="476"/>
        <v>2.8156081254152206E-2</v>
      </c>
      <c r="R3396">
        <f t="shared" si="477"/>
        <v>0.18826996170622468</v>
      </c>
      <c r="S3396">
        <f t="shared" si="469"/>
        <v>1231.5426290296552</v>
      </c>
      <c r="T3396" s="564">
        <f>IF((I3396-MAX(I$470:I3396))/MAX(I$470:I3396)&gt;T3395,T3395,(I3396-MAX(I$470:I3396))/MAX(I$470:I3396))</f>
        <v>-0.91338805338419748</v>
      </c>
      <c r="U3396" s="564">
        <f>IF((J3396-MAX(J$470:J3396))/MAX(J$470:J3396)&gt;U3395,U3395,(J3396-MAX(J$470:J3396))/MAX(J$470:J3396))</f>
        <v>-0.83569785939843477</v>
      </c>
      <c r="V3396" s="564">
        <f>IF((K3396-MAX(K$470:K3396))/MAX(K$470:K3396)&gt;V3395,V3395,(K3396-MAX(K$470:K3396))/MAX(K$470:K3396))</f>
        <v>-0.84885940676762139</v>
      </c>
      <c r="W3396" s="564">
        <f>IF((N3396-MAX(N$470:N3396))/MAX(N$470:N3396)&gt;W3395,W3395,(N3396-MAX(N$470:N3396))/MAX(N$470:N3396))</f>
        <v>-0.62788758315546067</v>
      </c>
      <c r="X3396" s="564">
        <f>IF((O3396-MAX(O$470:O3396))/MAX(O$470:O3396)&gt;X3395,X3395,(O3396-MAX(O$470:O3396))/MAX(O$470:O3396))</f>
        <v>-0.62788758315546067</v>
      </c>
    </row>
    <row r="3397" spans="1:24">
      <c r="A3397" s="799">
        <v>43799</v>
      </c>
      <c r="B3397">
        <v>7583.9391507491</v>
      </c>
      <c r="C3397">
        <v>7709.0786029999999</v>
      </c>
      <c r="D3397">
        <v>1.339472</v>
      </c>
      <c r="E3397">
        <f>LN(D3397/参数实验室!$E$53)/参数实验室!$E$55</f>
        <v>-0.34815531704269198</v>
      </c>
      <c r="F3397">
        <f t="shared" ref="F3397:F3460" si="478">C3397/B3397</f>
        <v>1.0165005875922066</v>
      </c>
      <c r="G3397">
        <f>LN(F3397/参数实验室!$E$58)/参数实验室!$E$59</f>
        <v>-0.1819402990007073</v>
      </c>
      <c r="H3397" s="856">
        <f>INDEX(神经网络!$G$10:$BO$70,MATCH(ROUND(G3397*2,1)/2,神经网络!$E$10:$E$70,0),MATCH(ROUND(E3397*2,1)/2,神经网络!$G$8:$BO$8,0))</f>
        <v>-0.43513968992096197</v>
      </c>
      <c r="I3397">
        <f t="shared" si="470"/>
        <v>580846.01475433621</v>
      </c>
      <c r="J3397">
        <f t="shared" si="471"/>
        <v>3026.1917524237247</v>
      </c>
      <c r="K3397">
        <f t="shared" si="472"/>
        <v>191.93959348052795</v>
      </c>
      <c r="L3397" s="4">
        <f>MIN(MAX(L3396*(1+MAX(MIN(((B3397-B3396)/B3396)/($K$7*卓尔金历!$N$40),0),-卓尔金历!$M$43))+MIN(MAX(((B3397-B3396)/B3396)/($K$7*卓尔金历!$N$40),0),卓尔金历!$M$43),0),1)</f>
        <v>0.66252637120202529</v>
      </c>
      <c r="M3397" s="4">
        <f>MIN(MAX(M3396*(1+MAX(MIN(((B3397-B3396)/B3396)/($K$7*30),0),-卓尔金历!$M$43))+MIN(MAX(((B3397-B3396)/B3396)/($K$7*7),0),卓尔金历!$M$43),0),1)</f>
        <v>0.83126318560101264</v>
      </c>
      <c r="N3397">
        <f t="shared" si="473"/>
        <v>204278.22941588901</v>
      </c>
      <c r="O3397">
        <f t="shared" si="474"/>
        <v>573050.3592002769</v>
      </c>
      <c r="P3397">
        <f t="shared" si="475"/>
        <v>-2.2087357621039364E-2</v>
      </c>
      <c r="Q3397">
        <f t="shared" si="476"/>
        <v>2.8293587242998419E-2</v>
      </c>
      <c r="R3397">
        <f t="shared" si="477"/>
        <v>0.28275815398651039</v>
      </c>
      <c r="S3397">
        <f t="shared" si="469"/>
        <v>1233.5611012625391</v>
      </c>
      <c r="T3397" s="564">
        <f>IF((I3397-MAX(I$470:I3397))/MAX(I$470:I3397)&gt;T3396,T3396,(I3397-MAX(I$470:I3397))/MAX(I$470:I3397))</f>
        <v>-0.91338805338419748</v>
      </c>
      <c r="U3397" s="564">
        <f>IF((J3397-MAX(J$470:J3397))/MAX(J$470:J3397)&gt;U3396,U3396,(J3397-MAX(J$470:J3397))/MAX(J$470:J3397))</f>
        <v>-0.83569785939843477</v>
      </c>
      <c r="V3397" s="564">
        <f>IF((K3397-MAX(K$470:K3397))/MAX(K$470:K3397)&gt;V3396,V3396,(K3397-MAX(K$470:K3397))/MAX(K$470:K3397))</f>
        <v>-0.84885940676762139</v>
      </c>
      <c r="W3397" s="564">
        <f>IF((N3397-MAX(N$470:N3397))/MAX(N$470:N3397)&gt;W3396,W3396,(N3397-MAX(N$470:N3397))/MAX(N$470:N3397))</f>
        <v>-0.62788758315546067</v>
      </c>
      <c r="X3397" s="564">
        <f>IF((O3397-MAX(O$470:O3397))/MAX(O$470:O3397)&gt;X3396,X3396,(O3397-MAX(O$470:O3397))/MAX(O$470:O3397))</f>
        <v>-0.62788758315546067</v>
      </c>
    </row>
    <row r="3398" spans="1:24">
      <c r="A3398" s="799">
        <v>43800</v>
      </c>
      <c r="B3398">
        <v>7375.0369782424996</v>
      </c>
      <c r="C3398">
        <v>7662.6027869999998</v>
      </c>
      <c r="D3398">
        <v>1.315313</v>
      </c>
      <c r="E3398">
        <f>LN(D3398/参数实验室!$E$53)/参数实验室!$E$55</f>
        <v>-0.36962782455703797</v>
      </c>
      <c r="F3398">
        <f t="shared" si="478"/>
        <v>1.0389917785640754</v>
      </c>
      <c r="G3398">
        <f>LN(F3398/参数实验室!$E$58)/参数实验室!$E$59</f>
        <v>-0.17045393801570435</v>
      </c>
      <c r="H3398" s="856">
        <f>INDEX(神经网络!$G$10:$BO$70,MATCH(ROUND(G3398*2,1)/2,神经网络!$E$10:$E$70,0),MATCH(ROUND(E3398*2,1)/2,神经网络!$G$8:$BO$8,0))</f>
        <v>-0.35365214793145566</v>
      </c>
      <c r="I3398">
        <f t="shared" si="470"/>
        <v>587808.07582542091</v>
      </c>
      <c r="J3398">
        <f t="shared" si="471"/>
        <v>2942.8342756643774</v>
      </c>
      <c r="K3398">
        <f t="shared" si="472"/>
        <v>199.74216036773484</v>
      </c>
      <c r="L3398" s="4">
        <f>MIN(MAX(L3397*(1+MAX(MIN(((B3398-B3397)/B3397)/($K$7*卓尔金历!$N$40),0),-卓尔金历!$M$43))+MIN(MAX(((B3398-B3397)/B3397)/($K$7*卓尔金历!$N$40),0),卓尔金历!$M$43),0),1)</f>
        <v>0.38369132094941188</v>
      </c>
      <c r="M3398" s="4">
        <f>MIN(MAX(M3397*(1+MAX(MIN(((B3398-B3397)/B3397)/($K$7*30),0),-卓尔金历!$M$43))+MIN(MAX(((B3398-B3397)/B3397)/($K$7*7),0),卓尔金历!$M$43),0),1)</f>
        <v>0.65633783756567599</v>
      </c>
      <c r="N3398">
        <f t="shared" si="473"/>
        <v>205900.4207206897</v>
      </c>
      <c r="O3398">
        <f t="shared" si="474"/>
        <v>578759.99163582106</v>
      </c>
      <c r="P3398">
        <f t="shared" si="475"/>
        <v>-2.754533868932298E-2</v>
      </c>
      <c r="Q3398">
        <f t="shared" si="476"/>
        <v>2.8564002830847098E-2</v>
      </c>
      <c r="R3398">
        <f t="shared" si="477"/>
        <v>6.5634995416017861E-2</v>
      </c>
      <c r="S3398">
        <f t="shared" si="469"/>
        <v>1237.7418360513852</v>
      </c>
      <c r="T3398" s="564">
        <f>IF((I3398-MAX(I$470:I3398))/MAX(I$470:I3398)&gt;T3397,T3397,(I3398-MAX(I$470:I3398))/MAX(I$470:I3398))</f>
        <v>-0.91338805338419748</v>
      </c>
      <c r="U3398" s="564">
        <f>IF((J3398-MAX(J$470:J3398))/MAX(J$470:J3398)&gt;U3397,U3397,(J3398-MAX(J$470:J3398))/MAX(J$470:J3398))</f>
        <v>-0.83569785939843477</v>
      </c>
      <c r="V3398" s="564">
        <f>IF((K3398-MAX(K$470:K3398))/MAX(K$470:K3398)&gt;V3397,V3397,(K3398-MAX(K$470:K3398))/MAX(K$470:K3398))</f>
        <v>-0.84885940676762139</v>
      </c>
      <c r="W3398" s="564">
        <f>IF((N3398-MAX(N$470:N3398))/MAX(N$470:N3398)&gt;W3397,W3397,(N3398-MAX(N$470:N3398))/MAX(N$470:N3398))</f>
        <v>-0.62788758315546067</v>
      </c>
      <c r="X3398" s="564">
        <f>IF((O3398-MAX(O$470:O3398))/MAX(O$470:O3398)&gt;X3397,X3397,(O3398-MAX(O$470:O3398))/MAX(O$470:O3398))</f>
        <v>-0.62788758315546067</v>
      </c>
    </row>
    <row r="3399" spans="1:24">
      <c r="A3399" s="799">
        <v>43801</v>
      </c>
      <c r="B3399">
        <v>7290.9806301939998</v>
      </c>
      <c r="C3399">
        <v>7605.9019779999999</v>
      </c>
      <c r="D3399">
        <v>1.298713</v>
      </c>
      <c r="E3399">
        <f>LN(D3399/参数实验室!$E$53)/参数实验室!$E$55</f>
        <v>-0.38461173604831478</v>
      </c>
      <c r="F3399">
        <f t="shared" si="478"/>
        <v>1.0431932772529695</v>
      </c>
      <c r="G3399">
        <f>LN(F3399/参数实验室!$E$58)/参数实验室!$E$59</f>
        <v>-0.16833580105126034</v>
      </c>
      <c r="H3399" s="856">
        <f>INDEX(神经网络!$G$10:$BO$70,MATCH(ROUND(G3399*2,1)/2,神经网络!$E$10:$E$70,0),MATCH(ROUND(E3399*2,1)/2,神经网络!$G$8:$BO$8,0))</f>
        <v>-0.38990896592980601</v>
      </c>
      <c r="I3399">
        <f t="shared" si="470"/>
        <v>590177.3655119685</v>
      </c>
      <c r="J3399">
        <f t="shared" si="471"/>
        <v>2909.2935757527621</v>
      </c>
      <c r="K3399">
        <f t="shared" si="472"/>
        <v>202.8593368612735</v>
      </c>
      <c r="L3399" s="4">
        <f>MIN(MAX(L3398*(1+MAX(MIN(((B3399-B3398)/B3398)/($K$7*卓尔金历!$N$40),0),-卓尔金历!$M$43))+MIN(MAX(((B3399-B3398)/B3398)/($K$7*卓尔金历!$N$40),0),卓尔金历!$M$43),0),1)</f>
        <v>0.31687472143738232</v>
      </c>
      <c r="M3399" s="4">
        <f>MIN(MAX(M3398*(1+MAX(MIN(((B3399-B3398)/B3398)/($K$7*30),0),-卓尔金历!$M$43))+MIN(MAX(((B3399-B3398)/B3398)/($K$7*7),0),卓尔金历!$M$43),0),1)</f>
        <v>0.599189994960449</v>
      </c>
      <c r="N3399">
        <f t="shared" si="473"/>
        <v>206218.8564751852</v>
      </c>
      <c r="O3399">
        <f t="shared" si="474"/>
        <v>580291.10927223635</v>
      </c>
      <c r="P3399">
        <f t="shared" si="475"/>
        <v>-1.1397413775209402E-2</v>
      </c>
      <c r="Q3399">
        <f t="shared" si="476"/>
        <v>2.8572747795950679E-2</v>
      </c>
      <c r="R3399">
        <f t="shared" si="477"/>
        <v>0.97388315442213769</v>
      </c>
      <c r="S3399">
        <f t="shared" si="469"/>
        <v>1238.0692884267553</v>
      </c>
      <c r="T3399" s="564">
        <f>IF((I3399-MAX(I$470:I3399))/MAX(I$470:I3399)&gt;T3398,T3398,(I3399-MAX(I$470:I3399))/MAX(I$470:I3399))</f>
        <v>-0.91338805338419748</v>
      </c>
      <c r="U3399" s="564">
        <f>IF((J3399-MAX(J$470:J3399))/MAX(J$470:J3399)&gt;U3398,U3398,(J3399-MAX(J$470:J3399))/MAX(J$470:J3399))</f>
        <v>-0.83569785939843477</v>
      </c>
      <c r="V3399" s="564">
        <f>IF((K3399-MAX(K$470:K3399))/MAX(K$470:K3399)&gt;V3398,V3398,(K3399-MAX(K$470:K3399))/MAX(K$470:K3399))</f>
        <v>-0.84885940676762139</v>
      </c>
      <c r="W3399" s="564">
        <f>IF((N3399-MAX(N$470:N3399))/MAX(N$470:N3399)&gt;W3398,W3398,(N3399-MAX(N$470:N3399))/MAX(N$470:N3399))</f>
        <v>-0.62788758315546067</v>
      </c>
      <c r="X3399" s="564">
        <f>IF((O3399-MAX(O$470:O3399))/MAX(O$470:O3399)&gt;X3398,X3398,(O3399-MAX(O$470:O3399))/MAX(O$470:O3399))</f>
        <v>-0.62788758315546067</v>
      </c>
    </row>
    <row r="3400" spans="1:24">
      <c r="A3400" s="799">
        <v>43802</v>
      </c>
      <c r="B3400">
        <v>7332.6219881963998</v>
      </c>
      <c r="C3400">
        <v>7486.7923799999999</v>
      </c>
      <c r="D3400">
        <v>1.2976719999999999</v>
      </c>
      <c r="E3400">
        <f>LN(D3400/参数实验室!$E$53)/参数实验室!$E$55</f>
        <v>-0.38555776153589377</v>
      </c>
      <c r="F3400">
        <f t="shared" si="478"/>
        <v>1.0210252747314363</v>
      </c>
      <c r="G3400">
        <f>LN(F3400/参数实验室!$E$58)/参数实验室!$E$59</f>
        <v>-0.17960923240044369</v>
      </c>
      <c r="H3400" s="856">
        <f>INDEX(神经网络!$G$10:$BO$70,MATCH(ROUND(G3400*2,1)/2,神经网络!$E$10:$E$70,0),MATCH(ROUND(E3400*2,1)/2,神经网络!$G$8:$BO$8,0))</f>
        <v>-0.47127462620209248</v>
      </c>
      <c r="I3400">
        <f t="shared" si="470"/>
        <v>588863.09515968442</v>
      </c>
      <c r="J3400">
        <f t="shared" si="471"/>
        <v>2925.9095759133302</v>
      </c>
      <c r="K3400">
        <f t="shared" si="472"/>
        <v>201.25813183268636</v>
      </c>
      <c r="L3400" s="4">
        <f>MIN(MAX(L3399*(1+MAX(MIN(((B3400-B3399)/B3399)/($K$7*卓尔金历!$N$40),0),-卓尔金历!$M$43))+MIN(MAX(((B3400-B3399)/B3399)/($K$7*卓尔金历!$N$40),0),卓尔金历!$M$43),0),1)</f>
        <v>0.40413870173378974</v>
      </c>
      <c r="M3400" s="4">
        <f>MIN(MAX(M3399*(1+MAX(MIN(((B3400-B3399)/B3399)/($K$7*30),0),-卓尔金历!$M$43))+MIN(MAX(((B3400-B3399)/B3399)/($K$7*7),0),卓尔金历!$M$43),0),1)</f>
        <v>0.78618423845275065</v>
      </c>
      <c r="N3400">
        <f t="shared" si="473"/>
        <v>206073.33800151251</v>
      </c>
      <c r="O3400">
        <f t="shared" si="474"/>
        <v>579516.80325998878</v>
      </c>
      <c r="P3400">
        <f t="shared" si="475"/>
        <v>5.7113521643373244E-3</v>
      </c>
      <c r="Q3400">
        <f t="shared" si="476"/>
        <v>2.8713381177181922E-2</v>
      </c>
      <c r="R3400">
        <f t="shared" si="477"/>
        <v>1</v>
      </c>
      <c r="S3400">
        <f t="shared" si="469"/>
        <v>1235.3842286048944</v>
      </c>
      <c r="T3400" s="564">
        <f>IF((I3400-MAX(I$470:I3400))/MAX(I$470:I3400)&gt;T3399,T3399,(I3400-MAX(I$470:I3400))/MAX(I$470:I3400))</f>
        <v>-0.91338805338419748</v>
      </c>
      <c r="U3400" s="564">
        <f>IF((J3400-MAX(J$470:J3400))/MAX(J$470:J3400)&gt;U3399,U3399,(J3400-MAX(J$470:J3400))/MAX(J$470:J3400))</f>
        <v>-0.83569785939843477</v>
      </c>
      <c r="V3400" s="564">
        <f>IF((K3400-MAX(K$470:K3400))/MAX(K$470:K3400)&gt;V3399,V3399,(K3400-MAX(K$470:K3400))/MAX(K$470:K3400))</f>
        <v>-0.84885940676762139</v>
      </c>
      <c r="W3400" s="564">
        <f>IF((N3400-MAX(N$470:N3400))/MAX(N$470:N3400)&gt;W3399,W3399,(N3400-MAX(N$470:N3400))/MAX(N$470:N3400))</f>
        <v>-0.62788758315546067</v>
      </c>
      <c r="X3400" s="564">
        <f>IF((O3400-MAX(O$470:O3400))/MAX(O$470:O3400)&gt;X3399,X3399,(O3400-MAX(O$470:O3400))/MAX(O$470:O3400))</f>
        <v>-0.62788758315546067</v>
      </c>
    </row>
    <row r="3401" spans="1:24">
      <c r="A3401" s="799">
        <v>43803</v>
      </c>
      <c r="B3401">
        <v>7440.2420355894001</v>
      </c>
      <c r="C3401">
        <v>7324.371142</v>
      </c>
      <c r="D3401">
        <v>1.2824660000000001</v>
      </c>
      <c r="E3401">
        <f>LN(D3401/参数实验室!$E$53)/参数实验室!$E$55</f>
        <v>-0.3994636344222211</v>
      </c>
      <c r="F3401">
        <f t="shared" si="478"/>
        <v>0.98442646179584647</v>
      </c>
      <c r="G3401">
        <f>LN(F3401/参数实验室!$E$58)/参数实验室!$E$59</f>
        <v>-0.19876817553653536</v>
      </c>
      <c r="H3401" s="856">
        <f>INDEX(神经网络!$G$10:$BO$70,MATCH(ROUND(G3401*2,1)/2,神经网络!$E$10:$E$70,0),MATCH(ROUND(E3401*2,1)/2,神经网络!$G$8:$BO$8,0))</f>
        <v>-0.47127462620209248</v>
      </c>
      <c r="I3401">
        <f t="shared" si="470"/>
        <v>584790.02137828863</v>
      </c>
      <c r="J3401">
        <f t="shared" si="471"/>
        <v>2968.8528133711334</v>
      </c>
      <c r="K3401">
        <f t="shared" si="472"/>
        <v>196.97508032210575</v>
      </c>
      <c r="L3401" s="4">
        <f>MIN(MAX(L3400*(1+MAX(MIN(((B3401-B3400)/B3400)/($K$7*卓尔金历!$N$40),0),-卓尔金历!$M$43))+MIN(MAX(((B3401-B3400)/B3400)/($K$7*卓尔金历!$N$40),0),卓尔金历!$M$43),0),1)</f>
        <v>0.62838741543787902</v>
      </c>
      <c r="M3401" s="4">
        <f>MIN(MAX(M3400*(1+MAX(MIN(((B3401-B3400)/B3400)/($K$7*30),0),-卓尔金历!$M$43))+MIN(MAX(((B3401-B3400)/B3400)/($K$7*7),0),卓尔金历!$M$43),0),1)</f>
        <v>1</v>
      </c>
      <c r="N3401">
        <f t="shared" si="473"/>
        <v>205497.2879925764</v>
      </c>
      <c r="O3401">
        <f t="shared" si="474"/>
        <v>576365.44117526442</v>
      </c>
      <c r="P3401">
        <f t="shared" si="475"/>
        <v>1.4676884689574936E-2</v>
      </c>
      <c r="Q3401">
        <f t="shared" si="476"/>
        <v>2.8842984335613438E-2</v>
      </c>
      <c r="R3401">
        <f t="shared" si="477"/>
        <v>0.72370494055575507</v>
      </c>
      <c r="S3401">
        <f t="shared" si="469"/>
        <v>1226.8392694236504</v>
      </c>
      <c r="T3401" s="564">
        <f>IF((I3401-MAX(I$470:I3401))/MAX(I$470:I3401)&gt;T3400,T3400,(I3401-MAX(I$470:I3401))/MAX(I$470:I3401))</f>
        <v>-0.91338805338419748</v>
      </c>
      <c r="U3401" s="564">
        <f>IF((J3401-MAX(J$470:J3401))/MAX(J$470:J3401)&gt;U3400,U3400,(J3401-MAX(J$470:J3401))/MAX(J$470:J3401))</f>
        <v>-0.83569785939843477</v>
      </c>
      <c r="V3401" s="564">
        <f>IF((K3401-MAX(K$470:K3401))/MAX(K$470:K3401)&gt;V3400,V3400,(K3401-MAX(K$470:K3401))/MAX(K$470:K3401))</f>
        <v>-0.84885940676762139</v>
      </c>
      <c r="W3401" s="564">
        <f>IF((N3401-MAX(N$470:N3401))/MAX(N$470:N3401)&gt;W3400,W3400,(N3401-MAX(N$470:N3401))/MAX(N$470:N3401))</f>
        <v>-0.62788758315546067</v>
      </c>
      <c r="X3401" s="564">
        <f>IF((O3401-MAX(O$470:O3401))/MAX(O$470:O3401)&gt;X3400,X3400,(O3401-MAX(O$470:O3401))/MAX(O$470:O3401))</f>
        <v>-0.62788758315546067</v>
      </c>
    </row>
    <row r="3402" spans="1:24">
      <c r="A3402" s="799">
        <v>43804</v>
      </c>
      <c r="B3402">
        <v>7337.4096683041998</v>
      </c>
      <c r="C3402">
        <v>7321.6181919999999</v>
      </c>
      <c r="D3402">
        <v>1.316562</v>
      </c>
      <c r="E3402">
        <f>LN(D3402/参数实验室!$E$53)/参数实验室!$E$55</f>
        <v>-0.36850808147475661</v>
      </c>
      <c r="F3402">
        <f t="shared" si="478"/>
        <v>0.99784781319047577</v>
      </c>
      <c r="G3402">
        <f>LN(F3402/参数实验室!$E$58)/参数实验室!$E$59</f>
        <v>-0.19166082588654526</v>
      </c>
      <c r="H3402" s="856">
        <f>INDEX(神经网络!$G$10:$BO$70,MATCH(ROUND(G3402*2,1)/2,神经网络!$E$10:$E$70,0),MATCH(ROUND(E3402*2,1)/2,神经网络!$G$8:$BO$8,0))</f>
        <v>-0.43513968992096197</v>
      </c>
      <c r="I3402">
        <f t="shared" si="470"/>
        <v>588599.0723219288</v>
      </c>
      <c r="J3402">
        <f t="shared" si="471"/>
        <v>2927.8199865544857</v>
      </c>
      <c r="K3402">
        <f t="shared" si="472"/>
        <v>201.03663306657162</v>
      </c>
      <c r="L3402" s="4">
        <f>MIN(MAX(L3401*(1+MAX(MIN(((B3402-B3401)/B3401)/($K$7*卓尔金历!$N$40),0),-卓尔金历!$M$43))+MIN(MAX(((B3402-B3401)/B3401)/($K$7*卓尔金历!$N$40),0),卓尔金历!$M$43),0),1)</f>
        <v>0.4956888195662783</v>
      </c>
      <c r="M3402" s="4">
        <f>MIN(MAX(M3401*(1+MAX(MIN(((B3402-B3401)/B3401)/($K$7*30),0),-卓尔金历!$M$43))+MIN(MAX(((B3402-B3401)/B3401)/($K$7*7),0),卓尔金历!$M$43),0),1)</f>
        <v>0.89441338845150775</v>
      </c>
      <c r="N3402">
        <f t="shared" si="473"/>
        <v>206338.39335423385</v>
      </c>
      <c r="O3402">
        <f t="shared" si="474"/>
        <v>580119.61831121473</v>
      </c>
      <c r="P3402">
        <f t="shared" si="475"/>
        <v>-1.3821105119069433E-2</v>
      </c>
      <c r="Q3402">
        <f t="shared" si="476"/>
        <v>2.8865847863266382E-2</v>
      </c>
      <c r="R3402">
        <f t="shared" si="477"/>
        <v>0.78654713839988677</v>
      </c>
      <c r="S3402">
        <f t="shared" si="469"/>
        <v>1232.6224404226948</v>
      </c>
      <c r="T3402" s="564">
        <f>IF((I3402-MAX(I$470:I3402))/MAX(I$470:I3402)&gt;T3401,T3401,(I3402-MAX(I$470:I3402))/MAX(I$470:I3402))</f>
        <v>-0.91338805338419748</v>
      </c>
      <c r="U3402" s="564">
        <f>IF((J3402-MAX(J$470:J3402))/MAX(J$470:J3402)&gt;U3401,U3401,(J3402-MAX(J$470:J3402))/MAX(J$470:J3402))</f>
        <v>-0.83569785939843477</v>
      </c>
      <c r="V3402" s="564">
        <f>IF((K3402-MAX(K$470:K3402))/MAX(K$470:K3402)&gt;V3401,V3401,(K3402-MAX(K$470:K3402))/MAX(K$470:K3402))</f>
        <v>-0.84885940676762139</v>
      </c>
      <c r="W3402" s="564">
        <f>IF((N3402-MAX(N$470:N3402))/MAX(N$470:N3402)&gt;W3401,W3401,(N3402-MAX(N$470:N3402))/MAX(N$470:N3402))</f>
        <v>-0.62788758315546067</v>
      </c>
      <c r="X3402" s="564">
        <f>IF((O3402-MAX(O$470:O3402))/MAX(O$470:O3402)&gt;X3401,X3401,(O3402-MAX(O$470:O3402))/MAX(O$470:O3402))</f>
        <v>-0.62788758315546067</v>
      </c>
    </row>
    <row r="3403" spans="1:24">
      <c r="A3403" s="799">
        <v>43805</v>
      </c>
      <c r="B3403">
        <v>7417.3737747779996</v>
      </c>
      <c r="C3403">
        <v>7263.2651699999997</v>
      </c>
      <c r="D3403">
        <v>1.340193</v>
      </c>
      <c r="E3403">
        <f>LN(D3403/参数实验室!$E$53)/参数实验室!$E$55</f>
        <v>-0.3475204599919558</v>
      </c>
      <c r="F3403">
        <f t="shared" si="478"/>
        <v>0.9792232925753277</v>
      </c>
      <c r="G3403">
        <f>LN(F3403/参数实验室!$E$58)/参数实验室!$E$59</f>
        <v>-0.20154963978445642</v>
      </c>
      <c r="H3403" s="856">
        <f>INDEX(神经网络!$G$10:$BO$70,MATCH(ROUND(G3403*2,1)/2,神经网络!$E$10:$E$70,0),MATCH(ROUND(E3403*2,1)/2,神经网络!$G$8:$BO$8,0))</f>
        <v>-0.43513968992096197</v>
      </c>
      <c r="I3403">
        <f t="shared" si="470"/>
        <v>585807.81039160013</v>
      </c>
      <c r="J3403">
        <f t="shared" si="471"/>
        <v>2959.7277741422913</v>
      </c>
      <c r="K3403">
        <f t="shared" si="472"/>
        <v>197.92624697092731</v>
      </c>
      <c r="L3403" s="4">
        <f>MIN(MAX(L3402*(1+MAX(MIN(((B3403-B3402)/B3402)/($K$7*卓尔金历!$N$40),0),-卓尔金历!$M$43))+MIN(MAX(((B3403-B3402)/B3402)/($K$7*卓尔金历!$N$40),0),卓尔金历!$M$43),0),1)</f>
        <v>0.6622019170133091</v>
      </c>
      <c r="M3403" s="4">
        <f>MIN(MAX(M3402*(1+MAX(MIN(((B3403-B3402)/B3402)/($K$7*30),0),-卓尔金历!$M$43))+MIN(MAX(((B3403-B3402)/B3402)/($K$7*7),0),卓尔金历!$M$43),0),1)</f>
        <v>1</v>
      </c>
      <c r="N3403">
        <f t="shared" si="473"/>
        <v>205853.361583333</v>
      </c>
      <c r="O3403">
        <f t="shared" si="474"/>
        <v>577659.04186092771</v>
      </c>
      <c r="P3403">
        <f t="shared" si="475"/>
        <v>1.0898138456031018E-2</v>
      </c>
      <c r="Q3403">
        <f t="shared" si="476"/>
        <v>2.8979343816246075E-2</v>
      </c>
      <c r="R3403">
        <f t="shared" si="477"/>
        <v>1</v>
      </c>
      <c r="S3403">
        <f t="shared" si="469"/>
        <v>1228.0247910871692</v>
      </c>
      <c r="T3403" s="564">
        <f>IF((I3403-MAX(I$470:I3403))/MAX(I$470:I3403)&gt;T3402,T3402,(I3403-MAX(I$470:I3403))/MAX(I$470:I3403))</f>
        <v>-0.91338805338419748</v>
      </c>
      <c r="U3403" s="564">
        <f>IF((J3403-MAX(J$470:J3403))/MAX(J$470:J3403)&gt;U3402,U3402,(J3403-MAX(J$470:J3403))/MAX(J$470:J3403))</f>
        <v>-0.83569785939843477</v>
      </c>
      <c r="V3403" s="564">
        <f>IF((K3403-MAX(K$470:K3403))/MAX(K$470:K3403)&gt;V3402,V3402,(K3403-MAX(K$470:K3403))/MAX(K$470:K3403))</f>
        <v>-0.84885940676762139</v>
      </c>
      <c r="W3403" s="564">
        <f>IF((N3403-MAX(N$470:N3403))/MAX(N$470:N3403)&gt;W3402,W3402,(N3403-MAX(N$470:N3403))/MAX(N$470:N3403))</f>
        <v>-0.62788758315546067</v>
      </c>
      <c r="X3403" s="564">
        <f>IF((O3403-MAX(O$470:O3403))/MAX(O$470:O3403)&gt;X3402,X3402,(O3403-MAX(O$470:O3403))/MAX(O$470:O3403))</f>
        <v>-0.62788758315546067</v>
      </c>
    </row>
    <row r="3404" spans="1:24">
      <c r="A3404" s="799">
        <v>43806</v>
      </c>
      <c r="B3404">
        <v>7523.5331305017999</v>
      </c>
      <c r="C3404">
        <v>7073.0848180000003</v>
      </c>
      <c r="D3404">
        <v>1.336327</v>
      </c>
      <c r="E3404">
        <f>LN(D3404/参数实验室!$E$53)/参数实验室!$E$55</f>
        <v>-0.35092856395760075</v>
      </c>
      <c r="F3404">
        <f t="shared" si="478"/>
        <v>0.94012808813513449</v>
      </c>
      <c r="G3404">
        <f>LN(F3404/参数实验室!$E$58)/参数实验室!$E$59</f>
        <v>-0.2229340666369703</v>
      </c>
      <c r="H3404" s="856">
        <f>INDEX(神经网络!$G$10:$BO$70,MATCH(ROUND(G3404*2,1)/2,神经网络!$E$10:$E$70,0),MATCH(ROUND(E3404*2,1)/2,神经网络!$G$8:$BO$8,0))</f>
        <v>-0.43513968992096197</v>
      </c>
      <c r="I3404">
        <f t="shared" si="470"/>
        <v>582159.49844487605</v>
      </c>
      <c r="J3404">
        <f t="shared" si="471"/>
        <v>3002.0881570974011</v>
      </c>
      <c r="K3404">
        <f t="shared" si="472"/>
        <v>193.91818893411269</v>
      </c>
      <c r="L3404" s="4">
        <f>MIN(MAX(L3403*(1+MAX(MIN(((B3404-B3403)/B3403)/($K$7*卓尔金历!$N$40),0),-卓尔金历!$M$43))+MIN(MAX(((B3404-B3403)/B3403)/($K$7*卓尔金历!$N$40),0),卓尔金历!$M$43),0),1)</f>
        <v>0.88087946127599781</v>
      </c>
      <c r="M3404" s="4">
        <f>MIN(MAX(M3403*(1+MAX(MIN(((B3404-B3403)/B3403)/($K$7*30),0),-卓尔金历!$M$43))+MIN(MAX(((B3404-B3403)/B3403)/($K$7*7),0),卓尔金历!$M$43),0),1)</f>
        <v>1</v>
      </c>
      <c r="N3404">
        <f t="shared" si="473"/>
        <v>205004.40553904104</v>
      </c>
      <c r="O3404">
        <f t="shared" si="474"/>
        <v>574061.47906615108</v>
      </c>
      <c r="P3404">
        <f t="shared" si="475"/>
        <v>1.4312256459932483E-2</v>
      </c>
      <c r="Q3404">
        <f t="shared" si="476"/>
        <v>2.9249581811251424E-2</v>
      </c>
      <c r="R3404">
        <f t="shared" si="477"/>
        <v>0.7644413124103725</v>
      </c>
      <c r="S3404">
        <f t="shared" si="469"/>
        <v>1220.3768604233535</v>
      </c>
      <c r="T3404" s="564">
        <f>IF((I3404-MAX(I$470:I3404))/MAX(I$470:I3404)&gt;T3403,T3403,(I3404-MAX(I$470:I3404))/MAX(I$470:I3404))</f>
        <v>-0.91338805338419748</v>
      </c>
      <c r="U3404" s="564">
        <f>IF((J3404-MAX(J$470:J3404))/MAX(J$470:J3404)&gt;U3403,U3403,(J3404-MAX(J$470:J3404))/MAX(J$470:J3404))</f>
        <v>-0.83569785939843477</v>
      </c>
      <c r="V3404" s="564">
        <f>IF((K3404-MAX(K$470:K3404))/MAX(K$470:K3404)&gt;V3403,V3403,(K3404-MAX(K$470:K3404))/MAX(K$470:K3404))</f>
        <v>-0.84885940676762139</v>
      </c>
      <c r="W3404" s="564">
        <f>IF((N3404-MAX(N$470:N3404))/MAX(N$470:N3404)&gt;W3403,W3403,(N3404-MAX(N$470:N3404))/MAX(N$470:N3404))</f>
        <v>-0.62788758315546067</v>
      </c>
      <c r="X3404" s="564">
        <f>IF((O3404-MAX(O$470:O3404))/MAX(O$470:O3404)&gt;X3403,X3403,(O3404-MAX(O$470:O3404))/MAX(O$470:O3404))</f>
        <v>-0.62788758315546067</v>
      </c>
    </row>
    <row r="3405" spans="1:24">
      <c r="A3405" s="799">
        <v>43807</v>
      </c>
      <c r="B3405">
        <v>7534.3442449491004</v>
      </c>
      <c r="C3405">
        <v>6912.8826360000003</v>
      </c>
      <c r="D3405">
        <v>1.3393729999999999</v>
      </c>
      <c r="E3405">
        <f>LN(D3405/参数实验室!$E$53)/参数实验室!$E$55</f>
        <v>-0.34824251549665736</v>
      </c>
      <c r="F3405">
        <f t="shared" si="478"/>
        <v>0.9175161648121245</v>
      </c>
      <c r="G3405">
        <f>LN(F3405/参数实验室!$E$58)/参数实验室!$E$59</f>
        <v>-0.23571212740477906</v>
      </c>
      <c r="H3405" s="856">
        <f>INDEX(神经网络!$G$10:$BO$70,MATCH(ROUND(G3405*2,1)/2,神经网络!$E$10:$E$70,0),MATCH(ROUND(E3405*2,1)/2,神经网络!$G$8:$BO$8,0))</f>
        <v>-0.51075529571207356</v>
      </c>
      <c r="I3405">
        <f t="shared" si="470"/>
        <v>581795.48341744218</v>
      </c>
      <c r="J3405">
        <f t="shared" si="471"/>
        <v>3006.4020769119738</v>
      </c>
      <c r="K3405">
        <f t="shared" si="472"/>
        <v>193.51885361090274</v>
      </c>
      <c r="L3405" s="4">
        <f>MIN(MAX(L3404*(1+MAX(MIN(((B3405-B3404)/B3404)/($K$7*卓尔金历!$N$40),0),-卓尔金历!$M$43))+MIN(MAX(((B3405-B3404)/B3404)/($K$7*卓尔金历!$N$40),0),卓尔金历!$M$43),0),1)</f>
        <v>0.90283503071911464</v>
      </c>
      <c r="M3405" s="4">
        <f>MIN(MAX(M3404*(1+MAX(MIN(((B3405-B3404)/B3404)/($K$7*30),0),-卓尔金历!$M$43))+MIN(MAX(((B3405-B3404)/B3404)/($K$7*7),0),卓尔金历!$M$43),0),1)</f>
        <v>1</v>
      </c>
      <c r="N3405">
        <f t="shared" si="473"/>
        <v>204891.48914433256</v>
      </c>
      <c r="O3405">
        <f t="shared" si="474"/>
        <v>573702.52760077221</v>
      </c>
      <c r="P3405">
        <f t="shared" si="475"/>
        <v>1.436973063024104E-3</v>
      </c>
      <c r="Q3405">
        <f t="shared" si="476"/>
        <v>2.9184336747599876E-2</v>
      </c>
      <c r="R3405">
        <f t="shared" si="477"/>
        <v>1</v>
      </c>
      <c r="S3405">
        <f t="shared" si="469"/>
        <v>1219.7935289102077</v>
      </c>
      <c r="T3405" s="564">
        <f>IF((I3405-MAX(I$470:I3405))/MAX(I$470:I3405)&gt;T3404,T3404,(I3405-MAX(I$470:I3405))/MAX(I$470:I3405))</f>
        <v>-0.91338805338419748</v>
      </c>
      <c r="U3405" s="564">
        <f>IF((J3405-MAX(J$470:J3405))/MAX(J$470:J3405)&gt;U3404,U3404,(J3405-MAX(J$470:J3405))/MAX(J$470:J3405))</f>
        <v>-0.83569785939843477</v>
      </c>
      <c r="V3405" s="564">
        <f>IF((K3405-MAX(K$470:K3405))/MAX(K$470:K3405)&gt;V3404,V3404,(K3405-MAX(K$470:K3405))/MAX(K$470:K3405))</f>
        <v>-0.84885940676762139</v>
      </c>
      <c r="W3405" s="564">
        <f>IF((N3405-MAX(N$470:N3405))/MAX(N$470:N3405)&gt;W3404,W3404,(N3405-MAX(N$470:N3405))/MAX(N$470:N3405))</f>
        <v>-0.62788758315546067</v>
      </c>
      <c r="X3405" s="564">
        <f>IF((O3405-MAX(O$470:O3405))/MAX(O$470:O3405)&gt;X3404,X3404,(O3405-MAX(O$470:O3405))/MAX(O$470:O3405))</f>
        <v>-0.62788758315546067</v>
      </c>
    </row>
    <row r="3406" spans="1:24">
      <c r="A3406" s="799">
        <v>43808</v>
      </c>
      <c r="B3406">
        <v>7490.3289588751004</v>
      </c>
      <c r="C3406">
        <v>6794.1661480000002</v>
      </c>
      <c r="D3406">
        <v>1.3063880000000001</v>
      </c>
      <c r="E3406">
        <f>LN(D3406/参数实验室!$E$53)/参数实验室!$E$55</f>
        <v>-0.3776602724813452</v>
      </c>
      <c r="F3406">
        <f t="shared" si="478"/>
        <v>0.90705844633829669</v>
      </c>
      <c r="G3406">
        <f>LN(F3406/参数实验室!$E$58)/参数实验室!$E$59</f>
        <v>-0.24172869246520085</v>
      </c>
      <c r="H3406" s="856">
        <f>INDEX(神经网络!$G$10:$BO$70,MATCH(ROUND(G3406*2,1)/2,神经网络!$E$10:$E$70,0),MATCH(ROUND(E3406*2,1)/2,神经网络!$G$8:$BO$8,0))</f>
        <v>-0.54697219397271091</v>
      </c>
      <c r="I3406">
        <f t="shared" si="470"/>
        <v>583531.44973033876</v>
      </c>
      <c r="J3406">
        <f t="shared" si="471"/>
        <v>2988.8388168369565</v>
      </c>
      <c r="K3406">
        <f t="shared" si="472"/>
        <v>195.23684129205782</v>
      </c>
      <c r="L3406" s="4">
        <f>MIN(MAX(L3405*(1+MAX(MIN(((B3406-B3405)/B3405)/($K$7*卓尔金历!$N$40),0),-卓尔金历!$M$43))+MIN(MAX(((B3406-B3405)/B3405)/($K$7*卓尔金历!$N$40),0),卓尔金历!$M$43),0),1)</f>
        <v>0.8222484832826672</v>
      </c>
      <c r="M3406" s="4">
        <f>MIN(MAX(M3405*(1+MAX(MIN(((B3406-B3405)/B3405)/($K$7*30),0),-卓尔金历!$M$43))+MIN(MAX(((B3406-B3405)/B3405)/($K$7*7),0),卓尔金历!$M$43),0),1)</f>
        <v>0.95537028100678612</v>
      </c>
      <c r="N3406">
        <f t="shared" si="473"/>
        <v>205443.44363165175</v>
      </c>
      <c r="O3406">
        <f t="shared" si="474"/>
        <v>575414.34608325432</v>
      </c>
      <c r="P3406">
        <f t="shared" si="475"/>
        <v>-5.841953147217434E-3</v>
      </c>
      <c r="Q3406">
        <f t="shared" si="476"/>
        <v>2.913940245254016E-2</v>
      </c>
      <c r="R3406">
        <f t="shared" si="477"/>
        <v>1</v>
      </c>
      <c r="S3406">
        <f t="shared" si="469"/>
        <v>1223.4331592188501</v>
      </c>
      <c r="T3406" s="564">
        <f>IF((I3406-MAX(I$470:I3406))/MAX(I$470:I3406)&gt;T3405,T3405,(I3406-MAX(I$470:I3406))/MAX(I$470:I3406))</f>
        <v>-0.91338805338419748</v>
      </c>
      <c r="U3406" s="564">
        <f>IF((J3406-MAX(J$470:J3406))/MAX(J$470:J3406)&gt;U3405,U3405,(J3406-MAX(J$470:J3406))/MAX(J$470:J3406))</f>
        <v>-0.83569785939843477</v>
      </c>
      <c r="V3406" s="564">
        <f>IF((K3406-MAX(K$470:K3406))/MAX(K$470:K3406)&gt;V3405,V3405,(K3406-MAX(K$470:K3406))/MAX(K$470:K3406))</f>
        <v>-0.84885940676762139</v>
      </c>
      <c r="W3406" s="564">
        <f>IF((N3406-MAX(N$470:N3406))/MAX(N$470:N3406)&gt;W3405,W3405,(N3406-MAX(N$470:N3406))/MAX(N$470:N3406))</f>
        <v>-0.62788758315546067</v>
      </c>
      <c r="X3406" s="564">
        <f>IF((O3406-MAX(O$470:O3406))/MAX(O$470:O3406)&gt;X3405,X3405,(O3406-MAX(O$470:O3406))/MAX(O$470:O3406))</f>
        <v>-0.62788758315546067</v>
      </c>
    </row>
    <row r="3407" spans="1:24">
      <c r="A3407" s="799">
        <v>43809</v>
      </c>
      <c r="B3407">
        <v>7283.6130528074</v>
      </c>
      <c r="C3407">
        <v>6824.0436749999999</v>
      </c>
      <c r="D3407">
        <v>1.2878400000000001</v>
      </c>
      <c r="E3407">
        <f>LN(D3407/参数实验室!$E$53)/参数实验室!$E$55</f>
        <v>-0.39453036719920853</v>
      </c>
      <c r="F3407">
        <f t="shared" si="478"/>
        <v>0.93690365283336086</v>
      </c>
      <c r="G3407">
        <f>LN(F3407/参数实验室!$E$58)/参数实验室!$E$59</f>
        <v>-0.22473729620688385</v>
      </c>
      <c r="H3407" s="856">
        <f>INDEX(神经网络!$G$10:$BO$70,MATCH(ROUND(G3407*2,1)/2,神经网络!$E$10:$E$70,0),MATCH(ROUND(E3407*2,1)/2,神经网络!$G$8:$BO$8,0))</f>
        <v>-0.47127462620209248</v>
      </c>
      <c r="I3407">
        <f t="shared" si="470"/>
        <v>592339.96112539223</v>
      </c>
      <c r="J3407">
        <f t="shared" si="471"/>
        <v>2906.3537180509143</v>
      </c>
      <c r="K3407">
        <f t="shared" si="472"/>
        <v>203.8086270939632</v>
      </c>
      <c r="L3407" s="4">
        <f>MIN(MAX(L3406*(1+MAX(MIN(((B3407-B3406)/B3406)/($K$7*卓尔金历!$N$40),0),-卓尔金历!$M$43))+MIN(MAX(((B3407-B3406)/B3406)/($K$7*卓尔金历!$N$40),0),卓尔金历!$M$43),0),1)</f>
        <v>0.47553385655937586</v>
      </c>
      <c r="M3407" s="4">
        <f>MIN(MAX(M3406*(1+MAX(MIN(((B3407-B3406)/B3406)/($K$7*30),0),-卓尔金历!$M$43))+MIN(MAX(((B3407-B3406)/B3406)/($K$7*7),0),卓尔金历!$M$43),0),1)</f>
        <v>0.75394646746603067</v>
      </c>
      <c r="N3407">
        <f t="shared" si="473"/>
        <v>207993.40511224707</v>
      </c>
      <c r="O3407">
        <f t="shared" si="474"/>
        <v>583712.67540210031</v>
      </c>
      <c r="P3407">
        <f t="shared" si="475"/>
        <v>-2.7597707283972889E-2</v>
      </c>
      <c r="Q3407">
        <f t="shared" si="476"/>
        <v>2.8645728780794969E-2</v>
      </c>
      <c r="R3407">
        <f t="shared" si="477"/>
        <v>6.7497125548087247E-2</v>
      </c>
      <c r="S3407">
        <f t="shared" si="469"/>
        <v>1241.9011011421956</v>
      </c>
      <c r="T3407" s="564">
        <f>IF((I3407-MAX(I$470:I3407))/MAX(I$470:I3407)&gt;T3406,T3406,(I3407-MAX(I$470:I3407))/MAX(I$470:I3407))</f>
        <v>-0.91338805338419748</v>
      </c>
      <c r="U3407" s="564">
        <f>IF((J3407-MAX(J$470:J3407))/MAX(J$470:J3407)&gt;U3406,U3406,(J3407-MAX(J$470:J3407))/MAX(J$470:J3407))</f>
        <v>-0.83569785939843477</v>
      </c>
      <c r="V3407" s="564">
        <f>IF((K3407-MAX(K$470:K3407))/MAX(K$470:K3407)&gt;V3406,V3406,(K3407-MAX(K$470:K3407))/MAX(K$470:K3407))</f>
        <v>-0.84885940676762139</v>
      </c>
      <c r="W3407" s="564">
        <f>IF((N3407-MAX(N$470:N3407))/MAX(N$470:N3407)&gt;W3406,W3406,(N3407-MAX(N$470:N3407))/MAX(N$470:N3407))</f>
        <v>-0.62788758315546067</v>
      </c>
      <c r="X3407" s="564">
        <f>IF((O3407-MAX(O$470:O3407))/MAX(O$470:O3407)&gt;X3406,X3406,(O3407-MAX(O$470:O3407))/MAX(O$470:O3407))</f>
        <v>-0.62788758315546067</v>
      </c>
    </row>
    <row r="3408" spans="1:24">
      <c r="A3408" s="799">
        <v>43810</v>
      </c>
      <c r="B3408">
        <v>7186.1759285836997</v>
      </c>
      <c r="C3408">
        <v>6863.159764</v>
      </c>
      <c r="D3408">
        <v>1.2829280000000001</v>
      </c>
      <c r="E3408">
        <f>LN(D3408/参数实验室!$E$53)/参数实验室!$E$55</f>
        <v>-0.39903871255477497</v>
      </c>
      <c r="F3408">
        <f t="shared" si="478"/>
        <v>0.95505034001479538</v>
      </c>
      <c r="G3408">
        <f>LN(F3408/参数实验室!$E$58)/参数实验室!$E$59</f>
        <v>-0.2146687065279741</v>
      </c>
      <c r="H3408" s="856">
        <f>INDEX(神经网络!$G$10:$BO$70,MATCH(ROUND(G3408*2,1)/2,神经网络!$E$10:$E$70,0),MATCH(ROUND(E3408*2,1)/2,神经网络!$G$8:$BO$8,0))</f>
        <v>-0.47127462620209248</v>
      </c>
      <c r="I3408">
        <f t="shared" si="470"/>
        <v>596074.37701492582</v>
      </c>
      <c r="J3408">
        <f t="shared" si="471"/>
        <v>2867.4737355188126</v>
      </c>
      <c r="K3408">
        <f t="shared" si="472"/>
        <v>207.8743981615155</v>
      </c>
      <c r="L3408" s="4">
        <f>MIN(MAX(L3407*(1+MAX(MIN(((B3408-B3407)/B3407)/($K$7*卓尔金历!$N$40),0),-卓尔金历!$M$43))+MIN(MAX(((B3408-B3407)/B3407)/($K$7*卓尔金历!$N$40),0),卓尔金历!$M$43),0),1)</f>
        <v>0.37833635237457869</v>
      </c>
      <c r="M3408" s="4">
        <f>MIN(MAX(M3407*(1+MAX(MIN(((B3408-B3407)/B3407)/($K$7*30),0),-卓尔金历!$M$43))+MIN(MAX(((B3408-B3407)/B3407)/($K$7*7),0),卓尔金历!$M$43),0),1)</f>
        <v>0.67689441962988195</v>
      </c>
      <c r="N3408">
        <f t="shared" si="473"/>
        <v>208616.97144286201</v>
      </c>
      <c r="O3408">
        <f t="shared" si="474"/>
        <v>586487.21728222538</v>
      </c>
      <c r="P3408">
        <f t="shared" si="475"/>
        <v>-1.3377581087471972E-2</v>
      </c>
      <c r="Q3408">
        <f t="shared" si="476"/>
        <v>2.8674288470568351E-2</v>
      </c>
      <c r="R3408">
        <f t="shared" si="477"/>
        <v>0.81290641886388393</v>
      </c>
      <c r="S3408">
        <f t="shared" si="469"/>
        <v>1242.4295755248854</v>
      </c>
      <c r="T3408" s="564">
        <f>IF((I3408-MAX(I$470:I3408))/MAX(I$470:I3408)&gt;T3407,T3407,(I3408-MAX(I$470:I3408))/MAX(I$470:I3408))</f>
        <v>-0.91338805338419748</v>
      </c>
      <c r="U3408" s="564">
        <f>IF((J3408-MAX(J$470:J3408))/MAX(J$470:J3408)&gt;U3407,U3407,(J3408-MAX(J$470:J3408))/MAX(J$470:J3408))</f>
        <v>-0.83569785939843477</v>
      </c>
      <c r="V3408" s="564">
        <f>IF((K3408-MAX(K$470:K3408))/MAX(K$470:K3408)&gt;V3407,V3407,(K3408-MAX(K$470:K3408))/MAX(K$470:K3408))</f>
        <v>-0.84885940676762139</v>
      </c>
      <c r="W3408" s="564">
        <f>IF((N3408-MAX(N$470:N3408))/MAX(N$470:N3408)&gt;W3407,W3407,(N3408-MAX(N$470:N3408))/MAX(N$470:N3408))</f>
        <v>-0.62788758315546067</v>
      </c>
      <c r="X3408" s="564">
        <f>IF((O3408-MAX(O$470:O3408))/MAX(O$470:O3408)&gt;X3407,X3407,(O3408-MAX(O$470:O3408))/MAX(O$470:O3408))</f>
        <v>-0.62788758315546067</v>
      </c>
    </row>
    <row r="3409" spans="1:24">
      <c r="A3409" s="799">
        <v>43811</v>
      </c>
      <c r="B3409">
        <v>7168.9597977537996</v>
      </c>
      <c r="C3409">
        <v>7246.9224679999998</v>
      </c>
      <c r="D3409">
        <v>1.282189</v>
      </c>
      <c r="E3409">
        <f>LN(D3409/参数实验室!$E$53)/参数实验室!$E$55</f>
        <v>-0.39971847700327084</v>
      </c>
      <c r="F3409">
        <f t="shared" si="478"/>
        <v>1.0108750324238989</v>
      </c>
      <c r="G3409">
        <f>LN(F3409/参数实验室!$E$58)/参数实验室!$E$59</f>
        <v>-0.18485303300360439</v>
      </c>
      <c r="H3409" s="856">
        <f>INDEX(神经网络!$G$10:$BO$70,MATCH(ROUND(G3409*2,1)/2,神经网络!$E$10:$E$70,0),MATCH(ROUND(E3409*2,1)/2,神经网络!$G$8:$BO$8,0))</f>
        <v>-0.47127462620209248</v>
      </c>
      <c r="I3409">
        <f t="shared" si="470"/>
        <v>596747.37260789447</v>
      </c>
      <c r="J3409">
        <f t="shared" si="471"/>
        <v>2860.6040452311545</v>
      </c>
      <c r="K3409">
        <f t="shared" si="472"/>
        <v>208.6088683272045</v>
      </c>
      <c r="L3409" s="4">
        <f>MIN(MAX(L3408*(1+MAX(MIN(((B3409-B3408)/B3408)/($K$7*卓尔金历!$N$40),0),-卓尔金历!$M$43))+MIN(MAX(((B3409-B3408)/B3408)/($K$7*卓尔金历!$N$40),0),卓尔金历!$M$43),0),1)</f>
        <v>0.36448756141202482</v>
      </c>
      <c r="M3409" s="4">
        <f>MIN(MAX(M3408*(1+MAX(MIN(((B3409-B3408)/B3408)/($K$7*30),0),-卓尔金历!$M$43))+MIN(MAX(((B3409-B3408)/B3408)/($K$7*7),0),卓尔金历!$M$43),0),1)</f>
        <v>0.6645057484615714</v>
      </c>
      <c r="N3409">
        <f t="shared" si="473"/>
        <v>208706.08411681291</v>
      </c>
      <c r="O3409">
        <f t="shared" si="474"/>
        <v>586935.43730305822</v>
      </c>
      <c r="P3409">
        <f t="shared" si="475"/>
        <v>-2.395729105576342E-3</v>
      </c>
      <c r="Q3409">
        <f t="shared" si="476"/>
        <v>2.6398071762046126E-2</v>
      </c>
      <c r="R3409">
        <f t="shared" si="477"/>
        <v>1</v>
      </c>
      <c r="S3409">
        <f t="shared" si="469"/>
        <v>1243.5698885909649</v>
      </c>
      <c r="T3409" s="564">
        <f>IF((I3409-MAX(I$470:I3409))/MAX(I$470:I3409)&gt;T3408,T3408,(I3409-MAX(I$470:I3409))/MAX(I$470:I3409))</f>
        <v>-0.91338805338419748</v>
      </c>
      <c r="U3409" s="564">
        <f>IF((J3409-MAX(J$470:J3409))/MAX(J$470:J3409)&gt;U3408,U3408,(J3409-MAX(J$470:J3409))/MAX(J$470:J3409))</f>
        <v>-0.83569785939843477</v>
      </c>
      <c r="V3409" s="564">
        <f>IF((K3409-MAX(K$470:K3409))/MAX(K$470:K3409)&gt;V3408,V3408,(K3409-MAX(K$470:K3409))/MAX(K$470:K3409))</f>
        <v>-0.84885940676762139</v>
      </c>
      <c r="W3409" s="564">
        <f>IF((N3409-MAX(N$470:N3409))/MAX(N$470:N3409)&gt;W3408,W3408,(N3409-MAX(N$470:N3409))/MAX(N$470:N3409))</f>
        <v>-0.62788758315546067</v>
      </c>
      <c r="X3409" s="564">
        <f>IF((O3409-MAX(O$470:O3409))/MAX(O$470:O3409)&gt;X3408,X3408,(O3409-MAX(O$470:O3409))/MAX(O$470:O3409))</f>
        <v>-0.62788758315546067</v>
      </c>
    </row>
    <row r="3410" spans="1:24">
      <c r="A3410" s="799">
        <v>43812</v>
      </c>
      <c r="B3410">
        <v>7247.9122528253001</v>
      </c>
      <c r="C3410">
        <v>7164.8136180000001</v>
      </c>
      <c r="D3410">
        <v>1.2916479999999999</v>
      </c>
      <c r="E3410">
        <f>LN(D3410/参数实验室!$E$53)/参数实验室!$E$55</f>
        <v>-0.39104711500603989</v>
      </c>
      <c r="F3410">
        <f t="shared" si="478"/>
        <v>0.98853481776177587</v>
      </c>
      <c r="G3410">
        <f>LN(F3410/参数实验室!$E$58)/参数实验室!$E$59</f>
        <v>-0.19658233400167086</v>
      </c>
      <c r="H3410" s="856">
        <f>INDEX(神经网络!$G$10:$BO$70,MATCH(ROUND(G3410*2,1)/2,神经网络!$E$10:$E$70,0),MATCH(ROUND(E3410*2,1)/2,神经网络!$G$8:$BO$8,0))</f>
        <v>-0.47127462620209248</v>
      </c>
      <c r="I3410">
        <f t="shared" si="470"/>
        <v>593650.13825617079</v>
      </c>
      <c r="J3410">
        <f t="shared" si="471"/>
        <v>2892.1081572264861</v>
      </c>
      <c r="K3410">
        <f t="shared" si="472"/>
        <v>205.26553848714897</v>
      </c>
      <c r="L3410" s="4">
        <f>MIN(MAX(L3409*(1+MAX(MIN(((B3410-B3409)/B3409)/($K$7*卓尔金历!$N$40),0),-卓尔金历!$M$43))+MIN(MAX(((B3410-B3409)/B3409)/($K$7*卓尔金历!$N$40),0),卓尔金历!$M$43),0),1)</f>
        <v>0.53275712666571517</v>
      </c>
      <c r="M3410" s="4">
        <f>MIN(MAX(M3409*(1+MAX(MIN(((B3410-B3409)/B3409)/($K$7*30),0),-卓尔金历!$M$43))+MIN(MAX(((B3410-B3409)/B3409)/($K$7*7),0),卓尔金历!$M$43),0),1)</f>
        <v>1</v>
      </c>
      <c r="N3410">
        <f t="shared" si="473"/>
        <v>208311.26209004509</v>
      </c>
      <c r="O3410">
        <f t="shared" si="474"/>
        <v>584911.14778750751</v>
      </c>
      <c r="P3410">
        <f t="shared" si="475"/>
        <v>1.1013097757395446E-2</v>
      </c>
      <c r="Q3410">
        <f t="shared" si="476"/>
        <v>2.0304330851432798E-2</v>
      </c>
      <c r="R3410">
        <f t="shared" si="477"/>
        <v>0.6542960001156739</v>
      </c>
      <c r="S3410">
        <f t="shared" si="469"/>
        <v>1237.1155202024108</v>
      </c>
      <c r="T3410" s="564">
        <f>IF((I3410-MAX(I$470:I3410))/MAX(I$470:I3410)&gt;T3409,T3409,(I3410-MAX(I$470:I3410))/MAX(I$470:I3410))</f>
        <v>-0.91338805338419748</v>
      </c>
      <c r="U3410" s="564">
        <f>IF((J3410-MAX(J$470:J3410))/MAX(J$470:J3410)&gt;U3409,U3409,(J3410-MAX(J$470:J3410))/MAX(J$470:J3410))</f>
        <v>-0.83569785939843477</v>
      </c>
      <c r="V3410" s="564">
        <f>IF((K3410-MAX(K$470:K3410))/MAX(K$470:K3410)&gt;V3409,V3409,(K3410-MAX(K$470:K3410))/MAX(K$470:K3410))</f>
        <v>-0.84885940676762139</v>
      </c>
      <c r="W3410" s="564">
        <f>IF((N3410-MAX(N$470:N3410))/MAX(N$470:N3410)&gt;W3409,W3409,(N3410-MAX(N$470:N3410))/MAX(N$470:N3410))</f>
        <v>-0.62788758315546067</v>
      </c>
      <c r="X3410" s="564">
        <f>IF((O3410-MAX(O$470:O3410))/MAX(O$470:O3410)&gt;X3409,X3409,(O3410-MAX(O$470:O3410))/MAX(O$470:O3410))</f>
        <v>-0.62788758315546067</v>
      </c>
    </row>
    <row r="3411" spans="1:24">
      <c r="A3411" s="799">
        <v>43813</v>
      </c>
      <c r="B3411">
        <v>7127.8249388205004</v>
      </c>
      <c r="C3411">
        <v>7256.7545190000001</v>
      </c>
      <c r="D3411">
        <v>1.2610619999999999</v>
      </c>
      <c r="E3411">
        <f>LN(D3411/参数实验室!$E$53)/参数实验室!$E$55</f>
        <v>-0.41931954676755812</v>
      </c>
      <c r="F3411">
        <f t="shared" si="478"/>
        <v>1.0180882080138229</v>
      </c>
      <c r="G3411">
        <f>LN(F3411/参数实验室!$E$58)/参数实验室!$E$59</f>
        <v>-0.18112119573218696</v>
      </c>
      <c r="H3411" s="856">
        <f>INDEX(神经网络!$G$10:$BO$70,MATCH(ROUND(G3411*2,1)/2,神经网络!$E$10:$E$70,0),MATCH(ROUND(E3411*2,1)/2,神经网络!$G$8:$BO$8,0))</f>
        <v>-0.47127462620209248</v>
      </c>
      <c r="I3411">
        <f t="shared" si="470"/>
        <v>598285.55553269759</v>
      </c>
      <c r="J3411">
        <f t="shared" si="471"/>
        <v>2844.1901515583963</v>
      </c>
      <c r="K3411">
        <f t="shared" si="472"/>
        <v>210.35357119315083</v>
      </c>
      <c r="L3411" s="4">
        <f>MIN(MAX(L3410*(1+MAX(MIN(((B3411-B3410)/B3410)/($K$7*卓尔金历!$N$40),0),-卓尔金历!$M$43))+MIN(MAX(((B3411-B3410)/B3410)/($K$7*卓尔金历!$N$40),0),卓尔金历!$M$43),0),1)</f>
        <v>0.3978889299983504</v>
      </c>
      <c r="M3411" s="4">
        <f>MIN(MAX(M3410*(1+MAX(MIN(((B3411-B3410)/B3410)/($K$7*30),0),-卓尔金历!$M$43))+MIN(MAX(((B3411-B3410)/B3410)/($K$7*7),0),卓尔金历!$M$43),0),1)</f>
        <v>0.87342431483606464</v>
      </c>
      <c r="N3411">
        <f t="shared" si="473"/>
        <v>209177.8253655817</v>
      </c>
      <c r="O3411">
        <f t="shared" si="474"/>
        <v>589478.32812650607</v>
      </c>
      <c r="P3411">
        <f t="shared" si="475"/>
        <v>-1.6568538610272032E-2</v>
      </c>
      <c r="Q3411">
        <f t="shared" si="476"/>
        <v>1.971898036461284E-2</v>
      </c>
      <c r="R3411">
        <f t="shared" si="477"/>
        <v>0.19791483729710113</v>
      </c>
      <c r="S3411">
        <f t="shared" si="469"/>
        <v>1243.4358942700906</v>
      </c>
      <c r="T3411" s="564">
        <f>IF((I3411-MAX(I$470:I3411))/MAX(I$470:I3411)&gt;T3410,T3410,(I3411-MAX(I$470:I3411))/MAX(I$470:I3411))</f>
        <v>-0.91338805338419748</v>
      </c>
      <c r="U3411" s="564">
        <f>IF((J3411-MAX(J$470:J3411))/MAX(J$470:J3411)&gt;U3410,U3410,(J3411-MAX(J$470:J3411))/MAX(J$470:J3411))</f>
        <v>-0.83569785939843477</v>
      </c>
      <c r="V3411" s="564">
        <f>IF((K3411-MAX(K$470:K3411))/MAX(K$470:K3411)&gt;V3410,V3410,(K3411-MAX(K$470:K3411))/MAX(K$470:K3411))</f>
        <v>-0.84885940676762139</v>
      </c>
      <c r="W3411" s="564">
        <f>IF((N3411-MAX(N$470:N3411))/MAX(N$470:N3411)&gt;W3410,W3410,(N3411-MAX(N$470:N3411))/MAX(N$470:N3411))</f>
        <v>-0.62788758315546067</v>
      </c>
      <c r="X3411" s="564">
        <f>IF((O3411-MAX(O$470:O3411))/MAX(O$470:O3411)&gt;X3410,X3410,(O3411-MAX(O$470:O3411))/MAX(O$470:O3411))</f>
        <v>-0.62788758315546067</v>
      </c>
    </row>
    <row r="3412" spans="1:24">
      <c r="A3412" s="799">
        <v>43814</v>
      </c>
      <c r="B3412">
        <v>7113.6279280179997</v>
      </c>
      <c r="C3412">
        <v>7432.0734819999998</v>
      </c>
      <c r="D3412">
        <v>1.268267</v>
      </c>
      <c r="E3412">
        <f>LN(D3412/参数实验室!$E$53)/参数实验室!$E$55</f>
        <v>-0.41259828186757047</v>
      </c>
      <c r="F3412">
        <f t="shared" si="478"/>
        <v>1.0447655622706606</v>
      </c>
      <c r="G3412">
        <f>LN(F3412/参数实验室!$E$58)/参数实验室!$E$59</f>
        <v>-0.16754534456450362</v>
      </c>
      <c r="H3412" s="856">
        <f>INDEX(神经网络!$G$10:$BO$70,MATCH(ROUND(G3412*2,1)/2,神经网络!$E$10:$E$70,0),MATCH(ROUND(E3412*2,1)/2,神经网络!$G$8:$BO$8,0))</f>
        <v>-0.38990896592980601</v>
      </c>
      <c r="I3412">
        <f t="shared" si="470"/>
        <v>598847.14953812584</v>
      </c>
      <c r="J3412">
        <f t="shared" si="471"/>
        <v>2838.5251697929034</v>
      </c>
      <c r="K3412">
        <f t="shared" si="472"/>
        <v>210.97123108540808</v>
      </c>
      <c r="L3412" s="4">
        <f>MIN(MAX(L3411*(1+MAX(MIN(((B3412-B3411)/B3411)/($K$7*卓尔金历!$N$40),0),-卓尔金历!$M$43))+MIN(MAX(((B3412-B3411)/B3411)/($K$7*卓尔金历!$N$40),0),卓尔金历!$M$43),0),1)</f>
        <v>0.38578022153762509</v>
      </c>
      <c r="M3412" s="4">
        <f>MIN(MAX(M3411*(1+MAX(MIN(((B3412-B3411)/B3411)/($K$7*30),0),-卓尔金历!$M$43))+MIN(MAX(((B3412-B3411)/B3411)/($K$7*7),0),卓尔金历!$M$43),0),1)</f>
        <v>0.86013412303441972</v>
      </c>
      <c r="N3412">
        <f t="shared" si="473"/>
        <v>209255.95062020631</v>
      </c>
      <c r="O3412">
        <f t="shared" si="474"/>
        <v>589961.61730034463</v>
      </c>
      <c r="P3412">
        <f t="shared" si="475"/>
        <v>-1.9917732161432678E-3</v>
      </c>
      <c r="Q3412">
        <f t="shared" si="476"/>
        <v>1.8965258623730226E-2</v>
      </c>
      <c r="R3412">
        <f t="shared" si="477"/>
        <v>1</v>
      </c>
      <c r="S3412">
        <f t="shared" si="469"/>
        <v>1243.6668962484366</v>
      </c>
      <c r="T3412" s="564">
        <f>IF((I3412-MAX(I$470:I3412))/MAX(I$470:I3412)&gt;T3411,T3411,(I3412-MAX(I$470:I3412))/MAX(I$470:I3412))</f>
        <v>-0.91338805338419748</v>
      </c>
      <c r="U3412" s="564">
        <f>IF((J3412-MAX(J$470:J3412))/MAX(J$470:J3412)&gt;U3411,U3411,(J3412-MAX(J$470:J3412))/MAX(J$470:J3412))</f>
        <v>-0.83569785939843477</v>
      </c>
      <c r="V3412" s="564">
        <f>IF((K3412-MAX(K$470:K3412))/MAX(K$470:K3412)&gt;V3411,V3411,(K3412-MAX(K$470:K3412))/MAX(K$470:K3412))</f>
        <v>-0.84885940676762139</v>
      </c>
      <c r="W3412" s="564">
        <f>IF((N3412-MAX(N$470:N3412))/MAX(N$470:N3412)&gt;W3411,W3411,(N3412-MAX(N$470:N3412))/MAX(N$470:N3412))</f>
        <v>-0.62788758315546067</v>
      </c>
      <c r="X3412" s="564">
        <f>IF((O3412-MAX(O$470:O3412))/MAX(O$470:O3412)&gt;X3411,X3411,(O3412-MAX(O$470:O3412))/MAX(O$470:O3412))</f>
        <v>-0.62788758315546067</v>
      </c>
    </row>
    <row r="3413" spans="1:24">
      <c r="A3413" s="799">
        <v>43815</v>
      </c>
      <c r="B3413">
        <v>7094.2241136369003</v>
      </c>
      <c r="C3413">
        <v>7388.1980549999998</v>
      </c>
      <c r="D3413">
        <v>1.2284120000000001</v>
      </c>
      <c r="E3413">
        <f>LN(D3413/参数实验室!$E$53)/参数实验室!$E$55</f>
        <v>-0.45026676869370491</v>
      </c>
      <c r="F3413">
        <f t="shared" si="478"/>
        <v>1.0414384908982517</v>
      </c>
      <c r="G3413">
        <f>LN(F3413/参数实验室!$E$58)/参数实验室!$E$59</f>
        <v>-0.16921941699209495</v>
      </c>
      <c r="H3413" s="856">
        <f>INDEX(神经网络!$G$10:$BO$70,MATCH(ROUND(G3413*2,1)/2,神经网络!$E$10:$E$70,0),MATCH(ROUND(E3413*2,1)/2,神经网络!$G$8:$BO$8,0))</f>
        <v>-0.42837081028630275</v>
      </c>
      <c r="I3413">
        <f t="shared" si="470"/>
        <v>599484.05529436201</v>
      </c>
      <c r="J3413">
        <f t="shared" si="471"/>
        <v>2830.7825360667557</v>
      </c>
      <c r="K3413">
        <f t="shared" si="472"/>
        <v>211.77326327840004</v>
      </c>
      <c r="L3413" s="4">
        <f>MIN(MAX(L3412*(1+MAX(MIN(((B3413-B3412)/B3412)/($K$7*卓尔金历!$N$40),0),-卓尔金历!$M$43))+MIN(MAX(((B3413-B3412)/B3412)/($K$7*卓尔金历!$N$40),0),卓尔金历!$M$43),0),1)</f>
        <v>0.36970222236433536</v>
      </c>
      <c r="M3413" s="4">
        <f>MIN(MAX(M3412*(1+MAX(MIN(((B3413-B3412)/B3412)/($K$7*30),0),-卓尔金历!$M$43))+MIN(MAX(((B3413-B3412)/B3412)/($K$7*7),0),卓尔金历!$M$43),0),1)</f>
        <v>0.84221039995713787</v>
      </c>
      <c r="N3413">
        <f t="shared" si="473"/>
        <v>209341.80786790815</v>
      </c>
      <c r="O3413">
        <f t="shared" si="474"/>
        <v>590501.31320436182</v>
      </c>
      <c r="P3413">
        <f t="shared" si="475"/>
        <v>-2.7276959910532924E-3</v>
      </c>
      <c r="Q3413">
        <f t="shared" si="476"/>
        <v>1.8424347736338425E-2</v>
      </c>
      <c r="R3413">
        <f t="shared" si="477"/>
        <v>1</v>
      </c>
      <c r="S3413">
        <f t="shared" si="469"/>
        <v>1244.989602060215</v>
      </c>
      <c r="T3413" s="564">
        <f>IF((I3413-MAX(I$470:I3413))/MAX(I$470:I3413)&gt;T3412,T3412,(I3413-MAX(I$470:I3413))/MAX(I$470:I3413))</f>
        <v>-0.91338805338419748</v>
      </c>
      <c r="U3413" s="564">
        <f>IF((J3413-MAX(J$470:J3413))/MAX(J$470:J3413)&gt;U3412,U3412,(J3413-MAX(J$470:J3413))/MAX(J$470:J3413))</f>
        <v>-0.83569785939843477</v>
      </c>
      <c r="V3413" s="564">
        <f>IF((K3413-MAX(K$470:K3413))/MAX(K$470:K3413)&gt;V3412,V3412,(K3413-MAX(K$470:K3413))/MAX(K$470:K3413))</f>
        <v>-0.84885940676762139</v>
      </c>
      <c r="W3413" s="564">
        <f>IF((N3413-MAX(N$470:N3413))/MAX(N$470:N3413)&gt;W3412,W3412,(N3413-MAX(N$470:N3413))/MAX(N$470:N3413))</f>
        <v>-0.62788758315546067</v>
      </c>
      <c r="X3413" s="564">
        <f>IF((O3413-MAX(O$470:O3413))/MAX(O$470:O3413)&gt;X3412,X3412,(O3413-MAX(O$470:O3413))/MAX(O$470:O3413))</f>
        <v>-0.62788758315546067</v>
      </c>
    </row>
    <row r="3414" spans="1:24">
      <c r="A3414" s="799">
        <v>43816</v>
      </c>
      <c r="B3414">
        <v>6743.0579651675998</v>
      </c>
      <c r="C3414">
        <v>7457.6992170000003</v>
      </c>
      <c r="D3414">
        <v>1.1812039999999999</v>
      </c>
      <c r="E3414">
        <f>LN(D3414/参数实验室!$E$53)/参数实验室!$E$55</f>
        <v>-0.49649896367959756</v>
      </c>
      <c r="F3414">
        <f t="shared" si="478"/>
        <v>1.1059817749638221</v>
      </c>
      <c r="G3414">
        <f>LN(F3414/参数实验室!$E$58)/参数实验室!$E$59</f>
        <v>-0.13765967946210936</v>
      </c>
      <c r="H3414" s="856">
        <f>INDEX(神经网络!$G$10:$BO$70,MATCH(ROUND(G3414*2,1)/2,神经网络!$E$10:$E$70,0),MATCH(ROUND(E3414*2,1)/2,神经网络!$G$8:$BO$8,0))</f>
        <v>-0.46075791959905921</v>
      </c>
      <c r="I3414">
        <f t="shared" si="470"/>
        <v>612195.80246773793</v>
      </c>
      <c r="J3414">
        <f t="shared" si="471"/>
        <v>2690.6579805943879</v>
      </c>
      <c r="K3414">
        <f t="shared" si="472"/>
        <v>227.52642917941543</v>
      </c>
      <c r="L3414" s="4">
        <f>MIN(MAX(L3413*(1+MAX(MIN(((B3414-B3413)/B3413)/($K$7*卓尔金历!$N$40),0),-卓尔金历!$M$43))+MIN(MAX(((B3414-B3413)/B3413)/($K$7*卓尔金历!$N$40),0),卓尔金历!$M$43),0),1)</f>
        <v>9.0090174756282462E-2</v>
      </c>
      <c r="M3414" s="4">
        <f>MIN(MAX(M3413*(1+MAX(MIN(((B3414-B3413)/B3413)/($K$7*30),0),-卓尔金历!$M$43))+MIN(MAX(((B3414-B3413)/B3413)/($K$7*7),0),卓尔金历!$M$43),0),1)</f>
        <v>0.52372141043635145</v>
      </c>
      <c r="N3414">
        <f t="shared" si="473"/>
        <v>210982.91012066332</v>
      </c>
      <c r="O3414">
        <f t="shared" si="474"/>
        <v>601046.85938201193</v>
      </c>
      <c r="P3414">
        <f t="shared" si="475"/>
        <v>-4.9500289650318476E-2</v>
      </c>
      <c r="Q3414">
        <f t="shared" si="476"/>
        <v>2.0749874913449234E-2</v>
      </c>
      <c r="R3414">
        <f t="shared" si="477"/>
        <v>2.4055141123213867E-3</v>
      </c>
      <c r="S3414">
        <f t="shared" si="469"/>
        <v>1271.3889581650249</v>
      </c>
      <c r="T3414" s="564">
        <f>IF((I3414-MAX(I$470:I3414))/MAX(I$470:I3414)&gt;T3413,T3413,(I3414-MAX(I$470:I3414))/MAX(I$470:I3414))</f>
        <v>-0.91338805338419748</v>
      </c>
      <c r="U3414" s="564">
        <f>IF((J3414-MAX(J$470:J3414))/MAX(J$470:J3414)&gt;U3413,U3413,(J3414-MAX(J$470:J3414))/MAX(J$470:J3414))</f>
        <v>-0.83569785939843477</v>
      </c>
      <c r="V3414" s="564">
        <f>IF((K3414-MAX(K$470:K3414))/MAX(K$470:K3414)&gt;V3413,V3413,(K3414-MAX(K$470:K3414))/MAX(K$470:K3414))</f>
        <v>-0.84885940676762139</v>
      </c>
      <c r="W3414" s="564">
        <f>IF((N3414-MAX(N$470:N3414))/MAX(N$470:N3414)&gt;W3413,W3413,(N3414-MAX(N$470:N3414))/MAX(N$470:N3414))</f>
        <v>-0.62788758315546067</v>
      </c>
      <c r="X3414" s="564">
        <f>IF((O3414-MAX(O$470:O3414))/MAX(O$470:O3414)&gt;X3413,X3413,(O3414-MAX(O$470:O3414))/MAX(O$470:O3414))</f>
        <v>-0.62788758315546067</v>
      </c>
    </row>
    <row r="3415" spans="1:24">
      <c r="A3415" s="799">
        <v>43817</v>
      </c>
      <c r="B3415">
        <v>6789.8287092488999</v>
      </c>
      <c r="C3415">
        <v>7491.1975380000003</v>
      </c>
      <c r="D3415">
        <v>1.303002</v>
      </c>
      <c r="E3415">
        <f>LN(D3415/参数实验室!$E$53)/参数实验室!$E$55</f>
        <v>-0.38072202003627653</v>
      </c>
      <c r="F3415">
        <f t="shared" si="478"/>
        <v>1.1032969841780718</v>
      </c>
      <c r="G3415">
        <f>LN(F3415/参数实验室!$E$58)/参数实验室!$E$59</f>
        <v>-0.1389353211044875</v>
      </c>
      <c r="H3415" s="856">
        <f>INDEX(神经网络!$G$10:$BO$70,MATCH(ROUND(G3415*2,1)/2,神经网络!$E$10:$E$70,0),MATCH(ROUND(E3415*2,1)/2,神经网络!$G$8:$BO$8,0))</f>
        <v>-0.38990896592980601</v>
      </c>
      <c r="I3415">
        <f t="shared" si="470"/>
        <v>610239.29935846489</v>
      </c>
      <c r="J3415">
        <f t="shared" si="471"/>
        <v>2709.3207410912955</v>
      </c>
      <c r="K3415">
        <f t="shared" si="472"/>
        <v>225.23700870966823</v>
      </c>
      <c r="L3415" s="4">
        <f>MIN(MAX(L3414*(1+MAX(MIN(((B3415-B3414)/B3414)/($K$7*卓尔金历!$N$40),0),-卓尔金历!$M$43))+MIN(MAX(((B3415-B3414)/B3414)/($K$7*卓尔金历!$N$40),0),卓尔金历!$M$43),0),1)</f>
        <v>0.19606762456142829</v>
      </c>
      <c r="M3415" s="4">
        <f>MIN(MAX(M3414*(1+MAX(MIN(((B3415-B3414)/B3414)/($K$7*30),0),-卓尔金历!$M$43))+MIN(MAX(((B3415-B3414)/B3414)/($K$7*7),0),卓尔金历!$M$43),0),1)</f>
        <v>0.75081594573309252</v>
      </c>
      <c r="N3415">
        <f t="shared" si="473"/>
        <v>210922.16450995969</v>
      </c>
      <c r="O3415">
        <f t="shared" si="474"/>
        <v>600040.85735474061</v>
      </c>
      <c r="P3415">
        <f t="shared" si="475"/>
        <v>6.9361325859724557E-3</v>
      </c>
      <c r="Q3415">
        <f t="shared" si="476"/>
        <v>1.9895109042981408E-2</v>
      </c>
      <c r="R3415">
        <f t="shared" si="477"/>
        <v>1</v>
      </c>
      <c r="S3415">
        <f t="shared" ref="S3415:S3478" si="479">S3414*(1+(B3415-B3414)/B3414*H3414*R3414)</f>
        <v>1271.3791840703973</v>
      </c>
      <c r="T3415" s="564">
        <f>IF((I3415-MAX(I$470:I3415))/MAX(I$470:I3415)&gt;T3414,T3414,(I3415-MAX(I$470:I3415))/MAX(I$470:I3415))</f>
        <v>-0.91338805338419748</v>
      </c>
      <c r="U3415" s="564">
        <f>IF((J3415-MAX(J$470:J3415))/MAX(J$470:J3415)&gt;U3414,U3414,(J3415-MAX(J$470:J3415))/MAX(J$470:J3415))</f>
        <v>-0.83569785939843477</v>
      </c>
      <c r="V3415" s="564">
        <f>IF((K3415-MAX(K$470:K3415))/MAX(K$470:K3415)&gt;V3414,V3414,(K3415-MAX(K$470:K3415))/MAX(K$470:K3415))</f>
        <v>-0.84885940676762139</v>
      </c>
      <c r="W3415" s="564">
        <f>IF((N3415-MAX(N$470:N3415))/MAX(N$470:N3415)&gt;W3414,W3414,(N3415-MAX(N$470:N3415))/MAX(N$470:N3415))</f>
        <v>-0.62788758315546067</v>
      </c>
      <c r="X3415" s="564">
        <f>IF((O3415-MAX(O$470:O3415))/MAX(O$470:O3415)&gt;X3414,X3414,(O3415-MAX(O$470:O3415))/MAX(O$470:O3415))</f>
        <v>-0.62788758315546067</v>
      </c>
    </row>
    <row r="3416" spans="1:24">
      <c r="A3416" s="799">
        <v>43818</v>
      </c>
      <c r="B3416">
        <v>7130.5876802998</v>
      </c>
      <c r="C3416">
        <v>7441.6754979999996</v>
      </c>
      <c r="D3416">
        <v>1.2783949999999999</v>
      </c>
      <c r="E3416">
        <f>LN(D3416/参数实验室!$E$53)/参数实验室!$E$55</f>
        <v>-0.40321454437163845</v>
      </c>
      <c r="F3416">
        <f t="shared" si="478"/>
        <v>1.0436272340580939</v>
      </c>
      <c r="G3416">
        <f>LN(F3416/参数实验室!$E$58)/参数实验室!$E$59</f>
        <v>-0.16811751300421379</v>
      </c>
      <c r="H3416" s="856">
        <f>INDEX(神经网络!$G$10:$BO$70,MATCH(ROUND(G3416*2,1)/2,神经网络!$E$10:$E$70,0),MATCH(ROUND(E3416*2,1)/2,神经网络!$G$8:$BO$8,0))</f>
        <v>-0.38990896592980601</v>
      </c>
      <c r="I3416">
        <f t="shared" ref="I3416:I3479" si="480">I3415*(1+(B3416-B3415)/B3415*H3415)</f>
        <v>598297.99206242722</v>
      </c>
      <c r="J3416">
        <f t="shared" ref="J3416:J3479" si="481">J3415*B3416/B3415</f>
        <v>2845.2925582777202</v>
      </c>
      <c r="K3416">
        <f t="shared" ref="K3416:K3479" si="482">I3416/J3416</f>
        <v>210.27644075538655</v>
      </c>
      <c r="L3416" s="4">
        <f>MIN(MAX(L3415*(1+MAX(MIN(((B3416-B3415)/B3415)/($K$7*卓尔金历!$N$40),0),-卓尔金历!$M$43))+MIN(MAX(((B3416-B3415)/B3415)/($K$7*卓尔金历!$N$40),0),卓尔金历!$M$43),0),1)</f>
        <v>0.96287195773164003</v>
      </c>
      <c r="M3416" s="4">
        <f>MIN(MAX(M3415*(1+MAX(MIN(((B3416-B3415)/B3415)/($K$7*30),0),-卓尔金历!$M$43))+MIN(MAX(((B3416-B3415)/B3415)/($K$7*7),0),卓尔金历!$M$43),0),1)</f>
        <v>1</v>
      </c>
      <c r="N3416">
        <f t="shared" ref="N3416:N3479" si="483">N3415*(1+(B3416-B3415)/B3415*H3415*L3415)</f>
        <v>210112.91991288925</v>
      </c>
      <c r="O3416">
        <f t="shared" ref="O3416:O3479" si="484">O3415*(1+(B3416-B3415)/B3415*H3415*M3415)</f>
        <v>591224.97040698538</v>
      </c>
      <c r="P3416">
        <f t="shared" ref="P3416:P3479" si="485">(B3416-B3415)/B3415</f>
        <v>5.0186681526549926E-2</v>
      </c>
      <c r="Q3416">
        <f t="shared" si="476"/>
        <v>2.0679269746172849E-2</v>
      </c>
      <c r="R3416">
        <f t="shared" si="477"/>
        <v>2.2557483213804098E-3</v>
      </c>
      <c r="S3416">
        <f t="shared" si="479"/>
        <v>1246.5005347557253</v>
      </c>
      <c r="T3416" s="564">
        <f>IF((I3416-MAX(I$470:I3416))/MAX(I$470:I3416)&gt;T3415,T3415,(I3416-MAX(I$470:I3416))/MAX(I$470:I3416))</f>
        <v>-0.91338805338419748</v>
      </c>
      <c r="U3416" s="564">
        <f>IF((J3416-MAX(J$470:J3416))/MAX(J$470:J3416)&gt;U3415,U3415,(J3416-MAX(J$470:J3416))/MAX(J$470:J3416))</f>
        <v>-0.83569785939843477</v>
      </c>
      <c r="V3416" s="564">
        <f>IF((K3416-MAX(K$470:K3416))/MAX(K$470:K3416)&gt;V3415,V3415,(K3416-MAX(K$470:K3416))/MAX(K$470:K3416))</f>
        <v>-0.84885940676762139</v>
      </c>
      <c r="W3416" s="564">
        <f>IF((N3416-MAX(N$470:N3416))/MAX(N$470:N3416)&gt;W3415,W3415,(N3416-MAX(N$470:N3416))/MAX(N$470:N3416))</f>
        <v>-0.62788758315546067</v>
      </c>
      <c r="X3416" s="564">
        <f>IF((O3416-MAX(O$470:O3416))/MAX(O$470:O3416)&gt;X3415,X3415,(O3416-MAX(O$470:O3416))/MAX(O$470:O3416))</f>
        <v>-0.62788758315546067</v>
      </c>
    </row>
    <row r="3417" spans="1:24">
      <c r="A3417" s="799">
        <v>43819</v>
      </c>
      <c r="B3417">
        <v>7177.0499759361001</v>
      </c>
      <c r="C3417">
        <v>7372.063314</v>
      </c>
      <c r="D3417">
        <v>1.285072</v>
      </c>
      <c r="E3417">
        <f>LN(D3417/参数实验室!$E$53)/参数实验室!$E$55</f>
        <v>-0.39706878144669511</v>
      </c>
      <c r="F3417">
        <f t="shared" si="478"/>
        <v>1.027171796032877</v>
      </c>
      <c r="G3417">
        <f>LN(F3417/参数实验室!$E$58)/参数实验室!$E$59</f>
        <v>-0.1764591095082578</v>
      </c>
      <c r="H3417" s="856">
        <f>INDEX(神经网络!$G$10:$BO$70,MATCH(ROUND(G3417*2,1)/2,神经网络!$E$10:$E$70,0),MATCH(ROUND(E3417*2,1)/2,神经网络!$G$8:$BO$8,0))</f>
        <v>-0.47127462620209248</v>
      </c>
      <c r="I3417">
        <f t="shared" si="480"/>
        <v>596777.94824749976</v>
      </c>
      <c r="J3417">
        <f t="shared" si="481"/>
        <v>2863.8322397095467</v>
      </c>
      <c r="K3417">
        <f t="shared" si="482"/>
        <v>208.38439485827763</v>
      </c>
      <c r="L3417" s="4">
        <f>MIN(MAX(L3416*(1+MAX(MIN(((B3417-B3416)/B3416)/($K$7*卓尔金历!$N$40),0),-卓尔金历!$M$43))+MIN(MAX(((B3417-B3416)/B3416)/($K$7*卓尔金历!$N$40),0),卓尔金历!$M$43),0),1)</f>
        <v>1</v>
      </c>
      <c r="M3417" s="4">
        <f>MIN(MAX(M3416*(1+MAX(MIN(((B3417-B3416)/B3416)/($K$7*30),0),-卓尔金历!$M$43))+MIN(MAX(((B3417-B3416)/B3416)/($K$7*7),0),卓尔金历!$M$43),0),1)</f>
        <v>1</v>
      </c>
      <c r="N3417">
        <f t="shared" si="483"/>
        <v>209598.92377226855</v>
      </c>
      <c r="O3417">
        <f t="shared" si="484"/>
        <v>589722.89640469791</v>
      </c>
      <c r="P3417">
        <f t="shared" si="485"/>
        <v>6.5159139357706588E-3</v>
      </c>
      <c r="Q3417">
        <f t="shared" si="476"/>
        <v>1.9920721322325943E-2</v>
      </c>
      <c r="R3417">
        <f t="shared" si="477"/>
        <v>1</v>
      </c>
      <c r="S3417">
        <f t="shared" si="479"/>
        <v>1246.4933910809709</v>
      </c>
      <c r="T3417" s="564">
        <f>IF((I3417-MAX(I$470:I3417))/MAX(I$470:I3417)&gt;T3416,T3416,(I3417-MAX(I$470:I3417))/MAX(I$470:I3417))</f>
        <v>-0.91338805338419748</v>
      </c>
      <c r="U3417" s="564">
        <f>IF((J3417-MAX(J$470:J3417))/MAX(J$470:J3417)&gt;U3416,U3416,(J3417-MAX(J$470:J3417))/MAX(J$470:J3417))</f>
        <v>-0.83569785939843477</v>
      </c>
      <c r="V3417" s="564">
        <f>IF((K3417-MAX(K$470:K3417))/MAX(K$470:K3417)&gt;V3416,V3416,(K3417-MAX(K$470:K3417))/MAX(K$470:K3417))</f>
        <v>-0.84885940676762139</v>
      </c>
      <c r="W3417" s="564">
        <f>IF((N3417-MAX(N$470:N3417))/MAX(N$470:N3417)&gt;W3416,W3416,(N3417-MAX(N$470:N3417))/MAX(N$470:N3417))</f>
        <v>-0.62788758315546067</v>
      </c>
      <c r="X3417" s="564">
        <f>IF((O3417-MAX(O$470:O3417))/MAX(O$470:O3417)&gt;X3416,X3416,(O3417-MAX(O$470:O3417))/MAX(O$470:O3417))</f>
        <v>-0.62788758315546067</v>
      </c>
    </row>
    <row r="3418" spans="1:24">
      <c r="A3418" s="799">
        <v>43820</v>
      </c>
      <c r="B3418">
        <v>7137.2632199595</v>
      </c>
      <c r="C3418">
        <v>7178.6780829999998</v>
      </c>
      <c r="D3418">
        <v>1.277315</v>
      </c>
      <c r="E3418">
        <f>LN(D3418/参数实验室!$E$53)/参数实验室!$E$55</f>
        <v>-0.40421163213146521</v>
      </c>
      <c r="F3418">
        <f t="shared" si="478"/>
        <v>1.0058026251469445</v>
      </c>
      <c r="G3418">
        <f>LN(F3418/参数实验室!$E$58)/参数实验室!$E$59</f>
        <v>-0.18749329538929324</v>
      </c>
      <c r="H3418" s="856">
        <f>INDEX(神经网络!$G$10:$BO$70,MATCH(ROUND(G3418*2,1)/2,神经网络!$E$10:$E$70,0),MATCH(ROUND(E3418*2,1)/2,神经网络!$G$8:$BO$8,0))</f>
        <v>-0.47127462620209248</v>
      </c>
      <c r="I3418">
        <f t="shared" si="480"/>
        <v>598337.06768005539</v>
      </c>
      <c r="J3418">
        <f t="shared" si="481"/>
        <v>2847.9562746735942</v>
      </c>
      <c r="K3418">
        <f t="shared" si="482"/>
        <v>210.09348809213412</v>
      </c>
      <c r="L3418" s="4">
        <f>MIN(MAX(L3417*(1+MAX(MIN(((B3418-B3417)/B3417)/($K$7*卓尔金历!$N$40),0),-卓尔金历!$M$43))+MIN(MAX(((B3418-B3417)/B3417)/($K$7*卓尔金历!$N$40),0),卓尔金历!$M$43),0),1)</f>
        <v>0.91529898037951851</v>
      </c>
      <c r="M3418" s="4">
        <f>MIN(MAX(M3417*(1+MAX(MIN(((B3418-B3417)/B3417)/($K$7*30),0),-卓尔金历!$M$43))+MIN(MAX(((B3418-B3417)/B3417)/($K$7*7),0),卓尔金历!$M$43),0),1)</f>
        <v>0.9576494901897592</v>
      </c>
      <c r="N3418">
        <f t="shared" si="483"/>
        <v>210146.51397069285</v>
      </c>
      <c r="O3418">
        <f t="shared" si="484"/>
        <v>591263.58407639829</v>
      </c>
      <c r="P3418">
        <f t="shared" si="485"/>
        <v>-5.5436086010270062E-3</v>
      </c>
      <c r="Q3418">
        <f t="shared" si="476"/>
        <v>1.9491956221425386E-2</v>
      </c>
      <c r="R3418">
        <f t="shared" si="477"/>
        <v>1</v>
      </c>
      <c r="S3418">
        <f t="shared" si="479"/>
        <v>1249.7499324365851</v>
      </c>
      <c r="T3418" s="564">
        <f>IF((I3418-MAX(I$470:I3418))/MAX(I$470:I3418)&gt;T3417,T3417,(I3418-MAX(I$470:I3418))/MAX(I$470:I3418))</f>
        <v>-0.91338805338419748</v>
      </c>
      <c r="U3418" s="564">
        <f>IF((J3418-MAX(J$470:J3418))/MAX(J$470:J3418)&gt;U3417,U3417,(J3418-MAX(J$470:J3418))/MAX(J$470:J3418))</f>
        <v>-0.83569785939843477</v>
      </c>
      <c r="V3418" s="564">
        <f>IF((K3418-MAX(K$470:K3418))/MAX(K$470:K3418)&gt;V3417,V3417,(K3418-MAX(K$470:K3418))/MAX(K$470:K3418))</f>
        <v>-0.84885940676762139</v>
      </c>
      <c r="W3418" s="564">
        <f>IF((N3418-MAX(N$470:N3418))/MAX(N$470:N3418)&gt;W3417,W3417,(N3418-MAX(N$470:N3418))/MAX(N$470:N3418))</f>
        <v>-0.62788758315546067</v>
      </c>
      <c r="X3418" s="564">
        <f>IF((O3418-MAX(O$470:O3418))/MAX(O$470:O3418)&gt;X3417,X3417,(O3418-MAX(O$470:O3418))/MAX(O$470:O3418))</f>
        <v>-0.62788758315546067</v>
      </c>
    </row>
    <row r="3419" spans="1:24">
      <c r="A3419" s="799">
        <v>43821</v>
      </c>
      <c r="B3419">
        <v>7165.6638217456002</v>
      </c>
      <c r="C3419">
        <v>7001.4876000000004</v>
      </c>
      <c r="D3419">
        <v>1.3377220000000001</v>
      </c>
      <c r="E3419">
        <f>LN(D3419/参数实验室!$E$53)/参数实验室!$E$55</f>
        <v>-0.34969765463272362</v>
      </c>
      <c r="F3419">
        <f t="shared" si="478"/>
        <v>0.97708848393816983</v>
      </c>
      <c r="G3419">
        <f>LN(F3419/参数实验室!$E$58)/参数实验室!$E$59</f>
        <v>-0.20269512528694325</v>
      </c>
      <c r="H3419" s="856">
        <f>INDEX(神经网络!$G$10:$BO$70,MATCH(ROUND(G3419*2,1)/2,神经网络!$E$10:$E$70,0),MATCH(ROUND(E3419*2,1)/2,神经网络!$G$8:$BO$8,0))</f>
        <v>-0.43513968992096197</v>
      </c>
      <c r="I3419">
        <f t="shared" si="480"/>
        <v>597215.00841752905</v>
      </c>
      <c r="J3419">
        <f t="shared" si="481"/>
        <v>2859.2888638703939</v>
      </c>
      <c r="K3419">
        <f t="shared" si="482"/>
        <v>208.86837142055182</v>
      </c>
      <c r="L3419" s="4">
        <f>MIN(MAX(L3418*(1+MAX(MIN(((B3419-B3418)/B3418)/($K$7*卓尔金历!$N$40),0),-卓尔金历!$M$43))+MIN(MAX(((B3419-B3418)/B3418)/($K$7*卓尔金历!$N$40),0),卓尔金历!$M$43),0),1)</f>
        <v>0.9760973463497391</v>
      </c>
      <c r="M3419" s="4">
        <f>MIN(MAX(M3418*(1+MAX(MIN(((B3419-B3418)/B3418)/($K$7*30),0),-卓尔金历!$M$43))+MIN(MAX(((B3419-B3418)/B3418)/($K$7*7),0),卓尔金历!$M$43),0),1)</f>
        <v>1</v>
      </c>
      <c r="N3419">
        <f t="shared" si="483"/>
        <v>209785.80656818609</v>
      </c>
      <c r="O3419">
        <f t="shared" si="484"/>
        <v>590201.74769867538</v>
      </c>
      <c r="P3419">
        <f t="shared" si="485"/>
        <v>3.9792005578100781E-3</v>
      </c>
      <c r="Q3419">
        <f t="shared" si="476"/>
        <v>1.8719005430158465E-2</v>
      </c>
      <c r="R3419">
        <f t="shared" si="477"/>
        <v>1</v>
      </c>
      <c r="S3419">
        <f t="shared" si="479"/>
        <v>1247.4062810680191</v>
      </c>
      <c r="T3419" s="564">
        <f>IF((I3419-MAX(I$470:I3419))/MAX(I$470:I3419)&gt;T3418,T3418,(I3419-MAX(I$470:I3419))/MAX(I$470:I3419))</f>
        <v>-0.91338805338419748</v>
      </c>
      <c r="U3419" s="564">
        <f>IF((J3419-MAX(J$470:J3419))/MAX(J$470:J3419)&gt;U3418,U3418,(J3419-MAX(J$470:J3419))/MAX(J$470:J3419))</f>
        <v>-0.83569785939843477</v>
      </c>
      <c r="V3419" s="564">
        <f>IF((K3419-MAX(K$470:K3419))/MAX(K$470:K3419)&gt;V3418,V3418,(K3419-MAX(K$470:K3419))/MAX(K$470:K3419))</f>
        <v>-0.84885940676762139</v>
      </c>
      <c r="W3419" s="564">
        <f>IF((N3419-MAX(N$470:N3419))/MAX(N$470:N3419)&gt;W3418,W3418,(N3419-MAX(N$470:N3419))/MAX(N$470:N3419))</f>
        <v>-0.62788758315546067</v>
      </c>
      <c r="X3419" s="564">
        <f>IF((O3419-MAX(O$470:O3419))/MAX(O$470:O3419)&gt;X3418,X3418,(O3419-MAX(O$470:O3419))/MAX(O$470:O3419))</f>
        <v>-0.62788758315546067</v>
      </c>
    </row>
    <row r="3420" spans="1:24">
      <c r="A3420" s="799">
        <v>43822</v>
      </c>
      <c r="B3420">
        <v>7567.4694744034005</v>
      </c>
      <c r="C3420">
        <v>7149.0818470000004</v>
      </c>
      <c r="D3420">
        <v>1.309741</v>
      </c>
      <c r="E3420">
        <f>LN(D3420/参数实验室!$E$53)/参数实验室!$E$55</f>
        <v>-0.37463617482178019</v>
      </c>
      <c r="F3420">
        <f t="shared" si="478"/>
        <v>0.9447123468659403</v>
      </c>
      <c r="G3420">
        <f>LN(F3420/参数实验室!$E$58)/参数实验室!$E$59</f>
        <v>-0.22038098953922916</v>
      </c>
      <c r="H3420" s="856">
        <f>INDEX(神经网络!$G$10:$BO$70,MATCH(ROUND(G3420*2,1)/2,神经网络!$E$10:$E$70,0),MATCH(ROUND(E3420*2,1)/2,神经网络!$G$8:$BO$8,0))</f>
        <v>-0.43513968992096197</v>
      </c>
      <c r="I3420">
        <f t="shared" si="480"/>
        <v>582643.01306402532</v>
      </c>
      <c r="J3420">
        <f t="shared" si="481"/>
        <v>3019.6199171634789</v>
      </c>
      <c r="K3420">
        <f t="shared" si="482"/>
        <v>192.95243409685116</v>
      </c>
      <c r="L3420" s="4">
        <f>MIN(MAX(L3419*(1+MAX(MIN(((B3420-B3419)/B3419)/($K$7*卓尔金历!$N$40),0),-卓尔金历!$M$43))+MIN(MAX(((B3420-B3419)/B3419)/($K$7*卓尔金历!$N$40),0),卓尔金历!$M$43),0),1)</f>
        <v>1</v>
      </c>
      <c r="M3420" s="4">
        <f>MIN(MAX(M3419*(1+MAX(MIN(((B3420-B3419)/B3419)/($K$7*30),0),-卓尔金历!$M$43))+MIN(MAX(((B3420-B3419)/B3419)/($K$7*7),0),卓尔金历!$M$43),0),1)</f>
        <v>1</v>
      </c>
      <c r="N3420">
        <f t="shared" si="483"/>
        <v>204789.40259826387</v>
      </c>
      <c r="O3420">
        <f t="shared" si="484"/>
        <v>575800.87530954392</v>
      </c>
      <c r="P3420">
        <f t="shared" si="485"/>
        <v>5.6073751525775303E-2</v>
      </c>
      <c r="Q3420">
        <f t="shared" si="476"/>
        <v>2.216526399028999E-2</v>
      </c>
      <c r="R3420">
        <f t="shared" si="477"/>
        <v>1.3451208228353196E-3</v>
      </c>
      <c r="S3420">
        <f t="shared" si="479"/>
        <v>1216.9696740245697</v>
      </c>
      <c r="T3420" s="564">
        <f>IF((I3420-MAX(I$470:I3420))/MAX(I$470:I3420)&gt;T3419,T3419,(I3420-MAX(I$470:I3420))/MAX(I$470:I3420))</f>
        <v>-0.91338805338419748</v>
      </c>
      <c r="U3420" s="564">
        <f>IF((J3420-MAX(J$470:J3420))/MAX(J$470:J3420)&gt;U3419,U3419,(J3420-MAX(J$470:J3420))/MAX(J$470:J3420))</f>
        <v>-0.83569785939843477</v>
      </c>
      <c r="V3420" s="564">
        <f>IF((K3420-MAX(K$470:K3420))/MAX(K$470:K3420)&gt;V3419,V3419,(K3420-MAX(K$470:K3420))/MAX(K$470:K3420))</f>
        <v>-0.84885940676762139</v>
      </c>
      <c r="W3420" s="564">
        <f>IF((N3420-MAX(N$470:N3420))/MAX(N$470:N3420)&gt;W3419,W3419,(N3420-MAX(N$470:N3420))/MAX(N$470:N3420))</f>
        <v>-0.62788758315546067</v>
      </c>
      <c r="X3420" s="564">
        <f>IF((O3420-MAX(O$470:O3420))/MAX(O$470:O3420)&gt;X3419,X3419,(O3420-MAX(O$470:O3420))/MAX(O$470:O3420))</f>
        <v>-0.62788758315546067</v>
      </c>
    </row>
    <row r="3421" spans="1:24">
      <c r="A3421" s="799">
        <v>43823</v>
      </c>
      <c r="B3421">
        <v>7267.6496312783001</v>
      </c>
      <c r="C3421">
        <v>7180.6096829999997</v>
      </c>
      <c r="D3421">
        <v>1.294308</v>
      </c>
      <c r="E3421">
        <f>LN(D3421/参数实验室!$E$53)/参数实验室!$E$55</f>
        <v>-0.38862004761914237</v>
      </c>
      <c r="F3421">
        <f t="shared" si="478"/>
        <v>0.98802364551206479</v>
      </c>
      <c r="G3421">
        <f>LN(F3421/参数实验室!$E$58)/参数实验室!$E$59</f>
        <v>-0.19685380669821728</v>
      </c>
      <c r="H3421" s="856">
        <f>INDEX(神经网络!$G$10:$BO$70,MATCH(ROUND(G3421*2,1)/2,神经网络!$E$10:$E$70,0),MATCH(ROUND(E3421*2,1)/2,神经网络!$G$8:$BO$8,0))</f>
        <v>-0.47127462620209248</v>
      </c>
      <c r="I3421">
        <f t="shared" si="480"/>
        <v>592687.80477388669</v>
      </c>
      <c r="J3421">
        <f t="shared" si="481"/>
        <v>2899.9838918152886</v>
      </c>
      <c r="K3421">
        <f t="shared" si="482"/>
        <v>204.37624031176424</v>
      </c>
      <c r="L3421" s="4">
        <f>MIN(MAX(L3420*(1+MAX(MIN(((B3421-B3420)/B3420)/($K$7*卓尔金历!$N$40),0),-卓尔金历!$M$43))+MIN(MAX(((B3421-B3420)/B3420)/($K$7*卓尔金历!$N$40),0),卓尔金历!$M$43),0),1)</f>
        <v>0.39465107816207834</v>
      </c>
      <c r="M3421" s="4">
        <f>MIN(MAX(M3420*(1+MAX(MIN(((B3421-B3420)/B3420)/($K$7*30),0),-卓尔金历!$M$43))+MIN(MAX(((B3421-B3420)/B3420)/($K$7*7),0),卓尔金历!$M$43),0),1)</f>
        <v>0.69732553908103911</v>
      </c>
      <c r="N3421">
        <f t="shared" si="483"/>
        <v>208319.98109549619</v>
      </c>
      <c r="O3421">
        <f t="shared" si="484"/>
        <v>585727.70825725945</v>
      </c>
      <c r="P3421">
        <f t="shared" si="485"/>
        <v>-3.9619564259786764E-2</v>
      </c>
      <c r="Q3421">
        <f t="shared" si="476"/>
        <v>2.3844192517348203E-2</v>
      </c>
      <c r="R3421">
        <f t="shared" si="477"/>
        <v>1.0910134023014601E-2</v>
      </c>
      <c r="S3421">
        <f t="shared" si="479"/>
        <v>1216.9978954824185</v>
      </c>
      <c r="T3421" s="564">
        <f>IF((I3421-MAX(I$470:I3421))/MAX(I$470:I3421)&gt;T3420,T3420,(I3421-MAX(I$470:I3421))/MAX(I$470:I3421))</f>
        <v>-0.91338805338419748</v>
      </c>
      <c r="U3421" s="564">
        <f>IF((J3421-MAX(J$470:J3421))/MAX(J$470:J3421)&gt;U3420,U3420,(J3421-MAX(J$470:J3421))/MAX(J$470:J3421))</f>
        <v>-0.83569785939843477</v>
      </c>
      <c r="V3421" s="564">
        <f>IF((K3421-MAX(K$470:K3421))/MAX(K$470:K3421)&gt;V3420,V3420,(K3421-MAX(K$470:K3421))/MAX(K$470:K3421))</f>
        <v>-0.84885940676762139</v>
      </c>
      <c r="W3421" s="564">
        <f>IF((N3421-MAX(N$470:N3421))/MAX(N$470:N3421)&gt;W3420,W3420,(N3421-MAX(N$470:N3421))/MAX(N$470:N3421))</f>
        <v>-0.62788758315546067</v>
      </c>
      <c r="X3421" s="564">
        <f>IF((O3421-MAX(O$470:O3421))/MAX(O$470:O3421)&gt;X3420,X3420,(O3421-MAX(O$470:O3421))/MAX(O$470:O3421))</f>
        <v>-0.62788758315546067</v>
      </c>
    </row>
    <row r="3422" spans="1:24">
      <c r="A3422" s="799">
        <v>43824</v>
      </c>
      <c r="B3422">
        <v>7185.2457521233</v>
      </c>
      <c r="C3422">
        <v>7167.8135609999999</v>
      </c>
      <c r="D3422">
        <v>1.288524</v>
      </c>
      <c r="E3422">
        <f>LN(D3422/参数实验室!$E$53)/参数实验室!$E$55</f>
        <v>-0.39390394077977692</v>
      </c>
      <c r="F3422">
        <f t="shared" si="478"/>
        <v>0.99757389075827385</v>
      </c>
      <c r="G3422">
        <f>LN(F3422/参数实验室!$E$58)/参数实验室!$E$59</f>
        <v>-0.19180492504779073</v>
      </c>
      <c r="H3422" s="856">
        <f>INDEX(神经网络!$G$10:$BO$70,MATCH(ROUND(G3422*2,1)/2,神经网络!$E$10:$E$70,0),MATCH(ROUND(E3422*2,1)/2,神经网络!$G$8:$BO$8,0))</f>
        <v>-0.47127462620209248</v>
      </c>
      <c r="I3422">
        <f t="shared" si="480"/>
        <v>595854.84604817571</v>
      </c>
      <c r="J3422">
        <f t="shared" si="481"/>
        <v>2867.1025705771094</v>
      </c>
      <c r="K3422">
        <f t="shared" si="482"/>
        <v>207.82473991791585</v>
      </c>
      <c r="L3422" s="4">
        <f>MIN(MAX(L3421*(1+MAX(MIN(((B3422-B3421)/B3421)/($K$7*卓尔金历!$N$40),0),-卓尔金历!$M$43))+MIN(MAX(((B3422-B3421)/B3421)/($K$7*卓尔金历!$N$40),0),卓尔金历!$M$43),0),1)</f>
        <v>0.32628147698681409</v>
      </c>
      <c r="M3422" s="4">
        <f>MIN(MAX(M3421*(1+MAX(MIN(((B3422-B3421)/B3421)/($K$7*30),0),-卓尔金历!$M$43))+MIN(MAX(((B3422-B3421)/B3421)/($K$7*7),0),卓尔金历!$M$43),0),1)</f>
        <v>0.63692298143654069</v>
      </c>
      <c r="N3422">
        <f t="shared" si="483"/>
        <v>208759.29196945016</v>
      </c>
      <c r="O3422">
        <f t="shared" si="484"/>
        <v>587910.23248018464</v>
      </c>
      <c r="P3422">
        <f t="shared" si="485"/>
        <v>-1.133844961379986E-2</v>
      </c>
      <c r="Q3422">
        <f t="shared" si="476"/>
        <v>2.3717636272070165E-2</v>
      </c>
      <c r="R3422">
        <f t="shared" si="477"/>
        <v>0.77946101522532862</v>
      </c>
      <c r="S3422">
        <f t="shared" si="479"/>
        <v>1217.068844705628</v>
      </c>
      <c r="T3422" s="564">
        <f>IF((I3422-MAX(I$470:I3422))/MAX(I$470:I3422)&gt;T3421,T3421,(I3422-MAX(I$470:I3422))/MAX(I$470:I3422))</f>
        <v>-0.91338805338419748</v>
      </c>
      <c r="U3422" s="564">
        <f>IF((J3422-MAX(J$470:J3422))/MAX(J$470:J3422)&gt;U3421,U3421,(J3422-MAX(J$470:J3422))/MAX(J$470:J3422))</f>
        <v>-0.83569785939843477</v>
      </c>
      <c r="V3422" s="564">
        <f>IF((K3422-MAX(K$470:K3422))/MAX(K$470:K3422)&gt;V3421,V3421,(K3422-MAX(K$470:K3422))/MAX(K$470:K3422))</f>
        <v>-0.84885940676762139</v>
      </c>
      <c r="W3422" s="564">
        <f>IF((N3422-MAX(N$470:N3422))/MAX(N$470:N3422)&gt;W3421,W3421,(N3422-MAX(N$470:N3422))/MAX(N$470:N3422))</f>
        <v>-0.62788758315546067</v>
      </c>
      <c r="X3422" s="564">
        <f>IF((O3422-MAX(O$470:O3422))/MAX(O$470:O3422)&gt;X3421,X3421,(O3422-MAX(O$470:O3422))/MAX(O$470:O3422))</f>
        <v>-0.62788758315546067</v>
      </c>
    </row>
    <row r="3423" spans="1:24">
      <c r="A3423" s="799">
        <v>43825</v>
      </c>
      <c r="B3423">
        <v>7199.5518239716002</v>
      </c>
      <c r="C3423">
        <v>6953.0182649999997</v>
      </c>
      <c r="D3423">
        <v>1.28945</v>
      </c>
      <c r="E3423">
        <f>LN(D3423/参数实验室!$E$53)/参数实验室!$E$55</f>
        <v>-0.3930564135736051</v>
      </c>
      <c r="F3423">
        <f t="shared" si="478"/>
        <v>0.96575709641387075</v>
      </c>
      <c r="G3423">
        <f>LN(F3423/参数实验室!$E$58)/参数实验室!$E$59</f>
        <v>-0.20881747700969017</v>
      </c>
      <c r="H3423" s="856">
        <f>INDEX(神经网络!$G$10:$BO$70,MATCH(ROUND(G3423*2,1)/2,神经网络!$E$10:$E$70,0),MATCH(ROUND(E3423*2,1)/2,神经网络!$G$8:$BO$8,0))</f>
        <v>-0.47127462620209248</v>
      </c>
      <c r="I3423">
        <f t="shared" si="480"/>
        <v>595295.74113502982</v>
      </c>
      <c r="J3423">
        <f t="shared" si="481"/>
        <v>2872.8110705764311</v>
      </c>
      <c r="K3423">
        <f t="shared" si="482"/>
        <v>207.21715647509788</v>
      </c>
      <c r="L3423" s="4">
        <f>MIN(MAX(L3422*(1+MAX(MIN(((B3423-B3422)/B3422)/($K$7*卓尔金历!$N$40),0),-卓尔金历!$M$43))+MIN(MAX(((B3423-B3422)/B3422)/($K$7*卓尔金历!$N$40),0),卓尔金历!$M$43),0),1)</f>
        <v>0.35670257278124567</v>
      </c>
      <c r="M3423" s="4">
        <f>MIN(MAX(M3422*(1+MAX(MIN(((B3423-B3422)/B3422)/($K$7*30),0),-卓尔金历!$M$43))+MIN(MAX(((B3423-B3422)/B3422)/($K$7*7),0),卓尔金历!$M$43),0),1)</f>
        <v>0.70211104385317991</v>
      </c>
      <c r="N3423">
        <f t="shared" si="483"/>
        <v>208695.37869507927</v>
      </c>
      <c r="O3423">
        <f t="shared" si="484"/>
        <v>587558.87373186101</v>
      </c>
      <c r="P3423">
        <f t="shared" si="485"/>
        <v>1.9910344533550116E-3</v>
      </c>
      <c r="Q3423">
        <f t="shared" si="476"/>
        <v>2.3561183056017187E-2</v>
      </c>
      <c r="R3423">
        <f t="shared" si="477"/>
        <v>1</v>
      </c>
      <c r="S3423">
        <f t="shared" si="479"/>
        <v>1216.1786963848579</v>
      </c>
      <c r="T3423" s="564">
        <f>IF((I3423-MAX(I$470:I3423))/MAX(I$470:I3423)&gt;T3422,T3422,(I3423-MAX(I$470:I3423))/MAX(I$470:I3423))</f>
        <v>-0.91338805338419748</v>
      </c>
      <c r="U3423" s="564">
        <f>IF((J3423-MAX(J$470:J3423))/MAX(J$470:J3423)&gt;U3422,U3422,(J3423-MAX(J$470:J3423))/MAX(J$470:J3423))</f>
        <v>-0.83569785939843477</v>
      </c>
      <c r="V3423" s="564">
        <f>IF((K3423-MAX(K$470:K3423))/MAX(K$470:K3423)&gt;V3422,V3422,(K3423-MAX(K$470:K3423))/MAX(K$470:K3423))</f>
        <v>-0.84885940676762139</v>
      </c>
      <c r="W3423" s="564">
        <f>IF((N3423-MAX(N$470:N3423))/MAX(N$470:N3423)&gt;W3422,W3422,(N3423-MAX(N$470:N3423))/MAX(N$470:N3423))</f>
        <v>-0.62788758315546067</v>
      </c>
      <c r="X3423" s="564">
        <f>IF((O3423-MAX(O$470:O3423))/MAX(O$470:O3423)&gt;X3422,X3422,(O3423-MAX(O$470:O3423))/MAX(O$470:O3423))</f>
        <v>-0.62788758315546067</v>
      </c>
    </row>
    <row r="3424" spans="1:24">
      <c r="A3424" s="799">
        <v>43826</v>
      </c>
      <c r="B3424">
        <v>7232.7149285183004</v>
      </c>
      <c r="C3424">
        <v>6926.8955109999997</v>
      </c>
      <c r="D3424">
        <v>1.2974300000000001</v>
      </c>
      <c r="E3424">
        <f>LN(D3424/参数实验室!$E$53)/参数实验室!$E$55</f>
        <v>-0.38577779164327963</v>
      </c>
      <c r="F3424">
        <f t="shared" si="478"/>
        <v>0.95771720293959506</v>
      </c>
      <c r="G3424">
        <f>LN(F3424/参数实验室!$E$58)/参数实验室!$E$59</f>
        <v>-0.21320515733658726</v>
      </c>
      <c r="H3424" s="856">
        <f>INDEX(神经网络!$G$10:$BO$70,MATCH(ROUND(G3424*2,1)/2,神经网络!$E$10:$E$70,0),MATCH(ROUND(E3424*2,1)/2,神经网络!$G$8:$BO$8,0))</f>
        <v>-0.47127462620209248</v>
      </c>
      <c r="I3424">
        <f t="shared" si="480"/>
        <v>594003.46134932095</v>
      </c>
      <c r="J3424">
        <f t="shared" si="481"/>
        <v>2886.0440239887853</v>
      </c>
      <c r="K3424">
        <f t="shared" si="482"/>
        <v>205.81926554548951</v>
      </c>
      <c r="L3424" s="4">
        <f>MIN(MAX(L3423*(1+MAX(MIN(((B3424-B3423)/B3423)/($K$7*卓尔金历!$N$40),0),-卓尔金历!$M$43))+MIN(MAX(((B3424-B3423)/B3423)/($K$7*卓尔金历!$N$40),0),卓尔金历!$M$43),0),1)</f>
        <v>0.42708201105902055</v>
      </c>
      <c r="M3424" s="4">
        <f>MIN(MAX(M3423*(1+MAX(MIN(((B3424-B3423)/B3423)/($K$7*30),0),-卓尔金历!$M$43))+MIN(MAX(((B3424-B3423)/B3423)/($K$7*7),0),卓尔金历!$M$43),0),1)</f>
        <v>0.85292412587698319</v>
      </c>
      <c r="N3424">
        <f t="shared" si="483"/>
        <v>208533.77813951889</v>
      </c>
      <c r="O3424">
        <f t="shared" si="484"/>
        <v>586663.34201977693</v>
      </c>
      <c r="P3424">
        <f t="shared" si="485"/>
        <v>4.606273467784543E-3</v>
      </c>
      <c r="Q3424">
        <f t="shared" si="476"/>
        <v>2.3452478666647795E-2</v>
      </c>
      <c r="R3424">
        <f t="shared" si="477"/>
        <v>1</v>
      </c>
      <c r="S3424">
        <f t="shared" si="479"/>
        <v>1213.538591582241</v>
      </c>
      <c r="T3424" s="564">
        <f>IF((I3424-MAX(I$470:I3424))/MAX(I$470:I3424)&gt;T3423,T3423,(I3424-MAX(I$470:I3424))/MAX(I$470:I3424))</f>
        <v>-0.91338805338419748</v>
      </c>
      <c r="U3424" s="564">
        <f>IF((J3424-MAX(J$470:J3424))/MAX(J$470:J3424)&gt;U3423,U3423,(J3424-MAX(J$470:J3424))/MAX(J$470:J3424))</f>
        <v>-0.83569785939843477</v>
      </c>
      <c r="V3424" s="564">
        <f>IF((K3424-MAX(K$470:K3424))/MAX(K$470:K3424)&gt;V3423,V3423,(K3424-MAX(K$470:K3424))/MAX(K$470:K3424))</f>
        <v>-0.84885940676762139</v>
      </c>
      <c r="W3424" s="564">
        <f>IF((N3424-MAX(N$470:N3424))/MAX(N$470:N3424)&gt;W3423,W3423,(N3424-MAX(N$470:N3424))/MAX(N$470:N3424))</f>
        <v>-0.62788758315546067</v>
      </c>
      <c r="X3424" s="564">
        <f>IF((O3424-MAX(O$470:O3424))/MAX(O$470:O3424)&gt;X3423,X3423,(O3424-MAX(O$470:O3424))/MAX(O$470:O3424))</f>
        <v>-0.62788758315546067</v>
      </c>
    </row>
    <row r="3425" spans="1:24">
      <c r="A3425" s="799">
        <v>43827</v>
      </c>
      <c r="B3425">
        <v>7303.9413359583996</v>
      </c>
      <c r="C3425">
        <v>6995.5234849999997</v>
      </c>
      <c r="D3425">
        <v>1.309912</v>
      </c>
      <c r="E3425">
        <f>LN(D3425/参数实验室!$E$53)/参数实验室!$E$55</f>
        <v>-0.37448215609868524</v>
      </c>
      <c r="F3425">
        <f t="shared" si="478"/>
        <v>0.95777377763975013</v>
      </c>
      <c r="G3425">
        <f>LN(F3425/参数实验室!$E$58)/参数实验室!$E$59</f>
        <v>-0.21317415383887078</v>
      </c>
      <c r="H3425" s="856">
        <f>INDEX(神经网络!$G$10:$BO$70,MATCH(ROUND(G3425*2,1)/2,神经网络!$E$10:$E$70,0),MATCH(ROUND(E3425*2,1)/2,神经网络!$G$8:$BO$8,0))</f>
        <v>-0.43513968992096197</v>
      </c>
      <c r="I3425">
        <f t="shared" si="480"/>
        <v>591246.67744191724</v>
      </c>
      <c r="J3425">
        <f t="shared" si="481"/>
        <v>2914.4652391997101</v>
      </c>
      <c r="K3425">
        <f t="shared" si="482"/>
        <v>202.86626496333477</v>
      </c>
      <c r="L3425" s="4">
        <f>MIN(MAX(L3424*(1+MAX(MIN(((B3425-B3424)/B3424)/($K$7*卓尔金历!$N$40),0),-卓尔金历!$M$43))+MIN(MAX(((B3425-B3424)/B3424)/($K$7*卓尔金历!$N$40),0),卓尔金历!$M$43),0),1)</f>
        <v>0.57754710826942912</v>
      </c>
      <c r="M3425" s="4">
        <f>MIN(MAX(M3424*(1+MAX(MIN(((B3425-B3424)/B3424)/($K$7*30),0),-卓尔金历!$M$43))+MIN(MAX(((B3425-B3424)/B3424)/($K$7*7),0),卓尔金历!$M$43),0),1)</f>
        <v>1</v>
      </c>
      <c r="N3425">
        <f t="shared" si="483"/>
        <v>208120.44384533688</v>
      </c>
      <c r="O3425">
        <f t="shared" si="484"/>
        <v>584341.06994275481</v>
      </c>
      <c r="P3425">
        <f t="shared" si="485"/>
        <v>9.8478106968181919E-3</v>
      </c>
      <c r="Q3425">
        <f t="shared" si="476"/>
        <v>2.333331250941887E-2</v>
      </c>
      <c r="R3425">
        <f t="shared" si="477"/>
        <v>0.90631625295761531</v>
      </c>
      <c r="S3425">
        <f t="shared" si="479"/>
        <v>1207.9065306971279</v>
      </c>
      <c r="T3425" s="564">
        <f>IF((I3425-MAX(I$470:I3425))/MAX(I$470:I3425)&gt;T3424,T3424,(I3425-MAX(I$470:I3425))/MAX(I$470:I3425))</f>
        <v>-0.91338805338419748</v>
      </c>
      <c r="U3425" s="564">
        <f>IF((J3425-MAX(J$470:J3425))/MAX(J$470:J3425)&gt;U3424,U3424,(J3425-MAX(J$470:J3425))/MAX(J$470:J3425))</f>
        <v>-0.83569785939843477</v>
      </c>
      <c r="V3425" s="564">
        <f>IF((K3425-MAX(K$470:K3425))/MAX(K$470:K3425)&gt;V3424,V3424,(K3425-MAX(K$470:K3425))/MAX(K$470:K3425))</f>
        <v>-0.84885940676762139</v>
      </c>
      <c r="W3425" s="564">
        <f>IF((N3425-MAX(N$470:N3425))/MAX(N$470:N3425)&gt;W3424,W3424,(N3425-MAX(N$470:N3425))/MAX(N$470:N3425))</f>
        <v>-0.62788758315546067</v>
      </c>
      <c r="X3425" s="564">
        <f>IF((O3425-MAX(O$470:O3425))/MAX(O$470:O3425)&gt;X3424,X3424,(O3425-MAX(O$470:O3425))/MAX(O$470:O3425))</f>
        <v>-0.62788758315546067</v>
      </c>
    </row>
    <row r="3426" spans="1:24">
      <c r="A3426" s="799">
        <v>43828</v>
      </c>
      <c r="B3426">
        <v>7390.2339198907002</v>
      </c>
      <c r="C3426">
        <v>6908.0002619999996</v>
      </c>
      <c r="D3426">
        <v>1.326638</v>
      </c>
      <c r="E3426">
        <f>LN(D3426/参数实验室!$E$53)/参数实验室!$E$55</f>
        <v>-0.35951349062493615</v>
      </c>
      <c r="F3426">
        <f t="shared" si="478"/>
        <v>0.93474717267165575</v>
      </c>
      <c r="G3426">
        <f>LN(F3426/参数实验室!$E$58)/参数实验室!$E$59</f>
        <v>-0.22594675025367381</v>
      </c>
      <c r="H3426" s="856">
        <f>INDEX(神经网络!$G$10:$BO$70,MATCH(ROUND(G3426*2,1)/2,神经网络!$E$10:$E$70,0),MATCH(ROUND(E3426*2,1)/2,神经网络!$G$8:$BO$8,0))</f>
        <v>-0.51075529571207356</v>
      </c>
      <c r="I3426">
        <f t="shared" si="480"/>
        <v>588207.09723090625</v>
      </c>
      <c r="J3426">
        <f t="shared" si="481"/>
        <v>2948.8982562111228</v>
      </c>
      <c r="K3426">
        <f t="shared" si="482"/>
        <v>199.46673168258479</v>
      </c>
      <c r="L3426" s="4">
        <f>MIN(MAX(L3425*(1+MAX(MIN(((B3426-B3425)/B3425)/($K$7*卓尔金历!$N$40),0),-卓尔金历!$M$43))+MIN(MAX(((B3426-B3425)/B3425)/($K$7*卓尔金历!$N$40),0),卓尔金历!$M$43),0),1)</f>
        <v>0.75806168431024301</v>
      </c>
      <c r="M3426" s="4">
        <f>MIN(MAX(M3425*(1+MAX(MIN(((B3426-B3425)/B3425)/($K$7*30),0),-卓尔金历!$M$43))+MIN(MAX(((B3426-B3425)/B3425)/($K$7*7),0),卓尔金历!$M$43),0),1)</f>
        <v>1</v>
      </c>
      <c r="N3426">
        <f t="shared" si="483"/>
        <v>207502.5027870003</v>
      </c>
      <c r="O3426">
        <f t="shared" si="484"/>
        <v>581336.99123847578</v>
      </c>
      <c r="P3426">
        <f t="shared" si="485"/>
        <v>1.1814523140741742E-2</v>
      </c>
      <c r="Q3426">
        <f t="shared" si="476"/>
        <v>2.349198428857005E-2</v>
      </c>
      <c r="R3426">
        <f t="shared" si="477"/>
        <v>0.7267007111846322</v>
      </c>
      <c r="S3426">
        <f t="shared" si="479"/>
        <v>1202.2784801046544</v>
      </c>
      <c r="T3426" s="564">
        <f>IF((I3426-MAX(I$470:I3426))/MAX(I$470:I3426)&gt;T3425,T3425,(I3426-MAX(I$470:I3426))/MAX(I$470:I3426))</f>
        <v>-0.91338805338419748</v>
      </c>
      <c r="U3426" s="564">
        <f>IF((J3426-MAX(J$470:J3426))/MAX(J$470:J3426)&gt;U3425,U3425,(J3426-MAX(J$470:J3426))/MAX(J$470:J3426))</f>
        <v>-0.83569785939843477</v>
      </c>
      <c r="V3426" s="564">
        <f>IF((K3426-MAX(K$470:K3426))/MAX(K$470:K3426)&gt;V3425,V3425,(K3426-MAX(K$470:K3426))/MAX(K$470:K3426))</f>
        <v>-0.84885940676762139</v>
      </c>
      <c r="W3426" s="564">
        <f>IF((N3426-MAX(N$470:N3426))/MAX(N$470:N3426)&gt;W3425,W3425,(N3426-MAX(N$470:N3426))/MAX(N$470:N3426))</f>
        <v>-0.62788758315546067</v>
      </c>
      <c r="X3426" s="564">
        <f>IF((O3426-MAX(O$470:O3426))/MAX(O$470:O3426)&gt;X3425,X3425,(O3426-MAX(O$470:O3426))/MAX(O$470:O3426))</f>
        <v>-0.62788758315546067</v>
      </c>
    </row>
    <row r="3427" spans="1:24">
      <c r="A3427" s="799">
        <v>43829</v>
      </c>
      <c r="B3427">
        <v>7279.6591243835001</v>
      </c>
      <c r="C3427">
        <v>6726.1585910000003</v>
      </c>
      <c r="D3427">
        <v>1.2975159999999999</v>
      </c>
      <c r="E3427">
        <f>LN(D3427/参数实验室!$E$53)/参数实验室!$E$55</f>
        <v>-0.38569959442528856</v>
      </c>
      <c r="F3427">
        <f t="shared" si="478"/>
        <v>0.92396614677608624</v>
      </c>
      <c r="G3427">
        <f>LN(F3427/参数实验室!$E$58)/参数实验室!$E$59</f>
        <v>-0.23203540139523449</v>
      </c>
      <c r="H3427" s="856">
        <f>INDEX(神经网络!$G$10:$BO$70,MATCH(ROUND(G3427*2,1)/2,神经网络!$E$10:$E$70,0),MATCH(ROUND(E3427*2,1)/2,神经网络!$G$8:$BO$8,0))</f>
        <v>-0.54697219397271091</v>
      </c>
      <c r="I3427">
        <f t="shared" si="480"/>
        <v>592702.21524726518</v>
      </c>
      <c r="J3427">
        <f t="shared" si="481"/>
        <v>2904.7759963223716</v>
      </c>
      <c r="K3427">
        <f t="shared" si="482"/>
        <v>204.04403506420576</v>
      </c>
      <c r="L3427" s="4">
        <f>MIN(MAX(L3426*(1+MAX(MIN(((B3427-B3426)/B3426)/($K$7*卓尔金历!$N$40),0),-卓尔金历!$M$43))+MIN(MAX(((B3427-B3426)/B3426)/($K$7*卓尔金历!$N$40),0),卓尔金历!$M$43),0),1)</f>
        <v>0.58476167571760429</v>
      </c>
      <c r="M3427" s="4">
        <f>MIN(MAX(M3426*(1+MAX(MIN(((B3427-B3426)/B3426)/($K$7*30),0),-卓尔金历!$M$43))+MIN(MAX(((B3427-B3426)/B3426)/($K$7*7),0),卓尔金历!$M$43),0),1)</f>
        <v>0.88569531201783158</v>
      </c>
      <c r="N3427">
        <f t="shared" si="483"/>
        <v>208704.59760055874</v>
      </c>
      <c r="O3427">
        <f t="shared" si="484"/>
        <v>585779.60744490032</v>
      </c>
      <c r="P3427">
        <f t="shared" si="485"/>
        <v>-1.496228626939532E-2</v>
      </c>
      <c r="Q3427">
        <f t="shared" si="476"/>
        <v>2.3667700415715216E-2</v>
      </c>
      <c r="R3427">
        <f t="shared" si="477"/>
        <v>0.49284338334222599</v>
      </c>
      <c r="S3427">
        <f t="shared" si="479"/>
        <v>1208.9553282169161</v>
      </c>
      <c r="T3427" s="564">
        <f>IF((I3427-MAX(I$470:I3427))/MAX(I$470:I3427)&gt;T3426,T3426,(I3427-MAX(I$470:I3427))/MAX(I$470:I3427))</f>
        <v>-0.91338805338419748</v>
      </c>
      <c r="U3427" s="564">
        <f>IF((J3427-MAX(J$470:J3427))/MAX(J$470:J3427)&gt;U3426,U3426,(J3427-MAX(J$470:J3427))/MAX(J$470:J3427))</f>
        <v>-0.83569785939843477</v>
      </c>
      <c r="V3427" s="564">
        <f>IF((K3427-MAX(K$470:K3427))/MAX(K$470:K3427)&gt;V3426,V3426,(K3427-MAX(K$470:K3427))/MAX(K$470:K3427))</f>
        <v>-0.84885940676762139</v>
      </c>
      <c r="W3427" s="564">
        <f>IF((N3427-MAX(N$470:N3427))/MAX(N$470:N3427)&gt;W3426,W3426,(N3427-MAX(N$470:N3427))/MAX(N$470:N3427))</f>
        <v>-0.62788758315546067</v>
      </c>
      <c r="X3427" s="564">
        <f>IF((O3427-MAX(O$470:O3427))/MAX(O$470:O3427)&gt;X3426,X3426,(O3427-MAX(O$470:O3427))/MAX(O$470:O3427))</f>
        <v>-0.62788758315546067</v>
      </c>
    </row>
    <row r="3428" spans="1:24">
      <c r="A3428" s="799">
        <v>43830</v>
      </c>
      <c r="B3428">
        <v>7219.0072372319</v>
      </c>
      <c r="C3428">
        <v>6701.199893</v>
      </c>
      <c r="D3428">
        <v>1.2868189999999999</v>
      </c>
      <c r="E3428">
        <f>LN(D3428/参数实验室!$E$53)/参数实验室!$E$55</f>
        <v>-0.39546604693406756</v>
      </c>
      <c r="F3428">
        <f t="shared" si="478"/>
        <v>0.9282716684973914</v>
      </c>
      <c r="G3428">
        <f>LN(F3428/参数实验室!$E$58)/参数实验室!$E$59</f>
        <v>-0.22959535343330958</v>
      </c>
      <c r="H3428" s="856">
        <f>INDEX(神经网络!$G$10:$BO$70,MATCH(ROUND(G3428*2,1)/2,神经网络!$E$10:$E$70,0),MATCH(ROUND(E3428*2,1)/2,神经网络!$G$8:$BO$8,0))</f>
        <v>-0.54697219397271091</v>
      </c>
      <c r="I3428">
        <f t="shared" si="480"/>
        <v>595403.28048751119</v>
      </c>
      <c r="J3428">
        <f t="shared" si="481"/>
        <v>2880.5742936163342</v>
      </c>
      <c r="K3428">
        <f t="shared" si="482"/>
        <v>206.69603342881646</v>
      </c>
      <c r="L3428" s="4">
        <f>MIN(MAX(L3427*(1+MAX(MIN(((B3428-B3427)/B3427)/($K$7*卓尔金历!$N$40),0),-卓尔金历!$M$43))+MIN(MAX(((B3428-B3427)/B3427)/($K$7*卓尔金历!$N$40),0),卓尔金历!$M$43),0),1)</f>
        <v>0.51032135166349424</v>
      </c>
      <c r="M3428" s="4">
        <f>MIN(MAX(M3427*(1+MAX(MIN(((B3428-B3427)/B3427)/($K$7*30),0),-卓尔金历!$M$43))+MIN(MAX(((B3428-B3427)/B3427)/($K$7*7),0),卓尔金历!$M$43),0),1)</f>
        <v>0.82932068216635912</v>
      </c>
      <c r="N3428">
        <f t="shared" si="483"/>
        <v>209260.77001168081</v>
      </c>
      <c r="O3428">
        <f t="shared" si="484"/>
        <v>588143.98658033309</v>
      </c>
      <c r="P3428">
        <f t="shared" si="485"/>
        <v>-8.3316932998200675E-3</v>
      </c>
      <c r="Q3428">
        <f t="shared" si="476"/>
        <v>2.2985549355175924E-2</v>
      </c>
      <c r="R3428">
        <f t="shared" si="477"/>
        <v>1</v>
      </c>
      <c r="S3428">
        <f t="shared" si="479"/>
        <v>1211.6706275165782</v>
      </c>
      <c r="T3428" s="564">
        <f>IF((I3428-MAX(I$470:I3428))/MAX(I$470:I3428)&gt;T3427,T3427,(I3428-MAX(I$470:I3428))/MAX(I$470:I3428))</f>
        <v>-0.91338805338419748</v>
      </c>
      <c r="U3428" s="564">
        <f>IF((J3428-MAX(J$470:J3428))/MAX(J$470:J3428)&gt;U3427,U3427,(J3428-MAX(J$470:J3428))/MAX(J$470:J3428))</f>
        <v>-0.83569785939843477</v>
      </c>
      <c r="V3428" s="564">
        <f>IF((K3428-MAX(K$470:K3428))/MAX(K$470:K3428)&gt;V3427,V3427,(K3428-MAX(K$470:K3428))/MAX(K$470:K3428))</f>
        <v>-0.84885940676762139</v>
      </c>
      <c r="W3428" s="564">
        <f>IF((N3428-MAX(N$470:N3428))/MAX(N$470:N3428)&gt;W3427,W3427,(N3428-MAX(N$470:N3428))/MAX(N$470:N3428))</f>
        <v>-0.62788758315546067</v>
      </c>
      <c r="X3428" s="564">
        <f>IF((O3428-MAX(O$470:O3428))/MAX(O$470:O3428)&gt;X3427,X3427,(O3428-MAX(O$470:O3428))/MAX(O$470:O3428))</f>
        <v>-0.62788758315546067</v>
      </c>
    </row>
    <row r="3429" spans="1:24">
      <c r="A3429" s="799">
        <v>43831</v>
      </c>
      <c r="B3429">
        <v>7225.7152679066003</v>
      </c>
      <c r="C3429">
        <v>6574.7804930000002</v>
      </c>
      <c r="D3429">
        <v>1.2874350000000001</v>
      </c>
      <c r="E3429">
        <f>LN(D3429/参数实验室!$E$53)/参数实验室!$E$55</f>
        <v>-0.39490143441940651</v>
      </c>
      <c r="F3429">
        <f t="shared" si="478"/>
        <v>0.90991413987792158</v>
      </c>
      <c r="G3429">
        <f>LN(F3429/参数实验室!$E$58)/参数实验室!$E$59</f>
        <v>-0.24007888933051361</v>
      </c>
      <c r="H3429" s="856">
        <f>INDEX(神经网络!$G$10:$BO$70,MATCH(ROUND(G3429*2,1)/2,神经网络!$E$10:$E$70,0),MATCH(ROUND(E3429*2,1)/2,神经网络!$G$8:$BO$8,0))</f>
        <v>-0.54697219397271091</v>
      </c>
      <c r="I3429">
        <f t="shared" si="480"/>
        <v>595100.6629905178</v>
      </c>
      <c r="J3429">
        <f t="shared" si="481"/>
        <v>2883.2509747841646</v>
      </c>
      <c r="K3429">
        <f t="shared" si="482"/>
        <v>206.39918903870867</v>
      </c>
      <c r="L3429" s="4">
        <f>MIN(MAX(L3428*(1+MAX(MIN(((B3429-B3428)/B3428)/($K$7*卓尔金历!$N$40),0),-卓尔金历!$M$43))+MIN(MAX(((B3429-B3428)/B3428)/($K$7*卓尔金历!$N$40),0),卓尔金历!$M$43),0),1)</f>
        <v>0.52451890932285405</v>
      </c>
      <c r="M3429" s="4">
        <f>MIN(MAX(M3428*(1+MAX(MIN(((B3429-B3428)/B3428)/($K$7*30),0),-卓尔金历!$M$43))+MIN(MAX(((B3429-B3428)/B3428)/($K$7*7),0),卓尔金历!$M$43),0),1)</f>
        <v>0.85974402000784444</v>
      </c>
      <c r="N3429">
        <f t="shared" si="483"/>
        <v>209206.49319479158</v>
      </c>
      <c r="O3429">
        <f t="shared" si="484"/>
        <v>587896.07947812718</v>
      </c>
      <c r="P3429">
        <f t="shared" si="485"/>
        <v>9.2921789025278878E-4</v>
      </c>
      <c r="Q3429">
        <f t="shared" si="476"/>
        <v>2.2794971046796356E-2</v>
      </c>
      <c r="R3429">
        <f t="shared" si="477"/>
        <v>1</v>
      </c>
      <c r="S3429">
        <f t="shared" si="479"/>
        <v>1211.0547882283242</v>
      </c>
      <c r="T3429" s="564">
        <f>IF((I3429-MAX(I$470:I3429))/MAX(I$470:I3429)&gt;T3428,T3428,(I3429-MAX(I$470:I3429))/MAX(I$470:I3429))</f>
        <v>-0.91338805338419748</v>
      </c>
      <c r="U3429" s="564">
        <f>IF((J3429-MAX(J$470:J3429))/MAX(J$470:J3429)&gt;U3428,U3428,(J3429-MAX(J$470:J3429))/MAX(J$470:J3429))</f>
        <v>-0.83569785939843477</v>
      </c>
      <c r="V3429" s="564">
        <f>IF((K3429-MAX(K$470:K3429))/MAX(K$470:K3429)&gt;V3428,V3428,(K3429-MAX(K$470:K3429))/MAX(K$470:K3429))</f>
        <v>-0.84885940676762139</v>
      </c>
      <c r="W3429" s="564">
        <f>IF((N3429-MAX(N$470:N3429))/MAX(N$470:N3429)&gt;W3428,W3428,(N3429-MAX(N$470:N3429))/MAX(N$470:N3429))</f>
        <v>-0.62788758315546067</v>
      </c>
      <c r="X3429" s="564">
        <f>IF((O3429-MAX(O$470:O3429))/MAX(O$470:O3429)&gt;X3428,X3428,(O3429-MAX(O$470:O3429))/MAX(O$470:O3429))</f>
        <v>-0.62788758315546067</v>
      </c>
    </row>
    <row r="3430" spans="1:24">
      <c r="A3430" s="799">
        <v>43832</v>
      </c>
      <c r="B3430">
        <v>7127.7773843885998</v>
      </c>
      <c r="C3430">
        <v>6652.0312690000001</v>
      </c>
      <c r="D3430">
        <v>1.247555</v>
      </c>
      <c r="E3430">
        <f>LN(D3430/参数实验室!$E$53)/参数实验室!$E$55</f>
        <v>-0.43202382251298199</v>
      </c>
      <c r="F3430">
        <f t="shared" si="478"/>
        <v>0.93325463328434077</v>
      </c>
      <c r="G3430">
        <f>LN(F3430/参数实验室!$E$58)/参数实验室!$E$59</f>
        <v>-0.22678547053338113</v>
      </c>
      <c r="H3430" s="856">
        <f>INDEX(神经网络!$G$10:$BO$70,MATCH(ROUND(G3430*2,1)/2,神经网络!$E$10:$E$70,0),MATCH(ROUND(E3430*2,1)/2,神经网络!$G$8:$BO$8,0))</f>
        <v>-0.57635827880181312</v>
      </c>
      <c r="I3430">
        <f t="shared" si="480"/>
        <v>599512.56190727407</v>
      </c>
      <c r="J3430">
        <f t="shared" si="481"/>
        <v>2844.1711760857884</v>
      </c>
      <c r="K3430">
        <f t="shared" si="482"/>
        <v>210.78638548483448</v>
      </c>
      <c r="L3430" s="4">
        <f>MIN(MAX(L3429*(1+MAX(MIN(((B3430-B3429)/B3429)/($K$7*卓尔金历!$N$40),0),-卓尔金历!$M$43))+MIN(MAX(((B3430-B3429)/B3429)/($K$7*卓尔金历!$N$40),0),卓尔金历!$M$43),0),1)</f>
        <v>0.41589458241308258</v>
      </c>
      <c r="M3430" s="4">
        <f>MIN(MAX(M3429*(1+MAX(MIN(((B3430-B3429)/B3429)/($K$7*30),0),-卓尔金历!$M$43))+MIN(MAX(((B3430-B3429)/B3429)/($K$7*7),0),卓尔金历!$M$43),0),1)</f>
        <v>0.77072042731352464</v>
      </c>
      <c r="N3430">
        <f t="shared" si="483"/>
        <v>210020.01917836536</v>
      </c>
      <c r="O3430">
        <f t="shared" si="484"/>
        <v>591643.26199559623</v>
      </c>
      <c r="P3430">
        <f t="shared" si="485"/>
        <v>-1.3554074563800877E-2</v>
      </c>
      <c r="Q3430">
        <f t="shared" si="476"/>
        <v>2.2985986986855098E-2</v>
      </c>
      <c r="R3430">
        <f t="shared" si="477"/>
        <v>0.56303278002847446</v>
      </c>
      <c r="S3430">
        <f t="shared" si="479"/>
        <v>1220.0331874145509</v>
      </c>
      <c r="T3430" s="564">
        <f>IF((I3430-MAX(I$470:I3430))/MAX(I$470:I3430)&gt;T3429,T3429,(I3430-MAX(I$470:I3430))/MAX(I$470:I3430))</f>
        <v>-0.91338805338419748</v>
      </c>
      <c r="U3430" s="564">
        <f>IF((J3430-MAX(J$470:J3430))/MAX(J$470:J3430)&gt;U3429,U3429,(J3430-MAX(J$470:J3430))/MAX(J$470:J3430))</f>
        <v>-0.83569785939843477</v>
      </c>
      <c r="V3430" s="564">
        <f>IF((K3430-MAX(K$470:K3430))/MAX(K$470:K3430)&gt;V3429,V3429,(K3430-MAX(K$470:K3430))/MAX(K$470:K3430))</f>
        <v>-0.84885940676762139</v>
      </c>
      <c r="W3430" s="564">
        <f>IF((N3430-MAX(N$470:N3430))/MAX(N$470:N3430)&gt;W3429,W3429,(N3430-MAX(N$470:N3430))/MAX(N$470:N3430))</f>
        <v>-0.62788758315546067</v>
      </c>
      <c r="X3430" s="564">
        <f>IF((O3430-MAX(O$470:O3430))/MAX(O$470:O3430)&gt;X3429,X3429,(O3430-MAX(O$470:O3430))/MAX(O$470:O3430))</f>
        <v>-0.62788758315546067</v>
      </c>
    </row>
    <row r="3431" spans="1:24">
      <c r="A3431" s="799">
        <v>43833</v>
      </c>
      <c r="B3431">
        <v>7273.4185254766999</v>
      </c>
      <c r="C3431">
        <v>6645.5792570000003</v>
      </c>
      <c r="D3431">
        <v>1.313285</v>
      </c>
      <c r="E3431">
        <f>LN(D3431/参数实验室!$E$53)/参数实验室!$E$55</f>
        <v>-0.37144821706550252</v>
      </c>
      <c r="F3431">
        <f t="shared" si="478"/>
        <v>0.91368030503434405</v>
      </c>
      <c r="G3431">
        <f>LN(F3431/参数实验室!$E$58)/参数实验室!$E$59</f>
        <v>-0.23791098426245044</v>
      </c>
      <c r="H3431" s="856">
        <f>INDEX(神经网络!$G$10:$BO$70,MATCH(ROUND(G3431*2,1)/2,神经网络!$E$10:$E$70,0),MATCH(ROUND(E3431*2,1)/2,神经网络!$G$8:$BO$8,0))</f>
        <v>-0.51075529571207356</v>
      </c>
      <c r="I3431">
        <f t="shared" si="480"/>
        <v>592452.30069923785</v>
      </c>
      <c r="J3431">
        <f t="shared" si="481"/>
        <v>2902.2858327587464</v>
      </c>
      <c r="K3431">
        <f t="shared" si="482"/>
        <v>204.13299545210083</v>
      </c>
      <c r="L3431" s="4">
        <f>MIN(MAX(L3430*(1+MAX(MIN(((B3431-B3430)/B3430)/($K$7*卓尔金历!$N$40),0),-卓尔金历!$M$43))+MIN(MAX(((B3431-B3430)/B3430)/($K$7*卓尔金历!$N$40),0),卓尔金历!$M$43),0),1)</f>
        <v>0.72808964048996938</v>
      </c>
      <c r="M3431" s="4">
        <f>MIN(MAX(M3430*(1+MAX(MIN(((B3431-B3430)/B3430)/($K$7*30),0),-卓尔金历!$M$43))+MIN(MAX(((B3431-B3430)/B3430)/($K$7*7),0),卓尔金历!$M$43),0),1)</f>
        <v>1</v>
      </c>
      <c r="N3431">
        <f t="shared" si="483"/>
        <v>208991.37200193779</v>
      </c>
      <c r="O3431">
        <f t="shared" si="484"/>
        <v>586273.20031549805</v>
      </c>
      <c r="P3431">
        <f t="shared" si="485"/>
        <v>2.0432896993540541E-2</v>
      </c>
      <c r="Q3431">
        <f t="shared" si="476"/>
        <v>2.3286697968351835E-2</v>
      </c>
      <c r="R3431">
        <f t="shared" si="477"/>
        <v>0.15672718033470073</v>
      </c>
      <c r="S3431">
        <f t="shared" si="479"/>
        <v>1211.943573287796</v>
      </c>
      <c r="T3431" s="564">
        <f>IF((I3431-MAX(I$470:I3431))/MAX(I$470:I3431)&gt;T3430,T3430,(I3431-MAX(I$470:I3431))/MAX(I$470:I3431))</f>
        <v>-0.91338805338419748</v>
      </c>
      <c r="U3431" s="564">
        <f>IF((J3431-MAX(J$470:J3431))/MAX(J$470:J3431)&gt;U3430,U3430,(J3431-MAX(J$470:J3431))/MAX(J$470:J3431))</f>
        <v>-0.83569785939843477</v>
      </c>
      <c r="V3431" s="564">
        <f>IF((K3431-MAX(K$470:K3431))/MAX(K$470:K3431)&gt;V3430,V3430,(K3431-MAX(K$470:K3431))/MAX(K$470:K3431))</f>
        <v>-0.84885940676762139</v>
      </c>
      <c r="W3431" s="564">
        <f>IF((N3431-MAX(N$470:N3431))/MAX(N$470:N3431)&gt;W3430,W3430,(N3431-MAX(N$470:N3431))/MAX(N$470:N3431))</f>
        <v>-0.62788758315546067</v>
      </c>
      <c r="X3431" s="564">
        <f>IF((O3431-MAX(O$470:O3431))/MAX(O$470:O3431)&gt;X3430,X3430,(O3431-MAX(O$470:O3431))/MAX(O$470:O3431))</f>
        <v>-0.62788758315546067</v>
      </c>
    </row>
    <row r="3432" spans="1:24">
      <c r="A3432" s="799">
        <v>43834</v>
      </c>
      <c r="B3432">
        <v>7335.1689314114001</v>
      </c>
      <c r="C3432">
        <v>6546.6284720000003</v>
      </c>
      <c r="D3432">
        <v>1.3185070000000001</v>
      </c>
      <c r="E3432">
        <f>LN(D3432/参数实验室!$E$53)/参数实验室!$E$55</f>
        <v>-0.366766479659968</v>
      </c>
      <c r="F3432">
        <f t="shared" si="478"/>
        <v>0.89249866406830358</v>
      </c>
      <c r="G3432">
        <f>LN(F3432/参数实验室!$E$58)/参数实验室!$E$59</f>
        <v>-0.2502218125749478</v>
      </c>
      <c r="H3432" s="856">
        <f>INDEX(神经网络!$G$10:$BO$70,MATCH(ROUND(G3432*2,1)/2,神经网络!$E$10:$E$70,0),MATCH(ROUND(E3432*2,1)/2,神经网络!$G$8:$BO$8,0))</f>
        <v>-0.51075529571207356</v>
      </c>
      <c r="I3432">
        <f t="shared" si="480"/>
        <v>589883.280570045</v>
      </c>
      <c r="J3432">
        <f t="shared" si="481"/>
        <v>2926.9258734333803</v>
      </c>
      <c r="K3432">
        <f t="shared" si="482"/>
        <v>201.53680211863121</v>
      </c>
      <c r="L3432" s="4">
        <f>MIN(MAX(L3431*(1+MAX(MIN(((B3432-B3431)/B3431)/($K$7*卓尔金历!$N$40),0),-卓尔金历!$M$43))+MIN(MAX(((B3432-B3431)/B3431)/($K$7*卓尔金历!$N$40),0),卓尔金历!$M$43),0),1)</f>
        <v>0.85780676620545004</v>
      </c>
      <c r="M3432" s="4">
        <f>MIN(MAX(M3431*(1+MAX(MIN(((B3432-B3431)/B3431)/($K$7*30),0),-卓尔金历!$M$43))+MIN(MAX(((B3432-B3431)/B3431)/($K$7*7),0),卓尔金历!$M$43),0),1)</f>
        <v>1</v>
      </c>
      <c r="N3432">
        <f t="shared" si="483"/>
        <v>208331.54919088149</v>
      </c>
      <c r="O3432">
        <f t="shared" si="484"/>
        <v>583730.97429824865</v>
      </c>
      <c r="P3432">
        <f t="shared" si="485"/>
        <v>8.4898738768305771E-3</v>
      </c>
      <c r="Q3432">
        <f t="shared" si="476"/>
        <v>2.302528558957187E-2</v>
      </c>
      <c r="R3432">
        <f t="shared" si="477"/>
        <v>1</v>
      </c>
      <c r="S3432">
        <f t="shared" si="479"/>
        <v>1211.1199268259668</v>
      </c>
      <c r="T3432" s="564">
        <f>IF((I3432-MAX(I$470:I3432))/MAX(I$470:I3432)&gt;T3431,T3431,(I3432-MAX(I$470:I3432))/MAX(I$470:I3432))</f>
        <v>-0.91338805338419748</v>
      </c>
      <c r="U3432" s="564">
        <f>IF((J3432-MAX(J$470:J3432))/MAX(J$470:J3432)&gt;U3431,U3431,(J3432-MAX(J$470:J3432))/MAX(J$470:J3432))</f>
        <v>-0.83569785939843477</v>
      </c>
      <c r="V3432" s="564">
        <f>IF((K3432-MAX(K$470:K3432))/MAX(K$470:K3432)&gt;V3431,V3431,(K3432-MAX(K$470:K3432))/MAX(K$470:K3432))</f>
        <v>-0.84885940676762139</v>
      </c>
      <c r="W3432" s="564">
        <f>IF((N3432-MAX(N$470:N3432))/MAX(N$470:N3432)&gt;W3431,W3431,(N3432-MAX(N$470:N3432))/MAX(N$470:N3432))</f>
        <v>-0.62788758315546067</v>
      </c>
      <c r="X3432" s="564">
        <f>IF((O3432-MAX(O$470:O3432))/MAX(O$470:O3432)&gt;X3431,X3431,(O3432-MAX(O$470:O3432))/MAX(O$470:O3432))</f>
        <v>-0.62788758315546067</v>
      </c>
    </row>
    <row r="3433" spans="1:24">
      <c r="A3433" s="799">
        <v>43835</v>
      </c>
      <c r="B3433">
        <v>7458.2853521225998</v>
      </c>
      <c r="C3433">
        <v>6466.7233820000001</v>
      </c>
      <c r="D3433">
        <v>1.3189150000000001</v>
      </c>
      <c r="E3433">
        <f>LN(D3433/参数实验室!$E$53)/参数实验室!$E$55</f>
        <v>-0.36640147221908043</v>
      </c>
      <c r="F3433">
        <f t="shared" si="478"/>
        <v>0.86705228838684689</v>
      </c>
      <c r="G3433">
        <f>LN(F3433/参数实验室!$E$58)/参数实验室!$E$59</f>
        <v>-0.26540360011664638</v>
      </c>
      <c r="H3433" s="856">
        <f>INDEX(神经网络!$G$10:$BO$70,MATCH(ROUND(G3433*2,1)/2,神经网络!$E$10:$E$70,0),MATCH(ROUND(E3433*2,1)/2,神经网络!$G$8:$BO$8,0))</f>
        <v>-0.51075529571207356</v>
      </c>
      <c r="I3433">
        <f t="shared" si="480"/>
        <v>584826.37520972895</v>
      </c>
      <c r="J3433">
        <f t="shared" si="481"/>
        <v>2976.0525725719617</v>
      </c>
      <c r="K3433">
        <f t="shared" si="482"/>
        <v>196.51076751789731</v>
      </c>
      <c r="L3433" s="4">
        <f>MIN(MAX(L3432*(1+MAX(MIN(((B3433-B3432)/B3432)/($K$7*卓尔金历!$N$40),0),-卓尔金历!$M$43))+MIN(MAX(((B3433-B3432)/B3432)/($K$7*卓尔金历!$N$40),0),卓尔金历!$M$43),0),1)</f>
        <v>1</v>
      </c>
      <c r="M3433" s="4">
        <f>MIN(MAX(M3432*(1+MAX(MIN(((B3433-B3432)/B3432)/($K$7*30),0),-卓尔金历!$M$43))+MIN(MAX(((B3433-B3432)/B3432)/($K$7*7),0),卓尔金历!$M$43),0),1)</f>
        <v>1</v>
      </c>
      <c r="N3433">
        <f t="shared" si="483"/>
        <v>206799.53337090265</v>
      </c>
      <c r="O3433">
        <f t="shared" si="484"/>
        <v>578726.81094908796</v>
      </c>
      <c r="P3433">
        <f t="shared" si="485"/>
        <v>1.6784401540362367E-2</v>
      </c>
      <c r="Q3433">
        <f t="shared" si="476"/>
        <v>2.3230914518415493E-2</v>
      </c>
      <c r="R3433">
        <f t="shared" si="477"/>
        <v>0.35554322348608686</v>
      </c>
      <c r="S3433">
        <f t="shared" si="479"/>
        <v>1200.7373324184202</v>
      </c>
      <c r="T3433" s="564">
        <f>IF((I3433-MAX(I$470:I3433))/MAX(I$470:I3433)&gt;T3432,T3432,(I3433-MAX(I$470:I3433))/MAX(I$470:I3433))</f>
        <v>-0.91338805338419748</v>
      </c>
      <c r="U3433" s="564">
        <f>IF((J3433-MAX(J$470:J3433))/MAX(J$470:J3433)&gt;U3432,U3432,(J3433-MAX(J$470:J3433))/MAX(J$470:J3433))</f>
        <v>-0.83569785939843477</v>
      </c>
      <c r="V3433" s="564">
        <f>IF((K3433-MAX(K$470:K3433))/MAX(K$470:K3433)&gt;V3432,V3432,(K3433-MAX(K$470:K3433))/MAX(K$470:K3433))</f>
        <v>-0.84885940676762139</v>
      </c>
      <c r="W3433" s="564">
        <f>IF((N3433-MAX(N$470:N3433))/MAX(N$470:N3433)&gt;W3432,W3432,(N3433-MAX(N$470:N3433))/MAX(N$470:N3433))</f>
        <v>-0.62788758315546067</v>
      </c>
      <c r="X3433" s="564">
        <f>IF((O3433-MAX(O$470:O3433))/MAX(O$470:O3433)&gt;X3432,X3432,(O3433-MAX(O$470:O3433))/MAX(O$470:O3433))</f>
        <v>-0.62788758315546067</v>
      </c>
    </row>
    <row r="3434" spans="1:24">
      <c r="A3434" s="799">
        <v>43836</v>
      </c>
      <c r="B3434">
        <v>7530.7395547048</v>
      </c>
      <c r="C3434">
        <v>6559.6376369999998</v>
      </c>
      <c r="D3434">
        <v>1.393432</v>
      </c>
      <c r="E3434">
        <f>LN(D3434/参数实验室!$E$53)/参数实验室!$E$55</f>
        <v>-0.30156183297996408</v>
      </c>
      <c r="F3434">
        <f t="shared" si="478"/>
        <v>0.87104826682020786</v>
      </c>
      <c r="G3434">
        <f>LN(F3434/参数实验室!$E$58)/参数实验室!$E$59</f>
        <v>-0.2629902654844975</v>
      </c>
      <c r="H3434" s="856">
        <f>INDEX(神经网络!$G$10:$BO$70,MATCH(ROUND(G3434*2,1)/2,神经网络!$E$10:$E$70,0),MATCH(ROUND(E3434*2,1)/2,神经网络!$G$8:$BO$8,0))</f>
        <v>-0.47592550752609075</v>
      </c>
      <c r="I3434">
        <f t="shared" si="480"/>
        <v>581924.59566661902</v>
      </c>
      <c r="J3434">
        <f t="shared" si="481"/>
        <v>3004.963710428472</v>
      </c>
      <c r="K3434">
        <f t="shared" si="482"/>
        <v>193.65445035063118</v>
      </c>
      <c r="L3434" s="4">
        <f>MIN(MAX(L3433*(1+MAX(MIN(((B3434-B3433)/B3433)/($K$7*卓尔金历!$N$40),0),-卓尔金历!$M$43))+MIN(MAX(((B3434-B3433)/B3433)/($K$7*卓尔金历!$N$40),0),卓尔金历!$M$43),0),1)</f>
        <v>1</v>
      </c>
      <c r="M3434" s="4">
        <f>MIN(MAX(M3433*(1+MAX(MIN(((B3434-B3433)/B3433)/($K$7*30),0),-卓尔金历!$M$43))+MIN(MAX(((B3434-B3433)/B3433)/($K$7*7),0),卓尔金历!$M$43),0),1)</f>
        <v>1</v>
      </c>
      <c r="N3434">
        <f t="shared" si="483"/>
        <v>205773.43967729114</v>
      </c>
      <c r="O3434">
        <f t="shared" si="484"/>
        <v>575855.29609913076</v>
      </c>
      <c r="P3434">
        <f t="shared" si="485"/>
        <v>9.7145924514111023E-3</v>
      </c>
      <c r="Q3434">
        <f t="shared" si="476"/>
        <v>2.3248070463715843E-2</v>
      </c>
      <c r="R3434">
        <f t="shared" si="477"/>
        <v>0.91609505433531913</v>
      </c>
      <c r="S3434">
        <f t="shared" si="479"/>
        <v>1198.6190791599668</v>
      </c>
      <c r="T3434" s="564">
        <f>IF((I3434-MAX(I$470:I3434))/MAX(I$470:I3434)&gt;T3433,T3433,(I3434-MAX(I$470:I3434))/MAX(I$470:I3434))</f>
        <v>-0.91338805338419748</v>
      </c>
      <c r="U3434" s="564">
        <f>IF((J3434-MAX(J$470:J3434))/MAX(J$470:J3434)&gt;U3433,U3433,(J3434-MAX(J$470:J3434))/MAX(J$470:J3434))</f>
        <v>-0.83569785939843477</v>
      </c>
      <c r="V3434" s="564">
        <f>IF((K3434-MAX(K$470:K3434))/MAX(K$470:K3434)&gt;V3433,V3433,(K3434-MAX(K$470:K3434))/MAX(K$470:K3434))</f>
        <v>-0.84885940676762139</v>
      </c>
      <c r="W3434" s="564">
        <f>IF((N3434-MAX(N$470:N3434))/MAX(N$470:N3434)&gt;W3433,W3433,(N3434-MAX(N$470:N3434))/MAX(N$470:N3434))</f>
        <v>-0.62788758315546067</v>
      </c>
      <c r="X3434" s="564">
        <f>IF((O3434-MAX(O$470:O3434))/MAX(O$470:O3434)&gt;X3433,X3433,(O3434-MAX(O$470:O3434))/MAX(O$470:O3434))</f>
        <v>-0.62788758315546067</v>
      </c>
    </row>
    <row r="3435" spans="1:24">
      <c r="A3435" s="799">
        <v>43837</v>
      </c>
      <c r="B3435">
        <v>7820.1563025304004</v>
      </c>
      <c r="C3435">
        <v>6441.151484</v>
      </c>
      <c r="D3435">
        <v>1.458715</v>
      </c>
      <c r="E3435">
        <f>LN(D3435/参数实验室!$E$53)/参数实验室!$E$55</f>
        <v>-0.24754548292221906</v>
      </c>
      <c r="F3435">
        <f t="shared" si="478"/>
        <v>0.82366019742032648</v>
      </c>
      <c r="G3435">
        <f>LN(F3435/参数实验室!$E$58)/参数实验室!$E$59</f>
        <v>-0.29235024776344254</v>
      </c>
      <c r="H3435" s="856">
        <f>INDEX(神经网络!$G$10:$BO$70,MATCH(ROUND(G3435*2,1)/2,神经网络!$E$10:$E$70,0),MATCH(ROUND(E3435*2,1)/2,神经网络!$G$8:$BO$8,0))</f>
        <v>-0.51388151638675161</v>
      </c>
      <c r="I3435">
        <f t="shared" si="480"/>
        <v>571280.91769925097</v>
      </c>
      <c r="J3435">
        <f t="shared" si="481"/>
        <v>3120.44862636383</v>
      </c>
      <c r="K3435">
        <f t="shared" si="482"/>
        <v>183.07653357041431</v>
      </c>
      <c r="L3435" s="4">
        <f>MIN(MAX(L3434*(1+MAX(MIN(((B3435-B3434)/B3434)/($K$7*卓尔金历!$N$40),0),-卓尔金历!$M$43))+MIN(MAX(((B3435-B3434)/B3434)/($K$7*卓尔金历!$N$40),0),卓尔金历!$M$43),0),1)</f>
        <v>1</v>
      </c>
      <c r="M3435" s="4">
        <f>MIN(MAX(M3434*(1+MAX(MIN(((B3435-B3434)/B3434)/($K$7*30),0),-卓尔金历!$M$43))+MIN(MAX(((B3435-B3434)/B3434)/($K$7*7),0),卓尔金历!$M$43),0),1)</f>
        <v>1</v>
      </c>
      <c r="N3435">
        <f t="shared" si="483"/>
        <v>202009.74547623444</v>
      </c>
      <c r="O3435">
        <f t="shared" si="484"/>
        <v>565322.62851105398</v>
      </c>
      <c r="P3435">
        <f t="shared" si="485"/>
        <v>3.8431384557017167E-2</v>
      </c>
      <c r="Q3435">
        <f t="shared" si="476"/>
        <v>2.122476599129014E-2</v>
      </c>
      <c r="R3435">
        <f t="shared" si="477"/>
        <v>9.4455579350902485E-3</v>
      </c>
      <c r="S3435">
        <f t="shared" si="479"/>
        <v>1178.5352398676389</v>
      </c>
      <c r="T3435" s="564">
        <f>IF((I3435-MAX(I$470:I3435))/MAX(I$470:I3435)&gt;T3434,T3434,(I3435-MAX(I$470:I3435))/MAX(I$470:I3435))</f>
        <v>-0.91338805338419748</v>
      </c>
      <c r="U3435" s="564">
        <f>IF((J3435-MAX(J$470:J3435))/MAX(J$470:J3435)&gt;U3434,U3434,(J3435-MAX(J$470:J3435))/MAX(J$470:J3435))</f>
        <v>-0.83569785939843477</v>
      </c>
      <c r="V3435" s="564">
        <f>IF((K3435-MAX(K$470:K3435))/MAX(K$470:K3435)&gt;V3434,V3434,(K3435-MAX(K$470:K3435))/MAX(K$470:K3435))</f>
        <v>-0.84885940676762139</v>
      </c>
      <c r="W3435" s="564">
        <f>IF((N3435-MAX(N$470:N3435))/MAX(N$470:N3435)&gt;W3434,W3434,(N3435-MAX(N$470:N3435))/MAX(N$470:N3435))</f>
        <v>-0.62788758315546067</v>
      </c>
      <c r="X3435" s="564">
        <f>IF((O3435-MAX(O$470:O3435))/MAX(O$470:O3435)&gt;X3434,X3434,(O3435-MAX(O$470:O3435))/MAX(O$470:O3435))</f>
        <v>-0.62788758315546067</v>
      </c>
    </row>
    <row r="3436" spans="1:24">
      <c r="A3436" s="799">
        <v>43838</v>
      </c>
      <c r="B3436">
        <v>8299.7235269569992</v>
      </c>
      <c r="C3436">
        <v>6468.8388759999998</v>
      </c>
      <c r="D3436">
        <v>1.4443490000000001</v>
      </c>
      <c r="E3436">
        <f>LN(D3436/参数实验室!$E$53)/参数实验室!$E$55</f>
        <v>-0.2592217487229041</v>
      </c>
      <c r="F3436">
        <f t="shared" si="478"/>
        <v>0.77940413978725953</v>
      </c>
      <c r="G3436">
        <f>LN(F3436/参数实验室!$E$58)/参数实验室!$E$59</f>
        <v>-0.321337075114355</v>
      </c>
      <c r="H3436" s="856">
        <f>INDEX(神经网络!$G$10:$BO$70,MATCH(ROUND(G3436*2,1)/2,神经网络!$E$10:$E$70,0),MATCH(ROUND(E3436*2,1)/2,神经网络!$G$8:$BO$8,0))</f>
        <v>-0.51388151638675161</v>
      </c>
      <c r="I3436">
        <f t="shared" si="480"/>
        <v>553277.83919630316</v>
      </c>
      <c r="J3436">
        <f t="shared" si="481"/>
        <v>3311.8085978041549</v>
      </c>
      <c r="K3436">
        <f t="shared" si="482"/>
        <v>167.06214228779578</v>
      </c>
      <c r="L3436" s="4">
        <f>MIN(MAX(L3435*(1+MAX(MIN(((B3436-B3435)/B3435)/($K$7*卓尔金历!$N$40),0),-卓尔金历!$M$43))+MIN(MAX(((B3436-B3435)/B3435)/($K$7*卓尔金历!$N$40),0),卓尔金历!$M$43),0),1)</f>
        <v>1</v>
      </c>
      <c r="M3436" s="4">
        <f>MIN(MAX(M3435*(1+MAX(MIN(((B3436-B3435)/B3435)/($K$7*30),0),-卓尔金历!$M$43))+MIN(MAX(((B3436-B3435)/B3435)/($K$7*7),0),卓尔金历!$M$43),0),1)</f>
        <v>1</v>
      </c>
      <c r="N3436">
        <f t="shared" si="483"/>
        <v>195643.70524367108</v>
      </c>
      <c r="O3436">
        <f t="shared" si="484"/>
        <v>547507.31673490384</v>
      </c>
      <c r="P3436">
        <f t="shared" si="485"/>
        <v>6.1324506298093211E-2</v>
      </c>
      <c r="Q3436">
        <f t="shared" ref="Q3436:Q3499" si="486">STDEVP(P3416:P3436)</f>
        <v>2.4139991076035323E-2</v>
      </c>
      <c r="R3436">
        <f t="shared" ref="R3436:R3499" si="487">MIN(Q3435*MAX(1-LN(MAX(ABS(P3436),0.0001)/Q3436),0)+MAX(-LN(MAX(ABS(P3436),0.0001)/Q3436),0),1)</f>
        <v>1.4367109145598884E-3</v>
      </c>
      <c r="S3436">
        <f t="shared" si="479"/>
        <v>1178.1844336785832</v>
      </c>
      <c r="T3436" s="564">
        <f>IF((I3436-MAX(I$470:I3436))/MAX(I$470:I3436)&gt;T3435,T3435,(I3436-MAX(I$470:I3436))/MAX(I$470:I3436))</f>
        <v>-0.91338805338419748</v>
      </c>
      <c r="U3436" s="564">
        <f>IF((J3436-MAX(J$470:J3436))/MAX(J$470:J3436)&gt;U3435,U3435,(J3436-MAX(J$470:J3436))/MAX(J$470:J3436))</f>
        <v>-0.83569785939843477</v>
      </c>
      <c r="V3436" s="564">
        <f>IF((K3436-MAX(K$470:K3436))/MAX(K$470:K3436)&gt;V3435,V3435,(K3436-MAX(K$470:K3436))/MAX(K$470:K3436))</f>
        <v>-0.84885940676762139</v>
      </c>
      <c r="W3436" s="564">
        <f>IF((N3436-MAX(N$470:N3436))/MAX(N$470:N3436)&gt;W3435,W3435,(N3436-MAX(N$470:N3436))/MAX(N$470:N3436))</f>
        <v>-0.62788758315546067</v>
      </c>
      <c r="X3436" s="564">
        <f>IF((O3436-MAX(O$470:O3436))/MAX(O$470:O3436)&gt;X3435,X3435,(O3436-MAX(O$470:O3436))/MAX(O$470:O3436))</f>
        <v>-0.62788758315546067</v>
      </c>
    </row>
    <row r="3437" spans="1:24">
      <c r="A3437" s="799">
        <v>43839</v>
      </c>
      <c r="B3437">
        <v>7919.2457008644997</v>
      </c>
      <c r="C3437">
        <v>6441.0665950000002</v>
      </c>
      <c r="D3437">
        <v>1.400239</v>
      </c>
      <c r="E3437">
        <f>LN(D3437/参数实验室!$E$53)/参数实验室!$E$55</f>
        <v>-0.2958126977209648</v>
      </c>
      <c r="F3437">
        <f t="shared" si="478"/>
        <v>0.81334344687611659</v>
      </c>
      <c r="G3437">
        <f>LN(F3437/参数实验室!$E$58)/参数实验室!$E$59</f>
        <v>-0.29896582243637743</v>
      </c>
      <c r="H3437" s="856">
        <f>INDEX(神经网络!$G$10:$BO$70,MATCH(ROUND(G3437*2,1)/2,神经网络!$E$10:$E$70,0),MATCH(ROUND(E3437*2,1)/2,神经网络!$G$8:$BO$8,0))</f>
        <v>-0.5517202076005665</v>
      </c>
      <c r="I3437">
        <f t="shared" si="480"/>
        <v>566311.6675766398</v>
      </c>
      <c r="J3437">
        <f t="shared" si="481"/>
        <v>3159.9879098457736</v>
      </c>
      <c r="K3437">
        <f t="shared" si="482"/>
        <v>179.21323870010605</v>
      </c>
      <c r="L3437" s="4">
        <f>MIN(MAX(L3436*(1+MAX(MIN(((B3437-B3436)/B3436)/($K$7*卓尔金历!$N$40),0),-卓尔金历!$M$43))+MIN(MAX(((B3437-B3436)/B3436)/($K$7*卓尔金历!$N$40),0),卓尔金历!$M$43),0),1)</f>
        <v>0.29957473323587436</v>
      </c>
      <c r="M3437" s="4">
        <f>MIN(MAX(M3436*(1+MAX(MIN(((B3437-B3436)/B3436)/($K$7*30),0),-卓尔金历!$M$43))+MIN(MAX(((B3437-B3436)/B3436)/($K$7*7),0),卓尔金历!$M$43),0),1)</f>
        <v>0.64978736661793723</v>
      </c>
      <c r="N3437">
        <f t="shared" si="483"/>
        <v>200252.57676750311</v>
      </c>
      <c r="O3437">
        <f t="shared" si="484"/>
        <v>560405.2061816731</v>
      </c>
      <c r="P3437">
        <f t="shared" si="485"/>
        <v>-4.5842228943738982E-2</v>
      </c>
      <c r="Q3437">
        <f t="shared" si="486"/>
        <v>2.5148523879101894E-2</v>
      </c>
      <c r="R3437">
        <f t="shared" si="487"/>
        <v>9.6461836807573281E-3</v>
      </c>
      <c r="S3437">
        <f t="shared" si="479"/>
        <v>1178.2243096608609</v>
      </c>
      <c r="T3437" s="564">
        <f>IF((I3437-MAX(I$470:I3437))/MAX(I$470:I3437)&gt;T3436,T3436,(I3437-MAX(I$470:I3437))/MAX(I$470:I3437))</f>
        <v>-0.91338805338419748</v>
      </c>
      <c r="U3437" s="564">
        <f>IF((J3437-MAX(J$470:J3437))/MAX(J$470:J3437)&gt;U3436,U3436,(J3437-MAX(J$470:J3437))/MAX(J$470:J3437))</f>
        <v>-0.83569785939843477</v>
      </c>
      <c r="V3437" s="564">
        <f>IF((K3437-MAX(K$470:K3437))/MAX(K$470:K3437)&gt;V3436,V3436,(K3437-MAX(K$470:K3437))/MAX(K$470:K3437))</f>
        <v>-0.84885940676762139</v>
      </c>
      <c r="W3437" s="564">
        <f>IF((N3437-MAX(N$470:N3437))/MAX(N$470:N3437)&gt;W3436,W3436,(N3437-MAX(N$470:N3437))/MAX(N$470:N3437))</f>
        <v>-0.62788758315546067</v>
      </c>
      <c r="X3437" s="564">
        <f>IF((O3437-MAX(O$470:O3437))/MAX(O$470:O3437)&gt;X3436,X3436,(O3437-MAX(O$470:O3437))/MAX(O$470:O3437))</f>
        <v>-0.62788758315546067</v>
      </c>
    </row>
    <row r="3438" spans="1:24">
      <c r="A3438" s="799">
        <v>43840</v>
      </c>
      <c r="B3438">
        <v>8011.0720003918004</v>
      </c>
      <c r="C3438">
        <v>6387.9309940000003</v>
      </c>
      <c r="D3438">
        <v>1.4552020000000001</v>
      </c>
      <c r="E3438">
        <f>LN(D3438/参数实验室!$E$53)/参数实验室!$E$55</f>
        <v>-0.25039009047556587</v>
      </c>
      <c r="F3438">
        <f t="shared" si="478"/>
        <v>0.79738778951026568</v>
      </c>
      <c r="G3438">
        <f>LN(F3438/参数实验室!$E$58)/参数实验室!$E$59</f>
        <v>-0.30936441038211326</v>
      </c>
      <c r="H3438" s="856">
        <f>INDEX(神经网络!$G$10:$BO$70,MATCH(ROUND(G3438*2,1)/2,神经网络!$E$10:$E$70,0),MATCH(ROUND(E3438*2,1)/2,神经网络!$G$8:$BO$8,0))</f>
        <v>-0.51388151638675161</v>
      </c>
      <c r="I3438">
        <f t="shared" si="480"/>
        <v>562688.75657088112</v>
      </c>
      <c r="J3438">
        <f t="shared" si="481"/>
        <v>3196.6290253349007</v>
      </c>
      <c r="K3438">
        <f t="shared" si="482"/>
        <v>176.02566707343527</v>
      </c>
      <c r="L3438" s="4">
        <f>MIN(MAX(L3437*(1+MAX(MIN(((B3438-B3437)/B3437)/($K$7*卓尔金历!$N$40),0),-卓尔金历!$M$43))+MIN(MAX(((B3438-B3437)/B3437)/($K$7*卓尔金历!$N$40),0),卓尔金历!$M$43),0),1)</f>
        <v>0.47674031069943823</v>
      </c>
      <c r="M3438" s="4">
        <f>MIN(MAX(M3437*(1+MAX(MIN(((B3438-B3437)/B3437)/($K$7*30),0),-卓尔金历!$M$43))+MIN(MAX(((B3438-B3437)/B3437)/($K$7*7),0),卓尔金历!$M$43),0),1)</f>
        <v>1</v>
      </c>
      <c r="N3438">
        <f t="shared" si="483"/>
        <v>199868.79401701374</v>
      </c>
      <c r="O3438">
        <f t="shared" si="484"/>
        <v>558075.63716638356</v>
      </c>
      <c r="P3438">
        <f t="shared" si="485"/>
        <v>1.1595334075475977E-2</v>
      </c>
      <c r="Q3438">
        <f t="shared" si="486"/>
        <v>2.5183254994681072E-2</v>
      </c>
      <c r="R3438">
        <f t="shared" si="487"/>
        <v>0.82022963517556635</v>
      </c>
      <c r="S3438">
        <f t="shared" si="479"/>
        <v>1178.1516010808318</v>
      </c>
      <c r="T3438" s="564">
        <f>IF((I3438-MAX(I$470:I3438))/MAX(I$470:I3438)&gt;T3437,T3437,(I3438-MAX(I$470:I3438))/MAX(I$470:I3438))</f>
        <v>-0.91338805338419748</v>
      </c>
      <c r="U3438" s="564">
        <f>IF((J3438-MAX(J$470:J3438))/MAX(J$470:J3438)&gt;U3437,U3437,(J3438-MAX(J$470:J3438))/MAX(J$470:J3438))</f>
        <v>-0.83569785939843477</v>
      </c>
      <c r="V3438" s="564">
        <f>IF((K3438-MAX(K$470:K3438))/MAX(K$470:K3438)&gt;V3437,V3437,(K3438-MAX(K$470:K3438))/MAX(K$470:K3438))</f>
        <v>-0.84885940676762139</v>
      </c>
      <c r="W3438" s="564">
        <f>IF((N3438-MAX(N$470:N3438))/MAX(N$470:N3438)&gt;W3437,W3437,(N3438-MAX(N$470:N3438))/MAX(N$470:N3438))</f>
        <v>-0.62788758315546067</v>
      </c>
      <c r="X3438" s="564">
        <f>IF((O3438-MAX(O$470:O3438))/MAX(O$470:O3438)&gt;X3437,X3437,(O3438-MAX(O$470:O3438))/MAX(O$470:O3438))</f>
        <v>-0.62788758315546067</v>
      </c>
    </row>
    <row r="3439" spans="1:24">
      <c r="A3439" s="799">
        <v>43841</v>
      </c>
      <c r="B3439">
        <v>8067.4318652818001</v>
      </c>
      <c r="C3439">
        <v>6240.6874399999997</v>
      </c>
      <c r="D3439">
        <v>1.4375519999999999</v>
      </c>
      <c r="E3439">
        <f>LN(D3439/参数实验室!$E$53)/参数实验室!$E$55</f>
        <v>-0.26478668496999092</v>
      </c>
      <c r="F3439">
        <f t="shared" si="478"/>
        <v>0.77356555893044521</v>
      </c>
      <c r="G3439">
        <f>LN(F3439/参数实验室!$E$58)/参数实验室!$E$59</f>
        <v>-0.3252836005480661</v>
      </c>
      <c r="H3439" s="856">
        <f>INDEX(神经网络!$G$10:$BO$70,MATCH(ROUND(G3439*2,1)/2,神经网络!$E$10:$E$70,0),MATCH(ROUND(E3439*2,1)/2,神经网络!$G$8:$BO$8,0))</f>
        <v>-0.5864484419700331</v>
      </c>
      <c r="I3439">
        <f t="shared" si="480"/>
        <v>560654.47744558309</v>
      </c>
      <c r="J3439">
        <f t="shared" si="481"/>
        <v>3219.1180979537107</v>
      </c>
      <c r="K3439">
        <f t="shared" si="482"/>
        <v>174.16399783592067</v>
      </c>
      <c r="L3439" s="4">
        <f>MIN(MAX(L3438*(1+MAX(MIN(((B3439-B3438)/B3438)/($K$7*卓尔金历!$N$40),0),-卓尔金历!$M$43))+MIN(MAX(((B3439-B3438)/B3438)/($K$7*卓尔金历!$N$40),0),卓尔金历!$M$43),0),1)</f>
        <v>0.58423212340074637</v>
      </c>
      <c r="M3439" s="4">
        <f>MIN(MAX(M3438*(1+MAX(MIN(((B3439-B3438)/B3438)/($K$7*30),0),-卓尔金历!$M$43))+MIN(MAX(((B3439-B3438)/B3438)/($K$7*7),0),卓尔金历!$M$43),0),1)</f>
        <v>1</v>
      </c>
      <c r="N3439">
        <f t="shared" si="483"/>
        <v>199524.30992412355</v>
      </c>
      <c r="O3439">
        <f t="shared" si="484"/>
        <v>556058.03577348636</v>
      </c>
      <c r="P3439">
        <f t="shared" si="485"/>
        <v>7.0352463299847116E-3</v>
      </c>
      <c r="Q3439">
        <f t="shared" si="486"/>
        <v>2.5061257528136302E-2</v>
      </c>
      <c r="R3439">
        <f t="shared" si="487"/>
        <v>1</v>
      </c>
      <c r="S3439">
        <f t="shared" si="479"/>
        <v>1174.6579547405179</v>
      </c>
      <c r="T3439" s="564">
        <f>IF((I3439-MAX(I$470:I3439))/MAX(I$470:I3439)&gt;T3438,T3438,(I3439-MAX(I$470:I3439))/MAX(I$470:I3439))</f>
        <v>-0.91338805338419748</v>
      </c>
      <c r="U3439" s="564">
        <f>IF((J3439-MAX(J$470:J3439))/MAX(J$470:J3439)&gt;U3438,U3438,(J3439-MAX(J$470:J3439))/MAX(J$470:J3439))</f>
        <v>-0.83569785939843477</v>
      </c>
      <c r="V3439" s="564">
        <f>IF((K3439-MAX(K$470:K3439))/MAX(K$470:K3439)&gt;V3438,V3438,(K3439-MAX(K$470:K3439))/MAX(K$470:K3439))</f>
        <v>-0.84885940676762139</v>
      </c>
      <c r="W3439" s="564">
        <f>IF((N3439-MAX(N$470:N3439))/MAX(N$470:N3439)&gt;W3438,W3438,(N3439-MAX(N$470:N3439))/MAX(N$470:N3439))</f>
        <v>-0.62788758315546067</v>
      </c>
      <c r="X3439" s="564">
        <f>IF((O3439-MAX(O$470:O3439))/MAX(O$470:O3439)&gt;X3438,X3438,(O3439-MAX(O$470:O3439))/MAX(O$470:O3439))</f>
        <v>-0.62788758315546067</v>
      </c>
    </row>
    <row r="3440" spans="1:24">
      <c r="A3440" s="799">
        <v>43842</v>
      </c>
      <c r="B3440">
        <v>8166.9253364336</v>
      </c>
      <c r="C3440">
        <v>6246.8411630000001</v>
      </c>
      <c r="D3440">
        <v>1.460842</v>
      </c>
      <c r="E3440">
        <f>LN(D3440/参数实验室!$E$53)/参数实验室!$E$55</f>
        <v>-0.2458264991216744</v>
      </c>
      <c r="F3440">
        <f t="shared" si="478"/>
        <v>0.7648950989097596</v>
      </c>
      <c r="G3440">
        <f>LN(F3440/参数实验室!$E$58)/参数实验室!$E$59</f>
        <v>-0.33119961036660645</v>
      </c>
      <c r="H3440" s="856">
        <f>INDEX(神经网络!$G$10:$BO$70,MATCH(ROUND(G3440*2,1)/2,神经网络!$E$10:$E$70,0),MATCH(ROUND(E3440*2,1)/2,神经网络!$G$8:$BO$8,0))</f>
        <v>-0.5864484419700331</v>
      </c>
      <c r="I3440">
        <f t="shared" si="480"/>
        <v>556599.53767047892</v>
      </c>
      <c r="J3440">
        <f t="shared" si="481"/>
        <v>3258.8186171475977</v>
      </c>
      <c r="K3440">
        <f t="shared" si="482"/>
        <v>170.79794952124809</v>
      </c>
      <c r="L3440" s="4">
        <f>MIN(MAX(L3439*(1+MAX(MIN(((B3440-B3439)/B3439)/($K$7*卓尔金历!$N$40),0),-卓尔金历!$M$43))+MIN(MAX(((B3440-B3439)/B3439)/($K$7*卓尔金历!$N$40),0),卓尔金历!$M$43),0),1)</f>
        <v>0.77266442600248042</v>
      </c>
      <c r="M3440" s="4">
        <f>MIN(MAX(M3439*(1+MAX(MIN(((B3440-B3439)/B3439)/($K$7*30),0),-卓尔金历!$M$43))+MIN(MAX(((B3440-B3439)/B3439)/($K$7*7),0),卓尔金历!$M$43),0),1)</f>
        <v>1</v>
      </c>
      <c r="N3440">
        <f t="shared" si="483"/>
        <v>198681.22686345768</v>
      </c>
      <c r="O3440">
        <f t="shared" si="484"/>
        <v>552036.33981415443</v>
      </c>
      <c r="P3440">
        <f t="shared" si="485"/>
        <v>1.2332731507776364E-2</v>
      </c>
      <c r="Q3440">
        <f t="shared" si="486"/>
        <v>2.5089733995482623E-2</v>
      </c>
      <c r="R3440">
        <f t="shared" si="487"/>
        <v>0.75306174323767361</v>
      </c>
      <c r="S3440">
        <f t="shared" si="479"/>
        <v>1166.1622279525654</v>
      </c>
      <c r="T3440" s="564">
        <f>IF((I3440-MAX(I$470:I3440))/MAX(I$470:I3440)&gt;T3439,T3439,(I3440-MAX(I$470:I3440))/MAX(I$470:I3440))</f>
        <v>-0.91338805338419748</v>
      </c>
      <c r="U3440" s="564">
        <f>IF((J3440-MAX(J$470:J3440))/MAX(J$470:J3440)&gt;U3439,U3439,(J3440-MAX(J$470:J3440))/MAX(J$470:J3440))</f>
        <v>-0.83569785939843477</v>
      </c>
      <c r="V3440" s="564">
        <f>IF((K3440-MAX(K$470:K3440))/MAX(K$470:K3440)&gt;V3439,V3439,(K3440-MAX(K$470:K3440))/MAX(K$470:K3440))</f>
        <v>-0.84885940676762139</v>
      </c>
      <c r="W3440" s="564">
        <f>IF((N3440-MAX(N$470:N3440))/MAX(N$470:N3440)&gt;W3439,W3439,(N3440-MAX(N$470:N3440))/MAX(N$470:N3440))</f>
        <v>-0.62788758315546067</v>
      </c>
      <c r="X3440" s="564">
        <f>IF((O3440-MAX(O$470:O3440))/MAX(O$470:O3440)&gt;X3439,X3439,(O3440-MAX(O$470:O3440))/MAX(O$470:O3440))</f>
        <v>-0.62788758315546067</v>
      </c>
    </row>
    <row r="3441" spans="1:24">
      <c r="A3441" s="799">
        <v>43843</v>
      </c>
      <c r="B3441">
        <v>8091.885664038</v>
      </c>
      <c r="C3441">
        <v>6281.6821540000001</v>
      </c>
      <c r="D3441">
        <v>1.452766</v>
      </c>
      <c r="E3441">
        <f>LN(D3441/参数实验室!$E$53)/参数实验室!$E$55</f>
        <v>-0.25236664563336259</v>
      </c>
      <c r="F3441">
        <f t="shared" si="478"/>
        <v>0.77629398323274446</v>
      </c>
      <c r="G3441">
        <f>LN(F3441/参数实验室!$E$58)/参数实验室!$E$59</f>
        <v>-0.32343565760008897</v>
      </c>
      <c r="H3441" s="856">
        <f>INDEX(神经网络!$G$10:$BO$70,MATCH(ROUND(G3441*2,1)/2,神经网络!$E$10:$E$70,0),MATCH(ROUND(E3441*2,1)/2,神经网络!$G$8:$BO$8,0))</f>
        <v>-0.51388151638675161</v>
      </c>
      <c r="I3441">
        <f t="shared" si="480"/>
        <v>559598.73487232905</v>
      </c>
      <c r="J3441">
        <f t="shared" si="481"/>
        <v>3228.8758086421108</v>
      </c>
      <c r="K3441">
        <f t="shared" si="482"/>
        <v>173.31070255924951</v>
      </c>
      <c r="L3441" s="4">
        <f>MIN(MAX(L3440*(1+MAX(MIN(((B3441-B3440)/B3440)/($K$7*卓尔金历!$N$40),0),-卓尔金历!$M$43))+MIN(MAX(((B3441-B3440)/B3440)/($K$7*卓尔金历!$N$40),0),卓尔金历!$M$43),0),1)</f>
        <v>0.66419200331061035</v>
      </c>
      <c r="M3441" s="4">
        <f>MIN(MAX(M3440*(1+MAX(MIN(((B3441-B3440)/B3440)/($K$7*30),0),-卓尔金历!$M$43))+MIN(MAX(((B3441-B3440)/B3440)/($K$7*7),0),卓尔金历!$M$43),0),1)</f>
        <v>0.92980625285606078</v>
      </c>
      <c r="N3441">
        <f t="shared" si="483"/>
        <v>199508.42573174083</v>
      </c>
      <c r="O3441">
        <f t="shared" si="484"/>
        <v>555010.94854742719</v>
      </c>
      <c r="P3441">
        <f t="shared" si="485"/>
        <v>-9.1882402868114135E-3</v>
      </c>
      <c r="Q3441">
        <f t="shared" si="486"/>
        <v>2.2691450402870128E-2</v>
      </c>
      <c r="R3441">
        <f t="shared" si="487"/>
        <v>0.9518362363952505</v>
      </c>
      <c r="S3441">
        <f t="shared" si="479"/>
        <v>1170.8943042327967</v>
      </c>
      <c r="T3441" s="564">
        <f>IF((I3441-MAX(I$470:I3441))/MAX(I$470:I3441)&gt;T3440,T3440,(I3441-MAX(I$470:I3441))/MAX(I$470:I3441))</f>
        <v>-0.91338805338419748</v>
      </c>
      <c r="U3441" s="564">
        <f>IF((J3441-MAX(J$470:J3441))/MAX(J$470:J3441)&gt;U3440,U3440,(J3441-MAX(J$470:J3441))/MAX(J$470:J3441))</f>
        <v>-0.83569785939843477</v>
      </c>
      <c r="V3441" s="564">
        <f>IF((K3441-MAX(K$470:K3441))/MAX(K$470:K3441)&gt;V3440,V3440,(K3441-MAX(K$470:K3441))/MAX(K$470:K3441))</f>
        <v>-0.84885940676762139</v>
      </c>
      <c r="W3441" s="564">
        <f>IF((N3441-MAX(N$470:N3441))/MAX(N$470:N3441)&gt;W3440,W3440,(N3441-MAX(N$470:N3441))/MAX(N$470:N3441))</f>
        <v>-0.62788758315546067</v>
      </c>
      <c r="X3441" s="564">
        <f>IF((O3441-MAX(O$470:O3441))/MAX(O$470:O3441)&gt;X3440,X3440,(O3441-MAX(O$470:O3441))/MAX(O$470:O3441))</f>
        <v>-0.62788758315546067</v>
      </c>
    </row>
    <row r="3442" spans="1:24">
      <c r="A3442" s="799">
        <v>43844</v>
      </c>
      <c r="B3442">
        <v>8715.6953024954</v>
      </c>
      <c r="C3442">
        <v>6197.8018490000004</v>
      </c>
      <c r="D3442">
        <v>1.574638</v>
      </c>
      <c r="E3442">
        <f>LN(D3442/参数实验室!$E$53)/参数实验室!$E$55</f>
        <v>-0.15733035001366666</v>
      </c>
      <c r="F3442">
        <f t="shared" si="478"/>
        <v>0.71110813697508457</v>
      </c>
      <c r="G3442">
        <f>LN(F3442/参数实验室!$E$58)/参数实验室!$E$59</f>
        <v>-0.3694689173619361</v>
      </c>
      <c r="H3442" s="856">
        <f>INDEX(神经网络!$G$10:$BO$70,MATCH(ROUND(G3442*2,1)/2,神经网络!$E$10:$E$70,0),MATCH(ROUND(E3442*2,1)/2,神经网络!$G$8:$BO$8,0))</f>
        <v>-0.51523219373049767</v>
      </c>
      <c r="I3442">
        <f t="shared" si="480"/>
        <v>537429.94106500049</v>
      </c>
      <c r="J3442">
        <f t="shared" si="481"/>
        <v>3477.7923077672058</v>
      </c>
      <c r="K3442">
        <f t="shared" si="482"/>
        <v>154.53192528625681</v>
      </c>
      <c r="L3442" s="4">
        <f>MIN(MAX(L3441*(1+MAX(MIN(((B3442-B3441)/B3441)/($K$7*卓尔金历!$N$40),0),-卓尔金历!$M$43))+MIN(MAX(((B3442-B3441)/B3441)/($K$7*卓尔金历!$N$40),0),卓尔金历!$M$43),0),1)</f>
        <v>1</v>
      </c>
      <c r="M3442" s="4">
        <f>MIN(MAX(M3441*(1+MAX(MIN(((B3442-B3441)/B3441)/($K$7*30),0),-卓尔金历!$M$43))+MIN(MAX(((B3442-B3441)/B3441)/($K$7*7),0),卓尔金历!$M$43),0),1)</f>
        <v>1</v>
      </c>
      <c r="N3442">
        <f t="shared" si="483"/>
        <v>194258.89812128129</v>
      </c>
      <c r="O3442">
        <f t="shared" si="484"/>
        <v>534567.25543894968</v>
      </c>
      <c r="P3442">
        <f t="shared" si="485"/>
        <v>7.709076281561146E-2</v>
      </c>
      <c r="Q3442">
        <f t="shared" si="486"/>
        <v>2.5571375735000585E-2</v>
      </c>
      <c r="R3442">
        <f t="shared" si="487"/>
        <v>0</v>
      </c>
      <c r="S3442">
        <f t="shared" si="479"/>
        <v>1126.7428240623865</v>
      </c>
      <c r="T3442" s="564">
        <f>IF((I3442-MAX(I$470:I3442))/MAX(I$470:I3442)&gt;T3441,T3441,(I3442-MAX(I$470:I3442))/MAX(I$470:I3442))</f>
        <v>-0.91338805338419748</v>
      </c>
      <c r="U3442" s="564">
        <f>IF((J3442-MAX(J$470:J3442))/MAX(J$470:J3442)&gt;U3441,U3441,(J3442-MAX(J$470:J3442))/MAX(J$470:J3442))</f>
        <v>-0.83569785939843477</v>
      </c>
      <c r="V3442" s="564">
        <f>IF((K3442-MAX(K$470:K3442))/MAX(K$470:K3442)&gt;V3441,V3441,(K3442-MAX(K$470:K3442))/MAX(K$470:K3442))</f>
        <v>-0.84885940676762139</v>
      </c>
      <c r="W3442" s="564">
        <f>IF((N3442-MAX(N$470:N3442))/MAX(N$470:N3442)&gt;W3441,W3441,(N3442-MAX(N$470:N3442))/MAX(N$470:N3442))</f>
        <v>-0.62788758315546067</v>
      </c>
      <c r="X3442" s="564">
        <f>IF((O3442-MAX(O$470:O3442))/MAX(O$470:O3442)&gt;X3441,X3441,(O3442-MAX(O$470:O3442))/MAX(O$470:O3442))</f>
        <v>-0.62788758315546067</v>
      </c>
    </row>
    <row r="3443" spans="1:24">
      <c r="A3443" s="799">
        <v>43845</v>
      </c>
      <c r="B3443">
        <v>8813.2210918300007</v>
      </c>
      <c r="C3443">
        <v>6224.2293099999997</v>
      </c>
      <c r="D3443">
        <v>1.568684</v>
      </c>
      <c r="E3443">
        <f>LN(D3443/参数实验室!$E$53)/参数实验室!$E$55</f>
        <v>-0.16179967209736698</v>
      </c>
      <c r="F3443">
        <f t="shared" si="478"/>
        <v>0.7062377359135994</v>
      </c>
      <c r="G3443">
        <f>LN(F3443/参数实验室!$E$58)/参数实验室!$E$59</f>
        <v>-0.37307602526544659</v>
      </c>
      <c r="H3443" s="856">
        <f>INDEX(神经网络!$G$10:$BO$70,MATCH(ROUND(G3443*2,1)/2,神经网络!$E$10:$E$70,0),MATCH(ROUND(E3443*2,1)/2,神经网络!$G$8:$BO$8,0))</f>
        <v>-0.51523219373049767</v>
      </c>
      <c r="I3443">
        <f t="shared" si="480"/>
        <v>534331.50681586843</v>
      </c>
      <c r="J3443">
        <f t="shared" si="481"/>
        <v>3516.707670017156</v>
      </c>
      <c r="K3443">
        <f t="shared" si="482"/>
        <v>151.94083698553817</v>
      </c>
      <c r="L3443" s="4">
        <f>MIN(MAX(L3442*(1+MAX(MIN(((B3443-B3442)/B3442)/($K$7*卓尔金历!$N$40),0),-卓尔金历!$M$43))+MIN(MAX(((B3443-B3442)/B3442)/($K$7*卓尔金历!$N$40),0),卓尔金历!$M$43),0),1)</f>
        <v>1</v>
      </c>
      <c r="M3443" s="4">
        <f>MIN(MAX(M3442*(1+MAX(MIN(((B3443-B3442)/B3442)/($K$7*30),0),-卓尔金历!$M$43))+MIN(MAX(((B3443-B3442)/B3442)/($K$7*7),0),卓尔金历!$M$43),0),1)</f>
        <v>1</v>
      </c>
      <c r="N3443">
        <f t="shared" si="483"/>
        <v>193138.9411238262</v>
      </c>
      <c r="O3443">
        <f t="shared" si="484"/>
        <v>531485.32537484809</v>
      </c>
      <c r="P3443">
        <f t="shared" si="485"/>
        <v>1.1189674024822543E-2</v>
      </c>
      <c r="Q3443">
        <f t="shared" si="486"/>
        <v>2.5164542536976756E-2</v>
      </c>
      <c r="R3443">
        <f t="shared" si="487"/>
        <v>0.85674012891845963</v>
      </c>
      <c r="S3443">
        <f t="shared" si="479"/>
        <v>1126.7428240623865</v>
      </c>
      <c r="T3443" s="564">
        <f>IF((I3443-MAX(I$470:I3443))/MAX(I$470:I3443)&gt;T3442,T3442,(I3443-MAX(I$470:I3443))/MAX(I$470:I3443))</f>
        <v>-0.91338805338419748</v>
      </c>
      <c r="U3443" s="564">
        <f>IF((J3443-MAX(J$470:J3443))/MAX(J$470:J3443)&gt;U3442,U3442,(J3443-MAX(J$470:J3443))/MAX(J$470:J3443))</f>
        <v>-0.83569785939843477</v>
      </c>
      <c r="V3443" s="564">
        <f>IF((K3443-MAX(K$470:K3443))/MAX(K$470:K3443)&gt;V3442,V3442,(K3443-MAX(K$470:K3443))/MAX(K$470:K3443))</f>
        <v>-0.84885940676762139</v>
      </c>
      <c r="W3443" s="564">
        <f>IF((N3443-MAX(N$470:N3443))/MAX(N$470:N3443)&gt;W3442,W3442,(N3443-MAX(N$470:N3443))/MAX(N$470:N3443))</f>
        <v>-0.62788758315546067</v>
      </c>
      <c r="X3443" s="564">
        <f>IF((O3443-MAX(O$470:O3443))/MAX(O$470:O3443)&gt;X3442,X3442,(O3443-MAX(O$470:O3443))/MAX(O$470:O3443))</f>
        <v>-0.62788758315546067</v>
      </c>
    </row>
    <row r="3444" spans="1:24">
      <c r="A3444" s="799">
        <v>43846</v>
      </c>
      <c r="B3444">
        <v>8701.6824187952006</v>
      </c>
      <c r="C3444">
        <v>6153.6009110000005</v>
      </c>
      <c r="D3444">
        <v>1.550786</v>
      </c>
      <c r="E3444">
        <f>LN(D3444/参数实验室!$E$53)/参数实验室!$E$55</f>
        <v>-0.17533752004136896</v>
      </c>
      <c r="F3444">
        <f t="shared" si="478"/>
        <v>0.70717369525099294</v>
      </c>
      <c r="G3444">
        <f>LN(F3444/参数实验室!$E$58)/参数实验室!$E$59</f>
        <v>-0.37238090974088828</v>
      </c>
      <c r="H3444" s="856">
        <f>INDEX(神经网络!$G$10:$BO$70,MATCH(ROUND(G3444*2,1)/2,神经网络!$E$10:$E$70,0),MATCH(ROUND(E3444*2,1)/2,神经网络!$G$8:$BO$8,0))</f>
        <v>-0.55379843649671057</v>
      </c>
      <c r="I3444">
        <f t="shared" si="480"/>
        <v>537815.7189026369</v>
      </c>
      <c r="J3444">
        <f t="shared" si="481"/>
        <v>3472.2007975720026</v>
      </c>
      <c r="K3444">
        <f t="shared" si="482"/>
        <v>154.89188277322958</v>
      </c>
      <c r="L3444" s="4">
        <f>MIN(MAX(L3443*(1+MAX(MIN(((B3444-B3443)/B3443)/($K$7*卓尔金历!$N$40),0),-卓尔金历!$M$43))+MIN(MAX(((B3444-B3443)/B3443)/($K$7*卓尔金历!$N$40),0),卓尔金历!$M$43),0),1)</f>
        <v>0.80663098422730251</v>
      </c>
      <c r="M3444" s="4">
        <f>MIN(MAX(M3443*(1+MAX(MIN(((B3444-B3443)/B3443)/($K$7*30),0),-卓尔金历!$M$43))+MIN(MAX(((B3444-B3443)/B3443)/($K$7*7),0),卓尔金历!$M$43),0),1)</f>
        <v>0.90331549211365125</v>
      </c>
      <c r="N3444">
        <f t="shared" si="483"/>
        <v>194398.34099919457</v>
      </c>
      <c r="O3444">
        <f t="shared" si="484"/>
        <v>534950.97838424332</v>
      </c>
      <c r="P3444">
        <f t="shared" si="485"/>
        <v>-1.2655835122325274E-2</v>
      </c>
      <c r="Q3444">
        <f t="shared" si="486"/>
        <v>2.557871276548029E-2</v>
      </c>
      <c r="R3444">
        <f t="shared" si="487"/>
        <v>0.74651346349386838</v>
      </c>
      <c r="S3444">
        <f t="shared" si="479"/>
        <v>1133.0374178687694</v>
      </c>
      <c r="T3444" s="564">
        <f>IF((I3444-MAX(I$470:I3444))/MAX(I$470:I3444)&gt;T3443,T3443,(I3444-MAX(I$470:I3444))/MAX(I$470:I3444))</f>
        <v>-0.91338805338419748</v>
      </c>
      <c r="U3444" s="564">
        <f>IF((J3444-MAX(J$470:J3444))/MAX(J$470:J3444)&gt;U3443,U3443,(J3444-MAX(J$470:J3444))/MAX(J$470:J3444))</f>
        <v>-0.83569785939843477</v>
      </c>
      <c r="V3444" s="564">
        <f>IF((K3444-MAX(K$470:K3444))/MAX(K$470:K3444)&gt;V3443,V3443,(K3444-MAX(K$470:K3444))/MAX(K$470:K3444))</f>
        <v>-0.84885940676762139</v>
      </c>
      <c r="W3444" s="564">
        <f>IF((N3444-MAX(N$470:N3444))/MAX(N$470:N3444)&gt;W3443,W3443,(N3444-MAX(N$470:N3444))/MAX(N$470:N3444))</f>
        <v>-0.62788758315546067</v>
      </c>
      <c r="X3444" s="564">
        <f>IF((O3444-MAX(O$470:O3444))/MAX(O$470:O3444)&gt;X3443,X3443,(O3444-MAX(O$470:O3444))/MAX(O$470:O3444))</f>
        <v>-0.62788758315546067</v>
      </c>
    </row>
    <row r="3445" spans="1:24">
      <c r="A3445" s="799">
        <v>43847</v>
      </c>
      <c r="B3445">
        <v>8831.3433719837994</v>
      </c>
      <c r="C3445">
        <v>6056.475915</v>
      </c>
      <c r="D3445">
        <v>1.583683</v>
      </c>
      <c r="E3445">
        <f>LN(D3445/参数实验室!$E$53)/参数实验室!$E$55</f>
        <v>-0.15057302720511909</v>
      </c>
      <c r="F3445">
        <f t="shared" si="478"/>
        <v>0.68579327740933749</v>
      </c>
      <c r="G3445">
        <f>LN(F3445/参数实验室!$E$58)/参数实验室!$E$59</f>
        <v>-0.38849396957871163</v>
      </c>
      <c r="H3445" s="856">
        <f>INDEX(神经网络!$G$10:$BO$70,MATCH(ROUND(G3445*2,1)/2,神经网络!$E$10:$E$70,0),MATCH(ROUND(E3445*2,1)/2,神经网络!$G$8:$BO$8,0))</f>
        <v>-0.58779147677555854</v>
      </c>
      <c r="I3445">
        <f t="shared" si="480"/>
        <v>533377.67905220762</v>
      </c>
      <c r="J3445">
        <f t="shared" si="481"/>
        <v>3523.9389377853213</v>
      </c>
      <c r="K3445">
        <f t="shared" si="482"/>
        <v>151.35837722188734</v>
      </c>
      <c r="L3445" s="4">
        <f>MIN(MAX(L3444*(1+MAX(MIN(((B3445-B3444)/B3444)/($K$7*卓尔金历!$N$40),0),-卓尔金历!$M$43))+MIN(MAX(((B3445-B3444)/B3444)/($K$7*卓尔金历!$N$40),0),卓尔金历!$M$43),0),1)</f>
        <v>1</v>
      </c>
      <c r="M3445" s="4">
        <f>MIN(MAX(M3444*(1+MAX(MIN(((B3445-B3444)/B3444)/($K$7*30),0),-卓尔金历!$M$43))+MIN(MAX(((B3445-B3444)/B3444)/($K$7*7),0),卓尔金历!$M$43),0),1)</f>
        <v>1</v>
      </c>
      <c r="N3445">
        <f t="shared" si="483"/>
        <v>193104.36815955272</v>
      </c>
      <c r="O3445">
        <f t="shared" si="484"/>
        <v>530963.3823909167</v>
      </c>
      <c r="P3445">
        <f t="shared" si="485"/>
        <v>1.4900676323068008E-2</v>
      </c>
      <c r="Q3445">
        <f t="shared" si="486"/>
        <v>2.5581077130347647E-2</v>
      </c>
      <c r="R3445">
        <f t="shared" si="487"/>
        <v>0.57984893429395334</v>
      </c>
      <c r="S3445">
        <f t="shared" si="479"/>
        <v>1126.057672112132</v>
      </c>
      <c r="T3445" s="564">
        <f>IF((I3445-MAX(I$470:I3445))/MAX(I$470:I3445)&gt;T3444,T3444,(I3445-MAX(I$470:I3445))/MAX(I$470:I3445))</f>
        <v>-0.91338805338419748</v>
      </c>
      <c r="U3445" s="564">
        <f>IF((J3445-MAX(J$470:J3445))/MAX(J$470:J3445)&gt;U3444,U3444,(J3445-MAX(J$470:J3445))/MAX(J$470:J3445))</f>
        <v>-0.83569785939843477</v>
      </c>
      <c r="V3445" s="564">
        <f>IF((K3445-MAX(K$470:K3445))/MAX(K$470:K3445)&gt;V3444,V3444,(K3445-MAX(K$470:K3445))/MAX(K$470:K3445))</f>
        <v>-0.84885940676762139</v>
      </c>
      <c r="W3445" s="564">
        <f>IF((N3445-MAX(N$470:N3445))/MAX(N$470:N3445)&gt;W3444,W3444,(N3445-MAX(N$470:N3445))/MAX(N$470:N3445))</f>
        <v>-0.62788758315546067</v>
      </c>
      <c r="X3445" s="564">
        <f>IF((O3445-MAX(O$470:O3445))/MAX(O$470:O3445)&gt;X3444,X3444,(O3445-MAX(O$470:O3445))/MAX(O$470:O3445))</f>
        <v>-0.62788758315546067</v>
      </c>
    </row>
    <row r="3446" spans="1:24">
      <c r="A3446" s="799">
        <v>43848</v>
      </c>
      <c r="B3446">
        <v>8901.3233168934003</v>
      </c>
      <c r="C3446">
        <v>6157.5139339999996</v>
      </c>
      <c r="D3446">
        <v>1.5858380000000001</v>
      </c>
      <c r="E3446">
        <f>LN(D3446/参数实验室!$E$53)/参数实验室!$E$55</f>
        <v>-0.14896876673009815</v>
      </c>
      <c r="F3446">
        <f t="shared" si="478"/>
        <v>0.69175264337538955</v>
      </c>
      <c r="G3446">
        <f>LN(F3446/参数实验室!$E$58)/参数实验室!$E$59</f>
        <v>-0.38395282610513487</v>
      </c>
      <c r="H3446" s="856">
        <f>INDEX(神经网络!$G$10:$BO$70,MATCH(ROUND(G3446*2,1)/2,神经网络!$E$10:$E$70,0),MATCH(ROUND(E3446*2,1)/2,神经网络!$G$8:$BO$8,0))</f>
        <v>-0.58779147677555854</v>
      </c>
      <c r="I3446">
        <f t="shared" si="480"/>
        <v>530893.37386073312</v>
      </c>
      <c r="J3446">
        <f t="shared" si="481"/>
        <v>3551.8627815703262</v>
      </c>
      <c r="K3446">
        <f t="shared" si="482"/>
        <v>149.46899880687903</v>
      </c>
      <c r="L3446" s="4">
        <f>MIN(MAX(L3445*(1+MAX(MIN(((B3446-B3445)/B3445)/($K$7*卓尔金历!$N$40),0),-卓尔金历!$M$43))+MIN(MAX(((B3446-B3445)/B3445)/($K$7*卓尔金历!$N$40),0),卓尔金历!$M$43),0),1)</f>
        <v>1</v>
      </c>
      <c r="M3446" s="4">
        <f>MIN(MAX(M3445*(1+MAX(MIN(((B3446-B3445)/B3445)/($K$7*30),0),-卓尔金历!$M$43))+MIN(MAX(((B3446-B3445)/B3445)/($K$7*7),0),卓尔金历!$M$43),0),1)</f>
        <v>1</v>
      </c>
      <c r="N3446">
        <f t="shared" si="483"/>
        <v>192204.94884907905</v>
      </c>
      <c r="O3446">
        <f t="shared" si="484"/>
        <v>528490.32223268028</v>
      </c>
      <c r="P3446">
        <f t="shared" si="485"/>
        <v>7.9240430319584675E-3</v>
      </c>
      <c r="Q3446">
        <f t="shared" si="486"/>
        <v>2.558445556206396E-2</v>
      </c>
      <c r="R3446">
        <f t="shared" si="487"/>
        <v>1</v>
      </c>
      <c r="S3446">
        <f t="shared" si="479"/>
        <v>1123.0164677351793</v>
      </c>
      <c r="T3446" s="564">
        <f>IF((I3446-MAX(I$470:I3446))/MAX(I$470:I3446)&gt;T3445,T3445,(I3446-MAX(I$470:I3446))/MAX(I$470:I3446))</f>
        <v>-0.91338805338419748</v>
      </c>
      <c r="U3446" s="564">
        <f>IF((J3446-MAX(J$470:J3446))/MAX(J$470:J3446)&gt;U3445,U3445,(J3446-MAX(J$470:J3446))/MAX(J$470:J3446))</f>
        <v>-0.83569785939843477</v>
      </c>
      <c r="V3446" s="564">
        <f>IF((K3446-MAX(K$470:K3446))/MAX(K$470:K3446)&gt;V3445,V3445,(K3446-MAX(K$470:K3446))/MAX(K$470:K3446))</f>
        <v>-0.84885940676762139</v>
      </c>
      <c r="W3446" s="564">
        <f>IF((N3446-MAX(N$470:N3446))/MAX(N$470:N3446)&gt;W3445,W3445,(N3446-MAX(N$470:N3446))/MAX(N$470:N3446))</f>
        <v>-0.62788758315546067</v>
      </c>
      <c r="X3446" s="564">
        <f>IF((O3446-MAX(O$470:O3446))/MAX(O$470:O3446)&gt;X3445,X3445,(O3446-MAX(O$470:O3446))/MAX(O$470:O3446))</f>
        <v>-0.62788758315546067</v>
      </c>
    </row>
    <row r="3447" spans="1:24">
      <c r="A3447" s="799">
        <v>43849</v>
      </c>
      <c r="B3447">
        <v>8656.0745763913001</v>
      </c>
      <c r="C3447">
        <v>6183.6918660000001</v>
      </c>
      <c r="D3447">
        <v>1.543142</v>
      </c>
      <c r="E3447">
        <f>LN(D3447/参数实验室!$E$53)/参数实验室!$E$55</f>
        <v>-0.18116703653041147</v>
      </c>
      <c r="F3447">
        <f t="shared" si="478"/>
        <v>0.7143759924233426</v>
      </c>
      <c r="G3447">
        <f>LN(F3447/参数实验室!$E$58)/参数实验室!$E$59</f>
        <v>-0.36706250663673384</v>
      </c>
      <c r="H3447" s="856">
        <f>INDEX(神经网络!$G$10:$BO$70,MATCH(ROUND(G3447*2,1)/2,神经网络!$E$10:$E$70,0),MATCH(ROUND(E3447*2,1)/2,神经网络!$G$8:$BO$8,0))</f>
        <v>-0.55379843649671057</v>
      </c>
      <c r="I3447">
        <f t="shared" si="480"/>
        <v>539491.08399328485</v>
      </c>
      <c r="J3447">
        <f t="shared" si="481"/>
        <v>3454.0020655166572</v>
      </c>
      <c r="K3447">
        <f t="shared" si="482"/>
        <v>156.19304035146448</v>
      </c>
      <c r="L3447" s="4">
        <f>MIN(MAX(L3446*(1+MAX(MIN(((B3447-B3446)/B3446)/($K$7*卓尔金历!$N$40),0),-卓尔金历!$M$43))+MIN(MAX(((B3447-B3446)/B3446)/($K$7*卓尔金历!$N$40),0),卓尔金历!$M$43),0),1)</f>
        <v>0.57903277143634102</v>
      </c>
      <c r="M3447" s="4">
        <f>MIN(MAX(M3446*(1+MAX(MIN(((B3447-B3446)/B3446)/($K$7*30),0),-卓尔金历!$M$43))+MIN(MAX(((B3447-B3446)/B3446)/($K$7*7),0),卓尔金历!$M$43),0),1)</f>
        <v>0.78951638571817051</v>
      </c>
      <c r="N3447">
        <f t="shared" si="483"/>
        <v>195317.6688746257</v>
      </c>
      <c r="O3447">
        <f t="shared" si="484"/>
        <v>537049.11543322878</v>
      </c>
      <c r="P3447">
        <f t="shared" si="485"/>
        <v>-2.7551941635088596E-2</v>
      </c>
      <c r="Q3447">
        <f t="shared" si="486"/>
        <v>2.6781188531649382E-2</v>
      </c>
      <c r="R3447">
        <f t="shared" si="487"/>
        <v>2.4858540402976751E-2</v>
      </c>
      <c r="S3447">
        <f t="shared" si="479"/>
        <v>1141.2034908533133</v>
      </c>
      <c r="T3447" s="564">
        <f>IF((I3447-MAX(I$470:I3447))/MAX(I$470:I3447)&gt;T3446,T3446,(I3447-MAX(I$470:I3447))/MAX(I$470:I3447))</f>
        <v>-0.91338805338419748</v>
      </c>
      <c r="U3447" s="564">
        <f>IF((J3447-MAX(J$470:J3447))/MAX(J$470:J3447)&gt;U3446,U3446,(J3447-MAX(J$470:J3447))/MAX(J$470:J3447))</f>
        <v>-0.83569785939843477</v>
      </c>
      <c r="V3447" s="564">
        <f>IF((K3447-MAX(K$470:K3447))/MAX(K$470:K3447)&gt;V3446,V3446,(K3447-MAX(K$470:K3447))/MAX(K$470:K3447))</f>
        <v>-0.84885940676762139</v>
      </c>
      <c r="W3447" s="564">
        <f>IF((N3447-MAX(N$470:N3447))/MAX(N$470:N3447)&gt;W3446,W3446,(N3447-MAX(N$470:N3447))/MAX(N$470:N3447))</f>
        <v>-0.62788758315546067</v>
      </c>
      <c r="X3447" s="564">
        <f>IF((O3447-MAX(O$470:O3447))/MAX(O$470:O3447)&gt;X3446,X3446,(O3447-MAX(O$470:O3447))/MAX(O$470:O3447))</f>
        <v>-0.62788758315546067</v>
      </c>
    </row>
    <row r="3448" spans="1:24">
      <c r="A3448" s="799">
        <v>43850</v>
      </c>
      <c r="B3448">
        <v>8649.1006748074997</v>
      </c>
      <c r="C3448">
        <v>6283.692</v>
      </c>
      <c r="D3448">
        <v>1.5341389999999999</v>
      </c>
      <c r="E3448">
        <f>LN(D3448/参数实验室!$E$53)/参数实验室!$E$55</f>
        <v>-0.18807011022401088</v>
      </c>
      <c r="F3448">
        <f t="shared" si="478"/>
        <v>0.72651391586904546</v>
      </c>
      <c r="G3448">
        <f>LN(F3448/参数实验室!$E$58)/参数实验室!$E$59</f>
        <v>-0.35821965354103813</v>
      </c>
      <c r="H3448" s="856">
        <f>INDEX(神经网络!$G$10:$BO$70,MATCH(ROUND(G3448*2,1)/2,神经网络!$E$10:$E$70,0),MATCH(ROUND(E3448*2,1)/2,神经网络!$G$8:$BO$8,0))</f>
        <v>-0.55379843649671057</v>
      </c>
      <c r="I3448">
        <f t="shared" si="480"/>
        <v>539731.79215809074</v>
      </c>
      <c r="J3448">
        <f t="shared" si="481"/>
        <v>3451.2192948435791</v>
      </c>
      <c r="K3448">
        <f t="shared" si="482"/>
        <v>156.38872701149324</v>
      </c>
      <c r="L3448" s="4">
        <f>MIN(MAX(L3447*(1+MAX(MIN(((B3448-B3447)/B3447)/($K$7*卓尔金历!$N$40),0),-卓尔金历!$M$43))+MIN(MAX(((B3448-B3447)/B3447)/($K$7*卓尔金历!$N$40),0),卓尔金历!$M$43),0),1)</f>
        <v>0.57190499536323203</v>
      </c>
      <c r="M3448" s="4">
        <f>MIN(MAX(M3447*(1+MAX(MIN(((B3448-B3447)/B3447)/($K$7*30),0),-卓尔金历!$M$43))+MIN(MAX(((B3448-B3447)/B3447)/($K$7*7),0),卓尔金历!$M$43),0),1)</f>
        <v>0.78465699236337827</v>
      </c>
      <c r="N3448">
        <f t="shared" si="483"/>
        <v>195368.129337105</v>
      </c>
      <c r="O3448">
        <f t="shared" si="484"/>
        <v>537238.29825702403</v>
      </c>
      <c r="P3448">
        <f t="shared" si="485"/>
        <v>-8.0566560769024741E-4</v>
      </c>
      <c r="Q3448">
        <f t="shared" si="486"/>
        <v>2.6372044649139344E-2</v>
      </c>
      <c r="R3448">
        <f t="shared" si="487"/>
        <v>1</v>
      </c>
      <c r="S3448">
        <f t="shared" si="479"/>
        <v>1141.2161482755112</v>
      </c>
      <c r="T3448" s="564">
        <f>IF((I3448-MAX(I$470:I3448))/MAX(I$470:I3448)&gt;T3447,T3447,(I3448-MAX(I$470:I3448))/MAX(I$470:I3448))</f>
        <v>-0.91338805338419748</v>
      </c>
      <c r="U3448" s="564">
        <f>IF((J3448-MAX(J$470:J3448))/MAX(J$470:J3448)&gt;U3447,U3447,(J3448-MAX(J$470:J3448))/MAX(J$470:J3448))</f>
        <v>-0.83569785939843477</v>
      </c>
      <c r="V3448" s="564">
        <f>IF((K3448-MAX(K$470:K3448))/MAX(K$470:K3448)&gt;V3447,V3447,(K3448-MAX(K$470:K3448))/MAX(K$470:K3448))</f>
        <v>-0.84885940676762139</v>
      </c>
      <c r="W3448" s="564">
        <f>IF((N3448-MAX(N$470:N3448))/MAX(N$470:N3448)&gt;W3447,W3447,(N3448-MAX(N$470:N3448))/MAX(N$470:N3448))</f>
        <v>-0.62788758315546067</v>
      </c>
      <c r="X3448" s="564">
        <f>IF((O3448-MAX(O$470:O3448))/MAX(O$470:O3448)&gt;X3447,X3447,(O3448-MAX(O$470:O3448))/MAX(O$470:O3448))</f>
        <v>-0.62788758315546067</v>
      </c>
    </row>
    <row r="3449" spans="1:24">
      <c r="A3449" s="799">
        <v>43851</v>
      </c>
      <c r="B3449">
        <v>8659.5937014812007</v>
      </c>
      <c r="C3449">
        <v>6352.2635419999997</v>
      </c>
      <c r="D3449">
        <v>1.550397</v>
      </c>
      <c r="E3449">
        <f>LN(D3449/参数实验室!$E$53)/参数实验室!$E$55</f>
        <v>-0.1756334871057518</v>
      </c>
      <c r="F3449">
        <f t="shared" si="478"/>
        <v>0.73355214586031459</v>
      </c>
      <c r="G3449">
        <f>LN(F3449/参数实验室!$E$58)/参数实验室!$E$59</f>
        <v>-0.35315950978832356</v>
      </c>
      <c r="H3449" s="856">
        <f>INDEX(神经网络!$G$10:$BO$70,MATCH(ROUND(G3449*2,1)/2,神经网络!$E$10:$E$70,0),MATCH(ROUND(E3449*2,1)/2,神经网络!$G$8:$BO$8,0))</f>
        <v>-0.55379843649671057</v>
      </c>
      <c r="I3449">
        <f t="shared" si="480"/>
        <v>539369.16564812593</v>
      </c>
      <c r="J3449">
        <f t="shared" si="481"/>
        <v>3455.4062892467155</v>
      </c>
      <c r="K3449">
        <f t="shared" si="482"/>
        <v>156.09428255272098</v>
      </c>
      <c r="L3449" s="4">
        <f>MIN(MAX(L3448*(1+MAX(MIN(((B3449-B3448)/B3448)/($K$7*卓尔金历!$N$40),0),-卓尔金历!$M$43))+MIN(MAX(((B3449-B3448)/B3448)/($K$7*卓尔金历!$N$40),0),卓尔金历!$M$43),0),1)</f>
        <v>0.59044141714829723</v>
      </c>
      <c r="M3449" s="4">
        <f>MIN(MAX(M3448*(1+MAX(MIN(((B3449-B3448)/B3448)/($K$7*30),0),-卓尔金历!$M$43))+MIN(MAX(((B3449-B3448)/B3448)/($K$7*7),0),卓尔金历!$M$43),0),1)</f>
        <v>0.82437789618851798</v>
      </c>
      <c r="N3449">
        <f t="shared" si="483"/>
        <v>195293.06059166338</v>
      </c>
      <c r="O3449">
        <f t="shared" si="484"/>
        <v>536955.07535796484</v>
      </c>
      <c r="P3449">
        <f t="shared" si="485"/>
        <v>1.2131928009884755E-3</v>
      </c>
      <c r="Q3449">
        <f t="shared" si="486"/>
        <v>2.6157987017454452E-2</v>
      </c>
      <c r="R3449">
        <f t="shared" si="487"/>
        <v>1</v>
      </c>
      <c r="S3449">
        <f t="shared" si="479"/>
        <v>1140.4494059138838</v>
      </c>
      <c r="T3449" s="564">
        <f>IF((I3449-MAX(I$470:I3449))/MAX(I$470:I3449)&gt;T3448,T3448,(I3449-MAX(I$470:I3449))/MAX(I$470:I3449))</f>
        <v>-0.91338805338419748</v>
      </c>
      <c r="U3449" s="564">
        <f>IF((J3449-MAX(J$470:J3449))/MAX(J$470:J3449)&gt;U3448,U3448,(J3449-MAX(J$470:J3449))/MAX(J$470:J3449))</f>
        <v>-0.83569785939843477</v>
      </c>
      <c r="V3449" s="564">
        <f>IF((K3449-MAX(K$470:K3449))/MAX(K$470:K3449)&gt;V3448,V3448,(K3449-MAX(K$470:K3449))/MAX(K$470:K3449))</f>
        <v>-0.84885940676762139</v>
      </c>
      <c r="W3449" s="564">
        <f>IF((N3449-MAX(N$470:N3449))/MAX(N$470:N3449)&gt;W3448,W3448,(N3449-MAX(N$470:N3449))/MAX(N$470:N3449))</f>
        <v>-0.62788758315546067</v>
      </c>
      <c r="X3449" s="564">
        <f>IF((O3449-MAX(O$470:O3449))/MAX(O$470:O3449)&gt;X3448,X3448,(O3449-MAX(O$470:O3449))/MAX(O$470:O3449))</f>
        <v>-0.62788758315546067</v>
      </c>
    </row>
    <row r="3450" spans="1:24">
      <c r="A3450" s="799">
        <v>43852</v>
      </c>
      <c r="B3450">
        <v>8658.9319515724001</v>
      </c>
      <c r="C3450">
        <v>6300.3299280000001</v>
      </c>
      <c r="D3450">
        <v>1.5354429999999999</v>
      </c>
      <c r="E3450">
        <f>LN(D3450/参数实验室!$E$53)/参数实验室!$E$55</f>
        <v>-0.18706775985664295</v>
      </c>
      <c r="F3450">
        <f t="shared" si="478"/>
        <v>0.72761051400293142</v>
      </c>
      <c r="G3450">
        <f>LN(F3450/参数实验室!$E$58)/参数实验室!$E$59</f>
        <v>-0.35742803755345104</v>
      </c>
      <c r="H3450" s="856">
        <f>INDEX(神经网络!$G$10:$BO$70,MATCH(ROUND(G3450*2,1)/2,神经网络!$E$10:$E$70,0),MATCH(ROUND(E3450*2,1)/2,神经网络!$G$8:$BO$8,0))</f>
        <v>-0.55379843649671057</v>
      </c>
      <c r="I3450">
        <f t="shared" si="480"/>
        <v>539391.99187948729</v>
      </c>
      <c r="J3450">
        <f t="shared" si="481"/>
        <v>3455.1422335790244</v>
      </c>
      <c r="K3450">
        <f t="shared" si="482"/>
        <v>156.11281834865468</v>
      </c>
      <c r="L3450" s="4">
        <f>MIN(MAX(L3449*(1+MAX(MIN(((B3450-B3449)/B3449)/($K$7*卓尔金历!$N$40),0),-卓尔金历!$M$43))+MIN(MAX(((B3450-B3449)/B3449)/($K$7*卓尔金历!$N$40),0),卓尔金历!$M$43),0),1)</f>
        <v>0.58975202034287555</v>
      </c>
      <c r="M3450" s="4">
        <f>MIN(MAX(M3449*(1+MAX(MIN(((B3450-B3449)/B3449)/($K$7*30),0),-卓尔金历!$M$43))+MIN(MAX(((B3450-B3449)/B3449)/($K$7*7),0),卓尔金历!$M$43),0),1)</f>
        <v>0.82389662618307224</v>
      </c>
      <c r="N3450">
        <f t="shared" si="483"/>
        <v>195297.94050068266</v>
      </c>
      <c r="O3450">
        <f t="shared" si="484"/>
        <v>536973.80857608758</v>
      </c>
      <c r="P3450">
        <f t="shared" si="485"/>
        <v>-7.6418124407781304E-5</v>
      </c>
      <c r="Q3450">
        <f t="shared" si="486"/>
        <v>2.6173703070022033E-2</v>
      </c>
      <c r="R3450">
        <f t="shared" si="487"/>
        <v>1</v>
      </c>
      <c r="S3450">
        <f t="shared" si="479"/>
        <v>1140.4976700039604</v>
      </c>
      <c r="T3450" s="564">
        <f>IF((I3450-MAX(I$470:I3450))/MAX(I$470:I3450)&gt;T3449,T3449,(I3450-MAX(I$470:I3450))/MAX(I$470:I3450))</f>
        <v>-0.91338805338419748</v>
      </c>
      <c r="U3450" s="564">
        <f>IF((J3450-MAX(J$470:J3450))/MAX(J$470:J3450)&gt;U3449,U3449,(J3450-MAX(J$470:J3450))/MAX(J$470:J3450))</f>
        <v>-0.83569785939843477</v>
      </c>
      <c r="V3450" s="564">
        <f>IF((K3450-MAX(K$470:K3450))/MAX(K$470:K3450)&gt;V3449,V3449,(K3450-MAX(K$470:K3450))/MAX(K$470:K3450))</f>
        <v>-0.84885940676762139</v>
      </c>
      <c r="W3450" s="564">
        <f>IF((N3450-MAX(N$470:N3450))/MAX(N$470:N3450)&gt;W3449,W3449,(N3450-MAX(N$470:N3450))/MAX(N$470:N3450))</f>
        <v>-0.62788758315546067</v>
      </c>
      <c r="X3450" s="564">
        <f>IF((O3450-MAX(O$470:O3450))/MAX(O$470:O3450)&gt;X3449,X3449,(O3450-MAX(O$470:O3450))/MAX(O$470:O3450))</f>
        <v>-0.62788758315546067</v>
      </c>
    </row>
    <row r="3451" spans="1:24">
      <c r="A3451" s="799">
        <v>43853</v>
      </c>
      <c r="B3451">
        <v>8393.6136743504994</v>
      </c>
      <c r="C3451">
        <v>6163.8560749999997</v>
      </c>
      <c r="D3451">
        <v>1.4854780000000001</v>
      </c>
      <c r="E3451">
        <f>LN(D3451/参数实验室!$E$53)/参数实验室!$E$55</f>
        <v>-0.22609674925832579</v>
      </c>
      <c r="F3451">
        <f t="shared" si="478"/>
        <v>0.73435069972730915</v>
      </c>
      <c r="G3451">
        <f>LN(F3451/参数实验室!$E$58)/参数实验室!$E$59</f>
        <v>-0.35258845800745586</v>
      </c>
      <c r="H3451" s="856">
        <f>INDEX(神经网络!$G$10:$BO$70,MATCH(ROUND(G3451*2,1)/2,神经网络!$E$10:$E$70,0),MATCH(ROUND(E3451*2,1)/2,神经网络!$G$8:$BO$8,0))</f>
        <v>-0.5864484419700331</v>
      </c>
      <c r="I3451">
        <f t="shared" si="480"/>
        <v>548544.89913326537</v>
      </c>
      <c r="J3451">
        <f t="shared" si="481"/>
        <v>3349.2732430272104</v>
      </c>
      <c r="K3451">
        <f t="shared" si="482"/>
        <v>163.78027689298591</v>
      </c>
      <c r="L3451" s="4">
        <f>MIN(MAX(L3450*(1+MAX(MIN(((B3451-B3450)/B3450)/($K$7*卓尔金历!$N$40),0),-卓尔金历!$M$43))+MIN(MAX(((B3451-B3450)/B3450)/($K$7*卓尔金历!$N$40),0),卓尔金历!$M$43),0),1)</f>
        <v>0.31365077990991969</v>
      </c>
      <c r="M3451" s="4">
        <f>MIN(MAX(M3450*(1+MAX(MIN(((B3451-B3450)/B3450)/($K$7*30),0),-卓尔金历!$M$43))+MIN(MAX(((B3451-B3450)/B3450)/($K$7*7),0),卓尔金历!$M$43),0),1)</f>
        <v>0.6310368540830803</v>
      </c>
      <c r="N3451">
        <f t="shared" si="483"/>
        <v>197252.37746624765</v>
      </c>
      <c r="O3451">
        <f t="shared" si="484"/>
        <v>544481.05021342332</v>
      </c>
      <c r="P3451">
        <f t="shared" si="485"/>
        <v>-3.0640993451128893E-2</v>
      </c>
      <c r="Q3451">
        <f t="shared" si="486"/>
        <v>2.7110695881467518E-2</v>
      </c>
      <c r="R3451">
        <f t="shared" si="487"/>
        <v>2.2969768673487472E-2</v>
      </c>
      <c r="S3451">
        <f t="shared" si="479"/>
        <v>1159.8506999967167</v>
      </c>
      <c r="T3451" s="564">
        <f>IF((I3451-MAX(I$470:I3451))/MAX(I$470:I3451)&gt;T3450,T3450,(I3451-MAX(I$470:I3451))/MAX(I$470:I3451))</f>
        <v>-0.91338805338419748</v>
      </c>
      <c r="U3451" s="564">
        <f>IF((J3451-MAX(J$470:J3451))/MAX(J$470:J3451)&gt;U3450,U3450,(J3451-MAX(J$470:J3451))/MAX(J$470:J3451))</f>
        <v>-0.83569785939843477</v>
      </c>
      <c r="V3451" s="564">
        <f>IF((K3451-MAX(K$470:K3451))/MAX(K$470:K3451)&gt;V3450,V3450,(K3451-MAX(K$470:K3451))/MAX(K$470:K3451))</f>
        <v>-0.84885940676762139</v>
      </c>
      <c r="W3451" s="564">
        <f>IF((N3451-MAX(N$470:N3451))/MAX(N$470:N3451)&gt;W3450,W3450,(N3451-MAX(N$470:N3451))/MAX(N$470:N3451))</f>
        <v>-0.62788758315546067</v>
      </c>
      <c r="X3451" s="564">
        <f>IF((O3451-MAX(O$470:O3451))/MAX(O$470:O3451)&gt;X3450,X3450,(O3451-MAX(O$470:O3451))/MAX(O$470:O3451))</f>
        <v>-0.62788758315546067</v>
      </c>
    </row>
    <row r="3452" spans="1:24">
      <c r="A3452" s="799">
        <v>43854</v>
      </c>
      <c r="B3452">
        <v>8479.5813818799998</v>
      </c>
      <c r="C3452">
        <v>6070.4312920000002</v>
      </c>
      <c r="D3452">
        <v>1.4949399999999999</v>
      </c>
      <c r="E3452">
        <f>LN(D3452/参数实验室!$E$53)/参数实验室!$E$55</f>
        <v>-0.21860594582232937</v>
      </c>
      <c r="F3452">
        <f t="shared" si="478"/>
        <v>0.7158880867600248</v>
      </c>
      <c r="G3452">
        <f>LN(F3452/参数实验室!$E$58)/参数实验室!$E$59</f>
        <v>-0.3659527407783037</v>
      </c>
      <c r="H3452" s="856">
        <f>INDEX(神经网络!$G$10:$BO$70,MATCH(ROUND(G3452*2,1)/2,神经网络!$E$10:$E$70,0),MATCH(ROUND(E3452*2,1)/2,神经网络!$G$8:$BO$8,0))</f>
        <v>-0.55379843649671057</v>
      </c>
      <c r="I3452">
        <f t="shared" si="480"/>
        <v>545250.10421822988</v>
      </c>
      <c r="J3452">
        <f t="shared" si="481"/>
        <v>3383.5766257850814</v>
      </c>
      <c r="K3452">
        <f t="shared" si="482"/>
        <v>161.14607840208646</v>
      </c>
      <c r="L3452" s="4">
        <f>MIN(MAX(L3451*(1+MAX(MIN(((B3452-B3451)/B3451)/($K$7*卓尔金历!$N$40),0),-卓尔金历!$M$43))+MIN(MAX(((B3452-B3451)/B3451)/($K$7*卓尔金历!$N$40),0),卓尔金历!$M$43),0),1)</f>
        <v>0.47013928712191244</v>
      </c>
      <c r="M3452" s="4">
        <f>MIN(MAX(M3451*(1+MAX(MIN(((B3452-B3451)/B3451)/($K$7*30),0),-卓尔金历!$M$43))+MIN(MAX(((B3452-B3451)/B3451)/($K$7*7),0),卓尔金历!$M$43),0),1)</f>
        <v>0.96636936953735042</v>
      </c>
      <c r="N3452">
        <f t="shared" si="483"/>
        <v>196880.76966359626</v>
      </c>
      <c r="O3452">
        <f t="shared" si="484"/>
        <v>542417.31630776695</v>
      </c>
      <c r="P3452">
        <f t="shared" si="485"/>
        <v>1.0242037680648025E-2</v>
      </c>
      <c r="Q3452">
        <f t="shared" si="486"/>
        <v>2.6977839201047921E-2</v>
      </c>
      <c r="R3452">
        <f t="shared" si="487"/>
        <v>1</v>
      </c>
      <c r="S3452">
        <f t="shared" si="479"/>
        <v>1159.6906797570566</v>
      </c>
      <c r="T3452" s="564">
        <f>IF((I3452-MAX(I$470:I3452))/MAX(I$470:I3452)&gt;T3451,T3451,(I3452-MAX(I$470:I3452))/MAX(I$470:I3452))</f>
        <v>-0.91338805338419748</v>
      </c>
      <c r="U3452" s="564">
        <f>IF((J3452-MAX(J$470:J3452))/MAX(J$470:J3452)&gt;U3451,U3451,(J3452-MAX(J$470:J3452))/MAX(J$470:J3452))</f>
        <v>-0.83569785939843477</v>
      </c>
      <c r="V3452" s="564">
        <f>IF((K3452-MAX(K$470:K3452))/MAX(K$470:K3452)&gt;V3451,V3451,(K3452-MAX(K$470:K3452))/MAX(K$470:K3452))</f>
        <v>-0.84885940676762139</v>
      </c>
      <c r="W3452" s="564">
        <f>IF((N3452-MAX(N$470:N3452))/MAX(N$470:N3452)&gt;W3451,W3451,(N3452-MAX(N$470:N3452))/MAX(N$470:N3452))</f>
        <v>-0.62788758315546067</v>
      </c>
      <c r="X3452" s="564">
        <f>IF((O3452-MAX(O$470:O3452))/MAX(O$470:O3452)&gt;X3451,X3451,(O3452-MAX(O$470:O3452))/MAX(O$470:O3452))</f>
        <v>-0.62788758315546067</v>
      </c>
    </row>
    <row r="3453" spans="1:24">
      <c r="A3453" s="799">
        <v>43855</v>
      </c>
      <c r="B3453">
        <v>8331.4787186130998</v>
      </c>
      <c r="C3453">
        <v>6084.434389</v>
      </c>
      <c r="D3453">
        <v>1.4807680000000001</v>
      </c>
      <c r="E3453">
        <f>LN(D3453/参数实验室!$E$53)/参数实验室!$E$55</f>
        <v>-0.22984333160458548</v>
      </c>
      <c r="F3453">
        <f t="shared" si="478"/>
        <v>0.73029465650640779</v>
      </c>
      <c r="G3453">
        <f>LN(F3453/参数实验室!$E$58)/参数实验室!$E$59</f>
        <v>-0.35549542264075412</v>
      </c>
      <c r="H3453" s="856">
        <f>INDEX(神经网络!$G$10:$BO$70,MATCH(ROUND(G3453*2,1)/2,神经网络!$E$10:$E$70,0),MATCH(ROUND(E3453*2,1)/2,神经网络!$G$8:$BO$8,0))</f>
        <v>-0.5864484419700331</v>
      </c>
      <c r="I3453">
        <f t="shared" si="480"/>
        <v>550524.05336971802</v>
      </c>
      <c r="J3453">
        <f t="shared" si="481"/>
        <v>3324.4797568385511</v>
      </c>
      <c r="K3453">
        <f t="shared" si="482"/>
        <v>165.59705386602946</v>
      </c>
      <c r="L3453" s="4">
        <f>MIN(MAX(L3452*(1+MAX(MIN(((B3453-B3452)/B3452)/($K$7*卓尔金历!$N$40),0),-卓尔金历!$M$43))+MIN(MAX(((B3453-B3452)/B3452)/($K$7*卓尔金历!$N$40),0),卓尔金历!$M$43),0),1)</f>
        <v>0.34467761292644539</v>
      </c>
      <c r="M3453" s="4">
        <f>MIN(MAX(M3452*(1+MAX(MIN(((B3453-B3452)/B3452)/($K$7*30),0),-卓尔金历!$M$43))+MIN(MAX(((B3453-B3452)/B3452)/($K$7*7),0),卓尔金历!$M$43),0),1)</f>
        <v>0.83742639208954728</v>
      </c>
      <c r="N3453">
        <f t="shared" si="483"/>
        <v>197776.07263100549</v>
      </c>
      <c r="O3453">
        <f t="shared" si="484"/>
        <v>547487.42047926318</v>
      </c>
      <c r="P3453">
        <f t="shared" si="485"/>
        <v>-1.7465798911179775E-2</v>
      </c>
      <c r="Q3453">
        <f t="shared" si="486"/>
        <v>2.7502394645246512E-2</v>
      </c>
      <c r="R3453">
        <f t="shared" si="487"/>
        <v>0.49325500406030248</v>
      </c>
      <c r="S3453">
        <f t="shared" si="479"/>
        <v>1170.9078251169142</v>
      </c>
      <c r="T3453" s="564">
        <f>IF((I3453-MAX(I$470:I3453))/MAX(I$470:I3453)&gt;T3452,T3452,(I3453-MAX(I$470:I3453))/MAX(I$470:I3453))</f>
        <v>-0.91338805338419748</v>
      </c>
      <c r="U3453" s="564">
        <f>IF((J3453-MAX(J$470:J3453))/MAX(J$470:J3453)&gt;U3452,U3452,(J3453-MAX(J$470:J3453))/MAX(J$470:J3453))</f>
        <v>-0.83569785939843477</v>
      </c>
      <c r="V3453" s="564">
        <f>IF((K3453-MAX(K$470:K3453))/MAX(K$470:K3453)&gt;V3452,V3452,(K3453-MAX(K$470:K3453))/MAX(K$470:K3453))</f>
        <v>-0.84885940676762139</v>
      </c>
      <c r="W3453" s="564">
        <f>IF((N3453-MAX(N$470:N3453))/MAX(N$470:N3453)&gt;W3452,W3452,(N3453-MAX(N$470:N3453))/MAX(N$470:N3453))</f>
        <v>-0.62788758315546067</v>
      </c>
      <c r="X3453" s="564">
        <f>IF((O3453-MAX(O$470:O3453))/MAX(O$470:O3453)&gt;X3452,X3452,(O3453-MAX(O$470:O3453))/MAX(O$470:O3453))</f>
        <v>-0.62788758315546067</v>
      </c>
    </row>
    <row r="3454" spans="1:24">
      <c r="A3454" s="799">
        <v>43856</v>
      </c>
      <c r="B3454">
        <v>8471.0837695284008</v>
      </c>
      <c r="C3454">
        <v>6094.2395999999999</v>
      </c>
      <c r="D3454">
        <v>1.5209569999999999</v>
      </c>
      <c r="E3454">
        <f>LN(D3454/参数实验室!$E$53)/参数实验室!$E$55</f>
        <v>-0.19825087297012398</v>
      </c>
      <c r="F3454">
        <f t="shared" si="478"/>
        <v>0.71941675537689509</v>
      </c>
      <c r="G3454">
        <f>LN(F3454/参数实验室!$E$58)/参数实验室!$E$59</f>
        <v>-0.36337204897372766</v>
      </c>
      <c r="H3454" s="856">
        <f>INDEX(神经网络!$G$10:$BO$70,MATCH(ROUND(G3454*2,1)/2,神经网络!$E$10:$E$70,0),MATCH(ROUND(E3454*2,1)/2,神经网络!$G$8:$BO$8,0))</f>
        <v>-0.55379843649671057</v>
      </c>
      <c r="I3454">
        <f t="shared" si="480"/>
        <v>545114.20394056069</v>
      </c>
      <c r="J3454">
        <f t="shared" si="481"/>
        <v>3380.1858543267999</v>
      </c>
      <c r="K3454">
        <f t="shared" si="482"/>
        <v>161.26752416373449</v>
      </c>
      <c r="L3454" s="4">
        <f>MIN(MAX(L3453*(1+MAX(MIN(((B3454-B3453)/B3453)/($K$7*卓尔金历!$N$40),0),-卓尔金历!$M$43))+MIN(MAX(((B3454-B3453)/B3453)/($K$7*卓尔金历!$N$40),0),卓尔金历!$M$43),0),1)</f>
        <v>0.60069833638757986</v>
      </c>
      <c r="M3454" s="4">
        <f>MIN(MAX(M3453*(1+MAX(MIN(((B3454-B3453)/B3453)/($K$7*30),0),-卓尔金历!$M$43))+MIN(MAX(((B3454-B3453)/B3453)/($K$7*7),0),卓尔金历!$M$43),0),1)</f>
        <v>1</v>
      </c>
      <c r="N3454">
        <f t="shared" si="483"/>
        <v>197106.19464799491</v>
      </c>
      <c r="O3454">
        <f t="shared" si="484"/>
        <v>542982.0587289118</v>
      </c>
      <c r="P3454">
        <f t="shared" si="485"/>
        <v>1.6756335295367641E-2</v>
      </c>
      <c r="Q3454">
        <f t="shared" si="486"/>
        <v>2.7501893321315345E-2</v>
      </c>
      <c r="R3454">
        <f t="shared" si="487"/>
        <v>0.53660767515772334</v>
      </c>
      <c r="S3454">
        <f t="shared" si="479"/>
        <v>1165.2323387199538</v>
      </c>
      <c r="T3454" s="564">
        <f>IF((I3454-MAX(I$470:I3454))/MAX(I$470:I3454)&gt;T3453,T3453,(I3454-MAX(I$470:I3454))/MAX(I$470:I3454))</f>
        <v>-0.91338805338419748</v>
      </c>
      <c r="U3454" s="564">
        <f>IF((J3454-MAX(J$470:J3454))/MAX(J$470:J3454)&gt;U3453,U3453,(J3454-MAX(J$470:J3454))/MAX(J$470:J3454))</f>
        <v>-0.83569785939843477</v>
      </c>
      <c r="V3454" s="564">
        <f>IF((K3454-MAX(K$470:K3454))/MAX(K$470:K3454)&gt;V3453,V3453,(K3454-MAX(K$470:K3454))/MAX(K$470:K3454))</f>
        <v>-0.84885940676762139</v>
      </c>
      <c r="W3454" s="564">
        <f>IF((N3454-MAX(N$470:N3454))/MAX(N$470:N3454)&gt;W3453,W3453,(N3454-MAX(N$470:N3454))/MAX(N$470:N3454))</f>
        <v>-0.62788758315546067</v>
      </c>
      <c r="X3454" s="564">
        <f>IF((O3454-MAX(O$470:O3454))/MAX(O$470:O3454)&gt;X3453,X3453,(O3454-MAX(O$470:O3454))/MAX(O$470:O3454))</f>
        <v>-0.62788758315546067</v>
      </c>
    </row>
    <row r="3455" spans="1:24">
      <c r="A3455" s="799">
        <v>43857</v>
      </c>
      <c r="B3455">
        <v>8767.4855076621006</v>
      </c>
      <c r="C3455">
        <v>6175.7966399999996</v>
      </c>
      <c r="D3455">
        <v>1.5779270000000001</v>
      </c>
      <c r="E3455">
        <f>LN(D3455/参数实验室!$E$53)/参数实验室!$E$55</f>
        <v>-0.15486872918922603</v>
      </c>
      <c r="F3455">
        <f t="shared" si="478"/>
        <v>0.7043977015534082</v>
      </c>
      <c r="G3455">
        <f>LN(F3455/参数实验室!$E$58)/参数实验室!$E$59</f>
        <v>-0.37444526638251208</v>
      </c>
      <c r="H3455" s="856">
        <f>INDEX(神经网络!$G$10:$BO$70,MATCH(ROUND(G3455*2,1)/2,神经网络!$E$10:$E$70,0),MATCH(ROUND(E3455*2,1)/2,神经网络!$G$8:$BO$8,0))</f>
        <v>-0.51523219373049767</v>
      </c>
      <c r="I3455">
        <f t="shared" si="480"/>
        <v>534551.35683780618</v>
      </c>
      <c r="J3455">
        <f t="shared" si="481"/>
        <v>3498.4579656287033</v>
      </c>
      <c r="K3455">
        <f t="shared" si="482"/>
        <v>152.79627827163065</v>
      </c>
      <c r="L3455" s="4">
        <f>MIN(MAX(L3454*(1+MAX(MIN(((B3455-B3454)/B3454)/($K$7*卓尔金历!$N$40),0),-卓尔金历!$M$43))+MIN(MAX(((B3455-B3454)/B3454)/($K$7*卓尔金历!$N$40),0),卓尔金历!$M$43),0),1)</f>
        <v>1</v>
      </c>
      <c r="M3455" s="4">
        <f>MIN(MAX(M3454*(1+MAX(MIN(((B3455-B3454)/B3454)/($K$7*30),0),-卓尔金历!$M$43))+MIN(MAX(((B3455-B3454)/B3454)/($K$7*7),0),卓尔金历!$M$43),0),1)</f>
        <v>1</v>
      </c>
      <c r="N3455">
        <f t="shared" si="483"/>
        <v>194811.89468777509</v>
      </c>
      <c r="O3455">
        <f t="shared" si="484"/>
        <v>532460.52686562226</v>
      </c>
      <c r="P3455">
        <f t="shared" si="485"/>
        <v>3.4989824938326752E-2</v>
      </c>
      <c r="Q3455">
        <f t="shared" si="486"/>
        <v>2.8163386737803896E-2</v>
      </c>
      <c r="R3455">
        <f t="shared" si="487"/>
        <v>2.1533033340661183E-2</v>
      </c>
      <c r="S3455">
        <f t="shared" si="479"/>
        <v>1153.116237184234</v>
      </c>
      <c r="T3455" s="564">
        <f>IF((I3455-MAX(I$470:I3455))/MAX(I$470:I3455)&gt;T3454,T3454,(I3455-MAX(I$470:I3455))/MAX(I$470:I3455))</f>
        <v>-0.91338805338419748</v>
      </c>
      <c r="U3455" s="564">
        <f>IF((J3455-MAX(J$470:J3455))/MAX(J$470:J3455)&gt;U3454,U3454,(J3455-MAX(J$470:J3455))/MAX(J$470:J3455))</f>
        <v>-0.83569785939843477</v>
      </c>
      <c r="V3455" s="564">
        <f>IF((K3455-MAX(K$470:K3455))/MAX(K$470:K3455)&gt;V3454,V3454,(K3455-MAX(K$470:K3455))/MAX(K$470:K3455))</f>
        <v>-0.84885940676762139</v>
      </c>
      <c r="W3455" s="564">
        <f>IF((N3455-MAX(N$470:N3455))/MAX(N$470:N3455)&gt;W3454,W3454,(N3455-MAX(N$470:N3455))/MAX(N$470:N3455))</f>
        <v>-0.62788758315546067</v>
      </c>
      <c r="X3455" s="564">
        <f>IF((O3455-MAX(O$470:O3455))/MAX(O$470:O3455)&gt;X3454,X3454,(O3455-MAX(O$470:O3455))/MAX(O$470:O3455))</f>
        <v>-0.62788758315546067</v>
      </c>
    </row>
    <row r="3456" spans="1:24">
      <c r="A3456" s="799">
        <v>43858</v>
      </c>
      <c r="B3456">
        <v>9008.8277423719992</v>
      </c>
      <c r="C3456">
        <v>6230.3726360000001</v>
      </c>
      <c r="D3456">
        <v>1.645853</v>
      </c>
      <c r="E3456">
        <f>LN(D3456/参数实验室!$E$53)/参数实验室!$E$55</f>
        <v>-0.1051458690761006</v>
      </c>
      <c r="F3456">
        <f t="shared" si="478"/>
        <v>0.69158527770446199</v>
      </c>
      <c r="G3456">
        <f>LN(F3456/参数实验室!$E$58)/参数实验室!$E$59</f>
        <v>-0.38407982696031201</v>
      </c>
      <c r="H3456" s="856">
        <f>INDEX(神经网络!$G$10:$BO$70,MATCH(ROUND(G3456*2,1)/2,神经网络!$E$10:$E$70,0),MATCH(ROUND(E3456*2,1)/2,神经网络!$G$8:$BO$8,0))</f>
        <v>-0.55467644745781164</v>
      </c>
      <c r="I3456">
        <f t="shared" si="480"/>
        <v>526969.9343180107</v>
      </c>
      <c r="J3456">
        <f t="shared" si="481"/>
        <v>3594.75988283468</v>
      </c>
      <c r="K3456">
        <f t="shared" si="482"/>
        <v>146.59391767287218</v>
      </c>
      <c r="L3456" s="4">
        <f>MIN(MAX(L3455*(1+MAX(MIN(((B3456-B3455)/B3455)/($K$7*卓尔金历!$N$40),0),-卓尔金历!$M$43))+MIN(MAX(((B3456-B3455)/B3455)/($K$7*卓尔金历!$N$40),0),卓尔金历!$M$43),0),1)</f>
        <v>1</v>
      </c>
      <c r="M3456" s="4">
        <f>MIN(MAX(M3455*(1+MAX(MIN(((B3456-B3455)/B3455)/($K$7*30),0),-卓尔金历!$M$43))+MIN(MAX(((B3456-B3455)/B3455)/($K$7*7),0),卓尔金历!$M$43),0),1)</f>
        <v>1</v>
      </c>
      <c r="N3456">
        <f t="shared" si="483"/>
        <v>192048.92109016425</v>
      </c>
      <c r="O3456">
        <f t="shared" si="484"/>
        <v>524908.75812040514</v>
      </c>
      <c r="P3456">
        <f t="shared" si="485"/>
        <v>2.7526961350433279E-2</v>
      </c>
      <c r="Q3456">
        <f t="shared" si="486"/>
        <v>2.7687710443106035E-2</v>
      </c>
      <c r="R3456">
        <f t="shared" si="487"/>
        <v>3.4150085313699466E-2</v>
      </c>
      <c r="S3456">
        <f t="shared" si="479"/>
        <v>1152.7640775573343</v>
      </c>
      <c r="T3456" s="564">
        <f>IF((I3456-MAX(I$470:I3456))/MAX(I$470:I3456)&gt;T3455,T3455,(I3456-MAX(I$470:I3456))/MAX(I$470:I3456))</f>
        <v>-0.91338805338419748</v>
      </c>
      <c r="U3456" s="564">
        <f>IF((J3456-MAX(J$470:J3456))/MAX(J$470:J3456)&gt;U3455,U3455,(J3456-MAX(J$470:J3456))/MAX(J$470:J3456))</f>
        <v>-0.83569785939843477</v>
      </c>
      <c r="V3456" s="564">
        <f>IF((K3456-MAX(K$470:K3456))/MAX(K$470:K3456)&gt;V3455,V3455,(K3456-MAX(K$470:K3456))/MAX(K$470:K3456))</f>
        <v>-0.84885940676762139</v>
      </c>
      <c r="W3456" s="564">
        <f>IF((N3456-MAX(N$470:N3456))/MAX(N$470:N3456)&gt;W3455,W3455,(N3456-MAX(N$470:N3456))/MAX(N$470:N3456))</f>
        <v>-0.62788758315546067</v>
      </c>
      <c r="X3456" s="564">
        <f>IF((O3456-MAX(O$470:O3456))/MAX(O$470:O3456)&gt;X3455,X3455,(O3456-MAX(O$470:O3456))/MAX(O$470:O3456))</f>
        <v>-0.62788758315546067</v>
      </c>
    </row>
    <row r="3457" spans="1:24">
      <c r="A3457" s="799">
        <v>43859</v>
      </c>
      <c r="B3457">
        <v>9302.5547339449004</v>
      </c>
      <c r="C3457">
        <v>6257.0640359999998</v>
      </c>
      <c r="D3457">
        <v>1.6452869999999999</v>
      </c>
      <c r="E3457">
        <f>LN(D3457/参数实验室!$E$53)/参数实验室!$E$55</f>
        <v>-0.10555164965223611</v>
      </c>
      <c r="F3457">
        <f t="shared" si="478"/>
        <v>0.67261781467063608</v>
      </c>
      <c r="G3457">
        <f>LN(F3457/参数实验室!$E$58)/参数实验室!$E$59</f>
        <v>-0.3986755880695686</v>
      </c>
      <c r="H3457" s="856">
        <f>INDEX(神经网络!$G$10:$BO$70,MATCH(ROUND(G3457*2,1)/2,神经网络!$E$10:$E$70,0),MATCH(ROUND(E3457*2,1)/2,神经网络!$G$8:$BO$8,0))</f>
        <v>-0.55467644745781164</v>
      </c>
      <c r="I3457">
        <f t="shared" si="480"/>
        <v>517439.75357213983</v>
      </c>
      <c r="J3457">
        <f t="shared" si="481"/>
        <v>3711.9646997106629</v>
      </c>
      <c r="K3457">
        <f t="shared" si="482"/>
        <v>139.39781097931044</v>
      </c>
      <c r="L3457" s="4">
        <f>MIN(MAX(L3456*(1+MAX(MIN(((B3457-B3456)/B3456)/($K$7*卓尔金历!$N$40),0),-卓尔金历!$M$43))+MIN(MAX(((B3457-B3456)/B3456)/($K$7*卓尔金历!$N$40),0),卓尔金历!$M$43),0),1)</f>
        <v>1</v>
      </c>
      <c r="M3457" s="4">
        <f>MIN(MAX(M3456*(1+MAX(MIN(((B3457-B3456)/B3456)/($K$7*30),0),-卓尔金历!$M$43))+MIN(MAX(((B3457-B3456)/B3456)/($K$7*7),0),卓尔金历!$M$43),0),1)</f>
        <v>1</v>
      </c>
      <c r="N3457">
        <f t="shared" si="483"/>
        <v>188575.74205119797</v>
      </c>
      <c r="O3457">
        <f t="shared" si="484"/>
        <v>515415.85347025248</v>
      </c>
      <c r="P3457">
        <f t="shared" si="485"/>
        <v>3.2604352083611232E-2</v>
      </c>
      <c r="Q3457">
        <f t="shared" si="486"/>
        <v>2.5608652092645887E-2</v>
      </c>
      <c r="R3457">
        <f t="shared" si="487"/>
        <v>2.1000698873656291E-2</v>
      </c>
      <c r="S3457">
        <f t="shared" si="479"/>
        <v>1152.0521307822141</v>
      </c>
      <c r="T3457" s="564">
        <f>IF((I3457-MAX(I$470:I3457))/MAX(I$470:I3457)&gt;T3456,T3456,(I3457-MAX(I$470:I3457))/MAX(I$470:I3457))</f>
        <v>-0.91338805338419748</v>
      </c>
      <c r="U3457" s="564">
        <f>IF((J3457-MAX(J$470:J3457))/MAX(J$470:J3457)&gt;U3456,U3456,(J3457-MAX(J$470:J3457))/MAX(J$470:J3457))</f>
        <v>-0.83569785939843477</v>
      </c>
      <c r="V3457" s="564">
        <f>IF((K3457-MAX(K$470:K3457))/MAX(K$470:K3457)&gt;V3456,V3456,(K3457-MAX(K$470:K3457))/MAX(K$470:K3457))</f>
        <v>-0.84885940676762139</v>
      </c>
      <c r="W3457" s="564">
        <f>IF((N3457-MAX(N$470:N3457))/MAX(N$470:N3457)&gt;W3456,W3456,(N3457-MAX(N$470:N3457))/MAX(N$470:N3457))</f>
        <v>-0.62788758315546067</v>
      </c>
      <c r="X3457" s="564">
        <f>IF((O3457-MAX(O$470:O3457))/MAX(O$470:O3457)&gt;X3456,X3456,(O3457-MAX(O$470:O3457))/MAX(O$470:O3457))</f>
        <v>-0.62788758315546067</v>
      </c>
    </row>
    <row r="3458" spans="1:24">
      <c r="A3458" s="799">
        <v>43860</v>
      </c>
      <c r="B3458">
        <v>9366.8215206080004</v>
      </c>
      <c r="C3458">
        <v>6214.3300440000003</v>
      </c>
      <c r="D3458">
        <v>1.6770259999999999</v>
      </c>
      <c r="E3458">
        <f>LN(D3458/参数实验室!$E$53)/参数实验室!$E$55</f>
        <v>-8.3009928032153874E-2</v>
      </c>
      <c r="F3458">
        <f t="shared" si="478"/>
        <v>0.66344063782231943</v>
      </c>
      <c r="G3458">
        <f>LN(F3458/参数实验室!$E$58)/参数实验室!$E$59</f>
        <v>-0.40588598237229762</v>
      </c>
      <c r="H3458" s="856">
        <f>INDEX(神经网络!$G$10:$BO$70,MATCH(ROUND(G3458*2,1)/2,神经网络!$E$10:$E$70,0),MATCH(ROUND(E3458*2,1)/2,神经网络!$G$8:$BO$8,0))</f>
        <v>-0.55467644745781164</v>
      </c>
      <c r="I3458">
        <f t="shared" si="480"/>
        <v>515456.93093463656</v>
      </c>
      <c r="J3458">
        <f t="shared" si="481"/>
        <v>3737.608842667089</v>
      </c>
      <c r="K3458">
        <f t="shared" si="482"/>
        <v>137.91088169804735</v>
      </c>
      <c r="L3458" s="4">
        <f>MIN(MAX(L3457*(1+MAX(MIN(((B3458-B3457)/B3457)/($K$7*卓尔金历!$N$40),0),-卓尔金历!$M$43))+MIN(MAX(((B3458-B3457)/B3457)/($K$7*卓尔金历!$N$40),0),卓尔金历!$M$43),0),1)</f>
        <v>1</v>
      </c>
      <c r="M3458" s="4">
        <f>MIN(MAX(M3457*(1+MAX(MIN(((B3458-B3457)/B3457)/($K$7*30),0),-卓尔金历!$M$43))+MIN(MAX(((B3458-B3457)/B3457)/($K$7*7),0),卓尔金历!$M$43),0),1)</f>
        <v>1</v>
      </c>
      <c r="N3458">
        <f t="shared" si="483"/>
        <v>187853.12217585635</v>
      </c>
      <c r="O3458">
        <f t="shared" si="484"/>
        <v>513440.7863925228</v>
      </c>
      <c r="P3458">
        <f t="shared" si="485"/>
        <v>6.9085093827603436E-3</v>
      </c>
      <c r="Q3458">
        <f t="shared" si="486"/>
        <v>2.2862749174455337E-2</v>
      </c>
      <c r="R3458">
        <f t="shared" si="487"/>
        <v>1</v>
      </c>
      <c r="S3458">
        <f t="shared" si="479"/>
        <v>1151.9594200616889</v>
      </c>
      <c r="T3458" s="564">
        <f>IF((I3458-MAX(I$470:I3458))/MAX(I$470:I3458)&gt;T3457,T3457,(I3458-MAX(I$470:I3458))/MAX(I$470:I3458))</f>
        <v>-0.91338805338419748</v>
      </c>
      <c r="U3458" s="564">
        <f>IF((J3458-MAX(J$470:J3458))/MAX(J$470:J3458)&gt;U3457,U3457,(J3458-MAX(J$470:J3458))/MAX(J$470:J3458))</f>
        <v>-0.83569785939843477</v>
      </c>
      <c r="V3458" s="564">
        <f>IF((K3458-MAX(K$470:K3458))/MAX(K$470:K3458)&gt;V3457,V3457,(K3458-MAX(K$470:K3458))/MAX(K$470:K3458))</f>
        <v>-0.84885940676762139</v>
      </c>
      <c r="W3458" s="564">
        <f>IF((N3458-MAX(N$470:N3458))/MAX(N$470:N3458)&gt;W3457,W3457,(N3458-MAX(N$470:N3458))/MAX(N$470:N3458))</f>
        <v>-0.62788758315546067</v>
      </c>
      <c r="X3458" s="564">
        <f>IF((O3458-MAX(O$470:O3458))/MAX(O$470:O3458)&gt;X3457,X3457,(O3458-MAX(O$470:O3458))/MAX(O$470:O3458))</f>
        <v>-0.62788758315546067</v>
      </c>
    </row>
    <row r="3459" spans="1:24">
      <c r="A3459" s="799">
        <v>43861</v>
      </c>
      <c r="B3459">
        <v>9297.8168194542995</v>
      </c>
      <c r="C3459">
        <v>6339.6992819999996</v>
      </c>
      <c r="D3459">
        <v>1.647327</v>
      </c>
      <c r="E3459">
        <f>LN(D3459/参数实验室!$E$53)/参数实验室!$E$55</f>
        <v>-0.10408977351026957</v>
      </c>
      <c r="F3459">
        <f t="shared" si="478"/>
        <v>0.68184815910065266</v>
      </c>
      <c r="G3459">
        <f>LN(F3459/参数实验室!$E$58)/参数实验室!$E$59</f>
        <v>-0.39152198113596182</v>
      </c>
      <c r="H3459" s="856">
        <f>INDEX(神经网络!$G$10:$BO$70,MATCH(ROUND(G3459*2,1)/2,神经网络!$E$10:$E$70,0),MATCH(ROUND(E3459*2,1)/2,神经网络!$G$8:$BO$8,0))</f>
        <v>-0.55467644745781164</v>
      </c>
      <c r="I3459">
        <f t="shared" si="480"/>
        <v>517563.22276495659</v>
      </c>
      <c r="J3459">
        <f t="shared" si="481"/>
        <v>3710.0741468633701</v>
      </c>
      <c r="K3459">
        <f t="shared" si="482"/>
        <v>139.50212375203421</v>
      </c>
      <c r="L3459" s="4">
        <f>MIN(MAX(L3458*(1+MAX(MIN(((B3459-B3458)/B3458)/($K$7*卓尔金历!$N$40),0),-卓尔金历!$M$43))+MIN(MAX(((B3459-B3458)/B3458)/($K$7*卓尔金历!$N$40),0),卓尔金历!$M$43),0),1)</f>
        <v>0.88744040735153151</v>
      </c>
      <c r="M3459" s="4">
        <f>MIN(MAX(M3458*(1+MAX(MIN(((B3459-B3458)/B3458)/($K$7*30),0),-卓尔金历!$M$43))+MIN(MAX(((B3459-B3458)/B3458)/($K$7*7),0),卓尔金历!$M$43),0),1)</f>
        <v>0.94372020367576581</v>
      </c>
      <c r="N3459">
        <f t="shared" si="483"/>
        <v>188620.73916341277</v>
      </c>
      <c r="O3459">
        <f t="shared" si="484"/>
        <v>515538.83972894948</v>
      </c>
      <c r="P3459">
        <f t="shared" si="485"/>
        <v>-7.3669281518691423E-3</v>
      </c>
      <c r="Q3459">
        <f t="shared" si="486"/>
        <v>2.3087416532380549E-2</v>
      </c>
      <c r="R3459">
        <f t="shared" si="487"/>
        <v>1</v>
      </c>
      <c r="S3459">
        <f t="shared" si="479"/>
        <v>1156.6666275308689</v>
      </c>
      <c r="T3459" s="564">
        <f>IF((I3459-MAX(I$470:I3459))/MAX(I$470:I3459)&gt;T3458,T3458,(I3459-MAX(I$470:I3459))/MAX(I$470:I3459))</f>
        <v>-0.91338805338419748</v>
      </c>
      <c r="U3459" s="564">
        <f>IF((J3459-MAX(J$470:J3459))/MAX(J$470:J3459)&gt;U3458,U3458,(J3459-MAX(J$470:J3459))/MAX(J$470:J3459))</f>
        <v>-0.83569785939843477</v>
      </c>
      <c r="V3459" s="564">
        <f>IF((K3459-MAX(K$470:K3459))/MAX(K$470:K3459)&gt;V3458,V3458,(K3459-MAX(K$470:K3459))/MAX(K$470:K3459))</f>
        <v>-0.84885940676762139</v>
      </c>
      <c r="W3459" s="564">
        <f>IF((N3459-MAX(N$470:N3459))/MAX(N$470:N3459)&gt;W3458,W3458,(N3459-MAX(N$470:N3459))/MAX(N$470:N3459))</f>
        <v>-0.62788758315546067</v>
      </c>
      <c r="X3459" s="564">
        <f>IF((O3459-MAX(O$470:O3459))/MAX(O$470:O3459)&gt;X3458,X3458,(O3459-MAX(O$470:O3459))/MAX(O$470:O3459))</f>
        <v>-0.62788758315546067</v>
      </c>
    </row>
    <row r="3460" spans="1:24">
      <c r="A3460" s="799">
        <v>43862</v>
      </c>
      <c r="B3460">
        <v>9366.3438628759995</v>
      </c>
      <c r="C3460">
        <v>6300.2747509999999</v>
      </c>
      <c r="D3460">
        <v>1.6509780000000001</v>
      </c>
      <c r="E3460">
        <f>LN(D3460/参数实验室!$E$53)/参数实验室!$E$55</f>
        <v>-0.10147795874300046</v>
      </c>
      <c r="F3460">
        <f t="shared" si="478"/>
        <v>0.67265037919133774</v>
      </c>
      <c r="G3460">
        <f>LN(F3460/参数实验室!$E$58)/参数实验室!$E$59</f>
        <v>-0.39865017808748082</v>
      </c>
      <c r="H3460" s="856">
        <f>INDEX(神经网络!$G$10:$BO$70,MATCH(ROUND(G3460*2,1)/2,神经网络!$E$10:$E$70,0),MATCH(ROUND(E3460*2,1)/2,神经网络!$G$8:$BO$8,0))</f>
        <v>-0.55467644745781164</v>
      </c>
      <c r="I3460">
        <f t="shared" si="480"/>
        <v>515447.37633583503</v>
      </c>
      <c r="J3460">
        <f t="shared" si="481"/>
        <v>3737.4182446334908</v>
      </c>
      <c r="K3460">
        <f t="shared" si="482"/>
        <v>137.91535830274256</v>
      </c>
      <c r="L3460" s="4">
        <f>MIN(MAX(L3459*(1+MAX(MIN(((B3460-B3459)/B3459)/($K$7*卓尔金历!$N$40),0),-卓尔金历!$M$43))+MIN(MAX(((B3460-B3459)/B3459)/($K$7*卓尔金历!$N$40),0),卓尔金历!$M$43),0),1)</f>
        <v>1</v>
      </c>
      <c r="M3460" s="4">
        <f>MIN(MAX(M3459*(1+MAX(MIN(((B3460-B3459)/B3459)/($K$7*30),0),-卓尔金历!$M$43))+MIN(MAX(((B3460-B3459)/B3459)/($K$7*7),0),卓尔金历!$M$43),0),1)</f>
        <v>1</v>
      </c>
      <c r="N3460">
        <f t="shared" si="483"/>
        <v>187936.43469460687</v>
      </c>
      <c r="O3460">
        <f t="shared" si="484"/>
        <v>513549.88280738483</v>
      </c>
      <c r="P3460">
        <f t="shared" si="485"/>
        <v>7.3702294584162328E-3</v>
      </c>
      <c r="Q3460">
        <f t="shared" si="486"/>
        <v>2.3087289122207609E-2</v>
      </c>
      <c r="R3460">
        <f t="shared" si="487"/>
        <v>1</v>
      </c>
      <c r="S3460">
        <f t="shared" si="479"/>
        <v>1151.9380671426889</v>
      </c>
      <c r="T3460" s="564">
        <f>IF((I3460-MAX(I$470:I3460))/MAX(I$470:I3460)&gt;T3459,T3459,(I3460-MAX(I$470:I3460))/MAX(I$470:I3460))</f>
        <v>-0.91338805338419748</v>
      </c>
      <c r="U3460" s="564">
        <f>IF((J3460-MAX(J$470:J3460))/MAX(J$470:J3460)&gt;U3459,U3459,(J3460-MAX(J$470:J3460))/MAX(J$470:J3460))</f>
        <v>-0.83569785939843477</v>
      </c>
      <c r="V3460" s="564">
        <f>IF((K3460-MAX(K$470:K3460))/MAX(K$470:K3460)&gt;V3459,V3459,(K3460-MAX(K$470:K3460))/MAX(K$470:K3460))</f>
        <v>-0.84885940676762139</v>
      </c>
      <c r="W3460" s="564">
        <f>IF((N3460-MAX(N$470:N3460))/MAX(N$470:N3460)&gt;W3459,W3459,(N3460-MAX(N$470:N3460))/MAX(N$470:N3460))</f>
        <v>-0.62788758315546067</v>
      </c>
      <c r="X3460" s="564">
        <f>IF((O3460-MAX(O$470:O3460))/MAX(O$470:O3460)&gt;X3459,X3459,(O3460-MAX(O$470:O3460))/MAX(O$470:O3460))</f>
        <v>-0.62788758315546067</v>
      </c>
    </row>
    <row r="3461" spans="1:24">
      <c r="A3461" s="799">
        <v>43863</v>
      </c>
      <c r="B3461">
        <v>9458.2975076721996</v>
      </c>
      <c r="C3461">
        <v>6410.9688619999997</v>
      </c>
      <c r="D3461">
        <v>1.6435679999999999</v>
      </c>
      <c r="E3461">
        <f>LN(D3461/参数实验室!$E$53)/参数实验室!$E$55</f>
        <v>-0.1067849031772856</v>
      </c>
      <c r="F3461">
        <f t="shared" ref="F3461:F3524" si="488">C3461/B3461</f>
        <v>0.67781425323105704</v>
      </c>
      <c r="G3461">
        <f>LN(F3461/参数实验室!$E$58)/参数实验室!$E$59</f>
        <v>-0.39463631010161038</v>
      </c>
      <c r="H3461" s="856">
        <f>INDEX(神经网络!$G$10:$BO$70,MATCH(ROUND(G3461*2,1)/2,神经网络!$E$10:$E$70,0),MATCH(ROUND(E3461*2,1)/2,神经网络!$G$8:$BO$8,0))</f>
        <v>-0.55467644745781164</v>
      </c>
      <c r="I3461">
        <f t="shared" si="480"/>
        <v>512640.50239129597</v>
      </c>
      <c r="J3461">
        <f t="shared" si="481"/>
        <v>3774.1101742437222</v>
      </c>
      <c r="K3461">
        <f t="shared" si="482"/>
        <v>135.83082600232299</v>
      </c>
      <c r="L3461" s="4">
        <f>MIN(MAX(L3460*(1+MAX(MIN(((B3461-B3460)/B3460)/($K$7*卓尔金历!$N$40),0),-卓尔金历!$M$43))+MIN(MAX(((B3461-B3460)/B3460)/($K$7*卓尔金历!$N$40),0),卓尔金历!$M$43),0),1)</f>
        <v>1</v>
      </c>
      <c r="M3461" s="4">
        <f>MIN(MAX(M3460*(1+MAX(MIN(((B3461-B3460)/B3460)/($K$7*30),0),-卓尔金历!$M$43))+MIN(MAX(((B3461-B3460)/B3460)/($K$7*7),0),卓尔金历!$M$43),0),1)</f>
        <v>1</v>
      </c>
      <c r="N3461">
        <f t="shared" si="483"/>
        <v>186913.02492283969</v>
      </c>
      <c r="O3461">
        <f t="shared" si="484"/>
        <v>510753.34168320621</v>
      </c>
      <c r="P3461">
        <f t="shared" si="485"/>
        <v>9.8174534420696607E-3</v>
      </c>
      <c r="Q3461">
        <f t="shared" si="486"/>
        <v>2.3067878843212142E-2</v>
      </c>
      <c r="R3461">
        <f t="shared" si="487"/>
        <v>0.89708964212521292</v>
      </c>
      <c r="S3461">
        <f t="shared" si="479"/>
        <v>1145.6651766502193</v>
      </c>
      <c r="T3461" s="564">
        <f>IF((I3461-MAX(I$470:I3461))/MAX(I$470:I3461)&gt;T3460,T3460,(I3461-MAX(I$470:I3461))/MAX(I$470:I3461))</f>
        <v>-0.91338805338419748</v>
      </c>
      <c r="U3461" s="564">
        <f>IF((J3461-MAX(J$470:J3461))/MAX(J$470:J3461)&gt;U3460,U3460,(J3461-MAX(J$470:J3461))/MAX(J$470:J3461))</f>
        <v>-0.83569785939843477</v>
      </c>
      <c r="V3461" s="564">
        <f>IF((K3461-MAX(K$470:K3461))/MAX(K$470:K3461)&gt;V3460,V3460,(K3461-MAX(K$470:K3461))/MAX(K$470:K3461))</f>
        <v>-0.84885940676762139</v>
      </c>
      <c r="W3461" s="564">
        <f>IF((N3461-MAX(N$470:N3461))/MAX(N$470:N3461)&gt;W3460,W3460,(N3461-MAX(N$470:N3461))/MAX(N$470:N3461))</f>
        <v>-0.62788758315546067</v>
      </c>
      <c r="X3461" s="564">
        <f>IF((O3461-MAX(O$470:O3461))/MAX(O$470:O3461)&gt;X3460,X3460,(O3461-MAX(O$470:O3461))/MAX(O$470:O3461))</f>
        <v>-0.62788758315546067</v>
      </c>
    </row>
    <row r="3462" spans="1:24">
      <c r="A3462" s="799">
        <v>43864</v>
      </c>
      <c r="B3462">
        <v>9330.0745055960997</v>
      </c>
      <c r="C3462">
        <v>6498.4114319999999</v>
      </c>
      <c r="D3462">
        <v>1.6319589999999999</v>
      </c>
      <c r="E3462">
        <f>LN(D3462/参数实验室!$E$53)/参数实验室!$E$55</f>
        <v>-0.11514741263254874</v>
      </c>
      <c r="F3462">
        <f t="shared" si="488"/>
        <v>0.69650155827826543</v>
      </c>
      <c r="G3462">
        <f>LN(F3462/参数实验室!$E$58)/参数实验室!$E$59</f>
        <v>-0.38036198963400814</v>
      </c>
      <c r="H3462" s="856">
        <f>INDEX(神经网络!$G$10:$BO$70,MATCH(ROUND(G3462*2,1)/2,神经网络!$E$10:$E$70,0),MATCH(ROUND(E3462*2,1)/2,神经网络!$G$8:$BO$8,0))</f>
        <v>-0.55467644745781164</v>
      </c>
      <c r="I3462">
        <f t="shared" si="480"/>
        <v>516495.33577422082</v>
      </c>
      <c r="J3462">
        <f t="shared" si="481"/>
        <v>3722.9458144511759</v>
      </c>
      <c r="K3462">
        <f t="shared" si="482"/>
        <v>138.73297155423703</v>
      </c>
      <c r="L3462" s="4">
        <f>MIN(MAX(L3461*(1+MAX(MIN(((B3462-B3461)/B3461)/($K$7*卓尔金历!$N$40),0),-卓尔金历!$M$43))+MIN(MAX(((B3462-B3461)/B3461)/($K$7*卓尔金历!$N$40),0),卓尔金历!$M$43),0),1)</f>
        <v>0.79286711760510897</v>
      </c>
      <c r="M3462" s="4">
        <f>MIN(MAX(M3461*(1+MAX(MIN(((B3462-B3461)/B3461)/($K$7*30),0),-卓尔金历!$M$43))+MIN(MAX(((B3462-B3461)/B3461)/($K$7*7),0),卓尔金历!$M$43),0),1)</f>
        <v>0.89643355880255449</v>
      </c>
      <c r="N3462">
        <f t="shared" si="483"/>
        <v>188318.52949147022</v>
      </c>
      <c r="O3462">
        <f t="shared" si="484"/>
        <v>514593.98443924426</v>
      </c>
      <c r="P3462">
        <f t="shared" si="485"/>
        <v>-1.3556668308656015E-2</v>
      </c>
      <c r="Q3462">
        <f t="shared" si="486"/>
        <v>2.3234500344134566E-2</v>
      </c>
      <c r="R3462">
        <f t="shared" si="487"/>
        <v>0.57425562794053053</v>
      </c>
      <c r="S3462">
        <f t="shared" si="479"/>
        <v>1153.3935171910314</v>
      </c>
      <c r="T3462" s="564">
        <f>IF((I3462-MAX(I$470:I3462))/MAX(I$470:I3462)&gt;T3461,T3461,(I3462-MAX(I$470:I3462))/MAX(I$470:I3462))</f>
        <v>-0.91338805338419748</v>
      </c>
      <c r="U3462" s="564">
        <f>IF((J3462-MAX(J$470:J3462))/MAX(J$470:J3462)&gt;U3461,U3461,(J3462-MAX(J$470:J3462))/MAX(J$470:J3462))</f>
        <v>-0.83569785939843477</v>
      </c>
      <c r="V3462" s="564">
        <f>IF((K3462-MAX(K$470:K3462))/MAX(K$470:K3462)&gt;V3461,V3461,(K3462-MAX(K$470:K3462))/MAX(K$470:K3462))</f>
        <v>-0.84885940676762139</v>
      </c>
      <c r="W3462" s="564">
        <f>IF((N3462-MAX(N$470:N3462))/MAX(N$470:N3462)&gt;W3461,W3461,(N3462-MAX(N$470:N3462))/MAX(N$470:N3462))</f>
        <v>-0.62788758315546067</v>
      </c>
      <c r="X3462" s="564">
        <f>IF((O3462-MAX(O$470:O3462))/MAX(O$470:O3462)&gt;X3461,X3461,(O3462-MAX(O$470:O3462))/MAX(O$470:O3462))</f>
        <v>-0.62788758315546067</v>
      </c>
    </row>
    <row r="3463" spans="1:24">
      <c r="A3463" s="799">
        <v>43865</v>
      </c>
      <c r="B3463">
        <v>9201.4478612649</v>
      </c>
      <c r="C3463">
        <v>6635.6698900000001</v>
      </c>
      <c r="D3463">
        <v>1.610698</v>
      </c>
      <c r="E3463">
        <f>LN(D3463/参数实验室!$E$53)/参数实验室!$E$55</f>
        <v>-0.13061811654184599</v>
      </c>
      <c r="F3463">
        <f t="shared" si="488"/>
        <v>0.72115497365735348</v>
      </c>
      <c r="G3463">
        <f>LN(F3463/参数实验室!$E$58)/参数实验室!$E$59</f>
        <v>-0.36210545277914474</v>
      </c>
      <c r="H3463" s="856">
        <f>INDEX(神经网络!$G$10:$BO$70,MATCH(ROUND(G3463*2,1)/2,神经网络!$E$10:$E$70,0),MATCH(ROUND(E3463*2,1)/2,神经网络!$G$8:$BO$8,0))</f>
        <v>-0.51523219373049767</v>
      </c>
      <c r="I3463">
        <f t="shared" si="480"/>
        <v>520444.92525213509</v>
      </c>
      <c r="J3463">
        <f t="shared" si="481"/>
        <v>3671.6203907525205</v>
      </c>
      <c r="K3463">
        <f t="shared" si="482"/>
        <v>141.74802127228267</v>
      </c>
      <c r="L3463" s="4">
        <f>MIN(MAX(L3462*(1+MAX(MIN(((B3463-B3462)/B3462)/($K$7*卓尔金历!$N$40),0),-卓尔金历!$M$43))+MIN(MAX(((B3463-B3462)/B3462)/($K$7*卓尔金历!$N$40),0),卓尔金历!$M$43),0),1)</f>
        <v>0.62585718024002412</v>
      </c>
      <c r="M3463" s="4">
        <f>MIN(MAX(M3462*(1+MAX(MIN(((B3463-B3462)/B3462)/($K$7*30),0),-卓尔金历!$M$43))+MIN(MAX(((B3463-B3462)/B3462)/($K$7*7),0),卓尔金历!$M$43),0),1)</f>
        <v>0.80202094590482798</v>
      </c>
      <c r="N3463">
        <f t="shared" si="483"/>
        <v>189460.30050787964</v>
      </c>
      <c r="O3463">
        <f t="shared" si="484"/>
        <v>518121.49534136656</v>
      </c>
      <c r="P3463">
        <f t="shared" si="485"/>
        <v>-1.3786239783406932E-2</v>
      </c>
      <c r="Q3463">
        <f t="shared" si="486"/>
        <v>1.755942724388589E-2</v>
      </c>
      <c r="R3463">
        <f t="shared" si="487"/>
        <v>0.27077538352266611</v>
      </c>
      <c r="S3463">
        <f t="shared" si="479"/>
        <v>1158.4583873853553</v>
      </c>
      <c r="T3463" s="564">
        <f>IF((I3463-MAX(I$470:I3463))/MAX(I$470:I3463)&gt;T3462,T3462,(I3463-MAX(I$470:I3463))/MAX(I$470:I3463))</f>
        <v>-0.91338805338419748</v>
      </c>
      <c r="U3463" s="564">
        <f>IF((J3463-MAX(J$470:J3463))/MAX(J$470:J3463)&gt;U3462,U3462,(J3463-MAX(J$470:J3463))/MAX(J$470:J3463))</f>
        <v>-0.83569785939843477</v>
      </c>
      <c r="V3463" s="564">
        <f>IF((K3463-MAX(K$470:K3463))/MAX(K$470:K3463)&gt;V3462,V3462,(K3463-MAX(K$470:K3463))/MAX(K$470:K3463))</f>
        <v>-0.84885940676762139</v>
      </c>
      <c r="W3463" s="564">
        <f>IF((N3463-MAX(N$470:N3463))/MAX(N$470:N3463)&gt;W3462,W3462,(N3463-MAX(N$470:N3463))/MAX(N$470:N3463))</f>
        <v>-0.62788758315546067</v>
      </c>
      <c r="X3463" s="564">
        <f>IF((O3463-MAX(O$470:O3463))/MAX(O$470:O3463)&gt;X3462,X3462,(O3463-MAX(O$470:O3463))/MAX(O$470:O3463))</f>
        <v>-0.62788758315546067</v>
      </c>
    </row>
    <row r="3464" spans="1:24">
      <c r="A3464" s="799">
        <v>43866</v>
      </c>
      <c r="B3464">
        <v>9450.8419430301001</v>
      </c>
      <c r="C3464">
        <v>6532.7933329999996</v>
      </c>
      <c r="D3464">
        <v>1.690868</v>
      </c>
      <c r="E3464">
        <f>LN(D3464/参数实验室!$E$53)/参数实验室!$E$55</f>
        <v>-7.3312332826633381E-2</v>
      </c>
      <c r="F3464">
        <f t="shared" si="488"/>
        <v>0.6912392961790953</v>
      </c>
      <c r="G3464">
        <f>LN(F3464/参数实验室!$E$58)/参数实验室!$E$59</f>
        <v>-0.38434246303091552</v>
      </c>
      <c r="H3464" s="856">
        <f>INDEX(神经网络!$G$10:$BO$70,MATCH(ROUND(G3464*2,1)/2,神经网络!$E$10:$E$70,0),MATCH(ROUND(E3464*2,1)/2,神经网络!$G$8:$BO$8,0))</f>
        <v>-0.51577837593697917</v>
      </c>
      <c r="I3464">
        <f t="shared" si="480"/>
        <v>513177.04532890761</v>
      </c>
      <c r="J3464">
        <f t="shared" si="481"/>
        <v>3771.1352073062098</v>
      </c>
      <c r="K3464">
        <f t="shared" si="482"/>
        <v>136.08025624079369</v>
      </c>
      <c r="L3464" s="4">
        <f>MIN(MAX(L3463*(1+MAX(MIN(((B3464-B3463)/B3463)/($K$7*卓尔金历!$N$40),0),-卓尔金历!$M$43))+MIN(MAX(((B3464-B3463)/B3463)/($K$7*卓尔金历!$N$40),0),卓尔金历!$M$43),0),1)</f>
        <v>1</v>
      </c>
      <c r="M3464" s="4">
        <f>MIN(MAX(M3463*(1+MAX(MIN(((B3464-B3463)/B3463)/($K$7*30),0),-卓尔金历!$M$43))+MIN(MAX(((B3464-B3463)/B3463)/($K$7*7),0),卓尔金历!$M$43),0),1)</f>
        <v>1</v>
      </c>
      <c r="N3464">
        <f t="shared" si="483"/>
        <v>187804.42979006586</v>
      </c>
      <c r="O3464">
        <f t="shared" si="484"/>
        <v>512318.52586476033</v>
      </c>
      <c r="P3464">
        <f t="shared" si="485"/>
        <v>2.7103786874136188E-2</v>
      </c>
      <c r="Q3464">
        <f t="shared" si="486"/>
        <v>1.823803613677473E-2</v>
      </c>
      <c r="R3464">
        <f t="shared" si="487"/>
        <v>1.0603011775997687E-2</v>
      </c>
      <c r="S3464">
        <f t="shared" si="479"/>
        <v>1154.077898495515</v>
      </c>
      <c r="T3464" s="564">
        <f>IF((I3464-MAX(I$470:I3464))/MAX(I$470:I3464)&gt;T3463,T3463,(I3464-MAX(I$470:I3464))/MAX(I$470:I3464))</f>
        <v>-0.91338805338419748</v>
      </c>
      <c r="U3464" s="564">
        <f>IF((J3464-MAX(J$470:J3464))/MAX(J$470:J3464)&gt;U3463,U3463,(J3464-MAX(J$470:J3464))/MAX(J$470:J3464))</f>
        <v>-0.83569785939843477</v>
      </c>
      <c r="V3464" s="564">
        <f>IF((K3464-MAX(K$470:K3464))/MAX(K$470:K3464)&gt;V3463,V3463,(K3464-MAX(K$470:K3464))/MAX(K$470:K3464))</f>
        <v>-0.84885940676762139</v>
      </c>
      <c r="W3464" s="564">
        <f>IF((N3464-MAX(N$470:N3464))/MAX(N$470:N3464)&gt;W3463,W3463,(N3464-MAX(N$470:N3464))/MAX(N$470:N3464))</f>
        <v>-0.62788758315546067</v>
      </c>
      <c r="X3464" s="564">
        <f>IF((O3464-MAX(O$470:O3464))/MAX(O$470:O3464)&gt;X3463,X3463,(O3464-MAX(O$470:O3464))/MAX(O$470:O3464))</f>
        <v>-0.62788758315546067</v>
      </c>
    </row>
    <row r="3465" spans="1:24">
      <c r="A3465" s="799">
        <v>43867</v>
      </c>
      <c r="B3465">
        <v>9776.9387431842006</v>
      </c>
      <c r="C3465">
        <v>6715.8168329999999</v>
      </c>
      <c r="D3465">
        <v>1.7057169999999999</v>
      </c>
      <c r="E3465">
        <f>LN(D3465/参数实验室!$E$53)/参数实验室!$E$55</f>
        <v>-6.2997108844778563E-2</v>
      </c>
      <c r="F3465">
        <f t="shared" si="488"/>
        <v>0.68690384683874584</v>
      </c>
      <c r="G3465">
        <f>LN(F3465/参数实验室!$E$58)/参数实验室!$E$59</f>
        <v>-0.38764471161491559</v>
      </c>
      <c r="H3465" s="856">
        <f>INDEX(神经网络!$G$10:$BO$70,MATCH(ROUND(G3465*2,1)/2,神经网络!$E$10:$E$70,0),MATCH(ROUND(E3465*2,1)/2,神经网络!$G$8:$BO$8,0))</f>
        <v>-0.51577837593697917</v>
      </c>
      <c r="I3465">
        <f t="shared" si="480"/>
        <v>504044.19396709639</v>
      </c>
      <c r="J3465">
        <f t="shared" si="481"/>
        <v>3901.2564315806198</v>
      </c>
      <c r="K3465">
        <f t="shared" si="482"/>
        <v>129.20047754022659</v>
      </c>
      <c r="L3465" s="4">
        <f>MIN(MAX(L3464*(1+MAX(MIN(((B3465-B3464)/B3464)/($K$7*卓尔金历!$N$40),0),-卓尔金历!$M$43))+MIN(MAX(((B3465-B3464)/B3464)/($K$7*卓尔金历!$N$40),0),卓尔金历!$M$43),0),1)</f>
        <v>1</v>
      </c>
      <c r="M3465" s="4">
        <f>MIN(MAX(M3464*(1+MAX(MIN(((B3465-B3464)/B3464)/($K$7*30),0),-卓尔金历!$M$43))+MIN(MAX(((B3465-B3464)/B3464)/($K$7*7),0),卓尔金历!$M$43),0),1)</f>
        <v>1</v>
      </c>
      <c r="N3465">
        <f t="shared" si="483"/>
        <v>184462.13309543667</v>
      </c>
      <c r="O3465">
        <f t="shared" si="484"/>
        <v>503200.95330532081</v>
      </c>
      <c r="P3465">
        <f t="shared" si="485"/>
        <v>3.450452373659614E-2</v>
      </c>
      <c r="Q3465">
        <f t="shared" si="486"/>
        <v>1.899840301642634E-2</v>
      </c>
      <c r="R3465">
        <f t="shared" si="487"/>
        <v>7.3547522615157179E-3</v>
      </c>
      <c r="S3465">
        <f t="shared" si="479"/>
        <v>1153.8601257455148</v>
      </c>
      <c r="T3465" s="564">
        <f>IF((I3465-MAX(I$470:I3465))/MAX(I$470:I3465)&gt;T3464,T3464,(I3465-MAX(I$470:I3465))/MAX(I$470:I3465))</f>
        <v>-0.91338805338419748</v>
      </c>
      <c r="U3465" s="564">
        <f>IF((J3465-MAX(J$470:J3465))/MAX(J$470:J3465)&gt;U3464,U3464,(J3465-MAX(J$470:J3465))/MAX(J$470:J3465))</f>
        <v>-0.83569785939843477</v>
      </c>
      <c r="V3465" s="564">
        <f>IF((K3465-MAX(K$470:K3465))/MAX(K$470:K3465)&gt;V3464,V3464,(K3465-MAX(K$470:K3465))/MAX(K$470:K3465))</f>
        <v>-0.84885940676762139</v>
      </c>
      <c r="W3465" s="564">
        <f>IF((N3465-MAX(N$470:N3465))/MAX(N$470:N3465)&gt;W3464,W3464,(N3465-MAX(N$470:N3465))/MAX(N$470:N3465))</f>
        <v>-0.62788758315546067</v>
      </c>
      <c r="X3465" s="564">
        <f>IF((O3465-MAX(O$470:O3465))/MAX(O$470:O3465)&gt;X3464,X3464,(O3465-MAX(O$470:O3465))/MAX(O$470:O3465))</f>
        <v>-0.62788758315546067</v>
      </c>
    </row>
    <row r="3466" spans="1:24">
      <c r="A3466" s="799">
        <v>43868</v>
      </c>
      <c r="B3466">
        <v>9807.0065973127003</v>
      </c>
      <c r="C3466">
        <v>6731.3686600000001</v>
      </c>
      <c r="D3466">
        <v>1.7097119999999999</v>
      </c>
      <c r="E3466">
        <f>LN(D3466/参数实验室!$E$53)/参数实验室!$E$55</f>
        <v>-6.0237211707913754E-2</v>
      </c>
      <c r="F3466">
        <f t="shared" si="488"/>
        <v>0.68638361697895856</v>
      </c>
      <c r="G3466">
        <f>LN(F3466/参数实验室!$E$58)/参数实验室!$E$59</f>
        <v>-0.38804236289404864</v>
      </c>
      <c r="H3466" s="856">
        <f>INDEX(神经网络!$G$10:$BO$70,MATCH(ROUND(G3466*2,1)/2,神经网络!$E$10:$E$70,0),MATCH(ROUND(E3466*2,1)/2,神经网络!$G$8:$BO$8,0))</f>
        <v>-0.51577837593697917</v>
      </c>
      <c r="I3466">
        <f t="shared" si="480"/>
        <v>503244.67036754958</v>
      </c>
      <c r="J3466">
        <f t="shared" si="481"/>
        <v>3913.2542984368902</v>
      </c>
      <c r="K3466">
        <f t="shared" si="482"/>
        <v>128.60004282588167</v>
      </c>
      <c r="L3466" s="4">
        <f>MIN(MAX(L3465*(1+MAX(MIN(((B3466-B3465)/B3465)/($K$7*卓尔金历!$N$40),0),-卓尔金历!$M$43))+MIN(MAX(((B3466-B3465)/B3465)/($K$7*卓尔金历!$N$40),0),卓尔金历!$M$43),0),1)</f>
        <v>1</v>
      </c>
      <c r="M3466" s="4">
        <f>MIN(MAX(M3465*(1+MAX(MIN(((B3466-B3465)/B3465)/($K$7*30),0),-卓尔金历!$M$43))+MIN(MAX(((B3466-B3465)/B3465)/($K$7*7),0),卓尔金历!$M$43),0),1)</f>
        <v>1</v>
      </c>
      <c r="N3466">
        <f t="shared" si="483"/>
        <v>184169.53607637019</v>
      </c>
      <c r="O3466">
        <f t="shared" si="484"/>
        <v>502402.76726866484</v>
      </c>
      <c r="P3466">
        <f t="shared" si="485"/>
        <v>3.0753853448719707E-3</v>
      </c>
      <c r="Q3466">
        <f t="shared" si="486"/>
        <v>1.8893598286746482E-2</v>
      </c>
      <c r="R3466">
        <f t="shared" si="487"/>
        <v>1</v>
      </c>
      <c r="S3466">
        <f t="shared" si="479"/>
        <v>1153.8466645421659</v>
      </c>
      <c r="T3466" s="564">
        <f>IF((I3466-MAX(I$470:I3466))/MAX(I$470:I3466)&gt;T3465,T3465,(I3466-MAX(I$470:I3466))/MAX(I$470:I3466))</f>
        <v>-0.91338805338419748</v>
      </c>
      <c r="U3466" s="564">
        <f>IF((J3466-MAX(J$470:J3466))/MAX(J$470:J3466)&gt;U3465,U3465,(J3466-MAX(J$470:J3466))/MAX(J$470:J3466))</f>
        <v>-0.83569785939843477</v>
      </c>
      <c r="V3466" s="564">
        <f>IF((K3466-MAX(K$470:K3466))/MAX(K$470:K3466)&gt;V3465,V3465,(K3466-MAX(K$470:K3466))/MAX(K$470:K3466))</f>
        <v>-0.84885940676762139</v>
      </c>
      <c r="W3466" s="564">
        <f>IF((N3466-MAX(N$470:N3466))/MAX(N$470:N3466)&gt;W3465,W3465,(N3466-MAX(N$470:N3466))/MAX(N$470:N3466))</f>
        <v>-0.62788758315546067</v>
      </c>
      <c r="X3466" s="564">
        <f>IF((O3466-MAX(O$470:O3466))/MAX(O$470:O3466)&gt;X3465,X3465,(O3466-MAX(O$470:O3466))/MAX(O$470:O3466))</f>
        <v>-0.62788758315546067</v>
      </c>
    </row>
    <row r="3467" spans="1:24">
      <c r="A3467" s="799">
        <v>43869</v>
      </c>
      <c r="B3467">
        <v>9815.0750275824994</v>
      </c>
      <c r="C3467">
        <v>6806.1356500000002</v>
      </c>
      <c r="D3467">
        <v>1.7266429999999999</v>
      </c>
      <c r="E3467">
        <f>LN(D3467/参数实验室!$E$53)/参数实验室!$E$55</f>
        <v>-4.8611774984438139E-2</v>
      </c>
      <c r="F3467">
        <f t="shared" si="488"/>
        <v>0.69343694580767601</v>
      </c>
      <c r="G3467">
        <f>LN(F3467/参数实验室!$E$58)/参数实验室!$E$59</f>
        <v>-0.3826764472124074</v>
      </c>
      <c r="H3467" s="856">
        <f>INDEX(神经网络!$G$10:$BO$70,MATCH(ROUND(G3467*2,1)/2,神经网络!$E$10:$E$70,0),MATCH(ROUND(E3467*2,1)/2,神经网络!$G$8:$BO$8,0))</f>
        <v>-0.51577837593697917</v>
      </c>
      <c r="I3467">
        <f t="shared" si="480"/>
        <v>503031.12266812223</v>
      </c>
      <c r="J3467">
        <f t="shared" si="481"/>
        <v>3916.47381492458</v>
      </c>
      <c r="K3467">
        <f t="shared" si="482"/>
        <v>128.4398023424061</v>
      </c>
      <c r="L3467" s="4">
        <f>MIN(MAX(L3466*(1+MAX(MIN(((B3467-B3466)/B3466)/($K$7*卓尔金历!$N$40),0),-卓尔金历!$M$43))+MIN(MAX(((B3467-B3466)/B3466)/($K$7*卓尔金历!$N$40),0),卓尔金历!$M$43),0),1)</f>
        <v>1</v>
      </c>
      <c r="M3467" s="4">
        <f>MIN(MAX(M3466*(1+MAX(MIN(((B3467-B3466)/B3466)/($K$7*30),0),-卓尔金历!$M$43))+MIN(MAX(((B3467-B3466)/B3466)/($K$7*7),0),卓尔金历!$M$43),0),1)</f>
        <v>1</v>
      </c>
      <c r="N3467">
        <f t="shared" si="483"/>
        <v>184091.38526216487</v>
      </c>
      <c r="O3467">
        <f t="shared" si="484"/>
        <v>502189.57682383055</v>
      </c>
      <c r="P3467">
        <f t="shared" si="485"/>
        <v>8.2272099949540515E-4</v>
      </c>
      <c r="Q3467">
        <f t="shared" si="486"/>
        <v>1.8905010628198063E-2</v>
      </c>
      <c r="R3467">
        <f t="shared" si="487"/>
        <v>1</v>
      </c>
      <c r="S3467">
        <f t="shared" si="479"/>
        <v>1153.3570392858767</v>
      </c>
      <c r="T3467" s="564">
        <f>IF((I3467-MAX(I$470:I3467))/MAX(I$470:I3467)&gt;T3466,T3466,(I3467-MAX(I$470:I3467))/MAX(I$470:I3467))</f>
        <v>-0.91338805338419748</v>
      </c>
      <c r="U3467" s="564">
        <f>IF((J3467-MAX(J$470:J3467))/MAX(J$470:J3467)&gt;U3466,U3466,(J3467-MAX(J$470:J3467))/MAX(J$470:J3467))</f>
        <v>-0.83569785939843477</v>
      </c>
      <c r="V3467" s="564">
        <f>IF((K3467-MAX(K$470:K3467))/MAX(K$470:K3467)&gt;V3466,V3466,(K3467-MAX(K$470:K3467))/MAX(K$470:K3467))</f>
        <v>-0.84885940676762139</v>
      </c>
      <c r="W3467" s="564">
        <f>IF((N3467-MAX(N$470:N3467))/MAX(N$470:N3467)&gt;W3466,W3466,(N3467-MAX(N$470:N3467))/MAX(N$470:N3467))</f>
        <v>-0.62788758315546067</v>
      </c>
      <c r="X3467" s="564">
        <f>IF((O3467-MAX(O$470:O3467))/MAX(O$470:O3467)&gt;X3466,X3466,(O3467-MAX(O$470:O3467))/MAX(O$470:O3467))</f>
        <v>-0.62788758315546067</v>
      </c>
    </row>
    <row r="3468" spans="1:24">
      <c r="A3468" s="799">
        <v>43870</v>
      </c>
      <c r="B3468">
        <v>10012.8744142333</v>
      </c>
      <c r="C3468">
        <v>6771.8992159999998</v>
      </c>
      <c r="D3468">
        <v>1.766408</v>
      </c>
      <c r="E3468">
        <f>LN(D3468/参数实验室!$E$53)/参数实验室!$E$55</f>
        <v>-2.1749920129874683E-2</v>
      </c>
      <c r="F3468">
        <f t="shared" si="488"/>
        <v>0.67631920024620962</v>
      </c>
      <c r="G3468">
        <f>LN(F3468/参数实验室!$E$58)/参数实验室!$E$59</f>
        <v>-0.39579525779696095</v>
      </c>
      <c r="H3468" s="856">
        <f>INDEX(神经网络!$G$10:$BO$70,MATCH(ROUND(G3468*2,1)/2,神经网络!$E$10:$E$70,0),MATCH(ROUND(E3468*2,1)/2,神经网络!$G$8:$BO$8,0))</f>
        <v>-0.47913293868224294</v>
      </c>
      <c r="I3468">
        <f t="shared" si="480"/>
        <v>497802.47590243118</v>
      </c>
      <c r="J3468">
        <f t="shared" si="481"/>
        <v>3995.4009872843426</v>
      </c>
      <c r="K3468">
        <f t="shared" si="482"/>
        <v>124.59387117506456</v>
      </c>
      <c r="L3468" s="4">
        <f>MIN(MAX(L3467*(1+MAX(MIN(((B3468-B3467)/B3467)/($K$7*卓尔金历!$N$40),0),-卓尔金历!$M$43))+MIN(MAX(((B3468-B3467)/B3467)/($K$7*卓尔金历!$N$40),0),卓尔金历!$M$43),0),1)</f>
        <v>1</v>
      </c>
      <c r="M3468" s="4">
        <f>MIN(MAX(M3467*(1+MAX(MIN(((B3468-B3467)/B3467)/($K$7*30),0),-卓尔金历!$M$43))+MIN(MAX(((B3468-B3467)/B3467)/($K$7*7),0),卓尔金历!$M$43),0),1)</f>
        <v>1</v>
      </c>
      <c r="N3468">
        <f t="shared" si="483"/>
        <v>182177.88770154247</v>
      </c>
      <c r="O3468">
        <f t="shared" si="484"/>
        <v>496969.67732199386</v>
      </c>
      <c r="P3468">
        <f t="shared" si="485"/>
        <v>2.015261076404827E-2</v>
      </c>
      <c r="Q3468">
        <f t="shared" si="486"/>
        <v>1.7703988525556002E-2</v>
      </c>
      <c r="R3468">
        <f t="shared" si="487"/>
        <v>1.6455981976289218E-2</v>
      </c>
      <c r="S3468">
        <f t="shared" si="479"/>
        <v>1141.3687222983258</v>
      </c>
      <c r="T3468" s="564">
        <f>IF((I3468-MAX(I$470:I3468))/MAX(I$470:I3468)&gt;T3467,T3467,(I3468-MAX(I$470:I3468))/MAX(I$470:I3468))</f>
        <v>-0.91338805338419748</v>
      </c>
      <c r="U3468" s="564">
        <f>IF((J3468-MAX(J$470:J3468))/MAX(J$470:J3468)&gt;U3467,U3467,(J3468-MAX(J$470:J3468))/MAX(J$470:J3468))</f>
        <v>-0.83569785939843477</v>
      </c>
      <c r="V3468" s="564">
        <f>IF((K3468-MAX(K$470:K3468))/MAX(K$470:K3468)&gt;V3467,V3467,(K3468-MAX(K$470:K3468))/MAX(K$470:K3468))</f>
        <v>-0.84885940676762139</v>
      </c>
      <c r="W3468" s="564">
        <f>IF((N3468-MAX(N$470:N3468))/MAX(N$470:N3468)&gt;W3467,W3467,(N3468-MAX(N$470:N3468))/MAX(N$470:N3468))</f>
        <v>-0.62788758315546067</v>
      </c>
      <c r="X3468" s="564">
        <f>IF((O3468-MAX(O$470:O3468))/MAX(O$470:O3468)&gt;X3467,X3467,(O3468-MAX(O$470:O3468))/MAX(O$470:O3468))</f>
        <v>-0.62788758315546067</v>
      </c>
    </row>
    <row r="3469" spans="1:24">
      <c r="A3469" s="799">
        <v>43871</v>
      </c>
      <c r="B3469">
        <v>9895.7875890376999</v>
      </c>
      <c r="C3469">
        <v>6992.0397190000003</v>
      </c>
      <c r="D3469">
        <v>1.71347</v>
      </c>
      <c r="E3469">
        <f>LN(D3469/参数实验室!$E$53)/参数实验室!$E$55</f>
        <v>-5.7646923214975825E-2</v>
      </c>
      <c r="F3469">
        <f t="shared" si="488"/>
        <v>0.70656727987427725</v>
      </c>
      <c r="G3469">
        <f>LN(F3469/参数实验室!$E$58)/参数实验室!$E$59</f>
        <v>-0.3728311755072154</v>
      </c>
      <c r="H3469" s="856">
        <f>INDEX(神经网络!$G$10:$BO$70,MATCH(ROUND(G3469*2,1)/2,神经网络!$E$10:$E$70,0),MATCH(ROUND(E3469*2,1)/2,神经网络!$G$8:$BO$8,0))</f>
        <v>-0.43992575380605697</v>
      </c>
      <c r="I3469">
        <f t="shared" si="480"/>
        <v>500591.56470165565</v>
      </c>
      <c r="J3469">
        <f t="shared" si="481"/>
        <v>3948.6802557909468</v>
      </c>
      <c r="K3469">
        <f t="shared" si="482"/>
        <v>126.77439860254874</v>
      </c>
      <c r="L3469" s="4">
        <f>MIN(MAX(L3468*(1+MAX(MIN(((B3469-B3468)/B3468)/($K$7*卓尔金历!$N$40),0),-卓尔金历!$M$43))+MIN(MAX(((B3469-B3468)/B3468)/($K$7*卓尔金历!$N$40),0),卓尔金历!$M$43),0),1)</f>
        <v>0.821332590906663</v>
      </c>
      <c r="M3469" s="4">
        <f>MIN(MAX(M3468*(1+MAX(MIN(((B3469-B3468)/B3468)/($K$7*30),0),-卓尔金历!$M$43))+MIN(MAX(((B3469-B3468)/B3468)/($K$7*7),0),卓尔金历!$M$43),0),1)</f>
        <v>0.91066629545333155</v>
      </c>
      <c r="N3469">
        <f t="shared" si="483"/>
        <v>183198.59436864697</v>
      </c>
      <c r="O3469">
        <f t="shared" si="484"/>
        <v>499754.10011551291</v>
      </c>
      <c r="P3469">
        <f t="shared" si="485"/>
        <v>-1.1693627658922894E-2</v>
      </c>
      <c r="Q3469">
        <f t="shared" si="486"/>
        <v>1.8083682547794262E-2</v>
      </c>
      <c r="R3469">
        <f t="shared" si="487"/>
        <v>0.46138829105666052</v>
      </c>
      <c r="S3469">
        <f t="shared" si="479"/>
        <v>1141.4739560513942</v>
      </c>
      <c r="T3469" s="564">
        <f>IF((I3469-MAX(I$470:I3469))/MAX(I$470:I3469)&gt;T3468,T3468,(I3469-MAX(I$470:I3469))/MAX(I$470:I3469))</f>
        <v>-0.91338805338419748</v>
      </c>
      <c r="U3469" s="564">
        <f>IF((J3469-MAX(J$470:J3469))/MAX(J$470:J3469)&gt;U3468,U3468,(J3469-MAX(J$470:J3469))/MAX(J$470:J3469))</f>
        <v>-0.83569785939843477</v>
      </c>
      <c r="V3469" s="564">
        <f>IF((K3469-MAX(K$470:K3469))/MAX(K$470:K3469)&gt;V3468,V3468,(K3469-MAX(K$470:K3469))/MAX(K$470:K3469))</f>
        <v>-0.84885940676762139</v>
      </c>
      <c r="W3469" s="564">
        <f>IF((N3469-MAX(N$470:N3469))/MAX(N$470:N3469)&gt;W3468,W3468,(N3469-MAX(N$470:N3469))/MAX(N$470:N3469))</f>
        <v>-0.62788758315546067</v>
      </c>
      <c r="X3469" s="564">
        <f>IF((O3469-MAX(O$470:O3469))/MAX(O$470:O3469)&gt;X3468,X3468,(O3469-MAX(O$470:O3469))/MAX(O$470:O3469))</f>
        <v>-0.62788758315546067</v>
      </c>
    </row>
    <row r="3470" spans="1:24">
      <c r="A3470" s="799">
        <v>43872</v>
      </c>
      <c r="B3470">
        <v>9983.1255203661003</v>
      </c>
      <c r="C3470">
        <v>7008.5526410000002</v>
      </c>
      <c r="D3470">
        <v>1.7792319999999999</v>
      </c>
      <c r="E3470">
        <f>LN(D3470/参数实验室!$E$53)/参数实验室!$E$55</f>
        <v>-1.3215933841401815E-2</v>
      </c>
      <c r="F3470">
        <f t="shared" si="488"/>
        <v>0.70203991993310966</v>
      </c>
      <c r="G3470">
        <f>LN(F3470/参数实验室!$E$58)/参数实验室!$E$59</f>
        <v>-0.37620502075268852</v>
      </c>
      <c r="H3470" s="856">
        <f>INDEX(神经网络!$G$10:$BO$70,MATCH(ROUND(G3470*2,1)/2,神经网络!$E$10:$E$70,0),MATCH(ROUND(E3470*2,1)/2,神经网络!$G$8:$BO$8,0))</f>
        <v>-0.47913293868224294</v>
      </c>
      <c r="I3470">
        <f t="shared" si="480"/>
        <v>498647.92639241565</v>
      </c>
      <c r="J3470">
        <f t="shared" si="481"/>
        <v>3983.5303939851128</v>
      </c>
      <c r="K3470">
        <f t="shared" si="482"/>
        <v>125.1773871602294</v>
      </c>
      <c r="L3470" s="4">
        <f>MIN(MAX(L3469*(1+MAX(MIN(((B3470-B3469)/B3469)/($K$7*卓尔金历!$N$40),0),-卓尔金历!$M$43))+MIN(MAX(((B3470-B3469)/B3469)/($K$7*卓尔金历!$N$40),0),卓尔金历!$M$43),0),1)</f>
        <v>0.95618186558524587</v>
      </c>
      <c r="M3470" s="4">
        <f>MIN(MAX(M3469*(1+MAX(MIN(((B3470-B3469)/B3469)/($K$7*30),0),-卓尔金历!$M$43))+MIN(MAX(((B3470-B3469)/B3469)/($K$7*7),0),卓尔金历!$M$43),0),1)</f>
        <v>1</v>
      </c>
      <c r="N3470">
        <f t="shared" si="483"/>
        <v>182614.37881295598</v>
      </c>
      <c r="O3470">
        <f t="shared" si="484"/>
        <v>497987.05534784991</v>
      </c>
      <c r="P3470">
        <f t="shared" si="485"/>
        <v>8.8257685952304685E-3</v>
      </c>
      <c r="Q3470">
        <f t="shared" si="486"/>
        <v>1.8048426163745586E-2</v>
      </c>
      <c r="R3470">
        <f t="shared" si="487"/>
        <v>0.74640323379042339</v>
      </c>
      <c r="S3470">
        <f t="shared" si="479"/>
        <v>1139.4290917215144</v>
      </c>
      <c r="T3470" s="564">
        <f>IF((I3470-MAX(I$470:I3470))/MAX(I$470:I3470)&gt;T3469,T3469,(I3470-MAX(I$470:I3470))/MAX(I$470:I3470))</f>
        <v>-0.91338805338419748</v>
      </c>
      <c r="U3470" s="564">
        <f>IF((J3470-MAX(J$470:J3470))/MAX(J$470:J3470)&gt;U3469,U3469,(J3470-MAX(J$470:J3470))/MAX(J$470:J3470))</f>
        <v>-0.83569785939843477</v>
      </c>
      <c r="V3470" s="564">
        <f>IF((K3470-MAX(K$470:K3470))/MAX(K$470:K3470)&gt;V3469,V3469,(K3470-MAX(K$470:K3470))/MAX(K$470:K3470))</f>
        <v>-0.84885940676762139</v>
      </c>
      <c r="W3470" s="564">
        <f>IF((N3470-MAX(N$470:N3470))/MAX(N$470:N3470)&gt;W3469,W3469,(N3470-MAX(N$470:N3470))/MAX(N$470:N3470))</f>
        <v>-0.62788758315546067</v>
      </c>
      <c r="X3470" s="564">
        <f>IF((O3470-MAX(O$470:O3470))/MAX(O$470:O3470)&gt;X3469,X3469,(O3470-MAX(O$470:O3470))/MAX(O$470:O3470))</f>
        <v>-0.62788758315546067</v>
      </c>
    </row>
    <row r="3471" spans="1:24">
      <c r="A3471" s="799">
        <v>43873</v>
      </c>
      <c r="B3471">
        <v>10259.4816886356</v>
      </c>
      <c r="C3471">
        <v>7015.4838259999997</v>
      </c>
      <c r="D3471">
        <v>1.792084</v>
      </c>
      <c r="E3471">
        <f>LN(D3471/参数实验室!$E$53)/参数实验室!$E$55</f>
        <v>-4.7248038801041429E-3</v>
      </c>
      <c r="F3471">
        <f t="shared" si="488"/>
        <v>0.68380489764614838</v>
      </c>
      <c r="G3471">
        <f>LN(F3471/参数实验室!$E$58)/参数实验室!$E$59</f>
        <v>-0.39001793465125717</v>
      </c>
      <c r="H3471" s="856">
        <f>INDEX(神经网络!$G$10:$BO$70,MATCH(ROUND(G3471*2,1)/2,神经网络!$E$10:$E$70,0),MATCH(ROUND(E3471*2,1)/2,神经网络!$G$8:$BO$8,0))</f>
        <v>-0.47913293868224294</v>
      </c>
      <c r="I3471">
        <f t="shared" si="480"/>
        <v>492034.10174441169</v>
      </c>
      <c r="J3471">
        <f t="shared" si="481"/>
        <v>4093.8037941963971</v>
      </c>
      <c r="K3471">
        <f t="shared" si="482"/>
        <v>120.18995693978947</v>
      </c>
      <c r="L3471" s="4">
        <f>MIN(MAX(L3470*(1+MAX(MIN(((B3471-B3470)/B3470)/($K$7*卓尔金历!$N$40),0),-卓尔金历!$M$43))+MIN(MAX(((B3471-B3470)/B3470)/($K$7*卓尔金历!$N$40),0),卓尔金历!$M$43),0),1)</f>
        <v>1</v>
      </c>
      <c r="M3471" s="4">
        <f>MIN(MAX(M3470*(1+MAX(MIN(((B3471-B3470)/B3470)/($K$7*30),0),-卓尔金历!$M$43))+MIN(MAX(((B3471-B3470)/B3470)/($K$7*7),0),卓尔金历!$M$43),0),1)</f>
        <v>1</v>
      </c>
      <c r="N3471">
        <f t="shared" si="483"/>
        <v>180298.40239960869</v>
      </c>
      <c r="O3471">
        <f t="shared" si="484"/>
        <v>491381.99617338419</v>
      </c>
      <c r="P3471">
        <f t="shared" si="485"/>
        <v>2.7682329317178154E-2</v>
      </c>
      <c r="Q3471">
        <f t="shared" si="486"/>
        <v>1.8495807099172628E-2</v>
      </c>
      <c r="R3471">
        <f t="shared" si="487"/>
        <v>1.077039441958785E-2</v>
      </c>
      <c r="S3471">
        <f t="shared" si="479"/>
        <v>1128.148822241729</v>
      </c>
      <c r="T3471" s="564">
        <f>IF((I3471-MAX(I$470:I3471))/MAX(I$470:I3471)&gt;T3470,T3470,(I3471-MAX(I$470:I3471))/MAX(I$470:I3471))</f>
        <v>-0.91338805338419748</v>
      </c>
      <c r="U3471" s="564">
        <f>IF((J3471-MAX(J$470:J3471))/MAX(J$470:J3471)&gt;U3470,U3470,(J3471-MAX(J$470:J3471))/MAX(J$470:J3471))</f>
        <v>-0.83569785939843477</v>
      </c>
      <c r="V3471" s="564">
        <f>IF((K3471-MAX(K$470:K3471))/MAX(K$470:K3471)&gt;V3470,V3470,(K3471-MAX(K$470:K3471))/MAX(K$470:K3471))</f>
        <v>-0.84885940676762139</v>
      </c>
      <c r="W3471" s="564">
        <f>IF((N3471-MAX(N$470:N3471))/MAX(N$470:N3471)&gt;W3470,W3470,(N3471-MAX(N$470:N3471))/MAX(N$470:N3471))</f>
        <v>-0.62788758315546067</v>
      </c>
      <c r="X3471" s="564">
        <f>IF((O3471-MAX(O$470:O3471))/MAX(O$470:O3471)&gt;X3470,X3470,(O3471-MAX(O$470:O3471))/MAX(O$470:O3471))</f>
        <v>-0.62788758315546067</v>
      </c>
    </row>
    <row r="3472" spans="1:24">
      <c r="A3472" s="799">
        <v>43874</v>
      </c>
      <c r="B3472">
        <v>10243.178424465599</v>
      </c>
      <c r="C3472">
        <v>7036.7388659999997</v>
      </c>
      <c r="D3472">
        <v>1.768516</v>
      </c>
      <c r="E3472">
        <f>LN(D3472/参数实验室!$E$53)/参数实验室!$E$55</f>
        <v>-2.034286292972572E-2</v>
      </c>
      <c r="F3472">
        <f t="shared" si="488"/>
        <v>0.68696829972158924</v>
      </c>
      <c r="G3472">
        <f>LN(F3472/参数实验室!$E$58)/参数实验室!$E$59</f>
        <v>-0.38759546633942449</v>
      </c>
      <c r="H3472" s="856">
        <f>INDEX(神经网络!$G$10:$BO$70,MATCH(ROUND(G3472*2,1)/2,神经网络!$E$10:$E$70,0),MATCH(ROUND(E3472*2,1)/2,神经网络!$G$8:$BO$8,0))</f>
        <v>-0.47913293868224294</v>
      </c>
      <c r="I3472">
        <f t="shared" si="480"/>
        <v>492408.72986784251</v>
      </c>
      <c r="J3472">
        <f t="shared" si="481"/>
        <v>4087.2983617834843</v>
      </c>
      <c r="K3472">
        <f t="shared" si="482"/>
        <v>120.47291053471834</v>
      </c>
      <c r="L3472" s="4">
        <f>MIN(MAX(L3471*(1+MAX(MIN(((B3472-B3471)/B3471)/($K$7*卓尔金历!$N$40),0),-卓尔金历!$M$43))+MIN(MAX(((B3472-B3471)/B3471)/($K$7*卓尔金历!$N$40),0),卓尔金历!$M$43),0),1)</f>
        <v>0.97572019337767402</v>
      </c>
      <c r="M3472" s="4">
        <f>MIN(MAX(M3471*(1+MAX(MIN(((B3472-B3471)/B3471)/($K$7*30),0),-卓尔金历!$M$43))+MIN(MAX(((B3472-B3471)/B3471)/($K$7*7),0),卓尔金历!$M$43),0),1)</f>
        <v>0.98786009668883701</v>
      </c>
      <c r="N3472">
        <f t="shared" si="483"/>
        <v>180435.6791694689</v>
      </c>
      <c r="O3472">
        <f t="shared" si="484"/>
        <v>491756.12779243558</v>
      </c>
      <c r="P3472">
        <f t="shared" si="485"/>
        <v>-1.5890923795945889E-3</v>
      </c>
      <c r="Q3472">
        <f t="shared" si="486"/>
        <v>1.6513165302796111E-2</v>
      </c>
      <c r="R3472">
        <f t="shared" si="487"/>
        <v>1</v>
      </c>
      <c r="S3472">
        <f t="shared" si="479"/>
        <v>1128.1580735504795</v>
      </c>
      <c r="T3472" s="564">
        <f>IF((I3472-MAX(I$470:I3472))/MAX(I$470:I3472)&gt;T3471,T3471,(I3472-MAX(I$470:I3472))/MAX(I$470:I3472))</f>
        <v>-0.91338805338419748</v>
      </c>
      <c r="U3472" s="564">
        <f>IF((J3472-MAX(J$470:J3472))/MAX(J$470:J3472)&gt;U3471,U3471,(J3472-MAX(J$470:J3472))/MAX(J$470:J3472))</f>
        <v>-0.83569785939843477</v>
      </c>
      <c r="V3472" s="564">
        <f>IF((K3472-MAX(K$470:K3472))/MAX(K$470:K3472)&gt;V3471,V3471,(K3472-MAX(K$470:K3472))/MAX(K$470:K3472))</f>
        <v>-0.84885940676762139</v>
      </c>
      <c r="W3472" s="564">
        <f>IF((N3472-MAX(N$470:N3472))/MAX(N$470:N3472)&gt;W3471,W3471,(N3472-MAX(N$470:N3472))/MAX(N$470:N3472))</f>
        <v>-0.62788758315546067</v>
      </c>
      <c r="X3472" s="564">
        <f>IF((O3472-MAX(O$470:O3472))/MAX(O$470:O3472)&gt;X3471,X3471,(O3472-MAX(O$470:O3472))/MAX(O$470:O3472))</f>
        <v>-0.62788758315546067</v>
      </c>
    </row>
    <row r="3473" spans="1:24">
      <c r="A3473" s="799">
        <v>43875</v>
      </c>
      <c r="B3473">
        <v>10260.884422552301</v>
      </c>
      <c r="C3473">
        <v>7115.9276280000004</v>
      </c>
      <c r="D3473">
        <v>1.7883100000000001</v>
      </c>
      <c r="E3473">
        <f>LN(D3473/参数实验室!$E$53)/参数实验室!$E$55</f>
        <v>-7.2118990946123144E-3</v>
      </c>
      <c r="F3473">
        <f t="shared" si="488"/>
        <v>0.69350041721159728</v>
      </c>
      <c r="G3473">
        <f>LN(F3473/参数实验室!$E$58)/参数实验室!$E$59</f>
        <v>-0.38262840867241321</v>
      </c>
      <c r="H3473" s="856">
        <f>INDEX(神经网络!$G$10:$BO$70,MATCH(ROUND(G3473*2,1)/2,神经网络!$E$10:$E$70,0),MATCH(ROUND(E3473*2,1)/2,神经网络!$G$8:$BO$8,0))</f>
        <v>-0.47913293868224294</v>
      </c>
      <c r="I3473">
        <f t="shared" si="480"/>
        <v>492000.91087549966</v>
      </c>
      <c r="J3473">
        <f t="shared" si="481"/>
        <v>4094.3635220271703</v>
      </c>
      <c r="K3473">
        <f t="shared" si="482"/>
        <v>120.16541966256672</v>
      </c>
      <c r="L3473" s="4">
        <f>MIN(MAX(L3472*(1+MAX(MIN(((B3473-B3472)/B3472)/($K$7*卓尔金历!$N$40),0),-卓尔金历!$M$43))+MIN(MAX(((B3473-B3472)/B3472)/($K$7*卓尔金历!$N$40),0),卓尔金历!$M$43),0),1)</f>
        <v>1</v>
      </c>
      <c r="M3473" s="4">
        <f>MIN(MAX(M3472*(1+MAX(MIN(((B3473-B3472)/B3472)/($K$7*30),0),-卓尔金历!$M$43))+MIN(MAX(((B3473-B3472)/B3472)/($K$7*7),0),卓尔金历!$M$43),0),1)</f>
        <v>1</v>
      </c>
      <c r="N3473">
        <f t="shared" si="483"/>
        <v>180289.86846266282</v>
      </c>
      <c r="O3473">
        <f t="shared" si="484"/>
        <v>491353.79361479403</v>
      </c>
      <c r="P3473">
        <f t="shared" si="485"/>
        <v>1.7285648412031182E-3</v>
      </c>
      <c r="Q3473">
        <f t="shared" si="486"/>
        <v>1.6598260056672823E-2</v>
      </c>
      <c r="R3473">
        <f t="shared" si="487"/>
        <v>1</v>
      </c>
      <c r="S3473">
        <f t="shared" si="479"/>
        <v>1127.2237190988792</v>
      </c>
      <c r="T3473" s="564">
        <f>IF((I3473-MAX(I$470:I3473))/MAX(I$470:I3473)&gt;T3472,T3472,(I3473-MAX(I$470:I3473))/MAX(I$470:I3473))</f>
        <v>-0.91338805338419748</v>
      </c>
      <c r="U3473" s="564">
        <f>IF((J3473-MAX(J$470:J3473))/MAX(J$470:J3473)&gt;U3472,U3472,(J3473-MAX(J$470:J3473))/MAX(J$470:J3473))</f>
        <v>-0.83569785939843477</v>
      </c>
      <c r="V3473" s="564">
        <f>IF((K3473-MAX(K$470:K3473))/MAX(K$470:K3473)&gt;V3472,V3472,(K3473-MAX(K$470:K3473))/MAX(K$470:K3473))</f>
        <v>-0.84885940676762139</v>
      </c>
      <c r="W3473" s="564">
        <f>IF((N3473-MAX(N$470:N3473))/MAX(N$470:N3473)&gt;W3472,W3472,(N3473-MAX(N$470:N3473))/MAX(N$470:N3473))</f>
        <v>-0.62788758315546067</v>
      </c>
      <c r="X3473" s="564">
        <f>IF((O3473-MAX(O$470:O3473))/MAX(O$470:O3473)&gt;X3472,X3472,(O3473-MAX(O$470:O3473))/MAX(O$470:O3473))</f>
        <v>-0.62788758315546067</v>
      </c>
    </row>
    <row r="3474" spans="1:24">
      <c r="A3474" s="799">
        <v>43876</v>
      </c>
      <c r="B3474">
        <v>10213.396088310799</v>
      </c>
      <c r="C3474">
        <v>7201.3330749999996</v>
      </c>
      <c r="D3474">
        <v>1.7107570000000001</v>
      </c>
      <c r="E3474">
        <f>LN(D3474/参数实验室!$E$53)/参数实验室!$E$55</f>
        <v>-5.9516350224702814E-2</v>
      </c>
      <c r="F3474">
        <f t="shared" si="488"/>
        <v>0.70508702616966978</v>
      </c>
      <c r="G3474">
        <f>LN(F3474/参数实验室!$E$58)/参数实验室!$E$59</f>
        <v>-0.37393189460406101</v>
      </c>
      <c r="H3474" s="856">
        <f>INDEX(神经网络!$G$10:$BO$70,MATCH(ROUND(G3474*2,1)/2,神经网络!$E$10:$E$70,0),MATCH(ROUND(E3474*2,1)/2,神经网络!$G$8:$BO$8,0))</f>
        <v>-0.43992575380605697</v>
      </c>
      <c r="I3474">
        <f t="shared" si="480"/>
        <v>493091.90917860623</v>
      </c>
      <c r="J3474">
        <f t="shared" si="481"/>
        <v>4075.4144241294402</v>
      </c>
      <c r="K3474">
        <f t="shared" si="482"/>
        <v>120.9918447211505</v>
      </c>
      <c r="L3474" s="4">
        <f>MIN(MAX(L3473*(1+MAX(MIN(((B3474-B3473)/B3473)/($K$7*卓尔金历!$N$40),0),-卓尔金历!$M$43))+MIN(MAX(((B3474-B3473)/B3473)/($K$7*卓尔金历!$N$40),0),卓尔金历!$M$43),0),1)</f>
        <v>0.92928716997629224</v>
      </c>
      <c r="M3474" s="4">
        <f>MIN(MAX(M3473*(1+MAX(MIN(((B3474-B3473)/B3473)/($K$7*30),0),-卓尔金历!$M$43))+MIN(MAX(((B3474-B3473)/B3473)/($K$7*7),0),卓尔金历!$M$43),0),1)</f>
        <v>0.96464358498814606</v>
      </c>
      <c r="N3474">
        <f t="shared" si="483"/>
        <v>180689.65621957989</v>
      </c>
      <c r="O3474">
        <f t="shared" si="484"/>
        <v>492443.35695341631</v>
      </c>
      <c r="P3474">
        <f t="shared" si="485"/>
        <v>-4.6280936696964708E-3</v>
      </c>
      <c r="Q3474">
        <f t="shared" si="486"/>
        <v>1.582097728043113E-2</v>
      </c>
      <c r="R3474">
        <f t="shared" si="487"/>
        <v>1</v>
      </c>
      <c r="S3474">
        <f t="shared" si="479"/>
        <v>1129.7233062695004</v>
      </c>
      <c r="T3474" s="564">
        <f>IF((I3474-MAX(I$470:I3474))/MAX(I$470:I3474)&gt;T3473,T3473,(I3474-MAX(I$470:I3474))/MAX(I$470:I3474))</f>
        <v>-0.91338805338419748</v>
      </c>
      <c r="U3474" s="564">
        <f>IF((J3474-MAX(J$470:J3474))/MAX(J$470:J3474)&gt;U3473,U3473,(J3474-MAX(J$470:J3474))/MAX(J$470:J3474))</f>
        <v>-0.83569785939843477</v>
      </c>
      <c r="V3474" s="564">
        <f>IF((K3474-MAX(K$470:K3474))/MAX(K$470:K3474)&gt;V3473,V3473,(K3474-MAX(K$470:K3474))/MAX(K$470:K3474))</f>
        <v>-0.84885940676762139</v>
      </c>
      <c r="W3474" s="564">
        <f>IF((N3474-MAX(N$470:N3474))/MAX(N$470:N3474)&gt;W3473,W3473,(N3474-MAX(N$470:N3474))/MAX(N$470:N3474))</f>
        <v>-0.62788758315546067</v>
      </c>
      <c r="X3474" s="564">
        <f>IF((O3474-MAX(O$470:O3474))/MAX(O$470:O3474)&gt;X3473,X3473,(O3474-MAX(O$470:O3474))/MAX(O$470:O3474))</f>
        <v>-0.62788758315546067</v>
      </c>
    </row>
    <row r="3475" spans="1:24">
      <c r="A3475" s="799">
        <v>43877</v>
      </c>
      <c r="B3475">
        <v>9880.5510570281003</v>
      </c>
      <c r="C3475">
        <v>7288.0926929999996</v>
      </c>
      <c r="D3475">
        <v>1.7169540000000001</v>
      </c>
      <c r="E3475">
        <f>LN(D3475/参数实验室!$E$53)/参数实验室!$E$55</f>
        <v>-5.5250565379782922E-2</v>
      </c>
      <c r="F3475">
        <f t="shared" si="488"/>
        <v>0.73762006298382843</v>
      </c>
      <c r="G3475">
        <f>LN(F3475/参数实验室!$E$58)/参数实验室!$E$59</f>
        <v>-0.35025696965368053</v>
      </c>
      <c r="H3475" s="856">
        <f>INDEX(神经网络!$G$10:$BO$70,MATCH(ROUND(G3475*2,1)/2,神经网络!$E$10:$E$70,0),MATCH(ROUND(E3475*2,1)/2,神经网络!$G$8:$BO$8,0))</f>
        <v>-0.43992575380605697</v>
      </c>
      <c r="I3475">
        <f t="shared" si="480"/>
        <v>500161.25401798321</v>
      </c>
      <c r="J3475">
        <f t="shared" si="481"/>
        <v>3942.6004776457808</v>
      </c>
      <c r="K3475">
        <f t="shared" si="482"/>
        <v>126.86075012009364</v>
      </c>
      <c r="L3475" s="4">
        <f>MIN(MAX(L3474*(1+MAX(MIN(((B3475-B3474)/B3474)/($K$7*卓尔金历!$N$40),0),-卓尔金历!$M$43))+MIN(MAX(((B3475-B3474)/B3474)/($K$7*卓尔金历!$N$40),0),卓尔金历!$M$43),0),1)</f>
        <v>0.46656754096285974</v>
      </c>
      <c r="M3475" s="4">
        <f>MIN(MAX(M3474*(1+MAX(MIN(((B3475-B3474)/B3474)/($K$7*30),0),-卓尔金历!$M$43))+MIN(MAX(((B3475-B3474)/B3474)/($K$7*7),0),卓尔金历!$M$43),0),1)</f>
        <v>0.72448126692488801</v>
      </c>
      <c r="N3475">
        <f t="shared" si="483"/>
        <v>183096.98009500574</v>
      </c>
      <c r="O3475">
        <f t="shared" si="484"/>
        <v>499253.78570831864</v>
      </c>
      <c r="P3475">
        <f t="shared" si="485"/>
        <v>-3.2589065224214606E-2</v>
      </c>
      <c r="Q3475">
        <f t="shared" si="486"/>
        <v>1.8120850154126966E-2</v>
      </c>
      <c r="R3475">
        <f t="shared" si="487"/>
        <v>6.5354306754522211E-3</v>
      </c>
      <c r="S3475">
        <f t="shared" si="479"/>
        <v>1145.9198884409743</v>
      </c>
      <c r="T3475" s="564">
        <f>IF((I3475-MAX(I$470:I3475))/MAX(I$470:I3475)&gt;T3474,T3474,(I3475-MAX(I$470:I3475))/MAX(I$470:I3475))</f>
        <v>-0.91338805338419748</v>
      </c>
      <c r="U3475" s="564">
        <f>IF((J3475-MAX(J$470:J3475))/MAX(J$470:J3475)&gt;U3474,U3474,(J3475-MAX(J$470:J3475))/MAX(J$470:J3475))</f>
        <v>-0.83569785939843477</v>
      </c>
      <c r="V3475" s="564">
        <f>IF((K3475-MAX(K$470:K3475))/MAX(K$470:K3475)&gt;V3474,V3474,(K3475-MAX(K$470:K3475))/MAX(K$470:K3475))</f>
        <v>-0.84885940676762139</v>
      </c>
      <c r="W3475" s="564">
        <f>IF((N3475-MAX(N$470:N3475))/MAX(N$470:N3475)&gt;W3474,W3474,(N3475-MAX(N$470:N3475))/MAX(N$470:N3475))</f>
        <v>-0.62788758315546067</v>
      </c>
      <c r="X3475" s="564">
        <f>IF((O3475-MAX(O$470:O3475))/MAX(O$470:O3475)&gt;X3474,X3474,(O3475-MAX(O$470:O3475))/MAX(O$470:O3475))</f>
        <v>-0.62788758315546067</v>
      </c>
    </row>
    <row r="3476" spans="1:24">
      <c r="A3476" s="799">
        <v>43878</v>
      </c>
      <c r="B3476">
        <v>9544.7617745877997</v>
      </c>
      <c r="C3476">
        <v>7166.6820369999996</v>
      </c>
      <c r="D3476">
        <v>1.6706179999999999</v>
      </c>
      <c r="E3476">
        <f>LN(D3476/参数实验室!$E$53)/参数实验室!$E$55</f>
        <v>-8.7526458476093444E-2</v>
      </c>
      <c r="F3476">
        <f t="shared" si="488"/>
        <v>0.75084975468751292</v>
      </c>
      <c r="G3476">
        <f>LN(F3476/参数实验室!$E$58)/参数实验室!$E$59</f>
        <v>-0.34092679721481173</v>
      </c>
      <c r="H3476" s="856">
        <f>INDEX(神经网络!$G$10:$BO$70,MATCH(ROUND(G3476*2,1)/2,神经网络!$E$10:$E$70,0),MATCH(ROUND(E3476*2,1)/2,神经网络!$G$8:$BO$8,0))</f>
        <v>-0.47881512889002076</v>
      </c>
      <c r="I3476">
        <f t="shared" si="480"/>
        <v>507639.07554790849</v>
      </c>
      <c r="J3476">
        <f t="shared" si="481"/>
        <v>3808.6116972937193</v>
      </c>
      <c r="K3476">
        <f t="shared" si="482"/>
        <v>133.2871702065666</v>
      </c>
      <c r="L3476" s="4">
        <f>MIN(MAX(L3475*(1+MAX(MIN(((B3476-B3475)/B3475)/($K$7*卓尔金历!$N$40),0),-卓尔金历!$M$43))+MIN(MAX(((B3476-B3475)/B3475)/($K$7*卓尔金历!$N$40),0),卓尔金历!$M$43),0),1)</f>
        <v>0.22429942393419691</v>
      </c>
      <c r="M3476" s="4">
        <f>MIN(MAX(M3475*(1+MAX(MIN(((B3476-B3475)/B3475)/($K$7*30),0),-卓尔金历!$M$43))+MIN(MAX(((B3476-B3475)/B3475)/($K$7*7),0),卓尔金历!$M$43),0),1)</f>
        <v>0.53638554985227183</v>
      </c>
      <c r="N3476">
        <f t="shared" si="483"/>
        <v>184374.18551729721</v>
      </c>
      <c r="O3476">
        <f t="shared" si="484"/>
        <v>504661.49799952802</v>
      </c>
      <c r="P3476">
        <f t="shared" si="485"/>
        <v>-3.3984873971320814E-2</v>
      </c>
      <c r="Q3476">
        <f t="shared" si="486"/>
        <v>1.9070139937934986E-2</v>
      </c>
      <c r="R3476">
        <f t="shared" si="487"/>
        <v>7.6507718028373953E-3</v>
      </c>
      <c r="S3476">
        <f t="shared" si="479"/>
        <v>1146.0318563376129</v>
      </c>
      <c r="T3476" s="564">
        <f>IF((I3476-MAX(I$470:I3476))/MAX(I$470:I3476)&gt;T3475,T3475,(I3476-MAX(I$470:I3476))/MAX(I$470:I3476))</f>
        <v>-0.91338805338419748</v>
      </c>
      <c r="U3476" s="564">
        <f>IF((J3476-MAX(J$470:J3476))/MAX(J$470:J3476)&gt;U3475,U3475,(J3476-MAX(J$470:J3476))/MAX(J$470:J3476))</f>
        <v>-0.83569785939843477</v>
      </c>
      <c r="V3476" s="564">
        <f>IF((K3476-MAX(K$470:K3476))/MAX(K$470:K3476)&gt;V3475,V3475,(K3476-MAX(K$470:K3476))/MAX(K$470:K3476))</f>
        <v>-0.84885940676762139</v>
      </c>
      <c r="W3476" s="564">
        <f>IF((N3476-MAX(N$470:N3476))/MAX(N$470:N3476)&gt;W3475,W3475,(N3476-MAX(N$470:N3476))/MAX(N$470:N3476))</f>
        <v>-0.62788758315546067</v>
      </c>
      <c r="X3476" s="564">
        <f>IF((O3476-MAX(O$470:O3476))/MAX(O$470:O3476)&gt;X3475,X3475,(O3476-MAX(O$470:O3476))/MAX(O$470:O3476))</f>
        <v>-0.62788758315546067</v>
      </c>
    </row>
    <row r="3477" spans="1:24">
      <c r="A3477" s="799">
        <v>43879</v>
      </c>
      <c r="B3477">
        <v>9834.1948540837002</v>
      </c>
      <c r="C3477">
        <v>7169.0229069999996</v>
      </c>
      <c r="D3477">
        <v>1.754254</v>
      </c>
      <c r="E3477">
        <f>LN(D3477/参数实验室!$E$53)/参数实验室!$E$55</f>
        <v>-2.9895421111691679E-2</v>
      </c>
      <c r="F3477">
        <f t="shared" si="488"/>
        <v>0.72898930856785149</v>
      </c>
      <c r="G3477">
        <f>LN(F3477/参数实验室!$E$58)/参数实验室!$E$59</f>
        <v>-0.35643440003283089</v>
      </c>
      <c r="H3477" s="856">
        <f>INDEX(神经网络!$G$10:$BO$70,MATCH(ROUND(G3477*2,1)/2,神经网络!$E$10:$E$70,0),MATCH(ROUND(E3477*2,1)/2,神经网络!$G$8:$BO$8,0))</f>
        <v>-0.43992575380605697</v>
      </c>
      <c r="I3477">
        <f t="shared" si="480"/>
        <v>500268.42229338747</v>
      </c>
      <c r="J3477">
        <f t="shared" si="481"/>
        <v>3924.1031299962851</v>
      </c>
      <c r="K3477">
        <f t="shared" si="482"/>
        <v>127.48605368428761</v>
      </c>
      <c r="L3477" s="4">
        <f>MIN(MAX(L3476*(1+MAX(MIN(((B3477-B3476)/B3476)/($K$7*卓尔金历!$N$40),0),-卓尔金历!$M$43))+MIN(MAX(((B3477-B3476)/B3476)/($K$7*卓尔金历!$N$40),0),卓尔金历!$M$43),0),1)</f>
        <v>0.68761739990743198</v>
      </c>
      <c r="M3477" s="4">
        <f>MIN(MAX(M3476*(1+MAX(MIN(((B3477-B3476)/B3476)/($K$7*30),0),-卓尔金历!$M$43))+MIN(MAX(((B3477-B3476)/B3476)/($K$7*7),0),卓尔金历!$M$43),0),1)</f>
        <v>1</v>
      </c>
      <c r="N3477">
        <f t="shared" si="483"/>
        <v>183773.73225439945</v>
      </c>
      <c r="O3477">
        <f t="shared" si="484"/>
        <v>500731.17558492318</v>
      </c>
      <c r="P3477">
        <f t="shared" si="485"/>
        <v>3.0323761486273446E-2</v>
      </c>
      <c r="Q3477">
        <f t="shared" si="486"/>
        <v>1.9241339693179871E-2</v>
      </c>
      <c r="R3477">
        <f t="shared" si="487"/>
        <v>1.0395695101423512E-2</v>
      </c>
      <c r="S3477">
        <f t="shared" si="479"/>
        <v>1145.904549164492</v>
      </c>
      <c r="T3477" s="564">
        <f>IF((I3477-MAX(I$470:I3477))/MAX(I$470:I3477)&gt;T3476,T3476,(I3477-MAX(I$470:I3477))/MAX(I$470:I3477))</f>
        <v>-0.91338805338419748</v>
      </c>
      <c r="U3477" s="564">
        <f>IF((J3477-MAX(J$470:J3477))/MAX(J$470:J3477)&gt;U3476,U3476,(J3477-MAX(J$470:J3477))/MAX(J$470:J3477))</f>
        <v>-0.83569785939843477</v>
      </c>
      <c r="V3477" s="564">
        <f>IF((K3477-MAX(K$470:K3477))/MAX(K$470:K3477)&gt;V3476,V3476,(K3477-MAX(K$470:K3477))/MAX(K$470:K3477))</f>
        <v>-0.84885940676762139</v>
      </c>
      <c r="W3477" s="564">
        <f>IF((N3477-MAX(N$470:N3477))/MAX(N$470:N3477)&gt;W3476,W3476,(N3477-MAX(N$470:N3477))/MAX(N$470:N3477))</f>
        <v>-0.62788758315546067</v>
      </c>
      <c r="X3477" s="564">
        <f>IF((O3477-MAX(O$470:O3477))/MAX(O$470:O3477)&gt;X3476,X3476,(O3477-MAX(O$470:O3477))/MAX(O$470:O3477))</f>
        <v>-0.62788758315546067</v>
      </c>
    </row>
    <row r="3478" spans="1:24">
      <c r="A3478" s="799">
        <v>43880</v>
      </c>
      <c r="B3478">
        <v>10131.7424986479</v>
      </c>
      <c r="C3478">
        <v>7225.4265809999997</v>
      </c>
      <c r="D3478">
        <v>1.6579410000000001</v>
      </c>
      <c r="E3478">
        <f>LN(D3478/参数实验室!$E$53)/参数实验室!$E$55</f>
        <v>-9.6512812141978863E-2</v>
      </c>
      <c r="F3478">
        <f t="shared" si="488"/>
        <v>0.71314747507294485</v>
      </c>
      <c r="G3478">
        <f>LN(F3478/参数实验室!$E$58)/参数实验室!$E$59</f>
        <v>-0.36796587876646192</v>
      </c>
      <c r="H3478" s="856">
        <f>INDEX(神经网络!$G$10:$BO$70,MATCH(ROUND(G3478*2,1)/2,神经网络!$E$10:$E$70,0),MATCH(ROUND(E3478*2,1)/2,神经网络!$G$8:$BO$8,0))</f>
        <v>-0.47881512889002076</v>
      </c>
      <c r="I3478">
        <f t="shared" si="480"/>
        <v>493609.55768260075</v>
      </c>
      <c r="J3478">
        <f t="shared" si="481"/>
        <v>4042.8324881879771</v>
      </c>
      <c r="K3478">
        <f t="shared" si="482"/>
        <v>122.09498145787377</v>
      </c>
      <c r="L3478" s="4">
        <f>MIN(MAX(L3477*(1+MAX(MIN(((B3478-B3477)/B3477)/($K$7*卓尔金历!$N$40),0),-卓尔金历!$M$43))+MIN(MAX(((B3478-B3477)/B3477)/($K$7*卓尔金历!$N$40),0),卓尔金历!$M$43),0),1)</f>
        <v>1</v>
      </c>
      <c r="M3478" s="4">
        <f>MIN(MAX(M3477*(1+MAX(MIN(((B3478-B3477)/B3477)/($K$7*30),0),-卓尔金历!$M$43))+MIN(MAX(((B3478-B3477)/B3477)/($K$7*7),0),卓尔金历!$M$43),0),1)</f>
        <v>1</v>
      </c>
      <c r="N3478">
        <f t="shared" si="483"/>
        <v>182091.72684674553</v>
      </c>
      <c r="O3478">
        <f t="shared" si="484"/>
        <v>494066.15145780641</v>
      </c>
      <c r="P3478">
        <f t="shared" si="485"/>
        <v>3.0256431663100675E-2</v>
      </c>
      <c r="Q3478">
        <f t="shared" si="486"/>
        <v>1.9083112006854318E-2</v>
      </c>
      <c r="R3478">
        <f t="shared" si="487"/>
        <v>1.0372909578686187E-2</v>
      </c>
      <c r="S3478">
        <f t="shared" si="479"/>
        <v>1145.7459871804358</v>
      </c>
      <c r="T3478" s="564">
        <f>IF((I3478-MAX(I$470:I3478))/MAX(I$470:I3478)&gt;T3477,T3477,(I3478-MAX(I$470:I3478))/MAX(I$470:I3478))</f>
        <v>-0.91338805338419748</v>
      </c>
      <c r="U3478" s="564">
        <f>IF((J3478-MAX(J$470:J3478))/MAX(J$470:J3478)&gt;U3477,U3477,(J3478-MAX(J$470:J3478))/MAX(J$470:J3478))</f>
        <v>-0.83569785939843477</v>
      </c>
      <c r="V3478" s="564">
        <f>IF((K3478-MAX(K$470:K3478))/MAX(K$470:K3478)&gt;V3477,V3477,(K3478-MAX(K$470:K3478))/MAX(K$470:K3478))</f>
        <v>-0.84885940676762139</v>
      </c>
      <c r="W3478" s="564">
        <f>IF((N3478-MAX(N$470:N3478))/MAX(N$470:N3478)&gt;W3477,W3477,(N3478-MAX(N$470:N3478))/MAX(N$470:N3478))</f>
        <v>-0.62788758315546067</v>
      </c>
      <c r="X3478" s="564">
        <f>IF((O3478-MAX(O$470:O3478))/MAX(O$470:O3478)&gt;X3477,X3477,(O3478-MAX(O$470:O3478))/MAX(O$470:O3478))</f>
        <v>-0.62788758315546067</v>
      </c>
    </row>
    <row r="3479" spans="1:24">
      <c r="A3479" s="799">
        <v>43881</v>
      </c>
      <c r="B3479">
        <v>9585.9068926868003</v>
      </c>
      <c r="C3479">
        <v>7362.8249569999998</v>
      </c>
      <c r="D3479">
        <v>1.654352</v>
      </c>
      <c r="E3479">
        <f>LN(D3479/参数实验室!$E$53)/参数实验室!$E$55</f>
        <v>-9.9069431408243563E-2</v>
      </c>
      <c r="F3479">
        <f t="shared" si="488"/>
        <v>0.76808851154366875</v>
      </c>
      <c r="G3479">
        <f>LN(F3479/参数实验室!$E$58)/参数实验室!$E$59</f>
        <v>-0.32901292298765533</v>
      </c>
      <c r="H3479" s="856">
        <f>INDEX(神经网络!$G$10:$BO$70,MATCH(ROUND(G3479*2,1)/2,神经网络!$E$10:$E$70,0),MATCH(ROUND(E3479*2,1)/2,神经网络!$G$8:$BO$8,0))</f>
        <v>-0.47881512889002076</v>
      </c>
      <c r="I3479">
        <f t="shared" si="480"/>
        <v>506342.51088932512</v>
      </c>
      <c r="J3479">
        <f t="shared" si="481"/>
        <v>3825.0296846441847</v>
      </c>
      <c r="K3479">
        <f t="shared" si="482"/>
        <v>132.37609969984496</v>
      </c>
      <c r="L3479" s="4">
        <f>MIN(MAX(L3478*(1+MAX(MIN(((B3479-B3478)/B3478)/($K$7*卓尔金历!$N$40),0),-卓尔金历!$M$43))+MIN(MAX(((B3479-B3478)/B3478)/($K$7*卓尔金历!$N$40),0),卓尔金历!$M$43),0),1)</f>
        <v>0.1768598283116799</v>
      </c>
      <c r="M3479" s="4">
        <f>MIN(MAX(M3478*(1+MAX(MIN(((B3479-B3478)/B3478)/($K$7*30),0),-卓尔金历!$M$43))+MIN(MAX(((B3479-B3478)/B3478)/($K$7*7),0),卓尔金历!$M$43),0),1)</f>
        <v>0.58842991415584001</v>
      </c>
      <c r="N3479">
        <f t="shared" si="483"/>
        <v>186788.89164265519</v>
      </c>
      <c r="O3479">
        <f t="shared" si="484"/>
        <v>506810.88277353148</v>
      </c>
      <c r="P3479">
        <f t="shared" si="485"/>
        <v>-5.387381351568523E-2</v>
      </c>
      <c r="Q3479">
        <f t="shared" si="486"/>
        <v>2.2723585742392409E-2</v>
      </c>
      <c r="R3479">
        <f t="shared" si="487"/>
        <v>2.6097850115789543E-3</v>
      </c>
      <c r="S3479">
        <f t="shared" ref="S3479:S3542" si="489">S3478*(1+(B3479-B3478)/B3478*H3478*R3478)</f>
        <v>1146.0525606153171</v>
      </c>
      <c r="T3479" s="564">
        <f>IF((I3479-MAX(I$470:I3479))/MAX(I$470:I3479)&gt;T3478,T3478,(I3479-MAX(I$470:I3479))/MAX(I$470:I3479))</f>
        <v>-0.91338805338419748</v>
      </c>
      <c r="U3479" s="564">
        <f>IF((J3479-MAX(J$470:J3479))/MAX(J$470:J3479)&gt;U3478,U3478,(J3479-MAX(J$470:J3479))/MAX(J$470:J3479))</f>
        <v>-0.83569785939843477</v>
      </c>
      <c r="V3479" s="564">
        <f>IF((K3479-MAX(K$470:K3479))/MAX(K$470:K3479)&gt;V3478,V3478,(K3479-MAX(K$470:K3479))/MAX(K$470:K3479))</f>
        <v>-0.84885940676762139</v>
      </c>
      <c r="W3479" s="564">
        <f>IF((N3479-MAX(N$470:N3479))/MAX(N$470:N3479)&gt;W3478,W3478,(N3479-MAX(N$470:N3479))/MAX(N$470:N3479))</f>
        <v>-0.62788758315546067</v>
      </c>
      <c r="X3479" s="564">
        <f>IF((O3479-MAX(O$470:O3479))/MAX(O$470:O3479)&gt;X3478,X3478,(O3479-MAX(O$470:O3479))/MAX(O$470:O3479))</f>
        <v>-0.62788758315546067</v>
      </c>
    </row>
    <row r="3480" spans="1:24">
      <c r="A3480" s="799">
        <v>43882</v>
      </c>
      <c r="B3480">
        <v>9703.5836188393005</v>
      </c>
      <c r="C3480">
        <v>7375.4616599999999</v>
      </c>
      <c r="D3480">
        <v>1.6688130000000001</v>
      </c>
      <c r="E3480">
        <f>LN(D3480/参数实验室!$E$53)/参数实验室!$E$55</f>
        <v>-8.8801798384445935E-2</v>
      </c>
      <c r="F3480">
        <f t="shared" si="488"/>
        <v>0.76007606567955976</v>
      </c>
      <c r="G3480">
        <f>LN(F3480/参数实验室!$E$58)/参数实验室!$E$59</f>
        <v>-0.33451678455672185</v>
      </c>
      <c r="H3480" s="856">
        <f>INDEX(神经网络!$G$10:$BO$70,MATCH(ROUND(G3480*2,1)/2,神经网络!$E$10:$E$70,0),MATCH(ROUND(E3480*2,1)/2,神经网络!$G$8:$BO$8,0))</f>
        <v>-0.47881512889002076</v>
      </c>
      <c r="I3480">
        <f t="shared" ref="I3480:I3543" si="490">I3479*(1+(B3480-B3479)/B3479*H3479)</f>
        <v>503366.2593971928</v>
      </c>
      <c r="J3480">
        <f t="shared" ref="J3480:J3543" si="491">J3479*B3480/B3479</f>
        <v>3871.9858021784007</v>
      </c>
      <c r="K3480">
        <f t="shared" ref="K3480:K3543" si="492">I3480/J3480</f>
        <v>130.002093270589</v>
      </c>
      <c r="L3480" s="4">
        <f>MIN(MAX(L3479*(1+MAX(MIN(((B3480-B3479)/B3479)/($K$7*卓尔金历!$N$40),0),-卓尔金历!$M$43))+MIN(MAX(((B3480-B3479)/B3479)/($K$7*卓尔金历!$N$40),0),卓尔金历!$M$43),0),1)</f>
        <v>0.36442554012508882</v>
      </c>
      <c r="M3480" s="4">
        <f>MIN(MAX(M3479*(1+MAX(MIN(((B3480-B3479)/B3479)/($K$7*30),0),-卓尔金历!$M$43))+MIN(MAX(((B3480-B3479)/B3479)/($K$7*7),0),卓尔金历!$M$43),0),1)</f>
        <v>0.99035643947028773</v>
      </c>
      <c r="N3480">
        <f t="shared" ref="N3480:N3543" si="493">N3479*(1+(B3480-B3479)/B3479*H3479*L3479)</f>
        <v>186594.7112032696</v>
      </c>
      <c r="O3480">
        <f t="shared" ref="O3480:O3543" si="494">O3479*(1+(B3480-B3479)/B3479*H3479*M3479)</f>
        <v>505057.94737924868</v>
      </c>
      <c r="P3480">
        <f t="shared" ref="P3480:P3543" si="495">(B3480-B3479)/B3479</f>
        <v>1.2276013888918226E-2</v>
      </c>
      <c r="Q3480">
        <f t="shared" si="486"/>
        <v>2.2749305641366093E-2</v>
      </c>
      <c r="R3480">
        <f t="shared" si="487"/>
        <v>0.65362883398688876</v>
      </c>
      <c r="S3480">
        <f t="shared" si="489"/>
        <v>1146.0349799824933</v>
      </c>
      <c r="T3480" s="564">
        <f>IF((I3480-MAX(I$470:I3480))/MAX(I$470:I3480)&gt;T3479,T3479,(I3480-MAX(I$470:I3480))/MAX(I$470:I3480))</f>
        <v>-0.91338805338419748</v>
      </c>
      <c r="U3480" s="564">
        <f>IF((J3480-MAX(J$470:J3480))/MAX(J$470:J3480)&gt;U3479,U3479,(J3480-MAX(J$470:J3480))/MAX(J$470:J3480))</f>
        <v>-0.83569785939843477</v>
      </c>
      <c r="V3480" s="564">
        <f>IF((K3480-MAX(K$470:K3480))/MAX(K$470:K3480)&gt;V3479,V3479,(K3480-MAX(K$470:K3480))/MAX(K$470:K3480))</f>
        <v>-0.84885940676762139</v>
      </c>
      <c r="W3480" s="564">
        <f>IF((N3480-MAX(N$470:N3480))/MAX(N$470:N3480)&gt;W3479,W3479,(N3480-MAX(N$470:N3480))/MAX(N$470:N3480))</f>
        <v>-0.62788758315546067</v>
      </c>
      <c r="X3480" s="564">
        <f>IF((O3480-MAX(O$470:O3480))/MAX(O$470:O3480)&gt;X3479,X3479,(O3480-MAX(O$470:O3480))/MAX(O$470:O3480))</f>
        <v>-0.62788758315546067</v>
      </c>
    </row>
    <row r="3481" spans="1:24">
      <c r="A3481" s="799">
        <v>43883</v>
      </c>
      <c r="B3481">
        <v>9622.7544072356995</v>
      </c>
      <c r="C3481">
        <v>7434.1176880000003</v>
      </c>
      <c r="D3481">
        <v>1.6637980000000001</v>
      </c>
      <c r="E3481">
        <f>LN(D3481/参数实验室!$E$53)/参数实验室!$E$55</f>
        <v>-9.2352448000901616E-2</v>
      </c>
      <c r="F3481">
        <f t="shared" si="488"/>
        <v>0.7725561074706444</v>
      </c>
      <c r="G3481">
        <f>LN(F3481/参数实验室!$E$58)/参数实验室!$E$59</f>
        <v>-0.32596894733126652</v>
      </c>
      <c r="H3481" s="856">
        <f>INDEX(神经网络!$G$10:$BO$70,MATCH(ROUND(G3481*2,1)/2,神经网络!$E$10:$E$70,0),MATCH(ROUND(E3481*2,1)/2,神经网络!$G$8:$BO$8,0))</f>
        <v>-0.47881512889002076</v>
      </c>
      <c r="I3481">
        <f t="shared" si="490"/>
        <v>505373.91010253091</v>
      </c>
      <c r="J3481">
        <f t="shared" si="491"/>
        <v>3839.7328148261004</v>
      </c>
      <c r="K3481">
        <f t="shared" si="492"/>
        <v>131.61694692692285</v>
      </c>
      <c r="L3481" s="4">
        <f>MIN(MAX(L3480*(1+MAX(MIN(((B3481-B3480)/B3480)/($K$7*卓尔金历!$N$40),0),-卓尔金历!$M$43))+MIN(MAX(((B3481-B3480)/B3480)/($K$7*卓尔金历!$N$40),0),卓尔金历!$M$43),0),1)</f>
        <v>0.3180444368909513</v>
      </c>
      <c r="M3481" s="4">
        <f>MIN(MAX(M3480*(1+MAX(MIN(((B3481-B3480)/B3480)/($K$7*30),0),-卓尔金历!$M$43))+MIN(MAX(((B3481-B3480)/B3480)/($K$7*7),0),卓尔金历!$M$43),0),1)</f>
        <v>0.92733420419844381</v>
      </c>
      <c r="N3481">
        <f t="shared" si="493"/>
        <v>186865.9252572782</v>
      </c>
      <c r="O3481">
        <f t="shared" si="494"/>
        <v>507052.91932775883</v>
      </c>
      <c r="P3481">
        <f t="shared" si="495"/>
        <v>-8.3298309963210637E-3</v>
      </c>
      <c r="Q3481">
        <f t="shared" si="486"/>
        <v>2.2828141440821261E-2</v>
      </c>
      <c r="R3481">
        <f t="shared" si="487"/>
        <v>1</v>
      </c>
      <c r="S3481">
        <f t="shared" si="489"/>
        <v>1149.0226534492026</v>
      </c>
      <c r="T3481" s="564">
        <f>IF((I3481-MAX(I$470:I3481))/MAX(I$470:I3481)&gt;T3480,T3480,(I3481-MAX(I$470:I3481))/MAX(I$470:I3481))</f>
        <v>-0.91338805338419748</v>
      </c>
      <c r="U3481" s="564">
        <f>IF((J3481-MAX(J$470:J3481))/MAX(J$470:J3481)&gt;U3480,U3480,(J3481-MAX(J$470:J3481))/MAX(J$470:J3481))</f>
        <v>-0.83569785939843477</v>
      </c>
      <c r="V3481" s="564">
        <f>IF((K3481-MAX(K$470:K3481))/MAX(K$470:K3481)&gt;V3480,V3480,(K3481-MAX(K$470:K3481))/MAX(K$470:K3481))</f>
        <v>-0.84885940676762139</v>
      </c>
      <c r="W3481" s="564">
        <f>IF((N3481-MAX(N$470:N3481))/MAX(N$470:N3481)&gt;W3480,W3480,(N3481-MAX(N$470:N3481))/MAX(N$470:N3481))</f>
        <v>-0.62788758315546067</v>
      </c>
      <c r="X3481" s="564">
        <f>IF((O3481-MAX(O$470:O3481))/MAX(O$470:O3481)&gt;X3480,X3480,(O3481-MAX(O$470:O3481))/MAX(O$470:O3481))</f>
        <v>-0.62788758315546067</v>
      </c>
    </row>
    <row r="3482" spans="1:24">
      <c r="A3482" s="799">
        <v>43884</v>
      </c>
      <c r="B3482">
        <v>9872.7664808353002</v>
      </c>
      <c r="C3482">
        <v>7488.0926689999997</v>
      </c>
      <c r="D3482">
        <v>1.7138409999999999</v>
      </c>
      <c r="E3482">
        <f>LN(D3482/参数实验室!$E$53)/参数实验室!$E$55</f>
        <v>-5.7391511053533052E-2</v>
      </c>
      <c r="F3482">
        <f t="shared" si="488"/>
        <v>0.75845941292500396</v>
      </c>
      <c r="G3482">
        <f>LN(F3482/参数实验室!$E$58)/参数实验室!$E$59</f>
        <v>-0.33563431795256154</v>
      </c>
      <c r="H3482" s="856">
        <f>INDEX(神经网络!$G$10:$BO$70,MATCH(ROUND(G3482*2,1)/2,神经网络!$E$10:$E$70,0),MATCH(ROUND(E3482*2,1)/2,神经网络!$G$8:$BO$8,0))</f>
        <v>-0.43992575380605697</v>
      </c>
      <c r="I3482">
        <f t="shared" si="490"/>
        <v>499086.92744732293</v>
      </c>
      <c r="J3482">
        <f t="shared" si="491"/>
        <v>3939.494226421647</v>
      </c>
      <c r="K3482">
        <f t="shared" si="492"/>
        <v>126.68807180881632</v>
      </c>
      <c r="L3482" s="4">
        <f>MIN(MAX(L3481*(1+MAX(MIN(((B3482-B3481)/B3481)/($K$7*卓尔金历!$N$40),0),-卓尔金历!$M$43))+MIN(MAX(((B3482-B3481)/B3481)/($K$7*卓尔金历!$N$40),0),卓尔金历!$M$43),0),1)</f>
        <v>0.71501441079887074</v>
      </c>
      <c r="M3482" s="4">
        <f>MIN(MAX(M3481*(1+MAX(MIN(((B3482-B3481)/B3481)/($K$7*30),0),-卓尔金历!$M$43))+MIN(MAX(((B3482-B3481)/B3481)/($K$7*7),0),卓尔金历!$M$43),0),1)</f>
        <v>1</v>
      </c>
      <c r="N3482">
        <f t="shared" si="493"/>
        <v>186126.57987706704</v>
      </c>
      <c r="O3482">
        <f t="shared" si="494"/>
        <v>501203.41575274186</v>
      </c>
      <c r="P3482">
        <f t="shared" si="495"/>
        <v>2.5981342037744146E-2</v>
      </c>
      <c r="Q3482">
        <f t="shared" si="486"/>
        <v>2.3360244489377943E-2</v>
      </c>
      <c r="R3482">
        <f t="shared" si="487"/>
        <v>2.040052742720334E-2</v>
      </c>
      <c r="S3482">
        <f t="shared" si="489"/>
        <v>1134.7285133120306</v>
      </c>
      <c r="T3482" s="564">
        <f>IF((I3482-MAX(I$470:I3482))/MAX(I$470:I3482)&gt;T3481,T3481,(I3482-MAX(I$470:I3482))/MAX(I$470:I3482))</f>
        <v>-0.91338805338419748</v>
      </c>
      <c r="U3482" s="564">
        <f>IF((J3482-MAX(J$470:J3482))/MAX(J$470:J3482)&gt;U3481,U3481,(J3482-MAX(J$470:J3482))/MAX(J$470:J3482))</f>
        <v>-0.83569785939843477</v>
      </c>
      <c r="V3482" s="564">
        <f>IF((K3482-MAX(K$470:K3482))/MAX(K$470:K3482)&gt;V3481,V3481,(K3482-MAX(K$470:K3482))/MAX(K$470:K3482))</f>
        <v>-0.84885940676762139</v>
      </c>
      <c r="W3482" s="564">
        <f>IF((N3482-MAX(N$470:N3482))/MAX(N$470:N3482)&gt;W3481,W3481,(N3482-MAX(N$470:N3482))/MAX(N$470:N3482))</f>
        <v>-0.62788758315546067</v>
      </c>
      <c r="X3482" s="564">
        <f>IF((O3482-MAX(O$470:O3482))/MAX(O$470:O3482)&gt;X3481,X3481,(O3482-MAX(O$470:O3482))/MAX(O$470:O3482))</f>
        <v>-0.62788758315546067</v>
      </c>
    </row>
    <row r="3483" spans="1:24">
      <c r="A3483" s="799">
        <v>43885</v>
      </c>
      <c r="B3483">
        <v>9731.0607877810999</v>
      </c>
      <c r="C3483">
        <v>7611.1161009999996</v>
      </c>
      <c r="D3483">
        <v>1.657654</v>
      </c>
      <c r="E3483">
        <f>LN(D3483/参数实验室!$E$53)/参数实验室!$E$55</f>
        <v>-9.6717052516250041E-2</v>
      </c>
      <c r="F3483">
        <f t="shared" si="488"/>
        <v>0.78214659912072182</v>
      </c>
      <c r="G3483">
        <f>LN(F3483/参数实验室!$E$58)/参数实验室!$E$59</f>
        <v>-0.31949353290574117</v>
      </c>
      <c r="H3483" s="856">
        <f>INDEX(神经网络!$G$10:$BO$70,MATCH(ROUND(G3483*2,1)/2,神经网络!$E$10:$E$70,0),MATCH(ROUND(E3483*2,1)/2,神经网络!$G$8:$BO$8,0))</f>
        <v>-0.39677503106834472</v>
      </c>
      <c r="I3483">
        <f t="shared" si="490"/>
        <v>502238.33096223033</v>
      </c>
      <c r="J3483">
        <f t="shared" si="491"/>
        <v>3882.949917314189</v>
      </c>
      <c r="K3483">
        <f t="shared" si="492"/>
        <v>129.34452971508458</v>
      </c>
      <c r="L3483" s="4">
        <f>MIN(MAX(L3482*(1+MAX(MIN(((B3483-B3482)/B3482)/($K$7*卓尔金历!$N$40),0),-卓尔金历!$M$43))+MIN(MAX(((B3483-B3482)/B3482)/($K$7*卓尔金历!$N$40),0),卓尔金历!$M$43),0),1)</f>
        <v>0.55820962737242885</v>
      </c>
      <c r="M3483" s="4">
        <f>MIN(MAX(M3482*(1+MAX(MIN(((B3483-B3482)/B3482)/($K$7*30),0),-卓尔金历!$M$43))+MIN(MAX(((B3483-B3482)/B3482)/($K$7*7),0),卓尔金历!$M$43),0),1)</f>
        <v>0.89034851531786119</v>
      </c>
      <c r="N3483">
        <f t="shared" si="493"/>
        <v>186966.91209122245</v>
      </c>
      <c r="O3483">
        <f t="shared" si="494"/>
        <v>504368.18349002849</v>
      </c>
      <c r="P3483">
        <f t="shared" si="495"/>
        <v>-1.4353189992822668E-2</v>
      </c>
      <c r="Q3483">
        <f t="shared" si="486"/>
        <v>2.3386622713083154E-2</v>
      </c>
      <c r="R3483">
        <f t="shared" si="487"/>
        <v>0.52295649142275247</v>
      </c>
      <c r="S3483">
        <f t="shared" si="489"/>
        <v>1134.8746843005649</v>
      </c>
      <c r="T3483" s="564">
        <f>IF((I3483-MAX(I$470:I3483))/MAX(I$470:I3483)&gt;T3482,T3482,(I3483-MAX(I$470:I3483))/MAX(I$470:I3483))</f>
        <v>-0.91338805338419748</v>
      </c>
      <c r="U3483" s="564">
        <f>IF((J3483-MAX(J$470:J3483))/MAX(J$470:J3483)&gt;U3482,U3482,(J3483-MAX(J$470:J3483))/MAX(J$470:J3483))</f>
        <v>-0.83569785939843477</v>
      </c>
      <c r="V3483" s="564">
        <f>IF((K3483-MAX(K$470:K3483))/MAX(K$470:K3483)&gt;V3482,V3482,(K3483-MAX(K$470:K3483))/MAX(K$470:K3483))</f>
        <v>-0.84885940676762139</v>
      </c>
      <c r="W3483" s="564">
        <f>IF((N3483-MAX(N$470:N3483))/MAX(N$470:N3483)&gt;W3482,W3482,(N3483-MAX(N$470:N3483))/MAX(N$470:N3483))</f>
        <v>-0.62788758315546067</v>
      </c>
      <c r="X3483" s="564">
        <f>IF((O3483-MAX(O$470:O3483))/MAX(O$470:O3483)&gt;X3482,X3482,(O3483-MAX(O$470:O3483))/MAX(O$470:O3483))</f>
        <v>-0.62788758315546067</v>
      </c>
    </row>
    <row r="3484" spans="1:24">
      <c r="A3484" s="799">
        <v>43886</v>
      </c>
      <c r="B3484">
        <v>9403.1411317500006</v>
      </c>
      <c r="C3484">
        <v>7608.1966080000002</v>
      </c>
      <c r="D3484">
        <v>1.6036900000000001</v>
      </c>
      <c r="E3484">
        <f>LN(D3484/参数实验室!$E$53)/参数实验室!$E$55</f>
        <v>-0.13576231433832944</v>
      </c>
      <c r="F3484">
        <f t="shared" si="488"/>
        <v>0.80911224253677172</v>
      </c>
      <c r="G3484">
        <f>LN(F3484/参数实验室!$E$58)/参数实验室!$E$59</f>
        <v>-0.30170336374946927</v>
      </c>
      <c r="H3484" s="856">
        <f>INDEX(神经网络!$G$10:$BO$70,MATCH(ROUND(G3484*2,1)/2,神经网络!$E$10:$E$70,0),MATCH(ROUND(E3484*2,1)/2,神经网络!$G$8:$BO$8,0))</f>
        <v>-0.43939765390169994</v>
      </c>
      <c r="I3484">
        <f t="shared" si="490"/>
        <v>508953.56964626518</v>
      </c>
      <c r="J3484">
        <f t="shared" si="491"/>
        <v>3752.1013254658592</v>
      </c>
      <c r="K3484">
        <f t="shared" si="492"/>
        <v>135.6449427929758</v>
      </c>
      <c r="L3484" s="4">
        <f>MIN(MAX(L3483*(1+MAX(MIN(((B3484-B3483)/B3483)/($K$7*卓尔金历!$N$40),0),-卓尔金历!$M$43))+MIN(MAX(((B3484-B3483)/B3483)/($K$7*卓尔金历!$N$40),0),卓尔金历!$M$43),0),1)</f>
        <v>0.2708004278417136</v>
      </c>
      <c r="M3484" s="4">
        <f>MIN(MAX(M3483*(1+MAX(MIN(((B3484-B3483)/B3483)/($K$7*30),0),-卓尔金历!$M$43))+MIN(MAX(((B3484-B3483)/B3483)/($K$7*7),0),卓尔金历!$M$43),0),1)</f>
        <v>0.6611386078361523</v>
      </c>
      <c r="N3484">
        <f t="shared" si="493"/>
        <v>188362.36015169119</v>
      </c>
      <c r="O3484">
        <f t="shared" si="494"/>
        <v>510372.44113969099</v>
      </c>
      <c r="P3484">
        <f t="shared" si="495"/>
        <v>-3.3698243509366912E-2</v>
      </c>
      <c r="Q3484">
        <f t="shared" si="486"/>
        <v>2.4400521385274588E-2</v>
      </c>
      <c r="R3484">
        <f t="shared" si="487"/>
        <v>1.5836457038100521E-2</v>
      </c>
      <c r="S3484">
        <f t="shared" si="489"/>
        <v>1142.8100156342587</v>
      </c>
      <c r="T3484" s="564">
        <f>IF((I3484-MAX(I$470:I3484))/MAX(I$470:I3484)&gt;T3483,T3483,(I3484-MAX(I$470:I3484))/MAX(I$470:I3484))</f>
        <v>-0.91338805338419748</v>
      </c>
      <c r="U3484" s="564">
        <f>IF((J3484-MAX(J$470:J3484))/MAX(J$470:J3484)&gt;U3483,U3483,(J3484-MAX(J$470:J3484))/MAX(J$470:J3484))</f>
        <v>-0.83569785939843477</v>
      </c>
      <c r="V3484" s="564">
        <f>IF((K3484-MAX(K$470:K3484))/MAX(K$470:K3484)&gt;V3483,V3483,(K3484-MAX(K$470:K3484))/MAX(K$470:K3484))</f>
        <v>-0.84885940676762139</v>
      </c>
      <c r="W3484" s="564">
        <f>IF((N3484-MAX(N$470:N3484))/MAX(N$470:N3484)&gt;W3483,W3483,(N3484-MAX(N$470:N3484))/MAX(N$470:N3484))</f>
        <v>-0.62788758315546067</v>
      </c>
      <c r="X3484" s="564">
        <f>IF((O3484-MAX(O$470:O3484))/MAX(O$470:O3484)&gt;X3483,X3483,(O3484-MAX(O$470:O3484))/MAX(O$470:O3484))</f>
        <v>-0.62788758315546067</v>
      </c>
    </row>
    <row r="3485" spans="1:24">
      <c r="A3485" s="799">
        <v>43887</v>
      </c>
      <c r="B3485">
        <v>9005.2189921452009</v>
      </c>
      <c r="C3485">
        <v>7573.4441219999999</v>
      </c>
      <c r="D3485">
        <v>1.5115190000000001</v>
      </c>
      <c r="E3485">
        <f>LN(D3485/参数实验室!$E$53)/参数实验室!$E$55</f>
        <v>-0.2055944081329151</v>
      </c>
      <c r="F3485">
        <f t="shared" si="488"/>
        <v>0.84100610197330394</v>
      </c>
      <c r="G3485">
        <f>LN(F3485/参数实验室!$E$58)/参数实验室!$E$59</f>
        <v>-0.28141184207928366</v>
      </c>
      <c r="H3485" s="856">
        <f>INDEX(神经网络!$G$10:$BO$70,MATCH(ROUND(G3485*2,1)/2,神经网络!$E$10:$E$70,0),MATCH(ROUND(E3485*2,1)/2,神经网络!$G$8:$BO$8,0))</f>
        <v>-0.4779542486348563</v>
      </c>
      <c r="I3485">
        <f t="shared" si="490"/>
        <v>518417.2714422014</v>
      </c>
      <c r="J3485">
        <f t="shared" si="491"/>
        <v>3593.3198963110772</v>
      </c>
      <c r="K3485">
        <f t="shared" si="492"/>
        <v>144.2725074309169</v>
      </c>
      <c r="L3485" s="4">
        <f>MIN(MAX(L3484*(1+MAX(MIN(((B3485-B3484)/B3484)/($K$7*卓尔金历!$N$40),0),-卓尔金历!$M$43))+MIN(MAX(((B3485-B3484)/B3484)/($K$7*卓尔金历!$N$40),0),卓尔金历!$M$43),0),1)</f>
        <v>9.5706706437250377E-2</v>
      </c>
      <c r="M3485" s="4">
        <f>MIN(MAX(M3484*(1+MAX(MIN(((B3485-B3484)/B3484)/($K$7*30),0),-卓尔金历!$M$43))+MIN(MAX(((B3485-B3484)/B3484)/($K$7*7),0),卓尔金历!$M$43),0),1)</f>
        <v>0.44739961906715764</v>
      </c>
      <c r="N3485">
        <f t="shared" si="493"/>
        <v>189310.83616455793</v>
      </c>
      <c r="O3485">
        <f t="shared" si="494"/>
        <v>516646.70266094385</v>
      </c>
      <c r="P3485">
        <f t="shared" si="495"/>
        <v>-4.2318001402871973E-2</v>
      </c>
      <c r="Q3485">
        <f t="shared" si="486"/>
        <v>2.5368596054656009E-2</v>
      </c>
      <c r="R3485">
        <f t="shared" si="487"/>
        <v>1.191476172543938E-2</v>
      </c>
      <c r="S3485">
        <f t="shared" si="489"/>
        <v>1143.1465387856281</v>
      </c>
      <c r="T3485" s="564">
        <f>IF((I3485-MAX(I$470:I3485))/MAX(I$470:I3485)&gt;T3484,T3484,(I3485-MAX(I$470:I3485))/MAX(I$470:I3485))</f>
        <v>-0.91338805338419748</v>
      </c>
      <c r="U3485" s="564">
        <f>IF((J3485-MAX(J$470:J3485))/MAX(J$470:J3485)&gt;U3484,U3484,(J3485-MAX(J$470:J3485))/MAX(J$470:J3485))</f>
        <v>-0.83569785939843477</v>
      </c>
      <c r="V3485" s="564">
        <f>IF((K3485-MAX(K$470:K3485))/MAX(K$470:K3485)&gt;V3484,V3484,(K3485-MAX(K$470:K3485))/MAX(K$470:K3485))</f>
        <v>-0.84885940676762139</v>
      </c>
      <c r="W3485" s="564">
        <f>IF((N3485-MAX(N$470:N3485))/MAX(N$470:N3485)&gt;W3484,W3484,(N3485-MAX(N$470:N3485))/MAX(N$470:N3485))</f>
        <v>-0.62788758315546067</v>
      </c>
      <c r="X3485" s="564">
        <f>IF((O3485-MAX(O$470:O3485))/MAX(O$470:O3485)&gt;X3484,X3484,(O3485-MAX(O$470:O3485))/MAX(O$470:O3485))</f>
        <v>-0.62788758315546067</v>
      </c>
    </row>
    <row r="3486" spans="1:24">
      <c r="A3486" s="799">
        <v>43888</v>
      </c>
      <c r="B3486">
        <v>8889.7570856711009</v>
      </c>
      <c r="C3486">
        <v>7549.5732250000001</v>
      </c>
      <c r="D3486">
        <v>1.509012</v>
      </c>
      <c r="E3486">
        <f>LN(D3486/参数实验室!$E$53)/参数实验室!$E$55</f>
        <v>-0.20755276715110746</v>
      </c>
      <c r="F3486">
        <f t="shared" si="488"/>
        <v>0.84924404033139811</v>
      </c>
      <c r="G3486">
        <f>LN(F3486/参数实验室!$E$58)/参数实验室!$E$59</f>
        <v>-0.27629573602939034</v>
      </c>
      <c r="H3486" s="856">
        <f>INDEX(神经网络!$G$10:$BO$70,MATCH(ROUND(G3486*2,1)/2,神经网络!$E$10:$E$70,0),MATCH(ROUND(E3486*2,1)/2,神经网络!$G$8:$BO$8,0))</f>
        <v>-0.4779542486348563</v>
      </c>
      <c r="I3486">
        <f t="shared" si="490"/>
        <v>521594.22037556488</v>
      </c>
      <c r="J3486">
        <f t="shared" si="491"/>
        <v>3547.2475502458365</v>
      </c>
      <c r="K3486">
        <f t="shared" si="492"/>
        <v>147.04195661208269</v>
      </c>
      <c r="L3486" s="4">
        <f>MIN(MAX(L3485*(1+MAX(MIN(((B3486-B3485)/B3485)/($K$7*卓尔金历!$N$40),0),-卓尔金历!$M$43))+MIN(MAX(((B3486-B3485)/B3485)/($K$7*卓尔金历!$N$40),0),卓尔金历!$M$43),0),1)</f>
        <v>7.6957499819329617E-2</v>
      </c>
      <c r="M3486" s="4">
        <f>MIN(MAX(M3485*(1+MAX(MIN(((B3486-B3485)/B3485)/($K$7*30),0),-卓尔金历!$M$43))+MIN(MAX(((B3486-B3485)/B3485)/($K$7*7),0),卓尔金历!$M$43),0),1)</f>
        <v>0.40357621206187644</v>
      </c>
      <c r="N3486">
        <f t="shared" si="493"/>
        <v>189421.86828065058</v>
      </c>
      <c r="O3486">
        <f t="shared" si="494"/>
        <v>518063.21396300307</v>
      </c>
      <c r="P3486">
        <f t="shared" si="495"/>
        <v>-1.2821665589122445E-2</v>
      </c>
      <c r="Q3486">
        <f t="shared" si="486"/>
        <v>2.4098338201265383E-2</v>
      </c>
      <c r="R3486">
        <f t="shared" si="487"/>
        <v>0.67238286517148238</v>
      </c>
      <c r="S3486">
        <f t="shared" si="489"/>
        <v>1143.230006407402</v>
      </c>
      <c r="T3486" s="564">
        <f>IF((I3486-MAX(I$470:I3486))/MAX(I$470:I3486)&gt;T3485,T3485,(I3486-MAX(I$470:I3486))/MAX(I$470:I3486))</f>
        <v>-0.91338805338419748</v>
      </c>
      <c r="U3486" s="564">
        <f>IF((J3486-MAX(J$470:J3486))/MAX(J$470:J3486)&gt;U3485,U3485,(J3486-MAX(J$470:J3486))/MAX(J$470:J3486))</f>
        <v>-0.83569785939843477</v>
      </c>
      <c r="V3486" s="564">
        <f>IF((K3486-MAX(K$470:K3486))/MAX(K$470:K3486)&gt;V3485,V3485,(K3486-MAX(K$470:K3486))/MAX(K$470:K3486))</f>
        <v>-0.84885940676762139</v>
      </c>
      <c r="W3486" s="564">
        <f>IF((N3486-MAX(N$470:N3486))/MAX(N$470:N3486)&gt;W3485,W3485,(N3486-MAX(N$470:N3486))/MAX(N$470:N3486))</f>
        <v>-0.62788758315546067</v>
      </c>
      <c r="X3486" s="564">
        <f>IF((O3486-MAX(O$470:O3486))/MAX(O$470:O3486)&gt;X3485,X3485,(O3486-MAX(O$470:O3486))/MAX(O$470:O3486))</f>
        <v>-0.62788758315546067</v>
      </c>
    </row>
    <row r="3487" spans="1:24">
      <c r="A3487" s="799">
        <v>43889</v>
      </c>
      <c r="B3487">
        <v>8656.2168811116007</v>
      </c>
      <c r="C3487">
        <v>7562.674145</v>
      </c>
      <c r="D3487">
        <v>1.504354</v>
      </c>
      <c r="E3487">
        <f>LN(D3487/参数实验室!$E$53)/参数实验室!$E$55</f>
        <v>-0.21120004729385056</v>
      </c>
      <c r="F3487">
        <f t="shared" si="488"/>
        <v>0.87366966988803407</v>
      </c>
      <c r="G3487">
        <f>LN(F3487/参数实验室!$E$58)/参数实验室!$E$59</f>
        <v>-0.26141309933625784</v>
      </c>
      <c r="H3487" s="856">
        <f>INDEX(神经网络!$G$10:$BO$70,MATCH(ROUND(G3487*2,1)/2,神经网络!$E$10:$E$70,0),MATCH(ROUND(E3487*2,1)/2,神经网络!$G$8:$BO$8,0))</f>
        <v>-0.39598595774924455</v>
      </c>
      <c r="I3487">
        <f t="shared" si="490"/>
        <v>528143.45967639529</v>
      </c>
      <c r="J3487">
        <f t="shared" si="491"/>
        <v>3454.058848853434</v>
      </c>
      <c r="K3487">
        <f t="shared" si="492"/>
        <v>152.90517121667199</v>
      </c>
      <c r="L3487" s="4">
        <f>MIN(MAX(L3486*(1+MAX(MIN(((B3487-B3486)/B3486)/($K$7*卓尔金历!$N$40),0),-卓尔金历!$M$43))+MIN(MAX(((B3487-B3486)/B3486)/($K$7*卓尔金历!$N$40),0),卓尔金历!$M$43),0),1)</f>
        <v>4.6067437054379309E-2</v>
      </c>
      <c r="M3487" s="4">
        <f>MIN(MAX(M3486*(1+MAX(MIN(((B3487-B3486)/B3486)/($K$7*30),0),-卓尔金历!$M$43))+MIN(MAX(((B3487-B3486)/B3486)/($K$7*7),0),卓尔金历!$M$43),0),1)</f>
        <v>0.32258024318100453</v>
      </c>
      <c r="N3487">
        <f t="shared" si="493"/>
        <v>189604.90539256562</v>
      </c>
      <c r="O3487">
        <f t="shared" si="494"/>
        <v>520688.43819341087</v>
      </c>
      <c r="P3487">
        <f t="shared" si="495"/>
        <v>-2.6270707096814876E-2</v>
      </c>
      <c r="Q3487">
        <f t="shared" si="486"/>
        <v>2.4482212903790834E-2</v>
      </c>
      <c r="R3487">
        <f t="shared" si="487"/>
        <v>2.2399220526386158E-2</v>
      </c>
      <c r="S3487">
        <f t="shared" si="489"/>
        <v>1152.8818070090074</v>
      </c>
      <c r="T3487" s="564">
        <f>IF((I3487-MAX(I$470:I3487))/MAX(I$470:I3487)&gt;T3486,T3486,(I3487-MAX(I$470:I3487))/MAX(I$470:I3487))</f>
        <v>-0.91338805338419748</v>
      </c>
      <c r="U3487" s="564">
        <f>IF((J3487-MAX(J$470:J3487))/MAX(J$470:J3487)&gt;U3486,U3486,(J3487-MAX(J$470:J3487))/MAX(J$470:J3487))</f>
        <v>-0.83569785939843477</v>
      </c>
      <c r="V3487" s="564">
        <f>IF((K3487-MAX(K$470:K3487))/MAX(K$470:K3487)&gt;V3486,V3486,(K3487-MAX(K$470:K3487))/MAX(K$470:K3487))</f>
        <v>-0.84885940676762139</v>
      </c>
      <c r="W3487" s="564">
        <f>IF((N3487-MAX(N$470:N3487))/MAX(N$470:N3487)&gt;W3486,W3486,(N3487-MAX(N$470:N3487))/MAX(N$470:N3487))</f>
        <v>-0.62788758315546067</v>
      </c>
      <c r="X3487" s="564">
        <f>IF((O3487-MAX(O$470:O3487))/MAX(O$470:O3487)&gt;X3486,X3486,(O3487-MAX(O$470:O3487))/MAX(O$470:O3487))</f>
        <v>-0.62788758315546067</v>
      </c>
    </row>
    <row r="3488" spans="1:24">
      <c r="A3488" s="799">
        <v>43890</v>
      </c>
      <c r="B3488">
        <v>8647.1755787401999</v>
      </c>
      <c r="C3488">
        <v>7655.0817809999999</v>
      </c>
      <c r="D3488">
        <v>1.475816</v>
      </c>
      <c r="E3488">
        <f>LN(D3488/参数实验室!$E$53)/参数实验室!$E$55</f>
        <v>-0.23379528664943602</v>
      </c>
      <c r="F3488">
        <f t="shared" si="488"/>
        <v>0.88526961333139287</v>
      </c>
      <c r="G3488">
        <f>LN(F3488/参数实验室!$E$58)/参数实验室!$E$59</f>
        <v>-0.25449032998307758</v>
      </c>
      <c r="H3488" s="856">
        <f>INDEX(神经网络!$G$10:$BO$70,MATCH(ROUND(G3488*2,1)/2,神经网络!$E$10:$E$70,0),MATCH(ROUND(E3488*2,1)/2,神经网络!$G$8:$BO$8,0))</f>
        <v>-0.4381120976531464</v>
      </c>
      <c r="I3488">
        <f t="shared" si="490"/>
        <v>528361.9008776336</v>
      </c>
      <c r="J3488">
        <f t="shared" si="491"/>
        <v>3450.4511307370776</v>
      </c>
      <c r="K3488">
        <f t="shared" si="492"/>
        <v>153.12835361466665</v>
      </c>
      <c r="L3488" s="4">
        <f>MIN(MAX(L3487*(1+MAX(MIN(((B3488-B3487)/B3487)/($K$7*卓尔金历!$N$40),0),-卓尔金历!$M$43))+MIN(MAX(((B3488-B3487)/B3487)/($K$7*卓尔金历!$N$40),0),卓尔金历!$M$43),0),1)</f>
        <v>4.5332258221976653E-2</v>
      </c>
      <c r="M3488" s="4">
        <f>MIN(MAX(M3487*(1+MAX(MIN(((B3488-B3487)/B3487)/($K$7*30),0),-卓尔金历!$M$43))+MIN(MAX(((B3488-B3487)/B3487)/($K$7*7),0),卓尔金历!$M$43),0),1)</f>
        <v>0.32000625402834088</v>
      </c>
      <c r="N3488">
        <f t="shared" si="493"/>
        <v>189608.51804574227</v>
      </c>
      <c r="O3488">
        <f t="shared" si="494"/>
        <v>520757.90836145467</v>
      </c>
      <c r="P3488">
        <f t="shared" si="495"/>
        <v>-1.044486580636579E-3</v>
      </c>
      <c r="Q3488">
        <f t="shared" si="486"/>
        <v>2.4462021122262548E-2</v>
      </c>
      <c r="R3488">
        <f t="shared" si="487"/>
        <v>1</v>
      </c>
      <c r="S3488">
        <f t="shared" si="489"/>
        <v>1152.8924877243717</v>
      </c>
      <c r="T3488" s="564">
        <f>IF((I3488-MAX(I$470:I3488))/MAX(I$470:I3488)&gt;T3487,T3487,(I3488-MAX(I$470:I3488))/MAX(I$470:I3488))</f>
        <v>-0.91338805338419748</v>
      </c>
      <c r="U3488" s="564">
        <f>IF((J3488-MAX(J$470:J3488))/MAX(J$470:J3488)&gt;U3487,U3487,(J3488-MAX(J$470:J3488))/MAX(J$470:J3488))</f>
        <v>-0.83569785939843477</v>
      </c>
      <c r="V3488" s="564">
        <f>IF((K3488-MAX(K$470:K3488))/MAX(K$470:K3488)&gt;V3487,V3487,(K3488-MAX(K$470:K3488))/MAX(K$470:K3488))</f>
        <v>-0.84885940676762139</v>
      </c>
      <c r="W3488" s="564">
        <f>IF((N3488-MAX(N$470:N3488))/MAX(N$470:N3488)&gt;W3487,W3487,(N3488-MAX(N$470:N3488))/MAX(N$470:N3488))</f>
        <v>-0.62788758315546067</v>
      </c>
      <c r="X3488" s="564">
        <f>IF((O3488-MAX(O$470:O3488))/MAX(O$470:O3488)&gt;X3487,X3487,(O3488-MAX(O$470:O3488))/MAX(O$470:O3488))</f>
        <v>-0.62788758315546067</v>
      </c>
    </row>
    <row r="3489" spans="1:24">
      <c r="A3489" s="799">
        <v>43891</v>
      </c>
      <c r="B3489">
        <v>8590.5926944135008</v>
      </c>
      <c r="C3489">
        <v>7484.3082679999998</v>
      </c>
      <c r="D3489">
        <v>1.4692810000000001</v>
      </c>
      <c r="E3489">
        <f>LN(D3489/参数实验室!$E$53)/参数实验室!$E$55</f>
        <v>-0.23903090374646421</v>
      </c>
      <c r="F3489">
        <f t="shared" si="488"/>
        <v>0.87122140860747332</v>
      </c>
      <c r="G3489">
        <f>LN(F3489/参数实验室!$E$58)/参数实验室!$E$59</f>
        <v>-0.26288594849080416</v>
      </c>
      <c r="H3489" s="856">
        <f>INDEX(神经网络!$G$10:$BO$70,MATCH(ROUND(G3489*2,1)/2,神经网络!$E$10:$E$70,0),MATCH(ROUND(E3489*2,1)/2,神经网络!$G$8:$BO$8,0))</f>
        <v>-0.4381120976531464</v>
      </c>
      <c r="I3489">
        <f t="shared" si="490"/>
        <v>529876.60408208077</v>
      </c>
      <c r="J3489">
        <f t="shared" si="491"/>
        <v>3427.8730674807434</v>
      </c>
      <c r="K3489">
        <f t="shared" si="492"/>
        <v>154.57882881045666</v>
      </c>
      <c r="L3489" s="4">
        <f>MIN(MAX(L3488*(1+MAX(MIN(((B3489-B3488)/B3488)/($K$7*卓尔金历!$N$40),0),-卓尔金历!$M$43))+MIN(MAX(((B3489-B3488)/B3488)/($K$7*卓尔金历!$N$40),0),卓尔金历!$M$43),0),1)</f>
        <v>4.0800004262843984E-2</v>
      </c>
      <c r="M3489" s="4">
        <f>MIN(MAX(M3488*(1+MAX(MIN(((B3489-B3488)/B3488)/($K$7*30),0),-卓尔金历!$M$43))+MIN(MAX(((B3489-B3488)/B3488)/($K$7*7),0),卓尔金历!$M$43),0),1)</f>
        <v>0.30400937158024732</v>
      </c>
      <c r="N3489">
        <f t="shared" si="493"/>
        <v>189633.15921137773</v>
      </c>
      <c r="O3489">
        <f t="shared" si="494"/>
        <v>521235.64702491678</v>
      </c>
      <c r="P3489">
        <f t="shared" si="495"/>
        <v>-6.5435105152499484E-3</v>
      </c>
      <c r="Q3489">
        <f t="shared" si="486"/>
        <v>2.3768662559890567E-2</v>
      </c>
      <c r="R3489">
        <f t="shared" si="487"/>
        <v>1</v>
      </c>
      <c r="S3489">
        <f t="shared" si="489"/>
        <v>1156.1975896680176</v>
      </c>
      <c r="T3489" s="564">
        <f>IF((I3489-MAX(I$470:I3489))/MAX(I$470:I3489)&gt;T3488,T3488,(I3489-MAX(I$470:I3489))/MAX(I$470:I3489))</f>
        <v>-0.91338805338419748</v>
      </c>
      <c r="U3489" s="564">
        <f>IF((J3489-MAX(J$470:J3489))/MAX(J$470:J3489)&gt;U3488,U3488,(J3489-MAX(J$470:J3489))/MAX(J$470:J3489))</f>
        <v>-0.83569785939843477</v>
      </c>
      <c r="V3489" s="564">
        <f>IF((K3489-MAX(K$470:K3489))/MAX(K$470:K3489)&gt;V3488,V3488,(K3489-MAX(K$470:K3489))/MAX(K$470:K3489))</f>
        <v>-0.84885940676762139</v>
      </c>
      <c r="W3489" s="564">
        <f>IF((N3489-MAX(N$470:N3489))/MAX(N$470:N3489)&gt;W3488,W3488,(N3489-MAX(N$470:N3489))/MAX(N$470:N3489))</f>
        <v>-0.62788758315546067</v>
      </c>
      <c r="X3489" s="564">
        <f>IF((O3489-MAX(O$470:O3489))/MAX(O$470:O3489)&gt;X3488,X3488,(O3489-MAX(O$470:O3489))/MAX(O$470:O3489))</f>
        <v>-0.62788758315546067</v>
      </c>
    </row>
    <row r="3490" spans="1:24">
      <c r="A3490" s="799">
        <v>43892</v>
      </c>
      <c r="B3490">
        <v>8790.1323777327998</v>
      </c>
      <c r="C3490">
        <v>7497.114654</v>
      </c>
      <c r="D3490">
        <v>1.5310919999999999</v>
      </c>
      <c r="E3490">
        <f>LN(D3490/参数实验室!$E$53)/参数实验室!$E$55</f>
        <v>-0.1904155839050542</v>
      </c>
      <c r="F3490">
        <f t="shared" si="488"/>
        <v>0.85290122285208381</v>
      </c>
      <c r="G3490">
        <f>LN(F3490/参数实验室!$E$58)/参数实验室!$E$59</f>
        <v>-0.27404035862127074</v>
      </c>
      <c r="H3490" s="856">
        <f>INDEX(神经网络!$G$10:$BO$70,MATCH(ROUND(G3490*2,1)/2,神经网络!$E$10:$E$70,0),MATCH(ROUND(E3490*2,1)/2,神经网络!$G$8:$BO$8,0))</f>
        <v>-0.39598595774924455</v>
      </c>
      <c r="I3490">
        <f t="shared" si="490"/>
        <v>524484.40224305273</v>
      </c>
      <c r="J3490">
        <f t="shared" si="491"/>
        <v>3507.4946641126812</v>
      </c>
      <c r="K3490">
        <f t="shared" si="492"/>
        <v>149.53248756423574</v>
      </c>
      <c r="L3490" s="4">
        <f>MIN(MAX(L3489*(1+MAX(MIN(((B3490-B3489)/B3489)/($K$7*卓尔金历!$N$40),0),-卓尔金历!$M$43))+MIN(MAX(((B3490-B3489)/B3489)/($K$7*卓尔金历!$N$40),0),卓尔金历!$M$43),0),1)</f>
        <v>0.39569692298091413</v>
      </c>
      <c r="M3490" s="4">
        <f>MIN(MAX(M3489*(1+MAX(MIN(((B3490-B3489)/B3489)/($K$7*30),0),-卓尔金历!$M$43))+MIN(MAX(((B3490-B3489)/B3489)/($K$7*7),0),卓尔金历!$M$43),0),1)</f>
        <v>1</v>
      </c>
      <c r="N3490">
        <f t="shared" si="493"/>
        <v>189554.42456439196</v>
      </c>
      <c r="O3490">
        <f t="shared" si="494"/>
        <v>519623.09967172478</v>
      </c>
      <c r="P3490">
        <f t="shared" si="495"/>
        <v>2.3227696902573498E-2</v>
      </c>
      <c r="Q3490">
        <f t="shared" si="486"/>
        <v>2.4588450972411541E-2</v>
      </c>
      <c r="R3490">
        <f t="shared" si="487"/>
        <v>8.2053308661455798E-2</v>
      </c>
      <c r="S3490">
        <f t="shared" si="489"/>
        <v>1144.4317356535951</v>
      </c>
      <c r="T3490" s="564">
        <f>IF((I3490-MAX(I$470:I3490))/MAX(I$470:I3490)&gt;T3489,T3489,(I3490-MAX(I$470:I3490))/MAX(I$470:I3490))</f>
        <v>-0.91338805338419748</v>
      </c>
      <c r="U3490" s="564">
        <f>IF((J3490-MAX(J$470:J3490))/MAX(J$470:J3490)&gt;U3489,U3489,(J3490-MAX(J$470:J3490))/MAX(J$470:J3490))</f>
        <v>-0.83569785939843477</v>
      </c>
      <c r="V3490" s="564">
        <f>IF((K3490-MAX(K$470:K3490))/MAX(K$470:K3490)&gt;V3489,V3489,(K3490-MAX(K$470:K3490))/MAX(K$470:K3490))</f>
        <v>-0.84885940676762139</v>
      </c>
      <c r="W3490" s="564">
        <f>IF((N3490-MAX(N$470:N3490))/MAX(N$470:N3490)&gt;W3489,W3489,(N3490-MAX(N$470:N3490))/MAX(N$470:N3490))</f>
        <v>-0.62788758315546067</v>
      </c>
      <c r="X3490" s="564">
        <f>IF((O3490-MAX(O$470:O3490))/MAX(O$470:O3490)&gt;X3489,X3489,(O3490-MAX(O$470:O3490))/MAX(O$470:O3490))</f>
        <v>-0.62788758315546067</v>
      </c>
    </row>
    <row r="3491" spans="1:24">
      <c r="A3491" s="799">
        <v>43893</v>
      </c>
      <c r="B3491">
        <v>8719.1296977403999</v>
      </c>
      <c r="C3491">
        <v>7447.8755709999996</v>
      </c>
      <c r="D3491">
        <v>1.5070440000000001</v>
      </c>
      <c r="E3491">
        <f>LN(D3491/参数实验室!$E$53)/参数实验室!$E$55</f>
        <v>-0.20909236370610876</v>
      </c>
      <c r="F3491">
        <f t="shared" si="488"/>
        <v>0.85419942462034359</v>
      </c>
      <c r="G3491">
        <f>LN(F3491/参数实验室!$E$58)/参数实验室!$E$59</f>
        <v>-0.27324208515196546</v>
      </c>
      <c r="H3491" s="856">
        <f>INDEX(神经网络!$G$10:$BO$70,MATCH(ROUND(G3491*2,1)/2,神经网络!$E$10:$E$70,0),MATCH(ROUND(E3491*2,1)/2,神经网络!$G$8:$BO$8,0))</f>
        <v>-0.39598595774924455</v>
      </c>
      <c r="I3491">
        <f t="shared" si="490"/>
        <v>526162.01487872424</v>
      </c>
      <c r="J3491">
        <f t="shared" si="491"/>
        <v>3479.1627220543437</v>
      </c>
      <c r="K3491">
        <f t="shared" si="492"/>
        <v>151.23236735763857</v>
      </c>
      <c r="L3491" s="4">
        <f>MIN(MAX(L3490*(1+MAX(MIN(((B3491-B3490)/B3490)/($K$7*卓尔金历!$N$40),0),-卓尔金历!$M$43))+MIN(MAX(((B3491-B3490)/B3490)/($K$7*卓尔金历!$N$40),0),卓尔金历!$M$43),0),1)</f>
        <v>0.34686114873051094</v>
      </c>
      <c r="M3491" s="4">
        <f>MIN(MAX(M3490*(1+MAX(MIN(((B3491-B3490)/B3490)/($K$7*30),0),-卓尔金历!$M$43))+MIN(MAX(((B3491-B3490)/B3490)/($K$7*7),0),卓尔金历!$M$43),0),1)</f>
        <v>0.93829144047607527</v>
      </c>
      <c r="N3491">
        <f t="shared" si="493"/>
        <v>189794.33863015124</v>
      </c>
      <c r="O3491">
        <f t="shared" si="494"/>
        <v>521285.16297440446</v>
      </c>
      <c r="P3491">
        <f t="shared" si="495"/>
        <v>-8.0775438800289451E-3</v>
      </c>
      <c r="Q3491">
        <f t="shared" si="486"/>
        <v>2.4388023337386776E-2</v>
      </c>
      <c r="R3491">
        <f t="shared" si="487"/>
        <v>1</v>
      </c>
      <c r="S3491">
        <f t="shared" si="489"/>
        <v>1144.7320977326929</v>
      </c>
      <c r="T3491" s="564">
        <f>IF((I3491-MAX(I$470:I3491))/MAX(I$470:I3491)&gt;T3490,T3490,(I3491-MAX(I$470:I3491))/MAX(I$470:I3491))</f>
        <v>-0.91338805338419748</v>
      </c>
      <c r="U3491" s="564">
        <f>IF((J3491-MAX(J$470:J3491))/MAX(J$470:J3491)&gt;U3490,U3490,(J3491-MAX(J$470:J3491))/MAX(J$470:J3491))</f>
        <v>-0.83569785939843477</v>
      </c>
      <c r="V3491" s="564">
        <f>IF((K3491-MAX(K$470:K3491))/MAX(K$470:K3491)&gt;V3490,V3490,(K3491-MAX(K$470:K3491))/MAX(K$470:K3491))</f>
        <v>-0.84885940676762139</v>
      </c>
      <c r="W3491" s="564">
        <f>IF((N3491-MAX(N$470:N3491))/MAX(N$470:N3491)&gt;W3490,W3490,(N3491-MAX(N$470:N3491))/MAX(N$470:N3491))</f>
        <v>-0.62788758315546067</v>
      </c>
      <c r="X3491" s="564">
        <f>IF((O3491-MAX(O$470:O3491))/MAX(O$470:O3491)&gt;X3490,X3490,(O3491-MAX(O$470:O3491))/MAX(O$470:O3491))</f>
        <v>-0.62788758315546067</v>
      </c>
    </row>
    <row r="3492" spans="1:24">
      <c r="A3492" s="799">
        <v>43894</v>
      </c>
      <c r="B3492">
        <v>8754.7899964013995</v>
      </c>
      <c r="C3492">
        <v>7353.5548740000004</v>
      </c>
      <c r="D3492">
        <v>1.508597</v>
      </c>
      <c r="E3492">
        <f>LN(D3492/参数实验室!$E$53)/参数实验室!$E$55</f>
        <v>-0.20787726088063643</v>
      </c>
      <c r="F3492">
        <f t="shared" si="488"/>
        <v>0.83994646096852488</v>
      </c>
      <c r="G3492">
        <f>LN(F3492/参数实验室!$E$58)/参数实验室!$E$59</f>
        <v>-0.28207355847926174</v>
      </c>
      <c r="H3492" s="856">
        <f>INDEX(神经网络!$G$10:$BO$70,MATCH(ROUND(G3492*2,1)/2,神经网络!$E$10:$E$70,0),MATCH(ROUND(E3492*2,1)/2,神经网络!$G$8:$BO$8,0))</f>
        <v>-0.4779542486348563</v>
      </c>
      <c r="I3492">
        <f t="shared" si="490"/>
        <v>525309.8745572737</v>
      </c>
      <c r="J3492">
        <f t="shared" si="491"/>
        <v>3493.3921217834045</v>
      </c>
      <c r="K3492">
        <f t="shared" si="492"/>
        <v>150.37243351001169</v>
      </c>
      <c r="L3492" s="4">
        <f>MIN(MAX(L3491*(1+MAX(MIN(((B3492-B3491)/B3491)/($K$7*卓尔金历!$N$40),0),-卓尔金历!$M$43))+MIN(MAX(((B3492-B3491)/B3491)/($K$7*卓尔金历!$N$40),0),卓尔金历!$M$43),0),1)</f>
        <v>0.4093507734751255</v>
      </c>
      <c r="M3492" s="4">
        <f>MIN(MAX(M3491*(1+MAX(MIN(((B3492-B3491)/B3491)/($K$7*30),0),-卓尔金历!$M$43))+MIN(MAX(((B3492-B3491)/B3491)/($K$7*7),0),卓尔金历!$M$43),0),1)</f>
        <v>1</v>
      </c>
      <c r="N3492">
        <f t="shared" si="493"/>
        <v>189687.72062917153</v>
      </c>
      <c r="O3492">
        <f t="shared" si="494"/>
        <v>520493.01787044987</v>
      </c>
      <c r="P3492">
        <f t="shared" si="495"/>
        <v>4.0898919843159499E-3</v>
      </c>
      <c r="Q3492">
        <f t="shared" si="486"/>
        <v>2.332497719668282E-2</v>
      </c>
      <c r="R3492">
        <f t="shared" si="487"/>
        <v>1</v>
      </c>
      <c r="S3492">
        <f t="shared" si="489"/>
        <v>1142.8781585463728</v>
      </c>
      <c r="T3492" s="564">
        <f>IF((I3492-MAX(I$470:I3492))/MAX(I$470:I3492)&gt;T3491,T3491,(I3492-MAX(I$470:I3492))/MAX(I$470:I3492))</f>
        <v>-0.91338805338419748</v>
      </c>
      <c r="U3492" s="564">
        <f>IF((J3492-MAX(J$470:J3492))/MAX(J$470:J3492)&gt;U3491,U3491,(J3492-MAX(J$470:J3492))/MAX(J$470:J3492))</f>
        <v>-0.83569785939843477</v>
      </c>
      <c r="V3492" s="564">
        <f>IF((K3492-MAX(K$470:K3492))/MAX(K$470:K3492)&gt;V3491,V3491,(K3492-MAX(K$470:K3492))/MAX(K$470:K3492))</f>
        <v>-0.84885940676762139</v>
      </c>
      <c r="W3492" s="564">
        <f>IF((N3492-MAX(N$470:N3492))/MAX(N$470:N3492)&gt;W3491,W3491,(N3492-MAX(N$470:N3492))/MAX(N$470:N3492))</f>
        <v>-0.62788758315546067</v>
      </c>
      <c r="X3492" s="564">
        <f>IF((O3492-MAX(O$470:O3492))/MAX(O$470:O3492)&gt;X3491,X3491,(O3492-MAX(O$470:O3492))/MAX(O$470:O3492))</f>
        <v>-0.62788758315546067</v>
      </c>
    </row>
    <row r="3493" spans="1:24">
      <c r="A3493" s="799">
        <v>43895</v>
      </c>
      <c r="B3493">
        <v>9035.5889338597008</v>
      </c>
      <c r="C3493">
        <v>7201.3866740000003</v>
      </c>
      <c r="D3493">
        <v>1.560902</v>
      </c>
      <c r="E3493">
        <f>LN(D3493/参数实验室!$E$53)/参数实验室!$E$55</f>
        <v>-0.16766681149969262</v>
      </c>
      <c r="F3493">
        <f t="shared" si="488"/>
        <v>0.79700246732271485</v>
      </c>
      <c r="G3493">
        <f>LN(F3493/参数实验室!$E$58)/参数实验室!$E$59</f>
        <v>-0.30961809722082262</v>
      </c>
      <c r="H3493" s="856">
        <f>INDEX(神经网络!$G$10:$BO$70,MATCH(ROUND(G3493*2,1)/2,神经网络!$E$10:$E$70,0),MATCH(ROUND(E3493*2,1)/2,神经网络!$G$8:$BO$8,0))</f>
        <v>-0.43939765390169994</v>
      </c>
      <c r="I3493">
        <f t="shared" si="490"/>
        <v>517256.98731362011</v>
      </c>
      <c r="J3493">
        <f t="shared" si="491"/>
        <v>3605.4383040819166</v>
      </c>
      <c r="K3493">
        <f t="shared" si="492"/>
        <v>143.46577133992415</v>
      </c>
      <c r="L3493" s="4">
        <f>MIN(MAX(L3492*(1+MAX(MIN(((B3493-B3492)/B3492)/($K$7*卓尔金历!$N$40),0),-卓尔金历!$M$43))+MIN(MAX(((B3493-B3492)/B3492)/($K$7*卓尔金历!$N$40),0),卓尔金历!$M$43),0),1)</f>
        <v>0.89940688030852856</v>
      </c>
      <c r="M3493" s="4">
        <f>MIN(MAX(M3492*(1+MAX(MIN(((B3493-B3492)/B3492)/($K$7*30),0),-卓尔金历!$M$43))+MIN(MAX(((B3493-B3492)/B3492)/($K$7*7),0),卓尔金历!$M$43),0),1)</f>
        <v>1</v>
      </c>
      <c r="N3493">
        <f t="shared" si="493"/>
        <v>188497.38101562444</v>
      </c>
      <c r="O3493">
        <f t="shared" si="494"/>
        <v>512513.97200242343</v>
      </c>
      <c r="P3493">
        <f t="shared" si="495"/>
        <v>3.2073749064651672E-2</v>
      </c>
      <c r="Q3493">
        <f t="shared" si="486"/>
        <v>2.4770814942102398E-2</v>
      </c>
      <c r="R3493">
        <f t="shared" si="487"/>
        <v>1.72984616443436E-2</v>
      </c>
      <c r="S3493">
        <f t="shared" si="489"/>
        <v>1125.358082511699</v>
      </c>
      <c r="T3493" s="564">
        <f>IF((I3493-MAX(I$470:I3493))/MAX(I$470:I3493)&gt;T3492,T3492,(I3493-MAX(I$470:I3493))/MAX(I$470:I3493))</f>
        <v>-0.91338805338419748</v>
      </c>
      <c r="U3493" s="564">
        <f>IF((J3493-MAX(J$470:J3493))/MAX(J$470:J3493)&gt;U3492,U3492,(J3493-MAX(J$470:J3493))/MAX(J$470:J3493))</f>
        <v>-0.83569785939843477</v>
      </c>
      <c r="V3493" s="564">
        <f>IF((K3493-MAX(K$470:K3493))/MAX(K$470:K3493)&gt;V3492,V3492,(K3493-MAX(K$470:K3493))/MAX(K$470:K3493))</f>
        <v>-0.84885940676762139</v>
      </c>
      <c r="W3493" s="564">
        <f>IF((N3493-MAX(N$470:N3493))/MAX(N$470:N3493)&gt;W3492,W3492,(N3493-MAX(N$470:N3493))/MAX(N$470:N3493))</f>
        <v>-0.62788758315546067</v>
      </c>
      <c r="X3493" s="564">
        <f>IF((O3493-MAX(O$470:O3493))/MAX(O$470:O3493)&gt;X3492,X3492,(O3493-MAX(O$470:O3493))/MAX(O$470:O3493))</f>
        <v>-0.62788758315546067</v>
      </c>
    </row>
    <row r="3494" spans="1:24">
      <c r="A3494" s="799">
        <v>43896</v>
      </c>
      <c r="B3494">
        <v>9067.8142366787997</v>
      </c>
      <c r="C3494">
        <v>7223.5447889999996</v>
      </c>
      <c r="D3494">
        <v>1.574784</v>
      </c>
      <c r="E3494">
        <f>LN(D3494/参数实验室!$E$53)/参数实验室!$E$55</f>
        <v>-0.15722096868989149</v>
      </c>
      <c r="F3494">
        <f t="shared" si="488"/>
        <v>0.79661367121760907</v>
      </c>
      <c r="G3494">
        <f>LN(F3494/参数实验室!$E$58)/参数实验室!$E$59</f>
        <v>-0.30987419554564849</v>
      </c>
      <c r="H3494" s="856">
        <f>INDEX(神经网络!$G$10:$BO$70,MATCH(ROUND(G3494*2,1)/2,神经网络!$E$10:$E$70,0),MATCH(ROUND(E3494*2,1)/2,神经网络!$G$8:$BO$8,0))</f>
        <v>-0.43939765390169994</v>
      </c>
      <c r="I3494">
        <f t="shared" si="490"/>
        <v>516446.39096712018</v>
      </c>
      <c r="J3494">
        <f t="shared" si="491"/>
        <v>3618.2970498698337</v>
      </c>
      <c r="K3494">
        <f t="shared" si="492"/>
        <v>142.73189399574008</v>
      </c>
      <c r="L3494" s="4">
        <f>MIN(MAX(L3493*(1+MAX(MIN(((B3494-B3493)/B3493)/($K$7*卓尔金历!$N$40),0),-卓尔金历!$M$43))+MIN(MAX(((B3494-B3493)/B3493)/($K$7*卓尔金历!$N$40),0),卓尔金历!$M$43),0),1)</f>
        <v>0.95389936622950711</v>
      </c>
      <c r="M3494" s="4">
        <f>MIN(MAX(M3493*(1+MAX(MIN(((B3494-B3493)/B3493)/($K$7*30),0),-卓尔金历!$M$43))+MIN(MAX(((B3494-B3493)/B3493)/($K$7*7),0),卓尔金历!$M$43),0),1)</f>
        <v>1</v>
      </c>
      <c r="N3494">
        <f t="shared" si="493"/>
        <v>188231.70044094941</v>
      </c>
      <c r="O3494">
        <f t="shared" si="494"/>
        <v>511710.80846200819</v>
      </c>
      <c r="P3494">
        <f t="shared" si="495"/>
        <v>3.5664861532532528E-3</v>
      </c>
      <c r="Q3494">
        <f t="shared" si="486"/>
        <v>2.4799947432931627E-2</v>
      </c>
      <c r="R3494">
        <f t="shared" si="487"/>
        <v>1</v>
      </c>
      <c r="S3494">
        <f t="shared" si="489"/>
        <v>1125.3275757230426</v>
      </c>
      <c r="T3494" s="564">
        <f>IF((I3494-MAX(I$470:I3494))/MAX(I$470:I3494)&gt;T3493,T3493,(I3494-MAX(I$470:I3494))/MAX(I$470:I3494))</f>
        <v>-0.91338805338419748</v>
      </c>
      <c r="U3494" s="564">
        <f>IF((J3494-MAX(J$470:J3494))/MAX(J$470:J3494)&gt;U3493,U3493,(J3494-MAX(J$470:J3494))/MAX(J$470:J3494))</f>
        <v>-0.83569785939843477</v>
      </c>
      <c r="V3494" s="564">
        <f>IF((K3494-MAX(K$470:K3494))/MAX(K$470:K3494)&gt;V3493,V3493,(K3494-MAX(K$470:K3494))/MAX(K$470:K3494))</f>
        <v>-0.84885940676762139</v>
      </c>
      <c r="W3494" s="564">
        <f>IF((N3494-MAX(N$470:N3494))/MAX(N$470:N3494)&gt;W3493,W3493,(N3494-MAX(N$470:N3494))/MAX(N$470:N3494))</f>
        <v>-0.62788758315546067</v>
      </c>
      <c r="X3494" s="564">
        <f>IF((O3494-MAX(O$470:O3494))/MAX(O$470:O3494)&gt;X3493,X3493,(O3494-MAX(O$470:O3494))/MAX(O$470:O3494))</f>
        <v>-0.62788758315546067</v>
      </c>
    </row>
    <row r="3495" spans="1:24">
      <c r="A3495" s="799">
        <v>43897</v>
      </c>
      <c r="B3495">
        <v>9111.9873454572007</v>
      </c>
      <c r="C3495">
        <v>7118.3308930000003</v>
      </c>
      <c r="D3495">
        <v>1.5321</v>
      </c>
      <c r="E3495">
        <f>LN(D3495/参数实验室!$E$53)/参数实验室!$E$55</f>
        <v>-0.18963914461372125</v>
      </c>
      <c r="F3495">
        <f t="shared" si="488"/>
        <v>0.78120508985878456</v>
      </c>
      <c r="G3495">
        <f>LN(F3495/参数实验室!$E$58)/参数实验室!$E$59</f>
        <v>-0.32012570672299756</v>
      </c>
      <c r="H3495" s="856">
        <f>INDEX(神经网络!$G$10:$BO$70,MATCH(ROUND(G3495*2,1)/2,神经网络!$E$10:$E$70,0),MATCH(ROUND(E3495*2,1)/2,神经网络!$G$8:$BO$8,0))</f>
        <v>-0.4779542486348563</v>
      </c>
      <c r="I3495">
        <f t="shared" si="490"/>
        <v>515340.94293543615</v>
      </c>
      <c r="J3495">
        <f t="shared" si="491"/>
        <v>3635.9232853665821</v>
      </c>
      <c r="K3495">
        <f t="shared" si="492"/>
        <v>141.73592303487732</v>
      </c>
      <c r="L3495" s="4">
        <f>MIN(MAX(L3494*(1+MAX(MIN(((B3495-B3494)/B3494)/($K$7*卓尔金历!$N$40),0),-卓尔金历!$M$43))+MIN(MAX(((B3495-B3494)/B3494)/($K$7*卓尔金历!$N$40),0),卓尔金历!$M$43),0),1)</f>
        <v>1</v>
      </c>
      <c r="M3495" s="4">
        <f>MIN(MAX(M3494*(1+MAX(MIN(((B3495-B3494)/B3494)/($K$7*30),0),-卓尔金历!$M$43))+MIN(MAX(((B3495-B3494)/B3494)/($K$7*7),0),卓尔金历!$M$43),0),1)</f>
        <v>1</v>
      </c>
      <c r="N3495">
        <f t="shared" si="493"/>
        <v>187847.36679155903</v>
      </c>
      <c r="O3495">
        <f t="shared" si="494"/>
        <v>510615.49689453555</v>
      </c>
      <c r="P3495">
        <f t="shared" si="495"/>
        <v>4.8714174800497407E-3</v>
      </c>
      <c r="Q3495">
        <f t="shared" si="486"/>
        <v>2.4899238726917246E-2</v>
      </c>
      <c r="R3495">
        <f t="shared" si="487"/>
        <v>1</v>
      </c>
      <c r="S3495">
        <f t="shared" si="489"/>
        <v>1122.9188239622777</v>
      </c>
      <c r="T3495" s="564">
        <f>IF((I3495-MAX(I$470:I3495))/MAX(I$470:I3495)&gt;T3494,T3494,(I3495-MAX(I$470:I3495))/MAX(I$470:I3495))</f>
        <v>-0.91338805338419748</v>
      </c>
      <c r="U3495" s="564">
        <f>IF((J3495-MAX(J$470:J3495))/MAX(J$470:J3495)&gt;U3494,U3494,(J3495-MAX(J$470:J3495))/MAX(J$470:J3495))</f>
        <v>-0.83569785939843477</v>
      </c>
      <c r="V3495" s="564">
        <f>IF((K3495-MAX(K$470:K3495))/MAX(K$470:K3495)&gt;V3494,V3494,(K3495-MAX(K$470:K3495))/MAX(K$470:K3495))</f>
        <v>-0.84885940676762139</v>
      </c>
      <c r="W3495" s="564">
        <f>IF((N3495-MAX(N$470:N3495))/MAX(N$470:N3495)&gt;W3494,W3494,(N3495-MAX(N$470:N3495))/MAX(N$470:N3495))</f>
        <v>-0.62788758315546067</v>
      </c>
      <c r="X3495" s="564">
        <f>IF((O3495-MAX(O$470:O3495))/MAX(O$470:O3495)&gt;X3494,X3494,(O3495-MAX(O$470:O3495))/MAX(O$470:O3495))</f>
        <v>-0.62788758315546067</v>
      </c>
    </row>
    <row r="3496" spans="1:24">
      <c r="A3496" s="799">
        <v>43898</v>
      </c>
      <c r="B3496">
        <v>8497.1207307792993</v>
      </c>
      <c r="C3496">
        <v>7029.4635330000001</v>
      </c>
      <c r="D3496">
        <v>1.3973199999999999</v>
      </c>
      <c r="E3496">
        <f>LN(D3496/参数实验室!$E$53)/参数实验室!$E$55</f>
        <v>-0.2982746304050502</v>
      </c>
      <c r="F3496">
        <f t="shared" si="488"/>
        <v>0.82727593919397036</v>
      </c>
      <c r="G3496">
        <f>LN(F3496/参数实验室!$E$58)/参数实验室!$E$59</f>
        <v>-0.29005126153279415</v>
      </c>
      <c r="H3496" s="856">
        <f>INDEX(神经网络!$G$10:$BO$70,MATCH(ROUND(G3496*2,1)/2,神经网络!$E$10:$E$70,0),MATCH(ROUND(E3496*2,1)/2,神经网络!$G$8:$BO$8,0))</f>
        <v>-0.5517202076005665</v>
      </c>
      <c r="I3496">
        <f t="shared" si="490"/>
        <v>531961.62259630323</v>
      </c>
      <c r="J3496">
        <f t="shared" si="491"/>
        <v>3390.5752886075138</v>
      </c>
      <c r="K3496">
        <f t="shared" si="492"/>
        <v>156.89420741775544</v>
      </c>
      <c r="L3496" s="4">
        <f>MIN(MAX(L3495*(1+MAX(MIN(((B3496-B3495)/B3495)/($K$7*卓尔金历!$N$40),0),-卓尔金历!$M$43))+MIN(MAX(((B3496-B3495)/B3495)/($K$7*卓尔金历!$N$40),0),卓尔金历!$M$43),0),1)</f>
        <v>0</v>
      </c>
      <c r="M3496" s="4">
        <f>MIN(MAX(M3495*(1+MAX(MIN(((B3496-B3495)/B3495)/($K$7*30),0),-卓尔金历!$M$43))+MIN(MAX(((B3496-B3495)/B3495)/($K$7*7),0),卓尔金历!$M$43),0),1)</f>
        <v>0.48449380619411131</v>
      </c>
      <c r="N3496">
        <f t="shared" si="493"/>
        <v>193905.78491528856</v>
      </c>
      <c r="O3496">
        <f t="shared" si="494"/>
        <v>527083.77235391783</v>
      </c>
      <c r="P3496">
        <f t="shared" si="495"/>
        <v>-6.7478870565425494E-2</v>
      </c>
      <c r="Q3496">
        <f t="shared" si="486"/>
        <v>2.7685704614970445E-2</v>
      </c>
      <c r="R3496">
        <f t="shared" si="487"/>
        <v>2.716548797798697E-3</v>
      </c>
      <c r="S3496">
        <f t="shared" si="489"/>
        <v>1159.134991751944</v>
      </c>
      <c r="T3496" s="564">
        <f>IF((I3496-MAX(I$470:I3496))/MAX(I$470:I3496)&gt;T3495,T3495,(I3496-MAX(I$470:I3496))/MAX(I$470:I3496))</f>
        <v>-0.91338805338419748</v>
      </c>
      <c r="U3496" s="564">
        <f>IF((J3496-MAX(J$470:J3496))/MAX(J$470:J3496)&gt;U3495,U3495,(J3496-MAX(J$470:J3496))/MAX(J$470:J3496))</f>
        <v>-0.83569785939843477</v>
      </c>
      <c r="V3496" s="564">
        <f>IF((K3496-MAX(K$470:K3496))/MAX(K$470:K3496)&gt;V3495,V3495,(K3496-MAX(K$470:K3496))/MAX(K$470:K3496))</f>
        <v>-0.84885940676762139</v>
      </c>
      <c r="W3496" s="564">
        <f>IF((N3496-MAX(N$470:N3496))/MAX(N$470:N3496)&gt;W3495,W3495,(N3496-MAX(N$470:N3496))/MAX(N$470:N3496))</f>
        <v>-0.62788758315546067</v>
      </c>
      <c r="X3496" s="564">
        <f>IF((O3496-MAX(O$470:O3496))/MAX(O$470:O3496)&gt;X3495,X3495,(O3496-MAX(O$470:O3496))/MAX(O$470:O3496))</f>
        <v>-0.62788758315546067</v>
      </c>
    </row>
    <row r="3497" spans="1:24">
      <c r="A3497" s="799">
        <v>43899</v>
      </c>
      <c r="B3497">
        <v>7703.0705958296003</v>
      </c>
      <c r="C3497">
        <v>6979.5857569999998</v>
      </c>
      <c r="D3497">
        <v>1.362967</v>
      </c>
      <c r="E3497">
        <f>LN(D3497/参数实验室!$E$53)/参数实验室!$E$55</f>
        <v>-0.32764125484404055</v>
      </c>
      <c r="F3497">
        <f t="shared" si="488"/>
        <v>0.90607838396011964</v>
      </c>
      <c r="G3497">
        <f>LN(F3497/参数实验室!$E$58)/参数实验室!$E$59</f>
        <v>-0.24229609559017232</v>
      </c>
      <c r="H3497" s="856">
        <f>INDEX(神经网络!$G$10:$BO$70,MATCH(ROUND(G3497*2,1)/2,神经网络!$E$10:$E$70,0),MATCH(ROUND(E3497*2,1)/2,神经网络!$G$8:$BO$8,0))</f>
        <v>-0.51075529571207356</v>
      </c>
      <c r="I3497">
        <f t="shared" si="490"/>
        <v>559388.43449082598</v>
      </c>
      <c r="J3497">
        <f t="shared" si="491"/>
        <v>3073.7283411793592</v>
      </c>
      <c r="K3497">
        <f t="shared" si="492"/>
        <v>181.99019965316589</v>
      </c>
      <c r="L3497" s="4">
        <f>MIN(MAX(L3496*(1+MAX(MIN(((B3497-B3496)/B3496)/($K$7*卓尔金历!$N$40),0),-卓尔金历!$M$43))+MIN(MAX(((B3497-B3496)/B3496)/($K$7*卓尔金历!$N$40),0),卓尔金历!$M$43),0),1)</f>
        <v>0</v>
      </c>
      <c r="M3497" s="4">
        <f>MIN(MAX(M3496*(1+MAX(MIN(((B3497-B3496)/B3496)/($K$7*30),0),-卓尔金历!$M$43))+MIN(MAX(((B3497-B3496)/B3496)/($K$7*7),0),卓尔金历!$M$43),0),1)</f>
        <v>0.13860982663994109</v>
      </c>
      <c r="N3497">
        <f t="shared" si="493"/>
        <v>193905.78491528856</v>
      </c>
      <c r="O3497">
        <f t="shared" si="494"/>
        <v>540250.04671664175</v>
      </c>
      <c r="P3497">
        <f t="shared" si="495"/>
        <v>-9.3449317728697731E-2</v>
      </c>
      <c r="Q3497">
        <f t="shared" si="486"/>
        <v>3.2878545651445018E-2</v>
      </c>
      <c r="R3497">
        <f t="shared" si="487"/>
        <v>0</v>
      </c>
      <c r="S3497">
        <f t="shared" si="489"/>
        <v>1159.2973396062462</v>
      </c>
      <c r="T3497" s="564">
        <f>IF((I3497-MAX(I$470:I3497))/MAX(I$470:I3497)&gt;T3496,T3496,(I3497-MAX(I$470:I3497))/MAX(I$470:I3497))</f>
        <v>-0.91338805338419748</v>
      </c>
      <c r="U3497" s="564">
        <f>IF((J3497-MAX(J$470:J3497))/MAX(J$470:J3497)&gt;U3496,U3496,(J3497-MAX(J$470:J3497))/MAX(J$470:J3497))</f>
        <v>-0.83569785939843477</v>
      </c>
      <c r="V3497" s="564">
        <f>IF((K3497-MAX(K$470:K3497))/MAX(K$470:K3497)&gt;V3496,V3496,(K3497-MAX(K$470:K3497))/MAX(K$470:K3497))</f>
        <v>-0.84885940676762139</v>
      </c>
      <c r="W3497" s="564">
        <f>IF((N3497-MAX(N$470:N3497))/MAX(N$470:N3497)&gt;W3496,W3496,(N3497-MAX(N$470:N3497))/MAX(N$470:N3497))</f>
        <v>-0.62788758315546067</v>
      </c>
      <c r="X3497" s="564">
        <f>IF((O3497-MAX(O$470:O3497))/MAX(O$470:O3497)&gt;X3496,X3496,(O3497-MAX(O$470:O3497))/MAX(O$470:O3497))</f>
        <v>-0.62788758315546067</v>
      </c>
    </row>
    <row r="3498" spans="1:24">
      <c r="A3498" s="799">
        <v>43900</v>
      </c>
      <c r="B3498">
        <v>8010.8173923620998</v>
      </c>
      <c r="C3498">
        <v>7081.6631829999997</v>
      </c>
      <c r="D3498">
        <v>1.366768</v>
      </c>
      <c r="E3498">
        <f>LN(D3498/参数实验室!$E$53)/参数实验室!$E$55</f>
        <v>-0.32435577476740085</v>
      </c>
      <c r="F3498">
        <f t="shared" si="488"/>
        <v>0.88401255903698406</v>
      </c>
      <c r="G3498">
        <f>LN(F3498/参数实验室!$E$58)/参数实验室!$E$59</f>
        <v>-0.25523613542905271</v>
      </c>
      <c r="H3498" s="856">
        <f>INDEX(神经网络!$G$10:$BO$70,MATCH(ROUND(G3498*2,1)/2,神经网络!$E$10:$E$70,0),MATCH(ROUND(E3498*2,1)/2,神经网络!$G$8:$BO$8,0))</f>
        <v>-0.47592550752609075</v>
      </c>
      <c r="I3498">
        <f t="shared" si="490"/>
        <v>547973.95731379755</v>
      </c>
      <c r="J3498">
        <f t="shared" si="491"/>
        <v>3196.5274300155988</v>
      </c>
      <c r="K3498">
        <f t="shared" si="492"/>
        <v>171.42789145755069</v>
      </c>
      <c r="L3498" s="4">
        <f>MIN(MAX(L3497*(1+MAX(MIN(((B3498-B3497)/B3497)/($K$7*卓尔金历!$N$40),0),-卓尔金历!$M$43))+MIN(MAX(((B3498-B3497)/B3497)/($K$7*卓尔金历!$N$40),0),卓尔金历!$M$43),0),1)</f>
        <v>0.61041576472817138</v>
      </c>
      <c r="M3498" s="4">
        <f>MIN(MAX(M3497*(1+MAX(MIN(((B3498-B3497)/B3497)/($K$7*30),0),-卓尔金历!$M$43))+MIN(MAX(((B3498-B3497)/B3497)/($K$7*7),0),卓尔金历!$M$43),0),1)</f>
        <v>1</v>
      </c>
      <c r="N3498">
        <f t="shared" si="493"/>
        <v>193905.78491528856</v>
      </c>
      <c r="O3498">
        <f t="shared" si="494"/>
        <v>538722.0184980724</v>
      </c>
      <c r="P3498">
        <f t="shared" si="495"/>
        <v>3.9951184752105469E-2</v>
      </c>
      <c r="Q3498">
        <f t="shared" si="486"/>
        <v>3.3493401318472282E-2</v>
      </c>
      <c r="R3498">
        <f t="shared" si="487"/>
        <v>2.7081733088643908E-2</v>
      </c>
      <c r="S3498">
        <f t="shared" si="489"/>
        <v>1159.2973396062462</v>
      </c>
      <c r="T3498" s="564">
        <f>IF((I3498-MAX(I$470:I3498))/MAX(I$470:I3498)&gt;T3497,T3497,(I3498-MAX(I$470:I3498))/MAX(I$470:I3498))</f>
        <v>-0.91338805338419748</v>
      </c>
      <c r="U3498" s="564">
        <f>IF((J3498-MAX(J$470:J3498))/MAX(J$470:J3498)&gt;U3497,U3497,(J3498-MAX(J$470:J3498))/MAX(J$470:J3498))</f>
        <v>-0.83569785939843477</v>
      </c>
      <c r="V3498" s="564">
        <f>IF((K3498-MAX(K$470:K3498))/MAX(K$470:K3498)&gt;V3497,V3497,(K3498-MAX(K$470:K3498))/MAX(K$470:K3498))</f>
        <v>-0.84885940676762139</v>
      </c>
      <c r="W3498" s="564">
        <f>IF((N3498-MAX(N$470:N3498))/MAX(N$470:N3498)&gt;W3497,W3497,(N3498-MAX(N$470:N3498))/MAX(N$470:N3498))</f>
        <v>-0.62788758315546067</v>
      </c>
      <c r="X3498" s="564">
        <f>IF((O3498-MAX(O$470:O3498))/MAX(O$470:O3498)&gt;X3497,X3497,(O3498-MAX(O$470:O3498))/MAX(O$470:O3498))</f>
        <v>-0.62788758315546067</v>
      </c>
    </row>
    <row r="3499" spans="1:24">
      <c r="A3499" s="799">
        <v>43901</v>
      </c>
      <c r="B3499">
        <v>7787.2422012438001</v>
      </c>
      <c r="C3499">
        <v>7097.9499390000001</v>
      </c>
      <c r="D3499">
        <v>1.3753230000000001</v>
      </c>
      <c r="E3499">
        <f>LN(D3499/参数实验室!$E$53)/参数实验室!$E$55</f>
        <v>-0.31699436936621206</v>
      </c>
      <c r="F3499">
        <f t="shared" si="488"/>
        <v>0.91148441971745731</v>
      </c>
      <c r="G3499">
        <f>LN(F3499/参数实验室!$E$58)/参数实验室!$E$59</f>
        <v>-0.23917390571514832</v>
      </c>
      <c r="H3499" s="856">
        <f>INDEX(神经网络!$G$10:$BO$70,MATCH(ROUND(G3499*2,1)/2,神经网络!$E$10:$E$70,0),MATCH(ROUND(E3499*2,1)/2,神经网络!$G$8:$BO$8,0))</f>
        <v>-0.47592550752609075</v>
      </c>
      <c r="I3499">
        <f t="shared" si="490"/>
        <v>555252.52088137832</v>
      </c>
      <c r="J3499">
        <f t="shared" si="491"/>
        <v>3107.3150318198764</v>
      </c>
      <c r="K3499">
        <f t="shared" si="492"/>
        <v>178.69205896261533</v>
      </c>
      <c r="L3499" s="4">
        <f>MIN(MAX(L3498*(1+MAX(MIN(((B3499-B3498)/B3498)/($K$7*卓尔金历!$N$40),0),-卓尔金历!$M$43))+MIN(MAX(((B3499-B3498)/B3498)/($K$7*卓尔金历!$N$40),0),卓尔金历!$M$43),0),1)</f>
        <v>0.35011910302634935</v>
      </c>
      <c r="M3499" s="4">
        <f>MIN(MAX(M3498*(1+MAX(MIN(((B3499-B3498)/B3498)/($K$7*30),0),-卓尔金历!$M$43))+MIN(MAX(((B3499-B3498)/B3498)/($K$7*7),0),卓尔金历!$M$43),0),1)</f>
        <v>0.78678740233901345</v>
      </c>
      <c r="N3499">
        <f t="shared" si="493"/>
        <v>195477.96491611519</v>
      </c>
      <c r="O3499">
        <f t="shared" si="494"/>
        <v>545877.69150873017</v>
      </c>
      <c r="P3499">
        <f t="shared" si="495"/>
        <v>-2.7909160846865275E-2</v>
      </c>
      <c r="Q3499">
        <f t="shared" si="486"/>
        <v>3.2511481010920718E-2</v>
      </c>
      <c r="R3499">
        <f t="shared" si="487"/>
        <v>0.19124408555765574</v>
      </c>
      <c r="S3499">
        <f t="shared" si="489"/>
        <v>1159.7143597686047</v>
      </c>
      <c r="T3499" s="564">
        <f>IF((I3499-MAX(I$470:I3499))/MAX(I$470:I3499)&gt;T3498,T3498,(I3499-MAX(I$470:I3499))/MAX(I$470:I3499))</f>
        <v>-0.91338805338419748</v>
      </c>
      <c r="U3499" s="564">
        <f>IF((J3499-MAX(J$470:J3499))/MAX(J$470:J3499)&gt;U3498,U3498,(J3499-MAX(J$470:J3499))/MAX(J$470:J3499))</f>
        <v>-0.83569785939843477</v>
      </c>
      <c r="V3499" s="564">
        <f>IF((K3499-MAX(K$470:K3499))/MAX(K$470:K3499)&gt;V3498,V3498,(K3499-MAX(K$470:K3499))/MAX(K$470:K3499))</f>
        <v>-0.84885940676762139</v>
      </c>
      <c r="W3499" s="564">
        <f>IF((N3499-MAX(N$470:N3499))/MAX(N$470:N3499)&gt;W3498,W3498,(N3499-MAX(N$470:N3499))/MAX(N$470:N3499))</f>
        <v>-0.62788758315546067</v>
      </c>
      <c r="X3499" s="564">
        <f>IF((O3499-MAX(O$470:O3499))/MAX(O$470:O3499)&gt;X3498,X3498,(O3499-MAX(O$470:O3499))/MAX(O$470:O3499))</f>
        <v>-0.62788758315546067</v>
      </c>
    </row>
    <row r="3500" spans="1:24">
      <c r="A3500" s="799">
        <v>43902</v>
      </c>
      <c r="B3500">
        <v>6070.5678769565002</v>
      </c>
      <c r="C3500">
        <v>7085.817215</v>
      </c>
      <c r="D3500">
        <v>0.87746900000000005</v>
      </c>
      <c r="E3500">
        <f>LN(D3500/参数实验室!$E$53)/参数实验室!$E$55</f>
        <v>-0.8471781487869855</v>
      </c>
      <c r="F3500">
        <f t="shared" si="488"/>
        <v>1.1672412463910211</v>
      </c>
      <c r="G3500">
        <f>LN(F3500/参数实验室!$E$58)/参数实验室!$E$59</f>
        <v>-0.10936499174127881</v>
      </c>
      <c r="H3500" s="856">
        <f>INDEX(神经网络!$G$10:$BO$70,MATCH(ROUND(G3500*2,1)/2,神经网络!$E$10:$E$70,0),MATCH(ROUND(E3500*2,1)/2,神经网络!$G$8:$BO$8,0))</f>
        <v>-0.42466935445445991</v>
      </c>
      <c r="I3500">
        <f t="shared" si="490"/>
        <v>613507.59374330076</v>
      </c>
      <c r="J3500">
        <f t="shared" si="491"/>
        <v>2422.3166980393812</v>
      </c>
      <c r="K3500">
        <f t="shared" si="492"/>
        <v>253.27307293875847</v>
      </c>
      <c r="L3500" s="4">
        <f>MIN(MAX(L3499*(1+MAX(MIN(((B3500-B3499)/B3499)/($K$7*卓尔金历!$N$40),0),-卓尔金历!$M$43))+MIN(MAX(((B3500-B3499)/B3499)/($K$7*卓尔金历!$N$40),0),卓尔金历!$M$43),0),1)</f>
        <v>0</v>
      </c>
      <c r="M3500" s="4">
        <f>MIN(MAX(M3499*(1+MAX(MIN(((B3500-B3499)/B3499)/($K$7*30),0),-卓尔金历!$M$43))+MIN(MAX(((B3500-B3499)/B3499)/($K$7*7),0),卓尔金历!$M$43),0),1)</f>
        <v>0</v>
      </c>
      <c r="N3500">
        <f t="shared" si="493"/>
        <v>202658.50030650108</v>
      </c>
      <c r="O3500">
        <f t="shared" si="494"/>
        <v>590938.18614085217</v>
      </c>
      <c r="P3500">
        <f t="shared" si="495"/>
        <v>-0.22044701833122743</v>
      </c>
      <c r="Q3500">
        <f t="shared" ref="Q3500:Q3563" si="496">STDEVP(P3480:P3500)</f>
        <v>5.4598995427233073E-2</v>
      </c>
      <c r="R3500">
        <f t="shared" ref="R3500:R3563" si="497">MIN(Q3499*MAX(1-LN(MAX(ABS(P3500),0.0001)/Q3500),0)+MAX(-LN(MAX(ABS(P3500),0.0001)/Q3500),0),1)</f>
        <v>0</v>
      </c>
      <c r="S3500">
        <f t="shared" si="489"/>
        <v>1182.9836029592302</v>
      </c>
      <c r="T3500" s="564">
        <f>IF((I3500-MAX(I$470:I3500))/MAX(I$470:I3500)&gt;T3499,T3499,(I3500-MAX(I$470:I3500))/MAX(I$470:I3500))</f>
        <v>-0.91338805338419748</v>
      </c>
      <c r="U3500" s="564">
        <f>IF((J3500-MAX(J$470:J3500))/MAX(J$470:J3500)&gt;U3499,U3499,(J3500-MAX(J$470:J3500))/MAX(J$470:J3500))</f>
        <v>-0.83569785939843477</v>
      </c>
      <c r="V3500" s="564">
        <f>IF((K3500-MAX(K$470:K3500))/MAX(K$470:K3500)&gt;V3499,V3499,(K3500-MAX(K$470:K3500))/MAX(K$470:K3500))</f>
        <v>-0.84885940676762139</v>
      </c>
      <c r="W3500" s="564">
        <f>IF((N3500-MAX(N$470:N3500))/MAX(N$470:N3500)&gt;W3499,W3499,(N3500-MAX(N$470:N3500))/MAX(N$470:N3500))</f>
        <v>-0.62788758315546067</v>
      </c>
      <c r="X3500" s="564">
        <f>IF((O3500-MAX(O$470:O3500))/MAX(O$470:O3500)&gt;X3499,X3499,(O3500-MAX(O$470:O3500))/MAX(O$470:O3500))</f>
        <v>-0.62788758315546067</v>
      </c>
    </row>
    <row r="3501" spans="1:24">
      <c r="A3501" s="799">
        <v>43903</v>
      </c>
      <c r="B3501">
        <v>5251.5614159579</v>
      </c>
      <c r="C3501">
        <v>7170.2309279999999</v>
      </c>
      <c r="D3501">
        <v>1.002308</v>
      </c>
      <c r="E3501">
        <f>LN(D3501/参数实验室!$E$53)/参数实验室!$E$55</f>
        <v>-0.69024856080378016</v>
      </c>
      <c r="F3501">
        <f t="shared" si="488"/>
        <v>1.3653521991025082</v>
      </c>
      <c r="G3501">
        <f>LN(F3501/参数实验室!$E$58)/参数实验室!$E$59</f>
        <v>-2.7083958695361489E-2</v>
      </c>
      <c r="H3501" s="856">
        <f>INDEX(神经网络!$G$10:$BO$70,MATCH(ROUND(G3501*2,1)/2,神经网络!$E$10:$E$70,0),MATCH(ROUND(E3501*2,1)/2,神经网络!$G$8:$BO$8,0))</f>
        <v>-0.3718974915499435</v>
      </c>
      <c r="I3501">
        <f t="shared" si="490"/>
        <v>648657.88055206777</v>
      </c>
      <c r="J3501">
        <f t="shared" si="491"/>
        <v>2095.511518278558</v>
      </c>
      <c r="K3501">
        <f t="shared" si="492"/>
        <v>309.54632074030962</v>
      </c>
      <c r="L3501" s="4">
        <f>MIN(MAX(L3500*(1+MAX(MIN(((B3501-B3500)/B3500)/($K$7*卓尔金历!$N$40),0),-卓尔金历!$M$43))+MIN(MAX(((B3501-B3500)/B3500)/($K$7*卓尔金历!$N$40),0),卓尔金历!$M$43),0),1)</f>
        <v>0</v>
      </c>
      <c r="M3501" s="4">
        <f>MIN(MAX(M3500*(1+MAX(MIN(((B3501-B3500)/B3500)/($K$7*30),0),-卓尔金历!$M$43))+MIN(MAX(((B3501-B3500)/B3500)/($K$7*7),0),卓尔金历!$M$43),0),1)</f>
        <v>0</v>
      </c>
      <c r="N3501">
        <f t="shared" si="493"/>
        <v>202658.50030650108</v>
      </c>
      <c r="O3501">
        <f t="shared" si="494"/>
        <v>590938.18614085217</v>
      </c>
      <c r="P3501">
        <f t="shared" si="495"/>
        <v>-0.13491430745836777</v>
      </c>
      <c r="Q3501">
        <f t="shared" si="496"/>
        <v>5.9273439863185402E-2</v>
      </c>
      <c r="R3501">
        <f t="shared" si="497"/>
        <v>9.692495237068768E-3</v>
      </c>
      <c r="S3501">
        <f t="shared" si="489"/>
        <v>1182.9836029592302</v>
      </c>
      <c r="T3501" s="564">
        <f>IF((I3501-MAX(I$470:I3501))/MAX(I$470:I3501)&gt;T3500,T3500,(I3501-MAX(I$470:I3501))/MAX(I$470:I3501))</f>
        <v>-0.91338805338419748</v>
      </c>
      <c r="U3501" s="564">
        <f>IF((J3501-MAX(J$470:J3501))/MAX(J$470:J3501)&gt;U3500,U3500,(J3501-MAX(J$470:J3501))/MAX(J$470:J3501))</f>
        <v>-0.83569785939843477</v>
      </c>
      <c r="V3501" s="564">
        <f>IF((K3501-MAX(K$470:K3501))/MAX(K$470:K3501)&gt;V3500,V3500,(K3501-MAX(K$470:K3501))/MAX(K$470:K3501))</f>
        <v>-0.84885940676762139</v>
      </c>
      <c r="W3501" s="564">
        <f>IF((N3501-MAX(N$470:N3501))/MAX(N$470:N3501)&gt;W3500,W3500,(N3501-MAX(N$470:N3501))/MAX(N$470:N3501))</f>
        <v>-0.62788758315546067</v>
      </c>
      <c r="X3501" s="564">
        <f>IF((O3501-MAX(O$470:O3501))/MAX(O$470:O3501)&gt;X3500,X3500,(O3501-MAX(O$470:O3501))/MAX(O$470:O3501))</f>
        <v>-0.62788758315546067</v>
      </c>
    </row>
    <row r="3502" spans="1:24">
      <c r="A3502" s="799">
        <v>43904</v>
      </c>
      <c r="B3502">
        <v>5350.7587515239002</v>
      </c>
      <c r="C3502">
        <v>7236.1882210000003</v>
      </c>
      <c r="D3502">
        <v>0.919431</v>
      </c>
      <c r="E3502">
        <f>LN(D3502/参数实验室!$E$53)/参数实验室!$E$55</f>
        <v>-0.79206789502276076</v>
      </c>
      <c r="F3502">
        <f t="shared" si="488"/>
        <v>1.3523667496575376</v>
      </c>
      <c r="G3502">
        <f>LN(F3502/参数实验室!$E$58)/参数实验室!$E$59</f>
        <v>-3.2099574833163953E-2</v>
      </c>
      <c r="H3502" s="856">
        <f>INDEX(神经网络!$G$10:$BO$70,MATCH(ROUND(G3502*2,1)/2,神经网络!$E$10:$E$70,0),MATCH(ROUND(E3502*2,1)/2,神经网络!$G$8:$BO$8,0))</f>
        <v>-0.33769751404220244</v>
      </c>
      <c r="I3502">
        <f t="shared" si="490"/>
        <v>644101.17982515681</v>
      </c>
      <c r="J3502">
        <f t="shared" si="491"/>
        <v>2135.0938715629441</v>
      </c>
      <c r="K3502">
        <f t="shared" si="492"/>
        <v>301.67347131845685</v>
      </c>
      <c r="L3502" s="4">
        <f>MIN(MAX(L3501*(1+MAX(MIN(((B3502-B3501)/B3501)/($K$7*卓尔金历!$N$40),0),-卓尔金历!$M$43))+MIN(MAX(((B3502-B3501)/B3501)/($K$7*卓尔金历!$N$40),0),卓尔金历!$M$43),0),1)</f>
        <v>0.28860751590586492</v>
      </c>
      <c r="M3502" s="4">
        <f>MIN(MAX(M3501*(1+MAX(MIN(((B3502-B3501)/B3501)/($K$7*30),0),-卓尔金历!$M$43))+MIN(MAX(((B3502-B3501)/B3501)/($K$7*7),0),卓尔金历!$M$43),0),1)</f>
        <v>0.61844467694113914</v>
      </c>
      <c r="N3502">
        <f t="shared" si="493"/>
        <v>202658.50030650108</v>
      </c>
      <c r="O3502">
        <f t="shared" si="494"/>
        <v>590938.18614085217</v>
      </c>
      <c r="P3502">
        <f t="shared" si="495"/>
        <v>1.8889112724564099E-2</v>
      </c>
      <c r="Q3502">
        <f t="shared" si="496"/>
        <v>5.9957945034299097E-2</v>
      </c>
      <c r="R3502">
        <f t="shared" si="497"/>
        <v>1</v>
      </c>
      <c r="S3502">
        <f t="shared" si="489"/>
        <v>1182.9030560039132</v>
      </c>
      <c r="T3502" s="564">
        <f>IF((I3502-MAX(I$470:I3502))/MAX(I$470:I3502)&gt;T3501,T3501,(I3502-MAX(I$470:I3502))/MAX(I$470:I3502))</f>
        <v>-0.91338805338419748</v>
      </c>
      <c r="U3502" s="564">
        <f>IF((J3502-MAX(J$470:J3502))/MAX(J$470:J3502)&gt;U3501,U3501,(J3502-MAX(J$470:J3502))/MAX(J$470:J3502))</f>
        <v>-0.83569785939843477</v>
      </c>
      <c r="V3502" s="564">
        <f>IF((K3502-MAX(K$470:K3502))/MAX(K$470:K3502)&gt;V3501,V3501,(K3502-MAX(K$470:K3502))/MAX(K$470:K3502))</f>
        <v>-0.84885940676762139</v>
      </c>
      <c r="W3502" s="564">
        <f>IF((N3502-MAX(N$470:N3502))/MAX(N$470:N3502)&gt;W3501,W3501,(N3502-MAX(N$470:N3502))/MAX(N$470:N3502))</f>
        <v>-0.62788758315546067</v>
      </c>
      <c r="X3502" s="564">
        <f>IF((O3502-MAX(O$470:O3502))/MAX(O$470:O3502)&gt;X3501,X3501,(O3502-MAX(O$470:O3502))/MAX(O$470:O3502))</f>
        <v>-0.62788758315546067</v>
      </c>
    </row>
    <row r="3503" spans="1:24">
      <c r="A3503" s="799">
        <v>43905</v>
      </c>
      <c r="B3503">
        <v>5356.2827067528997</v>
      </c>
      <c r="C3503">
        <v>7317.8522480000001</v>
      </c>
      <c r="D3503">
        <v>0.95864400000000005</v>
      </c>
      <c r="E3503">
        <f>LN(D3503/参数实验室!$E$53)/参数实验室!$E$55</f>
        <v>-0.74279575384800545</v>
      </c>
      <c r="F3503">
        <f t="shared" si="488"/>
        <v>1.3662184482484585</v>
      </c>
      <c r="G3503">
        <f>LN(F3503/参数实验室!$E$58)/参数实验室!$E$59</f>
        <v>-2.6751070082540698E-2</v>
      </c>
      <c r="H3503" s="856">
        <f>INDEX(神经网络!$G$10:$BO$70,MATCH(ROUND(G3503*2,1)/2,神经网络!$E$10:$E$70,0),MATCH(ROUND(E3503*2,1)/2,神经网络!$G$8:$BO$8,0))</f>
        <v>-0.35928109788115664</v>
      </c>
      <c r="I3503">
        <f t="shared" si="490"/>
        <v>643876.62792324729</v>
      </c>
      <c r="J3503">
        <f t="shared" si="491"/>
        <v>2137.2980753971883</v>
      </c>
      <c r="K3503">
        <f t="shared" si="492"/>
        <v>301.25729084540131</v>
      </c>
      <c r="L3503" s="4">
        <f>MIN(MAX(L3502*(1+MAX(MIN(((B3503-B3502)/B3502)/($K$7*卓尔金历!$N$40),0),-卓尔金历!$M$43))+MIN(MAX(((B3503-B3502)/B3502)/($K$7*卓尔金历!$N$40),0),卓尔金历!$M$43),0),1)</f>
        <v>0.30438111716041488</v>
      </c>
      <c r="M3503" s="4">
        <f>MIN(MAX(M3502*(1+MAX(MIN(((B3503-B3502)/B3502)/($K$7*30),0),-卓尔金历!$M$43))+MIN(MAX(((B3503-B3502)/B3502)/($K$7*7),0),卓尔金历!$M$43),0),1)</f>
        <v>0.65224525105803199</v>
      </c>
      <c r="N3503">
        <f t="shared" si="493"/>
        <v>202638.10946708676</v>
      </c>
      <c r="O3503">
        <f t="shared" si="494"/>
        <v>590810.77554294805</v>
      </c>
      <c r="P3503">
        <f t="shared" si="495"/>
        <v>1.0323685827596479E-3</v>
      </c>
      <c r="Q3503">
        <f t="shared" si="496"/>
        <v>5.9166940514913287E-2</v>
      </c>
      <c r="R3503">
        <f t="shared" si="497"/>
        <v>1</v>
      </c>
      <c r="S3503">
        <f t="shared" si="489"/>
        <v>1182.4906625177339</v>
      </c>
      <c r="T3503" s="564">
        <f>IF((I3503-MAX(I$470:I3503))/MAX(I$470:I3503)&gt;T3502,T3502,(I3503-MAX(I$470:I3503))/MAX(I$470:I3503))</f>
        <v>-0.91338805338419748</v>
      </c>
      <c r="U3503" s="564">
        <f>IF((J3503-MAX(J$470:J3503))/MAX(J$470:J3503)&gt;U3502,U3502,(J3503-MAX(J$470:J3503))/MAX(J$470:J3503))</f>
        <v>-0.83569785939843477</v>
      </c>
      <c r="V3503" s="564">
        <f>IF((K3503-MAX(K$470:K3503))/MAX(K$470:K3503)&gt;V3502,V3502,(K3503-MAX(K$470:K3503))/MAX(K$470:K3503))</f>
        <v>-0.84885940676762139</v>
      </c>
      <c r="W3503" s="564">
        <f>IF((N3503-MAX(N$470:N3503))/MAX(N$470:N3503)&gt;W3502,W3502,(N3503-MAX(N$470:N3503))/MAX(N$470:N3503))</f>
        <v>-0.62788758315546067</v>
      </c>
      <c r="X3503" s="564">
        <f>IF((O3503-MAX(O$470:O3503))/MAX(O$470:O3503)&gt;X3502,X3502,(O3503-MAX(O$470:O3503))/MAX(O$470:O3503))</f>
        <v>-0.62788758315546067</v>
      </c>
    </row>
    <row r="3504" spans="1:24">
      <c r="A3504" s="799">
        <v>43906</v>
      </c>
      <c r="B3504">
        <v>5134.6039598428997</v>
      </c>
      <c r="C3504">
        <v>7436.5453010000001</v>
      </c>
      <c r="D3504">
        <v>0.90056000000000003</v>
      </c>
      <c r="E3504">
        <f>LN(D3504/参数实验室!$E$53)/参数实验室!$E$55</f>
        <v>-0.81653386365576208</v>
      </c>
      <c r="F3504">
        <f t="shared" si="488"/>
        <v>1.448319161353105</v>
      </c>
      <c r="G3504">
        <f>LN(F3504/参数实验室!$E$58)/参数实验室!$E$59</f>
        <v>3.8778469779233516E-3</v>
      </c>
      <c r="H3504" s="856">
        <f>INDEX(神经网络!$G$10:$BO$70,MATCH(ROUND(G3504*2,1)/2,神经网络!$E$10:$E$70,0),MATCH(ROUND(E3504*2,1)/2,神经网络!$G$8:$BO$8,0))</f>
        <v>-0.25488423112010189</v>
      </c>
      <c r="I3504">
        <f t="shared" si="490"/>
        <v>653450.71993024775</v>
      </c>
      <c r="J3504">
        <f t="shared" si="491"/>
        <v>2048.842408460514</v>
      </c>
      <c r="K3504">
        <f t="shared" si="492"/>
        <v>318.9365454521444</v>
      </c>
      <c r="L3504" s="4">
        <f>MIN(MAX(L3503*(1+MAX(MIN(((B3504-B3503)/B3503)/($K$7*卓尔金历!$N$40),0),-卓尔金历!$M$43))+MIN(MAX(((B3504-B3503)/B3503)/($K$7*卓尔金历!$N$40),0),卓尔金历!$M$43),0),1)</f>
        <v>0.11190610676177548</v>
      </c>
      <c r="M3504" s="4">
        <f>MIN(MAX(M3503*(1+MAX(MIN(((B3504-B3503)/B3503)/($K$7*30),0),-卓尔金历!$M$43))+MIN(MAX(((B3504-B3503)/B3503)/($K$7*7),0),卓尔金历!$M$43),0),1)</f>
        <v>0.44602202563091831</v>
      </c>
      <c r="N3504">
        <f t="shared" si="493"/>
        <v>203555.24552308815</v>
      </c>
      <c r="O3504">
        <f t="shared" si="494"/>
        <v>596540.77088802308</v>
      </c>
      <c r="P3504">
        <f t="shared" si="495"/>
        <v>-4.1386677859725343E-2</v>
      </c>
      <c r="Q3504">
        <f t="shared" si="496"/>
        <v>5.9177432531336754E-2</v>
      </c>
      <c r="R3504">
        <f t="shared" si="497"/>
        <v>0.43790515126346063</v>
      </c>
      <c r="S3504">
        <f t="shared" si="489"/>
        <v>1200.0736495518793</v>
      </c>
      <c r="T3504" s="564">
        <f>IF((I3504-MAX(I$470:I3504))/MAX(I$470:I3504)&gt;T3503,T3503,(I3504-MAX(I$470:I3504))/MAX(I$470:I3504))</f>
        <v>-0.91338805338419748</v>
      </c>
      <c r="U3504" s="564">
        <f>IF((J3504-MAX(J$470:J3504))/MAX(J$470:J3504)&gt;U3503,U3503,(J3504-MAX(J$470:J3504))/MAX(J$470:J3504))</f>
        <v>-0.83569785939843477</v>
      </c>
      <c r="V3504" s="564">
        <f>IF((K3504-MAX(K$470:K3504))/MAX(K$470:K3504)&gt;V3503,V3503,(K3504-MAX(K$470:K3504))/MAX(K$470:K3504))</f>
        <v>-0.84885940676762139</v>
      </c>
      <c r="W3504" s="564">
        <f>IF((N3504-MAX(N$470:N3504))/MAX(N$470:N3504)&gt;W3503,W3503,(N3504-MAX(N$470:N3504))/MAX(N$470:N3504))</f>
        <v>-0.62788758315546067</v>
      </c>
      <c r="X3504" s="564">
        <f>IF((O3504-MAX(O$470:O3504))/MAX(O$470:O3504)&gt;X3503,X3503,(O3504-MAX(O$470:O3504))/MAX(O$470:O3504))</f>
        <v>-0.62788758315546067</v>
      </c>
    </row>
    <row r="3505" spans="1:24">
      <c r="A3505" s="799">
        <v>43907</v>
      </c>
      <c r="B3505">
        <v>5271.8736575410003</v>
      </c>
      <c r="C3505">
        <v>7536.9277910000001</v>
      </c>
      <c r="D3505">
        <v>0.97465599999999997</v>
      </c>
      <c r="E3505">
        <f>LN(D3505/参数实验室!$E$53)/参数实验室!$E$55</f>
        <v>-0.72325337461551431</v>
      </c>
      <c r="F3505">
        <f t="shared" si="488"/>
        <v>1.4296487891395155</v>
      </c>
      <c r="G3505">
        <f>LN(F3505/参数实验室!$E$58)/参数实验室!$E$59</f>
        <v>-2.9320675055159689E-3</v>
      </c>
      <c r="H3505" s="856">
        <f>INDEX(神经网络!$G$10:$BO$70,MATCH(ROUND(G3505*2,1)/2,神经网络!$E$10:$E$70,0),MATCH(ROUND(E3505*2,1)/2,神经网络!$G$8:$BO$8,0))</f>
        <v>-0.29487647096998976</v>
      </c>
      <c r="I3505">
        <f t="shared" si="490"/>
        <v>648998.01891604543</v>
      </c>
      <c r="J3505">
        <f t="shared" si="491"/>
        <v>2103.6166384186563</v>
      </c>
      <c r="K3505">
        <f t="shared" si="492"/>
        <v>308.51534783634065</v>
      </c>
      <c r="L3505" s="4">
        <f>MIN(MAX(L3504*(1+MAX(MIN(((B3505-B3504)/B3504)/($K$7*卓尔金历!$N$40),0),-卓尔金历!$M$43))+MIN(MAX(((B3505-B3504)/B3504)/($K$7*卓尔金历!$N$40),0),卓尔金历!$M$43),0),1)</f>
        <v>0.52037952931889753</v>
      </c>
      <c r="M3505" s="4">
        <f>MIN(MAX(M3504*(1+MAX(MIN(((B3505-B3504)/B3504)/($K$7*30),0),-卓尔金历!$M$43))+MIN(MAX(((B3505-B3504)/B3504)/($K$7*7),0),卓尔金历!$M$43),0),1)</f>
        <v>1</v>
      </c>
      <c r="N3505">
        <f t="shared" si="493"/>
        <v>203400.02584480456</v>
      </c>
      <c r="O3505">
        <f t="shared" si="494"/>
        <v>594727.73195341043</v>
      </c>
      <c r="P3505">
        <f t="shared" si="495"/>
        <v>2.6734232819448169E-2</v>
      </c>
      <c r="Q3505">
        <f t="shared" si="496"/>
        <v>6.0290795812632164E-2</v>
      </c>
      <c r="R3505">
        <f t="shared" si="497"/>
        <v>0.92053714692420496</v>
      </c>
      <c r="S3505">
        <f t="shared" si="489"/>
        <v>1196.4926963317134</v>
      </c>
      <c r="T3505" s="564">
        <f>IF((I3505-MAX(I$470:I3505))/MAX(I$470:I3505)&gt;T3504,T3504,(I3505-MAX(I$470:I3505))/MAX(I$470:I3505))</f>
        <v>-0.91338805338419748</v>
      </c>
      <c r="U3505" s="564">
        <f>IF((J3505-MAX(J$470:J3505))/MAX(J$470:J3505)&gt;U3504,U3504,(J3505-MAX(J$470:J3505))/MAX(J$470:J3505))</f>
        <v>-0.83569785939843477</v>
      </c>
      <c r="V3505" s="564">
        <f>IF((K3505-MAX(K$470:K3505))/MAX(K$470:K3505)&gt;V3504,V3504,(K3505-MAX(K$470:K3505))/MAX(K$470:K3505))</f>
        <v>-0.84885940676762139</v>
      </c>
      <c r="W3505" s="564">
        <f>IF((N3505-MAX(N$470:N3505))/MAX(N$470:N3505)&gt;W3504,W3504,(N3505-MAX(N$470:N3505))/MAX(N$470:N3505))</f>
        <v>-0.62788758315546067</v>
      </c>
      <c r="X3505" s="564">
        <f>IF((O3505-MAX(O$470:O3505))/MAX(O$470:O3505)&gt;X3504,X3504,(O3505-MAX(O$470:O3505))/MAX(O$470:O3505))</f>
        <v>-0.62788758315546067</v>
      </c>
    </row>
    <row r="3506" spans="1:24">
      <c r="A3506" s="799">
        <v>43908</v>
      </c>
      <c r="B3506">
        <v>5313.7744149589998</v>
      </c>
      <c r="C3506">
        <v>7844.4349709999997</v>
      </c>
      <c r="D3506">
        <v>0.97098799999999996</v>
      </c>
      <c r="E3506">
        <f>LN(D3506/参数实验室!$E$53)/参数实验室!$E$55</f>
        <v>-0.72770160874829626</v>
      </c>
      <c r="F3506">
        <f t="shared" si="488"/>
        <v>1.4762453876319712</v>
      </c>
      <c r="G3506">
        <f>LN(F3506/参数实验室!$E$58)/参数实验室!$E$59</f>
        <v>1.390165601536773E-2</v>
      </c>
      <c r="H3506" s="856">
        <f>INDEX(神经网络!$G$10:$BO$70,MATCH(ROUND(G3506*2,1)/2,神经网络!$E$10:$E$70,0),MATCH(ROUND(E3506*2,1)/2,神经网络!$G$8:$BO$8,0))</f>
        <v>-0.28178409436167429</v>
      </c>
      <c r="I3506">
        <f t="shared" si="490"/>
        <v>647476.9798401891</v>
      </c>
      <c r="J3506">
        <f t="shared" si="491"/>
        <v>2120.3361457878755</v>
      </c>
      <c r="K3506">
        <f t="shared" si="492"/>
        <v>305.3652512251067</v>
      </c>
      <c r="L3506" s="4">
        <f>MIN(MAX(L3505*(1+MAX(MIN(((B3506-B3505)/B3505)/($K$7*卓尔金历!$N$40),0),-卓尔金历!$M$43))+MIN(MAX(((B3506-B3505)/B3505)/($K$7*卓尔金历!$N$40),0),卓尔金历!$M$43),0),1)</f>
        <v>0.64181706856689158</v>
      </c>
      <c r="M3506" s="4">
        <f>MIN(MAX(M3505*(1+MAX(MIN(((B3506-B3505)/B3505)/($K$7*30),0),-卓尔金历!$M$43))+MIN(MAX(((B3506-B3505)/B3505)/($K$7*7),0),卓尔金历!$M$43),0),1)</f>
        <v>1</v>
      </c>
      <c r="N3506">
        <f t="shared" si="493"/>
        <v>203151.95929410242</v>
      </c>
      <c r="O3506">
        <f t="shared" si="494"/>
        <v>593333.88467894972</v>
      </c>
      <c r="P3506">
        <f t="shared" si="495"/>
        <v>7.9479820913507335E-3</v>
      </c>
      <c r="Q3506">
        <f t="shared" si="496"/>
        <v>6.0559046147832717E-2</v>
      </c>
      <c r="R3506">
        <f t="shared" si="497"/>
        <v>1</v>
      </c>
      <c r="S3506">
        <f t="shared" si="489"/>
        <v>1193.9113375526856</v>
      </c>
      <c r="T3506" s="564">
        <f>IF((I3506-MAX(I$470:I3506))/MAX(I$470:I3506)&gt;T3505,T3505,(I3506-MAX(I$470:I3506))/MAX(I$470:I3506))</f>
        <v>-0.91338805338419748</v>
      </c>
      <c r="U3506" s="564">
        <f>IF((J3506-MAX(J$470:J3506))/MAX(J$470:J3506)&gt;U3505,U3505,(J3506-MAX(J$470:J3506))/MAX(J$470:J3506))</f>
        <v>-0.83569785939843477</v>
      </c>
      <c r="V3506" s="564">
        <f>IF((K3506-MAX(K$470:K3506))/MAX(K$470:K3506)&gt;V3505,V3505,(K3506-MAX(K$470:K3506))/MAX(K$470:K3506))</f>
        <v>-0.84885940676762139</v>
      </c>
      <c r="W3506" s="564">
        <f>IF((N3506-MAX(N$470:N3506))/MAX(N$470:N3506)&gt;W3505,W3505,(N3506-MAX(N$470:N3506))/MAX(N$470:N3506))</f>
        <v>-0.62788758315546067</v>
      </c>
      <c r="X3506" s="564">
        <f>IF((O3506-MAX(O$470:O3506))/MAX(O$470:O3506)&gt;X3505,X3505,(O3506-MAX(O$470:O3506))/MAX(O$470:O3506))</f>
        <v>-0.62788758315546067</v>
      </c>
    </row>
    <row r="3507" spans="1:24">
      <c r="A3507" s="799">
        <v>43909</v>
      </c>
      <c r="B3507">
        <v>5849.4902513816996</v>
      </c>
      <c r="C3507">
        <v>8088.0961889999999</v>
      </c>
      <c r="D3507">
        <v>1.116125</v>
      </c>
      <c r="E3507">
        <f>LN(D3507/参数实验室!$E$53)/参数实验室!$E$55</f>
        <v>-0.56335722271970379</v>
      </c>
      <c r="F3507">
        <f t="shared" si="488"/>
        <v>1.3827010288784605</v>
      </c>
      <c r="G3507">
        <f>LN(F3507/参数实验室!$E$58)/参数实验室!$E$59</f>
        <v>-2.0456922267690105E-2</v>
      </c>
      <c r="H3507" s="856">
        <f>INDEX(神经网络!$G$10:$BO$70,MATCH(ROUND(G3507*2,1)/2,神经网络!$E$10:$E$70,0),MATCH(ROUND(E3507*2,1)/2,神经网络!$G$8:$BO$8,0))</f>
        <v>-0.25226645536721976</v>
      </c>
      <c r="I3507">
        <f t="shared" si="490"/>
        <v>629083.14939163299</v>
      </c>
      <c r="J3507">
        <f t="shared" si="491"/>
        <v>2334.1008943704137</v>
      </c>
      <c r="K3507">
        <f t="shared" si="492"/>
        <v>269.51840467089926</v>
      </c>
      <c r="L3507" s="4">
        <f>MIN(MAX(L3506*(1+MAX(MIN(((B3507-B3506)/B3506)/($K$7*卓尔金历!$N$40),0),-卓尔金历!$M$43))+MIN(MAX(((B3507-B3506)/B3506)/($K$7*卓尔金历!$N$40),0),卓尔金历!$M$43),0),1)</f>
        <v>1</v>
      </c>
      <c r="M3507" s="4">
        <f>MIN(MAX(M3506*(1+MAX(MIN(((B3507-B3506)/B3506)/($K$7*30),0),-卓尔金历!$M$43))+MIN(MAX(((B3507-B3506)/B3506)/($K$7*7),0),卓尔金历!$M$43),0),1)</f>
        <v>1</v>
      </c>
      <c r="N3507">
        <f t="shared" si="493"/>
        <v>199447.88128534402</v>
      </c>
      <c r="O3507">
        <f t="shared" si="494"/>
        <v>576478.17673260474</v>
      </c>
      <c r="P3507">
        <f t="shared" si="495"/>
        <v>0.10081644318859051</v>
      </c>
      <c r="Q3507">
        <f t="shared" si="496"/>
        <v>6.6034905184555667E-2</v>
      </c>
      <c r="R3507">
        <f t="shared" si="497"/>
        <v>3.4935423626792368E-2</v>
      </c>
      <c r="S3507">
        <f t="shared" si="489"/>
        <v>1159.9941429692221</v>
      </c>
      <c r="T3507" s="564">
        <f>IF((I3507-MAX(I$470:I3507))/MAX(I$470:I3507)&gt;T3506,T3506,(I3507-MAX(I$470:I3507))/MAX(I$470:I3507))</f>
        <v>-0.91338805338419748</v>
      </c>
      <c r="U3507" s="564">
        <f>IF((J3507-MAX(J$470:J3507))/MAX(J$470:J3507)&gt;U3506,U3506,(J3507-MAX(J$470:J3507))/MAX(J$470:J3507))</f>
        <v>-0.83569785939843477</v>
      </c>
      <c r="V3507" s="564">
        <f>IF((K3507-MAX(K$470:K3507))/MAX(K$470:K3507)&gt;V3506,V3506,(K3507-MAX(K$470:K3507))/MAX(K$470:K3507))</f>
        <v>-0.84885940676762139</v>
      </c>
      <c r="W3507" s="564">
        <f>IF((N3507-MAX(N$470:N3507))/MAX(N$470:N3507)&gt;W3506,W3506,(N3507-MAX(N$470:N3507))/MAX(N$470:N3507))</f>
        <v>-0.62788758315546067</v>
      </c>
      <c r="X3507" s="564">
        <f>IF((O3507-MAX(O$470:O3507))/MAX(O$470:O3507)&gt;X3506,X3506,(O3507-MAX(O$470:O3507))/MAX(O$470:O3507))</f>
        <v>-0.62788758315546067</v>
      </c>
    </row>
    <row r="3508" spans="1:24">
      <c r="A3508" s="799">
        <v>43910</v>
      </c>
      <c r="B3508">
        <v>6583.0316953989004</v>
      </c>
      <c r="C3508">
        <v>8276.5157180000006</v>
      </c>
      <c r="D3508">
        <v>1.112754</v>
      </c>
      <c r="E3508">
        <f>LN(D3508/参数实验室!$E$53)/参数实验室!$E$55</f>
        <v>-0.56692578899695956</v>
      </c>
      <c r="F3508">
        <f t="shared" si="488"/>
        <v>1.2572498661649665</v>
      </c>
      <c r="G3508">
        <f>LN(F3508/参数实验室!$E$58)/参数实验室!$E$59</f>
        <v>-7.0376926037411622E-2</v>
      </c>
      <c r="H3508" s="856">
        <f>INDEX(神经网络!$G$10:$BO$70,MATCH(ROUND(G3508*2,1)/2,神经网络!$E$10:$E$70,0),MATCH(ROUND(E3508*2,1)/2,神经网络!$G$8:$BO$8,0))</f>
        <v>-0.33449656962510349</v>
      </c>
      <c r="I3508">
        <f t="shared" si="490"/>
        <v>609182.1818398746</v>
      </c>
      <c r="J3508">
        <f t="shared" si="491"/>
        <v>2626.8032781608449</v>
      </c>
      <c r="K3508">
        <f t="shared" si="492"/>
        <v>231.91008892999145</v>
      </c>
      <c r="L3508" s="4">
        <f>MIN(MAX(L3507*(1+MAX(MIN(((B3508-B3507)/B3507)/($K$7*卓尔金历!$N$40),0),-卓尔金历!$M$43))+MIN(MAX(((B3508-B3507)/B3507)/($K$7*卓尔金历!$N$40),0),卓尔金历!$M$43),0),1)</f>
        <v>1</v>
      </c>
      <c r="M3508" s="4">
        <f>MIN(MAX(M3507*(1+MAX(MIN(((B3508-B3507)/B3507)/($K$7*30),0),-卓尔金历!$M$43))+MIN(MAX(((B3508-B3507)/B3507)/($K$7*7),0),卓尔金历!$M$43),0),1)</f>
        <v>1</v>
      </c>
      <c r="N3508">
        <f t="shared" si="493"/>
        <v>193138.3722521342</v>
      </c>
      <c r="O3508">
        <f t="shared" si="494"/>
        <v>558241.3609785235</v>
      </c>
      <c r="P3508">
        <f t="shared" si="495"/>
        <v>0.12540262698000598</v>
      </c>
      <c r="Q3508">
        <f t="shared" si="496"/>
        <v>7.2629402144251565E-2</v>
      </c>
      <c r="R3508">
        <f t="shared" si="497"/>
        <v>2.9969297961860902E-2</v>
      </c>
      <c r="S3508">
        <f t="shared" si="489"/>
        <v>1158.7121431925455</v>
      </c>
      <c r="T3508" s="564">
        <f>IF((I3508-MAX(I$470:I3508))/MAX(I$470:I3508)&gt;T3507,T3507,(I3508-MAX(I$470:I3508))/MAX(I$470:I3508))</f>
        <v>-0.91338805338419748</v>
      </c>
      <c r="U3508" s="564">
        <f>IF((J3508-MAX(J$470:J3508))/MAX(J$470:J3508)&gt;U3507,U3507,(J3508-MAX(J$470:J3508))/MAX(J$470:J3508))</f>
        <v>-0.83569785939843477</v>
      </c>
      <c r="V3508" s="564">
        <f>IF((K3508-MAX(K$470:K3508))/MAX(K$470:K3508)&gt;V3507,V3507,(K3508-MAX(K$470:K3508))/MAX(K$470:K3508))</f>
        <v>-0.84885940676762139</v>
      </c>
      <c r="W3508" s="564">
        <f>IF((N3508-MAX(N$470:N3508))/MAX(N$470:N3508)&gt;W3507,W3507,(N3508-MAX(N$470:N3508))/MAX(N$470:N3508))</f>
        <v>-0.62788758315546067</v>
      </c>
      <c r="X3508" s="564">
        <f>IF((O3508-MAX(O$470:O3508))/MAX(O$470:O3508)&gt;X3507,X3507,(O3508-MAX(O$470:O3508))/MAX(O$470:O3508))</f>
        <v>-0.62788758315546067</v>
      </c>
    </row>
    <row r="3509" spans="1:24">
      <c r="A3509" s="799">
        <v>43911</v>
      </c>
      <c r="B3509">
        <v>6208.0379970056001</v>
      </c>
      <c r="C3509">
        <v>8290.5925580000003</v>
      </c>
      <c r="D3509">
        <v>1.113178</v>
      </c>
      <c r="E3509">
        <f>LN(D3509/参数实验室!$E$53)/参数实验室!$E$55</f>
        <v>-0.56647634545466441</v>
      </c>
      <c r="F3509">
        <f t="shared" si="488"/>
        <v>1.3354609881574346</v>
      </c>
      <c r="G3509">
        <f>LN(F3509/参数实验室!$E$58)/参数实验室!$E$59</f>
        <v>-3.8702062158876969E-2</v>
      </c>
      <c r="H3509" s="856">
        <f>INDEX(神经网络!$G$10:$BO$70,MATCH(ROUND(G3509*2,1)/2,神经网络!$E$10:$E$70,0),MATCH(ROUND(E3509*2,1)/2,神经网络!$G$8:$BO$8,0))</f>
        <v>-0.33449656962510349</v>
      </c>
      <c r="I3509">
        <f t="shared" si="490"/>
        <v>620789.63350495172</v>
      </c>
      <c r="J3509">
        <f t="shared" si="491"/>
        <v>2477.170901801841</v>
      </c>
      <c r="K3509">
        <f t="shared" si="492"/>
        <v>250.60428130065739</v>
      </c>
      <c r="L3509" s="4">
        <f>MIN(MAX(L3508*(1+MAX(MIN(((B3509-B3508)/B3508)/($K$7*卓尔金历!$N$40),0),-卓尔金历!$M$43))+MIN(MAX(((B3509-B3508)/B3508)/($K$7*卓尔金历!$N$40),0),卓尔金历!$M$43),0),1)</f>
        <v>0.12964966264376188</v>
      </c>
      <c r="M3509" s="4">
        <f>MIN(MAX(M3508*(1+MAX(MIN(((B3509-B3508)/B3508)/($K$7*30),0),-卓尔金历!$M$43))+MIN(MAX(((B3509-B3508)/B3508)/($K$7*7),0),卓尔金历!$M$43),0),1)</f>
        <v>0.56482483132188088</v>
      </c>
      <c r="N3509">
        <f t="shared" si="493"/>
        <v>196818.4607173244</v>
      </c>
      <c r="O3509">
        <f t="shared" si="494"/>
        <v>568878.1783513407</v>
      </c>
      <c r="P3509">
        <f t="shared" si="495"/>
        <v>-5.6963678096126416E-2</v>
      </c>
      <c r="Q3509">
        <f t="shared" si="496"/>
        <v>7.3269890408866056E-2</v>
      </c>
      <c r="R3509">
        <f t="shared" si="497"/>
        <v>0.34264874520359245</v>
      </c>
      <c r="S3509">
        <f t="shared" si="489"/>
        <v>1159.3738137647265</v>
      </c>
      <c r="T3509" s="564">
        <f>IF((I3509-MAX(I$470:I3509))/MAX(I$470:I3509)&gt;T3508,T3508,(I3509-MAX(I$470:I3509))/MAX(I$470:I3509))</f>
        <v>-0.91338805338419748</v>
      </c>
      <c r="U3509" s="564">
        <f>IF((J3509-MAX(J$470:J3509))/MAX(J$470:J3509)&gt;U3508,U3508,(J3509-MAX(J$470:J3509))/MAX(J$470:J3509))</f>
        <v>-0.83569785939843477</v>
      </c>
      <c r="V3509" s="564">
        <f>IF((K3509-MAX(K$470:K3509))/MAX(K$470:K3509)&gt;V3508,V3508,(K3509-MAX(K$470:K3509))/MAX(K$470:K3509))</f>
        <v>-0.84885940676762139</v>
      </c>
      <c r="W3509" s="564">
        <f>IF((N3509-MAX(N$470:N3509))/MAX(N$470:N3509)&gt;W3508,W3508,(N3509-MAX(N$470:N3509))/MAX(N$470:N3509))</f>
        <v>-0.62788758315546067</v>
      </c>
      <c r="X3509" s="564">
        <f>IF((O3509-MAX(O$470:O3509))/MAX(O$470:O3509)&gt;X3508,X3508,(O3509-MAX(O$470:O3509))/MAX(O$470:O3509))</f>
        <v>-0.62788758315546067</v>
      </c>
    </row>
    <row r="3510" spans="1:24">
      <c r="A3510" s="799">
        <v>43912</v>
      </c>
      <c r="B3510">
        <v>6073.7948716774999</v>
      </c>
      <c r="C3510">
        <v>8455.1250230000005</v>
      </c>
      <c r="D3510">
        <v>1.0512060000000001</v>
      </c>
      <c r="E3510">
        <f>LN(D3510/参数实验室!$E$53)/参数实验室!$E$55</f>
        <v>-0.63405368618266711</v>
      </c>
      <c r="F3510">
        <f t="shared" si="488"/>
        <v>1.3920662784360396</v>
      </c>
      <c r="G3510">
        <f>LN(F3510/参数实验室!$E$58)/参数实验室!$E$59</f>
        <v>-1.6913988958157714E-2</v>
      </c>
      <c r="H3510" s="856">
        <f>INDEX(神经网络!$G$10:$BO$70,MATCH(ROUND(G3510*2,1)/2,神经网络!$E$10:$E$70,0),MATCH(ROUND(E3510*2,1)/2,神经网络!$G$8:$BO$8,0))</f>
        <v>-0.29351875486040024</v>
      </c>
      <c r="I3510">
        <f t="shared" si="490"/>
        <v>625279.9175300895</v>
      </c>
      <c r="J3510">
        <f t="shared" si="491"/>
        <v>2423.6043540471223</v>
      </c>
      <c r="K3510">
        <f t="shared" si="492"/>
        <v>257.99587151506336</v>
      </c>
      <c r="L3510" s="4">
        <f>MIN(MAX(L3509*(1+MAX(MIN(((B3510-B3509)/B3509)/($K$7*卓尔金历!$N$40),0),-卓尔金历!$M$43))+MIN(MAX(((B3510-B3509)/B3509)/($K$7*卓尔金历!$N$40),0),卓尔金历!$M$43),0),1)</f>
        <v>8.6814032751229578E-2</v>
      </c>
      <c r="M3510" s="4">
        <f>MIN(MAX(M3509*(1+MAX(MIN(((B3510-B3509)/B3509)/($K$7*30),0),-卓尔金历!$M$43))+MIN(MAX(((B3510-B3509)/B3509)/($K$7*7),0),卓尔金历!$M$43),0),1)</f>
        <v>0.47151711676540103</v>
      </c>
      <c r="N3510">
        <f t="shared" si="493"/>
        <v>197003.03304037114</v>
      </c>
      <c r="O3510">
        <f t="shared" si="494"/>
        <v>571202.31903277722</v>
      </c>
      <c r="P3510">
        <f t="shared" si="495"/>
        <v>-2.1624082422313028E-2</v>
      </c>
      <c r="Q3510">
        <f t="shared" si="496"/>
        <v>7.3279062014039498E-2</v>
      </c>
      <c r="R3510">
        <f t="shared" si="497"/>
        <v>1</v>
      </c>
      <c r="S3510">
        <f t="shared" si="489"/>
        <v>1162.2472528114527</v>
      </c>
      <c r="T3510" s="564">
        <f>IF((I3510-MAX(I$470:I3510))/MAX(I$470:I3510)&gt;T3509,T3509,(I3510-MAX(I$470:I3510))/MAX(I$470:I3510))</f>
        <v>-0.91338805338419748</v>
      </c>
      <c r="U3510" s="564">
        <f>IF((J3510-MAX(J$470:J3510))/MAX(J$470:J3510)&gt;U3509,U3509,(J3510-MAX(J$470:J3510))/MAX(J$470:J3510))</f>
        <v>-0.83569785939843477</v>
      </c>
      <c r="V3510" s="564">
        <f>IF((K3510-MAX(K$470:K3510))/MAX(K$470:K3510)&gt;V3509,V3509,(K3510-MAX(K$470:K3510))/MAX(K$470:K3510))</f>
        <v>-0.84885940676762139</v>
      </c>
      <c r="W3510" s="564">
        <f>IF((N3510-MAX(N$470:N3510))/MAX(N$470:N3510)&gt;W3509,W3509,(N3510-MAX(N$470:N3510))/MAX(N$470:N3510))</f>
        <v>-0.62788758315546067</v>
      </c>
      <c r="X3510" s="564">
        <f>IF((O3510-MAX(O$470:O3510))/MAX(O$470:O3510)&gt;X3509,X3509,(O3510-MAX(O$470:O3510))/MAX(O$470:O3510))</f>
        <v>-0.62788758315546067</v>
      </c>
    </row>
    <row r="3511" spans="1:24">
      <c r="A3511" s="799">
        <v>43913</v>
      </c>
      <c r="B3511">
        <v>6213.8646825264996</v>
      </c>
      <c r="C3511">
        <v>8680.2151439999998</v>
      </c>
      <c r="D3511">
        <v>1.16909</v>
      </c>
      <c r="E3511">
        <f>LN(D3511/参数实验室!$E$53)/参数实验室!$E$55</f>
        <v>-0.50866055483125994</v>
      </c>
      <c r="F3511">
        <f t="shared" si="488"/>
        <v>1.3969108739057228</v>
      </c>
      <c r="G3511">
        <f>LN(F3511/参数实验室!$E$58)/参数实验室!$E$59</f>
        <v>-1.5090590674213226E-2</v>
      </c>
      <c r="H3511" s="856">
        <f>INDEX(神经网络!$G$10:$BO$70,MATCH(ROUND(G3511*2,1)/2,神经网络!$E$10:$E$70,0),MATCH(ROUND(E3511*2,1)/2,神经网络!$G$8:$BO$8,0))</f>
        <v>-0.21501812845740756</v>
      </c>
      <c r="I3511">
        <f t="shared" si="490"/>
        <v>621047.43905142078</v>
      </c>
      <c r="J3511">
        <f t="shared" si="491"/>
        <v>2479.4959030072596</v>
      </c>
      <c r="K3511">
        <f t="shared" si="492"/>
        <v>250.47326688387855</v>
      </c>
      <c r="L3511" s="4">
        <f>MIN(MAX(L3510*(1+MAX(MIN(((B3511-B3510)/B3510)/($K$7*卓尔金历!$N$40),0),-卓尔金历!$M$43))+MIN(MAX(((B3511-B3510)/B3510)/($K$7*卓尔金历!$N$40),0),卓尔金历!$M$43),0),1)</f>
        <v>0.43916908260813486</v>
      </c>
      <c r="M3511" s="4">
        <f>MIN(MAX(M3510*(1+MAX(MIN(((B3511-B3510)/B3510)/($K$7*30),0),-卓尔金历!$M$43))+MIN(MAX(((B3511-B3510)/B3510)/($K$7*7),0),卓尔金历!$M$43),0),1)</f>
        <v>1</v>
      </c>
      <c r="N3511">
        <f t="shared" si="493"/>
        <v>196887.26648222032</v>
      </c>
      <c r="O3511">
        <f t="shared" si="494"/>
        <v>569379.23073694296</v>
      </c>
      <c r="P3511">
        <f t="shared" si="495"/>
        <v>2.3061333780328052E-2</v>
      </c>
      <c r="Q3511">
        <f t="shared" si="496"/>
        <v>7.3275099153953277E-2</v>
      </c>
      <c r="R3511">
        <f t="shared" si="497"/>
        <v>1</v>
      </c>
      <c r="S3511">
        <f t="shared" si="489"/>
        <v>1154.3800778926618</v>
      </c>
      <c r="T3511" s="564">
        <f>IF((I3511-MAX(I$470:I3511))/MAX(I$470:I3511)&gt;T3510,T3510,(I3511-MAX(I$470:I3511))/MAX(I$470:I3511))</f>
        <v>-0.91338805338419748</v>
      </c>
      <c r="U3511" s="564">
        <f>IF((J3511-MAX(J$470:J3511))/MAX(J$470:J3511)&gt;U3510,U3510,(J3511-MAX(J$470:J3511))/MAX(J$470:J3511))</f>
        <v>-0.83569785939843477</v>
      </c>
      <c r="V3511" s="564">
        <f>IF((K3511-MAX(K$470:K3511))/MAX(K$470:K3511)&gt;V3510,V3510,(K3511-MAX(K$470:K3511))/MAX(K$470:K3511))</f>
        <v>-0.84885940676762139</v>
      </c>
      <c r="W3511" s="564">
        <f>IF((N3511-MAX(N$470:N3511))/MAX(N$470:N3511)&gt;W3510,W3510,(N3511-MAX(N$470:N3511))/MAX(N$470:N3511))</f>
        <v>-0.62788758315546067</v>
      </c>
      <c r="X3511" s="564">
        <f>IF((O3511-MAX(O$470:O3511))/MAX(O$470:O3511)&gt;X3510,X3510,(O3511-MAX(O$470:O3511))/MAX(O$470:O3511))</f>
        <v>-0.62788758315546067</v>
      </c>
    </row>
    <row r="3512" spans="1:24">
      <c r="A3512" s="799">
        <v>43914</v>
      </c>
      <c r="B3512">
        <v>6547.2877869054</v>
      </c>
      <c r="C3512">
        <v>8746.0630870000005</v>
      </c>
      <c r="D3512">
        <v>1.2190240000000001</v>
      </c>
      <c r="E3512">
        <f>LN(D3512/参数实验室!$E$53)/参数实验室!$E$55</f>
        <v>-0.45931752857116942</v>
      </c>
      <c r="F3512">
        <f t="shared" si="488"/>
        <v>1.3358299454152847</v>
      </c>
      <c r="G3512">
        <f>LN(F3512/参数实验室!$E$58)/参数实验室!$E$59</f>
        <v>-3.8557077045271768E-2</v>
      </c>
      <c r="H3512" s="856">
        <f>INDEX(神经网络!$G$10:$BO$70,MATCH(ROUND(G3512*2,1)/2,神经网络!$E$10:$E$70,0),MATCH(ROUND(E3512*2,1)/2,神经网络!$G$8:$BO$8,0))</f>
        <v>-0.26259475049172853</v>
      </c>
      <c r="I3512">
        <f t="shared" si="490"/>
        <v>613882.14938737405</v>
      </c>
      <c r="J3512">
        <f t="shared" si="491"/>
        <v>2612.540515903353</v>
      </c>
      <c r="K3512">
        <f t="shared" si="492"/>
        <v>234.97516905497963</v>
      </c>
      <c r="L3512" s="4">
        <f>MIN(MAX(L3511*(1+MAX(MIN(((B3512-B3511)/B3511)/($K$7*卓尔金历!$N$40),0),-卓尔金历!$M$43))+MIN(MAX(((B3512-B3511)/B3511)/($K$7*卓尔金历!$N$40),0),卓尔金历!$M$43),0),1)</f>
        <v>1</v>
      </c>
      <c r="M3512" s="4">
        <f>MIN(MAX(M3511*(1+MAX(MIN(((B3512-B3511)/B3511)/($K$7*30),0),-卓尔金历!$M$43))+MIN(MAX(((B3512-B3511)/B3511)/($K$7*7),0),卓尔金历!$M$43),0),1)</f>
        <v>1</v>
      </c>
      <c r="N3512">
        <f t="shared" si="493"/>
        <v>195889.66206299944</v>
      </c>
      <c r="O3512">
        <f t="shared" si="494"/>
        <v>562810.05926889263</v>
      </c>
      <c r="P3512">
        <f t="shared" si="495"/>
        <v>5.3657928103341593E-2</v>
      </c>
      <c r="Q3512">
        <f t="shared" si="496"/>
        <v>7.465960332700361E-2</v>
      </c>
      <c r="R3512">
        <f t="shared" si="497"/>
        <v>0.42778851958736908</v>
      </c>
      <c r="S3512">
        <f t="shared" si="489"/>
        <v>1141.0615016931697</v>
      </c>
      <c r="T3512" s="564">
        <f>IF((I3512-MAX(I$470:I3512))/MAX(I$470:I3512)&gt;T3511,T3511,(I3512-MAX(I$470:I3512))/MAX(I$470:I3512))</f>
        <v>-0.91338805338419748</v>
      </c>
      <c r="U3512" s="564">
        <f>IF((J3512-MAX(J$470:J3512))/MAX(J$470:J3512)&gt;U3511,U3511,(J3512-MAX(J$470:J3512))/MAX(J$470:J3512))</f>
        <v>-0.83569785939843477</v>
      </c>
      <c r="V3512" s="564">
        <f>IF((K3512-MAX(K$470:K3512))/MAX(K$470:K3512)&gt;V3511,V3511,(K3512-MAX(K$470:K3512))/MAX(K$470:K3512))</f>
        <v>-0.84885940676762139</v>
      </c>
      <c r="W3512" s="564">
        <f>IF((N3512-MAX(N$470:N3512))/MAX(N$470:N3512)&gt;W3511,W3511,(N3512-MAX(N$470:N3512))/MAX(N$470:N3512))</f>
        <v>-0.62788758315546067</v>
      </c>
      <c r="X3512" s="564">
        <f>IF((O3512-MAX(O$470:O3512))/MAX(O$470:O3512)&gt;X3511,X3511,(O3512-MAX(O$470:O3512))/MAX(O$470:O3512))</f>
        <v>-0.62788758315546067</v>
      </c>
    </row>
    <row r="3513" spans="1:24">
      <c r="A3513" s="799">
        <v>43915</v>
      </c>
      <c r="B3513">
        <v>6643.2883296628997</v>
      </c>
      <c r="C3513">
        <v>9067.4218180000007</v>
      </c>
      <c r="D3513">
        <v>1.204059</v>
      </c>
      <c r="E3513">
        <f>LN(D3513/参数实验室!$E$53)/参数实验室!$E$55</f>
        <v>-0.47389006428197278</v>
      </c>
      <c r="F3513">
        <f t="shared" si="488"/>
        <v>1.3648996352473699</v>
      </c>
      <c r="G3513">
        <f>LN(F3513/参数实验室!$E$58)/参数实验室!$E$59</f>
        <v>-2.7257957275498977E-2</v>
      </c>
      <c r="H3513" s="856">
        <f>INDEX(神经网络!$G$10:$BO$70,MATCH(ROUND(G3513*2,1)/2,神经网络!$E$10:$E$70,0),MATCH(ROUND(E3513*2,1)/2,神经网络!$G$8:$BO$8,0))</f>
        <v>-0.26259475049172853</v>
      </c>
      <c r="I3513">
        <f t="shared" si="490"/>
        <v>611518.49865703017</v>
      </c>
      <c r="J3513">
        <f t="shared" si="491"/>
        <v>2650.8472645396801</v>
      </c>
      <c r="K3513">
        <f t="shared" si="492"/>
        <v>230.68794148848121</v>
      </c>
      <c r="L3513" s="4">
        <f>MIN(MAX(L3512*(1+MAX(MIN(((B3513-B3512)/B3512)/($K$7*卓尔金历!$N$40),0),-卓尔金历!$M$43))+MIN(MAX(((B3513-B3512)/B3512)/($K$7*卓尔金历!$N$40),0),卓尔金历!$M$43),0),1)</f>
        <v>1</v>
      </c>
      <c r="M3513" s="4">
        <f>MIN(MAX(M3512*(1+MAX(MIN(((B3513-B3512)/B3512)/($K$7*30),0),-卓尔金历!$M$43))+MIN(MAX(((B3513-B3512)/B3512)/($K$7*7),0),卓尔金历!$M$43),0),1)</f>
        <v>1</v>
      </c>
      <c r="N3513">
        <f t="shared" si="493"/>
        <v>195135.42162244566</v>
      </c>
      <c r="O3513">
        <f t="shared" si="494"/>
        <v>560643.05309521023</v>
      </c>
      <c r="P3513">
        <f t="shared" si="495"/>
        <v>1.4662642896116643E-2</v>
      </c>
      <c r="Q3513">
        <f t="shared" si="496"/>
        <v>7.479232952961766E-2</v>
      </c>
      <c r="R3513">
        <f t="shared" si="497"/>
        <v>1</v>
      </c>
      <c r="S3513">
        <f t="shared" si="489"/>
        <v>1139.1820270283922</v>
      </c>
      <c r="T3513" s="564">
        <f>IF((I3513-MAX(I$470:I3513))/MAX(I$470:I3513)&gt;T3512,T3512,(I3513-MAX(I$470:I3513))/MAX(I$470:I3513))</f>
        <v>-0.91338805338419748</v>
      </c>
      <c r="U3513" s="564">
        <f>IF((J3513-MAX(J$470:J3513))/MAX(J$470:J3513)&gt;U3512,U3512,(J3513-MAX(J$470:J3513))/MAX(J$470:J3513))</f>
        <v>-0.83569785939843477</v>
      </c>
      <c r="V3513" s="564">
        <f>IF((K3513-MAX(K$470:K3513))/MAX(K$470:K3513)&gt;V3512,V3512,(K3513-MAX(K$470:K3513))/MAX(K$470:K3513))</f>
        <v>-0.84885940676762139</v>
      </c>
      <c r="W3513" s="564">
        <f>IF((N3513-MAX(N$470:N3513))/MAX(N$470:N3513)&gt;W3512,W3512,(N3513-MAX(N$470:N3513))/MAX(N$470:N3513))</f>
        <v>-0.62788758315546067</v>
      </c>
      <c r="X3513" s="564">
        <f>IF((O3513-MAX(O$470:O3513))/MAX(O$470:O3513)&gt;X3512,X3512,(O3513-MAX(O$470:O3513))/MAX(O$470:O3513))</f>
        <v>-0.62788758315546067</v>
      </c>
    </row>
    <row r="3514" spans="1:24">
      <c r="A3514" s="799">
        <v>43916</v>
      </c>
      <c r="B3514">
        <v>6595.1423494402998</v>
      </c>
      <c r="C3514">
        <v>8964.4819590000006</v>
      </c>
      <c r="D3514">
        <v>1.2153910000000001</v>
      </c>
      <c r="E3514">
        <f>LN(D3514/参数实验室!$E$53)/参数实验室!$E$55</f>
        <v>-0.46283874144340753</v>
      </c>
      <c r="F3514">
        <f t="shared" si="488"/>
        <v>1.359255264560101</v>
      </c>
      <c r="G3514">
        <f>LN(F3514/参数实验室!$E$58)/参数实验室!$E$59</f>
        <v>-2.94329253842835E-2</v>
      </c>
      <c r="H3514" s="856">
        <f>INDEX(神经网络!$G$10:$BO$70,MATCH(ROUND(G3514*2,1)/2,神经网络!$E$10:$E$70,0),MATCH(ROUND(E3514*2,1)/2,神经网络!$G$8:$BO$8,0))</f>
        <v>-0.26259475049172853</v>
      </c>
      <c r="I3514">
        <f t="shared" si="490"/>
        <v>612682.28316103609</v>
      </c>
      <c r="J3514">
        <f t="shared" si="491"/>
        <v>2631.635748549656</v>
      </c>
      <c r="K3514">
        <f t="shared" si="492"/>
        <v>232.81424243408185</v>
      </c>
      <c r="L3514" s="4">
        <f>MIN(MAX(L3513*(1+MAX(MIN(((B3514-B3513)/B3513)/($K$7*卓尔金历!$N$40),0),-卓尔金历!$M$43))+MIN(MAX(((B3514-B3513)/B3513)/($K$7*卓尔金历!$N$40),0),卓尔金历!$M$43),0),1)</f>
        <v>0.88926803428420087</v>
      </c>
      <c r="M3514" s="4">
        <f>MIN(MAX(M3513*(1+MAX(MIN(((B3514-B3513)/B3513)/($K$7*30),0),-卓尔金历!$M$43))+MIN(MAX(((B3514-B3513)/B3513)/($K$7*7),0),卓尔金历!$M$43),0),1)</f>
        <v>0.94463401714210049</v>
      </c>
      <c r="N3514">
        <f t="shared" si="493"/>
        <v>195506.78500779803</v>
      </c>
      <c r="O3514">
        <f t="shared" si="494"/>
        <v>561710.0162351703</v>
      </c>
      <c r="P3514">
        <f t="shared" si="495"/>
        <v>-7.2473115471480736E-3</v>
      </c>
      <c r="Q3514">
        <f t="shared" si="496"/>
        <v>7.4203663221456995E-2</v>
      </c>
      <c r="R3514">
        <f t="shared" si="497"/>
        <v>1</v>
      </c>
      <c r="S3514">
        <f t="shared" si="489"/>
        <v>1141.3500111420522</v>
      </c>
      <c r="T3514" s="564">
        <f>IF((I3514-MAX(I$470:I3514))/MAX(I$470:I3514)&gt;T3513,T3513,(I3514-MAX(I$470:I3514))/MAX(I$470:I3514))</f>
        <v>-0.91338805338419748</v>
      </c>
      <c r="U3514" s="564">
        <f>IF((J3514-MAX(J$470:J3514))/MAX(J$470:J3514)&gt;U3513,U3513,(J3514-MAX(J$470:J3514))/MAX(J$470:J3514))</f>
        <v>-0.83569785939843477</v>
      </c>
      <c r="V3514" s="564">
        <f>IF((K3514-MAX(K$470:K3514))/MAX(K$470:K3514)&gt;V3513,V3513,(K3514-MAX(K$470:K3514))/MAX(K$470:K3514))</f>
        <v>-0.84885940676762139</v>
      </c>
      <c r="W3514" s="564">
        <f>IF((N3514-MAX(N$470:N3514))/MAX(N$470:N3514)&gt;W3513,W3513,(N3514-MAX(N$470:N3514))/MAX(N$470:N3514))</f>
        <v>-0.62788758315546067</v>
      </c>
      <c r="X3514" s="564">
        <f>IF((O3514-MAX(O$470:O3514))/MAX(O$470:O3514)&gt;X3513,X3513,(O3514-MAX(O$470:O3514))/MAX(O$470:O3514))</f>
        <v>-0.62788758315546067</v>
      </c>
    </row>
    <row r="3515" spans="1:24">
      <c r="A3515" s="799">
        <v>43917</v>
      </c>
      <c r="B3515">
        <v>6636.2930413715003</v>
      </c>
      <c r="C3515">
        <v>8843.6135149999991</v>
      </c>
      <c r="D3515">
        <v>1.168733</v>
      </c>
      <c r="E3515">
        <f>LN(D3515/参数实验室!$E$53)/参数实验室!$E$55</f>
        <v>-0.50902086603648944</v>
      </c>
      <c r="F3515">
        <f t="shared" si="488"/>
        <v>1.3326134725919696</v>
      </c>
      <c r="G3515">
        <f>LN(F3515/参数实验室!$E$58)/参数实验室!$E$59</f>
        <v>-3.9822368692070509E-2</v>
      </c>
      <c r="H3515" s="856">
        <f>INDEX(神经网络!$G$10:$BO$70,MATCH(ROUND(G3515*2,1)/2,神经网络!$E$10:$E$70,0),MATCH(ROUND(E3515*2,1)/2,神经网络!$G$8:$BO$8,0))</f>
        <v>-0.29867672432117554</v>
      </c>
      <c r="I3515">
        <f t="shared" si="490"/>
        <v>611678.42043190706</v>
      </c>
      <c r="J3515">
        <f t="shared" si="491"/>
        <v>2648.055960006182</v>
      </c>
      <c r="K3515">
        <f t="shared" si="492"/>
        <v>230.99150081045835</v>
      </c>
      <c r="L3515" s="4">
        <f>MIN(MAX(L3514*(1+MAX(MIN(((B3515-B3514)/B3514)/($K$7*卓尔金历!$N$40),0),-卓尔金历!$M$43))+MIN(MAX(((B3515-B3514)/B3514)/($K$7*卓尔金历!$N$40),0),卓尔金历!$M$43),0),1)</f>
        <v>0.98460230457438991</v>
      </c>
      <c r="M3515" s="4">
        <f>MIN(MAX(M3514*(1+MAX(MIN(((B3515-B3514)/B3514)/($K$7*30),0),-卓尔金历!$M$43))+MIN(MAX(((B3515-B3514)/B3514)/($K$7*7),0),卓尔金历!$M$43),0),1)</f>
        <v>1</v>
      </c>
      <c r="N3515">
        <f t="shared" si="493"/>
        <v>195221.92366073874</v>
      </c>
      <c r="O3515">
        <f t="shared" si="494"/>
        <v>560840.62600151903</v>
      </c>
      <c r="P3515">
        <f t="shared" si="495"/>
        <v>6.2395456763253646E-3</v>
      </c>
      <c r="Q3515">
        <f t="shared" si="496"/>
        <v>7.4232447957962036E-2</v>
      </c>
      <c r="R3515">
        <f t="shared" si="497"/>
        <v>1</v>
      </c>
      <c r="S3515">
        <f t="shared" si="489"/>
        <v>1139.4799411750128</v>
      </c>
      <c r="T3515" s="564">
        <f>IF((I3515-MAX(I$470:I3515))/MAX(I$470:I3515)&gt;T3514,T3514,(I3515-MAX(I$470:I3515))/MAX(I$470:I3515))</f>
        <v>-0.91338805338419748</v>
      </c>
      <c r="U3515" s="564">
        <f>IF((J3515-MAX(J$470:J3515))/MAX(J$470:J3515)&gt;U3514,U3514,(J3515-MAX(J$470:J3515))/MAX(J$470:J3515))</f>
        <v>-0.83569785939843477</v>
      </c>
      <c r="V3515" s="564">
        <f>IF((K3515-MAX(K$470:K3515))/MAX(K$470:K3515)&gt;V3514,V3514,(K3515-MAX(K$470:K3515))/MAX(K$470:K3515))</f>
        <v>-0.84885940676762139</v>
      </c>
      <c r="W3515" s="564">
        <f>IF((N3515-MAX(N$470:N3515))/MAX(N$470:N3515)&gt;W3514,W3514,(N3515-MAX(N$470:N3515))/MAX(N$470:N3515))</f>
        <v>-0.62788758315546067</v>
      </c>
      <c r="X3515" s="564">
        <f>IF((O3515-MAX(O$470:O3515))/MAX(O$470:O3515)&gt;X3514,X3514,(O3515-MAX(O$470:O3515))/MAX(O$470:O3515))</f>
        <v>-0.62788758315546067</v>
      </c>
    </row>
    <row r="3516" spans="1:24">
      <c r="A3516" s="799">
        <v>43918</v>
      </c>
      <c r="B3516">
        <v>6236.0389258116002</v>
      </c>
      <c r="C3516">
        <v>8924.2000410000001</v>
      </c>
      <c r="D3516">
        <v>1.1227389999999999</v>
      </c>
      <c r="E3516">
        <f>LN(D3516/参数实验室!$E$53)/参数实验室!$E$55</f>
        <v>-0.55638680320805056</v>
      </c>
      <c r="F3516">
        <f t="shared" si="488"/>
        <v>1.4310686875384673</v>
      </c>
      <c r="G3516">
        <f>LN(F3516/参数实验室!$E$58)/参数实验室!$E$59</f>
        <v>-2.4110517234761197E-3</v>
      </c>
      <c r="H3516" s="856">
        <f>INDEX(神经网络!$G$10:$BO$70,MATCH(ROUND(G3516*2,1)/2,神经网络!$E$10:$E$70,0),MATCH(ROUND(E3516*2,1)/2,神经网络!$G$8:$BO$8,0))</f>
        <v>-0.25226645536721976</v>
      </c>
      <c r="I3516">
        <f t="shared" si="490"/>
        <v>622697.23285330483</v>
      </c>
      <c r="J3516">
        <f t="shared" si="491"/>
        <v>2488.3440109379485</v>
      </c>
      <c r="K3516">
        <f t="shared" si="492"/>
        <v>250.24563730582707</v>
      </c>
      <c r="L3516" s="4">
        <f>MIN(MAX(L3515*(1+MAX(MIN(((B3516-B3515)/B3515)/($K$7*卓尔金历!$N$40),0),-卓尔金历!$M$43))+MIN(MAX(((B3516-B3515)/B3515)/($K$7*卓尔金历!$N$40),0),卓尔金历!$M$43),0),1)</f>
        <v>7.7268320779130636E-2</v>
      </c>
      <c r="M3516" s="4">
        <f>MIN(MAX(M3515*(1+MAX(MIN(((B3516-B3515)/B3515)/($K$7*30),0),-卓尔金历!$M$43))+MIN(MAX(((B3516-B3515)/B3515)/($K$7*7),0),卓尔金历!$M$43),0),1)</f>
        <v>0.53923834040411434</v>
      </c>
      <c r="N3516">
        <f t="shared" si="493"/>
        <v>198684.51362983539</v>
      </c>
      <c r="O3516">
        <f t="shared" si="494"/>
        <v>570943.64328933915</v>
      </c>
      <c r="P3516">
        <f t="shared" si="495"/>
        <v>-6.0312905573136198E-2</v>
      </c>
      <c r="Q3516">
        <f t="shared" si="496"/>
        <v>7.4830163397405294E-2</v>
      </c>
      <c r="R3516">
        <f t="shared" si="497"/>
        <v>0.30591748182763862</v>
      </c>
      <c r="S3516">
        <f t="shared" si="489"/>
        <v>1160.0066024243786</v>
      </c>
      <c r="T3516" s="564">
        <f>IF((I3516-MAX(I$470:I3516))/MAX(I$470:I3516)&gt;T3515,T3515,(I3516-MAX(I$470:I3516))/MAX(I$470:I3516))</f>
        <v>-0.91338805338419748</v>
      </c>
      <c r="U3516" s="564">
        <f>IF((J3516-MAX(J$470:J3516))/MAX(J$470:J3516)&gt;U3515,U3515,(J3516-MAX(J$470:J3516))/MAX(J$470:J3516))</f>
        <v>-0.83569785939843477</v>
      </c>
      <c r="V3516" s="564">
        <f>IF((K3516-MAX(K$470:K3516))/MAX(K$470:K3516)&gt;V3515,V3515,(K3516-MAX(K$470:K3516))/MAX(K$470:K3516))</f>
        <v>-0.84885940676762139</v>
      </c>
      <c r="W3516" s="564">
        <f>IF((N3516-MAX(N$470:N3516))/MAX(N$470:N3516)&gt;W3515,W3515,(N3516-MAX(N$470:N3516))/MAX(N$470:N3516))</f>
        <v>-0.62788758315546067</v>
      </c>
      <c r="X3516" s="564">
        <f>IF((O3516-MAX(O$470:O3516))/MAX(O$470:O3516)&gt;X3515,X3515,(O3516-MAX(O$470:O3516))/MAX(O$470:O3516))</f>
        <v>-0.62788758315546067</v>
      </c>
    </row>
    <row r="3517" spans="1:24">
      <c r="A3517" s="799">
        <v>43919</v>
      </c>
      <c r="B3517">
        <v>6118.8104655822999</v>
      </c>
      <c r="C3517">
        <v>8973.0597670000006</v>
      </c>
      <c r="D3517">
        <v>1.0648839999999999</v>
      </c>
      <c r="E3517">
        <f>LN(D3517/参数实验室!$E$53)/参数实验室!$E$55</f>
        <v>-0.61880207626906825</v>
      </c>
      <c r="F3517">
        <f t="shared" si="488"/>
        <v>1.4664712720671067</v>
      </c>
      <c r="G3517">
        <f>LN(F3517/参数实验室!$E$58)/参数实验室!$E$59</f>
        <v>1.0415079813878037E-2</v>
      </c>
      <c r="H3517" s="856">
        <f>INDEX(神经网络!$G$10:$BO$70,MATCH(ROUND(G3517*2,1)/2,神经网络!$E$10:$E$70,0),MATCH(ROUND(E3517*2,1)/2,神经网络!$G$8:$BO$8,0))</f>
        <v>-0.27883851114542579</v>
      </c>
      <c r="I3517">
        <f t="shared" si="490"/>
        <v>625650.21406613174</v>
      </c>
      <c r="J3517">
        <f t="shared" si="491"/>
        <v>2441.5667633303906</v>
      </c>
      <c r="K3517">
        <f t="shared" si="492"/>
        <v>256.24948023650228</v>
      </c>
      <c r="L3517" s="4">
        <f>MIN(MAX(L3516*(1+MAX(MIN(((B3517-B3516)/B3516)/($K$7*卓尔金历!$N$40),0),-卓尔金历!$M$43))+MIN(MAX(((B3517-B3516)/B3516)/($K$7*卓尔金历!$N$40),0),卓尔金历!$M$43),0),1)</f>
        <v>5.5075025277483244E-2</v>
      </c>
      <c r="M3517" s="4">
        <f>MIN(MAX(M3516*(1+MAX(MIN(((B3517-B3516)/B3516)/($K$7*30),0),-卓尔金历!$M$43))+MIN(MAX(((B3517-B3516)/B3516)/($K$7*7),0),卓尔金历!$M$43),0),1)</f>
        <v>0.46179731597305973</v>
      </c>
      <c r="N3517">
        <f t="shared" si="493"/>
        <v>198757.31662381976</v>
      </c>
      <c r="O3517">
        <f t="shared" si="494"/>
        <v>572403.65975468955</v>
      </c>
      <c r="P3517">
        <f t="shared" si="495"/>
        <v>-1.8798545298375179E-2</v>
      </c>
      <c r="Q3517">
        <f t="shared" si="496"/>
        <v>7.3914514784406124E-2</v>
      </c>
      <c r="R3517">
        <f t="shared" si="497"/>
        <v>1</v>
      </c>
      <c r="S3517">
        <f t="shared" si="489"/>
        <v>1161.6894644283982</v>
      </c>
      <c r="T3517" s="564">
        <f>IF((I3517-MAX(I$470:I3517))/MAX(I$470:I3517)&gt;T3516,T3516,(I3517-MAX(I$470:I3517))/MAX(I$470:I3517))</f>
        <v>-0.91338805338419748</v>
      </c>
      <c r="U3517" s="564">
        <f>IF((J3517-MAX(J$470:J3517))/MAX(J$470:J3517)&gt;U3516,U3516,(J3517-MAX(J$470:J3517))/MAX(J$470:J3517))</f>
        <v>-0.83569785939843477</v>
      </c>
      <c r="V3517" s="564">
        <f>IF((K3517-MAX(K$470:K3517))/MAX(K$470:K3517)&gt;V3516,V3516,(K3517-MAX(K$470:K3517))/MAX(K$470:K3517))</f>
        <v>-0.84885940676762139</v>
      </c>
      <c r="W3517" s="564">
        <f>IF((N3517-MAX(N$470:N3517))/MAX(N$470:N3517)&gt;W3516,W3516,(N3517-MAX(N$470:N3517))/MAX(N$470:N3517))</f>
        <v>-0.62788758315546067</v>
      </c>
      <c r="X3517" s="564">
        <f>IF((O3517-MAX(O$470:O3517))/MAX(O$470:O3517)&gt;X3516,X3516,(O3517-MAX(O$470:O3517))/MAX(O$470:O3517))</f>
        <v>-0.62788758315546067</v>
      </c>
    </row>
    <row r="3518" spans="1:24">
      <c r="A3518" s="799">
        <v>43920</v>
      </c>
      <c r="B3518">
        <v>6379.9950819009</v>
      </c>
      <c r="C3518">
        <v>8923.429623</v>
      </c>
      <c r="D3518">
        <v>1.161119</v>
      </c>
      <c r="E3518">
        <f>LN(D3518/参数实验室!$E$53)/参数实验室!$E$55</f>
        <v>-0.51673180490973281</v>
      </c>
      <c r="F3518">
        <f t="shared" si="488"/>
        <v>1.3986577588930196</v>
      </c>
      <c r="G3518">
        <f>LN(F3518/参数实验室!$E$58)/参数实验室!$E$59</f>
        <v>-1.4434652732314771E-2</v>
      </c>
      <c r="H3518" s="856">
        <f>INDEX(神经网络!$G$10:$BO$70,MATCH(ROUND(G3518*2,1)/2,神经网络!$E$10:$E$70,0),MATCH(ROUND(E3518*2,1)/2,神经网络!$G$8:$BO$8,0))</f>
        <v>-0.21501812845740756</v>
      </c>
      <c r="I3518">
        <f t="shared" si="490"/>
        <v>618203.49542231788</v>
      </c>
      <c r="J3518">
        <f t="shared" si="491"/>
        <v>2545.7863141538214</v>
      </c>
      <c r="K3518">
        <f t="shared" si="492"/>
        <v>242.83400848896417</v>
      </c>
      <c r="L3518" s="4">
        <f>MIN(MAX(L3517*(1+MAX(MIN(((B3518-B3517)/B3517)/($K$7*卓尔金历!$N$40),0),-卓尔金历!$M$43))+MIN(MAX(((B3518-B3517)/B3517)/($K$7*卓尔金历!$N$40),0),卓尔金历!$M$43),0),1)</f>
        <v>0.70726883315383426</v>
      </c>
      <c r="M3518" s="4">
        <f>MIN(MAX(M3517*(1+MAX(MIN(((B3518-B3517)/B3517)/($K$7*30),0),-卓尔金历!$M$43))+MIN(MAX(((B3518-B3517)/B3517)/($K$7*7),0),卓尔金历!$M$43),0),1)</f>
        <v>1</v>
      </c>
      <c r="N3518">
        <f t="shared" si="493"/>
        <v>198627.02659568941</v>
      </c>
      <c r="O3518">
        <f t="shared" si="494"/>
        <v>569257.45376057795</v>
      </c>
      <c r="P3518">
        <f t="shared" si="495"/>
        <v>4.2685521603870159E-2</v>
      </c>
      <c r="Q3518">
        <f t="shared" si="496"/>
        <v>7.2495838867790402E-2</v>
      </c>
      <c r="R3518">
        <f t="shared" si="497"/>
        <v>0.64273414469688617</v>
      </c>
      <c r="S3518">
        <f t="shared" si="489"/>
        <v>1147.8626097441181</v>
      </c>
      <c r="T3518" s="564">
        <f>IF((I3518-MAX(I$470:I3518))/MAX(I$470:I3518)&gt;T3517,T3517,(I3518-MAX(I$470:I3518))/MAX(I$470:I3518))</f>
        <v>-0.91338805338419748</v>
      </c>
      <c r="U3518" s="564">
        <f>IF((J3518-MAX(J$470:J3518))/MAX(J$470:J3518)&gt;U3517,U3517,(J3518-MAX(J$470:J3518))/MAX(J$470:J3518))</f>
        <v>-0.83569785939843477</v>
      </c>
      <c r="V3518" s="564">
        <f>IF((K3518-MAX(K$470:K3518))/MAX(K$470:K3518)&gt;V3517,V3517,(K3518-MAX(K$470:K3518))/MAX(K$470:K3518))</f>
        <v>-0.84885940676762139</v>
      </c>
      <c r="W3518" s="564">
        <f>IF((N3518-MAX(N$470:N3518))/MAX(N$470:N3518)&gt;W3517,W3517,(N3518-MAX(N$470:N3518))/MAX(N$470:N3518))</f>
        <v>-0.62788758315546067</v>
      </c>
      <c r="X3518" s="564">
        <f>IF((O3518-MAX(O$470:O3518))/MAX(O$470:O3518)&gt;X3517,X3517,(O3518-MAX(O$470:O3518))/MAX(O$470:O3518))</f>
        <v>-0.62788758315546067</v>
      </c>
    </row>
    <row r="3519" spans="1:24">
      <c r="A3519" s="799">
        <v>43921</v>
      </c>
      <c r="B3519">
        <v>6442.7584375488996</v>
      </c>
      <c r="C3519">
        <v>9045.2315880000006</v>
      </c>
      <c r="D3519">
        <v>1.16086</v>
      </c>
      <c r="E3519">
        <f>LN(D3519/参数实验室!$E$53)/参数实验室!$E$55</f>
        <v>-0.51699499083127298</v>
      </c>
      <c r="F3519">
        <f t="shared" si="488"/>
        <v>1.4039377194842018</v>
      </c>
      <c r="G3519">
        <f>LN(F3519/参数实验室!$E$58)/参数实验室!$E$59</f>
        <v>-1.245704878370239E-2</v>
      </c>
      <c r="H3519" s="856">
        <f>INDEX(神经网络!$G$10:$BO$70,MATCH(ROUND(G3519*2,1)/2,神经网络!$E$10:$E$70,0),MATCH(ROUND(E3519*2,1)/2,神经网络!$G$8:$BO$8,0))</f>
        <v>-0.21501812845740756</v>
      </c>
      <c r="I3519">
        <f t="shared" si="490"/>
        <v>616895.84293301683</v>
      </c>
      <c r="J3519">
        <f t="shared" si="491"/>
        <v>2570.8305484812622</v>
      </c>
      <c r="K3519">
        <f t="shared" si="492"/>
        <v>239.95974503160184</v>
      </c>
      <c r="L3519" s="4">
        <f>MIN(MAX(L3518*(1+MAX(MIN(((B3519-B3518)/B3518)/($K$7*卓尔金历!$N$40),0),-卓尔金历!$M$43))+MIN(MAX(((B3519-B3518)/B3518)/($K$7*卓尔金历!$N$40),0),卓尔金历!$M$43),0),1)</f>
        <v>0.85757676168736829</v>
      </c>
      <c r="M3519" s="4">
        <f>MIN(MAX(M3518*(1+MAX(MIN(((B3519-B3518)/B3518)/($K$7*30),0),-卓尔金历!$M$43))+MIN(MAX(((B3519-B3518)/B3518)/($K$7*7),0),卓尔金历!$M$43),0),1)</f>
        <v>1</v>
      </c>
      <c r="N3519">
        <f t="shared" si="493"/>
        <v>198329.87111097781</v>
      </c>
      <c r="O3519">
        <f t="shared" si="494"/>
        <v>568053.33419157634</v>
      </c>
      <c r="P3519">
        <f t="shared" si="495"/>
        <v>9.8375241426204071E-3</v>
      </c>
      <c r="Q3519">
        <f t="shared" si="496"/>
        <v>7.1865442320375728E-2</v>
      </c>
      <c r="R3519">
        <f t="shared" si="497"/>
        <v>1</v>
      </c>
      <c r="S3519">
        <f t="shared" si="489"/>
        <v>1146.3020436385229</v>
      </c>
      <c r="T3519" s="564">
        <f>IF((I3519-MAX(I$470:I3519))/MAX(I$470:I3519)&gt;T3518,T3518,(I3519-MAX(I$470:I3519))/MAX(I$470:I3519))</f>
        <v>-0.91338805338419748</v>
      </c>
      <c r="U3519" s="564">
        <f>IF((J3519-MAX(J$470:J3519))/MAX(J$470:J3519)&gt;U3518,U3518,(J3519-MAX(J$470:J3519))/MAX(J$470:J3519))</f>
        <v>-0.83569785939843477</v>
      </c>
      <c r="V3519" s="564">
        <f>IF((K3519-MAX(K$470:K3519))/MAX(K$470:K3519)&gt;V3518,V3518,(K3519-MAX(K$470:K3519))/MAX(K$470:K3519))</f>
        <v>-0.84885940676762139</v>
      </c>
      <c r="W3519" s="564">
        <f>IF((N3519-MAX(N$470:N3519))/MAX(N$470:N3519)&gt;W3518,W3518,(N3519-MAX(N$470:N3519))/MAX(N$470:N3519))</f>
        <v>-0.62788758315546067</v>
      </c>
      <c r="X3519" s="564">
        <f>IF((O3519-MAX(O$470:O3519))/MAX(O$470:O3519)&gt;X3518,X3518,(O3519-MAX(O$470:O3519))/MAX(O$470:O3519))</f>
        <v>-0.62788758315546067</v>
      </c>
    </row>
    <row r="3520" spans="1:24">
      <c r="A3520" s="799">
        <v>43922</v>
      </c>
      <c r="B3520">
        <v>6240.5411331300002</v>
      </c>
      <c r="C3520">
        <v>9021.6587710000003</v>
      </c>
      <c r="D3520">
        <v>1.2023269999999999</v>
      </c>
      <c r="E3520">
        <f>LN(D3520/参数实验室!$E$53)/参数实验室!$E$55</f>
        <v>-0.47558832297480436</v>
      </c>
      <c r="F3520">
        <f t="shared" si="488"/>
        <v>1.4456532820696442</v>
      </c>
      <c r="G3520">
        <f>LN(F3520/参数实验室!$E$58)/参数实验室!$E$59</f>
        <v>2.910873073767068E-3</v>
      </c>
      <c r="H3520" s="856">
        <f>INDEX(神经网络!$G$10:$BO$70,MATCH(ROUND(G3520*2,1)/2,神经网络!$E$10:$E$70,0),MATCH(ROUND(E3520*2,1)/2,神经网络!$G$8:$BO$8,0))</f>
        <v>-0.21501812845740756</v>
      </c>
      <c r="I3520">
        <f t="shared" si="490"/>
        <v>621059.10154979466</v>
      </c>
      <c r="J3520">
        <f t="shared" si="491"/>
        <v>2490.1405104066048</v>
      </c>
      <c r="K3520">
        <f t="shared" si="492"/>
        <v>249.407251901775</v>
      </c>
      <c r="L3520" s="4">
        <f>MIN(MAX(L3519*(1+MAX(MIN(((B3520-B3519)/B3519)/($K$7*卓尔金历!$N$40),0),-卓尔金历!$M$43))+MIN(MAX(((B3520-B3519)/B3519)/($K$7*卓尔金历!$N$40),0),卓尔金历!$M$43),0),1)</f>
        <v>0.44631763296409838</v>
      </c>
      <c r="M3520" s="4">
        <f>MIN(MAX(M3519*(1+MAX(MIN(((B3520-B3519)/B3519)/($K$7*30),0),-卓尔金历!$M$43))+MIN(MAX(((B3520-B3519)/B3519)/($K$7*7),0),卓尔金历!$M$43),0),1)</f>
        <v>0.76022022336864847</v>
      </c>
      <c r="N3520">
        <f t="shared" si="493"/>
        <v>199477.71461219277</v>
      </c>
      <c r="O3520">
        <f t="shared" si="494"/>
        <v>571886.96828954387</v>
      </c>
      <c r="P3520">
        <f t="shared" si="495"/>
        <v>-3.1386758696455415E-2</v>
      </c>
      <c r="Q3520">
        <f t="shared" si="496"/>
        <v>7.1916144594141362E-2</v>
      </c>
      <c r="R3520">
        <f t="shared" si="497"/>
        <v>0.96056481065592314</v>
      </c>
      <c r="S3520">
        <f t="shared" si="489"/>
        <v>1154.038117588897</v>
      </c>
      <c r="T3520" s="564">
        <f>IF((I3520-MAX(I$470:I3520))/MAX(I$470:I3520)&gt;T3519,T3519,(I3520-MAX(I$470:I3520))/MAX(I$470:I3520))</f>
        <v>-0.91338805338419748</v>
      </c>
      <c r="U3520" s="564">
        <f>IF((J3520-MAX(J$470:J3520))/MAX(J$470:J3520)&gt;U3519,U3519,(J3520-MAX(J$470:J3520))/MAX(J$470:J3520))</f>
        <v>-0.83569785939843477</v>
      </c>
      <c r="V3520" s="564">
        <f>IF((K3520-MAX(K$470:K3520))/MAX(K$470:K3520)&gt;V3519,V3519,(K3520-MAX(K$470:K3520))/MAX(K$470:K3520))</f>
        <v>-0.84885940676762139</v>
      </c>
      <c r="W3520" s="564">
        <f>IF((N3520-MAX(N$470:N3520))/MAX(N$470:N3520)&gt;W3519,W3519,(N3520-MAX(N$470:N3520))/MAX(N$470:N3520))</f>
        <v>-0.62788758315546067</v>
      </c>
      <c r="X3520" s="564">
        <f>IF((O3520-MAX(O$470:O3520))/MAX(O$470:O3520)&gt;X3519,X3519,(O3520-MAX(O$470:O3520))/MAX(O$470:O3520))</f>
        <v>-0.62788758315546067</v>
      </c>
    </row>
    <row r="3521" spans="1:24">
      <c r="A3521" s="799">
        <v>43923</v>
      </c>
      <c r="B3521">
        <v>6791.7250505770999</v>
      </c>
      <c r="C3521">
        <v>9024.6511549999996</v>
      </c>
      <c r="D3521">
        <v>1.22932</v>
      </c>
      <c r="E3521">
        <f>LN(D3521/参数实验室!$E$53)/参数实验室!$E$55</f>
        <v>-0.44939505770628752</v>
      </c>
      <c r="F3521">
        <f t="shared" si="488"/>
        <v>1.3287715694900173</v>
      </c>
      <c r="G3521">
        <f>LN(F3521/参数实验室!$E$58)/参数实验室!$E$59</f>
        <v>-4.1337699803497184E-2</v>
      </c>
      <c r="H3521" s="856">
        <f>INDEX(神经网络!$G$10:$BO$70,MATCH(ROUND(G3521*2,1)/2,神经网络!$E$10:$E$70,0),MATCH(ROUND(E3521*2,1)/2,神经网络!$G$8:$BO$8,0))</f>
        <v>-0.26259475049172853</v>
      </c>
      <c r="I3521">
        <f t="shared" si="490"/>
        <v>609264.52658212883</v>
      </c>
      <c r="J3521">
        <f t="shared" si="491"/>
        <v>2710.0774312984681</v>
      </c>
      <c r="K3521">
        <f t="shared" si="492"/>
        <v>224.81443502159067</v>
      </c>
      <c r="L3521" s="4">
        <f>MIN(MAX(L3520*(1+MAX(MIN(((B3521-B3520)/B3520)/($K$7*卓尔金历!$N$40),0),-卓尔金历!$M$43))+MIN(MAX(((B3521-B3520)/B3520)/($K$7*卓尔金历!$N$40),0),卓尔金历!$M$43),0),1)</f>
        <v>1</v>
      </c>
      <c r="M3521" s="4">
        <f>MIN(MAX(M3520*(1+MAX(MIN(((B3521-B3520)/B3520)/($K$7*30),0),-卓尔金历!$M$43))+MIN(MAX(((B3521-B3520)/B3520)/($K$7*7),0),卓尔金历!$M$43),0),1)</f>
        <v>1</v>
      </c>
      <c r="N3521">
        <f t="shared" si="493"/>
        <v>197786.93191991857</v>
      </c>
      <c r="O3521">
        <f t="shared" si="494"/>
        <v>563630.41129283048</v>
      </c>
      <c r="P3521">
        <f t="shared" si="495"/>
        <v>8.8323096617528171E-2</v>
      </c>
      <c r="Q3521">
        <f t="shared" si="496"/>
        <v>5.6921806689388531E-2</v>
      </c>
      <c r="R3521">
        <f t="shared" si="497"/>
        <v>4.0321718876353517E-2</v>
      </c>
      <c r="S3521">
        <f t="shared" si="489"/>
        <v>1132.9859804336991</v>
      </c>
      <c r="T3521" s="564">
        <f>IF((I3521-MAX(I$470:I3521))/MAX(I$470:I3521)&gt;T3520,T3520,(I3521-MAX(I$470:I3521))/MAX(I$470:I3521))</f>
        <v>-0.91338805338419748</v>
      </c>
      <c r="U3521" s="564">
        <f>IF((J3521-MAX(J$470:J3521))/MAX(J$470:J3521)&gt;U3520,U3520,(J3521-MAX(J$470:J3521))/MAX(J$470:J3521))</f>
        <v>-0.83569785939843477</v>
      </c>
      <c r="V3521" s="564">
        <f>IF((K3521-MAX(K$470:K3521))/MAX(K$470:K3521)&gt;V3520,V3520,(K3521-MAX(K$470:K3521))/MAX(K$470:K3521))</f>
        <v>-0.84885940676762139</v>
      </c>
      <c r="W3521" s="564">
        <f>IF((N3521-MAX(N$470:N3521))/MAX(N$470:N3521)&gt;W3520,W3520,(N3521-MAX(N$470:N3521))/MAX(N$470:N3521))</f>
        <v>-0.62788758315546067</v>
      </c>
      <c r="X3521" s="564">
        <f>IF((O3521-MAX(O$470:O3521))/MAX(O$470:O3521)&gt;X3520,X3520,(O3521-MAX(O$470:O3521))/MAX(O$470:O3521))</f>
        <v>-0.62788758315546067</v>
      </c>
    </row>
    <row r="3522" spans="1:24">
      <c r="A3522" s="799">
        <v>43924</v>
      </c>
      <c r="B3522">
        <v>6718.1227812981997</v>
      </c>
      <c r="C3522">
        <v>9263.4776280000005</v>
      </c>
      <c r="D3522">
        <v>1.2220759999999999</v>
      </c>
      <c r="E3522">
        <f>LN(D3522/参数实验室!$E$53)/参数实验室!$E$55</f>
        <v>-0.45636753981471601</v>
      </c>
      <c r="F3522">
        <f t="shared" si="488"/>
        <v>1.3788788817298068</v>
      </c>
      <c r="G3522">
        <f>LN(F3522/参数实验室!$E$58)/参数实验室!$E$59</f>
        <v>-2.1909765009952058E-2</v>
      </c>
      <c r="H3522" s="856">
        <f>INDEX(神经网络!$G$10:$BO$70,MATCH(ROUND(G3522*2,1)/2,神经网络!$E$10:$E$70,0),MATCH(ROUND(E3522*2,1)/2,神经网络!$G$8:$BO$8,0))</f>
        <v>-0.17416914899093525</v>
      </c>
      <c r="I3522">
        <f t="shared" si="490"/>
        <v>610998.34272106295</v>
      </c>
      <c r="J3522">
        <f t="shared" si="491"/>
        <v>2680.7081845489765</v>
      </c>
      <c r="K3522">
        <f t="shared" si="492"/>
        <v>227.92422772561576</v>
      </c>
      <c r="L3522" s="4">
        <f>MIN(MAX(L3521*(1+MAX(MIN(((B3522-B3521)/B3521)/($K$7*卓尔金历!$N$40),0),-卓尔金历!$M$43))+MIN(MAX(((B3522-B3521)/B3521)/($K$7*卓尔金历!$N$40),0),卓尔金历!$M$43),0),1)</f>
        <v>0.83442026357177779</v>
      </c>
      <c r="M3522" s="4">
        <f>MIN(MAX(M3521*(1+MAX(MIN(((B3522-B3521)/B3521)/($K$7*30),0),-卓尔金历!$M$43))+MIN(MAX(((B3522-B3521)/B3521)/($K$7*7),0),卓尔金历!$M$43),0),1)</f>
        <v>0.91721013178588895</v>
      </c>
      <c r="N3522">
        <f t="shared" si="493"/>
        <v>198349.78460487101</v>
      </c>
      <c r="O3522">
        <f t="shared" si="494"/>
        <v>565234.36402740981</v>
      </c>
      <c r="P3522">
        <f t="shared" si="495"/>
        <v>-1.0837050783238952E-2</v>
      </c>
      <c r="Q3522">
        <f t="shared" si="496"/>
        <v>4.7555173031846504E-2</v>
      </c>
      <c r="R3522">
        <f t="shared" si="497"/>
        <v>1</v>
      </c>
      <c r="S3522">
        <f t="shared" si="489"/>
        <v>1133.1159856330994</v>
      </c>
      <c r="T3522" s="564">
        <f>IF((I3522-MAX(I$470:I3522))/MAX(I$470:I3522)&gt;T3521,T3521,(I3522-MAX(I$470:I3522))/MAX(I$470:I3522))</f>
        <v>-0.91338805338419748</v>
      </c>
      <c r="U3522" s="564">
        <f>IF((J3522-MAX(J$470:J3522))/MAX(J$470:J3522)&gt;U3521,U3521,(J3522-MAX(J$470:J3522))/MAX(J$470:J3522))</f>
        <v>-0.83569785939843477</v>
      </c>
      <c r="V3522" s="564">
        <f>IF((K3522-MAX(K$470:K3522))/MAX(K$470:K3522)&gt;V3521,V3521,(K3522-MAX(K$470:K3522))/MAX(K$470:K3522))</f>
        <v>-0.84885940676762139</v>
      </c>
      <c r="W3522" s="564">
        <f>IF((N3522-MAX(N$470:N3522))/MAX(N$470:N3522)&gt;W3521,W3521,(N3522-MAX(N$470:N3522))/MAX(N$470:N3522))</f>
        <v>-0.62788758315546067</v>
      </c>
      <c r="X3522" s="564">
        <f>IF((O3522-MAX(O$470:O3522))/MAX(O$470:O3522)&gt;X3521,X3521,(O3522-MAX(O$470:O3522))/MAX(O$470:O3522))</f>
        <v>-0.62788758315546067</v>
      </c>
    </row>
    <row r="3523" spans="1:24">
      <c r="A3523" s="799">
        <v>43925</v>
      </c>
      <c r="B3523">
        <v>6719.5079005391999</v>
      </c>
      <c r="C3523">
        <v>9307.9679749999996</v>
      </c>
      <c r="D3523">
        <v>1.2415400000000001</v>
      </c>
      <c r="E3523">
        <f>LN(D3523/参数实验室!$E$53)/参数实验室!$E$55</f>
        <v>-0.43772567766574044</v>
      </c>
      <c r="F3523">
        <f t="shared" si="488"/>
        <v>1.3852157200757351</v>
      </c>
      <c r="G3523">
        <f>LN(F3523/参数实验室!$E$58)/参数实验室!$E$59</f>
        <v>-1.950324748276544E-2</v>
      </c>
      <c r="H3523" s="856">
        <f>INDEX(神经网络!$G$10:$BO$70,MATCH(ROUND(G3523*2,1)/2,神经网络!$E$10:$E$70,0),MATCH(ROUND(E3523*2,1)/2,神经网络!$G$8:$BO$8,0))</f>
        <v>-0.17416914899093525</v>
      </c>
      <c r="I3523">
        <f t="shared" si="490"/>
        <v>610976.40202064766</v>
      </c>
      <c r="J3523">
        <f t="shared" si="491"/>
        <v>2681.2608836595468</v>
      </c>
      <c r="K3523">
        <f t="shared" si="492"/>
        <v>227.86906180749938</v>
      </c>
      <c r="L3523" s="4">
        <f>MIN(MAX(L3522*(1+MAX(MIN(((B3523-B3522)/B3522)/($K$7*卓尔金历!$N$40),0),-卓尔金历!$M$43))+MIN(MAX(((B3523-B3522)/B3522)/($K$7*卓尔金历!$N$40),0),卓尔金历!$M$43),0),1)</f>
        <v>0.83757044309244633</v>
      </c>
      <c r="M3523" s="4">
        <f>MIN(MAX(M3522*(1+MAX(MIN(((B3523-B3522)/B3522)/($K$7*30),0),-卓尔金历!$M$43))+MIN(MAX(((B3523-B3522)/B3522)/($K$7*7),0),卓尔金历!$M$43),0),1)</f>
        <v>0.92396051647303579</v>
      </c>
      <c r="N3523">
        <f t="shared" si="493"/>
        <v>198343.8413133838</v>
      </c>
      <c r="O3523">
        <f t="shared" si="494"/>
        <v>565215.74710640148</v>
      </c>
      <c r="P3523">
        <f t="shared" si="495"/>
        <v>2.0617652967821362E-4</v>
      </c>
      <c r="Q3523">
        <f t="shared" si="496"/>
        <v>4.7609387705397854E-2</v>
      </c>
      <c r="R3523">
        <f t="shared" si="497"/>
        <v>1</v>
      </c>
      <c r="S3523">
        <f t="shared" si="489"/>
        <v>1133.0752959018216</v>
      </c>
      <c r="T3523" s="564">
        <f>IF((I3523-MAX(I$470:I3523))/MAX(I$470:I3523)&gt;T3522,T3522,(I3523-MAX(I$470:I3523))/MAX(I$470:I3523))</f>
        <v>-0.91338805338419748</v>
      </c>
      <c r="U3523" s="564">
        <f>IF((J3523-MAX(J$470:J3523))/MAX(J$470:J3523)&gt;U3522,U3522,(J3523-MAX(J$470:J3523))/MAX(J$470:J3523))</f>
        <v>-0.83569785939843477</v>
      </c>
      <c r="V3523" s="564">
        <f>IF((K3523-MAX(K$470:K3523))/MAX(K$470:K3523)&gt;V3522,V3522,(K3523-MAX(K$470:K3523))/MAX(K$470:K3523))</f>
        <v>-0.84885940676762139</v>
      </c>
      <c r="W3523" s="564">
        <f>IF((N3523-MAX(N$470:N3523))/MAX(N$470:N3523)&gt;W3522,W3522,(N3523-MAX(N$470:N3523))/MAX(N$470:N3523))</f>
        <v>-0.62788758315546067</v>
      </c>
      <c r="X3523" s="564">
        <f>IF((O3523-MAX(O$470:O3523))/MAX(O$470:O3523)&gt;X3522,X3522,(O3523-MAX(O$470:O3523))/MAX(O$470:O3523))</f>
        <v>-0.62788758315546067</v>
      </c>
    </row>
    <row r="3524" spans="1:24">
      <c r="A3524" s="799">
        <v>43926</v>
      </c>
      <c r="B3524">
        <v>6785.9282865949999</v>
      </c>
      <c r="C3524">
        <v>9174.6001510000006</v>
      </c>
      <c r="D3524">
        <v>1.2289650000000001</v>
      </c>
      <c r="E3524">
        <f>LN(D3524/参数实验室!$E$53)/参数实验室!$E$55</f>
        <v>-0.44973579314137446</v>
      </c>
      <c r="F3524">
        <f t="shared" si="488"/>
        <v>1.3520036999394187</v>
      </c>
      <c r="G3524">
        <f>LN(F3524/参数实验室!$E$58)/参数实验室!$E$59</f>
        <v>-3.2240493481027005E-2</v>
      </c>
      <c r="H3524" s="856">
        <f>INDEX(神经网络!$G$10:$BO$70,MATCH(ROUND(G3524*2,1)/2,神经网络!$E$10:$E$70,0),MATCH(ROUND(E3524*2,1)/2,神经网络!$G$8:$BO$8,0))</f>
        <v>-0.26259475049172853</v>
      </c>
      <c r="I3524">
        <f t="shared" si="490"/>
        <v>609924.53801714699</v>
      </c>
      <c r="J3524">
        <f t="shared" si="491"/>
        <v>2707.7643695762299</v>
      </c>
      <c r="K3524">
        <f t="shared" si="492"/>
        <v>225.25022667042526</v>
      </c>
      <c r="L3524" s="4">
        <f>MIN(MAX(L3523*(1+MAX(MIN(((B3524-B3523)/B3523)/($K$7*卓尔金历!$N$40),0),-卓尔金历!$M$43))+MIN(MAX(((B3524-B3523)/B3523)/($K$7*卓尔金历!$N$40),0),卓尔金历!$M$43),0),1)</f>
        <v>0.98859932423638586</v>
      </c>
      <c r="M3524" s="4">
        <f>MIN(MAX(M3523*(1+MAX(MIN(((B3524-B3523)/B3523)/($K$7*30),0),-卓尔金历!$M$43))+MIN(MAX(((B3524-B3523)/B3523)/($K$7*7),0),卓尔金历!$M$43),0),1)</f>
        <v>1</v>
      </c>
      <c r="N3524">
        <f t="shared" si="493"/>
        <v>198057.83526368334</v>
      </c>
      <c r="O3524">
        <f t="shared" si="494"/>
        <v>564316.65782056667</v>
      </c>
      <c r="P3524">
        <f t="shared" si="495"/>
        <v>9.884709868481615E-3</v>
      </c>
      <c r="Q3524">
        <f t="shared" si="496"/>
        <v>4.7549543659276355E-2</v>
      </c>
      <c r="R3524">
        <f t="shared" si="497"/>
        <v>1</v>
      </c>
      <c r="S3524">
        <f t="shared" si="489"/>
        <v>1131.1245804354414</v>
      </c>
      <c r="T3524" s="564">
        <f>IF((I3524-MAX(I$470:I3524))/MAX(I$470:I3524)&gt;T3523,T3523,(I3524-MAX(I$470:I3524))/MAX(I$470:I3524))</f>
        <v>-0.91338805338419748</v>
      </c>
      <c r="U3524" s="564">
        <f>IF((J3524-MAX(J$470:J3524))/MAX(J$470:J3524)&gt;U3523,U3523,(J3524-MAX(J$470:J3524))/MAX(J$470:J3524))</f>
        <v>-0.83569785939843477</v>
      </c>
      <c r="V3524" s="564">
        <f>IF((K3524-MAX(K$470:K3524))/MAX(K$470:K3524)&gt;V3523,V3523,(K3524-MAX(K$470:K3524))/MAX(K$470:K3524))</f>
        <v>-0.84885940676762139</v>
      </c>
      <c r="W3524" s="564">
        <f>IF((N3524-MAX(N$470:N3524))/MAX(N$470:N3524)&gt;W3523,W3523,(N3524-MAX(N$470:N3524))/MAX(N$470:N3524))</f>
        <v>-0.62788758315546067</v>
      </c>
      <c r="X3524" s="564">
        <f>IF((O3524-MAX(O$470:O3524))/MAX(O$470:O3524)&gt;X3523,X3523,(O3524-MAX(O$470:O3524))/MAX(O$470:O3524))</f>
        <v>-0.62788758315546067</v>
      </c>
    </row>
    <row r="3525" spans="1:24">
      <c r="A3525" s="799">
        <v>43927</v>
      </c>
      <c r="B3525">
        <v>7132.1731556680998</v>
      </c>
      <c r="C3525">
        <v>9376.5912499999995</v>
      </c>
      <c r="D3525">
        <v>1.318703</v>
      </c>
      <c r="E3525">
        <f>LN(D3525/参数实验室!$E$53)/参数实验室!$E$55</f>
        <v>-0.36659111885347612</v>
      </c>
      <c r="F3525">
        <f t="shared" ref="F3525:F3588" si="498">C3525/B3525</f>
        <v>1.3146892322080277</v>
      </c>
      <c r="G3525">
        <f>LN(F3525/参数实验室!$E$58)/参数实验室!$E$59</f>
        <v>-4.69297945105751E-2</v>
      </c>
      <c r="H3525" s="856">
        <f>INDEX(神经网络!$G$10:$BO$70,MATCH(ROUND(G3525*2,1)/2,神经网络!$E$10:$E$70,0),MATCH(ROUND(E3525*2,1)/2,神经网络!$G$8:$BO$8,0))</f>
        <v>-0.17734524066155824</v>
      </c>
      <c r="I3525">
        <f t="shared" si="490"/>
        <v>601752.38995588082</v>
      </c>
      <c r="J3525">
        <f t="shared" si="491"/>
        <v>2845.9252047676023</v>
      </c>
      <c r="K3525">
        <f t="shared" si="492"/>
        <v>211.44350137797096</v>
      </c>
      <c r="L3525" s="4">
        <f>MIN(MAX(L3524*(1+MAX(MIN(((B3525-B3524)/B3524)/($K$7*卓尔金历!$N$40),0),-卓尔金历!$M$43))+MIN(MAX(((B3525-B3524)/B3524)/($K$7*卓尔金历!$N$40),0),卓尔金历!$M$43),0),1)</f>
        <v>1</v>
      </c>
      <c r="M3525" s="4">
        <f>MIN(MAX(M3524*(1+MAX(MIN(((B3525-B3524)/B3524)/($K$7*30),0),-卓尔金历!$M$43))+MIN(MAX(((B3525-B3524)/B3524)/($K$7*7),0),卓尔金历!$M$43),0),1)</f>
        <v>1</v>
      </c>
      <c r="N3525">
        <f t="shared" si="493"/>
        <v>195434.3872790735</v>
      </c>
      <c r="O3525">
        <f t="shared" si="494"/>
        <v>556755.59248592542</v>
      </c>
      <c r="P3525">
        <f t="shared" si="495"/>
        <v>5.1023950511984613E-2</v>
      </c>
      <c r="Q3525">
        <f t="shared" si="496"/>
        <v>4.6633252853130074E-2</v>
      </c>
      <c r="R3525">
        <f t="shared" si="497"/>
        <v>4.3270975181825592E-2</v>
      </c>
      <c r="S3525">
        <f t="shared" si="489"/>
        <v>1115.9690702519897</v>
      </c>
      <c r="T3525" s="564">
        <f>IF((I3525-MAX(I$470:I3525))/MAX(I$470:I3525)&gt;T3524,T3524,(I3525-MAX(I$470:I3525))/MAX(I$470:I3525))</f>
        <v>-0.91338805338419748</v>
      </c>
      <c r="U3525" s="564">
        <f>IF((J3525-MAX(J$470:J3525))/MAX(J$470:J3525)&gt;U3524,U3524,(J3525-MAX(J$470:J3525))/MAX(J$470:J3525))</f>
        <v>-0.83569785939843477</v>
      </c>
      <c r="V3525" s="564">
        <f>IF((K3525-MAX(K$470:K3525))/MAX(K$470:K3525)&gt;V3524,V3524,(K3525-MAX(K$470:K3525))/MAX(K$470:K3525))</f>
        <v>-0.84885940676762139</v>
      </c>
      <c r="W3525" s="564">
        <f>IF((N3525-MAX(N$470:N3525))/MAX(N$470:N3525)&gt;W3524,W3524,(N3525-MAX(N$470:N3525))/MAX(N$470:N3525))</f>
        <v>-0.62788758315546067</v>
      </c>
      <c r="X3525" s="564">
        <f>IF((O3525-MAX(O$470:O3525))/MAX(O$470:O3525)&gt;X3524,X3524,(O3525-MAX(O$470:O3525))/MAX(O$470:O3525))</f>
        <v>-0.62788758315546067</v>
      </c>
    </row>
    <row r="3526" spans="1:24">
      <c r="A3526" s="799">
        <v>43928</v>
      </c>
      <c r="B3526">
        <v>7314.7142916478997</v>
      </c>
      <c r="C3526">
        <v>9310.5575379999991</v>
      </c>
      <c r="D3526">
        <v>1.2991980000000001</v>
      </c>
      <c r="E3526">
        <f>LN(D3526/参数实验室!$E$53)/参数实验室!$E$55</f>
        <v>-0.38417124341406061</v>
      </c>
      <c r="F3526">
        <f t="shared" si="498"/>
        <v>1.2728532061233064</v>
      </c>
      <c r="G3526">
        <f>LN(F3526/参数实验室!$E$58)/参数实验室!$E$59</f>
        <v>-6.3903213580571078E-2</v>
      </c>
      <c r="H3526" s="856">
        <f>INDEX(神经网络!$G$10:$BO$70,MATCH(ROUND(G3526*2,1)/2,神经网络!$E$10:$E$70,0),MATCH(ROUND(E3526*2,1)/2,神经网络!$G$8:$BO$8,0))</f>
        <v>-0.2208887469036292</v>
      </c>
      <c r="I3526">
        <f t="shared" si="490"/>
        <v>599021.04701707</v>
      </c>
      <c r="J3526">
        <f t="shared" si="491"/>
        <v>2918.7639326634562</v>
      </c>
      <c r="K3526">
        <f t="shared" si="492"/>
        <v>205.23107069863167</v>
      </c>
      <c r="L3526" s="4">
        <f>MIN(MAX(L3525*(1+MAX(MIN(((B3526-B3525)/B3525)/($K$7*卓尔金历!$N$40),0),-卓尔金历!$M$43))+MIN(MAX(((B3526-B3525)/B3525)/($K$7*卓尔金历!$N$40),0),卓尔金历!$M$43),0),1)</f>
        <v>1</v>
      </c>
      <c r="M3526" s="4">
        <f>MIN(MAX(M3525*(1+MAX(MIN(((B3526-B3525)/B3525)/($K$7*30),0),-卓尔金历!$M$43))+MIN(MAX(((B3526-B3525)/B3525)/($K$7*7),0),卓尔金历!$M$43),0),1)</f>
        <v>1</v>
      </c>
      <c r="N3526">
        <f t="shared" si="493"/>
        <v>194547.31421944735</v>
      </c>
      <c r="O3526">
        <f t="shared" si="494"/>
        <v>554228.48917638743</v>
      </c>
      <c r="P3526">
        <f t="shared" si="495"/>
        <v>2.5594041534834355E-2</v>
      </c>
      <c r="Q3526">
        <f t="shared" si="496"/>
        <v>4.6622345823229522E-2</v>
      </c>
      <c r="R3526">
        <f t="shared" si="497"/>
        <v>0.6743205433540187</v>
      </c>
      <c r="S3526">
        <f t="shared" si="489"/>
        <v>1115.7498870590173</v>
      </c>
      <c r="T3526" s="564">
        <f>IF((I3526-MAX(I$470:I3526))/MAX(I$470:I3526)&gt;T3525,T3525,(I3526-MAX(I$470:I3526))/MAX(I$470:I3526))</f>
        <v>-0.91338805338419748</v>
      </c>
      <c r="U3526" s="564">
        <f>IF((J3526-MAX(J$470:J3526))/MAX(J$470:J3526)&gt;U3525,U3525,(J3526-MAX(J$470:J3526))/MAX(J$470:J3526))</f>
        <v>-0.83569785939843477</v>
      </c>
      <c r="V3526" s="564">
        <f>IF((K3526-MAX(K$470:K3526))/MAX(K$470:K3526)&gt;V3525,V3525,(K3526-MAX(K$470:K3526))/MAX(K$470:K3526))</f>
        <v>-0.84885940676762139</v>
      </c>
      <c r="W3526" s="564">
        <f>IF((N3526-MAX(N$470:N3526))/MAX(N$470:N3526)&gt;W3525,W3525,(N3526-MAX(N$470:N3526))/MAX(N$470:N3526))</f>
        <v>-0.62788758315546067</v>
      </c>
      <c r="X3526" s="564">
        <f>IF((O3526-MAX(O$470:O3526))/MAX(O$470:O3526)&gt;X3525,X3525,(O3526-MAX(O$470:O3526))/MAX(O$470:O3526))</f>
        <v>-0.62788758315546067</v>
      </c>
    </row>
    <row r="3527" spans="1:24">
      <c r="A3527" s="799">
        <v>43929</v>
      </c>
      <c r="B3527">
        <v>7269.1182083745998</v>
      </c>
      <c r="C3527">
        <v>9355.0606810000008</v>
      </c>
      <c r="D3527">
        <v>1.3318000000000001</v>
      </c>
      <c r="E3527">
        <f>LN(D3527/参数实验室!$E$53)/参数实验室!$E$55</f>
        <v>-0.35493193265812112</v>
      </c>
      <c r="F3527">
        <f t="shared" si="498"/>
        <v>1.2869594925863539</v>
      </c>
      <c r="G3527">
        <f>LN(F3527/参数实验室!$E$58)/参数实验室!$E$59</f>
        <v>-5.8118558763861163E-2</v>
      </c>
      <c r="H3527" s="856">
        <f>INDEX(神经网络!$G$10:$BO$70,MATCH(ROUND(G3527*2,1)/2,神经网络!$E$10:$E$70,0),MATCH(ROUND(E3527*2,1)/2,神经网络!$G$8:$BO$8,0))</f>
        <v>-0.17734524066155824</v>
      </c>
      <c r="I3527">
        <f t="shared" si="490"/>
        <v>599845.84168367763</v>
      </c>
      <c r="J3527">
        <f t="shared" si="491"/>
        <v>2900.5698928113757</v>
      </c>
      <c r="K3527">
        <f t="shared" si="492"/>
        <v>206.80275388995278</v>
      </c>
      <c r="L3527" s="4">
        <f>MIN(MAX(L3526*(1+MAX(MIN(((B3527-B3526)/B3526)/($K$7*卓尔金历!$N$40),0),-卓尔金历!$M$43))+MIN(MAX(((B3527-B3526)/B3526)/($K$7*卓尔金历!$N$40),0),卓尔金历!$M$43),0),1)</f>
        <v>0.90475849508932804</v>
      </c>
      <c r="M3527" s="4">
        <f>MIN(MAX(M3526*(1+MAX(MIN(((B3527-B3526)/B3526)/($K$7*30),0),-卓尔金历!$M$43))+MIN(MAX(((B3527-B3526)/B3526)/($K$7*7),0),卓尔金历!$M$43),0),1)</f>
        <v>0.95237924754466396</v>
      </c>
      <c r="N3527">
        <f t="shared" si="493"/>
        <v>194815.18725658034</v>
      </c>
      <c r="O3527">
        <f t="shared" si="494"/>
        <v>554991.60877666029</v>
      </c>
      <c r="P3527">
        <f t="shared" si="495"/>
        <v>-6.2334742623320893E-3</v>
      </c>
      <c r="Q3527">
        <f t="shared" si="496"/>
        <v>4.6847404271401202E-2</v>
      </c>
      <c r="R3527">
        <f t="shared" si="497"/>
        <v>1</v>
      </c>
      <c r="S3527">
        <f t="shared" si="489"/>
        <v>1116.7858327884678</v>
      </c>
      <c r="T3527" s="564">
        <f>IF((I3527-MAX(I$470:I3527))/MAX(I$470:I3527)&gt;T3526,T3526,(I3527-MAX(I$470:I3527))/MAX(I$470:I3527))</f>
        <v>-0.91338805338419748</v>
      </c>
      <c r="U3527" s="564">
        <f>IF((J3527-MAX(J$470:J3527))/MAX(J$470:J3527)&gt;U3526,U3526,(J3527-MAX(J$470:J3527))/MAX(J$470:J3527))</f>
        <v>-0.83569785939843477</v>
      </c>
      <c r="V3527" s="564">
        <f>IF((K3527-MAX(K$470:K3527))/MAX(K$470:K3527)&gt;V3526,V3526,(K3527-MAX(K$470:K3527))/MAX(K$470:K3527))</f>
        <v>-0.84885940676762139</v>
      </c>
      <c r="W3527" s="564">
        <f>IF((N3527-MAX(N$470:N3527))/MAX(N$470:N3527)&gt;W3526,W3526,(N3527-MAX(N$470:N3527))/MAX(N$470:N3527))</f>
        <v>-0.62788758315546067</v>
      </c>
      <c r="X3527" s="564">
        <f>IF((O3527-MAX(O$470:O3527))/MAX(O$470:O3527)&gt;X3526,X3526,(O3527-MAX(O$470:O3527))/MAX(O$470:O3527))</f>
        <v>-0.62788758315546067</v>
      </c>
    </row>
    <row r="3528" spans="1:24">
      <c r="A3528" s="799">
        <v>43930</v>
      </c>
      <c r="B3528">
        <v>7275.0186547333997</v>
      </c>
      <c r="C3528">
        <v>9206.8021599999993</v>
      </c>
      <c r="D3528">
        <v>1.318433</v>
      </c>
      <c r="E3528">
        <f>LN(D3528/参数实验室!$E$53)/参数实验室!$E$55</f>
        <v>-0.36683269409038882</v>
      </c>
      <c r="F3528">
        <f t="shared" si="498"/>
        <v>1.2655365706876516</v>
      </c>
      <c r="G3528">
        <f>LN(F3528/参数实验室!$E$58)/参数实验室!$E$59</f>
        <v>-6.6928892584031396E-2</v>
      </c>
      <c r="H3528" s="856">
        <f>INDEX(神经网络!$G$10:$BO$70,MATCH(ROUND(G3528*2,1)/2,神经网络!$E$10:$E$70,0),MATCH(ROUND(E3528*2,1)/2,神经网络!$G$8:$BO$8,0))</f>
        <v>-0.17734524066155824</v>
      </c>
      <c r="I3528">
        <f t="shared" si="490"/>
        <v>599759.49168688664</v>
      </c>
      <c r="J3528">
        <f t="shared" si="491"/>
        <v>2902.9243265366063</v>
      </c>
      <c r="K3528">
        <f t="shared" si="492"/>
        <v>206.60527944331298</v>
      </c>
      <c r="L3528" s="4">
        <f>MIN(MAX(L3527*(1+MAX(MIN(((B3528-B3527)/B3527)/($K$7*卓尔金历!$N$40),0),-卓尔金历!$M$43))+MIN(MAX(((B3528-B3527)/B3527)/($K$7*卓尔金历!$N$40),0),卓尔金历!$M$43),0),1)</f>
        <v>0.91716070888519219</v>
      </c>
      <c r="M3528" s="4">
        <f>MIN(MAX(M3527*(1+MAX(MIN(((B3528-B3527)/B3527)/($K$7*30),0),-卓尔金历!$M$43))+MIN(MAX(((B3528-B3527)/B3527)/($K$7*7),0),卓尔金历!$M$43),0),1)</f>
        <v>0.97895541996437296</v>
      </c>
      <c r="N3528">
        <f t="shared" si="493"/>
        <v>194789.81388654845</v>
      </c>
      <c r="O3528">
        <f t="shared" si="494"/>
        <v>554915.52027823403</v>
      </c>
      <c r="P3528">
        <f t="shared" si="495"/>
        <v>8.117141845350751E-4</v>
      </c>
      <c r="Q3528">
        <f t="shared" si="496"/>
        <v>4.2910679268660275E-2</v>
      </c>
      <c r="R3528">
        <f t="shared" si="497"/>
        <v>1</v>
      </c>
      <c r="S3528">
        <f t="shared" si="489"/>
        <v>1116.6250673944678</v>
      </c>
      <c r="T3528" s="564">
        <f>IF((I3528-MAX(I$470:I3528))/MAX(I$470:I3528)&gt;T3527,T3527,(I3528-MAX(I$470:I3528))/MAX(I$470:I3528))</f>
        <v>-0.91338805338419748</v>
      </c>
      <c r="U3528" s="564">
        <f>IF((J3528-MAX(J$470:J3528))/MAX(J$470:J3528)&gt;U3527,U3527,(J3528-MAX(J$470:J3528))/MAX(J$470:J3528))</f>
        <v>-0.83569785939843477</v>
      </c>
      <c r="V3528" s="564">
        <f>IF((K3528-MAX(K$470:K3528))/MAX(K$470:K3528)&gt;V3527,V3527,(K3528-MAX(K$470:K3528))/MAX(K$470:K3528))</f>
        <v>-0.84885940676762139</v>
      </c>
      <c r="W3528" s="564">
        <f>IF((N3528-MAX(N$470:N3528))/MAX(N$470:N3528)&gt;W3527,W3527,(N3528-MAX(N$470:N3528))/MAX(N$470:N3528))</f>
        <v>-0.62788758315546067</v>
      </c>
      <c r="X3528" s="564">
        <f>IF((O3528-MAX(O$470:O3528))/MAX(O$470:O3528)&gt;X3527,X3527,(O3528-MAX(O$470:O3528))/MAX(O$470:O3528))</f>
        <v>-0.62788758315546067</v>
      </c>
    </row>
    <row r="3529" spans="1:24">
      <c r="A3529" s="799">
        <v>43931</v>
      </c>
      <c r="B3529">
        <v>6775.6141450544001</v>
      </c>
      <c r="C3529">
        <v>8916.8462130000007</v>
      </c>
      <c r="D3529">
        <v>1.2439359999999999</v>
      </c>
      <c r="E3529">
        <f>LN(D3529/参数实验室!$E$53)/参数实验室!$E$55</f>
        <v>-0.43545111162835459</v>
      </c>
      <c r="F3529">
        <f t="shared" si="498"/>
        <v>1.3160203668782573</v>
      </c>
      <c r="G3529">
        <f>LN(F3529/参数实验室!$E$58)/参数实验室!$E$59</f>
        <v>-4.6398643924113532E-2</v>
      </c>
      <c r="H3529" s="856">
        <f>INDEX(神经网络!$G$10:$BO$70,MATCH(ROUND(G3529*2,1)/2,神经网络!$E$10:$E$70,0),MATCH(ROUND(E3529*2,1)/2,神经网络!$G$8:$BO$8,0))</f>
        <v>-0.26259475049172853</v>
      </c>
      <c r="I3529">
        <f t="shared" si="490"/>
        <v>607061.04089136177</v>
      </c>
      <c r="J3529">
        <f t="shared" si="491"/>
        <v>2703.6487550594111</v>
      </c>
      <c r="K3529">
        <f t="shared" si="492"/>
        <v>224.53398939316804</v>
      </c>
      <c r="L3529" s="4">
        <f>MIN(MAX(L3528*(1+MAX(MIN(((B3529-B3528)/B3528)/($K$7*卓尔金历!$N$40),0),-卓尔金历!$M$43))+MIN(MAX(((B3529-B3528)/B3528)/($K$7*卓尔金历!$N$40),0),卓尔金历!$M$43),0),1)</f>
        <v>0</v>
      </c>
      <c r="M3529" s="4">
        <f>MIN(MAX(M3528*(1+MAX(MIN(((B3529-B3528)/B3528)/($K$7*30),0),-卓尔金历!$M$43))+MIN(MAX(((B3529-B3528)/B3528)/($K$7*7),0),卓尔金历!$M$43),0),1)</f>
        <v>0.46556548927749691</v>
      </c>
      <c r="N3529">
        <f t="shared" si="493"/>
        <v>196964.76535398178</v>
      </c>
      <c r="O3529">
        <f t="shared" si="494"/>
        <v>561528.96416913054</v>
      </c>
      <c r="P3529">
        <f t="shared" si="495"/>
        <v>-6.8646491972095269E-2</v>
      </c>
      <c r="Q3529">
        <f t="shared" si="496"/>
        <v>3.7959555379553034E-2</v>
      </c>
      <c r="R3529">
        <f t="shared" si="497"/>
        <v>1.7488300119741555E-2</v>
      </c>
      <c r="S3529">
        <f t="shared" si="489"/>
        <v>1130.2190046068656</v>
      </c>
      <c r="T3529" s="564">
        <f>IF((I3529-MAX(I$470:I3529))/MAX(I$470:I3529)&gt;T3528,T3528,(I3529-MAX(I$470:I3529))/MAX(I$470:I3529))</f>
        <v>-0.91338805338419748</v>
      </c>
      <c r="U3529" s="564">
        <f>IF((J3529-MAX(J$470:J3529))/MAX(J$470:J3529)&gt;U3528,U3528,(J3529-MAX(J$470:J3529))/MAX(J$470:J3529))</f>
        <v>-0.83569785939843477</v>
      </c>
      <c r="V3529" s="564">
        <f>IF((K3529-MAX(K$470:K3529))/MAX(K$470:K3529)&gt;V3528,V3528,(K3529-MAX(K$470:K3529))/MAX(K$470:K3529))</f>
        <v>-0.84885940676762139</v>
      </c>
      <c r="W3529" s="564">
        <f>IF((N3529-MAX(N$470:N3529))/MAX(N$470:N3529)&gt;W3528,W3528,(N3529-MAX(N$470:N3529))/MAX(N$470:N3529))</f>
        <v>-0.62788758315546067</v>
      </c>
      <c r="X3529" s="564">
        <f>IF((O3529-MAX(O$470:O3529))/MAX(O$470:O3529)&gt;X3528,X3528,(O3529-MAX(O$470:O3529))/MAX(O$470:O3529))</f>
        <v>-0.62788758315546067</v>
      </c>
    </row>
    <row r="3530" spans="1:24">
      <c r="A3530" s="799">
        <v>43932</v>
      </c>
      <c r="B3530">
        <v>6832.271127686</v>
      </c>
      <c r="C3530">
        <v>8867.9309969999995</v>
      </c>
      <c r="D3530">
        <v>1.2482850000000001</v>
      </c>
      <c r="E3530">
        <f>LN(D3530/参数实验室!$E$53)/参数实验室!$E$55</f>
        <v>-0.43133369823205159</v>
      </c>
      <c r="F3530">
        <f t="shared" si="498"/>
        <v>1.2979477586984243</v>
      </c>
      <c r="G3530">
        <f>LN(F3530/参数实验室!$E$58)/参数实验室!$E$59</f>
        <v>-5.3656293719967343E-2</v>
      </c>
      <c r="H3530" s="856">
        <f>INDEX(神经网络!$G$10:$BO$70,MATCH(ROUND(G3530*2,1)/2,神经网络!$E$10:$E$70,0),MATCH(ROUND(E3530*2,1)/2,神经网络!$G$8:$BO$8,0))</f>
        <v>-0.26259475049172853</v>
      </c>
      <c r="I3530">
        <f t="shared" si="490"/>
        <v>605728.06228948163</v>
      </c>
      <c r="J3530">
        <f t="shared" si="491"/>
        <v>2726.2563854937912</v>
      </c>
      <c r="K3530">
        <f t="shared" si="492"/>
        <v>222.1830879562597</v>
      </c>
      <c r="L3530" s="4">
        <f>MIN(MAX(L3529*(1+MAX(MIN(((B3530-B3529)/B3529)/($K$7*卓尔金历!$N$40),0),-卓尔金历!$M$43))+MIN(MAX(((B3530-B3529)/B3529)/($K$7*卓尔金历!$N$40),0),卓尔金历!$M$43),0),1)</f>
        <v>0.12776175066045523</v>
      </c>
      <c r="M3530" s="4">
        <f>MIN(MAX(M3529*(1+MAX(MIN(((B3530-B3529)/B3529)/($K$7*30),0),-卓尔金历!$M$43))+MIN(MAX(((B3530-B3529)/B3529)/($K$7*7),0),卓尔金历!$M$43),0),1)</f>
        <v>0.73934066926418662</v>
      </c>
      <c r="N3530">
        <f t="shared" si="493"/>
        <v>196964.76535398178</v>
      </c>
      <c r="O3530">
        <f t="shared" si="494"/>
        <v>560954.92205110891</v>
      </c>
      <c r="P3530">
        <f t="shared" si="495"/>
        <v>8.3618962678024579E-3</v>
      </c>
      <c r="Q3530">
        <f t="shared" si="496"/>
        <v>3.5595596043801907E-2</v>
      </c>
      <c r="R3530">
        <f t="shared" si="497"/>
        <v>1</v>
      </c>
      <c r="S3530">
        <f t="shared" si="489"/>
        <v>1130.1756034786756</v>
      </c>
      <c r="T3530" s="564">
        <f>IF((I3530-MAX(I$470:I3530))/MAX(I$470:I3530)&gt;T3529,T3529,(I3530-MAX(I$470:I3530))/MAX(I$470:I3530))</f>
        <v>-0.91338805338419748</v>
      </c>
      <c r="U3530" s="564">
        <f>IF((J3530-MAX(J$470:J3530))/MAX(J$470:J3530)&gt;U3529,U3529,(J3530-MAX(J$470:J3530))/MAX(J$470:J3530))</f>
        <v>-0.83569785939843477</v>
      </c>
      <c r="V3530" s="564">
        <f>IF((K3530-MAX(K$470:K3530))/MAX(K$470:K3530)&gt;V3529,V3529,(K3530-MAX(K$470:K3530))/MAX(K$470:K3530))</f>
        <v>-0.84885940676762139</v>
      </c>
      <c r="W3530" s="564">
        <f>IF((N3530-MAX(N$470:N3530))/MAX(N$470:N3530)&gt;W3529,W3529,(N3530-MAX(N$470:N3530))/MAX(N$470:N3530))</f>
        <v>-0.62788758315546067</v>
      </c>
      <c r="X3530" s="564">
        <f>IF((O3530-MAX(O$470:O3530))/MAX(O$470:O3530)&gt;X3529,X3529,(O3530-MAX(O$470:O3530))/MAX(O$470:O3530))</f>
        <v>-0.62788758315546067</v>
      </c>
    </row>
    <row r="3531" spans="1:24">
      <c r="A3531" s="799">
        <v>43933</v>
      </c>
      <c r="B3531">
        <v>7013.7190652432</v>
      </c>
      <c r="C3531">
        <v>8692.0092380000006</v>
      </c>
      <c r="D3531">
        <v>1.265541</v>
      </c>
      <c r="E3531">
        <f>LN(D3531/参数实验室!$E$53)/参数实验室!$E$55</f>
        <v>-0.4151367603820153</v>
      </c>
      <c r="F3531">
        <f t="shared" si="498"/>
        <v>1.2392867688518696</v>
      </c>
      <c r="G3531">
        <f>LN(F3531/参数实验室!$E$58)/参数实验室!$E$59</f>
        <v>-7.7929923115789224E-2</v>
      </c>
      <c r="H3531" s="856">
        <f>INDEX(神经网络!$G$10:$BO$70,MATCH(ROUND(G3531*2,1)/2,神经网络!$E$10:$E$70,0),MATCH(ROUND(E3531*2,1)/2,神经网络!$G$8:$BO$8,0))</f>
        <v>-0.30661717938408184</v>
      </c>
      <c r="I3531">
        <f t="shared" si="490"/>
        <v>601503.80192877771</v>
      </c>
      <c r="J3531">
        <f t="shared" si="491"/>
        <v>2798.6588983852157</v>
      </c>
      <c r="K3531">
        <f t="shared" si="492"/>
        <v>214.92572827500931</v>
      </c>
      <c r="L3531" s="4">
        <f>MIN(MAX(L3530*(1+MAX(MIN(((B3531-B3530)/B3530)/($K$7*卓尔金历!$N$40),0),-卓尔金历!$M$43))+MIN(MAX(((B3531-B3530)/B3530)/($K$7*卓尔金历!$N$40),0),卓尔金历!$M$43),0),1)</f>
        <v>0.53353463518195154</v>
      </c>
      <c r="M3531" s="4">
        <f>MIN(MAX(M3530*(1+MAX(MIN(((B3531-B3530)/B3530)/($K$7*30),0),-卓尔金历!$M$43))+MIN(MAX(((B3531-B3530)/B3530)/($K$7*7),0),卓尔金历!$M$43),0),1)</f>
        <v>1</v>
      </c>
      <c r="N3531">
        <f t="shared" si="493"/>
        <v>196789.27131035505</v>
      </c>
      <c r="O3531">
        <f t="shared" si="494"/>
        <v>558062.60736302193</v>
      </c>
      <c r="P3531">
        <f t="shared" si="495"/>
        <v>2.6557484936733482E-2</v>
      </c>
      <c r="Q3531">
        <f t="shared" si="496"/>
        <v>3.5344393570158977E-2</v>
      </c>
      <c r="R3531">
        <f t="shared" si="497"/>
        <v>0.33159797516166351</v>
      </c>
      <c r="S3531">
        <f t="shared" si="489"/>
        <v>1122.2939214176454</v>
      </c>
      <c r="T3531" s="564">
        <f>IF((I3531-MAX(I$470:I3531))/MAX(I$470:I3531)&gt;T3530,T3530,(I3531-MAX(I$470:I3531))/MAX(I$470:I3531))</f>
        <v>-0.91338805338419748</v>
      </c>
      <c r="U3531" s="564">
        <f>IF((J3531-MAX(J$470:J3531))/MAX(J$470:J3531)&gt;U3530,U3530,(J3531-MAX(J$470:J3531))/MAX(J$470:J3531))</f>
        <v>-0.83569785939843477</v>
      </c>
      <c r="V3531" s="564">
        <f>IF((K3531-MAX(K$470:K3531))/MAX(K$470:K3531)&gt;V3530,V3530,(K3531-MAX(K$470:K3531))/MAX(K$470:K3531))</f>
        <v>-0.84885940676762139</v>
      </c>
      <c r="W3531" s="564">
        <f>IF((N3531-MAX(N$470:N3531))/MAX(N$470:N3531)&gt;W3530,W3530,(N3531-MAX(N$470:N3531))/MAX(N$470:N3531))</f>
        <v>-0.62788758315546067</v>
      </c>
      <c r="X3531" s="564">
        <f>IF((O3531-MAX(O$470:O3531))/MAX(O$470:O3531)&gt;X3530,X3530,(O3531-MAX(O$470:O3531))/MAX(O$470:O3531))</f>
        <v>-0.62788758315546067</v>
      </c>
    </row>
    <row r="3532" spans="1:24">
      <c r="A3532" s="799">
        <v>43934</v>
      </c>
      <c r="B3532">
        <v>6767.6891017051003</v>
      </c>
      <c r="C3532">
        <v>8429.6959380000008</v>
      </c>
      <c r="D3532">
        <v>1.2450019999999999</v>
      </c>
      <c r="E3532">
        <f>LN(D3532/参数实验室!$E$53)/参数实验室!$E$55</f>
        <v>-0.43444054645158259</v>
      </c>
      <c r="F3532">
        <f t="shared" si="498"/>
        <v>1.2455796670500368</v>
      </c>
      <c r="G3532">
        <f>LN(F3532/参数实验室!$E$58)/参数实验室!$E$59</f>
        <v>-7.5271542709286487E-2</v>
      </c>
      <c r="H3532" s="856">
        <f>INDEX(神经网络!$G$10:$BO$70,MATCH(ROUND(G3532*2,1)/2,神经网络!$E$10:$E$70,0),MATCH(ROUND(E3532*2,1)/2,神经网络!$G$8:$BO$8,0))</f>
        <v>-0.34771742471376055</v>
      </c>
      <c r="I3532">
        <f t="shared" si="490"/>
        <v>607973.35823445034</v>
      </c>
      <c r="J3532">
        <f t="shared" si="491"/>
        <v>2700.4864537349226</v>
      </c>
      <c r="K3532">
        <f t="shared" si="492"/>
        <v>225.13475577468253</v>
      </c>
      <c r="L3532" s="4">
        <f>MIN(MAX(L3531*(1+MAX(MIN(((B3532-B3531)/B3531)/($K$7*卓尔金历!$N$40),0),-卓尔金历!$M$43))+MIN(MAX(((B3532-B3531)/B3531)/($K$7*卓尔金历!$N$40),0),卓尔金历!$M$43),0),1)</f>
        <v>0.24757921555694717</v>
      </c>
      <c r="M3532" s="4">
        <f>MIN(MAX(M3531*(1+MAX(MIN(((B3532-B3531)/B3531)/($K$7*30),0),-卓尔金历!$M$43))+MIN(MAX(((B3532-B3531)/B3531)/($K$7*7),0),卓尔金历!$M$43),0),1)</f>
        <v>0.73201794150862876</v>
      </c>
      <c r="N3532">
        <f t="shared" si="493"/>
        <v>197918.54745850436</v>
      </c>
      <c r="O3532">
        <f t="shared" si="494"/>
        <v>564064.92596657597</v>
      </c>
      <c r="P3532">
        <f t="shared" si="495"/>
        <v>-3.5078388690717922E-2</v>
      </c>
      <c r="Q3532">
        <f t="shared" si="496"/>
        <v>3.6281469610166948E-2</v>
      </c>
      <c r="R3532">
        <f t="shared" si="497"/>
        <v>7.0258171443350323E-2</v>
      </c>
      <c r="S3532">
        <f t="shared" si="489"/>
        <v>1126.2966357923751</v>
      </c>
      <c r="T3532" s="564">
        <f>IF((I3532-MAX(I$470:I3532))/MAX(I$470:I3532)&gt;T3531,T3531,(I3532-MAX(I$470:I3532))/MAX(I$470:I3532))</f>
        <v>-0.91338805338419748</v>
      </c>
      <c r="U3532" s="564">
        <f>IF((J3532-MAX(J$470:J3532))/MAX(J$470:J3532)&gt;U3531,U3531,(J3532-MAX(J$470:J3532))/MAX(J$470:J3532))</f>
        <v>-0.83569785939843477</v>
      </c>
      <c r="V3532" s="564">
        <f>IF((K3532-MAX(K$470:K3532))/MAX(K$470:K3532)&gt;V3531,V3531,(K3532-MAX(K$470:K3532))/MAX(K$470:K3532))</f>
        <v>-0.84885940676762139</v>
      </c>
      <c r="W3532" s="564">
        <f>IF((N3532-MAX(N$470:N3532))/MAX(N$470:N3532)&gt;W3531,W3531,(N3532-MAX(N$470:N3532))/MAX(N$470:N3532))</f>
        <v>-0.62788758315546067</v>
      </c>
      <c r="X3532" s="564">
        <f>IF((O3532-MAX(O$470:O3532))/MAX(O$470:O3532)&gt;X3531,X3531,(O3532-MAX(O$470:O3532))/MAX(O$470:O3532))</f>
        <v>-0.62788758315546067</v>
      </c>
    </row>
    <row r="3533" spans="1:24">
      <c r="A3533" s="799">
        <v>43935</v>
      </c>
      <c r="B3533">
        <v>6897.2892728215002</v>
      </c>
      <c r="C3533">
        <v>8143.0901839999997</v>
      </c>
      <c r="D3533">
        <v>1.2472730000000001</v>
      </c>
      <c r="E3533">
        <f>LN(D3533/参数实验室!$E$53)/参数实验室!$E$55</f>
        <v>-0.43229052660337774</v>
      </c>
      <c r="F3533">
        <f t="shared" si="498"/>
        <v>1.180621815600446</v>
      </c>
      <c r="G3533">
        <f>LN(F3533/参数实验室!$E$58)/参数实验室!$E$59</f>
        <v>-0.10338259694550204</v>
      </c>
      <c r="H3533" s="856">
        <f>INDEX(神经网络!$G$10:$BO$70,MATCH(ROUND(G3533*2,1)/2,神经网络!$E$10:$E$70,0),MATCH(ROUND(E3533*2,1)/2,神经网络!$G$8:$BO$8,0))</f>
        <v>-0.34771742471376055</v>
      </c>
      <c r="I3533">
        <f t="shared" si="490"/>
        <v>603925.02570244623</v>
      </c>
      <c r="J3533">
        <f t="shared" si="491"/>
        <v>2752.2003402982682</v>
      </c>
      <c r="K3533">
        <f t="shared" si="492"/>
        <v>219.43352628064721</v>
      </c>
      <c r="L3533" s="4">
        <f>MIN(MAX(L3532*(1+MAX(MIN(((B3533-B3532)/B3532)/($K$7*卓尔金历!$N$40),0),-卓尔金历!$M$43))+MIN(MAX(((B3533-B3532)/B3532)/($K$7*卓尔金历!$N$40),0),卓尔金历!$M$43),0),1)</f>
        <v>0.54017041129895893</v>
      </c>
      <c r="M3533" s="4">
        <f>MIN(MAX(M3532*(1+MAX(MIN(((B3533-B3532)/B3532)/($K$7*30),0),-卓尔金历!$M$43))+MIN(MAX(((B3533-B3532)/B3532)/($K$7*7),0),卓尔金历!$M$43),0),1)</f>
        <v>1</v>
      </c>
      <c r="N3533">
        <f t="shared" si="493"/>
        <v>197592.2660658274</v>
      </c>
      <c r="O3533">
        <f t="shared" si="494"/>
        <v>561315.49733349169</v>
      </c>
      <c r="P3533">
        <f t="shared" si="495"/>
        <v>1.9149841130223832E-2</v>
      </c>
      <c r="Q3533">
        <f t="shared" si="496"/>
        <v>3.4778516320095369E-2</v>
      </c>
      <c r="R3533">
        <f t="shared" si="497"/>
        <v>0.65463624901591544</v>
      </c>
      <c r="S3533">
        <f t="shared" si="489"/>
        <v>1125.7697199464947</v>
      </c>
      <c r="T3533" s="564">
        <f>IF((I3533-MAX(I$470:I3533))/MAX(I$470:I3533)&gt;T3532,T3532,(I3533-MAX(I$470:I3533))/MAX(I$470:I3533))</f>
        <v>-0.91338805338419748</v>
      </c>
      <c r="U3533" s="564">
        <f>IF((J3533-MAX(J$470:J3533))/MAX(J$470:J3533)&gt;U3532,U3532,(J3533-MAX(J$470:J3533))/MAX(J$470:J3533))</f>
        <v>-0.83569785939843477</v>
      </c>
      <c r="V3533" s="564">
        <f>IF((K3533-MAX(K$470:K3533))/MAX(K$470:K3533)&gt;V3532,V3532,(K3533-MAX(K$470:K3533))/MAX(K$470:K3533))</f>
        <v>-0.84885940676762139</v>
      </c>
      <c r="W3533" s="564">
        <f>IF((N3533-MAX(N$470:N3533))/MAX(N$470:N3533)&gt;W3532,W3532,(N3533-MAX(N$470:N3533))/MAX(N$470:N3533))</f>
        <v>-0.62788758315546067</v>
      </c>
      <c r="X3533" s="564">
        <f>IF((O3533-MAX(O$470:O3533))/MAX(O$470:O3533)&gt;X3532,X3532,(O3533-MAX(O$470:O3533))/MAX(O$470:O3533))</f>
        <v>-0.62788758315546067</v>
      </c>
    </row>
    <row r="3534" spans="1:24">
      <c r="A3534" s="799">
        <v>43936</v>
      </c>
      <c r="B3534">
        <v>6709.4301468019003</v>
      </c>
      <c r="C3534">
        <v>7863.898416</v>
      </c>
      <c r="D3534">
        <v>1.2025250000000001</v>
      </c>
      <c r="E3534">
        <f>LN(D3534/参数实验室!$E$53)/参数实验室!$E$55</f>
        <v>-0.47539405643130456</v>
      </c>
      <c r="F3534">
        <f t="shared" si="498"/>
        <v>1.1720665159243644</v>
      </c>
      <c r="G3534">
        <f>LN(F3534/参数实验室!$E$58)/参数实验室!$E$59</f>
        <v>-0.10719976503951624</v>
      </c>
      <c r="H3534" s="856">
        <f>INDEX(神经网络!$G$10:$BO$70,MATCH(ROUND(G3534*2,1)/2,神经网络!$E$10:$E$70,0),MATCH(ROUND(E3534*2,1)/2,神经网络!$G$8:$BO$8,0))</f>
        <v>-0.38035935351566896</v>
      </c>
      <c r="I3534">
        <f t="shared" si="490"/>
        <v>609644.59515180369</v>
      </c>
      <c r="J3534">
        <f t="shared" si="491"/>
        <v>2677.2395941111249</v>
      </c>
      <c r="K3534">
        <f t="shared" si="492"/>
        <v>227.71387233805382</v>
      </c>
      <c r="L3534" s="4">
        <f>MIN(MAX(L3533*(1+MAX(MIN(((B3534-B3533)/B3533)/($K$7*卓尔金历!$N$40),0),-卓尔金历!$M$43))+MIN(MAX(((B3534-B3533)/B3533)/($K$7*卓尔金历!$N$40),0),卓尔金历!$M$43),0),1)</f>
        <v>0.31537847585839718</v>
      </c>
      <c r="M3534" s="4">
        <f>MIN(MAX(M3533*(1+MAX(MIN(((B3534-B3533)/B3533)/($K$7*30),0),-卓尔金历!$M$43))+MIN(MAX(((B3534-B3533)/B3533)/($K$7*7),0),卓尔金历!$M$43),0),1)</f>
        <v>0.79192498261798538</v>
      </c>
      <c r="N3534">
        <f t="shared" si="493"/>
        <v>198603.10286650475</v>
      </c>
      <c r="O3534">
        <f t="shared" si="494"/>
        <v>566631.52636584605</v>
      </c>
      <c r="P3534">
        <f t="shared" si="495"/>
        <v>-2.7236660460197237E-2</v>
      </c>
      <c r="Q3534">
        <f t="shared" si="496"/>
        <v>3.5255706385029735E-2</v>
      </c>
      <c r="R3534">
        <f t="shared" si="497"/>
        <v>0.30181710531439498</v>
      </c>
      <c r="S3534">
        <f t="shared" si="489"/>
        <v>1132.7493101464215</v>
      </c>
      <c r="T3534" s="564">
        <f>IF((I3534-MAX(I$470:I3534))/MAX(I$470:I3534)&gt;T3533,T3533,(I3534-MAX(I$470:I3534))/MAX(I$470:I3534))</f>
        <v>-0.91338805338419748</v>
      </c>
      <c r="U3534" s="564">
        <f>IF((J3534-MAX(J$470:J3534))/MAX(J$470:J3534)&gt;U3533,U3533,(J3534-MAX(J$470:J3534))/MAX(J$470:J3534))</f>
        <v>-0.83569785939843477</v>
      </c>
      <c r="V3534" s="564">
        <f>IF((K3534-MAX(K$470:K3534))/MAX(K$470:K3534)&gt;V3533,V3533,(K3534-MAX(K$470:K3534))/MAX(K$470:K3534))</f>
        <v>-0.84885940676762139</v>
      </c>
      <c r="W3534" s="564">
        <f>IF((N3534-MAX(N$470:N3534))/MAX(N$470:N3534)&gt;W3533,W3533,(N3534-MAX(N$470:N3534))/MAX(N$470:N3534))</f>
        <v>-0.62788758315546067</v>
      </c>
      <c r="X3534" s="564">
        <f>IF((O3534-MAX(O$470:O3534))/MAX(O$470:O3534)&gt;X3533,X3533,(O3534-MAX(O$470:O3534))/MAX(O$470:O3534))</f>
        <v>-0.62788758315546067</v>
      </c>
    </row>
    <row r="3535" spans="1:24">
      <c r="A3535" s="799">
        <v>43937</v>
      </c>
      <c r="B3535">
        <v>7039.3457961692002</v>
      </c>
      <c r="C3535">
        <v>7698.0348329999997</v>
      </c>
      <c r="D3535">
        <v>1.293291</v>
      </c>
      <c r="E3535">
        <f>LN(D3535/参数实验室!$E$53)/参数实验室!$E$55</f>
        <v>-0.38954740082255501</v>
      </c>
      <c r="F3535">
        <f t="shared" si="498"/>
        <v>1.0935724790206012</v>
      </c>
      <c r="G3535">
        <f>LN(F3535/参数实验室!$E$58)/参数实验室!$E$59</f>
        <v>-0.14358191415026686</v>
      </c>
      <c r="H3535" s="856">
        <f>INDEX(神经网络!$G$10:$BO$70,MATCH(ROUND(G3535*2,1)/2,神经网络!$E$10:$E$70,0),MATCH(ROUND(E3535*2,1)/2,神经网络!$G$8:$BO$8,0))</f>
        <v>-0.38990896592980601</v>
      </c>
      <c r="I3535">
        <f t="shared" si="490"/>
        <v>598242.40946532076</v>
      </c>
      <c r="J3535">
        <f t="shared" si="491"/>
        <v>2808.8846399462072</v>
      </c>
      <c r="K3535">
        <f t="shared" si="492"/>
        <v>212.98219263172646</v>
      </c>
      <c r="L3535" s="4">
        <f>MIN(MAX(L3534*(1+MAX(MIN(((B3535-B3534)/B3534)/($K$7*卓尔金历!$N$40),0),-卓尔金历!$M$43))+MIN(MAX(((B3535-B3534)/B3534)/($K$7*卓尔金历!$N$40),0),卓尔金历!$M$43),0),1)</f>
        <v>1</v>
      </c>
      <c r="M3535" s="4">
        <f>MIN(MAX(M3534*(1+MAX(MIN(((B3535-B3534)/B3534)/($K$7*30),0),-卓尔金历!$M$43))+MIN(MAX(((B3535-B3534)/B3534)/($K$7*7),0),卓尔金历!$M$43),0),1)</f>
        <v>1</v>
      </c>
      <c r="N3535">
        <f t="shared" si="493"/>
        <v>197431.63748039192</v>
      </c>
      <c r="O3535">
        <f t="shared" si="494"/>
        <v>558238.93342553137</v>
      </c>
      <c r="P3535">
        <f t="shared" si="495"/>
        <v>4.9171932958353648E-2</v>
      </c>
      <c r="Q3535">
        <f t="shared" si="496"/>
        <v>3.6640468644954051E-2</v>
      </c>
      <c r="R3535">
        <f t="shared" si="497"/>
        <v>2.4884547149210352E-2</v>
      </c>
      <c r="S3535">
        <f t="shared" si="489"/>
        <v>1126.3550686102346</v>
      </c>
      <c r="T3535" s="564">
        <f>IF((I3535-MAX(I$470:I3535))/MAX(I$470:I3535)&gt;T3534,T3534,(I3535-MAX(I$470:I3535))/MAX(I$470:I3535))</f>
        <v>-0.91338805338419748</v>
      </c>
      <c r="U3535" s="564">
        <f>IF((J3535-MAX(J$470:J3535))/MAX(J$470:J3535)&gt;U3534,U3534,(J3535-MAX(J$470:J3535))/MAX(J$470:J3535))</f>
        <v>-0.83569785939843477</v>
      </c>
      <c r="V3535" s="564">
        <f>IF((K3535-MAX(K$470:K3535))/MAX(K$470:K3535)&gt;V3534,V3534,(K3535-MAX(K$470:K3535))/MAX(K$470:K3535))</f>
        <v>-0.84885940676762139</v>
      </c>
      <c r="W3535" s="564">
        <f>IF((N3535-MAX(N$470:N3535))/MAX(N$470:N3535)&gt;W3534,W3534,(N3535-MAX(N$470:N3535))/MAX(N$470:N3535))</f>
        <v>-0.62788758315546067</v>
      </c>
      <c r="X3535" s="564">
        <f>IF((O3535-MAX(O$470:O3535))/MAX(O$470:O3535)&gt;X3534,X3534,(O3535-MAX(O$470:O3535))/MAX(O$470:O3535))</f>
        <v>-0.62788758315546067</v>
      </c>
    </row>
    <row r="3536" spans="1:24">
      <c r="A3536" s="799">
        <v>43938</v>
      </c>
      <c r="B3536">
        <v>7046.0371359643996</v>
      </c>
      <c r="C3536">
        <v>7557.2649380000003</v>
      </c>
      <c r="D3536">
        <v>1.2848299999999999</v>
      </c>
      <c r="E3536">
        <f>LN(D3536/参数实验室!$E$53)/参数实验室!$E$55</f>
        <v>-0.39729096913002726</v>
      </c>
      <c r="F3536">
        <f t="shared" si="498"/>
        <v>1.0725553658277205</v>
      </c>
      <c r="G3536">
        <f>LN(F3536/参数实验室!$E$58)/参数实验室!$E$59</f>
        <v>-0.15376715139943972</v>
      </c>
      <c r="H3536" s="856">
        <f>INDEX(神经网络!$G$10:$BO$70,MATCH(ROUND(G3536*2,1)/2,神经网络!$E$10:$E$70,0),MATCH(ROUND(E3536*2,1)/2,神经网络!$G$8:$BO$8,0))</f>
        <v>-0.38990896592980601</v>
      </c>
      <c r="I3536">
        <f t="shared" si="490"/>
        <v>598020.68112633703</v>
      </c>
      <c r="J3536">
        <f t="shared" si="491"/>
        <v>2811.5546610128845</v>
      </c>
      <c r="K3536">
        <f t="shared" si="492"/>
        <v>212.70106870726653</v>
      </c>
      <c r="L3536" s="4">
        <f>MIN(MAX(L3535*(1+MAX(MIN(((B3536-B3535)/B3535)/($K$7*卓尔金历!$N$40),0),-卓尔金历!$M$43))+MIN(MAX(((B3536-B3535)/B3535)/($K$7*卓尔金历!$N$40),0),卓尔金历!$M$43),0),1)</f>
        <v>1</v>
      </c>
      <c r="M3536" s="4">
        <f>MIN(MAX(M3535*(1+MAX(MIN(((B3536-B3535)/B3535)/($K$7*30),0),-卓尔金历!$M$43))+MIN(MAX(((B3536-B3535)/B3535)/($K$7*7),0),卓尔金历!$M$43),0),1)</f>
        <v>1</v>
      </c>
      <c r="N3536">
        <f t="shared" si="493"/>
        <v>197358.46281348643</v>
      </c>
      <c r="O3536">
        <f t="shared" si="494"/>
        <v>558032.03169221035</v>
      </c>
      <c r="P3536">
        <f t="shared" si="495"/>
        <v>9.505627353668005E-4</v>
      </c>
      <c r="Q3536">
        <f t="shared" si="496"/>
        <v>3.6640853744884523E-2</v>
      </c>
      <c r="R3536">
        <f t="shared" si="497"/>
        <v>1</v>
      </c>
      <c r="S3536">
        <f t="shared" si="489"/>
        <v>1126.3446802006035</v>
      </c>
      <c r="T3536" s="564">
        <f>IF((I3536-MAX(I$470:I3536))/MAX(I$470:I3536)&gt;T3535,T3535,(I3536-MAX(I$470:I3536))/MAX(I$470:I3536))</f>
        <v>-0.91338805338419748</v>
      </c>
      <c r="U3536" s="564">
        <f>IF((J3536-MAX(J$470:J3536))/MAX(J$470:J3536)&gt;U3535,U3535,(J3536-MAX(J$470:J3536))/MAX(J$470:J3536))</f>
        <v>-0.83569785939843477</v>
      </c>
      <c r="V3536" s="564">
        <f>IF((K3536-MAX(K$470:K3536))/MAX(K$470:K3536)&gt;V3535,V3535,(K3536-MAX(K$470:K3536))/MAX(K$470:K3536))</f>
        <v>-0.84885940676762139</v>
      </c>
      <c r="W3536" s="564">
        <f>IF((N3536-MAX(N$470:N3536))/MAX(N$470:N3536)&gt;W3535,W3535,(N3536-MAX(N$470:N3536))/MAX(N$470:N3536))</f>
        <v>-0.62788758315546067</v>
      </c>
      <c r="X3536" s="564">
        <f>IF((O3536-MAX(O$470:O3536))/MAX(O$470:O3536)&gt;X3535,X3535,(O3536-MAX(O$470:O3536))/MAX(O$470:O3536))</f>
        <v>-0.62788758315546067</v>
      </c>
    </row>
    <row r="3537" spans="1:24">
      <c r="A3537" s="799">
        <v>43939</v>
      </c>
      <c r="B3537">
        <v>7226.9212025446004</v>
      </c>
      <c r="C3537">
        <v>7299.3639110000004</v>
      </c>
      <c r="D3537">
        <v>1.317393</v>
      </c>
      <c r="E3537">
        <f>LN(D3537/参数实验室!$E$53)/参数实验室!$E$55</f>
        <v>-0.3677636686216374</v>
      </c>
      <c r="F3537">
        <f t="shared" si="498"/>
        <v>1.0100240069630055</v>
      </c>
      <c r="G3537">
        <f>LN(F3537/参数实验室!$E$58)/参数实验室!$E$59</f>
        <v>-0.18529507802575843</v>
      </c>
      <c r="H3537" s="856">
        <f>INDEX(神经网络!$G$10:$BO$70,MATCH(ROUND(G3537*2,1)/2,神经网络!$E$10:$E$70,0),MATCH(ROUND(E3537*2,1)/2,神经网络!$G$8:$BO$8,0))</f>
        <v>-0.43513968992096197</v>
      </c>
      <c r="I3537">
        <f t="shared" si="490"/>
        <v>592034.70734212687</v>
      </c>
      <c r="J3537">
        <f t="shared" si="491"/>
        <v>2883.7321745120271</v>
      </c>
      <c r="K3537">
        <f t="shared" si="492"/>
        <v>205.3015576740612</v>
      </c>
      <c r="L3537" s="4">
        <f>MIN(MAX(L3536*(1+MAX(MIN(((B3537-B3536)/B3536)/($K$7*卓尔金历!$N$40),0),-卓尔金历!$M$43))+MIN(MAX(((B3537-B3536)/B3536)/($K$7*卓尔金历!$N$40),0),卓尔金历!$M$43),0),1)</f>
        <v>1</v>
      </c>
      <c r="M3537" s="4">
        <f>MIN(MAX(M3536*(1+MAX(MIN(((B3537-B3536)/B3536)/($K$7*30),0),-卓尔金历!$M$43))+MIN(MAX(((B3537-B3536)/B3536)/($K$7*7),0),卓尔金历!$M$43),0),1)</f>
        <v>1</v>
      </c>
      <c r="N3537">
        <f t="shared" si="493"/>
        <v>195382.97497204843</v>
      </c>
      <c r="O3537">
        <f t="shared" si="494"/>
        <v>552446.33003024152</v>
      </c>
      <c r="P3537">
        <f t="shared" si="495"/>
        <v>2.5671744711212488E-2</v>
      </c>
      <c r="Q3537">
        <f t="shared" si="496"/>
        <v>3.3986485237522887E-2</v>
      </c>
      <c r="R3537">
        <f t="shared" si="497"/>
        <v>0.32749324418076242</v>
      </c>
      <c r="S3537">
        <f t="shared" si="489"/>
        <v>1115.0703715680545</v>
      </c>
      <c r="T3537" s="564">
        <f>IF((I3537-MAX(I$470:I3537))/MAX(I$470:I3537)&gt;T3536,T3536,(I3537-MAX(I$470:I3537))/MAX(I$470:I3537))</f>
        <v>-0.91338805338419748</v>
      </c>
      <c r="U3537" s="564">
        <f>IF((J3537-MAX(J$470:J3537))/MAX(J$470:J3537)&gt;U3536,U3536,(J3537-MAX(J$470:J3537))/MAX(J$470:J3537))</f>
        <v>-0.83569785939843477</v>
      </c>
      <c r="V3537" s="564">
        <f>IF((K3537-MAX(K$470:K3537))/MAX(K$470:K3537)&gt;V3536,V3536,(K3537-MAX(K$470:K3537))/MAX(K$470:K3537))</f>
        <v>-0.84885940676762139</v>
      </c>
      <c r="W3537" s="564">
        <f>IF((N3537-MAX(N$470:N3537))/MAX(N$470:N3537)&gt;W3536,W3536,(N3537-MAX(N$470:N3537))/MAX(N$470:N3537))</f>
        <v>-0.62788758315546067</v>
      </c>
      <c r="X3537" s="564">
        <f>IF((O3537-MAX(O$470:O3537))/MAX(O$470:O3537)&gt;X3536,X3536,(O3537-MAX(O$470:O3537))/MAX(O$470:O3537))</f>
        <v>-0.62788758315546067</v>
      </c>
    </row>
    <row r="3538" spans="1:24">
      <c r="A3538" s="799">
        <v>43940</v>
      </c>
      <c r="B3538">
        <v>7108.1329834945</v>
      </c>
      <c r="C3538">
        <v>7091.2911569999997</v>
      </c>
      <c r="D3538">
        <v>1.296996</v>
      </c>
      <c r="E3538">
        <f>LN(D3538/参数实验室!$E$53)/参数实验室!$E$55</f>
        <v>-0.38617249391087943</v>
      </c>
      <c r="F3538">
        <f t="shared" si="498"/>
        <v>0.99763062585722462</v>
      </c>
      <c r="G3538">
        <f>LN(F3538/参数实验室!$E$58)/参数实验室!$E$59</f>
        <v>-0.1917750758310022</v>
      </c>
      <c r="H3538" s="856">
        <f>INDEX(神经网络!$G$10:$BO$70,MATCH(ROUND(G3538*2,1)/2,神经网络!$E$10:$E$70,0),MATCH(ROUND(E3538*2,1)/2,神经网络!$G$8:$BO$8,0))</f>
        <v>-0.47127462620209248</v>
      </c>
      <c r="I3538">
        <f t="shared" si="490"/>
        <v>596269.14669440698</v>
      </c>
      <c r="J3538">
        <f t="shared" si="491"/>
        <v>2836.332541995328</v>
      </c>
      <c r="K3538">
        <f t="shared" si="492"/>
        <v>210.22540124118817</v>
      </c>
      <c r="L3538" s="4">
        <f>MIN(MAX(L3537*(1+MAX(MIN(((B3538-B3537)/B3537)/($K$7*卓尔金历!$N$40),0),-卓尔金历!$M$43))+MIN(MAX(((B3538-B3537)/B3537)/($K$7*卓尔金历!$N$40),0),卓尔金历!$M$43),0),1)</f>
        <v>0.74885986110929204</v>
      </c>
      <c r="M3538" s="4">
        <f>MIN(MAX(M3537*(1+MAX(MIN(((B3538-B3537)/B3537)/($K$7*30),0),-卓尔金历!$M$43))+MIN(MAX(((B3538-B3537)/B3537)/($K$7*7),0),卓尔金历!$M$43),0),1)</f>
        <v>0.87442993055464602</v>
      </c>
      <c r="N3538">
        <f t="shared" si="493"/>
        <v>196780.42236445122</v>
      </c>
      <c r="O3538">
        <f t="shared" si="494"/>
        <v>556397.61945785768</v>
      </c>
      <c r="P3538">
        <f t="shared" si="495"/>
        <v>-1.643690524926093E-2</v>
      </c>
      <c r="Q3538">
        <f t="shared" si="496"/>
        <v>3.3902687022818082E-2</v>
      </c>
      <c r="R3538">
        <f t="shared" si="497"/>
        <v>0.78255666376950861</v>
      </c>
      <c r="S3538">
        <f t="shared" si="489"/>
        <v>1117.6822524792037</v>
      </c>
      <c r="T3538" s="564">
        <f>IF((I3538-MAX(I$470:I3538))/MAX(I$470:I3538)&gt;T3537,T3537,(I3538-MAX(I$470:I3538))/MAX(I$470:I3538))</f>
        <v>-0.91338805338419748</v>
      </c>
      <c r="U3538" s="564">
        <f>IF((J3538-MAX(J$470:J3538))/MAX(J$470:J3538)&gt;U3537,U3537,(J3538-MAX(J$470:J3538))/MAX(J$470:J3538))</f>
        <v>-0.83569785939843477</v>
      </c>
      <c r="V3538" s="564">
        <f>IF((K3538-MAX(K$470:K3538))/MAX(K$470:K3538)&gt;V3537,V3537,(K3538-MAX(K$470:K3538))/MAX(K$470:K3538))</f>
        <v>-0.84885940676762139</v>
      </c>
      <c r="W3538" s="564">
        <f>IF((N3538-MAX(N$470:N3538))/MAX(N$470:N3538)&gt;W3537,W3537,(N3538-MAX(N$470:N3538))/MAX(N$470:N3538))</f>
        <v>-0.62788758315546067</v>
      </c>
      <c r="X3538" s="564">
        <f>IF((O3538-MAX(O$470:O3538))/MAX(O$470:O3538)&gt;X3537,X3537,(O3538-MAX(O$470:O3538))/MAX(O$470:O3538))</f>
        <v>-0.62788758315546067</v>
      </c>
    </row>
    <row r="3539" spans="1:24">
      <c r="A3539" s="799">
        <v>43941</v>
      </c>
      <c r="B3539">
        <v>7063.7397068668997</v>
      </c>
      <c r="C3539">
        <v>6919.0227919999998</v>
      </c>
      <c r="D3539">
        <v>1.2439720000000001</v>
      </c>
      <c r="E3539">
        <f>LN(D3539/参数实验室!$E$53)/参数实验室!$E$55</f>
        <v>-0.43541696959674719</v>
      </c>
      <c r="F3539">
        <f t="shared" si="498"/>
        <v>0.97951270561028514</v>
      </c>
      <c r="G3539">
        <f>LN(F3539/参数实验室!$E$58)/参数实验室!$E$59</f>
        <v>-0.20139454016637201</v>
      </c>
      <c r="H3539" s="856">
        <f>INDEX(神经网络!$G$10:$BO$70,MATCH(ROUND(G3539*2,1)/2,神经网络!$E$10:$E$70,0),MATCH(ROUND(E3539*2,1)/2,神经网络!$G$8:$BO$8,0))</f>
        <v>-0.50364904160200485</v>
      </c>
      <c r="I3539">
        <f t="shared" si="490"/>
        <v>598024.15045855276</v>
      </c>
      <c r="J3539">
        <f t="shared" si="491"/>
        <v>2818.6184537196805</v>
      </c>
      <c r="K3539">
        <f t="shared" si="492"/>
        <v>212.16924542211484</v>
      </c>
      <c r="L3539" s="4">
        <f>MIN(MAX(L3538*(1+MAX(MIN(((B3539-B3538)/B3538)/($K$7*卓尔金历!$N$40),0),-卓尔金历!$M$43))+MIN(MAX(((B3539-B3538)/B3538)/($K$7*卓尔金历!$N$40),0),卓尔金历!$M$43),0),1)</f>
        <v>0.67740063833666042</v>
      </c>
      <c r="M3539" s="4">
        <f>MIN(MAX(M3538*(1+MAX(MIN(((B3539-B3538)/B3538)/($K$7*30),0),-卓尔金历!$M$43))+MIN(MAX(((B3539-B3538)/B3538)/($K$7*7),0),卓尔金历!$M$43),0),1)</f>
        <v>0.83270911838960338</v>
      </c>
      <c r="N3539">
        <f t="shared" si="493"/>
        <v>197214.15105979322</v>
      </c>
      <c r="O3539">
        <f t="shared" si="494"/>
        <v>557829.62926469697</v>
      </c>
      <c r="P3539">
        <f t="shared" si="495"/>
        <v>-6.2454201026745032E-3</v>
      </c>
      <c r="Q3539">
        <f t="shared" si="496"/>
        <v>3.3092119437265775E-2</v>
      </c>
      <c r="R3539">
        <f t="shared" si="497"/>
        <v>1</v>
      </c>
      <c r="S3539">
        <f t="shared" si="489"/>
        <v>1120.2566159439871</v>
      </c>
      <c r="T3539" s="564">
        <f>IF((I3539-MAX(I$470:I3539))/MAX(I$470:I3539)&gt;T3538,T3538,(I3539-MAX(I$470:I3539))/MAX(I$470:I3539))</f>
        <v>-0.91338805338419748</v>
      </c>
      <c r="U3539" s="564">
        <f>IF((J3539-MAX(J$470:J3539))/MAX(J$470:J3539)&gt;U3538,U3538,(J3539-MAX(J$470:J3539))/MAX(J$470:J3539))</f>
        <v>-0.83569785939843477</v>
      </c>
      <c r="V3539" s="564">
        <f>IF((K3539-MAX(K$470:K3539))/MAX(K$470:K3539)&gt;V3538,V3538,(K3539-MAX(K$470:K3539))/MAX(K$470:K3539))</f>
        <v>-0.84885940676762139</v>
      </c>
      <c r="W3539" s="564">
        <f>IF((N3539-MAX(N$470:N3539))/MAX(N$470:N3539)&gt;W3538,W3538,(N3539-MAX(N$470:N3539))/MAX(N$470:N3539))</f>
        <v>-0.62788758315546067</v>
      </c>
      <c r="X3539" s="564">
        <f>IF((O3539-MAX(O$470:O3539))/MAX(O$470:O3539)&gt;X3538,X3538,(O3539-MAX(O$470:O3539))/MAX(O$470:O3539))</f>
        <v>-0.62788758315546067</v>
      </c>
    </row>
    <row r="3540" spans="1:24">
      <c r="A3540" s="799">
        <v>43942</v>
      </c>
      <c r="B3540">
        <v>6836.9211260829998</v>
      </c>
      <c r="C3540">
        <v>6820.0353169999998</v>
      </c>
      <c r="D3540">
        <v>1.247384</v>
      </c>
      <c r="E3540">
        <f>LN(D3540/参数实验室!$E$53)/参数实验室!$E$55</f>
        <v>-0.43218554013817034</v>
      </c>
      <c r="F3540">
        <f t="shared" si="498"/>
        <v>0.99753020273722626</v>
      </c>
      <c r="G3540">
        <f>LN(F3540/参数实验室!$E$58)/参数实验室!$E$59</f>
        <v>-0.19182791115118197</v>
      </c>
      <c r="H3540" s="856">
        <f>INDEX(神经网络!$G$10:$BO$70,MATCH(ROUND(G3540*2,1)/2,神经网络!$E$10:$E$70,0),MATCH(ROUND(E3540*2,1)/2,神经网络!$G$8:$BO$8,0))</f>
        <v>-0.50364904160200485</v>
      </c>
      <c r="I3540">
        <f t="shared" si="490"/>
        <v>607695.58008166298</v>
      </c>
      <c r="J3540">
        <f t="shared" si="491"/>
        <v>2728.1118575008945</v>
      </c>
      <c r="K3540">
        <f t="shared" si="492"/>
        <v>222.75317575810351</v>
      </c>
      <c r="L3540" s="4">
        <f>MIN(MAX(L3539*(1+MAX(MIN(((B3540-B3539)/B3539)/($K$7*卓尔金历!$N$40),0),-卓尔金历!$M$43))+MIN(MAX(((B3540-B3539)/B3539)/($K$7*卓尔金历!$N$40),0),卓尔金历!$M$43),0),1)</f>
        <v>0.34505833823580678</v>
      </c>
      <c r="M3540" s="4">
        <f>MIN(MAX(M3539*(1+MAX(MIN(((B3540-B3539)/B3539)/($K$7*30),0),-卓尔金历!$M$43))+MIN(MAX(((B3540-B3539)/B3539)/($K$7*7),0),卓尔金历!$M$43),0),1)</f>
        <v>0.62843970376364899</v>
      </c>
      <c r="N3540">
        <f t="shared" si="493"/>
        <v>199374.65781776852</v>
      </c>
      <c r="O3540">
        <f t="shared" si="494"/>
        <v>565341.82424593682</v>
      </c>
      <c r="P3540">
        <f t="shared" si="495"/>
        <v>-3.2110268808942938E-2</v>
      </c>
      <c r="Q3540">
        <f t="shared" si="496"/>
        <v>3.4017199415181776E-2</v>
      </c>
      <c r="R3540">
        <f t="shared" si="497"/>
        <v>9.2691598751606263E-2</v>
      </c>
      <c r="S3540">
        <f t="shared" si="489"/>
        <v>1138.373748860138</v>
      </c>
      <c r="T3540" s="564">
        <f>IF((I3540-MAX(I$470:I3540))/MAX(I$470:I3540)&gt;T3539,T3539,(I3540-MAX(I$470:I3540))/MAX(I$470:I3540))</f>
        <v>-0.91338805338419748</v>
      </c>
      <c r="U3540" s="564">
        <f>IF((J3540-MAX(J$470:J3540))/MAX(J$470:J3540)&gt;U3539,U3539,(J3540-MAX(J$470:J3540))/MAX(J$470:J3540))</f>
        <v>-0.83569785939843477</v>
      </c>
      <c r="V3540" s="564">
        <f>IF((K3540-MAX(K$470:K3540))/MAX(K$470:K3540)&gt;V3539,V3539,(K3540-MAX(K$470:K3540))/MAX(K$470:K3540))</f>
        <v>-0.84885940676762139</v>
      </c>
      <c r="W3540" s="564">
        <f>IF((N3540-MAX(N$470:N3540))/MAX(N$470:N3540)&gt;W3539,W3539,(N3540-MAX(N$470:N3540))/MAX(N$470:N3540))</f>
        <v>-0.62788758315546067</v>
      </c>
      <c r="X3540" s="564">
        <f>IF((O3540-MAX(O$470:O3540))/MAX(O$470:O3540)&gt;X3539,X3539,(O3540-MAX(O$470:O3540))/MAX(O$470:O3540))</f>
        <v>-0.62788758315546067</v>
      </c>
    </row>
    <row r="3541" spans="1:24">
      <c r="A3541" s="799">
        <v>43943</v>
      </c>
      <c r="B3541">
        <v>7108.1902975063003</v>
      </c>
      <c r="C3541">
        <v>6736.1105509999998</v>
      </c>
      <c r="D3541">
        <v>1.293015</v>
      </c>
      <c r="E3541">
        <f>LN(D3541/参数实验室!$E$53)/参数实验室!$E$55</f>
        <v>-0.38979919770704757</v>
      </c>
      <c r="F3541">
        <f t="shared" si="498"/>
        <v>0.94765478540482606</v>
      </c>
      <c r="G3541">
        <f>LN(F3541/参数实验室!$E$58)/参数实验室!$E$59</f>
        <v>-0.21874879884862161</v>
      </c>
      <c r="H3541" s="856">
        <f>INDEX(神经网络!$G$10:$BO$70,MATCH(ROUND(G3541*2,1)/2,神经网络!$E$10:$E$70,0),MATCH(ROUND(E3541*2,1)/2,神经网络!$G$8:$BO$8,0))</f>
        <v>-0.47127462620209248</v>
      </c>
      <c r="I3541">
        <f t="shared" si="490"/>
        <v>595551.79812920175</v>
      </c>
      <c r="J3541">
        <f t="shared" si="491"/>
        <v>2836.3554117977301</v>
      </c>
      <c r="K3541">
        <f t="shared" si="492"/>
        <v>209.97079408737812</v>
      </c>
      <c r="L3541" s="4">
        <f>MIN(MAX(L3540*(1+MAX(MIN(((B3541-B3540)/B3540)/($K$7*卓尔金历!$N$40),0),-卓尔金历!$M$43))+MIN(MAX(((B3541-B3540)/B3540)/($K$7*卓尔金历!$N$40),0),卓尔金历!$M$43),0),1)</f>
        <v>0.95128627993105075</v>
      </c>
      <c r="M3541" s="4">
        <f>MIN(MAX(M3540*(1+MAX(MIN(((B3541-B3540)/B3540)/($K$7*30),0),-卓尔金历!$M$43))+MIN(MAX(((B3541-B3540)/B3540)/($K$7*7),0),卓尔金历!$M$43),0),1)</f>
        <v>1</v>
      </c>
      <c r="N3541">
        <f t="shared" si="493"/>
        <v>197999.88681094779</v>
      </c>
      <c r="O3541">
        <f t="shared" si="494"/>
        <v>558242.08147468616</v>
      </c>
      <c r="P3541">
        <f t="shared" si="495"/>
        <v>3.9677095350479169E-2</v>
      </c>
      <c r="Q3541">
        <f t="shared" si="496"/>
        <v>3.3922424480977938E-2</v>
      </c>
      <c r="R3541">
        <f t="shared" si="497"/>
        <v>2.8686779340362119E-2</v>
      </c>
      <c r="S3541">
        <f t="shared" si="489"/>
        <v>1136.2651540742775</v>
      </c>
      <c r="T3541" s="564">
        <f>IF((I3541-MAX(I$470:I3541))/MAX(I$470:I3541)&gt;T3540,T3540,(I3541-MAX(I$470:I3541))/MAX(I$470:I3541))</f>
        <v>-0.91338805338419748</v>
      </c>
      <c r="U3541" s="564">
        <f>IF((J3541-MAX(J$470:J3541))/MAX(J$470:J3541)&gt;U3540,U3540,(J3541-MAX(J$470:J3541))/MAX(J$470:J3541))</f>
        <v>-0.83569785939843477</v>
      </c>
      <c r="V3541" s="564">
        <f>IF((K3541-MAX(K$470:K3541))/MAX(K$470:K3541)&gt;V3540,V3540,(K3541-MAX(K$470:K3541))/MAX(K$470:K3541))</f>
        <v>-0.84885940676762139</v>
      </c>
      <c r="W3541" s="564">
        <f>IF((N3541-MAX(N$470:N3541))/MAX(N$470:N3541)&gt;W3540,W3540,(N3541-MAX(N$470:N3541))/MAX(N$470:N3541))</f>
        <v>-0.62788758315546067</v>
      </c>
      <c r="X3541" s="564">
        <f>IF((O3541-MAX(O$470:O3541))/MAX(O$470:O3541)&gt;X3540,X3540,(O3541-MAX(O$470:O3541))/MAX(O$470:O3541))</f>
        <v>-0.62788758315546067</v>
      </c>
    </row>
    <row r="3542" spans="1:24">
      <c r="A3542" s="799">
        <v>43944</v>
      </c>
      <c r="B3542">
        <v>7533.9501381173995</v>
      </c>
      <c r="C3542">
        <v>6693.5558110000002</v>
      </c>
      <c r="D3542">
        <v>1.357982</v>
      </c>
      <c r="E3542">
        <f>LN(D3542/参数实验室!$E$53)/参数实验室!$E$55</f>
        <v>-0.33196406758415103</v>
      </c>
      <c r="F3542">
        <f t="shared" si="498"/>
        <v>0.8884523640705434</v>
      </c>
      <c r="G3542">
        <f>LN(F3542/参数实验室!$E$58)/参数实验室!$E$59</f>
        <v>-0.25260674122706944</v>
      </c>
      <c r="H3542" s="856">
        <f>INDEX(神经网络!$G$10:$BO$70,MATCH(ROUND(G3542*2,1)/2,神经网络!$E$10:$E$70,0),MATCH(ROUND(E3542*2,1)/2,神经网络!$G$8:$BO$8,0))</f>
        <v>-0.51075529571207356</v>
      </c>
      <c r="I3542">
        <f t="shared" si="490"/>
        <v>578740.57755391765</v>
      </c>
      <c r="J3542">
        <f t="shared" si="491"/>
        <v>3006.244817891301</v>
      </c>
      <c r="K3542">
        <f t="shared" si="492"/>
        <v>192.51279007937524</v>
      </c>
      <c r="L3542" s="4">
        <f>MIN(MAX(L3541*(1+MAX(MIN(((B3542-B3541)/B3541)/($K$7*卓尔金历!$N$40),0),-卓尔金历!$M$43))+MIN(MAX(((B3542-B3541)/B3541)/($K$7*卓尔金历!$N$40),0),卓尔金历!$M$43),0),1)</f>
        <v>1</v>
      </c>
      <c r="M3542" s="4">
        <f>MIN(MAX(M3541*(1+MAX(MIN(((B3542-B3541)/B3541)/($K$7*30),0),-卓尔金历!$M$43))+MIN(MAX(((B3542-B3541)/B3541)/($K$7*7),0),卓尔金历!$M$43),0),1)</f>
        <v>1</v>
      </c>
      <c r="N3542">
        <f t="shared" si="493"/>
        <v>192683.01877484494</v>
      </c>
      <c r="O3542">
        <f t="shared" si="494"/>
        <v>542484.0386049361</v>
      </c>
      <c r="P3542">
        <f t="shared" si="495"/>
        <v>5.9897079677293463E-2</v>
      </c>
      <c r="Q3542">
        <f t="shared" si="496"/>
        <v>3.1090883863478719E-2</v>
      </c>
      <c r="R3542">
        <f t="shared" si="497"/>
        <v>1.1679046440450003E-2</v>
      </c>
      <c r="S3542">
        <f t="shared" si="489"/>
        <v>1135.3450410306052</v>
      </c>
      <c r="T3542" s="564">
        <f>IF((I3542-MAX(I$470:I3542))/MAX(I$470:I3542)&gt;T3541,T3541,(I3542-MAX(I$470:I3542))/MAX(I$470:I3542))</f>
        <v>-0.91338805338419748</v>
      </c>
      <c r="U3542" s="564">
        <f>IF((J3542-MAX(J$470:J3542))/MAX(J$470:J3542)&gt;U3541,U3541,(J3542-MAX(J$470:J3542))/MAX(J$470:J3542))</f>
        <v>-0.83569785939843477</v>
      </c>
      <c r="V3542" s="564">
        <f>IF((K3542-MAX(K$470:K3542))/MAX(K$470:K3542)&gt;V3541,V3541,(K3542-MAX(K$470:K3542))/MAX(K$470:K3542))</f>
        <v>-0.84885940676762139</v>
      </c>
      <c r="W3542" s="564">
        <f>IF((N3542-MAX(N$470:N3542))/MAX(N$470:N3542)&gt;W3541,W3541,(N3542-MAX(N$470:N3542))/MAX(N$470:N3542))</f>
        <v>-0.62788758315546067</v>
      </c>
      <c r="X3542" s="564">
        <f>IF((O3542-MAX(O$470:O3542))/MAX(O$470:O3542)&gt;X3541,X3541,(O3542-MAX(O$470:O3542))/MAX(O$470:O3542))</f>
        <v>-0.62788758315546067</v>
      </c>
    </row>
    <row r="3543" spans="1:24">
      <c r="A3543" s="799">
        <v>43945</v>
      </c>
      <c r="B3543">
        <v>7502.819425998</v>
      </c>
      <c r="C3543">
        <v>6469.7686949999998</v>
      </c>
      <c r="D3543">
        <v>1.3603769999999999</v>
      </c>
      <c r="E3543">
        <f>LN(D3543/参数实验室!$E$53)/参数实验室!$E$55</f>
        <v>-0.32988523270589742</v>
      </c>
      <c r="F3543">
        <f t="shared" si="498"/>
        <v>0.86231166281059901</v>
      </c>
      <c r="G3543">
        <f>LN(F3543/参数实验室!$E$58)/参数实验室!$E$59</f>
        <v>-0.26828112364901752</v>
      </c>
      <c r="H3543" s="856">
        <f>INDEX(神经网络!$G$10:$BO$70,MATCH(ROUND(G3543*2,1)/2,神经网络!$E$10:$E$70,0),MATCH(ROUND(E3543*2,1)/2,神经网络!$G$8:$BO$8,0))</f>
        <v>-0.51075529571207356</v>
      </c>
      <c r="I3543">
        <f t="shared" si="490"/>
        <v>579961.99220569187</v>
      </c>
      <c r="J3543">
        <f t="shared" si="491"/>
        <v>2993.8228426630981</v>
      </c>
      <c r="K3543">
        <f t="shared" si="492"/>
        <v>193.71954276686517</v>
      </c>
      <c r="L3543" s="4">
        <f>MIN(MAX(L3542*(1+MAX(MIN(((B3543-B3542)/B3542)/($K$7*卓尔金历!$N$40),0),-卓尔金历!$M$43))+MIN(MAX(((B3543-B3542)/B3542)/($K$7*卓尔金历!$N$40),0),卓尔金历!$M$43),0),1)</f>
        <v>0.93686613283139364</v>
      </c>
      <c r="M3543" s="4">
        <f>MIN(MAX(M3542*(1+MAX(MIN(((B3543-B3542)/B3542)/($K$7*30),0),-卓尔金历!$M$43))+MIN(MAX(((B3543-B3542)/B3542)/($K$7*7),0),卓尔金历!$M$43),0),1)</f>
        <v>0.96843306641569682</v>
      </c>
      <c r="N3543">
        <f t="shared" si="493"/>
        <v>193089.67051382337</v>
      </c>
      <c r="O3543">
        <f t="shared" si="494"/>
        <v>543628.93491738453</v>
      </c>
      <c r="P3543">
        <f t="shared" si="495"/>
        <v>-4.1320570947100156E-3</v>
      </c>
      <c r="Q3543">
        <f t="shared" si="496"/>
        <v>3.0956277383900735E-2</v>
      </c>
      <c r="R3543">
        <f t="shared" si="497"/>
        <v>1</v>
      </c>
      <c r="S3543">
        <f t="shared" ref="S3543:S3606" si="499">S3542*(1+(B3543-B3542)/B3542*H3542*R3542)</f>
        <v>1135.3730253304016</v>
      </c>
      <c r="T3543" s="564">
        <f>IF((I3543-MAX(I$470:I3543))/MAX(I$470:I3543)&gt;T3542,T3542,(I3543-MAX(I$470:I3543))/MAX(I$470:I3543))</f>
        <v>-0.91338805338419748</v>
      </c>
      <c r="U3543" s="564">
        <f>IF((J3543-MAX(J$470:J3543))/MAX(J$470:J3543)&gt;U3542,U3542,(J3543-MAX(J$470:J3543))/MAX(J$470:J3543))</f>
        <v>-0.83569785939843477</v>
      </c>
      <c r="V3543" s="564">
        <f>IF((K3543-MAX(K$470:K3543))/MAX(K$470:K3543)&gt;V3542,V3542,(K3543-MAX(K$470:K3543))/MAX(K$470:K3543))</f>
        <v>-0.84885940676762139</v>
      </c>
      <c r="W3543" s="564">
        <f>IF((N3543-MAX(N$470:N3543))/MAX(N$470:N3543)&gt;W3542,W3542,(N3543-MAX(N$470:N3543))/MAX(N$470:N3543))</f>
        <v>-0.62788758315546067</v>
      </c>
      <c r="X3543" s="564">
        <f>IF((O3543-MAX(O$470:O3543))/MAX(O$470:O3543)&gt;X3542,X3542,(O3543-MAX(O$470:O3543))/MAX(O$470:O3543))</f>
        <v>-0.62788758315546067</v>
      </c>
    </row>
    <row r="3544" spans="1:24">
      <c r="A3544" s="799">
        <v>43946</v>
      </c>
      <c r="B3544">
        <v>7539.9455903761</v>
      </c>
      <c r="C3544">
        <v>6574.6668589999999</v>
      </c>
      <c r="D3544">
        <v>1.3657330000000001</v>
      </c>
      <c r="E3544">
        <f>LN(D3544/参数实验室!$E$53)/参数实验室!$E$55</f>
        <v>-0.32524949423239308</v>
      </c>
      <c r="F3544">
        <f t="shared" si="498"/>
        <v>0.87197802427007287</v>
      </c>
      <c r="G3544">
        <f>LN(F3544/参数实验室!$E$58)/参数实验室!$E$59</f>
        <v>-0.26243033474171523</v>
      </c>
      <c r="H3544" s="856">
        <f>INDEX(神经网络!$G$10:$BO$70,MATCH(ROUND(G3544*2,1)/2,神经网络!$E$10:$E$70,0),MATCH(ROUND(E3544*2,1)/2,神经网络!$G$8:$BO$8,0))</f>
        <v>-0.51075529571207356</v>
      </c>
      <c r="I3544">
        <f t="shared" ref="I3544:I3607" si="500">I3543*(1+(B3544-B3543)/B3543*H3543)</f>
        <v>578496.21487650485</v>
      </c>
      <c r="J3544">
        <f t="shared" ref="J3544:J3607" si="501">J3543*B3544/B3543</f>
        <v>3008.6371614764334</v>
      </c>
      <c r="K3544">
        <f t="shared" ref="K3544:K3607" si="502">I3544/J3544</f>
        <v>192.27849149899433</v>
      </c>
      <c r="L3544" s="4">
        <f>MIN(MAX(L3543*(1+MAX(MIN(((B3544-B3543)/B3543)/($K$7*卓尔金历!$N$40),0),-卓尔金历!$M$43))+MIN(MAX(((B3544-B3543)/B3543)/($K$7*卓尔金历!$N$40),0),卓尔金历!$M$43),0),1)</f>
        <v>1</v>
      </c>
      <c r="M3544" s="4">
        <f>MIN(MAX(M3543*(1+MAX(MIN(((B3544-B3543)/B3543)/($K$7*30),0),-卓尔金历!$M$43))+MIN(MAX(((B3544-B3543)/B3543)/($K$7*7),0),卓尔金历!$M$43),0),1)</f>
        <v>1</v>
      </c>
      <c r="N3544">
        <f t="shared" ref="N3544:N3607" si="503">N3543*(1+(B3544-B3543)/B3543*H3543*L3543)</f>
        <v>192632.4717489476</v>
      </c>
      <c r="O3544">
        <f t="shared" ref="O3544:O3607" si="504">O3543*(1+(B3544-B3543)/B3543*H3543*M3543)</f>
        <v>542298.35599001776</v>
      </c>
      <c r="P3544">
        <f t="shared" ref="P3544:P3607" si="505">(B3544-B3543)/B3543</f>
        <v>4.9482950701777726E-3</v>
      </c>
      <c r="Q3544">
        <f t="shared" si="496"/>
        <v>3.0932269489041757E-2</v>
      </c>
      <c r="R3544">
        <f t="shared" si="497"/>
        <v>1</v>
      </c>
      <c r="S3544">
        <f t="shared" si="499"/>
        <v>1132.5035199782137</v>
      </c>
      <c r="T3544" s="564">
        <f>IF((I3544-MAX(I$470:I3544))/MAX(I$470:I3544)&gt;T3543,T3543,(I3544-MAX(I$470:I3544))/MAX(I$470:I3544))</f>
        <v>-0.91338805338419748</v>
      </c>
      <c r="U3544" s="564">
        <f>IF((J3544-MAX(J$470:J3544))/MAX(J$470:J3544)&gt;U3543,U3543,(J3544-MAX(J$470:J3544))/MAX(J$470:J3544))</f>
        <v>-0.83569785939843477</v>
      </c>
      <c r="V3544" s="564">
        <f>IF((K3544-MAX(K$470:K3544))/MAX(K$470:K3544)&gt;V3543,V3543,(K3544-MAX(K$470:K3544))/MAX(K$470:K3544))</f>
        <v>-0.84885940676762139</v>
      </c>
      <c r="W3544" s="564">
        <f>IF((N3544-MAX(N$470:N3544))/MAX(N$470:N3544)&gt;W3543,W3543,(N3544-MAX(N$470:N3544))/MAX(N$470:N3544))</f>
        <v>-0.62788758315546067</v>
      </c>
      <c r="X3544" s="564">
        <f>IF((O3544-MAX(O$470:O3544))/MAX(O$470:O3544)&gt;X3543,X3543,(O3544-MAX(O$470:O3544))/MAX(O$470:O3544))</f>
        <v>-0.62788758315546067</v>
      </c>
    </row>
    <row r="3545" spans="1:24">
      <c r="A3545" s="799">
        <v>43947</v>
      </c>
      <c r="B3545">
        <v>7550.5929706273</v>
      </c>
      <c r="C3545">
        <v>6655.3230460000004</v>
      </c>
      <c r="D3545">
        <v>1.391824</v>
      </c>
      <c r="E3545">
        <f>LN(D3545/参数实验室!$E$53)/参数实验室!$E$55</f>
        <v>-0.30292403697634512</v>
      </c>
      <c r="F3545">
        <f t="shared" si="498"/>
        <v>0.88143051438343911</v>
      </c>
      <c r="G3545">
        <f>LN(F3545/参数实验室!$E$58)/参数实验室!$E$59</f>
        <v>-0.25677138463930538</v>
      </c>
      <c r="H3545" s="856">
        <f>INDEX(神经网络!$G$10:$BO$70,MATCH(ROUND(G3545*2,1)/2,神经网络!$E$10:$E$70,0),MATCH(ROUND(E3545*2,1)/2,神经网络!$G$8:$BO$8,0))</f>
        <v>-0.47592550752609075</v>
      </c>
      <c r="I3545">
        <f t="shared" si="500"/>
        <v>578078.97294000559</v>
      </c>
      <c r="J3545">
        <f t="shared" si="501"/>
        <v>3012.8857470281669</v>
      </c>
      <c r="K3545">
        <f t="shared" si="502"/>
        <v>191.86886642157202</v>
      </c>
      <c r="L3545" s="4">
        <f>MIN(MAX(L3544*(1+MAX(MIN(((B3545-B3544)/B3544)/($K$7*卓尔金历!$N$40),0),-卓尔金历!$M$43))+MIN(MAX(((B3545-B3544)/B3544)/($K$7*卓尔金历!$N$40),0),卓尔金历!$M$43),0),1)</f>
        <v>1</v>
      </c>
      <c r="M3545" s="4">
        <f>MIN(MAX(M3544*(1+MAX(MIN(((B3545-B3544)/B3544)/($K$7*30),0),-卓尔金历!$M$43))+MIN(MAX(((B3545-B3544)/B3544)/($K$7*7),0),卓尔金历!$M$43),0),1)</f>
        <v>1</v>
      </c>
      <c r="N3545">
        <f t="shared" si="503"/>
        <v>192493.53506539072</v>
      </c>
      <c r="O3545">
        <f t="shared" si="504"/>
        <v>541907.22185569687</v>
      </c>
      <c r="P3545">
        <f t="shared" si="505"/>
        <v>1.4121295868222499E-3</v>
      </c>
      <c r="Q3545">
        <f t="shared" si="496"/>
        <v>3.093396355604976E-2</v>
      </c>
      <c r="R3545">
        <f t="shared" si="497"/>
        <v>1</v>
      </c>
      <c r="S3545">
        <f t="shared" si="499"/>
        <v>1131.6866987966459</v>
      </c>
      <c r="T3545" s="564">
        <f>IF((I3545-MAX(I$470:I3545))/MAX(I$470:I3545)&gt;T3544,T3544,(I3545-MAX(I$470:I3545))/MAX(I$470:I3545))</f>
        <v>-0.91338805338419748</v>
      </c>
      <c r="U3545" s="564">
        <f>IF((J3545-MAX(J$470:J3545))/MAX(J$470:J3545)&gt;U3544,U3544,(J3545-MAX(J$470:J3545))/MAX(J$470:J3545))</f>
        <v>-0.83569785939843477</v>
      </c>
      <c r="V3545" s="564">
        <f>IF((K3545-MAX(K$470:K3545))/MAX(K$470:K3545)&gt;V3544,V3544,(K3545-MAX(K$470:K3545))/MAX(K$470:K3545))</f>
        <v>-0.84885940676762139</v>
      </c>
      <c r="W3545" s="564">
        <f>IF((N3545-MAX(N$470:N3545))/MAX(N$470:N3545)&gt;W3544,W3544,(N3545-MAX(N$470:N3545))/MAX(N$470:N3545))</f>
        <v>-0.62788758315546067</v>
      </c>
      <c r="X3545" s="564">
        <f>IF((O3545-MAX(O$470:O3545))/MAX(O$470:O3545)&gt;X3544,X3544,(O3545-MAX(O$470:O3545))/MAX(O$470:O3545))</f>
        <v>-0.62788758315546067</v>
      </c>
    </row>
    <row r="3546" spans="1:24">
      <c r="A3546" s="799">
        <v>43948</v>
      </c>
      <c r="B3546">
        <v>7679.8506596633997</v>
      </c>
      <c r="C3546">
        <v>6630.9687050000002</v>
      </c>
      <c r="D3546">
        <v>1.405926</v>
      </c>
      <c r="E3546">
        <f>LN(D3546/参数实验室!$E$53)/参数实验室!$E$55</f>
        <v>-0.29103089345515032</v>
      </c>
      <c r="F3546">
        <f t="shared" si="498"/>
        <v>0.86342417305424912</v>
      </c>
      <c r="G3546">
        <f>LN(F3546/参数实验室!$E$58)/参数实验室!$E$59</f>
        <v>-0.26760442033428994</v>
      </c>
      <c r="H3546" s="856">
        <f>INDEX(神经网络!$G$10:$BO$70,MATCH(ROUND(G3546*2,1)/2,神经网络!$E$10:$E$70,0),MATCH(ROUND(E3546*2,1)/2,神经网络!$G$8:$BO$8,0))</f>
        <v>-0.47592550752609075</v>
      </c>
      <c r="I3546">
        <f t="shared" si="500"/>
        <v>573369.18360488769</v>
      </c>
      <c r="J3546">
        <f t="shared" si="501"/>
        <v>3064.4629742082871</v>
      </c>
      <c r="K3546">
        <f t="shared" si="502"/>
        <v>187.10266315194076</v>
      </c>
      <c r="L3546" s="4">
        <f>MIN(MAX(L3545*(1+MAX(MIN(((B3546-B3545)/B3545)/($K$7*卓尔金历!$N$40),0),-卓尔金历!$M$43))+MIN(MAX(((B3546-B3545)/B3545)/($K$7*卓尔金历!$N$40),0),卓尔金历!$M$43),0),1)</f>
        <v>1</v>
      </c>
      <c r="M3546" s="4">
        <f>MIN(MAX(M3545*(1+MAX(MIN(((B3546-B3545)/B3545)/($K$7*30),0),-卓尔金历!$M$43))+MIN(MAX(((B3546-B3545)/B3545)/($K$7*7),0),卓尔金历!$M$43),0),1)</f>
        <v>1</v>
      </c>
      <c r="N3546">
        <f t="shared" si="503"/>
        <v>190925.23031644043</v>
      </c>
      <c r="O3546">
        <f t="shared" si="504"/>
        <v>537492.13503608992</v>
      </c>
      <c r="P3546">
        <f t="shared" si="505"/>
        <v>1.7118879211066917E-2</v>
      </c>
      <c r="Q3546">
        <f t="shared" si="496"/>
        <v>2.9364809194678296E-2</v>
      </c>
      <c r="R3546">
        <f t="shared" si="497"/>
        <v>0.58724148637697504</v>
      </c>
      <c r="S3546">
        <f t="shared" si="499"/>
        <v>1122.4664949937298</v>
      </c>
      <c r="T3546" s="564">
        <f>IF((I3546-MAX(I$470:I3546))/MAX(I$470:I3546)&gt;T3545,T3545,(I3546-MAX(I$470:I3546))/MAX(I$470:I3546))</f>
        <v>-0.91338805338419748</v>
      </c>
      <c r="U3546" s="564">
        <f>IF((J3546-MAX(J$470:J3546))/MAX(J$470:J3546)&gt;U3545,U3545,(J3546-MAX(J$470:J3546))/MAX(J$470:J3546))</f>
        <v>-0.83569785939843477</v>
      </c>
      <c r="V3546" s="564">
        <f>IF((K3546-MAX(K$470:K3546))/MAX(K$470:K3546)&gt;V3545,V3545,(K3546-MAX(K$470:K3546))/MAX(K$470:K3546))</f>
        <v>-0.84885940676762139</v>
      </c>
      <c r="W3546" s="564">
        <f>IF((N3546-MAX(N$470:N3546))/MAX(N$470:N3546)&gt;W3545,W3545,(N3546-MAX(N$470:N3546))/MAX(N$470:N3546))</f>
        <v>-0.62788758315546067</v>
      </c>
      <c r="X3546" s="564">
        <f>IF((O3546-MAX(O$470:O3546))/MAX(O$470:O3546)&gt;X3545,X3545,(O3546-MAX(O$470:O3546))/MAX(O$470:O3546))</f>
        <v>-0.62788758315546067</v>
      </c>
    </row>
    <row r="3547" spans="1:24">
      <c r="A3547" s="799">
        <v>43949</v>
      </c>
      <c r="B3547">
        <v>7721.4785816469002</v>
      </c>
      <c r="C3547">
        <v>6620.0325640000001</v>
      </c>
      <c r="D3547">
        <v>1.404166</v>
      </c>
      <c r="E3547">
        <f>LN(D3547/参数实验室!$E$53)/参数实验室!$E$55</f>
        <v>-0.29250868562771198</v>
      </c>
      <c r="F3547">
        <f t="shared" si="498"/>
        <v>0.85735296601548372</v>
      </c>
      <c r="G3547">
        <f>LN(F3547/参数实验室!$E$58)/参数实验室!$E$59</f>
        <v>-0.27130799206395817</v>
      </c>
      <c r="H3547" s="856">
        <f>INDEX(神经网络!$G$10:$BO$70,MATCH(ROUND(G3547*2,1)/2,神经网络!$E$10:$E$70,0),MATCH(ROUND(E3547*2,1)/2,神经网络!$G$8:$BO$8,0))</f>
        <v>-0.47592550752609075</v>
      </c>
      <c r="I3547">
        <f t="shared" si="500"/>
        <v>571890.05721265159</v>
      </c>
      <c r="J3547">
        <f t="shared" si="501"/>
        <v>3081.0736130429309</v>
      </c>
      <c r="K3547">
        <f t="shared" si="502"/>
        <v>185.61388951945273</v>
      </c>
      <c r="L3547" s="4">
        <f>MIN(MAX(L3546*(1+MAX(MIN(((B3547-B3546)/B3546)/($K$7*卓尔金历!$N$40),0),-卓尔金历!$M$43))+MIN(MAX(((B3547-B3546)/B3546)/($K$7*卓尔金历!$N$40),0),卓尔金历!$M$43),0),1)</f>
        <v>1</v>
      </c>
      <c r="M3547" s="4">
        <f>MIN(MAX(M3546*(1+MAX(MIN(((B3547-B3546)/B3546)/($K$7*30),0),-卓尔金历!$M$43))+MIN(MAX(((B3547-B3546)/B3546)/($K$7*7),0),卓尔金历!$M$43),0),1)</f>
        <v>1</v>
      </c>
      <c r="N3547">
        <f t="shared" si="503"/>
        <v>190432.69853206849</v>
      </c>
      <c r="O3547">
        <f t="shared" si="504"/>
        <v>536105.56103580492</v>
      </c>
      <c r="P3547">
        <f t="shared" si="505"/>
        <v>5.4204077433616452E-3</v>
      </c>
      <c r="Q3547">
        <f t="shared" si="496"/>
        <v>2.8968732180121966E-2</v>
      </c>
      <c r="R3547">
        <f t="shared" si="497"/>
        <v>1</v>
      </c>
      <c r="S3547">
        <f t="shared" si="499"/>
        <v>1120.7660560041809</v>
      </c>
      <c r="T3547" s="564">
        <f>IF((I3547-MAX(I$470:I3547))/MAX(I$470:I3547)&gt;T3546,T3546,(I3547-MAX(I$470:I3547))/MAX(I$470:I3547))</f>
        <v>-0.91338805338419748</v>
      </c>
      <c r="U3547" s="564">
        <f>IF((J3547-MAX(J$470:J3547))/MAX(J$470:J3547)&gt;U3546,U3546,(J3547-MAX(J$470:J3547))/MAX(J$470:J3547))</f>
        <v>-0.83569785939843477</v>
      </c>
      <c r="V3547" s="564">
        <f>IF((K3547-MAX(K$470:K3547))/MAX(K$470:K3547)&gt;V3546,V3546,(K3547-MAX(K$470:K3547))/MAX(K$470:K3547))</f>
        <v>-0.84885940676762139</v>
      </c>
      <c r="W3547" s="564">
        <f>IF((N3547-MAX(N$470:N3547))/MAX(N$470:N3547)&gt;W3546,W3546,(N3547-MAX(N$470:N3547))/MAX(N$470:N3547))</f>
        <v>-0.62788758315546067</v>
      </c>
      <c r="X3547" s="564">
        <f>IF((O3547-MAX(O$470:O3547))/MAX(O$470:O3547)&gt;X3546,X3546,(O3547-MAX(O$470:O3547))/MAX(O$470:O3547))</f>
        <v>-0.62788758315546067</v>
      </c>
    </row>
    <row r="3548" spans="1:24">
      <c r="A3548" s="799">
        <v>43950</v>
      </c>
      <c r="B3548">
        <v>8371.8674646578002</v>
      </c>
      <c r="C3548">
        <v>6630.8687449999998</v>
      </c>
      <c r="D3548">
        <v>1.5712489999999999</v>
      </c>
      <c r="E3548">
        <f>LN(D3548/参数实验室!$E$53)/参数实验室!$E$55</f>
        <v>-0.1598721992857452</v>
      </c>
      <c r="F3548">
        <f t="shared" si="498"/>
        <v>0.79204177239934803</v>
      </c>
      <c r="G3548">
        <f>LN(F3548/参数实验室!$E$58)/参数实验室!$E$59</f>
        <v>-0.31289509754603628</v>
      </c>
      <c r="H3548" s="856">
        <f>INDEX(神经网络!$G$10:$BO$70,MATCH(ROUND(G3548*2,1)/2,神经网络!$E$10:$E$70,0),MATCH(ROUND(E3548*2,1)/2,神经网络!$G$8:$BO$8,0))</f>
        <v>-0.43939765390169994</v>
      </c>
      <c r="I3548">
        <f t="shared" si="500"/>
        <v>548964.2748138227</v>
      </c>
      <c r="J3548">
        <f t="shared" si="501"/>
        <v>3340.5959317895486</v>
      </c>
      <c r="K3548">
        <f t="shared" si="502"/>
        <v>164.33124089920804</v>
      </c>
      <c r="L3548" s="4">
        <f>MIN(MAX(L3547*(1+MAX(MIN(((B3548-B3547)/B3547)/($K$7*卓尔金历!$N$40),0),-卓尔金历!$M$43))+MIN(MAX(((B3548-B3547)/B3547)/($K$7*卓尔金历!$N$40),0),卓尔金历!$M$43),0),1)</f>
        <v>1</v>
      </c>
      <c r="M3548" s="4">
        <f>MIN(MAX(M3547*(1+MAX(MIN(((B3548-B3547)/B3547)/($K$7*30),0),-卓尔金历!$M$43))+MIN(MAX(((B3548-B3547)/B3547)/($K$7*7),0),卓尔金历!$M$43),0),1)</f>
        <v>1</v>
      </c>
      <c r="N3548">
        <f t="shared" si="503"/>
        <v>182798.68120110343</v>
      </c>
      <c r="O3548">
        <f t="shared" si="504"/>
        <v>514614.29837071756</v>
      </c>
      <c r="P3548">
        <f t="shared" si="505"/>
        <v>8.4231132176783116E-2</v>
      </c>
      <c r="Q3548">
        <f t="shared" si="496"/>
        <v>3.3626956260568615E-2</v>
      </c>
      <c r="R3548">
        <f t="shared" si="497"/>
        <v>2.36858265245975E-3</v>
      </c>
      <c r="S3548">
        <f t="shared" si="499"/>
        <v>1075.8370728965217</v>
      </c>
      <c r="T3548" s="564">
        <f>IF((I3548-MAX(I$470:I3548))/MAX(I$470:I3548)&gt;T3547,T3547,(I3548-MAX(I$470:I3548))/MAX(I$470:I3548))</f>
        <v>-0.91338805338419748</v>
      </c>
      <c r="U3548" s="564">
        <f>IF((J3548-MAX(J$470:J3548))/MAX(J$470:J3548)&gt;U3547,U3547,(J3548-MAX(J$470:J3548))/MAX(J$470:J3548))</f>
        <v>-0.83569785939843477</v>
      </c>
      <c r="V3548" s="564">
        <f>IF((K3548-MAX(K$470:K3548))/MAX(K$470:K3548)&gt;V3547,V3547,(K3548-MAX(K$470:K3548))/MAX(K$470:K3548))</f>
        <v>-0.84885940676762139</v>
      </c>
      <c r="W3548" s="564">
        <f>IF((N3548-MAX(N$470:N3548))/MAX(N$470:N3548)&gt;W3547,W3547,(N3548-MAX(N$470:N3548))/MAX(N$470:N3548))</f>
        <v>-0.62788758315546067</v>
      </c>
      <c r="X3548" s="564">
        <f>IF((O3548-MAX(O$470:O3548))/MAX(O$470:O3548)&gt;X3547,X3547,(O3548-MAX(O$470:O3548))/MAX(O$470:O3548))</f>
        <v>-0.62788758315546067</v>
      </c>
    </row>
    <row r="3549" spans="1:24">
      <c r="A3549" s="799">
        <v>43951</v>
      </c>
      <c r="B3549">
        <v>8805.3200222334999</v>
      </c>
      <c r="C3549">
        <v>6739.1863439999997</v>
      </c>
      <c r="D3549">
        <v>1.5478369999999999</v>
      </c>
      <c r="E3549">
        <f>LN(D3549/参数实验室!$E$53)/参数实验室!$E$55</f>
        <v>-0.17758309387650775</v>
      </c>
      <c r="F3549">
        <f t="shared" si="498"/>
        <v>0.76535393682268249</v>
      </c>
      <c r="G3549">
        <f>LN(F3549/参数实验室!$E$58)/参数实验室!$E$59</f>
        <v>-0.33088486036799764</v>
      </c>
      <c r="H3549" s="856">
        <f>INDEX(神经网络!$G$10:$BO$70,MATCH(ROUND(G3549*2,1)/2,神经网络!$E$10:$E$70,0),MATCH(ROUND(E3549*2,1)/2,神经网络!$G$8:$BO$8,0))</f>
        <v>-0.55379843649671057</v>
      </c>
      <c r="I3549">
        <f t="shared" si="500"/>
        <v>536475.46529339859</v>
      </c>
      <c r="J3549">
        <f t="shared" si="501"/>
        <v>3513.554934852355</v>
      </c>
      <c r="K3549">
        <f t="shared" si="502"/>
        <v>152.68737083683655</v>
      </c>
      <c r="L3549" s="4">
        <f>MIN(MAX(L3548*(1+MAX(MIN(((B3549-B3548)/B3548)/($K$7*卓尔金历!$N$40),0),-卓尔金历!$M$43))+MIN(MAX(((B3549-B3548)/B3548)/($K$7*卓尔金历!$N$40),0),卓尔金历!$M$43),0),1)</f>
        <v>1</v>
      </c>
      <c r="M3549" s="4">
        <f>MIN(MAX(M3548*(1+MAX(MIN(((B3549-B3548)/B3548)/($K$7*30),0),-卓尔金历!$M$43))+MIN(MAX(((B3549-B3548)/B3548)/($K$7*7),0),卓尔金历!$M$43),0),1)</f>
        <v>1</v>
      </c>
      <c r="N3549">
        <f t="shared" si="503"/>
        <v>178640.05373690359</v>
      </c>
      <c r="O3549">
        <f t="shared" si="504"/>
        <v>502906.94282191026</v>
      </c>
      <c r="P3549">
        <f t="shared" si="505"/>
        <v>5.1774894837446774E-2</v>
      </c>
      <c r="Q3549">
        <f t="shared" si="496"/>
        <v>3.4885878136193316E-2</v>
      </c>
      <c r="R3549">
        <f t="shared" si="497"/>
        <v>2.0350251539071513E-2</v>
      </c>
      <c r="S3549">
        <f t="shared" si="499"/>
        <v>1075.7791017340514</v>
      </c>
      <c r="T3549" s="564">
        <f>IF((I3549-MAX(I$470:I3549))/MAX(I$470:I3549)&gt;T3548,T3548,(I3549-MAX(I$470:I3549))/MAX(I$470:I3549))</f>
        <v>-0.91338805338419748</v>
      </c>
      <c r="U3549" s="564">
        <f>IF((J3549-MAX(J$470:J3549))/MAX(J$470:J3549)&gt;U3548,U3548,(J3549-MAX(J$470:J3549))/MAX(J$470:J3549))</f>
        <v>-0.83569785939843477</v>
      </c>
      <c r="V3549" s="564">
        <f>IF((K3549-MAX(K$470:K3549))/MAX(K$470:K3549)&gt;V3548,V3548,(K3549-MAX(K$470:K3549))/MAX(K$470:K3549))</f>
        <v>-0.84885940676762139</v>
      </c>
      <c r="W3549" s="564">
        <f>IF((N3549-MAX(N$470:N3549))/MAX(N$470:N3549)&gt;W3548,W3548,(N3549-MAX(N$470:N3549))/MAX(N$470:N3549))</f>
        <v>-0.62788758315546067</v>
      </c>
      <c r="X3549" s="564">
        <f>IF((O3549-MAX(O$470:O3549))/MAX(O$470:O3549)&gt;X3548,X3548,(O3549-MAX(O$470:O3549))/MAX(O$470:O3549))</f>
        <v>-0.62788758315546067</v>
      </c>
    </row>
    <row r="3550" spans="1:24">
      <c r="A3550" s="799">
        <v>43952</v>
      </c>
      <c r="B3550">
        <v>8733.4689881941995</v>
      </c>
      <c r="C3550">
        <v>6795.301665</v>
      </c>
      <c r="D3550">
        <v>1.5814969999999999</v>
      </c>
      <c r="E3550">
        <f>LN(D3550/参数实验室!$E$53)/参数实验室!$E$55</f>
        <v>-0.15220259708826062</v>
      </c>
      <c r="F3550">
        <f t="shared" si="498"/>
        <v>0.77807589105609798</v>
      </c>
      <c r="G3550">
        <f>LN(F3550/参数实验室!$E$58)/参数实验室!$E$59</f>
        <v>-0.32223228644544344</v>
      </c>
      <c r="H3550" s="856">
        <f>INDEX(神经网络!$G$10:$BO$70,MATCH(ROUND(G3550*2,1)/2,神经网络!$E$10:$E$70,0),MATCH(ROUND(E3550*2,1)/2,神经网络!$G$8:$BO$8,0))</f>
        <v>-0.43939765390169994</v>
      </c>
      <c r="I3550">
        <f t="shared" si="500"/>
        <v>538899.78263655247</v>
      </c>
      <c r="J3550">
        <f t="shared" si="501"/>
        <v>3484.88447715342</v>
      </c>
      <c r="K3550">
        <f t="shared" si="502"/>
        <v>154.63921004255079</v>
      </c>
      <c r="L3550" s="4">
        <f>MIN(MAX(L3549*(1+MAX(MIN(((B3550-B3549)/B3549)/($K$7*卓尔金历!$N$40),0),-卓尔金历!$M$43))+MIN(MAX(((B3550-B3549)/B3549)/($K$7*卓尔金历!$N$40),0),卓尔金历!$M$43),0),1)</f>
        <v>0.87532368533236982</v>
      </c>
      <c r="M3550" s="4">
        <f>MIN(MAX(M3549*(1+MAX(MIN(((B3550-B3549)/B3549)/($K$7*30),0),-卓尔金历!$M$43))+MIN(MAX(((B3550-B3549)/B3549)/($K$7*7),0),卓尔金历!$M$43),0),1)</f>
        <v>0.93766184266618491</v>
      </c>
      <c r="N3550">
        <f t="shared" si="503"/>
        <v>179447.32305017862</v>
      </c>
      <c r="O3550">
        <f t="shared" si="504"/>
        <v>505179.56496840273</v>
      </c>
      <c r="P3550">
        <f t="shared" si="505"/>
        <v>-8.1599571461203023E-3</v>
      </c>
      <c r="Q3550">
        <f t="shared" si="496"/>
        <v>3.0519110118656601E-2</v>
      </c>
      <c r="R3550">
        <f t="shared" si="497"/>
        <v>1</v>
      </c>
      <c r="S3550">
        <f t="shared" si="499"/>
        <v>1075.8780327543991</v>
      </c>
      <c r="T3550" s="564">
        <f>IF((I3550-MAX(I$470:I3550))/MAX(I$470:I3550)&gt;T3549,T3549,(I3550-MAX(I$470:I3550))/MAX(I$470:I3550))</f>
        <v>-0.91338805338419748</v>
      </c>
      <c r="U3550" s="564">
        <f>IF((J3550-MAX(J$470:J3550))/MAX(J$470:J3550)&gt;U3549,U3549,(J3550-MAX(J$470:J3550))/MAX(J$470:J3550))</f>
        <v>-0.83569785939843477</v>
      </c>
      <c r="V3550" s="564">
        <f>IF((K3550-MAX(K$470:K3550))/MAX(K$470:K3550)&gt;V3549,V3549,(K3550-MAX(K$470:K3550))/MAX(K$470:K3550))</f>
        <v>-0.84885940676762139</v>
      </c>
      <c r="W3550" s="564">
        <f>IF((N3550-MAX(N$470:N3550))/MAX(N$470:N3550)&gt;W3549,W3549,(N3550-MAX(N$470:N3550))/MAX(N$470:N3550))</f>
        <v>-0.62788758315546067</v>
      </c>
      <c r="X3550" s="564">
        <f>IF((O3550-MAX(O$470:O3550))/MAX(O$470:O3550)&gt;X3549,X3549,(O3550-MAX(O$470:O3550))/MAX(O$470:O3550))</f>
        <v>-0.62788758315546067</v>
      </c>
    </row>
    <row r="3551" spans="1:24">
      <c r="A3551" s="799">
        <v>43953</v>
      </c>
      <c r="B3551">
        <v>8918.2720355676993</v>
      </c>
      <c r="C3551">
        <v>6820.1784950000001</v>
      </c>
      <c r="D3551">
        <v>1.6018319999999999</v>
      </c>
      <c r="E3551">
        <f>LN(D3551/参数实验室!$E$53)/参数实验室!$E$55</f>
        <v>-0.13712994293222269</v>
      </c>
      <c r="F3551">
        <f t="shared" si="498"/>
        <v>0.76474214598970314</v>
      </c>
      <c r="G3551">
        <f>LN(F3551/参数实验室!$E$58)/参数实验室!$E$59</f>
        <v>-0.33130457376106881</v>
      </c>
      <c r="H3551" s="856">
        <f>INDEX(神经网络!$G$10:$BO$70,MATCH(ROUND(G3551*2,1)/2,神经网络!$E$10:$E$70,0),MATCH(ROUND(E3551*2,1)/2,神经网络!$G$8:$BO$8,0))</f>
        <v>-0.51523219373049767</v>
      </c>
      <c r="I3551">
        <f t="shared" si="500"/>
        <v>533889.20162645215</v>
      </c>
      <c r="J3551">
        <f t="shared" si="501"/>
        <v>3558.6257673547284</v>
      </c>
      <c r="K3551">
        <f t="shared" si="502"/>
        <v>150.02679026384777</v>
      </c>
      <c r="L3551" s="4">
        <f>MIN(MAX(L3550*(1+MAX(MIN(((B3551-B3550)/B3550)/($K$7*卓尔金历!$N$40),0),-卓尔金历!$M$43))+MIN(MAX(((B3551-B3550)/B3550)/($K$7*卓尔金历!$N$40),0),卓尔金历!$M$43),0),1)</f>
        <v>1</v>
      </c>
      <c r="M3551" s="4">
        <f>MIN(MAX(M3550*(1+MAX(MIN(((B3551-B3550)/B3550)/($K$7*30),0),-卓尔金历!$M$43))+MIN(MAX(((B3551-B3550)/B3550)/($K$7*7),0),卓尔金历!$M$43),0),1)</f>
        <v>1</v>
      </c>
      <c r="N3551">
        <f t="shared" si="503"/>
        <v>177986.87624202852</v>
      </c>
      <c r="O3551">
        <f t="shared" si="504"/>
        <v>500775.31360553432</v>
      </c>
      <c r="P3551">
        <f t="shared" si="505"/>
        <v>2.1160325596084942E-2</v>
      </c>
      <c r="Q3551">
        <f t="shared" si="496"/>
        <v>3.0555832140542187E-2</v>
      </c>
      <c r="R3551">
        <f t="shared" si="497"/>
        <v>0.40916025078213625</v>
      </c>
      <c r="S3551">
        <f t="shared" si="499"/>
        <v>1065.8747367542987</v>
      </c>
      <c r="T3551" s="564">
        <f>IF((I3551-MAX(I$470:I3551))/MAX(I$470:I3551)&gt;T3550,T3550,(I3551-MAX(I$470:I3551))/MAX(I$470:I3551))</f>
        <v>-0.91338805338419748</v>
      </c>
      <c r="U3551" s="564">
        <f>IF((J3551-MAX(J$470:J3551))/MAX(J$470:J3551)&gt;U3550,U3550,(J3551-MAX(J$470:J3551))/MAX(J$470:J3551))</f>
        <v>-0.83569785939843477</v>
      </c>
      <c r="V3551" s="564">
        <f>IF((K3551-MAX(K$470:K3551))/MAX(K$470:K3551)&gt;V3550,V3550,(K3551-MAX(K$470:K3551))/MAX(K$470:K3551))</f>
        <v>-0.84885940676762139</v>
      </c>
      <c r="W3551" s="564">
        <f>IF((N3551-MAX(N$470:N3551))/MAX(N$470:N3551)&gt;W3550,W3550,(N3551-MAX(N$470:N3551))/MAX(N$470:N3551))</f>
        <v>-0.62788758315546067</v>
      </c>
      <c r="X3551" s="564">
        <f>IF((O3551-MAX(O$470:O3551))/MAX(O$470:O3551)&gt;X3550,X3550,(O3551-MAX(O$470:O3551))/MAX(O$470:O3551))</f>
        <v>-0.62788758315546067</v>
      </c>
    </row>
    <row r="3552" spans="1:24">
      <c r="A3552" s="799">
        <v>43954</v>
      </c>
      <c r="B3552">
        <v>8825.2758578972007</v>
      </c>
      <c r="C3552">
        <v>6661.3547390000003</v>
      </c>
      <c r="D3552">
        <v>1.586398</v>
      </c>
      <c r="E3552">
        <f>LN(D3552/参数实验室!$E$53)/参数实验室!$E$55</f>
        <v>-0.14855223919337818</v>
      </c>
      <c r="F3552">
        <f t="shared" si="498"/>
        <v>0.75480413827961657</v>
      </c>
      <c r="G3552">
        <f>LN(F3552/参数实验室!$E$58)/参数实验室!$E$59</f>
        <v>-0.33816988342744297</v>
      </c>
      <c r="H3552" s="856">
        <f>INDEX(神经网络!$G$10:$BO$70,MATCH(ROUND(G3552*2,1)/2,神经网络!$E$10:$E$70,0),MATCH(ROUND(E3552*2,1)/2,神经网络!$G$8:$BO$8,0))</f>
        <v>-0.51523219373049767</v>
      </c>
      <c r="I3552">
        <f t="shared" si="500"/>
        <v>536757.59368578519</v>
      </c>
      <c r="J3552">
        <f t="shared" si="501"/>
        <v>3521.5178396301771</v>
      </c>
      <c r="K3552">
        <f t="shared" si="502"/>
        <v>152.42222761028364</v>
      </c>
      <c r="L3552" s="4">
        <f>MIN(MAX(L3551*(1+MAX(MIN(((B3552-B3551)/B3551)/($K$7*卓尔金历!$N$40),0),-卓尔金历!$M$43))+MIN(MAX(((B3552-B3551)/B3551)/($K$7*卓尔金历!$N$40),0),卓尔金历!$M$43),0),1)</f>
        <v>0.84067627143658352</v>
      </c>
      <c r="M3552" s="4">
        <f>MIN(MAX(M3551*(1+MAX(MIN(((B3552-B3551)/B3551)/($K$7*30),0),-卓尔金历!$M$43))+MIN(MAX(((B3552-B3551)/B3551)/($K$7*7),0),卓尔金历!$M$43),0),1)</f>
        <v>0.92033813571829182</v>
      </c>
      <c r="N3552">
        <f t="shared" si="503"/>
        <v>178943.13484572907</v>
      </c>
      <c r="O3552">
        <f t="shared" si="504"/>
        <v>503465.79681568383</v>
      </c>
      <c r="P3552">
        <f t="shared" si="505"/>
        <v>-1.0427600470092505E-2</v>
      </c>
      <c r="Q3552">
        <f t="shared" si="496"/>
        <v>3.080155319225017E-2</v>
      </c>
      <c r="R3552">
        <f t="shared" si="497"/>
        <v>1</v>
      </c>
      <c r="S3552">
        <f t="shared" si="499"/>
        <v>1068.2178160121637</v>
      </c>
      <c r="T3552" s="564">
        <f>IF((I3552-MAX(I$470:I3552))/MAX(I$470:I3552)&gt;T3551,T3551,(I3552-MAX(I$470:I3552))/MAX(I$470:I3552))</f>
        <v>-0.91338805338419748</v>
      </c>
      <c r="U3552" s="564">
        <f>IF((J3552-MAX(J$470:J3552))/MAX(J$470:J3552)&gt;U3551,U3551,(J3552-MAX(J$470:J3552))/MAX(J$470:J3552))</f>
        <v>-0.83569785939843477</v>
      </c>
      <c r="V3552" s="564">
        <f>IF((K3552-MAX(K$470:K3552))/MAX(K$470:K3552)&gt;V3551,V3551,(K3552-MAX(K$470:K3552))/MAX(K$470:K3552))</f>
        <v>-0.84885940676762139</v>
      </c>
      <c r="W3552" s="564">
        <f>IF((N3552-MAX(N$470:N3552))/MAX(N$470:N3552)&gt;W3551,W3551,(N3552-MAX(N$470:N3552))/MAX(N$470:N3552))</f>
        <v>-0.62788758315546067</v>
      </c>
      <c r="X3552" s="564">
        <f>IF((O3552-MAX(O$470:O3552))/MAX(O$470:O3552)&gt;X3551,X3551,(O3552-MAX(O$470:O3552))/MAX(O$470:O3552))</f>
        <v>-0.62788758315546067</v>
      </c>
    </row>
    <row r="3553" spans="1:24">
      <c r="A3553" s="799">
        <v>43955</v>
      </c>
      <c r="B3553">
        <v>8839.9057325006997</v>
      </c>
      <c r="C3553">
        <v>6659.2194300000001</v>
      </c>
      <c r="D3553">
        <v>1.582411</v>
      </c>
      <c r="E3553">
        <f>LN(D3553/参数实验室!$E$53)/参数实验室!$E$55</f>
        <v>-0.1515209751858623</v>
      </c>
      <c r="F3553">
        <f t="shared" si="498"/>
        <v>0.75331339852604851</v>
      </c>
      <c r="G3553">
        <f>LN(F3553/参数实验室!$E$58)/参数实验室!$E$59</f>
        <v>-0.33920749624286212</v>
      </c>
      <c r="H3553" s="856">
        <f>INDEX(神经网络!$G$10:$BO$70,MATCH(ROUND(G3553*2,1)/2,神经网络!$E$10:$E$70,0),MATCH(ROUND(E3553*2,1)/2,神经网络!$G$8:$BO$8,0))</f>
        <v>-0.51523219373049767</v>
      </c>
      <c r="I3553">
        <f t="shared" si="500"/>
        <v>536299.1420747122</v>
      </c>
      <c r="J3553">
        <f t="shared" si="501"/>
        <v>3527.3555454693292</v>
      </c>
      <c r="K3553">
        <f t="shared" si="502"/>
        <v>152.04000140092353</v>
      </c>
      <c r="L3553" s="4">
        <f>MIN(MAX(L3552*(1+MAX(MIN(((B3553-B3552)/B3552)/($K$7*卓尔金历!$N$40),0),-卓尔金历!$M$43))+MIN(MAX(((B3553-B3552)/B3552)/($K$7*卓尔金历!$N$40),0),卓尔金历!$M$43),0),1)</f>
        <v>0.86600470856424916</v>
      </c>
      <c r="M3553" s="4">
        <f>MIN(MAX(M3552*(1+MAX(MIN(((B3553-B3552)/B3552)/($K$7*30),0),-卓尔金历!$M$43))+MIN(MAX(((B3553-B3552)/B3552)/($K$7*7),0),卓尔金历!$M$43),0),1)</f>
        <v>0.97461335813471817</v>
      </c>
      <c r="N3553">
        <f t="shared" si="503"/>
        <v>178814.64786121063</v>
      </c>
      <c r="O3553">
        <f t="shared" si="504"/>
        <v>503070.0360879142</v>
      </c>
      <c r="P3553">
        <f t="shared" si="505"/>
        <v>1.657724340753345E-3</v>
      </c>
      <c r="Q3553">
        <f t="shared" si="496"/>
        <v>2.9104989549526332E-2</v>
      </c>
      <c r="R3553">
        <f t="shared" si="497"/>
        <v>1</v>
      </c>
      <c r="S3553">
        <f t="shared" si="499"/>
        <v>1067.3054373434898</v>
      </c>
      <c r="T3553" s="564">
        <f>IF((I3553-MAX(I$470:I3553))/MAX(I$470:I3553)&gt;T3552,T3552,(I3553-MAX(I$470:I3553))/MAX(I$470:I3553))</f>
        <v>-0.91338805338419748</v>
      </c>
      <c r="U3553" s="564">
        <f>IF((J3553-MAX(J$470:J3553))/MAX(J$470:J3553)&gt;U3552,U3552,(J3553-MAX(J$470:J3553))/MAX(J$470:J3553))</f>
        <v>-0.83569785939843477</v>
      </c>
      <c r="V3553" s="564">
        <f>IF((K3553-MAX(K$470:K3553))/MAX(K$470:K3553)&gt;V3552,V3552,(K3553-MAX(K$470:K3553))/MAX(K$470:K3553))</f>
        <v>-0.84885940676762139</v>
      </c>
      <c r="W3553" s="564">
        <f>IF((N3553-MAX(N$470:N3553))/MAX(N$470:N3553)&gt;W3552,W3552,(N3553-MAX(N$470:N3553))/MAX(N$470:N3553))</f>
        <v>-0.62788758315546067</v>
      </c>
      <c r="X3553" s="564">
        <f>IF((O3553-MAX(O$470:O3553))/MAX(O$470:O3553)&gt;X3552,X3552,(O3553-MAX(O$470:O3553))/MAX(O$470:O3553))</f>
        <v>-0.62788758315546067</v>
      </c>
    </row>
    <row r="3554" spans="1:24">
      <c r="A3554" s="799">
        <v>43956</v>
      </c>
      <c r="B3554">
        <v>8812.7233713462992</v>
      </c>
      <c r="C3554">
        <v>6737.0052180000002</v>
      </c>
      <c r="D3554">
        <v>1.599594</v>
      </c>
      <c r="E3554">
        <f>LN(D3554/参数实验室!$E$53)/参数实验室!$E$55</f>
        <v>-0.13877938801707154</v>
      </c>
      <c r="F3554">
        <f t="shared" si="498"/>
        <v>0.7644634846822389</v>
      </c>
      <c r="G3554">
        <f>LN(F3554/参数实验室!$E$58)/参数实验室!$E$59</f>
        <v>-0.33149585806261511</v>
      </c>
      <c r="H3554" s="856">
        <f>INDEX(神经网络!$G$10:$BO$70,MATCH(ROUND(G3554*2,1)/2,神经网络!$E$10:$E$70,0),MATCH(ROUND(E3554*2,1)/2,神经网络!$G$8:$BO$8,0))</f>
        <v>-0.51523219373049767</v>
      </c>
      <c r="I3554">
        <f t="shared" si="500"/>
        <v>537148.81081064173</v>
      </c>
      <c r="J3554">
        <f t="shared" si="501"/>
        <v>3516.5090664164577</v>
      </c>
      <c r="K3554">
        <f t="shared" si="502"/>
        <v>152.75058322486566</v>
      </c>
      <c r="L3554" s="4">
        <f>MIN(MAX(L3553*(1+MAX(MIN(((B3554-B3553)/B3553)/($K$7*卓尔金历!$N$40),0),-卓尔金历!$M$43))+MIN(MAX(((B3554-B3553)/B3553)/($K$7*卓尔金历!$N$40),0),卓尔金历!$M$43),0),1)</f>
        <v>0.82531768913225811</v>
      </c>
      <c r="M3554" s="4">
        <f>MIN(MAX(M3553*(1+MAX(MIN(((B3554-B3553)/B3553)/($K$7*30),0),-卓尔金历!$M$43))+MIN(MAX(((B3554-B3553)/B3553)/($K$7*7),0),卓尔金历!$M$43),0),1)</f>
        <v>0.95171849841343104</v>
      </c>
      <c r="N3554">
        <f t="shared" si="503"/>
        <v>179059.98646043561</v>
      </c>
      <c r="O3554">
        <f t="shared" si="504"/>
        <v>503846.82558767183</v>
      </c>
      <c r="P3554">
        <f t="shared" si="505"/>
        <v>-3.0749605229908874E-3</v>
      </c>
      <c r="Q3554">
        <f t="shared" si="496"/>
        <v>2.9273490357707675E-2</v>
      </c>
      <c r="R3554">
        <f t="shared" si="497"/>
        <v>1</v>
      </c>
      <c r="S3554">
        <f t="shared" si="499"/>
        <v>1068.9963892594114</v>
      </c>
      <c r="T3554" s="564">
        <f>IF((I3554-MAX(I$470:I3554))/MAX(I$470:I3554)&gt;T3553,T3553,(I3554-MAX(I$470:I3554))/MAX(I$470:I3554))</f>
        <v>-0.91338805338419748</v>
      </c>
      <c r="U3554" s="564">
        <f>IF((J3554-MAX(J$470:J3554))/MAX(J$470:J3554)&gt;U3553,U3553,(J3554-MAX(J$470:J3554))/MAX(J$470:J3554))</f>
        <v>-0.83569785939843477</v>
      </c>
      <c r="V3554" s="564">
        <f>IF((K3554-MAX(K$470:K3554))/MAX(K$470:K3554)&gt;V3553,V3553,(K3554-MAX(K$470:K3554))/MAX(K$470:K3554))</f>
        <v>-0.84885940676762139</v>
      </c>
      <c r="W3554" s="564">
        <f>IF((N3554-MAX(N$470:N3554))/MAX(N$470:N3554)&gt;W3553,W3553,(N3554-MAX(N$470:N3554))/MAX(N$470:N3554))</f>
        <v>-0.62788758315546067</v>
      </c>
      <c r="X3554" s="564">
        <f>IF((O3554-MAX(O$470:O3554))/MAX(O$470:O3554)&gt;X3553,X3553,(O3554-MAX(O$470:O3554))/MAX(O$470:O3554))</f>
        <v>-0.62788758315546067</v>
      </c>
    </row>
    <row r="3555" spans="1:24">
      <c r="A3555" s="799">
        <v>43957</v>
      </c>
      <c r="B3555">
        <v>9279.3803445434005</v>
      </c>
      <c r="C3555">
        <v>6624.1739159999997</v>
      </c>
      <c r="D3555">
        <v>1.645748</v>
      </c>
      <c r="E3555">
        <f>LN(D3555/参数实验室!$E$53)/参数实验室!$E$55</f>
        <v>-0.10522113584789894</v>
      </c>
      <c r="F3555">
        <f t="shared" si="498"/>
        <v>0.71385951109281187</v>
      </c>
      <c r="G3555">
        <f>LN(F3555/参数实验室!$E$58)/参数实验室!$E$59</f>
        <v>-0.36744210415500611</v>
      </c>
      <c r="H3555" s="856">
        <f>INDEX(神经网络!$G$10:$BO$70,MATCH(ROUND(G3555*2,1)/2,神经网络!$E$10:$E$70,0),MATCH(ROUND(E3555*2,1)/2,神经网络!$G$8:$BO$8,0))</f>
        <v>-0.47881512889002076</v>
      </c>
      <c r="I3555">
        <f t="shared" si="500"/>
        <v>522493.83074372058</v>
      </c>
      <c r="J3555">
        <f t="shared" si="501"/>
        <v>3702.7175071000302</v>
      </c>
      <c r="K3555">
        <f t="shared" si="502"/>
        <v>141.11090833741133</v>
      </c>
      <c r="L3555" s="4">
        <f>MIN(MAX(L3554*(1+MAX(MIN(((B3555-B3554)/B3554)/($K$7*卓尔金历!$N$40),0),-卓尔金历!$M$43))+MIN(MAX(((B3555-B3554)/B3554)/($K$7*卓尔金历!$N$40),0),卓尔金历!$M$43),0),1)</f>
        <v>1</v>
      </c>
      <c r="M3555" s="4">
        <f>MIN(MAX(M3554*(1+MAX(MIN(((B3555-B3554)/B3554)/($K$7*30),0),-卓尔金历!$M$43))+MIN(MAX(((B3555-B3554)/B3554)/($K$7*7),0),卓尔金历!$M$43),0),1)</f>
        <v>1</v>
      </c>
      <c r="N3555">
        <f t="shared" si="503"/>
        <v>175028.08124127644</v>
      </c>
      <c r="O3555">
        <f t="shared" si="504"/>
        <v>490764.11750817014</v>
      </c>
      <c r="P3555">
        <f t="shared" si="505"/>
        <v>5.2952640578097614E-2</v>
      </c>
      <c r="Q3555">
        <f t="shared" si="496"/>
        <v>2.9115630322795884E-2</v>
      </c>
      <c r="R3555">
        <f t="shared" si="497"/>
        <v>1.1764348760536269E-2</v>
      </c>
      <c r="S3555">
        <f t="shared" si="499"/>
        <v>1039.8310621453763</v>
      </c>
      <c r="T3555" s="564">
        <f>IF((I3555-MAX(I$470:I3555))/MAX(I$470:I3555)&gt;T3554,T3554,(I3555-MAX(I$470:I3555))/MAX(I$470:I3555))</f>
        <v>-0.91338805338419748</v>
      </c>
      <c r="U3555" s="564">
        <f>IF((J3555-MAX(J$470:J3555))/MAX(J$470:J3555)&gt;U3554,U3554,(J3555-MAX(J$470:J3555))/MAX(J$470:J3555))</f>
        <v>-0.83569785939843477</v>
      </c>
      <c r="V3555" s="564">
        <f>IF((K3555-MAX(K$470:K3555))/MAX(K$470:K3555)&gt;V3554,V3554,(K3555-MAX(K$470:K3555))/MAX(K$470:K3555))</f>
        <v>-0.84885940676762139</v>
      </c>
      <c r="W3555" s="564">
        <f>IF((N3555-MAX(N$470:N3555))/MAX(N$470:N3555)&gt;W3554,W3554,(N3555-MAX(N$470:N3555))/MAX(N$470:N3555))</f>
        <v>-0.62788758315546067</v>
      </c>
      <c r="X3555" s="564">
        <f>IF((O3555-MAX(O$470:O3555))/MAX(O$470:O3555)&gt;X3554,X3554,(O3555-MAX(O$470:O3555))/MAX(O$470:O3555))</f>
        <v>-0.62788758315546067</v>
      </c>
    </row>
    <row r="3556" spans="1:24">
      <c r="A3556" s="799">
        <v>43958</v>
      </c>
      <c r="B3556">
        <v>9491.7907694738005</v>
      </c>
      <c r="C3556">
        <v>6719.0434130000003</v>
      </c>
      <c r="D3556">
        <v>1.7624660000000001</v>
      </c>
      <c r="E3556">
        <f>LN(D3556/参数实验室!$E$53)/参数实验室!$E$55</f>
        <v>-2.438565562065452E-2</v>
      </c>
      <c r="F3556">
        <f t="shared" si="498"/>
        <v>0.70787942720027808</v>
      </c>
      <c r="G3556">
        <f>LN(F3556/参数实验室!$E$58)/参数实验室!$E$59</f>
        <v>-0.37185738692503334</v>
      </c>
      <c r="H3556" s="856">
        <f>INDEX(神经网络!$G$10:$BO$70,MATCH(ROUND(G3556*2,1)/2,神经网络!$E$10:$E$70,0),MATCH(ROUND(E3556*2,1)/2,神经网络!$G$8:$BO$8,0))</f>
        <v>-0.39707804310729755</v>
      </c>
      <c r="I3556">
        <f t="shared" si="500"/>
        <v>516767.11162150686</v>
      </c>
      <c r="J3556">
        <f t="shared" si="501"/>
        <v>3787.474869108888</v>
      </c>
      <c r="K3556">
        <f t="shared" si="502"/>
        <v>136.44106680055441</v>
      </c>
      <c r="L3556" s="4">
        <f>MIN(MAX(L3555*(1+MAX(MIN(((B3556-B3555)/B3555)/($K$7*卓尔金历!$N$40),0),-卓尔金历!$M$43))+MIN(MAX(((B3556-B3555)/B3555)/($K$7*卓尔金历!$N$40),0),卓尔金历!$M$43),0),1)</f>
        <v>1</v>
      </c>
      <c r="M3556" s="4">
        <f>MIN(MAX(M3555*(1+MAX(MIN(((B3556-B3555)/B3555)/($K$7*30),0),-卓尔金历!$M$43))+MIN(MAX(((B3556-B3555)/B3555)/($K$7*7),0),卓尔金历!$M$43),0),1)</f>
        <v>1</v>
      </c>
      <c r="N3556">
        <f t="shared" si="503"/>
        <v>173109.71091651669</v>
      </c>
      <c r="O3556">
        <f t="shared" si="504"/>
        <v>485385.16738309414</v>
      </c>
      <c r="P3556">
        <f t="shared" si="505"/>
        <v>2.2890582888468926E-2</v>
      </c>
      <c r="Q3556">
        <f t="shared" si="496"/>
        <v>2.8212605384369278E-2</v>
      </c>
      <c r="R3556">
        <f t="shared" si="497"/>
        <v>0.24424533626895786</v>
      </c>
      <c r="S3556">
        <f t="shared" si="499"/>
        <v>1039.6969848028452</v>
      </c>
      <c r="T3556" s="564">
        <f>IF((I3556-MAX(I$470:I3556))/MAX(I$470:I3556)&gt;T3555,T3555,(I3556-MAX(I$470:I3556))/MAX(I$470:I3556))</f>
        <v>-0.91338805338419748</v>
      </c>
      <c r="U3556" s="564">
        <f>IF((J3556-MAX(J$470:J3556))/MAX(J$470:J3556)&gt;U3555,U3555,(J3556-MAX(J$470:J3556))/MAX(J$470:J3556))</f>
        <v>-0.83569785939843477</v>
      </c>
      <c r="V3556" s="564">
        <f>IF((K3556-MAX(K$470:K3556))/MAX(K$470:K3556)&gt;V3555,V3555,(K3556-MAX(K$470:K3556))/MAX(K$470:K3556))</f>
        <v>-0.84885940676762139</v>
      </c>
      <c r="W3556" s="564">
        <f>IF((N3556-MAX(N$470:N3556))/MAX(N$470:N3556)&gt;W3555,W3555,(N3556-MAX(N$470:N3556))/MAX(N$470:N3556))</f>
        <v>-0.62788758315546067</v>
      </c>
      <c r="X3556" s="564">
        <f>IF((O3556-MAX(O$470:O3556))/MAX(O$470:O3556)&gt;X3555,X3555,(O3556-MAX(O$470:O3556))/MAX(O$470:O3556))</f>
        <v>-0.62788758315546067</v>
      </c>
    </row>
    <row r="3557" spans="1:24">
      <c r="A3557" s="799">
        <v>43959</v>
      </c>
      <c r="B3557">
        <v>9953.0516655672</v>
      </c>
      <c r="C3557">
        <v>6752.3472060000004</v>
      </c>
      <c r="D3557">
        <v>1.7350490000000001</v>
      </c>
      <c r="E3557">
        <f>LN(D3557/参数实验室!$E$53)/参数实验室!$E$55</f>
        <v>-4.2882192305727027E-2</v>
      </c>
      <c r="F3557">
        <f t="shared" si="498"/>
        <v>0.6784197885116876</v>
      </c>
      <c r="G3557">
        <f>LN(F3557/参数实验室!$E$58)/参数实验室!$E$59</f>
        <v>-0.39416763338121519</v>
      </c>
      <c r="H3557" s="856">
        <f>INDEX(神经网络!$G$10:$BO$70,MATCH(ROUND(G3557*2,1)/2,神经网络!$E$10:$E$70,0),MATCH(ROUND(E3557*2,1)/2,神经网络!$G$8:$BO$8,0))</f>
        <v>-0.51577837593697917</v>
      </c>
      <c r="I3557">
        <f t="shared" si="500"/>
        <v>506795.41123216395</v>
      </c>
      <c r="J3557">
        <f t="shared" si="501"/>
        <v>3971.5301327030775</v>
      </c>
      <c r="K3557">
        <f t="shared" si="502"/>
        <v>127.60709205225949</v>
      </c>
      <c r="L3557" s="4">
        <f>MIN(MAX(L3556*(1+MAX(MIN(((B3557-B3556)/B3556)/($K$7*卓尔金历!$N$40),0),-卓尔金历!$M$43))+MIN(MAX(((B3557-B3556)/B3556)/($K$7*卓尔金历!$N$40),0),卓尔金历!$M$43),0),1)</f>
        <v>1</v>
      </c>
      <c r="M3557" s="4">
        <f>MIN(MAX(M3556*(1+MAX(MIN(((B3557-B3556)/B3556)/($K$7*30),0),-卓尔金历!$M$43))+MIN(MAX(((B3557-B3556)/B3556)/($K$7*7),0),卓尔金历!$M$43),0),1)</f>
        <v>1</v>
      </c>
      <c r="N3557">
        <f t="shared" si="503"/>
        <v>169769.33159878338</v>
      </c>
      <c r="O3557">
        <f t="shared" si="504"/>
        <v>476019.02283997874</v>
      </c>
      <c r="P3557">
        <f t="shared" si="505"/>
        <v>4.8595771577355416E-2</v>
      </c>
      <c r="Q3557">
        <f t="shared" si="496"/>
        <v>2.8920737074037771E-2</v>
      </c>
      <c r="R3557">
        <f t="shared" si="497"/>
        <v>1.3570894054200873E-2</v>
      </c>
      <c r="S3557">
        <f t="shared" si="499"/>
        <v>1034.7968568643976</v>
      </c>
      <c r="T3557" s="564">
        <f>IF((I3557-MAX(I$470:I3557))/MAX(I$470:I3557)&gt;T3556,T3556,(I3557-MAX(I$470:I3557))/MAX(I$470:I3557))</f>
        <v>-0.91338805338419748</v>
      </c>
      <c r="U3557" s="564">
        <f>IF((J3557-MAX(J$470:J3557))/MAX(J$470:J3557)&gt;U3556,U3556,(J3557-MAX(J$470:J3557))/MAX(J$470:J3557))</f>
        <v>-0.83569785939843477</v>
      </c>
      <c r="V3557" s="564">
        <f>IF((K3557-MAX(K$470:K3557))/MAX(K$470:K3557)&gt;V3556,V3556,(K3557-MAX(K$470:K3557))/MAX(K$470:K3557))</f>
        <v>-0.84885940676762139</v>
      </c>
      <c r="W3557" s="564">
        <f>IF((N3557-MAX(N$470:N3557))/MAX(N$470:N3557)&gt;W3556,W3556,(N3557-MAX(N$470:N3557))/MAX(N$470:N3557))</f>
        <v>-0.62788758315546067</v>
      </c>
      <c r="X3557" s="564">
        <f>IF((O3557-MAX(O$470:O3557))/MAX(O$470:O3557)&gt;X3556,X3556,(O3557-MAX(O$470:O3557))/MAX(O$470:O3557))</f>
        <v>-0.62788758315546067</v>
      </c>
    </row>
    <row r="3558" spans="1:24">
      <c r="A3558" s="799">
        <v>43960</v>
      </c>
      <c r="B3558">
        <v>9686.9596284012005</v>
      </c>
      <c r="C3558">
        <v>6835.779313</v>
      </c>
      <c r="D3558">
        <v>1.685279</v>
      </c>
      <c r="E3558">
        <f>LN(D3558/参数实验室!$E$53)/参数实验室!$E$55</f>
        <v>-7.72183516722596E-2</v>
      </c>
      <c r="F3558">
        <f t="shared" si="498"/>
        <v>0.70566819468909281</v>
      </c>
      <c r="G3558">
        <f>LN(F3558/参数实验室!$E$58)/参数实验室!$E$59</f>
        <v>-0.37349946145070295</v>
      </c>
      <c r="H3558" s="856">
        <f>INDEX(神经网络!$G$10:$BO$70,MATCH(ROUND(G3558*2,1)/2,神经网络!$E$10:$E$70,0),MATCH(ROUND(E3558*2,1)/2,神经网络!$G$8:$BO$8,0))</f>
        <v>-0.47881512889002076</v>
      </c>
      <c r="I3558">
        <f t="shared" si="500"/>
        <v>513783.70936134108</v>
      </c>
      <c r="J3558">
        <f t="shared" si="501"/>
        <v>3865.3523915251517</v>
      </c>
      <c r="K3558">
        <f t="shared" si="502"/>
        <v>132.9202766836525</v>
      </c>
      <c r="L3558" s="4">
        <f>MIN(MAX(L3557*(1+MAX(MIN(((B3558-B3557)/B3557)/($K$7*卓尔金历!$N$40),0),-卓尔金历!$M$43))+MIN(MAX(((B3558-B3557)/B3557)/($K$7*卓尔金历!$N$40),0),卓尔金历!$M$43),0),1)</f>
        <v>0.5915191526096768</v>
      </c>
      <c r="M3558" s="4">
        <f>MIN(MAX(M3557*(1+MAX(MIN(((B3558-B3557)/B3557)/($K$7*30),0),-卓尔金历!$M$43))+MIN(MAX(((B3558-B3557)/B3557)/($K$7*7),0),卓尔金历!$M$43),0),1)</f>
        <v>0.7957595763048384</v>
      </c>
      <c r="N3558">
        <f t="shared" si="503"/>
        <v>172110.31313908374</v>
      </c>
      <c r="O3558">
        <f t="shared" si="504"/>
        <v>482582.93950741168</v>
      </c>
      <c r="P3558">
        <f t="shared" si="505"/>
        <v>-2.6734718768370382E-2</v>
      </c>
      <c r="Q3558">
        <f t="shared" si="496"/>
        <v>3.0292575458416293E-2</v>
      </c>
      <c r="R3558">
        <f t="shared" si="497"/>
        <v>0.15747368136583476</v>
      </c>
      <c r="S3558">
        <f t="shared" si="499"/>
        <v>1034.9905000913311</v>
      </c>
      <c r="T3558" s="564">
        <f>IF((I3558-MAX(I$470:I3558))/MAX(I$470:I3558)&gt;T3557,T3557,(I3558-MAX(I$470:I3558))/MAX(I$470:I3558))</f>
        <v>-0.91338805338419748</v>
      </c>
      <c r="U3558" s="564">
        <f>IF((J3558-MAX(J$470:J3558))/MAX(J$470:J3558)&gt;U3557,U3557,(J3558-MAX(J$470:J3558))/MAX(J$470:J3558))</f>
        <v>-0.83569785939843477</v>
      </c>
      <c r="V3558" s="564">
        <f>IF((K3558-MAX(K$470:K3558))/MAX(K$470:K3558)&gt;V3557,V3557,(K3558-MAX(K$470:K3558))/MAX(K$470:K3558))</f>
        <v>-0.84885940676762139</v>
      </c>
      <c r="W3558" s="564">
        <f>IF((N3558-MAX(N$470:N3558))/MAX(N$470:N3558)&gt;W3557,W3557,(N3558-MAX(N$470:N3558))/MAX(N$470:N3558))</f>
        <v>-0.62788758315546067</v>
      </c>
      <c r="X3558" s="564">
        <f>IF((O3558-MAX(O$470:O3558))/MAX(O$470:O3558)&gt;X3557,X3557,(O3558-MAX(O$470:O3558))/MAX(O$470:O3558))</f>
        <v>-0.62788758315546067</v>
      </c>
    </row>
    <row r="3559" spans="1:24">
      <c r="A3559" s="799">
        <v>43961</v>
      </c>
      <c r="B3559">
        <v>8637.6112800171995</v>
      </c>
      <c r="C3559">
        <v>6806.447075</v>
      </c>
      <c r="D3559">
        <v>1.5344439999999999</v>
      </c>
      <c r="E3559">
        <f>LN(D3559/参数实验室!$E$53)/参数实验室!$E$55</f>
        <v>-0.1878355884655338</v>
      </c>
      <c r="F3559">
        <f t="shared" si="498"/>
        <v>0.78800108668312829</v>
      </c>
      <c r="G3559">
        <f>LN(F3559/参数实验室!$E$58)/参数实验室!$E$59</f>
        <v>-0.31557954986456649</v>
      </c>
      <c r="H3559" s="856">
        <f>INDEX(神经网络!$G$10:$BO$70,MATCH(ROUND(G3559*2,1)/2,神经网络!$E$10:$E$70,0),MATCH(ROUND(E3559*2,1)/2,神经网络!$G$8:$BO$8,0))</f>
        <v>-0.4779542486348563</v>
      </c>
      <c r="I3559">
        <f t="shared" si="500"/>
        <v>540432.67688519775</v>
      </c>
      <c r="J3559">
        <f t="shared" si="501"/>
        <v>3446.6347232820649</v>
      </c>
      <c r="K3559">
        <f t="shared" si="502"/>
        <v>156.80010220826929</v>
      </c>
      <c r="L3559" s="4">
        <f>MIN(MAX(L3558*(1+MAX(MIN(((B3559-B3558)/B3558)/($K$7*卓尔金历!$N$40),0),-卓尔金历!$M$43))+MIN(MAX(((B3559-B3558)/B3558)/($K$7*卓尔金历!$N$40),0),卓尔金历!$M$43),0),1)</f>
        <v>0</v>
      </c>
      <c r="M3559" s="4">
        <f>MIN(MAX(M3558*(1+MAX(MIN(((B3559-B3558)/B3558)/($K$7*30),0),-卓尔金历!$M$43))+MIN(MAX(((B3559-B3558)/B3558)/($K$7*7),0),卓尔金历!$M$43),0),1)</f>
        <v>0.1372226231315678</v>
      </c>
      <c r="N3559">
        <f t="shared" si="503"/>
        <v>177390.82185157275</v>
      </c>
      <c r="O3559">
        <f t="shared" si="504"/>
        <v>502501.31411027501</v>
      </c>
      <c r="P3559">
        <f t="shared" si="505"/>
        <v>-0.10832587195959981</v>
      </c>
      <c r="Q3559">
        <f t="shared" si="496"/>
        <v>3.9639282351909173E-2</v>
      </c>
      <c r="R3559">
        <f t="shared" si="497"/>
        <v>0</v>
      </c>
      <c r="S3559">
        <f t="shared" si="499"/>
        <v>1043.4441527873814</v>
      </c>
      <c r="T3559" s="564">
        <f>IF((I3559-MAX(I$470:I3559))/MAX(I$470:I3559)&gt;T3558,T3558,(I3559-MAX(I$470:I3559))/MAX(I$470:I3559))</f>
        <v>-0.91338805338419748</v>
      </c>
      <c r="U3559" s="564">
        <f>IF((J3559-MAX(J$470:J3559))/MAX(J$470:J3559)&gt;U3558,U3558,(J3559-MAX(J$470:J3559))/MAX(J$470:J3559))</f>
        <v>-0.83569785939843477</v>
      </c>
      <c r="V3559" s="564">
        <f>IF((K3559-MAX(K$470:K3559))/MAX(K$470:K3559)&gt;V3558,V3558,(K3559-MAX(K$470:K3559))/MAX(K$470:K3559))</f>
        <v>-0.84885940676762139</v>
      </c>
      <c r="W3559" s="564">
        <f>IF((N3559-MAX(N$470:N3559))/MAX(N$470:N3559)&gt;W3558,W3558,(N3559-MAX(N$470:N3559))/MAX(N$470:N3559))</f>
        <v>-0.62788758315546067</v>
      </c>
      <c r="X3559" s="564">
        <f>IF((O3559-MAX(O$470:O3559))/MAX(O$470:O3559)&gt;X3558,X3558,(O3559-MAX(O$470:O3559))/MAX(O$470:O3559))</f>
        <v>-0.62788758315546067</v>
      </c>
    </row>
    <row r="3560" spans="1:24">
      <c r="A3560" s="799">
        <v>43962</v>
      </c>
      <c r="B3560">
        <v>8873.9240147725995</v>
      </c>
      <c r="C3560">
        <v>6872.4789110000002</v>
      </c>
      <c r="D3560">
        <v>1.5142770000000001</v>
      </c>
      <c r="E3560">
        <f>LN(D3560/参数实验室!$E$53)/参数实验室!$E$55</f>
        <v>-0.20344372755301032</v>
      </c>
      <c r="F3560">
        <f t="shared" si="498"/>
        <v>0.77445771448563749</v>
      </c>
      <c r="G3560">
        <f>LN(F3560/参数实验室!$E$58)/参数实验室!$E$59</f>
        <v>-0.32467863354261617</v>
      </c>
      <c r="H3560" s="856">
        <f>INDEX(神经网络!$G$10:$BO$70,MATCH(ROUND(G3560*2,1)/2,神经网络!$E$10:$E$70,0),MATCH(ROUND(E3560*2,1)/2,神经网络!$G$8:$BO$8,0))</f>
        <v>-0.4779542486348563</v>
      </c>
      <c r="I3560">
        <f t="shared" si="500"/>
        <v>533365.8997113111</v>
      </c>
      <c r="J3560">
        <f t="shared" si="501"/>
        <v>3540.9297373498994</v>
      </c>
      <c r="K3560">
        <f t="shared" si="502"/>
        <v>150.62877246202927</v>
      </c>
      <c r="L3560" s="4">
        <f>MIN(MAX(L3559*(1+MAX(MIN(((B3560-B3559)/B3559)/($K$7*卓尔金历!$N$40),0),-卓尔金历!$M$43))+MIN(MAX(((B3560-B3559)/B3559)/($K$7*卓尔金历!$N$40),0),卓尔金历!$M$43),0),1)</f>
        <v>0.41801276969344486</v>
      </c>
      <c r="M3560" s="4">
        <f>MIN(MAX(M3559*(1+MAX(MIN(((B3560-B3559)/B3559)/($K$7*30),0),-卓尔金历!$M$43))+MIN(MAX(((B3560-B3559)/B3559)/($K$7*7),0),卓尔金历!$M$43),0),1)</f>
        <v>1</v>
      </c>
      <c r="N3560">
        <f t="shared" si="503"/>
        <v>177390.82185157275</v>
      </c>
      <c r="O3560">
        <f t="shared" si="504"/>
        <v>501599.65429239452</v>
      </c>
      <c r="P3560">
        <f t="shared" si="505"/>
        <v>2.7358574852992163E-2</v>
      </c>
      <c r="Q3560">
        <f t="shared" si="496"/>
        <v>3.9624593121968421E-2</v>
      </c>
      <c r="R3560">
        <f t="shared" si="497"/>
        <v>0.42474242502237081</v>
      </c>
      <c r="S3560">
        <f t="shared" si="499"/>
        <v>1043.4441527873814</v>
      </c>
      <c r="T3560" s="564">
        <f>IF((I3560-MAX(I$470:I3560))/MAX(I$470:I3560)&gt;T3559,T3559,(I3560-MAX(I$470:I3560))/MAX(I$470:I3560))</f>
        <v>-0.91338805338419748</v>
      </c>
      <c r="U3560" s="564">
        <f>IF((J3560-MAX(J$470:J3560))/MAX(J$470:J3560)&gt;U3559,U3559,(J3560-MAX(J$470:J3560))/MAX(J$470:J3560))</f>
        <v>-0.83569785939843477</v>
      </c>
      <c r="V3560" s="564">
        <f>IF((K3560-MAX(K$470:K3560))/MAX(K$470:K3560)&gt;V3559,V3559,(K3560-MAX(K$470:K3560))/MAX(K$470:K3560))</f>
        <v>-0.84885940676762139</v>
      </c>
      <c r="W3560" s="564">
        <f>IF((N3560-MAX(N$470:N3560))/MAX(N$470:N3560)&gt;W3559,W3559,(N3560-MAX(N$470:N3560))/MAX(N$470:N3560))</f>
        <v>-0.62788758315546067</v>
      </c>
      <c r="X3560" s="564">
        <f>IF((O3560-MAX(O$470:O3560))/MAX(O$470:O3560)&gt;X3559,X3559,(O3560-MAX(O$470:O3560))/MAX(O$470:O3560))</f>
        <v>-0.62788758315546067</v>
      </c>
    </row>
    <row r="3561" spans="1:24">
      <c r="A3561" s="799">
        <v>43963</v>
      </c>
      <c r="B3561">
        <v>8879.8038430938996</v>
      </c>
      <c r="C3561">
        <v>7254.5479990000003</v>
      </c>
      <c r="D3561">
        <v>1.5539860000000001</v>
      </c>
      <c r="E3561">
        <f>LN(D3561/参数实验室!$E$53)/参数实验室!$E$55</f>
        <v>-0.17290564310000664</v>
      </c>
      <c r="F3561">
        <f t="shared" si="498"/>
        <v>0.81697165018370177</v>
      </c>
      <c r="G3561">
        <f>LN(F3561/参数实验室!$E$58)/参数实验室!$E$59</f>
        <v>-0.29662973375964341</v>
      </c>
      <c r="H3561" s="856">
        <f>INDEX(神经网络!$G$10:$BO$70,MATCH(ROUND(G3561*2,1)/2,神经网络!$E$10:$E$70,0),MATCH(ROUND(E3561*2,1)/2,神经网络!$G$8:$BO$8,0))</f>
        <v>-0.43939765390169994</v>
      </c>
      <c r="I3561">
        <f t="shared" si="500"/>
        <v>533196.98770803935</v>
      </c>
      <c r="J3561">
        <f t="shared" si="501"/>
        <v>3543.2759439343531</v>
      </c>
      <c r="K3561">
        <f t="shared" si="502"/>
        <v>150.48136135736371</v>
      </c>
      <c r="L3561" s="4">
        <f>MIN(MAX(L3560*(1+MAX(MIN(((B3561-B3560)/B3560)/($K$7*卓尔金历!$N$40),0),-卓尔金历!$M$43))+MIN(MAX(((B3561-B3560)/B3560)/($K$7*卓尔金历!$N$40),0),卓尔金历!$M$43),0),1)</f>
        <v>0.42813660376625962</v>
      </c>
      <c r="M3561" s="4">
        <f>MIN(MAX(M3560*(1+MAX(MIN(((B3561-B3560)/B3560)/($K$7*30),0),-卓尔金历!$M$43))+MIN(MAX(((B3561-B3560)/B3560)/($K$7*7),0),卓尔金历!$M$43),0),1)</f>
        <v>1</v>
      </c>
      <c r="N3561">
        <f t="shared" si="503"/>
        <v>177367.33872269903</v>
      </c>
      <c r="O3561">
        <f t="shared" si="504"/>
        <v>501440.80236261652</v>
      </c>
      <c r="P3561">
        <f t="shared" si="505"/>
        <v>6.6259619887568816E-4</v>
      </c>
      <c r="Q3561">
        <f t="shared" si="496"/>
        <v>3.8496921602095294E-2</v>
      </c>
      <c r="R3561">
        <f t="shared" si="497"/>
        <v>1</v>
      </c>
      <c r="S3561">
        <f t="shared" si="499"/>
        <v>1043.3037970666617</v>
      </c>
      <c r="T3561" s="564">
        <f>IF((I3561-MAX(I$470:I3561))/MAX(I$470:I3561)&gt;T3560,T3560,(I3561-MAX(I$470:I3561))/MAX(I$470:I3561))</f>
        <v>-0.91338805338419748</v>
      </c>
      <c r="U3561" s="564">
        <f>IF((J3561-MAX(J$470:J3561))/MAX(J$470:J3561)&gt;U3560,U3560,(J3561-MAX(J$470:J3561))/MAX(J$470:J3561))</f>
        <v>-0.83569785939843477</v>
      </c>
      <c r="V3561" s="564">
        <f>IF((K3561-MAX(K$470:K3561))/MAX(K$470:K3561)&gt;V3560,V3560,(K3561-MAX(K$470:K3561))/MAX(K$470:K3561))</f>
        <v>-0.84885940676762139</v>
      </c>
      <c r="W3561" s="564">
        <f>IF((N3561-MAX(N$470:N3561))/MAX(N$470:N3561)&gt;W3560,W3560,(N3561-MAX(N$470:N3561))/MAX(N$470:N3561))</f>
        <v>-0.62788758315546067</v>
      </c>
      <c r="X3561" s="564">
        <f>IF((O3561-MAX(O$470:O3561))/MAX(O$470:O3561)&gt;X3560,X3560,(O3561-MAX(O$470:O3561))/MAX(O$470:O3561))</f>
        <v>-0.62788758315546067</v>
      </c>
    </row>
    <row r="3562" spans="1:24">
      <c r="A3562" s="799">
        <v>43964</v>
      </c>
      <c r="B3562">
        <v>9131.1085400150005</v>
      </c>
      <c r="C3562">
        <v>7834.9957569999997</v>
      </c>
      <c r="D3562">
        <v>1.6402680000000001</v>
      </c>
      <c r="E3562">
        <f>LN(D3562/参数实验室!$E$53)/参数实验室!$E$55</f>
        <v>-0.10915602464354912</v>
      </c>
      <c r="F3562">
        <f t="shared" si="498"/>
        <v>0.85805526488540995</v>
      </c>
      <c r="G3562">
        <f>LN(F3562/参数实验室!$E$58)/参数实验室!$E$59</f>
        <v>-0.27087823497723457</v>
      </c>
      <c r="H3562" s="856">
        <f>INDEX(神经网络!$G$10:$BO$70,MATCH(ROUND(G3562*2,1)/2,神经网络!$E$10:$E$70,0),MATCH(ROUND(E3562*2,1)/2,神经网络!$G$8:$BO$8,0))</f>
        <v>-0.31238863016612284</v>
      </c>
      <c r="I3562">
        <f t="shared" si="500"/>
        <v>526566.54305131163</v>
      </c>
      <c r="J3562">
        <f t="shared" si="501"/>
        <v>3643.5531463289503</v>
      </c>
      <c r="K3562">
        <f t="shared" si="502"/>
        <v>144.52006651305524</v>
      </c>
      <c r="L3562" s="4">
        <f>MIN(MAX(L3561*(1+MAX(MIN(((B3562-B3561)/B3561)/($K$7*卓尔金历!$N$40),0),-卓尔金历!$M$43))+MIN(MAX(((B3562-B3561)/B3561)/($K$7*卓尔金历!$N$40),0),卓尔金历!$M$43),0),1)</f>
        <v>0.86054419719115716</v>
      </c>
      <c r="M3562" s="4">
        <f>MIN(MAX(M3561*(1+MAX(MIN(((B3562-B3561)/B3561)/($K$7*30),0),-卓尔金历!$M$43))+MIN(MAX(((B3562-B3561)/B3561)/($K$7*7),0),卓尔金历!$M$43),0),1)</f>
        <v>1</v>
      </c>
      <c r="N3562">
        <f t="shared" si="503"/>
        <v>176423.03657670683</v>
      </c>
      <c r="O3562">
        <f t="shared" si="504"/>
        <v>495205.25421561347</v>
      </c>
      <c r="P3562">
        <f t="shared" si="505"/>
        <v>2.8300703637338612E-2</v>
      </c>
      <c r="Q3562">
        <f t="shared" si="496"/>
        <v>3.8200566711522145E-2</v>
      </c>
      <c r="R3562">
        <f t="shared" si="497"/>
        <v>0.35000828302361625</v>
      </c>
      <c r="S3562">
        <f t="shared" si="499"/>
        <v>1030.3300401886647</v>
      </c>
      <c r="T3562" s="564">
        <f>IF((I3562-MAX(I$470:I3562))/MAX(I$470:I3562)&gt;T3561,T3561,(I3562-MAX(I$470:I3562))/MAX(I$470:I3562))</f>
        <v>-0.91338805338419748</v>
      </c>
      <c r="U3562" s="564">
        <f>IF((J3562-MAX(J$470:J3562))/MAX(J$470:J3562)&gt;U3561,U3561,(J3562-MAX(J$470:J3562))/MAX(J$470:J3562))</f>
        <v>-0.83569785939843477</v>
      </c>
      <c r="V3562" s="564">
        <f>IF((K3562-MAX(K$470:K3562))/MAX(K$470:K3562)&gt;V3561,V3561,(K3562-MAX(K$470:K3562))/MAX(K$470:K3562))</f>
        <v>-0.84885940676762139</v>
      </c>
      <c r="W3562" s="564">
        <f>IF((N3562-MAX(N$470:N3562))/MAX(N$470:N3562)&gt;W3561,W3561,(N3562-MAX(N$470:N3562))/MAX(N$470:N3562))</f>
        <v>-0.62788758315546067</v>
      </c>
      <c r="X3562" s="564">
        <f>IF((O3562-MAX(O$470:O3562))/MAX(O$470:O3562)&gt;X3561,X3561,(O3562-MAX(O$470:O3562))/MAX(O$470:O3562))</f>
        <v>-0.62788758315546067</v>
      </c>
    </row>
    <row r="3563" spans="1:24">
      <c r="A3563" s="799">
        <v>43965</v>
      </c>
      <c r="B3563">
        <v>9740.3200209911993</v>
      </c>
      <c r="C3563">
        <v>8475.9142900000006</v>
      </c>
      <c r="D3563">
        <v>1.72149</v>
      </c>
      <c r="E3563">
        <f>LN(D3563/参数实验室!$E$53)/参数实验室!$E$55</f>
        <v>-5.2137899407051269E-2</v>
      </c>
      <c r="F3563">
        <f t="shared" si="498"/>
        <v>0.87018848166525342</v>
      </c>
      <c r="G3563">
        <f>LN(F3563/参数实验室!$E$58)/参数实验室!$E$59</f>
        <v>-0.26350858874160427</v>
      </c>
      <c r="H3563" s="856">
        <f>INDEX(神经网络!$G$10:$BO$70,MATCH(ROUND(G3563*2,1)/2,神经网络!$E$10:$E$70,0),MATCH(ROUND(E3563*2,1)/2,神经网络!$G$8:$BO$8,0))</f>
        <v>-0.27066975901036999</v>
      </c>
      <c r="I3563">
        <f t="shared" si="500"/>
        <v>515591.83302123955</v>
      </c>
      <c r="J3563">
        <f t="shared" si="501"/>
        <v>3886.6445955832492</v>
      </c>
      <c r="K3563">
        <f t="shared" si="502"/>
        <v>132.65731412827245</v>
      </c>
      <c r="L3563" s="4">
        <f>MIN(MAX(L3562*(1+MAX(MIN(((B3563-B3562)/B3562)/($K$7*卓尔金历!$N$40),0),-卓尔金历!$M$43))+MIN(MAX(((B3563-B3562)/B3562)/($K$7*卓尔金历!$N$40),0),卓尔金历!$M$43),0),1)</f>
        <v>1</v>
      </c>
      <c r="M3563" s="4">
        <f>MIN(MAX(M3562*(1+MAX(MIN(((B3563-B3562)/B3562)/($K$7*30),0),-卓尔金历!$M$43))+MIN(MAX(((B3563-B3562)/B3562)/($K$7*7),0),卓尔金历!$M$43),0),1)</f>
        <v>1</v>
      </c>
      <c r="N3563">
        <f t="shared" si="503"/>
        <v>173258.80495690173</v>
      </c>
      <c r="O3563">
        <f t="shared" si="504"/>
        <v>484884.17677136179</v>
      </c>
      <c r="P3563">
        <f t="shared" si="505"/>
        <v>6.671823889799014E-2</v>
      </c>
      <c r="Q3563">
        <f t="shared" si="496"/>
        <v>3.8626787179262954E-2</v>
      </c>
      <c r="R3563">
        <f t="shared" si="497"/>
        <v>1.7322720904865401E-2</v>
      </c>
      <c r="S3563">
        <f t="shared" si="499"/>
        <v>1022.8139068293674</v>
      </c>
      <c r="T3563" s="564">
        <f>IF((I3563-MAX(I$470:I3563))/MAX(I$470:I3563)&gt;T3562,T3562,(I3563-MAX(I$470:I3563))/MAX(I$470:I3563))</f>
        <v>-0.91338805338419748</v>
      </c>
      <c r="U3563" s="564">
        <f>IF((J3563-MAX(J$470:J3563))/MAX(J$470:J3563)&gt;U3562,U3562,(J3563-MAX(J$470:J3563))/MAX(J$470:J3563))</f>
        <v>-0.83569785939843477</v>
      </c>
      <c r="V3563" s="564">
        <f>IF((K3563-MAX(K$470:K3563))/MAX(K$470:K3563)&gt;V3562,V3562,(K3563-MAX(K$470:K3563))/MAX(K$470:K3563))</f>
        <v>-0.84885940676762139</v>
      </c>
      <c r="W3563" s="564">
        <f>IF((N3563-MAX(N$470:N3563))/MAX(N$470:N3563)&gt;W3562,W3562,(N3563-MAX(N$470:N3563))/MAX(N$470:N3563))</f>
        <v>-0.62788758315546067</v>
      </c>
      <c r="X3563" s="564">
        <f>IF((O3563-MAX(O$470:O3563))/MAX(O$470:O3563)&gt;X3562,X3562,(O3563-MAX(O$470:O3563))/MAX(O$470:O3563))</f>
        <v>-0.62788758315546067</v>
      </c>
    </row>
    <row r="3564" spans="1:24">
      <c r="A3564" s="799">
        <v>43966</v>
      </c>
      <c r="B3564">
        <v>9481.1561944919995</v>
      </c>
      <c r="C3564">
        <v>9158.3645629999992</v>
      </c>
      <c r="D3564">
        <v>1.6377010000000001</v>
      </c>
      <c r="E3564">
        <f>LN(D3564/参数实验室!$E$53)/参数实验室!$E$55</f>
        <v>-0.11100377073043667</v>
      </c>
      <c r="F3564">
        <f t="shared" si="498"/>
        <v>0.96595440209290895</v>
      </c>
      <c r="G3564">
        <f>LN(F3564/参数实验室!$E$58)/参数实验室!$E$59</f>
        <v>-0.20871025946317107</v>
      </c>
      <c r="H3564" s="856">
        <f>INDEX(神经网络!$G$10:$BO$70,MATCH(ROUND(G3564*2,1)/2,神经网络!$E$10:$E$70,0),MATCH(ROUND(E3564*2,1)/2,神经网络!$G$8:$BO$8,0))</f>
        <v>-0.22522253134567718</v>
      </c>
      <c r="I3564">
        <f t="shared" si="500"/>
        <v>519305.02089401666</v>
      </c>
      <c r="J3564">
        <f t="shared" si="501"/>
        <v>3783.2313931973904</v>
      </c>
      <c r="K3564">
        <f t="shared" si="502"/>
        <v>137.26493754195857</v>
      </c>
      <c r="L3564" s="4">
        <f>MIN(MAX(L3563*(1+MAX(MIN(((B3564-B3563)/B3563)/($K$7*卓尔金历!$N$40),0),-卓尔金历!$M$43))+MIN(MAX(((B3564-B3563)/B3563)/($K$7*卓尔金历!$N$40),0),卓尔金历!$M$43),0),1)</f>
        <v>0.59346566032177273</v>
      </c>
      <c r="M3564" s="4">
        <f>MIN(MAX(M3563*(1+MAX(MIN(((B3564-B3563)/B3563)/($K$7*30),0),-卓尔金历!$M$43))+MIN(MAX(((B3564-B3563)/B3563)/($K$7*7),0),卓尔金历!$M$43),0),1)</f>
        <v>0.79673283016088636</v>
      </c>
      <c r="N3564">
        <f t="shared" si="503"/>
        <v>174506.57975125409</v>
      </c>
      <c r="O3564">
        <f t="shared" si="504"/>
        <v>488376.21432816068</v>
      </c>
      <c r="P3564">
        <f t="shared" si="505"/>
        <v>-2.6607321519280702E-2</v>
      </c>
      <c r="Q3564">
        <f t="shared" ref="Q3564:Q3627" si="506">STDEVP(P3544:P3564)</f>
        <v>3.9392207130365203E-2</v>
      </c>
      <c r="R3564">
        <f t="shared" ref="R3564:R3627" si="507">MIN(Q3563*MAX(1-LN(MAX(ABS(P3564),0.0001)/Q3564),0)+MAX(-LN(MAX(ABS(P3564),0.0001)/Q3564),0),1)</f>
        <v>0.44616481233406102</v>
      </c>
      <c r="S3564">
        <f t="shared" si="499"/>
        <v>1022.9415076967358</v>
      </c>
      <c r="T3564" s="564">
        <f>IF((I3564-MAX(I$470:I3564))/MAX(I$470:I3564)&gt;T3563,T3563,(I3564-MAX(I$470:I3564))/MAX(I$470:I3564))</f>
        <v>-0.91338805338419748</v>
      </c>
      <c r="U3564" s="564">
        <f>IF((J3564-MAX(J$470:J3564))/MAX(J$470:J3564)&gt;U3563,U3563,(J3564-MAX(J$470:J3564))/MAX(J$470:J3564))</f>
        <v>-0.83569785939843477</v>
      </c>
      <c r="V3564" s="564">
        <f>IF((K3564-MAX(K$470:K3564))/MAX(K$470:K3564)&gt;V3563,V3563,(K3564-MAX(K$470:K3564))/MAX(K$470:K3564))</f>
        <v>-0.84885940676762139</v>
      </c>
      <c r="W3564" s="564">
        <f>IF((N3564-MAX(N$470:N3564))/MAX(N$470:N3564)&gt;W3563,W3563,(N3564-MAX(N$470:N3564))/MAX(N$470:N3564))</f>
        <v>-0.62788758315546067</v>
      </c>
      <c r="X3564" s="564">
        <f>IF((O3564-MAX(O$470:O3564))/MAX(O$470:O3564)&gt;X3563,X3563,(O3564-MAX(O$470:O3564))/MAX(O$470:O3564))</f>
        <v>-0.62788758315546067</v>
      </c>
    </row>
    <row r="3565" spans="1:24">
      <c r="A3565" s="799">
        <v>43967</v>
      </c>
      <c r="B3565">
        <v>9370.0161558813998</v>
      </c>
      <c r="C3565">
        <v>9800.8862109999991</v>
      </c>
      <c r="D3565">
        <v>1.649235</v>
      </c>
      <c r="E3565">
        <f>LN(D3565/参数实验室!$E$53)/参数实验室!$E$55</f>
        <v>-0.10272412685120406</v>
      </c>
      <c r="F3565">
        <f t="shared" si="498"/>
        <v>1.0459839180584709</v>
      </c>
      <c r="G3565">
        <f>LN(F3565/参数实验室!$E$58)/参数实验室!$E$59</f>
        <v>-0.16693364140298825</v>
      </c>
      <c r="H3565" s="856">
        <f>INDEX(神经网络!$G$10:$BO$70,MATCH(ROUND(G3565*2,1)/2,神经网络!$E$10:$E$70,0),MATCH(ROUND(E3565*2,1)/2,神经网络!$G$8:$BO$8,0))</f>
        <v>-0.13427846311701774</v>
      </c>
      <c r="I3565">
        <f t="shared" si="500"/>
        <v>520676.04029032623</v>
      </c>
      <c r="J3565">
        <f t="shared" si="501"/>
        <v>3738.8835864017324</v>
      </c>
      <c r="K3565">
        <f t="shared" si="502"/>
        <v>139.25976250879214</v>
      </c>
      <c r="L3565" s="4">
        <f>MIN(MAX(L3564*(1+MAX(MIN(((B3565-B3564)/B3564)/($K$7*卓尔金历!$N$40),0),-卓尔金历!$M$43))+MIN(MAX(((B3565-B3564)/B3564)/($K$7*卓尔金历!$N$40),0),卓尔金历!$M$43),0),1)</f>
        <v>0.4871735780703233</v>
      </c>
      <c r="M3565" s="4">
        <f>MIN(MAX(M3564*(1+MAX(MIN(((B3565-B3564)/B3564)/($K$7*30),0),-卓尔金历!$M$43))+MIN(MAX(((B3565-B3564)/B3564)/($K$7*7),0),卓尔金历!$M$43),0),1)</f>
        <v>0.72538380596462992</v>
      </c>
      <c r="N3565">
        <f t="shared" si="503"/>
        <v>174779.99861770202</v>
      </c>
      <c r="O3565">
        <f t="shared" si="504"/>
        <v>489403.49305453472</v>
      </c>
      <c r="P3565">
        <f t="shared" si="505"/>
        <v>-1.1722203108009721E-2</v>
      </c>
      <c r="Q3565">
        <f t="shared" si="506"/>
        <v>3.9693016020361363E-2</v>
      </c>
      <c r="R3565">
        <f t="shared" si="507"/>
        <v>1</v>
      </c>
      <c r="S3565">
        <f t="shared" si="499"/>
        <v>1024.1464526149923</v>
      </c>
      <c r="T3565" s="564">
        <f>IF((I3565-MAX(I$470:I3565))/MAX(I$470:I3565)&gt;T3564,T3564,(I3565-MAX(I$470:I3565))/MAX(I$470:I3565))</f>
        <v>-0.91338805338419748</v>
      </c>
      <c r="U3565" s="564">
        <f>IF((J3565-MAX(J$470:J3565))/MAX(J$470:J3565)&gt;U3564,U3564,(J3565-MAX(J$470:J3565))/MAX(J$470:J3565))</f>
        <v>-0.83569785939843477</v>
      </c>
      <c r="V3565" s="564">
        <f>IF((K3565-MAX(K$470:K3565))/MAX(K$470:K3565)&gt;V3564,V3564,(K3565-MAX(K$470:K3565))/MAX(K$470:K3565))</f>
        <v>-0.84885940676762139</v>
      </c>
      <c r="W3565" s="564">
        <f>IF((N3565-MAX(N$470:N3565))/MAX(N$470:N3565)&gt;W3564,W3564,(N3565-MAX(N$470:N3565))/MAX(N$470:N3565))</f>
        <v>-0.62788758315546067</v>
      </c>
      <c r="X3565" s="564">
        <f>IF((O3565-MAX(O$470:O3565))/MAX(O$470:O3565)&gt;X3564,X3564,(O3565-MAX(O$470:O3565))/MAX(O$470:O3565))</f>
        <v>-0.62788758315546067</v>
      </c>
    </row>
    <row r="3566" spans="1:24">
      <c r="A3566" s="799">
        <v>43968</v>
      </c>
      <c r="B3566">
        <v>9818.3535182933992</v>
      </c>
      <c r="C3566">
        <v>10384.263604</v>
      </c>
      <c r="D3566">
        <v>1.6985509999999999</v>
      </c>
      <c r="E3566">
        <f>LN(D3566/参数实验室!$E$53)/参数实验室!$E$55</f>
        <v>-6.7963888330522373E-2</v>
      </c>
      <c r="F3566">
        <f t="shared" si="498"/>
        <v>1.0576379822393038</v>
      </c>
      <c r="G3566">
        <f>LN(F3566/参数实验室!$E$58)/参数实验室!$E$59</f>
        <v>-0.16111819968236038</v>
      </c>
      <c r="H3566" s="856">
        <f>INDEX(神经网络!$G$10:$BO$70,MATCH(ROUND(G3566*2,1)/2,神经网络!$E$10:$E$70,0),MATCH(ROUND(E3566*2,1)/2,神经网络!$G$8:$BO$8,0))</f>
        <v>-8.6542580624500112E-2</v>
      </c>
      <c r="I3566">
        <f t="shared" si="500"/>
        <v>517330.71350303054</v>
      </c>
      <c r="J3566">
        <f t="shared" si="501"/>
        <v>3917.7820191905271</v>
      </c>
      <c r="K3566">
        <f t="shared" si="502"/>
        <v>132.04683439991868</v>
      </c>
      <c r="L3566" s="4">
        <f>MIN(MAX(L3565*(1+MAX(MIN(((B3566-B3565)/B3565)/($K$7*卓尔金历!$N$40),0),-卓尔金历!$M$43))+MIN(MAX(((B3566-B3565)/B3565)/($K$7*卓尔金历!$N$40),0),卓尔金历!$M$43),0),1)</f>
        <v>1</v>
      </c>
      <c r="M3566" s="4">
        <f>MIN(MAX(M3565*(1+MAX(MIN(((B3566-B3565)/B3565)/($K$7*30),0),-卓尔金历!$M$43))+MIN(MAX(((B3566-B3565)/B3565)/($K$7*7),0),卓尔金历!$M$43),0),1)</f>
        <v>1</v>
      </c>
      <c r="N3566">
        <f t="shared" si="503"/>
        <v>174232.92419275918</v>
      </c>
      <c r="O3566">
        <f t="shared" si="504"/>
        <v>487122.59499740839</v>
      </c>
      <c r="P3566">
        <f t="shared" si="505"/>
        <v>4.7848088514829912E-2</v>
      </c>
      <c r="Q3566">
        <f t="shared" si="506"/>
        <v>4.0373751694961109E-2</v>
      </c>
      <c r="R3566">
        <f t="shared" si="507"/>
        <v>3.2951105395752918E-2</v>
      </c>
      <c r="S3566">
        <f t="shared" si="499"/>
        <v>1017.5663446458674</v>
      </c>
      <c r="T3566" s="564">
        <f>IF((I3566-MAX(I$470:I3566))/MAX(I$470:I3566)&gt;T3565,T3565,(I3566-MAX(I$470:I3566))/MAX(I$470:I3566))</f>
        <v>-0.91338805338419748</v>
      </c>
      <c r="U3566" s="564">
        <f>IF((J3566-MAX(J$470:J3566))/MAX(J$470:J3566)&gt;U3565,U3565,(J3566-MAX(J$470:J3566))/MAX(J$470:J3566))</f>
        <v>-0.83569785939843477</v>
      </c>
      <c r="V3566" s="564">
        <f>IF((K3566-MAX(K$470:K3566))/MAX(K$470:K3566)&gt;V3565,V3565,(K3566-MAX(K$470:K3566))/MAX(K$470:K3566))</f>
        <v>-0.84885940676762139</v>
      </c>
      <c r="W3566" s="564">
        <f>IF((N3566-MAX(N$470:N3566))/MAX(N$470:N3566)&gt;W3565,W3565,(N3566-MAX(N$470:N3566))/MAX(N$470:N3566))</f>
        <v>-0.62788758315546067</v>
      </c>
      <c r="X3566" s="564">
        <f>IF((O3566-MAX(O$470:O3566))/MAX(O$470:O3566)&gt;X3565,X3565,(O3566-MAX(O$470:O3566))/MAX(O$470:O3566))</f>
        <v>-0.62788758315546067</v>
      </c>
    </row>
    <row r="3567" spans="1:24">
      <c r="A3567" s="799">
        <v>43969</v>
      </c>
      <c r="B3567">
        <v>9666.2073083972991</v>
      </c>
      <c r="C3567">
        <v>11171.622302</v>
      </c>
      <c r="D3567">
        <v>1.70309</v>
      </c>
      <c r="E3567">
        <f>LN(D3567/参数实验室!$E$53)/参数实验室!$E$55</f>
        <v>-6.4815464876937998E-2</v>
      </c>
      <c r="F3567">
        <f t="shared" si="498"/>
        <v>1.1557399862813729</v>
      </c>
      <c r="G3567">
        <f>LN(F3567/参数实验室!$E$58)/参数实验室!$E$59</f>
        <v>-0.114562220293404</v>
      </c>
      <c r="H3567" s="856">
        <f>INDEX(神经网络!$G$10:$BO$70,MATCH(ROUND(G3567*2,1)/2,神经网络!$E$10:$E$70,0),MATCH(ROUND(E3567*2,1)/2,神经网络!$G$8:$BO$8,0))</f>
        <v>6.9030923885750189E-3</v>
      </c>
      <c r="I3567">
        <f t="shared" si="500"/>
        <v>518024.4915878895</v>
      </c>
      <c r="J3567">
        <f t="shared" si="501"/>
        <v>3857.0716684878021</v>
      </c>
      <c r="K3567">
        <f t="shared" si="502"/>
        <v>134.30512474531889</v>
      </c>
      <c r="L3567" s="4">
        <f>MIN(MAX(L3566*(1+MAX(MIN(((B3567-B3566)/B3566)/($K$7*卓尔金历!$N$40),0),-卓尔金历!$M$43))+MIN(MAX(((B3567-B3566)/B3566)/($K$7*卓尔金历!$N$40),0),卓尔金历!$M$43),0),1)</f>
        <v>0.76323442835035815</v>
      </c>
      <c r="M3567" s="4">
        <f>MIN(MAX(M3566*(1+MAX(MIN(((B3567-B3566)/B3566)/($K$7*30),0),-卓尔金历!$M$43))+MIN(MAX(((B3567-B3566)/B3566)/($K$7*7),0),卓尔金历!$M$43),0),1)</f>
        <v>0.88161721417517902</v>
      </c>
      <c r="N3567">
        <f t="shared" si="503"/>
        <v>174466.58320683031</v>
      </c>
      <c r="O3567">
        <f t="shared" si="504"/>
        <v>487775.86179991544</v>
      </c>
      <c r="P3567">
        <f t="shared" si="505"/>
        <v>-1.5496102234720284E-2</v>
      </c>
      <c r="Q3567">
        <f t="shared" si="506"/>
        <v>4.0826039724059571E-2</v>
      </c>
      <c r="R3567">
        <f t="shared" si="507"/>
        <v>1</v>
      </c>
      <c r="S3567">
        <f t="shared" si="499"/>
        <v>1017.6113107267242</v>
      </c>
      <c r="T3567" s="564">
        <f>IF((I3567-MAX(I$470:I3567))/MAX(I$470:I3567)&gt;T3566,T3566,(I3567-MAX(I$470:I3567))/MAX(I$470:I3567))</f>
        <v>-0.91338805338419748</v>
      </c>
      <c r="U3567" s="564">
        <f>IF((J3567-MAX(J$470:J3567))/MAX(J$470:J3567)&gt;U3566,U3566,(J3567-MAX(J$470:J3567))/MAX(J$470:J3567))</f>
        <v>-0.83569785939843477</v>
      </c>
      <c r="V3567" s="564">
        <f>IF((K3567-MAX(K$470:K3567))/MAX(K$470:K3567)&gt;V3566,V3566,(K3567-MAX(K$470:K3567))/MAX(K$470:K3567))</f>
        <v>-0.84885940676762139</v>
      </c>
      <c r="W3567" s="564">
        <f>IF((N3567-MAX(N$470:N3567))/MAX(N$470:N3567)&gt;W3566,W3566,(N3567-MAX(N$470:N3567))/MAX(N$470:N3567))</f>
        <v>-0.62788758315546067</v>
      </c>
      <c r="X3567" s="564">
        <f>IF((O3567-MAX(O$470:O3567))/MAX(O$470:O3567)&gt;X3566,X3566,(O3567-MAX(O$470:O3567))/MAX(O$470:O3567))</f>
        <v>-0.62788758315546067</v>
      </c>
    </row>
    <row r="3568" spans="1:24">
      <c r="A3568" s="799">
        <v>43970</v>
      </c>
      <c r="B3568">
        <v>9687.2324207509992</v>
      </c>
      <c r="C3568">
        <v>12045.231801</v>
      </c>
      <c r="D3568">
        <v>1.705452</v>
      </c>
      <c r="E3568">
        <f>LN(D3568/参数实验室!$E$53)/参数实验室!$E$55</f>
        <v>-6.3180409414337918E-2</v>
      </c>
      <c r="F3568">
        <f t="shared" si="498"/>
        <v>1.2434131109725348</v>
      </c>
      <c r="G3568">
        <f>LN(F3568/参数实验室!$E$58)/参数实验室!$E$59</f>
        <v>-7.6185266536914778E-2</v>
      </c>
      <c r="H3568" s="856">
        <f>INDEX(神经网络!$G$10:$BO$70,MATCH(ROUND(G3568*2,1)/2,神经网络!$E$10:$E$70,0),MATCH(ROUND(E3568*2,1)/2,神经网络!$G$8:$BO$8,0))</f>
        <v>6.9030923885750189E-3</v>
      </c>
      <c r="I3568">
        <f t="shared" si="500"/>
        <v>518032.26973583025</v>
      </c>
      <c r="J3568">
        <f t="shared" si="501"/>
        <v>3865.4612428677951</v>
      </c>
      <c r="K3568">
        <f t="shared" si="502"/>
        <v>134.01564190862274</v>
      </c>
      <c r="L3568" s="4">
        <f>MIN(MAX(L3567*(1+MAX(MIN(((B3568-B3567)/B3567)/($K$7*卓尔金历!$N$40),0),-卓尔金历!$M$43))+MIN(MAX(((B3568-B3567)/B3567)/($K$7*卓尔金历!$N$40),0),卓尔金历!$M$43),0),1)</f>
        <v>0.7964680980022063</v>
      </c>
      <c r="M3568" s="4">
        <f>MIN(MAX(M3567*(1+MAX(MIN(((B3568-B3567)/B3567)/($K$7*30),0),-卓尔金历!$M$43))+MIN(MAX(((B3568-B3567)/B3567)/($K$7*7),0),卓尔金历!$M$43),0),1)</f>
        <v>0.95283222057199657</v>
      </c>
      <c r="N3568">
        <f t="shared" si="503"/>
        <v>174468.5825903792</v>
      </c>
      <c r="O3568">
        <f t="shared" si="504"/>
        <v>487782.31873280281</v>
      </c>
      <c r="P3568">
        <f t="shared" si="505"/>
        <v>2.1751149838711748E-3</v>
      </c>
      <c r="Q3568">
        <f t="shared" si="506"/>
        <v>4.085624716887732E-2</v>
      </c>
      <c r="R3568">
        <f t="shared" si="507"/>
        <v>1</v>
      </c>
      <c r="S3568">
        <f t="shared" si="499"/>
        <v>1017.6265901805909</v>
      </c>
      <c r="T3568" s="564">
        <f>IF((I3568-MAX(I$470:I3568))/MAX(I$470:I3568)&gt;T3567,T3567,(I3568-MAX(I$470:I3568))/MAX(I$470:I3568))</f>
        <v>-0.91338805338419748</v>
      </c>
      <c r="U3568" s="564">
        <f>IF((J3568-MAX(J$470:J3568))/MAX(J$470:J3568)&gt;U3567,U3567,(J3568-MAX(J$470:J3568))/MAX(J$470:J3568))</f>
        <v>-0.83569785939843477</v>
      </c>
      <c r="V3568" s="564">
        <f>IF((K3568-MAX(K$470:K3568))/MAX(K$470:K3568)&gt;V3567,V3567,(K3568-MAX(K$470:K3568))/MAX(K$470:K3568))</f>
        <v>-0.84885940676762139</v>
      </c>
      <c r="W3568" s="564">
        <f>IF((N3568-MAX(N$470:N3568))/MAX(N$470:N3568)&gt;W3567,W3567,(N3568-MAX(N$470:N3568))/MAX(N$470:N3568))</f>
        <v>-0.62788758315546067</v>
      </c>
      <c r="X3568" s="564">
        <f>IF((O3568-MAX(O$470:O3568))/MAX(O$470:O3568)&gt;X3567,X3567,(O3568-MAX(O$470:O3568))/MAX(O$470:O3568))</f>
        <v>-0.62788758315546067</v>
      </c>
    </row>
    <row r="3569" spans="1:24">
      <c r="A3569" s="799">
        <v>43971</v>
      </c>
      <c r="B3569">
        <v>9419.3082097346996</v>
      </c>
      <c r="C3569">
        <v>13109.538388000001</v>
      </c>
      <c r="D3569">
        <v>1.6633770000000001</v>
      </c>
      <c r="E3569">
        <f>LN(D3569/参数实验室!$E$53)/参数实验室!$E$55</f>
        <v>-9.2651005256449079E-2</v>
      </c>
      <c r="F3569">
        <f t="shared" si="498"/>
        <v>1.3917729514840069</v>
      </c>
      <c r="G3569">
        <f>LN(F3569/参数实验室!$E$58)/参数实验室!$E$59</f>
        <v>-1.7024594366425706E-2</v>
      </c>
      <c r="H3569" s="856">
        <f>INDEX(神经网络!$G$10:$BO$70,MATCH(ROUND(G3569*2,1)/2,神经网络!$E$10:$E$70,0),MATCH(ROUND(E3569*2,1)/2,神经网络!$G$8:$BO$8,0))</f>
        <v>0.14403683372405976</v>
      </c>
      <c r="I3569">
        <f t="shared" si="500"/>
        <v>517933.36598986801</v>
      </c>
      <c r="J3569">
        <f t="shared" si="501"/>
        <v>3758.5524159988358</v>
      </c>
      <c r="K3569">
        <f t="shared" si="502"/>
        <v>137.80128854534735</v>
      </c>
      <c r="L3569" s="4">
        <f>MIN(MAX(L3568*(1+MAX(MIN(((B3569-B3568)/B3568)/($K$7*卓尔金历!$N$40),0),-卓尔金历!$M$43))+MIN(MAX(((B3569-B3568)/B3568)/($K$7*卓尔金历!$N$40),0),卓尔金历!$M$43),0),1)</f>
        <v>0.45989708927583306</v>
      </c>
      <c r="M3569" s="4">
        <f>MIN(MAX(M3568*(1+MAX(MIN(((B3569-B3568)/B3568)/($K$7*30),0),-卓尔金历!$M$43))+MIN(MAX(((B3569-B3568)/B3568)/($K$7*7),0),卓尔金历!$M$43),0),1)</f>
        <v>0.75150858788079822</v>
      </c>
      <c r="N3569">
        <f t="shared" si="503"/>
        <v>174442.05232803003</v>
      </c>
      <c r="O3569">
        <f t="shared" si="504"/>
        <v>487693.5830255418</v>
      </c>
      <c r="P3569">
        <f t="shared" si="505"/>
        <v>-2.7657456678997362E-2</v>
      </c>
      <c r="Q3569">
        <f t="shared" si="506"/>
        <v>3.8264006329592162E-2</v>
      </c>
      <c r="R3569">
        <f t="shared" si="507"/>
        <v>0.37873306842154497</v>
      </c>
      <c r="S3569">
        <f t="shared" si="499"/>
        <v>1017.432302898428</v>
      </c>
      <c r="T3569" s="564">
        <f>IF((I3569-MAX(I$470:I3569))/MAX(I$470:I3569)&gt;T3568,T3568,(I3569-MAX(I$470:I3569))/MAX(I$470:I3569))</f>
        <v>-0.91338805338419748</v>
      </c>
      <c r="U3569" s="564">
        <f>IF((J3569-MAX(J$470:J3569))/MAX(J$470:J3569)&gt;U3568,U3568,(J3569-MAX(J$470:J3569))/MAX(J$470:J3569))</f>
        <v>-0.83569785939843477</v>
      </c>
      <c r="V3569" s="564">
        <f>IF((K3569-MAX(K$470:K3569))/MAX(K$470:K3569)&gt;V3568,V3568,(K3569-MAX(K$470:K3569))/MAX(K$470:K3569))</f>
        <v>-0.84885940676762139</v>
      </c>
      <c r="W3569" s="564">
        <f>IF((N3569-MAX(N$470:N3569))/MAX(N$470:N3569)&gt;W3568,W3568,(N3569-MAX(N$470:N3569))/MAX(N$470:N3569))</f>
        <v>-0.62788758315546067</v>
      </c>
      <c r="X3569" s="564">
        <f>IF((O3569-MAX(O$470:O3569))/MAX(O$470:O3569)&gt;X3568,X3568,(O3569-MAX(O$470:O3569))/MAX(O$470:O3569))</f>
        <v>-0.62788758315546067</v>
      </c>
    </row>
    <row r="3570" spans="1:24">
      <c r="A3570" s="799">
        <v>43972</v>
      </c>
      <c r="B3570">
        <v>9097.6467299134001</v>
      </c>
      <c r="C3570">
        <v>14061.932139</v>
      </c>
      <c r="D3570">
        <v>1.586112</v>
      </c>
      <c r="E3570">
        <f>LN(D3570/参数实验室!$E$53)/参数实验室!$E$55</f>
        <v>-0.1487649473825976</v>
      </c>
      <c r="F3570">
        <f t="shared" si="498"/>
        <v>1.5456669792160478</v>
      </c>
      <c r="G3570">
        <f>LN(F3570/参数实验室!$E$58)/参数实验室!$E$59</f>
        <v>3.8020565050377181E-2</v>
      </c>
      <c r="H3570" s="856">
        <f>INDEX(神经网络!$G$10:$BO$70,MATCH(ROUND(G3570*2,1)/2,神经网络!$E$10:$E$70,0),MATCH(ROUND(E3570*2,1)/2,神经网络!$G$8:$BO$8,0))</f>
        <v>0.18718278852188391</v>
      </c>
      <c r="I3570">
        <f t="shared" si="500"/>
        <v>515385.7879087209</v>
      </c>
      <c r="J3570">
        <f t="shared" si="501"/>
        <v>3630.2010015216406</v>
      </c>
      <c r="K3570">
        <f t="shared" si="502"/>
        <v>141.97169459561357</v>
      </c>
      <c r="L3570" s="4">
        <f>MIN(MAX(L3569*(1+MAX(MIN(((B3570-B3569)/B3569)/($K$7*卓尔金历!$N$40),0),-卓尔金历!$M$43))+MIN(MAX(((B3570-B3569)/B3569)/($K$7*卓尔金历!$N$40),0),卓尔金历!$M$43),0),1)</f>
        <v>0.21993823081252797</v>
      </c>
      <c r="M3570" s="4">
        <f>MIN(MAX(M3569*(1+MAX(MIN(((B3570-B3569)/B3569)/($K$7*30),0),-卓尔金历!$M$43))+MIN(MAX(((B3570-B3569)/B3569)/($K$7*7),0),卓尔金历!$M$43),0),1)</f>
        <v>0.5554526146225186</v>
      </c>
      <c r="N3570">
        <f t="shared" si="503"/>
        <v>174047.44471261255</v>
      </c>
      <c r="O3570">
        <f t="shared" si="504"/>
        <v>485890.83676653582</v>
      </c>
      <c r="P3570">
        <f t="shared" si="505"/>
        <v>-3.4149161770592421E-2</v>
      </c>
      <c r="Q3570">
        <f t="shared" si="506"/>
        <v>3.778159124625452E-2</v>
      </c>
      <c r="R3570">
        <f t="shared" si="507"/>
        <v>0.14321582257413276</v>
      </c>
      <c r="S3570">
        <f t="shared" si="499"/>
        <v>1015.5369400552426</v>
      </c>
      <c r="T3570" s="564">
        <f>IF((I3570-MAX(I$470:I3570))/MAX(I$470:I3570)&gt;T3569,T3569,(I3570-MAX(I$470:I3570))/MAX(I$470:I3570))</f>
        <v>-0.91338805338419748</v>
      </c>
      <c r="U3570" s="564">
        <f>IF((J3570-MAX(J$470:J3570))/MAX(J$470:J3570)&gt;U3569,U3569,(J3570-MAX(J$470:J3570))/MAX(J$470:J3570))</f>
        <v>-0.83569785939843477</v>
      </c>
      <c r="V3570" s="564">
        <f>IF((K3570-MAX(K$470:K3570))/MAX(K$470:K3570)&gt;V3569,V3569,(K3570-MAX(K$470:K3570))/MAX(K$470:K3570))</f>
        <v>-0.84885940676762139</v>
      </c>
      <c r="W3570" s="564">
        <f>IF((N3570-MAX(N$470:N3570))/MAX(N$470:N3570)&gt;W3569,W3569,(N3570-MAX(N$470:N3570))/MAX(N$470:N3570))</f>
        <v>-0.62788758315546067</v>
      </c>
      <c r="X3570" s="564">
        <f>IF((O3570-MAX(O$470:O3570))/MAX(O$470:O3570)&gt;X3569,X3569,(O3570-MAX(O$470:O3570))/MAX(O$470:O3570))</f>
        <v>-0.62788758315546067</v>
      </c>
    </row>
    <row r="3571" spans="1:24">
      <c r="A3571" s="799">
        <v>43973</v>
      </c>
      <c r="B3571">
        <v>9207.8623449101997</v>
      </c>
      <c r="C3571">
        <v>15003.934184</v>
      </c>
      <c r="D3571">
        <v>1.602314</v>
      </c>
      <c r="E3571">
        <f>LN(D3571/参数实验室!$E$53)/参数实验室!$E$55</f>
        <v>-0.13677500213496566</v>
      </c>
      <c r="F3571">
        <f t="shared" si="498"/>
        <v>1.6294698619483245</v>
      </c>
      <c r="G3571">
        <f>LN(F3571/参数实验室!$E$58)/参数实验室!$E$59</f>
        <v>6.5732441212331252E-2</v>
      </c>
      <c r="H3571" s="856">
        <f>INDEX(神经网络!$G$10:$BO$70,MATCH(ROUND(G3571*2,1)/2,神经网络!$E$10:$E$70,0),MATCH(ROUND(E3571*2,1)/2,神经网络!$G$8:$BO$8,0))</f>
        <v>0.18718278852188391</v>
      </c>
      <c r="I3571">
        <f t="shared" si="500"/>
        <v>516554.51311527542</v>
      </c>
      <c r="J3571">
        <f t="shared" si="501"/>
        <v>3674.1799389131247</v>
      </c>
      <c r="K3571">
        <f t="shared" si="502"/>
        <v>140.59042336072406</v>
      </c>
      <c r="L3571" s="4">
        <f>MIN(MAX(L3570*(1+MAX(MIN(((B3571-B3570)/B3570)/($K$7*卓尔金历!$N$40),0),-卓尔金历!$M$43))+MIN(MAX(((B3571-B3570)/B3570)/($K$7*卓尔金历!$N$40),0),卓尔金历!$M$43),0),1)</f>
        <v>0.40503981599504557</v>
      </c>
      <c r="M3571" s="4">
        <f>MIN(MAX(M3570*(1+MAX(MIN(((B3571-B3570)/B3570)/($K$7*30),0),-卓尔金历!$M$43))+MIN(MAX(((B3571-B3570)/B3570)/($K$7*7),0),卓尔金历!$M$43),0),1)</f>
        <v>0.95209886858505632</v>
      </c>
      <c r="N3571">
        <f t="shared" si="503"/>
        <v>174134.25043412141</v>
      </c>
      <c r="O3571">
        <f t="shared" si="504"/>
        <v>486502.85688237246</v>
      </c>
      <c r="P3571">
        <f t="shared" si="505"/>
        <v>1.2114738928519452E-2</v>
      </c>
      <c r="Q3571">
        <f t="shared" si="506"/>
        <v>3.7761414027849251E-2</v>
      </c>
      <c r="R3571">
        <f t="shared" si="507"/>
        <v>1</v>
      </c>
      <c r="S3571">
        <f t="shared" si="499"/>
        <v>1015.8667522424046</v>
      </c>
      <c r="T3571" s="564">
        <f>IF((I3571-MAX(I$470:I3571))/MAX(I$470:I3571)&gt;T3570,T3570,(I3571-MAX(I$470:I3571))/MAX(I$470:I3571))</f>
        <v>-0.91338805338419748</v>
      </c>
      <c r="U3571" s="564">
        <f>IF((J3571-MAX(J$470:J3571))/MAX(J$470:J3571)&gt;U3570,U3570,(J3571-MAX(J$470:J3571))/MAX(J$470:J3571))</f>
        <v>-0.83569785939843477</v>
      </c>
      <c r="V3571" s="564">
        <f>IF((K3571-MAX(K$470:K3571))/MAX(K$470:K3571)&gt;V3570,V3570,(K3571-MAX(K$470:K3571))/MAX(K$470:K3571))</f>
        <v>-0.84885940676762139</v>
      </c>
      <c r="W3571" s="564">
        <f>IF((N3571-MAX(N$470:N3571))/MAX(N$470:N3571)&gt;W3570,W3570,(N3571-MAX(N$470:N3571))/MAX(N$470:N3571))</f>
        <v>-0.62788758315546067</v>
      </c>
      <c r="X3571" s="564">
        <f>IF((O3571-MAX(O$470:O3571))/MAX(O$470:O3571)&gt;X3570,X3570,(O3571-MAX(O$470:O3571))/MAX(O$470:O3571))</f>
        <v>-0.62788758315546067</v>
      </c>
    </row>
    <row r="3572" spans="1:24">
      <c r="A3572" s="799">
        <v>43974</v>
      </c>
      <c r="B3572">
        <v>9203.6676289351999</v>
      </c>
      <c r="C3572">
        <v>16131.870671999999</v>
      </c>
      <c r="D3572">
        <v>1.605685</v>
      </c>
      <c r="E3572">
        <f>LN(D3572/参数实验室!$E$53)/参数实验室!$E$55</f>
        <v>-0.13429560631893336</v>
      </c>
      <c r="F3572">
        <f t="shared" si="498"/>
        <v>1.7527654542069055</v>
      </c>
      <c r="G3572">
        <f>LN(F3572/参数实验室!$E$58)/参数实验室!$E$59</f>
        <v>0.10401533518058281</v>
      </c>
      <c r="H3572" s="856">
        <f>INDEX(神经网络!$G$10:$BO$70,MATCH(ROUND(G3572*2,1)/2,神经网络!$E$10:$E$70,0),MATCH(ROUND(E3572*2,1)/2,神经网络!$G$8:$BO$8,0))</f>
        <v>0.27097447737900399</v>
      </c>
      <c r="I3572">
        <f t="shared" si="500"/>
        <v>516510.46515371627</v>
      </c>
      <c r="J3572">
        <f t="shared" si="501"/>
        <v>3672.5061366007671</v>
      </c>
      <c r="K3572">
        <f t="shared" si="502"/>
        <v>140.64250567373944</v>
      </c>
      <c r="L3572" s="4">
        <f>MIN(MAX(L3571*(1+MAX(MIN(((B3572-B3571)/B3571)/($K$7*卓尔金历!$N$40),0),-卓尔金历!$M$43))+MIN(MAX(((B3572-B3571)/B3571)/($K$7*卓尔金历!$N$40),0),卓尔金历!$M$43),0),1)</f>
        <v>0.4022205403641097</v>
      </c>
      <c r="M3572" s="4">
        <f>MIN(MAX(M3571*(1+MAX(MIN(((B3572-B3571)/B3571)/($K$7*30),0),-卓尔金历!$M$43))+MIN(MAX(((B3572-B3571)/B3571)/($K$7*7),0),卓尔金历!$M$43),0),1)</f>
        <v>0.94878533120867614</v>
      </c>
      <c r="N3572">
        <f t="shared" si="503"/>
        <v>174128.23604431035</v>
      </c>
      <c r="O3572">
        <f t="shared" si="504"/>
        <v>486463.35870109242</v>
      </c>
      <c r="P3572">
        <f t="shared" si="505"/>
        <v>-4.5555806742902499E-4</v>
      </c>
      <c r="Q3572">
        <f t="shared" si="506"/>
        <v>3.7553195634001869E-2</v>
      </c>
      <c r="R3572">
        <f t="shared" si="507"/>
        <v>1</v>
      </c>
      <c r="S3572">
        <f t="shared" si="499"/>
        <v>1015.7801266133259</v>
      </c>
      <c r="T3572" s="564">
        <f>IF((I3572-MAX(I$470:I3572))/MAX(I$470:I3572)&gt;T3571,T3571,(I3572-MAX(I$470:I3572))/MAX(I$470:I3572))</f>
        <v>-0.91338805338419748</v>
      </c>
      <c r="U3572" s="564">
        <f>IF((J3572-MAX(J$470:J3572))/MAX(J$470:J3572)&gt;U3571,U3571,(J3572-MAX(J$470:J3572))/MAX(J$470:J3572))</f>
        <v>-0.83569785939843477</v>
      </c>
      <c r="V3572" s="564">
        <f>IF((K3572-MAX(K$470:K3572))/MAX(K$470:K3572)&gt;V3571,V3571,(K3572-MAX(K$470:K3572))/MAX(K$470:K3572))</f>
        <v>-0.84885940676762139</v>
      </c>
      <c r="W3572" s="564">
        <f>IF((N3572-MAX(N$470:N3572))/MAX(N$470:N3572)&gt;W3571,W3571,(N3572-MAX(N$470:N3572))/MAX(N$470:N3572))</f>
        <v>-0.62788758315546067</v>
      </c>
      <c r="X3572" s="564">
        <f>IF((O3572-MAX(O$470:O3572))/MAX(O$470:O3572)&gt;X3571,X3571,(O3572-MAX(O$470:O3572))/MAX(O$470:O3572))</f>
        <v>-0.62788758315546067</v>
      </c>
    </row>
    <row r="3573" spans="1:24">
      <c r="A3573" s="799">
        <v>43975</v>
      </c>
      <c r="B3573">
        <v>9063.3372956571002</v>
      </c>
      <c r="C3573">
        <v>17431.044676000001</v>
      </c>
      <c r="D3573">
        <v>1.540087</v>
      </c>
      <c r="E3573">
        <f>LN(D3573/参数实验室!$E$53)/参数实验室!$E$55</f>
        <v>-0.18350494094154646</v>
      </c>
      <c r="F3573">
        <f t="shared" si="498"/>
        <v>1.9232479281503154</v>
      </c>
      <c r="G3573">
        <f>LN(F3573/参数实验室!$E$58)/参数实验室!$E$59</f>
        <v>0.1527325949742751</v>
      </c>
      <c r="H3573" s="856">
        <f>INDEX(神经网络!$G$10:$BO$70,MATCH(ROUND(G3573*2,1)/2,神经网络!$E$10:$E$70,0),MATCH(ROUND(E3573*2,1)/2,神经网络!$G$8:$BO$8,0))</f>
        <v>0.30942408600186722</v>
      </c>
      <c r="I3573">
        <f t="shared" si="500"/>
        <v>514376.4468375115</v>
      </c>
      <c r="J3573">
        <f t="shared" si="501"/>
        <v>3616.5106323199725</v>
      </c>
      <c r="K3573">
        <f t="shared" si="502"/>
        <v>142.23003860147418</v>
      </c>
      <c r="L3573" s="4">
        <f>MIN(MAX(L3572*(1+MAX(MIN(((B3573-B3572)/B3572)/($K$7*卓尔金历!$N$40),0),-卓尔金历!$M$43))+MIN(MAX(((B3573-B3572)/B3572)/($K$7*卓尔金历!$N$40),0),卓尔金历!$M$43),0),1)</f>
        <v>0.30851808881267911</v>
      </c>
      <c r="M3573" s="4">
        <f>MIN(MAX(M3572*(1+MAX(MIN(((B3573-B3572)/B3572)/($K$7*30),0),-卓尔金历!$M$43))+MIN(MAX(((B3573-B3572)/B3572)/($K$7*7),0),卓尔金历!$M$43),0),1)</f>
        <v>0.83826945421019017</v>
      </c>
      <c r="N3573">
        <f t="shared" si="503"/>
        <v>173838.86673811084</v>
      </c>
      <c r="O3573">
        <f t="shared" si="504"/>
        <v>484556.41833076719</v>
      </c>
      <c r="P3573">
        <f t="shared" si="505"/>
        <v>-1.5247218710606018E-2</v>
      </c>
      <c r="Q3573">
        <f t="shared" si="506"/>
        <v>3.7644407732856343E-2</v>
      </c>
      <c r="R3573">
        <f t="shared" si="507"/>
        <v>0.97528060048547005</v>
      </c>
      <c r="S3573">
        <f t="shared" si="499"/>
        <v>1011.5833222082408</v>
      </c>
      <c r="T3573" s="564">
        <f>IF((I3573-MAX(I$470:I3573))/MAX(I$470:I3573)&gt;T3572,T3572,(I3573-MAX(I$470:I3573))/MAX(I$470:I3573))</f>
        <v>-0.91338805338419748</v>
      </c>
      <c r="U3573" s="564">
        <f>IF((J3573-MAX(J$470:J3573))/MAX(J$470:J3573)&gt;U3572,U3572,(J3573-MAX(J$470:J3573))/MAX(J$470:J3573))</f>
        <v>-0.83569785939843477</v>
      </c>
      <c r="V3573" s="564">
        <f>IF((K3573-MAX(K$470:K3573))/MAX(K$470:K3573)&gt;V3572,V3572,(K3573-MAX(K$470:K3573))/MAX(K$470:K3573))</f>
        <v>-0.84885940676762139</v>
      </c>
      <c r="W3573" s="564">
        <f>IF((N3573-MAX(N$470:N3573))/MAX(N$470:N3573)&gt;W3572,W3572,(N3573-MAX(N$470:N3573))/MAX(N$470:N3573))</f>
        <v>-0.62788758315546067</v>
      </c>
      <c r="X3573" s="564">
        <f>IF((O3573-MAX(O$470:O3573))/MAX(O$470:O3573)&gt;X3572,X3572,(O3573-MAX(O$470:O3573))/MAX(O$470:O3573))</f>
        <v>-0.62788758315546067</v>
      </c>
    </row>
    <row r="3574" spans="1:24">
      <c r="A3574" s="799">
        <v>43976</v>
      </c>
      <c r="B3574">
        <v>8775.3820268222007</v>
      </c>
      <c r="C3574">
        <v>18654.660634</v>
      </c>
      <c r="D3574">
        <v>1.5590299999999999</v>
      </c>
      <c r="E3574">
        <f>LN(D3574/参数实验室!$E$53)/参数实验室!$E$55</f>
        <v>-0.16908254641811227</v>
      </c>
      <c r="F3574">
        <f t="shared" si="498"/>
        <v>2.12579470352191</v>
      </c>
      <c r="G3574">
        <f>LN(F3574/参数实验室!$E$58)/参数实验室!$E$59</f>
        <v>0.2052864006234377</v>
      </c>
      <c r="H3574" s="856">
        <f>INDEX(神经网络!$G$10:$BO$70,MATCH(ROUND(G3574*2,1)/2,神经网络!$E$10:$E$70,0),MATCH(ROUND(E3574*2,1)/2,神经网络!$G$8:$BO$8,0))</f>
        <v>0.86016008065029426</v>
      </c>
      <c r="I3574">
        <f t="shared" si="500"/>
        <v>509319.68991607882</v>
      </c>
      <c r="J3574">
        <f t="shared" si="501"/>
        <v>3501.6088850493534</v>
      </c>
      <c r="K3574">
        <f t="shared" si="502"/>
        <v>145.4530493370336</v>
      </c>
      <c r="L3574" s="4">
        <f>MIN(MAX(L3573*(1+MAX(MIN(((B3574-B3573)/B3573)/($K$7*卓尔金历!$N$40),0),-卓尔金历!$M$43))+MIN(MAX(((B3574-B3573)/B3573)/($K$7*卓尔金历!$N$40),0),卓尔金历!$M$43),0),1)</f>
        <v>0.15875196232288041</v>
      </c>
      <c r="M3574" s="4">
        <f>MIN(MAX(M3573*(1+MAX(MIN(((B3574-B3573)/B3573)/($K$7*30),0),-卓尔金历!$M$43))+MIN(MAX(((B3574-B3573)/B3573)/($K$7*7),0),卓尔金历!$M$43),0),1)</f>
        <v>0.6348059075589535</v>
      </c>
      <c r="N3574">
        <f t="shared" si="503"/>
        <v>173311.61439559035</v>
      </c>
      <c r="O3574">
        <f t="shared" si="504"/>
        <v>480563.23733930924</v>
      </c>
      <c r="P3574">
        <f t="shared" si="505"/>
        <v>-3.1771439089316435E-2</v>
      </c>
      <c r="Q3574">
        <f t="shared" si="506"/>
        <v>3.8325476401691712E-2</v>
      </c>
      <c r="R3574">
        <f t="shared" si="507"/>
        <v>0.23225161852751994</v>
      </c>
      <c r="S3574">
        <f t="shared" si="499"/>
        <v>1001.8844273870395</v>
      </c>
      <c r="T3574" s="564">
        <f>IF((I3574-MAX(I$470:I3574))/MAX(I$470:I3574)&gt;T3573,T3573,(I3574-MAX(I$470:I3574))/MAX(I$470:I3574))</f>
        <v>-0.91338805338419748</v>
      </c>
      <c r="U3574" s="564">
        <f>IF((J3574-MAX(J$470:J3574))/MAX(J$470:J3574)&gt;U3573,U3573,(J3574-MAX(J$470:J3574))/MAX(J$470:J3574))</f>
        <v>-0.83569785939843477</v>
      </c>
      <c r="V3574" s="564">
        <f>IF((K3574-MAX(K$470:K3574))/MAX(K$470:K3574)&gt;V3573,V3573,(K3574-MAX(K$470:K3574))/MAX(K$470:K3574))</f>
        <v>-0.84885940676762139</v>
      </c>
      <c r="W3574" s="564">
        <f>IF((N3574-MAX(N$470:N3574))/MAX(N$470:N3574)&gt;W3573,W3573,(N3574-MAX(N$470:N3574))/MAX(N$470:N3574))</f>
        <v>-0.62788758315546067</v>
      </c>
      <c r="X3574" s="564">
        <f>IF((O3574-MAX(O$470:O3574))/MAX(O$470:O3574)&gt;X3573,X3573,(O3574-MAX(O$470:O3574))/MAX(O$470:O3574))</f>
        <v>-0.62788758315546067</v>
      </c>
    </row>
    <row r="3575" spans="1:24">
      <c r="A3575" s="799">
        <v>43977</v>
      </c>
      <c r="B3575">
        <v>8728.3140661456</v>
      </c>
      <c r="C3575">
        <v>20024.01196</v>
      </c>
      <c r="D3575">
        <v>1.546249</v>
      </c>
      <c r="E3575">
        <f>LN(D3575/参数实验室!$E$53)/参数实验室!$E$55</f>
        <v>-0.17879408045924938</v>
      </c>
      <c r="F3575">
        <f t="shared" si="498"/>
        <v>2.2941442996038468</v>
      </c>
      <c r="G3575">
        <f>LN(F3575/参数实验室!$E$58)/参数实验室!$E$59</f>
        <v>0.24528773645709392</v>
      </c>
      <c r="H3575" s="856">
        <f>INDEX(神经网络!$G$10:$BO$70,MATCH(ROUND(G3575*2,1)/2,神经网络!$E$10:$E$70,0),MATCH(ROUND(E3575*2,1)/2,神经网络!$G$8:$BO$8,0))</f>
        <v>0.82711542319895848</v>
      </c>
      <c r="I3575">
        <f t="shared" si="500"/>
        <v>506969.8996562048</v>
      </c>
      <c r="J3575">
        <f t="shared" si="501"/>
        <v>3482.8275272916421</v>
      </c>
      <c r="K3575">
        <f t="shared" si="502"/>
        <v>145.56273478475714</v>
      </c>
      <c r="L3575" s="4">
        <f>MIN(MAX(L3574*(1+MAX(MIN(((B3575-B3574)/B3574)/($K$7*卓尔金历!$N$40),0),-卓尔金历!$M$43))+MIN(MAX(((B3575-B3574)/B3574)/($K$7*卓尔金历!$N$40),0),卓尔金历!$M$43),0),1)</f>
        <v>0.14574204518240719</v>
      </c>
      <c r="M3575" s="4">
        <f>MIN(MAX(M3574*(1+MAX(MIN(((B3575-B3574)/B3574)/($K$7*30),0),-卓尔金历!$M$43))+MIN(MAX(((B3575-B3574)/B3574)/($K$7*7),0),卓尔金历!$M$43),0),1)</f>
        <v>0.60879434796377929</v>
      </c>
      <c r="N3575">
        <f t="shared" si="503"/>
        <v>173184.67822181282</v>
      </c>
      <c r="O3575">
        <f t="shared" si="504"/>
        <v>479155.79653602903</v>
      </c>
      <c r="P3575">
        <f t="shared" si="505"/>
        <v>-5.3636366522547014E-3</v>
      </c>
      <c r="Q3575">
        <f t="shared" si="506"/>
        <v>3.8338451576751816E-2</v>
      </c>
      <c r="R3575">
        <f t="shared" si="507"/>
        <v>1</v>
      </c>
      <c r="S3575">
        <f t="shared" si="499"/>
        <v>1000.8108953517261</v>
      </c>
      <c r="T3575" s="564">
        <f>IF((I3575-MAX(I$470:I3575))/MAX(I$470:I3575)&gt;T3574,T3574,(I3575-MAX(I$470:I3575))/MAX(I$470:I3575))</f>
        <v>-0.91338805338419748</v>
      </c>
      <c r="U3575" s="564">
        <f>IF((J3575-MAX(J$470:J3575))/MAX(J$470:J3575)&gt;U3574,U3574,(J3575-MAX(J$470:J3575))/MAX(J$470:J3575))</f>
        <v>-0.83569785939843477</v>
      </c>
      <c r="V3575" s="564">
        <f>IF((K3575-MAX(K$470:K3575))/MAX(K$470:K3575)&gt;V3574,V3574,(K3575-MAX(K$470:K3575))/MAX(K$470:K3575))</f>
        <v>-0.84885940676762139</v>
      </c>
      <c r="W3575" s="564">
        <f>IF((N3575-MAX(N$470:N3575))/MAX(N$470:N3575)&gt;W3574,W3574,(N3575-MAX(N$470:N3575))/MAX(N$470:N3575))</f>
        <v>-0.62788758315546067</v>
      </c>
      <c r="X3575" s="564">
        <f>IF((O3575-MAX(O$470:O3575))/MAX(O$470:O3575)&gt;X3574,X3574,(O3575-MAX(O$470:O3575))/MAX(O$470:O3575))</f>
        <v>-0.62788758315546067</v>
      </c>
    </row>
    <row r="3576" spans="1:24">
      <c r="A3576" s="799">
        <v>43978</v>
      </c>
      <c r="B3576">
        <v>9150.1647812612991</v>
      </c>
      <c r="C3576">
        <v>21467.921382</v>
      </c>
      <c r="D3576">
        <v>1.6035900000000001</v>
      </c>
      <c r="E3576">
        <f>LN(D3576/参数实验室!$E$53)/参数实验室!$E$55</f>
        <v>-0.13583588155069348</v>
      </c>
      <c r="F3576">
        <f t="shared" si="498"/>
        <v>2.3461786640131708</v>
      </c>
      <c r="G3576">
        <f>LN(F3576/参数实验室!$E$58)/参数实验室!$E$59</f>
        <v>0.25705915475698726</v>
      </c>
      <c r="H3576" s="856">
        <f>INDEX(神经网络!$G$10:$BO$70,MATCH(ROUND(G3576*2,1)/2,神经网络!$E$10:$E$70,0),MATCH(ROUND(E3576*2,1)/2,神经网络!$G$8:$BO$8,0))</f>
        <v>0.89448805913628826</v>
      </c>
      <c r="I3576">
        <f t="shared" si="500"/>
        <v>527236.30472364102</v>
      </c>
      <c r="J3576">
        <f t="shared" si="501"/>
        <v>3651.1570892068485</v>
      </c>
      <c r="K3576">
        <f t="shared" si="502"/>
        <v>144.40252551230932</v>
      </c>
      <c r="L3576" s="4">
        <f>MIN(MAX(L3575*(1+MAX(MIN(((B3576-B3575)/B3575)/($K$7*卓尔金历!$N$40),0),-卓尔金历!$M$43))+MIN(MAX(((B3576-B3575)/B3575)/($K$7*卓尔金历!$N$40),0),卓尔金历!$M$43),0),1)</f>
        <v>0.88419784068594953</v>
      </c>
      <c r="M3576" s="4">
        <f>MIN(MAX(M3575*(1+MAX(MIN(((B3576-B3575)/B3575)/($K$7*30),0),-卓尔金历!$M$43))+MIN(MAX(((B3576-B3575)/B3575)/($K$7*7),0),卓尔金历!$M$43),0),1)</f>
        <v>1</v>
      </c>
      <c r="N3576">
        <f t="shared" si="503"/>
        <v>174193.67288847634</v>
      </c>
      <c r="O3576">
        <f t="shared" si="504"/>
        <v>490816.96050708712</v>
      </c>
      <c r="P3576">
        <f t="shared" si="505"/>
        <v>4.8331294213154644E-2</v>
      </c>
      <c r="Q3576">
        <f t="shared" si="506"/>
        <v>3.8047694316554297E-2</v>
      </c>
      <c r="R3576">
        <f t="shared" si="507"/>
        <v>2.9166407277027545E-2</v>
      </c>
      <c r="S3576">
        <f t="shared" si="499"/>
        <v>1040.8188702134607</v>
      </c>
      <c r="T3576" s="564">
        <f>IF((I3576-MAX(I$470:I3576))/MAX(I$470:I3576)&gt;T3575,T3575,(I3576-MAX(I$470:I3576))/MAX(I$470:I3576))</f>
        <v>-0.91338805338419748</v>
      </c>
      <c r="U3576" s="564">
        <f>IF((J3576-MAX(J$470:J3576))/MAX(J$470:J3576)&gt;U3575,U3575,(J3576-MAX(J$470:J3576))/MAX(J$470:J3576))</f>
        <v>-0.83569785939843477</v>
      </c>
      <c r="V3576" s="564">
        <f>IF((K3576-MAX(K$470:K3576))/MAX(K$470:K3576)&gt;V3575,V3575,(K3576-MAX(K$470:K3576))/MAX(K$470:K3576))</f>
        <v>-0.84885940676762139</v>
      </c>
      <c r="W3576" s="564">
        <f>IF((N3576-MAX(N$470:N3576))/MAX(N$470:N3576)&gt;W3575,W3575,(N3576-MAX(N$470:N3576))/MAX(N$470:N3576))</f>
        <v>-0.62788758315546067</v>
      </c>
      <c r="X3576" s="564">
        <f>IF((O3576-MAX(O$470:O3576))/MAX(O$470:O3576)&gt;X3575,X3575,(O3576-MAX(O$470:O3576))/MAX(O$470:O3576))</f>
        <v>-0.62788758315546067</v>
      </c>
    </row>
    <row r="3577" spans="1:24">
      <c r="A3577" s="799">
        <v>43979</v>
      </c>
      <c r="B3577">
        <v>9507.5185370618001</v>
      </c>
      <c r="C3577">
        <v>23438.20117</v>
      </c>
      <c r="D3577">
        <v>1.672228</v>
      </c>
      <c r="E3577">
        <f>LN(D3577/参数实验室!$E$53)/参数实验室!$E$55</f>
        <v>-8.6390059808814479E-2</v>
      </c>
      <c r="F3577">
        <f t="shared" si="498"/>
        <v>2.4652280275483252</v>
      </c>
      <c r="G3577">
        <f>LN(F3577/参数实验室!$E$58)/参数实验室!$E$59</f>
        <v>0.28303754310283807</v>
      </c>
      <c r="H3577" s="856">
        <f>INDEX(神经网络!$G$10:$BO$70,MATCH(ROUND(G3577*2,1)/2,神经网络!$E$10:$E$70,0),MATCH(ROUND(E3577*2,1)/2,神经网络!$G$8:$BO$8,0))</f>
        <v>1.0109852095785274</v>
      </c>
      <c r="I3577">
        <f t="shared" si="500"/>
        <v>545654.59404033876</v>
      </c>
      <c r="J3577">
        <f t="shared" si="501"/>
        <v>3793.7506632064897</v>
      </c>
      <c r="K3577">
        <f t="shared" si="502"/>
        <v>143.82985137435202</v>
      </c>
      <c r="L3577" s="4">
        <f>MIN(MAX(L3576*(1+MAX(MIN(((B3577-B3576)/B3576)/($K$7*卓尔金历!$N$40),0),-卓尔金历!$M$43))+MIN(MAX(((B3577-B3576)/B3576)/($K$7*卓尔金历!$N$40),0),卓尔金历!$M$43),0),1)</f>
        <v>1</v>
      </c>
      <c r="M3577" s="4">
        <f>MIN(MAX(M3576*(1+MAX(MIN(((B3577-B3576)/B3576)/($K$7*30),0),-卓尔金历!$M$43))+MIN(MAX(((B3577-B3576)/B3576)/($K$7*7),0),卓尔金历!$M$43),0),1)</f>
        <v>1</v>
      </c>
      <c r="N3577">
        <f t="shared" si="503"/>
        <v>179574.21220864655</v>
      </c>
      <c r="O3577">
        <f t="shared" si="504"/>
        <v>507962.98914580198</v>
      </c>
      <c r="P3577">
        <f t="shared" si="505"/>
        <v>3.9054351953565776E-2</v>
      </c>
      <c r="Q3577">
        <f t="shared" si="506"/>
        <v>3.8660140023138299E-2</v>
      </c>
      <c r="R3577">
        <f t="shared" si="507"/>
        <v>3.7661692084791379E-2</v>
      </c>
      <c r="S3577">
        <f t="shared" si="499"/>
        <v>1041.8793492224031</v>
      </c>
      <c r="T3577" s="564">
        <f>IF((I3577-MAX(I$470:I3577))/MAX(I$470:I3577)&gt;T3576,T3576,(I3577-MAX(I$470:I3577))/MAX(I$470:I3577))</f>
        <v>-0.91338805338419748</v>
      </c>
      <c r="U3577" s="564">
        <f>IF((J3577-MAX(J$470:J3577))/MAX(J$470:J3577)&gt;U3576,U3576,(J3577-MAX(J$470:J3577))/MAX(J$470:J3577))</f>
        <v>-0.83569785939843477</v>
      </c>
      <c r="V3577" s="564">
        <f>IF((K3577-MAX(K$470:K3577))/MAX(K$470:K3577)&gt;V3576,V3576,(K3577-MAX(K$470:K3577))/MAX(K$470:K3577))</f>
        <v>-0.84885940676762139</v>
      </c>
      <c r="W3577" s="564">
        <f>IF((N3577-MAX(N$470:N3577))/MAX(N$470:N3577)&gt;W3576,W3576,(N3577-MAX(N$470:N3577))/MAX(N$470:N3577))</f>
        <v>-0.62788758315546067</v>
      </c>
      <c r="X3577" s="564">
        <f>IF((O3577-MAX(O$470:O3577))/MAX(O$470:O3577)&gt;X3576,X3576,(O3577-MAX(O$470:O3577))/MAX(O$470:O3577))</f>
        <v>-0.62788758315546067</v>
      </c>
    </row>
    <row r="3578" spans="1:24">
      <c r="A3578" s="799">
        <v>43980</v>
      </c>
      <c r="B3578">
        <v>9402.9891549561999</v>
      </c>
      <c r="C3578">
        <v>25471.668493000001</v>
      </c>
      <c r="D3578">
        <v>1.6477090000000001</v>
      </c>
      <c r="E3578">
        <f>LN(D3578/参数实验室!$E$53)/参数实验室!$E$55</f>
        <v>-0.10381623128419587</v>
      </c>
      <c r="F3578">
        <f t="shared" si="498"/>
        <v>2.7088905531252472</v>
      </c>
      <c r="G3578">
        <f>LN(F3578/参数实验室!$E$58)/参数实验室!$E$59</f>
        <v>0.33250758312752604</v>
      </c>
      <c r="H3578" s="856">
        <f>INDEX(神经网络!$G$10:$BO$70,MATCH(ROUND(G3578*2,1)/2,神经网络!$E$10:$E$70,0),MATCH(ROUND(E3578*2,1)/2,神经网络!$G$8:$BO$8,0))</f>
        <v>1.0529108007614849</v>
      </c>
      <c r="I3578">
        <f t="shared" si="500"/>
        <v>539589.55193222919</v>
      </c>
      <c r="J3578">
        <f t="shared" si="501"/>
        <v>3752.0406827166453</v>
      </c>
      <c r="K3578">
        <f t="shared" si="502"/>
        <v>143.81228711559231</v>
      </c>
      <c r="L3578" s="4">
        <f>MIN(MAX(L3577*(1+MAX(MIN(((B3578-B3577)/B3577)/($K$7*卓尔金历!$N$40),0),-卓尔金历!$M$43))+MIN(MAX(((B3578-B3577)/B3577)/($K$7*卓尔金历!$N$40),0),卓尔金历!$M$43),0),1)</f>
        <v>0.83201624661537965</v>
      </c>
      <c r="M3578" s="4">
        <f>MIN(MAX(M3577*(1+MAX(MIN(((B3578-B3577)/B3577)/($K$7*30),0),-卓尔金历!$M$43))+MIN(MAX(((B3578-B3577)/B3577)/($K$7*7),0),卓尔金历!$M$43),0),1)</f>
        <v>0.91600812330768977</v>
      </c>
      <c r="N3578">
        <f t="shared" si="503"/>
        <v>177578.21479476694</v>
      </c>
      <c r="O3578">
        <f t="shared" si="504"/>
        <v>502316.89553240751</v>
      </c>
      <c r="P3578">
        <f t="shared" si="505"/>
        <v>-1.0994391617342452E-2</v>
      </c>
      <c r="Q3578">
        <f t="shared" si="506"/>
        <v>3.7210479689214218E-2</v>
      </c>
      <c r="R3578">
        <f t="shared" si="507"/>
        <v>1</v>
      </c>
      <c r="S3578">
        <f t="shared" si="499"/>
        <v>1041.4432018475493</v>
      </c>
      <c r="T3578" s="564">
        <f>IF((I3578-MAX(I$470:I3578))/MAX(I$470:I3578)&gt;T3577,T3577,(I3578-MAX(I$470:I3578))/MAX(I$470:I3578))</f>
        <v>-0.91338805338419748</v>
      </c>
      <c r="U3578" s="564">
        <f>IF((J3578-MAX(J$470:J3578))/MAX(J$470:J3578)&gt;U3577,U3577,(J3578-MAX(J$470:J3578))/MAX(J$470:J3578))</f>
        <v>-0.83569785939843477</v>
      </c>
      <c r="V3578" s="564">
        <f>IF((K3578-MAX(K$470:K3578))/MAX(K$470:K3578)&gt;V3577,V3577,(K3578-MAX(K$470:K3578))/MAX(K$470:K3578))</f>
        <v>-0.84885940676762139</v>
      </c>
      <c r="W3578" s="564">
        <f>IF((N3578-MAX(N$470:N3578))/MAX(N$470:N3578)&gt;W3577,W3577,(N3578-MAX(N$470:N3578))/MAX(N$470:N3578))</f>
        <v>-0.62788758315546067</v>
      </c>
      <c r="X3578" s="564">
        <f>IF((O3578-MAX(O$470:O3578))/MAX(O$470:O3578)&gt;X3577,X3577,(O3578-MAX(O$470:O3578))/MAX(O$470:O3578))</f>
        <v>-0.62788758315546067</v>
      </c>
    </row>
    <row r="3579" spans="1:24">
      <c r="A3579" s="799">
        <v>43981</v>
      </c>
      <c r="B3579">
        <v>9536.7642972338999</v>
      </c>
      <c r="C3579">
        <v>27037.520722000001</v>
      </c>
      <c r="D3579">
        <v>1.6921539999999999</v>
      </c>
      <c r="E3579">
        <f>LN(D3579/参数实验室!$E$53)/参数实验室!$E$55</f>
        <v>-7.2415405319318518E-2</v>
      </c>
      <c r="F3579">
        <f t="shared" si="498"/>
        <v>2.8350832503894559</v>
      </c>
      <c r="G3579">
        <f>LN(F3579/参数实验室!$E$58)/参数实验室!$E$59</f>
        <v>0.35640531136240777</v>
      </c>
      <c r="H3579" s="856">
        <f>INDEX(神经网络!$G$10:$BO$70,MATCH(ROUND(G3579*2,1)/2,神经网络!$E$10:$E$70,0),MATCH(ROUND(E3579*2,1)/2,神经网络!$G$8:$BO$8,0))</f>
        <v>1.1433147277508295</v>
      </c>
      <c r="I3579">
        <f t="shared" si="500"/>
        <v>547672.40341294452</v>
      </c>
      <c r="J3579">
        <f t="shared" si="501"/>
        <v>3805.4204928908998</v>
      </c>
      <c r="K3579">
        <f t="shared" si="502"/>
        <v>143.91902404375003</v>
      </c>
      <c r="L3579" s="4">
        <f>MIN(MAX(L3578*(1+MAX(MIN(((B3579-B3578)/B3578)/($K$7*卓尔金历!$N$40),0),-卓尔金历!$M$43))+MIN(MAX(((B3579-B3578)/B3578)/($K$7*卓尔金历!$N$40),0),卓尔金历!$M$43),0),1)</f>
        <v>1</v>
      </c>
      <c r="M3579" s="4">
        <f>MIN(MAX(M3578*(1+MAX(MIN(((B3579-B3578)/B3578)/($K$7*30),0),-卓尔金历!$M$43))+MIN(MAX(((B3579-B3578)/B3578)/($K$7*7),0),卓尔金历!$M$43),0),1)</f>
        <v>1</v>
      </c>
      <c r="N3579">
        <f t="shared" si="503"/>
        <v>179791.42446681391</v>
      </c>
      <c r="O3579">
        <f t="shared" si="504"/>
        <v>509209.41780404293</v>
      </c>
      <c r="P3579">
        <f t="shared" si="505"/>
        <v>1.4226874036878882E-2</v>
      </c>
      <c r="Q3579">
        <f t="shared" si="506"/>
        <v>3.6935253848804681E-2</v>
      </c>
      <c r="R3579">
        <f t="shared" si="507"/>
        <v>1</v>
      </c>
      <c r="S3579">
        <f t="shared" si="499"/>
        <v>1057.0436349841636</v>
      </c>
      <c r="T3579" s="564">
        <f>IF((I3579-MAX(I$470:I3579))/MAX(I$470:I3579)&gt;T3578,T3578,(I3579-MAX(I$470:I3579))/MAX(I$470:I3579))</f>
        <v>-0.91338805338419748</v>
      </c>
      <c r="U3579" s="564">
        <f>IF((J3579-MAX(J$470:J3579))/MAX(J$470:J3579)&gt;U3578,U3578,(J3579-MAX(J$470:J3579))/MAX(J$470:J3579))</f>
        <v>-0.83569785939843477</v>
      </c>
      <c r="V3579" s="564">
        <f>IF((K3579-MAX(K$470:K3579))/MAX(K$470:K3579)&gt;V3578,V3578,(K3579-MAX(K$470:K3579))/MAX(K$470:K3579))</f>
        <v>-0.84885940676762139</v>
      </c>
      <c r="W3579" s="564">
        <f>IF((N3579-MAX(N$470:N3579))/MAX(N$470:N3579)&gt;W3578,W3578,(N3579-MAX(N$470:N3579))/MAX(N$470:N3579))</f>
        <v>-0.62788758315546067</v>
      </c>
      <c r="X3579" s="564">
        <f>IF((O3579-MAX(O$470:O3579))/MAX(O$470:O3579)&gt;X3578,X3578,(O3579-MAX(O$470:O3579))/MAX(O$470:O3579))</f>
        <v>-0.62788758315546067</v>
      </c>
    </row>
    <row r="3580" spans="1:24">
      <c r="A3580" s="799">
        <v>43982</v>
      </c>
      <c r="B3580">
        <v>9480.3063514476999</v>
      </c>
      <c r="C3580">
        <v>29013.986353</v>
      </c>
      <c r="D3580">
        <v>1.6470499999999999</v>
      </c>
      <c r="E3580">
        <f>LN(D3580/参数实验室!$E$53)/参数实验室!$E$55</f>
        <v>-0.10428816710599376</v>
      </c>
      <c r="F3580">
        <f t="shared" si="498"/>
        <v>3.0604481835726109</v>
      </c>
      <c r="G3580">
        <f>LN(F3580/参数实验室!$E$58)/参数实验室!$E$59</f>
        <v>0.3965514330669726</v>
      </c>
      <c r="H3580" s="856">
        <f>INDEX(神经网络!$G$10:$BO$70,MATCH(ROUND(G3580*2,1)/2,神经网络!$E$10:$E$70,0),MATCH(ROUND(E3580*2,1)/2,神经网络!$G$8:$BO$8,0))</f>
        <v>1.096462278026997</v>
      </c>
      <c r="I3580">
        <f t="shared" si="500"/>
        <v>543965.50504551176</v>
      </c>
      <c r="J3580">
        <f t="shared" si="501"/>
        <v>3782.8922834075593</v>
      </c>
      <c r="K3580">
        <f t="shared" si="502"/>
        <v>143.79619198554545</v>
      </c>
      <c r="L3580" s="4">
        <f>MIN(MAX(L3579*(1+MAX(MIN(((B3580-B3579)/B3579)/($K$7*卓尔金历!$N$40),0),-卓尔金历!$M$43))+MIN(MAX(((B3580-B3579)/B3579)/($K$7*卓尔金历!$N$40),0),卓尔金历!$M$43),0),1)</f>
        <v>0.90954759852607903</v>
      </c>
      <c r="M3580" s="4">
        <f>MIN(MAX(M3579*(1+MAX(MIN(((B3580-B3579)/B3579)/($K$7*30),0),-卓尔金历!$M$43))+MIN(MAX(((B3580-B3579)/B3579)/($K$7*7),0),卓尔金历!$M$43),0),1)</f>
        <v>0.95477379926303951</v>
      </c>
      <c r="N3580">
        <f t="shared" si="503"/>
        <v>178574.51352939731</v>
      </c>
      <c r="O3580">
        <f t="shared" si="504"/>
        <v>505762.85458892334</v>
      </c>
      <c r="P3580">
        <f t="shared" si="505"/>
        <v>-5.9200315774371685E-3</v>
      </c>
      <c r="Q3580">
        <f t="shared" si="506"/>
        <v>2.7996085381618945E-2</v>
      </c>
      <c r="R3580">
        <f t="shared" si="507"/>
        <v>1</v>
      </c>
      <c r="S3580">
        <f t="shared" si="499"/>
        <v>1049.8890781717155</v>
      </c>
      <c r="T3580" s="564">
        <f>IF((I3580-MAX(I$470:I3580))/MAX(I$470:I3580)&gt;T3579,T3579,(I3580-MAX(I$470:I3580))/MAX(I$470:I3580))</f>
        <v>-0.91338805338419748</v>
      </c>
      <c r="U3580" s="564">
        <f>IF((J3580-MAX(J$470:J3580))/MAX(J$470:J3580)&gt;U3579,U3579,(J3580-MAX(J$470:J3580))/MAX(J$470:J3580))</f>
        <v>-0.83569785939843477</v>
      </c>
      <c r="V3580" s="564">
        <f>IF((K3580-MAX(K$470:K3580))/MAX(K$470:K3580)&gt;V3579,V3579,(K3580-MAX(K$470:K3580))/MAX(K$470:K3580))</f>
        <v>-0.84885940676762139</v>
      </c>
      <c r="W3580" s="564">
        <f>IF((N3580-MAX(N$470:N3580))/MAX(N$470:N3580)&gt;W3579,W3579,(N3580-MAX(N$470:N3580))/MAX(N$470:N3580))</f>
        <v>-0.62788758315546067</v>
      </c>
      <c r="X3580" s="564">
        <f>IF((O3580-MAX(O$470:O3580))/MAX(O$470:O3580)&gt;X3579,X3579,(O3580-MAX(O$470:O3580))/MAX(O$470:O3580))</f>
        <v>-0.62788758315546067</v>
      </c>
    </row>
    <row r="3581" spans="1:24">
      <c r="A3581" s="799">
        <v>43983</v>
      </c>
      <c r="B3581">
        <v>9542.0766708400006</v>
      </c>
      <c r="C3581">
        <v>31709.973491000001</v>
      </c>
      <c r="D3581">
        <v>1.7745629999999999</v>
      </c>
      <c r="E3581">
        <f>LN(D3581/参数实验室!$E$53)/参数实验室!$E$55</f>
        <v>-1.6315871269059787E-2</v>
      </c>
      <c r="F3581">
        <f t="shared" si="498"/>
        <v>3.3231732027372751</v>
      </c>
      <c r="G3581">
        <f>LN(F3581/参数实验室!$E$58)/参数实验室!$E$59</f>
        <v>0.43977775071579855</v>
      </c>
      <c r="H3581" s="856">
        <f>INDEX(神经网络!$G$10:$BO$70,MATCH(ROUND(G3581*2,1)/2,神经网络!$E$10:$E$70,0),MATCH(ROUND(E3581*2,1)/2,神经网络!$G$8:$BO$8,0))</f>
        <v>1.3300419506903416</v>
      </c>
      <c r="I3581">
        <f t="shared" si="500"/>
        <v>547851.68163034087</v>
      </c>
      <c r="J3581">
        <f t="shared" si="501"/>
        <v>3807.540270077006</v>
      </c>
      <c r="K3581">
        <f t="shared" si="502"/>
        <v>143.88598485374936</v>
      </c>
      <c r="L3581" s="4">
        <f>MIN(MAX(L3580*(1+MAX(MIN(((B3581-B3580)/B3580)/($K$7*卓尔金历!$N$40),0),-卓尔金历!$M$43))+MIN(MAX(((B3581-B3580)/B3580)/($K$7*卓尔金历!$N$40),0),卓尔金历!$M$43),0),1)</f>
        <v>1</v>
      </c>
      <c r="M3581" s="4">
        <f>MIN(MAX(M3580*(1+MAX(MIN(((B3581-B3580)/B3580)/($K$7*30),0),-卓尔金历!$M$43))+MIN(MAX(((B3581-B3580)/B3580)/($K$7*7),0),卓尔金历!$M$43),0),1)</f>
        <v>1</v>
      </c>
      <c r="N3581">
        <f t="shared" si="503"/>
        <v>179734.88242207799</v>
      </c>
      <c r="O3581">
        <f t="shared" si="504"/>
        <v>509212.69172448415</v>
      </c>
      <c r="P3581">
        <f t="shared" si="505"/>
        <v>6.515645919276441E-3</v>
      </c>
      <c r="Q3581">
        <f t="shared" si="506"/>
        <v>2.7545604509558317E-2</v>
      </c>
      <c r="R3581">
        <f t="shared" si="507"/>
        <v>1</v>
      </c>
      <c r="S3581">
        <f t="shared" si="499"/>
        <v>1057.3896536942707</v>
      </c>
      <c r="T3581" s="564">
        <f>IF((I3581-MAX(I$470:I3581))/MAX(I$470:I3581)&gt;T3580,T3580,(I3581-MAX(I$470:I3581))/MAX(I$470:I3581))</f>
        <v>-0.91338805338419748</v>
      </c>
      <c r="U3581" s="564">
        <f>IF((J3581-MAX(J$470:J3581))/MAX(J$470:J3581)&gt;U3580,U3580,(J3581-MAX(J$470:J3581))/MAX(J$470:J3581))</f>
        <v>-0.83569785939843477</v>
      </c>
      <c r="V3581" s="564">
        <f>IF((K3581-MAX(K$470:K3581))/MAX(K$470:K3581)&gt;V3580,V3580,(K3581-MAX(K$470:K3581))/MAX(K$470:K3581))</f>
        <v>-0.84885940676762139</v>
      </c>
      <c r="W3581" s="564">
        <f>IF((N3581-MAX(N$470:N3581))/MAX(N$470:N3581)&gt;W3580,W3580,(N3581-MAX(N$470:N3581))/MAX(N$470:N3581))</f>
        <v>-0.62788758315546067</v>
      </c>
      <c r="X3581" s="564">
        <f>IF((O3581-MAX(O$470:O3581))/MAX(O$470:O3581)&gt;X3580,X3580,(O3581-MAX(O$470:O3581))/MAX(O$470:O3581))</f>
        <v>-0.62788758315546067</v>
      </c>
    </row>
    <row r="3582" spans="1:24">
      <c r="A3582" s="799">
        <v>43984</v>
      </c>
      <c r="B3582">
        <v>9481.8319350577003</v>
      </c>
      <c r="C3582">
        <v>35661.682691000002</v>
      </c>
      <c r="D3582">
        <v>1.655559</v>
      </c>
      <c r="E3582">
        <f>LN(D3582/参数实验室!$E$53)/参数实验室!$E$55</f>
        <v>-9.820900813487253E-2</v>
      </c>
      <c r="F3582">
        <f t="shared" si="498"/>
        <v>3.7610540806092643</v>
      </c>
      <c r="G3582">
        <f>LN(F3582/参数实验室!$E$58)/参数实验室!$E$59</f>
        <v>0.50474373714318554</v>
      </c>
      <c r="H3582" s="856">
        <f>INDEX(神经网络!$G$10:$BO$70,MATCH(ROUND(G3582*2,1)/2,神经网络!$E$10:$E$70,0),MATCH(ROUND(E3582*2,1)/2,神经网络!$G$8:$BO$8,0))</f>
        <v>1.1864142239139284</v>
      </c>
      <c r="I3582">
        <f t="shared" si="500"/>
        <v>543251.18686922861</v>
      </c>
      <c r="J3582">
        <f t="shared" si="501"/>
        <v>3783.5010315061986</v>
      </c>
      <c r="K3582">
        <f t="shared" si="502"/>
        <v>143.58425763477649</v>
      </c>
      <c r="L3582" s="4">
        <f>MIN(MAX(L3581*(1+MAX(MIN(((B3582-B3581)/B3581)/($K$7*卓尔金历!$N$40),0),-卓尔金历!$M$43))+MIN(MAX(((B3582-B3581)/B3581)/($K$7*卓尔金历!$N$40),0),卓尔金历!$M$43),0),1)</f>
        <v>0.90353444203415501</v>
      </c>
      <c r="M3582" s="4">
        <f>MIN(MAX(M3581*(1+MAX(MIN(((B3582-B3581)/B3581)/($K$7*30),0),-卓尔金历!$M$43))+MIN(MAX(((B3582-B3581)/B3581)/($K$7*7),0),卓尔金历!$M$43),0),1)</f>
        <v>0.95176722101707756</v>
      </c>
      <c r="N3582">
        <f t="shared" si="503"/>
        <v>178225.58818661771</v>
      </c>
      <c r="O3582">
        <f t="shared" si="504"/>
        <v>504936.66155223217</v>
      </c>
      <c r="P3582">
        <f t="shared" si="505"/>
        <v>-6.3135874779129027E-3</v>
      </c>
      <c r="Q3582">
        <f t="shared" si="506"/>
        <v>2.7623831817492971E-2</v>
      </c>
      <c r="R3582">
        <f t="shared" si="507"/>
        <v>1</v>
      </c>
      <c r="S3582">
        <f t="shared" si="499"/>
        <v>1048.5103972725353</v>
      </c>
      <c r="T3582" s="564">
        <f>IF((I3582-MAX(I$470:I3582))/MAX(I$470:I3582)&gt;T3581,T3581,(I3582-MAX(I$470:I3582))/MAX(I$470:I3582))</f>
        <v>-0.91338805338419748</v>
      </c>
      <c r="U3582" s="564">
        <f>IF((J3582-MAX(J$470:J3582))/MAX(J$470:J3582)&gt;U3581,U3581,(J3582-MAX(J$470:J3582))/MAX(J$470:J3582))</f>
        <v>-0.83569785939843477</v>
      </c>
      <c r="V3582" s="564">
        <f>IF((K3582-MAX(K$470:K3582))/MAX(K$470:K3582)&gt;V3581,V3581,(K3582-MAX(K$470:K3582))/MAX(K$470:K3582))</f>
        <v>-0.84885940676762139</v>
      </c>
      <c r="W3582" s="564">
        <f>IF((N3582-MAX(N$470:N3582))/MAX(N$470:N3582)&gt;W3581,W3581,(N3582-MAX(N$470:N3582))/MAX(N$470:N3582))</f>
        <v>-0.62788758315546067</v>
      </c>
      <c r="X3582" s="564">
        <f>IF((O3582-MAX(O$470:O3582))/MAX(O$470:O3582)&gt;X3581,X3581,(O3582-MAX(O$470:O3582))/MAX(O$470:O3582))</f>
        <v>-0.62788758315546067</v>
      </c>
    </row>
    <row r="3583" spans="1:24">
      <c r="A3583" s="799">
        <v>43985</v>
      </c>
      <c r="B3583">
        <v>9568.6651032412992</v>
      </c>
      <c r="C3583">
        <v>39579.199530999998</v>
      </c>
      <c r="D3583">
        <v>1.6769970000000001</v>
      </c>
      <c r="E3583">
        <f>LN(D3583/参数实验室!$E$53)/参数实验室!$E$55</f>
        <v>-8.3030329111142123E-2</v>
      </c>
      <c r="F3583">
        <f t="shared" si="498"/>
        <v>4.1363344943060971</v>
      </c>
      <c r="G3583">
        <f>LN(F3583/参数实验室!$E$58)/参数实验室!$E$59</f>
        <v>0.5546629983487521</v>
      </c>
      <c r="H3583" s="856">
        <f>INDEX(神经网络!$G$10:$BO$70,MATCH(ROUND(G3583*2,1)/2,神经网络!$E$10:$E$70,0),MATCH(ROUND(E3583*2,1)/2,神经网络!$G$8:$BO$8,0))</f>
        <v>1.2356026702570968</v>
      </c>
      <c r="I3583">
        <f t="shared" si="500"/>
        <v>549153.6111214807</v>
      </c>
      <c r="J3583">
        <f t="shared" si="501"/>
        <v>3818.149755892136</v>
      </c>
      <c r="K3583">
        <f t="shared" si="502"/>
        <v>143.82715352482745</v>
      </c>
      <c r="L3583" s="4">
        <f>MIN(MAX(L3582*(1+MAX(MIN(((B3583-B3582)/B3582)/($K$7*卓尔金历!$N$40),0),-卓尔金历!$M$43))+MIN(MAX(((B3583-B3582)/B3582)/($K$7*卓尔金历!$N$40),0),卓尔金历!$M$43),0),1)</f>
        <v>1</v>
      </c>
      <c r="M3583" s="4">
        <f>MIN(MAX(M3582*(1+MAX(MIN(((B3583-B3582)/B3582)/($K$7*30),0),-卓尔金历!$M$43))+MIN(MAX(((B3583-B3582)/B3582)/($K$7*7),0),卓尔金历!$M$43),0),1)</f>
        <v>1</v>
      </c>
      <c r="N3583">
        <f t="shared" si="503"/>
        <v>179975.21130022715</v>
      </c>
      <c r="O3583">
        <f t="shared" si="504"/>
        <v>510158.18684949743</v>
      </c>
      <c r="P3583">
        <f t="shared" si="505"/>
        <v>9.1578472154253063E-3</v>
      </c>
      <c r="Q3583">
        <f t="shared" si="506"/>
        <v>2.7101434386193994E-2</v>
      </c>
      <c r="R3583">
        <f t="shared" si="507"/>
        <v>1</v>
      </c>
      <c r="S3583">
        <f t="shared" si="499"/>
        <v>1059.9024629452599</v>
      </c>
      <c r="T3583" s="564">
        <f>IF((I3583-MAX(I$470:I3583))/MAX(I$470:I3583)&gt;T3582,T3582,(I3583-MAX(I$470:I3583))/MAX(I$470:I3583))</f>
        <v>-0.91338805338419748</v>
      </c>
      <c r="U3583" s="564">
        <f>IF((J3583-MAX(J$470:J3583))/MAX(J$470:J3583)&gt;U3582,U3582,(J3583-MAX(J$470:J3583))/MAX(J$470:J3583))</f>
        <v>-0.83569785939843477</v>
      </c>
      <c r="V3583" s="564">
        <f>IF((K3583-MAX(K$470:K3583))/MAX(K$470:K3583)&gt;V3582,V3582,(K3583-MAX(K$470:K3583))/MAX(K$470:K3583))</f>
        <v>-0.84885940676762139</v>
      </c>
      <c r="W3583" s="564">
        <f>IF((N3583-MAX(N$470:N3583))/MAX(N$470:N3583)&gt;W3582,W3582,(N3583-MAX(N$470:N3583))/MAX(N$470:N3583))</f>
        <v>-0.62788758315546067</v>
      </c>
      <c r="X3583" s="564">
        <f>IF((O3583-MAX(O$470:O3583))/MAX(O$470:O3583)&gt;X3582,X3582,(O3583-MAX(O$470:O3583))/MAX(O$470:O3583))</f>
        <v>-0.62788758315546067</v>
      </c>
    </row>
    <row r="3584" spans="1:24">
      <c r="A3584" s="799">
        <v>43986</v>
      </c>
      <c r="B3584">
        <v>9816.9138276164995</v>
      </c>
      <c r="C3584">
        <v>43765.725787000003</v>
      </c>
      <c r="D3584">
        <v>1.7049890000000001</v>
      </c>
      <c r="E3584">
        <f>LN(D3584/参数实验室!$E$53)/参数实验室!$E$55</f>
        <v>-6.3500734999982059E-2</v>
      </c>
      <c r="F3584">
        <f t="shared" si="498"/>
        <v>4.4581959825174629</v>
      </c>
      <c r="G3584">
        <f>LN(F3584/参数实验室!$E$58)/参数实验室!$E$59</f>
        <v>0.59399250997934772</v>
      </c>
      <c r="H3584" s="856">
        <f>INDEX(神经网络!$G$10:$BO$70,MATCH(ROUND(G3584*2,1)/2,神经网络!$E$10:$E$70,0),MATCH(ROUND(E3584*2,1)/2,神经网络!$G$8:$BO$8,0))</f>
        <v>1.3733863599387026</v>
      </c>
      <c r="I3584">
        <f t="shared" si="500"/>
        <v>566757.48922536348</v>
      </c>
      <c r="J3584">
        <f t="shared" si="501"/>
        <v>3917.2075446376766</v>
      </c>
      <c r="K3584">
        <f t="shared" si="502"/>
        <v>144.68405943953778</v>
      </c>
      <c r="L3584" s="4">
        <f>MIN(MAX(L3583*(1+MAX(MIN(((B3584-B3583)/B3583)/($K$7*卓尔金历!$N$40),0),-卓尔金历!$M$43))+MIN(MAX(((B3584-B3583)/B3583)/($K$7*卓尔金历!$N$40),0),卓尔金历!$M$43),0),1)</f>
        <v>1</v>
      </c>
      <c r="M3584" s="4">
        <f>MIN(MAX(M3583*(1+MAX(MIN(((B3584-B3583)/B3583)/($K$7*30),0),-卓尔金历!$M$43))+MIN(MAX(((B3584-B3583)/B3583)/($K$7*7),0),卓尔金历!$M$43),0),1)</f>
        <v>1</v>
      </c>
      <c r="N3584">
        <f t="shared" si="503"/>
        <v>185744.56547961518</v>
      </c>
      <c r="O3584">
        <f t="shared" si="504"/>
        <v>526512.01272465813</v>
      </c>
      <c r="P3584">
        <f t="shared" si="505"/>
        <v>2.5943924434256586E-2</v>
      </c>
      <c r="Q3584">
        <f t="shared" si="506"/>
        <v>2.3682682701523038E-2</v>
      </c>
      <c r="R3584">
        <f t="shared" si="507"/>
        <v>2.4629963442572959E-2</v>
      </c>
      <c r="S3584">
        <f t="shared" si="499"/>
        <v>1093.8791015065349</v>
      </c>
      <c r="T3584" s="564">
        <f>IF((I3584-MAX(I$470:I3584))/MAX(I$470:I3584)&gt;T3583,T3583,(I3584-MAX(I$470:I3584))/MAX(I$470:I3584))</f>
        <v>-0.91338805338419748</v>
      </c>
      <c r="U3584" s="564">
        <f>IF((J3584-MAX(J$470:J3584))/MAX(J$470:J3584)&gt;U3583,U3583,(J3584-MAX(J$470:J3584))/MAX(J$470:J3584))</f>
        <v>-0.83569785939843477</v>
      </c>
      <c r="V3584" s="564">
        <f>IF((K3584-MAX(K$470:K3584))/MAX(K$470:K3584)&gt;V3583,V3583,(K3584-MAX(K$470:K3584))/MAX(K$470:K3584))</f>
        <v>-0.84885940676762139</v>
      </c>
      <c r="W3584" s="564">
        <f>IF((N3584-MAX(N$470:N3584))/MAX(N$470:N3584)&gt;W3583,W3583,(N3584-MAX(N$470:N3584))/MAX(N$470:N3584))</f>
        <v>-0.62788758315546067</v>
      </c>
      <c r="X3584" s="564">
        <f>IF((O3584-MAX(O$470:O3584))/MAX(O$470:O3584)&gt;X3583,X3583,(O3584-MAX(O$470:O3584))/MAX(O$470:O3584))</f>
        <v>-0.62788758315546067</v>
      </c>
    </row>
    <row r="3585" spans="1:24">
      <c r="A3585" s="799">
        <v>43987</v>
      </c>
      <c r="B3585">
        <v>9712.5656538911007</v>
      </c>
      <c r="C3585">
        <v>47462.267940999998</v>
      </c>
      <c r="D3585">
        <v>1.674912</v>
      </c>
      <c r="E3585">
        <f>LN(D3585/参数实验室!$E$53)/参数实验室!$E$55</f>
        <v>-8.4498021599771114E-2</v>
      </c>
      <c r="F3585">
        <f t="shared" si="498"/>
        <v>4.8866869612341208</v>
      </c>
      <c r="G3585">
        <f>LN(F3585/参数实验室!$E$58)/参数实验室!$E$59</f>
        <v>0.6421585570066195</v>
      </c>
      <c r="H3585" s="856">
        <f>INDEX(神经网络!$G$10:$BO$70,MATCH(ROUND(G3585*2,1)/2,神经网络!$E$10:$E$70,0),MATCH(ROUND(E3585*2,1)/2,神经网络!$G$8:$BO$8,0))</f>
        <v>1.3169099422699642</v>
      </c>
      <c r="I3585">
        <f t="shared" si="500"/>
        <v>558483.78728830046</v>
      </c>
      <c r="J3585">
        <f t="shared" si="501"/>
        <v>3875.5698710710199</v>
      </c>
      <c r="K3585">
        <f t="shared" si="502"/>
        <v>144.10365594414185</v>
      </c>
      <c r="L3585" s="4">
        <f>MIN(MAX(L3584*(1+MAX(MIN(((B3585-B3584)/B3584)/($K$7*卓尔金历!$N$40),0),-卓尔金历!$M$43))+MIN(MAX(((B3585-B3584)/B3584)/($K$7*卓尔金历!$N$40),0),卓尔金历!$M$43),0),1)</f>
        <v>0.8375925482214619</v>
      </c>
      <c r="M3585" s="4">
        <f>MIN(MAX(M3584*(1+MAX(MIN(((B3585-B3584)/B3584)/($K$7*30),0),-卓尔金历!$M$43))+MIN(MAX(((B3585-B3584)/B3584)/($K$7*7),0),卓尔金历!$M$43),0),1)</f>
        <v>0.91879627411073095</v>
      </c>
      <c r="N3585">
        <f t="shared" si="503"/>
        <v>183033.00859607387</v>
      </c>
      <c r="O3585">
        <f t="shared" si="504"/>
        <v>518825.82675908582</v>
      </c>
      <c r="P3585">
        <f t="shared" si="505"/>
        <v>-1.0629427491952833E-2</v>
      </c>
      <c r="Q3585">
        <f t="shared" si="506"/>
        <v>2.3042750813444736E-2</v>
      </c>
      <c r="R3585">
        <f t="shared" si="507"/>
        <v>0.81573145224190535</v>
      </c>
      <c r="S3585">
        <f t="shared" si="499"/>
        <v>1093.4857908658528</v>
      </c>
      <c r="T3585" s="564">
        <f>IF((I3585-MAX(I$470:I3585))/MAX(I$470:I3585)&gt;T3584,T3584,(I3585-MAX(I$470:I3585))/MAX(I$470:I3585))</f>
        <v>-0.91338805338419748</v>
      </c>
      <c r="U3585" s="564">
        <f>IF((J3585-MAX(J$470:J3585))/MAX(J$470:J3585)&gt;U3584,U3584,(J3585-MAX(J$470:J3585))/MAX(J$470:J3585))</f>
        <v>-0.83569785939843477</v>
      </c>
      <c r="V3585" s="564">
        <f>IF((K3585-MAX(K$470:K3585))/MAX(K$470:K3585)&gt;V3584,V3584,(K3585-MAX(K$470:K3585))/MAX(K$470:K3585))</f>
        <v>-0.84885940676762139</v>
      </c>
      <c r="W3585" s="564">
        <f>IF((N3585-MAX(N$470:N3585))/MAX(N$470:N3585)&gt;W3584,W3584,(N3585-MAX(N$470:N3585))/MAX(N$470:N3585))</f>
        <v>-0.62788758315546067</v>
      </c>
      <c r="X3585" s="564">
        <f>IF((O3585-MAX(O$470:O3585))/MAX(O$470:O3585)&gt;X3584,X3584,(O3585-MAX(O$470:O3585))/MAX(O$470:O3585))</f>
        <v>-0.62788758315546067</v>
      </c>
    </row>
    <row r="3586" spans="1:24">
      <c r="A3586" s="799">
        <v>43988</v>
      </c>
      <c r="B3586">
        <v>9658.5343996447009</v>
      </c>
      <c r="C3586">
        <v>50556.430881</v>
      </c>
      <c r="D3586">
        <v>1.67896</v>
      </c>
      <c r="E3586">
        <f>LN(D3586/参数实验室!$E$53)/参数实验室!$E$55</f>
        <v>-8.1650182773131644E-2</v>
      </c>
      <c r="F3586">
        <f t="shared" si="498"/>
        <v>5.2343791292869204</v>
      </c>
      <c r="G3586">
        <f>LN(F3586/参数实验室!$E$58)/参数实验室!$E$59</f>
        <v>0.67823370502019054</v>
      </c>
      <c r="H3586" s="856">
        <f>INDEX(神经网络!$G$10:$BO$70,MATCH(ROUND(G3586*2,1)/2,神经网络!$E$10:$E$70,0),MATCH(ROUND(E3586*2,1)/2,神经网络!$G$8:$BO$8,0))</f>
        <v>1.3490577669405461</v>
      </c>
      <c r="I3586">
        <f t="shared" si="500"/>
        <v>554392.33276660542</v>
      </c>
      <c r="J3586">
        <f t="shared" si="501"/>
        <v>3854.0099755176102</v>
      </c>
      <c r="K3586">
        <f t="shared" si="502"/>
        <v>143.8481831360979</v>
      </c>
      <c r="L3586" s="4">
        <f>MIN(MAX(L3585*(1+MAX(MIN(((B3586-B3585)/B3585)/($K$7*卓尔金历!$N$40),0),-卓尔金历!$M$43))+MIN(MAX(((B3586-B3585)/B3585)/($K$7*卓尔金历!$N$40),0),卓尔金历!$M$43),0),1)</f>
        <v>0.7663991103889739</v>
      </c>
      <c r="M3586" s="4">
        <f>MIN(MAX(M3585*(1+MAX(MIN(((B3586-B3585)/B3585)/($K$7*30),0),-卓尔金历!$M$43))+MIN(MAX(((B3586-B3585)/B3585)/($K$7*7),0),卓尔金历!$M$43),0),1)</f>
        <v>0.87974849034013758</v>
      </c>
      <c r="N3586">
        <f t="shared" si="503"/>
        <v>181909.88026784259</v>
      </c>
      <c r="O3586">
        <f t="shared" si="504"/>
        <v>515333.55549642909</v>
      </c>
      <c r="P3586">
        <f t="shared" si="505"/>
        <v>-5.5630258957120714E-3</v>
      </c>
      <c r="Q3586">
        <f t="shared" si="506"/>
        <v>2.2912541224649689E-2</v>
      </c>
      <c r="R3586">
        <f t="shared" si="507"/>
        <v>1</v>
      </c>
      <c r="S3586">
        <f t="shared" si="499"/>
        <v>1086.9510629481927</v>
      </c>
      <c r="T3586" s="564">
        <f>IF((I3586-MAX(I$470:I3586))/MAX(I$470:I3586)&gt;T3585,T3585,(I3586-MAX(I$470:I3586))/MAX(I$470:I3586))</f>
        <v>-0.91338805338419748</v>
      </c>
      <c r="U3586" s="564">
        <f>IF((J3586-MAX(J$470:J3586))/MAX(J$470:J3586)&gt;U3585,U3585,(J3586-MAX(J$470:J3586))/MAX(J$470:J3586))</f>
        <v>-0.83569785939843477</v>
      </c>
      <c r="V3586" s="564">
        <f>IF((K3586-MAX(K$470:K3586))/MAX(K$470:K3586)&gt;V3585,V3585,(K3586-MAX(K$470:K3586))/MAX(K$470:K3586))</f>
        <v>-0.84885940676762139</v>
      </c>
      <c r="W3586" s="564">
        <f>IF((N3586-MAX(N$470:N3586))/MAX(N$470:N3586)&gt;W3585,W3585,(N3586-MAX(N$470:N3586))/MAX(N$470:N3586))</f>
        <v>-0.62788758315546067</v>
      </c>
      <c r="X3586" s="564">
        <f>IF((O3586-MAX(O$470:O3586))/MAX(O$470:O3586)&gt;X3585,X3585,(O3586-MAX(O$470:O3586))/MAX(O$470:O3586))</f>
        <v>-0.62788758315546067</v>
      </c>
    </row>
    <row r="3587" spans="1:24">
      <c r="A3587" s="799">
        <v>43989</v>
      </c>
      <c r="B3587">
        <v>9483.0932048716004</v>
      </c>
      <c r="C3587">
        <v>54535.334182999999</v>
      </c>
      <c r="D3587">
        <v>1.692105</v>
      </c>
      <c r="E3587">
        <f>LN(D3587/参数实验室!$E$53)/参数实验室!$E$55</f>
        <v>-7.2449568135437889E-2</v>
      </c>
      <c r="F3587">
        <f t="shared" si="498"/>
        <v>5.7507959697142299</v>
      </c>
      <c r="G3587">
        <f>LN(F3587/参数实验室!$E$58)/参数实验室!$E$59</f>
        <v>0.72761724156355201</v>
      </c>
      <c r="H3587" s="856">
        <f>INDEX(神经网络!$G$10:$BO$70,MATCH(ROUND(G3587*2,1)/2,神经网络!$E$10:$E$70,0),MATCH(ROUND(E3587*2,1)/2,神经网络!$G$8:$BO$8,0))</f>
        <v>1.4702779603978742</v>
      </c>
      <c r="I3587">
        <f t="shared" si="500"/>
        <v>540807.06798590056</v>
      </c>
      <c r="J3587">
        <f t="shared" si="501"/>
        <v>3784.0043114287473</v>
      </c>
      <c r="K3587">
        <f t="shared" si="502"/>
        <v>142.91925258977972</v>
      </c>
      <c r="L3587" s="4">
        <f>MIN(MAX(L3586*(1+MAX(MIN(((B3587-B3586)/B3586)/($K$7*卓尔金历!$N$40),0),-卓尔金历!$M$43))+MIN(MAX(((B3587-B3586)/B3586)/($K$7*卓尔金历!$N$40),0),卓尔金历!$M$43),0),1)</f>
        <v>0.55369718766537901</v>
      </c>
      <c r="M3587" s="4">
        <f>MIN(MAX(M3586*(1+MAX(MIN(((B3587-B3586)/B3586)/($K$7*30),0),-卓尔金历!$M$43))+MIN(MAX(((B3587-B3586)/B3586)/($K$7*7),0),卓尔金历!$M$43),0),1)</f>
        <v>0.75766836728678799</v>
      </c>
      <c r="N3587">
        <f t="shared" si="503"/>
        <v>178493.53172438915</v>
      </c>
      <c r="O3587">
        <f t="shared" si="504"/>
        <v>504223.97028606676</v>
      </c>
      <c r="P3587">
        <f t="shared" si="505"/>
        <v>-1.8164370236084089E-2</v>
      </c>
      <c r="Q3587">
        <f t="shared" si="506"/>
        <v>2.0796963381902418E-2</v>
      </c>
      <c r="R3587">
        <f t="shared" si="507"/>
        <v>0.16135862766715769</v>
      </c>
      <c r="S3587">
        <f t="shared" si="499"/>
        <v>1060.3155611184147</v>
      </c>
      <c r="T3587" s="564">
        <f>IF((I3587-MAX(I$470:I3587))/MAX(I$470:I3587)&gt;T3586,T3586,(I3587-MAX(I$470:I3587))/MAX(I$470:I3587))</f>
        <v>-0.91338805338419748</v>
      </c>
      <c r="U3587" s="564">
        <f>IF((J3587-MAX(J$470:J3587))/MAX(J$470:J3587)&gt;U3586,U3586,(J3587-MAX(J$470:J3587))/MAX(J$470:J3587))</f>
        <v>-0.83569785939843477</v>
      </c>
      <c r="V3587" s="564">
        <f>IF((K3587-MAX(K$470:K3587))/MAX(K$470:K3587)&gt;V3586,V3586,(K3587-MAX(K$470:K3587))/MAX(K$470:K3587))</f>
        <v>-0.84885940676762139</v>
      </c>
      <c r="W3587" s="564">
        <f>IF((N3587-MAX(N$470:N3587))/MAX(N$470:N3587)&gt;W3586,W3586,(N3587-MAX(N$470:N3587))/MAX(N$470:N3587))</f>
        <v>-0.62788758315546067</v>
      </c>
      <c r="X3587" s="564">
        <f>IF((O3587-MAX(O$470:O3587))/MAX(O$470:O3587)&gt;X3586,X3586,(O3587-MAX(O$470:O3587))/MAX(O$470:O3587))</f>
        <v>-0.62788758315546067</v>
      </c>
    </row>
    <row r="3588" spans="1:24">
      <c r="A3588" s="799">
        <v>43990</v>
      </c>
      <c r="B3588">
        <v>9712.2392334708002</v>
      </c>
      <c r="C3588">
        <v>58741.776819999999</v>
      </c>
      <c r="D3588">
        <v>1.6929369999999999</v>
      </c>
      <c r="E3588">
        <f>LN(D3588/参数实验室!$E$53)/参数实验室!$E$55</f>
        <v>-7.186963162726423E-2</v>
      </c>
      <c r="F3588">
        <f t="shared" si="498"/>
        <v>6.0482217754234444</v>
      </c>
      <c r="G3588">
        <f>LN(F3588/参数实验室!$E$58)/参数实验室!$E$59</f>
        <v>0.75408354869089056</v>
      </c>
      <c r="H3588" s="856">
        <f>INDEX(神经网络!$G$10:$BO$70,MATCH(ROUND(G3588*2,1)/2,神经网络!$E$10:$E$70,0),MATCH(ROUND(E3588*2,1)/2,神经网络!$G$8:$BO$8,0))</f>
        <v>1.4702779603978742</v>
      </c>
      <c r="I3588">
        <f t="shared" si="500"/>
        <v>560020.46344824741</v>
      </c>
      <c r="J3588">
        <f t="shared" si="501"/>
        <v>3875.4396207137711</v>
      </c>
      <c r="K3588">
        <f t="shared" si="502"/>
        <v>144.50501575485879</v>
      </c>
      <c r="L3588" s="4">
        <f>MIN(MAX(L3587*(1+MAX(MIN(((B3588-B3587)/B3587)/($K$7*卓尔金历!$N$40),0),-卓尔金历!$M$43))+MIN(MAX(((B3588-B3587)/B3587)/($K$7*卓尔金历!$N$40),0),卓尔金历!$M$43),0),1)</f>
        <v>0.92289438380845046</v>
      </c>
      <c r="M3588" s="4">
        <f>MIN(MAX(M3587*(1+MAX(MIN(((B3588-B3587)/B3587)/($K$7*30),0),-卓尔金历!$M$43))+MIN(MAX(((B3588-B3587)/B3587)/($K$7*7),0),卓尔金历!$M$43),0),1)</f>
        <v>1</v>
      </c>
      <c r="N3588">
        <f t="shared" si="503"/>
        <v>182004.73977191024</v>
      </c>
      <c r="O3588">
        <f t="shared" si="504"/>
        <v>517796.61267259612</v>
      </c>
      <c r="P3588">
        <f t="shared" si="505"/>
        <v>2.4163637712796514E-2</v>
      </c>
      <c r="Q3588">
        <f t="shared" si="506"/>
        <v>2.1230851343803786E-2</v>
      </c>
      <c r="R3588">
        <f t="shared" si="507"/>
        <v>1.8105970389488742E-2</v>
      </c>
      <c r="S3588">
        <f t="shared" si="499"/>
        <v>1066.3939585066018</v>
      </c>
      <c r="T3588" s="564">
        <f>IF((I3588-MAX(I$470:I3588))/MAX(I$470:I3588)&gt;T3587,T3587,(I3588-MAX(I$470:I3588))/MAX(I$470:I3588))</f>
        <v>-0.91338805338419748</v>
      </c>
      <c r="U3588" s="564">
        <f>IF((J3588-MAX(J$470:J3588))/MAX(J$470:J3588)&gt;U3587,U3587,(J3588-MAX(J$470:J3588))/MAX(J$470:J3588))</f>
        <v>-0.83569785939843477</v>
      </c>
      <c r="V3588" s="564">
        <f>IF((K3588-MAX(K$470:K3588))/MAX(K$470:K3588)&gt;V3587,V3587,(K3588-MAX(K$470:K3588))/MAX(K$470:K3588))</f>
        <v>-0.84885940676762139</v>
      </c>
      <c r="W3588" s="564">
        <f>IF((N3588-MAX(N$470:N3588))/MAX(N$470:N3588)&gt;W3587,W3587,(N3588-MAX(N$470:N3588))/MAX(N$470:N3588))</f>
        <v>-0.62788758315546067</v>
      </c>
      <c r="X3588" s="564">
        <f>IF((O3588-MAX(O$470:O3588))/MAX(O$470:O3588)&gt;X3587,X3587,(O3588-MAX(O$470:O3588))/MAX(O$470:O3588))</f>
        <v>-0.62788758315546067</v>
      </c>
    </row>
    <row r="3589" spans="1:24">
      <c r="A3589" s="799">
        <v>43991</v>
      </c>
      <c r="B3589">
        <v>9719.7015126121005</v>
      </c>
      <c r="C3589">
        <v>66600.970104000007</v>
      </c>
      <c r="D3589">
        <v>1.6935739999999999</v>
      </c>
      <c r="E3589">
        <f>LN(D3589/参数实验室!$E$53)/参数实验室!$E$55</f>
        <v>-7.1425810346144397E-2</v>
      </c>
      <c r="F3589">
        <f t="shared" ref="F3589:F3652" si="508">C3589/B3589</f>
        <v>6.8521620769505986</v>
      </c>
      <c r="G3589">
        <f>LN(F3589/参数实验室!$E$58)/参数实验室!$E$59</f>
        <v>0.81958529480763298</v>
      </c>
      <c r="H3589" s="856">
        <f>INDEX(神经网络!$G$10:$BO$70,MATCH(ROUND(G3589*2,1)/2,神经网络!$E$10:$E$70,0),MATCH(ROUND(E3589*2,1)/2,神经网络!$G$8:$BO$8,0))</f>
        <v>1.493238880812757</v>
      </c>
      <c r="I3589">
        <f t="shared" si="500"/>
        <v>560653.10172257444</v>
      </c>
      <c r="J3589">
        <f t="shared" si="501"/>
        <v>3878.4172669135637</v>
      </c>
      <c r="K3589">
        <f t="shared" si="502"/>
        <v>144.55718999228284</v>
      </c>
      <c r="L3589" s="4">
        <f>MIN(MAX(L3588*(1+MAX(MIN(((B3589-B3588)/B3588)/($K$7*卓尔金历!$N$40),0),-卓尔金历!$M$43))+MIN(MAX(((B3589-B3588)/B3588)/($K$7*卓尔金历!$N$40),0),卓尔金历!$M$43),0),1)</f>
        <v>0.93463384589589038</v>
      </c>
      <c r="M3589" s="4">
        <f>MIN(MAX(M3588*(1+MAX(MIN(((B3589-B3588)/B3588)/($K$7*30),0),-卓尔金历!$M$43))+MIN(MAX(((B3589-B3588)/B3588)/($K$7*7),0),卓尔金历!$M$43),0),1)</f>
        <v>1</v>
      </c>
      <c r="N3589">
        <f t="shared" si="503"/>
        <v>182194.49173059079</v>
      </c>
      <c r="O3589">
        <f t="shared" si="504"/>
        <v>518381.55193263059</v>
      </c>
      <c r="P3589">
        <f t="shared" si="505"/>
        <v>7.6833765745631943E-4</v>
      </c>
      <c r="Q3589">
        <f t="shared" si="506"/>
        <v>2.1227522178906503E-2</v>
      </c>
      <c r="R3589">
        <f t="shared" si="507"/>
        <v>1</v>
      </c>
      <c r="S3589">
        <f t="shared" si="499"/>
        <v>1066.4157702835632</v>
      </c>
      <c r="T3589" s="564">
        <f>IF((I3589-MAX(I$470:I3589))/MAX(I$470:I3589)&gt;T3588,T3588,(I3589-MAX(I$470:I3589))/MAX(I$470:I3589))</f>
        <v>-0.91338805338419748</v>
      </c>
      <c r="U3589" s="564">
        <f>IF((J3589-MAX(J$470:J3589))/MAX(J$470:J3589)&gt;U3588,U3588,(J3589-MAX(J$470:J3589))/MAX(J$470:J3589))</f>
        <v>-0.83569785939843477</v>
      </c>
      <c r="V3589" s="564">
        <f>IF((K3589-MAX(K$470:K3589))/MAX(K$470:K3589)&gt;V3588,V3588,(K3589-MAX(K$470:K3589))/MAX(K$470:K3589))</f>
        <v>-0.84885940676762139</v>
      </c>
      <c r="W3589" s="564">
        <f>IF((N3589-MAX(N$470:N3589))/MAX(N$470:N3589)&gt;W3588,W3588,(N3589-MAX(N$470:N3589))/MAX(N$470:N3589))</f>
        <v>-0.62788758315546067</v>
      </c>
      <c r="X3589" s="564">
        <f>IF((O3589-MAX(O$470:O3589))/MAX(O$470:O3589)&gt;X3588,X3588,(O3589-MAX(O$470:O3589))/MAX(O$470:O3589))</f>
        <v>-0.62788758315546067</v>
      </c>
    </row>
    <row r="3590" spans="1:24">
      <c r="A3590" s="799">
        <v>43992</v>
      </c>
      <c r="B3590">
        <v>9774.5239716239994</v>
      </c>
      <c r="C3590">
        <v>72959.133868000004</v>
      </c>
      <c r="D3590">
        <v>1.7112860000000001</v>
      </c>
      <c r="E3590">
        <f>LN(D3590/参数实验室!$E$53)/参数实验室!$E$55</f>
        <v>-5.915160350992886E-2</v>
      </c>
      <c r="F3590">
        <f t="shared" si="508"/>
        <v>7.4642135084843551</v>
      </c>
      <c r="G3590">
        <f>LN(F3590/参数实验室!$E$58)/参数实验室!$E$59</f>
        <v>0.8644896202409692</v>
      </c>
      <c r="H3590" s="856">
        <f>INDEX(神经网络!$G$10:$BO$70,MATCH(ROUND(G3590*2,1)/2,神经网络!$E$10:$E$70,0),MATCH(ROUND(E3590*2,1)/2,神经网络!$G$8:$BO$8,0))</f>
        <v>1.512507021809582</v>
      </c>
      <c r="I3590">
        <f t="shared" si="500"/>
        <v>565375.13563833619</v>
      </c>
      <c r="J3590">
        <f t="shared" si="501"/>
        <v>3900.2928740369421</v>
      </c>
      <c r="K3590">
        <f t="shared" si="502"/>
        <v>144.95709781228629</v>
      </c>
      <c r="L3590" s="4">
        <f>MIN(MAX(L3589*(1+MAX(MIN(((B3590-B3589)/B3589)/($K$7*卓尔金历!$N$40),0),-卓尔金历!$M$43))+MIN(MAX(((B3590-B3589)/B3589)/($K$7*卓尔金历!$N$40),0),卓尔金历!$M$43),0),1)</f>
        <v>1</v>
      </c>
      <c r="M3590" s="4">
        <f>MIN(MAX(M3589*(1+MAX(MIN(((B3590-B3589)/B3589)/($K$7*30),0),-卓尔金历!$M$43))+MIN(MAX(((B3590-B3589)/B3589)/($K$7*7),0),卓尔金历!$M$43),0),1)</f>
        <v>1</v>
      </c>
      <c r="N3590">
        <f t="shared" si="503"/>
        <v>183628.69801057159</v>
      </c>
      <c r="O3590">
        <f t="shared" si="504"/>
        <v>522747.55875933031</v>
      </c>
      <c r="P3590">
        <f t="shared" si="505"/>
        <v>5.64034388718237E-3</v>
      </c>
      <c r="Q3590">
        <f t="shared" si="506"/>
        <v>2.0296989002225891E-2</v>
      </c>
      <c r="R3590">
        <f t="shared" si="507"/>
        <v>1</v>
      </c>
      <c r="S3590">
        <f t="shared" si="499"/>
        <v>1075.3975299850802</v>
      </c>
      <c r="T3590" s="564">
        <f>IF((I3590-MAX(I$470:I3590))/MAX(I$470:I3590)&gt;T3589,T3589,(I3590-MAX(I$470:I3590))/MAX(I$470:I3590))</f>
        <v>-0.91338805338419748</v>
      </c>
      <c r="U3590" s="564">
        <f>IF((J3590-MAX(J$470:J3590))/MAX(J$470:J3590)&gt;U3589,U3589,(J3590-MAX(J$470:J3590))/MAX(J$470:J3590))</f>
        <v>-0.83569785939843477</v>
      </c>
      <c r="V3590" s="564">
        <f>IF((K3590-MAX(K$470:K3590))/MAX(K$470:K3590)&gt;V3589,V3589,(K3590-MAX(K$470:K3590))/MAX(K$470:K3590))</f>
        <v>-0.84885940676762139</v>
      </c>
      <c r="W3590" s="564">
        <f>IF((N3590-MAX(N$470:N3590))/MAX(N$470:N3590)&gt;W3589,W3589,(N3590-MAX(N$470:N3590))/MAX(N$470:N3590))</f>
        <v>-0.62788758315546067</v>
      </c>
      <c r="X3590" s="564">
        <f>IF((O3590-MAX(O$470:O3590))/MAX(O$470:O3590)&gt;X3589,X3589,(O3590-MAX(O$470:O3590))/MAX(O$470:O3590))</f>
        <v>-0.62788758315546067</v>
      </c>
    </row>
    <row r="3591" spans="1:24">
      <c r="A3591" s="799">
        <v>43993</v>
      </c>
      <c r="B3591">
        <v>9532.5403509355001</v>
      </c>
      <c r="C3591">
        <v>70925.846116000001</v>
      </c>
      <c r="D3591">
        <v>1.6065199999999999</v>
      </c>
      <c r="E3591">
        <f>LN(D3591/参数实验室!$E$53)/参数实验室!$E$55</f>
        <v>-0.13368226191475924</v>
      </c>
      <c r="F3591">
        <f t="shared" si="508"/>
        <v>7.4403929597884693</v>
      </c>
      <c r="G3591">
        <f>LN(F3591/参数实验室!$E$58)/参数实验室!$E$59</f>
        <v>0.86281197488176542</v>
      </c>
      <c r="H3591" s="856">
        <f>INDEX(神经网络!$G$10:$BO$70,MATCH(ROUND(G3591*2,1)/2,神经网络!$E$10:$E$70,0),MATCH(ROUND(E3591*2,1)/2,神经网络!$G$8:$BO$8,0))</f>
        <v>1.3258096011007201</v>
      </c>
      <c r="I3591">
        <f t="shared" si="500"/>
        <v>544204.96010361752</v>
      </c>
      <c r="J3591">
        <f t="shared" si="501"/>
        <v>3803.7350269085364</v>
      </c>
      <c r="K3591">
        <f t="shared" si="502"/>
        <v>143.07120665708331</v>
      </c>
      <c r="L3591" s="4">
        <f>MIN(MAX(L3590*(1+MAX(MIN(((B3591-B3590)/B3590)/($K$7*卓尔金历!$N$40),0),-卓尔金历!$M$43))+MIN(MAX(((B3591-B3590)/B3590)/($K$7*卓尔金历!$N$40),0),卓尔金历!$M$43),0),1)</f>
        <v>0.62174347103302763</v>
      </c>
      <c r="M3591" s="4">
        <f>MIN(MAX(M3590*(1+MAX(MIN(((B3591-B3590)/B3590)/($K$7*30),0),-卓尔金历!$M$43))+MIN(MAX(((B3591-B3590)/B3590)/($K$7*7),0),卓尔金历!$M$43),0),1)</f>
        <v>0.81087173551651381</v>
      </c>
      <c r="N3591">
        <f t="shared" si="503"/>
        <v>176752.81768784299</v>
      </c>
      <c r="O3591">
        <f t="shared" si="504"/>
        <v>503173.55049172958</v>
      </c>
      <c r="P3591">
        <f t="shared" si="505"/>
        <v>-2.4756563224049739E-2</v>
      </c>
      <c r="Q3591">
        <f t="shared" si="506"/>
        <v>1.9587240239688389E-2</v>
      </c>
      <c r="R3591">
        <f t="shared" si="507"/>
        <v>1.554318475692003E-2</v>
      </c>
      <c r="S3591">
        <f t="shared" si="499"/>
        <v>1035.1298332925423</v>
      </c>
      <c r="T3591" s="564">
        <f>IF((I3591-MAX(I$470:I3591))/MAX(I$470:I3591)&gt;T3590,T3590,(I3591-MAX(I$470:I3591))/MAX(I$470:I3591))</f>
        <v>-0.91338805338419748</v>
      </c>
      <c r="U3591" s="564">
        <f>IF((J3591-MAX(J$470:J3591))/MAX(J$470:J3591)&gt;U3590,U3590,(J3591-MAX(J$470:J3591))/MAX(J$470:J3591))</f>
        <v>-0.83569785939843477</v>
      </c>
      <c r="V3591" s="564">
        <f>IF((K3591-MAX(K$470:K3591))/MAX(K$470:K3591)&gt;V3590,V3590,(K3591-MAX(K$470:K3591))/MAX(K$470:K3591))</f>
        <v>-0.84885940676762139</v>
      </c>
      <c r="W3591" s="564">
        <f>IF((N3591-MAX(N$470:N3591))/MAX(N$470:N3591)&gt;W3590,W3590,(N3591-MAX(N$470:N3591))/MAX(N$470:N3591))</f>
        <v>-0.62788758315546067</v>
      </c>
      <c r="X3591" s="564">
        <f>IF((O3591-MAX(O$470:O3591))/MAX(O$470:O3591)&gt;X3590,X3590,(O3591-MAX(O$470:O3591))/MAX(O$470:O3591))</f>
        <v>-0.62788758315546067</v>
      </c>
    </row>
    <row r="3592" spans="1:24">
      <c r="A3592" s="799">
        <v>43994</v>
      </c>
      <c r="B3592">
        <v>9422.0892427862</v>
      </c>
      <c r="C3592">
        <v>68718.491710000002</v>
      </c>
      <c r="D3592">
        <v>1.6369560000000001</v>
      </c>
      <c r="E3592">
        <f>LN(D3592/参数实验室!$E$53)/参数实验室!$E$55</f>
        <v>-0.11154056965742228</v>
      </c>
      <c r="F3592">
        <f t="shared" si="508"/>
        <v>7.2933390821587363</v>
      </c>
      <c r="G3592">
        <f>LN(F3592/参数实验室!$E$58)/参数实验室!$E$59</f>
        <v>0.85233474005809584</v>
      </c>
      <c r="H3592" s="856">
        <f>INDEX(神经网络!$G$10:$BO$70,MATCH(ROUND(G3592*2,1)/2,神经网络!$E$10:$E$70,0),MATCH(ROUND(E3592*2,1)/2,神经网络!$G$8:$BO$8,0))</f>
        <v>1.4186657341838287</v>
      </c>
      <c r="I3592">
        <f t="shared" si="500"/>
        <v>535844.98314052192</v>
      </c>
      <c r="J3592">
        <f t="shared" si="501"/>
        <v>3759.6621215379205</v>
      </c>
      <c r="K3592">
        <f t="shared" si="502"/>
        <v>142.5247710614299</v>
      </c>
      <c r="L3592" s="4">
        <f>MIN(MAX(L3591*(1+MAX(MIN(((B3592-B3591)/B3591)/($K$7*卓尔金历!$N$40),0),-卓尔金历!$M$43))+MIN(MAX(((B3592-B3591)/B3591)/($K$7*卓尔金历!$N$40),0),卓尔金历!$M$43),0),1)</f>
        <v>0.51167352918724307</v>
      </c>
      <c r="M3592" s="4">
        <f>MIN(MAX(M3591*(1+MAX(MIN(((B3592-B3591)/B3591)/($K$7*30),0),-卓尔金历!$M$43))+MIN(MAX(((B3592-B3591)/B3591)/($K$7*7),0),卓尔金历!$M$43),0),1)</f>
        <v>0.73909566634091017</v>
      </c>
      <c r="N3592">
        <f t="shared" si="503"/>
        <v>175064.63219427882</v>
      </c>
      <c r="O3592">
        <f t="shared" si="504"/>
        <v>496905.78770441061</v>
      </c>
      <c r="P3592">
        <f t="shared" si="505"/>
        <v>-1.1586744360170553E-2</v>
      </c>
      <c r="Q3592">
        <f t="shared" si="506"/>
        <v>1.9678516624364116E-2</v>
      </c>
      <c r="R3592">
        <f t="shared" si="507"/>
        <v>0.55962772832503338</v>
      </c>
      <c r="S3592">
        <f t="shared" si="499"/>
        <v>1034.8826737289332</v>
      </c>
      <c r="T3592" s="564">
        <f>IF((I3592-MAX(I$470:I3592))/MAX(I$470:I3592)&gt;T3591,T3591,(I3592-MAX(I$470:I3592))/MAX(I$470:I3592))</f>
        <v>-0.91338805338419748</v>
      </c>
      <c r="U3592" s="564">
        <f>IF((J3592-MAX(J$470:J3592))/MAX(J$470:J3592)&gt;U3591,U3591,(J3592-MAX(J$470:J3592))/MAX(J$470:J3592))</f>
        <v>-0.83569785939843477</v>
      </c>
      <c r="V3592" s="564">
        <f>IF((K3592-MAX(K$470:K3592))/MAX(K$470:K3592)&gt;V3591,V3591,(K3592-MAX(K$470:K3592))/MAX(K$470:K3592))</f>
        <v>-0.84885940676762139</v>
      </c>
      <c r="W3592" s="564">
        <f>IF((N3592-MAX(N$470:N3592))/MAX(N$470:N3592)&gt;W3591,W3591,(N3592-MAX(N$470:N3592))/MAX(N$470:N3592))</f>
        <v>-0.62788758315546067</v>
      </c>
      <c r="X3592" s="564">
        <f>IF((O3592-MAX(O$470:O3592))/MAX(O$470:O3592)&gt;X3591,X3591,(O3592-MAX(O$470:O3592))/MAX(O$470:O3592))</f>
        <v>-0.62788758315546067</v>
      </c>
    </row>
    <row r="3593" spans="1:24">
      <c r="A3593" s="799">
        <v>43995</v>
      </c>
      <c r="B3593">
        <v>9439.9832922965998</v>
      </c>
      <c r="C3593">
        <v>66601.67555</v>
      </c>
      <c r="D3593">
        <v>1.637561</v>
      </c>
      <c r="E3593">
        <f>LN(D3593/参数实验室!$E$53)/参数实验室!$E$55</f>
        <v>-0.11110462706147622</v>
      </c>
      <c r="F3593">
        <f t="shared" si="508"/>
        <v>7.0552747274827921</v>
      </c>
      <c r="G3593">
        <f>LN(F3593/参数实验室!$E$58)/参数实验室!$E$59</f>
        <v>0.83491695910898656</v>
      </c>
      <c r="H3593" s="856">
        <f>INDEX(神经网络!$G$10:$BO$70,MATCH(ROUND(G3593*2,1)/2,神经网络!$E$10:$E$70,0),MATCH(ROUND(E3593*2,1)/2,神经网络!$G$8:$BO$8,0))</f>
        <v>1.4186657341838287</v>
      </c>
      <c r="I3593">
        <f t="shared" si="500"/>
        <v>537288.69548296416</v>
      </c>
      <c r="J3593">
        <f t="shared" si="501"/>
        <v>3766.8023192596393</v>
      </c>
      <c r="K3593">
        <f t="shared" si="502"/>
        <v>142.6378795446233</v>
      </c>
      <c r="L3593" s="4">
        <f>MIN(MAX(L3592*(1+MAX(MIN(((B3593-B3592)/B3592)/($K$7*卓尔金历!$N$40),0),-卓尔金历!$M$43))+MIN(MAX(((B3593-B3592)/B3592)/($K$7*卓尔金历!$N$40),0),卓尔金历!$M$43),0),1)</f>
        <v>0.54069086258742205</v>
      </c>
      <c r="M3593" s="4">
        <f>MIN(MAX(M3592*(1+MAX(MIN(((B3593-B3592)/B3592)/($K$7*30),0),-卓尔金历!$M$43))+MIN(MAX(((B3593-B3592)/B3592)/($K$7*7),0),卓尔金历!$M$43),0),1)</f>
        <v>0.80127566648415094</v>
      </c>
      <c r="N3593">
        <f t="shared" si="503"/>
        <v>175305.97417119503</v>
      </c>
      <c r="O3593">
        <f t="shared" si="504"/>
        <v>497895.2886450066</v>
      </c>
      <c r="P3593">
        <f t="shared" si="505"/>
        <v>1.8991594166973039E-3</v>
      </c>
      <c r="Q3593">
        <f t="shared" si="506"/>
        <v>1.9674973791331929E-2</v>
      </c>
      <c r="R3593">
        <f t="shared" si="507"/>
        <v>1</v>
      </c>
      <c r="S3593">
        <f t="shared" si="499"/>
        <v>1036.4430589954823</v>
      </c>
      <c r="T3593" s="564">
        <f>IF((I3593-MAX(I$470:I3593))/MAX(I$470:I3593)&gt;T3592,T3592,(I3593-MAX(I$470:I3593))/MAX(I$470:I3593))</f>
        <v>-0.91338805338419748</v>
      </c>
      <c r="U3593" s="564">
        <f>IF((J3593-MAX(J$470:J3593))/MAX(J$470:J3593)&gt;U3592,U3592,(J3593-MAX(J$470:J3593))/MAX(J$470:J3593))</f>
        <v>-0.83569785939843477</v>
      </c>
      <c r="V3593" s="564">
        <f>IF((K3593-MAX(K$470:K3593))/MAX(K$470:K3593)&gt;V3592,V3592,(K3593-MAX(K$470:K3593))/MAX(K$470:K3593))</f>
        <v>-0.84885940676762139</v>
      </c>
      <c r="W3593" s="564">
        <f>IF((N3593-MAX(N$470:N3593))/MAX(N$470:N3593)&gt;W3592,W3592,(N3593-MAX(N$470:N3593))/MAX(N$470:N3593))</f>
        <v>-0.62788758315546067</v>
      </c>
      <c r="X3593" s="564">
        <f>IF((O3593-MAX(O$470:O3593))/MAX(O$470:O3593)&gt;X3592,X3592,(O3593-MAX(O$470:O3593))/MAX(O$470:O3593))</f>
        <v>-0.62788758315546067</v>
      </c>
    </row>
    <row r="3594" spans="1:24">
      <c r="A3594" s="799">
        <v>43996</v>
      </c>
      <c r="B3594">
        <v>9435.0926241442994</v>
      </c>
      <c r="C3594">
        <v>64526.546516000002</v>
      </c>
      <c r="D3594">
        <v>1.6168739999999999</v>
      </c>
      <c r="E3594">
        <f>LN(D3594/参数实验室!$E$53)/参数实验室!$E$55</f>
        <v>-0.12610316540977509</v>
      </c>
      <c r="F3594">
        <f t="shared" si="508"/>
        <v>6.8389944949641803</v>
      </c>
      <c r="G3594">
        <f>LN(F3594/参数实验室!$E$58)/参数实验室!$E$59</f>
        <v>0.81857572914563204</v>
      </c>
      <c r="H3594" s="856">
        <f>INDEX(神经网络!$G$10:$BO$70,MATCH(ROUND(G3594*2,1)/2,神经网络!$E$10:$E$70,0),MATCH(ROUND(E3594*2,1)/2,神经网络!$G$8:$BO$8,0))</f>
        <v>1.3064350799782023</v>
      </c>
      <c r="I3594">
        <f t="shared" si="500"/>
        <v>536893.79764852999</v>
      </c>
      <c r="J3594">
        <f t="shared" si="501"/>
        <v>3764.8508136723526</v>
      </c>
      <c r="K3594">
        <f t="shared" si="502"/>
        <v>142.60692500716306</v>
      </c>
      <c r="L3594" s="4">
        <f>MIN(MAX(L3593*(1+MAX(MIN(((B3594-B3593)/B3593)/($K$7*卓尔金历!$N$40),0),-卓尔金历!$M$43))+MIN(MAX(((B3594-B3593)/B3593)/($K$7*卓尔金历!$N$40),0),卓尔金历!$M$43),0),1)</f>
        <v>0.53641087924661701</v>
      </c>
      <c r="M3594" s="4">
        <f>MIN(MAX(M3593*(1+MAX(MIN(((B3594-B3593)/B3593)/($K$7*30),0),-卓尔金历!$M$43))+MIN(MAX(((B3594-B3593)/B3593)/($K$7*7),0),卓尔金历!$M$43),0),1)</f>
        <v>0.79810431040876495</v>
      </c>
      <c r="N3594">
        <f t="shared" si="503"/>
        <v>175236.30786315736</v>
      </c>
      <c r="O3594">
        <f t="shared" si="504"/>
        <v>497602.06632889574</v>
      </c>
      <c r="P3594">
        <f t="shared" si="505"/>
        <v>-5.1808017036336586E-4</v>
      </c>
      <c r="Q3594">
        <f t="shared" si="506"/>
        <v>1.9328522504944337E-2</v>
      </c>
      <c r="R3594">
        <f t="shared" si="507"/>
        <v>1</v>
      </c>
      <c r="S3594">
        <f t="shared" si="499"/>
        <v>1035.6812913965125</v>
      </c>
      <c r="T3594" s="564">
        <f>IF((I3594-MAX(I$470:I3594))/MAX(I$470:I3594)&gt;T3593,T3593,(I3594-MAX(I$470:I3594))/MAX(I$470:I3594))</f>
        <v>-0.91338805338419748</v>
      </c>
      <c r="U3594" s="564">
        <f>IF((J3594-MAX(J$470:J3594))/MAX(J$470:J3594)&gt;U3593,U3593,(J3594-MAX(J$470:J3594))/MAX(J$470:J3594))</f>
        <v>-0.83569785939843477</v>
      </c>
      <c r="V3594" s="564">
        <f>IF((K3594-MAX(K$470:K3594))/MAX(K$470:K3594)&gt;V3593,V3593,(K3594-MAX(K$470:K3594))/MAX(K$470:K3594))</f>
        <v>-0.84885940676762139</v>
      </c>
      <c r="W3594" s="564">
        <f>IF((N3594-MAX(N$470:N3594))/MAX(N$470:N3594)&gt;W3593,W3593,(N3594-MAX(N$470:N3594))/MAX(N$470:N3594))</f>
        <v>-0.62788758315546067</v>
      </c>
      <c r="X3594" s="564">
        <f>IF((O3594-MAX(O$470:O3594))/MAX(O$470:O3594)&gt;X3593,X3593,(O3594-MAX(O$470:O3594))/MAX(O$470:O3594))</f>
        <v>-0.62788758315546067</v>
      </c>
    </row>
    <row r="3595" spans="1:24">
      <c r="A3595" s="799">
        <v>43997</v>
      </c>
      <c r="B3595">
        <v>9307.6214977792006</v>
      </c>
      <c r="C3595">
        <v>63994.201730000001</v>
      </c>
      <c r="D3595">
        <v>1.6332690000000001</v>
      </c>
      <c r="E3595">
        <f>LN(D3595/参数实验室!$E$53)/参数实验室!$E$55</f>
        <v>-0.11420078542457232</v>
      </c>
      <c r="F3595">
        <f t="shared" si="508"/>
        <v>6.8754624095177297</v>
      </c>
      <c r="G3595">
        <f>LN(F3595/参数实验室!$E$58)/参数实验室!$E$59</f>
        <v>0.8213669993565873</v>
      </c>
      <c r="H3595" s="856">
        <f>INDEX(神经网络!$G$10:$BO$70,MATCH(ROUND(G3595*2,1)/2,神经网络!$E$10:$E$70,0),MATCH(ROUND(E3595*2,1)/2,神经网络!$G$8:$BO$8,0))</f>
        <v>1.3993509687588066</v>
      </c>
      <c r="I3595">
        <f t="shared" si="500"/>
        <v>527417.43056141911</v>
      </c>
      <c r="J3595">
        <f t="shared" si="501"/>
        <v>3713.9864721197018</v>
      </c>
      <c r="K3595">
        <f t="shared" si="502"/>
        <v>142.00844147404865</v>
      </c>
      <c r="L3595" s="4">
        <f>MIN(MAX(L3594*(1+MAX(MIN(((B3595-B3594)/B3594)/($K$7*卓尔金历!$N$40),0),-卓尔金历!$M$43))+MIN(MAX(((B3595-B3594)/B3594)/($K$7*卓尔金历!$N$40),0),卓尔金历!$M$43),0),1)</f>
        <v>0.42568240613992109</v>
      </c>
      <c r="M3595" s="4">
        <f>MIN(MAX(M3594*(1+MAX(MIN(((B3595-B3594)/B3594)/($K$7*30),0),-卓尔金历!$M$43))+MIN(MAX(((B3595-B3594)/B3594)/($K$7*7),0),卓尔金历!$M$43),0),1)</f>
        <v>0.71573007538620748</v>
      </c>
      <c r="N3595">
        <f t="shared" si="503"/>
        <v>173577.19794143573</v>
      </c>
      <c r="O3595">
        <f t="shared" si="504"/>
        <v>490592.43268550275</v>
      </c>
      <c r="P3595">
        <f t="shared" si="505"/>
        <v>-1.3510320612953135E-2</v>
      </c>
      <c r="Q3595">
        <f t="shared" si="506"/>
        <v>1.8160554731168562E-2</v>
      </c>
      <c r="R3595">
        <f t="shared" si="507"/>
        <v>0.32084389786547368</v>
      </c>
      <c r="S3595">
        <f t="shared" si="499"/>
        <v>1017.4011470821031</v>
      </c>
      <c r="T3595" s="564">
        <f>IF((I3595-MAX(I$470:I3595))/MAX(I$470:I3595)&gt;T3594,T3594,(I3595-MAX(I$470:I3595))/MAX(I$470:I3595))</f>
        <v>-0.91338805338419748</v>
      </c>
      <c r="U3595" s="564">
        <f>IF((J3595-MAX(J$470:J3595))/MAX(J$470:J3595)&gt;U3594,U3594,(J3595-MAX(J$470:J3595))/MAX(J$470:J3595))</f>
        <v>-0.83569785939843477</v>
      </c>
      <c r="V3595" s="564">
        <f>IF((K3595-MAX(K$470:K3595))/MAX(K$470:K3595)&gt;V3594,V3594,(K3595-MAX(K$470:K3595))/MAX(K$470:K3595))</f>
        <v>-0.84885940676762139</v>
      </c>
      <c r="W3595" s="564">
        <f>IF((N3595-MAX(N$470:N3595))/MAX(N$470:N3595)&gt;W3594,W3594,(N3595-MAX(N$470:N3595))/MAX(N$470:N3595))</f>
        <v>-0.62788758315546067</v>
      </c>
      <c r="X3595" s="564">
        <f>IF((O3595-MAX(O$470:O3595))/MAX(O$470:O3595)&gt;X3594,X3594,(O3595-MAX(O$470:O3595))/MAX(O$470:O3595))</f>
        <v>-0.62788758315546067</v>
      </c>
    </row>
    <row r="3596" spans="1:24">
      <c r="A3596" s="799">
        <v>43998</v>
      </c>
      <c r="B3596">
        <v>9457.8242743385999</v>
      </c>
      <c r="C3596">
        <v>61896.123483000003</v>
      </c>
      <c r="D3596">
        <v>1.6460269999999999</v>
      </c>
      <c r="E3596">
        <f>LN(D3596/参数实验室!$E$53)/参数实验室!$E$55</f>
        <v>-0.10502115185394036</v>
      </c>
      <c r="F3596">
        <f t="shared" si="508"/>
        <v>6.5444357695394473</v>
      </c>
      <c r="G3596">
        <f>LN(F3596/参数实验室!$E$58)/参数实验室!$E$59</f>
        <v>0.79546875204911827</v>
      </c>
      <c r="H3596" s="856">
        <f>INDEX(神经网络!$G$10:$BO$70,MATCH(ROUND(G3596*2,1)/2,神经网络!$E$10:$E$70,0),MATCH(ROUND(E3596*2,1)/2,神经网络!$G$8:$BO$8,0))</f>
        <v>1.3993509687588066</v>
      </c>
      <c r="I3596">
        <f t="shared" si="500"/>
        <v>539327.66686852486</v>
      </c>
      <c r="J3596">
        <f t="shared" si="501"/>
        <v>3773.921341661779</v>
      </c>
      <c r="K3596">
        <f t="shared" si="502"/>
        <v>142.90909058296418</v>
      </c>
      <c r="L3596" s="4">
        <f>MIN(MAX(L3595*(1+MAX(MIN(((B3596-B3595)/B3595)/($K$7*卓尔金历!$N$40),0),-卓尔金历!$M$43))+MIN(MAX(((B3596-B3595)/B3595)/($K$7*卓尔金历!$N$40),0),卓尔金历!$M$43),0),1)</f>
        <v>0.67224961856398202</v>
      </c>
      <c r="M3596" s="4">
        <f>MIN(MAX(M3595*(1+MAX(MIN(((B3596-B3595)/B3595)/($K$7*30),0),-卓尔金历!$M$43))+MIN(MAX(((B3596-B3595)/B3595)/($K$7*7),0),卓尔金历!$M$43),0),1)</f>
        <v>1</v>
      </c>
      <c r="N3596">
        <f t="shared" si="503"/>
        <v>175245.76733705951</v>
      </c>
      <c r="O3596">
        <f t="shared" si="504"/>
        <v>498521.75390293414</v>
      </c>
      <c r="P3596">
        <f t="shared" si="505"/>
        <v>1.6137611160406313E-2</v>
      </c>
      <c r="Q3596">
        <f t="shared" si="506"/>
        <v>1.8267613449907672E-2</v>
      </c>
      <c r="R3596">
        <f t="shared" si="507"/>
        <v>0.1443891381357256</v>
      </c>
      <c r="S3596">
        <f t="shared" si="499"/>
        <v>1024.7725798086735</v>
      </c>
      <c r="T3596" s="564">
        <f>IF((I3596-MAX(I$470:I3596))/MAX(I$470:I3596)&gt;T3595,T3595,(I3596-MAX(I$470:I3596))/MAX(I$470:I3596))</f>
        <v>-0.91338805338419748</v>
      </c>
      <c r="U3596" s="564">
        <f>IF((J3596-MAX(J$470:J3596))/MAX(J$470:J3596)&gt;U3595,U3595,(J3596-MAX(J$470:J3596))/MAX(J$470:J3596))</f>
        <v>-0.83569785939843477</v>
      </c>
      <c r="V3596" s="564">
        <f>IF((K3596-MAX(K$470:K3596))/MAX(K$470:K3596)&gt;V3595,V3595,(K3596-MAX(K$470:K3596))/MAX(K$470:K3596))</f>
        <v>-0.84885940676762139</v>
      </c>
      <c r="W3596" s="564">
        <f>IF((N3596-MAX(N$470:N3596))/MAX(N$470:N3596)&gt;W3595,W3595,(N3596-MAX(N$470:N3596))/MAX(N$470:N3596))</f>
        <v>-0.62788758315546067</v>
      </c>
      <c r="X3596" s="564">
        <f>IF((O3596-MAX(O$470:O3596))/MAX(O$470:O3596)&gt;X3595,X3595,(O3596-MAX(O$470:O3596))/MAX(O$470:O3596))</f>
        <v>-0.62788758315546067</v>
      </c>
    </row>
    <row r="3597" spans="1:24">
      <c r="A3597" s="799">
        <v>43999</v>
      </c>
      <c r="B3597">
        <v>9398.7756559228001</v>
      </c>
      <c r="C3597">
        <v>61477.704937000002</v>
      </c>
      <c r="D3597">
        <v>1.633473</v>
      </c>
      <c r="E3597">
        <f>LN(D3597/参数实验室!$E$53)/参数实验室!$E$55</f>
        <v>-0.1140534400498331</v>
      </c>
      <c r="F3597">
        <f t="shared" si="508"/>
        <v>6.5410333417479505</v>
      </c>
      <c r="G3597">
        <f>LN(F3597/参数实验室!$E$58)/参数实验室!$E$59</f>
        <v>0.7951958114296086</v>
      </c>
      <c r="H3597" s="856">
        <f>INDEX(神经网络!$G$10:$BO$70,MATCH(ROUND(G3597*2,1)/2,神经网络!$E$10:$E$70,0),MATCH(ROUND(E3597*2,1)/2,神经网络!$G$8:$BO$8,0))</f>
        <v>1.3993509687588066</v>
      </c>
      <c r="I3597">
        <f t="shared" si="500"/>
        <v>534615.74747333094</v>
      </c>
      <c r="J3597">
        <f t="shared" si="501"/>
        <v>3750.359385468571</v>
      </c>
      <c r="K3597">
        <f t="shared" si="502"/>
        <v>142.5505378350656</v>
      </c>
      <c r="L3597" s="4">
        <f>MIN(MAX(L3596*(1+MAX(MIN(((B3597-B3596)/B3596)/($K$7*卓尔金历!$N$40),0),-卓尔金历!$M$43))+MIN(MAX(((B3597-B3596)/B3596)/($K$7*卓尔金历!$N$40),0),卓尔金历!$M$43),0),1)</f>
        <v>0.60812199546484302</v>
      </c>
      <c r="M3597" s="4">
        <f>MIN(MAX(M3596*(1+MAX(MIN(((B3597-B3596)/B3596)/($K$7*30),0),-卓尔金历!$M$43))+MIN(MAX(((B3597-B3596)/B3596)/($K$7*7),0),卓尔金历!$M$43),0),1)</f>
        <v>0.95230371179969986</v>
      </c>
      <c r="N3597">
        <f t="shared" si="503"/>
        <v>174216.51169878535</v>
      </c>
      <c r="O3597">
        <f t="shared" si="504"/>
        <v>494166.34166387696</v>
      </c>
      <c r="P3597">
        <f t="shared" si="505"/>
        <v>-6.2433617609087182E-3</v>
      </c>
      <c r="Q3597">
        <f t="shared" si="506"/>
        <v>1.5438115326487152E-2</v>
      </c>
      <c r="R3597">
        <f t="shared" si="507"/>
        <v>0.94012635364813735</v>
      </c>
      <c r="S3597">
        <f t="shared" si="499"/>
        <v>1023.479851755849</v>
      </c>
      <c r="T3597" s="564">
        <f>IF((I3597-MAX(I$470:I3597))/MAX(I$470:I3597)&gt;T3596,T3596,(I3597-MAX(I$470:I3597))/MAX(I$470:I3597))</f>
        <v>-0.91338805338419748</v>
      </c>
      <c r="U3597" s="564">
        <f>IF((J3597-MAX(J$470:J3597))/MAX(J$470:J3597)&gt;U3596,U3596,(J3597-MAX(J$470:J3597))/MAX(J$470:J3597))</f>
        <v>-0.83569785939843477</v>
      </c>
      <c r="V3597" s="564">
        <f>IF((K3597-MAX(K$470:K3597))/MAX(K$470:K3597)&gt;V3596,V3596,(K3597-MAX(K$470:K3597))/MAX(K$470:K3597))</f>
        <v>-0.84885940676762139</v>
      </c>
      <c r="W3597" s="564">
        <f>IF((N3597-MAX(N$470:N3597))/MAX(N$470:N3597)&gt;W3596,W3596,(N3597-MAX(N$470:N3597))/MAX(N$470:N3597))</f>
        <v>-0.62788758315546067</v>
      </c>
      <c r="X3597" s="564">
        <f>IF((O3597-MAX(O$470:O3597))/MAX(O$470:O3597)&gt;X3596,X3596,(O3597-MAX(O$470:O3597))/MAX(O$470:O3597))</f>
        <v>-0.62788758315546067</v>
      </c>
    </row>
    <row r="3598" spans="1:24">
      <c r="A3598" s="799">
        <v>44000</v>
      </c>
      <c r="B3598">
        <v>9391.2962545215996</v>
      </c>
      <c r="C3598">
        <v>61146.540730000001</v>
      </c>
      <c r="D3598">
        <v>1.6193029999999999</v>
      </c>
      <c r="E3598">
        <f>LN(D3598/参数实验室!$E$53)/参数实验室!$E$55</f>
        <v>-0.12433217379359364</v>
      </c>
      <c r="F3598">
        <f t="shared" si="508"/>
        <v>6.5109798554762826</v>
      </c>
      <c r="G3598">
        <f>LN(F3598/参数实验室!$E$58)/参数实验室!$E$59</f>
        <v>0.79277875569771916</v>
      </c>
      <c r="H3598" s="856">
        <f>INDEX(神经网络!$G$10:$BO$70,MATCH(ROUND(G3598*2,1)/2,神经网络!$E$10:$E$70,0),MATCH(ROUND(E3598*2,1)/2,神经网络!$G$8:$BO$8,0))</f>
        <v>1.3993509687588066</v>
      </c>
      <c r="I3598">
        <f t="shared" si="500"/>
        <v>534020.40898842248</v>
      </c>
      <c r="J3598">
        <f t="shared" si="501"/>
        <v>3747.3749070354675</v>
      </c>
      <c r="K3598">
        <f t="shared" si="502"/>
        <v>142.50519956939237</v>
      </c>
      <c r="L3598" s="4">
        <f>MIN(MAX(L3597*(1+MAX(MIN(((B3598-B3597)/B3597)/($K$7*卓尔金历!$N$40),0),-卓尔金历!$M$43))+MIN(MAX(((B3598-B3597)/B3597)/($K$7*卓尔金历!$N$40),0),卓尔金历!$M$43),0),1)</f>
        <v>0.60072794605476054</v>
      </c>
      <c r="M3598" s="4">
        <f>MIN(MAX(M3597*(1+MAX(MIN(((B3598-B3597)/B3597)/($K$7*30),0),-卓尔金历!$M$43))+MIN(MAX(((B3598-B3597)/B3597)/($K$7*7),0),卓尔金历!$M$43),0),1)</f>
        <v>0.94651426432784058</v>
      </c>
      <c r="N3598">
        <f t="shared" si="503"/>
        <v>174098.53337094141</v>
      </c>
      <c r="O3598">
        <f t="shared" si="504"/>
        <v>493642.29392723955</v>
      </c>
      <c r="P3598">
        <f t="shared" si="505"/>
        <v>-7.957846505770329E-4</v>
      </c>
      <c r="Q3598">
        <f t="shared" si="506"/>
        <v>1.293950080180869E-2</v>
      </c>
      <c r="R3598">
        <f t="shared" si="507"/>
        <v>1</v>
      </c>
      <c r="S3598">
        <f t="shared" si="499"/>
        <v>1022.4083627102157</v>
      </c>
      <c r="T3598" s="564">
        <f>IF((I3598-MAX(I$470:I3598))/MAX(I$470:I3598)&gt;T3597,T3597,(I3598-MAX(I$470:I3598))/MAX(I$470:I3598))</f>
        <v>-0.91338805338419748</v>
      </c>
      <c r="U3598" s="564">
        <f>IF((J3598-MAX(J$470:J3598))/MAX(J$470:J3598)&gt;U3597,U3597,(J3598-MAX(J$470:J3598))/MAX(J$470:J3598))</f>
        <v>-0.83569785939843477</v>
      </c>
      <c r="V3598" s="564">
        <f>IF((K3598-MAX(K$470:K3598))/MAX(K$470:K3598)&gt;V3597,V3597,(K3598-MAX(K$470:K3598))/MAX(K$470:K3598))</f>
        <v>-0.84885940676762139</v>
      </c>
      <c r="W3598" s="564">
        <f>IF((N3598-MAX(N$470:N3598))/MAX(N$470:N3598)&gt;W3597,W3597,(N3598-MAX(N$470:N3598))/MAX(N$470:N3598))</f>
        <v>-0.62788758315546067</v>
      </c>
      <c r="X3598" s="564">
        <f>IF((O3598-MAX(O$470:O3598))/MAX(O$470:O3598)&gt;X3597,X3597,(O3598-MAX(O$470:O3598))/MAX(O$470:O3598))</f>
        <v>-0.62788758315546067</v>
      </c>
    </row>
    <row r="3599" spans="1:24">
      <c r="A3599" s="799">
        <v>44001</v>
      </c>
      <c r="B3599">
        <v>9380.9841461936994</v>
      </c>
      <c r="C3599">
        <v>59987.671566999998</v>
      </c>
      <c r="D3599">
        <v>1.601515</v>
      </c>
      <c r="E3599">
        <f>LN(D3599/参数实验室!$E$53)/参数实验室!$E$55</f>
        <v>-0.13736343732390727</v>
      </c>
      <c r="F3599">
        <f t="shared" si="508"/>
        <v>6.3946032348151638</v>
      </c>
      <c r="G3599">
        <f>LN(F3599/参数实验室!$E$58)/参数实验室!$E$59</f>
        <v>0.78331271373088596</v>
      </c>
      <c r="H3599" s="856">
        <f>INDEX(神经网络!$G$10:$BO$70,MATCH(ROUND(G3599*2,1)/2,神经网络!$E$10:$E$70,0),MATCH(ROUND(E3599*2,1)/2,神经网络!$G$8:$BO$8,0))</f>
        <v>1.3064350799782023</v>
      </c>
      <c r="I3599">
        <f t="shared" si="500"/>
        <v>533199.85637396923</v>
      </c>
      <c r="J3599">
        <f t="shared" si="501"/>
        <v>3743.2601038241428</v>
      </c>
      <c r="K3599">
        <f t="shared" si="502"/>
        <v>142.44264133001289</v>
      </c>
      <c r="L3599" s="4">
        <f>MIN(MAX(L3598*(1+MAX(MIN(((B3599-B3598)/B3598)/($K$7*卓尔金历!$N$40),0),-卓尔金历!$M$43))+MIN(MAX(((B3599-B3598)/B3598)/($K$7*卓尔金历!$N$40),0),卓尔金历!$M$43),0),1)</f>
        <v>0.5906494474481413</v>
      </c>
      <c r="M3599" s="4">
        <f>MIN(MAX(M3598*(1+MAX(MIN(((B3599-B3598)/B3598)/($K$7*30),0),-卓尔金历!$M$43))+MIN(MAX(((B3599-B3598)/B3598)/($K$7*7),0),卓尔金历!$M$43),0),1)</f>
        <v>0.93857436178391618</v>
      </c>
      <c r="N3599">
        <f t="shared" si="503"/>
        <v>173937.83128018235</v>
      </c>
      <c r="O3599">
        <f t="shared" si="504"/>
        <v>492924.3540050413</v>
      </c>
      <c r="P3599">
        <f t="shared" si="505"/>
        <v>-1.0980495182371939E-3</v>
      </c>
      <c r="Q3599">
        <f t="shared" si="506"/>
        <v>1.2727259626316776E-2</v>
      </c>
      <c r="R3599">
        <f t="shared" si="507"/>
        <v>1</v>
      </c>
      <c r="S3599">
        <f t="shared" si="499"/>
        <v>1020.8373743342283</v>
      </c>
      <c r="T3599" s="564">
        <f>IF((I3599-MAX(I$470:I3599))/MAX(I$470:I3599)&gt;T3598,T3598,(I3599-MAX(I$470:I3599))/MAX(I$470:I3599))</f>
        <v>-0.91338805338419748</v>
      </c>
      <c r="U3599" s="564">
        <f>IF((J3599-MAX(J$470:J3599))/MAX(J$470:J3599)&gt;U3598,U3598,(J3599-MAX(J$470:J3599))/MAX(J$470:J3599))</f>
        <v>-0.83569785939843477</v>
      </c>
      <c r="V3599" s="564">
        <f>IF((K3599-MAX(K$470:K3599))/MAX(K$470:K3599)&gt;V3598,V3598,(K3599-MAX(K$470:K3599))/MAX(K$470:K3599))</f>
        <v>-0.84885940676762139</v>
      </c>
      <c r="W3599" s="564">
        <f>IF((N3599-MAX(N$470:N3599))/MAX(N$470:N3599)&gt;W3598,W3598,(N3599-MAX(N$470:N3599))/MAX(N$470:N3599))</f>
        <v>-0.62788758315546067</v>
      </c>
      <c r="X3599" s="564">
        <f>IF((O3599-MAX(O$470:O3599))/MAX(O$470:O3599)&gt;X3598,X3598,(O3599-MAX(O$470:O3599))/MAX(O$470:O3599))</f>
        <v>-0.62788758315546067</v>
      </c>
    </row>
    <row r="3600" spans="1:24">
      <c r="A3600" s="799">
        <v>44002</v>
      </c>
      <c r="B3600">
        <v>9261.4525517508991</v>
      </c>
      <c r="C3600">
        <v>59750.018826</v>
      </c>
      <c r="D3600">
        <v>1.613435</v>
      </c>
      <c r="E3600">
        <f>LN(D3600/参数实验室!$E$53)/参数实验室!$E$55</f>
        <v>-0.12861510648958888</v>
      </c>
      <c r="F3600">
        <f t="shared" si="508"/>
        <v>6.4514738365424247</v>
      </c>
      <c r="G3600">
        <f>LN(F3600/参数实验室!$E$58)/参数实验室!$E$59</f>
        <v>0.78795988501715741</v>
      </c>
      <c r="H3600" s="856">
        <f>INDEX(神经网络!$G$10:$BO$70,MATCH(ROUND(G3600*2,1)/2,神经网络!$E$10:$E$70,0),MATCH(ROUND(E3600*2,1)/2,神经网络!$G$8:$BO$8,0))</f>
        <v>1.3064350799782023</v>
      </c>
      <c r="I3600">
        <f t="shared" si="500"/>
        <v>524323.96113216283</v>
      </c>
      <c r="J3600">
        <f t="shared" si="501"/>
        <v>3695.5638449187518</v>
      </c>
      <c r="K3600">
        <f t="shared" si="502"/>
        <v>141.87928639173336</v>
      </c>
      <c r="L3600" s="4">
        <f>MIN(MAX(L3599*(1+MAX(MIN(((B3600-B3599)/B3599)/($K$7*卓尔金历!$N$40),0),-卓尔金历!$M$43))+MIN(MAX(((B3600-B3599)/B3599)/($K$7*卓尔金历!$N$40),0),卓尔金历!$M$43),0),1)</f>
        <v>0.47565941644170701</v>
      </c>
      <c r="M3600" s="4">
        <f>MIN(MAX(M3599*(1+MAX(MIN(((B3600-B3599)/B3599)/($K$7*30),0),-卓尔金历!$M$43))+MIN(MAX(((B3600-B3599)/B3599)/($K$7*7),0),卓尔金历!$M$43),0),1)</f>
        <v>0.84721162926154914</v>
      </c>
      <c r="N3600">
        <f t="shared" si="503"/>
        <v>172227.63484474187</v>
      </c>
      <c r="O3600">
        <f t="shared" si="504"/>
        <v>485222.92871452874</v>
      </c>
      <c r="P3600">
        <f t="shared" si="505"/>
        <v>-1.2741903469829419E-2</v>
      </c>
      <c r="Q3600">
        <f t="shared" si="506"/>
        <v>1.2583634249723535E-2</v>
      </c>
      <c r="R3600">
        <f t="shared" si="507"/>
        <v>1.2568182279074398E-2</v>
      </c>
      <c r="S3600">
        <f t="shared" si="499"/>
        <v>1003.8440359355092</v>
      </c>
      <c r="T3600" s="564">
        <f>IF((I3600-MAX(I$470:I3600))/MAX(I$470:I3600)&gt;T3599,T3599,(I3600-MAX(I$470:I3600))/MAX(I$470:I3600))</f>
        <v>-0.91338805338419748</v>
      </c>
      <c r="U3600" s="564">
        <f>IF((J3600-MAX(J$470:J3600))/MAX(J$470:J3600)&gt;U3599,U3599,(J3600-MAX(J$470:J3600))/MAX(J$470:J3600))</f>
        <v>-0.83569785939843477</v>
      </c>
      <c r="V3600" s="564">
        <f>IF((K3600-MAX(K$470:K3600))/MAX(K$470:K3600)&gt;V3599,V3599,(K3600-MAX(K$470:K3600))/MAX(K$470:K3600))</f>
        <v>-0.84885940676762139</v>
      </c>
      <c r="W3600" s="564">
        <f>IF((N3600-MAX(N$470:N3600))/MAX(N$470:N3600)&gt;W3599,W3599,(N3600-MAX(N$470:N3600))/MAX(N$470:N3600))</f>
        <v>-0.62788758315546067</v>
      </c>
      <c r="X3600" s="564">
        <f>IF((O3600-MAX(O$470:O3600))/MAX(O$470:O3600)&gt;X3599,X3599,(O3600-MAX(O$470:O3600))/MAX(O$470:O3600))</f>
        <v>-0.62788758315546067</v>
      </c>
    </row>
    <row r="3601" spans="1:24">
      <c r="A3601" s="799">
        <v>44003</v>
      </c>
      <c r="B3601">
        <v>9374.1913224168002</v>
      </c>
      <c r="C3601">
        <v>58347.833583</v>
      </c>
      <c r="D3601">
        <v>1.6005860000000001</v>
      </c>
      <c r="E3601">
        <f>LN(D3601/参数实验室!$E$53)/参数实验室!$E$55</f>
        <v>-0.13804798212396216</v>
      </c>
      <c r="F3601">
        <f t="shared" si="508"/>
        <v>6.224305817555801</v>
      </c>
      <c r="G3601">
        <f>LN(F3601/参数实验室!$E$58)/参数实验室!$E$59</f>
        <v>0.76914560714144631</v>
      </c>
      <c r="H3601" s="856">
        <f>INDEX(神经网络!$G$10:$BO$70,MATCH(ROUND(G3601*2,1)/2,神经网络!$E$10:$E$70,0),MATCH(ROUND(E3601*2,1)/2,神经网络!$G$8:$BO$8,0))</f>
        <v>1.283353527998385</v>
      </c>
      <c r="I3601">
        <f t="shared" si="500"/>
        <v>532662.3419793559</v>
      </c>
      <c r="J3601">
        <f t="shared" si="501"/>
        <v>3740.5495879720615</v>
      </c>
      <c r="K3601">
        <f t="shared" si="502"/>
        <v>142.40216028472403</v>
      </c>
      <c r="L3601" s="4">
        <f>MIN(MAX(L3600*(1+MAX(MIN(((B3601-B3600)/B3600)/($K$7*卓尔金历!$N$40),0),-卓尔金历!$M$43))+MIN(MAX(((B3601-B3600)/B3600)/($K$7*卓尔金历!$N$40),0),卓尔金历!$M$43),0),1)</f>
        <v>0.6616497045574059</v>
      </c>
      <c r="M3601" s="4">
        <f>MIN(MAX(M3600*(1+MAX(MIN(((B3601-B3600)/B3600)/($K$7*30),0),-卓尔金历!$M$43))+MIN(MAX(((B3601-B3600)/B3600)/($K$7*7),0),卓尔金历!$M$43),0),1)</f>
        <v>1</v>
      </c>
      <c r="N3601">
        <f t="shared" si="503"/>
        <v>173530.44446992213</v>
      </c>
      <c r="O3601">
        <f t="shared" si="504"/>
        <v>491760.48205726082</v>
      </c>
      <c r="P3601">
        <f t="shared" si="505"/>
        <v>1.2172903768166205E-2</v>
      </c>
      <c r="Q3601">
        <f t="shared" si="506"/>
        <v>1.2855299738233012E-2</v>
      </c>
      <c r="R3601">
        <f t="shared" si="507"/>
        <v>6.7813670207892321E-2</v>
      </c>
      <c r="S3601">
        <f t="shared" si="499"/>
        <v>1004.0446774216755</v>
      </c>
      <c r="T3601" s="564">
        <f>IF((I3601-MAX(I$470:I3601))/MAX(I$470:I3601)&gt;T3600,T3600,(I3601-MAX(I$470:I3601))/MAX(I$470:I3601))</f>
        <v>-0.91338805338419748</v>
      </c>
      <c r="U3601" s="564">
        <f>IF((J3601-MAX(J$470:J3601))/MAX(J$470:J3601)&gt;U3600,U3600,(J3601-MAX(J$470:J3601))/MAX(J$470:J3601))</f>
        <v>-0.83569785939843477</v>
      </c>
      <c r="V3601" s="564">
        <f>IF((K3601-MAX(K$470:K3601))/MAX(K$470:K3601)&gt;V3600,V3600,(K3601-MAX(K$470:K3601))/MAX(K$470:K3601))</f>
        <v>-0.84885940676762139</v>
      </c>
      <c r="W3601" s="564">
        <f>IF((N3601-MAX(N$470:N3601))/MAX(N$470:N3601)&gt;W3600,W3600,(N3601-MAX(N$470:N3601))/MAX(N$470:N3601))</f>
        <v>-0.62788758315546067</v>
      </c>
      <c r="X3601" s="564">
        <f>IF((O3601-MAX(O$470:O3601))/MAX(O$470:O3601)&gt;X3600,X3600,(O3601-MAX(O$470:O3601))/MAX(O$470:O3601))</f>
        <v>-0.62788758315546067</v>
      </c>
    </row>
    <row r="3602" spans="1:24">
      <c r="A3602" s="799">
        <v>44004</v>
      </c>
      <c r="B3602">
        <v>9495.5138786430998</v>
      </c>
      <c r="C3602">
        <v>57414.332036</v>
      </c>
      <c r="D3602">
        <v>1.66795</v>
      </c>
      <c r="E3602">
        <f>LN(D3602/参数实验室!$E$53)/参数实验室!$E$55</f>
        <v>-8.9412046743259269E-2</v>
      </c>
      <c r="F3602">
        <f t="shared" si="508"/>
        <v>6.046469182161256</v>
      </c>
      <c r="G3602">
        <f>LN(F3602/参数实验室!$E$58)/参数实验室!$E$59</f>
        <v>0.75393143969212384</v>
      </c>
      <c r="H3602" s="856">
        <f>INDEX(神经网络!$G$10:$BO$70,MATCH(ROUND(G3602*2,1)/2,神经网络!$E$10:$E$70,0),MATCH(ROUND(E3602*2,1)/2,神经网络!$G$8:$BO$8,0))</f>
        <v>1.3763380156967051</v>
      </c>
      <c r="I3602">
        <f t="shared" si="500"/>
        <v>541509.5459964833</v>
      </c>
      <c r="J3602">
        <f t="shared" si="501"/>
        <v>3788.9604878668379</v>
      </c>
      <c r="K3602">
        <f t="shared" si="502"/>
        <v>142.91770730534853</v>
      </c>
      <c r="L3602" s="4">
        <f>MIN(MAX(L3601*(1+MAX(MIN(((B3602-B3601)/B3601)/($K$7*卓尔金历!$N$40),0),-卓尔金历!$M$43))+MIN(MAX(((B3602-B3601)/B3601)/($K$7*卓尔金历!$N$40),0),卓尔金历!$M$43),0),1)</f>
        <v>0.85939393345503157</v>
      </c>
      <c r="M3602" s="4">
        <f>MIN(MAX(M3601*(1+MAX(MIN(((B3602-B3601)/B3601)/($K$7*30),0),-卓尔金历!$M$43))+MIN(MAX(((B3602-B3601)/B3601)/($K$7*7),0),卓尔金历!$M$43),0),1)</f>
        <v>1</v>
      </c>
      <c r="N3602">
        <f t="shared" si="503"/>
        <v>175437.47589693961</v>
      </c>
      <c r="O3602">
        <f t="shared" si="504"/>
        <v>499928.33055984962</v>
      </c>
      <c r="P3602">
        <f t="shared" si="505"/>
        <v>1.2942189043675391E-2</v>
      </c>
      <c r="Q3602">
        <f t="shared" si="506"/>
        <v>1.3091875205790202E-2</v>
      </c>
      <c r="R3602">
        <f t="shared" si="507"/>
        <v>2.4502508705093927E-2</v>
      </c>
      <c r="S3602">
        <f t="shared" si="499"/>
        <v>1005.175577765541</v>
      </c>
      <c r="T3602" s="564">
        <f>IF((I3602-MAX(I$470:I3602))/MAX(I$470:I3602)&gt;T3601,T3601,(I3602-MAX(I$470:I3602))/MAX(I$470:I3602))</f>
        <v>-0.91338805338419748</v>
      </c>
      <c r="U3602" s="564">
        <f>IF((J3602-MAX(J$470:J3602))/MAX(J$470:J3602)&gt;U3601,U3601,(J3602-MAX(J$470:J3602))/MAX(J$470:J3602))</f>
        <v>-0.83569785939843477</v>
      </c>
      <c r="V3602" s="564">
        <f>IF((K3602-MAX(K$470:K3602))/MAX(K$470:K3602)&gt;V3601,V3601,(K3602-MAX(K$470:K3602))/MAX(K$470:K3602))</f>
        <v>-0.84885940676762139</v>
      </c>
      <c r="W3602" s="564">
        <f>IF((N3602-MAX(N$470:N3602))/MAX(N$470:N3602)&gt;W3601,W3601,(N3602-MAX(N$470:N3602))/MAX(N$470:N3602))</f>
        <v>-0.62788758315546067</v>
      </c>
      <c r="X3602" s="564">
        <f>IF((O3602-MAX(O$470:O3602))/MAX(O$470:O3602)&gt;X3601,X3601,(O3602-MAX(O$470:O3602))/MAX(O$470:O3602))</f>
        <v>-0.62788758315546067</v>
      </c>
    </row>
    <row r="3603" spans="1:24">
      <c r="A3603" s="799">
        <v>44005</v>
      </c>
      <c r="B3603">
        <v>9658.9635312918999</v>
      </c>
      <c r="C3603">
        <v>55822.725852000003</v>
      </c>
      <c r="D3603">
        <v>1.654539</v>
      </c>
      <c r="E3603">
        <f>LN(D3603/参数实验室!$E$53)/参数实验室!$E$55</f>
        <v>-9.8936085307173696E-2</v>
      </c>
      <c r="F3603">
        <f t="shared" si="508"/>
        <v>5.7793701851293395</v>
      </c>
      <c r="G3603">
        <f>LN(F3603/参数实验室!$E$58)/参数实验室!$E$59</f>
        <v>0.73021864782073598</v>
      </c>
      <c r="H3603" s="856">
        <f>INDEX(神经网络!$G$10:$BO$70,MATCH(ROUND(G3603*2,1)/2,神经网络!$E$10:$E$70,0),MATCH(ROUND(E3603*2,1)/2,神经网络!$G$8:$BO$8,0))</f>
        <v>1.3763380156967051</v>
      </c>
      <c r="I3603">
        <f t="shared" si="500"/>
        <v>554338.66257923725</v>
      </c>
      <c r="J3603">
        <f t="shared" si="501"/>
        <v>3854.1812103634657</v>
      </c>
      <c r="K3603">
        <f t="shared" si="502"/>
        <v>143.82786701587412</v>
      </c>
      <c r="L3603" s="4">
        <f>MIN(MAX(L3602*(1+MAX(MIN(((B3603-B3602)/B3602)/($K$7*卓尔金历!$N$40),0),-卓尔金历!$M$43))+MIN(MAX(((B3603-B3602)/B3602)/($K$7*卓尔金历!$N$40),0),卓尔金历!$M$43),0),1)</f>
        <v>1</v>
      </c>
      <c r="M3603" s="4">
        <f>MIN(MAX(M3602*(1+MAX(MIN(((B3603-B3602)/B3602)/($K$7*30),0),-卓尔金历!$M$43))+MIN(MAX(((B3603-B3602)/B3602)/($K$7*7),0),卓尔金历!$M$43),0),1)</f>
        <v>1</v>
      </c>
      <c r="N3603">
        <f t="shared" si="503"/>
        <v>179009.42521984634</v>
      </c>
      <c r="O3603">
        <f t="shared" si="504"/>
        <v>511772.33014063543</v>
      </c>
      <c r="P3603">
        <f t="shared" si="505"/>
        <v>1.7213355141992265E-2</v>
      </c>
      <c r="Q3603">
        <f t="shared" si="506"/>
        <v>1.3516051864992589E-2</v>
      </c>
      <c r="R3603">
        <f t="shared" si="507"/>
        <v>9.9261610928435134E-3</v>
      </c>
      <c r="S3603">
        <f t="shared" si="499"/>
        <v>1005.7590807949429</v>
      </c>
      <c r="T3603" s="564">
        <f>IF((I3603-MAX(I$470:I3603))/MAX(I$470:I3603)&gt;T3602,T3602,(I3603-MAX(I$470:I3603))/MAX(I$470:I3603))</f>
        <v>-0.91338805338419748</v>
      </c>
      <c r="U3603" s="564">
        <f>IF((J3603-MAX(J$470:J3603))/MAX(J$470:J3603)&gt;U3602,U3602,(J3603-MAX(J$470:J3603))/MAX(J$470:J3603))</f>
        <v>-0.83569785939843477</v>
      </c>
      <c r="V3603" s="564">
        <f>IF((K3603-MAX(K$470:K3603))/MAX(K$470:K3603)&gt;V3602,V3602,(K3603-MAX(K$470:K3603))/MAX(K$470:K3603))</f>
        <v>-0.84885940676762139</v>
      </c>
      <c r="W3603" s="564">
        <f>IF((N3603-MAX(N$470:N3603))/MAX(N$470:N3603)&gt;W3602,W3602,(N3603-MAX(N$470:N3603))/MAX(N$470:N3603))</f>
        <v>-0.62788758315546067</v>
      </c>
      <c r="X3603" s="564">
        <f>IF((O3603-MAX(O$470:O3603))/MAX(O$470:O3603)&gt;X3602,X3602,(O3603-MAX(O$470:O3603))/MAX(O$470:O3603))</f>
        <v>-0.62788758315546067</v>
      </c>
    </row>
    <row r="3604" spans="1:24">
      <c r="A3604" s="799">
        <v>44006</v>
      </c>
      <c r="B3604">
        <v>9195.3709662587007</v>
      </c>
      <c r="C3604">
        <v>55310.457561000003</v>
      </c>
      <c r="D3604">
        <v>1.600438</v>
      </c>
      <c r="E3604">
        <f>LN(D3604/参数实验室!$E$53)/参数实验室!$E$55</f>
        <v>-0.13815707438958236</v>
      </c>
      <c r="F3604">
        <f t="shared" si="508"/>
        <v>6.0150327554978507</v>
      </c>
      <c r="G3604">
        <f>LN(F3604/参数实验室!$E$58)/参数实验室!$E$59</f>
        <v>0.75119553282407792</v>
      </c>
      <c r="H3604" s="856">
        <f>INDEX(神经网络!$G$10:$BO$70,MATCH(ROUND(G3604*2,1)/2,神经网络!$E$10:$E$70,0),MATCH(ROUND(E3604*2,1)/2,神经网络!$G$8:$BO$8,0))</f>
        <v>1.283353527998385</v>
      </c>
      <c r="I3604">
        <f t="shared" si="500"/>
        <v>517719.68526506302</v>
      </c>
      <c r="J3604">
        <f t="shared" si="501"/>
        <v>3669.1955493630276</v>
      </c>
      <c r="K3604">
        <f t="shared" si="502"/>
        <v>141.09896251098942</v>
      </c>
      <c r="L3604" s="4">
        <f>MIN(MAX(L3603*(1+MAX(MIN(((B3604-B3603)/B3603)/($K$7*卓尔金历!$N$40),0),-卓尔金历!$M$43))+MIN(MAX(((B3604-B3603)/B3603)/($K$7*卓尔金历!$N$40),0),卓尔金历!$M$43),0),1)</f>
        <v>0.26666567336593905</v>
      </c>
      <c r="M3604" s="4">
        <f>MIN(MAX(M3603*(1+MAX(MIN(((B3604-B3603)/B3603)/($K$7*30),0),-卓尔金历!$M$43))+MIN(MAX(((B3604-B3603)/B3603)/($K$7*7),0),卓尔金历!$M$43),0),1)</f>
        <v>0.63333283668296958</v>
      </c>
      <c r="N3604">
        <f t="shared" si="503"/>
        <v>167184.2675614412</v>
      </c>
      <c r="O3604">
        <f t="shared" si="504"/>
        <v>477965.23600751918</v>
      </c>
      <c r="P3604">
        <f t="shared" si="505"/>
        <v>-4.7996098497660761E-2</v>
      </c>
      <c r="Q3604">
        <f t="shared" si="506"/>
        <v>1.6919669290427621E-2</v>
      </c>
      <c r="R3604">
        <f t="shared" si="507"/>
        <v>0</v>
      </c>
      <c r="S3604">
        <f t="shared" si="499"/>
        <v>1005.0995936672443</v>
      </c>
      <c r="T3604" s="564">
        <f>IF((I3604-MAX(I$470:I3604))/MAX(I$470:I3604)&gt;T3603,T3603,(I3604-MAX(I$470:I3604))/MAX(I$470:I3604))</f>
        <v>-0.91338805338419748</v>
      </c>
      <c r="U3604" s="564">
        <f>IF((J3604-MAX(J$470:J3604))/MAX(J$470:J3604)&gt;U3603,U3603,(J3604-MAX(J$470:J3604))/MAX(J$470:J3604))</f>
        <v>-0.83569785939843477</v>
      </c>
      <c r="V3604" s="564">
        <f>IF((K3604-MAX(K$470:K3604))/MAX(K$470:K3604)&gt;V3603,V3603,(K3604-MAX(K$470:K3604))/MAX(K$470:K3604))</f>
        <v>-0.84885940676762139</v>
      </c>
      <c r="W3604" s="564">
        <f>IF((N3604-MAX(N$470:N3604))/MAX(N$470:N3604)&gt;W3603,W3603,(N3604-MAX(N$470:N3604))/MAX(N$470:N3604))</f>
        <v>-0.62788758315546067</v>
      </c>
      <c r="X3604" s="564">
        <f>IF((O3604-MAX(O$470:O3604))/MAX(O$470:O3604)&gt;X3603,X3603,(O3604-MAX(O$470:O3604))/MAX(O$470:O3604))</f>
        <v>-0.62788758315546067</v>
      </c>
    </row>
    <row r="3605" spans="1:24">
      <c r="A3605" s="799">
        <v>44007</v>
      </c>
      <c r="B3605">
        <v>9211.9083658648997</v>
      </c>
      <c r="C3605">
        <v>54695.240102999996</v>
      </c>
      <c r="D3605">
        <v>1.5928359999999999</v>
      </c>
      <c r="E3605">
        <f>LN(D3605/参数实验室!$E$53)/参数实验室!$E$55</f>
        <v>-0.14377419406260594</v>
      </c>
      <c r="F3605">
        <f t="shared" si="508"/>
        <v>5.937449432918311</v>
      </c>
      <c r="G3605">
        <f>LN(F3605/参数实验室!$E$58)/参数实验室!$E$59</f>
        <v>0.74438180295845946</v>
      </c>
      <c r="H3605" s="856">
        <f>INDEX(神经网络!$G$10:$BO$70,MATCH(ROUND(G3605*2,1)/2,神经网络!$E$10:$E$70,0),MATCH(ROUND(E3605*2,1)/2,神经网络!$G$8:$BO$8,0))</f>
        <v>1.283353527998385</v>
      </c>
      <c r="I3605">
        <f t="shared" si="500"/>
        <v>518914.60560430103</v>
      </c>
      <c r="J3605">
        <f t="shared" si="501"/>
        <v>3675.794407990456</v>
      </c>
      <c r="K3605">
        <f t="shared" si="502"/>
        <v>141.17073699124262</v>
      </c>
      <c r="L3605" s="4">
        <f>MIN(MAX(L3604*(1+MAX(MIN(((B3605-B3604)/B3604)/($K$7*卓尔金历!$N$40),0),-卓尔金历!$M$43))+MIN(MAX(((B3605-B3604)/B3604)/($K$7*卓尔金历!$N$40),0),卓尔金历!$M$43),0),1)</f>
        <v>0.29414423808667339</v>
      </c>
      <c r="M3605" s="4">
        <f>MIN(MAX(M3604*(1+MAX(MIN(((B3605-B3604)/B3604)/($K$7*30),0),-卓尔金历!$M$43))+MIN(MAX(((B3605-B3604)/B3604)/($K$7*7),0),卓尔金历!$M$43),0),1)</f>
        <v>0.6922154753702574</v>
      </c>
      <c r="N3605">
        <f t="shared" si="503"/>
        <v>167287.16552895511</v>
      </c>
      <c r="O3605">
        <f t="shared" si="504"/>
        <v>478663.90680411755</v>
      </c>
      <c r="P3605">
        <f t="shared" si="505"/>
        <v>1.7984483352418237E-3</v>
      </c>
      <c r="Q3605">
        <f t="shared" si="506"/>
        <v>1.5780818824614712E-2</v>
      </c>
      <c r="R3605">
        <f t="shared" si="507"/>
        <v>1</v>
      </c>
      <c r="S3605">
        <f t="shared" si="499"/>
        <v>1005.0995936672443</v>
      </c>
      <c r="T3605" s="564">
        <f>IF((I3605-MAX(I$470:I3605))/MAX(I$470:I3605)&gt;T3604,T3604,(I3605-MAX(I$470:I3605))/MAX(I$470:I3605))</f>
        <v>-0.91338805338419748</v>
      </c>
      <c r="U3605" s="564">
        <f>IF((J3605-MAX(J$470:J3605))/MAX(J$470:J3605)&gt;U3604,U3604,(J3605-MAX(J$470:J3605))/MAX(J$470:J3605))</f>
        <v>-0.83569785939843477</v>
      </c>
      <c r="V3605" s="564">
        <f>IF((K3605-MAX(K$470:K3605))/MAX(K$470:K3605)&gt;V3604,V3604,(K3605-MAX(K$470:K3605))/MAX(K$470:K3605))</f>
        <v>-0.84885940676762139</v>
      </c>
      <c r="W3605" s="564">
        <f>IF((N3605-MAX(N$470:N3605))/MAX(N$470:N3605)&gt;W3604,W3604,(N3605-MAX(N$470:N3605))/MAX(N$470:N3605))</f>
        <v>-0.62788758315546067</v>
      </c>
      <c r="X3605" s="564">
        <f>IF((O3605-MAX(O$470:O3605))/MAX(O$470:O3605)&gt;X3604,X3604,(O3605-MAX(O$470:O3605))/MAX(O$470:O3605))</f>
        <v>-0.62788758315546067</v>
      </c>
    </row>
    <row r="3606" spans="1:24">
      <c r="A3606" s="799">
        <v>44008</v>
      </c>
      <c r="B3606">
        <v>9124.3883240175001</v>
      </c>
      <c r="C3606">
        <v>53768.972100999999</v>
      </c>
      <c r="D3606">
        <v>1.573696</v>
      </c>
      <c r="E3606">
        <f>LN(D3606/参数实验室!$E$53)/参数实验室!$E$55</f>
        <v>-0.15803632821609717</v>
      </c>
      <c r="F3606">
        <f t="shared" si="508"/>
        <v>5.8928851109358895</v>
      </c>
      <c r="G3606">
        <f>LN(F3606/参数实验室!$E$58)/参数实验室!$E$59</f>
        <v>0.74042758254025909</v>
      </c>
      <c r="H3606" s="856">
        <f>INDEX(神经网络!$G$10:$BO$70,MATCH(ROUND(G3606*2,1)/2,神经网络!$E$10:$E$70,0),MATCH(ROUND(E3606*2,1)/2,神经网络!$G$8:$BO$8,0))</f>
        <v>1.283353527998385</v>
      </c>
      <c r="I3606">
        <f t="shared" si="500"/>
        <v>512587.57243901264</v>
      </c>
      <c r="J3606">
        <f t="shared" si="501"/>
        <v>3640.8716028959266</v>
      </c>
      <c r="K3606">
        <f t="shared" si="502"/>
        <v>140.78705001058088</v>
      </c>
      <c r="L3606" s="4">
        <f>MIN(MAX(L3605*(1+MAX(MIN(((B3606-B3605)/B3605)/($K$7*卓尔金历!$N$40),0),-卓尔金历!$M$43))+MIN(MAX(((B3606-B3605)/B3605)/($K$7*卓尔金历!$N$40),0),卓尔金历!$M$43),0),1)</f>
        <v>0.2514455696828013</v>
      </c>
      <c r="M3606" s="4">
        <f>MIN(MAX(M3605*(1+MAX(MIN(((B3606-B3605)/B3605)/($K$7*30),0),-卓尔金历!$M$43))+MIN(MAX(((B3606-B3605)/B3605)/($K$7*7),0),卓尔金历!$M$43),0),1)</f>
        <v>0.64197366332742889</v>
      </c>
      <c r="N3606">
        <f t="shared" si="503"/>
        <v>166687.19877637946</v>
      </c>
      <c r="O3606">
        <f t="shared" si="504"/>
        <v>474623.95483629173</v>
      </c>
      <c r="P3606">
        <f t="shared" si="505"/>
        <v>-9.5007503734740456E-3</v>
      </c>
      <c r="Q3606">
        <f t="shared" si="506"/>
        <v>1.5756300062154709E-2</v>
      </c>
      <c r="R3606">
        <f t="shared" si="507"/>
        <v>0.52963336093360014</v>
      </c>
      <c r="S3606">
        <f t="shared" si="499"/>
        <v>992.84459372145398</v>
      </c>
      <c r="T3606" s="564">
        <f>IF((I3606-MAX(I$470:I3606))/MAX(I$470:I3606)&gt;T3605,T3605,(I3606-MAX(I$470:I3606))/MAX(I$470:I3606))</f>
        <v>-0.91338805338419748</v>
      </c>
      <c r="U3606" s="564">
        <f>IF((J3606-MAX(J$470:J3606))/MAX(J$470:J3606)&gt;U3605,U3605,(J3606-MAX(J$470:J3606))/MAX(J$470:J3606))</f>
        <v>-0.83569785939843477</v>
      </c>
      <c r="V3606" s="564">
        <f>IF((K3606-MAX(K$470:K3606))/MAX(K$470:K3606)&gt;V3605,V3605,(K3606-MAX(K$470:K3606))/MAX(K$470:K3606))</f>
        <v>-0.84885940676762139</v>
      </c>
      <c r="W3606" s="564">
        <f>IF((N3606-MAX(N$470:N3606))/MAX(N$470:N3606)&gt;W3605,W3605,(N3606-MAX(N$470:N3606))/MAX(N$470:N3606))</f>
        <v>-0.62788758315546067</v>
      </c>
      <c r="X3606" s="564">
        <f>IF((O3606-MAX(O$470:O3606))/MAX(O$470:O3606)&gt;X3605,X3605,(O3606-MAX(O$470:O3606))/MAX(O$470:O3606))</f>
        <v>-0.62788758315546067</v>
      </c>
    </row>
    <row r="3607" spans="1:24">
      <c r="A3607" s="799">
        <v>44009</v>
      </c>
      <c r="B3607">
        <v>9111.4974596939992</v>
      </c>
      <c r="C3607">
        <v>53528.596444000003</v>
      </c>
      <c r="D3607">
        <v>1.546791</v>
      </c>
      <c r="E3607">
        <f>LN(D3607/参数实验室!$E$53)/参数实验室!$E$55</f>
        <v>-0.17838061909775527</v>
      </c>
      <c r="F3607">
        <f t="shared" si="508"/>
        <v>5.8748407362007553</v>
      </c>
      <c r="G3607">
        <f>LN(F3607/参数实验室!$E$58)/参数实验室!$E$59</f>
        <v>0.73881798174223268</v>
      </c>
      <c r="H3607" s="856">
        <f>INDEX(神经网络!$G$10:$BO$70,MATCH(ROUND(G3607*2,1)/2,神经网络!$E$10:$E$70,0),MATCH(ROUND(E3607*2,1)/2,神经网络!$G$8:$BO$8,0))</f>
        <v>1.1930983585035391</v>
      </c>
      <c r="I3607">
        <f t="shared" si="500"/>
        <v>511658.19385893212</v>
      </c>
      <c r="J3607">
        <f t="shared" si="501"/>
        <v>3635.7278080260089</v>
      </c>
      <c r="K3607">
        <f t="shared" si="502"/>
        <v>140.7306104514829</v>
      </c>
      <c r="L3607" s="4">
        <f>MIN(MAX(L3606*(1+MAX(MIN(((B3607-B3606)/B3606)/($K$7*卓尔金历!$N$40),0),-卓尔金历!$M$43))+MIN(MAX(((B3607-B3606)/B3606)/($K$7*卓尔金历!$N$40),0),卓尔金历!$M$43),0),1)</f>
        <v>0.24601783833192023</v>
      </c>
      <c r="M3607" s="4">
        <f>MIN(MAX(M3606*(1+MAX(MIN(((B3607-B3606)/B3606)/($K$7*30),0),-卓尔金历!$M$43))+MIN(MAX(((B3607-B3606)/B3606)/($K$7*7),0),卓尔金历!$M$43),0),1)</f>
        <v>0.63504480674968544</v>
      </c>
      <c r="N3607">
        <f t="shared" si="503"/>
        <v>166611.20626058072</v>
      </c>
      <c r="O3607">
        <f t="shared" si="504"/>
        <v>474071.50677770987</v>
      </c>
      <c r="P3607">
        <f t="shared" si="505"/>
        <v>-1.4127921637847359E-3</v>
      </c>
      <c r="Q3607">
        <f t="shared" si="506"/>
        <v>1.5746990373807803E-2</v>
      </c>
      <c r="R3607">
        <f t="shared" si="507"/>
        <v>1</v>
      </c>
      <c r="S3607">
        <f t="shared" ref="S3607:S3670" si="509">S3606*(1+(B3607-B3606)/B3606*H3606*R3606)</f>
        <v>991.8911804467258</v>
      </c>
      <c r="T3607" s="564">
        <f>IF((I3607-MAX(I$470:I3607))/MAX(I$470:I3607)&gt;T3606,T3606,(I3607-MAX(I$470:I3607))/MAX(I$470:I3607))</f>
        <v>-0.91338805338419748</v>
      </c>
      <c r="U3607" s="564">
        <f>IF((J3607-MAX(J$470:J3607))/MAX(J$470:J3607)&gt;U3606,U3606,(J3607-MAX(J$470:J3607))/MAX(J$470:J3607))</f>
        <v>-0.83569785939843477</v>
      </c>
      <c r="V3607" s="564">
        <f>IF((K3607-MAX(K$470:K3607))/MAX(K$470:K3607)&gt;V3606,V3606,(K3607-MAX(K$470:K3607))/MAX(K$470:K3607))</f>
        <v>-0.84885940676762139</v>
      </c>
      <c r="W3607" s="564">
        <f>IF((N3607-MAX(N$470:N3607))/MAX(N$470:N3607)&gt;W3606,W3606,(N3607-MAX(N$470:N3607))/MAX(N$470:N3607))</f>
        <v>-0.62788758315546067</v>
      </c>
      <c r="X3607" s="564">
        <f>IF((O3607-MAX(O$470:O3607))/MAX(O$470:O3607)&gt;X3606,X3606,(O3607-MAX(O$470:O3607))/MAX(O$470:O3607))</f>
        <v>-0.62788758315546067</v>
      </c>
    </row>
    <row r="3608" spans="1:24">
      <c r="A3608" s="799">
        <v>44010</v>
      </c>
      <c r="B3608">
        <v>9113.4842782767992</v>
      </c>
      <c r="C3608">
        <v>52731.744442000003</v>
      </c>
      <c r="D3608">
        <v>1.564864</v>
      </c>
      <c r="E3608">
        <f>LN(D3608/参数实验室!$E$53)/参数实验室!$E$55</f>
        <v>-0.16467606628341711</v>
      </c>
      <c r="F3608">
        <f t="shared" si="508"/>
        <v>5.7861233784857813</v>
      </c>
      <c r="G3608">
        <f>LN(F3608/参数实验室!$E$58)/参数实验室!$E$59</f>
        <v>0.73083158166919981</v>
      </c>
      <c r="H3608" s="856">
        <f>INDEX(神经网络!$G$10:$BO$70,MATCH(ROUND(G3608*2,1)/2,神经网络!$E$10:$E$70,0),MATCH(ROUND(E3608*2,1)/2,神经网络!$G$8:$BO$8,0))</f>
        <v>1.283353527998385</v>
      </c>
      <c r="I3608">
        <f t="shared" ref="I3608:I3671" si="510">I3607*(1+(B3608-B3607)/B3607*H3607)</f>
        <v>511791.30813558475</v>
      </c>
      <c r="J3608">
        <f t="shared" ref="J3608:J3671" si="511">J3607*B3608/B3607</f>
        <v>3636.5206010441648</v>
      </c>
      <c r="K3608">
        <f t="shared" ref="K3608:K3671" si="512">I3608/J3608</f>
        <v>140.73653480434913</v>
      </c>
      <c r="L3608" s="4">
        <f>MIN(MAX(L3607*(1+MAX(MIN(((B3608-B3607)/B3607)/($K$7*卓尔金历!$N$40),0),-卓尔金历!$M$43))+MIN(MAX(((B3608-B3607)/B3607)/($K$7*卓尔金历!$N$40),0),卓尔金历!$M$43),0),1)</f>
        <v>0.24934952793314177</v>
      </c>
      <c r="M3608" s="4">
        <f>MIN(MAX(M3607*(1+MAX(MIN(((B3608-B3607)/B3607)/($K$7*30),0),-卓尔金历!$M$43))+MIN(MAX(((B3608-B3607)/B3607)/($K$7*7),0),卓尔金历!$M$43),0),1)</f>
        <v>0.64218414160944581</v>
      </c>
      <c r="N3608">
        <f t="shared" ref="N3608:N3671" si="513">N3607*(1+(B3608-B3607)/B3607*H3607*L3607)</f>
        <v>166621.87014697987</v>
      </c>
      <c r="O3608">
        <f t="shared" ref="O3608:O3671" si="514">O3607*(1+(B3608-B3607)/B3607*H3607*M3607)</f>
        <v>474149.8304290559</v>
      </c>
      <c r="P3608">
        <f t="shared" ref="P3608:P3671" si="515">(B3608-B3607)/B3607</f>
        <v>2.1805620772973305E-4</v>
      </c>
      <c r="Q3608">
        <f t="shared" si="506"/>
        <v>1.5366403792058224E-2</v>
      </c>
      <c r="R3608">
        <f t="shared" si="507"/>
        <v>1</v>
      </c>
      <c r="S3608">
        <f t="shared" si="509"/>
        <v>992.14923333943432</v>
      </c>
      <c r="T3608" s="564">
        <f>IF((I3608-MAX(I$470:I3608))/MAX(I$470:I3608)&gt;T3607,T3607,(I3608-MAX(I$470:I3608))/MAX(I$470:I3608))</f>
        <v>-0.91338805338419748</v>
      </c>
      <c r="U3608" s="564">
        <f>IF((J3608-MAX(J$470:J3608))/MAX(J$470:J3608)&gt;U3607,U3607,(J3608-MAX(J$470:J3608))/MAX(J$470:J3608))</f>
        <v>-0.83569785939843477</v>
      </c>
      <c r="V3608" s="564">
        <f>IF((K3608-MAX(K$470:K3608))/MAX(K$470:K3608)&gt;V3607,V3607,(K3608-MAX(K$470:K3608))/MAX(K$470:K3608))</f>
        <v>-0.84885940676762139</v>
      </c>
      <c r="W3608" s="564">
        <f>IF((N3608-MAX(N$470:N3608))/MAX(N$470:N3608)&gt;W3607,W3607,(N3608-MAX(N$470:N3608))/MAX(N$470:N3608))</f>
        <v>-0.62788758315546067</v>
      </c>
      <c r="X3608" s="564">
        <f>IF((O3608-MAX(O$470:O3608))/MAX(O$470:O3608)&gt;X3607,X3607,(O3608-MAX(O$470:O3608))/MAX(O$470:O3608))</f>
        <v>-0.62788758315546067</v>
      </c>
    </row>
    <row r="3609" spans="1:24">
      <c r="A3609" s="799">
        <v>44011</v>
      </c>
      <c r="B3609">
        <v>9127.7850176516004</v>
      </c>
      <c r="C3609">
        <v>53123.242324999999</v>
      </c>
      <c r="D3609">
        <v>1.5775250000000001</v>
      </c>
      <c r="E3609">
        <f>LN(D3609/参数实验室!$E$53)/参数实验室!$E$55</f>
        <v>-0.15516932688910712</v>
      </c>
      <c r="F3609">
        <f t="shared" si="508"/>
        <v>5.8199488947503237</v>
      </c>
      <c r="G3609">
        <f>LN(F3609/参数实验室!$E$58)/参数实验室!$E$59</f>
        <v>0.73389093005506623</v>
      </c>
      <c r="H3609" s="856">
        <f>INDEX(神经网络!$G$10:$BO$70,MATCH(ROUND(G3609*2,1)/2,神经网络!$E$10:$E$70,0),MATCH(ROUND(E3609*2,1)/2,神经网络!$G$8:$BO$8,0))</f>
        <v>1.283353527998385</v>
      </c>
      <c r="I3609">
        <f t="shared" si="510"/>
        <v>512821.96300129191</v>
      </c>
      <c r="J3609">
        <f t="shared" si="511"/>
        <v>3642.2269732459126</v>
      </c>
      <c r="K3609">
        <f t="shared" si="512"/>
        <v>140.79901301270925</v>
      </c>
      <c r="L3609" s="4">
        <f>MIN(MAX(L3608*(1+MAX(MIN(((B3609-B3608)/B3608)/($K$7*卓尔金历!$N$40),0),-卓尔金历!$M$43))+MIN(MAX(((B3609-B3608)/B3608)/($K$7*卓尔金历!$N$40),0),卓尔金历!$M$43),0),1)</f>
        <v>0.27332516311087834</v>
      </c>
      <c r="M3609" s="4">
        <f>MIN(MAX(M3608*(1+MAX(MIN(((B3609-B3608)/B3608)/($K$7*30),0),-卓尔金历!$M$43))+MIN(MAX(((B3609-B3608)/B3608)/($K$7*7),0),卓尔金历!$M$43),0),1)</f>
        <v>0.69356050270459557</v>
      </c>
      <c r="N3609">
        <f t="shared" si="513"/>
        <v>166705.53843967008</v>
      </c>
      <c r="O3609">
        <f t="shared" si="514"/>
        <v>474763.02108500851</v>
      </c>
      <c r="P3609">
        <f t="shared" si="515"/>
        <v>1.5691846211759984E-3</v>
      </c>
      <c r="Q3609">
        <f t="shared" si="506"/>
        <v>1.4264277652499461E-2</v>
      </c>
      <c r="R3609">
        <f t="shared" si="507"/>
        <v>1</v>
      </c>
      <c r="S3609">
        <f t="shared" si="509"/>
        <v>994.14724193902157</v>
      </c>
      <c r="T3609" s="564">
        <f>IF((I3609-MAX(I$470:I3609))/MAX(I$470:I3609)&gt;T3608,T3608,(I3609-MAX(I$470:I3609))/MAX(I$470:I3609))</f>
        <v>-0.91338805338419748</v>
      </c>
      <c r="U3609" s="564">
        <f>IF((J3609-MAX(J$470:J3609))/MAX(J$470:J3609)&gt;U3608,U3608,(J3609-MAX(J$470:J3609))/MAX(J$470:J3609))</f>
        <v>-0.83569785939843477</v>
      </c>
      <c r="V3609" s="564">
        <f>IF((K3609-MAX(K$470:K3609))/MAX(K$470:K3609)&gt;V3608,V3608,(K3609-MAX(K$470:K3609))/MAX(K$470:K3609))</f>
        <v>-0.84885940676762139</v>
      </c>
      <c r="W3609" s="564">
        <f>IF((N3609-MAX(N$470:N3609))/MAX(N$470:N3609)&gt;W3608,W3608,(N3609-MAX(N$470:N3609))/MAX(N$470:N3609))</f>
        <v>-0.62788758315546067</v>
      </c>
      <c r="X3609" s="564">
        <f>IF((O3609-MAX(O$470:O3609))/MAX(O$470:O3609)&gt;X3608,X3608,(O3609-MAX(O$470:O3609))/MAX(O$470:O3609))</f>
        <v>-0.62788758315546067</v>
      </c>
    </row>
    <row r="3610" spans="1:24">
      <c r="A3610" s="799">
        <v>44012</v>
      </c>
      <c r="B3610">
        <v>9170.1035556631996</v>
      </c>
      <c r="C3610">
        <v>53236.836949999997</v>
      </c>
      <c r="D3610">
        <v>1.5699000000000001</v>
      </c>
      <c r="E3610">
        <f>LN(D3610/参数实验室!$E$53)/参数实验室!$E$55</f>
        <v>-0.16088551461969536</v>
      </c>
      <c r="F3610">
        <f t="shared" si="508"/>
        <v>5.8054782726114817</v>
      </c>
      <c r="G3610">
        <f>LN(F3610/参数实验室!$E$58)/参数实验室!$E$59</f>
        <v>0.73258431682724667</v>
      </c>
      <c r="H3610" s="856">
        <f>INDEX(神经网络!$G$10:$BO$70,MATCH(ROUND(G3610*2,1)/2,神经网络!$E$10:$E$70,0),MATCH(ROUND(E3610*2,1)/2,神经网络!$G$8:$BO$8,0))</f>
        <v>1.283353527998385</v>
      </c>
      <c r="I3610">
        <f t="shared" si="510"/>
        <v>515873.21571310901</v>
      </c>
      <c r="J3610">
        <f t="shared" si="511"/>
        <v>3659.1131860912096</v>
      </c>
      <c r="K3610">
        <f t="shared" si="512"/>
        <v>140.98312609569274</v>
      </c>
      <c r="L3610" s="4">
        <f>MIN(MAX(L3609*(1+MAX(MIN(((B3610-B3609)/B3609)/($K$7*卓尔金历!$N$40),0),-卓尔金历!$M$43))+MIN(MAX(((B3610-B3609)/B3609)/($K$7*卓尔金历!$N$40),0),卓尔金历!$M$43),0),1)</f>
        <v>0.34416235411656815</v>
      </c>
      <c r="M3610" s="4">
        <f>MIN(MAX(M3609*(1+MAX(MIN(((B3610-B3609)/B3609)/($K$7*30),0),-卓尔金历!$M$43))+MIN(MAX(((B3610-B3609)/B3609)/($K$7*7),0),卓尔金历!$M$43),0),1)</f>
        <v>0.84535448343107367</v>
      </c>
      <c r="N3610">
        <f t="shared" si="513"/>
        <v>166976.64573615498</v>
      </c>
      <c r="O3610">
        <f t="shared" si="514"/>
        <v>476722.19413961872</v>
      </c>
      <c r="P3610">
        <f t="shared" si="515"/>
        <v>4.6362329885905832E-3</v>
      </c>
      <c r="Q3610">
        <f t="shared" si="506"/>
        <v>1.4334578175300454E-2</v>
      </c>
      <c r="R3610">
        <f t="shared" si="507"/>
        <v>1</v>
      </c>
      <c r="S3610">
        <f t="shared" si="509"/>
        <v>1000.0623444244123</v>
      </c>
      <c r="T3610" s="564">
        <f>IF((I3610-MAX(I$470:I3610))/MAX(I$470:I3610)&gt;T3609,T3609,(I3610-MAX(I$470:I3610))/MAX(I$470:I3610))</f>
        <v>-0.91338805338419748</v>
      </c>
      <c r="U3610" s="564">
        <f>IF((J3610-MAX(J$470:J3610))/MAX(J$470:J3610)&gt;U3609,U3609,(J3610-MAX(J$470:J3610))/MAX(J$470:J3610))</f>
        <v>-0.83569785939843477</v>
      </c>
      <c r="V3610" s="564">
        <f>IF((K3610-MAX(K$470:K3610))/MAX(K$470:K3610)&gt;V3609,V3609,(K3610-MAX(K$470:K3610))/MAX(K$470:K3610))</f>
        <v>-0.84885940676762139</v>
      </c>
      <c r="W3610" s="564">
        <f>IF((N3610-MAX(N$470:N3610))/MAX(N$470:N3610)&gt;W3609,W3609,(N3610-MAX(N$470:N3610))/MAX(N$470:N3610))</f>
        <v>-0.62788758315546067</v>
      </c>
      <c r="X3610" s="564">
        <f>IF((O3610-MAX(O$470:O3610))/MAX(O$470:O3610)&gt;X3609,X3609,(O3610-MAX(O$470:O3610))/MAX(O$470:O3610))</f>
        <v>-0.62788758315546067</v>
      </c>
    </row>
    <row r="3611" spans="1:24">
      <c r="A3611" s="799">
        <v>44013</v>
      </c>
      <c r="B3611">
        <v>9256.5823854727005</v>
      </c>
      <c r="C3611">
        <v>52274.880166000003</v>
      </c>
      <c r="D3611">
        <v>1.5861879999999999</v>
      </c>
      <c r="E3611">
        <f>LN(D3611/参数实验室!$E$53)/参数实验室!$E$55</f>
        <v>-0.14870841978649435</v>
      </c>
      <c r="F3611">
        <f t="shared" si="508"/>
        <v>5.6473197114347844</v>
      </c>
      <c r="G3611">
        <f>LN(F3611/参数实验室!$E$58)/参数实验室!$E$59</f>
        <v>0.71808734624936754</v>
      </c>
      <c r="H3611" s="856">
        <f>INDEX(神经网络!$G$10:$BO$70,MATCH(ROUND(G3611*2,1)/2,神经网络!$E$10:$E$70,0),MATCH(ROUND(E3611*2,1)/2,神经网络!$G$8:$BO$8,0))</f>
        <v>1.2559985930449717</v>
      </c>
      <c r="I3611">
        <f t="shared" si="510"/>
        <v>522116.66880075709</v>
      </c>
      <c r="J3611">
        <f t="shared" si="511"/>
        <v>3693.6205201199796</v>
      </c>
      <c r="K3611">
        <f t="shared" si="512"/>
        <v>141.35633748964477</v>
      </c>
      <c r="L3611" s="4">
        <f>MIN(MAX(L3610*(1+MAX(MIN(((B3611-B3610)/B3610)/($K$7*卓尔金历!$N$40),0),-卓尔金历!$M$43))+MIN(MAX(((B3611-B3610)/B3610)/($K$7*卓尔金历!$N$40),0),卓尔金历!$M$43),0),1)</f>
        <v>0.48825162464048943</v>
      </c>
      <c r="M3611" s="4">
        <f>MIN(MAX(M3610*(1+MAX(MIN(((B3611-B3610)/B3610)/($K$7*30),0),-卓尔金历!$M$43))+MIN(MAX(((B3611-B3610)/B3610)/($K$7*7),0),卓尔金历!$M$43),0),1)</f>
        <v>1</v>
      </c>
      <c r="N3611">
        <f t="shared" si="513"/>
        <v>167672.15187779829</v>
      </c>
      <c r="O3611">
        <f t="shared" si="514"/>
        <v>481599.56865466572</v>
      </c>
      <c r="P3611">
        <f t="shared" si="515"/>
        <v>9.4305183452474736E-3</v>
      </c>
      <c r="Q3611">
        <f t="shared" si="506"/>
        <v>1.446129473891624E-2</v>
      </c>
      <c r="R3611">
        <f t="shared" si="507"/>
        <v>0.44798765350420305</v>
      </c>
      <c r="S3611">
        <f t="shared" si="509"/>
        <v>1012.1657879488181</v>
      </c>
      <c r="T3611" s="564">
        <f>IF((I3611-MAX(I$470:I3611))/MAX(I$470:I3611)&gt;T3610,T3610,(I3611-MAX(I$470:I3611))/MAX(I$470:I3611))</f>
        <v>-0.91338805338419748</v>
      </c>
      <c r="U3611" s="564">
        <f>IF((J3611-MAX(J$470:J3611))/MAX(J$470:J3611)&gt;U3610,U3610,(J3611-MAX(J$470:J3611))/MAX(J$470:J3611))</f>
        <v>-0.83569785939843477</v>
      </c>
      <c r="V3611" s="564">
        <f>IF((K3611-MAX(K$470:K3611))/MAX(K$470:K3611)&gt;V3610,V3610,(K3611-MAX(K$470:K3611))/MAX(K$470:K3611))</f>
        <v>-0.84885940676762139</v>
      </c>
      <c r="W3611" s="564">
        <f>IF((N3611-MAX(N$470:N3611))/MAX(N$470:N3611)&gt;W3610,W3610,(N3611-MAX(N$470:N3611))/MAX(N$470:N3611))</f>
        <v>-0.62788758315546067</v>
      </c>
      <c r="X3611" s="564">
        <f>IF((O3611-MAX(O$470:O3611))/MAX(O$470:O3611)&gt;X3610,X3610,(O3611-MAX(O$470:O3611))/MAX(O$470:O3611))</f>
        <v>-0.62788758315546067</v>
      </c>
    </row>
    <row r="3612" spans="1:24">
      <c r="A3612" s="799">
        <v>44014</v>
      </c>
      <c r="B3612">
        <v>9075.7096608739994</v>
      </c>
      <c r="C3612">
        <v>51102.782343999999</v>
      </c>
      <c r="D3612">
        <v>1.5610660000000001</v>
      </c>
      <c r="E3612">
        <f>LN(D3612/参数实验室!$E$53)/参数实验室!$E$55</f>
        <v>-0.16754286434059973</v>
      </c>
      <c r="F3612">
        <f t="shared" si="508"/>
        <v>5.6307202691055185</v>
      </c>
      <c r="G3612">
        <f>LN(F3612/参数实验室!$E$58)/参数实验室!$E$59</f>
        <v>0.71654234539361372</v>
      </c>
      <c r="H3612" s="856">
        <f>INDEX(神经网络!$G$10:$BO$70,MATCH(ROUND(G3612*2,1)/2,神经网络!$E$10:$E$70,0),MATCH(ROUND(E3612*2,1)/2,神经网络!$G$8:$BO$8,0))</f>
        <v>1.2559985930449717</v>
      </c>
      <c r="I3612">
        <f t="shared" si="510"/>
        <v>509302.83398196206</v>
      </c>
      <c r="J3612">
        <f t="shared" si="511"/>
        <v>3621.4475323706079</v>
      </c>
      <c r="K3612">
        <f t="shared" si="512"/>
        <v>140.63515470803225</v>
      </c>
      <c r="L3612" s="4">
        <f>MIN(MAX(L3611*(1+MAX(MIN(((B3612-B3611)/B3611)/($K$7*卓尔金历!$N$40),0),-卓尔金历!$M$43))+MIN(MAX(((B3612-B3611)/B3611)/($K$7*卓尔金历!$N$40),0),卓尔金历!$M$43),0),1)</f>
        <v>0.34248362790759945</v>
      </c>
      <c r="M3612" s="4">
        <f>MIN(MAX(M3611*(1+MAX(MIN(((B3612-B3611)/B3611)/($K$7*30),0),-卓尔金历!$M$43))+MIN(MAX(((B3612-B3611)/B3611)/($K$7*7),0),卓尔金历!$M$43),0),1)</f>
        <v>0.85072451439334973</v>
      </c>
      <c r="N3612">
        <f t="shared" si="513"/>
        <v>165662.98413058894</v>
      </c>
      <c r="O3612">
        <f t="shared" si="514"/>
        <v>469780.10819630069</v>
      </c>
      <c r="P3612">
        <f t="shared" si="515"/>
        <v>-1.9539903288989587E-2</v>
      </c>
      <c r="Q3612">
        <f t="shared" si="506"/>
        <v>1.4117264506053181E-2</v>
      </c>
      <c r="R3612">
        <f t="shared" si="507"/>
        <v>9.7605031505500501E-3</v>
      </c>
      <c r="S3612">
        <f t="shared" si="509"/>
        <v>1001.037476762238</v>
      </c>
      <c r="T3612" s="564">
        <f>IF((I3612-MAX(I$470:I3612))/MAX(I$470:I3612)&gt;T3611,T3611,(I3612-MAX(I$470:I3612))/MAX(I$470:I3612))</f>
        <v>-0.91338805338419748</v>
      </c>
      <c r="U3612" s="564">
        <f>IF((J3612-MAX(J$470:J3612))/MAX(J$470:J3612)&gt;U3611,U3611,(J3612-MAX(J$470:J3612))/MAX(J$470:J3612))</f>
        <v>-0.83569785939843477</v>
      </c>
      <c r="V3612" s="564">
        <f>IF((K3612-MAX(K$470:K3612))/MAX(K$470:K3612)&gt;V3611,V3611,(K3612-MAX(K$470:K3612))/MAX(K$470:K3612))</f>
        <v>-0.84885940676762139</v>
      </c>
      <c r="W3612" s="564">
        <f>IF((N3612-MAX(N$470:N3612))/MAX(N$470:N3612)&gt;W3611,W3611,(N3612-MAX(N$470:N3612))/MAX(N$470:N3612))</f>
        <v>-0.62788758315546067</v>
      </c>
      <c r="X3612" s="564">
        <f>IF((O3612-MAX(O$470:O3612))/MAX(O$470:O3612)&gt;X3611,X3611,(O3612-MAX(O$470:O3612))/MAX(O$470:O3612))</f>
        <v>-0.62788758315546067</v>
      </c>
    </row>
    <row r="3613" spans="1:24">
      <c r="A3613" s="799">
        <v>44015</v>
      </c>
      <c r="B3613">
        <v>9104.0089224264993</v>
      </c>
      <c r="C3613">
        <v>50322.052621000003</v>
      </c>
      <c r="D3613">
        <v>1.5561959999999999</v>
      </c>
      <c r="E3613">
        <f>LN(D3613/参数实验室!$E$53)/参数实验室!$E$55</f>
        <v>-0.17122904982798137</v>
      </c>
      <c r="F3613">
        <f t="shared" si="508"/>
        <v>5.5274608197097006</v>
      </c>
      <c r="G3613">
        <f>LN(F3613/参数实验室!$E$58)/参数实验室!$E$59</f>
        <v>0.70682791501194797</v>
      </c>
      <c r="H3613" s="856">
        <f>INDEX(神经网络!$G$10:$BO$70,MATCH(ROUND(G3613*2,1)/2,神经网络!$E$10:$E$70,0),MATCH(ROUND(E3613*2,1)/2,神经网络!$G$8:$BO$8,0))</f>
        <v>1.2559985930449717</v>
      </c>
      <c r="I3613">
        <f t="shared" si="510"/>
        <v>511297.45207775169</v>
      </c>
      <c r="J3613">
        <f t="shared" si="511"/>
        <v>3632.7396841412874</v>
      </c>
      <c r="K3613">
        <f t="shared" si="512"/>
        <v>140.74706599810025</v>
      </c>
      <c r="L3613" s="4">
        <f>MIN(MAX(L3612*(1+MAX(MIN(((B3613-B3612)/B3612)/($K$7*卓尔金历!$N$40),0),-卓尔金历!$M$43))+MIN(MAX(((B3613-B3612)/B3612)/($K$7*卓尔金历!$N$40),0),卓尔金历!$M$43),0),1)</f>
        <v>0.39012569402794611</v>
      </c>
      <c r="M3613" s="4">
        <f>MIN(MAX(M3612*(1+MAX(MIN(((B3613-B3612)/B3612)/($K$7*30),0),-卓尔金历!$M$43))+MIN(MAX(((B3613-B3612)/B3612)/($K$7*7),0),卓尔金历!$M$43),0),1)</f>
        <v>0.95281465607980687</v>
      </c>
      <c r="N3613">
        <f t="shared" si="513"/>
        <v>165885.18663906617</v>
      </c>
      <c r="O3613">
        <f t="shared" si="514"/>
        <v>471345.29880400334</v>
      </c>
      <c r="P3613">
        <f t="shared" si="515"/>
        <v>3.1181320921382042E-3</v>
      </c>
      <c r="Q3613">
        <f t="shared" si="506"/>
        <v>1.4000224402822743E-2</v>
      </c>
      <c r="R3613">
        <f t="shared" si="507"/>
        <v>1</v>
      </c>
      <c r="S3613">
        <f t="shared" si="509"/>
        <v>1001.075742157597</v>
      </c>
      <c r="T3613" s="564">
        <f>IF((I3613-MAX(I$470:I3613))/MAX(I$470:I3613)&gt;T3612,T3612,(I3613-MAX(I$470:I3613))/MAX(I$470:I3613))</f>
        <v>-0.91338805338419748</v>
      </c>
      <c r="U3613" s="564">
        <f>IF((J3613-MAX(J$470:J3613))/MAX(J$470:J3613)&gt;U3612,U3612,(J3613-MAX(J$470:J3613))/MAX(J$470:J3613))</f>
        <v>-0.83569785939843477</v>
      </c>
      <c r="V3613" s="564">
        <f>IF((K3613-MAX(K$470:K3613))/MAX(K$470:K3613)&gt;V3612,V3612,(K3613-MAX(K$470:K3613))/MAX(K$470:K3613))</f>
        <v>-0.84885940676762139</v>
      </c>
      <c r="W3613" s="564">
        <f>IF((N3613-MAX(N$470:N3613))/MAX(N$470:N3613)&gt;W3612,W3612,(N3613-MAX(N$470:N3613))/MAX(N$470:N3613))</f>
        <v>-0.62788758315546067</v>
      </c>
      <c r="X3613" s="564">
        <f>IF((O3613-MAX(O$470:O3613))/MAX(O$470:O3613)&gt;X3612,X3612,(O3613-MAX(O$470:O3613))/MAX(O$470:O3613))</f>
        <v>-0.62788758315546067</v>
      </c>
    </row>
    <row r="3614" spans="1:24">
      <c r="A3614" s="799">
        <v>44016</v>
      </c>
      <c r="B3614">
        <v>9082.8965009101994</v>
      </c>
      <c r="C3614">
        <v>50135.644192</v>
      </c>
      <c r="D3614">
        <v>1.566208</v>
      </c>
      <c r="E3614">
        <f>LN(D3614/参数实验室!$E$53)/参数实验室!$E$55</f>
        <v>-0.16366325759854394</v>
      </c>
      <c r="F3614">
        <f t="shared" si="508"/>
        <v>5.519785917077872</v>
      </c>
      <c r="G3614">
        <f>LN(F3614/参数实验室!$E$58)/参数实验室!$E$59</f>
        <v>0.7060986465488408</v>
      </c>
      <c r="H3614" s="856">
        <f>INDEX(神经网络!$G$10:$BO$70,MATCH(ROUND(G3614*2,1)/2,神经网络!$E$10:$E$70,0),MATCH(ROUND(E3614*2,1)/2,神经网络!$G$8:$BO$8,0))</f>
        <v>1.2559985930449717</v>
      </c>
      <c r="I3614">
        <f t="shared" si="510"/>
        <v>509808.20020504418</v>
      </c>
      <c r="J3614">
        <f t="shared" si="511"/>
        <v>3624.3152711025818</v>
      </c>
      <c r="K3614">
        <f t="shared" si="512"/>
        <v>140.66331488042744</v>
      </c>
      <c r="L3614" s="4">
        <f>MIN(MAX(L3613*(1+MAX(MIN(((B3614-B3613)/B3613)/($K$7*卓尔金历!$N$40),0),-卓尔金历!$M$43))+MIN(MAX(((B3614-B3613)/B3613)/($K$7*卓尔金历!$N$40),0),卓尔金历!$M$43),0),1)</f>
        <v>0.37630257632086961</v>
      </c>
      <c r="M3614" s="4">
        <f>MIN(MAX(M3613*(1+MAX(MIN(((B3614-B3613)/B3613)/($K$7*30),0),-卓尔金历!$M$43))+MIN(MAX(((B3614-B3613)/B3613)/($K$7*7),0),卓尔金历!$M$43),0),1)</f>
        <v>0.93593436679658504</v>
      </c>
      <c r="N3614">
        <f t="shared" si="513"/>
        <v>165696.68866521248</v>
      </c>
      <c r="O3614">
        <f t="shared" si="514"/>
        <v>470037.19522189733</v>
      </c>
      <c r="P3614">
        <f t="shared" si="515"/>
        <v>-2.319024695185913E-3</v>
      </c>
      <c r="Q3614">
        <f t="shared" si="506"/>
        <v>1.3979766717180346E-2</v>
      </c>
      <c r="R3614">
        <f t="shared" si="507"/>
        <v>1</v>
      </c>
      <c r="S3614">
        <f t="shared" si="509"/>
        <v>998.15991709789466</v>
      </c>
      <c r="T3614" s="564">
        <f>IF((I3614-MAX(I$470:I3614))/MAX(I$470:I3614)&gt;T3613,T3613,(I3614-MAX(I$470:I3614))/MAX(I$470:I3614))</f>
        <v>-0.91338805338419748</v>
      </c>
      <c r="U3614" s="564">
        <f>IF((J3614-MAX(J$470:J3614))/MAX(J$470:J3614)&gt;U3613,U3613,(J3614-MAX(J$470:J3614))/MAX(J$470:J3614))</f>
        <v>-0.83569785939843477</v>
      </c>
      <c r="V3614" s="564">
        <f>IF((K3614-MAX(K$470:K3614))/MAX(K$470:K3614)&gt;V3613,V3613,(K3614-MAX(K$470:K3614))/MAX(K$470:K3614))</f>
        <v>-0.84885940676762139</v>
      </c>
      <c r="W3614" s="564">
        <f>IF((N3614-MAX(N$470:N3614))/MAX(N$470:N3614)&gt;W3613,W3613,(N3614-MAX(N$470:N3614))/MAX(N$470:N3614))</f>
        <v>-0.62788758315546067</v>
      </c>
      <c r="X3614" s="564">
        <f>IF((O3614-MAX(O$470:O3614))/MAX(O$470:O3614)&gt;X3613,X3613,(O3614-MAX(O$470:O3614))/MAX(O$470:O3614))</f>
        <v>-0.62788758315546067</v>
      </c>
    </row>
    <row r="3615" spans="1:24">
      <c r="A3615" s="799">
        <v>44017</v>
      </c>
      <c r="B3615">
        <v>9032.5163565276998</v>
      </c>
      <c r="C3615">
        <v>50666.546244999998</v>
      </c>
      <c r="D3615">
        <v>1.5581510000000001</v>
      </c>
      <c r="E3615">
        <f>LN(D3615/参数实验室!$E$53)/参数实验室!$E$55</f>
        <v>-0.1697478931714369</v>
      </c>
      <c r="F3615">
        <f t="shared" si="508"/>
        <v>5.6093500686975055</v>
      </c>
      <c r="G3615">
        <f>LN(F3615/参数实验室!$E$58)/参数实验室!$E$59</f>
        <v>0.71454658393248238</v>
      </c>
      <c r="H3615" s="856">
        <f>INDEX(神经网络!$G$10:$BO$70,MATCH(ROUND(G3615*2,1)/2,神经网络!$E$10:$E$70,0),MATCH(ROUND(E3615*2,1)/2,神经网络!$G$8:$BO$8,0))</f>
        <v>1.2559985930449717</v>
      </c>
      <c r="I3615">
        <f t="shared" si="510"/>
        <v>506256.54324828146</v>
      </c>
      <c r="J3615">
        <f t="shared" si="511"/>
        <v>3604.2122646852404</v>
      </c>
      <c r="K3615">
        <f t="shared" si="512"/>
        <v>140.46246615624716</v>
      </c>
      <c r="L3615" s="4">
        <f>MIN(MAX(L3614*(1+MAX(MIN(((B3615-B3614)/B3614)/($K$7*卓尔金历!$N$40),0),-卓尔金历!$M$43))+MIN(MAX(((B3615-B3614)/B3614)/($K$7*卓尔金历!$N$40),0),卓尔金历!$M$43),0),1)</f>
        <v>0.34441156347688268</v>
      </c>
      <c r="M3615" s="4">
        <f>MIN(MAX(M3614*(1+MAX(MIN(((B3615-B3614)/B3614)/($K$7*30),0),-卓尔金历!$M$43))+MIN(MAX(((B3615-B3614)/B3614)/($K$7*7),0),卓尔金历!$M$43),0),1)</f>
        <v>0.89627493208786846</v>
      </c>
      <c r="N3615">
        <f t="shared" si="513"/>
        <v>165262.30326873381</v>
      </c>
      <c r="O3615">
        <f t="shared" si="514"/>
        <v>466972.39750193723</v>
      </c>
      <c r="P3615">
        <f t="shared" si="515"/>
        <v>-5.5467046638097177E-3</v>
      </c>
      <c r="Q3615">
        <f t="shared" si="506"/>
        <v>1.3999920670293254E-2</v>
      </c>
      <c r="R3615">
        <f t="shared" si="507"/>
        <v>0.95277056714774377</v>
      </c>
      <c r="S3615">
        <f t="shared" si="509"/>
        <v>991.20608306365091</v>
      </c>
      <c r="T3615" s="564">
        <f>IF((I3615-MAX(I$470:I3615))/MAX(I$470:I3615)&gt;T3614,T3614,(I3615-MAX(I$470:I3615))/MAX(I$470:I3615))</f>
        <v>-0.91338805338419748</v>
      </c>
      <c r="U3615" s="564">
        <f>IF((J3615-MAX(J$470:J3615))/MAX(J$470:J3615)&gt;U3614,U3614,(J3615-MAX(J$470:J3615))/MAX(J$470:J3615))</f>
        <v>-0.83569785939843477</v>
      </c>
      <c r="V3615" s="564">
        <f>IF((K3615-MAX(K$470:K3615))/MAX(K$470:K3615)&gt;V3614,V3614,(K3615-MAX(K$470:K3615))/MAX(K$470:K3615))</f>
        <v>-0.84885940676762139</v>
      </c>
      <c r="W3615" s="564">
        <f>IF((N3615-MAX(N$470:N3615))/MAX(N$470:N3615)&gt;W3614,W3614,(N3615-MAX(N$470:N3615))/MAX(N$470:N3615))</f>
        <v>-0.62788758315546067</v>
      </c>
      <c r="X3615" s="564">
        <f>IF((O3615-MAX(O$470:O3615))/MAX(O$470:O3615)&gt;X3614,X3614,(O3615-MAX(O$470:O3615))/MAX(O$470:O3615))</f>
        <v>-0.62788758315546067</v>
      </c>
    </row>
    <row r="3616" spans="1:24">
      <c r="A3616" s="799">
        <v>44018</v>
      </c>
      <c r="B3616">
        <v>9303.0020086900004</v>
      </c>
      <c r="C3616">
        <v>52080.641812000002</v>
      </c>
      <c r="D3616">
        <v>1.601837</v>
      </c>
      <c r="E3616">
        <f>LN(D3616/参数实验室!$E$53)/参数实验室!$E$55</f>
        <v>-0.13712626042555931</v>
      </c>
      <c r="F3616">
        <f t="shared" si="508"/>
        <v>5.5982619119453165</v>
      </c>
      <c r="G3616">
        <f>LN(F3616/参数实验室!$E$58)/参数实验室!$E$59</f>
        <v>0.7135080637177359</v>
      </c>
      <c r="H3616" s="856">
        <f>INDEX(神经网络!$G$10:$BO$70,MATCH(ROUND(G3616*2,1)/2,神经网络!$E$10:$E$70,0),MATCH(ROUND(E3616*2,1)/2,神经网络!$G$8:$BO$8,0))</f>
        <v>1.2559985930449717</v>
      </c>
      <c r="I3616">
        <f t="shared" si="510"/>
        <v>525297.78551286191</v>
      </c>
      <c r="J3616">
        <f t="shared" si="511"/>
        <v>3712.1431741311126</v>
      </c>
      <c r="K3616">
        <f t="shared" si="512"/>
        <v>141.50795399636394</v>
      </c>
      <c r="L3616" s="4">
        <f>MIN(MAX(L3615*(1+MAX(MIN(((B3616-B3615)/B3615)/($K$7*卓尔金历!$N$40),0),-卓尔金历!$M$43))+MIN(MAX(((B3616-B3615)/B3615)/($K$7*卓尔金历!$N$40),0),卓尔金历!$M$43),0),1)</f>
        <v>0.80195418352322578</v>
      </c>
      <c r="M3616" s="4">
        <f>MIN(MAX(M3615*(1+MAX(MIN(((B3616-B3615)/B3615)/($K$7*30),0),-卓尔金历!$M$43))+MIN(MAX(((B3616-B3615)/B3615)/($K$7*7),0),卓尔金历!$M$43),0),1)</f>
        <v>1</v>
      </c>
      <c r="N3616">
        <f t="shared" si="513"/>
        <v>167403.10355804741</v>
      </c>
      <c r="O3616">
        <f t="shared" si="514"/>
        <v>482714.29533567157</v>
      </c>
      <c r="P3616">
        <f t="shared" si="515"/>
        <v>2.9945769427455679E-2</v>
      </c>
      <c r="Q3616">
        <f t="shared" si="506"/>
        <v>1.5293744780005593E-2</v>
      </c>
      <c r="R3616">
        <f t="shared" si="507"/>
        <v>4.5927558308799321E-3</v>
      </c>
      <c r="S3616">
        <f t="shared" si="509"/>
        <v>1026.7264072161095</v>
      </c>
      <c r="T3616" s="564">
        <f>IF((I3616-MAX(I$470:I3616))/MAX(I$470:I3616)&gt;T3615,T3615,(I3616-MAX(I$470:I3616))/MAX(I$470:I3616))</f>
        <v>-0.91338805338419748</v>
      </c>
      <c r="U3616" s="564">
        <f>IF((J3616-MAX(J$470:J3616))/MAX(J$470:J3616)&gt;U3615,U3615,(J3616-MAX(J$470:J3616))/MAX(J$470:J3616))</f>
        <v>-0.83569785939843477</v>
      </c>
      <c r="V3616" s="564">
        <f>IF((K3616-MAX(K$470:K3616))/MAX(K$470:K3616)&gt;V3615,V3615,(K3616-MAX(K$470:K3616))/MAX(K$470:K3616))</f>
        <v>-0.84885940676762139</v>
      </c>
      <c r="W3616" s="564">
        <f>IF((N3616-MAX(N$470:N3616))/MAX(N$470:N3616)&gt;W3615,W3615,(N3616-MAX(N$470:N3616))/MAX(N$470:N3616))</f>
        <v>-0.62788758315546067</v>
      </c>
      <c r="X3616" s="564">
        <f>IF((O3616-MAX(O$470:O3616))/MAX(O$470:O3616)&gt;X3615,X3615,(O3616-MAX(O$470:O3616))/MAX(O$470:O3616))</f>
        <v>-0.62788758315546067</v>
      </c>
    </row>
    <row r="3617" spans="1:24">
      <c r="A3617" s="799">
        <v>44019</v>
      </c>
      <c r="B3617">
        <v>9263.5412363242995</v>
      </c>
      <c r="C3617">
        <v>52021.544066000002</v>
      </c>
      <c r="D3617">
        <v>1.586678</v>
      </c>
      <c r="E3617">
        <f>LN(D3617/参数实验室!$E$53)/参数实验室!$E$55</f>
        <v>-0.14834403055975598</v>
      </c>
      <c r="F3617">
        <f t="shared" si="508"/>
        <v>5.6157297451230157</v>
      </c>
      <c r="G3617">
        <f>LN(F3617/参数实验室!$E$58)/参数实验室!$E$59</f>
        <v>0.71514317645236514</v>
      </c>
      <c r="H3617" s="856">
        <f>INDEX(神经网络!$G$10:$BO$70,MATCH(ROUND(G3617*2,1)/2,神经网络!$E$10:$E$70,0),MATCH(ROUND(E3617*2,1)/2,神经网络!$G$8:$BO$8,0))</f>
        <v>1.2559985930449717</v>
      </c>
      <c r="I3617">
        <f t="shared" si="510"/>
        <v>522499.20897032914</v>
      </c>
      <c r="J3617">
        <f t="shared" si="511"/>
        <v>3696.3972851539365</v>
      </c>
      <c r="K3617">
        <f t="shared" si="512"/>
        <v>141.35363941232026</v>
      </c>
      <c r="L3617" s="4">
        <f>MIN(MAX(L3616*(1+MAX(MIN(((B3617-B3616)/B3616)/($K$7*卓尔金历!$N$40),0),-卓尔金历!$M$43))+MIN(MAX(((B3617-B3616)/B3616)/($K$7*卓尔金历!$N$40),0),卓尔金历!$M$43),0),1)</f>
        <v>0.74997994891776909</v>
      </c>
      <c r="M3617" s="4">
        <f>MIN(MAX(M3616*(1+MAX(MIN(((B3617-B3616)/B3616)/($K$7*30),0),-卓尔金历!$M$43))+MIN(MAX(((B3617-B3616)/B3616)/($K$7*7),0),卓尔金历!$M$43),0),1)</f>
        <v>0.96759525938432145</v>
      </c>
      <c r="N3617">
        <f t="shared" si="513"/>
        <v>166687.87527117576</v>
      </c>
      <c r="O3617">
        <f t="shared" si="514"/>
        <v>480142.58660030598</v>
      </c>
      <c r="P3617">
        <f t="shared" si="515"/>
        <v>-4.2417245883468926E-3</v>
      </c>
      <c r="Q3617">
        <f t="shared" si="506"/>
        <v>1.4886111259988824E-2</v>
      </c>
      <c r="R3617">
        <f t="shared" si="507"/>
        <v>1</v>
      </c>
      <c r="S3617">
        <f t="shared" si="509"/>
        <v>1026.7012848980896</v>
      </c>
      <c r="T3617" s="564">
        <f>IF((I3617-MAX(I$470:I3617))/MAX(I$470:I3617)&gt;T3616,T3616,(I3617-MAX(I$470:I3617))/MAX(I$470:I3617))</f>
        <v>-0.91338805338419748</v>
      </c>
      <c r="U3617" s="564">
        <f>IF((J3617-MAX(J$470:J3617))/MAX(J$470:J3617)&gt;U3616,U3616,(J3617-MAX(J$470:J3617))/MAX(J$470:J3617))</f>
        <v>-0.83569785939843477</v>
      </c>
      <c r="V3617" s="564">
        <f>IF((K3617-MAX(K$470:K3617))/MAX(K$470:K3617)&gt;V3616,V3616,(K3617-MAX(K$470:K3617))/MAX(K$470:K3617))</f>
        <v>-0.84885940676762139</v>
      </c>
      <c r="W3617" s="564">
        <f>IF((N3617-MAX(N$470:N3617))/MAX(N$470:N3617)&gt;W3616,W3616,(N3617-MAX(N$470:N3617))/MAX(N$470:N3617))</f>
        <v>-0.62788758315546067</v>
      </c>
      <c r="X3617" s="564">
        <f>IF((O3617-MAX(O$470:O3617))/MAX(O$470:O3617)&gt;X3616,X3616,(O3617-MAX(O$470:O3617))/MAX(O$470:O3617))</f>
        <v>-0.62788758315546067</v>
      </c>
    </row>
    <row r="3618" spans="1:24">
      <c r="A3618" s="799">
        <v>44020</v>
      </c>
      <c r="B3618">
        <v>9399.2698410580997</v>
      </c>
      <c r="C3618">
        <v>52406.197916999998</v>
      </c>
      <c r="D3618">
        <v>1.615613</v>
      </c>
      <c r="E3618">
        <f>LN(D3618/参数实验室!$E$53)/参数实验室!$E$55</f>
        <v>-0.12702361391652123</v>
      </c>
      <c r="F3618">
        <f t="shared" si="508"/>
        <v>5.5755605279122937</v>
      </c>
      <c r="G3618">
        <f>LN(F3618/参数实验室!$E$58)/参数实验室!$E$59</f>
        <v>0.71137541311389507</v>
      </c>
      <c r="H3618" s="856">
        <f>INDEX(神经网络!$G$10:$BO$70,MATCH(ROUND(G3618*2,1)/2,神经网络!$E$10:$E$70,0),MATCH(ROUND(E3618*2,1)/2,神经网络!$G$8:$BO$8,0))</f>
        <v>1.2559985930449717</v>
      </c>
      <c r="I3618">
        <f t="shared" si="510"/>
        <v>532114.64838391799</v>
      </c>
      <c r="J3618">
        <f t="shared" si="511"/>
        <v>3750.556578372004</v>
      </c>
      <c r="K3618">
        <f t="shared" si="512"/>
        <v>141.87618217851065</v>
      </c>
      <c r="L3618" s="4">
        <f>MIN(MAX(L3617*(1+MAX(MIN(((B3618-B3617)/B3617)/($K$7*卓尔金历!$N$40),0),-卓尔金历!$M$43))+MIN(MAX(((B3618-B3617)/B3617)/($K$7*卓尔金历!$N$40),0),卓尔金历!$M$43),0),1)</f>
        <v>0.97384712653687866</v>
      </c>
      <c r="M3618" s="4">
        <f>MIN(MAX(M3617*(1+MAX(MIN(((B3618-B3617)/B3617)/($K$7*30),0),-卓尔金历!$M$43))+MIN(MAX(((B3618-B3617)/B3617)/($K$7*7),0),卓尔金历!$M$43),0),1)</f>
        <v>1</v>
      </c>
      <c r="N3618">
        <f t="shared" si="513"/>
        <v>168988.45432695939</v>
      </c>
      <c r="O3618">
        <f t="shared" si="514"/>
        <v>488692.21931368386</v>
      </c>
      <c r="P3618">
        <f t="shared" si="515"/>
        <v>1.4651913482241515E-2</v>
      </c>
      <c r="Q3618">
        <f t="shared" si="506"/>
        <v>1.5189328320898305E-2</v>
      </c>
      <c r="R3618">
        <f t="shared" si="507"/>
        <v>5.1444498166023582E-2</v>
      </c>
      <c r="S3618">
        <f t="shared" si="509"/>
        <v>1045.5954455615022</v>
      </c>
      <c r="T3618" s="564">
        <f>IF((I3618-MAX(I$470:I3618))/MAX(I$470:I3618)&gt;T3617,T3617,(I3618-MAX(I$470:I3618))/MAX(I$470:I3618))</f>
        <v>-0.91338805338419748</v>
      </c>
      <c r="U3618" s="564">
        <f>IF((J3618-MAX(J$470:J3618))/MAX(J$470:J3618)&gt;U3617,U3617,(J3618-MAX(J$470:J3618))/MAX(J$470:J3618))</f>
        <v>-0.83569785939843477</v>
      </c>
      <c r="V3618" s="564">
        <f>IF((K3618-MAX(K$470:K3618))/MAX(K$470:K3618)&gt;V3617,V3617,(K3618-MAX(K$470:K3618))/MAX(K$470:K3618))</f>
        <v>-0.84885940676762139</v>
      </c>
      <c r="W3618" s="564">
        <f>IF((N3618-MAX(N$470:N3618))/MAX(N$470:N3618)&gt;W3617,W3617,(N3618-MAX(N$470:N3618))/MAX(N$470:N3618))</f>
        <v>-0.62788758315546067</v>
      </c>
      <c r="X3618" s="564">
        <f>IF((O3618-MAX(O$470:O3618))/MAX(O$470:O3618)&gt;X3617,X3617,(O3618-MAX(O$470:O3618))/MAX(O$470:O3618))</f>
        <v>-0.62788758315546067</v>
      </c>
    </row>
    <row r="3619" spans="1:24">
      <c r="A3619" s="799">
        <v>44021</v>
      </c>
      <c r="B3619">
        <v>9228.7427221375001</v>
      </c>
      <c r="C3619">
        <v>52278.202390999999</v>
      </c>
      <c r="D3619">
        <v>1.5805089999999999</v>
      </c>
      <c r="E3619">
        <f>LN(D3619/参数实验室!$E$53)/参数实验室!$E$55</f>
        <v>-0.15293984821490439</v>
      </c>
      <c r="F3619">
        <f t="shared" si="508"/>
        <v>5.6647155484784895</v>
      </c>
      <c r="G3619">
        <f>LN(F3619/参数实验室!$E$58)/参数实验室!$E$59</f>
        <v>0.71970160617567436</v>
      </c>
      <c r="H3619" s="856">
        <f>INDEX(神经网络!$G$10:$BO$70,MATCH(ROUND(G3619*2,1)/2,神经网络!$E$10:$E$70,0),MATCH(ROUND(E3619*2,1)/2,神经网络!$G$8:$BO$8,0))</f>
        <v>1.2559985930449717</v>
      </c>
      <c r="I3619">
        <f t="shared" si="510"/>
        <v>519989.31455127476</v>
      </c>
      <c r="J3619">
        <f t="shared" si="511"/>
        <v>3682.511760160201</v>
      </c>
      <c r="K3619">
        <f t="shared" si="512"/>
        <v>141.2050655687936</v>
      </c>
      <c r="L3619" s="4">
        <f>MIN(MAX(L3618*(1+MAX(MIN(((B3619-B3618)/B3618)/($K$7*卓尔金历!$N$40),0),-卓尔金历!$M$43))+MIN(MAX(((B3619-B3618)/B3618)/($K$7*卓尔金历!$N$40),0),卓尔金历!$M$43),0),1)</f>
        <v>0.7038953422077604</v>
      </c>
      <c r="M3619" s="4">
        <f>MIN(MAX(M3618*(1+MAX(MIN(((B3619-B3618)/B3618)/($K$7*30),0),-卓尔金历!$M$43))+MIN(MAX(((B3619-B3618)/B3618)/($K$7*7),0),卓尔金历!$M$43),0),1)</f>
        <v>0.86139930130045139</v>
      </c>
      <c r="N3619">
        <f t="shared" si="513"/>
        <v>165238.41078353921</v>
      </c>
      <c r="O3619">
        <f t="shared" si="514"/>
        <v>477556.35541933298</v>
      </c>
      <c r="P3619">
        <f t="shared" si="515"/>
        <v>-1.8142592116644981E-2</v>
      </c>
      <c r="Q3619">
        <f t="shared" si="506"/>
        <v>1.568037533582298E-2</v>
      </c>
      <c r="R3619">
        <f t="shared" si="507"/>
        <v>1.2973928669884106E-2</v>
      </c>
      <c r="S3619">
        <f t="shared" si="509"/>
        <v>1044.369726026652</v>
      </c>
      <c r="T3619" s="564">
        <f>IF((I3619-MAX(I$470:I3619))/MAX(I$470:I3619)&gt;T3618,T3618,(I3619-MAX(I$470:I3619))/MAX(I$470:I3619))</f>
        <v>-0.91338805338419748</v>
      </c>
      <c r="U3619" s="564">
        <f>IF((J3619-MAX(J$470:J3619))/MAX(J$470:J3619)&gt;U3618,U3618,(J3619-MAX(J$470:J3619))/MAX(J$470:J3619))</f>
        <v>-0.83569785939843477</v>
      </c>
      <c r="V3619" s="564">
        <f>IF((K3619-MAX(K$470:K3619))/MAX(K$470:K3619)&gt;V3618,V3618,(K3619-MAX(K$470:K3619))/MAX(K$470:K3619))</f>
        <v>-0.84885940676762139</v>
      </c>
      <c r="W3619" s="564">
        <f>IF((N3619-MAX(N$470:N3619))/MAX(N$470:N3619)&gt;W3618,W3618,(N3619-MAX(N$470:N3619))/MAX(N$470:N3619))</f>
        <v>-0.62788758315546067</v>
      </c>
      <c r="X3619" s="564">
        <f>IF((O3619-MAX(O$470:O3619))/MAX(O$470:O3619)&gt;X3618,X3618,(O3619-MAX(O$470:O3619))/MAX(O$470:O3619))</f>
        <v>-0.62788758315546067</v>
      </c>
    </row>
    <row r="3620" spans="1:24">
      <c r="A3620" s="799">
        <v>44022</v>
      </c>
      <c r="B3620">
        <v>9238.6895503977994</v>
      </c>
      <c r="C3620">
        <v>52390.163200000003</v>
      </c>
      <c r="D3620">
        <v>1.589407</v>
      </c>
      <c r="E3620">
        <f>LN(D3620/参数实验室!$E$53)/参数实验室!$E$55</f>
        <v>-0.14631666202578247</v>
      </c>
      <c r="F3620">
        <f t="shared" si="508"/>
        <v>5.670735326066259</v>
      </c>
      <c r="G3620">
        <f>LN(F3620/参数实验室!$E$58)/参数实验室!$E$59</f>
        <v>0.72025906170829979</v>
      </c>
      <c r="H3620" s="856">
        <f>INDEX(神经网络!$G$10:$BO$70,MATCH(ROUND(G3620*2,1)/2,神经网络!$E$10:$E$70,0),MATCH(ROUND(E3620*2,1)/2,神经网络!$G$8:$BO$8,0))</f>
        <v>1.2559985930449717</v>
      </c>
      <c r="I3620">
        <f t="shared" si="510"/>
        <v>520693.23835717374</v>
      </c>
      <c r="J3620">
        <f t="shared" si="511"/>
        <v>3686.4808069900555</v>
      </c>
      <c r="K3620">
        <f t="shared" si="512"/>
        <v>141.24398460718157</v>
      </c>
      <c r="L3620" s="4">
        <f>MIN(MAX(L3619*(1+MAX(MIN(((B3620-B3619)/B3619)/($K$7*卓尔金历!$N$40),0),-卓尔金历!$M$43))+MIN(MAX(((B3620-B3619)/B3619)/($K$7*卓尔金历!$N$40),0),卓尔金历!$M$43),0),1)</f>
        <v>0.72036323985494422</v>
      </c>
      <c r="M3620" s="4">
        <f>MIN(MAX(M3619*(1+MAX(MIN(((B3620-B3619)/B3619)/($K$7*30),0),-卓尔金历!$M$43))+MIN(MAX(((B3620-B3619)/B3619)/($K$7*7),0),卓尔金历!$M$43),0),1)</f>
        <v>0.89668765340155943</v>
      </c>
      <c r="N3620">
        <f t="shared" si="513"/>
        <v>165395.86356403891</v>
      </c>
      <c r="O3620">
        <f t="shared" si="514"/>
        <v>478113.23382557399</v>
      </c>
      <c r="P3620">
        <f t="shared" si="515"/>
        <v>1.0778096821833906E-3</v>
      </c>
      <c r="Q3620">
        <f t="shared" si="506"/>
        <v>1.5684635949224143E-2</v>
      </c>
      <c r="R3620">
        <f t="shared" si="507"/>
        <v>1</v>
      </c>
      <c r="S3620">
        <f t="shared" si="509"/>
        <v>1044.3880684626977</v>
      </c>
      <c r="T3620" s="564">
        <f>IF((I3620-MAX(I$470:I3620))/MAX(I$470:I3620)&gt;T3619,T3619,(I3620-MAX(I$470:I3620))/MAX(I$470:I3620))</f>
        <v>-0.91338805338419748</v>
      </c>
      <c r="U3620" s="564">
        <f>IF((J3620-MAX(J$470:J3620))/MAX(J$470:J3620)&gt;U3619,U3619,(J3620-MAX(J$470:J3620))/MAX(J$470:J3620))</f>
        <v>-0.83569785939843477</v>
      </c>
      <c r="V3620" s="564">
        <f>IF((K3620-MAX(K$470:K3620))/MAX(K$470:K3620)&gt;V3619,V3619,(K3620-MAX(K$470:K3620))/MAX(K$470:K3620))</f>
        <v>-0.84885940676762139</v>
      </c>
      <c r="W3620" s="564">
        <f>IF((N3620-MAX(N$470:N3620))/MAX(N$470:N3620)&gt;W3619,W3619,(N3620-MAX(N$470:N3620))/MAX(N$470:N3620))</f>
        <v>-0.62788758315546067</v>
      </c>
      <c r="X3620" s="564">
        <f>IF((O3620-MAX(O$470:O3620))/MAX(O$470:O3620)&gt;X3619,X3619,(O3620-MAX(O$470:O3620))/MAX(O$470:O3620))</f>
        <v>-0.62788758315546067</v>
      </c>
    </row>
    <row r="3621" spans="1:24">
      <c r="A3621" s="799">
        <v>44023</v>
      </c>
      <c r="B3621">
        <v>9240.1111430521996</v>
      </c>
      <c r="C3621">
        <v>53407.938899000001</v>
      </c>
      <c r="D3621">
        <v>1.581043</v>
      </c>
      <c r="E3621">
        <f>LN(D3621/参数实验室!$E$53)/参数实验室!$E$55</f>
        <v>-0.15254131721603298</v>
      </c>
      <c r="F3621">
        <f t="shared" si="508"/>
        <v>5.7800104427486634</v>
      </c>
      <c r="G3621">
        <f>LN(F3621/参数实验室!$E$58)/参数实验室!$E$59</f>
        <v>0.73027678965571441</v>
      </c>
      <c r="H3621" s="856">
        <f>INDEX(神经网络!$G$10:$BO$70,MATCH(ROUND(G3621*2,1)/2,神经网络!$E$10:$E$70,0),MATCH(ROUND(E3621*2,1)/2,神经网络!$G$8:$BO$8,0))</f>
        <v>1.283353527998385</v>
      </c>
      <c r="I3621">
        <f t="shared" si="510"/>
        <v>520793.87030709843</v>
      </c>
      <c r="J3621">
        <f t="shared" si="511"/>
        <v>3687.0480599545817</v>
      </c>
      <c r="K3621">
        <f t="shared" si="512"/>
        <v>141.24954756177323</v>
      </c>
      <c r="L3621" s="4">
        <f>MIN(MAX(L3620*(1+MAX(MIN(((B3621-B3620)/B3620)/($K$7*卓尔金历!$N$40),0),-卓尔金历!$M$43))+MIN(MAX(((B3621-B3620)/B3620)/($K$7*卓尔金历!$N$40),0),卓尔金历!$M$43),0),1)</f>
        <v>0.72271428449610575</v>
      </c>
      <c r="M3621" s="4">
        <f>MIN(MAX(M3620*(1+MAX(MIN(((B3621-B3620)/B3620)/($K$7*30),0),-卓尔金历!$M$43))+MIN(MAX(((B3621-B3620)/B3620)/($K$7*7),0),卓尔金历!$M$43),0),1)</f>
        <v>0.90172560620404851</v>
      </c>
      <c r="N3621">
        <f t="shared" si="513"/>
        <v>165418.89018099371</v>
      </c>
      <c r="O3621">
        <f t="shared" si="514"/>
        <v>478196.09019598045</v>
      </c>
      <c r="P3621">
        <f t="shared" si="515"/>
        <v>1.5387384180898445E-4</v>
      </c>
      <c r="Q3621">
        <f t="shared" si="506"/>
        <v>1.5448022793698711E-2</v>
      </c>
      <c r="R3621">
        <f t="shared" si="507"/>
        <v>1</v>
      </c>
      <c r="S3621">
        <f t="shared" si="509"/>
        <v>1044.5899124661632</v>
      </c>
      <c r="T3621" s="564">
        <f>IF((I3621-MAX(I$470:I3621))/MAX(I$470:I3621)&gt;T3620,T3620,(I3621-MAX(I$470:I3621))/MAX(I$470:I3621))</f>
        <v>-0.91338805338419748</v>
      </c>
      <c r="U3621" s="564">
        <f>IF((J3621-MAX(J$470:J3621))/MAX(J$470:J3621)&gt;U3620,U3620,(J3621-MAX(J$470:J3621))/MAX(J$470:J3621))</f>
        <v>-0.83569785939843477</v>
      </c>
      <c r="V3621" s="564">
        <f>IF((K3621-MAX(K$470:K3621))/MAX(K$470:K3621)&gt;V3620,V3620,(K3621-MAX(K$470:K3621))/MAX(K$470:K3621))</f>
        <v>-0.84885940676762139</v>
      </c>
      <c r="W3621" s="564">
        <f>IF((N3621-MAX(N$470:N3621))/MAX(N$470:N3621)&gt;W3620,W3620,(N3621-MAX(N$470:N3621))/MAX(N$470:N3621))</f>
        <v>-0.62788758315546067</v>
      </c>
      <c r="X3621" s="564">
        <f>IF((O3621-MAX(O$470:O3621))/MAX(O$470:O3621)&gt;X3620,X3620,(O3621-MAX(O$470:O3621))/MAX(O$470:O3621))</f>
        <v>-0.62788758315546067</v>
      </c>
    </row>
    <row r="3622" spans="1:24">
      <c r="A3622" s="799">
        <v>44024</v>
      </c>
      <c r="B3622">
        <v>9218.0103868733004</v>
      </c>
      <c r="C3622">
        <v>53806.228608999998</v>
      </c>
      <c r="D3622">
        <v>1.589696</v>
      </c>
      <c r="E3622">
        <f>LN(D3622/参数实验室!$E$53)/参数实验室!$E$55</f>
        <v>-0.14610216838499948</v>
      </c>
      <c r="F3622">
        <f t="shared" si="508"/>
        <v>5.8370761531817692</v>
      </c>
      <c r="G3622">
        <f>LN(F3622/参数实验室!$E$58)/参数实验室!$E$59</f>
        <v>0.73543323047326392</v>
      </c>
      <c r="H3622" s="856">
        <f>INDEX(神经网络!$G$10:$BO$70,MATCH(ROUND(G3622*2,1)/2,神经网络!$E$10:$E$70,0),MATCH(ROUND(E3622*2,1)/2,神经网络!$G$8:$BO$8,0))</f>
        <v>1.283353527998385</v>
      </c>
      <c r="I3622">
        <f t="shared" si="510"/>
        <v>519195.26183192548</v>
      </c>
      <c r="J3622">
        <f t="shared" si="511"/>
        <v>3678.2292753175366</v>
      </c>
      <c r="K3622">
        <f t="shared" si="512"/>
        <v>141.15358858022901</v>
      </c>
      <c r="L3622" s="4">
        <f>MIN(MAX(L3621*(1+MAX(MIN(((B3622-B3621)/B3621)/($K$7*卓尔金历!$N$40),0),-卓尔金历!$M$43))+MIN(MAX(((B3622-B3621)/B3621)/($K$7*卓尔金历!$N$40),0),卓尔金历!$M$43),0),1)</f>
        <v>0.69630280952876644</v>
      </c>
      <c r="M3622" s="4">
        <f>MIN(MAX(M3621*(1+MAX(MIN(((B3622-B3621)/B3621)/($K$7*30),0),-卓尔金历!$M$43))+MIN(MAX(((B3622-B3621)/B3621)/($K$7*7),0),卓尔金历!$M$43),0),1)</f>
        <v>0.88524889902766268</v>
      </c>
      <c r="N3622">
        <f t="shared" si="513"/>
        <v>165051.92235542895</v>
      </c>
      <c r="O3622">
        <f t="shared" si="514"/>
        <v>476872.49046412238</v>
      </c>
      <c r="P3622">
        <f t="shared" si="515"/>
        <v>-2.3918279592899908E-3</v>
      </c>
      <c r="Q3622">
        <f t="shared" si="506"/>
        <v>1.5211566244373807E-2</v>
      </c>
      <c r="R3622">
        <f t="shared" si="507"/>
        <v>1</v>
      </c>
      <c r="S3622">
        <f t="shared" si="509"/>
        <v>1041.3834801666358</v>
      </c>
      <c r="T3622" s="564">
        <f>IF((I3622-MAX(I$470:I3622))/MAX(I$470:I3622)&gt;T3621,T3621,(I3622-MAX(I$470:I3622))/MAX(I$470:I3622))</f>
        <v>-0.91338805338419748</v>
      </c>
      <c r="U3622" s="564">
        <f>IF((J3622-MAX(J$470:J3622))/MAX(J$470:J3622)&gt;U3621,U3621,(J3622-MAX(J$470:J3622))/MAX(J$470:J3622))</f>
        <v>-0.83569785939843477</v>
      </c>
      <c r="V3622" s="564">
        <f>IF((K3622-MAX(K$470:K3622))/MAX(K$470:K3622)&gt;V3621,V3621,(K3622-MAX(K$470:K3622))/MAX(K$470:K3622))</f>
        <v>-0.84885940676762139</v>
      </c>
      <c r="W3622" s="564">
        <f>IF((N3622-MAX(N$470:N3622))/MAX(N$470:N3622)&gt;W3621,W3621,(N3622-MAX(N$470:N3622))/MAX(N$470:N3622))</f>
        <v>-0.62788758315546067</v>
      </c>
      <c r="X3622" s="564">
        <f>IF((O3622-MAX(O$470:O3622))/MAX(O$470:O3622)&gt;X3621,X3621,(O3622-MAX(O$470:O3622))/MAX(O$470:O3622))</f>
        <v>-0.62788758315546067</v>
      </c>
    </row>
    <row r="3623" spans="1:24">
      <c r="A3623" s="799">
        <v>44025</v>
      </c>
      <c r="B3623">
        <v>9282.0114510091007</v>
      </c>
      <c r="C3623">
        <v>54208.152915999999</v>
      </c>
      <c r="D3623">
        <v>1.580579</v>
      </c>
      <c r="E3623">
        <f>LN(D3623/参数实验室!$E$53)/参数实验室!$E$55</f>
        <v>-0.15288759865583398</v>
      </c>
      <c r="F3623">
        <f t="shared" si="508"/>
        <v>5.8401299332707373</v>
      </c>
      <c r="G3623">
        <f>LN(F3623/参数实验室!$E$58)/参数实验室!$E$59</f>
        <v>0.73570774628655844</v>
      </c>
      <c r="H3623" s="856">
        <f>INDEX(神经网络!$G$10:$BO$70,MATCH(ROUND(G3623*2,1)/2,神经网络!$E$10:$E$70,0),MATCH(ROUND(E3623*2,1)/2,神经网络!$G$8:$BO$8,0))</f>
        <v>1.283353527998385</v>
      </c>
      <c r="I3623">
        <f t="shared" si="510"/>
        <v>523821.48981379915</v>
      </c>
      <c r="J3623">
        <f t="shared" si="511"/>
        <v>3703.7673879769673</v>
      </c>
      <c r="K3623">
        <f t="shared" si="512"/>
        <v>141.42937040652421</v>
      </c>
      <c r="L3623" s="4">
        <f>MIN(MAX(L3622*(1+MAX(MIN(((B3623-B3622)/B3622)/($K$7*卓尔金历!$N$40),0),-卓尔金历!$M$43))+MIN(MAX(((B3623-B3622)/B3622)/($K$7*卓尔金历!$N$40),0),卓尔金历!$M$43),0),1)</f>
        <v>0.80238587970633879</v>
      </c>
      <c r="M3623" s="4">
        <f>MIN(MAX(M3622*(1+MAX(MIN(((B3623-B3622)/B3622)/($K$7*30),0),-卓尔金历!$M$43))+MIN(MAX(((B3623-B3622)/B3622)/($K$7*7),0),卓尔金历!$M$43),0),1)</f>
        <v>1</v>
      </c>
      <c r="N3623">
        <f t="shared" si="513"/>
        <v>166075.95793235922</v>
      </c>
      <c r="O3623">
        <f t="shared" si="514"/>
        <v>480634.01566528121</v>
      </c>
      <c r="P3623">
        <f t="shared" si="515"/>
        <v>6.9430453481523092E-3</v>
      </c>
      <c r="Q3623">
        <f t="shared" si="506"/>
        <v>1.500797840353155E-2</v>
      </c>
      <c r="R3623">
        <f t="shared" si="507"/>
        <v>0.79777873626172269</v>
      </c>
      <c r="S3623">
        <f t="shared" si="509"/>
        <v>1050.6626045153619</v>
      </c>
      <c r="T3623" s="564">
        <f>IF((I3623-MAX(I$470:I3623))/MAX(I$470:I3623)&gt;T3622,T3622,(I3623-MAX(I$470:I3623))/MAX(I$470:I3623))</f>
        <v>-0.91338805338419748</v>
      </c>
      <c r="U3623" s="564">
        <f>IF((J3623-MAX(J$470:J3623))/MAX(J$470:J3623)&gt;U3622,U3622,(J3623-MAX(J$470:J3623))/MAX(J$470:J3623))</f>
        <v>-0.83569785939843477</v>
      </c>
      <c r="V3623" s="564">
        <f>IF((K3623-MAX(K$470:K3623))/MAX(K$470:K3623)&gt;V3622,V3622,(K3623-MAX(K$470:K3623))/MAX(K$470:K3623))</f>
        <v>-0.84885940676762139</v>
      </c>
      <c r="W3623" s="564">
        <f>IF((N3623-MAX(N$470:N3623))/MAX(N$470:N3623)&gt;W3622,W3622,(N3623-MAX(N$470:N3623))/MAX(N$470:N3623))</f>
        <v>-0.62788758315546067</v>
      </c>
      <c r="X3623" s="564">
        <f>IF((O3623-MAX(O$470:O3623))/MAX(O$470:O3623)&gt;X3622,X3622,(O3623-MAX(O$470:O3623))/MAX(O$470:O3623))</f>
        <v>-0.62788758315546067</v>
      </c>
    </row>
    <row r="3624" spans="1:24">
      <c r="A3624" s="799">
        <v>44026</v>
      </c>
      <c r="B3624">
        <v>9241.2476426884004</v>
      </c>
      <c r="C3624">
        <v>55161.954472999998</v>
      </c>
      <c r="D3624">
        <v>1.5838190000000001</v>
      </c>
      <c r="E3624">
        <f>LN(D3624/参数实验室!$E$53)/参数实验室!$E$55</f>
        <v>-0.15047171933457695</v>
      </c>
      <c r="F3624">
        <f t="shared" si="508"/>
        <v>5.9691025071321064</v>
      </c>
      <c r="G3624">
        <f>LN(F3624/参数实验室!$E$58)/参数实验室!$E$59</f>
        <v>0.74717241491704756</v>
      </c>
      <c r="H3624" s="856">
        <f>INDEX(神经网络!$G$10:$BO$70,MATCH(ROUND(G3624*2,1)/2,神经网络!$E$10:$E$70,0),MATCH(ROUND(E3624*2,1)/2,神经网络!$G$8:$BO$8,0))</f>
        <v>1.283353527998385</v>
      </c>
      <c r="I3624">
        <f t="shared" si="510"/>
        <v>520869.17768185661</v>
      </c>
      <c r="J3624">
        <f t="shared" si="511"/>
        <v>3687.5015532853349</v>
      </c>
      <c r="K3624">
        <f t="shared" si="512"/>
        <v>141.2525988545807</v>
      </c>
      <c r="L3624" s="4">
        <f>MIN(MAX(L3623*(1+MAX(MIN(((B3624-B3623)/B3623)/($K$7*卓尔金历!$N$40),0),-卓尔金历!$M$43))+MIN(MAX(((B3624-B3623)/B3623)/($K$7*卓尔金历!$N$40),0),卓尔金历!$M$43),0),1)</f>
        <v>0.74854501741093038</v>
      </c>
      <c r="M3624" s="4">
        <f>MIN(MAX(M3623*(1+MAX(MIN(((B3624-B3623)/B3623)/($K$7*30),0),-卓尔金历!$M$43))+MIN(MAX(((B3624-B3623)/B3623)/($K$7*7),0),卓尔金历!$M$43),0),1)</f>
        <v>0.96644952032610965</v>
      </c>
      <c r="N3624">
        <f t="shared" si="513"/>
        <v>165324.9076679931</v>
      </c>
      <c r="O3624">
        <f t="shared" si="514"/>
        <v>477925.1126075291</v>
      </c>
      <c r="P3624">
        <f t="shared" si="515"/>
        <v>-4.3916998525431244E-3</v>
      </c>
      <c r="Q3624">
        <f t="shared" si="506"/>
        <v>1.445674281361683E-2</v>
      </c>
      <c r="R3624">
        <f t="shared" si="507"/>
        <v>1</v>
      </c>
      <c r="S3624">
        <f t="shared" si="509"/>
        <v>1045.9384435008076</v>
      </c>
      <c r="T3624" s="564">
        <f>IF((I3624-MAX(I$470:I3624))/MAX(I$470:I3624)&gt;T3623,T3623,(I3624-MAX(I$470:I3624))/MAX(I$470:I3624))</f>
        <v>-0.91338805338419748</v>
      </c>
      <c r="U3624" s="564">
        <f>IF((J3624-MAX(J$470:J3624))/MAX(J$470:J3624)&gt;U3623,U3623,(J3624-MAX(J$470:J3624))/MAX(J$470:J3624))</f>
        <v>-0.83569785939843477</v>
      </c>
      <c r="V3624" s="564">
        <f>IF((K3624-MAX(K$470:K3624))/MAX(K$470:K3624)&gt;V3623,V3623,(K3624-MAX(K$470:K3624))/MAX(K$470:K3624))</f>
        <v>-0.84885940676762139</v>
      </c>
      <c r="W3624" s="564">
        <f>IF((N3624-MAX(N$470:N3624))/MAX(N$470:N3624)&gt;W3623,W3623,(N3624-MAX(N$470:N3624))/MAX(N$470:N3624))</f>
        <v>-0.62788758315546067</v>
      </c>
      <c r="X3624" s="564">
        <f>IF((O3624-MAX(O$470:O3624))/MAX(O$470:O3624)&gt;X3623,X3623,(O3624-MAX(O$470:O3624))/MAX(O$470:O3624))</f>
        <v>-0.62788758315546067</v>
      </c>
    </row>
    <row r="3625" spans="1:24">
      <c r="A3625" s="799">
        <v>44027</v>
      </c>
      <c r="B3625">
        <v>9229.4086180839004</v>
      </c>
      <c r="C3625">
        <v>55170.142344</v>
      </c>
      <c r="D3625">
        <v>1.572341</v>
      </c>
      <c r="E3625">
        <f>LN(D3625/参数实验室!$E$53)/参数实验室!$E$55</f>
        <v>-0.15905256912135571</v>
      </c>
      <c r="F3625">
        <f t="shared" si="508"/>
        <v>5.9776465239496313</v>
      </c>
      <c r="G3625">
        <f>LN(F3625/参数实验室!$E$58)/参数实验室!$E$59</f>
        <v>0.74792314007645544</v>
      </c>
      <c r="H3625" s="856">
        <f>INDEX(神经网络!$G$10:$BO$70,MATCH(ROUND(G3625*2,1)/2,神经网络!$E$10:$E$70,0),MATCH(ROUND(E3625*2,1)/2,神经网络!$G$8:$BO$8,0))</f>
        <v>1.283353527998385</v>
      </c>
      <c r="I3625">
        <f t="shared" si="510"/>
        <v>520012.80997395015</v>
      </c>
      <c r="J3625">
        <f t="shared" si="511"/>
        <v>3682.7774702062479</v>
      </c>
      <c r="K3625">
        <f t="shared" si="512"/>
        <v>141.20125752393824</v>
      </c>
      <c r="L3625" s="4">
        <f>MIN(MAX(L3624*(1+MAX(MIN(((B3625-B3624)/B3624)/($K$7*卓尔金历!$N$40),0),-卓尔金历!$M$43))+MIN(MAX(((B3625-B3624)/B3624)/($K$7*卓尔金历!$N$40),0),卓尔金历!$M$43),0),1)</f>
        <v>0.73389293620332829</v>
      </c>
      <c r="M3625" s="4">
        <f>MIN(MAX(M3624*(1+MAX(MIN(((B3625-B3624)/B3624)/($K$7*30),0),-卓尔金历!$M$43))+MIN(MAX(((B3625-B3624)/B3624)/($K$7*7),0),卓尔金历!$M$43),0),1)</f>
        <v>0.95699083946824715</v>
      </c>
      <c r="N3625">
        <f t="shared" si="513"/>
        <v>165121.44354711924</v>
      </c>
      <c r="O3625">
        <f t="shared" si="514"/>
        <v>477165.71250829636</v>
      </c>
      <c r="P3625">
        <f t="shared" si="515"/>
        <v>-1.2811067360441338E-3</v>
      </c>
      <c r="Q3625">
        <f t="shared" si="506"/>
        <v>1.0164448918998968E-2</v>
      </c>
      <c r="R3625">
        <f t="shared" si="507"/>
        <v>1</v>
      </c>
      <c r="S3625">
        <f t="shared" si="509"/>
        <v>1044.2188026661197</v>
      </c>
      <c r="T3625" s="564">
        <f>IF((I3625-MAX(I$470:I3625))/MAX(I$470:I3625)&gt;T3624,T3624,(I3625-MAX(I$470:I3625))/MAX(I$470:I3625))</f>
        <v>-0.91338805338419748</v>
      </c>
      <c r="U3625" s="564">
        <f>IF((J3625-MAX(J$470:J3625))/MAX(J$470:J3625)&gt;U3624,U3624,(J3625-MAX(J$470:J3625))/MAX(J$470:J3625))</f>
        <v>-0.83569785939843477</v>
      </c>
      <c r="V3625" s="564">
        <f>IF((K3625-MAX(K$470:K3625))/MAX(K$470:K3625)&gt;V3624,V3624,(K3625-MAX(K$470:K3625))/MAX(K$470:K3625))</f>
        <v>-0.84885940676762139</v>
      </c>
      <c r="W3625" s="564">
        <f>IF((N3625-MAX(N$470:N3625))/MAX(N$470:N3625)&gt;W3624,W3624,(N3625-MAX(N$470:N3625))/MAX(N$470:N3625))</f>
        <v>-0.62788758315546067</v>
      </c>
      <c r="X3625" s="564">
        <f>IF((O3625-MAX(O$470:O3625))/MAX(O$470:O3625)&gt;X3624,X3624,(O3625-MAX(O$470:O3625))/MAX(O$470:O3625))</f>
        <v>-0.62788758315546067</v>
      </c>
    </row>
    <row r="3626" spans="1:24">
      <c r="A3626" s="799">
        <v>44028</v>
      </c>
      <c r="B3626">
        <v>9126.0400482256991</v>
      </c>
      <c r="C3626">
        <v>55696.546014</v>
      </c>
      <c r="D3626">
        <v>1.5613079999999999</v>
      </c>
      <c r="E3626">
        <f>LN(D3626/参数实验室!$E$53)/参数实验室!$E$55</f>
        <v>-0.16735999048524935</v>
      </c>
      <c r="F3626">
        <f t="shared" si="508"/>
        <v>6.1030354589369376</v>
      </c>
      <c r="G3626">
        <f>LN(F3626/参数实验室!$E$58)/参数实验室!$E$59</f>
        <v>0.75881875888251971</v>
      </c>
      <c r="H3626" s="856">
        <f>INDEX(神经网络!$G$10:$BO$70,MATCH(ROUND(G3626*2,1)/2,神经网络!$E$10:$E$70,0),MATCH(ROUND(E3626*2,1)/2,神经网络!$G$8:$BO$8,0))</f>
        <v>1.283353527998385</v>
      </c>
      <c r="I3626">
        <f t="shared" si="510"/>
        <v>512538.43323026673</v>
      </c>
      <c r="J3626">
        <f t="shared" si="511"/>
        <v>3641.5306844202851</v>
      </c>
      <c r="K3626">
        <f t="shared" si="512"/>
        <v>140.74807482004246</v>
      </c>
      <c r="L3626" s="4">
        <f>MIN(MAX(L3625*(1+MAX(MIN(((B3626-B3625)/B3625)/($K$7*卓尔金历!$N$40),0),-卓尔金历!$M$43))+MIN(MAX(((B3626-B3625)/B3625)/($K$7*卓尔金历!$N$40),0),卓尔金历!$M$43),0),1)</f>
        <v>0.60830630248309292</v>
      </c>
      <c r="M3626" s="4">
        <f>MIN(MAX(M3625*(1+MAX(MIN(((B3626-B3625)/B3625)/($K$7*30),0),-卓尔金历!$M$43))+MIN(MAX(((B3626-B3625)/B3625)/($K$7*7),0),卓尔金历!$M$43),0),1)</f>
        <v>0.8751088290951281</v>
      </c>
      <c r="N3626">
        <f t="shared" si="513"/>
        <v>163379.64819755772</v>
      </c>
      <c r="O3626">
        <f t="shared" si="514"/>
        <v>470602.17529014841</v>
      </c>
      <c r="P3626">
        <f t="shared" si="515"/>
        <v>-1.1199912598480376E-2</v>
      </c>
      <c r="Q3626">
        <f t="shared" si="506"/>
        <v>1.0441915254481297E-2</v>
      </c>
      <c r="R3626">
        <f t="shared" si="507"/>
        <v>9.4521451205796247E-3</v>
      </c>
      <c r="S3626">
        <f t="shared" si="509"/>
        <v>1029.2097786877382</v>
      </c>
      <c r="T3626" s="564">
        <f>IF((I3626-MAX(I$470:I3626))/MAX(I$470:I3626)&gt;T3625,T3625,(I3626-MAX(I$470:I3626))/MAX(I$470:I3626))</f>
        <v>-0.91338805338419748</v>
      </c>
      <c r="U3626" s="564">
        <f>IF((J3626-MAX(J$470:J3626))/MAX(J$470:J3626)&gt;U3625,U3625,(J3626-MAX(J$470:J3626))/MAX(J$470:J3626))</f>
        <v>-0.83569785939843477</v>
      </c>
      <c r="V3626" s="564">
        <f>IF((K3626-MAX(K$470:K3626))/MAX(K$470:K3626)&gt;V3625,V3625,(K3626-MAX(K$470:K3626))/MAX(K$470:K3626))</f>
        <v>-0.84885940676762139</v>
      </c>
      <c r="W3626" s="564">
        <f>IF((N3626-MAX(N$470:N3626))/MAX(N$470:N3626)&gt;W3625,W3625,(N3626-MAX(N$470:N3626))/MAX(N$470:N3626))</f>
        <v>-0.62788758315546067</v>
      </c>
      <c r="X3626" s="564">
        <f>IF((O3626-MAX(O$470:O3626))/MAX(O$470:O3626)&gt;X3625,X3625,(O3626-MAX(O$470:O3626))/MAX(O$470:O3626))</f>
        <v>-0.62788758315546067</v>
      </c>
    </row>
    <row r="3627" spans="1:24">
      <c r="A3627" s="799">
        <v>44029</v>
      </c>
      <c r="B3627">
        <v>9136.0604308223992</v>
      </c>
      <c r="C3627">
        <v>56455.509069</v>
      </c>
      <c r="D3627">
        <v>1.565366</v>
      </c>
      <c r="E3627">
        <f>LN(D3627/参数实验室!$E$53)/参数实验室!$E$55</f>
        <v>-0.16429766844456728</v>
      </c>
      <c r="F3627">
        <f t="shared" si="508"/>
        <v>6.1794150220959141</v>
      </c>
      <c r="G3627">
        <f>LN(F3627/参数实验室!$E$58)/参数实验室!$E$59</f>
        <v>0.76534655060529333</v>
      </c>
      <c r="H3627" s="856">
        <f>INDEX(神经网络!$G$10:$BO$70,MATCH(ROUND(G3627*2,1)/2,神经网络!$E$10:$E$70,0),MATCH(ROUND(E3627*2,1)/2,神经网络!$G$8:$BO$8,0))</f>
        <v>1.283353527998385</v>
      </c>
      <c r="I3627">
        <f t="shared" si="510"/>
        <v>513260.66182562429</v>
      </c>
      <c r="J3627">
        <f t="shared" si="511"/>
        <v>3645.5290813704069</v>
      </c>
      <c r="K3627">
        <f t="shared" si="512"/>
        <v>140.79181659762872</v>
      </c>
      <c r="L3627" s="4">
        <f>MIN(MAX(L3626*(1+MAX(MIN(((B3627-B3626)/B3626)/($K$7*卓尔金历!$N$40),0),-卓尔金历!$M$43))+MIN(MAX(((B3627-B3626)/B3626)/($K$7*卓尔金历!$N$40),0),卓尔金历!$M$43),0),1)</f>
        <v>0.62508267311336496</v>
      </c>
      <c r="M3627" s="4">
        <f>MIN(MAX(M3626*(1+MAX(MIN(((B3627-B3626)/B3626)/($K$7*30),0),-卓尔金历!$M$43))+MIN(MAX(((B3627-B3626)/B3626)/($K$7*7),0),卓尔金历!$M$43),0),1)</f>
        <v>0.91105819473142535</v>
      </c>
      <c r="N3627">
        <f t="shared" si="513"/>
        <v>163519.69349013802</v>
      </c>
      <c r="O3627">
        <f t="shared" si="514"/>
        <v>471182.49088080926</v>
      </c>
      <c r="P3627">
        <f t="shared" si="515"/>
        <v>1.0979989725826652E-3</v>
      </c>
      <c r="Q3627">
        <f t="shared" si="506"/>
        <v>1.024369364832938E-2</v>
      </c>
      <c r="R3627">
        <f t="shared" si="507"/>
        <v>1</v>
      </c>
      <c r="S3627">
        <f t="shared" si="509"/>
        <v>1029.2234869538711</v>
      </c>
      <c r="T3627" s="564">
        <f>IF((I3627-MAX(I$470:I3627))/MAX(I$470:I3627)&gt;T3626,T3626,(I3627-MAX(I$470:I3627))/MAX(I$470:I3627))</f>
        <v>-0.91338805338419748</v>
      </c>
      <c r="U3627" s="564">
        <f>IF((J3627-MAX(J$470:J3627))/MAX(J$470:J3627)&gt;U3626,U3626,(J3627-MAX(J$470:J3627))/MAX(J$470:J3627))</f>
        <v>-0.83569785939843477</v>
      </c>
      <c r="V3627" s="564">
        <f>IF((K3627-MAX(K$470:K3627))/MAX(K$470:K3627)&gt;V3626,V3626,(K3627-MAX(K$470:K3627))/MAX(K$470:K3627))</f>
        <v>-0.84885940676762139</v>
      </c>
      <c r="W3627" s="564">
        <f>IF((N3627-MAX(N$470:N3627))/MAX(N$470:N3627)&gt;W3626,W3626,(N3627-MAX(N$470:N3627))/MAX(N$470:N3627))</f>
        <v>-0.62788758315546067</v>
      </c>
      <c r="X3627" s="564">
        <f>IF((O3627-MAX(O$470:O3627))/MAX(O$470:O3627)&gt;X3626,X3626,(O3627-MAX(O$470:O3627))/MAX(O$470:O3627))</f>
        <v>-0.62788758315546067</v>
      </c>
    </row>
    <row r="3628" spans="1:24">
      <c r="A3628" s="799">
        <v>44030</v>
      </c>
      <c r="B3628">
        <v>9172.4076628579005</v>
      </c>
      <c r="C3628">
        <v>56198.671168000001</v>
      </c>
      <c r="D3628">
        <v>1.568541</v>
      </c>
      <c r="E3628">
        <f>LN(D3628/参数实验室!$E$53)/参数实验室!$E$55</f>
        <v>-0.16190722237763366</v>
      </c>
      <c r="F3628">
        <f t="shared" si="508"/>
        <v>6.1269268913512134</v>
      </c>
      <c r="G3628">
        <f>LN(F3628/参数实验室!$E$58)/参数实验室!$E$59</f>
        <v>0.7608693834862158</v>
      </c>
      <c r="H3628" s="856">
        <f>INDEX(神经网络!$G$10:$BO$70,MATCH(ROUND(G3628*2,1)/2,神经网络!$E$10:$E$70,0),MATCH(ROUND(E3628*2,1)/2,神经网络!$G$8:$BO$8,0))</f>
        <v>1.283353527998385</v>
      </c>
      <c r="I3628">
        <f t="shared" si="510"/>
        <v>515881.23727677827</v>
      </c>
      <c r="J3628">
        <f t="shared" si="511"/>
        <v>3660.0325856342038</v>
      </c>
      <c r="K3628">
        <f t="shared" si="512"/>
        <v>140.94990282371688</v>
      </c>
      <c r="L3628" s="4">
        <f>MIN(MAX(L3627*(1+MAX(MIN(((B3628-B3627)/B3627)/($K$7*卓尔金历!$N$40),0),-卓尔金历!$M$43))+MIN(MAX(((B3628-B3627)/B3627)/($K$7*卓尔金历!$N$40),0),卓尔金历!$M$43),0),1)</f>
        <v>0.68586935790800252</v>
      </c>
      <c r="M3628" s="4">
        <f>MIN(MAX(M3627*(1+MAX(MIN(((B3628-B3627)/B3627)/($K$7*30),0),-卓尔金历!$M$43))+MIN(MAX(((B3628-B3627)/B3627)/($K$7*7),0),卓尔金历!$M$43),0),1)</f>
        <v>1</v>
      </c>
      <c r="N3628">
        <f t="shared" si="513"/>
        <v>164041.56815487787</v>
      </c>
      <c r="O3628">
        <f t="shared" si="514"/>
        <v>473374.25569826807</v>
      </c>
      <c r="P3628">
        <f t="shared" si="515"/>
        <v>3.9784360349540103E-3</v>
      </c>
      <c r="Q3628">
        <f t="shared" ref="Q3628:Q3691" si="516">STDEVP(P3608:P3628)</f>
        <v>1.0269758627299631E-2</v>
      </c>
      <c r="R3628">
        <f t="shared" ref="R3628:R3691" si="517">MIN(Q3627*MAX(1-LN(MAX(ABS(P3628),0.0001)/Q3628),0)+MAX(-LN(MAX(ABS(P3628),0.0001)/Q3628),0),1)</f>
        <v>0.96827267421512908</v>
      </c>
      <c r="S3628">
        <f t="shared" si="509"/>
        <v>1034.4784343992274</v>
      </c>
      <c r="T3628" s="564">
        <f>IF((I3628-MAX(I$470:I3628))/MAX(I$470:I3628)&gt;T3627,T3627,(I3628-MAX(I$470:I3628))/MAX(I$470:I3628))</f>
        <v>-0.91338805338419748</v>
      </c>
      <c r="U3628" s="564">
        <f>IF((J3628-MAX(J$470:J3628))/MAX(J$470:J3628)&gt;U3627,U3627,(J3628-MAX(J$470:J3628))/MAX(J$470:J3628))</f>
        <v>-0.83569785939843477</v>
      </c>
      <c r="V3628" s="564">
        <f>IF((K3628-MAX(K$470:K3628))/MAX(K$470:K3628)&gt;V3627,V3627,(K3628-MAX(K$470:K3628))/MAX(K$470:K3628))</f>
        <v>-0.84885940676762139</v>
      </c>
      <c r="W3628" s="564">
        <f>IF((N3628-MAX(N$470:N3628))/MAX(N$470:N3628)&gt;W3627,W3627,(N3628-MAX(N$470:N3628))/MAX(N$470:N3628))</f>
        <v>-0.62788758315546067</v>
      </c>
      <c r="X3628" s="564">
        <f>IF((O3628-MAX(O$470:O3628))/MAX(O$470:O3628)&gt;X3627,X3627,(O3628-MAX(O$470:O3628))/MAX(O$470:O3628))</f>
        <v>-0.62788758315546067</v>
      </c>
    </row>
    <row r="3629" spans="1:24">
      <c r="A3629" s="799">
        <v>44031</v>
      </c>
      <c r="B3629">
        <v>9136.0264008410995</v>
      </c>
      <c r="C3629">
        <v>56661.495527999999</v>
      </c>
      <c r="D3629">
        <v>1.5754490000000001</v>
      </c>
      <c r="E3629">
        <f>LN(D3629/参数实验室!$E$53)/参数实验室!$E$55</f>
        <v>-0.15672288748834542</v>
      </c>
      <c r="F3629">
        <f t="shared" si="508"/>
        <v>6.2019846530635583</v>
      </c>
      <c r="G3629">
        <f>LN(F3629/参数实验室!$E$58)/参数实验室!$E$59</f>
        <v>0.76726002977494556</v>
      </c>
      <c r="H3629" s="856">
        <f>INDEX(神经网络!$G$10:$BO$70,MATCH(ROUND(G3629*2,1)/2,神经网络!$E$10:$E$70,0),MATCH(ROUND(E3629*2,1)/2,神经网络!$G$8:$BO$8,0))</f>
        <v>1.283353527998385</v>
      </c>
      <c r="I3629">
        <f t="shared" si="510"/>
        <v>513255.26308681269</v>
      </c>
      <c r="J3629">
        <f t="shared" si="511"/>
        <v>3645.5155025103059</v>
      </c>
      <c r="K3629">
        <f t="shared" si="512"/>
        <v>140.79086009465178</v>
      </c>
      <c r="L3629" s="4">
        <f>MIN(MAX(L3628*(1+MAX(MIN(((B3629-B3628)/B3628)/($K$7*卓尔金历!$N$40),0),-卓尔金历!$M$43))+MIN(MAX(((B3629-B3628)/B3628)/($K$7*卓尔金历!$N$40),0),卓尔金历!$M$43),0),1)</f>
        <v>0.64430396495022213</v>
      </c>
      <c r="M3629" s="4">
        <f>MIN(MAX(M3628*(1+MAX(MIN(((B3629-B3628)/B3628)/($K$7*30),0),-卓尔金历!$M$43))+MIN(MAX(((B3629-B3628)/B3628)/($K$7*7),0),卓尔金历!$M$43),0),1)</f>
        <v>0.96969875350273649</v>
      </c>
      <c r="N3629">
        <f t="shared" si="513"/>
        <v>163468.85648405075</v>
      </c>
      <c r="O3629">
        <f t="shared" si="514"/>
        <v>470964.65347233776</v>
      </c>
      <c r="P3629">
        <f t="shared" si="515"/>
        <v>-3.9663808406729117E-3</v>
      </c>
      <c r="Q3629">
        <f t="shared" si="516"/>
        <v>1.0311280711394359E-2</v>
      </c>
      <c r="R3629">
        <f t="shared" si="517"/>
        <v>0.97546578515894034</v>
      </c>
      <c r="S3629">
        <f t="shared" si="509"/>
        <v>1029.3797299599578</v>
      </c>
      <c r="T3629" s="564">
        <f>IF((I3629-MAX(I$470:I3629))/MAX(I$470:I3629)&gt;T3628,T3628,(I3629-MAX(I$470:I3629))/MAX(I$470:I3629))</f>
        <v>-0.91338805338419748</v>
      </c>
      <c r="U3629" s="564">
        <f>IF((J3629-MAX(J$470:J3629))/MAX(J$470:J3629)&gt;U3628,U3628,(J3629-MAX(J$470:J3629))/MAX(J$470:J3629))</f>
        <v>-0.83569785939843477</v>
      </c>
      <c r="V3629" s="564">
        <f>IF((K3629-MAX(K$470:K3629))/MAX(K$470:K3629)&gt;V3628,V3628,(K3629-MAX(K$470:K3629))/MAX(K$470:K3629))</f>
        <v>-0.84885940676762139</v>
      </c>
      <c r="W3629" s="564">
        <f>IF((N3629-MAX(N$470:N3629))/MAX(N$470:N3629)&gt;W3628,W3628,(N3629-MAX(N$470:N3629))/MAX(N$470:N3629))</f>
        <v>-0.62788758315546067</v>
      </c>
      <c r="X3629" s="564">
        <f>IF((O3629-MAX(O$470:O3629))/MAX(O$470:O3629)&gt;X3628,X3628,(O3629-MAX(O$470:O3629))/MAX(O$470:O3629))</f>
        <v>-0.62788758315546067</v>
      </c>
    </row>
    <row r="3630" spans="1:24">
      <c r="A3630" s="799">
        <v>44032</v>
      </c>
      <c r="B3630">
        <v>9176.0740930631</v>
      </c>
      <c r="C3630">
        <v>56517.884336000003</v>
      </c>
      <c r="D3630">
        <v>1.566567</v>
      </c>
      <c r="E3630">
        <f>LN(D3630/参数实验室!$E$53)/参数实验室!$E$55</f>
        <v>-0.16339287021583057</v>
      </c>
      <c r="F3630">
        <f t="shared" si="508"/>
        <v>6.1592663444954328</v>
      </c>
      <c r="G3630">
        <f>LN(F3630/参数实验室!$E$58)/参数实验室!$E$59</f>
        <v>0.76363240887701644</v>
      </c>
      <c r="H3630" s="856">
        <f>INDEX(神经网络!$G$10:$BO$70,MATCH(ROUND(G3630*2,1)/2,神经网络!$E$10:$E$70,0),MATCH(ROUND(E3630*2,1)/2,神经网络!$G$8:$BO$8,0))</f>
        <v>1.283353527998385</v>
      </c>
      <c r="I3630">
        <f t="shared" si="510"/>
        <v>516142.61599501857</v>
      </c>
      <c r="J3630">
        <f t="shared" si="511"/>
        <v>3661.4955879905342</v>
      </c>
      <c r="K3630">
        <f t="shared" si="512"/>
        <v>140.96497007614391</v>
      </c>
      <c r="L3630" s="4">
        <f>MIN(MAX(L3629*(1+MAX(MIN(((B3630-B3629)/B3629)/($K$7*卓尔金历!$N$40),0),-卓尔金历!$M$43))+MIN(MAX(((B3630-B3629)/B3629)/($K$7*卓尔金历!$N$40),0),卓尔金历!$M$43),0),1)</f>
        <v>0.71127950545441143</v>
      </c>
      <c r="M3630" s="4">
        <f>MIN(MAX(M3629*(1+MAX(MIN(((B3630-B3629)/B3629)/($K$7*30),0),-卓尔金历!$M$43))+MIN(MAX(((B3630-B3629)/B3629)/($K$7*7),0),卓尔金历!$M$43),0),1)</f>
        <v>1</v>
      </c>
      <c r="N3630">
        <f t="shared" si="513"/>
        <v>164061.3618476043</v>
      </c>
      <c r="O3630">
        <f t="shared" si="514"/>
        <v>473533.81617647107</v>
      </c>
      <c r="P3630">
        <f t="shared" si="515"/>
        <v>4.3834912975200604E-3</v>
      </c>
      <c r="Q3630">
        <f t="shared" si="516"/>
        <v>1.0346814818853082E-2</v>
      </c>
      <c r="R3630">
        <f t="shared" si="517"/>
        <v>0.8780001697262545</v>
      </c>
      <c r="S3630">
        <f t="shared" si="509"/>
        <v>1035.0285028027579</v>
      </c>
      <c r="T3630" s="564">
        <f>IF((I3630-MAX(I$470:I3630))/MAX(I$470:I3630)&gt;T3629,T3629,(I3630-MAX(I$470:I3630))/MAX(I$470:I3630))</f>
        <v>-0.91338805338419748</v>
      </c>
      <c r="U3630" s="564">
        <f>IF((J3630-MAX(J$470:J3630))/MAX(J$470:J3630)&gt;U3629,U3629,(J3630-MAX(J$470:J3630))/MAX(J$470:J3630))</f>
        <v>-0.83569785939843477</v>
      </c>
      <c r="V3630" s="564">
        <f>IF((K3630-MAX(K$470:K3630))/MAX(K$470:K3630)&gt;V3629,V3629,(K3630-MAX(K$470:K3630))/MAX(K$470:K3630))</f>
        <v>-0.84885940676762139</v>
      </c>
      <c r="W3630" s="564">
        <f>IF((N3630-MAX(N$470:N3630))/MAX(N$470:N3630)&gt;W3629,W3629,(N3630-MAX(N$470:N3630))/MAX(N$470:N3630))</f>
        <v>-0.62788758315546067</v>
      </c>
      <c r="X3630" s="564">
        <f>IF((O3630-MAX(O$470:O3630))/MAX(O$470:O3630)&gt;X3629,X3629,(O3630-MAX(O$470:O3630))/MAX(O$470:O3630))</f>
        <v>-0.62788758315546067</v>
      </c>
    </row>
    <row r="3631" spans="1:24">
      <c r="A3631" s="799">
        <v>44033</v>
      </c>
      <c r="B3631">
        <v>9340.3848931576995</v>
      </c>
      <c r="C3631">
        <v>57330.784507999997</v>
      </c>
      <c r="D3631">
        <v>1.6036539999999999</v>
      </c>
      <c r="E3631">
        <f>LN(D3631/参数实验室!$E$53)/参数实验室!$E$55</f>
        <v>-0.13578879800630206</v>
      </c>
      <c r="F3631">
        <f t="shared" si="508"/>
        <v>6.1379466867578092</v>
      </c>
      <c r="G3631">
        <f>LN(F3631/参数实验室!$E$58)/参数实验室!$E$59</f>
        <v>0.76181252989414527</v>
      </c>
      <c r="H3631" s="856">
        <f>INDEX(神经网络!$G$10:$BO$70,MATCH(ROUND(G3631*2,1)/2,神经网络!$E$10:$E$70,0),MATCH(ROUND(E3631*2,1)/2,神经网络!$G$8:$BO$8,0))</f>
        <v>1.283353527998385</v>
      </c>
      <c r="I3631">
        <f t="shared" si="510"/>
        <v>528003.72306335415</v>
      </c>
      <c r="J3631">
        <f t="shared" si="511"/>
        <v>3727.0599310313537</v>
      </c>
      <c r="K3631">
        <f t="shared" si="512"/>
        <v>141.66762349787189</v>
      </c>
      <c r="L3631" s="4">
        <f>MIN(MAX(L3630*(1+MAX(MIN(((B3631-B3630)/B3630)/($K$7*卓尔金历!$N$40),0),-卓尔金历!$M$43))+MIN(MAX(((B3631-B3630)/B3630)/($K$7*卓尔金历!$N$40),0),卓尔金历!$M$43),0),1)</f>
        <v>0.98487269168031855</v>
      </c>
      <c r="M3631" s="4">
        <f>MIN(MAX(M3630*(1+MAX(MIN(((B3631-B3630)/B3630)/($K$7*30),0),-卓尔金历!$M$43))+MIN(MAX(((B3631-B3630)/B3630)/($K$7*7),0),卓尔金历!$M$43),0),1)</f>
        <v>1</v>
      </c>
      <c r="N3631">
        <f t="shared" si="513"/>
        <v>166743.01197451388</v>
      </c>
      <c r="O3631">
        <f t="shared" si="514"/>
        <v>484415.76066252933</v>
      </c>
      <c r="P3631">
        <f t="shared" si="515"/>
        <v>1.7906437810786057E-2</v>
      </c>
      <c r="Q3631">
        <f t="shared" si="516"/>
        <v>1.0978039665950439E-2</v>
      </c>
      <c r="R3631">
        <f t="shared" si="517"/>
        <v>5.2844968240205389E-3</v>
      </c>
      <c r="S3631">
        <f t="shared" si="509"/>
        <v>1055.9119609895188</v>
      </c>
      <c r="T3631" s="564">
        <f>IF((I3631-MAX(I$470:I3631))/MAX(I$470:I3631)&gt;T3630,T3630,(I3631-MAX(I$470:I3631))/MAX(I$470:I3631))</f>
        <v>-0.91338805338419748</v>
      </c>
      <c r="U3631" s="564">
        <f>IF((J3631-MAX(J$470:J3631))/MAX(J$470:J3631)&gt;U3630,U3630,(J3631-MAX(J$470:J3631))/MAX(J$470:J3631))</f>
        <v>-0.83569785939843477</v>
      </c>
      <c r="V3631" s="564">
        <f>IF((K3631-MAX(K$470:K3631))/MAX(K$470:K3631)&gt;V3630,V3630,(K3631-MAX(K$470:K3631))/MAX(K$470:K3631))</f>
        <v>-0.84885940676762139</v>
      </c>
      <c r="W3631" s="564">
        <f>IF((N3631-MAX(N$470:N3631))/MAX(N$470:N3631)&gt;W3630,W3630,(N3631-MAX(N$470:N3631))/MAX(N$470:N3631))</f>
        <v>-0.62788758315546067</v>
      </c>
      <c r="X3631" s="564">
        <f>IF((O3631-MAX(O$470:O3631))/MAX(O$470:O3631)&gt;X3630,X3630,(O3631-MAX(O$470:O3631))/MAX(O$470:O3631))</f>
        <v>-0.62788758315546067</v>
      </c>
    </row>
    <row r="3632" spans="1:24">
      <c r="A3632" s="799">
        <v>44034</v>
      </c>
      <c r="B3632">
        <v>9340.1684153828992</v>
      </c>
      <c r="C3632">
        <v>57300.961959</v>
      </c>
      <c r="D3632">
        <v>1.626706</v>
      </c>
      <c r="E3632">
        <f>LN(D3632/参数实验室!$E$53)/参数实验室!$E$55</f>
        <v>-0.11895096357049215</v>
      </c>
      <c r="F3632">
        <f t="shared" si="508"/>
        <v>6.1348960115780686</v>
      </c>
      <c r="G3632">
        <f>LN(F3632/参数实验室!$E$58)/参数实验室!$E$59</f>
        <v>0.76155160269503597</v>
      </c>
      <c r="H3632" s="856">
        <f>INDEX(神经网络!$G$10:$BO$70,MATCH(ROUND(G3632*2,1)/2,神经网络!$E$10:$E$70,0),MATCH(ROUND(E3632*2,1)/2,神经网络!$G$8:$BO$8,0))</f>
        <v>1.3763380156967051</v>
      </c>
      <c r="I3632">
        <f t="shared" si="510"/>
        <v>527988.01828411105</v>
      </c>
      <c r="J3632">
        <f t="shared" si="511"/>
        <v>3726.9735506894676</v>
      </c>
      <c r="K3632">
        <f t="shared" si="512"/>
        <v>141.66669312328133</v>
      </c>
      <c r="L3632" s="4">
        <f>MIN(MAX(L3631*(1+MAX(MIN(((B3632-B3631)/B3631)/($K$7*卓尔金历!$N$40),0),-卓尔金历!$M$43))+MIN(MAX(((B3632-B3631)/B3631)/($K$7*卓尔金历!$N$40),0),卓尔金历!$M$43),0),1)</f>
        <v>0.98452393324834797</v>
      </c>
      <c r="M3632" s="4">
        <f>MIN(MAX(M3631*(1+MAX(MIN(((B3632-B3631)/B3631)/($K$7*30),0),-卓尔金历!$M$43))+MIN(MAX(((B3632-B3631)/B3631)/($K$7*7),0),卓尔金历!$M$43),0),1)</f>
        <v>0.99982294237878833</v>
      </c>
      <c r="N3632">
        <f t="shared" si="513"/>
        <v>166738.12744667754</v>
      </c>
      <c r="O3632">
        <f t="shared" si="514"/>
        <v>484401.3523501429</v>
      </c>
      <c r="P3632">
        <f t="shared" si="515"/>
        <v>-2.3176536864008358E-5</v>
      </c>
      <c r="Q3632">
        <f t="shared" si="516"/>
        <v>1.0813090176627868E-2</v>
      </c>
      <c r="R3632">
        <f t="shared" si="517"/>
        <v>1</v>
      </c>
      <c r="S3632">
        <f t="shared" si="509"/>
        <v>1055.9117950208151</v>
      </c>
      <c r="T3632" s="564">
        <f>IF((I3632-MAX(I$470:I3632))/MAX(I$470:I3632)&gt;T3631,T3631,(I3632-MAX(I$470:I3632))/MAX(I$470:I3632))</f>
        <v>-0.91338805338419748</v>
      </c>
      <c r="U3632" s="564">
        <f>IF((J3632-MAX(J$470:J3632))/MAX(J$470:J3632)&gt;U3631,U3631,(J3632-MAX(J$470:J3632))/MAX(J$470:J3632))</f>
        <v>-0.83569785939843477</v>
      </c>
      <c r="V3632" s="564">
        <f>IF((K3632-MAX(K$470:K3632))/MAX(K$470:K3632)&gt;V3631,V3631,(K3632-MAX(K$470:K3632))/MAX(K$470:K3632))</f>
        <v>-0.84885940676762139</v>
      </c>
      <c r="W3632" s="564">
        <f>IF((N3632-MAX(N$470:N3632))/MAX(N$470:N3632)&gt;W3631,W3631,(N3632-MAX(N$470:N3632))/MAX(N$470:N3632))</f>
        <v>-0.62788758315546067</v>
      </c>
      <c r="X3632" s="564">
        <f>IF((O3632-MAX(O$470:O3632))/MAX(O$470:O3632)&gt;X3631,X3631,(O3632-MAX(O$470:O3632))/MAX(O$470:O3632))</f>
        <v>-0.62788758315546067</v>
      </c>
    </row>
    <row r="3633" spans="1:24">
      <c r="A3633" s="799">
        <v>44035</v>
      </c>
      <c r="B3633">
        <v>9533.5342044419995</v>
      </c>
      <c r="C3633">
        <v>58168.966757000002</v>
      </c>
      <c r="D3633">
        <v>1.638784</v>
      </c>
      <c r="E3633">
        <f>LN(D3633/参数实验室!$E$53)/参数实验室!$E$55</f>
        <v>-0.11022386616212489</v>
      </c>
      <c r="F3633">
        <f t="shared" si="508"/>
        <v>6.1015113083558346</v>
      </c>
      <c r="G3633">
        <f>LN(F3633/参数实验室!$E$58)/参数实验室!$E$59</f>
        <v>0.75868766731244031</v>
      </c>
      <c r="H3633" s="856">
        <f>INDEX(神经网络!$G$10:$BO$70,MATCH(ROUND(G3633*2,1)/2,神经网络!$E$10:$E$70,0),MATCH(ROUND(E3633*2,1)/2,神经网络!$G$8:$BO$8,0))</f>
        <v>1.3763380156967051</v>
      </c>
      <c r="I3633">
        <f t="shared" si="510"/>
        <v>543032.39172631863</v>
      </c>
      <c r="J3633">
        <f t="shared" si="511"/>
        <v>3804.1316006711518</v>
      </c>
      <c r="K3633">
        <f t="shared" si="512"/>
        <v>142.74805625297321</v>
      </c>
      <c r="L3633" s="4">
        <f>MIN(MAX(L3632*(1+MAX(MIN(((B3633-B3632)/B3632)/($K$7*卓尔金历!$N$40),0),-卓尔金历!$M$43))+MIN(MAX(((B3633-B3632)/B3632)/($K$7*卓尔金历!$N$40),0),卓尔金历!$M$43),0),1)</f>
        <v>1</v>
      </c>
      <c r="M3633" s="4">
        <f>MIN(MAX(M3632*(1+MAX(MIN(((B3633-B3632)/B3632)/($K$7*30),0),-卓尔金历!$M$43))+MIN(MAX(((B3633-B3632)/B3632)/($K$7*7),0),卓尔金历!$M$43),0),1)</f>
        <v>1</v>
      </c>
      <c r="N3633">
        <f t="shared" si="513"/>
        <v>171415.59987316522</v>
      </c>
      <c r="O3633">
        <f t="shared" si="514"/>
        <v>498201.33317982714</v>
      </c>
      <c r="P3633">
        <f t="shared" si="515"/>
        <v>2.0702601972426349E-2</v>
      </c>
      <c r="Q3633">
        <f t="shared" si="516"/>
        <v>1.0659027293941888E-2</v>
      </c>
      <c r="R3633">
        <f t="shared" si="517"/>
        <v>3.6347962018918583E-3</v>
      </c>
      <c r="S3633">
        <f t="shared" si="509"/>
        <v>1085.9987114208325</v>
      </c>
      <c r="T3633" s="564">
        <f>IF((I3633-MAX(I$470:I3633))/MAX(I$470:I3633)&gt;T3632,T3632,(I3633-MAX(I$470:I3633))/MAX(I$470:I3633))</f>
        <v>-0.91338805338419748</v>
      </c>
      <c r="U3633" s="564">
        <f>IF((J3633-MAX(J$470:J3633))/MAX(J$470:J3633)&gt;U3632,U3632,(J3633-MAX(J$470:J3633))/MAX(J$470:J3633))</f>
        <v>-0.83569785939843477</v>
      </c>
      <c r="V3633" s="564">
        <f>IF((K3633-MAX(K$470:K3633))/MAX(K$470:K3633)&gt;V3632,V3632,(K3633-MAX(K$470:K3633))/MAX(K$470:K3633))</f>
        <v>-0.84885940676762139</v>
      </c>
      <c r="W3633" s="564">
        <f>IF((N3633-MAX(N$470:N3633))/MAX(N$470:N3633)&gt;W3632,W3632,(N3633-MAX(N$470:N3633))/MAX(N$470:N3633))</f>
        <v>-0.62788758315546067</v>
      </c>
      <c r="X3633" s="564">
        <f>IF((O3633-MAX(O$470:O3633))/MAX(O$470:O3633)&gt;X3632,X3632,(O3633-MAX(O$470:O3633))/MAX(O$470:O3633))</f>
        <v>-0.62788758315546067</v>
      </c>
    </row>
    <row r="3634" spans="1:24">
      <c r="A3634" s="799">
        <v>44036</v>
      </c>
      <c r="B3634">
        <v>9550.4717257662996</v>
      </c>
      <c r="C3634">
        <v>57319.261065999999</v>
      </c>
      <c r="D3634">
        <v>1.62771</v>
      </c>
      <c r="E3634">
        <f>LN(D3634/参数实验室!$E$53)/参数实验室!$E$55</f>
        <v>-0.1182230466142547</v>
      </c>
      <c r="F3634">
        <f t="shared" si="508"/>
        <v>6.0017204083603399</v>
      </c>
      <c r="G3634">
        <f>LN(F3634/参数实验室!$E$58)/参数实验室!$E$59</f>
        <v>0.7500326493095294</v>
      </c>
      <c r="H3634" s="856">
        <f>INDEX(神经网络!$G$10:$BO$70,MATCH(ROUND(G3634*2,1)/2,神经网络!$E$10:$E$70,0),MATCH(ROUND(E3634*2,1)/2,神经网络!$G$8:$BO$8,0))</f>
        <v>1.3763380156967051</v>
      </c>
      <c r="I3634">
        <f t="shared" si="510"/>
        <v>544360.23484564258</v>
      </c>
      <c r="J3634">
        <f t="shared" si="511"/>
        <v>3810.8901184175702</v>
      </c>
      <c r="K3634">
        <f t="shared" si="512"/>
        <v>142.84333001752412</v>
      </c>
      <c r="L3634" s="4">
        <f>MIN(MAX(L3633*(1+MAX(MIN(((B3634-B3633)/B3633)/($K$7*卓尔金历!$N$40),0),-卓尔金历!$M$43))+MIN(MAX(((B3634-B3633)/B3633)/($K$7*卓尔金历!$N$40),0),卓尔金历!$M$43),0),1)</f>
        <v>1</v>
      </c>
      <c r="M3634" s="4">
        <f>MIN(MAX(M3633*(1+MAX(MIN(((B3634-B3633)/B3633)/($K$7*30),0),-卓尔金历!$M$43))+MIN(MAX(((B3634-B3633)/B3633)/($K$7*7),0),卓尔金历!$M$43),0),1)</f>
        <v>1</v>
      </c>
      <c r="N3634">
        <f t="shared" si="513"/>
        <v>171834.75171070624</v>
      </c>
      <c r="O3634">
        <f t="shared" si="514"/>
        <v>499419.55371764413</v>
      </c>
      <c r="P3634">
        <f t="shared" si="515"/>
        <v>1.7766256417697025E-3</v>
      </c>
      <c r="Q3634">
        <f t="shared" si="516"/>
        <v>1.0658567708506332E-2</v>
      </c>
      <c r="R3634">
        <f t="shared" si="517"/>
        <v>1</v>
      </c>
      <c r="S3634">
        <f t="shared" si="509"/>
        <v>1086.0083637118421</v>
      </c>
      <c r="T3634" s="564">
        <f>IF((I3634-MAX(I$470:I3634))/MAX(I$470:I3634)&gt;T3633,T3633,(I3634-MAX(I$470:I3634))/MAX(I$470:I3634))</f>
        <v>-0.91338805338419748</v>
      </c>
      <c r="U3634" s="564">
        <f>IF((J3634-MAX(J$470:J3634))/MAX(J$470:J3634)&gt;U3633,U3633,(J3634-MAX(J$470:J3634))/MAX(J$470:J3634))</f>
        <v>-0.83569785939843477</v>
      </c>
      <c r="V3634" s="564">
        <f>IF((K3634-MAX(K$470:K3634))/MAX(K$470:K3634)&gt;V3633,V3633,(K3634-MAX(K$470:K3634))/MAX(K$470:K3634))</f>
        <v>-0.84885940676762139</v>
      </c>
      <c r="W3634" s="564">
        <f>IF((N3634-MAX(N$470:N3634))/MAX(N$470:N3634)&gt;W3633,W3633,(N3634-MAX(N$470:N3634))/MAX(N$470:N3634))</f>
        <v>-0.62788758315546067</v>
      </c>
      <c r="X3634" s="564">
        <f>IF((O3634-MAX(O$470:O3634))/MAX(O$470:O3634)&gt;X3633,X3633,(O3634-MAX(O$470:O3634))/MAX(O$470:O3634))</f>
        <v>-0.62788758315546067</v>
      </c>
    </row>
    <row r="3635" spans="1:24">
      <c r="A3635" s="799">
        <v>44037</v>
      </c>
      <c r="B3635">
        <v>9597.8480865983001</v>
      </c>
      <c r="C3635">
        <v>57289.328643000001</v>
      </c>
      <c r="D3635">
        <v>1.6530959999999999</v>
      </c>
      <c r="E3635">
        <f>LN(D3635/参数实验室!$E$53)/参数实验室!$E$55</f>
        <v>-9.9965451630274288E-2</v>
      </c>
      <c r="F3635">
        <f t="shared" si="508"/>
        <v>5.9689763920096244</v>
      </c>
      <c r="G3635">
        <f>LN(F3635/参数实验室!$E$58)/参数实验室!$E$59</f>
        <v>0.74716132569029836</v>
      </c>
      <c r="H3635" s="856">
        <f>INDEX(神经网络!$G$10:$BO$70,MATCH(ROUND(G3635*2,1)/2,神经网络!$E$10:$E$70,0),MATCH(ROUND(E3635*2,1)/2,神经网络!$G$8:$BO$8,0))</f>
        <v>1.3763380156967051</v>
      </c>
      <c r="I3635">
        <f t="shared" si="510"/>
        <v>548076.85667177453</v>
      </c>
      <c r="J3635">
        <f t="shared" si="511"/>
        <v>3829.7945359715391</v>
      </c>
      <c r="K3635">
        <f t="shared" si="512"/>
        <v>143.10868416671832</v>
      </c>
      <c r="L3635" s="4">
        <f>MIN(MAX(L3634*(1+MAX(MIN(((B3635-B3634)/B3634)/($K$7*卓尔金历!$N$40),0),-卓尔金历!$M$43))+MIN(MAX(((B3635-B3634)/B3634)/($K$7*卓尔金历!$N$40),0),卓尔金历!$M$43),0),1)</f>
        <v>1</v>
      </c>
      <c r="M3635" s="4">
        <f>MIN(MAX(M3634*(1+MAX(MIN(((B3635-B3634)/B3634)/($K$7*30),0),-卓尔金历!$M$43))+MIN(MAX(((B3635-B3634)/B3634)/($K$7*7),0),卓尔金历!$M$43),0),1)</f>
        <v>1</v>
      </c>
      <c r="N3635">
        <f t="shared" si="513"/>
        <v>173007.95421121045</v>
      </c>
      <c r="O3635">
        <f t="shared" si="514"/>
        <v>502829.34285161784</v>
      </c>
      <c r="P3635">
        <f t="shared" si="515"/>
        <v>4.9606304476231692E-3</v>
      </c>
      <c r="Q3635">
        <f t="shared" si="516"/>
        <v>1.0619752942844937E-2</v>
      </c>
      <c r="R3635">
        <f t="shared" si="517"/>
        <v>0.77995460044903286</v>
      </c>
      <c r="S3635">
        <f t="shared" si="509"/>
        <v>1093.4230904489591</v>
      </c>
      <c r="T3635" s="564">
        <f>IF((I3635-MAX(I$470:I3635))/MAX(I$470:I3635)&gt;T3634,T3634,(I3635-MAX(I$470:I3635))/MAX(I$470:I3635))</f>
        <v>-0.91338805338419748</v>
      </c>
      <c r="U3635" s="564">
        <f>IF((J3635-MAX(J$470:J3635))/MAX(J$470:J3635)&gt;U3634,U3634,(J3635-MAX(J$470:J3635))/MAX(J$470:J3635))</f>
        <v>-0.83569785939843477</v>
      </c>
      <c r="V3635" s="564">
        <f>IF((K3635-MAX(K$470:K3635))/MAX(K$470:K3635)&gt;V3634,V3634,(K3635-MAX(K$470:K3635))/MAX(K$470:K3635))</f>
        <v>-0.84885940676762139</v>
      </c>
      <c r="W3635" s="564">
        <f>IF((N3635-MAX(N$470:N3635))/MAX(N$470:N3635)&gt;W3634,W3634,(N3635-MAX(N$470:N3635))/MAX(N$470:N3635))</f>
        <v>-0.62788758315546067</v>
      </c>
      <c r="X3635" s="564">
        <f>IF((O3635-MAX(O$470:O3635))/MAX(O$470:O3635)&gt;X3634,X3634,(O3635-MAX(O$470:O3635))/MAX(O$470:O3635))</f>
        <v>-0.62788758315546067</v>
      </c>
    </row>
    <row r="3636" spans="1:24">
      <c r="A3636" s="799">
        <v>44038</v>
      </c>
      <c r="B3636">
        <v>9967.5801662772992</v>
      </c>
      <c r="C3636">
        <v>57531.719536999997</v>
      </c>
      <c r="D3636">
        <v>1.691254</v>
      </c>
      <c r="E3636">
        <f>LN(D3636/参数实验室!$E$53)/参数实验室!$E$55</f>
        <v>-7.3043043454960446E-2</v>
      </c>
      <c r="F3636">
        <f t="shared" si="508"/>
        <v>5.7718843066488219</v>
      </c>
      <c r="G3636">
        <f>LN(F3636/参数实验室!$E$58)/参数实验室!$E$59</f>
        <v>0.72953837640271035</v>
      </c>
      <c r="H3636" s="856">
        <f>INDEX(神经网络!$G$10:$BO$70,MATCH(ROUND(G3636*2,1)/2,神经网络!$E$10:$E$70,0),MATCH(ROUND(E3636*2,1)/2,神经网络!$G$8:$BO$8,0))</f>
        <v>1.4702779603978742</v>
      </c>
      <c r="I3636">
        <f t="shared" si="510"/>
        <v>577135.80089307087</v>
      </c>
      <c r="J3636">
        <f t="shared" si="511"/>
        <v>3977.3273876849576</v>
      </c>
      <c r="K3636">
        <f t="shared" si="512"/>
        <v>145.10643571360578</v>
      </c>
      <c r="L3636" s="4">
        <f>MIN(MAX(L3635*(1+MAX(MIN(((B3636-B3635)/B3635)/($K$7*卓尔金历!$N$40),0),-卓尔金历!$M$43))+MIN(MAX(((B3636-B3635)/B3635)/($K$7*卓尔金历!$N$40),0),卓尔金历!$M$43),0),1)</f>
        <v>1</v>
      </c>
      <c r="M3636" s="4">
        <f>MIN(MAX(M3635*(1+MAX(MIN(((B3636-B3635)/B3635)/($K$7*30),0),-卓尔金历!$M$43))+MIN(MAX(((B3636-B3635)/B3635)/($K$7*7),0),卓尔金历!$M$43),0),1)</f>
        <v>1</v>
      </c>
      <c r="N3636">
        <f t="shared" si="513"/>
        <v>182180.80730665676</v>
      </c>
      <c r="O3636">
        <f t="shared" si="514"/>
        <v>529489.27137968328</v>
      </c>
      <c r="P3636">
        <f t="shared" si="515"/>
        <v>3.8522393388916484E-2</v>
      </c>
      <c r="Q3636">
        <f t="shared" si="516"/>
        <v>1.2895927819817483E-2</v>
      </c>
      <c r="R3636">
        <f t="shared" si="517"/>
        <v>0</v>
      </c>
      <c r="S3636">
        <f t="shared" si="509"/>
        <v>1138.6394852853277</v>
      </c>
      <c r="T3636" s="564">
        <f>IF((I3636-MAX(I$470:I3636))/MAX(I$470:I3636)&gt;T3635,T3635,(I3636-MAX(I$470:I3636))/MAX(I$470:I3636))</f>
        <v>-0.91338805338419748</v>
      </c>
      <c r="U3636" s="564">
        <f>IF((J3636-MAX(J$470:J3636))/MAX(J$470:J3636)&gt;U3635,U3635,(J3636-MAX(J$470:J3636))/MAX(J$470:J3636))</f>
        <v>-0.83569785939843477</v>
      </c>
      <c r="V3636" s="564">
        <f>IF((K3636-MAX(K$470:K3636))/MAX(K$470:K3636)&gt;V3635,V3635,(K3636-MAX(K$470:K3636))/MAX(K$470:K3636))</f>
        <v>-0.84885940676762139</v>
      </c>
      <c r="W3636" s="564">
        <f>IF((N3636-MAX(N$470:N3636))/MAX(N$470:N3636)&gt;W3635,W3635,(N3636-MAX(N$470:N3636))/MAX(N$470:N3636))</f>
        <v>-0.62788758315546067</v>
      </c>
      <c r="X3636" s="564">
        <f>IF((O3636-MAX(O$470:O3636))/MAX(O$470:O3636)&gt;X3635,X3635,(O3636-MAX(O$470:O3636))/MAX(O$470:O3636))</f>
        <v>-0.62788758315546067</v>
      </c>
    </row>
    <row r="3637" spans="1:24">
      <c r="A3637" s="799">
        <v>44039</v>
      </c>
      <c r="B3637">
        <v>10319.6620389901</v>
      </c>
      <c r="C3637">
        <v>57115.280269000003</v>
      </c>
      <c r="D3637">
        <v>1.8722289999999999</v>
      </c>
      <c r="E3637">
        <f>LN(D3637/参数实验室!$E$53)/参数实验室!$E$55</f>
        <v>4.6890003609353623E-2</v>
      </c>
      <c r="F3637">
        <f t="shared" si="508"/>
        <v>5.5346076308705747</v>
      </c>
      <c r="G3637">
        <f>LN(F3637/参数实验室!$E$58)/参数实验室!$E$59</f>
        <v>0.70750609437263023</v>
      </c>
      <c r="H3637" s="856">
        <f>INDEX(神经网络!$G$10:$BO$70,MATCH(ROUND(G3637*2,1)/2,神经网络!$E$10:$E$70,0),MATCH(ROUND(E3637*2,1)/2,神经网络!$G$8:$BO$8,0))</f>
        <v>1.626531289104566</v>
      </c>
      <c r="I3637">
        <f t="shared" si="510"/>
        <v>607108.88213047769</v>
      </c>
      <c r="J3637">
        <f t="shared" si="511"/>
        <v>4117.8173412832975</v>
      </c>
      <c r="K3637">
        <f t="shared" si="512"/>
        <v>147.43463145970316</v>
      </c>
      <c r="L3637" s="4">
        <f>MIN(MAX(L3636*(1+MAX(MIN(((B3637-B3636)/B3636)/($K$7*卓尔金历!$N$40),0),-卓尔金历!$M$43))+MIN(MAX(((B3637-B3636)/B3636)/($K$7*卓尔金历!$N$40),0),卓尔金历!$M$43),0),1)</f>
        <v>1</v>
      </c>
      <c r="M3637" s="4">
        <f>MIN(MAX(M3636*(1+MAX(MIN(((B3637-B3636)/B3636)/($K$7*30),0),-卓尔金历!$M$43))+MIN(MAX(((B3637-B3636)/B3636)/($K$7*7),0),卓尔金历!$M$43),0),1)</f>
        <v>1</v>
      </c>
      <c r="N3637">
        <f t="shared" si="513"/>
        <v>191642.22025114758</v>
      </c>
      <c r="O3637">
        <f t="shared" si="514"/>
        <v>556987.86862636311</v>
      </c>
      <c r="P3637">
        <f t="shared" si="515"/>
        <v>3.5322702886702403E-2</v>
      </c>
      <c r="Q3637">
        <f t="shared" si="516"/>
        <v>1.3435074483839687E-2</v>
      </c>
      <c r="R3637">
        <f t="shared" si="517"/>
        <v>4.2998747163983597E-4</v>
      </c>
      <c r="S3637">
        <f t="shared" si="509"/>
        <v>1138.6394852853277</v>
      </c>
      <c r="T3637" s="564">
        <f>IF((I3637-MAX(I$470:I3637))/MAX(I$470:I3637)&gt;T3636,T3636,(I3637-MAX(I$470:I3637))/MAX(I$470:I3637))</f>
        <v>-0.91338805338419748</v>
      </c>
      <c r="U3637" s="564">
        <f>IF((J3637-MAX(J$470:J3637))/MAX(J$470:J3637)&gt;U3636,U3636,(J3637-MAX(J$470:J3637))/MAX(J$470:J3637))</f>
        <v>-0.83569785939843477</v>
      </c>
      <c r="V3637" s="564">
        <f>IF((K3637-MAX(K$470:K3637))/MAX(K$470:K3637)&gt;V3636,V3636,(K3637-MAX(K$470:K3637))/MAX(K$470:K3637))</f>
        <v>-0.84885940676762139</v>
      </c>
      <c r="W3637" s="564">
        <f>IF((N3637-MAX(N$470:N3637))/MAX(N$470:N3637)&gt;W3636,W3636,(N3637-MAX(N$470:N3637))/MAX(N$470:N3637))</f>
        <v>-0.62788758315546067</v>
      </c>
      <c r="X3637" s="564">
        <f>IF((O3637-MAX(O$470:O3637))/MAX(O$470:O3637)&gt;X3636,X3636,(O3637-MAX(O$470:O3637))/MAX(O$470:O3637))</f>
        <v>-0.62788758315546067</v>
      </c>
    </row>
    <row r="3638" spans="1:24">
      <c r="A3638" s="799">
        <v>44040</v>
      </c>
      <c r="B3638">
        <v>11148.3689081671</v>
      </c>
      <c r="C3638">
        <v>57317.169302000002</v>
      </c>
      <c r="D3638">
        <v>1.8494999999999999</v>
      </c>
      <c r="E3638">
        <f>LN(D3638/参数实验室!$E$53)/参数实验室!$E$55</f>
        <v>3.2480064113064491E-2</v>
      </c>
      <c r="F3638">
        <f t="shared" si="508"/>
        <v>5.1413054029823542</v>
      </c>
      <c r="G3638">
        <f>LN(F3638/参数实验室!$E$58)/参数实验室!$E$59</f>
        <v>0.66881718281389657</v>
      </c>
      <c r="H3638" s="856">
        <f>INDEX(神经网络!$G$10:$BO$70,MATCH(ROUND(G3638*2,1)/2,神经网络!$E$10:$E$70,0),MATCH(ROUND(E3638*2,1)/2,神经网络!$G$8:$BO$8,0))</f>
        <v>1.5945042963547456</v>
      </c>
      <c r="I3638">
        <f t="shared" si="510"/>
        <v>686407.29092978511</v>
      </c>
      <c r="J3638">
        <f t="shared" si="511"/>
        <v>4448.4932397618086</v>
      </c>
      <c r="K3638">
        <f t="shared" si="512"/>
        <v>154.30107542807872</v>
      </c>
      <c r="L3638" s="4">
        <f>MIN(MAX(L3637*(1+MAX(MIN(((B3638-B3637)/B3637)/($K$7*卓尔金历!$N$40),0),-卓尔金历!$M$43))+MIN(MAX(((B3638-B3637)/B3637)/($K$7*卓尔金历!$N$40),0),卓尔金历!$M$43),0),1)</f>
        <v>1</v>
      </c>
      <c r="M3638" s="4">
        <f>MIN(MAX(M3637*(1+MAX(MIN(((B3638-B3637)/B3637)/($K$7*30),0),-卓尔金历!$M$43))+MIN(MAX(((B3638-B3637)/B3637)/($K$7*7),0),卓尔金历!$M$43),0),1)</f>
        <v>1</v>
      </c>
      <c r="N3638">
        <f t="shared" si="513"/>
        <v>216673.84731506582</v>
      </c>
      <c r="O3638">
        <f t="shared" si="514"/>
        <v>629739.64841846935</v>
      </c>
      <c r="P3638">
        <f t="shared" si="515"/>
        <v>8.0303683012675361E-2</v>
      </c>
      <c r="Q3638">
        <f t="shared" si="516"/>
        <v>2.0734860919850964E-2</v>
      </c>
      <c r="R3638">
        <f t="shared" si="517"/>
        <v>0</v>
      </c>
      <c r="S3638">
        <f t="shared" si="509"/>
        <v>1138.7034351939215</v>
      </c>
      <c r="T3638" s="564">
        <f>IF((I3638-MAX(I$470:I3638))/MAX(I$470:I3638)&gt;T3637,T3637,(I3638-MAX(I$470:I3638))/MAX(I$470:I3638))</f>
        <v>-0.91338805338419748</v>
      </c>
      <c r="U3638" s="564">
        <f>IF((J3638-MAX(J$470:J3638))/MAX(J$470:J3638)&gt;U3637,U3637,(J3638-MAX(J$470:J3638))/MAX(J$470:J3638))</f>
        <v>-0.83569785939843477</v>
      </c>
      <c r="V3638" s="564">
        <f>IF((K3638-MAX(K$470:K3638))/MAX(K$470:K3638)&gt;V3637,V3637,(K3638-MAX(K$470:K3638))/MAX(K$470:K3638))</f>
        <v>-0.84885940676762139</v>
      </c>
      <c r="W3638" s="564">
        <f>IF((N3638-MAX(N$470:N3638))/MAX(N$470:N3638)&gt;W3637,W3637,(N3638-MAX(N$470:N3638))/MAX(N$470:N3638))</f>
        <v>-0.62788758315546067</v>
      </c>
      <c r="X3638" s="564">
        <f>IF((O3638-MAX(O$470:O3638))/MAX(O$470:O3638)&gt;X3637,X3637,(O3638-MAX(O$470:O3638))/MAX(O$470:O3638))</f>
        <v>-0.62788758315546067</v>
      </c>
    </row>
    <row r="3639" spans="1:24">
      <c r="A3639" s="799">
        <v>44041</v>
      </c>
      <c r="B3639">
        <v>11163.817561079301</v>
      </c>
      <c r="C3639">
        <v>57210.372507</v>
      </c>
      <c r="D3639">
        <v>1.874849</v>
      </c>
      <c r="E3639">
        <f>LN(D3639/参数实验室!$E$53)/参数实验室!$E$55</f>
        <v>4.8539797930649602E-2</v>
      </c>
      <c r="F3639">
        <f t="shared" si="508"/>
        <v>5.1246244570006203</v>
      </c>
      <c r="G3639">
        <f>LN(F3639/参数实验室!$E$58)/参数实验室!$E$59</f>
        <v>0.66711152735637036</v>
      </c>
      <c r="H3639" s="856">
        <f>INDEX(神经网络!$G$10:$BO$70,MATCH(ROUND(G3639*2,1)/2,神经网络!$E$10:$E$70,0),MATCH(ROUND(E3639*2,1)/2,神经网络!$G$8:$BO$8,0))</f>
        <v>1.5945042963547456</v>
      </c>
      <c r="I3639">
        <f t="shared" si="510"/>
        <v>687923.94615661819</v>
      </c>
      <c r="J3639">
        <f t="shared" si="511"/>
        <v>4454.6576597419371</v>
      </c>
      <c r="K3639">
        <f t="shared" si="512"/>
        <v>154.42801640484993</v>
      </c>
      <c r="L3639" s="4">
        <f>MIN(MAX(L3638*(1+MAX(MIN(((B3639-B3638)/B3638)/($K$7*卓尔金历!$N$40),0),-卓尔金历!$M$43))+MIN(MAX(((B3639-B3638)/B3638)/($K$7*卓尔金历!$N$40),0),卓尔金历!$M$43),0),1)</f>
        <v>1</v>
      </c>
      <c r="M3639" s="4">
        <f>MIN(MAX(M3638*(1+MAX(MIN(((B3639-B3638)/B3638)/($K$7*30),0),-卓尔金历!$M$43))+MIN(MAX(((B3639-B3638)/B3638)/($K$7*7),0),卓尔金历!$M$43),0),1)</f>
        <v>1</v>
      </c>
      <c r="N3639">
        <f t="shared" si="513"/>
        <v>217152.6002761588</v>
      </c>
      <c r="O3639">
        <f t="shared" si="514"/>
        <v>631131.09332579863</v>
      </c>
      <c r="P3639">
        <f t="shared" si="515"/>
        <v>1.3857321227397736E-3</v>
      </c>
      <c r="Q3639">
        <f t="shared" si="516"/>
        <v>2.0757128217830177E-2</v>
      </c>
      <c r="R3639">
        <f t="shared" si="517"/>
        <v>1</v>
      </c>
      <c r="S3639">
        <f t="shared" si="509"/>
        <v>1138.7034351939215</v>
      </c>
      <c r="T3639" s="564">
        <f>IF((I3639-MAX(I$470:I3639))/MAX(I$470:I3639)&gt;T3638,T3638,(I3639-MAX(I$470:I3639))/MAX(I$470:I3639))</f>
        <v>-0.91338805338419748</v>
      </c>
      <c r="U3639" s="564">
        <f>IF((J3639-MAX(J$470:J3639))/MAX(J$470:J3639)&gt;U3638,U3638,(J3639-MAX(J$470:J3639))/MAX(J$470:J3639))</f>
        <v>-0.83569785939843477</v>
      </c>
      <c r="V3639" s="564">
        <f>IF((K3639-MAX(K$470:K3639))/MAX(K$470:K3639)&gt;V3638,V3638,(K3639-MAX(K$470:K3639))/MAX(K$470:K3639))</f>
        <v>-0.84885940676762139</v>
      </c>
      <c r="W3639" s="564">
        <f>IF((N3639-MAX(N$470:N3639))/MAX(N$470:N3639)&gt;W3638,W3638,(N3639-MAX(N$470:N3639))/MAX(N$470:N3639))</f>
        <v>-0.62788758315546067</v>
      </c>
      <c r="X3639" s="564">
        <f>IF((O3639-MAX(O$470:O3639))/MAX(O$470:O3639)&gt;X3638,X3638,(O3639-MAX(O$470:O3639))/MAX(O$470:O3639))</f>
        <v>-0.62788758315546067</v>
      </c>
    </row>
    <row r="3640" spans="1:24">
      <c r="A3640" s="799">
        <v>44042</v>
      </c>
      <c r="B3640">
        <v>11000.3126551108</v>
      </c>
      <c r="C3640">
        <v>57684.284360999998</v>
      </c>
      <c r="D3640">
        <v>1.8747549999999999</v>
      </c>
      <c r="E3640">
        <f>LN(D3640/参数实验室!$E$53)/参数实验室!$E$55</f>
        <v>4.8480646721638418E-2</v>
      </c>
      <c r="F3640">
        <f t="shared" si="508"/>
        <v>5.243876803283368</v>
      </c>
      <c r="G3640">
        <f>LN(F3640/参数实验室!$E$58)/参数实验室!$E$59</f>
        <v>0.679185179004825</v>
      </c>
      <c r="H3640" s="856">
        <f>INDEX(神经网络!$G$10:$BO$70,MATCH(ROUND(G3640*2,1)/2,神经网络!$E$10:$E$70,0),MATCH(ROUND(E3640*2,1)/2,神经网络!$G$8:$BO$8,0))</f>
        <v>1.626531289104566</v>
      </c>
      <c r="I3640">
        <f t="shared" si="510"/>
        <v>671858.81858666497</v>
      </c>
      <c r="J3640">
        <f t="shared" si="511"/>
        <v>4389.4148897134073</v>
      </c>
      <c r="K3640">
        <f t="shared" si="512"/>
        <v>153.06341174564426</v>
      </c>
      <c r="L3640" s="4">
        <f>MIN(MAX(L3639*(1+MAX(MIN(((B3640-B3639)/B3639)/($K$7*卓尔金历!$N$40),0),-卓尔金历!$M$43))+MIN(MAX(((B3640-B3639)/B3639)/($K$7*卓尔金历!$N$40),0),卓尔金历!$M$43),0),1)</f>
        <v>0.77622367567277206</v>
      </c>
      <c r="M3640" s="4">
        <f>MIN(MAX(M3639*(1+MAX(MIN(((B3640-B3639)/B3639)/($K$7*30),0),-卓尔金历!$M$43))+MIN(MAX(((B3640-B3639)/B3639)/($K$7*7),0),卓尔金历!$M$43),0),1)</f>
        <v>0.88811183783638603</v>
      </c>
      <c r="N3640">
        <f t="shared" si="513"/>
        <v>212081.42308415376</v>
      </c>
      <c r="O3640">
        <f t="shared" si="514"/>
        <v>616392.25252182607</v>
      </c>
      <c r="P3640">
        <f t="shared" si="515"/>
        <v>-1.4645967212733032E-2</v>
      </c>
      <c r="Q3640">
        <f t="shared" si="516"/>
        <v>2.0556324077273751E-2</v>
      </c>
      <c r="R3640">
        <f t="shared" si="517"/>
        <v>0.36679748227069248</v>
      </c>
      <c r="S3640">
        <f t="shared" si="509"/>
        <v>1112.1112282313084</v>
      </c>
      <c r="T3640" s="564">
        <f>IF((I3640-MAX(I$470:I3640))/MAX(I$470:I3640)&gt;T3639,T3639,(I3640-MAX(I$470:I3640))/MAX(I$470:I3640))</f>
        <v>-0.91338805338419748</v>
      </c>
      <c r="U3640" s="564">
        <f>IF((J3640-MAX(J$470:J3640))/MAX(J$470:J3640)&gt;U3639,U3639,(J3640-MAX(J$470:J3640))/MAX(J$470:J3640))</f>
        <v>-0.83569785939843477</v>
      </c>
      <c r="V3640" s="564">
        <f>IF((K3640-MAX(K$470:K3640))/MAX(K$470:K3640)&gt;V3639,V3639,(K3640-MAX(K$470:K3640))/MAX(K$470:K3640))</f>
        <v>-0.84885940676762139</v>
      </c>
      <c r="W3640" s="564">
        <f>IF((N3640-MAX(N$470:N3640))/MAX(N$470:N3640)&gt;W3639,W3639,(N3640-MAX(N$470:N3640))/MAX(N$470:N3640))</f>
        <v>-0.62788758315546067</v>
      </c>
      <c r="X3640" s="564">
        <f>IF((O3640-MAX(O$470:O3640))/MAX(O$470:O3640)&gt;X3639,X3639,(O3640-MAX(O$470:O3640))/MAX(O$470:O3640))</f>
        <v>-0.62788758315546067</v>
      </c>
    </row>
    <row r="3641" spans="1:24">
      <c r="A3641" s="799">
        <v>44043</v>
      </c>
      <c r="B3641">
        <v>11311.0305263755</v>
      </c>
      <c r="C3641">
        <v>58046.356330000002</v>
      </c>
      <c r="D3641">
        <v>1.905176</v>
      </c>
      <c r="E3641">
        <f>LN(D3641/参数实验室!$E$53)/参数实验室!$E$55</f>
        <v>6.7470436918294449E-2</v>
      </c>
      <c r="F3641">
        <f t="shared" si="508"/>
        <v>5.1318362367288515</v>
      </c>
      <c r="G3641">
        <f>LN(F3641/参数实验室!$E$58)/参数实验室!$E$59</f>
        <v>0.66784962453921182</v>
      </c>
      <c r="H3641" s="856">
        <f>INDEX(神经网络!$G$10:$BO$70,MATCH(ROUND(G3641*2,1)/2,神经网络!$E$10:$E$70,0),MATCH(ROUND(E3641*2,1)/2,神经网络!$G$8:$BO$8,0))</f>
        <v>1.5945042963547456</v>
      </c>
      <c r="I3641">
        <f t="shared" si="510"/>
        <v>702726.33216712193</v>
      </c>
      <c r="J3641">
        <f t="shared" si="511"/>
        <v>4513.3995157318022</v>
      </c>
      <c r="K3641">
        <f t="shared" si="512"/>
        <v>155.69779048314138</v>
      </c>
      <c r="L3641" s="4">
        <f>MIN(MAX(L3640*(1+MAX(MIN(((B3641-B3640)/B3640)/($K$7*卓尔金历!$N$40),0),-卓尔金历!$M$43))+MIN(MAX(((B3641-B3640)/B3640)/($K$7*卓尔金历!$N$40),0),卓尔金历!$M$43),0),1)</f>
        <v>1</v>
      </c>
      <c r="M3641" s="4">
        <f>MIN(MAX(M3640*(1+MAX(MIN(((B3641-B3640)/B3640)/($K$7*30),0),-卓尔金历!$M$43))+MIN(MAX(((B3641-B3640)/B3640)/($K$7*7),0),卓尔金历!$M$43),0),1)</f>
        <v>1</v>
      </c>
      <c r="N3641">
        <f t="shared" si="513"/>
        <v>219644.75465398081</v>
      </c>
      <c r="O3641">
        <f t="shared" si="514"/>
        <v>641542.858665623</v>
      </c>
      <c r="P3641">
        <f t="shared" si="515"/>
        <v>2.8246276356548739E-2</v>
      </c>
      <c r="Q3641">
        <f t="shared" si="516"/>
        <v>2.0894309795199968E-2</v>
      </c>
      <c r="R3641">
        <f t="shared" si="517"/>
        <v>1.4358905333523353E-2</v>
      </c>
      <c r="S3641">
        <f t="shared" si="509"/>
        <v>1130.8524628459627</v>
      </c>
      <c r="T3641" s="564">
        <f>IF((I3641-MAX(I$470:I3641))/MAX(I$470:I3641)&gt;T3640,T3640,(I3641-MAX(I$470:I3641))/MAX(I$470:I3641))</f>
        <v>-0.91338805338419748</v>
      </c>
      <c r="U3641" s="564">
        <f>IF((J3641-MAX(J$470:J3641))/MAX(J$470:J3641)&gt;U3640,U3640,(J3641-MAX(J$470:J3641))/MAX(J$470:J3641))</f>
        <v>-0.83569785939843477</v>
      </c>
      <c r="V3641" s="564">
        <f>IF((K3641-MAX(K$470:K3641))/MAX(K$470:K3641)&gt;V3640,V3640,(K3641-MAX(K$470:K3641))/MAX(K$470:K3641))</f>
        <v>-0.84885940676762139</v>
      </c>
      <c r="W3641" s="564">
        <f>IF((N3641-MAX(N$470:N3641))/MAX(N$470:N3641)&gt;W3640,W3640,(N3641-MAX(N$470:N3641))/MAX(N$470:N3641))</f>
        <v>-0.62788758315546067</v>
      </c>
      <c r="X3641" s="564">
        <f>IF((O3641-MAX(O$470:O3641))/MAX(O$470:O3641)&gt;X3640,X3640,(O3641-MAX(O$470:O3641))/MAX(O$470:O3641))</f>
        <v>-0.62788758315546067</v>
      </c>
    </row>
    <row r="3642" spans="1:24">
      <c r="A3642" s="799">
        <v>44044</v>
      </c>
      <c r="B3642">
        <v>11632.541744441</v>
      </c>
      <c r="C3642">
        <v>59130.212140000003</v>
      </c>
      <c r="D3642">
        <v>1.979087</v>
      </c>
      <c r="E3642">
        <f>LN(D3642/参数实验室!$E$53)/参数实验室!$E$55</f>
        <v>0.11237330177551795</v>
      </c>
      <c r="F3642">
        <f t="shared" si="508"/>
        <v>5.0831721423443295</v>
      </c>
      <c r="G3642">
        <f>LN(F3642/参数实验室!$E$58)/参数实验室!$E$59</f>
        <v>0.66284879850530021</v>
      </c>
      <c r="H3642" s="856">
        <f>INDEX(神经网络!$G$10:$BO$70,MATCH(ROUND(G3642*2,1)/2,神经网络!$E$10:$E$70,0),MATCH(ROUND(E3642*2,1)/2,神经网络!$G$8:$BO$8,0))</f>
        <v>1.6806456884745045</v>
      </c>
      <c r="I3642">
        <f t="shared" si="510"/>
        <v>734576.07115372072</v>
      </c>
      <c r="J3642">
        <f t="shared" si="511"/>
        <v>4641.6909718051829</v>
      </c>
      <c r="K3642">
        <f t="shared" si="512"/>
        <v>158.25613458882194</v>
      </c>
      <c r="L3642" s="4">
        <f>MIN(MAX(L3641*(1+MAX(MIN(((B3642-B3641)/B3641)/($K$7*卓尔金历!$N$40),0),-卓尔金历!$M$43))+MIN(MAX(((B3642-B3641)/B3641)/($K$7*卓尔金历!$N$40),0),卓尔金历!$M$43),0),1)</f>
        <v>1</v>
      </c>
      <c r="M3642" s="4">
        <f>MIN(MAX(M3641*(1+MAX(MIN(((B3642-B3641)/B3641)/($K$7*30),0),-卓尔金历!$M$43))+MIN(MAX(((B3642-B3641)/B3641)/($K$7*7),0),卓尔金历!$M$43),0),1)</f>
        <v>1</v>
      </c>
      <c r="N3642">
        <f t="shared" si="513"/>
        <v>229599.73682169206</v>
      </c>
      <c r="O3642">
        <f t="shared" si="514"/>
        <v>670619.57268913742</v>
      </c>
      <c r="P3642">
        <f t="shared" si="515"/>
        <v>2.842457345648456E-2</v>
      </c>
      <c r="Q3642">
        <f t="shared" si="516"/>
        <v>2.113273547781223E-2</v>
      </c>
      <c r="R3642">
        <f t="shared" si="517"/>
        <v>1.4700593852776923E-2</v>
      </c>
      <c r="S3642">
        <f t="shared" si="509"/>
        <v>1131.5884105090136</v>
      </c>
      <c r="T3642" s="564">
        <f>IF((I3642-MAX(I$470:I3642))/MAX(I$470:I3642)&gt;T3641,T3641,(I3642-MAX(I$470:I3642))/MAX(I$470:I3642))</f>
        <v>-0.91338805338419748</v>
      </c>
      <c r="U3642" s="564">
        <f>IF((J3642-MAX(J$470:J3642))/MAX(J$470:J3642)&gt;U3641,U3641,(J3642-MAX(J$470:J3642))/MAX(J$470:J3642))</f>
        <v>-0.83569785939843477</v>
      </c>
      <c r="V3642" s="564">
        <f>IF((K3642-MAX(K$470:K3642))/MAX(K$470:K3642)&gt;V3641,V3641,(K3642-MAX(K$470:K3642))/MAX(K$470:K3642))</f>
        <v>-0.84885940676762139</v>
      </c>
      <c r="W3642" s="564">
        <f>IF((N3642-MAX(N$470:N3642))/MAX(N$470:N3642)&gt;W3641,W3641,(N3642-MAX(N$470:N3642))/MAX(N$470:N3642))</f>
        <v>-0.62788758315546067</v>
      </c>
      <c r="X3642" s="564">
        <f>IF((O3642-MAX(O$470:O3642))/MAX(O$470:O3642)&gt;X3641,X3641,(O3642-MAX(O$470:O3642))/MAX(O$470:O3642))</f>
        <v>-0.62788758315546067</v>
      </c>
    </row>
    <row r="3643" spans="1:24">
      <c r="A3643" s="799">
        <v>44045</v>
      </c>
      <c r="B3643">
        <v>11108.760786920901</v>
      </c>
      <c r="C3643">
        <v>60035.204661000003</v>
      </c>
      <c r="D3643">
        <v>1.859988</v>
      </c>
      <c r="E3643">
        <f>LN(D3643/参数实验室!$E$53)/参数实验室!$E$55</f>
        <v>3.9151219266023621E-2</v>
      </c>
      <c r="F3643">
        <f t="shared" si="508"/>
        <v>5.4043115890733313</v>
      </c>
      <c r="G3643">
        <f>LN(F3643/参数实验室!$E$58)/参数实验室!$E$59</f>
        <v>0.6950021828984243</v>
      </c>
      <c r="H3643" s="856">
        <f>INDEX(神经网络!$G$10:$BO$70,MATCH(ROUND(G3643*2,1)/2,神经网络!$E$10:$E$70,0),MATCH(ROUND(E3643*2,1)/2,神经网络!$G$8:$BO$8,0))</f>
        <v>1.626531289104566</v>
      </c>
      <c r="I3643">
        <f t="shared" si="510"/>
        <v>678987.17780216667</v>
      </c>
      <c r="J3643">
        <f t="shared" si="511"/>
        <v>4432.6885546948934</v>
      </c>
      <c r="K3643">
        <f t="shared" si="512"/>
        <v>153.177280430184</v>
      </c>
      <c r="L3643" s="4">
        <f>MIN(MAX(L3642*(1+MAX(MIN(((B3643-B3642)/B3642)/($K$7*卓尔金历!$N$40),0),-卓尔金历!$M$43))+MIN(MAX(((B3643-B3642)/B3642)/($K$7*卓尔金历!$N$40),0),卓尔金历!$M$43),0),1)</f>
        <v>0.31202736497827854</v>
      </c>
      <c r="M3643" s="4">
        <f>MIN(MAX(M3642*(1+MAX(MIN(((B3643-B3642)/B3642)/($K$7*30),0),-卓尔金历!$M$43))+MIN(MAX(((B3643-B3642)/B3642)/($K$7*7),0),卓尔金历!$M$43),0),1)</f>
        <v>0.65601368248913927</v>
      </c>
      <c r="N3643">
        <f t="shared" si="513"/>
        <v>212224.82388220559</v>
      </c>
      <c r="O3643">
        <f t="shared" si="514"/>
        <v>619870.57422648522</v>
      </c>
      <c r="P3643">
        <f t="shared" si="515"/>
        <v>-4.5027214948135073E-2</v>
      </c>
      <c r="Q3643">
        <f t="shared" si="516"/>
        <v>2.4174084672849903E-2</v>
      </c>
      <c r="R3643">
        <f t="shared" si="517"/>
        <v>7.9884718655418505E-3</v>
      </c>
      <c r="S3643">
        <f t="shared" si="509"/>
        <v>1130.3295586627828</v>
      </c>
      <c r="T3643" s="564">
        <f>IF((I3643-MAX(I$470:I3643))/MAX(I$470:I3643)&gt;T3642,T3642,(I3643-MAX(I$470:I3643))/MAX(I$470:I3643))</f>
        <v>-0.91338805338419748</v>
      </c>
      <c r="U3643" s="564">
        <f>IF((J3643-MAX(J$470:J3643))/MAX(J$470:J3643)&gt;U3642,U3642,(J3643-MAX(J$470:J3643))/MAX(J$470:J3643))</f>
        <v>-0.83569785939843477</v>
      </c>
      <c r="V3643" s="564">
        <f>IF((K3643-MAX(K$470:K3643))/MAX(K$470:K3643)&gt;V3642,V3642,(K3643-MAX(K$470:K3643))/MAX(K$470:K3643))</f>
        <v>-0.84885940676762139</v>
      </c>
      <c r="W3643" s="564">
        <f>IF((N3643-MAX(N$470:N3643))/MAX(N$470:N3643)&gt;W3642,W3642,(N3643-MAX(N$470:N3643))/MAX(N$470:N3643))</f>
        <v>-0.62788758315546067</v>
      </c>
      <c r="X3643" s="564">
        <f>IF((O3643-MAX(O$470:O3643))/MAX(O$470:O3643)&gt;X3642,X3642,(O3643-MAX(O$470:O3643))/MAX(O$470:O3643))</f>
        <v>-0.62788758315546067</v>
      </c>
    </row>
    <row r="3644" spans="1:24">
      <c r="A3644" s="799">
        <v>44046</v>
      </c>
      <c r="B3644">
        <v>11350.609071430301</v>
      </c>
      <c r="C3644">
        <v>59840.395033000001</v>
      </c>
      <c r="D3644">
        <v>1.877723</v>
      </c>
      <c r="E3644">
        <f>LN(D3644/参数实验室!$E$53)/参数实验室!$E$55</f>
        <v>5.0346884636041853E-2</v>
      </c>
      <c r="F3644">
        <f t="shared" si="508"/>
        <v>5.2719985911257758</v>
      </c>
      <c r="G3644">
        <f>LN(F3644/参数实验室!$E$58)/参数实验室!$E$59</f>
        <v>0.6819923384050931</v>
      </c>
      <c r="H3644" s="856">
        <f>INDEX(神经网络!$G$10:$BO$70,MATCH(ROUND(G3644*2,1)/2,神经网络!$E$10:$E$70,0),MATCH(ROUND(E3644*2,1)/2,神经网络!$G$8:$BO$8,0))</f>
        <v>1.626531289104566</v>
      </c>
      <c r="I3644">
        <f t="shared" si="510"/>
        <v>703030.88283323857</v>
      </c>
      <c r="J3644">
        <f t="shared" si="511"/>
        <v>4529.1923991182603</v>
      </c>
      <c r="K3644">
        <f t="shared" si="512"/>
        <v>155.22212811496021</v>
      </c>
      <c r="L3644" s="4">
        <f>MIN(MAX(L3643*(1+MAX(MIN(((B3644-B3643)/B3643)/($K$7*卓尔金历!$N$40),0),-卓尔金历!$M$43))+MIN(MAX(((B3644-B3643)/B3643)/($K$7*卓尔金历!$N$40),0),卓尔金历!$M$43),0),1)</f>
        <v>0.64466660114018826</v>
      </c>
      <c r="M3644" s="4">
        <f>MIN(MAX(M3643*(1+MAX(MIN(((B3644-B3643)/B3643)/($K$7*30),0),-卓尔金历!$M$43))+MIN(MAX(((B3644-B3643)/B3643)/($K$7*7),0),卓尔金历!$M$43),0),1)</f>
        <v>1</v>
      </c>
      <c r="N3644">
        <f t="shared" si="513"/>
        <v>214569.74740805692</v>
      </c>
      <c r="O3644">
        <f t="shared" si="514"/>
        <v>634270.28391676536</v>
      </c>
      <c r="P3644">
        <f t="shared" si="515"/>
        <v>2.1770950797153254E-2</v>
      </c>
      <c r="Q3644">
        <f t="shared" si="516"/>
        <v>2.4313693349635186E-2</v>
      </c>
      <c r="R3644">
        <f t="shared" si="517"/>
        <v>0.13730758535545756</v>
      </c>
      <c r="S3644">
        <f t="shared" si="509"/>
        <v>1130.6493072344483</v>
      </c>
      <c r="T3644" s="564">
        <f>IF((I3644-MAX(I$470:I3644))/MAX(I$470:I3644)&gt;T3643,T3643,(I3644-MAX(I$470:I3644))/MAX(I$470:I3644))</f>
        <v>-0.91338805338419748</v>
      </c>
      <c r="U3644" s="564">
        <f>IF((J3644-MAX(J$470:J3644))/MAX(J$470:J3644)&gt;U3643,U3643,(J3644-MAX(J$470:J3644))/MAX(J$470:J3644))</f>
        <v>-0.83569785939843477</v>
      </c>
      <c r="V3644" s="564">
        <f>IF((K3644-MAX(K$470:K3644))/MAX(K$470:K3644)&gt;V3643,V3643,(K3644-MAX(K$470:K3644))/MAX(K$470:K3644))</f>
        <v>-0.84885940676762139</v>
      </c>
      <c r="W3644" s="564">
        <f>IF((N3644-MAX(N$470:N3644))/MAX(N$470:N3644)&gt;W3643,W3643,(N3644-MAX(N$470:N3644))/MAX(N$470:N3644))</f>
        <v>-0.62788758315546067</v>
      </c>
      <c r="X3644" s="564">
        <f>IF((O3644-MAX(O$470:O3644))/MAX(O$470:O3644)&gt;X3643,X3643,(O3644-MAX(O$470:O3644))/MAX(O$470:O3644))</f>
        <v>-0.62788758315546067</v>
      </c>
    </row>
    <row r="3645" spans="1:24">
      <c r="A3645" s="799">
        <v>44047</v>
      </c>
      <c r="B3645">
        <v>11206.067221868199</v>
      </c>
      <c r="C3645">
        <v>60593.184773000001</v>
      </c>
      <c r="D3645">
        <v>1.870387</v>
      </c>
      <c r="E3645">
        <f>LN(D3645/参数实验室!$E$53)/参数实验室!$E$55</f>
        <v>4.5728727298420098E-2</v>
      </c>
      <c r="F3645">
        <f t="shared" si="508"/>
        <v>5.4071766279212374</v>
      </c>
      <c r="G3645">
        <f>LN(F3645/参数实验室!$E$58)/参数实验室!$E$59</f>
        <v>0.69528035501088992</v>
      </c>
      <c r="H3645" s="856">
        <f>INDEX(神经网络!$G$10:$BO$70,MATCH(ROUND(G3645*2,1)/2,神经网络!$E$10:$E$70,0),MATCH(ROUND(E3645*2,1)/2,神经网络!$G$8:$BO$8,0))</f>
        <v>1.626531289104566</v>
      </c>
      <c r="I3645">
        <f t="shared" si="510"/>
        <v>688469.21008757723</v>
      </c>
      <c r="J3645">
        <f t="shared" si="511"/>
        <v>4471.5163887586978</v>
      </c>
      <c r="K3645">
        <f t="shared" si="512"/>
        <v>153.96772598628397</v>
      </c>
      <c r="L3645" s="4">
        <f>MIN(MAX(L3644*(1+MAX(MIN(((B3645-B3644)/B3644)/($K$7*卓尔金历!$N$40),0),-卓尔金历!$M$43))+MIN(MAX(((B3645-B3644)/B3644)/($K$7*卓尔金历!$N$40),0),卓尔金历!$M$43),0),1)</f>
        <v>0.51923536836356987</v>
      </c>
      <c r="M3645" s="4">
        <f>MIN(MAX(M3644*(1+MAX(MIN(((B3645-B3644)/B3644)/($K$7*30),0),-卓尔金历!$M$43))+MIN(MAX(((B3645-B3644)/B3644)/($K$7*7),0),卓尔金历!$M$43),0),1)</f>
        <v>0.90271620047108481</v>
      </c>
      <c r="N3645">
        <f t="shared" si="513"/>
        <v>211704.64252866342</v>
      </c>
      <c r="O3645">
        <f t="shared" si="514"/>
        <v>621132.8293152377</v>
      </c>
      <c r="P3645">
        <f t="shared" si="515"/>
        <v>-1.2734281363448252E-2</v>
      </c>
      <c r="Q3645">
        <f t="shared" si="516"/>
        <v>2.4610575464610488E-2</v>
      </c>
      <c r="R3645">
        <f t="shared" si="517"/>
        <v>0.69921203556685541</v>
      </c>
      <c r="S3645">
        <f t="shared" si="509"/>
        <v>1127.4337272679957</v>
      </c>
      <c r="T3645" s="564">
        <f>IF((I3645-MAX(I$470:I3645))/MAX(I$470:I3645)&gt;T3644,T3644,(I3645-MAX(I$470:I3645))/MAX(I$470:I3645))</f>
        <v>-0.91338805338419748</v>
      </c>
      <c r="U3645" s="564">
        <f>IF((J3645-MAX(J$470:J3645))/MAX(J$470:J3645)&gt;U3644,U3644,(J3645-MAX(J$470:J3645))/MAX(J$470:J3645))</f>
        <v>-0.83569785939843477</v>
      </c>
      <c r="V3645" s="564">
        <f>IF((K3645-MAX(K$470:K3645))/MAX(K$470:K3645)&gt;V3644,V3644,(K3645-MAX(K$470:K3645))/MAX(K$470:K3645))</f>
        <v>-0.84885940676762139</v>
      </c>
      <c r="W3645" s="564">
        <f>IF((N3645-MAX(N$470:N3645))/MAX(N$470:N3645)&gt;W3644,W3644,(N3645-MAX(N$470:N3645))/MAX(N$470:N3645))</f>
        <v>-0.62788758315546067</v>
      </c>
      <c r="X3645" s="564">
        <f>IF((O3645-MAX(O$470:O3645))/MAX(O$470:O3645)&gt;X3644,X3644,(O3645-MAX(O$470:O3645))/MAX(O$470:O3645))</f>
        <v>-0.62788758315546067</v>
      </c>
    </row>
    <row r="3646" spans="1:24">
      <c r="A3646" s="799">
        <v>44048</v>
      </c>
      <c r="B3646">
        <v>11646.9037229406</v>
      </c>
      <c r="C3646">
        <v>61654.889851</v>
      </c>
      <c r="D3646">
        <v>1.9512689999999999</v>
      </c>
      <c r="E3646">
        <f>LN(D3646/参数实验室!$E$53)/参数实验室!$E$55</f>
        <v>9.5673072197611272E-2</v>
      </c>
      <c r="F3646">
        <f t="shared" si="508"/>
        <v>5.2936721482087963</v>
      </c>
      <c r="G3646">
        <f>LN(F3646/参数实验室!$E$58)/参数实验室!$E$59</f>
        <v>0.68414562716437577</v>
      </c>
      <c r="H3646" s="856">
        <f>INDEX(神经网络!$G$10:$BO$70,MATCH(ROUND(G3646*2,1)/2,神经网络!$E$10:$E$70,0),MATCH(ROUND(E3646*2,1)/2,神经网络!$G$8:$BO$8,0))</f>
        <v>1.7126539669765544</v>
      </c>
      <c r="I3646">
        <f t="shared" si="510"/>
        <v>732521.78190382314</v>
      </c>
      <c r="J3646">
        <f t="shared" si="511"/>
        <v>4647.4217800329488</v>
      </c>
      <c r="K3646">
        <f t="shared" si="512"/>
        <v>157.61895876354691</v>
      </c>
      <c r="L3646" s="4">
        <f>MIN(MAX(L3645*(1+MAX(MIN(((B3646-B3645)/B3645)/($K$7*卓尔金历!$N$40),0),-卓尔金历!$M$43))+MIN(MAX(((B3646-B3645)/B3645)/($K$7*卓尔金历!$N$40),0),卓尔金历!$M$43),0),1)</f>
        <v>1</v>
      </c>
      <c r="M3646" s="4">
        <f>MIN(MAX(M3645*(1+MAX(MIN(((B3646-B3645)/B3645)/($K$7*30),0),-卓尔金历!$M$43))+MIN(MAX(((B3646-B3645)/B3645)/($K$7*7),0),卓尔金历!$M$43),0),1)</f>
        <v>1</v>
      </c>
      <c r="N3646">
        <f t="shared" si="513"/>
        <v>218738.30290992538</v>
      </c>
      <c r="O3646">
        <f t="shared" si="514"/>
        <v>657010.35351435177</v>
      </c>
      <c r="P3646">
        <f t="shared" si="515"/>
        <v>3.9339091256933204E-2</v>
      </c>
      <c r="Q3646">
        <f t="shared" si="516"/>
        <v>2.5273072203048752E-2</v>
      </c>
      <c r="R3646">
        <f t="shared" si="517"/>
        <v>1.3720907134507505E-2</v>
      </c>
      <c r="S3646">
        <f t="shared" si="509"/>
        <v>1177.8750728455307</v>
      </c>
      <c r="T3646" s="564">
        <f>IF((I3646-MAX(I$470:I3646))/MAX(I$470:I3646)&gt;T3645,T3645,(I3646-MAX(I$470:I3646))/MAX(I$470:I3646))</f>
        <v>-0.91338805338419748</v>
      </c>
      <c r="U3646" s="564">
        <f>IF((J3646-MAX(J$470:J3646))/MAX(J$470:J3646)&gt;U3645,U3645,(J3646-MAX(J$470:J3646))/MAX(J$470:J3646))</f>
        <v>-0.83569785939843477</v>
      </c>
      <c r="V3646" s="564">
        <f>IF((K3646-MAX(K$470:K3646))/MAX(K$470:K3646)&gt;V3645,V3645,(K3646-MAX(K$470:K3646))/MAX(K$470:K3646))</f>
        <v>-0.84885940676762139</v>
      </c>
      <c r="W3646" s="564">
        <f>IF((N3646-MAX(N$470:N3646))/MAX(N$470:N3646)&gt;W3645,W3645,(N3646-MAX(N$470:N3646))/MAX(N$470:N3646))</f>
        <v>-0.62788758315546067</v>
      </c>
      <c r="X3646" s="564">
        <f>IF((O3646-MAX(O$470:O3646))/MAX(O$470:O3646)&gt;X3645,X3645,(O3646-MAX(O$470:O3646))/MAX(O$470:O3646))</f>
        <v>-0.62788758315546067</v>
      </c>
    </row>
    <row r="3647" spans="1:24">
      <c r="A3647" s="799">
        <v>44049</v>
      </c>
      <c r="B3647">
        <v>11812.856773088</v>
      </c>
      <c r="C3647">
        <v>61878.844427000004</v>
      </c>
      <c r="D3647">
        <v>1.951554</v>
      </c>
      <c r="E3647">
        <f>LN(D3647/参数实验室!$E$53)/参数实验室!$E$55</f>
        <v>9.5845372952797908E-2</v>
      </c>
      <c r="F3647">
        <f t="shared" si="508"/>
        <v>5.2382624809243534</v>
      </c>
      <c r="G3647">
        <f>LN(F3647/参数实验室!$E$58)/参数实验室!$E$59</f>
        <v>0.67862294643164944</v>
      </c>
      <c r="H3647" s="856">
        <f>INDEX(神经网络!$G$10:$BO$70,MATCH(ROUND(G3647*2,1)/2,神经网络!$E$10:$E$70,0),MATCH(ROUND(E3647*2,1)/2,神经网络!$G$8:$BO$8,0))</f>
        <v>1.7126539669765544</v>
      </c>
      <c r="I3647">
        <f t="shared" si="510"/>
        <v>750397.55862865492</v>
      </c>
      <c r="J3647">
        <f t="shared" si="511"/>
        <v>4713.6414241602379</v>
      </c>
      <c r="K3647">
        <f t="shared" si="512"/>
        <v>159.19699678096379</v>
      </c>
      <c r="L3647" s="4">
        <f>MIN(MAX(L3646*(1+MAX(MIN(((B3647-B3646)/B3646)/($K$7*卓尔金历!$N$40),0),-卓尔金历!$M$43))+MIN(MAX(((B3647-B3646)/B3646)/($K$7*卓尔金历!$N$40),0),卓尔金历!$M$43),0),1)</f>
        <v>1</v>
      </c>
      <c r="M3647" s="4">
        <f>MIN(MAX(M3646*(1+MAX(MIN(((B3647-B3646)/B3646)/($K$7*30),0),-卓尔金历!$M$43))+MIN(MAX(((B3647-B3646)/B3646)/($K$7*7),0),卓尔金历!$M$43),0),1)</f>
        <v>1</v>
      </c>
      <c r="N3647">
        <f t="shared" si="513"/>
        <v>224076.18795386775</v>
      </c>
      <c r="O3647">
        <f t="shared" si="514"/>
        <v>673043.41993703367</v>
      </c>
      <c r="P3647">
        <f t="shared" si="515"/>
        <v>1.4248683950269693E-2</v>
      </c>
      <c r="Q3647">
        <f t="shared" si="516"/>
        <v>2.4762765094516387E-2</v>
      </c>
      <c r="R3647">
        <f t="shared" si="517"/>
        <v>0.59191747641301906</v>
      </c>
      <c r="S3647">
        <f t="shared" si="509"/>
        <v>1178.2694633356232</v>
      </c>
      <c r="T3647" s="564">
        <f>IF((I3647-MAX(I$470:I3647))/MAX(I$470:I3647)&gt;T3646,T3646,(I3647-MAX(I$470:I3647))/MAX(I$470:I3647))</f>
        <v>-0.91338805338419748</v>
      </c>
      <c r="U3647" s="564">
        <f>IF((J3647-MAX(J$470:J3647))/MAX(J$470:J3647)&gt;U3646,U3646,(J3647-MAX(J$470:J3647))/MAX(J$470:J3647))</f>
        <v>-0.83569785939843477</v>
      </c>
      <c r="V3647" s="564">
        <f>IF((K3647-MAX(K$470:K3647))/MAX(K$470:K3647)&gt;V3646,V3646,(K3647-MAX(K$470:K3647))/MAX(K$470:K3647))</f>
        <v>-0.84885940676762139</v>
      </c>
      <c r="W3647" s="564">
        <f>IF((N3647-MAX(N$470:N3647))/MAX(N$470:N3647)&gt;W3646,W3646,(N3647-MAX(N$470:N3647))/MAX(N$470:N3647))</f>
        <v>-0.62788758315546067</v>
      </c>
      <c r="X3647" s="564">
        <f>IF((O3647-MAX(O$470:O3647))/MAX(O$470:O3647)&gt;X3646,X3646,(O3647-MAX(O$470:O3647))/MAX(O$470:O3647))</f>
        <v>-0.62788758315546067</v>
      </c>
    </row>
    <row r="3648" spans="1:24">
      <c r="A3648" s="799">
        <v>44050</v>
      </c>
      <c r="B3648">
        <v>11639.280321800001</v>
      </c>
      <c r="C3648">
        <v>61846.139377</v>
      </c>
      <c r="D3648">
        <v>1.917648</v>
      </c>
      <c r="E3648">
        <f>LN(D3648/参数实验室!$E$53)/参数实验室!$E$55</f>
        <v>7.5168376799312861E-2</v>
      </c>
      <c r="F3648">
        <f t="shared" si="508"/>
        <v>5.3135707420985598</v>
      </c>
      <c r="G3648">
        <f>LN(F3648/参数实验室!$E$58)/参数实验室!$E$59</f>
        <v>0.68611482308341576</v>
      </c>
      <c r="H3648" s="856">
        <f>INDEX(神经网络!$G$10:$BO$70,MATCH(ROUND(G3648*2,1)/2,神经网络!$E$10:$E$70,0),MATCH(ROUND(E3648*2,1)/2,神经网络!$G$8:$BO$8,0))</f>
        <v>1.7126539669765544</v>
      </c>
      <c r="I3648">
        <f t="shared" si="510"/>
        <v>731513.43199559883</v>
      </c>
      <c r="J3648">
        <f t="shared" si="511"/>
        <v>4644.3798419057393</v>
      </c>
      <c r="K3648">
        <f t="shared" si="512"/>
        <v>157.50508289507931</v>
      </c>
      <c r="L3648" s="4">
        <f>MIN(MAX(L3647*(1+MAX(MIN(((B3648-B3647)/B3647)/($K$7*卓尔金历!$N$40),0),-卓尔金历!$M$43))+MIN(MAX(((B3648-B3647)/B3647)/($K$7*卓尔金历!$N$40),0),卓尔金历!$M$43),0),1)</f>
        <v>0.77549193579803999</v>
      </c>
      <c r="M3648" s="4">
        <f>MIN(MAX(M3647*(1+MAX(MIN(((B3648-B3647)/B3647)/($K$7*30),0),-卓尔金历!$M$43))+MIN(MAX(((B3648-B3647)/B3647)/($K$7*7),0),卓尔金历!$M$43),0),1)</f>
        <v>0.88774596789902005</v>
      </c>
      <c r="N3648">
        <f t="shared" si="513"/>
        <v>218437.19958014981</v>
      </c>
      <c r="O3648">
        <f t="shared" si="514"/>
        <v>656105.94855871098</v>
      </c>
      <c r="P3648">
        <f t="shared" si="515"/>
        <v>-1.4693858955730396E-2</v>
      </c>
      <c r="Q3648">
        <f t="shared" si="516"/>
        <v>2.5335777435715696E-2</v>
      </c>
      <c r="R3648">
        <f t="shared" si="517"/>
        <v>0.58304109560606321</v>
      </c>
      <c r="S3648">
        <f t="shared" si="509"/>
        <v>1160.7180830250875</v>
      </c>
      <c r="T3648" s="564">
        <f>IF((I3648-MAX(I$470:I3648))/MAX(I$470:I3648)&gt;T3647,T3647,(I3648-MAX(I$470:I3648))/MAX(I$470:I3648))</f>
        <v>-0.91338805338419748</v>
      </c>
      <c r="U3648" s="564">
        <f>IF((J3648-MAX(J$470:J3648))/MAX(J$470:J3648)&gt;U3647,U3647,(J3648-MAX(J$470:J3648))/MAX(J$470:J3648))</f>
        <v>-0.83569785939843477</v>
      </c>
      <c r="V3648" s="564">
        <f>IF((K3648-MAX(K$470:K3648))/MAX(K$470:K3648)&gt;V3647,V3647,(K3648-MAX(K$470:K3648))/MAX(K$470:K3648))</f>
        <v>-0.84885940676762139</v>
      </c>
      <c r="W3648" s="564">
        <f>IF((N3648-MAX(N$470:N3648))/MAX(N$470:N3648)&gt;W3647,W3647,(N3648-MAX(N$470:N3648))/MAX(N$470:N3648))</f>
        <v>-0.62788758315546067</v>
      </c>
      <c r="X3648" s="564">
        <f>IF((O3648-MAX(O$470:O3648))/MAX(O$470:O3648)&gt;X3647,X3647,(O3648-MAX(O$470:O3648))/MAX(O$470:O3648))</f>
        <v>-0.62788758315546067</v>
      </c>
    </row>
    <row r="3649" spans="1:24">
      <c r="A3649" s="799">
        <v>44051</v>
      </c>
      <c r="B3649">
        <v>11739.3972052765</v>
      </c>
      <c r="C3649">
        <v>62806.738205000001</v>
      </c>
      <c r="D3649">
        <v>1.9374290000000001</v>
      </c>
      <c r="E3649">
        <f>LN(D3649/参数实验室!$E$53)/参数实验室!$E$55</f>
        <v>8.727547802246155E-2</v>
      </c>
      <c r="F3649">
        <f t="shared" si="508"/>
        <v>5.3500820448234165</v>
      </c>
      <c r="G3649">
        <f>LN(F3649/参数实验室!$E$58)/参数实验室!$E$59</f>
        <v>0.6897089348048786</v>
      </c>
      <c r="H3649" s="856">
        <f>INDEX(神经网络!$G$10:$BO$70,MATCH(ROUND(G3649*2,1)/2,神经网络!$E$10:$E$70,0),MATCH(ROUND(E3649*2,1)/2,神经网络!$G$8:$BO$8,0))</f>
        <v>1.7126539669765544</v>
      </c>
      <c r="I3649">
        <f t="shared" si="510"/>
        <v>742289.81762306753</v>
      </c>
      <c r="J3649">
        <f t="shared" si="511"/>
        <v>4684.3291190600821</v>
      </c>
      <c r="K3649">
        <f t="shared" si="512"/>
        <v>158.46235368107719</v>
      </c>
      <c r="L3649" s="4">
        <f>MIN(MAX(L3648*(1+MAX(MIN(((B3649-B3648)/B3648)/($K$7*卓尔金历!$N$40),0),-卓尔金历!$M$43))+MIN(MAX(((B3649-B3648)/B3648)/($K$7*卓尔金历!$N$40),0),卓尔金历!$M$43),0),1)</f>
        <v>0.90691671999796564</v>
      </c>
      <c r="M3649" s="4">
        <f>MIN(MAX(M3648*(1+MAX(MIN(((B3649-B3648)/B3648)/($K$7*30),0),-卓尔金历!$M$43))+MIN(MAX(((B3649-B3648)/B3648)/($K$7*7),0),卓尔金历!$M$43),0),1)</f>
        <v>1</v>
      </c>
      <c r="N3649">
        <f t="shared" si="513"/>
        <v>220932.68309427824</v>
      </c>
      <c r="O3649">
        <f t="shared" si="514"/>
        <v>664686.46647973894</v>
      </c>
      <c r="P3649">
        <f t="shared" si="515"/>
        <v>8.6016386501993336E-3</v>
      </c>
      <c r="Q3649">
        <f t="shared" si="516"/>
        <v>2.5285908244490014E-2</v>
      </c>
      <c r="R3649">
        <f t="shared" si="517"/>
        <v>1</v>
      </c>
      <c r="S3649">
        <f t="shared" si="509"/>
        <v>1170.6876601281037</v>
      </c>
      <c r="T3649" s="564">
        <f>IF((I3649-MAX(I$470:I3649))/MAX(I$470:I3649)&gt;T3648,T3648,(I3649-MAX(I$470:I3649))/MAX(I$470:I3649))</f>
        <v>-0.91338805338419748</v>
      </c>
      <c r="U3649" s="564">
        <f>IF((J3649-MAX(J$470:J3649))/MAX(J$470:J3649)&gt;U3648,U3648,(J3649-MAX(J$470:J3649))/MAX(J$470:J3649))</f>
        <v>-0.83569785939843477</v>
      </c>
      <c r="V3649" s="564">
        <f>IF((K3649-MAX(K$470:K3649))/MAX(K$470:K3649)&gt;V3648,V3648,(K3649-MAX(K$470:K3649))/MAX(K$470:K3649))</f>
        <v>-0.84885940676762139</v>
      </c>
      <c r="W3649" s="564">
        <f>IF((N3649-MAX(N$470:N3649))/MAX(N$470:N3649)&gt;W3648,W3648,(N3649-MAX(N$470:N3649))/MAX(N$470:N3649))</f>
        <v>-0.62788758315546067</v>
      </c>
      <c r="X3649" s="564">
        <f>IF((O3649-MAX(O$470:O3649))/MAX(O$470:O3649)&gt;X3648,X3648,(O3649-MAX(O$470:O3649))/MAX(O$470:O3649))</f>
        <v>-0.62788758315546067</v>
      </c>
    </row>
    <row r="3650" spans="1:24">
      <c r="A3650" s="799">
        <v>44052</v>
      </c>
      <c r="B3650">
        <v>11564.120661408801</v>
      </c>
      <c r="C3650">
        <v>63036.189606</v>
      </c>
      <c r="D3650">
        <v>1.9247069999999999</v>
      </c>
      <c r="E3650">
        <f>LN(D3650/参数实验室!$E$53)/参数实验室!$E$55</f>
        <v>7.9503159774057072E-2</v>
      </c>
      <c r="F3650">
        <f t="shared" si="508"/>
        <v>5.4510145173736548</v>
      </c>
      <c r="G3650">
        <f>LN(F3650/参数实验室!$E$58)/参数实验室!$E$59</f>
        <v>0.69951837554754703</v>
      </c>
      <c r="H3650" s="856">
        <f>INDEX(神经网络!$G$10:$BO$70,MATCH(ROUND(G3650*2,1)/2,神经网络!$E$10:$E$70,0),MATCH(ROUND(E3650*2,1)/2,神经网络!$G$8:$BO$8,0))</f>
        <v>1.7126539669765544</v>
      </c>
      <c r="I3650">
        <f t="shared" si="510"/>
        <v>723308.7283490313</v>
      </c>
      <c r="J3650">
        <f t="shared" si="511"/>
        <v>4614.3891550252474</v>
      </c>
      <c r="K3650">
        <f t="shared" si="512"/>
        <v>156.7506996156404</v>
      </c>
      <c r="L3650" s="4">
        <f>MIN(MAX(L3649*(1+MAX(MIN(((B3650-B3649)/B3649)/($K$7*卓尔金历!$N$40),0),-卓尔金历!$M$43))+MIN(MAX(((B3650-B3649)/B3649)/($K$7*卓尔金历!$N$40),0),卓尔金历!$M$43),0),1)</f>
        <v>0.70002577137266986</v>
      </c>
      <c r="M3650" s="4">
        <f>MIN(MAX(M3649*(1+MAX(MIN(((B3650-B3649)/B3649)/($K$7*30),0),-卓尔金历!$M$43))+MIN(MAX(((B3650-B3649)/B3649)/($K$7*7),0),卓尔金历!$M$43),0),1)</f>
        <v>0.88593718471429228</v>
      </c>
      <c r="N3650">
        <f t="shared" si="513"/>
        <v>215809.08560508146</v>
      </c>
      <c r="O3650">
        <f t="shared" si="514"/>
        <v>647689.772115945</v>
      </c>
      <c r="P3650">
        <f t="shared" si="515"/>
        <v>-1.4930625551107368E-2</v>
      </c>
      <c r="Q3650">
        <f t="shared" si="516"/>
        <v>2.5722380171159236E-2</v>
      </c>
      <c r="R3650">
        <f t="shared" si="517"/>
        <v>0.58298702745941966</v>
      </c>
      <c r="S3650">
        <f t="shared" si="509"/>
        <v>1140.7520117312833</v>
      </c>
      <c r="T3650" s="564">
        <f>IF((I3650-MAX(I$470:I3650))/MAX(I$470:I3650)&gt;T3649,T3649,(I3650-MAX(I$470:I3650))/MAX(I$470:I3650))</f>
        <v>-0.91338805338419748</v>
      </c>
      <c r="U3650" s="564">
        <f>IF((J3650-MAX(J$470:J3650))/MAX(J$470:J3650)&gt;U3649,U3649,(J3650-MAX(J$470:J3650))/MAX(J$470:J3650))</f>
        <v>-0.83569785939843477</v>
      </c>
      <c r="V3650" s="564">
        <f>IF((K3650-MAX(K$470:K3650))/MAX(K$470:K3650)&gt;V3649,V3649,(K3650-MAX(K$470:K3650))/MAX(K$470:K3650))</f>
        <v>-0.84885940676762139</v>
      </c>
      <c r="W3650" s="564">
        <f>IF((N3650-MAX(N$470:N3650))/MAX(N$470:N3650)&gt;W3649,W3649,(N3650-MAX(N$470:N3650))/MAX(N$470:N3650))</f>
        <v>-0.62788758315546067</v>
      </c>
      <c r="X3650" s="564">
        <f>IF((O3650-MAX(O$470:O3650))/MAX(O$470:O3650)&gt;X3649,X3649,(O3650-MAX(O$470:O3650))/MAX(O$470:O3650))</f>
        <v>-0.62788758315546067</v>
      </c>
    </row>
    <row r="3651" spans="1:24">
      <c r="A3651" s="799">
        <v>44053</v>
      </c>
      <c r="B3651">
        <v>11924.673856872199</v>
      </c>
      <c r="C3651">
        <v>63886.848588000001</v>
      </c>
      <c r="D3651">
        <v>1.953206</v>
      </c>
      <c r="E3651">
        <f>LN(D3651/参数实验室!$E$53)/参数实验室!$E$55</f>
        <v>9.684361739052201E-2</v>
      </c>
      <c r="F3651">
        <f t="shared" si="508"/>
        <v>5.3575342482999613</v>
      </c>
      <c r="G3651">
        <f>LN(F3651/参数实验室!$E$58)/参数实验室!$E$59</f>
        <v>0.69043950258933717</v>
      </c>
      <c r="H3651" s="856">
        <f>INDEX(神经网络!$G$10:$BO$70,MATCH(ROUND(G3651*2,1)/2,神经网络!$E$10:$E$70,0),MATCH(ROUND(E3651*2,1)/2,神经网络!$G$8:$BO$8,0))</f>
        <v>1.7126539669765544</v>
      </c>
      <c r="I3651">
        <f t="shared" si="510"/>
        <v>761932.08950804919</v>
      </c>
      <c r="J3651">
        <f t="shared" si="511"/>
        <v>4758.2593898376645</v>
      </c>
      <c r="K3651">
        <f t="shared" si="512"/>
        <v>160.12832153188768</v>
      </c>
      <c r="L3651" s="4">
        <f>MIN(MAX(L3650*(1+MAX(MIN(((B3651-B3650)/B3650)/($K$7*卓尔金历!$N$40),0),-卓尔金历!$M$43))+MIN(MAX(((B3651-B3650)/B3650)/($K$7*卓尔金历!$N$40),0),卓尔金历!$M$43),0),1)</f>
        <v>1</v>
      </c>
      <c r="M3651" s="4">
        <f>MIN(MAX(M3650*(1+MAX(MIN(((B3651-B3650)/B3650)/($K$7*30),0),-卓尔金历!$M$43))+MIN(MAX(((B3651-B3650)/B3650)/($K$7*7),0),卓尔金历!$M$43),0),1)</f>
        <v>1</v>
      </c>
      <c r="N3651">
        <f t="shared" si="513"/>
        <v>223876.04949065714</v>
      </c>
      <c r="O3651">
        <f t="shared" si="514"/>
        <v>678330.30602880451</v>
      </c>
      <c r="P3651">
        <f t="shared" si="515"/>
        <v>3.1178608907689694E-2</v>
      </c>
      <c r="Q3651">
        <f t="shared" si="516"/>
        <v>2.5995328067971099E-2</v>
      </c>
      <c r="R3651">
        <f t="shared" si="517"/>
        <v>2.1045654931118429E-2</v>
      </c>
      <c r="S3651">
        <f t="shared" si="509"/>
        <v>1176.2641230669958</v>
      </c>
      <c r="T3651" s="564">
        <f>IF((I3651-MAX(I$470:I3651))/MAX(I$470:I3651)&gt;T3650,T3650,(I3651-MAX(I$470:I3651))/MAX(I$470:I3651))</f>
        <v>-0.91338805338419748</v>
      </c>
      <c r="U3651" s="564">
        <f>IF((J3651-MAX(J$470:J3651))/MAX(J$470:J3651)&gt;U3650,U3650,(J3651-MAX(J$470:J3651))/MAX(J$470:J3651))</f>
        <v>-0.83569785939843477</v>
      </c>
      <c r="V3651" s="564">
        <f>IF((K3651-MAX(K$470:K3651))/MAX(K$470:K3651)&gt;V3650,V3650,(K3651-MAX(K$470:K3651))/MAX(K$470:K3651))</f>
        <v>-0.84885940676762139</v>
      </c>
      <c r="W3651" s="564">
        <f>IF((N3651-MAX(N$470:N3651))/MAX(N$470:N3651)&gt;W3650,W3650,(N3651-MAX(N$470:N3651))/MAX(N$470:N3651))</f>
        <v>-0.62788758315546067</v>
      </c>
      <c r="X3651" s="564">
        <f>IF((O3651-MAX(O$470:O3651))/MAX(O$470:O3651)&gt;X3650,X3650,(O3651-MAX(O$470:O3651))/MAX(O$470:O3651))</f>
        <v>-0.62788758315546067</v>
      </c>
    </row>
    <row r="3652" spans="1:24">
      <c r="A3652" s="799">
        <v>44054</v>
      </c>
      <c r="B3652">
        <v>11500.854954632399</v>
      </c>
      <c r="C3652">
        <v>63808.132725000003</v>
      </c>
      <c r="D3652">
        <v>1.8719479999999999</v>
      </c>
      <c r="E3652">
        <f>LN(D3652/参数实验室!$E$53)/参数实验室!$E$55</f>
        <v>4.6712922952013847E-2</v>
      </c>
      <c r="F3652">
        <f t="shared" si="508"/>
        <v>5.5481208116009579</v>
      </c>
      <c r="G3652">
        <f>LN(F3652/参数实验室!$E$58)/参数实验室!$E$59</f>
        <v>0.70878600501788713</v>
      </c>
      <c r="H3652" s="856">
        <f>INDEX(神经网络!$G$10:$BO$70,MATCH(ROUND(G3652*2,1)/2,神经网络!$E$10:$E$70,0),MATCH(ROUND(E3652*2,1)/2,神经网络!$G$8:$BO$8,0))</f>
        <v>1.626531289104566</v>
      </c>
      <c r="I3652">
        <f t="shared" si="510"/>
        <v>715553.26874528301</v>
      </c>
      <c r="J3652">
        <f t="shared" si="511"/>
        <v>4589.1444693477397</v>
      </c>
      <c r="K3652">
        <f t="shared" si="512"/>
        <v>155.92302084292095</v>
      </c>
      <c r="L3652" s="4">
        <f>MIN(MAX(L3651*(1+MAX(MIN(((B3652-B3651)/B3651)/($K$7*卓尔金历!$N$40),0),-卓尔金历!$M$43))+MIN(MAX(((B3652-B3651)/B3651)/($K$7*卓尔金历!$N$40),0),卓尔金历!$M$43),0),1)</f>
        <v>0.45696241294542272</v>
      </c>
      <c r="M3652" s="4">
        <f>MIN(MAX(M3651*(1+MAX(MIN(((B3652-B3651)/B3651)/($K$7*30),0),-卓尔金历!$M$43))+MIN(MAX(((B3652-B3651)/B3651)/($K$7*7),0),卓尔金历!$M$43),0),1)</f>
        <v>0.72848120647271131</v>
      </c>
      <c r="N3652">
        <f t="shared" si="513"/>
        <v>210248.71010519125</v>
      </c>
      <c r="O3652">
        <f t="shared" si="514"/>
        <v>637040.32741460158</v>
      </c>
      <c r="P3652">
        <f t="shared" si="515"/>
        <v>-3.5541341199495605E-2</v>
      </c>
      <c r="Q3652">
        <f t="shared" si="516"/>
        <v>2.792423406607231E-2</v>
      </c>
      <c r="R3652">
        <f t="shared" si="517"/>
        <v>1.9725212216394079E-2</v>
      </c>
      <c r="S3652">
        <f t="shared" si="509"/>
        <v>1174.7572705997129</v>
      </c>
      <c r="T3652" s="564">
        <f>IF((I3652-MAX(I$470:I3652))/MAX(I$470:I3652)&gt;T3651,T3651,(I3652-MAX(I$470:I3652))/MAX(I$470:I3652))</f>
        <v>-0.91338805338419748</v>
      </c>
      <c r="U3652" s="564">
        <f>IF((J3652-MAX(J$470:J3652))/MAX(J$470:J3652)&gt;U3651,U3651,(J3652-MAX(J$470:J3652))/MAX(J$470:J3652))</f>
        <v>-0.83569785939843477</v>
      </c>
      <c r="V3652" s="564">
        <f>IF((K3652-MAX(K$470:K3652))/MAX(K$470:K3652)&gt;V3651,V3651,(K3652-MAX(K$470:K3652))/MAX(K$470:K3652))</f>
        <v>-0.84885940676762139</v>
      </c>
      <c r="W3652" s="564">
        <f>IF((N3652-MAX(N$470:N3652))/MAX(N$470:N3652)&gt;W3651,W3651,(N3652-MAX(N$470:N3652))/MAX(N$470:N3652))</f>
        <v>-0.62788758315546067</v>
      </c>
      <c r="X3652" s="564">
        <f>IF((O3652-MAX(O$470:O3652))/MAX(O$470:O3652)&gt;X3651,X3651,(O3652-MAX(O$470:O3652))/MAX(O$470:O3652))</f>
        <v>-0.62788758315546067</v>
      </c>
    </row>
    <row r="3653" spans="1:24">
      <c r="A3653" s="799">
        <v>44055</v>
      </c>
      <c r="B3653">
        <v>11586.6232153733</v>
      </c>
      <c r="C3653">
        <v>63374.885233000001</v>
      </c>
      <c r="D3653">
        <v>1.899829</v>
      </c>
      <c r="E3653">
        <f>LN(D3653/参数实验室!$E$53)/参数实验室!$E$55</f>
        <v>6.415472787305701E-2</v>
      </c>
      <c r="F3653">
        <f t="shared" ref="F3653:F3716" si="518">C3653/B3653</f>
        <v>5.4696596286063128</v>
      </c>
      <c r="G3653">
        <f>LN(F3653/参数实验室!$E$58)/参数实验室!$E$59</f>
        <v>0.70131056738330744</v>
      </c>
      <c r="H3653" s="856">
        <f>INDEX(神经网络!$G$10:$BO$70,MATCH(ROUND(G3653*2,1)/2,神经网络!$E$10:$E$70,0),MATCH(ROUND(E3653*2,1)/2,神经网络!$G$8:$BO$8,0))</f>
        <v>1.626531289104566</v>
      </c>
      <c r="I3653">
        <f t="shared" si="510"/>
        <v>724232.89188701916</v>
      </c>
      <c r="J3653">
        <f t="shared" si="511"/>
        <v>4623.3682675764221</v>
      </c>
      <c r="K3653">
        <f t="shared" si="512"/>
        <v>156.64616140705212</v>
      </c>
      <c r="L3653" s="4">
        <f>MIN(MAX(L3652*(1+MAX(MIN(((B3653-B3652)/B3652)/($K$7*卓尔金历!$N$40),0),-卓尔金历!$M$43))+MIN(MAX(((B3653-B3652)/B3652)/($K$7*卓尔金历!$N$40),0),卓尔金历!$M$43),0),1)</f>
        <v>0.57090670001343802</v>
      </c>
      <c r="M3653" s="4">
        <f>MIN(MAX(M3652*(1+MAX(MIN(((B3653-B3652)/B3652)/($K$7*30),0),-卓尔金历!$M$43))+MIN(MAX(((B3653-B3652)/B3652)/($K$7*7),0),卓尔金历!$M$43),0),1)</f>
        <v>0.97264753590417263</v>
      </c>
      <c r="N3653">
        <f t="shared" si="513"/>
        <v>211414.10394510708</v>
      </c>
      <c r="O3653">
        <f t="shared" si="514"/>
        <v>642669.49498768698</v>
      </c>
      <c r="P3653">
        <f t="shared" si="515"/>
        <v>7.457555206046157E-3</v>
      </c>
      <c r="Q3653">
        <f t="shared" si="516"/>
        <v>2.7837311414472116E-2</v>
      </c>
      <c r="R3653">
        <f t="shared" si="517"/>
        <v>1</v>
      </c>
      <c r="S3653">
        <f t="shared" si="509"/>
        <v>1175.0383498101892</v>
      </c>
      <c r="T3653" s="564">
        <f>IF((I3653-MAX(I$470:I3653))/MAX(I$470:I3653)&gt;T3652,T3652,(I3653-MAX(I$470:I3653))/MAX(I$470:I3653))</f>
        <v>-0.91338805338419748</v>
      </c>
      <c r="U3653" s="564">
        <f>IF((J3653-MAX(J$470:J3653))/MAX(J$470:J3653)&gt;U3652,U3652,(J3653-MAX(J$470:J3653))/MAX(J$470:J3653))</f>
        <v>-0.83569785939843477</v>
      </c>
      <c r="V3653" s="564">
        <f>IF((K3653-MAX(K$470:K3653))/MAX(K$470:K3653)&gt;V3652,V3652,(K3653-MAX(K$470:K3653))/MAX(K$470:K3653))</f>
        <v>-0.84885940676762139</v>
      </c>
      <c r="W3653" s="564">
        <f>IF((N3653-MAX(N$470:N3653))/MAX(N$470:N3653)&gt;W3652,W3652,(N3653-MAX(N$470:N3653))/MAX(N$470:N3653))</f>
        <v>-0.62788758315546067</v>
      </c>
      <c r="X3653" s="564">
        <f>IF((O3653-MAX(O$470:O3653))/MAX(O$470:O3653)&gt;X3652,X3652,(O3653-MAX(O$470:O3653))/MAX(O$470:O3653))</f>
        <v>-0.62788758315546067</v>
      </c>
    </row>
    <row r="3654" spans="1:24">
      <c r="A3654" s="799">
        <v>44056</v>
      </c>
      <c r="B3654">
        <v>11499.6599181006</v>
      </c>
      <c r="C3654">
        <v>63252.471144000003</v>
      </c>
      <c r="D3654">
        <v>1.929243</v>
      </c>
      <c r="E3654">
        <f>LN(D3654/参数实验室!$E$53)/参数实验室!$E$55</f>
        <v>8.2280239490028564E-2</v>
      </c>
      <c r="F3654">
        <f t="shared" si="518"/>
        <v>5.5003775411166611</v>
      </c>
      <c r="G3654">
        <f>LN(F3654/参数实验室!$E$58)/参数实验室!$E$59</f>
        <v>0.70424993075374342</v>
      </c>
      <c r="H3654" s="856">
        <f>INDEX(神经网络!$G$10:$BO$70,MATCH(ROUND(G3654*2,1)/2,神经网络!$E$10:$E$70,0),MATCH(ROUND(E3654*2,1)/2,神经网络!$G$8:$BO$8,0))</f>
        <v>1.7126539669765544</v>
      </c>
      <c r="I3654">
        <f t="shared" si="510"/>
        <v>715391.51751086768</v>
      </c>
      <c r="J3654">
        <f t="shared" si="511"/>
        <v>4588.6676182516949</v>
      </c>
      <c r="K3654">
        <f t="shared" si="512"/>
        <v>155.90397410031528</v>
      </c>
      <c r="L3654" s="4">
        <f>MIN(MAX(L3653*(1+MAX(MIN(((B3654-B3653)/B3653)/($K$7*卓尔金历!$N$40),0),-卓尔金历!$M$43))+MIN(MAX(((B3654-B3653)/B3653)/($K$7*卓尔金历!$N$40),0),卓尔金历!$M$43),0),1)</f>
        <v>0.50543700288866422</v>
      </c>
      <c r="M3654" s="4">
        <f>MIN(MAX(M3653*(1+MAX(MIN(((B3654-B3653)/B3653)/($K$7*30),0),-卓尔金历!$M$43))+MIN(MAX(((B3654-B3653)/B3653)/($K$7*7),0),卓尔金历!$M$43),0),1)</f>
        <v>0.91687753041701958</v>
      </c>
      <c r="N3654">
        <f t="shared" si="513"/>
        <v>209940.63620391089</v>
      </c>
      <c r="O3654">
        <f t="shared" si="514"/>
        <v>635038.43772126071</v>
      </c>
      <c r="P3654">
        <f t="shared" si="515"/>
        <v>-7.5054910871111546E-3</v>
      </c>
      <c r="Q3654">
        <f t="shared" si="516"/>
        <v>2.800225063822389E-2</v>
      </c>
      <c r="R3654">
        <f t="shared" si="517"/>
        <v>1</v>
      </c>
      <c r="S3654">
        <f t="shared" si="509"/>
        <v>1160.6935802293181</v>
      </c>
      <c r="T3654" s="564">
        <f>IF((I3654-MAX(I$470:I3654))/MAX(I$470:I3654)&gt;T3653,T3653,(I3654-MAX(I$470:I3654))/MAX(I$470:I3654))</f>
        <v>-0.91338805338419748</v>
      </c>
      <c r="U3654" s="564">
        <f>IF((J3654-MAX(J$470:J3654))/MAX(J$470:J3654)&gt;U3653,U3653,(J3654-MAX(J$470:J3654))/MAX(J$470:J3654))</f>
        <v>-0.83569785939843477</v>
      </c>
      <c r="V3654" s="564">
        <f>IF((K3654-MAX(K$470:K3654))/MAX(K$470:K3654)&gt;V3653,V3653,(K3654-MAX(K$470:K3654))/MAX(K$470:K3654))</f>
        <v>-0.84885940676762139</v>
      </c>
      <c r="W3654" s="564">
        <f>IF((N3654-MAX(N$470:N3654))/MAX(N$470:N3654)&gt;W3653,W3653,(N3654-MAX(N$470:N3654))/MAX(N$470:N3654))</f>
        <v>-0.62788758315546067</v>
      </c>
      <c r="X3654" s="564">
        <f>IF((O3654-MAX(O$470:O3654))/MAX(O$470:O3654)&gt;X3653,X3653,(O3654-MAX(O$470:O3654))/MAX(O$470:O3654))</f>
        <v>-0.62788758315546067</v>
      </c>
    </row>
    <row r="3655" spans="1:24">
      <c r="A3655" s="799">
        <v>44057</v>
      </c>
      <c r="B3655">
        <v>11741.070520621101</v>
      </c>
      <c r="C3655">
        <v>62002.346765000002</v>
      </c>
      <c r="D3655">
        <v>1.9265620000000001</v>
      </c>
      <c r="E3655">
        <f>LN(D3655/参数实验室!$E$53)/参数实验室!$E$55</f>
        <v>8.0639638392821525E-2</v>
      </c>
      <c r="F3655">
        <f t="shared" si="518"/>
        <v>5.280808649952653</v>
      </c>
      <c r="G3655">
        <f>LN(F3655/参数实验室!$E$58)/参数实验室!$E$59</f>
        <v>0.68286869214940382</v>
      </c>
      <c r="H3655" s="856">
        <f>INDEX(神经网络!$G$10:$BO$70,MATCH(ROUND(G3655*2,1)/2,神经网络!$E$10:$E$70,0),MATCH(ROUND(E3655*2,1)/2,神经网络!$G$8:$BO$8,0))</f>
        <v>1.7126539669765544</v>
      </c>
      <c r="I3655">
        <f t="shared" si="510"/>
        <v>741112.33419352211</v>
      </c>
      <c r="J3655">
        <f t="shared" si="511"/>
        <v>4684.9968160173466</v>
      </c>
      <c r="K3655">
        <f t="shared" si="512"/>
        <v>158.18843924498796</v>
      </c>
      <c r="L3655" s="4">
        <f>MIN(MAX(L3654*(1+MAX(MIN(((B3655-B3654)/B3654)/($K$7*卓尔金历!$N$40),0),-卓尔金历!$M$43))+MIN(MAX(((B3655-B3654)/B3654)/($K$7*卓尔金历!$N$40),0),卓尔金历!$M$43),0),1)</f>
        <v>0.82618756145801409</v>
      </c>
      <c r="M3655" s="4">
        <f>MIN(MAX(M3654*(1+MAX(MIN(((B3655-B3654)/B3654)/($K$7*30),0),-卓尔金历!$M$43))+MIN(MAX(((B3655-B3654)/B3654)/($K$7*7),0),卓尔金历!$M$43),0),1)</f>
        <v>1</v>
      </c>
      <c r="N3655">
        <f t="shared" si="513"/>
        <v>213755.72376505952</v>
      </c>
      <c r="O3655">
        <f t="shared" si="514"/>
        <v>655972.4420992916</v>
      </c>
      <c r="P3655">
        <f t="shared" si="515"/>
        <v>2.0992847113723508E-2</v>
      </c>
      <c r="Q3655">
        <f t="shared" si="516"/>
        <v>2.8053571883703072E-2</v>
      </c>
      <c r="R3655">
        <f t="shared" si="517"/>
        <v>0.32605525838503246</v>
      </c>
      <c r="S3655">
        <f t="shared" si="509"/>
        <v>1202.4245570036669</v>
      </c>
      <c r="T3655" s="564">
        <f>IF((I3655-MAX(I$470:I3655))/MAX(I$470:I3655)&gt;T3654,T3654,(I3655-MAX(I$470:I3655))/MAX(I$470:I3655))</f>
        <v>-0.91338805338419748</v>
      </c>
      <c r="U3655" s="564">
        <f>IF((J3655-MAX(J$470:J3655))/MAX(J$470:J3655)&gt;U3654,U3654,(J3655-MAX(J$470:J3655))/MAX(J$470:J3655))</f>
        <v>-0.83569785939843477</v>
      </c>
      <c r="V3655" s="564">
        <f>IF((K3655-MAX(K$470:K3655))/MAX(K$470:K3655)&gt;V3654,V3654,(K3655-MAX(K$470:K3655))/MAX(K$470:K3655))</f>
        <v>-0.84885940676762139</v>
      </c>
      <c r="W3655" s="564">
        <f>IF((N3655-MAX(N$470:N3655))/MAX(N$470:N3655)&gt;W3654,W3654,(N3655-MAX(N$470:N3655))/MAX(N$470:N3655))</f>
        <v>-0.62788758315546067</v>
      </c>
      <c r="X3655" s="564">
        <f>IF((O3655-MAX(O$470:O3655))/MAX(O$470:O3655)&gt;X3654,X3654,(O3655-MAX(O$470:O3655))/MAX(O$470:O3655))</f>
        <v>-0.62788758315546067</v>
      </c>
    </row>
    <row r="3656" spans="1:24">
      <c r="A3656" s="799">
        <v>44058</v>
      </c>
      <c r="B3656">
        <v>11868.6424389323</v>
      </c>
      <c r="C3656">
        <v>61162.090964000003</v>
      </c>
      <c r="D3656">
        <v>1.939897</v>
      </c>
      <c r="E3656">
        <f>LN(D3656/参数实验室!$E$53)/参数实验室!$E$55</f>
        <v>8.8777354005728198E-2</v>
      </c>
      <c r="F3656">
        <f t="shared" si="518"/>
        <v>5.1532507848894404</v>
      </c>
      <c r="G3656">
        <f>LN(F3656/参数实验室!$E$58)/参数实验室!$E$59</f>
        <v>0.67003522168600149</v>
      </c>
      <c r="H3656" s="856">
        <f>INDEX(神经网络!$G$10:$BO$70,MATCH(ROUND(G3656*2,1)/2,神经网络!$E$10:$E$70,0),MATCH(ROUND(E3656*2,1)/2,神经网络!$G$8:$BO$8,0))</f>
        <v>1.6806456884745045</v>
      </c>
      <c r="I3656">
        <f t="shared" si="510"/>
        <v>754903.50240398047</v>
      </c>
      <c r="J3656">
        <f t="shared" si="511"/>
        <v>4735.9013762149443</v>
      </c>
      <c r="K3656">
        <f t="shared" si="512"/>
        <v>159.40017378641423</v>
      </c>
      <c r="L3656" s="4">
        <f>MIN(MAX(L3655*(1+MAX(MIN(((B3656-B3655)/B3655)/($K$7*卓尔金历!$N$40),0),-卓尔金历!$M$43))+MIN(MAX(((B3656-B3655)/B3655)/($K$7*卓尔金历!$N$40),0),卓尔金历!$M$43),0),1)</f>
        <v>0.99220108524699469</v>
      </c>
      <c r="M3656" s="4">
        <f>MIN(MAX(M3655*(1+MAX(MIN(((B3656-B3655)/B3655)/($K$7*30),0),-卓尔金历!$M$43))+MIN(MAX(((B3656-B3655)/B3655)/($K$7*7),0),卓尔金历!$M$43),0),1)</f>
        <v>1</v>
      </c>
      <c r="N3656">
        <f t="shared" si="513"/>
        <v>217042.07077533446</v>
      </c>
      <c r="O3656">
        <f t="shared" si="514"/>
        <v>668179.26402495964</v>
      </c>
      <c r="P3656">
        <f t="shared" si="515"/>
        <v>1.0865441791456942E-2</v>
      </c>
      <c r="Q3656">
        <f t="shared" si="516"/>
        <v>2.8028524519814486E-2</v>
      </c>
      <c r="R3656">
        <f t="shared" si="517"/>
        <v>1</v>
      </c>
      <c r="S3656">
        <f t="shared" si="509"/>
        <v>1209.720241762561</v>
      </c>
      <c r="T3656" s="564">
        <f>IF((I3656-MAX(I$470:I3656))/MAX(I$470:I3656)&gt;T3655,T3655,(I3656-MAX(I$470:I3656))/MAX(I$470:I3656))</f>
        <v>-0.91338805338419748</v>
      </c>
      <c r="U3656" s="564">
        <f>IF((J3656-MAX(J$470:J3656))/MAX(J$470:J3656)&gt;U3655,U3655,(J3656-MAX(J$470:J3656))/MAX(J$470:J3656))</f>
        <v>-0.83569785939843477</v>
      </c>
      <c r="V3656" s="564">
        <f>IF((K3656-MAX(K$470:K3656))/MAX(K$470:K3656)&gt;V3655,V3655,(K3656-MAX(K$470:K3656))/MAX(K$470:K3656))</f>
        <v>-0.84885940676762139</v>
      </c>
      <c r="W3656" s="564">
        <f>IF((N3656-MAX(N$470:N3656))/MAX(N$470:N3656)&gt;W3655,W3655,(N3656-MAX(N$470:N3656))/MAX(N$470:N3656))</f>
        <v>-0.62788758315546067</v>
      </c>
      <c r="X3656" s="564">
        <f>IF((O3656-MAX(O$470:O3656))/MAX(O$470:O3656)&gt;X3655,X3655,(O3656-MAX(O$470:O3656))/MAX(O$470:O3656))</f>
        <v>-0.62788758315546067</v>
      </c>
    </row>
    <row r="3657" spans="1:24">
      <c r="A3657" s="799">
        <v>44059</v>
      </c>
      <c r="B3657">
        <v>11871.2716797626</v>
      </c>
      <c r="C3657">
        <v>59761.105432999997</v>
      </c>
      <c r="D3657">
        <v>1.943662</v>
      </c>
      <c r="E3657">
        <f>LN(D3657/参数实验室!$E$53)/参数实验室!$E$55</f>
        <v>9.1064829156808233E-2</v>
      </c>
      <c r="F3657">
        <f t="shared" si="518"/>
        <v>5.0340946652646306</v>
      </c>
      <c r="G3657">
        <f>LN(F3657/参数实验室!$E$58)/参数实验室!$E$59</f>
        <v>0.65775676825596374</v>
      </c>
      <c r="H3657" s="856">
        <f>INDEX(神经网络!$G$10:$BO$70,MATCH(ROUND(G3657*2,1)/2,神经网络!$E$10:$E$70,0),MATCH(ROUND(E3657*2,1)/2,神经网络!$G$8:$BO$8,0))</f>
        <v>1.6806456884745045</v>
      </c>
      <c r="I3657">
        <f t="shared" si="510"/>
        <v>755184.56103573367</v>
      </c>
      <c r="J3657">
        <f t="shared" si="511"/>
        <v>4736.9505126541526</v>
      </c>
      <c r="K3657">
        <f t="shared" si="512"/>
        <v>159.42420319113646</v>
      </c>
      <c r="L3657" s="4">
        <f>MIN(MAX(L3656*(1+MAX(MIN(((B3657-B3656)/B3656)/($K$7*卓尔金历!$N$40),0),-卓尔金历!$M$43))+MIN(MAX(((B3657-B3656)/B3656)/($K$7*卓尔金历!$N$40),0),卓尔金历!$M$43),0),1)</f>
        <v>0.9955858259197381</v>
      </c>
      <c r="M3657" s="4">
        <f>MIN(MAX(M3656*(1+MAX(MIN(((B3657-B3656)/B3656)/($K$7*30),0),-卓尔金历!$M$43))+MIN(MAX(((B3657-B3656)/B3656)/($K$7*7),0),卓尔金历!$M$43),0),1)</f>
        <v>1</v>
      </c>
      <c r="N3657">
        <f t="shared" si="513"/>
        <v>217122.24764745645</v>
      </c>
      <c r="O3657">
        <f t="shared" si="514"/>
        <v>668428.03429707349</v>
      </c>
      <c r="P3657">
        <f t="shared" si="515"/>
        <v>2.2152835455512096E-4</v>
      </c>
      <c r="Q3657">
        <f t="shared" si="516"/>
        <v>2.7387904811354575E-2</v>
      </c>
      <c r="R3657">
        <f t="shared" si="517"/>
        <v>1</v>
      </c>
      <c r="S3657">
        <f t="shared" si="509"/>
        <v>1210.1706335210722</v>
      </c>
      <c r="T3657" s="564">
        <f>IF((I3657-MAX(I$470:I3657))/MAX(I$470:I3657)&gt;T3656,T3656,(I3657-MAX(I$470:I3657))/MAX(I$470:I3657))</f>
        <v>-0.91338805338419748</v>
      </c>
      <c r="U3657" s="564">
        <f>IF((J3657-MAX(J$470:J3657))/MAX(J$470:J3657)&gt;U3656,U3656,(J3657-MAX(J$470:J3657))/MAX(J$470:J3657))</f>
        <v>-0.83569785939843477</v>
      </c>
      <c r="V3657" s="564">
        <f>IF((K3657-MAX(K$470:K3657))/MAX(K$470:K3657)&gt;V3656,V3656,(K3657-MAX(K$470:K3657))/MAX(K$470:K3657))</f>
        <v>-0.84885940676762139</v>
      </c>
      <c r="W3657" s="564">
        <f>IF((N3657-MAX(N$470:N3657))/MAX(N$470:N3657)&gt;W3656,W3656,(N3657-MAX(N$470:N3657))/MAX(N$470:N3657))</f>
        <v>-0.62788758315546067</v>
      </c>
      <c r="X3657" s="564">
        <f>IF((O3657-MAX(O$470:O3657))/MAX(O$470:O3657)&gt;X3656,X3656,(O3657-MAX(O$470:O3657))/MAX(O$470:O3657))</f>
        <v>-0.62788758315546067</v>
      </c>
    </row>
    <row r="3658" spans="1:24">
      <c r="A3658" s="799">
        <v>44060</v>
      </c>
      <c r="B3658">
        <v>12413.092165259</v>
      </c>
      <c r="C3658">
        <v>59973.908676999999</v>
      </c>
      <c r="D3658">
        <v>2.0043790000000001</v>
      </c>
      <c r="E3658">
        <f>LN(D3658/参数实验室!$E$53)/参数实验室!$E$55</f>
        <v>0.12735458692403145</v>
      </c>
      <c r="F3658">
        <f t="shared" si="518"/>
        <v>4.8315043406228213</v>
      </c>
      <c r="G3658">
        <f>LN(F3658/参数实验室!$E$58)/参数实验室!$E$59</f>
        <v>0.6361979555070979</v>
      </c>
      <c r="H3658" s="856">
        <f>INDEX(神经网络!$G$10:$BO$70,MATCH(ROUND(G3658*2,1)/2,神经网络!$E$10:$E$70,0),MATCH(ROUND(E3658*2,1)/2,神经网络!$G$8:$BO$8,0))</f>
        <v>1.7612313580803427</v>
      </c>
      <c r="I3658">
        <f t="shared" si="510"/>
        <v>813112.41576155496</v>
      </c>
      <c r="J3658">
        <f t="shared" si="511"/>
        <v>4953.1511772311442</v>
      </c>
      <c r="K3658">
        <f t="shared" si="512"/>
        <v>164.1606296006681</v>
      </c>
      <c r="L3658" s="4">
        <f>MIN(MAX(L3657*(1+MAX(MIN(((B3658-B3657)/B3657)/($K$7*卓尔金历!$N$40),0),-卓尔金历!$M$43))+MIN(MAX(((B3658-B3657)/B3657)/($K$7*卓尔金历!$N$40),0),卓尔金历!$M$43),0),1)</f>
        <v>1</v>
      </c>
      <c r="M3658" s="4">
        <f>MIN(MAX(M3657*(1+MAX(MIN(((B3658-B3657)/B3657)/($K$7*30),0),-卓尔金历!$M$43))+MIN(MAX(((B3658-B3657)/B3657)/($K$7*7),0),卓尔金历!$M$43),0),1)</f>
        <v>1</v>
      </c>
      <c r="N3658">
        <f t="shared" si="513"/>
        <v>233703.50171117875</v>
      </c>
      <c r="O3658">
        <f t="shared" si="514"/>
        <v>719701.0661666895</v>
      </c>
      <c r="P3658">
        <f t="shared" si="515"/>
        <v>4.5641317974388723E-2</v>
      </c>
      <c r="Q3658">
        <f t="shared" si="516"/>
        <v>2.794748127931802E-2</v>
      </c>
      <c r="R3658">
        <f t="shared" si="517"/>
        <v>1.3954512116366851E-2</v>
      </c>
      <c r="S3658">
        <f t="shared" si="509"/>
        <v>1302.9990522534656</v>
      </c>
      <c r="T3658" s="564">
        <f>IF((I3658-MAX(I$470:I3658))/MAX(I$470:I3658)&gt;T3657,T3657,(I3658-MAX(I$470:I3658))/MAX(I$470:I3658))</f>
        <v>-0.91338805338419748</v>
      </c>
      <c r="U3658" s="564">
        <f>IF((J3658-MAX(J$470:J3658))/MAX(J$470:J3658)&gt;U3657,U3657,(J3658-MAX(J$470:J3658))/MAX(J$470:J3658))</f>
        <v>-0.83569785939843477</v>
      </c>
      <c r="V3658" s="564">
        <f>IF((K3658-MAX(K$470:K3658))/MAX(K$470:K3658)&gt;V3657,V3657,(K3658-MAX(K$470:K3658))/MAX(K$470:K3658))</f>
        <v>-0.84885940676762139</v>
      </c>
      <c r="W3658" s="564">
        <f>IF((N3658-MAX(N$470:N3658))/MAX(N$470:N3658)&gt;W3657,W3657,(N3658-MAX(N$470:N3658))/MAX(N$470:N3658))</f>
        <v>-0.62788758315546067</v>
      </c>
      <c r="X3658" s="564">
        <f>IF((O3658-MAX(O$470:O3658))/MAX(O$470:O3658)&gt;X3657,X3657,(O3658-MAX(O$470:O3658))/MAX(O$470:O3658))</f>
        <v>-0.62788758315546067</v>
      </c>
    </row>
    <row r="3659" spans="1:24">
      <c r="A3659" s="799">
        <v>44061</v>
      </c>
      <c r="B3659">
        <v>11962.5196303187</v>
      </c>
      <c r="C3659">
        <v>59614.931601999997</v>
      </c>
      <c r="D3659">
        <v>1.9501360000000001</v>
      </c>
      <c r="E3659">
        <f>LN(D3659/参数实验室!$E$53)/参数实验室!$E$55</f>
        <v>9.4987852148425464E-2</v>
      </c>
      <c r="F3659">
        <f t="shared" si="518"/>
        <v>4.9834761776195942</v>
      </c>
      <c r="G3659">
        <f>LN(F3659/参数实验室!$E$58)/参数实验室!$E$59</f>
        <v>0.65245257936118795</v>
      </c>
      <c r="H3659" s="856">
        <f>INDEX(神经网络!$G$10:$BO$70,MATCH(ROUND(G3659*2,1)/2,神经网络!$E$10:$E$70,0),MATCH(ROUND(E3659*2,1)/2,神经网络!$G$8:$BO$8,0))</f>
        <v>1.6806456884745045</v>
      </c>
      <c r="I3659">
        <f t="shared" si="510"/>
        <v>761130.56509532069</v>
      </c>
      <c r="J3659">
        <f t="shared" si="511"/>
        <v>4773.3608516494442</v>
      </c>
      <c r="K3659">
        <f t="shared" si="512"/>
        <v>159.45380807158347</v>
      </c>
      <c r="L3659" s="4">
        <f>MIN(MAX(L3658*(1+MAX(MIN(((B3659-B3658)/B3658)/($K$7*卓尔金历!$N$40),0),-卓尔金历!$M$43))+MIN(MAX(((B3659-B3658)/B3658)/($K$7*卓尔金历!$N$40),0),卓尔金历!$M$43),0),1)</f>
        <v>0.44539878862423976</v>
      </c>
      <c r="M3659" s="4">
        <f>MIN(MAX(M3658*(1+MAX(MIN(((B3659-B3658)/B3658)/($K$7*30),0),-卓尔金历!$M$43))+MIN(MAX(((B3659-B3658)/B3658)/($K$7*7),0),卓尔金历!$M$43),0),1)</f>
        <v>0.72269939431211982</v>
      </c>
      <c r="N3659">
        <f t="shared" si="513"/>
        <v>218762.95930813541</v>
      </c>
      <c r="O3659">
        <f t="shared" si="514"/>
        <v>673690.95413222106</v>
      </c>
      <c r="P3659">
        <f t="shared" si="515"/>
        <v>-3.6298170426973454E-2</v>
      </c>
      <c r="Q3659">
        <f t="shared" si="516"/>
        <v>2.4663111070337914E-2</v>
      </c>
      <c r="R3659">
        <f t="shared" si="517"/>
        <v>1.7146934269978698E-2</v>
      </c>
      <c r="S3659">
        <f t="shared" si="509"/>
        <v>1301.8366407434028</v>
      </c>
      <c r="T3659" s="564">
        <f>IF((I3659-MAX(I$470:I3659))/MAX(I$470:I3659)&gt;T3658,T3658,(I3659-MAX(I$470:I3659))/MAX(I$470:I3659))</f>
        <v>-0.91338805338419748</v>
      </c>
      <c r="U3659" s="564">
        <f>IF((J3659-MAX(J$470:J3659))/MAX(J$470:J3659)&gt;U3658,U3658,(J3659-MAX(J$470:J3659))/MAX(J$470:J3659))</f>
        <v>-0.83569785939843477</v>
      </c>
      <c r="V3659" s="564">
        <f>IF((K3659-MAX(K$470:K3659))/MAX(K$470:K3659)&gt;V3658,V3658,(K3659-MAX(K$470:K3659))/MAX(K$470:K3659))</f>
        <v>-0.84885940676762139</v>
      </c>
      <c r="W3659" s="564">
        <f>IF((N3659-MAX(N$470:N3659))/MAX(N$470:N3659)&gt;W3658,W3658,(N3659-MAX(N$470:N3659))/MAX(N$470:N3659))</f>
        <v>-0.62788758315546067</v>
      </c>
      <c r="X3659" s="564">
        <f>IF((O3659-MAX(O$470:O3659))/MAX(O$470:O3659)&gt;X3658,X3658,(O3659-MAX(O$470:O3659))/MAX(O$470:O3659))</f>
        <v>-0.62788758315546067</v>
      </c>
    </row>
    <row r="3660" spans="1:24">
      <c r="A3660" s="799">
        <v>44062</v>
      </c>
      <c r="B3660">
        <v>11731.441164805001</v>
      </c>
      <c r="C3660">
        <v>59746.111413999999</v>
      </c>
      <c r="D3660">
        <v>1.907511</v>
      </c>
      <c r="E3660">
        <f>LN(D3660/参数实验室!$E$53)/参数实验室!$E$55</f>
        <v>6.8915467244192619E-2</v>
      </c>
      <c r="F3660">
        <f t="shared" si="518"/>
        <v>5.0928194221560581</v>
      </c>
      <c r="G3660">
        <f>LN(F3660/参数实验室!$E$58)/参数实验室!$E$59</f>
        <v>0.66384396743774421</v>
      </c>
      <c r="H3660" s="856">
        <f>INDEX(神经网络!$G$10:$BO$70,MATCH(ROUND(G3660*2,1)/2,神经网络!$E$10:$E$70,0),MATCH(ROUND(E3660*2,1)/2,神经网络!$G$8:$BO$8,0))</f>
        <v>1.5945042963547456</v>
      </c>
      <c r="I3660">
        <f t="shared" si="510"/>
        <v>736420.59956152155</v>
      </c>
      <c r="J3660">
        <f t="shared" si="511"/>
        <v>4681.1544490662682</v>
      </c>
      <c r="K3660">
        <f t="shared" si="512"/>
        <v>157.31602269786518</v>
      </c>
      <c r="L3660" s="4">
        <f>MIN(MAX(L3659*(1+MAX(MIN(((B3660-B3659)/B3659)/($K$7*卓尔金历!$N$40),0),-卓尔金历!$M$43))+MIN(MAX(((B3660-B3659)/B3659)/($K$7*卓尔金历!$N$40),0),卓尔金历!$M$43),0),1)</f>
        <v>0.31394233211312988</v>
      </c>
      <c r="M3660" s="4">
        <f>MIN(MAX(M3659*(1+MAX(MIN(((B3660-B3659)/B3659)/($K$7*30),0),-卓尔金历!$M$43))+MIN(MAX(((B3660-B3659)/B3659)/($K$7*7),0),卓尔金历!$M$43),0),1)</f>
        <v>0.61604946179608611</v>
      </c>
      <c r="N3660">
        <f t="shared" si="513"/>
        <v>215599.69268952936</v>
      </c>
      <c r="O3660">
        <f t="shared" si="514"/>
        <v>657884.61179009988</v>
      </c>
      <c r="P3660">
        <f t="shared" si="515"/>
        <v>-1.9316872419422159E-2</v>
      </c>
      <c r="Q3660">
        <f t="shared" si="516"/>
        <v>2.5143659291438171E-2</v>
      </c>
      <c r="R3660">
        <f t="shared" si="517"/>
        <v>0.29479178500984982</v>
      </c>
      <c r="S3660">
        <f t="shared" si="509"/>
        <v>1301.1119445985748</v>
      </c>
      <c r="T3660" s="564">
        <f>IF((I3660-MAX(I$470:I3660))/MAX(I$470:I3660)&gt;T3659,T3659,(I3660-MAX(I$470:I3660))/MAX(I$470:I3660))</f>
        <v>-0.91338805338419748</v>
      </c>
      <c r="U3660" s="564">
        <f>IF((J3660-MAX(J$470:J3660))/MAX(J$470:J3660)&gt;U3659,U3659,(J3660-MAX(J$470:J3660))/MAX(J$470:J3660))</f>
        <v>-0.83569785939843477</v>
      </c>
      <c r="V3660" s="564">
        <f>IF((K3660-MAX(K$470:K3660))/MAX(K$470:K3660)&gt;V3659,V3659,(K3660-MAX(K$470:K3660))/MAX(K$470:K3660))</f>
        <v>-0.84885940676762139</v>
      </c>
      <c r="W3660" s="564">
        <f>IF((N3660-MAX(N$470:N3660))/MAX(N$470:N3660)&gt;W3659,W3659,(N3660-MAX(N$470:N3660))/MAX(N$470:N3660))</f>
        <v>-0.62788758315546067</v>
      </c>
      <c r="X3660" s="564">
        <f>IF((O3660-MAX(O$470:O3660))/MAX(O$470:O3660)&gt;X3659,X3659,(O3660-MAX(O$470:O3660))/MAX(O$470:O3660))</f>
        <v>-0.62788758315546067</v>
      </c>
    </row>
    <row r="3661" spans="1:24">
      <c r="A3661" s="799">
        <v>44063</v>
      </c>
      <c r="B3661">
        <v>11843.882247589399</v>
      </c>
      <c r="C3661">
        <v>58905.885339</v>
      </c>
      <c r="D3661">
        <v>1.9266650000000001</v>
      </c>
      <c r="E3661">
        <f>LN(D3661/参数实验室!$E$53)/参数实验室!$E$55</f>
        <v>8.0702709986661347E-2</v>
      </c>
      <c r="F3661">
        <f t="shared" si="518"/>
        <v>4.9735284518713607</v>
      </c>
      <c r="G3661">
        <f>LN(F3661/参数实验室!$E$58)/参数实验室!$E$59</f>
        <v>0.65140384914365035</v>
      </c>
      <c r="H3661" s="856">
        <f>INDEX(神经网络!$G$10:$BO$70,MATCH(ROUND(G3661*2,1)/2,神经网络!$E$10:$E$70,0),MATCH(ROUND(E3661*2,1)/2,神经网络!$G$8:$BO$8,0))</f>
        <v>1.6806456884745045</v>
      </c>
      <c r="I3661">
        <f t="shared" si="510"/>
        <v>747675.07543081662</v>
      </c>
      <c r="J3661">
        <f t="shared" si="511"/>
        <v>4726.0214068031491</v>
      </c>
      <c r="K3661">
        <f t="shared" si="512"/>
        <v>158.20391214363352</v>
      </c>
      <c r="L3661" s="4">
        <f>MIN(MAX(L3660*(1+MAX(MIN(((B3661-B3660)/B3660)/($K$7*卓尔金历!$N$40),0),-卓尔金历!$M$43))+MIN(MAX(((B3661-B3660)/B3660)/($K$7*卓尔金历!$N$40),0),卓尔金历!$M$43),0),1)</f>
        <v>0.46038570758386321</v>
      </c>
      <c r="M3661" s="4">
        <f>MIN(MAX(M3660*(1+MAX(MIN(((B3661-B3660)/B3660)/($K$7*30),0),-卓尔金历!$M$43))+MIN(MAX(((B3661-B3660)/B3660)/($K$7*7),0),卓尔金历!$M$43),0),1)</f>
        <v>0.92985669494765744</v>
      </c>
      <c r="N3661">
        <f t="shared" si="513"/>
        <v>216634.11377270898</v>
      </c>
      <c r="O3661">
        <f t="shared" si="514"/>
        <v>664078.51845405484</v>
      </c>
      <c r="P3661">
        <f t="shared" si="515"/>
        <v>9.5845924814189284E-3</v>
      </c>
      <c r="Q3661">
        <f t="shared" si="516"/>
        <v>2.4876617357109301E-2</v>
      </c>
      <c r="R3661">
        <f t="shared" si="517"/>
        <v>1</v>
      </c>
      <c r="S3661">
        <f t="shared" si="509"/>
        <v>1306.9737228694971</v>
      </c>
      <c r="T3661" s="564">
        <f>IF((I3661-MAX(I$470:I3661))/MAX(I$470:I3661)&gt;T3660,T3660,(I3661-MAX(I$470:I3661))/MAX(I$470:I3661))</f>
        <v>-0.91338805338419748</v>
      </c>
      <c r="U3661" s="564">
        <f>IF((J3661-MAX(J$470:J3661))/MAX(J$470:J3661)&gt;U3660,U3660,(J3661-MAX(J$470:J3661))/MAX(J$470:J3661))</f>
        <v>-0.83569785939843477</v>
      </c>
      <c r="V3661" s="564">
        <f>IF((K3661-MAX(K$470:K3661))/MAX(K$470:K3661)&gt;V3660,V3660,(K3661-MAX(K$470:K3661))/MAX(K$470:K3661))</f>
        <v>-0.84885940676762139</v>
      </c>
      <c r="W3661" s="564">
        <f>IF((N3661-MAX(N$470:N3661))/MAX(N$470:N3661)&gt;W3660,W3660,(N3661-MAX(N$470:N3661))/MAX(N$470:N3661))</f>
        <v>-0.62788758315546067</v>
      </c>
      <c r="X3661" s="564">
        <f>IF((O3661-MAX(O$470:O3661))/MAX(O$470:O3661)&gt;X3660,X3660,(O3661-MAX(O$470:O3661))/MAX(O$470:O3661))</f>
        <v>-0.62788758315546067</v>
      </c>
    </row>
    <row r="3662" spans="1:24">
      <c r="A3662" s="799">
        <v>44064</v>
      </c>
      <c r="B3662">
        <v>11749.967630773899</v>
      </c>
      <c r="C3662">
        <v>58477.011909000001</v>
      </c>
      <c r="D3662">
        <v>1.869656</v>
      </c>
      <c r="E3662">
        <f>LN(D3662/参数实验室!$E$53)/参数实验室!$E$55</f>
        <v>4.5267556326682265E-2</v>
      </c>
      <c r="F3662">
        <f t="shared" si="518"/>
        <v>4.9767806811522659</v>
      </c>
      <c r="G3662">
        <f>LN(F3662/参数实验室!$E$58)/参数实验室!$E$59</f>
        <v>0.65174694315712778</v>
      </c>
      <c r="H3662" s="856">
        <f>INDEX(神经网络!$G$10:$BO$70,MATCH(ROUND(G3662*2,1)/2,神经网络!$E$10:$E$70,0),MATCH(ROUND(E3662*2,1)/2,神经网络!$G$8:$BO$8,0))</f>
        <v>1.5945042963547456</v>
      </c>
      <c r="I3662">
        <f t="shared" si="510"/>
        <v>737711.2025354855</v>
      </c>
      <c r="J3662">
        <f t="shared" si="511"/>
        <v>4688.5469976353188</v>
      </c>
      <c r="K3662">
        <f t="shared" si="512"/>
        <v>157.34324576623678</v>
      </c>
      <c r="L3662" s="4">
        <f>MIN(MAX(L3661*(1+MAX(MIN(((B3662-B3661)/B3661)/($K$7*卓尔金历!$N$40),0),-卓尔金历!$M$43))+MIN(MAX(((B3662-B3661)/B3661)/($K$7*卓尔金历!$N$40),0),卓尔金历!$M$43),0),1)</f>
        <v>0.40460846750582258</v>
      </c>
      <c r="M3662" s="4">
        <f>MIN(MAX(M3661*(1+MAX(MIN(((B3662-B3661)/B3661)/($K$7*30),0),-卓尔金历!$M$43))+MIN(MAX(((B3662-B3661)/B3661)/($K$7*7),0),卓尔金历!$M$43),0),1)</f>
        <v>0.87352909913190191</v>
      </c>
      <c r="N3662">
        <f t="shared" si="513"/>
        <v>215304.99450097079</v>
      </c>
      <c r="O3662">
        <f t="shared" si="514"/>
        <v>655849.44896110741</v>
      </c>
      <c r="P3662">
        <f t="shared" si="515"/>
        <v>-7.9293777878123393E-3</v>
      </c>
      <c r="Q3662">
        <f t="shared" si="516"/>
        <v>2.4373977631220015E-2</v>
      </c>
      <c r="R3662">
        <f t="shared" si="517"/>
        <v>1</v>
      </c>
      <c r="S3662">
        <f t="shared" si="509"/>
        <v>1289.5563707600857</v>
      </c>
      <c r="T3662" s="564">
        <f>IF((I3662-MAX(I$470:I3662))/MAX(I$470:I3662)&gt;T3661,T3661,(I3662-MAX(I$470:I3662))/MAX(I$470:I3662))</f>
        <v>-0.91338805338419748</v>
      </c>
      <c r="U3662" s="564">
        <f>IF((J3662-MAX(J$470:J3662))/MAX(J$470:J3662)&gt;U3661,U3661,(J3662-MAX(J$470:J3662))/MAX(J$470:J3662))</f>
        <v>-0.83569785939843477</v>
      </c>
      <c r="V3662" s="564">
        <f>IF((K3662-MAX(K$470:K3662))/MAX(K$470:K3662)&gt;V3661,V3661,(K3662-MAX(K$470:K3662))/MAX(K$470:K3662))</f>
        <v>-0.84885940676762139</v>
      </c>
      <c r="W3662" s="564">
        <f>IF((N3662-MAX(N$470:N3662))/MAX(N$470:N3662)&gt;W3661,W3661,(N3662-MAX(N$470:N3662))/MAX(N$470:N3662))</f>
        <v>-0.62788758315546067</v>
      </c>
      <c r="X3662" s="564">
        <f>IF((O3662-MAX(O$470:O3662))/MAX(O$470:O3662)&gt;X3661,X3661,(O3662-MAX(O$470:O3662))/MAX(O$470:O3662))</f>
        <v>-0.62788758315546067</v>
      </c>
    </row>
    <row r="3663" spans="1:24">
      <c r="A3663" s="799">
        <v>44065</v>
      </c>
      <c r="B3663">
        <v>11607.127416244701</v>
      </c>
      <c r="C3663">
        <v>58485.549256999999</v>
      </c>
      <c r="D3663">
        <v>1.894334</v>
      </c>
      <c r="E3663">
        <f>LN(D3663/参数实验室!$E$53)/参数实验室!$E$55</f>
        <v>6.0737505888568154E-2</v>
      </c>
      <c r="F3663">
        <f t="shared" si="518"/>
        <v>5.038761715939021</v>
      </c>
      <c r="G3663">
        <f>LN(F3663/参数实验室!$E$58)/参数实验室!$E$59</f>
        <v>0.65824312892632408</v>
      </c>
      <c r="H3663" s="856">
        <f>INDEX(神经网络!$G$10:$BO$70,MATCH(ROUND(G3663*2,1)/2,神经网络!$E$10:$E$70,0),MATCH(ROUND(E3663*2,1)/2,神经网络!$G$8:$BO$8,0))</f>
        <v>1.5945042963547456</v>
      </c>
      <c r="I3663">
        <f t="shared" si="510"/>
        <v>723411.53646394424</v>
      </c>
      <c r="J3663">
        <f t="shared" si="511"/>
        <v>4631.5499845356026</v>
      </c>
      <c r="K3663">
        <f t="shared" si="512"/>
        <v>156.19210391323875</v>
      </c>
      <c r="L3663" s="4">
        <f>MIN(MAX(L3662*(1+MAX(MIN(((B3663-B3662)/B3662)/($K$7*卓尔金历!$N$40),0),-卓尔金历!$M$43))+MIN(MAX(((B3663-B3662)/B3662)/($K$7*卓尔金历!$N$40),0),卓尔金历!$M$43),0),1)</f>
        <v>0.32945571883311847</v>
      </c>
      <c r="M3663" s="4">
        <f>MIN(MAX(M3662*(1+MAX(MIN(((B3663-B3662)/B3662)/($K$7*30),0),-卓尔金历!$M$43))+MIN(MAX(((B3663-B3662)/B3662)/($K$7*7),0),卓尔金历!$M$43),0),1)</f>
        <v>0.79240361842948837</v>
      </c>
      <c r="N3663">
        <f t="shared" si="513"/>
        <v>213616.38748624621</v>
      </c>
      <c r="O3663">
        <f t="shared" si="514"/>
        <v>644744.38530886848</v>
      </c>
      <c r="P3663">
        <f t="shared" si="515"/>
        <v>-1.2156647491954869E-2</v>
      </c>
      <c r="Q3663">
        <f t="shared" si="516"/>
        <v>2.3813480824019316E-2</v>
      </c>
      <c r="R3663">
        <f t="shared" si="517"/>
        <v>0.71313815061500141</v>
      </c>
      <c r="S3663">
        <f t="shared" si="509"/>
        <v>1264.5598336071735</v>
      </c>
      <c r="T3663" s="564">
        <f>IF((I3663-MAX(I$470:I3663))/MAX(I$470:I3663)&gt;T3662,T3662,(I3663-MAX(I$470:I3663))/MAX(I$470:I3663))</f>
        <v>-0.91338805338419748</v>
      </c>
      <c r="U3663" s="564">
        <f>IF((J3663-MAX(J$470:J3663))/MAX(J$470:J3663)&gt;U3662,U3662,(J3663-MAX(J$470:J3663))/MAX(J$470:J3663))</f>
        <v>-0.83569785939843477</v>
      </c>
      <c r="V3663" s="564">
        <f>IF((K3663-MAX(K$470:K3663))/MAX(K$470:K3663)&gt;V3662,V3662,(K3663-MAX(K$470:K3663))/MAX(K$470:K3663))</f>
        <v>-0.84885940676762139</v>
      </c>
      <c r="W3663" s="564">
        <f>IF((N3663-MAX(N$470:N3663))/MAX(N$470:N3663)&gt;W3662,W3662,(N3663-MAX(N$470:N3663))/MAX(N$470:N3663))</f>
        <v>-0.62788758315546067</v>
      </c>
      <c r="X3663" s="564">
        <f>IF((O3663-MAX(O$470:O3663))/MAX(O$470:O3663)&gt;X3662,X3662,(O3663-MAX(O$470:O3663))/MAX(O$470:O3663))</f>
        <v>-0.62788758315546067</v>
      </c>
    </row>
    <row r="3664" spans="1:24">
      <c r="A3664" s="799">
        <v>44066</v>
      </c>
      <c r="B3664">
        <v>11667.382554330399</v>
      </c>
      <c r="C3664">
        <v>58654.468783999997</v>
      </c>
      <c r="D3664">
        <v>1.8909579999999999</v>
      </c>
      <c r="E3664">
        <f>LN(D3664/参数实验室!$E$53)/参数实验室!$E$55</f>
        <v>5.8633125033571536E-2</v>
      </c>
      <c r="F3664">
        <f t="shared" si="518"/>
        <v>5.0272174166630146</v>
      </c>
      <c r="G3664">
        <f>LN(F3664/参数实验室!$E$58)/参数实验室!$E$59</f>
        <v>0.6570392570076109</v>
      </c>
      <c r="H3664" s="856">
        <f>INDEX(神经网络!$G$10:$BO$70,MATCH(ROUND(G3664*2,1)/2,神经网络!$E$10:$E$70,0),MATCH(ROUND(E3664*2,1)/2,神经网络!$G$8:$BO$8,0))</f>
        <v>1.5945042963547456</v>
      </c>
      <c r="I3664">
        <f t="shared" si="510"/>
        <v>729399.51807879342</v>
      </c>
      <c r="J3664">
        <f t="shared" si="511"/>
        <v>4655.5933738998338</v>
      </c>
      <c r="K3664">
        <f t="shared" si="512"/>
        <v>156.67165482448482</v>
      </c>
      <c r="L3664" s="4">
        <f>MIN(MAX(L3663*(1+MAX(MIN(((B3664-B3663)/B3663)/($K$7*卓尔金历!$N$40),0),-卓尔金历!$M$43))+MIN(MAX(((B3664-B3663)/B3663)/($K$7*卓尔金历!$N$40),0),卓尔金历!$M$43),0),1)</f>
        <v>0.40877256049460964</v>
      </c>
      <c r="M3664" s="4">
        <f>MIN(MAX(M3663*(1+MAX(MIN(((B3664-B3663)/B3663)/($K$7*30),0),-卓尔金历!$M$43))+MIN(MAX(((B3664-B3663)/B3663)/($K$7*7),0),卓尔金历!$M$43),0),1)</f>
        <v>0.96236827913268375</v>
      </c>
      <c r="N3664">
        <f t="shared" si="513"/>
        <v>214198.92868463864</v>
      </c>
      <c r="O3664">
        <f t="shared" si="514"/>
        <v>648973.30119248759</v>
      </c>
      <c r="P3664">
        <f t="shared" si="515"/>
        <v>5.1912188024548344E-3</v>
      </c>
      <c r="Q3664">
        <f t="shared" si="516"/>
        <v>2.1569494358533475E-2</v>
      </c>
      <c r="R3664">
        <f t="shared" si="517"/>
        <v>1</v>
      </c>
      <c r="S3664">
        <f t="shared" si="509"/>
        <v>1272.0244600944829</v>
      </c>
      <c r="T3664" s="564">
        <f>IF((I3664-MAX(I$470:I3664))/MAX(I$470:I3664)&gt;T3663,T3663,(I3664-MAX(I$470:I3664))/MAX(I$470:I3664))</f>
        <v>-0.91338805338419748</v>
      </c>
      <c r="U3664" s="564">
        <f>IF((J3664-MAX(J$470:J3664))/MAX(J$470:J3664)&gt;U3663,U3663,(J3664-MAX(J$470:J3664))/MAX(J$470:J3664))</f>
        <v>-0.83569785939843477</v>
      </c>
      <c r="V3664" s="564">
        <f>IF((K3664-MAX(K$470:K3664))/MAX(K$470:K3664)&gt;V3663,V3663,(K3664-MAX(K$470:K3664))/MAX(K$470:K3664))</f>
        <v>-0.84885940676762139</v>
      </c>
      <c r="W3664" s="564">
        <f>IF((N3664-MAX(N$470:N3664))/MAX(N$470:N3664)&gt;W3663,W3663,(N3664-MAX(N$470:N3664))/MAX(N$470:N3664))</f>
        <v>-0.62788758315546067</v>
      </c>
      <c r="X3664" s="564">
        <f>IF((O3664-MAX(O$470:O3664))/MAX(O$470:O3664)&gt;X3663,X3663,(O3664-MAX(O$470:O3664))/MAX(O$470:O3664))</f>
        <v>-0.62788758315546067</v>
      </c>
    </row>
    <row r="3665" spans="1:24">
      <c r="A3665" s="799">
        <v>44067</v>
      </c>
      <c r="B3665">
        <v>11769.7802911367</v>
      </c>
      <c r="C3665">
        <v>58385.822387</v>
      </c>
      <c r="D3665">
        <v>1.9060330000000001</v>
      </c>
      <c r="E3665">
        <f>LN(D3665/参数实验室!$E$53)/参数实验室!$E$55</f>
        <v>6.8001002703127963E-2</v>
      </c>
      <c r="F3665">
        <f t="shared" si="518"/>
        <v>4.9606552495264316</v>
      </c>
      <c r="G3665">
        <f>LN(F3665/参数实验室!$E$58)/参数实验室!$E$59</f>
        <v>0.65004358517367367</v>
      </c>
      <c r="H3665" s="856">
        <f>INDEX(神经网络!$G$10:$BO$70,MATCH(ROUND(G3665*2,1)/2,神经网络!$E$10:$E$70,0),MATCH(ROUND(E3665*2,1)/2,神经网络!$G$8:$BO$8,0))</f>
        <v>1.5945042963547456</v>
      </c>
      <c r="I3665">
        <f t="shared" si="510"/>
        <v>739606.75242738368</v>
      </c>
      <c r="J3665">
        <f t="shared" si="511"/>
        <v>4696.4527716917419</v>
      </c>
      <c r="K3665">
        <f t="shared" si="512"/>
        <v>157.48199511031487</v>
      </c>
      <c r="L3665" s="4">
        <f>MIN(MAX(L3664*(1+MAX(MIN(((B3665-B3664)/B3664)/($K$7*卓尔金历!$N$40),0),-卓尔金历!$M$43))+MIN(MAX(((B3665-B3664)/B3664)/($K$7*卓尔金历!$N$40),0),卓尔金历!$M$43),0),1)</f>
        <v>0.54286768828850196</v>
      </c>
      <c r="M3665" s="4">
        <f>MIN(MAX(M3664*(1+MAX(MIN(((B3665-B3664)/B3664)/($K$7*30),0),-卓尔金历!$M$43))+MIN(MAX(((B3665-B3664)/B3664)/($K$7*7),0),卓尔金历!$M$43),0),1)</f>
        <v>1</v>
      </c>
      <c r="N3665">
        <f t="shared" si="513"/>
        <v>215424.22645608991</v>
      </c>
      <c r="O3665">
        <f t="shared" si="514"/>
        <v>657713.28732968296</v>
      </c>
      <c r="P3665">
        <f t="shared" si="515"/>
        <v>8.7764103327781298E-3</v>
      </c>
      <c r="Q3665">
        <f t="shared" si="516"/>
        <v>2.1192909622490517E-2</v>
      </c>
      <c r="R3665">
        <f t="shared" si="517"/>
        <v>0.92218433908529462</v>
      </c>
      <c r="S3665">
        <f t="shared" si="509"/>
        <v>1289.8252008949735</v>
      </c>
      <c r="T3665" s="564">
        <f>IF((I3665-MAX(I$470:I3665))/MAX(I$470:I3665)&gt;T3664,T3664,(I3665-MAX(I$470:I3665))/MAX(I$470:I3665))</f>
        <v>-0.91338805338419748</v>
      </c>
      <c r="U3665" s="564">
        <f>IF((J3665-MAX(J$470:J3665))/MAX(J$470:J3665)&gt;U3664,U3664,(J3665-MAX(J$470:J3665))/MAX(J$470:J3665))</f>
        <v>-0.83569785939843477</v>
      </c>
      <c r="V3665" s="564">
        <f>IF((K3665-MAX(K$470:K3665))/MAX(K$470:K3665)&gt;V3664,V3664,(K3665-MAX(K$470:K3665))/MAX(K$470:K3665))</f>
        <v>-0.84885940676762139</v>
      </c>
      <c r="W3665" s="564">
        <f>IF((N3665-MAX(N$470:N3665))/MAX(N$470:N3665)&gt;W3664,W3664,(N3665-MAX(N$470:N3665))/MAX(N$470:N3665))</f>
        <v>-0.62788758315546067</v>
      </c>
      <c r="X3665" s="564">
        <f>IF((O3665-MAX(O$470:O3665))/MAX(O$470:O3665)&gt;X3664,X3664,(O3665-MAX(O$470:O3665))/MAX(O$470:O3665))</f>
        <v>-0.62788758315546067</v>
      </c>
    </row>
    <row r="3666" spans="1:24">
      <c r="A3666" s="799">
        <v>44068</v>
      </c>
      <c r="B3666">
        <v>11423.3623642127</v>
      </c>
      <c r="C3666">
        <v>59598.078834</v>
      </c>
      <c r="D3666">
        <v>1.838538</v>
      </c>
      <c r="E3666">
        <f>LN(D3666/参数实验室!$E$53)/参数实验室!$E$55</f>
        <v>2.5466853758317354E-2</v>
      </c>
      <c r="F3666">
        <f t="shared" si="518"/>
        <v>5.2172098663971171</v>
      </c>
      <c r="G3666">
        <f>LN(F3666/参数实验室!$E$58)/参数实验室!$E$59</f>
        <v>0.67650930404074194</v>
      </c>
      <c r="H3666" s="856">
        <f>INDEX(神经网络!$G$10:$BO$70,MATCH(ROUND(G3666*2,1)/2,神经网络!$E$10:$E$70,0),MATCH(ROUND(E3666*2,1)/2,神经网络!$G$8:$BO$8,0))</f>
        <v>1.626531289104566</v>
      </c>
      <c r="I3666">
        <f t="shared" si="510"/>
        <v>704896.43671783432</v>
      </c>
      <c r="J3666">
        <f t="shared" si="511"/>
        <v>4558.2228818533476</v>
      </c>
      <c r="K3666">
        <f t="shared" si="512"/>
        <v>154.64281913990732</v>
      </c>
      <c r="L3666" s="4">
        <f>MIN(MAX(L3665*(1+MAX(MIN(((B3666-B3665)/B3665)/($K$7*卓尔金历!$N$40),0),-卓尔金历!$M$43))+MIN(MAX(((B3666-B3665)/B3665)/($K$7*卓尔金历!$N$40),0),卓尔金历!$M$43),0),1)</f>
        <v>0.29873716949891749</v>
      </c>
      <c r="M3666" s="4">
        <f>MIN(MAX(M3665*(1+MAX(MIN(((B3666-B3665)/B3665)/($K$7*30),0),-卓尔金历!$M$43))+MIN(MAX(((B3666-B3665)/B3665)/($K$7*7),0),卓尔金历!$M$43),0),1)</f>
        <v>0.7751473111622702</v>
      </c>
      <c r="N3666">
        <f t="shared" si="513"/>
        <v>209935.82044234977</v>
      </c>
      <c r="O3666">
        <f t="shared" si="514"/>
        <v>626846.29514139798</v>
      </c>
      <c r="P3666">
        <f t="shared" si="515"/>
        <v>-2.9432828681166749E-2</v>
      </c>
      <c r="Q3666">
        <f t="shared" si="516"/>
        <v>2.2025926990817218E-2</v>
      </c>
      <c r="R3666">
        <f t="shared" si="517"/>
        <v>1.5049288275212085E-2</v>
      </c>
      <c r="S3666">
        <f t="shared" si="509"/>
        <v>1234.0030846311831</v>
      </c>
      <c r="T3666" s="564">
        <f>IF((I3666-MAX(I$470:I3666))/MAX(I$470:I3666)&gt;T3665,T3665,(I3666-MAX(I$470:I3666))/MAX(I$470:I3666))</f>
        <v>-0.91338805338419748</v>
      </c>
      <c r="U3666" s="564">
        <f>IF((J3666-MAX(J$470:J3666))/MAX(J$470:J3666)&gt;U3665,U3665,(J3666-MAX(J$470:J3666))/MAX(J$470:J3666))</f>
        <v>-0.83569785939843477</v>
      </c>
      <c r="V3666" s="564">
        <f>IF((K3666-MAX(K$470:K3666))/MAX(K$470:K3666)&gt;V3665,V3665,(K3666-MAX(K$470:K3666))/MAX(K$470:K3666))</f>
        <v>-0.84885940676762139</v>
      </c>
      <c r="W3666" s="564">
        <f>IF((N3666-MAX(N$470:N3666))/MAX(N$470:N3666)&gt;W3665,W3665,(N3666-MAX(N$470:N3666))/MAX(N$470:N3666))</f>
        <v>-0.62788758315546067</v>
      </c>
      <c r="X3666" s="564">
        <f>IF((O3666-MAX(O$470:O3666))/MAX(O$470:O3666)&gt;X3665,X3665,(O3666-MAX(O$470:O3666))/MAX(O$470:O3666))</f>
        <v>-0.62788758315546067</v>
      </c>
    </row>
    <row r="3667" spans="1:24">
      <c r="A3667" s="799">
        <v>44069</v>
      </c>
      <c r="B3667">
        <v>11480.555388049899</v>
      </c>
      <c r="C3667">
        <v>59892.949164999998</v>
      </c>
      <c r="D3667">
        <v>1.855677</v>
      </c>
      <c r="E3667">
        <f>LN(D3667/参数实验室!$E$53)/参数实验室!$E$55</f>
        <v>3.6413664337446451E-2</v>
      </c>
      <c r="F3667">
        <f t="shared" si="518"/>
        <v>5.2169034633413744</v>
      </c>
      <c r="G3667">
        <f>LN(F3667/参数实验室!$E$58)/参数实验室!$E$59</f>
        <v>0.67647847882779222</v>
      </c>
      <c r="H3667" s="856">
        <f>INDEX(神经网络!$G$10:$BO$70,MATCH(ROUND(G3667*2,1)/2,神经网络!$E$10:$E$70,0),MATCH(ROUND(E3667*2,1)/2,神经网络!$G$8:$BO$8,0))</f>
        <v>1.626531289104566</v>
      </c>
      <c r="I3667">
        <f t="shared" si="510"/>
        <v>710636.76648879074</v>
      </c>
      <c r="J3667">
        <f t="shared" si="511"/>
        <v>4581.0444068671932</v>
      </c>
      <c r="K3667">
        <f t="shared" si="512"/>
        <v>155.12549178163695</v>
      </c>
      <c r="L3667" s="4">
        <f>MIN(MAX(L3666*(1+MAX(MIN(((B3667-B3666)/B3666)/($K$7*卓尔金历!$N$40),0),-卓尔金历!$M$43))+MIN(MAX(((B3667-B3666)/B3666)/($K$7*卓尔金历!$N$40),0),卓尔金历!$M$43),0),1)</f>
        <v>0.37523430688561255</v>
      </c>
      <c r="M3667" s="4">
        <f>MIN(MAX(M3666*(1+MAX(MIN(((B3667-B3666)/B3666)/($K$7*30),0),-卓尔金历!$M$43))+MIN(MAX(((B3667-B3666)/B3666)/($K$7*7),0),卓尔金历!$M$43),0),1)</f>
        <v>0.93906974841947388</v>
      </c>
      <c r="N3667">
        <f t="shared" si="513"/>
        <v>210446.54569952536</v>
      </c>
      <c r="O3667">
        <f t="shared" si="514"/>
        <v>630803.21118427615</v>
      </c>
      <c r="P3667">
        <f t="shared" si="515"/>
        <v>5.0066715922777727E-3</v>
      </c>
      <c r="Q3667">
        <f t="shared" si="516"/>
        <v>2.0340878997365815E-2</v>
      </c>
      <c r="R3667">
        <f t="shared" si="517"/>
        <v>1</v>
      </c>
      <c r="S3667">
        <f t="shared" si="509"/>
        <v>1234.1543166445383</v>
      </c>
      <c r="T3667" s="564">
        <f>IF((I3667-MAX(I$470:I3667))/MAX(I$470:I3667)&gt;T3666,T3666,(I3667-MAX(I$470:I3667))/MAX(I$470:I3667))</f>
        <v>-0.91338805338419748</v>
      </c>
      <c r="U3667" s="564">
        <f>IF((J3667-MAX(J$470:J3667))/MAX(J$470:J3667)&gt;U3666,U3666,(J3667-MAX(J$470:J3667))/MAX(J$470:J3667))</f>
        <v>-0.83569785939843477</v>
      </c>
      <c r="V3667" s="564">
        <f>IF((K3667-MAX(K$470:K3667))/MAX(K$470:K3667)&gt;V3666,V3666,(K3667-MAX(K$470:K3667))/MAX(K$470:K3667))</f>
        <v>-0.84885940676762139</v>
      </c>
      <c r="W3667" s="564">
        <f>IF((N3667-MAX(N$470:N3667))/MAX(N$470:N3667)&gt;W3666,W3666,(N3667-MAX(N$470:N3667))/MAX(N$470:N3667))</f>
        <v>-0.62788758315546067</v>
      </c>
      <c r="X3667" s="564">
        <f>IF((O3667-MAX(O$470:O3667))/MAX(O$470:O3667)&gt;X3666,X3666,(O3667-MAX(O$470:O3667))/MAX(O$470:O3667))</f>
        <v>-0.62788758315546067</v>
      </c>
    </row>
    <row r="3668" spans="1:24">
      <c r="A3668" s="799">
        <v>44070</v>
      </c>
      <c r="B3668">
        <v>11330.4320060312</v>
      </c>
      <c r="C3668">
        <v>60561.455465999999</v>
      </c>
      <c r="D3668">
        <v>1.8296049999999999</v>
      </c>
      <c r="E3668">
        <f>LN(D3668/参数实验室!$E$53)/参数实验室!$E$55</f>
        <v>1.9720754676399277E-2</v>
      </c>
      <c r="F3668">
        <f t="shared" si="518"/>
        <v>5.3450261590875865</v>
      </c>
      <c r="G3668">
        <f>LN(F3668/参数实验室!$E$58)/参数实验室!$E$59</f>
        <v>0.68921270751724684</v>
      </c>
      <c r="H3668" s="856">
        <f>INDEX(神经网络!$G$10:$BO$70,MATCH(ROUND(G3668*2,1)/2,神经网络!$E$10:$E$70,0),MATCH(ROUND(E3668*2,1)/2,神经网络!$G$8:$BO$8,0))</f>
        <v>1.5361373860901346</v>
      </c>
      <c r="I3668">
        <f t="shared" si="510"/>
        <v>695522.20552433375</v>
      </c>
      <c r="J3668">
        <f t="shared" si="511"/>
        <v>4521.1412178409382</v>
      </c>
      <c r="K3668">
        <f t="shared" si="512"/>
        <v>153.83775290621844</v>
      </c>
      <c r="L3668" s="4">
        <f>MIN(MAX(L3667*(1+MAX(MIN(((B3668-B3667)/B3667)/($K$7*卓尔金历!$N$40),0),-卓尔金历!$M$43))+MIN(MAX(((B3668-B3667)/B3667)/($K$7*卓尔金历!$N$40),0),卓尔金历!$M$43),0),1)</f>
        <v>0.30026490290223284</v>
      </c>
      <c r="M3668" s="4">
        <f>MIN(MAX(M3667*(1+MAX(MIN(((B3668-B3667)/B3667)/($K$7*30),0),-卓尔金历!$M$43))+MIN(MAX(((B3668-B3667)/B3667)/($K$7*7),0),卓尔金历!$M$43),0),1)</f>
        <v>0.84525969687840874</v>
      </c>
      <c r="N3668">
        <f t="shared" si="513"/>
        <v>208766.99853763473</v>
      </c>
      <c r="O3668">
        <f t="shared" si="514"/>
        <v>618204.10867731087</v>
      </c>
      <c r="P3668">
        <f t="shared" si="515"/>
        <v>-1.3076317037324021E-2</v>
      </c>
      <c r="Q3668">
        <f t="shared" si="516"/>
        <v>2.023088639179103E-2</v>
      </c>
      <c r="R3668">
        <f t="shared" si="517"/>
        <v>0.46562552747824038</v>
      </c>
      <c r="S3668">
        <f t="shared" si="509"/>
        <v>1207.9050405894329</v>
      </c>
      <c r="T3668" s="564">
        <f>IF((I3668-MAX(I$470:I3668))/MAX(I$470:I3668)&gt;T3667,T3667,(I3668-MAX(I$470:I3668))/MAX(I$470:I3668))</f>
        <v>-0.91338805338419748</v>
      </c>
      <c r="U3668" s="564">
        <f>IF((J3668-MAX(J$470:J3668))/MAX(J$470:J3668)&gt;U3667,U3667,(J3668-MAX(J$470:J3668))/MAX(J$470:J3668))</f>
        <v>-0.83569785939843477</v>
      </c>
      <c r="V3668" s="564">
        <f>IF((K3668-MAX(K$470:K3668))/MAX(K$470:K3668)&gt;V3667,V3667,(K3668-MAX(K$470:K3668))/MAX(K$470:K3668))</f>
        <v>-0.84885940676762139</v>
      </c>
      <c r="W3668" s="564">
        <f>IF((N3668-MAX(N$470:N3668))/MAX(N$470:N3668)&gt;W3667,W3667,(N3668-MAX(N$470:N3668))/MAX(N$470:N3668))</f>
        <v>-0.62788758315546067</v>
      </c>
      <c r="X3668" s="564">
        <f>IF((O3668-MAX(O$470:O3668))/MAX(O$470:O3668)&gt;X3667,X3667,(O3668-MAX(O$470:O3668))/MAX(O$470:O3668))</f>
        <v>-0.62788758315546067</v>
      </c>
    </row>
    <row r="3669" spans="1:24">
      <c r="A3669" s="799">
        <v>44071</v>
      </c>
      <c r="B3669">
        <v>11528.4119328412</v>
      </c>
      <c r="C3669">
        <v>59952.70809</v>
      </c>
      <c r="D3669">
        <v>1.861866</v>
      </c>
      <c r="E3669">
        <f>LN(D3669/参数实验室!$E$53)/参数实验室!$E$55</f>
        <v>4.0341796209780491E-2</v>
      </c>
      <c r="F3669">
        <f t="shared" si="518"/>
        <v>5.2004307652480399</v>
      </c>
      <c r="G3669">
        <f>LN(F3669/参数实验室!$E$58)/参数实验室!$E$59</f>
        <v>0.67481859747789763</v>
      </c>
      <c r="H3669" s="856">
        <f>INDEX(神经网络!$G$10:$BO$70,MATCH(ROUND(G3669*2,1)/2,神经网络!$E$10:$E$70,0),MATCH(ROUND(E3669*2,1)/2,神经网络!$G$8:$BO$8,0))</f>
        <v>1.5945042963547456</v>
      </c>
      <c r="I3669">
        <f t="shared" si="510"/>
        <v>714190.97742671974</v>
      </c>
      <c r="J3669">
        <f t="shared" si="511"/>
        <v>4600.1404304860835</v>
      </c>
      <c r="K3669">
        <f t="shared" si="512"/>
        <v>155.2541684800812</v>
      </c>
      <c r="L3669" s="4">
        <f>MIN(MAX(L3668*(1+MAX(MIN(((B3669-B3668)/B3668)/($K$7*卓尔金历!$N$40),0),-卓尔金历!$M$43))+MIN(MAX(((B3669-B3668)/B3668)/($K$7*卓尔金历!$N$40),0),卓尔金历!$M$43),0),1)</f>
        <v>0.56724000966986454</v>
      </c>
      <c r="M3669" s="4">
        <f>MIN(MAX(M3668*(1+MAX(MIN(((B3669-B3668)/B3668)/($K$7*30),0),-卓尔金历!$M$43))+MIN(MAX(((B3669-B3668)/B3668)/($K$7*7),0),卓尔金历!$M$43),0),1)</f>
        <v>1</v>
      </c>
      <c r="N3669">
        <f t="shared" si="513"/>
        <v>210449.56089499523</v>
      </c>
      <c r="O3669">
        <f t="shared" si="514"/>
        <v>632229.88143566088</v>
      </c>
      <c r="P3669">
        <f t="shared" si="515"/>
        <v>1.7473290224469348E-2</v>
      </c>
      <c r="Q3669">
        <f t="shared" si="516"/>
        <v>2.0412021317825581E-2</v>
      </c>
      <c r="R3669">
        <f t="shared" si="517"/>
        <v>0.17882635459876617</v>
      </c>
      <c r="S3669">
        <f t="shared" si="509"/>
        <v>1223.0014729368957</v>
      </c>
      <c r="T3669" s="564">
        <f>IF((I3669-MAX(I$470:I3669))/MAX(I$470:I3669)&gt;T3668,T3668,(I3669-MAX(I$470:I3669))/MAX(I$470:I3669))</f>
        <v>-0.91338805338419748</v>
      </c>
      <c r="U3669" s="564">
        <f>IF((J3669-MAX(J$470:J3669))/MAX(J$470:J3669)&gt;U3668,U3668,(J3669-MAX(J$470:J3669))/MAX(J$470:J3669))</f>
        <v>-0.83569785939843477</v>
      </c>
      <c r="V3669" s="564">
        <f>IF((K3669-MAX(K$470:K3669))/MAX(K$470:K3669)&gt;V3668,V3668,(K3669-MAX(K$470:K3669))/MAX(K$470:K3669))</f>
        <v>-0.84885940676762139</v>
      </c>
      <c r="W3669" s="564">
        <f>IF((N3669-MAX(N$470:N3669))/MAX(N$470:N3669)&gt;W3668,W3668,(N3669-MAX(N$470:N3669))/MAX(N$470:N3669))</f>
        <v>-0.62788758315546067</v>
      </c>
      <c r="X3669" s="564">
        <f>IF((O3669-MAX(O$470:O3669))/MAX(O$470:O3669)&gt;X3668,X3668,(O3669-MAX(O$470:O3669))/MAX(O$470:O3669))</f>
        <v>-0.62788758315546067</v>
      </c>
    </row>
    <row r="3670" spans="1:24">
      <c r="A3670" s="799">
        <v>44072</v>
      </c>
      <c r="B3670">
        <v>11494.9734465279</v>
      </c>
      <c r="C3670">
        <v>59513.203421999999</v>
      </c>
      <c r="D3670">
        <v>1.855634</v>
      </c>
      <c r="E3670">
        <f>LN(D3670/参数实验室!$E$53)/参数实验室!$E$55</f>
        <v>3.6386326617975868E-2</v>
      </c>
      <c r="F3670">
        <f t="shared" si="518"/>
        <v>5.1773241320514911</v>
      </c>
      <c r="G3670">
        <f>LN(F3670/参数实验室!$E$58)/参数实验室!$E$59</f>
        <v>0.6724813617238562</v>
      </c>
      <c r="H3670" s="856">
        <f>INDEX(神经网络!$G$10:$BO$70,MATCH(ROUND(G3670*2,1)/2,神经网络!$E$10:$E$70,0),MATCH(ROUND(E3670*2,1)/2,神经网络!$G$8:$BO$8,0))</f>
        <v>1.5945042963547456</v>
      </c>
      <c r="I3670">
        <f t="shared" si="510"/>
        <v>710887.9119980752</v>
      </c>
      <c r="J3670">
        <f t="shared" si="511"/>
        <v>4586.7975924854845</v>
      </c>
      <c r="K3670">
        <f t="shared" si="512"/>
        <v>154.98567304620494</v>
      </c>
      <c r="L3670" s="4">
        <f>MIN(MAX(L3669*(1+MAX(MIN(((B3670-B3669)/B3669)/($K$7*卓尔金历!$N$40),0),-卓尔金历!$M$43))+MIN(MAX(((B3670-B3669)/B3669)/($K$7*卓尔金历!$N$40),0),卓尔金历!$M$43),0),1)</f>
        <v>0.54210146929342318</v>
      </c>
      <c r="M3670" s="4">
        <f>MIN(MAX(M3669*(1+MAX(MIN(((B3670-B3669)/B3669)/($K$7*30),0),-卓尔金历!$M$43))+MIN(MAX(((B3670-B3669)/B3669)/($K$7*7),0),卓尔金历!$M$43),0),1)</f>
        <v>0.9778413546753586</v>
      </c>
      <c r="N3670">
        <f t="shared" si="513"/>
        <v>209897.46095894827</v>
      </c>
      <c r="O3670">
        <f t="shared" si="514"/>
        <v>629305.87829038105</v>
      </c>
      <c r="P3670">
        <f t="shared" si="515"/>
        <v>-2.9005284082574447E-3</v>
      </c>
      <c r="Q3670">
        <f t="shared" si="516"/>
        <v>2.0321341411985994E-2</v>
      </c>
      <c r="R3670">
        <f t="shared" si="517"/>
        <v>1</v>
      </c>
      <c r="S3670">
        <f t="shared" si="509"/>
        <v>1221.9899835722472</v>
      </c>
      <c r="T3670" s="564">
        <f>IF((I3670-MAX(I$470:I3670))/MAX(I$470:I3670)&gt;T3669,T3669,(I3670-MAX(I$470:I3670))/MAX(I$470:I3670))</f>
        <v>-0.91338805338419748</v>
      </c>
      <c r="U3670" s="564">
        <f>IF((J3670-MAX(J$470:J3670))/MAX(J$470:J3670)&gt;U3669,U3669,(J3670-MAX(J$470:J3670))/MAX(J$470:J3670))</f>
        <v>-0.83569785939843477</v>
      </c>
      <c r="V3670" s="564">
        <f>IF((K3670-MAX(K$470:K3670))/MAX(K$470:K3670)&gt;V3669,V3669,(K3670-MAX(K$470:K3670))/MAX(K$470:K3670))</f>
        <v>-0.84885940676762139</v>
      </c>
      <c r="W3670" s="564">
        <f>IF((N3670-MAX(N$470:N3670))/MAX(N$470:N3670)&gt;W3669,W3669,(N3670-MAX(N$470:N3670))/MAX(N$470:N3670))</f>
        <v>-0.62788758315546067</v>
      </c>
      <c r="X3670" s="564">
        <f>IF((O3670-MAX(O$470:O3670))/MAX(O$470:O3670)&gt;X3669,X3669,(O3670-MAX(O$470:O3670))/MAX(O$470:O3670))</f>
        <v>-0.62788758315546067</v>
      </c>
    </row>
    <row r="3671" spans="1:24">
      <c r="A3671" s="799">
        <v>44073</v>
      </c>
      <c r="B3671">
        <v>11590.1347606658</v>
      </c>
      <c r="C3671">
        <v>60589.795320999998</v>
      </c>
      <c r="D3671">
        <v>1.887624</v>
      </c>
      <c r="E3671">
        <f>LN(D3671/参数实验室!$E$53)/参数实验室!$E$55</f>
        <v>5.6551233818226944E-2</v>
      </c>
      <c r="F3671">
        <f t="shared" si="518"/>
        <v>5.2277041270156372</v>
      </c>
      <c r="G3671">
        <f>LN(F3671/参数实验室!$E$58)/参数实验室!$E$59</f>
        <v>0.6775639717903531</v>
      </c>
      <c r="H3671" s="856">
        <f>INDEX(神经网络!$G$10:$BO$70,MATCH(ROUND(G3671*2,1)/2,神经网络!$E$10:$E$70,0),MATCH(ROUND(E3671*2,1)/2,神经网络!$G$8:$BO$8,0))</f>
        <v>1.626531289104566</v>
      </c>
      <c r="I3671">
        <f t="shared" si="510"/>
        <v>720271.72363968205</v>
      </c>
      <c r="J3671">
        <f t="shared" si="511"/>
        <v>4624.7694667673968</v>
      </c>
      <c r="K3671">
        <f t="shared" si="512"/>
        <v>155.74218970597354</v>
      </c>
      <c r="L3671" s="4">
        <f>MIN(MAX(L3670*(1+MAX(MIN(((B3671-B3670)/B3670)/($K$7*卓尔金历!$N$40),0),-卓尔金历!$M$43))+MIN(MAX(((B3671-B3670)/B3670)/($K$7*卓尔金历!$N$40),0),卓尔金历!$M$43),0),1)</f>
        <v>0.6685892395617864</v>
      </c>
      <c r="M3671" s="4">
        <f>MIN(MAX(M3670*(1+MAX(MIN(((B3671-B3670)/B3670)/($K$7*30),0),-卓尔金历!$M$43))+MIN(MAX(((B3671-B3670)/B3670)/($K$7*7),0),卓尔金历!$M$43),0),1)</f>
        <v>1</v>
      </c>
      <c r="N3671">
        <f t="shared" si="513"/>
        <v>211399.44708729209</v>
      </c>
      <c r="O3671">
        <f t="shared" si="514"/>
        <v>637428.72656347672</v>
      </c>
      <c r="P3671">
        <f t="shared" si="515"/>
        <v>8.278515351128897E-3</v>
      </c>
      <c r="Q3671">
        <f t="shared" si="516"/>
        <v>2.0152945623108959E-2</v>
      </c>
      <c r="R3671">
        <f t="shared" si="517"/>
        <v>0.92808778651868173</v>
      </c>
      <c r="S3671">
        <f t="shared" ref="S3671:S3734" si="519">S3670*(1+(B3671-B3670)/B3670*H3670*R3670)</f>
        <v>1238.1204081303781</v>
      </c>
      <c r="T3671" s="564">
        <f>IF((I3671-MAX(I$470:I3671))/MAX(I$470:I3671)&gt;T3670,T3670,(I3671-MAX(I$470:I3671))/MAX(I$470:I3671))</f>
        <v>-0.91338805338419748</v>
      </c>
      <c r="U3671" s="564">
        <f>IF((J3671-MAX(J$470:J3671))/MAX(J$470:J3671)&gt;U3670,U3670,(J3671-MAX(J$470:J3671))/MAX(J$470:J3671))</f>
        <v>-0.83569785939843477</v>
      </c>
      <c r="V3671" s="564">
        <f>IF((K3671-MAX(K$470:K3671))/MAX(K$470:K3671)&gt;V3670,V3670,(K3671-MAX(K$470:K3671))/MAX(K$470:K3671))</f>
        <v>-0.84885940676762139</v>
      </c>
      <c r="W3671" s="564">
        <f>IF((N3671-MAX(N$470:N3671))/MAX(N$470:N3671)&gt;W3670,W3670,(N3671-MAX(N$470:N3671))/MAX(N$470:N3671))</f>
        <v>-0.62788758315546067</v>
      </c>
      <c r="X3671" s="564">
        <f>IF((O3671-MAX(O$470:O3671))/MAX(O$470:O3671)&gt;X3670,X3670,(O3671-MAX(O$470:O3671))/MAX(O$470:O3671))</f>
        <v>-0.62788758315546067</v>
      </c>
    </row>
    <row r="3672" spans="1:24">
      <c r="A3672" s="799">
        <v>44074</v>
      </c>
      <c r="B3672">
        <v>11739.156368505401</v>
      </c>
      <c r="C3672">
        <v>60062.051633000003</v>
      </c>
      <c r="D3672">
        <v>1.881877</v>
      </c>
      <c r="E3672">
        <f>LN(D3672/参数实验室!$E$53)/参数实验室!$E$55</f>
        <v>5.2953915687080057E-2</v>
      </c>
      <c r="F3672">
        <f t="shared" si="518"/>
        <v>5.1163856879987151</v>
      </c>
      <c r="G3672">
        <f>LN(F3672/参数实验室!$E$58)/参数实验室!$E$59</f>
        <v>0.66626704969404882</v>
      </c>
      <c r="H3672" s="856">
        <f>INDEX(神经网络!$G$10:$BO$70,MATCH(ROUND(G3672*2,1)/2,神经网络!$E$10:$E$70,0),MATCH(ROUND(E3672*2,1)/2,神经网络!$G$8:$BO$8,0))</f>
        <v>1.5945042963547456</v>
      </c>
      <c r="I3672">
        <f t="shared" ref="I3672:I3735" si="520">I3671*(1+(B3672-B3671)/B3671*H3671)</f>
        <v>735335.00356947759</v>
      </c>
      <c r="J3672">
        <f t="shared" ref="J3672:J3735" si="521">J3671*B3672/B3671</f>
        <v>4684.2330188361893</v>
      </c>
      <c r="K3672">
        <f t="shared" ref="K3672:K3735" si="522">I3672/J3672</f>
        <v>156.98087618881385</v>
      </c>
      <c r="L3672" s="4">
        <f>MIN(MAX(L3671*(1+MAX(MIN(((B3672-B3671)/B3671)/($K$7*卓尔金历!$N$40),0),-卓尔金历!$M$43))+MIN(MAX(((B3672-B3671)/B3671)/($K$7*卓尔金历!$N$40),0),卓尔金历!$M$43),0),1)</f>
        <v>0.86504141285120073</v>
      </c>
      <c r="M3672" s="4">
        <f>MIN(MAX(M3671*(1+MAX(MIN(((B3672-B3671)/B3671)/($K$7*30),0),-卓尔金历!$M$43))+MIN(MAX(((B3672-B3671)/B3671)/($K$7*7),0),卓尔金历!$M$43),0),1)</f>
        <v>1</v>
      </c>
      <c r="N3672">
        <f t="shared" ref="N3672:N3735" si="523">N3671*(1+(B3672-B3671)/B3671*H3671*L3671)</f>
        <v>214355.32444680971</v>
      </c>
      <c r="O3672">
        <f t="shared" ref="O3672:O3735" si="524">O3671*(1+(B3672-B3671)/B3671*H3671*M3671)</f>
        <v>650759.48359361396</v>
      </c>
      <c r="P3672">
        <f t="shared" ref="P3672:P3735" si="525">(B3672-B3671)/B3671</f>
        <v>1.285762511971345E-2</v>
      </c>
      <c r="Q3672">
        <f t="shared" si="516"/>
        <v>1.9170357135600172E-2</v>
      </c>
      <c r="R3672">
        <f t="shared" si="517"/>
        <v>0.4276307564731604</v>
      </c>
      <c r="S3672">
        <f t="shared" si="519"/>
        <v>1262.151589487758</v>
      </c>
      <c r="T3672" s="564">
        <f>IF((I3672-MAX(I$470:I3672))/MAX(I$470:I3672)&gt;T3671,T3671,(I3672-MAX(I$470:I3672))/MAX(I$470:I3672))</f>
        <v>-0.91338805338419748</v>
      </c>
      <c r="U3672" s="564">
        <f>IF((J3672-MAX(J$470:J3672))/MAX(J$470:J3672)&gt;U3671,U3671,(J3672-MAX(J$470:J3672))/MAX(J$470:J3672))</f>
        <v>-0.83569785939843477</v>
      </c>
      <c r="V3672" s="564">
        <f>IF((K3672-MAX(K$470:K3672))/MAX(K$470:K3672)&gt;V3671,V3671,(K3672-MAX(K$470:K3672))/MAX(K$470:K3672))</f>
        <v>-0.84885940676762139</v>
      </c>
      <c r="W3672" s="564">
        <f>IF((N3672-MAX(N$470:N3672))/MAX(N$470:N3672)&gt;W3671,W3671,(N3672-MAX(N$470:N3672))/MAX(N$470:N3672))</f>
        <v>-0.62788758315546067</v>
      </c>
      <c r="X3672" s="564">
        <f>IF((O3672-MAX(O$470:O3672))/MAX(O$470:O3672)&gt;X3671,X3671,(O3672-MAX(O$470:O3672))/MAX(O$470:O3672))</f>
        <v>-0.62788758315546067</v>
      </c>
    </row>
    <row r="3673" spans="1:24">
      <c r="A3673" s="799">
        <v>44075</v>
      </c>
      <c r="B3673">
        <v>12036.7385628172</v>
      </c>
      <c r="C3673">
        <v>59540.730280000003</v>
      </c>
      <c r="D3673">
        <v>1.9247129999999999</v>
      </c>
      <c r="E3673">
        <f>LN(D3673/参数实验室!$E$53)/参数实验室!$E$55</f>
        <v>7.9506837481069487E-2</v>
      </c>
      <c r="F3673">
        <f t="shared" si="518"/>
        <v>4.9465833264774748</v>
      </c>
      <c r="G3673">
        <f>LN(F3673/参数实验室!$E$58)/参数实验室!$E$59</f>
        <v>0.64855261256485319</v>
      </c>
      <c r="H3673" s="856">
        <f>INDEX(神经网络!$G$10:$BO$70,MATCH(ROUND(G3673*2,1)/2,神经网络!$E$10:$E$70,0),MATCH(ROUND(E3673*2,1)/2,神经网络!$G$8:$BO$8,0))</f>
        <v>1.6806456884745045</v>
      </c>
      <c r="I3673">
        <f t="shared" si="520"/>
        <v>765057.20601159253</v>
      </c>
      <c r="J3673">
        <f t="shared" si="521"/>
        <v>4802.9761632884456</v>
      </c>
      <c r="K3673">
        <f t="shared" si="522"/>
        <v>159.28815384496559</v>
      </c>
      <c r="L3673" s="4">
        <f>MIN(MAX(L3672*(1+MAX(MIN(((B3673-B3672)/B3672)/($K$7*卓尔金历!$N$40),0),-卓尔金历!$M$43))+MIN(MAX(((B3673-B3672)/B3672)/($K$7*卓尔金历!$N$40),0),卓尔金历!$M$43),0),1)</f>
        <v>1</v>
      </c>
      <c r="M3673" s="4">
        <f>MIN(MAX(M3672*(1+MAX(MIN(((B3673-B3672)/B3672)/($K$7*30),0),-卓尔金历!$M$43))+MIN(MAX(((B3673-B3672)/B3672)/($K$7*7),0),卓尔金历!$M$43),0),1)</f>
        <v>1</v>
      </c>
      <c r="N3673">
        <f t="shared" si="523"/>
        <v>221850.24308930777</v>
      </c>
      <c r="O3673">
        <f t="shared" si="524"/>
        <v>677063.14793517964</v>
      </c>
      <c r="P3673">
        <f t="shared" si="525"/>
        <v>2.534953832885066E-2</v>
      </c>
      <c r="Q3673">
        <f t="shared" si="516"/>
        <v>1.8242937956688018E-2</v>
      </c>
      <c r="R3673">
        <f t="shared" si="517"/>
        <v>1.2863645615186249E-2</v>
      </c>
      <c r="S3673">
        <f t="shared" si="519"/>
        <v>1283.9676434928617</v>
      </c>
      <c r="T3673" s="564">
        <f>IF((I3673-MAX(I$470:I3673))/MAX(I$470:I3673)&gt;T3672,T3672,(I3673-MAX(I$470:I3673))/MAX(I$470:I3673))</f>
        <v>-0.91338805338419748</v>
      </c>
      <c r="U3673" s="564">
        <f>IF((J3673-MAX(J$470:J3673))/MAX(J$470:J3673)&gt;U3672,U3672,(J3673-MAX(J$470:J3673))/MAX(J$470:J3673))</f>
        <v>-0.83569785939843477</v>
      </c>
      <c r="V3673" s="564">
        <f>IF((K3673-MAX(K$470:K3673))/MAX(K$470:K3673)&gt;V3672,V3672,(K3673-MAX(K$470:K3673))/MAX(K$470:K3673))</f>
        <v>-0.84885940676762139</v>
      </c>
      <c r="W3673" s="564">
        <f>IF((N3673-MAX(N$470:N3673))/MAX(N$470:N3673)&gt;W3672,W3672,(N3673-MAX(N$470:N3673))/MAX(N$470:N3673))</f>
        <v>-0.62788758315546067</v>
      </c>
      <c r="X3673" s="564">
        <f>IF((O3673-MAX(O$470:O3673))/MAX(O$470:O3673)&gt;X3672,X3672,(O3673-MAX(O$470:O3673))/MAX(O$470:O3673))</f>
        <v>-0.62788758315546067</v>
      </c>
    </row>
    <row r="3674" spans="1:24">
      <c r="A3674" s="799">
        <v>44076</v>
      </c>
      <c r="B3674">
        <v>11331.339802611799</v>
      </c>
      <c r="C3674">
        <v>60287.296627000003</v>
      </c>
      <c r="D3674">
        <v>1.8347880000000001</v>
      </c>
      <c r="E3674">
        <f>LN(D3674/参数实验室!$E$53)/参数实验室!$E$55</f>
        <v>2.3058096026608275E-2</v>
      </c>
      <c r="F3674">
        <f t="shared" si="518"/>
        <v>5.3204032071392104</v>
      </c>
      <c r="G3674">
        <f>LN(F3674/参数实验室!$E$58)/参数实验室!$E$59</f>
        <v>0.68678927412333468</v>
      </c>
      <c r="H3674" s="856">
        <f>INDEX(神经网络!$G$10:$BO$70,MATCH(ROUND(G3674*2,1)/2,神经网络!$E$10:$E$70,0),MATCH(ROUND(E3674*2,1)/2,神经网络!$G$8:$BO$8,0))</f>
        <v>1.5361373860901346</v>
      </c>
      <c r="I3674">
        <f t="shared" si="520"/>
        <v>689705.00541620119</v>
      </c>
      <c r="J3674">
        <f t="shared" si="521"/>
        <v>4521.5034526203162</v>
      </c>
      <c r="K3674">
        <f t="shared" si="522"/>
        <v>152.53886514595075</v>
      </c>
      <c r="L3674" s="4">
        <f>MIN(MAX(L3673*(1+MAX(MIN(((B3674-B3673)/B3673)/($K$7*卓尔金历!$N$40),0),-卓尔金历!$M$43))+MIN(MAX(((B3674-B3673)/B3673)/($K$7*卓尔金历!$N$40),0),卓尔金历!$M$43),0),1)</f>
        <v>0.1045899951103697</v>
      </c>
      <c r="M3674" s="4">
        <f>MIN(MAX(M3673*(1+MAX(MIN(((B3674-B3673)/B3673)/($K$7*30),0),-卓尔金历!$M$43))+MIN(MAX(((B3674-B3673)/B3673)/($K$7*7),0),卓尔金历!$M$43),0),1)</f>
        <v>0.55229499755518485</v>
      </c>
      <c r="N3674">
        <f t="shared" si="523"/>
        <v>199999.71493527511</v>
      </c>
      <c r="O3674">
        <f t="shared" si="524"/>
        <v>610377.67953089182</v>
      </c>
      <c r="P3674">
        <f t="shared" si="525"/>
        <v>-5.8603811698997449E-2</v>
      </c>
      <c r="Q3674">
        <f t="shared" si="516"/>
        <v>2.2327294138222532E-2</v>
      </c>
      <c r="R3674">
        <f t="shared" si="517"/>
        <v>6.3868784668421068E-4</v>
      </c>
      <c r="S3674">
        <f t="shared" si="519"/>
        <v>1282.3408958861851</v>
      </c>
      <c r="T3674" s="564">
        <f>IF((I3674-MAX(I$470:I3674))/MAX(I$470:I3674)&gt;T3673,T3673,(I3674-MAX(I$470:I3674))/MAX(I$470:I3674))</f>
        <v>-0.91338805338419748</v>
      </c>
      <c r="U3674" s="564">
        <f>IF((J3674-MAX(J$470:J3674))/MAX(J$470:J3674)&gt;U3673,U3673,(J3674-MAX(J$470:J3674))/MAX(J$470:J3674))</f>
        <v>-0.83569785939843477</v>
      </c>
      <c r="V3674" s="564">
        <f>IF((K3674-MAX(K$470:K3674))/MAX(K$470:K3674)&gt;V3673,V3673,(K3674-MAX(K$470:K3674))/MAX(K$470:K3674))</f>
        <v>-0.84885940676762139</v>
      </c>
      <c r="W3674" s="564">
        <f>IF((N3674-MAX(N$470:N3674))/MAX(N$470:N3674)&gt;W3673,W3673,(N3674-MAX(N$470:N3674))/MAX(N$470:N3674))</f>
        <v>-0.62788758315546067</v>
      </c>
      <c r="X3674" s="564">
        <f>IF((O3674-MAX(O$470:O3674))/MAX(O$470:O3674)&gt;X3673,X3673,(O3674-MAX(O$470:O3674))/MAX(O$470:O3674))</f>
        <v>-0.62788758315546067</v>
      </c>
    </row>
    <row r="3675" spans="1:24">
      <c r="A3675" s="799">
        <v>44077</v>
      </c>
      <c r="B3675">
        <v>10654.075178827399</v>
      </c>
      <c r="C3675">
        <v>60961.424457000001</v>
      </c>
      <c r="D3675">
        <v>1.652129</v>
      </c>
      <c r="E3675">
        <f>LN(D3675/参数实验室!$E$53)/参数实验室!$E$55</f>
        <v>-0.10065576555411959</v>
      </c>
      <c r="F3675">
        <f t="shared" si="518"/>
        <v>5.7218879568399563</v>
      </c>
      <c r="G3675">
        <f>LN(F3675/参数实验室!$E$58)/参数实验室!$E$59</f>
        <v>0.7249722598588535</v>
      </c>
      <c r="H3675" s="856">
        <f>INDEX(神经网络!$G$10:$BO$70,MATCH(ROUND(G3675*2,1)/2,神经网络!$E$10:$E$70,0),MATCH(ROUND(E3675*2,1)/2,神经网络!$G$8:$BO$8,0))</f>
        <v>1.3490577669405461</v>
      </c>
      <c r="I3675">
        <f t="shared" si="520"/>
        <v>626380.68105027929</v>
      </c>
      <c r="J3675">
        <f t="shared" si="521"/>
        <v>4251.2570044401164</v>
      </c>
      <c r="K3675">
        <f t="shared" si="522"/>
        <v>147.34011150021558</v>
      </c>
      <c r="L3675" s="4">
        <f>MIN(MAX(L3674*(1+MAX(MIN(((B3675-B3674)/B3674)/($K$7*卓尔金历!$N$40),0),-卓尔金历!$M$43))+MIN(MAX(((B3675-B3674)/B3674)/($K$7*卓尔金历!$N$40),0),卓尔金历!$M$43),0),1)</f>
        <v>9.0768053311360633E-3</v>
      </c>
      <c r="M3675" s="4">
        <f>MIN(MAX(M3674*(1+MAX(MIN(((B3675-B3674)/B3674)/($K$7*30),0),-卓尔金历!$M$43))+MIN(MAX(((B3675-B3674)/B3674)/($K$7*7),0),卓尔金历!$M$43),0),1)</f>
        <v>0.30011286072678545</v>
      </c>
      <c r="N3675">
        <f t="shared" si="523"/>
        <v>198079.16012307542</v>
      </c>
      <c r="O3675">
        <f t="shared" si="524"/>
        <v>579426.51881137246</v>
      </c>
      <c r="P3675">
        <f t="shared" si="525"/>
        <v>-5.9769156655975937E-2</v>
      </c>
      <c r="Q3675">
        <f t="shared" si="516"/>
        <v>2.5607007048701145E-2</v>
      </c>
      <c r="R3675">
        <f t="shared" si="517"/>
        <v>3.4021498883387074E-3</v>
      </c>
      <c r="S3675">
        <f t="shared" si="519"/>
        <v>1282.2656990909506</v>
      </c>
      <c r="T3675" s="564">
        <f>IF((I3675-MAX(I$470:I3675))/MAX(I$470:I3675)&gt;T3674,T3674,(I3675-MAX(I$470:I3675))/MAX(I$470:I3675))</f>
        <v>-0.91338805338419748</v>
      </c>
      <c r="U3675" s="564">
        <f>IF((J3675-MAX(J$470:J3675))/MAX(J$470:J3675)&gt;U3674,U3674,(J3675-MAX(J$470:J3675))/MAX(J$470:J3675))</f>
        <v>-0.83569785939843477</v>
      </c>
      <c r="V3675" s="564">
        <f>IF((K3675-MAX(K$470:K3675))/MAX(K$470:K3675)&gt;V3674,V3674,(K3675-MAX(K$470:K3675))/MAX(K$470:K3675))</f>
        <v>-0.84885940676762139</v>
      </c>
      <c r="W3675" s="564">
        <f>IF((N3675-MAX(N$470:N3675))/MAX(N$470:N3675)&gt;W3674,W3674,(N3675-MAX(N$470:N3675))/MAX(N$470:N3675))</f>
        <v>-0.62788758315546067</v>
      </c>
      <c r="X3675" s="564">
        <f>IF((O3675-MAX(O$470:O3675))/MAX(O$470:O3675)&gt;X3674,X3674,(O3675-MAX(O$470:O3675))/MAX(O$470:O3675))</f>
        <v>-0.62788758315546067</v>
      </c>
    </row>
    <row r="3676" spans="1:24">
      <c r="A3676" s="799">
        <v>44078</v>
      </c>
      <c r="B3676">
        <v>10428.245615633199</v>
      </c>
      <c r="C3676">
        <v>60719.404488</v>
      </c>
      <c r="D3676">
        <v>1.6856089999999999</v>
      </c>
      <c r="E3676">
        <f>LN(D3676/参数实验室!$E$53)/参数实验室!$E$55</f>
        <v>-7.6987362940652726E-2</v>
      </c>
      <c r="F3676">
        <f t="shared" si="518"/>
        <v>5.8225905608680986</v>
      </c>
      <c r="G3676">
        <f>LN(F3676/参数实验室!$E$58)/参数实验室!$E$59</f>
        <v>0.73412910647206953</v>
      </c>
      <c r="H3676" s="856">
        <f>INDEX(神经网络!$G$10:$BO$70,MATCH(ROUND(G3676*2,1)/2,神经网络!$E$10:$E$70,0),MATCH(ROUND(E3676*2,1)/2,神经网络!$G$8:$BO$8,0))</f>
        <v>1.3763380156967051</v>
      </c>
      <c r="I3676">
        <f t="shared" si="520"/>
        <v>608469.09933033702</v>
      </c>
      <c r="J3676">
        <f t="shared" si="521"/>
        <v>4161.1450523255962</v>
      </c>
      <c r="K3676">
        <f t="shared" si="522"/>
        <v>146.22636117678078</v>
      </c>
      <c r="L3676" s="4">
        <f>MIN(MAX(L3675*(1+MAX(MIN(((B3676-B3675)/B3675)/($K$7*卓尔金历!$N$40),0),-卓尔金历!$M$43))+MIN(MAX(((B3676-B3675)/B3675)/($K$7*卓尔金历!$N$40),0),卓尔金历!$M$43),0),1)</f>
        <v>6.1371654055604003E-3</v>
      </c>
      <c r="M3676" s="4">
        <f>MIN(MAX(M3675*(1+MAX(MIN(((B3676-B3675)/B3675)/($K$7*30),0),-卓尔金历!$M$43))+MIN(MAX(((B3676-B3675)/B3675)/($K$7*7),0),卓尔金历!$M$43),0),1)</f>
        <v>0.25151515947693576</v>
      </c>
      <c r="N3676">
        <f t="shared" si="523"/>
        <v>198027.74778066069</v>
      </c>
      <c r="O3676">
        <f t="shared" si="524"/>
        <v>574453.97568250319</v>
      </c>
      <c r="P3676">
        <f t="shared" si="525"/>
        <v>-2.1196543050774227E-2</v>
      </c>
      <c r="Q3676">
        <f t="shared" si="516"/>
        <v>2.5275342509177821E-2</v>
      </c>
      <c r="R3676">
        <f t="shared" si="517"/>
        <v>0.20610482661756069</v>
      </c>
      <c r="S3676">
        <f t="shared" si="519"/>
        <v>1282.1409529692482</v>
      </c>
      <c r="T3676" s="564">
        <f>IF((I3676-MAX(I$470:I3676))/MAX(I$470:I3676)&gt;T3675,T3675,(I3676-MAX(I$470:I3676))/MAX(I$470:I3676))</f>
        <v>-0.91338805338419748</v>
      </c>
      <c r="U3676" s="564">
        <f>IF((J3676-MAX(J$470:J3676))/MAX(J$470:J3676)&gt;U3675,U3675,(J3676-MAX(J$470:J3676))/MAX(J$470:J3676))</f>
        <v>-0.83569785939843477</v>
      </c>
      <c r="V3676" s="564">
        <f>IF((K3676-MAX(K$470:K3676))/MAX(K$470:K3676)&gt;V3675,V3675,(K3676-MAX(K$470:K3676))/MAX(K$470:K3676))</f>
        <v>-0.84885940676762139</v>
      </c>
      <c r="W3676" s="564">
        <f>IF((N3676-MAX(N$470:N3676))/MAX(N$470:N3676)&gt;W3675,W3675,(N3676-MAX(N$470:N3676))/MAX(N$470:N3676))</f>
        <v>-0.62788758315546067</v>
      </c>
      <c r="X3676" s="564">
        <f>IF((O3676-MAX(O$470:O3676))/MAX(O$470:O3676)&gt;X3675,X3675,(O3676-MAX(O$470:O3676))/MAX(O$470:O3676))</f>
        <v>-0.62788758315546067</v>
      </c>
    </row>
    <row r="3677" spans="1:24">
      <c r="A3677" s="799">
        <v>44079</v>
      </c>
      <c r="B3677">
        <v>10266.702770445399</v>
      </c>
      <c r="C3677">
        <v>61358.403036000003</v>
      </c>
      <c r="D3677">
        <v>1.6313150000000001</v>
      </c>
      <c r="E3677">
        <f>LN(D3677/参数实验室!$E$53)/参数实验室!$E$55</f>
        <v>-0.11561305609306186</v>
      </c>
      <c r="F3677">
        <f t="shared" si="518"/>
        <v>5.9764468113980564</v>
      </c>
      <c r="G3677">
        <f>LN(F3677/参数实验室!$E$58)/参数实验室!$E$59</f>
        <v>0.74781779139501547</v>
      </c>
      <c r="H3677" s="856">
        <f>INDEX(神经网络!$G$10:$BO$70,MATCH(ROUND(G3677*2,1)/2,神经网络!$E$10:$E$70,0),MATCH(ROUND(E3677*2,1)/2,神经网络!$G$8:$BO$8,0))</f>
        <v>1.3763380156967051</v>
      </c>
      <c r="I3677">
        <f t="shared" si="520"/>
        <v>595496.10854589904</v>
      </c>
      <c r="J3677">
        <f t="shared" si="521"/>
        <v>4096.6851962991805</v>
      </c>
      <c r="K3677">
        <f t="shared" si="522"/>
        <v>145.36047560692532</v>
      </c>
      <c r="L3677" s="4">
        <f>MIN(MAX(L3676*(1+MAX(MIN(((B3677-B3676)/B3676)/($K$7*卓尔金历!$N$40),0),-卓尔金历!$M$43))+MIN(MAX(((B3677-B3676)/B3676)/($K$7*卓尔金历!$N$40),0),卓尔金历!$M$43),0),1)</f>
        <v>4.6845843263950719E-3</v>
      </c>
      <c r="M3677" s="4">
        <f>MIN(MAX(M3676*(1+MAX(MIN(((B3677-B3676)/B3676)/($K$7*30),0),-卓尔金历!$M$43))+MIN(MAX(((B3677-B3676)/B3676)/($K$7*7),0),卓尔金历!$M$43),0),1)</f>
        <v>0.2217501020248068</v>
      </c>
      <c r="N3677">
        <f t="shared" si="523"/>
        <v>198001.83610742615</v>
      </c>
      <c r="O3677">
        <f t="shared" si="524"/>
        <v>571373.47728301049</v>
      </c>
      <c r="P3677">
        <f t="shared" si="525"/>
        <v>-1.549089378424569E-2</v>
      </c>
      <c r="Q3677">
        <f t="shared" si="516"/>
        <v>2.5094885679069125E-2</v>
      </c>
      <c r="R3677">
        <f t="shared" si="517"/>
        <v>0.51988017789312679</v>
      </c>
      <c r="S3677">
        <f t="shared" si="519"/>
        <v>1276.5068404461872</v>
      </c>
      <c r="T3677" s="564">
        <f>IF((I3677-MAX(I$470:I3677))/MAX(I$470:I3677)&gt;T3676,T3676,(I3677-MAX(I$470:I3677))/MAX(I$470:I3677))</f>
        <v>-0.91338805338419748</v>
      </c>
      <c r="U3677" s="564">
        <f>IF((J3677-MAX(J$470:J3677))/MAX(J$470:J3677)&gt;U3676,U3676,(J3677-MAX(J$470:J3677))/MAX(J$470:J3677))</f>
        <v>-0.83569785939843477</v>
      </c>
      <c r="V3677" s="564">
        <f>IF((K3677-MAX(K$470:K3677))/MAX(K$470:K3677)&gt;V3676,V3676,(K3677-MAX(K$470:K3677))/MAX(K$470:K3677))</f>
        <v>-0.84885940676762139</v>
      </c>
      <c r="W3677" s="564">
        <f>IF((N3677-MAX(N$470:N3677))/MAX(N$470:N3677)&gt;W3676,W3676,(N3677-MAX(N$470:N3677))/MAX(N$470:N3677))</f>
        <v>-0.62788758315546067</v>
      </c>
      <c r="X3677" s="564">
        <f>IF((O3677-MAX(O$470:O3677))/MAX(O$470:O3677)&gt;X3676,X3676,(O3677-MAX(O$470:O3677))/MAX(O$470:O3677))</f>
        <v>-0.62788758315546067</v>
      </c>
    </row>
    <row r="3678" spans="1:24">
      <c r="A3678" s="799">
        <v>44080</v>
      </c>
      <c r="B3678">
        <v>10182.2844423311</v>
      </c>
      <c r="C3678">
        <v>61452.921611999998</v>
      </c>
      <c r="D3678">
        <v>1.6514009999999999</v>
      </c>
      <c r="E3678">
        <f>LN(D3678/参数实验室!$E$53)/参数实验室!$E$55</f>
        <v>-0.10117573078858984</v>
      </c>
      <c r="F3678">
        <f t="shared" si="518"/>
        <v>6.0352784249986202</v>
      </c>
      <c r="G3678">
        <f>LN(F3678/参数实验室!$E$58)/参数实验室!$E$59</f>
        <v>0.75295914395931263</v>
      </c>
      <c r="H3678" s="856">
        <f>INDEX(神经网络!$G$10:$BO$70,MATCH(ROUND(G3678*2,1)/2,神经网络!$E$10:$E$70,0),MATCH(ROUND(E3678*2,1)/2,神经网络!$G$8:$BO$8,0))</f>
        <v>1.3763380156967051</v>
      </c>
      <c r="I3678">
        <f t="shared" si="520"/>
        <v>588756.88610658352</v>
      </c>
      <c r="J3678">
        <f t="shared" si="521"/>
        <v>4063.0000567938532</v>
      </c>
      <c r="K3678">
        <f t="shared" si="522"/>
        <v>144.90693523917309</v>
      </c>
      <c r="L3678" s="4">
        <f>MIN(MAX(L3677*(1+MAX(MIN(((B3678-B3677)/B3677)/($K$7*卓尔金历!$N$40),0),-卓尔金历!$M$43))+MIN(MAX(((B3678-B3677)/B3677)/($K$7*卓尔金历!$N$40),0),卓尔金历!$M$43),0),1)</f>
        <v>4.0960485107000254E-3</v>
      </c>
      <c r="M3678" s="4">
        <f>MIN(MAX(M3677*(1+MAX(MIN(((B3678-B3677)/B3677)/($K$7*30),0),-卓尔金历!$M$43))+MIN(MAX(((B3678-B3677)/B3677)/($K$7*7),0),卓尔金历!$M$43),0),1)</f>
        <v>0.20782059749648729</v>
      </c>
      <c r="N3678">
        <f t="shared" si="523"/>
        <v>197991.33896373759</v>
      </c>
      <c r="O3678">
        <f t="shared" si="524"/>
        <v>569939.59080694988</v>
      </c>
      <c r="P3678">
        <f t="shared" si="525"/>
        <v>-8.22253551133411E-3</v>
      </c>
      <c r="Q3678">
        <f t="shared" si="516"/>
        <v>2.5050590818301195E-2</v>
      </c>
      <c r="R3678">
        <f t="shared" si="517"/>
        <v>1</v>
      </c>
      <c r="S3678">
        <f t="shared" si="519"/>
        <v>1268.9965407331479</v>
      </c>
      <c r="T3678" s="564">
        <f>IF((I3678-MAX(I$470:I3678))/MAX(I$470:I3678)&gt;T3677,T3677,(I3678-MAX(I$470:I3678))/MAX(I$470:I3678))</f>
        <v>-0.91338805338419748</v>
      </c>
      <c r="U3678" s="564">
        <f>IF((J3678-MAX(J$470:J3678))/MAX(J$470:J3678)&gt;U3677,U3677,(J3678-MAX(J$470:J3678))/MAX(J$470:J3678))</f>
        <v>-0.83569785939843477</v>
      </c>
      <c r="V3678" s="564">
        <f>IF((K3678-MAX(K$470:K3678))/MAX(K$470:K3678)&gt;V3677,V3677,(K3678-MAX(K$470:K3678))/MAX(K$470:K3678))</f>
        <v>-0.84885940676762139</v>
      </c>
      <c r="W3678" s="564">
        <f>IF((N3678-MAX(N$470:N3678))/MAX(N$470:N3678)&gt;W3677,W3677,(N3678-MAX(N$470:N3678))/MAX(N$470:N3678))</f>
        <v>-0.62788758315546067</v>
      </c>
      <c r="X3678" s="564">
        <f>IF((O3678-MAX(O$470:O3678))/MAX(O$470:O3678)&gt;X3677,X3677,(O3678-MAX(O$470:O3678))/MAX(O$470:O3678))</f>
        <v>-0.62788758315546067</v>
      </c>
    </row>
    <row r="3679" spans="1:24">
      <c r="A3679" s="799">
        <v>44081</v>
      </c>
      <c r="B3679">
        <v>10148.713218860399</v>
      </c>
      <c r="C3679">
        <v>60169.356336999997</v>
      </c>
      <c r="D3679">
        <v>1.6700550000000001</v>
      </c>
      <c r="E3679">
        <f>LN(D3679/参数实验室!$E$53)/参数实验室!$E$55</f>
        <v>-8.7924103550989605E-2</v>
      </c>
      <c r="F3679">
        <f t="shared" si="518"/>
        <v>5.9287670307976663</v>
      </c>
      <c r="G3679">
        <f>LN(F3679/参数实验室!$E$58)/参数实验室!$E$59</f>
        <v>0.74361374100984345</v>
      </c>
      <c r="H3679" s="856">
        <f>INDEX(神经网络!$G$10:$BO$70,MATCH(ROUND(G3679*2,1)/2,神经网络!$E$10:$E$70,0),MATCH(ROUND(E3679*2,1)/2,神经网络!$G$8:$BO$8,0))</f>
        <v>1.3763380156967051</v>
      </c>
      <c r="I3679">
        <f t="shared" si="520"/>
        <v>586085.21465732111</v>
      </c>
      <c r="J3679">
        <f t="shared" si="521"/>
        <v>4049.6042531664243</v>
      </c>
      <c r="K3679">
        <f t="shared" si="522"/>
        <v>144.72654067346346</v>
      </c>
      <c r="L3679" s="4">
        <f>MIN(MAX(L3678*(1+MAX(MIN(((B3679-B3678)/B3678)/($K$7*卓尔金历!$N$40),0),-卓尔金历!$M$43))+MIN(MAX(((B3679-B3678)/B3678)/($K$7*卓尔金历!$N$40),0),卓尔金历!$M$43),0),1)</f>
        <v>3.8897086590387229E-3</v>
      </c>
      <c r="M3679" s="4">
        <f>MIN(MAX(M3678*(1+MAX(MIN(((B3679-B3678)/B3678)/($K$7*30),0),-卓尔金历!$M$43))+MIN(MAX(((B3679-B3678)/B3678)/($K$7*7),0),卓尔金历!$M$43),0),1)</f>
        <v>0.20258608047995666</v>
      </c>
      <c r="N3679">
        <f t="shared" si="523"/>
        <v>197987.65887463582</v>
      </c>
      <c r="O3679">
        <f t="shared" si="524"/>
        <v>569402.10813795112</v>
      </c>
      <c r="P3679">
        <f t="shared" si="525"/>
        <v>-3.2970227517053162E-3</v>
      </c>
      <c r="Q3679">
        <f t="shared" si="516"/>
        <v>2.215776746948379E-2</v>
      </c>
      <c r="R3679">
        <f t="shared" si="517"/>
        <v>1</v>
      </c>
      <c r="S3679">
        <f t="shared" si="519"/>
        <v>1263.2380657036501</v>
      </c>
      <c r="T3679" s="564">
        <f>IF((I3679-MAX(I$470:I3679))/MAX(I$470:I3679)&gt;T3678,T3678,(I3679-MAX(I$470:I3679))/MAX(I$470:I3679))</f>
        <v>-0.91338805338419748</v>
      </c>
      <c r="U3679" s="564">
        <f>IF((J3679-MAX(J$470:J3679))/MAX(J$470:J3679)&gt;U3678,U3678,(J3679-MAX(J$470:J3679))/MAX(J$470:J3679))</f>
        <v>-0.83569785939843477</v>
      </c>
      <c r="V3679" s="564">
        <f>IF((K3679-MAX(K$470:K3679))/MAX(K$470:K3679)&gt;V3678,V3678,(K3679-MAX(K$470:K3679))/MAX(K$470:K3679))</f>
        <v>-0.84885940676762139</v>
      </c>
      <c r="W3679" s="564">
        <f>IF((N3679-MAX(N$470:N3679))/MAX(N$470:N3679)&gt;W3678,W3678,(N3679-MAX(N$470:N3679))/MAX(N$470:N3679))</f>
        <v>-0.62788758315546067</v>
      </c>
      <c r="X3679" s="564">
        <f>IF((O3679-MAX(O$470:O3679))/MAX(O$470:O3679)&gt;X3678,X3678,(O3679-MAX(O$470:O3679))/MAX(O$470:O3679))</f>
        <v>-0.62788758315546067</v>
      </c>
    </row>
    <row r="3680" spans="1:24">
      <c r="A3680" s="799">
        <v>44082</v>
      </c>
      <c r="B3680">
        <v>10077.1804191053</v>
      </c>
      <c r="C3680">
        <v>60509.635828999999</v>
      </c>
      <c r="D3680">
        <v>1.6289419999999999</v>
      </c>
      <c r="E3680">
        <f>LN(D3680/参数实验室!$E$53)/参数实验室!$E$55</f>
        <v>-0.1173304390738053</v>
      </c>
      <c r="F3680">
        <f t="shared" si="518"/>
        <v>6.0046196765793676</v>
      </c>
      <c r="G3680">
        <f>LN(F3680/参数实验室!$E$58)/参数实验室!$E$59</f>
        <v>0.75028613083105</v>
      </c>
      <c r="H3680" s="856">
        <f>INDEX(神经网络!$G$10:$BO$70,MATCH(ROUND(G3680*2,1)/2,神经网络!$E$10:$E$70,0),MATCH(ROUND(E3680*2,1)/2,神经网络!$G$8:$BO$8,0))</f>
        <v>1.3763380156967051</v>
      </c>
      <c r="I3680">
        <f t="shared" si="520"/>
        <v>580399.56475661544</v>
      </c>
      <c r="J3680">
        <f t="shared" si="521"/>
        <v>4021.0607793405197</v>
      </c>
      <c r="K3680">
        <f t="shared" si="522"/>
        <v>144.33991342249863</v>
      </c>
      <c r="L3680" s="4">
        <f>MIN(MAX(L3679*(1+MAX(MIN(((B3680-B3679)/B3679)/($K$7*卓尔金历!$N$40),0),-卓尔金历!$M$43))+MIN(MAX(((B3680-B3679)/B3679)/($K$7*卓尔金历!$N$40),0),卓尔金历!$M$43),0),1)</f>
        <v>3.4708115191700271E-3</v>
      </c>
      <c r="M3680" s="4">
        <f>MIN(MAX(M3679*(1+MAX(MIN(((B3680-B3679)/B3679)/($K$7*30),0),-卓尔金历!$M$43))+MIN(MAX(((B3680-B3679)/B3679)/($K$7*7),0),卓尔金历!$M$43),0),1)</f>
        <v>0.19167745760751309</v>
      </c>
      <c r="N3680">
        <f t="shared" si="523"/>
        <v>197980.1879467793</v>
      </c>
      <c r="O3680">
        <f t="shared" si="524"/>
        <v>568283.06192611554</v>
      </c>
      <c r="P3680">
        <f t="shared" si="525"/>
        <v>-7.0484600571984468E-3</v>
      </c>
      <c r="Q3680">
        <f t="shared" si="516"/>
        <v>2.1319981223439283E-2</v>
      </c>
      <c r="R3680">
        <f t="shared" si="517"/>
        <v>1</v>
      </c>
      <c r="S3680">
        <f t="shared" si="519"/>
        <v>1250.9833129762076</v>
      </c>
      <c r="T3680" s="564">
        <f>IF((I3680-MAX(I$470:I3680))/MAX(I$470:I3680)&gt;T3679,T3679,(I3680-MAX(I$470:I3680))/MAX(I$470:I3680))</f>
        <v>-0.91338805338419748</v>
      </c>
      <c r="U3680" s="564">
        <f>IF((J3680-MAX(J$470:J3680))/MAX(J$470:J3680)&gt;U3679,U3679,(J3680-MAX(J$470:J3680))/MAX(J$470:J3680))</f>
        <v>-0.83569785939843477</v>
      </c>
      <c r="V3680" s="564">
        <f>IF((K3680-MAX(K$470:K3680))/MAX(K$470:K3680)&gt;V3679,V3679,(K3680-MAX(K$470:K3680))/MAX(K$470:K3680))</f>
        <v>-0.84885940676762139</v>
      </c>
      <c r="W3680" s="564">
        <f>IF((N3680-MAX(N$470:N3680))/MAX(N$470:N3680)&gt;W3679,W3679,(N3680-MAX(N$470:N3680))/MAX(N$470:N3680))</f>
        <v>-0.62788758315546067</v>
      </c>
      <c r="X3680" s="564">
        <f>IF((O3680-MAX(O$470:O3680))/MAX(O$470:O3680)&gt;X3679,X3679,(O3680-MAX(O$470:O3680))/MAX(O$470:O3680))</f>
        <v>-0.62788758315546067</v>
      </c>
    </row>
    <row r="3681" spans="1:24">
      <c r="A3681" s="799">
        <v>44083</v>
      </c>
      <c r="B3681">
        <v>10260.548511344001</v>
      </c>
      <c r="C3681">
        <v>60353.094898000003</v>
      </c>
      <c r="D3681">
        <v>1.6475770000000001</v>
      </c>
      <c r="E3681">
        <f>LN(D3681/参数实验室!$E$53)/参数实验室!$E$55</f>
        <v>-0.10391074655739992</v>
      </c>
      <c r="F3681">
        <f t="shared" si="518"/>
        <v>5.8820534624707426</v>
      </c>
      <c r="G3681">
        <f>LN(F3681/参数实验室!$E$58)/参数实验室!$E$59</f>
        <v>0.73946196627682215</v>
      </c>
      <c r="H3681" s="856">
        <f>INDEX(神经网络!$G$10:$BO$70,MATCH(ROUND(G3681*2,1)/2,神经网络!$E$10:$E$70,0),MATCH(ROUND(E3681*2,1)/2,神经网络!$G$8:$BO$8,0))</f>
        <v>1.3763380156967051</v>
      </c>
      <c r="I3681">
        <f t="shared" si="520"/>
        <v>594935.29706043017</v>
      </c>
      <c r="J3681">
        <f t="shared" si="521"/>
        <v>4094.2294845951787</v>
      </c>
      <c r="K3681">
        <f t="shared" si="522"/>
        <v>145.3106864915402</v>
      </c>
      <c r="L3681" s="4">
        <f>MIN(MAX(L3680*(1+MAX(MIN(((B3681-B3680)/B3680)/($K$7*卓尔金历!$N$40),0),-卓尔金历!$M$43))+MIN(MAX(((B3681-B3680)/B3680)/($K$7*卓尔金历!$N$40),0),卓尔金历!$M$43),0),1)</f>
        <v>0.28149386635116491</v>
      </c>
      <c r="M3681" s="4">
        <f>MIN(MAX(M3680*(1+MAX(MIN(((B3681-B3680)/B3680)/($K$7*30),0),-卓尔金历!$M$43))+MIN(MAX(((B3681-B3680)/B3680)/($K$7*7),0),卓尔金历!$M$43),0),1)</f>
        <v>0.7874411465332164</v>
      </c>
      <c r="N3681">
        <f t="shared" si="523"/>
        <v>197997.39722280661</v>
      </c>
      <c r="O3681">
        <f t="shared" si="524"/>
        <v>571011.06961615128</v>
      </c>
      <c r="P3681">
        <f t="shared" si="525"/>
        <v>1.8196368886187059E-2</v>
      </c>
      <c r="Q3681">
        <f t="shared" si="516"/>
        <v>2.1853538607308674E-2</v>
      </c>
      <c r="R3681">
        <f t="shared" si="517"/>
        <v>0.20836533554589573</v>
      </c>
      <c r="S3681">
        <f t="shared" si="519"/>
        <v>1282.3133822218431</v>
      </c>
      <c r="T3681" s="564">
        <f>IF((I3681-MAX(I$470:I3681))/MAX(I$470:I3681)&gt;T3680,T3680,(I3681-MAX(I$470:I3681))/MAX(I$470:I3681))</f>
        <v>-0.91338805338419748</v>
      </c>
      <c r="U3681" s="564">
        <f>IF((J3681-MAX(J$470:J3681))/MAX(J$470:J3681)&gt;U3680,U3680,(J3681-MAX(J$470:J3681))/MAX(J$470:J3681))</f>
        <v>-0.83569785939843477</v>
      </c>
      <c r="V3681" s="564">
        <f>IF((K3681-MAX(K$470:K3681))/MAX(K$470:K3681)&gt;V3680,V3680,(K3681-MAX(K$470:K3681))/MAX(K$470:K3681))</f>
        <v>-0.84885940676762139</v>
      </c>
      <c r="W3681" s="564">
        <f>IF((N3681-MAX(N$470:N3681))/MAX(N$470:N3681)&gt;W3680,W3680,(N3681-MAX(N$470:N3681))/MAX(N$470:N3681))</f>
        <v>-0.62788758315546067</v>
      </c>
      <c r="X3681" s="564">
        <f>IF((O3681-MAX(O$470:O3681))/MAX(O$470:O3681)&gt;X3680,X3680,(O3681-MAX(O$470:O3681))/MAX(O$470:O3681))</f>
        <v>-0.62788758315546067</v>
      </c>
    </row>
    <row r="3682" spans="1:24">
      <c r="A3682" s="799">
        <v>44084</v>
      </c>
      <c r="B3682">
        <v>10428.318537749101</v>
      </c>
      <c r="C3682">
        <v>60321.792183999998</v>
      </c>
      <c r="D3682">
        <v>1.665311</v>
      </c>
      <c r="E3682">
        <f>LN(D3682/参数实验室!$E$53)/参数实验室!$E$55</f>
        <v>-9.1280108957017006E-2</v>
      </c>
      <c r="F3682">
        <f t="shared" si="518"/>
        <v>5.7844217133992677</v>
      </c>
      <c r="G3682">
        <f>LN(F3682/参数实验室!$E$58)/参数实验室!$E$59</f>
        <v>0.73067720245889056</v>
      </c>
      <c r="H3682" s="856">
        <f>INDEX(神经网络!$G$10:$BO$70,MATCH(ROUND(G3682*2,1)/2,神经网络!$E$10:$E$70,0),MATCH(ROUND(E3682*2,1)/2,神经网络!$G$8:$BO$8,0))</f>
        <v>1.3763380156967051</v>
      </c>
      <c r="I3682">
        <f t="shared" si="520"/>
        <v>608324.00403061556</v>
      </c>
      <c r="J3682">
        <f t="shared" si="521"/>
        <v>4161.1741501732076</v>
      </c>
      <c r="K3682">
        <f t="shared" si="522"/>
        <v>146.19046982335365</v>
      </c>
      <c r="L3682" s="4">
        <f>MIN(MAX(L3681*(1+MAX(MIN(((B3682-B3681)/B3681)/($K$7*卓尔金历!$N$40),0),-卓尔金历!$M$43))+MIN(MAX(((B3682-B3681)/B3681)/($K$7*卓尔金历!$N$40),0),卓尔金历!$M$43),0),1)</f>
        <v>0.53132115421841508</v>
      </c>
      <c r="M3682" s="4">
        <f>MIN(MAX(M3681*(1+MAX(MIN(((B3682-B3681)/B3681)/($K$7*30),0),-卓尔金历!$M$43))+MIN(MAX(((B3682-B3681)/B3681)/($K$7*7),0),卓尔金历!$M$43),0),1)</f>
        <v>1</v>
      </c>
      <c r="N3682">
        <f t="shared" si="523"/>
        <v>199251.68536902056</v>
      </c>
      <c r="O3682">
        <f t="shared" si="524"/>
        <v>581129.9283404079</v>
      </c>
      <c r="P3682">
        <f t="shared" si="525"/>
        <v>1.6350980283326419E-2</v>
      </c>
      <c r="Q3682">
        <f t="shared" si="516"/>
        <v>2.2130758305185877E-2</v>
      </c>
      <c r="R3682">
        <f t="shared" si="517"/>
        <v>0.33114874777940739</v>
      </c>
      <c r="S3682">
        <f t="shared" si="519"/>
        <v>1288.3263454066898</v>
      </c>
      <c r="T3682" s="564">
        <f>IF((I3682-MAX(I$470:I3682))/MAX(I$470:I3682)&gt;T3681,T3681,(I3682-MAX(I$470:I3682))/MAX(I$470:I3682))</f>
        <v>-0.91338805338419748</v>
      </c>
      <c r="U3682" s="564">
        <f>IF((J3682-MAX(J$470:J3682))/MAX(J$470:J3682)&gt;U3681,U3681,(J3682-MAX(J$470:J3682))/MAX(J$470:J3682))</f>
        <v>-0.83569785939843477</v>
      </c>
      <c r="V3682" s="564">
        <f>IF((K3682-MAX(K$470:K3682))/MAX(K$470:K3682)&gt;V3681,V3681,(K3682-MAX(K$470:K3682))/MAX(K$470:K3682))</f>
        <v>-0.84885940676762139</v>
      </c>
      <c r="W3682" s="564">
        <f>IF((N3682-MAX(N$470:N3682))/MAX(N$470:N3682)&gt;W3681,W3681,(N3682-MAX(N$470:N3682))/MAX(N$470:N3682))</f>
        <v>-0.62788758315546067</v>
      </c>
      <c r="X3682" s="564">
        <f>IF((O3682-MAX(O$470:O3682))/MAX(O$470:O3682)&gt;X3681,X3681,(O3682-MAX(O$470:O3682))/MAX(O$470:O3682))</f>
        <v>-0.62788758315546067</v>
      </c>
    </row>
    <row r="3683" spans="1:24">
      <c r="A3683" s="799">
        <v>44085</v>
      </c>
      <c r="B3683">
        <v>10303.0498677949</v>
      </c>
      <c r="C3683">
        <v>60290.70852</v>
      </c>
      <c r="D3683">
        <v>1.6738139999999999</v>
      </c>
      <c r="E3683">
        <f>LN(D3683/参数实验室!$E$53)/参数实验室!$E$55</f>
        <v>-8.527167050882066E-2</v>
      </c>
      <c r="F3683">
        <f t="shared" si="518"/>
        <v>5.851734126654641</v>
      </c>
      <c r="G3683">
        <f>LN(F3683/参数实验室!$E$58)/参数实验室!$E$59</f>
        <v>0.73674958354755726</v>
      </c>
      <c r="H3683" s="856">
        <f>INDEX(神经网络!$G$10:$BO$70,MATCH(ROUND(G3683*2,1)/2,神经网络!$E$10:$E$70,0),MATCH(ROUND(E3683*2,1)/2,神经网络!$G$8:$BO$8,0))</f>
        <v>1.3763380156967051</v>
      </c>
      <c r="I3683">
        <f t="shared" si="520"/>
        <v>598266.54580711119</v>
      </c>
      <c r="J3683">
        <f t="shared" si="521"/>
        <v>4111.1886468197099</v>
      </c>
      <c r="K3683">
        <f t="shared" si="522"/>
        <v>145.52155038419653</v>
      </c>
      <c r="L3683" s="4">
        <f>MIN(MAX(L3682*(1+MAX(MIN(((B3683-B3682)/B3682)/($K$7*卓尔金历!$N$40),0),-卓尔金历!$M$43))+MIN(MAX(((B3683-B3682)/B3682)/($K$7*卓尔金历!$N$40),0),卓尔金历!$M$43),0),1)</f>
        <v>0.43380392260491418</v>
      </c>
      <c r="M3683" s="4">
        <f>MIN(MAX(M3682*(1+MAX(MIN(((B3683-B3682)/B3682)/($K$7*30),0),-卓尔金历!$M$43))+MIN(MAX(((B3683-B3682)/B3682)/($K$7*7),0),卓尔金历!$M$43),0),1)</f>
        <v>0.90823136737614851</v>
      </c>
      <c r="N3683">
        <f t="shared" si="523"/>
        <v>197501.38576511064</v>
      </c>
      <c r="O3683">
        <f t="shared" si="524"/>
        <v>571522.07144509198</v>
      </c>
      <c r="P3683">
        <f t="shared" si="525"/>
        <v>-1.2012355539461644E-2</v>
      </c>
      <c r="Q3683">
        <f t="shared" si="516"/>
        <v>2.2166583439569034E-2</v>
      </c>
      <c r="R3683">
        <f t="shared" si="517"/>
        <v>0.64833932684134155</v>
      </c>
      <c r="S3683">
        <f t="shared" si="519"/>
        <v>1281.2728840951042</v>
      </c>
      <c r="T3683" s="564">
        <f>IF((I3683-MAX(I$470:I3683))/MAX(I$470:I3683)&gt;T3682,T3682,(I3683-MAX(I$470:I3683))/MAX(I$470:I3683))</f>
        <v>-0.91338805338419748</v>
      </c>
      <c r="U3683" s="564">
        <f>IF((J3683-MAX(J$470:J3683))/MAX(J$470:J3683)&gt;U3682,U3682,(J3683-MAX(J$470:J3683))/MAX(J$470:J3683))</f>
        <v>-0.83569785939843477</v>
      </c>
      <c r="V3683" s="564">
        <f>IF((K3683-MAX(K$470:K3683))/MAX(K$470:K3683)&gt;V3682,V3682,(K3683-MAX(K$470:K3683))/MAX(K$470:K3683))</f>
        <v>-0.84885940676762139</v>
      </c>
      <c r="W3683" s="564">
        <f>IF((N3683-MAX(N$470:N3683))/MAX(N$470:N3683)&gt;W3682,W3682,(N3683-MAX(N$470:N3683))/MAX(N$470:N3683))</f>
        <v>-0.62788758315546067</v>
      </c>
      <c r="X3683" s="564">
        <f>IF((O3683-MAX(O$470:O3683))/MAX(O$470:O3683)&gt;X3682,X3682,(O3683-MAX(O$470:O3683))/MAX(O$470:O3683))</f>
        <v>-0.62788758315546067</v>
      </c>
    </row>
    <row r="3684" spans="1:24">
      <c r="A3684" s="799">
        <v>44086</v>
      </c>
      <c r="B3684">
        <v>10363.8133785314</v>
      </c>
      <c r="C3684">
        <v>59361.843474000001</v>
      </c>
      <c r="D3684">
        <v>1.6819010000000001</v>
      </c>
      <c r="E3684">
        <f>LN(D3684/参数实验室!$E$53)/参数实验室!$E$55</f>
        <v>-7.958544092504205E-2</v>
      </c>
      <c r="F3684">
        <f t="shared" si="518"/>
        <v>5.7277993443000268</v>
      </c>
      <c r="G3684">
        <f>LN(F3684/参数实验室!$E$58)/参数实验室!$E$59</f>
        <v>0.72551421629883539</v>
      </c>
      <c r="H3684" s="856">
        <f>INDEX(神经网络!$G$10:$BO$70,MATCH(ROUND(G3684*2,1)/2,神经网络!$E$10:$E$70,0),MATCH(ROUND(E3684*2,1)/2,神经网络!$G$8:$BO$8,0))</f>
        <v>1.3763380156967051</v>
      </c>
      <c r="I3684">
        <f t="shared" si="520"/>
        <v>603122.74933768914</v>
      </c>
      <c r="J3684">
        <f t="shared" si="521"/>
        <v>4135.4348902802667</v>
      </c>
      <c r="K3684">
        <f t="shared" si="522"/>
        <v>145.84264178726178</v>
      </c>
      <c r="L3684" s="4">
        <f>MIN(MAX(L3683*(1+MAX(MIN(((B3684-B3683)/B3683)/($K$7*卓尔金历!$N$40),0),-卓尔金历!$M$43))+MIN(MAX(((B3684-B3683)/B3683)/($K$7*卓尔金历!$N$40),0),卓尔金历!$M$43),0),1)</f>
        <v>0.52391395270158991</v>
      </c>
      <c r="M3684" s="4">
        <f>MIN(MAX(M3683*(1+MAX(MIN(((B3684-B3683)/B3683)/($K$7*30),0),-卓尔金历!$M$43))+MIN(MAX(((B3684-B3683)/B3683)/($K$7*7),0),卓尔金历!$M$43),0),1)</f>
        <v>1</v>
      </c>
      <c r="N3684">
        <f t="shared" si="523"/>
        <v>198196.83556082382</v>
      </c>
      <c r="O3684">
        <f t="shared" si="524"/>
        <v>575735.46150023316</v>
      </c>
      <c r="P3684">
        <f t="shared" si="525"/>
        <v>5.8976236664091044E-3</v>
      </c>
      <c r="Q3684">
        <f t="shared" si="516"/>
        <v>2.2260538370570872E-2</v>
      </c>
      <c r="R3684">
        <f t="shared" si="517"/>
        <v>1</v>
      </c>
      <c r="S3684">
        <f t="shared" si="519"/>
        <v>1288.0157754612221</v>
      </c>
      <c r="T3684" s="564">
        <f>IF((I3684-MAX(I$470:I3684))/MAX(I$470:I3684)&gt;T3683,T3683,(I3684-MAX(I$470:I3684))/MAX(I$470:I3684))</f>
        <v>-0.91338805338419748</v>
      </c>
      <c r="U3684" s="564">
        <f>IF((J3684-MAX(J$470:J3684))/MAX(J$470:J3684)&gt;U3683,U3683,(J3684-MAX(J$470:J3684))/MAX(J$470:J3684))</f>
        <v>-0.83569785939843477</v>
      </c>
      <c r="V3684" s="564">
        <f>IF((K3684-MAX(K$470:K3684))/MAX(K$470:K3684)&gt;V3683,V3683,(K3684-MAX(K$470:K3684))/MAX(K$470:K3684))</f>
        <v>-0.84885940676762139</v>
      </c>
      <c r="W3684" s="564">
        <f>IF((N3684-MAX(N$470:N3684))/MAX(N$470:N3684)&gt;W3683,W3683,(N3684-MAX(N$470:N3684))/MAX(N$470:N3684))</f>
        <v>-0.62788758315546067</v>
      </c>
      <c r="X3684" s="564">
        <f>IF((O3684-MAX(O$470:O3684))/MAX(O$470:O3684)&gt;X3683,X3683,(O3684-MAX(O$470:O3684))/MAX(O$470:O3684))</f>
        <v>-0.62788758315546067</v>
      </c>
    </row>
    <row r="3685" spans="1:24">
      <c r="A3685" s="799">
        <v>44087</v>
      </c>
      <c r="B3685">
        <v>10286.4543813737</v>
      </c>
      <c r="C3685">
        <v>59574.836319000002</v>
      </c>
      <c r="D3685">
        <v>1.6634169999999999</v>
      </c>
      <c r="E3685">
        <f>LN(D3685/参数实验室!$E$53)/参数实验室!$E$55</f>
        <v>-9.2622635522849175E-2</v>
      </c>
      <c r="F3685">
        <f t="shared" si="518"/>
        <v>5.7915812494998988</v>
      </c>
      <c r="G3685">
        <f>LN(F3685/参数实验室!$E$58)/参数实验室!$E$59</f>
        <v>0.73132642688638594</v>
      </c>
      <c r="H3685" s="856">
        <f>INDEX(神经网络!$G$10:$BO$70,MATCH(ROUND(G3685*2,1)/2,神经网络!$E$10:$E$70,0),MATCH(ROUND(E3685*2,1)/2,神经网络!$G$8:$BO$8,0))</f>
        <v>1.3763380156967051</v>
      </c>
      <c r="I3685">
        <f t="shared" si="520"/>
        <v>596926.59734128031</v>
      </c>
      <c r="J3685">
        <f t="shared" si="521"/>
        <v>4104.5666100210192</v>
      </c>
      <c r="K3685">
        <f t="shared" si="522"/>
        <v>145.4298721535971</v>
      </c>
      <c r="L3685" s="4">
        <f>MIN(MAX(L3684*(1+MAX(MIN(((B3685-B3684)/B3684)/($K$7*卓尔金历!$N$40),0),-卓尔金历!$M$43))+MIN(MAX(((B3685-B3684)/B3684)/($K$7*卓尔金历!$N$40),0),卓尔金历!$M$43),0),1)</f>
        <v>0.46416266212218604</v>
      </c>
      <c r="M3685" s="4">
        <f>MIN(MAX(M3684*(1+MAX(MIN(((B3685-B3684)/B3684)/($K$7*30),0),-卓尔金历!$M$43))+MIN(MAX(((B3685-B3684)/B3684)/($K$7*7),0),卓尔金历!$M$43),0),1)</f>
        <v>0.94297604571199789</v>
      </c>
      <c r="N3685">
        <f t="shared" si="523"/>
        <v>197130.060059371</v>
      </c>
      <c r="O3685">
        <f t="shared" si="524"/>
        <v>569820.6714627234</v>
      </c>
      <c r="P3685">
        <f t="shared" si="525"/>
        <v>-7.4643371442744376E-3</v>
      </c>
      <c r="Q3685">
        <f t="shared" si="516"/>
        <v>2.2144038594517312E-2</v>
      </c>
      <c r="R3685">
        <f t="shared" si="517"/>
        <v>1</v>
      </c>
      <c r="S3685">
        <f t="shared" si="519"/>
        <v>1274.783408538744</v>
      </c>
      <c r="T3685" s="564">
        <f>IF((I3685-MAX(I$470:I3685))/MAX(I$470:I3685)&gt;T3684,T3684,(I3685-MAX(I$470:I3685))/MAX(I$470:I3685))</f>
        <v>-0.91338805338419748</v>
      </c>
      <c r="U3685" s="564">
        <f>IF((J3685-MAX(J$470:J3685))/MAX(J$470:J3685)&gt;U3684,U3684,(J3685-MAX(J$470:J3685))/MAX(J$470:J3685))</f>
        <v>-0.83569785939843477</v>
      </c>
      <c r="V3685" s="564">
        <f>IF((K3685-MAX(K$470:K3685))/MAX(K$470:K3685)&gt;V3684,V3684,(K3685-MAX(K$470:K3685))/MAX(K$470:K3685))</f>
        <v>-0.84885940676762139</v>
      </c>
      <c r="W3685" s="564">
        <f>IF((N3685-MAX(N$470:N3685))/MAX(N$470:N3685)&gt;W3684,W3684,(N3685-MAX(N$470:N3685))/MAX(N$470:N3685))</f>
        <v>-0.62788758315546067</v>
      </c>
      <c r="X3685" s="564">
        <f>IF((O3685-MAX(O$470:O3685))/MAX(O$470:O3685)&gt;X3684,X3684,(O3685-MAX(O$470:O3685))/MAX(O$470:O3685))</f>
        <v>-0.62788758315546067</v>
      </c>
    </row>
    <row r="3686" spans="1:24">
      <c r="A3686" s="799">
        <v>44088</v>
      </c>
      <c r="B3686">
        <v>10681.8408231169</v>
      </c>
      <c r="C3686">
        <v>58780.690903000002</v>
      </c>
      <c r="D3686">
        <v>1.717357</v>
      </c>
      <c r="E3686">
        <f>LN(D3686/参数实验室!$E$53)/参数实验室!$E$55</f>
        <v>-5.4973688556744463E-2</v>
      </c>
      <c r="F3686">
        <f t="shared" si="518"/>
        <v>5.5028615269936347</v>
      </c>
      <c r="G3686">
        <f>LN(F3686/参数实验室!$E$58)/参数实验室!$E$59</f>
        <v>0.7044869028025309</v>
      </c>
      <c r="H3686" s="856">
        <f>INDEX(神经网络!$G$10:$BO$70,MATCH(ROUND(G3686*2,1)/2,神经网络!$E$10:$E$70,0),MATCH(ROUND(E3686*2,1)/2,神经网络!$G$8:$BO$8,0))</f>
        <v>1.4430528219730732</v>
      </c>
      <c r="I3686">
        <f t="shared" si="520"/>
        <v>628505.86863606551</v>
      </c>
      <c r="J3686">
        <f t="shared" si="521"/>
        <v>4262.3362288483595</v>
      </c>
      <c r="K3686">
        <f t="shared" si="522"/>
        <v>147.45572261104363</v>
      </c>
      <c r="L3686" s="4">
        <f>MIN(MAX(L3685*(1+MAX(MIN(((B3686-B3685)/B3685)/($K$7*卓尔金历!$N$40),0),-卓尔金历!$M$43))+MIN(MAX(((B3686-B3685)/B3685)/($K$7*卓尔金历!$N$40),0),卓尔金历!$M$43),0),1)</f>
        <v>1</v>
      </c>
      <c r="M3686" s="4">
        <f>MIN(MAX(M3685*(1+MAX(MIN(((B3686-B3685)/B3685)/($K$7*30),0),-卓尔金历!$M$43))+MIN(MAX(((B3686-B3685)/B3685)/($K$7*7),0),卓尔金历!$M$43),0),1)</f>
        <v>1</v>
      </c>
      <c r="N3686">
        <f t="shared" si="523"/>
        <v>201970.71616877295</v>
      </c>
      <c r="O3686">
        <f t="shared" si="524"/>
        <v>598246.9518017699</v>
      </c>
      <c r="P3686">
        <f t="shared" si="525"/>
        <v>3.8437582774794546E-2</v>
      </c>
      <c r="Q3686">
        <f t="shared" si="516"/>
        <v>2.3900553826989305E-2</v>
      </c>
      <c r="R3686">
        <f t="shared" si="517"/>
        <v>1.1622651461607002E-2</v>
      </c>
      <c r="S3686">
        <f t="shared" si="519"/>
        <v>1342.223410843282</v>
      </c>
      <c r="T3686" s="564">
        <f>IF((I3686-MAX(I$470:I3686))/MAX(I$470:I3686)&gt;T3685,T3685,(I3686-MAX(I$470:I3686))/MAX(I$470:I3686))</f>
        <v>-0.91338805338419748</v>
      </c>
      <c r="U3686" s="564">
        <f>IF((J3686-MAX(J$470:J3686))/MAX(J$470:J3686)&gt;U3685,U3685,(J3686-MAX(J$470:J3686))/MAX(J$470:J3686))</f>
        <v>-0.83569785939843477</v>
      </c>
      <c r="V3686" s="564">
        <f>IF((K3686-MAX(K$470:K3686))/MAX(K$470:K3686)&gt;V3685,V3685,(K3686-MAX(K$470:K3686))/MAX(K$470:K3686))</f>
        <v>-0.84885940676762139</v>
      </c>
      <c r="W3686" s="564">
        <f>IF((N3686-MAX(N$470:N3686))/MAX(N$470:N3686)&gt;W3685,W3685,(N3686-MAX(N$470:N3686))/MAX(N$470:N3686))</f>
        <v>-0.62788758315546067</v>
      </c>
      <c r="X3686" s="564">
        <f>IF((O3686-MAX(O$470:O3686))/MAX(O$470:O3686)&gt;X3685,X3685,(O3686-MAX(O$470:O3686))/MAX(O$470:O3686))</f>
        <v>-0.62788758315546067</v>
      </c>
    </row>
    <row r="3687" spans="1:24">
      <c r="A3687" s="799">
        <v>44089</v>
      </c>
      <c r="B3687">
        <v>10791.264326614901</v>
      </c>
      <c r="C3687">
        <v>58631.162324999998</v>
      </c>
      <c r="D3687">
        <v>1.7348269999999999</v>
      </c>
      <c r="E3687">
        <f>LN(D3687/参数实验室!$E$53)/参数实验室!$E$55</f>
        <v>-4.3033151717832389E-2</v>
      </c>
      <c r="F3687">
        <f t="shared" si="518"/>
        <v>5.4332060220595055</v>
      </c>
      <c r="G3687">
        <f>LN(F3687/参数实验室!$E$58)/参数实验室!$E$59</f>
        <v>0.69780086733026769</v>
      </c>
      <c r="H3687" s="856">
        <f>INDEX(神经网络!$G$10:$BO$70,MATCH(ROUND(G3687*2,1)/2,神经网络!$E$10:$E$70,0),MATCH(ROUND(E3687*2,1)/2,神经网络!$G$8:$BO$8,0))</f>
        <v>1.4430528219730732</v>
      </c>
      <c r="I3687">
        <f t="shared" si="520"/>
        <v>637796.7321355124</v>
      </c>
      <c r="J3687">
        <f t="shared" si="521"/>
        <v>4305.9990928593734</v>
      </c>
      <c r="K3687">
        <f t="shared" si="522"/>
        <v>148.11817614944903</v>
      </c>
      <c r="L3687" s="4">
        <f>MIN(MAX(L3686*(1+MAX(MIN(((B3687-B3686)/B3686)/($K$7*卓尔金历!$N$40),0),-卓尔金历!$M$43))+MIN(MAX(((B3687-B3686)/B3686)/($K$7*卓尔金历!$N$40),0),卓尔金历!$M$43),0),1)</f>
        <v>1</v>
      </c>
      <c r="M3687" s="4">
        <f>MIN(MAX(M3686*(1+MAX(MIN(((B3687-B3686)/B3686)/($K$7*30),0),-卓尔金历!$M$43))+MIN(MAX(((B3687-B3686)/B3686)/($K$7*7),0),卓尔金历!$M$43),0),1)</f>
        <v>1</v>
      </c>
      <c r="N3687">
        <f t="shared" si="523"/>
        <v>204956.34040627102</v>
      </c>
      <c r="O3687">
        <f t="shared" si="524"/>
        <v>607090.51404282346</v>
      </c>
      <c r="P3687">
        <f t="shared" si="525"/>
        <v>1.0243880742090289E-2</v>
      </c>
      <c r="Q3687">
        <f t="shared" si="516"/>
        <v>2.3403553575426637E-2</v>
      </c>
      <c r="R3687">
        <f t="shared" si="517"/>
        <v>0.86985471347879806</v>
      </c>
      <c r="S3687">
        <f t="shared" si="519"/>
        <v>1342.4540201160041</v>
      </c>
      <c r="T3687" s="564">
        <f>IF((I3687-MAX(I$470:I3687))/MAX(I$470:I3687)&gt;T3686,T3686,(I3687-MAX(I$470:I3687))/MAX(I$470:I3687))</f>
        <v>-0.91338805338419748</v>
      </c>
      <c r="U3687" s="564">
        <f>IF((J3687-MAX(J$470:J3687))/MAX(J$470:J3687)&gt;U3686,U3686,(J3687-MAX(J$470:J3687))/MAX(J$470:J3687))</f>
        <v>-0.83569785939843477</v>
      </c>
      <c r="V3687" s="564">
        <f>IF((K3687-MAX(K$470:K3687))/MAX(K$470:K3687)&gt;V3686,V3686,(K3687-MAX(K$470:K3687))/MAX(K$470:K3687))</f>
        <v>-0.84885940676762139</v>
      </c>
      <c r="W3687" s="564">
        <f>IF((N3687-MAX(N$470:N3687))/MAX(N$470:N3687)&gt;W3686,W3686,(N3687-MAX(N$470:N3687))/MAX(N$470:N3687))</f>
        <v>-0.62788758315546067</v>
      </c>
      <c r="X3687" s="564">
        <f>IF((O3687-MAX(O$470:O3687))/MAX(O$470:O3687)&gt;X3686,X3686,(O3687-MAX(O$470:O3687))/MAX(O$470:O3687))</f>
        <v>-0.62788758315546067</v>
      </c>
    </row>
    <row r="3688" spans="1:24">
      <c r="A3688" s="799">
        <v>44090</v>
      </c>
      <c r="B3688">
        <v>10997.146280393399</v>
      </c>
      <c r="C3688">
        <v>57463.675091999998</v>
      </c>
      <c r="D3688">
        <v>1.762923</v>
      </c>
      <c r="E3688">
        <f>LN(D3688/参数实验室!$E$53)/参数实验室!$E$55</f>
        <v>-2.4079790233592129E-2</v>
      </c>
      <c r="F3688">
        <f t="shared" si="518"/>
        <v>5.2253260643127826</v>
      </c>
      <c r="G3688">
        <f>LN(F3688/参数实验室!$E$58)/参数实验室!$E$59</f>
        <v>0.67732516336390025</v>
      </c>
      <c r="H3688" s="856">
        <f>INDEX(神经网络!$G$10:$BO$70,MATCH(ROUND(G3688*2,1)/2,神经网络!$E$10:$E$70,0),MATCH(ROUND(E3688*2,1)/2,神经网络!$G$8:$BO$8,0))</f>
        <v>1.5361373860901346</v>
      </c>
      <c r="I3688">
        <f t="shared" si="520"/>
        <v>655356.16434133949</v>
      </c>
      <c r="J3688">
        <f t="shared" si="521"/>
        <v>4388.1514226859954</v>
      </c>
      <c r="K3688">
        <f t="shared" si="522"/>
        <v>149.3467524737774</v>
      </c>
      <c r="L3688" s="4">
        <f>MIN(MAX(L3687*(1+MAX(MIN(((B3688-B3687)/B3687)/($K$7*卓尔金历!$N$40),0),-卓尔金历!$M$43))+MIN(MAX(((B3688-B3687)/B3687)/($K$7*卓尔金历!$N$40),0),卓尔金历!$M$43),0),1)</f>
        <v>1</v>
      </c>
      <c r="M3688" s="4">
        <f>MIN(MAX(M3687*(1+MAX(MIN(((B3688-B3687)/B3687)/($K$7*30),0),-卓尔金历!$M$43))+MIN(MAX(((B3688-B3687)/B3687)/($K$7*7),0),卓尔金历!$M$43),0),1)</f>
        <v>1</v>
      </c>
      <c r="N3688">
        <f t="shared" si="523"/>
        <v>210599.07387163109</v>
      </c>
      <c r="O3688">
        <f t="shared" si="524"/>
        <v>623804.56130431162</v>
      </c>
      <c r="P3688">
        <f t="shared" si="525"/>
        <v>1.9078575739334271E-2</v>
      </c>
      <c r="Q3688">
        <f t="shared" si="516"/>
        <v>2.3804845696714511E-2</v>
      </c>
      <c r="R3688">
        <f t="shared" si="517"/>
        <v>0.24990644584576047</v>
      </c>
      <c r="S3688">
        <f t="shared" si="519"/>
        <v>1374.6035272807494</v>
      </c>
      <c r="T3688" s="564">
        <f>IF((I3688-MAX(I$470:I3688))/MAX(I$470:I3688)&gt;T3687,T3687,(I3688-MAX(I$470:I3688))/MAX(I$470:I3688))</f>
        <v>-0.91338805338419748</v>
      </c>
      <c r="U3688" s="564">
        <f>IF((J3688-MAX(J$470:J3688))/MAX(J$470:J3688)&gt;U3687,U3687,(J3688-MAX(J$470:J3688))/MAX(J$470:J3688))</f>
        <v>-0.83569785939843477</v>
      </c>
      <c r="V3688" s="564">
        <f>IF((K3688-MAX(K$470:K3688))/MAX(K$470:K3688)&gt;V3687,V3687,(K3688-MAX(K$470:K3688))/MAX(K$470:K3688))</f>
        <v>-0.84885940676762139</v>
      </c>
      <c r="W3688" s="564">
        <f>IF((N3688-MAX(N$470:N3688))/MAX(N$470:N3688)&gt;W3687,W3687,(N3688-MAX(N$470:N3688))/MAX(N$470:N3688))</f>
        <v>-0.62788758315546067</v>
      </c>
      <c r="X3688" s="564">
        <f>IF((O3688-MAX(O$470:O3688))/MAX(O$470:O3688)&gt;X3687,X3687,(O3688-MAX(O$470:O3688))/MAX(O$470:O3688))</f>
        <v>-0.62788758315546067</v>
      </c>
    </row>
    <row r="3689" spans="1:24">
      <c r="A3689" s="799">
        <v>44091</v>
      </c>
      <c r="B3689">
        <v>10844.6474082939</v>
      </c>
      <c r="C3689">
        <v>56028.008029999997</v>
      </c>
      <c r="D3689">
        <v>1.756677</v>
      </c>
      <c r="E3689">
        <f>LN(D3689/参数实验室!$E$53)/参数实验室!$E$55</f>
        <v>-2.8267053841604592E-2</v>
      </c>
      <c r="F3689">
        <f t="shared" si="518"/>
        <v>5.1664204395571423</v>
      </c>
      <c r="G3689">
        <f>LN(F3689/参数实验室!$E$58)/参数实验室!$E$59</f>
        <v>0.67137482836539986</v>
      </c>
      <c r="H3689" s="856">
        <f>INDEX(神经网络!$G$10:$BO$70,MATCH(ROUND(G3689*2,1)/2,神经网络!$E$10:$E$70,0),MATCH(ROUND(E3689*2,1)/2,神经网络!$G$8:$BO$8,0))</f>
        <v>1.4109598470419786</v>
      </c>
      <c r="I3689">
        <f t="shared" si="520"/>
        <v>641395.88599644625</v>
      </c>
      <c r="J3689">
        <f t="shared" si="521"/>
        <v>4327.3003504624212</v>
      </c>
      <c r="K3689">
        <f t="shared" si="522"/>
        <v>148.22079219158101</v>
      </c>
      <c r="L3689" s="4">
        <f>MIN(MAX(L3688*(1+MAX(MIN(((B3689-B3688)/B3688)/($K$7*卓尔金历!$N$40),0),-卓尔金历!$M$43))+MIN(MAX(((B3689-B3688)/B3688)/($K$7*卓尔金历!$N$40),0),卓尔金历!$M$43),0),1)</f>
        <v>0.78812354004833796</v>
      </c>
      <c r="M3689" s="4">
        <f>MIN(MAX(M3688*(1+MAX(MIN(((B3689-B3688)/B3688)/($K$7*30),0),-卓尔金历!$M$43))+MIN(MAX(((B3689-B3688)/B3688)/($K$7*7),0),卓尔金历!$M$43),0),1)</f>
        <v>0.89406177002416898</v>
      </c>
      <c r="N3689">
        <f t="shared" si="523"/>
        <v>206112.93053401625</v>
      </c>
      <c r="O3689">
        <f t="shared" si="524"/>
        <v>610516.38949414087</v>
      </c>
      <c r="P3689">
        <f t="shared" si="525"/>
        <v>-1.3867131364014513E-2</v>
      </c>
      <c r="Q3689">
        <f t="shared" si="516"/>
        <v>2.3823339131121609E-2</v>
      </c>
      <c r="R3689">
        <f t="shared" si="517"/>
        <v>0.57783104941855534</v>
      </c>
      <c r="S3689">
        <f t="shared" si="519"/>
        <v>1367.2858778335794</v>
      </c>
      <c r="T3689" s="564">
        <f>IF((I3689-MAX(I$470:I3689))/MAX(I$470:I3689)&gt;T3688,T3688,(I3689-MAX(I$470:I3689))/MAX(I$470:I3689))</f>
        <v>-0.91338805338419748</v>
      </c>
      <c r="U3689" s="564">
        <f>IF((J3689-MAX(J$470:J3689))/MAX(J$470:J3689)&gt;U3688,U3688,(J3689-MAX(J$470:J3689))/MAX(J$470:J3689))</f>
        <v>-0.83569785939843477</v>
      </c>
      <c r="V3689" s="564">
        <f>IF((K3689-MAX(K$470:K3689))/MAX(K$470:K3689)&gt;V3688,V3688,(K3689-MAX(K$470:K3689))/MAX(K$470:K3689))</f>
        <v>-0.84885940676762139</v>
      </c>
      <c r="W3689" s="564">
        <f>IF((N3689-MAX(N$470:N3689))/MAX(N$470:N3689)&gt;W3688,W3688,(N3689-MAX(N$470:N3689))/MAX(N$470:N3689))</f>
        <v>-0.62788758315546067</v>
      </c>
      <c r="X3689" s="564">
        <f>IF((O3689-MAX(O$470:O3689))/MAX(O$470:O3689)&gt;X3688,X3688,(O3689-MAX(O$470:O3689))/MAX(O$470:O3689))</f>
        <v>-0.62788758315546067</v>
      </c>
    </row>
    <row r="3690" spans="1:24">
      <c r="A3690" s="799">
        <v>44092</v>
      </c>
      <c r="B3690">
        <v>10909.4934592953</v>
      </c>
      <c r="C3690">
        <v>55039.245935999999</v>
      </c>
      <c r="D3690">
        <v>1.7526949999999999</v>
      </c>
      <c r="E3690">
        <f>LN(D3690/参数实验室!$E$53)/参数实验室!$E$55</f>
        <v>-3.0944330250952033E-2</v>
      </c>
      <c r="F3690">
        <f t="shared" si="518"/>
        <v>5.0450780452234918</v>
      </c>
      <c r="G3690">
        <f>LN(F3690/参数实验室!$E$58)/参数实验室!$E$59</f>
        <v>0.65890064659310188</v>
      </c>
      <c r="H3690" s="856">
        <f>INDEX(神经网络!$G$10:$BO$70,MATCH(ROUND(G3690*2,1)/2,神经网络!$E$10:$E$70,0),MATCH(ROUND(E3690*2,1)/2,神经网络!$G$8:$BO$8,0))</f>
        <v>1.4109598470419786</v>
      </c>
      <c r="I3690">
        <f t="shared" si="520"/>
        <v>646807.2770829784</v>
      </c>
      <c r="J3690">
        <f t="shared" si="521"/>
        <v>4353.175635168298</v>
      </c>
      <c r="K3690">
        <f t="shared" si="522"/>
        <v>148.5828579617997</v>
      </c>
      <c r="L3690" s="4">
        <f>MIN(MAX(L3689*(1+MAX(MIN(((B3690-B3689)/B3689)/($K$7*卓尔金历!$N$40),0),-卓尔金历!$M$43))+MIN(MAX(((B3690-B3689)/B3689)/($K$7*卓尔金历!$N$40),0),卓尔金历!$M$43),0),1)</f>
        <v>0.87948524079331958</v>
      </c>
      <c r="M3690" s="4">
        <f>MIN(MAX(M3689*(1+MAX(MIN(((B3690-B3689)/B3689)/($K$7*30),0),-卓尔金历!$M$43))+MIN(MAX(((B3690-B3689)/B3689)/($K$7*7),0),卓尔金历!$M$43),0),1)</f>
        <v>1</v>
      </c>
      <c r="N3690">
        <f t="shared" si="523"/>
        <v>207483.44078910272</v>
      </c>
      <c r="O3690">
        <f t="shared" si="524"/>
        <v>615121.58003642911</v>
      </c>
      <c r="P3690">
        <f t="shared" si="525"/>
        <v>5.9795444296146961E-3</v>
      </c>
      <c r="Q3690">
        <f t="shared" si="516"/>
        <v>2.3504256854474936E-2</v>
      </c>
      <c r="R3690">
        <f t="shared" si="517"/>
        <v>1</v>
      </c>
      <c r="S3690">
        <f t="shared" si="519"/>
        <v>1373.9515347227273</v>
      </c>
      <c r="T3690" s="564">
        <f>IF((I3690-MAX(I$470:I3690))/MAX(I$470:I3690)&gt;T3689,T3689,(I3690-MAX(I$470:I3690))/MAX(I$470:I3690))</f>
        <v>-0.91338805338419748</v>
      </c>
      <c r="U3690" s="564">
        <f>IF((J3690-MAX(J$470:J3690))/MAX(J$470:J3690)&gt;U3689,U3689,(J3690-MAX(J$470:J3690))/MAX(J$470:J3690))</f>
        <v>-0.83569785939843477</v>
      </c>
      <c r="V3690" s="564">
        <f>IF((K3690-MAX(K$470:K3690))/MAX(K$470:K3690)&gt;V3689,V3689,(K3690-MAX(K$470:K3690))/MAX(K$470:K3690))</f>
        <v>-0.84885940676762139</v>
      </c>
      <c r="W3690" s="564">
        <f>IF((N3690-MAX(N$470:N3690))/MAX(N$470:N3690)&gt;W3689,W3689,(N3690-MAX(N$470:N3690))/MAX(N$470:N3690))</f>
        <v>-0.62788758315546067</v>
      </c>
      <c r="X3690" s="564">
        <f>IF((O3690-MAX(O$470:O3690))/MAX(O$470:O3690)&gt;X3689,X3689,(O3690-MAX(O$470:O3690))/MAX(O$470:O3690))</f>
        <v>-0.62788758315546067</v>
      </c>
    </row>
    <row r="3691" spans="1:24">
      <c r="A3691" s="799">
        <v>44093</v>
      </c>
      <c r="B3691">
        <v>11096.1729175255</v>
      </c>
      <c r="C3691">
        <v>54938.524282999999</v>
      </c>
      <c r="D3691">
        <v>1.7757369999999999</v>
      </c>
      <c r="E3691">
        <f>LN(D3691/参数实验室!$E$53)/参数实验室!$E$55</f>
        <v>-1.5535638410480829E-2</v>
      </c>
      <c r="F3691">
        <f t="shared" si="518"/>
        <v>4.9511236614048322</v>
      </c>
      <c r="G3691">
        <f>LN(F3691/参数实验室!$E$58)/参数实验室!$E$59</f>
        <v>0.64903414092564171</v>
      </c>
      <c r="H3691" s="856">
        <f>INDEX(神经网络!$G$10:$BO$70,MATCH(ROUND(G3691*2,1)/2,神经网络!$E$10:$E$70,0),MATCH(ROUND(E3691*2,1)/2,神经网络!$G$8:$BO$8,0))</f>
        <v>1.5040832557170782</v>
      </c>
      <c r="I3691">
        <f t="shared" si="520"/>
        <v>662423.69769731455</v>
      </c>
      <c r="J3691">
        <f t="shared" si="521"/>
        <v>4427.6656627929742</v>
      </c>
      <c r="K3691">
        <f t="shared" si="522"/>
        <v>149.61014406843387</v>
      </c>
      <c r="L3691" s="4">
        <f>MIN(MAX(L3690*(1+MAX(MIN(((B3691-B3690)/B3690)/($K$7*卓尔金历!$N$40),0),-卓尔金历!$M$43))+MIN(MAX(((B3691-B3690)/B3690)/($K$7*卓尔金历!$N$40),0),卓尔金历!$M$43),0),1)</f>
        <v>1</v>
      </c>
      <c r="M3691" s="4">
        <f>MIN(MAX(M3690*(1+MAX(MIN(((B3691-B3690)/B3690)/($K$7*30),0),-卓尔金历!$M$43))+MIN(MAX(((B3691-B3690)/B3690)/($K$7*7),0),卓尔金历!$M$43),0),1)</f>
        <v>1</v>
      </c>
      <c r="N3691">
        <f t="shared" si="523"/>
        <v>211889.17808466047</v>
      </c>
      <c r="O3691">
        <f t="shared" si="524"/>
        <v>629972.98580002191</v>
      </c>
      <c r="P3691">
        <f t="shared" si="525"/>
        <v>1.7111652243683502E-2</v>
      </c>
      <c r="Q3691">
        <f t="shared" si="516"/>
        <v>2.3865249541311723E-2</v>
      </c>
      <c r="R3691">
        <f t="shared" si="517"/>
        <v>0.36398702882522094</v>
      </c>
      <c r="S3691">
        <f t="shared" si="519"/>
        <v>1407.1240202994322</v>
      </c>
      <c r="T3691" s="564">
        <f>IF((I3691-MAX(I$470:I3691))/MAX(I$470:I3691)&gt;T3690,T3690,(I3691-MAX(I$470:I3691))/MAX(I$470:I3691))</f>
        <v>-0.91338805338419748</v>
      </c>
      <c r="U3691" s="564">
        <f>IF((J3691-MAX(J$470:J3691))/MAX(J$470:J3691)&gt;U3690,U3690,(J3691-MAX(J$470:J3691))/MAX(J$470:J3691))</f>
        <v>-0.83569785939843477</v>
      </c>
      <c r="V3691" s="564">
        <f>IF((K3691-MAX(K$470:K3691))/MAX(K$470:K3691)&gt;V3690,V3690,(K3691-MAX(K$470:K3691))/MAX(K$470:K3691))</f>
        <v>-0.84885940676762139</v>
      </c>
      <c r="W3691" s="564">
        <f>IF((N3691-MAX(N$470:N3691))/MAX(N$470:N3691)&gt;W3690,W3690,(N3691-MAX(N$470:N3691))/MAX(N$470:N3691))</f>
        <v>-0.62788758315546067</v>
      </c>
      <c r="X3691" s="564">
        <f>IF((O3691-MAX(O$470:O3691))/MAX(O$470:O3691)&gt;X3690,X3690,(O3691-MAX(O$470:O3691))/MAX(O$470:O3691))</f>
        <v>-0.62788758315546067</v>
      </c>
    </row>
    <row r="3692" spans="1:24">
      <c r="A3692" s="799">
        <v>44094</v>
      </c>
      <c r="B3692">
        <v>10846.248746290399</v>
      </c>
      <c r="C3692">
        <v>55423.619244000001</v>
      </c>
      <c r="D3692">
        <v>1.7506600000000001</v>
      </c>
      <c r="E3692">
        <f>LN(D3692/参数实验室!$E$53)/参数实验室!$E$55</f>
        <v>-3.2314901101752322E-2</v>
      </c>
      <c r="F3692">
        <f t="shared" si="518"/>
        <v>5.1099343690560133</v>
      </c>
      <c r="G3692">
        <f>LN(F3692/参数实验室!$E$58)/参数实验室!$E$59</f>
        <v>0.66560483664760028</v>
      </c>
      <c r="H3692" s="856">
        <f>INDEX(神经网络!$G$10:$BO$70,MATCH(ROUND(G3692*2,1)/2,神经网络!$E$10:$E$70,0),MATCH(ROUND(E3692*2,1)/2,神经网络!$G$8:$BO$8,0))</f>
        <v>1.4109598470419786</v>
      </c>
      <c r="I3692">
        <f t="shared" si="520"/>
        <v>639982.66793293925</v>
      </c>
      <c r="J3692">
        <f t="shared" si="521"/>
        <v>4327.9393265593444</v>
      </c>
      <c r="K3692">
        <f t="shared" si="522"/>
        <v>147.87237519841045</v>
      </c>
      <c r="L3692" s="4">
        <f>MIN(MAX(L3691*(1+MAX(MIN(((B3692-B3691)/B3691)/($K$7*卓尔金历!$N$40),0),-卓尔金历!$M$43))+MIN(MAX(((B3692-B3691)/B3691)/($K$7*卓尔金历!$N$40),0),卓尔金历!$M$43),0),1)</f>
        <v>0.65586319440322149</v>
      </c>
      <c r="M3692" s="4">
        <f>MIN(MAX(M3691*(1+MAX(MIN(((B3692-B3691)/B3691)/($K$7*30),0),-卓尔金历!$M$43))+MIN(MAX(((B3692-B3691)/B3691)/($K$7*7),0),卓尔金历!$M$43),0),1)</f>
        <v>0.8279315972016108</v>
      </c>
      <c r="N3692">
        <f t="shared" si="523"/>
        <v>204710.97572161697</v>
      </c>
      <c r="O3692">
        <f t="shared" si="524"/>
        <v>608631.29380706651</v>
      </c>
      <c r="P3692">
        <f t="shared" si="525"/>
        <v>-2.2523456789355405E-2</v>
      </c>
      <c r="Q3692">
        <f t="shared" ref="Q3692:Q3755" si="526">STDEVP(P3672:P3692)</f>
        <v>2.4170540393620651E-2</v>
      </c>
      <c r="R3692">
        <f t="shared" ref="R3692:R3755" si="527">MIN(Q3691*MAX(1-LN(MAX(ABS(P3692),0.0001)/Q3692),0)+MAX(-LN(MAX(ABS(P3692),0.0001)/Q3692),0),1)</f>
        <v>9.6126855885535961E-2</v>
      </c>
      <c r="S3692">
        <f t="shared" si="519"/>
        <v>1389.7729925191429</v>
      </c>
      <c r="T3692" s="564">
        <f>IF((I3692-MAX(I$470:I3692))/MAX(I$470:I3692)&gt;T3691,T3691,(I3692-MAX(I$470:I3692))/MAX(I$470:I3692))</f>
        <v>-0.91338805338419748</v>
      </c>
      <c r="U3692" s="564">
        <f>IF((J3692-MAX(J$470:J3692))/MAX(J$470:J3692)&gt;U3691,U3691,(J3692-MAX(J$470:J3692))/MAX(J$470:J3692))</f>
        <v>-0.83569785939843477</v>
      </c>
      <c r="V3692" s="564">
        <f>IF((K3692-MAX(K$470:K3692))/MAX(K$470:K3692)&gt;V3691,V3691,(K3692-MAX(K$470:K3692))/MAX(K$470:K3692))</f>
        <v>-0.84885940676762139</v>
      </c>
      <c r="W3692" s="564">
        <f>IF((N3692-MAX(N$470:N3692))/MAX(N$470:N3692)&gt;W3691,W3691,(N3692-MAX(N$470:N3692))/MAX(N$470:N3692))</f>
        <v>-0.62788758315546067</v>
      </c>
      <c r="X3692" s="564">
        <f>IF((O3692-MAX(O$470:O3692))/MAX(O$470:O3692)&gt;X3691,X3691,(O3692-MAX(O$470:O3692))/MAX(O$470:O3692))</f>
        <v>-0.62788758315546067</v>
      </c>
    </row>
    <row r="3693" spans="1:24">
      <c r="A3693" s="799">
        <v>44095</v>
      </c>
      <c r="B3693">
        <v>10424.782962904799</v>
      </c>
      <c r="C3693">
        <v>55101.550509000001</v>
      </c>
      <c r="D3693">
        <v>1.6769080000000001</v>
      </c>
      <c r="E3693">
        <f>LN(D3693/参数实验室!$E$53)/参数实验室!$E$55</f>
        <v>-8.3092941521892186E-2</v>
      </c>
      <c r="F3693">
        <f t="shared" si="518"/>
        <v>5.2856304735620423</v>
      </c>
      <c r="G3693">
        <f>LN(F3693/参数实验室!$E$58)/参数实验室!$E$59</f>
        <v>0.68334770949148105</v>
      </c>
      <c r="H3693" s="856">
        <f>INDEX(神经网络!$G$10:$BO$70,MATCH(ROUND(G3693*2,1)/2,神经网络!$E$10:$E$70,0),MATCH(ROUND(E3693*2,1)/2,神经网络!$G$8:$BO$8,0))</f>
        <v>1.3490577669405461</v>
      </c>
      <c r="I3693">
        <f t="shared" si="520"/>
        <v>604894.10116065014</v>
      </c>
      <c r="J3693">
        <f t="shared" si="521"/>
        <v>4159.7633625572698</v>
      </c>
      <c r="K3693">
        <f t="shared" si="522"/>
        <v>145.41550767175934</v>
      </c>
      <c r="L3693" s="4">
        <f>MIN(MAX(L3692*(1+MAX(MIN(((B3693-B3692)/B3692)/($K$7*卓尔金历!$N$40),0),-卓尔金历!$M$43))+MIN(MAX(((B3693-B3692)/B3692)/($K$7*卓尔金历!$N$40),0),卓尔金历!$M$43),0),1)</f>
        <v>0.26646664352412014</v>
      </c>
      <c r="M3693" s="4">
        <f>MIN(MAX(M3692*(1+MAX(MIN(((B3693-B3692)/B3692)/($K$7*30),0),-卓尔金历!$M$43))+MIN(MAX(((B3693-B3692)/B3692)/($K$7*7),0),卓尔金历!$M$43),0),1)</f>
        <v>0.58215342954007354</v>
      </c>
      <c r="N3693">
        <f t="shared" si="523"/>
        <v>197349.72169195683</v>
      </c>
      <c r="O3693">
        <f t="shared" si="524"/>
        <v>581003.50339344167</v>
      </c>
      <c r="P3693">
        <f t="shared" si="525"/>
        <v>-3.8858207408321549E-2</v>
      </c>
      <c r="Q3693">
        <f t="shared" si="526"/>
        <v>2.5062129959041772E-2</v>
      </c>
      <c r="R3693">
        <f t="shared" si="527"/>
        <v>1.3570275008289502E-2</v>
      </c>
      <c r="S3693">
        <f t="shared" si="519"/>
        <v>1382.4483569390627</v>
      </c>
      <c r="T3693" s="564">
        <f>IF((I3693-MAX(I$470:I3693))/MAX(I$470:I3693)&gt;T3692,T3692,(I3693-MAX(I$470:I3693))/MAX(I$470:I3693))</f>
        <v>-0.91338805338419748</v>
      </c>
      <c r="U3693" s="564">
        <f>IF((J3693-MAX(J$470:J3693))/MAX(J$470:J3693)&gt;U3692,U3692,(J3693-MAX(J$470:J3693))/MAX(J$470:J3693))</f>
        <v>-0.83569785939843477</v>
      </c>
      <c r="V3693" s="564">
        <f>IF((K3693-MAX(K$470:K3693))/MAX(K$470:K3693)&gt;V3692,V3692,(K3693-MAX(K$470:K3693))/MAX(K$470:K3693))</f>
        <v>-0.84885940676762139</v>
      </c>
      <c r="W3693" s="564">
        <f>IF((N3693-MAX(N$470:N3693))/MAX(N$470:N3693)&gt;W3692,W3692,(N3693-MAX(N$470:N3693))/MAX(N$470:N3693))</f>
        <v>-0.62788758315546067</v>
      </c>
      <c r="X3693" s="564">
        <f>IF((O3693-MAX(O$470:O3693))/MAX(O$470:O3693)&gt;X3692,X3692,(O3693-MAX(O$470:O3693))/MAX(O$470:O3693))</f>
        <v>-0.62788758315546067</v>
      </c>
    </row>
    <row r="3694" spans="1:24">
      <c r="A3694" s="799">
        <v>44096</v>
      </c>
      <c r="B3694">
        <v>10456.9561555948</v>
      </c>
      <c r="C3694">
        <v>56259.377762999997</v>
      </c>
      <c r="D3694">
        <v>1.6856869999999999</v>
      </c>
      <c r="E3694">
        <f>LN(D3694/参数实验室!$E$53)/参数实验室!$E$55</f>
        <v>-7.6932772211718597E-2</v>
      </c>
      <c r="F3694">
        <f t="shared" si="518"/>
        <v>5.3800911972744059</v>
      </c>
      <c r="G3694">
        <f>LN(F3694/参数实验室!$E$58)/参数实验室!$E$59</f>
        <v>0.69264466859081764</v>
      </c>
      <c r="H3694" s="856">
        <f>INDEX(神经网络!$G$10:$BO$70,MATCH(ROUND(G3694*2,1)/2,神经网络!$E$10:$E$70,0),MATCH(ROUND(E3694*2,1)/2,神经网络!$G$8:$BO$8,0))</f>
        <v>1.3490577669405461</v>
      </c>
      <c r="I3694">
        <f t="shared" si="520"/>
        <v>607412.57262259698</v>
      </c>
      <c r="J3694">
        <f t="shared" si="521"/>
        <v>4172.6013150292383</v>
      </c>
      <c r="K3694">
        <f t="shared" si="522"/>
        <v>145.57167741733809</v>
      </c>
      <c r="L3694" s="4">
        <f>MIN(MAX(L3693*(1+MAX(MIN(((B3694-B3693)/B3693)/($K$7*卓尔金历!$N$40),0),-卓尔金历!$M$43))+MIN(MAX(((B3694-B3693)/B3693)/($K$7*卓尔金历!$N$40),0),卓尔金历!$M$43),0),1)</f>
        <v>0.31362115136845992</v>
      </c>
      <c r="M3694" s="4">
        <f>MIN(MAX(M3693*(1+MAX(MIN(((B3694-B3693)/B3693)/($K$7*30),0),-卓尔金历!$M$43))+MIN(MAX(((B3694-B3693)/B3693)/($K$7*7),0),卓尔金历!$M$43),0),1)</f>
        <v>0.68319880349223017</v>
      </c>
      <c r="N3694">
        <f t="shared" si="523"/>
        <v>197568.66771167002</v>
      </c>
      <c r="O3694">
        <f t="shared" si="524"/>
        <v>582411.73437950294</v>
      </c>
      <c r="P3694">
        <f t="shared" si="525"/>
        <v>3.086221823944451E-3</v>
      </c>
      <c r="Q3694">
        <f t="shared" si="526"/>
        <v>2.4198370632822531E-2</v>
      </c>
      <c r="R3694">
        <f t="shared" si="527"/>
        <v>1</v>
      </c>
      <c r="S3694">
        <f t="shared" si="519"/>
        <v>1382.5264648909865</v>
      </c>
      <c r="T3694" s="564">
        <f>IF((I3694-MAX(I$470:I3694))/MAX(I$470:I3694)&gt;T3693,T3693,(I3694-MAX(I$470:I3694))/MAX(I$470:I3694))</f>
        <v>-0.91338805338419748</v>
      </c>
      <c r="U3694" s="564">
        <f>IF((J3694-MAX(J$470:J3694))/MAX(J$470:J3694)&gt;U3693,U3693,(J3694-MAX(J$470:J3694))/MAX(J$470:J3694))</f>
        <v>-0.83569785939843477</v>
      </c>
      <c r="V3694" s="564">
        <f>IF((K3694-MAX(K$470:K3694))/MAX(K$470:K3694)&gt;V3693,V3693,(K3694-MAX(K$470:K3694))/MAX(K$470:K3694))</f>
        <v>-0.84885940676762139</v>
      </c>
      <c r="W3694" s="564">
        <f>IF((N3694-MAX(N$470:N3694))/MAX(N$470:N3694)&gt;W3693,W3693,(N3694-MAX(N$470:N3694))/MAX(N$470:N3694))</f>
        <v>-0.62788758315546067</v>
      </c>
      <c r="X3694" s="564">
        <f>IF((O3694-MAX(O$470:O3694))/MAX(O$470:O3694)&gt;X3693,X3693,(O3694-MAX(O$470:O3694))/MAX(O$470:O3694))</f>
        <v>-0.62788758315546067</v>
      </c>
    </row>
    <row r="3695" spans="1:24">
      <c r="A3695" s="799">
        <v>44097</v>
      </c>
      <c r="B3695">
        <v>10459.026747371699</v>
      </c>
      <c r="C3695">
        <v>56418.905385999999</v>
      </c>
      <c r="D3695">
        <v>1.640628</v>
      </c>
      <c r="E3695">
        <f>LN(D3695/参数实验室!$E$53)/参数实验室!$E$55</f>
        <v>-0.10889712514198965</v>
      </c>
      <c r="F3695">
        <f t="shared" si="518"/>
        <v>5.3942787172026101</v>
      </c>
      <c r="G3695">
        <f>LN(F3695/参数实验室!$E$58)/参数实验室!$E$59</f>
        <v>0.6940269083985352</v>
      </c>
      <c r="H3695" s="856">
        <f>INDEX(神经网络!$G$10:$BO$70,MATCH(ROUND(G3695*2,1)/2,神经网络!$E$10:$E$70,0),MATCH(ROUND(E3695*2,1)/2,神经网络!$G$8:$BO$8,0))</f>
        <v>1.3490577669405461</v>
      </c>
      <c r="I3695">
        <f t="shared" si="520"/>
        <v>607574.82965230383</v>
      </c>
      <c r="J3695">
        <f t="shared" si="521"/>
        <v>4173.4275357614115</v>
      </c>
      <c r="K3695">
        <f t="shared" si="522"/>
        <v>145.58173694070291</v>
      </c>
      <c r="L3695" s="4">
        <f>MIN(MAX(L3694*(1+MAX(MIN(((B3695-B3694)/B3694)/($K$7*卓尔金历!$N$40),0),-卓尔金历!$M$43))+MIN(MAX(((B3695-B3694)/B3694)/($K$7*卓尔金历!$N$40),0),卓尔金历!$M$43),0),1)</f>
        <v>0.31664656860096951</v>
      </c>
      <c r="M3695" s="4">
        <f>MIN(MAX(M3694*(1+MAX(MIN(((B3695-B3694)/B3694)/($K$7*30),0),-卓尔金历!$M$43))+MIN(MAX(((B3695-B3694)/B3694)/($K$7*7),0),卓尔金历!$M$43),0),1)</f>
        <v>0.68968184041903646</v>
      </c>
      <c r="N3695">
        <f t="shared" si="523"/>
        <v>197585.21943280142</v>
      </c>
      <c r="O3695">
        <f t="shared" si="524"/>
        <v>582518.02549333964</v>
      </c>
      <c r="P3695">
        <f t="shared" si="525"/>
        <v>1.9801094564132147E-4</v>
      </c>
      <c r="Q3695">
        <f t="shared" si="526"/>
        <v>2.1210991953483152E-2</v>
      </c>
      <c r="R3695">
        <f t="shared" si="527"/>
        <v>1</v>
      </c>
      <c r="S3695">
        <f t="shared" si="519"/>
        <v>1382.8957767027518</v>
      </c>
      <c r="T3695" s="564">
        <f>IF((I3695-MAX(I$470:I3695))/MAX(I$470:I3695)&gt;T3694,T3694,(I3695-MAX(I$470:I3695))/MAX(I$470:I3695))</f>
        <v>-0.91338805338419748</v>
      </c>
      <c r="U3695" s="564">
        <f>IF((J3695-MAX(J$470:J3695))/MAX(J$470:J3695)&gt;U3694,U3694,(J3695-MAX(J$470:J3695))/MAX(J$470:J3695))</f>
        <v>-0.83569785939843477</v>
      </c>
      <c r="V3695" s="564">
        <f>IF((K3695-MAX(K$470:K3695))/MAX(K$470:K3695)&gt;V3694,V3694,(K3695-MAX(K$470:K3695))/MAX(K$470:K3695))</f>
        <v>-0.84885940676762139</v>
      </c>
      <c r="W3695" s="564">
        <f>IF((N3695-MAX(N$470:N3695))/MAX(N$470:N3695)&gt;W3694,W3694,(N3695-MAX(N$470:N3695))/MAX(N$470:N3695))</f>
        <v>-0.62788758315546067</v>
      </c>
      <c r="X3695" s="564">
        <f>IF((O3695-MAX(O$470:O3695))/MAX(O$470:O3695)&gt;X3694,X3694,(O3695-MAX(O$470:O3695))/MAX(O$470:O3695))</f>
        <v>-0.62788758315546067</v>
      </c>
    </row>
    <row r="3696" spans="1:24">
      <c r="A3696" s="799">
        <v>44098</v>
      </c>
      <c r="B3696">
        <v>10543.6214078905</v>
      </c>
      <c r="C3696">
        <v>56088.626011</v>
      </c>
      <c r="D3696">
        <v>1.7205349999999999</v>
      </c>
      <c r="E3696">
        <f>LN(D3696/参数实验室!$E$53)/参数实验室!$E$55</f>
        <v>-5.2792551466175675E-2</v>
      </c>
      <c r="F3696">
        <f t="shared" si="518"/>
        <v>5.31967374786666</v>
      </c>
      <c r="G3696">
        <f>LN(F3696/参数实验室!$E$58)/参数实验室!$E$59</f>
        <v>0.68671730854438628</v>
      </c>
      <c r="H3696" s="856">
        <f>INDEX(神经网络!$G$10:$BO$70,MATCH(ROUND(G3696*2,1)/2,神经网络!$E$10:$E$70,0),MATCH(ROUND(E3696*2,1)/2,神经网络!$G$8:$BO$8,0))</f>
        <v>1.4430528219730732</v>
      </c>
      <c r="I3696">
        <f t="shared" si="520"/>
        <v>614204.34833342454</v>
      </c>
      <c r="J3696">
        <f t="shared" si="521"/>
        <v>4207.1830365470141</v>
      </c>
      <c r="K3696">
        <f t="shared" si="522"/>
        <v>145.98945256195083</v>
      </c>
      <c r="L3696" s="4">
        <f>MIN(MAX(L3695*(1+MAX(MIN(((B3696-B3695)/B3695)/($K$7*卓尔金历!$N$40),0),-卓尔金历!$M$43))+MIN(MAX(((B3696-B3695)/B3695)/($K$7*卓尔金历!$N$40),0),卓尔金历!$M$43),0),1)</f>
        <v>0.44022644505833036</v>
      </c>
      <c r="M3696" s="4">
        <f>MIN(MAX(M3695*(1+MAX(MIN(((B3696-B3695)/B3695)/($K$7*30),0),-卓尔金历!$M$43))+MIN(MAX(((B3696-B3695)/B3695)/($K$7*7),0),卓尔金历!$M$43),0),1)</f>
        <v>0.95449586139909548</v>
      </c>
      <c r="N3696">
        <f t="shared" si="523"/>
        <v>198267.89044899354</v>
      </c>
      <c r="O3696">
        <f t="shared" si="524"/>
        <v>586901.72104489105</v>
      </c>
      <c r="P3696">
        <f t="shared" si="525"/>
        <v>8.0881962119523504E-3</v>
      </c>
      <c r="Q3696">
        <f t="shared" si="526"/>
        <v>1.719305061957347E-2</v>
      </c>
      <c r="R3696">
        <f t="shared" si="527"/>
        <v>0.79130571832873131</v>
      </c>
      <c r="S3696">
        <f t="shared" si="519"/>
        <v>1397.9851664178268</v>
      </c>
      <c r="T3696" s="564">
        <f>IF((I3696-MAX(I$470:I3696))/MAX(I$470:I3696)&gt;T3695,T3695,(I3696-MAX(I$470:I3696))/MAX(I$470:I3696))</f>
        <v>-0.91338805338419748</v>
      </c>
      <c r="U3696" s="564">
        <f>IF((J3696-MAX(J$470:J3696))/MAX(J$470:J3696)&gt;U3695,U3695,(J3696-MAX(J$470:J3696))/MAX(J$470:J3696))</f>
        <v>-0.83569785939843477</v>
      </c>
      <c r="V3696" s="564">
        <f>IF((K3696-MAX(K$470:K3696))/MAX(K$470:K3696)&gt;V3695,V3695,(K3696-MAX(K$470:K3696))/MAX(K$470:K3696))</f>
        <v>-0.84885940676762139</v>
      </c>
      <c r="W3696" s="564">
        <f>IF((N3696-MAX(N$470:N3696))/MAX(N$470:N3696)&gt;W3695,W3695,(N3696-MAX(N$470:N3696))/MAX(N$470:N3696))</f>
        <v>-0.62788758315546067</v>
      </c>
      <c r="X3696" s="564">
        <f>IF((O3696-MAX(O$470:O3696))/MAX(O$470:O3696)&gt;X3695,X3695,(O3696-MAX(O$470:O3696))/MAX(O$470:O3696))</f>
        <v>-0.62788758315546067</v>
      </c>
    </row>
    <row r="3697" spans="1:24">
      <c r="A3697" s="799">
        <v>44099</v>
      </c>
      <c r="B3697">
        <v>10653.656923012401</v>
      </c>
      <c r="C3697">
        <v>55099.026781</v>
      </c>
      <c r="D3697">
        <v>1.710666</v>
      </c>
      <c r="E3697">
        <f>LN(D3697/参数实验室!$E$53)/参数实验室!$E$55</f>
        <v>-5.9579106303227436E-2</v>
      </c>
      <c r="F3697">
        <f t="shared" si="518"/>
        <v>5.1718416670602103</v>
      </c>
      <c r="G3697">
        <f>LN(F3697/参数实验室!$E$58)/参数实验室!$E$59</f>
        <v>0.67192527938026325</v>
      </c>
      <c r="H3697" s="856">
        <f>INDEX(神经网络!$G$10:$BO$70,MATCH(ROUND(G3697*2,1)/2,神经网络!$E$10:$E$70,0),MATCH(ROUND(E3697*2,1)/2,神经网络!$G$8:$BO$8,0))</f>
        <v>1.4109598470419786</v>
      </c>
      <c r="I3697">
        <f t="shared" si="520"/>
        <v>623454.27293856698</v>
      </c>
      <c r="J3697">
        <f t="shared" si="521"/>
        <v>4251.0901093381644</v>
      </c>
      <c r="K3697">
        <f t="shared" si="522"/>
        <v>146.65750593454962</v>
      </c>
      <c r="L3697" s="4">
        <f>MIN(MAX(L3696*(1+MAX(MIN(((B3697-B3696)/B3696)/($K$7*卓尔金历!$N$40),0),-卓尔金历!$M$43))+MIN(MAX(((B3697-B3696)/B3696)/($K$7*卓尔金历!$N$40),0),卓尔金历!$M$43),0),1)</f>
        <v>0.59968181744298432</v>
      </c>
      <c r="M3697" s="4">
        <f>MIN(MAX(M3696*(1+MAX(MIN(((B3697-B3696)/B3696)/($K$7*30),0),-卓尔金历!$M$43))+MIN(MAX(((B3697-B3696)/B3696)/($K$7*7),0),卓尔金历!$M$43),0),1)</f>
        <v>1</v>
      </c>
      <c r="N3697">
        <f t="shared" si="523"/>
        <v>199582.3699555264</v>
      </c>
      <c r="O3697">
        <f t="shared" si="524"/>
        <v>595338.26821072039</v>
      </c>
      <c r="P3697">
        <f t="shared" si="525"/>
        <v>1.0436216444527685E-2</v>
      </c>
      <c r="Q3697">
        <f t="shared" si="526"/>
        <v>1.6678503718943624E-2</v>
      </c>
      <c r="R3697">
        <f t="shared" si="527"/>
        <v>0.49409239663494053</v>
      </c>
      <c r="S3697">
        <f t="shared" si="519"/>
        <v>1414.6450581044355</v>
      </c>
      <c r="T3697" s="564">
        <f>IF((I3697-MAX(I$470:I3697))/MAX(I$470:I3697)&gt;T3696,T3696,(I3697-MAX(I$470:I3697))/MAX(I$470:I3697))</f>
        <v>-0.91338805338419748</v>
      </c>
      <c r="U3697" s="564">
        <f>IF((J3697-MAX(J$470:J3697))/MAX(J$470:J3697)&gt;U3696,U3696,(J3697-MAX(J$470:J3697))/MAX(J$470:J3697))</f>
        <v>-0.83569785939843477</v>
      </c>
      <c r="V3697" s="564">
        <f>IF((K3697-MAX(K$470:K3697))/MAX(K$470:K3697)&gt;V3696,V3696,(K3697-MAX(K$470:K3697))/MAX(K$470:K3697))</f>
        <v>-0.84885940676762139</v>
      </c>
      <c r="W3697" s="564">
        <f>IF((N3697-MAX(N$470:N3697))/MAX(N$470:N3697)&gt;W3696,W3696,(N3697-MAX(N$470:N3697))/MAX(N$470:N3697))</f>
        <v>-0.62788758315546067</v>
      </c>
      <c r="X3697" s="564">
        <f>IF((O3697-MAX(O$470:O3697))/MAX(O$470:O3697)&gt;X3696,X3696,(O3697-MAX(O$470:O3697))/MAX(O$470:O3697))</f>
        <v>-0.62788758315546067</v>
      </c>
    </row>
    <row r="3698" spans="1:24">
      <c r="A3698" s="799">
        <v>44100</v>
      </c>
      <c r="B3698">
        <v>10722.5754981669</v>
      </c>
      <c r="C3698">
        <v>54346.534444999998</v>
      </c>
      <c r="D3698">
        <v>1.7193560000000001</v>
      </c>
      <c r="E3698">
        <f>LN(D3698/参数实验室!$E$53)/参数实验室!$E$55</f>
        <v>-5.360125681707692E-2</v>
      </c>
      <c r="F3698">
        <f t="shared" si="518"/>
        <v>5.0684217102776215</v>
      </c>
      <c r="G3698">
        <f>LN(F3698/参数实验室!$E$58)/参数实验室!$E$59</f>
        <v>0.6613235543972048</v>
      </c>
      <c r="H3698" s="856">
        <f>INDEX(神经网络!$G$10:$BO$70,MATCH(ROUND(G3698*2,1)/2,神经网络!$E$10:$E$70,0),MATCH(ROUND(E3698*2,1)/2,神经网络!$G$8:$BO$8,0))</f>
        <v>1.4109598470419786</v>
      </c>
      <c r="I3698">
        <f t="shared" si="520"/>
        <v>629144.85700517904</v>
      </c>
      <c r="J3698">
        <f t="shared" si="521"/>
        <v>4278.5904385965732</v>
      </c>
      <c r="K3698">
        <f t="shared" si="522"/>
        <v>147.04488920691034</v>
      </c>
      <c r="L3698" s="4">
        <f>MIN(MAX(L3697*(1+MAX(MIN(((B3698-B3697)/B3697)/($K$7*卓尔金历!$N$40),0),-卓尔金历!$M$43))+MIN(MAX(((B3698-B3697)/B3697)/($K$7*卓尔金历!$N$40),0),卓尔金历!$M$43),0),1)</f>
        <v>0.69852202787599837</v>
      </c>
      <c r="M3698" s="4">
        <f>MIN(MAX(M3697*(1+MAX(MIN(((B3698-B3697)/B3697)/($K$7*30),0),-卓尔金历!$M$43))+MIN(MAX(((B3698-B3697)/B3697)/($K$7*7),0),卓尔金历!$M$43),0),1)</f>
        <v>1</v>
      </c>
      <c r="N3698">
        <f t="shared" si="523"/>
        <v>200674.80417162197</v>
      </c>
      <c r="O3698">
        <f t="shared" si="524"/>
        <v>600772.22321010847</v>
      </c>
      <c r="P3698">
        <f t="shared" si="525"/>
        <v>6.4690064315504501E-3</v>
      </c>
      <c r="Q3698">
        <f t="shared" si="526"/>
        <v>1.6285656160884548E-2</v>
      </c>
      <c r="R3698">
        <f t="shared" si="527"/>
        <v>0.95533933473043742</v>
      </c>
      <c r="S3698">
        <f t="shared" si="519"/>
        <v>1421.0248703120742</v>
      </c>
      <c r="T3698" s="564">
        <f>IF((I3698-MAX(I$470:I3698))/MAX(I$470:I3698)&gt;T3697,T3697,(I3698-MAX(I$470:I3698))/MAX(I$470:I3698))</f>
        <v>-0.91338805338419748</v>
      </c>
      <c r="U3698" s="564">
        <f>IF((J3698-MAX(J$470:J3698))/MAX(J$470:J3698)&gt;U3697,U3697,(J3698-MAX(J$470:J3698))/MAX(J$470:J3698))</f>
        <v>-0.83569785939843477</v>
      </c>
      <c r="V3698" s="564">
        <f>IF((K3698-MAX(K$470:K3698))/MAX(K$470:K3698)&gt;V3697,V3697,(K3698-MAX(K$470:K3698))/MAX(K$470:K3698))</f>
        <v>-0.84885940676762139</v>
      </c>
      <c r="W3698" s="564">
        <f>IF((N3698-MAX(N$470:N3698))/MAX(N$470:N3698)&gt;W3697,W3697,(N3698-MAX(N$470:N3698))/MAX(N$470:N3698))</f>
        <v>-0.62788758315546067</v>
      </c>
      <c r="X3698" s="564">
        <f>IF((O3698-MAX(O$470:O3698))/MAX(O$470:O3698)&gt;X3697,X3697,(O3698-MAX(O$470:O3698))/MAX(O$470:O3698))</f>
        <v>-0.62788758315546067</v>
      </c>
    </row>
    <row r="3699" spans="1:24">
      <c r="A3699" s="799">
        <v>44101</v>
      </c>
      <c r="B3699">
        <v>10735.679246313201</v>
      </c>
      <c r="C3699">
        <v>54752.489641</v>
      </c>
      <c r="D3699">
        <v>1.7216750000000001</v>
      </c>
      <c r="E3699">
        <f>LN(D3699/参数实验室!$E$53)/参数实验室!$E$55</f>
        <v>-5.201112398365737E-2</v>
      </c>
      <c r="F3699">
        <f t="shared" si="518"/>
        <v>5.1000489475132982</v>
      </c>
      <c r="G3699">
        <f>LN(F3699/参数实验室!$E$58)/参数实验室!$E$59</f>
        <v>0.66458849706610434</v>
      </c>
      <c r="H3699" s="856">
        <f>INDEX(神经网络!$G$10:$BO$70,MATCH(ROUND(G3699*2,1)/2,神经网络!$E$10:$E$70,0),MATCH(ROUND(E3699*2,1)/2,神经网络!$G$8:$BO$8,0))</f>
        <v>1.4109598470419786</v>
      </c>
      <c r="I3699">
        <f t="shared" si="520"/>
        <v>630229.68711369834</v>
      </c>
      <c r="J3699">
        <f t="shared" si="521"/>
        <v>4283.8191797267355</v>
      </c>
      <c r="K3699">
        <f t="shared" si="522"/>
        <v>147.11864826047599</v>
      </c>
      <c r="L3699" s="4">
        <f>MIN(MAX(L3698*(1+MAX(MIN(((B3699-B3698)/B3698)/($K$7*卓尔金历!$N$40),0),-卓尔金历!$M$43))+MIN(MAX(((B3699-B3698)/B3698)/($K$7*卓尔金历!$N$40),0),卓尔金历!$M$43),0),1)</f>
        <v>0.71719409943038359</v>
      </c>
      <c r="M3699" s="4">
        <f>MIN(MAX(M3698*(1+MAX(MIN(((B3699-B3698)/B3698)/($K$7*30),0),-卓尔金历!$M$43))+MIN(MAX(((B3699-B3698)/B3698)/($K$7*7),0),卓尔金历!$M$43),0),1)</f>
        <v>1</v>
      </c>
      <c r="N3699">
        <f t="shared" si="523"/>
        <v>200916.5082805233</v>
      </c>
      <c r="O3699">
        <f t="shared" si="524"/>
        <v>601808.1305831779</v>
      </c>
      <c r="P3699">
        <f t="shared" si="525"/>
        <v>1.2220709612668185E-3</v>
      </c>
      <c r="Q3699">
        <f t="shared" si="526"/>
        <v>1.6121091925877792E-2</v>
      </c>
      <c r="R3699">
        <f t="shared" si="527"/>
        <v>1</v>
      </c>
      <c r="S3699">
        <f t="shared" si="519"/>
        <v>1423.3657032393578</v>
      </c>
      <c r="T3699" s="564">
        <f>IF((I3699-MAX(I$470:I3699))/MAX(I$470:I3699)&gt;T3698,T3698,(I3699-MAX(I$470:I3699))/MAX(I$470:I3699))</f>
        <v>-0.91338805338419748</v>
      </c>
      <c r="U3699" s="564">
        <f>IF((J3699-MAX(J$470:J3699))/MAX(J$470:J3699)&gt;U3698,U3698,(J3699-MAX(J$470:J3699))/MAX(J$470:J3699))</f>
        <v>-0.83569785939843477</v>
      </c>
      <c r="V3699" s="564">
        <f>IF((K3699-MAX(K$470:K3699))/MAX(K$470:K3699)&gt;V3698,V3698,(K3699-MAX(K$470:K3699))/MAX(K$470:K3699))</f>
        <v>-0.84885940676762139</v>
      </c>
      <c r="W3699" s="564">
        <f>IF((N3699-MAX(N$470:N3699))/MAX(N$470:N3699)&gt;W3698,W3698,(N3699-MAX(N$470:N3699))/MAX(N$470:N3699))</f>
        <v>-0.62788758315546067</v>
      </c>
      <c r="X3699" s="564">
        <f>IF((O3699-MAX(O$470:O3699))/MAX(O$470:O3699)&gt;X3698,X3698,(O3699-MAX(O$470:O3699))/MAX(O$470:O3699))</f>
        <v>-0.62788758315546067</v>
      </c>
    </row>
    <row r="3700" spans="1:24">
      <c r="A3700" s="799">
        <v>44102</v>
      </c>
      <c r="B3700">
        <v>10904.070864508099</v>
      </c>
      <c r="C3700">
        <v>55381.493467</v>
      </c>
      <c r="D3700">
        <v>1.7162200000000001</v>
      </c>
      <c r="E3700">
        <f>LN(D3700/参数实验室!$E$53)/参数实验室!$E$55</f>
        <v>-5.575501921420515E-2</v>
      </c>
      <c r="F3700">
        <f t="shared" si="518"/>
        <v>5.078974096478265</v>
      </c>
      <c r="G3700">
        <f>LN(F3700/参数实验室!$E$58)/参数实验室!$E$59</f>
        <v>0.66241515753627578</v>
      </c>
      <c r="H3700" s="856">
        <f>INDEX(神经网络!$G$10:$BO$70,MATCH(ROUND(G3700*2,1)/2,神经网络!$E$10:$E$70,0),MATCH(ROUND(E3700*2,1)/2,神经网络!$G$8:$BO$8,0))</f>
        <v>1.4109598470419786</v>
      </c>
      <c r="I3700">
        <f t="shared" si="520"/>
        <v>644177.44675403018</v>
      </c>
      <c r="J3700">
        <f t="shared" si="521"/>
        <v>4351.011876823778</v>
      </c>
      <c r="K3700">
        <f t="shared" si="522"/>
        <v>148.0523301224076</v>
      </c>
      <c r="L3700" s="4">
        <f>MIN(MAX(L3699*(1+MAX(MIN(((B3700-B3699)/B3699)/($K$7*卓尔金历!$N$40),0),-卓尔金历!$M$43))+MIN(MAX(((B3700-B3699)/B3699)/($K$7*卓尔金历!$N$40),0),卓尔金历!$M$43),0),1)</f>
        <v>0.956849390319788</v>
      </c>
      <c r="M3700" s="4">
        <f>MIN(MAX(M3699*(1+MAX(MIN(((B3700-B3699)/B3699)/($K$7*30),0),-卓尔金历!$M$43))+MIN(MAX(((B3700-B3699)/B3699)/($K$7*7),0),卓尔金历!$M$43),0),1)</f>
        <v>1</v>
      </c>
      <c r="N3700">
        <f t="shared" si="523"/>
        <v>204105.53330783272</v>
      </c>
      <c r="O3700">
        <f t="shared" si="524"/>
        <v>615126.88615214126</v>
      </c>
      <c r="P3700">
        <f t="shared" si="525"/>
        <v>1.5685231863901597E-2</v>
      </c>
      <c r="Q3700">
        <f t="shared" si="526"/>
        <v>1.6293349499256236E-2</v>
      </c>
      <c r="R3700">
        <f t="shared" si="527"/>
        <v>5.4771690573040058E-2</v>
      </c>
      <c r="S3700">
        <f t="shared" si="519"/>
        <v>1454.8665403389164</v>
      </c>
      <c r="T3700" s="564">
        <f>IF((I3700-MAX(I$470:I3700))/MAX(I$470:I3700)&gt;T3699,T3699,(I3700-MAX(I$470:I3700))/MAX(I$470:I3700))</f>
        <v>-0.91338805338419748</v>
      </c>
      <c r="U3700" s="564">
        <f>IF((J3700-MAX(J$470:J3700))/MAX(J$470:J3700)&gt;U3699,U3699,(J3700-MAX(J$470:J3700))/MAX(J$470:J3700))</f>
        <v>-0.83569785939843477</v>
      </c>
      <c r="V3700" s="564">
        <f>IF((K3700-MAX(K$470:K3700))/MAX(K$470:K3700)&gt;V3699,V3699,(K3700-MAX(K$470:K3700))/MAX(K$470:K3700))</f>
        <v>-0.84885940676762139</v>
      </c>
      <c r="W3700" s="564">
        <f>IF((N3700-MAX(N$470:N3700))/MAX(N$470:N3700)&gt;W3699,W3699,(N3700-MAX(N$470:N3700))/MAX(N$470:N3700))</f>
        <v>-0.62788758315546067</v>
      </c>
      <c r="X3700" s="564">
        <f>IF((O3700-MAX(O$470:O3700))/MAX(O$470:O3700)&gt;X3699,X3699,(O3700-MAX(O$470:O3700))/MAX(O$470:O3700))</f>
        <v>-0.62788758315546067</v>
      </c>
    </row>
    <row r="3701" spans="1:24">
      <c r="A3701" s="799">
        <v>44103</v>
      </c>
      <c r="B3701">
        <v>10727.046962840401</v>
      </c>
      <c r="C3701">
        <v>54877.332385000002</v>
      </c>
      <c r="D3701">
        <v>1.7314039999999999</v>
      </c>
      <c r="E3701">
        <f>LN(D3701/参数实验室!$E$53)/参数实验室!$E$55</f>
        <v>-4.5363231084642255E-2</v>
      </c>
      <c r="F3701">
        <f t="shared" si="518"/>
        <v>5.1157911935223881</v>
      </c>
      <c r="G3701">
        <f>LN(F3701/参数实验室!$E$58)/参数实验室!$E$59</f>
        <v>0.66620606114127967</v>
      </c>
      <c r="H3701" s="856">
        <f>INDEX(神经网络!$G$10:$BO$70,MATCH(ROUND(G3701*2,1)/2,神经网络!$E$10:$E$70,0),MATCH(ROUND(E3701*2,1)/2,神经网络!$G$8:$BO$8,0))</f>
        <v>1.4109598470419786</v>
      </c>
      <c r="I3701">
        <f t="shared" si="520"/>
        <v>629421.62454721564</v>
      </c>
      <c r="J3701">
        <f t="shared" si="521"/>
        <v>4280.3746709390571</v>
      </c>
      <c r="K3701">
        <f t="shared" si="522"/>
        <v>147.04825463541232</v>
      </c>
      <c r="L3701" s="4">
        <f>MIN(MAX(L3700*(1+MAX(MIN(((B3701-B3700)/B3700)/($K$7*卓尔金历!$N$40),0),-卓尔金历!$M$43))+MIN(MAX(((B3701-B3700)/B3700)/($K$7*卓尔金历!$N$40),0),卓尔金历!$M$43),0),1)</f>
        <v>0.71950284969852052</v>
      </c>
      <c r="M3701" s="4">
        <f>MIN(MAX(M3700*(1+MAX(MIN(((B3701-B3700)/B3700)/($K$7*30),0),-卓尔金历!$M$43))+MIN(MAX(((B3701-B3700)/B3700)/($K$7*7),0),卓尔金历!$M$43),0),1)</f>
        <v>0.87597497421096537</v>
      </c>
      <c r="N3701">
        <f t="shared" si="523"/>
        <v>199631.94246081734</v>
      </c>
      <c r="O3701">
        <f t="shared" si="524"/>
        <v>601036.50932751095</v>
      </c>
      <c r="P3701">
        <f t="shared" si="525"/>
        <v>-1.6234661702713041E-2</v>
      </c>
      <c r="Q3701">
        <f t="shared" si="526"/>
        <v>1.6690691200347003E-2</v>
      </c>
      <c r="R3701">
        <f t="shared" si="527"/>
        <v>4.4447300415791924E-2</v>
      </c>
      <c r="S3701">
        <f t="shared" si="519"/>
        <v>1453.0412279564657</v>
      </c>
      <c r="T3701" s="564">
        <f>IF((I3701-MAX(I$470:I3701))/MAX(I$470:I3701)&gt;T3700,T3700,(I3701-MAX(I$470:I3701))/MAX(I$470:I3701))</f>
        <v>-0.91338805338419748</v>
      </c>
      <c r="U3701" s="564">
        <f>IF((J3701-MAX(J$470:J3701))/MAX(J$470:J3701)&gt;U3700,U3700,(J3701-MAX(J$470:J3701))/MAX(J$470:J3701))</f>
        <v>-0.83569785939843477</v>
      </c>
      <c r="V3701" s="564">
        <f>IF((K3701-MAX(K$470:K3701))/MAX(K$470:K3701)&gt;V3700,V3700,(K3701-MAX(K$470:K3701))/MAX(K$470:K3701))</f>
        <v>-0.84885940676762139</v>
      </c>
      <c r="W3701" s="564">
        <f>IF((N3701-MAX(N$470:N3701))/MAX(N$470:N3701)&gt;W3700,W3700,(N3701-MAX(N$470:N3701))/MAX(N$470:N3701))</f>
        <v>-0.62788758315546067</v>
      </c>
      <c r="X3701" s="564">
        <f>IF((O3701-MAX(O$470:O3701))/MAX(O$470:O3701)&gt;X3700,X3700,(O3701-MAX(O$470:O3701))/MAX(O$470:O3701))</f>
        <v>-0.62788758315546067</v>
      </c>
    </row>
    <row r="3702" spans="1:24">
      <c r="A3702" s="799">
        <v>44104</v>
      </c>
      <c r="B3702">
        <v>10780.0300860437</v>
      </c>
      <c r="C3702">
        <v>54668.748105999999</v>
      </c>
      <c r="D3702">
        <v>1.7199519999999999</v>
      </c>
      <c r="E3702">
        <f>LN(D3702/参数实验室!$E$53)/参数实验室!$E$55</f>
        <v>-5.3192376344350797E-2</v>
      </c>
      <c r="F3702">
        <f t="shared" si="518"/>
        <v>5.0712982867066909</v>
      </c>
      <c r="G3702">
        <f>LN(F3702/参数实验室!$E$58)/参数实验室!$E$59</f>
        <v>0.66162135015684764</v>
      </c>
      <c r="H3702" s="856">
        <f>INDEX(神经网络!$G$10:$BO$70,MATCH(ROUND(G3702*2,1)/2,神经网络!$E$10:$E$70,0),MATCH(ROUND(E3702*2,1)/2,神经网络!$G$8:$BO$8,0))</f>
        <v>1.4109598470419786</v>
      </c>
      <c r="I3702">
        <f t="shared" si="520"/>
        <v>633808.07963999896</v>
      </c>
      <c r="J3702">
        <f t="shared" si="521"/>
        <v>4301.516334561139</v>
      </c>
      <c r="K3702">
        <f t="shared" si="522"/>
        <v>147.34526858530762</v>
      </c>
      <c r="L3702" s="4">
        <f>MIN(MAX(L3701*(1+MAX(MIN(((B3702-B3701)/B3701)/($K$7*卓尔金历!$N$40),0),-卓尔金历!$M$43))+MIN(MAX(((B3702-B3701)/B3701)/($K$7*卓尔金历!$N$40),0),卓尔金历!$M$43),0),1)</f>
        <v>0.79496921814557919</v>
      </c>
      <c r="M3702" s="4">
        <f>MIN(MAX(M3701*(1+MAX(MIN(((B3702-B3701)/B3701)/($K$7*30),0),-卓尔金历!$M$43))+MIN(MAX(((B3702-B3701)/B3701)/($K$7*7),0),卓尔金历!$M$43),0),1)</f>
        <v>1</v>
      </c>
      <c r="N3702">
        <f t="shared" si="523"/>
        <v>200632.94361658231</v>
      </c>
      <c r="O3702">
        <f t="shared" si="524"/>
        <v>604705.65184062975</v>
      </c>
      <c r="P3702">
        <f t="shared" si="525"/>
        <v>4.9392086551721401E-3</v>
      </c>
      <c r="Q3702">
        <f t="shared" si="526"/>
        <v>1.6355874685966634E-2</v>
      </c>
      <c r="R3702">
        <f t="shared" si="527"/>
        <v>1</v>
      </c>
      <c r="S3702">
        <f t="shared" si="519"/>
        <v>1453.4913138000518</v>
      </c>
      <c r="T3702" s="564">
        <f>IF((I3702-MAX(I$470:I3702))/MAX(I$470:I3702)&gt;T3701,T3701,(I3702-MAX(I$470:I3702))/MAX(I$470:I3702))</f>
        <v>-0.91338805338419748</v>
      </c>
      <c r="U3702" s="564">
        <f>IF((J3702-MAX(J$470:J3702))/MAX(J$470:J3702)&gt;U3701,U3701,(J3702-MAX(J$470:J3702))/MAX(J$470:J3702))</f>
        <v>-0.83569785939843477</v>
      </c>
      <c r="V3702" s="564">
        <f>IF((K3702-MAX(K$470:K3702))/MAX(K$470:K3702)&gt;V3701,V3701,(K3702-MAX(K$470:K3702))/MAX(K$470:K3702))</f>
        <v>-0.84885940676762139</v>
      </c>
      <c r="W3702" s="564">
        <f>IF((N3702-MAX(N$470:N3702))/MAX(N$470:N3702)&gt;W3701,W3701,(N3702-MAX(N$470:N3702))/MAX(N$470:N3702))</f>
        <v>-0.62788758315546067</v>
      </c>
      <c r="X3702" s="564">
        <f>IF((O3702-MAX(O$470:O3702))/MAX(O$470:O3702)&gt;X3701,X3701,(O3702-MAX(O$470:O3702))/MAX(O$470:O3702))</f>
        <v>-0.62788758315546067</v>
      </c>
    </row>
    <row r="3703" spans="1:24">
      <c r="A3703" s="799">
        <v>44105</v>
      </c>
      <c r="B3703">
        <v>10741.5000132725</v>
      </c>
      <c r="C3703">
        <v>55776.590045999998</v>
      </c>
      <c r="D3703">
        <v>1.693568</v>
      </c>
      <c r="E3703">
        <f>LN(D3703/参数实验室!$E$53)/参数实验室!$E$55</f>
        <v>-7.1429989987543338E-2</v>
      </c>
      <c r="F3703">
        <f t="shared" si="518"/>
        <v>5.1926257950082269</v>
      </c>
      <c r="G3703">
        <f>LN(F3703/参数实验室!$E$58)/参数实验室!$E$59</f>
        <v>0.67403028829611977</v>
      </c>
      <c r="H3703" s="856">
        <f>INDEX(神经网络!$G$10:$BO$70,MATCH(ROUND(G3703*2,1)/2,神经网络!$E$10:$E$70,0),MATCH(ROUND(E3703*2,1)/2,神经网络!$G$8:$BO$8,0))</f>
        <v>1.4109598470419786</v>
      </c>
      <c r="I3703">
        <f t="shared" si="520"/>
        <v>630611.74469912844</v>
      </c>
      <c r="J3703">
        <f t="shared" si="521"/>
        <v>4286.1418192699693</v>
      </c>
      <c r="K3703">
        <f t="shared" si="522"/>
        <v>147.12806325352446</v>
      </c>
      <c r="L3703" s="4">
        <f>MIN(MAX(L3702*(1+MAX(MIN(((B3703-B3702)/B3702)/($K$7*卓尔金历!$N$40),0),-卓尔金历!$M$43))+MIN(MAX(((B3703-B3702)/B3702)/($K$7*卓尔金历!$N$40),0),卓尔金历!$M$43),0),1)</f>
        <v>0.75155557345804114</v>
      </c>
      <c r="M3703" s="4">
        <f>MIN(MAX(M3702*(1+MAX(MIN(((B3703-B3702)/B3702)/($K$7*30),0),-卓尔金历!$M$43))+MIN(MAX(((B3703-B3702)/B3702)/($K$7*7),0),卓尔金历!$M$43),0),1)</f>
        <v>0.97269476371122343</v>
      </c>
      <c r="N3703">
        <f t="shared" si="523"/>
        <v>199828.58990728803</v>
      </c>
      <c r="O3703">
        <f t="shared" si="524"/>
        <v>601656.08231633785</v>
      </c>
      <c r="P3703">
        <f t="shared" si="525"/>
        <v>-3.5742082780532182E-3</v>
      </c>
      <c r="Q3703">
        <f t="shared" si="526"/>
        <v>1.6100133413589957E-2</v>
      </c>
      <c r="R3703">
        <f t="shared" si="527"/>
        <v>1</v>
      </c>
      <c r="S3703">
        <f t="shared" si="519"/>
        <v>1446.1612635501565</v>
      </c>
      <c r="T3703" s="564">
        <f>IF((I3703-MAX(I$470:I3703))/MAX(I$470:I3703)&gt;T3702,T3702,(I3703-MAX(I$470:I3703))/MAX(I$470:I3703))</f>
        <v>-0.91338805338419748</v>
      </c>
      <c r="U3703" s="564">
        <f>IF((J3703-MAX(J$470:J3703))/MAX(J$470:J3703)&gt;U3702,U3702,(J3703-MAX(J$470:J3703))/MAX(J$470:J3703))</f>
        <v>-0.83569785939843477</v>
      </c>
      <c r="V3703" s="564">
        <f>IF((K3703-MAX(K$470:K3703))/MAX(K$470:K3703)&gt;V3702,V3702,(K3703-MAX(K$470:K3703))/MAX(K$470:K3703))</f>
        <v>-0.84885940676762139</v>
      </c>
      <c r="W3703" s="564">
        <f>IF((N3703-MAX(N$470:N3703))/MAX(N$470:N3703)&gt;W3702,W3702,(N3703-MAX(N$470:N3703))/MAX(N$470:N3703))</f>
        <v>-0.62788758315546067</v>
      </c>
      <c r="X3703" s="564">
        <f>IF((O3703-MAX(O$470:O3703))/MAX(O$470:O3703)&gt;X3702,X3702,(O3703-MAX(O$470:O3703))/MAX(O$470:O3703))</f>
        <v>-0.62788758315546067</v>
      </c>
    </row>
    <row r="3704" spans="1:24">
      <c r="A3704" s="799">
        <v>44106</v>
      </c>
      <c r="B3704">
        <v>10519.149471249601</v>
      </c>
      <c r="C3704">
        <v>56083.228358</v>
      </c>
      <c r="D3704">
        <v>1.687486</v>
      </c>
      <c r="E3704">
        <f>LN(D3704/参数实验室!$E$53)/参数实验室!$E$55</f>
        <v>-7.5674386539158547E-2</v>
      </c>
      <c r="F3704">
        <f t="shared" si="518"/>
        <v>5.3315364052277996</v>
      </c>
      <c r="G3704">
        <f>LN(F3704/参数实验室!$E$58)/参数实验室!$E$59</f>
        <v>0.68788640879919927</v>
      </c>
      <c r="H3704" s="856">
        <f>INDEX(神经网络!$G$10:$BO$70,MATCH(ROUND(G3704*2,1)/2,神经网络!$E$10:$E$70,0),MATCH(ROUND(E3704*2,1)/2,神经网络!$G$8:$BO$8,0))</f>
        <v>1.3490577669405461</v>
      </c>
      <c r="I3704">
        <f t="shared" si="520"/>
        <v>612193.42661830562</v>
      </c>
      <c r="J3704">
        <f t="shared" si="521"/>
        <v>4197.4180883642202</v>
      </c>
      <c r="K3704">
        <f t="shared" si="522"/>
        <v>145.84999962605204</v>
      </c>
      <c r="L3704" s="4">
        <f>MIN(MAX(L3703*(1+MAX(MIN(((B3704-B3703)/B3703)/($K$7*卓尔金历!$N$40),0),-卓尔金历!$M$43))+MIN(MAX(((B3704-B3703)/B3703)/($K$7*卓尔金历!$N$40),0),卓尔金历!$M$43),0),1)</f>
        <v>0.51385488619176489</v>
      </c>
      <c r="M3704" s="4">
        <f>MIN(MAX(M3703*(1+MAX(MIN(((B3704-B3703)/B3703)/($K$7*30),0),-卓尔金历!$M$43))+MIN(MAX(((B3704-B3703)/B3703)/($K$7*7),0),卓尔金历!$M$43),0),1)</f>
        <v>0.81887366118740967</v>
      </c>
      <c r="N3704">
        <f t="shared" si="523"/>
        <v>195442.20601983464</v>
      </c>
      <c r="O3704">
        <f t="shared" si="524"/>
        <v>584563.29836098012</v>
      </c>
      <c r="P3704">
        <f t="shared" si="525"/>
        <v>-2.0700138877080183E-2</v>
      </c>
      <c r="Q3704">
        <f t="shared" si="526"/>
        <v>1.6548431627558889E-2</v>
      </c>
      <c r="R3704">
        <f t="shared" si="527"/>
        <v>1.2496133398748444E-2</v>
      </c>
      <c r="S3704">
        <f t="shared" si="519"/>
        <v>1403.9231378378934</v>
      </c>
      <c r="T3704" s="564">
        <f>IF((I3704-MAX(I$470:I3704))/MAX(I$470:I3704)&gt;T3703,T3703,(I3704-MAX(I$470:I3704))/MAX(I$470:I3704))</f>
        <v>-0.91338805338419748</v>
      </c>
      <c r="U3704" s="564">
        <f>IF((J3704-MAX(J$470:J3704))/MAX(J$470:J3704)&gt;U3703,U3703,(J3704-MAX(J$470:J3704))/MAX(J$470:J3704))</f>
        <v>-0.83569785939843477</v>
      </c>
      <c r="V3704" s="564">
        <f>IF((K3704-MAX(K$470:K3704))/MAX(K$470:K3704)&gt;V3703,V3703,(K3704-MAX(K$470:K3704))/MAX(K$470:K3704))</f>
        <v>-0.84885940676762139</v>
      </c>
      <c r="W3704" s="564">
        <f>IF((N3704-MAX(N$470:N3704))/MAX(N$470:N3704)&gt;W3703,W3703,(N3704-MAX(N$470:N3704))/MAX(N$470:N3704))</f>
        <v>-0.62788758315546067</v>
      </c>
      <c r="X3704" s="564">
        <f>IF((O3704-MAX(O$470:O3704))/MAX(O$470:O3704)&gt;X3703,X3703,(O3704-MAX(O$470:O3704))/MAX(O$470:O3704))</f>
        <v>-0.62788758315546067</v>
      </c>
    </row>
    <row r="3705" spans="1:24">
      <c r="A3705" s="799">
        <v>44107</v>
      </c>
      <c r="B3705">
        <v>10549.995058213701</v>
      </c>
      <c r="C3705">
        <v>55276.334147000001</v>
      </c>
      <c r="D3705">
        <v>1.685063</v>
      </c>
      <c r="E3705">
        <f>LN(D3705/参数实验室!$E$53)/参数实验室!$E$55</f>
        <v>-7.7369568789719442E-2</v>
      </c>
      <c r="F3705">
        <f t="shared" si="518"/>
        <v>5.2394654065704609</v>
      </c>
      <c r="G3705">
        <f>LN(F3705/参数实验室!$E$58)/参数实验室!$E$59</f>
        <v>0.67874346118416817</v>
      </c>
      <c r="H3705" s="856">
        <f>INDEX(神经网络!$G$10:$BO$70,MATCH(ROUND(G3705*2,1)/2,神经网络!$E$10:$E$70,0),MATCH(ROUND(E3705*2,1)/2,神经网络!$G$8:$BO$8,0))</f>
        <v>1.3490577669405461</v>
      </c>
      <c r="I3705">
        <f t="shared" si="520"/>
        <v>614615.18951620418</v>
      </c>
      <c r="J3705">
        <f t="shared" si="521"/>
        <v>4209.7262911350999</v>
      </c>
      <c r="K3705">
        <f t="shared" si="522"/>
        <v>145.99884814612992</v>
      </c>
      <c r="L3705" s="4">
        <f>MIN(MAX(L3704*(1+MAX(MIN(((B3705-B3704)/B3704)/($K$7*卓尔金历!$N$40),0),-卓尔金历!$M$43))+MIN(MAX(((B3705-B3704)/B3704)/($K$7*卓尔金历!$N$40),0),卓尔金历!$M$43),0),1)</f>
        <v>0.55865803019158022</v>
      </c>
      <c r="M3705" s="4">
        <f>MIN(MAX(M3704*(1+MAX(MIN(((B3705-B3704)/B3704)/($K$7*30),0),-卓尔金历!$M$43))+MIN(MAX(((B3705-B3704)/B3704)/($K$7*7),0),卓尔金历!$M$43),0),1)</f>
        <v>0.91488039832987123</v>
      </c>
      <c r="N3705">
        <f t="shared" si="523"/>
        <v>195839.49068854394</v>
      </c>
      <c r="O3705">
        <f t="shared" si="524"/>
        <v>586456.91214619321</v>
      </c>
      <c r="P3705">
        <f t="shared" si="525"/>
        <v>2.9323270905509801E-3</v>
      </c>
      <c r="Q3705">
        <f t="shared" si="526"/>
        <v>1.6519742108771062E-2</v>
      </c>
      <c r="R3705">
        <f t="shared" si="527"/>
        <v>1</v>
      </c>
      <c r="S3705">
        <f t="shared" si="519"/>
        <v>1403.9925382331155</v>
      </c>
      <c r="T3705" s="564">
        <f>IF((I3705-MAX(I$470:I3705))/MAX(I$470:I3705)&gt;T3704,T3704,(I3705-MAX(I$470:I3705))/MAX(I$470:I3705))</f>
        <v>-0.91338805338419748</v>
      </c>
      <c r="U3705" s="564">
        <f>IF((J3705-MAX(J$470:J3705))/MAX(J$470:J3705)&gt;U3704,U3704,(J3705-MAX(J$470:J3705))/MAX(J$470:J3705))</f>
        <v>-0.83569785939843477</v>
      </c>
      <c r="V3705" s="564">
        <f>IF((K3705-MAX(K$470:K3705))/MAX(K$470:K3705)&gt;V3704,V3704,(K3705-MAX(K$470:K3705))/MAX(K$470:K3705))</f>
        <v>-0.84885940676762139</v>
      </c>
      <c r="W3705" s="564">
        <f>IF((N3705-MAX(N$470:N3705))/MAX(N$470:N3705)&gt;W3704,W3704,(N3705-MAX(N$470:N3705))/MAX(N$470:N3705))</f>
        <v>-0.62788758315546067</v>
      </c>
      <c r="X3705" s="564">
        <f>IF((O3705-MAX(O$470:O3705))/MAX(O$470:O3705)&gt;X3704,X3704,(O3705-MAX(O$470:O3705))/MAX(O$470:O3705))</f>
        <v>-0.62788758315546067</v>
      </c>
    </row>
    <row r="3706" spans="1:24">
      <c r="A3706" s="799">
        <v>44108</v>
      </c>
      <c r="B3706">
        <v>10600.3813992548</v>
      </c>
      <c r="C3706">
        <v>54449.326363</v>
      </c>
      <c r="D3706">
        <v>1.702169</v>
      </c>
      <c r="E3706">
        <f>LN(D3706/参数实验室!$E$53)/参数实验室!$E$55</f>
        <v>-6.5453626475919124E-2</v>
      </c>
      <c r="F3706">
        <f t="shared" si="518"/>
        <v>5.1365440838598273</v>
      </c>
      <c r="G3706">
        <f>LN(F3706/参数实验室!$E$58)/参数实验室!$E$59</f>
        <v>0.66833089474870755</v>
      </c>
      <c r="H3706" s="856">
        <f>INDEX(神经网络!$G$10:$BO$70,MATCH(ROUND(G3706*2,1)/2,神经网络!$E$10:$E$70,0),MATCH(ROUND(E3706*2,1)/2,神经网络!$G$8:$BO$8,0))</f>
        <v>1.4109598470419786</v>
      </c>
      <c r="I3706">
        <f t="shared" si="520"/>
        <v>618575.18236335798</v>
      </c>
      <c r="J3706">
        <f t="shared" si="521"/>
        <v>4229.8317701826636</v>
      </c>
      <c r="K3706">
        <f t="shared" si="522"/>
        <v>146.24108380004083</v>
      </c>
      <c r="L3706" s="4">
        <f>MIN(MAX(L3705*(1+MAX(MIN(((B3706-B3705)/B3705)/($K$7*卓尔金历!$N$40),0),-卓尔金历!$M$43))+MIN(MAX(((B3706-B3705)/B3705)/($K$7*卓尔金历!$N$40),0),卓尔金历!$M$43),0),1)</f>
        <v>0.63163009650115209</v>
      </c>
      <c r="M3706" s="4">
        <f>MIN(MAX(M3705*(1+MAX(MIN(((B3706-B3705)/B3705)/($K$7*30),0),-卓尔金历!$M$43))+MIN(MAX(((B3706-B3705)/B3705)/($K$7*7),0),卓尔金历!$M$43),0),1)</f>
        <v>1</v>
      </c>
      <c r="N3706">
        <f t="shared" si="523"/>
        <v>196544.40678736422</v>
      </c>
      <c r="O3706">
        <f t="shared" si="524"/>
        <v>589913.84977917641</v>
      </c>
      <c r="P3706">
        <f t="shared" si="525"/>
        <v>4.7759587339210379E-3</v>
      </c>
      <c r="Q3706">
        <f t="shared" si="526"/>
        <v>1.6427016565386931E-2</v>
      </c>
      <c r="R3706">
        <f t="shared" si="527"/>
        <v>1</v>
      </c>
      <c r="S3706">
        <f t="shared" si="519"/>
        <v>1413.0385242479372</v>
      </c>
      <c r="T3706" s="564">
        <f>IF((I3706-MAX(I$470:I3706))/MAX(I$470:I3706)&gt;T3705,T3705,(I3706-MAX(I$470:I3706))/MAX(I$470:I3706))</f>
        <v>-0.91338805338419748</v>
      </c>
      <c r="U3706" s="564">
        <f>IF((J3706-MAX(J$470:J3706))/MAX(J$470:J3706)&gt;U3705,U3705,(J3706-MAX(J$470:J3706))/MAX(J$470:J3706))</f>
        <v>-0.83569785939843477</v>
      </c>
      <c r="V3706" s="564">
        <f>IF((K3706-MAX(K$470:K3706))/MAX(K$470:K3706)&gt;V3705,V3705,(K3706-MAX(K$470:K3706))/MAX(K$470:K3706))</f>
        <v>-0.84885940676762139</v>
      </c>
      <c r="W3706" s="564">
        <f>IF((N3706-MAX(N$470:N3706))/MAX(N$470:N3706)&gt;W3705,W3705,(N3706-MAX(N$470:N3706))/MAX(N$470:N3706))</f>
        <v>-0.62788758315546067</v>
      </c>
      <c r="X3706" s="564">
        <f>IF((O3706-MAX(O$470:O3706))/MAX(O$470:O3706)&gt;X3705,X3705,(O3706-MAX(O$470:O3706))/MAX(O$470:O3706))</f>
        <v>-0.62788758315546067</v>
      </c>
    </row>
    <row r="3707" spans="1:24">
      <c r="A3707" s="799">
        <v>44109</v>
      </c>
      <c r="B3707">
        <v>10726.9028343013</v>
      </c>
      <c r="C3707">
        <v>54673.776054000002</v>
      </c>
      <c r="D3707">
        <v>1.7183520000000001</v>
      </c>
      <c r="E3707">
        <f>LN(D3707/参数实验室!$E$53)/参数实验室!$E$55</f>
        <v>-5.4290362634455941E-2</v>
      </c>
      <c r="F3707">
        <f t="shared" si="518"/>
        <v>5.0968836856776836</v>
      </c>
      <c r="G3707">
        <f>LN(F3707/参数实验室!$E$58)/参数实验室!$E$59</f>
        <v>0.66426265387679351</v>
      </c>
      <c r="H3707" s="856">
        <f>INDEX(神经网络!$G$10:$BO$70,MATCH(ROUND(G3707*2,1)/2,神经网络!$E$10:$E$70,0),MATCH(ROUND(E3707*2,1)/2,神经网络!$G$8:$BO$8,0))</f>
        <v>1.4109598470419786</v>
      </c>
      <c r="I3707">
        <f t="shared" si="520"/>
        <v>628992.35267317423</v>
      </c>
      <c r="J3707">
        <f t="shared" si="521"/>
        <v>4280.3171598504741</v>
      </c>
      <c r="K3707">
        <f t="shared" si="522"/>
        <v>146.94994066634703</v>
      </c>
      <c r="L3707" s="4">
        <f>MIN(MAX(L3706*(1+MAX(MIN(((B3707-B3706)/B3706)/($K$7*卓尔金历!$N$40),0),-卓尔金历!$M$43))+MIN(MAX(((B3707-B3706)/B3706)/($K$7*卓尔金历!$N$40),0),卓尔金历!$M$43),0),1)</f>
        <v>0.81399392296761164</v>
      </c>
      <c r="M3707" s="4">
        <f>MIN(MAX(M3706*(1+MAX(MIN(((B3707-B3706)/B3706)/($K$7*30),0),-卓尔金历!$M$43))+MIN(MAX(((B3707-B3706)/B3706)/($K$7*7),0),卓尔金历!$M$43),0),1)</f>
        <v>1</v>
      </c>
      <c r="N3707">
        <f t="shared" si="523"/>
        <v>198635.05411396071</v>
      </c>
      <c r="O3707">
        <f t="shared" si="524"/>
        <v>599848.34637147456</v>
      </c>
      <c r="P3707">
        <f t="shared" si="525"/>
        <v>1.1935554984407803E-2</v>
      </c>
      <c r="Q3707">
        <f t="shared" si="526"/>
        <v>1.4444398250277966E-2</v>
      </c>
      <c r="R3707">
        <f t="shared" si="527"/>
        <v>0.21034595930524522</v>
      </c>
      <c r="S3707">
        <f t="shared" si="519"/>
        <v>1436.8349250430397</v>
      </c>
      <c r="T3707" s="564">
        <f>IF((I3707-MAX(I$470:I3707))/MAX(I$470:I3707)&gt;T3706,T3706,(I3707-MAX(I$470:I3707))/MAX(I$470:I3707))</f>
        <v>-0.91338805338419748</v>
      </c>
      <c r="U3707" s="564">
        <f>IF((J3707-MAX(J$470:J3707))/MAX(J$470:J3707)&gt;U3706,U3706,(J3707-MAX(J$470:J3707))/MAX(J$470:J3707))</f>
        <v>-0.83569785939843477</v>
      </c>
      <c r="V3707" s="564">
        <f>IF((K3707-MAX(K$470:K3707))/MAX(K$470:K3707)&gt;V3706,V3706,(K3707-MAX(K$470:K3707))/MAX(K$470:K3707))</f>
        <v>-0.84885940676762139</v>
      </c>
      <c r="W3707" s="564">
        <f>IF((N3707-MAX(N$470:N3707))/MAX(N$470:N3707)&gt;W3706,W3706,(N3707-MAX(N$470:N3707))/MAX(N$470:N3707))</f>
        <v>-0.62788758315546067</v>
      </c>
      <c r="X3707" s="564">
        <f>IF((O3707-MAX(O$470:O3707))/MAX(O$470:O3707)&gt;X3706,X3706,(O3707-MAX(O$470:O3707))/MAX(O$470:O3707))</f>
        <v>-0.62788758315546067</v>
      </c>
    </row>
    <row r="3708" spans="1:24">
      <c r="A3708" s="799">
        <v>44110</v>
      </c>
      <c r="B3708">
        <v>10724.116608004</v>
      </c>
      <c r="C3708">
        <v>55411.761878999998</v>
      </c>
      <c r="D3708">
        <v>1.690123</v>
      </c>
      <c r="E3708">
        <f>LN(D3708/参数实验室!$E$53)/参数实验室!$E$55</f>
        <v>-7.3832249135777128E-2</v>
      </c>
      <c r="F3708">
        <f t="shared" si="518"/>
        <v>5.1670234392680081</v>
      </c>
      <c r="G3708">
        <f>LN(F3708/参数实验室!$E$58)/参数实验室!$E$59</f>
        <v>0.67143608322685666</v>
      </c>
      <c r="H3708" s="856">
        <f>INDEX(神经网络!$G$10:$BO$70,MATCH(ROUND(G3708*2,1)/2,神经网络!$E$10:$E$70,0),MATCH(ROUND(E3708*2,1)/2,神经网络!$G$8:$BO$8,0))</f>
        <v>1.4109598470419786</v>
      </c>
      <c r="I3708">
        <f t="shared" si="520"/>
        <v>628761.83615016181</v>
      </c>
      <c r="J3708">
        <f t="shared" si="521"/>
        <v>4279.2053820693409</v>
      </c>
      <c r="K3708">
        <f t="shared" si="522"/>
        <v>146.93425064026835</v>
      </c>
      <c r="L3708" s="4">
        <f>MIN(MAX(L3707*(1+MAX(MIN(((B3708-B3707)/B3707)/($K$7*卓尔金历!$N$40),0),-卓尔金历!$M$43))+MIN(MAX(((B3708-B3707)/B3707)/($K$7*卓尔金历!$N$40),0),卓尔金历!$M$43),0),1)</f>
        <v>0.81076350080447701</v>
      </c>
      <c r="M3708" s="4">
        <f>MIN(MAX(M3707*(1+MAX(MIN(((B3708-B3707)/B3707)/($K$7*30),0),-卓尔金历!$M$43))+MIN(MAX(((B3708-B3707)/B3707)/($K$7*7),0),卓尔金历!$M$43),0),1)</f>
        <v>0.99801569638790577</v>
      </c>
      <c r="N3708">
        <f t="shared" si="523"/>
        <v>198575.79792035371</v>
      </c>
      <c r="O3708">
        <f t="shared" si="524"/>
        <v>599628.51070168836</v>
      </c>
      <c r="P3708">
        <f t="shared" si="525"/>
        <v>-2.5974191622114357E-4</v>
      </c>
      <c r="Q3708">
        <f t="shared" si="526"/>
        <v>1.4272444773717346E-2</v>
      </c>
      <c r="R3708">
        <f t="shared" si="527"/>
        <v>1</v>
      </c>
      <c r="S3708">
        <f t="shared" si="519"/>
        <v>1436.7241612691103</v>
      </c>
      <c r="T3708" s="564">
        <f>IF((I3708-MAX(I$470:I3708))/MAX(I$470:I3708)&gt;T3707,T3707,(I3708-MAX(I$470:I3708))/MAX(I$470:I3708))</f>
        <v>-0.91338805338419748</v>
      </c>
      <c r="U3708" s="564">
        <f>IF((J3708-MAX(J$470:J3708))/MAX(J$470:J3708)&gt;U3707,U3707,(J3708-MAX(J$470:J3708))/MAX(J$470:J3708))</f>
        <v>-0.83569785939843477</v>
      </c>
      <c r="V3708" s="564">
        <f>IF((K3708-MAX(K$470:K3708))/MAX(K$470:K3708)&gt;V3707,V3707,(K3708-MAX(K$470:K3708))/MAX(K$470:K3708))</f>
        <v>-0.84885940676762139</v>
      </c>
      <c r="W3708" s="564">
        <f>IF((N3708-MAX(N$470:N3708))/MAX(N$470:N3708)&gt;W3707,W3707,(N3708-MAX(N$470:N3708))/MAX(N$470:N3708))</f>
        <v>-0.62788758315546067</v>
      </c>
      <c r="X3708" s="564">
        <f>IF((O3708-MAX(O$470:O3708))/MAX(O$470:O3708)&gt;X3707,X3707,(O3708-MAX(O$470:O3708))/MAX(O$470:O3708))</f>
        <v>-0.62788758315546067</v>
      </c>
    </row>
    <row r="3709" spans="1:24">
      <c r="A3709" s="799">
        <v>44111</v>
      </c>
      <c r="B3709">
        <v>10633.214706795199</v>
      </c>
      <c r="C3709">
        <v>56276.900845999997</v>
      </c>
      <c r="D3709">
        <v>1.700399</v>
      </c>
      <c r="E3709">
        <f>LN(D3709/参数实验室!$E$53)/参数实验室!$E$55</f>
        <v>-6.6681030854133141E-2</v>
      </c>
      <c r="F3709">
        <f t="shared" si="518"/>
        <v>5.2925575564684131</v>
      </c>
      <c r="G3709">
        <f>LN(F3709/参数实验室!$E$58)/参数实验室!$E$59</f>
        <v>0.68403510661082512</v>
      </c>
      <c r="H3709" s="856">
        <f>INDEX(神经网络!$G$10:$BO$70,MATCH(ROUND(G3709*2,1)/2,神经网络!$E$10:$E$70,0),MATCH(ROUND(E3709*2,1)/2,神经网络!$G$8:$BO$8,0))</f>
        <v>1.4430528219730732</v>
      </c>
      <c r="I3709">
        <f t="shared" si="520"/>
        <v>621241.9326534007</v>
      </c>
      <c r="J3709">
        <f t="shared" si="521"/>
        <v>4242.933125890896</v>
      </c>
      <c r="K3709">
        <f t="shared" si="522"/>
        <v>146.41803540633401</v>
      </c>
      <c r="L3709" s="4">
        <f>MIN(MAX(L3708*(1+MAX(MIN(((B3709-B3708)/B3708)/($K$7*卓尔金历!$N$40),0),-卓尔金历!$M$43))+MIN(MAX(((B3709-B3708)/B3708)/($K$7*卓尔金历!$N$40),0),卓尔金历!$M$43),0),1)</f>
        <v>0.705760500963454</v>
      </c>
      <c r="M3709" s="4">
        <f>MIN(MAX(M3708*(1+MAX(MIN(((B3709-B3708)/B3708)/($K$7*30),0),-卓尔金历!$M$43))+MIN(MAX(((B3709-B3708)/B3708)/($K$7*7),0),卓尔金历!$M$43),0),1)</f>
        <v>0.93338856288647432</v>
      </c>
      <c r="N3709">
        <f t="shared" si="523"/>
        <v>196650.28428073358</v>
      </c>
      <c r="O3709">
        <f t="shared" si="524"/>
        <v>592471.26807670132</v>
      </c>
      <c r="P3709">
        <f t="shared" si="525"/>
        <v>-8.4763999247225597E-3</v>
      </c>
      <c r="Q3709">
        <f t="shared" si="526"/>
        <v>1.3695239136262017E-2</v>
      </c>
      <c r="R3709">
        <f t="shared" si="527"/>
        <v>0.50088226938030933</v>
      </c>
      <c r="S3709">
        <f t="shared" si="519"/>
        <v>1419.5411415261174</v>
      </c>
      <c r="T3709" s="564">
        <f>IF((I3709-MAX(I$470:I3709))/MAX(I$470:I3709)&gt;T3708,T3708,(I3709-MAX(I$470:I3709))/MAX(I$470:I3709))</f>
        <v>-0.91338805338419748</v>
      </c>
      <c r="U3709" s="564">
        <f>IF((J3709-MAX(J$470:J3709))/MAX(J$470:J3709)&gt;U3708,U3708,(J3709-MAX(J$470:J3709))/MAX(J$470:J3709))</f>
        <v>-0.83569785939843477</v>
      </c>
      <c r="V3709" s="564">
        <f>IF((K3709-MAX(K$470:K3709))/MAX(K$470:K3709)&gt;V3708,V3708,(K3709-MAX(K$470:K3709))/MAX(K$470:K3709))</f>
        <v>-0.84885940676762139</v>
      </c>
      <c r="W3709" s="564">
        <f>IF((N3709-MAX(N$470:N3709))/MAX(N$470:N3709)&gt;W3708,W3708,(N3709-MAX(N$470:N3709))/MAX(N$470:N3709))</f>
        <v>-0.62788758315546067</v>
      </c>
      <c r="X3709" s="564">
        <f>IF((O3709-MAX(O$470:O3709))/MAX(O$470:O3709)&gt;X3708,X3708,(O3709-MAX(O$470:O3709))/MAX(O$470:O3709))</f>
        <v>-0.62788758315546067</v>
      </c>
    </row>
    <row r="3710" spans="1:24">
      <c r="A3710" s="799">
        <v>44112</v>
      </c>
      <c r="B3710">
        <v>10914.0568265124</v>
      </c>
      <c r="C3710">
        <v>55541.346801</v>
      </c>
      <c r="D3710">
        <v>1.736381</v>
      </c>
      <c r="E3710">
        <f>LN(D3710/参数实验室!$E$53)/参数实验室!$E$55</f>
        <v>-4.1976841255531146E-2</v>
      </c>
      <c r="F3710">
        <f t="shared" si="518"/>
        <v>5.0889735763588018</v>
      </c>
      <c r="G3710">
        <f>LN(F3710/参数实验室!$E$58)/参数实验室!$E$59</f>
        <v>0.66344747385119285</v>
      </c>
      <c r="H3710" s="856">
        <f>INDEX(神经网络!$G$10:$BO$70,MATCH(ROUND(G3710*2,1)/2,神经网络!$E$10:$E$70,0),MATCH(ROUND(E3710*2,1)/2,神经网络!$G$8:$BO$8,0))</f>
        <v>1.4109598470419786</v>
      </c>
      <c r="I3710">
        <f t="shared" si="520"/>
        <v>644919.6945819729</v>
      </c>
      <c r="J3710">
        <f t="shared" si="521"/>
        <v>4354.9965390496691</v>
      </c>
      <c r="K3710">
        <f t="shared" si="522"/>
        <v>148.08730358318604</v>
      </c>
      <c r="L3710" s="4">
        <f>MIN(MAX(L3709*(1+MAX(MIN(((B3710-B3709)/B3709)/($K$7*卓尔金历!$N$40),0),-卓尔金历!$M$43))+MIN(MAX(((B3710-B3709)/B3709)/($K$7*卓尔金历!$N$40),0),卓尔金历!$M$43),0),1)</f>
        <v>1</v>
      </c>
      <c r="M3710" s="4">
        <f>MIN(MAX(M3709*(1+MAX(MIN(((B3710-B3709)/B3709)/($K$7*30),0),-卓尔金历!$M$43))+MIN(MAX(((B3710-B3709)/B3709)/($K$7*7),0),卓尔金历!$M$43),0),1)</f>
        <v>1</v>
      </c>
      <c r="N3710">
        <f t="shared" si="523"/>
        <v>201939.99369081508</v>
      </c>
      <c r="O3710">
        <f t="shared" si="524"/>
        <v>613548.30986409215</v>
      </c>
      <c r="P3710">
        <f t="shared" si="525"/>
        <v>2.6411779265373789E-2</v>
      </c>
      <c r="Q3710">
        <f t="shared" si="526"/>
        <v>1.4619186278822222E-2</v>
      </c>
      <c r="R3710">
        <f t="shared" si="527"/>
        <v>5.5948434561903949E-3</v>
      </c>
      <c r="S3710">
        <f t="shared" si="519"/>
        <v>1446.6407820385787</v>
      </c>
      <c r="T3710" s="564">
        <f>IF((I3710-MAX(I$470:I3710))/MAX(I$470:I3710)&gt;T3709,T3709,(I3710-MAX(I$470:I3710))/MAX(I$470:I3710))</f>
        <v>-0.91338805338419748</v>
      </c>
      <c r="U3710" s="564">
        <f>IF((J3710-MAX(J$470:J3710))/MAX(J$470:J3710)&gt;U3709,U3709,(J3710-MAX(J$470:J3710))/MAX(J$470:J3710))</f>
        <v>-0.83569785939843477</v>
      </c>
      <c r="V3710" s="564">
        <f>IF((K3710-MAX(K$470:K3710))/MAX(K$470:K3710)&gt;V3709,V3709,(K3710-MAX(K$470:K3710))/MAX(K$470:K3710))</f>
        <v>-0.84885940676762139</v>
      </c>
      <c r="W3710" s="564">
        <f>IF((N3710-MAX(N$470:N3710))/MAX(N$470:N3710)&gt;W3709,W3709,(N3710-MAX(N$470:N3710))/MAX(N$470:N3710))</f>
        <v>-0.62788758315546067</v>
      </c>
      <c r="X3710" s="564">
        <f>IF((O3710-MAX(O$470:O3710))/MAX(O$470:O3710)&gt;X3709,X3709,(O3710-MAX(O$470:O3710))/MAX(O$470:O3710))</f>
        <v>-0.62788758315546067</v>
      </c>
    </row>
    <row r="3711" spans="1:24">
      <c r="A3711" s="799">
        <v>44113</v>
      </c>
      <c r="B3711">
        <v>11088.614906688201</v>
      </c>
      <c r="C3711">
        <v>55512.848940000003</v>
      </c>
      <c r="D3711">
        <v>1.761798</v>
      </c>
      <c r="E3711">
        <f>LN(D3711/参数实验室!$E$53)/参数实验室!$E$55</f>
        <v>-2.4832883851236158E-2</v>
      </c>
      <c r="F3711">
        <f t="shared" si="518"/>
        <v>5.0062924366249666</v>
      </c>
      <c r="G3711">
        <f>LN(F3711/参数实验室!$E$58)/参数实验室!$E$59</f>
        <v>0.65485007765615055</v>
      </c>
      <c r="H3711" s="856">
        <f>INDEX(神经网络!$G$10:$BO$70,MATCH(ROUND(G3711*2,1)/2,神经网络!$E$10:$E$70,0),MATCH(ROUND(E3711*2,1)/2,神经网络!$G$8:$BO$8,0))</f>
        <v>1.5040832557170782</v>
      </c>
      <c r="I3711">
        <f t="shared" si="520"/>
        <v>659473.41543063149</v>
      </c>
      <c r="J3711">
        <f t="shared" si="521"/>
        <v>4424.6498171214935</v>
      </c>
      <c r="K3711">
        <f t="shared" si="522"/>
        <v>149.04533526670355</v>
      </c>
      <c r="L3711" s="4">
        <f>MIN(MAX(L3710*(1+MAX(MIN(((B3711-B3710)/B3710)/($K$7*卓尔金历!$N$40),0),-卓尔金历!$M$43))+MIN(MAX(((B3711-B3710)/B3710)/($K$7*卓尔金历!$N$40),0),卓尔金历!$M$43),0),1)</f>
        <v>1</v>
      </c>
      <c r="M3711" s="4">
        <f>MIN(MAX(M3710*(1+MAX(MIN(((B3711-B3710)/B3710)/($K$7*30),0),-卓尔金历!$M$43))+MIN(MAX(((B3711-B3710)/B3710)/($K$7*7),0),卓尔金历!$M$43),0),1)</f>
        <v>1</v>
      </c>
      <c r="N3711">
        <f t="shared" si="523"/>
        <v>206497.11657145683</v>
      </c>
      <c r="O3711">
        <f t="shared" si="524"/>
        <v>627394.08152209094</v>
      </c>
      <c r="P3711">
        <f t="shared" si="525"/>
        <v>1.5993876791237198E-2</v>
      </c>
      <c r="Q3711">
        <f t="shared" si="526"/>
        <v>1.4952563083237001E-2</v>
      </c>
      <c r="R3711">
        <f t="shared" si="527"/>
        <v>1.3634975590499254E-2</v>
      </c>
      <c r="S3711">
        <f t="shared" si="519"/>
        <v>1446.8234309316133</v>
      </c>
      <c r="T3711" s="564">
        <f>IF((I3711-MAX(I$470:I3711))/MAX(I$470:I3711)&gt;T3710,T3710,(I3711-MAX(I$470:I3711))/MAX(I$470:I3711))</f>
        <v>-0.91338805338419748</v>
      </c>
      <c r="U3711" s="564">
        <f>IF((J3711-MAX(J$470:J3711))/MAX(J$470:J3711)&gt;U3710,U3710,(J3711-MAX(J$470:J3711))/MAX(J$470:J3711))</f>
        <v>-0.83569785939843477</v>
      </c>
      <c r="V3711" s="564">
        <f>IF((K3711-MAX(K$470:K3711))/MAX(K$470:K3711)&gt;V3710,V3710,(K3711-MAX(K$470:K3711))/MAX(K$470:K3711))</f>
        <v>-0.84885940676762139</v>
      </c>
      <c r="W3711" s="564">
        <f>IF((N3711-MAX(N$470:N3711))/MAX(N$470:N3711)&gt;W3710,W3710,(N3711-MAX(N$470:N3711))/MAX(N$470:N3711))</f>
        <v>-0.62788758315546067</v>
      </c>
      <c r="X3711" s="564">
        <f>IF((O3711-MAX(O$470:O3711))/MAX(O$470:O3711)&gt;X3710,X3710,(O3711-MAX(O$470:O3711))/MAX(O$470:O3711))</f>
        <v>-0.62788758315546067</v>
      </c>
    </row>
    <row r="3712" spans="1:24">
      <c r="A3712" s="799">
        <v>44114</v>
      </c>
      <c r="B3712">
        <v>11341.497815806501</v>
      </c>
      <c r="C3712">
        <v>55966.903496999999</v>
      </c>
      <c r="D3712">
        <v>1.7969999999999999</v>
      </c>
      <c r="E3712">
        <f>LN(D3712/参数实验室!$E$53)/参数实验室!$E$55</f>
        <v>-1.4929650185482302E-3</v>
      </c>
      <c r="F3712">
        <f t="shared" si="518"/>
        <v>4.9347012542734561</v>
      </c>
      <c r="G3712">
        <f>LN(F3712/参数实验室!$E$58)/参数实验室!$E$59</f>
        <v>0.64729035630832032</v>
      </c>
      <c r="H3712" s="856">
        <f>INDEX(神经网络!$G$10:$BO$70,MATCH(ROUND(G3712*2,1)/2,神经网络!$E$10:$E$70,0),MATCH(ROUND(E3712*2,1)/2,神经网络!$G$8:$BO$8,0))</f>
        <v>1.5040832557170782</v>
      </c>
      <c r="I3712">
        <f t="shared" si="520"/>
        <v>682094.3918576513</v>
      </c>
      <c r="J3712">
        <f t="shared" si="521"/>
        <v>4525.5567678091347</v>
      </c>
      <c r="K3712">
        <f t="shared" si="522"/>
        <v>150.72054707378243</v>
      </c>
      <c r="L3712" s="4">
        <f>MIN(MAX(L3711*(1+MAX(MIN(((B3712-B3711)/B3711)/($K$7*卓尔金历!$N$40),0),-卓尔金历!$M$43))+MIN(MAX(((B3712-B3711)/B3711)/($K$7*卓尔金历!$N$40),0),卓尔金历!$M$43),0),1)</f>
        <v>1</v>
      </c>
      <c r="M3712" s="4">
        <f>MIN(MAX(M3711*(1+MAX(MIN(((B3712-B3711)/B3711)/($K$7*30),0),-卓尔金历!$M$43))+MIN(MAX(((B3712-B3711)/B3711)/($K$7*7),0),卓尔金历!$M$43),0),1)</f>
        <v>1</v>
      </c>
      <c r="N3712">
        <f t="shared" si="523"/>
        <v>213580.29277979609</v>
      </c>
      <c r="O3712">
        <f t="shared" si="524"/>
        <v>648914.68629020802</v>
      </c>
      <c r="P3712">
        <f t="shared" si="525"/>
        <v>2.2805635441967693E-2</v>
      </c>
      <c r="Q3712">
        <f t="shared" si="526"/>
        <v>1.5292058751728481E-2</v>
      </c>
      <c r="R3712">
        <f t="shared" si="527"/>
        <v>8.9764121446406376E-3</v>
      </c>
      <c r="S3712">
        <f t="shared" si="519"/>
        <v>1447.500111884762</v>
      </c>
      <c r="T3712" s="564">
        <f>IF((I3712-MAX(I$470:I3712))/MAX(I$470:I3712)&gt;T3711,T3711,(I3712-MAX(I$470:I3712))/MAX(I$470:I3712))</f>
        <v>-0.91338805338419748</v>
      </c>
      <c r="U3712" s="564">
        <f>IF((J3712-MAX(J$470:J3712))/MAX(J$470:J3712)&gt;U3711,U3711,(J3712-MAX(J$470:J3712))/MAX(J$470:J3712))</f>
        <v>-0.83569785939843477</v>
      </c>
      <c r="V3712" s="564">
        <f>IF((K3712-MAX(K$470:K3712))/MAX(K$470:K3712)&gt;V3711,V3711,(K3712-MAX(K$470:K3712))/MAX(K$470:K3712))</f>
        <v>-0.84885940676762139</v>
      </c>
      <c r="W3712" s="564">
        <f>IF((N3712-MAX(N$470:N3712))/MAX(N$470:N3712)&gt;W3711,W3711,(N3712-MAX(N$470:N3712))/MAX(N$470:N3712))</f>
        <v>-0.62788758315546067</v>
      </c>
      <c r="X3712" s="564">
        <f>IF((O3712-MAX(O$470:O3712))/MAX(O$470:O3712)&gt;X3711,X3711,(O3712-MAX(O$470:O3712))/MAX(O$470:O3712))</f>
        <v>-0.62788758315546067</v>
      </c>
    </row>
    <row r="3713" spans="1:24">
      <c r="A3713" s="799">
        <v>44115</v>
      </c>
      <c r="B3713">
        <v>11404.162423870401</v>
      </c>
      <c r="C3713">
        <v>56652.709190000001</v>
      </c>
      <c r="D3713">
        <v>1.8077030000000001</v>
      </c>
      <c r="E3713">
        <f>LN(D3713/参数实验室!$E$53)/参数实验室!$E$55</f>
        <v>5.5128471533397025E-3</v>
      </c>
      <c r="F3713">
        <f t="shared" si="518"/>
        <v>4.9677220548366172</v>
      </c>
      <c r="G3713">
        <f>LN(F3713/参数实验室!$E$58)/参数实验室!$E$59</f>
        <v>0.65079074492624678</v>
      </c>
      <c r="H3713" s="856">
        <f>INDEX(神经网络!$G$10:$BO$70,MATCH(ROUND(G3713*2,1)/2,神经网络!$E$10:$E$70,0),MATCH(ROUND(E3713*2,1)/2,神经网络!$G$8:$BO$8,0))</f>
        <v>1.5040832557170782</v>
      </c>
      <c r="I3713">
        <f t="shared" si="520"/>
        <v>687762.89340492862</v>
      </c>
      <c r="J3713">
        <f t="shared" si="521"/>
        <v>4550.5615992459889</v>
      </c>
      <c r="K3713">
        <f t="shared" si="522"/>
        <v>151.13802514372915</v>
      </c>
      <c r="L3713" s="4">
        <f>MIN(MAX(L3712*(1+MAX(MIN(((B3713-B3712)/B3712)/($K$7*卓尔金历!$N$40),0),-卓尔金历!$M$43))+MIN(MAX(((B3713-B3712)/B3712)/($K$7*卓尔金历!$N$40),0),卓尔金历!$M$43),0),1)</f>
        <v>1</v>
      </c>
      <c r="M3713" s="4">
        <f>MIN(MAX(M3712*(1+MAX(MIN(((B3713-B3712)/B3712)/($K$7*30),0),-卓尔金历!$M$43))+MIN(MAX(((B3713-B3712)/B3712)/($K$7*7),0),卓尔金历!$M$43),0),1)</f>
        <v>1</v>
      </c>
      <c r="N3713">
        <f t="shared" si="523"/>
        <v>215355.23805796058</v>
      </c>
      <c r="O3713">
        <f t="shared" si="524"/>
        <v>654307.45002965047</v>
      </c>
      <c r="P3713">
        <f t="shared" si="525"/>
        <v>5.5252497581549914E-3</v>
      </c>
      <c r="Q3713">
        <f t="shared" si="526"/>
        <v>1.4361811654420881E-2</v>
      </c>
      <c r="R3713">
        <f t="shared" si="527"/>
        <v>0.98514397412169763</v>
      </c>
      <c r="S3713">
        <f t="shared" si="519"/>
        <v>1447.6080923467725</v>
      </c>
      <c r="T3713" s="564">
        <f>IF((I3713-MAX(I$470:I3713))/MAX(I$470:I3713)&gt;T3712,T3712,(I3713-MAX(I$470:I3713))/MAX(I$470:I3713))</f>
        <v>-0.91338805338419748</v>
      </c>
      <c r="U3713" s="564">
        <f>IF((J3713-MAX(J$470:J3713))/MAX(J$470:J3713)&gt;U3712,U3712,(J3713-MAX(J$470:J3713))/MAX(J$470:J3713))</f>
        <v>-0.83569785939843477</v>
      </c>
      <c r="V3713" s="564">
        <f>IF((K3713-MAX(K$470:K3713))/MAX(K$470:K3713)&gt;V3712,V3712,(K3713-MAX(K$470:K3713))/MAX(K$470:K3713))</f>
        <v>-0.84885940676762139</v>
      </c>
      <c r="W3713" s="564">
        <f>IF((N3713-MAX(N$470:N3713))/MAX(N$470:N3713)&gt;W3712,W3712,(N3713-MAX(N$470:N3713))/MAX(N$470:N3713))</f>
        <v>-0.62788758315546067</v>
      </c>
      <c r="X3713" s="564">
        <f>IF((O3713-MAX(O$470:O3713))/MAX(O$470:O3713)&gt;X3712,X3712,(O3713-MAX(O$470:O3713))/MAX(O$470:O3713))</f>
        <v>-0.62788758315546067</v>
      </c>
    </row>
    <row r="3714" spans="1:24">
      <c r="A3714" s="799">
        <v>44116</v>
      </c>
      <c r="B3714">
        <v>11522.003513781099</v>
      </c>
      <c r="C3714">
        <v>57466.081122000003</v>
      </c>
      <c r="D3714">
        <v>1.832849</v>
      </c>
      <c r="E3714">
        <f>LN(D3714/参数实验室!$E$53)/参数实验室!$E$55</f>
        <v>2.1810676092091603E-2</v>
      </c>
      <c r="F3714">
        <f t="shared" si="518"/>
        <v>4.9875076893759545</v>
      </c>
      <c r="G3714">
        <f>LN(F3714/参数实验室!$E$58)/参数实验室!$E$59</f>
        <v>0.65287700194346976</v>
      </c>
      <c r="H3714" s="856">
        <f>INDEX(神经网络!$G$10:$BO$70,MATCH(ROUND(G3714*2,1)/2,神经网络!$E$10:$E$70,0),MATCH(ROUND(E3714*2,1)/2,神经网络!$G$8:$BO$8,0))</f>
        <v>1.5040832557170782</v>
      </c>
      <c r="I3714">
        <f t="shared" si="520"/>
        <v>698452.06315076421</v>
      </c>
      <c r="J3714">
        <f t="shared" si="521"/>
        <v>4597.5833022549259</v>
      </c>
      <c r="K3714">
        <f t="shared" si="522"/>
        <v>151.91721764088584</v>
      </c>
      <c r="L3714" s="4">
        <f>MIN(MAX(L3713*(1+MAX(MIN(((B3714-B3713)/B3713)/($K$7*卓尔金历!$N$40),0),-卓尔金历!$M$43))+MIN(MAX(((B3714-B3713)/B3713)/($K$7*卓尔金历!$N$40),0),卓尔金历!$M$43),0),1)</f>
        <v>1</v>
      </c>
      <c r="M3714" s="4">
        <f>MIN(MAX(M3713*(1+MAX(MIN(((B3714-B3713)/B3713)/($K$7*30),0),-卓尔金历!$M$43))+MIN(MAX(((B3714-B3713)/B3713)/($K$7*7),0),卓尔金历!$M$43),0),1)</f>
        <v>1</v>
      </c>
      <c r="N3714">
        <f t="shared" si="523"/>
        <v>218702.2762848413</v>
      </c>
      <c r="O3714">
        <f t="shared" si="524"/>
        <v>664476.65727592446</v>
      </c>
      <c r="P3714">
        <f t="shared" si="525"/>
        <v>1.0333164815685336E-2</v>
      </c>
      <c r="Q3714">
        <f t="shared" si="526"/>
        <v>1.1057396240829784E-2</v>
      </c>
      <c r="R3714">
        <f t="shared" si="527"/>
        <v>8.3075633860663731E-2</v>
      </c>
      <c r="S3714">
        <f t="shared" si="519"/>
        <v>1469.7724903650951</v>
      </c>
      <c r="T3714" s="564">
        <f>IF((I3714-MAX(I$470:I3714))/MAX(I$470:I3714)&gt;T3713,T3713,(I3714-MAX(I$470:I3714))/MAX(I$470:I3714))</f>
        <v>-0.91338805338419748</v>
      </c>
      <c r="U3714" s="564">
        <f>IF((J3714-MAX(J$470:J3714))/MAX(J$470:J3714)&gt;U3713,U3713,(J3714-MAX(J$470:J3714))/MAX(J$470:J3714))</f>
        <v>-0.83569785939843477</v>
      </c>
      <c r="V3714" s="564">
        <f>IF((K3714-MAX(K$470:K3714))/MAX(K$470:K3714)&gt;V3713,V3713,(K3714-MAX(K$470:K3714))/MAX(K$470:K3714))</f>
        <v>-0.84885940676762139</v>
      </c>
      <c r="W3714" s="564">
        <f>IF((N3714-MAX(N$470:N3714))/MAX(N$470:N3714)&gt;W3713,W3713,(N3714-MAX(N$470:N3714))/MAX(N$470:N3714))</f>
        <v>-0.62788758315546067</v>
      </c>
      <c r="X3714" s="564">
        <f>IF((O3714-MAX(O$470:O3714))/MAX(O$470:O3714)&gt;X3713,X3713,(O3714-MAX(O$470:O3714))/MAX(O$470:O3714))</f>
        <v>-0.62788758315546067</v>
      </c>
    </row>
    <row r="3715" spans="1:24">
      <c r="A3715" s="799">
        <v>44117</v>
      </c>
      <c r="B3715">
        <v>11398.8532620814</v>
      </c>
      <c r="C3715">
        <v>57321.891273000001</v>
      </c>
      <c r="D3715">
        <v>1.8134840000000001</v>
      </c>
      <c r="E3715">
        <f>LN(D3715/参数实验室!$E$53)/参数实验室!$E$55</f>
        <v>9.2796558254083644E-3</v>
      </c>
      <c r="F3715">
        <f t="shared" si="518"/>
        <v>5.0287419229864865</v>
      </c>
      <c r="G3715">
        <f>LN(F3715/参数实验室!$E$58)/参数实验室!$E$59</f>
        <v>0.6571983951438507</v>
      </c>
      <c r="H3715" s="856">
        <f>INDEX(神经网络!$G$10:$BO$70,MATCH(ROUND(G3715*2,1)/2,神经网络!$E$10:$E$70,0),MATCH(ROUND(E3715*2,1)/2,神经网络!$G$8:$BO$8,0))</f>
        <v>1.5040832557170782</v>
      </c>
      <c r="I3715">
        <f t="shared" si="520"/>
        <v>687223.71729030891</v>
      </c>
      <c r="J3715">
        <f t="shared" si="521"/>
        <v>4548.4431036596188</v>
      </c>
      <c r="K3715">
        <f t="shared" si="522"/>
        <v>151.08987880652558</v>
      </c>
      <c r="L3715" s="4">
        <f>MIN(MAX(L3714*(1+MAX(MIN(((B3715-B3714)/B3714)/($K$7*卓尔金历!$N$40),0),-卓尔金历!$M$43))+MIN(MAX(((B3715-B3714)/B3714)/($K$7*卓尔金历!$N$40),0),卓尔金历!$M$43),0),1)</f>
        <v>0.83669353465610552</v>
      </c>
      <c r="M3715" s="4">
        <f>MIN(MAX(M3714*(1+MAX(MIN(((B3715-B3714)/B3714)/($K$7*30),0),-卓尔金历!$M$43))+MIN(MAX(((B3715-B3714)/B3714)/($K$7*7),0),卓尔金历!$M$43),0),1)</f>
        <v>0.91834676732805276</v>
      </c>
      <c r="N3715">
        <f t="shared" si="523"/>
        <v>215186.40894311224</v>
      </c>
      <c r="O3715">
        <f t="shared" si="524"/>
        <v>653794.5015236222</v>
      </c>
      <c r="P3715">
        <f t="shared" si="525"/>
        <v>-1.068826715357297E-2</v>
      </c>
      <c r="Q3715">
        <f t="shared" si="526"/>
        <v>1.1539869352923927E-2</v>
      </c>
      <c r="R3715">
        <f t="shared" si="527"/>
        <v>8.856639855761704E-2</v>
      </c>
      <c r="S3715">
        <f t="shared" si="519"/>
        <v>1467.8095687606497</v>
      </c>
      <c r="T3715" s="564">
        <f>IF((I3715-MAX(I$470:I3715))/MAX(I$470:I3715)&gt;T3714,T3714,(I3715-MAX(I$470:I3715))/MAX(I$470:I3715))</f>
        <v>-0.91338805338419748</v>
      </c>
      <c r="U3715" s="564">
        <f>IF((J3715-MAX(J$470:J3715))/MAX(J$470:J3715)&gt;U3714,U3714,(J3715-MAX(J$470:J3715))/MAX(J$470:J3715))</f>
        <v>-0.83569785939843477</v>
      </c>
      <c r="V3715" s="564">
        <f>IF((K3715-MAX(K$470:K3715))/MAX(K$470:K3715)&gt;V3714,V3714,(K3715-MAX(K$470:K3715))/MAX(K$470:K3715))</f>
        <v>-0.84885940676762139</v>
      </c>
      <c r="W3715" s="564">
        <f>IF((N3715-MAX(N$470:N3715))/MAX(N$470:N3715)&gt;W3714,W3714,(N3715-MAX(N$470:N3715))/MAX(N$470:N3715))</f>
        <v>-0.62788758315546067</v>
      </c>
      <c r="X3715" s="564">
        <f>IF((O3715-MAX(O$470:O3715))/MAX(O$470:O3715)&gt;X3714,X3714,(O3715-MAX(O$470:O3715))/MAX(O$470:O3715))</f>
        <v>-0.62788758315546067</v>
      </c>
    </row>
    <row r="3716" spans="1:24">
      <c r="A3716" s="799">
        <v>44118</v>
      </c>
      <c r="B3716">
        <v>11338.456903058601</v>
      </c>
      <c r="C3716">
        <v>58384.266027999998</v>
      </c>
      <c r="D3716">
        <v>1.808802</v>
      </c>
      <c r="E3716">
        <f>LN(D3716/参数实验室!$E$53)/参数实验室!$E$55</f>
        <v>6.2298647463115637E-3</v>
      </c>
      <c r="F3716">
        <f t="shared" si="518"/>
        <v>5.149225024813612</v>
      </c>
      <c r="G3716">
        <f>LN(F3716/参数实验室!$E$58)/参数实验室!$E$59</f>
        <v>0.66962504133734646</v>
      </c>
      <c r="H3716" s="856">
        <f>INDEX(神经网络!$G$10:$BO$70,MATCH(ROUND(G3716*2,1)/2,神经网络!$E$10:$E$70,0),MATCH(ROUND(E3716*2,1)/2,神经网络!$G$8:$BO$8,0))</f>
        <v>1.5040832557170782</v>
      </c>
      <c r="I3716">
        <f t="shared" si="520"/>
        <v>681747.00898116874</v>
      </c>
      <c r="J3716">
        <f t="shared" si="521"/>
        <v>4524.3433634166922</v>
      </c>
      <c r="K3716">
        <f t="shared" si="522"/>
        <v>150.68418867004985</v>
      </c>
      <c r="L3716" s="4">
        <f>MIN(MAX(L3715*(1+MAX(MIN(((B3716-B3715)/B3715)/($K$7*卓尔金历!$N$40),0),-卓尔金历!$M$43))+MIN(MAX(((B3716-B3715)/B3715)/($K$7*卓尔金历!$N$40),0),卓尔金历!$M$43),0),1)</f>
        <v>0.76895869818961937</v>
      </c>
      <c r="M3716" s="4">
        <f>MIN(MAX(M3715*(1+MAX(MIN(((B3716-B3715)/B3715)/($K$7*30),0),-卓尔金历!$M$43))+MIN(MAX(((B3716-B3715)/B3715)/($K$7*7),0),卓尔金历!$M$43),0),1)</f>
        <v>0.88117421517605199</v>
      </c>
      <c r="N3716">
        <f t="shared" si="523"/>
        <v>213751.57142948825</v>
      </c>
      <c r="O3716">
        <f t="shared" si="524"/>
        <v>649009.63930199028</v>
      </c>
      <c r="P3716">
        <f t="shared" si="525"/>
        <v>-5.2984592076213205E-3</v>
      </c>
      <c r="Q3716">
        <f t="shared" si="526"/>
        <v>1.1688632107742715E-2</v>
      </c>
      <c r="R3716">
        <f t="shared" si="527"/>
        <v>0.81187091397898092</v>
      </c>
      <c r="S3716">
        <f t="shared" si="519"/>
        <v>1466.7735677689509</v>
      </c>
      <c r="T3716" s="564">
        <f>IF((I3716-MAX(I$470:I3716))/MAX(I$470:I3716)&gt;T3715,T3715,(I3716-MAX(I$470:I3716))/MAX(I$470:I3716))</f>
        <v>-0.91338805338419748</v>
      </c>
      <c r="U3716" s="564">
        <f>IF((J3716-MAX(J$470:J3716))/MAX(J$470:J3716)&gt;U3715,U3715,(J3716-MAX(J$470:J3716))/MAX(J$470:J3716))</f>
        <v>-0.83569785939843477</v>
      </c>
      <c r="V3716" s="564">
        <f>IF((K3716-MAX(K$470:K3716))/MAX(K$470:K3716)&gt;V3715,V3715,(K3716-MAX(K$470:K3716))/MAX(K$470:K3716))</f>
        <v>-0.84885940676762139</v>
      </c>
      <c r="W3716" s="564">
        <f>IF((N3716-MAX(N$470:N3716))/MAX(N$470:N3716)&gt;W3715,W3715,(N3716-MAX(N$470:N3716))/MAX(N$470:N3716))</f>
        <v>-0.62788758315546067</v>
      </c>
      <c r="X3716" s="564">
        <f>IF((O3716-MAX(O$470:O3716))/MAX(O$470:O3716)&gt;X3715,X3715,(O3716-MAX(O$470:O3716))/MAX(O$470:O3716))</f>
        <v>-0.62788758315546067</v>
      </c>
    </row>
    <row r="3717" spans="1:24">
      <c r="A3717" s="799">
        <v>44119</v>
      </c>
      <c r="B3717">
        <v>11404.2808241436</v>
      </c>
      <c r="C3717">
        <v>58591.602865000001</v>
      </c>
      <c r="D3717">
        <v>1.820505</v>
      </c>
      <c r="E3717">
        <f>LN(D3717/参数实验室!$E$53)/参数实验室!$E$55</f>
        <v>1.3838314551220379E-2</v>
      </c>
      <c r="F3717">
        <f t="shared" ref="F3717:F3780" si="528">C3717/B3717</f>
        <v>5.137685029726538</v>
      </c>
      <c r="G3717">
        <f>LN(F3717/参数实验室!$E$58)/参数实验室!$E$59</f>
        <v>0.66844746408873712</v>
      </c>
      <c r="H3717" s="856">
        <f>INDEX(神经网络!$G$10:$BO$70,MATCH(ROUND(G3717*2,1)/2,神经网络!$E$10:$E$70,0),MATCH(ROUND(E3717*2,1)/2,神经网络!$G$8:$BO$8,0))</f>
        <v>1.5040832557170782</v>
      </c>
      <c r="I3717">
        <f t="shared" si="520"/>
        <v>687699.85862579674</v>
      </c>
      <c r="J3717">
        <f t="shared" si="521"/>
        <v>4550.6088440778785</v>
      </c>
      <c r="K3717">
        <f t="shared" si="522"/>
        <v>151.12260407104935</v>
      </c>
      <c r="L3717" s="4">
        <f>MIN(MAX(L3716*(1+MAX(MIN(((B3717-B3716)/B3716)/($K$7*卓尔金历!$N$40),0),-卓尔金历!$M$43))+MIN(MAX(((B3717-B3716)/B3716)/($K$7*卓尔金历!$N$40),0),卓尔金历!$M$43),0),1)</f>
        <v>0.85765915860374942</v>
      </c>
      <c r="M3717" s="4">
        <f>MIN(MAX(M3716*(1+MAX(MIN(((B3717-B3716)/B3716)/($K$7*30),0),-卓尔金历!$M$43))+MIN(MAX(((B3717-B3716)/B3716)/($K$7*7),0),卓尔金历!$M$43),0),1)</f>
        <v>1</v>
      </c>
      <c r="N3717">
        <f t="shared" si="523"/>
        <v>215186.77663945497</v>
      </c>
      <c r="O3717">
        <f t="shared" si="524"/>
        <v>654003.2490565714</v>
      </c>
      <c r="P3717">
        <f t="shared" si="525"/>
        <v>5.8053685477467837E-3</v>
      </c>
      <c r="Q3717">
        <f t="shared" si="526"/>
        <v>1.1659942573476025E-2</v>
      </c>
      <c r="R3717">
        <f t="shared" si="527"/>
        <v>0.71721616012466716</v>
      </c>
      <c r="S3717">
        <f t="shared" si="519"/>
        <v>1477.1716136624166</v>
      </c>
      <c r="T3717" s="564">
        <f>IF((I3717-MAX(I$470:I3717))/MAX(I$470:I3717)&gt;T3716,T3716,(I3717-MAX(I$470:I3717))/MAX(I$470:I3717))</f>
        <v>-0.91338805338419748</v>
      </c>
      <c r="U3717" s="564">
        <f>IF((J3717-MAX(J$470:J3717))/MAX(J$470:J3717)&gt;U3716,U3716,(J3717-MAX(J$470:J3717))/MAX(J$470:J3717))</f>
        <v>-0.83569785939843477</v>
      </c>
      <c r="V3717" s="564">
        <f>IF((K3717-MAX(K$470:K3717))/MAX(K$470:K3717)&gt;V3716,V3716,(K3717-MAX(K$470:K3717))/MAX(K$470:K3717))</f>
        <v>-0.84885940676762139</v>
      </c>
      <c r="W3717" s="564">
        <f>IF((N3717-MAX(N$470:N3717))/MAX(N$470:N3717)&gt;W3716,W3716,(N3717-MAX(N$470:N3717))/MAX(N$470:N3717))</f>
        <v>-0.62788758315546067</v>
      </c>
      <c r="X3717" s="564">
        <f>IF((O3717-MAX(O$470:O3717))/MAX(O$470:O3717)&gt;X3716,X3716,(O3717-MAX(O$470:O3717))/MAX(O$470:O3717))</f>
        <v>-0.62788758315546067</v>
      </c>
    </row>
    <row r="3718" spans="1:24">
      <c r="A3718" s="799">
        <v>44120</v>
      </c>
      <c r="B3718">
        <v>11333.7226591576</v>
      </c>
      <c r="C3718">
        <v>58601.323714999999</v>
      </c>
      <c r="D3718">
        <v>1.794076</v>
      </c>
      <c r="E3718">
        <f>LN(D3718/参数实验室!$E$53)/参数实验室!$E$55</f>
        <v>-3.4141715024668244E-3</v>
      </c>
      <c r="F3718">
        <f t="shared" si="528"/>
        <v>5.1705274142781654</v>
      </c>
      <c r="G3718">
        <f>LN(F3718/参数实验室!$E$58)/参数实验室!$E$59</f>
        <v>0.67179188810703061</v>
      </c>
      <c r="H3718" s="856">
        <f>INDEX(神经网络!$G$10:$BO$70,MATCH(ROUND(G3718*2,1)/2,神经网络!$E$10:$E$70,0),MATCH(ROUND(E3718*2,1)/2,神经网络!$G$8:$BO$8,0))</f>
        <v>1.5040832557170782</v>
      </c>
      <c r="I3718">
        <f t="shared" si="520"/>
        <v>681300.29758216371</v>
      </c>
      <c r="J3718">
        <f t="shared" si="521"/>
        <v>4522.4542752314646</v>
      </c>
      <c r="K3718">
        <f t="shared" si="522"/>
        <v>150.6483551007918</v>
      </c>
      <c r="L3718" s="4">
        <f>MIN(MAX(L3717*(1+MAX(MIN(((B3718-B3717)/B3717)/($K$7*卓尔金历!$N$40),0),-卓尔金历!$M$43))+MIN(MAX(((B3718-B3717)/B3717)/($K$7*卓尔金历!$N$40),0),卓尔金历!$M$43),0),1)</f>
        <v>0.77658355651116606</v>
      </c>
      <c r="M3718" s="4">
        <f>MIN(MAX(M3717*(1+MAX(MIN(((B3718-B3717)/B3717)/($K$7*30),0),-卓尔金历!$M$43))+MIN(MAX(((B3718-B3717)/B3717)/($K$7*7),0),卓尔金历!$M$43),0),1)</f>
        <v>0.95273436931252931</v>
      </c>
      <c r="N3718">
        <f t="shared" si="523"/>
        <v>213469.33669026103</v>
      </c>
      <c r="O3718">
        <f t="shared" si="524"/>
        <v>647917.26014356618</v>
      </c>
      <c r="P3718">
        <f t="shared" si="525"/>
        <v>-6.1869894361618501E-3</v>
      </c>
      <c r="Q3718">
        <f t="shared" si="526"/>
        <v>1.1747257967125819E-2</v>
      </c>
      <c r="R3718">
        <f t="shared" si="527"/>
        <v>0.66030720214259875</v>
      </c>
      <c r="S3718">
        <f t="shared" si="519"/>
        <v>1467.3126271893836</v>
      </c>
      <c r="T3718" s="564">
        <f>IF((I3718-MAX(I$470:I3718))/MAX(I$470:I3718)&gt;T3717,T3717,(I3718-MAX(I$470:I3718))/MAX(I$470:I3718))</f>
        <v>-0.91338805338419748</v>
      </c>
      <c r="U3718" s="564">
        <f>IF((J3718-MAX(J$470:J3718))/MAX(J$470:J3718)&gt;U3717,U3717,(J3718-MAX(J$470:J3718))/MAX(J$470:J3718))</f>
        <v>-0.83569785939843477</v>
      </c>
      <c r="V3718" s="564">
        <f>IF((K3718-MAX(K$470:K3718))/MAX(K$470:K3718)&gt;V3717,V3717,(K3718-MAX(K$470:K3718))/MAX(K$470:K3718))</f>
        <v>-0.84885940676762139</v>
      </c>
      <c r="W3718" s="564">
        <f>IF((N3718-MAX(N$470:N3718))/MAX(N$470:N3718)&gt;W3717,W3717,(N3718-MAX(N$470:N3718))/MAX(N$470:N3718))</f>
        <v>-0.62788758315546067</v>
      </c>
      <c r="X3718" s="564">
        <f>IF((O3718-MAX(O$470:O3718))/MAX(O$470:O3718)&gt;X3717,X3717,(O3718-MAX(O$470:O3718))/MAX(O$470:O3718))</f>
        <v>-0.62788758315546067</v>
      </c>
    </row>
    <row r="3719" spans="1:24">
      <c r="A3719" s="799">
        <v>44121</v>
      </c>
      <c r="B3719">
        <v>11358.0800064208</v>
      </c>
      <c r="C3719">
        <v>59452.467018000003</v>
      </c>
      <c r="D3719">
        <v>1.797326</v>
      </c>
      <c r="E3719">
        <f>LN(D3719/参数实验室!$E$53)/参数实验室!$E$55</f>
        <v>-1.2789613034764106E-3</v>
      </c>
      <c r="F3719">
        <f t="shared" si="528"/>
        <v>5.2343764953575889</v>
      </c>
      <c r="G3719">
        <f>LN(F3719/参数实验室!$E$58)/参数实验室!$E$59</f>
        <v>0.67823344091459703</v>
      </c>
      <c r="H3719" s="856">
        <f>INDEX(神经网络!$G$10:$BO$70,MATCH(ROUND(G3719*2,1)/2,神经网络!$E$10:$E$70,0),MATCH(ROUND(E3719*2,1)/2,神经网络!$G$8:$BO$8,0))</f>
        <v>1.5361373860901346</v>
      </c>
      <c r="I3719">
        <f t="shared" si="520"/>
        <v>683502.55388677353</v>
      </c>
      <c r="J3719">
        <f t="shared" si="521"/>
        <v>4532.1734992301872</v>
      </c>
      <c r="K3719">
        <f t="shared" si="522"/>
        <v>150.8112065883775</v>
      </c>
      <c r="L3719" s="4">
        <f>MIN(MAX(L3718*(1+MAX(MIN(((B3719-B3718)/B3718)/($K$7*卓尔金历!$N$40),0),-卓尔金历!$M$43))+MIN(MAX(((B3719-B3718)/B3718)/($K$7*卓尔金历!$N$40),0),卓尔金历!$M$43),0),1)</f>
        <v>0.80941980135110669</v>
      </c>
      <c r="M3719" s="4">
        <f>MIN(MAX(M3718*(1+MAX(MIN(((B3719-B3718)/B3718)/($K$7*30),0),-卓尔金历!$M$43))+MIN(MAX(((B3719-B3718)/B3718)/($K$7*7),0),卓尔金历!$M$43),0),1)</f>
        <v>1</v>
      </c>
      <c r="N3719">
        <f t="shared" si="523"/>
        <v>214005.198707239</v>
      </c>
      <c r="O3719">
        <f t="shared" si="524"/>
        <v>649912.61740206473</v>
      </c>
      <c r="P3719">
        <f t="shared" si="525"/>
        <v>2.1491038730790776E-3</v>
      </c>
      <c r="Q3719">
        <f t="shared" si="526"/>
        <v>1.1722854783669677E-2</v>
      </c>
      <c r="R3719">
        <f t="shared" si="527"/>
        <v>1</v>
      </c>
      <c r="S3719">
        <f t="shared" si="519"/>
        <v>1470.4444556937754</v>
      </c>
      <c r="T3719" s="564">
        <f>IF((I3719-MAX(I$470:I3719))/MAX(I$470:I3719)&gt;T3718,T3718,(I3719-MAX(I$470:I3719))/MAX(I$470:I3719))</f>
        <v>-0.91338805338419748</v>
      </c>
      <c r="U3719" s="564">
        <f>IF((J3719-MAX(J$470:J3719))/MAX(J$470:J3719)&gt;U3718,U3718,(J3719-MAX(J$470:J3719))/MAX(J$470:J3719))</f>
        <v>-0.83569785939843477</v>
      </c>
      <c r="V3719" s="564">
        <f>IF((K3719-MAX(K$470:K3719))/MAX(K$470:K3719)&gt;V3718,V3718,(K3719-MAX(K$470:K3719))/MAX(K$470:K3719))</f>
        <v>-0.84885940676762139</v>
      </c>
      <c r="W3719" s="564">
        <f>IF((N3719-MAX(N$470:N3719))/MAX(N$470:N3719)&gt;W3718,W3718,(N3719-MAX(N$470:N3719))/MAX(N$470:N3719))</f>
        <v>-0.62788758315546067</v>
      </c>
      <c r="X3719" s="564">
        <f>IF((O3719-MAX(O$470:O3719))/MAX(O$470:O3719)&gt;X3718,X3718,(O3719-MAX(O$470:O3719))/MAX(O$470:O3719))</f>
        <v>-0.62788758315546067</v>
      </c>
    </row>
    <row r="3720" spans="1:24">
      <c r="A3720" s="799">
        <v>44122</v>
      </c>
      <c r="B3720">
        <v>11430.367034287499</v>
      </c>
      <c r="C3720">
        <v>61318.098333000002</v>
      </c>
      <c r="D3720">
        <v>1.816657</v>
      </c>
      <c r="E3720">
        <f>LN(D3720/参数实验室!$E$53)/参数实验室!$E$55</f>
        <v>1.1342031912966507E-2</v>
      </c>
      <c r="F3720">
        <f t="shared" si="528"/>
        <v>5.3644907594887394</v>
      </c>
      <c r="G3720">
        <f>LN(F3720/参数实验室!$E$58)/参数实验室!$E$59</f>
        <v>0.69112055929883687</v>
      </c>
      <c r="H3720" s="856">
        <f>INDEX(神经网络!$G$10:$BO$70,MATCH(ROUND(G3720*2,1)/2,神经网络!$E$10:$E$70,0),MATCH(ROUND(E3720*2,1)/2,神经网络!$G$8:$BO$8,0))</f>
        <v>1.5361373860901346</v>
      </c>
      <c r="I3720">
        <f t="shared" si="520"/>
        <v>690184.84891137527</v>
      </c>
      <c r="J3720">
        <f t="shared" si="521"/>
        <v>4561.0179299658721</v>
      </c>
      <c r="K3720">
        <f t="shared" si="522"/>
        <v>151.32254674485341</v>
      </c>
      <c r="L3720" s="4">
        <f>MIN(MAX(L3719*(1+MAX(MIN(((B3720-B3719)/B3719)/($K$7*卓尔金历!$N$40),0),-卓尔金历!$M$43))+MIN(MAX(((B3720-B3719)/B3719)/($K$7*卓尔金历!$N$40),0),卓尔金历!$M$43),0),1)</f>
        <v>0.90666127319383749</v>
      </c>
      <c r="M3720" s="4">
        <f>MIN(MAX(M3719*(1+MAX(MIN(((B3720-B3719)/B3719)/($K$7*30),0),-卓尔金历!$M$43))+MIN(MAX(((B3720-B3719)/B3719)/($K$7*7),0),卓尔金历!$M$43),0),1)</f>
        <v>1</v>
      </c>
      <c r="N3720">
        <f t="shared" si="523"/>
        <v>215698.69266878651</v>
      </c>
      <c r="O3720">
        <f t="shared" si="524"/>
        <v>656266.51882495708</v>
      </c>
      <c r="P3720">
        <f t="shared" si="525"/>
        <v>6.364370371210213E-3</v>
      </c>
      <c r="Q3720">
        <f t="shared" si="526"/>
        <v>1.1740736337006383E-2</v>
      </c>
      <c r="R3720">
        <f t="shared" si="527"/>
        <v>0.63125056198336804</v>
      </c>
      <c r="S3720">
        <f t="shared" si="519"/>
        <v>1484.8203254170996</v>
      </c>
      <c r="T3720" s="564">
        <f>IF((I3720-MAX(I$470:I3720))/MAX(I$470:I3720)&gt;T3719,T3719,(I3720-MAX(I$470:I3720))/MAX(I$470:I3720))</f>
        <v>-0.91338805338419748</v>
      </c>
      <c r="U3720" s="564">
        <f>IF((J3720-MAX(J$470:J3720))/MAX(J$470:J3720)&gt;U3719,U3719,(J3720-MAX(J$470:J3720))/MAX(J$470:J3720))</f>
        <v>-0.83569785939843477</v>
      </c>
      <c r="V3720" s="564">
        <f>IF((K3720-MAX(K$470:K3720))/MAX(K$470:K3720)&gt;V3719,V3719,(K3720-MAX(K$470:K3720))/MAX(K$470:K3720))</f>
        <v>-0.84885940676762139</v>
      </c>
      <c r="W3720" s="564">
        <f>IF((N3720-MAX(N$470:N3720))/MAX(N$470:N3720)&gt;W3719,W3719,(N3720-MAX(N$470:N3720))/MAX(N$470:N3720))</f>
        <v>-0.62788758315546067</v>
      </c>
      <c r="X3720" s="564">
        <f>IF((O3720-MAX(O$470:O3720))/MAX(O$470:O3720)&gt;X3719,X3719,(O3720-MAX(O$470:O3720))/MAX(O$470:O3720))</f>
        <v>-0.62788758315546067</v>
      </c>
    </row>
    <row r="3721" spans="1:24">
      <c r="A3721" s="799">
        <v>44123</v>
      </c>
      <c r="B3721">
        <v>11802.184368288799</v>
      </c>
      <c r="C3721">
        <v>62349.095582000002</v>
      </c>
      <c r="D3721">
        <v>1.8516649999999999</v>
      </c>
      <c r="E3721">
        <f>LN(D3721/参数实验室!$E$53)/参数实验室!$E$55</f>
        <v>3.3860259843066946E-2</v>
      </c>
      <c r="F3721">
        <f t="shared" si="528"/>
        <v>5.2828437208221661</v>
      </c>
      <c r="G3721">
        <f>LN(F3721/参数实验室!$E$58)/参数实验室!$E$59</f>
        <v>0.68307091674929521</v>
      </c>
      <c r="H3721" s="856">
        <f>INDEX(神经网络!$G$10:$BO$70,MATCH(ROUND(G3721*2,1)/2,神经网络!$E$10:$E$70,0),MATCH(ROUND(E3721*2,1)/2,神经网络!$G$8:$BO$8,0))</f>
        <v>1.626531289104566</v>
      </c>
      <c r="I3721">
        <f t="shared" si="520"/>
        <v>724672.60488620226</v>
      </c>
      <c r="J3721">
        <f t="shared" si="521"/>
        <v>4709.3828531538129</v>
      </c>
      <c r="K3721">
        <f t="shared" si="522"/>
        <v>153.87846507337972</v>
      </c>
      <c r="L3721" s="4">
        <f>MIN(MAX(L3720*(1+MAX(MIN(((B3721-B3720)/B3720)/($K$7*卓尔金历!$N$40),0),-卓尔金历!$M$43))+MIN(MAX(((B3721-B3720)/B3720)/($K$7*卓尔金历!$N$40),0),卓尔金历!$M$43),0),1)</f>
        <v>1</v>
      </c>
      <c r="M3721" s="4">
        <f>MIN(MAX(M3720*(1+MAX(MIN(((B3721-B3720)/B3720)/($K$7*30),0),-卓尔金历!$M$43))+MIN(MAX(((B3721-B3720)/B3720)/($K$7*7),0),卓尔金历!$M$43),0),1)</f>
        <v>1</v>
      </c>
      <c r="N3721">
        <f t="shared" si="523"/>
        <v>225470.88698812909</v>
      </c>
      <c r="O3721">
        <f t="shared" si="524"/>
        <v>689059.41422302835</v>
      </c>
      <c r="P3721">
        <f t="shared" si="525"/>
        <v>3.2528905929789055E-2</v>
      </c>
      <c r="Q3721">
        <f t="shared" si="526"/>
        <v>1.3075400388894655E-2</v>
      </c>
      <c r="R3721">
        <f t="shared" si="527"/>
        <v>1.0402706219538595E-3</v>
      </c>
      <c r="S3721">
        <f t="shared" si="519"/>
        <v>1531.655829328208</v>
      </c>
      <c r="T3721" s="564">
        <f>IF((I3721-MAX(I$470:I3721))/MAX(I$470:I3721)&gt;T3720,T3720,(I3721-MAX(I$470:I3721))/MAX(I$470:I3721))</f>
        <v>-0.91338805338419748</v>
      </c>
      <c r="U3721" s="564">
        <f>IF((J3721-MAX(J$470:J3721))/MAX(J$470:J3721)&gt;U3720,U3720,(J3721-MAX(J$470:J3721))/MAX(J$470:J3721))</f>
        <v>-0.83569785939843477</v>
      </c>
      <c r="V3721" s="564">
        <f>IF((K3721-MAX(K$470:K3721))/MAX(K$470:K3721)&gt;V3720,V3720,(K3721-MAX(K$470:K3721))/MAX(K$470:K3721))</f>
        <v>-0.84885940676762139</v>
      </c>
      <c r="W3721" s="564">
        <f>IF((N3721-MAX(N$470:N3721))/MAX(N$470:N3721)&gt;W3720,W3720,(N3721-MAX(N$470:N3721))/MAX(N$470:N3721))</f>
        <v>-0.62788758315546067</v>
      </c>
      <c r="X3721" s="564">
        <f>IF((O3721-MAX(O$470:O3721))/MAX(O$470:O3721)&gt;X3720,X3720,(O3721-MAX(O$470:O3721))/MAX(O$470:O3721))</f>
        <v>-0.62788758315546067</v>
      </c>
    </row>
    <row r="3722" spans="1:24">
      <c r="A3722" s="799">
        <v>44124</v>
      </c>
      <c r="B3722">
        <v>11919.6713921137</v>
      </c>
      <c r="C3722">
        <v>62272.592805</v>
      </c>
      <c r="D3722">
        <v>1.8769990000000001</v>
      </c>
      <c r="E3722">
        <f>LN(D3722/参数实验室!$E$53)/参数实验室!$E$55</f>
        <v>4.9891915474957832E-2</v>
      </c>
      <c r="F3722">
        <f t="shared" si="528"/>
        <v>5.2243548296306921</v>
      </c>
      <c r="G3722">
        <f>LN(F3722/参数实验室!$E$58)/参数实验室!$E$59</f>
        <v>0.67722759934135879</v>
      </c>
      <c r="H3722" s="856">
        <f>INDEX(神经网络!$G$10:$BO$70,MATCH(ROUND(G3722*2,1)/2,神经网络!$E$10:$E$70,0),MATCH(ROUND(E3722*2,1)/2,神经网络!$G$8:$BO$8,0))</f>
        <v>1.626531289104566</v>
      </c>
      <c r="I3722">
        <f t="shared" si="520"/>
        <v>736406.21825009002</v>
      </c>
      <c r="J3722">
        <f t="shared" si="521"/>
        <v>4756.2632744557959</v>
      </c>
      <c r="K3722">
        <f t="shared" si="522"/>
        <v>154.82873334726165</v>
      </c>
      <c r="L3722" s="4">
        <f>MIN(MAX(L3721*(1+MAX(MIN(((B3722-B3721)/B3721)/($K$7*卓尔金历!$N$40),0),-卓尔金历!$M$43))+MIN(MAX(((B3722-B3721)/B3721)/($K$7*卓尔金历!$N$40),0),卓尔金历!$M$43),0),1)</f>
        <v>1</v>
      </c>
      <c r="M3722" s="4">
        <f>MIN(MAX(M3721*(1+MAX(MIN(((B3722-B3721)/B3721)/($K$7*30),0),-卓尔金历!$M$43))+MIN(MAX(((B3722-B3721)/B3721)/($K$7*7),0),卓尔金历!$M$43),0),1)</f>
        <v>1</v>
      </c>
      <c r="N3722">
        <f t="shared" si="523"/>
        <v>229121.62277542573</v>
      </c>
      <c r="O3722">
        <f t="shared" si="524"/>
        <v>700216.39283202332</v>
      </c>
      <c r="P3722">
        <f t="shared" si="525"/>
        <v>9.9546846718117261E-3</v>
      </c>
      <c r="Q3722">
        <f t="shared" si="526"/>
        <v>1.2326747425041428E-2</v>
      </c>
      <c r="R3722">
        <f t="shared" si="527"/>
        <v>0.22959820966358943</v>
      </c>
      <c r="S3722">
        <f t="shared" si="519"/>
        <v>1531.6816280061951</v>
      </c>
      <c r="T3722" s="564">
        <f>IF((I3722-MAX(I$470:I3722))/MAX(I$470:I3722)&gt;T3721,T3721,(I3722-MAX(I$470:I3722))/MAX(I$470:I3722))</f>
        <v>-0.91338805338419748</v>
      </c>
      <c r="U3722" s="564">
        <f>IF((J3722-MAX(J$470:J3722))/MAX(J$470:J3722)&gt;U3721,U3721,(J3722-MAX(J$470:J3722))/MAX(J$470:J3722))</f>
        <v>-0.83569785939843477</v>
      </c>
      <c r="V3722" s="564">
        <f>IF((K3722-MAX(K$470:K3722))/MAX(K$470:K3722)&gt;V3721,V3721,(K3722-MAX(K$470:K3722))/MAX(K$470:K3722))</f>
        <v>-0.84885940676762139</v>
      </c>
      <c r="W3722" s="564">
        <f>IF((N3722-MAX(N$470:N3722))/MAX(N$470:N3722)&gt;W3721,W3721,(N3722-MAX(N$470:N3722))/MAX(N$470:N3722))</f>
        <v>-0.62788758315546067</v>
      </c>
      <c r="X3722" s="564">
        <f>IF((O3722-MAX(O$470:O3722))/MAX(O$470:O3722)&gt;X3721,X3721,(O3722-MAX(O$470:O3722))/MAX(O$470:O3722))</f>
        <v>-0.62788758315546067</v>
      </c>
    </row>
    <row r="3723" spans="1:24">
      <c r="A3723" s="799">
        <v>44125</v>
      </c>
      <c r="B3723">
        <v>12686.8569881331</v>
      </c>
      <c r="C3723">
        <v>62931.066549000003</v>
      </c>
      <c r="D3723">
        <v>2.0134150000000002</v>
      </c>
      <c r="E3723">
        <f>LN(D3723/参数实验室!$E$53)/参数实验室!$E$55</f>
        <v>0.132661114976838</v>
      </c>
      <c r="F3723">
        <f t="shared" si="528"/>
        <v>4.9603354564384077</v>
      </c>
      <c r="G3723">
        <f>LN(F3723/参数实验室!$E$58)/参数实验室!$E$59</f>
        <v>0.65000974889658558</v>
      </c>
      <c r="H3723" s="856">
        <f>INDEX(神经网络!$G$10:$BO$70,MATCH(ROUND(G3723*2,1)/2,神经网络!$E$10:$E$70,0),MATCH(ROUND(E3723*2,1)/2,神经网络!$G$8:$BO$8,0))</f>
        <v>1.7612313580803427</v>
      </c>
      <c r="I3723">
        <f t="shared" si="520"/>
        <v>813499.41007220349</v>
      </c>
      <c r="J3723">
        <f t="shared" si="521"/>
        <v>5062.3905622812617</v>
      </c>
      <c r="K3723">
        <f t="shared" si="522"/>
        <v>160.69471528597683</v>
      </c>
      <c r="L3723" s="4">
        <f>MIN(MAX(L3722*(1+MAX(MIN(((B3723-B3722)/B3722)/($K$7*卓尔金历!$N$40),0),-卓尔金历!$M$43))+MIN(MAX(((B3723-B3722)/B3722)/($K$7*卓尔金历!$N$40),0),卓尔金历!$M$43),0),1)</f>
        <v>1</v>
      </c>
      <c r="M3723" s="4">
        <f>MIN(MAX(M3722*(1+MAX(MIN(((B3723-B3722)/B3722)/($K$7*30),0),-卓尔金历!$M$43))+MIN(MAX(((B3723-B3722)/B3722)/($K$7*7),0),卓尔金历!$M$43),0),1)</f>
        <v>1</v>
      </c>
      <c r="N3723">
        <f t="shared" si="523"/>
        <v>253107.99982856063</v>
      </c>
      <c r="O3723">
        <f t="shared" si="524"/>
        <v>773520.92958330689</v>
      </c>
      <c r="P3723">
        <f t="shared" si="525"/>
        <v>6.4362982064001067E-2</v>
      </c>
      <c r="Q3723">
        <f t="shared" si="526"/>
        <v>1.7639078105700329E-2</v>
      </c>
      <c r="R3723">
        <f t="shared" si="527"/>
        <v>0</v>
      </c>
      <c r="S3723">
        <f t="shared" si="519"/>
        <v>1568.4975414373714</v>
      </c>
      <c r="T3723" s="564">
        <f>IF((I3723-MAX(I$470:I3723))/MAX(I$470:I3723)&gt;T3722,T3722,(I3723-MAX(I$470:I3723))/MAX(I$470:I3723))</f>
        <v>-0.91338805338419748</v>
      </c>
      <c r="U3723" s="564">
        <f>IF((J3723-MAX(J$470:J3723))/MAX(J$470:J3723)&gt;U3722,U3722,(J3723-MAX(J$470:J3723))/MAX(J$470:J3723))</f>
        <v>-0.83569785939843477</v>
      </c>
      <c r="V3723" s="564">
        <f>IF((K3723-MAX(K$470:K3723))/MAX(K$470:K3723)&gt;V3722,V3722,(K3723-MAX(K$470:K3723))/MAX(K$470:K3723))</f>
        <v>-0.84885940676762139</v>
      </c>
      <c r="W3723" s="564">
        <f>IF((N3723-MAX(N$470:N3723))/MAX(N$470:N3723)&gt;W3722,W3722,(N3723-MAX(N$470:N3723))/MAX(N$470:N3723))</f>
        <v>-0.62788758315546067</v>
      </c>
      <c r="X3723" s="564">
        <f>IF((O3723-MAX(O$470:O3723))/MAX(O$470:O3723)&gt;X3722,X3722,(O3723-MAX(O$470:O3723))/MAX(O$470:O3723))</f>
        <v>-0.62788758315546067</v>
      </c>
    </row>
    <row r="3724" spans="1:24">
      <c r="A3724" s="799">
        <v>44126</v>
      </c>
      <c r="B3724">
        <v>12919.987379971</v>
      </c>
      <c r="C3724">
        <v>62462.816042999999</v>
      </c>
      <c r="D3724">
        <v>2.020187</v>
      </c>
      <c r="E3724">
        <f>LN(D3724/参数实验室!$E$53)/参数实验室!$E$55</f>
        <v>0.13662248571923841</v>
      </c>
      <c r="F3724">
        <f t="shared" si="528"/>
        <v>4.8345880074025427</v>
      </c>
      <c r="G3724">
        <f>LN(F3724/参数实验室!$E$58)/参数实验室!$E$59</f>
        <v>0.63653283230601243</v>
      </c>
      <c r="H3724" s="856">
        <f>INDEX(神经网络!$G$10:$BO$70,MATCH(ROUND(G3724*2,1)/2,神经网络!$E$10:$E$70,0),MATCH(ROUND(E3724*2,1)/2,神经网络!$G$8:$BO$8,0))</f>
        <v>1.7612313580803427</v>
      </c>
      <c r="I3724">
        <f t="shared" si="520"/>
        <v>839827.44836456713</v>
      </c>
      <c r="J3724">
        <f t="shared" si="521"/>
        <v>5155.4157375886716</v>
      </c>
      <c r="K3724">
        <f t="shared" si="522"/>
        <v>162.90198329521672</v>
      </c>
      <c r="L3724" s="4">
        <f>MIN(MAX(L3723*(1+MAX(MIN(((B3724-B3723)/B3723)/($K$7*卓尔金历!$N$40),0),-卓尔金历!$M$43))+MIN(MAX(((B3724-B3723)/B3723)/($K$7*卓尔金历!$N$40),0),卓尔金历!$M$43),0),1)</f>
        <v>1</v>
      </c>
      <c r="M3724" s="4">
        <f>MIN(MAX(M3723*(1+MAX(MIN(((B3724-B3723)/B3723)/($K$7*30),0),-卓尔金历!$M$43))+MIN(MAX(((B3724-B3723)/B3723)/($K$7*7),0),卓尔金历!$M$43),0),1)</f>
        <v>1</v>
      </c>
      <c r="N3724">
        <f t="shared" si="523"/>
        <v>261299.56952004749</v>
      </c>
      <c r="O3724">
        <f t="shared" si="524"/>
        <v>798555.10711541655</v>
      </c>
      <c r="P3724">
        <f t="shared" si="525"/>
        <v>1.8375740504993708E-2</v>
      </c>
      <c r="Q3724">
        <f t="shared" si="526"/>
        <v>1.7576171641968331E-2</v>
      </c>
      <c r="R3724">
        <f t="shared" si="527"/>
        <v>1.6854364149205433E-2</v>
      </c>
      <c r="S3724">
        <f t="shared" si="519"/>
        <v>1568.4975414373714</v>
      </c>
      <c r="T3724" s="564">
        <f>IF((I3724-MAX(I$470:I3724))/MAX(I$470:I3724)&gt;T3723,T3723,(I3724-MAX(I$470:I3724))/MAX(I$470:I3724))</f>
        <v>-0.91338805338419748</v>
      </c>
      <c r="U3724" s="564">
        <f>IF((J3724-MAX(J$470:J3724))/MAX(J$470:J3724)&gt;U3723,U3723,(J3724-MAX(J$470:J3724))/MAX(J$470:J3724))</f>
        <v>-0.83569785939843477</v>
      </c>
      <c r="V3724" s="564">
        <f>IF((K3724-MAX(K$470:K3724))/MAX(K$470:K3724)&gt;V3723,V3723,(K3724-MAX(K$470:K3724))/MAX(K$470:K3724))</f>
        <v>-0.84885940676762139</v>
      </c>
      <c r="W3724" s="564">
        <f>IF((N3724-MAX(N$470:N3724))/MAX(N$470:N3724)&gt;W3723,W3723,(N3724-MAX(N$470:N3724))/MAX(N$470:N3724))</f>
        <v>-0.62788758315546067</v>
      </c>
      <c r="X3724" s="564">
        <f>IF((O3724-MAX(O$470:O3724))/MAX(O$470:O3724)&gt;X3723,X3723,(O3724-MAX(O$470:O3724))/MAX(O$470:O3724))</f>
        <v>-0.62788758315546067</v>
      </c>
    </row>
    <row r="3725" spans="1:24">
      <c r="A3725" s="799">
        <v>44127</v>
      </c>
      <c r="B3725">
        <v>12934.8947698342</v>
      </c>
      <c r="C3725">
        <v>63080.197671000002</v>
      </c>
      <c r="D3725">
        <v>2.008499</v>
      </c>
      <c r="E3725">
        <f>LN(D3725/参数实验室!$E$53)/参数实验室!$E$55</f>
        <v>0.12977708024329823</v>
      </c>
      <c r="F3725">
        <f t="shared" si="528"/>
        <v>4.8767461037341366</v>
      </c>
      <c r="G3725">
        <f>LN(F3725/参数实验室!$E$58)/参数实验室!$E$59</f>
        <v>0.64108977289783364</v>
      </c>
      <c r="H3725" s="856">
        <f>INDEX(神经网络!$G$10:$BO$70,MATCH(ROUND(G3725*2,1)/2,神经网络!$E$10:$E$70,0),MATCH(ROUND(E3725*2,1)/2,神经网络!$G$8:$BO$8,0))</f>
        <v>1.7612313580803427</v>
      </c>
      <c r="I3725">
        <f t="shared" si="520"/>
        <v>841534.10437288263</v>
      </c>
      <c r="J3725">
        <f t="shared" si="521"/>
        <v>5161.3641793360875</v>
      </c>
      <c r="K3725">
        <f t="shared" si="522"/>
        <v>163.04489959108645</v>
      </c>
      <c r="L3725" s="4">
        <f>MIN(MAX(L3724*(1+MAX(MIN(((B3725-B3724)/B3724)/($K$7*卓尔金历!$N$40),0),-卓尔金历!$M$43))+MIN(MAX(((B3725-B3724)/B3724)/($K$7*卓尔金历!$N$40),0),卓尔金历!$M$43),0),1)</f>
        <v>1</v>
      </c>
      <c r="M3725" s="4">
        <f>MIN(MAX(M3724*(1+MAX(MIN(((B3725-B3724)/B3724)/($K$7*30),0),-卓尔金历!$M$43))+MIN(MAX(((B3725-B3724)/B3724)/($K$7*7),0),卓尔金历!$M$43),0),1)</f>
        <v>1</v>
      </c>
      <c r="N3725">
        <f t="shared" si="523"/>
        <v>261830.56964532327</v>
      </c>
      <c r="O3725">
        <f t="shared" si="524"/>
        <v>800177.89150307083</v>
      </c>
      <c r="P3725">
        <f t="shared" si="525"/>
        <v>1.1538238718645738E-3</v>
      </c>
      <c r="Q3725">
        <f t="shared" si="526"/>
        <v>1.6395148909940999E-2</v>
      </c>
      <c r="R3725">
        <f t="shared" si="527"/>
        <v>1</v>
      </c>
      <c r="S3725">
        <f t="shared" si="519"/>
        <v>1568.5512634339038</v>
      </c>
      <c r="T3725" s="564">
        <f>IF((I3725-MAX(I$470:I3725))/MAX(I$470:I3725)&gt;T3724,T3724,(I3725-MAX(I$470:I3725))/MAX(I$470:I3725))</f>
        <v>-0.91338805338419748</v>
      </c>
      <c r="U3725" s="564">
        <f>IF((J3725-MAX(J$470:J3725))/MAX(J$470:J3725)&gt;U3724,U3724,(J3725-MAX(J$470:J3725))/MAX(J$470:J3725))</f>
        <v>-0.83569785939843477</v>
      </c>
      <c r="V3725" s="564">
        <f>IF((K3725-MAX(K$470:K3725))/MAX(K$470:K3725)&gt;V3724,V3724,(K3725-MAX(K$470:K3725))/MAX(K$470:K3725))</f>
        <v>-0.84885940676762139</v>
      </c>
      <c r="W3725" s="564">
        <f>IF((N3725-MAX(N$470:N3725))/MAX(N$470:N3725)&gt;W3724,W3724,(N3725-MAX(N$470:N3725))/MAX(N$470:N3725))</f>
        <v>-0.62788758315546067</v>
      </c>
      <c r="X3725" s="564">
        <f>IF((O3725-MAX(O$470:O3725))/MAX(O$470:O3725)&gt;X3724,X3724,(O3725-MAX(O$470:O3725))/MAX(O$470:O3725))</f>
        <v>-0.62788758315546067</v>
      </c>
    </row>
    <row r="3726" spans="1:24">
      <c r="A3726" s="799">
        <v>44128</v>
      </c>
      <c r="B3726">
        <v>13114.909609537301</v>
      </c>
      <c r="C3726">
        <v>62438.551233999999</v>
      </c>
      <c r="D3726">
        <v>2.0290279999999998</v>
      </c>
      <c r="E3726">
        <f>LN(D3726/参数实验室!$E$53)/参数实验室!$E$55</f>
        <v>0.14177420772175001</v>
      </c>
      <c r="F3726">
        <f t="shared" si="528"/>
        <v>4.760883078339635</v>
      </c>
      <c r="G3726">
        <f>LN(F3726/参数实验室!$E$58)/参数实验室!$E$59</f>
        <v>0.62846963446995108</v>
      </c>
      <c r="H3726" s="856">
        <f>INDEX(神经网络!$G$10:$BO$70,MATCH(ROUND(G3726*2,1)/2,神经网络!$E$10:$E$70,0),MATCH(ROUND(E3726*2,1)/2,神经网络!$G$8:$BO$8,0))</f>
        <v>1.7612313580803427</v>
      </c>
      <c r="I3726">
        <f t="shared" si="520"/>
        <v>862160.98420780688</v>
      </c>
      <c r="J3726">
        <f t="shared" si="521"/>
        <v>5233.1948483848491</v>
      </c>
      <c r="K3726">
        <f t="shared" si="522"/>
        <v>164.7484966996596</v>
      </c>
      <c r="L3726" s="4">
        <f>MIN(MAX(L3725*(1+MAX(MIN(((B3726-B3725)/B3725)/($K$7*卓尔金历!$N$40),0),-卓尔金历!$M$43))+MIN(MAX(((B3726-B3725)/B3725)/($K$7*卓尔金历!$N$40),0),卓尔金历!$M$43),0),1)</f>
        <v>1</v>
      </c>
      <c r="M3726" s="4">
        <f>MIN(MAX(M3725*(1+MAX(MIN(((B3726-B3725)/B3725)/($K$7*30),0),-卓尔金历!$M$43))+MIN(MAX(((B3726-B3725)/B3725)/($K$7*7),0),卓尔金历!$M$43),0),1)</f>
        <v>1</v>
      </c>
      <c r="N3726">
        <f t="shared" si="523"/>
        <v>268248.31037516397</v>
      </c>
      <c r="O3726">
        <f t="shared" si="524"/>
        <v>819791.08736623393</v>
      </c>
      <c r="P3726">
        <f t="shared" si="525"/>
        <v>1.3916992979557744E-2</v>
      </c>
      <c r="Q3726">
        <f t="shared" si="526"/>
        <v>1.6335678682513542E-2</v>
      </c>
      <c r="R3726">
        <f t="shared" si="527"/>
        <v>0.17926330562480922</v>
      </c>
      <c r="S3726">
        <f t="shared" si="519"/>
        <v>1606.9980931674181</v>
      </c>
      <c r="T3726" s="564">
        <f>IF((I3726-MAX(I$470:I3726))/MAX(I$470:I3726)&gt;T3725,T3725,(I3726-MAX(I$470:I3726))/MAX(I$470:I3726))</f>
        <v>-0.91338805338419748</v>
      </c>
      <c r="U3726" s="564">
        <f>IF((J3726-MAX(J$470:J3726))/MAX(J$470:J3726)&gt;U3725,U3725,(J3726-MAX(J$470:J3726))/MAX(J$470:J3726))</f>
        <v>-0.83569785939843477</v>
      </c>
      <c r="V3726" s="564">
        <f>IF((K3726-MAX(K$470:K3726))/MAX(K$470:K3726)&gt;V3725,V3725,(K3726-MAX(K$470:K3726))/MAX(K$470:K3726))</f>
        <v>-0.84885940676762139</v>
      </c>
      <c r="W3726" s="564">
        <f>IF((N3726-MAX(N$470:N3726))/MAX(N$470:N3726)&gt;W3725,W3725,(N3726-MAX(N$470:N3726))/MAX(N$470:N3726))</f>
        <v>-0.62788758315546067</v>
      </c>
      <c r="X3726" s="564">
        <f>IF((O3726-MAX(O$470:O3726))/MAX(O$470:O3726)&gt;X3725,X3725,(O3726-MAX(O$470:O3726))/MAX(O$470:O3726))</f>
        <v>-0.62788758315546067</v>
      </c>
    </row>
    <row r="3727" spans="1:24">
      <c r="A3727" s="799">
        <v>44129</v>
      </c>
      <c r="B3727">
        <v>12927.641285621899</v>
      </c>
      <c r="C3727">
        <v>64745.864816000001</v>
      </c>
      <c r="D3727">
        <v>2.0156879999999999</v>
      </c>
      <c r="E3727">
        <f>LN(D3727/参数实验室!$E$53)/参数实验室!$E$55</f>
        <v>0.13399221989424939</v>
      </c>
      <c r="F3727">
        <f t="shared" si="528"/>
        <v>5.0083277672633324</v>
      </c>
      <c r="G3727">
        <f>LN(F3727/参数实验室!$E$58)/参数实验室!$E$59</f>
        <v>0.65506341605691143</v>
      </c>
      <c r="H3727" s="856">
        <f>INDEX(神经网络!$G$10:$BO$70,MATCH(ROUND(G3727*2,1)/2,神经网络!$E$10:$E$70,0),MATCH(ROUND(E3727*2,1)/2,神经网络!$G$8:$BO$8,0))</f>
        <v>1.7612313580803427</v>
      </c>
      <c r="I3727">
        <f t="shared" si="520"/>
        <v>840478.76171023736</v>
      </c>
      <c r="J3727">
        <f t="shared" si="521"/>
        <v>5158.4698478200671</v>
      </c>
      <c r="K3727">
        <f t="shared" si="522"/>
        <v>162.93179692916451</v>
      </c>
      <c r="L3727" s="4">
        <f>MIN(MAX(L3726*(1+MAX(MIN(((B3727-B3726)/B3726)/($K$7*卓尔金历!$N$40),0),-卓尔金历!$M$43))+MIN(MAX(((B3727-B3726)/B3726)/($K$7*卓尔金历!$N$40),0),卓尔金历!$M$43),0),1)</f>
        <v>0.78182996553939721</v>
      </c>
      <c r="M3727" s="4">
        <f>MIN(MAX(M3726*(1+MAX(MIN(((B3727-B3726)/B3726)/($K$7*30),0),-卓尔金历!$M$43))+MIN(MAX(((B3727-B3726)/B3726)/($K$7*7),0),卓尔金历!$M$43),0),1)</f>
        <v>0.8909149827696986</v>
      </c>
      <c r="N3727">
        <f t="shared" si="523"/>
        <v>261502.21578646533</v>
      </c>
      <c r="O3727">
        <f t="shared" si="524"/>
        <v>799174.41242572793</v>
      </c>
      <c r="P3727">
        <f t="shared" si="525"/>
        <v>-1.4279040381583544E-2</v>
      </c>
      <c r="Q3727">
        <f t="shared" si="526"/>
        <v>1.7140418576475854E-2</v>
      </c>
      <c r="R3727">
        <f t="shared" si="527"/>
        <v>0.20196591393487706</v>
      </c>
      <c r="S3727">
        <f t="shared" si="519"/>
        <v>1599.7533633592263</v>
      </c>
      <c r="T3727" s="564">
        <f>IF((I3727-MAX(I$470:I3727))/MAX(I$470:I3727)&gt;T3726,T3726,(I3727-MAX(I$470:I3727))/MAX(I$470:I3727))</f>
        <v>-0.91338805338419748</v>
      </c>
      <c r="U3727" s="564">
        <f>IF((J3727-MAX(J$470:J3727))/MAX(J$470:J3727)&gt;U3726,U3726,(J3727-MAX(J$470:J3727))/MAX(J$470:J3727))</f>
        <v>-0.83569785939843477</v>
      </c>
      <c r="V3727" s="564">
        <f>IF((K3727-MAX(K$470:K3727))/MAX(K$470:K3727)&gt;V3726,V3726,(K3727-MAX(K$470:K3727))/MAX(K$470:K3727))</f>
        <v>-0.84885940676762139</v>
      </c>
      <c r="W3727" s="564">
        <f>IF((N3727-MAX(N$470:N3727))/MAX(N$470:N3727)&gt;W3726,W3726,(N3727-MAX(N$470:N3727))/MAX(N$470:N3727))</f>
        <v>-0.62788758315546067</v>
      </c>
      <c r="X3727" s="564">
        <f>IF((O3727-MAX(O$470:O3727))/MAX(O$470:O3727)&gt;X3726,X3726,(O3727-MAX(O$470:O3727))/MAX(O$470:O3727))</f>
        <v>-0.62788758315546067</v>
      </c>
    </row>
    <row r="3728" spans="1:24">
      <c r="A3728" s="799">
        <v>44130</v>
      </c>
      <c r="B3728">
        <v>13002.208973581301</v>
      </c>
      <c r="C3728">
        <v>66599.956839999999</v>
      </c>
      <c r="D3728">
        <v>2.0195419999999999</v>
      </c>
      <c r="E3728">
        <f>LN(D3728/参数实验室!$E$53)/参数实验室!$E$55</f>
        <v>0.13624575705806927</v>
      </c>
      <c r="F3728">
        <f t="shared" si="528"/>
        <v>5.1222032329523346</v>
      </c>
      <c r="G3728">
        <f>LN(F3728/参数实验室!$E$58)/参数实验室!$E$59</f>
        <v>0.66686349171196391</v>
      </c>
      <c r="H3728" s="856">
        <f>INDEX(神经网络!$G$10:$BO$70,MATCH(ROUND(G3728*2,1)/2,神经网络!$E$10:$E$70,0),MATCH(ROUND(E3728*2,1)/2,神经网络!$G$8:$BO$8,0))</f>
        <v>1.7612313580803427</v>
      </c>
      <c r="I3728">
        <f t="shared" si="520"/>
        <v>849017.12320031202</v>
      </c>
      <c r="J3728">
        <f t="shared" si="521"/>
        <v>5188.2243220866176</v>
      </c>
      <c r="K3728">
        <f t="shared" si="522"/>
        <v>163.64310224328378</v>
      </c>
      <c r="L3728" s="4">
        <f>MIN(MAX(L3727*(1+MAX(MIN(((B3728-B3727)/B3727)/($K$7*卓尔金历!$N$40),0),-卓尔金历!$M$43))+MIN(MAX(((B3728-B3727)/B3727)/($K$7*卓尔金历!$N$40),0),卓尔金历!$M$43),0),1)</f>
        <v>0.86996071496154548</v>
      </c>
      <c r="M3728" s="4">
        <f>MIN(MAX(M3727*(1+MAX(MIN(((B3728-B3727)/B3727)/($K$7*30),0),-卓尔金历!$M$43))+MIN(MAX(((B3728-B3727)/B3727)/($K$7*7),0),卓尔金历!$M$43),0),1)</f>
        <v>1</v>
      </c>
      <c r="N3728">
        <f t="shared" si="523"/>
        <v>263579.2109200735</v>
      </c>
      <c r="O3728">
        <f t="shared" si="524"/>
        <v>806407.53170720709</v>
      </c>
      <c r="P3728">
        <f t="shared" si="525"/>
        <v>5.7680814552253405E-3</v>
      </c>
      <c r="Q3728">
        <f t="shared" si="526"/>
        <v>1.7151394414103106E-2</v>
      </c>
      <c r="R3728">
        <f t="shared" si="527"/>
        <v>1</v>
      </c>
      <c r="S3728">
        <f t="shared" si="519"/>
        <v>1603.0356681384944</v>
      </c>
      <c r="T3728" s="564">
        <f>IF((I3728-MAX(I$470:I3728))/MAX(I$470:I3728)&gt;T3727,T3727,(I3728-MAX(I$470:I3728))/MAX(I$470:I3728))</f>
        <v>-0.91338805338419748</v>
      </c>
      <c r="U3728" s="564">
        <f>IF((J3728-MAX(J$470:J3728))/MAX(J$470:J3728)&gt;U3727,U3727,(J3728-MAX(J$470:J3728))/MAX(J$470:J3728))</f>
        <v>-0.83569785939843477</v>
      </c>
      <c r="V3728" s="564">
        <f>IF((K3728-MAX(K$470:K3728))/MAX(K$470:K3728)&gt;V3727,V3727,(K3728-MAX(K$470:K3728))/MAX(K$470:K3728))</f>
        <v>-0.84885940676762139</v>
      </c>
      <c r="W3728" s="564">
        <f>IF((N3728-MAX(N$470:N3728))/MAX(N$470:N3728)&gt;W3727,W3727,(N3728-MAX(N$470:N3728))/MAX(N$470:N3728))</f>
        <v>-0.62788758315546067</v>
      </c>
      <c r="X3728" s="564">
        <f>IF((O3728-MAX(O$470:O3728))/MAX(O$470:O3728)&gt;X3727,X3727,(O3728-MAX(O$470:O3728))/MAX(O$470:O3728))</f>
        <v>-0.62788758315546067</v>
      </c>
    </row>
    <row r="3729" spans="1:24">
      <c r="A3729" s="799">
        <v>44131</v>
      </c>
      <c r="B3729">
        <v>13604.6941911618</v>
      </c>
      <c r="C3729">
        <v>69163.596730000005</v>
      </c>
      <c r="D3729">
        <v>2.1036999999999999</v>
      </c>
      <c r="E3729">
        <f>LN(D3729/参数实验室!$E$53)/参数实验室!$E$55</f>
        <v>0.18441147919138889</v>
      </c>
      <c r="F3729">
        <f t="shared" si="528"/>
        <v>5.0838038516831698</v>
      </c>
      <c r="G3729">
        <f>LN(F3729/参数实验室!$E$58)/参数实验室!$E$59</f>
        <v>0.66291402049484049</v>
      </c>
      <c r="H3729" s="856">
        <f>INDEX(神经网络!$G$10:$BO$70,MATCH(ROUND(G3729*2,1)/2,神经网络!$E$10:$E$70,0),MATCH(ROUND(E3729*2,1)/2,神经网络!$G$8:$BO$8,0))</f>
        <v>1.8353454940407206</v>
      </c>
      <c r="I3729">
        <f t="shared" si="520"/>
        <v>918305.77522529964</v>
      </c>
      <c r="J3729">
        <f t="shared" si="521"/>
        <v>5428.6318148365071</v>
      </c>
      <c r="K3729">
        <f t="shared" si="522"/>
        <v>169.15970847674001</v>
      </c>
      <c r="L3729" s="4">
        <f>MIN(MAX(L3728*(1+MAX(MIN(((B3729-B3728)/B3728)/($K$7*卓尔金历!$N$40),0),-卓尔金历!$M$43))+MIN(MAX(((B3729-B3728)/B3728)/($K$7*卓尔金历!$N$40),0),卓尔金历!$M$43),0),1)</f>
        <v>1</v>
      </c>
      <c r="M3729" s="4">
        <f>MIN(MAX(M3728*(1+MAX(MIN(((B3729-B3728)/B3728)/($K$7*30),0),-卓尔金历!$M$43))+MIN(MAX(((B3729-B3728)/B3728)/($K$7*7),0),卓尔金历!$M$43),0),1)</f>
        <v>1</v>
      </c>
      <c r="N3729">
        <f t="shared" si="523"/>
        <v>282292.77282396139</v>
      </c>
      <c r="O3729">
        <f t="shared" si="524"/>
        <v>872218.79667224479</v>
      </c>
      <c r="P3729">
        <f t="shared" si="525"/>
        <v>4.6337143081199975E-2</v>
      </c>
      <c r="Q3729">
        <f t="shared" si="526"/>
        <v>1.8708643700239551E-2</v>
      </c>
      <c r="R3729">
        <f t="shared" si="527"/>
        <v>1.5957962858048381E-3</v>
      </c>
      <c r="S3729">
        <f t="shared" si="519"/>
        <v>1733.8600974204535</v>
      </c>
      <c r="T3729" s="564">
        <f>IF((I3729-MAX(I$470:I3729))/MAX(I$470:I3729)&gt;T3728,T3728,(I3729-MAX(I$470:I3729))/MAX(I$470:I3729))</f>
        <v>-0.91338805338419748</v>
      </c>
      <c r="U3729" s="564">
        <f>IF((J3729-MAX(J$470:J3729))/MAX(J$470:J3729)&gt;U3728,U3728,(J3729-MAX(J$470:J3729))/MAX(J$470:J3729))</f>
        <v>-0.83569785939843477</v>
      </c>
      <c r="V3729" s="564">
        <f>IF((K3729-MAX(K$470:K3729))/MAX(K$470:K3729)&gt;V3728,V3728,(K3729-MAX(K$470:K3729))/MAX(K$470:K3729))</f>
        <v>-0.84885940676762139</v>
      </c>
      <c r="W3729" s="564">
        <f>IF((N3729-MAX(N$470:N3729))/MAX(N$470:N3729)&gt;W3728,W3728,(N3729-MAX(N$470:N3729))/MAX(N$470:N3729))</f>
        <v>-0.62788758315546067</v>
      </c>
      <c r="X3729" s="564">
        <f>IF((O3729-MAX(O$470:O3729))/MAX(O$470:O3729)&gt;X3728,X3728,(O3729-MAX(O$470:O3729))/MAX(O$470:O3729))</f>
        <v>-0.62788758315546067</v>
      </c>
    </row>
    <row r="3730" spans="1:24">
      <c r="A3730" s="799">
        <v>44132</v>
      </c>
      <c r="B3730">
        <v>13240.737656998799</v>
      </c>
      <c r="C3730">
        <v>70625.595862000002</v>
      </c>
      <c r="D3730">
        <v>2.0404930000000001</v>
      </c>
      <c r="E3730">
        <f>LN(D3730/参数实验室!$E$53)/参数实验室!$E$55</f>
        <v>0.14842162727195377</v>
      </c>
      <c r="F3730">
        <f t="shared" si="528"/>
        <v>5.3339623283502391</v>
      </c>
      <c r="G3730">
        <f>LN(F3730/参数实验室!$E$58)/参数实验室!$E$59</f>
        <v>0.68812517036352561</v>
      </c>
      <c r="H3730" s="856">
        <f>INDEX(神经网络!$G$10:$BO$70,MATCH(ROUND(G3730*2,1)/2,神经网络!$E$10:$E$70,0),MATCH(ROUND(E3730*2,1)/2,神经网络!$G$8:$BO$8,0))</f>
        <v>1.7932268923217818</v>
      </c>
      <c r="I3730">
        <f t="shared" si="520"/>
        <v>873217.2653934448</v>
      </c>
      <c r="J3730">
        <f t="shared" si="521"/>
        <v>5283.4035581177013</v>
      </c>
      <c r="K3730">
        <f t="shared" si="522"/>
        <v>165.27551904525399</v>
      </c>
      <c r="L3730" s="4">
        <f>MIN(MAX(L3729*(1+MAX(MIN(((B3730-B3729)/B3729)/($K$7*卓尔金历!$N$40),0),-卓尔金历!$M$43))+MIN(MAX(((B3730-B3729)/B3729)/($K$7*卓尔金历!$N$40),0),卓尔金历!$M$43),0),1)</f>
        <v>0.59125089466067937</v>
      </c>
      <c r="M3730" s="4">
        <f>MIN(MAX(M3729*(1+MAX(MIN(((B3730-B3729)/B3729)/($K$7*30),0),-卓尔金历!$M$43))+MIN(MAX(((B3730-B3729)/B3729)/($K$7*7),0),卓尔金历!$M$43),0),1)</f>
        <v>0.79562544733033969</v>
      </c>
      <c r="N3730">
        <f t="shared" si="523"/>
        <v>268432.29104727652</v>
      </c>
      <c r="O3730">
        <f t="shared" si="524"/>
        <v>829393.14224397275</v>
      </c>
      <c r="P3730">
        <f t="shared" si="525"/>
        <v>-2.6752276019511152E-2</v>
      </c>
      <c r="Q3730">
        <f t="shared" si="526"/>
        <v>2.0001093436768272E-2</v>
      </c>
      <c r="R3730">
        <f t="shared" si="527"/>
        <v>1.3267560010877186E-2</v>
      </c>
      <c r="S3730">
        <f t="shared" si="519"/>
        <v>1733.7242441591825</v>
      </c>
      <c r="T3730" s="564">
        <f>IF((I3730-MAX(I$470:I3730))/MAX(I$470:I3730)&gt;T3729,T3729,(I3730-MAX(I$470:I3730))/MAX(I$470:I3730))</f>
        <v>-0.91338805338419748</v>
      </c>
      <c r="U3730" s="564">
        <f>IF((J3730-MAX(J$470:J3730))/MAX(J$470:J3730)&gt;U3729,U3729,(J3730-MAX(J$470:J3730))/MAX(J$470:J3730))</f>
        <v>-0.83569785939843477</v>
      </c>
      <c r="V3730" s="564">
        <f>IF((K3730-MAX(K$470:K3730))/MAX(K$470:K3730)&gt;V3729,V3729,(K3730-MAX(K$470:K3730))/MAX(K$470:K3730))</f>
        <v>-0.84885940676762139</v>
      </c>
      <c r="W3730" s="564">
        <f>IF((N3730-MAX(N$470:N3730))/MAX(N$470:N3730)&gt;W3729,W3729,(N3730-MAX(N$470:N3730))/MAX(N$470:N3730))</f>
        <v>-0.62788758315546067</v>
      </c>
      <c r="X3730" s="564">
        <f>IF((O3730-MAX(O$470:O3730))/MAX(O$470:O3730)&gt;X3729,X3729,(O3730-MAX(O$470:O3730))/MAX(O$470:O3730))</f>
        <v>-0.62788758315546067</v>
      </c>
    </row>
    <row r="3731" spans="1:24">
      <c r="A3731" s="799">
        <v>44133</v>
      </c>
      <c r="B3731">
        <v>13426.3132926418</v>
      </c>
      <c r="C3731">
        <v>72339.229214000006</v>
      </c>
      <c r="D3731">
        <v>2.063571</v>
      </c>
      <c r="E3731">
        <f>LN(D3731/参数实验室!$E$53)/参数实验室!$E$55</f>
        <v>0.1616897597083036</v>
      </c>
      <c r="F3731">
        <f t="shared" si="528"/>
        <v>5.387869896767941</v>
      </c>
      <c r="G3731">
        <f>LN(F3731/参数实验室!$E$58)/参数实验室!$E$59</f>
        <v>0.69340297047427124</v>
      </c>
      <c r="H3731" s="856">
        <f>INDEX(神经网络!$G$10:$BO$70,MATCH(ROUND(G3731*2,1)/2,神经网络!$E$10:$E$70,0),MATCH(ROUND(E3731*2,1)/2,神经网络!$G$8:$BO$8,0))</f>
        <v>1.7932268923217818</v>
      </c>
      <c r="I3731">
        <f t="shared" si="520"/>
        <v>895163.81915355613</v>
      </c>
      <c r="J3731">
        <f t="shared" si="521"/>
        <v>5357.4531314160531</v>
      </c>
      <c r="K3731">
        <f t="shared" si="522"/>
        <v>167.08756888685113</v>
      </c>
      <c r="L3731" s="4">
        <f>MIN(MAX(L3730*(1+MAX(MIN(((B3731-B3730)/B3730)/($K$7*卓尔金历!$N$40),0),-卓尔金历!$M$43))+MIN(MAX(((B3731-B3730)/B3730)/($K$7*卓尔金历!$N$40),0),卓尔金历!$M$43),0),1)</f>
        <v>0.80539437385806711</v>
      </c>
      <c r="M3731" s="4">
        <f>MIN(MAX(M3730*(1+MAX(MIN(((B3731-B3730)/B3730)/($K$7*30),0),-卓尔金历!$M$43))+MIN(MAX(((B3731-B3730)/B3730)/($K$7*7),0),卓尔金历!$M$43),0),1)</f>
        <v>1</v>
      </c>
      <c r="N3731">
        <f t="shared" si="523"/>
        <v>272421.16752745392</v>
      </c>
      <c r="O3731">
        <f t="shared" si="524"/>
        <v>845978.05244769284</v>
      </c>
      <c r="P3731">
        <f t="shared" si="525"/>
        <v>1.4015505816241995E-2</v>
      </c>
      <c r="Q3731">
        <f t="shared" si="526"/>
        <v>1.9709309035808371E-2</v>
      </c>
      <c r="R3731">
        <f t="shared" si="527"/>
        <v>0.36774679099132934</v>
      </c>
      <c r="S3731">
        <f t="shared" si="519"/>
        <v>1734.3023603096647</v>
      </c>
      <c r="T3731" s="564">
        <f>IF((I3731-MAX(I$470:I3731))/MAX(I$470:I3731)&gt;T3730,T3730,(I3731-MAX(I$470:I3731))/MAX(I$470:I3731))</f>
        <v>-0.91338805338419748</v>
      </c>
      <c r="U3731" s="564">
        <f>IF((J3731-MAX(J$470:J3731))/MAX(J$470:J3731)&gt;U3730,U3730,(J3731-MAX(J$470:J3731))/MAX(J$470:J3731))</f>
        <v>-0.83569785939843477</v>
      </c>
      <c r="V3731" s="564">
        <f>IF((K3731-MAX(K$470:K3731))/MAX(K$470:K3731)&gt;V3730,V3730,(K3731-MAX(K$470:K3731))/MAX(K$470:K3731))</f>
        <v>-0.84885940676762139</v>
      </c>
      <c r="W3731" s="564">
        <f>IF((N3731-MAX(N$470:N3731))/MAX(N$470:N3731)&gt;W3730,W3730,(N3731-MAX(N$470:N3731))/MAX(N$470:N3731))</f>
        <v>-0.62788758315546067</v>
      </c>
      <c r="X3731" s="564">
        <f>IF((O3731-MAX(O$470:O3731))/MAX(O$470:O3731)&gt;X3730,X3730,(O3731-MAX(O$470:O3731))/MAX(O$470:O3731))</f>
        <v>-0.62788758315546067</v>
      </c>
    </row>
    <row r="3732" spans="1:24">
      <c r="A3732" s="799">
        <v>44134</v>
      </c>
      <c r="B3732">
        <v>13528.439796418301</v>
      </c>
      <c r="C3732">
        <v>74763.391499999998</v>
      </c>
      <c r="D3732">
        <v>2.0801750000000001</v>
      </c>
      <c r="E3732">
        <f>LN(D3732/参数实验室!$E$53)/参数实验室!$E$55</f>
        <v>0.17114435837466876</v>
      </c>
      <c r="F3732">
        <f t="shared" si="528"/>
        <v>5.5263868284200708</v>
      </c>
      <c r="G3732">
        <f>LN(F3732/参数实验室!$E$58)/参数实验室!$E$59</f>
        <v>0.70672592542600232</v>
      </c>
      <c r="H3732" s="856">
        <f>INDEX(神经网络!$G$10:$BO$70,MATCH(ROUND(G3732*2,1)/2,神经网络!$E$10:$E$70,0),MATCH(ROUND(E3732*2,1)/2,神经网络!$G$8:$BO$8,0))</f>
        <v>1.7932268923217818</v>
      </c>
      <c r="I3732">
        <f t="shared" si="520"/>
        <v>907373.92563155608</v>
      </c>
      <c r="J3732">
        <f t="shared" si="521"/>
        <v>5398.2043000751255</v>
      </c>
      <c r="K3732">
        <f t="shared" si="522"/>
        <v>168.08810396800439</v>
      </c>
      <c r="L3732" s="4">
        <f>MIN(MAX(L3731*(1+MAX(MIN(((B3732-B3731)/B3731)/($K$7*卓尔金历!$N$40),0),-卓尔金历!$M$43))+MIN(MAX(((B3732-B3731)/B3731)/($K$7*卓尔金历!$N$40),0),卓尔金历!$M$43),0),1)</f>
        <v>0.92161354290470721</v>
      </c>
      <c r="M3732" s="4">
        <f>MIN(MAX(M3731*(1+MAX(MIN(((B3732-B3731)/B3731)/($K$7*30),0),-卓尔金历!$M$43))+MIN(MAX(((B3732-B3731)/B3731)/($K$7*7),0),卓尔金历!$M$43),0),1)</f>
        <v>1</v>
      </c>
      <c r="N3732">
        <f t="shared" si="523"/>
        <v>275413.88949887938</v>
      </c>
      <c r="O3732">
        <f t="shared" si="524"/>
        <v>857517.26111254341</v>
      </c>
      <c r="P3732">
        <f t="shared" si="525"/>
        <v>7.6064442673530004E-3</v>
      </c>
      <c r="Q3732">
        <f t="shared" si="526"/>
        <v>1.9670854164568808E-2</v>
      </c>
      <c r="R3732">
        <f t="shared" si="527"/>
        <v>0.98857819431505023</v>
      </c>
      <c r="S3732">
        <f t="shared" si="519"/>
        <v>1743.0017870978156</v>
      </c>
      <c r="T3732" s="564">
        <f>IF((I3732-MAX(I$470:I3732))/MAX(I$470:I3732)&gt;T3731,T3731,(I3732-MAX(I$470:I3732))/MAX(I$470:I3732))</f>
        <v>-0.91338805338419748</v>
      </c>
      <c r="U3732" s="564">
        <f>IF((J3732-MAX(J$470:J3732))/MAX(J$470:J3732)&gt;U3731,U3731,(J3732-MAX(J$470:J3732))/MAX(J$470:J3732))</f>
        <v>-0.83569785939843477</v>
      </c>
      <c r="V3732" s="564">
        <f>IF((K3732-MAX(K$470:K3732))/MAX(K$470:K3732)&gt;V3731,V3731,(K3732-MAX(K$470:K3732))/MAX(K$470:K3732))</f>
        <v>-0.84885940676762139</v>
      </c>
      <c r="W3732" s="564">
        <f>IF((N3732-MAX(N$470:N3732))/MAX(N$470:N3732)&gt;W3731,W3731,(N3732-MAX(N$470:N3732))/MAX(N$470:N3732))</f>
        <v>-0.62788758315546067</v>
      </c>
      <c r="X3732" s="564">
        <f>IF((O3732-MAX(O$470:O3732))/MAX(O$470:O3732)&gt;X3731,X3731,(O3732-MAX(O$470:O3732))/MAX(O$470:O3732))</f>
        <v>-0.62788758315546067</v>
      </c>
    </row>
    <row r="3733" spans="1:24">
      <c r="A3733" s="799">
        <v>44135</v>
      </c>
      <c r="B3733">
        <v>13856.3324105922</v>
      </c>
      <c r="C3733">
        <v>75379.284490000005</v>
      </c>
      <c r="D3733">
        <v>2.1074760000000001</v>
      </c>
      <c r="E3733">
        <f>LN(D3733/参数实验室!$E$53)/参数实验室!$E$55</f>
        <v>0.18652715872751638</v>
      </c>
      <c r="F3733">
        <f t="shared" si="528"/>
        <v>5.4400603461546435</v>
      </c>
      <c r="G3733">
        <f>LN(F3733/参数实验室!$E$58)/参数实验室!$E$59</f>
        <v>0.69846258572630959</v>
      </c>
      <c r="H3733" s="856">
        <f>INDEX(神经网络!$G$10:$BO$70,MATCH(ROUND(G3733*2,1)/2,神经网络!$E$10:$E$70,0),MATCH(ROUND(E3733*2,1)/2,神经网络!$G$8:$BO$8,0))</f>
        <v>1.8673324556719948</v>
      </c>
      <c r="I3733">
        <f t="shared" si="520"/>
        <v>946811.06991148146</v>
      </c>
      <c r="J3733">
        <f t="shared" si="521"/>
        <v>5529.0421015091852</v>
      </c>
      <c r="K3733">
        <f t="shared" si="522"/>
        <v>171.24323753169534</v>
      </c>
      <c r="L3733" s="4">
        <f>MIN(MAX(L3732*(1+MAX(MIN(((B3733-B3732)/B3732)/($K$7*卓尔金历!$N$40),0),-卓尔金历!$M$43))+MIN(MAX(((B3733-B3732)/B3732)/($K$7*卓尔金历!$N$40),0),卓尔金历!$M$43),0),1)</f>
        <v>1</v>
      </c>
      <c r="M3733" s="4">
        <f>MIN(MAX(M3732*(1+MAX(MIN(((B3733-B3732)/B3732)/($K$7*30),0),-卓尔金历!$M$43))+MIN(MAX(((B3733-B3732)/B3732)/($K$7*7),0),卓尔金历!$M$43),0),1)</f>
        <v>1</v>
      </c>
      <c r="N3733">
        <f t="shared" si="523"/>
        <v>286445.87927375193</v>
      </c>
      <c r="O3733">
        <f t="shared" si="524"/>
        <v>894787.487855596</v>
      </c>
      <c r="P3733">
        <f t="shared" si="525"/>
        <v>2.4237282281487478E-2</v>
      </c>
      <c r="Q3733">
        <f t="shared" si="526"/>
        <v>1.9718563269235923E-2</v>
      </c>
      <c r="R3733">
        <f t="shared" si="527"/>
        <v>1.5612136377763999E-2</v>
      </c>
      <c r="S3733">
        <f t="shared" si="519"/>
        <v>1817.8925100835634</v>
      </c>
      <c r="T3733" s="564">
        <f>IF((I3733-MAX(I$470:I3733))/MAX(I$470:I3733)&gt;T3732,T3732,(I3733-MAX(I$470:I3733))/MAX(I$470:I3733))</f>
        <v>-0.91338805338419748</v>
      </c>
      <c r="U3733" s="564">
        <f>IF((J3733-MAX(J$470:J3733))/MAX(J$470:J3733)&gt;U3732,U3732,(J3733-MAX(J$470:J3733))/MAX(J$470:J3733))</f>
        <v>-0.83569785939843477</v>
      </c>
      <c r="V3733" s="564">
        <f>IF((K3733-MAX(K$470:K3733))/MAX(K$470:K3733)&gt;V3732,V3732,(K3733-MAX(K$470:K3733))/MAX(K$470:K3733))</f>
        <v>-0.84885940676762139</v>
      </c>
      <c r="W3733" s="564">
        <f>IF((N3733-MAX(N$470:N3733))/MAX(N$470:N3733)&gt;W3732,W3732,(N3733-MAX(N$470:N3733))/MAX(N$470:N3733))</f>
        <v>-0.62788758315546067</v>
      </c>
      <c r="X3733" s="564">
        <f>IF((O3733-MAX(O$470:O3733))/MAX(O$470:O3733)&gt;X3732,X3732,(O3733-MAX(O$470:O3733))/MAX(O$470:O3733))</f>
        <v>-0.62788758315546067</v>
      </c>
    </row>
    <row r="3734" spans="1:24">
      <c r="A3734" s="799">
        <v>44136</v>
      </c>
      <c r="B3734">
        <v>13784.2284106974</v>
      </c>
      <c r="C3734">
        <v>76002.885957000006</v>
      </c>
      <c r="D3734">
        <v>2.0931679999999999</v>
      </c>
      <c r="E3734">
        <f>LN(D3734/参数实验室!$E$53)/参数实验室!$E$55</f>
        <v>0.17849030785682582</v>
      </c>
      <c r="F3734">
        <f t="shared" si="528"/>
        <v>5.5137570049272497</v>
      </c>
      <c r="G3734">
        <f>LN(F3734/参数实验室!$E$58)/参数实验室!$E$59</f>
        <v>0.70552506845974849</v>
      </c>
      <c r="H3734" s="856">
        <f>INDEX(神经网络!$G$10:$BO$70,MATCH(ROUND(G3734*2,1)/2,神经网络!$E$10:$E$70,0),MATCH(ROUND(E3734*2,1)/2,神经网络!$G$8:$BO$8,0))</f>
        <v>1.8673324556719948</v>
      </c>
      <c r="I3734">
        <f t="shared" si="520"/>
        <v>937610.89600675646</v>
      </c>
      <c r="J3734">
        <f t="shared" si="521"/>
        <v>5500.2707037617693</v>
      </c>
      <c r="K3734">
        <f t="shared" si="522"/>
        <v>170.46631820602965</v>
      </c>
      <c r="L3734" s="4">
        <f>MIN(MAX(L3733*(1+MAX(MIN(((B3734-B3733)/B3733)/($K$7*卓尔金历!$N$40),0),-卓尔金历!$M$43))+MIN(MAX(((B3734-B3733)/B3733)/($K$7*卓尔金历!$N$40),0),卓尔金历!$M$43),0),1)</f>
        <v>0.92049267492183784</v>
      </c>
      <c r="M3734" s="4">
        <f>MIN(MAX(M3733*(1+MAX(MIN(((B3734-B3733)/B3733)/($K$7*30),0),-卓尔金历!$M$43))+MIN(MAX(((B3734-B3733)/B3733)/($K$7*7),0),卓尔金历!$M$43),0),1)</f>
        <v>0.96024633746091892</v>
      </c>
      <c r="N3734">
        <f t="shared" si="523"/>
        <v>283662.48141608137</v>
      </c>
      <c r="O3734">
        <f t="shared" si="524"/>
        <v>886092.82768774102</v>
      </c>
      <c r="P3734">
        <f t="shared" si="525"/>
        <v>-5.2036857776074606E-3</v>
      </c>
      <c r="Q3734">
        <f t="shared" si="526"/>
        <v>1.9959517996240718E-2</v>
      </c>
      <c r="R3734">
        <f t="shared" si="527"/>
        <v>1</v>
      </c>
      <c r="S3734">
        <f t="shared" si="519"/>
        <v>1817.6167297793766</v>
      </c>
      <c r="T3734" s="564">
        <f>IF((I3734-MAX(I$470:I3734))/MAX(I$470:I3734)&gt;T3733,T3733,(I3734-MAX(I$470:I3734))/MAX(I$470:I3734))</f>
        <v>-0.91338805338419748</v>
      </c>
      <c r="U3734" s="564">
        <f>IF((J3734-MAX(J$470:J3734))/MAX(J$470:J3734)&gt;U3733,U3733,(J3734-MAX(J$470:J3734))/MAX(J$470:J3734))</f>
        <v>-0.83569785939843477</v>
      </c>
      <c r="V3734" s="564">
        <f>IF((K3734-MAX(K$470:K3734))/MAX(K$470:K3734)&gt;V3733,V3733,(K3734-MAX(K$470:K3734))/MAX(K$470:K3734))</f>
        <v>-0.84885940676762139</v>
      </c>
      <c r="W3734" s="564">
        <f>IF((N3734-MAX(N$470:N3734))/MAX(N$470:N3734)&gt;W3733,W3733,(N3734-MAX(N$470:N3734))/MAX(N$470:N3734))</f>
        <v>-0.62788758315546067</v>
      </c>
      <c r="X3734" s="564">
        <f>IF((O3734-MAX(O$470:O3734))/MAX(O$470:O3734)&gt;X3733,X3733,(O3734-MAX(O$470:O3734))/MAX(O$470:O3734))</f>
        <v>-0.62788758315546067</v>
      </c>
    </row>
    <row r="3735" spans="1:24">
      <c r="A3735" s="799">
        <v>44137</v>
      </c>
      <c r="B3735">
        <v>13541.858118202999</v>
      </c>
      <c r="C3735">
        <v>79239.771290999997</v>
      </c>
      <c r="D3735">
        <v>2.0658609999999999</v>
      </c>
      <c r="E3735">
        <f>LN(D3735/参数实验室!$E$53)/参数实验室!$E$55</f>
        <v>0.16299823758402252</v>
      </c>
      <c r="F3735">
        <f t="shared" si="528"/>
        <v>5.8514696136481961</v>
      </c>
      <c r="G3735">
        <f>LN(F3735/参数实验室!$E$58)/参数实验室!$E$59</f>
        <v>0.73672585829693615</v>
      </c>
      <c r="H3735" s="856">
        <f>INDEX(神经网络!$G$10:$BO$70,MATCH(ROUND(G3735*2,1)/2,神经网络!$E$10:$E$70,0),MATCH(ROUND(E3735*2,1)/2,神经网络!$G$8:$BO$8,0))</f>
        <v>1.8203495959774088</v>
      </c>
      <c r="I3735">
        <f t="shared" si="520"/>
        <v>906825.75002679636</v>
      </c>
      <c r="J3735">
        <f t="shared" si="521"/>
        <v>5403.5585643840905</v>
      </c>
      <c r="K3735">
        <f t="shared" si="522"/>
        <v>167.8201021089809</v>
      </c>
      <c r="L3735" s="4">
        <f>MIN(MAX(L3734*(1+MAX(MIN(((B3735-B3734)/B3734)/($K$7*卓尔金历!$N$40),0),-卓尔金历!$M$43))+MIN(MAX(((B3735-B3734)/B3734)/($K$7*卓尔金历!$N$40),0),卓尔金历!$M$43),0),1)</f>
        <v>0.67319881049327857</v>
      </c>
      <c r="M3735" s="4">
        <f>MIN(MAX(M3734*(1+MAX(MIN(((B3735-B3734)/B3734)/($K$7*30),0),-卓尔金历!$M$43))+MIN(MAX(((B3735-B3734)/B3734)/($K$7*7),0),卓尔金历!$M$43),0),1)</f>
        <v>0.83125941879030341</v>
      </c>
      <c r="N3735">
        <f t="shared" si="523"/>
        <v>275089.32384053402</v>
      </c>
      <c r="O3735">
        <f t="shared" si="524"/>
        <v>858155.78365664335</v>
      </c>
      <c r="P3735">
        <f t="shared" si="525"/>
        <v>-1.7583159918208177E-2</v>
      </c>
      <c r="Q3735">
        <f t="shared" si="526"/>
        <v>2.0757593250780328E-2</v>
      </c>
      <c r="R3735">
        <f t="shared" si="527"/>
        <v>0.18924270751107253</v>
      </c>
      <c r="S3735">
        <f t="shared" ref="S3735:S3798" si="529">S3734*(1+(B3735-B3734)/B3734*H3734*R3734)</f>
        <v>1757.9378196897135</v>
      </c>
      <c r="T3735" s="564">
        <f>IF((I3735-MAX(I$470:I3735))/MAX(I$470:I3735)&gt;T3734,T3734,(I3735-MAX(I$470:I3735))/MAX(I$470:I3735))</f>
        <v>-0.91338805338419748</v>
      </c>
      <c r="U3735" s="564">
        <f>IF((J3735-MAX(J$470:J3735))/MAX(J$470:J3735)&gt;U3734,U3734,(J3735-MAX(J$470:J3735))/MAX(J$470:J3735))</f>
        <v>-0.83569785939843477</v>
      </c>
      <c r="V3735" s="564">
        <f>IF((K3735-MAX(K$470:K3735))/MAX(K$470:K3735)&gt;V3734,V3734,(K3735-MAX(K$470:K3735))/MAX(K$470:K3735))</f>
        <v>-0.84885940676762139</v>
      </c>
      <c r="W3735" s="564">
        <f>IF((N3735-MAX(N$470:N3735))/MAX(N$470:N3735)&gt;W3734,W3734,(N3735-MAX(N$470:N3735))/MAX(N$470:N3735))</f>
        <v>-0.62788758315546067</v>
      </c>
      <c r="X3735" s="564">
        <f>IF((O3735-MAX(O$470:O3735))/MAX(O$470:O3735)&gt;X3734,X3734,(O3735-MAX(O$470:O3735))/MAX(O$470:O3735))</f>
        <v>-0.62788758315546067</v>
      </c>
    </row>
    <row r="3736" spans="1:24">
      <c r="A3736" s="799">
        <v>44138</v>
      </c>
      <c r="B3736">
        <v>13710.035527222701</v>
      </c>
      <c r="C3736">
        <v>80328.518389999997</v>
      </c>
      <c r="D3736">
        <v>2.0949749999999998</v>
      </c>
      <c r="E3736">
        <f>LN(D3736/参数实验室!$E$53)/参数实验室!$E$55</f>
        <v>0.17950833147451986</v>
      </c>
      <c r="F3736">
        <f t="shared" si="528"/>
        <v>5.8591035909789859</v>
      </c>
      <c r="G3736">
        <f>LN(F3736/参数实验室!$E$58)/参数实验室!$E$59</f>
        <v>0.73741015006718658</v>
      </c>
      <c r="H3736" s="856">
        <f>INDEX(神经网络!$G$10:$BO$70,MATCH(ROUND(G3736*2,1)/2,神经网络!$E$10:$E$70,0),MATCH(ROUND(E3736*2,1)/2,神经网络!$G$8:$BO$8,0))</f>
        <v>1.8944456451891665</v>
      </c>
      <c r="I3736">
        <f t="shared" ref="I3736:I3799" si="530">I3735*(1+(B3736-B3735)/B3735*H3735)</f>
        <v>927326.41949569725</v>
      </c>
      <c r="J3736">
        <f t="shared" ref="J3736:J3799" si="531">J3735*B3736/B3735</f>
        <v>5470.665786370324</v>
      </c>
      <c r="K3736">
        <f t="shared" ref="K3736:K3799" si="532">I3736/J3736</f>
        <v>169.50887802469094</v>
      </c>
      <c r="L3736" s="4">
        <f>MIN(MAX(L3735*(1+MAX(MIN(((B3736-B3735)/B3735)/($K$7*卓尔金历!$N$40),0),-卓尔金历!$M$43))+MIN(MAX(((B3736-B3735)/B3735)/($K$7*卓尔金历!$N$40),0),卓尔金历!$M$43),0),1)</f>
        <v>0.86295042357366025</v>
      </c>
      <c r="M3736" s="4">
        <f>MIN(MAX(M3735*(1+MAX(MIN(((B3736-B3735)/B3735)/($K$7*30),0),-卓尔金历!$M$43))+MIN(MAX(((B3736-B3735)/B3735)/($K$7*7),0),卓尔金历!$M$43),0),1)</f>
        <v>1</v>
      </c>
      <c r="N3736">
        <f t="shared" ref="N3736:N3799" si="533">N3735*(1+(B3736-B3735)/B3735*H3735*L3735)</f>
        <v>279275.92197504308</v>
      </c>
      <c r="O3736">
        <f t="shared" ref="O3736:O3799" si="534">O3735*(1+(B3736-B3735)/B3735*H3735*M3735)</f>
        <v>874282.53586159204</v>
      </c>
      <c r="P3736">
        <f t="shared" ref="P3736:P3799" si="535">(B3736-B3735)/B3735</f>
        <v>1.2419079239475776E-2</v>
      </c>
      <c r="Q3736">
        <f t="shared" si="526"/>
        <v>2.0349794631781177E-2</v>
      </c>
      <c r="R3736">
        <f t="shared" si="527"/>
        <v>0.52484533995498617</v>
      </c>
      <c r="S3736">
        <f t="shared" si="529"/>
        <v>1765.458668569056</v>
      </c>
      <c r="T3736" s="564">
        <f>IF((I3736-MAX(I$470:I3736))/MAX(I$470:I3736)&gt;T3735,T3735,(I3736-MAX(I$470:I3736))/MAX(I$470:I3736))</f>
        <v>-0.91338805338419748</v>
      </c>
      <c r="U3736" s="564">
        <f>IF((J3736-MAX(J$470:J3736))/MAX(J$470:J3736)&gt;U3735,U3735,(J3736-MAX(J$470:J3736))/MAX(J$470:J3736))</f>
        <v>-0.83569785939843477</v>
      </c>
      <c r="V3736" s="564">
        <f>IF((K3736-MAX(K$470:K3736))/MAX(K$470:K3736)&gt;V3735,V3735,(K3736-MAX(K$470:K3736))/MAX(K$470:K3736))</f>
        <v>-0.84885940676762139</v>
      </c>
      <c r="W3736" s="564">
        <f>IF((N3736-MAX(N$470:N3736))/MAX(N$470:N3736)&gt;W3735,W3735,(N3736-MAX(N$470:N3736))/MAX(N$470:N3736))</f>
        <v>-0.62788758315546067</v>
      </c>
      <c r="X3736" s="564">
        <f>IF((O3736-MAX(O$470:O3736))/MAX(O$470:O3736)&gt;X3735,X3735,(O3736-MAX(O$470:O3736))/MAX(O$470:O3736))</f>
        <v>-0.62788758315546067</v>
      </c>
    </row>
    <row r="3737" spans="1:24">
      <c r="A3737" s="799">
        <v>44139</v>
      </c>
      <c r="B3737">
        <v>13906.5622817607</v>
      </c>
      <c r="C3737">
        <v>78910.371174999993</v>
      </c>
      <c r="D3737">
        <v>2.1082339999999999</v>
      </c>
      <c r="E3737">
        <f>LN(D3737/参数实验室!$E$53)/参数实验室!$E$55</f>
        <v>0.18695140658544185</v>
      </c>
      <c r="F3737">
        <f t="shared" si="528"/>
        <v>5.6743262336296967</v>
      </c>
      <c r="G3737">
        <f>LN(F3737/参数实验室!$E$58)/参数实验室!$E$59</f>
        <v>0.72059131242479424</v>
      </c>
      <c r="H3737" s="856">
        <f>INDEX(神经网络!$G$10:$BO$70,MATCH(ROUND(G3737*2,1)/2,神经网络!$E$10:$E$70,0),MATCH(ROUND(E3737*2,1)/2,神经网络!$G$8:$BO$8,0))</f>
        <v>1.8673324556719948</v>
      </c>
      <c r="I3737">
        <f t="shared" si="530"/>
        <v>952508.86392098269</v>
      </c>
      <c r="J3737">
        <f t="shared" si="531"/>
        <v>5549.0851449505872</v>
      </c>
      <c r="K3737">
        <f t="shared" si="532"/>
        <v>171.65151354502498</v>
      </c>
      <c r="L3737" s="4">
        <f>MIN(MAX(L3736*(1+MAX(MIN(((B3737-B3736)/B3736)/($K$7*卓尔金历!$N$40),0),-卓尔金历!$M$43))+MIN(MAX(((B3737-B3736)/B3736)/($K$7*卓尔金历!$N$40),0),卓尔金历!$M$43),0),1)</f>
        <v>1</v>
      </c>
      <c r="M3737" s="4">
        <f>MIN(MAX(M3736*(1+MAX(MIN(((B3737-B3736)/B3736)/($K$7*30),0),-卓尔金历!$M$43))+MIN(MAX(((B3737-B3736)/B3736)/($K$7*7),0),卓尔金历!$M$43),0),1)</f>
        <v>1</v>
      </c>
      <c r="N3737">
        <f t="shared" si="533"/>
        <v>285820.54433304479</v>
      </c>
      <c r="O3737">
        <f t="shared" si="534"/>
        <v>898024.52240318689</v>
      </c>
      <c r="P3737">
        <f t="shared" si="535"/>
        <v>1.4334518254732091E-2</v>
      </c>
      <c r="Q3737">
        <f t="shared" si="526"/>
        <v>2.0119594171960548E-2</v>
      </c>
      <c r="R3737">
        <f t="shared" si="527"/>
        <v>0.36627253904298673</v>
      </c>
      <c r="S3737">
        <f t="shared" si="529"/>
        <v>1790.6211896286891</v>
      </c>
      <c r="T3737" s="564">
        <f>IF((I3737-MAX(I$470:I3737))/MAX(I$470:I3737)&gt;T3736,T3736,(I3737-MAX(I$470:I3737))/MAX(I$470:I3737))</f>
        <v>-0.91338805338419748</v>
      </c>
      <c r="U3737" s="564">
        <f>IF((J3737-MAX(J$470:J3737))/MAX(J$470:J3737)&gt;U3736,U3736,(J3737-MAX(J$470:J3737))/MAX(J$470:J3737))</f>
        <v>-0.83569785939843477</v>
      </c>
      <c r="V3737" s="564">
        <f>IF((K3737-MAX(K$470:K3737))/MAX(K$470:K3737)&gt;V3736,V3736,(K3737-MAX(K$470:K3737))/MAX(K$470:K3737))</f>
        <v>-0.84885940676762139</v>
      </c>
      <c r="W3737" s="564">
        <f>IF((N3737-MAX(N$470:N3737))/MAX(N$470:N3737)&gt;W3736,W3736,(N3737-MAX(N$470:N3737))/MAX(N$470:N3737))</f>
        <v>-0.62788758315546067</v>
      </c>
      <c r="X3737" s="564">
        <f>IF((O3737-MAX(O$470:O3737))/MAX(O$470:O3737)&gt;X3736,X3736,(O3737-MAX(O$470:O3737))/MAX(O$470:O3737))</f>
        <v>-0.62788758315546067</v>
      </c>
    </row>
    <row r="3738" spans="1:24">
      <c r="A3738" s="799">
        <v>44140</v>
      </c>
      <c r="B3738">
        <v>15111.648950431299</v>
      </c>
      <c r="C3738">
        <v>77928.945527999997</v>
      </c>
      <c r="D3738">
        <v>2.307493</v>
      </c>
      <c r="E3738">
        <f>LN(D3738/参数实验室!$E$53)/参数实验室!$E$55</f>
        <v>0.29349612963585037</v>
      </c>
      <c r="F3738">
        <f t="shared" si="528"/>
        <v>5.1568790264794924</v>
      </c>
      <c r="G3738">
        <f>LN(F3738/参数实验室!$E$58)/参数实验室!$E$59</f>
        <v>0.67040462486157082</v>
      </c>
      <c r="H3738" s="856">
        <f>INDEX(神经网络!$G$10:$BO$70,MATCH(ROUND(G3738*2,1)/2,神经网络!$E$10:$E$70,0),MATCH(ROUND(E3738*2,1)/2,神经网络!$G$8:$BO$8,0))</f>
        <v>1.9623366209116104</v>
      </c>
      <c r="I3738">
        <f t="shared" si="530"/>
        <v>1106639.5701690477</v>
      </c>
      <c r="J3738">
        <f t="shared" si="531"/>
        <v>6029.94651068643</v>
      </c>
      <c r="K3738">
        <f t="shared" si="532"/>
        <v>183.5239447328151</v>
      </c>
      <c r="L3738" s="4">
        <f>MIN(MAX(L3737*(1+MAX(MIN(((B3738-B3737)/B3737)/($K$7*卓尔金历!$N$40),0),-卓尔金历!$M$43))+MIN(MAX(((B3738-B3737)/B3737)/($K$7*卓尔金历!$N$40),0),卓尔金历!$M$43),0),1)</f>
        <v>1</v>
      </c>
      <c r="M3738" s="4">
        <f>MIN(MAX(M3737*(1+MAX(MIN(((B3738-B3737)/B3737)/($K$7*30),0),-卓尔金历!$M$43))+MIN(MAX(((B3738-B3737)/B3737)/($K$7*7),0),卓尔金历!$M$43),0),1)</f>
        <v>1</v>
      </c>
      <c r="N3738">
        <f t="shared" si="533"/>
        <v>332070.74107862922</v>
      </c>
      <c r="O3738">
        <f t="shared" si="534"/>
        <v>1043338.8172185753</v>
      </c>
      <c r="P3738">
        <f t="shared" si="535"/>
        <v>8.6655971781835955E-2</v>
      </c>
      <c r="Q3738">
        <f t="shared" si="526"/>
        <v>2.5868922235805926E-2</v>
      </c>
      <c r="R3738">
        <f t="shared" si="527"/>
        <v>0</v>
      </c>
      <c r="S3738">
        <f t="shared" si="529"/>
        <v>1896.748759817681</v>
      </c>
      <c r="T3738" s="564">
        <f>IF((I3738-MAX(I$470:I3738))/MAX(I$470:I3738)&gt;T3737,T3737,(I3738-MAX(I$470:I3738))/MAX(I$470:I3738))</f>
        <v>-0.91338805338419748</v>
      </c>
      <c r="U3738" s="564">
        <f>IF((J3738-MAX(J$470:J3738))/MAX(J$470:J3738)&gt;U3737,U3737,(J3738-MAX(J$470:J3738))/MAX(J$470:J3738))</f>
        <v>-0.83569785939843477</v>
      </c>
      <c r="V3738" s="564">
        <f>IF((K3738-MAX(K$470:K3738))/MAX(K$470:K3738)&gt;V3737,V3737,(K3738-MAX(K$470:K3738))/MAX(K$470:K3738))</f>
        <v>-0.84885940676762139</v>
      </c>
      <c r="W3738" s="564">
        <f>IF((N3738-MAX(N$470:N3738))/MAX(N$470:N3738)&gt;W3737,W3737,(N3738-MAX(N$470:N3738))/MAX(N$470:N3738))</f>
        <v>-0.62788758315546067</v>
      </c>
      <c r="X3738" s="564">
        <f>IF((O3738-MAX(O$470:O3738))/MAX(O$470:O3738)&gt;X3737,X3737,(O3738-MAX(O$470:O3738))/MAX(O$470:O3738))</f>
        <v>-0.62788758315546067</v>
      </c>
    </row>
    <row r="3739" spans="1:24">
      <c r="A3739" s="799">
        <v>44141</v>
      </c>
      <c r="B3739">
        <v>15434.515120812701</v>
      </c>
      <c r="C3739">
        <v>77768.020189000003</v>
      </c>
      <c r="D3739">
        <v>2.2991920000000001</v>
      </c>
      <c r="E3739">
        <f>LN(D3739/参数实验室!$E$53)/参数实验室!$E$55</f>
        <v>0.28924442053149291</v>
      </c>
      <c r="F3739">
        <f t="shared" si="528"/>
        <v>5.0385787684469312</v>
      </c>
      <c r="G3739">
        <f>LN(F3739/参数实验室!$E$58)/参数实验室!$E$59</f>
        <v>0.65822407216605017</v>
      </c>
      <c r="H3739" s="856">
        <f>INDEX(神经网络!$G$10:$BO$70,MATCH(ROUND(G3739*2,1)/2,神经网络!$E$10:$E$70,0),MATCH(ROUND(E3739*2,1)/2,神经网络!$G$8:$BO$8,0))</f>
        <v>1.9623366209116104</v>
      </c>
      <c r="I3739">
        <f t="shared" si="530"/>
        <v>1153036.6225061</v>
      </c>
      <c r="J3739">
        <f t="shared" si="531"/>
        <v>6158.7786284715949</v>
      </c>
      <c r="K3739">
        <f t="shared" si="532"/>
        <v>187.21839053861976</v>
      </c>
      <c r="L3739" s="4">
        <f>MIN(MAX(L3738*(1+MAX(MIN(((B3739-B3738)/B3738)/($K$7*卓尔金历!$N$40),0),-卓尔金历!$M$43))+MIN(MAX(((B3739-B3738)/B3738)/($K$7*卓尔金历!$N$40),0),卓尔金历!$M$43),0),1)</f>
        <v>1</v>
      </c>
      <c r="M3739" s="4">
        <f>MIN(MAX(M3738*(1+MAX(MIN(((B3739-B3738)/B3738)/($K$7*30),0),-卓尔金历!$M$43))+MIN(MAX(((B3739-B3738)/B3738)/($K$7*7),0),卓尔金历!$M$43),0),1)</f>
        <v>1</v>
      </c>
      <c r="N3739">
        <f t="shared" si="533"/>
        <v>345993.16349035932</v>
      </c>
      <c r="O3739">
        <f t="shared" si="534"/>
        <v>1087081.9175130767</v>
      </c>
      <c r="P3739">
        <f t="shared" si="535"/>
        <v>2.1365383184883111E-2</v>
      </c>
      <c r="Q3739">
        <f t="shared" si="526"/>
        <v>2.5517356086684269E-2</v>
      </c>
      <c r="R3739">
        <f t="shared" si="527"/>
        <v>0.20804974996753248</v>
      </c>
      <c r="S3739">
        <f t="shared" si="529"/>
        <v>1896.748759817681</v>
      </c>
      <c r="T3739" s="564">
        <f>IF((I3739-MAX(I$470:I3739))/MAX(I$470:I3739)&gt;T3738,T3738,(I3739-MAX(I$470:I3739))/MAX(I$470:I3739))</f>
        <v>-0.91338805338419748</v>
      </c>
      <c r="U3739" s="564">
        <f>IF((J3739-MAX(J$470:J3739))/MAX(J$470:J3739)&gt;U3738,U3738,(J3739-MAX(J$470:J3739))/MAX(J$470:J3739))</f>
        <v>-0.83569785939843477</v>
      </c>
      <c r="V3739" s="564">
        <f>IF((K3739-MAX(K$470:K3739))/MAX(K$470:K3739)&gt;V3738,V3738,(K3739-MAX(K$470:K3739))/MAX(K$470:K3739))</f>
        <v>-0.84885940676762139</v>
      </c>
      <c r="W3739" s="564">
        <f>IF((N3739-MAX(N$470:N3739))/MAX(N$470:N3739)&gt;W3738,W3738,(N3739-MAX(N$470:N3739))/MAX(N$470:N3739))</f>
        <v>-0.62788758315546067</v>
      </c>
      <c r="X3739" s="564">
        <f>IF((O3739-MAX(O$470:O3739))/MAX(O$470:O3739)&gt;X3738,X3738,(O3739-MAX(O$470:O3739))/MAX(O$470:O3739))</f>
        <v>-0.62788758315546067</v>
      </c>
    </row>
    <row r="3740" spans="1:24">
      <c r="A3740" s="799">
        <v>44142</v>
      </c>
      <c r="B3740">
        <v>15379.6473366954</v>
      </c>
      <c r="C3740">
        <v>79066.079834999997</v>
      </c>
      <c r="D3740">
        <v>2.1871149999999999</v>
      </c>
      <c r="E3740">
        <f>LN(D3740/参数实验室!$E$53)/参数实验室!$E$55</f>
        <v>0.23028692095944725</v>
      </c>
      <c r="F3740">
        <f t="shared" si="528"/>
        <v>5.14095532258081</v>
      </c>
      <c r="G3740">
        <f>LN(F3740/参数实验室!$E$58)/参数实验室!$E$59</f>
        <v>0.66878144337504564</v>
      </c>
      <c r="H3740" s="856">
        <f>INDEX(神经网络!$G$10:$BO$70,MATCH(ROUND(G3740*2,1)/2,神经网络!$E$10:$E$70,0),MATCH(ROUND(E3740*2,1)/2,神经网络!$G$8:$BO$8,0))</f>
        <v>1.9024456690931026</v>
      </c>
      <c r="I3740">
        <f t="shared" si="530"/>
        <v>1144993.1970586998</v>
      </c>
      <c r="J3740">
        <f t="shared" si="531"/>
        <v>6136.8849354356826</v>
      </c>
      <c r="K3740">
        <f t="shared" si="532"/>
        <v>186.57563390952058</v>
      </c>
      <c r="L3740" s="4">
        <f>MIN(MAX(L3739*(1+MAX(MIN(((B3740-B3739)/B3739)/($K$7*卓尔金历!$N$40),0),-卓尔金历!$M$43))+MIN(MAX(((B3740-B3739)/B3739)/($K$7*卓尔金历!$N$40),0),卓尔金历!$M$43),0),1)</f>
        <v>0.945684909303802</v>
      </c>
      <c r="M3740" s="4">
        <f>MIN(MAX(M3739*(1+MAX(MIN(((B3740-B3739)/B3739)/($K$7*30),0),-卓尔金历!$M$43))+MIN(MAX(((B3740-B3739)/B3739)/($K$7*7),0),卓尔金历!$M$43),0),1)</f>
        <v>0.972842454651901</v>
      </c>
      <c r="N3740">
        <f t="shared" si="533"/>
        <v>343579.56260247412</v>
      </c>
      <c r="O3740">
        <f t="shared" si="534"/>
        <v>1079498.5830481846</v>
      </c>
      <c r="P3740">
        <f t="shared" si="535"/>
        <v>-3.5548757889591639E-3</v>
      </c>
      <c r="Q3740">
        <f t="shared" si="526"/>
        <v>2.5683898182299745E-2</v>
      </c>
      <c r="R3740">
        <f t="shared" si="527"/>
        <v>1</v>
      </c>
      <c r="S3740">
        <f t="shared" si="529"/>
        <v>1893.995958000577</v>
      </c>
      <c r="T3740" s="564">
        <f>IF((I3740-MAX(I$470:I3740))/MAX(I$470:I3740)&gt;T3739,T3739,(I3740-MAX(I$470:I3740))/MAX(I$470:I3740))</f>
        <v>-0.91338805338419748</v>
      </c>
      <c r="U3740" s="564">
        <f>IF((J3740-MAX(J$470:J3740))/MAX(J$470:J3740)&gt;U3739,U3739,(J3740-MAX(J$470:J3740))/MAX(J$470:J3740))</f>
        <v>-0.83569785939843477</v>
      </c>
      <c r="V3740" s="564">
        <f>IF((K3740-MAX(K$470:K3740))/MAX(K$470:K3740)&gt;V3739,V3739,(K3740-MAX(K$470:K3740))/MAX(K$470:K3740))</f>
        <v>-0.84885940676762139</v>
      </c>
      <c r="W3740" s="564">
        <f>IF((N3740-MAX(N$470:N3740))/MAX(N$470:N3740)&gt;W3739,W3739,(N3740-MAX(N$470:N3740))/MAX(N$470:N3740))</f>
        <v>-0.62788758315546067</v>
      </c>
      <c r="X3740" s="564">
        <f>IF((O3740-MAX(O$470:O3740))/MAX(O$470:O3740)&gt;X3739,X3739,(O3740-MAX(O$470:O3740))/MAX(O$470:O3740))</f>
        <v>-0.62788758315546067</v>
      </c>
    </row>
    <row r="3741" spans="1:24">
      <c r="A3741" s="799">
        <v>44143</v>
      </c>
      <c r="B3741">
        <v>15322.622283851601</v>
      </c>
      <c r="C3741">
        <v>79314.624171000003</v>
      </c>
      <c r="D3741">
        <v>2.2697639999999999</v>
      </c>
      <c r="E3741">
        <f>LN(D3741/参数实验室!$E$53)/参数实验室!$E$55</f>
        <v>0.27404696248608712</v>
      </c>
      <c r="F3741">
        <f t="shared" si="528"/>
        <v>5.1763087741573521</v>
      </c>
      <c r="G3741">
        <f>LN(F3741/参数实验室!$E$58)/参数实验室!$E$59</f>
        <v>0.67237841917172037</v>
      </c>
      <c r="H3741" s="856">
        <f>INDEX(神经网络!$G$10:$BO$70,MATCH(ROUND(G3741*2,1)/2,神经网络!$E$10:$E$70,0),MATCH(ROUND(E3741*2,1)/2,神经网络!$G$8:$BO$8,0))</f>
        <v>1.9024456690931026</v>
      </c>
      <c r="I3741">
        <f t="shared" si="530"/>
        <v>1136916.4870757088</v>
      </c>
      <c r="J3741">
        <f t="shared" si="531"/>
        <v>6114.1304352785464</v>
      </c>
      <c r="K3741">
        <f t="shared" si="532"/>
        <v>185.9490076488552</v>
      </c>
      <c r="L3741" s="4">
        <f>MIN(MAX(L3740*(1+MAX(MIN(((B3741-B3740)/B3740)/($K$7*卓尔金历!$N$40),0),-卓尔金历!$M$43))+MIN(MAX(((B3741-B3740)/B3740)/($K$7*卓尔金历!$N$40),0),卓尔金历!$M$43),0),1)</f>
        <v>0.8921099491485055</v>
      </c>
      <c r="M3741" s="4">
        <f>MIN(MAX(M3740*(1+MAX(MIN(((B3741-B3740)/B3740)/($K$7*30),0),-卓尔金历!$M$43))+MIN(MAX(((B3741-B3740)/B3740)/($K$7*7),0),卓尔金历!$M$43),0),1)</f>
        <v>0.94528570967659709</v>
      </c>
      <c r="N3741">
        <f t="shared" si="533"/>
        <v>341287.61141747417</v>
      </c>
      <c r="O3741">
        <f t="shared" si="534"/>
        <v>1072090.6649228279</v>
      </c>
      <c r="P3741">
        <f t="shared" si="535"/>
        <v>-3.7078257774961448E-3</v>
      </c>
      <c r="Q3741">
        <f t="shared" si="526"/>
        <v>2.5930895349876287E-2</v>
      </c>
      <c r="R3741">
        <f t="shared" si="527"/>
        <v>1</v>
      </c>
      <c r="S3741">
        <f t="shared" si="529"/>
        <v>1880.6358296600558</v>
      </c>
      <c r="T3741" s="564">
        <f>IF((I3741-MAX(I$470:I3741))/MAX(I$470:I3741)&gt;T3740,T3740,(I3741-MAX(I$470:I3741))/MAX(I$470:I3741))</f>
        <v>-0.91338805338419748</v>
      </c>
      <c r="U3741" s="564">
        <f>IF((J3741-MAX(J$470:J3741))/MAX(J$470:J3741)&gt;U3740,U3740,(J3741-MAX(J$470:J3741))/MAX(J$470:J3741))</f>
        <v>-0.83569785939843477</v>
      </c>
      <c r="V3741" s="564">
        <f>IF((K3741-MAX(K$470:K3741))/MAX(K$470:K3741)&gt;V3740,V3740,(K3741-MAX(K$470:K3741))/MAX(K$470:K3741))</f>
        <v>-0.84885940676762139</v>
      </c>
      <c r="W3741" s="564">
        <f>IF((N3741-MAX(N$470:N3741))/MAX(N$470:N3741)&gt;W3740,W3740,(N3741-MAX(N$470:N3741))/MAX(N$470:N3741))</f>
        <v>-0.62788758315546067</v>
      </c>
      <c r="X3741" s="564">
        <f>IF((O3741-MAX(O$470:O3741))/MAX(O$470:O3741)&gt;X3740,X3740,(O3741-MAX(O$470:O3741))/MAX(O$470:O3741))</f>
        <v>-0.62788758315546067</v>
      </c>
    </row>
    <row r="3742" spans="1:24">
      <c r="A3742" s="799">
        <v>44144</v>
      </c>
      <c r="B3742">
        <v>15043.0862568229</v>
      </c>
      <c r="C3742">
        <v>76888.957840999996</v>
      </c>
      <c r="D3742">
        <v>2.237517</v>
      </c>
      <c r="E3742">
        <f>LN(D3742/参数实验室!$E$53)/参数实验室!$E$55</f>
        <v>0.25716576427642385</v>
      </c>
      <c r="F3742">
        <f t="shared" si="528"/>
        <v>5.1112488839267574</v>
      </c>
      <c r="G3742">
        <f>LN(F3742/参数实验室!$E$58)/参数实验室!$E$59</f>
        <v>0.66573983636951672</v>
      </c>
      <c r="H3742" s="856">
        <f>INDEX(神经网络!$G$10:$BO$70,MATCH(ROUND(G3742*2,1)/2,神经网络!$E$10:$E$70,0),MATCH(ROUND(E3742*2,1)/2,神经网络!$G$8:$BO$8,0))</f>
        <v>1.9024456690931026</v>
      </c>
      <c r="I3742">
        <f t="shared" si="530"/>
        <v>1097457.5375126605</v>
      </c>
      <c r="J3742">
        <f t="shared" si="531"/>
        <v>6002.5881875515206</v>
      </c>
      <c r="K3742">
        <f t="shared" si="532"/>
        <v>182.83072288527555</v>
      </c>
      <c r="L3742" s="4">
        <f>MIN(MAX(L3741*(1+MAX(MIN(((B3742-B3741)/B3741)/($K$7*卓尔金历!$N$40),0),-卓尔金历!$M$43))+MIN(MAX(((B3742-B3741)/B3741)/($K$7*卓尔金历!$N$40),0),卓尔金历!$M$43),0),1)</f>
        <v>0.64344237730336284</v>
      </c>
      <c r="M3742" s="4">
        <f>MIN(MAX(M3741*(1+MAX(MIN(((B3742-B3741)/B3741)/($K$7*30),0),-卓尔金历!$M$43))+MIN(MAX(((B3742-B3741)/B3741)/($K$7*7),0),卓尔金历!$M$43),0),1)</f>
        <v>0.81354079283672098</v>
      </c>
      <c r="N3742">
        <f t="shared" si="533"/>
        <v>330720.51033217518</v>
      </c>
      <c r="O3742">
        <f t="shared" si="534"/>
        <v>1036917.4907825663</v>
      </c>
      <c r="P3742">
        <f t="shared" si="535"/>
        <v>-1.8243354293429336E-2</v>
      </c>
      <c r="Q3742">
        <f t="shared" si="526"/>
        <v>2.6486877304970197E-2</v>
      </c>
      <c r="R3742">
        <f t="shared" si="527"/>
        <v>0.40844774095080727</v>
      </c>
      <c r="S3742">
        <f t="shared" si="529"/>
        <v>1815.3646200394708</v>
      </c>
      <c r="T3742" s="564">
        <f>IF((I3742-MAX(I$470:I3742))/MAX(I$470:I3742)&gt;T3741,T3741,(I3742-MAX(I$470:I3742))/MAX(I$470:I3742))</f>
        <v>-0.91338805338419748</v>
      </c>
      <c r="U3742" s="564">
        <f>IF((J3742-MAX(J$470:J3742))/MAX(J$470:J3742)&gt;U3741,U3741,(J3742-MAX(J$470:J3742))/MAX(J$470:J3742))</f>
        <v>-0.83569785939843477</v>
      </c>
      <c r="V3742" s="564">
        <f>IF((K3742-MAX(K$470:K3742))/MAX(K$470:K3742)&gt;V3741,V3741,(K3742-MAX(K$470:K3742))/MAX(K$470:K3742))</f>
        <v>-0.84885940676762139</v>
      </c>
      <c r="W3742" s="564">
        <f>IF((N3742-MAX(N$470:N3742))/MAX(N$470:N3742)&gt;W3741,W3741,(N3742-MAX(N$470:N3742))/MAX(N$470:N3742))</f>
        <v>-0.62788758315546067</v>
      </c>
      <c r="X3742" s="564">
        <f>IF((O3742-MAX(O$470:O3742))/MAX(O$470:O3742)&gt;X3741,X3741,(O3742-MAX(O$470:O3742))/MAX(O$470:O3742))</f>
        <v>-0.62788758315546067</v>
      </c>
    </row>
    <row r="3743" spans="1:24">
      <c r="A3743" s="799">
        <v>44145</v>
      </c>
      <c r="B3743">
        <v>15178.676227668</v>
      </c>
      <c r="C3743">
        <v>76503.865466000003</v>
      </c>
      <c r="D3743">
        <v>2.2322869999999999</v>
      </c>
      <c r="E3743">
        <f>LN(D3743/参数实验室!$E$53)/参数实验室!$E$55</f>
        <v>0.2544049665851818</v>
      </c>
      <c r="F3743">
        <f t="shared" si="528"/>
        <v>5.0402198662454634</v>
      </c>
      <c r="G3743">
        <f>LN(F3743/参数实验室!$E$58)/参数实验室!$E$59</f>
        <v>0.65839499270003099</v>
      </c>
      <c r="H3743" s="856">
        <f>INDEX(神经网络!$G$10:$BO$70,MATCH(ROUND(G3743*2,1)/2,神经网络!$E$10:$E$70,0),MATCH(ROUND(E3743*2,1)/2,神经网络!$G$8:$BO$8,0))</f>
        <v>1.9024456690931026</v>
      </c>
      <c r="I3743">
        <f t="shared" si="530"/>
        <v>1116276.2804597714</v>
      </c>
      <c r="J3743">
        <f t="shared" si="531"/>
        <v>6056.6921621914389</v>
      </c>
      <c r="K3743">
        <f t="shared" si="532"/>
        <v>184.30460894612796</v>
      </c>
      <c r="L3743" s="4">
        <f>MIN(MAX(L3742*(1+MAX(MIN(((B3743-B3742)/B3742)/($K$7*卓尔金历!$N$40),0),-卓尔金历!$M$43))+MIN(MAX(((B3743-B3742)/B3742)/($K$7*卓尔金历!$N$40),0),卓尔金历!$M$43),0),1)</f>
        <v>0.78115910664885724</v>
      </c>
      <c r="M3743" s="4">
        <f>MIN(MAX(M3742*(1+MAX(MIN(((B3743-B3742)/B3742)/($K$7*30),0),-卓尔金历!$M$43))+MIN(MAX(((B3743-B3742)/B3742)/($K$7*7),0),卓尔金历!$M$43),0),1)</f>
        <v>1</v>
      </c>
      <c r="N3743">
        <f t="shared" si="533"/>
        <v>334369.50874236965</v>
      </c>
      <c r="O3743">
        <f t="shared" si="534"/>
        <v>1051382.7566092757</v>
      </c>
      <c r="P3743">
        <f t="shared" si="535"/>
        <v>9.0134410273425072E-3</v>
      </c>
      <c r="Q3743">
        <f t="shared" si="526"/>
        <v>2.6491030404560537E-2</v>
      </c>
      <c r="R3743">
        <f t="shared" si="527"/>
        <v>1</v>
      </c>
      <c r="S3743">
        <f t="shared" si="529"/>
        <v>1828.0792360865764</v>
      </c>
      <c r="T3743" s="564">
        <f>IF((I3743-MAX(I$470:I3743))/MAX(I$470:I3743)&gt;T3742,T3742,(I3743-MAX(I$470:I3743))/MAX(I$470:I3743))</f>
        <v>-0.91338805338419748</v>
      </c>
      <c r="U3743" s="564">
        <f>IF((J3743-MAX(J$470:J3743))/MAX(J$470:J3743)&gt;U3742,U3742,(J3743-MAX(J$470:J3743))/MAX(J$470:J3743))</f>
        <v>-0.83569785939843477</v>
      </c>
      <c r="V3743" s="564">
        <f>IF((K3743-MAX(K$470:K3743))/MAX(K$470:K3743)&gt;V3742,V3742,(K3743-MAX(K$470:K3743))/MAX(K$470:K3743))</f>
        <v>-0.84885940676762139</v>
      </c>
      <c r="W3743" s="564">
        <f>IF((N3743-MAX(N$470:N3743))/MAX(N$470:N3743)&gt;W3742,W3742,(N3743-MAX(N$470:N3743))/MAX(N$470:N3743))</f>
        <v>-0.62788758315546067</v>
      </c>
      <c r="X3743" s="564">
        <f>IF((O3743-MAX(O$470:O3743))/MAX(O$470:O3743)&gt;X3742,X3742,(O3743-MAX(O$470:O3743))/MAX(O$470:O3743))</f>
        <v>-0.62788758315546067</v>
      </c>
    </row>
    <row r="3744" spans="1:24">
      <c r="A3744" s="799">
        <v>44146</v>
      </c>
      <c r="B3744">
        <v>15688.8578351535</v>
      </c>
      <c r="C3744">
        <v>76629.105280999996</v>
      </c>
      <c r="D3744">
        <v>2.2856329999999998</v>
      </c>
      <c r="E3744">
        <f>LN(D3744/参数实验室!$E$53)/参数实验室!$E$55</f>
        <v>0.28226647879117772</v>
      </c>
      <c r="F3744">
        <f t="shared" si="528"/>
        <v>4.8843010808154386</v>
      </c>
      <c r="G3744">
        <f>LN(F3744/参数实验室!$E$58)/参数实验室!$E$59</f>
        <v>0.64190223922103762</v>
      </c>
      <c r="H3744" s="856">
        <f>INDEX(神经网络!$G$10:$BO$70,MATCH(ROUND(G3744*2,1)/2,神经网络!$E$10:$E$70,0),MATCH(ROUND(E3744*2,1)/2,神经网络!$G$8:$BO$8,0))</f>
        <v>1.9623366209116104</v>
      </c>
      <c r="I3744">
        <f t="shared" si="530"/>
        <v>1187656.0037490751</v>
      </c>
      <c r="J3744">
        <f t="shared" si="531"/>
        <v>6260.268079946316</v>
      </c>
      <c r="K3744">
        <f t="shared" si="532"/>
        <v>189.71328201639244</v>
      </c>
      <c r="L3744" s="4">
        <f>MIN(MAX(L3743*(1+MAX(MIN(((B3744-B3743)/B3743)/($K$7*卓尔金历!$N$40),0),-卓尔金历!$M$43))+MIN(MAX(((B3744-B3743)/B3743)/($K$7*卓尔金历!$N$40),0),卓尔金历!$M$43),0),1)</f>
        <v>1</v>
      </c>
      <c r="M3744" s="4">
        <f>MIN(MAX(M3743*(1+MAX(MIN(((B3744-B3743)/B3743)/($K$7*30),0),-卓尔金历!$M$43))+MIN(MAX(((B3744-B3743)/B3743)/($K$7*7),0),卓尔金历!$M$43),0),1)</f>
        <v>1</v>
      </c>
      <c r="N3744">
        <f t="shared" si="533"/>
        <v>351071.54148120049</v>
      </c>
      <c r="O3744">
        <f t="shared" si="534"/>
        <v>1118612.896272375</v>
      </c>
      <c r="P3744">
        <f t="shared" si="535"/>
        <v>3.3611732659237448E-2</v>
      </c>
      <c r="Q3744">
        <f t="shared" si="526"/>
        <v>2.4311728830936088E-2</v>
      </c>
      <c r="R3744">
        <f t="shared" si="527"/>
        <v>1.7910154105317475E-2</v>
      </c>
      <c r="S3744">
        <f t="shared" si="529"/>
        <v>1944.9748400754349</v>
      </c>
      <c r="T3744" s="564">
        <f>IF((I3744-MAX(I$470:I3744))/MAX(I$470:I3744)&gt;T3743,T3743,(I3744-MAX(I$470:I3744))/MAX(I$470:I3744))</f>
        <v>-0.91338805338419748</v>
      </c>
      <c r="U3744" s="564">
        <f>IF((J3744-MAX(J$470:J3744))/MAX(J$470:J3744)&gt;U3743,U3743,(J3744-MAX(J$470:J3744))/MAX(J$470:J3744))</f>
        <v>-0.83569785939843477</v>
      </c>
      <c r="V3744" s="564">
        <f>IF((K3744-MAX(K$470:K3744))/MAX(K$470:K3744)&gt;V3743,V3743,(K3744-MAX(K$470:K3744))/MAX(K$470:K3744))</f>
        <v>-0.84885940676762139</v>
      </c>
      <c r="W3744" s="564">
        <f>IF((N3744-MAX(N$470:N3744))/MAX(N$470:N3744)&gt;W3743,W3743,(N3744-MAX(N$470:N3744))/MAX(N$470:N3744))</f>
        <v>-0.62788758315546067</v>
      </c>
      <c r="X3744" s="564">
        <f>IF((O3744-MAX(O$470:O3744))/MAX(O$470:O3744)&gt;X3743,X3743,(O3744-MAX(O$470:O3744))/MAX(O$470:O3744))</f>
        <v>-0.62788758315546067</v>
      </c>
    </row>
    <row r="3745" spans="1:24">
      <c r="A3745" s="799">
        <v>44147</v>
      </c>
      <c r="B3745">
        <v>16143.9717214457</v>
      </c>
      <c r="C3745">
        <v>76983.264655000006</v>
      </c>
      <c r="D3745">
        <v>2.35643</v>
      </c>
      <c r="E3745">
        <f>LN(D3745/参数实验室!$E$53)/参数实验室!$E$55</f>
        <v>0.31825455870415409</v>
      </c>
      <c r="F3745">
        <f t="shared" si="528"/>
        <v>4.7685455588809793</v>
      </c>
      <c r="G3745">
        <f>LN(F3745/参数实验室!$E$58)/参数实验室!$E$59</f>
        <v>0.62931369027056783</v>
      </c>
      <c r="H3745" s="856">
        <f>INDEX(神经网络!$G$10:$BO$70,MATCH(ROUND(G3745*2,1)/2,神经网络!$E$10:$E$70,0),MATCH(ROUND(E3745*2,1)/2,神经网络!$G$8:$BO$8,0))</f>
        <v>1.9623366209116104</v>
      </c>
      <c r="I3745">
        <f t="shared" si="530"/>
        <v>1255263.2016627628</v>
      </c>
      <c r="J3745">
        <f t="shared" si="531"/>
        <v>6441.8705244984876</v>
      </c>
      <c r="K3745">
        <f t="shared" si="532"/>
        <v>194.86004831810672</v>
      </c>
      <c r="L3745" s="4">
        <f>MIN(MAX(L3744*(1+MAX(MIN(((B3745-B3744)/B3744)/($K$7*卓尔金历!$N$40),0),-卓尔金历!$M$43))+MIN(MAX(((B3745-B3744)/B3744)/($K$7*卓尔金历!$N$40),0),卓尔金历!$M$43),0),1)</f>
        <v>1</v>
      </c>
      <c r="M3745" s="4">
        <f>MIN(MAX(M3744*(1+MAX(MIN(((B3745-B3744)/B3744)/($K$7*30),0),-卓尔金历!$M$43))+MIN(MAX(((B3745-B3744)/B3744)/($K$7*7),0),卓尔金历!$M$43),0),1)</f>
        <v>1</v>
      </c>
      <c r="N3745">
        <f t="shared" si="533"/>
        <v>371056.25347849494</v>
      </c>
      <c r="O3745">
        <f t="shared" si="534"/>
        <v>1182289.8222748204</v>
      </c>
      <c r="P3745">
        <f t="shared" si="535"/>
        <v>2.9008732890194296E-2</v>
      </c>
      <c r="Q3745">
        <f t="shared" si="526"/>
        <v>2.4580723489814552E-2</v>
      </c>
      <c r="R3745">
        <f t="shared" si="527"/>
        <v>2.0284870674755835E-2</v>
      </c>
      <c r="S3745">
        <f t="shared" si="529"/>
        <v>1946.9578074925432</v>
      </c>
      <c r="T3745" s="564">
        <f>IF((I3745-MAX(I$470:I3745))/MAX(I$470:I3745)&gt;T3744,T3744,(I3745-MAX(I$470:I3745))/MAX(I$470:I3745))</f>
        <v>-0.91338805338419748</v>
      </c>
      <c r="U3745" s="564">
        <f>IF((J3745-MAX(J$470:J3745))/MAX(J$470:J3745)&gt;U3744,U3744,(J3745-MAX(J$470:J3745))/MAX(J$470:J3745))</f>
        <v>-0.83569785939843477</v>
      </c>
      <c r="V3745" s="564">
        <f>IF((K3745-MAX(K$470:K3745))/MAX(K$470:K3745)&gt;V3744,V3744,(K3745-MAX(K$470:K3745))/MAX(K$470:K3745))</f>
        <v>-0.84885940676762139</v>
      </c>
      <c r="W3745" s="564">
        <f>IF((N3745-MAX(N$470:N3745))/MAX(N$470:N3745)&gt;W3744,W3744,(N3745-MAX(N$470:N3745))/MAX(N$470:N3745))</f>
        <v>-0.62788758315546067</v>
      </c>
      <c r="X3745" s="564">
        <f>IF((O3745-MAX(O$470:O3745))/MAX(O$470:O3745)&gt;X3744,X3744,(O3745-MAX(O$470:O3745))/MAX(O$470:O3745))</f>
        <v>-0.62788758315546067</v>
      </c>
    </row>
    <row r="3746" spans="1:24">
      <c r="A3746" s="799">
        <v>44148</v>
      </c>
      <c r="B3746">
        <v>16114.028620384601</v>
      </c>
      <c r="C3746">
        <v>77567.720077000005</v>
      </c>
      <c r="D3746">
        <v>2.3545530000000001</v>
      </c>
      <c r="E3746">
        <f>LN(D3746/参数实验室!$E$53)/参数实验室!$E$55</f>
        <v>0.31731445896016774</v>
      </c>
      <c r="F3746">
        <f t="shared" si="528"/>
        <v>4.8136764495301403</v>
      </c>
      <c r="G3746">
        <f>LN(F3746/参数实验室!$E$58)/参数实验室!$E$59</f>
        <v>0.63425770128495995</v>
      </c>
      <c r="H3746" s="856">
        <f>INDEX(神经网络!$G$10:$BO$70,MATCH(ROUND(G3746*2,1)/2,神经网络!$E$10:$E$70,0),MATCH(ROUND(E3746*2,1)/2,神经网络!$G$8:$BO$8,0))</f>
        <v>1.9623366209116104</v>
      </c>
      <c r="I3746">
        <f t="shared" si="530"/>
        <v>1250694.4800677099</v>
      </c>
      <c r="J3746">
        <f t="shared" si="531"/>
        <v>6429.9224374065525</v>
      </c>
      <c r="K3746">
        <f t="shared" si="532"/>
        <v>194.51159671720171</v>
      </c>
      <c r="L3746" s="4">
        <f>MIN(MAX(L3745*(1+MAX(MIN(((B3746-B3745)/B3745)/($K$7*卓尔金历!$N$40),0),-卓尔金历!$M$43))+MIN(MAX(((B3746-B3745)/B3745)/($K$7*卓尔金历!$N$40),0),卓尔金历!$M$43),0),1)</f>
        <v>0.97166113408379529</v>
      </c>
      <c r="M3746" s="4">
        <f>MIN(MAX(M3745*(1+MAX(MIN(((B3746-B3745)/B3745)/($K$7*30),0),-卓尔金历!$M$43))+MIN(MAX(((B3746-B3745)/B3745)/($K$7*7),0),卓尔金历!$M$43),0),1)</f>
        <v>0.98583056704189764</v>
      </c>
      <c r="N3746">
        <f t="shared" si="533"/>
        <v>369705.73773327033</v>
      </c>
      <c r="O3746">
        <f t="shared" si="534"/>
        <v>1177986.698407664</v>
      </c>
      <c r="P3746">
        <f t="shared" si="535"/>
        <v>-1.854754305678217E-3</v>
      </c>
      <c r="Q3746">
        <f t="shared" si="526"/>
        <v>2.4646129454746483E-2</v>
      </c>
      <c r="R3746">
        <f t="shared" si="527"/>
        <v>1</v>
      </c>
      <c r="S3746">
        <f t="shared" si="529"/>
        <v>1946.814063838762</v>
      </c>
      <c r="T3746" s="564">
        <f>IF((I3746-MAX(I$470:I3746))/MAX(I$470:I3746)&gt;T3745,T3745,(I3746-MAX(I$470:I3746))/MAX(I$470:I3746))</f>
        <v>-0.91338805338419748</v>
      </c>
      <c r="U3746" s="564">
        <f>IF((J3746-MAX(J$470:J3746))/MAX(J$470:J3746)&gt;U3745,U3745,(J3746-MAX(J$470:J3746))/MAX(J$470:J3746))</f>
        <v>-0.83569785939843477</v>
      </c>
      <c r="V3746" s="564">
        <f>IF((K3746-MAX(K$470:K3746))/MAX(K$470:K3746)&gt;V3745,V3745,(K3746-MAX(K$470:K3746))/MAX(K$470:K3746))</f>
        <v>-0.84885940676762139</v>
      </c>
      <c r="W3746" s="564">
        <f>IF((N3746-MAX(N$470:N3746))/MAX(N$470:N3746)&gt;W3745,W3745,(N3746-MAX(N$470:N3746))/MAX(N$470:N3746))</f>
        <v>-0.62788758315546067</v>
      </c>
      <c r="X3746" s="564">
        <f>IF((O3746-MAX(O$470:O3746))/MAX(O$470:O3746)&gt;X3745,X3745,(O3746-MAX(O$470:O3746))/MAX(O$470:O3746))</f>
        <v>-0.62788758315546067</v>
      </c>
    </row>
    <row r="3747" spans="1:24">
      <c r="A3747" s="799">
        <v>44149</v>
      </c>
      <c r="B3747">
        <v>15952.75336266</v>
      </c>
      <c r="C3747">
        <v>78100.159494000007</v>
      </c>
      <c r="D3747">
        <v>2.3178670000000001</v>
      </c>
      <c r="E3747">
        <f>LN(D3747/参数实验室!$E$53)/参数实验室!$E$55</f>
        <v>0.29878816341265063</v>
      </c>
      <c r="F3747">
        <f t="shared" si="528"/>
        <v>4.8957166025525138</v>
      </c>
      <c r="G3747">
        <f>LN(F3747/参数实验室!$E$58)/参数实验室!$E$59</f>
        <v>0.64312748965565825</v>
      </c>
      <c r="H3747" s="856">
        <f>INDEX(神经网络!$G$10:$BO$70,MATCH(ROUND(G3747*2,1)/2,神经网络!$E$10:$E$70,0),MATCH(ROUND(E3747*2,1)/2,神经网络!$G$8:$BO$8,0))</f>
        <v>1.9623366209116104</v>
      </c>
      <c r="I3747">
        <f t="shared" si="530"/>
        <v>1226131.0871268399</v>
      </c>
      <c r="J3747">
        <f t="shared" si="531"/>
        <v>6365.5693558357443</v>
      </c>
      <c r="K3747">
        <f t="shared" si="532"/>
        <v>192.61923303101918</v>
      </c>
      <c r="L3747" s="4">
        <f>MIN(MAX(L3746*(1+MAX(MIN(((B3747-B3746)/B3746)/($K$7*卓尔金历!$N$40),0),-卓尔金历!$M$43))+MIN(MAX(((B3747-B3746)/B3746)/($K$7*卓尔金历!$N$40),0),卓尔金历!$M$43),0),1)</f>
        <v>0.82307628623369755</v>
      </c>
      <c r="M3747" s="4">
        <f>MIN(MAX(M3746*(1+MAX(MIN(((B3747-B3746)/B3746)/($K$7*30),0),-卓尔金历!$M$43))+MIN(MAX(((B3747-B3746)/B3746)/($K$7*7),0),卓尔金历!$M$43),0),1)</f>
        <v>0.91045475974051004</v>
      </c>
      <c r="N3747">
        <f t="shared" si="533"/>
        <v>362650.55697888619</v>
      </c>
      <c r="O3747">
        <f t="shared" si="534"/>
        <v>1155179.0878340076</v>
      </c>
      <c r="P3747">
        <f t="shared" si="535"/>
        <v>-1.0008376025879976E-2</v>
      </c>
      <c r="Q3747">
        <f t="shared" si="526"/>
        <v>2.5026452356815877E-2</v>
      </c>
      <c r="R3747">
        <f t="shared" si="527"/>
        <v>0.96374559333623488</v>
      </c>
      <c r="S3747">
        <f t="shared" si="529"/>
        <v>1908.5790195533705</v>
      </c>
      <c r="T3747" s="564">
        <f>IF((I3747-MAX(I$470:I3747))/MAX(I$470:I3747)&gt;T3746,T3746,(I3747-MAX(I$470:I3747))/MAX(I$470:I3747))</f>
        <v>-0.91338805338419748</v>
      </c>
      <c r="U3747" s="564">
        <f>IF((J3747-MAX(J$470:J3747))/MAX(J$470:J3747)&gt;U3746,U3746,(J3747-MAX(J$470:J3747))/MAX(J$470:J3747))</f>
        <v>-0.83569785939843477</v>
      </c>
      <c r="V3747" s="564">
        <f>IF((K3747-MAX(K$470:K3747))/MAX(K$470:K3747)&gt;V3746,V3746,(K3747-MAX(K$470:K3747))/MAX(K$470:K3747))</f>
        <v>-0.84885940676762139</v>
      </c>
      <c r="W3747" s="564">
        <f>IF((N3747-MAX(N$470:N3747))/MAX(N$470:N3747)&gt;W3746,W3746,(N3747-MAX(N$470:N3747))/MAX(N$470:N3747))</f>
        <v>-0.62788758315546067</v>
      </c>
      <c r="X3747" s="564">
        <f>IF((O3747-MAX(O$470:O3747))/MAX(O$470:O3747)&gt;X3746,X3746,(O3747-MAX(O$470:O3747))/MAX(O$470:O3747))</f>
        <v>-0.62788758315546067</v>
      </c>
    </row>
    <row r="3748" spans="1:24">
      <c r="A3748" s="799">
        <v>44150</v>
      </c>
      <c r="B3748">
        <v>16022.3817674723</v>
      </c>
      <c r="C3748">
        <v>78404.000954000003</v>
      </c>
      <c r="D3748">
        <v>2.2988309999999998</v>
      </c>
      <c r="E3748">
        <f>LN(D3748/参数实验室!$E$53)/参数实验室!$E$55</f>
        <v>0.2890591709483788</v>
      </c>
      <c r="F3748">
        <f t="shared" si="528"/>
        <v>4.893404869004633</v>
      </c>
      <c r="G3748">
        <f>LN(F3748/参数实验室!$E$58)/参数实验室!$E$59</f>
        <v>0.64287959760013247</v>
      </c>
      <c r="H3748" s="856">
        <f>INDEX(神经网络!$G$10:$BO$70,MATCH(ROUND(G3748*2,1)/2,神经网络!$E$10:$E$70,0),MATCH(ROUND(E3748*2,1)/2,神经网络!$G$8:$BO$8,0))</f>
        <v>1.9623366209116104</v>
      </c>
      <c r="I3748">
        <f t="shared" si="530"/>
        <v>1236632.8258000922</v>
      </c>
      <c r="J3748">
        <f t="shared" si="531"/>
        <v>6393.3529258498302</v>
      </c>
      <c r="K3748">
        <f t="shared" si="532"/>
        <v>193.42477103056436</v>
      </c>
      <c r="L3748" s="4">
        <f>MIN(MAX(L3747*(1+MAX(MIN(((B3748-B3747)/B3747)/($K$7*卓尔金历!$N$40),0),-卓尔金历!$M$43))+MIN(MAX(((B3748-B3747)/B3747)/($K$7*卓尔金历!$N$40),0),卓尔金历!$M$43),0),1)</f>
        <v>0.8897641603558184</v>
      </c>
      <c r="M3748" s="4">
        <f>MIN(MAX(M3747*(1+MAX(MIN(((B3748-B3747)/B3747)/($K$7*30),0),-卓尔金历!$M$43))+MIN(MAX(((B3748-B3747)/B3747)/($K$7*7),0),卓尔金历!$M$43),0),1)</f>
        <v>1</v>
      </c>
      <c r="N3748">
        <f t="shared" si="533"/>
        <v>365207.09785863891</v>
      </c>
      <c r="O3748">
        <f t="shared" si="534"/>
        <v>1164187.1628133946</v>
      </c>
      <c r="P3748">
        <f t="shared" si="535"/>
        <v>4.3646637811925511E-3</v>
      </c>
      <c r="Q3748">
        <f t="shared" si="526"/>
        <v>2.4485780148942322E-2</v>
      </c>
      <c r="R3748">
        <f t="shared" si="527"/>
        <v>1</v>
      </c>
      <c r="S3748">
        <f t="shared" si="529"/>
        <v>1924.3332376771459</v>
      </c>
      <c r="T3748" s="564">
        <f>IF((I3748-MAX(I$470:I3748))/MAX(I$470:I3748)&gt;T3747,T3747,(I3748-MAX(I$470:I3748))/MAX(I$470:I3748))</f>
        <v>-0.91338805338419748</v>
      </c>
      <c r="U3748" s="564">
        <f>IF((J3748-MAX(J$470:J3748))/MAX(J$470:J3748)&gt;U3747,U3747,(J3748-MAX(J$470:J3748))/MAX(J$470:J3748))</f>
        <v>-0.83569785939843477</v>
      </c>
      <c r="V3748" s="564">
        <f>IF((K3748-MAX(K$470:K3748))/MAX(K$470:K3748)&gt;V3747,V3747,(K3748-MAX(K$470:K3748))/MAX(K$470:K3748))</f>
        <v>-0.84885940676762139</v>
      </c>
      <c r="W3748" s="564">
        <f>IF((N3748-MAX(N$470:N3748))/MAX(N$470:N3748)&gt;W3747,W3747,(N3748-MAX(N$470:N3748))/MAX(N$470:N3748))</f>
        <v>-0.62788758315546067</v>
      </c>
      <c r="X3748" s="564">
        <f>IF((O3748-MAX(O$470:O3748))/MAX(O$470:O3748)&gt;X3747,X3747,(O3748-MAX(O$470:O3748))/MAX(O$470:O3748))</f>
        <v>-0.62788758315546067</v>
      </c>
    </row>
    <row r="3749" spans="1:24">
      <c r="A3749" s="799">
        <v>44151</v>
      </c>
      <c r="B3749">
        <v>16443.030788503002</v>
      </c>
      <c r="C3749">
        <v>78242.413086</v>
      </c>
      <c r="D3749">
        <v>2.3997959999999998</v>
      </c>
      <c r="E3749">
        <f>LN(D3749/参数实验室!$E$53)/参数实验室!$E$55</f>
        <v>0.3397685056769329</v>
      </c>
      <c r="F3749">
        <f t="shared" si="528"/>
        <v>4.7583936375468712</v>
      </c>
      <c r="G3749">
        <f>LN(F3749/参数实验室!$E$58)/参数实验室!$E$59</f>
        <v>0.62819511926593352</v>
      </c>
      <c r="H3749" s="856">
        <f>INDEX(神经网络!$G$10:$BO$70,MATCH(ROUND(G3749*2,1)/2,神经网络!$E$10:$E$70,0),MATCH(ROUND(E3749*2,1)/2,神经网络!$G$8:$BO$8,0))</f>
        <v>2.0214356042754957</v>
      </c>
      <c r="I3749">
        <f t="shared" si="530"/>
        <v>1300342.7496722874</v>
      </c>
      <c r="J3749">
        <f t="shared" si="531"/>
        <v>6561.2029801296676</v>
      </c>
      <c r="K3749">
        <f t="shared" si="532"/>
        <v>198.1866364461398</v>
      </c>
      <c r="L3749" s="4">
        <f>MIN(MAX(L3748*(1+MAX(MIN(((B3749-B3748)/B3748)/($K$7*卓尔金历!$N$40),0),-卓尔金历!$M$43))+MIN(MAX(((B3749-B3748)/B3748)/($K$7*卓尔金历!$N$40),0),卓尔金历!$M$43),0),1)</f>
        <v>1</v>
      </c>
      <c r="M3749" s="4">
        <f>MIN(MAX(M3748*(1+MAX(MIN(((B3749-B3748)/B3748)/($K$7*30),0),-卓尔金历!$M$43))+MIN(MAX(((B3749-B3748)/B3748)/($K$7*7),0),卓尔金历!$M$43),0),1)</f>
        <v>1</v>
      </c>
      <c r="N3749">
        <f t="shared" si="533"/>
        <v>381948.06074623333</v>
      </c>
      <c r="O3749">
        <f t="shared" si="534"/>
        <v>1224164.7681044724</v>
      </c>
      <c r="P3749">
        <f t="shared" si="535"/>
        <v>2.6253838357832602E-2</v>
      </c>
      <c r="Q3749">
        <f t="shared" si="526"/>
        <v>2.4682590800118458E-2</v>
      </c>
      <c r="R3749">
        <f t="shared" si="527"/>
        <v>2.2974663922371828E-2</v>
      </c>
      <c r="S3749">
        <f t="shared" si="529"/>
        <v>2023.4727086012056</v>
      </c>
      <c r="T3749" s="564">
        <f>IF((I3749-MAX(I$470:I3749))/MAX(I$470:I3749)&gt;T3748,T3748,(I3749-MAX(I$470:I3749))/MAX(I$470:I3749))</f>
        <v>-0.91338805338419748</v>
      </c>
      <c r="U3749" s="564">
        <f>IF((J3749-MAX(J$470:J3749))/MAX(J$470:J3749)&gt;U3748,U3748,(J3749-MAX(J$470:J3749))/MAX(J$470:J3749))</f>
        <v>-0.83569785939843477</v>
      </c>
      <c r="V3749" s="564">
        <f>IF((K3749-MAX(K$470:K3749))/MAX(K$470:K3749)&gt;V3748,V3748,(K3749-MAX(K$470:K3749))/MAX(K$470:K3749))</f>
        <v>-0.84885940676762139</v>
      </c>
      <c r="W3749" s="564">
        <f>IF((N3749-MAX(N$470:N3749))/MAX(N$470:N3749)&gt;W3748,W3748,(N3749-MAX(N$470:N3749))/MAX(N$470:N3749))</f>
        <v>-0.62788758315546067</v>
      </c>
      <c r="X3749" s="564">
        <f>IF((O3749-MAX(O$470:O3749))/MAX(O$470:O3749)&gt;X3748,X3748,(O3749-MAX(O$470:O3749))/MAX(O$470:O3749))</f>
        <v>-0.62788758315546067</v>
      </c>
    </row>
    <row r="3750" spans="1:24">
      <c r="A3750" s="799">
        <v>44152</v>
      </c>
      <c r="B3750">
        <v>17318.7941104253</v>
      </c>
      <c r="C3750">
        <v>76139.096904999999</v>
      </c>
      <c r="D3750">
        <v>2.5173860000000001</v>
      </c>
      <c r="E3750">
        <f>LN(D3750/参数实验室!$E$53)/参数实验室!$E$55</f>
        <v>0.39620474836168762</v>
      </c>
      <c r="F3750">
        <f t="shared" si="528"/>
        <v>4.3963278516699358</v>
      </c>
      <c r="G3750">
        <f>LN(F3750/参数实验室!$E$58)/参数实验室!$E$59</f>
        <v>0.58665789376118227</v>
      </c>
      <c r="H3750" s="856">
        <f>INDEX(神经网络!$G$10:$BO$70,MATCH(ROUND(G3750*2,1)/2,神经网络!$E$10:$E$70,0),MATCH(ROUND(E3750*2,1)/2,神经网络!$G$8:$BO$8,0))</f>
        <v>2.04710720454921</v>
      </c>
      <c r="I3750">
        <f t="shared" si="530"/>
        <v>1440341.0083190124</v>
      </c>
      <c r="J3750">
        <f t="shared" si="531"/>
        <v>6910.6556443977724</v>
      </c>
      <c r="K3750">
        <f t="shared" si="532"/>
        <v>208.42320648499489</v>
      </c>
      <c r="L3750" s="4">
        <f>MIN(MAX(L3749*(1+MAX(MIN(((B3750-B3749)/B3749)/($K$7*卓尔金历!$N$40),0),-卓尔金历!$M$43))+MIN(MAX(((B3750-B3749)/B3749)/($K$7*卓尔金历!$N$40),0),卓尔金历!$M$43),0),1)</f>
        <v>1</v>
      </c>
      <c r="M3750" s="4">
        <f>MIN(MAX(M3749*(1+MAX(MIN(((B3750-B3749)/B3749)/($K$7*30),0),-卓尔金历!$M$43))+MIN(MAX(((B3750-B3749)/B3749)/($K$7*7),0),卓尔金历!$M$43),0),1)</f>
        <v>1</v>
      </c>
      <c r="N3750">
        <f t="shared" si="533"/>
        <v>423069.57537108299</v>
      </c>
      <c r="O3750">
        <f t="shared" si="534"/>
        <v>1355961.5085211736</v>
      </c>
      <c r="P3750">
        <f t="shared" si="535"/>
        <v>5.3260456249624874E-2</v>
      </c>
      <c r="Q3750">
        <f t="shared" si="526"/>
        <v>2.5186282241737971E-2</v>
      </c>
      <c r="R3750">
        <f t="shared" si="527"/>
        <v>6.1979304538504398E-3</v>
      </c>
      <c r="S3750">
        <f t="shared" si="529"/>
        <v>2028.4777919222172</v>
      </c>
      <c r="T3750" s="564">
        <f>IF((I3750-MAX(I$470:I3750))/MAX(I$470:I3750)&gt;T3749,T3749,(I3750-MAX(I$470:I3750))/MAX(I$470:I3750))</f>
        <v>-0.91338805338419748</v>
      </c>
      <c r="U3750" s="564">
        <f>IF((J3750-MAX(J$470:J3750))/MAX(J$470:J3750)&gt;U3749,U3749,(J3750-MAX(J$470:J3750))/MAX(J$470:J3750))</f>
        <v>-0.83569785939843477</v>
      </c>
      <c r="V3750" s="564">
        <f>IF((K3750-MAX(K$470:K3750))/MAX(K$470:K3750)&gt;V3749,V3749,(K3750-MAX(K$470:K3750))/MAX(K$470:K3750))</f>
        <v>-0.84885940676762139</v>
      </c>
      <c r="W3750" s="564">
        <f>IF((N3750-MAX(N$470:N3750))/MAX(N$470:N3750)&gt;W3749,W3749,(N3750-MAX(N$470:N3750))/MAX(N$470:N3750))</f>
        <v>-0.62788758315546067</v>
      </c>
      <c r="X3750" s="564">
        <f>IF((O3750-MAX(O$470:O3750))/MAX(O$470:O3750)&gt;X3749,X3749,(O3750-MAX(O$470:O3750))/MAX(O$470:O3750))</f>
        <v>-0.62788758315546067</v>
      </c>
    </row>
    <row r="3751" spans="1:24">
      <c r="A3751" s="799">
        <v>44153</v>
      </c>
      <c r="B3751">
        <v>17896.3312670614</v>
      </c>
      <c r="C3751">
        <v>73733.735513000007</v>
      </c>
      <c r="D3751">
        <v>2.5102329999999999</v>
      </c>
      <c r="E3751">
        <f>LN(D3751/参数实验室!$E$53)/参数实验室!$E$55</f>
        <v>0.39284777932801951</v>
      </c>
      <c r="F3751">
        <f t="shared" si="528"/>
        <v>4.1200475344747671</v>
      </c>
      <c r="G3751">
        <f>LN(F3751/参数实验室!$E$58)/参数实验室!$E$59</f>
        <v>0.55259228801211169</v>
      </c>
      <c r="H3751" s="856">
        <f>INDEX(神经网络!$G$10:$BO$70,MATCH(ROUND(G3751*2,1)/2,神经网络!$E$10:$E$70,0),MATCH(ROUND(E3751*2,1)/2,神经网络!$G$8:$BO$8,0))</f>
        <v>2.0214522736174287</v>
      </c>
      <c r="I3751">
        <f t="shared" si="530"/>
        <v>1538666.9679402024</v>
      </c>
      <c r="J3751">
        <f t="shared" si="531"/>
        <v>7141.1082028096862</v>
      </c>
      <c r="K3751">
        <f t="shared" si="532"/>
        <v>215.46613274040718</v>
      </c>
      <c r="L3751" s="4">
        <f>MIN(MAX(L3750*(1+MAX(MIN(((B3751-B3750)/B3750)/($K$7*卓尔金历!$N$40),0),-卓尔金历!$M$43))+MIN(MAX(((B3751-B3750)/B3750)/($K$7*卓尔金历!$N$40),0),卓尔金历!$M$43),0),1)</f>
        <v>1</v>
      </c>
      <c r="M3751" s="4">
        <f>MIN(MAX(M3750*(1+MAX(MIN(((B3751-B3750)/B3750)/($K$7*30),0),-卓尔金历!$M$43))+MIN(MAX(((B3751-B3750)/B3750)/($K$7*7),0),卓尔金历!$M$43),0),1)</f>
        <v>1</v>
      </c>
      <c r="N3751">
        <f t="shared" si="533"/>
        <v>451950.7373630199</v>
      </c>
      <c r="O3751">
        <f t="shared" si="534"/>
        <v>1448527.2382787</v>
      </c>
      <c r="P3751">
        <f t="shared" si="535"/>
        <v>3.3347423207048935E-2</v>
      </c>
      <c r="Q3751">
        <f t="shared" si="526"/>
        <v>2.4022910432925457E-2</v>
      </c>
      <c r="R3751">
        <f t="shared" si="527"/>
        <v>1.6925873587951289E-2</v>
      </c>
      <c r="S3751">
        <f t="shared" si="529"/>
        <v>2029.3360538029433</v>
      </c>
      <c r="T3751" s="564">
        <f>IF((I3751-MAX(I$470:I3751))/MAX(I$470:I3751)&gt;T3750,T3750,(I3751-MAX(I$470:I3751))/MAX(I$470:I3751))</f>
        <v>-0.91338805338419748</v>
      </c>
      <c r="U3751" s="564">
        <f>IF((J3751-MAX(J$470:J3751))/MAX(J$470:J3751)&gt;U3750,U3750,(J3751-MAX(J$470:J3751))/MAX(J$470:J3751))</f>
        <v>-0.83569785939843477</v>
      </c>
      <c r="V3751" s="564">
        <f>IF((K3751-MAX(K$470:K3751))/MAX(K$470:K3751)&gt;V3750,V3750,(K3751-MAX(K$470:K3751))/MAX(K$470:K3751))</f>
        <v>-0.84885940676762139</v>
      </c>
      <c r="W3751" s="564">
        <f>IF((N3751-MAX(N$470:N3751))/MAX(N$470:N3751)&gt;W3750,W3750,(N3751-MAX(N$470:N3751))/MAX(N$470:N3751))</f>
        <v>-0.62788758315546067</v>
      </c>
      <c r="X3751" s="564">
        <f>IF((O3751-MAX(O$470:O3751))/MAX(O$470:O3751)&gt;X3750,X3750,(O3751-MAX(O$470:O3751))/MAX(O$470:O3751))</f>
        <v>-0.62788758315546067</v>
      </c>
    </row>
    <row r="3752" spans="1:24">
      <c r="A3752" s="799">
        <v>44154</v>
      </c>
      <c r="B3752">
        <v>18107.996054598301</v>
      </c>
      <c r="C3752">
        <v>74122.521643</v>
      </c>
      <c r="D3752">
        <v>2.5044300000000002</v>
      </c>
      <c r="E3752">
        <f>LN(D3752/参数实验室!$E$53)/参数实验室!$E$55</f>
        <v>0.39011734215578753</v>
      </c>
      <c r="F3752">
        <f t="shared" si="528"/>
        <v>4.0933586145871459</v>
      </c>
      <c r="G3752">
        <f>LN(F3752/参数实验室!$E$58)/参数实验室!$E$59</f>
        <v>0.54918131902884393</v>
      </c>
      <c r="H3752" s="856">
        <f>INDEX(神经网络!$G$10:$BO$70,MATCH(ROUND(G3752*2,1)/2,神经网络!$E$10:$E$70,0),MATCH(ROUND(E3752*2,1)/2,神经网络!$G$8:$BO$8,0))</f>
        <v>2.0214522736174287</v>
      </c>
      <c r="I3752">
        <f t="shared" si="530"/>
        <v>1575453.8286129795</v>
      </c>
      <c r="J3752">
        <f t="shared" si="531"/>
        <v>7225.5680358318723</v>
      </c>
      <c r="K3752">
        <f t="shared" si="532"/>
        <v>218.03875083595406</v>
      </c>
      <c r="L3752" s="4">
        <f>MIN(MAX(L3751*(1+MAX(MIN(((B3752-B3751)/B3751)/($K$7*卓尔金历!$N$40),0),-卓尔金历!$M$43))+MIN(MAX(((B3752-B3751)/B3751)/($K$7*卓尔金历!$N$40),0),卓尔金历!$M$43),0),1)</f>
        <v>1</v>
      </c>
      <c r="M3752" s="4">
        <f>MIN(MAX(M3751*(1+MAX(MIN(((B3752-B3751)/B3751)/($K$7*30),0),-卓尔金历!$M$43))+MIN(MAX(((B3752-B3751)/B3751)/($K$7*7),0),卓尔金历!$M$43),0),1)</f>
        <v>1</v>
      </c>
      <c r="N3752">
        <f t="shared" si="533"/>
        <v>462756.09625662712</v>
      </c>
      <c r="O3752">
        <f t="shared" si="534"/>
        <v>1483159.0142286418</v>
      </c>
      <c r="P3752">
        <f t="shared" si="535"/>
        <v>1.182727254979212E-2</v>
      </c>
      <c r="Q3752">
        <f t="shared" si="526"/>
        <v>2.4030529991904883E-2</v>
      </c>
      <c r="R3752">
        <f t="shared" si="527"/>
        <v>0.74997016741956923</v>
      </c>
      <c r="S3752">
        <f t="shared" si="529"/>
        <v>2030.1572617835432</v>
      </c>
      <c r="T3752" s="564">
        <f>IF((I3752-MAX(I$470:I3752))/MAX(I$470:I3752)&gt;T3751,T3751,(I3752-MAX(I$470:I3752))/MAX(I$470:I3752))</f>
        <v>-0.91338805338419748</v>
      </c>
      <c r="U3752" s="564">
        <f>IF((J3752-MAX(J$470:J3752))/MAX(J$470:J3752)&gt;U3751,U3751,(J3752-MAX(J$470:J3752))/MAX(J$470:J3752))</f>
        <v>-0.83569785939843477</v>
      </c>
      <c r="V3752" s="564">
        <f>IF((K3752-MAX(K$470:K3752))/MAX(K$470:K3752)&gt;V3751,V3751,(K3752-MAX(K$470:K3752))/MAX(K$470:K3752))</f>
        <v>-0.84885940676762139</v>
      </c>
      <c r="W3752" s="564">
        <f>IF((N3752-MAX(N$470:N3752))/MAX(N$470:N3752)&gt;W3751,W3751,(N3752-MAX(N$470:N3752))/MAX(N$470:N3752))</f>
        <v>-0.62788758315546067</v>
      </c>
      <c r="X3752" s="564">
        <f>IF((O3752-MAX(O$470:O3752))/MAX(O$470:O3752)&gt;X3751,X3751,(O3752-MAX(O$470:O3752))/MAX(O$470:O3752))</f>
        <v>-0.62788758315546067</v>
      </c>
    </row>
    <row r="3753" spans="1:24">
      <c r="A3753" s="799">
        <v>44155</v>
      </c>
      <c r="B3753">
        <v>18685.0925896062</v>
      </c>
      <c r="C3753">
        <v>72114.054579999996</v>
      </c>
      <c r="D3753">
        <v>2.5961270000000001</v>
      </c>
      <c r="E3753">
        <f>LN(D3753/参数实验室!$E$53)/参数实验室!$E$55</f>
        <v>0.43254074420628724</v>
      </c>
      <c r="F3753">
        <f t="shared" si="528"/>
        <v>3.8594432558559695</v>
      </c>
      <c r="G3753">
        <f>LN(F3753/参数实验室!$E$58)/参数实验室!$E$59</f>
        <v>0.51829740007111502</v>
      </c>
      <c r="H3753" s="856">
        <f>INDEX(神经网络!$G$10:$BO$70,MATCH(ROUND(G3753*2,1)/2,神经网络!$E$10:$E$70,0),MATCH(ROUND(E3753*2,1)/2,神经网络!$G$8:$BO$8,0))</f>
        <v>2.047116803408954</v>
      </c>
      <c r="I3753">
        <f t="shared" si="530"/>
        <v>1676949.4361668751</v>
      </c>
      <c r="J3753">
        <f t="shared" si="531"/>
        <v>7455.8447745924559</v>
      </c>
      <c r="K3753">
        <f t="shared" si="532"/>
        <v>224.91742879109751</v>
      </c>
      <c r="L3753" s="4">
        <f>MIN(MAX(L3752*(1+MAX(MIN(((B3753-B3752)/B3752)/($K$7*卓尔金历!$N$40),0),-卓尔金历!$M$43))+MIN(MAX(((B3753-B3752)/B3752)/($K$7*卓尔金历!$N$40),0),卓尔金历!$M$43),0),1)</f>
        <v>1</v>
      </c>
      <c r="M3753" s="4">
        <f>MIN(MAX(M3752*(1+MAX(MIN(((B3753-B3752)/B3752)/($K$7*30),0),-卓尔金历!$M$43))+MIN(MAX(((B3753-B3752)/B3752)/($K$7*7),0),卓尔金历!$M$43),0),1)</f>
        <v>1</v>
      </c>
      <c r="N3753">
        <f t="shared" si="533"/>
        <v>492568.27499891719</v>
      </c>
      <c r="O3753">
        <f t="shared" si="534"/>
        <v>1578708.704428514</v>
      </c>
      <c r="P3753">
        <f t="shared" si="535"/>
        <v>3.1869707352921148E-2</v>
      </c>
      <c r="Q3753">
        <f t="shared" si="526"/>
        <v>2.424755436534367E-2</v>
      </c>
      <c r="R3753">
        <f t="shared" si="527"/>
        <v>1.7462020490817604E-2</v>
      </c>
      <c r="S3753">
        <f t="shared" si="529"/>
        <v>2128.245116638584</v>
      </c>
      <c r="T3753" s="564">
        <f>IF((I3753-MAX(I$470:I3753))/MAX(I$470:I3753)&gt;T3752,T3752,(I3753-MAX(I$470:I3753))/MAX(I$470:I3753))</f>
        <v>-0.91338805338419748</v>
      </c>
      <c r="U3753" s="564">
        <f>IF((J3753-MAX(J$470:J3753))/MAX(J$470:J3753)&gt;U3752,U3752,(J3753-MAX(J$470:J3753))/MAX(J$470:J3753))</f>
        <v>-0.83569785939843477</v>
      </c>
      <c r="V3753" s="564">
        <f>IF((K3753-MAX(K$470:K3753))/MAX(K$470:K3753)&gt;V3752,V3752,(K3753-MAX(K$470:K3753))/MAX(K$470:K3753))</f>
        <v>-0.84885940676762139</v>
      </c>
      <c r="W3753" s="564">
        <f>IF((N3753-MAX(N$470:N3753))/MAX(N$470:N3753)&gt;W3752,W3752,(N3753-MAX(N$470:N3753))/MAX(N$470:N3753))</f>
        <v>-0.62788758315546067</v>
      </c>
      <c r="X3753" s="564">
        <f>IF((O3753-MAX(O$470:O3753))/MAX(O$470:O3753)&gt;X3752,X3752,(O3753-MAX(O$470:O3753))/MAX(O$470:O3753))</f>
        <v>-0.62788758315546067</v>
      </c>
    </row>
    <row r="3754" spans="1:24">
      <c r="A3754" s="799">
        <v>44156</v>
      </c>
      <c r="B3754">
        <v>18771.301727555699</v>
      </c>
      <c r="C3754">
        <v>70480.873707999999</v>
      </c>
      <c r="D3754">
        <v>2.5899869999999998</v>
      </c>
      <c r="E3754">
        <f>LN(D3754/参数实验室!$E$53)/参数实验室!$E$55</f>
        <v>0.42974725054129459</v>
      </c>
      <c r="F3754">
        <f t="shared" si="528"/>
        <v>3.7547142297828082</v>
      </c>
      <c r="G3754">
        <f>LN(F3754/参数实验室!$E$58)/参数实验室!$E$59</f>
        <v>0.50385826622641006</v>
      </c>
      <c r="H3754" s="856">
        <f>INDEX(神经网络!$G$10:$BO$70,MATCH(ROUND(G3754*2,1)/2,神经网络!$E$10:$E$70,0),MATCH(ROUND(E3754*2,1)/2,神经网络!$G$8:$BO$8,0))</f>
        <v>2.047116803408954</v>
      </c>
      <c r="I3754">
        <f t="shared" si="530"/>
        <v>1692788.1765092281</v>
      </c>
      <c r="J3754">
        <f t="shared" si="531"/>
        <v>7490.2444944557892</v>
      </c>
      <c r="K3754">
        <f t="shared" si="532"/>
        <v>225.99905487226945</v>
      </c>
      <c r="L3754" s="4">
        <f>MIN(MAX(L3753*(1+MAX(MIN(((B3754-B3753)/B3753)/($K$7*卓尔金历!$N$40),0),-卓尔金历!$M$43))+MIN(MAX(((B3754-B3753)/B3753)/($K$7*卓尔金历!$N$40),0),卓尔金历!$M$43),0),1)</f>
        <v>1</v>
      </c>
      <c r="M3754" s="4">
        <f>MIN(MAX(M3753*(1+MAX(MIN(((B3754-B3753)/B3753)/($K$7*30),0),-卓尔金历!$M$43))+MIN(MAX(((B3754-B3753)/B3753)/($K$7*7),0),卓尔金历!$M$43),0),1)</f>
        <v>1</v>
      </c>
      <c r="N3754">
        <f t="shared" si="533"/>
        <v>497220.56852687313</v>
      </c>
      <c r="O3754">
        <f t="shared" si="534"/>
        <v>1593619.5638178173</v>
      </c>
      <c r="P3754">
        <f t="shared" si="535"/>
        <v>4.6137923874915339E-3</v>
      </c>
      <c r="Q3754">
        <f t="shared" si="526"/>
        <v>2.428178394452608E-2</v>
      </c>
      <c r="R3754">
        <f t="shared" si="527"/>
        <v>1</v>
      </c>
      <c r="S3754">
        <f t="shared" si="529"/>
        <v>2128.5961244733312</v>
      </c>
      <c r="T3754" s="564">
        <f>IF((I3754-MAX(I$470:I3754))/MAX(I$470:I3754)&gt;T3753,T3753,(I3754-MAX(I$470:I3754))/MAX(I$470:I3754))</f>
        <v>-0.91338805338419748</v>
      </c>
      <c r="U3754" s="564">
        <f>IF((J3754-MAX(J$470:J3754))/MAX(J$470:J3754)&gt;U3753,U3753,(J3754-MAX(J$470:J3754))/MAX(J$470:J3754))</f>
        <v>-0.83569785939843477</v>
      </c>
      <c r="V3754" s="564">
        <f>IF((K3754-MAX(K$470:K3754))/MAX(K$470:K3754)&gt;V3753,V3753,(K3754-MAX(K$470:K3754))/MAX(K$470:K3754))</f>
        <v>-0.84885940676762139</v>
      </c>
      <c r="W3754" s="564">
        <f>IF((N3754-MAX(N$470:N3754))/MAX(N$470:N3754)&gt;W3753,W3753,(N3754-MAX(N$470:N3754))/MAX(N$470:N3754))</f>
        <v>-0.62788758315546067</v>
      </c>
      <c r="X3754" s="564">
        <f>IF((O3754-MAX(O$470:O3754))/MAX(O$470:O3754)&gt;X3753,X3753,(O3754-MAX(O$470:O3754))/MAX(O$470:O3754))</f>
        <v>-0.62788758315546067</v>
      </c>
    </row>
    <row r="3755" spans="1:24">
      <c r="A3755" s="799">
        <v>44157</v>
      </c>
      <c r="B3755">
        <v>18290.955975484401</v>
      </c>
      <c r="C3755">
        <v>68359.446981999994</v>
      </c>
      <c r="D3755">
        <v>2.5537770000000002</v>
      </c>
      <c r="E3755">
        <f>LN(D3755/参数实验室!$E$53)/参数实验室!$E$55</f>
        <v>0.41313701311910594</v>
      </c>
      <c r="F3755">
        <f t="shared" si="528"/>
        <v>3.7373359311357492</v>
      </c>
      <c r="G3755">
        <f>LN(F3755/参数实验室!$E$58)/参数实验室!$E$59</f>
        <v>0.50142339553835646</v>
      </c>
      <c r="H3755" s="856">
        <f>INDEX(神经网络!$G$10:$BO$70,MATCH(ROUND(G3755*2,1)/2,神经网络!$E$10:$E$70,0),MATCH(ROUND(E3755*2,1)/2,神经网络!$G$8:$BO$8,0))</f>
        <v>1.9943536627222795</v>
      </c>
      <c r="I3755">
        <f t="shared" si="530"/>
        <v>1604112.440062599</v>
      </c>
      <c r="J3755">
        <f t="shared" si="531"/>
        <v>7298.5738699510621</v>
      </c>
      <c r="K3755">
        <f t="shared" si="532"/>
        <v>219.78436728124186</v>
      </c>
      <c r="L3755" s="4">
        <f>MIN(MAX(L3754*(1+MAX(MIN(((B3755-B3754)/B3754)/($K$7*卓尔金历!$N$40),0),-卓尔金历!$M$43))+MIN(MAX(((B3755-B3754)/B3754)/($K$7*卓尔金历!$N$40),0),卓尔金历!$M$43),0),1)</f>
        <v>0.60901900971841672</v>
      </c>
      <c r="M3755" s="4">
        <f>MIN(MAX(M3754*(1+MAX(MIN(((B3755-B3754)/B3754)/($K$7*30),0),-卓尔金历!$M$43))+MIN(MAX(((B3755-B3754)/B3754)/($K$7*7),0),卓尔金历!$M$43),0),1)</f>
        <v>0.80450950485920836</v>
      </c>
      <c r="N3755">
        <f t="shared" si="533"/>
        <v>471173.95460176008</v>
      </c>
      <c r="O3755">
        <f t="shared" si="534"/>
        <v>1510138.7181938165</v>
      </c>
      <c r="P3755">
        <f t="shared" si="535"/>
        <v>-2.5589368230449636E-2</v>
      </c>
      <c r="Q3755">
        <f t="shared" si="526"/>
        <v>2.544367447783126E-2</v>
      </c>
      <c r="R3755">
        <f t="shared" si="527"/>
        <v>2.4143139895624229E-2</v>
      </c>
      <c r="S3755">
        <f t="shared" si="529"/>
        <v>2017.0908389600827</v>
      </c>
      <c r="T3755" s="564">
        <f>IF((I3755-MAX(I$470:I3755))/MAX(I$470:I3755)&gt;T3754,T3754,(I3755-MAX(I$470:I3755))/MAX(I$470:I3755))</f>
        <v>-0.91338805338419748</v>
      </c>
      <c r="U3755" s="564">
        <f>IF((J3755-MAX(J$470:J3755))/MAX(J$470:J3755)&gt;U3754,U3754,(J3755-MAX(J$470:J3755))/MAX(J$470:J3755))</f>
        <v>-0.83569785939843477</v>
      </c>
      <c r="V3755" s="564">
        <f>IF((K3755-MAX(K$470:K3755))/MAX(K$470:K3755)&gt;V3754,V3754,(K3755-MAX(K$470:K3755))/MAX(K$470:K3755))</f>
        <v>-0.84885940676762139</v>
      </c>
      <c r="W3755" s="564">
        <f>IF((N3755-MAX(N$470:N3755))/MAX(N$470:N3755)&gt;W3754,W3754,(N3755-MAX(N$470:N3755))/MAX(N$470:N3755))</f>
        <v>-0.62788758315546067</v>
      </c>
      <c r="X3755" s="564">
        <f>IF((O3755-MAX(O$470:O3755))/MAX(O$470:O3755)&gt;X3754,X3754,(O3755-MAX(O$470:O3755))/MAX(O$470:O3755))</f>
        <v>-0.62788758315546067</v>
      </c>
    </row>
    <row r="3756" spans="1:24">
      <c r="A3756" s="799">
        <v>44158</v>
      </c>
      <c r="B3756">
        <v>18298.470954712098</v>
      </c>
      <c r="C3756">
        <v>68613.955350999997</v>
      </c>
      <c r="D3756">
        <v>2.5277599999999998</v>
      </c>
      <c r="E3756">
        <f>LN(D3756/参数实验室!$E$53)/参数实验室!$E$55</f>
        <v>0.40105645231709441</v>
      </c>
      <c r="F3756">
        <f t="shared" si="528"/>
        <v>3.7497097719703731</v>
      </c>
      <c r="G3756">
        <f>LN(F3756/参数实验室!$E$58)/参数实验室!$E$59</f>
        <v>0.50315824972813217</v>
      </c>
      <c r="H3756" s="856">
        <f>INDEX(神经网络!$G$10:$BO$70,MATCH(ROUND(G3756*2,1)/2,神经网络!$E$10:$E$70,0),MATCH(ROUND(E3756*2,1)/2,神经网络!$G$8:$BO$8,0))</f>
        <v>1.9943536627222795</v>
      </c>
      <c r="I3756">
        <f t="shared" si="530"/>
        <v>1605426.8425188118</v>
      </c>
      <c r="J3756">
        <f t="shared" si="531"/>
        <v>7301.5725448753265</v>
      </c>
      <c r="K3756">
        <f t="shared" si="532"/>
        <v>219.87412062975324</v>
      </c>
      <c r="L3756" s="4">
        <f>MIN(MAX(L3755*(1+MAX(MIN(((B3756-B3755)/B3755)/($K$7*卓尔金历!$N$40),0),-卓尔金历!$M$43))+MIN(MAX(((B3756-B3755)/B3755)/($K$7*卓尔金历!$N$40),0),卓尔金历!$M$43),0),1)</f>
        <v>0.6152965203727</v>
      </c>
      <c r="M3756" s="4">
        <f>MIN(MAX(M3755*(1+MAX(MIN(((B3756-B3755)/B3755)/($K$7*30),0),-卓尔金历!$M$43))+MIN(MAX(((B3756-B3755)/B3755)/($K$7*7),0),卓尔金历!$M$43),0),1)</f>
        <v>0.81796131340410105</v>
      </c>
      <c r="N3756">
        <f t="shared" si="533"/>
        <v>471409.0833217295</v>
      </c>
      <c r="O3756">
        <f t="shared" si="534"/>
        <v>1511134.2189106694</v>
      </c>
      <c r="P3756">
        <f t="shared" si="535"/>
        <v>4.1085765215166783E-4</v>
      </c>
      <c r="Q3756">
        <f t="shared" ref="Q3756:Q3819" si="536">STDEVP(P3736:P3756)</f>
        <v>2.4660736835190499E-2</v>
      </c>
      <c r="R3756">
        <f t="shared" ref="R3756:R3819" si="537">MIN(Q3755*MAX(1-LN(MAX(ABS(P3756),0.0001)/Q3756),0)+MAX(-LN(MAX(ABS(P3756),0.0001)/Q3756),0),1)</f>
        <v>1</v>
      </c>
      <c r="S3756">
        <f t="shared" si="529"/>
        <v>2017.1307426229846</v>
      </c>
      <c r="T3756" s="564">
        <f>IF((I3756-MAX(I$470:I3756))/MAX(I$470:I3756)&gt;T3755,T3755,(I3756-MAX(I$470:I3756))/MAX(I$470:I3756))</f>
        <v>-0.91338805338419748</v>
      </c>
      <c r="U3756" s="564">
        <f>IF((J3756-MAX(J$470:J3756))/MAX(J$470:J3756)&gt;U3755,U3755,(J3756-MAX(J$470:J3756))/MAX(J$470:J3756))</f>
        <v>-0.83569785939843477</v>
      </c>
      <c r="V3756" s="564">
        <f>IF((K3756-MAX(K$470:K3756))/MAX(K$470:K3756)&gt;V3755,V3755,(K3756-MAX(K$470:K3756))/MAX(K$470:K3756))</f>
        <v>-0.84885940676762139</v>
      </c>
      <c r="W3756" s="564">
        <f>IF((N3756-MAX(N$470:N3756))/MAX(N$470:N3756)&gt;W3755,W3755,(N3756-MAX(N$470:N3756))/MAX(N$470:N3756))</f>
        <v>-0.62788758315546067</v>
      </c>
      <c r="X3756" s="564">
        <f>IF((O3756-MAX(O$470:O3756))/MAX(O$470:O3756)&gt;X3755,X3755,(O3756-MAX(O$470:O3756))/MAX(O$470:O3756))</f>
        <v>-0.62788758315546067</v>
      </c>
    </row>
    <row r="3757" spans="1:24">
      <c r="A3757" s="799">
        <v>44159</v>
      </c>
      <c r="B3757">
        <v>19367.268431370499</v>
      </c>
      <c r="C3757">
        <v>67703.568505000003</v>
      </c>
      <c r="D3757">
        <v>2.6177459999999999</v>
      </c>
      <c r="E3757">
        <f>LN(D3757/参数实验室!$E$53)/参数实验室!$E$55</f>
        <v>0.44232434712570273</v>
      </c>
      <c r="F3757">
        <f t="shared" si="528"/>
        <v>3.4957727128589733</v>
      </c>
      <c r="G3757">
        <f>LN(F3757/参数实验室!$E$58)/参数实验室!$E$59</f>
        <v>0.46635338446968128</v>
      </c>
      <c r="H3757" s="856">
        <f>INDEX(神经网络!$G$10:$BO$70,MATCH(ROUND(G3757*2,1)/2,神经网络!$E$10:$E$70,0),MATCH(ROUND(E3757*2,1)/2,神经网络!$G$8:$BO$8,0))</f>
        <v>2.0214600057956824</v>
      </c>
      <c r="I3757">
        <f t="shared" si="530"/>
        <v>1792440.4957055047</v>
      </c>
      <c r="J3757">
        <f t="shared" si="531"/>
        <v>7728.0509282831708</v>
      </c>
      <c r="K3757">
        <f t="shared" si="532"/>
        <v>231.93952942850302</v>
      </c>
      <c r="L3757" s="4">
        <f>MIN(MAX(L3756*(1+MAX(MIN(((B3757-B3756)/B3756)/($K$7*卓尔金历!$N$40),0),-卓尔金历!$M$43))+MIN(MAX(((B3757-B3756)/B3756)/($K$7*卓尔金历!$N$40),0),卓尔金历!$M$43),0),1)</f>
        <v>1</v>
      </c>
      <c r="M3757" s="4">
        <f>MIN(MAX(M3756*(1+MAX(MIN(((B3757-B3756)/B3756)/($K$7*30),0),-卓尔金历!$M$43))+MIN(MAX(((B3757-B3756)/B3756)/($K$7*7),0),卓尔金历!$M$43),0),1)</f>
        <v>1</v>
      </c>
      <c r="N3757">
        <f t="shared" si="533"/>
        <v>505197.29446457786</v>
      </c>
      <c r="O3757">
        <f t="shared" si="534"/>
        <v>1655119.6654477518</v>
      </c>
      <c r="P3757">
        <f t="shared" si="535"/>
        <v>5.840911403491731E-2</v>
      </c>
      <c r="Q3757">
        <f t="shared" si="536"/>
        <v>2.6342702917573672E-2</v>
      </c>
      <c r="R3757">
        <f t="shared" si="537"/>
        <v>5.0238697129013597E-3</v>
      </c>
      <c r="S3757">
        <f t="shared" si="529"/>
        <v>2252.103136968441</v>
      </c>
      <c r="T3757" s="564">
        <f>IF((I3757-MAX(I$470:I3757))/MAX(I$470:I3757)&gt;T3756,T3756,(I3757-MAX(I$470:I3757))/MAX(I$470:I3757))</f>
        <v>-0.91338805338419748</v>
      </c>
      <c r="U3757" s="564">
        <f>IF((J3757-MAX(J$470:J3757))/MAX(J$470:J3757)&gt;U3756,U3756,(J3757-MAX(J$470:J3757))/MAX(J$470:J3757))</f>
        <v>-0.83569785939843477</v>
      </c>
      <c r="V3757" s="564">
        <f>IF((K3757-MAX(K$470:K3757))/MAX(K$470:K3757)&gt;V3756,V3756,(K3757-MAX(K$470:K3757))/MAX(K$470:K3757))</f>
        <v>-0.84885940676762139</v>
      </c>
      <c r="W3757" s="564">
        <f>IF((N3757-MAX(N$470:N3757))/MAX(N$470:N3757)&gt;W3756,W3756,(N3757-MAX(N$470:N3757))/MAX(N$470:N3757))</f>
        <v>-0.62788758315546067</v>
      </c>
      <c r="X3757" s="564">
        <f>IF((O3757-MAX(O$470:O3757))/MAX(O$470:O3757)&gt;X3756,X3756,(O3757-MAX(O$470:O3757))/MAX(O$470:O3757))</f>
        <v>-0.62788758315546067</v>
      </c>
    </row>
    <row r="3758" spans="1:24">
      <c r="A3758" s="799">
        <v>44160</v>
      </c>
      <c r="B3758">
        <v>19158.341491356201</v>
      </c>
      <c r="C3758">
        <v>65599.336981999993</v>
      </c>
      <c r="D3758">
        <v>2.5554779999999999</v>
      </c>
      <c r="E3758">
        <f>LN(D3758/参数实验室!$E$53)/参数实验室!$E$55</f>
        <v>0.4139225524363408</v>
      </c>
      <c r="F3758">
        <f t="shared" si="528"/>
        <v>3.4240613683390544</v>
      </c>
      <c r="G3758">
        <f>LN(F3758/参数实验室!$E$58)/参数实验室!$E$59</f>
        <v>0.45547470266040996</v>
      </c>
      <c r="H3758" s="856">
        <f>INDEX(神经网络!$G$10:$BO$70,MATCH(ROUND(G3758*2,1)/2,神经网络!$E$10:$E$70,0),MATCH(ROUND(E3758*2,1)/2,神经网络!$G$8:$BO$8,0))</f>
        <v>1.9623781558320141</v>
      </c>
      <c r="I3758">
        <f t="shared" si="530"/>
        <v>1753353.1687053151</v>
      </c>
      <c r="J3758">
        <f t="shared" si="531"/>
        <v>7644.6835686349932</v>
      </c>
      <c r="K3758">
        <f t="shared" si="532"/>
        <v>229.3558854285433</v>
      </c>
      <c r="L3758" s="4">
        <f>MIN(MAX(L3757*(1+MAX(MIN(((B3758-B3757)/B3757)/($K$7*卓尔金历!$N$40),0),-卓尔金历!$M$43))+MIN(MAX(((B3758-B3757)/B3757)/($K$7*卓尔金历!$N$40),0),卓尔金历!$M$43),0),1)</f>
        <v>0.83517535461728221</v>
      </c>
      <c r="M3758" s="4">
        <f>MIN(MAX(M3757*(1+MAX(MIN(((B3758-B3757)/B3757)/($K$7*30),0),-卓尔金历!$M$43))+MIN(MAX(((B3758-B3757)/B3757)/($K$7*7),0),卓尔金历!$M$43),0),1)</f>
        <v>0.9175876773086411</v>
      </c>
      <c r="N3758">
        <f t="shared" si="533"/>
        <v>494180.57625515375</v>
      </c>
      <c r="O3758">
        <f t="shared" si="534"/>
        <v>1619026.8613949527</v>
      </c>
      <c r="P3758">
        <f t="shared" si="535"/>
        <v>-1.0787630726276561E-2</v>
      </c>
      <c r="Q3758">
        <f t="shared" si="536"/>
        <v>2.6995445921945367E-2</v>
      </c>
      <c r="R3758">
        <f t="shared" si="537"/>
        <v>0.96777402911051147</v>
      </c>
      <c r="S3758">
        <f t="shared" si="529"/>
        <v>2251.8564092921679</v>
      </c>
      <c r="T3758" s="564">
        <f>IF((I3758-MAX(I$470:I3758))/MAX(I$470:I3758)&gt;T3757,T3757,(I3758-MAX(I$470:I3758))/MAX(I$470:I3758))</f>
        <v>-0.91338805338419748</v>
      </c>
      <c r="U3758" s="564">
        <f>IF((J3758-MAX(J$470:J3758))/MAX(J$470:J3758)&gt;U3757,U3757,(J3758-MAX(J$470:J3758))/MAX(J$470:J3758))</f>
        <v>-0.83569785939843477</v>
      </c>
      <c r="V3758" s="564">
        <f>IF((K3758-MAX(K$470:K3758))/MAX(K$470:K3758)&gt;V3757,V3757,(K3758-MAX(K$470:K3758))/MAX(K$470:K3758))</f>
        <v>-0.84885940676762139</v>
      </c>
      <c r="W3758" s="564">
        <f>IF((N3758-MAX(N$470:N3758))/MAX(N$470:N3758)&gt;W3757,W3757,(N3758-MAX(N$470:N3758))/MAX(N$470:N3758))</f>
        <v>-0.62788758315546067</v>
      </c>
      <c r="X3758" s="564">
        <f>IF((O3758-MAX(O$470:O3758))/MAX(O$470:O3758)&gt;X3757,X3757,(O3758-MAX(O$470:O3758))/MAX(O$470:O3758))</f>
        <v>-0.62788758315546067</v>
      </c>
    </row>
    <row r="3759" spans="1:24">
      <c r="A3759" s="799">
        <v>44161</v>
      </c>
      <c r="B3759">
        <v>16898.585011550302</v>
      </c>
      <c r="C3759">
        <v>63317.161066000001</v>
      </c>
      <c r="D3759">
        <v>2.3268689999999999</v>
      </c>
      <c r="E3759">
        <f>LN(D3759/参数实验室!$E$53)/参数实验室!$E$55</f>
        <v>0.30336114753902976</v>
      </c>
      <c r="F3759">
        <f t="shared" si="528"/>
        <v>3.7468912943138299</v>
      </c>
      <c r="G3759">
        <f>LN(F3759/参数实验室!$E$58)/参数实验室!$E$59</f>
        <v>0.50276359368334811</v>
      </c>
      <c r="H3759" s="856">
        <f>INDEX(神经网络!$G$10:$BO$70,MATCH(ROUND(G3759*2,1)/2,神经网络!$E$10:$E$70,0),MATCH(ROUND(E3759*2,1)/2,神经网络!$G$8:$BO$8,0))</f>
        <v>1.8674158330229262</v>
      </c>
      <c r="I3759">
        <f t="shared" si="530"/>
        <v>1347512.2488209023</v>
      </c>
      <c r="J3759">
        <f t="shared" si="531"/>
        <v>6742.9811306612919</v>
      </c>
      <c r="K3759">
        <f t="shared" si="532"/>
        <v>199.83924360896887</v>
      </c>
      <c r="L3759" s="4">
        <f>MIN(MAX(L3758*(1+MAX(MIN(((B3759-B3758)/B3758)/($K$7*卓尔金历!$N$40),0),-卓尔金历!$M$43))+MIN(MAX(((B3759-B3758)/B3758)/($K$7*卓尔金历!$N$40),0),卓尔金历!$M$43),0),1)</f>
        <v>0</v>
      </c>
      <c r="M3759" s="4">
        <f>MIN(MAX(M3758*(1+MAX(MIN(((B3759-B3758)/B3758)/($K$7*30),0),-卓尔金历!$M$43))+MIN(MAX(((B3759-B3758)/B3758)/($K$7*7),0),卓尔金历!$M$43),0),1)</f>
        <v>9.0755469228368107E-2</v>
      </c>
      <c r="N3759">
        <f t="shared" si="533"/>
        <v>398648.37766746158</v>
      </c>
      <c r="O3759">
        <f t="shared" si="534"/>
        <v>1275161.7947514458</v>
      </c>
      <c r="P3759">
        <f t="shared" si="535"/>
        <v>-0.11795157116420797</v>
      </c>
      <c r="Q3759">
        <f t="shared" si="536"/>
        <v>3.52874767728436E-2</v>
      </c>
      <c r="R3759">
        <f t="shared" si="537"/>
        <v>0</v>
      </c>
      <c r="S3759">
        <f t="shared" si="529"/>
        <v>1747.4261990208142</v>
      </c>
      <c r="T3759" s="564">
        <f>IF((I3759-MAX(I$470:I3759))/MAX(I$470:I3759)&gt;T3758,T3758,(I3759-MAX(I$470:I3759))/MAX(I$470:I3759))</f>
        <v>-0.91338805338419748</v>
      </c>
      <c r="U3759" s="564">
        <f>IF((J3759-MAX(J$470:J3759))/MAX(J$470:J3759)&gt;U3758,U3758,(J3759-MAX(J$470:J3759))/MAX(J$470:J3759))</f>
        <v>-0.83569785939843477</v>
      </c>
      <c r="V3759" s="564">
        <f>IF((K3759-MAX(K$470:K3759))/MAX(K$470:K3759)&gt;V3758,V3758,(K3759-MAX(K$470:K3759))/MAX(K$470:K3759))</f>
        <v>-0.84885940676762139</v>
      </c>
      <c r="W3759" s="564">
        <f>IF((N3759-MAX(N$470:N3759))/MAX(N$470:N3759)&gt;W3758,W3758,(N3759-MAX(N$470:N3759))/MAX(N$470:N3759))</f>
        <v>-0.62788758315546067</v>
      </c>
      <c r="X3759" s="564">
        <f>IF((O3759-MAX(O$470:O3759))/MAX(O$470:O3759)&gt;X3758,X3758,(O3759-MAX(O$470:O3759))/MAX(O$470:O3759))</f>
        <v>-0.62788758315546067</v>
      </c>
    </row>
    <row r="3760" spans="1:24">
      <c r="A3760" s="799">
        <v>44162</v>
      </c>
      <c r="B3760">
        <v>16530.0818982862</v>
      </c>
      <c r="C3760">
        <v>61014.603346000004</v>
      </c>
      <c r="D3760">
        <v>2.3195399999999999</v>
      </c>
      <c r="E3760">
        <f>LN(D3760/参数实验室!$E$53)/参数实验室!$E$55</f>
        <v>0.29963938361514386</v>
      </c>
      <c r="F3760">
        <f t="shared" si="528"/>
        <v>3.6911252903305853</v>
      </c>
      <c r="G3760">
        <f>LN(F3760/参数实验室!$E$58)/参数实验室!$E$59</f>
        <v>0.49489333398161878</v>
      </c>
      <c r="H3760" s="856">
        <f>INDEX(神经网络!$G$10:$BO$70,MATCH(ROUND(G3760*2,1)/2,神经网络!$E$10:$E$70,0),MATCH(ROUND(E3760*2,1)/2,神经网络!$G$8:$BO$8,0))</f>
        <v>1.8674158330229262</v>
      </c>
      <c r="I3760">
        <f t="shared" si="530"/>
        <v>1292638.506604543</v>
      </c>
      <c r="J3760">
        <f t="shared" si="531"/>
        <v>6595.9386689621979</v>
      </c>
      <c r="K3760">
        <f t="shared" si="532"/>
        <v>195.97491296988153</v>
      </c>
      <c r="L3760" s="4">
        <f>MIN(MAX(L3759*(1+MAX(MIN(((B3760-B3759)/B3759)/($K$7*卓尔金历!$N$40),0),-卓尔金历!$M$43))+MIN(MAX(((B3760-B3759)/B3759)/($K$7*卓尔金历!$N$40),0),卓尔金历!$M$43),0),1)</f>
        <v>0</v>
      </c>
      <c r="M3760" s="4">
        <f>MIN(MAX(M3759*(1+MAX(MIN(((B3760-B3759)/B3759)/($K$7*30),0),-卓尔金历!$M$43))+MIN(MAX(((B3760-B3759)/B3759)/($K$7*7),0),卓尔金历!$M$43),0),1)</f>
        <v>7.5636237975206716E-2</v>
      </c>
      <c r="N3760">
        <f t="shared" si="533"/>
        <v>398648.37766746158</v>
      </c>
      <c r="O3760">
        <f t="shared" si="534"/>
        <v>1270449.0929983656</v>
      </c>
      <c r="P3760">
        <f t="shared" si="535"/>
        <v>-2.1806743760630083E-2</v>
      </c>
      <c r="Q3760">
        <f t="shared" si="536"/>
        <v>3.5587778102760446E-2</v>
      </c>
      <c r="R3760">
        <f t="shared" si="537"/>
        <v>0.54235368137098017</v>
      </c>
      <c r="S3760">
        <f t="shared" si="529"/>
        <v>1747.4261990208142</v>
      </c>
      <c r="T3760" s="564">
        <f>IF((I3760-MAX(I$470:I3760))/MAX(I$470:I3760)&gt;T3759,T3759,(I3760-MAX(I$470:I3760))/MAX(I$470:I3760))</f>
        <v>-0.91338805338419748</v>
      </c>
      <c r="U3760" s="564">
        <f>IF((J3760-MAX(J$470:J3760))/MAX(J$470:J3760)&gt;U3759,U3759,(J3760-MAX(J$470:J3760))/MAX(J$470:J3760))</f>
        <v>-0.83569785939843477</v>
      </c>
      <c r="V3760" s="564">
        <f>IF((K3760-MAX(K$470:K3760))/MAX(K$470:K3760)&gt;V3759,V3759,(K3760-MAX(K$470:K3760))/MAX(K$470:K3760))</f>
        <v>-0.84885940676762139</v>
      </c>
      <c r="W3760" s="564">
        <f>IF((N3760-MAX(N$470:N3760))/MAX(N$470:N3760)&gt;W3759,W3759,(N3760-MAX(N$470:N3760))/MAX(N$470:N3760))</f>
        <v>-0.62788758315546067</v>
      </c>
      <c r="X3760" s="564">
        <f>IF((O3760-MAX(O$470:O3760))/MAX(O$470:O3760)&gt;X3759,X3759,(O3760-MAX(O$470:O3760))/MAX(O$470:O3760))</f>
        <v>-0.62788758315546067</v>
      </c>
    </row>
    <row r="3761" spans="1:24">
      <c r="A3761" s="799">
        <v>44163</v>
      </c>
      <c r="B3761">
        <v>17512.623837560601</v>
      </c>
      <c r="C3761">
        <v>59142.055419999997</v>
      </c>
      <c r="D3761">
        <v>2.4031310000000001</v>
      </c>
      <c r="E3761">
        <f>LN(D3761/参数实验室!$E$53)/参数实验室!$E$55</f>
        <v>0.34140687232334693</v>
      </c>
      <c r="F3761">
        <f t="shared" si="528"/>
        <v>3.3771099047507502</v>
      </c>
      <c r="G3761">
        <f>LN(F3761/参数实验室!$E$58)/参数实验室!$E$59</f>
        <v>0.44822799294423893</v>
      </c>
      <c r="H3761" s="856">
        <f>INDEX(神经网络!$G$10:$BO$70,MATCH(ROUND(G3761*2,1)/2,神经网络!$E$10:$E$70,0),MATCH(ROUND(E3761*2,1)/2,神经网络!$G$8:$BO$8,0))</f>
        <v>1.9025101328939398</v>
      </c>
      <c r="I3761">
        <f t="shared" si="530"/>
        <v>1436119.4480125115</v>
      </c>
      <c r="J3761">
        <f t="shared" si="531"/>
        <v>6987.9988179085276</v>
      </c>
      <c r="K3761">
        <f t="shared" si="532"/>
        <v>205.51226258540419</v>
      </c>
      <c r="L3761" s="4">
        <f>MIN(MAX(L3760*(1+MAX(MIN(((B3761-B3760)/B3760)/($K$7*卓尔金历!$N$40),0),-卓尔金历!$M$43))+MIN(MAX(((B3761-B3760)/B3760)/($K$7*卓尔金历!$N$40),0),卓尔金历!$M$43),0),1)</f>
        <v>0.9081804947805282</v>
      </c>
      <c r="M3761" s="4">
        <f>MIN(MAX(M3760*(1+MAX(MIN(((B3761-B3760)/B3760)/($K$7*30),0),-卓尔金历!$M$43))+MIN(MAX(((B3761-B3760)/B3760)/($K$7*7),0),卓尔金历!$M$43),0),1)</f>
        <v>1</v>
      </c>
      <c r="N3761">
        <f t="shared" si="533"/>
        <v>398648.37766746158</v>
      </c>
      <c r="O3761">
        <f t="shared" si="534"/>
        <v>1281115.1601988755</v>
      </c>
      <c r="P3761">
        <f t="shared" si="535"/>
        <v>5.9439629235973013E-2</v>
      </c>
      <c r="Q3761">
        <f t="shared" si="536"/>
        <v>3.7437489665574968E-2</v>
      </c>
      <c r="R3761">
        <f t="shared" si="537"/>
        <v>1.9135955305374201E-2</v>
      </c>
      <c r="S3761">
        <f t="shared" si="529"/>
        <v>1852.622038480416</v>
      </c>
      <c r="T3761" s="564">
        <f>IF((I3761-MAX(I$470:I3761))/MAX(I$470:I3761)&gt;T3760,T3760,(I3761-MAX(I$470:I3761))/MAX(I$470:I3761))</f>
        <v>-0.91338805338419748</v>
      </c>
      <c r="U3761" s="564">
        <f>IF((J3761-MAX(J$470:J3761))/MAX(J$470:J3761)&gt;U3760,U3760,(J3761-MAX(J$470:J3761))/MAX(J$470:J3761))</f>
        <v>-0.83569785939843477</v>
      </c>
      <c r="V3761" s="564">
        <f>IF((K3761-MAX(K$470:K3761))/MAX(K$470:K3761)&gt;V3760,V3760,(K3761-MAX(K$470:K3761))/MAX(K$470:K3761))</f>
        <v>-0.84885940676762139</v>
      </c>
      <c r="W3761" s="564">
        <f>IF((N3761-MAX(N$470:N3761))/MAX(N$470:N3761)&gt;W3760,W3760,(N3761-MAX(N$470:N3761))/MAX(N$470:N3761))</f>
        <v>-0.62788758315546067</v>
      </c>
      <c r="X3761" s="564">
        <f>IF((O3761-MAX(O$470:O3761))/MAX(O$470:O3761)&gt;X3760,X3760,(O3761-MAX(O$470:O3761))/MAX(O$470:O3761))</f>
        <v>-0.62788758315546067</v>
      </c>
    </row>
    <row r="3762" spans="1:24">
      <c r="A3762" s="799">
        <v>44164</v>
      </c>
      <c r="B3762">
        <v>18119.029412210799</v>
      </c>
      <c r="C3762">
        <v>57615.374961000001</v>
      </c>
      <c r="D3762">
        <v>2.4585309999999998</v>
      </c>
      <c r="E3762">
        <f>LN(D3762/参数实验室!$E$53)/参数实验室!$E$55</f>
        <v>0.3682952734155292</v>
      </c>
      <c r="F3762">
        <f t="shared" si="528"/>
        <v>3.1798267804660538</v>
      </c>
      <c r="G3762">
        <f>LN(F3762/参数实验室!$E$58)/参数实验室!$E$59</f>
        <v>0.4166351584552625</v>
      </c>
      <c r="H3762" s="856">
        <f>INDEX(神经网络!$G$10:$BO$70,MATCH(ROUND(G3762*2,1)/2,神经网络!$E$10:$E$70,0),MATCH(ROUND(E3762*2,1)/2,神经网络!$G$8:$BO$8,0))</f>
        <v>1.8674428211453629</v>
      </c>
      <c r="I3762">
        <f t="shared" si="530"/>
        <v>1530727.8066040447</v>
      </c>
      <c r="J3762">
        <f t="shared" si="531"/>
        <v>7229.9706365311677</v>
      </c>
      <c r="K3762">
        <f t="shared" si="532"/>
        <v>211.71978194070027</v>
      </c>
      <c r="L3762" s="4">
        <f>MIN(MAX(L3761*(1+MAX(MIN(((B3762-B3761)/B3761)/($K$7*卓尔金历!$N$40),0),-卓尔金历!$M$43))+MIN(MAX(((B3762-B3761)/B3761)/($K$7*卓尔金历!$N$40),0),卓尔金历!$M$43),0),1)</f>
        <v>1</v>
      </c>
      <c r="M3762" s="4">
        <f>MIN(MAX(M3761*(1+MAX(MIN(((B3762-B3761)/B3761)/($K$7*30),0),-卓尔金历!$M$43))+MIN(MAX(((B3762-B3761)/B3761)/($K$7*7),0),卓尔金历!$M$43),0),1)</f>
        <v>1</v>
      </c>
      <c r="N3762">
        <f t="shared" si="533"/>
        <v>422499.07688446564</v>
      </c>
      <c r="O3762">
        <f t="shared" si="534"/>
        <v>1365512.1806841025</v>
      </c>
      <c r="P3762">
        <f t="shared" si="535"/>
        <v>3.4626768682691392E-2</v>
      </c>
      <c r="Q3762">
        <f t="shared" si="536"/>
        <v>3.7807171497838743E-2</v>
      </c>
      <c r="R3762">
        <f t="shared" si="537"/>
        <v>0.12859895037036567</v>
      </c>
      <c r="S3762">
        <f t="shared" si="529"/>
        <v>1854.9575172205925</v>
      </c>
      <c r="T3762" s="564">
        <f>IF((I3762-MAX(I$470:I3762))/MAX(I$470:I3762)&gt;T3761,T3761,(I3762-MAX(I$470:I3762))/MAX(I$470:I3762))</f>
        <v>-0.91338805338419748</v>
      </c>
      <c r="U3762" s="564">
        <f>IF((J3762-MAX(J$470:J3762))/MAX(J$470:J3762)&gt;U3761,U3761,(J3762-MAX(J$470:J3762))/MAX(J$470:J3762))</f>
        <v>-0.83569785939843477</v>
      </c>
      <c r="V3762" s="564">
        <f>IF((K3762-MAX(K$470:K3762))/MAX(K$470:K3762)&gt;V3761,V3761,(K3762-MAX(K$470:K3762))/MAX(K$470:K3762))</f>
        <v>-0.84885940676762139</v>
      </c>
      <c r="W3762" s="564">
        <f>IF((N3762-MAX(N$470:N3762))/MAX(N$470:N3762)&gt;W3761,W3761,(N3762-MAX(N$470:N3762))/MAX(N$470:N3762))</f>
        <v>-0.62788758315546067</v>
      </c>
      <c r="X3762" s="564">
        <f>IF((O3762-MAX(O$470:O3762))/MAX(O$470:O3762)&gt;X3761,X3761,(O3762-MAX(O$470:O3762))/MAX(O$470:O3762))</f>
        <v>-0.62788758315546067</v>
      </c>
    </row>
    <row r="3763" spans="1:24">
      <c r="A3763" s="799">
        <v>44165</v>
      </c>
      <c r="B3763">
        <v>19328.217078763399</v>
      </c>
      <c r="C3763">
        <v>57622.327810000003</v>
      </c>
      <c r="D3763">
        <v>2.637219</v>
      </c>
      <c r="E3763">
        <f>LN(D3763/参数实验室!$E$53)/参数实验室!$E$55</f>
        <v>0.45106786495140822</v>
      </c>
      <c r="F3763">
        <f t="shared" si="528"/>
        <v>2.9812541723422439</v>
      </c>
      <c r="G3763">
        <f>LN(F3763/参数实验室!$E$58)/参数实验室!$E$59</f>
        <v>0.38279117964176418</v>
      </c>
      <c r="H3763" s="856">
        <f>INDEX(神经网络!$G$10:$BO$70,MATCH(ROUND(G3763*2,1)/2,神经网络!$E$10:$E$70,0),MATCH(ROUND(E3763*2,1)/2,神经网络!$G$8:$BO$8,0))</f>
        <v>1.9943578094226995</v>
      </c>
      <c r="I3763">
        <f t="shared" si="530"/>
        <v>1721495.163901506</v>
      </c>
      <c r="J3763">
        <f t="shared" si="531"/>
        <v>7712.4684085883873</v>
      </c>
      <c r="K3763">
        <f t="shared" si="532"/>
        <v>223.20936342306408</v>
      </c>
      <c r="L3763" s="4">
        <f>MIN(MAX(L3762*(1+MAX(MIN(((B3763-B3762)/B3762)/($K$7*卓尔金历!$N$40),0),-卓尔金历!$M$43))+MIN(MAX(((B3763-B3762)/B3762)/($K$7*卓尔金历!$N$40),0),卓尔金历!$M$43),0),1)</f>
        <v>1</v>
      </c>
      <c r="M3763" s="4">
        <f>MIN(MAX(M3762*(1+MAX(MIN(((B3763-B3762)/B3762)/($K$7*30),0),-卓尔金历!$M$43))+MIN(MAX(((B3763-B3762)/B3762)/($K$7*7),0),卓尔金历!$M$43),0),1)</f>
        <v>1</v>
      </c>
      <c r="N3763">
        <f t="shared" si="533"/>
        <v>475153.13596024428</v>
      </c>
      <c r="O3763">
        <f t="shared" si="534"/>
        <v>1535689.4969533577</v>
      </c>
      <c r="P3763">
        <f t="shared" si="535"/>
        <v>6.6735785843898596E-2</v>
      </c>
      <c r="Q3763">
        <f t="shared" si="536"/>
        <v>3.9222398112123871E-2</v>
      </c>
      <c r="R3763">
        <f t="shared" si="537"/>
        <v>1.771291071950646E-2</v>
      </c>
      <c r="S3763">
        <f t="shared" si="529"/>
        <v>1884.6863243572866</v>
      </c>
      <c r="T3763" s="564">
        <f>IF((I3763-MAX(I$470:I3763))/MAX(I$470:I3763)&gt;T3762,T3762,(I3763-MAX(I$470:I3763))/MAX(I$470:I3763))</f>
        <v>-0.91338805338419748</v>
      </c>
      <c r="U3763" s="564">
        <f>IF((J3763-MAX(J$470:J3763))/MAX(J$470:J3763)&gt;U3762,U3762,(J3763-MAX(J$470:J3763))/MAX(J$470:J3763))</f>
        <v>-0.83569785939843477</v>
      </c>
      <c r="V3763" s="564">
        <f>IF((K3763-MAX(K$470:K3763))/MAX(K$470:K3763)&gt;V3762,V3762,(K3763-MAX(K$470:K3763))/MAX(K$470:K3763))</f>
        <v>-0.84885940676762139</v>
      </c>
      <c r="W3763" s="564">
        <f>IF((N3763-MAX(N$470:N3763))/MAX(N$470:N3763)&gt;W3762,W3762,(N3763-MAX(N$470:N3763))/MAX(N$470:N3763))</f>
        <v>-0.62788758315546067</v>
      </c>
      <c r="X3763" s="564">
        <f>IF((O3763-MAX(O$470:O3763))/MAX(O$470:O3763)&gt;X3762,X3762,(O3763-MAX(O$470:O3763))/MAX(O$470:O3763))</f>
        <v>-0.62788758315546067</v>
      </c>
    </row>
    <row r="3764" spans="1:24">
      <c r="A3764" s="799">
        <v>44166</v>
      </c>
      <c r="B3764">
        <v>19296.419838585502</v>
      </c>
      <c r="C3764">
        <v>56598.925858000002</v>
      </c>
      <c r="D3764">
        <v>2.5129069999999998</v>
      </c>
      <c r="E3764">
        <f>LN(D3764/参数实验室!$E$53)/参数实验室!$E$55</f>
        <v>0.39410383051208864</v>
      </c>
      <c r="F3764">
        <f t="shared" si="528"/>
        <v>2.933130929542882</v>
      </c>
      <c r="G3764">
        <f>LN(F3764/参数实验室!$E$58)/参数实验室!$E$59</f>
        <v>0.37424989072294718</v>
      </c>
      <c r="H3764" s="856">
        <f>INDEX(神经网络!$G$10:$BO$70,MATCH(ROUND(G3764*2,1)/2,神经网络!$E$10:$E$70,0),MATCH(ROUND(E3764*2,1)/2,神经网络!$G$8:$BO$8,0))</f>
        <v>1.9025193577295365</v>
      </c>
      <c r="I3764">
        <f t="shared" si="530"/>
        <v>1715847.0100534807</v>
      </c>
      <c r="J3764">
        <f t="shared" si="531"/>
        <v>7699.7804710847367</v>
      </c>
      <c r="K3764">
        <f t="shared" si="532"/>
        <v>222.84362736016473</v>
      </c>
      <c r="L3764" s="4">
        <f>MIN(MAX(L3763*(1+MAX(MIN(((B3764-B3763)/B3763)/($K$7*卓尔金历!$N$40),0),-卓尔金历!$M$43))+MIN(MAX(((B3764-B3763)/B3763)/($K$7*卓尔金历!$N$40),0),卓尔金历!$M$43),0),1)</f>
        <v>0.97486414218084705</v>
      </c>
      <c r="M3764" s="4">
        <f>MIN(MAX(M3763*(1+MAX(MIN(((B3764-B3763)/B3763)/($K$7*30),0),-卓尔金历!$M$43))+MIN(MAX(((B3764-B3763)/B3763)/($K$7*7),0),卓尔金历!$M$43),0),1)</f>
        <v>0.98743207109042352</v>
      </c>
      <c r="N3764">
        <f t="shared" si="533"/>
        <v>473594.1783345993</v>
      </c>
      <c r="O3764">
        <f t="shared" si="534"/>
        <v>1530650.9637506669</v>
      </c>
      <c r="P3764">
        <f t="shared" si="535"/>
        <v>-1.6451201912893352E-3</v>
      </c>
      <c r="Q3764">
        <f t="shared" si="536"/>
        <v>3.9336905723432056E-2</v>
      </c>
      <c r="R3764">
        <f t="shared" si="537"/>
        <v>1</v>
      </c>
      <c r="S3764">
        <f t="shared" si="529"/>
        <v>1884.5767952056974</v>
      </c>
      <c r="T3764" s="564">
        <f>IF((I3764-MAX(I$470:I3764))/MAX(I$470:I3764)&gt;T3763,T3763,(I3764-MAX(I$470:I3764))/MAX(I$470:I3764))</f>
        <v>-0.91338805338419748</v>
      </c>
      <c r="U3764" s="564">
        <f>IF((J3764-MAX(J$470:J3764))/MAX(J$470:J3764)&gt;U3763,U3763,(J3764-MAX(J$470:J3764))/MAX(J$470:J3764))</f>
        <v>-0.83569785939843477</v>
      </c>
      <c r="V3764" s="564">
        <f>IF((K3764-MAX(K$470:K3764))/MAX(K$470:K3764)&gt;V3763,V3763,(K3764-MAX(K$470:K3764))/MAX(K$470:K3764))</f>
        <v>-0.84885940676762139</v>
      </c>
      <c r="W3764" s="564">
        <f>IF((N3764-MAX(N$470:N3764))/MAX(N$470:N3764)&gt;W3763,W3763,(N3764-MAX(N$470:N3764))/MAX(N$470:N3764))</f>
        <v>-0.62788758315546067</v>
      </c>
      <c r="X3764" s="564">
        <f>IF((O3764-MAX(O$470:O3764))/MAX(O$470:O3764)&gt;X3763,X3763,(O3764-MAX(O$470:O3764))/MAX(O$470:O3764))</f>
        <v>-0.62788758315546067</v>
      </c>
    </row>
    <row r="3765" spans="1:24">
      <c r="A3765" s="799">
        <v>44167</v>
      </c>
      <c r="B3765">
        <v>18933.0781573922</v>
      </c>
      <c r="C3765">
        <v>55267.679578000003</v>
      </c>
      <c r="D3765">
        <v>2.5519769999999999</v>
      </c>
      <c r="E3765">
        <f>LN(D3765/参数实验室!$E$53)/参数实验室!$E$55</f>
        <v>0.41230518458716847</v>
      </c>
      <c r="F3765">
        <f t="shared" si="528"/>
        <v>2.9191069259079452</v>
      </c>
      <c r="G3765">
        <f>LN(F3765/参数实验室!$E$58)/参数实验室!$E$59</f>
        <v>0.37173441911050059</v>
      </c>
      <c r="H3765" s="856">
        <f>INDEX(神经网络!$G$10:$BO$70,MATCH(ROUND(G3765*2,1)/2,神经网络!$E$10:$E$70,0),MATCH(ROUND(E3765*2,1)/2,神经网络!$G$8:$BO$8,0))</f>
        <v>1.9025193577295365</v>
      </c>
      <c r="I3765">
        <f t="shared" si="530"/>
        <v>1654379.4281911557</v>
      </c>
      <c r="J3765">
        <f t="shared" si="531"/>
        <v>7554.7975569179825</v>
      </c>
      <c r="K3765">
        <f t="shared" si="532"/>
        <v>218.98395234644354</v>
      </c>
      <c r="L3765" s="4">
        <f>MIN(MAX(L3764*(1+MAX(MIN(((B3765-B3764)/B3764)/($K$7*卓尔金历!$N$40),0),-卓尔金历!$M$43))+MIN(MAX(((B3765-B3764)/B3764)/($K$7*卓尔金历!$N$40),0),卓尔金历!$M$43),0),1)</f>
        <v>0.69439915234120064</v>
      </c>
      <c r="M3765" s="4">
        <f>MIN(MAX(M3764*(1+MAX(MIN(((B3765-B3764)/B3764)/($K$7*30),0),-卓尔金历!$M$43))+MIN(MAX(((B3765-B3764)/B3764)/($K$7*7),0),卓尔金历!$M$43),0),1)</f>
        <v>0.84539170166716227</v>
      </c>
      <c r="N3765">
        <f t="shared" si="533"/>
        <v>457054.84433678043</v>
      </c>
      <c r="O3765">
        <f t="shared" si="534"/>
        <v>1476506.8855867037</v>
      </c>
      <c r="P3765">
        <f t="shared" si="535"/>
        <v>-1.882948672513628E-2</v>
      </c>
      <c r="Q3765">
        <f t="shared" si="536"/>
        <v>3.9568094345292786E-2</v>
      </c>
      <c r="R3765">
        <f t="shared" si="537"/>
        <v>0.81114746423749451</v>
      </c>
      <c r="S3765">
        <f t="shared" si="529"/>
        <v>1817.064728129546</v>
      </c>
      <c r="T3765" s="564">
        <f>IF((I3765-MAX(I$470:I3765))/MAX(I$470:I3765)&gt;T3764,T3764,(I3765-MAX(I$470:I3765))/MAX(I$470:I3765))</f>
        <v>-0.91338805338419748</v>
      </c>
      <c r="U3765" s="564">
        <f>IF((J3765-MAX(J$470:J3765))/MAX(J$470:J3765)&gt;U3764,U3764,(J3765-MAX(J$470:J3765))/MAX(J$470:J3765))</f>
        <v>-0.83569785939843477</v>
      </c>
      <c r="V3765" s="564">
        <f>IF((K3765-MAX(K$470:K3765))/MAX(K$470:K3765)&gt;V3764,V3764,(K3765-MAX(K$470:K3765))/MAX(K$470:K3765))</f>
        <v>-0.84885940676762139</v>
      </c>
      <c r="W3765" s="564">
        <f>IF((N3765-MAX(N$470:N3765))/MAX(N$470:N3765)&gt;W3764,W3764,(N3765-MAX(N$470:N3765))/MAX(N$470:N3765))</f>
        <v>-0.62788758315546067</v>
      </c>
      <c r="X3765" s="564">
        <f>IF((O3765-MAX(O$470:O3765))/MAX(O$470:O3765)&gt;X3764,X3764,(O3765-MAX(O$470:O3765))/MAX(O$470:O3765))</f>
        <v>-0.62788758315546067</v>
      </c>
    </row>
    <row r="3766" spans="1:24">
      <c r="A3766" s="799">
        <v>44168</v>
      </c>
      <c r="B3766">
        <v>19539.6291383399</v>
      </c>
      <c r="C3766">
        <v>54659.128162000001</v>
      </c>
      <c r="D3766">
        <v>2.5749590000000002</v>
      </c>
      <c r="E3766">
        <f>LN(D3766/参数实验室!$E$53)/参数实验室!$E$55</f>
        <v>0.42288197768772262</v>
      </c>
      <c r="F3766">
        <f t="shared" si="528"/>
        <v>2.7973472666761103</v>
      </c>
      <c r="G3766">
        <f>LN(F3766/参数实验室!$E$58)/参数实验室!$E$59</f>
        <v>0.34937240437449529</v>
      </c>
      <c r="H3766" s="856">
        <f>INDEX(神经网络!$G$10:$BO$70,MATCH(ROUND(G3766*2,1)/2,神经网络!$E$10:$E$70,0),MATCH(ROUND(E3766*2,1)/2,神经网络!$G$8:$BO$8,0))</f>
        <v>1.9025193577295365</v>
      </c>
      <c r="I3766">
        <f t="shared" si="530"/>
        <v>1755214.1924149243</v>
      </c>
      <c r="J3766">
        <f t="shared" si="531"/>
        <v>7796.8273964885111</v>
      </c>
      <c r="K3766">
        <f t="shared" si="532"/>
        <v>225.11902638827522</v>
      </c>
      <c r="L3766" s="4">
        <f>MIN(MAX(L3765*(1+MAX(MIN(((B3766-B3765)/B3765)/($K$7*卓尔金历!$N$40),0),-卓尔金历!$M$43))+MIN(MAX(((B3766-B3765)/B3765)/($K$7*卓尔金历!$N$40),0),卓尔金历!$M$43),0),1)</f>
        <v>1</v>
      </c>
      <c r="M3766" s="4">
        <f>MIN(MAX(M3765*(1+MAX(MIN(((B3766-B3765)/B3765)/($K$7*30),0),-卓尔金历!$M$43))+MIN(MAX(((B3766-B3765)/B3765)/($K$7*7),0),卓尔金历!$M$43),0),1)</f>
        <v>1</v>
      </c>
      <c r="N3766">
        <f t="shared" si="533"/>
        <v>476399.12855417817</v>
      </c>
      <c r="O3766">
        <f t="shared" si="534"/>
        <v>1552586.5561110168</v>
      </c>
      <c r="P3766">
        <f t="shared" si="535"/>
        <v>3.2036575136139708E-2</v>
      </c>
      <c r="Q3766">
        <f t="shared" si="536"/>
        <v>3.9643290109446408E-2</v>
      </c>
      <c r="R3766">
        <f t="shared" si="537"/>
        <v>0.26104130160970179</v>
      </c>
      <c r="S3766">
        <f t="shared" si="529"/>
        <v>1906.8996881941871</v>
      </c>
      <c r="T3766" s="564">
        <f>IF((I3766-MAX(I$470:I3766))/MAX(I$470:I3766)&gt;T3765,T3765,(I3766-MAX(I$470:I3766))/MAX(I$470:I3766))</f>
        <v>-0.91338805338419748</v>
      </c>
      <c r="U3766" s="564">
        <f>IF((J3766-MAX(J$470:J3766))/MAX(J$470:J3766)&gt;U3765,U3765,(J3766-MAX(J$470:J3766))/MAX(J$470:J3766))</f>
        <v>-0.83569785939843477</v>
      </c>
      <c r="V3766" s="564">
        <f>IF((K3766-MAX(K$470:K3766))/MAX(K$470:K3766)&gt;V3765,V3765,(K3766-MAX(K$470:K3766))/MAX(K$470:K3766))</f>
        <v>-0.84885940676762139</v>
      </c>
      <c r="W3766" s="564">
        <f>IF((N3766-MAX(N$470:N3766))/MAX(N$470:N3766)&gt;W3765,W3765,(N3766-MAX(N$470:N3766))/MAX(N$470:N3766))</f>
        <v>-0.62788758315546067</v>
      </c>
      <c r="X3766" s="564">
        <f>IF((O3766-MAX(O$470:O3766))/MAX(O$470:O3766)&gt;X3765,X3765,(O3766-MAX(O$470:O3766))/MAX(O$470:O3766))</f>
        <v>-0.62788758315546067</v>
      </c>
    </row>
    <row r="3767" spans="1:24">
      <c r="A3767" s="799">
        <v>44169</v>
      </c>
      <c r="B3767">
        <v>18964.387949547501</v>
      </c>
      <c r="C3767">
        <v>55212.266735999998</v>
      </c>
      <c r="D3767">
        <v>2.4723009999999999</v>
      </c>
      <c r="E3767">
        <f>LN(D3767/参数实验室!$E$53)/参数实验室!$E$55</f>
        <v>0.37488452423595553</v>
      </c>
      <c r="F3767">
        <f t="shared" si="528"/>
        <v>2.9113656018262053</v>
      </c>
      <c r="G3767">
        <f>LN(F3767/参数实验室!$E$58)/参数实验室!$E$59</f>
        <v>0.37034068383043595</v>
      </c>
      <c r="H3767" s="856">
        <f>INDEX(神经网络!$G$10:$BO$70,MATCH(ROUND(G3767*2,1)/2,神经网络!$E$10:$E$70,0),MATCH(ROUND(E3767*2,1)/2,神经网络!$G$8:$BO$8,0))</f>
        <v>1.8354640148163057</v>
      </c>
      <c r="I3767">
        <f t="shared" si="530"/>
        <v>1656905.2860640706</v>
      </c>
      <c r="J3767">
        <f t="shared" si="531"/>
        <v>7567.2909898038624</v>
      </c>
      <c r="K3767">
        <f t="shared" si="532"/>
        <v>218.9562008777749</v>
      </c>
      <c r="L3767" s="4">
        <f>MIN(MAX(L3766*(1+MAX(MIN(((B3767-B3766)/B3766)/($K$7*卓尔金历!$N$40),0),-卓尔金历!$M$43))+MIN(MAX(((B3767-B3766)/B3766)/($K$7*卓尔金历!$N$40),0),卓尔金历!$M$43),0),1)</f>
        <v>0.55018934674514575</v>
      </c>
      <c r="M3767" s="4">
        <f>MIN(MAX(M3766*(1+MAX(MIN(((B3767-B3766)/B3766)/($K$7*30),0),-卓尔金历!$M$43))+MIN(MAX(((B3767-B3766)/B3766)/($K$7*7),0),卓尔金历!$M$43),0),1)</f>
        <v>0.77509467337257287</v>
      </c>
      <c r="N3767">
        <f t="shared" si="533"/>
        <v>449716.1872259613</v>
      </c>
      <c r="O3767">
        <f t="shared" si="534"/>
        <v>1465626.7497204868</v>
      </c>
      <c r="P3767">
        <f t="shared" si="535"/>
        <v>-2.9439718876940361E-2</v>
      </c>
      <c r="Q3767">
        <f t="shared" si="536"/>
        <v>4.0460895654497224E-2</v>
      </c>
      <c r="R3767">
        <f t="shared" si="537"/>
        <v>0.3702407319201782</v>
      </c>
      <c r="S3767">
        <f t="shared" si="529"/>
        <v>1879.0192357711892</v>
      </c>
      <c r="T3767" s="564">
        <f>IF((I3767-MAX(I$470:I3767))/MAX(I$470:I3767)&gt;T3766,T3766,(I3767-MAX(I$470:I3767))/MAX(I$470:I3767))</f>
        <v>-0.91338805338419748</v>
      </c>
      <c r="U3767" s="564">
        <f>IF((J3767-MAX(J$470:J3767))/MAX(J$470:J3767)&gt;U3766,U3766,(J3767-MAX(J$470:J3767))/MAX(J$470:J3767))</f>
        <v>-0.83569785939843477</v>
      </c>
      <c r="V3767" s="564">
        <f>IF((K3767-MAX(K$470:K3767))/MAX(K$470:K3767)&gt;V3766,V3766,(K3767-MAX(K$470:K3767))/MAX(K$470:K3767))</f>
        <v>-0.84885940676762139</v>
      </c>
      <c r="W3767" s="564">
        <f>IF((N3767-MAX(N$470:N3767))/MAX(N$470:N3767)&gt;W3766,W3766,(N3767-MAX(N$470:N3767))/MAX(N$470:N3767))</f>
        <v>-0.62788758315546067</v>
      </c>
      <c r="X3767" s="564">
        <f>IF((O3767-MAX(O$470:O3767))/MAX(O$470:O3767)&gt;X3766,X3766,(O3767-MAX(O$470:O3767))/MAX(O$470:O3767))</f>
        <v>-0.62788758315546067</v>
      </c>
    </row>
    <row r="3768" spans="1:24">
      <c r="A3768" s="799">
        <v>44170</v>
      </c>
      <c r="B3768">
        <v>19092.6890899151</v>
      </c>
      <c r="C3768">
        <v>55330.586737999998</v>
      </c>
      <c r="D3768">
        <v>2.5190969999999999</v>
      </c>
      <c r="E3768">
        <f>LN(D3768/参数实验室!$E$53)/参数实验室!$E$55</f>
        <v>0.39700632274527664</v>
      </c>
      <c r="F3768">
        <f t="shared" si="528"/>
        <v>2.8979986254123848</v>
      </c>
      <c r="G3768">
        <f>LN(F3768/参数实验室!$E$58)/参数实验室!$E$59</f>
        <v>0.36792536823950567</v>
      </c>
      <c r="H3768" s="856">
        <f>INDEX(神经网络!$G$10:$BO$70,MATCH(ROUND(G3768*2,1)/2,神经网络!$E$10:$E$70,0),MATCH(ROUND(E3768*2,1)/2,神经网络!$G$8:$BO$8,0))</f>
        <v>1.9025193577295365</v>
      </c>
      <c r="I3768">
        <f t="shared" si="530"/>
        <v>1677480.0681120313</v>
      </c>
      <c r="J3768">
        <f t="shared" si="531"/>
        <v>7618.4865288356641</v>
      </c>
      <c r="K3768">
        <f t="shared" si="532"/>
        <v>220.18547407845861</v>
      </c>
      <c r="L3768" s="4">
        <f>MIN(MAX(L3767*(1+MAX(MIN(((B3768-B3767)/B3767)/($K$7*卓尔金历!$N$40),0),-卓尔金历!$M$43))+MIN(MAX(((B3768-B3767)/B3767)/($K$7*卓尔金历!$N$40),0),卓尔金历!$M$43),0),1)</f>
        <v>0.6535577395790273</v>
      </c>
      <c r="M3768" s="4">
        <f>MIN(MAX(M3767*(1+MAX(MIN(((B3768-B3767)/B3767)/($K$7*30),0),-卓尔金历!$M$43))+MIN(MAX(((B3768-B3767)/B3767)/($K$7*7),0),卓尔金历!$M$43),0),1)</f>
        <v>0.99659837230231918</v>
      </c>
      <c r="N3768">
        <f t="shared" si="533"/>
        <v>452788.66151121008</v>
      </c>
      <c r="O3768">
        <f t="shared" si="534"/>
        <v>1479733.1334983283</v>
      </c>
      <c r="P3768">
        <f t="shared" si="535"/>
        <v>6.7653720599330216E-3</v>
      </c>
      <c r="Q3768">
        <f t="shared" si="536"/>
        <v>4.0250171574189947E-2</v>
      </c>
      <c r="R3768">
        <f t="shared" si="537"/>
        <v>1</v>
      </c>
      <c r="S3768">
        <f t="shared" si="529"/>
        <v>1887.6580270613081</v>
      </c>
      <c r="T3768" s="564">
        <f>IF((I3768-MAX(I$470:I3768))/MAX(I$470:I3768)&gt;T3767,T3767,(I3768-MAX(I$470:I3768))/MAX(I$470:I3768))</f>
        <v>-0.91338805338419748</v>
      </c>
      <c r="U3768" s="564">
        <f>IF((J3768-MAX(J$470:J3768))/MAX(J$470:J3768)&gt;U3767,U3767,(J3768-MAX(J$470:J3768))/MAX(J$470:J3768))</f>
        <v>-0.83569785939843477</v>
      </c>
      <c r="V3768" s="564">
        <f>IF((K3768-MAX(K$470:K3768))/MAX(K$470:K3768)&gt;V3767,V3767,(K3768-MAX(K$470:K3768))/MAX(K$470:K3768))</f>
        <v>-0.84885940676762139</v>
      </c>
      <c r="W3768" s="564">
        <f>IF((N3768-MAX(N$470:N3768))/MAX(N$470:N3768)&gt;W3767,W3767,(N3768-MAX(N$470:N3768))/MAX(N$470:N3768))</f>
        <v>-0.62788758315546067</v>
      </c>
      <c r="X3768" s="564">
        <f>IF((O3768-MAX(O$470:O3768))/MAX(O$470:O3768)&gt;X3767,X3767,(O3768-MAX(O$470:O3768))/MAX(O$470:O3768))</f>
        <v>-0.62788758315546067</v>
      </c>
    </row>
    <row r="3769" spans="1:24">
      <c r="A3769" s="799">
        <v>44171</v>
      </c>
      <c r="B3769">
        <v>19136.765315552999</v>
      </c>
      <c r="C3769">
        <v>55966.623008000002</v>
      </c>
      <c r="D3769">
        <v>2.5472299999999999</v>
      </c>
      <c r="E3769">
        <f>LN(D3769/参数实验室!$E$53)/参数实验室!$E$55</f>
        <v>0.41010865078615671</v>
      </c>
      <c r="F3769">
        <f t="shared" si="528"/>
        <v>2.9245602422951973</v>
      </c>
      <c r="G3769">
        <f>LN(F3769/参数实验室!$E$58)/参数实验室!$E$59</f>
        <v>0.37271400809205246</v>
      </c>
      <c r="H3769" s="856">
        <f>INDEX(神经网络!$G$10:$BO$70,MATCH(ROUND(G3769*2,1)/2,神经网络!$E$10:$E$70,0),MATCH(ROUND(E3769*2,1)/2,神经网络!$G$8:$BO$8,0))</f>
        <v>1.9025193577295365</v>
      </c>
      <c r="I3769">
        <f t="shared" si="530"/>
        <v>1684847.6292783297</v>
      </c>
      <c r="J3769">
        <f t="shared" si="531"/>
        <v>7636.0741054039963</v>
      </c>
      <c r="K3769">
        <f t="shared" si="532"/>
        <v>220.64317423084918</v>
      </c>
      <c r="L3769" s="4">
        <f>MIN(MAX(L3768*(1+MAX(MIN(((B3769-B3768)/B3768)/($K$7*卓尔金历!$N$40),0),-卓尔金历!$M$43))+MIN(MAX(((B3769-B3768)/B3768)/($K$7*卓尔金历!$N$40),0),卓尔金历!$M$43),0),1)</f>
        <v>0.68883000676915274</v>
      </c>
      <c r="M3769" s="4">
        <f>MIN(MAX(M3768*(1+MAX(MIN(((B3769-B3768)/B3768)/($K$7*30),0),-卓尔金历!$M$43))+MIN(MAX(((B3769-B3768)/B3768)/($K$7*7),0),卓尔金历!$M$43),0),1)</f>
        <v>1</v>
      </c>
      <c r="N3769">
        <f t="shared" si="533"/>
        <v>454088.36979368265</v>
      </c>
      <c r="O3769">
        <f t="shared" si="534"/>
        <v>1486210.0746848872</v>
      </c>
      <c r="P3769">
        <f t="shared" si="535"/>
        <v>2.3085394325715936E-3</v>
      </c>
      <c r="Q3769">
        <f t="shared" si="536"/>
        <v>4.0264858610799655E-2</v>
      </c>
      <c r="R3769">
        <f t="shared" si="537"/>
        <v>1</v>
      </c>
      <c r="S3769">
        <f t="shared" si="529"/>
        <v>1895.948698431896</v>
      </c>
      <c r="T3769" s="564">
        <f>IF((I3769-MAX(I$470:I3769))/MAX(I$470:I3769)&gt;T3768,T3768,(I3769-MAX(I$470:I3769))/MAX(I$470:I3769))</f>
        <v>-0.91338805338419748</v>
      </c>
      <c r="U3769" s="564">
        <f>IF((J3769-MAX(J$470:J3769))/MAX(J$470:J3769)&gt;U3768,U3768,(J3769-MAX(J$470:J3769))/MAX(J$470:J3769))</f>
        <v>-0.83569785939843477</v>
      </c>
      <c r="V3769" s="564">
        <f>IF((K3769-MAX(K$470:K3769))/MAX(K$470:K3769)&gt;V3768,V3768,(K3769-MAX(K$470:K3769))/MAX(K$470:K3769))</f>
        <v>-0.84885940676762139</v>
      </c>
      <c r="W3769" s="564">
        <f>IF((N3769-MAX(N$470:N3769))/MAX(N$470:N3769)&gt;W3768,W3768,(N3769-MAX(N$470:N3769))/MAX(N$470:N3769))</f>
        <v>-0.62788758315546067</v>
      </c>
      <c r="X3769" s="564">
        <f>IF((O3769-MAX(O$470:O3769))/MAX(O$470:O3769)&gt;X3768,X3768,(O3769-MAX(O$470:O3769))/MAX(O$470:O3769))</f>
        <v>-0.62788758315546067</v>
      </c>
    </row>
    <row r="3770" spans="1:24">
      <c r="A3770" s="799">
        <v>44172</v>
      </c>
      <c r="B3770">
        <v>19268.325816625798</v>
      </c>
      <c r="C3770">
        <v>55826.944783999999</v>
      </c>
      <c r="D3770">
        <v>2.517487</v>
      </c>
      <c r="E3770">
        <f>LN(D3770/参数实验室!$E$53)/参数实验室!$E$55</f>
        <v>0.39625208027161163</v>
      </c>
      <c r="F3770">
        <f t="shared" si="528"/>
        <v>2.8973427850088234</v>
      </c>
      <c r="G3770">
        <f>LN(F3770/参数实验室!$E$58)/参数实验室!$E$59</f>
        <v>0.36780657610474859</v>
      </c>
      <c r="H3770" s="856">
        <f>INDEX(神经网络!$G$10:$BO$70,MATCH(ROUND(G3770*2,1)/2,神经网络!$E$10:$E$70,0),MATCH(ROUND(E3770*2,1)/2,神经网络!$G$8:$BO$8,0))</f>
        <v>1.9025193577295365</v>
      </c>
      <c r="I3770">
        <f t="shared" si="530"/>
        <v>1706884.336590627</v>
      </c>
      <c r="J3770">
        <f t="shared" si="531"/>
        <v>7688.5702153249094</v>
      </c>
      <c r="K3770">
        <f t="shared" si="532"/>
        <v>222.00282871689899</v>
      </c>
      <c r="L3770" s="4">
        <f>MIN(MAX(L3769*(1+MAX(MIN(((B3770-B3769)/B3769)/($K$7*卓尔金历!$N$40),0),-卓尔金历!$M$43))+MIN(MAX(((B3770-B3769)/B3769)/($K$7*卓尔金历!$N$40),0),卓尔金历!$M$43),0),1)</f>
        <v>0.79386960850321653</v>
      </c>
      <c r="M3770" s="4">
        <f>MIN(MAX(M3769*(1+MAX(MIN(((B3770-B3769)/B3769)/($K$7*30),0),-卓尔金历!$M$43))+MIN(MAX(((B3770-B3769)/B3769)/($K$7*7),0),卓尔金历!$M$43),0),1)</f>
        <v>1</v>
      </c>
      <c r="N3770">
        <f t="shared" si="533"/>
        <v>458179.45484830998</v>
      </c>
      <c r="O3770">
        <f t="shared" si="534"/>
        <v>1505648.732431313</v>
      </c>
      <c r="P3770">
        <f t="shared" si="535"/>
        <v>6.8747512394833274E-3</v>
      </c>
      <c r="Q3770">
        <f t="shared" si="536"/>
        <v>4.0088014335127611E-2</v>
      </c>
      <c r="R3770">
        <f t="shared" si="537"/>
        <v>1</v>
      </c>
      <c r="S3770">
        <f t="shared" si="529"/>
        <v>1920.7464699457335</v>
      </c>
      <c r="T3770" s="564">
        <f>IF((I3770-MAX(I$470:I3770))/MAX(I$470:I3770)&gt;T3769,T3769,(I3770-MAX(I$470:I3770))/MAX(I$470:I3770))</f>
        <v>-0.91338805338419748</v>
      </c>
      <c r="U3770" s="564">
        <f>IF((J3770-MAX(J$470:J3770))/MAX(J$470:J3770)&gt;U3769,U3769,(J3770-MAX(J$470:J3770))/MAX(J$470:J3770))</f>
        <v>-0.83569785939843477</v>
      </c>
      <c r="V3770" s="564">
        <f>IF((K3770-MAX(K$470:K3770))/MAX(K$470:K3770)&gt;V3769,V3769,(K3770-MAX(K$470:K3770))/MAX(K$470:K3770))</f>
        <v>-0.84885940676762139</v>
      </c>
      <c r="W3770" s="564">
        <f>IF((N3770-MAX(N$470:N3770))/MAX(N$470:N3770)&gt;W3769,W3769,(N3770-MAX(N$470:N3770))/MAX(N$470:N3770))</f>
        <v>-0.62788758315546067</v>
      </c>
      <c r="X3770" s="564">
        <f>IF((O3770-MAX(O$470:O3770))/MAX(O$470:O3770)&gt;X3769,X3769,(O3770-MAX(O$470:O3770))/MAX(O$470:O3770))</f>
        <v>-0.62788758315546067</v>
      </c>
    </row>
    <row r="3771" spans="1:24">
      <c r="A3771" s="799">
        <v>44173</v>
      </c>
      <c r="B3771">
        <v>18830.054923197498</v>
      </c>
      <c r="C3771">
        <v>55613.516886999998</v>
      </c>
      <c r="D3771">
        <v>2.403413</v>
      </c>
      <c r="E3771">
        <f>LN(D3771/参数实验室!$E$53)/参数实验室!$E$55</f>
        <v>0.34154530460033505</v>
      </c>
      <c r="F3771">
        <f t="shared" si="528"/>
        <v>2.9534442206266474</v>
      </c>
      <c r="G3771">
        <f>LN(F3771/参数实验室!$E$58)/参数实验室!$E$59</f>
        <v>0.37787221949669886</v>
      </c>
      <c r="H3771" s="856">
        <f>INDEX(神经网络!$G$10:$BO$70,MATCH(ROUND(G3771*2,1)/2,神经网络!$E$10:$E$70,0),MATCH(ROUND(E3771*2,1)/2,神经网络!$G$8:$BO$8,0))</f>
        <v>1.8674428211453629</v>
      </c>
      <c r="I3771">
        <f t="shared" si="530"/>
        <v>1633020.5062312095</v>
      </c>
      <c r="J3771">
        <f t="shared" si="531"/>
        <v>7513.6885691702082</v>
      </c>
      <c r="K3771">
        <f t="shared" si="532"/>
        <v>217.33939212382819</v>
      </c>
      <c r="L3771" s="4">
        <f>MIN(MAX(L3770*(1+MAX(MIN(((B3771-B3770)/B3770)/($K$7*卓尔金历!$N$40),0),-卓尔金历!$M$43))+MIN(MAX(((B3771-B3770)/B3770)/($K$7*卓尔金历!$N$40),0),卓尔金历!$M$43),0),1)</f>
        <v>0.51797456241093842</v>
      </c>
      <c r="M3771" s="4">
        <f>MIN(MAX(M3770*(1+MAX(MIN(((B3771-B3770)/B3770)/($K$7*30),0),-卓尔金历!$M$43))+MIN(MAX(((B3771-B3770)/B3770)/($K$7*7),0),卓尔金历!$M$43),0),1)</f>
        <v>0.82623402940663127</v>
      </c>
      <c r="N3771">
        <f t="shared" si="533"/>
        <v>442439.17246154329</v>
      </c>
      <c r="O3771">
        <f t="shared" si="534"/>
        <v>1440493.1854682902</v>
      </c>
      <c r="P3771">
        <f t="shared" si="535"/>
        <v>-2.2745665482267027E-2</v>
      </c>
      <c r="Q3771">
        <f t="shared" si="536"/>
        <v>3.9298055111776649E-2</v>
      </c>
      <c r="R3771">
        <f t="shared" si="537"/>
        <v>0.60880858823632478</v>
      </c>
      <c r="S3771">
        <f t="shared" si="529"/>
        <v>1837.6279548957309</v>
      </c>
      <c r="T3771" s="564">
        <f>IF((I3771-MAX(I$470:I3771))/MAX(I$470:I3771)&gt;T3770,T3770,(I3771-MAX(I$470:I3771))/MAX(I$470:I3771))</f>
        <v>-0.91338805338419748</v>
      </c>
      <c r="U3771" s="564">
        <f>IF((J3771-MAX(J$470:J3771))/MAX(J$470:J3771)&gt;U3770,U3770,(J3771-MAX(J$470:J3771))/MAX(J$470:J3771))</f>
        <v>-0.83569785939843477</v>
      </c>
      <c r="V3771" s="564">
        <f>IF((K3771-MAX(K$470:K3771))/MAX(K$470:K3771)&gt;V3770,V3770,(K3771-MAX(K$470:K3771))/MAX(K$470:K3771))</f>
        <v>-0.84885940676762139</v>
      </c>
      <c r="W3771" s="564">
        <f>IF((N3771-MAX(N$470:N3771))/MAX(N$470:N3771)&gt;W3770,W3770,(N3771-MAX(N$470:N3771))/MAX(N$470:N3771))</f>
        <v>-0.62788758315546067</v>
      </c>
      <c r="X3771" s="564">
        <f>IF((O3771-MAX(O$470:O3771))/MAX(O$470:O3771)&gt;X3770,X3770,(O3771-MAX(O$470:O3771))/MAX(O$470:O3771))</f>
        <v>-0.62788758315546067</v>
      </c>
    </row>
    <row r="3772" spans="1:24">
      <c r="A3772" s="799">
        <v>44174</v>
      </c>
      <c r="B3772">
        <v>18376.255384897599</v>
      </c>
      <c r="C3772">
        <v>57354.724342000001</v>
      </c>
      <c r="D3772">
        <v>2.422361</v>
      </c>
      <c r="E3772">
        <f>LN(D3772/参数实验室!$E$53)/参数实验室!$E$55</f>
        <v>0.35080975807163267</v>
      </c>
      <c r="F3772">
        <f t="shared" si="528"/>
        <v>3.1211323058307405</v>
      </c>
      <c r="G3772">
        <f>LN(F3772/参数实验室!$E$58)/参数实验室!$E$59</f>
        <v>0.40685667140903847</v>
      </c>
      <c r="H3772" s="856">
        <f>INDEX(神经网络!$G$10:$BO$70,MATCH(ROUND(G3772*2,1)/2,神经网络!$E$10:$E$70,0),MATCH(ROUND(E3772*2,1)/2,神经网络!$G$8:$BO$8,0))</f>
        <v>1.8674428211453629</v>
      </c>
      <c r="I3772">
        <f t="shared" si="530"/>
        <v>1559526.5858803629</v>
      </c>
      <c r="J3772">
        <f t="shared" si="531"/>
        <v>7332.6105841337376</v>
      </c>
      <c r="K3772">
        <f t="shared" si="532"/>
        <v>212.68367765974889</v>
      </c>
      <c r="L3772" s="4">
        <f>MIN(MAX(L3771*(1+MAX(MIN(((B3772-B3771)/B3771)/($K$7*卓尔金历!$N$40),0),-卓尔金历!$M$43))+MIN(MAX(((B3772-B3771)/B3771)/($K$7*卓尔金历!$N$40),0),卓尔金历!$M$43),0),1)</f>
        <v>0.32724545622292139</v>
      </c>
      <c r="M3772" s="4">
        <f>MIN(MAX(M3771*(1+MAX(MIN(((B3772-B3771)/B3771)/($K$7*30),0),-卓尔金历!$M$43))+MIN(MAX(((B3772-B3771)/B3771)/($K$7*7),0),卓尔金历!$M$43),0),1)</f>
        <v>0.67411567324899047</v>
      </c>
      <c r="N3772">
        <f t="shared" si="533"/>
        <v>432125.29945749644</v>
      </c>
      <c r="O3772">
        <f t="shared" si="534"/>
        <v>1386929.054643946</v>
      </c>
      <c r="P3772">
        <f t="shared" si="535"/>
        <v>-2.4099745866425801E-2</v>
      </c>
      <c r="Q3772">
        <f t="shared" si="536"/>
        <v>3.9213921579745681E-2</v>
      </c>
      <c r="R3772">
        <f t="shared" si="537"/>
        <v>0.54526007874308557</v>
      </c>
      <c r="S3772">
        <f t="shared" si="529"/>
        <v>1787.2781102100801</v>
      </c>
      <c r="T3772" s="564">
        <f>IF((I3772-MAX(I$470:I3772))/MAX(I$470:I3772)&gt;T3771,T3771,(I3772-MAX(I$470:I3772))/MAX(I$470:I3772))</f>
        <v>-0.91338805338419748</v>
      </c>
      <c r="U3772" s="564">
        <f>IF((J3772-MAX(J$470:J3772))/MAX(J$470:J3772)&gt;U3771,U3771,(J3772-MAX(J$470:J3772))/MAX(J$470:J3772))</f>
        <v>-0.83569785939843477</v>
      </c>
      <c r="V3772" s="564">
        <f>IF((K3772-MAX(K$470:K3772))/MAX(K$470:K3772)&gt;V3771,V3771,(K3772-MAX(K$470:K3772))/MAX(K$470:K3772))</f>
        <v>-0.84885940676762139</v>
      </c>
      <c r="W3772" s="564">
        <f>IF((N3772-MAX(N$470:N3772))/MAX(N$470:N3772)&gt;W3771,W3771,(N3772-MAX(N$470:N3772))/MAX(N$470:N3772))</f>
        <v>-0.62788758315546067</v>
      </c>
      <c r="X3772" s="564">
        <f>IF((O3772-MAX(O$470:O3772))/MAX(O$470:O3772)&gt;X3771,X3771,(O3772-MAX(O$470:O3772))/MAX(O$470:O3772))</f>
        <v>-0.62788758315546067</v>
      </c>
    </row>
    <row r="3773" spans="1:24">
      <c r="A3773" s="799">
        <v>44175</v>
      </c>
      <c r="B3773">
        <v>18146.058492239499</v>
      </c>
      <c r="C3773">
        <v>58021.4239799965</v>
      </c>
      <c r="D3773">
        <v>2.3823543300000001</v>
      </c>
      <c r="E3773">
        <f>LN(D3773/参数实验室!$E$53)/参数实验室!$E$55</f>
        <v>0.33116277119178383</v>
      </c>
      <c r="F3773">
        <f t="shared" si="528"/>
        <v>3.1974670424880669</v>
      </c>
      <c r="G3773">
        <f>LN(F3773/参数实验室!$E$58)/参数实验室!$E$59</f>
        <v>0.41953876826653097</v>
      </c>
      <c r="H3773" s="856">
        <f>INDEX(神经网络!$G$10:$BO$70,MATCH(ROUND(G3773*2,1)/2,神经网络!$E$10:$E$70,0),MATCH(ROUND(E3773*2,1)/2,神经网络!$G$8:$BO$8,0))</f>
        <v>1.8674428211453629</v>
      </c>
      <c r="I3773">
        <f t="shared" si="530"/>
        <v>1523044.2586073815</v>
      </c>
      <c r="J3773">
        <f t="shared" si="531"/>
        <v>7240.7559523719965</v>
      </c>
      <c r="K3773">
        <f t="shared" si="532"/>
        <v>210.34326645251011</v>
      </c>
      <c r="L3773" s="4">
        <f>MIN(MAX(L3772*(1+MAX(MIN(((B3773-B3772)/B3772)/($K$7*卓尔金历!$N$40),0),-卓尔金历!$M$43))+MIN(MAX(((B3773-B3772)/B3772)/($K$7*卓尔金历!$N$40),0),卓尔金历!$M$43),0),1)</f>
        <v>0.26461116854911942</v>
      </c>
      <c r="M3773" s="4">
        <f>MIN(MAX(M3772*(1+MAX(MIN(((B3773-B3772)/B3772)/($K$7*30),0),-卓尔金历!$M$43))+MIN(MAX(((B3773-B3772)/B3772)/($K$7*7),0),卓尔金历!$M$43),0),1)</f>
        <v>0.60960331073824325</v>
      </c>
      <c r="N3773">
        <f t="shared" si="533"/>
        <v>428817.24179694575</v>
      </c>
      <c r="O3773">
        <f t="shared" si="534"/>
        <v>1365057.561992473</v>
      </c>
      <c r="P3773">
        <f t="shared" si="535"/>
        <v>-1.2526866210582008E-2</v>
      </c>
      <c r="Q3773">
        <f t="shared" si="536"/>
        <v>3.9267670069362895E-2</v>
      </c>
      <c r="R3773">
        <f t="shared" si="537"/>
        <v>1</v>
      </c>
      <c r="S3773">
        <f t="shared" si="529"/>
        <v>1764.4806959768703</v>
      </c>
      <c r="T3773" s="564">
        <f>IF((I3773-MAX(I$470:I3773))/MAX(I$470:I3773)&gt;T3772,T3772,(I3773-MAX(I$470:I3773))/MAX(I$470:I3773))</f>
        <v>-0.91338805338419748</v>
      </c>
      <c r="U3773" s="564">
        <f>IF((J3773-MAX(J$470:J3773))/MAX(J$470:J3773)&gt;U3772,U3772,(J3773-MAX(J$470:J3773))/MAX(J$470:J3773))</f>
        <v>-0.83569785939843477</v>
      </c>
      <c r="V3773" s="564">
        <f>IF((K3773-MAX(K$470:K3773))/MAX(K$470:K3773)&gt;V3772,V3772,(K3773-MAX(K$470:K3773))/MAX(K$470:K3773))</f>
        <v>-0.84885940676762139</v>
      </c>
      <c r="W3773" s="564">
        <f>IF((N3773-MAX(N$470:N3773))/MAX(N$470:N3773)&gt;W3772,W3772,(N3773-MAX(N$470:N3773))/MAX(N$470:N3773))</f>
        <v>-0.62788758315546067</v>
      </c>
      <c r="X3773" s="564">
        <f>IF((O3773-MAX(O$470:O3773))/MAX(O$470:O3773)&gt;X3772,X3772,(O3773-MAX(O$470:O3773))/MAX(O$470:O3773))</f>
        <v>-0.62788758315546067</v>
      </c>
    </row>
    <row r="3774" spans="1:24">
      <c r="A3774" s="799">
        <v>44176</v>
      </c>
      <c r="B3774">
        <v>18123.0450771543</v>
      </c>
      <c r="C3774">
        <v>58382.854293243203</v>
      </c>
      <c r="D3774">
        <v>2.3480369900000002</v>
      </c>
      <c r="E3774">
        <f>LN(D3774/参数实验室!$E$53)/参数实验室!$E$55</f>
        <v>0.31404507384629055</v>
      </c>
      <c r="F3774">
        <f t="shared" si="528"/>
        <v>3.2214704562446821</v>
      </c>
      <c r="G3774">
        <f>LN(F3774/参数实验室!$E$58)/参数实验室!$E$59</f>
        <v>0.42346413675131317</v>
      </c>
      <c r="H3774" s="856">
        <f>INDEX(神经网络!$G$10:$BO$70,MATCH(ROUND(G3774*2,1)/2,神经网络!$E$10:$E$70,0),MATCH(ROUND(E3774*2,1)/2,神经网络!$G$8:$BO$8,0))</f>
        <v>1.7979680543091341</v>
      </c>
      <c r="I3774">
        <f t="shared" si="530"/>
        <v>1519437.1551292948</v>
      </c>
      <c r="J3774">
        <f t="shared" si="531"/>
        <v>7231.572992759372</v>
      </c>
      <c r="K3774">
        <f t="shared" si="532"/>
        <v>210.1115700070558</v>
      </c>
      <c r="L3774" s="4">
        <f>MIN(MAX(L3773*(1+MAX(MIN(((B3774-B3773)/B3773)/($K$7*卓尔金历!$N$40),0),-卓尔金历!$M$43))+MIN(MAX(((B3774-B3773)/B3773)/($K$7*卓尔金历!$N$40),0),卓尔金历!$M$43),0),1)</f>
        <v>0.25948369990265341</v>
      </c>
      <c r="M3774" s="4">
        <f>MIN(MAX(M3773*(1+MAX(MIN(((B3774-B3773)/B3773)/($K$7*30),0),-卓尔金历!$M$43))+MIN(MAX(((B3774-B3773)/B3773)/($K$7*7),0),卓尔金历!$M$43),0),1)</f>
        <v>0.60369705613884228</v>
      </c>
      <c r="N3774">
        <f t="shared" si="533"/>
        <v>428548.50540182571</v>
      </c>
      <c r="O3774">
        <f t="shared" si="534"/>
        <v>1363086.7537970913</v>
      </c>
      <c r="P3774">
        <f t="shared" si="535"/>
        <v>-1.2682321670593757E-3</v>
      </c>
      <c r="Q3774">
        <f t="shared" si="536"/>
        <v>3.8651991841309456E-2</v>
      </c>
      <c r="R3774">
        <f t="shared" si="537"/>
        <v>1</v>
      </c>
      <c r="S3774">
        <f t="shared" si="529"/>
        <v>1760.3017862574018</v>
      </c>
      <c r="T3774" s="564">
        <f>IF((I3774-MAX(I$470:I3774))/MAX(I$470:I3774)&gt;T3773,T3773,(I3774-MAX(I$470:I3774))/MAX(I$470:I3774))</f>
        <v>-0.91338805338419748</v>
      </c>
      <c r="U3774" s="564">
        <f>IF((J3774-MAX(J$470:J3774))/MAX(J$470:J3774)&gt;U3773,U3773,(J3774-MAX(J$470:J3774))/MAX(J$470:J3774))</f>
        <v>-0.83569785939843477</v>
      </c>
      <c r="V3774" s="564">
        <f>IF((K3774-MAX(K$470:K3774))/MAX(K$470:K3774)&gt;V3773,V3773,(K3774-MAX(K$470:K3774))/MAX(K$470:K3774))</f>
        <v>-0.84885940676762139</v>
      </c>
      <c r="W3774" s="564">
        <f>IF((N3774-MAX(N$470:N3774))/MAX(N$470:N3774)&gt;W3773,W3773,(N3774-MAX(N$470:N3774))/MAX(N$470:N3774))</f>
        <v>-0.62788758315546067</v>
      </c>
      <c r="X3774" s="564">
        <f>IF((O3774-MAX(O$470:O3774))/MAX(O$470:O3774)&gt;X3773,X3773,(O3774-MAX(O$470:O3774))/MAX(O$470:O3774))</f>
        <v>-0.62788758315546067</v>
      </c>
    </row>
    <row r="3775" spans="1:24">
      <c r="A3775" s="799">
        <v>44177</v>
      </c>
      <c r="B3775">
        <v>18418.190660107201</v>
      </c>
      <c r="C3775">
        <v>59507.564651014698</v>
      </c>
      <c r="D3775">
        <v>2.4383350400000001</v>
      </c>
      <c r="E3775">
        <f>LN(D3775/参数实验室!$E$53)/参数实验室!$E$55</f>
        <v>0.35856399458410415</v>
      </c>
      <c r="F3775">
        <f t="shared" si="528"/>
        <v>3.230912620527099</v>
      </c>
      <c r="G3775">
        <f>LN(F3775/参数实验室!$E$58)/参数实验室!$E$59</f>
        <v>0.42500023948345672</v>
      </c>
      <c r="H3775" s="856">
        <f>INDEX(神经网络!$G$10:$BO$70,MATCH(ROUND(G3775*2,1)/2,神经网络!$E$10:$E$70,0),MATCH(ROUND(E3775*2,1)/2,神经网络!$G$8:$BO$8,0))</f>
        <v>1.9025101328939398</v>
      </c>
      <c r="I3775">
        <f t="shared" si="530"/>
        <v>1563927.9157529725</v>
      </c>
      <c r="J3775">
        <f t="shared" si="531"/>
        <v>7349.3438650122343</v>
      </c>
      <c r="K3775">
        <f t="shared" si="532"/>
        <v>212.79830478450052</v>
      </c>
      <c r="L3775" s="4">
        <f>MIN(MAX(L3774*(1+MAX(MIN(((B3775-B3774)/B3774)/($K$7*卓尔金历!$N$40),0),-卓尔金历!$M$43))+MIN(MAX(((B3775-B3774)/B3774)/($K$7*卓尔金历!$N$40),0),卓尔金历!$M$43),0),1)</f>
        <v>0.50831281544554174</v>
      </c>
      <c r="M3775" s="4">
        <f>MIN(MAX(M3774*(1+MAX(MIN(((B3775-B3774)/B3774)/($K$7*30),0),-卓尔金历!$M$43))+MIN(MAX(((B3775-B3774)/B3774)/($K$7*7),0),卓尔金历!$M$43),0),1)</f>
        <v>1</v>
      </c>
      <c r="N3775">
        <f t="shared" si="533"/>
        <v>431804.6010592875</v>
      </c>
      <c r="O3775">
        <f t="shared" si="534"/>
        <v>1387181.9043375924</v>
      </c>
      <c r="P3775">
        <f t="shared" si="535"/>
        <v>1.6285650766545715E-2</v>
      </c>
      <c r="Q3775">
        <f t="shared" si="536"/>
        <v>3.8807852549246381E-2</v>
      </c>
      <c r="R3775">
        <f t="shared" si="537"/>
        <v>0.94055320575307699</v>
      </c>
      <c r="S3775">
        <f t="shared" si="529"/>
        <v>1811.8453233714104</v>
      </c>
      <c r="T3775" s="564">
        <f>IF((I3775-MAX(I$470:I3775))/MAX(I$470:I3775)&gt;T3774,T3774,(I3775-MAX(I$470:I3775))/MAX(I$470:I3775))</f>
        <v>-0.91338805338419748</v>
      </c>
      <c r="U3775" s="564">
        <f>IF((J3775-MAX(J$470:J3775))/MAX(J$470:J3775)&gt;U3774,U3774,(J3775-MAX(J$470:J3775))/MAX(J$470:J3775))</f>
        <v>-0.83569785939843477</v>
      </c>
      <c r="V3775" s="564">
        <f>IF((K3775-MAX(K$470:K3775))/MAX(K$470:K3775)&gt;V3774,V3774,(K3775-MAX(K$470:K3775))/MAX(K$470:K3775))</f>
        <v>-0.84885940676762139</v>
      </c>
      <c r="W3775" s="564">
        <f>IF((N3775-MAX(N$470:N3775))/MAX(N$470:N3775)&gt;W3774,W3774,(N3775-MAX(N$470:N3775))/MAX(N$470:N3775))</f>
        <v>-0.62788758315546067</v>
      </c>
      <c r="X3775" s="564">
        <f>IF((O3775-MAX(O$470:O3775))/MAX(O$470:O3775)&gt;X3774,X3774,(O3775-MAX(O$470:O3775))/MAX(O$470:O3775))</f>
        <v>-0.62788758315546067</v>
      </c>
    </row>
    <row r="3776" spans="1:24">
      <c r="A3776" s="799">
        <v>44178</v>
      </c>
      <c r="B3776">
        <v>19223.684888486299</v>
      </c>
      <c r="C3776">
        <v>58836.1341295948</v>
      </c>
      <c r="D3776">
        <v>2.4641164299999998</v>
      </c>
      <c r="E3776">
        <f>LN(D3776/参数实验室!$E$53)/参数实验室!$E$55</f>
        <v>0.37097246372133186</v>
      </c>
      <c r="F3776">
        <f t="shared" si="528"/>
        <v>3.0606064586937598</v>
      </c>
      <c r="G3776">
        <f>LN(F3776/参数实验室!$E$58)/参数实验室!$E$59</f>
        <v>0.39657857588536827</v>
      </c>
      <c r="H3776" s="856">
        <f>INDEX(神经网络!$G$10:$BO$70,MATCH(ROUND(G3776*2,1)/2,神经网络!$E$10:$E$70,0),MATCH(ROUND(E3776*2,1)/2,神经网络!$G$8:$BO$8,0))</f>
        <v>1.8674428211453629</v>
      </c>
      <c r="I3776">
        <f t="shared" si="530"/>
        <v>1694052.4472430041</v>
      </c>
      <c r="J3776">
        <f t="shared" si="531"/>
        <v>7670.7573075640476</v>
      </c>
      <c r="K3776">
        <f t="shared" si="532"/>
        <v>220.84552793405652</v>
      </c>
      <c r="L3776" s="4">
        <f>MIN(MAX(L3775*(1+MAX(MIN(((B3776-B3775)/B3775)/($K$7*卓尔金历!$N$40),0),-卓尔金历!$M$43))+MIN(MAX(((B3776-B3775)/B3775)/($K$7*卓尔金历!$N$40),0),卓尔金历!$M$43),0),1)</f>
        <v>1</v>
      </c>
      <c r="M3776" s="4">
        <f>MIN(MAX(M3775*(1+MAX(MIN(((B3776-B3775)/B3775)/($K$7*30),0),-卓尔金历!$M$43))+MIN(MAX(((B3776-B3775)/B3775)/($K$7*7),0),卓尔金历!$M$43),0),1)</f>
        <v>1</v>
      </c>
      <c r="N3776">
        <f t="shared" si="533"/>
        <v>450067.1238891774</v>
      </c>
      <c r="O3776">
        <f t="shared" si="534"/>
        <v>1502600.52023107</v>
      </c>
      <c r="P3776">
        <f t="shared" si="535"/>
        <v>4.3733624178609223E-2</v>
      </c>
      <c r="Q3776">
        <f t="shared" si="536"/>
        <v>3.9445246663671746E-2</v>
      </c>
      <c r="R3776">
        <f t="shared" si="537"/>
        <v>3.480273902880765E-2</v>
      </c>
      <c r="S3776">
        <f t="shared" si="529"/>
        <v>1953.6357582223304</v>
      </c>
      <c r="T3776" s="564">
        <f>IF((I3776-MAX(I$470:I3776))/MAX(I$470:I3776)&gt;T3775,T3775,(I3776-MAX(I$470:I3776))/MAX(I$470:I3776))</f>
        <v>-0.91338805338419748</v>
      </c>
      <c r="U3776" s="564">
        <f>IF((J3776-MAX(J$470:J3776))/MAX(J$470:J3776)&gt;U3775,U3775,(J3776-MAX(J$470:J3776))/MAX(J$470:J3776))</f>
        <v>-0.83569785939843477</v>
      </c>
      <c r="V3776" s="564">
        <f>IF((K3776-MAX(K$470:K3776))/MAX(K$470:K3776)&gt;V3775,V3775,(K3776-MAX(K$470:K3776))/MAX(K$470:K3776))</f>
        <v>-0.84885940676762139</v>
      </c>
      <c r="W3776" s="564">
        <f>IF((N3776-MAX(N$470:N3776))/MAX(N$470:N3776)&gt;W3775,W3775,(N3776-MAX(N$470:N3776))/MAX(N$470:N3776))</f>
        <v>-0.62788758315546067</v>
      </c>
      <c r="X3776" s="564">
        <f>IF((O3776-MAX(O$470:O3776))/MAX(O$470:O3776)&gt;X3775,X3775,(O3776-MAX(O$470:O3776))/MAX(O$470:O3776))</f>
        <v>-0.62788758315546067</v>
      </c>
    </row>
    <row r="3777" spans="1:24">
      <c r="A3777" s="799">
        <v>44179</v>
      </c>
      <c r="B3777">
        <v>19230.076469197102</v>
      </c>
      <c r="C3777">
        <v>58726.065205039798</v>
      </c>
      <c r="D3777">
        <v>2.4742366136</v>
      </c>
      <c r="E3777">
        <f>LN(D3777/参数实验室!$E$53)/参数实验室!$E$55</f>
        <v>0.37580781511883554</v>
      </c>
      <c r="F3777">
        <f t="shared" si="528"/>
        <v>3.0538654018931077</v>
      </c>
      <c r="G3777">
        <f>LN(F3777/参数实验室!$E$58)/参数实验室!$E$59</f>
        <v>0.39542129773262236</v>
      </c>
      <c r="H3777" s="856">
        <f>INDEX(神经网络!$G$10:$BO$70,MATCH(ROUND(G3777*2,1)/2,神经网络!$E$10:$E$70,0),MATCH(ROUND(E3777*2,1)/2,神经网络!$G$8:$BO$8,0))</f>
        <v>1.9344994973342091</v>
      </c>
      <c r="I3777">
        <f t="shared" si="530"/>
        <v>1695104.2778482148</v>
      </c>
      <c r="J3777">
        <f t="shared" si="531"/>
        <v>7673.3077168497121</v>
      </c>
      <c r="K3777">
        <f t="shared" si="532"/>
        <v>220.90920114228683</v>
      </c>
      <c r="L3777" s="4">
        <f>MIN(MAX(L3776*(1+MAX(MIN(((B3777-B3776)/B3776)/($K$7*卓尔金历!$N$40),0),-卓尔金历!$M$43))+MIN(MAX(((B3777-B3776)/B3776)/($K$7*卓尔金历!$N$40),0),卓尔金历!$M$43),0),1)</f>
        <v>1</v>
      </c>
      <c r="M3777" s="4">
        <f>MIN(MAX(M3776*(1+MAX(MIN(((B3777-B3776)/B3776)/($K$7*30),0),-卓尔金历!$M$43))+MIN(MAX(((B3777-B3776)/B3776)/($K$7*7),0),卓尔金历!$M$43),0),1)</f>
        <v>1</v>
      </c>
      <c r="N3777">
        <f t="shared" si="533"/>
        <v>450346.56882376381</v>
      </c>
      <c r="O3777">
        <f t="shared" si="534"/>
        <v>1503533.4790760907</v>
      </c>
      <c r="P3777">
        <f t="shared" si="535"/>
        <v>3.3248467959597598E-4</v>
      </c>
      <c r="Q3777">
        <f t="shared" si="536"/>
        <v>3.9445511046710575E-2</v>
      </c>
      <c r="R3777">
        <f t="shared" si="537"/>
        <v>1</v>
      </c>
      <c r="S3777">
        <f t="shared" si="529"/>
        <v>1953.6779741145369</v>
      </c>
      <c r="T3777" s="564">
        <f>IF((I3777-MAX(I$470:I3777))/MAX(I$470:I3777)&gt;T3776,T3776,(I3777-MAX(I$470:I3777))/MAX(I$470:I3777))</f>
        <v>-0.91338805338419748</v>
      </c>
      <c r="U3777" s="564">
        <f>IF((J3777-MAX(J$470:J3777))/MAX(J$470:J3777)&gt;U3776,U3776,(J3777-MAX(J$470:J3777))/MAX(J$470:J3777))</f>
        <v>-0.83569785939843477</v>
      </c>
      <c r="V3777" s="564">
        <f>IF((K3777-MAX(K$470:K3777))/MAX(K$470:K3777)&gt;V3776,V3776,(K3777-MAX(K$470:K3777))/MAX(K$470:K3777))</f>
        <v>-0.84885940676762139</v>
      </c>
      <c r="W3777" s="564">
        <f>IF((N3777-MAX(N$470:N3777))/MAX(N$470:N3777)&gt;W3776,W3776,(N3777-MAX(N$470:N3777))/MAX(N$470:N3777))</f>
        <v>-0.62788758315546067</v>
      </c>
      <c r="X3777" s="564">
        <f>IF((O3777-MAX(O$470:O3777))/MAX(O$470:O3777)&gt;X3776,X3776,(O3777-MAX(O$470:O3777))/MAX(O$470:O3777))</f>
        <v>-0.62788758315546067</v>
      </c>
    </row>
    <row r="3778" spans="1:24">
      <c r="A3778" s="799">
        <v>44180</v>
      </c>
      <c r="B3778">
        <v>19437.9333201013</v>
      </c>
      <c r="C3778">
        <v>59133.400131422197</v>
      </c>
      <c r="D3778">
        <v>2.4840719400000002</v>
      </c>
      <c r="E3778">
        <f>LN(D3778/参数实验室!$E$53)/参数实验室!$E$55</f>
        <v>0.38048815048680801</v>
      </c>
      <c r="F3778">
        <f t="shared" si="528"/>
        <v>3.042164985218399</v>
      </c>
      <c r="G3778">
        <f>LN(F3778/参数实验室!$E$58)/参数实验室!$E$59</f>
        <v>0.39340653791402713</v>
      </c>
      <c r="H3778" s="856">
        <f>INDEX(神经网络!$G$10:$BO$70,MATCH(ROUND(G3778*2,1)/2,神经网络!$E$10:$E$70,0),MATCH(ROUND(E3778*2,1)/2,神经网络!$G$8:$BO$8,0))</f>
        <v>1.9344994973342091</v>
      </c>
      <c r="I3778">
        <f t="shared" si="530"/>
        <v>1730548.7385785382</v>
      </c>
      <c r="J3778">
        <f t="shared" si="531"/>
        <v>7756.24808271867</v>
      </c>
      <c r="K3778">
        <f t="shared" si="532"/>
        <v>223.11673377677181</v>
      </c>
      <c r="L3778" s="4">
        <f>MIN(MAX(L3777*(1+MAX(MIN(((B3778-B3777)/B3777)/($K$7*卓尔金历!$N$40),0),-卓尔金历!$M$43))+MIN(MAX(((B3778-B3777)/B3777)/($K$7*卓尔金历!$N$40),0),卓尔金历!$M$43),0),1)</f>
        <v>1</v>
      </c>
      <c r="M3778" s="4">
        <f>MIN(MAX(M3777*(1+MAX(MIN(((B3778-B3777)/B3777)/($K$7*30),0),-卓尔金历!$M$43))+MIN(MAX(((B3778-B3777)/B3777)/($K$7*7),0),卓尔金历!$M$43),0),1)</f>
        <v>1</v>
      </c>
      <c r="N3778">
        <f t="shared" si="533"/>
        <v>459763.27048767114</v>
      </c>
      <c r="O3778">
        <f t="shared" si="534"/>
        <v>1534972.2135847949</v>
      </c>
      <c r="P3778">
        <f t="shared" si="535"/>
        <v>1.0808945624170802E-2</v>
      </c>
      <c r="Q3778">
        <f t="shared" si="536"/>
        <v>3.752679016335872E-2</v>
      </c>
      <c r="R3778">
        <f t="shared" si="537"/>
        <v>1</v>
      </c>
      <c r="S3778">
        <f t="shared" si="529"/>
        <v>1994.5291849445298</v>
      </c>
      <c r="T3778" s="564">
        <f>IF((I3778-MAX(I$470:I3778))/MAX(I$470:I3778)&gt;T3777,T3777,(I3778-MAX(I$470:I3778))/MAX(I$470:I3778))</f>
        <v>-0.91338805338419748</v>
      </c>
      <c r="U3778" s="564">
        <f>IF((J3778-MAX(J$470:J3778))/MAX(J$470:J3778)&gt;U3777,U3777,(J3778-MAX(J$470:J3778))/MAX(J$470:J3778))</f>
        <v>-0.83569785939843477</v>
      </c>
      <c r="V3778" s="564">
        <f>IF((K3778-MAX(K$470:K3778))/MAX(K$470:K3778)&gt;V3777,V3777,(K3778-MAX(K$470:K3778))/MAX(K$470:K3778))</f>
        <v>-0.84885940676762139</v>
      </c>
      <c r="W3778" s="564">
        <f>IF((N3778-MAX(N$470:N3778))/MAX(N$470:N3778)&gt;W3777,W3777,(N3778-MAX(N$470:N3778))/MAX(N$470:N3778))</f>
        <v>-0.62788758315546067</v>
      </c>
      <c r="X3778" s="564">
        <f>IF((O3778-MAX(O$470:O3778))/MAX(O$470:O3778)&gt;X3777,X3777,(O3778-MAX(O$470:O3778))/MAX(O$470:O3778))</f>
        <v>-0.62788758315546067</v>
      </c>
    </row>
    <row r="3779" spans="1:24">
      <c r="A3779" s="799">
        <v>44181</v>
      </c>
      <c r="B3779">
        <v>20703.023210556501</v>
      </c>
      <c r="C3779">
        <v>59828.398934096302</v>
      </c>
      <c r="D3779">
        <v>2.70395115</v>
      </c>
      <c r="E3779">
        <f>LN(D3779/参数实验室!$E$53)/参数实验室!$E$55</f>
        <v>0.48054888316024796</v>
      </c>
      <c r="F3779">
        <f t="shared" si="528"/>
        <v>2.8898387605337619</v>
      </c>
      <c r="G3779">
        <f>LN(F3779/参数实验室!$E$58)/参数实验室!$E$59</f>
        <v>0.36644545765306374</v>
      </c>
      <c r="H3779" s="856">
        <f>INDEX(神经网络!$G$10:$BO$70,MATCH(ROUND(G3779*2,1)/2,神经网络!$E$10:$E$70,0),MATCH(ROUND(E3779*2,1)/2,神经网络!$G$8:$BO$8,0))</f>
        <v>2.0214498677404382</v>
      </c>
      <c r="I3779">
        <f t="shared" si="530"/>
        <v>1948431.9428639973</v>
      </c>
      <c r="J3779">
        <f t="shared" si="531"/>
        <v>8261.0523165701507</v>
      </c>
      <c r="K3779">
        <f t="shared" si="532"/>
        <v>235.85759636890344</v>
      </c>
      <c r="L3779" s="4">
        <f>MIN(MAX(L3778*(1+MAX(MIN(((B3779-B3778)/B3778)/($K$7*卓尔金历!$N$40),0),-卓尔金历!$M$43))+MIN(MAX(((B3779-B3778)/B3778)/($K$7*卓尔金历!$N$40),0),卓尔金历!$M$43),0),1)</f>
        <v>1</v>
      </c>
      <c r="M3779" s="4">
        <f>MIN(MAX(M3778*(1+MAX(MIN(((B3779-B3778)/B3778)/($K$7*30),0),-卓尔金历!$M$43))+MIN(MAX(((B3779-B3778)/B3778)/($K$7*7),0),卓尔金历!$M$43),0),1)</f>
        <v>1</v>
      </c>
      <c r="N3779">
        <f t="shared" si="533"/>
        <v>517649.35734177439</v>
      </c>
      <c r="O3779">
        <f t="shared" si="534"/>
        <v>1728231.5289275746</v>
      </c>
      <c r="P3779">
        <f t="shared" si="535"/>
        <v>6.5083559533921087E-2</v>
      </c>
      <c r="Q3779">
        <f t="shared" si="536"/>
        <v>3.9810654580429233E-2</v>
      </c>
      <c r="R3779">
        <f t="shared" si="537"/>
        <v>1.9080969442145299E-2</v>
      </c>
      <c r="S3779">
        <f t="shared" si="529"/>
        <v>2245.6486132326554</v>
      </c>
      <c r="T3779" s="564">
        <f>IF((I3779-MAX(I$470:I3779))/MAX(I$470:I3779)&gt;T3778,T3778,(I3779-MAX(I$470:I3779))/MAX(I$470:I3779))</f>
        <v>-0.91338805338419748</v>
      </c>
      <c r="U3779" s="564">
        <f>IF((J3779-MAX(J$470:J3779))/MAX(J$470:J3779)&gt;U3778,U3778,(J3779-MAX(J$470:J3779))/MAX(J$470:J3779))</f>
        <v>-0.83569785939843477</v>
      </c>
      <c r="V3779" s="564">
        <f>IF((K3779-MAX(K$470:K3779))/MAX(K$470:K3779)&gt;V3778,V3778,(K3779-MAX(K$470:K3779))/MAX(K$470:K3779))</f>
        <v>-0.84885940676762139</v>
      </c>
      <c r="W3779" s="564">
        <f>IF((N3779-MAX(N$470:N3779))/MAX(N$470:N3779)&gt;W3778,W3778,(N3779-MAX(N$470:N3779))/MAX(N$470:N3779))</f>
        <v>-0.62788758315546067</v>
      </c>
      <c r="X3779" s="564">
        <f>IF((O3779-MAX(O$470:O3779))/MAX(O$470:O3779)&gt;X3778,X3778,(O3779-MAX(O$470:O3779))/MAX(O$470:O3779))</f>
        <v>-0.62788758315546067</v>
      </c>
    </row>
    <row r="3780" spans="1:24">
      <c r="A3780" s="799">
        <v>44182</v>
      </c>
      <c r="B3780">
        <v>23345.4630700794</v>
      </c>
      <c r="C3780">
        <v>60989.947669503803</v>
      </c>
      <c r="D3780">
        <v>2.8389800971999999</v>
      </c>
      <c r="E3780">
        <f>LN(D3780/参数实验室!$E$53)/参数实验室!$E$55</f>
        <v>0.53803917278879965</v>
      </c>
      <c r="F3780">
        <f t="shared" si="528"/>
        <v>2.612496804472098</v>
      </c>
      <c r="G3780">
        <f>LN(F3780/参数实验室!$E$58)/参数实验室!$E$59</f>
        <v>0.31349066889844734</v>
      </c>
      <c r="H3780" s="856">
        <f>INDEX(神经网络!$G$10:$BO$70,MATCH(ROUND(G3780*2,1)/2,神经网络!$E$10:$E$70,0),MATCH(ROUND(E3780*2,1)/2,神经网络!$G$8:$BO$8,0))</f>
        <v>2.0470854553908895</v>
      </c>
      <c r="I3780">
        <f t="shared" si="530"/>
        <v>2451144.2978278389</v>
      </c>
      <c r="J3780">
        <f t="shared" si="531"/>
        <v>9315.4555165713064</v>
      </c>
      <c r="K3780">
        <f t="shared" si="532"/>
        <v>263.12661720808899</v>
      </c>
      <c r="L3780" s="4">
        <f>MIN(MAX(L3779*(1+MAX(MIN(((B3780-B3779)/B3779)/($K$7*卓尔金历!$N$40),0),-卓尔金历!$M$43))+MIN(MAX(((B3780-B3779)/B3779)/($K$7*卓尔金历!$N$40),0),卓尔金历!$M$43),0),1)</f>
        <v>1</v>
      </c>
      <c r="M3780" s="4">
        <f>MIN(MAX(M3779*(1+MAX(MIN(((B3780-B3779)/B3779)/($K$7*30),0),-卓尔金历!$M$43))+MIN(MAX(((B3780-B3779)/B3779)/($K$7*7),0),卓尔金历!$M$43),0),1)</f>
        <v>1</v>
      </c>
      <c r="N3780">
        <f t="shared" si="533"/>
        <v>651207.38508191332</v>
      </c>
      <c r="O3780">
        <f t="shared" si="534"/>
        <v>2174130.2656075372</v>
      </c>
      <c r="P3780">
        <f t="shared" si="535"/>
        <v>0.12763545848586574</v>
      </c>
      <c r="Q3780">
        <f t="shared" si="536"/>
        <v>3.8155975594256812E-2</v>
      </c>
      <c r="R3780">
        <f t="shared" si="537"/>
        <v>0</v>
      </c>
      <c r="S3780">
        <f t="shared" si="529"/>
        <v>2256.7040665544905</v>
      </c>
      <c r="T3780" s="564">
        <f>IF((I3780-MAX(I$470:I3780))/MAX(I$470:I3780)&gt;T3779,T3779,(I3780-MAX(I$470:I3780))/MAX(I$470:I3780))</f>
        <v>-0.91338805338419748</v>
      </c>
      <c r="U3780" s="564">
        <f>IF((J3780-MAX(J$470:J3780))/MAX(J$470:J3780)&gt;U3779,U3779,(J3780-MAX(J$470:J3780))/MAX(J$470:J3780))</f>
        <v>-0.83569785939843477</v>
      </c>
      <c r="V3780" s="564">
        <f>IF((K3780-MAX(K$470:K3780))/MAX(K$470:K3780)&gt;V3779,V3779,(K3780-MAX(K$470:K3780))/MAX(K$470:K3780))</f>
        <v>-0.84885940676762139</v>
      </c>
      <c r="W3780" s="564">
        <f>IF((N3780-MAX(N$470:N3780))/MAX(N$470:N3780)&gt;W3779,W3779,(N3780-MAX(N$470:N3780))/MAX(N$470:N3780))</f>
        <v>-0.62788758315546067</v>
      </c>
      <c r="X3780" s="564">
        <f>IF((O3780-MAX(O$470:O3780))/MAX(O$470:O3780)&gt;X3779,X3779,(O3780-MAX(O$470:O3780))/MAX(O$470:O3780))</f>
        <v>-0.62788758315546067</v>
      </c>
    </row>
    <row r="3781" spans="1:24">
      <c r="A3781" s="799">
        <v>44183</v>
      </c>
      <c r="B3781">
        <v>22599.883485059901</v>
      </c>
      <c r="C3781">
        <v>61503.602226636103</v>
      </c>
      <c r="D3781">
        <v>2.82221791</v>
      </c>
      <c r="E3781">
        <f>LN(D3781/参数实验室!$E$53)/参数实验室!$E$55</f>
        <v>0.53105291211060446</v>
      </c>
      <c r="F3781">
        <f t="shared" ref="F3781:F3844" si="538">C3781/B3781</f>
        <v>2.7214123589307118</v>
      </c>
      <c r="G3781">
        <f>LN(F3781/参数实验室!$E$58)/参数实验室!$E$59</f>
        <v>0.33492812288696711</v>
      </c>
      <c r="H3781" s="856">
        <f>INDEX(神经网络!$G$10:$BO$70,MATCH(ROUND(G3781*2,1)/2,神经网络!$E$10:$E$70,0),MATCH(ROUND(E3781*2,1)/2,神经网络!$G$8:$BO$8,0))</f>
        <v>2.0742001321041275</v>
      </c>
      <c r="I3781">
        <f t="shared" si="530"/>
        <v>2290894.9146717074</v>
      </c>
      <c r="J3781">
        <f t="shared" si="531"/>
        <v>9017.9495970072439</v>
      </c>
      <c r="K3781">
        <f t="shared" si="532"/>
        <v>254.03722764562565</v>
      </c>
      <c r="L3781" s="4">
        <f>MIN(MAX(L3780*(1+MAX(MIN(((B3781-B3780)/B3780)/($K$7*卓尔金历!$N$40),0),-卓尔金历!$M$43))+MIN(MAX(((B3781-B3780)/B3780)/($K$7*卓尔金历!$N$40),0),卓尔金历!$M$43),0),1)</f>
        <v>0.5120362125309964</v>
      </c>
      <c r="M3781" s="4">
        <f>MIN(MAX(M3780*(1+MAX(MIN(((B3781-B3780)/B3780)/($K$7*30),0),-卓尔金历!$M$43))+MIN(MAX(((B3781-B3780)/B3780)/($K$7*7),0),卓尔金历!$M$43),0),1)</f>
        <v>0.75601810626549826</v>
      </c>
      <c r="N3781">
        <f t="shared" si="533"/>
        <v>608633.15480972081</v>
      </c>
      <c r="O3781">
        <f t="shared" si="534"/>
        <v>2031991.3330798063</v>
      </c>
      <c r="P3781">
        <f t="shared" si="535"/>
        <v>-3.1936808568816422E-2</v>
      </c>
      <c r="Q3781">
        <f t="shared" si="536"/>
        <v>3.8693732098063961E-2</v>
      </c>
      <c r="R3781">
        <f t="shared" si="537"/>
        <v>0.23739721707074826</v>
      </c>
      <c r="S3781">
        <f t="shared" si="529"/>
        <v>2256.7040665544905</v>
      </c>
      <c r="T3781" s="564">
        <f>IF((I3781-MAX(I$470:I3781))/MAX(I$470:I3781)&gt;T3780,T3780,(I3781-MAX(I$470:I3781))/MAX(I$470:I3781))</f>
        <v>-0.91338805338419748</v>
      </c>
      <c r="U3781" s="564">
        <f>IF((J3781-MAX(J$470:J3781))/MAX(J$470:J3781)&gt;U3780,U3780,(J3781-MAX(J$470:J3781))/MAX(J$470:J3781))</f>
        <v>-0.83569785939843477</v>
      </c>
      <c r="V3781" s="564">
        <f>IF((K3781-MAX(K$470:K3781))/MAX(K$470:K3781)&gt;V3780,V3780,(K3781-MAX(K$470:K3781))/MAX(K$470:K3781))</f>
        <v>-0.84885940676762139</v>
      </c>
      <c r="W3781" s="564">
        <f>IF((N3781-MAX(N$470:N3781))/MAX(N$470:N3781)&gt;W3780,W3780,(N3781-MAX(N$470:N3781))/MAX(N$470:N3781))</f>
        <v>-0.62788758315546067</v>
      </c>
      <c r="X3781" s="564">
        <f>IF((O3781-MAX(O$470:O3781))/MAX(O$470:O3781)&gt;X3780,X3780,(O3781-MAX(O$470:O3781))/MAX(O$470:O3781))</f>
        <v>-0.62788758315546067</v>
      </c>
    </row>
    <row r="3782" spans="1:24">
      <c r="A3782" s="799">
        <v>44184</v>
      </c>
      <c r="B3782">
        <v>23561.590679396399</v>
      </c>
      <c r="C3782">
        <v>60636.406564654302</v>
      </c>
      <c r="D3782">
        <v>2.9068771749</v>
      </c>
      <c r="E3782">
        <f>LN(D3782/参数实验室!$E$53)/参数实验室!$E$55</f>
        <v>0.56592205345030067</v>
      </c>
      <c r="F3782">
        <f t="shared" si="538"/>
        <v>2.5735277125274161</v>
      </c>
      <c r="G3782">
        <f>LN(F3782/参数实验室!$E$58)/参数实验室!$E$59</f>
        <v>0.30560274998771181</v>
      </c>
      <c r="H3782" s="856">
        <f>INDEX(神经网络!$G$10:$BO$70,MATCH(ROUND(G3782*2,1)/2,神经网络!$E$10:$E$70,0),MATCH(ROUND(E3782*2,1)/2,神经网络!$G$8:$BO$8,0))</f>
        <v>2.0470854553908895</v>
      </c>
      <c r="I3782">
        <f t="shared" si="530"/>
        <v>2493100.1941306749</v>
      </c>
      <c r="J3782">
        <f t="shared" si="531"/>
        <v>9401.6961331935472</v>
      </c>
      <c r="K3782">
        <f t="shared" si="532"/>
        <v>265.17557670562837</v>
      </c>
      <c r="L3782" s="4">
        <f>MIN(MAX(L3781*(1+MAX(MIN(((B3782-B3781)/B3781)/($K$7*卓尔金历!$N$40),0),-卓尔金历!$M$43))+MIN(MAX(((B3782-B3781)/B3781)/($K$7*卓尔金历!$N$40),0),卓尔金历!$M$43),0),1)</f>
        <v>1</v>
      </c>
      <c r="M3782" s="4">
        <f>MIN(MAX(M3781*(1+MAX(MIN(((B3782-B3781)/B3781)/($K$7*30),0),-卓尔金历!$M$43))+MIN(MAX(((B3782-B3781)/B3781)/($K$7*7),0),卓尔金历!$M$43),0),1)</f>
        <v>1</v>
      </c>
      <c r="N3782">
        <f t="shared" si="533"/>
        <v>636140.17874806339</v>
      </c>
      <c r="O3782">
        <f t="shared" si="534"/>
        <v>2167585.6134095332</v>
      </c>
      <c r="P3782">
        <f t="shared" si="535"/>
        <v>4.2553635065076895E-2</v>
      </c>
      <c r="Q3782">
        <f t="shared" si="536"/>
        <v>3.7945105889651984E-2</v>
      </c>
      <c r="R3782">
        <f t="shared" si="537"/>
        <v>3.4258472793748468E-2</v>
      </c>
      <c r="S3782">
        <f t="shared" si="529"/>
        <v>2303.9906087316836</v>
      </c>
      <c r="T3782" s="564">
        <f>IF((I3782-MAX(I$470:I3782))/MAX(I$470:I3782)&gt;T3781,T3781,(I3782-MAX(I$470:I3782))/MAX(I$470:I3782))</f>
        <v>-0.91338805338419748</v>
      </c>
      <c r="U3782" s="564">
        <f>IF((J3782-MAX(J$470:J3782))/MAX(J$470:J3782)&gt;U3781,U3781,(J3782-MAX(J$470:J3782))/MAX(J$470:J3782))</f>
        <v>-0.83569785939843477</v>
      </c>
      <c r="V3782" s="564">
        <f>IF((K3782-MAX(K$470:K3782))/MAX(K$470:K3782)&gt;V3781,V3781,(K3782-MAX(K$470:K3782))/MAX(K$470:K3782))</f>
        <v>-0.84885940676762139</v>
      </c>
      <c r="W3782" s="564">
        <f>IF((N3782-MAX(N$470:N3782))/MAX(N$470:N3782)&gt;W3781,W3781,(N3782-MAX(N$470:N3782))/MAX(N$470:N3782))</f>
        <v>-0.62788758315546067</v>
      </c>
      <c r="X3782" s="564">
        <f>IF((O3782-MAX(O$470:O3782))/MAX(O$470:O3782)&gt;X3781,X3781,(O3782-MAX(O$470:O3782))/MAX(O$470:O3782))</f>
        <v>-0.62788758315546067</v>
      </c>
    </row>
    <row r="3783" spans="1:24">
      <c r="A3783" s="799">
        <v>44185</v>
      </c>
      <c r="B3783">
        <v>23881.336650798901</v>
      </c>
      <c r="C3783">
        <v>61355.398490987398</v>
      </c>
      <c r="D3783">
        <v>2.8508324949000001</v>
      </c>
      <c r="E3783">
        <f>LN(D3783/参数实验室!$E$53)/参数实验室!$E$55</f>
        <v>0.54295424675101867</v>
      </c>
      <c r="F3783">
        <f t="shared" si="538"/>
        <v>2.5691777385892207</v>
      </c>
      <c r="G3783">
        <f>LN(F3783/参数实验室!$E$58)/参数实验室!$E$59</f>
        <v>0.30471485081675659</v>
      </c>
      <c r="H3783" s="856">
        <f>INDEX(神经网络!$G$10:$BO$70,MATCH(ROUND(G3783*2,1)/2,神经网络!$E$10:$E$70,0),MATCH(ROUND(E3783*2,1)/2,神经网络!$G$8:$BO$8,0))</f>
        <v>2.0470854553908895</v>
      </c>
      <c r="I3783">
        <f t="shared" si="530"/>
        <v>2562359.188203169</v>
      </c>
      <c r="J3783">
        <f t="shared" si="531"/>
        <v>9529.2832092888748</v>
      </c>
      <c r="K3783">
        <f t="shared" si="532"/>
        <v>268.89317191302007</v>
      </c>
      <c r="L3783" s="4">
        <f>MIN(MAX(L3782*(1+MAX(MIN(((B3783-B3782)/B3782)/($K$7*卓尔金历!$N$40),0),-卓尔金历!$M$43))+MIN(MAX(((B3783-B3782)/B3782)/($K$7*卓尔金历!$N$40),0),卓尔金历!$M$43),0),1)</f>
        <v>1</v>
      </c>
      <c r="M3783" s="4">
        <f>MIN(MAX(M3782*(1+MAX(MIN(((B3783-B3782)/B3782)/($K$7*30),0),-卓尔金历!$M$43))+MIN(MAX(((B3783-B3782)/B3782)/($K$7*7),0),卓尔金历!$M$43),0),1)</f>
        <v>1</v>
      </c>
      <c r="N3783">
        <f t="shared" si="533"/>
        <v>653812.32404447428</v>
      </c>
      <c r="O3783">
        <f t="shared" si="534"/>
        <v>2227801.7248615245</v>
      </c>
      <c r="P3783">
        <f t="shared" si="535"/>
        <v>1.3570644518585358E-2</v>
      </c>
      <c r="Q3783">
        <f t="shared" si="536"/>
        <v>3.7688410976611068E-2</v>
      </c>
      <c r="R3783">
        <f t="shared" si="537"/>
        <v>1</v>
      </c>
      <c r="S3783">
        <f t="shared" si="529"/>
        <v>2306.1833386898097</v>
      </c>
      <c r="T3783" s="564">
        <f>IF((I3783-MAX(I$470:I3783))/MAX(I$470:I3783)&gt;T3782,T3782,(I3783-MAX(I$470:I3783))/MAX(I$470:I3783))</f>
        <v>-0.91338805338419748</v>
      </c>
      <c r="U3783" s="564">
        <f>IF((J3783-MAX(J$470:J3783))/MAX(J$470:J3783)&gt;U3782,U3782,(J3783-MAX(J$470:J3783))/MAX(J$470:J3783))</f>
        <v>-0.83569785939843477</v>
      </c>
      <c r="V3783" s="564">
        <f>IF((K3783-MAX(K$470:K3783))/MAX(K$470:K3783)&gt;V3782,V3782,(K3783-MAX(K$470:K3783))/MAX(K$470:K3783))</f>
        <v>-0.84885940676762139</v>
      </c>
      <c r="W3783" s="564">
        <f>IF((N3783-MAX(N$470:N3783))/MAX(N$470:N3783)&gt;W3782,W3782,(N3783-MAX(N$470:N3783))/MAX(N$470:N3783))</f>
        <v>-0.62788758315546067</v>
      </c>
      <c r="X3783" s="564">
        <f>IF((O3783-MAX(O$470:O3783))/MAX(O$470:O3783)&gt;X3782,X3782,(O3783-MAX(O$470:O3783))/MAX(O$470:O3783))</f>
        <v>-0.62788758315546067</v>
      </c>
    </row>
    <row r="3784" spans="1:24">
      <c r="A3784" s="799">
        <v>44186</v>
      </c>
      <c r="B3784">
        <v>22981.329067983301</v>
      </c>
      <c r="C3784">
        <v>62773.120179575402</v>
      </c>
      <c r="D3784">
        <v>2.7669089200000001</v>
      </c>
      <c r="E3784">
        <f>LN(D3784/参数实验室!$E$53)/参数实验室!$E$55</f>
        <v>0.50770289969109395</v>
      </c>
      <c r="F3784">
        <f t="shared" si="538"/>
        <v>2.7314834574571445</v>
      </c>
      <c r="G3784">
        <f>LN(F3784/参数实验室!$E$58)/参数实验室!$E$59</f>
        <v>0.3368668589157246</v>
      </c>
      <c r="H3784" s="856">
        <f>INDEX(神经网络!$G$10:$BO$70,MATCH(ROUND(G3784*2,1)/2,神经网络!$E$10:$E$70,0),MATCH(ROUND(E3784*2,1)/2,神经网络!$G$8:$BO$8,0))</f>
        <v>2.0214498677404382</v>
      </c>
      <c r="I3784">
        <f t="shared" si="530"/>
        <v>2364678.8302407009</v>
      </c>
      <c r="J3784">
        <f t="shared" si="531"/>
        <v>9170.1564454663621</v>
      </c>
      <c r="K3784">
        <f t="shared" si="532"/>
        <v>257.86679260088039</v>
      </c>
      <c r="L3784" s="4">
        <f>MIN(MAX(L3783*(1+MAX(MIN(((B3784-B3783)/B3783)/($K$7*卓尔金历!$N$40),0),-卓尔金历!$M$43))+MIN(MAX(((B3784-B3783)/B3783)/($K$7*卓尔金历!$N$40),0),卓尔金历!$M$43),0),1)</f>
        <v>0.42418414874216581</v>
      </c>
      <c r="M3784" s="4">
        <f>MIN(MAX(M3783*(1+MAX(MIN(((B3784-B3783)/B3783)/($K$7*30),0),-卓尔金历!$M$43))+MIN(MAX(((B3784-B3783)/B3783)/($K$7*7),0),卓尔金历!$M$43),0),1)</f>
        <v>0.71209207437108291</v>
      </c>
      <c r="N3784">
        <f t="shared" si="533"/>
        <v>603372.14576953952</v>
      </c>
      <c r="O3784">
        <f t="shared" si="534"/>
        <v>2055931.7370520281</v>
      </c>
      <c r="P3784">
        <f t="shared" si="535"/>
        <v>-3.7686650289965769E-2</v>
      </c>
      <c r="Q3784">
        <f t="shared" si="536"/>
        <v>3.7277837296615032E-2</v>
      </c>
      <c r="R3784">
        <f t="shared" si="537"/>
        <v>3.7277345274874564E-2</v>
      </c>
      <c r="S3784">
        <f t="shared" si="529"/>
        <v>2128.2663823090893</v>
      </c>
      <c r="T3784" s="564">
        <f>IF((I3784-MAX(I$470:I3784))/MAX(I$470:I3784)&gt;T3783,T3783,(I3784-MAX(I$470:I3784))/MAX(I$470:I3784))</f>
        <v>-0.91338805338419748</v>
      </c>
      <c r="U3784" s="564">
        <f>IF((J3784-MAX(J$470:J3784))/MAX(J$470:J3784)&gt;U3783,U3783,(J3784-MAX(J$470:J3784))/MAX(J$470:J3784))</f>
        <v>-0.83569785939843477</v>
      </c>
      <c r="V3784" s="564">
        <f>IF((K3784-MAX(K$470:K3784))/MAX(K$470:K3784)&gt;V3783,V3783,(K3784-MAX(K$470:K3784))/MAX(K$470:K3784))</f>
        <v>-0.84885940676762139</v>
      </c>
      <c r="W3784" s="564">
        <f>IF((N3784-MAX(N$470:N3784))/MAX(N$470:N3784)&gt;W3783,W3783,(N3784-MAX(N$470:N3784))/MAX(N$470:N3784))</f>
        <v>-0.62788758315546067</v>
      </c>
      <c r="X3784" s="564">
        <f>IF((O3784-MAX(O$470:O3784))/MAX(O$470:O3784)&gt;X3783,X3783,(O3784-MAX(O$470:O3784))/MAX(O$470:O3784))</f>
        <v>-0.62788758315546067</v>
      </c>
    </row>
    <row r="3785" spans="1:24">
      <c r="A3785" s="799">
        <v>44187</v>
      </c>
      <c r="B3785">
        <v>23446.898619387001</v>
      </c>
      <c r="C3785">
        <v>64145.896829025798</v>
      </c>
      <c r="D3785">
        <v>2.8315137646999999</v>
      </c>
      <c r="E3785">
        <f>LN(D3785/参数实验室!$E$53)/参数实验室!$E$55</f>
        <v>0.53493241161689575</v>
      </c>
      <c r="F3785">
        <f t="shared" si="538"/>
        <v>2.7357945232034631</v>
      </c>
      <c r="G3785">
        <f>LN(F3785/参数实验室!$E$58)/参数实验室!$E$59</f>
        <v>0.33769457638825934</v>
      </c>
      <c r="H3785" s="856">
        <f>INDEX(神经网络!$G$10:$BO$70,MATCH(ROUND(G3785*2,1)/2,神经网络!$E$10:$E$70,0),MATCH(ROUND(E3785*2,1)/2,神经网络!$G$8:$BO$8,0))</f>
        <v>2.0742001321041275</v>
      </c>
      <c r="I3785">
        <f t="shared" si="530"/>
        <v>2461516.5526823178</v>
      </c>
      <c r="J3785">
        <f t="shared" si="531"/>
        <v>9355.9309761729164</v>
      </c>
      <c r="K3785">
        <f t="shared" si="532"/>
        <v>263.09691242391057</v>
      </c>
      <c r="L3785" s="4">
        <f>MIN(MAX(L3784*(1+MAX(MIN(((B3785-B3784)/B3784)/($K$7*卓尔金历!$N$40),0),-卓尔金历!$M$43))+MIN(MAX(((B3785-B3784)/B3784)/($K$7*卓尔金历!$N$40),0),卓尔金历!$M$43),0),1)</f>
        <v>0.73371611491911071</v>
      </c>
      <c r="M3785" s="4">
        <f>MIN(MAX(M3784*(1+MAX(MIN(((B3785-B3784)/B3784)/($K$7*30),0),-卓尔金历!$M$43))+MIN(MAX(((B3785-B3784)/B3784)/($K$7*7),0),卓尔金历!$M$43),0),1)</f>
        <v>1</v>
      </c>
      <c r="N3785">
        <f t="shared" si="533"/>
        <v>613853.37202378095</v>
      </c>
      <c r="O3785">
        <f t="shared" si="534"/>
        <v>2115885.6103795031</v>
      </c>
      <c r="P3785">
        <f t="shared" si="535"/>
        <v>2.0258599928074363E-2</v>
      </c>
      <c r="Q3785">
        <f t="shared" si="536"/>
        <v>3.7273411836442373E-2</v>
      </c>
      <c r="R3785">
        <f t="shared" si="537"/>
        <v>0.66970702869558385</v>
      </c>
      <c r="S3785">
        <f t="shared" si="529"/>
        <v>2131.5153348283457</v>
      </c>
      <c r="T3785" s="564">
        <f>IF((I3785-MAX(I$470:I3785))/MAX(I$470:I3785)&gt;T3784,T3784,(I3785-MAX(I$470:I3785))/MAX(I$470:I3785))</f>
        <v>-0.91338805338419748</v>
      </c>
      <c r="U3785" s="564">
        <f>IF((J3785-MAX(J$470:J3785))/MAX(J$470:J3785)&gt;U3784,U3784,(J3785-MAX(J$470:J3785))/MAX(J$470:J3785))</f>
        <v>-0.83569785939843477</v>
      </c>
      <c r="V3785" s="564">
        <f>IF((K3785-MAX(K$470:K3785))/MAX(K$470:K3785)&gt;V3784,V3784,(K3785-MAX(K$470:K3785))/MAX(K$470:K3785))</f>
        <v>-0.84885940676762139</v>
      </c>
      <c r="W3785" s="564">
        <f>IF((N3785-MAX(N$470:N3785))/MAX(N$470:N3785)&gt;W3784,W3784,(N3785-MAX(N$470:N3785))/MAX(N$470:N3785))</f>
        <v>-0.62788758315546067</v>
      </c>
      <c r="X3785" s="564">
        <f>IF((O3785-MAX(O$470:O3785))/MAX(O$470:O3785)&gt;X3784,X3784,(O3785-MAX(O$470:O3785))/MAX(O$470:O3785))</f>
        <v>-0.62788758315546067</v>
      </c>
    </row>
    <row r="3786" spans="1:24">
      <c r="A3786" s="799">
        <v>44188</v>
      </c>
      <c r="B3786">
        <v>23413.569959620701</v>
      </c>
      <c r="C3786">
        <v>63845.139774510302</v>
      </c>
      <c r="D3786">
        <v>2.7518006599999998</v>
      </c>
      <c r="E3786">
        <f>LN(D3786/参数实验室!$E$53)/参数实验室!$E$55</f>
        <v>0.50124339570157994</v>
      </c>
      <c r="F3786">
        <f t="shared" si="538"/>
        <v>2.7268434452592376</v>
      </c>
      <c r="G3786">
        <f>LN(F3786/参数实验室!$E$58)/参数实验室!$E$59</f>
        <v>0.33597452330005229</v>
      </c>
      <c r="H3786" s="856">
        <f>INDEX(神经网络!$G$10:$BO$70,MATCH(ROUND(G3786*2,1)/2,神经网络!$E$10:$E$70,0),MATCH(ROUND(E3786*2,1)/2,神经网络!$G$8:$BO$8,0))</f>
        <v>2.0214498677404382</v>
      </c>
      <c r="I3786">
        <f t="shared" si="530"/>
        <v>2454259.0724361767</v>
      </c>
      <c r="J3786">
        <f t="shared" si="531"/>
        <v>9342.6319618613179</v>
      </c>
      <c r="K3786">
        <f t="shared" si="532"/>
        <v>262.69461137450378</v>
      </c>
      <c r="L3786" s="4">
        <f>MIN(MAX(L3785*(1+MAX(MIN(((B3786-B3785)/B3785)/($K$7*卓尔金历!$N$40),0),-卓尔金历!$M$43))+MIN(MAX(((B3786-B3785)/B3785)/($K$7*卓尔金历!$N$40),0),卓尔金历!$M$43),0),1)</f>
        <v>0.7177809493412064</v>
      </c>
      <c r="M3786" s="4">
        <f>MIN(MAX(M3785*(1+MAX(MIN(((B3786-B3785)/B3785)/($K$7*30),0),-卓尔金历!$M$43))+MIN(MAX(((B3786-B3785)/B3785)/($K$7*7),0),卓尔金历!$M$43),0),1)</f>
        <v>0.98914078261749705</v>
      </c>
      <c r="N3786">
        <f t="shared" si="533"/>
        <v>612525.44011862169</v>
      </c>
      <c r="O3786">
        <f t="shared" si="534"/>
        <v>2109647.1806587321</v>
      </c>
      <c r="P3786">
        <f t="shared" si="535"/>
        <v>-1.4214528030901874E-3</v>
      </c>
      <c r="Q3786">
        <f t="shared" si="536"/>
        <v>3.6814079026059043E-2</v>
      </c>
      <c r="R3786">
        <f t="shared" si="537"/>
        <v>1</v>
      </c>
      <c r="S3786">
        <f t="shared" si="529"/>
        <v>2127.3065529364685</v>
      </c>
      <c r="T3786" s="564">
        <f>IF((I3786-MAX(I$470:I3786))/MAX(I$470:I3786)&gt;T3785,T3785,(I3786-MAX(I$470:I3786))/MAX(I$470:I3786))</f>
        <v>-0.91338805338419748</v>
      </c>
      <c r="U3786" s="564">
        <f>IF((J3786-MAX(J$470:J3786))/MAX(J$470:J3786)&gt;U3785,U3785,(J3786-MAX(J$470:J3786))/MAX(J$470:J3786))</f>
        <v>-0.83569785939843477</v>
      </c>
      <c r="V3786" s="564">
        <f>IF((K3786-MAX(K$470:K3786))/MAX(K$470:K3786)&gt;V3785,V3785,(K3786-MAX(K$470:K3786))/MAX(K$470:K3786))</f>
        <v>-0.84885940676762139</v>
      </c>
      <c r="W3786" s="564">
        <f>IF((N3786-MAX(N$470:N3786))/MAX(N$470:N3786)&gt;W3785,W3785,(N3786-MAX(N$470:N3786))/MAX(N$470:N3786))</f>
        <v>-0.62788758315546067</v>
      </c>
      <c r="X3786" s="564">
        <f>IF((O3786-MAX(O$470:O3786))/MAX(O$470:O3786)&gt;X3785,X3785,(O3786-MAX(O$470:O3786))/MAX(O$470:O3786))</f>
        <v>-0.62788758315546067</v>
      </c>
    </row>
    <row r="3787" spans="1:24">
      <c r="A3787" s="799">
        <v>44189</v>
      </c>
      <c r="B3787">
        <v>24222.254237916699</v>
      </c>
      <c r="C3787">
        <v>64299.106268414398</v>
      </c>
      <c r="D3787">
        <v>2.7732046600000002</v>
      </c>
      <c r="E3787">
        <f>LN(D3787/参数实验室!$E$53)/参数实验室!$E$55</f>
        <v>0.51038422482213275</v>
      </c>
      <c r="F3787">
        <f t="shared" si="538"/>
        <v>2.654546750143624</v>
      </c>
      <c r="G3787">
        <f>LN(F3787/参数实验室!$E$58)/参数实验室!$E$59</f>
        <v>0.32187129179843305</v>
      </c>
      <c r="H3787" s="856">
        <f>INDEX(神经网络!$G$10:$BO$70,MATCH(ROUND(G3787*2,1)/2,神经网络!$E$10:$E$70,0),MATCH(ROUND(E3787*2,1)/2,神经网络!$G$8:$BO$8,0))</f>
        <v>1.9943370795744073</v>
      </c>
      <c r="I3787">
        <f t="shared" si="530"/>
        <v>2625613.2682080492</v>
      </c>
      <c r="J3787">
        <f t="shared" si="531"/>
        <v>9665.3183184695918</v>
      </c>
      <c r="K3787">
        <f t="shared" si="532"/>
        <v>271.65305701217602</v>
      </c>
      <c r="L3787" s="4">
        <f>MIN(MAX(L3786*(1+MAX(MIN(((B3787-B3786)/B3786)/($K$7*卓尔金历!$N$40),0),-卓尔金历!$M$43))+MIN(MAX(((B3787-B3786)/B3786)/($K$7*卓尔金历!$N$40),0),卓尔金历!$M$43),0),1)</f>
        <v>1</v>
      </c>
      <c r="M3787" s="4">
        <f>MIN(MAX(M3786*(1+MAX(MIN(((B3787-B3786)/B3786)/($K$7*30),0),-卓尔金历!$M$43))+MIN(MAX(((B3787-B3786)/B3786)/($K$7*7),0),卓尔金历!$M$43),0),1)</f>
        <v>1</v>
      </c>
      <c r="N3787">
        <f t="shared" si="533"/>
        <v>643222.04870127491</v>
      </c>
      <c r="O3787">
        <f t="shared" si="534"/>
        <v>2255341.3849272449</v>
      </c>
      <c r="P3787">
        <f t="shared" si="535"/>
        <v>3.4539127509844218E-2</v>
      </c>
      <c r="Q3787">
        <f t="shared" si="536"/>
        <v>3.6886559442597291E-2</v>
      </c>
      <c r="R3787">
        <f t="shared" si="537"/>
        <v>0.10498919763099435</v>
      </c>
      <c r="S3787">
        <f t="shared" si="529"/>
        <v>2275.833213235956</v>
      </c>
      <c r="T3787" s="564">
        <f>IF((I3787-MAX(I$470:I3787))/MAX(I$470:I3787)&gt;T3786,T3786,(I3787-MAX(I$470:I3787))/MAX(I$470:I3787))</f>
        <v>-0.91338805338419748</v>
      </c>
      <c r="U3787" s="564">
        <f>IF((J3787-MAX(J$470:J3787))/MAX(J$470:J3787)&gt;U3786,U3786,(J3787-MAX(J$470:J3787))/MAX(J$470:J3787))</f>
        <v>-0.83569785939843477</v>
      </c>
      <c r="V3787" s="564">
        <f>IF((K3787-MAX(K$470:K3787))/MAX(K$470:K3787)&gt;V3786,V3786,(K3787-MAX(K$470:K3787))/MAX(K$470:K3787))</f>
        <v>-0.84885940676762139</v>
      </c>
      <c r="W3787" s="564">
        <f>IF((N3787-MAX(N$470:N3787))/MAX(N$470:N3787)&gt;W3786,W3786,(N3787-MAX(N$470:N3787))/MAX(N$470:N3787))</f>
        <v>-0.62788758315546067</v>
      </c>
      <c r="X3787" s="564">
        <f>IF((O3787-MAX(O$470:O3787))/MAX(O$470:O3787)&gt;X3786,X3786,(O3787-MAX(O$470:O3787))/MAX(O$470:O3787))</f>
        <v>-0.62788758315546067</v>
      </c>
    </row>
    <row r="3788" spans="1:24">
      <c r="A3788" s="799">
        <v>44190</v>
      </c>
      <c r="B3788">
        <v>24050.995106619001</v>
      </c>
      <c r="C3788">
        <v>64803.779669976</v>
      </c>
      <c r="D3788">
        <v>2.87742129</v>
      </c>
      <c r="E3788">
        <f>LN(D3788/参数实验室!$E$53)/参数实验室!$E$55</f>
        <v>0.5539064299931421</v>
      </c>
      <c r="F3788">
        <f t="shared" si="538"/>
        <v>2.6944323668396386</v>
      </c>
      <c r="G3788">
        <f>LN(F3788/参数实验室!$E$58)/参数实验室!$E$59</f>
        <v>0.32969877241942019</v>
      </c>
      <c r="H3788" s="856">
        <f>INDEX(神经网络!$G$10:$BO$70,MATCH(ROUND(G3788*2,1)/2,神经网络!$E$10:$E$70,0),MATCH(ROUND(E3788*2,1)/2,神经网络!$G$8:$BO$8,0))</f>
        <v>2.0742001321041275</v>
      </c>
      <c r="I3788">
        <f t="shared" si="530"/>
        <v>2588590.533004879</v>
      </c>
      <c r="J3788">
        <f t="shared" si="531"/>
        <v>9596.9814080120286</v>
      </c>
      <c r="K3788">
        <f t="shared" si="532"/>
        <v>269.72966008288785</v>
      </c>
      <c r="L3788" s="4">
        <f>MIN(MAX(L3787*(1+MAX(MIN(((B3788-B3787)/B3787)/($K$7*卓尔金历!$N$40),0),-卓尔金历!$M$43))+MIN(MAX(((B3788-B3787)/B3787)/($K$7*卓尔金历!$N$40),0),卓尔金历!$M$43),0),1)</f>
        <v>0.89197226833500987</v>
      </c>
      <c r="M3788" s="4">
        <f>MIN(MAX(M3787*(1+MAX(MIN(((B3788-B3787)/B3787)/($K$7*30),0),-卓尔金历!$M$43))+MIN(MAX(((B3788-B3787)/B3787)/($K$7*7),0),卓尔金历!$M$43),0),1)</f>
        <v>0.94598613416750499</v>
      </c>
      <c r="N3788">
        <f t="shared" si="533"/>
        <v>634152.22875701461</v>
      </c>
      <c r="O3788">
        <f t="shared" si="534"/>
        <v>2223539.7072399976</v>
      </c>
      <c r="P3788">
        <f t="shared" si="535"/>
        <v>-7.0703217634308811E-3</v>
      </c>
      <c r="Q3788">
        <f t="shared" si="536"/>
        <v>3.6018017963967877E-2</v>
      </c>
      <c r="R3788">
        <f t="shared" si="537"/>
        <v>1</v>
      </c>
      <c r="S3788">
        <f t="shared" si="529"/>
        <v>2272.4640442803188</v>
      </c>
      <c r="T3788" s="564">
        <f>IF((I3788-MAX(I$470:I3788))/MAX(I$470:I3788)&gt;T3787,T3787,(I3788-MAX(I$470:I3788))/MAX(I$470:I3788))</f>
        <v>-0.91338805338419748</v>
      </c>
      <c r="U3788" s="564">
        <f>IF((J3788-MAX(J$470:J3788))/MAX(J$470:J3788)&gt;U3787,U3787,(J3788-MAX(J$470:J3788))/MAX(J$470:J3788))</f>
        <v>-0.83569785939843477</v>
      </c>
      <c r="V3788" s="564">
        <f>IF((K3788-MAX(K$470:K3788))/MAX(K$470:K3788)&gt;V3787,V3787,(K3788-MAX(K$470:K3788))/MAX(K$470:K3788))</f>
        <v>-0.84885940676762139</v>
      </c>
      <c r="W3788" s="564">
        <f>IF((N3788-MAX(N$470:N3788))/MAX(N$470:N3788)&gt;W3787,W3787,(N3788-MAX(N$470:N3788))/MAX(N$470:N3788))</f>
        <v>-0.62788758315546067</v>
      </c>
      <c r="X3788" s="564">
        <f>IF((O3788-MAX(O$470:O3788))/MAX(O$470:O3788)&gt;X3787,X3787,(O3788-MAX(O$470:O3788))/MAX(O$470:O3788))</f>
        <v>-0.62788758315546067</v>
      </c>
    </row>
    <row r="3789" spans="1:24">
      <c r="A3789" s="799">
        <v>44191</v>
      </c>
      <c r="B3789">
        <v>25634.772966312699</v>
      </c>
      <c r="C3789">
        <v>65404.662054781802</v>
      </c>
      <c r="D3789">
        <v>3.0673280100000002</v>
      </c>
      <c r="E3789">
        <f>LN(D3789/参数实验室!$E$53)/参数实验室!$E$55</f>
        <v>0.62930719676878943</v>
      </c>
      <c r="F3789">
        <f t="shared" si="538"/>
        <v>2.5514039910059556</v>
      </c>
      <c r="G3789">
        <f>LN(F3789/参数实验室!$E$58)/参数实验室!$E$59</f>
        <v>0.30107125669530027</v>
      </c>
      <c r="H3789" s="856">
        <f>INDEX(神经网络!$G$10:$BO$70,MATCH(ROUND(G3789*2,1)/2,神经网络!$E$10:$E$70,0),MATCH(ROUND(E3789*2,1)/2,神经网络!$G$8:$BO$8,0))</f>
        <v>2.1429777252186515</v>
      </c>
      <c r="I3789">
        <f t="shared" si="530"/>
        <v>2942160.3906352334</v>
      </c>
      <c r="J3789">
        <f t="shared" si="531"/>
        <v>10228.950547189912</v>
      </c>
      <c r="K3789">
        <f t="shared" si="532"/>
        <v>287.63071803524372</v>
      </c>
      <c r="L3789" s="4">
        <f>MIN(MAX(L3788*(1+MAX(MIN(((B3789-B3788)/B3788)/($K$7*卓尔金历!$N$40),0),-卓尔金历!$M$43))+MIN(MAX(((B3789-B3788)/B3788)/($K$7*卓尔金历!$N$40),0),卓尔金历!$M$43),0),1)</f>
        <v>1</v>
      </c>
      <c r="M3789" s="4">
        <f>MIN(MAX(M3788*(1+MAX(MIN(((B3789-B3788)/B3788)/($K$7*30),0),-卓尔金历!$M$43))+MIN(MAX(((B3789-B3788)/B3788)/($K$7*7),0),卓尔金历!$M$43),0),1)</f>
        <v>1</v>
      </c>
      <c r="N3789">
        <f t="shared" si="533"/>
        <v>711412.59286021744</v>
      </c>
      <c r="O3789">
        <f t="shared" si="534"/>
        <v>2510843.6164104328</v>
      </c>
      <c r="P3789">
        <f t="shared" si="535"/>
        <v>6.5850824578057979E-2</v>
      </c>
      <c r="Q3789">
        <f t="shared" si="536"/>
        <v>3.7764651933669E-2</v>
      </c>
      <c r="R3789">
        <f t="shared" si="537"/>
        <v>1.5991336556813365E-2</v>
      </c>
      <c r="S3789">
        <f t="shared" si="529"/>
        <v>2582.8548837591316</v>
      </c>
      <c r="T3789" s="564">
        <f>IF((I3789-MAX(I$470:I3789))/MAX(I$470:I3789)&gt;T3788,T3788,(I3789-MAX(I$470:I3789))/MAX(I$470:I3789))</f>
        <v>-0.91338805338419748</v>
      </c>
      <c r="U3789" s="564">
        <f>IF((J3789-MAX(J$470:J3789))/MAX(J$470:J3789)&gt;U3788,U3788,(J3789-MAX(J$470:J3789))/MAX(J$470:J3789))</f>
        <v>-0.83569785939843477</v>
      </c>
      <c r="V3789" s="564">
        <f>IF((K3789-MAX(K$470:K3789))/MAX(K$470:K3789)&gt;V3788,V3788,(K3789-MAX(K$470:K3789))/MAX(K$470:K3789))</f>
        <v>-0.84885940676762139</v>
      </c>
      <c r="W3789" s="564">
        <f>IF((N3789-MAX(N$470:N3789))/MAX(N$470:N3789)&gt;W3788,W3788,(N3789-MAX(N$470:N3789))/MAX(N$470:N3789))</f>
        <v>-0.62788758315546067</v>
      </c>
      <c r="X3789" s="564">
        <f>IF((O3789-MAX(O$470:O3789))/MAX(O$470:O3789)&gt;X3788,X3788,(O3789-MAX(O$470:O3789))/MAX(O$470:O3789))</f>
        <v>-0.62788758315546067</v>
      </c>
    </row>
    <row r="3790" spans="1:24">
      <c r="A3790" s="799">
        <v>44192</v>
      </c>
      <c r="B3790">
        <v>27398.721915892002</v>
      </c>
      <c r="C3790">
        <v>65690.416789816794</v>
      </c>
      <c r="D3790">
        <v>3.0338697192000001</v>
      </c>
      <c r="E3790">
        <f>LN(D3790/参数实验室!$E$53)/参数实验室!$E$55</f>
        <v>0.6163677955054736</v>
      </c>
      <c r="F3790">
        <f t="shared" si="538"/>
        <v>2.3975723025136646</v>
      </c>
      <c r="G3790">
        <f>LN(F3790/参数实验室!$E$58)/参数实验室!$E$59</f>
        <v>0.26843210185423244</v>
      </c>
      <c r="H3790" s="856">
        <f>INDEX(神经网络!$G$10:$BO$70,MATCH(ROUND(G3790*2,1)/2,神经网络!$E$10:$E$70,0),MATCH(ROUND(E3790*2,1)/2,神经网络!$G$8:$BO$8,0))</f>
        <v>2.0741471086805876</v>
      </c>
      <c r="I3790">
        <f t="shared" si="530"/>
        <v>3376011.3257721392</v>
      </c>
      <c r="J3790">
        <f t="shared" si="531"/>
        <v>10932.812703360574</v>
      </c>
      <c r="K3790">
        <f t="shared" si="532"/>
        <v>308.79622814121808</v>
      </c>
      <c r="L3790" s="4">
        <f>MIN(MAX(L3789*(1+MAX(MIN(((B3790-B3789)/B3789)/($K$7*卓尔金历!$N$40),0),-卓尔金历!$M$43))+MIN(MAX(((B3790-B3789)/B3789)/($K$7*卓尔金历!$N$40),0),卓尔金历!$M$43),0),1)</f>
        <v>1</v>
      </c>
      <c r="M3790" s="4">
        <f>MIN(MAX(M3789*(1+MAX(MIN(((B3790-B3789)/B3789)/($K$7*30),0),-卓尔金历!$M$43))+MIN(MAX(((B3790-B3789)/B3789)/($K$7*7),0),卓尔金历!$M$43),0),1)</f>
        <v>1</v>
      </c>
      <c r="N3790">
        <f t="shared" si="533"/>
        <v>816317.48508260818</v>
      </c>
      <c r="O3790">
        <f t="shared" si="534"/>
        <v>2881092.5853074011</v>
      </c>
      <c r="P3790">
        <f t="shared" si="535"/>
        <v>6.8810788841288037E-2</v>
      </c>
      <c r="Q3790">
        <f t="shared" si="536"/>
        <v>3.9338763599094322E-2</v>
      </c>
      <c r="R3790">
        <f t="shared" si="537"/>
        <v>1.6648540637000418E-2</v>
      </c>
      <c r="S3790">
        <f t="shared" si="529"/>
        <v>2588.9454681249817</v>
      </c>
      <c r="T3790" s="564">
        <f>IF((I3790-MAX(I$470:I3790))/MAX(I$470:I3790)&gt;T3789,T3789,(I3790-MAX(I$470:I3790))/MAX(I$470:I3790))</f>
        <v>-0.91338805338419748</v>
      </c>
      <c r="U3790" s="564">
        <f>IF((J3790-MAX(J$470:J3790))/MAX(J$470:J3790)&gt;U3789,U3789,(J3790-MAX(J$470:J3790))/MAX(J$470:J3790))</f>
        <v>-0.83569785939843477</v>
      </c>
      <c r="V3790" s="564">
        <f>IF((K3790-MAX(K$470:K3790))/MAX(K$470:K3790)&gt;V3789,V3789,(K3790-MAX(K$470:K3790))/MAX(K$470:K3790))</f>
        <v>-0.84885940676762139</v>
      </c>
      <c r="W3790" s="564">
        <f>IF((N3790-MAX(N$470:N3790))/MAX(N$470:N3790)&gt;W3789,W3789,(N3790-MAX(N$470:N3790))/MAX(N$470:N3790))</f>
        <v>-0.62788758315546067</v>
      </c>
      <c r="X3790" s="564">
        <f>IF((O3790-MAX(O$470:O3790))/MAX(O$470:O3790)&gt;X3789,X3789,(O3790-MAX(O$470:O3790))/MAX(O$470:O3790))</f>
        <v>-0.62788758315546067</v>
      </c>
    </row>
    <row r="3791" spans="1:24">
      <c r="A3791" s="799">
        <v>44193</v>
      </c>
      <c r="B3791">
        <v>26964.958916417101</v>
      </c>
      <c r="C3791">
        <v>65426.147478616498</v>
      </c>
      <c r="D3791">
        <v>3.0333612400000001</v>
      </c>
      <c r="E3791">
        <f>LN(D3791/参数实验室!$E$53)/参数实验室!$E$55</f>
        <v>0.61617005126559521</v>
      </c>
      <c r="F3791">
        <f t="shared" si="538"/>
        <v>2.4263395943386006</v>
      </c>
      <c r="G3791">
        <f>LN(F3791/参数实验室!$E$58)/参数实验室!$E$59</f>
        <v>0.27469208700073872</v>
      </c>
      <c r="H3791" s="856">
        <f>INDEX(神经网络!$G$10:$BO$70,MATCH(ROUND(G3791*2,1)/2,神经网络!$E$10:$E$70,0),MATCH(ROUND(E3791*2,1)/2,神经网络!$G$8:$BO$8,0))</f>
        <v>2.0741471086805876</v>
      </c>
      <c r="I3791">
        <f t="shared" si="530"/>
        <v>3265153.6805649977</v>
      </c>
      <c r="J3791">
        <f t="shared" si="531"/>
        <v>10759.729825791881</v>
      </c>
      <c r="K3791">
        <f t="shared" si="532"/>
        <v>303.46056392031136</v>
      </c>
      <c r="L3791" s="4">
        <f>MIN(MAX(L3790*(1+MAX(MIN(((B3791-B3790)/B3790)/($K$7*卓尔金历!$N$40),0),-卓尔金历!$M$43))+MIN(MAX(((B3791-B3790)/B3790)/($K$7*卓尔金历!$N$40),0),卓尔金历!$M$43),0),1)</f>
        <v>0.75810979792744859</v>
      </c>
      <c r="M3791" s="4">
        <f>MIN(MAX(M3790*(1+MAX(MIN(((B3791-B3790)/B3790)/($K$7*30),0),-卓尔金历!$M$43))+MIN(MAX(((B3791-B3790)/B3790)/($K$7*7),0),卓尔金历!$M$43),0),1)</f>
        <v>0.87905489896372424</v>
      </c>
      <c r="N3791">
        <f t="shared" si="533"/>
        <v>789512.17390167597</v>
      </c>
      <c r="O3791">
        <f t="shared" si="534"/>
        <v>2786486.5224684728</v>
      </c>
      <c r="P3791">
        <f t="shared" si="535"/>
        <v>-1.5831504871156275E-2</v>
      </c>
      <c r="Q3791">
        <f t="shared" si="536"/>
        <v>3.9936646259133214E-2</v>
      </c>
      <c r="R3791">
        <f t="shared" si="537"/>
        <v>1</v>
      </c>
      <c r="S3791">
        <f t="shared" si="529"/>
        <v>2587.5301279721248</v>
      </c>
      <c r="T3791" s="564">
        <f>IF((I3791-MAX(I$470:I3791))/MAX(I$470:I3791)&gt;T3790,T3790,(I3791-MAX(I$470:I3791))/MAX(I$470:I3791))</f>
        <v>-0.91338805338419748</v>
      </c>
      <c r="U3791" s="564">
        <f>IF((J3791-MAX(J$470:J3791))/MAX(J$470:J3791)&gt;U3790,U3790,(J3791-MAX(J$470:J3791))/MAX(J$470:J3791))</f>
        <v>-0.83569785939843477</v>
      </c>
      <c r="V3791" s="564">
        <f>IF((K3791-MAX(K$470:K3791))/MAX(K$470:K3791)&gt;V3790,V3790,(K3791-MAX(K$470:K3791))/MAX(K$470:K3791))</f>
        <v>-0.84885940676762139</v>
      </c>
      <c r="W3791" s="564">
        <f>IF((N3791-MAX(N$470:N3791))/MAX(N$470:N3791)&gt;W3790,W3790,(N3791-MAX(N$470:N3791))/MAX(N$470:N3791))</f>
        <v>-0.62788758315546067</v>
      </c>
      <c r="X3791" s="564">
        <f>IF((O3791-MAX(O$470:O3791))/MAX(O$470:O3791)&gt;X3790,X3790,(O3791-MAX(O$470:O3791))/MAX(O$470:O3791))</f>
        <v>-0.62788758315546067</v>
      </c>
    </row>
    <row r="3792" spans="1:24">
      <c r="A3792" s="799">
        <v>44194</v>
      </c>
      <c r="B3792">
        <v>26634.608491911298</v>
      </c>
      <c r="C3792">
        <v>65345.253816776203</v>
      </c>
      <c r="D3792">
        <v>3.0069089500000001</v>
      </c>
      <c r="E3792">
        <f>LN(D3792/参数实验室!$E$53)/参数实验室!$E$55</f>
        <v>0.60583694580489966</v>
      </c>
      <c r="F3792">
        <f t="shared" si="538"/>
        <v>2.453396446079581</v>
      </c>
      <c r="G3792">
        <f>LN(F3792/参数实验室!$E$58)/参数实验室!$E$59</f>
        <v>0.28051250164844732</v>
      </c>
      <c r="H3792" s="856">
        <f>INDEX(神经网络!$G$10:$BO$70,MATCH(ROUND(G3792*2,1)/2,神经网络!$E$10:$E$70,0),MATCH(ROUND(E3792*2,1)/2,神经网络!$G$8:$BO$8,0))</f>
        <v>2.0970091299110161</v>
      </c>
      <c r="I3792">
        <f t="shared" si="530"/>
        <v>3182184.2157571483</v>
      </c>
      <c r="J3792">
        <f t="shared" si="531"/>
        <v>10627.911293209061</v>
      </c>
      <c r="K3792">
        <f t="shared" si="532"/>
        <v>299.41764924124607</v>
      </c>
      <c r="L3792" s="4">
        <f>MIN(MAX(L3791*(1+MAX(MIN(((B3792-B3791)/B3791)/($K$7*卓尔金历!$N$40),0),-卓尔金历!$M$43))+MIN(MAX(((B3792-B3791)/B3791)/($K$7*卓尔金历!$N$40),0),卓尔金历!$M$43),0),1)</f>
        <v>0.61620296934805541</v>
      </c>
      <c r="M3792" s="4">
        <f>MIN(MAX(M3791*(1+MAX(MIN(((B3792-B3791)/B3791)/($K$7*30),0),-卓尔金历!$M$43))+MIN(MAX(((B3792-B3791)/B3791)/($K$7*7),0),卓尔金历!$M$43),0),1)</f>
        <v>0.79678192663164848</v>
      </c>
      <c r="N3792">
        <f t="shared" si="533"/>
        <v>774303.00081767212</v>
      </c>
      <c r="O3792">
        <f t="shared" si="534"/>
        <v>2724243.9394640531</v>
      </c>
      <c r="P3792">
        <f t="shared" si="535"/>
        <v>-1.2251100605411099E-2</v>
      </c>
      <c r="Q3792">
        <f t="shared" si="536"/>
        <v>3.9500715607502672E-2</v>
      </c>
      <c r="R3792">
        <f t="shared" si="537"/>
        <v>1</v>
      </c>
      <c r="S3792">
        <f t="shared" si="529"/>
        <v>2521.7794739769092</v>
      </c>
      <c r="T3792" s="564">
        <f>IF((I3792-MAX(I$470:I3792))/MAX(I$470:I3792)&gt;T3791,T3791,(I3792-MAX(I$470:I3792))/MAX(I$470:I3792))</f>
        <v>-0.91338805338419748</v>
      </c>
      <c r="U3792" s="564">
        <f>IF((J3792-MAX(J$470:J3792))/MAX(J$470:J3792)&gt;U3791,U3791,(J3792-MAX(J$470:J3792))/MAX(J$470:J3792))</f>
        <v>-0.83569785939843477</v>
      </c>
      <c r="V3792" s="564">
        <f>IF((K3792-MAX(K$470:K3792))/MAX(K$470:K3792)&gt;V3791,V3791,(K3792-MAX(K$470:K3792))/MAX(K$470:K3792))</f>
        <v>-0.84885940676762139</v>
      </c>
      <c r="W3792" s="564">
        <f>IF((N3792-MAX(N$470:N3792))/MAX(N$470:N3792)&gt;W3791,W3791,(N3792-MAX(N$470:N3792))/MAX(N$470:N3792))</f>
        <v>-0.62788758315546067</v>
      </c>
      <c r="X3792" s="564">
        <f>IF((O3792-MAX(O$470:O3792))/MAX(O$470:O3792)&gt;X3791,X3791,(O3792-MAX(O$470:O3792))/MAX(O$470:O3792))</f>
        <v>-0.62788758315546067</v>
      </c>
    </row>
    <row r="3793" spans="1:24">
      <c r="A3793" s="799">
        <v>44195</v>
      </c>
      <c r="B3793">
        <v>28176.832293525102</v>
      </c>
      <c r="C3793">
        <v>62732.5913874779</v>
      </c>
      <c r="D3793">
        <v>3.14848763</v>
      </c>
      <c r="E3793">
        <f>LN(D3793/参数实验室!$E$53)/参数实验室!$E$55</f>
        <v>0.66011691580308418</v>
      </c>
      <c r="F3793">
        <f t="shared" si="538"/>
        <v>2.2263890679398175</v>
      </c>
      <c r="G3793">
        <f>LN(F3793/参数实验室!$E$58)/参数实验室!$E$59</f>
        <v>0.22955319023556101</v>
      </c>
      <c r="H3793" s="856">
        <f>INDEX(神经网络!$G$10:$BO$70,MATCH(ROUND(G3793*2,1)/2,神经网络!$E$10:$E$70,0),MATCH(ROUND(E3793*2,1)/2,神经网络!$G$8:$BO$8,0))</f>
        <v>2.1201133118143396</v>
      </c>
      <c r="I3793">
        <f t="shared" si="530"/>
        <v>3568574.9670953932</v>
      </c>
      <c r="J3793">
        <f t="shared" si="531"/>
        <v>11243.299267198048</v>
      </c>
      <c r="K3793">
        <f t="shared" si="532"/>
        <v>317.39571119543103</v>
      </c>
      <c r="L3793" s="4">
        <f>MIN(MAX(L3792*(1+MAX(MIN(((B3793-B3792)/B3792)/($K$7*卓尔金历!$N$40),0),-卓尔金历!$M$43))+MIN(MAX(((B3793-B3792)/B3792)/($K$7*卓尔金历!$N$40),0),卓尔金历!$M$43),0),1)</f>
        <v>1</v>
      </c>
      <c r="M3793" s="4">
        <f>MIN(MAX(M3792*(1+MAX(MIN(((B3793-B3792)/B3792)/($K$7*30),0),-卓尔金历!$M$43))+MIN(MAX(((B3793-B3792)/B3792)/($K$7*7),0),卓尔金历!$M$43),0),1)</f>
        <v>1</v>
      </c>
      <c r="N3793">
        <f t="shared" si="533"/>
        <v>832237.35025363415</v>
      </c>
      <c r="O3793">
        <f t="shared" si="534"/>
        <v>2987808.4147600099</v>
      </c>
      <c r="P3793">
        <f t="shared" si="535"/>
        <v>5.7903002481983677E-2</v>
      </c>
      <c r="Q3793">
        <f t="shared" si="536"/>
        <v>3.9257828276992174E-2</v>
      </c>
      <c r="R3793">
        <f t="shared" si="537"/>
        <v>2.4150011946283381E-2</v>
      </c>
      <c r="S3793">
        <f t="shared" si="529"/>
        <v>2827.9818178998116</v>
      </c>
      <c r="T3793" s="564">
        <f>IF((I3793-MAX(I$470:I3793))/MAX(I$470:I3793)&gt;T3792,T3792,(I3793-MAX(I$470:I3793))/MAX(I$470:I3793))</f>
        <v>-0.91338805338419748</v>
      </c>
      <c r="U3793" s="564">
        <f>IF((J3793-MAX(J$470:J3793))/MAX(J$470:J3793)&gt;U3792,U3792,(J3793-MAX(J$470:J3793))/MAX(J$470:J3793))</f>
        <v>-0.83569785939843477</v>
      </c>
      <c r="V3793" s="564">
        <f>IF((K3793-MAX(K$470:K3793))/MAX(K$470:K3793)&gt;V3792,V3792,(K3793-MAX(K$470:K3793))/MAX(K$470:K3793))</f>
        <v>-0.84885940676762139</v>
      </c>
      <c r="W3793" s="564">
        <f>IF((N3793-MAX(N$470:N3793))/MAX(N$470:N3793)&gt;W3792,W3792,(N3793-MAX(N$470:N3793))/MAX(N$470:N3793))</f>
        <v>-0.62788758315546067</v>
      </c>
      <c r="X3793" s="564">
        <f>IF((O3793-MAX(O$470:O3793))/MAX(O$470:O3793)&gt;X3792,X3792,(O3793-MAX(O$470:O3793))/MAX(O$470:O3793))</f>
        <v>-0.62788758315546067</v>
      </c>
    </row>
    <row r="3794" spans="1:24">
      <c r="A3794" s="799">
        <v>44196</v>
      </c>
      <c r="B3794">
        <v>28815.548890698399</v>
      </c>
      <c r="C3794">
        <v>62141.497354570602</v>
      </c>
      <c r="D3794">
        <v>3.1409964042</v>
      </c>
      <c r="E3794">
        <f>LN(D3794/参数实验室!$E$53)/参数实验室!$E$55</f>
        <v>0.65730657331073439</v>
      </c>
      <c r="F3794">
        <f t="shared" si="538"/>
        <v>2.1565265888316896</v>
      </c>
      <c r="G3794">
        <f>LN(F3794/参数实验室!$E$58)/参数实验室!$E$59</f>
        <v>0.21281971261285651</v>
      </c>
      <c r="H3794" s="856">
        <f>INDEX(神经网络!$G$10:$BO$70,MATCH(ROUND(G3794*2,1)/2,神经网络!$E$10:$E$70,0),MATCH(ROUND(E3794*2,1)/2,神经网络!$G$8:$BO$8,0))</f>
        <v>2.0969204994102686</v>
      </c>
      <c r="I3794">
        <f t="shared" si="530"/>
        <v>3740077.2604987947</v>
      </c>
      <c r="J3794">
        <f t="shared" si="531"/>
        <v>11498.164036031412</v>
      </c>
      <c r="K3794">
        <f t="shared" si="532"/>
        <v>325.27603961629347</v>
      </c>
      <c r="L3794" s="4">
        <f>MIN(MAX(L3793*(1+MAX(MIN(((B3794-B3793)/B3793)/($K$7*卓尔金历!$N$40),0),-卓尔金历!$M$43))+MIN(MAX(((B3794-B3793)/B3793)/($K$7*卓尔金历!$N$40),0),卓尔金历!$M$43),0),1)</f>
        <v>1</v>
      </c>
      <c r="M3794" s="4">
        <f>MIN(MAX(M3793*(1+MAX(MIN(((B3794-B3793)/B3793)/($K$7*30),0),-卓尔金历!$M$43))+MIN(MAX(((B3794-B3793)/B3793)/($K$7*7),0),卓尔金历!$M$43),0),1)</f>
        <v>1</v>
      </c>
      <c r="N3794">
        <f t="shared" si="533"/>
        <v>872233.87983211805</v>
      </c>
      <c r="O3794">
        <f t="shared" si="534"/>
        <v>3131399.624166043</v>
      </c>
      <c r="P3794">
        <f t="shared" si="535"/>
        <v>2.2668147736396593E-2</v>
      </c>
      <c r="Q3794">
        <f t="shared" si="536"/>
        <v>3.85221657908459E-2</v>
      </c>
      <c r="R3794">
        <f t="shared" si="537"/>
        <v>0.59034825156507642</v>
      </c>
      <c r="S3794">
        <f t="shared" si="529"/>
        <v>2831.264048349356</v>
      </c>
      <c r="T3794" s="564">
        <f>IF((I3794-MAX(I$470:I3794))/MAX(I$470:I3794)&gt;T3793,T3793,(I3794-MAX(I$470:I3794))/MAX(I$470:I3794))</f>
        <v>-0.91338805338419748</v>
      </c>
      <c r="U3794" s="564">
        <f>IF((J3794-MAX(J$470:J3794))/MAX(J$470:J3794)&gt;U3793,U3793,(J3794-MAX(J$470:J3794))/MAX(J$470:J3794))</f>
        <v>-0.83569785939843477</v>
      </c>
      <c r="V3794" s="564">
        <f>IF((K3794-MAX(K$470:K3794))/MAX(K$470:K3794)&gt;V3793,V3793,(K3794-MAX(K$470:K3794))/MAX(K$470:K3794))</f>
        <v>-0.84885940676762139</v>
      </c>
      <c r="W3794" s="564">
        <f>IF((N3794-MAX(N$470:N3794))/MAX(N$470:N3794)&gt;W3793,W3793,(N3794-MAX(N$470:N3794))/MAX(N$470:N3794))</f>
        <v>-0.62788758315546067</v>
      </c>
      <c r="X3794" s="564">
        <f>IF((O3794-MAX(O$470:O3794))/MAX(O$470:O3794)&gt;X3793,X3793,(O3794-MAX(O$470:O3794))/MAX(O$470:O3794))</f>
        <v>-0.62788758315546067</v>
      </c>
    </row>
    <row r="3795" spans="1:24">
      <c r="A3795" s="799">
        <v>44197</v>
      </c>
      <c r="B3795">
        <v>29232.196787981298</v>
      </c>
      <c r="C3795">
        <v>61388.264244492399</v>
      </c>
      <c r="D3795">
        <v>3.1459227736000002</v>
      </c>
      <c r="E3795">
        <f>LN(D3795/参数实验室!$E$53)/参数实验室!$E$55</f>
        <v>0.65915546027931771</v>
      </c>
      <c r="F3795">
        <f t="shared" si="538"/>
        <v>2.1000222696137549</v>
      </c>
      <c r="G3795">
        <f>LN(F3795/参数实验室!$E$58)/参数实验室!$E$59</f>
        <v>0.19888435626716383</v>
      </c>
      <c r="H3795" s="856">
        <f>INDEX(神经网络!$G$10:$BO$70,MATCH(ROUND(G3795*2,1)/2,神经网络!$E$10:$E$70,0),MATCH(ROUND(E3795*2,1)/2,神经网络!$G$8:$BO$8,0))</f>
        <v>2.0969204994102686</v>
      </c>
      <c r="I3795">
        <f t="shared" si="530"/>
        <v>3853475.1147673158</v>
      </c>
      <c r="J3795">
        <f t="shared" si="531"/>
        <v>11664.417536403664</v>
      </c>
      <c r="K3795">
        <f t="shared" si="532"/>
        <v>330.36155493756502</v>
      </c>
      <c r="L3795" s="4">
        <f>MIN(MAX(L3794*(1+MAX(MIN(((B3795-B3794)/B3794)/($K$7*卓尔金历!$N$40),0),-卓尔金历!$M$43))+MIN(MAX(((B3795-B3794)/B3794)/($K$7*卓尔金历!$N$40),0),卓尔金历!$M$43),0),1)</f>
        <v>1</v>
      </c>
      <c r="M3795" s="4">
        <f>MIN(MAX(M3794*(1+MAX(MIN(((B3795-B3794)/B3794)/($K$7*30),0),-卓尔金历!$M$43))+MIN(MAX(((B3795-B3794)/B3794)/($K$7*7),0),卓尔金历!$M$43),0),1)</f>
        <v>1</v>
      </c>
      <c r="N3795">
        <f t="shared" si="533"/>
        <v>898679.7106276236</v>
      </c>
      <c r="O3795">
        <f t="shared" si="534"/>
        <v>3226342.5821599979</v>
      </c>
      <c r="P3795">
        <f t="shared" si="535"/>
        <v>1.445913450628012E-2</v>
      </c>
      <c r="Q3795">
        <f t="shared" si="536"/>
        <v>3.8194969472714072E-2</v>
      </c>
      <c r="R3795">
        <f t="shared" si="537"/>
        <v>1</v>
      </c>
      <c r="S3795">
        <f t="shared" si="529"/>
        <v>2881.9412842142692</v>
      </c>
      <c r="T3795" s="564">
        <f>IF((I3795-MAX(I$470:I3795))/MAX(I$470:I3795)&gt;T3794,T3794,(I3795-MAX(I$470:I3795))/MAX(I$470:I3795))</f>
        <v>-0.91338805338419748</v>
      </c>
      <c r="U3795" s="564">
        <f>IF((J3795-MAX(J$470:J3795))/MAX(J$470:J3795)&gt;U3794,U3794,(J3795-MAX(J$470:J3795))/MAX(J$470:J3795))</f>
        <v>-0.83569785939843477</v>
      </c>
      <c r="V3795" s="564">
        <f>IF((K3795-MAX(K$470:K3795))/MAX(K$470:K3795)&gt;V3794,V3794,(K3795-MAX(K$470:K3795))/MAX(K$470:K3795))</f>
        <v>-0.84885940676762139</v>
      </c>
      <c r="W3795" s="564">
        <f>IF((N3795-MAX(N$470:N3795))/MAX(N$470:N3795)&gt;W3794,W3794,(N3795-MAX(N$470:N3795))/MAX(N$470:N3795))</f>
        <v>-0.62788758315546067</v>
      </c>
      <c r="X3795" s="564">
        <f>IF((O3795-MAX(O$470:O3795))/MAX(O$470:O3795)&gt;X3794,X3794,(O3795-MAX(O$470:O3795))/MAX(O$470:O3795))</f>
        <v>-0.62788758315546067</v>
      </c>
    </row>
    <row r="3796" spans="1:24">
      <c r="A3796" s="799">
        <v>44198</v>
      </c>
      <c r="B3796">
        <v>31633.862850630201</v>
      </c>
      <c r="C3796">
        <v>61651.160986283503</v>
      </c>
      <c r="D3796">
        <v>3.3618382599999999</v>
      </c>
      <c r="E3796">
        <f>LN(D3796/参数实验室!$E$53)/参数实验室!$E$55</f>
        <v>0.73746826953215228</v>
      </c>
      <c r="F3796">
        <f t="shared" si="538"/>
        <v>1.9488976505142592</v>
      </c>
      <c r="G3796">
        <f>LN(F3796/参数实验室!$E$58)/参数实验室!$E$59</f>
        <v>0.159686133846035</v>
      </c>
      <c r="H3796" s="856">
        <f>INDEX(神经网络!$G$10:$BO$70,MATCH(ROUND(G3796*2,1)/2,神经网络!$E$10:$E$70,0),MATCH(ROUND(E3796*2,1)/2,神经网络!$G$8:$BO$8,0))</f>
        <v>2.1619308278649001</v>
      </c>
      <c r="I3796">
        <f t="shared" si="530"/>
        <v>4517349.1627583634</v>
      </c>
      <c r="J3796">
        <f t="shared" si="531"/>
        <v>12622.745640888281</v>
      </c>
      <c r="K3796">
        <f t="shared" si="532"/>
        <v>357.87373771721434</v>
      </c>
      <c r="L3796" s="4">
        <f>MIN(MAX(L3795*(1+MAX(MIN(((B3796-B3795)/B3795)/($K$7*卓尔金历!$N$40),0),-卓尔金历!$M$43))+MIN(MAX(((B3796-B3795)/B3795)/($K$7*卓尔金历!$N$40),0),卓尔金历!$M$43),0),1)</f>
        <v>1</v>
      </c>
      <c r="M3796" s="4">
        <f>MIN(MAX(M3795*(1+MAX(MIN(((B3796-B3795)/B3795)/($K$7*30),0),-卓尔金历!$M$43))+MIN(MAX(((B3796-B3795)/B3795)/($K$7*7),0),卓尔金历!$M$43),0),1)</f>
        <v>1</v>
      </c>
      <c r="N3796">
        <f t="shared" si="533"/>
        <v>1053503.6343777601</v>
      </c>
      <c r="O3796">
        <f t="shared" si="534"/>
        <v>3782174.667857476</v>
      </c>
      <c r="P3796">
        <f t="shared" si="535"/>
        <v>8.2158247635919668E-2</v>
      </c>
      <c r="Q3796">
        <f t="shared" si="536"/>
        <v>4.0111747143623262E-2</v>
      </c>
      <c r="R3796">
        <f t="shared" si="537"/>
        <v>1.0810016685286502E-2</v>
      </c>
      <c r="S3796">
        <f t="shared" si="529"/>
        <v>3378.4401506768781</v>
      </c>
      <c r="T3796" s="564">
        <f>IF((I3796-MAX(I$470:I3796))/MAX(I$470:I3796)&gt;T3795,T3795,(I3796-MAX(I$470:I3796))/MAX(I$470:I3796))</f>
        <v>-0.91338805338419748</v>
      </c>
      <c r="U3796" s="564">
        <f>IF((J3796-MAX(J$470:J3796))/MAX(J$470:J3796)&gt;U3795,U3795,(J3796-MAX(J$470:J3796))/MAX(J$470:J3796))</f>
        <v>-0.83569785939843477</v>
      </c>
      <c r="V3796" s="564">
        <f>IF((K3796-MAX(K$470:K3796))/MAX(K$470:K3796)&gt;V3795,V3795,(K3796-MAX(K$470:K3796))/MAX(K$470:K3796))</f>
        <v>-0.84885940676762139</v>
      </c>
      <c r="W3796" s="564">
        <f>IF((N3796-MAX(N$470:N3796))/MAX(N$470:N3796)&gt;W3795,W3795,(N3796-MAX(N$470:N3796))/MAX(N$470:N3796))</f>
        <v>-0.62788758315546067</v>
      </c>
      <c r="X3796" s="564">
        <f>IF((O3796-MAX(O$470:O3796))/MAX(O$470:O3796)&gt;X3795,X3795,(O3796-MAX(O$470:O3796))/MAX(O$470:O3796))</f>
        <v>-0.62788758315546067</v>
      </c>
    </row>
    <row r="3797" spans="1:24">
      <c r="A3797" s="799">
        <v>44199</v>
      </c>
      <c r="B3797">
        <v>33620.657458966802</v>
      </c>
      <c r="C3797">
        <v>61073.229520223002</v>
      </c>
      <c r="D3797">
        <v>3.4336047399999998</v>
      </c>
      <c r="E3797">
        <f>LN(D3797/参数实验室!$E$53)/参数实验室!$E$55</f>
        <v>0.76238787684619347</v>
      </c>
      <c r="F3797">
        <f t="shared" si="538"/>
        <v>1.816538822739008</v>
      </c>
      <c r="G3797">
        <f>LN(F3797/参数实验室!$E$58)/参数实验室!$E$59</f>
        <v>0.12277264483493878</v>
      </c>
      <c r="H3797" s="856">
        <f>INDEX(神经网络!$G$10:$BO$70,MATCH(ROUND(G3797*2,1)/2,神经网络!$E$10:$E$70,0),MATCH(ROUND(E3797*2,1)/2,神经网络!$G$8:$BO$8,0))</f>
        <v>2.1426619901127339</v>
      </c>
      <c r="I3797">
        <f t="shared" si="530"/>
        <v>5130724.3447046643</v>
      </c>
      <c r="J3797">
        <f t="shared" si="531"/>
        <v>13415.529092600742</v>
      </c>
      <c r="K3797">
        <f t="shared" si="532"/>
        <v>382.44666380951651</v>
      </c>
      <c r="L3797" s="4">
        <f>MIN(MAX(L3796*(1+MAX(MIN(((B3797-B3796)/B3796)/($K$7*卓尔金历!$N$40),0),-卓尔金历!$M$43))+MIN(MAX(((B3797-B3796)/B3796)/($K$7*卓尔金历!$N$40),0),卓尔金历!$M$43),0),1)</f>
        <v>1</v>
      </c>
      <c r="M3797" s="4">
        <f>MIN(MAX(M3796*(1+MAX(MIN(((B3797-B3796)/B3796)/($K$7*30),0),-卓尔金历!$M$43))+MIN(MAX(((B3797-B3796)/B3796)/($K$7*7),0),卓尔金历!$M$43),0),1)</f>
        <v>1</v>
      </c>
      <c r="N3797">
        <f t="shared" si="533"/>
        <v>1196550.5763199173</v>
      </c>
      <c r="O3797">
        <f t="shared" si="534"/>
        <v>4295726.308756806</v>
      </c>
      <c r="P3797">
        <f t="shared" si="535"/>
        <v>6.2805943672383985E-2</v>
      </c>
      <c r="Q3797">
        <f t="shared" si="536"/>
        <v>4.0695074375740305E-2</v>
      </c>
      <c r="R3797">
        <f t="shared" si="537"/>
        <v>2.2705549250083328E-2</v>
      </c>
      <c r="S3797">
        <f t="shared" si="529"/>
        <v>3383.3990482022368</v>
      </c>
      <c r="T3797" s="564">
        <f>IF((I3797-MAX(I$470:I3797))/MAX(I$470:I3797)&gt;T3796,T3796,(I3797-MAX(I$470:I3797))/MAX(I$470:I3797))</f>
        <v>-0.91338805338419748</v>
      </c>
      <c r="U3797" s="564">
        <f>IF((J3797-MAX(J$470:J3797))/MAX(J$470:J3797)&gt;U3796,U3796,(J3797-MAX(J$470:J3797))/MAX(J$470:J3797))</f>
        <v>-0.83569785939843477</v>
      </c>
      <c r="V3797" s="564">
        <f>IF((K3797-MAX(K$470:K3797))/MAX(K$470:K3797)&gt;V3796,V3796,(K3797-MAX(K$470:K3797))/MAX(K$470:K3797))</f>
        <v>-0.84885940676762139</v>
      </c>
      <c r="W3797" s="564">
        <f>IF((N3797-MAX(N$470:N3797))/MAX(N$470:N3797)&gt;W3796,W3796,(N3797-MAX(N$470:N3797))/MAX(N$470:N3797))</f>
        <v>-0.62788758315546067</v>
      </c>
      <c r="X3797" s="564">
        <f>IF((O3797-MAX(O$470:O3797))/MAX(O$470:O3797)&gt;X3796,X3796,(O3797-MAX(O$470:O3797))/MAX(O$470:O3797))</f>
        <v>-0.62788758315546067</v>
      </c>
    </row>
    <row r="3798" spans="1:24">
      <c r="A3798" s="799">
        <v>44200</v>
      </c>
      <c r="B3798">
        <v>31765.754834512099</v>
      </c>
      <c r="C3798">
        <v>59889.216498125497</v>
      </c>
      <c r="D3798">
        <v>3.2392637</v>
      </c>
      <c r="E3798">
        <f>LN(D3798/参数实验室!$E$53)/参数实验室!$E$55</f>
        <v>0.6936500224049289</v>
      </c>
      <c r="F3798">
        <f t="shared" si="538"/>
        <v>1.8853390013908466</v>
      </c>
      <c r="G3798">
        <f>LN(F3798/参数实验室!$E$58)/参数实验室!$E$59</f>
        <v>0.1422839372650784</v>
      </c>
      <c r="H3798" s="856">
        <f>INDEX(神经网络!$G$10:$BO$70,MATCH(ROUND(G3798*2,1)/2,神经网络!$E$10:$E$70,0),MATCH(ROUND(E3798*2,1)/2,神经网络!$G$8:$BO$8,0))</f>
        <v>2.1199718993930188</v>
      </c>
      <c r="I3798">
        <f t="shared" si="530"/>
        <v>4524201.3627856169</v>
      </c>
      <c r="J3798">
        <f t="shared" si="531"/>
        <v>12675.374021193098</v>
      </c>
      <c r="K3798">
        <f t="shared" si="532"/>
        <v>356.9284310838637</v>
      </c>
      <c r="L3798" s="4">
        <f>MIN(MAX(L3797*(1+MAX(MIN(((B3798-B3797)/B3797)/($K$7*卓尔金历!$N$40),0),-卓尔金历!$M$43))+MIN(MAX(((B3798-B3797)/B3797)/($K$7*卓尔金历!$N$40),0),卓尔金历!$M$43),0),1)</f>
        <v>0.15703218714957778</v>
      </c>
      <c r="M3798" s="4">
        <f>MIN(MAX(M3797*(1+MAX(MIN(((B3798-B3797)/B3797)/($K$7*30),0),-卓尔金历!$M$43))+MIN(MAX(((B3798-B3797)/B3797)/($K$7*7),0),卓尔金历!$M$43),0),1)</f>
        <v>0.57851609357478884</v>
      </c>
      <c r="N3798">
        <f t="shared" si="533"/>
        <v>1055101.655113396</v>
      </c>
      <c r="O3798">
        <f t="shared" si="534"/>
        <v>3787911.7088583866</v>
      </c>
      <c r="P3798">
        <f t="shared" si="535"/>
        <v>-5.5171515510027309E-2</v>
      </c>
      <c r="Q3798">
        <f t="shared" si="536"/>
        <v>4.4055172355959696E-2</v>
      </c>
      <c r="R3798">
        <f t="shared" si="537"/>
        <v>3.1538518594205131E-2</v>
      </c>
      <c r="S3798">
        <f t="shared" si="529"/>
        <v>3374.3176271031425</v>
      </c>
      <c r="T3798" s="564">
        <f>IF((I3798-MAX(I$470:I3798))/MAX(I$470:I3798)&gt;T3797,T3797,(I3798-MAX(I$470:I3798))/MAX(I$470:I3798))</f>
        <v>-0.91338805338419748</v>
      </c>
      <c r="U3798" s="564">
        <f>IF((J3798-MAX(J$470:J3798))/MAX(J$470:J3798)&gt;U3797,U3797,(J3798-MAX(J$470:J3798))/MAX(J$470:J3798))</f>
        <v>-0.83569785939843477</v>
      </c>
      <c r="V3798" s="564">
        <f>IF((K3798-MAX(K$470:K3798))/MAX(K$470:K3798)&gt;V3797,V3797,(K3798-MAX(K$470:K3798))/MAX(K$470:K3798))</f>
        <v>-0.84885940676762139</v>
      </c>
      <c r="W3798" s="564">
        <f>IF((N3798-MAX(N$470:N3798))/MAX(N$470:N3798)&gt;W3797,W3797,(N3798-MAX(N$470:N3798))/MAX(N$470:N3798))</f>
        <v>-0.62788758315546067</v>
      </c>
      <c r="X3798" s="564">
        <f>IF((O3798-MAX(O$470:O3798))/MAX(O$470:O3798)&gt;X3797,X3797,(O3798-MAX(O$470:O3798))/MAX(O$470:O3798))</f>
        <v>-0.62788758315546067</v>
      </c>
    </row>
    <row r="3799" spans="1:24">
      <c r="A3799" s="799">
        <v>44201</v>
      </c>
      <c r="B3799">
        <v>32105.6021491912</v>
      </c>
      <c r="C3799">
        <v>59052.951813077001</v>
      </c>
      <c r="D3799">
        <v>3.4078157400000002</v>
      </c>
      <c r="E3799">
        <f>LN(D3799/参数实验室!$E$53)/参数实验室!$E$55</f>
        <v>0.75349358344482376</v>
      </c>
      <c r="F3799">
        <f t="shared" si="538"/>
        <v>1.839334815732919</v>
      </c>
      <c r="G3799">
        <f>LN(F3799/参数实验室!$E$58)/参数实验室!$E$59</f>
        <v>0.1293181249797912</v>
      </c>
      <c r="H3799" s="856">
        <f>INDEX(神经网络!$G$10:$BO$70,MATCH(ROUND(G3799*2,1)/2,神经网络!$E$10:$E$70,0),MATCH(ROUND(E3799*2,1)/2,神经网络!$G$8:$BO$8,0))</f>
        <v>2.1619308278649001</v>
      </c>
      <c r="I3799">
        <f t="shared" si="530"/>
        <v>4626813.0180654759</v>
      </c>
      <c r="J3799">
        <f t="shared" si="531"/>
        <v>12810.982063441652</v>
      </c>
      <c r="K3799">
        <f t="shared" si="532"/>
        <v>361.15990133721954</v>
      </c>
      <c r="L3799" s="4">
        <f>MIN(MAX(L3798*(1+MAX(MIN(((B3799-B3798)/B3798)/($K$7*卓尔金历!$N$40),0),-卓尔金历!$M$43))+MIN(MAX(((B3799-B3798)/B3798)/($K$7*卓尔金历!$N$40),0),卓尔金历!$M$43),0),1)</f>
        <v>0.32049566750056779</v>
      </c>
      <c r="M3799" s="4">
        <f>MIN(MAX(M3798*(1+MAX(MIN(((B3799-B3798)/B3798)/($K$7*30),0),-卓尔金历!$M$43))+MIN(MAX(((B3799-B3798)/B3798)/($K$7*7),0),卓尔金历!$M$43),0),1)</f>
        <v>0.92879498004119598</v>
      </c>
      <c r="N3799">
        <f t="shared" si="533"/>
        <v>1058859.4904949507</v>
      </c>
      <c r="O3799">
        <f t="shared" si="534"/>
        <v>3837613.273385792</v>
      </c>
      <c r="P3799">
        <f t="shared" si="535"/>
        <v>1.0698543650216398E-2</v>
      </c>
      <c r="Q3799">
        <f t="shared" si="536"/>
        <v>4.405688760899152E-2</v>
      </c>
      <c r="R3799">
        <f t="shared" si="537"/>
        <v>1</v>
      </c>
      <c r="S3799">
        <f t="shared" ref="S3799:S3862" si="539">S3798*(1+(B3799-B3798)/B3798*H3798*R3798)</f>
        <v>3376.7313200312738</v>
      </c>
      <c r="T3799" s="564">
        <f>IF((I3799-MAX(I$470:I3799))/MAX(I$470:I3799)&gt;T3798,T3798,(I3799-MAX(I$470:I3799))/MAX(I$470:I3799))</f>
        <v>-0.91338805338419748</v>
      </c>
      <c r="U3799" s="564">
        <f>IF((J3799-MAX(J$470:J3799))/MAX(J$470:J3799)&gt;U3798,U3798,(J3799-MAX(J$470:J3799))/MAX(J$470:J3799))</f>
        <v>-0.83569785939843477</v>
      </c>
      <c r="V3799" s="564">
        <f>IF((K3799-MAX(K$470:K3799))/MAX(K$470:K3799)&gt;V3798,V3798,(K3799-MAX(K$470:K3799))/MAX(K$470:K3799))</f>
        <v>-0.84885940676762139</v>
      </c>
      <c r="W3799" s="564">
        <f>IF((N3799-MAX(N$470:N3799))/MAX(N$470:N3799)&gt;W3798,W3798,(N3799-MAX(N$470:N3799))/MAX(N$470:N3799))</f>
        <v>-0.62788758315546067</v>
      </c>
      <c r="X3799" s="564">
        <f>IF((O3799-MAX(O$470:O3799))/MAX(O$470:O3799)&gt;X3798,X3798,(O3799-MAX(O$470:O3799))/MAX(O$470:O3799))</f>
        <v>-0.62788758315546067</v>
      </c>
    </row>
    <row r="3800" spans="1:24">
      <c r="A3800" s="799">
        <v>44202</v>
      </c>
      <c r="B3800">
        <v>34600.631840188304</v>
      </c>
      <c r="C3800">
        <v>57999.071866879902</v>
      </c>
      <c r="D3800">
        <v>3.6009570800000001</v>
      </c>
      <c r="E3800">
        <f>LN(D3800/参数实验室!$E$53)/参数实验室!$E$55</f>
        <v>0.81853116784241486</v>
      </c>
      <c r="F3800">
        <f t="shared" si="538"/>
        <v>1.6762431430374787</v>
      </c>
      <c r="G3800">
        <f>LN(F3800/参数实验室!$E$58)/参数实验室!$E$59</f>
        <v>8.0585989659442692E-2</v>
      </c>
      <c r="H3800" s="856">
        <f>INDEX(神经网络!$G$10:$BO$70,MATCH(ROUND(G3800*2,1)/2,神经网络!$E$10:$E$70,0),MATCH(ROUND(E3800*2,1)/2,神经网络!$G$8:$BO$8,0))</f>
        <v>2.1823191498995071</v>
      </c>
      <c r="I3800">
        <f t="shared" ref="I3800:I3863" si="540">I3799*(1+(B3800-B3799)/B3799*H3799)</f>
        <v>5404166.6673264522</v>
      </c>
      <c r="J3800">
        <f t="shared" ref="J3800:J3863" si="541">J3799*B3800/B3799</f>
        <v>13806.564718162972</v>
      </c>
      <c r="K3800">
        <f t="shared" ref="K3800:K3863" si="542">I3800/J3800</f>
        <v>391.42008005924168</v>
      </c>
      <c r="L3800" s="4">
        <f>MIN(MAX(L3799*(1+MAX(MIN(((B3800-B3799)/B3799)/($K$7*卓尔金历!$N$40),0),-卓尔金历!$M$43))+MIN(MAX(((B3800-B3799)/B3799)/($K$7*卓尔金历!$N$40),0),卓尔金历!$M$43),0),1)</f>
        <v>1</v>
      </c>
      <c r="M3800" s="4">
        <f>MIN(MAX(M3799*(1+MAX(MIN(((B3800-B3799)/B3799)/($K$7*30),0),-卓尔金历!$M$43))+MIN(MAX(((B3800-B3799)/B3799)/($K$7*7),0),卓尔金历!$M$43),0),1)</f>
        <v>1</v>
      </c>
      <c r="N3800">
        <f t="shared" ref="N3800:N3863" si="543">N3799*(1+(B3800-B3799)/B3799*H3799*L3799)</f>
        <v>1115875.5487353324</v>
      </c>
      <c r="O3800">
        <f t="shared" ref="O3800:O3863" si="544">O3799*(1+(B3800-B3799)/B3799*H3799*M3799)</f>
        <v>4436462.8679665094</v>
      </c>
      <c r="P3800">
        <f t="shared" ref="P3800:P3863" si="545">(B3800-B3799)/B3799</f>
        <v>7.771321900156164E-2</v>
      </c>
      <c r="Q3800">
        <f t="shared" si="536"/>
        <v>4.4680044207429999E-2</v>
      </c>
      <c r="R3800">
        <f t="shared" si="537"/>
        <v>1.967147045598697E-2</v>
      </c>
      <c r="S3800">
        <f t="shared" si="539"/>
        <v>3944.0579882910711</v>
      </c>
      <c r="T3800" s="564">
        <f>IF((I3800-MAX(I$470:I3800))/MAX(I$470:I3800)&gt;T3799,T3799,(I3800-MAX(I$470:I3800))/MAX(I$470:I3800))</f>
        <v>-0.91338805338419748</v>
      </c>
      <c r="U3800" s="564">
        <f>IF((J3800-MAX(J$470:J3800))/MAX(J$470:J3800)&gt;U3799,U3799,(J3800-MAX(J$470:J3800))/MAX(J$470:J3800))</f>
        <v>-0.83569785939843477</v>
      </c>
      <c r="V3800" s="564">
        <f>IF((K3800-MAX(K$470:K3800))/MAX(K$470:K3800)&gt;V3799,V3799,(K3800-MAX(K$470:K3800))/MAX(K$470:K3800))</f>
        <v>-0.84885940676762139</v>
      </c>
      <c r="W3800" s="564">
        <f>IF((N3800-MAX(N$470:N3800))/MAX(N$470:N3800)&gt;W3799,W3799,(N3800-MAX(N$470:N3800))/MAX(N$470:N3800))</f>
        <v>-0.62788758315546067</v>
      </c>
      <c r="X3800" s="564">
        <f>IF((O3800-MAX(O$470:O3800))/MAX(O$470:O3800)&gt;X3799,X3799,(O3800-MAX(O$470:O3800))/MAX(O$470:O3800))</f>
        <v>-0.62788758315546067</v>
      </c>
    </row>
    <row r="3801" spans="1:24">
      <c r="A3801" s="799">
        <v>44203</v>
      </c>
      <c r="B3801">
        <v>38948.593008201002</v>
      </c>
      <c r="C3801">
        <v>57083.997091739198</v>
      </c>
      <c r="D3801">
        <v>3.7420470733000002</v>
      </c>
      <c r="E3801">
        <f>LN(D3801/参数实验室!$E$53)/参数实验室!$E$55</f>
        <v>0.86387279156315466</v>
      </c>
      <c r="F3801">
        <f t="shared" si="538"/>
        <v>1.4656241132951737</v>
      </c>
      <c r="G3801">
        <f>LN(F3801/参数实验室!$E$58)/参数实验室!$E$59</f>
        <v>1.0111791782272238E-2</v>
      </c>
      <c r="H3801" s="856">
        <f>INDEX(神经网络!$G$10:$BO$70,MATCH(ROUND(G3801*2,1)/2,神经网络!$E$10:$E$70,0),MATCH(ROUND(E3801*2,1)/2,神经网络!$G$8:$BO$8,0))</f>
        <v>2.1818016621009528</v>
      </c>
      <c r="I3801">
        <f t="shared" si="540"/>
        <v>6886168.1060995534</v>
      </c>
      <c r="J3801">
        <f t="shared" si="541"/>
        <v>15541.51590447345</v>
      </c>
      <c r="K3801">
        <f t="shared" si="542"/>
        <v>443.08213873251884</v>
      </c>
      <c r="L3801" s="4">
        <f>MIN(MAX(L3800*(1+MAX(MIN(((B3801-B3800)/B3800)/($K$7*卓尔金历!$N$40),0),-卓尔金历!$M$43))+MIN(MAX(((B3801-B3800)/B3800)/($K$7*卓尔金历!$N$40),0),卓尔金历!$M$43),0),1)</f>
        <v>1</v>
      </c>
      <c r="M3801" s="4">
        <f>MIN(MAX(M3800*(1+MAX(MIN(((B3801-B3800)/B3800)/($K$7*30),0),-卓尔金历!$M$43))+MIN(MAX(((B3801-B3800)/B3800)/($K$7*7),0),卓尔金历!$M$43),0),1)</f>
        <v>1</v>
      </c>
      <c r="N3801">
        <f t="shared" si="543"/>
        <v>1421885.5722077617</v>
      </c>
      <c r="O3801">
        <f t="shared" si="544"/>
        <v>5653087.8830944225</v>
      </c>
      <c r="P3801">
        <f t="shared" si="545"/>
        <v>0.12566132283638193</v>
      </c>
      <c r="Q3801">
        <f t="shared" si="536"/>
        <v>4.4467098950836205E-2</v>
      </c>
      <c r="R3801">
        <f t="shared" si="537"/>
        <v>0</v>
      </c>
      <c r="S3801">
        <f t="shared" si="539"/>
        <v>3965.3344794565937</v>
      </c>
      <c r="T3801" s="564">
        <f>IF((I3801-MAX(I$470:I3801))/MAX(I$470:I3801)&gt;T3800,T3800,(I3801-MAX(I$470:I3801))/MAX(I$470:I3801))</f>
        <v>-0.91338805338419748</v>
      </c>
      <c r="U3801" s="564">
        <f>IF((J3801-MAX(J$470:J3801))/MAX(J$470:J3801)&gt;U3800,U3800,(J3801-MAX(J$470:J3801))/MAX(J$470:J3801))</f>
        <v>-0.83569785939843477</v>
      </c>
      <c r="V3801" s="564">
        <f>IF((K3801-MAX(K$470:K3801))/MAX(K$470:K3801)&gt;V3800,V3800,(K3801-MAX(K$470:K3801))/MAX(K$470:K3801))</f>
        <v>-0.84885940676762139</v>
      </c>
      <c r="W3801" s="564">
        <f>IF((N3801-MAX(N$470:N3801))/MAX(N$470:N3801)&gt;W3800,W3800,(N3801-MAX(N$470:N3801))/MAX(N$470:N3801))</f>
        <v>-0.62788758315546067</v>
      </c>
      <c r="X3801" s="564">
        <f>IF((O3801-MAX(O$470:O3801))/MAX(O$470:O3801)&gt;X3800,X3800,(O3801-MAX(O$470:O3801))/MAX(O$470:O3801))</f>
        <v>-0.62788758315546067</v>
      </c>
    </row>
    <row r="3802" spans="1:24">
      <c r="A3802" s="799">
        <v>44204</v>
      </c>
      <c r="B3802">
        <v>40720.060221692998</v>
      </c>
      <c r="C3802">
        <v>56750.976086578703</v>
      </c>
      <c r="D3802">
        <v>3.7886387400000001</v>
      </c>
      <c r="E3802">
        <f>LN(D3802/参数实验室!$E$53)/参数实验室!$E$55</f>
        <v>0.87847102939843402</v>
      </c>
      <c r="F3802">
        <f t="shared" si="538"/>
        <v>1.3936859566908371</v>
      </c>
      <c r="G3802">
        <f>LN(F3802/参数实验室!$E$58)/参数实验室!$E$59</f>
        <v>-1.6303672817624983E-2</v>
      </c>
      <c r="H3802" s="856">
        <f>INDEX(神经网络!$G$10:$BO$70,MATCH(ROUND(G3802*2,1)/2,神经网络!$E$10:$E$70,0),MATCH(ROUND(E3802*2,1)/2,神经网络!$G$8:$BO$8,0))</f>
        <v>2.2169021480524269</v>
      </c>
      <c r="I3802">
        <f t="shared" si="540"/>
        <v>7569504.0002989043</v>
      </c>
      <c r="J3802">
        <f t="shared" si="541"/>
        <v>16248.378046244325</v>
      </c>
      <c r="K3802">
        <f t="shared" si="542"/>
        <v>465.86212966952297</v>
      </c>
      <c r="L3802" s="4">
        <f>MIN(MAX(L3801*(1+MAX(MIN(((B3802-B3801)/B3801)/($K$7*卓尔金历!$N$40),0),-卓尔金历!$M$43))+MIN(MAX(((B3802-B3801)/B3801)/($K$7*卓尔金历!$N$40),0),卓尔金历!$M$43),0),1)</f>
        <v>1</v>
      </c>
      <c r="M3802" s="4">
        <f>MIN(MAX(M3801*(1+MAX(MIN(((B3802-B3801)/B3801)/($K$7*30),0),-卓尔金历!$M$43))+MIN(MAX(((B3802-B3801)/B3801)/($K$7*7),0),卓尔金历!$M$43),0),1)</f>
        <v>1</v>
      </c>
      <c r="N3802">
        <f t="shared" si="543"/>
        <v>1562983.7031222701</v>
      </c>
      <c r="O3802">
        <f t="shared" si="544"/>
        <v>6214061.3888327088</v>
      </c>
      <c r="P3802">
        <f t="shared" si="545"/>
        <v>4.5482187588111254E-2</v>
      </c>
      <c r="Q3802">
        <f t="shared" si="536"/>
        <v>4.2716204188556497E-2</v>
      </c>
      <c r="R3802">
        <f t="shared" si="537"/>
        <v>4.167712509480883E-2</v>
      </c>
      <c r="S3802">
        <f t="shared" si="539"/>
        <v>3965.3344794565937</v>
      </c>
      <c r="T3802" s="564">
        <f>IF((I3802-MAX(I$470:I3802))/MAX(I$470:I3802)&gt;T3801,T3801,(I3802-MAX(I$470:I3802))/MAX(I$470:I3802))</f>
        <v>-0.91338805338419748</v>
      </c>
      <c r="U3802" s="564">
        <f>IF((J3802-MAX(J$470:J3802))/MAX(J$470:J3802)&gt;U3801,U3801,(J3802-MAX(J$470:J3802))/MAX(J$470:J3802))</f>
        <v>-0.83569785939843477</v>
      </c>
      <c r="V3802" s="564">
        <f>IF((K3802-MAX(K$470:K3802))/MAX(K$470:K3802)&gt;V3801,V3801,(K3802-MAX(K$470:K3802))/MAX(K$470:K3802))</f>
        <v>-0.84885940676762139</v>
      </c>
      <c r="W3802" s="564">
        <f>IF((N3802-MAX(N$470:N3802))/MAX(N$470:N3802)&gt;W3801,W3801,(N3802-MAX(N$470:N3802))/MAX(N$470:N3802))</f>
        <v>-0.62788758315546067</v>
      </c>
      <c r="X3802" s="564">
        <f>IF((O3802-MAX(O$470:O3802))/MAX(O$470:O3802)&gt;X3801,X3801,(O3802-MAX(O$470:O3802))/MAX(O$470:O3802))</f>
        <v>-0.62788758315546067</v>
      </c>
    </row>
    <row r="3803" spans="1:24">
      <c r="A3803" s="799">
        <v>44205</v>
      </c>
      <c r="B3803">
        <v>40687.726816912902</v>
      </c>
      <c r="C3803">
        <v>56420.033970539102</v>
      </c>
      <c r="D3803">
        <v>3.6883279</v>
      </c>
      <c r="E3803">
        <f>LN(D3803/参数实验室!$E$53)/参数实验室!$E$55</f>
        <v>0.84681403654802556</v>
      </c>
      <c r="F3803">
        <f t="shared" si="538"/>
        <v>1.3866597714937139</v>
      </c>
      <c r="G3803">
        <f>LN(F3803/参数实验室!$E$58)/参数实验室!$E$59</f>
        <v>-1.8956385766922493E-2</v>
      </c>
      <c r="H3803" s="856">
        <f>INDEX(神经网络!$G$10:$BO$70,MATCH(ROUND(G3803*2,1)/2,神经网络!$E$10:$E$70,0),MATCH(ROUND(E3803*2,1)/2,神经网络!$G$8:$BO$8,0))</f>
        <v>2.1818016621009528</v>
      </c>
      <c r="I3803">
        <f t="shared" si="540"/>
        <v>7556179.3145730672</v>
      </c>
      <c r="J3803">
        <f t="shared" si="541"/>
        <v>16235.476164922709</v>
      </c>
      <c r="K3803">
        <f t="shared" si="542"/>
        <v>465.41162315266405</v>
      </c>
      <c r="L3803" s="4">
        <f>MIN(MAX(L3802*(1+MAX(MIN(((B3803-B3802)/B3802)/($K$7*卓尔金历!$N$40),0),-卓尔金历!$M$43))+MIN(MAX(((B3803-B3802)/B3802)/($K$7*卓尔金历!$N$40),0),卓尔金历!$M$43),0),1)</f>
        <v>0.98786781271189616</v>
      </c>
      <c r="M3803" s="4">
        <f>MIN(MAX(M3802*(1+MAX(MIN(((B3803-B3802)/B3802)/($K$7*30),0),-卓尔金历!$M$43))+MIN(MAX(((B3803-B3802)/B3802)/($K$7*7),0),卓尔金历!$M$43),0),1)</f>
        <v>0.99393390635594803</v>
      </c>
      <c r="N3803">
        <f t="shared" si="543"/>
        <v>1560232.3647732993</v>
      </c>
      <c r="O3803">
        <f t="shared" si="544"/>
        <v>6203122.7044639597</v>
      </c>
      <c r="P3803">
        <f t="shared" si="545"/>
        <v>-7.9404118275029417E-4</v>
      </c>
      <c r="Q3803">
        <f t="shared" si="536"/>
        <v>4.307265518948767E-2</v>
      </c>
      <c r="R3803">
        <f t="shared" si="537"/>
        <v>1</v>
      </c>
      <c r="S3803">
        <f t="shared" si="539"/>
        <v>3965.0435637753917</v>
      </c>
      <c r="T3803" s="564">
        <f>IF((I3803-MAX(I$470:I3803))/MAX(I$470:I3803)&gt;T3802,T3802,(I3803-MAX(I$470:I3803))/MAX(I$470:I3803))</f>
        <v>-0.91338805338419748</v>
      </c>
      <c r="U3803" s="564">
        <f>IF((J3803-MAX(J$470:J3803))/MAX(J$470:J3803)&gt;U3802,U3802,(J3803-MAX(J$470:J3803))/MAX(J$470:J3803))</f>
        <v>-0.83569785939843477</v>
      </c>
      <c r="V3803" s="564">
        <f>IF((K3803-MAX(K$470:K3803))/MAX(K$470:K3803)&gt;V3802,V3802,(K3803-MAX(K$470:K3803))/MAX(K$470:K3803))</f>
        <v>-0.84885940676762139</v>
      </c>
      <c r="W3803" s="564">
        <f>IF((N3803-MAX(N$470:N3803))/MAX(N$470:N3803)&gt;W3802,W3802,(N3803-MAX(N$470:N3803))/MAX(N$470:N3803))</f>
        <v>-0.62788758315546067</v>
      </c>
      <c r="X3803" s="564">
        <f>IF((O3803-MAX(O$470:O3803))/MAX(O$470:O3803)&gt;X3802,X3802,(O3803-MAX(O$470:O3803))/MAX(O$470:O3803))</f>
        <v>-0.62788758315546067</v>
      </c>
    </row>
    <row r="3804" spans="1:24">
      <c r="A3804" s="799">
        <v>44206</v>
      </c>
      <c r="B3804">
        <v>39740.062177750697</v>
      </c>
      <c r="C3804">
        <v>55648.100373436901</v>
      </c>
      <c r="D3804">
        <v>3.47615243</v>
      </c>
      <c r="E3804">
        <f>LN(D3804/参数实验室!$E$53)/参数实验室!$E$55</f>
        <v>0.77691701542337721</v>
      </c>
      <c r="F3804">
        <f t="shared" si="538"/>
        <v>1.4003022975790071</v>
      </c>
      <c r="G3804">
        <f>LN(F3804/参数实验室!$E$58)/参数实验室!$E$59</f>
        <v>-1.3817893035674354E-2</v>
      </c>
      <c r="H3804" s="856">
        <f>INDEX(神经网络!$G$10:$BO$70,MATCH(ROUND(G3804*2,1)/2,神经网络!$E$10:$E$70,0),MATCH(ROUND(E3804*2,1)/2,神经网络!$G$8:$BO$8,0))</f>
        <v>2.1421607976683701</v>
      </c>
      <c r="I3804">
        <f t="shared" si="540"/>
        <v>7172199.1656630011</v>
      </c>
      <c r="J3804">
        <f t="shared" si="541"/>
        <v>15857.332978632376</v>
      </c>
      <c r="K3804">
        <f t="shared" si="542"/>
        <v>452.29542542415425</v>
      </c>
      <c r="L3804" s="4">
        <f>MIN(MAX(L3803*(1+MAX(MIN(((B3804-B3803)/B3803)/($K$7*卓尔金历!$N$40),0),-卓尔金历!$M$43))+MIN(MAX(((B3804-B3803)/B3803)/($K$7*卓尔金历!$N$40),0),卓尔金历!$M$43),0),1)</f>
        <v>0.63631857339898357</v>
      </c>
      <c r="M3804" s="4">
        <f>MIN(MAX(M3803*(1+MAX(MIN(((B3804-B3803)/B3803)/($K$7*30),0),-卓尔金历!$M$43))+MIN(MAX(((B3804-B3803)/B3803)/($K$7*7),0),卓尔金历!$M$43),0),1)</f>
        <v>0.81707992639504312</v>
      </c>
      <c r="N3804">
        <f t="shared" si="543"/>
        <v>1481908.405153167</v>
      </c>
      <c r="O3804">
        <f t="shared" si="544"/>
        <v>5889812.6044164645</v>
      </c>
      <c r="P3804">
        <f t="shared" si="545"/>
        <v>-2.3291166975892202E-2</v>
      </c>
      <c r="Q3804">
        <f t="shared" si="536"/>
        <v>4.4327390542450093E-2</v>
      </c>
      <c r="R3804">
        <f t="shared" si="537"/>
        <v>0.71431973411644512</v>
      </c>
      <c r="S3804">
        <f t="shared" si="539"/>
        <v>3763.5531074654095</v>
      </c>
      <c r="T3804" s="564">
        <f>IF((I3804-MAX(I$470:I3804))/MAX(I$470:I3804)&gt;T3803,T3803,(I3804-MAX(I$470:I3804))/MAX(I$470:I3804))</f>
        <v>-0.91338805338419748</v>
      </c>
      <c r="U3804" s="564">
        <f>IF((J3804-MAX(J$470:J3804))/MAX(J$470:J3804)&gt;U3803,U3803,(J3804-MAX(J$470:J3804))/MAX(J$470:J3804))</f>
        <v>-0.83569785939843477</v>
      </c>
      <c r="V3804" s="564">
        <f>IF((K3804-MAX(K$470:K3804))/MAX(K$470:K3804)&gt;V3803,V3803,(K3804-MAX(K$470:K3804))/MAX(K$470:K3804))</f>
        <v>-0.84885940676762139</v>
      </c>
      <c r="W3804" s="564">
        <f>IF((N3804-MAX(N$470:N3804))/MAX(N$470:N3804)&gt;W3803,W3803,(N3804-MAX(N$470:N3804))/MAX(N$470:N3804))</f>
        <v>-0.62788758315546067</v>
      </c>
      <c r="X3804" s="564">
        <f>IF((O3804-MAX(O$470:O3804))/MAX(O$470:O3804)&gt;X3803,X3803,(O3804-MAX(O$470:O3804))/MAX(O$470:O3804))</f>
        <v>-0.62788758315546067</v>
      </c>
    </row>
    <row r="3805" spans="1:24">
      <c r="A3805" s="799">
        <v>44207</v>
      </c>
      <c r="B3805">
        <v>31738.0691597429</v>
      </c>
      <c r="C3805">
        <v>54853.7939850564</v>
      </c>
      <c r="D3805">
        <v>3.1772325399999999</v>
      </c>
      <c r="E3805">
        <f>LN(D3805/参数实验室!$E$53)/参数实验室!$E$55</f>
        <v>0.67083889949154996</v>
      </c>
      <c r="F3805">
        <f t="shared" si="538"/>
        <v>1.7283280122986775</v>
      </c>
      <c r="G3805">
        <f>LN(F3805/参数实验室!$E$58)/参数实验室!$E$59</f>
        <v>9.6646213373182605E-2</v>
      </c>
      <c r="H3805" s="856">
        <f>INDEX(神经网络!$G$10:$BO$70,MATCH(ROUND(G3805*2,1)/2,神经网络!$E$10:$E$70,0),MATCH(ROUND(E3805*2,1)/2,神经网络!$G$8:$BO$8,0))</f>
        <v>2.0468095653031106</v>
      </c>
      <c r="I3805">
        <f t="shared" si="540"/>
        <v>4078528.8218034799</v>
      </c>
      <c r="J3805">
        <f t="shared" si="541"/>
        <v>12664.3267067327</v>
      </c>
      <c r="K3805">
        <f t="shared" si="542"/>
        <v>322.04861073547823</v>
      </c>
      <c r="L3805" s="4">
        <f>MIN(MAX(L3804*(1+MAX(MIN(((B3805-B3804)/B3804)/($K$7*卓尔金历!$N$40),0),-卓尔金历!$M$43))+MIN(MAX(((B3805-B3804)/B3804)/($K$7*卓尔金历!$N$40),0),卓尔金历!$M$43),0),1)</f>
        <v>0</v>
      </c>
      <c r="M3805" s="4">
        <f>MIN(MAX(M3804*(1+MAX(MIN(((B3805-B3804)/B3804)/($K$7*30),0),-卓尔金历!$M$43))+MIN(MAX(((B3805-B3804)/B3804)/($K$7*7),0),卓尔金历!$M$43),0),1)</f>
        <v>0</v>
      </c>
      <c r="N3805">
        <f t="shared" si="543"/>
        <v>1075167.6839131573</v>
      </c>
      <c r="O3805">
        <f t="shared" si="544"/>
        <v>3814002.0712561021</v>
      </c>
      <c r="P3805">
        <f t="shared" si="545"/>
        <v>-0.20135834167083613</v>
      </c>
      <c r="Q3805">
        <f t="shared" si="536"/>
        <v>6.4534836951157165E-2</v>
      </c>
      <c r="R3805">
        <f t="shared" si="537"/>
        <v>0</v>
      </c>
      <c r="S3805">
        <f t="shared" si="539"/>
        <v>2603.9419371694953</v>
      </c>
      <c r="T3805" s="564">
        <f>IF((I3805-MAX(I$470:I3805))/MAX(I$470:I3805)&gt;T3804,T3804,(I3805-MAX(I$470:I3805))/MAX(I$470:I3805))</f>
        <v>-0.91338805338419748</v>
      </c>
      <c r="U3805" s="564">
        <f>IF((J3805-MAX(J$470:J3805))/MAX(J$470:J3805)&gt;U3804,U3804,(J3805-MAX(J$470:J3805))/MAX(J$470:J3805))</f>
        <v>-0.83569785939843477</v>
      </c>
      <c r="V3805" s="564">
        <f>IF((K3805-MAX(K$470:K3805))/MAX(K$470:K3805)&gt;V3804,V3804,(K3805-MAX(K$470:K3805))/MAX(K$470:K3805))</f>
        <v>-0.84885940676762139</v>
      </c>
      <c r="W3805" s="564">
        <f>IF((N3805-MAX(N$470:N3805))/MAX(N$470:N3805)&gt;W3804,W3804,(N3805-MAX(N$470:N3805))/MAX(N$470:N3805))</f>
        <v>-0.62788758315546067</v>
      </c>
      <c r="X3805" s="564">
        <f>IF((O3805-MAX(O$470:O3805))/MAX(O$470:O3805)&gt;X3804,X3804,(O3805-MAX(O$470:O3805))/MAX(O$470:O3805))</f>
        <v>-0.62788758315546067</v>
      </c>
    </row>
    <row r="3806" spans="1:24">
      <c r="A3806" s="799">
        <v>44208</v>
      </c>
      <c r="B3806">
        <v>33911.177071065402</v>
      </c>
      <c r="C3806">
        <v>55152.849340424204</v>
      </c>
      <c r="D3806">
        <v>3.0245792345</v>
      </c>
      <c r="E3806">
        <f>LN(D3806/参数实验室!$E$53)/参数实验室!$E$55</f>
        <v>0.61274954663087278</v>
      </c>
      <c r="F3806">
        <f t="shared" si="538"/>
        <v>1.6263914763219229</v>
      </c>
      <c r="G3806">
        <f>LN(F3806/参数实验室!$E$58)/参数实验室!$E$59</f>
        <v>6.4739952002398501E-2</v>
      </c>
      <c r="H3806" s="856">
        <f>INDEX(神经网络!$G$10:$BO$70,MATCH(ROUND(G3806*2,1)/2,神经网络!$E$10:$E$70,0),MATCH(ROUND(E3806*2,1)/2,神经网络!$G$8:$BO$8,0))</f>
        <v>1.9619705600635662</v>
      </c>
      <c r="I3806">
        <f t="shared" si="540"/>
        <v>4650115.0604391797</v>
      </c>
      <c r="J3806">
        <f t="shared" si="541"/>
        <v>13531.454080469781</v>
      </c>
      <c r="K3806">
        <f t="shared" si="542"/>
        <v>343.65228103244158</v>
      </c>
      <c r="L3806" s="4">
        <f>MIN(MAX(L3805*(1+MAX(MIN(((B3806-B3805)/B3805)/($K$7*卓尔金历!$N$40),0),-卓尔金历!$M$43))+MIN(MAX(((B3806-B3805)/B3805)/($K$7*卓尔金历!$N$40),0),卓尔金历!$M$43),0),1)</f>
        <v>1</v>
      </c>
      <c r="M3806" s="4">
        <f>MIN(MAX(M3805*(1+MAX(MIN(((B3806-B3805)/B3805)/($K$7*30),0),-卓尔金历!$M$43))+MIN(MAX(((B3806-B3805)/B3805)/($K$7*7),0),卓尔金历!$M$43),0),1)</f>
        <v>1</v>
      </c>
      <c r="N3806">
        <f t="shared" si="543"/>
        <v>1075167.6839131573</v>
      </c>
      <c r="O3806">
        <f t="shared" si="544"/>
        <v>3814002.0712561021</v>
      </c>
      <c r="P3806">
        <f t="shared" si="545"/>
        <v>6.8470072970882201E-2</v>
      </c>
      <c r="Q3806">
        <f t="shared" si="536"/>
        <v>6.5436072095451506E-2</v>
      </c>
      <c r="R3806">
        <f t="shared" si="537"/>
        <v>6.1609918639747428E-2</v>
      </c>
      <c r="S3806">
        <f t="shared" si="539"/>
        <v>2603.9419371694953</v>
      </c>
      <c r="T3806" s="564">
        <f>IF((I3806-MAX(I$470:I3806))/MAX(I$470:I3806)&gt;T3805,T3805,(I3806-MAX(I$470:I3806))/MAX(I$470:I3806))</f>
        <v>-0.91338805338419748</v>
      </c>
      <c r="U3806" s="564">
        <f>IF((J3806-MAX(J$470:J3806))/MAX(J$470:J3806)&gt;U3805,U3805,(J3806-MAX(J$470:J3806))/MAX(J$470:J3806))</f>
        <v>-0.83569785939843477</v>
      </c>
      <c r="V3806" s="564">
        <f>IF((K3806-MAX(K$470:K3806))/MAX(K$470:K3806)&gt;V3805,V3805,(K3806-MAX(K$470:K3806))/MAX(K$470:K3806))</f>
        <v>-0.84885940676762139</v>
      </c>
      <c r="W3806" s="564">
        <f>IF((N3806-MAX(N$470:N3806))/MAX(N$470:N3806)&gt;W3805,W3805,(N3806-MAX(N$470:N3806))/MAX(N$470:N3806))</f>
        <v>-0.62788758315546067</v>
      </c>
      <c r="X3806" s="564">
        <f>IF((O3806-MAX(O$470:O3806))/MAX(O$470:O3806)&gt;X3805,X3805,(O3806-MAX(O$470:O3806))/MAX(O$470:O3806))</f>
        <v>-0.62788758315546067</v>
      </c>
    </row>
    <row r="3807" spans="1:24">
      <c r="A3807" s="799">
        <v>44209</v>
      </c>
      <c r="B3807">
        <v>34740.332837450798</v>
      </c>
      <c r="C3807">
        <v>54907.524390441198</v>
      </c>
      <c r="D3807">
        <v>3.3189327161</v>
      </c>
      <c r="E3807">
        <f>LN(D3807/参数实验室!$E$53)/参数实验室!$E$55</f>
        <v>0.72231473389532275</v>
      </c>
      <c r="F3807">
        <f t="shared" si="538"/>
        <v>1.5805123297854462</v>
      </c>
      <c r="G3807">
        <f>LN(F3807/参数实验室!$E$58)/参数实验室!$E$59</f>
        <v>4.9721416969232227E-2</v>
      </c>
      <c r="H3807" s="856">
        <f>INDEX(神经网络!$G$10:$BO$70,MATCH(ROUND(G3807*2,1)/2,神经网络!$E$10:$E$70,0),MATCH(ROUND(E3807*2,1)/2,神经网络!$G$8:$BO$8,0))</f>
        <v>2.0737065159566539</v>
      </c>
      <c r="I3807">
        <f t="shared" si="540"/>
        <v>4873189.31285094</v>
      </c>
      <c r="J3807">
        <f t="shared" si="541"/>
        <v>13862.309100774395</v>
      </c>
      <c r="K3807">
        <f t="shared" si="542"/>
        <v>351.54239293212032</v>
      </c>
      <c r="L3807" s="4">
        <f>MIN(MAX(L3806*(1+MAX(MIN(((B3807-B3806)/B3806)/($K$7*卓尔金历!$N$40),0),-卓尔金历!$M$43))+MIN(MAX(((B3807-B3806)/B3806)/($K$7*卓尔金历!$N$40),0),卓尔金历!$M$43),0),1)</f>
        <v>1</v>
      </c>
      <c r="M3807" s="4">
        <f>MIN(MAX(M3806*(1+MAX(MIN(((B3807-B3806)/B3806)/($K$7*30),0),-卓尔金历!$M$43))+MIN(MAX(((B3807-B3806)/B3806)/($K$7*7),0),卓尔金历!$M$43),0),1)</f>
        <v>1</v>
      </c>
      <c r="N3807">
        <f t="shared" si="543"/>
        <v>1126745.3812795447</v>
      </c>
      <c r="O3807">
        <f t="shared" si="544"/>
        <v>3996966.5032506101</v>
      </c>
      <c r="P3807">
        <f t="shared" si="545"/>
        <v>2.4450810558648253E-2</v>
      </c>
      <c r="Q3807">
        <f t="shared" si="536"/>
        <v>6.5264461854314351E-2</v>
      </c>
      <c r="R3807">
        <f t="shared" si="537"/>
        <v>1</v>
      </c>
      <c r="S3807">
        <f t="shared" si="539"/>
        <v>2611.637983589409</v>
      </c>
      <c r="T3807" s="564">
        <f>IF((I3807-MAX(I$470:I3807))/MAX(I$470:I3807)&gt;T3806,T3806,(I3807-MAX(I$470:I3807))/MAX(I$470:I3807))</f>
        <v>-0.91338805338419748</v>
      </c>
      <c r="U3807" s="564">
        <f>IF((J3807-MAX(J$470:J3807))/MAX(J$470:J3807)&gt;U3806,U3806,(J3807-MAX(J$470:J3807))/MAX(J$470:J3807))</f>
        <v>-0.83569785939843477</v>
      </c>
      <c r="V3807" s="564">
        <f>IF((K3807-MAX(K$470:K3807))/MAX(K$470:K3807)&gt;V3806,V3806,(K3807-MAX(K$470:K3807))/MAX(K$470:K3807))</f>
        <v>-0.84885940676762139</v>
      </c>
      <c r="W3807" s="564">
        <f>IF((N3807-MAX(N$470:N3807))/MAX(N$470:N3807)&gt;W3806,W3806,(N3807-MAX(N$470:N3807))/MAX(N$470:N3807))</f>
        <v>-0.62788758315546067</v>
      </c>
      <c r="X3807" s="564">
        <f>IF((O3807-MAX(O$470:O3807))/MAX(O$470:O3807)&gt;X3806,X3806,(O3807-MAX(O$470:O3807))/MAX(O$470:O3807))</f>
        <v>-0.62788758315546067</v>
      </c>
    </row>
    <row r="3808" spans="1:24">
      <c r="A3808" s="799">
        <v>44210</v>
      </c>
      <c r="B3808">
        <v>39541.5915276054</v>
      </c>
      <c r="C3808">
        <v>54663.3873360617</v>
      </c>
      <c r="D3808">
        <v>3.4396857199999999</v>
      </c>
      <c r="E3808">
        <f>LN(D3808/参数实验室!$E$53)/参数实验室!$E$55</f>
        <v>0.76447539454825764</v>
      </c>
      <c r="F3808">
        <f t="shared" si="538"/>
        <v>1.3824275964688784</v>
      </c>
      <c r="G3808">
        <f>LN(F3808/参数实验室!$E$58)/参数实验室!$E$59</f>
        <v>-2.0560723664001967E-2</v>
      </c>
      <c r="H3808" s="856">
        <f>INDEX(神经网络!$G$10:$BO$70,MATCH(ROUND(G3808*2,1)/2,神经网络!$E$10:$E$70,0),MATCH(ROUND(E3808*2,1)/2,神经网络!$G$8:$BO$8,0))</f>
        <v>2.0962318161800919</v>
      </c>
      <c r="I3808">
        <f t="shared" si="540"/>
        <v>6269820.4065400744</v>
      </c>
      <c r="J3808">
        <f t="shared" si="541"/>
        <v>15778.137954433303</v>
      </c>
      <c r="K3808">
        <f t="shared" si="542"/>
        <v>397.37391222253797</v>
      </c>
      <c r="L3808" s="4">
        <f>MIN(MAX(L3807*(1+MAX(MIN(((B3808-B3807)/B3807)/($K$7*卓尔金历!$N$40),0),-卓尔金历!$M$43))+MIN(MAX(((B3808-B3807)/B3807)/($K$7*卓尔金历!$N$40),0),卓尔金历!$M$43),0),1)</f>
        <v>1</v>
      </c>
      <c r="M3808" s="4">
        <f>MIN(MAX(M3807*(1+MAX(MIN(((B3808-B3807)/B3807)/($K$7*30),0),-卓尔金历!$M$43))+MIN(MAX(((B3808-B3807)/B3807)/($K$7*7),0),卓尔金历!$M$43),0),1)</f>
        <v>1</v>
      </c>
      <c r="N3808">
        <f t="shared" si="543"/>
        <v>1449664.8356942977</v>
      </c>
      <c r="O3808">
        <f t="shared" si="544"/>
        <v>5142476.6282426463</v>
      </c>
      <c r="P3808">
        <f t="shared" si="545"/>
        <v>0.13820416495776189</v>
      </c>
      <c r="Q3808">
        <f t="shared" si="536"/>
        <v>6.9843979962975103E-2</v>
      </c>
      <c r="R3808">
        <f t="shared" si="537"/>
        <v>2.0723545228417843E-2</v>
      </c>
      <c r="S3808">
        <f t="shared" si="539"/>
        <v>3360.1200513231338</v>
      </c>
      <c r="T3808" s="564">
        <f>IF((I3808-MAX(I$470:I3808))/MAX(I$470:I3808)&gt;T3807,T3807,(I3808-MAX(I$470:I3808))/MAX(I$470:I3808))</f>
        <v>-0.91338805338419748</v>
      </c>
      <c r="U3808" s="564">
        <f>IF((J3808-MAX(J$470:J3808))/MAX(J$470:J3808)&gt;U3807,U3807,(J3808-MAX(J$470:J3808))/MAX(J$470:J3808))</f>
        <v>-0.83569785939843477</v>
      </c>
      <c r="V3808" s="564">
        <f>IF((K3808-MAX(K$470:K3808))/MAX(K$470:K3808)&gt;V3807,V3807,(K3808-MAX(K$470:K3808))/MAX(K$470:K3808))</f>
        <v>-0.84885940676762139</v>
      </c>
      <c r="W3808" s="564">
        <f>IF((N3808-MAX(N$470:N3808))/MAX(N$470:N3808)&gt;W3807,W3807,(N3808-MAX(N$470:N3808))/MAX(N$470:N3808))</f>
        <v>-0.62788758315546067</v>
      </c>
      <c r="X3808" s="564">
        <f>IF((O3808-MAX(O$470:O3808))/MAX(O$470:O3808)&gt;X3807,X3807,(O3808-MAX(O$470:O3808))/MAX(O$470:O3808))</f>
        <v>-0.62788758315546067</v>
      </c>
    </row>
    <row r="3809" spans="1:24">
      <c r="A3809" s="799">
        <v>44211</v>
      </c>
      <c r="B3809">
        <v>35752.316228863798</v>
      </c>
      <c r="C3809">
        <v>54242.676523467097</v>
      </c>
      <c r="D3809">
        <v>3.2169186299999999</v>
      </c>
      <c r="E3809">
        <f>LN(D3809/参数实验室!$E$53)/参数实验室!$E$55</f>
        <v>0.68548365635991115</v>
      </c>
      <c r="F3809">
        <f t="shared" si="538"/>
        <v>1.5171793675195662</v>
      </c>
      <c r="G3809">
        <f>LN(F3809/参数实验室!$E$58)/参数实验室!$E$59</f>
        <v>2.8256921913978262E-2</v>
      </c>
      <c r="H3809" s="856">
        <f>INDEX(神经网络!$G$10:$BO$70,MATCH(ROUND(G3809*2,1)/2,神经网络!$E$10:$E$70,0),MATCH(ROUND(E3809*2,1)/2,神经网络!$G$8:$BO$8,0))</f>
        <v>2.0737065159566539</v>
      </c>
      <c r="I3809">
        <f t="shared" si="540"/>
        <v>5010325.4791119006</v>
      </c>
      <c r="J3809">
        <f t="shared" si="541"/>
        <v>14266.117165661271</v>
      </c>
      <c r="K3809">
        <f t="shared" si="542"/>
        <v>351.20456540002482</v>
      </c>
      <c r="L3809" s="4">
        <f>MIN(MAX(L3808*(1+MAX(MIN(((B3809-B3808)/B3808)/($K$7*卓尔金历!$N$40),0),-卓尔金历!$M$43))+MIN(MAX(((B3809-B3808)/B3808)/($K$7*卓尔金历!$N$40),0),卓尔金历!$M$43),0),1)</f>
        <v>0</v>
      </c>
      <c r="M3809" s="4">
        <f>MIN(MAX(M3808*(1+MAX(MIN(((B3809-B3808)/B3808)/($K$7*30),0),-卓尔金历!$M$43))+MIN(MAX(((B3809-B3808)/B3808)/($K$7*7),0),卓尔金历!$M$43),0),1)</f>
        <v>0.26790389520776514</v>
      </c>
      <c r="N3809">
        <f t="shared" si="543"/>
        <v>1158453.064281608</v>
      </c>
      <c r="O3809">
        <f t="shared" si="544"/>
        <v>4109444.9291315442</v>
      </c>
      <c r="P3809">
        <f t="shared" si="545"/>
        <v>-9.5830115894454421E-2</v>
      </c>
      <c r="Q3809">
        <f t="shared" si="536"/>
        <v>7.4272904436868403E-2</v>
      </c>
      <c r="R3809">
        <f t="shared" si="537"/>
        <v>5.204558334762914E-2</v>
      </c>
      <c r="S3809">
        <f t="shared" si="539"/>
        <v>3346.1319049152476</v>
      </c>
      <c r="T3809" s="564">
        <f>IF((I3809-MAX(I$470:I3809))/MAX(I$470:I3809)&gt;T3808,T3808,(I3809-MAX(I$470:I3809))/MAX(I$470:I3809))</f>
        <v>-0.91338805338419748</v>
      </c>
      <c r="U3809" s="564">
        <f>IF((J3809-MAX(J$470:J3809))/MAX(J$470:J3809)&gt;U3808,U3808,(J3809-MAX(J$470:J3809))/MAX(J$470:J3809))</f>
        <v>-0.83569785939843477</v>
      </c>
      <c r="V3809" s="564">
        <f>IF((K3809-MAX(K$470:K3809))/MAX(K$470:K3809)&gt;V3808,V3808,(K3809-MAX(K$470:K3809))/MAX(K$470:K3809))</f>
        <v>-0.84885940676762139</v>
      </c>
      <c r="W3809" s="564">
        <f>IF((N3809-MAX(N$470:N3809))/MAX(N$470:N3809)&gt;W3808,W3808,(N3809-MAX(N$470:N3809))/MAX(N$470:N3809))</f>
        <v>-0.62788758315546067</v>
      </c>
      <c r="X3809" s="564">
        <f>IF((O3809-MAX(O$470:O3809))/MAX(O$470:O3809)&gt;X3808,X3808,(O3809-MAX(O$470:O3809))/MAX(O$470:O3809))</f>
        <v>-0.62788758315546067</v>
      </c>
    </row>
    <row r="3810" spans="1:24">
      <c r="A3810" s="799">
        <v>44212</v>
      </c>
      <c r="B3810">
        <v>37467.611609774503</v>
      </c>
      <c r="C3810">
        <v>53614.869223208902</v>
      </c>
      <c r="D3810">
        <v>3.16002808</v>
      </c>
      <c r="E3810">
        <f>LN(D3810/参数实验室!$E$53)/参数实验室!$E$55</f>
        <v>0.66443327138899799</v>
      </c>
      <c r="F3810">
        <f t="shared" si="538"/>
        <v>1.4309657573481924</v>
      </c>
      <c r="G3810">
        <f>LN(F3810/参数实验室!$E$58)/参数实验室!$E$59</f>
        <v>-2.4488034190511161E-3</v>
      </c>
      <c r="H3810" s="856">
        <f>INDEX(神经网络!$G$10:$BO$70,MATCH(ROUND(G3810*2,1)/2,神经网络!$E$10:$E$70,0),MATCH(ROUND(E3810*2,1)/2,神经网络!$G$8:$BO$8,0))</f>
        <v>1.993666722296078</v>
      </c>
      <c r="I3810">
        <f t="shared" si="540"/>
        <v>5508805.7413241463</v>
      </c>
      <c r="J3810">
        <f t="shared" si="541"/>
        <v>14950.565264663986</v>
      </c>
      <c r="K3810">
        <f t="shared" si="542"/>
        <v>368.46805748170198</v>
      </c>
      <c r="L3810" s="4">
        <f>MIN(MAX(L3809*(1+MAX(MIN(((B3810-B3809)/B3809)/($K$7*卓尔金历!$N$40),0),-卓尔金历!$M$43))+MIN(MAX(((B3810-B3809)/B3809)/($K$7*卓尔金历!$N$40),0),卓尔金历!$M$43),0),1)</f>
        <v>0.73304529996625167</v>
      </c>
      <c r="M3810" s="4">
        <f>MIN(MAX(M3809*(1+MAX(MIN(((B3810-B3809)/B3809)/($K$7*30),0),-卓尔金历!$M$43))+MIN(MAX(((B3810-B3809)/B3809)/($K$7*7),0),卓尔金历!$M$43),0),1)</f>
        <v>1</v>
      </c>
      <c r="N3810">
        <f t="shared" si="543"/>
        <v>1158453.064281608</v>
      </c>
      <c r="O3810">
        <f t="shared" si="544"/>
        <v>4218977.7368530035</v>
      </c>
      <c r="P3810">
        <f t="shared" si="545"/>
        <v>4.7977181951806024E-2</v>
      </c>
      <c r="Q3810">
        <f t="shared" si="536"/>
        <v>7.3866169016570241E-2</v>
      </c>
      <c r="R3810">
        <f t="shared" si="537"/>
        <v>0.53785325402212014</v>
      </c>
      <c r="S3810">
        <f t="shared" si="539"/>
        <v>3363.4583299934375</v>
      </c>
      <c r="T3810" s="564">
        <f>IF((I3810-MAX(I$470:I3810))/MAX(I$470:I3810)&gt;T3809,T3809,(I3810-MAX(I$470:I3810))/MAX(I$470:I3810))</f>
        <v>-0.91338805338419748</v>
      </c>
      <c r="U3810" s="564">
        <f>IF((J3810-MAX(J$470:J3810))/MAX(J$470:J3810)&gt;U3809,U3809,(J3810-MAX(J$470:J3810))/MAX(J$470:J3810))</f>
        <v>-0.83569785939843477</v>
      </c>
      <c r="V3810" s="564">
        <f>IF((K3810-MAX(K$470:K3810))/MAX(K$470:K3810)&gt;V3809,V3809,(K3810-MAX(K$470:K3810))/MAX(K$470:K3810))</f>
        <v>-0.84885940676762139</v>
      </c>
      <c r="W3810" s="564">
        <f>IF((N3810-MAX(N$470:N3810))/MAX(N$470:N3810)&gt;W3809,W3809,(N3810-MAX(N$470:N3810))/MAX(N$470:N3810))</f>
        <v>-0.62788758315546067</v>
      </c>
      <c r="X3810" s="564">
        <f>IF((O3810-MAX(O$470:O3810))/MAX(O$470:O3810)&gt;X3809,X3809,(O3810-MAX(O$470:O3810))/MAX(O$470:O3810))</f>
        <v>-0.62788758315546067</v>
      </c>
    </row>
    <row r="3811" spans="1:24">
      <c r="A3811" s="799">
        <v>44213</v>
      </c>
      <c r="B3811">
        <v>35780.184227162899</v>
      </c>
      <c r="C3811">
        <v>54473.224663499102</v>
      </c>
      <c r="D3811">
        <v>3.14208979</v>
      </c>
      <c r="E3811">
        <f>LN(D3811/参数实验室!$E$53)/参数实验室!$E$55</f>
        <v>0.65771717581326716</v>
      </c>
      <c r="F3811">
        <f t="shared" si="538"/>
        <v>1.5224411455697644</v>
      </c>
      <c r="G3811">
        <f>LN(F3811/参数实验室!$E$58)/参数实验室!$E$59</f>
        <v>3.0074035747811874E-2</v>
      </c>
      <c r="H3811" s="856">
        <f>INDEX(神经网络!$G$10:$BO$70,MATCH(ROUND(G3811*2,1)/2,神经网络!$E$10:$E$70,0),MATCH(ROUND(E3811*2,1)/2,神经网络!$G$8:$BO$8,0))</f>
        <v>2.0209961953498765</v>
      </c>
      <c r="I3811">
        <f t="shared" si="540"/>
        <v>5014177.2822399801</v>
      </c>
      <c r="J3811">
        <f t="shared" si="541"/>
        <v>14277.237232019001</v>
      </c>
      <c r="K3811">
        <f t="shared" si="542"/>
        <v>351.20081012556693</v>
      </c>
      <c r="L3811" s="4">
        <f>MIN(MAX(L3810*(1+MAX(MIN(((B3811-B3810)/B3810)/($K$7*卓尔金历!$N$40),0),-卓尔金历!$M$43))+MIN(MAX(((B3811-B3810)/B3810)/($K$7*卓尔金历!$N$40),0),卓尔金历!$M$43),0),1)</f>
        <v>0.22862102943548701</v>
      </c>
      <c r="M3811" s="4">
        <f>MIN(MAX(M3810*(1+MAX(MIN(((B3811-B3810)/B3810)/($K$7*30),0),-卓尔金历!$M$43))+MIN(MAX(((B3811-B3810)/B3810)/($K$7*7),0),卓尔金历!$M$43),0),1)</f>
        <v>0.65593922329630405</v>
      </c>
      <c r="N3811">
        <f t="shared" si="543"/>
        <v>1082204.6355224052</v>
      </c>
      <c r="O3811">
        <f t="shared" si="544"/>
        <v>3840161.2465135939</v>
      </c>
      <c r="P3811">
        <f t="shared" si="545"/>
        <v>-4.5036961527897074E-2</v>
      </c>
      <c r="Q3811">
        <f t="shared" si="536"/>
        <v>7.434130213054442E-2</v>
      </c>
      <c r="R3811">
        <f t="shared" si="537"/>
        <v>0.61206980974800529</v>
      </c>
      <c r="S3811">
        <f t="shared" si="539"/>
        <v>3201.0263663746664</v>
      </c>
      <c r="T3811" s="564">
        <f>IF((I3811-MAX(I$470:I3811))/MAX(I$470:I3811)&gt;T3810,T3810,(I3811-MAX(I$470:I3811))/MAX(I$470:I3811))</f>
        <v>-0.91338805338419748</v>
      </c>
      <c r="U3811" s="564">
        <f>IF((J3811-MAX(J$470:J3811))/MAX(J$470:J3811)&gt;U3810,U3810,(J3811-MAX(J$470:J3811))/MAX(J$470:J3811))</f>
        <v>-0.83569785939843477</v>
      </c>
      <c r="V3811" s="564">
        <f>IF((K3811-MAX(K$470:K3811))/MAX(K$470:K3811)&gt;V3810,V3810,(K3811-MAX(K$470:K3811))/MAX(K$470:K3811))</f>
        <v>-0.84885940676762139</v>
      </c>
      <c r="W3811" s="564">
        <f>IF((N3811-MAX(N$470:N3811))/MAX(N$470:N3811)&gt;W3810,W3810,(N3811-MAX(N$470:N3811))/MAX(N$470:N3811))</f>
        <v>-0.62788758315546067</v>
      </c>
      <c r="X3811" s="564">
        <f>IF((O3811-MAX(O$470:O3811))/MAX(O$470:O3811)&gt;X3810,X3810,(O3811-MAX(O$470:O3811))/MAX(O$470:O3811))</f>
        <v>-0.62788758315546067</v>
      </c>
    </row>
    <row r="3812" spans="1:24">
      <c r="A3812" s="799">
        <v>44214</v>
      </c>
      <c r="B3812">
        <v>36533.219274417199</v>
      </c>
      <c r="C3812">
        <v>54950.062531543103</v>
      </c>
      <c r="D3812">
        <v>3.1678973400000001</v>
      </c>
      <c r="E3812">
        <f>LN(D3812/参数实验室!$E$53)/参数实验室!$E$55</f>
        <v>0.66736749996541611</v>
      </c>
      <c r="F3812">
        <f t="shared" si="538"/>
        <v>1.5041122469604673</v>
      </c>
      <c r="G3812">
        <f>LN(F3812/参数实验室!$E$58)/参数实验室!$E$59</f>
        <v>2.3716894206731808E-2</v>
      </c>
      <c r="H3812" s="856">
        <f>INDEX(神经网络!$G$10:$BO$70,MATCH(ROUND(G3812*2,1)/2,神经网络!$E$10:$E$70,0),MATCH(ROUND(E3812*2,1)/2,神经网络!$G$8:$BO$8,0))</f>
        <v>1.993666722296078</v>
      </c>
      <c r="I3812">
        <f t="shared" si="540"/>
        <v>5227451.2250141539</v>
      </c>
      <c r="J3812">
        <f t="shared" si="541"/>
        <v>14577.718077657362</v>
      </c>
      <c r="K3812">
        <f t="shared" si="542"/>
        <v>358.59187269000915</v>
      </c>
      <c r="L3812" s="4">
        <f>MIN(MAX(L3811*(1+MAX(MIN(((B3812-B3811)/B3811)/($K$7*卓尔金历!$N$40),0),-卓尔金历!$M$43))+MIN(MAX(((B3812-B3811)/B3811)/($K$7*卓尔金历!$N$40),0),卓尔金历!$M$43),0),1)</f>
        <v>0.55018597206747366</v>
      </c>
      <c r="M3812" s="4">
        <f>MIN(MAX(M3811*(1+MAX(MIN(((B3812-B3811)/B3811)/($K$7*30),0),-卓尔金历!$M$43))+MIN(MAX(((B3812-B3811)/B3811)/($K$7*7),0),卓尔金历!$M$43),0),1)</f>
        <v>1</v>
      </c>
      <c r="N3812">
        <f t="shared" si="543"/>
        <v>1092728.2196854502</v>
      </c>
      <c r="O3812">
        <f t="shared" si="544"/>
        <v>3947301.1312227994</v>
      </c>
      <c r="P3812">
        <f t="shared" si="545"/>
        <v>2.1046147847462036E-2</v>
      </c>
      <c r="Q3812">
        <f t="shared" si="536"/>
        <v>7.4011244586064145E-2</v>
      </c>
      <c r="R3812">
        <f t="shared" si="537"/>
        <v>1</v>
      </c>
      <c r="S3812">
        <f t="shared" si="539"/>
        <v>3284.3615358149841</v>
      </c>
      <c r="T3812" s="564">
        <f>IF((I3812-MAX(I$470:I3812))/MAX(I$470:I3812)&gt;T3811,T3811,(I3812-MAX(I$470:I3812))/MAX(I$470:I3812))</f>
        <v>-0.91338805338419748</v>
      </c>
      <c r="U3812" s="564">
        <f>IF((J3812-MAX(J$470:J3812))/MAX(J$470:J3812)&gt;U3811,U3811,(J3812-MAX(J$470:J3812))/MAX(J$470:J3812))</f>
        <v>-0.83569785939843477</v>
      </c>
      <c r="V3812" s="564">
        <f>IF((K3812-MAX(K$470:K3812))/MAX(K$470:K3812)&gt;V3811,V3811,(K3812-MAX(K$470:K3812))/MAX(K$470:K3812))</f>
        <v>-0.84885940676762139</v>
      </c>
      <c r="W3812" s="564">
        <f>IF((N3812-MAX(N$470:N3812))/MAX(N$470:N3812)&gt;W3811,W3811,(N3812-MAX(N$470:N3812))/MAX(N$470:N3812))</f>
        <v>-0.62788758315546067</v>
      </c>
      <c r="X3812" s="564">
        <f>IF((O3812-MAX(O$470:O3812))/MAX(O$470:O3812)&gt;X3811,X3811,(O3812-MAX(O$470:O3812))/MAX(O$470:O3812))</f>
        <v>-0.62788758315546067</v>
      </c>
    </row>
    <row r="3813" spans="1:24">
      <c r="A3813" s="799">
        <v>44215</v>
      </c>
      <c r="B3813">
        <v>37346.279784447303</v>
      </c>
      <c r="C3813">
        <v>55031.336354679297</v>
      </c>
      <c r="D3813">
        <v>3.12779915</v>
      </c>
      <c r="E3813">
        <f>LN(D3813/参数实验室!$E$53)/参数实验室!$E$55</f>
        <v>0.65233926298110967</v>
      </c>
      <c r="F3813">
        <f t="shared" si="538"/>
        <v>1.4735426573223729</v>
      </c>
      <c r="G3813">
        <f>LN(F3813/参数实验室!$E$58)/参数实验室!$E$59</f>
        <v>1.2939865333670537E-2</v>
      </c>
      <c r="H3813" s="856">
        <f>INDEX(神经网络!$G$10:$BO$70,MATCH(ROUND(G3813*2,1)/2,神经网络!$E$10:$E$70,0),MATCH(ROUND(E3813*2,1)/2,神经网络!$G$8:$BO$8,0))</f>
        <v>1.993666722296078</v>
      </c>
      <c r="I3813">
        <f t="shared" si="540"/>
        <v>5459392.1974603459</v>
      </c>
      <c r="J3813">
        <f t="shared" si="541"/>
        <v>14902.150666153473</v>
      </c>
      <c r="K3813">
        <f t="shared" si="542"/>
        <v>366.34928204423517</v>
      </c>
      <c r="L3813" s="4">
        <f>MIN(MAX(L3812*(1+MAX(MIN(((B3813-B3812)/B3812)/($K$7*卓尔金历!$N$40),0),-卓尔金历!$M$43))+MIN(MAX(((B3813-B3812)/B3812)/($K$7*卓尔金历!$N$40),0),卓尔金历!$M$43),0),1)</f>
        <v>0.89022675150558639</v>
      </c>
      <c r="M3813" s="4">
        <f>MIN(MAX(M3812*(1+MAX(MIN(((B3813-B3812)/B3812)/($K$7*30),0),-卓尔金历!$M$43))+MIN(MAX(((B3813-B3812)/B3812)/($K$7*7),0),卓尔金历!$M$43),0),1)</f>
        <v>1</v>
      </c>
      <c r="N3813">
        <f t="shared" si="543"/>
        <v>1119403.5101033698</v>
      </c>
      <c r="O3813">
        <f t="shared" si="544"/>
        <v>4122442.0983030405</v>
      </c>
      <c r="P3813">
        <f t="shared" si="545"/>
        <v>2.2255375413889639E-2</v>
      </c>
      <c r="Q3813">
        <f t="shared" si="536"/>
        <v>7.3716568365838744E-2</v>
      </c>
      <c r="R3813">
        <f t="shared" si="537"/>
        <v>1</v>
      </c>
      <c r="S3813">
        <f t="shared" si="539"/>
        <v>3430.0880047366973</v>
      </c>
      <c r="T3813" s="564">
        <f>IF((I3813-MAX(I$470:I3813))/MAX(I$470:I3813)&gt;T3812,T3812,(I3813-MAX(I$470:I3813))/MAX(I$470:I3813))</f>
        <v>-0.91338805338419748</v>
      </c>
      <c r="U3813" s="564">
        <f>IF((J3813-MAX(J$470:J3813))/MAX(J$470:J3813)&gt;U3812,U3812,(J3813-MAX(J$470:J3813))/MAX(J$470:J3813))</f>
        <v>-0.83569785939843477</v>
      </c>
      <c r="V3813" s="564">
        <f>IF((K3813-MAX(K$470:K3813))/MAX(K$470:K3813)&gt;V3812,V3812,(K3813-MAX(K$470:K3813))/MAX(K$470:K3813))</f>
        <v>-0.84885940676762139</v>
      </c>
      <c r="W3813" s="564">
        <f>IF((N3813-MAX(N$470:N3813))/MAX(N$470:N3813)&gt;W3812,W3812,(N3813-MAX(N$470:N3813))/MAX(N$470:N3813))</f>
        <v>-0.62788758315546067</v>
      </c>
      <c r="X3813" s="564">
        <f>IF((O3813-MAX(O$470:O3813))/MAX(O$470:O3813)&gt;X3812,X3812,(O3813-MAX(O$470:O3813))/MAX(O$470:O3813))</f>
        <v>-0.62788758315546067</v>
      </c>
    </row>
    <row r="3814" spans="1:24">
      <c r="A3814" s="799">
        <v>44216</v>
      </c>
      <c r="B3814">
        <v>34170.420549809503</v>
      </c>
      <c r="C3814">
        <v>54858.430478437098</v>
      </c>
      <c r="D3814">
        <v>3.0564083200000001</v>
      </c>
      <c r="E3814">
        <f>LN(D3814/参数实验室!$E$53)/参数实验室!$E$55</f>
        <v>0.62509978068791183</v>
      </c>
      <c r="F3814">
        <f t="shared" si="538"/>
        <v>1.6054362104929647</v>
      </c>
      <c r="G3814">
        <f>LN(F3814/参数实验室!$E$58)/参数实验室!$E$59</f>
        <v>5.7933518492568378E-2</v>
      </c>
      <c r="H3814" s="856">
        <f>INDEX(神经网络!$G$10:$BO$70,MATCH(ROUND(G3814*2,1)/2,神经网络!$E$10:$E$70,0),MATCH(ROUND(E3814*2,1)/2,神经网络!$G$8:$BO$8,0))</f>
        <v>2.0209961953498765</v>
      </c>
      <c r="I3814">
        <f t="shared" si="540"/>
        <v>4533819.0365317371</v>
      </c>
      <c r="J3814">
        <f t="shared" si="541"/>
        <v>13634.899066202237</v>
      </c>
      <c r="K3814">
        <f t="shared" si="542"/>
        <v>332.51577547574419</v>
      </c>
      <c r="L3814" s="4">
        <f>MIN(MAX(L3813*(1+MAX(MIN(((B3814-B3813)/B3813)/($K$7*卓尔金历!$N$40),0),-卓尔金历!$M$43))+MIN(MAX(((B3814-B3813)/B3813)/($K$7*卓尔金历!$N$40),0),卓尔金历!$M$43),0),1)</f>
        <v>0</v>
      </c>
      <c r="M3814" s="4">
        <f>MIN(MAX(M3813*(1+MAX(MIN(((B3814-B3813)/B3813)/($K$7*30),0),-卓尔金历!$M$43))+MIN(MAX(((B3814-B3813)/B3813)/($K$7*7),0),卓尔金历!$M$43),0),1)</f>
        <v>0.35034919487009275</v>
      </c>
      <c r="N3814">
        <f t="shared" si="543"/>
        <v>950455.23458100623</v>
      </c>
      <c r="O3814">
        <f t="shared" si="544"/>
        <v>3423532.4714316647</v>
      </c>
      <c r="P3814">
        <f t="shared" si="545"/>
        <v>-8.5038168539624454E-2</v>
      </c>
      <c r="Q3814">
        <f t="shared" si="536"/>
        <v>7.6368264350879483E-2</v>
      </c>
      <c r="R3814">
        <f t="shared" si="537"/>
        <v>6.5789606422384947E-2</v>
      </c>
      <c r="S3814">
        <f t="shared" si="539"/>
        <v>2848.5585446835557</v>
      </c>
      <c r="T3814" s="564">
        <f>IF((I3814-MAX(I$470:I3814))/MAX(I$470:I3814)&gt;T3813,T3813,(I3814-MAX(I$470:I3814))/MAX(I$470:I3814))</f>
        <v>-0.91338805338419748</v>
      </c>
      <c r="U3814" s="564">
        <f>IF((J3814-MAX(J$470:J3814))/MAX(J$470:J3814)&gt;U3813,U3813,(J3814-MAX(J$470:J3814))/MAX(J$470:J3814))</f>
        <v>-0.83569785939843477</v>
      </c>
      <c r="V3814" s="564">
        <f>IF((K3814-MAX(K$470:K3814))/MAX(K$470:K3814)&gt;V3813,V3813,(K3814-MAX(K$470:K3814))/MAX(K$470:K3814))</f>
        <v>-0.84885940676762139</v>
      </c>
      <c r="W3814" s="564">
        <f>IF((N3814-MAX(N$470:N3814))/MAX(N$470:N3814)&gt;W3813,W3813,(N3814-MAX(N$470:N3814))/MAX(N$470:N3814))</f>
        <v>-0.62788758315546067</v>
      </c>
      <c r="X3814" s="564">
        <f>IF((O3814-MAX(O$470:O3814))/MAX(O$470:O3814)&gt;X3813,X3813,(O3814-MAX(O$470:O3814))/MAX(O$470:O3814))</f>
        <v>-0.62788758315546067</v>
      </c>
    </row>
    <row r="3815" spans="1:24">
      <c r="A3815" s="799">
        <v>44217</v>
      </c>
      <c r="B3815">
        <v>31361.2298410445</v>
      </c>
      <c r="C3815">
        <v>55375.329947979801</v>
      </c>
      <c r="D3815">
        <v>2.6719997245</v>
      </c>
      <c r="E3815">
        <f>LN(D3815/参数实验室!$E$53)/参数实验室!$E$55</f>
        <v>0.46652522758144799</v>
      </c>
      <c r="F3815">
        <f t="shared" si="538"/>
        <v>1.765725713840038</v>
      </c>
      <c r="G3815">
        <f>LN(F3815/参数实验室!$E$58)/参数实验室!$E$59</f>
        <v>0.10788192179819364</v>
      </c>
      <c r="H3815" s="856">
        <f>INDEX(神经网络!$G$10:$BO$70,MATCH(ROUND(G3815*2,1)/2,神经网络!$E$10:$E$70,0),MATCH(ROUND(E3815*2,1)/2,神经网络!$G$8:$BO$8,0))</f>
        <v>1.7978457311617499</v>
      </c>
      <c r="I3815">
        <f t="shared" si="540"/>
        <v>3780531.8553296216</v>
      </c>
      <c r="J3815">
        <f t="shared" si="541"/>
        <v>12513.957879192543</v>
      </c>
      <c r="K3815">
        <f t="shared" si="542"/>
        <v>302.10520858597926</v>
      </c>
      <c r="L3815" s="4">
        <f>MIN(MAX(L3814*(1+MAX(MIN(((B3815-B3814)/B3814)/($K$7*卓尔金历!$N$40),0),-卓尔金历!$M$43))+MIN(MAX(((B3815-B3814)/B3814)/($K$7*卓尔金历!$N$40),0),卓尔金历!$M$43),0),1)</f>
        <v>0</v>
      </c>
      <c r="M3815" s="4">
        <f>MIN(MAX(M3814*(1+MAX(MIN(((B3815-B3814)/B3814)/($K$7*30),0),-卓尔金历!$M$43))+MIN(MAX(((B3815-B3814)/B3814)/($K$7*7),0),卓尔金历!$M$43),0),1)</f>
        <v>0.13031098350482917</v>
      </c>
      <c r="N3815">
        <f t="shared" si="543"/>
        <v>950455.23458100623</v>
      </c>
      <c r="O3815">
        <f t="shared" si="544"/>
        <v>3224248.68302566</v>
      </c>
      <c r="P3815">
        <f t="shared" si="545"/>
        <v>-8.221118334408864E-2</v>
      </c>
      <c r="Q3815">
        <f t="shared" si="536"/>
        <v>7.8911562862623352E-2</v>
      </c>
      <c r="R3815">
        <f t="shared" si="537"/>
        <v>7.3239947207320202E-2</v>
      </c>
      <c r="S3815">
        <f t="shared" si="539"/>
        <v>2817.4213965103886</v>
      </c>
      <c r="T3815" s="564">
        <f>IF((I3815-MAX(I$470:I3815))/MAX(I$470:I3815)&gt;T3814,T3814,(I3815-MAX(I$470:I3815))/MAX(I$470:I3815))</f>
        <v>-0.91338805338419748</v>
      </c>
      <c r="U3815" s="564">
        <f>IF((J3815-MAX(J$470:J3815))/MAX(J$470:J3815)&gt;U3814,U3814,(J3815-MAX(J$470:J3815))/MAX(J$470:J3815))</f>
        <v>-0.83569785939843477</v>
      </c>
      <c r="V3815" s="564">
        <f>IF((K3815-MAX(K$470:K3815))/MAX(K$470:K3815)&gt;V3814,V3814,(K3815-MAX(K$470:K3815))/MAX(K$470:K3815))</f>
        <v>-0.84885940676762139</v>
      </c>
      <c r="W3815" s="564">
        <f>IF((N3815-MAX(N$470:N3815))/MAX(N$470:N3815)&gt;W3814,W3814,(N3815-MAX(N$470:N3815))/MAX(N$470:N3815))</f>
        <v>-0.62788758315546067</v>
      </c>
      <c r="X3815" s="564">
        <f>IF((O3815-MAX(O$470:O3815))/MAX(O$470:O3815)&gt;X3814,X3814,(O3815-MAX(O$470:O3815))/MAX(O$470:O3815))</f>
        <v>-0.62788758315546067</v>
      </c>
    </row>
    <row r="3816" spans="1:24">
      <c r="A3816" s="799">
        <v>44218</v>
      </c>
      <c r="B3816">
        <v>32389.8728719871</v>
      </c>
      <c r="C3816">
        <v>55862.357680206202</v>
      </c>
      <c r="D3816">
        <v>2.8357064699999999</v>
      </c>
      <c r="E3816">
        <f>LN(D3816/参数实验室!$E$53)/参数实验室!$E$55</f>
        <v>0.53667801470845633</v>
      </c>
      <c r="F3816">
        <f t="shared" si="538"/>
        <v>1.724685919607905</v>
      </c>
      <c r="G3816">
        <f>LN(F3816/参数实验室!$E$58)/参数实验室!$E$59</f>
        <v>9.5539025379963893E-2</v>
      </c>
      <c r="H3816" s="856">
        <f>INDEX(神经网络!$G$10:$BO$70,MATCH(ROUND(G3816*2,1)/2,神经网络!$E$10:$E$70,0),MATCH(ROUND(E3816*2,1)/2,神经网络!$G$8:$BO$8,0))</f>
        <v>1.9342698288427571</v>
      </c>
      <c r="I3816">
        <f t="shared" si="540"/>
        <v>4003466.1732687657</v>
      </c>
      <c r="J3816">
        <f t="shared" si="541"/>
        <v>12924.413579660441</v>
      </c>
      <c r="K3816">
        <f t="shared" si="542"/>
        <v>309.75998629207805</v>
      </c>
      <c r="L3816" s="4">
        <f>MIN(MAX(L3815*(1+MAX(MIN(((B3816-B3815)/B3815)/($K$7*卓尔金历!$N$40),0),-卓尔金历!$M$43))+MIN(MAX(((B3816-B3815)/B3815)/($K$7*卓尔金历!$N$40),0),卓尔金历!$M$43),0),1)</f>
        <v>0.50114993823873144</v>
      </c>
      <c r="M3816" s="4">
        <f>MIN(MAX(M3815*(1+MAX(MIN(((B3816-B3815)/B3815)/($K$7*30),0),-卓尔金历!$M$43))+MIN(MAX(((B3816-B3815)/B3815)/($K$7*7),0),卓尔金历!$M$43),0),1)</f>
        <v>1</v>
      </c>
      <c r="N3816">
        <f t="shared" si="543"/>
        <v>950455.23458100623</v>
      </c>
      <c r="O3816">
        <f t="shared" si="544"/>
        <v>3249024.8192193643</v>
      </c>
      <c r="P3816">
        <f t="shared" si="545"/>
        <v>3.2799830751418652E-2</v>
      </c>
      <c r="Q3816">
        <f t="shared" si="536"/>
        <v>7.9087604745411891E-2</v>
      </c>
      <c r="R3816">
        <f t="shared" si="537"/>
        <v>1</v>
      </c>
      <c r="S3816">
        <f t="shared" si="539"/>
        <v>2829.5895269613598</v>
      </c>
      <c r="T3816" s="564">
        <f>IF((I3816-MAX(I$470:I3816))/MAX(I$470:I3816)&gt;T3815,T3815,(I3816-MAX(I$470:I3816))/MAX(I$470:I3816))</f>
        <v>-0.91338805338419748</v>
      </c>
      <c r="U3816" s="564">
        <f>IF((J3816-MAX(J$470:J3816))/MAX(J$470:J3816)&gt;U3815,U3815,(J3816-MAX(J$470:J3816))/MAX(J$470:J3816))</f>
        <v>-0.83569785939843477</v>
      </c>
      <c r="V3816" s="564">
        <f>IF((K3816-MAX(K$470:K3816))/MAX(K$470:K3816)&gt;V3815,V3815,(K3816-MAX(K$470:K3816))/MAX(K$470:K3816))</f>
        <v>-0.84885940676762139</v>
      </c>
      <c r="W3816" s="564">
        <f>IF((N3816-MAX(N$470:N3816))/MAX(N$470:N3816)&gt;W3815,W3815,(N3816-MAX(N$470:N3816))/MAX(N$470:N3816))</f>
        <v>-0.62788758315546067</v>
      </c>
      <c r="X3816" s="564">
        <f>IF((O3816-MAX(O$470:O3816))/MAX(O$470:O3816)&gt;X3815,X3815,(O3816-MAX(O$470:O3816))/MAX(O$470:O3816))</f>
        <v>-0.62788758315546067</v>
      </c>
    </row>
    <row r="3817" spans="1:24">
      <c r="A3817" s="799">
        <v>44219</v>
      </c>
      <c r="B3817">
        <v>31929.408267422201</v>
      </c>
      <c r="C3817">
        <v>54774.952755316699</v>
      </c>
      <c r="D3817">
        <v>2.7508041799999998</v>
      </c>
      <c r="E3817">
        <f>LN(D3817/参数实验室!$E$53)/参数实验室!$E$55</f>
        <v>0.50081610696848444</v>
      </c>
      <c r="F3817">
        <f t="shared" si="538"/>
        <v>1.7155016559202561</v>
      </c>
      <c r="G3817">
        <f>LN(F3817/参数实验室!$E$58)/参数实验室!$E$59</f>
        <v>9.2736614595357744E-2</v>
      </c>
      <c r="H3817" s="856">
        <f>INDEX(神经网络!$G$10:$BO$70,MATCH(ROUND(G3817*2,1)/2,神经网络!$E$10:$E$70,0),MATCH(ROUND(E3817*2,1)/2,神经网络!$G$8:$BO$8,0))</f>
        <v>1.8672621929338808</v>
      </c>
      <c r="I3817">
        <f t="shared" si="540"/>
        <v>3893378.1104630576</v>
      </c>
      <c r="J3817">
        <f t="shared" si="541"/>
        <v>12740.676057388824</v>
      </c>
      <c r="K3817">
        <f t="shared" si="542"/>
        <v>305.58646126200915</v>
      </c>
      <c r="L3817" s="4">
        <f>MIN(MAX(L3816*(1+MAX(MIN(((B3817-B3816)/B3816)/($K$7*卓尔金历!$N$40),0),-卓尔金历!$M$43))+MIN(MAX(((B3817-B3816)/B3816)/($K$7*卓尔金历!$N$40),0),卓尔金历!$M$43),0),1)</f>
        <v>0.39229434017094317</v>
      </c>
      <c r="M3817" s="4">
        <f>MIN(MAX(M3816*(1+MAX(MIN(((B3817-B3816)/B3816)/($K$7*30),0),-卓尔金历!$M$43))+MIN(MAX(((B3817-B3816)/B3816)/($K$7*7),0),卓尔金历!$M$43),0),1)</f>
        <v>0.89139418189857877</v>
      </c>
      <c r="N3817">
        <f t="shared" si="543"/>
        <v>937357.28198458219</v>
      </c>
      <c r="O3817">
        <f t="shared" si="544"/>
        <v>3159682.5260975305</v>
      </c>
      <c r="P3817">
        <f t="shared" si="545"/>
        <v>-1.4216314043119908E-2</v>
      </c>
      <c r="Q3817">
        <f t="shared" si="536"/>
        <v>7.7438492431184433E-2</v>
      </c>
      <c r="R3817">
        <f t="shared" si="537"/>
        <v>1</v>
      </c>
      <c r="S3817">
        <f t="shared" si="539"/>
        <v>2751.7809440792525</v>
      </c>
      <c r="T3817" s="564">
        <f>IF((I3817-MAX(I$470:I3817))/MAX(I$470:I3817)&gt;T3816,T3816,(I3817-MAX(I$470:I3817))/MAX(I$470:I3817))</f>
        <v>-0.91338805338419748</v>
      </c>
      <c r="U3817" s="564">
        <f>IF((J3817-MAX(J$470:J3817))/MAX(J$470:J3817)&gt;U3816,U3816,(J3817-MAX(J$470:J3817))/MAX(J$470:J3817))</f>
        <v>-0.83569785939843477</v>
      </c>
      <c r="V3817" s="564">
        <f>IF((K3817-MAX(K$470:K3817))/MAX(K$470:K3817)&gt;V3816,V3816,(K3817-MAX(K$470:K3817))/MAX(K$470:K3817))</f>
        <v>-0.84885940676762139</v>
      </c>
      <c r="W3817" s="564">
        <f>IF((N3817-MAX(N$470:N3817))/MAX(N$470:N3817)&gt;W3816,W3816,(N3817-MAX(N$470:N3817))/MAX(N$470:N3817))</f>
        <v>-0.62788758315546067</v>
      </c>
      <c r="X3817" s="564">
        <f>IF((O3817-MAX(O$470:O3817))/MAX(O$470:O3817)&gt;X3816,X3816,(O3817-MAX(O$470:O3817))/MAX(O$470:O3817))</f>
        <v>-0.62788758315546067</v>
      </c>
    </row>
    <row r="3818" spans="1:24">
      <c r="A3818" s="799">
        <v>44220</v>
      </c>
      <c r="B3818">
        <v>31982.338237507</v>
      </c>
      <c r="C3818">
        <v>54963.862455469804</v>
      </c>
      <c r="D3818">
        <v>2.7637703184000002</v>
      </c>
      <c r="E3818">
        <f>LN(D3818/参数实验室!$E$53)/参数实验室!$E$55</f>
        <v>0.50636390472971082</v>
      </c>
      <c r="F3818">
        <f t="shared" si="538"/>
        <v>1.7185692317834169</v>
      </c>
      <c r="G3818">
        <f>LN(F3818/参数实验室!$E$58)/参数实验室!$E$59</f>
        <v>9.3674294727845622E-2</v>
      </c>
      <c r="H3818" s="856">
        <f>INDEX(神经网络!$G$10:$BO$70,MATCH(ROUND(G3818*2,1)/2,神经网络!$E$10:$E$70,0),MATCH(ROUND(E3818*2,1)/2,神经网络!$G$8:$BO$8,0))</f>
        <v>1.8672621929338808</v>
      </c>
      <c r="I3818">
        <f t="shared" si="540"/>
        <v>3905429.6537588527</v>
      </c>
      <c r="J3818">
        <f t="shared" si="541"/>
        <v>12761.796511514676</v>
      </c>
      <c r="K3818">
        <f t="shared" si="542"/>
        <v>306.0250686676498</v>
      </c>
      <c r="L3818" s="4">
        <f>MIN(MAX(L3817*(1+MAX(MIN(((B3818-B3817)/B3817)/($K$7*卓尔金历!$N$40),0),-卓尔金历!$M$43))+MIN(MAX(((B3818-B3817)/B3817)/($K$7*卓尔金历!$N$40),0),卓尔金历!$M$43),0),1)</f>
        <v>0.41762268772532923</v>
      </c>
      <c r="M3818" s="4">
        <f>MIN(MAX(M3817*(1+MAX(MIN(((B3818-B3817)/B3817)/($K$7*30),0),-卓尔金历!$M$43))+MIN(MAX(((B3818-B3817)/B3817)/($K$7*7),0),卓尔金历!$M$43),0),1)</f>
        <v>0.9456692123722632</v>
      </c>
      <c r="N3818">
        <f t="shared" si="543"/>
        <v>938495.52051421837</v>
      </c>
      <c r="O3818">
        <f t="shared" si="544"/>
        <v>3168400.776249561</v>
      </c>
      <c r="P3818">
        <f t="shared" si="545"/>
        <v>1.6577184782595397E-3</v>
      </c>
      <c r="Q3818">
        <f t="shared" si="536"/>
        <v>7.6296967948010691E-2</v>
      </c>
      <c r="R3818">
        <f t="shared" si="537"/>
        <v>1</v>
      </c>
      <c r="S3818">
        <f t="shared" si="539"/>
        <v>2760.2987931674243</v>
      </c>
      <c r="T3818" s="564">
        <f>IF((I3818-MAX(I$470:I3818))/MAX(I$470:I3818)&gt;T3817,T3817,(I3818-MAX(I$470:I3818))/MAX(I$470:I3818))</f>
        <v>-0.91338805338419748</v>
      </c>
      <c r="U3818" s="564">
        <f>IF((J3818-MAX(J$470:J3818))/MAX(J$470:J3818)&gt;U3817,U3817,(J3818-MAX(J$470:J3818))/MAX(J$470:J3818))</f>
        <v>-0.83569785939843477</v>
      </c>
      <c r="V3818" s="564">
        <f>IF((K3818-MAX(K$470:K3818))/MAX(K$470:K3818)&gt;V3817,V3817,(K3818-MAX(K$470:K3818))/MAX(K$470:K3818))</f>
        <v>-0.84885940676762139</v>
      </c>
      <c r="W3818" s="564">
        <f>IF((N3818-MAX(N$470:N3818))/MAX(N$470:N3818)&gt;W3817,W3817,(N3818-MAX(N$470:N3818))/MAX(N$470:N3818))</f>
        <v>-0.62788758315546067</v>
      </c>
      <c r="X3818" s="564">
        <f>IF((O3818-MAX(O$470:O3818))/MAX(O$470:O3818)&gt;X3817,X3817,(O3818-MAX(O$470:O3818))/MAX(O$470:O3818))</f>
        <v>-0.62788758315546067</v>
      </c>
    </row>
    <row r="3819" spans="1:24">
      <c r="A3819" s="799">
        <v>44221</v>
      </c>
      <c r="B3819">
        <v>34514.815911845901</v>
      </c>
      <c r="C3819">
        <v>54863.463507244</v>
      </c>
      <c r="D3819">
        <v>2.7771916916000001</v>
      </c>
      <c r="E3819">
        <f>LN(D3819/参数实验室!$E$53)/参数实验室!$E$55</f>
        <v>0.51207913595099497</v>
      </c>
      <c r="F3819">
        <f t="shared" si="538"/>
        <v>1.5895626865682977</v>
      </c>
      <c r="G3819">
        <f>LN(F3819/参数实验室!$E$58)/参数实验室!$E$59</f>
        <v>5.2718273024614626E-2</v>
      </c>
      <c r="H3819" s="856">
        <f>INDEX(神经网络!$G$10:$BO$70,MATCH(ROUND(G3819*2,1)/2,神经网络!$E$10:$E$70,0),MATCH(ROUND(E3819*2,1)/2,神经网络!$G$8:$BO$8,0))</f>
        <v>1.8351775916078679</v>
      </c>
      <c r="I3819">
        <f t="shared" si="540"/>
        <v>4482873.2068206053</v>
      </c>
      <c r="J3819">
        <f t="shared" si="541"/>
        <v>13772.321899304028</v>
      </c>
      <c r="K3819">
        <f t="shared" si="542"/>
        <v>325.49872415101942</v>
      </c>
      <c r="L3819" s="4">
        <f>MIN(MAX(L3818*(1+MAX(MIN(((B3819-B3818)/B3818)/($K$7*卓尔金历!$N$40),0),-卓尔金历!$M$43))+MIN(MAX(((B3819-B3818)/B3818)/($K$7*卓尔金历!$N$40),0),卓尔金历!$M$43),0),1)</f>
        <v>1</v>
      </c>
      <c r="M3819" s="4">
        <f>MIN(MAX(M3818*(1+MAX(MIN(((B3819-B3818)/B3818)/($K$7*30),0),-卓尔金历!$M$43))+MIN(MAX(((B3819-B3818)/B3818)/($K$7*7),0),卓尔金历!$M$43),0),1)</f>
        <v>1</v>
      </c>
      <c r="N3819">
        <f t="shared" si="543"/>
        <v>996445.99624903675</v>
      </c>
      <c r="O3819">
        <f t="shared" si="544"/>
        <v>3611417.4567881837</v>
      </c>
      <c r="P3819">
        <f t="shared" si="545"/>
        <v>7.9183631150800626E-2</v>
      </c>
      <c r="Q3819">
        <f t="shared" si="536"/>
        <v>7.6978660103595498E-2</v>
      </c>
      <c r="R3819">
        <f t="shared" si="537"/>
        <v>7.4142237951221282E-2</v>
      </c>
      <c r="S3819">
        <f t="shared" si="539"/>
        <v>3168.4271897715139</v>
      </c>
      <c r="T3819" s="564">
        <f>IF((I3819-MAX(I$470:I3819))/MAX(I$470:I3819)&gt;T3818,T3818,(I3819-MAX(I$470:I3819))/MAX(I$470:I3819))</f>
        <v>-0.91338805338419748</v>
      </c>
      <c r="U3819" s="564">
        <f>IF((J3819-MAX(J$470:J3819))/MAX(J$470:J3819)&gt;U3818,U3818,(J3819-MAX(J$470:J3819))/MAX(J$470:J3819))</f>
        <v>-0.83569785939843477</v>
      </c>
      <c r="V3819" s="564">
        <f>IF((K3819-MAX(K$470:K3819))/MAX(K$470:K3819)&gt;V3818,V3818,(K3819-MAX(K$470:K3819))/MAX(K$470:K3819))</f>
        <v>-0.84885940676762139</v>
      </c>
      <c r="W3819" s="564">
        <f>IF((N3819-MAX(N$470:N3819))/MAX(N$470:N3819)&gt;W3818,W3818,(N3819-MAX(N$470:N3819))/MAX(N$470:N3819))</f>
        <v>-0.62788758315546067</v>
      </c>
      <c r="X3819" s="564">
        <f>IF((O3819-MAX(O$470:O3819))/MAX(O$470:O3819)&gt;X3818,X3818,(O3819-MAX(O$470:O3819))/MAX(O$470:O3819))</f>
        <v>-0.62788758315546067</v>
      </c>
    </row>
    <row r="3820" spans="1:24">
      <c r="A3820" s="799">
        <v>44222</v>
      </c>
      <c r="B3820">
        <v>31756.354320322</v>
      </c>
      <c r="C3820">
        <v>54405.5111438807</v>
      </c>
      <c r="D3820">
        <v>2.7916083700000001</v>
      </c>
      <c r="E3820">
        <f>LN(D3820/参数实验室!$E$53)/参数实验室!$E$55</f>
        <v>0.51818751151417064</v>
      </c>
      <c r="F3820">
        <f t="shared" si="538"/>
        <v>1.713216529677801</v>
      </c>
      <c r="G3820">
        <f>LN(F3820/参数实验室!$E$58)/参数实验室!$E$59</f>
        <v>9.203701908475663E-2</v>
      </c>
      <c r="H3820" s="856">
        <f>INDEX(神经网络!$G$10:$BO$70,MATCH(ROUND(G3820*2,1)/2,神经网络!$E$10:$E$70,0),MATCH(ROUND(E3820*2,1)/2,神经网络!$G$8:$BO$8,0))</f>
        <v>1.8672621929338808</v>
      </c>
      <c r="I3820">
        <f t="shared" si="540"/>
        <v>3825372.9405556703</v>
      </c>
      <c r="J3820">
        <f t="shared" si="541"/>
        <v>12671.622968086642</v>
      </c>
      <c r="K3820">
        <f t="shared" si="542"/>
        <v>301.8850032225418</v>
      </c>
      <c r="L3820" s="4">
        <f>MIN(MAX(L3819*(1+MAX(MIN(((B3820-B3819)/B3819)/($K$7*卓尔金历!$N$40),0),-卓尔金历!$M$43))+MIN(MAX(((B3820-B3819)/B3819)/($K$7*卓尔金历!$N$40),0),卓尔金历!$M$43),0),1)</f>
        <v>0</v>
      </c>
      <c r="M3820" s="4">
        <f>MIN(MAX(M3819*(1+MAX(MIN(((B3820-B3819)/B3819)/($K$7*30),0),-卓尔金历!$M$43))+MIN(MAX(((B3820-B3819)/B3819)/($K$7*7),0),卓尔金历!$M$43),0),1)</f>
        <v>0.38944124562961413</v>
      </c>
      <c r="N3820">
        <f t="shared" si="543"/>
        <v>850297.87257345486</v>
      </c>
      <c r="O3820">
        <f t="shared" si="544"/>
        <v>3081733.0713767703</v>
      </c>
      <c r="P3820">
        <f t="shared" si="545"/>
        <v>-7.9921086601454638E-2</v>
      </c>
      <c r="Q3820">
        <f t="shared" ref="Q3820:Q3883" si="546">STDEVP(P3800:P3820)</f>
        <v>7.9161576617807178E-2</v>
      </c>
      <c r="R3820">
        <f t="shared" ref="R3820:R3883" si="547">MIN(Q3819*MAX(1-LN(MAX(ABS(P3820),0.0001)/Q3820),0)+MAX(-LN(MAX(ABS(P3820),0.0001)/Q3820),0),1)</f>
        <v>7.6243614512513727E-2</v>
      </c>
      <c r="S3820">
        <f t="shared" si="539"/>
        <v>3133.9724558863236</v>
      </c>
      <c r="T3820" s="564">
        <f>IF((I3820-MAX(I$470:I3820))/MAX(I$470:I3820)&gt;T3819,T3819,(I3820-MAX(I$470:I3820))/MAX(I$470:I3820))</f>
        <v>-0.91338805338419748</v>
      </c>
      <c r="U3820" s="564">
        <f>IF((J3820-MAX(J$470:J3820))/MAX(J$470:J3820)&gt;U3819,U3819,(J3820-MAX(J$470:J3820))/MAX(J$470:J3820))</f>
        <v>-0.83569785939843477</v>
      </c>
      <c r="V3820" s="564">
        <f>IF((K3820-MAX(K$470:K3820))/MAX(K$470:K3820)&gt;V3819,V3819,(K3820-MAX(K$470:K3820))/MAX(K$470:K3820))</f>
        <v>-0.84885940676762139</v>
      </c>
      <c r="W3820" s="564">
        <f>IF((N3820-MAX(N$470:N3820))/MAX(N$470:N3820)&gt;W3819,W3819,(N3820-MAX(N$470:N3820))/MAX(N$470:N3820))</f>
        <v>-0.62788758315546067</v>
      </c>
      <c r="X3820" s="564">
        <f>IF((O3820-MAX(O$470:O3820))/MAX(O$470:O3820)&gt;X3819,X3819,(O3820-MAX(O$470:O3820))/MAX(O$470:O3820))</f>
        <v>-0.62788758315546067</v>
      </c>
    </row>
    <row r="3821" spans="1:24">
      <c r="A3821" s="799">
        <v>44223</v>
      </c>
      <c r="B3821">
        <v>30421.897659010199</v>
      </c>
      <c r="C3821">
        <v>55062.370438035003</v>
      </c>
      <c r="D3821">
        <v>2.5841669500000002</v>
      </c>
      <c r="E3821">
        <f>LN(D3821/参数实验室!$E$53)/参数实验室!$E$55</f>
        <v>0.42709320281494079</v>
      </c>
      <c r="F3821">
        <f t="shared" si="538"/>
        <v>1.8099584403054789</v>
      </c>
      <c r="G3821">
        <f>LN(F3821/参数实验室!$E$58)/参数实验室!$E$59</f>
        <v>0.1208679175649314</v>
      </c>
      <c r="H3821" s="856">
        <f>INDEX(神经网络!$G$10:$BO$70,MATCH(ROUND(G3821*2,1)/2,神经网络!$E$10:$E$70,0),MATCH(ROUND(E3821*2,1)/2,神经网络!$G$8:$BO$8,0))</f>
        <v>1.7978457311617499</v>
      </c>
      <c r="I3821">
        <f t="shared" si="540"/>
        <v>3525212.8688298604</v>
      </c>
      <c r="J3821">
        <f t="shared" si="541"/>
        <v>12139.139563070163</v>
      </c>
      <c r="K3821">
        <f t="shared" si="542"/>
        <v>290.40055520527216</v>
      </c>
      <c r="L3821" s="4">
        <f>MIN(MAX(L3820*(1+MAX(MIN(((B3821-B3820)/B3820)/($K$7*卓尔金历!$N$40),0),-卓尔金历!$M$43))+MIN(MAX(((B3821-B3820)/B3820)/($K$7*卓尔金历!$N$40),0),卓尔金历!$M$43),0),1)</f>
        <v>0</v>
      </c>
      <c r="M3821" s="4">
        <f>MIN(MAX(M3820*(1+MAX(MIN(((B3821-B3820)/B3820)/($K$7*30),0),-卓尔金历!$M$43))+MIN(MAX(((B3821-B3820)/B3820)/($K$7*7),0),卓尔金历!$M$43),0),1)</f>
        <v>0.26442056371044037</v>
      </c>
      <c r="N3821">
        <f t="shared" si="543"/>
        <v>850297.87257345486</v>
      </c>
      <c r="O3821">
        <f t="shared" si="544"/>
        <v>2987562.305253054</v>
      </c>
      <c r="P3821">
        <f t="shared" si="545"/>
        <v>-4.2021721002710788E-2</v>
      </c>
      <c r="Q3821">
        <f t="shared" si="546"/>
        <v>7.785633011172767E-2</v>
      </c>
      <c r="R3821">
        <f t="shared" si="547"/>
        <v>0.74465737861263159</v>
      </c>
      <c r="S3821">
        <f t="shared" si="539"/>
        <v>3115.2234696146702</v>
      </c>
      <c r="T3821" s="564">
        <f>IF((I3821-MAX(I$470:I3821))/MAX(I$470:I3821)&gt;T3820,T3820,(I3821-MAX(I$470:I3821))/MAX(I$470:I3821))</f>
        <v>-0.91338805338419748</v>
      </c>
      <c r="U3821" s="564">
        <f>IF((J3821-MAX(J$470:J3821))/MAX(J$470:J3821)&gt;U3820,U3820,(J3821-MAX(J$470:J3821))/MAX(J$470:J3821))</f>
        <v>-0.83569785939843477</v>
      </c>
      <c r="V3821" s="564">
        <f>IF((K3821-MAX(K$470:K3821))/MAX(K$470:K3821)&gt;V3820,V3820,(K3821-MAX(K$470:K3821))/MAX(K$470:K3821))</f>
        <v>-0.84885940676762139</v>
      </c>
      <c r="W3821" s="564">
        <f>IF((N3821-MAX(N$470:N3821))/MAX(N$470:N3821)&gt;W3820,W3820,(N3821-MAX(N$470:N3821))/MAX(N$470:N3821))</f>
        <v>-0.62788758315546067</v>
      </c>
      <c r="X3821" s="564">
        <f>IF((O3821-MAX(O$470:O3821))/MAX(O$470:O3821)&gt;X3820,X3820,(O3821-MAX(O$470:O3821))/MAX(O$470:O3821))</f>
        <v>-0.62788758315546067</v>
      </c>
    </row>
    <row r="3822" spans="1:24">
      <c r="A3822" s="799">
        <v>44224</v>
      </c>
      <c r="B3822">
        <v>31936.675822314501</v>
      </c>
      <c r="C3822">
        <v>55325.940512018497</v>
      </c>
      <c r="D3822">
        <v>2.8353715099999999</v>
      </c>
      <c r="E3822">
        <f>LN(D3822/参数实验室!$E$53)/参数实验室!$E$55</f>
        <v>0.53653865138160595</v>
      </c>
      <c r="F3822">
        <f t="shared" si="538"/>
        <v>1.7323637819989288</v>
      </c>
      <c r="G3822">
        <f>LN(F3822/参数实验室!$E$58)/参数实验室!$E$59</f>
        <v>9.7870356481120621E-2</v>
      </c>
      <c r="H3822" s="856">
        <f>INDEX(神经网络!$G$10:$BO$70,MATCH(ROUND(G3822*2,1)/2,神经网络!$E$10:$E$70,0),MATCH(ROUND(E3822*2,1)/2,神经网络!$G$8:$BO$8,0))</f>
        <v>1.9342698288427571</v>
      </c>
      <c r="I3822">
        <f t="shared" si="540"/>
        <v>3840786.3530538329</v>
      </c>
      <c r="J3822">
        <f t="shared" si="541"/>
        <v>12743.576003477288</v>
      </c>
      <c r="K3822">
        <f t="shared" si="542"/>
        <v>301.3899985377584</v>
      </c>
      <c r="L3822" s="4">
        <f>MIN(MAX(L3821*(1+MAX(MIN(((B3822-B3821)/B3821)/($K$7*卓尔金历!$N$40),0),-卓尔金历!$M$43))+MIN(MAX(((B3822-B3821)/B3821)/($K$7*卓尔金历!$N$40),0),卓尔金历!$M$43),0),1)</f>
        <v>0.76077952042462971</v>
      </c>
      <c r="M3822" s="4">
        <f>MIN(MAX(M3821*(1+MAX(MIN(((B3822-B3821)/B3821)/($K$7*30),0),-卓尔金历!$M$43))+MIN(MAX(((B3822-B3821)/B3821)/($K$7*7),0),卓尔金历!$M$43),0),1)</f>
        <v>1</v>
      </c>
      <c r="N3822">
        <f t="shared" si="543"/>
        <v>850297.87257345486</v>
      </c>
      <c r="O3822">
        <f t="shared" si="544"/>
        <v>3058279.8796442435</v>
      </c>
      <c r="P3822">
        <f t="shared" si="545"/>
        <v>4.9792362734336605E-2</v>
      </c>
      <c r="Q3822">
        <f t="shared" si="546"/>
        <v>7.3438137171798742E-2</v>
      </c>
      <c r="R3822">
        <f t="shared" si="547"/>
        <v>0.49669164761230766</v>
      </c>
      <c r="S3822">
        <f t="shared" si="539"/>
        <v>3322.8873004402622</v>
      </c>
      <c r="T3822" s="564">
        <f>IF((I3822-MAX(I$470:I3822))/MAX(I$470:I3822)&gt;T3821,T3821,(I3822-MAX(I$470:I3822))/MAX(I$470:I3822))</f>
        <v>-0.91338805338419748</v>
      </c>
      <c r="U3822" s="564">
        <f>IF((J3822-MAX(J$470:J3822))/MAX(J$470:J3822)&gt;U3821,U3821,(J3822-MAX(J$470:J3822))/MAX(J$470:J3822))</f>
        <v>-0.83569785939843477</v>
      </c>
      <c r="V3822" s="564">
        <f>IF((K3822-MAX(K$470:K3822))/MAX(K$470:K3822)&gt;V3821,V3821,(K3822-MAX(K$470:K3822))/MAX(K$470:K3822))</f>
        <v>-0.84885940676762139</v>
      </c>
      <c r="W3822" s="564">
        <f>IF((N3822-MAX(N$470:N3822))/MAX(N$470:N3822)&gt;W3821,W3821,(N3822-MAX(N$470:N3822))/MAX(N$470:N3822))</f>
        <v>-0.62788758315546067</v>
      </c>
      <c r="X3822" s="564">
        <f>IF((O3822-MAX(O$470:O3822))/MAX(O$470:O3822)&gt;X3821,X3821,(O3822-MAX(O$470:O3822))/MAX(O$470:O3822))</f>
        <v>-0.62788758315546067</v>
      </c>
    </row>
    <row r="3823" spans="1:24">
      <c r="A3823" s="799">
        <v>44225</v>
      </c>
      <c r="B3823">
        <v>37032.914664163698</v>
      </c>
      <c r="C3823">
        <v>56072.518378038098</v>
      </c>
      <c r="D3823">
        <v>2.8712764700000002</v>
      </c>
      <c r="E3823">
        <f>LN(D3823/参数实验室!$E$53)/参数实验室!$E$55</f>
        <v>0.55138433737591719</v>
      </c>
      <c r="F3823">
        <f t="shared" si="538"/>
        <v>1.5141265246480529</v>
      </c>
      <c r="G3823">
        <f>LN(F3823/参数实验室!$E$58)/参数实验室!$E$59</f>
        <v>2.7199755449938901E-2</v>
      </c>
      <c r="H3823" s="856">
        <f>INDEX(神经网络!$G$10:$BO$70,MATCH(ROUND(G3823*2,1)/2,神经网络!$E$10:$E$70,0),MATCH(ROUND(E3823*2,1)/2,神经网络!$G$8:$BO$8,0))</f>
        <v>1.9021686801216116</v>
      </c>
      <c r="I3823">
        <f t="shared" si="540"/>
        <v>5026274.6503007784</v>
      </c>
      <c r="J3823">
        <f t="shared" si="541"/>
        <v>14777.109717953641</v>
      </c>
      <c r="K3823">
        <f t="shared" si="542"/>
        <v>340.13922520951718</v>
      </c>
      <c r="L3823" s="4">
        <f>MIN(MAX(L3822*(1+MAX(MIN(((B3823-B3822)/B3822)/($K$7*卓尔金历!$N$40),0),-卓尔金历!$M$43))+MIN(MAX(((B3823-B3822)/B3822)/($K$7*卓尔金历!$N$40),0),卓尔金历!$M$43),0),1)</f>
        <v>1</v>
      </c>
      <c r="M3823" s="4">
        <f>MIN(MAX(M3822*(1+MAX(MIN(((B3823-B3822)/B3822)/($K$7*30),0),-卓尔金历!$M$43))+MIN(MAX(((B3823-B3822)/B3822)/($K$7*7),0),卓尔金历!$M$43),0),1)</f>
        <v>1</v>
      </c>
      <c r="N3823">
        <f t="shared" si="543"/>
        <v>1049965.2101620601</v>
      </c>
      <c r="O3823">
        <f t="shared" si="544"/>
        <v>4002241.525451839</v>
      </c>
      <c r="P3823">
        <f t="shared" si="545"/>
        <v>0.15957324018952529</v>
      </c>
      <c r="Q3823">
        <f t="shared" si="546"/>
        <v>8.0927753750066944E-2</v>
      </c>
      <c r="R3823">
        <f t="shared" si="547"/>
        <v>2.3577594816610304E-2</v>
      </c>
      <c r="S3823">
        <f t="shared" si="539"/>
        <v>3832.3115216018477</v>
      </c>
      <c r="T3823" s="564">
        <f>IF((I3823-MAX(I$470:I3823))/MAX(I$470:I3823)&gt;T3822,T3822,(I3823-MAX(I$470:I3823))/MAX(I$470:I3823))</f>
        <v>-0.91338805338419748</v>
      </c>
      <c r="U3823" s="564">
        <f>IF((J3823-MAX(J$470:J3823))/MAX(J$470:J3823)&gt;U3822,U3822,(J3823-MAX(J$470:J3823))/MAX(J$470:J3823))</f>
        <v>-0.83569785939843477</v>
      </c>
      <c r="V3823" s="564">
        <f>IF((K3823-MAX(K$470:K3823))/MAX(K$470:K3823)&gt;V3822,V3822,(K3823-MAX(K$470:K3823))/MAX(K$470:K3823))</f>
        <v>-0.84885940676762139</v>
      </c>
      <c r="W3823" s="564">
        <f>IF((N3823-MAX(N$470:N3823))/MAX(N$470:N3823)&gt;W3822,W3822,(N3823-MAX(N$470:N3823))/MAX(N$470:N3823))</f>
        <v>-0.62788758315546067</v>
      </c>
      <c r="X3823" s="564">
        <f>IF((O3823-MAX(O$470:O3823))/MAX(O$470:O3823)&gt;X3822,X3822,(O3823-MAX(O$470:O3823))/MAX(O$470:O3823))</f>
        <v>-0.62788758315546067</v>
      </c>
    </row>
    <row r="3824" spans="1:24">
      <c r="A3824" s="799">
        <v>44226</v>
      </c>
      <c r="B3824">
        <v>34225.797638170603</v>
      </c>
      <c r="C3824">
        <v>57212.021018603002</v>
      </c>
      <c r="D3824">
        <v>2.8781880372000002</v>
      </c>
      <c r="E3824">
        <f>LN(D3824/参数实验室!$E$53)/参数实验室!$E$55</f>
        <v>0.55422075726952025</v>
      </c>
      <c r="F3824">
        <f t="shared" si="538"/>
        <v>1.6716051915995911</v>
      </c>
      <c r="G3824">
        <f>LN(F3824/参数实验室!$E$58)/参数实验室!$E$59</f>
        <v>7.9131772575663978E-2</v>
      </c>
      <c r="H3824" s="856">
        <f>INDEX(神经网络!$G$10:$BO$70,MATCH(ROUND(G3824*2,1)/2,神经网络!$E$10:$E$70,0),MATCH(ROUND(E3824*2,1)/2,神经网络!$G$8:$BO$8,0))</f>
        <v>1.9342698288427571</v>
      </c>
      <c r="I3824">
        <f t="shared" si="540"/>
        <v>4301558.6220702445</v>
      </c>
      <c r="J3824">
        <f t="shared" si="541"/>
        <v>13656.995985064654</v>
      </c>
      <c r="K3824">
        <f t="shared" si="542"/>
        <v>314.97106880418261</v>
      </c>
      <c r="L3824" s="4">
        <f>MIN(MAX(L3823*(1+MAX(MIN(((B3824-B3823)/B3823)/($K$7*卓尔金历!$N$40),0),-卓尔金历!$M$43))+MIN(MAX(((B3824-B3823)/B3823)/($K$7*卓尔金历!$N$40),0),卓尔金历!$M$43),0),1)</f>
        <v>0</v>
      </c>
      <c r="M3824" s="4">
        <f>MIN(MAX(M3823*(1+MAX(MIN(((B3824-B3823)/B3823)/($K$7*30),0),-卓尔金历!$M$43))+MIN(MAX(((B3824-B3823)/B3823)/($K$7*7),0),卓尔金历!$M$43),0),1)</f>
        <v>0.42091981204512785</v>
      </c>
      <c r="N3824">
        <f t="shared" si="543"/>
        <v>898575.42949351843</v>
      </c>
      <c r="O3824">
        <f t="shared" si="544"/>
        <v>3425176.2466630642</v>
      </c>
      <c r="P3824">
        <f t="shared" si="545"/>
        <v>-7.5800596616541982E-2</v>
      </c>
      <c r="Q3824">
        <f t="shared" si="546"/>
        <v>8.247333654822897E-2</v>
      </c>
      <c r="R3824">
        <f t="shared" si="547"/>
        <v>0.17212442223436558</v>
      </c>
      <c r="S3824">
        <f t="shared" si="539"/>
        <v>3819.2833954445823</v>
      </c>
      <c r="T3824" s="564">
        <f>IF((I3824-MAX(I$470:I3824))/MAX(I$470:I3824)&gt;T3823,T3823,(I3824-MAX(I$470:I3824))/MAX(I$470:I3824))</f>
        <v>-0.91338805338419748</v>
      </c>
      <c r="U3824" s="564">
        <f>IF((J3824-MAX(J$470:J3824))/MAX(J$470:J3824)&gt;U3823,U3823,(J3824-MAX(J$470:J3824))/MAX(J$470:J3824))</f>
        <v>-0.83569785939843477</v>
      </c>
      <c r="V3824" s="564">
        <f>IF((K3824-MAX(K$470:K3824))/MAX(K$470:K3824)&gt;V3823,V3823,(K3824-MAX(K$470:K3824))/MAX(K$470:K3824))</f>
        <v>-0.84885940676762139</v>
      </c>
      <c r="W3824" s="564">
        <f>IF((N3824-MAX(N$470:N3824))/MAX(N$470:N3824)&gt;W3823,W3823,(N3824-MAX(N$470:N3824))/MAX(N$470:N3824))</f>
        <v>-0.62788758315546067</v>
      </c>
      <c r="X3824" s="564">
        <f>IF((O3824-MAX(O$470:O3824))/MAX(O$470:O3824)&gt;X3823,X3823,(O3824-MAX(O$470:O3824))/MAX(O$470:O3824))</f>
        <v>-0.62788758315546067</v>
      </c>
    </row>
    <row r="3825" spans="1:24">
      <c r="A3825" s="799">
        <v>44227</v>
      </c>
      <c r="B3825">
        <v>32910.380668350401</v>
      </c>
      <c r="C3825">
        <v>57412.335443911797</v>
      </c>
      <c r="D3825">
        <v>2.7701296700000002</v>
      </c>
      <c r="E3825">
        <f>LN(D3825/参数实验室!$E$53)/参数实验室!$E$55</f>
        <v>0.50907536283264421</v>
      </c>
      <c r="F3825">
        <f t="shared" si="538"/>
        <v>1.7445053590378155</v>
      </c>
      <c r="G3825">
        <f>LN(F3825/参数实验室!$E$58)/参数实验室!$E$59</f>
        <v>0.10153605768751137</v>
      </c>
      <c r="H3825" s="856">
        <f>INDEX(神经网络!$G$10:$BO$70,MATCH(ROUND(G3825*2,1)/2,神经网络!$E$10:$E$70,0),MATCH(ROUND(E3825*2,1)/2,神经网络!$G$8:$BO$8,0))</f>
        <v>1.8672621929338808</v>
      </c>
      <c r="I3825">
        <f t="shared" si="540"/>
        <v>3981777.5415980392</v>
      </c>
      <c r="J3825">
        <f t="shared" si="541"/>
        <v>13132.109919137436</v>
      </c>
      <c r="K3825">
        <f t="shared" si="542"/>
        <v>303.20927605055994</v>
      </c>
      <c r="L3825" s="4">
        <f>MIN(MAX(L3824*(1+MAX(MIN(((B3825-B3824)/B3824)/($K$7*卓尔金历!$N$40),0),-卓尔金历!$M$43))+MIN(MAX(((B3825-B3824)/B3824)/($K$7*卓尔金历!$N$40),0),卓尔金历!$M$43),0),1)</f>
        <v>0</v>
      </c>
      <c r="M3825" s="4">
        <f>MIN(MAX(M3824*(1+MAX(MIN(((B3825-B3824)/B3824)/($K$7*30),0),-卓尔金历!$M$43))+MIN(MAX(((B3825-B3824)/B3824)/($K$7*7),0),卓尔金历!$M$43),0),1)</f>
        <v>0.29733209422291312</v>
      </c>
      <c r="N3825">
        <f t="shared" si="543"/>
        <v>898575.42949351843</v>
      </c>
      <c r="O3825">
        <f t="shared" si="544"/>
        <v>3317997.3674986628</v>
      </c>
      <c r="P3825">
        <f t="shared" si="545"/>
        <v>-3.8433493463806742E-2</v>
      </c>
      <c r="Q3825">
        <f t="shared" si="546"/>
        <v>8.2698358222778032E-2</v>
      </c>
      <c r="R3825">
        <f t="shared" si="547"/>
        <v>0.91194066139455532</v>
      </c>
      <c r="S3825">
        <f t="shared" si="539"/>
        <v>3770.4123870897306</v>
      </c>
      <c r="T3825" s="564">
        <f>IF((I3825-MAX(I$470:I3825))/MAX(I$470:I3825)&gt;T3824,T3824,(I3825-MAX(I$470:I3825))/MAX(I$470:I3825))</f>
        <v>-0.91338805338419748</v>
      </c>
      <c r="U3825" s="564">
        <f>IF((J3825-MAX(J$470:J3825))/MAX(J$470:J3825)&gt;U3824,U3824,(J3825-MAX(J$470:J3825))/MAX(J$470:J3825))</f>
        <v>-0.83569785939843477</v>
      </c>
      <c r="V3825" s="564">
        <f>IF((K3825-MAX(K$470:K3825))/MAX(K$470:K3825)&gt;V3824,V3824,(K3825-MAX(K$470:K3825))/MAX(K$470:K3825))</f>
        <v>-0.84885940676762139</v>
      </c>
      <c r="W3825" s="564">
        <f>IF((N3825-MAX(N$470:N3825))/MAX(N$470:N3825)&gt;W3824,W3824,(N3825-MAX(N$470:N3825))/MAX(N$470:N3825))</f>
        <v>-0.62788758315546067</v>
      </c>
      <c r="X3825" s="564">
        <f>IF((O3825-MAX(O$470:O3825))/MAX(O$470:O3825)&gt;X3824,X3824,(O3825-MAX(O$470:O3825))/MAX(O$470:O3825))</f>
        <v>-0.62788758315546067</v>
      </c>
    </row>
    <row r="3826" spans="1:24">
      <c r="A3826" s="799">
        <v>44228</v>
      </c>
      <c r="B3826">
        <v>33286.102720281502</v>
      </c>
      <c r="C3826">
        <v>58666.123302897002</v>
      </c>
      <c r="D3826">
        <v>2.7984740606999998</v>
      </c>
      <c r="E3826">
        <f>LN(D3826/参数实验室!$E$53)/参数实验室!$E$55</f>
        <v>0.5210854383510598</v>
      </c>
      <c r="F3826">
        <f t="shared" si="538"/>
        <v>1.7624809908175654</v>
      </c>
      <c r="G3826">
        <f>LN(F3826/参数实验室!$E$58)/参数实验室!$E$59</f>
        <v>0.1069165551858076</v>
      </c>
      <c r="H3826" s="856">
        <f>INDEX(神经网络!$G$10:$BO$70,MATCH(ROUND(G3826*2,1)/2,神经网络!$E$10:$E$70,0),MATCH(ROUND(E3826*2,1)/2,神经网络!$G$8:$BO$8,0))</f>
        <v>1.8672621929338808</v>
      </c>
      <c r="I3826">
        <f t="shared" si="540"/>
        <v>4066659.6339585232</v>
      </c>
      <c r="J3826">
        <f t="shared" si="541"/>
        <v>13282.032927768816</v>
      </c>
      <c r="K3826">
        <f t="shared" si="542"/>
        <v>306.17749979043771</v>
      </c>
      <c r="L3826" s="4">
        <f>MIN(MAX(L3825*(1+MAX(MIN(((B3826-B3825)/B3825)/($K$7*卓尔金历!$N$40),0),-卓尔金历!$M$43))+MIN(MAX(((B3826-B3825)/B3825)/($K$7*卓尔金历!$N$40),0),卓尔金历!$M$43),0),1)</f>
        <v>0.17443348522391863</v>
      </c>
      <c r="M3826" s="4">
        <f>MIN(MAX(M3825*(1+MAX(MIN(((B3826-B3825)/B3825)/($K$7*30),0),-卓尔金历!$M$43))+MIN(MAX(((B3826-B3825)/B3825)/($K$7*7),0),卓尔金历!$M$43),0),1)</f>
        <v>0.6711181339884531</v>
      </c>
      <c r="N3826">
        <f t="shared" si="543"/>
        <v>898575.42949351843</v>
      </c>
      <c r="O3826">
        <f t="shared" si="544"/>
        <v>3339028.2216050285</v>
      </c>
      <c r="P3826">
        <f t="shared" si="545"/>
        <v>1.141652099735296E-2</v>
      </c>
      <c r="Q3826">
        <f t="shared" si="546"/>
        <v>7.0159028767687592E-2</v>
      </c>
      <c r="R3826">
        <f t="shared" si="547"/>
        <v>1</v>
      </c>
      <c r="S3826">
        <f t="shared" si="539"/>
        <v>3843.7107909644865</v>
      </c>
      <c r="T3826" s="564">
        <f>IF((I3826-MAX(I$470:I3826))/MAX(I$470:I3826)&gt;T3825,T3825,(I3826-MAX(I$470:I3826))/MAX(I$470:I3826))</f>
        <v>-0.91338805338419748</v>
      </c>
      <c r="U3826" s="564">
        <f>IF((J3826-MAX(J$470:J3826))/MAX(J$470:J3826)&gt;U3825,U3825,(J3826-MAX(J$470:J3826))/MAX(J$470:J3826))</f>
        <v>-0.83569785939843477</v>
      </c>
      <c r="V3826" s="564">
        <f>IF((K3826-MAX(K$470:K3826))/MAX(K$470:K3826)&gt;V3825,V3825,(K3826-MAX(K$470:K3826))/MAX(K$470:K3826))</f>
        <v>-0.84885940676762139</v>
      </c>
      <c r="W3826" s="564">
        <f>IF((N3826-MAX(N$470:N3826))/MAX(N$470:N3826)&gt;W3825,W3825,(N3826-MAX(N$470:N3826))/MAX(N$470:N3826))</f>
        <v>-0.62788758315546067</v>
      </c>
      <c r="X3826" s="564">
        <f>IF((O3826-MAX(O$470:O3826))/MAX(O$470:O3826)&gt;X3825,X3825,(O3826-MAX(O$470:O3826))/MAX(O$470:O3826))</f>
        <v>-0.62788758315546067</v>
      </c>
    </row>
    <row r="3827" spans="1:24">
      <c r="A3827" s="799">
        <v>44229</v>
      </c>
      <c r="B3827">
        <v>34631.834207074702</v>
      </c>
      <c r="C3827">
        <v>58873.727303868698</v>
      </c>
      <c r="D3827">
        <v>2.9524774100000002</v>
      </c>
      <c r="E3827">
        <f>LN(D3827/参数实验室!$E$53)/参数实验室!$E$55</f>
        <v>0.58428520613190327</v>
      </c>
      <c r="F3827">
        <f t="shared" si="538"/>
        <v>1.6999887141941152</v>
      </c>
      <c r="G3827">
        <f>LN(F3827/参数实验室!$E$58)/参数实验室!$E$59</f>
        <v>8.7968873924898203E-2</v>
      </c>
      <c r="H3827" s="856">
        <f>INDEX(神经网络!$G$10:$BO$70,MATCH(ROUND(G3827*2,1)/2,神经网络!$E$10:$E$70,0),MATCH(ROUND(E3827*2,1)/2,神经网络!$G$8:$BO$8,0))</f>
        <v>1.9940873001820962</v>
      </c>
      <c r="I3827">
        <f t="shared" si="540"/>
        <v>4373659.7882724525</v>
      </c>
      <c r="J3827">
        <f t="shared" si="541"/>
        <v>13819.015285533151</v>
      </c>
      <c r="K3827">
        <f t="shared" si="542"/>
        <v>316.49576311353741</v>
      </c>
      <c r="L3827" s="4">
        <f>MIN(MAX(L3826*(1+MAX(MIN(((B3827-B3826)/B3826)/($K$7*卓尔金历!$N$40),0),-卓尔金历!$M$43))+MIN(MAX(((B3827-B3826)/B3826)/($K$7*卓尔金历!$N$40),0),卓尔金历!$M$43),0),1)</f>
        <v>0.79215331530096134</v>
      </c>
      <c r="M3827" s="4">
        <f>MIN(MAX(M3826*(1+MAX(MIN(((B3827-B3826)/B3826)/($K$7*30),0),-卓尔金历!$M$43))+MIN(MAX(((B3827-B3826)/B3826)/($K$7*7),0),卓尔金历!$M$43),0),1)</f>
        <v>1</v>
      </c>
      <c r="N3827">
        <f t="shared" si="543"/>
        <v>910408.16525135248</v>
      </c>
      <c r="O3827">
        <f t="shared" si="544"/>
        <v>3508196.8517028331</v>
      </c>
      <c r="P3827">
        <f t="shared" si="545"/>
        <v>4.0429229522663056E-2</v>
      </c>
      <c r="Q3827">
        <f t="shared" si="546"/>
        <v>6.9192473877637786E-2</v>
      </c>
      <c r="R3827">
        <f t="shared" si="547"/>
        <v>0.64519728744410842</v>
      </c>
      <c r="S3827">
        <f t="shared" si="539"/>
        <v>4133.8800975153699</v>
      </c>
      <c r="T3827" s="564">
        <f>IF((I3827-MAX(I$470:I3827))/MAX(I$470:I3827)&gt;T3826,T3826,(I3827-MAX(I$470:I3827))/MAX(I$470:I3827))</f>
        <v>-0.91338805338419748</v>
      </c>
      <c r="U3827" s="564">
        <f>IF((J3827-MAX(J$470:J3827))/MAX(J$470:J3827)&gt;U3826,U3826,(J3827-MAX(J$470:J3827))/MAX(J$470:J3827))</f>
        <v>-0.83569785939843477</v>
      </c>
      <c r="V3827" s="564">
        <f>IF((K3827-MAX(K$470:K3827))/MAX(K$470:K3827)&gt;V3826,V3826,(K3827-MAX(K$470:K3827))/MAX(K$470:K3827))</f>
        <v>-0.84885940676762139</v>
      </c>
      <c r="W3827" s="564">
        <f>IF((N3827-MAX(N$470:N3827))/MAX(N$470:N3827)&gt;W3826,W3826,(N3827-MAX(N$470:N3827))/MAX(N$470:N3827))</f>
        <v>-0.62788758315546067</v>
      </c>
      <c r="X3827" s="564">
        <f>IF((O3827-MAX(O$470:O3827))/MAX(O$470:O3827)&gt;X3826,X3826,(O3827-MAX(O$470:O3827))/MAX(O$470:O3827))</f>
        <v>-0.62788758315546067</v>
      </c>
    </row>
    <row r="3828" spans="1:24">
      <c r="A3828" s="799">
        <v>44230</v>
      </c>
      <c r="B3828">
        <v>36840.995136337697</v>
      </c>
      <c r="C3828">
        <v>59805.875220081798</v>
      </c>
      <c r="D3828">
        <v>3.1016142599999998</v>
      </c>
      <c r="E3828">
        <f>LN(D3828/参数实验室!$E$53)/参数实验室!$E$55</f>
        <v>0.64242118921423974</v>
      </c>
      <c r="F3828">
        <f t="shared" si="538"/>
        <v>1.623351242244077</v>
      </c>
      <c r="G3828">
        <f>LN(F3828/参数实验室!$E$58)/参数实验室!$E$59</f>
        <v>6.3757917576055673E-2</v>
      </c>
      <c r="H3828" s="856">
        <f>INDEX(神经网络!$G$10:$BO$70,MATCH(ROUND(G3828*2,1)/2,神经网络!$E$10:$E$70,0),MATCH(ROUND(E3828*2,1)/2,神经网络!$G$8:$BO$8,0))</f>
        <v>2.0209961953498765</v>
      </c>
      <c r="I3828">
        <f t="shared" si="540"/>
        <v>4930000.7352703018</v>
      </c>
      <c r="J3828">
        <f t="shared" si="541"/>
        <v>14700.528764350032</v>
      </c>
      <c r="K3828">
        <f t="shared" si="542"/>
        <v>335.36213658014475</v>
      </c>
      <c r="L3828" s="4">
        <f>MIN(MAX(L3827*(1+MAX(MIN(((B3828-B3827)/B3827)/($K$7*卓尔金历!$N$40),0),-卓尔金历!$M$43))+MIN(MAX(((B3828-B3827)/B3827)/($K$7*卓尔金历!$N$40),0),卓尔金历!$M$43),0),1)</f>
        <v>1</v>
      </c>
      <c r="M3828" s="4">
        <f>MIN(MAX(M3827*(1+MAX(MIN(((B3828-B3827)/B3827)/($K$7*30),0),-卓尔金历!$M$43))+MIN(MAX(((B3828-B3827)/B3827)/($K$7*7),0),卓尔金历!$M$43),0),1)</f>
        <v>1</v>
      </c>
      <c r="N3828">
        <f t="shared" si="543"/>
        <v>1002144.506699311</v>
      </c>
      <c r="O3828">
        <f t="shared" si="544"/>
        <v>3954448.6529894047</v>
      </c>
      <c r="P3828">
        <f t="shared" si="545"/>
        <v>6.3789891001837268E-2</v>
      </c>
      <c r="Q3828">
        <f t="shared" si="546"/>
        <v>7.0262733160736598E-2</v>
      </c>
      <c r="R3828">
        <f t="shared" si="547"/>
        <v>0.17252652344872157</v>
      </c>
      <c r="S3828">
        <f t="shared" si="539"/>
        <v>4473.1508611847676</v>
      </c>
      <c r="T3828" s="564">
        <f>IF((I3828-MAX(I$470:I3828))/MAX(I$470:I3828)&gt;T3827,T3827,(I3828-MAX(I$470:I3828))/MAX(I$470:I3828))</f>
        <v>-0.91338805338419748</v>
      </c>
      <c r="U3828" s="564">
        <f>IF((J3828-MAX(J$470:J3828))/MAX(J$470:J3828)&gt;U3827,U3827,(J3828-MAX(J$470:J3828))/MAX(J$470:J3828))</f>
        <v>-0.83569785939843477</v>
      </c>
      <c r="V3828" s="564">
        <f>IF((K3828-MAX(K$470:K3828))/MAX(K$470:K3828)&gt;V3827,V3827,(K3828-MAX(K$470:K3828))/MAX(K$470:K3828))</f>
        <v>-0.84885940676762139</v>
      </c>
      <c r="W3828" s="564">
        <f>IF((N3828-MAX(N$470:N3828))/MAX(N$470:N3828)&gt;W3827,W3827,(N3828-MAX(N$470:N3828))/MAX(N$470:N3828))</f>
        <v>-0.62788758315546067</v>
      </c>
      <c r="X3828" s="564">
        <f>IF((O3828-MAX(O$470:O3828))/MAX(O$470:O3828)&gt;X3827,X3827,(O3828-MAX(O$470:O3828))/MAX(O$470:O3828))</f>
        <v>-0.62788758315546067</v>
      </c>
    </row>
    <row r="3829" spans="1:24">
      <c r="A3829" s="799">
        <v>44231</v>
      </c>
      <c r="B3829">
        <v>36629.155278366401</v>
      </c>
      <c r="C3829">
        <v>59694.591723222802</v>
      </c>
      <c r="D3829">
        <v>3.0462320404000001</v>
      </c>
      <c r="E3829">
        <f>LN(D3829/参数实验室!$E$53)/参数实验室!$E$55</f>
        <v>0.6211652509472475</v>
      </c>
      <c r="F3829">
        <f t="shared" si="538"/>
        <v>1.6297015661313683</v>
      </c>
      <c r="G3829">
        <f>LN(F3829/参数实验室!$E$58)/参数实验室!$E$59</f>
        <v>6.5807068080023151E-2</v>
      </c>
      <c r="H3829" s="856">
        <f>INDEX(神经网络!$G$10:$BO$70,MATCH(ROUND(G3829*2,1)/2,神经网络!$E$10:$E$70,0),MATCH(ROUND(E3829*2,1)/2,神经网络!$G$8:$BO$8,0))</f>
        <v>1.9619705600635662</v>
      </c>
      <c r="I3829">
        <f t="shared" si="540"/>
        <v>4872709.4185290765</v>
      </c>
      <c r="J3829">
        <f t="shared" si="541"/>
        <v>14615.999073606927</v>
      </c>
      <c r="K3829">
        <f t="shared" si="542"/>
        <v>333.38189158263214</v>
      </c>
      <c r="L3829" s="4">
        <f>MIN(MAX(L3828*(1+MAX(MIN(((B3829-B3828)/B3828)/($K$7*卓尔金历!$N$40),0),-卓尔金历!$M$43))+MIN(MAX(((B3829-B3828)/B3828)/($K$7*卓尔金历!$N$40),0),卓尔金历!$M$43),0),1)</f>
        <v>0.91214380256778893</v>
      </c>
      <c r="M3829" s="4">
        <f>MIN(MAX(M3828*(1+MAX(MIN(((B3829-B3828)/B3828)/($K$7*30),0),-卓尔金历!$M$43))+MIN(MAX(((B3829-B3828)/B3828)/($K$7*7),0),卓尔金历!$M$43),0),1)</f>
        <v>0.95607190128389441</v>
      </c>
      <c r="N3829">
        <f t="shared" si="543"/>
        <v>990498.63047397172</v>
      </c>
      <c r="O3829">
        <f t="shared" si="544"/>
        <v>3908494.1831057593</v>
      </c>
      <c r="P3829">
        <f t="shared" si="545"/>
        <v>-5.7501122645395066E-3</v>
      </c>
      <c r="Q3829">
        <f t="shared" si="546"/>
        <v>6.3666758587392902E-2</v>
      </c>
      <c r="R3829">
        <f t="shared" si="547"/>
        <v>1</v>
      </c>
      <c r="S3829">
        <f t="shared" si="539"/>
        <v>4464.1825382886009</v>
      </c>
      <c r="T3829" s="564">
        <f>IF((I3829-MAX(I$470:I3829))/MAX(I$470:I3829)&gt;T3828,T3828,(I3829-MAX(I$470:I3829))/MAX(I$470:I3829))</f>
        <v>-0.91338805338419748</v>
      </c>
      <c r="U3829" s="564">
        <f>IF((J3829-MAX(J$470:J3829))/MAX(J$470:J3829)&gt;U3828,U3828,(J3829-MAX(J$470:J3829))/MAX(J$470:J3829))</f>
        <v>-0.83569785939843477</v>
      </c>
      <c r="V3829" s="564">
        <f>IF((K3829-MAX(K$470:K3829))/MAX(K$470:K3829)&gt;V3828,V3828,(K3829-MAX(K$470:K3829))/MAX(K$470:K3829))</f>
        <v>-0.84885940676762139</v>
      </c>
      <c r="W3829" s="564">
        <f>IF((N3829-MAX(N$470:N3829))/MAX(N$470:N3829)&gt;W3828,W3828,(N3829-MAX(N$470:N3829))/MAX(N$470:N3829))</f>
        <v>-0.62788758315546067</v>
      </c>
      <c r="X3829" s="564">
        <f>IF((O3829-MAX(O$470:O3829))/MAX(O$470:O3829)&gt;X3828,X3828,(O3829-MAX(O$470:O3829))/MAX(O$470:O3829))</f>
        <v>-0.62788758315546067</v>
      </c>
    </row>
    <row r="3830" spans="1:24">
      <c r="A3830" s="799">
        <v>44232</v>
      </c>
      <c r="B3830">
        <v>37907.619984621502</v>
      </c>
      <c r="C3830">
        <v>60030.033440593201</v>
      </c>
      <c r="D3830">
        <v>3.0942866800000002</v>
      </c>
      <c r="E3830">
        <f>LN(D3830/参数实验室!$E$53)/参数实验室!$E$55</f>
        <v>0.63963071842087715</v>
      </c>
      <c r="F3830">
        <f t="shared" si="538"/>
        <v>1.5835875073387988</v>
      </c>
      <c r="G3830">
        <f>LN(F3830/参数实验室!$E$58)/参数实验室!$E$59</f>
        <v>5.0741624904092973E-2</v>
      </c>
      <c r="H3830" s="856">
        <f>INDEX(神经网络!$G$10:$BO$70,MATCH(ROUND(G3830*2,1)/2,神经网络!$E$10:$E$70,0),MATCH(ROUND(E3830*2,1)/2,神经网络!$G$8:$BO$8,0))</f>
        <v>2.0209961953498765</v>
      </c>
      <c r="I3830">
        <f t="shared" si="540"/>
        <v>5206385.3177611604</v>
      </c>
      <c r="J3830">
        <f t="shared" si="541"/>
        <v>15126.140211731941</v>
      </c>
      <c r="K3830">
        <f t="shared" si="542"/>
        <v>344.19787499543679</v>
      </c>
      <c r="L3830" s="4">
        <f>MIN(MAX(L3829*(1+MAX(MIN(((B3830-B3829)/B3829)/($K$7*卓尔金历!$N$40),0),-卓尔金历!$M$43))+MIN(MAX(((B3830-B3829)/B3829)/($K$7*卓尔金历!$N$40),0),卓尔金历!$M$43),0),1)</f>
        <v>1</v>
      </c>
      <c r="M3830" s="4">
        <f>MIN(MAX(M3829*(1+MAX(MIN(((B3830-B3829)/B3829)/($K$7*30),0),-卓尔金历!$M$43))+MIN(MAX(((B3830-B3829)/B3829)/($K$7*7),0),卓尔金历!$M$43),0),1)</f>
        <v>1</v>
      </c>
      <c r="N3830">
        <f t="shared" si="543"/>
        <v>1052367.405521624</v>
      </c>
      <c r="O3830">
        <f t="shared" si="544"/>
        <v>4164384.793836033</v>
      </c>
      <c r="P3830">
        <f t="shared" si="545"/>
        <v>3.4902926276603956E-2</v>
      </c>
      <c r="Q3830">
        <f t="shared" si="546"/>
        <v>6.0462921021303587E-2</v>
      </c>
      <c r="R3830">
        <f t="shared" si="547"/>
        <v>0.64810870040679169</v>
      </c>
      <c r="S3830">
        <f t="shared" si="539"/>
        <v>4769.8831239084348</v>
      </c>
      <c r="T3830" s="564">
        <f>IF((I3830-MAX(I$470:I3830))/MAX(I$470:I3830)&gt;T3829,T3829,(I3830-MAX(I$470:I3830))/MAX(I$470:I3830))</f>
        <v>-0.91338805338419748</v>
      </c>
      <c r="U3830" s="564">
        <f>IF((J3830-MAX(J$470:J3830))/MAX(J$470:J3830)&gt;U3829,U3829,(J3830-MAX(J$470:J3830))/MAX(J$470:J3830))</f>
        <v>-0.83569785939843477</v>
      </c>
      <c r="V3830" s="564">
        <f>IF((K3830-MAX(K$470:K3830))/MAX(K$470:K3830)&gt;V3829,V3829,(K3830-MAX(K$470:K3830))/MAX(K$470:K3830))</f>
        <v>-0.84885940676762139</v>
      </c>
      <c r="W3830" s="564">
        <f>IF((N3830-MAX(N$470:N3830))/MAX(N$470:N3830)&gt;W3829,W3829,(N3830-MAX(N$470:N3830))/MAX(N$470:N3830))</f>
        <v>-0.62788758315546067</v>
      </c>
      <c r="X3830" s="564">
        <f>IF((O3830-MAX(O$470:O3830))/MAX(O$470:O3830)&gt;X3829,X3829,(O3830-MAX(O$470:O3830))/MAX(O$470:O3830))</f>
        <v>-0.62788758315546067</v>
      </c>
    </row>
    <row r="3831" spans="1:24">
      <c r="A3831" s="799">
        <v>44233</v>
      </c>
      <c r="B3831">
        <v>40827.697158036703</v>
      </c>
      <c r="C3831">
        <v>60408.367018801197</v>
      </c>
      <c r="D3831">
        <v>3.18428793</v>
      </c>
      <c r="E3831">
        <f>LN(D3831/参数实验室!$E$53)/参数实验室!$E$55</f>
        <v>0.67345576528394879</v>
      </c>
      <c r="F3831">
        <f t="shared" si="538"/>
        <v>1.4795928064463502</v>
      </c>
      <c r="G3831">
        <f>LN(F3831/参数实验室!$E$58)/参数实验室!$E$59</f>
        <v>1.5090426803440199E-2</v>
      </c>
      <c r="H3831" s="856">
        <f>INDEX(神经网络!$G$10:$BO$70,MATCH(ROUND(G3831*2,1)/2,神经网络!$E$10:$E$70,0),MATCH(ROUND(E3831*2,1)/2,神经网络!$G$8:$BO$8,0))</f>
        <v>1.993666722296078</v>
      </c>
      <c r="I3831">
        <f t="shared" si="540"/>
        <v>6016916.2875334015</v>
      </c>
      <c r="J3831">
        <f t="shared" si="541"/>
        <v>16291.328022838919</v>
      </c>
      <c r="K3831">
        <f t="shared" si="542"/>
        <v>369.33246197598174</v>
      </c>
      <c r="L3831" s="4">
        <f>MIN(MAX(L3830*(1+MAX(MIN(((B3831-B3830)/B3830)/($K$7*卓尔金历!$N$40),0),-卓尔金历!$M$43))+MIN(MAX(((B3831-B3830)/B3830)/($K$7*卓尔金历!$N$40),0),卓尔金历!$M$43),0),1)</f>
        <v>1</v>
      </c>
      <c r="M3831" s="4">
        <f>MIN(MAX(M3830*(1+MAX(MIN(((B3831-B3830)/B3830)/($K$7*30),0),-卓尔金历!$M$43))+MIN(MAX(((B3831-B3830)/B3830)/($K$7*7),0),卓尔金历!$M$43),0),1)</f>
        <v>1</v>
      </c>
      <c r="N3831">
        <f t="shared" si="543"/>
        <v>1216200.1458384576</v>
      </c>
      <c r="O3831">
        <f t="shared" si="544"/>
        <v>4812696.9412174253</v>
      </c>
      <c r="P3831">
        <f t="shared" si="545"/>
        <v>7.7031403570042845E-2</v>
      </c>
      <c r="Q3831">
        <f t="shared" si="546"/>
        <v>6.1758423693432825E-2</v>
      </c>
      <c r="R3831">
        <f t="shared" si="547"/>
        <v>4.7101655740763269E-2</v>
      </c>
      <c r="S3831">
        <f t="shared" si="539"/>
        <v>5251.1532408964431</v>
      </c>
      <c r="T3831" s="564">
        <f>IF((I3831-MAX(I$470:I3831))/MAX(I$470:I3831)&gt;T3830,T3830,(I3831-MAX(I$470:I3831))/MAX(I$470:I3831))</f>
        <v>-0.91338805338419748</v>
      </c>
      <c r="U3831" s="564">
        <f>IF((J3831-MAX(J$470:J3831))/MAX(J$470:J3831)&gt;U3830,U3830,(J3831-MAX(J$470:J3831))/MAX(J$470:J3831))</f>
        <v>-0.83569785939843477</v>
      </c>
      <c r="V3831" s="564">
        <f>IF((K3831-MAX(K$470:K3831))/MAX(K$470:K3831)&gt;V3830,V3830,(K3831-MAX(K$470:K3831))/MAX(K$470:K3831))</f>
        <v>-0.84885940676762139</v>
      </c>
      <c r="W3831" s="564">
        <f>IF((N3831-MAX(N$470:N3831))/MAX(N$470:N3831)&gt;W3830,W3830,(N3831-MAX(N$470:N3831))/MAX(N$470:N3831))</f>
        <v>-0.62788758315546067</v>
      </c>
      <c r="X3831" s="564">
        <f>IF((O3831-MAX(O$470:O3831))/MAX(O$470:O3831)&gt;X3830,X3830,(O3831-MAX(O$470:O3831))/MAX(O$470:O3831))</f>
        <v>-0.62788758315546067</v>
      </c>
    </row>
    <row r="3832" spans="1:24">
      <c r="A3832" s="799">
        <v>44234</v>
      </c>
      <c r="B3832">
        <v>37988.595552323597</v>
      </c>
      <c r="C3832">
        <v>60090.9245326081</v>
      </c>
      <c r="D3832">
        <v>3.1412002476000001</v>
      </c>
      <c r="E3832">
        <f>LN(D3832/参数实验室!$E$53)/参数实验室!$E$55</f>
        <v>0.65738313408265092</v>
      </c>
      <c r="F3832">
        <f t="shared" si="538"/>
        <v>1.5818148488759438</v>
      </c>
      <c r="G3832">
        <f>LN(F3832/参数实验室!$E$58)/参数实验室!$E$59</f>
        <v>5.015377732341135E-2</v>
      </c>
      <c r="H3832" s="856">
        <f>INDEX(神经网络!$G$10:$BO$70,MATCH(ROUND(G3832*2,1)/2,神经网络!$E$10:$E$70,0),MATCH(ROUND(E3832*2,1)/2,神经网络!$G$8:$BO$8,0))</f>
        <v>2.0209961953498765</v>
      </c>
      <c r="I3832">
        <f t="shared" si="540"/>
        <v>5182750.1043947442</v>
      </c>
      <c r="J3832">
        <f t="shared" si="541"/>
        <v>15158.45159902778</v>
      </c>
      <c r="K3832">
        <f t="shared" si="542"/>
        <v>341.90498089706938</v>
      </c>
      <c r="L3832" s="4">
        <f>MIN(MAX(L3831*(1+MAX(MIN(((B3832-B3831)/B3831)/($K$7*卓尔金历!$N$40),0),-卓尔金历!$M$43))+MIN(MAX(((B3832-B3831)/B3831)/($K$7*卓尔金历!$N$40),0),卓尔金历!$M$43),0),1)</f>
        <v>0</v>
      </c>
      <c r="M3832" s="4">
        <f>MIN(MAX(M3831*(1+MAX(MIN(((B3832-B3831)/B3831)/($K$7*30),0),-卓尔金历!$M$43))+MIN(MAX(((B3832-B3831)/B3831)/($K$7*7),0),卓尔金历!$M$43),0),1)</f>
        <v>0.46875832984913834</v>
      </c>
      <c r="N3832">
        <f t="shared" si="543"/>
        <v>1047590.0164788819</v>
      </c>
      <c r="O3832">
        <f t="shared" si="544"/>
        <v>4145479.907406209</v>
      </c>
      <c r="P3832">
        <f t="shared" si="545"/>
        <v>-6.9538617246117304E-2</v>
      </c>
      <c r="Q3832">
        <f t="shared" si="546"/>
        <v>6.2931405704687068E-2</v>
      </c>
      <c r="R3832">
        <f t="shared" si="547"/>
        <v>5.5592653678013394E-2</v>
      </c>
      <c r="S3832">
        <f t="shared" si="539"/>
        <v>5216.8630836600796</v>
      </c>
      <c r="T3832" s="564">
        <f>IF((I3832-MAX(I$470:I3832))/MAX(I$470:I3832)&gt;T3831,T3831,(I3832-MAX(I$470:I3832))/MAX(I$470:I3832))</f>
        <v>-0.91338805338419748</v>
      </c>
      <c r="U3832" s="564">
        <f>IF((J3832-MAX(J$470:J3832))/MAX(J$470:J3832)&gt;U3831,U3831,(J3832-MAX(J$470:J3832))/MAX(J$470:J3832))</f>
        <v>-0.83569785939843477</v>
      </c>
      <c r="V3832" s="564">
        <f>IF((K3832-MAX(K$470:K3832))/MAX(K$470:K3832)&gt;V3831,V3831,(K3832-MAX(K$470:K3832))/MAX(K$470:K3832))</f>
        <v>-0.84885940676762139</v>
      </c>
      <c r="W3832" s="564">
        <f>IF((N3832-MAX(N$470:N3832))/MAX(N$470:N3832)&gt;W3831,W3831,(N3832-MAX(N$470:N3832))/MAX(N$470:N3832))</f>
        <v>-0.62788758315546067</v>
      </c>
      <c r="X3832" s="564">
        <f>IF((O3832-MAX(O$470:O3832))/MAX(O$470:O3832)&gt;X3831,X3831,(O3832-MAX(O$470:O3832))/MAX(O$470:O3832))</f>
        <v>-0.62788758315546067</v>
      </c>
    </row>
    <row r="3833" spans="1:24">
      <c r="A3833" s="799">
        <v>44235</v>
      </c>
      <c r="B3833">
        <v>43658.626078250702</v>
      </c>
      <c r="C3833">
        <v>59172.730407792798</v>
      </c>
      <c r="D3833">
        <v>3.6574169599999999</v>
      </c>
      <c r="E3833">
        <f>LN(D3833/参数实验室!$E$53)/参数实验室!$E$55</f>
        <v>0.83688515998548885</v>
      </c>
      <c r="F3833">
        <f t="shared" si="538"/>
        <v>1.3553502646129012</v>
      </c>
      <c r="G3833">
        <f>LN(F3833/参数实验室!$E$58)/参数实验室!$E$59</f>
        <v>-3.0942946934176156E-2</v>
      </c>
      <c r="H3833" s="856">
        <f>INDEX(神经网络!$G$10:$BO$70,MATCH(ROUND(G3833*2,1)/2,神经网络!$E$10:$E$70,0),MATCH(ROUND(E3833*2,1)/2,神经网络!$G$8:$BO$8,0))</f>
        <v>2.1608272206472336</v>
      </c>
      <c r="I3833">
        <f t="shared" si="540"/>
        <v>6746106.2461362369</v>
      </c>
      <c r="J3833">
        <f t="shared" si="541"/>
        <v>17420.943329576079</v>
      </c>
      <c r="K3833">
        <f t="shared" si="542"/>
        <v>387.24115672215993</v>
      </c>
      <c r="L3833" s="4">
        <f>MIN(MAX(L3832*(1+MAX(MIN(((B3833-B3832)/B3832)/($K$7*卓尔金历!$N$40),0),-卓尔金历!$M$43))+MIN(MAX(((B3833-B3832)/B3832)/($K$7*卓尔金历!$N$40),0),卓尔金历!$M$43),0),1)</f>
        <v>1</v>
      </c>
      <c r="M3833" s="4">
        <f>MIN(MAX(M3832*(1+MAX(MIN(((B3833-B3832)/B3832)/($K$7*30),0),-卓尔金历!$M$43))+MIN(MAX(((B3833-B3832)/B3832)/($K$7*7),0),卓尔金历!$M$43),0),1)</f>
        <v>1</v>
      </c>
      <c r="N3833">
        <f t="shared" si="543"/>
        <v>1047590.0164788819</v>
      </c>
      <c r="O3833">
        <f t="shared" si="544"/>
        <v>4731647.0463202791</v>
      </c>
      <c r="P3833">
        <f t="shared" si="545"/>
        <v>0.14925612393639262</v>
      </c>
      <c r="Q3833">
        <f t="shared" si="546"/>
        <v>7.0029478720692817E-2</v>
      </c>
      <c r="R3833">
        <f t="shared" si="547"/>
        <v>1.5308221461091296E-2</v>
      </c>
      <c r="S3833">
        <f t="shared" si="539"/>
        <v>5304.3462511726184</v>
      </c>
      <c r="T3833" s="564">
        <f>IF((I3833-MAX(I$470:I3833))/MAX(I$470:I3833)&gt;T3832,T3832,(I3833-MAX(I$470:I3833))/MAX(I$470:I3833))</f>
        <v>-0.91338805338419748</v>
      </c>
      <c r="U3833" s="564">
        <f>IF((J3833-MAX(J$470:J3833))/MAX(J$470:J3833)&gt;U3832,U3832,(J3833-MAX(J$470:J3833))/MAX(J$470:J3833))</f>
        <v>-0.83569785939843477</v>
      </c>
      <c r="V3833" s="564">
        <f>IF((K3833-MAX(K$470:K3833))/MAX(K$470:K3833)&gt;V3832,V3832,(K3833-MAX(K$470:K3833))/MAX(K$470:K3833))</f>
        <v>-0.84885940676762139</v>
      </c>
      <c r="W3833" s="564">
        <f>IF((N3833-MAX(N$470:N3833))/MAX(N$470:N3833)&gt;W3832,W3832,(N3833-MAX(N$470:N3833))/MAX(N$470:N3833))</f>
        <v>-0.62788758315546067</v>
      </c>
      <c r="X3833" s="564">
        <f>IF((O3833-MAX(O$470:O3833))/MAX(O$470:O3833)&gt;X3832,X3832,(O3833-MAX(O$470:O3833))/MAX(O$470:O3833))</f>
        <v>-0.62788758315546067</v>
      </c>
    </row>
    <row r="3834" spans="1:24">
      <c r="A3834" s="799">
        <v>44236</v>
      </c>
      <c r="B3834">
        <v>46794.752820120302</v>
      </c>
      <c r="C3834">
        <v>59825.7367241908</v>
      </c>
      <c r="D3834">
        <v>3.6185502199999999</v>
      </c>
      <c r="E3834">
        <f>LN(D3834/参数实验室!$E$53)/参数实验室!$E$55</f>
        <v>0.82428103530828867</v>
      </c>
      <c r="F3834">
        <f t="shared" si="538"/>
        <v>1.2784710489691395</v>
      </c>
      <c r="G3834">
        <f>LN(F3834/参数实验室!$E$58)/参数实验室!$E$59</f>
        <v>-6.1591823885192021E-2</v>
      </c>
      <c r="H3834" s="856">
        <f>INDEX(神经网络!$G$10:$BO$70,MATCH(ROUND(G3834*2,1)/2,神经网络!$E$10:$E$70,0),MATCH(ROUND(E3834*2,1)/2,神经网络!$G$8:$BO$8,0))</f>
        <v>2.1189077150749642</v>
      </c>
      <c r="I3834">
        <f t="shared" si="540"/>
        <v>7793226.9825353893</v>
      </c>
      <c r="J3834">
        <f t="shared" si="541"/>
        <v>18672.340616942744</v>
      </c>
      <c r="K3834">
        <f t="shared" si="542"/>
        <v>417.36743895213863</v>
      </c>
      <c r="L3834" s="4">
        <f>MIN(MAX(L3833*(1+MAX(MIN(((B3834-B3833)/B3833)/($K$7*卓尔金历!$N$40),0),-卓尔金历!$M$43))+MIN(MAX(((B3834-B3833)/B3833)/($K$7*卓尔金历!$N$40),0),卓尔金历!$M$43),0),1)</f>
        <v>1</v>
      </c>
      <c r="M3834" s="4">
        <f>MIN(MAX(M3833*(1+MAX(MIN(((B3834-B3833)/B3833)/($K$7*30),0),-卓尔金历!$M$43))+MIN(MAX(((B3834-B3833)/B3833)/($K$7*7),0),卓尔金历!$M$43),0),1)</f>
        <v>1</v>
      </c>
      <c r="N3834">
        <f t="shared" si="543"/>
        <v>1210195.4053471696</v>
      </c>
      <c r="O3834">
        <f t="shared" si="544"/>
        <v>5466086.3745418685</v>
      </c>
      <c r="P3834">
        <f t="shared" si="545"/>
        <v>7.1832923378042729E-2</v>
      </c>
      <c r="Q3834">
        <f t="shared" si="546"/>
        <v>7.1198015141671026E-2</v>
      </c>
      <c r="R3834">
        <f t="shared" si="547"/>
        <v>6.940775889803609E-2</v>
      </c>
      <c r="S3834">
        <f t="shared" si="539"/>
        <v>5316.950012936838</v>
      </c>
      <c r="T3834" s="564">
        <f>IF((I3834-MAX(I$470:I3834))/MAX(I$470:I3834)&gt;T3833,T3833,(I3834-MAX(I$470:I3834))/MAX(I$470:I3834))</f>
        <v>-0.91338805338419748</v>
      </c>
      <c r="U3834" s="564">
        <f>IF((J3834-MAX(J$470:J3834))/MAX(J$470:J3834)&gt;U3833,U3833,(J3834-MAX(J$470:J3834))/MAX(J$470:J3834))</f>
        <v>-0.83569785939843477</v>
      </c>
      <c r="V3834" s="564">
        <f>IF((K3834-MAX(K$470:K3834))/MAX(K$470:K3834)&gt;V3833,V3833,(K3834-MAX(K$470:K3834))/MAX(K$470:K3834))</f>
        <v>-0.84885940676762139</v>
      </c>
      <c r="W3834" s="564">
        <f>IF((N3834-MAX(N$470:N3834))/MAX(N$470:N3834)&gt;W3833,W3833,(N3834-MAX(N$470:N3834))/MAX(N$470:N3834))</f>
        <v>-0.62788758315546067</v>
      </c>
      <c r="X3834" s="564">
        <f>IF((O3834-MAX(O$470:O3834))/MAX(O$470:O3834)&gt;X3833,X3833,(O3834-MAX(O$470:O3834))/MAX(O$470:O3834))</f>
        <v>-0.62788758315546067</v>
      </c>
    </row>
    <row r="3835" spans="1:24">
      <c r="A3835" s="799">
        <v>44237</v>
      </c>
      <c r="B3835">
        <v>44239.682353488402</v>
      </c>
      <c r="C3835">
        <v>60283.088719354899</v>
      </c>
      <c r="D3835">
        <v>3.4668338400000001</v>
      </c>
      <c r="E3835">
        <f>LN(D3835/参数实验室!$E$53)/参数实验室!$E$55</f>
        <v>0.77375018116632754</v>
      </c>
      <c r="F3835">
        <f t="shared" si="538"/>
        <v>1.3626474131906021</v>
      </c>
      <c r="G3835">
        <f>LN(F3835/参数实验室!$E$58)/参数实验室!$E$59</f>
        <v>-2.8124734713308074E-2</v>
      </c>
      <c r="H3835" s="856">
        <f>INDEX(神经网络!$G$10:$BO$70,MATCH(ROUND(G3835*2,1)/2,神经网络!$E$10:$E$70,0),MATCH(ROUND(E3835*2,1)/2,神经网络!$G$8:$BO$8,0))</f>
        <v>2.0730012805109679</v>
      </c>
      <c r="I3835">
        <f t="shared" si="540"/>
        <v>6891582.9923183555</v>
      </c>
      <c r="J3835">
        <f t="shared" si="541"/>
        <v>17652.80010912905</v>
      </c>
      <c r="K3835">
        <f t="shared" si="542"/>
        <v>390.39602497704658</v>
      </c>
      <c r="L3835" s="4">
        <f>MIN(MAX(L3834*(1+MAX(MIN(((B3835-B3834)/B3834)/($K$7*卓尔金历!$N$40),0),-卓尔金历!$M$43))+MIN(MAX(((B3835-B3834)/B3834)/($K$7*卓尔金历!$N$40),0),卓尔金历!$M$43),0),1)</f>
        <v>0.16573926648361681</v>
      </c>
      <c r="M3835" s="4">
        <f>MIN(MAX(M3834*(1+MAX(MIN(((B3835-B3834)/B3834)/($K$7*30),0),-卓尔金历!$M$43))+MIN(MAX(((B3835-B3834)/B3834)/($K$7*7),0),卓尔金历!$M$43),0),1)</f>
        <v>0.5828696332418084</v>
      </c>
      <c r="N3835">
        <f t="shared" si="543"/>
        <v>1070180.8238824129</v>
      </c>
      <c r="O3835">
        <f t="shared" si="544"/>
        <v>4833682.8861464234</v>
      </c>
      <c r="P3835">
        <f t="shared" si="545"/>
        <v>-5.4601644685540428E-2</v>
      </c>
      <c r="Q3835">
        <f t="shared" si="546"/>
        <v>6.9470812059505671E-2</v>
      </c>
      <c r="R3835">
        <f t="shared" si="547"/>
        <v>0.3291882258262453</v>
      </c>
      <c r="S3835">
        <f t="shared" si="539"/>
        <v>5274.2538973177025</v>
      </c>
      <c r="T3835" s="564">
        <f>IF((I3835-MAX(I$470:I3835))/MAX(I$470:I3835)&gt;T3834,T3834,(I3835-MAX(I$470:I3835))/MAX(I$470:I3835))</f>
        <v>-0.91338805338419748</v>
      </c>
      <c r="U3835" s="564">
        <f>IF((J3835-MAX(J$470:J3835))/MAX(J$470:J3835)&gt;U3834,U3834,(J3835-MAX(J$470:J3835))/MAX(J$470:J3835))</f>
        <v>-0.83569785939843477</v>
      </c>
      <c r="V3835" s="564">
        <f>IF((K3835-MAX(K$470:K3835))/MAX(K$470:K3835)&gt;V3834,V3834,(K3835-MAX(K$470:K3835))/MAX(K$470:K3835))</f>
        <v>-0.84885940676762139</v>
      </c>
      <c r="W3835" s="564">
        <f>IF((N3835-MAX(N$470:N3835))/MAX(N$470:N3835)&gt;W3834,W3834,(N3835-MAX(N$470:N3835))/MAX(N$470:N3835))</f>
        <v>-0.62788758315546067</v>
      </c>
      <c r="X3835" s="564">
        <f>IF((O3835-MAX(O$470:O3835))/MAX(O$470:O3835)&gt;X3834,X3834,(O3835-MAX(O$470:O3835))/MAX(O$470:O3835))</f>
        <v>-0.62788758315546067</v>
      </c>
    </row>
    <row r="3836" spans="1:24">
      <c r="A3836" s="799">
        <v>44238</v>
      </c>
      <c r="B3836">
        <v>47910.205456201198</v>
      </c>
      <c r="C3836">
        <v>61076.324123957798</v>
      </c>
      <c r="D3836">
        <v>3.6458516900000002</v>
      </c>
      <c r="E3836">
        <f>LN(D3836/参数实验室!$E$53)/参数实验室!$E$55</f>
        <v>0.83314870255553353</v>
      </c>
      <c r="F3836">
        <f t="shared" si="538"/>
        <v>1.2748082280672512</v>
      </c>
      <c r="G3836">
        <f>LN(F3836/参数实验室!$E$58)/参数实验室!$E$59</f>
        <v>-6.3097689456183367E-2</v>
      </c>
      <c r="H3836" s="856">
        <f>INDEX(神经网络!$G$10:$BO$70,MATCH(ROUND(G3836*2,1)/2,神经网络!$E$10:$E$70,0),MATCH(ROUND(E3836*2,1)/2,神经网络!$G$8:$BO$8,0))</f>
        <v>2.1608272206472336</v>
      </c>
      <c r="I3836">
        <f t="shared" si="540"/>
        <v>8076900.0186132267</v>
      </c>
      <c r="J3836">
        <f t="shared" si="541"/>
        <v>19117.435639520012</v>
      </c>
      <c r="K3836">
        <f t="shared" si="542"/>
        <v>422.48867321496141</v>
      </c>
      <c r="L3836" s="4">
        <f>MIN(MAX(L3835*(1+MAX(MIN(((B3836-B3835)/B3835)/($K$7*卓尔金历!$N$40),0),-卓尔金历!$M$43))+MIN(MAX(((B3836-B3835)/B3835)/($K$7*卓尔金历!$N$40),0),卓尔金历!$M$43),0),1)</f>
        <v>1</v>
      </c>
      <c r="M3836" s="4">
        <f>MIN(MAX(M3835*(1+MAX(MIN(((B3836-B3835)/B3835)/($K$7*30),0),-卓尔金历!$M$43))+MIN(MAX(((B3836-B3835)/B3835)/($K$7*7),0),卓尔金历!$M$43),0),1)</f>
        <v>1</v>
      </c>
      <c r="N3836">
        <f t="shared" si="543"/>
        <v>1100687.726060803</v>
      </c>
      <c r="O3836">
        <f t="shared" si="544"/>
        <v>5318262.4749747319</v>
      </c>
      <c r="P3836">
        <f t="shared" si="545"/>
        <v>8.2969020287808781E-2</v>
      </c>
      <c r="Q3836">
        <f t="shared" si="546"/>
        <v>6.7369725449656775E-2</v>
      </c>
      <c r="R3836">
        <f t="shared" si="547"/>
        <v>5.5002018430334046E-2</v>
      </c>
      <c r="S3836">
        <f t="shared" si="539"/>
        <v>5572.8752497391051</v>
      </c>
      <c r="T3836" s="564">
        <f>IF((I3836-MAX(I$470:I3836))/MAX(I$470:I3836)&gt;T3835,T3835,(I3836-MAX(I$470:I3836))/MAX(I$470:I3836))</f>
        <v>-0.91338805338419748</v>
      </c>
      <c r="U3836" s="564">
        <f>IF((J3836-MAX(J$470:J3836))/MAX(J$470:J3836)&gt;U3835,U3835,(J3836-MAX(J$470:J3836))/MAX(J$470:J3836))</f>
        <v>-0.83569785939843477</v>
      </c>
      <c r="V3836" s="564">
        <f>IF((K3836-MAX(K$470:K3836))/MAX(K$470:K3836)&gt;V3835,V3835,(K3836-MAX(K$470:K3836))/MAX(K$470:K3836))</f>
        <v>-0.84885940676762139</v>
      </c>
      <c r="W3836" s="564">
        <f>IF((N3836-MAX(N$470:N3836))/MAX(N$470:N3836)&gt;W3835,W3835,(N3836-MAX(N$470:N3836))/MAX(N$470:N3836))</f>
        <v>-0.62788758315546067</v>
      </c>
      <c r="X3836" s="564">
        <f>IF((O3836-MAX(O$470:O3836))/MAX(O$470:O3836)&gt;X3835,X3835,(O3836-MAX(O$470:O3836))/MAX(O$470:O3836))</f>
        <v>-0.62788758315546067</v>
      </c>
    </row>
    <row r="3837" spans="1:24">
      <c r="A3837" s="799">
        <v>44239</v>
      </c>
      <c r="B3837">
        <v>47014.364320353401</v>
      </c>
      <c r="C3837">
        <v>61504.229951583198</v>
      </c>
      <c r="D3837">
        <v>3.5797515299999998</v>
      </c>
      <c r="E3837">
        <f>LN(D3837/参数实验室!$E$53)/参数实验室!$E$55</f>
        <v>0.81156322345506249</v>
      </c>
      <c r="F3837">
        <f t="shared" si="538"/>
        <v>1.3082008199131783</v>
      </c>
      <c r="G3837">
        <f>LN(F3837/参数实验室!$E$58)/参数实验室!$E$59</f>
        <v>-4.9526530405017824E-2</v>
      </c>
      <c r="H3837" s="856">
        <f>INDEX(神经网络!$G$10:$BO$70,MATCH(ROUND(G3837*2,1)/2,神经网络!$E$10:$E$70,0),MATCH(ROUND(E3837*2,1)/2,神经网络!$G$8:$BO$8,0))</f>
        <v>2.1189077150749642</v>
      </c>
      <c r="I3837">
        <f t="shared" si="540"/>
        <v>7750561.9667453738</v>
      </c>
      <c r="J3837">
        <f t="shared" si="541"/>
        <v>18759.971397930374</v>
      </c>
      <c r="K3837">
        <f t="shared" si="542"/>
        <v>413.14359187138348</v>
      </c>
      <c r="L3837" s="4">
        <f>MIN(MAX(L3836*(1+MAX(MIN(((B3837-B3836)/B3836)/($K$7*卓尔金历!$N$40),0),-卓尔金历!$M$43))+MIN(MAX(((B3837-B3836)/B3836)/($K$7*卓尔金历!$N$40),0),卓尔金历!$M$43),0),1)</f>
        <v>0.71430736414103468</v>
      </c>
      <c r="M3837" s="4">
        <f>MIN(MAX(M3836*(1+MAX(MIN(((B3837-B3836)/B3836)/($K$7*30),0),-卓尔金历!$M$43))+MIN(MAX(((B3837-B3836)/B3836)/($K$7*7),0),卓尔金历!$M$43),0),1)</f>
        <v>0.85715368207051734</v>
      </c>
      <c r="N3837">
        <f t="shared" si="543"/>
        <v>1056215.6776994551</v>
      </c>
      <c r="O3837">
        <f t="shared" si="544"/>
        <v>5103384.0672433525</v>
      </c>
      <c r="P3837">
        <f t="shared" si="545"/>
        <v>-1.8698336342280179E-2</v>
      </c>
      <c r="Q3837">
        <f t="shared" si="546"/>
        <v>6.7888664239047908E-2</v>
      </c>
      <c r="R3837">
        <f t="shared" si="547"/>
        <v>1</v>
      </c>
      <c r="S3837">
        <f t="shared" si="539"/>
        <v>5560.4906789945389</v>
      </c>
      <c r="T3837" s="564">
        <f>IF((I3837-MAX(I$470:I3837))/MAX(I$470:I3837)&gt;T3836,T3836,(I3837-MAX(I$470:I3837))/MAX(I$470:I3837))</f>
        <v>-0.91338805338419748</v>
      </c>
      <c r="U3837" s="564">
        <f>IF((J3837-MAX(J$470:J3837))/MAX(J$470:J3837)&gt;U3836,U3836,(J3837-MAX(J$470:J3837))/MAX(J$470:J3837))</f>
        <v>-0.83569785939843477</v>
      </c>
      <c r="V3837" s="564">
        <f>IF((K3837-MAX(K$470:K3837))/MAX(K$470:K3837)&gt;V3836,V3836,(K3837-MAX(K$470:K3837))/MAX(K$470:K3837))</f>
        <v>-0.84885940676762139</v>
      </c>
      <c r="W3837" s="564">
        <f>IF((N3837-MAX(N$470:N3837))/MAX(N$470:N3837)&gt;W3836,W3836,(N3837-MAX(N$470:N3837))/MAX(N$470:N3837))</f>
        <v>-0.62788758315546067</v>
      </c>
      <c r="X3837" s="564">
        <f>IF((O3837-MAX(O$470:O3837))/MAX(O$470:O3837)&gt;X3836,X3836,(O3837-MAX(O$470:O3837))/MAX(O$470:O3837))</f>
        <v>-0.62788758315546067</v>
      </c>
    </row>
    <row r="3838" spans="1:24">
      <c r="A3838" s="799">
        <v>44240</v>
      </c>
      <c r="B3838">
        <v>47147.087341002101</v>
      </c>
      <c r="C3838">
        <v>61095.752479082803</v>
      </c>
      <c r="D3838">
        <v>3.54773666</v>
      </c>
      <c r="E3838">
        <f>LN(D3838/参数实验室!$E$53)/参数实验室!$E$55</f>
        <v>0.80096484721230954</v>
      </c>
      <c r="F3838">
        <f t="shared" si="538"/>
        <v>1.2958542282197369</v>
      </c>
      <c r="G3838">
        <f>LN(F3838/参数实验室!$E$58)/参数实验室!$E$59</f>
        <v>-5.450354280081593E-2</v>
      </c>
      <c r="H3838" s="856">
        <f>INDEX(神经网络!$G$10:$BO$70,MATCH(ROUND(G3838*2,1)/2,神经网络!$E$10:$E$70,0),MATCH(ROUND(E3838*2,1)/2,神经网络!$G$8:$BO$8,0))</f>
        <v>2.1189077150749642</v>
      </c>
      <c r="I3838">
        <f t="shared" si="540"/>
        <v>7796923.83451619</v>
      </c>
      <c r="J3838">
        <f t="shared" si="541"/>
        <v>18812.931383824274</v>
      </c>
      <c r="K3838">
        <f t="shared" si="542"/>
        <v>414.44491958441614</v>
      </c>
      <c r="L3838" s="4">
        <f>MIN(MAX(L3837*(1+MAX(MIN(((B3838-B3837)/B3837)/($K$7*卓尔金历!$N$40),0),-卓尔金历!$M$43))+MIN(MAX(((B3838-B3837)/B3837)/($K$7*卓尔金历!$N$40),0),卓尔金历!$M$43),0),1)</f>
        <v>0.75744057289696387</v>
      </c>
      <c r="M3838" s="4">
        <f>MIN(MAX(M3837*(1+MAX(MIN(((B3838-B3837)/B3837)/($K$7*30),0),-卓尔金历!$M$43))+MIN(MAX(((B3838-B3837)/B3837)/($K$7*7),0),卓尔金历!$M$43),0),1)</f>
        <v>0.94958198654750847</v>
      </c>
      <c r="N3838">
        <f t="shared" si="543"/>
        <v>1060728.6790986923</v>
      </c>
      <c r="O3838">
        <f t="shared" si="544"/>
        <v>5129550.5096321171</v>
      </c>
      <c r="P3838">
        <f t="shared" si="545"/>
        <v>2.8230312707055341E-3</v>
      </c>
      <c r="Q3838">
        <f t="shared" si="546"/>
        <v>6.7574340670140537E-2</v>
      </c>
      <c r="R3838">
        <f t="shared" si="547"/>
        <v>1</v>
      </c>
      <c r="S3838">
        <f t="shared" si="539"/>
        <v>5593.7521037410925</v>
      </c>
      <c r="T3838" s="564">
        <f>IF((I3838-MAX(I$470:I3838))/MAX(I$470:I3838)&gt;T3837,T3837,(I3838-MAX(I$470:I3838))/MAX(I$470:I3838))</f>
        <v>-0.91338805338419748</v>
      </c>
      <c r="U3838" s="564">
        <f>IF((J3838-MAX(J$470:J3838))/MAX(J$470:J3838)&gt;U3837,U3837,(J3838-MAX(J$470:J3838))/MAX(J$470:J3838))</f>
        <v>-0.83569785939843477</v>
      </c>
      <c r="V3838" s="564">
        <f>IF((K3838-MAX(K$470:K3838))/MAX(K$470:K3838)&gt;V3837,V3837,(K3838-MAX(K$470:K3838))/MAX(K$470:K3838))</f>
        <v>-0.84885940676762139</v>
      </c>
      <c r="W3838" s="564">
        <f>IF((N3838-MAX(N$470:N3838))/MAX(N$470:N3838)&gt;W3837,W3837,(N3838-MAX(N$470:N3838))/MAX(N$470:N3838))</f>
        <v>-0.62788758315546067</v>
      </c>
      <c r="X3838" s="564">
        <f>IF((O3838-MAX(O$470:O3838))/MAX(O$470:O3838)&gt;X3837,X3837,(O3838-MAX(O$470:O3838))/MAX(O$470:O3838))</f>
        <v>-0.62788758315546067</v>
      </c>
    </row>
    <row r="3839" spans="1:24">
      <c r="A3839" s="799">
        <v>44241</v>
      </c>
      <c r="B3839">
        <v>48456.206618375902</v>
      </c>
      <c r="C3839">
        <v>61398.140645352803</v>
      </c>
      <c r="D3839">
        <v>3.65475277</v>
      </c>
      <c r="E3839">
        <f>LN(D3839/参数实验室!$E$53)/参数实验室!$E$55</f>
        <v>0.83602547344915323</v>
      </c>
      <c r="F3839">
        <f t="shared" si="538"/>
        <v>1.2670851667961349</v>
      </c>
      <c r="G3839">
        <f>LN(F3839/参数实验室!$E$58)/参数实验室!$E$59</f>
        <v>-6.6287038320598304E-2</v>
      </c>
      <c r="H3839" s="856">
        <f>INDEX(神经网络!$G$10:$BO$70,MATCH(ROUND(G3839*2,1)/2,神经网络!$E$10:$E$70,0),MATCH(ROUND(E3839*2,1)/2,神经网络!$G$8:$BO$8,0))</f>
        <v>2.1608272206472336</v>
      </c>
      <c r="I3839">
        <f t="shared" si="540"/>
        <v>8255656.5185946608</v>
      </c>
      <c r="J3839">
        <f t="shared" si="541"/>
        <v>19335.304504359687</v>
      </c>
      <c r="K3839">
        <f t="shared" si="542"/>
        <v>426.97318352204854</v>
      </c>
      <c r="L3839" s="4">
        <f>MIN(MAX(L3838*(1+MAX(MIN(((B3839-B3838)/B3838)/($K$7*卓尔金历!$N$40),0),-卓尔金历!$M$43))+MIN(MAX(((B3839-B3838)/B3838)/($K$7*卓尔金历!$N$40),0),卓尔金历!$M$43),0),1)</f>
        <v>1</v>
      </c>
      <c r="M3839" s="4">
        <f>MIN(MAX(M3838*(1+MAX(MIN(((B3839-B3838)/B3838)/($K$7*30),0),-卓尔金历!$M$43))+MIN(MAX(((B3839-B3838)/B3838)/($K$7*7),0),卓尔金历!$M$43),0),1)</f>
        <v>1</v>
      </c>
      <c r="N3839">
        <f t="shared" si="543"/>
        <v>1107999.0781074397</v>
      </c>
      <c r="O3839">
        <f t="shared" si="544"/>
        <v>5416132.0221421029</v>
      </c>
      <c r="P3839">
        <f t="shared" si="545"/>
        <v>2.7766705245337753E-2</v>
      </c>
      <c r="Q3839">
        <f t="shared" si="546"/>
        <v>6.7448068021882884E-2</v>
      </c>
      <c r="R3839">
        <f t="shared" si="547"/>
        <v>1</v>
      </c>
      <c r="S3839">
        <f t="shared" si="539"/>
        <v>5922.8609896403186</v>
      </c>
      <c r="T3839" s="564">
        <f>IF((I3839-MAX(I$470:I3839))/MAX(I$470:I3839)&gt;T3838,T3838,(I3839-MAX(I$470:I3839))/MAX(I$470:I3839))</f>
        <v>-0.91338805338419748</v>
      </c>
      <c r="U3839" s="564">
        <f>IF((J3839-MAX(J$470:J3839))/MAX(J$470:J3839)&gt;U3838,U3838,(J3839-MAX(J$470:J3839))/MAX(J$470:J3839))</f>
        <v>-0.83569785939843477</v>
      </c>
      <c r="V3839" s="564">
        <f>IF((K3839-MAX(K$470:K3839))/MAX(K$470:K3839)&gt;V3838,V3838,(K3839-MAX(K$470:K3839))/MAX(K$470:K3839))</f>
        <v>-0.84885940676762139</v>
      </c>
      <c r="W3839" s="564">
        <f>IF((N3839-MAX(N$470:N3839))/MAX(N$470:N3839)&gt;W3838,W3838,(N3839-MAX(N$470:N3839))/MAX(N$470:N3839))</f>
        <v>-0.62788758315546067</v>
      </c>
      <c r="X3839" s="564">
        <f>IF((O3839-MAX(O$470:O3839))/MAX(O$470:O3839)&gt;X3838,X3838,(O3839-MAX(O$470:O3839))/MAX(O$470:O3839))</f>
        <v>-0.62788758315546067</v>
      </c>
    </row>
    <row r="3840" spans="1:24">
      <c r="A3840" s="799">
        <v>44242</v>
      </c>
      <c r="B3840">
        <v>47955.0814848394</v>
      </c>
      <c r="C3840">
        <v>61198.721714023799</v>
      </c>
      <c r="D3840">
        <v>3.5614812100000002</v>
      </c>
      <c r="E3840">
        <f>LN(D3840/参数实验室!$E$53)/参数实验室!$E$55</f>
        <v>0.80552658605590366</v>
      </c>
      <c r="F3840">
        <f t="shared" si="538"/>
        <v>1.2761676097531243</v>
      </c>
      <c r="G3840">
        <f>LN(F3840/参数实验室!$E$58)/参数实验室!$E$59</f>
        <v>-6.2538313682506008E-2</v>
      </c>
      <c r="H3840" s="856">
        <f>INDEX(神经网络!$G$10:$BO$70,MATCH(ROUND(G3840*2,1)/2,神经网络!$E$10:$E$70,0),MATCH(ROUND(E3840*2,1)/2,神经网络!$G$8:$BO$8,0))</f>
        <v>2.1189077150749642</v>
      </c>
      <c r="I3840">
        <f t="shared" si="540"/>
        <v>8071168.3879891932</v>
      </c>
      <c r="J3840">
        <f t="shared" si="541"/>
        <v>19135.342358580787</v>
      </c>
      <c r="K3840">
        <f t="shared" si="542"/>
        <v>421.79378015517295</v>
      </c>
      <c r="L3840" s="4">
        <f>MIN(MAX(L3839*(1+MAX(MIN(((B3840-B3839)/B3839)/($K$7*卓尔金历!$N$40),0),-卓尔金历!$M$43))+MIN(MAX(((B3840-B3839)/B3839)/($K$7*卓尔金历!$N$40),0),卓尔金历!$M$43),0),1)</f>
        <v>0.84198698823200679</v>
      </c>
      <c r="M3840" s="4">
        <f>MIN(MAX(M3839*(1+MAX(MIN(((B3840-B3839)/B3839)/($K$7*30),0),-卓尔金历!$M$43))+MIN(MAX(((B3840-B3839)/B3839)/($K$7*7),0),卓尔金历!$M$43),0),1)</f>
        <v>0.9209934941160034</v>
      </c>
      <c r="N3840">
        <f t="shared" si="543"/>
        <v>1083238.7603577594</v>
      </c>
      <c r="O3840">
        <f t="shared" si="544"/>
        <v>5295098.3926994503</v>
      </c>
      <c r="P3840">
        <f t="shared" si="545"/>
        <v>-1.0341815187540107E-2</v>
      </c>
      <c r="Q3840">
        <f t="shared" si="546"/>
        <v>6.6534117380956367E-2</v>
      </c>
      <c r="R3840">
        <f t="shared" si="547"/>
        <v>1</v>
      </c>
      <c r="S3840">
        <f t="shared" si="539"/>
        <v>5790.5035509128656</v>
      </c>
      <c r="T3840" s="564">
        <f>IF((I3840-MAX(I$470:I3840))/MAX(I$470:I3840)&gt;T3839,T3839,(I3840-MAX(I$470:I3840))/MAX(I$470:I3840))</f>
        <v>-0.91338805338419748</v>
      </c>
      <c r="U3840" s="564">
        <f>IF((J3840-MAX(J$470:J3840))/MAX(J$470:J3840)&gt;U3839,U3839,(J3840-MAX(J$470:J3840))/MAX(J$470:J3840))</f>
        <v>-0.83569785939843477</v>
      </c>
      <c r="V3840" s="564">
        <f>IF((K3840-MAX(K$470:K3840))/MAX(K$470:K3840)&gt;V3839,V3839,(K3840-MAX(K$470:K3840))/MAX(K$470:K3840))</f>
        <v>-0.84885940676762139</v>
      </c>
      <c r="W3840" s="564">
        <f>IF((N3840-MAX(N$470:N3840))/MAX(N$470:N3840)&gt;W3839,W3839,(N3840-MAX(N$470:N3840))/MAX(N$470:N3840))</f>
        <v>-0.62788758315546067</v>
      </c>
      <c r="X3840" s="564">
        <f>IF((O3840-MAX(O$470:O3840))/MAX(O$470:O3840)&gt;X3839,X3839,(O3840-MAX(O$470:O3840))/MAX(O$470:O3840))</f>
        <v>-0.62788758315546067</v>
      </c>
    </row>
    <row r="3841" spans="1:24">
      <c r="A3841" s="799">
        <v>44243</v>
      </c>
      <c r="B3841">
        <v>49035.167963034401</v>
      </c>
      <c r="C3841">
        <v>61710.698843642203</v>
      </c>
      <c r="D3841">
        <v>3.6125172999999999</v>
      </c>
      <c r="E3841">
        <f>LN(D3841/参数实验室!$E$53)/参数实验室!$E$55</f>
        <v>0.82231248541649937</v>
      </c>
      <c r="F3841">
        <f t="shared" si="538"/>
        <v>1.2584987756167851</v>
      </c>
      <c r="G3841">
        <f>LN(F3841/参数实验室!$E$58)/参数实验室!$E$59</f>
        <v>-6.9855812585779692E-2</v>
      </c>
      <c r="H3841" s="856">
        <f>INDEX(神经网络!$G$10:$BO$70,MATCH(ROUND(G3841*2,1)/2,神经网络!$E$10:$E$70,0),MATCH(ROUND(E3841*2,1)/2,神经网络!$G$8:$BO$8,0))</f>
        <v>2.1189077150749642</v>
      </c>
      <c r="I3841">
        <f t="shared" si="540"/>
        <v>8456356.0308366083</v>
      </c>
      <c r="J3841">
        <f t="shared" si="541"/>
        <v>19566.325351356416</v>
      </c>
      <c r="K3841">
        <f t="shared" si="542"/>
        <v>432.18927821060583</v>
      </c>
      <c r="L3841" s="4">
        <f>MIN(MAX(L3840*(1+MAX(MIN(((B3841-B3840)/B3840)/($K$7*卓尔金历!$N$40),0),-卓尔金历!$M$43))+MIN(MAX(((B3841-B3840)/B3840)/($K$7*卓尔金历!$N$40),0),卓尔金历!$M$43),0),1)</f>
        <v>1</v>
      </c>
      <c r="M3841" s="4">
        <f>MIN(MAX(M3840*(1+MAX(MIN(((B3841-B3840)/B3840)/($K$7*30),0),-卓尔金历!$M$43))+MIN(MAX(((B3841-B3840)/B3840)/($K$7*7),0),卓尔金历!$M$43),0),1)</f>
        <v>1</v>
      </c>
      <c r="N3841">
        <f t="shared" si="543"/>
        <v>1126766.4393136273</v>
      </c>
      <c r="O3841">
        <f t="shared" si="544"/>
        <v>5527835.9838104881</v>
      </c>
      <c r="P3841">
        <f t="shared" si="545"/>
        <v>2.2522878592886153E-2</v>
      </c>
      <c r="Q3841">
        <f t="shared" si="546"/>
        <v>6.2833718656844104E-2</v>
      </c>
      <c r="R3841">
        <f t="shared" si="547"/>
        <v>1</v>
      </c>
      <c r="S3841">
        <f t="shared" si="539"/>
        <v>6066.8489703684736</v>
      </c>
      <c r="T3841" s="564">
        <f>IF((I3841-MAX(I$470:I3841))/MAX(I$470:I3841)&gt;T3840,T3840,(I3841-MAX(I$470:I3841))/MAX(I$470:I3841))</f>
        <v>-0.91338805338419748</v>
      </c>
      <c r="U3841" s="564">
        <f>IF((J3841-MAX(J$470:J3841))/MAX(J$470:J3841)&gt;U3840,U3840,(J3841-MAX(J$470:J3841))/MAX(J$470:J3841))</f>
        <v>-0.83569785939843477</v>
      </c>
      <c r="V3841" s="564">
        <f>IF((K3841-MAX(K$470:K3841))/MAX(K$470:K3841)&gt;V3840,V3840,(K3841-MAX(K$470:K3841))/MAX(K$470:K3841))</f>
        <v>-0.84885940676762139</v>
      </c>
      <c r="W3841" s="564">
        <f>IF((N3841-MAX(N$470:N3841))/MAX(N$470:N3841)&gt;W3840,W3840,(N3841-MAX(N$470:N3841))/MAX(N$470:N3841))</f>
        <v>-0.62788758315546067</v>
      </c>
      <c r="X3841" s="564">
        <f>IF((O3841-MAX(O$470:O3841))/MAX(O$470:O3841)&gt;X3840,X3840,(O3841-MAX(O$470:O3841))/MAX(O$470:O3841))</f>
        <v>-0.62788758315546067</v>
      </c>
    </row>
    <row r="3842" spans="1:24">
      <c r="A3842" s="799">
        <v>44244</v>
      </c>
      <c r="B3842">
        <v>51163.4057933652</v>
      </c>
      <c r="C3842">
        <v>62016.417255997803</v>
      </c>
      <c r="D3842">
        <v>3.7943253700000001</v>
      </c>
      <c r="E3842">
        <f>LN(D3842/参数实验室!$E$53)/参数实验室!$E$55</f>
        <v>0.8802404750532179</v>
      </c>
      <c r="F3842">
        <f t="shared" si="538"/>
        <v>1.2121244919946281</v>
      </c>
      <c r="G3842">
        <f>LN(F3842/参数实验室!$E$58)/参数实验室!$E$59</f>
        <v>-8.9561438823813164E-2</v>
      </c>
      <c r="H3842" s="856">
        <f>INDEX(神经网络!$G$10:$BO$70,MATCH(ROUND(G3842*2,1)/2,神经网络!$E$10:$E$70,0),MATCH(ROUND(E3842*2,1)/2,神经网络!$G$8:$BO$8,0))</f>
        <v>2.1806419713659433</v>
      </c>
      <c r="I3842">
        <f t="shared" si="540"/>
        <v>9234048.3203388788</v>
      </c>
      <c r="J3842">
        <f t="shared" si="541"/>
        <v>20415.548379300551</v>
      </c>
      <c r="K3842">
        <f t="shared" si="542"/>
        <v>452.30469193280828</v>
      </c>
      <c r="L3842" s="4">
        <f>MIN(MAX(L3841*(1+MAX(MIN(((B3842-B3841)/B3841)/($K$7*卓尔金历!$N$40),0),-卓尔金历!$M$43))+MIN(MAX(((B3842-B3841)/B3841)/($K$7*卓尔金历!$N$40),0),卓尔金历!$M$43),0),1)</f>
        <v>1</v>
      </c>
      <c r="M3842" s="4">
        <f>MIN(MAX(M3841*(1+MAX(MIN(((B3842-B3841)/B3841)/($K$7*30),0),-卓尔金历!$M$43))+MIN(MAX(((B3842-B3841)/B3841)/($K$7*7),0),卓尔金历!$M$43),0),1)</f>
        <v>1</v>
      </c>
      <c r="N3842">
        <f t="shared" si="543"/>
        <v>1230389.9822118611</v>
      </c>
      <c r="O3842">
        <f t="shared" si="544"/>
        <v>6036205.7126353169</v>
      </c>
      <c r="P3842">
        <f t="shared" si="545"/>
        <v>4.3402274708943402E-2</v>
      </c>
      <c r="Q3842">
        <f t="shared" si="546"/>
        <v>6.1250358313347623E-2</v>
      </c>
      <c r="R3842">
        <f t="shared" si="547"/>
        <v>0.42893513314714643</v>
      </c>
      <c r="S3842">
        <f t="shared" si="539"/>
        <v>6624.7892520483556</v>
      </c>
      <c r="T3842" s="564">
        <f>IF((I3842-MAX(I$470:I3842))/MAX(I$470:I3842)&gt;T3841,T3841,(I3842-MAX(I$470:I3842))/MAX(I$470:I3842))</f>
        <v>-0.91338805338419748</v>
      </c>
      <c r="U3842" s="564">
        <f>IF((J3842-MAX(J$470:J3842))/MAX(J$470:J3842)&gt;U3841,U3841,(J3842-MAX(J$470:J3842))/MAX(J$470:J3842))</f>
        <v>-0.83569785939843477</v>
      </c>
      <c r="V3842" s="564">
        <f>IF((K3842-MAX(K$470:K3842))/MAX(K$470:K3842)&gt;V3841,V3841,(K3842-MAX(K$470:K3842))/MAX(K$470:K3842))</f>
        <v>-0.84885940676762139</v>
      </c>
      <c r="W3842" s="564">
        <f>IF((N3842-MAX(N$470:N3842))/MAX(N$470:N3842)&gt;W3841,W3841,(N3842-MAX(N$470:N3842))/MAX(N$470:N3842))</f>
        <v>-0.62788758315546067</v>
      </c>
      <c r="X3842" s="564">
        <f>IF((O3842-MAX(O$470:O3842))/MAX(O$470:O3842)&gt;X3841,X3841,(O3842-MAX(O$470:O3842))/MAX(O$470:O3842))</f>
        <v>-0.62788758315546067</v>
      </c>
    </row>
    <row r="3843" spans="1:24">
      <c r="A3843" s="799">
        <v>44245</v>
      </c>
      <c r="B3843">
        <v>51572.351734461801</v>
      </c>
      <c r="C3843">
        <v>62538.5285684193</v>
      </c>
      <c r="D3843">
        <v>3.7096906299999999</v>
      </c>
      <c r="E3843">
        <f>LN(D3843/参数实验室!$E$53)/参数实验室!$E$55</f>
        <v>0.85362743393705554</v>
      </c>
      <c r="F3843">
        <f t="shared" si="538"/>
        <v>1.2126367416871093</v>
      </c>
      <c r="G3843">
        <f>LN(F3843/参数实验室!$E$58)/参数实验室!$E$59</f>
        <v>-8.9339679813126932E-2</v>
      </c>
      <c r="H3843" s="856">
        <f>INDEX(神经网络!$G$10:$BO$70,MATCH(ROUND(G3843*2,1)/2,神经网络!$E$10:$E$70,0),MATCH(ROUND(E3843*2,1)/2,神经网络!$G$8:$BO$8,0))</f>
        <v>2.1410314070331262</v>
      </c>
      <c r="I3843">
        <f t="shared" si="540"/>
        <v>9394995.3497072291</v>
      </c>
      <c r="J3843">
        <f t="shared" si="541"/>
        <v>20578.72859601042</v>
      </c>
      <c r="K3843">
        <f t="shared" si="542"/>
        <v>456.5391542958892</v>
      </c>
      <c r="L3843" s="4">
        <f>MIN(MAX(L3842*(1+MAX(MIN(((B3843-B3842)/B3842)/($K$7*卓尔金历!$N$40),0),-卓尔金历!$M$43))+MIN(MAX(((B3843-B3842)/B3842)/($K$7*卓尔金历!$N$40),0),卓尔金历!$M$43),0),1)</f>
        <v>1</v>
      </c>
      <c r="M3843" s="4">
        <f>MIN(MAX(M3842*(1+MAX(MIN(((B3843-B3842)/B3842)/($K$7*30),0),-卓尔金历!$M$43))+MIN(MAX(((B3843-B3842)/B3842)/($K$7*7),0),卓尔金历!$M$43),0),1)</f>
        <v>1</v>
      </c>
      <c r="N3843">
        <f t="shared" si="543"/>
        <v>1251835.3554362354</v>
      </c>
      <c r="O3843">
        <f t="shared" si="544"/>
        <v>6141415.1878732871</v>
      </c>
      <c r="P3843">
        <f t="shared" si="545"/>
        <v>7.9929382095519641E-3</v>
      </c>
      <c r="Q3843">
        <f t="shared" si="546"/>
        <v>6.115232256232981E-2</v>
      </c>
      <c r="R3843">
        <f t="shared" si="547"/>
        <v>1</v>
      </c>
      <c r="S3843">
        <f t="shared" si="539"/>
        <v>6674.3176760909373</v>
      </c>
      <c r="T3843" s="564">
        <f>IF((I3843-MAX(I$470:I3843))/MAX(I$470:I3843)&gt;T3842,T3842,(I3843-MAX(I$470:I3843))/MAX(I$470:I3843))</f>
        <v>-0.91338805338419748</v>
      </c>
      <c r="U3843" s="564">
        <f>IF((J3843-MAX(J$470:J3843))/MAX(J$470:J3843)&gt;U3842,U3842,(J3843-MAX(J$470:J3843))/MAX(J$470:J3843))</f>
        <v>-0.83569785939843477</v>
      </c>
      <c r="V3843" s="564">
        <f>IF((K3843-MAX(K$470:K3843))/MAX(K$470:K3843)&gt;V3842,V3842,(K3843-MAX(K$470:K3843))/MAX(K$470:K3843))</f>
        <v>-0.84885940676762139</v>
      </c>
      <c r="W3843" s="564">
        <f>IF((N3843-MAX(N$470:N3843))/MAX(N$470:N3843)&gt;W3842,W3842,(N3843-MAX(N$470:N3843))/MAX(N$470:N3843))</f>
        <v>-0.62788758315546067</v>
      </c>
      <c r="X3843" s="564">
        <f>IF((O3843-MAX(O$470:O3843))/MAX(O$470:O3843)&gt;X3842,X3842,(O3843-MAX(O$470:O3843))/MAX(O$470:O3843))</f>
        <v>-0.62788758315546067</v>
      </c>
    </row>
    <row r="3844" spans="1:24">
      <c r="A3844" s="799">
        <v>44246</v>
      </c>
      <c r="B3844">
        <v>53713.030396505601</v>
      </c>
      <c r="C3844">
        <v>62035.544972080999</v>
      </c>
      <c r="D3844">
        <v>3.9098663500000002</v>
      </c>
      <c r="E3844">
        <f>LN(D3844/参数实验室!$E$53)/参数实验室!$E$55</f>
        <v>0.91562901980008882</v>
      </c>
      <c r="F3844">
        <f t="shared" si="538"/>
        <v>1.1549440520138077</v>
      </c>
      <c r="G3844">
        <f>LN(F3844/参数实验室!$E$58)/参数实验室!$E$59</f>
        <v>-0.11492380095779393</v>
      </c>
      <c r="H3844" s="856">
        <f>INDEX(神经网络!$G$10:$BO$70,MATCH(ROUND(G3844*2,1)/2,神经网络!$E$10:$E$70,0),MATCH(ROUND(E3844*2,1)/2,神经网络!$G$8:$BO$8,0))</f>
        <v>2.1806419713659433</v>
      </c>
      <c r="I3844">
        <f t="shared" si="540"/>
        <v>10229933.20432166</v>
      </c>
      <c r="J3844">
        <f t="shared" si="541"/>
        <v>21432.915843942985</v>
      </c>
      <c r="K3844">
        <f t="shared" si="542"/>
        <v>477.30011533697473</v>
      </c>
      <c r="L3844" s="4">
        <f>MIN(MAX(L3843*(1+MAX(MIN(((B3844-B3843)/B3843)/($K$7*卓尔金历!$N$40),0),-卓尔金历!$M$43))+MIN(MAX(((B3844-B3843)/B3843)/($K$7*卓尔金历!$N$40),0),卓尔金历!$M$43),0),1)</f>
        <v>1</v>
      </c>
      <c r="M3844" s="4">
        <f>MIN(MAX(M3843*(1+MAX(MIN(((B3844-B3843)/B3843)/($K$7*30),0),-卓尔金历!$M$43))+MIN(MAX(((B3844-B3843)/B3843)/($K$7*7),0),卓尔金历!$M$43),0),1)</f>
        <v>1</v>
      </c>
      <c r="N3844">
        <f t="shared" si="543"/>
        <v>1363086.5787836739</v>
      </c>
      <c r="O3844">
        <f t="shared" si="544"/>
        <v>6687205.7742857859</v>
      </c>
      <c r="P3844">
        <f t="shared" si="545"/>
        <v>4.1508261501546968E-2</v>
      </c>
      <c r="Q3844">
        <f t="shared" si="546"/>
        <v>5.345354675769521E-2</v>
      </c>
      <c r="R3844">
        <f t="shared" si="547"/>
        <v>0.32953951136966292</v>
      </c>
      <c r="S3844">
        <f t="shared" si="539"/>
        <v>7267.4675685668499</v>
      </c>
      <c r="T3844" s="564">
        <f>IF((I3844-MAX(I$470:I3844))/MAX(I$470:I3844)&gt;T3843,T3843,(I3844-MAX(I$470:I3844))/MAX(I$470:I3844))</f>
        <v>-0.91338805338419748</v>
      </c>
      <c r="U3844" s="564">
        <f>IF((J3844-MAX(J$470:J3844))/MAX(J$470:J3844)&gt;U3843,U3843,(J3844-MAX(J$470:J3844))/MAX(J$470:J3844))</f>
        <v>-0.83569785939843477</v>
      </c>
      <c r="V3844" s="564">
        <f>IF((K3844-MAX(K$470:K3844))/MAX(K$470:K3844)&gt;V3843,V3843,(K3844-MAX(K$470:K3844))/MAX(K$470:K3844))</f>
        <v>-0.84885940676762139</v>
      </c>
      <c r="W3844" s="564">
        <f>IF((N3844-MAX(N$470:N3844))/MAX(N$470:N3844)&gt;W3843,W3843,(N3844-MAX(N$470:N3844))/MAX(N$470:N3844))</f>
        <v>-0.62788758315546067</v>
      </c>
      <c r="X3844" s="564">
        <f>IF((O3844-MAX(O$470:O3844))/MAX(O$470:O3844)&gt;X3843,X3843,(O3844-MAX(O$470:O3844))/MAX(O$470:O3844))</f>
        <v>-0.62788758315546067</v>
      </c>
    </row>
    <row r="3845" spans="1:24">
      <c r="A3845" s="799">
        <v>44247</v>
      </c>
      <c r="B3845">
        <v>56344.605580301199</v>
      </c>
      <c r="C3845">
        <v>61327.654176225202</v>
      </c>
      <c r="D3845">
        <v>3.8779697299999998</v>
      </c>
      <c r="E3845">
        <f>LN(D3845/参数实验室!$E$53)/参数实验室!$E$55</f>
        <v>0.9059651411708467</v>
      </c>
      <c r="F3845">
        <f t="shared" ref="F3845:F3908" si="548">C3845/B3845</f>
        <v>1.0884387874332044</v>
      </c>
      <c r="G3845">
        <f>LN(F3845/参数实验室!$E$58)/参数实验室!$E$59</f>
        <v>-0.14605160236735315</v>
      </c>
      <c r="H3845" s="856">
        <f>INDEX(神经网络!$G$10:$BO$70,MATCH(ROUND(G3845*2,1)/2,神经网络!$E$10:$E$70,0),MATCH(ROUND(E3845*2,1)/2,神经网络!$G$8:$BO$8,0))</f>
        <v>2.1591141005898566</v>
      </c>
      <c r="I3845">
        <f t="shared" si="540"/>
        <v>11322865.581850963</v>
      </c>
      <c r="J3845">
        <f t="shared" si="541"/>
        <v>22482.983751766136</v>
      </c>
      <c r="K3845">
        <f t="shared" si="542"/>
        <v>503.61934638508569</v>
      </c>
      <c r="L3845" s="4">
        <f>MIN(MAX(L3844*(1+MAX(MIN(((B3845-B3844)/B3844)/($K$7*卓尔金历!$N$40),0),-卓尔金历!$M$43))+MIN(MAX(((B3845-B3844)/B3844)/($K$7*卓尔金历!$N$40),0),卓尔金历!$M$43),0),1)</f>
        <v>1</v>
      </c>
      <c r="M3845" s="4">
        <f>MIN(MAX(M3844*(1+MAX(MIN(((B3845-B3844)/B3844)/($K$7*30),0),-卓尔金历!$M$43))+MIN(MAX(((B3845-B3844)/B3844)/($K$7*7),0),卓尔金历!$M$43),0),1)</f>
        <v>1</v>
      </c>
      <c r="N3845">
        <f t="shared" si="543"/>
        <v>1508714.2603699986</v>
      </c>
      <c r="O3845">
        <f t="shared" si="544"/>
        <v>7401644.8189933589</v>
      </c>
      <c r="P3845">
        <f t="shared" si="545"/>
        <v>4.8993236173224729E-2</v>
      </c>
      <c r="Q3845">
        <f t="shared" si="546"/>
        <v>4.933299678249789E-2</v>
      </c>
      <c r="R3845">
        <f t="shared" si="547"/>
        <v>6.0733871299325476E-2</v>
      </c>
      <c r="S3845">
        <f t="shared" si="539"/>
        <v>7523.3326906622533</v>
      </c>
      <c r="T3845" s="564">
        <f>IF((I3845-MAX(I$470:I3845))/MAX(I$470:I3845)&gt;T3844,T3844,(I3845-MAX(I$470:I3845))/MAX(I$470:I3845))</f>
        <v>-0.91338805338419748</v>
      </c>
      <c r="U3845" s="564">
        <f>IF((J3845-MAX(J$470:J3845))/MAX(J$470:J3845)&gt;U3844,U3844,(J3845-MAX(J$470:J3845))/MAX(J$470:J3845))</f>
        <v>-0.83569785939843477</v>
      </c>
      <c r="V3845" s="564">
        <f>IF((K3845-MAX(K$470:K3845))/MAX(K$470:K3845)&gt;V3844,V3844,(K3845-MAX(K$470:K3845))/MAX(K$470:K3845))</f>
        <v>-0.84885940676762139</v>
      </c>
      <c r="W3845" s="564">
        <f>IF((N3845-MAX(N$470:N3845))/MAX(N$470:N3845)&gt;W3844,W3844,(N3845-MAX(N$470:N3845))/MAX(N$470:N3845))</f>
        <v>-0.62788758315546067</v>
      </c>
      <c r="X3845" s="564">
        <f>IF((O3845-MAX(O$470:O3845))/MAX(O$470:O3845)&gt;X3844,X3844,(O3845-MAX(O$470:O3845))/MAX(O$470:O3845))</f>
        <v>-0.62788758315546067</v>
      </c>
    </row>
    <row r="3846" spans="1:24">
      <c r="A3846" s="799">
        <v>44248</v>
      </c>
      <c r="B3846">
        <v>57126.409681992001</v>
      </c>
      <c r="C3846">
        <v>61336.849009392899</v>
      </c>
      <c r="D3846">
        <v>3.9581003699999999</v>
      </c>
      <c r="E3846">
        <f>LN(D3846/参数实验室!$E$53)/参数实验室!$E$55</f>
        <v>0.93009399060326547</v>
      </c>
      <c r="F3846">
        <f t="shared" si="548"/>
        <v>1.0737039024654154</v>
      </c>
      <c r="G3846">
        <f>LN(F3846/参数实验室!$E$58)/参数实验室!$E$59</f>
        <v>-0.15320541669723547</v>
      </c>
      <c r="H3846" s="856">
        <f>INDEX(神经网络!$G$10:$BO$70,MATCH(ROUND(G3846*2,1)/2,神经网络!$E$10:$E$70,0),MATCH(ROUND(E3846*2,1)/2,神经网络!$G$8:$BO$8,0))</f>
        <v>2.1987098260305462</v>
      </c>
      <c r="I3846">
        <f t="shared" si="540"/>
        <v>11662082.533307699</v>
      </c>
      <c r="J3846">
        <f t="shared" si="541"/>
        <v>22794.944208926987</v>
      </c>
      <c r="K3846">
        <f t="shared" si="542"/>
        <v>511.60829464722178</v>
      </c>
      <c r="L3846" s="4">
        <f>MIN(MAX(L3845*(1+MAX(MIN(((B3846-B3845)/B3845)/($K$7*卓尔金历!$N$40),0),-卓尔金历!$M$43))+MIN(MAX(((B3846-B3845)/B3845)/($K$7*卓尔金历!$N$40),0),卓尔金历!$M$43),0),1)</f>
        <v>1</v>
      </c>
      <c r="M3846" s="4">
        <f>MIN(MAX(M3845*(1+MAX(MIN(((B3846-B3845)/B3845)/($K$7*30),0),-卓尔金历!$M$43))+MIN(MAX(((B3846-B3845)/B3845)/($K$7*7),0),卓尔金历!$M$43),0),1)</f>
        <v>1</v>
      </c>
      <c r="N3846">
        <f t="shared" si="543"/>
        <v>1553913.1941842739</v>
      </c>
      <c r="O3846">
        <f t="shared" si="544"/>
        <v>7623387.5724610761</v>
      </c>
      <c r="P3846">
        <f t="shared" si="545"/>
        <v>1.38754028649041E-2</v>
      </c>
      <c r="Q3846">
        <f t="shared" si="546"/>
        <v>4.7337189346131819E-2</v>
      </c>
      <c r="R3846">
        <f t="shared" si="547"/>
        <v>1</v>
      </c>
      <c r="S3846">
        <f t="shared" si="539"/>
        <v>7537.0213976464274</v>
      </c>
      <c r="T3846" s="564">
        <f>IF((I3846-MAX(I$470:I3846))/MAX(I$470:I3846)&gt;T3845,T3845,(I3846-MAX(I$470:I3846))/MAX(I$470:I3846))</f>
        <v>-0.91338805338419748</v>
      </c>
      <c r="U3846" s="564">
        <f>IF((J3846-MAX(J$470:J3846))/MAX(J$470:J3846)&gt;U3845,U3845,(J3846-MAX(J$470:J3846))/MAX(J$470:J3846))</f>
        <v>-0.83569785939843477</v>
      </c>
      <c r="V3846" s="564">
        <f>IF((K3846-MAX(K$470:K3846))/MAX(K$470:K3846)&gt;V3845,V3845,(K3846-MAX(K$470:K3846))/MAX(K$470:K3846))</f>
        <v>-0.84885940676762139</v>
      </c>
      <c r="W3846" s="564">
        <f>IF((N3846-MAX(N$470:N3846))/MAX(N$470:N3846)&gt;W3845,W3845,(N3846-MAX(N$470:N3846))/MAX(N$470:N3846))</f>
        <v>-0.62788758315546067</v>
      </c>
      <c r="X3846" s="564">
        <f>IF((O3846-MAX(O$470:O3846))/MAX(O$470:O3846)&gt;X3845,X3845,(O3846-MAX(O$470:O3846))/MAX(O$470:O3846))</f>
        <v>-0.62788758315546067</v>
      </c>
    </row>
    <row r="3847" spans="1:24">
      <c r="A3847" s="799">
        <v>44249</v>
      </c>
      <c r="B3847">
        <v>53315.786954691997</v>
      </c>
      <c r="C3847">
        <v>62319.243422798201</v>
      </c>
      <c r="D3847">
        <v>3.6869573099999999</v>
      </c>
      <c r="E3847">
        <f>LN(D3847/参数实验室!$E$53)/参数实验室!$E$55</f>
        <v>0.84637555641573792</v>
      </c>
      <c r="F3847">
        <f t="shared" si="548"/>
        <v>1.168870366215496</v>
      </c>
      <c r="G3847">
        <f>LN(F3847/参数实验室!$E$58)/参数实验室!$E$59</f>
        <v>-0.10863296313396896</v>
      </c>
      <c r="H3847" s="856">
        <f>INDEX(神经网络!$G$10:$BO$70,MATCH(ROUND(G3847*2,1)/2,神经网络!$E$10:$E$70,0),MATCH(ROUND(E3847*2,1)/2,神经网络!$G$8:$BO$8,0))</f>
        <v>2.1410314070331262</v>
      </c>
      <c r="I3847">
        <f t="shared" si="540"/>
        <v>9951661.410697164</v>
      </c>
      <c r="J3847">
        <f t="shared" si="541"/>
        <v>21274.405233107987</v>
      </c>
      <c r="K3847">
        <f t="shared" si="542"/>
        <v>467.77624575891946</v>
      </c>
      <c r="L3847" s="4">
        <f>MIN(MAX(L3846*(1+MAX(MIN(((B3847-B3846)/B3846)/($K$7*卓尔金历!$N$40),0),-卓尔金历!$M$43))+MIN(MAX(((B3847-B3846)/B3846)/($K$7*卓尔金历!$N$40),0),卓尔金历!$M$43),0),1)</f>
        <v>0</v>
      </c>
      <c r="M3847" s="4">
        <f>MIN(MAX(M3846*(1+MAX(MIN(((B3847-B3846)/B3846)/($K$7*30),0),-卓尔金历!$M$43))+MIN(MAX(((B3847-B3846)/B3846)/($K$7*7),0),卓尔金历!$M$43),0),1)</f>
        <v>0.49040506119516969</v>
      </c>
      <c r="N3847">
        <f t="shared" si="543"/>
        <v>1326008.2773355893</v>
      </c>
      <c r="O3847">
        <f t="shared" si="544"/>
        <v>6505302.2654378042</v>
      </c>
      <c r="P3847">
        <f t="shared" si="545"/>
        <v>-6.6705097493659382E-2</v>
      </c>
      <c r="Q3847">
        <f t="shared" si="546"/>
        <v>5.1368266822181083E-2</v>
      </c>
      <c r="R3847">
        <f t="shared" si="547"/>
        <v>3.4969838836844083E-2</v>
      </c>
      <c r="S3847">
        <f t="shared" si="539"/>
        <v>6431.6029988927667</v>
      </c>
      <c r="T3847" s="564">
        <f>IF((I3847-MAX(I$470:I3847))/MAX(I$470:I3847)&gt;T3846,T3846,(I3847-MAX(I$470:I3847))/MAX(I$470:I3847))</f>
        <v>-0.91338805338419748</v>
      </c>
      <c r="U3847" s="564">
        <f>IF((J3847-MAX(J$470:J3847))/MAX(J$470:J3847)&gt;U3846,U3846,(J3847-MAX(J$470:J3847))/MAX(J$470:J3847))</f>
        <v>-0.83569785939843477</v>
      </c>
      <c r="V3847" s="564">
        <f>IF((K3847-MAX(K$470:K3847))/MAX(K$470:K3847)&gt;V3846,V3846,(K3847-MAX(K$470:K3847))/MAX(K$470:K3847))</f>
        <v>-0.84885940676762139</v>
      </c>
      <c r="W3847" s="564">
        <f>IF((N3847-MAX(N$470:N3847))/MAX(N$470:N3847)&gt;W3846,W3846,(N3847-MAX(N$470:N3847))/MAX(N$470:N3847))</f>
        <v>-0.62788758315546067</v>
      </c>
      <c r="X3847" s="564">
        <f>IF((O3847-MAX(O$470:O3847))/MAX(O$470:O3847)&gt;X3846,X3846,(O3847-MAX(O$470:O3847))/MAX(O$470:O3847))</f>
        <v>-0.62788758315546067</v>
      </c>
    </row>
    <row r="3848" spans="1:24">
      <c r="A3848" s="799">
        <v>44250</v>
      </c>
      <c r="B3848">
        <v>48340.692786586798</v>
      </c>
      <c r="C3848">
        <v>62843.945581531902</v>
      </c>
      <c r="D3848">
        <v>3.2893319499999998</v>
      </c>
      <c r="E3848">
        <f>LN(D3848/参数实验室!$E$53)/参数实验室!$E$55</f>
        <v>0.71174559504849921</v>
      </c>
      <c r="F3848">
        <f t="shared" si="548"/>
        <v>1.300021616549305</v>
      </c>
      <c r="G3848">
        <f>LN(F3848/参数实验室!$E$58)/参数实验室!$E$59</f>
        <v>-5.2818352426755019E-2</v>
      </c>
      <c r="H3848" s="856">
        <f>INDEX(神经网络!$G$10:$BO$70,MATCH(ROUND(G3848*2,1)/2,神经网络!$E$10:$E$70,0),MATCH(ROUND(E3848*2,1)/2,神经网络!$G$8:$BO$8,0))</f>
        <v>2.0203333755614099</v>
      </c>
      <c r="I3848">
        <f t="shared" si="540"/>
        <v>7963442.9082784643</v>
      </c>
      <c r="J3848">
        <f t="shared" si="541"/>
        <v>19289.211438724207</v>
      </c>
      <c r="K3848">
        <f t="shared" si="542"/>
        <v>412.84439924233459</v>
      </c>
      <c r="L3848" s="4">
        <f>MIN(MAX(L3847*(1+MAX(MIN(((B3848-B3847)/B3847)/($K$7*卓尔金历!$N$40),0),-卓尔金历!$M$43))+MIN(MAX(((B3848-B3847)/B3847)/($K$7*卓尔金历!$N$40),0),卓尔金历!$M$43),0),1)</f>
        <v>0</v>
      </c>
      <c r="M3848" s="4">
        <f>MIN(MAX(M3847*(1+MAX(MIN(((B3848-B3847)/B3847)/($K$7*30),0),-卓尔金历!$M$43))+MIN(MAX(((B3848-B3847)/B3847)/($K$7*7),0),卓尔金历!$M$43),0),1)</f>
        <v>0.14080901846888427</v>
      </c>
      <c r="N3848">
        <f t="shared" si="543"/>
        <v>1326008.2773355893</v>
      </c>
      <c r="O3848">
        <f t="shared" si="544"/>
        <v>5867933.2548597343</v>
      </c>
      <c r="P3848">
        <f t="shared" si="545"/>
        <v>-9.331371536038767E-2</v>
      </c>
      <c r="Q3848">
        <f t="shared" si="546"/>
        <v>5.6923768267746075E-2</v>
      </c>
      <c r="R3848">
        <f t="shared" si="547"/>
        <v>2.5979289003280698E-2</v>
      </c>
      <c r="S3848">
        <f t="shared" si="539"/>
        <v>6386.668347218897</v>
      </c>
      <c r="T3848" s="564">
        <f>IF((I3848-MAX(I$470:I3848))/MAX(I$470:I3848)&gt;T3847,T3847,(I3848-MAX(I$470:I3848))/MAX(I$470:I3848))</f>
        <v>-0.91338805338419748</v>
      </c>
      <c r="U3848" s="564">
        <f>IF((J3848-MAX(J$470:J3848))/MAX(J$470:J3848)&gt;U3847,U3847,(J3848-MAX(J$470:J3848))/MAX(J$470:J3848))</f>
        <v>-0.83569785939843477</v>
      </c>
      <c r="V3848" s="564">
        <f>IF((K3848-MAX(K$470:K3848))/MAX(K$470:K3848)&gt;V3847,V3847,(K3848-MAX(K$470:K3848))/MAX(K$470:K3848))</f>
        <v>-0.84885940676762139</v>
      </c>
      <c r="W3848" s="564">
        <f>IF((N3848-MAX(N$470:N3848))/MAX(N$470:N3848)&gt;W3847,W3847,(N3848-MAX(N$470:N3848))/MAX(N$470:N3848))</f>
        <v>-0.62788758315546067</v>
      </c>
      <c r="X3848" s="564">
        <f>IF((O3848-MAX(O$470:O3848))/MAX(O$470:O3848)&gt;X3847,X3847,(O3848-MAX(O$470:O3848))/MAX(O$470:O3848))</f>
        <v>-0.62788758315546067</v>
      </c>
    </row>
    <row r="3849" spans="1:24">
      <c r="A3849" s="799">
        <v>44251</v>
      </c>
      <c r="B3849">
        <v>49704.312979091199</v>
      </c>
      <c r="C3849">
        <v>62039.586079684799</v>
      </c>
      <c r="D3849">
        <v>3.3299439799999999</v>
      </c>
      <c r="E3849">
        <f>LN(D3849/参数实验室!$E$53)/参数实验室!$E$55</f>
        <v>0.72622233717221918</v>
      </c>
      <c r="F3849">
        <f t="shared" si="548"/>
        <v>1.2481730932642123</v>
      </c>
      <c r="G3849">
        <f>LN(F3849/参数实验室!$E$58)/参数实验室!$E$59</f>
        <v>-7.4179878173552039E-2</v>
      </c>
      <c r="H3849" s="856">
        <f>INDEX(神经网络!$G$10:$BO$70,MATCH(ROUND(G3849*2,1)/2,神经网络!$E$10:$E$70,0),MATCH(ROUND(E3849*2,1)/2,神经网络!$G$8:$BO$8,0))</f>
        <v>2.0730012805109679</v>
      </c>
      <c r="I3849">
        <f t="shared" si="540"/>
        <v>8417284.6766094733</v>
      </c>
      <c r="J3849">
        <f t="shared" si="541"/>
        <v>19833.331861893432</v>
      </c>
      <c r="K3849">
        <f t="shared" si="542"/>
        <v>424.40093955075378</v>
      </c>
      <c r="L3849" s="4">
        <f>MIN(MAX(L3848*(1+MAX(MIN(((B3849-B3848)/B3848)/($K$7*卓尔金历!$N$40),0),-卓尔金历!$M$43))+MIN(MAX(((B3849-B3848)/B3848)/($K$7*卓尔金历!$N$40),0),卓尔金历!$M$43),0),1)</f>
        <v>0.43099936662142385</v>
      </c>
      <c r="M3849" s="4">
        <f>MIN(MAX(M3848*(1+MAX(MIN(((B3849-B3848)/B3848)/($K$7*30),0),-卓尔金历!$M$43))+MIN(MAX(((B3849-B3848)/B3848)/($K$7*7),0),卓尔金历!$M$43),0),1)</f>
        <v>1</v>
      </c>
      <c r="N3849">
        <f t="shared" si="543"/>
        <v>1326008.2773355893</v>
      </c>
      <c r="O3849">
        <f t="shared" si="544"/>
        <v>5915022.2289081775</v>
      </c>
      <c r="P3849">
        <f t="shared" si="545"/>
        <v>2.8208536408952073E-2</v>
      </c>
      <c r="Q3849">
        <f t="shared" si="546"/>
        <v>5.604665139515759E-2</v>
      </c>
      <c r="R3849">
        <f t="shared" si="547"/>
        <v>0.7825650999987166</v>
      </c>
      <c r="S3849">
        <f t="shared" si="539"/>
        <v>6396.1242983128614</v>
      </c>
      <c r="T3849" s="564">
        <f>IF((I3849-MAX(I$470:I3849))/MAX(I$470:I3849)&gt;T3848,T3848,(I3849-MAX(I$470:I3849))/MAX(I$470:I3849))</f>
        <v>-0.91338805338419748</v>
      </c>
      <c r="U3849" s="564">
        <f>IF((J3849-MAX(J$470:J3849))/MAX(J$470:J3849)&gt;U3848,U3848,(J3849-MAX(J$470:J3849))/MAX(J$470:J3849))</f>
        <v>-0.83569785939843477</v>
      </c>
      <c r="V3849" s="564">
        <f>IF((K3849-MAX(K$470:K3849))/MAX(K$470:K3849)&gt;V3848,V3848,(K3849-MAX(K$470:K3849))/MAX(K$470:K3849))</f>
        <v>-0.84885940676762139</v>
      </c>
      <c r="W3849" s="564">
        <f>IF((N3849-MAX(N$470:N3849))/MAX(N$470:N3849)&gt;W3848,W3848,(N3849-MAX(N$470:N3849))/MAX(N$470:N3849))</f>
        <v>-0.62788758315546067</v>
      </c>
      <c r="X3849" s="564">
        <f>IF((O3849-MAX(O$470:O3849))/MAX(O$470:O3849)&gt;X3848,X3848,(O3849-MAX(O$470:O3849))/MAX(O$470:O3849))</f>
        <v>-0.62788758315546067</v>
      </c>
    </row>
    <row r="3850" spans="1:24">
      <c r="A3850" s="799">
        <v>44252</v>
      </c>
      <c r="B3850">
        <v>50817.841529525896</v>
      </c>
      <c r="C3850">
        <v>62263.007164668001</v>
      </c>
      <c r="D3850">
        <v>3.17682646</v>
      </c>
      <c r="E3850">
        <f>LN(D3850/参数实验室!$E$53)/参数实验室!$E$55</f>
        <v>0.67068810636924359</v>
      </c>
      <c r="F3850">
        <f t="shared" si="548"/>
        <v>1.2252194365337674</v>
      </c>
      <c r="G3850">
        <f>LN(F3850/参数实验室!$E$58)/参数实验室!$E$59</f>
        <v>-8.3921692511931628E-2</v>
      </c>
      <c r="H3850" s="856">
        <f>INDEX(神经网络!$G$10:$BO$70,MATCH(ROUND(G3850*2,1)/2,神经网络!$E$10:$E$70,0),MATCH(ROUND(E3850*2,1)/2,神经网络!$G$8:$BO$8,0))</f>
        <v>1.9329982678469229</v>
      </c>
      <c r="I3850">
        <f t="shared" si="540"/>
        <v>8808196.5549422782</v>
      </c>
      <c r="J3850">
        <f t="shared" si="541"/>
        <v>20277.65912354887</v>
      </c>
      <c r="K3850">
        <f t="shared" si="542"/>
        <v>434.37935815348305</v>
      </c>
      <c r="L3850" s="4">
        <f>MIN(MAX(L3849*(1+MAX(MIN(((B3850-B3849)/B3849)/($K$7*卓尔金历!$N$40),0),-卓尔金历!$M$43))+MIN(MAX(((B3850-B3849)/B3849)/($K$7*卓尔金历!$N$40),0),卓尔金历!$M$43),0),1)</f>
        <v>0.77329657701415333</v>
      </c>
      <c r="M3850" s="4">
        <f>MIN(MAX(M3849*(1+MAX(MIN(((B3850-B3849)/B3849)/($K$7*30),0),-卓尔金历!$M$43))+MIN(MAX(((B3850-B3849)/B3849)/($K$7*7),0),卓尔金历!$M$43),0),1)</f>
        <v>1</v>
      </c>
      <c r="N3850">
        <f t="shared" si="543"/>
        <v>1352550.0373923082</v>
      </c>
      <c r="O3850">
        <f t="shared" si="544"/>
        <v>6189725.121672187</v>
      </c>
      <c r="P3850">
        <f t="shared" si="545"/>
        <v>2.2403056871606264E-2</v>
      </c>
      <c r="Q3850">
        <f t="shared" si="546"/>
        <v>5.5848841752315685E-2</v>
      </c>
      <c r="R3850">
        <f t="shared" si="547"/>
        <v>1</v>
      </c>
      <c r="S3850">
        <f t="shared" si="539"/>
        <v>6628.5821514101162</v>
      </c>
      <c r="T3850" s="564">
        <f>IF((I3850-MAX(I$470:I3850))/MAX(I$470:I3850)&gt;T3849,T3849,(I3850-MAX(I$470:I3850))/MAX(I$470:I3850))</f>
        <v>-0.91338805338419748</v>
      </c>
      <c r="U3850" s="564">
        <f>IF((J3850-MAX(J$470:J3850))/MAX(J$470:J3850)&gt;U3849,U3849,(J3850-MAX(J$470:J3850))/MAX(J$470:J3850))</f>
        <v>-0.83569785939843477</v>
      </c>
      <c r="V3850" s="564">
        <f>IF((K3850-MAX(K$470:K3850))/MAX(K$470:K3850)&gt;V3849,V3849,(K3850-MAX(K$470:K3850))/MAX(K$470:K3850))</f>
        <v>-0.84885940676762139</v>
      </c>
      <c r="W3850" s="564">
        <f>IF((N3850-MAX(N$470:N3850))/MAX(N$470:N3850)&gt;W3849,W3849,(N3850-MAX(N$470:N3850))/MAX(N$470:N3850))</f>
        <v>-0.62788758315546067</v>
      </c>
      <c r="X3850" s="564">
        <f>IF((O3850-MAX(O$470:O3850))/MAX(O$470:O3850)&gt;X3849,X3849,(O3850-MAX(O$470:O3850))/MAX(O$470:O3850))</f>
        <v>-0.62788758315546067</v>
      </c>
    </row>
    <row r="3851" spans="1:24">
      <c r="A3851" s="799">
        <v>44253</v>
      </c>
      <c r="B3851">
        <v>47620.111631260799</v>
      </c>
      <c r="C3851">
        <v>62400.574336733698</v>
      </c>
      <c r="D3851">
        <v>3.06572143</v>
      </c>
      <c r="E3851">
        <f>LN(D3851/参数实验室!$E$53)/参数实验室!$E$55</f>
        <v>0.62868911337370281</v>
      </c>
      <c r="F3851">
        <f t="shared" si="548"/>
        <v>1.310382781542454</v>
      </c>
      <c r="G3851">
        <f>LN(F3851/参数实验室!$E$58)/参数实验室!$E$59</f>
        <v>-4.8651850179122762E-2</v>
      </c>
      <c r="H3851" s="856">
        <f>INDEX(神经网络!$G$10:$BO$70,MATCH(ROUND(G3851*2,1)/2,神经网络!$E$10:$E$70,0),MATCH(ROUND(E3851*2,1)/2,神经网络!$G$8:$BO$8,0))</f>
        <v>1.9613587643006838</v>
      </c>
      <c r="I3851">
        <f t="shared" si="540"/>
        <v>7736815.3455597274</v>
      </c>
      <c r="J3851">
        <f t="shared" si="541"/>
        <v>19001.680551957517</v>
      </c>
      <c r="K3851">
        <f t="shared" si="542"/>
        <v>407.16479389306937</v>
      </c>
      <c r="L3851" s="4">
        <f>MIN(MAX(L3850*(1+MAX(MIN(((B3851-B3850)/B3850)/($K$7*卓尔金历!$N$40),0),-卓尔金历!$M$43))+MIN(MAX(((B3851-B3850)/B3850)/($K$7*卓尔金历!$N$40),0),卓尔金历!$M$43),0),1)</f>
        <v>2.9819249520874523E-2</v>
      </c>
      <c r="M3851" s="4">
        <f>MIN(MAX(M3850*(1+MAX(MIN(((B3851-B3850)/B3850)/($K$7*30),0),-卓尔金历!$M$43))+MIN(MAX(((B3851-B3850)/B3850)/($K$7*7),0),卓尔金历!$M$43),0),1)</f>
        <v>0.51928060359197015</v>
      </c>
      <c r="N3851">
        <f t="shared" si="543"/>
        <v>1225329.7253941933</v>
      </c>
      <c r="O3851">
        <f t="shared" si="544"/>
        <v>5436840.5617923625</v>
      </c>
      <c r="P3851">
        <f t="shared" si="545"/>
        <v>-6.2925338857754712E-2</v>
      </c>
      <c r="Q3851">
        <f t="shared" si="546"/>
        <v>5.8212276097555693E-2</v>
      </c>
      <c r="R3851">
        <f t="shared" si="547"/>
        <v>5.1500860634658904E-2</v>
      </c>
      <c r="S3851">
        <f t="shared" si="539"/>
        <v>5822.3174049808849</v>
      </c>
      <c r="T3851" s="564">
        <f>IF((I3851-MAX(I$470:I3851))/MAX(I$470:I3851)&gt;T3850,T3850,(I3851-MAX(I$470:I3851))/MAX(I$470:I3851))</f>
        <v>-0.91338805338419748</v>
      </c>
      <c r="U3851" s="564">
        <f>IF((J3851-MAX(J$470:J3851))/MAX(J$470:J3851)&gt;U3850,U3850,(J3851-MAX(J$470:J3851))/MAX(J$470:J3851))</f>
        <v>-0.83569785939843477</v>
      </c>
      <c r="V3851" s="564">
        <f>IF((K3851-MAX(K$470:K3851))/MAX(K$470:K3851)&gt;V3850,V3850,(K3851-MAX(K$470:K3851))/MAX(K$470:K3851))</f>
        <v>-0.84885940676762139</v>
      </c>
      <c r="W3851" s="564">
        <f>IF((N3851-MAX(N$470:N3851))/MAX(N$470:N3851)&gt;W3850,W3850,(N3851-MAX(N$470:N3851))/MAX(N$470:N3851))</f>
        <v>-0.62788758315546067</v>
      </c>
      <c r="X3851" s="564">
        <f>IF((O3851-MAX(O$470:O3851))/MAX(O$470:O3851)&gt;X3850,X3850,(O3851-MAX(O$470:O3851))/MAX(O$470:O3851))</f>
        <v>-0.62788758315546067</v>
      </c>
    </row>
    <row r="3852" spans="1:24">
      <c r="A3852" s="799">
        <v>44254</v>
      </c>
      <c r="B3852">
        <v>46595.894934088101</v>
      </c>
      <c r="C3852">
        <v>61899.542099368897</v>
      </c>
      <c r="D3852">
        <v>3.04478896</v>
      </c>
      <c r="E3852">
        <f>LN(D3852/参数实验室!$E$53)/参数实验室!$E$55</f>
        <v>0.62060623832359874</v>
      </c>
      <c r="F3852">
        <f t="shared" si="548"/>
        <v>1.3284333778099651</v>
      </c>
      <c r="G3852">
        <f>LN(F3852/参数实验室!$E$58)/参数实验室!$E$59</f>
        <v>-4.1471299789264761E-2</v>
      </c>
      <c r="H3852" s="856">
        <f>INDEX(神经网络!$G$10:$BO$70,MATCH(ROUND(G3852*2,1)/2,神经网络!$E$10:$E$70,0),MATCH(ROUND(E3852*2,1)/2,神经网络!$G$8:$BO$8,0))</f>
        <v>1.901613979957405</v>
      </c>
      <c r="I3852">
        <f t="shared" si="540"/>
        <v>7410437.4674814604</v>
      </c>
      <c r="J3852">
        <f t="shared" si="541"/>
        <v>18592.991075411213</v>
      </c>
      <c r="K3852">
        <f t="shared" si="542"/>
        <v>398.56080376876997</v>
      </c>
      <c r="L3852" s="4">
        <f>MIN(MAX(L3851*(1+MAX(MIN(((B3852-B3851)/B3851)/($K$7*卓尔金历!$N$40),0),-卓尔金历!$M$43))+MIN(MAX(((B3852-B3851)/B3851)/($K$7*卓尔金历!$N$40),0),卓尔金历!$M$43),0),1)</f>
        <v>2.0019968103637518E-2</v>
      </c>
      <c r="M3852" s="4">
        <f>MIN(MAX(M3851*(1+MAX(MIN(((B3852-B3851)/B3851)/($K$7*30),0),-卓尔金历!$M$43))+MIN(MAX(((B3852-B3851)/B3851)/($K$7*7),0),卓尔金历!$M$43),0),1)</f>
        <v>0.43395691418207694</v>
      </c>
      <c r="N3852">
        <f t="shared" si="543"/>
        <v>1223788.3509249645</v>
      </c>
      <c r="O3852">
        <f t="shared" si="544"/>
        <v>5317741.8179047499</v>
      </c>
      <c r="P3852">
        <f t="shared" si="545"/>
        <v>-2.150807005879295E-2</v>
      </c>
      <c r="Q3852">
        <f t="shared" si="546"/>
        <v>5.6782928738643365E-2</v>
      </c>
      <c r="R3852">
        <f t="shared" si="547"/>
        <v>1</v>
      </c>
      <c r="S3852">
        <f t="shared" si="539"/>
        <v>5809.6680364126914</v>
      </c>
      <c r="T3852" s="564">
        <f>IF((I3852-MAX(I$470:I3852))/MAX(I$470:I3852)&gt;T3851,T3851,(I3852-MAX(I$470:I3852))/MAX(I$470:I3852))</f>
        <v>-0.91338805338419748</v>
      </c>
      <c r="U3852" s="564">
        <f>IF((J3852-MAX(J$470:J3852))/MAX(J$470:J3852)&gt;U3851,U3851,(J3852-MAX(J$470:J3852))/MAX(J$470:J3852))</f>
        <v>-0.83569785939843477</v>
      </c>
      <c r="V3852" s="564">
        <f>IF((K3852-MAX(K$470:K3852))/MAX(K$470:K3852)&gt;V3851,V3851,(K3852-MAX(K$470:K3852))/MAX(K$470:K3852))</f>
        <v>-0.84885940676762139</v>
      </c>
      <c r="W3852" s="564">
        <f>IF((N3852-MAX(N$470:N3852))/MAX(N$470:N3852)&gt;W3851,W3851,(N3852-MAX(N$470:N3852))/MAX(N$470:N3852))</f>
        <v>-0.62788758315546067</v>
      </c>
      <c r="X3852" s="564">
        <f>IF((O3852-MAX(O$470:O3852))/MAX(O$470:O3852)&gt;X3851,X3851,(O3852-MAX(O$470:O3852))/MAX(O$470:O3852))</f>
        <v>-0.62788758315546067</v>
      </c>
    </row>
    <row r="3853" spans="1:24">
      <c r="A3853" s="799">
        <v>44255</v>
      </c>
      <c r="B3853">
        <v>43396.955947786002</v>
      </c>
      <c r="C3853">
        <v>62807.021393220297</v>
      </c>
      <c r="D3853">
        <v>3.0088644599999999</v>
      </c>
      <c r="E3853">
        <f>LN(D3853/参数实验室!$E$53)/参数实验室!$E$55</f>
        <v>0.60660393591245376</v>
      </c>
      <c r="F3853">
        <f t="shared" si="548"/>
        <v>1.4472679021263137</v>
      </c>
      <c r="G3853">
        <f>LN(F3853/参数实验室!$E$58)/参数实验室!$E$59</f>
        <v>3.4967445156907405E-3</v>
      </c>
      <c r="H3853" s="856">
        <f>INDEX(神经网络!$G$10:$BO$70,MATCH(ROUND(G3853*2,1)/2,神经网络!$E$10:$E$70,0),MATCH(ROUND(E3853*2,1)/2,神经网络!$G$8:$BO$8,0))</f>
        <v>1.9338868743672437</v>
      </c>
      <c r="I3853">
        <f t="shared" si="540"/>
        <v>6442996.4249945041</v>
      </c>
      <c r="J3853">
        <f t="shared" si="541"/>
        <v>17316.530045802621</v>
      </c>
      <c r="K3853">
        <f t="shared" si="542"/>
        <v>372.07202643674168</v>
      </c>
      <c r="L3853" s="4">
        <f>MIN(MAX(L3852*(1+MAX(MIN(((B3853-B3852)/B3852)/($K$7*卓尔金历!$N$40),0),-卓尔金历!$M$43))+MIN(MAX(((B3853-B3852)/B3852)/($K$7*卓尔金历!$N$40),0),卓尔金历!$M$43),0),1)</f>
        <v>0</v>
      </c>
      <c r="M3853" s="4">
        <f>MIN(MAX(M3852*(1+MAX(MIN(((B3853-B3852)/B3852)/($K$7*30),0),-卓尔金历!$M$43))+MIN(MAX(((B3853-B3852)/B3852)/($K$7*7),0),卓尔金历!$M$43),0),1)</f>
        <v>0.20635757615772324</v>
      </c>
      <c r="N3853">
        <f t="shared" si="543"/>
        <v>1220589.8214505389</v>
      </c>
      <c r="O3853">
        <f t="shared" si="544"/>
        <v>5016472.7655697176</v>
      </c>
      <c r="P3853">
        <f t="shared" si="545"/>
        <v>-6.8652807094426144E-2</v>
      </c>
      <c r="Q3853">
        <f t="shared" si="546"/>
        <v>5.6725686863120281E-2</v>
      </c>
      <c r="R3853">
        <f t="shared" si="547"/>
        <v>4.5946765228819429E-2</v>
      </c>
      <c r="S3853">
        <f t="shared" si="539"/>
        <v>5051.2092644016984</v>
      </c>
      <c r="T3853" s="564">
        <f>IF((I3853-MAX(I$470:I3853))/MAX(I$470:I3853)&gt;T3852,T3852,(I3853-MAX(I$470:I3853))/MAX(I$470:I3853))</f>
        <v>-0.91338805338419748</v>
      </c>
      <c r="U3853" s="564">
        <f>IF((J3853-MAX(J$470:J3853))/MAX(J$470:J3853)&gt;U3852,U3852,(J3853-MAX(J$470:J3853))/MAX(J$470:J3853))</f>
        <v>-0.83569785939843477</v>
      </c>
      <c r="V3853" s="564">
        <f>IF((K3853-MAX(K$470:K3853))/MAX(K$470:K3853)&gt;V3852,V3852,(K3853-MAX(K$470:K3853))/MAX(K$470:K3853))</f>
        <v>-0.84885940676762139</v>
      </c>
      <c r="W3853" s="564">
        <f>IF((N3853-MAX(N$470:N3853))/MAX(N$470:N3853)&gt;W3852,W3852,(N3853-MAX(N$470:N3853))/MAX(N$470:N3853))</f>
        <v>-0.62788758315546067</v>
      </c>
      <c r="X3853" s="564">
        <f>IF((O3853-MAX(O$470:O3853))/MAX(O$470:O3853)&gt;X3852,X3852,(O3853-MAX(O$470:O3853))/MAX(O$470:O3853))</f>
        <v>-0.62788758315546067</v>
      </c>
    </row>
    <row r="3854" spans="1:24">
      <c r="A3854" s="799">
        <v>44256</v>
      </c>
      <c r="B3854">
        <v>49108.776305223597</v>
      </c>
      <c r="C3854">
        <v>63075.746112676898</v>
      </c>
      <c r="D3854">
        <v>3.2699310000000001</v>
      </c>
      <c r="E3854">
        <f>LN(D3854/参数实验室!$E$53)/参数实验室!$E$55</f>
        <v>0.70476664005919087</v>
      </c>
      <c r="F3854">
        <f t="shared" si="548"/>
        <v>1.2844088339861091</v>
      </c>
      <c r="G3854">
        <f>LN(F3854/参数实验室!$E$58)/参数实验室!$E$59</f>
        <v>-5.9159812872895158E-2</v>
      </c>
      <c r="H3854" s="856">
        <f>INDEX(神经网络!$G$10:$BO$70,MATCH(ROUND(G3854*2,1)/2,神经网络!$E$10:$E$70,0),MATCH(ROUND(E3854*2,1)/2,神经网络!$G$8:$BO$8,0))</f>
        <v>2.0203333755614099</v>
      </c>
      <c r="I3854">
        <f t="shared" si="540"/>
        <v>8082960.1010456635</v>
      </c>
      <c r="J3854">
        <f t="shared" si="541"/>
        <v>19595.697021357304</v>
      </c>
      <c r="K3854">
        <f t="shared" si="542"/>
        <v>412.48648069196338</v>
      </c>
      <c r="L3854" s="4">
        <f>MIN(MAX(L3853*(1+MAX(MIN(((B3854-B3853)/B3853)/($K$7*卓尔金历!$N$40),0),-卓尔金历!$M$43))+MIN(MAX(((B3854-B3853)/B3853)/($K$7*卓尔金历!$N$40),0),卓尔金历!$M$43),0),1)</f>
        <v>1</v>
      </c>
      <c r="M3854" s="4">
        <f>MIN(MAX(M3853*(1+MAX(MIN(((B3854-B3853)/B3853)/($K$7*30),0),-卓尔金历!$M$43))+MIN(MAX(((B3854-B3853)/B3853)/($K$7*7),0),卓尔金历!$M$43),0),1)</f>
        <v>1</v>
      </c>
      <c r="N3854">
        <f t="shared" si="543"/>
        <v>1220589.8214505389</v>
      </c>
      <c r="O3854">
        <f t="shared" si="544"/>
        <v>5279963.4195427662</v>
      </c>
      <c r="P3854">
        <f t="shared" si="545"/>
        <v>0.13161799561033488</v>
      </c>
      <c r="Q3854">
        <f t="shared" si="546"/>
        <v>5.4722317770668737E-2</v>
      </c>
      <c r="R3854">
        <f t="shared" si="547"/>
        <v>6.9414017613688515E-3</v>
      </c>
      <c r="S3854">
        <f t="shared" si="539"/>
        <v>5110.2833000745713</v>
      </c>
      <c r="T3854" s="564">
        <f>IF((I3854-MAX(I$470:I3854))/MAX(I$470:I3854)&gt;T3853,T3853,(I3854-MAX(I$470:I3854))/MAX(I$470:I3854))</f>
        <v>-0.91338805338419748</v>
      </c>
      <c r="U3854" s="564">
        <f>IF((J3854-MAX(J$470:J3854))/MAX(J$470:J3854)&gt;U3853,U3853,(J3854-MAX(J$470:J3854))/MAX(J$470:J3854))</f>
        <v>-0.83569785939843477</v>
      </c>
      <c r="V3854" s="564">
        <f>IF((K3854-MAX(K$470:K3854))/MAX(K$470:K3854)&gt;V3853,V3853,(K3854-MAX(K$470:K3854))/MAX(K$470:K3854))</f>
        <v>-0.84885940676762139</v>
      </c>
      <c r="W3854" s="564">
        <f>IF((N3854-MAX(N$470:N3854))/MAX(N$470:N3854)&gt;W3853,W3853,(N3854-MAX(N$470:N3854))/MAX(N$470:N3854))</f>
        <v>-0.62788758315546067</v>
      </c>
      <c r="X3854" s="564">
        <f>IF((O3854-MAX(O$470:O3854))/MAX(O$470:O3854)&gt;X3853,X3853,(O3854-MAX(O$470:O3854))/MAX(O$470:O3854))</f>
        <v>-0.62788758315546067</v>
      </c>
    </row>
    <row r="3855" spans="1:24">
      <c r="A3855" s="799">
        <v>44257</v>
      </c>
      <c r="B3855">
        <v>48607.743834493704</v>
      </c>
      <c r="C3855">
        <v>63128.819989093303</v>
      </c>
      <c r="D3855">
        <v>3.17061495</v>
      </c>
      <c r="E3855">
        <f>LN(D3855/参数实验室!$E$53)/参数实验室!$E$55</f>
        <v>0.66837912832964974</v>
      </c>
      <c r="F3855">
        <f t="shared" si="548"/>
        <v>1.29873997452017</v>
      </c>
      <c r="G3855">
        <f>LN(F3855/参数实验室!$E$58)/参数实验室!$E$59</f>
        <v>-5.3336041357992602E-2</v>
      </c>
      <c r="H3855" s="856">
        <f>INDEX(神经网络!$G$10:$BO$70,MATCH(ROUND(G3855*2,1)/2,神经网络!$E$10:$E$70,0),MATCH(ROUND(E3855*2,1)/2,神经网络!$G$8:$BO$8,0))</f>
        <v>1.9613587643006838</v>
      </c>
      <c r="I3855">
        <f t="shared" si="540"/>
        <v>7916350.4198785452</v>
      </c>
      <c r="J3855">
        <f t="shared" si="541"/>
        <v>19395.771850482281</v>
      </c>
      <c r="K3855">
        <f t="shared" si="542"/>
        <v>408.148254212513</v>
      </c>
      <c r="L3855" s="4">
        <f>MIN(MAX(L3854*(1+MAX(MIN(((B3855-B3854)/B3854)/($K$7*卓尔金历!$N$40),0),-卓尔金历!$M$43))+MIN(MAX(((B3855-B3854)/B3854)/($K$7*卓尔金历!$N$40),0),卓尔金历!$M$43),0),1)</f>
        <v>0.84411553445602072</v>
      </c>
      <c r="M3855" s="4">
        <f>MIN(MAX(M3854*(1+MAX(MIN(((B3855-B3854)/B3854)/($K$7*30),0),-卓尔金历!$M$43))+MIN(MAX(((B3855-B3854)/B3854)/($K$7*7),0),卓尔金历!$M$43),0),1)</f>
        <v>0.92205776722801036</v>
      </c>
      <c r="N3855">
        <f t="shared" si="543"/>
        <v>1195430.4641797545</v>
      </c>
      <c r="O3855">
        <f t="shared" si="544"/>
        <v>5171130.39167835</v>
      </c>
      <c r="P3855">
        <f t="shared" si="545"/>
        <v>-1.020250367502233E-2</v>
      </c>
      <c r="Q3855">
        <f t="shared" si="546"/>
        <v>5.285842450437251E-2</v>
      </c>
      <c r="R3855">
        <f t="shared" si="547"/>
        <v>1</v>
      </c>
      <c r="S3855">
        <f t="shared" si="539"/>
        <v>5109.5521240256558</v>
      </c>
      <c r="T3855" s="564">
        <f>IF((I3855-MAX(I$470:I3855))/MAX(I$470:I3855)&gt;T3854,T3854,(I3855-MAX(I$470:I3855))/MAX(I$470:I3855))</f>
        <v>-0.91338805338419748</v>
      </c>
      <c r="U3855" s="564">
        <f>IF((J3855-MAX(J$470:J3855))/MAX(J$470:J3855)&gt;U3854,U3854,(J3855-MAX(J$470:J3855))/MAX(J$470:J3855))</f>
        <v>-0.83569785939843477</v>
      </c>
      <c r="V3855" s="564">
        <f>IF((K3855-MAX(K$470:K3855))/MAX(K$470:K3855)&gt;V3854,V3854,(K3855-MAX(K$470:K3855))/MAX(K$470:K3855))</f>
        <v>-0.84885940676762139</v>
      </c>
      <c r="W3855" s="564">
        <f>IF((N3855-MAX(N$470:N3855))/MAX(N$470:N3855)&gt;W3854,W3854,(N3855-MAX(N$470:N3855))/MAX(N$470:N3855))</f>
        <v>-0.62788758315546067</v>
      </c>
      <c r="X3855" s="564">
        <f>IF((O3855-MAX(O$470:O3855))/MAX(O$470:O3855)&gt;X3854,X3854,(O3855-MAX(O$470:O3855))/MAX(O$470:O3855))</f>
        <v>-0.62788758315546067</v>
      </c>
    </row>
    <row r="3856" spans="1:24">
      <c r="A3856" s="799">
        <v>44258</v>
      </c>
      <c r="B3856">
        <v>50808.635693440403</v>
      </c>
      <c r="C3856">
        <v>61724.5516138893</v>
      </c>
      <c r="D3856">
        <v>3.3135167999999999</v>
      </c>
      <c r="E3856">
        <f>LN(D3856/参数实验室!$E$53)/参数实验室!$E$55</f>
        <v>0.72038801104799199</v>
      </c>
      <c r="F3856">
        <f t="shared" si="548"/>
        <v>1.2148437125198814</v>
      </c>
      <c r="G3856">
        <f>LN(F3856/参数实验室!$E$58)/参数实验室!$E$59</f>
        <v>-8.8385325777701598E-2</v>
      </c>
      <c r="H3856" s="856">
        <f>INDEX(神经网络!$G$10:$BO$70,MATCH(ROUND(G3856*2,1)/2,神经网络!$E$10:$E$70,0),MATCH(ROUND(E3856*2,1)/2,神经网络!$G$8:$BO$8,0))</f>
        <v>1.9926989689623948</v>
      </c>
      <c r="I3856">
        <f t="shared" si="540"/>
        <v>8619382.7400957104</v>
      </c>
      <c r="J3856">
        <f t="shared" si="541"/>
        <v>20273.98575214091</v>
      </c>
      <c r="K3856">
        <f t="shared" si="542"/>
        <v>425.14495400518439</v>
      </c>
      <c r="L3856" s="4">
        <f>MIN(MAX(L3855*(1+MAX(MIN(((B3856-B3855)/B3855)/($K$7*卓尔金历!$N$40),0),-卓尔金历!$M$43))+MIN(MAX(((B3856-B3855)/B3855)/($K$7*卓尔金历!$N$40),0),卓尔金历!$M$43),0),1)</f>
        <v>1</v>
      </c>
      <c r="M3856" s="4">
        <f>MIN(MAX(M3855*(1+MAX(MIN(((B3856-B3855)/B3855)/($K$7*30),0),-卓尔金历!$M$43))+MIN(MAX(((B3856-B3855)/B3855)/($K$7*7),0),卓尔金历!$M$43),0),1)</f>
        <v>1</v>
      </c>
      <c r="N3856">
        <f t="shared" si="543"/>
        <v>1285044.5941768552</v>
      </c>
      <c r="O3856">
        <f t="shared" si="544"/>
        <v>5594572.3605836444</v>
      </c>
      <c r="P3856">
        <f t="shared" si="545"/>
        <v>4.5278626106173475E-2</v>
      </c>
      <c r="Q3856">
        <f t="shared" si="546"/>
        <v>5.1929178586521817E-2</v>
      </c>
      <c r="R3856">
        <f t="shared" si="547"/>
        <v>0.19714819563787306</v>
      </c>
      <c r="S3856">
        <f t="shared" si="539"/>
        <v>5563.3193392823314</v>
      </c>
      <c r="T3856" s="564">
        <f>IF((I3856-MAX(I$470:I3856))/MAX(I$470:I3856)&gt;T3855,T3855,(I3856-MAX(I$470:I3856))/MAX(I$470:I3856))</f>
        <v>-0.91338805338419748</v>
      </c>
      <c r="U3856" s="564">
        <f>IF((J3856-MAX(J$470:J3856))/MAX(J$470:J3856)&gt;U3855,U3855,(J3856-MAX(J$470:J3856))/MAX(J$470:J3856))</f>
        <v>-0.83569785939843477</v>
      </c>
      <c r="V3856" s="564">
        <f>IF((K3856-MAX(K$470:K3856))/MAX(K$470:K3856)&gt;V3855,V3855,(K3856-MAX(K$470:K3856))/MAX(K$470:K3856))</f>
        <v>-0.84885940676762139</v>
      </c>
      <c r="W3856" s="564">
        <f>IF((N3856-MAX(N$470:N3856))/MAX(N$470:N3856)&gt;W3855,W3855,(N3856-MAX(N$470:N3856))/MAX(N$470:N3856))</f>
        <v>-0.62788758315546067</v>
      </c>
      <c r="X3856" s="564">
        <f>IF((O3856-MAX(O$470:O3856))/MAX(O$470:O3856)&gt;X3855,X3855,(O3856-MAX(O$470:O3856))/MAX(O$470:O3856))</f>
        <v>-0.62788758315546067</v>
      </c>
    </row>
    <row r="3857" spans="1:24">
      <c r="A3857" s="799">
        <v>44259</v>
      </c>
      <c r="B3857">
        <v>49563.5891169073</v>
      </c>
      <c r="C3857">
        <v>62800.722313609003</v>
      </c>
      <c r="D3857">
        <v>3.161905494</v>
      </c>
      <c r="E3857">
        <f>LN(D3857/参数实验室!$E$53)/参数实验室!$E$55</f>
        <v>0.66513397009010378</v>
      </c>
      <c r="F3857">
        <f t="shared" si="548"/>
        <v>1.267073741683211</v>
      </c>
      <c r="G3857">
        <f>LN(F3857/参数实验室!$E$58)/参数实验室!$E$59</f>
        <v>-6.6291770870471792E-2</v>
      </c>
      <c r="H3857" s="856">
        <f>INDEX(神经网络!$G$10:$BO$70,MATCH(ROUND(G3857*2,1)/2,神经网络!$E$10:$E$70,0),MATCH(ROUND(E3857*2,1)/2,神经网络!$G$8:$BO$8,0))</f>
        <v>1.9613587643006838</v>
      </c>
      <c r="I3857">
        <f t="shared" si="540"/>
        <v>8198495.3378343312</v>
      </c>
      <c r="J3857">
        <f t="shared" si="541"/>
        <v>19777.179329199647</v>
      </c>
      <c r="K3857">
        <f t="shared" si="542"/>
        <v>414.54320666091223</v>
      </c>
      <c r="L3857" s="4">
        <f>MIN(MAX(L3856*(1+MAX(MIN(((B3857-B3856)/B3856)/($K$7*卓尔金历!$N$40),0),-卓尔金历!$M$43))+MIN(MAX(((B3857-B3856)/B3856)/($K$7*卓尔金历!$N$40),0),卓尔金历!$M$43),0),1)</f>
        <v>0.62559284168967788</v>
      </c>
      <c r="M3857" s="4">
        <f>MIN(MAX(M3856*(1+MAX(MIN(((B3857-B3856)/B3856)/($K$7*30),0),-卓尔金历!$M$43))+MIN(MAX(((B3857-B3856)/B3856)/($K$7*7),0),卓尔金历!$M$43),0),1)</f>
        <v>0.81279642084483894</v>
      </c>
      <c r="N3857">
        <f t="shared" si="543"/>
        <v>1222295.4278685588</v>
      </c>
      <c r="O3857">
        <f t="shared" si="544"/>
        <v>5321387.4819663139</v>
      </c>
      <c r="P3857">
        <f t="shared" si="545"/>
        <v>-2.450462523822192E-2</v>
      </c>
      <c r="Q3857">
        <f t="shared" si="546"/>
        <v>4.9524169551549903E-2</v>
      </c>
      <c r="R3857">
        <f t="shared" si="547"/>
        <v>0.792065432763985</v>
      </c>
      <c r="S3857">
        <f t="shared" si="539"/>
        <v>5509.7623004012739</v>
      </c>
      <c r="T3857" s="564">
        <f>IF((I3857-MAX(I$470:I3857))/MAX(I$470:I3857)&gt;T3856,T3856,(I3857-MAX(I$470:I3857))/MAX(I$470:I3857))</f>
        <v>-0.91338805338419748</v>
      </c>
      <c r="U3857" s="564">
        <f>IF((J3857-MAX(J$470:J3857))/MAX(J$470:J3857)&gt;U3856,U3856,(J3857-MAX(J$470:J3857))/MAX(J$470:J3857))</f>
        <v>-0.83569785939843477</v>
      </c>
      <c r="V3857" s="564">
        <f>IF((K3857-MAX(K$470:K3857))/MAX(K$470:K3857)&gt;V3856,V3856,(K3857-MAX(K$470:K3857))/MAX(K$470:K3857))</f>
        <v>-0.84885940676762139</v>
      </c>
      <c r="W3857" s="564">
        <f>IF((N3857-MAX(N$470:N3857))/MAX(N$470:N3857)&gt;W3856,W3856,(N3857-MAX(N$470:N3857))/MAX(N$470:N3857))</f>
        <v>-0.62788758315546067</v>
      </c>
      <c r="X3857" s="564">
        <f>IF((O3857-MAX(O$470:O3857))/MAX(O$470:O3857)&gt;X3856,X3856,(O3857-MAX(O$470:O3857))/MAX(O$470:O3857))</f>
        <v>-0.62788758315546067</v>
      </c>
    </row>
    <row r="3858" spans="1:24">
      <c r="A3858" s="799">
        <v>44260</v>
      </c>
      <c r="B3858">
        <v>48050.312423973497</v>
      </c>
      <c r="C3858">
        <v>62853.8945389808</v>
      </c>
      <c r="D3858">
        <v>3.17106851</v>
      </c>
      <c r="E3858">
        <f>LN(D3858/参数实验室!$E$53)/参数实验室!$E$55</f>
        <v>0.66854788127533782</v>
      </c>
      <c r="F3858">
        <f t="shared" si="548"/>
        <v>1.3080850335454099</v>
      </c>
      <c r="G3858">
        <f>LN(F3858/参数实验室!$E$58)/参数实验室!$E$59</f>
        <v>-4.9572986294550127E-2</v>
      </c>
      <c r="H3858" s="856">
        <f>INDEX(神经网络!$G$10:$BO$70,MATCH(ROUND(G3858*2,1)/2,神经网络!$E$10:$E$70,0),MATCH(ROUND(E3858*2,1)/2,神经网络!$G$8:$BO$8,0))</f>
        <v>1.9613587643006838</v>
      </c>
      <c r="I3858">
        <f t="shared" si="540"/>
        <v>7707534.5697581219</v>
      </c>
      <c r="J3858">
        <f t="shared" si="541"/>
        <v>19173.342015072598</v>
      </c>
      <c r="K3858">
        <f t="shared" si="542"/>
        <v>401.99223295026263</v>
      </c>
      <c r="L3858" s="4">
        <f>MIN(MAX(L3857*(1+MAX(MIN(((B3858-B3857)/B3857)/($K$7*卓尔金历!$N$40),0),-卓尔金历!$M$43))+MIN(MAX(((B3858-B3857)/B3857)/($K$7*卓尔金历!$N$40),0),卓尔金历!$M$43),0),1)</f>
        <v>0.33375376385045014</v>
      </c>
      <c r="M3858" s="4">
        <f>MIN(MAX(M3857*(1+MAX(MIN(((B3858-B3857)/B3857)/($K$7*30),0),-卓尔金历!$M$43))+MIN(MAX(((B3858-B3857)/B3857)/($K$7*7),0),卓尔金历!$M$43),0),1)</f>
        <v>0.62321164451515121</v>
      </c>
      <c r="N3858">
        <f t="shared" si="543"/>
        <v>1176504.3787677963</v>
      </c>
      <c r="O3858">
        <f t="shared" si="544"/>
        <v>5062375.8299816791</v>
      </c>
      <c r="P3858">
        <f t="shared" si="545"/>
        <v>-3.0532024009891346E-2</v>
      </c>
      <c r="Q3858">
        <f t="shared" si="546"/>
        <v>4.9832348665340365E-2</v>
      </c>
      <c r="R3858">
        <f t="shared" si="547"/>
        <v>0.56367372245273728</v>
      </c>
      <c r="S3858">
        <f t="shared" si="539"/>
        <v>5248.4218958423635</v>
      </c>
      <c r="T3858" s="564">
        <f>IF((I3858-MAX(I$470:I3858))/MAX(I$470:I3858)&gt;T3857,T3857,(I3858-MAX(I$470:I3858))/MAX(I$470:I3858))</f>
        <v>-0.91338805338419748</v>
      </c>
      <c r="U3858" s="564">
        <f>IF((J3858-MAX(J$470:J3858))/MAX(J$470:J3858)&gt;U3857,U3857,(J3858-MAX(J$470:J3858))/MAX(J$470:J3858))</f>
        <v>-0.83569785939843477</v>
      </c>
      <c r="V3858" s="564">
        <f>IF((K3858-MAX(K$470:K3858))/MAX(K$470:K3858)&gt;V3857,V3857,(K3858-MAX(K$470:K3858))/MAX(K$470:K3858))</f>
        <v>-0.84885940676762139</v>
      </c>
      <c r="W3858" s="564">
        <f>IF((N3858-MAX(N$470:N3858))/MAX(N$470:N3858)&gt;W3857,W3857,(N3858-MAX(N$470:N3858))/MAX(N$470:N3858))</f>
        <v>-0.62788758315546067</v>
      </c>
      <c r="X3858" s="564">
        <f>IF((O3858-MAX(O$470:O3858))/MAX(O$470:O3858)&gt;X3857,X3857,(O3858-MAX(O$470:O3858))/MAX(O$470:O3858))</f>
        <v>-0.62788758315546067</v>
      </c>
    </row>
    <row r="3859" spans="1:24">
      <c r="A3859" s="799">
        <v>44261</v>
      </c>
      <c r="B3859">
        <v>47318.625796266599</v>
      </c>
      <c r="C3859">
        <v>63211.361173101403</v>
      </c>
      <c r="D3859">
        <v>3.1759298097999999</v>
      </c>
      <c r="E3859">
        <f>LN(D3859/参数实验室!$E$53)/参数实验室!$E$55</f>
        <v>0.67035507738331768</v>
      </c>
      <c r="F3859">
        <f t="shared" si="548"/>
        <v>1.335866376281974</v>
      </c>
      <c r="G3859">
        <f>LN(F3859/参数实验室!$E$58)/参数实验室!$E$59</f>
        <v>-3.8542763376820145E-2</v>
      </c>
      <c r="H3859" s="856">
        <f>INDEX(神经网络!$G$10:$BO$70,MATCH(ROUND(G3859*2,1)/2,神经网络!$E$10:$E$70,0),MATCH(ROUND(E3859*2,1)/2,神经网络!$G$8:$BO$8,0))</f>
        <v>1.9613587643006838</v>
      </c>
      <c r="I3859">
        <f t="shared" si="540"/>
        <v>7477336.6345373252</v>
      </c>
      <c r="J3859">
        <f t="shared" si="541"/>
        <v>18881.379751911951</v>
      </c>
      <c r="K3859">
        <f t="shared" si="542"/>
        <v>396.01643167947839</v>
      </c>
      <c r="L3859" s="4">
        <f>MIN(MAX(L3858*(1+MAX(MIN(((B3859-B3858)/B3858)/($K$7*卓尔金历!$N$40),0),-卓尔金历!$M$43))+MIN(MAX(((B3859-B3858)/B3858)/($K$7*卓尔金历!$N$40),0),卓尔金历!$M$43),0),1)</f>
        <v>0.25610203083691208</v>
      </c>
      <c r="M3859" s="4">
        <f>MIN(MAX(M3858*(1+MAX(MIN(((B3859-B3858)/B3858)/($K$7*30),0),-卓尔金历!$M$43))+MIN(MAX(((B3859-B3858)/B3858)/($K$7*7),0),卓尔金历!$M$43),0),1)</f>
        <v>0.55071289023518022</v>
      </c>
      <c r="N3859">
        <f t="shared" si="543"/>
        <v>1164776.8728019148</v>
      </c>
      <c r="O3859">
        <f t="shared" si="544"/>
        <v>4968148.7167953458</v>
      </c>
      <c r="P3859">
        <f t="shared" si="545"/>
        <v>-1.5227510307338642E-2</v>
      </c>
      <c r="Q3859">
        <f t="shared" si="546"/>
        <v>4.9970909464088331E-2</v>
      </c>
      <c r="R3859">
        <f t="shared" si="547"/>
        <v>1</v>
      </c>
      <c r="S3859">
        <f t="shared" si="539"/>
        <v>5160.0645889088091</v>
      </c>
      <c r="T3859" s="564">
        <f>IF((I3859-MAX(I$470:I3859))/MAX(I$470:I3859)&gt;T3858,T3858,(I3859-MAX(I$470:I3859))/MAX(I$470:I3859))</f>
        <v>-0.91338805338419748</v>
      </c>
      <c r="U3859" s="564">
        <f>IF((J3859-MAX(J$470:J3859))/MAX(J$470:J3859)&gt;U3858,U3858,(J3859-MAX(J$470:J3859))/MAX(J$470:J3859))</f>
        <v>-0.83569785939843477</v>
      </c>
      <c r="V3859" s="564">
        <f>IF((K3859-MAX(K$470:K3859))/MAX(K$470:K3859)&gt;V3858,V3858,(K3859-MAX(K$470:K3859))/MAX(K$470:K3859))</f>
        <v>-0.84885940676762139</v>
      </c>
      <c r="W3859" s="564">
        <f>IF((N3859-MAX(N$470:N3859))/MAX(N$470:N3859)&gt;W3858,W3858,(N3859-MAX(N$470:N3859))/MAX(N$470:N3859))</f>
        <v>-0.62788758315546067</v>
      </c>
      <c r="X3859" s="564">
        <f>IF((O3859-MAX(O$470:O3859))/MAX(O$470:O3859)&gt;X3858,X3858,(O3859-MAX(O$470:O3859))/MAX(O$470:O3859))</f>
        <v>-0.62788758315546067</v>
      </c>
    </row>
    <row r="3860" spans="1:24">
      <c r="A3860" s="799">
        <v>44262</v>
      </c>
      <c r="B3860">
        <v>50561.743049522098</v>
      </c>
      <c r="C3860">
        <v>64234.214084426501</v>
      </c>
      <c r="D3860">
        <v>3.30549961</v>
      </c>
      <c r="E3860">
        <f>LN(D3860/参数实验室!$E$53)/参数实验室!$E$55</f>
        <v>0.71753009079230001</v>
      </c>
      <c r="F3860">
        <f t="shared" si="548"/>
        <v>1.2704113863620774</v>
      </c>
      <c r="G3860">
        <f>LN(F3860/参数实验室!$E$58)/参数实验室!$E$59</f>
        <v>-6.4911051594550448E-2</v>
      </c>
      <c r="H3860" s="856">
        <f>INDEX(神经网络!$G$10:$BO$70,MATCH(ROUND(G3860*2,1)/2,神经网络!$E$10:$E$70,0),MATCH(ROUND(E3860*2,1)/2,神经网络!$G$8:$BO$8,0))</f>
        <v>2.0203333755614099</v>
      </c>
      <c r="I3860">
        <f t="shared" si="540"/>
        <v>8482495.0217038095</v>
      </c>
      <c r="J3860">
        <f t="shared" si="541"/>
        <v>20175.469075265166</v>
      </c>
      <c r="K3860">
        <f t="shared" si="542"/>
        <v>420.43607462407039</v>
      </c>
      <c r="L3860" s="4">
        <f>MIN(MAX(L3859*(1+MAX(MIN(((B3860-B3859)/B3859)/($K$7*卓尔金历!$N$40),0),-卓尔金历!$M$43))+MIN(MAX(((B3860-B3859)/B3859)/($K$7*卓尔金历!$N$40),0),卓尔金历!$M$43),0),1)</f>
        <v>1</v>
      </c>
      <c r="M3860" s="4">
        <f>MIN(MAX(M3859*(1+MAX(MIN(((B3860-B3859)/B3859)/($K$7*30),0),-卓尔金历!$M$43))+MIN(MAX(((B3860-B3859)/B3859)/($K$7*7),0),卓尔金历!$M$43),0),1)</f>
        <v>1</v>
      </c>
      <c r="N3860">
        <f t="shared" si="543"/>
        <v>1204876.7764212163</v>
      </c>
      <c r="O3860">
        <f t="shared" si="544"/>
        <v>5335945.0515159676</v>
      </c>
      <c r="P3860">
        <f t="shared" si="545"/>
        <v>6.8537857950882811E-2</v>
      </c>
      <c r="Q3860">
        <f t="shared" si="546"/>
        <v>5.1718590348282502E-2</v>
      </c>
      <c r="R3860">
        <f t="shared" si="547"/>
        <v>3.5900652189562322E-2</v>
      </c>
      <c r="S3860">
        <f t="shared" si="539"/>
        <v>5853.7182858555971</v>
      </c>
      <c r="T3860" s="564">
        <f>IF((I3860-MAX(I$470:I3860))/MAX(I$470:I3860)&gt;T3859,T3859,(I3860-MAX(I$470:I3860))/MAX(I$470:I3860))</f>
        <v>-0.91338805338419748</v>
      </c>
      <c r="U3860" s="564">
        <f>IF((J3860-MAX(J$470:J3860))/MAX(J$470:J3860)&gt;U3859,U3859,(J3860-MAX(J$470:J3860))/MAX(J$470:J3860))</f>
        <v>-0.83569785939843477</v>
      </c>
      <c r="V3860" s="564">
        <f>IF((K3860-MAX(K$470:K3860))/MAX(K$470:K3860)&gt;V3859,V3859,(K3860-MAX(K$470:K3860))/MAX(K$470:K3860))</f>
        <v>-0.84885940676762139</v>
      </c>
      <c r="W3860" s="564">
        <f>IF((N3860-MAX(N$470:N3860))/MAX(N$470:N3860)&gt;W3859,W3859,(N3860-MAX(N$470:N3860))/MAX(N$470:N3860))</f>
        <v>-0.62788758315546067</v>
      </c>
      <c r="X3860" s="564">
        <f>IF((O3860-MAX(O$470:O3860))/MAX(O$470:O3860)&gt;X3859,X3859,(O3860-MAX(O$470:O3860))/MAX(O$470:O3860))</f>
        <v>-0.62788758315546067</v>
      </c>
    </row>
    <row r="3861" spans="1:24">
      <c r="A3861" s="799">
        <v>44263</v>
      </c>
      <c r="B3861">
        <v>51083.281574033303</v>
      </c>
      <c r="C3861">
        <v>64423.209301486699</v>
      </c>
      <c r="D3861">
        <v>3.3500229099999999</v>
      </c>
      <c r="E3861">
        <f>LN(D3861/参数实验室!$E$53)/参数实验室!$E$55</f>
        <v>0.73331466398613365</v>
      </c>
      <c r="F3861">
        <f t="shared" si="548"/>
        <v>1.261140774758573</v>
      </c>
      <c r="G3861">
        <f>LN(F3861/参数实验室!$E$58)/参数实验室!$E$59</f>
        <v>-6.8755127815703185E-2</v>
      </c>
      <c r="H3861" s="856">
        <f>INDEX(神经网络!$G$10:$BO$70,MATCH(ROUND(G3861*2,1)/2,神经网络!$E$10:$E$70,0),MATCH(ROUND(E3861*2,1)/2,神经网络!$G$8:$BO$8,0))</f>
        <v>2.0730012805109679</v>
      </c>
      <c r="I3861">
        <f t="shared" si="540"/>
        <v>8659266.017547749</v>
      </c>
      <c r="J3861">
        <f t="shared" si="541"/>
        <v>20383.576702459293</v>
      </c>
      <c r="K3861">
        <f t="shared" si="542"/>
        <v>424.81582815164143</v>
      </c>
      <c r="L3861" s="4">
        <f>MIN(MAX(L3860*(1+MAX(MIN(((B3861-B3860)/B3860)/($K$7*卓尔金历!$N$40),0),-卓尔金历!$M$43))+MIN(MAX(((B3861-B3860)/B3860)/($K$7*卓尔金历!$N$40),0),卓尔金历!$M$43),0),1)</f>
        <v>1</v>
      </c>
      <c r="M3861" s="4">
        <f>MIN(MAX(M3860*(1+MAX(MIN(((B3861-B3860)/B3860)/($K$7*30),0),-卓尔金历!$M$43))+MIN(MAX(((B3861-B3860)/B3860)/($K$7*7),0),卓尔金历!$M$43),0),1)</f>
        <v>1</v>
      </c>
      <c r="N3861">
        <f t="shared" si="543"/>
        <v>1229985.8118043495</v>
      </c>
      <c r="O3861">
        <f t="shared" si="544"/>
        <v>5447143.5041070487</v>
      </c>
      <c r="P3861">
        <f t="shared" si="545"/>
        <v>1.0314884200103427E-2</v>
      </c>
      <c r="Q3861">
        <f t="shared" si="546"/>
        <v>5.1645142932129323E-2</v>
      </c>
      <c r="R3861">
        <f t="shared" si="547"/>
        <v>1</v>
      </c>
      <c r="S3861">
        <f t="shared" si="539"/>
        <v>5858.0977558106761</v>
      </c>
      <c r="T3861" s="564">
        <f>IF((I3861-MAX(I$470:I3861))/MAX(I$470:I3861)&gt;T3860,T3860,(I3861-MAX(I$470:I3861))/MAX(I$470:I3861))</f>
        <v>-0.91338805338419748</v>
      </c>
      <c r="U3861" s="564">
        <f>IF((J3861-MAX(J$470:J3861))/MAX(J$470:J3861)&gt;U3860,U3860,(J3861-MAX(J$470:J3861))/MAX(J$470:J3861))</f>
        <v>-0.83569785939843477</v>
      </c>
      <c r="V3861" s="564">
        <f>IF((K3861-MAX(K$470:K3861))/MAX(K$470:K3861)&gt;V3860,V3860,(K3861-MAX(K$470:K3861))/MAX(K$470:K3861))</f>
        <v>-0.84885940676762139</v>
      </c>
      <c r="W3861" s="564">
        <f>IF((N3861-MAX(N$470:N3861))/MAX(N$470:N3861)&gt;W3860,W3860,(N3861-MAX(N$470:N3861))/MAX(N$470:N3861))</f>
        <v>-0.62788758315546067</v>
      </c>
      <c r="X3861" s="564">
        <f>IF((O3861-MAX(O$470:O3861))/MAX(O$470:O3861)&gt;X3860,X3860,(O3861-MAX(O$470:O3861))/MAX(O$470:O3861))</f>
        <v>-0.62788758315546067</v>
      </c>
    </row>
    <row r="3862" spans="1:24">
      <c r="A3862" s="799">
        <v>44264</v>
      </c>
      <c r="B3862">
        <v>54042.028369190302</v>
      </c>
      <c r="C3862">
        <v>65153.207855550099</v>
      </c>
      <c r="D3862">
        <v>3.498555632</v>
      </c>
      <c r="E3862">
        <f>LN(D3862/参数实验室!$E$53)/参数实验室!$E$55</f>
        <v>0.78449592507728283</v>
      </c>
      <c r="F3862">
        <f t="shared" si="548"/>
        <v>1.205602561962577</v>
      </c>
      <c r="G3862">
        <f>LN(F3862/参数实验室!$E$58)/参数实验室!$E$59</f>
        <v>-9.23930815796625E-2</v>
      </c>
      <c r="H3862" s="856">
        <f>INDEX(神经网络!$G$10:$BO$70,MATCH(ROUND(G3862*2,1)/2,神经网络!$E$10:$E$70,0),MATCH(ROUND(E3862*2,1)/2,神经网络!$G$8:$BO$8,0))</f>
        <v>2.0951444073681418</v>
      </c>
      <c r="I3862">
        <f t="shared" si="540"/>
        <v>9698969.8960720692</v>
      </c>
      <c r="J3862">
        <f t="shared" si="541"/>
        <v>21564.194712577402</v>
      </c>
      <c r="K3862">
        <f t="shared" si="542"/>
        <v>449.77194953703076</v>
      </c>
      <c r="L3862" s="4">
        <f>MIN(MAX(L3861*(1+MAX(MIN(((B3862-B3861)/B3861)/($K$7*卓尔金历!$N$40),0),-卓尔金历!$M$43))+MIN(MAX(((B3862-B3861)/B3861)/($K$7*卓尔金历!$N$40),0),卓尔金历!$M$43),0),1)</f>
        <v>1</v>
      </c>
      <c r="M3862" s="4">
        <f>MIN(MAX(M3861*(1+MAX(MIN(((B3862-B3861)/B3861)/($K$7*30),0),-卓尔金历!$M$43))+MIN(MAX(((B3862-B3861)/B3861)/($K$7*7),0),卓尔金历!$M$43),0),1)</f>
        <v>1</v>
      </c>
      <c r="N3862">
        <f t="shared" si="543"/>
        <v>1377668.1923284463</v>
      </c>
      <c r="O3862">
        <f t="shared" si="544"/>
        <v>6101173.0969873127</v>
      </c>
      <c r="P3862">
        <f t="shared" si="545"/>
        <v>5.7920061201804082E-2</v>
      </c>
      <c r="Q3862">
        <f t="shared" si="546"/>
        <v>5.2776422212829542E-2</v>
      </c>
      <c r="R3862">
        <f t="shared" si="547"/>
        <v>4.6842182714419818E-2</v>
      </c>
      <c r="S3862">
        <f t="shared" si="539"/>
        <v>6561.4699521548437</v>
      </c>
      <c r="T3862" s="564">
        <f>IF((I3862-MAX(I$470:I3862))/MAX(I$470:I3862)&gt;T3861,T3861,(I3862-MAX(I$470:I3862))/MAX(I$470:I3862))</f>
        <v>-0.91338805338419748</v>
      </c>
      <c r="U3862" s="564">
        <f>IF((J3862-MAX(J$470:J3862))/MAX(J$470:J3862)&gt;U3861,U3861,(J3862-MAX(J$470:J3862))/MAX(J$470:J3862))</f>
        <v>-0.83569785939843477</v>
      </c>
      <c r="V3862" s="564">
        <f>IF((K3862-MAX(K$470:K3862))/MAX(K$470:K3862)&gt;V3861,V3861,(K3862-MAX(K$470:K3862))/MAX(K$470:K3862))</f>
        <v>-0.84885940676762139</v>
      </c>
      <c r="W3862" s="564">
        <f>IF((N3862-MAX(N$470:N3862))/MAX(N$470:N3862)&gt;W3861,W3861,(N3862-MAX(N$470:N3862))/MAX(N$470:N3862))</f>
        <v>-0.62788758315546067</v>
      </c>
      <c r="X3862" s="564">
        <f>IF((O3862-MAX(O$470:O3862))/MAX(O$470:O3862)&gt;X3861,X3861,(O3862-MAX(O$470:O3862))/MAX(O$470:O3862))</f>
        <v>-0.62788758315546067</v>
      </c>
    </row>
    <row r="3863" spans="1:24">
      <c r="A3863" s="799">
        <v>44265</v>
      </c>
      <c r="B3863">
        <v>56346.732027673999</v>
      </c>
      <c r="C3863">
        <v>65756.881820581504</v>
      </c>
      <c r="D3863">
        <v>3.56293331</v>
      </c>
      <c r="E3863">
        <f>LN(D3863/参数实验室!$E$53)/参数实验室!$E$55</f>
        <v>0.80600750128184528</v>
      </c>
      <c r="F3863">
        <f t="shared" si="548"/>
        <v>1.1670043577378335</v>
      </c>
      <c r="G3863">
        <f>LN(F3863/参数实验室!$E$58)/参数实验室!$E$59</f>
        <v>-0.10947152034957314</v>
      </c>
      <c r="H3863" s="856">
        <f>INDEX(神经网络!$G$10:$BO$70,MATCH(ROUND(G3863*2,1)/2,神经网络!$E$10:$E$70,0),MATCH(ROUND(E3863*2,1)/2,神经网络!$G$8:$BO$8,0))</f>
        <v>2.0951444073681418</v>
      </c>
      <c r="I3863">
        <f t="shared" si="540"/>
        <v>10565578.553755071</v>
      </c>
      <c r="J3863">
        <f t="shared" si="541"/>
        <v>22483.832260354302</v>
      </c>
      <c r="K3863">
        <f t="shared" si="542"/>
        <v>469.91893692363715</v>
      </c>
      <c r="L3863" s="4">
        <f>MIN(MAX(L3862*(1+MAX(MIN(((B3863-B3862)/B3862)/($K$7*卓尔金历!$N$40),0),-卓尔金历!$M$43))+MIN(MAX(((B3863-B3862)/B3862)/($K$7*卓尔金历!$N$40),0),卓尔金历!$M$43),0),1)</f>
        <v>1</v>
      </c>
      <c r="M3863" s="4">
        <f>MIN(MAX(M3862*(1+MAX(MIN(((B3863-B3862)/B3862)/($K$7*30),0),-卓尔金历!$M$43))+MIN(MAX(((B3863-B3862)/B3862)/($K$7*7),0),卓尔金历!$M$43),0),1)</f>
        <v>1</v>
      </c>
      <c r="N3863">
        <f t="shared" si="543"/>
        <v>1500763.6545970561</v>
      </c>
      <c r="O3863">
        <f t="shared" si="544"/>
        <v>6646316.4972171765</v>
      </c>
      <c r="P3863">
        <f t="shared" si="545"/>
        <v>4.2646505470501972E-2</v>
      </c>
      <c r="Q3863">
        <f t="shared" si="546"/>
        <v>5.2751172064076951E-2</v>
      </c>
      <c r="R3863">
        <f t="shared" si="547"/>
        <v>0.27663949103630697</v>
      </c>
      <c r="S3863">
        <f t="shared" ref="S3863:S3926" si="549">S3862*(1+(B3863-B3862)/B3862*H3862*R3862)</f>
        <v>6588.932174573969</v>
      </c>
      <c r="T3863" s="564">
        <f>IF((I3863-MAX(I$470:I3863))/MAX(I$470:I3863)&gt;T3862,T3862,(I3863-MAX(I$470:I3863))/MAX(I$470:I3863))</f>
        <v>-0.91338805338419748</v>
      </c>
      <c r="U3863" s="564">
        <f>IF((J3863-MAX(J$470:J3863))/MAX(J$470:J3863)&gt;U3862,U3862,(J3863-MAX(J$470:J3863))/MAX(J$470:J3863))</f>
        <v>-0.83569785939843477</v>
      </c>
      <c r="V3863" s="564">
        <f>IF((K3863-MAX(K$470:K3863))/MAX(K$470:K3863)&gt;V3862,V3862,(K3863-MAX(K$470:K3863))/MAX(K$470:K3863))</f>
        <v>-0.84885940676762139</v>
      </c>
      <c r="W3863" s="564">
        <f>IF((N3863-MAX(N$470:N3863))/MAX(N$470:N3863)&gt;W3862,W3862,(N3863-MAX(N$470:N3863))/MAX(N$470:N3863))</f>
        <v>-0.62788758315546067</v>
      </c>
      <c r="X3863" s="564">
        <f>IF((O3863-MAX(O$470:O3863))/MAX(O$470:O3863)&gt;X3862,X3862,(O3863-MAX(O$470:O3863))/MAX(O$470:O3863))</f>
        <v>-0.62788758315546067</v>
      </c>
    </row>
    <row r="3864" spans="1:24">
      <c r="A3864" s="799">
        <v>44266</v>
      </c>
      <c r="B3864">
        <v>56439.920728231104</v>
      </c>
      <c r="C3864">
        <v>66273.887659680797</v>
      </c>
      <c r="D3864">
        <v>3.6317704200000001</v>
      </c>
      <c r="E3864">
        <f>LN(D3864/参数实验室!$E$53)/参数实验室!$E$55</f>
        <v>0.82858335292854879</v>
      </c>
      <c r="F3864">
        <f t="shared" si="548"/>
        <v>1.1742377878027523</v>
      </c>
      <c r="G3864">
        <f>LN(F3864/参数实验室!$E$58)/参数实验室!$E$59</f>
        <v>-0.10622836406011511</v>
      </c>
      <c r="H3864" s="856">
        <f>INDEX(神经网络!$G$10:$BO$70,MATCH(ROUND(G3864*2,1)/2,神经网络!$E$10:$E$70,0),MATCH(ROUND(E3864*2,1)/2,神经网络!$G$8:$BO$8,0))</f>
        <v>2.1410314070331262</v>
      </c>
      <c r="I3864">
        <f t="shared" ref="I3864:I3927" si="550">I3863*(1+(B3864-B3863)/B3863*H3863)</f>
        <v>10602188.725653702</v>
      </c>
      <c r="J3864">
        <f t="shared" ref="J3864:J3927" si="551">J3863*B3864/B3863</f>
        <v>22521.017009788524</v>
      </c>
      <c r="K3864">
        <f t="shared" ref="K3864:K3927" si="552">I3864/J3864</f>
        <v>470.7686478388419</v>
      </c>
      <c r="L3864" s="4">
        <f>MIN(MAX(L3863*(1+MAX(MIN(((B3864-B3863)/B3863)/($K$7*卓尔金历!$N$40),0),-卓尔金历!$M$43))+MIN(MAX(((B3864-B3863)/B3863)/($K$7*卓尔金历!$N$40),0),卓尔金历!$M$43),0),1)</f>
        <v>1</v>
      </c>
      <c r="M3864" s="4">
        <f>MIN(MAX(M3863*(1+MAX(MIN(((B3864-B3863)/B3863)/($K$7*30),0),-卓尔金历!$M$43))+MIN(MAX(((B3864-B3863)/B3863)/($K$7*7),0),卓尔金历!$M$43),0),1)</f>
        <v>1</v>
      </c>
      <c r="N3864">
        <f t="shared" ref="N3864:N3927" si="553">N3863*(1+(B3864-B3863)/B3863*H3863*L3863)</f>
        <v>1505963.8634729334</v>
      </c>
      <c r="O3864">
        <f t="shared" ref="O3864:O3927" si="554">O3863*(1+(B3864-B3863)/B3863*H3863*M3863)</f>
        <v>6669346.262053798</v>
      </c>
      <c r="P3864">
        <f t="shared" ref="P3864:P3927" si="555">(B3864-B3863)/B3863</f>
        <v>1.6538439267664332E-3</v>
      </c>
      <c r="Q3864">
        <f t="shared" si="546"/>
        <v>5.2756966300670068E-2</v>
      </c>
      <c r="R3864">
        <f t="shared" si="547"/>
        <v>1</v>
      </c>
      <c r="S3864">
        <f t="shared" si="549"/>
        <v>6595.2481102552483</v>
      </c>
      <c r="T3864" s="564">
        <f>IF((I3864-MAX(I$470:I3864))/MAX(I$470:I3864)&gt;T3863,T3863,(I3864-MAX(I$470:I3864))/MAX(I$470:I3864))</f>
        <v>-0.91338805338419748</v>
      </c>
      <c r="U3864" s="564">
        <f>IF((J3864-MAX(J$470:J3864))/MAX(J$470:J3864)&gt;U3863,U3863,(J3864-MAX(J$470:J3864))/MAX(J$470:J3864))</f>
        <v>-0.83569785939843477</v>
      </c>
      <c r="V3864" s="564">
        <f>IF((K3864-MAX(K$470:K3864))/MAX(K$470:K3864)&gt;V3863,V3863,(K3864-MAX(K$470:K3864))/MAX(K$470:K3864))</f>
        <v>-0.84885940676762139</v>
      </c>
      <c r="W3864" s="564">
        <f>IF((N3864-MAX(N$470:N3864))/MAX(N$470:N3864)&gt;W3863,W3863,(N3864-MAX(N$470:N3864))/MAX(N$470:N3864))</f>
        <v>-0.62788758315546067</v>
      </c>
      <c r="X3864" s="564">
        <f>IF((O3864-MAX(O$470:O3864))/MAX(O$470:O3864)&gt;X3863,X3863,(O3864-MAX(O$470:O3864))/MAX(O$470:O3864))</f>
        <v>-0.62788758315546067</v>
      </c>
    </row>
    <row r="3865" spans="1:24">
      <c r="A3865" s="799">
        <v>44267</v>
      </c>
      <c r="B3865">
        <v>56969.3945168309</v>
      </c>
      <c r="C3865">
        <v>65960.658702418994</v>
      </c>
      <c r="D3865">
        <v>3.5705863821000001</v>
      </c>
      <c r="E3865">
        <f>LN(D3865/参数实验室!$E$53)/参数实验室!$E$55</f>
        <v>0.8085388576080258</v>
      </c>
      <c r="F3865">
        <f t="shared" si="548"/>
        <v>1.1578262198825324</v>
      </c>
      <c r="G3865">
        <f>LN(F3865/参数实验室!$E$58)/参数实验室!$E$59</f>
        <v>-0.11361565698845136</v>
      </c>
      <c r="H3865" s="856">
        <f>INDEX(神经网络!$G$10:$BO$70,MATCH(ROUND(G3865*2,1)/2,神经网络!$E$10:$E$70,0),MATCH(ROUND(E3865*2,1)/2,神经网络!$G$8:$BO$8,0))</f>
        <v>2.0951444073681418</v>
      </c>
      <c r="I3865">
        <f t="shared" si="550"/>
        <v>10815138.232676532</v>
      </c>
      <c r="J3865">
        <f t="shared" si="551"/>
        <v>22732.291016651696</v>
      </c>
      <c r="K3865">
        <f t="shared" si="552"/>
        <v>475.76103195029066</v>
      </c>
      <c r="L3865" s="4">
        <f>MIN(MAX(L3864*(1+MAX(MIN(((B3865-B3864)/B3864)/($K$7*卓尔金历!$N$40),0),-卓尔金历!$M$43))+MIN(MAX(((B3865-B3864)/B3864)/($K$7*卓尔金历!$N$40),0),卓尔金历!$M$43),0),1)</f>
        <v>1</v>
      </c>
      <c r="M3865" s="4">
        <f>MIN(MAX(M3864*(1+MAX(MIN(((B3865-B3864)/B3864)/($K$7*30),0),-卓尔金历!$M$43))+MIN(MAX(((B3865-B3864)/B3864)/($K$7*7),0),卓尔金历!$M$43),0),1)</f>
        <v>1</v>
      </c>
      <c r="N3865">
        <f t="shared" si="553"/>
        <v>1536211.7934635386</v>
      </c>
      <c r="O3865">
        <f t="shared" si="554"/>
        <v>6803302.9416998057</v>
      </c>
      <c r="P3865">
        <f t="shared" si="555"/>
        <v>9.381192988369225E-3</v>
      </c>
      <c r="Q3865">
        <f t="shared" si="546"/>
        <v>5.2158393393355047E-2</v>
      </c>
      <c r="R3865">
        <f t="shared" si="547"/>
        <v>1</v>
      </c>
      <c r="S3865">
        <f t="shared" si="549"/>
        <v>6727.71649674735</v>
      </c>
      <c r="T3865" s="564">
        <f>IF((I3865-MAX(I$470:I3865))/MAX(I$470:I3865)&gt;T3864,T3864,(I3865-MAX(I$470:I3865))/MAX(I$470:I3865))</f>
        <v>-0.91338805338419748</v>
      </c>
      <c r="U3865" s="564">
        <f>IF((J3865-MAX(J$470:J3865))/MAX(J$470:J3865)&gt;U3864,U3864,(J3865-MAX(J$470:J3865))/MAX(J$470:J3865))</f>
        <v>-0.83569785939843477</v>
      </c>
      <c r="V3865" s="564">
        <f>IF((K3865-MAX(K$470:K3865))/MAX(K$470:K3865)&gt;V3864,V3864,(K3865-MAX(K$470:K3865))/MAX(K$470:K3865))</f>
        <v>-0.84885940676762139</v>
      </c>
      <c r="W3865" s="564">
        <f>IF((N3865-MAX(N$470:N3865))/MAX(N$470:N3865)&gt;W3864,W3864,(N3865-MAX(N$470:N3865))/MAX(N$470:N3865))</f>
        <v>-0.62788758315546067</v>
      </c>
      <c r="X3865" s="564">
        <f>IF((O3865-MAX(O$470:O3865))/MAX(O$470:O3865)&gt;X3864,X3864,(O3865-MAX(O$470:O3865))/MAX(O$470:O3865))</f>
        <v>-0.62788758315546067</v>
      </c>
    </row>
    <row r="3866" spans="1:24">
      <c r="A3866" s="799">
        <v>44268</v>
      </c>
      <c r="B3866">
        <v>59679.421505475002</v>
      </c>
      <c r="C3866">
        <v>65329.301172979904</v>
      </c>
      <c r="D3866">
        <v>3.78957634</v>
      </c>
      <c r="E3866">
        <f>LN(D3866/参数实验室!$E$53)/参数实验室!$E$55</f>
        <v>0.87876295477545618</v>
      </c>
      <c r="F3866">
        <f t="shared" si="548"/>
        <v>1.0946704831411038</v>
      </c>
      <c r="G3866">
        <f>LN(F3866/参数实验室!$E$58)/参数实验室!$E$59</f>
        <v>-0.14305519754676635</v>
      </c>
      <c r="H3866" s="856">
        <f>INDEX(神经网络!$G$10:$BO$70,MATCH(ROUND(G3866*2,1)/2,神经网络!$E$10:$E$70,0),MATCH(ROUND(E3866*2,1)/2,神经网络!$G$8:$BO$8,0))</f>
        <v>2.1591141005898566</v>
      </c>
      <c r="I3866">
        <f t="shared" si="550"/>
        <v>11893037.18284389</v>
      </c>
      <c r="J3866">
        <f t="shared" si="551"/>
        <v>23813.663263826227</v>
      </c>
      <c r="K3866">
        <f t="shared" si="552"/>
        <v>499.42073384861465</v>
      </c>
      <c r="L3866" s="4">
        <f>MIN(MAX(L3865*(1+MAX(MIN(((B3866-B3865)/B3865)/($K$7*卓尔金历!$N$40),0),-卓尔金历!$M$43))+MIN(MAX(((B3866-B3865)/B3865)/($K$7*卓尔金历!$N$40),0),卓尔金历!$M$43),0),1)</f>
        <v>1</v>
      </c>
      <c r="M3866" s="4">
        <f>MIN(MAX(M3865*(1+MAX(MIN(((B3866-B3865)/B3865)/($K$7*30),0),-卓尔金历!$M$43))+MIN(MAX(((B3866-B3865)/B3865)/($K$7*7),0),卓尔金历!$M$43),0),1)</f>
        <v>1</v>
      </c>
      <c r="N3866">
        <f t="shared" si="553"/>
        <v>1689319.5063549036</v>
      </c>
      <c r="O3866">
        <f t="shared" si="554"/>
        <v>7481359.2864973405</v>
      </c>
      <c r="P3866">
        <f t="shared" si="555"/>
        <v>4.7569875222097685E-2</v>
      </c>
      <c r="Q3866">
        <f t="shared" si="546"/>
        <v>5.2100976196529765E-2</v>
      </c>
      <c r="R3866">
        <f t="shared" si="547"/>
        <v>0.14788797072004595</v>
      </c>
      <c r="S3866">
        <f t="shared" si="549"/>
        <v>7398.2394612118469</v>
      </c>
      <c r="T3866" s="564">
        <f>IF((I3866-MAX(I$470:I3866))/MAX(I$470:I3866)&gt;T3865,T3865,(I3866-MAX(I$470:I3866))/MAX(I$470:I3866))</f>
        <v>-0.91338805338419748</v>
      </c>
      <c r="U3866" s="564">
        <f>IF((J3866-MAX(J$470:J3866))/MAX(J$470:J3866)&gt;U3865,U3865,(J3866-MAX(J$470:J3866))/MAX(J$470:J3866))</f>
        <v>-0.83569785939843477</v>
      </c>
      <c r="V3866" s="564">
        <f>IF((K3866-MAX(K$470:K3866))/MAX(K$470:K3866)&gt;V3865,V3865,(K3866-MAX(K$470:K3866))/MAX(K$470:K3866))</f>
        <v>-0.84885940676762139</v>
      </c>
      <c r="W3866" s="564">
        <f>IF((N3866-MAX(N$470:N3866))/MAX(N$470:N3866)&gt;W3865,W3865,(N3866-MAX(N$470:N3866))/MAX(N$470:N3866))</f>
        <v>-0.62788758315546067</v>
      </c>
      <c r="X3866" s="564">
        <f>IF((O3866-MAX(O$470:O3866))/MAX(O$470:O3866)&gt;X3865,X3865,(O3866-MAX(O$470:O3866))/MAX(O$470:O3866))</f>
        <v>-0.62788758315546067</v>
      </c>
    </row>
    <row r="3867" spans="1:24">
      <c r="A3867" s="799">
        <v>44269</v>
      </c>
      <c r="B3867">
        <v>59676.096593562303</v>
      </c>
      <c r="C3867">
        <v>64662.085805938703</v>
      </c>
      <c r="D3867">
        <v>3.6848405799999999</v>
      </c>
      <c r="E3867">
        <f>LN(D3867/参数实验室!$E$53)/参数实验室!$E$55</f>
        <v>0.84569805027951261</v>
      </c>
      <c r="F3867">
        <f t="shared" si="548"/>
        <v>1.0835508603442114</v>
      </c>
      <c r="G3867">
        <f>LN(F3867/参数实验室!$E$58)/参数实验室!$E$59</f>
        <v>-0.14841390886219522</v>
      </c>
      <c r="H3867" s="856">
        <f>INDEX(神经网络!$G$10:$BO$70,MATCH(ROUND(G3867*2,1)/2,神经网络!$E$10:$E$70,0),MATCH(ROUND(E3867*2,1)/2,神经网络!$G$8:$BO$8,0))</f>
        <v>2.1172430113819551</v>
      </c>
      <c r="I3867">
        <f t="shared" si="550"/>
        <v>11891606.564104043</v>
      </c>
      <c r="J3867">
        <f t="shared" si="551"/>
        <v>23812.336536276369</v>
      </c>
      <c r="K3867">
        <f t="shared" si="552"/>
        <v>499.38848067211052</v>
      </c>
      <c r="L3867" s="4">
        <f>MIN(MAX(L3866*(1+MAX(MIN(((B3867-B3866)/B3866)/($K$7*卓尔金历!$N$40),0),-卓尔金历!$M$43))+MIN(MAX(((B3867-B3866)/B3866)/($K$7*卓尔金历!$N$40),0),卓尔金历!$M$43),0),1)</f>
        <v>0.9991487607945041</v>
      </c>
      <c r="M3867" s="4">
        <f>MIN(MAX(M3866*(1+MAX(MIN(((B3867-B3866)/B3866)/($K$7*30),0),-卓尔金历!$M$43))+MIN(MAX(((B3867-B3866)/B3866)/($K$7*7),0),卓尔金历!$M$43),0),1)</f>
        <v>0.9995743803972521</v>
      </c>
      <c r="N3867">
        <f t="shared" si="553"/>
        <v>1689116.2973590663</v>
      </c>
      <c r="O3867">
        <f t="shared" si="554"/>
        <v>7480459.3504565926</v>
      </c>
      <c r="P3867">
        <f t="shared" si="555"/>
        <v>-5.5712871016928923E-5</v>
      </c>
      <c r="Q3867">
        <f t="shared" si="546"/>
        <v>5.206080044139421E-2</v>
      </c>
      <c r="R3867">
        <f t="shared" si="547"/>
        <v>1</v>
      </c>
      <c r="S3867">
        <f t="shared" si="549"/>
        <v>7398.107850157955</v>
      </c>
      <c r="T3867" s="564">
        <f>IF((I3867-MAX(I$470:I3867))/MAX(I$470:I3867)&gt;T3866,T3866,(I3867-MAX(I$470:I3867))/MAX(I$470:I3867))</f>
        <v>-0.91338805338419748</v>
      </c>
      <c r="U3867" s="564">
        <f>IF((J3867-MAX(J$470:J3867))/MAX(J$470:J3867)&gt;U3866,U3866,(J3867-MAX(J$470:J3867))/MAX(J$470:J3867))</f>
        <v>-0.83569785939843477</v>
      </c>
      <c r="V3867" s="564">
        <f>IF((K3867-MAX(K$470:K3867))/MAX(K$470:K3867)&gt;V3866,V3866,(K3867-MAX(K$470:K3867))/MAX(K$470:K3867))</f>
        <v>-0.84885940676762139</v>
      </c>
      <c r="W3867" s="564">
        <f>IF((N3867-MAX(N$470:N3867))/MAX(N$470:N3867)&gt;W3866,W3866,(N3867-MAX(N$470:N3867))/MAX(N$470:N3867))</f>
        <v>-0.62788758315546067</v>
      </c>
      <c r="X3867" s="564">
        <f>IF((O3867-MAX(O$470:O3867))/MAX(O$470:O3867)&gt;X3866,X3866,(O3867-MAX(O$470:O3867))/MAX(O$470:O3867))</f>
        <v>-0.62788758315546067</v>
      </c>
    </row>
    <row r="3868" spans="1:24">
      <c r="A3868" s="799">
        <v>44270</v>
      </c>
      <c r="B3868">
        <v>56258.054425284303</v>
      </c>
      <c r="C3868">
        <v>65078.047755271597</v>
      </c>
      <c r="D3868">
        <v>3.4373575299999999</v>
      </c>
      <c r="E3868">
        <f>LN(D3868/参数实验室!$E$53)/参数实验室!$E$55</f>
        <v>0.76367659491586648</v>
      </c>
      <c r="F3868">
        <f t="shared" si="548"/>
        <v>1.1567774324954843</v>
      </c>
      <c r="G3868">
        <f>LN(F3868/参数实验室!$E$58)/参数实验室!$E$59</f>
        <v>-0.1140912981095844</v>
      </c>
      <c r="H3868" s="856">
        <f>INDEX(神经网络!$G$10:$BO$70,MATCH(ROUND(G3868*2,1)/2,神经网络!$E$10:$E$70,0),MATCH(ROUND(E3868*2,1)/2,神经网络!$G$8:$BO$8,0))</f>
        <v>2.0453234827818769</v>
      </c>
      <c r="I3868">
        <f t="shared" si="550"/>
        <v>10449530.235229967</v>
      </c>
      <c r="J3868">
        <f t="shared" si="551"/>
        <v>22448.447558071988</v>
      </c>
      <c r="K3868">
        <f t="shared" si="552"/>
        <v>465.49010608408582</v>
      </c>
      <c r="L3868" s="4">
        <f>MIN(MAX(L3867*(1+MAX(MIN(((B3868-B3867)/B3867)/($K$7*卓尔金历!$N$40),0),-卓尔金历!$M$43))+MIN(MAX(((B3868-B3867)/B3867)/($K$7*卓尔金历!$N$40),0),卓尔金历!$M$43),0),1)</f>
        <v>0.1247626698849752</v>
      </c>
      <c r="M3868" s="4">
        <f>MIN(MAX(M3867*(1+MAX(MIN(((B3868-B3867)/B3867)/($K$7*30),0),-卓尔金历!$M$43))+MIN(MAX(((B3868-B3867)/B3867)/($K$7*7),0),卓尔金历!$M$43),0),1)</f>
        <v>0.56219509848037907</v>
      </c>
      <c r="N3868">
        <f t="shared" si="553"/>
        <v>1484454.1990897667</v>
      </c>
      <c r="O3868">
        <f t="shared" si="554"/>
        <v>6573701.9687524885</v>
      </c>
      <c r="P3868">
        <f t="shared" si="555"/>
        <v>-5.7276570744185185E-2</v>
      </c>
      <c r="Q3868">
        <f t="shared" si="546"/>
        <v>5.1491608491625471E-2</v>
      </c>
      <c r="R3868">
        <f t="shared" si="547"/>
        <v>4.6517741243767667E-2</v>
      </c>
      <c r="S3868">
        <f t="shared" si="549"/>
        <v>6500.9510066600733</v>
      </c>
      <c r="T3868" s="564">
        <f>IF((I3868-MAX(I$470:I3868))/MAX(I$470:I3868)&gt;T3867,T3867,(I3868-MAX(I$470:I3868))/MAX(I$470:I3868))</f>
        <v>-0.91338805338419748</v>
      </c>
      <c r="U3868" s="564">
        <f>IF((J3868-MAX(J$470:J3868))/MAX(J$470:J3868)&gt;U3867,U3867,(J3868-MAX(J$470:J3868))/MAX(J$470:J3868))</f>
        <v>-0.83569785939843477</v>
      </c>
      <c r="V3868" s="564">
        <f>IF((K3868-MAX(K$470:K3868))/MAX(K$470:K3868)&gt;V3867,V3867,(K3868-MAX(K$470:K3868))/MAX(K$470:K3868))</f>
        <v>-0.84885940676762139</v>
      </c>
      <c r="W3868" s="564">
        <f>IF((N3868-MAX(N$470:N3868))/MAX(N$470:N3868)&gt;W3867,W3867,(N3868-MAX(N$470:N3868))/MAX(N$470:N3868))</f>
        <v>-0.62788758315546067</v>
      </c>
      <c r="X3868" s="564">
        <f>IF((O3868-MAX(O$470:O3868))/MAX(O$470:O3868)&gt;X3867,X3867,(O3868-MAX(O$470:O3868))/MAX(O$470:O3868))</f>
        <v>-0.62788758315546067</v>
      </c>
    </row>
    <row r="3869" spans="1:24">
      <c r="A3869" s="799">
        <v>44271</v>
      </c>
      <c r="B3869">
        <v>55760.9535739251</v>
      </c>
      <c r="C3869">
        <v>65043.083296368299</v>
      </c>
      <c r="D3869">
        <v>3.4423131800000002</v>
      </c>
      <c r="E3869">
        <f>LN(D3869/参数实验室!$E$53)/参数实验室!$E$55</f>
        <v>0.76537622427928698</v>
      </c>
      <c r="F3869">
        <f t="shared" si="548"/>
        <v>1.1664628943286885</v>
      </c>
      <c r="G3869">
        <f>LN(F3869/参数实验室!$E$58)/参数实验室!$E$59</f>
        <v>-0.1097150971679917</v>
      </c>
      <c r="H3869" s="856">
        <f>INDEX(神经网络!$G$10:$BO$70,MATCH(ROUND(G3869*2,1)/2,神经网络!$E$10:$E$70,0),MATCH(ROUND(E3869*2,1)/2,神经网络!$G$8:$BO$8,0))</f>
        <v>2.0453234827818769</v>
      </c>
      <c r="I3869">
        <f t="shared" si="550"/>
        <v>10260679.547987636</v>
      </c>
      <c r="J3869">
        <f t="shared" si="551"/>
        <v>22250.091207024863</v>
      </c>
      <c r="K3869">
        <f t="shared" si="552"/>
        <v>461.15224663654885</v>
      </c>
      <c r="L3869" s="4">
        <f>MIN(MAX(L3868*(1+MAX(MIN(((B3869-B3868)/B3868)/($K$7*卓尔金历!$N$40),0),-卓尔金历!$M$43))+MIN(MAX(((B3869-B3868)/B3868)/($K$7*卓尔金历!$N$40),0),卓尔金历!$M$43),0),1)</f>
        <v>0.10791885202820292</v>
      </c>
      <c r="M3869" s="4">
        <f>MIN(MAX(M3868*(1+MAX(MIN(((B3869-B3868)/B3868)/($K$7*30),0),-卓尔金历!$M$43))+MIN(MAX(((B3869-B3868)/B3868)/($K$7*7),0),卓尔金历!$M$43),0),1)</f>
        <v>0.52424499751065767</v>
      </c>
      <c r="N3869">
        <f t="shared" si="553"/>
        <v>1481107.0638117685</v>
      </c>
      <c r="O3869">
        <f t="shared" si="554"/>
        <v>6506910.8268986074</v>
      </c>
      <c r="P3869">
        <f t="shared" si="555"/>
        <v>-8.8360832317689996E-3</v>
      </c>
      <c r="Q3869">
        <f t="shared" si="546"/>
        <v>4.6830762881042112E-2</v>
      </c>
      <c r="R3869">
        <f t="shared" si="547"/>
        <v>1</v>
      </c>
      <c r="S3869">
        <f t="shared" si="549"/>
        <v>6495.4856650285992</v>
      </c>
      <c r="T3869" s="564">
        <f>IF((I3869-MAX(I$470:I3869))/MAX(I$470:I3869)&gt;T3868,T3868,(I3869-MAX(I$470:I3869))/MAX(I$470:I3869))</f>
        <v>-0.91338805338419748</v>
      </c>
      <c r="U3869" s="564">
        <f>IF((J3869-MAX(J$470:J3869))/MAX(J$470:J3869)&gt;U3868,U3868,(J3869-MAX(J$470:J3869))/MAX(J$470:J3869))</f>
        <v>-0.83569785939843477</v>
      </c>
      <c r="V3869" s="564">
        <f>IF((K3869-MAX(K$470:K3869))/MAX(K$470:K3869)&gt;V3868,V3868,(K3869-MAX(K$470:K3869))/MAX(K$470:K3869))</f>
        <v>-0.84885940676762139</v>
      </c>
      <c r="W3869" s="564">
        <f>IF((N3869-MAX(N$470:N3869))/MAX(N$470:N3869)&gt;W3868,W3868,(N3869-MAX(N$470:N3869))/MAX(N$470:N3869))</f>
        <v>-0.62788758315546067</v>
      </c>
      <c r="X3869" s="564">
        <f>IF((O3869-MAX(O$470:O3869))/MAX(O$470:O3869)&gt;X3868,X3868,(O3869-MAX(O$470:O3869))/MAX(O$470:O3869))</f>
        <v>-0.62788758315546067</v>
      </c>
    </row>
    <row r="3870" spans="1:24">
      <c r="A3870" s="799">
        <v>44272</v>
      </c>
      <c r="B3870">
        <v>54961.315258898103</v>
      </c>
      <c r="C3870">
        <v>65781.861139311994</v>
      </c>
      <c r="D3870">
        <v>3.5538388200000002</v>
      </c>
      <c r="E3870">
        <f>LN(D3870/参数实验室!$E$53)/参数实验室!$E$55</f>
        <v>0.80299229727527044</v>
      </c>
      <c r="F3870">
        <f t="shared" si="548"/>
        <v>1.1968756720875975</v>
      </c>
      <c r="G3870">
        <f>LN(F3870/参数实验室!$E$58)/参数实验室!$E$59</f>
        <v>-9.6206113901951926E-2</v>
      </c>
      <c r="H3870" s="856">
        <f>INDEX(神经网络!$G$10:$BO$70,MATCH(ROUND(G3870*2,1)/2,神经网络!$E$10:$E$70,0),MATCH(ROUND(E3870*2,1)/2,神经网络!$G$8:$BO$8,0))</f>
        <v>2.0951444073681418</v>
      </c>
      <c r="I3870">
        <f t="shared" si="550"/>
        <v>9959724.5693020523</v>
      </c>
      <c r="J3870">
        <f t="shared" si="551"/>
        <v>21931.014428354021</v>
      </c>
      <c r="K3870">
        <f t="shared" si="552"/>
        <v>454.13879972763095</v>
      </c>
      <c r="L3870" s="4">
        <f>MIN(MAX(L3869*(1+MAX(MIN(((B3870-B3869)/B3869)/($K$7*卓尔金历!$N$40),0),-卓尔金历!$M$43))+MIN(MAX(((B3870-B3869)/B3869)/($K$7*卓尔金历!$N$40),0),卓尔金历!$M$43),0),1)</f>
        <v>8.4272900299997872E-2</v>
      </c>
      <c r="M3870" s="4">
        <f>MIN(MAX(M3869*(1+MAX(MIN(((B3870-B3869)/B3869)/($K$7*30),0),-卓尔金历!$M$43))+MIN(MAX(((B3870-B3869)/B3869)/($K$7*7),0),卓尔金历!$M$43),0),1)</f>
        <v>0.46681169613690693</v>
      </c>
      <c r="N3870">
        <f t="shared" si="553"/>
        <v>1476418.8309137821</v>
      </c>
      <c r="O3870">
        <f t="shared" si="554"/>
        <v>6406856.8033497361</v>
      </c>
      <c r="P3870">
        <f t="shared" si="555"/>
        <v>-1.4340470594120613E-2</v>
      </c>
      <c r="Q3870">
        <f t="shared" si="546"/>
        <v>4.6828541870831068E-2</v>
      </c>
      <c r="R3870">
        <f t="shared" si="547"/>
        <v>1</v>
      </c>
      <c r="S3870">
        <f t="shared" si="549"/>
        <v>6304.9672163499645</v>
      </c>
      <c r="T3870" s="564">
        <f>IF((I3870-MAX(I$470:I3870))/MAX(I$470:I3870)&gt;T3869,T3869,(I3870-MAX(I$470:I3870))/MAX(I$470:I3870))</f>
        <v>-0.91338805338419748</v>
      </c>
      <c r="U3870" s="564">
        <f>IF((J3870-MAX(J$470:J3870))/MAX(J$470:J3870)&gt;U3869,U3869,(J3870-MAX(J$470:J3870))/MAX(J$470:J3870))</f>
        <v>-0.83569785939843477</v>
      </c>
      <c r="V3870" s="564">
        <f>IF((K3870-MAX(K$470:K3870))/MAX(K$470:K3870)&gt;V3869,V3869,(K3870-MAX(K$470:K3870))/MAX(K$470:K3870))</f>
        <v>-0.84885940676762139</v>
      </c>
      <c r="W3870" s="564">
        <f>IF((N3870-MAX(N$470:N3870))/MAX(N$470:N3870)&gt;W3869,W3869,(N3870-MAX(N$470:N3870))/MAX(N$470:N3870))</f>
        <v>-0.62788758315546067</v>
      </c>
      <c r="X3870" s="564">
        <f>IF((O3870-MAX(O$470:O3870))/MAX(O$470:O3870)&gt;X3869,X3869,(O3870-MAX(O$470:O3870))/MAX(O$470:O3870))</f>
        <v>-0.62788758315546067</v>
      </c>
    </row>
    <row r="3871" spans="1:24">
      <c r="A3871" s="799">
        <v>44273</v>
      </c>
      <c r="B3871">
        <v>59433.634438424997</v>
      </c>
      <c r="C3871">
        <v>64388.8338911377</v>
      </c>
      <c r="D3871">
        <v>3.4865165600000001</v>
      </c>
      <c r="E3871">
        <f>LN(D3871/参数实验室!$E$53)/参数实验室!$E$55</f>
        <v>0.78042921025459233</v>
      </c>
      <c r="F3871">
        <f t="shared" si="548"/>
        <v>1.0833736570131252</v>
      </c>
      <c r="G3871">
        <f>LN(F3871/参数实验室!$E$58)/参数实验室!$E$59</f>
        <v>-0.14849975023251577</v>
      </c>
      <c r="H3871" s="856">
        <f>INDEX(神经网络!$G$10:$BO$70,MATCH(ROUND(G3871*2,1)/2,神经网络!$E$10:$E$70,0),MATCH(ROUND(E3871*2,1)/2,神经网络!$G$8:$BO$8,0))</f>
        <v>2.0714017784411314</v>
      </c>
      <c r="I3871">
        <f t="shared" si="550"/>
        <v>11657721.746426102</v>
      </c>
      <c r="J3871">
        <f t="shared" si="551"/>
        <v>23715.587741281233</v>
      </c>
      <c r="K3871">
        <f t="shared" si="552"/>
        <v>491.56368687138826</v>
      </c>
      <c r="L3871" s="4">
        <f>MIN(MAX(L3870*(1+MAX(MIN(((B3871-B3870)/B3870)/($K$7*卓尔金历!$N$40),0),-卓尔金历!$M$43))+MIN(MAX(((B3871-B3870)/B3870)/($K$7*卓尔金历!$N$40),0),卓尔金历!$M$43),0),1)</f>
        <v>1</v>
      </c>
      <c r="M3871" s="4">
        <f>MIN(MAX(M3870*(1+MAX(MIN(((B3871-B3870)/B3870)/($K$7*30),0),-卓尔金历!$M$43))+MIN(MAX(((B3871-B3870)/B3870)/($K$7*7),0),卓尔金历!$M$43),0),1)</f>
        <v>1</v>
      </c>
      <c r="N3871">
        <f t="shared" si="553"/>
        <v>1497631.1011832666</v>
      </c>
      <c r="O3871">
        <f t="shared" si="554"/>
        <v>6916746.6708664885</v>
      </c>
      <c r="P3871">
        <f t="shared" si="555"/>
        <v>8.1372127986017159E-2</v>
      </c>
      <c r="Q3871">
        <f t="shared" si="546"/>
        <v>4.9431455240949156E-2</v>
      </c>
      <c r="R3871">
        <f t="shared" si="547"/>
        <v>2.3487050028232488E-2</v>
      </c>
      <c r="S3871">
        <f t="shared" si="549"/>
        <v>7379.878119832123</v>
      </c>
      <c r="T3871" s="564">
        <f>IF((I3871-MAX(I$470:I3871))/MAX(I$470:I3871)&gt;T3870,T3870,(I3871-MAX(I$470:I3871))/MAX(I$470:I3871))</f>
        <v>-0.91338805338419748</v>
      </c>
      <c r="U3871" s="564">
        <f>IF((J3871-MAX(J$470:J3871))/MAX(J$470:J3871)&gt;U3870,U3870,(J3871-MAX(J$470:J3871))/MAX(J$470:J3871))</f>
        <v>-0.83569785939843477</v>
      </c>
      <c r="V3871" s="564">
        <f>IF((K3871-MAX(K$470:K3871))/MAX(K$470:K3871)&gt;V3870,V3870,(K3871-MAX(K$470:K3871))/MAX(K$470:K3871))</f>
        <v>-0.84885940676762139</v>
      </c>
      <c r="W3871" s="564">
        <f>IF((N3871-MAX(N$470:N3871))/MAX(N$470:N3871)&gt;W3870,W3870,(N3871-MAX(N$470:N3871))/MAX(N$470:N3871))</f>
        <v>-0.62788758315546067</v>
      </c>
      <c r="X3871" s="564">
        <f>IF((O3871-MAX(O$470:O3871))/MAX(O$470:O3871)&gt;X3870,X3870,(O3871-MAX(O$470:O3871))/MAX(O$470:O3871))</f>
        <v>-0.62788758315546067</v>
      </c>
    </row>
    <row r="3872" spans="1:24">
      <c r="A3872" s="799">
        <v>44274</v>
      </c>
      <c r="B3872">
        <v>59036.3756549596</v>
      </c>
      <c r="C3872">
        <v>63954.620078892898</v>
      </c>
      <c r="D3872">
        <v>3.5034188400000001</v>
      </c>
      <c r="E3872">
        <f>LN(D3872/参数实验室!$E$53)/参数实验室!$E$55</f>
        <v>0.78613471606677332</v>
      </c>
      <c r="F3872">
        <f t="shared" si="548"/>
        <v>1.0833087121180704</v>
      </c>
      <c r="G3872">
        <f>LN(F3872/参数实验室!$E$58)/参数实验室!$E$59</f>
        <v>-0.14853121454979901</v>
      </c>
      <c r="H3872" s="856">
        <f>INDEX(神经网络!$G$10:$BO$70,MATCH(ROUND(G3872*2,1)/2,神经网络!$E$10:$E$70,0),MATCH(ROUND(E3872*2,1)/2,神经网络!$G$8:$BO$8,0))</f>
        <v>2.0714017784411314</v>
      </c>
      <c r="I3872">
        <f t="shared" si="550"/>
        <v>11496315.904511932</v>
      </c>
      <c r="J3872">
        <f t="shared" si="551"/>
        <v>23557.07100872252</v>
      </c>
      <c r="K3872">
        <f t="shared" si="552"/>
        <v>488.01975000436897</v>
      </c>
      <c r="L3872" s="4">
        <f>MIN(MAX(L3871*(1+MAX(MIN(((B3872-B3871)/B3871)/($K$7*卓尔金历!$N$40),0),-卓尔金历!$M$43))+MIN(MAX(((B3872-B3871)/B3871)/($K$7*卓尔金历!$N$40),0),卓尔金历!$M$43),0),1)</f>
        <v>0.89787377050105333</v>
      </c>
      <c r="M3872" s="4">
        <f>MIN(MAX(M3871*(1+MAX(MIN(((B3872-B3871)/B3871)/($K$7*30),0),-卓尔金历!$M$43))+MIN(MAX(((B3872-B3871)/B3871)/($K$7*7),0),卓尔金历!$M$43),0),1)</f>
        <v>0.94893688525052666</v>
      </c>
      <c r="N3872">
        <f t="shared" si="553"/>
        <v>1476895.7968055108</v>
      </c>
      <c r="O3872">
        <f t="shared" si="554"/>
        <v>6820981.5339039005</v>
      </c>
      <c r="P3872">
        <f t="shared" si="555"/>
        <v>-6.6840735421786913E-3</v>
      </c>
      <c r="Q3872">
        <f t="shared" si="546"/>
        <v>4.6940292652411272E-2</v>
      </c>
      <c r="R3872">
        <f t="shared" si="547"/>
        <v>1</v>
      </c>
      <c r="S3872">
        <f t="shared" si="549"/>
        <v>7377.4782746439851</v>
      </c>
      <c r="T3872" s="564">
        <f>IF((I3872-MAX(I$470:I3872))/MAX(I$470:I3872)&gt;T3871,T3871,(I3872-MAX(I$470:I3872))/MAX(I$470:I3872))</f>
        <v>-0.91338805338419748</v>
      </c>
      <c r="U3872" s="564">
        <f>IF((J3872-MAX(J$470:J3872))/MAX(J$470:J3872)&gt;U3871,U3871,(J3872-MAX(J$470:J3872))/MAX(J$470:J3872))</f>
        <v>-0.83569785939843477</v>
      </c>
      <c r="V3872" s="564">
        <f>IF((K3872-MAX(K$470:K3872))/MAX(K$470:K3872)&gt;V3871,V3871,(K3872-MAX(K$470:K3872))/MAX(K$470:K3872))</f>
        <v>-0.84885940676762139</v>
      </c>
      <c r="W3872" s="564">
        <f>IF((N3872-MAX(N$470:N3872))/MAX(N$470:N3872)&gt;W3871,W3871,(N3872-MAX(N$470:N3872))/MAX(N$470:N3872))</f>
        <v>-0.62788758315546067</v>
      </c>
      <c r="X3872" s="564">
        <f>IF((O3872-MAX(O$470:O3872))/MAX(O$470:O3872)&gt;X3871,X3871,(O3872-MAX(O$470:O3872))/MAX(O$470:O3872))</f>
        <v>-0.62788758315546067</v>
      </c>
    </row>
    <row r="3873" spans="1:24">
      <c r="A3873" s="799">
        <v>44275</v>
      </c>
      <c r="B3873">
        <v>59212.635448658002</v>
      </c>
      <c r="C3873">
        <v>63218.924274270103</v>
      </c>
      <c r="D3873">
        <v>3.4973189599999999</v>
      </c>
      <c r="E3873">
        <f>LN(D3873/参数实验室!$E$53)/参数实验室!$E$55</f>
        <v>0.78407883131731337</v>
      </c>
      <c r="F3873">
        <f t="shared" si="548"/>
        <v>1.0676593567446575</v>
      </c>
      <c r="G3873">
        <f>LN(F3873/参数实验室!$E$58)/参数实验室!$E$59</f>
        <v>-0.1561684942345434</v>
      </c>
      <c r="H3873" s="856">
        <f>INDEX(神经网络!$G$10:$BO$70,MATCH(ROUND(G3873*2,1)/2,神经网络!$E$10:$E$70,0),MATCH(ROUND(E3873*2,1)/2,神经网络!$G$8:$BO$8,0))</f>
        <v>2.0714017784411314</v>
      </c>
      <c r="I3873">
        <f t="shared" si="550"/>
        <v>11567413.776778817</v>
      </c>
      <c r="J3873">
        <f t="shared" si="551"/>
        <v>23627.403315373653</v>
      </c>
      <c r="K3873">
        <f t="shared" si="552"/>
        <v>489.57617654294847</v>
      </c>
      <c r="L3873" s="4">
        <f>MIN(MAX(L3872*(1+MAX(MIN(((B3873-B3872)/B3872)/($K$7*卓尔金历!$N$40),0),-卓尔金历!$M$43))+MIN(MAX(((B3873-B3872)/B3872)/($K$7*卓尔金历!$N$40),0),卓尔金历!$M$43),0),1)</f>
        <v>0.9434910780332888</v>
      </c>
      <c r="M3873" s="4">
        <f>MIN(MAX(M3872*(1+MAX(MIN(((B3873-B3872)/B3872)/($K$7*30),0),-卓尔金历!$M$43))+MIN(MAX(((B3873-B3872)/B3872)/($K$7*7),0),卓尔金历!$M$43),0),1)</f>
        <v>1</v>
      </c>
      <c r="N3873">
        <f t="shared" si="553"/>
        <v>1485096.7258427853</v>
      </c>
      <c r="O3873">
        <f t="shared" si="554"/>
        <v>6861011.2137363227</v>
      </c>
      <c r="P3873">
        <f t="shared" si="555"/>
        <v>2.9856133907772268E-3</v>
      </c>
      <c r="Q3873">
        <f t="shared" si="546"/>
        <v>4.641052238769109E-2</v>
      </c>
      <c r="R3873">
        <f t="shared" si="547"/>
        <v>1</v>
      </c>
      <c r="S3873">
        <f t="shared" si="549"/>
        <v>7423.1035873423334</v>
      </c>
      <c r="T3873" s="564">
        <f>IF((I3873-MAX(I$470:I3873))/MAX(I$470:I3873)&gt;T3872,T3872,(I3873-MAX(I$470:I3873))/MAX(I$470:I3873))</f>
        <v>-0.91338805338419748</v>
      </c>
      <c r="U3873" s="564">
        <f>IF((J3873-MAX(J$470:J3873))/MAX(J$470:J3873)&gt;U3872,U3872,(J3873-MAX(J$470:J3873))/MAX(J$470:J3873))</f>
        <v>-0.83569785939843477</v>
      </c>
      <c r="V3873" s="564">
        <f>IF((K3873-MAX(K$470:K3873))/MAX(K$470:K3873)&gt;V3872,V3872,(K3873-MAX(K$470:K3873))/MAX(K$470:K3873))</f>
        <v>-0.84885940676762139</v>
      </c>
      <c r="W3873" s="564">
        <f>IF((N3873-MAX(N$470:N3873))/MAX(N$470:N3873)&gt;W3872,W3872,(N3873-MAX(N$470:N3873))/MAX(N$470:N3873))</f>
        <v>-0.62788758315546067</v>
      </c>
      <c r="X3873" s="564">
        <f>IF((O3873-MAX(O$470:O3873))/MAX(O$470:O3873)&gt;X3872,X3872,(O3873-MAX(O$470:O3873))/MAX(O$470:O3873))</f>
        <v>-0.62788758315546067</v>
      </c>
    </row>
    <row r="3874" spans="1:24">
      <c r="A3874" s="799">
        <v>44276</v>
      </c>
      <c r="B3874">
        <v>57209.059538508198</v>
      </c>
      <c r="C3874">
        <v>63098.906580140399</v>
      </c>
      <c r="D3874">
        <v>3.4401640391999999</v>
      </c>
      <c r="E3874">
        <f>LN(D3874/参数实验室!$E$53)/参数实验室!$E$55</f>
        <v>0.76463943842959636</v>
      </c>
      <c r="F3874">
        <f t="shared" si="548"/>
        <v>1.1029530478064871</v>
      </c>
      <c r="G3874">
        <f>LN(F3874/参数实验室!$E$58)/参数实验室!$E$59</f>
        <v>-0.13909896202825806</v>
      </c>
      <c r="H3874" s="856">
        <f>INDEX(神经网络!$G$10:$BO$70,MATCH(ROUND(G3874*2,1)/2,神经网络!$E$10:$E$70,0),MATCH(ROUND(E3874*2,1)/2,神经网络!$G$8:$BO$8,0))</f>
        <v>2.0188201475663274</v>
      </c>
      <c r="I3874">
        <f t="shared" si="550"/>
        <v>10756654.314634476</v>
      </c>
      <c r="J3874">
        <f t="shared" si="551"/>
        <v>22827.92368162009</v>
      </c>
      <c r="K3874">
        <f t="shared" si="552"/>
        <v>471.20598722235957</v>
      </c>
      <c r="L3874" s="4">
        <f>MIN(MAX(L3873*(1+MAX(MIN(((B3874-B3873)/B3873)/($K$7*卓尔金历!$N$40),0),-卓尔金历!$M$43))+MIN(MAX(((B3874-B3873)/B3873)/($K$7*卓尔金历!$N$40),0),卓尔金历!$M$43),0),1)</f>
        <v>0.45570962139402649</v>
      </c>
      <c r="M3874" s="4">
        <f>MIN(MAX(M3873*(1+MAX(MIN(((B3874-B3873)/B3873)/($K$7*30),0),-卓尔金历!$M$43))+MIN(MAX(((B3874-B3873)/B3873)/($K$7*7),0),卓尔金历!$M$43),0),1)</f>
        <v>0.74150181809029669</v>
      </c>
      <c r="N3874">
        <f t="shared" si="553"/>
        <v>1386888.403268005</v>
      </c>
      <c r="O3874">
        <f t="shared" si="554"/>
        <v>6380123.2755368669</v>
      </c>
      <c r="P3874">
        <f t="shared" si="555"/>
        <v>-3.3836965623444709E-2</v>
      </c>
      <c r="Q3874">
        <f t="shared" si="546"/>
        <v>4.4042586381788887E-2</v>
      </c>
      <c r="R3874">
        <f t="shared" si="547"/>
        <v>0.32224765924361709</v>
      </c>
      <c r="S3874">
        <f t="shared" si="549"/>
        <v>6902.8186223489456</v>
      </c>
      <c r="T3874" s="564">
        <f>IF((I3874-MAX(I$470:I3874))/MAX(I$470:I3874)&gt;T3873,T3873,(I3874-MAX(I$470:I3874))/MAX(I$470:I3874))</f>
        <v>-0.91338805338419748</v>
      </c>
      <c r="U3874" s="564">
        <f>IF((J3874-MAX(J$470:J3874))/MAX(J$470:J3874)&gt;U3873,U3873,(J3874-MAX(J$470:J3874))/MAX(J$470:J3874))</f>
        <v>-0.83569785939843477</v>
      </c>
      <c r="V3874" s="564">
        <f>IF((K3874-MAX(K$470:K3874))/MAX(K$470:K3874)&gt;V3873,V3873,(K3874-MAX(K$470:K3874))/MAX(K$470:K3874))</f>
        <v>-0.84885940676762139</v>
      </c>
      <c r="W3874" s="564">
        <f>IF((N3874-MAX(N$470:N3874))/MAX(N$470:N3874)&gt;W3873,W3873,(N3874-MAX(N$470:N3874))/MAX(N$470:N3874))</f>
        <v>-0.62788758315546067</v>
      </c>
      <c r="X3874" s="564">
        <f>IF((O3874-MAX(O$470:O3874))/MAX(O$470:O3874)&gt;X3873,X3873,(O3874-MAX(O$470:O3874))/MAX(O$470:O3874))</f>
        <v>-0.62788758315546067</v>
      </c>
    </row>
    <row r="3875" spans="1:24">
      <c r="A3875" s="799">
        <v>44277</v>
      </c>
      <c r="B3875">
        <v>57144.084992503398</v>
      </c>
      <c r="C3875">
        <v>62892.302503843603</v>
      </c>
      <c r="D3875">
        <v>3.25092326</v>
      </c>
      <c r="E3875">
        <f>LN(D3875/参数实验室!$E$53)/参数实验室!$E$55</f>
        <v>0.69788885824003177</v>
      </c>
      <c r="F3875">
        <f t="shared" si="548"/>
        <v>1.1005916449986783</v>
      </c>
      <c r="G3875">
        <f>LN(F3875/参数实验室!$E$58)/参数实验室!$E$59</f>
        <v>-0.140223869809355</v>
      </c>
      <c r="H3875" s="856">
        <f>INDEX(神经网络!$G$10:$BO$70,MATCH(ROUND(G3875*2,1)/2,神经网络!$E$10:$E$70,0),MATCH(ROUND(E3875*2,1)/2,神经网络!$G$8:$BO$8,0))</f>
        <v>1.959952816609847</v>
      </c>
      <c r="I3875">
        <f t="shared" si="550"/>
        <v>10731990.895272655</v>
      </c>
      <c r="J3875">
        <f t="shared" si="551"/>
        <v>22801.997124018715</v>
      </c>
      <c r="K3875">
        <f t="shared" si="552"/>
        <v>470.66012844848592</v>
      </c>
      <c r="L3875" s="4">
        <f>MIN(MAX(L3874*(1+MAX(MIN(((B3875-B3874)/B3874)/($K$7*卓尔金历!$N$40),0),-卓尔金历!$M$43))+MIN(MAX(((B3875-B3874)/B3874)/($K$7*卓尔金历!$N$40),0),卓尔金历!$M$43),0),1)</f>
        <v>0.44780169311959861</v>
      </c>
      <c r="M3875" s="4">
        <f>MIN(MAX(M3874*(1+MAX(MIN(((B3875-B3874)/B3874)/($K$7*30),0),-卓尔金历!$M$43))+MIN(MAX(((B3875-B3874)/B3874)/($K$7*7),0),卓尔金历!$M$43),0),1)</f>
        <v>0.73506817820479398</v>
      </c>
      <c r="N3875">
        <f t="shared" si="553"/>
        <v>1385439.2784639057</v>
      </c>
      <c r="O3875">
        <f t="shared" si="554"/>
        <v>6369276.0825768588</v>
      </c>
      <c r="P3875">
        <f t="shared" si="555"/>
        <v>-1.1357387541227543E-3</v>
      </c>
      <c r="Q3875">
        <f t="shared" si="546"/>
        <v>3.5414844714142892E-2</v>
      </c>
      <c r="R3875">
        <f t="shared" si="547"/>
        <v>1</v>
      </c>
      <c r="S3875">
        <f t="shared" si="549"/>
        <v>6897.7183624321979</v>
      </c>
      <c r="T3875" s="564">
        <f>IF((I3875-MAX(I$470:I3875))/MAX(I$470:I3875)&gt;T3874,T3874,(I3875-MAX(I$470:I3875))/MAX(I$470:I3875))</f>
        <v>-0.91338805338419748</v>
      </c>
      <c r="U3875" s="564">
        <f>IF((J3875-MAX(J$470:J3875))/MAX(J$470:J3875)&gt;U3874,U3874,(J3875-MAX(J$470:J3875))/MAX(J$470:J3875))</f>
        <v>-0.83569785939843477</v>
      </c>
      <c r="V3875" s="564">
        <f>IF((K3875-MAX(K$470:K3875))/MAX(K$470:K3875)&gt;V3874,V3874,(K3875-MAX(K$470:K3875))/MAX(K$470:K3875))</f>
        <v>-0.84885940676762139</v>
      </c>
      <c r="W3875" s="564">
        <f>IF((N3875-MAX(N$470:N3875))/MAX(N$470:N3875)&gt;W3874,W3874,(N3875-MAX(N$470:N3875))/MAX(N$470:N3875))</f>
        <v>-0.62788758315546067</v>
      </c>
      <c r="X3875" s="564">
        <f>IF((O3875-MAX(O$470:O3875))/MAX(O$470:O3875)&gt;X3874,X3874,(O3875-MAX(O$470:O3875))/MAX(O$470:O3875))</f>
        <v>-0.62788758315546067</v>
      </c>
    </row>
    <row r="3876" spans="1:24">
      <c r="A3876" s="799">
        <v>44278</v>
      </c>
      <c r="B3876">
        <v>55115.381003952003</v>
      </c>
      <c r="C3876">
        <v>62045.880294599301</v>
      </c>
      <c r="D3876">
        <v>3.23614304</v>
      </c>
      <c r="E3876">
        <f>LN(D3876/参数实验室!$E$53)/参数实验室!$E$55</f>
        <v>0.69251291729595965</v>
      </c>
      <c r="F3876">
        <f t="shared" si="548"/>
        <v>1.1257452849713649</v>
      </c>
      <c r="G3876">
        <f>LN(F3876/参数实验室!$E$58)/参数实验室!$E$59</f>
        <v>-0.12836353434381539</v>
      </c>
      <c r="H3876" s="856">
        <f>INDEX(神经网络!$G$10:$BO$70,MATCH(ROUND(G3876*2,1)/2,神经网络!$E$10:$E$70,0),MATCH(ROUND(E3876*2,1)/2,神经网络!$G$8:$BO$8,0))</f>
        <v>1.959952816609847</v>
      </c>
      <c r="I3876">
        <f t="shared" si="550"/>
        <v>9985244.1954771578</v>
      </c>
      <c r="J3876">
        <f t="shared" si="551"/>
        <v>21992.490724213683</v>
      </c>
      <c r="K3876">
        <f t="shared" si="552"/>
        <v>454.02971044491227</v>
      </c>
      <c r="L3876" s="4">
        <f>MIN(MAX(L3875*(1+MAX(MIN(((B3876-B3875)/B3875)/($K$7*卓尔金历!$N$40),0),-卓尔金历!$M$43))+MIN(MAX(((B3876-B3875)/B3875)/($K$7*卓尔金历!$N$40),0),卓尔金历!$M$43),0),1)</f>
        <v>0.20490074515431486</v>
      </c>
      <c r="M3876" s="4">
        <f>MIN(MAX(M3875*(1+MAX(MIN(((B3876-B3875)/B3875)/($K$7*30),0),-卓尔金历!$M$43))+MIN(MAX(((B3876-B3875)/B3875)/($K$7*7),0),卓尔金历!$M$43),0),1)</f>
        <v>0.53570676438207776</v>
      </c>
      <c r="N3876">
        <f t="shared" si="553"/>
        <v>1342270.8494792301</v>
      </c>
      <c r="O3876">
        <f t="shared" si="554"/>
        <v>6043506.3639492886</v>
      </c>
      <c r="P3876">
        <f t="shared" si="555"/>
        <v>-3.5501556964601604E-2</v>
      </c>
      <c r="Q3876">
        <f t="shared" si="546"/>
        <v>3.6424646144392184E-2</v>
      </c>
      <c r="R3876">
        <f t="shared" si="547"/>
        <v>6.1992995048965834E-2</v>
      </c>
      <c r="S3876">
        <f t="shared" si="549"/>
        <v>6417.765623604032</v>
      </c>
      <c r="T3876" s="564">
        <f>IF((I3876-MAX(I$470:I3876))/MAX(I$470:I3876)&gt;T3875,T3875,(I3876-MAX(I$470:I3876))/MAX(I$470:I3876))</f>
        <v>-0.91338805338419748</v>
      </c>
      <c r="U3876" s="564">
        <f>IF((J3876-MAX(J$470:J3876))/MAX(J$470:J3876)&gt;U3875,U3875,(J3876-MAX(J$470:J3876))/MAX(J$470:J3876))</f>
        <v>-0.83569785939843477</v>
      </c>
      <c r="V3876" s="564">
        <f>IF((K3876-MAX(K$470:K3876))/MAX(K$470:K3876)&gt;V3875,V3875,(K3876-MAX(K$470:K3876))/MAX(K$470:K3876))</f>
        <v>-0.84885940676762139</v>
      </c>
      <c r="W3876" s="564">
        <f>IF((N3876-MAX(N$470:N3876))/MAX(N$470:N3876)&gt;W3875,W3875,(N3876-MAX(N$470:N3876))/MAX(N$470:N3876))</f>
        <v>-0.62788758315546067</v>
      </c>
      <c r="X3876" s="564">
        <f>IF((O3876-MAX(O$470:O3876))/MAX(O$470:O3876)&gt;X3875,X3875,(O3876-MAX(O$470:O3876))/MAX(O$470:O3876))</f>
        <v>-0.62788758315546067</v>
      </c>
    </row>
    <row r="3877" spans="1:24">
      <c r="A3877" s="799">
        <v>44279</v>
      </c>
      <c r="B3877">
        <v>56207.067723990403</v>
      </c>
      <c r="C3877">
        <v>61255.815157266203</v>
      </c>
      <c r="D3877">
        <v>3.1104188599999998</v>
      </c>
      <c r="E3877">
        <f>LN(D3877/参数实验室!$E$53)/参数实验室!$E$55</f>
        <v>0.64576542842442386</v>
      </c>
      <c r="F3877">
        <f t="shared" si="548"/>
        <v>1.0898240672875537</v>
      </c>
      <c r="G3877">
        <f>LN(F3877/参数实验室!$E$58)/参数实验室!$E$59</f>
        <v>-0.14538403387000881</v>
      </c>
      <c r="H3877" s="856">
        <f>INDEX(神经网络!$G$10:$BO$70,MATCH(ROUND(G3877*2,1)/2,神经网络!$E$10:$E$70,0),MATCH(ROUND(E3877*2,1)/2,神经网络!$G$8:$BO$8,0))</f>
        <v>1.9003308205363119</v>
      </c>
      <c r="I3877">
        <f t="shared" si="550"/>
        <v>10372885.030136935</v>
      </c>
      <c r="J3877">
        <f t="shared" si="551"/>
        <v>22428.102519448668</v>
      </c>
      <c r="K3877">
        <f t="shared" si="552"/>
        <v>462.49498909424119</v>
      </c>
      <c r="L3877" s="4">
        <f>MIN(MAX(L3876*(1+MAX(MIN(((B3877-B3876)/B3876)/($K$7*卓尔金历!$N$40),0),-卓尔金历!$M$43))+MIN(MAX(((B3877-B3876)/B3876)/($K$7*卓尔金历!$N$40),0),卓尔金历!$M$43),0),1)</f>
        <v>0.50753723545845097</v>
      </c>
      <c r="M3877" s="4">
        <f>MIN(MAX(M3876*(1+MAX(MIN(((B3877-B3876)/B3876)/($K$7*30),0),-卓尔金历!$M$43))+MIN(MAX(((B3877-B3876)/B3876)/($K$7*7),0),卓尔金历!$M$43),0),1)</f>
        <v>1</v>
      </c>
      <c r="N3877">
        <f t="shared" si="553"/>
        <v>1352947.9793701016</v>
      </c>
      <c r="O3877">
        <f t="shared" si="554"/>
        <v>6169192.3751974739</v>
      </c>
      <c r="P3877">
        <f t="shared" si="555"/>
        <v>1.9807296985937951E-2</v>
      </c>
      <c r="Q3877">
        <f t="shared" si="546"/>
        <v>3.55314033195476E-2</v>
      </c>
      <c r="R3877">
        <f t="shared" si="547"/>
        <v>0.64207649073397366</v>
      </c>
      <c r="S3877">
        <f t="shared" si="549"/>
        <v>6433.2109574959786</v>
      </c>
      <c r="T3877" s="564">
        <f>IF((I3877-MAX(I$470:I3877))/MAX(I$470:I3877)&gt;T3876,T3876,(I3877-MAX(I$470:I3877))/MAX(I$470:I3877))</f>
        <v>-0.91338805338419748</v>
      </c>
      <c r="U3877" s="564">
        <f>IF((J3877-MAX(J$470:J3877))/MAX(J$470:J3877)&gt;U3876,U3876,(J3877-MAX(J$470:J3877))/MAX(J$470:J3877))</f>
        <v>-0.83569785939843477</v>
      </c>
      <c r="V3877" s="564">
        <f>IF((K3877-MAX(K$470:K3877))/MAX(K$470:K3877)&gt;V3876,V3876,(K3877-MAX(K$470:K3877))/MAX(K$470:K3877))</f>
        <v>-0.84885940676762139</v>
      </c>
      <c r="W3877" s="564">
        <f>IF((N3877-MAX(N$470:N3877))/MAX(N$470:N3877)&gt;W3876,W3876,(N3877-MAX(N$470:N3877))/MAX(N$470:N3877))</f>
        <v>-0.62788758315546067</v>
      </c>
      <c r="X3877" s="564">
        <f>IF((O3877-MAX(O$470:O3877))/MAX(O$470:O3877)&gt;X3876,X3876,(O3877-MAX(O$470:O3877))/MAX(O$470:O3877))</f>
        <v>-0.62788758315546067</v>
      </c>
    </row>
    <row r="3878" spans="1:24">
      <c r="A3878" s="799">
        <v>44280</v>
      </c>
      <c r="B3878">
        <v>50968.747015921297</v>
      </c>
      <c r="C3878">
        <v>60152.182745361097</v>
      </c>
      <c r="D3878">
        <v>3.0361220699999998</v>
      </c>
      <c r="E3878">
        <f>LN(D3878/参数实验室!$E$53)/参数实验室!$E$55</f>
        <v>0.61724332166007112</v>
      </c>
      <c r="F3878">
        <f t="shared" si="548"/>
        <v>1.1801777808383467</v>
      </c>
      <c r="G3878">
        <f>LN(F3878/参数实验室!$E$58)/参数实验室!$E$59</f>
        <v>-0.10358003296951389</v>
      </c>
      <c r="H3878" s="856">
        <f>INDEX(神经网络!$G$10:$BO$70,MATCH(ROUND(G3878*2,1)/2,神经网络!$E$10:$E$70,0),MATCH(ROUND(E3878*2,1)/2,神经网络!$G$8:$BO$8,0))</f>
        <v>1.8661238013833901</v>
      </c>
      <c r="I3878">
        <f t="shared" si="550"/>
        <v>8535797.1535266768</v>
      </c>
      <c r="J3878">
        <f t="shared" si="551"/>
        <v>20337.874392849928</v>
      </c>
      <c r="K3878">
        <f t="shared" si="552"/>
        <v>419.69957079327617</v>
      </c>
      <c r="L3878" s="4">
        <f>MIN(MAX(L3877*(1+MAX(MIN(((B3878-B3877)/B3877)/($K$7*卓尔金历!$N$40),0),-卓尔金历!$M$43))+MIN(MAX(((B3878-B3877)/B3877)/($K$7*卓尔金历!$N$40),0),卓尔金历!$M$43),0),1)</f>
        <v>0</v>
      </c>
      <c r="M3878" s="4">
        <f>MIN(MAX(M3877*(1+MAX(MIN(((B3878-B3877)/B3877)/($K$7*30),0),-卓尔金历!$M$43))+MIN(MAX(((B3878-B3877)/B3877)/($K$7*7),0),卓尔金历!$M$43),0),1)</f>
        <v>0.28802091249461825</v>
      </c>
      <c r="N3878">
        <f t="shared" si="553"/>
        <v>1231335.1549480192</v>
      </c>
      <c r="O3878">
        <f t="shared" si="554"/>
        <v>5076598.7054494433</v>
      </c>
      <c r="P3878">
        <f t="shared" si="555"/>
        <v>-9.3196833070750579E-2</v>
      </c>
      <c r="Q3878">
        <f t="shared" si="546"/>
        <v>4.0894788605717866E-2</v>
      </c>
      <c r="R3878">
        <f t="shared" si="547"/>
        <v>6.2637918570950966E-3</v>
      </c>
      <c r="S3878">
        <f t="shared" si="549"/>
        <v>5701.659418007941</v>
      </c>
      <c r="T3878" s="564">
        <f>IF((I3878-MAX(I$470:I3878))/MAX(I$470:I3878)&gt;T3877,T3877,(I3878-MAX(I$470:I3878))/MAX(I$470:I3878))</f>
        <v>-0.91338805338419748</v>
      </c>
      <c r="U3878" s="564">
        <f>IF((J3878-MAX(J$470:J3878))/MAX(J$470:J3878)&gt;U3877,U3877,(J3878-MAX(J$470:J3878))/MAX(J$470:J3878))</f>
        <v>-0.83569785939843477</v>
      </c>
      <c r="V3878" s="564">
        <f>IF((K3878-MAX(K$470:K3878))/MAX(K$470:K3878)&gt;V3877,V3877,(K3878-MAX(K$470:K3878))/MAX(K$470:K3878))</f>
        <v>-0.84885940676762139</v>
      </c>
      <c r="W3878" s="564">
        <f>IF((N3878-MAX(N$470:N3878))/MAX(N$470:N3878)&gt;W3877,W3877,(N3878-MAX(N$470:N3878))/MAX(N$470:N3878))</f>
        <v>-0.62788758315546067</v>
      </c>
      <c r="X3878" s="564">
        <f>IF((O3878-MAX(O$470:O3878))/MAX(O$470:O3878)&gt;X3877,X3877,(O3878-MAX(O$470:O3878))/MAX(O$470:O3878))</f>
        <v>-0.62788758315546067</v>
      </c>
    </row>
    <row r="3879" spans="1:24">
      <c r="A3879" s="799">
        <v>44281</v>
      </c>
      <c r="B3879">
        <v>53253.151954604997</v>
      </c>
      <c r="C3879">
        <v>61107.940387520102</v>
      </c>
      <c r="D3879">
        <v>3.2088307899999999</v>
      </c>
      <c r="E3879">
        <f>LN(D3879/参数实验室!$E$53)/参数实验室!$E$55</f>
        <v>0.68251383606603166</v>
      </c>
      <c r="F3879">
        <f t="shared" si="548"/>
        <v>1.1474990332893502</v>
      </c>
      <c r="G3879">
        <f>LN(F3879/参数实验室!$E$58)/参数实验室!$E$59</f>
        <v>-0.11831807534582627</v>
      </c>
      <c r="H3879" s="856">
        <f>INDEX(神经网络!$G$10:$BO$70,MATCH(ROUND(G3879*2,1)/2,神经网络!$E$10:$E$70,0),MATCH(ROUND(E3879*2,1)/2,神经网络!$G$8:$BO$8,0))</f>
        <v>1.9926989689623948</v>
      </c>
      <c r="I3879">
        <f t="shared" si="550"/>
        <v>9249723.9303362705</v>
      </c>
      <c r="J3879">
        <f t="shared" si="551"/>
        <v>21249.412216034838</v>
      </c>
      <c r="K3879">
        <f t="shared" si="552"/>
        <v>435.29316652610351</v>
      </c>
      <c r="L3879" s="4">
        <f>MIN(MAX(L3878*(1+MAX(MIN(((B3879-B3878)/B3878)/($K$7*卓尔金历!$N$40),0),-卓尔金历!$M$43))+MIN(MAX(((B3879-B3878)/B3878)/($K$7*卓尔金历!$N$40),0),卓尔金历!$M$43),0),1)</f>
        <v>0.68480230194312341</v>
      </c>
      <c r="M3879" s="4">
        <f>MIN(MAX(M3878*(1+MAX(MIN(((B3879-B3878)/B3878)/($K$7*30),0),-卓尔金历!$M$43))+MIN(MAX(((B3879-B3878)/B3878)/($K$7*7),0),卓尔金历!$M$43),0),1)</f>
        <v>1</v>
      </c>
      <c r="N3879">
        <f t="shared" si="553"/>
        <v>1231335.1549480192</v>
      </c>
      <c r="O3879">
        <f t="shared" si="554"/>
        <v>5198893.0691815913</v>
      </c>
      <c r="P3879">
        <f t="shared" si="555"/>
        <v>4.4819719385491494E-2</v>
      </c>
      <c r="Q3879">
        <f t="shared" si="546"/>
        <v>4.117285852232333E-2</v>
      </c>
      <c r="R3879">
        <f t="shared" si="547"/>
        <v>3.7424091167819917E-2</v>
      </c>
      <c r="S3879">
        <f t="shared" si="549"/>
        <v>5704.6465070919021</v>
      </c>
      <c r="T3879" s="564">
        <f>IF((I3879-MAX(I$470:I3879))/MAX(I$470:I3879)&gt;T3878,T3878,(I3879-MAX(I$470:I3879))/MAX(I$470:I3879))</f>
        <v>-0.91338805338419748</v>
      </c>
      <c r="U3879" s="564">
        <f>IF((J3879-MAX(J$470:J3879))/MAX(J$470:J3879)&gt;U3878,U3878,(J3879-MAX(J$470:J3879))/MAX(J$470:J3879))</f>
        <v>-0.83569785939843477</v>
      </c>
      <c r="V3879" s="564">
        <f>IF((K3879-MAX(K$470:K3879))/MAX(K$470:K3879)&gt;V3878,V3878,(K3879-MAX(K$470:K3879))/MAX(K$470:K3879))</f>
        <v>-0.84885940676762139</v>
      </c>
      <c r="W3879" s="564">
        <f>IF((N3879-MAX(N$470:N3879))/MAX(N$470:N3879)&gt;W3878,W3878,(N3879-MAX(N$470:N3879))/MAX(N$470:N3879))</f>
        <v>-0.62788758315546067</v>
      </c>
      <c r="X3879" s="564">
        <f>IF((O3879-MAX(O$470:O3879))/MAX(O$470:O3879)&gt;X3878,X3878,(O3879-MAX(O$470:O3879))/MAX(O$470:O3879))</f>
        <v>-0.62788758315546067</v>
      </c>
    </row>
    <row r="3880" spans="1:24">
      <c r="A3880" s="799">
        <v>44282</v>
      </c>
      <c r="B3880">
        <v>54881.315751253598</v>
      </c>
      <c r="C3880">
        <v>60993.579244770997</v>
      </c>
      <c r="D3880">
        <v>3.2689707700000001</v>
      </c>
      <c r="E3880">
        <f>LN(D3880/参数实验室!$E$53)/参数实验室!$E$55</f>
        <v>0.70442014931641805</v>
      </c>
      <c r="F3880">
        <f t="shared" si="548"/>
        <v>1.11137239349765</v>
      </c>
      <c r="G3880">
        <f>LN(F3880/参数实验室!$E$58)/参数实验室!$E$59</f>
        <v>-0.13510772493323794</v>
      </c>
      <c r="H3880" s="856">
        <f>INDEX(神经网络!$G$10:$BO$70,MATCH(ROUND(G3880*2,1)/2,神经网络!$E$10:$E$70,0),MATCH(ROUND(E3880*2,1)/2,神经网络!$G$8:$BO$8,0))</f>
        <v>1.959952816609847</v>
      </c>
      <c r="I3880">
        <f t="shared" si="550"/>
        <v>9813261.9775058907</v>
      </c>
      <c r="J3880">
        <f t="shared" si="551"/>
        <v>21899.092514765376</v>
      </c>
      <c r="K3880">
        <f t="shared" si="552"/>
        <v>448.11272297650407</v>
      </c>
      <c r="L3880" s="4">
        <f>MIN(MAX(L3879*(1+MAX(MIN(((B3880-B3879)/B3879)/($K$7*卓尔金历!$N$40),0),-卓尔金历!$M$43))+MIN(MAX(((B3880-B3879)/B3879)/($K$7*卓尔金历!$N$40),0),卓尔金历!$M$43),0),1)</f>
        <v>1</v>
      </c>
      <c r="M3880" s="4">
        <f>MIN(MAX(M3879*(1+MAX(MIN(((B3880-B3879)/B3879)/($K$7*30),0),-卓尔金历!$M$43))+MIN(MAX(((B3880-B3879)/B3879)/($K$7*7),0),卓尔金历!$M$43),0),1)</f>
        <v>1</v>
      </c>
      <c r="N3880">
        <f t="shared" si="553"/>
        <v>1282708.2773219596</v>
      </c>
      <c r="O3880">
        <f t="shared" si="554"/>
        <v>5515634.8519326961</v>
      </c>
      <c r="P3880">
        <f t="shared" si="555"/>
        <v>3.0574036219236562E-2</v>
      </c>
      <c r="Q3880">
        <f t="shared" si="546"/>
        <v>4.1216525722379736E-2</v>
      </c>
      <c r="R3880">
        <f t="shared" si="547"/>
        <v>0.35215882897522516</v>
      </c>
      <c r="S3880">
        <f t="shared" si="549"/>
        <v>5717.6534271923601</v>
      </c>
      <c r="T3880" s="564">
        <f>IF((I3880-MAX(I$470:I3880))/MAX(I$470:I3880)&gt;T3879,T3879,(I3880-MAX(I$470:I3880))/MAX(I$470:I3880))</f>
        <v>-0.91338805338419748</v>
      </c>
      <c r="U3880" s="564">
        <f>IF((J3880-MAX(J$470:J3880))/MAX(J$470:J3880)&gt;U3879,U3879,(J3880-MAX(J$470:J3880))/MAX(J$470:J3880))</f>
        <v>-0.83569785939843477</v>
      </c>
      <c r="V3880" s="564">
        <f>IF((K3880-MAX(K$470:K3880))/MAX(K$470:K3880)&gt;V3879,V3879,(K3880-MAX(K$470:K3880))/MAX(K$470:K3880))</f>
        <v>-0.84885940676762139</v>
      </c>
      <c r="W3880" s="564">
        <f>IF((N3880-MAX(N$470:N3880))/MAX(N$470:N3880)&gt;W3879,W3879,(N3880-MAX(N$470:N3880))/MAX(N$470:N3880))</f>
        <v>-0.62788758315546067</v>
      </c>
      <c r="X3880" s="564">
        <f>IF((O3880-MAX(O$470:O3880))/MAX(O$470:O3880)&gt;X3879,X3879,(O3880-MAX(O$470:O3880))/MAX(O$470:O3880))</f>
        <v>-0.62788758315546067</v>
      </c>
    </row>
    <row r="3881" spans="1:24">
      <c r="A3881" s="799">
        <v>44283</v>
      </c>
      <c r="B3881">
        <v>56242.5546405969</v>
      </c>
      <c r="C3881">
        <v>60181.174924976403</v>
      </c>
      <c r="D3881">
        <v>3.24472988</v>
      </c>
      <c r="E3881">
        <f>LN(D3881/参数实验室!$E$53)/参数实验室!$E$55</f>
        <v>0.69563914994963305</v>
      </c>
      <c r="F3881">
        <f t="shared" si="548"/>
        <v>1.0700291853659245</v>
      </c>
      <c r="G3881">
        <f>LN(F3881/参数实验室!$E$58)/参数实验室!$E$59</f>
        <v>-0.15500479370631212</v>
      </c>
      <c r="H3881" s="856">
        <f>INDEX(神经网络!$G$10:$BO$70,MATCH(ROUND(G3881*2,1)/2,神经网络!$E$10:$E$70,0),MATCH(ROUND(E3881*2,1)/2,神经网络!$G$8:$BO$8,0))</f>
        <v>1.959952816609847</v>
      </c>
      <c r="I3881">
        <f t="shared" si="550"/>
        <v>10290317.406544447</v>
      </c>
      <c r="J3881">
        <f t="shared" si="551"/>
        <v>22442.262735164921</v>
      </c>
      <c r="K3881">
        <f t="shared" si="552"/>
        <v>458.52405918145166</v>
      </c>
      <c r="L3881" s="4">
        <f>MIN(MAX(L3880*(1+MAX(MIN(((B3881-B3880)/B3880)/($K$7*卓尔金历!$N$40),0),-卓尔金历!$M$43))+MIN(MAX(((B3881-B3880)/B3880)/($K$7*卓尔金历!$N$40),0),卓尔金历!$M$43),0),1)</f>
        <v>1</v>
      </c>
      <c r="M3881" s="4">
        <f>MIN(MAX(M3880*(1+MAX(MIN(((B3881-B3880)/B3880)/($K$7*30),0),-卓尔金历!$M$43))+MIN(MAX(((B3881-B3880)/B3880)/($K$7*7),0),卓尔金历!$M$43),0),1)</f>
        <v>1</v>
      </c>
      <c r="N3881">
        <f t="shared" si="553"/>
        <v>1345065.0093619064</v>
      </c>
      <c r="O3881">
        <f t="shared" si="554"/>
        <v>5783768.2775703873</v>
      </c>
      <c r="P3881">
        <f t="shared" si="555"/>
        <v>2.4803320961054188E-2</v>
      </c>
      <c r="Q3881">
        <f t="shared" si="546"/>
        <v>3.9155334250607743E-2</v>
      </c>
      <c r="R3881">
        <f t="shared" si="547"/>
        <v>0.51659341689976379</v>
      </c>
      <c r="S3881">
        <f t="shared" si="549"/>
        <v>5815.5374608996708</v>
      </c>
      <c r="T3881" s="564">
        <f>IF((I3881-MAX(I$470:I3881))/MAX(I$470:I3881)&gt;T3880,T3880,(I3881-MAX(I$470:I3881))/MAX(I$470:I3881))</f>
        <v>-0.91338805338419748</v>
      </c>
      <c r="U3881" s="564">
        <f>IF((J3881-MAX(J$470:J3881))/MAX(J$470:J3881)&gt;U3880,U3880,(J3881-MAX(J$470:J3881))/MAX(J$470:J3881))</f>
        <v>-0.83569785939843477</v>
      </c>
      <c r="V3881" s="564">
        <f>IF((K3881-MAX(K$470:K3881))/MAX(K$470:K3881)&gt;V3880,V3880,(K3881-MAX(K$470:K3881))/MAX(K$470:K3881))</f>
        <v>-0.84885940676762139</v>
      </c>
      <c r="W3881" s="564">
        <f>IF((N3881-MAX(N$470:N3881))/MAX(N$470:N3881)&gt;W3880,W3880,(N3881-MAX(N$470:N3881))/MAX(N$470:N3881))</f>
        <v>-0.62788758315546067</v>
      </c>
      <c r="X3881" s="564">
        <f>IF((O3881-MAX(O$470:O3881))/MAX(O$470:O3881)&gt;X3880,X3880,(O3881-MAX(O$470:O3881))/MAX(O$470:O3881))</f>
        <v>-0.62788758315546067</v>
      </c>
    </row>
    <row r="3882" spans="1:24">
      <c r="A3882" s="799">
        <v>44284</v>
      </c>
      <c r="B3882">
        <v>57715.433325208898</v>
      </c>
      <c r="C3882">
        <v>60436.106931483497</v>
      </c>
      <c r="D3882">
        <v>3.3379567300000001</v>
      </c>
      <c r="E3882">
        <f>LN(D3882/参数实验室!$E$53)/参数实验室!$E$55</f>
        <v>0.72905773402860252</v>
      </c>
      <c r="F3882">
        <f t="shared" si="548"/>
        <v>1.047139446929982</v>
      </c>
      <c r="G3882">
        <f>LN(F3882/参数实验室!$E$58)/参数实验室!$E$59</f>
        <v>-0.16635413990597434</v>
      </c>
      <c r="H3882" s="856">
        <f>INDEX(神经网络!$G$10:$BO$70,MATCH(ROUND(G3882*2,1)/2,神经网络!$E$10:$E$70,0),MATCH(ROUND(E3882*2,1)/2,神经网络!$G$8:$BO$8,0))</f>
        <v>2.0188201475663274</v>
      </c>
      <c r="I3882">
        <f t="shared" si="550"/>
        <v>10818490.563424435</v>
      </c>
      <c r="J3882">
        <f t="shared" si="551"/>
        <v>23029.98017844811</v>
      </c>
      <c r="K3882">
        <f t="shared" si="552"/>
        <v>469.75683346651692</v>
      </c>
      <c r="L3882" s="4">
        <f>MIN(MAX(L3881*(1+MAX(MIN(((B3882-B3881)/B3881)/($K$7*卓尔金历!$N$40),0),-卓尔金历!$M$43))+MIN(MAX(((B3882-B3881)/B3881)/($K$7*卓尔金历!$N$40),0),卓尔金历!$M$43),0),1)</f>
        <v>1</v>
      </c>
      <c r="M3882" s="4">
        <f>MIN(MAX(M3881*(1+MAX(MIN(((B3882-B3881)/B3881)/($K$7*30),0),-卓尔金历!$M$43))+MIN(MAX(((B3882-B3881)/B3881)/($K$7*7),0),卓尔金历!$M$43),0),1)</f>
        <v>1</v>
      </c>
      <c r="N3882">
        <f t="shared" si="553"/>
        <v>1414103.4271420683</v>
      </c>
      <c r="O3882">
        <f t="shared" si="554"/>
        <v>6080632.8959429814</v>
      </c>
      <c r="P3882">
        <f t="shared" si="555"/>
        <v>2.6187976240127038E-2</v>
      </c>
      <c r="Q3882">
        <f t="shared" si="546"/>
        <v>3.9386631251169778E-2</v>
      </c>
      <c r="R3882">
        <f t="shared" si="547"/>
        <v>0.46326171390593968</v>
      </c>
      <c r="S3882">
        <f t="shared" si="549"/>
        <v>5969.7381376494895</v>
      </c>
      <c r="T3882" s="564">
        <f>IF((I3882-MAX(I$470:I3882))/MAX(I$470:I3882)&gt;T3881,T3881,(I3882-MAX(I$470:I3882))/MAX(I$470:I3882))</f>
        <v>-0.91338805338419748</v>
      </c>
      <c r="U3882" s="564">
        <f>IF((J3882-MAX(J$470:J3882))/MAX(J$470:J3882)&gt;U3881,U3881,(J3882-MAX(J$470:J3882))/MAX(J$470:J3882))</f>
        <v>-0.83569785939843477</v>
      </c>
      <c r="V3882" s="564">
        <f>IF((K3882-MAX(K$470:K3882))/MAX(K$470:K3882)&gt;V3881,V3881,(K3882-MAX(K$470:K3882))/MAX(K$470:K3882))</f>
        <v>-0.84885940676762139</v>
      </c>
      <c r="W3882" s="564">
        <f>IF((N3882-MAX(N$470:N3882))/MAX(N$470:N3882)&gt;W3881,W3881,(N3882-MAX(N$470:N3882))/MAX(N$470:N3882))</f>
        <v>-0.62788758315546067</v>
      </c>
      <c r="X3882" s="564">
        <f>IF((O3882-MAX(O$470:O3882))/MAX(O$470:O3882)&gt;X3881,X3881,(O3882-MAX(O$470:O3882))/MAX(O$470:O3882))</f>
        <v>-0.62788758315546067</v>
      </c>
    </row>
    <row r="3883" spans="1:24">
      <c r="A3883" s="799">
        <v>44285</v>
      </c>
      <c r="B3883">
        <v>58658.274559694597</v>
      </c>
      <c r="C3883">
        <v>59834.641492863499</v>
      </c>
      <c r="D3883">
        <v>3.3833006299999999</v>
      </c>
      <c r="E3883">
        <f>LN(D3883/参数实验室!$E$53)/参数实验室!$E$55</f>
        <v>0.74497601295925375</v>
      </c>
      <c r="F3883">
        <f t="shared" si="548"/>
        <v>1.0200545778408765</v>
      </c>
      <c r="G3883">
        <f>LN(F3883/参数实验室!$E$58)/参数实验室!$E$59</f>
        <v>-0.18010845267875403</v>
      </c>
      <c r="H3883" s="856">
        <f>INDEX(神经网络!$G$10:$BO$70,MATCH(ROUND(G3883*2,1)/2,神经网络!$E$10:$E$70,0),MATCH(ROUND(E3883*2,1)/2,神经网络!$G$8:$BO$8,0))</f>
        <v>1.9904890122838315</v>
      </c>
      <c r="I3883">
        <f t="shared" si="550"/>
        <v>11175279.112942712</v>
      </c>
      <c r="J3883">
        <f t="shared" si="551"/>
        <v>23406.198699052115</v>
      </c>
      <c r="K3883">
        <f t="shared" si="552"/>
        <v>477.44955328415972</v>
      </c>
      <c r="L3883" s="4">
        <f>MIN(MAX(L3882*(1+MAX(MIN(((B3883-B3882)/B3882)/($K$7*卓尔金历!$N$40),0),-卓尔金历!$M$43))+MIN(MAX(((B3883-B3882)/B3882)/($K$7*卓尔金历!$N$40),0),卓尔金历!$M$43),0),1)</f>
        <v>1</v>
      </c>
      <c r="M3883" s="4">
        <f>MIN(MAX(M3882*(1+MAX(MIN(((B3883-B3882)/B3882)/($K$7*30),0),-卓尔金历!$M$43))+MIN(MAX(((B3883-B3882)/B3882)/($K$7*7),0),卓尔金历!$M$43),0),1)</f>
        <v>1</v>
      </c>
      <c r="N3883">
        <f t="shared" si="553"/>
        <v>1460739.8694147638</v>
      </c>
      <c r="O3883">
        <f t="shared" si="554"/>
        <v>6281169.2072128132</v>
      </c>
      <c r="P3883">
        <f t="shared" si="555"/>
        <v>1.6336033191903375E-2</v>
      </c>
      <c r="Q3883">
        <f t="shared" si="546"/>
        <v>3.7769450057802016E-2</v>
      </c>
      <c r="R3883">
        <f t="shared" si="547"/>
        <v>0.91052492457275025</v>
      </c>
      <c r="S3883">
        <f t="shared" si="549"/>
        <v>6060.944666635487</v>
      </c>
      <c r="T3883" s="564">
        <f>IF((I3883-MAX(I$470:I3883))/MAX(I$470:I3883)&gt;T3882,T3882,(I3883-MAX(I$470:I3883))/MAX(I$470:I3883))</f>
        <v>-0.91338805338419748</v>
      </c>
      <c r="U3883" s="564">
        <f>IF((J3883-MAX(J$470:J3883))/MAX(J$470:J3883)&gt;U3882,U3882,(J3883-MAX(J$470:J3883))/MAX(J$470:J3883))</f>
        <v>-0.83569785939843477</v>
      </c>
      <c r="V3883" s="564">
        <f>IF((K3883-MAX(K$470:K3883))/MAX(K$470:K3883)&gt;V3882,V3882,(K3883-MAX(K$470:K3883))/MAX(K$470:K3883))</f>
        <v>-0.84885940676762139</v>
      </c>
      <c r="W3883" s="564">
        <f>IF((N3883-MAX(N$470:N3883))/MAX(N$470:N3883)&gt;W3882,W3882,(N3883-MAX(N$470:N3883))/MAX(N$470:N3883))</f>
        <v>-0.62788758315546067</v>
      </c>
      <c r="X3883" s="564">
        <f>IF((O3883-MAX(O$470:O3883))/MAX(O$470:O3883)&gt;X3882,X3882,(O3883-MAX(O$470:O3883))/MAX(O$470:O3883))</f>
        <v>-0.62788758315546067</v>
      </c>
    </row>
    <row r="3884" spans="1:24">
      <c r="A3884" s="799">
        <v>44286</v>
      </c>
      <c r="B3884">
        <v>59341.910460548999</v>
      </c>
      <c r="C3884">
        <v>58765.515593700497</v>
      </c>
      <c r="D3884">
        <v>3.3755350194</v>
      </c>
      <c r="E3884">
        <f>LN(D3884/参数实验室!$E$53)/参数实验室!$E$55</f>
        <v>0.74226504059555543</v>
      </c>
      <c r="F3884">
        <f t="shared" si="548"/>
        <v>0.99028688388400143</v>
      </c>
      <c r="G3884">
        <f>LN(F3884/参数实验室!$E$58)/参数实验室!$E$59</f>
        <v>-0.19565291299569271</v>
      </c>
      <c r="H3884" s="856">
        <f>INDEX(神经网络!$G$10:$BO$70,MATCH(ROUND(G3884*2,1)/2,神经网络!$E$10:$E$70,0),MATCH(ROUND(E3884*2,1)/2,神经网络!$G$8:$BO$8,0))</f>
        <v>1.9904890122838315</v>
      </c>
      <c r="I3884">
        <f t="shared" si="550"/>
        <v>11434526.113783928</v>
      </c>
      <c r="J3884">
        <f t="shared" si="551"/>
        <v>23678.987454829778</v>
      </c>
      <c r="K3884">
        <f t="shared" si="552"/>
        <v>482.89759583666824</v>
      </c>
      <c r="L3884" s="4">
        <f>MIN(MAX(L3883*(1+MAX(MIN(((B3884-B3883)/B3883)/($K$7*卓尔金历!$N$40),0),-卓尔金历!$M$43))+MIN(MAX(((B3884-B3883)/B3883)/($K$7*卓尔金历!$N$40),0),卓尔金历!$M$43),0),1)</f>
        <v>1</v>
      </c>
      <c r="M3884" s="4">
        <f>MIN(MAX(M3883*(1+MAX(MIN(((B3884-B3883)/B3883)/($K$7*30),0),-卓尔金历!$M$43))+MIN(MAX(((B3884-B3883)/B3883)/($K$7*7),0),卓尔金历!$M$43),0),1)</f>
        <v>1</v>
      </c>
      <c r="N3884">
        <f t="shared" si="553"/>
        <v>1494626.4888296095</v>
      </c>
      <c r="O3884">
        <f t="shared" si="554"/>
        <v>6426881.386952485</v>
      </c>
      <c r="P3884">
        <f t="shared" si="555"/>
        <v>1.1654551825568762E-2</v>
      </c>
      <c r="Q3884">
        <f t="shared" ref="Q3884:Q3947" si="556">STDEVP(P3864:P3884)</f>
        <v>3.6849525746415132E-2</v>
      </c>
      <c r="R3884">
        <f t="shared" ref="R3884:R3947" si="557">MIN(Q3883*MAX(1-LN(MAX(ABS(P3884),0.0001)/Q3884),0)+MAX(-LN(MAX(ABS(P3884),0.0001)/Q3884),0),1)</f>
        <v>1</v>
      </c>
      <c r="S3884">
        <f t="shared" si="549"/>
        <v>6188.9675250877663</v>
      </c>
      <c r="T3884" s="564">
        <f>IF((I3884-MAX(I$470:I3884))/MAX(I$470:I3884)&gt;T3883,T3883,(I3884-MAX(I$470:I3884))/MAX(I$470:I3884))</f>
        <v>-0.91338805338419748</v>
      </c>
      <c r="U3884" s="564">
        <f>IF((J3884-MAX(J$470:J3884))/MAX(J$470:J3884)&gt;U3883,U3883,(J3884-MAX(J$470:J3884))/MAX(J$470:J3884))</f>
        <v>-0.83569785939843477</v>
      </c>
      <c r="V3884" s="564">
        <f>IF((K3884-MAX(K$470:K3884))/MAX(K$470:K3884)&gt;V3883,V3883,(K3884-MAX(K$470:K3884))/MAX(K$470:K3884))</f>
        <v>-0.84885940676762139</v>
      </c>
      <c r="W3884" s="564">
        <f>IF((N3884-MAX(N$470:N3884))/MAX(N$470:N3884)&gt;W3883,W3883,(N3884-MAX(N$470:N3884))/MAX(N$470:N3884))</f>
        <v>-0.62788758315546067</v>
      </c>
      <c r="X3884" s="564">
        <f>IF((O3884-MAX(O$470:O3884))/MAX(O$470:O3884)&gt;X3883,X3883,(O3884-MAX(O$470:O3884))/MAX(O$470:O3884))</f>
        <v>-0.62788758315546067</v>
      </c>
    </row>
    <row r="3885" spans="1:24">
      <c r="A3885" s="799">
        <v>44287</v>
      </c>
      <c r="B3885">
        <v>58950.273449036002</v>
      </c>
      <c r="C3885">
        <v>58695.648191165899</v>
      </c>
      <c r="D3885">
        <v>3.3559836299999999</v>
      </c>
      <c r="E3885">
        <f>LN(D3885/参数实验室!$E$53)/参数实验室!$E$55</f>
        <v>0.73541194216993899</v>
      </c>
      <c r="F3885">
        <f t="shared" si="548"/>
        <v>0.99568067723909315</v>
      </c>
      <c r="G3885">
        <f>LN(F3885/参数实验室!$E$58)/参数实验室!$E$59</f>
        <v>-0.19280194879450066</v>
      </c>
      <c r="H3885" s="856">
        <f>INDEX(神经网络!$G$10:$BO$70,MATCH(ROUND(G3885*2,1)/2,神经网络!$E$10:$E$70,0),MATCH(ROUND(E3885*2,1)/2,神经网络!$G$8:$BO$8,0))</f>
        <v>1.9904890122838315</v>
      </c>
      <c r="I3885">
        <f t="shared" si="550"/>
        <v>11284315.659624055</v>
      </c>
      <c r="J3885">
        <f t="shared" si="551"/>
        <v>23522.713957557924</v>
      </c>
      <c r="K3885">
        <f t="shared" si="552"/>
        <v>479.71997108770557</v>
      </c>
      <c r="L3885" s="4">
        <f>MIN(MAX(L3884*(1+MAX(MIN(((B3885-B3884)/B3884)/($K$7*卓尔金历!$N$40),0),-卓尔金历!$M$43))+MIN(MAX(((B3885-B3884)/B3884)/($K$7*卓尔金历!$N$40),0),卓尔金历!$M$43),0),1)</f>
        <v>0.89916337941341629</v>
      </c>
      <c r="M3885" s="4">
        <f>MIN(MAX(M3884*(1+MAX(MIN(((B3885-B3884)/B3884)/($K$7*30),0),-卓尔金历!$M$43))+MIN(MAX(((B3885-B3884)/B3884)/($K$7*7),0),卓尔金历!$M$43),0),1)</f>
        <v>0.9495816897067082</v>
      </c>
      <c r="N3885">
        <f t="shared" si="553"/>
        <v>1474992.2231458018</v>
      </c>
      <c r="O3885">
        <f t="shared" si="554"/>
        <v>6342454.2089164816</v>
      </c>
      <c r="P3885">
        <f t="shared" si="555"/>
        <v>-6.5996697523474767E-3</v>
      </c>
      <c r="Q3885">
        <f t="shared" si="556"/>
        <v>3.6907423229059919E-2</v>
      </c>
      <c r="R3885">
        <f t="shared" si="557"/>
        <v>1</v>
      </c>
      <c r="S3885">
        <f t="shared" si="549"/>
        <v>6107.6657191822751</v>
      </c>
      <c r="T3885" s="564">
        <f>IF((I3885-MAX(I$470:I3885))/MAX(I$470:I3885)&gt;T3884,T3884,(I3885-MAX(I$470:I3885))/MAX(I$470:I3885))</f>
        <v>-0.91338805338419748</v>
      </c>
      <c r="U3885" s="564">
        <f>IF((J3885-MAX(J$470:J3885))/MAX(J$470:J3885)&gt;U3884,U3884,(J3885-MAX(J$470:J3885))/MAX(J$470:J3885))</f>
        <v>-0.83569785939843477</v>
      </c>
      <c r="V3885" s="564">
        <f>IF((K3885-MAX(K$470:K3885))/MAX(K$470:K3885)&gt;V3884,V3884,(K3885-MAX(K$470:K3885))/MAX(K$470:K3885))</f>
        <v>-0.84885940676762139</v>
      </c>
      <c r="W3885" s="564">
        <f>IF((N3885-MAX(N$470:N3885))/MAX(N$470:N3885)&gt;W3884,W3884,(N3885-MAX(N$470:N3885))/MAX(N$470:N3885))</f>
        <v>-0.62788758315546067</v>
      </c>
      <c r="X3885" s="564">
        <f>IF((O3885-MAX(O$470:O3885))/MAX(O$470:O3885)&gt;X3884,X3884,(O3885-MAX(O$470:O3885))/MAX(O$470:O3885))</f>
        <v>-0.62788758315546067</v>
      </c>
    </row>
    <row r="3886" spans="1:24">
      <c r="A3886" s="799">
        <v>44288</v>
      </c>
      <c r="B3886">
        <v>59474.537356626701</v>
      </c>
      <c r="C3886">
        <v>59180.0254754544</v>
      </c>
      <c r="D3886">
        <v>3.35413045</v>
      </c>
      <c r="E3886">
        <f>LN(D3886/参数实验室!$E$53)/参数实验室!$E$55</f>
        <v>0.73476030044039919</v>
      </c>
      <c r="F3886">
        <f t="shared" si="548"/>
        <v>0.99504810135123334</v>
      </c>
      <c r="G3886">
        <f>LN(F3886/参数实验室!$E$58)/参数实验室!$E$59</f>
        <v>-0.19313550505494603</v>
      </c>
      <c r="H3886" s="856">
        <f>INDEX(神经网络!$G$10:$BO$70,MATCH(ROUND(G3886*2,1)/2,神经网络!$E$10:$E$70,0),MATCH(ROUND(E3886*2,1)/2,神经网络!$G$8:$BO$8,0))</f>
        <v>1.9904890122838315</v>
      </c>
      <c r="I3886">
        <f t="shared" si="550"/>
        <v>11484071.344170444</v>
      </c>
      <c r="J3886">
        <f t="shared" si="551"/>
        <v>23731.909084484501</v>
      </c>
      <c r="K3886">
        <f t="shared" si="552"/>
        <v>483.90845014986701</v>
      </c>
      <c r="L3886" s="4">
        <f>MIN(MAX(L3885*(1+MAX(MIN(((B3886-B3885)/B3885)/($K$7*卓尔金历!$N$40),0),-卓尔金历!$M$43))+MIN(MAX(((B3886-B3885)/B3885)/($K$7*卓尔金历!$N$40),0),卓尔金历!$M$43),0),1)</f>
        <v>1</v>
      </c>
      <c r="M3886" s="4">
        <f>MIN(MAX(M3885*(1+MAX(MIN(((B3886-B3885)/B3885)/($K$7*30),0),-卓尔金历!$M$43))+MIN(MAX(((B3886-B3885)/B3885)/($K$7*7),0),卓尔金历!$M$43),0),1)</f>
        <v>1</v>
      </c>
      <c r="N3886">
        <f t="shared" si="553"/>
        <v>1498469.7454713383</v>
      </c>
      <c r="O3886">
        <f t="shared" si="554"/>
        <v>6449068.0506243324</v>
      </c>
      <c r="P3886">
        <f t="shared" si="555"/>
        <v>8.8933244396896382E-3</v>
      </c>
      <c r="Q3886">
        <f t="shared" si="556"/>
        <v>3.6903403494055541E-2</v>
      </c>
      <c r="R3886">
        <f t="shared" si="557"/>
        <v>1</v>
      </c>
      <c r="S3886">
        <f t="shared" si="549"/>
        <v>6215.7840121755444</v>
      </c>
      <c r="T3886" s="564">
        <f>IF((I3886-MAX(I$470:I3886))/MAX(I$470:I3886)&gt;T3885,T3885,(I3886-MAX(I$470:I3886))/MAX(I$470:I3886))</f>
        <v>-0.91338805338419748</v>
      </c>
      <c r="U3886" s="564">
        <f>IF((J3886-MAX(J$470:J3886))/MAX(J$470:J3886)&gt;U3885,U3885,(J3886-MAX(J$470:J3886))/MAX(J$470:J3886))</f>
        <v>-0.83569785939843477</v>
      </c>
      <c r="V3886" s="564">
        <f>IF((K3886-MAX(K$470:K3886))/MAX(K$470:K3886)&gt;V3885,V3885,(K3886-MAX(K$470:K3886))/MAX(K$470:K3886))</f>
        <v>-0.84885940676762139</v>
      </c>
      <c r="W3886" s="564">
        <f>IF((N3886-MAX(N$470:N3886))/MAX(N$470:N3886)&gt;W3885,W3885,(N3886-MAX(N$470:N3886))/MAX(N$470:N3886))</f>
        <v>-0.62788758315546067</v>
      </c>
      <c r="X3886" s="564">
        <f>IF((O3886-MAX(O$470:O3886))/MAX(O$470:O3886)&gt;X3885,X3885,(O3886-MAX(O$470:O3886))/MAX(O$470:O3886))</f>
        <v>-0.62788758315546067</v>
      </c>
    </row>
    <row r="3887" spans="1:24">
      <c r="A3887" s="799">
        <v>44289</v>
      </c>
      <c r="B3887">
        <v>58884.324283929498</v>
      </c>
      <c r="C3887">
        <v>59068.840080254398</v>
      </c>
      <c r="D3887">
        <v>3.2518750700000001</v>
      </c>
      <c r="E3887">
        <f>LN(D3887/参数实验室!$E$53)/参数实验室!$E$55</f>
        <v>0.69823421754111425</v>
      </c>
      <c r="F3887">
        <f t="shared" si="548"/>
        <v>1.0031335299940813</v>
      </c>
      <c r="G3887">
        <f>LN(F3887/参数实验室!$E$58)/参数实验室!$E$59</f>
        <v>-0.18888795017018342</v>
      </c>
      <c r="H3887" s="856">
        <f>INDEX(神经网络!$G$10:$BO$70,MATCH(ROUND(G3887*2,1)/2,神经网络!$E$10:$E$70,0),MATCH(ROUND(E3887*2,1)/2,神经网络!$G$8:$BO$8,0))</f>
        <v>1.9309572529427241</v>
      </c>
      <c r="I3887">
        <f t="shared" si="550"/>
        <v>11257224.146550039</v>
      </c>
      <c r="J3887">
        <f t="shared" si="551"/>
        <v>23496.398501228763</v>
      </c>
      <c r="K3887">
        <f t="shared" si="552"/>
        <v>479.10423999496487</v>
      </c>
      <c r="L3887" s="4">
        <f>MIN(MAX(L3886*(1+MAX(MIN(((B3887-B3886)/B3886)/($K$7*卓尔金历!$N$40),0),-卓尔金历!$M$43))+MIN(MAX(((B3887-B3886)/B3886)/($K$7*卓尔金历!$N$40),0),卓尔金历!$M$43),0),1)</f>
        <v>0.84837394679300204</v>
      </c>
      <c r="M3887" s="4">
        <f>MIN(MAX(M3886*(1+MAX(MIN(((B3887-B3886)/B3886)/($K$7*30),0),-卓尔金历!$M$43))+MIN(MAX(((B3887-B3886)/B3886)/($K$7*7),0),卓尔金历!$M$43),0),1)</f>
        <v>0.92418697339650102</v>
      </c>
      <c r="N3887">
        <f t="shared" si="553"/>
        <v>1468870.1677351997</v>
      </c>
      <c r="O3887">
        <f t="shared" si="554"/>
        <v>6321678.2973997463</v>
      </c>
      <c r="P3887">
        <f t="shared" si="555"/>
        <v>-9.9237942643944036E-3</v>
      </c>
      <c r="Q3887">
        <f t="shared" si="556"/>
        <v>3.5585132154176566E-2</v>
      </c>
      <c r="R3887">
        <f t="shared" si="557"/>
        <v>1</v>
      </c>
      <c r="S3887">
        <f t="shared" si="549"/>
        <v>6093.0023660225443</v>
      </c>
      <c r="T3887" s="564">
        <f>IF((I3887-MAX(I$470:I3887))/MAX(I$470:I3887)&gt;T3886,T3886,(I3887-MAX(I$470:I3887))/MAX(I$470:I3887))</f>
        <v>-0.91338805338419748</v>
      </c>
      <c r="U3887" s="564">
        <f>IF((J3887-MAX(J$470:J3887))/MAX(J$470:J3887)&gt;U3886,U3886,(J3887-MAX(J$470:J3887))/MAX(J$470:J3887))</f>
        <v>-0.83569785939843477</v>
      </c>
      <c r="V3887" s="564">
        <f>IF((K3887-MAX(K$470:K3887))/MAX(K$470:K3887)&gt;V3886,V3886,(K3887-MAX(K$470:K3887))/MAX(K$470:K3887))</f>
        <v>-0.84885940676762139</v>
      </c>
      <c r="W3887" s="564">
        <f>IF((N3887-MAX(N$470:N3887))/MAX(N$470:N3887)&gt;W3886,W3886,(N3887-MAX(N$470:N3887))/MAX(N$470:N3887))</f>
        <v>-0.62788758315546067</v>
      </c>
      <c r="X3887" s="564">
        <f>IF((O3887-MAX(O$470:O3887))/MAX(O$470:O3887)&gt;X3886,X3886,(O3887-MAX(O$470:O3887))/MAX(O$470:O3887))</f>
        <v>-0.62788758315546067</v>
      </c>
    </row>
    <row r="3888" spans="1:24">
      <c r="A3888" s="799">
        <v>44290</v>
      </c>
      <c r="B3888">
        <v>57902.164167490198</v>
      </c>
      <c r="C3888">
        <v>59197.420219554799</v>
      </c>
      <c r="D3888">
        <v>3.2983012830999998</v>
      </c>
      <c r="E3888">
        <f>LN(D3888/参数实验室!$E$53)/参数实验室!$E$55</f>
        <v>0.71495816198575191</v>
      </c>
      <c r="F3888">
        <f t="shared" si="548"/>
        <v>1.0223697347186866</v>
      </c>
      <c r="G3888">
        <f>LN(F3888/参数实验室!$E$58)/参数实验室!$E$59</f>
        <v>-0.17891857263213476</v>
      </c>
      <c r="H3888" s="856">
        <f>INDEX(神经网络!$G$10:$BO$70,MATCH(ROUND(G3888*2,1)/2,神经网络!$E$10:$E$70,0),MATCH(ROUND(E3888*2,1)/2,神经网络!$G$8:$BO$8,0))</f>
        <v>1.9309572529427241</v>
      </c>
      <c r="I3888">
        <f t="shared" si="550"/>
        <v>10894658.566925887</v>
      </c>
      <c r="J3888">
        <f t="shared" si="551"/>
        <v>23104.49070966446</v>
      </c>
      <c r="K3888">
        <f t="shared" si="552"/>
        <v>471.53857247191871</v>
      </c>
      <c r="L3888" s="4">
        <f>MIN(MAX(L3887*(1+MAX(MIN(((B3888-B3887)/B3887)/($K$7*卓尔金历!$N$40),0),-卓尔金历!$M$43))+MIN(MAX(((B3888-B3887)/B3887)/($K$7*卓尔金历!$N$40),0),卓尔金历!$M$43),0),1)</f>
        <v>0.63216881400374403</v>
      </c>
      <c r="M3888" s="4">
        <f>MIN(MAX(M3887*(1+MAX(MIN(((B3888-B3887)/B3887)/($K$7*30),0),-卓尔金历!$M$43))+MIN(MAX(((B3888-B3887)/B3887)/($K$7*7),0),卓尔金历!$M$43),0),1)</f>
        <v>0.80642406468117345</v>
      </c>
      <c r="N3888">
        <f t="shared" si="553"/>
        <v>1428734.9159583671</v>
      </c>
      <c r="O3888">
        <f t="shared" si="554"/>
        <v>6133509.5507201189</v>
      </c>
      <c r="P3888">
        <f t="shared" si="555"/>
        <v>-1.6679483519306468E-2</v>
      </c>
      <c r="Q3888">
        <f t="shared" si="556"/>
        <v>3.5762077854982185E-2</v>
      </c>
      <c r="R3888">
        <f t="shared" si="557"/>
        <v>0.82543484105686815</v>
      </c>
      <c r="S3888">
        <f t="shared" si="549"/>
        <v>5896.7627863775651</v>
      </c>
      <c r="T3888" s="564">
        <f>IF((I3888-MAX(I$470:I3888))/MAX(I$470:I3888)&gt;T3887,T3887,(I3888-MAX(I$470:I3888))/MAX(I$470:I3888))</f>
        <v>-0.91338805338419748</v>
      </c>
      <c r="U3888" s="564">
        <f>IF((J3888-MAX(J$470:J3888))/MAX(J$470:J3888)&gt;U3887,U3887,(J3888-MAX(J$470:J3888))/MAX(J$470:J3888))</f>
        <v>-0.83569785939843477</v>
      </c>
      <c r="V3888" s="564">
        <f>IF((K3888-MAX(K$470:K3888))/MAX(K$470:K3888)&gt;V3887,V3887,(K3888-MAX(K$470:K3888))/MAX(K$470:K3888))</f>
        <v>-0.84885940676762139</v>
      </c>
      <c r="W3888" s="564">
        <f>IF((N3888-MAX(N$470:N3888))/MAX(N$470:N3888)&gt;W3887,W3887,(N3888-MAX(N$470:N3888))/MAX(N$470:N3888))</f>
        <v>-0.62788758315546067</v>
      </c>
      <c r="X3888" s="564">
        <f>IF((O3888-MAX(O$470:O3888))/MAX(O$470:O3888)&gt;X3887,X3887,(O3888-MAX(O$470:O3888))/MAX(O$470:O3888))</f>
        <v>-0.62788758315546067</v>
      </c>
    </row>
    <row r="3889" spans="1:24">
      <c r="A3889" s="799">
        <v>44291</v>
      </c>
      <c r="B3889">
        <v>58946.195032967502</v>
      </c>
      <c r="C3889">
        <v>59048.023272878199</v>
      </c>
      <c r="D3889">
        <v>3.32023402</v>
      </c>
      <c r="E3889">
        <f>LN(D3889/参数实验室!$E$53)/参数实验室!$E$55</f>
        <v>0.72277720684655344</v>
      </c>
      <c r="F3889">
        <f t="shared" si="548"/>
        <v>1.0017274777422656</v>
      </c>
      <c r="G3889">
        <f>LN(F3889/参数实验室!$E$58)/参数实验室!$E$59</f>
        <v>-0.18962413320461111</v>
      </c>
      <c r="H3889" s="856">
        <f>INDEX(神经网络!$G$10:$BO$70,MATCH(ROUND(G3889*2,1)/2,神经网络!$E$10:$E$70,0),MATCH(ROUND(E3889*2,1)/2,神经网络!$G$8:$BO$8,0))</f>
        <v>1.9309572529427241</v>
      </c>
      <c r="I3889">
        <f t="shared" si="550"/>
        <v>11273977.766712535</v>
      </c>
      <c r="J3889">
        <f t="shared" si="551"/>
        <v>23521.086561975742</v>
      </c>
      <c r="K3889">
        <f t="shared" si="552"/>
        <v>479.31364637457187</v>
      </c>
      <c r="L3889" s="4">
        <f>MIN(MAX(L3888*(1+MAX(MIN(((B3889-B3888)/B3888)/($K$7*卓尔金历!$N$40),0),-卓尔金历!$M$43))+MIN(MAX(((B3889-B3888)/B3888)/($K$7*卓尔金历!$N$40),0),卓尔金历!$M$43),0),1)</f>
        <v>0.90766438437443753</v>
      </c>
      <c r="M3889" s="4">
        <f>MIN(MAX(M3888*(1+MAX(MIN(((B3889-B3888)/B3888)/($K$7*30),0),-卓尔金历!$M$43))+MIN(MAX(((B3889-B3888)/B3888)/($K$7*7),0),卓尔金历!$M$43),0),1)</f>
        <v>1</v>
      </c>
      <c r="N3889">
        <f t="shared" si="553"/>
        <v>1460181.6774889177</v>
      </c>
      <c r="O3889">
        <f t="shared" si="554"/>
        <v>6305721.6760347076</v>
      </c>
      <c r="P3889">
        <f t="shared" si="555"/>
        <v>1.8030947210492799E-2</v>
      </c>
      <c r="Q3889">
        <f t="shared" si="556"/>
        <v>3.3630199097855661E-2</v>
      </c>
      <c r="R3889">
        <f t="shared" si="557"/>
        <v>0.68138870307925437</v>
      </c>
      <c r="S3889">
        <f t="shared" si="549"/>
        <v>6066.2307672619309</v>
      </c>
      <c r="T3889" s="564">
        <f>IF((I3889-MAX(I$470:I3889))/MAX(I$470:I3889)&gt;T3888,T3888,(I3889-MAX(I$470:I3889))/MAX(I$470:I3889))</f>
        <v>-0.91338805338419748</v>
      </c>
      <c r="U3889" s="564">
        <f>IF((J3889-MAX(J$470:J3889))/MAX(J$470:J3889)&gt;U3888,U3888,(J3889-MAX(J$470:J3889))/MAX(J$470:J3889))</f>
        <v>-0.83569785939843477</v>
      </c>
      <c r="V3889" s="564">
        <f>IF((K3889-MAX(K$470:K3889))/MAX(K$470:K3889)&gt;V3888,V3888,(K3889-MAX(K$470:K3889))/MAX(K$470:K3889))</f>
        <v>-0.84885940676762139</v>
      </c>
      <c r="W3889" s="564">
        <f>IF((N3889-MAX(N$470:N3889))/MAX(N$470:N3889)&gt;W3888,W3888,(N3889-MAX(N$470:N3889))/MAX(N$470:N3889))</f>
        <v>-0.62788758315546067</v>
      </c>
      <c r="X3889" s="564">
        <f>IF((O3889-MAX(O$470:O3889))/MAX(O$470:O3889)&gt;X3888,X3888,(O3889-MAX(O$470:O3889))/MAX(O$470:O3889))</f>
        <v>-0.62788758315546067</v>
      </c>
    </row>
    <row r="3890" spans="1:24">
      <c r="A3890" s="799">
        <v>44292</v>
      </c>
      <c r="B3890">
        <v>57962.314953883397</v>
      </c>
      <c r="C3890">
        <v>59136.582147786103</v>
      </c>
      <c r="D3890">
        <v>3.22914317</v>
      </c>
      <c r="E3890">
        <f>LN(D3890/参数实验室!$E$53)/参数实验室!$E$55</f>
        <v>0.68995831343206393</v>
      </c>
      <c r="F3890">
        <f t="shared" si="548"/>
        <v>1.0202591493255055</v>
      </c>
      <c r="G3890">
        <f>LN(F3890/参数实验室!$E$58)/参数实验室!$E$59</f>
        <v>-0.18000320399102823</v>
      </c>
      <c r="H3890" s="856">
        <f>INDEX(神经网络!$G$10:$BO$70,MATCH(ROUND(G3890*2,1)/2,神经网络!$E$10:$E$70,0),MATCH(ROUND(E3890*2,1)/2,神经网络!$G$8:$BO$8,0))</f>
        <v>1.9309572529427241</v>
      </c>
      <c r="I3890">
        <f t="shared" si="550"/>
        <v>10910618.513527669</v>
      </c>
      <c r="J3890">
        <f t="shared" si="551"/>
        <v>23128.492459951041</v>
      </c>
      <c r="K3890">
        <f t="shared" si="552"/>
        <v>471.73928574983154</v>
      </c>
      <c r="L3890" s="4">
        <f>MIN(MAX(L3889*(1+MAX(MIN(((B3890-B3889)/B3889)/($K$7*卓尔金历!$N$40),0),-卓尔金历!$M$43))+MIN(MAX(((B3890-B3889)/B3889)/($K$7*卓尔金历!$N$40),0),卓尔金历!$M$43),0),1)</f>
        <v>0.67618742779126684</v>
      </c>
      <c r="M3890" s="4">
        <f>MIN(MAX(M3889*(1+MAX(MIN(((B3890-B3889)/B3889)/($K$7*30),0),-卓尔金历!$M$43))+MIN(MAX(((B3890-B3889)/B3889)/($K$7*7),0),卓尔金历!$M$43),0),1)</f>
        <v>0.87248758430534612</v>
      </c>
      <c r="N3890">
        <f t="shared" si="553"/>
        <v>1417465.6124176919</v>
      </c>
      <c r="O3890">
        <f t="shared" si="554"/>
        <v>6102488.8538305787</v>
      </c>
      <c r="P3890">
        <f t="shared" si="555"/>
        <v>-1.6691155019146517E-2</v>
      </c>
      <c r="Q3890">
        <f t="shared" si="556"/>
        <v>3.3800755452995511E-2</v>
      </c>
      <c r="R3890">
        <f t="shared" si="557"/>
        <v>0.76296402265550478</v>
      </c>
      <c r="S3890">
        <f t="shared" si="549"/>
        <v>5933.0097005785974</v>
      </c>
      <c r="T3890" s="564">
        <f>IF((I3890-MAX(I$470:I3890))/MAX(I$470:I3890)&gt;T3889,T3889,(I3890-MAX(I$470:I3890))/MAX(I$470:I3890))</f>
        <v>-0.91338805338419748</v>
      </c>
      <c r="U3890" s="564">
        <f>IF((J3890-MAX(J$470:J3890))/MAX(J$470:J3890)&gt;U3889,U3889,(J3890-MAX(J$470:J3890))/MAX(J$470:J3890))</f>
        <v>-0.83569785939843477</v>
      </c>
      <c r="V3890" s="564">
        <f>IF((K3890-MAX(K$470:K3890))/MAX(K$470:K3890)&gt;V3889,V3889,(K3890-MAX(K$470:K3890))/MAX(K$470:K3890))</f>
        <v>-0.84885940676762139</v>
      </c>
      <c r="W3890" s="564">
        <f>IF((N3890-MAX(N$470:N3890))/MAX(N$470:N3890)&gt;W3889,W3889,(N3890-MAX(N$470:N3890))/MAX(N$470:N3890))</f>
        <v>-0.62788758315546067</v>
      </c>
      <c r="X3890" s="564">
        <f>IF((O3890-MAX(O$470:O3890))/MAX(O$470:O3890)&gt;X3889,X3889,(O3890-MAX(O$470:O3890))/MAX(O$470:O3890))</f>
        <v>-0.62788758315546067</v>
      </c>
    </row>
    <row r="3891" spans="1:24">
      <c r="A3891" s="799">
        <v>44293</v>
      </c>
      <c r="B3891">
        <v>56470.652715803997</v>
      </c>
      <c r="C3891">
        <v>59066.880253853502</v>
      </c>
      <c r="D3891">
        <v>3.12214094</v>
      </c>
      <c r="E3891">
        <f>LN(D3891/参数实验室!$E$53)/参数实验室!$E$55</f>
        <v>0.6502031486087605</v>
      </c>
      <c r="F3891">
        <f t="shared" si="548"/>
        <v>1.0459748101569741</v>
      </c>
      <c r="G3891">
        <f>LN(F3891/参数实验室!$E$58)/参数实验室!$E$59</f>
        <v>-0.16693821158772473</v>
      </c>
      <c r="H3891" s="856">
        <f>INDEX(神经网络!$G$10:$BO$70,MATCH(ROUND(G3891*2,1)/2,神经网络!$E$10:$E$70,0),MATCH(ROUND(E3891*2,1)/2,神经网络!$G$8:$BO$8,0))</f>
        <v>1.9003308205363119</v>
      </c>
      <c r="I3891">
        <f t="shared" si="550"/>
        <v>10368434.38055478</v>
      </c>
      <c r="J3891">
        <f t="shared" si="551"/>
        <v>22533.279883406056</v>
      </c>
      <c r="K3891">
        <f t="shared" si="552"/>
        <v>460.13871190542022</v>
      </c>
      <c r="L3891" s="4">
        <f>MIN(MAX(L3890*(1+MAX(MIN(((B3891-B3890)/B3890)/($K$7*卓尔金历!$N$40),0),-卓尔金历!$M$43))+MIN(MAX(((B3891-B3890)/B3890)/($K$7*卓尔金历!$N$40),0),卓尔金历!$M$43),0),1)</f>
        <v>0.41030603608396315</v>
      </c>
      <c r="M3891" s="4">
        <f>MIN(MAX(M3890*(1+MAX(MIN(((B3891-B3890)/B3890)/($K$7*30),0),-卓尔金历!$M$43))+MIN(MAX(((B3891-B3890)/B3890)/($K$7*7),0),卓尔金历!$M$43),0),1)</f>
        <v>0.70095362520750082</v>
      </c>
      <c r="N3891">
        <f t="shared" si="553"/>
        <v>1369835.9990401128</v>
      </c>
      <c r="O3891">
        <f t="shared" si="554"/>
        <v>5837904.7896871706</v>
      </c>
      <c r="P3891">
        <f t="shared" si="555"/>
        <v>-2.5735035587626409E-2</v>
      </c>
      <c r="Q3891">
        <f t="shared" si="556"/>
        <v>3.415509607493708E-2</v>
      </c>
      <c r="R3891">
        <f t="shared" si="557"/>
        <v>0.32642683122468735</v>
      </c>
      <c r="S3891">
        <f t="shared" si="549"/>
        <v>5708.0645937262716</v>
      </c>
      <c r="T3891" s="564">
        <f>IF((I3891-MAX(I$470:I3891))/MAX(I$470:I3891)&gt;T3890,T3890,(I3891-MAX(I$470:I3891))/MAX(I$470:I3891))</f>
        <v>-0.91338805338419748</v>
      </c>
      <c r="U3891" s="564">
        <f>IF((J3891-MAX(J$470:J3891))/MAX(J$470:J3891)&gt;U3890,U3890,(J3891-MAX(J$470:J3891))/MAX(J$470:J3891))</f>
        <v>-0.83569785939843477</v>
      </c>
      <c r="V3891" s="564">
        <f>IF((K3891-MAX(K$470:K3891))/MAX(K$470:K3891)&gt;V3890,V3890,(K3891-MAX(K$470:K3891))/MAX(K$470:K3891))</f>
        <v>-0.84885940676762139</v>
      </c>
      <c r="W3891" s="564">
        <f>IF((N3891-MAX(N$470:N3891))/MAX(N$470:N3891)&gt;W3890,W3890,(N3891-MAX(N$470:N3891))/MAX(N$470:N3891))</f>
        <v>-0.62788758315546067</v>
      </c>
      <c r="X3891" s="564">
        <f>IF((O3891-MAX(O$470:O3891))/MAX(O$470:O3891)&gt;X3890,X3890,(O3891-MAX(O$470:O3891))/MAX(O$470:O3891))</f>
        <v>-0.62788758315546067</v>
      </c>
    </row>
    <row r="3892" spans="1:24">
      <c r="A3892" s="799">
        <v>44294</v>
      </c>
      <c r="B3892">
        <v>57788.3315120724</v>
      </c>
      <c r="C3892">
        <v>59314.3934344136</v>
      </c>
      <c r="D3892">
        <v>3.2057806000000002</v>
      </c>
      <c r="E3892">
        <f>LN(D3892/参数实验室!$E$53)/参数实验室!$E$55</f>
        <v>0.68139187509297749</v>
      </c>
      <c r="F3892">
        <f t="shared" si="548"/>
        <v>1.0264077865273269</v>
      </c>
      <c r="G3892">
        <f>LN(F3892/参数实验室!$E$58)/参数实验室!$E$59</f>
        <v>-0.17684964075413404</v>
      </c>
      <c r="H3892" s="856">
        <f>INDEX(神经网络!$G$10:$BO$70,MATCH(ROUND(G3892*2,1)/2,神经网络!$E$10:$E$70,0),MATCH(ROUND(E3892*2,1)/2,神经网络!$G$8:$BO$8,0))</f>
        <v>1.9309572529427241</v>
      </c>
      <c r="I3892">
        <f t="shared" si="550"/>
        <v>10828192.222260805</v>
      </c>
      <c r="J3892">
        <f t="shared" si="551"/>
        <v>23059.068477743236</v>
      </c>
      <c r="K3892">
        <f t="shared" si="552"/>
        <v>469.58498053432845</v>
      </c>
      <c r="L3892" s="4">
        <f>MIN(MAX(L3891*(1+MAX(MIN(((B3892-B3891)/B3891)/($K$7*卓尔金历!$N$40),0),-卓尔金历!$M$43))+MIN(MAX(((B3892-B3891)/B3891)/($K$7*卓尔金历!$N$40),0),卓尔金历!$M$43),0),1)</f>
        <v>0.76682515808800567</v>
      </c>
      <c r="M3892" s="4">
        <f>MIN(MAX(M3891*(1+MAX(MIN(((B3892-B3891)/B3891)/($K$7*30),0),-卓尔金历!$M$43))+MIN(MAX(((B3892-B3891)/B3891)/($K$7*7),0),卓尔金历!$M$43),0),1)</f>
        <v>1</v>
      </c>
      <c r="N3892">
        <f t="shared" si="553"/>
        <v>1394758.5471547907</v>
      </c>
      <c r="O3892">
        <f t="shared" si="554"/>
        <v>6019356.9971083868</v>
      </c>
      <c r="P3892">
        <f t="shared" si="555"/>
        <v>2.3333868706986532E-2</v>
      </c>
      <c r="Q3892">
        <f t="shared" si="556"/>
        <v>2.9663874197669322E-2</v>
      </c>
      <c r="R3892">
        <f t="shared" si="557"/>
        <v>0.28237719135109451</v>
      </c>
      <c r="S3892">
        <f t="shared" si="549"/>
        <v>5790.6856399465842</v>
      </c>
      <c r="T3892" s="564">
        <f>IF((I3892-MAX(I$470:I3892))/MAX(I$470:I3892)&gt;T3891,T3891,(I3892-MAX(I$470:I3892))/MAX(I$470:I3892))</f>
        <v>-0.91338805338419748</v>
      </c>
      <c r="U3892" s="564">
        <f>IF((J3892-MAX(J$470:J3892))/MAX(J$470:J3892)&gt;U3891,U3891,(J3892-MAX(J$470:J3892))/MAX(J$470:J3892))</f>
        <v>-0.83569785939843477</v>
      </c>
      <c r="V3892" s="564">
        <f>IF((K3892-MAX(K$470:K3892))/MAX(K$470:K3892)&gt;V3891,V3891,(K3892-MAX(K$470:K3892))/MAX(K$470:K3892))</f>
        <v>-0.84885940676762139</v>
      </c>
      <c r="W3892" s="564">
        <f>IF((N3892-MAX(N$470:N3892))/MAX(N$470:N3892)&gt;W3891,W3891,(N3892-MAX(N$470:N3892))/MAX(N$470:N3892))</f>
        <v>-0.62788758315546067</v>
      </c>
      <c r="X3892" s="564">
        <f>IF((O3892-MAX(O$470:O3892))/MAX(O$470:O3892)&gt;X3891,X3891,(O3892-MAX(O$470:O3892))/MAX(O$470:O3892))</f>
        <v>-0.62788758315546067</v>
      </c>
    </row>
    <row r="3893" spans="1:24">
      <c r="A3893" s="799">
        <v>44295</v>
      </c>
      <c r="B3893">
        <v>58147.515576461301</v>
      </c>
      <c r="C3893">
        <v>59204.218046284797</v>
      </c>
      <c r="D3893">
        <v>3.2035761406000001</v>
      </c>
      <c r="E3893">
        <f>LN(D3893/参数实验室!$E$53)/参数实验室!$E$55</f>
        <v>0.68058033710682253</v>
      </c>
      <c r="F3893">
        <f t="shared" si="548"/>
        <v>1.0181727879402513</v>
      </c>
      <c r="G3893">
        <f>LN(F3893/参数实验室!$E$58)/参数实验室!$E$59</f>
        <v>-0.18107759413449079</v>
      </c>
      <c r="H3893" s="856">
        <f>INDEX(神经网络!$G$10:$BO$70,MATCH(ROUND(G3893*2,1)/2,神经网络!$E$10:$E$70,0),MATCH(ROUND(E3893*2,1)/2,神经网络!$G$8:$BO$8,0))</f>
        <v>1.9309572529427241</v>
      </c>
      <c r="I3893">
        <f t="shared" si="550"/>
        <v>10958150.971010571</v>
      </c>
      <c r="J3893">
        <f t="shared" si="551"/>
        <v>23202.392393145215</v>
      </c>
      <c r="K3893">
        <f t="shared" si="552"/>
        <v>472.28539132231839</v>
      </c>
      <c r="L3893" s="4">
        <f>MIN(MAX(L3892*(1+MAX(MIN(((B3893-B3892)/B3892)/($K$7*卓尔金历!$N$40),0),-卓尔金历!$M$43))+MIN(MAX(((B3893-B3892)/B3892)/($K$7*卓尔金历!$N$40),0),卓尔金历!$M$43),0),1)</f>
        <v>0.86179221591964339</v>
      </c>
      <c r="M3893" s="4">
        <f>MIN(MAX(M3892*(1+MAX(MIN(((B3893-B3892)/B3892)/($K$7*30),0),-卓尔金历!$M$43))+MIN(MAX(((B3893-B3892)/B3892)/($K$7*7),0),卓尔金历!$M$43),0),1)</f>
        <v>1</v>
      </c>
      <c r="N3893">
        <f t="shared" si="553"/>
        <v>1407594.9976071173</v>
      </c>
      <c r="O3893">
        <f t="shared" si="554"/>
        <v>6091600.6447612382</v>
      </c>
      <c r="P3893">
        <f t="shared" si="555"/>
        <v>6.2155119379742729E-3</v>
      </c>
      <c r="Q3893">
        <f t="shared" si="556"/>
        <v>2.9670961176488538E-2</v>
      </c>
      <c r="R3893">
        <f t="shared" si="557"/>
        <v>1</v>
      </c>
      <c r="S3893">
        <f t="shared" si="549"/>
        <v>5810.3106174548957</v>
      </c>
      <c r="T3893" s="564">
        <f>IF((I3893-MAX(I$470:I3893))/MAX(I$470:I3893)&gt;T3892,T3892,(I3893-MAX(I$470:I3893))/MAX(I$470:I3893))</f>
        <v>-0.91338805338419748</v>
      </c>
      <c r="U3893" s="564">
        <f>IF((J3893-MAX(J$470:J3893))/MAX(J$470:J3893)&gt;U3892,U3892,(J3893-MAX(J$470:J3893))/MAX(J$470:J3893))</f>
        <v>-0.83569785939843477</v>
      </c>
      <c r="V3893" s="564">
        <f>IF((K3893-MAX(K$470:K3893))/MAX(K$470:K3893)&gt;V3892,V3892,(K3893-MAX(K$470:K3893))/MAX(K$470:K3893))</f>
        <v>-0.84885940676762139</v>
      </c>
      <c r="W3893" s="564">
        <f>IF((N3893-MAX(N$470:N3893))/MAX(N$470:N3893)&gt;W3892,W3892,(N3893-MAX(N$470:N3893))/MAX(N$470:N3893))</f>
        <v>-0.62788758315546067</v>
      </c>
      <c r="X3893" s="564">
        <f>IF((O3893-MAX(O$470:O3893))/MAX(O$470:O3893)&gt;X3892,X3892,(O3893-MAX(O$470:O3893))/MAX(O$470:O3893))</f>
        <v>-0.62788758315546067</v>
      </c>
    </row>
    <row r="3894" spans="1:24">
      <c r="A3894" s="799">
        <v>44296</v>
      </c>
      <c r="B3894">
        <v>60307.738534647702</v>
      </c>
      <c r="C3894">
        <v>58228.510440279002</v>
      </c>
      <c r="D3894">
        <v>3.2756510400000001</v>
      </c>
      <c r="E3894">
        <f>LN(D3894/参数实验室!$E$53)/参数实验室!$E$55</f>
        <v>0.70682856134356409</v>
      </c>
      <c r="F3894">
        <f t="shared" si="548"/>
        <v>0.96552302996448536</v>
      </c>
      <c r="G3894">
        <f>LN(F3894/参数实验室!$E$58)/参数实验室!$E$59</f>
        <v>-0.20894469907471663</v>
      </c>
      <c r="H3894" s="856">
        <f>INDEX(神经网络!$G$10:$BO$70,MATCH(ROUND(G3894*2,1)/2,神经网络!$E$10:$E$70,0),MATCH(ROUND(E3894*2,1)/2,神经网络!$G$8:$BO$8,0))</f>
        <v>1.9309572529427241</v>
      </c>
      <c r="I3894">
        <f t="shared" si="550"/>
        <v>11744250.167991273</v>
      </c>
      <c r="J3894">
        <f t="shared" si="551"/>
        <v>24064.378330732063</v>
      </c>
      <c r="K3894">
        <f t="shared" si="552"/>
        <v>488.03463802731864</v>
      </c>
      <c r="L3894" s="4">
        <f>MIN(MAX(L3893*(1+MAX(MIN(((B3894-B3893)/B3893)/($K$7*卓尔金历!$N$40),0),-卓尔金历!$M$43))+MIN(MAX(((B3894-B3893)/B3893)/($K$7*卓尔金历!$N$40),0),卓尔金历!$M$43),0),1)</f>
        <v>1</v>
      </c>
      <c r="M3894" s="4">
        <f>MIN(MAX(M3893*(1+MAX(MIN(((B3894-B3893)/B3893)/($K$7*30),0),-卓尔金历!$M$43))+MIN(MAX(((B3894-B3893)/B3893)/($K$7*7),0),卓尔金历!$M$43),0),1)</f>
        <v>1</v>
      </c>
      <c r="N3894">
        <f t="shared" si="553"/>
        <v>1494615.2532846031</v>
      </c>
      <c r="O3894">
        <f t="shared" si="554"/>
        <v>6528590.6431507496</v>
      </c>
      <c r="P3894">
        <f t="shared" si="555"/>
        <v>3.7150735276828939E-2</v>
      </c>
      <c r="Q3894">
        <f t="shared" si="556"/>
        <v>3.0722858366725333E-2</v>
      </c>
      <c r="R3894">
        <f t="shared" si="557"/>
        <v>2.4034172457828386E-2</v>
      </c>
      <c r="S3894">
        <f t="shared" si="549"/>
        <v>6227.1218589383234</v>
      </c>
      <c r="T3894" s="564">
        <f>IF((I3894-MAX(I$470:I3894))/MAX(I$470:I3894)&gt;T3893,T3893,(I3894-MAX(I$470:I3894))/MAX(I$470:I3894))</f>
        <v>-0.91338805338419748</v>
      </c>
      <c r="U3894" s="564">
        <f>IF((J3894-MAX(J$470:J3894))/MAX(J$470:J3894)&gt;U3893,U3893,(J3894-MAX(J$470:J3894))/MAX(J$470:J3894))</f>
        <v>-0.83569785939843477</v>
      </c>
      <c r="V3894" s="564">
        <f>IF((K3894-MAX(K$470:K3894))/MAX(K$470:K3894)&gt;V3893,V3893,(K3894-MAX(K$470:K3894))/MAX(K$470:K3894))</f>
        <v>-0.84885940676762139</v>
      </c>
      <c r="W3894" s="564">
        <f>IF((N3894-MAX(N$470:N3894))/MAX(N$470:N3894)&gt;W3893,W3893,(N3894-MAX(N$470:N3894))/MAX(N$470:N3894))</f>
        <v>-0.62788758315546067</v>
      </c>
      <c r="X3894" s="564">
        <f>IF((O3894-MAX(O$470:O3894))/MAX(O$470:O3894)&gt;X3893,X3893,(O3894-MAX(O$470:O3894))/MAX(O$470:O3894))</f>
        <v>-0.62788758315546067</v>
      </c>
    </row>
    <row r="3895" spans="1:24">
      <c r="A3895" s="799">
        <v>44297</v>
      </c>
      <c r="B3895">
        <v>59716.8859842366</v>
      </c>
      <c r="C3895">
        <v>58432.849307877601</v>
      </c>
      <c r="D3895">
        <v>3.2835370199999998</v>
      </c>
      <c r="E3895">
        <f>LN(D3895/参数实验室!$E$53)/参数实验室!$E$55</f>
        <v>0.70966534994741881</v>
      </c>
      <c r="F3895">
        <f t="shared" si="548"/>
        <v>0.97849792976984862</v>
      </c>
      <c r="G3895">
        <f>LN(F3895/参数实验室!$E$58)/参数实验室!$E$59</f>
        <v>-0.20193857117492478</v>
      </c>
      <c r="H3895" s="856">
        <f>INDEX(神经网络!$G$10:$BO$70,MATCH(ROUND(G3895*2,1)/2,神经网络!$E$10:$E$70,0),MATCH(ROUND(E3895*2,1)/2,神经网络!$G$8:$BO$8,0))</f>
        <v>1.9309572529427241</v>
      </c>
      <c r="I3895">
        <f t="shared" si="550"/>
        <v>11522070.647815153</v>
      </c>
      <c r="J3895">
        <f t="shared" si="551"/>
        <v>23828.612579001841</v>
      </c>
      <c r="K3895">
        <f t="shared" si="552"/>
        <v>483.53930005847627</v>
      </c>
      <c r="L3895" s="4">
        <f>MIN(MAX(L3894*(1+MAX(MIN(((B3895-B3894)/B3894)/($K$7*卓尔金历!$N$40),0),-卓尔金历!$M$43))+MIN(MAX(((B3895-B3894)/B3894)/($K$7*卓尔金历!$N$40),0),卓尔金历!$M$43),0),1)</f>
        <v>0.85030677337837046</v>
      </c>
      <c r="M3895" s="4">
        <f>MIN(MAX(M3894*(1+MAX(MIN(((B3895-B3894)/B3894)/($K$7*30),0),-卓尔金历!$M$43))+MIN(MAX(((B3895-B3894)/B3894)/($K$7*7),0),卓尔金历!$M$43),0),1)</f>
        <v>0.92515338668918523</v>
      </c>
      <c r="N3895">
        <f t="shared" si="553"/>
        <v>1466339.8934214641</v>
      </c>
      <c r="O3895">
        <f t="shared" si="554"/>
        <v>6405081.7672520643</v>
      </c>
      <c r="P3895">
        <f t="shared" si="555"/>
        <v>-9.7972924332363816E-3</v>
      </c>
      <c r="Q3895">
        <f t="shared" si="556"/>
        <v>2.982491379902328E-2</v>
      </c>
      <c r="R3895">
        <f t="shared" si="557"/>
        <v>1</v>
      </c>
      <c r="S3895">
        <f t="shared" si="549"/>
        <v>6224.2904977895578</v>
      </c>
      <c r="T3895" s="564">
        <f>IF((I3895-MAX(I$470:I3895))/MAX(I$470:I3895)&gt;T3894,T3894,(I3895-MAX(I$470:I3895))/MAX(I$470:I3895))</f>
        <v>-0.91338805338419748</v>
      </c>
      <c r="U3895" s="564">
        <f>IF((J3895-MAX(J$470:J3895))/MAX(J$470:J3895)&gt;U3894,U3894,(J3895-MAX(J$470:J3895))/MAX(J$470:J3895))</f>
        <v>-0.83569785939843477</v>
      </c>
      <c r="V3895" s="564">
        <f>IF((K3895-MAX(K$470:K3895))/MAX(K$470:K3895)&gt;V3894,V3894,(K3895-MAX(K$470:K3895))/MAX(K$470:K3895))</f>
        <v>-0.84885940676762139</v>
      </c>
      <c r="W3895" s="564">
        <f>IF((N3895-MAX(N$470:N3895))/MAX(N$470:N3895)&gt;W3894,W3894,(N3895-MAX(N$470:N3895))/MAX(N$470:N3895))</f>
        <v>-0.62788758315546067</v>
      </c>
      <c r="X3895" s="564">
        <f>IF((O3895-MAX(O$470:O3895))/MAX(O$470:O3895)&gt;X3894,X3894,(O3895-MAX(O$470:O3895))/MAX(O$470:O3895))</f>
        <v>-0.62788758315546067</v>
      </c>
    </row>
    <row r="3896" spans="1:24">
      <c r="A3896" s="799">
        <v>44298</v>
      </c>
      <c r="B3896">
        <v>59917.892700222103</v>
      </c>
      <c r="C3896">
        <v>58402.620707618502</v>
      </c>
      <c r="D3896">
        <v>3.26759859</v>
      </c>
      <c r="E3896">
        <f>LN(D3896/参数实验室!$E$53)/参数实验室!$E$55</f>
        <v>0.70392483327494837</v>
      </c>
      <c r="F3896">
        <f t="shared" si="548"/>
        <v>0.97471085973959859</v>
      </c>
      <c r="G3896">
        <f>LN(F3896/参数实验室!$E$58)/参数实验室!$E$59</f>
        <v>-0.20397384924477591</v>
      </c>
      <c r="H3896" s="856">
        <f>INDEX(神经网络!$G$10:$BO$70,MATCH(ROUND(G3896*2,1)/2,神经网络!$E$10:$E$70,0),MATCH(ROUND(E3896*2,1)/2,神经网络!$G$8:$BO$8,0))</f>
        <v>1.9309572529427241</v>
      </c>
      <c r="I3896">
        <f t="shared" si="550"/>
        <v>11596959.402493002</v>
      </c>
      <c r="J3896">
        <f t="shared" si="551"/>
        <v>23908.819560361524</v>
      </c>
      <c r="K3896">
        <f t="shared" si="552"/>
        <v>485.04943429827972</v>
      </c>
      <c r="L3896" s="4">
        <f>MIN(MAX(L3895*(1+MAX(MIN(((B3896-B3895)/B3895)/($K$7*卓尔金历!$N$40),0),-卓尔金历!$M$43))+MIN(MAX(((B3896-B3895)/B3895)/($K$7*卓尔金历!$N$40),0),卓尔金历!$M$43),0),1)</f>
        <v>0.90173594082279596</v>
      </c>
      <c r="M3896" s="4">
        <f>MIN(MAX(M3895*(1+MAX(MIN(((B3896-B3895)/B3895)/($K$7*30),0),-卓尔金历!$M$43))+MIN(MAX(((B3896-B3895)/B3895)/($K$7*7),0),卓尔金历!$M$43),0),1)</f>
        <v>1</v>
      </c>
      <c r="N3896">
        <f t="shared" si="553"/>
        <v>1474443.8361619003</v>
      </c>
      <c r="O3896">
        <f t="shared" si="554"/>
        <v>6443596.2878373498</v>
      </c>
      <c r="P3896">
        <f t="shared" si="555"/>
        <v>3.3659946039142435E-3</v>
      </c>
      <c r="Q3896">
        <f t="shared" si="556"/>
        <v>2.9814171620804967E-2</v>
      </c>
      <c r="R3896">
        <f t="shared" si="557"/>
        <v>1</v>
      </c>
      <c r="S3896">
        <f t="shared" si="549"/>
        <v>6264.745844608753</v>
      </c>
      <c r="T3896" s="564">
        <f>IF((I3896-MAX(I$470:I3896))/MAX(I$470:I3896)&gt;T3895,T3895,(I3896-MAX(I$470:I3896))/MAX(I$470:I3896))</f>
        <v>-0.91338805338419748</v>
      </c>
      <c r="U3896" s="564">
        <f>IF((J3896-MAX(J$470:J3896))/MAX(J$470:J3896)&gt;U3895,U3895,(J3896-MAX(J$470:J3896))/MAX(J$470:J3896))</f>
        <v>-0.83569785939843477</v>
      </c>
      <c r="V3896" s="564">
        <f>IF((K3896-MAX(K$470:K3896))/MAX(K$470:K3896)&gt;V3895,V3895,(K3896-MAX(K$470:K3896))/MAX(K$470:K3896))</f>
        <v>-0.84885940676762139</v>
      </c>
      <c r="W3896" s="564">
        <f>IF((N3896-MAX(N$470:N3896))/MAX(N$470:N3896)&gt;W3895,W3895,(N3896-MAX(N$470:N3896))/MAX(N$470:N3896))</f>
        <v>-0.62788758315546067</v>
      </c>
      <c r="X3896" s="564">
        <f>IF((O3896-MAX(O$470:O3896))/MAX(O$470:O3896)&gt;X3895,X3895,(O3896-MAX(O$470:O3896))/MAX(O$470:O3896))</f>
        <v>-0.62788758315546067</v>
      </c>
    </row>
    <row r="3897" spans="1:24">
      <c r="A3897" s="799">
        <v>44299</v>
      </c>
      <c r="B3897">
        <v>63212.156271906402</v>
      </c>
      <c r="C3897">
        <v>59002.487005399802</v>
      </c>
      <c r="D3897">
        <v>3.4345307900000002</v>
      </c>
      <c r="E3897">
        <f>LN(D3897/参数实验室!$E$53)/参数实验室!$E$55</f>
        <v>0.76270601573364838</v>
      </c>
      <c r="F3897">
        <f t="shared" si="548"/>
        <v>0.93340411853063909</v>
      </c>
      <c r="G3897">
        <f>LN(F3897/参数实验室!$E$58)/参数实验室!$E$59</f>
        <v>-0.22670140810258904</v>
      </c>
      <c r="H3897" s="856">
        <f>INDEX(神经网络!$G$10:$BO$70,MATCH(ROUND(G3897*2,1)/2,神经网络!$E$10:$E$70,0),MATCH(ROUND(E3897*2,1)/2,神经网络!$G$8:$BO$8,0))</f>
        <v>1.9567403635001419</v>
      </c>
      <c r="I3897">
        <f t="shared" si="550"/>
        <v>12828131.060448948</v>
      </c>
      <c r="J3897">
        <f t="shared" si="551"/>
        <v>25223.31761378489</v>
      </c>
      <c r="K3897">
        <f t="shared" si="552"/>
        <v>508.58222763837375</v>
      </c>
      <c r="L3897" s="4">
        <f>MIN(MAX(L3896*(1+MAX(MIN(((B3897-B3896)/B3896)/($K$7*卓尔金历!$N$40),0),-卓尔金历!$M$43))+MIN(MAX(((B3897-B3896)/B3896)/($K$7*卓尔金历!$N$40),0),卓尔金历!$M$43),0),1)</f>
        <v>1</v>
      </c>
      <c r="M3897" s="4">
        <f>MIN(MAX(M3896*(1+MAX(MIN(((B3897-B3896)/B3896)/($K$7*30),0),-卓尔金历!$M$43))+MIN(MAX(((B3897-B3896)/B3896)/($K$7*7),0),卓尔金历!$M$43),0),1)</f>
        <v>1</v>
      </c>
      <c r="N3897">
        <f t="shared" si="553"/>
        <v>1615594.2275112106</v>
      </c>
      <c r="O3897">
        <f t="shared" si="554"/>
        <v>7127669.8324243985</v>
      </c>
      <c r="P3897">
        <f t="shared" si="555"/>
        <v>5.4979630010787886E-2</v>
      </c>
      <c r="Q3897">
        <f t="shared" si="556"/>
        <v>3.0509584227147404E-2</v>
      </c>
      <c r="R3897">
        <f t="shared" si="557"/>
        <v>1.2255953560091137E-2</v>
      </c>
      <c r="S3897">
        <f t="shared" si="549"/>
        <v>6929.8320331937994</v>
      </c>
      <c r="T3897" s="564">
        <f>IF((I3897-MAX(I$470:I3897))/MAX(I$470:I3897)&gt;T3896,T3896,(I3897-MAX(I$470:I3897))/MAX(I$470:I3897))</f>
        <v>-0.91338805338419748</v>
      </c>
      <c r="U3897" s="564">
        <f>IF((J3897-MAX(J$470:J3897))/MAX(J$470:J3897)&gt;U3896,U3896,(J3897-MAX(J$470:J3897))/MAX(J$470:J3897))</f>
        <v>-0.83569785939843477</v>
      </c>
      <c r="V3897" s="564">
        <f>IF((K3897-MAX(K$470:K3897))/MAX(K$470:K3897)&gt;V3896,V3896,(K3897-MAX(K$470:K3897))/MAX(K$470:K3897))</f>
        <v>-0.84885940676762139</v>
      </c>
      <c r="W3897" s="564">
        <f>IF((N3897-MAX(N$470:N3897))/MAX(N$470:N3897)&gt;W3896,W3896,(N3897-MAX(N$470:N3897))/MAX(N$470:N3897))</f>
        <v>-0.62788758315546067</v>
      </c>
      <c r="X3897" s="564">
        <f>IF((O3897-MAX(O$470:O3897))/MAX(O$470:O3897)&gt;X3896,X3896,(O3897-MAX(O$470:O3897))/MAX(O$470:O3897))</f>
        <v>-0.62788758315546067</v>
      </c>
    </row>
    <row r="3898" spans="1:24">
      <c r="A3898" s="799">
        <v>44300</v>
      </c>
      <c r="B3898">
        <v>62991.807915435798</v>
      </c>
      <c r="C3898">
        <v>59529.737647770598</v>
      </c>
      <c r="D3898">
        <v>3.3762240499999998</v>
      </c>
      <c r="E3898">
        <f>LN(D3898/参数实验室!$E$53)/参数实验室!$E$55</f>
        <v>0.74250583298166162</v>
      </c>
      <c r="F3898">
        <f t="shared" si="548"/>
        <v>0.94503935698570674</v>
      </c>
      <c r="G3898">
        <f>LN(F3898/参数实验室!$E$58)/参数实验室!$E$59</f>
        <v>-0.22019934389250073</v>
      </c>
      <c r="H3898" s="856">
        <f>INDEX(神经网络!$G$10:$BO$70,MATCH(ROUND(G3898*2,1)/2,神经网络!$E$10:$E$70,0),MATCH(ROUND(E3898*2,1)/2,神经网络!$G$8:$BO$8,0))</f>
        <v>1.9904890122838315</v>
      </c>
      <c r="I3898">
        <f t="shared" si="550"/>
        <v>12740631.513880325</v>
      </c>
      <c r="J3898">
        <f t="shared" si="551"/>
        <v>25135.392807723438</v>
      </c>
      <c r="K3898">
        <f t="shared" si="552"/>
        <v>506.88014352278066</v>
      </c>
      <c r="L3898" s="4">
        <f>MIN(MAX(L3897*(1+MAX(MIN(((B3898-B3897)/B3897)/($K$7*卓尔金历!$N$40),0),-卓尔金历!$M$43))+MIN(MAX(((B3898-B3897)/B3897)/($K$7*卓尔金历!$N$40),0),卓尔金历!$M$43),0),1)</f>
        <v>0.94673949390541956</v>
      </c>
      <c r="M3898" s="4">
        <f>MIN(MAX(M3897*(1+MAX(MIN(((B3898-B3897)/B3897)/($K$7*30),0),-卓尔金历!$M$43))+MIN(MAX(((B3898-B3897)/B3897)/($K$7*7),0),卓尔金历!$M$43),0),1)</f>
        <v>0.97336974695270984</v>
      </c>
      <c r="N3898">
        <f t="shared" si="553"/>
        <v>1604574.4022786822</v>
      </c>
      <c r="O3898">
        <f t="shared" si="554"/>
        <v>7079052.6273546079</v>
      </c>
      <c r="P3898">
        <f t="shared" si="555"/>
        <v>-3.485854137339942E-3</v>
      </c>
      <c r="Q3898">
        <f t="shared" si="556"/>
        <v>3.0448077539554502E-2</v>
      </c>
      <c r="R3898">
        <f t="shared" si="557"/>
        <v>1</v>
      </c>
      <c r="S3898">
        <f t="shared" si="549"/>
        <v>6929.2527215881282</v>
      </c>
      <c r="T3898" s="564">
        <f>IF((I3898-MAX(I$470:I3898))/MAX(I$470:I3898)&gt;T3897,T3897,(I3898-MAX(I$470:I3898))/MAX(I$470:I3898))</f>
        <v>-0.91338805338419748</v>
      </c>
      <c r="U3898" s="564">
        <f>IF((J3898-MAX(J$470:J3898))/MAX(J$470:J3898)&gt;U3897,U3897,(J3898-MAX(J$470:J3898))/MAX(J$470:J3898))</f>
        <v>-0.83569785939843477</v>
      </c>
      <c r="V3898" s="564">
        <f>IF((K3898-MAX(K$470:K3898))/MAX(K$470:K3898)&gt;V3897,V3897,(K3898-MAX(K$470:K3898))/MAX(K$470:K3898))</f>
        <v>-0.84885940676762139</v>
      </c>
      <c r="W3898" s="564">
        <f>IF((N3898-MAX(N$470:N3898))/MAX(N$470:N3898)&gt;W3897,W3897,(N3898-MAX(N$470:N3898))/MAX(N$470:N3898))</f>
        <v>-0.62788758315546067</v>
      </c>
      <c r="X3898" s="564">
        <f>IF((O3898-MAX(O$470:O3898))/MAX(O$470:O3898)&gt;X3897,X3897,(O3898-MAX(O$470:O3898))/MAX(O$470:O3898))</f>
        <v>-0.62788758315546067</v>
      </c>
    </row>
    <row r="3899" spans="1:24">
      <c r="A3899" s="799">
        <v>44301</v>
      </c>
      <c r="B3899">
        <v>62725.783808222601</v>
      </c>
      <c r="C3899">
        <v>58626.640201233902</v>
      </c>
      <c r="D3899">
        <v>3.3741988300000001</v>
      </c>
      <c r="E3899">
        <f>LN(D3899/参数实验室!$E$53)/参数实验室!$E$55</f>
        <v>0.74179794845978364</v>
      </c>
      <c r="F3899">
        <f t="shared" si="548"/>
        <v>0.93464978262334042</v>
      </c>
      <c r="G3899">
        <f>LN(F3899/参数实验室!$E$58)/参数实验室!$E$59</f>
        <v>-0.22600143693807828</v>
      </c>
      <c r="H3899" s="856">
        <f>INDEX(神经网络!$G$10:$BO$70,MATCH(ROUND(G3899*2,1)/2,神经网络!$E$10:$E$70,0),MATCH(ROUND(E3899*2,1)/2,神经网络!$G$8:$BO$8,0))</f>
        <v>1.9567403635001419</v>
      </c>
      <c r="I3899">
        <f t="shared" si="550"/>
        <v>12633531.960202288</v>
      </c>
      <c r="J3899">
        <f t="shared" si="551"/>
        <v>25029.242172388378</v>
      </c>
      <c r="K3899">
        <f t="shared" si="552"/>
        <v>504.75087792067785</v>
      </c>
      <c r="L3899" s="4">
        <f>MIN(MAX(L3898*(1+MAX(MIN(((B3899-B3898)/B3898)/($K$7*卓尔金历!$N$40),0),-卓尔金历!$M$43))+MIN(MAX(((B3899-B3898)/B3898)/($K$7*卓尔金历!$N$40),0),卓尔金历!$M$43),0),1)</f>
        <v>0.88565042665787319</v>
      </c>
      <c r="M3899" s="4">
        <f>MIN(MAX(M3898*(1+MAX(MIN(((B3899-B3898)/B3898)/($K$7*30),0),-卓尔金历!$M$43))+MIN(MAX(((B3899-B3898)/B3898)/($K$7*7),0),卓尔金历!$M$43),0),1)</f>
        <v>0.94196604492532743</v>
      </c>
      <c r="N3899">
        <f t="shared" si="553"/>
        <v>1591804.5151139759</v>
      </c>
      <c r="O3899">
        <f t="shared" si="554"/>
        <v>7021129.8082641847</v>
      </c>
      <c r="P3899">
        <f t="shared" si="555"/>
        <v>-4.2231540261604365E-3</v>
      </c>
      <c r="Q3899">
        <f t="shared" si="556"/>
        <v>2.1124653607012822E-2</v>
      </c>
      <c r="R3899">
        <f t="shared" si="557"/>
        <v>1</v>
      </c>
      <c r="S3899">
        <f t="shared" si="549"/>
        <v>6871.0044414305939</v>
      </c>
      <c r="T3899" s="564">
        <f>IF((I3899-MAX(I$470:I3899))/MAX(I$470:I3899)&gt;T3898,T3898,(I3899-MAX(I$470:I3899))/MAX(I$470:I3899))</f>
        <v>-0.91338805338419748</v>
      </c>
      <c r="U3899" s="564">
        <f>IF((J3899-MAX(J$470:J3899))/MAX(J$470:J3899)&gt;U3898,U3898,(J3899-MAX(J$470:J3899))/MAX(J$470:J3899))</f>
        <v>-0.83569785939843477</v>
      </c>
      <c r="V3899" s="564">
        <f>IF((K3899-MAX(K$470:K3899))/MAX(K$470:K3899)&gt;V3898,V3898,(K3899-MAX(K$470:K3899))/MAX(K$470:K3899))</f>
        <v>-0.84885940676762139</v>
      </c>
      <c r="W3899" s="564">
        <f>IF((N3899-MAX(N$470:N3899))/MAX(N$470:N3899)&gt;W3898,W3898,(N3899-MAX(N$470:N3899))/MAX(N$470:N3899))</f>
        <v>-0.62788758315546067</v>
      </c>
      <c r="X3899" s="564">
        <f>IF((O3899-MAX(O$470:O3899))/MAX(O$470:O3899)&gt;X3898,X3898,(O3899-MAX(O$470:O3899))/MAX(O$470:O3899))</f>
        <v>-0.62788758315546067</v>
      </c>
    </row>
    <row r="3900" spans="1:24">
      <c r="A3900" s="799">
        <v>44302</v>
      </c>
      <c r="B3900">
        <v>61470.921331876001</v>
      </c>
      <c r="C3900">
        <v>59950.441299846498</v>
      </c>
      <c r="D3900">
        <v>3.2766491700000002</v>
      </c>
      <c r="E3900">
        <f>LN(D3900/参数实验室!$E$53)/参数实验室!$E$55</f>
        <v>0.70718799149077172</v>
      </c>
      <c r="F3900">
        <f t="shared" si="548"/>
        <v>0.97526505217287096</v>
      </c>
      <c r="G3900">
        <f>LN(F3900/参数实验室!$E$58)/参数实验室!$E$59</f>
        <v>-0.20367551720354116</v>
      </c>
      <c r="H3900" s="856">
        <f>INDEX(神经网络!$G$10:$BO$70,MATCH(ROUND(G3900*2,1)/2,神经网络!$E$10:$E$70,0),MATCH(ROUND(E3900*2,1)/2,神经网络!$G$8:$BO$8,0))</f>
        <v>1.9309572529427241</v>
      </c>
      <c r="I3900">
        <f t="shared" si="550"/>
        <v>12138984.446131747</v>
      </c>
      <c r="J3900">
        <f t="shared" si="551"/>
        <v>24528.518946520853</v>
      </c>
      <c r="K3900">
        <f t="shared" si="552"/>
        <v>494.89267870588458</v>
      </c>
      <c r="L3900" s="4">
        <f>MIN(MAX(L3899*(1+MAX(MIN(((B3900-B3899)/B3899)/($K$7*卓尔金历!$N$40),0),-卓尔金历!$M$43))+MIN(MAX(((B3900-B3899)/B3899)/($K$7*卓尔金历!$N$40),0),卓尔金历!$M$43),0),1)</f>
        <v>0.61493783866499274</v>
      </c>
      <c r="M3900" s="4">
        <f>MIN(MAX(M3899*(1+MAX(MIN(((B3900-B3899)/B3899)/($K$7*30),0),-卓尔金历!$M$43))+MIN(MAX(((B3900-B3899)/B3899)/($K$7*7),0),卓尔金历!$M$43),0),1)</f>
        <v>0.79800288624124049</v>
      </c>
      <c r="N3900">
        <f t="shared" si="553"/>
        <v>1536617.7029252916</v>
      </c>
      <c r="O3900">
        <f t="shared" si="554"/>
        <v>6762233.7190019544</v>
      </c>
      <c r="P3900">
        <f t="shared" si="555"/>
        <v>-2.0005528829790439E-2</v>
      </c>
      <c r="Q3900">
        <f t="shared" si="556"/>
        <v>2.0562215541860825E-2</v>
      </c>
      <c r="R3900">
        <f t="shared" si="557"/>
        <v>4.9150969546207554E-2</v>
      </c>
      <c r="S3900">
        <f t="shared" si="549"/>
        <v>6602.034673009417</v>
      </c>
      <c r="T3900" s="564">
        <f>IF((I3900-MAX(I$470:I3900))/MAX(I$470:I3900)&gt;T3899,T3899,(I3900-MAX(I$470:I3900))/MAX(I$470:I3900))</f>
        <v>-0.91338805338419748</v>
      </c>
      <c r="U3900" s="564">
        <f>IF((J3900-MAX(J$470:J3900))/MAX(J$470:J3900)&gt;U3899,U3899,(J3900-MAX(J$470:J3900))/MAX(J$470:J3900))</f>
        <v>-0.83569785939843477</v>
      </c>
      <c r="V3900" s="564">
        <f>IF((K3900-MAX(K$470:K3900))/MAX(K$470:K3900)&gt;V3899,V3899,(K3900-MAX(K$470:K3900))/MAX(K$470:K3900))</f>
        <v>-0.84885940676762139</v>
      </c>
      <c r="W3900" s="564">
        <f>IF((N3900-MAX(N$470:N3900))/MAX(N$470:N3900)&gt;W3899,W3899,(N3900-MAX(N$470:N3900))/MAX(N$470:N3900))</f>
        <v>-0.62788758315546067</v>
      </c>
      <c r="X3900" s="564">
        <f>IF((O3900-MAX(O$470:O3900))/MAX(O$470:O3900)&gt;X3899,X3899,(O3900-MAX(O$470:O3900))/MAX(O$470:O3900))</f>
        <v>-0.62788758315546067</v>
      </c>
    </row>
    <row r="3901" spans="1:24">
      <c r="A3901" s="799">
        <v>44303</v>
      </c>
      <c r="B3901">
        <v>60321.929523893297</v>
      </c>
      <c r="C3901">
        <v>62497.471790675598</v>
      </c>
      <c r="D3901">
        <v>3.1996273799999999</v>
      </c>
      <c r="E3901">
        <f>LN(D3901/参数实验室!$E$53)/参数实验室!$E$55</f>
        <v>0.67912526428176423</v>
      </c>
      <c r="F3901">
        <f t="shared" si="548"/>
        <v>1.0360655284728679</v>
      </c>
      <c r="G3901">
        <f>LN(F3901/参数实验室!$E$58)/参数实验室!$E$59</f>
        <v>-0.17193423950360381</v>
      </c>
      <c r="H3901" s="856">
        <f>INDEX(神经网络!$G$10:$BO$70,MATCH(ROUND(G3901*2,1)/2,神经网络!$E$10:$E$70,0),MATCH(ROUND(E3901*2,1)/2,神经网络!$G$8:$BO$8,0))</f>
        <v>1.959952816609847</v>
      </c>
      <c r="I3901">
        <f t="shared" si="550"/>
        <v>11700855.220064737</v>
      </c>
      <c r="J3901">
        <f t="shared" si="551"/>
        <v>24070.040909737523</v>
      </c>
      <c r="K3901">
        <f t="shared" si="552"/>
        <v>486.11696440163348</v>
      </c>
      <c r="L3901" s="4">
        <f>MIN(MAX(L3900*(1+MAX(MIN(((B3901-B3900)/B3900)/($K$7*卓尔金历!$N$40),0),-卓尔金历!$M$43))+MIN(MAX(((B3901-B3900)/B3900)/($K$7*卓尔金历!$N$40),0),卓尔金历!$M$43),0),1)</f>
        <v>0.43931762329827151</v>
      </c>
      <c r="M3901" s="4">
        <f>MIN(MAX(M3900*(1+MAX(MIN(((B3901-B3900)/B3900)/($K$7*30),0),-卓尔金历!$M$43))+MIN(MAX(((B3901-B3900)/B3900)/($K$7*7),0),卓尔金历!$M$43),0),1)</f>
        <v>0.68405198752178431</v>
      </c>
      <c r="N3901">
        <f t="shared" si="553"/>
        <v>1502512.7920607151</v>
      </c>
      <c r="O3901">
        <f t="shared" si="554"/>
        <v>6567467.1075253068</v>
      </c>
      <c r="P3901">
        <f t="shared" si="555"/>
        <v>-1.8691631475301958E-2</v>
      </c>
      <c r="Q3901">
        <f t="shared" si="556"/>
        <v>2.0556710569244182E-2</v>
      </c>
      <c r="R3901">
        <f t="shared" si="557"/>
        <v>0.11762944627321983</v>
      </c>
      <c r="S3901">
        <f t="shared" si="549"/>
        <v>6590.3227081837376</v>
      </c>
      <c r="T3901" s="564">
        <f>IF((I3901-MAX(I$470:I3901))/MAX(I$470:I3901)&gt;T3900,T3900,(I3901-MAX(I$470:I3901))/MAX(I$470:I3901))</f>
        <v>-0.91338805338419748</v>
      </c>
      <c r="U3901" s="564">
        <f>IF((J3901-MAX(J$470:J3901))/MAX(J$470:J3901)&gt;U3900,U3900,(J3901-MAX(J$470:J3901))/MAX(J$470:J3901))</f>
        <v>-0.83569785939843477</v>
      </c>
      <c r="V3901" s="564">
        <f>IF((K3901-MAX(K$470:K3901))/MAX(K$470:K3901)&gt;V3900,V3900,(K3901-MAX(K$470:K3901))/MAX(K$470:K3901))</f>
        <v>-0.84885940676762139</v>
      </c>
      <c r="W3901" s="564">
        <f>IF((N3901-MAX(N$470:N3901))/MAX(N$470:N3901)&gt;W3900,W3900,(N3901-MAX(N$470:N3901))/MAX(N$470:N3901))</f>
        <v>-0.62788758315546067</v>
      </c>
      <c r="X3901" s="564">
        <f>IF((O3901-MAX(O$470:O3901))/MAX(O$470:O3901)&gt;X3900,X3900,(O3901-MAX(O$470:O3901))/MAX(O$470:O3901))</f>
        <v>-0.62788758315546067</v>
      </c>
    </row>
    <row r="3902" spans="1:24">
      <c r="A3902" s="799">
        <v>44304</v>
      </c>
      <c r="B3902">
        <v>55478.688129603397</v>
      </c>
      <c r="C3902">
        <v>63545.022986731798</v>
      </c>
      <c r="D3902">
        <v>2.9598418795999999</v>
      </c>
      <c r="E3902">
        <f>LN(D3902/参数实验室!$E$53)/参数实验室!$E$55</f>
        <v>0.58722424273280471</v>
      </c>
      <c r="F3902">
        <f t="shared" si="548"/>
        <v>1.1453951982116932</v>
      </c>
      <c r="G3902">
        <f>LN(F3902/参数实验室!$E$58)/参数实验室!$E$59</f>
        <v>-0.11928123068128703</v>
      </c>
      <c r="H3902" s="856">
        <f>INDEX(神经网络!$G$10:$BO$70,MATCH(ROUND(G3902*2,1)/2,神经网络!$E$10:$E$70,0),MATCH(ROUND(E3902*2,1)/2,神经网络!$G$8:$BO$8,0))</f>
        <v>1.8661238013833901</v>
      </c>
      <c r="I3902">
        <f t="shared" si="550"/>
        <v>9859557.0878993943</v>
      </c>
      <c r="J3902">
        <f t="shared" si="551"/>
        <v>22137.459849807794</v>
      </c>
      <c r="K3902">
        <f t="shared" si="552"/>
        <v>445.37888063001947</v>
      </c>
      <c r="L3902" s="4">
        <f>MIN(MAX(L3901*(1+MAX(MIN(((B3902-B3901)/B3901)/($K$7*卓尔金历!$N$40),0),-卓尔金历!$M$43))+MIN(MAX(((B3902-B3901)/B3901)/($K$7*卓尔金历!$N$40),0),卓尔金历!$M$43),0),1)</f>
        <v>0</v>
      </c>
      <c r="M3902" s="4">
        <f>MIN(MAX(M3901*(1+MAX(MIN(((B3902-B3901)/B3901)/($K$7*30),0),-卓尔金历!$M$43))+MIN(MAX(((B3902-B3901)/B3901)/($K$7*7),0),卓尔金历!$M$43),0),1)</f>
        <v>0.26447072791012372</v>
      </c>
      <c r="N3902">
        <f t="shared" si="553"/>
        <v>1398639.6400188312</v>
      </c>
      <c r="O3902">
        <f t="shared" si="554"/>
        <v>5860509.2556320354</v>
      </c>
      <c r="P3902">
        <f t="shared" si="555"/>
        <v>-8.0289895109729698E-2</v>
      </c>
      <c r="Q3902">
        <f t="shared" si="556"/>
        <v>2.6878516998307064E-2</v>
      </c>
      <c r="R3902">
        <f t="shared" si="557"/>
        <v>0</v>
      </c>
      <c r="S3902">
        <f t="shared" si="549"/>
        <v>6468.3313010518877</v>
      </c>
      <c r="T3902" s="564">
        <f>IF((I3902-MAX(I$470:I3902))/MAX(I$470:I3902)&gt;T3901,T3901,(I3902-MAX(I$470:I3902))/MAX(I$470:I3902))</f>
        <v>-0.91338805338419748</v>
      </c>
      <c r="U3902" s="564">
        <f>IF((J3902-MAX(J$470:J3902))/MAX(J$470:J3902)&gt;U3901,U3901,(J3902-MAX(J$470:J3902))/MAX(J$470:J3902))</f>
        <v>-0.83569785939843477</v>
      </c>
      <c r="V3902" s="564">
        <f>IF((K3902-MAX(K$470:K3902))/MAX(K$470:K3902)&gt;V3901,V3901,(K3902-MAX(K$470:K3902))/MAX(K$470:K3902))</f>
        <v>-0.84885940676762139</v>
      </c>
      <c r="W3902" s="564">
        <f>IF((N3902-MAX(N$470:N3902))/MAX(N$470:N3902)&gt;W3901,W3901,(N3902-MAX(N$470:N3902))/MAX(N$470:N3902))</f>
        <v>-0.62788758315546067</v>
      </c>
      <c r="X3902" s="564">
        <f>IF((O3902-MAX(O$470:O3902))/MAX(O$470:O3902)&gt;X3901,X3901,(O3902-MAX(O$470:O3902))/MAX(O$470:O3902))</f>
        <v>-0.62788758315546067</v>
      </c>
    </row>
    <row r="3903" spans="1:24">
      <c r="A3903" s="799">
        <v>44305</v>
      </c>
      <c r="B3903">
        <v>54632.685419904403</v>
      </c>
      <c r="C3903">
        <v>66114.301655870702</v>
      </c>
      <c r="D3903">
        <v>2.9257545899999999</v>
      </c>
      <c r="E3903">
        <f>LN(D3903/参数实验室!$E$53)/参数实验室!$E$55</f>
        <v>0.57355866428478497</v>
      </c>
      <c r="F3903">
        <f t="shared" si="548"/>
        <v>1.2101602025915275</v>
      </c>
      <c r="G3903">
        <f>LN(F3903/参数实验室!$E$58)/参数实验室!$E$59</f>
        <v>-9.041267275456541E-2</v>
      </c>
      <c r="H3903" s="856">
        <f>INDEX(神经网络!$G$10:$BO$70,MATCH(ROUND(G3903*2,1)/2,神经网络!$E$10:$E$70,0),MATCH(ROUND(E3903*2,1)/2,神经网络!$G$8:$BO$8,0))</f>
        <v>1.7968502729440148</v>
      </c>
      <c r="I3903">
        <f t="shared" si="550"/>
        <v>9578985.6685987357</v>
      </c>
      <c r="J3903">
        <f t="shared" si="551"/>
        <v>21799.882454772083</v>
      </c>
      <c r="K3903">
        <f t="shared" si="552"/>
        <v>439.40538158736064</v>
      </c>
      <c r="L3903" s="4">
        <f>MIN(MAX(L3902*(1+MAX(MIN(((B3903-B3902)/B3902)/($K$7*卓尔金历!$N$40),0),-卓尔金历!$M$43))+MIN(MAX(((B3903-B3902)/B3902)/($K$7*卓尔金历!$N$40),0),卓尔金历!$M$43),0),1)</f>
        <v>0</v>
      </c>
      <c r="M3903" s="4">
        <f>MIN(MAX(M3902*(1+MAX(MIN(((B3903-B3902)/B3902)/($K$7*30),0),-卓尔金历!$M$43))+MIN(MAX(((B3903-B3902)/B3902)/($K$7*7),0),卓尔金历!$M$43),0),1)</f>
        <v>0.23366090058174199</v>
      </c>
      <c r="N3903">
        <f t="shared" si="553"/>
        <v>1398639.6400188312</v>
      </c>
      <c r="O3903">
        <f t="shared" si="554"/>
        <v>5816403.1219089767</v>
      </c>
      <c r="P3903">
        <f t="shared" si="555"/>
        <v>-1.5249147703757035E-2</v>
      </c>
      <c r="Q3903">
        <f t="shared" si="556"/>
        <v>2.6379046141840546E-2</v>
      </c>
      <c r="R3903">
        <f t="shared" si="557"/>
        <v>0.58965556584408829</v>
      </c>
      <c r="S3903">
        <f t="shared" si="549"/>
        <v>6468.3313010518877</v>
      </c>
      <c r="T3903" s="564">
        <f>IF((I3903-MAX(I$470:I3903))/MAX(I$470:I3903)&gt;T3902,T3902,(I3903-MAX(I$470:I3903))/MAX(I$470:I3903))</f>
        <v>-0.91338805338419748</v>
      </c>
      <c r="U3903" s="564">
        <f>IF((J3903-MAX(J$470:J3903))/MAX(J$470:J3903)&gt;U3902,U3902,(J3903-MAX(J$470:J3903))/MAX(J$470:J3903))</f>
        <v>-0.83569785939843477</v>
      </c>
      <c r="V3903" s="564">
        <f>IF((K3903-MAX(K$470:K3903))/MAX(K$470:K3903)&gt;V3902,V3902,(K3903-MAX(K$470:K3903))/MAX(K$470:K3903))</f>
        <v>-0.84885940676762139</v>
      </c>
      <c r="W3903" s="564">
        <f>IF((N3903-MAX(N$470:N3903))/MAX(N$470:N3903)&gt;W3902,W3902,(N3903-MAX(N$470:N3903))/MAX(N$470:N3903))</f>
        <v>-0.62788758315546067</v>
      </c>
      <c r="X3903" s="564">
        <f>IF((O3903-MAX(O$470:O3903))/MAX(O$470:O3903)&gt;X3902,X3902,(O3903-MAX(O$470:O3903))/MAX(O$470:O3903))</f>
        <v>-0.62788758315546067</v>
      </c>
    </row>
    <row r="3904" spans="1:24">
      <c r="A3904" s="799">
        <v>44306</v>
      </c>
      <c r="B3904">
        <v>55366.171345262999</v>
      </c>
      <c r="C3904">
        <v>67432.916439203793</v>
      </c>
      <c r="D3904">
        <v>2.9553294399999999</v>
      </c>
      <c r="E3904">
        <f>LN(D3904/参数实验室!$E$53)/参数实验室!$E$55</f>
        <v>0.58542427245252604</v>
      </c>
      <c r="F3904">
        <f t="shared" si="548"/>
        <v>1.2179443656794087</v>
      </c>
      <c r="G3904">
        <f>LN(F3904/参数实验室!$E$58)/参数实验室!$E$59</f>
        <v>-8.7047444157232215E-2</v>
      </c>
      <c r="H3904" s="856">
        <f>INDEX(神经网络!$G$10:$BO$70,MATCH(ROUND(G3904*2,1)/2,神经网络!$E$10:$E$70,0),MATCH(ROUND(E3904*2,1)/2,神经网络!$G$8:$BO$8,0))</f>
        <v>1.8661238013833901</v>
      </c>
      <c r="I3904">
        <f t="shared" si="550"/>
        <v>9810070.080070382</v>
      </c>
      <c r="J3904">
        <f t="shared" si="551"/>
        <v>22092.562685153389</v>
      </c>
      <c r="K3904">
        <f t="shared" si="552"/>
        <v>444.04400792593117</v>
      </c>
      <c r="L3904" s="4">
        <f>MIN(MAX(L3903*(1+MAX(MIN(((B3904-B3903)/B3903)/($K$7*卓尔金历!$N$40),0),-卓尔金历!$M$43))+MIN(MAX(((B3904-B3903)/B3903)/($K$7*卓尔金历!$N$40),0),卓尔金历!$M$43),0),1)</f>
        <v>0.20513289763363995</v>
      </c>
      <c r="M3904" s="4">
        <f>MIN(MAX(M3903*(1+MAX(MIN(((B3904-B3903)/B3903)/($K$7*30),0),-卓尔金历!$M$43))+MIN(MAX(((B3904-B3903)/B3903)/($K$7*7),0),卓尔金历!$M$43),0),1)</f>
        <v>0.67323139551097044</v>
      </c>
      <c r="N3904">
        <f t="shared" si="553"/>
        <v>1398639.6400188312</v>
      </c>
      <c r="O3904">
        <f t="shared" si="554"/>
        <v>5849189.36626596</v>
      </c>
      <c r="P3904">
        <f t="shared" si="555"/>
        <v>1.3425771032872649E-2</v>
      </c>
      <c r="Q3904">
        <f t="shared" si="556"/>
        <v>2.6288488154262307E-2</v>
      </c>
      <c r="R3904">
        <f t="shared" si="557"/>
        <v>0.71605963888644153</v>
      </c>
      <c r="S3904">
        <f t="shared" si="549"/>
        <v>6560.3427319140765</v>
      </c>
      <c r="T3904" s="564">
        <f>IF((I3904-MAX(I$470:I3904))/MAX(I$470:I3904)&gt;T3903,T3903,(I3904-MAX(I$470:I3904))/MAX(I$470:I3904))</f>
        <v>-0.91338805338419748</v>
      </c>
      <c r="U3904" s="564">
        <f>IF((J3904-MAX(J$470:J3904))/MAX(J$470:J3904)&gt;U3903,U3903,(J3904-MAX(J$470:J3904))/MAX(J$470:J3904))</f>
        <v>-0.83569785939843477</v>
      </c>
      <c r="V3904" s="564">
        <f>IF((K3904-MAX(K$470:K3904))/MAX(K$470:K3904)&gt;V3903,V3903,(K3904-MAX(K$470:K3904))/MAX(K$470:K3904))</f>
        <v>-0.84885940676762139</v>
      </c>
      <c r="W3904" s="564">
        <f>IF((N3904-MAX(N$470:N3904))/MAX(N$470:N3904)&gt;W3903,W3903,(N3904-MAX(N$470:N3904))/MAX(N$470:N3904))</f>
        <v>-0.62788758315546067</v>
      </c>
      <c r="X3904" s="564">
        <f>IF((O3904-MAX(O$470:O3904))/MAX(O$470:O3904)&gt;X3903,X3903,(O3904-MAX(O$470:O3904))/MAX(O$470:O3904))</f>
        <v>-0.62788758315546067</v>
      </c>
    </row>
    <row r="3905" spans="1:24">
      <c r="A3905" s="799">
        <v>44307</v>
      </c>
      <c r="B3905">
        <v>56096.376162538501</v>
      </c>
      <c r="C3905">
        <v>69866.394228239806</v>
      </c>
      <c r="D3905">
        <v>2.8265358699999998</v>
      </c>
      <c r="E3905">
        <f>LN(D3905/参数实验室!$E$53)/参数实验室!$E$55</f>
        <v>0.53285654119692838</v>
      </c>
      <c r="F3905">
        <f t="shared" si="548"/>
        <v>1.2454707239163338</v>
      </c>
      <c r="G3905">
        <f>LN(F3905/参数实验室!$E$58)/参数实验室!$E$59</f>
        <v>-7.5317450447189904E-2</v>
      </c>
      <c r="H3905" s="856">
        <f>INDEX(神经网络!$G$10:$BO$70,MATCH(ROUND(G3905*2,1)/2,神经网络!$E$10:$E$70,0),MATCH(ROUND(E3905*2,1)/2,神经网络!$G$8:$BO$8,0))</f>
        <v>1.7968502729440148</v>
      </c>
      <c r="I3905">
        <f t="shared" si="550"/>
        <v>10051512.048550885</v>
      </c>
      <c r="J3905">
        <f t="shared" si="551"/>
        <v>22383.933666868204</v>
      </c>
      <c r="K3905">
        <f t="shared" si="552"/>
        <v>449.05029643778511</v>
      </c>
      <c r="L3905" s="4">
        <f>MIN(MAX(L3904*(1+MAX(MIN(((B3905-B3904)/B3904)/($K$7*卓尔金历!$N$40),0),-卓尔金历!$M$43))+MIN(MAX(((B3905-B3904)/B3904)/($K$7*卓尔金历!$N$40),0),卓尔金历!$M$43),0),1)</f>
        <v>0.40664274763306307</v>
      </c>
      <c r="M3905" s="4">
        <f>MIN(MAX(M3904*(1+MAX(MIN(((B3905-B3904)/B3904)/($K$7*30),0),-卓尔金历!$M$43))+MIN(MAX(((B3905-B3904)/B3904)/($K$7*7),0),卓尔金历!$M$43),0),1)</f>
        <v>1</v>
      </c>
      <c r="N3905">
        <f t="shared" si="553"/>
        <v>1405700.8934852213</v>
      </c>
      <c r="O3905">
        <f t="shared" si="554"/>
        <v>5946106.5299517289</v>
      </c>
      <c r="P3905">
        <f t="shared" si="555"/>
        <v>1.318864569344972E-2</v>
      </c>
      <c r="Q3905">
        <f t="shared" si="556"/>
        <v>2.6329531382755657E-2</v>
      </c>
      <c r="R3905">
        <f t="shared" si="557"/>
        <v>0.73579752805635534</v>
      </c>
      <c r="S3905">
        <f t="shared" si="549"/>
        <v>6675.9583159479434</v>
      </c>
      <c r="T3905" s="564">
        <f>IF((I3905-MAX(I$470:I3905))/MAX(I$470:I3905)&gt;T3904,T3904,(I3905-MAX(I$470:I3905))/MAX(I$470:I3905))</f>
        <v>-0.91338805338419748</v>
      </c>
      <c r="U3905" s="564">
        <f>IF((J3905-MAX(J$470:J3905))/MAX(J$470:J3905)&gt;U3904,U3904,(J3905-MAX(J$470:J3905))/MAX(J$470:J3905))</f>
        <v>-0.83569785939843477</v>
      </c>
      <c r="V3905" s="564">
        <f>IF((K3905-MAX(K$470:K3905))/MAX(K$470:K3905)&gt;V3904,V3904,(K3905-MAX(K$470:K3905))/MAX(K$470:K3905))</f>
        <v>-0.84885940676762139</v>
      </c>
      <c r="W3905" s="564">
        <f>IF((N3905-MAX(N$470:N3905))/MAX(N$470:N3905)&gt;W3904,W3904,(N3905-MAX(N$470:N3905))/MAX(N$470:N3905))</f>
        <v>-0.62788758315546067</v>
      </c>
      <c r="X3905" s="564">
        <f>IF((O3905-MAX(O$470:O3905))/MAX(O$470:O3905)&gt;X3904,X3904,(O3905-MAX(O$470:O3905))/MAX(O$470:O3905))</f>
        <v>-0.62788758315546067</v>
      </c>
    </row>
    <row r="3906" spans="1:24">
      <c r="A3906" s="799">
        <v>44308</v>
      </c>
      <c r="B3906">
        <v>54618.819544105398</v>
      </c>
      <c r="C3906">
        <v>70779.044200868797</v>
      </c>
      <c r="D3906">
        <v>2.7096070800000001</v>
      </c>
      <c r="E3906">
        <f>LN(D3906/参数实验室!$E$53)/参数实验室!$E$55</f>
        <v>0.483014028600459</v>
      </c>
      <c r="F3906">
        <f t="shared" si="548"/>
        <v>1.2958728290294486</v>
      </c>
      <c r="G3906">
        <f>LN(F3906/参数实验室!$E$58)/参数实验室!$E$59</f>
        <v>-5.4496009052109898E-2</v>
      </c>
      <c r="H3906" s="856">
        <f>INDEX(神经网络!$G$10:$BO$70,MATCH(ROUND(G3906*2,1)/2,神经网络!$E$10:$E$70,0),MATCH(ROUND(E3906*2,1)/2,神经网络!$G$8:$BO$8,0))</f>
        <v>1.7607737183655185</v>
      </c>
      <c r="I3906">
        <f t="shared" si="550"/>
        <v>9575790.7316364646</v>
      </c>
      <c r="J3906">
        <f t="shared" si="551"/>
        <v>21794.349604606883</v>
      </c>
      <c r="K3906">
        <f t="shared" si="552"/>
        <v>439.37033705343225</v>
      </c>
      <c r="L3906" s="4">
        <f>MIN(MAX(L3905*(1+MAX(MIN(((B3906-B3905)/B3905)/($K$7*卓尔金历!$N$40),0),-卓尔金历!$M$43))+MIN(MAX(((B3906-B3905)/B3905)/($K$7*卓尔金历!$N$40),0),卓尔金历!$M$43),0),1)</f>
        <v>0.24299183388377874</v>
      </c>
      <c r="M3906" s="4">
        <f>MIN(MAX(M3905*(1+MAX(MIN(((B3906-B3905)/B3905)/($K$7*30),0),-卓尔金历!$M$43))+MIN(MAX(((B3906-B3905)/B3905)/($K$7*7),0),卓尔金历!$M$43),0),1)</f>
        <v>0.79877802481189719</v>
      </c>
      <c r="N3906">
        <f t="shared" si="553"/>
        <v>1378647.1625173565</v>
      </c>
      <c r="O3906">
        <f t="shared" si="554"/>
        <v>5664687.2155959466</v>
      </c>
      <c r="P3906">
        <f t="shared" si="555"/>
        <v>-2.633960907121528E-2</v>
      </c>
      <c r="Q3906">
        <f t="shared" si="556"/>
        <v>2.6813352111377173E-2</v>
      </c>
      <c r="R3906">
        <f t="shared" si="557"/>
        <v>4.4625006816736035E-2</v>
      </c>
      <c r="S3906">
        <f t="shared" si="549"/>
        <v>6443.4742696976473</v>
      </c>
      <c r="T3906" s="564">
        <f>IF((I3906-MAX(I$470:I3906))/MAX(I$470:I3906)&gt;T3905,T3905,(I3906-MAX(I$470:I3906))/MAX(I$470:I3906))</f>
        <v>-0.91338805338419748</v>
      </c>
      <c r="U3906" s="564">
        <f>IF((J3906-MAX(J$470:J3906))/MAX(J$470:J3906)&gt;U3905,U3905,(J3906-MAX(J$470:J3906))/MAX(J$470:J3906))</f>
        <v>-0.83569785939843477</v>
      </c>
      <c r="V3906" s="564">
        <f>IF((K3906-MAX(K$470:K3906))/MAX(K$470:K3906)&gt;V3905,V3905,(K3906-MAX(K$470:K3906))/MAX(K$470:K3906))</f>
        <v>-0.84885940676762139</v>
      </c>
      <c r="W3906" s="564">
        <f>IF((N3906-MAX(N$470:N3906))/MAX(N$470:N3906)&gt;W3905,W3905,(N3906-MAX(N$470:N3906))/MAX(N$470:N3906))</f>
        <v>-0.62788758315546067</v>
      </c>
      <c r="X3906" s="564">
        <f>IF((O3906-MAX(O$470:O3906))/MAX(O$470:O3906)&gt;X3905,X3905,(O3906-MAX(O$470:O3906))/MAX(O$470:O3906))</f>
        <v>-0.62788758315546067</v>
      </c>
    </row>
    <row r="3907" spans="1:24">
      <c r="A3907" s="799">
        <v>44309</v>
      </c>
      <c r="B3907">
        <v>49782.554115034603</v>
      </c>
      <c r="C3907">
        <v>71655.5537763428</v>
      </c>
      <c r="D3907">
        <v>2.6591576300000002</v>
      </c>
      <c r="E3907">
        <f>LN(D3907/参数实验室!$E$53)/参数实验室!$E$55</f>
        <v>0.46084145914508801</v>
      </c>
      <c r="F3907">
        <f t="shared" si="548"/>
        <v>1.4393707805904323</v>
      </c>
      <c r="G3907">
        <f>LN(F3907/参数实验室!$E$58)/参数实验室!$E$59</f>
        <v>6.249985419985323E-4</v>
      </c>
      <c r="H3907" s="856">
        <f>INDEX(神经网络!$G$10:$BO$70,MATCH(ROUND(G3907*2,1)/2,神经网络!$E$10:$E$70,0),MATCH(ROUND(E3907*2,1)/2,神经网络!$G$8:$BO$8,0))</f>
        <v>1.7235948114442901</v>
      </c>
      <c r="I3907">
        <f t="shared" si="550"/>
        <v>8082838.1562351193</v>
      </c>
      <c r="J3907">
        <f t="shared" si="551"/>
        <v>19864.552138795148</v>
      </c>
      <c r="K3907">
        <f t="shared" si="552"/>
        <v>406.89757814622294</v>
      </c>
      <c r="L3907" s="4">
        <f>MIN(MAX(L3906*(1+MAX(MIN(((B3907-B3906)/B3906)/($K$7*卓尔金历!$N$40),0),-卓尔金历!$M$43))+MIN(MAX(((B3907-B3906)/B3906)/($K$7*卓尔金历!$N$40),0),卓尔金历!$M$43),0),1)</f>
        <v>0</v>
      </c>
      <c r="M3907" s="4">
        <f>MIN(MAX(M3906*(1+MAX(MIN(((B3907-B3906)/B3906)/($K$7*30),0),-卓尔金历!$M$43))+MIN(MAX(((B3907-B3906)/B3906)/($K$7*7),0),卓尔金历!$M$43),0),1)</f>
        <v>0.2584468691122902</v>
      </c>
      <c r="N3907">
        <f t="shared" si="553"/>
        <v>1326417.6255310236</v>
      </c>
      <c r="O3907">
        <f t="shared" si="554"/>
        <v>4959225.5670069354</v>
      </c>
      <c r="P3907">
        <f t="shared" si="555"/>
        <v>-8.8545769927624446E-2</v>
      </c>
      <c r="Q3907">
        <f t="shared" si="556"/>
        <v>3.2198266571685799E-2</v>
      </c>
      <c r="R3907">
        <f t="shared" si="557"/>
        <v>0</v>
      </c>
      <c r="S3907">
        <f t="shared" si="549"/>
        <v>6398.6441643007829</v>
      </c>
      <c r="T3907" s="564">
        <f>IF((I3907-MAX(I$470:I3907))/MAX(I$470:I3907)&gt;T3906,T3906,(I3907-MAX(I$470:I3907))/MAX(I$470:I3907))</f>
        <v>-0.91338805338419748</v>
      </c>
      <c r="U3907" s="564">
        <f>IF((J3907-MAX(J$470:J3907))/MAX(J$470:J3907)&gt;U3906,U3906,(J3907-MAX(J$470:J3907))/MAX(J$470:J3907))</f>
        <v>-0.83569785939843477</v>
      </c>
      <c r="V3907" s="564">
        <f>IF((K3907-MAX(K$470:K3907))/MAX(K$470:K3907)&gt;V3906,V3906,(K3907-MAX(K$470:K3907))/MAX(K$470:K3907))</f>
        <v>-0.84885940676762139</v>
      </c>
      <c r="W3907" s="564">
        <f>IF((N3907-MAX(N$470:N3907))/MAX(N$470:N3907)&gt;W3906,W3906,(N3907-MAX(N$470:N3907))/MAX(N$470:N3907))</f>
        <v>-0.62788758315546067</v>
      </c>
      <c r="X3907" s="564">
        <f>IF((O3907-MAX(O$470:O3907))/MAX(O$470:O3907)&gt;X3906,X3906,(O3907-MAX(O$470:O3907))/MAX(O$470:O3907))</f>
        <v>-0.62788758315546067</v>
      </c>
    </row>
    <row r="3908" spans="1:24">
      <c r="A3908" s="799">
        <v>44310</v>
      </c>
      <c r="B3908">
        <v>50166.332290853301</v>
      </c>
      <c r="C3908">
        <v>72131.039502392596</v>
      </c>
      <c r="D3908">
        <v>2.6191145200000001</v>
      </c>
      <c r="E3908">
        <f>LN(D3908/参数实验室!$E$53)/参数实验室!$E$55</f>
        <v>0.44294094401234013</v>
      </c>
      <c r="F3908">
        <f t="shared" si="548"/>
        <v>1.4378376135650655</v>
      </c>
      <c r="G3908">
        <f>LN(F3908/参数实验室!$E$58)/参数实验室!$E$59</f>
        <v>6.5644558616256751E-5</v>
      </c>
      <c r="H3908" s="856">
        <f>INDEX(神经网络!$G$10:$BO$70,MATCH(ROUND(G3908*2,1)/2,神经网络!$E$10:$E$70,0),MATCH(ROUND(E3908*2,1)/2,神经网络!$G$8:$BO$8,0))</f>
        <v>1.7235948114442901</v>
      </c>
      <c r="I3908">
        <f t="shared" si="550"/>
        <v>8190237.6318076598</v>
      </c>
      <c r="J3908">
        <f t="shared" si="551"/>
        <v>20017.689753343129</v>
      </c>
      <c r="K3908">
        <f t="shared" si="552"/>
        <v>409.14999346714416</v>
      </c>
      <c r="L3908" s="4">
        <f>MIN(MAX(L3907*(1+MAX(MIN(((B3908-B3907)/B3907)/($K$7*卓尔金历!$N$40),0),-卓尔金历!$M$43))+MIN(MAX(((B3908-B3907)/B3907)/($K$7*卓尔金历!$N$40),0),卓尔金历!$M$43),0),1)</f>
        <v>0.11778749295577132</v>
      </c>
      <c r="M3908" s="4">
        <f>MIN(MAX(M3907*(1+MAX(MIN(((B3908-B3907)/B3907)/($K$7*30),0),-卓尔金历!$M$43))+MIN(MAX(((B3908-B3907)/B3907)/($K$7*7),0),卓尔金历!$M$43),0),1)</f>
        <v>0.51084863973180017</v>
      </c>
      <c r="N3908">
        <f t="shared" si="553"/>
        <v>1326417.6255310236</v>
      </c>
      <c r="O3908">
        <f t="shared" si="554"/>
        <v>4976255.9108118564</v>
      </c>
      <c r="P3908">
        <f t="shared" si="555"/>
        <v>7.7090897130726839E-3</v>
      </c>
      <c r="Q3908">
        <f t="shared" si="556"/>
        <v>3.2364111013108487E-2</v>
      </c>
      <c r="R3908">
        <f t="shared" si="557"/>
        <v>1</v>
      </c>
      <c r="S3908">
        <f t="shared" si="549"/>
        <v>6398.6441643007829</v>
      </c>
      <c r="T3908" s="564">
        <f>IF((I3908-MAX(I$470:I3908))/MAX(I$470:I3908)&gt;T3907,T3907,(I3908-MAX(I$470:I3908))/MAX(I$470:I3908))</f>
        <v>-0.91338805338419748</v>
      </c>
      <c r="U3908" s="564">
        <f>IF((J3908-MAX(J$470:J3908))/MAX(J$470:J3908)&gt;U3907,U3907,(J3908-MAX(J$470:J3908))/MAX(J$470:J3908))</f>
        <v>-0.83569785939843477</v>
      </c>
      <c r="V3908" s="564">
        <f>IF((K3908-MAX(K$470:K3908))/MAX(K$470:K3908)&gt;V3907,V3907,(K3908-MAX(K$470:K3908))/MAX(K$470:K3908))</f>
        <v>-0.84885940676762139</v>
      </c>
      <c r="W3908" s="564">
        <f>IF((N3908-MAX(N$470:N3908))/MAX(N$470:N3908)&gt;W3907,W3907,(N3908-MAX(N$470:N3908))/MAX(N$470:N3908))</f>
        <v>-0.62788758315546067</v>
      </c>
      <c r="X3908" s="564">
        <f>IF((O3908-MAX(O$470:O3908))/MAX(O$470:O3908)&gt;X3907,X3907,(O3908-MAX(O$470:O3908))/MAX(O$470:O3908))</f>
        <v>-0.62788758315546067</v>
      </c>
    </row>
    <row r="3909" spans="1:24">
      <c r="A3909" s="799">
        <v>44311</v>
      </c>
      <c r="B3909">
        <v>50232.178638484897</v>
      </c>
      <c r="C3909">
        <v>71883.247091591402</v>
      </c>
      <c r="D3909">
        <v>2.54988868</v>
      </c>
      <c r="E3909">
        <f>LN(D3909/参数实验室!$E$53)/参数实验室!$E$55</f>
        <v>0.41133938008090515</v>
      </c>
      <c r="F3909">
        <f t="shared" ref="F3909:F3972" si="558">C3909/B3909</f>
        <v>1.4310198968061232</v>
      </c>
      <c r="G3909">
        <f>LN(F3909/参数实验室!$E$58)/参数实验室!$E$59</f>
        <v>-2.428946356981414E-3</v>
      </c>
      <c r="H3909" s="856">
        <f>INDEX(神经网络!$G$10:$BO$70,MATCH(ROUND(G3909*2,1)/2,神经网络!$E$10:$E$70,0),MATCH(ROUND(E3909*2,1)/2,神经网络!$G$8:$BO$8,0))</f>
        <v>1.6431947921089631</v>
      </c>
      <c r="I3909">
        <f t="shared" si="550"/>
        <v>8208766.5908206133</v>
      </c>
      <c r="J3909">
        <f t="shared" si="551"/>
        <v>20043.964182787924</v>
      </c>
      <c r="K3909">
        <f t="shared" si="552"/>
        <v>409.5380791924191</v>
      </c>
      <c r="L3909" s="4">
        <f>MIN(MAX(L3908*(1+MAX(MIN(((B3909-B3908)/B3908)/($K$7*卓尔金历!$N$40),0),-卓尔金历!$M$43))+MIN(MAX(((B3909-B3908)/B3908)/($K$7*卓尔金历!$N$40),0),卓尔金历!$M$43),0),1)</f>
        <v>0.13784215826327187</v>
      </c>
      <c r="M3909" s="4">
        <f>MIN(MAX(M3908*(1+MAX(MIN(((B3909-B3908)/B3908)/($K$7*30),0),-卓尔金历!$M$43))+MIN(MAX(((B3909-B3908)/B3908)/($K$7*7),0),卓尔金历!$M$43),0),1)</f>
        <v>0.55382292253358711</v>
      </c>
      <c r="N3909">
        <f t="shared" si="553"/>
        <v>1326771.0804095869</v>
      </c>
      <c r="O3909">
        <f t="shared" si="554"/>
        <v>4982006.9915658617</v>
      </c>
      <c r="P3909">
        <f t="shared" si="555"/>
        <v>1.3125605286396661E-3</v>
      </c>
      <c r="Q3909">
        <f t="shared" si="556"/>
        <v>3.2336346493106183E-2</v>
      </c>
      <c r="R3909">
        <f t="shared" si="557"/>
        <v>1</v>
      </c>
      <c r="S3909">
        <f t="shared" si="549"/>
        <v>6413.1199610711183</v>
      </c>
      <c r="T3909" s="564">
        <f>IF((I3909-MAX(I$470:I3909))/MAX(I$470:I3909)&gt;T3908,T3908,(I3909-MAX(I$470:I3909))/MAX(I$470:I3909))</f>
        <v>-0.91338805338419748</v>
      </c>
      <c r="U3909" s="564">
        <f>IF((J3909-MAX(J$470:J3909))/MAX(J$470:J3909)&gt;U3908,U3908,(J3909-MAX(J$470:J3909))/MAX(J$470:J3909))</f>
        <v>-0.83569785939843477</v>
      </c>
      <c r="V3909" s="564">
        <f>IF((K3909-MAX(K$470:K3909))/MAX(K$470:K3909)&gt;V3908,V3908,(K3909-MAX(K$470:K3909))/MAX(K$470:K3909))</f>
        <v>-0.84885940676762139</v>
      </c>
      <c r="W3909" s="564">
        <f>IF((N3909-MAX(N$470:N3909))/MAX(N$470:N3909)&gt;W3908,W3908,(N3909-MAX(N$470:N3909))/MAX(N$470:N3909))</f>
        <v>-0.62788758315546067</v>
      </c>
      <c r="X3909" s="564">
        <f>IF((O3909-MAX(O$470:O3909))/MAX(O$470:O3909)&gt;X3908,X3908,(O3909-MAX(O$470:O3909))/MAX(O$470:O3909))</f>
        <v>-0.62788758315546067</v>
      </c>
    </row>
    <row r="3910" spans="1:24">
      <c r="A3910" s="799">
        <v>44312</v>
      </c>
      <c r="B3910">
        <v>53521.2260122394</v>
      </c>
      <c r="C3910">
        <v>74264.705238758601</v>
      </c>
      <c r="D3910">
        <v>2.7994778500000002</v>
      </c>
      <c r="E3910">
        <f>LN(D3910/参数实验室!$E$53)/参数实验室!$E$55</f>
        <v>0.52150853012266585</v>
      </c>
      <c r="F3910">
        <f t="shared" si="558"/>
        <v>1.3875748141826107</v>
      </c>
      <c r="G3910">
        <f>LN(F3910/参数实验室!$E$58)/参数实验室!$E$59</f>
        <v>-1.8610154143428429E-2</v>
      </c>
      <c r="H3910" s="856">
        <f>INDEX(神经网络!$G$10:$BO$70,MATCH(ROUND(G3910*2,1)/2,神经网络!$E$10:$E$70,0),MATCH(ROUND(E3910*2,1)/2,神经网络!$G$8:$BO$8,0))</f>
        <v>1.7975509837065444</v>
      </c>
      <c r="I3910">
        <f t="shared" si="550"/>
        <v>9091958.4783540703</v>
      </c>
      <c r="J3910">
        <f t="shared" si="551"/>
        <v>21356.380835656724</v>
      </c>
      <c r="K3910">
        <f t="shared" si="552"/>
        <v>425.72562028740793</v>
      </c>
      <c r="L3910" s="4">
        <f>MIN(MAX(L3909*(1+MAX(MIN(((B3910-B3909)/B3909)/($K$7*卓尔金历!$N$40),0),-卓尔金历!$M$43))+MIN(MAX(((B3910-B3909)/B3909)/($K$7*卓尔金历!$N$40),0),卓尔金历!$M$43),0),1)</f>
        <v>1</v>
      </c>
      <c r="M3910" s="4">
        <f>MIN(MAX(M3909*(1+MAX(MIN(((B3910-B3909)/B3909)/($K$7*30),0),-卓尔金历!$M$43))+MIN(MAX(((B3910-B3909)/B3909)/($K$7*7),0),卓尔金历!$M$43),0),1)</f>
        <v>1</v>
      </c>
      <c r="N3910">
        <f t="shared" si="553"/>
        <v>1346447.9145680103</v>
      </c>
      <c r="O3910">
        <f t="shared" si="554"/>
        <v>5278867.497949372</v>
      </c>
      <c r="P3910">
        <f t="shared" si="555"/>
        <v>6.5476900721853859E-2</v>
      </c>
      <c r="Q3910">
        <f t="shared" si="556"/>
        <v>3.5457759672683158E-2</v>
      </c>
      <c r="R3910">
        <f t="shared" si="557"/>
        <v>1.2502676987115753E-2</v>
      </c>
      <c r="S3910">
        <f t="shared" si="549"/>
        <v>7103.1158892938356</v>
      </c>
      <c r="T3910" s="564">
        <f>IF((I3910-MAX(I$470:I3910))/MAX(I$470:I3910)&gt;T3909,T3909,(I3910-MAX(I$470:I3910))/MAX(I$470:I3910))</f>
        <v>-0.91338805338419748</v>
      </c>
      <c r="U3910" s="564">
        <f>IF((J3910-MAX(J$470:J3910))/MAX(J$470:J3910)&gt;U3909,U3909,(J3910-MAX(J$470:J3910))/MAX(J$470:J3910))</f>
        <v>-0.83569785939843477</v>
      </c>
      <c r="V3910" s="564">
        <f>IF((K3910-MAX(K$470:K3910))/MAX(K$470:K3910)&gt;V3909,V3909,(K3910-MAX(K$470:K3910))/MAX(K$470:K3910))</f>
        <v>-0.84885940676762139</v>
      </c>
      <c r="W3910" s="564">
        <f>IF((N3910-MAX(N$470:N3910))/MAX(N$470:N3910)&gt;W3909,W3909,(N3910-MAX(N$470:N3910))/MAX(N$470:N3910))</f>
        <v>-0.62788758315546067</v>
      </c>
      <c r="X3910" s="564">
        <f>IF((O3910-MAX(O$470:O3910))/MAX(O$470:O3910)&gt;X3909,X3909,(O3910-MAX(O$470:O3910))/MAX(O$470:O3910))</f>
        <v>-0.62788758315546067</v>
      </c>
    </row>
    <row r="3911" spans="1:24">
      <c r="A3911" s="799">
        <v>44313</v>
      </c>
      <c r="B3911">
        <v>55004.887418180297</v>
      </c>
      <c r="C3911">
        <v>75199.565707903894</v>
      </c>
      <c r="D3911">
        <v>2.8425592900000001</v>
      </c>
      <c r="E3911">
        <f>LN(D3911/参数实验室!$E$53)/参数实验室!$E$55</f>
        <v>0.53952558856009758</v>
      </c>
      <c r="F3911">
        <f t="shared" si="558"/>
        <v>1.3671433437576461</v>
      </c>
      <c r="G3911">
        <f>LN(F3911/参数实验室!$E$58)/参数实验室!$E$59</f>
        <v>-2.639587731781292E-2</v>
      </c>
      <c r="H3911" s="856">
        <f>INDEX(神经网络!$G$10:$BO$70,MATCH(ROUND(G3911*2,1)/2,神经网络!$E$10:$E$70,0),MATCH(ROUND(E3911*2,1)/2,神经网络!$G$8:$BO$8,0))</f>
        <v>1.8346866475134445</v>
      </c>
      <c r="I3911">
        <f t="shared" si="550"/>
        <v>9545009.8057181723</v>
      </c>
      <c r="J3911">
        <f t="shared" si="551"/>
        <v>21948.400869151355</v>
      </c>
      <c r="K3911">
        <f t="shared" si="552"/>
        <v>434.88406570584175</v>
      </c>
      <c r="L3911" s="4">
        <f>MIN(MAX(L3910*(1+MAX(MIN(((B3911-B3910)/B3910)/($K$7*卓尔金历!$N$40),0),-卓尔金历!$M$43))+MIN(MAX(((B3911-B3910)/B3910)/($K$7*卓尔金历!$N$40),0),卓尔金历!$M$43),0),1)</f>
        <v>1</v>
      </c>
      <c r="M3911" s="4">
        <f>MIN(MAX(M3910*(1+MAX(MIN(((B3911-B3910)/B3910)/($K$7*30),0),-卓尔金历!$M$43))+MIN(MAX(((B3911-B3910)/B3910)/($K$7*7),0),卓尔金历!$M$43),0),1)</f>
        <v>1</v>
      </c>
      <c r="N3911">
        <f t="shared" si="553"/>
        <v>1413541.2714474946</v>
      </c>
      <c r="O3911">
        <f t="shared" si="554"/>
        <v>5541912.905890801</v>
      </c>
      <c r="P3911">
        <f t="shared" si="555"/>
        <v>2.7720990651477387E-2</v>
      </c>
      <c r="Q3911">
        <f t="shared" si="556"/>
        <v>3.5955571140196367E-2</v>
      </c>
      <c r="R3911">
        <f t="shared" si="557"/>
        <v>0.30477424463899633</v>
      </c>
      <c r="S3911">
        <f t="shared" si="549"/>
        <v>7107.5411807060027</v>
      </c>
      <c r="T3911" s="564">
        <f>IF((I3911-MAX(I$470:I3911))/MAX(I$470:I3911)&gt;T3910,T3910,(I3911-MAX(I$470:I3911))/MAX(I$470:I3911))</f>
        <v>-0.91338805338419748</v>
      </c>
      <c r="U3911" s="564">
        <f>IF((J3911-MAX(J$470:J3911))/MAX(J$470:J3911)&gt;U3910,U3910,(J3911-MAX(J$470:J3911))/MAX(J$470:J3911))</f>
        <v>-0.83569785939843477</v>
      </c>
      <c r="V3911" s="564">
        <f>IF((K3911-MAX(K$470:K3911))/MAX(K$470:K3911)&gt;V3910,V3910,(K3911-MAX(K$470:K3911))/MAX(K$470:K3911))</f>
        <v>-0.84885940676762139</v>
      </c>
      <c r="W3911" s="564">
        <f>IF((N3911-MAX(N$470:N3911))/MAX(N$470:N3911)&gt;W3910,W3910,(N3911-MAX(N$470:N3911))/MAX(N$470:N3911))</f>
        <v>-0.62788758315546067</v>
      </c>
      <c r="X3911" s="564">
        <f>IF((O3911-MAX(O$470:O3911))/MAX(O$470:O3911)&gt;X3910,X3910,(O3911-MAX(O$470:O3911))/MAX(O$470:O3911))</f>
        <v>-0.62788758315546067</v>
      </c>
    </row>
    <row r="3912" spans="1:24">
      <c r="A3912" s="799">
        <v>44314</v>
      </c>
      <c r="B3912">
        <v>54347.7365979733</v>
      </c>
      <c r="C3912">
        <v>75706.172196788</v>
      </c>
      <c r="D3912">
        <v>2.8252044700000001</v>
      </c>
      <c r="E3912">
        <f>LN(D3912/参数实验室!$E$53)/参数实验室!$E$55</f>
        <v>0.53230070409062569</v>
      </c>
      <c r="F3912">
        <f t="shared" si="558"/>
        <v>1.3929958621241125</v>
      </c>
      <c r="G3912">
        <f>LN(F3912/参数实验室!$E$58)/参数实验室!$E$59</f>
        <v>-1.6563622789963157E-2</v>
      </c>
      <c r="H3912" s="856">
        <f>INDEX(神经网络!$G$10:$BO$70,MATCH(ROUND(G3912*2,1)/2,神经网络!$E$10:$E$70,0),MATCH(ROUND(E3912*2,1)/2,神经网络!$G$8:$BO$8,0))</f>
        <v>1.8669217780124923</v>
      </c>
      <c r="I3912">
        <f t="shared" si="550"/>
        <v>9335790.3570488524</v>
      </c>
      <c r="J3912">
        <f t="shared" si="551"/>
        <v>21686.180359113048</v>
      </c>
      <c r="K3912">
        <f t="shared" si="552"/>
        <v>430.49491438568305</v>
      </c>
      <c r="L3912" s="4">
        <f>MIN(MAX(L3911*(1+MAX(MIN(((B3912-B3911)/B3911)/($K$7*卓尔金历!$N$40),0),-卓尔金历!$M$43))+MIN(MAX(((B3912-B3911)/B3911)/($K$7*卓尔金历!$N$40),0),卓尔金历!$M$43),0),1)</f>
        <v>0.81745924074053289</v>
      </c>
      <c r="M3912" s="4">
        <f>MIN(MAX(M3911*(1+MAX(MIN(((B3912-B3911)/B3911)/($K$7*30),0),-卓尔金历!$M$43))+MIN(MAX(((B3912-B3911)/B3911)/($K$7*7),0),卓尔金历!$M$43),0),1)</f>
        <v>0.90872962037026639</v>
      </c>
      <c r="N3912">
        <f t="shared" si="553"/>
        <v>1382557.5080461826</v>
      </c>
      <c r="O3912">
        <f t="shared" si="554"/>
        <v>5420438.3357914332</v>
      </c>
      <c r="P3912">
        <f t="shared" si="555"/>
        <v>-1.1947135082941627E-2</v>
      </c>
      <c r="Q3912">
        <f t="shared" si="556"/>
        <v>3.563758577695679E-2</v>
      </c>
      <c r="R3912">
        <f t="shared" si="557"/>
        <v>1</v>
      </c>
      <c r="S3912">
        <f t="shared" si="549"/>
        <v>7060.0598018166247</v>
      </c>
      <c r="T3912" s="564">
        <f>IF((I3912-MAX(I$470:I3912))/MAX(I$470:I3912)&gt;T3911,T3911,(I3912-MAX(I$470:I3912))/MAX(I$470:I3912))</f>
        <v>-0.91338805338419748</v>
      </c>
      <c r="U3912" s="564">
        <f>IF((J3912-MAX(J$470:J3912))/MAX(J$470:J3912)&gt;U3911,U3911,(J3912-MAX(J$470:J3912))/MAX(J$470:J3912))</f>
        <v>-0.83569785939843477</v>
      </c>
      <c r="V3912" s="564">
        <f>IF((K3912-MAX(K$470:K3912))/MAX(K$470:K3912)&gt;V3911,V3911,(K3912-MAX(K$470:K3912))/MAX(K$470:K3912))</f>
        <v>-0.84885940676762139</v>
      </c>
      <c r="W3912" s="564">
        <f>IF((N3912-MAX(N$470:N3912))/MAX(N$470:N3912)&gt;W3911,W3911,(N3912-MAX(N$470:N3912))/MAX(N$470:N3912))</f>
        <v>-0.62788758315546067</v>
      </c>
      <c r="X3912" s="564">
        <f>IF((O3912-MAX(O$470:O3912))/MAX(O$470:O3912)&gt;X3911,X3911,(O3912-MAX(O$470:O3912))/MAX(O$470:O3912))</f>
        <v>-0.62788758315546067</v>
      </c>
    </row>
    <row r="3913" spans="1:24">
      <c r="A3913" s="799">
        <v>44315</v>
      </c>
      <c r="B3913">
        <v>53740.487560695903</v>
      </c>
      <c r="C3913">
        <v>77058.344570543995</v>
      </c>
      <c r="D3913">
        <v>2.7528984799999998</v>
      </c>
      <c r="E3913">
        <f>LN(D3913/参数实验室!$E$53)/参数实验室!$E$55</f>
        <v>0.50171395973806199</v>
      </c>
      <c r="F3913">
        <f t="shared" si="558"/>
        <v>1.4338973847885601</v>
      </c>
      <c r="G3913">
        <f>LN(F3913/参数实验室!$E$58)/参数实验室!$E$59</f>
        <v>-1.3746320009952562E-3</v>
      </c>
      <c r="H3913" s="856">
        <f>INDEX(神经网络!$G$10:$BO$70,MATCH(ROUND(G3913*2,1)/2,神经网络!$E$10:$E$70,0),MATCH(ROUND(E3913*2,1)/2,神经网络!$G$8:$BO$8,0))</f>
        <v>1.7975509837065444</v>
      </c>
      <c r="I3913">
        <f t="shared" si="550"/>
        <v>9141047.0298658367</v>
      </c>
      <c r="J3913">
        <f t="shared" si="551"/>
        <v>21443.871976655286</v>
      </c>
      <c r="K3913">
        <f t="shared" si="552"/>
        <v>426.27782145953728</v>
      </c>
      <c r="L3913" s="4">
        <f>MIN(MAX(L3912*(1+MAX(MIN(((B3913-B3912)/B3912)/($K$7*卓尔金历!$N$40),0),-卓尔金历!$M$43))+MIN(MAX(((B3913-B3912)/B3912)/($K$7*卓尔金历!$N$40),0),卓尔金历!$M$43),0),1)</f>
        <v>0.67790354729882629</v>
      </c>
      <c r="M3913" s="4">
        <f>MIN(MAX(M3912*(1+MAX(MIN(((B3913-B3912)/B3912)/($K$7*30),0),-卓尔金历!$M$43))+MIN(MAX(((B3913-B3912)/B3912)/($K$7*7),0),卓尔金历!$M$43),0),1)</f>
        <v>0.83116098697460805</v>
      </c>
      <c r="N3913">
        <f t="shared" si="553"/>
        <v>1358982.0137309253</v>
      </c>
      <c r="O3913">
        <f t="shared" si="554"/>
        <v>5317688.6299192719</v>
      </c>
      <c r="P3913">
        <f t="shared" si="555"/>
        <v>-1.1173400683995411E-2</v>
      </c>
      <c r="Q3913">
        <f t="shared" si="556"/>
        <v>3.5263161714277624E-2</v>
      </c>
      <c r="R3913">
        <f t="shared" si="557"/>
        <v>1</v>
      </c>
      <c r="S3913">
        <f t="shared" si="549"/>
        <v>6912.7879069546398</v>
      </c>
      <c r="T3913" s="564">
        <f>IF((I3913-MAX(I$470:I3913))/MAX(I$470:I3913)&gt;T3912,T3912,(I3913-MAX(I$470:I3913))/MAX(I$470:I3913))</f>
        <v>-0.91338805338419748</v>
      </c>
      <c r="U3913" s="564">
        <f>IF((J3913-MAX(J$470:J3913))/MAX(J$470:J3913)&gt;U3912,U3912,(J3913-MAX(J$470:J3913))/MAX(J$470:J3913))</f>
        <v>-0.83569785939843477</v>
      </c>
      <c r="V3913" s="564">
        <f>IF((K3913-MAX(K$470:K3913))/MAX(K$470:K3913)&gt;V3912,V3912,(K3913-MAX(K$470:K3913))/MAX(K$470:K3913))</f>
        <v>-0.84885940676762139</v>
      </c>
      <c r="W3913" s="564">
        <f>IF((N3913-MAX(N$470:N3913))/MAX(N$470:N3913)&gt;W3912,W3912,(N3913-MAX(N$470:N3913))/MAX(N$470:N3913))</f>
        <v>-0.62788758315546067</v>
      </c>
      <c r="X3913" s="564">
        <f>IF((O3913-MAX(O$470:O3913))/MAX(O$470:O3913)&gt;X3912,X3912,(O3913-MAX(O$470:O3913))/MAX(O$470:O3913))</f>
        <v>-0.62788758315546067</v>
      </c>
    </row>
    <row r="3914" spans="1:24">
      <c r="A3914" s="799">
        <v>44316</v>
      </c>
      <c r="B3914">
        <v>57183.7157270932</v>
      </c>
      <c r="C3914">
        <v>77753.393818227298</v>
      </c>
      <c r="D3914">
        <v>2.9509243999999999</v>
      </c>
      <c r="E3914">
        <f>LN(D3914/参数实验室!$E$53)/参数实验室!$E$55</f>
        <v>0.58366448991211839</v>
      </c>
      <c r="F3914">
        <f t="shared" si="558"/>
        <v>1.359712163324643</v>
      </c>
      <c r="G3914">
        <f>LN(F3914/参数实验室!$E$58)/参数实验室!$E$59</f>
        <v>-2.9256531093092911E-2</v>
      </c>
      <c r="H3914" s="856">
        <f>INDEX(神经网络!$G$10:$BO$70,MATCH(ROUND(G3914*2,1)/2,神经网络!$E$10:$E$70,0),MATCH(ROUND(E3914*2,1)/2,神经网络!$G$8:$BO$8,0))</f>
        <v>1.901613979957405</v>
      </c>
      <c r="I3914">
        <f t="shared" si="550"/>
        <v>10193836.082876818</v>
      </c>
      <c r="J3914">
        <f t="shared" si="551"/>
        <v>22817.810832406169</v>
      </c>
      <c r="K3914">
        <f t="shared" si="552"/>
        <v>446.74908376396002</v>
      </c>
      <c r="L3914" s="4">
        <f>MIN(MAX(L3913*(1+MAX(MIN(((B3914-B3913)/B3913)/($K$7*卓尔金历!$N$40),0),-卓尔金历!$M$43))+MIN(MAX(((B3914-B3913)/B3913)/($K$7*卓尔金历!$N$40),0),卓尔金历!$M$43),0),1)</f>
        <v>1</v>
      </c>
      <c r="M3914" s="4">
        <f>MIN(MAX(M3913*(1+MAX(MIN(((B3914-B3913)/B3913)/($K$7*30),0),-卓尔金历!$M$43))+MIN(MAX(((B3914-B3913)/B3913)/($K$7*7),0),卓尔金历!$M$43),0),1)</f>
        <v>1</v>
      </c>
      <c r="N3914">
        <f t="shared" si="553"/>
        <v>1465084.8595509448</v>
      </c>
      <c r="O3914">
        <f t="shared" si="554"/>
        <v>5826730.4598304611</v>
      </c>
      <c r="P3914">
        <f t="shared" si="555"/>
        <v>6.4071397984776859E-2</v>
      </c>
      <c r="Q3914">
        <f t="shared" si="556"/>
        <v>3.8014176150968741E-2</v>
      </c>
      <c r="R3914">
        <f t="shared" si="557"/>
        <v>1.6854419269845971E-2</v>
      </c>
      <c r="S3914">
        <f t="shared" si="549"/>
        <v>7708.9447815939075</v>
      </c>
      <c r="T3914" s="564">
        <f>IF((I3914-MAX(I$470:I3914))/MAX(I$470:I3914)&gt;T3913,T3913,(I3914-MAX(I$470:I3914))/MAX(I$470:I3914))</f>
        <v>-0.91338805338419748</v>
      </c>
      <c r="U3914" s="564">
        <f>IF((J3914-MAX(J$470:J3914))/MAX(J$470:J3914)&gt;U3913,U3913,(J3914-MAX(J$470:J3914))/MAX(J$470:J3914))</f>
        <v>-0.83569785939843477</v>
      </c>
      <c r="V3914" s="564">
        <f>IF((K3914-MAX(K$470:K3914))/MAX(K$470:K3914)&gt;V3913,V3913,(K3914-MAX(K$470:K3914))/MAX(K$470:K3914))</f>
        <v>-0.84885940676762139</v>
      </c>
      <c r="W3914" s="564">
        <f>IF((N3914-MAX(N$470:N3914))/MAX(N$470:N3914)&gt;W3913,W3913,(N3914-MAX(N$470:N3914))/MAX(N$470:N3914))</f>
        <v>-0.62788758315546067</v>
      </c>
      <c r="X3914" s="564">
        <f>IF((O3914-MAX(O$470:O3914))/MAX(O$470:O3914)&gt;X3913,X3913,(O3914-MAX(O$470:O3914))/MAX(O$470:O3914))</f>
        <v>-0.62788758315546067</v>
      </c>
    </row>
    <row r="3915" spans="1:24">
      <c r="A3915" s="799">
        <v>44317</v>
      </c>
      <c r="B3915">
        <v>57361.029370169403</v>
      </c>
      <c r="C3915">
        <v>78109.531024013195</v>
      </c>
      <c r="D3915">
        <v>2.9523281300000002</v>
      </c>
      <c r="E3915">
        <f>LN(D3915/参数实验室!$E$53)/参数实验室!$E$55</f>
        <v>0.58422555520416142</v>
      </c>
      <c r="F3915">
        <f t="shared" si="558"/>
        <v>1.3617177355717756</v>
      </c>
      <c r="G3915">
        <f>LN(F3915/参数实验室!$E$58)/参数实验室!$E$59</f>
        <v>-2.8482942992521638E-2</v>
      </c>
      <c r="H3915" s="856">
        <f>INDEX(神经网络!$G$10:$BO$70,MATCH(ROUND(G3915*2,1)/2,神经网络!$E$10:$E$70,0),MATCH(ROUND(E3915*2,1)/2,神经网络!$G$8:$BO$8,0))</f>
        <v>1.901613979957405</v>
      </c>
      <c r="I3915">
        <f t="shared" si="550"/>
        <v>10253943.738340823</v>
      </c>
      <c r="J3915">
        <f t="shared" si="551"/>
        <v>22888.563652754998</v>
      </c>
      <c r="K3915">
        <f t="shared" si="552"/>
        <v>447.99419893290684</v>
      </c>
      <c r="L3915" s="4">
        <f>MIN(MAX(L3914*(1+MAX(MIN(((B3915-B3914)/B3914)/($K$7*卓尔金历!$N$40),0),-卓尔金历!$M$43))+MIN(MAX(((B3915-B3914)/B3914)/($K$7*卓尔金历!$N$40),0),卓尔金历!$M$43),0),1)</f>
        <v>1</v>
      </c>
      <c r="M3915" s="4">
        <f>MIN(MAX(M3914*(1+MAX(MIN(((B3915-B3914)/B3914)/($K$7*30),0),-卓尔金历!$M$43))+MIN(MAX(((B3915-B3914)/B3914)/($K$7*7),0),卓尔金历!$M$43),0),1)</f>
        <v>1</v>
      </c>
      <c r="N3915">
        <f t="shared" si="553"/>
        <v>1473723.6894524128</v>
      </c>
      <c r="O3915">
        <f t="shared" si="554"/>
        <v>5861087.6050811503</v>
      </c>
      <c r="P3915">
        <f t="shared" si="555"/>
        <v>3.1007716239081786E-3</v>
      </c>
      <c r="Q3915">
        <f t="shared" si="556"/>
        <v>3.710762360822769E-2</v>
      </c>
      <c r="R3915">
        <f t="shared" si="557"/>
        <v>1</v>
      </c>
      <c r="S3915">
        <f t="shared" si="549"/>
        <v>7709.7109087747549</v>
      </c>
      <c r="T3915" s="564">
        <f>IF((I3915-MAX(I$470:I3915))/MAX(I$470:I3915)&gt;T3914,T3914,(I3915-MAX(I$470:I3915))/MAX(I$470:I3915))</f>
        <v>-0.91338805338419748</v>
      </c>
      <c r="U3915" s="564">
        <f>IF((J3915-MAX(J$470:J3915))/MAX(J$470:J3915)&gt;U3914,U3914,(J3915-MAX(J$470:J3915))/MAX(J$470:J3915))</f>
        <v>-0.83569785939843477</v>
      </c>
      <c r="V3915" s="564">
        <f>IF((K3915-MAX(K$470:K3915))/MAX(K$470:K3915)&gt;V3914,V3914,(K3915-MAX(K$470:K3915))/MAX(K$470:K3915))</f>
        <v>-0.84885940676762139</v>
      </c>
      <c r="W3915" s="564">
        <f>IF((N3915-MAX(N$470:N3915))/MAX(N$470:N3915)&gt;W3914,W3914,(N3915-MAX(N$470:N3915))/MAX(N$470:N3915))</f>
        <v>-0.62788758315546067</v>
      </c>
      <c r="X3915" s="564">
        <f>IF((O3915-MAX(O$470:O3915))/MAX(O$470:O3915)&gt;X3914,X3914,(O3915-MAX(O$470:O3915))/MAX(O$470:O3915))</f>
        <v>-0.62788758315546067</v>
      </c>
    </row>
    <row r="3916" spans="1:24">
      <c r="A3916" s="799">
        <v>44318</v>
      </c>
      <c r="B3916">
        <v>56592.861756698498</v>
      </c>
      <c r="C3916">
        <v>75587.913085547698</v>
      </c>
      <c r="D3916">
        <v>2.8824778499999999</v>
      </c>
      <c r="E3916">
        <f>LN(D3916/参数实验室!$E$53)/参数实验室!$E$55</f>
        <v>0.55597781855424766</v>
      </c>
      <c r="F3916">
        <f t="shared" si="558"/>
        <v>1.3356439441163424</v>
      </c>
      <c r="G3916">
        <f>LN(F3916/参数实验室!$E$58)/参数实验室!$E$59</f>
        <v>-3.8630162943141519E-2</v>
      </c>
      <c r="H3916" s="856">
        <f>INDEX(神经网络!$G$10:$BO$70,MATCH(ROUND(G3916*2,1)/2,神经网络!$E$10:$E$70,0),MATCH(ROUND(E3916*2,1)/2,神经网络!$G$8:$BO$8,0))</f>
        <v>1.8346866475134445</v>
      </c>
      <c r="I3916">
        <f t="shared" si="550"/>
        <v>9992816.39616579</v>
      </c>
      <c r="J3916">
        <f t="shared" si="551"/>
        <v>22582.044514065041</v>
      </c>
      <c r="K3916">
        <f t="shared" si="552"/>
        <v>442.51158879533011</v>
      </c>
      <c r="L3916" s="4">
        <f>MIN(MAX(L3915*(1+MAX(MIN(((B3916-B3915)/B3915)/($K$7*卓尔金历!$N$40),0),-卓尔金历!$M$43))+MIN(MAX(((B3916-B3915)/B3915)/($K$7*卓尔金历!$N$40),0),卓尔金历!$M$43),0),1)</f>
        <v>0.79538609910955371</v>
      </c>
      <c r="M3916" s="4">
        <f>MIN(MAX(M3915*(1+MAX(MIN(((B3916-B3915)/B3915)/($K$7*30),0),-卓尔金历!$M$43))+MIN(MAX(((B3916-B3915)/B3915)/($K$7*7),0),卓尔金历!$M$43),0),1)</f>
        <v>0.89769304955477691</v>
      </c>
      <c r="N3916">
        <f t="shared" si="553"/>
        <v>1436193.7829162411</v>
      </c>
      <c r="O3916">
        <f t="shared" si="554"/>
        <v>5711828.9132426949</v>
      </c>
      <c r="P3916">
        <f t="shared" si="555"/>
        <v>-1.3391803144146338E-2</v>
      </c>
      <c r="Q3916">
        <f t="shared" si="556"/>
        <v>3.715290863591867E-2</v>
      </c>
      <c r="R3916">
        <f t="shared" si="557"/>
        <v>1</v>
      </c>
      <c r="S3916">
        <f t="shared" si="549"/>
        <v>7513.37510179948</v>
      </c>
      <c r="T3916" s="564">
        <f>IF((I3916-MAX(I$470:I3916))/MAX(I$470:I3916)&gt;T3915,T3915,(I3916-MAX(I$470:I3916))/MAX(I$470:I3916))</f>
        <v>-0.91338805338419748</v>
      </c>
      <c r="U3916" s="564">
        <f>IF((J3916-MAX(J$470:J3916))/MAX(J$470:J3916)&gt;U3915,U3915,(J3916-MAX(J$470:J3916))/MAX(J$470:J3916))</f>
        <v>-0.83569785939843477</v>
      </c>
      <c r="V3916" s="564">
        <f>IF((K3916-MAX(K$470:K3916))/MAX(K$470:K3916)&gt;V3915,V3915,(K3916-MAX(K$470:K3916))/MAX(K$470:K3916))</f>
        <v>-0.84885940676762139</v>
      </c>
      <c r="W3916" s="564">
        <f>IF((N3916-MAX(N$470:N3916))/MAX(N$470:N3916)&gt;W3915,W3915,(N3916-MAX(N$470:N3916))/MAX(N$470:N3916))</f>
        <v>-0.62788758315546067</v>
      </c>
      <c r="X3916" s="564">
        <f>IF((O3916-MAX(O$470:O3916))/MAX(O$470:O3916)&gt;X3915,X3915,(O3916-MAX(O$470:O3916))/MAX(O$470:O3916))</f>
        <v>-0.62788758315546067</v>
      </c>
    </row>
    <row r="3917" spans="1:24">
      <c r="A3917" s="799">
        <v>44319</v>
      </c>
      <c r="B3917">
        <v>57675.944031118801</v>
      </c>
      <c r="C3917">
        <v>73120.584981036402</v>
      </c>
      <c r="D3917">
        <v>2.9091869199999998</v>
      </c>
      <c r="E3917">
        <f>LN(D3917/参数实验室!$E$53)/参数实验室!$E$55</f>
        <v>0.56685908900330173</v>
      </c>
      <c r="F3917">
        <f t="shared" si="558"/>
        <v>1.2677830629280122</v>
      </c>
      <c r="G3917">
        <f>LN(F3917/参数实验室!$E$58)/参数实验室!$E$59</f>
        <v>-6.599803425212114E-2</v>
      </c>
      <c r="H3917" s="856">
        <f>INDEX(神经网络!$G$10:$BO$70,MATCH(ROUND(G3917*2,1)/2,神经网络!$E$10:$E$70,0),MATCH(ROUND(E3917*2,1)/2,神经网络!$G$8:$BO$8,0))</f>
        <v>1.8346866475134445</v>
      </c>
      <c r="I3917">
        <f t="shared" si="550"/>
        <v>10343689.113954976</v>
      </c>
      <c r="J3917">
        <f t="shared" si="551"/>
        <v>23014.222908550615</v>
      </c>
      <c r="K3917">
        <f t="shared" si="552"/>
        <v>449.4476808996198</v>
      </c>
      <c r="L3917" s="4">
        <f>MIN(MAX(L3916*(1+MAX(MIN(((B3917-B3916)/B3916)/($K$7*卓尔金历!$N$40),0),-卓尔金历!$M$43))+MIN(MAX(((B3917-B3916)/B3916)/($K$7*卓尔金历!$N$40),0),卓尔金历!$M$43),0),1)</f>
        <v>1</v>
      </c>
      <c r="M3917" s="4">
        <f>MIN(MAX(M3916*(1+MAX(MIN(((B3917-B3916)/B3916)/($K$7*30),0),-卓尔金历!$M$43))+MIN(MAX(((B3917-B3916)/B3916)/($K$7*7),0),卓尔金历!$M$43),0),1)</f>
        <v>1</v>
      </c>
      <c r="N3917">
        <f t="shared" si="553"/>
        <v>1476303.78937189</v>
      </c>
      <c r="O3917">
        <f t="shared" si="554"/>
        <v>5891867.1479773438</v>
      </c>
      <c r="P3917">
        <f t="shared" si="555"/>
        <v>1.9138142882341631E-2</v>
      </c>
      <c r="Q3917">
        <f t="shared" si="556"/>
        <v>3.7409428962422372E-2</v>
      </c>
      <c r="R3917">
        <f t="shared" si="557"/>
        <v>0.73229368368346281</v>
      </c>
      <c r="S3917">
        <f t="shared" si="549"/>
        <v>7777.1884490305474</v>
      </c>
      <c r="T3917" s="564">
        <f>IF((I3917-MAX(I$470:I3917))/MAX(I$470:I3917)&gt;T3916,T3916,(I3917-MAX(I$470:I3917))/MAX(I$470:I3917))</f>
        <v>-0.91338805338419748</v>
      </c>
      <c r="U3917" s="564">
        <f>IF((J3917-MAX(J$470:J3917))/MAX(J$470:J3917)&gt;U3916,U3916,(J3917-MAX(J$470:J3917))/MAX(J$470:J3917))</f>
        <v>-0.83569785939843477</v>
      </c>
      <c r="V3917" s="564">
        <f>IF((K3917-MAX(K$470:K3917))/MAX(K$470:K3917)&gt;V3916,V3916,(K3917-MAX(K$470:K3917))/MAX(K$470:K3917))</f>
        <v>-0.84885940676762139</v>
      </c>
      <c r="W3917" s="564">
        <f>IF((N3917-MAX(N$470:N3917))/MAX(N$470:N3917)&gt;W3916,W3916,(N3917-MAX(N$470:N3917))/MAX(N$470:N3917))</f>
        <v>-0.62788758315546067</v>
      </c>
      <c r="X3917" s="564">
        <f>IF((O3917-MAX(O$470:O3917))/MAX(O$470:O3917)&gt;X3916,X3916,(O3917-MAX(O$470:O3917))/MAX(O$470:O3917))</f>
        <v>-0.62788758315546067</v>
      </c>
    </row>
    <row r="3918" spans="1:24">
      <c r="A3918" s="799">
        <v>44320</v>
      </c>
      <c r="B3918">
        <v>53992.819279856601</v>
      </c>
      <c r="C3918">
        <v>71318.434147396707</v>
      </c>
      <c r="D3918">
        <v>2.7267630700000001</v>
      </c>
      <c r="E3918">
        <f>LN(D3918/参数实验室!$E$53)/参数实验室!$E$55</f>
        <v>0.49046013748825096</v>
      </c>
      <c r="F3918">
        <f t="shared" si="558"/>
        <v>1.3208873901867886</v>
      </c>
      <c r="G3918">
        <f>LN(F3918/参数实验室!$E$58)/参数实验室!$E$59</f>
        <v>-4.4461162603262487E-2</v>
      </c>
      <c r="H3918" s="856">
        <f>INDEX(神经网络!$G$10:$BO$70,MATCH(ROUND(G3918*2,1)/2,神经网络!$E$10:$E$70,0),MATCH(ROUND(E3918*2,1)/2,神经网络!$G$8:$BO$8,0))</f>
        <v>1.7607737183655185</v>
      </c>
      <c r="I3918">
        <f t="shared" si="550"/>
        <v>9131810.6250332072</v>
      </c>
      <c r="J3918">
        <f t="shared" si="551"/>
        <v>21544.558988011853</v>
      </c>
      <c r="K3918">
        <f t="shared" si="552"/>
        <v>423.8569297294257</v>
      </c>
      <c r="L3918" s="4">
        <f>MIN(MAX(L3917*(1+MAX(MIN(((B3918-B3917)/B3917)/($K$7*卓尔金历!$N$40),0),-卓尔金历!$M$43))+MIN(MAX(((B3918-B3917)/B3917)/($K$7*卓尔金历!$N$40),0),卓尔金历!$M$43),0),1)</f>
        <v>2.4296650636473238E-2</v>
      </c>
      <c r="M3918" s="4">
        <f>MIN(MAX(M3917*(1+MAX(MIN(((B3918-B3917)/B3917)/($K$7*30),0),-卓尔金历!$M$43))+MIN(MAX(((B3918-B3917)/B3917)/($K$7*7),0),卓尔金历!$M$43),0),1)</f>
        <v>0.51214832531823662</v>
      </c>
      <c r="N3918">
        <f t="shared" si="553"/>
        <v>1303338.3429297924</v>
      </c>
      <c r="O3918">
        <f t="shared" si="554"/>
        <v>5201569.2303238148</v>
      </c>
      <c r="P3918">
        <f t="shared" si="555"/>
        <v>-6.3858941767385477E-2</v>
      </c>
      <c r="Q3918">
        <f t="shared" si="556"/>
        <v>3.7485667444154436E-2</v>
      </c>
      <c r="R3918">
        <f t="shared" si="557"/>
        <v>1.7480754371108506E-2</v>
      </c>
      <c r="S3918">
        <f t="shared" si="549"/>
        <v>7109.9339229944435</v>
      </c>
      <c r="T3918" s="564">
        <f>IF((I3918-MAX(I$470:I3918))/MAX(I$470:I3918)&gt;T3917,T3917,(I3918-MAX(I$470:I3918))/MAX(I$470:I3918))</f>
        <v>-0.91338805338419748</v>
      </c>
      <c r="U3918" s="564">
        <f>IF((J3918-MAX(J$470:J3918))/MAX(J$470:J3918)&gt;U3917,U3917,(J3918-MAX(J$470:J3918))/MAX(J$470:J3918))</f>
        <v>-0.83569785939843477</v>
      </c>
      <c r="V3918" s="564">
        <f>IF((K3918-MAX(K$470:K3918))/MAX(K$470:K3918)&gt;V3917,V3917,(K3918-MAX(K$470:K3918))/MAX(K$470:K3918))</f>
        <v>-0.84885940676762139</v>
      </c>
      <c r="W3918" s="564">
        <f>IF((N3918-MAX(N$470:N3918))/MAX(N$470:N3918)&gt;W3917,W3917,(N3918-MAX(N$470:N3918))/MAX(N$470:N3918))</f>
        <v>-0.62788758315546067</v>
      </c>
      <c r="X3918" s="564">
        <f>IF((O3918-MAX(O$470:O3918))/MAX(O$470:O3918)&gt;X3917,X3917,(O3918-MAX(O$470:O3918))/MAX(O$470:O3918))</f>
        <v>-0.62788758315546067</v>
      </c>
    </row>
    <row r="3919" spans="1:24">
      <c r="A3919" s="799">
        <v>44321</v>
      </c>
      <c r="B3919">
        <v>57515.848238343598</v>
      </c>
      <c r="C3919">
        <v>71279.285269227796</v>
      </c>
      <c r="D3919">
        <v>2.9006800899999998</v>
      </c>
      <c r="E3919">
        <f>LN(D3919/参数实验室!$E$53)/参数实验室!$E$55</f>
        <v>0.56340428790607722</v>
      </c>
      <c r="F3919">
        <f t="shared" si="558"/>
        <v>1.2392981665479228</v>
      </c>
      <c r="G3919">
        <f>LN(F3919/参数实验室!$E$58)/参数实验室!$E$59</f>
        <v>-7.79250960656689E-2</v>
      </c>
      <c r="H3919" s="856">
        <f>INDEX(神经网络!$G$10:$BO$70,MATCH(ROUND(G3919*2,1)/2,神经网络!$E$10:$E$70,0),MATCH(ROUND(E3919*2,1)/2,神经网络!$G$8:$BO$8,0))</f>
        <v>1.7968502729440148</v>
      </c>
      <c r="I3919">
        <f t="shared" si="550"/>
        <v>10180968.03344013</v>
      </c>
      <c r="J3919">
        <f t="shared" si="551"/>
        <v>22950.340464603767</v>
      </c>
      <c r="K3919">
        <f t="shared" si="552"/>
        <v>443.60858389626952</v>
      </c>
      <c r="L3919" s="4">
        <f>MIN(MAX(L3918*(1+MAX(MIN(((B3919-B3918)/B3918)/($K$7*卓尔金历!$N$40),0),-卓尔金历!$M$43))+MIN(MAX(((B3919-B3918)/B3918)/($K$7*卓尔金历!$N$40),0),卓尔金历!$M$43),0),1)</f>
        <v>1</v>
      </c>
      <c r="M3919" s="4">
        <f>MIN(MAX(M3918*(1+MAX(MIN(((B3919-B3918)/B3918)/($K$7*30),0),-卓尔金历!$M$43))+MIN(MAX(((B3919-B3918)/B3918)/($K$7*7),0),卓尔金历!$M$43),0),1)</f>
        <v>1</v>
      </c>
      <c r="N3919">
        <f t="shared" si="553"/>
        <v>1306976.5493512515</v>
      </c>
      <c r="O3919">
        <f t="shared" si="554"/>
        <v>5507634.3898747703</v>
      </c>
      <c r="P3919">
        <f t="shared" si="555"/>
        <v>6.5249953706369115E-2</v>
      </c>
      <c r="Q3919">
        <f t="shared" si="556"/>
        <v>4.0508112865897769E-2</v>
      </c>
      <c r="R3919">
        <f t="shared" si="557"/>
        <v>1.9615385166848454E-2</v>
      </c>
      <c r="S3919">
        <f t="shared" si="549"/>
        <v>7124.2133075648871</v>
      </c>
      <c r="T3919" s="564">
        <f>IF((I3919-MAX(I$470:I3919))/MAX(I$470:I3919)&gt;T3918,T3918,(I3919-MAX(I$470:I3919))/MAX(I$470:I3919))</f>
        <v>-0.91338805338419748</v>
      </c>
      <c r="U3919" s="564">
        <f>IF((J3919-MAX(J$470:J3919))/MAX(J$470:J3919)&gt;U3918,U3918,(J3919-MAX(J$470:J3919))/MAX(J$470:J3919))</f>
        <v>-0.83569785939843477</v>
      </c>
      <c r="V3919" s="564">
        <f>IF((K3919-MAX(K$470:K3919))/MAX(K$470:K3919)&gt;V3918,V3918,(K3919-MAX(K$470:K3919))/MAX(K$470:K3919))</f>
        <v>-0.84885940676762139</v>
      </c>
      <c r="W3919" s="564">
        <f>IF((N3919-MAX(N$470:N3919))/MAX(N$470:N3919)&gt;W3918,W3918,(N3919-MAX(N$470:N3919))/MAX(N$470:N3919))</f>
        <v>-0.62788758315546067</v>
      </c>
      <c r="X3919" s="564">
        <f>IF((O3919-MAX(O$470:O3919))/MAX(O$470:O3919)&gt;X3918,X3918,(O3919-MAX(O$470:O3919))/MAX(O$470:O3919))</f>
        <v>-0.62788758315546067</v>
      </c>
    </row>
    <row r="3920" spans="1:24">
      <c r="A3920" s="799">
        <v>44322</v>
      </c>
      <c r="B3920">
        <v>57100.399258515201</v>
      </c>
      <c r="C3920">
        <v>69982.502141149802</v>
      </c>
      <c r="D3920">
        <v>2.8456443983000002</v>
      </c>
      <c r="E3920">
        <f>LN(D3920/参数实验室!$E$53)/参数实验室!$E$55</f>
        <v>0.54080531308518953</v>
      </c>
      <c r="F3920">
        <f t="shared" si="558"/>
        <v>1.2256044274631501</v>
      </c>
      <c r="G3920">
        <f>LN(F3920/参数实验室!$E$58)/参数实验室!$E$59</f>
        <v>-8.3756797718416084E-2</v>
      </c>
      <c r="H3920" s="856">
        <f>INDEX(神经网络!$G$10:$BO$70,MATCH(ROUND(G3920*2,1)/2,神经网络!$E$10:$E$70,0),MATCH(ROUND(E3920*2,1)/2,神经网络!$G$8:$BO$8,0))</f>
        <v>1.7968502729440148</v>
      </c>
      <c r="I3920">
        <f t="shared" si="550"/>
        <v>10048828.998240869</v>
      </c>
      <c r="J3920">
        <f t="shared" si="551"/>
        <v>22784.565363918078</v>
      </c>
      <c r="K3920">
        <f t="shared" si="552"/>
        <v>441.03667714260285</v>
      </c>
      <c r="L3920" s="4">
        <f>MIN(MAX(L3919*(1+MAX(MIN(((B3920-B3919)/B3919)/($K$7*卓尔金历!$N$40),0),-卓尔金历!$M$43))+MIN(MAX(((B3920-B3919)/B3919)/($K$7*卓尔金历!$N$40),0),卓尔金历!$M$43),0),1)</f>
        <v>0.88963630147795703</v>
      </c>
      <c r="M3920" s="4">
        <f>MIN(MAX(M3919*(1+MAX(MIN(((B3920-B3919)/B3919)/($K$7*30),0),-卓尔金历!$M$43))+MIN(MAX(((B3920-B3919)/B3919)/($K$7*7),0),卓尔金历!$M$43),0),1)</f>
        <v>0.94481815073897857</v>
      </c>
      <c r="N3920">
        <f t="shared" si="553"/>
        <v>1290013.2684832558</v>
      </c>
      <c r="O3920">
        <f t="shared" si="554"/>
        <v>5436150.6672937851</v>
      </c>
      <c r="P3920">
        <f t="shared" si="555"/>
        <v>-7.2232087772885131E-3</v>
      </c>
      <c r="Q3920">
        <f t="shared" si="556"/>
        <v>4.051573064830389E-2</v>
      </c>
      <c r="R3920">
        <f t="shared" si="557"/>
        <v>1</v>
      </c>
      <c r="S3920">
        <f t="shared" si="549"/>
        <v>7122.3995643018216</v>
      </c>
      <c r="T3920" s="564">
        <f>IF((I3920-MAX(I$470:I3920))/MAX(I$470:I3920)&gt;T3919,T3919,(I3920-MAX(I$470:I3920))/MAX(I$470:I3920))</f>
        <v>-0.91338805338419748</v>
      </c>
      <c r="U3920" s="564">
        <f>IF((J3920-MAX(J$470:J3920))/MAX(J$470:J3920)&gt;U3919,U3919,(J3920-MAX(J$470:J3920))/MAX(J$470:J3920))</f>
        <v>-0.83569785939843477</v>
      </c>
      <c r="V3920" s="564">
        <f>IF((K3920-MAX(K$470:K3920))/MAX(K$470:K3920)&gt;V3919,V3919,(K3920-MAX(K$470:K3920))/MAX(K$470:K3920))</f>
        <v>-0.84885940676762139</v>
      </c>
      <c r="W3920" s="564">
        <f>IF((N3920-MAX(N$470:N3920))/MAX(N$470:N3920)&gt;W3919,W3919,(N3920-MAX(N$470:N3920))/MAX(N$470:N3920))</f>
        <v>-0.62788758315546067</v>
      </c>
      <c r="X3920" s="564">
        <f>IF((O3920-MAX(O$470:O3920))/MAX(O$470:O3920)&gt;X3919,X3919,(O3920-MAX(O$470:O3920))/MAX(O$470:O3920))</f>
        <v>-0.62788758315546067</v>
      </c>
    </row>
    <row r="3921" spans="1:24">
      <c r="A3921" s="799">
        <v>44323</v>
      </c>
      <c r="B3921">
        <v>57465.155732089203</v>
      </c>
      <c r="C3921">
        <v>69254.1326668127</v>
      </c>
      <c r="D3921">
        <v>2.86911512</v>
      </c>
      <c r="E3921">
        <f>LN(D3921/参数实验室!$E$53)/参数实验室!$E$55</f>
        <v>0.55049594509313482</v>
      </c>
      <c r="F3921">
        <f t="shared" si="558"/>
        <v>1.2051500041118031</v>
      </c>
      <c r="G3921">
        <f>LN(F3921/参数实验室!$E$58)/参数实验室!$E$59</f>
        <v>-9.2590137738672681E-2</v>
      </c>
      <c r="H3921" s="856">
        <f>INDEX(神经网络!$G$10:$BO$70,MATCH(ROUND(G3921*2,1)/2,神经网络!$E$10:$E$70,0),MATCH(ROUND(E3921*2,1)/2,神经网络!$G$8:$BO$8,0))</f>
        <v>1.7968502729440148</v>
      </c>
      <c r="I3921">
        <f t="shared" si="550"/>
        <v>10164171.989278933</v>
      </c>
      <c r="J3921">
        <f t="shared" si="551"/>
        <v>22930.112817560788</v>
      </c>
      <c r="K3921">
        <f t="shared" si="552"/>
        <v>443.26742175881526</v>
      </c>
      <c r="L3921" s="4">
        <f>MIN(MAX(L3920*(1+MAX(MIN(((B3921-B3920)/B3920)/($K$7*卓尔金历!$N$40),0),-卓尔金历!$M$43))+MIN(MAX(((B3921-B3920)/B3920)/($K$7*卓尔金历!$N$40),0),卓尔金历!$M$43),0),1)</f>
        <v>0.987238576733099</v>
      </c>
      <c r="M3921" s="4">
        <f>MIN(MAX(M3920*(1+MAX(MIN(((B3921-B3920)/B3920)/($K$7*30),0),-卓尔金历!$M$43))+MIN(MAX(((B3921-B3920)/B3920)/($K$7*7),0),卓尔金历!$M$43),0),1)</f>
        <v>1</v>
      </c>
      <c r="N3921">
        <f t="shared" si="553"/>
        <v>1303186.1997730371</v>
      </c>
      <c r="O3921">
        <f t="shared" si="554"/>
        <v>5495104.9644625774</v>
      </c>
      <c r="P3921">
        <f t="shared" si="555"/>
        <v>6.3879846430251819E-3</v>
      </c>
      <c r="Q3921">
        <f t="shared" si="556"/>
        <v>4.039759169485814E-2</v>
      </c>
      <c r="R3921">
        <f t="shared" si="557"/>
        <v>1</v>
      </c>
      <c r="S3921">
        <f t="shared" si="549"/>
        <v>7204.1522609850454</v>
      </c>
      <c r="T3921" s="564">
        <f>IF((I3921-MAX(I$470:I3921))/MAX(I$470:I3921)&gt;T3920,T3920,(I3921-MAX(I$470:I3921))/MAX(I$470:I3921))</f>
        <v>-0.91338805338419748</v>
      </c>
      <c r="U3921" s="564">
        <f>IF((J3921-MAX(J$470:J3921))/MAX(J$470:J3921)&gt;U3920,U3920,(J3921-MAX(J$470:J3921))/MAX(J$470:J3921))</f>
        <v>-0.83569785939843477</v>
      </c>
      <c r="V3921" s="564">
        <f>IF((K3921-MAX(K$470:K3921))/MAX(K$470:K3921)&gt;V3920,V3920,(K3921-MAX(K$470:K3921))/MAX(K$470:K3921))</f>
        <v>-0.84885940676762139</v>
      </c>
      <c r="W3921" s="564">
        <f>IF((N3921-MAX(N$470:N3921))/MAX(N$470:N3921)&gt;W3920,W3920,(N3921-MAX(N$470:N3921))/MAX(N$470:N3921))</f>
        <v>-0.62788758315546067</v>
      </c>
      <c r="X3921" s="564">
        <f>IF((O3921-MAX(O$470:O3921))/MAX(O$470:O3921)&gt;X3920,X3920,(O3921-MAX(O$470:O3921))/MAX(O$470:O3921))</f>
        <v>-0.62788758315546067</v>
      </c>
    </row>
    <row r="3922" spans="1:24">
      <c r="A3922" s="799">
        <v>44324</v>
      </c>
      <c r="B3922">
        <v>57597.641890083498</v>
      </c>
      <c r="C3922">
        <v>67482.453068193106</v>
      </c>
      <c r="D3922">
        <v>2.9338916199999998</v>
      </c>
      <c r="E3922">
        <f>LN(D3922/参数实验室!$E$53)/参数实验室!$E$55</f>
        <v>0.57683520807781741</v>
      </c>
      <c r="F3922">
        <f t="shared" si="558"/>
        <v>1.1716183311284392</v>
      </c>
      <c r="G3922">
        <f>LN(F3922/参数实验室!$E$58)/参数实验室!$E$59</f>
        <v>-0.10740050158935766</v>
      </c>
      <c r="H3922" s="856">
        <f>INDEX(神经网络!$G$10:$BO$70,MATCH(ROUND(G3922*2,1)/2,神经网络!$E$10:$E$70,0),MATCH(ROUND(E3922*2,1)/2,神经网络!$G$8:$BO$8,0))</f>
        <v>1.8661238013833901</v>
      </c>
      <c r="I3922">
        <f t="shared" si="550"/>
        <v>10206278.554231493</v>
      </c>
      <c r="J3922">
        <f t="shared" si="551"/>
        <v>22982.978289008173</v>
      </c>
      <c r="K3922">
        <f t="shared" si="552"/>
        <v>444.07989364514788</v>
      </c>
      <c r="L3922" s="4">
        <f>MIN(MAX(L3921*(1+MAX(MIN(((B3922-B3921)/B3921)/($K$7*卓尔金历!$N$40),0),-卓尔金历!$M$43))+MIN(MAX(((B3922-B3921)/B3921)/($K$7*卓尔金历!$N$40),0),卓尔金历!$M$43),0),1)</f>
        <v>1</v>
      </c>
      <c r="M3922" s="4">
        <f>MIN(MAX(M3921*(1+MAX(MIN(((B3922-B3921)/B3921)/($K$7*30),0),-卓尔金历!$M$43))+MIN(MAX(((B3922-B3921)/B3921)/($K$7*7),0),卓尔金历!$M$43),0),1)</f>
        <v>1</v>
      </c>
      <c r="N3922">
        <f t="shared" si="553"/>
        <v>1308515.9443645852</v>
      </c>
      <c r="O3922">
        <f t="shared" si="554"/>
        <v>5517869.2382618925</v>
      </c>
      <c r="P3922">
        <f t="shared" si="555"/>
        <v>2.3055042017455728E-3</v>
      </c>
      <c r="Q3922">
        <f t="shared" si="556"/>
        <v>4.024097695215724E-2</v>
      </c>
      <c r="R3922">
        <f t="shared" si="557"/>
        <v>1</v>
      </c>
      <c r="S3922">
        <f t="shared" si="549"/>
        <v>7233.9965124818964</v>
      </c>
      <c r="T3922" s="564">
        <f>IF((I3922-MAX(I$470:I3922))/MAX(I$470:I3922)&gt;T3921,T3921,(I3922-MAX(I$470:I3922))/MAX(I$470:I3922))</f>
        <v>-0.91338805338419748</v>
      </c>
      <c r="U3922" s="564">
        <f>IF((J3922-MAX(J$470:J3922))/MAX(J$470:J3922)&gt;U3921,U3921,(J3922-MAX(J$470:J3922))/MAX(J$470:J3922))</f>
        <v>-0.83569785939843477</v>
      </c>
      <c r="V3922" s="564">
        <f>IF((K3922-MAX(K$470:K3922))/MAX(K$470:K3922)&gt;V3921,V3921,(K3922-MAX(K$470:K3922))/MAX(K$470:K3922))</f>
        <v>-0.84885940676762139</v>
      </c>
      <c r="W3922" s="564">
        <f>IF((N3922-MAX(N$470:N3922))/MAX(N$470:N3922)&gt;W3921,W3921,(N3922-MAX(N$470:N3922))/MAX(N$470:N3922))</f>
        <v>-0.62788758315546067</v>
      </c>
      <c r="X3922" s="564">
        <f>IF((O3922-MAX(O$470:O3922))/MAX(O$470:O3922)&gt;X3921,X3921,(O3922-MAX(O$470:O3922))/MAX(O$470:O3922))</f>
        <v>-0.62788758315546067</v>
      </c>
    </row>
    <row r="3923" spans="1:24">
      <c r="A3923" s="799">
        <v>44325</v>
      </c>
      <c r="B3923">
        <v>57426.167094525103</v>
      </c>
      <c r="C3923">
        <v>65909.507417781206</v>
      </c>
      <c r="D3923">
        <v>2.9047247199999999</v>
      </c>
      <c r="E3923">
        <f>LN(D3923/参数实验室!$E$53)/参数实验室!$E$55</f>
        <v>0.56504815815849818</v>
      </c>
      <c r="F3923">
        <f t="shared" si="558"/>
        <v>1.1477260411493646</v>
      </c>
      <c r="G3923">
        <f>LN(F3923/参数实验室!$E$58)/参数实验室!$E$59</f>
        <v>-0.11821425459651912</v>
      </c>
      <c r="H3923" s="856">
        <f>INDEX(神经网络!$G$10:$BO$70,MATCH(ROUND(G3923*2,1)/2,神经网络!$E$10:$E$70,0),MATCH(ROUND(E3923*2,1)/2,神经网络!$G$8:$BO$8,0))</f>
        <v>1.7968502729440148</v>
      </c>
      <c r="I3923">
        <f t="shared" si="550"/>
        <v>10149575.890715681</v>
      </c>
      <c r="J3923">
        <f t="shared" si="551"/>
        <v>22914.555322822307</v>
      </c>
      <c r="K3923">
        <f t="shared" si="552"/>
        <v>442.93139219712305</v>
      </c>
      <c r="L3923" s="4">
        <f>MIN(MAX(L3922*(1+MAX(MIN(((B3923-B3922)/B3922)/($K$7*卓尔金历!$N$40),0),-卓尔金历!$M$43))+MIN(MAX(((B3923-B3922)/B3922)/($K$7*卓尔金历!$N$40),0),卓尔金历!$M$43),0),1)</f>
        <v>0.95451254186620005</v>
      </c>
      <c r="M3923" s="4">
        <f>MIN(MAX(M3922*(1+MAX(MIN(((B3923-B3922)/B3922)/($K$7*30),0),-卓尔金历!$M$43))+MIN(MAX(((B3923-B3922)/B3922)/($K$7*7),0),卓尔金历!$M$43),0),1)</f>
        <v>0.97725627093310008</v>
      </c>
      <c r="N3923">
        <f t="shared" si="553"/>
        <v>1301246.2682623572</v>
      </c>
      <c r="O3923">
        <f t="shared" si="554"/>
        <v>5487213.8058161754</v>
      </c>
      <c r="P3923">
        <f t="shared" si="555"/>
        <v>-2.9771148597650806E-3</v>
      </c>
      <c r="Q3923">
        <f t="shared" si="556"/>
        <v>3.6185269909740921E-2</v>
      </c>
      <c r="R3923">
        <f t="shared" si="557"/>
        <v>1</v>
      </c>
      <c r="S3923">
        <f t="shared" si="549"/>
        <v>7193.8068519761337</v>
      </c>
      <c r="T3923" s="564">
        <f>IF((I3923-MAX(I$470:I3923))/MAX(I$470:I3923)&gt;T3922,T3922,(I3923-MAX(I$470:I3923))/MAX(I$470:I3923))</f>
        <v>-0.91338805338419748</v>
      </c>
      <c r="U3923" s="564">
        <f>IF((J3923-MAX(J$470:J3923))/MAX(J$470:J3923)&gt;U3922,U3922,(J3923-MAX(J$470:J3923))/MAX(J$470:J3923))</f>
        <v>-0.83569785939843477</v>
      </c>
      <c r="V3923" s="564">
        <f>IF((K3923-MAX(K$470:K3923))/MAX(K$470:K3923)&gt;V3922,V3922,(K3923-MAX(K$470:K3923))/MAX(K$470:K3923))</f>
        <v>-0.84885940676762139</v>
      </c>
      <c r="W3923" s="564">
        <f>IF((N3923-MAX(N$470:N3923))/MAX(N$470:N3923)&gt;W3922,W3922,(N3923-MAX(N$470:N3923))/MAX(N$470:N3923))</f>
        <v>-0.62788758315546067</v>
      </c>
      <c r="X3923" s="564">
        <f>IF((O3923-MAX(O$470:O3923))/MAX(O$470:O3923)&gt;X3922,X3922,(O3923-MAX(O$470:O3923))/MAX(O$470:O3923))</f>
        <v>-0.62788758315546067</v>
      </c>
    </row>
    <row r="3924" spans="1:24">
      <c r="A3924" s="799">
        <v>44326</v>
      </c>
      <c r="B3924">
        <v>58150.691404036901</v>
      </c>
      <c r="C3924">
        <v>64876.911803691502</v>
      </c>
      <c r="D3924">
        <v>2.7820887399999998</v>
      </c>
      <c r="E3924">
        <f>LN(D3924/参数实验室!$E$53)/参数实验室!$E$55</f>
        <v>0.51415757408742857</v>
      </c>
      <c r="F3924">
        <f t="shared" si="558"/>
        <v>1.1156687949403754</v>
      </c>
      <c r="G3924">
        <f>LN(F3924/参数实验室!$E$58)/参数实验室!$E$59</f>
        <v>-0.13308262860618003</v>
      </c>
      <c r="H3924" s="856">
        <f>INDEX(神经网络!$G$10:$BO$70,MATCH(ROUND(G3924*2,1)/2,神经网络!$E$10:$E$70,0),MATCH(ROUND(E3924*2,1)/2,神经网络!$G$8:$BO$8,0))</f>
        <v>1.6795817831332025</v>
      </c>
      <c r="I3924">
        <f t="shared" si="550"/>
        <v>10379668.631105594</v>
      </c>
      <c r="J3924">
        <f t="shared" si="551"/>
        <v>23203.659632112358</v>
      </c>
      <c r="K3924">
        <f t="shared" si="552"/>
        <v>447.32894705716194</v>
      </c>
      <c r="L3924" s="4">
        <f>MIN(MAX(L3923*(1+MAX(MIN(((B3924-B3923)/B3923)/($K$7*卓尔金历!$N$40),0),-卓尔金历!$M$43))+MIN(MAX(((B3924-B3923)/B3923)/($K$7*卓尔金历!$N$40),0),卓尔金历!$M$43),0),1)</f>
        <v>1</v>
      </c>
      <c r="M3924" s="4">
        <f>MIN(MAX(M3923*(1+MAX(MIN(((B3924-B3923)/B3923)/($K$7*30),0),-卓尔金历!$M$43))+MIN(MAX(((B3924-B3923)/B3923)/($K$7*7),0),卓尔金历!$M$43),0),1)</f>
        <v>1</v>
      </c>
      <c r="N3924">
        <f t="shared" si="553"/>
        <v>1329403.9021319961</v>
      </c>
      <c r="O3924">
        <f t="shared" si="554"/>
        <v>5608780.713541924</v>
      </c>
      <c r="P3924">
        <f t="shared" si="555"/>
        <v>1.2616623155768187E-2</v>
      </c>
      <c r="Q3924">
        <f t="shared" si="556"/>
        <v>3.6027843926928746E-2</v>
      </c>
      <c r="R3924">
        <f t="shared" si="557"/>
        <v>1</v>
      </c>
      <c r="S3924">
        <f t="shared" si="549"/>
        <v>7356.8917680582972</v>
      </c>
      <c r="T3924" s="564">
        <f>IF((I3924-MAX(I$470:I3924))/MAX(I$470:I3924)&gt;T3923,T3923,(I3924-MAX(I$470:I3924))/MAX(I$470:I3924))</f>
        <v>-0.91338805338419748</v>
      </c>
      <c r="U3924" s="564">
        <f>IF((J3924-MAX(J$470:J3924))/MAX(J$470:J3924)&gt;U3923,U3923,(J3924-MAX(J$470:J3924))/MAX(J$470:J3924))</f>
        <v>-0.83569785939843477</v>
      </c>
      <c r="V3924" s="564">
        <f>IF((K3924-MAX(K$470:K3924))/MAX(K$470:K3924)&gt;V3923,V3923,(K3924-MAX(K$470:K3924))/MAX(K$470:K3924))</f>
        <v>-0.84885940676762139</v>
      </c>
      <c r="W3924" s="564">
        <f>IF((N3924-MAX(N$470:N3924))/MAX(N$470:N3924)&gt;W3923,W3923,(N3924-MAX(N$470:N3924))/MAX(N$470:N3924))</f>
        <v>-0.62788758315546067</v>
      </c>
      <c r="X3924" s="564">
        <f>IF((O3924-MAX(O$470:O3924))/MAX(O$470:O3924)&gt;X3923,X3923,(O3924-MAX(O$470:O3924))/MAX(O$470:O3924))</f>
        <v>-0.62788758315546067</v>
      </c>
    </row>
    <row r="3925" spans="1:24">
      <c r="A3925" s="799">
        <v>44327</v>
      </c>
      <c r="B3925">
        <v>56017.555693732</v>
      </c>
      <c r="C3925">
        <v>63689.584095746701</v>
      </c>
      <c r="D3925">
        <v>2.8128063600000002</v>
      </c>
      <c r="E3925">
        <f>LN(D3925/参数实验室!$E$53)/参数实验室!$E$55</f>
        <v>0.52711208898877182</v>
      </c>
      <c r="F3925">
        <f t="shared" si="558"/>
        <v>1.1369575717291276</v>
      </c>
      <c r="G3925">
        <f>LN(F3925/参数实验室!$E$58)/参数实验室!$E$59</f>
        <v>-0.12316191258711283</v>
      </c>
      <c r="H3925" s="856">
        <f>INDEX(神经网络!$G$10:$BO$70,MATCH(ROUND(G3925*2,1)/2,神经网络!$E$10:$E$70,0),MATCH(ROUND(E3925*2,1)/2,神经网络!$G$8:$BO$8,0))</f>
        <v>1.7968502729440148</v>
      </c>
      <c r="I3925">
        <f t="shared" si="550"/>
        <v>9740157.2939950209</v>
      </c>
      <c r="J3925">
        <f t="shared" si="551"/>
        <v>22352.482220873819</v>
      </c>
      <c r="K3925">
        <f t="shared" si="552"/>
        <v>435.75282591654161</v>
      </c>
      <c r="L3925" s="4">
        <f>MIN(MAX(L3924*(1+MAX(MIN(((B3925-B3924)/B3924)/($K$7*卓尔金历!$N$40),0),-卓尔金历!$M$43))+MIN(MAX(((B3925-B3924)/B3924)/($K$7*卓尔金历!$N$40),0),卓尔金历!$M$43),0),1)</f>
        <v>0.43952056545989471</v>
      </c>
      <c r="M3925" s="4">
        <f>MIN(MAX(M3924*(1+MAX(MIN(((B3925-B3924)/B3924)/($K$7*30),0),-卓尔金历!$M$43))+MIN(MAX(((B3925-B3924)/B3924)/($K$7*7),0),卓尔金历!$M$43),0),1)</f>
        <v>0.71976028272994741</v>
      </c>
      <c r="N3925">
        <f t="shared" si="553"/>
        <v>1247496.7722199028</v>
      </c>
      <c r="O3925">
        <f t="shared" si="554"/>
        <v>5263212.952069453</v>
      </c>
      <c r="P3925">
        <f t="shared" si="555"/>
        <v>-3.66828950576642E-2</v>
      </c>
      <c r="Q3925">
        <f t="shared" si="556"/>
        <v>3.6947714570316245E-2</v>
      </c>
      <c r="R3925">
        <f t="shared" si="557"/>
        <v>4.3480222037451319E-2</v>
      </c>
      <c r="S3925">
        <f t="shared" si="549"/>
        <v>6903.6195241381565</v>
      </c>
      <c r="T3925" s="564">
        <f>IF((I3925-MAX(I$470:I3925))/MAX(I$470:I3925)&gt;T3924,T3924,(I3925-MAX(I$470:I3925))/MAX(I$470:I3925))</f>
        <v>-0.91338805338419748</v>
      </c>
      <c r="U3925" s="564">
        <f>IF((J3925-MAX(J$470:J3925))/MAX(J$470:J3925)&gt;U3924,U3924,(J3925-MAX(J$470:J3925))/MAX(J$470:J3925))</f>
        <v>-0.83569785939843477</v>
      </c>
      <c r="V3925" s="564">
        <f>IF((K3925-MAX(K$470:K3925))/MAX(K$470:K3925)&gt;V3924,V3924,(K3925-MAX(K$470:K3925))/MAX(K$470:K3925))</f>
        <v>-0.84885940676762139</v>
      </c>
      <c r="W3925" s="564">
        <f>IF((N3925-MAX(N$470:N3925))/MAX(N$470:N3925)&gt;W3924,W3924,(N3925-MAX(N$470:N3925))/MAX(N$470:N3925))</f>
        <v>-0.62788758315546067</v>
      </c>
      <c r="X3925" s="564">
        <f>IF((O3925-MAX(O$470:O3925))/MAX(O$470:O3925)&gt;X3924,X3924,(O3925-MAX(O$470:O3925))/MAX(O$470:O3925))</f>
        <v>-0.62788758315546067</v>
      </c>
    </row>
    <row r="3926" spans="1:24">
      <c r="A3926" s="799">
        <v>44328</v>
      </c>
      <c r="B3926">
        <v>55562.5364958973</v>
      </c>
      <c r="C3926">
        <v>62488.411491736602</v>
      </c>
      <c r="D3926">
        <v>2.5287101625999999</v>
      </c>
      <c r="E3926">
        <f>LN(D3926/参数实验室!$E$53)/参数实验室!$E$55</f>
        <v>0.40149982778923166</v>
      </c>
      <c r="F3926">
        <f t="shared" si="558"/>
        <v>1.1246500867783584</v>
      </c>
      <c r="G3926">
        <f>LN(F3926/参数实验室!$E$58)/参数实验室!$E$59</f>
        <v>-0.12887439501494233</v>
      </c>
      <c r="H3926" s="856">
        <f>INDEX(神经网络!$G$10:$BO$70,MATCH(ROUND(G3926*2,1)/2,神经网络!$E$10:$E$70,0),MATCH(ROUND(E3926*2,1)/2,神经网络!$G$8:$BO$8,0))</f>
        <v>1.5130546766770299</v>
      </c>
      <c r="I3926">
        <f t="shared" si="550"/>
        <v>9597995.3262467012</v>
      </c>
      <c r="J3926">
        <f t="shared" si="551"/>
        <v>22170.917559513658</v>
      </c>
      <c r="K3926">
        <f t="shared" si="552"/>
        <v>432.90925152207564</v>
      </c>
      <c r="L3926" s="4">
        <f>MIN(MAX(L3925*(1+MAX(MIN(((B3926-B3925)/B3925)/($K$7*卓尔金历!$N$40),0),-卓尔金历!$M$43))+MIN(MAX(((B3926-B3925)/B3925)/($K$7*卓尔金历!$N$40),0),卓尔金历!$M$43),0),1)</f>
        <v>0.38497231258852871</v>
      </c>
      <c r="M3926" s="4">
        <f>MIN(MAX(M3925*(1+MAX(MIN(((B3926-B3925)/B3925)/($K$7*30),0),-卓尔金历!$M$43))+MIN(MAX(((B3926-B3925)/B3925)/($K$7*7),0),卓尔金历!$M$43),0),1)</f>
        <v>0.67509608610920746</v>
      </c>
      <c r="N3926">
        <f t="shared" si="553"/>
        <v>1239494.0805015941</v>
      </c>
      <c r="O3926">
        <f t="shared" si="554"/>
        <v>5207921.7189239226</v>
      </c>
      <c r="P3926">
        <f t="shared" si="555"/>
        <v>-8.122796366240111E-3</v>
      </c>
      <c r="Q3926">
        <f t="shared" si="556"/>
        <v>3.6898361346830909E-2</v>
      </c>
      <c r="R3926">
        <f t="shared" si="557"/>
        <v>1</v>
      </c>
      <c r="S3926">
        <f t="shared" si="549"/>
        <v>6899.2383949730001</v>
      </c>
      <c r="T3926" s="564">
        <f>IF((I3926-MAX(I$470:I3926))/MAX(I$470:I3926)&gt;T3925,T3925,(I3926-MAX(I$470:I3926))/MAX(I$470:I3926))</f>
        <v>-0.91338805338419748</v>
      </c>
      <c r="U3926" s="564">
        <f>IF((J3926-MAX(J$470:J3926))/MAX(J$470:J3926)&gt;U3925,U3925,(J3926-MAX(J$470:J3926))/MAX(J$470:J3926))</f>
        <v>-0.83569785939843477</v>
      </c>
      <c r="V3926" s="564">
        <f>IF((K3926-MAX(K$470:K3926))/MAX(K$470:K3926)&gt;V3925,V3925,(K3926-MAX(K$470:K3926))/MAX(K$470:K3926))</f>
        <v>-0.84885940676762139</v>
      </c>
      <c r="W3926" s="564">
        <f>IF((N3926-MAX(N$470:N3926))/MAX(N$470:N3926)&gt;W3925,W3925,(N3926-MAX(N$470:N3926))/MAX(N$470:N3926))</f>
        <v>-0.62788758315546067</v>
      </c>
      <c r="X3926" s="564">
        <f>IF((O3926-MAX(O$470:O3926))/MAX(O$470:O3926)&gt;X3925,X3925,(O3926-MAX(O$470:O3926))/MAX(O$470:O3926))</f>
        <v>-0.62788758315546067</v>
      </c>
    </row>
    <row r="3927" spans="1:24">
      <c r="A3927" s="799">
        <v>44329</v>
      </c>
      <c r="B3927">
        <v>49549.070451130101</v>
      </c>
      <c r="C3927">
        <v>61693.455619907603</v>
      </c>
      <c r="D3927">
        <v>2.4489477000000002</v>
      </c>
      <c r="E3927">
        <f>LN(D3927/参数实验室!$E$53)/参数实验室!$E$55</f>
        <v>0.36368763502298085</v>
      </c>
      <c r="F3927">
        <f t="shared" si="558"/>
        <v>1.245098143279104</v>
      </c>
      <c r="G3927">
        <f>LN(F3927/参数实验室!$E$58)/参数实验室!$E$59</f>
        <v>-7.5474483210152987E-2</v>
      </c>
      <c r="H3927" s="856">
        <f>INDEX(神经网络!$G$10:$BO$70,MATCH(ROUND(G3927*2,1)/2,神经网络!$E$10:$E$70,0),MATCH(ROUND(E3927*2,1)/2,神经网络!$G$8:$BO$8,0))</f>
        <v>1.4668103302743836</v>
      </c>
      <c r="I3927">
        <f t="shared" si="550"/>
        <v>8026265.2788357567</v>
      </c>
      <c r="J3927">
        <f t="shared" si="551"/>
        <v>19771.385998615377</v>
      </c>
      <c r="K3927">
        <f t="shared" si="552"/>
        <v>405.95359775980546</v>
      </c>
      <c r="L3927" s="4">
        <f>MIN(MAX(L3926*(1+MAX(MIN(((B3927-B3926)/B3926)/($K$7*卓尔金历!$N$40),0),-卓尔金历!$M$43))+MIN(MAX(((B3927-B3926)/B3926)/($K$7*卓尔金历!$N$40),0),卓尔金历!$M$43),0),1)</f>
        <v>0</v>
      </c>
      <c r="M3927" s="4">
        <f>MIN(MAX(M3926*(1+MAX(MIN(((B3927-B3926)/B3926)/($K$7*30),0),-卓尔金历!$M$43))+MIN(MAX(((B3927-B3926)/B3926)/($K$7*7),0),卓尔金历!$M$43),0),1)</f>
        <v>0.11691582768786683</v>
      </c>
      <c r="N3927">
        <f t="shared" si="553"/>
        <v>1161354.4461414688</v>
      </c>
      <c r="O3927">
        <f t="shared" si="554"/>
        <v>4632180.3188910745</v>
      </c>
      <c r="P3927">
        <f t="shared" si="555"/>
        <v>-0.10822878910884909</v>
      </c>
      <c r="Q3927">
        <f t="shared" si="556"/>
        <v>4.3276127910266811E-2</v>
      </c>
      <c r="R3927">
        <f t="shared" si="557"/>
        <v>3.0756171705246587E-3</v>
      </c>
      <c r="S3927">
        <f t="shared" ref="S3927:S3985" si="559">S3926*(1+(B3927-B3926)/B3926*H3926*R3926)</f>
        <v>5769.4461913888827</v>
      </c>
      <c r="T3927" s="564">
        <f>IF((I3927-MAX(I$470:I3927))/MAX(I$470:I3927)&gt;T3926,T3926,(I3927-MAX(I$470:I3927))/MAX(I$470:I3927))</f>
        <v>-0.91338805338419748</v>
      </c>
      <c r="U3927" s="564">
        <f>IF((J3927-MAX(J$470:J3927))/MAX(J$470:J3927)&gt;U3926,U3926,(J3927-MAX(J$470:J3927))/MAX(J$470:J3927))</f>
        <v>-0.83569785939843477</v>
      </c>
      <c r="V3927" s="564">
        <f>IF((K3927-MAX(K$470:K3927))/MAX(K$470:K3927)&gt;V3926,V3926,(K3927-MAX(K$470:K3927))/MAX(K$470:K3927))</f>
        <v>-0.84885940676762139</v>
      </c>
      <c r="W3927" s="564">
        <f>IF((N3927-MAX(N$470:N3927))/MAX(N$470:N3927)&gt;W3926,W3926,(N3927-MAX(N$470:N3927))/MAX(N$470:N3927))</f>
        <v>-0.62788758315546067</v>
      </c>
      <c r="X3927" s="564">
        <f>IF((O3927-MAX(O$470:O3927))/MAX(O$470:O3927)&gt;X3926,X3926,(O3927-MAX(O$470:O3927))/MAX(O$470:O3927))</f>
        <v>-0.62788758315546067</v>
      </c>
    </row>
    <row r="3928" spans="1:24">
      <c r="A3928" s="799">
        <v>44330</v>
      </c>
      <c r="B3928">
        <v>51189.0571568987</v>
      </c>
      <c r="C3928">
        <v>61744.268863872603</v>
      </c>
      <c r="D3928">
        <v>2.4793401799999999</v>
      </c>
      <c r="E3928">
        <f>LN(D3928/参数实验室!$E$53)/参数实验室!$E$55</f>
        <v>0.37823876608516344</v>
      </c>
      <c r="F3928">
        <f t="shared" si="558"/>
        <v>1.2062005493600185</v>
      </c>
      <c r="G3928">
        <f>LN(F3928/参数实验室!$E$58)/参数实验室!$E$59</f>
        <v>-9.2132814803973395E-2</v>
      </c>
      <c r="H3928" s="856">
        <f>INDEX(神经网络!$G$10:$BO$70,MATCH(ROUND(G3928*2,1)/2,神经网络!$E$10:$E$70,0),MATCH(ROUND(E3928*2,1)/2,神经网络!$G$8:$BO$8,0))</f>
        <v>1.5568769143241705</v>
      </c>
      <c r="I3928">
        <f t="shared" ref="I3928:I3985" si="560">I3927*(1+(B3928-B3927)/B3927*H3927)</f>
        <v>8415931.0744463988</v>
      </c>
      <c r="J3928">
        <f t="shared" ref="J3928:J3985" si="561">J3927*B3928/B3927</f>
        <v>20425.783949921628</v>
      </c>
      <c r="K3928">
        <f t="shared" ref="K3928:K3985" si="562">I3928/J3928</f>
        <v>412.02487478962541</v>
      </c>
      <c r="L3928" s="4">
        <f>MIN(MAX(L3927*(1+MAX(MIN(((B3928-B3927)/B3927)/($K$7*卓尔金历!$N$40),0),-卓尔金历!$M$43))+MIN(MAX(((B3928-B3927)/B3927)/($K$7*卓尔金历!$N$40),0),卓尔金历!$M$43),0),1)</f>
        <v>0.50570924658107574</v>
      </c>
      <c r="M3928" s="4">
        <f>MIN(MAX(M3927*(1+MAX(MIN(((B3928-B3927)/B3927)/($K$7*30),0),-卓尔金历!$M$43))+MIN(MAX(((B3928-B3927)/B3927)/($K$7*7),0),卓尔金历!$M$43),0),1)</f>
        <v>1</v>
      </c>
      <c r="N3928">
        <f t="shared" ref="N3928:N3985" si="563">N3927*(1+(B3928-B3927)/B3927*H3927*L3927)</f>
        <v>1161354.4461414688</v>
      </c>
      <c r="O3928">
        <f t="shared" ref="O3928:O3985" si="564">O3927*(1+(B3928-B3927)/B3927*H3927*M3927)</f>
        <v>4658473.1614889912</v>
      </c>
      <c r="P3928">
        <f t="shared" ref="P3928:P3985" si="565">(B3928-B3927)/B3927</f>
        <v>3.3098233545795899E-2</v>
      </c>
      <c r="Q3928">
        <f t="shared" si="556"/>
        <v>3.9504411946844516E-2</v>
      </c>
      <c r="R3928">
        <f t="shared" si="557"/>
        <v>0.22786552587195852</v>
      </c>
      <c r="S3928">
        <f t="shared" si="559"/>
        <v>5770.3076713505507</v>
      </c>
      <c r="T3928" s="564">
        <f>IF((I3928-MAX(I$470:I3928))/MAX(I$470:I3928)&gt;T3927,T3927,(I3928-MAX(I$470:I3928))/MAX(I$470:I3928))</f>
        <v>-0.91338805338419748</v>
      </c>
      <c r="U3928" s="564">
        <f>IF((J3928-MAX(J$470:J3928))/MAX(J$470:J3928)&gt;U3927,U3927,(J3928-MAX(J$470:J3928))/MAX(J$470:J3928))</f>
        <v>-0.83569785939843477</v>
      </c>
      <c r="V3928" s="564">
        <f>IF((K3928-MAX(K$470:K3928))/MAX(K$470:K3928)&gt;V3927,V3927,(K3928-MAX(K$470:K3928))/MAX(K$470:K3928))</f>
        <v>-0.84885940676762139</v>
      </c>
      <c r="W3928" s="564">
        <f>IF((N3928-MAX(N$470:N3928))/MAX(N$470:N3928)&gt;W3927,W3927,(N3928-MAX(N$470:N3928))/MAX(N$470:N3928))</f>
        <v>-0.62788758315546067</v>
      </c>
      <c r="X3928" s="564">
        <f>IF((O3928-MAX(O$470:O3928))/MAX(O$470:O3928)&gt;X3927,X3927,(O3928-MAX(O$470:O3928))/MAX(O$470:O3928))</f>
        <v>-0.62788758315546067</v>
      </c>
    </row>
    <row r="3929" spans="1:24">
      <c r="A3929" s="799">
        <v>44331</v>
      </c>
      <c r="B3929">
        <v>49020.077316926203</v>
      </c>
      <c r="C3929">
        <v>63861.235851085301</v>
      </c>
      <c r="D3929">
        <v>2.3338139600000001</v>
      </c>
      <c r="E3929">
        <f>LN(D3929/参数实验室!$E$53)/参数实验室!$E$55</f>
        <v>0.30687708939728342</v>
      </c>
      <c r="F3929">
        <f t="shared" si="558"/>
        <v>1.3027567345152795</v>
      </c>
      <c r="G3929">
        <f>LN(F3929/参数实验室!$E$58)/参数实验室!$E$59</f>
        <v>-5.1715270982597407E-2</v>
      </c>
      <c r="H3929" s="856">
        <f>INDEX(神经网络!$G$10:$BO$70,MATCH(ROUND(G3929*2,1)/2,神经网络!$E$10:$E$70,0),MATCH(ROUND(E3929*2,1)/2,神经网络!$G$8:$BO$8,0))</f>
        <v>1.4234646161346216</v>
      </c>
      <c r="I3929">
        <f t="shared" si="560"/>
        <v>7860749.7688591452</v>
      </c>
      <c r="J3929">
        <f t="shared" si="561"/>
        <v>19560.303785533739</v>
      </c>
      <c r="K3929">
        <f t="shared" si="562"/>
        <v>401.8725810727305</v>
      </c>
      <c r="L3929" s="4">
        <f>MIN(MAX(L3928*(1+MAX(MIN(((B3929-B3928)/B3928)/($K$7*卓尔金历!$N$40),0),-卓尔金历!$M$43))+MIN(MAX(((B3929-B3928)/B3928)/($K$7*卓尔金历!$N$40),0),卓尔金历!$M$43),0),1)</f>
        <v>0.17831174726722512</v>
      </c>
      <c r="M3929" s="4">
        <f>MIN(MAX(M3928*(1+MAX(MIN(((B3929-B3928)/B3928)/($K$7*30),0),-卓尔金历!$M$43))+MIN(MAX(((B3929-B3928)/B3928)/($K$7*7),0),卓尔金历!$M$43),0),1)</f>
        <v>0.67629868197262444</v>
      </c>
      <c r="N3929">
        <f t="shared" si="563"/>
        <v>1122610.9912849343</v>
      </c>
      <c r="O3929">
        <f t="shared" si="564"/>
        <v>4351163.4664640985</v>
      </c>
      <c r="P3929">
        <f t="shared" si="565"/>
        <v>-4.2371943544972784E-2</v>
      </c>
      <c r="Q3929">
        <f t="shared" si="556"/>
        <v>4.0591887052493662E-2</v>
      </c>
      <c r="R3929">
        <f t="shared" si="557"/>
        <v>3.7808953140155331E-2</v>
      </c>
      <c r="S3929">
        <f t="shared" si="559"/>
        <v>5683.5695005527659</v>
      </c>
      <c r="T3929" s="564">
        <f>IF((I3929-MAX(I$470:I3929))/MAX(I$470:I3929)&gt;T3928,T3928,(I3929-MAX(I$470:I3929))/MAX(I$470:I3929))</f>
        <v>-0.91338805338419748</v>
      </c>
      <c r="U3929" s="564">
        <f>IF((J3929-MAX(J$470:J3929))/MAX(J$470:J3929)&gt;U3928,U3928,(J3929-MAX(J$470:J3929))/MAX(J$470:J3929))</f>
        <v>-0.83569785939843477</v>
      </c>
      <c r="V3929" s="564">
        <f>IF((K3929-MAX(K$470:K3929))/MAX(K$470:K3929)&gt;V3928,V3928,(K3929-MAX(K$470:K3929))/MAX(K$470:K3929))</f>
        <v>-0.84885940676762139</v>
      </c>
      <c r="W3929" s="564">
        <f>IF((N3929-MAX(N$470:N3929))/MAX(N$470:N3929)&gt;W3928,W3928,(N3929-MAX(N$470:N3929))/MAX(N$470:N3929))</f>
        <v>-0.62788758315546067</v>
      </c>
      <c r="X3929" s="564">
        <f>IF((O3929-MAX(O$470:O3929))/MAX(O$470:O3929)&gt;X3928,X3928,(O3929-MAX(O$470:O3929))/MAX(O$470:O3929))</f>
        <v>-0.62788758315546067</v>
      </c>
    </row>
    <row r="3930" spans="1:24">
      <c r="A3930" s="799">
        <v>44332</v>
      </c>
      <c r="B3930">
        <v>47766.593910564101</v>
      </c>
      <c r="C3930">
        <v>62610.459225723498</v>
      </c>
      <c r="D3930">
        <v>2.2838577999999998</v>
      </c>
      <c r="E3930">
        <f>LN(D3930/参数实验室!$E$53)/参数实验室!$E$55</f>
        <v>0.2813498348342362</v>
      </c>
      <c r="F3930">
        <f t="shared" si="558"/>
        <v>1.3107582957024808</v>
      </c>
      <c r="G3930">
        <f>LN(F3930/参数实验室!$E$58)/参数实验室!$E$59</f>
        <v>-4.8501465197418527E-2</v>
      </c>
      <c r="H3930" s="856">
        <f>INDEX(神经网络!$G$10:$BO$70,MATCH(ROUND(G3930*2,1)/2,神经网络!$E$10:$E$70,0),MATCH(ROUND(E3930*2,1)/2,神经网络!$G$8:$BO$8,0))</f>
        <v>1.4234646161346216</v>
      </c>
      <c r="I3930">
        <f t="shared" si="560"/>
        <v>7574625.1382882958</v>
      </c>
      <c r="J3930">
        <f t="shared" si="561"/>
        <v>19060.130844963889</v>
      </c>
      <c r="K3930">
        <f t="shared" si="562"/>
        <v>397.40677542566192</v>
      </c>
      <c r="L3930" s="4">
        <f>MIN(MAX(L3929*(1+MAX(MIN(((B3930-B3929)/B3929)/($K$7*卓尔金历!$N$40),0),-卓尔金历!$M$43))+MIN(MAX(((B3930-B3929)/B3929)/($K$7*卓尔金历!$N$40),0),卓尔金历!$M$43),0),1)</f>
        <v>0.10864578642836516</v>
      </c>
      <c r="M3930" s="4">
        <f>MIN(MAX(M3929*(1+MAX(MIN(((B3930-B3929)/B3929)/($K$7*30),0),-卓尔金历!$M$43))+MIN(MAX(((B3930-B3929)/B3929)/($K$7*7),0),卓尔金历!$M$43),0),1)</f>
        <v>0.54418456662197101</v>
      </c>
      <c r="N3930">
        <f t="shared" si="563"/>
        <v>1115324.80083251</v>
      </c>
      <c r="O3930">
        <f t="shared" si="564"/>
        <v>4244052.185353552</v>
      </c>
      <c r="P3930">
        <f t="shared" si="565"/>
        <v>-2.5570816591292587E-2</v>
      </c>
      <c r="Q3930">
        <f t="shared" si="556"/>
        <v>4.0944432068572081E-2</v>
      </c>
      <c r="R3930">
        <f t="shared" si="557"/>
        <v>0.53046519825939287</v>
      </c>
      <c r="S3930">
        <f t="shared" si="559"/>
        <v>5675.7476934552569</v>
      </c>
      <c r="T3930" s="564">
        <f>IF((I3930-MAX(I$470:I3930))/MAX(I$470:I3930)&gt;T3929,T3929,(I3930-MAX(I$470:I3930))/MAX(I$470:I3930))</f>
        <v>-0.91338805338419748</v>
      </c>
      <c r="U3930" s="564">
        <f>IF((J3930-MAX(J$470:J3930))/MAX(J$470:J3930)&gt;U3929,U3929,(J3930-MAX(J$470:J3930))/MAX(J$470:J3930))</f>
        <v>-0.83569785939843477</v>
      </c>
      <c r="V3930" s="564">
        <f>IF((K3930-MAX(K$470:K3930))/MAX(K$470:K3930)&gt;V3929,V3929,(K3930-MAX(K$470:K3930))/MAX(K$470:K3930))</f>
        <v>-0.84885940676762139</v>
      </c>
      <c r="W3930" s="564">
        <f>IF((N3930-MAX(N$470:N3930))/MAX(N$470:N3930)&gt;W3929,W3929,(N3930-MAX(N$470:N3930))/MAX(N$470:N3930))</f>
        <v>-0.62788758315546067</v>
      </c>
      <c r="X3930" s="564">
        <f>IF((O3930-MAX(O$470:O3930))/MAX(O$470:O3930)&gt;X3929,X3929,(O3930-MAX(O$470:O3930))/MAX(O$470:O3930))</f>
        <v>-0.62788758315546067</v>
      </c>
    </row>
    <row r="3931" spans="1:24">
      <c r="A3931" s="799">
        <v>44333</v>
      </c>
      <c r="B3931">
        <v>43225.998743791097</v>
      </c>
      <c r="C3931">
        <v>61349.796470919398</v>
      </c>
      <c r="D3931">
        <v>2.1642888199999999</v>
      </c>
      <c r="E3931">
        <f>LN(D3931/参数实验室!$E$53)/参数实验室!$E$55</f>
        <v>0.21790953286657094</v>
      </c>
      <c r="F3931">
        <f t="shared" si="558"/>
        <v>1.4192800225288391</v>
      </c>
      <c r="G3931">
        <f>LN(F3931/参数实验室!$E$58)/参数实验室!$E$59</f>
        <v>-6.7525301890818956E-3</v>
      </c>
      <c r="H3931" s="856">
        <f>INDEX(神经网络!$G$10:$BO$70,MATCH(ROUND(G3931*2,1)/2,神经网络!$E$10:$E$70,0),MATCH(ROUND(E3931*2,1)/2,神经网络!$G$8:$BO$8,0))</f>
        <v>1.280604217802453</v>
      </c>
      <c r="I3931">
        <f t="shared" si="560"/>
        <v>6549690.1255119368</v>
      </c>
      <c r="J3931">
        <f t="shared" si="561"/>
        <v>17248.313612302387</v>
      </c>
      <c r="K3931">
        <f t="shared" si="562"/>
        <v>379.72930413558578</v>
      </c>
      <c r="L3931" s="4">
        <f>MIN(MAX(L3930*(1+MAX(MIN(((B3931-B3930)/B3930)/($K$7*卓尔金历!$N$40),0),-卓尔金历!$M$43))+MIN(MAX(((B3931-B3930)/B3930)/($K$7*卓尔金历!$N$40),0),卓尔金历!$M$43),0),1)</f>
        <v>0</v>
      </c>
      <c r="M3931" s="4">
        <f>MIN(MAX(M3930*(1+MAX(MIN(((B3931-B3930)/B3930)/($K$7*30),0),-卓尔金历!$M$43))+MIN(MAX(((B3931-B3930)/B3930)/($K$7*7),0),卓尔金历!$M$43),0),1)</f>
        <v>0.14899923890529954</v>
      </c>
      <c r="N3931">
        <f t="shared" si="563"/>
        <v>1098928.3658280203</v>
      </c>
      <c r="O3931">
        <f t="shared" si="564"/>
        <v>3931543.4793280116</v>
      </c>
      <c r="P3931">
        <f t="shared" si="565"/>
        <v>-9.5057964050662663E-2</v>
      </c>
      <c r="Q3931">
        <f t="shared" si="556"/>
        <v>4.2668078039369485E-2</v>
      </c>
      <c r="R3931">
        <f t="shared" si="557"/>
        <v>8.146476183851831E-3</v>
      </c>
      <c r="S3931">
        <f t="shared" si="559"/>
        <v>5268.353192458263</v>
      </c>
      <c r="T3931" s="564">
        <f>IF((I3931-MAX(I$470:I3931))/MAX(I$470:I3931)&gt;T3930,T3930,(I3931-MAX(I$470:I3931))/MAX(I$470:I3931))</f>
        <v>-0.91338805338419748</v>
      </c>
      <c r="U3931" s="564">
        <f>IF((J3931-MAX(J$470:J3931))/MAX(J$470:J3931)&gt;U3930,U3930,(J3931-MAX(J$470:J3931))/MAX(J$470:J3931))</f>
        <v>-0.83569785939843477</v>
      </c>
      <c r="V3931" s="564">
        <f>IF((K3931-MAX(K$470:K3931))/MAX(K$470:K3931)&gt;V3930,V3930,(K3931-MAX(K$470:K3931))/MAX(K$470:K3931))</f>
        <v>-0.84885940676762139</v>
      </c>
      <c r="W3931" s="564">
        <f>IF((N3931-MAX(N$470:N3931))/MAX(N$470:N3931)&gt;W3930,W3930,(N3931-MAX(N$470:N3931))/MAX(N$470:N3931))</f>
        <v>-0.62788758315546067</v>
      </c>
      <c r="X3931" s="564">
        <f>IF((O3931-MAX(O$470:O3931))/MAX(O$470:O3931)&gt;X3930,X3930,(O3931-MAX(O$470:O3931))/MAX(O$470:O3931))</f>
        <v>-0.62788758315546067</v>
      </c>
    </row>
    <row r="3932" spans="1:24">
      <c r="A3932" s="799">
        <v>44334</v>
      </c>
      <c r="B3932">
        <v>42993.147914369103</v>
      </c>
      <c r="C3932">
        <v>62368.565213736802</v>
      </c>
      <c r="D3932">
        <v>2.1317976299999999</v>
      </c>
      <c r="E3932">
        <f>LN(D3932/参数实验室!$E$53)/参数实验室!$E$55</f>
        <v>0.20006430646732792</v>
      </c>
      <c r="F3932">
        <f t="shared" si="558"/>
        <v>1.4506629134939915</v>
      </c>
      <c r="G3932">
        <f>LN(F3932/参数实验室!$E$58)/参数实验室!$E$59</f>
        <v>4.7265090416284926E-3</v>
      </c>
      <c r="H3932" s="856">
        <f>INDEX(神经网络!$G$10:$BO$70,MATCH(ROUND(G3932*2,1)/2,神经网络!$E$10:$E$70,0),MATCH(ROUND(E3932*2,1)/2,神经网络!$G$8:$BO$8,0))</f>
        <v>1.280604217802453</v>
      </c>
      <c r="I3932">
        <f t="shared" si="560"/>
        <v>6504507.8151923902</v>
      </c>
      <c r="J3932">
        <f t="shared" si="561"/>
        <v>17155.399989772563</v>
      </c>
      <c r="K3932">
        <f t="shared" si="562"/>
        <v>379.15220974562794</v>
      </c>
      <c r="L3932" s="4">
        <f>MIN(MAX(L3931*(1+MAX(MIN(((B3932-B3931)/B3931)/($K$7*卓尔金历!$N$40),0),-卓尔金历!$M$43))+MIN(MAX(((B3932-B3931)/B3931)/($K$7*卓尔金历!$N$40),0),卓尔金历!$M$43),0),1)</f>
        <v>0</v>
      </c>
      <c r="M3932" s="4">
        <f>MIN(MAX(M3931*(1+MAX(MIN(((B3932-B3931)/B3931)/($K$7*30),0),-卓尔金历!$M$43))+MIN(MAX(((B3932-B3931)/B3931)/($K$7*7),0),卓尔金历!$M$43),0),1)</f>
        <v>0.14286751084916885</v>
      </c>
      <c r="N3932">
        <f t="shared" si="563"/>
        <v>1098928.3658280203</v>
      </c>
      <c r="O3932">
        <f t="shared" si="564"/>
        <v>3927502.4238421842</v>
      </c>
      <c r="P3932">
        <f t="shared" si="565"/>
        <v>-5.3868235827735488E-3</v>
      </c>
      <c r="Q3932">
        <f t="shared" si="556"/>
        <v>4.1879611166440817E-2</v>
      </c>
      <c r="R3932">
        <f t="shared" si="557"/>
        <v>1</v>
      </c>
      <c r="S3932">
        <f t="shared" si="559"/>
        <v>5268.0571238546681</v>
      </c>
      <c r="T3932" s="564">
        <f>IF((I3932-MAX(I$470:I3932))/MAX(I$470:I3932)&gt;T3931,T3931,(I3932-MAX(I$470:I3932))/MAX(I$470:I3932))</f>
        <v>-0.91338805338419748</v>
      </c>
      <c r="U3932" s="564">
        <f>IF((J3932-MAX(J$470:J3932))/MAX(J$470:J3932)&gt;U3931,U3931,(J3932-MAX(J$470:J3932))/MAX(J$470:J3932))</f>
        <v>-0.83569785939843477</v>
      </c>
      <c r="V3932" s="564">
        <f>IF((K3932-MAX(K$470:K3932))/MAX(K$470:K3932)&gt;V3931,V3931,(K3932-MAX(K$470:K3932))/MAX(K$470:K3932))</f>
        <v>-0.84885940676762139</v>
      </c>
      <c r="W3932" s="564">
        <f>IF((N3932-MAX(N$470:N3932))/MAX(N$470:N3932)&gt;W3931,W3931,(N3932-MAX(N$470:N3932))/MAX(N$470:N3932))</f>
        <v>-0.62788758315546067</v>
      </c>
      <c r="X3932" s="564">
        <f>IF((O3932-MAX(O$470:O3932))/MAX(O$470:O3932)&gt;X3931,X3931,(O3932-MAX(O$470:O3932))/MAX(O$470:O3932))</f>
        <v>-0.62788758315546067</v>
      </c>
    </row>
    <row r="3933" spans="1:24">
      <c r="A3933" s="799">
        <v>44335</v>
      </c>
      <c r="B3933">
        <v>37706.3189523978</v>
      </c>
      <c r="C3933">
        <v>61197.8097199279</v>
      </c>
      <c r="D3933">
        <v>1.88892076</v>
      </c>
      <c r="E3933">
        <f>LN(D3933/参数实验室!$E$53)/参数实验室!$E$55</f>
        <v>5.7361422482205084E-2</v>
      </c>
      <c r="F3933">
        <f t="shared" si="558"/>
        <v>1.6230120420183907</v>
      </c>
      <c r="G3933">
        <f>LN(F3933/参数实验室!$E$58)/参数实验室!$E$59</f>
        <v>6.3648237546481259E-2</v>
      </c>
      <c r="H3933" s="856">
        <f>INDEX(神经网络!$G$10:$BO$70,MATCH(ROUND(G3933*2,1)/2,神经网络!$E$10:$E$70,0),MATCH(ROUND(E3933*2,1)/2,神经网络!$G$8:$BO$8,0))</f>
        <v>1.0542300443176431</v>
      </c>
      <c r="I3933">
        <f t="shared" si="560"/>
        <v>5480212.0356057612</v>
      </c>
      <c r="J3933">
        <f t="shared" si="561"/>
        <v>15045.815790430441</v>
      </c>
      <c r="K3933">
        <f t="shared" si="562"/>
        <v>364.2349548830266</v>
      </c>
      <c r="L3933" s="4">
        <f>MIN(MAX(L3932*(1+MAX(MIN(((B3933-B3932)/B3932)/($K$7*卓尔金历!$N$40),0),-卓尔金历!$M$43))+MIN(MAX(((B3933-B3932)/B3932)/($K$7*卓尔金历!$N$40),0),卓尔金历!$M$43),0),1)</f>
        <v>0</v>
      </c>
      <c r="M3933" s="4">
        <f>MIN(MAX(M3932*(1+MAX(MIN(((B3933-B3932)/B3932)/($K$7*30),0),-卓尔金历!$M$43))+MIN(MAX(((B3933-B3932)/B3932)/($K$7*7),0),卓尔金历!$M$43),0),1)</f>
        <v>8.6542041389041785E-3</v>
      </c>
      <c r="N3933">
        <f t="shared" si="563"/>
        <v>1098928.3658280203</v>
      </c>
      <c r="O3933">
        <f t="shared" si="564"/>
        <v>3839141.370710474</v>
      </c>
      <c r="P3933">
        <f t="shared" si="565"/>
        <v>-0.12296910597245073</v>
      </c>
      <c r="Q3933">
        <f t="shared" si="556"/>
        <v>4.8222588345710797E-2</v>
      </c>
      <c r="R3933">
        <f t="shared" si="557"/>
        <v>2.6758724723360029E-3</v>
      </c>
      <c r="S3933">
        <f t="shared" si="559"/>
        <v>4438.4711149052719</v>
      </c>
      <c r="T3933" s="564">
        <f>IF((I3933-MAX(I$470:I3933))/MAX(I$470:I3933)&gt;T3932,T3932,(I3933-MAX(I$470:I3933))/MAX(I$470:I3933))</f>
        <v>-0.91338805338419748</v>
      </c>
      <c r="U3933" s="564">
        <f>IF((J3933-MAX(J$470:J3933))/MAX(J$470:J3933)&gt;U3932,U3932,(J3933-MAX(J$470:J3933))/MAX(J$470:J3933))</f>
        <v>-0.83569785939843477</v>
      </c>
      <c r="V3933" s="564">
        <f>IF((K3933-MAX(K$470:K3933))/MAX(K$470:K3933)&gt;V3932,V3932,(K3933-MAX(K$470:K3933))/MAX(K$470:K3933))</f>
        <v>-0.84885940676762139</v>
      </c>
      <c r="W3933" s="564">
        <f>IF((N3933-MAX(N$470:N3933))/MAX(N$470:N3933)&gt;W3932,W3932,(N3933-MAX(N$470:N3933))/MAX(N$470:N3933))</f>
        <v>-0.62788758315546067</v>
      </c>
      <c r="X3933" s="564">
        <f>IF((O3933-MAX(O$470:O3933))/MAX(O$470:O3933)&gt;X3932,X3932,(O3933-MAX(O$470:O3933))/MAX(O$470:O3933))</f>
        <v>-0.62788758315546067</v>
      </c>
    </row>
    <row r="3934" spans="1:24">
      <c r="A3934" s="799">
        <v>44336</v>
      </c>
      <c r="B3934">
        <v>41449.515187075704</v>
      </c>
      <c r="C3934">
        <v>61875.187573417497</v>
      </c>
      <c r="D3934">
        <v>2.0520563699999999</v>
      </c>
      <c r="E3934">
        <f>LN(D3934/参数实验室!$E$53)/参数实验室!$E$55</f>
        <v>0.15508835665649134</v>
      </c>
      <c r="F3934">
        <f t="shared" si="558"/>
        <v>1.492784349687899</v>
      </c>
      <c r="G3934">
        <f>LN(F3934/参数实验室!$E$58)/参数实验室!$E$59</f>
        <v>1.9749108994958967E-2</v>
      </c>
      <c r="H3934" s="856">
        <f>INDEX(神经网络!$G$10:$BO$70,MATCH(ROUND(G3934*2,1)/2,神经网络!$E$10:$E$70,0),MATCH(ROUND(E3934*2,1)/2,神经网络!$G$8:$BO$8,0))</f>
        <v>1.1878973697903477</v>
      </c>
      <c r="I3934">
        <f t="shared" si="560"/>
        <v>6053748.7308605947</v>
      </c>
      <c r="J3934">
        <f t="shared" si="561"/>
        <v>16539.449817276094</v>
      </c>
      <c r="K3934">
        <f t="shared" si="562"/>
        <v>366.01874897538733</v>
      </c>
      <c r="L3934" s="4">
        <f>MIN(MAX(L3933*(1+MAX(MIN(((B3934-B3933)/B3933)/($K$7*卓尔金历!$N$40),0),-卓尔金历!$M$43))+MIN(MAX(((B3934-B3933)/B3933)/($K$7*卓尔金历!$N$40),0),卓尔金历!$M$43),0),1)</f>
        <v>1</v>
      </c>
      <c r="M3934" s="4">
        <f>MIN(MAX(M3933*(1+MAX(MIN(((B3934-B3933)/B3933)/($K$7*30),0),-卓尔金历!$M$43))+MIN(MAX(((B3934-B3933)/B3933)/($K$7*7),0),卓尔金历!$M$43),0),1)</f>
        <v>1</v>
      </c>
      <c r="N3934">
        <f t="shared" si="563"/>
        <v>1098928.3658280203</v>
      </c>
      <c r="O3934">
        <f t="shared" si="564"/>
        <v>3842618.5340120825</v>
      </c>
      <c r="P3934">
        <f t="shared" si="565"/>
        <v>9.9272385602091992E-2</v>
      </c>
      <c r="Q3934">
        <f t="shared" si="556"/>
        <v>5.412874785796893E-2</v>
      </c>
      <c r="R3934">
        <f t="shared" si="557"/>
        <v>1.8975491425137651E-2</v>
      </c>
      <c r="S3934">
        <f t="shared" si="559"/>
        <v>4439.7140906590903</v>
      </c>
      <c r="T3934" s="564">
        <f>IF((I3934-MAX(I$470:I3934))/MAX(I$470:I3934)&gt;T3933,T3933,(I3934-MAX(I$470:I3934))/MAX(I$470:I3934))</f>
        <v>-0.91338805338419748</v>
      </c>
      <c r="U3934" s="564">
        <f>IF((J3934-MAX(J$470:J3934))/MAX(J$470:J3934)&gt;U3933,U3933,(J3934-MAX(J$470:J3934))/MAX(J$470:J3934))</f>
        <v>-0.83569785939843477</v>
      </c>
      <c r="V3934" s="564">
        <f>IF((K3934-MAX(K$470:K3934))/MAX(K$470:K3934)&gt;V3933,V3933,(K3934-MAX(K$470:K3934))/MAX(K$470:K3934))</f>
        <v>-0.84885940676762139</v>
      </c>
      <c r="W3934" s="564">
        <f>IF((N3934-MAX(N$470:N3934))/MAX(N$470:N3934)&gt;W3933,W3933,(N3934-MAX(N$470:N3934))/MAX(N$470:N3934))</f>
        <v>-0.62788758315546067</v>
      </c>
      <c r="X3934" s="564">
        <f>IF((O3934-MAX(O$470:O3934))/MAX(O$470:O3934)&gt;X3933,X3933,(O3934-MAX(O$470:O3934))/MAX(O$470:O3934))</f>
        <v>-0.62788758315546067</v>
      </c>
    </row>
    <row r="3935" spans="1:24">
      <c r="A3935" s="799">
        <v>44337</v>
      </c>
      <c r="B3935">
        <v>36904.1612671365</v>
      </c>
      <c r="C3935">
        <v>61504.207232736801</v>
      </c>
      <c r="D3935">
        <v>1.8744876800000001</v>
      </c>
      <c r="E3935">
        <f>LN(D3935/参数实验室!$E$53)/参数实验室!$E$55</f>
        <v>4.8312414540032697E-2</v>
      </c>
      <c r="F3935">
        <f t="shared" si="558"/>
        <v>1.6665927397056677</v>
      </c>
      <c r="G3935">
        <f>LN(F3935/参数实验室!$E$58)/参数实验室!$E$59</f>
        <v>7.7555588254909394E-2</v>
      </c>
      <c r="H3935" s="856">
        <f>INDEX(神经网络!$G$10:$BO$70,MATCH(ROUND(G3935*2,1)/2,神经网络!$E$10:$E$70,0),MATCH(ROUND(E3935*2,1)/2,神经网络!$G$8:$BO$8,0))</f>
        <v>1.0977717314187945</v>
      </c>
      <c r="I3935">
        <f t="shared" si="560"/>
        <v>5265158.1937186383</v>
      </c>
      <c r="J3935">
        <f t="shared" si="561"/>
        <v>14725.733716586101</v>
      </c>
      <c r="K3935">
        <f t="shared" si="562"/>
        <v>357.54810558527953</v>
      </c>
      <c r="L3935" s="4">
        <f>MIN(MAX(L3934*(1+MAX(MIN(((B3935-B3934)/B3934)/($K$7*卓尔金历!$N$40),0),-卓尔金历!$M$43))+MIN(MAX(((B3935-B3934)/B3934)/($K$7*卓尔金历!$N$40),0),卓尔金历!$M$43),0),1)</f>
        <v>0</v>
      </c>
      <c r="M3935" s="4">
        <f>MIN(MAX(M3934*(1+MAX(MIN(((B3935-B3934)/B3934)/($K$7*30),0),-卓尔金历!$M$43))+MIN(MAX(((B3935-B3934)/B3934)/($K$7*7),0),卓尔金历!$M$43),0),1)</f>
        <v>0.16225020083625097</v>
      </c>
      <c r="N3935">
        <f t="shared" si="563"/>
        <v>955776.65127615863</v>
      </c>
      <c r="O3935">
        <f t="shared" si="564"/>
        <v>3342060.4916340257</v>
      </c>
      <c r="P3935">
        <f t="shared" si="565"/>
        <v>-0.10966000203921521</v>
      </c>
      <c r="Q3935">
        <f t="shared" si="556"/>
        <v>5.531810372445356E-2</v>
      </c>
      <c r="R3935">
        <f t="shared" si="557"/>
        <v>1.7089286823643059E-2</v>
      </c>
      <c r="S3935">
        <f t="shared" si="559"/>
        <v>4428.7398316589288</v>
      </c>
      <c r="T3935" s="564">
        <f>IF((I3935-MAX(I$470:I3935))/MAX(I$470:I3935)&gt;T3934,T3934,(I3935-MAX(I$470:I3935))/MAX(I$470:I3935))</f>
        <v>-0.91338805338419748</v>
      </c>
      <c r="U3935" s="564">
        <f>IF((J3935-MAX(J$470:J3935))/MAX(J$470:J3935)&gt;U3934,U3934,(J3935-MAX(J$470:J3935))/MAX(J$470:J3935))</f>
        <v>-0.83569785939843477</v>
      </c>
      <c r="V3935" s="564">
        <f>IF((K3935-MAX(K$470:K3935))/MAX(K$470:K3935)&gt;V3934,V3934,(K3935-MAX(K$470:K3935))/MAX(K$470:K3935))</f>
        <v>-0.84885940676762139</v>
      </c>
      <c r="W3935" s="564">
        <f>IF((N3935-MAX(N$470:N3935))/MAX(N$470:N3935)&gt;W3934,W3934,(N3935-MAX(N$470:N3935))/MAX(N$470:N3935))</f>
        <v>-0.62788758315546067</v>
      </c>
      <c r="X3935" s="564">
        <f>IF((O3935-MAX(O$470:O3935))/MAX(O$470:O3935)&gt;X3934,X3934,(O3935-MAX(O$470:O3935))/MAX(O$470:O3935))</f>
        <v>-0.62788758315546067</v>
      </c>
    </row>
    <row r="3936" spans="1:24">
      <c r="A3936" s="799">
        <v>44338</v>
      </c>
      <c r="B3936">
        <v>38272.824446464598</v>
      </c>
      <c r="C3936">
        <v>62655.806008389503</v>
      </c>
      <c r="D3936">
        <v>1.9016294199999999</v>
      </c>
      <c r="E3936">
        <f>LN(D3936/参数实验室!$E$53)/参数实验室!$E$55</f>
        <v>6.5272220824263455E-2</v>
      </c>
      <c r="F3936">
        <f t="shared" si="558"/>
        <v>1.6370834113910622</v>
      </c>
      <c r="G3936">
        <f>LN(F3936/参数实验室!$E$58)/参数实验室!$E$59</f>
        <v>6.8179062533877163E-2</v>
      </c>
      <c r="H3936" s="856">
        <f>INDEX(神经网络!$G$10:$BO$70,MATCH(ROUND(G3936*2,1)/2,神经网络!$E$10:$E$70,0),MATCH(ROUND(E3936*2,1)/2,神经网络!$G$8:$BO$8,0))</f>
        <v>1.0542300443176431</v>
      </c>
      <c r="I3936">
        <f t="shared" si="560"/>
        <v>5479518.6692038374</v>
      </c>
      <c r="J3936">
        <f t="shared" si="561"/>
        <v>15271.866424510006</v>
      </c>
      <c r="K3936">
        <f t="shared" si="562"/>
        <v>358.79823178715674</v>
      </c>
      <c r="L3936" s="4">
        <f>MIN(MAX(L3935*(1+MAX(MIN(((B3936-B3935)/B3935)/($K$7*卓尔金历!$N$40),0),-卓尔金历!$M$43))+MIN(MAX(((B3936-B3935)/B3935)/($K$7*卓尔金历!$N$40),0),卓尔金历!$M$43),0),1)</f>
        <v>0.56665317011162131</v>
      </c>
      <c r="M3936" s="4">
        <f>MIN(MAX(M3935*(1+MAX(MIN(((B3936-B3935)/B3935)/($K$7*30),0),-卓尔金历!$M$43))+MIN(MAX(((B3936-B3935)/B3935)/($K$7*7),0),卓尔金历!$M$43),0),1)</f>
        <v>1</v>
      </c>
      <c r="N3936">
        <f t="shared" si="563"/>
        <v>955776.65127615863</v>
      </c>
      <c r="O3936">
        <f t="shared" si="564"/>
        <v>3364137.1245762254</v>
      </c>
      <c r="P3936">
        <f t="shared" si="565"/>
        <v>3.7086960720250944E-2</v>
      </c>
      <c r="Q3936">
        <f t="shared" si="556"/>
        <v>5.6428867187406036E-2</v>
      </c>
      <c r="R3936">
        <f t="shared" si="557"/>
        <v>0.49825137679814957</v>
      </c>
      <c r="S3936">
        <f t="shared" si="559"/>
        <v>4431.8211558575977</v>
      </c>
      <c r="T3936" s="564">
        <f>IF((I3936-MAX(I$470:I3936))/MAX(I$470:I3936)&gt;T3935,T3935,(I3936-MAX(I$470:I3936))/MAX(I$470:I3936))</f>
        <v>-0.91338805338419748</v>
      </c>
      <c r="U3936" s="564">
        <f>IF((J3936-MAX(J$470:J3936))/MAX(J$470:J3936)&gt;U3935,U3935,(J3936-MAX(J$470:J3936))/MAX(J$470:J3936))</f>
        <v>-0.83569785939843477</v>
      </c>
      <c r="V3936" s="564">
        <f>IF((K3936-MAX(K$470:K3936))/MAX(K$470:K3936)&gt;V3935,V3935,(K3936-MAX(K$470:K3936))/MAX(K$470:K3936))</f>
        <v>-0.84885940676762139</v>
      </c>
      <c r="W3936" s="564">
        <f>IF((N3936-MAX(N$470:N3936))/MAX(N$470:N3936)&gt;W3935,W3935,(N3936-MAX(N$470:N3936))/MAX(N$470:N3936))</f>
        <v>-0.62788758315546067</v>
      </c>
      <c r="X3936" s="564">
        <f>IF((O3936-MAX(O$470:O3936))/MAX(O$470:O3936)&gt;X3935,X3935,(O3936-MAX(O$470:O3936))/MAX(O$470:O3936))</f>
        <v>-0.62788758315546067</v>
      </c>
    </row>
    <row r="3937" spans="1:24">
      <c r="A3937" s="799">
        <v>44339</v>
      </c>
      <c r="B3937">
        <v>33402.435443505499</v>
      </c>
      <c r="C3937">
        <v>63355.1528108907</v>
      </c>
      <c r="D3937">
        <v>1.7589028200000001</v>
      </c>
      <c r="E3937">
        <f>LN(D3937/参数实验室!$E$53)/参数实验室!$E$55</f>
        <v>-2.6773178662648563E-2</v>
      </c>
      <c r="F3937">
        <f t="shared" si="558"/>
        <v>1.8967225583908423</v>
      </c>
      <c r="G3937">
        <f>LN(F3937/参数实验室!$E$58)/参数实验室!$E$59</f>
        <v>0.14544344372162082</v>
      </c>
      <c r="H3937" s="856">
        <f>INDEX(神经网络!$G$10:$BO$70,MATCH(ROUND(G3937*2,1)/2,神经网络!$E$10:$E$70,0),MATCH(ROUND(E3937*2,1)/2,神经网络!$G$8:$BO$8,0))</f>
        <v>0.96921287320345451</v>
      </c>
      <c r="I3937">
        <f t="shared" si="560"/>
        <v>4744411.0287299696</v>
      </c>
      <c r="J3937">
        <f t="shared" si="561"/>
        <v>13328.452752685622</v>
      </c>
      <c r="K3937">
        <f t="shared" si="562"/>
        <v>355.96112442788927</v>
      </c>
      <c r="L3937" s="4">
        <f>MIN(MAX(L3936*(1+MAX(MIN(((B3937-B3936)/B3936)/($K$7*卓尔金历!$N$40),0),-卓尔金历!$M$43))+MIN(MAX(((B3937-B3936)/B3936)/($K$7*卓尔金历!$N$40),0),卓尔金历!$M$43),0),1)</f>
        <v>0</v>
      </c>
      <c r="M3937" s="4">
        <f>MIN(MAX(M3936*(1+MAX(MIN(((B3937-B3936)/B3936)/($K$7*30),0),-卓尔金历!$M$43))+MIN(MAX(((B3937-B3936)/B3936)/($K$7*7),0),卓尔金历!$M$43),0),1)</f>
        <v>2.7836705563584196E-2</v>
      </c>
      <c r="N3937">
        <f t="shared" si="563"/>
        <v>883118.84765536117</v>
      </c>
      <c r="O3937">
        <f t="shared" si="564"/>
        <v>2912819.581344441</v>
      </c>
      <c r="P3937">
        <f t="shared" si="565"/>
        <v>-0.12725449645796899</v>
      </c>
      <c r="Q3937">
        <f t="shared" si="556"/>
        <v>6.1059250131413813E-2</v>
      </c>
      <c r="R3937">
        <f t="shared" si="557"/>
        <v>1.4990651113161136E-2</v>
      </c>
      <c r="S3937">
        <f t="shared" si="559"/>
        <v>4135.5841841321326</v>
      </c>
      <c r="T3937" s="564">
        <f>IF((I3937-MAX(I$470:I3937))/MAX(I$470:I3937)&gt;T3936,T3936,(I3937-MAX(I$470:I3937))/MAX(I$470:I3937))</f>
        <v>-0.91338805338419748</v>
      </c>
      <c r="U3937" s="564">
        <f>IF((J3937-MAX(J$470:J3937))/MAX(J$470:J3937)&gt;U3936,U3936,(J3937-MAX(J$470:J3937))/MAX(J$470:J3937))</f>
        <v>-0.83569785939843477</v>
      </c>
      <c r="V3937" s="564">
        <f>IF((K3937-MAX(K$470:K3937))/MAX(K$470:K3937)&gt;V3936,V3936,(K3937-MAX(K$470:K3937))/MAX(K$470:K3937))</f>
        <v>-0.84885940676762139</v>
      </c>
      <c r="W3937" s="564">
        <f>IF((N3937-MAX(N$470:N3937))/MAX(N$470:N3937)&gt;W3936,W3936,(N3937-MAX(N$470:N3937))/MAX(N$470:N3937))</f>
        <v>-0.62788758315546067</v>
      </c>
      <c r="X3937" s="564">
        <f>IF((O3937-MAX(O$470:O3937))/MAX(O$470:O3937)&gt;X3936,X3936,(O3937-MAX(O$470:O3937))/MAX(O$470:O3937))</f>
        <v>-0.62788758315546067</v>
      </c>
    </row>
    <row r="3938" spans="1:24">
      <c r="A3938" s="799">
        <v>44340</v>
      </c>
      <c r="B3938">
        <v>37571.199435231203</v>
      </c>
      <c r="C3938">
        <v>64198.092956251203</v>
      </c>
      <c r="D3938">
        <v>1.9486793499999999</v>
      </c>
      <c r="E3938">
        <f>LN(D3938/参数实验室!$E$53)/参数实验室!$E$55</f>
        <v>9.4106308659687762E-2</v>
      </c>
      <c r="F3938">
        <f t="shared" si="558"/>
        <v>1.7087049101778602</v>
      </c>
      <c r="G3938">
        <f>LN(F3938/参数实验室!$E$58)/参数实验室!$E$59</f>
        <v>9.0653034590036069E-2</v>
      </c>
      <c r="H3938" s="856">
        <f>INDEX(神经网络!$G$10:$BO$70,MATCH(ROUND(G3938*2,1)/2,神经网络!$E$10:$E$70,0),MATCH(ROUND(E3938*2,1)/2,神经网络!$G$8:$BO$8,0))</f>
        <v>1.1878071735015627</v>
      </c>
      <c r="I3938">
        <f t="shared" si="560"/>
        <v>5318303.6702338969</v>
      </c>
      <c r="J3938">
        <f t="shared" si="561"/>
        <v>14991.899539216765</v>
      </c>
      <c r="K3938">
        <f t="shared" si="562"/>
        <v>354.74515129466681</v>
      </c>
      <c r="L3938" s="4">
        <f>MIN(MAX(L3937*(1+MAX(MIN(((B3938-B3937)/B3937)/($K$7*卓尔金历!$N$40),0),-卓尔金历!$M$43))+MIN(MAX(((B3938-B3937)/B3937)/($K$7*卓尔金历!$N$40),0),卓尔金历!$M$43),0),1)</f>
        <v>1</v>
      </c>
      <c r="M3938" s="4">
        <f>MIN(MAX(M3937*(1+MAX(MIN(((B3938-B3937)/B3937)/($K$7*30),0),-卓尔金历!$M$43))+MIN(MAX(((B3938-B3937)/B3937)/($K$7*7),0),卓尔金历!$M$43),0),1)</f>
        <v>1</v>
      </c>
      <c r="N3938">
        <f t="shared" si="563"/>
        <v>883118.84765536117</v>
      </c>
      <c r="O3938">
        <f t="shared" si="564"/>
        <v>2922627.5658418229</v>
      </c>
      <c r="P3938">
        <f t="shared" si="565"/>
        <v>0.1248041927594308</v>
      </c>
      <c r="Q3938">
        <f t="shared" si="556"/>
        <v>6.8244504857662425E-2</v>
      </c>
      <c r="R3938">
        <f t="shared" si="557"/>
        <v>2.4200886588603407E-2</v>
      </c>
      <c r="S3938">
        <f t="shared" si="559"/>
        <v>4143.0832248528795</v>
      </c>
      <c r="T3938" s="564">
        <f>IF((I3938-MAX(I$470:I3938))/MAX(I$470:I3938)&gt;T3937,T3937,(I3938-MAX(I$470:I3938))/MAX(I$470:I3938))</f>
        <v>-0.91338805338419748</v>
      </c>
      <c r="U3938" s="564">
        <f>IF((J3938-MAX(J$470:J3938))/MAX(J$470:J3938)&gt;U3937,U3937,(J3938-MAX(J$470:J3938))/MAX(J$470:J3938))</f>
        <v>-0.83569785939843477</v>
      </c>
      <c r="V3938" s="564">
        <f>IF((K3938-MAX(K$470:K3938))/MAX(K$470:K3938)&gt;V3937,V3937,(K3938-MAX(K$470:K3938))/MAX(K$470:K3938))</f>
        <v>-0.84885940676762139</v>
      </c>
      <c r="W3938" s="564">
        <f>IF((N3938-MAX(N$470:N3938))/MAX(N$470:N3938)&gt;W3937,W3937,(N3938-MAX(N$470:N3938))/MAX(N$470:N3938))</f>
        <v>-0.62788758315546067</v>
      </c>
      <c r="X3938" s="564">
        <f>IF((O3938-MAX(O$470:O3938))/MAX(O$470:O3938)&gt;X3937,X3937,(O3938-MAX(O$470:O3938))/MAX(O$470:O3938))</f>
        <v>-0.62788758315546067</v>
      </c>
    </row>
    <row r="3939" spans="1:24">
      <c r="A3939" s="799">
        <v>44341</v>
      </c>
      <c r="B3939">
        <v>38117.639033984</v>
      </c>
      <c r="C3939">
        <v>65010.696669433302</v>
      </c>
      <c r="D3939">
        <v>1.93329011</v>
      </c>
      <c r="E3939">
        <f>LN(D3939/参数实验室!$E$53)/参数实验室!$E$55</f>
        <v>8.4752499409884774E-2</v>
      </c>
      <c r="F3939">
        <f t="shared" si="558"/>
        <v>1.7055278951425255</v>
      </c>
      <c r="G3939">
        <f>LN(F3939/参数实验室!$E$58)/参数实验室!$E$59</f>
        <v>8.9676258978895307E-2</v>
      </c>
      <c r="H3939" s="856">
        <f>INDEX(神经网络!$G$10:$BO$70,MATCH(ROUND(G3939*2,1)/2,神经网络!$E$10:$E$70,0),MATCH(ROUND(E3939*2,1)/2,神经网络!$G$8:$BO$8,0))</f>
        <v>1.1878071735015627</v>
      </c>
      <c r="I3939">
        <f t="shared" si="560"/>
        <v>5410180.537630504</v>
      </c>
      <c r="J3939">
        <f t="shared" si="561"/>
        <v>15209.943351815144</v>
      </c>
      <c r="K3939">
        <f t="shared" si="562"/>
        <v>355.70024243284621</v>
      </c>
      <c r="L3939" s="4">
        <f>MIN(MAX(L3938*(1+MAX(MIN(((B3939-B3938)/B3938)/($K$7*卓尔金历!$N$40),0),-卓尔金历!$M$43))+MIN(MAX(((B3939-B3938)/B3938)/($K$7*卓尔金历!$N$40),0),卓尔金历!$M$43),0),1)</f>
        <v>1</v>
      </c>
      <c r="M3939" s="4">
        <f>MIN(MAX(M3938*(1+MAX(MIN(((B3939-B3938)/B3938)/($K$7*30),0),-卓尔金历!$M$43))+MIN(MAX(((B3939-B3938)/B3938)/($K$7*7),0),卓尔金历!$M$43),0),1)</f>
        <v>1</v>
      </c>
      <c r="N3939">
        <f t="shared" si="563"/>
        <v>898375.2523837334</v>
      </c>
      <c r="O3939">
        <f t="shared" si="564"/>
        <v>2973117.699908332</v>
      </c>
      <c r="P3939">
        <f t="shared" si="565"/>
        <v>1.4544108438560799E-2</v>
      </c>
      <c r="Q3939">
        <f t="shared" si="556"/>
        <v>6.7767497768520132E-2</v>
      </c>
      <c r="R3939">
        <f t="shared" si="557"/>
        <v>1</v>
      </c>
      <c r="S3939">
        <f t="shared" si="559"/>
        <v>4144.8153847575013</v>
      </c>
      <c r="T3939" s="564">
        <f>IF((I3939-MAX(I$470:I3939))/MAX(I$470:I3939)&gt;T3938,T3938,(I3939-MAX(I$470:I3939))/MAX(I$470:I3939))</f>
        <v>-0.91338805338419748</v>
      </c>
      <c r="U3939" s="564">
        <f>IF((J3939-MAX(J$470:J3939))/MAX(J$470:J3939)&gt;U3938,U3938,(J3939-MAX(J$470:J3939))/MAX(J$470:J3939))</f>
        <v>-0.83569785939843477</v>
      </c>
      <c r="V3939" s="564">
        <f>IF((K3939-MAX(K$470:K3939))/MAX(K$470:K3939)&gt;V3938,V3938,(K3939-MAX(K$470:K3939))/MAX(K$470:K3939))</f>
        <v>-0.84885940676762139</v>
      </c>
      <c r="W3939" s="564">
        <f>IF((N3939-MAX(N$470:N3939))/MAX(N$470:N3939)&gt;W3938,W3938,(N3939-MAX(N$470:N3939))/MAX(N$470:N3939))</f>
        <v>-0.62788758315546067</v>
      </c>
      <c r="X3939" s="564">
        <f>IF((O3939-MAX(O$470:O3939))/MAX(O$470:O3939)&gt;X3938,X3938,(O3939-MAX(O$470:O3939))/MAX(O$470:O3939))</f>
        <v>-0.62788758315546067</v>
      </c>
    </row>
    <row r="3940" spans="1:24">
      <c r="A3940" s="799">
        <v>44342</v>
      </c>
      <c r="B3940">
        <v>38709.2247164156</v>
      </c>
      <c r="C3940">
        <v>64659.952121649498</v>
      </c>
      <c r="D3940">
        <v>1.97886373</v>
      </c>
      <c r="E3940">
        <f>LN(D3940/参数实验室!$E$53)/参数实验室!$E$55</f>
        <v>0.11224020082250979</v>
      </c>
      <c r="F3940">
        <f t="shared" si="558"/>
        <v>1.6704016315322598</v>
      </c>
      <c r="G3940">
        <f>LN(F3940/参数实验室!$E$58)/参数实验室!$E$59</f>
        <v>7.8753740196814748E-2</v>
      </c>
      <c r="H3940" s="856">
        <f>INDEX(神经网络!$G$10:$BO$70,MATCH(ROUND(G3940*2,1)/2,神经网络!$E$10:$E$70,0),MATCH(ROUND(E3940*2,1)/2,神经网络!$G$8:$BO$8,0))</f>
        <v>1.1878071735015627</v>
      </c>
      <c r="I3940">
        <f t="shared" si="560"/>
        <v>5509915.9443622548</v>
      </c>
      <c r="J3940">
        <f t="shared" si="561"/>
        <v>15446.001642558369</v>
      </c>
      <c r="K3940">
        <f t="shared" si="562"/>
        <v>356.72118078641034</v>
      </c>
      <c r="L3940" s="4">
        <f>MIN(MAX(L3939*(1+MAX(MIN(((B3940-B3939)/B3939)/($K$7*卓尔金历!$N$40),0),-卓尔金历!$M$43))+MIN(MAX(((B3940-B3939)/B3939)/($K$7*卓尔金历!$N$40),0),卓尔金历!$M$43),0),1)</f>
        <v>1</v>
      </c>
      <c r="M3940" s="4">
        <f>MIN(MAX(M3939*(1+MAX(MIN(((B3940-B3939)/B3939)/($K$7*30),0),-卓尔金历!$M$43))+MIN(MAX(((B3940-B3939)/B3939)/($K$7*7),0),卓尔金历!$M$43),0),1)</f>
        <v>1</v>
      </c>
      <c r="N3940">
        <f t="shared" si="563"/>
        <v>914936.58902878978</v>
      </c>
      <c r="O3940">
        <f t="shared" si="564"/>
        <v>3027926.4259756501</v>
      </c>
      <c r="P3940">
        <f t="shared" si="565"/>
        <v>1.5519998022547202E-2</v>
      </c>
      <c r="Q3940">
        <f t="shared" si="556"/>
        <v>6.5793357350404105E-2</v>
      </c>
      <c r="R3940">
        <f t="shared" si="557"/>
        <v>1</v>
      </c>
      <c r="S3940">
        <f t="shared" si="559"/>
        <v>4221.2240822772073</v>
      </c>
      <c r="T3940" s="564">
        <f>IF((I3940-MAX(I$470:I3940))/MAX(I$470:I3940)&gt;T3939,T3939,(I3940-MAX(I$470:I3940))/MAX(I$470:I3940))</f>
        <v>-0.91338805338419748</v>
      </c>
      <c r="U3940" s="564">
        <f>IF((J3940-MAX(J$470:J3940))/MAX(J$470:J3940)&gt;U3939,U3939,(J3940-MAX(J$470:J3940))/MAX(J$470:J3940))</f>
        <v>-0.83569785939843477</v>
      </c>
      <c r="V3940" s="564">
        <f>IF((K3940-MAX(K$470:K3940))/MAX(K$470:K3940)&gt;V3939,V3939,(K3940-MAX(K$470:K3940))/MAX(K$470:K3940))</f>
        <v>-0.84885940676762139</v>
      </c>
      <c r="W3940" s="564">
        <f>IF((N3940-MAX(N$470:N3940))/MAX(N$470:N3940)&gt;W3939,W3939,(N3940-MAX(N$470:N3940))/MAX(N$470:N3940))</f>
        <v>-0.62788758315546067</v>
      </c>
      <c r="X3940" s="564">
        <f>IF((O3940-MAX(O$470:O3940))/MAX(O$470:O3940)&gt;X3939,X3939,(O3940-MAX(O$470:O3940))/MAX(O$470:O3940))</f>
        <v>-0.62788758315546067</v>
      </c>
    </row>
    <row r="3941" spans="1:24">
      <c r="A3941" s="799">
        <v>44343</v>
      </c>
      <c r="B3941">
        <v>39697.890934513503</v>
      </c>
      <c r="C3941">
        <v>65799.282226679396</v>
      </c>
      <c r="D3941">
        <v>1.9463616500000001</v>
      </c>
      <c r="E3941">
        <f>LN(D3941/参数实验室!$E$53)/参数实验室!$E$55</f>
        <v>9.2702310901374804E-2</v>
      </c>
      <c r="F3941">
        <f t="shared" si="558"/>
        <v>1.6575007053957429</v>
      </c>
      <c r="G3941">
        <f>LN(F3941/参数实验室!$E$58)/参数实验室!$E$59</f>
        <v>7.4684427773737877E-2</v>
      </c>
      <c r="H3941" s="856">
        <f>INDEX(神经网络!$G$10:$BO$70,MATCH(ROUND(G3941*2,1)/2,神经网络!$E$10:$E$70,0),MATCH(ROUND(E3941*2,1)/2,神经网络!$G$8:$BO$8,0))</f>
        <v>1.1442518361508895</v>
      </c>
      <c r="I3941">
        <f t="shared" si="560"/>
        <v>5677073.5490072705</v>
      </c>
      <c r="J3941">
        <f t="shared" si="561"/>
        <v>15840.505540287073</v>
      </c>
      <c r="K3941">
        <f t="shared" si="562"/>
        <v>358.38966973426443</v>
      </c>
      <c r="L3941" s="4">
        <f>MIN(MAX(L3940*(1+MAX(MIN(((B3941-B3940)/B3940)/($K$7*卓尔金历!$N$40),0),-卓尔金历!$M$43))+MIN(MAX(((B3941-B3940)/B3940)/($K$7*卓尔金历!$N$40),0),卓尔金历!$M$43),0),1)</f>
        <v>1</v>
      </c>
      <c r="M3941" s="4">
        <f>MIN(MAX(M3940*(1+MAX(MIN(((B3941-B3940)/B3940)/($K$7*30),0),-卓尔金历!$M$43))+MIN(MAX(((B3941-B3940)/B3940)/($K$7*7),0),卓尔金历!$M$43),0),1)</f>
        <v>1</v>
      </c>
      <c r="N3941">
        <f t="shared" si="563"/>
        <v>942693.56575374701</v>
      </c>
      <c r="O3941">
        <f t="shared" si="564"/>
        <v>3119786.4350063354</v>
      </c>
      <c r="P3941">
        <f t="shared" si="565"/>
        <v>2.554084266323824E-2</v>
      </c>
      <c r="Q3941">
        <f t="shared" si="556"/>
        <v>6.6379992935359219E-2</v>
      </c>
      <c r="R3941">
        <f t="shared" si="557"/>
        <v>1</v>
      </c>
      <c r="S3941">
        <f t="shared" si="559"/>
        <v>4349.2858736708295</v>
      </c>
      <c r="T3941" s="564">
        <f>IF((I3941-MAX(I$470:I3941))/MAX(I$470:I3941)&gt;T3940,T3940,(I3941-MAX(I$470:I3941))/MAX(I$470:I3941))</f>
        <v>-0.91338805338419748</v>
      </c>
      <c r="U3941" s="564">
        <f>IF((J3941-MAX(J$470:J3941))/MAX(J$470:J3941)&gt;U3940,U3940,(J3941-MAX(J$470:J3941))/MAX(J$470:J3941))</f>
        <v>-0.83569785939843477</v>
      </c>
      <c r="V3941" s="564">
        <f>IF((K3941-MAX(K$470:K3941))/MAX(K$470:K3941)&gt;V3940,V3940,(K3941-MAX(K$470:K3941))/MAX(K$470:K3941))</f>
        <v>-0.84885940676762139</v>
      </c>
      <c r="W3941" s="564">
        <f>IF((N3941-MAX(N$470:N3941))/MAX(N$470:N3941)&gt;W3940,W3940,(N3941-MAX(N$470:N3941))/MAX(N$470:N3941))</f>
        <v>-0.62788758315546067</v>
      </c>
      <c r="X3941" s="564">
        <f>IF((O3941-MAX(O$470:O3941))/MAX(O$470:O3941)&gt;X3940,X3940,(O3941-MAX(O$470:O3941))/MAX(O$470:O3941))</f>
        <v>-0.62788758315546067</v>
      </c>
    </row>
    <row r="3942" spans="1:24">
      <c r="A3942" s="799">
        <v>44344</v>
      </c>
      <c r="B3942">
        <v>36780.433296827403</v>
      </c>
      <c r="C3942">
        <v>66871.945502205606</v>
      </c>
      <c r="D3942">
        <v>1.80279078</v>
      </c>
      <c r="E3942">
        <f>LN(D3942/参数实验室!$E$53)/参数实验室!$E$55</f>
        <v>2.3026430045410182E-3</v>
      </c>
      <c r="F3942">
        <f t="shared" si="558"/>
        <v>1.8181391437814798</v>
      </c>
      <c r="G3942">
        <f>LN(F3942/参数实验室!$E$58)/参数实验室!$E$59</f>
        <v>0.12323482334504754</v>
      </c>
      <c r="H3942" s="856">
        <f>INDEX(神经网络!$G$10:$BO$70,MATCH(ROUND(G3942*2,1)/2,神经网络!$E$10:$E$70,0),MATCH(ROUND(E3942*2,1)/2,神经网络!$G$8:$BO$8,0))</f>
        <v>1.0120229397945839</v>
      </c>
      <c r="I3942">
        <f t="shared" si="560"/>
        <v>5199672.6162558049</v>
      </c>
      <c r="J3942">
        <f t="shared" si="561"/>
        <v>14676.362993027949</v>
      </c>
      <c r="K3942">
        <f t="shared" si="562"/>
        <v>354.28890786674634</v>
      </c>
      <c r="L3942" s="4">
        <f>MIN(MAX(L3941*(1+MAX(MIN(((B3942-B3941)/B3941)/($K$7*卓尔金历!$N$40),0),-卓尔金历!$M$43))+MIN(MAX(((B3942-B3941)/B3941)/($K$7*卓尔金历!$N$40),0),卓尔金历!$M$43),0),1)</f>
        <v>0</v>
      </c>
      <c r="M3942" s="4">
        <f>MIN(MAX(M3941*(1+MAX(MIN(((B3942-B3941)/B3941)/($K$7*30),0),-卓尔金历!$M$43))+MIN(MAX(((B3942-B3941)/B3941)/($K$7*7),0),卓尔金历!$M$43),0),1)</f>
        <v>0.43856018569450006</v>
      </c>
      <c r="N3942">
        <f t="shared" si="563"/>
        <v>863419.8371848542</v>
      </c>
      <c r="O3942">
        <f t="shared" si="564"/>
        <v>2857434.9010337242</v>
      </c>
      <c r="P3942">
        <f t="shared" si="565"/>
        <v>-7.3491502168183231E-2</v>
      </c>
      <c r="Q3942">
        <f t="shared" si="556"/>
        <v>6.7332419006749827E-2</v>
      </c>
      <c r="R3942">
        <f t="shared" si="557"/>
        <v>6.0569888017507206E-2</v>
      </c>
      <c r="S3942">
        <f t="shared" si="559"/>
        <v>3983.5423061497941</v>
      </c>
      <c r="T3942" s="564">
        <f>IF((I3942-MAX(I$470:I3942))/MAX(I$470:I3942)&gt;T3941,T3941,(I3942-MAX(I$470:I3942))/MAX(I$470:I3942))</f>
        <v>-0.91338805338419748</v>
      </c>
      <c r="U3942" s="564">
        <f>IF((J3942-MAX(J$470:J3942))/MAX(J$470:J3942)&gt;U3941,U3941,(J3942-MAX(J$470:J3942))/MAX(J$470:J3942))</f>
        <v>-0.83569785939843477</v>
      </c>
      <c r="V3942" s="564">
        <f>IF((K3942-MAX(K$470:K3942))/MAX(K$470:K3942)&gt;V3941,V3941,(K3942-MAX(K$470:K3942))/MAX(K$470:K3942))</f>
        <v>-0.84885940676762139</v>
      </c>
      <c r="W3942" s="564">
        <f>IF((N3942-MAX(N$470:N3942))/MAX(N$470:N3942)&gt;W3941,W3941,(N3942-MAX(N$470:N3942))/MAX(N$470:N3942))</f>
        <v>-0.62788758315546067</v>
      </c>
      <c r="X3942" s="564">
        <f>IF((O3942-MAX(O$470:O3942))/MAX(O$470:O3942)&gt;X3941,X3941,(O3942-MAX(O$470:O3942))/MAX(O$470:O3942))</f>
        <v>-0.62788758315546067</v>
      </c>
    </row>
    <row r="3943" spans="1:24">
      <c r="A3943" s="799">
        <v>44345</v>
      </c>
      <c r="B3943">
        <v>34329.675330137798</v>
      </c>
      <c r="C3943">
        <v>67161.622193680494</v>
      </c>
      <c r="D3943">
        <v>1.7581951499999999</v>
      </c>
      <c r="E3943">
        <f>LN(D3943/参数实验室!$E$53)/参数实验室!$E$55</f>
        <v>-2.7247931425608263E-2</v>
      </c>
      <c r="F3943">
        <f t="shared" si="558"/>
        <v>1.9563721925071555</v>
      </c>
      <c r="G3943">
        <f>LN(F3943/参数实验室!$E$58)/参数实验室!$E$59</f>
        <v>0.16169523873928315</v>
      </c>
      <c r="H3943" s="856">
        <f>INDEX(神经网络!$G$10:$BO$70,MATCH(ROUND(G3943*2,1)/2,神经网络!$E$10:$E$70,0),MATCH(ROUND(E3943*2,1)/2,神经网络!$G$8:$BO$8,0))</f>
        <v>0.96921287320345451</v>
      </c>
      <c r="I3943">
        <f t="shared" si="560"/>
        <v>4849041.9160015546</v>
      </c>
      <c r="J3943">
        <f t="shared" si="561"/>
        <v>13698.445924000536</v>
      </c>
      <c r="K3943">
        <f t="shared" si="562"/>
        <v>353.98482009595915</v>
      </c>
      <c r="L3943" s="4">
        <f>MIN(MAX(L3942*(1+MAX(MIN(((B3943-B3942)/B3942)/($K$7*卓尔金历!$N$40),0),-卓尔金历!$M$43))+MIN(MAX(((B3943-B3942)/B3942)/($K$7*卓尔金历!$N$40),0),卓尔金历!$M$43),0),1)</f>
        <v>0</v>
      </c>
      <c r="M3943" s="4">
        <f>MIN(MAX(M3942*(1+MAX(MIN(((B3943-B3942)/B3942)/($K$7*30),0),-卓尔金历!$M$43))+MIN(MAX(((B3943-B3942)/B3942)/($K$7*7),0),卓尔金历!$M$43),0),1)</f>
        <v>0.21531666308343717</v>
      </c>
      <c r="N3943">
        <f t="shared" si="563"/>
        <v>863419.8371848542</v>
      </c>
      <c r="O3943">
        <f t="shared" si="564"/>
        <v>2772930.4692621129</v>
      </c>
      <c r="P3943">
        <f t="shared" si="565"/>
        <v>-6.6632112430850626E-2</v>
      </c>
      <c r="Q3943">
        <f t="shared" si="556"/>
        <v>6.7905685824365611E-2</v>
      </c>
      <c r="R3943">
        <f t="shared" si="557"/>
        <v>8.7540372370551497E-2</v>
      </c>
      <c r="S3943">
        <f t="shared" si="559"/>
        <v>3967.2718344682294</v>
      </c>
      <c r="T3943" s="564">
        <f>IF((I3943-MAX(I$470:I3943))/MAX(I$470:I3943)&gt;T3942,T3942,(I3943-MAX(I$470:I3943))/MAX(I$470:I3943))</f>
        <v>-0.91338805338419748</v>
      </c>
      <c r="U3943" s="564">
        <f>IF((J3943-MAX(J$470:J3943))/MAX(J$470:J3943)&gt;U3942,U3942,(J3943-MAX(J$470:J3943))/MAX(J$470:J3943))</f>
        <v>-0.83569785939843477</v>
      </c>
      <c r="V3943" s="564">
        <f>IF((K3943-MAX(K$470:K3943))/MAX(K$470:K3943)&gt;V3942,V3942,(K3943-MAX(K$470:K3943))/MAX(K$470:K3943))</f>
        <v>-0.84885940676762139</v>
      </c>
      <c r="W3943" s="564">
        <f>IF((N3943-MAX(N$470:N3943))/MAX(N$470:N3943)&gt;W3942,W3942,(N3943-MAX(N$470:N3943))/MAX(N$470:N3943))</f>
        <v>-0.62788758315546067</v>
      </c>
      <c r="X3943" s="564">
        <f>IF((O3943-MAX(O$470:O3943))/MAX(O$470:O3943)&gt;X3942,X3942,(O3943-MAX(O$470:O3943))/MAX(O$470:O3943))</f>
        <v>-0.6362600690434369</v>
      </c>
    </row>
    <row r="3944" spans="1:24">
      <c r="A3944" s="799">
        <v>44346</v>
      </c>
      <c r="B3944">
        <v>35511.0247050416</v>
      </c>
      <c r="C3944">
        <v>67218.927449647294</v>
      </c>
      <c r="D3944">
        <v>1.80573948</v>
      </c>
      <c r="E3944">
        <f>LN(D3944/参数实验室!$E$53)/参数实验室!$E$55</f>
        <v>4.2307072933997561E-3</v>
      </c>
      <c r="F3944">
        <f t="shared" si="558"/>
        <v>1.8929030634281876</v>
      </c>
      <c r="G3944">
        <f>LN(F3944/参数实验室!$E$58)/参数实验室!$E$59</f>
        <v>0.14438546161334156</v>
      </c>
      <c r="H3944" s="856">
        <f>INDEX(神经网络!$G$10:$BO$70,MATCH(ROUND(G3944*2,1)/2,神经网络!$E$10:$E$70,0),MATCH(ROUND(E3944*2,1)/2,神经网络!$G$8:$BO$8,0))</f>
        <v>1.0539475037188322</v>
      </c>
      <c r="I3944">
        <f t="shared" si="560"/>
        <v>5010769.3782271706</v>
      </c>
      <c r="J3944">
        <f t="shared" si="561"/>
        <v>14169.835483437033</v>
      </c>
      <c r="K3944">
        <f t="shared" si="562"/>
        <v>353.62226922706367</v>
      </c>
      <c r="L3944" s="4">
        <f>MIN(MAX(L3943*(1+MAX(MIN(((B3944-B3943)/B3943)/($K$7*卓尔金历!$N$40),0),-卓尔金历!$M$43))+MIN(MAX(((B3944-B3943)/B3943)/($K$7*卓尔金历!$N$40),0),卓尔金历!$M$43),0),1)</f>
        <v>0.52578081845404367</v>
      </c>
      <c r="M3944" s="4">
        <f>MIN(MAX(M3943*(1+MAX(MIN(((B3944-B3943)/B3943)/($K$7*30),0),-卓尔金历!$M$43))+MIN(MAX(((B3944-B3943)/B3943)/($K$7*7),0),卓尔金历!$M$43),0),1)</f>
        <v>1</v>
      </c>
      <c r="N3944">
        <f t="shared" si="563"/>
        <v>863419.8371848542</v>
      </c>
      <c r="O3944">
        <f t="shared" si="564"/>
        <v>2792843.8250847822</v>
      </c>
      <c r="P3944">
        <f t="shared" si="565"/>
        <v>3.4411900594547823E-2</v>
      </c>
      <c r="Q3944">
        <f t="shared" si="556"/>
        <v>6.8864399282434333E-2</v>
      </c>
      <c r="R3944">
        <f t="shared" si="557"/>
        <v>0.80875125634248679</v>
      </c>
      <c r="S3944">
        <f t="shared" si="559"/>
        <v>3978.8550245225392</v>
      </c>
      <c r="T3944" s="564">
        <f>IF((I3944-MAX(I$470:I3944))/MAX(I$470:I3944)&gt;T3943,T3943,(I3944-MAX(I$470:I3944))/MAX(I$470:I3944))</f>
        <v>-0.91338805338419748</v>
      </c>
      <c r="U3944" s="564">
        <f>IF((J3944-MAX(J$470:J3944))/MAX(J$470:J3944)&gt;U3943,U3943,(J3944-MAX(J$470:J3944))/MAX(J$470:J3944))</f>
        <v>-0.83569785939843477</v>
      </c>
      <c r="V3944" s="564">
        <f>IF((K3944-MAX(K$470:K3944))/MAX(K$470:K3944)&gt;V3943,V3943,(K3944-MAX(K$470:K3944))/MAX(K$470:K3944))</f>
        <v>-0.84885940676762139</v>
      </c>
      <c r="W3944" s="564">
        <f>IF((N3944-MAX(N$470:N3944))/MAX(N$470:N3944)&gt;W3943,W3943,(N3944-MAX(N$470:N3944))/MAX(N$470:N3944))</f>
        <v>-0.62788758315546067</v>
      </c>
      <c r="X3944" s="564">
        <f>IF((O3944-MAX(O$470:O3944))/MAX(O$470:O3944)&gt;X3943,X3943,(O3944-MAX(O$470:O3944))/MAX(O$470:O3944))</f>
        <v>-0.6362600690434369</v>
      </c>
    </row>
    <row r="3945" spans="1:24">
      <c r="A3945" s="799">
        <v>44347</v>
      </c>
      <c r="B3945">
        <v>36919.597713689502</v>
      </c>
      <c r="C3945">
        <v>67134.841217912195</v>
      </c>
      <c r="D3945">
        <v>1.8893904100000001</v>
      </c>
      <c r="E3945">
        <f>LN(D3945/参数实验室!$E$53)/参数实验室!$E$55</f>
        <v>5.7654712838110585E-2</v>
      </c>
      <c r="F3945">
        <f t="shared" si="558"/>
        <v>1.8184066288733995</v>
      </c>
      <c r="G3945">
        <f>LN(F3945/参数实验室!$E$58)/参数实验室!$E$59</f>
        <v>0.1233120343254603</v>
      </c>
      <c r="H3945" s="856">
        <f>INDEX(神经网络!$G$10:$BO$70,MATCH(ROUND(G3945*2,1)/2,神经网络!$E$10:$E$70,0),MATCH(ROUND(E3945*2,1)/2,神经网络!$G$8:$BO$8,0))</f>
        <v>1.0977717314187945</v>
      </c>
      <c r="I3945">
        <f t="shared" si="560"/>
        <v>5220247.924759848</v>
      </c>
      <c r="J3945">
        <f t="shared" si="561"/>
        <v>14731.893265906967</v>
      </c>
      <c r="K3945">
        <f t="shared" si="562"/>
        <v>354.35010494141426</v>
      </c>
      <c r="L3945" s="4">
        <f>MIN(MAX(L3944*(1+MAX(MIN(((B3945-B3944)/B3944)/($K$7*卓尔金历!$N$40),0),-卓尔金历!$M$43))+MIN(MAX(((B3945-B3944)/B3944)/($K$7*卓尔金历!$N$40),0),卓尔金历!$M$43),0),1)</f>
        <v>1</v>
      </c>
      <c r="M3945" s="4">
        <f>MIN(MAX(M3944*(1+MAX(MIN(((B3945-B3944)/B3944)/($K$7*30),0),-卓尔金历!$M$43))+MIN(MAX(((B3945-B3944)/B3944)/($K$7*7),0),卓尔金历!$M$43),0),1)</f>
        <v>1</v>
      </c>
      <c r="N3945">
        <f t="shared" si="563"/>
        <v>882398.33777534124</v>
      </c>
      <c r="O3945">
        <f t="shared" si="564"/>
        <v>2909600.518720224</v>
      </c>
      <c r="P3945">
        <f t="shared" si="565"/>
        <v>3.9665794506006539E-2</v>
      </c>
      <c r="Q3945">
        <f t="shared" si="556"/>
        <v>6.9714184332560977E-2</v>
      </c>
      <c r="R3945">
        <f t="shared" si="557"/>
        <v>0.67161262405842981</v>
      </c>
      <c r="S3945">
        <f t="shared" si="559"/>
        <v>4113.3816414742369</v>
      </c>
      <c r="T3945" s="564">
        <f>IF((I3945-MAX(I$470:I3945))/MAX(I$470:I3945)&gt;T3944,T3944,(I3945-MAX(I$470:I3945))/MAX(I$470:I3945))</f>
        <v>-0.91338805338419748</v>
      </c>
      <c r="U3945" s="564">
        <f>IF((J3945-MAX(J$470:J3945))/MAX(J$470:J3945)&gt;U3944,U3944,(J3945-MAX(J$470:J3945))/MAX(J$470:J3945))</f>
        <v>-0.83569785939843477</v>
      </c>
      <c r="V3945" s="564">
        <f>IF((K3945-MAX(K$470:K3945))/MAX(K$470:K3945)&gt;V3944,V3944,(K3945-MAX(K$470:K3945))/MAX(K$470:K3945))</f>
        <v>-0.84885940676762139</v>
      </c>
      <c r="W3945" s="564">
        <f>IF((N3945-MAX(N$470:N3945))/MAX(N$470:N3945)&gt;W3944,W3944,(N3945-MAX(N$470:N3945))/MAX(N$470:N3945))</f>
        <v>-0.62788758315546067</v>
      </c>
      <c r="X3945" s="564">
        <f>IF((O3945-MAX(O$470:O3945))/MAX(O$470:O3945)&gt;X3944,X3944,(O3945-MAX(O$470:O3945))/MAX(O$470:O3945))</f>
        <v>-0.6362600690434369</v>
      </c>
    </row>
    <row r="3946" spans="1:24">
      <c r="A3946" s="799">
        <v>44348</v>
      </c>
      <c r="B3946">
        <v>36265.545738283399</v>
      </c>
      <c r="C3946">
        <v>69208.076100388993</v>
      </c>
      <c r="D3946">
        <v>1.8549076099999999</v>
      </c>
      <c r="E3946">
        <f>LN(D3946/参数实验室!$E$53)/参数实验室!$E$55</f>
        <v>3.5924420481401528E-2</v>
      </c>
      <c r="F3946">
        <f t="shared" si="558"/>
        <v>1.9083699056906818</v>
      </c>
      <c r="G3946">
        <f>LN(F3946/参数实验室!$E$58)/参数实验室!$E$59</f>
        <v>0.14865659897187325</v>
      </c>
      <c r="H3946" s="856">
        <f>INDEX(神经网络!$G$10:$BO$70,MATCH(ROUND(G3946*2,1)/2,神经网络!$E$10:$E$70,0),MATCH(ROUND(E3946*2,1)/2,神经网络!$G$8:$BO$8,0))</f>
        <v>1.1440648400729447</v>
      </c>
      <c r="I3946">
        <f t="shared" si="560"/>
        <v>5118726.320010257</v>
      </c>
      <c r="J3946">
        <f t="shared" si="561"/>
        <v>14470.909276678245</v>
      </c>
      <c r="K3946">
        <f t="shared" si="562"/>
        <v>353.7252720020677</v>
      </c>
      <c r="L3946" s="4">
        <f>MIN(MAX(L3945*(1+MAX(MIN(((B3946-B3945)/B3945)/($K$7*卓尔金历!$N$40),0),-卓尔金历!$M$43))+MIN(MAX(((B3946-B3945)/B3945)/($K$7*卓尔金历!$N$40),0),卓尔金历!$M$43),0),1)</f>
        <v>0.72932298409708984</v>
      </c>
      <c r="M3946" s="4">
        <f>MIN(MAX(M3945*(1+MAX(MIN(((B3946-B3945)/B3945)/($K$7*30),0),-卓尔金历!$M$43))+MIN(MAX(((B3946-B3945)/B3945)/($K$7*7),0),卓尔金历!$M$43),0),1)</f>
        <v>0.86466149204854492</v>
      </c>
      <c r="N3946">
        <f t="shared" si="563"/>
        <v>865237.75525694573</v>
      </c>
      <c r="O3946">
        <f t="shared" si="564"/>
        <v>2853015.5982148806</v>
      </c>
      <c r="P3946">
        <f t="shared" si="565"/>
        <v>-1.7715576981045627E-2</v>
      </c>
      <c r="Q3946">
        <f t="shared" si="556"/>
        <v>6.9601078945382019E-2</v>
      </c>
      <c r="R3946">
        <f t="shared" si="557"/>
        <v>1</v>
      </c>
      <c r="S3946">
        <f t="shared" si="559"/>
        <v>4059.6555557292299</v>
      </c>
      <c r="T3946" s="564">
        <f>IF((I3946-MAX(I$470:I3946))/MAX(I$470:I3946)&gt;T3945,T3945,(I3946-MAX(I$470:I3946))/MAX(I$470:I3946))</f>
        <v>-0.91338805338419748</v>
      </c>
      <c r="U3946" s="564">
        <f>IF((J3946-MAX(J$470:J3946))/MAX(J$470:J3946)&gt;U3945,U3945,(J3946-MAX(J$470:J3946))/MAX(J$470:J3946))</f>
        <v>-0.83569785939843477</v>
      </c>
      <c r="V3946" s="564">
        <f>IF((K3946-MAX(K$470:K3946))/MAX(K$470:K3946)&gt;V3945,V3945,(K3946-MAX(K$470:K3946))/MAX(K$470:K3946))</f>
        <v>-0.84885940676762139</v>
      </c>
      <c r="W3946" s="564">
        <f>IF((N3946-MAX(N$470:N3946))/MAX(N$470:N3946)&gt;W3945,W3945,(N3946-MAX(N$470:N3946))/MAX(N$470:N3946))</f>
        <v>-0.62788758315546067</v>
      </c>
      <c r="X3946" s="564">
        <f>IF((O3946-MAX(O$470:O3946))/MAX(O$470:O3946)&gt;X3945,X3945,(O3946-MAX(O$470:O3946))/MAX(O$470:O3946))</f>
        <v>-0.6362600690434369</v>
      </c>
    </row>
    <row r="3947" spans="1:24">
      <c r="A3947" s="799">
        <v>44349</v>
      </c>
      <c r="B3947">
        <v>37992.825306582898</v>
      </c>
      <c r="C3947">
        <v>69761.651891012501</v>
      </c>
      <c r="D3947">
        <v>1.9050989641</v>
      </c>
      <c r="E3947">
        <f>LN(D3947/参数实验室!$E$53)/参数实验室!$E$55</f>
        <v>6.7422732564253865E-2</v>
      </c>
      <c r="F3947">
        <f t="shared" si="558"/>
        <v>1.8361796293924242</v>
      </c>
      <c r="G3947">
        <f>LN(F3947/参数实验室!$E$58)/参数实验室!$E$59</f>
        <v>0.1284170197119516</v>
      </c>
      <c r="H3947" s="856">
        <f>INDEX(神经网络!$G$10:$BO$70,MATCH(ROUND(G3947*2,1)/2,神经网络!$E$10:$E$70,0),MATCH(ROUND(E3947*2,1)/2,神经网络!$G$8:$BO$8,0))</f>
        <v>1.1440648400729447</v>
      </c>
      <c r="I3947">
        <f t="shared" si="560"/>
        <v>5397647.1619253214</v>
      </c>
      <c r="J3947">
        <f t="shared" si="561"/>
        <v>15160.139382539741</v>
      </c>
      <c r="K3947">
        <f t="shared" si="562"/>
        <v>356.04205381791593</v>
      </c>
      <c r="L3947" s="4">
        <f>MIN(MAX(L3946*(1+MAX(MIN(((B3947-B3946)/B3946)/($K$7*卓尔金历!$N$40),0),-卓尔金历!$M$43))+MIN(MAX(((B3947-B3946)/B3946)/($K$7*卓尔金历!$N$40),0),卓尔金历!$M$43),0),1)</f>
        <v>1</v>
      </c>
      <c r="M3947" s="4">
        <f>MIN(MAX(M3946*(1+MAX(MIN(((B3947-B3946)/B3946)/($K$7*30),0),-卓尔金历!$M$43))+MIN(MAX(((B3947-B3946)/B3946)/($K$7*7),0),卓尔金历!$M$43),0),1)</f>
        <v>1</v>
      </c>
      <c r="N3947">
        <f t="shared" si="563"/>
        <v>899623.18208488461</v>
      </c>
      <c r="O3947">
        <f t="shared" si="564"/>
        <v>2987437.2790145939</v>
      </c>
      <c r="P3947">
        <f t="shared" si="565"/>
        <v>4.7628666083359424E-2</v>
      </c>
      <c r="Q3947">
        <f t="shared" si="556"/>
        <v>7.0977801269248172E-2</v>
      </c>
      <c r="R3947">
        <f t="shared" si="557"/>
        <v>0.49629956308383977</v>
      </c>
      <c r="S3947">
        <f t="shared" si="559"/>
        <v>4280.8673327806155</v>
      </c>
      <c r="T3947" s="564">
        <f>IF((I3947-MAX(I$470:I3947))/MAX(I$470:I3947)&gt;T3946,T3946,(I3947-MAX(I$470:I3947))/MAX(I$470:I3947))</f>
        <v>-0.91338805338419748</v>
      </c>
      <c r="U3947" s="564">
        <f>IF((J3947-MAX(J$470:J3947))/MAX(J$470:J3947)&gt;U3946,U3946,(J3947-MAX(J$470:J3947))/MAX(J$470:J3947))</f>
        <v>-0.83569785939843477</v>
      </c>
      <c r="V3947" s="564">
        <f>IF((K3947-MAX(K$470:K3947))/MAX(K$470:K3947)&gt;V3946,V3946,(K3947-MAX(K$470:K3947))/MAX(K$470:K3947))</f>
        <v>-0.84885940676762139</v>
      </c>
      <c r="W3947" s="564">
        <f>IF((N3947-MAX(N$470:N3947))/MAX(N$470:N3947)&gt;W3946,W3946,(N3947-MAX(N$470:N3947))/MAX(N$470:N3947))</f>
        <v>-0.62788758315546067</v>
      </c>
      <c r="X3947" s="564">
        <f>IF((O3947-MAX(O$470:O3947))/MAX(O$470:O3947)&gt;X3946,X3946,(O3947-MAX(O$470:O3947))/MAX(O$470:O3947))</f>
        <v>-0.6362600690434369</v>
      </c>
    </row>
    <row r="3948" spans="1:24">
      <c r="A3948" s="799">
        <v>44350</v>
      </c>
      <c r="B3948">
        <v>38591.322024367</v>
      </c>
      <c r="C3948">
        <v>71482.371213779901</v>
      </c>
      <c r="D3948">
        <v>1.9791401</v>
      </c>
      <c r="E3948">
        <f>LN(D3948/参数实验室!$E$53)/参数实验室!$E$55</f>
        <v>0.11240495478363295</v>
      </c>
      <c r="F3948">
        <f t="shared" si="558"/>
        <v>1.8522913303836837</v>
      </c>
      <c r="G3948">
        <f>LN(F3948/参数实验室!$E$58)/参数实验室!$E$59</f>
        <v>0.13300230466199134</v>
      </c>
      <c r="H3948" s="856">
        <f>INDEX(神经网络!$G$10:$BO$70,MATCH(ROUND(G3948*2,1)/2,神经网络!$E$10:$E$70,0),MATCH(ROUND(E3948*2,1)/2,神经网络!$G$8:$BO$8,0))</f>
        <v>1.2369016632459293</v>
      </c>
      <c r="I3948">
        <f t="shared" si="560"/>
        <v>5494925.3142181933</v>
      </c>
      <c r="J3948">
        <f t="shared" si="561"/>
        <v>15398.955358671619</v>
      </c>
      <c r="K3948">
        <f t="shared" si="562"/>
        <v>356.8375377569904</v>
      </c>
      <c r="L3948" s="4">
        <f>MIN(MAX(L3947*(1+MAX(MIN(((B3948-B3947)/B3947)/($K$7*卓尔金历!$N$40),0),-卓尔金历!$M$43))+MIN(MAX(((B3948-B3947)/B3947)/($K$7*卓尔金历!$N$40),0),卓尔金历!$M$43),0),1)</f>
        <v>1</v>
      </c>
      <c r="M3948" s="4">
        <f>MIN(MAX(M3947*(1+MAX(MIN(((B3948-B3947)/B3947)/($K$7*30),0),-卓尔金历!$M$43))+MIN(MAX(((B3948-B3947)/B3947)/($K$7*7),0),卓尔金历!$M$43),0),1)</f>
        <v>1</v>
      </c>
      <c r="N3948">
        <f t="shared" si="563"/>
        <v>915836.48360084288</v>
      </c>
      <c r="O3948">
        <f t="shared" si="564"/>
        <v>3041277.8450751817</v>
      </c>
      <c r="P3948">
        <f t="shared" si="565"/>
        <v>1.5752887892767558E-2</v>
      </c>
      <c r="Q3948">
        <f t="shared" ref="Q3948:Q3985" si="566">STDEVP(P3928:P3948)</f>
        <v>6.8106594472079895E-2</v>
      </c>
      <c r="R3948">
        <f t="shared" ref="R3948:R3985" si="567">MIN(Q3947*MAX(1-LN(MAX(ABS(P3948),0.0001)/Q3948),0)+MAX(-LN(MAX(ABS(P3948),0.0001)/Q3948),0),1)</f>
        <v>1</v>
      </c>
      <c r="S3948">
        <f t="shared" si="559"/>
        <v>4319.1574312302873</v>
      </c>
      <c r="T3948" s="564">
        <f>IF((I3948-MAX(I$470:I3948))/MAX(I$470:I3948)&gt;T3947,T3947,(I3948-MAX(I$470:I3948))/MAX(I$470:I3948))</f>
        <v>-0.91338805338419748</v>
      </c>
      <c r="U3948" s="564">
        <f>IF((J3948-MAX(J$470:J3948))/MAX(J$470:J3948)&gt;U3947,U3947,(J3948-MAX(J$470:J3948))/MAX(J$470:J3948))</f>
        <v>-0.83569785939843477</v>
      </c>
      <c r="V3948" s="564">
        <f>IF((K3948-MAX(K$470:K3948))/MAX(K$470:K3948)&gt;V3947,V3947,(K3948-MAX(K$470:K3948))/MAX(K$470:K3948))</f>
        <v>-0.84885940676762139</v>
      </c>
      <c r="W3948" s="564">
        <f>IF((N3948-MAX(N$470:N3948))/MAX(N$470:N3948)&gt;W3947,W3947,(N3948-MAX(N$470:N3948))/MAX(N$470:N3948))</f>
        <v>-0.62788758315546067</v>
      </c>
      <c r="X3948" s="564">
        <f>IF((O3948-MAX(O$470:O3948))/MAX(O$470:O3948)&gt;X3947,X3947,(O3948-MAX(O$470:O3948))/MAX(O$470:O3948))</f>
        <v>-0.6362600690434369</v>
      </c>
    </row>
    <row r="3949" spans="1:24">
      <c r="A3949" s="799">
        <v>44351</v>
      </c>
      <c r="B3949">
        <v>36920.728529201202</v>
      </c>
      <c r="C3949">
        <v>72837.897643931399</v>
      </c>
      <c r="D3949">
        <v>1.8668536389999999</v>
      </c>
      <c r="E3949">
        <f>LN(D3949/参数实验室!$E$53)/参数实验室!$E$55</f>
        <v>4.3497939534632553E-2</v>
      </c>
      <c r="F3949">
        <f t="shared" si="558"/>
        <v>1.9728185370535885</v>
      </c>
      <c r="G3949">
        <f>LN(F3949/参数实验室!$E$58)/参数实验室!$E$59</f>
        <v>0.16608900907727669</v>
      </c>
      <c r="H3949" s="856">
        <f>INDEX(神经网络!$G$10:$BO$70,MATCH(ROUND(G3949*2,1)/2,神经网络!$E$10:$E$70,0),MATCH(ROUND(E3949*2,1)/2,神经网络!$G$8:$BO$8,0))</f>
        <v>1.1440648400729447</v>
      </c>
      <c r="I3949">
        <f t="shared" si="560"/>
        <v>5200701.3131320067</v>
      </c>
      <c r="J3949">
        <f t="shared" si="561"/>
        <v>14732.344491122121</v>
      </c>
      <c r="K3949">
        <f t="shared" si="562"/>
        <v>353.01246968980456</v>
      </c>
      <c r="L3949" s="4">
        <f>MIN(MAX(L3948*(1+MAX(MIN(((B3949-B3948)/B3948)/($K$7*卓尔金历!$N$40),0),-卓尔金历!$M$43))+MIN(MAX(((B3949-B3948)/B3948)/($K$7*卓尔金历!$N$40),0),卓尔金历!$M$43),0),1)</f>
        <v>0.33858017506196225</v>
      </c>
      <c r="M3949" s="4">
        <f>MIN(MAX(M3948*(1+MAX(MIN(((B3949-B3948)/B3948)/($K$7*30),0),-卓尔金历!$M$43))+MIN(MAX(((B3949-B3948)/B3948)/($K$7*7),0),卓尔金历!$M$43),0),1)</f>
        <v>0.66929008753098107</v>
      </c>
      <c r="N3949">
        <f t="shared" si="563"/>
        <v>866798.31490207824</v>
      </c>
      <c r="O3949">
        <f t="shared" si="564"/>
        <v>2878433.6051948969</v>
      </c>
      <c r="P3949">
        <f t="shared" si="565"/>
        <v>-4.3289356454566816E-2</v>
      </c>
      <c r="Q3949">
        <f t="shared" si="566"/>
        <v>6.7775234111866839E-2</v>
      </c>
      <c r="R3949">
        <f t="shared" si="567"/>
        <v>0.54692815760022595</v>
      </c>
      <c r="S3949">
        <f t="shared" si="559"/>
        <v>4087.889541665073</v>
      </c>
      <c r="T3949" s="564">
        <f>IF((I3949-MAX(I$470:I3949))/MAX(I$470:I3949)&gt;T3948,T3948,(I3949-MAX(I$470:I3949))/MAX(I$470:I3949))</f>
        <v>-0.91338805338419748</v>
      </c>
      <c r="U3949" s="564">
        <f>IF((J3949-MAX(J$470:J3949))/MAX(J$470:J3949)&gt;U3948,U3948,(J3949-MAX(J$470:J3949))/MAX(J$470:J3949))</f>
        <v>-0.83569785939843477</v>
      </c>
      <c r="V3949" s="564">
        <f>IF((K3949-MAX(K$470:K3949))/MAX(K$470:K3949)&gt;V3948,V3948,(K3949-MAX(K$470:K3949))/MAX(K$470:K3949))</f>
        <v>-0.84885940676762139</v>
      </c>
      <c r="W3949" s="564">
        <f>IF((N3949-MAX(N$470:N3949))/MAX(N$470:N3949)&gt;W3948,W3948,(N3949-MAX(N$470:N3949))/MAX(N$470:N3949))</f>
        <v>-0.62788758315546067</v>
      </c>
      <c r="X3949" s="564">
        <f>IF((O3949-MAX(O$470:O3949))/MAX(O$470:O3949)&gt;X3948,X3948,(O3949-MAX(O$470:O3949))/MAX(O$470:O3949))</f>
        <v>-0.6362600690434369</v>
      </c>
    </row>
    <row r="3950" spans="1:24">
      <c r="A3950" s="799">
        <v>44352</v>
      </c>
      <c r="B3950">
        <v>36299.337191796403</v>
      </c>
      <c r="C3950">
        <v>74930.763387809697</v>
      </c>
      <c r="D3950">
        <v>1.79378368</v>
      </c>
      <c r="E3950">
        <f>LN(D3950/参数实验室!$E$53)/参数实验室!$E$55</f>
        <v>-3.6064117235454665E-3</v>
      </c>
      <c r="F3950">
        <f t="shared" si="558"/>
        <v>2.0642460492293488</v>
      </c>
      <c r="G3950">
        <f>LN(F3950/参数实验室!$E$58)/参数实验室!$E$59</f>
        <v>0.18986584233975398</v>
      </c>
      <c r="H3950" s="856">
        <f>INDEX(神经网络!$G$10:$BO$70,MATCH(ROUND(G3950*2,1)/2,神经网络!$E$10:$E$70,0),MATCH(ROUND(E3950*2,1)/2,神经网络!$G$8:$BO$8,0))</f>
        <v>1.0974723757234852</v>
      </c>
      <c r="I3950">
        <f t="shared" si="560"/>
        <v>5100561.3370086309</v>
      </c>
      <c r="J3950">
        <f t="shared" si="561"/>
        <v>14484.39295790126</v>
      </c>
      <c r="K3950">
        <f t="shared" si="562"/>
        <v>352.1418779394732</v>
      </c>
      <c r="L3950" s="4">
        <f>MIN(MAX(L3949*(1+MAX(MIN(((B3950-B3949)/B3949)/($K$7*卓尔金历!$N$40),0),-卓尔金历!$M$43))+MIN(MAX(((B3950-B3949)/B3949)/($K$7*卓尔金历!$N$40),0),卓尔金历!$M$43),0),1)</f>
        <v>0.2515133844347493</v>
      </c>
      <c r="M3950" s="4">
        <f>MIN(MAX(M3949*(1+MAX(MIN(((B3950-B3949)/B3949)/($K$7*30),0),-卓尔金历!$M$43))+MIN(MAX(((B3950-B3949)/B3949)/($K$7*7),0),卓尔金历!$M$43),0),1)</f>
        <v>0.58323522636070635</v>
      </c>
      <c r="N3950">
        <f t="shared" si="563"/>
        <v>861147.31688373664</v>
      </c>
      <c r="O3950">
        <f t="shared" si="564"/>
        <v>2841338.5364081501</v>
      </c>
      <c r="P3950">
        <f t="shared" si="565"/>
        <v>-1.6830419175323973E-2</v>
      </c>
      <c r="Q3950">
        <f t="shared" si="566"/>
        <v>6.7467561420548564E-2</v>
      </c>
      <c r="R3950">
        <f t="shared" si="567"/>
        <v>1</v>
      </c>
      <c r="S3950">
        <f t="shared" si="559"/>
        <v>4044.8393582087151</v>
      </c>
      <c r="T3950" s="564">
        <f>IF((I3950-MAX(I$470:I3950))/MAX(I$470:I3950)&gt;T3949,T3949,(I3950-MAX(I$470:I3950))/MAX(I$470:I3950))</f>
        <v>-0.91338805338419748</v>
      </c>
      <c r="U3950" s="564">
        <f>IF((J3950-MAX(J$470:J3950))/MAX(J$470:J3950)&gt;U3949,U3949,(J3950-MAX(J$470:J3950))/MAX(J$470:J3950))</f>
        <v>-0.83569785939843477</v>
      </c>
      <c r="V3950" s="564">
        <f>IF((K3950-MAX(K$470:K3950))/MAX(K$470:K3950)&gt;V3949,V3949,(K3950-MAX(K$470:K3950))/MAX(K$470:K3950))</f>
        <v>-0.84885940676762139</v>
      </c>
      <c r="W3950" s="564">
        <f>IF((N3950-MAX(N$470:N3950))/MAX(N$470:N3950)&gt;W3949,W3949,(N3950-MAX(N$470:N3950))/MAX(N$470:N3950))</f>
        <v>-0.62788758315546067</v>
      </c>
      <c r="X3950" s="564">
        <f>IF((O3950-MAX(O$470:O3950))/MAX(O$470:O3950)&gt;X3949,X3949,(O3950-MAX(O$470:O3950))/MAX(O$470:O3950))</f>
        <v>-0.6362600690434369</v>
      </c>
    </row>
    <row r="3951" spans="1:24">
      <c r="A3951" s="799">
        <v>44353</v>
      </c>
      <c r="B3951">
        <v>36182.170030462003</v>
      </c>
      <c r="C3951">
        <v>76152.859889331594</v>
      </c>
      <c r="D3951">
        <v>1.81038933</v>
      </c>
      <c r="E3951">
        <f>LN(D3951/参数实验室!$E$53)/参数实验室!$E$55</f>
        <v>7.2647135100702646E-3</v>
      </c>
      <c r="F3951">
        <f t="shared" si="558"/>
        <v>2.1047068162362295</v>
      </c>
      <c r="G3951">
        <f>LN(F3951/参数实验室!$E$58)/参数实验室!$E$59</f>
        <v>0.20005385099650227</v>
      </c>
      <c r="H3951" s="856">
        <f>INDEX(神经网络!$G$10:$BO$70,MATCH(ROUND(G3951*2,1)/2,神经网络!$E$10:$E$70,0),MATCH(ROUND(E3951*2,1)/2,神经网络!$G$8:$BO$8,0))</f>
        <v>1.0974723757234852</v>
      </c>
      <c r="I3951">
        <f t="shared" si="560"/>
        <v>5082492.974922427</v>
      </c>
      <c r="J3951">
        <f t="shared" si="561"/>
        <v>14437.640170169565</v>
      </c>
      <c r="K3951">
        <f t="shared" si="562"/>
        <v>352.03072766861561</v>
      </c>
      <c r="L3951" s="4">
        <f>MIN(MAX(L3950*(1+MAX(MIN(((B3951-B3950)/B3950)/($K$7*卓尔金历!$N$40),0),-卓尔金历!$M$43))+MIN(MAX(((B3951-B3950)/B3950)/($K$7*卓尔金历!$N$40),0),卓尔金历!$M$43),0),1)</f>
        <v>0.2391093091699201</v>
      </c>
      <c r="M3951" s="4">
        <f>MIN(MAX(M3950*(1+MAX(MIN(((B3951-B3950)/B3950)/($K$7*30),0),-卓尔金历!$M$43))+MIN(MAX(((B3951-B3950)/B3950)/($K$7*7),0),卓尔金历!$M$43),0),1)</f>
        <v>0.56885330060129458</v>
      </c>
      <c r="N3951">
        <f t="shared" si="563"/>
        <v>860380.0625244847</v>
      </c>
      <c r="O3951">
        <f t="shared" si="564"/>
        <v>2835468.1385101718</v>
      </c>
      <c r="P3951">
        <f t="shared" si="565"/>
        <v>-3.2278044283651601E-3</v>
      </c>
      <c r="Q3951">
        <f t="shared" si="566"/>
        <v>6.7419538979128571E-2</v>
      </c>
      <c r="R3951">
        <f t="shared" si="567"/>
        <v>1</v>
      </c>
      <c r="S3951">
        <f t="shared" si="559"/>
        <v>4030.510813314183</v>
      </c>
      <c r="T3951" s="564">
        <f>IF((I3951-MAX(I$470:I3951))/MAX(I$470:I3951)&gt;T3950,T3950,(I3951-MAX(I$470:I3951))/MAX(I$470:I3951))</f>
        <v>-0.91338805338419748</v>
      </c>
      <c r="U3951" s="564">
        <f>IF((J3951-MAX(J$470:J3951))/MAX(J$470:J3951)&gt;U3950,U3950,(J3951-MAX(J$470:J3951))/MAX(J$470:J3951))</f>
        <v>-0.83569785939843477</v>
      </c>
      <c r="V3951" s="564">
        <f>IF((K3951-MAX(K$470:K3951))/MAX(K$470:K3951)&gt;V3950,V3950,(K3951-MAX(K$470:K3951))/MAX(K$470:K3951))</f>
        <v>-0.84885940676762139</v>
      </c>
      <c r="W3951" s="564">
        <f>IF((N3951-MAX(N$470:N3951))/MAX(N$470:N3951)&gt;W3950,W3950,(N3951-MAX(N$470:N3951))/MAX(N$470:N3951))</f>
        <v>-0.62788758315546067</v>
      </c>
      <c r="X3951" s="564">
        <f>IF((O3951-MAX(O$470:O3951))/MAX(O$470:O3951)&gt;X3950,X3950,(O3951-MAX(O$470:O3951))/MAX(O$470:O3951))</f>
        <v>-0.6362600690434369</v>
      </c>
    </row>
    <row r="3952" spans="1:24">
      <c r="A3952" s="799">
        <v>44354</v>
      </c>
      <c r="B3952">
        <v>36096.862292641599</v>
      </c>
      <c r="C3952">
        <v>78316.347031204597</v>
      </c>
      <c r="D3952">
        <v>1.71255578</v>
      </c>
      <c r="E3952">
        <f>LN(D3952/参数实验室!$E$53)/参数实验室!$E$55</f>
        <v>-5.8276547219909172E-2</v>
      </c>
      <c r="F3952">
        <f t="shared" si="558"/>
        <v>2.1696164723760356</v>
      </c>
      <c r="G3952">
        <f>LN(F3952/参数实验室!$E$58)/参数实验室!$E$59</f>
        <v>0.21599589017840717</v>
      </c>
      <c r="H3952" s="856">
        <f>INDEX(神经网络!$G$10:$BO$70,MATCH(ROUND(G3952*2,1)/2,神经网络!$E$10:$E$70,0),MATCH(ROUND(E3952*2,1)/2,神经网络!$G$8:$BO$8,0))</f>
        <v>1.0115967445766396</v>
      </c>
      <c r="I3952">
        <f t="shared" si="560"/>
        <v>5069341.810732224</v>
      </c>
      <c r="J3952">
        <f t="shared" si="561"/>
        <v>14403.60013273275</v>
      </c>
      <c r="K3952">
        <f t="shared" si="562"/>
        <v>351.94963509240614</v>
      </c>
      <c r="L3952" s="4">
        <f>MIN(MAX(L3951*(1+MAX(MIN(((B3952-B3951)/B3951)/($K$7*卓尔金历!$N$40),0),-卓尔金历!$M$43))+MIN(MAX(((B3952-B3951)/B3951)/($K$7*卓尔金历!$N$40),0),卓尔金历!$M$43),0),1)</f>
        <v>0.23049567588009065</v>
      </c>
      <c r="M3952" s="4">
        <f>MIN(MAX(M3951*(1+MAX(MIN(((B3952-B3951)/B3951)/($K$7*30),0),-卓尔金历!$M$43))+MIN(MAX(((B3952-B3951)/B3951)/($K$7*7),0),卓尔金历!$M$43),0),1)</f>
        <v>0.55860716308348135</v>
      </c>
      <c r="N3952">
        <f t="shared" si="563"/>
        <v>859847.74074470904</v>
      </c>
      <c r="O3952">
        <f t="shared" si="564"/>
        <v>2831294.5227204347</v>
      </c>
      <c r="P3952">
        <f t="shared" si="565"/>
        <v>-2.3577286201624248E-3</v>
      </c>
      <c r="Q3952">
        <f t="shared" si="566"/>
        <v>6.4741332689040726E-2</v>
      </c>
      <c r="R3952">
        <f t="shared" si="567"/>
        <v>1</v>
      </c>
      <c r="S3952">
        <f t="shared" si="559"/>
        <v>4020.0816971820368</v>
      </c>
      <c r="T3952" s="564">
        <f>IF((I3952-MAX(I$470:I3952))/MAX(I$470:I3952)&gt;T3951,T3951,(I3952-MAX(I$470:I3952))/MAX(I$470:I3952))</f>
        <v>-0.91338805338419748</v>
      </c>
      <c r="U3952" s="564">
        <f>IF((J3952-MAX(J$470:J3952))/MAX(J$470:J3952)&gt;U3951,U3951,(J3952-MAX(J$470:J3952))/MAX(J$470:J3952))</f>
        <v>-0.83569785939843477</v>
      </c>
      <c r="V3952" s="564">
        <f>IF((K3952-MAX(K$470:K3952))/MAX(K$470:K3952)&gt;V3951,V3951,(K3952-MAX(K$470:K3952))/MAX(K$470:K3952))</f>
        <v>-0.84885940676762139</v>
      </c>
      <c r="W3952" s="564">
        <f>IF((N3952-MAX(N$470:N3952))/MAX(N$470:N3952)&gt;W3951,W3951,(N3952-MAX(N$470:N3952))/MAX(N$470:N3952))</f>
        <v>-0.62788758315546067</v>
      </c>
      <c r="X3952" s="564">
        <f>IF((O3952-MAX(O$470:O3952))/MAX(O$470:O3952)&gt;X3951,X3951,(O3952-MAX(O$470:O3952))/MAX(O$470:O3952))</f>
        <v>-0.6362600690434369</v>
      </c>
    </row>
    <row r="3953" spans="1:24">
      <c r="A3953" s="799">
        <v>44355</v>
      </c>
      <c r="B3953">
        <v>31768.339545510898</v>
      </c>
      <c r="C3953">
        <v>80503.818568816205</v>
      </c>
      <c r="D3953">
        <v>1.7042113000000001</v>
      </c>
      <c r="E3953">
        <f>LN(D3953/参数实验室!$E$53)/参数实验室!$E$55</f>
        <v>-6.4038980942147342E-2</v>
      </c>
      <c r="F3953">
        <f t="shared" si="558"/>
        <v>2.5340895911002055</v>
      </c>
      <c r="G3953">
        <f>LN(F3953/参数实验室!$E$58)/参数实验室!$E$59</f>
        <v>0.29749733893843733</v>
      </c>
      <c r="H3953" s="856">
        <f>INDEX(神经网络!$G$10:$BO$70,MATCH(ROUND(G3953*2,1)/2,神经网络!$E$10:$E$70,0),MATCH(ROUND(E3953*2,1)/2,神经网络!$G$8:$BO$8,0))</f>
        <v>1.097028902987381</v>
      </c>
      <c r="I3953">
        <f t="shared" si="560"/>
        <v>4454406.7573928433</v>
      </c>
      <c r="J3953">
        <f t="shared" si="561"/>
        <v>12676.405389055046</v>
      </c>
      <c r="K3953">
        <f t="shared" si="562"/>
        <v>351.39352369077983</v>
      </c>
      <c r="L3953" s="4">
        <f>MIN(MAX(L3952*(1+MAX(MIN(((B3953-B3952)/B3952)/($K$7*卓尔金历!$N$40),0),-卓尔金历!$M$43))+MIN(MAX(((B3953-B3952)/B3952)/($K$7*卓尔金历!$N$40),0),卓尔金历!$M$43),0),1)</f>
        <v>0</v>
      </c>
      <c r="M3953" s="4">
        <f>MIN(MAX(M3952*(1+MAX(MIN(((B3953-B3952)/B3952)/($K$7*30),0),-卓尔金历!$M$43))+MIN(MAX(((B3953-B3952)/B3952)/($K$7*7),0),卓尔金历!$M$43),0),1)</f>
        <v>4.6874857619619868E-2</v>
      </c>
      <c r="N3953">
        <f t="shared" si="563"/>
        <v>835806.2157931301</v>
      </c>
      <c r="O3953">
        <f t="shared" si="564"/>
        <v>2639441.2447973047</v>
      </c>
      <c r="P3953">
        <f t="shared" si="565"/>
        <v>-0.11991409979180037</v>
      </c>
      <c r="Q3953">
        <f t="shared" si="566"/>
        <v>6.9102419086454189E-2</v>
      </c>
      <c r="R3953">
        <f t="shared" si="567"/>
        <v>2.9056822139243405E-2</v>
      </c>
      <c r="S3953">
        <f t="shared" si="559"/>
        <v>3532.42684075636</v>
      </c>
      <c r="T3953" s="564">
        <f>IF((I3953-MAX(I$470:I3953))/MAX(I$470:I3953)&gt;T3952,T3952,(I3953-MAX(I$470:I3953))/MAX(I$470:I3953))</f>
        <v>-0.91338805338419748</v>
      </c>
      <c r="U3953" s="564">
        <f>IF((J3953-MAX(J$470:J3953))/MAX(J$470:J3953)&gt;U3952,U3952,(J3953-MAX(J$470:J3953))/MAX(J$470:J3953))</f>
        <v>-0.83569785939843477</v>
      </c>
      <c r="V3953" s="564">
        <f>IF((K3953-MAX(K$470:K3953))/MAX(K$470:K3953)&gt;V3952,V3952,(K3953-MAX(K$470:K3953))/MAX(K$470:K3953))</f>
        <v>-0.84885940676762139</v>
      </c>
      <c r="W3953" s="564">
        <f>IF((N3953-MAX(N$470:N3953))/MAX(N$470:N3953)&gt;W3952,W3952,(N3953-MAX(N$470:N3953))/MAX(N$470:N3953))</f>
        <v>-0.62788758315546067</v>
      </c>
      <c r="X3953" s="564">
        <f>IF((O3953-MAX(O$470:O3953))/MAX(O$470:O3953)&gt;X3952,X3952,(O3953-MAX(O$470:O3953))/MAX(O$470:O3953))</f>
        <v>-0.65377055545069085</v>
      </c>
    </row>
    <row r="3954" spans="1:24">
      <c r="A3954" s="799">
        <v>44356</v>
      </c>
      <c r="B3954">
        <v>36425.4823212724</v>
      </c>
      <c r="C3954">
        <v>83836.437095227302</v>
      </c>
      <c r="D3954">
        <v>1.89766024</v>
      </c>
      <c r="E3954">
        <f>LN(D3954/参数实验室!$E$53)/参数实验室!$E$55</f>
        <v>6.2807204937840963E-2</v>
      </c>
      <c r="F3954">
        <f t="shared" si="558"/>
        <v>2.3015875632281473</v>
      </c>
      <c r="G3954">
        <f>LN(F3954/参数实验室!$E$58)/参数实验室!$E$59</f>
        <v>0.24698784888287811</v>
      </c>
      <c r="H3954" s="856">
        <f>INDEX(神经网络!$G$10:$BO$70,MATCH(ROUND(G3954*2,1)/2,神经网络!$E$10:$E$70,0),MATCH(ROUND(E3954*2,1)/2,神经网络!$G$8:$BO$8,0))</f>
        <v>1.2366856820262546</v>
      </c>
      <c r="I3954">
        <f t="shared" si="560"/>
        <v>5170769.4808874754</v>
      </c>
      <c r="J3954">
        <f t="shared" si="561"/>
        <v>14534.728191721139</v>
      </c>
      <c r="K3954">
        <f t="shared" si="562"/>
        <v>355.75274698516228</v>
      </c>
      <c r="L3954" s="4">
        <f>MIN(MAX(L3953*(1+MAX(MIN(((B3954-B3953)/B3953)/($K$7*卓尔金历!$N$40),0),-卓尔金历!$M$43))+MIN(MAX(((B3954-B3953)/B3953)/($K$7*卓尔金历!$N$40),0),卓尔金历!$M$43),0),1)</f>
        <v>1</v>
      </c>
      <c r="M3954" s="4">
        <f>MIN(MAX(M3953*(1+MAX(MIN(((B3954-B3953)/B3953)/($K$7*30),0),-卓尔金历!$M$43))+MIN(MAX(((B3954-B3953)/B3953)/($K$7*7),0),卓尔金历!$M$43),0),1)</f>
        <v>1</v>
      </c>
      <c r="N3954">
        <f t="shared" si="563"/>
        <v>835806.2157931301</v>
      </c>
      <c r="O3954">
        <f t="shared" si="564"/>
        <v>2659338.5868959138</v>
      </c>
      <c r="P3954">
        <f t="shared" si="565"/>
        <v>0.14659698436834387</v>
      </c>
      <c r="Q3954">
        <f t="shared" si="566"/>
        <v>7.2237218917584584E-2</v>
      </c>
      <c r="R3954">
        <f t="shared" si="567"/>
        <v>2.0196439074245721E-2</v>
      </c>
      <c r="S3954">
        <f t="shared" si="559"/>
        <v>3548.933698082089</v>
      </c>
      <c r="T3954" s="564">
        <f>IF((I3954-MAX(I$470:I3954))/MAX(I$470:I3954)&gt;T3953,T3953,(I3954-MAX(I$470:I3954))/MAX(I$470:I3954))</f>
        <v>-0.91338805338419748</v>
      </c>
      <c r="U3954" s="564">
        <f>IF((J3954-MAX(J$470:J3954))/MAX(J$470:J3954)&gt;U3953,U3953,(J3954-MAX(J$470:J3954))/MAX(J$470:J3954))</f>
        <v>-0.83569785939843477</v>
      </c>
      <c r="V3954" s="564">
        <f>IF((K3954-MAX(K$470:K3954))/MAX(K$470:K3954)&gt;V3953,V3953,(K3954-MAX(K$470:K3954))/MAX(K$470:K3954))</f>
        <v>-0.84885940676762139</v>
      </c>
      <c r="W3954" s="564">
        <f>IF((N3954-MAX(N$470:N3954))/MAX(N$470:N3954)&gt;W3953,W3953,(N3954-MAX(N$470:N3954))/MAX(N$470:N3954))</f>
        <v>-0.62788758315546067</v>
      </c>
      <c r="X3954" s="564">
        <f>IF((O3954-MAX(O$470:O3954))/MAX(O$470:O3954)&gt;X3953,X3953,(O3954-MAX(O$470:O3954))/MAX(O$470:O3954))</f>
        <v>-0.65377055545069085</v>
      </c>
    </row>
    <row r="3955" spans="1:24">
      <c r="A3955" s="799">
        <v>44357</v>
      </c>
      <c r="B3955">
        <v>36856.959684451504</v>
      </c>
      <c r="C3955">
        <v>87354.5104520858</v>
      </c>
      <c r="D3955">
        <v>1.8712072900000001</v>
      </c>
      <c r="E3955">
        <f>LN(D3955/参数实验室!$E$53)/参数实验室!$E$55</f>
        <v>4.6246014705335889E-2</v>
      </c>
      <c r="F3955">
        <f t="shared" si="558"/>
        <v>2.3700953958211919</v>
      </c>
      <c r="G3955">
        <f>LN(F3955/参数实验室!$E$58)/参数实验室!$E$59</f>
        <v>0.26238238272560332</v>
      </c>
      <c r="H3955" s="856">
        <f>INDEX(神经网络!$G$10:$BO$70,MATCH(ROUND(G3955*2,1)/2,神经网络!$E$10:$E$70,0),MATCH(ROUND(E3955*2,1)/2,神经网络!$G$8:$BO$8,0))</f>
        <v>1.2366856820262546</v>
      </c>
      <c r="I3955">
        <f t="shared" si="560"/>
        <v>5246516.7908898033</v>
      </c>
      <c r="J3955">
        <f t="shared" si="561"/>
        <v>14706.89904012268</v>
      </c>
      <c r="K3955">
        <f t="shared" si="562"/>
        <v>356.73847876268815</v>
      </c>
      <c r="L3955" s="4">
        <f>MIN(MAX(L3954*(1+MAX(MIN(((B3955-B3954)/B3954)/($K$7*卓尔金历!$N$40),0),-卓尔金历!$M$43))+MIN(MAX(((B3955-B3954)/B3954)/($K$7*卓尔金历!$N$40),0),卓尔金历!$M$43),0),1)</f>
        <v>1</v>
      </c>
      <c r="M3955" s="4">
        <f>MIN(MAX(M3954*(1+MAX(MIN(((B3955-B3954)/B3954)/($K$7*30),0),-卓尔金历!$M$43))+MIN(MAX(((B3955-B3954)/B3954)/($K$7*7),0),卓尔金历!$M$43),0),1)</f>
        <v>1</v>
      </c>
      <c r="N3955">
        <f t="shared" si="563"/>
        <v>848050.05546990654</v>
      </c>
      <c r="O3955">
        <f t="shared" si="564"/>
        <v>2698295.6019180156</v>
      </c>
      <c r="P3955">
        <f t="shared" si="565"/>
        <v>1.1845481121525775E-2</v>
      </c>
      <c r="Q3955">
        <f t="shared" si="566"/>
        <v>6.8894036640243697E-2</v>
      </c>
      <c r="R3955">
        <f t="shared" si="567"/>
        <v>1</v>
      </c>
      <c r="S3955">
        <f t="shared" si="559"/>
        <v>3549.9836870287181</v>
      </c>
      <c r="T3955" s="564">
        <f>IF((I3955-MAX(I$470:I3955))/MAX(I$470:I3955)&gt;T3954,T3954,(I3955-MAX(I$470:I3955))/MAX(I$470:I3955))</f>
        <v>-0.91338805338419748</v>
      </c>
      <c r="U3955" s="564">
        <f>IF((J3955-MAX(J$470:J3955))/MAX(J$470:J3955)&gt;U3954,U3954,(J3955-MAX(J$470:J3955))/MAX(J$470:J3955))</f>
        <v>-0.83569785939843477</v>
      </c>
      <c r="V3955" s="564">
        <f>IF((K3955-MAX(K$470:K3955))/MAX(K$470:K3955)&gt;V3954,V3954,(K3955-MAX(K$470:K3955))/MAX(K$470:K3955))</f>
        <v>-0.84885940676762139</v>
      </c>
      <c r="W3955" s="564">
        <f>IF((N3955-MAX(N$470:N3955))/MAX(N$470:N3955)&gt;W3954,W3954,(N3955-MAX(N$470:N3955))/MAX(N$470:N3955))</f>
        <v>-0.62788758315546067</v>
      </c>
      <c r="X3955" s="564">
        <f>IF((O3955-MAX(O$470:O3955))/MAX(O$470:O3955)&gt;X3954,X3954,(O3955-MAX(O$470:O3955))/MAX(O$470:O3955))</f>
        <v>-0.65377055545069085</v>
      </c>
    </row>
    <row r="3956" spans="1:24">
      <c r="A3956" s="799">
        <v>44358</v>
      </c>
      <c r="B3956">
        <v>36859.022156521198</v>
      </c>
      <c r="C3956">
        <v>91994.127072022093</v>
      </c>
      <c r="D3956">
        <v>1.8886066399999999</v>
      </c>
      <c r="E3956">
        <f>LN(D3956/参数实验室!$E$53)/参数实验室!$E$55</f>
        <v>5.7165217901478264E-2</v>
      </c>
      <c r="F3956">
        <f t="shared" si="558"/>
        <v>2.4958374283878348</v>
      </c>
      <c r="G3956">
        <f>LN(F3956/参数实验室!$E$58)/参数实验室!$E$59</f>
        <v>0.28951424525248709</v>
      </c>
      <c r="H3956" s="856">
        <f>INDEX(神经网络!$G$10:$BO$70,MATCH(ROUND(G3956*2,1)/2,神经网络!$E$10:$E$70,0),MATCH(ROUND(E3956*2,1)/2,神经网络!$G$8:$BO$8,0))</f>
        <v>1.2802291524497338</v>
      </c>
      <c r="I3956">
        <f t="shared" si="560"/>
        <v>5246879.8680819646</v>
      </c>
      <c r="J3956">
        <f t="shared" si="561"/>
        <v>14707.722020877516</v>
      </c>
      <c r="K3956">
        <f t="shared" si="562"/>
        <v>356.74320337534613</v>
      </c>
      <c r="L3956" s="4">
        <f>MIN(MAX(L3955*(1+MAX(MIN(((B3956-B3955)/B3955)/($K$7*卓尔金历!$N$40),0),-卓尔金历!$M$43))+MIN(MAX(((B3956-B3955)/B3955)/($K$7*卓尔金历!$N$40),0),卓尔金历!$M$43),0),1)</f>
        <v>1</v>
      </c>
      <c r="M3956" s="4">
        <f>MIN(MAX(M3955*(1+MAX(MIN(((B3956-B3955)/B3955)/($K$7*30),0),-卓尔金历!$M$43))+MIN(MAX(((B3956-B3955)/B3955)/($K$7*7),0),卓尔金历!$M$43),0),1)</f>
        <v>1</v>
      </c>
      <c r="N3956">
        <f t="shared" si="563"/>
        <v>848108.7434804904</v>
      </c>
      <c r="O3956">
        <f t="shared" si="564"/>
        <v>2698482.3333495185</v>
      </c>
      <c r="P3956">
        <f t="shared" si="565"/>
        <v>5.5958822630838715E-5</v>
      </c>
      <c r="Q3956">
        <f t="shared" si="566"/>
        <v>6.4651246231107892E-2</v>
      </c>
      <c r="R3956">
        <f t="shared" si="567"/>
        <v>1</v>
      </c>
      <c r="S3956">
        <f t="shared" si="559"/>
        <v>3550.2293582350972</v>
      </c>
      <c r="T3956" s="564">
        <f>IF((I3956-MAX(I$470:I3956))/MAX(I$470:I3956)&gt;T3955,T3955,(I3956-MAX(I$470:I3956))/MAX(I$470:I3956))</f>
        <v>-0.91338805338419748</v>
      </c>
      <c r="U3956" s="564">
        <f>IF((J3956-MAX(J$470:J3956))/MAX(J$470:J3956)&gt;U3955,U3955,(J3956-MAX(J$470:J3956))/MAX(J$470:J3956))</f>
        <v>-0.83569785939843477</v>
      </c>
      <c r="V3956" s="564">
        <f>IF((K3956-MAX(K$470:K3956))/MAX(K$470:K3956)&gt;V3955,V3955,(K3956-MAX(K$470:K3956))/MAX(K$470:K3956))</f>
        <v>-0.84885940676762139</v>
      </c>
      <c r="W3956" s="564">
        <f>IF((N3956-MAX(N$470:N3956))/MAX(N$470:N3956)&gt;W3955,W3955,(N3956-MAX(N$470:N3956))/MAX(N$470:N3956))</f>
        <v>-0.62788758315546067</v>
      </c>
      <c r="X3956" s="564">
        <f>IF((O3956-MAX(O$470:O3956))/MAX(O$470:O3956)&gt;X3955,X3955,(O3956-MAX(O$470:O3956))/MAX(O$470:O3956))</f>
        <v>-0.65377055545069085</v>
      </c>
    </row>
    <row r="3957" spans="1:24">
      <c r="A3957" s="799">
        <v>44359</v>
      </c>
      <c r="B3957">
        <v>35404.824036739403</v>
      </c>
      <c r="C3957">
        <v>94112.808022282596</v>
      </c>
      <c r="D3957">
        <v>1.8125406900000001</v>
      </c>
      <c r="E3957">
        <f>LN(D3957/参数实验室!$E$53)/参数实验室!$E$55</f>
        <v>8.6658304089704211E-3</v>
      </c>
      <c r="F3957">
        <f t="shared" si="558"/>
        <v>2.6581916612443046</v>
      </c>
      <c r="G3957">
        <f>LN(F3957/参数实验室!$E$58)/参数实验室!$E$59</f>
        <v>0.32259146526826415</v>
      </c>
      <c r="H3957" s="856">
        <f>INDEX(神经网络!$G$10:$BO$70,MATCH(ROUND(G3957*2,1)/2,神经网络!$E$10:$E$70,0),MATCH(ROUND(E3957*2,1)/2,神经网络!$G$8:$BO$8,0))</f>
        <v>1.1872865256747198</v>
      </c>
      <c r="I3957">
        <f t="shared" si="560"/>
        <v>4981865.9991264762</v>
      </c>
      <c r="J3957">
        <f t="shared" si="561"/>
        <v>14127.458615673497</v>
      </c>
      <c r="K3957">
        <f t="shared" si="562"/>
        <v>352.63709734738984</v>
      </c>
      <c r="L3957" s="4">
        <f>MIN(MAX(L3956*(1+MAX(MIN(((B3957-B3956)/B3956)/($K$7*卓尔金历!$N$40),0),-卓尔金历!$M$43))+MIN(MAX(((B3957-B3956)/B3956)/($K$7*卓尔金历!$N$40),0),卓尔金历!$M$43),0),1)</f>
        <v>0.39719638555867365</v>
      </c>
      <c r="M3957" s="4">
        <f>MIN(MAX(M3956*(1+MAX(MIN(((B3957-B3956)/B3956)/($K$7*30),0),-卓尔金历!$M$43))+MIN(MAX(((B3957-B3956)/B3956)/($K$7*7),0),卓尔金历!$M$43),0),1)</f>
        <v>0.69859819277933677</v>
      </c>
      <c r="N3957">
        <f t="shared" si="563"/>
        <v>805271.74605426472</v>
      </c>
      <c r="O3957">
        <f t="shared" si="564"/>
        <v>2562185.0935710114</v>
      </c>
      <c r="P3957">
        <f t="shared" si="565"/>
        <v>-3.9452976088366315E-2</v>
      </c>
      <c r="Q3957">
        <f t="shared" si="566"/>
        <v>6.4729893152666473E-2</v>
      </c>
      <c r="R3957">
        <f t="shared" si="567"/>
        <v>0.59177459789585385</v>
      </c>
      <c r="S3957">
        <f t="shared" si="559"/>
        <v>3370.91135562011</v>
      </c>
      <c r="T3957" s="564">
        <f>IF((I3957-MAX(I$470:I3957))/MAX(I$470:I3957)&gt;T3956,T3956,(I3957-MAX(I$470:I3957))/MAX(I$470:I3957))</f>
        <v>-0.91338805338419748</v>
      </c>
      <c r="U3957" s="564">
        <f>IF((J3957-MAX(J$470:J3957))/MAX(J$470:J3957)&gt;U3956,U3956,(J3957-MAX(J$470:J3957))/MAX(J$470:J3957))</f>
        <v>-0.83569785939843477</v>
      </c>
      <c r="V3957" s="564">
        <f>IF((K3957-MAX(K$470:K3957))/MAX(K$470:K3957)&gt;V3956,V3956,(K3957-MAX(K$470:K3957))/MAX(K$470:K3957))</f>
        <v>-0.84885940676762139</v>
      </c>
      <c r="W3957" s="564">
        <f>IF((N3957-MAX(N$470:N3957))/MAX(N$470:N3957)&gt;W3956,W3956,(N3957-MAX(N$470:N3957))/MAX(N$470:N3957))</f>
        <v>-0.62788758315546067</v>
      </c>
      <c r="X3957" s="564">
        <f>IF((O3957-MAX(O$470:O3957))/MAX(O$470:O3957)&gt;X3956,X3956,(O3957-MAX(O$470:O3957))/MAX(O$470:O3957))</f>
        <v>-0.66390465272594623</v>
      </c>
    </row>
    <row r="3958" spans="1:24">
      <c r="A3958" s="799">
        <v>44360</v>
      </c>
      <c r="B3958">
        <v>35994.028710979903</v>
      </c>
      <c r="C3958">
        <v>94273.553683146602</v>
      </c>
      <c r="D3958">
        <v>1.9762249999999999</v>
      </c>
      <c r="E3958">
        <f>LN(D3958/参数实验室!$E$53)/参数实验室!$E$55</f>
        <v>0.11066600062024975</v>
      </c>
      <c r="F3958">
        <f t="shared" si="558"/>
        <v>2.6191442597363004</v>
      </c>
      <c r="G3958">
        <f>LN(F3958/参数实验室!$E$58)/参数实验室!$E$59</f>
        <v>0.31482445522148533</v>
      </c>
      <c r="H3958" s="856">
        <f>INDEX(神经网络!$G$10:$BO$70,MATCH(ROUND(G3958*2,1)/2,神经网络!$E$10:$E$70,0),MATCH(ROUND(E3958*2,1)/2,神经网络!$G$8:$BO$8,0))</f>
        <v>1.3741066748897306</v>
      </c>
      <c r="I3958">
        <f t="shared" si="560"/>
        <v>5080301.4022374796</v>
      </c>
      <c r="J3958">
        <f t="shared" si="561"/>
        <v>14362.566821347851</v>
      </c>
      <c r="K3958">
        <f t="shared" si="562"/>
        <v>353.71820827223974</v>
      </c>
      <c r="L3958" s="4">
        <f>MIN(MAX(L3957*(1+MAX(MIN(((B3958-B3957)/B3957)/($K$7*卓尔金历!$N$40),0),-卓尔金历!$M$43))+MIN(MAX(((B3958-B3957)/B3957)/($K$7*卓尔金历!$N$40),0),卓尔金历!$M$43),0),1)</f>
        <v>0.65146913651557237</v>
      </c>
      <c r="M3958" s="4">
        <f>MIN(MAX(M3957*(1+MAX(MIN(((B3958-B3957)/B3957)/($K$7*30),0),-卓尔金历!$M$43))+MIN(MAX(((B3958-B3957)/B3957)/($K$7*7),0),卓尔金历!$M$43),0),1)</f>
        <v>1</v>
      </c>
      <c r="N3958">
        <f t="shared" si="563"/>
        <v>811591.59985530598</v>
      </c>
      <c r="O3958">
        <f t="shared" si="564"/>
        <v>2597552.0135949939</v>
      </c>
      <c r="P3958">
        <f t="shared" si="565"/>
        <v>1.6641932004211782E-2</v>
      </c>
      <c r="Q3958">
        <f t="shared" si="566"/>
        <v>5.8370564195952886E-2</v>
      </c>
      <c r="R3958">
        <f t="shared" si="567"/>
        <v>1</v>
      </c>
      <c r="S3958">
        <f t="shared" si="559"/>
        <v>3410.3264829078307</v>
      </c>
      <c r="T3958" s="564">
        <f>IF((I3958-MAX(I$470:I3958))/MAX(I$470:I3958)&gt;T3957,T3957,(I3958-MAX(I$470:I3958))/MAX(I$470:I3958))</f>
        <v>-0.91338805338419748</v>
      </c>
      <c r="U3958" s="564">
        <f>IF((J3958-MAX(J$470:J3958))/MAX(J$470:J3958)&gt;U3957,U3957,(J3958-MAX(J$470:J3958))/MAX(J$470:J3958))</f>
        <v>-0.83569785939843477</v>
      </c>
      <c r="V3958" s="564">
        <f>IF((K3958-MAX(K$470:K3958))/MAX(K$470:K3958)&gt;V3957,V3957,(K3958-MAX(K$470:K3958))/MAX(K$470:K3958))</f>
        <v>-0.84885940676762139</v>
      </c>
      <c r="W3958" s="564">
        <f>IF((N3958-MAX(N$470:N3958))/MAX(N$470:N3958)&gt;W3957,W3957,(N3958-MAX(N$470:N3958))/MAX(N$470:N3958))</f>
        <v>-0.62788758315546067</v>
      </c>
      <c r="X3958" s="564">
        <f>IF((O3958-MAX(O$470:O3958))/MAX(O$470:O3958)&gt;X3957,X3957,(O3958-MAX(O$470:O3958))/MAX(O$470:O3958))</f>
        <v>-0.66390465272594623</v>
      </c>
    </row>
    <row r="3959" spans="1:24">
      <c r="A3959" s="799">
        <v>44361</v>
      </c>
      <c r="B3959">
        <v>40713.926252040197</v>
      </c>
      <c r="C3959">
        <v>93405.829011880895</v>
      </c>
      <c r="D3959">
        <v>2.0498450500000001</v>
      </c>
      <c r="E3959">
        <f>LN(D3959/参数实验室!$E$53)/参数实验室!$E$55</f>
        <v>0.15381635524589241</v>
      </c>
      <c r="F3959">
        <f t="shared" si="558"/>
        <v>2.2941985116751122</v>
      </c>
      <c r="G3959">
        <f>LN(F3959/参数实验室!$E$58)/参数实验室!$E$59</f>
        <v>0.24530013894137162</v>
      </c>
      <c r="H3959" s="856">
        <f>INDEX(神经网络!$G$10:$BO$70,MATCH(ROUND(G3959*2,1)/2,神经网络!$E$10:$E$70,0),MATCH(ROUND(E3959*2,1)/2,神经网络!$G$8:$BO$8,0))</f>
        <v>1.4235263491306938</v>
      </c>
      <c r="I3959">
        <f t="shared" si="560"/>
        <v>5995703.7888084855</v>
      </c>
      <c r="J3959">
        <f t="shared" si="561"/>
        <v>16245.930430565475</v>
      </c>
      <c r="K3959">
        <f t="shared" si="562"/>
        <v>369.05881226279462</v>
      </c>
      <c r="L3959" s="4">
        <f>MIN(MAX(L3958*(1+MAX(MIN(((B3959-B3958)/B3958)/($K$7*卓尔金历!$N$40),0),-卓尔金历!$M$43))+MIN(MAX(((B3959-B3958)/B3958)/($K$7*卓尔金历!$N$40),0),卓尔金历!$M$43),0),1)</f>
        <v>1</v>
      </c>
      <c r="M3959" s="4">
        <f>MIN(MAX(M3958*(1+MAX(MIN(((B3959-B3958)/B3958)/($K$7*30),0),-卓尔金历!$M$43))+MIN(MAX(((B3959-B3958)/B3958)/($K$7*7),0),卓尔金历!$M$43),0),1)</f>
        <v>1</v>
      </c>
      <c r="N3959">
        <f t="shared" si="563"/>
        <v>906861.1140713169</v>
      </c>
      <c r="O3959">
        <f t="shared" si="564"/>
        <v>3065596.1559051215</v>
      </c>
      <c r="P3959">
        <f t="shared" si="565"/>
        <v>0.13113001545227138</v>
      </c>
      <c r="Q3959">
        <f t="shared" si="566"/>
        <v>5.8999732803001442E-2</v>
      </c>
      <c r="R3959">
        <f t="shared" si="567"/>
        <v>1.1752539514658685E-2</v>
      </c>
      <c r="S3959">
        <f t="shared" si="559"/>
        <v>4024.8217173963221</v>
      </c>
      <c r="T3959" s="564">
        <f>IF((I3959-MAX(I$470:I3959))/MAX(I$470:I3959)&gt;T3958,T3958,(I3959-MAX(I$470:I3959))/MAX(I$470:I3959))</f>
        <v>-0.91338805338419748</v>
      </c>
      <c r="U3959" s="564">
        <f>IF((J3959-MAX(J$470:J3959))/MAX(J$470:J3959)&gt;U3958,U3958,(J3959-MAX(J$470:J3959))/MAX(J$470:J3959))</f>
        <v>-0.83569785939843477</v>
      </c>
      <c r="V3959" s="564">
        <f>IF((K3959-MAX(K$470:K3959))/MAX(K$470:K3959)&gt;V3958,V3958,(K3959-MAX(K$470:K3959))/MAX(K$470:K3959))</f>
        <v>-0.84885940676762139</v>
      </c>
      <c r="W3959" s="564">
        <f>IF((N3959-MAX(N$470:N3959))/MAX(N$470:N3959)&gt;W3958,W3958,(N3959-MAX(N$470:N3959))/MAX(N$470:N3959))</f>
        <v>-0.62788758315546067</v>
      </c>
      <c r="X3959" s="564">
        <f>IF((O3959-MAX(O$470:O3959))/MAX(O$470:O3959)&gt;X3958,X3958,(O3959-MAX(O$470:O3959))/MAX(O$470:O3959))</f>
        <v>-0.66390465272594623</v>
      </c>
    </row>
    <row r="3960" spans="1:24">
      <c r="A3960" s="799">
        <v>44362</v>
      </c>
      <c r="B3960">
        <v>40099.968912751501</v>
      </c>
      <c r="C3960">
        <v>93491.787527085602</v>
      </c>
      <c r="D3960">
        <v>2.0379868800000001</v>
      </c>
      <c r="E3960">
        <f>LN(D3960/参数实验室!$E$53)/参数实验室!$E$55</f>
        <v>0.14697177161058414</v>
      </c>
      <c r="F3960">
        <f t="shared" si="558"/>
        <v>2.3314678305737013</v>
      </c>
      <c r="G3960">
        <f>LN(F3960/参数实验室!$E$58)/参数实验室!$E$59</f>
        <v>0.25375789380365787</v>
      </c>
      <c r="H3960" s="856">
        <f>INDEX(神经网络!$G$10:$BO$70,MATCH(ROUND(G3960*2,1)/2,神经网络!$E$10:$E$70,0),MATCH(ROUND(E3960*2,1)/2,神经网络!$G$8:$BO$8,0))</f>
        <v>1.4235263491306938</v>
      </c>
      <c r="I3960">
        <f t="shared" si="560"/>
        <v>5866997.1677839132</v>
      </c>
      <c r="J3960">
        <f t="shared" si="561"/>
        <v>16000.945258669424</v>
      </c>
      <c r="K3960">
        <f t="shared" si="562"/>
        <v>366.66566086807484</v>
      </c>
      <c r="L3960" s="4">
        <f>MIN(MAX(L3959*(1+MAX(MIN(((B3960-B3959)/B3959)/($K$7*卓尔金历!$N$40),0),-卓尔金历!$M$43))+MIN(MAX(((B3960-B3959)/B3959)/($K$7*卓尔金历!$N$40),0),卓尔金历!$M$43),0),1)</f>
        <v>0.7695953243252408</v>
      </c>
      <c r="M3960" s="4">
        <f>MIN(MAX(M3959*(1+MAX(MIN(((B3960-B3959)/B3959)/($K$7*30),0),-卓尔金历!$M$43))+MIN(MAX(((B3960-B3959)/B3959)/($K$7*7),0),卓尔金历!$M$43),0),1)</f>
        <v>0.88479766216262035</v>
      </c>
      <c r="N3960">
        <f t="shared" si="563"/>
        <v>887394.00331301615</v>
      </c>
      <c r="O3960">
        <f t="shared" si="564"/>
        <v>2999788.6149473861</v>
      </c>
      <c r="P3960">
        <f t="shared" si="565"/>
        <v>-1.5079787085332509E-2</v>
      </c>
      <c r="Q3960">
        <f t="shared" si="566"/>
        <v>5.9121700308960377E-2</v>
      </c>
      <c r="R3960">
        <f t="shared" si="567"/>
        <v>1</v>
      </c>
      <c r="S3960">
        <f t="shared" si="559"/>
        <v>4023.8063128870795</v>
      </c>
      <c r="T3960" s="564">
        <f>IF((I3960-MAX(I$470:I3960))/MAX(I$470:I3960)&gt;T3959,T3959,(I3960-MAX(I$470:I3960))/MAX(I$470:I3960))</f>
        <v>-0.91338805338419748</v>
      </c>
      <c r="U3960" s="564">
        <f>IF((J3960-MAX(J$470:J3960))/MAX(J$470:J3960)&gt;U3959,U3959,(J3960-MAX(J$470:J3960))/MAX(J$470:J3960))</f>
        <v>-0.83569785939843477</v>
      </c>
      <c r="V3960" s="564">
        <f>IF((K3960-MAX(K$470:K3960))/MAX(K$470:K3960)&gt;V3959,V3959,(K3960-MAX(K$470:K3960))/MAX(K$470:K3960))</f>
        <v>-0.84885940676762139</v>
      </c>
      <c r="W3960" s="564">
        <f>IF((N3960-MAX(N$470:N3960))/MAX(N$470:N3960)&gt;W3959,W3959,(N3960-MAX(N$470:N3960))/MAX(N$470:N3960))</f>
        <v>-0.62788758315546067</v>
      </c>
      <c r="X3960" s="564">
        <f>IF((O3960-MAX(O$470:O3960))/MAX(O$470:O3960)&gt;X3959,X3959,(O3960-MAX(O$470:O3960))/MAX(O$470:O3960))</f>
        <v>-0.66390465272594623</v>
      </c>
    </row>
    <row r="3961" spans="1:24">
      <c r="A3961" s="799">
        <v>44363</v>
      </c>
      <c r="B3961">
        <v>38784.4910020729</v>
      </c>
      <c r="C3961">
        <v>93357.959298702597</v>
      </c>
      <c r="D3961">
        <v>1.9378901111</v>
      </c>
      <c r="E3961">
        <f>LN(D3961/参数实验室!$E$53)/参数实验室!$E$55</f>
        <v>8.7556227711985499E-2</v>
      </c>
      <c r="F3961">
        <f t="shared" si="558"/>
        <v>2.4070951271144163</v>
      </c>
      <c r="G3961">
        <f>LN(F3961/参数实验室!$E$58)/参数实验室!$E$59</f>
        <v>0.27051262027144052</v>
      </c>
      <c r="H3961" s="856">
        <f>INDEX(神经网络!$G$10:$BO$70,MATCH(ROUND(G3961*2,1)/2,神经网络!$E$10:$E$70,0),MATCH(ROUND(E3961*2,1)/2,神经网络!$G$8:$BO$8,0))</f>
        <v>1.3305559423390692</v>
      </c>
      <c r="I3961">
        <f t="shared" si="560"/>
        <v>5593015.8736246778</v>
      </c>
      <c r="J3961">
        <f t="shared" si="561"/>
        <v>15476.03487573235</v>
      </c>
      <c r="K3961">
        <f t="shared" si="562"/>
        <v>361.39850540108114</v>
      </c>
      <c r="L3961" s="4">
        <f>MIN(MAX(L3960*(1+MAX(MIN(((B3961-B3960)/B3960)/($K$7*卓尔金历!$N$40),0),-卓尔金历!$M$43))+MIN(MAX(((B3961-B3960)/B3960)/($K$7*卓尔金历!$N$40),0),卓尔金历!$M$43),0),1)</f>
        <v>0.38385235177324795</v>
      </c>
      <c r="M3961" s="4">
        <f>MIN(MAX(M3960*(1+MAX(MIN(((B3961-B3960)/B3960)/($K$7*30),0),-卓尔金历!$M$43))+MIN(MAX(((B3961-B3960)/B3960)/($K$7*7),0),卓尔金历!$M$43),0),1)</f>
        <v>0.6630548386800913</v>
      </c>
      <c r="N3961">
        <f t="shared" si="563"/>
        <v>855501.84257831727</v>
      </c>
      <c r="O3961">
        <f t="shared" si="564"/>
        <v>2875840.5779354079</v>
      </c>
      <c r="P3961">
        <f t="shared" si="565"/>
        <v>-3.2804960860213742E-2</v>
      </c>
      <c r="Q3961">
        <f t="shared" si="566"/>
        <v>5.957246761422421E-2</v>
      </c>
      <c r="R3961">
        <f t="shared" si="567"/>
        <v>0.69100828538044035</v>
      </c>
      <c r="S3961">
        <f t="shared" si="559"/>
        <v>3835.8996837336654</v>
      </c>
      <c r="T3961" s="564">
        <f>IF((I3961-MAX(I$470:I3961))/MAX(I$470:I3961)&gt;T3960,T3960,(I3961-MAX(I$470:I3961))/MAX(I$470:I3961))</f>
        <v>-0.91338805338419748</v>
      </c>
      <c r="U3961" s="564">
        <f>IF((J3961-MAX(J$470:J3961))/MAX(J$470:J3961)&gt;U3960,U3960,(J3961-MAX(J$470:J3961))/MAX(J$470:J3961))</f>
        <v>-0.83569785939843477</v>
      </c>
      <c r="V3961" s="564">
        <f>IF((K3961-MAX(K$470:K3961))/MAX(K$470:K3961)&gt;V3960,V3960,(K3961-MAX(K$470:K3961))/MAX(K$470:K3961))</f>
        <v>-0.84885940676762139</v>
      </c>
      <c r="W3961" s="564">
        <f>IF((N3961-MAX(N$470:N3961))/MAX(N$470:N3961)&gt;W3960,W3960,(N3961-MAX(N$470:N3961))/MAX(N$470:N3961))</f>
        <v>-0.62788758315546067</v>
      </c>
      <c r="X3961" s="564">
        <f>IF((O3961-MAX(O$470:O3961))/MAX(O$470:O3961)&gt;X3960,X3960,(O3961-MAX(O$470:O3961))/MAX(O$470:O3961))</f>
        <v>-0.66390465272594623</v>
      </c>
    </row>
    <row r="3962" spans="1:24">
      <c r="A3962" s="799">
        <v>44364</v>
      </c>
      <c r="B3962">
        <v>39043.1826680105</v>
      </c>
      <c r="C3962">
        <v>91216.717618149603</v>
      </c>
      <c r="D3962">
        <v>1.9274868147999999</v>
      </c>
      <c r="E3962">
        <f>LN(D3962/参数实验室!$E$53)/参数实验室!$E$55</f>
        <v>8.120582389474082E-2</v>
      </c>
      <c r="F3962">
        <f t="shared" si="558"/>
        <v>2.3363033283884098</v>
      </c>
      <c r="G3962">
        <f>LN(F3962/参数实验室!$E$58)/参数实验室!$E$59</f>
        <v>0.25484532135732263</v>
      </c>
      <c r="H3962" s="856">
        <f>INDEX(神经网络!$G$10:$BO$70,MATCH(ROUND(G3962*2,1)/2,神经网络!$E$10:$E$70,0),MATCH(ROUND(E3962*2,1)/2,神经网络!$G$8:$BO$8,0))</f>
        <v>1.3305559423390692</v>
      </c>
      <c r="I3962">
        <f t="shared" si="560"/>
        <v>5642652.6458145464</v>
      </c>
      <c r="J3962">
        <f t="shared" si="561"/>
        <v>15579.259673600593</v>
      </c>
      <c r="K3962">
        <f t="shared" si="562"/>
        <v>362.19003752637548</v>
      </c>
      <c r="L3962" s="4">
        <f>MIN(MAX(L3961*(1+MAX(MIN(((B3962-B3961)/B3961)/($K$7*卓尔金历!$N$40),0),-卓尔金历!$M$43))+MIN(MAX(((B3962-B3961)/B3961)/($K$7*卓尔金历!$N$40),0),卓尔金历!$M$43),0),1)</f>
        <v>0.48576320081582985</v>
      </c>
      <c r="M3962" s="4">
        <f>MIN(MAX(M3961*(1+MAX(MIN(((B3962-B3961)/B3961)/($K$7*30),0),-卓尔金历!$M$43))+MIN(MAX(((B3962-B3961)/B3961)/($K$7*7),0),卓尔金历!$M$43),0),1)</f>
        <v>0.88143522948562392</v>
      </c>
      <c r="N3962">
        <f t="shared" si="563"/>
        <v>858416.19880552182</v>
      </c>
      <c r="O3962">
        <f t="shared" si="564"/>
        <v>2892763.3590146997</v>
      </c>
      <c r="P3962">
        <f t="shared" si="565"/>
        <v>6.6699770772748824E-3</v>
      </c>
      <c r="Q3962">
        <f t="shared" si="566"/>
        <v>5.9349970874517426E-2</v>
      </c>
      <c r="R3962">
        <f t="shared" si="567"/>
        <v>1</v>
      </c>
      <c r="S3962">
        <f t="shared" si="559"/>
        <v>3859.4235106878073</v>
      </c>
      <c r="T3962" s="564">
        <f>IF((I3962-MAX(I$470:I3962))/MAX(I$470:I3962)&gt;T3961,T3961,(I3962-MAX(I$470:I3962))/MAX(I$470:I3962))</f>
        <v>-0.91338805338419748</v>
      </c>
      <c r="U3962" s="564">
        <f>IF((J3962-MAX(J$470:J3962))/MAX(J$470:J3962)&gt;U3961,U3961,(J3962-MAX(J$470:J3962))/MAX(J$470:J3962))</f>
        <v>-0.83569785939843477</v>
      </c>
      <c r="V3962" s="564">
        <f>IF((K3962-MAX(K$470:K3962))/MAX(K$470:K3962)&gt;V3961,V3961,(K3962-MAX(K$470:K3962))/MAX(K$470:K3962))</f>
        <v>-0.84885940676762139</v>
      </c>
      <c r="W3962" s="564">
        <f>IF((N3962-MAX(N$470:N3962))/MAX(N$470:N3962)&gt;W3961,W3961,(N3962-MAX(N$470:N3962))/MAX(N$470:N3962))</f>
        <v>-0.62788758315546067</v>
      </c>
      <c r="X3962" s="564">
        <f>IF((O3962-MAX(O$470:O3962))/MAX(O$470:O3962)&gt;X3961,X3961,(O3962-MAX(O$470:O3962))/MAX(O$470:O3962))</f>
        <v>-0.66390465272594623</v>
      </c>
    </row>
    <row r="3963" spans="1:24">
      <c r="A3963" s="799">
        <v>44365</v>
      </c>
      <c r="B3963">
        <v>36422.592889010499</v>
      </c>
      <c r="C3963">
        <v>91299.4129312187</v>
      </c>
      <c r="D3963">
        <v>1.8124586573999999</v>
      </c>
      <c r="E3963">
        <f>LN(D3963/参数实验室!$E$53)/参数实验室!$E$55</f>
        <v>8.6124355160595578E-3</v>
      </c>
      <c r="F3963">
        <f t="shared" si="558"/>
        <v>2.5066697807438567</v>
      </c>
      <c r="G3963">
        <f>LN(F3963/参数实验室!$E$58)/参数实验室!$E$59</f>
        <v>0.29178727058900977</v>
      </c>
      <c r="H3963" s="856">
        <f>INDEX(神经网络!$G$10:$BO$70,MATCH(ROUND(G3963*2,1)/2,神经网络!$E$10:$E$70,0),MATCH(ROUND(E3963*2,1)/2,神经网络!$G$8:$BO$8,0))</f>
        <v>1.1872865256747198</v>
      </c>
      <c r="I3963">
        <f t="shared" si="560"/>
        <v>5138722.562282701</v>
      </c>
      <c r="J3963">
        <f t="shared" si="561"/>
        <v>14533.575232038005</v>
      </c>
      <c r="K3963">
        <f t="shared" si="562"/>
        <v>353.5759426183609</v>
      </c>
      <c r="L3963" s="4">
        <f>MIN(MAX(L3962*(1+MAX(MIN(((B3963-B3962)/B3962)/($K$7*卓尔金历!$N$40),0),-卓尔金历!$M$43))+MIN(MAX(((B3963-B3962)/B3962)/($K$7*卓尔金历!$N$40),0),卓尔金历!$M$43),0),1)</f>
        <v>0</v>
      </c>
      <c r="M3963" s="4">
        <f>MIN(MAX(M3962*(1+MAX(MIN(((B3963-B3962)/B3962)/($K$7*30),0),-卓尔金历!$M$43))+MIN(MAX(((B3963-B3962)/B3962)/($K$7*7),0),卓尔金历!$M$43),0),1)</f>
        <v>0.4294644921682706</v>
      </c>
      <c r="N3963">
        <f t="shared" si="563"/>
        <v>821176.21486269415</v>
      </c>
      <c r="O3963">
        <f t="shared" si="564"/>
        <v>2665049.0709776869</v>
      </c>
      <c r="P3963">
        <f t="shared" si="565"/>
        <v>-6.7120290916937622E-2</v>
      </c>
      <c r="Q3963">
        <f t="shared" si="566"/>
        <v>5.8983897955435273E-2</v>
      </c>
      <c r="R3963">
        <f t="shared" si="567"/>
        <v>5.1680654529963642E-2</v>
      </c>
      <c r="S3963">
        <f t="shared" si="559"/>
        <v>3514.7488099389857</v>
      </c>
      <c r="T3963" s="564">
        <f>IF((I3963-MAX(I$470:I3963))/MAX(I$470:I3963)&gt;T3962,T3962,(I3963-MAX(I$470:I3963))/MAX(I$470:I3963))</f>
        <v>-0.91338805338419748</v>
      </c>
      <c r="U3963" s="564">
        <f>IF((J3963-MAX(J$470:J3963))/MAX(J$470:J3963)&gt;U3962,U3962,(J3963-MAX(J$470:J3963))/MAX(J$470:J3963))</f>
        <v>-0.83569785939843477</v>
      </c>
      <c r="V3963" s="564">
        <f>IF((K3963-MAX(K$470:K3963))/MAX(K$470:K3963)&gt;V3962,V3962,(K3963-MAX(K$470:K3963))/MAX(K$470:K3963))</f>
        <v>-0.84885940676762139</v>
      </c>
      <c r="W3963" s="564">
        <f>IF((N3963-MAX(N$470:N3963))/MAX(N$470:N3963)&gt;W3962,W3962,(N3963-MAX(N$470:N3963))/MAX(N$470:N3963))</f>
        <v>-0.62788758315546067</v>
      </c>
      <c r="X3963" s="564">
        <f>IF((O3963-MAX(O$470:O3963))/MAX(O$470:O3963)&gt;X3962,X3962,(O3963-MAX(O$470:O3963))/MAX(O$470:O3963))</f>
        <v>-0.66390465272594623</v>
      </c>
    </row>
    <row r="3964" spans="1:24">
      <c r="A3964" s="799">
        <v>44366</v>
      </c>
      <c r="B3964">
        <v>36154.241053051999</v>
      </c>
      <c r="C3964">
        <v>91949.370075974497</v>
      </c>
      <c r="D3964">
        <v>1.8050384781</v>
      </c>
      <c r="E3964">
        <f>LN(D3964/参数实验室!$E$53)/参数实验室!$E$55</f>
        <v>3.7726291254578498E-3</v>
      </c>
      <c r="F3964">
        <f t="shared" si="558"/>
        <v>2.5432526696121172</v>
      </c>
      <c r="G3964">
        <f>LN(F3964/参数实验室!$E$58)/参数实验室!$E$59</f>
        <v>0.29939174895781073</v>
      </c>
      <c r="H3964" s="856">
        <f>INDEX(神经网络!$G$10:$BO$70,MATCH(ROUND(G3964*2,1)/2,神经网络!$E$10:$E$70,0),MATCH(ROUND(E3964*2,1)/2,神经网络!$G$8:$BO$8,0))</f>
        <v>1.1872865256747198</v>
      </c>
      <c r="I3964">
        <f t="shared" si="560"/>
        <v>5093771.0381718455</v>
      </c>
      <c r="J3964">
        <f t="shared" si="561"/>
        <v>14426.495771538224</v>
      </c>
      <c r="K3964">
        <f t="shared" si="562"/>
        <v>353.08443012344378</v>
      </c>
      <c r="L3964" s="4">
        <f>MIN(MAX(L3963*(1+MAX(MIN(((B3964-B3963)/B3963)/($K$7*卓尔金历!$N$40),0),-卓尔金历!$M$43))+MIN(MAX(((B3964-B3963)/B3963)/($K$7*卓尔金历!$N$40),0),卓尔金历!$M$43),0),1)</f>
        <v>0</v>
      </c>
      <c r="M3964" s="4">
        <f>MIN(MAX(M3963*(1+MAX(MIN(((B3964-B3963)/B3963)/($K$7*30),0),-卓尔金历!$M$43))+MIN(MAX(((B3964-B3963)/B3963)/($K$7*7),0),卓尔金历!$M$43),0),1)</f>
        <v>0.40529168672572974</v>
      </c>
      <c r="N3964">
        <f t="shared" si="563"/>
        <v>821176.21486269415</v>
      </c>
      <c r="O3964">
        <f t="shared" si="564"/>
        <v>2655037.0506447782</v>
      </c>
      <c r="P3964">
        <f t="shared" si="565"/>
        <v>-7.367730155188025E-3</v>
      </c>
      <c r="Q3964">
        <f t="shared" si="566"/>
        <v>5.705540036296472E-2</v>
      </c>
      <c r="R3964">
        <f t="shared" si="567"/>
        <v>1</v>
      </c>
      <c r="S3964">
        <f t="shared" si="559"/>
        <v>3513.1598551205961</v>
      </c>
      <c r="T3964" s="564">
        <f>IF((I3964-MAX(I$470:I3964))/MAX(I$470:I3964)&gt;T3963,T3963,(I3964-MAX(I$470:I3964))/MAX(I$470:I3964))</f>
        <v>-0.91338805338419748</v>
      </c>
      <c r="U3964" s="564">
        <f>IF((J3964-MAX(J$470:J3964))/MAX(J$470:J3964)&gt;U3963,U3963,(J3964-MAX(J$470:J3964))/MAX(J$470:J3964))</f>
        <v>-0.83569785939843477</v>
      </c>
      <c r="V3964" s="564">
        <f>IF((K3964-MAX(K$470:K3964))/MAX(K$470:K3964)&gt;V3963,V3963,(K3964-MAX(K$470:K3964))/MAX(K$470:K3964))</f>
        <v>-0.84885940676762139</v>
      </c>
      <c r="W3964" s="564">
        <f>IF((N3964-MAX(N$470:N3964))/MAX(N$470:N3964)&gt;W3963,W3963,(N3964-MAX(N$470:N3964))/MAX(N$470:N3964))</f>
        <v>-0.62788758315546067</v>
      </c>
      <c r="X3964" s="564">
        <f>IF((O3964-MAX(O$470:O3964))/MAX(O$470:O3964)&gt;X3963,X3963,(O3964-MAX(O$470:O3964))/MAX(O$470:O3964))</f>
        <v>-0.66390465272594623</v>
      </c>
    </row>
    <row r="3965" spans="1:24">
      <c r="A3965" s="799">
        <v>44367</v>
      </c>
      <c r="B3965">
        <v>34498.417774103102</v>
      </c>
      <c r="C3965">
        <v>92317.766130368007</v>
      </c>
      <c r="D3965">
        <v>1.8074597453000001</v>
      </c>
      <c r="E3965">
        <f>LN(D3965/参数实验室!$E$53)/参数实验室!$E$55</f>
        <v>5.3540822278919618E-3</v>
      </c>
      <c r="F3965">
        <f t="shared" si="558"/>
        <v>2.6760000048369785</v>
      </c>
      <c r="G3965">
        <f>LN(F3965/参数实验室!$E$58)/参数实验室!$E$59</f>
        <v>0.3260959572123906</v>
      </c>
      <c r="H3965" s="856">
        <f>INDEX(神经网络!$G$10:$BO$70,MATCH(ROUND(G3965*2,1)/2,神经网络!$E$10:$E$70,0),MATCH(ROUND(E3965*2,1)/2,神经网络!$G$8:$BO$8,0))</f>
        <v>1.2363688147682446</v>
      </c>
      <c r="I3965">
        <f t="shared" si="560"/>
        <v>4816790.2201367952</v>
      </c>
      <c r="J3965">
        <f t="shared" si="561"/>
        <v>13765.778609833225</v>
      </c>
      <c r="K3965">
        <f t="shared" si="562"/>
        <v>349.91048139449566</v>
      </c>
      <c r="L3965" s="4">
        <f>MIN(MAX(L3964*(1+MAX(MIN(((B3965-B3964)/B3964)/($K$7*卓尔金历!$N$40),0),-卓尔金历!$M$43))+MIN(MAX(((B3965-B3964)/B3964)/($K$7*卓尔金历!$N$40),0),卓尔金历!$M$43),0),1)</f>
        <v>0</v>
      </c>
      <c r="M3965" s="4">
        <f>MIN(MAX(M3964*(1+MAX(MIN(((B3965-B3964)/B3964)/($K$7*30),0),-卓尔金历!$M$43))+MIN(MAX(((B3965-B3964)/B3964)/($K$7*7),0),卓尔金历!$M$43),0),1)</f>
        <v>0.26348767642886256</v>
      </c>
      <c r="N3965">
        <f t="shared" si="563"/>
        <v>821176.21486269415</v>
      </c>
      <c r="O3965">
        <f t="shared" si="564"/>
        <v>2596524.5639461572</v>
      </c>
      <c r="P3965">
        <f t="shared" si="565"/>
        <v>-4.5798867040776105E-2</v>
      </c>
      <c r="Q3965">
        <f t="shared" si="566"/>
        <v>5.7578034159652625E-2</v>
      </c>
      <c r="R3965">
        <f t="shared" si="567"/>
        <v>0.29899613238004041</v>
      </c>
      <c r="S3965">
        <f t="shared" si="559"/>
        <v>3322.1269478173185</v>
      </c>
      <c r="T3965" s="564">
        <f>IF((I3965-MAX(I$470:I3965))/MAX(I$470:I3965)&gt;T3964,T3964,(I3965-MAX(I$470:I3965))/MAX(I$470:I3965))</f>
        <v>-0.91338805338419748</v>
      </c>
      <c r="U3965" s="564">
        <f>IF((J3965-MAX(J$470:J3965))/MAX(J$470:J3965)&gt;U3964,U3964,(J3965-MAX(J$470:J3965))/MAX(J$470:J3965))</f>
        <v>-0.83569785939843477</v>
      </c>
      <c r="V3965" s="564">
        <f>IF((K3965-MAX(K$470:K3965))/MAX(K$470:K3965)&gt;V3964,V3964,(K3965-MAX(K$470:K3965))/MAX(K$470:K3965))</f>
        <v>-0.84885940676762139</v>
      </c>
      <c r="W3965" s="564">
        <f>IF((N3965-MAX(N$470:N3965))/MAX(N$470:N3965)&gt;W3964,W3964,(N3965-MAX(N$470:N3965))/MAX(N$470:N3965))</f>
        <v>-0.62788758315546067</v>
      </c>
      <c r="X3965" s="564">
        <f>IF((O3965-MAX(O$470:O3965))/MAX(O$470:O3965)&gt;X3964,X3964,(O3965-MAX(O$470:O3965))/MAX(O$470:O3965))</f>
        <v>-0.66390465272594623</v>
      </c>
    </row>
    <row r="3966" spans="1:24">
      <c r="A3966" s="799">
        <v>44368</v>
      </c>
      <c r="B3966">
        <v>32782.868638374501</v>
      </c>
      <c r="C3966">
        <v>93122.693279470303</v>
      </c>
      <c r="D3966">
        <v>1.6154985004</v>
      </c>
      <c r="E3966">
        <f>LN(D3966/参数实验室!$E$53)/参数实验室!$E$55</f>
        <v>-0.12710722679993516</v>
      </c>
      <c r="F3966">
        <f t="shared" si="558"/>
        <v>2.8405901358633416</v>
      </c>
      <c r="G3966">
        <f>LN(F3966/参数实验室!$E$58)/参数实验室!$E$59</f>
        <v>0.35742380267296975</v>
      </c>
      <c r="H3966" s="856">
        <f>INDEX(神经网络!$G$10:$BO$70,MATCH(ROUND(G3966*2,1)/2,神经网络!$E$10:$E$70,0),MATCH(ROUND(E3966*2,1)/2,神经网络!$G$8:$BO$8,0))</f>
        <v>0.96779553850984401</v>
      </c>
      <c r="I3966">
        <f t="shared" si="560"/>
        <v>4520641.5690462729</v>
      </c>
      <c r="J3966">
        <f t="shared" si="561"/>
        <v>13081.229255965223</v>
      </c>
      <c r="K3966">
        <f t="shared" si="562"/>
        <v>345.58232109454065</v>
      </c>
      <c r="L3966" s="4">
        <f>MIN(MAX(L3965*(1+MAX(MIN(((B3966-B3965)/B3965)/($K$7*卓尔金历!$N$40),0),-卓尔金历!$M$43))+MIN(MAX(((B3966-B3965)/B3965)/($K$7*卓尔金历!$N$40),0),卓尔金历!$M$43),0),1)</f>
        <v>0</v>
      </c>
      <c r="M3966" s="4">
        <f>MIN(MAX(M3965*(1+MAX(MIN(((B3966-B3965)/B3965)/($K$7*30),0),-卓尔金历!$M$43))+MIN(MAX(((B3966-B3965)/B3965)/($K$7*7),0),卓尔金历!$M$43),0),1)</f>
        <v>0.16338852989091096</v>
      </c>
      <c r="N3966">
        <f t="shared" si="563"/>
        <v>821176.21486269415</v>
      </c>
      <c r="O3966">
        <f t="shared" si="564"/>
        <v>2554461.1256270059</v>
      </c>
      <c r="P3966">
        <f t="shared" si="565"/>
        <v>-4.972834252753501E-2</v>
      </c>
      <c r="Q3966">
        <f t="shared" si="566"/>
        <v>5.7809882325506289E-2</v>
      </c>
      <c r="R3966">
        <f t="shared" si="567"/>
        <v>0.21683309755681199</v>
      </c>
      <c r="S3966">
        <f t="shared" si="559"/>
        <v>3261.0561180087611</v>
      </c>
      <c r="T3966" s="564">
        <f>IF((I3966-MAX(I$470:I3966))/MAX(I$470:I3966)&gt;T3965,T3965,(I3966-MAX(I$470:I3966))/MAX(I$470:I3966))</f>
        <v>-0.91338805338419748</v>
      </c>
      <c r="U3966" s="564">
        <f>IF((J3966-MAX(J$470:J3966))/MAX(J$470:J3966)&gt;U3965,U3965,(J3966-MAX(J$470:J3966))/MAX(J$470:J3966))</f>
        <v>-0.83569785939843477</v>
      </c>
      <c r="V3966" s="564">
        <f>IF((K3966-MAX(K$470:K3966))/MAX(K$470:K3966)&gt;V3965,V3965,(K3966-MAX(K$470:K3966))/MAX(K$470:K3966))</f>
        <v>-0.84885940676762139</v>
      </c>
      <c r="W3966" s="564">
        <f>IF((N3966-MAX(N$470:N3966))/MAX(N$470:N3966)&gt;W3965,W3965,(N3966-MAX(N$470:N3966))/MAX(N$470:N3966))</f>
        <v>-0.62788758315546067</v>
      </c>
      <c r="X3966" s="564">
        <f>IF((O3966-MAX(O$470:O3966))/MAX(O$470:O3966)&gt;X3965,X3965,(O3966-MAX(O$470:O3966))/MAX(O$470:O3966))</f>
        <v>-0.66491784638435447</v>
      </c>
    </row>
    <row r="3967" spans="1:24">
      <c r="A3967" s="799">
        <v>44369</v>
      </c>
      <c r="B3967">
        <v>31701.324536472599</v>
      </c>
      <c r="C3967">
        <v>95196.252133216694</v>
      </c>
      <c r="D3967">
        <v>1.6514998023</v>
      </c>
      <c r="E3967">
        <f>LN(D3967/参数实验室!$E$53)/参数实验室!$E$55</f>
        <v>-0.10110514899340516</v>
      </c>
      <c r="F3967">
        <f t="shared" si="558"/>
        <v>3.0029108728151952</v>
      </c>
      <c r="G3967">
        <f>LN(F3967/参数实验室!$E$58)/参数实验室!$E$59</f>
        <v>0.38659009104915709</v>
      </c>
      <c r="H3967" s="856">
        <f>INDEX(神经网络!$G$10:$BO$70,MATCH(ROUND(G3967*2,1)/2,神经网络!$E$10:$E$70,0),MATCH(ROUND(E3967*2,1)/2,神经网络!$G$8:$BO$8,0))</f>
        <v>1.096462278026997</v>
      </c>
      <c r="I3967">
        <f t="shared" si="560"/>
        <v>4376303.4738449259</v>
      </c>
      <c r="J3967">
        <f t="shared" si="561"/>
        <v>12649.66463288478</v>
      </c>
      <c r="K3967">
        <f t="shared" si="562"/>
        <v>345.96201566229996</v>
      </c>
      <c r="L3967" s="4">
        <f>MIN(MAX(L3966*(1+MAX(MIN(((B3967-B3966)/B3966)/($K$7*卓尔金历!$N$40),0),-卓尔金历!$M$43))+MIN(MAX(((B3967-B3966)/B3966)/($K$7*卓尔金历!$N$40),0),卓尔金历!$M$43),0),1)</f>
        <v>0</v>
      </c>
      <c r="M3967" s="4">
        <f>MIN(MAX(M3966*(1+MAX(MIN(((B3967-B3966)/B3966)/($K$7*30),0),-卓尔金历!$M$43))+MIN(MAX(((B3967-B3966)/B3966)/($K$7*7),0),卓尔金历!$M$43),0),1)</f>
        <v>0.12220866401924006</v>
      </c>
      <c r="N3967">
        <f t="shared" si="563"/>
        <v>821176.21486269415</v>
      </c>
      <c r="O3967">
        <f t="shared" si="564"/>
        <v>2541135.0658047157</v>
      </c>
      <c r="P3967">
        <f t="shared" si="565"/>
        <v>-3.2991136737676563E-2</v>
      </c>
      <c r="Q3967">
        <f t="shared" si="566"/>
        <v>5.8073171113474681E-2</v>
      </c>
      <c r="R3967">
        <f t="shared" si="567"/>
        <v>0.65596418312700588</v>
      </c>
      <c r="S3967">
        <f t="shared" si="559"/>
        <v>3238.4791955245532</v>
      </c>
      <c r="T3967" s="564">
        <f>IF((I3967-MAX(I$470:I3967))/MAX(I$470:I3967)&gt;T3966,T3966,(I3967-MAX(I$470:I3967))/MAX(I$470:I3967))</f>
        <v>-0.91338805338419748</v>
      </c>
      <c r="U3967" s="564">
        <f>IF((J3967-MAX(J$470:J3967))/MAX(J$470:J3967)&gt;U3966,U3966,(J3967-MAX(J$470:J3967))/MAX(J$470:J3967))</f>
        <v>-0.83569785939843477</v>
      </c>
      <c r="V3967" s="564">
        <f>IF((K3967-MAX(K$470:K3967))/MAX(K$470:K3967)&gt;V3966,V3966,(K3967-MAX(K$470:K3967))/MAX(K$470:K3967))</f>
        <v>-0.84885940676762139</v>
      </c>
      <c r="W3967" s="564">
        <f>IF((N3967-MAX(N$470:N3967))/MAX(N$470:N3967)&gt;W3966,W3966,(N3967-MAX(N$470:N3967))/MAX(N$470:N3967))</f>
        <v>-0.62788758315546067</v>
      </c>
      <c r="X3967" s="564">
        <f>IF((O3967-MAX(O$470:O3967))/MAX(O$470:O3967)&gt;X3966,X3966,(O3967-MAX(O$470:O3967))/MAX(O$470:O3967))</f>
        <v>-0.6666658960139481</v>
      </c>
    </row>
    <row r="3968" spans="1:24">
      <c r="A3968" s="799">
        <v>44370</v>
      </c>
      <c r="B3968">
        <v>33631.160162676497</v>
      </c>
      <c r="C3968">
        <v>97101.894423204605</v>
      </c>
      <c r="D3968">
        <v>1.7136982267</v>
      </c>
      <c r="E3968">
        <f>LN(D3968/参数实验室!$E$53)/参数实验室!$E$55</f>
        <v>-5.748979571362553E-2</v>
      </c>
      <c r="F3968">
        <f t="shared" si="558"/>
        <v>2.8872597303665799</v>
      </c>
      <c r="G3968">
        <f>LN(F3968/参数实验室!$E$58)/参数实验室!$E$59</f>
        <v>0.36597684369312206</v>
      </c>
      <c r="H3968" s="856">
        <f>INDEX(神经网络!$G$10:$BO$70,MATCH(ROUND(G3968*2,1)/2,神经网络!$E$10:$E$70,0),MATCH(ROUND(E3968*2,1)/2,神经网络!$G$8:$BO$8,0))</f>
        <v>1.1433147277508295</v>
      </c>
      <c r="I3968">
        <f t="shared" si="560"/>
        <v>4668411.8677648287</v>
      </c>
      <c r="J3968">
        <f t="shared" si="561"/>
        <v>13419.719948396491</v>
      </c>
      <c r="K3968">
        <f t="shared" si="562"/>
        <v>347.87699636926124</v>
      </c>
      <c r="L3968" s="4">
        <f>MIN(MAX(L3967*(1+MAX(MIN(((B3968-B3967)/B3967)/($K$7*卓尔金历!$N$40),0),-卓尔金历!$M$43))+MIN(MAX(((B3968-B3967)/B3967)/($K$7*卓尔金历!$N$40),0),卓尔金历!$M$43),0),1)</f>
        <v>0.93012001469401662</v>
      </c>
      <c r="M3968" s="4">
        <f>MIN(MAX(M3967*(1+MAX(MIN(((B3968-B3967)/B3967)/($K$7*30),0),-卓尔金历!$M$43))+MIN(MAX(((B3968-B3967)/B3967)/($K$7*7),0),卓尔金历!$M$43),0),1)</f>
        <v>1</v>
      </c>
      <c r="N3968">
        <f t="shared" si="563"/>
        <v>821176.21486269415</v>
      </c>
      <c r="O3968">
        <f t="shared" si="564"/>
        <v>2561863.4930741801</v>
      </c>
      <c r="P3968">
        <f t="shared" si="565"/>
        <v>6.0875551871140535E-2</v>
      </c>
      <c r="Q3968">
        <f t="shared" si="566"/>
        <v>5.8707123244558596E-2</v>
      </c>
      <c r="R3968">
        <f t="shared" si="567"/>
        <v>5.5966823657466622E-2</v>
      </c>
      <c r="S3968">
        <f t="shared" si="559"/>
        <v>3380.2731924238187</v>
      </c>
      <c r="T3968" s="564">
        <f>IF((I3968-MAX(I$470:I3968))/MAX(I$470:I3968)&gt;T3967,T3967,(I3968-MAX(I$470:I3968))/MAX(I$470:I3968))</f>
        <v>-0.91338805338419748</v>
      </c>
      <c r="U3968" s="564">
        <f>IF((J3968-MAX(J$470:J3968))/MAX(J$470:J3968)&gt;U3967,U3967,(J3968-MAX(J$470:J3968))/MAX(J$470:J3968))</f>
        <v>-0.83569785939843477</v>
      </c>
      <c r="V3968" s="564">
        <f>IF((K3968-MAX(K$470:K3968))/MAX(K$470:K3968)&gt;V3967,V3967,(K3968-MAX(K$470:K3968))/MAX(K$470:K3968))</f>
        <v>-0.84885940676762139</v>
      </c>
      <c r="W3968" s="564">
        <f>IF((N3968-MAX(N$470:N3968))/MAX(N$470:N3968)&gt;W3967,W3967,(N3968-MAX(N$470:N3968))/MAX(N$470:N3968))</f>
        <v>-0.62788758315546067</v>
      </c>
      <c r="X3968" s="564">
        <f>IF((O3968-MAX(O$470:O3968))/MAX(O$470:O3968)&gt;X3967,X3967,(O3968-MAX(O$470:O3968))/MAX(O$470:O3968))</f>
        <v>-0.6666658960139481</v>
      </c>
    </row>
    <row r="3969" spans="1:24">
      <c r="A3969" s="799">
        <v>44371</v>
      </c>
      <c r="B3969">
        <v>33979.729327822701</v>
      </c>
      <c r="C3969">
        <v>98508.837531572397</v>
      </c>
      <c r="D3969">
        <v>1.7666721674000001</v>
      </c>
      <c r="E3969">
        <f>LN(D3969/参数实验室!$E$53)/参数实验室!$E$55</f>
        <v>-2.1573500500024063E-2</v>
      </c>
      <c r="F3969">
        <f t="shared" si="558"/>
        <v>2.8990471519416454</v>
      </c>
      <c r="G3969">
        <f>LN(F3969/参数实验室!$E$58)/参数实验室!$E$59</f>
        <v>0.36811523163382687</v>
      </c>
      <c r="H3969" s="856">
        <f>INDEX(神经网络!$G$10:$BO$70,MATCH(ROUND(G3969*2,1)/2,神经网络!$E$10:$E$70,0),MATCH(ROUND(E3969*2,1)/2,神经网络!$G$8:$BO$8,0))</f>
        <v>1.2363688147682446</v>
      </c>
      <c r="I3969">
        <f t="shared" si="560"/>
        <v>4723731.8560341606</v>
      </c>
      <c r="J3969">
        <f t="shared" si="561"/>
        <v>13558.808239025837</v>
      </c>
      <c r="K3969">
        <f t="shared" si="562"/>
        <v>348.38842564629027</v>
      </c>
      <c r="L3969" s="4">
        <f>MIN(MAX(L3968*(1+MAX(MIN(((B3969-B3968)/B3968)/($K$7*卓尔金历!$N$40),0),-卓尔金历!$M$43))+MIN(MAX(((B3969-B3968)/B3968)/($K$7*卓尔金历!$N$40),0),卓尔金历!$M$43),0),1)</f>
        <v>1</v>
      </c>
      <c r="M3969" s="4">
        <f>MIN(MAX(M3968*(1+MAX(MIN(((B3969-B3968)/B3968)/($K$7*30),0),-卓尔金历!$M$43))+MIN(MAX(((B3969-B3968)/B3968)/($K$7*7),0),卓尔金历!$M$43),0),1)</f>
        <v>1</v>
      </c>
      <c r="N3969">
        <f t="shared" si="563"/>
        <v>830227.04191748472</v>
      </c>
      <c r="O3969">
        <f t="shared" si="564"/>
        <v>2592221.1955217896</v>
      </c>
      <c r="P3969">
        <f t="shared" si="565"/>
        <v>1.0364470433376313E-2</v>
      </c>
      <c r="Q3969">
        <f t="shared" si="566"/>
        <v>5.8631456938818785E-2</v>
      </c>
      <c r="R3969">
        <f t="shared" si="567"/>
        <v>1</v>
      </c>
      <c r="S3969">
        <f t="shared" si="559"/>
        <v>3382.514984737451</v>
      </c>
      <c r="T3969" s="564">
        <f>IF((I3969-MAX(I$470:I3969))/MAX(I$470:I3969)&gt;T3968,T3968,(I3969-MAX(I$470:I3969))/MAX(I$470:I3969))</f>
        <v>-0.91338805338419748</v>
      </c>
      <c r="U3969" s="564">
        <f>IF((J3969-MAX(J$470:J3969))/MAX(J$470:J3969)&gt;U3968,U3968,(J3969-MAX(J$470:J3969))/MAX(J$470:J3969))</f>
        <v>-0.83569785939843477</v>
      </c>
      <c r="V3969" s="564">
        <f>IF((K3969-MAX(K$470:K3969))/MAX(K$470:K3969)&gt;V3968,V3968,(K3969-MAX(K$470:K3969))/MAX(K$470:K3969))</f>
        <v>-0.84885940676762139</v>
      </c>
      <c r="W3969" s="564">
        <f>IF((N3969-MAX(N$470:N3969))/MAX(N$470:N3969)&gt;W3968,W3968,(N3969-MAX(N$470:N3969))/MAX(N$470:N3969))</f>
        <v>-0.62788758315546067</v>
      </c>
      <c r="X3969" s="564">
        <f>IF((O3969-MAX(O$470:O3969))/MAX(O$470:O3969)&gt;X3968,X3968,(O3969-MAX(O$470:O3969))/MAX(O$470:O3969))</f>
        <v>-0.6666658960139481</v>
      </c>
    </row>
    <row r="3970" spans="1:24">
      <c r="A3970" s="799">
        <v>44372</v>
      </c>
      <c r="B3970">
        <v>32600.0893618644</v>
      </c>
      <c r="C3970">
        <v>99466.077967356701</v>
      </c>
      <c r="D3970">
        <v>1.6309171692</v>
      </c>
      <c r="E3970">
        <f>LN(D3970/参数实验室!$E$53)/参数实验室!$E$55</f>
        <v>-0.11590079905851369</v>
      </c>
      <c r="F3970">
        <f t="shared" si="558"/>
        <v>3.0510983225620283</v>
      </c>
      <c r="G3970">
        <f>LN(F3970/参数实验室!$E$58)/参数实验室!$E$59</f>
        <v>0.39494551673229311</v>
      </c>
      <c r="H3970" s="856">
        <f>INDEX(神经网络!$G$10:$BO$70,MATCH(ROUND(G3970*2,1)/2,神经网络!$E$10:$E$70,0),MATCH(ROUND(E3970*2,1)/2,神经网络!$G$8:$BO$8,0))</f>
        <v>1.096462278026997</v>
      </c>
      <c r="I3970">
        <f t="shared" si="560"/>
        <v>4486605.880485733</v>
      </c>
      <c r="J3970">
        <f t="shared" si="561"/>
        <v>13008.295503716672</v>
      </c>
      <c r="K3970">
        <f t="shared" si="562"/>
        <v>344.90344097763153</v>
      </c>
      <c r="L3970" s="4">
        <f>MIN(MAX(L3969*(1+MAX(MIN(((B3970-B3969)/B3969)/($K$7*卓尔金历!$N$40),0),-卓尔金历!$M$43))+MIN(MAX(((B3970-B3969)/B3969)/($K$7*卓尔金历!$N$40),0),卓尔金历!$M$43),0),1)</f>
        <v>0.37964265297579181</v>
      </c>
      <c r="M3970" s="4">
        <f>MIN(MAX(M3969*(1+MAX(MIN(((B3970-B3969)/B3969)/($K$7*30),0),-卓尔金历!$M$43))+MIN(MAX(((B3970-B3969)/B3969)/($K$7*7),0),卓尔金历!$M$43),0),1)</f>
        <v>0.68982132648789585</v>
      </c>
      <c r="N3970">
        <f t="shared" si="563"/>
        <v>788550.58710562089</v>
      </c>
      <c r="O3970">
        <f t="shared" si="564"/>
        <v>2462094.6348788072</v>
      </c>
      <c r="P3970">
        <f t="shared" si="565"/>
        <v>-4.0601852729552121E-2</v>
      </c>
      <c r="Q3970">
        <f t="shared" si="566"/>
        <v>5.8549243770028861E-2</v>
      </c>
      <c r="R3970">
        <f t="shared" si="567"/>
        <v>0.44614823880123844</v>
      </c>
      <c r="S3970">
        <f t="shared" si="559"/>
        <v>3212.7165732254907</v>
      </c>
      <c r="T3970" s="564">
        <f>IF((I3970-MAX(I$470:I3970))/MAX(I$470:I3970)&gt;T3969,T3969,(I3970-MAX(I$470:I3970))/MAX(I$470:I3970))</f>
        <v>-0.91338805338419748</v>
      </c>
      <c r="U3970" s="564">
        <f>IF((J3970-MAX(J$470:J3970))/MAX(J$470:J3970)&gt;U3969,U3969,(J3970-MAX(J$470:J3970))/MAX(J$470:J3970))</f>
        <v>-0.83569785939843477</v>
      </c>
      <c r="V3970" s="564">
        <f>IF((K3970-MAX(K$470:K3970))/MAX(K$470:K3970)&gt;V3969,V3969,(K3970-MAX(K$470:K3970))/MAX(K$470:K3970))</f>
        <v>-0.84885940676762139</v>
      </c>
      <c r="W3970" s="564">
        <f>IF((N3970-MAX(N$470:N3970))/MAX(N$470:N3970)&gt;W3969,W3969,(N3970-MAX(N$470:N3970))/MAX(N$470:N3970))</f>
        <v>-0.62788758315546067</v>
      </c>
      <c r="X3970" s="564">
        <f>IF((O3970-MAX(O$470:O3970))/MAX(O$470:O3970)&gt;X3969,X3969,(O3970-MAX(O$470:O3970))/MAX(O$470:O3970))</f>
        <v>-0.67703404667854727</v>
      </c>
    </row>
    <row r="3971" spans="1:24">
      <c r="A3971" s="799">
        <v>44373</v>
      </c>
      <c r="B3971">
        <v>31545.897058144299</v>
      </c>
      <c r="C3971">
        <v>101730.053421954</v>
      </c>
      <c r="D3971">
        <v>1.6430339454</v>
      </c>
      <c r="E3971">
        <f>LN(D3971/参数实验室!$E$53)/参数实验室!$E$55</f>
        <v>-0.10716830990728846</v>
      </c>
      <c r="F3971">
        <f t="shared" si="558"/>
        <v>3.2248267733343803</v>
      </c>
      <c r="G3971">
        <f>LN(F3971/参数实验室!$E$58)/参数实验室!$E$59</f>
        <v>0.42401067585456392</v>
      </c>
      <c r="H3971" s="856">
        <f>INDEX(神经网络!$G$10:$BO$70,MATCH(ROUND(G3971*2,1)/2,神经网络!$E$10:$E$70,0),MATCH(ROUND(E3971*2,1)/2,神经网络!$G$8:$BO$8,0))</f>
        <v>1.096462278026997</v>
      </c>
      <c r="I3971">
        <f t="shared" si="560"/>
        <v>4327526.9483336685</v>
      </c>
      <c r="J3971">
        <f t="shared" si="561"/>
        <v>12587.644969532043</v>
      </c>
      <c r="K3971">
        <f t="shared" si="562"/>
        <v>343.79162733047343</v>
      </c>
      <c r="L3971" s="4">
        <f>MIN(MAX(L3970*(1+MAX(MIN(((B3971-B3970)/B3970)/($K$7*卓尔金历!$N$40),0),-卓尔金历!$M$43))+MIN(MAX(((B3971-B3970)/B3970)/($K$7*卓尔金历!$N$40),0),卓尔金历!$M$43),0),1)</f>
        <v>0.19206887368960815</v>
      </c>
      <c r="M3971" s="4">
        <f>MIN(MAX(M3970*(1+MAX(MIN(((B3971-B3970)/B3970)/($K$7*30),0),-卓尔金历!$M$43))+MIN(MAX(((B3971-B3970)/B3970)/($K$7*7),0),卓尔金历!$M$43),0),1)</f>
        <v>0.51940792295260629</v>
      </c>
      <c r="N3971">
        <f t="shared" si="563"/>
        <v>777936.09288641717</v>
      </c>
      <c r="O3971">
        <f t="shared" si="564"/>
        <v>2401875.2791970945</v>
      </c>
      <c r="P3971">
        <f t="shared" si="565"/>
        <v>-3.2337098589468774E-2</v>
      </c>
      <c r="Q3971">
        <f t="shared" si="566"/>
        <v>5.8800586599815803E-2</v>
      </c>
      <c r="R3971">
        <f t="shared" si="567"/>
        <v>0.69149468195415764</v>
      </c>
      <c r="S3971">
        <f t="shared" si="559"/>
        <v>3161.8952062481717</v>
      </c>
      <c r="T3971" s="564">
        <f>IF((I3971-MAX(I$470:I3971))/MAX(I$470:I3971)&gt;T3970,T3970,(I3971-MAX(I$470:I3971))/MAX(I$470:I3971))</f>
        <v>-0.91338805338419748</v>
      </c>
      <c r="U3971" s="564">
        <f>IF((J3971-MAX(J$470:J3971))/MAX(J$470:J3971)&gt;U3970,U3970,(J3971-MAX(J$470:J3971))/MAX(J$470:J3971))</f>
        <v>-0.83569785939843477</v>
      </c>
      <c r="V3971" s="564">
        <f>IF((K3971-MAX(K$470:K3971))/MAX(K$470:K3971)&gt;V3970,V3970,(K3971-MAX(K$470:K3971))/MAX(K$470:K3971))</f>
        <v>-0.84885940676762139</v>
      </c>
      <c r="W3971" s="564">
        <f>IF((N3971-MAX(N$470:N3971))/MAX(N$470:N3971)&gt;W3970,W3970,(N3971-MAX(N$470:N3971))/MAX(N$470:N3971))</f>
        <v>-0.62788758315546067</v>
      </c>
      <c r="X3971" s="564">
        <f>IF((O3971-MAX(O$470:O3971))/MAX(O$470:O3971)&gt;X3970,X3970,(O3971-MAX(O$470:O3971))/MAX(O$470:O3971))</f>
        <v>-0.68493333752652275</v>
      </c>
    </row>
    <row r="3972" spans="1:24">
      <c r="A3972" s="799">
        <v>44374</v>
      </c>
      <c r="B3972">
        <v>33230.172094544301</v>
      </c>
      <c r="C3972">
        <v>106889.746345256</v>
      </c>
      <c r="D3972">
        <v>1.7762558571</v>
      </c>
      <c r="E3972">
        <f>LN(D3972/参数实验室!$E$53)/参数实验室!$E$55</f>
        <v>-1.5190973668256934E-2</v>
      </c>
      <c r="F3972">
        <f t="shared" si="558"/>
        <v>3.2166473902434305</v>
      </c>
      <c r="G3972">
        <f>LN(F3972/参数实验室!$E$58)/参数实验室!$E$59</f>
        <v>0.42267775594104545</v>
      </c>
      <c r="H3972" s="856">
        <f>INDEX(神经网络!$G$10:$BO$70,MATCH(ROUND(G3972*2,1)/2,神经网络!$E$10:$E$70,0),MATCH(ROUND(E3972*2,1)/2,神经网络!$G$8:$BO$8,0))</f>
        <v>1.2799227501815464</v>
      </c>
      <c r="I3972">
        <f t="shared" si="560"/>
        <v>4580866.8549162745</v>
      </c>
      <c r="J3972">
        <f t="shared" si="561"/>
        <v>13259.715132893441</v>
      </c>
      <c r="K3972">
        <f t="shared" si="562"/>
        <v>345.47249386621399</v>
      </c>
      <c r="L3972" s="4">
        <f>MIN(MAX(L3971*(1+MAX(MIN(((B3972-B3971)/B3971)/($K$7*卓尔金历!$N$40),0),-卓尔金历!$M$43))+MIN(MAX(((B3972-B3971)/B3971)/($K$7*卓尔金历!$N$40),0),卓尔金历!$M$43),0),1)</f>
        <v>1</v>
      </c>
      <c r="M3972" s="4">
        <f>MIN(MAX(M3971*(1+MAX(MIN(((B3972-B3971)/B3971)/($K$7*30),0),-卓尔金历!$M$43))+MIN(MAX(((B3972-B3971)/B3971)/($K$7*7),0),卓尔金历!$M$43),0),1)</f>
        <v>1</v>
      </c>
      <c r="N3972">
        <f t="shared" si="563"/>
        <v>786683.20586737781</v>
      </c>
      <c r="O3972">
        <f t="shared" si="564"/>
        <v>2474908.902535974</v>
      </c>
      <c r="P3972">
        <f t="shared" si="565"/>
        <v>5.3391255074966011E-2</v>
      </c>
      <c r="Q3972">
        <f t="shared" si="566"/>
        <v>6.0102804364681982E-2</v>
      </c>
      <c r="R3972">
        <f t="shared" si="567"/>
        <v>0.18417266873101662</v>
      </c>
      <c r="S3972">
        <f t="shared" si="559"/>
        <v>3289.8923096726667</v>
      </c>
      <c r="T3972" s="564">
        <f>IF((I3972-MAX(I$470:I3972))/MAX(I$470:I3972)&gt;T3971,T3971,(I3972-MAX(I$470:I3972))/MAX(I$470:I3972))</f>
        <v>-0.91338805338419748</v>
      </c>
      <c r="U3972" s="564">
        <f>IF((J3972-MAX(J$470:J3972))/MAX(J$470:J3972)&gt;U3971,U3971,(J3972-MAX(J$470:J3972))/MAX(J$470:J3972))</f>
        <v>-0.83569785939843477</v>
      </c>
      <c r="V3972" s="564">
        <f>IF((K3972-MAX(K$470:K3972))/MAX(K$470:K3972)&gt;V3971,V3971,(K3972-MAX(K$470:K3972))/MAX(K$470:K3972))</f>
        <v>-0.84885940676762139</v>
      </c>
      <c r="W3972" s="564">
        <f>IF((N3972-MAX(N$470:N3972))/MAX(N$470:N3972)&gt;W3971,W3971,(N3972-MAX(N$470:N3972))/MAX(N$470:N3972))</f>
        <v>-0.62788758315546067</v>
      </c>
      <c r="X3972" s="564">
        <f>IF((O3972-MAX(O$470:O3972))/MAX(O$470:O3972)&gt;X3971,X3971,(O3972-MAX(O$470:O3972))/MAX(O$470:O3972))</f>
        <v>-0.68493333752652275</v>
      </c>
    </row>
    <row r="3973" spans="1:24">
      <c r="A3973" s="799">
        <v>44375</v>
      </c>
      <c r="B3973">
        <v>34964.106610852003</v>
      </c>
      <c r="C3973">
        <v>109382.191064079</v>
      </c>
      <c r="D3973">
        <v>1.7697760374</v>
      </c>
      <c r="E3973">
        <f>LN(D3973/参数实验室!$E$53)/参数实验室!$E$55</f>
        <v>-1.9502608220785405E-2</v>
      </c>
      <c r="F3973">
        <f t="shared" ref="F3973:F3985" si="568">C3973/B3973</f>
        <v>3.12841372672538</v>
      </c>
      <c r="G3973">
        <f>LN(F3973/参数实验室!$E$58)/参数实验室!$E$59</f>
        <v>0.40807969941949462</v>
      </c>
      <c r="H3973" s="856">
        <f>INDEX(神经网络!$G$10:$BO$70,MATCH(ROUND(G3973*2,1)/2,神经网络!$E$10:$E$70,0),MATCH(ROUND(E3973*2,1)/2,神经网络!$G$8:$BO$8,0))</f>
        <v>1.2799227501815464</v>
      </c>
      <c r="I3973">
        <f t="shared" si="560"/>
        <v>4886803.5205245893</v>
      </c>
      <c r="J3973">
        <f t="shared" si="561"/>
        <v>13951.600738538746</v>
      </c>
      <c r="K3973">
        <f t="shared" si="562"/>
        <v>350.26830340877575</v>
      </c>
      <c r="L3973" s="4">
        <f>MIN(MAX(L3972*(1+MAX(MIN(((B3973-B3972)/B3972)/($K$7*卓尔金历!$N$40),0),-卓尔金历!$M$43))+MIN(MAX(((B3973-B3972)/B3972)/($K$7*卓尔金历!$N$40),0),卓尔金历!$M$43),0),1)</f>
        <v>1</v>
      </c>
      <c r="M3973" s="4">
        <f>MIN(MAX(M3972*(1+MAX(MIN(((B3973-B3972)/B3972)/($K$7*30),0),-卓尔金历!$M$43))+MIN(MAX(((B3973-B3972)/B3972)/($K$7*7),0),卓尔金历!$M$43),0),1)</f>
        <v>1</v>
      </c>
      <c r="N3973">
        <f t="shared" si="563"/>
        <v>839222.44014676486</v>
      </c>
      <c r="O3973">
        <f t="shared" si="564"/>
        <v>2640197.5697919508</v>
      </c>
      <c r="P3973">
        <f t="shared" si="565"/>
        <v>5.2179522615002562E-2</v>
      </c>
      <c r="Q3973">
        <f t="shared" si="566"/>
        <v>6.1211586542034173E-2</v>
      </c>
      <c r="R3973">
        <f t="shared" si="567"/>
        <v>0.22934436183351994</v>
      </c>
      <c r="S3973">
        <f t="shared" si="559"/>
        <v>3330.3583512479477</v>
      </c>
      <c r="T3973" s="564">
        <f>IF((I3973-MAX(I$470:I3973))/MAX(I$470:I3973)&gt;T3972,T3972,(I3973-MAX(I$470:I3973))/MAX(I$470:I3973))</f>
        <v>-0.91338805338419748</v>
      </c>
      <c r="U3973" s="564">
        <f>IF((J3973-MAX(J$470:J3973))/MAX(J$470:J3973)&gt;U3972,U3972,(J3973-MAX(J$470:J3973))/MAX(J$470:J3973))</f>
        <v>-0.83569785939843477</v>
      </c>
      <c r="V3973" s="564">
        <f>IF((K3973-MAX(K$470:K3973))/MAX(K$470:K3973)&gt;V3972,V3972,(K3973-MAX(K$470:K3973))/MAX(K$470:K3973))</f>
        <v>-0.84885940676762139</v>
      </c>
      <c r="W3973" s="564">
        <f>IF((N3973-MAX(N$470:N3973))/MAX(N$470:N3973)&gt;W3972,W3972,(N3973-MAX(N$470:N3973))/MAX(N$470:N3973))</f>
        <v>-0.62788758315546067</v>
      </c>
      <c r="X3973" s="564">
        <f>IF((O3973-MAX(O$470:O3973))/MAX(O$470:O3973)&gt;X3972,X3972,(O3973-MAX(O$470:O3973))/MAX(O$470:O3973))</f>
        <v>-0.68493333752652275</v>
      </c>
    </row>
    <row r="3974" spans="1:24">
      <c r="A3974" s="799">
        <v>44376</v>
      </c>
      <c r="B3974">
        <v>36230.155902823899</v>
      </c>
      <c r="C3974">
        <v>114402.180660927</v>
      </c>
      <c r="D3974">
        <v>1.8496758629000001</v>
      </c>
      <c r="E3974">
        <f>LN(D3974/参数实验室!$E$53)/参数实验室!$E$55</f>
        <v>3.2592237653666506E-2</v>
      </c>
      <c r="F3974">
        <f t="shared" si="568"/>
        <v>3.1576507969707661</v>
      </c>
      <c r="G3974">
        <f>LN(F3974/参数实验室!$E$58)/参数实验室!$E$59</f>
        <v>0.41296202448066072</v>
      </c>
      <c r="H3974" s="856">
        <f>INDEX(神经网络!$G$10:$BO$70,MATCH(ROUND(G3974*2,1)/2,神经网络!$E$10:$E$70,0),MATCH(ROUND(E3974*2,1)/2,神经网络!$G$8:$BO$8,0))</f>
        <v>1.3738864032226001</v>
      </c>
      <c r="I3974">
        <f t="shared" si="560"/>
        <v>5113287.1496980488</v>
      </c>
      <c r="J3974">
        <f t="shared" si="561"/>
        <v>14456.787798900221</v>
      </c>
      <c r="K3974">
        <f t="shared" si="562"/>
        <v>353.69455655197726</v>
      </c>
      <c r="L3974" s="4">
        <f>MIN(MAX(L3973*(1+MAX(MIN(((B3974-B3973)/B3973)/($K$7*卓尔金历!$N$40),0),-卓尔金历!$M$43))+MIN(MAX(((B3974-B3973)/B3973)/($K$7*卓尔金历!$N$40),0),卓尔金历!$M$43),0),1)</f>
        <v>1</v>
      </c>
      <c r="M3974" s="4">
        <f>MIN(MAX(M3973*(1+MAX(MIN(((B3974-B3973)/B3973)/($K$7*30),0),-卓尔金历!$M$43))+MIN(MAX(((B3974-B3973)/B3973)/($K$7*7),0),卓尔金历!$M$43),0),1)</f>
        <v>1</v>
      </c>
      <c r="N3974">
        <f t="shared" si="563"/>
        <v>878117.01471477246</v>
      </c>
      <c r="O3974">
        <f t="shared" si="564"/>
        <v>2762560.0762504139</v>
      </c>
      <c r="P3974">
        <f t="shared" si="565"/>
        <v>3.6209971158792473E-2</v>
      </c>
      <c r="Q3974">
        <f t="shared" si="566"/>
        <v>5.5359278089085764E-2</v>
      </c>
      <c r="R3974">
        <f t="shared" si="567"/>
        <v>0.51170624510049789</v>
      </c>
      <c r="S3974">
        <f t="shared" si="559"/>
        <v>3365.7573494964886</v>
      </c>
      <c r="T3974" s="564">
        <f>IF((I3974-MAX(I$470:I3974))/MAX(I$470:I3974)&gt;T3973,T3973,(I3974-MAX(I$470:I3974))/MAX(I$470:I3974))</f>
        <v>-0.91338805338419748</v>
      </c>
      <c r="U3974" s="564">
        <f>IF((J3974-MAX(J$470:J3974))/MAX(J$470:J3974)&gt;U3973,U3973,(J3974-MAX(J$470:J3974))/MAX(J$470:J3974))</f>
        <v>-0.83569785939843477</v>
      </c>
      <c r="V3974" s="564">
        <f>IF((K3974-MAX(K$470:K3974))/MAX(K$470:K3974)&gt;V3973,V3973,(K3974-MAX(K$470:K3974))/MAX(K$470:K3974))</f>
        <v>-0.84885940676762139</v>
      </c>
      <c r="W3974" s="564">
        <f>IF((N3974-MAX(N$470:N3974))/MAX(N$470:N3974)&gt;W3973,W3973,(N3974-MAX(N$470:N3974))/MAX(N$470:N3974))</f>
        <v>-0.62788758315546067</v>
      </c>
      <c r="X3974" s="564">
        <f>IF((O3974-MAX(O$470:O3974))/MAX(O$470:O3974)&gt;X3973,X3973,(O3974-MAX(O$470:O3974))/MAX(O$470:O3974))</f>
        <v>-0.68493333752652275</v>
      </c>
    </row>
    <row r="3975" spans="1:24">
      <c r="A3975" s="799">
        <v>44377</v>
      </c>
      <c r="B3975">
        <v>34226.110640682396</v>
      </c>
      <c r="C3975">
        <v>119632.014228556</v>
      </c>
      <c r="D3975">
        <v>1.8055863346000001</v>
      </c>
      <c r="E3975">
        <f>LN(D3975/参数实验室!$E$53)/参数实验室!$E$55</f>
        <v>4.130647763004089E-3</v>
      </c>
      <c r="F3975">
        <f t="shared" si="568"/>
        <v>3.4953435254298819</v>
      </c>
      <c r="G3975">
        <f>LN(F3975/参数实验室!$E$58)/参数实验室!$E$59</f>
        <v>0.46628894246929004</v>
      </c>
      <c r="H3975" s="856">
        <f>INDEX(神经网络!$G$10:$BO$70,MATCH(ROUND(G3975*2,1)/2,神经网络!$E$10:$E$70,0),MATCH(ROUND(E3975*2,1)/2,神经网络!$G$8:$BO$8,0))</f>
        <v>1.3300419506903416</v>
      </c>
      <c r="I3975">
        <f t="shared" si="560"/>
        <v>4724700.0927728647</v>
      </c>
      <c r="J3975">
        <f t="shared" si="561"/>
        <v>13657.120881322509</v>
      </c>
      <c r="K3975">
        <f t="shared" si="562"/>
        <v>345.9514002863055</v>
      </c>
      <c r="L3975" s="4">
        <f>MIN(MAX(L3974*(1+MAX(MIN(((B3975-B3974)/B3974)/($K$7*卓尔金历!$N$40),0),-卓尔金历!$M$43))+MIN(MAX(((B3975-B3974)/B3974)/($K$7*卓尔金历!$N$40),0),卓尔金历!$M$43),0),1)</f>
        <v>0.15485076715434731</v>
      </c>
      <c r="M3975" s="4">
        <f>MIN(MAX(M3974*(1+MAX(MIN(((B3975-B3974)/B3974)/($K$7*30),0),-卓尔金历!$M$43))+MIN(MAX(((B3975-B3974)/B3974)/($K$7*7),0),卓尔金历!$M$43),0),1)</f>
        <v>0.57742538357717366</v>
      </c>
      <c r="N3975">
        <f t="shared" si="563"/>
        <v>811384.0313336039</v>
      </c>
      <c r="O3975">
        <f t="shared" si="564"/>
        <v>2552617.8105060477</v>
      </c>
      <c r="P3975">
        <f t="shared" si="565"/>
        <v>-5.5314287565218577E-2</v>
      </c>
      <c r="Q3975">
        <f t="shared" si="566"/>
        <v>4.7365618581529739E-2</v>
      </c>
      <c r="R3975">
        <f t="shared" si="567"/>
        <v>4.6771137481595615E-2</v>
      </c>
      <c r="S3975">
        <f t="shared" si="559"/>
        <v>3234.8718095918243</v>
      </c>
      <c r="T3975" s="564">
        <f>IF((I3975-MAX(I$470:I3975))/MAX(I$470:I3975)&gt;T3974,T3974,(I3975-MAX(I$470:I3975))/MAX(I$470:I3975))</f>
        <v>-0.91338805338419748</v>
      </c>
      <c r="U3975" s="564">
        <f>IF((J3975-MAX(J$470:J3975))/MAX(J$470:J3975)&gt;U3974,U3974,(J3975-MAX(J$470:J3975))/MAX(J$470:J3975))</f>
        <v>-0.83569785939843477</v>
      </c>
      <c r="V3975" s="564">
        <f>IF((K3975-MAX(K$470:K3975))/MAX(K$470:K3975)&gt;V3974,V3974,(K3975-MAX(K$470:K3975))/MAX(K$470:K3975))</f>
        <v>-0.84885940676762139</v>
      </c>
      <c r="W3975" s="564">
        <f>IF((N3975-MAX(N$470:N3975))/MAX(N$470:N3975)&gt;W3974,W3974,(N3975-MAX(N$470:N3975))/MAX(N$470:N3975))</f>
        <v>-0.62788758315546067</v>
      </c>
      <c r="X3975" s="564">
        <f>IF((O3975-MAX(O$470:O3975))/MAX(O$470:O3975)&gt;X3974,X3974,(O3975-MAX(O$470:O3975))/MAX(O$470:O3975))</f>
        <v>-0.68493333752652275</v>
      </c>
    </row>
    <row r="3976" spans="1:24">
      <c r="A3976" s="799">
        <v>44378</v>
      </c>
      <c r="B3976">
        <v>33482.5211710617</v>
      </c>
      <c r="C3976">
        <v>124434.91280455999</v>
      </c>
      <c r="D3976">
        <v>1.7273681667</v>
      </c>
      <c r="E3976">
        <f>LN(D3976/参数实验室!$E$53)/参数实验室!$E$55</f>
        <v>-4.8116398601429397E-2</v>
      </c>
      <c r="F3976">
        <f t="shared" si="568"/>
        <v>3.7164140707572133</v>
      </c>
      <c r="G3976">
        <f>LN(F3976/参数实验室!$E$58)/参数实验室!$E$59</f>
        <v>0.49847697210208947</v>
      </c>
      <c r="H3976" s="856">
        <f>INDEX(神经网络!$G$10:$BO$70,MATCH(ROUND(G3976*2,1)/2,神经网络!$E$10:$E$70,0),MATCH(ROUND(E3976*2,1)/2,神经网络!$G$8:$BO$8,0))</f>
        <v>1.2795752121391162</v>
      </c>
      <c r="I3976">
        <f t="shared" si="560"/>
        <v>4588174.1241695667</v>
      </c>
      <c r="J3976">
        <f t="shared" si="561"/>
        <v>13360.409070293143</v>
      </c>
      <c r="K3976">
        <f t="shared" si="562"/>
        <v>343.41569184220322</v>
      </c>
      <c r="L3976" s="4">
        <f>MIN(MAX(L3975*(1+MAX(MIN(((B3976-B3975)/B3975)/($K$7*卓尔金历!$N$40),0),-卓尔金历!$M$43))+MIN(MAX(((B3976-B3975)/B3975)/($K$7*卓尔金历!$N$40),0),卓尔金历!$M$43),0),1)</f>
        <v>0.1034481631329674</v>
      </c>
      <c r="M3976" s="4">
        <f>MIN(MAX(M3975*(1+MAX(MIN(((B3976-B3975)/B3975)/($K$7*30),0),-卓尔金历!$M$43))+MIN(MAX(((B3976-B3975)/B3975)/($K$7*7),0),卓尔金历!$M$43),0),1)</f>
        <v>0.48158740715201909</v>
      </c>
      <c r="N3976">
        <f t="shared" si="563"/>
        <v>807753.41098351381</v>
      </c>
      <c r="O3976">
        <f t="shared" si="564"/>
        <v>2510026.3348924271</v>
      </c>
      <c r="P3976">
        <f t="shared" si="565"/>
        <v>-2.1725795180970363E-2</v>
      </c>
      <c r="Q3976">
        <f t="shared" si="566"/>
        <v>4.7442258653288015E-2</v>
      </c>
      <c r="R3976">
        <f t="shared" si="567"/>
        <v>0.86537187848378616</v>
      </c>
      <c r="S3976">
        <f t="shared" si="559"/>
        <v>3230.49985112484</v>
      </c>
      <c r="T3976" s="564">
        <f>IF((I3976-MAX(I$470:I3976))/MAX(I$470:I3976)&gt;T3975,T3975,(I3976-MAX(I$470:I3976))/MAX(I$470:I3976))</f>
        <v>-0.91338805338419748</v>
      </c>
      <c r="U3976" s="564">
        <f>IF((J3976-MAX(J$470:J3976))/MAX(J$470:J3976)&gt;U3975,U3975,(J3976-MAX(J$470:J3976))/MAX(J$470:J3976))</f>
        <v>-0.83569785939843477</v>
      </c>
      <c r="V3976" s="564">
        <f>IF((K3976-MAX(K$470:K3976))/MAX(K$470:K3976)&gt;V3975,V3975,(K3976-MAX(K$470:K3976))/MAX(K$470:K3976))</f>
        <v>-0.84885940676762139</v>
      </c>
      <c r="W3976" s="564">
        <f>IF((N3976-MAX(N$470:N3976))/MAX(N$470:N3976)&gt;W3975,W3975,(N3976-MAX(N$470:N3976))/MAX(N$470:N3976))</f>
        <v>-0.62788758315546067</v>
      </c>
      <c r="X3976" s="564">
        <f>IF((O3976-MAX(O$470:O3976))/MAX(O$470:O3976)&gt;X3975,X3975,(O3976-MAX(O$470:O3976))/MAX(O$470:O3976))</f>
        <v>-0.68493333752652275</v>
      </c>
    </row>
    <row r="3977" spans="1:24">
      <c r="A3977" s="799">
        <v>44379</v>
      </c>
      <c r="B3977">
        <v>33612.434845860502</v>
      </c>
      <c r="C3977">
        <v>132939.078635193</v>
      </c>
      <c r="D3977">
        <v>1.7461412422</v>
      </c>
      <c r="E3977">
        <f>LN(D3977/参数实验室!$E$53)/参数实验室!$E$55</f>
        <v>-3.5363986120600086E-2</v>
      </c>
      <c r="F3977">
        <f t="shared" si="568"/>
        <v>3.9550564915878135</v>
      </c>
      <c r="G3977">
        <f>LN(F3977/参数实验室!$E$58)/参数实验室!$E$59</f>
        <v>0.53114159980050857</v>
      </c>
      <c r="H3977" s="856">
        <f>INDEX(神经网络!$G$10:$BO$70,MATCH(ROUND(G3977*2,1)/2,神经网络!$E$10:$E$70,0),MATCH(ROUND(E3977*2,1)/2,神经网络!$G$8:$BO$8,0))</f>
        <v>1.3297450015889023</v>
      </c>
      <c r="I3977">
        <f t="shared" si="560"/>
        <v>4610953.5317433299</v>
      </c>
      <c r="J3977">
        <f t="shared" si="561"/>
        <v>13412.248053094627</v>
      </c>
      <c r="K3977">
        <f t="shared" si="562"/>
        <v>343.78677709285569</v>
      </c>
      <c r="L3977" s="4">
        <f>MIN(MAX(L3976*(1+MAX(MIN(((B3977-B3976)/B3976)/($K$7*卓尔金历!$N$40),0),-卓尔金历!$M$43))+MIN(MAX(((B3977-B3976)/B3976)/($K$7*卓尔金历!$N$40),0),卓尔金历!$M$43),0),1)</f>
        <v>0.16273152091708051</v>
      </c>
      <c r="M3977" s="4">
        <f>MIN(MAX(M3976*(1+MAX(MIN(((B3977-B3976)/B3976)/($K$7*30),0),-卓尔金历!$M$43))+MIN(MAX(((B3977-B3976)/B3976)/($K$7*7),0),卓尔金历!$M$43),0),1)</f>
        <v>0.6086231738322615</v>
      </c>
      <c r="N3977">
        <f t="shared" si="563"/>
        <v>808168.27342422272</v>
      </c>
      <c r="O3977">
        <f t="shared" si="564"/>
        <v>2516027.7813259987</v>
      </c>
      <c r="P3977">
        <f t="shared" si="565"/>
        <v>3.8800445801280715E-3</v>
      </c>
      <c r="Q3977">
        <f t="shared" si="566"/>
        <v>4.7462765641600048E-2</v>
      </c>
      <c r="R3977">
        <f t="shared" si="567"/>
        <v>1</v>
      </c>
      <c r="S3977">
        <f t="shared" si="559"/>
        <v>3244.3793899884577</v>
      </c>
      <c r="T3977" s="564">
        <f>IF((I3977-MAX(I$470:I3977))/MAX(I$470:I3977)&gt;T3976,T3976,(I3977-MAX(I$470:I3977))/MAX(I$470:I3977))</f>
        <v>-0.91338805338419748</v>
      </c>
      <c r="U3977" s="564">
        <f>IF((J3977-MAX(J$470:J3977))/MAX(J$470:J3977)&gt;U3976,U3976,(J3977-MAX(J$470:J3977))/MAX(J$470:J3977))</f>
        <v>-0.83569785939843477</v>
      </c>
      <c r="V3977" s="564">
        <f>IF((K3977-MAX(K$470:K3977))/MAX(K$470:K3977)&gt;V3976,V3976,(K3977-MAX(K$470:K3977))/MAX(K$470:K3977))</f>
        <v>-0.84885940676762139</v>
      </c>
      <c r="W3977" s="564">
        <f>IF((N3977-MAX(N$470:N3977))/MAX(N$470:N3977)&gt;W3976,W3976,(N3977-MAX(N$470:N3977))/MAX(N$470:N3977))</f>
        <v>-0.62788758315546067</v>
      </c>
      <c r="X3977" s="564">
        <f>IF((O3977-MAX(O$470:O3977))/MAX(O$470:O3977)&gt;X3976,X3976,(O3977-MAX(O$470:O3977))/MAX(O$470:O3977))</f>
        <v>-0.68493333752652275</v>
      </c>
    </row>
    <row r="3978" spans="1:24">
      <c r="A3978" s="799">
        <v>44380</v>
      </c>
      <c r="B3978">
        <v>34648.668100889503</v>
      </c>
      <c r="C3978">
        <v>135319.84108670501</v>
      </c>
      <c r="D3978">
        <v>1.7874520308999999</v>
      </c>
      <c r="E3978">
        <f>LN(D3978/参数实验室!$E$53)/参数实验室!$E$55</f>
        <v>-7.7780395925708774E-3</v>
      </c>
      <c r="F3978">
        <f t="shared" si="568"/>
        <v>3.9054846406413835</v>
      </c>
      <c r="G3978">
        <f>LN(F3978/参数实验室!$E$58)/参数实验室!$E$59</f>
        <v>0.52452161502277528</v>
      </c>
      <c r="H3978" s="856">
        <f>INDEX(神经网络!$G$10:$BO$70,MATCH(ROUND(G3978*2,1)/2,神经网络!$E$10:$E$70,0),MATCH(ROUND(E3978*2,1)/2,神经网络!$G$8:$BO$8,0))</f>
        <v>1.3736246051634537</v>
      </c>
      <c r="I3978">
        <f t="shared" si="560"/>
        <v>4799977.4077420598</v>
      </c>
      <c r="J3978">
        <f t="shared" si="561"/>
        <v>13825.732453170043</v>
      </c>
      <c r="K3978">
        <f t="shared" si="562"/>
        <v>347.17707897215189</v>
      </c>
      <c r="L3978" s="4">
        <f>MIN(MAX(L3977*(1+MAX(MIN(((B3978-B3977)/B3977)/($K$7*卓尔金历!$N$40),0),-卓尔金历!$M$43))+MIN(MAX(((B3978-B3977)/B3977)/($K$7*卓尔金历!$N$40),0),卓尔金历!$M$43),0),1)</f>
        <v>0.6337670115259082</v>
      </c>
      <c r="M3978" s="4">
        <f>MIN(MAX(M3977*(1+MAX(MIN(((B3978-B3977)/B3977)/($K$7*30),0),-卓尔金历!$M$43))+MIN(MAX(((B3978-B3977)/B3977)/($K$7*7),0),卓尔金历!$M$43),0),1)</f>
        <v>1</v>
      </c>
      <c r="N3978">
        <f t="shared" si="563"/>
        <v>813559.6466729017</v>
      </c>
      <c r="O3978">
        <f t="shared" si="564"/>
        <v>2578803.2314413209</v>
      </c>
      <c r="P3978">
        <f t="shared" si="565"/>
        <v>3.0828866155663732E-2</v>
      </c>
      <c r="Q3978">
        <f t="shared" si="566"/>
        <v>4.7271950298605862E-2</v>
      </c>
      <c r="R3978">
        <f t="shared" si="567"/>
        <v>0.49521710580770861</v>
      </c>
      <c r="S3978">
        <f t="shared" si="559"/>
        <v>3377.3812004131546</v>
      </c>
      <c r="T3978" s="564">
        <f>IF((I3978-MAX(I$470:I3978))/MAX(I$470:I3978)&gt;T3977,T3977,(I3978-MAX(I$470:I3978))/MAX(I$470:I3978))</f>
        <v>-0.91338805338419748</v>
      </c>
      <c r="U3978" s="564">
        <f>IF((J3978-MAX(J$470:J3978))/MAX(J$470:J3978)&gt;U3977,U3977,(J3978-MAX(J$470:J3978))/MAX(J$470:J3978))</f>
        <v>-0.83569785939843477</v>
      </c>
      <c r="V3978" s="564">
        <f>IF((K3978-MAX(K$470:K3978))/MAX(K$470:K3978)&gt;V3977,V3977,(K3978-MAX(K$470:K3978))/MAX(K$470:K3978))</f>
        <v>-0.84885940676762139</v>
      </c>
      <c r="W3978" s="564">
        <f>IF((N3978-MAX(N$470:N3978))/MAX(N$470:N3978)&gt;W3977,W3977,(N3978-MAX(N$470:N3978))/MAX(N$470:N3978))</f>
        <v>-0.62788758315546067</v>
      </c>
      <c r="X3978" s="564">
        <f>IF((O3978-MAX(O$470:O3978))/MAX(O$470:O3978)&gt;X3977,X3977,(O3978-MAX(O$470:O3978))/MAX(O$470:O3978))</f>
        <v>-0.68493333752652275</v>
      </c>
    </row>
    <row r="3979" spans="1:24">
      <c r="A3979" s="799">
        <v>44381</v>
      </c>
      <c r="B3979">
        <v>35542.973169436897</v>
      </c>
      <c r="C3979">
        <v>137267.33051573799</v>
      </c>
      <c r="D3979">
        <v>1.8265447061</v>
      </c>
      <c r="E3979">
        <f>LN(D3979/参数实验室!$E$53)/参数实验室!$E$55</f>
        <v>1.7745784946263197E-2</v>
      </c>
      <c r="F3979">
        <f t="shared" si="568"/>
        <v>3.8620103574726556</v>
      </c>
      <c r="G3979">
        <f>LN(F3979/参数实验室!$E$58)/参数实验室!$E$59</f>
        <v>0.51864638972504107</v>
      </c>
      <c r="H3979" s="856">
        <f>INDEX(神经网络!$G$10:$BO$70,MATCH(ROUND(G3979*2,1)/2,神经网络!$E$10:$E$70,0),MATCH(ROUND(E3979*2,1)/2,神经网络!$G$8:$BO$8,0))</f>
        <v>1.3736246051634537</v>
      </c>
      <c r="I3979">
        <f t="shared" si="560"/>
        <v>4970156.5780833121</v>
      </c>
      <c r="J3979">
        <f t="shared" si="561"/>
        <v>14182.583763392058</v>
      </c>
      <c r="K3979">
        <f t="shared" si="562"/>
        <v>350.44084075231979</v>
      </c>
      <c r="L3979" s="4">
        <f>MIN(MAX(L3978*(1+MAX(MIN(((B3979-B3978)/B3978)/($K$7*卓尔金历!$N$40),0),-卓尔金历!$M$43))+MIN(MAX(((B3979-B3978)/B3978)/($K$7*卓尔金历!$N$40),0),卓尔金历!$M$43),0),1)</f>
        <v>1</v>
      </c>
      <c r="M3979" s="4">
        <f>MIN(MAX(M3978*(1+MAX(MIN(((B3979-B3978)/B3978)/($K$7*30),0),-卓尔金历!$M$43))+MIN(MAX(((B3979-B3978)/B3978)/($K$7*7),0),卓尔金历!$M$43),0),1)</f>
        <v>1</v>
      </c>
      <c r="N3979">
        <f t="shared" si="563"/>
        <v>831840.06953555124</v>
      </c>
      <c r="O3979">
        <f t="shared" si="564"/>
        <v>2670232.5356068308</v>
      </c>
      <c r="P3979">
        <f t="shared" si="565"/>
        <v>2.5810662214875584E-2</v>
      </c>
      <c r="Q3979">
        <f t="shared" si="566"/>
        <v>4.7465014582655916E-2</v>
      </c>
      <c r="R3979">
        <f t="shared" si="567"/>
        <v>0.68527550369889623</v>
      </c>
      <c r="S3979">
        <f t="shared" si="559"/>
        <v>3436.6795939666422</v>
      </c>
      <c r="T3979" s="564">
        <f>IF((I3979-MAX(I$470:I3979))/MAX(I$470:I3979)&gt;T3978,T3978,(I3979-MAX(I$470:I3979))/MAX(I$470:I3979))</f>
        <v>-0.91338805338419748</v>
      </c>
      <c r="U3979" s="564">
        <f>IF((J3979-MAX(J$470:J3979))/MAX(J$470:J3979)&gt;U3978,U3978,(J3979-MAX(J$470:J3979))/MAX(J$470:J3979))</f>
        <v>-0.83569785939843477</v>
      </c>
      <c r="V3979" s="564">
        <f>IF((K3979-MAX(K$470:K3979))/MAX(K$470:K3979)&gt;V3978,V3978,(K3979-MAX(K$470:K3979))/MAX(K$470:K3979))</f>
        <v>-0.84885940676762139</v>
      </c>
      <c r="W3979" s="564">
        <f>IF((N3979-MAX(N$470:N3979))/MAX(N$470:N3979)&gt;W3978,W3978,(N3979-MAX(N$470:N3979))/MAX(N$470:N3979))</f>
        <v>-0.62788758315546067</v>
      </c>
      <c r="X3979" s="564">
        <f>IF((O3979-MAX(O$470:O3979))/MAX(O$470:O3979)&gt;X3978,X3978,(O3979-MAX(O$470:O3979))/MAX(O$470:O3979))</f>
        <v>-0.68493333752652275</v>
      </c>
    </row>
    <row r="3980" spans="1:24">
      <c r="A3980" s="799">
        <v>44382</v>
      </c>
      <c r="B3980">
        <v>33644.914840644597</v>
      </c>
      <c r="C3980">
        <v>137164.693926782</v>
      </c>
      <c r="D3980">
        <v>1.7524922112000001</v>
      </c>
      <c r="E3980">
        <f>LN(D3980/参数实验室!$E$53)/参数实验室!$E$55</f>
        <v>-3.1080836936896478E-2</v>
      </c>
      <c r="F3980">
        <f t="shared" si="568"/>
        <v>4.0768328461060861</v>
      </c>
      <c r="G3980">
        <f>LN(F3980/参数实验室!$E$58)/参数实验室!$E$59</f>
        <v>0.5470580815813999</v>
      </c>
      <c r="H3980" s="856">
        <f>INDEX(神经网络!$G$10:$BO$70,MATCH(ROUND(G3980*2,1)/2,神经网络!$E$10:$E$70,0),MATCH(ROUND(E3980*2,1)/2,神经网络!$G$8:$BO$8,0))</f>
        <v>1.3297450015889023</v>
      </c>
      <c r="I3980">
        <f t="shared" si="560"/>
        <v>4605575.6609122446</v>
      </c>
      <c r="J3980">
        <f t="shared" si="561"/>
        <v>13425.208427694242</v>
      </c>
      <c r="K3980">
        <f t="shared" si="562"/>
        <v>343.05431351155897</v>
      </c>
      <c r="L3980" s="4">
        <f>MIN(MAX(L3979*(1+MAX(MIN(((B3980-B3979)/B3979)/($K$7*卓尔金历!$N$40),0),-卓尔金历!$M$43))+MIN(MAX(((B3980-B3979)/B3979)/($K$7*卓尔金历!$N$40),0),卓尔金历!$M$43),0),1)</f>
        <v>0.18407192061909816</v>
      </c>
      <c r="M3980" s="4">
        <f>MIN(MAX(M3979*(1+MAX(MIN(((B3980-B3979)/B3979)/($K$7*30),0),-卓尔金历!$M$43))+MIN(MAX(((B3980-B3979)/B3979)/($K$7*7),0),卓尔金历!$M$43),0),1)</f>
        <v>0.59203596030954908</v>
      </c>
      <c r="N3980">
        <f t="shared" si="563"/>
        <v>770821.26444835414</v>
      </c>
      <c r="O3980">
        <f t="shared" si="564"/>
        <v>2474360.2704986376</v>
      </c>
      <c r="P3980">
        <f t="shared" si="565"/>
        <v>-5.3401788301278758E-2</v>
      </c>
      <c r="Q3980">
        <f t="shared" si="566"/>
        <v>3.8748661744458464E-2</v>
      </c>
      <c r="R3980">
        <f t="shared" si="567"/>
        <v>3.2240705391488086E-2</v>
      </c>
      <c r="S3980">
        <f t="shared" si="559"/>
        <v>3263.925593129461</v>
      </c>
      <c r="T3980" s="564">
        <f>IF((I3980-MAX(I$470:I3980))/MAX(I$470:I3980)&gt;T3979,T3979,(I3980-MAX(I$470:I3980))/MAX(I$470:I3980))</f>
        <v>-0.91338805338419748</v>
      </c>
      <c r="U3980" s="564">
        <f>IF((J3980-MAX(J$470:J3980))/MAX(J$470:J3980)&gt;U3979,U3979,(J3980-MAX(J$470:J3980))/MAX(J$470:J3980))</f>
        <v>-0.83569785939843477</v>
      </c>
      <c r="V3980" s="564">
        <f>IF((K3980-MAX(K$470:K3980))/MAX(K$470:K3980)&gt;V3979,V3979,(K3980-MAX(K$470:K3980))/MAX(K$470:K3980))</f>
        <v>-0.84885940676762139</v>
      </c>
      <c r="W3980" s="564">
        <f>IF((N3980-MAX(N$470:N3980))/MAX(N$470:N3980)&gt;W3979,W3979,(N3980-MAX(N$470:N3980))/MAX(N$470:N3980))</f>
        <v>-0.62788758315546067</v>
      </c>
      <c r="X3980" s="564">
        <f>IF((O3980-MAX(O$470:O3980))/MAX(O$470:O3980)&gt;X3979,X3979,(O3980-MAX(O$470:O3980))/MAX(O$470:O3980))</f>
        <v>-0.68493333752652275</v>
      </c>
    </row>
    <row r="3981" spans="1:24">
      <c r="A3981" s="799">
        <v>44383</v>
      </c>
      <c r="B3981">
        <v>34072.496082530401</v>
      </c>
      <c r="C3981">
        <v>138163.70624513901</v>
      </c>
      <c r="D3981">
        <v>1.7637857295999999</v>
      </c>
      <c r="E3981">
        <f>LN(D3981/参数实验室!$E$53)/参数实验室!$E$55</f>
        <v>-2.350259027600508E-2</v>
      </c>
      <c r="F3981">
        <f t="shared" si="568"/>
        <v>4.0549922116207417</v>
      </c>
      <c r="G3981">
        <f>LN(F3981/参数实验室!$E$58)/参数实验室!$E$59</f>
        <v>0.54423874575075637</v>
      </c>
      <c r="H3981" s="856">
        <f>INDEX(神经网络!$G$10:$BO$70,MATCH(ROUND(G3981*2,1)/2,神经网络!$E$10:$E$70,0),MATCH(ROUND(E3981*2,1)/2,神经网络!$G$8:$BO$8,0))</f>
        <v>1.4229317649810014</v>
      </c>
      <c r="I3981">
        <f t="shared" si="560"/>
        <v>4683406.4616892114</v>
      </c>
      <c r="J3981">
        <f t="shared" si="561"/>
        <v>13595.82462093705</v>
      </c>
      <c r="K3981">
        <f t="shared" si="562"/>
        <v>344.47388019973016</v>
      </c>
      <c r="L3981" s="4">
        <f>MIN(MAX(L3980*(1+MAX(MIN(((B3981-B3980)/B3980)/($K$7*卓尔金历!$N$40),0),-卓尔金历!$M$43))+MIN(MAX(((B3981-B3980)/B3980)/($K$7*卓尔金历!$N$40),0),卓尔金历!$M$43),0),1)</f>
        <v>0.37824780389701185</v>
      </c>
      <c r="M3981" s="4">
        <f>MIN(MAX(M3980*(1+MAX(MIN(((B3981-B3980)/B3980)/($K$7*30),0),-卓尔金历!$M$43))+MIN(MAX(((B3981-B3980)/B3980)/($K$7*7),0),卓尔金历!$M$43),0),1)</f>
        <v>1</v>
      </c>
      <c r="N3981">
        <f t="shared" si="563"/>
        <v>773219.04154850799</v>
      </c>
      <c r="O3981">
        <f t="shared" si="564"/>
        <v>2499116.1635532142</v>
      </c>
      <c r="P3981">
        <f t="shared" si="565"/>
        <v>1.2708643903870618E-2</v>
      </c>
      <c r="Q3981">
        <f t="shared" si="566"/>
        <v>3.8968014946114508E-2</v>
      </c>
      <c r="R3981">
        <f t="shared" si="567"/>
        <v>1</v>
      </c>
      <c r="S3981">
        <f t="shared" si="559"/>
        <v>3265.7039231592953</v>
      </c>
      <c r="T3981" s="564">
        <f>IF((I3981-MAX(I$470:I3981))/MAX(I$470:I3981)&gt;T3980,T3980,(I3981-MAX(I$470:I3981))/MAX(I$470:I3981))</f>
        <v>-0.91338805338419748</v>
      </c>
      <c r="U3981" s="564">
        <f>IF((J3981-MAX(J$470:J3981))/MAX(J$470:J3981)&gt;U3980,U3980,(J3981-MAX(J$470:J3981))/MAX(J$470:J3981))</f>
        <v>-0.83569785939843477</v>
      </c>
      <c r="V3981" s="564">
        <f>IF((K3981-MAX(K$470:K3981))/MAX(K$470:K3981)&gt;V3980,V3980,(K3981-MAX(K$470:K3981))/MAX(K$470:K3981))</f>
        <v>-0.84885940676762139</v>
      </c>
      <c r="W3981" s="564">
        <f>IF((N3981-MAX(N$470:N3981))/MAX(N$470:N3981)&gt;W3980,W3980,(N3981-MAX(N$470:N3981))/MAX(N$470:N3981))</f>
        <v>-0.62788758315546067</v>
      </c>
      <c r="X3981" s="564">
        <f>IF((O3981-MAX(O$470:O3981))/MAX(O$470:O3981)&gt;X3980,X3980,(O3981-MAX(O$470:O3981))/MAX(O$470:O3981))</f>
        <v>-0.68493333752652275</v>
      </c>
    </row>
    <row r="3982" spans="1:24">
      <c r="A3982" s="799">
        <v>44384</v>
      </c>
      <c r="B3982">
        <v>34536.090493025396</v>
      </c>
      <c r="C3982">
        <v>139417.99218724601</v>
      </c>
      <c r="D3982">
        <v>1.7537965891</v>
      </c>
      <c r="E3982">
        <f>LN(D3982/参数实验室!$E$53)/参数实验室!$E$55</f>
        <v>-3.0203074597555238E-2</v>
      </c>
      <c r="F3982">
        <f t="shared" si="568"/>
        <v>4.0368782394579847</v>
      </c>
      <c r="G3982">
        <f>LN(F3982/参数实验室!$E$58)/参数实验室!$E$59</f>
        <v>0.54188892874273997</v>
      </c>
      <c r="H3982" s="856">
        <f>INDEX(神经网络!$G$10:$BO$70,MATCH(ROUND(G3982*2,1)/2,神经网络!$E$10:$E$70,0),MATCH(ROUND(E3982*2,1)/2,神经网络!$G$8:$BO$8,0))</f>
        <v>1.3297450015889023</v>
      </c>
      <c r="I3982">
        <f t="shared" si="560"/>
        <v>4774079.9170680046</v>
      </c>
      <c r="J3982">
        <f t="shared" si="561"/>
        <v>13780.811018325421</v>
      </c>
      <c r="K3982">
        <f t="shared" si="562"/>
        <v>346.42953239250852</v>
      </c>
      <c r="L3982" s="4">
        <f>MIN(MAX(L3981*(1+MAX(MIN(((B3982-B3981)/B3981)/($K$7*卓尔金历!$N$40),0),-卓尔金历!$M$43))+MIN(MAX(((B3982-B3981)/B3981)/($K$7*卓尔金历!$N$40),0),卓尔金历!$M$43),0),1)</f>
        <v>0.58613623381805657</v>
      </c>
      <c r="M3982" s="4">
        <f>MIN(MAX(M3981*(1+MAX(MIN(((B3982-B3981)/B3981)/($K$7*30),0),-卓尔金历!$M$43))+MIN(MAX(((B3982-B3981)/B3981)/($K$7*7),0),卓尔金历!$M$43),0),1)</f>
        <v>1</v>
      </c>
      <c r="N3982">
        <f t="shared" si="563"/>
        <v>778881.3988588833</v>
      </c>
      <c r="O3982">
        <f t="shared" si="564"/>
        <v>2547500.4965800405</v>
      </c>
      <c r="P3982">
        <f t="shared" si="565"/>
        <v>1.3606118241882762E-2</v>
      </c>
      <c r="Q3982">
        <f t="shared" si="566"/>
        <v>3.8755376035841199E-2</v>
      </c>
      <c r="R3982">
        <f t="shared" si="567"/>
        <v>1</v>
      </c>
      <c r="S3982">
        <f t="shared" si="559"/>
        <v>3328.9298381805875</v>
      </c>
      <c r="T3982" s="564">
        <f>IF((I3982-MAX(I$470:I3982))/MAX(I$470:I3982)&gt;T3981,T3981,(I3982-MAX(I$470:I3982))/MAX(I$470:I3982))</f>
        <v>-0.91338805338419748</v>
      </c>
      <c r="U3982" s="564">
        <f>IF((J3982-MAX(J$470:J3982))/MAX(J$470:J3982)&gt;U3981,U3981,(J3982-MAX(J$470:J3982))/MAX(J$470:J3982))</f>
        <v>-0.83569785939843477</v>
      </c>
      <c r="V3982" s="564">
        <f>IF((K3982-MAX(K$470:K3982))/MAX(K$470:K3982)&gt;V3981,V3981,(K3982-MAX(K$470:K3982))/MAX(K$470:K3982))</f>
        <v>-0.84885940676762139</v>
      </c>
      <c r="W3982" s="564">
        <f>IF((N3982-MAX(N$470:N3982))/MAX(N$470:N3982)&gt;W3981,W3981,(N3982-MAX(N$470:N3982))/MAX(N$470:N3982))</f>
        <v>-0.62788758315546067</v>
      </c>
      <c r="X3982" s="564">
        <f>IF((O3982-MAX(O$470:O3982))/MAX(O$470:O3982)&gt;X3981,X3981,(O3982-MAX(O$470:O3982))/MAX(O$470:O3982))</f>
        <v>-0.68493333752652275</v>
      </c>
    </row>
    <row r="3983" spans="1:24">
      <c r="A3983" s="799">
        <v>44385</v>
      </c>
      <c r="B3983">
        <v>32930.197373048097</v>
      </c>
      <c r="C3983">
        <v>140689.773549234</v>
      </c>
      <c r="D3983">
        <v>1.6979895730000001</v>
      </c>
      <c r="E3983">
        <f>LN(D3983/参数实验室!$E$53)/参数实验室!$E$55</f>
        <v>-6.8353900059397843E-2</v>
      </c>
      <c r="F3983">
        <f t="shared" si="568"/>
        <v>4.272363507434739</v>
      </c>
      <c r="G3983">
        <f>LN(F3983/参数实验室!$E$58)/参数实验室!$E$59</f>
        <v>0.57164579558175366</v>
      </c>
      <c r="H3983" s="856">
        <f>INDEX(神经网络!$G$10:$BO$70,MATCH(ROUND(G3983*2,1)/2,神经网络!$E$10:$E$70,0),MATCH(ROUND(E3983*2,1)/2,神经网络!$G$8:$BO$8,0))</f>
        <v>1.3297450015889023</v>
      </c>
      <c r="I3983">
        <f t="shared" si="560"/>
        <v>4478890.0026464052</v>
      </c>
      <c r="J3983">
        <f t="shared" si="561"/>
        <v>13140.017306990161</v>
      </c>
      <c r="K3983">
        <f t="shared" si="562"/>
        <v>340.8587597722377</v>
      </c>
      <c r="L3983" s="4">
        <f>MIN(MAX(L3982*(1+MAX(MIN(((B3983-B3982)/B3982)/($K$7*卓尔金历!$N$40),0),-卓尔金历!$M$43))+MIN(MAX(((B3983-B3982)/B3982)/($K$7*卓尔金历!$N$40),0),卓尔金历!$M$43),0),1)</f>
        <v>0.1697099706561053</v>
      </c>
      <c r="M3983" s="4">
        <f>MIN(MAX(M3982*(1+MAX(MIN(((B3983-B3982)/B3982)/($K$7*30),0),-卓尔金历!$M$43))+MIN(MAX(((B3983-B3982)/B3982)/($K$7*7),0),卓尔金历!$M$43),0),1)</f>
        <v>0.6447700729492738</v>
      </c>
      <c r="N3983">
        <f t="shared" si="563"/>
        <v>750653.29334859946</v>
      </c>
      <c r="O3983">
        <f t="shared" si="564"/>
        <v>2389983.9768238566</v>
      </c>
      <c r="P3983">
        <f t="shared" si="565"/>
        <v>-4.6498984020835007E-2</v>
      </c>
      <c r="Q3983">
        <f t="shared" si="566"/>
        <v>3.9652622927536511E-2</v>
      </c>
      <c r="R3983">
        <f t="shared" si="567"/>
        <v>3.2582676866152842E-2</v>
      </c>
      <c r="S3983">
        <f t="shared" si="559"/>
        <v>3123.0961422395399</v>
      </c>
      <c r="T3983" s="564">
        <f>IF((I3983-MAX(I$470:I3983))/MAX(I$470:I3983)&gt;T3982,T3982,(I3983-MAX(I$470:I3983))/MAX(I$470:I3983))</f>
        <v>-0.91338805338419748</v>
      </c>
      <c r="U3983" s="564">
        <f>IF((J3983-MAX(J$470:J3983))/MAX(J$470:J3983)&gt;U3982,U3982,(J3983-MAX(J$470:J3983))/MAX(J$470:J3983))</f>
        <v>-0.83569785939843477</v>
      </c>
      <c r="V3983" s="564">
        <f>IF((K3983-MAX(K$470:K3983))/MAX(K$470:K3983)&gt;V3982,V3982,(K3983-MAX(K$470:K3983))/MAX(K$470:K3983))</f>
        <v>-0.84885940676762139</v>
      </c>
      <c r="W3983" s="564">
        <f>IF((N3983-MAX(N$470:N3983))/MAX(N$470:N3983)&gt;W3982,W3982,(N3983-MAX(N$470:N3983))/MAX(N$470:N3983))</f>
        <v>-0.62788758315546067</v>
      </c>
      <c r="X3983" s="564">
        <f>IF((O3983-MAX(O$470:O3983))/MAX(O$470:O3983)&gt;X3982,X3982,(O3983-MAX(O$470:O3983))/MAX(O$470:O3983))</f>
        <v>-0.68649318244588564</v>
      </c>
    </row>
    <row r="3984" spans="1:24">
      <c r="A3984" s="799">
        <v>44386</v>
      </c>
      <c r="B3984">
        <v>33641.508776135801</v>
      </c>
      <c r="C3984">
        <v>140081.63679565801</v>
      </c>
      <c r="D3984">
        <v>1.7540490125999999</v>
      </c>
      <c r="E3984">
        <f>LN(D3984/参数实验室!$E$53)/参数实验室!$E$55</f>
        <v>-3.0033285229773877E-2</v>
      </c>
      <c r="F3984">
        <f t="shared" si="568"/>
        <v>4.163952268841979</v>
      </c>
      <c r="G3984">
        <f>LN(F3984/参数实验室!$E$58)/参数实验室!$E$59</f>
        <v>0.55815573408983721</v>
      </c>
      <c r="H3984" s="856">
        <f>INDEX(神经网络!$G$10:$BO$70,MATCH(ROUND(G3984*2,1)/2,神经网络!$E$10:$E$70,0),MATCH(ROUND(E3984*2,1)/2,神经网络!$G$8:$BO$8,0))</f>
        <v>1.3297450015889023</v>
      </c>
      <c r="I3984">
        <f t="shared" si="560"/>
        <v>4607538.3467148114</v>
      </c>
      <c r="J3984">
        <f t="shared" si="561"/>
        <v>13423.849318118089</v>
      </c>
      <c r="K3984">
        <f t="shared" si="562"/>
        <v>343.23525521819175</v>
      </c>
      <c r="L3984" s="4">
        <f>MIN(MAX(L3983*(1+MAX(MIN(((B3984-B3983)/B3983)/($K$7*卓尔金历!$N$40),0),-卓尔金历!$M$43))+MIN(MAX(((B3984-B3983)/B3983)/($K$7*卓尔金历!$N$40),0),卓尔金历!$M$43),0),1)</f>
        <v>0.49974612323577783</v>
      </c>
      <c r="M3984" s="4">
        <f>MIN(MAX(M3983*(1+MAX(MIN(((B3984-B3983)/B3983)/($K$7*30),0),-卓尔金历!$M$43))+MIN(MAX(((B3984-B3983)/B3983)/($K$7*7),0),卓尔金历!$M$43),0),1)</f>
        <v>1</v>
      </c>
      <c r="N3984">
        <f t="shared" si="563"/>
        <v>754312.4462426526</v>
      </c>
      <c r="O3984">
        <f t="shared" si="564"/>
        <v>2434246.2449341244</v>
      </c>
      <c r="P3984">
        <f t="shared" si="565"/>
        <v>2.160058122426806E-2</v>
      </c>
      <c r="Q3984">
        <f t="shared" si="566"/>
        <v>3.7732527571897073E-2</v>
      </c>
      <c r="R3984">
        <f t="shared" si="567"/>
        <v>0.61957324710635409</v>
      </c>
      <c r="S3984">
        <f t="shared" si="559"/>
        <v>3126.0189881406477</v>
      </c>
      <c r="T3984" s="564">
        <f>IF((I3984-MAX(I$470:I3984))/MAX(I$470:I3984)&gt;T3983,T3983,(I3984-MAX(I$470:I3984))/MAX(I$470:I3984))</f>
        <v>-0.91338805338419748</v>
      </c>
      <c r="U3984" s="564">
        <f>IF((J3984-MAX(J$470:J3984))/MAX(J$470:J3984)&gt;U3983,U3983,(J3984-MAX(J$470:J3984))/MAX(J$470:J3984))</f>
        <v>-0.83569785939843477</v>
      </c>
      <c r="V3984" s="564">
        <f>IF((K3984-MAX(K$470:K3984))/MAX(K$470:K3984)&gt;V3983,V3983,(K3984-MAX(K$470:K3984))/MAX(K$470:K3984))</f>
        <v>-0.84885940676762139</v>
      </c>
      <c r="W3984" s="564">
        <f>IF((N3984-MAX(N$470:N3984))/MAX(N$470:N3984)&gt;W3983,W3983,(N3984-MAX(N$470:N3984))/MAX(N$470:N3984))</f>
        <v>-0.62788758315546067</v>
      </c>
      <c r="X3984" s="564">
        <f>IF((O3984-MAX(O$470:O3984))/MAX(O$470:O3984)&gt;X3983,X3983,(O3984-MAX(O$470:O3984))/MAX(O$470:O3984))</f>
        <v>-0.68649318244588564</v>
      </c>
    </row>
    <row r="3985" spans="1:24">
      <c r="A3985" s="799">
        <v>44387</v>
      </c>
      <c r="B3985">
        <v>33892.211843792997</v>
      </c>
      <c r="C3985">
        <v>134858.16227209999</v>
      </c>
      <c r="D3985">
        <v>1.7385169881</v>
      </c>
      <c r="E3985">
        <f>LN(D3985/参数实验室!$E$53)/参数实验室!$E$55</f>
        <v>-4.0526473954923849E-2</v>
      </c>
      <c r="F3985">
        <f t="shared" si="568"/>
        <v>3.9790310202725188</v>
      </c>
      <c r="G3985">
        <f>LN(F3985/参数实验室!$E$58)/参数实验室!$E$59</f>
        <v>0.53431352513919927</v>
      </c>
      <c r="H3985" s="856">
        <f>INDEX(神经网络!$G$10:$BO$70,MATCH(ROUND(G3985*2,1)/2,神经网络!$E$10:$E$70,0),MATCH(ROUND(E3985*2,1)/2,神经网络!$G$8:$BO$8,0))</f>
        <v>1.3297450015889023</v>
      </c>
      <c r="I3985">
        <f t="shared" si="560"/>
        <v>4653196.8328607138</v>
      </c>
      <c r="J3985">
        <f t="shared" si="561"/>
        <v>13523.88645456803</v>
      </c>
      <c r="K3985">
        <f t="shared" si="562"/>
        <v>344.07245642682699</v>
      </c>
      <c r="L3985" s="4">
        <f>MIN(MAX(L3984*(1+MAX(MIN(((B3985-B3984)/B3984)/($K$7*卓尔金历!$N$40),0),-卓尔金历!$M$43))+MIN(MAX(((B3985-B3984)/B3984)/($K$7*卓尔金历!$N$40),0),卓尔金历!$M$43),0),1)</f>
        <v>0.61360850430658664</v>
      </c>
      <c r="M3985" s="4">
        <f>MIN(MAX(M3984*(1+MAX(MIN(((B3985-B3984)/B3984)/($K$7*30),0),-卓尔金历!$M$43))+MIN(MAX(((B3985-B3984)/B3984)/($K$7*7),0),卓尔金历!$M$43),0),1)</f>
        <v>1</v>
      </c>
      <c r="N3985">
        <f t="shared" si="563"/>
        <v>758047.9850886137</v>
      </c>
      <c r="O3985">
        <f t="shared" si="564"/>
        <v>2458368.4529520534</v>
      </c>
      <c r="P3985">
        <f t="shared" si="565"/>
        <v>7.4521945292488319E-3</v>
      </c>
      <c r="Q3985">
        <f t="shared" si="566"/>
        <v>3.7783958764576769E-2</v>
      </c>
      <c r="R3985">
        <f t="shared" si="567"/>
        <v>1</v>
      </c>
      <c r="S3985">
        <f t="shared" si="559"/>
        <v>3145.2117209833145</v>
      </c>
      <c r="T3985" s="564">
        <f>IF((I3985-MAX(I$470:I3985))/MAX(I$470:I3985)&gt;T3984,T3984,(I3985-MAX(I$470:I3985))/MAX(I$470:I3985))</f>
        <v>-0.91338805338419748</v>
      </c>
      <c r="U3985" s="564">
        <f>IF((J3985-MAX(J$470:J3985))/MAX(J$470:J3985)&gt;U3984,U3984,(J3985-MAX(J$470:J3985))/MAX(J$470:J3985))</f>
        <v>-0.83569785939843477</v>
      </c>
      <c r="V3985" s="564">
        <f>IF((K3985-MAX(K$470:K3985))/MAX(K$470:K3985)&gt;V3984,V3984,(K3985-MAX(K$470:K3985))/MAX(K$470:K3985))</f>
        <v>-0.84885940676762139</v>
      </c>
      <c r="W3985" s="564">
        <f>IF((N3985-MAX(N$470:N3985))/MAX(N$470:N3985)&gt;W3984,W3984,(N3985-MAX(N$470:N3985))/MAX(N$470:N3985))</f>
        <v>-0.62788758315546067</v>
      </c>
      <c r="X3985" s="564">
        <f>IF((O3985-MAX(O$470:O3985))/MAX(O$470:O3985)&gt;X3984,X3984,(O3985-MAX(O$470:O3985))/MAX(O$470:O3985))</f>
        <v>-0.68649318244588564</v>
      </c>
    </row>
    <row r="3986" spans="1:24">
      <c r="A3986" s="799">
        <v>44388</v>
      </c>
      <c r="B3986">
        <v>33958.396896259699</v>
      </c>
      <c r="C3986">
        <v>132524.216243945</v>
      </c>
      <c r="D3986">
        <v>1.7717502433000001</v>
      </c>
      <c r="E3986">
        <f>LN(D3986/参数实验室!$E$53)/参数实验室!$E$55</f>
        <v>-1.818731313530976E-2</v>
      </c>
      <c r="F3986">
        <f t="shared" ref="F3986:F4049" si="569">C3986/B3986</f>
        <v>3.9025463024298919</v>
      </c>
      <c r="G3986">
        <f>LN(F3986/参数实验室!$E$58)/参数实验室!$E$59</f>
        <v>0.52412658616741137</v>
      </c>
      <c r="H3986" s="856">
        <f>INDEX(神经网络!$G$10:$BO$70,MATCH(ROUND(G3986*2,1)/2,神经网络!$E$10:$E$70,0),MATCH(ROUND(E3986*2,1)/2,神经网络!$G$8:$BO$8,0))</f>
        <v>1.3736246051634537</v>
      </c>
      <c r="I3986">
        <f t="shared" ref="I3986:I4049" si="570">I3985*(1+(B3986-B3985)/B3985*H3985)</f>
        <v>4665279.9725291999</v>
      </c>
      <c r="J3986">
        <f t="shared" ref="J3986:J4049" si="571">J3985*B3986/B3985</f>
        <v>13550.296036175589</v>
      </c>
      <c r="K3986">
        <f t="shared" ref="K3986:K4049" si="572">I3986/J3986</f>
        <v>344.29358296484276</v>
      </c>
      <c r="L3986" s="4">
        <f>MIN(MAX(L3985*(1+MAX(MIN(((B3986-B3985)/B3985)/($K$7*卓尔金历!$N$40),0),-卓尔金历!$M$43))+MIN(MAX(((B3986-B3985)/B3985)/($K$7*卓尔金历!$N$40),0),卓尔金历!$M$43),0),1)</f>
        <v>0.64344556815206233</v>
      </c>
      <c r="M3986" s="4">
        <f>MIN(MAX(M3985*(1+MAX(MIN(((B3986-B3985)/B3985)/($K$7*30),0),-卓尔金历!$M$43))+MIN(MAX(((B3986-B3985)/B3985)/($K$7*7),0),卓尔金历!$M$43),0),1)</f>
        <v>1</v>
      </c>
      <c r="N3986">
        <f t="shared" ref="N3986:N4049" si="573">N3985*(1+(B3986-B3985)/B3985*H3985*L3985)</f>
        <v>759255.84464433568</v>
      </c>
      <c r="O3986">
        <f t="shared" ref="O3986:O4049" si="574">O3985*(1+(B3986-B3985)/B3985*H3985*M3985)</f>
        <v>2464752.1952351751</v>
      </c>
      <c r="P3986">
        <f t="shared" ref="P3986:P4049" si="575">(B3986-B3985)/B3985</f>
        <v>1.9528100665647046E-3</v>
      </c>
      <c r="Q3986">
        <f t="shared" ref="Q3986:Q4049" si="576">STDEVP(P3966:P3986)</f>
        <v>3.651675698455862E-2</v>
      </c>
      <c r="R3986">
        <f t="shared" ref="R3986:R4049" si="577">MIN(Q3985*MAX(1-LN(MAX(ABS(P3986),0.0001)/Q3986),0)+MAX(-LN(MAX(ABS(P3986),0.0001)/Q3986),0),1)</f>
        <v>1</v>
      </c>
      <c r="S3986">
        <f t="shared" ref="S3986:S4049" si="578">S3985*(1+(B3986-B3985)/B3985*H3985*R3985)</f>
        <v>3153.3790162593746</v>
      </c>
      <c r="T3986" s="564">
        <f>IF((I3986-MAX(I$470:I3986))/MAX(I$470:I3986)&gt;T3985,T3985,(I3986-MAX(I$470:I3986))/MAX(I$470:I3986))</f>
        <v>-0.91338805338419748</v>
      </c>
      <c r="U3986" s="564">
        <f>IF((J3986-MAX(J$470:J3986))/MAX(J$470:J3986)&gt;U3985,U3985,(J3986-MAX(J$470:J3986))/MAX(J$470:J3986))</f>
        <v>-0.83569785939843477</v>
      </c>
      <c r="V3986" s="564">
        <f>IF((K3986-MAX(K$470:K3986))/MAX(K$470:K3986)&gt;V3985,V3985,(K3986-MAX(K$470:K3986))/MAX(K$470:K3986))</f>
        <v>-0.84885940676762139</v>
      </c>
      <c r="W3986" s="564">
        <f>IF((N3986-MAX(N$470:N3986))/MAX(N$470:N3986)&gt;W3985,W3985,(N3986-MAX(N$470:N3986))/MAX(N$470:N3986))</f>
        <v>-0.62788758315546067</v>
      </c>
      <c r="X3986" s="564">
        <f>IF((O3986-MAX(O$470:O3986))/MAX(O$470:O3986)&gt;X3985,X3985,(O3986-MAX(O$470:O3986))/MAX(O$470:O3986))</f>
        <v>-0.68649318244588564</v>
      </c>
    </row>
    <row r="3987" spans="1:24">
      <c r="A3987" s="799">
        <v>44389</v>
      </c>
      <c r="B3987">
        <v>33404.441541995897</v>
      </c>
      <c r="C3987">
        <v>133241.69017853099</v>
      </c>
      <c r="D3987">
        <v>1.7131165062</v>
      </c>
      <c r="E3987">
        <f>LN(D3987/参数实验室!$E$53)/参数实验室!$E$55</f>
        <v>-5.7890334818913959E-2</v>
      </c>
      <c r="F3987">
        <f t="shared" si="569"/>
        <v>3.9887417369639366</v>
      </c>
      <c r="G3987">
        <f>LN(F3987/参数实验室!$E$58)/参数实验室!$E$59</f>
        <v>0.53559285666520173</v>
      </c>
      <c r="H3987" s="856">
        <f>INDEX(神经网络!$G$10:$BO$70,MATCH(ROUND(G3987*2,1)/2,神经网络!$E$10:$E$70,0),MATCH(ROUND(E3987*2,1)/2,神经网络!$G$8:$BO$8,0))</f>
        <v>1.3297450015889023</v>
      </c>
      <c r="I3987">
        <f t="shared" si="570"/>
        <v>4560742.1721373871</v>
      </c>
      <c r="J3987">
        <f t="shared" si="571"/>
        <v>13329.253238895431</v>
      </c>
      <c r="K3987">
        <f t="shared" si="572"/>
        <v>342.16036640589226</v>
      </c>
      <c r="L3987" s="4">
        <f>MIN(MAX(L3986*(1+MAX(MIN(((B3987-B3986)/B3986)/($K$7*卓尔金历!$N$40),0),-卓尔金历!$M$43))+MIN(MAX(((B3987-B3986)/B3986)/($K$7*卓尔金历!$N$40),0),卓尔金历!$M$43),0),1)</f>
        <v>0.48307100852796958</v>
      </c>
      <c r="M3987" s="4">
        <f>MIN(MAX(M3986*(1+MAX(MIN(((B3987-B3986)/B3986)/($K$7*30),0),-卓尔金历!$M$43))+MIN(MAX(((B3987-B3986)/B3986)/($K$7*7),0),卓尔金历!$M$43),0),1)</f>
        <v>0.87537830116331439</v>
      </c>
      <c r="N3987">
        <f t="shared" si="573"/>
        <v>748308.83240340394</v>
      </c>
      <c r="O3987">
        <f t="shared" si="574"/>
        <v>2409522.9754417292</v>
      </c>
      <c r="P3987">
        <f t="shared" si="575"/>
        <v>-1.6312765174283504E-2</v>
      </c>
      <c r="Q3987">
        <f t="shared" si="576"/>
        <v>3.5015985537707163E-2</v>
      </c>
      <c r="R3987">
        <f t="shared" si="577"/>
        <v>0.82826707417350087</v>
      </c>
      <c r="S3987">
        <f t="shared" si="578"/>
        <v>3082.71931135366</v>
      </c>
      <c r="T3987" s="564">
        <f>IF((I3987-MAX(I$470:I3987))/MAX(I$470:I3987)&gt;T3986,T3986,(I3987-MAX(I$470:I3987))/MAX(I$470:I3987))</f>
        <v>-0.91338805338419748</v>
      </c>
      <c r="U3987" s="564">
        <f>IF((J3987-MAX(J$470:J3987))/MAX(J$470:J3987)&gt;U3986,U3986,(J3987-MAX(J$470:J3987))/MAX(J$470:J3987))</f>
        <v>-0.83569785939843477</v>
      </c>
      <c r="V3987" s="564">
        <f>IF((K3987-MAX(K$470:K3987))/MAX(K$470:K3987)&gt;V3986,V3986,(K3987-MAX(K$470:K3987))/MAX(K$470:K3987))</f>
        <v>-0.84885940676762139</v>
      </c>
      <c r="W3987" s="564">
        <f>IF((N3987-MAX(N$470:N3987))/MAX(N$470:N3987)&gt;W3986,W3986,(N3987-MAX(N$470:N3987))/MAX(N$470:N3987))</f>
        <v>-0.62788758315546067</v>
      </c>
      <c r="X3987" s="564">
        <f>IF((O3987-MAX(O$470:O3987))/MAX(O$470:O3987)&gt;X3986,X3986,(O3987-MAX(O$470:O3987))/MAX(O$470:O3987))</f>
        <v>-0.68649318244588564</v>
      </c>
    </row>
    <row r="3988" spans="1:24">
      <c r="A3988" s="799">
        <v>44390</v>
      </c>
      <c r="B3988">
        <v>32788.8361802461</v>
      </c>
      <c r="C3988">
        <v>132793.65622361301</v>
      </c>
      <c r="D3988">
        <v>1.6888114697000001</v>
      </c>
      <c r="E3988">
        <f>LN(D3988/参数实验室!$E$53)/参数实验室!$E$55</f>
        <v>-7.4748089450274058E-2</v>
      </c>
      <c r="F3988">
        <f t="shared" si="569"/>
        <v>4.0499655277065196</v>
      </c>
      <c r="G3988">
        <f>LN(F3988/参数实验室!$E$58)/参数实验室!$E$59</f>
        <v>0.54358771812080631</v>
      </c>
      <c r="H3988" s="856">
        <f>INDEX(神经网络!$G$10:$BO$70,MATCH(ROUND(G3988*2,1)/2,神经网络!$E$10:$E$70,0),MATCH(ROUND(E3988*2,1)/2,神经网络!$G$8:$BO$8,0))</f>
        <v>1.3297450015889023</v>
      </c>
      <c r="I3988">
        <f t="shared" si="570"/>
        <v>4448978.1388266413</v>
      </c>
      <c r="J3988">
        <f t="shared" si="571"/>
        <v>13083.610462569748</v>
      </c>
      <c r="K3988">
        <f t="shared" si="572"/>
        <v>340.04208177509582</v>
      </c>
      <c r="L3988" s="4">
        <f>MIN(MAX(L3987*(1+MAX(MIN(((B3988-B3987)/B3987)/($K$7*卓尔金历!$N$40),0),-卓尔金历!$M$43))+MIN(MAX(((B3988-B3987)/B3987)/($K$7*卓尔金历!$N$40),0),卓尔金历!$M$43),0),1)</f>
        <v>0.34705023799197376</v>
      </c>
      <c r="M3988" s="4">
        <f>MIN(MAX(M3987*(1+MAX(MIN(((B3988-B3987)/B3987)/($K$7*30),0),-卓尔金历!$M$43))+MIN(MAX(((B3988-B3987)/B3987)/($K$7*7),0),卓尔金历!$M$43),0),1)</f>
        <v>0.75213593209881802</v>
      </c>
      <c r="N3988">
        <f t="shared" si="573"/>
        <v>739450.36910655163</v>
      </c>
      <c r="O3988">
        <f t="shared" si="574"/>
        <v>2357834.5391784054</v>
      </c>
      <c r="P3988">
        <f t="shared" si="575"/>
        <v>-1.8428847582315076E-2</v>
      </c>
      <c r="Q3988">
        <f t="shared" si="576"/>
        <v>3.44657739098196E-2</v>
      </c>
      <c r="R3988">
        <f t="shared" si="577"/>
        <v>0.68298725760609003</v>
      </c>
      <c r="S3988">
        <f t="shared" si="578"/>
        <v>3020.1486241124026</v>
      </c>
      <c r="T3988" s="564">
        <f>IF((I3988-MAX(I$470:I3988))/MAX(I$470:I3988)&gt;T3987,T3987,(I3988-MAX(I$470:I3988))/MAX(I$470:I3988))</f>
        <v>-0.91338805338419748</v>
      </c>
      <c r="U3988" s="564">
        <f>IF((J3988-MAX(J$470:J3988))/MAX(J$470:J3988)&gt;U3987,U3987,(J3988-MAX(J$470:J3988))/MAX(J$470:J3988))</f>
        <v>-0.83569785939843477</v>
      </c>
      <c r="V3988" s="564">
        <f>IF((K3988-MAX(K$470:K3988))/MAX(K$470:K3988)&gt;V3987,V3987,(K3988-MAX(K$470:K3988))/MAX(K$470:K3988))</f>
        <v>-0.84885940676762139</v>
      </c>
      <c r="W3988" s="564">
        <f>IF((N3988-MAX(N$470:N3988))/MAX(N$470:N3988)&gt;W3987,W3987,(N3988-MAX(N$470:N3988))/MAX(N$470:N3988))</f>
        <v>-0.62788758315546067</v>
      </c>
      <c r="X3988" s="564">
        <f>IF((O3988-MAX(O$470:O3988))/MAX(O$470:O3988)&gt;X3987,X3987,(O3988-MAX(O$470:O3988))/MAX(O$470:O3988))</f>
        <v>-0.69071039393354372</v>
      </c>
    </row>
    <row r="3989" spans="1:24">
      <c r="A3989" s="799">
        <v>44391</v>
      </c>
      <c r="B3989">
        <v>32819.423601466297</v>
      </c>
      <c r="C3989">
        <v>128820.682063421</v>
      </c>
      <c r="D3989">
        <v>1.6979349673999999</v>
      </c>
      <c r="E3989">
        <f>LN(D3989/参数实验室!$E$53)/参数实验室!$E$55</f>
        <v>-6.8391840321602351E-2</v>
      </c>
      <c r="F3989">
        <f t="shared" si="569"/>
        <v>3.9251354206496663</v>
      </c>
      <c r="G3989">
        <f>LN(F3989/参数实验室!$E$58)/参数实验室!$E$59</f>
        <v>0.52715584140759064</v>
      </c>
      <c r="H3989" s="856">
        <f>INDEX(神经网络!$G$10:$BO$70,MATCH(ROUND(G3989*2,1)/2,神经网络!$E$10:$E$70,0),MATCH(ROUND(E3989*2,1)/2,神经网络!$G$8:$BO$8,0))</f>
        <v>1.3297450015889023</v>
      </c>
      <c r="I3989">
        <f t="shared" si="570"/>
        <v>4454496.9495583409</v>
      </c>
      <c r="J3989">
        <f t="shared" si="571"/>
        <v>13095.815650399521</v>
      </c>
      <c r="K3989">
        <f t="shared" si="572"/>
        <v>340.14658334186652</v>
      </c>
      <c r="L3989" s="4">
        <f>MIN(MAX(L3988*(1+MAX(MIN(((B3989-B3988)/B3988)/($K$7*卓尔金历!$N$40),0),-卓尔金历!$M$43))+MIN(MAX(((B3989-B3988)/B3988)/($K$7*卓尔金历!$N$40),0),卓尔金历!$M$43),0),1)</f>
        <v>0.36130345640824102</v>
      </c>
      <c r="M3989" s="4">
        <f>MIN(MAX(M3988*(1+MAX(MIN(((B3989-B3988)/B3988)/($K$7*30),0),-卓尔金历!$M$43))+MIN(MAX(((B3989-B3988)/B3988)/($K$7*7),0),卓尔金历!$M$43),0),1)</f>
        <v>0.78267854299081929</v>
      </c>
      <c r="N3989">
        <f t="shared" si="573"/>
        <v>739768.70572967338</v>
      </c>
      <c r="O3989">
        <f t="shared" si="574"/>
        <v>2360034.3984061065</v>
      </c>
      <c r="P3989">
        <f t="shared" si="575"/>
        <v>9.3286083873339056E-4</v>
      </c>
      <c r="Q3989">
        <f t="shared" si="576"/>
        <v>3.1872954054890053E-2</v>
      </c>
      <c r="R3989">
        <f t="shared" si="577"/>
        <v>1</v>
      </c>
      <c r="S3989">
        <f t="shared" si="578"/>
        <v>3022.7073640340427</v>
      </c>
      <c r="T3989" s="564">
        <f>IF((I3989-MAX(I$470:I3989))/MAX(I$470:I3989)&gt;T3988,T3988,(I3989-MAX(I$470:I3989))/MAX(I$470:I3989))</f>
        <v>-0.91338805338419748</v>
      </c>
      <c r="U3989" s="564">
        <f>IF((J3989-MAX(J$470:J3989))/MAX(J$470:J3989)&gt;U3988,U3988,(J3989-MAX(J$470:J3989))/MAX(J$470:J3989))</f>
        <v>-0.83569785939843477</v>
      </c>
      <c r="V3989" s="564">
        <f>IF((K3989-MAX(K$470:K3989))/MAX(K$470:K3989)&gt;V3988,V3988,(K3989-MAX(K$470:K3989))/MAX(K$470:K3989))</f>
        <v>-0.84885940676762139</v>
      </c>
      <c r="W3989" s="564">
        <f>IF((N3989-MAX(N$470:N3989))/MAX(N$470:N3989)&gt;W3988,W3988,(N3989-MAX(N$470:N3989))/MAX(N$470:N3989))</f>
        <v>-0.62788758315546067</v>
      </c>
      <c r="X3989" s="564">
        <f>IF((O3989-MAX(O$470:O3989))/MAX(O$470:O3989)&gt;X3988,X3988,(O3989-MAX(O$470:O3989))/MAX(O$470:O3989))</f>
        <v>-0.69071039393354372</v>
      </c>
    </row>
    <row r="3990" spans="1:24">
      <c r="A3990" s="799">
        <v>44392</v>
      </c>
      <c r="B3990">
        <v>31735.927122905701</v>
      </c>
      <c r="C3990">
        <v>129174.388582596</v>
      </c>
      <c r="D3990">
        <v>1.6436491644</v>
      </c>
      <c r="E3990">
        <f>LN(D3990/参数实验室!$E$53)/参数实验室!$E$55</f>
        <v>-0.10672664480284559</v>
      </c>
      <c r="F3990">
        <f t="shared" si="569"/>
        <v>4.0702887954819884</v>
      </c>
      <c r="G3990">
        <f>LN(F3990/参数实验室!$E$58)/参数实验室!$E$59</f>
        <v>0.54621491946403977</v>
      </c>
      <c r="H3990" s="856">
        <f>INDEX(神经网络!$G$10:$BO$70,MATCH(ROUND(G3990*2,1)/2,神经网络!$E$10:$E$70,0),MATCH(ROUND(E3990*2,1)/2,神经网络!$G$8:$BO$8,0))</f>
        <v>1.2356026702570968</v>
      </c>
      <c r="I3990">
        <f t="shared" si="570"/>
        <v>4258944.352887244</v>
      </c>
      <c r="J3990">
        <f t="shared" si="571"/>
        <v>12663.471977537069</v>
      </c>
      <c r="K3990">
        <f t="shared" si="572"/>
        <v>336.31727226481928</v>
      </c>
      <c r="L3990" s="4">
        <f>MIN(MAX(L3989*(1+MAX(MIN(((B3990-B3989)/B3989)/($K$7*卓尔金历!$N$40),0),-卓尔金历!$M$43))+MIN(MAX(((B3990-B3989)/B3989)/($K$7*卓尔金历!$N$40),0),卓尔金历!$M$43),0),1)</f>
        <v>0.17905462617267762</v>
      </c>
      <c r="M3990" s="4">
        <f>MIN(MAX(M3989*(1+MAX(MIN(((B3990-B3989)/B3989)/($K$7*30),0),-卓尔金历!$M$43))+MIN(MAX(((B3990-B3989)/B3989)/($K$7*7),0),卓尔金历!$M$43),0),1)</f>
        <v>0.58527903520783975</v>
      </c>
      <c r="N3990">
        <f t="shared" si="573"/>
        <v>728035.05941892113</v>
      </c>
      <c r="O3990">
        <f t="shared" si="574"/>
        <v>2278944.5138395564</v>
      </c>
      <c r="P3990">
        <f t="shared" si="575"/>
        <v>-3.3013878967459595E-2</v>
      </c>
      <c r="Q3990">
        <f t="shared" si="576"/>
        <v>3.2491659556594672E-2</v>
      </c>
      <c r="R3990">
        <f t="shared" si="577"/>
        <v>3.1364751899920898E-2</v>
      </c>
      <c r="S3990">
        <f t="shared" si="578"/>
        <v>2890.0103882122698</v>
      </c>
      <c r="T3990" s="564">
        <f>IF((I3990-MAX(I$470:I3990))/MAX(I$470:I3990)&gt;T3989,T3989,(I3990-MAX(I$470:I3990))/MAX(I$470:I3990))</f>
        <v>-0.91338805338419748</v>
      </c>
      <c r="U3990" s="564">
        <f>IF((J3990-MAX(J$470:J3990))/MAX(J$470:J3990)&gt;U3989,U3989,(J3990-MAX(J$470:J3990))/MAX(J$470:J3990))</f>
        <v>-0.83569785939843477</v>
      </c>
      <c r="V3990" s="564">
        <f>IF((K3990-MAX(K$470:K3990))/MAX(K$470:K3990)&gt;V3989,V3989,(K3990-MAX(K$470:K3990))/MAX(K$470:K3990))</f>
        <v>-0.84885940676762139</v>
      </c>
      <c r="W3990" s="564">
        <f>IF((N3990-MAX(N$470:N3990))/MAX(N$470:N3990)&gt;W3989,W3989,(N3990-MAX(N$470:N3990))/MAX(N$470:N3990))</f>
        <v>-0.62788758315546067</v>
      </c>
      <c r="X3990" s="564">
        <f>IF((O3990-MAX(O$470:O3990))/MAX(O$470:O3990)&gt;X3989,X3989,(O3990-MAX(O$470:O3990))/MAX(O$470:O3990))</f>
        <v>-0.70105881510313417</v>
      </c>
    </row>
    <row r="3991" spans="1:24">
      <c r="A3991" s="799">
        <v>44393</v>
      </c>
      <c r="B3991">
        <v>32132.772913037599</v>
      </c>
      <c r="C3991">
        <v>126209.29575729099</v>
      </c>
      <c r="D3991">
        <v>1.6322145257</v>
      </c>
      <c r="E3991">
        <f>LN(D3991/参数实验室!$E$53)/参数实验室!$E$55</f>
        <v>-0.11496270598522398</v>
      </c>
      <c r="F3991">
        <f t="shared" si="569"/>
        <v>3.9277436808474953</v>
      </c>
      <c r="G3991">
        <f>LN(F3991/参数实验室!$E$58)/参数实验室!$E$59</f>
        <v>0.52750449212356021</v>
      </c>
      <c r="H3991" s="856">
        <f>INDEX(神经网络!$G$10:$BO$70,MATCH(ROUND(G3991*2,1)/2,神经网络!$E$10:$E$70,0),MATCH(ROUND(E3991*2,1)/2,神经网络!$G$8:$BO$8,0))</f>
        <v>1.2356026702570968</v>
      </c>
      <c r="I3991">
        <f t="shared" si="570"/>
        <v>4324748.2161404816</v>
      </c>
      <c r="J3991">
        <f t="shared" si="571"/>
        <v>12821.823914862754</v>
      </c>
      <c r="K3991">
        <f t="shared" si="572"/>
        <v>337.29586717591218</v>
      </c>
      <c r="L3991" s="4">
        <f>MIN(MAX(L3990*(1+MAX(MIN(((B3991-B3990)/B3990)/($K$7*卓尔金历!$N$40),0),-卓尔金历!$M$43))+MIN(MAX(((B3991-B3990)/B3990)/($K$7*卓尔金历!$N$40),0),卓尔金历!$M$43),0),1)</f>
        <v>0.37011325903747749</v>
      </c>
      <c r="M3991" s="4">
        <f>MIN(MAX(M3990*(1+MAX(MIN(((B3991-B3990)/B3990)/($K$7*30),0),-卓尔金历!$M$43))+MIN(MAX(((B3991-B3990)/B3990)/($K$7*7),0),卓尔金历!$M$43),0),1)</f>
        <v>0.99469039134669668</v>
      </c>
      <c r="N3991">
        <f t="shared" si="573"/>
        <v>730049.18833985087</v>
      </c>
      <c r="O3991">
        <f t="shared" si="574"/>
        <v>2299553.0025578709</v>
      </c>
      <c r="P3991">
        <f t="shared" si="575"/>
        <v>1.2504622555849986E-2</v>
      </c>
      <c r="Q3991">
        <f t="shared" si="576"/>
        <v>3.1496128151513279E-2</v>
      </c>
      <c r="R3991">
        <f t="shared" si="577"/>
        <v>0.98627259983912463</v>
      </c>
      <c r="S3991">
        <f t="shared" si="578"/>
        <v>2891.4109126329395</v>
      </c>
      <c r="T3991" s="564">
        <f>IF((I3991-MAX(I$470:I3991))/MAX(I$470:I3991)&gt;T3990,T3990,(I3991-MAX(I$470:I3991))/MAX(I$470:I3991))</f>
        <v>-0.91338805338419748</v>
      </c>
      <c r="U3991" s="564">
        <f>IF((J3991-MAX(J$470:J3991))/MAX(J$470:J3991)&gt;U3990,U3990,(J3991-MAX(J$470:J3991))/MAX(J$470:J3991))</f>
        <v>-0.83569785939843477</v>
      </c>
      <c r="V3991" s="564">
        <f>IF((K3991-MAX(K$470:K3991))/MAX(K$470:K3991)&gt;V3990,V3990,(K3991-MAX(K$470:K3991))/MAX(K$470:K3991))</f>
        <v>-0.84885940676762139</v>
      </c>
      <c r="W3991" s="564">
        <f>IF((N3991-MAX(N$470:N3991))/MAX(N$470:N3991)&gt;W3990,W3990,(N3991-MAX(N$470:N3991))/MAX(N$470:N3991))</f>
        <v>-0.62788758315546067</v>
      </c>
      <c r="X3991" s="564">
        <f>IF((O3991-MAX(O$470:O3991))/MAX(O$470:O3991)&gt;X3990,X3990,(O3991-MAX(O$470:O3991))/MAX(O$470:O3991))</f>
        <v>-0.70105881510313417</v>
      </c>
    </row>
    <row r="3992" spans="1:24">
      <c r="A3992" s="799">
        <v>44394</v>
      </c>
      <c r="B3992">
        <v>31762.0378527512</v>
      </c>
      <c r="C3992">
        <v>124823.42663303899</v>
      </c>
      <c r="D3992">
        <v>1.6304004029000001</v>
      </c>
      <c r="E3992">
        <f>LN(D3992/参数实验室!$E$53)/参数实验室!$E$55</f>
        <v>-0.11627467048343597</v>
      </c>
      <c r="F3992">
        <f t="shared" si="569"/>
        <v>3.9299564848993747</v>
      </c>
      <c r="G3992">
        <f>LN(F3992/参数实验室!$E$58)/参数实验室!$E$59</f>
        <v>0.52780010003920452</v>
      </c>
      <c r="H3992" s="856">
        <f>INDEX(神经网络!$G$10:$BO$70,MATCH(ROUND(G3992*2,1)/2,神经网络!$E$10:$E$70,0),MATCH(ROUND(E3992*2,1)/2,神经网络!$G$8:$BO$8,0))</f>
        <v>1.2356026702570968</v>
      </c>
      <c r="I3992">
        <f t="shared" si="570"/>
        <v>4263095.0874301754</v>
      </c>
      <c r="J3992">
        <f t="shared" si="571"/>
        <v>12673.890847432725</v>
      </c>
      <c r="K3992">
        <f t="shared" si="572"/>
        <v>336.36829752985642</v>
      </c>
      <c r="L3992" s="4">
        <f>MIN(MAX(L3991*(1+MAX(MIN(((B3992-B3991)/B3991)/($K$7*卓尔金历!$N$40),0),-卓尔金历!$M$43))+MIN(MAX(((B3992-B3991)/B3991)/($K$7*卓尔金历!$N$40),0),卓尔金历!$M$43),0),1)</f>
        <v>0.30486841815465759</v>
      </c>
      <c r="M3992" s="4">
        <f>MIN(MAX(M3991*(1+MAX(MIN(((B3992-B3991)/B3991)/($K$7*30),0),-卓尔金历!$M$43))+MIN(MAX(((B3992-B3991)/B3991)/($K$7*7),0),卓尔金历!$M$43),0),1)</f>
        <v>0.90701666617421706</v>
      </c>
      <c r="N3992">
        <f t="shared" si="573"/>
        <v>726197.2346380027</v>
      </c>
      <c r="O3992">
        <f t="shared" si="574"/>
        <v>2266944.8916681227</v>
      </c>
      <c r="P3992">
        <f t="shared" si="575"/>
        <v>-1.1537599362798108E-2</v>
      </c>
      <c r="Q3992">
        <f t="shared" si="576"/>
        <v>3.0788703769071883E-2</v>
      </c>
      <c r="R3992">
        <f t="shared" si="577"/>
        <v>1</v>
      </c>
      <c r="S3992">
        <f t="shared" si="578"/>
        <v>2850.757119200844</v>
      </c>
      <c r="T3992" s="564">
        <f>IF((I3992-MAX(I$470:I3992))/MAX(I$470:I3992)&gt;T3991,T3991,(I3992-MAX(I$470:I3992))/MAX(I$470:I3992))</f>
        <v>-0.91338805338419748</v>
      </c>
      <c r="U3992" s="564">
        <f>IF((J3992-MAX(J$470:J3992))/MAX(J$470:J3992)&gt;U3991,U3991,(J3992-MAX(J$470:J3992))/MAX(J$470:J3992))</f>
        <v>-0.83569785939843477</v>
      </c>
      <c r="V3992" s="564">
        <f>IF((K3992-MAX(K$470:K3992))/MAX(K$470:K3992)&gt;V3991,V3991,(K3992-MAX(K$470:K3992))/MAX(K$470:K3992))</f>
        <v>-0.84885940676762139</v>
      </c>
      <c r="W3992" s="564">
        <f>IF((N3992-MAX(N$470:N3992))/MAX(N$470:N3992)&gt;W3991,W3991,(N3992-MAX(N$470:N3992))/MAX(N$470:N3992))</f>
        <v>-0.62788758315546067</v>
      </c>
      <c r="X3992" s="564">
        <f>IF((O3992-MAX(O$470:O3992))/MAX(O$470:O3992)&gt;X3991,X3991,(O3992-MAX(O$470:O3992))/MAX(O$470:O3992))</f>
        <v>-0.70263286890236398</v>
      </c>
    </row>
    <row r="3993" spans="1:24">
      <c r="A3993" s="799">
        <v>44395</v>
      </c>
      <c r="B3993">
        <v>31401.289486095699</v>
      </c>
      <c r="C3993">
        <v>122721.084484684</v>
      </c>
      <c r="D3993">
        <v>1.6392582201000001</v>
      </c>
      <c r="E3993">
        <f>LN(D3993/参数实验室!$E$53)/参数实验室!$E$55</f>
        <v>-0.10988252662610282</v>
      </c>
      <c r="F3993">
        <f t="shared" si="569"/>
        <v>3.9081542985368216</v>
      </c>
      <c r="G3993">
        <f>LN(F3993/参数实验室!$E$58)/参数实验室!$E$59</f>
        <v>0.52488026502068164</v>
      </c>
      <c r="H3993" s="856">
        <f>INDEX(神经网络!$G$10:$BO$70,MATCH(ROUND(G3993*2,1)/2,神经网络!$E$10:$E$70,0),MATCH(ROUND(E3993*2,1)/2,神经网络!$G$8:$BO$8,0))</f>
        <v>1.1864142239139284</v>
      </c>
      <c r="I3993">
        <f t="shared" si="570"/>
        <v>4203267.7228754181</v>
      </c>
      <c r="J3993">
        <f t="shared" si="571"/>
        <v>12529.942734166892</v>
      </c>
      <c r="K3993">
        <f t="shared" si="572"/>
        <v>335.45785579800503</v>
      </c>
      <c r="L3993" s="4">
        <f>MIN(MAX(L3992*(1+MAX(MIN(((B3993-B3992)/B3992)/($K$7*卓尔金历!$N$40),0),-卓尔金历!$M$43))+MIN(MAX(((B3993-B3992)/B3992)/($K$7*卓尔金历!$N$40),0),卓尔金历!$M$43),0),1)</f>
        <v>0.25196246655829729</v>
      </c>
      <c r="M3993" s="4">
        <f>MIN(MAX(M3992*(1+MAX(MIN(((B3993-B3992)/B3992)/($K$7*30),0),-卓尔金历!$M$43))+MIN(MAX(((B3993-B3992)/B3992)/($K$7*7),0),卓尔金历!$M$43),0),1)</f>
        <v>0.82831618921408467</v>
      </c>
      <c r="N3993">
        <f t="shared" si="573"/>
        <v>723090.23014850088</v>
      </c>
      <c r="O3993">
        <f t="shared" si="574"/>
        <v>2238089.2269889833</v>
      </c>
      <c r="P3993">
        <f t="shared" si="575"/>
        <v>-1.1357847009940959E-2</v>
      </c>
      <c r="Q3993">
        <f t="shared" si="576"/>
        <v>2.8526772710794606E-2</v>
      </c>
      <c r="R3993">
        <f t="shared" si="577"/>
        <v>0.98007724118595319</v>
      </c>
      <c r="S3993">
        <f t="shared" si="578"/>
        <v>2810.7502035844464</v>
      </c>
      <c r="T3993" s="564">
        <f>IF((I3993-MAX(I$470:I3993))/MAX(I$470:I3993)&gt;T3992,T3992,(I3993-MAX(I$470:I3993))/MAX(I$470:I3993))</f>
        <v>-0.91338805338419748</v>
      </c>
      <c r="U3993" s="564">
        <f>IF((J3993-MAX(J$470:J3993))/MAX(J$470:J3993)&gt;U3992,U3992,(J3993-MAX(J$470:J3993))/MAX(J$470:J3993))</f>
        <v>-0.83569785939843477</v>
      </c>
      <c r="V3993" s="564">
        <f>IF((K3993-MAX(K$470:K3993))/MAX(K$470:K3993)&gt;V3992,V3992,(K3993-MAX(K$470:K3993))/MAX(K$470:K3993))</f>
        <v>-0.84885940676762139</v>
      </c>
      <c r="W3993" s="564">
        <f>IF((N3993-MAX(N$470:N3993))/MAX(N$470:N3993)&gt;W3992,W3992,(N3993-MAX(N$470:N3993))/MAX(N$470:N3993))</f>
        <v>-0.62788758315546067</v>
      </c>
      <c r="X3993" s="564">
        <f>IF((O3993-MAX(O$470:O3993))/MAX(O$470:O3993)&gt;X3992,X3992,(O3993-MAX(O$470:O3993))/MAX(O$470:O3993))</f>
        <v>-0.70641801879863553</v>
      </c>
    </row>
    <row r="3994" spans="1:24">
      <c r="A3994" s="799">
        <v>44396</v>
      </c>
      <c r="B3994">
        <v>30740.797272412801</v>
      </c>
      <c r="C3994">
        <v>115976.128486602</v>
      </c>
      <c r="D3994">
        <v>1.5977257501</v>
      </c>
      <c r="E3994">
        <f>LN(D3994/参数实验室!$E$53)/参数实验室!$E$55</f>
        <v>-0.1401580891187367</v>
      </c>
      <c r="F3994">
        <f t="shared" si="569"/>
        <v>3.7727104947496111</v>
      </c>
      <c r="G3994">
        <f>LN(F3994/参数实验室!$E$58)/参数实验室!$E$59</f>
        <v>0.50636787097696723</v>
      </c>
      <c r="H3994" s="856">
        <f>INDEX(神经网络!$G$10:$BO$70,MATCH(ROUND(G3994*2,1)/2,神经网络!$E$10:$E$70,0),MATCH(ROUND(E3994*2,1)/2,神经网络!$G$8:$BO$8,0))</f>
        <v>1.0958834920262501</v>
      </c>
      <c r="I3994">
        <f t="shared" si="570"/>
        <v>4098375.420741376</v>
      </c>
      <c r="J3994">
        <f t="shared" si="571"/>
        <v>12266.3889200003</v>
      </c>
      <c r="K3994">
        <f t="shared" si="572"/>
        <v>334.11425705400478</v>
      </c>
      <c r="L3994" s="4">
        <f>MIN(MAX(L3993*(1+MAX(MIN(((B3994-B3993)/B3993)/($K$7*卓尔金历!$N$40),0),-卓尔金历!$M$43))+MIN(MAX(((B3994-B3993)/B3993)/($K$7*卓尔金历!$N$40),0),卓尔金历!$M$43),0),1)</f>
        <v>0.17098724420963832</v>
      </c>
      <c r="M3994" s="4">
        <f>MIN(MAX(M3993*(1+MAX(MIN(((B3994-B3993)/B3993)/($K$7*30),0),-卓尔金历!$M$43))+MIN(MAX(((B3994-B3993)/B3993)/($K$7*7),0),卓尔金历!$M$43),0),1)</f>
        <v>0.69521484179358406</v>
      </c>
      <c r="N3994">
        <f t="shared" si="573"/>
        <v>718543.64939357853</v>
      </c>
      <c r="O3994">
        <f t="shared" si="574"/>
        <v>2191826.6191152437</v>
      </c>
      <c r="P3994">
        <f t="shared" si="575"/>
        <v>-2.1033920087114868E-2</v>
      </c>
      <c r="Q3994">
        <f t="shared" si="576"/>
        <v>2.6021621827187875E-2</v>
      </c>
      <c r="R3994">
        <f t="shared" si="577"/>
        <v>0.24738844960481221</v>
      </c>
      <c r="S3994">
        <f t="shared" si="578"/>
        <v>2742.0055196500698</v>
      </c>
      <c r="T3994" s="564">
        <f>IF((I3994-MAX(I$470:I3994))/MAX(I$470:I3994)&gt;T3993,T3993,(I3994-MAX(I$470:I3994))/MAX(I$470:I3994))</f>
        <v>-0.91338805338419748</v>
      </c>
      <c r="U3994" s="564">
        <f>IF((J3994-MAX(J$470:J3994))/MAX(J$470:J3994)&gt;U3993,U3993,(J3994-MAX(J$470:J3994))/MAX(J$470:J3994))</f>
        <v>-0.83569785939843477</v>
      </c>
      <c r="V3994" s="564">
        <f>IF((K3994-MAX(K$470:K3994))/MAX(K$470:K3994)&gt;V3993,V3993,(K3994-MAX(K$470:K3994))/MAX(K$470:K3994))</f>
        <v>-0.84885940676762139</v>
      </c>
      <c r="W3994" s="564">
        <f>IF((N3994-MAX(N$470:N3994))/MAX(N$470:N3994)&gt;W3993,W3993,(N3994-MAX(N$470:N3994))/MAX(N$470:N3994))</f>
        <v>-0.62788758315546067</v>
      </c>
      <c r="X3994" s="564">
        <f>IF((O3994-MAX(O$470:O3994))/MAX(O$470:O3994)&gt;X3993,X3993,(O3994-MAX(O$470:O3994))/MAX(O$470:O3994))</f>
        <v>-0.71248652934385037</v>
      </c>
    </row>
    <row r="3995" spans="1:24">
      <c r="A3995" s="799">
        <v>44397</v>
      </c>
      <c r="B3995">
        <v>29987.3092057617</v>
      </c>
      <c r="C3995">
        <v>114353.342710563</v>
      </c>
      <c r="D3995">
        <v>1.5406482157000001</v>
      </c>
      <c r="E3995">
        <f>LN(D3995/参数实验室!$E$53)/参数实验室!$E$55</f>
        <v>-0.18307511104471325</v>
      </c>
      <c r="F3995">
        <f t="shared" si="569"/>
        <v>3.8133912558113545</v>
      </c>
      <c r="G3995">
        <f>LN(F3995/参数实验室!$E$58)/参数实验室!$E$59</f>
        <v>0.51199702473503239</v>
      </c>
      <c r="H3995" s="856">
        <f>INDEX(神经网络!$G$10:$BO$70,MATCH(ROUND(G3995*2,1)/2,神经网络!$E$10:$E$70,0),MATCH(ROUND(E3995*2,1)/2,神经网络!$G$8:$BO$8,0))</f>
        <v>1.0095051896633795</v>
      </c>
      <c r="I3995">
        <f t="shared" si="570"/>
        <v>3988288.0815635873</v>
      </c>
      <c r="J3995">
        <f t="shared" si="571"/>
        <v>11965.727307673937</v>
      </c>
      <c r="K3995">
        <f t="shared" si="572"/>
        <v>333.30929069441464</v>
      </c>
      <c r="L3995" s="4">
        <f>MIN(MAX(L3994*(1+MAX(MIN(((B3995-B3994)/B3994)/($K$7*卓尔金历!$N$40),0),-卓尔金历!$M$43))+MIN(MAX(((B3995-B3994)/B3994)/($K$7*卓尔金历!$N$40),0),卓尔金历!$M$43),0),1)</f>
        <v>0.10695170910422926</v>
      </c>
      <c r="M3995" s="4">
        <f>MIN(MAX(M3994*(1+MAX(MIN(((B3995-B3994)/B3994)/($K$7*30),0),-卓尔金历!$M$43))+MIN(MAX(((B3995-B3994)/B3994)/($K$7*7),0),卓尔金历!$M$43),0),1)</f>
        <v>0.56503421161484169</v>
      </c>
      <c r="N3995">
        <f t="shared" si="573"/>
        <v>715243.43233440828</v>
      </c>
      <c r="O3995">
        <f t="shared" si="574"/>
        <v>2150895.7592094974</v>
      </c>
      <c r="P3995">
        <f t="shared" si="575"/>
        <v>-2.4511012514541769E-2</v>
      </c>
      <c r="Q3995">
        <f t="shared" si="576"/>
        <v>2.4527087352693839E-2</v>
      </c>
      <c r="R3995">
        <f t="shared" si="577"/>
        <v>2.6694287862242497E-2</v>
      </c>
      <c r="S3995">
        <f t="shared" si="578"/>
        <v>2723.7844704758891</v>
      </c>
      <c r="T3995" s="564">
        <f>IF((I3995-MAX(I$470:I3995))/MAX(I$470:I3995)&gt;T3994,T3994,(I3995-MAX(I$470:I3995))/MAX(I$470:I3995))</f>
        <v>-0.91338805338419748</v>
      </c>
      <c r="U3995" s="564">
        <f>IF((J3995-MAX(J$470:J3995))/MAX(J$470:J3995)&gt;U3994,U3994,(J3995-MAX(J$470:J3995))/MAX(J$470:J3995))</f>
        <v>-0.83569785939843477</v>
      </c>
      <c r="V3995" s="564">
        <f>IF((K3995-MAX(K$470:K3995))/MAX(K$470:K3995)&gt;V3994,V3994,(K3995-MAX(K$470:K3995))/MAX(K$470:K3995))</f>
        <v>-0.84885940676762139</v>
      </c>
      <c r="W3995" s="564">
        <f>IF((N3995-MAX(N$470:N3995))/MAX(N$470:N3995)&gt;W3994,W3994,(N3995-MAX(N$470:N3995))/MAX(N$470:N3995))</f>
        <v>-0.62788758315546067</v>
      </c>
      <c r="X3995" s="564">
        <f>IF((O3995-MAX(O$470:O3995))/MAX(O$470:O3995)&gt;X3994,X3994,(O3995-MAX(O$470:O3995))/MAX(O$470:O3995))</f>
        <v>-0.71785564635603094</v>
      </c>
    </row>
    <row r="3996" spans="1:24">
      <c r="A3996" s="799">
        <v>44398</v>
      </c>
      <c r="B3996">
        <v>31925.2784444061</v>
      </c>
      <c r="C3996">
        <v>110636.588787336</v>
      </c>
      <c r="D3996">
        <v>1.6617213711000001</v>
      </c>
      <c r="E3996">
        <f>LN(D3996/参数实验室!$E$53)/参数实验室!$E$55</f>
        <v>-9.3825847928162454E-2</v>
      </c>
      <c r="F3996">
        <f t="shared" si="569"/>
        <v>3.4654854766574976</v>
      </c>
      <c r="G3996">
        <f>LN(F3996/参数实验室!$E$58)/参数实验室!$E$59</f>
        <v>0.46178625644567944</v>
      </c>
      <c r="H3996" s="856">
        <f>INDEX(神经网络!$G$10:$BO$70,MATCH(ROUND(G3996*2,1)/2,神经网络!$E$10:$E$70,0),MATCH(ROUND(E3996*2,1)/2,神经网络!$G$8:$BO$8,0))</f>
        <v>1.1427959717847813</v>
      </c>
      <c r="I3996">
        <f t="shared" si="570"/>
        <v>4248486.38350474</v>
      </c>
      <c r="J3996">
        <f t="shared" si="571"/>
        <v>12739.028149078667</v>
      </c>
      <c r="K3996">
        <f t="shared" si="572"/>
        <v>333.50160889722235</v>
      </c>
      <c r="L3996" s="4">
        <f>MIN(MAX(L3995*(1+MAX(MIN(((B3996-B3995)/B3995)/($K$7*卓尔金历!$N$40),0),-卓尔金历!$M$43))+MIN(MAX(((B3996-B3995)/B3995)/($K$7*卓尔金历!$N$40),0),卓尔金历!$M$43),0),1)</f>
        <v>1</v>
      </c>
      <c r="M3996" s="4">
        <f>MIN(MAX(M3995*(1+MAX(MIN(((B3996-B3995)/B3995)/($K$7*30),0),-卓尔金历!$M$43))+MIN(MAX(((B3996-B3995)/B3995)/($K$7*7),0),卓尔金历!$M$43),0),1)</f>
        <v>1</v>
      </c>
      <c r="N3996">
        <f t="shared" si="573"/>
        <v>720234.11027753726</v>
      </c>
      <c r="O3996">
        <f t="shared" si="574"/>
        <v>2230184.595687171</v>
      </c>
      <c r="P3996">
        <f t="shared" si="575"/>
        <v>6.4626313262946683E-2</v>
      </c>
      <c r="Q3996">
        <f t="shared" si="576"/>
        <v>2.6852645609302284E-2</v>
      </c>
      <c r="R3996">
        <f t="shared" si="577"/>
        <v>2.9859937180084506E-3</v>
      </c>
      <c r="S3996">
        <f t="shared" si="578"/>
        <v>2728.528080916044</v>
      </c>
      <c r="T3996" s="564">
        <f>IF((I3996-MAX(I$470:I3996))/MAX(I$470:I3996)&gt;T3995,T3995,(I3996-MAX(I$470:I3996))/MAX(I$470:I3996))</f>
        <v>-0.91338805338419748</v>
      </c>
      <c r="U3996" s="564">
        <f>IF((J3996-MAX(J$470:J3996))/MAX(J$470:J3996)&gt;U3995,U3995,(J3996-MAX(J$470:J3996))/MAX(J$470:J3996))</f>
        <v>-0.83569785939843477</v>
      </c>
      <c r="V3996" s="564">
        <f>IF((K3996-MAX(K$470:K3996))/MAX(K$470:K3996)&gt;V3995,V3995,(K3996-MAX(K$470:K3996))/MAX(K$470:K3996))</f>
        <v>-0.84885940676762139</v>
      </c>
      <c r="W3996" s="564">
        <f>IF((N3996-MAX(N$470:N3996))/MAX(N$470:N3996)&gt;W3995,W3995,(N3996-MAX(N$470:N3996))/MAX(N$470:N3996))</f>
        <v>-0.62788758315546067</v>
      </c>
      <c r="X3996" s="564">
        <f>IF((O3996-MAX(O$470:O3996))/MAX(O$470:O3996)&gt;X3995,X3995,(O3996-MAX(O$470:O3996))/MAX(O$470:O3996))</f>
        <v>-0.71785564635603094</v>
      </c>
    </row>
    <row r="3997" spans="1:24">
      <c r="A3997" s="799">
        <v>44399</v>
      </c>
      <c r="B3997">
        <v>32495.7503543413</v>
      </c>
      <c r="C3997">
        <v>105180.15554959999</v>
      </c>
      <c r="D3997">
        <v>1.6704925945</v>
      </c>
      <c r="E3997">
        <f>LN(D3997/参数实验室!$E$53)/参数实验室!$E$55</f>
        <v>-8.7615020372697458E-2</v>
      </c>
      <c r="F3997">
        <f t="shared" si="569"/>
        <v>3.2367357085985353</v>
      </c>
      <c r="G3997">
        <f>LN(F3997/参数实验室!$E$58)/参数实验室!$E$59</f>
        <v>0.42594533482191815</v>
      </c>
      <c r="H3997" s="856">
        <f>INDEX(神经网络!$G$10:$BO$70,MATCH(ROUND(G3997*2,1)/2,神经网络!$E$10:$E$70,0),MATCH(ROUND(E3997*2,1)/2,神经网络!$G$8:$BO$8,0))</f>
        <v>1.1427959717847813</v>
      </c>
      <c r="I3997">
        <f t="shared" si="570"/>
        <v>4335242.9792604614</v>
      </c>
      <c r="J3997">
        <f t="shared" si="571"/>
        <v>12966.661487706495</v>
      </c>
      <c r="K3997">
        <f t="shared" si="572"/>
        <v>334.337638363633</v>
      </c>
      <c r="L3997" s="4">
        <f>MIN(MAX(L3996*(1+MAX(MIN(((B3997-B3996)/B3996)/($K$7*卓尔金历!$N$40),0),-卓尔金历!$M$43))+MIN(MAX(((B3997-B3996)/B3996)/($K$7*卓尔金历!$N$40),0),卓尔金历!$M$43),0),1)</f>
        <v>1</v>
      </c>
      <c r="M3997" s="4">
        <f>MIN(MAX(M3996*(1+MAX(MIN(((B3997-B3996)/B3996)/($K$7*30),0),-卓尔金历!$M$43))+MIN(MAX(((B3997-B3996)/B3996)/($K$7*7),0),卓尔金历!$M$43),0),1)</f>
        <v>1</v>
      </c>
      <c r="N3997">
        <f t="shared" si="573"/>
        <v>734941.71527244465</v>
      </c>
      <c r="O3997">
        <f t="shared" si="574"/>
        <v>2275726.2794689271</v>
      </c>
      <c r="P3997">
        <f t="shared" si="575"/>
        <v>1.7868972103989834E-2</v>
      </c>
      <c r="Q3997">
        <f t="shared" si="576"/>
        <v>2.6858077361644129E-2</v>
      </c>
      <c r="R3997">
        <f t="shared" si="577"/>
        <v>0.44529592201971557</v>
      </c>
      <c r="S3997">
        <f t="shared" si="578"/>
        <v>2728.6944549662353</v>
      </c>
      <c r="T3997" s="564">
        <f>IF((I3997-MAX(I$470:I3997))/MAX(I$470:I3997)&gt;T3996,T3996,(I3997-MAX(I$470:I3997))/MAX(I$470:I3997))</f>
        <v>-0.91338805338419748</v>
      </c>
      <c r="U3997" s="564">
        <f>IF((J3997-MAX(J$470:J3997))/MAX(J$470:J3997)&gt;U3996,U3996,(J3997-MAX(J$470:J3997))/MAX(J$470:J3997))</f>
        <v>-0.83569785939843477</v>
      </c>
      <c r="V3997" s="564">
        <f>IF((K3997-MAX(K$470:K3997))/MAX(K$470:K3997)&gt;V3996,V3996,(K3997-MAX(K$470:K3997))/MAX(K$470:K3997))</f>
        <v>-0.84885940676762139</v>
      </c>
      <c r="W3997" s="564">
        <f>IF((N3997-MAX(N$470:N3997))/MAX(N$470:N3997)&gt;W3996,W3996,(N3997-MAX(N$470:N3997))/MAX(N$470:N3997))</f>
        <v>-0.62788758315546067</v>
      </c>
      <c r="X3997" s="564">
        <f>IF((O3997-MAX(O$470:O3997))/MAX(O$470:O3997)&gt;X3996,X3996,(O3997-MAX(O$470:O3997))/MAX(O$470:O3997))</f>
        <v>-0.71785564635603094</v>
      </c>
    </row>
    <row r="3998" spans="1:24">
      <c r="A3998" s="799">
        <v>44400</v>
      </c>
      <c r="B3998">
        <v>32329.7389578486</v>
      </c>
      <c r="C3998">
        <v>102345.392689075</v>
      </c>
      <c r="D3998">
        <v>1.7324066543000001</v>
      </c>
      <c r="E3998">
        <f>LN(D3998/参数实验室!$E$53)/参数实验室!$E$55</f>
        <v>-4.4680234919954369E-2</v>
      </c>
      <c r="F3998">
        <f t="shared" si="569"/>
        <v>3.1656733394139853</v>
      </c>
      <c r="G3998">
        <f>LN(F3998/参数实验室!$E$58)/参数实验室!$E$59</f>
        <v>0.41429381326945036</v>
      </c>
      <c r="H3998" s="856">
        <f>INDEX(神经网络!$G$10:$BO$70,MATCH(ROUND(G3998*2,1)/2,神经网络!$E$10:$E$70,0),MATCH(ROUND(E3998*2,1)/2,神经网络!$G$8:$BO$8,0))</f>
        <v>1.1868671890189382</v>
      </c>
      <c r="I3998">
        <f t="shared" si="570"/>
        <v>4309932.9016016722</v>
      </c>
      <c r="J3998">
        <f t="shared" si="571"/>
        <v>12900.418561848508</v>
      </c>
      <c r="K3998">
        <f t="shared" si="572"/>
        <v>334.09248552196584</v>
      </c>
      <c r="L3998" s="4">
        <f>MIN(MAX(L3997*(1+MAX(MIN(((B3998-B3997)/B3997)/($K$7*卓尔金历!$N$40),0),-卓尔金历!$M$43))+MIN(MAX(((B3998-B3997)/B3997)/($K$7*卓尔金历!$N$40),0),卓尔金历!$M$43),0),1)</f>
        <v>0.92194379875736676</v>
      </c>
      <c r="M3998" s="4">
        <f>MIN(MAX(M3997*(1+MAX(MIN(((B3998-B3997)/B3997)/($K$7*30),0),-卓尔金历!$M$43))+MIN(MAX(((B3998-B3997)/B3997)/($K$7*7),0),卓尔金历!$M$43),0),1)</f>
        <v>0.96097189937868333</v>
      </c>
      <c r="N3998">
        <f t="shared" si="573"/>
        <v>730650.96802316303</v>
      </c>
      <c r="O3998">
        <f t="shared" si="574"/>
        <v>2262440.1017070222</v>
      </c>
      <c r="P3998">
        <f t="shared" si="575"/>
        <v>-5.1087109755113564E-3</v>
      </c>
      <c r="Q3998">
        <f t="shared" si="576"/>
        <v>2.6847513382690709E-2</v>
      </c>
      <c r="R3998">
        <f t="shared" si="577"/>
        <v>1</v>
      </c>
      <c r="S3998">
        <f t="shared" si="578"/>
        <v>2721.6005778621252</v>
      </c>
      <c r="T3998" s="564">
        <f>IF((I3998-MAX(I$470:I3998))/MAX(I$470:I3998)&gt;T3997,T3997,(I3998-MAX(I$470:I3998))/MAX(I$470:I3998))</f>
        <v>-0.91338805338419748</v>
      </c>
      <c r="U3998" s="564">
        <f>IF((J3998-MAX(J$470:J3998))/MAX(J$470:J3998)&gt;U3997,U3997,(J3998-MAX(J$470:J3998))/MAX(J$470:J3998))</f>
        <v>-0.83569785939843477</v>
      </c>
      <c r="V3998" s="564">
        <f>IF((K3998-MAX(K$470:K3998))/MAX(K$470:K3998)&gt;V3997,V3997,(K3998-MAX(K$470:K3998))/MAX(K$470:K3998))</f>
        <v>-0.84885940676762139</v>
      </c>
      <c r="W3998" s="564">
        <f>IF((N3998-MAX(N$470:N3998))/MAX(N$470:N3998)&gt;W3997,W3997,(N3998-MAX(N$470:N3998))/MAX(N$470:N3998))</f>
        <v>-0.62788758315546067</v>
      </c>
      <c r="X3998" s="564">
        <f>IF((O3998-MAX(O$470:O3998))/MAX(O$470:O3998)&gt;X3997,X3997,(O3998-MAX(O$470:O3998))/MAX(O$470:O3998))</f>
        <v>-0.71785564635603094</v>
      </c>
    </row>
    <row r="3999" spans="1:24">
      <c r="A3999" s="799">
        <v>44401</v>
      </c>
      <c r="B3999">
        <v>33866.576815494504</v>
      </c>
      <c r="C3999">
        <v>98432.662743556299</v>
      </c>
      <c r="D3999">
        <v>1.7696062970999999</v>
      </c>
      <c r="E3999">
        <f>LN(D3999/参数实验室!$E$53)/参数实验室!$E$55</f>
        <v>-1.9615764501054594E-2</v>
      </c>
      <c r="F3999">
        <f t="shared" si="569"/>
        <v>2.9064839732642178</v>
      </c>
      <c r="G3999">
        <f>LN(F3999/参数实验室!$E$58)/参数实验室!$E$59</f>
        <v>0.3694598968469272</v>
      </c>
      <c r="H3999" s="856">
        <f>INDEX(神经网络!$G$10:$BO$70,MATCH(ROUND(G3999*2,1)/2,神经网络!$E$10:$E$70,0),MATCH(ROUND(E3999*2,1)/2,神经网络!$G$8:$BO$8,0))</f>
        <v>1.2363688147682446</v>
      </c>
      <c r="I3999">
        <f t="shared" si="570"/>
        <v>4553096.457184351</v>
      </c>
      <c r="J3999">
        <f t="shared" si="571"/>
        <v>13513.657402136565</v>
      </c>
      <c r="K3999">
        <f t="shared" si="572"/>
        <v>336.92555032988241</v>
      </c>
      <c r="L3999" s="4">
        <f>MIN(MAX(L3998*(1+MAX(MIN(((B3999-B3998)/B3998)/($K$7*卓尔金历!$N$40),0),-卓尔金历!$M$43))+MIN(MAX(((B3999-B3998)/B3998)/($K$7*卓尔金历!$N$40),0),卓尔金历!$M$43),0),1)</f>
        <v>1</v>
      </c>
      <c r="M3999" s="4">
        <f>MIN(MAX(M3998*(1+MAX(MIN(((B3999-B3998)/B3998)/($K$7*30),0),-卓尔金历!$M$43))+MIN(MAX(((B3999-B3998)/B3998)/($K$7*7),0),卓尔金历!$M$43),0),1)</f>
        <v>1</v>
      </c>
      <c r="N3999">
        <f t="shared" si="573"/>
        <v>768656.11247943982</v>
      </c>
      <c r="O3999">
        <f t="shared" si="574"/>
        <v>2385103.7152566398</v>
      </c>
      <c r="P3999">
        <f t="shared" si="575"/>
        <v>4.7536352200357304E-2</v>
      </c>
      <c r="Q3999">
        <f t="shared" si="576"/>
        <v>2.8015630264033874E-2</v>
      </c>
      <c r="R3999">
        <f t="shared" si="577"/>
        <v>1.2652369918297315E-2</v>
      </c>
      <c r="S3999">
        <f t="shared" si="578"/>
        <v>2875.1514772607889</v>
      </c>
      <c r="T3999" s="564">
        <f>IF((I3999-MAX(I$470:I3999))/MAX(I$470:I3999)&gt;T3998,T3998,(I3999-MAX(I$470:I3999))/MAX(I$470:I3999))</f>
        <v>-0.91338805338419748</v>
      </c>
      <c r="U3999" s="564">
        <f>IF((J3999-MAX(J$470:J3999))/MAX(J$470:J3999)&gt;U3998,U3998,(J3999-MAX(J$470:J3999))/MAX(J$470:J3999))</f>
        <v>-0.83569785939843477</v>
      </c>
      <c r="V3999" s="564">
        <f>IF((K3999-MAX(K$470:K3999))/MAX(K$470:K3999)&gt;V3998,V3998,(K3999-MAX(K$470:K3999))/MAX(K$470:K3999))</f>
        <v>-0.84885940676762139</v>
      </c>
      <c r="W3999" s="564">
        <f>IF((N3999-MAX(N$470:N3999))/MAX(N$470:N3999)&gt;W3998,W3998,(N3999-MAX(N$470:N3999))/MAX(N$470:N3999))</f>
        <v>-0.62788758315546067</v>
      </c>
      <c r="X3999" s="564">
        <f>IF((O3999-MAX(O$470:O3999))/MAX(O$470:O3999)&gt;X3998,X3998,(O3999-MAX(O$470:O3999))/MAX(O$470:O3999))</f>
        <v>-0.71785564635603094</v>
      </c>
    </row>
    <row r="4000" spans="1:24">
      <c r="A4000" s="799">
        <v>44402</v>
      </c>
      <c r="B4000">
        <v>34178.998205837401</v>
      </c>
      <c r="C4000">
        <v>95163.819832386202</v>
      </c>
      <c r="D4000">
        <v>1.8184848775</v>
      </c>
      <c r="E4000">
        <f>LN(D4000/参数实验室!$E$53)/参数实验室!$E$55</f>
        <v>1.2528475064087479E-2</v>
      </c>
      <c r="F4000">
        <f t="shared" si="569"/>
        <v>2.7842776215756158</v>
      </c>
      <c r="G4000">
        <f>LN(F4000/参数实验室!$E$58)/参数实验室!$E$59</f>
        <v>0.34691445754115086</v>
      </c>
      <c r="H4000" s="856">
        <f>INDEX(神经网络!$G$10:$BO$70,MATCH(ROUND(G4000*2,1)/2,神经网络!$E$10:$E$70,0),MATCH(ROUND(E4000*2,1)/2,神经网络!$G$8:$BO$8,0))</f>
        <v>1.2363688147682446</v>
      </c>
      <c r="I4000">
        <f t="shared" si="570"/>
        <v>4605027.1782518262</v>
      </c>
      <c r="J4000">
        <f t="shared" si="571"/>
        <v>13638.321777198573</v>
      </c>
      <c r="K4000">
        <f t="shared" si="572"/>
        <v>337.65350704298589</v>
      </c>
      <c r="L4000" s="4">
        <f>MIN(MAX(L3999*(1+MAX(MIN(((B4000-B3999)/B3999)/($K$7*卓尔金历!$N$40),0),-卓尔金历!$M$43))+MIN(MAX(((B4000-B3999)/B3999)/($K$7*卓尔金历!$N$40),0),卓尔金历!$M$43),0),1)</f>
        <v>1</v>
      </c>
      <c r="M4000" s="4">
        <f>MIN(MAX(M3999*(1+MAX(MIN(((B4000-B3999)/B3999)/($K$7*30),0),-卓尔金历!$M$43))+MIN(MAX(((B4000-B3999)/B3999)/($K$7*7),0),卓尔金历!$M$43),0),1)</f>
        <v>1</v>
      </c>
      <c r="N4000">
        <f t="shared" si="573"/>
        <v>777423.08382506005</v>
      </c>
      <c r="O4000">
        <f t="shared" si="574"/>
        <v>2412307.2144398279</v>
      </c>
      <c r="P4000">
        <f t="shared" si="575"/>
        <v>9.2250655283222897E-3</v>
      </c>
      <c r="Q4000">
        <f t="shared" si="576"/>
        <v>2.7486038533910365E-2</v>
      </c>
      <c r="R4000">
        <f t="shared" si="577"/>
        <v>1</v>
      </c>
      <c r="S4000">
        <f t="shared" si="578"/>
        <v>2875.566383641089</v>
      </c>
      <c r="T4000" s="564">
        <f>IF((I4000-MAX(I$470:I4000))/MAX(I$470:I4000)&gt;T3999,T3999,(I4000-MAX(I$470:I4000))/MAX(I$470:I4000))</f>
        <v>-0.91338805338419748</v>
      </c>
      <c r="U4000" s="564">
        <f>IF((J4000-MAX(J$470:J4000))/MAX(J$470:J4000)&gt;U3999,U3999,(J4000-MAX(J$470:J4000))/MAX(J$470:J4000))</f>
        <v>-0.83569785939843477</v>
      </c>
      <c r="V4000" s="564">
        <f>IF((K4000-MAX(K$470:K4000))/MAX(K$470:K4000)&gt;V3999,V3999,(K4000-MAX(K$470:K4000))/MAX(K$470:K4000))</f>
        <v>-0.84885940676762139</v>
      </c>
      <c r="W4000" s="564">
        <f>IF((N4000-MAX(N$470:N4000))/MAX(N$470:N4000)&gt;W3999,W3999,(N4000-MAX(N$470:N4000))/MAX(N$470:N4000))</f>
        <v>-0.62788758315546067</v>
      </c>
      <c r="X4000" s="564">
        <f>IF((O4000-MAX(O$470:O4000))/MAX(O$470:O4000)&gt;X3999,X3999,(O4000-MAX(O$470:O4000))/MAX(O$470:O4000))</f>
        <v>-0.71785564635603094</v>
      </c>
    </row>
    <row r="4001" spans="1:24">
      <c r="A4001" s="799">
        <v>44403</v>
      </c>
      <c r="B4001">
        <v>38625.720919737098</v>
      </c>
      <c r="C4001">
        <v>90764.463482032996</v>
      </c>
      <c r="D4001">
        <v>1.9301094539000001</v>
      </c>
      <c r="E4001">
        <f>LN(D4001/参数实验室!$E$53)/参数实验室!$E$55</f>
        <v>8.2809966602885865E-2</v>
      </c>
      <c r="F4001">
        <f t="shared" si="569"/>
        <v>2.3498451632951625</v>
      </c>
      <c r="G4001">
        <f>LN(F4001/参数实验室!$E$58)/参数实验室!$E$59</f>
        <v>0.25787873209897172</v>
      </c>
      <c r="H4001" s="856">
        <f>INDEX(神经网络!$G$10:$BO$70,MATCH(ROUND(G4001*2,1)/2,神经网络!$E$10:$E$70,0),MATCH(ROUND(E4001*2,1)/2,神经网络!$G$8:$BO$8,0))</f>
        <v>1.3305559423390692</v>
      </c>
      <c r="I4001">
        <f t="shared" si="570"/>
        <v>5345758.9268732928</v>
      </c>
      <c r="J4001">
        <f t="shared" si="571"/>
        <v>15412.681425217284</v>
      </c>
      <c r="K4001">
        <f t="shared" si="572"/>
        <v>346.84158968775478</v>
      </c>
      <c r="L4001" s="4">
        <f>MIN(MAX(L4000*(1+MAX(MIN(((B4001-B4000)/B4000)/($K$7*卓尔金历!$N$40),0),-卓尔金历!$M$43))+MIN(MAX(((B4001-B4000)/B4000)/($K$7*卓尔金历!$N$40),0),卓尔金历!$M$43),0),1)</f>
        <v>1</v>
      </c>
      <c r="M4001" s="4">
        <f>MIN(MAX(M4000*(1+MAX(MIN(((B4001-B4000)/B4000)/($K$7*30),0),-卓尔金历!$M$43))+MIN(MAX(((B4001-B4000)/B4000)/($K$7*7),0),卓尔金历!$M$43),0),1)</f>
        <v>1</v>
      </c>
      <c r="N4001">
        <f t="shared" si="573"/>
        <v>902473.8029652324</v>
      </c>
      <c r="O4001">
        <f t="shared" si="574"/>
        <v>2800333.7063578474</v>
      </c>
      <c r="P4001">
        <f t="shared" si="575"/>
        <v>0.13010102540513446</v>
      </c>
      <c r="Q4001">
        <f t="shared" si="576"/>
        <v>3.7085018044098729E-2</v>
      </c>
      <c r="R4001">
        <f t="shared" si="577"/>
        <v>0</v>
      </c>
      <c r="S4001">
        <f t="shared" si="578"/>
        <v>3338.1094334825834</v>
      </c>
      <c r="T4001" s="564">
        <f>IF((I4001-MAX(I$470:I4001))/MAX(I$470:I4001)&gt;T4000,T4000,(I4001-MAX(I$470:I4001))/MAX(I$470:I4001))</f>
        <v>-0.91338805338419748</v>
      </c>
      <c r="U4001" s="564">
        <f>IF((J4001-MAX(J$470:J4001))/MAX(J$470:J4001)&gt;U4000,U4000,(J4001-MAX(J$470:J4001))/MAX(J$470:J4001))</f>
        <v>-0.83569785939843477</v>
      </c>
      <c r="V4001" s="564">
        <f>IF((K4001-MAX(K$470:K4001))/MAX(K$470:K4001)&gt;V4000,V4000,(K4001-MAX(K$470:K4001))/MAX(K$470:K4001))</f>
        <v>-0.84885940676762139</v>
      </c>
      <c r="W4001" s="564">
        <f>IF((N4001-MAX(N$470:N4001))/MAX(N$470:N4001)&gt;W4000,W4000,(N4001-MAX(N$470:N4001))/MAX(N$470:N4001))</f>
        <v>-0.62788758315546067</v>
      </c>
      <c r="X4001" s="564">
        <f>IF((O4001-MAX(O$470:O4001))/MAX(O$470:O4001)&gt;X4000,X4000,(O4001-MAX(O$470:O4001))/MAX(O$470:O4001))</f>
        <v>-0.71785564635603094</v>
      </c>
    </row>
    <row r="4002" spans="1:24">
      <c r="A4002" s="799">
        <v>44404</v>
      </c>
      <c r="B4002">
        <v>38246.647232224299</v>
      </c>
      <c r="C4002">
        <v>83359.476837435199</v>
      </c>
      <c r="D4002">
        <v>2.0017911621</v>
      </c>
      <c r="E4002">
        <f>LN(D4002/参数实验室!$E$53)/参数实验室!$E$55</f>
        <v>0.125830432702664</v>
      </c>
      <c r="F4002">
        <f t="shared" si="569"/>
        <v>2.1795237718824558</v>
      </c>
      <c r="G4002">
        <f>LN(F4002/参数实验室!$E$58)/参数实验室!$E$59</f>
        <v>0.21838711920503773</v>
      </c>
      <c r="H4002" s="856">
        <f>INDEX(神经网络!$G$10:$BO$70,MATCH(ROUND(G4002*2,1)/2,神经网络!$E$10:$E$70,0),MATCH(ROUND(E4002*2,1)/2,神经网络!$G$8:$BO$8,0))</f>
        <v>1.3742576474462724</v>
      </c>
      <c r="I4002">
        <f t="shared" si="570"/>
        <v>5275953.4416216295</v>
      </c>
      <c r="J4002">
        <f t="shared" si="571"/>
        <v>15261.421025587262</v>
      </c>
      <c r="K4002">
        <f t="shared" si="572"/>
        <v>345.70525462707428</v>
      </c>
      <c r="L4002" s="4">
        <f>MIN(MAX(L4001*(1+MAX(MIN(((B4002-B4001)/B4001)/($K$7*卓尔金历!$N$40),0),-卓尔金历!$M$43))+MIN(MAX(((B4002-B4001)/B4001)/($K$7*卓尔金历!$N$40),0),卓尔金历!$M$43),0),1)</f>
        <v>0.85005115665217379</v>
      </c>
      <c r="M4002" s="4">
        <f>MIN(MAX(M4001*(1+MAX(MIN(((B4002-B4001)/B4001)/($K$7*30),0),-卓尔金历!$M$43))+MIN(MAX(((B4002-B4001)/B4001)/($K$7*7),0),卓尔金历!$M$43),0),1)</f>
        <v>0.92502557832608689</v>
      </c>
      <c r="N4002">
        <f t="shared" si="573"/>
        <v>890689.20463136246</v>
      </c>
      <c r="O4002">
        <f t="shared" si="574"/>
        <v>2763766.6527527515</v>
      </c>
      <c r="P4002">
        <f t="shared" si="575"/>
        <v>-9.8140223272596139E-3</v>
      </c>
      <c r="Q4002">
        <f t="shared" si="576"/>
        <v>3.7237098203731285E-2</v>
      </c>
      <c r="R4002">
        <f t="shared" si="577"/>
        <v>1</v>
      </c>
      <c r="S4002">
        <f t="shared" si="578"/>
        <v>3338.1094334825834</v>
      </c>
      <c r="T4002" s="564">
        <f>IF((I4002-MAX(I$470:I4002))/MAX(I$470:I4002)&gt;T4001,T4001,(I4002-MAX(I$470:I4002))/MAX(I$470:I4002))</f>
        <v>-0.91338805338419748</v>
      </c>
      <c r="U4002" s="564">
        <f>IF((J4002-MAX(J$470:J4002))/MAX(J$470:J4002)&gt;U4001,U4001,(J4002-MAX(J$470:J4002))/MAX(J$470:J4002))</f>
        <v>-0.83569785939843477</v>
      </c>
      <c r="V4002" s="564">
        <f>IF((K4002-MAX(K$470:K4002))/MAX(K$470:K4002)&gt;V4001,V4001,(K4002-MAX(K$470:K4002))/MAX(K$470:K4002))</f>
        <v>-0.84885940676762139</v>
      </c>
      <c r="W4002" s="564">
        <f>IF((N4002-MAX(N$470:N4002))/MAX(N$470:N4002)&gt;W4001,W4001,(N4002-MAX(N$470:N4002))/MAX(N$470:N4002))</f>
        <v>-0.62788758315546067</v>
      </c>
      <c r="X4002" s="564">
        <f>IF((O4002-MAX(O$470:O4002))/MAX(O$470:O4002)&gt;X4001,X4001,(O4002-MAX(O$470:O4002))/MAX(O$470:O4002))</f>
        <v>-0.71785564635603094</v>
      </c>
    </row>
    <row r="4003" spans="1:24">
      <c r="A4003" s="799">
        <v>44405</v>
      </c>
      <c r="B4003">
        <v>39683.360798929003</v>
      </c>
      <c r="C4003">
        <v>79199.368306049699</v>
      </c>
      <c r="D4003">
        <v>2.0338330591</v>
      </c>
      <c r="E4003">
        <f>LN(D4003/参数实验室!$E$53)/参数实验室!$E$55</f>
        <v>0.14456474700984071</v>
      </c>
      <c r="F4003">
        <f t="shared" si="569"/>
        <v>1.9957827843096188</v>
      </c>
      <c r="G4003">
        <f>LN(F4003/参数实验室!$E$58)/参数实验室!$E$59</f>
        <v>0.17216319570833563</v>
      </c>
      <c r="H4003" s="856">
        <f>INDEX(神经网络!$G$10:$BO$70,MATCH(ROUND(G4003*2,1)/2,神经网络!$E$10:$E$70,0),MATCH(ROUND(E4003*2,1)/2,神经网络!$G$8:$BO$8,0))</f>
        <v>1.3306983093284139</v>
      </c>
      <c r="I4003">
        <f t="shared" si="570"/>
        <v>5548315.080896779</v>
      </c>
      <c r="J4003">
        <f t="shared" si="571"/>
        <v>15834.707632947184</v>
      </c>
      <c r="K4003">
        <f t="shared" si="572"/>
        <v>350.38948678486696</v>
      </c>
      <c r="L4003" s="4">
        <f>MIN(MAX(L4002*(1+MAX(MIN(((B4003-B4002)/B4002)/($K$7*卓尔金历!$N$40),0),-卓尔金历!$M$43))+MIN(MAX(((B4003-B4002)/B4002)/($K$7*卓尔金历!$N$40),0),卓尔金历!$M$43),0),1)</f>
        <v>1</v>
      </c>
      <c r="M4003" s="4">
        <f>MIN(MAX(M4002*(1+MAX(MIN(((B4003-B4002)/B4002)/($K$7*30),0),-卓尔金历!$M$43))+MIN(MAX(((B4003-B4002)/B4002)/($K$7*7),0),卓尔金历!$M$43),0),1)</f>
        <v>1</v>
      </c>
      <c r="N4003">
        <f t="shared" si="573"/>
        <v>929774.75541028136</v>
      </c>
      <c r="O4003">
        <f t="shared" si="574"/>
        <v>2895744.2140685292</v>
      </c>
      <c r="P4003">
        <f t="shared" si="575"/>
        <v>3.7564431673744639E-2</v>
      </c>
      <c r="Q4003">
        <f t="shared" si="576"/>
        <v>3.7809744146000031E-2</v>
      </c>
      <c r="R4003">
        <f t="shared" si="577"/>
        <v>4.398869694468982E-2</v>
      </c>
      <c r="S4003">
        <f t="shared" si="578"/>
        <v>3510.4333494236826</v>
      </c>
      <c r="T4003" s="564">
        <f>IF((I4003-MAX(I$470:I4003))/MAX(I$470:I4003)&gt;T4002,T4002,(I4003-MAX(I$470:I4003))/MAX(I$470:I4003))</f>
        <v>-0.91338805338419748</v>
      </c>
      <c r="U4003" s="564">
        <f>IF((J4003-MAX(J$470:J4003))/MAX(J$470:J4003)&gt;U4002,U4002,(J4003-MAX(J$470:J4003))/MAX(J$470:J4003))</f>
        <v>-0.83569785939843477</v>
      </c>
      <c r="V4003" s="564">
        <f>IF((K4003-MAX(K$470:K4003))/MAX(K$470:K4003)&gt;V4002,V4002,(K4003-MAX(K$470:K4003))/MAX(K$470:K4003))</f>
        <v>-0.84885940676762139</v>
      </c>
      <c r="W4003" s="564">
        <f>IF((N4003-MAX(N$470:N4003))/MAX(N$470:N4003)&gt;W4002,W4002,(N4003-MAX(N$470:N4003))/MAX(N$470:N4003))</f>
        <v>-0.62788758315546067</v>
      </c>
      <c r="X4003" s="564">
        <f>IF((O4003-MAX(O$470:O4003))/MAX(O$470:O4003)&gt;X4002,X4002,(O4003-MAX(O$470:O4003))/MAX(O$470:O4003))</f>
        <v>-0.71785564635603094</v>
      </c>
    </row>
    <row r="4004" spans="1:24">
      <c r="A4004" s="799">
        <v>44406</v>
      </c>
      <c r="B4004">
        <v>39974.788782065698</v>
      </c>
      <c r="C4004">
        <v>75257.561985955006</v>
      </c>
      <c r="D4004">
        <v>2.0174073044999998</v>
      </c>
      <c r="E4004">
        <f>LN(D4004/参数实验室!$E$53)/参数实验室!$E$55</f>
        <v>0.13499807521428567</v>
      </c>
      <c r="F4004">
        <f t="shared" si="569"/>
        <v>1.8826256317761605</v>
      </c>
      <c r="G4004">
        <f>LN(F4004/参数实验室!$E$58)/参数实验室!$E$59</f>
        <v>0.14152802610483303</v>
      </c>
      <c r="H4004" s="856">
        <f>INDEX(神经网络!$G$10:$BO$70,MATCH(ROUND(G4004*2,1)/2,神经网络!$E$10:$E$70,0),MATCH(ROUND(E4004*2,1)/2,神经网络!$G$8:$BO$8,0))</f>
        <v>1.3306983093284139</v>
      </c>
      <c r="I4004">
        <f t="shared" si="570"/>
        <v>5602535.5819119634</v>
      </c>
      <c r="J4004">
        <f t="shared" si="571"/>
        <v>15950.995084819293</v>
      </c>
      <c r="K4004">
        <f t="shared" si="572"/>
        <v>351.23423661787393</v>
      </c>
      <c r="L4004" s="4">
        <f>MIN(MAX(L4003*(1+MAX(MIN(((B4004-B4003)/B4003)/($K$7*卓尔金历!$N$40),0),-卓尔金历!$M$43))+MIN(MAX(((B4004-B4003)/B4003)/($K$7*卓尔金历!$N$40),0),卓尔金历!$M$43),0),1)</f>
        <v>1</v>
      </c>
      <c r="M4004" s="4">
        <f>MIN(MAX(M4003*(1+MAX(MIN(((B4004-B4003)/B4003)/($K$7*30),0),-卓尔金历!$M$43))+MIN(MAX(((B4004-B4003)/B4003)/($K$7*7),0),卓尔金历!$M$43),0),1)</f>
        <v>1</v>
      </c>
      <c r="N4004">
        <f t="shared" si="573"/>
        <v>938860.9108168463</v>
      </c>
      <c r="O4004">
        <f t="shared" si="574"/>
        <v>2924042.6614006227</v>
      </c>
      <c r="P4004">
        <f t="shared" si="575"/>
        <v>7.3438332154710049E-3</v>
      </c>
      <c r="Q4004">
        <f t="shared" si="576"/>
        <v>3.5847851522538769E-2</v>
      </c>
      <c r="R4004">
        <f t="shared" si="577"/>
        <v>1</v>
      </c>
      <c r="S4004">
        <f t="shared" si="578"/>
        <v>3511.9424015417635</v>
      </c>
      <c r="T4004" s="564">
        <f>IF((I4004-MAX(I$470:I4004))/MAX(I$470:I4004)&gt;T4003,T4003,(I4004-MAX(I$470:I4004))/MAX(I$470:I4004))</f>
        <v>-0.91338805338419748</v>
      </c>
      <c r="U4004" s="564">
        <f>IF((J4004-MAX(J$470:J4004))/MAX(J$470:J4004)&gt;U4003,U4003,(J4004-MAX(J$470:J4004))/MAX(J$470:J4004))</f>
        <v>-0.83569785939843477</v>
      </c>
      <c r="V4004" s="564">
        <f>IF((K4004-MAX(K$470:K4004))/MAX(K$470:K4004)&gt;V4003,V4003,(K4004-MAX(K$470:K4004))/MAX(K$470:K4004))</f>
        <v>-0.84885940676762139</v>
      </c>
      <c r="W4004" s="564">
        <f>IF((N4004-MAX(N$470:N4004))/MAX(N$470:N4004)&gt;W4003,W4003,(N4004-MAX(N$470:N4004))/MAX(N$470:N4004))</f>
        <v>-0.62788758315546067</v>
      </c>
      <c r="X4004" s="564">
        <f>IF((O4004-MAX(O$470:O4004))/MAX(O$470:O4004)&gt;X4003,X4003,(O4004-MAX(O$470:O4004))/MAX(O$470:O4004))</f>
        <v>-0.71785564635603094</v>
      </c>
    </row>
    <row r="4005" spans="1:24">
      <c r="A4005" s="799">
        <v>44407</v>
      </c>
      <c r="B4005">
        <v>39080.1911695382</v>
      </c>
      <c r="C4005">
        <v>71166.953257570596</v>
      </c>
      <c r="D4005">
        <v>2.0991621974000001</v>
      </c>
      <c r="E4005">
        <f>LN(D4005/参数实验室!$E$53)/参数实验室!$E$55</f>
        <v>0.18186393460550038</v>
      </c>
      <c r="F4005">
        <f t="shared" si="569"/>
        <v>1.8210492612186358</v>
      </c>
      <c r="G4005">
        <f>LN(F4005/参数实验室!$E$58)/参数实验室!$E$59</f>
        <v>0.12407423425666826</v>
      </c>
      <c r="H4005" s="856">
        <f>INDEX(神经网络!$G$10:$BO$70,MATCH(ROUND(G4005*2,1)/2,神经网络!$E$10:$E$70,0),MATCH(ROUND(E4005*2,1)/2,神经网络!$G$8:$BO$8,0))</f>
        <v>1.3743270021546068</v>
      </c>
      <c r="I4005">
        <f t="shared" si="570"/>
        <v>5435693.4288686756</v>
      </c>
      <c r="J4005">
        <f t="shared" si="571"/>
        <v>15594.027041833182</v>
      </c>
      <c r="K4005">
        <f t="shared" si="572"/>
        <v>348.57534966988703</v>
      </c>
      <c r="L4005" s="4">
        <f>MIN(MAX(L4004*(1+MAX(MIN(((B4005-B4004)/B4004)/($K$7*卓尔金历!$N$40),0),-卓尔金历!$M$43))+MIN(MAX(((B4005-B4004)/B4004)/($K$7*卓尔金历!$N$40),0),卓尔金历!$M$43),0),1)</f>
        <v>0.65806966203546602</v>
      </c>
      <c r="M4005" s="4">
        <f>MIN(MAX(M4004*(1+MAX(MIN(((B4005-B4004)/B4004)/($K$7*30),0),-卓尔金历!$M$43))+MIN(MAX(((B4005-B4004)/B4004)/($K$7*7),0),卓尔金历!$M$43),0),1)</f>
        <v>0.82903483101773301</v>
      </c>
      <c r="N4005">
        <f t="shared" si="573"/>
        <v>910901.86022650485</v>
      </c>
      <c r="O4005">
        <f t="shared" si="574"/>
        <v>2836965.3789655836</v>
      </c>
      <c r="P4005">
        <f t="shared" si="575"/>
        <v>-2.2379045387948365E-2</v>
      </c>
      <c r="Q4005">
        <f t="shared" si="576"/>
        <v>3.6382929773905344E-2</v>
      </c>
      <c r="R4005">
        <f t="shared" si="577"/>
        <v>0.53924365391275519</v>
      </c>
      <c r="S4005">
        <f t="shared" si="578"/>
        <v>3407.3576071981138</v>
      </c>
      <c r="T4005" s="564">
        <f>IF((I4005-MAX(I$470:I4005))/MAX(I$470:I4005)&gt;T4004,T4004,(I4005-MAX(I$470:I4005))/MAX(I$470:I4005))</f>
        <v>-0.91338805338419748</v>
      </c>
      <c r="U4005" s="564">
        <f>IF((J4005-MAX(J$470:J4005))/MAX(J$470:J4005)&gt;U4004,U4004,(J4005-MAX(J$470:J4005))/MAX(J$470:J4005))</f>
        <v>-0.83569785939843477</v>
      </c>
      <c r="V4005" s="564">
        <f>IF((K4005-MAX(K$470:K4005))/MAX(K$470:K4005)&gt;V4004,V4004,(K4005-MAX(K$470:K4005))/MAX(K$470:K4005))</f>
        <v>-0.84885940676762139</v>
      </c>
      <c r="W4005" s="564">
        <f>IF((N4005-MAX(N$470:N4005))/MAX(N$470:N4005)&gt;W4004,W4004,(N4005-MAX(N$470:N4005))/MAX(N$470:N4005))</f>
        <v>-0.62788758315546067</v>
      </c>
      <c r="X4005" s="564">
        <f>IF((O4005-MAX(O$470:O4005))/MAX(O$470:O4005)&gt;X4004,X4004,(O4005-MAX(O$470:O4005))/MAX(O$470:O4005))</f>
        <v>-0.71785564635603094</v>
      </c>
    </row>
    <row r="4006" spans="1:24">
      <c r="A4006" s="799">
        <v>44408</v>
      </c>
      <c r="B4006">
        <v>41555.672085846803</v>
      </c>
      <c r="C4006">
        <v>68126.611460229993</v>
      </c>
      <c r="D4006">
        <v>2.0981531131</v>
      </c>
      <c r="E4006">
        <f>LN(D4006/参数实验室!$E$53)/参数实验室!$E$55</f>
        <v>0.18129668129654636</v>
      </c>
      <c r="F4006">
        <f t="shared" si="569"/>
        <v>1.6394058389789061</v>
      </c>
      <c r="G4006">
        <f>LN(F4006/参数实验室!$E$58)/参数实验室!$E$59</f>
        <v>6.8923112411804086E-2</v>
      </c>
      <c r="H4006" s="856">
        <f>INDEX(神经网络!$G$10:$BO$70,MATCH(ROUND(G4006*2,1)/2,神经网络!$E$10:$E$70,0),MATCH(ROUND(E4006*2,1)/2,神经网络!$G$8:$BO$8,0))</f>
        <v>1.3307472862425869</v>
      </c>
      <c r="I4006">
        <f t="shared" si="570"/>
        <v>5908896.9169775182</v>
      </c>
      <c r="J4006">
        <f t="shared" si="571"/>
        <v>16581.809219842278</v>
      </c>
      <c r="K4006">
        <f t="shared" si="572"/>
        <v>356.34814263251559</v>
      </c>
      <c r="L4006" s="4">
        <f>MIN(MAX(L4005*(1+MAX(MIN(((B4006-B4005)/B4005)/($K$7*卓尔金历!$N$40),0),-卓尔金历!$M$43))+MIN(MAX(((B4006-B4005)/B4005)/($K$7*卓尔金历!$N$40),0),卓尔金历!$M$43),0),1)</f>
        <v>1</v>
      </c>
      <c r="M4006" s="4">
        <f>MIN(MAX(M4005*(1+MAX(MIN(((B4006-B4005)/B4005)/($K$7*30),0),-卓尔金历!$M$43))+MIN(MAX(((B4006-B4005)/B4005)/($K$7*7),0),卓尔金历!$M$43),0),1)</f>
        <v>1</v>
      </c>
      <c r="N4006">
        <f t="shared" si="573"/>
        <v>963085.74916375533</v>
      </c>
      <c r="O4006">
        <f t="shared" si="574"/>
        <v>3041713.4391222633</v>
      </c>
      <c r="P4006">
        <f t="shared" si="575"/>
        <v>6.3343623514261718E-2</v>
      </c>
      <c r="Q4006">
        <f t="shared" si="576"/>
        <v>3.8256835301391734E-2</v>
      </c>
      <c r="R4006">
        <f t="shared" si="577"/>
        <v>1.8036764602681877E-2</v>
      </c>
      <c r="S4006">
        <f t="shared" si="578"/>
        <v>3567.3118414949313</v>
      </c>
      <c r="T4006" s="564">
        <f>IF((I4006-MAX(I$470:I4006))/MAX(I$470:I4006)&gt;T4005,T4005,(I4006-MAX(I$470:I4006))/MAX(I$470:I4006))</f>
        <v>-0.91338805338419748</v>
      </c>
      <c r="U4006" s="564">
        <f>IF((J4006-MAX(J$470:J4006))/MAX(J$470:J4006)&gt;U4005,U4005,(J4006-MAX(J$470:J4006))/MAX(J$470:J4006))</f>
        <v>-0.83569785939843477</v>
      </c>
      <c r="V4006" s="564">
        <f>IF((K4006-MAX(K$470:K4006))/MAX(K$470:K4006)&gt;V4005,V4005,(K4006-MAX(K$470:K4006))/MAX(K$470:K4006))</f>
        <v>-0.84885940676762139</v>
      </c>
      <c r="W4006" s="564">
        <f>IF((N4006-MAX(N$470:N4006))/MAX(N$470:N4006)&gt;W4005,W4005,(N4006-MAX(N$470:N4006))/MAX(N$470:N4006))</f>
        <v>-0.62788758315546067</v>
      </c>
      <c r="X4006" s="564">
        <f>IF((O4006-MAX(O$470:O4006))/MAX(O$470:O4006)&gt;X4005,X4005,(O4006-MAX(O$470:O4006))/MAX(O$470:O4006))</f>
        <v>-0.71785564635603094</v>
      </c>
    </row>
    <row r="4007" spans="1:24">
      <c r="A4007" s="799">
        <v>44409</v>
      </c>
      <c r="B4007">
        <v>41305.953277902197</v>
      </c>
      <c r="C4007">
        <v>65166.853591920502</v>
      </c>
      <c r="D4007">
        <v>2.0068384700999999</v>
      </c>
      <c r="E4007">
        <f>LN(D4007/参数实验室!$E$53)/参数实验室!$E$55</f>
        <v>0.12880131386624868</v>
      </c>
      <c r="F4007">
        <f t="shared" si="569"/>
        <v>1.5776625019034092</v>
      </c>
      <c r="G4007">
        <f>LN(F4007/参数实验室!$E$58)/参数实验室!$E$59</f>
        <v>4.8774196393004232E-2</v>
      </c>
      <c r="H4007" s="856">
        <f>INDEX(神经网络!$G$10:$BO$70,MATCH(ROUND(G4007*2,1)/2,神经网络!$E$10:$E$70,0),MATCH(ROUND(E4007*2,1)/2,神经网络!$G$8:$BO$8,0))</f>
        <v>1.2370128404787293</v>
      </c>
      <c r="I4007">
        <f t="shared" si="570"/>
        <v>5861644.6177687822</v>
      </c>
      <c r="J4007">
        <f t="shared" si="571"/>
        <v>16482.164828978144</v>
      </c>
      <c r="K4007">
        <f t="shared" si="572"/>
        <v>355.6356023975153</v>
      </c>
      <c r="L4007" s="4">
        <f>MIN(MAX(L4006*(1+MAX(MIN(((B4007-B4006)/B4006)/($K$7*卓尔金历!$N$40),0),-卓尔金历!$M$43))+MIN(MAX(((B4007-B4006)/B4006)/($K$7*卓尔金历!$N$40),0),卓尔金历!$M$43),0),1)</f>
        <v>0.9081842849202808</v>
      </c>
      <c r="M4007" s="4">
        <f>MIN(MAX(M4006*(1+MAX(MIN(((B4007-B4006)/B4006)/($K$7*30),0),-卓尔金历!$M$43))+MIN(MAX(((B4007-B4006)/B4006)/($K$7*7),0),卓尔金历!$M$43),0),1)</f>
        <v>0.9540921424601404</v>
      </c>
      <c r="N4007">
        <f t="shared" si="573"/>
        <v>955384.13977327815</v>
      </c>
      <c r="O4007">
        <f t="shared" si="574"/>
        <v>3017389.4484431096</v>
      </c>
      <c r="P4007">
        <f t="shared" si="575"/>
        <v>-6.0092592758151098E-3</v>
      </c>
      <c r="Q4007">
        <f t="shared" si="576"/>
        <v>3.8378453908822809E-2</v>
      </c>
      <c r="R4007">
        <f t="shared" si="577"/>
        <v>1</v>
      </c>
      <c r="S4007">
        <f t="shared" si="578"/>
        <v>3566.7973049279931</v>
      </c>
      <c r="T4007" s="564">
        <f>IF((I4007-MAX(I$470:I4007))/MAX(I$470:I4007)&gt;T4006,T4006,(I4007-MAX(I$470:I4007))/MAX(I$470:I4007))</f>
        <v>-0.91338805338419748</v>
      </c>
      <c r="U4007" s="564">
        <f>IF((J4007-MAX(J$470:J4007))/MAX(J$470:J4007)&gt;U4006,U4006,(J4007-MAX(J$470:J4007))/MAX(J$470:J4007))</f>
        <v>-0.83569785939843477</v>
      </c>
      <c r="V4007" s="564">
        <f>IF((K4007-MAX(K$470:K4007))/MAX(K$470:K4007)&gt;V4006,V4006,(K4007-MAX(K$470:K4007))/MAX(K$470:K4007))</f>
        <v>-0.84885940676762139</v>
      </c>
      <c r="W4007" s="564">
        <f>IF((N4007-MAX(N$470:N4007))/MAX(N$470:N4007)&gt;W4006,W4006,(N4007-MAX(N$470:N4007))/MAX(N$470:N4007))</f>
        <v>-0.62788758315546067</v>
      </c>
      <c r="X4007" s="564">
        <f>IF((O4007-MAX(O$470:O4007))/MAX(O$470:O4007)&gt;X4006,X4006,(O4007-MAX(O$470:O4007))/MAX(O$470:O4007))</f>
        <v>-0.71785564635603094</v>
      </c>
    </row>
    <row r="4008" spans="1:24">
      <c r="A4008" s="799">
        <v>44410</v>
      </c>
      <c r="B4008">
        <v>39775.182911474301</v>
      </c>
      <c r="C4008">
        <v>64460.955630862998</v>
      </c>
      <c r="D4008">
        <v>1.9729335714</v>
      </c>
      <c r="E4008">
        <f>LN(D4008/参数实验室!$E$53)/参数实验室!$E$55</f>
        <v>0.10869946805537015</v>
      </c>
      <c r="F4008">
        <f t="shared" si="569"/>
        <v>1.6206325379906015</v>
      </c>
      <c r="G4008">
        <f>LN(F4008/参数实验室!$E$58)/参数实验室!$E$59</f>
        <v>6.2878182441650596E-2</v>
      </c>
      <c r="H4008" s="856">
        <f>INDEX(神经网络!$G$10:$BO$70,MATCH(ROUND(G4008*2,1)/2,神经网络!$E$10:$E$70,0),MATCH(ROUND(E4008*2,1)/2,神经网络!$G$8:$BO$8,0))</f>
        <v>1.1442518361508895</v>
      </c>
      <c r="I4008">
        <f t="shared" si="570"/>
        <v>5592930.1258016508</v>
      </c>
      <c r="J4008">
        <f t="shared" si="571"/>
        <v>15871.347077720056</v>
      </c>
      <c r="K4008">
        <f t="shared" si="572"/>
        <v>352.39164630536726</v>
      </c>
      <c r="L4008" s="4">
        <f>MIN(MAX(L4007*(1+MAX(MIN(((B4008-B4007)/B4007)/($K$7*卓尔金历!$N$40),0),-卓尔金历!$M$43))+MIN(MAX(((B4008-B4007)/B4007)/($K$7*卓尔金历!$N$40),0),卓尔金历!$M$43),0),1)</f>
        <v>0.39394238700850093</v>
      </c>
      <c r="M4008" s="4">
        <f>MIN(MAX(M4007*(1+MAX(MIN(((B4008-B4007)/B4007)/($K$7*30),0),-卓尔金历!$M$43))+MIN(MAX(((B4008-B4007)/B4007)/($K$7*7),0),卓尔金历!$M$43),0),1)</f>
        <v>0.68397397246533254</v>
      </c>
      <c r="N4008">
        <f t="shared" si="573"/>
        <v>915607.91010717652</v>
      </c>
      <c r="O4008">
        <f t="shared" si="574"/>
        <v>2885413.9560323325</v>
      </c>
      <c r="P4008">
        <f t="shared" si="575"/>
        <v>-3.705931578746121E-2</v>
      </c>
      <c r="Q4008">
        <f t="shared" si="576"/>
        <v>3.9300905630111155E-2</v>
      </c>
      <c r="R4008">
        <f t="shared" si="577"/>
        <v>9.9360140474972131E-2</v>
      </c>
      <c r="S4008">
        <f t="shared" si="578"/>
        <v>3403.2851529223854</v>
      </c>
      <c r="T4008" s="564">
        <f>IF((I4008-MAX(I$470:I4008))/MAX(I$470:I4008)&gt;T4007,T4007,(I4008-MAX(I$470:I4008))/MAX(I$470:I4008))</f>
        <v>-0.91338805338419748</v>
      </c>
      <c r="U4008" s="564">
        <f>IF((J4008-MAX(J$470:J4008))/MAX(J$470:J4008)&gt;U4007,U4007,(J4008-MAX(J$470:J4008))/MAX(J$470:J4008))</f>
        <v>-0.83569785939843477</v>
      </c>
      <c r="V4008" s="564">
        <f>IF((K4008-MAX(K$470:K4008))/MAX(K$470:K4008)&gt;V4007,V4007,(K4008-MAX(K$470:K4008))/MAX(K$470:K4008))</f>
        <v>-0.84885940676762139</v>
      </c>
      <c r="W4008" s="564">
        <f>IF((N4008-MAX(N$470:N4008))/MAX(N$470:N4008)&gt;W4007,W4007,(N4008-MAX(N$470:N4008))/MAX(N$470:N4008))</f>
        <v>-0.62788758315546067</v>
      </c>
      <c r="X4008" s="564">
        <f>IF((O4008-MAX(O$470:O4008))/MAX(O$470:O4008)&gt;X4007,X4007,(O4008-MAX(O$470:O4008))/MAX(O$470:O4008))</f>
        <v>-0.71785564635603094</v>
      </c>
    </row>
    <row r="4009" spans="1:24">
      <c r="A4009" s="799">
        <v>44411</v>
      </c>
      <c r="B4009">
        <v>38206.259580191603</v>
      </c>
      <c r="C4009">
        <v>62132.430567186799</v>
      </c>
      <c r="D4009">
        <v>1.9228650347</v>
      </c>
      <c r="E4009">
        <f>LN(D4009/参数实验室!$E$53)/参数实验室!$E$55</f>
        <v>7.8373582635865344E-2</v>
      </c>
      <c r="F4009">
        <f t="shared" si="569"/>
        <v>1.6262369373473018</v>
      </c>
      <c r="G4009">
        <f>LN(F4009/参数实验室!$E$58)/参数实验室!$E$59</f>
        <v>6.4690078241618598E-2</v>
      </c>
      <c r="H4009" s="856">
        <f>INDEX(神经网络!$G$10:$BO$70,MATCH(ROUND(G4009*2,1)/2,神经网络!$E$10:$E$70,0),MATCH(ROUND(E4009*2,1)/2,神经网络!$G$8:$BO$8,0))</f>
        <v>1.1442518361508895</v>
      </c>
      <c r="I4009">
        <f t="shared" si="570"/>
        <v>5340494.5573242828</v>
      </c>
      <c r="J4009">
        <f t="shared" si="571"/>
        <v>15245.305287175906</v>
      </c>
      <c r="K4009">
        <f t="shared" si="572"/>
        <v>350.30420557183703</v>
      </c>
      <c r="L4009" s="4">
        <f>MIN(MAX(L4008*(1+MAX(MIN(((B4009-B4008)/B4008)/($K$7*卓尔金历!$N$40),0),-卓尔金历!$M$43))+MIN(MAX(((B4009-B4008)/B4008)/($K$7*卓尔金历!$N$40),0),卓尔金历!$M$43),0),1)</f>
        <v>0.15652182622797839</v>
      </c>
      <c r="M4009" s="4">
        <f>MIN(MAX(M4008*(1+MAX(MIN(((B4009-B4008)/B4008)/($K$7*30),0),-卓尔金历!$M$43))+MIN(MAX(((B4009-B4008)/B4008)/($K$7*7),0),卓尔金历!$M$43),0),1)</f>
        <v>0.47786580861027533</v>
      </c>
      <c r="N4009">
        <f t="shared" si="573"/>
        <v>899327.94753975957</v>
      </c>
      <c r="O4009">
        <f t="shared" si="574"/>
        <v>2796338.3352697915</v>
      </c>
      <c r="P4009">
        <f t="shared" si="575"/>
        <v>-3.9444779795848456E-2</v>
      </c>
      <c r="Q4009">
        <f t="shared" si="576"/>
        <v>4.0245022163157576E-2</v>
      </c>
      <c r="R4009">
        <f t="shared" si="577"/>
        <v>6.0174858245887072E-2</v>
      </c>
      <c r="S4009">
        <f t="shared" si="578"/>
        <v>3388.0227930415972</v>
      </c>
      <c r="T4009" s="564">
        <f>IF((I4009-MAX(I$470:I4009))/MAX(I$470:I4009)&gt;T4008,T4008,(I4009-MAX(I$470:I4009))/MAX(I$470:I4009))</f>
        <v>-0.91338805338419748</v>
      </c>
      <c r="U4009" s="564">
        <f>IF((J4009-MAX(J$470:J4009))/MAX(J$470:J4009)&gt;U4008,U4008,(J4009-MAX(J$470:J4009))/MAX(J$470:J4009))</f>
        <v>-0.83569785939843477</v>
      </c>
      <c r="V4009" s="564">
        <f>IF((K4009-MAX(K$470:K4009))/MAX(K$470:K4009)&gt;V4008,V4008,(K4009-MAX(K$470:K4009))/MAX(K$470:K4009))</f>
        <v>-0.84885940676762139</v>
      </c>
      <c r="W4009" s="564">
        <f>IF((N4009-MAX(N$470:N4009))/MAX(N$470:N4009)&gt;W4008,W4008,(N4009-MAX(N$470:N4009))/MAX(N$470:N4009))</f>
        <v>-0.62788758315546067</v>
      </c>
      <c r="X4009" s="564">
        <f>IF((O4009-MAX(O$470:O4009))/MAX(O$470:O4009)&gt;X4008,X4008,(O4009-MAX(O$470:O4009))/MAX(O$470:O4009))</f>
        <v>-0.71785564635603094</v>
      </c>
    </row>
    <row r="4010" spans="1:24">
      <c r="A4010" s="799">
        <v>44412</v>
      </c>
      <c r="B4010">
        <v>39299.435596309697</v>
      </c>
      <c r="C4010">
        <v>61972.520250672103</v>
      </c>
      <c r="D4010">
        <v>1.9956979324999999</v>
      </c>
      <c r="E4010">
        <f>LN(D4010/参数实验室!$E$53)/参数实验室!$E$55</f>
        <v>0.12223391859894772</v>
      </c>
      <c r="F4010">
        <f t="shared" si="569"/>
        <v>1.5769315592026329</v>
      </c>
      <c r="G4010">
        <f>LN(F4010/参数实验室!$E$58)/参数实验室!$E$59</f>
        <v>4.8530971286256601E-2</v>
      </c>
      <c r="H4010" s="856">
        <f>INDEX(神经网络!$G$10:$BO$70,MATCH(ROUND(G4010*2,1)/2,神经网络!$E$10:$E$70,0),MATCH(ROUND(E4010*2,1)/2,神经网络!$G$8:$BO$8,0))</f>
        <v>1.1442518361508895</v>
      </c>
      <c r="I4010">
        <f t="shared" si="570"/>
        <v>5515341.7515722634</v>
      </c>
      <c r="J4010">
        <f t="shared" si="571"/>
        <v>15681.511350827832</v>
      </c>
      <c r="K4010">
        <f t="shared" si="572"/>
        <v>351.70983384079921</v>
      </c>
      <c r="L4010" s="4">
        <f>MIN(MAX(L4009*(1+MAX(MIN(((B4010-B4009)/B4009)/($K$7*卓尔金历!$N$40),0),-卓尔金历!$M$43))+MIN(MAX(((B4010-B4009)/B4009)/($K$7*卓尔金历!$N$40),0),卓尔金历!$M$43),0),1)</f>
        <v>0.59369313447083316</v>
      </c>
      <c r="M4010" s="4">
        <f>MIN(MAX(M4009*(1+MAX(MIN(((B4010-B4009)/B4009)/($K$7*30),0),-卓尔金历!$M$43))+MIN(MAX(((B4010-B4009)/B4009)/($K$7*7),0),卓尔金历!$M$43),0),1)</f>
        <v>1</v>
      </c>
      <c r="N4010">
        <f t="shared" si="573"/>
        <v>903936.55997161299</v>
      </c>
      <c r="O4010">
        <f t="shared" si="574"/>
        <v>2840087.8122177301</v>
      </c>
      <c r="P4010">
        <f t="shared" si="575"/>
        <v>2.8612484659054693E-2</v>
      </c>
      <c r="Q4010">
        <f t="shared" si="576"/>
        <v>4.0441997180686438E-2</v>
      </c>
      <c r="R4010">
        <f t="shared" si="577"/>
        <v>0.40019646139977283</v>
      </c>
      <c r="S4010">
        <f t="shared" si="578"/>
        <v>3394.6975981570727</v>
      </c>
      <c r="T4010" s="564">
        <f>IF((I4010-MAX(I$470:I4010))/MAX(I$470:I4010)&gt;T4009,T4009,(I4010-MAX(I$470:I4010))/MAX(I$470:I4010))</f>
        <v>-0.91338805338419748</v>
      </c>
      <c r="U4010" s="564">
        <f>IF((J4010-MAX(J$470:J4010))/MAX(J$470:J4010)&gt;U4009,U4009,(J4010-MAX(J$470:J4010))/MAX(J$470:J4010))</f>
        <v>-0.83569785939843477</v>
      </c>
      <c r="V4010" s="564">
        <f>IF((K4010-MAX(K$470:K4010))/MAX(K$470:K4010)&gt;V4009,V4009,(K4010-MAX(K$470:K4010))/MAX(K$470:K4010))</f>
        <v>-0.84885940676762139</v>
      </c>
      <c r="W4010" s="564">
        <f>IF((N4010-MAX(N$470:N4010))/MAX(N$470:N4010)&gt;W4009,W4009,(N4010-MAX(N$470:N4010))/MAX(N$470:N4010))</f>
        <v>-0.62788758315546067</v>
      </c>
      <c r="X4010" s="564">
        <f>IF((O4010-MAX(O$470:O4010))/MAX(O$470:O4010)&gt;X4009,X4009,(O4010-MAX(O$470:O4010))/MAX(O$470:O4010))</f>
        <v>-0.71785564635603094</v>
      </c>
    </row>
    <row r="4011" spans="1:24">
      <c r="A4011" s="799">
        <v>44413</v>
      </c>
      <c r="B4011">
        <v>38833.5344648998</v>
      </c>
      <c r="C4011">
        <v>61230.665754405098</v>
      </c>
      <c r="D4011">
        <v>2.0522747743999998</v>
      </c>
      <c r="E4011">
        <f>LN(D4011/参数实验室!$E$53)/参数实验室!$E$55</f>
        <v>0.15521391343569646</v>
      </c>
      <c r="F4011">
        <f t="shared" si="569"/>
        <v>1.576747174783929</v>
      </c>
      <c r="G4011">
        <f>LN(F4011/参数实验室!$E$58)/参数实验室!$E$59</f>
        <v>4.8469598574632365E-2</v>
      </c>
      <c r="H4011" s="856">
        <f>INDEX(神经网络!$G$10:$BO$70,MATCH(ROUND(G4011*2,1)/2,神经网络!$E$10:$E$70,0),MATCH(ROUND(E4011*2,1)/2,神经网络!$G$8:$BO$8,0))</f>
        <v>1.2370128404787293</v>
      </c>
      <c r="I4011">
        <f t="shared" si="570"/>
        <v>5440524.5434551714</v>
      </c>
      <c r="J4011">
        <f t="shared" si="571"/>
        <v>15495.604510953168</v>
      </c>
      <c r="K4011">
        <f t="shared" si="572"/>
        <v>351.10114869087562</v>
      </c>
      <c r="L4011" s="4">
        <f>MIN(MAX(L4010*(1+MAX(MIN(((B4011-B4010)/B4010)/($K$7*卓尔金历!$N$40),0),-卓尔金历!$M$43))+MIN(MAX(((B4011-B4010)/B4010)/($K$7*卓尔金历!$N$40),0),卓尔金历!$M$43),0),1)</f>
        <v>0.48615424259463846</v>
      </c>
      <c r="M4011" s="4">
        <f>MIN(MAX(M4010*(1+MAX(MIN(((B4011-B4010)/B4010)/($K$7*30),0),-卓尔金历!$M$43))+MIN(MAX(((B4011-B4010)/B4010)/($K$7*7),0),卓尔金历!$M$43),0),1)</f>
        <v>0.90943225916529624</v>
      </c>
      <c r="N4011">
        <f t="shared" si="573"/>
        <v>896656.59904250759</v>
      </c>
      <c r="O4011">
        <f t="shared" si="574"/>
        <v>2801561.1985483351</v>
      </c>
      <c r="P4011">
        <f t="shared" si="575"/>
        <v>-1.185516087802661E-2</v>
      </c>
      <c r="Q4011">
        <f t="shared" si="576"/>
        <v>3.9628073516032682E-2</v>
      </c>
      <c r="R4011">
        <f t="shared" si="577"/>
        <v>1</v>
      </c>
      <c r="S4011">
        <f t="shared" si="578"/>
        <v>3376.2685286857777</v>
      </c>
      <c r="T4011" s="564">
        <f>IF((I4011-MAX(I$470:I4011))/MAX(I$470:I4011)&gt;T4010,T4010,(I4011-MAX(I$470:I4011))/MAX(I$470:I4011))</f>
        <v>-0.91338805338419748</v>
      </c>
      <c r="U4011" s="564">
        <f>IF((J4011-MAX(J$470:J4011))/MAX(J$470:J4011)&gt;U4010,U4010,(J4011-MAX(J$470:J4011))/MAX(J$470:J4011))</f>
        <v>-0.83569785939843477</v>
      </c>
      <c r="V4011" s="564">
        <f>IF((K4011-MAX(K$470:K4011))/MAX(K$470:K4011)&gt;V4010,V4010,(K4011-MAX(K$470:K4011))/MAX(K$470:K4011))</f>
        <v>-0.84885940676762139</v>
      </c>
      <c r="W4011" s="564">
        <f>IF((N4011-MAX(N$470:N4011))/MAX(N$470:N4011)&gt;W4010,W4010,(N4011-MAX(N$470:N4011))/MAX(N$470:N4011))</f>
        <v>-0.62788758315546067</v>
      </c>
      <c r="X4011" s="564">
        <f>IF((O4011-MAX(O$470:O4011))/MAX(O$470:O4011)&gt;X4010,X4010,(O4011-MAX(O$470:O4011))/MAX(O$470:O4011))</f>
        <v>-0.71785564635603094</v>
      </c>
    </row>
    <row r="4012" spans="1:24">
      <c r="A4012" s="799">
        <v>44414</v>
      </c>
      <c r="B4012">
        <v>41909.503150373399</v>
      </c>
      <c r="C4012">
        <v>59772.194806563799</v>
      </c>
      <c r="D4012">
        <v>2.1408278165999999</v>
      </c>
      <c r="E4012">
        <f>LN(D4012/参数实验室!$E$53)/参数实验室!$E$55</f>
        <v>0.20505112683371482</v>
      </c>
      <c r="F4012">
        <f t="shared" si="569"/>
        <v>1.4262205541329891</v>
      </c>
      <c r="G4012">
        <f>LN(F4012/参数实验室!$E$58)/参数实验室!$E$59</f>
        <v>-4.1921558721806015E-3</v>
      </c>
      <c r="H4012" s="856">
        <f>INDEX(神经网络!$G$10:$BO$70,MATCH(ROUND(G4012*2,1)/2,神经网络!$E$10:$E$70,0),MATCH(ROUND(E4012*2,1)/2,神经网络!$G$8:$BO$8,0))</f>
        <v>1.280604217802453</v>
      </c>
      <c r="I4012">
        <f t="shared" si="570"/>
        <v>5973601.5759418346</v>
      </c>
      <c r="J4012">
        <f t="shared" si="571"/>
        <v>16722.997147110382</v>
      </c>
      <c r="K4012">
        <f t="shared" si="572"/>
        <v>357.2087899909755</v>
      </c>
      <c r="L4012" s="4">
        <f>MIN(MAX(L4011*(1+MAX(MIN(((B4012-B4011)/B4011)/($K$7*卓尔金历!$N$40),0),-卓尔金历!$M$43))+MIN(MAX(((B4012-B4011)/B4011)/($K$7*卓尔金历!$N$40),0),卓尔金历!$M$43),0),1)</f>
        <v>1</v>
      </c>
      <c r="M4012" s="4">
        <f>MIN(MAX(M4011*(1+MAX(MIN(((B4012-B4011)/B4011)/($K$7*30),0),-卓尔金历!$M$43))+MIN(MAX(((B4012-B4011)/B4011)/($K$7*7),0),卓尔金历!$M$43),0),1)</f>
        <v>1</v>
      </c>
      <c r="N4012">
        <f t="shared" si="573"/>
        <v>939368.55173161707</v>
      </c>
      <c r="O4012">
        <f t="shared" si="574"/>
        <v>3051204.3559543118</v>
      </c>
      <c r="P4012">
        <f t="shared" si="575"/>
        <v>7.9209083794673743E-2</v>
      </c>
      <c r="Q4012">
        <f t="shared" si="576"/>
        <v>4.2254938412733208E-2</v>
      </c>
      <c r="R4012">
        <f t="shared" si="577"/>
        <v>1.4726990703737454E-2</v>
      </c>
      <c r="S4012">
        <f t="shared" si="578"/>
        <v>3707.0842788536652</v>
      </c>
      <c r="T4012" s="564">
        <f>IF((I4012-MAX(I$470:I4012))/MAX(I$470:I4012)&gt;T4011,T4011,(I4012-MAX(I$470:I4012))/MAX(I$470:I4012))</f>
        <v>-0.91338805338419748</v>
      </c>
      <c r="U4012" s="564">
        <f>IF((J4012-MAX(J$470:J4012))/MAX(J$470:J4012)&gt;U4011,U4011,(J4012-MAX(J$470:J4012))/MAX(J$470:J4012))</f>
        <v>-0.83569785939843477</v>
      </c>
      <c r="V4012" s="564">
        <f>IF((K4012-MAX(K$470:K4012))/MAX(K$470:K4012)&gt;V4011,V4011,(K4012-MAX(K$470:K4012))/MAX(K$470:K4012))</f>
        <v>-0.84885940676762139</v>
      </c>
      <c r="W4012" s="564">
        <f>IF((N4012-MAX(N$470:N4012))/MAX(N$470:N4012)&gt;W4011,W4011,(N4012-MAX(N$470:N4012))/MAX(N$470:N4012))</f>
        <v>-0.62788758315546067</v>
      </c>
      <c r="X4012" s="564">
        <f>IF((O4012-MAX(O$470:O4012))/MAX(O$470:O4012)&gt;X4011,X4011,(O4012-MAX(O$470:O4012))/MAX(O$470:O4012))</f>
        <v>-0.71785564635603094</v>
      </c>
    </row>
    <row r="4013" spans="1:24">
      <c r="A4013" s="799">
        <v>44415</v>
      </c>
      <c r="B4013">
        <v>43391.7389305857</v>
      </c>
      <c r="C4013">
        <v>58672.482138612599</v>
      </c>
      <c r="D4013">
        <v>2.2228900742</v>
      </c>
      <c r="E4013">
        <f>LN(D4013/参数实验室!$E$53)/参数实验室!$E$55</f>
        <v>0.24942825299954588</v>
      </c>
      <c r="F4013">
        <f t="shared" si="569"/>
        <v>1.3521578896036339</v>
      </c>
      <c r="G4013">
        <f>LN(F4013/参数实验室!$E$58)/参数实验室!$E$59</f>
        <v>-3.2180639758479235E-2</v>
      </c>
      <c r="H4013" s="856">
        <f>INDEX(神经网络!$G$10:$BO$70,MATCH(ROUND(G4013*2,1)/2,神经网络!$E$10:$E$70,0),MATCH(ROUND(E4013*2,1)/2,神经网络!$G$8:$BO$8,0))</f>
        <v>1.3306722236450521</v>
      </c>
      <c r="I4013">
        <f t="shared" si="570"/>
        <v>6244156.8232102217</v>
      </c>
      <c r="J4013">
        <f t="shared" si="571"/>
        <v>17314.448318337509</v>
      </c>
      <c r="K4013">
        <f t="shared" si="572"/>
        <v>360.63273333387792</v>
      </c>
      <c r="L4013" s="4">
        <f>MIN(MAX(L4012*(1+MAX(MIN(((B4013-B4012)/B4012)/($K$7*卓尔金历!$N$40),0),-卓尔金历!$M$43))+MIN(MAX(((B4013-B4012)/B4012)/($K$7*卓尔金历!$N$40),0),卓尔金历!$M$43),0),1)</f>
        <v>1</v>
      </c>
      <c r="M4013" s="4">
        <f>MIN(MAX(M4012*(1+MAX(MIN(((B4013-B4012)/B4012)/($K$7*30),0),-卓尔金历!$M$43))+MIN(MAX(((B4013-B4012)/B4012)/($K$7*7),0),卓尔金历!$M$43),0),1)</f>
        <v>1</v>
      </c>
      <c r="N4013">
        <f t="shared" si="573"/>
        <v>981914.25679059955</v>
      </c>
      <c r="O4013">
        <f t="shared" si="574"/>
        <v>3189398.9339650562</v>
      </c>
      <c r="P4013">
        <f t="shared" si="575"/>
        <v>3.5367534062476579E-2</v>
      </c>
      <c r="Q4013">
        <f t="shared" si="576"/>
        <v>4.2107280851959937E-2</v>
      </c>
      <c r="R4013">
        <f t="shared" si="577"/>
        <v>0.22405169971005798</v>
      </c>
      <c r="S4013">
        <f t="shared" si="578"/>
        <v>3709.5569489728009</v>
      </c>
      <c r="T4013" s="564">
        <f>IF((I4013-MAX(I$470:I4013))/MAX(I$470:I4013)&gt;T4012,T4012,(I4013-MAX(I$470:I4013))/MAX(I$470:I4013))</f>
        <v>-0.91338805338419748</v>
      </c>
      <c r="U4013" s="564">
        <f>IF((J4013-MAX(J$470:J4013))/MAX(J$470:J4013)&gt;U4012,U4012,(J4013-MAX(J$470:J4013))/MAX(J$470:J4013))</f>
        <v>-0.83569785939843477</v>
      </c>
      <c r="V4013" s="564">
        <f>IF((K4013-MAX(K$470:K4013))/MAX(K$470:K4013)&gt;V4012,V4012,(K4013-MAX(K$470:K4013))/MAX(K$470:K4013))</f>
        <v>-0.84885940676762139</v>
      </c>
      <c r="W4013" s="564">
        <f>IF((N4013-MAX(N$470:N4013))/MAX(N$470:N4013)&gt;W4012,W4012,(N4013-MAX(N$470:N4013))/MAX(N$470:N4013))</f>
        <v>-0.62788758315546067</v>
      </c>
      <c r="X4013" s="564">
        <f>IF((O4013-MAX(O$470:O4013))/MAX(O$470:O4013)&gt;X4012,X4012,(O4013-MAX(O$470:O4013))/MAX(O$470:O4013))</f>
        <v>-0.71785564635603094</v>
      </c>
    </row>
    <row r="4014" spans="1:24">
      <c r="A4014" s="799">
        <v>44416</v>
      </c>
      <c r="B4014">
        <v>43981.128983849601</v>
      </c>
      <c r="C4014">
        <v>57637.380966549899</v>
      </c>
      <c r="D4014">
        <v>2.1958213624999998</v>
      </c>
      <c r="E4014">
        <f>LN(D4014/参数实验室!$E$53)/参数实验室!$E$55</f>
        <v>0.23497390341272412</v>
      </c>
      <c r="F4014">
        <f t="shared" si="569"/>
        <v>1.3105025336597211</v>
      </c>
      <c r="G4014">
        <f>LN(F4014/参数实验室!$E$58)/参数实验室!$E$59</f>
        <v>-4.8603887467748561E-2</v>
      </c>
      <c r="H4014" s="856">
        <f>INDEX(神经网络!$G$10:$BO$70,MATCH(ROUND(G4014*2,1)/2,神经网络!$E$10:$E$70,0),MATCH(ROUND(E4014*2,1)/2,神经网络!$G$8:$BO$8,0))</f>
        <v>1.3306722236450521</v>
      </c>
      <c r="I4014">
        <f t="shared" si="570"/>
        <v>6357016.9778102273</v>
      </c>
      <c r="J4014">
        <f t="shared" si="571"/>
        <v>17549.630495131689</v>
      </c>
      <c r="K4014">
        <f t="shared" si="572"/>
        <v>362.23081617437356</v>
      </c>
      <c r="L4014" s="4">
        <f>MIN(MAX(L4013*(1+MAX(MIN(((B4014-B4013)/B4013)/($K$7*卓尔金历!$N$40),0),-卓尔金历!$M$43))+MIN(MAX(((B4014-B4013)/B4013)/($K$7*卓尔金历!$N$40),0),卓尔金历!$M$43),0),1)</f>
        <v>1</v>
      </c>
      <c r="M4014" s="4">
        <f>MIN(MAX(M4013*(1+MAX(MIN(((B4014-B4013)/B4013)/($K$7*30),0),-卓尔金历!$M$43))+MIN(MAX(((B4014-B4013)/B4013)/($K$7*7),0),卓尔金历!$M$43),0),1)</f>
        <v>1</v>
      </c>
      <c r="N4014">
        <f t="shared" si="573"/>
        <v>999661.88837048085</v>
      </c>
      <c r="O4014">
        <f t="shared" si="574"/>
        <v>3247045.7975784736</v>
      </c>
      <c r="P4014">
        <f t="shared" si="575"/>
        <v>1.3583001460410617E-2</v>
      </c>
      <c r="Q4014">
        <f t="shared" si="576"/>
        <v>4.1673458074741349E-2</v>
      </c>
      <c r="R4014">
        <f t="shared" si="577"/>
        <v>1</v>
      </c>
      <c r="S4014">
        <f t="shared" si="578"/>
        <v>3724.5792729737605</v>
      </c>
      <c r="T4014" s="564">
        <f>IF((I4014-MAX(I$470:I4014))/MAX(I$470:I4014)&gt;T4013,T4013,(I4014-MAX(I$470:I4014))/MAX(I$470:I4014))</f>
        <v>-0.91338805338419748</v>
      </c>
      <c r="U4014" s="564">
        <f>IF((J4014-MAX(J$470:J4014))/MAX(J$470:J4014)&gt;U4013,U4013,(J4014-MAX(J$470:J4014))/MAX(J$470:J4014))</f>
        <v>-0.83569785939843477</v>
      </c>
      <c r="V4014" s="564">
        <f>IF((K4014-MAX(K$470:K4014))/MAX(K$470:K4014)&gt;V4013,V4013,(K4014-MAX(K$470:K4014))/MAX(K$470:K4014))</f>
        <v>-0.84885940676762139</v>
      </c>
      <c r="W4014" s="564">
        <f>IF((N4014-MAX(N$470:N4014))/MAX(N$470:N4014)&gt;W4013,W4013,(N4014-MAX(N$470:N4014))/MAX(N$470:N4014))</f>
        <v>-0.62788758315546067</v>
      </c>
      <c r="X4014" s="564">
        <f>IF((O4014-MAX(O$470:O4014))/MAX(O$470:O4014)&gt;X4013,X4013,(O4014-MAX(O$470:O4014))/MAX(O$470:O4014))</f>
        <v>-0.71785564635603094</v>
      </c>
    </row>
    <row r="4015" spans="1:24">
      <c r="A4015" s="799">
        <v>44417</v>
      </c>
      <c r="B4015">
        <v>45946.9434924077</v>
      </c>
      <c r="C4015">
        <v>57992.191752660299</v>
      </c>
      <c r="D4015">
        <v>2.3036844095000002</v>
      </c>
      <c r="E4015">
        <f>LN(D4015/参数实验室!$E$53)/参数实验室!$E$55</f>
        <v>0.29154730068391405</v>
      </c>
      <c r="F4015">
        <f t="shared" si="569"/>
        <v>1.262155593924174</v>
      </c>
      <c r="G4015">
        <f>LN(F4015/参数实验室!$E$58)/参数实验室!$E$59</f>
        <v>-6.83329562647189E-2</v>
      </c>
      <c r="H4015" s="856">
        <f>INDEX(神经网络!$G$10:$BO$70,MATCH(ROUND(G4015*2,1)/2,神经网络!$E$10:$E$70,0),MATCH(ROUND(E4015*2,1)/2,神经网络!$G$8:$BO$8,0))</f>
        <v>1.4234646161346216</v>
      </c>
      <c r="I4015">
        <f t="shared" si="570"/>
        <v>6735111.7090386562</v>
      </c>
      <c r="J4015">
        <f t="shared" si="571"/>
        <v>18334.042333668895</v>
      </c>
      <c r="K4015">
        <f t="shared" si="572"/>
        <v>367.3555229372522</v>
      </c>
      <c r="L4015" s="4">
        <f>MIN(MAX(L4014*(1+MAX(MIN(((B4015-B4014)/B4014)/($K$7*卓尔金历!$N$40),0),-卓尔金历!$M$43))+MIN(MAX(((B4015-B4014)/B4014)/($K$7*卓尔金历!$N$40),0),卓尔金历!$M$43),0),1)</f>
        <v>1</v>
      </c>
      <c r="M4015" s="4">
        <f>MIN(MAX(M4014*(1+MAX(MIN(((B4015-B4014)/B4014)/($K$7*30),0),-卓尔金历!$M$43))+MIN(MAX(((B4015-B4014)/B4014)/($K$7*7),0),卓尔金历!$M$43),0),1)</f>
        <v>1</v>
      </c>
      <c r="N4015">
        <f t="shared" si="573"/>
        <v>1059118.5320009871</v>
      </c>
      <c r="O4015">
        <f t="shared" si="574"/>
        <v>3440169.5398002113</v>
      </c>
      <c r="P4015">
        <f t="shared" si="575"/>
        <v>4.4696772319782169E-2</v>
      </c>
      <c r="Q4015">
        <f t="shared" si="576"/>
        <v>4.1163998306896724E-2</v>
      </c>
      <c r="R4015">
        <f t="shared" si="577"/>
        <v>3.824218036565858E-2</v>
      </c>
      <c r="S4015">
        <f t="shared" si="578"/>
        <v>3946.1051559578082</v>
      </c>
      <c r="T4015" s="564">
        <f>IF((I4015-MAX(I$470:I4015))/MAX(I$470:I4015)&gt;T4014,T4014,(I4015-MAX(I$470:I4015))/MAX(I$470:I4015))</f>
        <v>-0.91338805338419748</v>
      </c>
      <c r="U4015" s="564">
        <f>IF((J4015-MAX(J$470:J4015))/MAX(J$470:J4015)&gt;U4014,U4014,(J4015-MAX(J$470:J4015))/MAX(J$470:J4015))</f>
        <v>-0.83569785939843477</v>
      </c>
      <c r="V4015" s="564">
        <f>IF((K4015-MAX(K$470:K4015))/MAX(K$470:K4015)&gt;V4014,V4014,(K4015-MAX(K$470:K4015))/MAX(K$470:K4015))</f>
        <v>-0.84885940676762139</v>
      </c>
      <c r="W4015" s="564">
        <f>IF((N4015-MAX(N$470:N4015))/MAX(N$470:N4015)&gt;W4014,W4014,(N4015-MAX(N$470:N4015))/MAX(N$470:N4015))</f>
        <v>-0.62788758315546067</v>
      </c>
      <c r="X4015" s="564">
        <f>IF((O4015-MAX(O$470:O4015))/MAX(O$470:O4015)&gt;X4014,X4014,(O4015-MAX(O$470:O4015))/MAX(O$470:O4015))</f>
        <v>-0.71785564635603094</v>
      </c>
    </row>
    <row r="4016" spans="1:24">
      <c r="A4016" s="799">
        <v>44418</v>
      </c>
      <c r="B4016">
        <v>45160.897007569598</v>
      </c>
      <c r="C4016">
        <v>56486.950907483901</v>
      </c>
      <c r="D4016">
        <v>2.2614885246999998</v>
      </c>
      <c r="E4016">
        <f>LN(D4016/参数实验室!$E$53)/参数实验室!$E$55</f>
        <v>0.26973776557774859</v>
      </c>
      <c r="F4016">
        <f t="shared" si="569"/>
        <v>1.2507933776872477</v>
      </c>
      <c r="G4016">
        <f>LN(F4016/参数实验室!$E$58)/参数实验室!$E$59</f>
        <v>-7.3079209242252932E-2</v>
      </c>
      <c r="H4016" s="856">
        <f>INDEX(神经网络!$G$10:$BO$70,MATCH(ROUND(G4016*2,1)/2,神经网络!$E$10:$E$70,0),MATCH(ROUND(E4016*2,1)/2,神经网络!$G$8:$BO$8,0))</f>
        <v>1.3306722236450521</v>
      </c>
      <c r="I4016">
        <f t="shared" si="570"/>
        <v>6571096.8922893303</v>
      </c>
      <c r="J4016">
        <f t="shared" si="571"/>
        <v>18020.38905373669</v>
      </c>
      <c r="K4016">
        <f t="shared" si="572"/>
        <v>364.64789260067357</v>
      </c>
      <c r="L4016" s="4">
        <f>MIN(MAX(L4015*(1+MAX(MIN(((B4016-B4015)/B4015)/($K$7*卓尔金历!$N$40),0),-卓尔金历!$M$43))+MIN(MAX(((B4016-B4015)/B4015)/($K$7*卓尔金历!$N$40),0),卓尔金历!$M$43),0),1)</f>
        <v>0.73861077444840784</v>
      </c>
      <c r="M4016" s="4">
        <f>MIN(MAX(M4015*(1+MAX(MIN(((B4016-B4015)/B4015)/($K$7*30),0),-卓尔金历!$M$43))+MIN(MAX(((B4016-B4015)/B4015)/($K$7*7),0),卓尔金历!$M$43),0),1)</f>
        <v>0.86930538722420392</v>
      </c>
      <c r="N4016">
        <f t="shared" si="573"/>
        <v>1033326.6610645581</v>
      </c>
      <c r="O4016">
        <f t="shared" si="574"/>
        <v>3356393.8281220035</v>
      </c>
      <c r="P4016">
        <f t="shared" si="575"/>
        <v>-1.7107699121879313E-2</v>
      </c>
      <c r="Q4016">
        <f t="shared" si="576"/>
        <v>4.0810285988890471E-2</v>
      </c>
      <c r="R4016">
        <f t="shared" si="577"/>
        <v>0.94635776104006608</v>
      </c>
      <c r="S4016">
        <f t="shared" si="578"/>
        <v>3942.430221656889</v>
      </c>
      <c r="T4016" s="564">
        <f>IF((I4016-MAX(I$470:I4016))/MAX(I$470:I4016)&gt;T4015,T4015,(I4016-MAX(I$470:I4016))/MAX(I$470:I4016))</f>
        <v>-0.91338805338419748</v>
      </c>
      <c r="U4016" s="564">
        <f>IF((J4016-MAX(J$470:J4016))/MAX(J$470:J4016)&gt;U4015,U4015,(J4016-MAX(J$470:J4016))/MAX(J$470:J4016))</f>
        <v>-0.83569785939843477</v>
      </c>
      <c r="V4016" s="564">
        <f>IF((K4016-MAX(K$470:K4016))/MAX(K$470:K4016)&gt;V4015,V4015,(K4016-MAX(K$470:K4016))/MAX(K$470:K4016))</f>
        <v>-0.84885940676762139</v>
      </c>
      <c r="W4016" s="564">
        <f>IF((N4016-MAX(N$470:N4016))/MAX(N$470:N4016)&gt;W4015,W4015,(N4016-MAX(N$470:N4016))/MAX(N$470:N4016))</f>
        <v>-0.62788758315546067</v>
      </c>
      <c r="X4016" s="564">
        <f>IF((O4016-MAX(O$470:O4016))/MAX(O$470:O4016)&gt;X4015,X4015,(O4016-MAX(O$470:O4016))/MAX(O$470:O4016))</f>
        <v>-0.71785564635603094</v>
      </c>
    </row>
    <row r="4017" spans="1:24">
      <c r="A4017" s="799">
        <v>44419</v>
      </c>
      <c r="B4017">
        <v>46464.898043866597</v>
      </c>
      <c r="C4017">
        <v>55721.130176545797</v>
      </c>
      <c r="D4017">
        <v>2.2681729783</v>
      </c>
      <c r="E4017">
        <f>LN(D4017/参数实验室!$E$53)/参数实验室!$E$55</f>
        <v>0.27321970856092653</v>
      </c>
      <c r="F4017">
        <f t="shared" si="569"/>
        <v>1.1992091346878793</v>
      </c>
      <c r="G4017">
        <f>LN(F4017/参数实验室!$E$58)/参数实验室!$E$59</f>
        <v>-9.5183839845660687E-2</v>
      </c>
      <c r="H4017" s="856">
        <f>INDEX(神经网络!$G$10:$BO$70,MATCH(ROUND(G4017*2,1)/2,神经网络!$E$10:$E$70,0),MATCH(ROUND(E4017*2,1)/2,神经网络!$G$8:$BO$8,0))</f>
        <v>1.2804811196591386</v>
      </c>
      <c r="I4017">
        <f t="shared" si="570"/>
        <v>6823575.3563770456</v>
      </c>
      <c r="J4017">
        <f t="shared" si="571"/>
        <v>18540.719861085559</v>
      </c>
      <c r="K4017">
        <f t="shared" si="572"/>
        <v>368.03184598559193</v>
      </c>
      <c r="L4017" s="4">
        <f>MIN(MAX(L4016*(1+MAX(MIN(((B4017-B4016)/B4016)/($K$7*卓尔金历!$N$40),0),-卓尔金历!$M$43))+MIN(MAX(((B4017-B4016)/B4016)/($K$7*卓尔金历!$N$40),0),卓尔金历!$M$43),0),1)</f>
        <v>1</v>
      </c>
      <c r="M4017" s="4">
        <f>MIN(MAX(M4016*(1+MAX(MIN(((B4017-B4016)/B4016)/($K$7*30),0),-卓尔金历!$M$43))+MIN(MAX(((B4017-B4016)/B4016)/($K$7*7),0),卓尔金历!$M$43),0),1)</f>
        <v>1</v>
      </c>
      <c r="N4017">
        <f t="shared" si="573"/>
        <v>1062651.7772888739</v>
      </c>
      <c r="O4017">
        <f t="shared" si="574"/>
        <v>3468500.5757883866</v>
      </c>
      <c r="P4017">
        <f t="shared" si="575"/>
        <v>2.8874560132816449E-2</v>
      </c>
      <c r="Q4017">
        <f t="shared" si="576"/>
        <v>3.9663179911751424E-2</v>
      </c>
      <c r="R4017">
        <f t="shared" si="577"/>
        <v>0.37122837981806994</v>
      </c>
      <c r="S4017">
        <f t="shared" si="578"/>
        <v>4085.7829067627122</v>
      </c>
      <c r="T4017" s="564">
        <f>IF((I4017-MAX(I$470:I4017))/MAX(I$470:I4017)&gt;T4016,T4016,(I4017-MAX(I$470:I4017))/MAX(I$470:I4017))</f>
        <v>-0.91338805338419748</v>
      </c>
      <c r="U4017" s="564">
        <f>IF((J4017-MAX(J$470:J4017))/MAX(J$470:J4017)&gt;U4016,U4016,(J4017-MAX(J$470:J4017))/MAX(J$470:J4017))</f>
        <v>-0.83569785939843477</v>
      </c>
      <c r="V4017" s="564">
        <f>IF((K4017-MAX(K$470:K4017))/MAX(K$470:K4017)&gt;V4016,V4016,(K4017-MAX(K$470:K4017))/MAX(K$470:K4017))</f>
        <v>-0.84885940676762139</v>
      </c>
      <c r="W4017" s="564">
        <f>IF((N4017-MAX(N$470:N4017))/MAX(N$470:N4017)&gt;W4016,W4016,(N4017-MAX(N$470:N4017))/MAX(N$470:N4017))</f>
        <v>-0.62788758315546067</v>
      </c>
      <c r="X4017" s="564">
        <f>IF((O4017-MAX(O$470:O4017))/MAX(O$470:O4017)&gt;X4016,X4016,(O4017-MAX(O$470:O4017))/MAX(O$470:O4017))</f>
        <v>-0.71785564635603094</v>
      </c>
    </row>
    <row r="4018" spans="1:24">
      <c r="A4018" s="799">
        <v>44420</v>
      </c>
      <c r="B4018">
        <v>44206.8030933993</v>
      </c>
      <c r="C4018">
        <v>55185.294683907297</v>
      </c>
      <c r="D4018">
        <v>2.2034369951000001</v>
      </c>
      <c r="E4018">
        <f>LN(D4018/参数实验室!$E$53)/参数实验室!$E$55</f>
        <v>0.23905849018136982</v>
      </c>
      <c r="F4018">
        <f t="shared" si="569"/>
        <v>1.2483439385407002</v>
      </c>
      <c r="G4018">
        <f>LN(F4018/参数实验室!$E$58)/参数实验室!$E$59</f>
        <v>-7.4108043026341983E-2</v>
      </c>
      <c r="H4018" s="856">
        <f>INDEX(神经网络!$G$10:$BO$70,MATCH(ROUND(G4018*2,1)/2,神经网络!$E$10:$E$70,0),MATCH(ROUND(E4018*2,1)/2,神经网络!$G$8:$BO$8,0))</f>
        <v>1.3306722236450521</v>
      </c>
      <c r="I4018">
        <f t="shared" si="570"/>
        <v>6398953.4630834414</v>
      </c>
      <c r="J4018">
        <f t="shared" si="571"/>
        <v>17639.680417141866</v>
      </c>
      <c r="K4018">
        <f t="shared" si="572"/>
        <v>362.75903597805967</v>
      </c>
      <c r="L4018" s="4">
        <f>MIN(MAX(L4017*(1+MAX(MIN(((B4018-B4017)/B4017)/($K$7*卓尔金历!$N$40),0),-卓尔金历!$M$43))+MIN(MAX(((B4018-B4017)/B4017)/($K$7*卓尔金历!$N$40),0),卓尔金历!$M$43),0),1)</f>
        <v>0.25747122313821236</v>
      </c>
      <c r="M4018" s="4">
        <f>MIN(MAX(M4017*(1+MAX(MIN(((B4018-B4017)/B4017)/($K$7*30),0),-卓尔金历!$M$43))+MIN(MAX(((B4018-B4017)/B4017)/($K$7*7),0),卓尔金历!$M$43),0),1)</f>
        <v>0.62873561156910618</v>
      </c>
      <c r="N4018">
        <f t="shared" si="573"/>
        <v>996524.39010284131</v>
      </c>
      <c r="O4018">
        <f t="shared" si="574"/>
        <v>3252660.4619974839</v>
      </c>
      <c r="P4018">
        <f t="shared" si="575"/>
        <v>-4.8597867326330389E-2</v>
      </c>
      <c r="Q4018">
        <f t="shared" si="576"/>
        <v>4.218223871029099E-2</v>
      </c>
      <c r="R4018">
        <f t="shared" si="577"/>
        <v>3.4047651075580138E-2</v>
      </c>
      <c r="S4018">
        <f t="shared" si="578"/>
        <v>3991.3970662756187</v>
      </c>
      <c r="T4018" s="564">
        <f>IF((I4018-MAX(I$470:I4018))/MAX(I$470:I4018)&gt;T4017,T4017,(I4018-MAX(I$470:I4018))/MAX(I$470:I4018))</f>
        <v>-0.91338805338419748</v>
      </c>
      <c r="U4018" s="564">
        <f>IF((J4018-MAX(J$470:J4018))/MAX(J$470:J4018)&gt;U4017,U4017,(J4018-MAX(J$470:J4018))/MAX(J$470:J4018))</f>
        <v>-0.83569785939843477</v>
      </c>
      <c r="V4018" s="564">
        <f>IF((K4018-MAX(K$470:K4018))/MAX(K$470:K4018)&gt;V4017,V4017,(K4018-MAX(K$470:K4018))/MAX(K$470:K4018))</f>
        <v>-0.84885940676762139</v>
      </c>
      <c r="W4018" s="564">
        <f>IF((N4018-MAX(N$470:N4018))/MAX(N$470:N4018)&gt;W4017,W4017,(N4018-MAX(N$470:N4018))/MAX(N$470:N4018))</f>
        <v>-0.62788758315546067</v>
      </c>
      <c r="X4018" s="564">
        <f>IF((O4018-MAX(O$470:O4018))/MAX(O$470:O4018)&gt;X4017,X4017,(O4018-MAX(O$470:O4018))/MAX(O$470:O4018))</f>
        <v>-0.71785564635603094</v>
      </c>
    </row>
    <row r="4019" spans="1:24">
      <c r="A4019" s="799">
        <v>44421</v>
      </c>
      <c r="B4019">
        <v>46409.720774233603</v>
      </c>
      <c r="C4019">
        <v>56216.3105546316</v>
      </c>
      <c r="D4019">
        <v>2.362590119</v>
      </c>
      <c r="E4019">
        <f>LN(D4019/参数实验室!$E$53)/参数实验室!$E$55</f>
        <v>0.32133461529140644</v>
      </c>
      <c r="F4019">
        <f t="shared" si="569"/>
        <v>1.2113046494742661</v>
      </c>
      <c r="G4019">
        <f>LN(F4019/参数实验室!$E$58)/参数实验室!$E$59</f>
        <v>-8.9916553541676714E-2</v>
      </c>
      <c r="H4019" s="856">
        <f>INDEX(神经网络!$G$10:$BO$70,MATCH(ROUND(G4019*2,1)/2,神经网络!$E$10:$E$70,0),MATCH(ROUND(E4019*2,1)/2,神经网络!$G$8:$BO$8,0))</f>
        <v>1.374083265446286</v>
      </c>
      <c r="I4019">
        <f t="shared" si="570"/>
        <v>6823269.2622422883</v>
      </c>
      <c r="J4019">
        <f t="shared" si="571"/>
        <v>18518.702675166009</v>
      </c>
      <c r="K4019">
        <f t="shared" si="572"/>
        <v>368.45287609657686</v>
      </c>
      <c r="L4019" s="4">
        <f>MIN(MAX(L4018*(1+MAX(MIN(((B4019-B4018)/B4018)/($K$7*卓尔金历!$N$40),0),-卓尔金历!$M$43))+MIN(MAX(((B4019-B4018)/B4018)/($K$7*卓尔金历!$N$40),0),卓尔金历!$M$43),0),1)</f>
        <v>1</v>
      </c>
      <c r="M4019" s="4">
        <f>MIN(MAX(M4018*(1+MAX(MIN(((B4019-B4018)/B4018)/($K$7*30),0),-卓尔金历!$M$43))+MIN(MAX(((B4019-B4018)/B4018)/($K$7*7),0),卓尔金历!$M$43),0),1)</f>
        <v>1</v>
      </c>
      <c r="N4019">
        <f t="shared" si="573"/>
        <v>1013538.0160268354</v>
      </c>
      <c r="O4019">
        <f t="shared" si="574"/>
        <v>3388269.0022695214</v>
      </c>
      <c r="P4019">
        <f t="shared" si="575"/>
        <v>4.9832096570747733E-2</v>
      </c>
      <c r="Q4019">
        <f t="shared" si="576"/>
        <v>4.2517723448153383E-2</v>
      </c>
      <c r="R4019">
        <f t="shared" si="577"/>
        <v>3.5486302920082868E-2</v>
      </c>
      <c r="S4019">
        <f t="shared" si="578"/>
        <v>4000.4084677849091</v>
      </c>
      <c r="T4019" s="564">
        <f>IF((I4019-MAX(I$470:I4019))/MAX(I$470:I4019)&gt;T4018,T4018,(I4019-MAX(I$470:I4019))/MAX(I$470:I4019))</f>
        <v>-0.91338805338419748</v>
      </c>
      <c r="U4019" s="564">
        <f>IF((J4019-MAX(J$470:J4019))/MAX(J$470:J4019)&gt;U4018,U4018,(J4019-MAX(J$470:J4019))/MAX(J$470:J4019))</f>
        <v>-0.83569785939843477</v>
      </c>
      <c r="V4019" s="564">
        <f>IF((K4019-MAX(K$470:K4019))/MAX(K$470:K4019)&gt;V4018,V4018,(K4019-MAX(K$470:K4019))/MAX(K$470:K4019))</f>
        <v>-0.84885940676762139</v>
      </c>
      <c r="W4019" s="564">
        <f>IF((N4019-MAX(N$470:N4019))/MAX(N$470:N4019)&gt;W4018,W4018,(N4019-MAX(N$470:N4019))/MAX(N$470:N4019))</f>
        <v>-0.62788758315546067</v>
      </c>
      <c r="X4019" s="564">
        <f>IF((O4019-MAX(O$470:O4019))/MAX(O$470:O4019)&gt;X4018,X4018,(O4019-MAX(O$470:O4019))/MAX(O$470:O4019))</f>
        <v>-0.71785564635603094</v>
      </c>
    </row>
    <row r="4020" spans="1:24">
      <c r="A4020" s="799">
        <v>44422</v>
      </c>
      <c r="B4020">
        <v>46954.944127888702</v>
      </c>
      <c r="C4020">
        <v>54915.397506911497</v>
      </c>
      <c r="D4020">
        <v>2.3278094781999998</v>
      </c>
      <c r="E4020">
        <f>LN(D4020/参数实验室!$E$53)/参数实验室!$E$55</f>
        <v>0.3038378860410037</v>
      </c>
      <c r="F4020">
        <f t="shared" si="569"/>
        <v>1.1695338696888091</v>
      </c>
      <c r="G4020">
        <f>LN(F4020/参数实验室!$E$58)/参数实验室!$E$59</f>
        <v>-0.10833511686379396</v>
      </c>
      <c r="H4020" s="856">
        <f>INDEX(神经网络!$G$10:$BO$70,MATCH(ROUND(G4020*2,1)/2,神经网络!$E$10:$E$70,0),MATCH(ROUND(E4020*2,1)/2,神经网络!$G$8:$BO$8,0))</f>
        <v>1.374083265446286</v>
      </c>
      <c r="I4020">
        <f t="shared" si="570"/>
        <v>6933415.8517904179</v>
      </c>
      <c r="J4020">
        <f t="shared" si="571"/>
        <v>18736.261173891158</v>
      </c>
      <c r="K4020">
        <f t="shared" si="572"/>
        <v>370.05333067474965</v>
      </c>
      <c r="L4020" s="4">
        <f>MIN(MAX(L4019*(1+MAX(MIN(((B4020-B4019)/B4019)/($K$7*卓尔金历!$N$40),0),-卓尔金历!$M$43))+MIN(MAX(((B4020-B4019)/B4019)/($K$7*卓尔金历!$N$40),0),卓尔金历!$M$43),0),1)</f>
        <v>1</v>
      </c>
      <c r="M4020" s="4">
        <f>MIN(MAX(M4019*(1+MAX(MIN(((B4020-B4019)/B4019)/($K$7*30),0),-卓尔金历!$M$43))+MIN(MAX(((B4020-B4019)/B4019)/($K$7*7),0),卓尔金历!$M$43),0),1)</f>
        <v>1</v>
      </c>
      <c r="N4020">
        <f t="shared" si="573"/>
        <v>1029899.3454060671</v>
      </c>
      <c r="O4020">
        <f t="shared" si="574"/>
        <v>3442965.1106492435</v>
      </c>
      <c r="P4020">
        <f t="shared" si="575"/>
        <v>1.1748042103235493E-2</v>
      </c>
      <c r="Q4020">
        <f t="shared" si="576"/>
        <v>4.2023639988340966E-2</v>
      </c>
      <c r="R4020">
        <f t="shared" si="577"/>
        <v>1</v>
      </c>
      <c r="S4020">
        <f t="shared" si="578"/>
        <v>4002.7000932425017</v>
      </c>
      <c r="T4020" s="564">
        <f>IF((I4020-MAX(I$470:I4020))/MAX(I$470:I4020)&gt;T4019,T4019,(I4020-MAX(I$470:I4020))/MAX(I$470:I4020))</f>
        <v>-0.91338805338419748</v>
      </c>
      <c r="U4020" s="564">
        <f>IF((J4020-MAX(J$470:J4020))/MAX(J$470:J4020)&gt;U4019,U4019,(J4020-MAX(J$470:J4020))/MAX(J$470:J4020))</f>
        <v>-0.83569785939843477</v>
      </c>
      <c r="V4020" s="564">
        <f>IF((K4020-MAX(K$470:K4020))/MAX(K$470:K4020)&gt;V4019,V4019,(K4020-MAX(K$470:K4020))/MAX(K$470:K4020))</f>
        <v>-0.84885940676762139</v>
      </c>
      <c r="W4020" s="564">
        <f>IF((N4020-MAX(N$470:N4020))/MAX(N$470:N4020)&gt;W4019,W4019,(N4020-MAX(N$470:N4020))/MAX(N$470:N4020))</f>
        <v>-0.62788758315546067</v>
      </c>
      <c r="X4020" s="564">
        <f>IF((O4020-MAX(O$470:O4020))/MAX(O$470:O4020)&gt;X4019,X4019,(O4020-MAX(O$470:O4020))/MAX(O$470:O4020))</f>
        <v>-0.71785564635603094</v>
      </c>
    </row>
    <row r="4021" spans="1:24">
      <c r="A4021" s="799">
        <v>44423</v>
      </c>
      <c r="B4021">
        <v>46158.946721399203</v>
      </c>
      <c r="C4021">
        <v>53794.691721237803</v>
      </c>
      <c r="D4021">
        <v>2.3239857563999999</v>
      </c>
      <c r="E4021">
        <f>LN(D4021/参数实验室!$E$53)/参数实验室!$E$55</f>
        <v>0.30189839860181888</v>
      </c>
      <c r="F4021">
        <f t="shared" si="569"/>
        <v>1.1654228604028931</v>
      </c>
      <c r="G4021">
        <f>LN(F4021/参数实验室!$E$58)/参数实验室!$E$59</f>
        <v>-0.11018327280308264</v>
      </c>
      <c r="H4021" s="856">
        <f>INDEX(神经网络!$G$10:$BO$70,MATCH(ROUND(G4021*2,1)/2,神经网络!$E$10:$E$70,0),MATCH(ROUND(E4021*2,1)/2,神经网络!$G$8:$BO$8,0))</f>
        <v>1.374083265446286</v>
      </c>
      <c r="I4021">
        <f t="shared" si="570"/>
        <v>6771909.1217766795</v>
      </c>
      <c r="J4021">
        <f t="shared" si="571"/>
        <v>18418.637213758084</v>
      </c>
      <c r="K4021">
        <f t="shared" si="572"/>
        <v>367.66613312293799</v>
      </c>
      <c r="L4021" s="4">
        <f>MIN(MAX(L4020*(1+MAX(MIN(((B4021-B4020)/B4020)/($K$7*卓尔金历!$N$40),0),-卓尔金历!$M$43))+MIN(MAX(((B4021-B4020)/B4020)/($K$7*卓尔金历!$N$40),0),卓尔金历!$M$43),0),1)</f>
        <v>0.74098411284515175</v>
      </c>
      <c r="M4021" s="4">
        <f>MIN(MAX(M4020*(1+MAX(MIN(((B4021-B4020)/B4020)/($K$7*30),0),-卓尔金历!$M$43))+MIN(MAX(((B4021-B4020)/B4020)/($K$7*7),0),卓尔金历!$M$43),0),1)</f>
        <v>0.87049205642257588</v>
      </c>
      <c r="N4021">
        <f t="shared" si="573"/>
        <v>1005908.9085023191</v>
      </c>
      <c r="O4021">
        <f t="shared" si="574"/>
        <v>3362764.8098943485</v>
      </c>
      <c r="P4021">
        <f t="shared" si="575"/>
        <v>-1.6952366173016487E-2</v>
      </c>
      <c r="Q4021">
        <f t="shared" si="576"/>
        <v>4.26061969625985E-2</v>
      </c>
      <c r="R4021">
        <f t="shared" si="577"/>
        <v>1</v>
      </c>
      <c r="S4021">
        <f t="shared" si="578"/>
        <v>3909.4613466990722</v>
      </c>
      <c r="T4021" s="564">
        <f>IF((I4021-MAX(I$470:I4021))/MAX(I$470:I4021)&gt;T4020,T4020,(I4021-MAX(I$470:I4021))/MAX(I$470:I4021))</f>
        <v>-0.91338805338419748</v>
      </c>
      <c r="U4021" s="564">
        <f>IF((J4021-MAX(J$470:J4021))/MAX(J$470:J4021)&gt;U4020,U4020,(J4021-MAX(J$470:J4021))/MAX(J$470:J4021))</f>
        <v>-0.83569785939843477</v>
      </c>
      <c r="V4021" s="564">
        <f>IF((K4021-MAX(K$470:K4021))/MAX(K$470:K4021)&gt;V4020,V4020,(K4021-MAX(K$470:K4021))/MAX(K$470:K4021))</f>
        <v>-0.84885940676762139</v>
      </c>
      <c r="W4021" s="564">
        <f>IF((N4021-MAX(N$470:N4021))/MAX(N$470:N4021)&gt;W4020,W4020,(N4021-MAX(N$470:N4021))/MAX(N$470:N4021))</f>
        <v>-0.62788758315546067</v>
      </c>
      <c r="X4021" s="564">
        <f>IF((O4021-MAX(O$470:O4021))/MAX(O$470:O4021)&gt;X4020,X4020,(O4021-MAX(O$470:O4021))/MAX(O$470:O4021))</f>
        <v>-0.71785564635603094</v>
      </c>
    </row>
    <row r="4022" spans="1:24">
      <c r="A4022" s="799">
        <v>44424</v>
      </c>
      <c r="B4022">
        <v>46332.180386228501</v>
      </c>
      <c r="C4022">
        <v>53181.018678521701</v>
      </c>
      <c r="D4022">
        <v>2.2681930617999999</v>
      </c>
      <c r="E4022">
        <f>LN(D4022/参数实验室!$E$53)/参数实验室!$E$55</f>
        <v>0.27323015462020228</v>
      </c>
      <c r="F4022">
        <f t="shared" si="569"/>
        <v>1.1478203321147586</v>
      </c>
      <c r="G4022">
        <f>LN(F4022/参数实验室!$E$58)/参数实验室!$E$59</f>
        <v>-0.11817113719752656</v>
      </c>
      <c r="H4022" s="856">
        <f>INDEX(神经网络!$G$10:$BO$70,MATCH(ROUND(G4022*2,1)/2,神经网络!$E$10:$E$70,0),MATCH(ROUND(E4022*2,1)/2,神经网络!$G$8:$BO$8,0))</f>
        <v>1.2804811196591386</v>
      </c>
      <c r="I4022">
        <f t="shared" si="570"/>
        <v>6806831.2397113992</v>
      </c>
      <c r="J4022">
        <f t="shared" si="571"/>
        <v>18487.762015174347</v>
      </c>
      <c r="K4022">
        <f t="shared" si="572"/>
        <v>368.18037976281295</v>
      </c>
      <c r="L4022" s="4">
        <f>MIN(MAX(L4021*(1+MAX(MIN(((B4022-B4021)/B4021)/($K$7*卓尔金历!$N$40),0),-卓尔金历!$M$43))+MIN(MAX(((B4022-B4021)/B4021)/($K$7*卓尔金历!$N$40),0),卓尔金历!$M$43),0),1)</f>
        <v>0.79832606595892441</v>
      </c>
      <c r="M4022" s="4">
        <f>MIN(MAX(M4021*(1+MAX(MIN(((B4022-B4021)/B4021)/($K$7*30),0),-卓尔金历!$M$43))+MIN(MAX(((B4022-B4021)/B4021)/($K$7*7),0),卓尔金历!$M$43),0),1)</f>
        <v>0.99336767023780292</v>
      </c>
      <c r="N4022">
        <f t="shared" si="573"/>
        <v>1009752.675062886</v>
      </c>
      <c r="O4022">
        <f t="shared" si="574"/>
        <v>3377860.4231128814</v>
      </c>
      <c r="P4022">
        <f t="shared" si="575"/>
        <v>3.7529813207151821E-3</v>
      </c>
      <c r="Q4022">
        <f t="shared" si="576"/>
        <v>3.4025200702205292E-2</v>
      </c>
      <c r="R4022">
        <f t="shared" si="577"/>
        <v>1</v>
      </c>
      <c r="S4022">
        <f t="shared" si="578"/>
        <v>3929.6220824318684</v>
      </c>
      <c r="T4022" s="564">
        <f>IF((I4022-MAX(I$470:I4022))/MAX(I$470:I4022)&gt;T4021,T4021,(I4022-MAX(I$470:I4022))/MAX(I$470:I4022))</f>
        <v>-0.91338805338419748</v>
      </c>
      <c r="U4022" s="564">
        <f>IF((J4022-MAX(J$470:J4022))/MAX(J$470:J4022)&gt;U4021,U4021,(J4022-MAX(J$470:J4022))/MAX(J$470:J4022))</f>
        <v>-0.83569785939843477</v>
      </c>
      <c r="V4022" s="564">
        <f>IF((K4022-MAX(K$470:K4022))/MAX(K$470:K4022)&gt;V4021,V4021,(K4022-MAX(K$470:K4022))/MAX(K$470:K4022))</f>
        <v>-0.84885940676762139</v>
      </c>
      <c r="W4022" s="564">
        <f>IF((N4022-MAX(N$470:N4022))/MAX(N$470:N4022)&gt;W4021,W4021,(N4022-MAX(N$470:N4022))/MAX(N$470:N4022))</f>
        <v>-0.62788758315546067</v>
      </c>
      <c r="X4022" s="564">
        <f>IF((O4022-MAX(O$470:O4022))/MAX(O$470:O4022)&gt;X4021,X4021,(O4022-MAX(O$470:O4022))/MAX(O$470:O4022))</f>
        <v>-0.71785564635603094</v>
      </c>
    </row>
    <row r="4023" spans="1:24">
      <c r="A4023" s="799">
        <v>44425</v>
      </c>
      <c r="B4023">
        <v>45750.621340608501</v>
      </c>
      <c r="C4023">
        <v>52240.648416648197</v>
      </c>
      <c r="D4023">
        <v>2.2047089130000002</v>
      </c>
      <c r="E4023">
        <f>LN(D4023/参数实验室!$E$53)/参数实验室!$E$55</f>
        <v>0.23973929764170204</v>
      </c>
      <c r="F4023">
        <f t="shared" si="569"/>
        <v>1.1418565887383723</v>
      </c>
      <c r="G4023">
        <f>LN(F4023/参数实验室!$E$58)/参数实验室!$E$59</f>
        <v>-0.12090523638223361</v>
      </c>
      <c r="H4023" s="856">
        <f>INDEX(神经网络!$G$10:$BO$70,MATCH(ROUND(G4023*2,1)/2,神经网络!$E$10:$E$70,0),MATCH(ROUND(E4023*2,1)/2,神经网络!$G$8:$BO$8,0))</f>
        <v>1.2804811196591386</v>
      </c>
      <c r="I4023">
        <f t="shared" si="570"/>
        <v>6697428.2376647433</v>
      </c>
      <c r="J4023">
        <f t="shared" si="571"/>
        <v>18255.704616977946</v>
      </c>
      <c r="K4023">
        <f t="shared" si="572"/>
        <v>366.867693040787</v>
      </c>
      <c r="L4023" s="4">
        <f>MIN(MAX(L4022*(1+MAX(MIN(((B4023-B4022)/B4022)/($K$7*卓尔金历!$N$40),0),-卓尔金历!$M$43))+MIN(MAX(((B4023-B4022)/B4022)/($K$7*卓尔金历!$N$40),0),卓尔金历!$M$43),0),1)</f>
        <v>0.64522173902080071</v>
      </c>
      <c r="M4023" s="4">
        <f>MIN(MAX(M4022*(1+MAX(MIN(((B4023-B4022)/B4022)/($K$7*30),0),-卓尔金历!$M$43))+MIN(MAX(((B4023-B4022)/B4022)/($K$7*7),0),卓尔金历!$M$43),0),1)</f>
        <v>0.89811280193335485</v>
      </c>
      <c r="N4023">
        <f t="shared" si="573"/>
        <v>996796.41735272703</v>
      </c>
      <c r="O4023">
        <f t="shared" si="574"/>
        <v>3323929.7330183396</v>
      </c>
      <c r="P4023">
        <f t="shared" si="575"/>
        <v>-1.2551946417632005E-2</v>
      </c>
      <c r="Q4023">
        <f t="shared" si="576"/>
        <v>3.4103240010996336E-2</v>
      </c>
      <c r="R4023">
        <f t="shared" si="577"/>
        <v>1</v>
      </c>
      <c r="S4023">
        <f t="shared" si="578"/>
        <v>3866.4631120406607</v>
      </c>
      <c r="T4023" s="564">
        <f>IF((I4023-MAX(I$470:I4023))/MAX(I$470:I4023)&gt;T4022,T4022,(I4023-MAX(I$470:I4023))/MAX(I$470:I4023))</f>
        <v>-0.91338805338419748</v>
      </c>
      <c r="U4023" s="564">
        <f>IF((J4023-MAX(J$470:J4023))/MAX(J$470:J4023)&gt;U4022,U4022,(J4023-MAX(J$470:J4023))/MAX(J$470:J4023))</f>
        <v>-0.83569785939843477</v>
      </c>
      <c r="V4023" s="564">
        <f>IF((K4023-MAX(K$470:K4023))/MAX(K$470:K4023)&gt;V4022,V4022,(K4023-MAX(K$470:K4023))/MAX(K$470:K4023))</f>
        <v>-0.84885940676762139</v>
      </c>
      <c r="W4023" s="564">
        <f>IF((N4023-MAX(N$470:N4023))/MAX(N$470:N4023)&gt;W4022,W4022,(N4023-MAX(N$470:N4023))/MAX(N$470:N4023))</f>
        <v>-0.62788758315546067</v>
      </c>
      <c r="X4023" s="564">
        <f>IF((O4023-MAX(O$470:O4023))/MAX(O$470:O4023)&gt;X4022,X4022,(O4023-MAX(O$470:O4023))/MAX(O$470:O4023))</f>
        <v>-0.71785564635603094</v>
      </c>
    </row>
    <row r="4024" spans="1:24">
      <c r="A4024" s="799">
        <v>44426</v>
      </c>
      <c r="B4024">
        <v>45797.393407036499</v>
      </c>
      <c r="C4024">
        <v>53439.361106254903</v>
      </c>
      <c r="D4024">
        <v>2.2136806880000002</v>
      </c>
      <c r="E4024">
        <f>LN(D4024/参数实验室!$E$53)/参数实验室!$E$55</f>
        <v>0.24453040759959227</v>
      </c>
      <c r="F4024">
        <f t="shared" si="569"/>
        <v>1.1668646866274328</v>
      </c>
      <c r="G4024">
        <f>LN(F4024/参数实验室!$E$58)/参数实验室!$E$59</f>
        <v>-0.10953434045274907</v>
      </c>
      <c r="H4024" s="856">
        <f>INDEX(神经网络!$G$10:$BO$70,MATCH(ROUND(G4024*2,1)/2,神经网络!$E$10:$E$70,0),MATCH(ROUND(E4024*2,1)/2,神经网络!$G$8:$BO$8,0))</f>
        <v>1.2804811196591386</v>
      </c>
      <c r="I4024">
        <f t="shared" si="570"/>
        <v>6706195.6374289291</v>
      </c>
      <c r="J4024">
        <f t="shared" si="571"/>
        <v>18274.367905126062</v>
      </c>
      <c r="K4024">
        <f t="shared" si="572"/>
        <v>366.97278243740533</v>
      </c>
      <c r="L4024" s="4">
        <f>MIN(MAX(L4023*(1+MAX(MIN(((B4024-B4023)/B4023)/($K$7*卓尔金历!$N$40),0),-卓尔金历!$M$43))+MIN(MAX(((B4024-B4023)/B4023)/($K$7*卓尔金历!$N$40),0),卓尔金历!$M$43),0),1)</f>
        <v>0.66084190483024341</v>
      </c>
      <c r="M4024" s="4">
        <f>MIN(MAX(M4023*(1+MAX(MIN(((B4024-B4023)/B4023)/($K$7*30),0),-卓尔金历!$M$43))+MIN(MAX(((B4024-B4023)/B4023)/($K$7*7),0),卓尔金历!$M$43),0),1)</f>
        <v>0.931584585810732</v>
      </c>
      <c r="N4024">
        <f t="shared" si="573"/>
        <v>997638.35164773546</v>
      </c>
      <c r="O4024">
        <f t="shared" si="574"/>
        <v>3327837.6511938316</v>
      </c>
      <c r="P4024">
        <f t="shared" si="575"/>
        <v>1.022326365357655E-3</v>
      </c>
      <c r="Q4024">
        <f t="shared" si="576"/>
        <v>3.3536135343426011E-2</v>
      </c>
      <c r="R4024">
        <f t="shared" si="577"/>
        <v>1</v>
      </c>
      <c r="S4024">
        <f t="shared" si="578"/>
        <v>3871.5245813948372</v>
      </c>
      <c r="T4024" s="564">
        <f>IF((I4024-MAX(I$470:I4024))/MAX(I$470:I4024)&gt;T4023,T4023,(I4024-MAX(I$470:I4024))/MAX(I$470:I4024))</f>
        <v>-0.91338805338419748</v>
      </c>
      <c r="U4024" s="564">
        <f>IF((J4024-MAX(J$470:J4024))/MAX(J$470:J4024)&gt;U4023,U4023,(J4024-MAX(J$470:J4024))/MAX(J$470:J4024))</f>
        <v>-0.83569785939843477</v>
      </c>
      <c r="V4024" s="564">
        <f>IF((K4024-MAX(K$470:K4024))/MAX(K$470:K4024)&gt;V4023,V4023,(K4024-MAX(K$470:K4024))/MAX(K$470:K4024))</f>
        <v>-0.84885940676762139</v>
      </c>
      <c r="W4024" s="564">
        <f>IF((N4024-MAX(N$470:N4024))/MAX(N$470:N4024)&gt;W4023,W4023,(N4024-MAX(N$470:N4024))/MAX(N$470:N4024))</f>
        <v>-0.62788758315546067</v>
      </c>
      <c r="X4024" s="564">
        <f>IF((O4024-MAX(O$470:O4024))/MAX(O$470:O4024)&gt;X4023,X4023,(O4024-MAX(O$470:O4024))/MAX(O$470:O4024))</f>
        <v>-0.71785564635603094</v>
      </c>
    </row>
    <row r="4025" spans="1:24">
      <c r="A4025" s="799">
        <v>44427</v>
      </c>
      <c r="B4025">
        <v>45797.754071327603</v>
      </c>
      <c r="C4025">
        <v>52357.293027166597</v>
      </c>
      <c r="D4025">
        <v>2.2931296618000001</v>
      </c>
      <c r="E4025">
        <f>LN(D4025/参数实验室!$E$53)/参数实验室!$E$55</f>
        <v>0.28612962682199677</v>
      </c>
      <c r="F4025">
        <f t="shared" si="569"/>
        <v>1.143228398179152</v>
      </c>
      <c r="G4025">
        <f>LN(F4025/参数实验室!$E$58)/参数实验室!$E$59</f>
        <v>-0.12027506304343129</v>
      </c>
      <c r="H4025" s="856">
        <f>INDEX(神经网络!$G$10:$BO$70,MATCH(ROUND(G4025*2,1)/2,神经网络!$E$10:$E$70,0),MATCH(ROUND(E4025*2,1)/2,神经网络!$G$8:$BO$8,0))</f>
        <v>1.374083265446286</v>
      </c>
      <c r="I4025">
        <f t="shared" si="570"/>
        <v>6706263.2631304143</v>
      </c>
      <c r="J4025">
        <f t="shared" si="571"/>
        <v>18274.511819690964</v>
      </c>
      <c r="K4025">
        <f t="shared" si="572"/>
        <v>366.97359301846575</v>
      </c>
      <c r="L4025" s="4">
        <f>MIN(MAX(L4024*(1+MAX(MIN(((B4025-B4024)/B4024)/($K$7*卓尔金历!$N$40),0),-卓尔金历!$M$43))+MIN(MAX(((B4025-B4024)/B4024)/($K$7*卓尔金历!$N$40),0),卓尔金历!$M$43),0),1)</f>
        <v>0.66096223054868453</v>
      </c>
      <c r="M4025" s="4">
        <f>MIN(MAX(M4024*(1+MAX(MIN(((B4025-B4024)/B4024)/($K$7*30),0),-卓尔金历!$M$43))+MIN(MAX(((B4025-B4024)/B4024)/($K$7*7),0),卓尔金历!$M$43),0),1)</f>
        <v>0.93184242663596306</v>
      </c>
      <c r="N4025">
        <f t="shared" si="573"/>
        <v>997644.99988139479</v>
      </c>
      <c r="O4025">
        <f t="shared" si="574"/>
        <v>3327868.9134263825</v>
      </c>
      <c r="P4025">
        <f t="shared" si="575"/>
        <v>7.875214379519455E-6</v>
      </c>
      <c r="Q4025">
        <f t="shared" si="576"/>
        <v>3.3573102693811252E-2</v>
      </c>
      <c r="R4025">
        <f t="shared" si="577"/>
        <v>1</v>
      </c>
      <c r="S4025">
        <f t="shared" si="578"/>
        <v>3871.5636220938845</v>
      </c>
      <c r="T4025" s="564">
        <f>IF((I4025-MAX(I$470:I4025))/MAX(I$470:I4025)&gt;T4024,T4024,(I4025-MAX(I$470:I4025))/MAX(I$470:I4025))</f>
        <v>-0.91338805338419748</v>
      </c>
      <c r="U4025" s="564">
        <f>IF((J4025-MAX(J$470:J4025))/MAX(J$470:J4025)&gt;U4024,U4024,(J4025-MAX(J$470:J4025))/MAX(J$470:J4025))</f>
        <v>-0.83569785939843477</v>
      </c>
      <c r="V4025" s="564">
        <f>IF((K4025-MAX(K$470:K4025))/MAX(K$470:K4025)&gt;V4024,V4024,(K4025-MAX(K$470:K4025))/MAX(K$470:K4025))</f>
        <v>-0.84885940676762139</v>
      </c>
      <c r="W4025" s="564">
        <f>IF((N4025-MAX(N$470:N4025))/MAX(N$470:N4025)&gt;W4024,W4024,(N4025-MAX(N$470:N4025))/MAX(N$470:N4025))</f>
        <v>-0.62788758315546067</v>
      </c>
      <c r="X4025" s="564">
        <f>IF((O4025-MAX(O$470:O4025))/MAX(O$470:O4025)&gt;X4024,X4024,(O4025-MAX(O$470:O4025))/MAX(O$470:O4025))</f>
        <v>-0.71785564635603094</v>
      </c>
    </row>
    <row r="4026" spans="1:24">
      <c r="A4026" s="799">
        <v>44428</v>
      </c>
      <c r="B4026">
        <v>48663.573408841003</v>
      </c>
      <c r="C4026">
        <v>51864.961105630799</v>
      </c>
      <c r="D4026">
        <v>2.4144993000000001</v>
      </c>
      <c r="E4026">
        <f>LN(D4026/参数实验室!$E$53)/参数实验室!$E$55</f>
        <v>0.34697467759775291</v>
      </c>
      <c r="F4026">
        <f t="shared" si="569"/>
        <v>1.0657861203470147</v>
      </c>
      <c r="G4026">
        <f>LN(F4026/参数实验室!$E$58)/参数实验室!$E$59</f>
        <v>-0.15709017323704427</v>
      </c>
      <c r="H4026" s="856">
        <f>INDEX(神经网络!$G$10:$BO$70,MATCH(ROUND(G4026*2,1)/2,神经网络!$E$10:$E$70,0),MATCH(ROUND(E4026*2,1)/2,神经网络!$G$8:$BO$8,0))</f>
        <v>1.4230538058217563</v>
      </c>
      <c r="I4026">
        <f t="shared" si="570"/>
        <v>7282894.6485607326</v>
      </c>
      <c r="J4026">
        <f t="shared" si="571"/>
        <v>19418.049323187788</v>
      </c>
      <c r="K4026">
        <f t="shared" si="572"/>
        <v>375.05799513362894</v>
      </c>
      <c r="L4026" s="4">
        <f>MIN(MAX(L4025*(1+MAX(MIN(((B4026-B4025)/B4025)/($K$7*卓尔金历!$N$40),0),-卓尔金历!$M$43))+MIN(MAX(((B4026-B4025)/B4025)/($K$7*卓尔金历!$N$40),0),卓尔金历!$M$43),0),1)</f>
        <v>1</v>
      </c>
      <c r="M4026" s="4">
        <f>MIN(MAX(M4025*(1+MAX(MIN(((B4026-B4025)/B4025)/($K$7*30),0),-卓尔金历!$M$43))+MIN(MAX(((B4026-B4025)/B4025)/($K$7*7),0),卓尔金历!$M$43),0),1)</f>
        <v>1</v>
      </c>
      <c r="N4026">
        <f t="shared" si="573"/>
        <v>1054343.3409566728</v>
      </c>
      <c r="O4026">
        <f t="shared" si="574"/>
        <v>3594509.569617901</v>
      </c>
      <c r="P4026">
        <f t="shared" si="575"/>
        <v>6.2575543181659879E-2</v>
      </c>
      <c r="Q4026">
        <f t="shared" si="576"/>
        <v>3.4876112313220589E-2</v>
      </c>
      <c r="R4026">
        <f t="shared" si="577"/>
        <v>1.3947194018804837E-2</v>
      </c>
      <c r="S4026">
        <f t="shared" si="578"/>
        <v>4204.4561745624442</v>
      </c>
      <c r="T4026" s="564">
        <f>IF((I4026-MAX(I$470:I4026))/MAX(I$470:I4026)&gt;T4025,T4025,(I4026-MAX(I$470:I4026))/MAX(I$470:I4026))</f>
        <v>-0.91338805338419748</v>
      </c>
      <c r="U4026" s="564">
        <f>IF((J4026-MAX(J$470:J4026))/MAX(J$470:J4026)&gt;U4025,U4025,(J4026-MAX(J$470:J4026))/MAX(J$470:J4026))</f>
        <v>-0.83569785939843477</v>
      </c>
      <c r="V4026" s="564">
        <f>IF((K4026-MAX(K$470:K4026))/MAX(K$470:K4026)&gt;V4025,V4025,(K4026-MAX(K$470:K4026))/MAX(K$470:K4026))</f>
        <v>-0.84885940676762139</v>
      </c>
      <c r="W4026" s="564">
        <f>IF((N4026-MAX(N$470:N4026))/MAX(N$470:N4026)&gt;W4025,W4025,(N4026-MAX(N$470:N4026))/MAX(N$470:N4026))</f>
        <v>-0.62788758315546067</v>
      </c>
      <c r="X4026" s="564">
        <f>IF((O4026-MAX(O$470:O4026))/MAX(O$470:O4026)&gt;X4025,X4025,(O4026-MAX(O$470:O4026))/MAX(O$470:O4026))</f>
        <v>-0.71785564635603094</v>
      </c>
    </row>
    <row r="4027" spans="1:24">
      <c r="A4027" s="799">
        <v>44429</v>
      </c>
      <c r="B4027">
        <v>49236.488848524801</v>
      </c>
      <c r="C4027">
        <v>51313.871285119902</v>
      </c>
      <c r="D4027">
        <v>2.4032613701000001</v>
      </c>
      <c r="E4027">
        <f>LN(D4027/参数实验室!$E$53)/参数实验室!$E$55</f>
        <v>0.34147087232026191</v>
      </c>
      <c r="F4027">
        <f t="shared" si="569"/>
        <v>1.0421919288961918</v>
      </c>
      <c r="G4027">
        <f>LN(F4027/参数实验室!$E$58)/参数实验室!$E$59</f>
        <v>-0.16883984392298559</v>
      </c>
      <c r="H4027" s="856">
        <f>INDEX(神经网络!$G$10:$BO$70,MATCH(ROUND(G4027*2,1)/2,神经网络!$E$10:$E$70,0),MATCH(ROUND(E4027*2,1)/2,神经网络!$G$8:$BO$8,0))</f>
        <v>1.4230538058217563</v>
      </c>
      <c r="I4027">
        <f t="shared" si="570"/>
        <v>7404909.2705408381</v>
      </c>
      <c r="J4027">
        <f t="shared" si="571"/>
        <v>19646.657694634974</v>
      </c>
      <c r="K4027">
        <f t="shared" si="572"/>
        <v>376.90427479494076</v>
      </c>
      <c r="L4027" s="4">
        <f>MIN(MAX(L4026*(1+MAX(MIN(((B4027-B4026)/B4026)/($K$7*卓尔金历!$N$40),0),-卓尔金历!$M$43))+MIN(MAX(((B4027-B4026)/B4026)/($K$7*卓尔金历!$N$40),0),卓尔金历!$M$43),0),1)</f>
        <v>1</v>
      </c>
      <c r="M4027" s="4">
        <f>MIN(MAX(M4026*(1+MAX(MIN(((B4027-B4026)/B4026)/($K$7*30),0),-卓尔金历!$M$43))+MIN(MAX(((B4027-B4026)/B4026)/($K$7*7),0),卓尔金历!$M$43),0),1)</f>
        <v>1</v>
      </c>
      <c r="N4027">
        <f t="shared" si="573"/>
        <v>1072007.375710971</v>
      </c>
      <c r="O4027">
        <f t="shared" si="574"/>
        <v>3654730.5047686617</v>
      </c>
      <c r="P4027">
        <f t="shared" si="575"/>
        <v>1.1772983353904575E-2</v>
      </c>
      <c r="Q4027">
        <f t="shared" si="576"/>
        <v>3.2868686853106732E-2</v>
      </c>
      <c r="R4027">
        <f t="shared" si="577"/>
        <v>1</v>
      </c>
      <c r="S4027">
        <f t="shared" si="578"/>
        <v>4205.4386111397635</v>
      </c>
      <c r="T4027" s="564">
        <f>IF((I4027-MAX(I$470:I4027))/MAX(I$470:I4027)&gt;T4026,T4026,(I4027-MAX(I$470:I4027))/MAX(I$470:I4027))</f>
        <v>-0.91338805338419748</v>
      </c>
      <c r="U4027" s="564">
        <f>IF((J4027-MAX(J$470:J4027))/MAX(J$470:J4027)&gt;U4026,U4026,(J4027-MAX(J$470:J4027))/MAX(J$470:J4027))</f>
        <v>-0.83569785939843477</v>
      </c>
      <c r="V4027" s="564">
        <f>IF((K4027-MAX(K$470:K4027))/MAX(K$470:K4027)&gt;V4026,V4026,(K4027-MAX(K$470:K4027))/MAX(K$470:K4027))</f>
        <v>-0.84885940676762139</v>
      </c>
      <c r="W4027" s="564">
        <f>IF((N4027-MAX(N$470:N4027))/MAX(N$470:N4027)&gt;W4026,W4026,(N4027-MAX(N$470:N4027))/MAX(N$470:N4027))</f>
        <v>-0.62788758315546067</v>
      </c>
      <c r="X4027" s="564">
        <f>IF((O4027-MAX(O$470:O4027))/MAX(O$470:O4027)&gt;X4026,X4026,(O4027-MAX(O$470:O4027))/MAX(O$470:O4027))</f>
        <v>-0.71785564635603094</v>
      </c>
    </row>
    <row r="4028" spans="1:24">
      <c r="A4028" s="799">
        <v>44430</v>
      </c>
      <c r="B4028">
        <v>48526.291836561002</v>
      </c>
      <c r="C4028">
        <v>50385.115502950001</v>
      </c>
      <c r="D4028">
        <v>2.4149965756</v>
      </c>
      <c r="E4028">
        <f>LN(D4028/参数实验室!$E$53)/参数实验室!$E$55</f>
        <v>0.34721762738772377</v>
      </c>
      <c r="F4028">
        <f t="shared" si="569"/>
        <v>1.0383054957640203</v>
      </c>
      <c r="G4028">
        <f>LN(F4028/参数实验室!$E$58)/参数实验室!$E$59</f>
        <v>-0.17080073317098857</v>
      </c>
      <c r="H4028" s="856">
        <f>INDEX(神经网络!$G$10:$BO$70,MATCH(ROUND(G4028*2,1)/2,神经网络!$E$10:$E$70,0),MATCH(ROUND(E4028*2,1)/2,神经网络!$G$8:$BO$8,0))</f>
        <v>1.4230538058217563</v>
      </c>
      <c r="I4028">
        <f t="shared" si="570"/>
        <v>7252913.0362065481</v>
      </c>
      <c r="J4028">
        <f t="shared" si="571"/>
        <v>19363.270354958266</v>
      </c>
      <c r="K4028">
        <f t="shared" si="572"/>
        <v>374.57066411043149</v>
      </c>
      <c r="L4028" s="4">
        <f>MIN(MAX(L4027*(1+MAX(MIN(((B4028-B4027)/B4027)/($K$7*卓尔金历!$N$40),0),-卓尔金历!$M$43))+MIN(MAX(((B4028-B4027)/B4027)/($K$7*卓尔金历!$N$40),0),卓尔金历!$M$43),0),1)</f>
        <v>0.77961205050381976</v>
      </c>
      <c r="M4028" s="4">
        <f>MIN(MAX(M4027*(1+MAX(MIN(((B4028-B4027)/B4027)/($K$7*30),0),-卓尔金历!$M$43))+MIN(MAX(((B4028-B4027)/B4027)/($K$7*7),0),卓尔金历!$M$43),0),1)</f>
        <v>0.88980602525190988</v>
      </c>
      <c r="N4028">
        <f t="shared" si="573"/>
        <v>1050002.9083591716</v>
      </c>
      <c r="O4028">
        <f t="shared" si="574"/>
        <v>3579711.9928685254</v>
      </c>
      <c r="P4028">
        <f t="shared" si="575"/>
        <v>-1.4424201005654724E-2</v>
      </c>
      <c r="Q4028">
        <f t="shared" si="576"/>
        <v>3.3095371749067903E-2</v>
      </c>
      <c r="R4028">
        <f t="shared" si="577"/>
        <v>0.8906516969345416</v>
      </c>
      <c r="S4028">
        <f t="shared" si="578"/>
        <v>4119.1160365796313</v>
      </c>
      <c r="T4028" s="564">
        <f>IF((I4028-MAX(I$470:I4028))/MAX(I$470:I4028)&gt;T4027,T4027,(I4028-MAX(I$470:I4028))/MAX(I$470:I4028))</f>
        <v>-0.91338805338419748</v>
      </c>
      <c r="U4028" s="564">
        <f>IF((J4028-MAX(J$470:J4028))/MAX(J$470:J4028)&gt;U4027,U4027,(J4028-MAX(J$470:J4028))/MAX(J$470:J4028))</f>
        <v>-0.83569785939843477</v>
      </c>
      <c r="V4028" s="564">
        <f>IF((K4028-MAX(K$470:K4028))/MAX(K$470:K4028)&gt;V4027,V4027,(K4028-MAX(K$470:K4028))/MAX(K$470:K4028))</f>
        <v>-0.84885940676762139</v>
      </c>
      <c r="W4028" s="564">
        <f>IF((N4028-MAX(N$470:N4028))/MAX(N$470:N4028)&gt;W4027,W4027,(N4028-MAX(N$470:N4028))/MAX(N$470:N4028))</f>
        <v>-0.62788758315546067</v>
      </c>
      <c r="X4028" s="564">
        <f>IF((O4028-MAX(O$470:O4028))/MAX(O$470:O4028)&gt;X4027,X4027,(O4028-MAX(O$470:O4028))/MAX(O$470:O4028))</f>
        <v>-0.71785564635603094</v>
      </c>
    </row>
    <row r="4029" spans="1:24">
      <c r="A4029" s="799">
        <v>44431</v>
      </c>
      <c r="B4029">
        <v>49576.092602992197</v>
      </c>
      <c r="C4029">
        <v>49046.606696285096</v>
      </c>
      <c r="D4029">
        <v>2.4200400854000002</v>
      </c>
      <c r="E4029">
        <f>LN(D4029/参数实验室!$E$53)/参数实验室!$E$55</f>
        <v>0.34967887003088249</v>
      </c>
      <c r="F4029">
        <f t="shared" si="569"/>
        <v>0.98931973298203935</v>
      </c>
      <c r="G4029">
        <f>LN(F4029/参数实验室!$E$58)/参数实验室!$E$59</f>
        <v>-0.19616575539299236</v>
      </c>
      <c r="H4029" s="856">
        <f>INDEX(神经网络!$G$10:$BO$70,MATCH(ROUND(G4029*2,1)/2,神经网络!$E$10:$E$70,0),MATCH(ROUND(E4029*2,1)/2,神经网络!$G$8:$BO$8,0))</f>
        <v>1.3735334764828999</v>
      </c>
      <c r="I4029">
        <f t="shared" si="570"/>
        <v>7476200.1042642202</v>
      </c>
      <c r="J4029">
        <f t="shared" si="571"/>
        <v>19782.168549934999</v>
      </c>
      <c r="K4029">
        <f t="shared" si="572"/>
        <v>377.92621599560607</v>
      </c>
      <c r="L4029" s="4">
        <f>MIN(MAX(L4028*(1+MAX(MIN(((B4029-B4028)/B4028)/($K$7*卓尔金历!$N$40),0),-卓尔金历!$M$43))+MIN(MAX(((B4029-B4028)/B4028)/($K$7*卓尔金历!$N$40),0),卓尔金历!$M$43),0),1)</f>
        <v>1</v>
      </c>
      <c r="M4029" s="4">
        <f>MIN(MAX(M4028*(1+MAX(MIN(((B4029-B4028)/B4028)/($K$7*30),0),-卓尔金历!$M$43))+MIN(MAX(((B4029-B4028)/B4028)/($K$7*7),0),卓尔金历!$M$43),0),1)</f>
        <v>1</v>
      </c>
      <c r="N4029">
        <f t="shared" si="573"/>
        <v>1075204.0459979703</v>
      </c>
      <c r="O4029">
        <f t="shared" si="574"/>
        <v>3677772.589164339</v>
      </c>
      <c r="P4029">
        <f t="shared" si="575"/>
        <v>2.1633649032301444E-2</v>
      </c>
      <c r="Q4029">
        <f t="shared" si="576"/>
        <v>3.1596092468761647E-2</v>
      </c>
      <c r="R4029">
        <f t="shared" si="577"/>
        <v>0.42441488223357832</v>
      </c>
      <c r="S4029">
        <f t="shared" si="578"/>
        <v>4232.0600007800376</v>
      </c>
      <c r="T4029" s="564">
        <f>IF((I4029-MAX(I$470:I4029))/MAX(I$470:I4029)&gt;T4028,T4028,(I4029-MAX(I$470:I4029))/MAX(I$470:I4029))</f>
        <v>-0.91338805338419748</v>
      </c>
      <c r="U4029" s="564">
        <f>IF((J4029-MAX(J$470:J4029))/MAX(J$470:J4029)&gt;U4028,U4028,(J4029-MAX(J$470:J4029))/MAX(J$470:J4029))</f>
        <v>-0.83569785939843477</v>
      </c>
      <c r="V4029" s="564">
        <f>IF((K4029-MAX(K$470:K4029))/MAX(K$470:K4029)&gt;V4028,V4028,(K4029-MAX(K$470:K4029))/MAX(K$470:K4029))</f>
        <v>-0.84885940676762139</v>
      </c>
      <c r="W4029" s="564">
        <f>IF((N4029-MAX(N$470:N4029))/MAX(N$470:N4029)&gt;W4028,W4028,(N4029-MAX(N$470:N4029))/MAX(N$470:N4029))</f>
        <v>-0.62788758315546067</v>
      </c>
      <c r="X4029" s="564">
        <f>IF((O4029-MAX(O$470:O4029))/MAX(O$470:O4029)&gt;X4028,X4028,(O4029-MAX(O$470:O4029))/MAX(O$470:O4029))</f>
        <v>-0.71785564635603094</v>
      </c>
    </row>
    <row r="4030" spans="1:24">
      <c r="A4030" s="799">
        <v>44432</v>
      </c>
      <c r="B4030">
        <v>48262.004538121102</v>
      </c>
      <c r="C4030">
        <v>49023.765194411397</v>
      </c>
      <c r="D4030">
        <v>2.3379463509999998</v>
      </c>
      <c r="E4030">
        <f>LN(D4030/参数实验室!$E$53)/参数实验室!$E$55</f>
        <v>0.30896418404022707</v>
      </c>
      <c r="F4030">
        <f t="shared" si="569"/>
        <v>1.0157838586188146</v>
      </c>
      <c r="G4030">
        <f>LN(F4030/参数实验室!$E$58)/参数实验室!$E$59</f>
        <v>-0.18231050122882142</v>
      </c>
      <c r="H4030" s="856">
        <f>INDEX(神经网络!$G$10:$BO$70,MATCH(ROUND(G4030*2,1)/2,神经网络!$E$10:$E$70,0),MATCH(ROUND(E4030*2,1)/2,神经网络!$G$8:$BO$8,0))</f>
        <v>1.2800920406105674</v>
      </c>
      <c r="I4030">
        <f t="shared" si="570"/>
        <v>7204009.9935713531</v>
      </c>
      <c r="J4030">
        <f t="shared" si="571"/>
        <v>19257.812752133195</v>
      </c>
      <c r="K4030">
        <f t="shared" si="572"/>
        <v>374.08246129993978</v>
      </c>
      <c r="L4030" s="4">
        <f>MIN(MAX(L4029*(1+MAX(MIN(((B4030-B4029)/B4029)/($K$7*卓尔金历!$N$40),0),-卓尔金历!$M$43))+MIN(MAX(((B4030-B4029)/B4029)/($K$7*卓尔金历!$N$40),0),卓尔金历!$M$43),0),1)</f>
        <v>0.59500631169068563</v>
      </c>
      <c r="M4030" s="4">
        <f>MIN(MAX(M4029*(1+MAX(MIN(((B4030-B4029)/B4029)/($K$7*30),0),-卓尔金历!$M$43))+MIN(MAX(((B4030-B4029)/B4029)/($K$7*7),0),卓尔金历!$M$43),0),1)</f>
        <v>0.79750315584534281</v>
      </c>
      <c r="N4030">
        <f t="shared" si="573"/>
        <v>1036058.5035812176</v>
      </c>
      <c r="O4030">
        <f t="shared" si="574"/>
        <v>3543873.9087936971</v>
      </c>
      <c r="P4030">
        <f t="shared" si="575"/>
        <v>-2.6506487217425094E-2</v>
      </c>
      <c r="Q4030">
        <f t="shared" si="576"/>
        <v>3.0719726407631414E-2</v>
      </c>
      <c r="R4030">
        <f t="shared" si="577"/>
        <v>0.18377250434873324</v>
      </c>
      <c r="S4030">
        <f t="shared" si="578"/>
        <v>4166.6666116921124</v>
      </c>
      <c r="T4030" s="564">
        <f>IF((I4030-MAX(I$470:I4030))/MAX(I$470:I4030)&gt;T4029,T4029,(I4030-MAX(I$470:I4030))/MAX(I$470:I4030))</f>
        <v>-0.91338805338419748</v>
      </c>
      <c r="U4030" s="564">
        <f>IF((J4030-MAX(J$470:J4030))/MAX(J$470:J4030)&gt;U4029,U4029,(J4030-MAX(J$470:J4030))/MAX(J$470:J4030))</f>
        <v>-0.83569785939843477</v>
      </c>
      <c r="V4030" s="564">
        <f>IF((K4030-MAX(K$470:K4030))/MAX(K$470:K4030)&gt;V4029,V4029,(K4030-MAX(K$470:K4030))/MAX(K$470:K4030))</f>
        <v>-0.84885940676762139</v>
      </c>
      <c r="W4030" s="564">
        <f>IF((N4030-MAX(N$470:N4030))/MAX(N$470:N4030)&gt;W4029,W4029,(N4030-MAX(N$470:N4030))/MAX(N$470:N4030))</f>
        <v>-0.62788758315546067</v>
      </c>
      <c r="X4030" s="564">
        <f>IF((O4030-MAX(O$470:O4030))/MAX(O$470:O4030)&gt;X4029,X4029,(O4030-MAX(O$470:O4030))/MAX(O$470:O4030))</f>
        <v>-0.71785564635603094</v>
      </c>
    </row>
    <row r="4031" spans="1:24">
      <c r="A4031" s="799">
        <v>44433</v>
      </c>
      <c r="B4031">
        <v>48803.7785979486</v>
      </c>
      <c r="C4031">
        <v>48725.388818346502</v>
      </c>
      <c r="D4031">
        <v>2.3790195455999998</v>
      </c>
      <c r="E4031">
        <f>LN(D4031/参数实验室!$E$53)/参数实验室!$E$55</f>
        <v>0.32951021314449302</v>
      </c>
      <c r="F4031">
        <f t="shared" si="569"/>
        <v>0.99839377642768434</v>
      </c>
      <c r="G4031">
        <f>LN(F4031/参数实验室!$E$58)/参数实验室!$E$59</f>
        <v>-0.1913737353649794</v>
      </c>
      <c r="H4031" s="856">
        <f>INDEX(神经网络!$G$10:$BO$70,MATCH(ROUND(G4031*2,1)/2,神经网络!$E$10:$E$70,0),MATCH(ROUND(E4031*2,1)/2,神经网络!$G$8:$BO$8,0))</f>
        <v>1.3735334764828999</v>
      </c>
      <c r="I4031">
        <f t="shared" si="570"/>
        <v>7307530.9688422643</v>
      </c>
      <c r="J4031">
        <f t="shared" si="571"/>
        <v>19473.99489164379</v>
      </c>
      <c r="K4031">
        <f t="shared" si="572"/>
        <v>375.24560366285687</v>
      </c>
      <c r="L4031" s="4">
        <f>MIN(MAX(L4030*(1+MAX(MIN(((B4031-B4030)/B4030)/($K$7*卓尔金历!$N$40),0),-卓尔金历!$M$43))+MIN(MAX(((B4031-B4030)/B4030)/($K$7*卓尔金历!$N$40),0),卓尔金历!$M$43),0),1)</f>
        <v>0.76652400582113256</v>
      </c>
      <c r="M4031" s="4">
        <f>MIN(MAX(M4030*(1+MAX(MIN(((B4031-B4030)/B4030)/($K$7*30),0),-卓尔金历!$M$43))+MIN(MAX(((B4031-B4030)/B4030)/($K$7*7),0),卓尔金历!$M$43),0),1)</f>
        <v>1</v>
      </c>
      <c r="N4031">
        <f t="shared" si="573"/>
        <v>1044916.9976856263</v>
      </c>
      <c r="O4031">
        <f t="shared" si="574"/>
        <v>3584486.8759388509</v>
      </c>
      <c r="P4031">
        <f t="shared" si="575"/>
        <v>1.1225684987857523E-2</v>
      </c>
      <c r="Q4031">
        <f t="shared" si="576"/>
        <v>3.0484862618391718E-2</v>
      </c>
      <c r="R4031">
        <f t="shared" si="577"/>
        <v>1</v>
      </c>
      <c r="S4031">
        <f t="shared" si="578"/>
        <v>4177.6699213326992</v>
      </c>
      <c r="T4031" s="564">
        <f>IF((I4031-MAX(I$470:I4031))/MAX(I$470:I4031)&gt;T4030,T4030,(I4031-MAX(I$470:I4031))/MAX(I$470:I4031))</f>
        <v>-0.91338805338419748</v>
      </c>
      <c r="U4031" s="564">
        <f>IF((J4031-MAX(J$470:J4031))/MAX(J$470:J4031)&gt;U4030,U4030,(J4031-MAX(J$470:J4031))/MAX(J$470:J4031))</f>
        <v>-0.83569785939843477</v>
      </c>
      <c r="V4031" s="564">
        <f>IF((K4031-MAX(K$470:K4031))/MAX(K$470:K4031)&gt;V4030,V4030,(K4031-MAX(K$470:K4031))/MAX(K$470:K4031))</f>
        <v>-0.84885940676762139</v>
      </c>
      <c r="W4031" s="564">
        <f>IF((N4031-MAX(N$470:N4031))/MAX(N$470:N4031)&gt;W4030,W4030,(N4031-MAX(N$470:N4031))/MAX(N$470:N4031))</f>
        <v>-0.62788758315546067</v>
      </c>
      <c r="X4031" s="564">
        <f>IF((O4031-MAX(O$470:O4031))/MAX(O$470:O4031)&gt;X4030,X4030,(O4031-MAX(O$470:O4031))/MAX(O$470:O4031))</f>
        <v>-0.71785564635603094</v>
      </c>
    </row>
    <row r="4032" spans="1:24">
      <c r="A4032" s="799">
        <v>44434</v>
      </c>
      <c r="B4032">
        <v>46788.034633761803</v>
      </c>
      <c r="C4032">
        <v>49473.273856989399</v>
      </c>
      <c r="D4032">
        <v>2.2877867616000001</v>
      </c>
      <c r="E4032">
        <f>LN(D4032/参数实验室!$E$53)/参数实验室!$E$55</f>
        <v>0.28337764179594455</v>
      </c>
      <c r="F4032">
        <f t="shared" si="569"/>
        <v>1.0573915797969842</v>
      </c>
      <c r="G4032">
        <f>LN(F4032/参数实验室!$E$58)/参数实验室!$E$59</f>
        <v>-0.16124049141859234</v>
      </c>
      <c r="H4032" s="856">
        <f>INDEX(神经网络!$G$10:$BO$70,MATCH(ROUND(G4032*2,1)/2,神经网络!$E$10:$E$70,0),MATCH(ROUND(E4032*2,1)/2,神经网络!$G$8:$BO$8,0))</f>
        <v>1.3303819157174839</v>
      </c>
      <c r="I4032">
        <f t="shared" si="570"/>
        <v>6892966.7330129342</v>
      </c>
      <c r="J4032">
        <f t="shared" si="571"/>
        <v>18669.659883389213</v>
      </c>
      <c r="K4032">
        <f t="shared" si="572"/>
        <v>369.20687233010341</v>
      </c>
      <c r="L4032" s="4">
        <f>MIN(MAX(L4031*(1+MAX(MIN(((B4032-B4031)/B4031)/($K$7*卓尔金历!$N$40),0),-卓尔金历!$M$43))+MIN(MAX(((B4032-B4031)/B4031)/($K$7*卓尔金历!$N$40),0),卓尔金历!$M$43),0),1)</f>
        <v>0.2827931855459338</v>
      </c>
      <c r="M4032" s="4">
        <f>MIN(MAX(M4031*(1+MAX(MIN(((B4032-B4031)/B4031)/($K$7*30),0),-卓尔金历!$M$43))+MIN(MAX(((B4032-B4031)/B4031)/($K$7*7),0),卓尔金历!$M$43),0),1)</f>
        <v>0.6844646634667324</v>
      </c>
      <c r="N4032">
        <f t="shared" si="573"/>
        <v>999478.00208707131</v>
      </c>
      <c r="O4032">
        <f t="shared" si="574"/>
        <v>3381135.0093645132</v>
      </c>
      <c r="P4032">
        <f t="shared" si="575"/>
        <v>-4.1303030668849189E-2</v>
      </c>
      <c r="Q4032">
        <f t="shared" si="576"/>
        <v>3.2128802844687693E-2</v>
      </c>
      <c r="R4032">
        <f t="shared" si="577"/>
        <v>2.2827584395935956E-2</v>
      </c>
      <c r="S4032">
        <f t="shared" si="578"/>
        <v>3940.6661308774869</v>
      </c>
      <c r="T4032" s="564">
        <f>IF((I4032-MAX(I$470:I4032))/MAX(I$470:I4032)&gt;T4031,T4031,(I4032-MAX(I$470:I4032))/MAX(I$470:I4032))</f>
        <v>-0.91338805338419748</v>
      </c>
      <c r="U4032" s="564">
        <f>IF((J4032-MAX(J$470:J4032))/MAX(J$470:J4032)&gt;U4031,U4031,(J4032-MAX(J$470:J4032))/MAX(J$470:J4032))</f>
        <v>-0.83569785939843477</v>
      </c>
      <c r="V4032" s="564">
        <f>IF((K4032-MAX(K$470:K4032))/MAX(K$470:K4032)&gt;V4031,V4031,(K4032-MAX(K$470:K4032))/MAX(K$470:K4032))</f>
        <v>-0.84885940676762139</v>
      </c>
      <c r="W4032" s="564">
        <f>IF((N4032-MAX(N$470:N4032))/MAX(N$470:N4032)&gt;W4031,W4031,(N4032-MAX(N$470:N4032))/MAX(N$470:N4032))</f>
        <v>-0.62788758315546067</v>
      </c>
      <c r="X4032" s="564">
        <f>IF((O4032-MAX(O$470:O4032))/MAX(O$470:O4032)&gt;X4031,X4031,(O4032-MAX(O$470:O4032))/MAX(O$470:O4032))</f>
        <v>-0.71785564635603094</v>
      </c>
    </row>
    <row r="4033" spans="1:24">
      <c r="A4033" s="799">
        <v>44435</v>
      </c>
      <c r="B4033">
        <v>48207.598478659398</v>
      </c>
      <c r="C4033">
        <v>49825.296841656302</v>
      </c>
      <c r="D4033">
        <v>2.3751475010999998</v>
      </c>
      <c r="E4033">
        <f>LN(D4033/参数实验室!$E$53)/参数实验室!$E$55</f>
        <v>0.32758850613468199</v>
      </c>
      <c r="F4033">
        <f t="shared" si="569"/>
        <v>1.0335569166282579</v>
      </c>
      <c r="G4033">
        <f>LN(F4033/参数实验室!$E$58)/参数实验室!$E$59</f>
        <v>-0.17320660269921817</v>
      </c>
      <c r="H4033" s="856">
        <f>INDEX(神经网络!$G$10:$BO$70,MATCH(ROUND(G4033*2,1)/2,神经网络!$E$10:$E$70,0),MATCH(ROUND(E4033*2,1)/2,神经网络!$G$8:$BO$8,0))</f>
        <v>1.4230538058217563</v>
      </c>
      <c r="I4033">
        <f t="shared" si="570"/>
        <v>7171195.8915171809</v>
      </c>
      <c r="J4033">
        <f t="shared" si="571"/>
        <v>19236.103299413153</v>
      </c>
      <c r="K4033">
        <f t="shared" si="572"/>
        <v>372.79878257546875</v>
      </c>
      <c r="L4033" s="4">
        <f>MIN(MAX(L4032*(1+MAX(MIN(((B4033-B4032)/B4032)/($K$7*卓尔金历!$N$40),0),-卓尔金历!$M$43))+MIN(MAX(((B4033-B4032)/B4032)/($K$7*卓尔金历!$N$40),0),卓尔金历!$M$43),0),1)</f>
        <v>0.74636412769595162</v>
      </c>
      <c r="M4033" s="4">
        <f>MIN(MAX(M4032*(1+MAX(MIN(((B4033-B4032)/B4032)/($K$7*30),0),-卓尔金历!$M$43))+MIN(MAX(((B4033-B4032)/B4032)/($K$7*7),0),卓尔金历!$M$43),0),1)</f>
        <v>1</v>
      </c>
      <c r="N4033">
        <f t="shared" si="573"/>
        <v>1010886.7672257327</v>
      </c>
      <c r="O4033">
        <f t="shared" si="574"/>
        <v>3474548.5867545377</v>
      </c>
      <c r="P4033">
        <f t="shared" si="575"/>
        <v>3.0340317904126095E-2</v>
      </c>
      <c r="Q4033">
        <f t="shared" si="576"/>
        <v>2.8561596366015365E-2</v>
      </c>
      <c r="R4033">
        <f t="shared" si="577"/>
        <v>3.0187759828526752E-2</v>
      </c>
      <c r="S4033">
        <f t="shared" si="578"/>
        <v>3944.2971292819534</v>
      </c>
      <c r="T4033" s="564">
        <f>IF((I4033-MAX(I$470:I4033))/MAX(I$470:I4033)&gt;T4032,T4032,(I4033-MAX(I$470:I4033))/MAX(I$470:I4033))</f>
        <v>-0.91338805338419748</v>
      </c>
      <c r="U4033" s="564">
        <f>IF((J4033-MAX(J$470:J4033))/MAX(J$470:J4033)&gt;U4032,U4032,(J4033-MAX(J$470:J4033))/MAX(J$470:J4033))</f>
        <v>-0.83569785939843477</v>
      </c>
      <c r="V4033" s="564">
        <f>IF((K4033-MAX(K$470:K4033))/MAX(K$470:K4033)&gt;V4032,V4032,(K4033-MAX(K$470:K4033))/MAX(K$470:K4033))</f>
        <v>-0.84885940676762139</v>
      </c>
      <c r="W4033" s="564">
        <f>IF((N4033-MAX(N$470:N4033))/MAX(N$470:N4033)&gt;W4032,W4032,(N4033-MAX(N$470:N4033))/MAX(N$470:N4033))</f>
        <v>-0.62788758315546067</v>
      </c>
      <c r="X4033" s="564">
        <f>IF((O4033-MAX(O$470:O4033))/MAX(O$470:O4033)&gt;X4032,X4032,(O4033-MAX(O$470:O4033))/MAX(O$470:O4033))</f>
        <v>-0.71785564635603094</v>
      </c>
    </row>
    <row r="4034" spans="1:24">
      <c r="A4034" s="799">
        <v>44436</v>
      </c>
      <c r="B4034">
        <v>48792.164372783598</v>
      </c>
      <c r="C4034">
        <v>50435.250499772097</v>
      </c>
      <c r="D4034">
        <v>2.3639617261999999</v>
      </c>
      <c r="E4034">
        <f>LN(D4034/参数实验室!$E$53)/参数实验室!$E$55</f>
        <v>0.32201932505111053</v>
      </c>
      <c r="F4034">
        <f t="shared" si="569"/>
        <v>1.0336752047815492</v>
      </c>
      <c r="G4034">
        <f>LN(F4034/参数实验室!$E$58)/参数实验室!$E$59</f>
        <v>-0.17314653782800379</v>
      </c>
      <c r="H4034" s="856">
        <f>INDEX(神经网络!$G$10:$BO$70,MATCH(ROUND(G4034*2,1)/2,神经网络!$E$10:$E$70,0),MATCH(ROUND(E4034*2,1)/2,神经网络!$G$8:$BO$8,0))</f>
        <v>1.3303819157174839</v>
      </c>
      <c r="I4034">
        <f t="shared" si="570"/>
        <v>7294941.8099653283</v>
      </c>
      <c r="J4034">
        <f t="shared" si="571"/>
        <v>19469.360509470291</v>
      </c>
      <c r="K4034">
        <f t="shared" si="572"/>
        <v>374.68831122711612</v>
      </c>
      <c r="L4034" s="4">
        <f>MIN(MAX(L4033*(1+MAX(MIN(((B4034-B4033)/B4033)/($K$7*卓尔金历!$N$40),0),-卓尔金历!$M$43))+MIN(MAX(((B4034-B4033)/B4033)/($K$7*卓尔金历!$N$40),0),卓尔金历!$M$43),0),1)</f>
        <v>0.93163794713849701</v>
      </c>
      <c r="M4034" s="4">
        <f>MIN(MAX(M4033*(1+MAX(MIN(((B4034-B4033)/B4033)/($K$7*30),0),-卓尔金历!$M$43))+MIN(MAX(((B4034-B4033)/B4033)/($K$7*7),0),卓尔金历!$M$43),0),1)</f>
        <v>1</v>
      </c>
      <c r="N4034">
        <f t="shared" si="573"/>
        <v>1023906.2150871607</v>
      </c>
      <c r="O4034">
        <f t="shared" si="574"/>
        <v>3534505.2819229481</v>
      </c>
      <c r="P4034">
        <f t="shared" si="575"/>
        <v>1.2126011512126587E-2</v>
      </c>
      <c r="Q4034">
        <f t="shared" si="576"/>
        <v>2.7886932885807392E-2</v>
      </c>
      <c r="R4034">
        <f t="shared" si="577"/>
        <v>0.88515321384513634</v>
      </c>
      <c r="S4034">
        <f t="shared" si="578"/>
        <v>3946.3517885285323</v>
      </c>
      <c r="T4034" s="564">
        <f>IF((I4034-MAX(I$470:I4034))/MAX(I$470:I4034)&gt;T4033,T4033,(I4034-MAX(I$470:I4034))/MAX(I$470:I4034))</f>
        <v>-0.91338805338419748</v>
      </c>
      <c r="U4034" s="564">
        <f>IF((J4034-MAX(J$470:J4034))/MAX(J$470:J4034)&gt;U4033,U4033,(J4034-MAX(J$470:J4034))/MAX(J$470:J4034))</f>
        <v>-0.83569785939843477</v>
      </c>
      <c r="V4034" s="564">
        <f>IF((K4034-MAX(K$470:K4034))/MAX(K$470:K4034)&gt;V4033,V4033,(K4034-MAX(K$470:K4034))/MAX(K$470:K4034))</f>
        <v>-0.84885940676762139</v>
      </c>
      <c r="W4034" s="564">
        <f>IF((N4034-MAX(N$470:N4034))/MAX(N$470:N4034)&gt;W4033,W4033,(N4034-MAX(N$470:N4034))/MAX(N$470:N4034))</f>
        <v>-0.62788758315546067</v>
      </c>
      <c r="X4034" s="564">
        <f>IF((O4034-MAX(O$470:O4034))/MAX(O$470:O4034)&gt;X4033,X4033,(O4034-MAX(O$470:O4034))/MAX(O$470:O4034))</f>
        <v>-0.71785564635603094</v>
      </c>
    </row>
    <row r="4035" spans="1:24">
      <c r="A4035" s="799">
        <v>44437</v>
      </c>
      <c r="B4035">
        <v>48463.158535865899</v>
      </c>
      <c r="C4035">
        <v>50764.629668347901</v>
      </c>
      <c r="D4035">
        <v>2.3672778663999998</v>
      </c>
      <c r="E4035">
        <f>LN(D4035/参数实验室!$E$53)/参数实验室!$E$55</f>
        <v>0.32367311058553266</v>
      </c>
      <c r="F4035">
        <f t="shared" si="569"/>
        <v>1.0474890865971678</v>
      </c>
      <c r="G4035">
        <f>LN(F4035/参数实验室!$E$58)/参数实验室!$E$59</f>
        <v>-0.1661789204895372</v>
      </c>
      <c r="H4035" s="856">
        <f>INDEX(神经网络!$G$10:$BO$70,MATCH(ROUND(G4035*2,1)/2,神经网络!$E$10:$E$70,0),MATCH(ROUND(E4035*2,1)/2,神经网络!$G$8:$BO$8,0))</f>
        <v>1.3303819157174839</v>
      </c>
      <c r="I4035">
        <f t="shared" si="570"/>
        <v>7229500.5452074157</v>
      </c>
      <c r="J4035">
        <f t="shared" si="571"/>
        <v>19338.078502799486</v>
      </c>
      <c r="K4035">
        <f t="shared" si="572"/>
        <v>373.84792621256724</v>
      </c>
      <c r="L4035" s="4">
        <f>MIN(MAX(L4034*(1+MAX(MIN(((B4035-B4034)/B4034)/($K$7*卓尔金历!$N$40),0),-卓尔金历!$M$43))+MIN(MAX(((B4035-B4034)/B4034)/($K$7*卓尔金历!$N$40),0),卓尔金历!$M$43),0),1)</f>
        <v>0.83565440616935438</v>
      </c>
      <c r="M4035" s="4">
        <f>MIN(MAX(M4034*(1+MAX(MIN(((B4035-B4034)/B4034)/($K$7*30),0),-卓尔金历!$M$43))+MIN(MAX(((B4035-B4034)/B4034)/($K$7*7),0),卓尔金历!$M$43),0),1)</f>
        <v>0.94848667271231613</v>
      </c>
      <c r="N4035">
        <f t="shared" si="573"/>
        <v>1015348.9063492783</v>
      </c>
      <c r="O4035">
        <f t="shared" si="574"/>
        <v>3502798.0384701509</v>
      </c>
      <c r="P4035">
        <f t="shared" si="575"/>
        <v>-6.7430055859792719E-3</v>
      </c>
      <c r="Q4035">
        <f t="shared" si="576"/>
        <v>2.7959173322740682E-2</v>
      </c>
      <c r="R4035">
        <f t="shared" si="577"/>
        <v>1</v>
      </c>
      <c r="S4035">
        <f t="shared" si="578"/>
        <v>3915.0157494897726</v>
      </c>
      <c r="T4035" s="564">
        <f>IF((I4035-MAX(I$470:I4035))/MAX(I$470:I4035)&gt;T4034,T4034,(I4035-MAX(I$470:I4035))/MAX(I$470:I4035))</f>
        <v>-0.91338805338419748</v>
      </c>
      <c r="U4035" s="564">
        <f>IF((J4035-MAX(J$470:J4035))/MAX(J$470:J4035)&gt;U4034,U4034,(J4035-MAX(J$470:J4035))/MAX(J$470:J4035))</f>
        <v>-0.83569785939843477</v>
      </c>
      <c r="V4035" s="564">
        <f>IF((K4035-MAX(K$470:K4035))/MAX(K$470:K4035)&gt;V4034,V4034,(K4035-MAX(K$470:K4035))/MAX(K$470:K4035))</f>
        <v>-0.84885940676762139</v>
      </c>
      <c r="W4035" s="564">
        <f>IF((N4035-MAX(N$470:N4035))/MAX(N$470:N4035)&gt;W4034,W4034,(N4035-MAX(N$470:N4035))/MAX(N$470:N4035))</f>
        <v>-0.62788758315546067</v>
      </c>
      <c r="X4035" s="564">
        <f>IF((O4035-MAX(O$470:O4035))/MAX(O$470:O4035)&gt;X4034,X4034,(O4035-MAX(O$470:O4035))/MAX(O$470:O4035))</f>
        <v>-0.71785564635603094</v>
      </c>
    </row>
    <row r="4036" spans="1:24">
      <c r="A4036" s="799">
        <v>44438</v>
      </c>
      <c r="B4036">
        <v>48053.038166124999</v>
      </c>
      <c r="C4036">
        <v>51520.876032168002</v>
      </c>
      <c r="D4036">
        <v>2.2779610824000001</v>
      </c>
      <c r="E4036">
        <f>LN(D4036/参数实验室!$E$53)/参数实验室!$E$55</f>
        <v>0.27829987788885496</v>
      </c>
      <c r="F4036">
        <f t="shared" si="569"/>
        <v>1.072166880563395</v>
      </c>
      <c r="G4036">
        <f>LN(F4036/参数实验室!$E$58)/参数实验室!$E$59</f>
        <v>-0.15395729076525447</v>
      </c>
      <c r="H4036" s="856">
        <f>INDEX(神经网络!$G$10:$BO$70,MATCH(ROUND(G4036*2,1)/2,神经网络!$E$10:$E$70,0),MATCH(ROUND(E4036*2,1)/2,神经网络!$G$8:$BO$8,0))</f>
        <v>1.3303819157174839</v>
      </c>
      <c r="I4036">
        <f t="shared" si="570"/>
        <v>7148108.0706596132</v>
      </c>
      <c r="J4036">
        <f t="shared" si="571"/>
        <v>19174.429658084231</v>
      </c>
      <c r="K4036">
        <f t="shared" si="572"/>
        <v>372.79377786581841</v>
      </c>
      <c r="L4036" s="4">
        <f>MIN(MAX(L4035*(1+MAX(MIN(((B4036-B4035)/B4035)/($K$7*卓尔金历!$N$40),0),-卓尔金历!$M$43))+MIN(MAX(((B4036-B4035)/B4035)/($K$7*卓尔金历!$N$40),0),卓尔金历!$M$43),0),1)</f>
        <v>0.72760499345430385</v>
      </c>
      <c r="M4036" s="4">
        <f>MIN(MAX(M4035*(1+MAX(MIN(((B4036-B4035)/B4035)/($K$7*30),0),-卓尔金历!$M$43))+MIN(MAX(((B4036-B4035)/B4035)/($K$7*7),0),卓尔金历!$M$43),0),1)</f>
        <v>0.88716740771591474</v>
      </c>
      <c r="N4036">
        <f t="shared" si="573"/>
        <v>1005796.3860250738</v>
      </c>
      <c r="O4036">
        <f t="shared" si="574"/>
        <v>3465393.6732912511</v>
      </c>
      <c r="P4036">
        <f t="shared" si="575"/>
        <v>-8.4625183774884212E-3</v>
      </c>
      <c r="Q4036">
        <f t="shared" si="576"/>
        <v>2.6627053072734923E-2</v>
      </c>
      <c r="R4036">
        <f t="shared" si="577"/>
        <v>1</v>
      </c>
      <c r="S4036">
        <f t="shared" si="578"/>
        <v>3870.9390089525809</v>
      </c>
      <c r="T4036" s="564">
        <f>IF((I4036-MAX(I$470:I4036))/MAX(I$470:I4036)&gt;T4035,T4035,(I4036-MAX(I$470:I4036))/MAX(I$470:I4036))</f>
        <v>-0.91338805338419748</v>
      </c>
      <c r="U4036" s="564">
        <f>IF((J4036-MAX(J$470:J4036))/MAX(J$470:J4036)&gt;U4035,U4035,(J4036-MAX(J$470:J4036))/MAX(J$470:J4036))</f>
        <v>-0.83569785939843477</v>
      </c>
      <c r="V4036" s="564">
        <f>IF((K4036-MAX(K$470:K4036))/MAX(K$470:K4036)&gt;V4035,V4035,(K4036-MAX(K$470:K4036))/MAX(K$470:K4036))</f>
        <v>-0.84885940676762139</v>
      </c>
      <c r="W4036" s="564">
        <f>IF((N4036-MAX(N$470:N4036))/MAX(N$470:N4036)&gt;W4035,W4035,(N4036-MAX(N$470:N4036))/MAX(N$470:N4036))</f>
        <v>-0.62788758315546067</v>
      </c>
      <c r="X4036" s="564">
        <f>IF((O4036-MAX(O$470:O4036))/MAX(O$470:O4036)&gt;X4035,X4035,(O4036-MAX(O$470:O4036))/MAX(O$470:O4036))</f>
        <v>-0.71785564635603094</v>
      </c>
    </row>
    <row r="4037" spans="1:24">
      <c r="A4037" s="799">
        <v>44439</v>
      </c>
      <c r="B4037">
        <v>47443.648534935099</v>
      </c>
      <c r="C4037">
        <v>51859.001664948199</v>
      </c>
      <c r="D4037">
        <v>2.2801108652000002</v>
      </c>
      <c r="E4037">
        <f>LN(D4037/参数实验室!$E$53)/参数实验室!$E$55</f>
        <v>0.27941272272735268</v>
      </c>
      <c r="F4037">
        <f t="shared" si="569"/>
        <v>1.0930652103360443</v>
      </c>
      <c r="G4037">
        <f>LN(F4037/参数实验室!$E$58)/参数实验室!$E$59</f>
        <v>-0.14382543142438176</v>
      </c>
      <c r="H4037" s="856">
        <f>INDEX(神经网络!$G$10:$BO$70,MATCH(ROUND(G4037*2,1)/2,神经网络!$E$10:$E$70,0),MATCH(ROUND(E4037*2,1)/2,神经网络!$G$8:$BO$8,0))</f>
        <v>1.3303819157174839</v>
      </c>
      <c r="I4037">
        <f t="shared" si="570"/>
        <v>7027509.6412805468</v>
      </c>
      <c r="J4037">
        <f t="shared" si="571"/>
        <v>18931.267122195837</v>
      </c>
      <c r="K4037">
        <f t="shared" si="572"/>
        <v>371.21179453652047</v>
      </c>
      <c r="L4037" s="4">
        <f>MIN(MAX(L4036*(1+MAX(MIN(((B4037-B4036)/B4036)/($K$7*卓尔金历!$N$40),0),-卓尔金历!$M$43))+MIN(MAX(((B4037-B4036)/B4036)/($K$7*卓尔金历!$N$40),0),卓尔金历!$M$43),0),1)</f>
        <v>0.58662224967243581</v>
      </c>
      <c r="M4037" s="4">
        <f>MIN(MAX(M4036*(1+MAX(MIN(((B4037-B4036)/B4036)/($K$7*30),0),-卓尔金历!$M$43))+MIN(MAX(((B4037-B4036)/B4036)/($K$7*7),0),卓尔金历!$M$43),0),1)</f>
        <v>0.80121740980575606</v>
      </c>
      <c r="N4037">
        <f t="shared" si="573"/>
        <v>993449.53285217565</v>
      </c>
      <c r="O4037">
        <f t="shared" si="574"/>
        <v>3413524.5749427713</v>
      </c>
      <c r="P4037">
        <f t="shared" si="575"/>
        <v>-1.2681604627852439E-2</v>
      </c>
      <c r="Q4037">
        <f t="shared" si="576"/>
        <v>2.6488259185952372E-2</v>
      </c>
      <c r="R4037">
        <f t="shared" si="577"/>
        <v>0.78278828123986388</v>
      </c>
      <c r="S4037">
        <f t="shared" si="578"/>
        <v>3805.6309358111012</v>
      </c>
      <c r="T4037" s="564">
        <f>IF((I4037-MAX(I$470:I4037))/MAX(I$470:I4037)&gt;T4036,T4036,(I4037-MAX(I$470:I4037))/MAX(I$470:I4037))</f>
        <v>-0.91338805338419748</v>
      </c>
      <c r="U4037" s="564">
        <f>IF((J4037-MAX(J$470:J4037))/MAX(J$470:J4037)&gt;U4036,U4036,(J4037-MAX(J$470:J4037))/MAX(J$470:J4037))</f>
        <v>-0.83569785939843477</v>
      </c>
      <c r="V4037" s="564">
        <f>IF((K4037-MAX(K$470:K4037))/MAX(K$470:K4037)&gt;V4036,V4036,(K4037-MAX(K$470:K4037))/MAX(K$470:K4037))</f>
        <v>-0.84885940676762139</v>
      </c>
      <c r="W4037" s="564">
        <f>IF((N4037-MAX(N$470:N4037))/MAX(N$470:N4037)&gt;W4036,W4036,(N4037-MAX(N$470:N4037))/MAX(N$470:N4037))</f>
        <v>-0.62788758315546067</v>
      </c>
      <c r="X4037" s="564">
        <f>IF((O4037-MAX(O$470:O4037))/MAX(O$470:O4037)&gt;X4036,X4036,(O4037-MAX(O$470:O4037))/MAX(O$470:O4037))</f>
        <v>-0.71785564635603094</v>
      </c>
    </row>
    <row r="4038" spans="1:24">
      <c r="A4038" s="799">
        <v>44440</v>
      </c>
      <c r="B4038">
        <v>47530.562201593202</v>
      </c>
      <c r="C4038">
        <v>52066.056252967603</v>
      </c>
      <c r="D4038">
        <v>2.3463846016000001</v>
      </c>
      <c r="E4038">
        <f>LN(D4038/参数实验室!$E$53)/参数实验室!$E$55</f>
        <v>0.31321455165407874</v>
      </c>
      <c r="F4038">
        <f t="shared" si="569"/>
        <v>1.0954226889246088</v>
      </c>
      <c r="G4038">
        <f>LN(F4038/参数实验室!$E$58)/参数实验室!$E$59</f>
        <v>-0.14269466652711704</v>
      </c>
      <c r="H4038" s="856">
        <f>INDEX(神经网络!$G$10:$BO$70,MATCH(ROUND(G4038*2,1)/2,神经网络!$E$10:$E$70,0),MATCH(ROUND(E4038*2,1)/2,神经网络!$G$8:$BO$8,0))</f>
        <v>1.3303819157174839</v>
      </c>
      <c r="I4038">
        <f t="shared" si="570"/>
        <v>7044636.8967201523</v>
      </c>
      <c r="J4038">
        <f t="shared" si="571"/>
        <v>18965.947967596301</v>
      </c>
      <c r="K4038">
        <f t="shared" si="572"/>
        <v>371.43605522677035</v>
      </c>
      <c r="L4038" s="4">
        <f>MIN(MAX(L4037*(1+MAX(MIN(((B4038-B4037)/B4037)/($K$7*卓尔金历!$N$40),0),-卓尔金历!$M$43))+MIN(MAX(((B4038-B4037)/B4037)/($K$7*卓尔金历!$N$40),0),卓尔金历!$M$43),0),1)</f>
        <v>0.61461245410942023</v>
      </c>
      <c r="M4038" s="4">
        <f>MIN(MAX(M4037*(1+MAX(MIN(((B4038-B4037)/B4037)/($K$7*30),0),-卓尔金历!$M$43))+MIN(MAX(((B4038-B4037)/B4037)/($K$7*7),0),卓尔金历!$M$43),0),1)</f>
        <v>0.86119641931357971</v>
      </c>
      <c r="N4038">
        <f t="shared" si="573"/>
        <v>994869.86744891643</v>
      </c>
      <c r="O4038">
        <f t="shared" si="574"/>
        <v>3420190.1824321472</v>
      </c>
      <c r="P4038">
        <f t="shared" si="575"/>
        <v>1.8319347129069268E-3</v>
      </c>
      <c r="Q4038">
        <f t="shared" si="576"/>
        <v>2.5833698102944423E-2</v>
      </c>
      <c r="R4038">
        <f t="shared" si="577"/>
        <v>1</v>
      </c>
      <c r="S4038">
        <f t="shared" si="578"/>
        <v>3812.8912816614188</v>
      </c>
      <c r="T4038" s="564">
        <f>IF((I4038-MAX(I$470:I4038))/MAX(I$470:I4038)&gt;T4037,T4037,(I4038-MAX(I$470:I4038))/MAX(I$470:I4038))</f>
        <v>-0.91338805338419748</v>
      </c>
      <c r="U4038" s="564">
        <f>IF((J4038-MAX(J$470:J4038))/MAX(J$470:J4038)&gt;U4037,U4037,(J4038-MAX(J$470:J4038))/MAX(J$470:J4038))</f>
        <v>-0.83569785939843477</v>
      </c>
      <c r="V4038" s="564">
        <f>IF((K4038-MAX(K$470:K4038))/MAX(K$470:K4038)&gt;V4037,V4037,(K4038-MAX(K$470:K4038))/MAX(K$470:K4038))</f>
        <v>-0.84885940676762139</v>
      </c>
      <c r="W4038" s="564">
        <f>IF((N4038-MAX(N$470:N4038))/MAX(N$470:N4038)&gt;W4037,W4037,(N4038-MAX(N$470:N4038))/MAX(N$470:N4038))</f>
        <v>-0.62788758315546067</v>
      </c>
      <c r="X4038" s="564">
        <f>IF((O4038-MAX(O$470:O4038))/MAX(O$470:O4038)&gt;X4037,X4037,(O4038-MAX(O$470:O4038))/MAX(O$470:O4038))</f>
        <v>-0.71785564635603094</v>
      </c>
    </row>
    <row r="4039" spans="1:24">
      <c r="A4039" s="799">
        <v>44441</v>
      </c>
      <c r="B4039">
        <v>49592.713590932697</v>
      </c>
      <c r="C4039">
        <v>52747.012240489101</v>
      </c>
      <c r="D4039">
        <v>2.3750350516999998</v>
      </c>
      <c r="E4039">
        <f>LN(D4039/参数实验室!$E$53)/参数实验室!$E$55</f>
        <v>0.32753265036788443</v>
      </c>
      <c r="F4039">
        <f t="shared" si="569"/>
        <v>1.0636040744931756</v>
      </c>
      <c r="G4039">
        <f>LN(F4039/参数实验室!$E$58)/参数实验室!$E$59</f>
        <v>-0.15816583892970831</v>
      </c>
      <c r="H4039" s="856">
        <f>INDEX(神经网络!$G$10:$BO$70,MATCH(ROUND(G4039*2,1)/2,神经网络!$E$10:$E$70,0),MATCH(ROUND(E4039*2,1)/2,神经网络!$G$8:$BO$8,0))</f>
        <v>1.4230538058217563</v>
      </c>
      <c r="I4039">
        <f t="shared" si="570"/>
        <v>7451251.095283295</v>
      </c>
      <c r="J4039">
        <f t="shared" si="571"/>
        <v>19788.800762512503</v>
      </c>
      <c r="K4039">
        <f t="shared" si="572"/>
        <v>376.5387900311166</v>
      </c>
      <c r="L4039" s="4">
        <f>MIN(MAX(L4038*(1+MAX(MIN(((B4039-B4038)/B4038)/($K$7*卓尔金历!$N$40),0),-卓尔金历!$M$43))+MIN(MAX(((B4039-B4038)/B4038)/($K$7*卓尔金历!$N$40),0),卓尔金历!$M$43),0),1)</f>
        <v>1</v>
      </c>
      <c r="M4039" s="4">
        <f>MIN(MAX(M4038*(1+MAX(MIN(((B4039-B4038)/B4038)/($K$7*30),0),-卓尔金历!$M$43))+MIN(MAX(((B4039-B4038)/B4038)/($K$7*7),0),卓尔金历!$M$43),0),1)</f>
        <v>1</v>
      </c>
      <c r="N4039">
        <f t="shared" si="573"/>
        <v>1030163.1099399086</v>
      </c>
      <c r="O4039">
        <f t="shared" si="574"/>
        <v>3590200.9382371549</v>
      </c>
      <c r="P4039">
        <f t="shared" si="575"/>
        <v>4.3385798396265815E-2</v>
      </c>
      <c r="Q4039">
        <f t="shared" si="576"/>
        <v>2.475877565761065E-2</v>
      </c>
      <c r="R4039">
        <f t="shared" si="577"/>
        <v>1.1342229261661103E-2</v>
      </c>
      <c r="S4039">
        <f t="shared" si="578"/>
        <v>4032.9701523584986</v>
      </c>
      <c r="T4039" s="564">
        <f>IF((I4039-MAX(I$470:I4039))/MAX(I$470:I4039)&gt;T4038,T4038,(I4039-MAX(I$470:I4039))/MAX(I$470:I4039))</f>
        <v>-0.91338805338419748</v>
      </c>
      <c r="U4039" s="564">
        <f>IF((J4039-MAX(J$470:J4039))/MAX(J$470:J4039)&gt;U4038,U4038,(J4039-MAX(J$470:J4039))/MAX(J$470:J4039))</f>
        <v>-0.83569785939843477</v>
      </c>
      <c r="V4039" s="564">
        <f>IF((K4039-MAX(K$470:K4039))/MAX(K$470:K4039)&gt;V4038,V4038,(K4039-MAX(K$470:K4039))/MAX(K$470:K4039))</f>
        <v>-0.84885940676762139</v>
      </c>
      <c r="W4039" s="564">
        <f>IF((N4039-MAX(N$470:N4039))/MAX(N$470:N4039)&gt;W4038,W4038,(N4039-MAX(N$470:N4039))/MAX(N$470:N4039))</f>
        <v>-0.62788758315546067</v>
      </c>
      <c r="X4039" s="564">
        <f>IF((O4039-MAX(O$470:O4039))/MAX(O$470:O4039)&gt;X4038,X4038,(O4039-MAX(O$470:O4039))/MAX(O$470:O4039))</f>
        <v>-0.71785564635603094</v>
      </c>
    </row>
    <row r="4040" spans="1:24">
      <c r="A4040" s="799">
        <v>44442</v>
      </c>
      <c r="B4040">
        <v>50585.582783324899</v>
      </c>
      <c r="C4040">
        <v>52350.118532833199</v>
      </c>
      <c r="D4040">
        <v>2.3953903563000001</v>
      </c>
      <c r="E4040">
        <f>LN(D4040/参数实验室!$E$53)/参数实验室!$E$55</f>
        <v>0.33760067588967013</v>
      </c>
      <c r="F4040">
        <f t="shared" si="569"/>
        <v>1.0348821868291289</v>
      </c>
      <c r="G4040">
        <f>LN(F4040/参数实验室!$E$58)/参数实验室!$E$59</f>
        <v>-0.17253404384348969</v>
      </c>
      <c r="H4040" s="856">
        <f>INDEX(神经网络!$G$10:$BO$70,MATCH(ROUND(G4040*2,1)/2,神经网络!$E$10:$E$70,0),MATCH(ROUND(E4040*2,1)/2,神经网络!$G$8:$BO$8,0))</f>
        <v>1.4230538058217563</v>
      </c>
      <c r="I4040">
        <f t="shared" si="570"/>
        <v>7663538.7223520027</v>
      </c>
      <c r="J4040">
        <f t="shared" si="571"/>
        <v>20184.981757840782</v>
      </c>
      <c r="K4040">
        <f t="shared" si="572"/>
        <v>379.6653776699664</v>
      </c>
      <c r="L4040" s="4">
        <f>MIN(MAX(L4039*(1+MAX(MIN(((B4040-B4039)/B4039)/($K$7*卓尔金历!$N$40),0),-卓尔金历!$M$43))+MIN(MAX(((B4040-B4039)/B4039)/($K$7*卓尔金历!$N$40),0),卓尔金历!$M$43),0),1)</f>
        <v>1</v>
      </c>
      <c r="M4040" s="4">
        <f>MIN(MAX(M4039*(1+MAX(MIN(((B4040-B4039)/B4039)/($K$7*30),0),-卓尔金历!$M$43))+MIN(MAX(((B4040-B4039)/B4039)/($K$7*7),0),卓尔金历!$M$43),0),1)</f>
        <v>1</v>
      </c>
      <c r="N4040">
        <f t="shared" si="573"/>
        <v>1059512.6620226852</v>
      </c>
      <c r="O4040">
        <f t="shared" si="574"/>
        <v>3692486.4776898068</v>
      </c>
      <c r="P4040">
        <f t="shared" si="575"/>
        <v>2.0020465114732766E-2</v>
      </c>
      <c r="Q4040">
        <f t="shared" si="576"/>
        <v>2.2983979360343659E-2</v>
      </c>
      <c r="R4040">
        <f t="shared" si="577"/>
        <v>0.16621895445925691</v>
      </c>
      <c r="S4040">
        <f t="shared" si="578"/>
        <v>4034.2733758901732</v>
      </c>
      <c r="T4040" s="564">
        <f>IF((I4040-MAX(I$470:I4040))/MAX(I$470:I4040)&gt;T4039,T4039,(I4040-MAX(I$470:I4040))/MAX(I$470:I4040))</f>
        <v>-0.91338805338419748</v>
      </c>
      <c r="U4040" s="564">
        <f>IF((J4040-MAX(J$470:J4040))/MAX(J$470:J4040)&gt;U4039,U4039,(J4040-MAX(J$470:J4040))/MAX(J$470:J4040))</f>
        <v>-0.83569785939843477</v>
      </c>
      <c r="V4040" s="564">
        <f>IF((K4040-MAX(K$470:K4040))/MAX(K$470:K4040)&gt;V4039,V4039,(K4040-MAX(K$470:K4040))/MAX(K$470:K4040))</f>
        <v>-0.84885940676762139</v>
      </c>
      <c r="W4040" s="564">
        <f>IF((N4040-MAX(N$470:N4040))/MAX(N$470:N4040)&gt;W4039,W4039,(N4040-MAX(N$470:N4040))/MAX(N$470:N4040))</f>
        <v>-0.62788758315546067</v>
      </c>
      <c r="X4040" s="564">
        <f>IF((O4040-MAX(O$470:O4040))/MAX(O$470:O4040)&gt;X4039,X4039,(O4040-MAX(O$470:O4040))/MAX(O$470:O4040))</f>
        <v>-0.71785564635603094</v>
      </c>
    </row>
    <row r="4041" spans="1:24">
      <c r="A4041" s="799">
        <v>44443</v>
      </c>
      <c r="B4041">
        <v>49836.398471469198</v>
      </c>
      <c r="C4041">
        <v>52526.983296380698</v>
      </c>
      <c r="D4041">
        <v>2.3957722816000002</v>
      </c>
      <c r="E4041">
        <f>LN(D4041/参数实验室!$E$53)/参数实验室!$E$55</f>
        <v>0.33778876285170345</v>
      </c>
      <c r="F4041">
        <f t="shared" si="569"/>
        <v>1.0539883480234198</v>
      </c>
      <c r="G4041">
        <f>LN(F4041/参数实验室!$E$58)/参数实验室!$E$59</f>
        <v>-0.16293246686958027</v>
      </c>
      <c r="H4041" s="856">
        <f>INDEX(神经网络!$G$10:$BO$70,MATCH(ROUND(G4041*2,1)/2,神经网络!$E$10:$E$70,0),MATCH(ROUND(E4041*2,1)/2,神经网络!$G$8:$BO$8,0))</f>
        <v>1.4230538058217563</v>
      </c>
      <c r="I4041">
        <f t="shared" si="570"/>
        <v>7502023.8219058709</v>
      </c>
      <c r="J4041">
        <f t="shared" si="571"/>
        <v>19886.037457192084</v>
      </c>
      <c r="K4041">
        <f t="shared" si="572"/>
        <v>377.25081419841393</v>
      </c>
      <c r="L4041" s="4">
        <f>MIN(MAX(L4040*(1+MAX(MIN(((B4041-B4040)/B4040)/($K$7*卓尔金历!$N$40),0),-卓尔金历!$M$43))+MIN(MAX(((B4041-B4040)/B4040)/($K$7*卓尔金历!$N$40),0),卓尔金历!$M$43),0),1)</f>
        <v>0.77371383866854182</v>
      </c>
      <c r="M4041" s="4">
        <f>MIN(MAX(M4040*(1+MAX(MIN(((B4041-B4040)/B4040)/($K$7*30),0),-卓尔金历!$M$43))+MIN(MAX(((B4041-B4040)/B4040)/($K$7*7),0),卓尔金历!$M$43),0),1)</f>
        <v>0.88685691933427091</v>
      </c>
      <c r="N4041">
        <f t="shared" si="573"/>
        <v>1037182.6277750747</v>
      </c>
      <c r="O4041">
        <f t="shared" si="574"/>
        <v>3614664.5200472781</v>
      </c>
      <c r="P4041">
        <f t="shared" si="575"/>
        <v>-1.481023387759927E-2</v>
      </c>
      <c r="Q4041">
        <f t="shared" si="576"/>
        <v>2.3272209216643726E-2</v>
      </c>
      <c r="R4041">
        <f t="shared" si="577"/>
        <v>0.48531288445160414</v>
      </c>
      <c r="S4041">
        <f t="shared" si="578"/>
        <v>4020.1405467602995</v>
      </c>
      <c r="T4041" s="564">
        <f>IF((I4041-MAX(I$470:I4041))/MAX(I$470:I4041)&gt;T4040,T4040,(I4041-MAX(I$470:I4041))/MAX(I$470:I4041))</f>
        <v>-0.91338805338419748</v>
      </c>
      <c r="U4041" s="564">
        <f>IF((J4041-MAX(J$470:J4041))/MAX(J$470:J4041)&gt;U4040,U4040,(J4041-MAX(J$470:J4041))/MAX(J$470:J4041))</f>
        <v>-0.83569785939843477</v>
      </c>
      <c r="V4041" s="564">
        <f>IF((K4041-MAX(K$470:K4041))/MAX(K$470:K4041)&gt;V4040,V4040,(K4041-MAX(K$470:K4041))/MAX(K$470:K4041))</f>
        <v>-0.84885940676762139</v>
      </c>
      <c r="W4041" s="564">
        <f>IF((N4041-MAX(N$470:N4041))/MAX(N$470:N4041)&gt;W4040,W4040,(N4041-MAX(N$470:N4041))/MAX(N$470:N4041))</f>
        <v>-0.62788758315546067</v>
      </c>
      <c r="X4041" s="564">
        <f>IF((O4041-MAX(O$470:O4041))/MAX(O$470:O4041)&gt;X4040,X4040,(O4041-MAX(O$470:O4041))/MAX(O$470:O4041))</f>
        <v>-0.71785564635603094</v>
      </c>
    </row>
    <row r="4042" spans="1:24">
      <c r="A4042" s="799">
        <v>44444</v>
      </c>
      <c r="B4042">
        <v>50223.883485999599</v>
      </c>
      <c r="C4042">
        <v>52367.705998441903</v>
      </c>
      <c r="D4042">
        <v>2.4809466959000002</v>
      </c>
      <c r="E4042">
        <f>LN(D4042/参数实验室!$E$53)/参数实验室!$E$55</f>
        <v>0.37900295269702911</v>
      </c>
      <c r="F4042">
        <f t="shared" si="569"/>
        <v>1.0426853194862942</v>
      </c>
      <c r="G4042">
        <f>LN(F4042/参数实验室!$E$58)/参数实验室!$E$59</f>
        <v>-0.16859142828981694</v>
      </c>
      <c r="H4042" s="856">
        <f>INDEX(神经网络!$G$10:$BO$70,MATCH(ROUND(G4042*2,1)/2,神经网络!$E$10:$E$70,0),MATCH(ROUND(E4042*2,1)/2,神经网络!$G$8:$BO$8,0))</f>
        <v>1.5130546766770299</v>
      </c>
      <c r="I4042">
        <f t="shared" si="570"/>
        <v>7585029.5420483639</v>
      </c>
      <c r="J4042">
        <f t="shared" si="571"/>
        <v>20040.654198156291</v>
      </c>
      <c r="K4042">
        <f t="shared" si="572"/>
        <v>378.48213272130482</v>
      </c>
      <c r="L4042" s="4">
        <f>MIN(MAX(L4041*(1+MAX(MIN(((B4042-B4041)/B4041)/($K$7*卓尔金历!$N$40),0),-卓尔金历!$M$43))+MIN(MAX(((B4042-B4041)/B4041)/($K$7*卓尔金历!$N$40),0),卓尔金历!$M$43),0),1)</f>
        <v>0.89251052867940062</v>
      </c>
      <c r="M4042" s="4">
        <f>MIN(MAX(M4041*(1+MAX(MIN(((B4042-B4041)/B4041)/($K$7*30),0),-卓尔金历!$M$43))+MIN(MAX(((B4042-B4041)/B4041)/($K$7*7),0),卓尔金历!$M$43),0),1)</f>
        <v>1</v>
      </c>
      <c r="N4042">
        <f t="shared" si="573"/>
        <v>1046061.6507880311</v>
      </c>
      <c r="O4042">
        <f t="shared" si="574"/>
        <v>3650133.6992045194</v>
      </c>
      <c r="P4042">
        <f t="shared" si="575"/>
        <v>7.7751407889603379E-3</v>
      </c>
      <c r="Q4042">
        <f t="shared" si="576"/>
        <v>2.2849169877200072E-2</v>
      </c>
      <c r="R4042">
        <f t="shared" si="577"/>
        <v>1</v>
      </c>
      <c r="S4042">
        <f t="shared" si="578"/>
        <v>4041.7275641274991</v>
      </c>
      <c r="T4042" s="564">
        <f>IF((I4042-MAX(I$470:I4042))/MAX(I$470:I4042)&gt;T4041,T4041,(I4042-MAX(I$470:I4042))/MAX(I$470:I4042))</f>
        <v>-0.91338805338419748</v>
      </c>
      <c r="U4042" s="564">
        <f>IF((J4042-MAX(J$470:J4042))/MAX(J$470:J4042)&gt;U4041,U4041,(J4042-MAX(J$470:J4042))/MAX(J$470:J4042))</f>
        <v>-0.83569785939843477</v>
      </c>
      <c r="V4042" s="564">
        <f>IF((K4042-MAX(K$470:K4042))/MAX(K$470:K4042)&gt;V4041,V4041,(K4042-MAX(K$470:K4042))/MAX(K$470:K4042))</f>
        <v>-0.84885940676762139</v>
      </c>
      <c r="W4042" s="564">
        <f>IF((N4042-MAX(N$470:N4042))/MAX(N$470:N4042)&gt;W4041,W4041,(N4042-MAX(N$470:N4042))/MAX(N$470:N4042))</f>
        <v>-0.62788758315546067</v>
      </c>
      <c r="X4042" s="564">
        <f>IF((O4042-MAX(O$470:O4042))/MAX(O$470:O4042)&gt;X4041,X4041,(O4042-MAX(O$470:O4042))/MAX(O$470:O4042))</f>
        <v>-0.71785564635603094</v>
      </c>
    </row>
    <row r="4043" spans="1:24">
      <c r="A4043" s="799">
        <v>44445</v>
      </c>
      <c r="B4043">
        <v>51621.272111504397</v>
      </c>
      <c r="C4043">
        <v>52209.529995943099</v>
      </c>
      <c r="D4043">
        <v>2.5193137788</v>
      </c>
      <c r="E4043">
        <f>LN(D4043/参数实验室!$E$53)/参数实验室!$E$55</f>
        <v>0.3971078410628216</v>
      </c>
      <c r="F4043">
        <f t="shared" si="569"/>
        <v>1.011395648738916</v>
      </c>
      <c r="G4043">
        <f>LN(F4043/参数实验室!$E$58)/参数实验室!$E$59</f>
        <v>-0.18458279461621852</v>
      </c>
      <c r="H4043" s="856">
        <f>INDEX(神经网络!$G$10:$BO$70,MATCH(ROUND(G4043*2,1)/2,神经网络!$E$10:$E$70,0),MATCH(ROUND(E4043*2,1)/2,神经网络!$G$8:$BO$8,0))</f>
        <v>1.4660757524313852</v>
      </c>
      <c r="I4043">
        <f t="shared" si="570"/>
        <v>7904344.1682602083</v>
      </c>
      <c r="J4043">
        <f t="shared" si="571"/>
        <v>20598.249116756822</v>
      </c>
      <c r="K4043">
        <f t="shared" si="572"/>
        <v>383.73864319516207</v>
      </c>
      <c r="L4043" s="4">
        <f>MIN(MAX(L4042*(1+MAX(MIN(((B4043-B4042)/B4042)/($K$7*卓尔金历!$N$40),0),-卓尔金历!$M$43))+MIN(MAX(((B4043-B4042)/B4042)/($K$7*卓尔金历!$N$40),0),卓尔金历!$M$43),0),1)</f>
        <v>1</v>
      </c>
      <c r="M4043" s="4">
        <f>MIN(MAX(M4042*(1+MAX(MIN(((B4043-B4042)/B4042)/($K$7*30),0),-卓尔金历!$M$43))+MIN(MAX(((B4043-B4042)/B4042)/($K$7*7),0),卓尔金历!$M$43),0),1)</f>
        <v>1</v>
      </c>
      <c r="N4043">
        <f t="shared" si="573"/>
        <v>1085365.2356709742</v>
      </c>
      <c r="O4043">
        <f t="shared" si="574"/>
        <v>3803797.0529625313</v>
      </c>
      <c r="P4043">
        <f t="shared" si="575"/>
        <v>2.7823189457150083E-2</v>
      </c>
      <c r="Q4043">
        <f t="shared" si="576"/>
        <v>2.3391027715899109E-2</v>
      </c>
      <c r="R4043">
        <f t="shared" si="577"/>
        <v>1.8884443424855381E-2</v>
      </c>
      <c r="S4043">
        <f t="shared" si="578"/>
        <v>4211.8762391240843</v>
      </c>
      <c r="T4043" s="564">
        <f>IF((I4043-MAX(I$470:I4043))/MAX(I$470:I4043)&gt;T4042,T4042,(I4043-MAX(I$470:I4043))/MAX(I$470:I4043))</f>
        <v>-0.91338805338419748</v>
      </c>
      <c r="U4043" s="564">
        <f>IF((J4043-MAX(J$470:J4043))/MAX(J$470:J4043)&gt;U4042,U4042,(J4043-MAX(J$470:J4043))/MAX(J$470:J4043))</f>
        <v>-0.83569785939843477</v>
      </c>
      <c r="V4043" s="564">
        <f>IF((K4043-MAX(K$470:K4043))/MAX(K$470:K4043)&gt;V4042,V4042,(K4043-MAX(K$470:K4043))/MAX(K$470:K4043))</f>
        <v>-0.84885940676762139</v>
      </c>
      <c r="W4043" s="564">
        <f>IF((N4043-MAX(N$470:N4043))/MAX(N$470:N4043)&gt;W4042,W4042,(N4043-MAX(N$470:N4043))/MAX(N$470:N4043))</f>
        <v>-0.62788758315546067</v>
      </c>
      <c r="X4043" s="564">
        <f>IF((O4043-MAX(O$470:O4043))/MAX(O$470:O4043)&gt;X4042,X4042,(O4043-MAX(O$470:O4043))/MAX(O$470:O4043))</f>
        <v>-0.71785564635603094</v>
      </c>
    </row>
    <row r="4044" spans="1:24">
      <c r="A4044" s="799">
        <v>44446</v>
      </c>
      <c r="B4044">
        <v>46846.217782860098</v>
      </c>
      <c r="C4044">
        <v>52385.628313262801</v>
      </c>
      <c r="D4044">
        <v>2.2457424808000002</v>
      </c>
      <c r="E4044">
        <f>LN(D4044/参数实验室!$E$53)/参数实验室!$E$55</f>
        <v>0.26149477917599045</v>
      </c>
      <c r="F4044">
        <f t="shared" si="569"/>
        <v>1.1182466972270586</v>
      </c>
      <c r="G4044">
        <f>LN(F4044/参数实验室!$E$58)/参数实验室!$E$59</f>
        <v>-0.13187128194317832</v>
      </c>
      <c r="H4044" s="856">
        <f>INDEX(神经网络!$G$10:$BO$70,MATCH(ROUND(G4044*2,1)/2,神经网络!$E$10:$E$70,0),MATCH(ROUND(E4044*2,1)/2,神经网络!$G$8:$BO$8,0))</f>
        <v>1.2368247565584678</v>
      </c>
      <c r="I4044">
        <f t="shared" si="570"/>
        <v>6832400.737020025</v>
      </c>
      <c r="J4044">
        <f t="shared" si="571"/>
        <v>18692.876494497421</v>
      </c>
      <c r="K4044">
        <f t="shared" si="572"/>
        <v>365.50825866908514</v>
      </c>
      <c r="L4044" s="4">
        <f>MIN(MAX(L4043*(1+MAX(MIN(((B4044-B4043)/B4043)/($K$7*卓尔金历!$N$40),0),-卓尔金历!$M$43))+MIN(MAX(((B4044-B4043)/B4043)/($K$7*卓尔金历!$N$40),0),卓尔金历!$M$43),0),1)</f>
        <v>0</v>
      </c>
      <c r="M4044" s="4">
        <f>MIN(MAX(M4043*(1+MAX(MIN(((B4044-B4043)/B4043)/($K$7*30),0),-卓尔金历!$M$43))+MIN(MAX(((B4044-B4043)/B4043)/($K$7*7),0),卓尔金历!$M$43),0),1)</f>
        <v>0.29333155809059785</v>
      </c>
      <c r="N4044">
        <f t="shared" si="573"/>
        <v>938174.00637888792</v>
      </c>
      <c r="O4044">
        <f t="shared" si="574"/>
        <v>3287947.1382957431</v>
      </c>
      <c r="P4044">
        <f t="shared" si="575"/>
        <v>-9.2501678732944723E-2</v>
      </c>
      <c r="Q4044">
        <f t="shared" si="576"/>
        <v>3.1208240958199011E-2</v>
      </c>
      <c r="R4044">
        <f t="shared" si="577"/>
        <v>0</v>
      </c>
      <c r="S4044">
        <f t="shared" si="578"/>
        <v>4201.0896082674599</v>
      </c>
      <c r="T4044" s="564">
        <f>IF((I4044-MAX(I$470:I4044))/MAX(I$470:I4044)&gt;T4043,T4043,(I4044-MAX(I$470:I4044))/MAX(I$470:I4044))</f>
        <v>-0.91338805338419748</v>
      </c>
      <c r="U4044" s="564">
        <f>IF((J4044-MAX(J$470:J4044))/MAX(J$470:J4044)&gt;U4043,U4043,(J4044-MAX(J$470:J4044))/MAX(J$470:J4044))</f>
        <v>-0.83569785939843477</v>
      </c>
      <c r="V4044" s="564">
        <f>IF((K4044-MAX(K$470:K4044))/MAX(K$470:K4044)&gt;V4043,V4043,(K4044-MAX(K$470:K4044))/MAX(K$470:K4044))</f>
        <v>-0.84885940676762139</v>
      </c>
      <c r="W4044" s="564">
        <f>IF((N4044-MAX(N$470:N4044))/MAX(N$470:N4044)&gt;W4043,W4043,(N4044-MAX(N$470:N4044))/MAX(N$470:N4044))</f>
        <v>-0.62788758315546067</v>
      </c>
      <c r="X4044" s="564">
        <f>IF((O4044-MAX(O$470:O4044))/MAX(O$470:O4044)&gt;X4043,X4043,(O4044-MAX(O$470:O4044))/MAX(O$470:O4044))</f>
        <v>-0.71785564635603094</v>
      </c>
    </row>
    <row r="4045" spans="1:24">
      <c r="A4045" s="799">
        <v>44447</v>
      </c>
      <c r="B4045">
        <v>46024.271868049502</v>
      </c>
      <c r="C4045">
        <v>52731.0459633719</v>
      </c>
      <c r="D4045">
        <v>2.2135726880000002</v>
      </c>
      <c r="E4045">
        <f>LN(D4045/参数实验室!$E$53)/参数实验室!$E$55</f>
        <v>0.24447284895564159</v>
      </c>
      <c r="F4045">
        <f t="shared" si="569"/>
        <v>1.1457225464544134</v>
      </c>
      <c r="G4045">
        <f>LN(F4045/参数实验室!$E$58)/参数实验室!$E$59</f>
        <v>-0.11913125144058109</v>
      </c>
      <c r="H4045" s="856">
        <f>INDEX(神经网络!$G$10:$BO$70,MATCH(ROUND(G4045*2,1)/2,神经网络!$E$10:$E$70,0),MATCH(ROUND(E4045*2,1)/2,神经网络!$G$8:$BO$8,0))</f>
        <v>1.2804811196591386</v>
      </c>
      <c r="I4045">
        <f t="shared" si="570"/>
        <v>6684131.7881542509</v>
      </c>
      <c r="J4045">
        <f t="shared" si="571"/>
        <v>18364.898395135628</v>
      </c>
      <c r="K4045">
        <f t="shared" si="572"/>
        <v>363.96236147566702</v>
      </c>
      <c r="L4045" s="4">
        <f>MIN(MAX(L4044*(1+MAX(MIN(((B4045-B4044)/B4044)/($K$7*卓尔金历!$N$40),0),-卓尔金历!$M$43))+MIN(MAX(((B4045-B4044)/B4044)/($K$7*卓尔金历!$N$40),0),卓尔金历!$M$43),0),1)</f>
        <v>0</v>
      </c>
      <c r="M4045" s="4">
        <f>MIN(MAX(M4044*(1+MAX(MIN(((B4045-B4044)/B4044)/($K$7*30),0),-卓尔金历!$M$43))+MIN(MAX(((B4045-B4044)/B4044)/($K$7*7),0),卓尔金历!$M$43),0),1)</f>
        <v>0.25401336238001415</v>
      </c>
      <c r="N4045">
        <f t="shared" si="573"/>
        <v>938174.00637888792</v>
      </c>
      <c r="O4045">
        <f t="shared" si="574"/>
        <v>3267017.5592500567</v>
      </c>
      <c r="P4045">
        <f t="shared" si="575"/>
        <v>-1.7545619555039645E-2</v>
      </c>
      <c r="Q4045">
        <f t="shared" si="576"/>
        <v>3.1474662889162397E-2</v>
      </c>
      <c r="R4045">
        <f t="shared" si="577"/>
        <v>0.63382421620413587</v>
      </c>
      <c r="S4045">
        <f t="shared" si="578"/>
        <v>4201.0896082674599</v>
      </c>
      <c r="T4045" s="564">
        <f>IF((I4045-MAX(I$470:I4045))/MAX(I$470:I4045)&gt;T4044,T4044,(I4045-MAX(I$470:I4045))/MAX(I$470:I4045))</f>
        <v>-0.91338805338419748</v>
      </c>
      <c r="U4045" s="564">
        <f>IF((J4045-MAX(J$470:J4045))/MAX(J$470:J4045)&gt;U4044,U4044,(J4045-MAX(J$470:J4045))/MAX(J$470:J4045))</f>
        <v>-0.83569785939843477</v>
      </c>
      <c r="V4045" s="564">
        <f>IF((K4045-MAX(K$470:K4045))/MAX(K$470:K4045)&gt;V4044,V4044,(K4045-MAX(K$470:K4045))/MAX(K$470:K4045))</f>
        <v>-0.84885940676762139</v>
      </c>
      <c r="W4045" s="564">
        <f>IF((N4045-MAX(N$470:N4045))/MAX(N$470:N4045)&gt;W4044,W4044,(N4045-MAX(N$470:N4045))/MAX(N$470:N4045))</f>
        <v>-0.62788758315546067</v>
      </c>
      <c r="X4045" s="564">
        <f>IF((O4045-MAX(O$470:O4045))/MAX(O$470:O4045)&gt;X4044,X4044,(O4045-MAX(O$470:O4045))/MAX(O$470:O4045))</f>
        <v>-0.71785564635603094</v>
      </c>
    </row>
    <row r="4046" spans="1:24">
      <c r="A4046" s="799">
        <v>44448</v>
      </c>
      <c r="B4046">
        <v>47010.595202258599</v>
      </c>
      <c r="C4046">
        <v>53699.592742311499</v>
      </c>
      <c r="D4046">
        <v>2.2220942604</v>
      </c>
      <c r="E4046">
        <f>LN(D4046/参数实验室!$E$53)/参数实验室!$E$55</f>
        <v>0.24900581555027471</v>
      </c>
      <c r="F4046">
        <f t="shared" si="569"/>
        <v>1.1422870208571945</v>
      </c>
      <c r="G4046">
        <f>LN(F4046/参数实验室!$E$58)/参数实验室!$E$59</f>
        <v>-0.1207074256670394</v>
      </c>
      <c r="H4046" s="856">
        <f>INDEX(神经网络!$G$10:$BO$70,MATCH(ROUND(G4046*2,1)/2,神经网络!$E$10:$E$70,0),MATCH(ROUND(E4046*2,1)/2,神经网络!$G$8:$BO$8,0))</f>
        <v>1.2804811196591386</v>
      </c>
      <c r="I4046">
        <f t="shared" si="570"/>
        <v>6867553.4249614188</v>
      </c>
      <c r="J4046">
        <f t="shared" si="571"/>
        <v>18758.467420397625</v>
      </c>
      <c r="K4046">
        <f t="shared" si="572"/>
        <v>366.10418490232115</v>
      </c>
      <c r="L4046" s="4">
        <f>MIN(MAX(L4045*(1+MAX(MIN(((B4046-B4045)/B4045)/($K$7*卓尔金历!$N$40),0),-卓尔金历!$M$43))+MIN(MAX(((B4046-B4045)/B4045)/($K$7*卓尔金历!$N$40),0),卓尔金历!$M$43),0),1)</f>
        <v>0.32743753309607287</v>
      </c>
      <c r="M4046" s="4">
        <f>MIN(MAX(M4045*(1+MAX(MIN(((B4046-B4045)/B4045)/($K$7*30),0),-卓尔金历!$M$43))+MIN(MAX(((B4046-B4045)/B4045)/($K$7*7),0),卓尔金历!$M$43),0),1)</f>
        <v>0.955665219014456</v>
      </c>
      <c r="N4046">
        <f t="shared" si="573"/>
        <v>938174.00637888792</v>
      </c>
      <c r="O4046">
        <f t="shared" si="574"/>
        <v>3289790.2103588837</v>
      </c>
      <c r="P4046">
        <f t="shared" si="575"/>
        <v>2.1430503822784264E-2</v>
      </c>
      <c r="Q4046">
        <f t="shared" si="576"/>
        <v>3.1780084529042296E-2</v>
      </c>
      <c r="R4046">
        <f t="shared" si="577"/>
        <v>0.43790095279773089</v>
      </c>
      <c r="S4046">
        <f t="shared" si="578"/>
        <v>4274.1591415925514</v>
      </c>
      <c r="T4046" s="564">
        <f>IF((I4046-MAX(I$470:I4046))/MAX(I$470:I4046)&gt;T4045,T4045,(I4046-MAX(I$470:I4046))/MAX(I$470:I4046))</f>
        <v>-0.91338805338419748</v>
      </c>
      <c r="U4046" s="564">
        <f>IF((J4046-MAX(J$470:J4046))/MAX(J$470:J4046)&gt;U4045,U4045,(J4046-MAX(J$470:J4046))/MAX(J$470:J4046))</f>
        <v>-0.83569785939843477</v>
      </c>
      <c r="V4046" s="564">
        <f>IF((K4046-MAX(K$470:K4046))/MAX(K$470:K4046)&gt;V4045,V4045,(K4046-MAX(K$470:K4046))/MAX(K$470:K4046))</f>
        <v>-0.84885940676762139</v>
      </c>
      <c r="W4046" s="564">
        <f>IF((N4046-MAX(N$470:N4046))/MAX(N$470:N4046)&gt;W4045,W4045,(N4046-MAX(N$470:N4046))/MAX(N$470:N4046))</f>
        <v>-0.62788758315546067</v>
      </c>
      <c r="X4046" s="564">
        <f>IF((O4046-MAX(O$470:O4046))/MAX(O$470:O4046)&gt;X4045,X4045,(O4046-MAX(O$470:O4046))/MAX(O$470:O4046))</f>
        <v>-0.71785564635603094</v>
      </c>
    </row>
    <row r="4047" spans="1:24">
      <c r="A4047" s="799">
        <v>44449</v>
      </c>
      <c r="B4047">
        <v>45446.319837424599</v>
      </c>
      <c r="C4047">
        <v>54091.235564466799</v>
      </c>
      <c r="D4047">
        <v>2.1424543111999999</v>
      </c>
      <c r="E4047">
        <f>LN(D4047/参数实验室!$E$53)/参数实验室!$E$55</f>
        <v>0.2059471044114837</v>
      </c>
      <c r="F4047">
        <f t="shared" si="569"/>
        <v>1.1902225693514394</v>
      </c>
      <c r="G4047">
        <f>LN(F4047/参数实验室!$E$58)/参数实验室!$E$59</f>
        <v>-9.9131772218999159E-2</v>
      </c>
      <c r="H4047" s="856">
        <f>INDEX(神经网络!$G$10:$BO$70,MATCH(ROUND(G4047*2,1)/2,神经网络!$E$10:$E$70,0),MATCH(ROUND(E4047*2,1)/2,神经网络!$G$8:$BO$8,0))</f>
        <v>1.1878558985151273</v>
      </c>
      <c r="I4047">
        <f t="shared" si="570"/>
        <v>6574941.0548175853</v>
      </c>
      <c r="J4047">
        <f t="shared" si="571"/>
        <v>18134.280291059611</v>
      </c>
      <c r="K4047">
        <f t="shared" si="572"/>
        <v>362.56972701911417</v>
      </c>
      <c r="L4047" s="4">
        <f>MIN(MAX(L4046*(1+MAX(MIN(((B4047-B4046)/B4046)/($K$7*卓尔金历!$N$40),0),-卓尔金历!$M$43))+MIN(MAX(((B4047-B4046)/B4046)/($K$7*卓尔金历!$N$40),0),卓尔金历!$M$43),0),1)</f>
        <v>0.16096522762562057</v>
      </c>
      <c r="M4047" s="4">
        <f>MIN(MAX(M4046*(1+MAX(MIN(((B4047-B4046)/B4046)/($K$7*30),0),-卓尔金历!$M$43))+MIN(MAX(((B4047-B4046)/B4046)/($K$7*7),0),卓尔金历!$M$43),0),1)</f>
        <v>0.71273064953646281</v>
      </c>
      <c r="N4047">
        <f t="shared" si="573"/>
        <v>925085.1262327322</v>
      </c>
      <c r="O4047">
        <f t="shared" si="574"/>
        <v>3155833.4550485024</v>
      </c>
      <c r="P4047">
        <f t="shared" si="575"/>
        <v>-3.3274953403671127E-2</v>
      </c>
      <c r="Q4047">
        <f t="shared" si="576"/>
        <v>2.9520696149334544E-2</v>
      </c>
      <c r="R4047">
        <f t="shared" si="577"/>
        <v>2.7975583123755136E-2</v>
      </c>
      <c r="S4047">
        <f t="shared" si="578"/>
        <v>4194.4116165163759</v>
      </c>
      <c r="T4047" s="564">
        <f>IF((I4047-MAX(I$470:I4047))/MAX(I$470:I4047)&gt;T4046,T4046,(I4047-MAX(I$470:I4047))/MAX(I$470:I4047))</f>
        <v>-0.91338805338419748</v>
      </c>
      <c r="U4047" s="564">
        <f>IF((J4047-MAX(J$470:J4047))/MAX(J$470:J4047)&gt;U4046,U4046,(J4047-MAX(J$470:J4047))/MAX(J$470:J4047))</f>
        <v>-0.83569785939843477</v>
      </c>
      <c r="V4047" s="564">
        <f>IF((K4047-MAX(K$470:K4047))/MAX(K$470:K4047)&gt;V4046,V4046,(K4047-MAX(K$470:K4047))/MAX(K$470:K4047))</f>
        <v>-0.84885940676762139</v>
      </c>
      <c r="W4047" s="564">
        <f>IF((N4047-MAX(N$470:N4047))/MAX(N$470:N4047)&gt;W4046,W4046,(N4047-MAX(N$470:N4047))/MAX(N$470:N4047))</f>
        <v>-0.62788758315546067</v>
      </c>
      <c r="X4047" s="564">
        <f>IF((O4047-MAX(O$470:O4047))/MAX(O$470:O4047)&gt;X4046,X4046,(O4047-MAX(O$470:O4047))/MAX(O$470:O4047))</f>
        <v>-0.71785564635603094</v>
      </c>
    </row>
    <row r="4048" spans="1:24">
      <c r="A4048" s="799">
        <v>44450</v>
      </c>
      <c r="B4048">
        <v>45569.211758586804</v>
      </c>
      <c r="C4048">
        <v>54205.029129529401</v>
      </c>
      <c r="D4048">
        <v>2.1578082628000002</v>
      </c>
      <c r="E4048">
        <f>LN(D4048/参数实验室!$E$53)/参数实验室!$E$55</f>
        <v>0.21437168354828678</v>
      </c>
      <c r="F4048">
        <f t="shared" si="569"/>
        <v>1.1895099133312377</v>
      </c>
      <c r="G4048">
        <f>LN(F4048/参数实验室!$E$58)/参数实验室!$E$59</f>
        <v>-9.9446127221027983E-2</v>
      </c>
      <c r="H4048" s="856">
        <f>INDEX(神经网络!$G$10:$BO$70,MATCH(ROUND(G4048*2,1)/2,神经网络!$E$10:$E$70,0),MATCH(ROUND(E4048*2,1)/2,神经网络!$G$8:$BO$8,0))</f>
        <v>1.1878558985151273</v>
      </c>
      <c r="I4048">
        <f t="shared" si="570"/>
        <v>6596060.3896296853</v>
      </c>
      <c r="J4048">
        <f t="shared" si="571"/>
        <v>18183.317408956824</v>
      </c>
      <c r="K4048">
        <f t="shared" si="572"/>
        <v>362.75340969302812</v>
      </c>
      <c r="L4048" s="4">
        <f>MIN(MAX(L4047*(1+MAX(MIN(((B4048-B4047)/B4047)/($K$7*卓尔金历!$N$40),0),-卓尔金历!$M$43))+MIN(MAX(((B4048-B4047)/B4047)/($K$7*卓尔金历!$N$40),0),卓尔金历!$M$43),0),1)</f>
        <v>0.20228145810414763</v>
      </c>
      <c r="M4048" s="4">
        <f>MIN(MAX(M4047*(1+MAX(MIN(((B4048-B4047)/B4047)/($K$7*30),0),-卓尔金历!$M$43))+MIN(MAX(((B4048-B4047)/B4047)/($K$7*7),0),卓尔金历!$M$43),0),1)</f>
        <v>0.80126542913330656</v>
      </c>
      <c r="N4048">
        <f t="shared" si="573"/>
        <v>925563.4281678769</v>
      </c>
      <c r="O4048">
        <f t="shared" si="574"/>
        <v>3163058.2892066301</v>
      </c>
      <c r="P4048">
        <f t="shared" si="575"/>
        <v>2.7041116112773737E-3</v>
      </c>
      <c r="Q4048">
        <f t="shared" si="576"/>
        <v>2.9370241512211095E-2</v>
      </c>
      <c r="R4048">
        <f t="shared" si="577"/>
        <v>1</v>
      </c>
      <c r="S4048">
        <f t="shared" si="578"/>
        <v>4194.7885273032934</v>
      </c>
      <c r="T4048" s="564">
        <f>IF((I4048-MAX(I$470:I4048))/MAX(I$470:I4048)&gt;T4047,T4047,(I4048-MAX(I$470:I4048))/MAX(I$470:I4048))</f>
        <v>-0.91338805338419748</v>
      </c>
      <c r="U4048" s="564">
        <f>IF((J4048-MAX(J$470:J4048))/MAX(J$470:J4048)&gt;U4047,U4047,(J4048-MAX(J$470:J4048))/MAX(J$470:J4048))</f>
        <v>-0.83569785939843477</v>
      </c>
      <c r="V4048" s="564">
        <f>IF((K4048-MAX(K$470:K4048))/MAX(K$470:K4048)&gt;V4047,V4047,(K4048-MAX(K$470:K4048))/MAX(K$470:K4048))</f>
        <v>-0.84885940676762139</v>
      </c>
      <c r="W4048" s="564">
        <f>IF((N4048-MAX(N$470:N4048))/MAX(N$470:N4048)&gt;W4047,W4047,(N4048-MAX(N$470:N4048))/MAX(N$470:N4048))</f>
        <v>-0.62788758315546067</v>
      </c>
      <c r="X4048" s="564">
        <f>IF((O4048-MAX(O$470:O4048))/MAX(O$470:O4048)&gt;X4047,X4047,(O4048-MAX(O$470:O4048))/MAX(O$470:O4048))</f>
        <v>-0.71785564635603094</v>
      </c>
    </row>
    <row r="4049" spans="1:24">
      <c r="A4049" s="799">
        <v>44451</v>
      </c>
      <c r="B4049">
        <v>45938.059736323601</v>
      </c>
      <c r="C4049">
        <v>54037.931129913297</v>
      </c>
      <c r="D4049">
        <v>2.2082170161999999</v>
      </c>
      <c r="E4049">
        <f>LN(D4049/参数实验室!$E$53)/参数实验室!$E$55</f>
        <v>0.24161501324111309</v>
      </c>
      <c r="F4049">
        <f t="shared" si="569"/>
        <v>1.1763215825849314</v>
      </c>
      <c r="G4049">
        <f>LN(F4049/参数实验室!$E$58)/参数实验室!$E$59</f>
        <v>-0.10529778692458953</v>
      </c>
      <c r="H4049" s="856">
        <f>INDEX(神经网络!$G$10:$BO$70,MATCH(ROUND(G4049*2,1)/2,神经网络!$E$10:$E$70,0),MATCH(ROUND(E4049*2,1)/2,神经网络!$G$8:$BO$8,0))</f>
        <v>1.2804811196591386</v>
      </c>
      <c r="I4049">
        <f t="shared" si="570"/>
        <v>6659480.102592879</v>
      </c>
      <c r="J4049">
        <f t="shared" si="571"/>
        <v>18330.497480676546</v>
      </c>
      <c r="K4049">
        <f t="shared" si="572"/>
        <v>363.30056560729469</v>
      </c>
      <c r="L4049" s="4">
        <f>MIN(MAX(L4048*(1+MAX(MIN(((B4049-B4048)/B4048)/($K$7*卓尔金历!$N$40),0),-卓尔金历!$M$43))+MIN(MAX(((B4049-B4048)/B4048)/($K$7*卓尔金历!$N$40),0),卓尔金历!$M$43),0),1)</f>
        <v>0.32595362458244659</v>
      </c>
      <c r="M4049" s="4">
        <f>MIN(MAX(M4048*(1+MAX(MIN(((B4049-B4048)/B4048)/($K$7*30),0),-卓尔金历!$M$43))+MIN(MAX(((B4049-B4048)/B4048)/($K$7*7),0),卓尔金历!$M$43),0),1)</f>
        <v>1</v>
      </c>
      <c r="N4049">
        <f t="shared" si="573"/>
        <v>927363.55004687526</v>
      </c>
      <c r="O4049">
        <f t="shared" si="574"/>
        <v>3187426.4779335768</v>
      </c>
      <c r="P4049">
        <f t="shared" si="575"/>
        <v>8.0942365141370674E-3</v>
      </c>
      <c r="Q4049">
        <f t="shared" si="576"/>
        <v>2.9353255431815998E-2</v>
      </c>
      <c r="R4049">
        <f t="shared" si="577"/>
        <v>1</v>
      </c>
      <c r="S4049">
        <f t="shared" si="578"/>
        <v>4235.1205237721451</v>
      </c>
      <c r="T4049" s="564">
        <f>IF((I4049-MAX(I$470:I4049))/MAX(I$470:I4049)&gt;T4048,T4048,(I4049-MAX(I$470:I4049))/MAX(I$470:I4049))</f>
        <v>-0.91338805338419748</v>
      </c>
      <c r="U4049" s="564">
        <f>IF((J4049-MAX(J$470:J4049))/MAX(J$470:J4049)&gt;U4048,U4048,(J4049-MAX(J$470:J4049))/MAX(J$470:J4049))</f>
        <v>-0.83569785939843477</v>
      </c>
      <c r="V4049" s="564">
        <f>IF((K4049-MAX(K$470:K4049))/MAX(K$470:K4049)&gt;V4048,V4048,(K4049-MAX(K$470:K4049))/MAX(K$470:K4049))</f>
        <v>-0.84885940676762139</v>
      </c>
      <c r="W4049" s="564">
        <f>IF((N4049-MAX(N$470:N4049))/MAX(N$470:N4049)&gt;W4048,W4048,(N4049-MAX(N$470:N4049))/MAX(N$470:N4049))</f>
        <v>-0.62788758315546067</v>
      </c>
      <c r="X4049" s="564">
        <f>IF((O4049-MAX(O$470:O4049))/MAX(O$470:O4049)&gt;X4048,X4048,(O4049-MAX(O$470:O4049))/MAX(O$470:O4049))</f>
        <v>-0.71785564635603094</v>
      </c>
    </row>
    <row r="4050" spans="1:24">
      <c r="A4050" s="799">
        <v>44452</v>
      </c>
      <c r="B4050">
        <v>44408.966023252498</v>
      </c>
      <c r="C4050">
        <v>54222.490163426999</v>
      </c>
      <c r="D4050">
        <v>2.1518634810999999</v>
      </c>
      <c r="E4050">
        <f>LN(D4050/参数实验室!$E$53)/参数实验室!$E$55</f>
        <v>0.2111169670128733</v>
      </c>
      <c r="F4050">
        <f t="shared" ref="F4050:F4058" si="579">C4050/B4050</f>
        <v>1.2209806941921626</v>
      </c>
      <c r="G4050">
        <f>LN(F4050/参数实验室!$E$58)/参数实验室!$E$59</f>
        <v>-8.5740614238117116E-2</v>
      </c>
      <c r="H4050" s="856">
        <f>INDEX(神经网络!$G$10:$BO$70,MATCH(ROUND(G4050*2,1)/2,神经网络!$E$10:$E$70,0),MATCH(ROUND(E4050*2,1)/2,神经网络!$G$8:$BO$8,0))</f>
        <v>1.1878558985151273</v>
      </c>
      <c r="I4050">
        <f t="shared" ref="I4050:I4058" si="580">I4049*(1+(B4050-B4049)/B4049*H4049)</f>
        <v>6375639.2128664944</v>
      </c>
      <c r="J4050">
        <f t="shared" ref="J4050:J4058" si="581">J4049*B4050/B4049</f>
        <v>17720.348758330631</v>
      </c>
      <c r="K4050">
        <f t="shared" ref="K4050:K4058" si="582">I4050/J4050</f>
        <v>359.79197135548475</v>
      </c>
      <c r="L4050" s="4">
        <f>MIN(MAX(L4049*(1+MAX(MIN(((B4050-B4049)/B4049)/($K$7*卓尔金历!$N$40),0),-卓尔金历!$M$43))+MIN(MAX(((B4050-B4049)/B4049)/($K$7*卓尔金历!$N$40),0),卓尔金历!$M$43),0),1)</f>
        <v>0.16018079607996405</v>
      </c>
      <c r="M4050" s="4">
        <f>MIN(MAX(M4049*(1+MAX(MIN(((B4050-B4049)/B4049)/($K$7*30),0),-卓尔金历!$M$43))+MIN(MAX(((B4050-B4049)/B4049)/($K$7*7),0),卓尔金历!$M$43),0),1)</f>
        <v>0.74571102144539581</v>
      </c>
      <c r="N4050">
        <f t="shared" ref="N4050:N4058" si="583">N4049*(1+(B4050-B4049)/B4049*H4049*L4049)</f>
        <v>914479.85399451642</v>
      </c>
      <c r="O4050">
        <f t="shared" ref="O4050:O4058" si="584">O4049*(1+(B4050-B4049)/B4049*H4049*M4049)</f>
        <v>3051571.7334946152</v>
      </c>
      <c r="P4050">
        <f t="shared" ref="P4050:P4058" si="585">(B4050-B4049)/B4049</f>
        <v>-3.3285988172940525E-2</v>
      </c>
      <c r="Q4050">
        <f t="shared" ref="Q4050:Q4058" si="586">STDEVP(P4030:P4050)</f>
        <v>2.9562314881719287E-2</v>
      </c>
      <c r="R4050">
        <f t="shared" ref="R4050:R4058" si="587">MIN(Q4049*MAX(1-LN(MAX(ABS(P4050),0.0001)/Q4050),0)+MAX(-LN(MAX(ABS(P4050),0.0001)/Q4050),0),1)</f>
        <v>2.5870898847200202E-2</v>
      </c>
      <c r="S4050">
        <f t="shared" ref="S4050:S4058" si="588">S4049*(1+(B4050-B4049)/B4049*H4049*R4049)</f>
        <v>4054.6108805196759</v>
      </c>
      <c r="T4050" s="564">
        <f>IF((I4050-MAX(I$470:I4050))/MAX(I$470:I4050)&gt;T4049,T4049,(I4050-MAX(I$470:I4050))/MAX(I$470:I4050))</f>
        <v>-0.91338805338419748</v>
      </c>
      <c r="U4050" s="564">
        <f>IF((J4050-MAX(J$470:J4050))/MAX(J$470:J4050)&gt;U4049,U4049,(J4050-MAX(J$470:J4050))/MAX(J$470:J4050))</f>
        <v>-0.83569785939843477</v>
      </c>
      <c r="V4050" s="564">
        <f>IF((K4050-MAX(K$470:K4050))/MAX(K$470:K4050)&gt;V4049,V4049,(K4050-MAX(K$470:K4050))/MAX(K$470:K4050))</f>
        <v>-0.84885940676762139</v>
      </c>
      <c r="W4050" s="564">
        <f>IF((N4050-MAX(N$470:N4050))/MAX(N$470:N4050)&gt;W4049,W4049,(N4050-MAX(N$470:N4050))/MAX(N$470:N4050))</f>
        <v>-0.62788758315546067</v>
      </c>
      <c r="X4050" s="564">
        <f>IF((O4050-MAX(O$470:O4050))/MAX(O$470:O4050)&gt;X4049,X4049,(O4050-MAX(O$470:O4050))/MAX(O$470:O4050))</f>
        <v>-0.71785564635603094</v>
      </c>
    </row>
    <row r="4051" spans="1:24">
      <c r="A4051" s="799">
        <v>44453</v>
      </c>
      <c r="B4051">
        <v>46735.273614740297</v>
      </c>
      <c r="C4051">
        <v>54727.668559958198</v>
      </c>
      <c r="D4051">
        <v>2.2451752774</v>
      </c>
      <c r="E4051">
        <f>LN(D4051/参数实验室!$E$53)/参数实验室!$E$55</f>
        <v>0.26119677324903778</v>
      </c>
      <c r="F4051">
        <f t="shared" si="579"/>
        <v>1.1710141896483324</v>
      </c>
      <c r="G4051">
        <f>LN(F4051/参数实验室!$E$58)/参数实验室!$E$59</f>
        <v>-0.1076712108044348</v>
      </c>
      <c r="H4051" s="856">
        <f>INDEX(神经网络!$G$10:$BO$70,MATCH(ROUND(G4051*2,1)/2,神经网络!$E$10:$E$70,0),MATCH(ROUND(E4051*2,1)/2,神经网络!$G$8:$BO$8,0))</f>
        <v>1.2804811196591386</v>
      </c>
      <c r="I4051">
        <f t="shared" si="580"/>
        <v>6772359.0965954047</v>
      </c>
      <c r="J4051">
        <f t="shared" si="581"/>
        <v>18648.606845193801</v>
      </c>
      <c r="K4051">
        <f t="shared" si="582"/>
        <v>363.15630185215718</v>
      </c>
      <c r="L4051" s="4">
        <f>MIN(MAX(L4050*(1+MAX(MIN(((B4051-B4050)/B4050)/($K$7*卓尔金历!$N$40),0),-卓尔金历!$M$43))+MIN(MAX(((B4051-B4050)/B4050)/($K$7*卓尔金历!$N$40),0),卓尔金历!$M$43),0),1)</f>
        <v>0.96055402676783397</v>
      </c>
      <c r="M4051" s="4">
        <f>MIN(MAX(M4050*(1+MAX(MIN(((B4051-B4050)/B4050)/($K$7*30),0),-卓尔金历!$M$43))+MIN(MAX(((B4051-B4050)/B4050)/($K$7*7),0),卓尔金历!$M$43),0),1)</f>
        <v>1</v>
      </c>
      <c r="N4051">
        <f t="shared" si="583"/>
        <v>923594.60533297737</v>
      </c>
      <c r="O4051">
        <f t="shared" si="584"/>
        <v>3193168.8404858592</v>
      </c>
      <c r="P4051">
        <f t="shared" si="585"/>
        <v>5.2383736884793634E-2</v>
      </c>
      <c r="Q4051">
        <f t="shared" si="586"/>
        <v>3.151088986232705E-2</v>
      </c>
      <c r="R4051">
        <f t="shared" si="587"/>
        <v>1.4536884554558935E-2</v>
      </c>
      <c r="S4051">
        <f t="shared" si="588"/>
        <v>4061.1379905571725</v>
      </c>
      <c r="T4051" s="564">
        <f>IF((I4051-MAX(I$470:I4051))/MAX(I$470:I4051)&gt;T4050,T4050,(I4051-MAX(I$470:I4051))/MAX(I$470:I4051))</f>
        <v>-0.91338805338419748</v>
      </c>
      <c r="U4051" s="564">
        <f>IF((J4051-MAX(J$470:J4051))/MAX(J$470:J4051)&gt;U4050,U4050,(J4051-MAX(J$470:J4051))/MAX(J$470:J4051))</f>
        <v>-0.83569785939843477</v>
      </c>
      <c r="V4051" s="564">
        <f>IF((K4051-MAX(K$470:K4051))/MAX(K$470:K4051)&gt;V4050,V4050,(K4051-MAX(K$470:K4051))/MAX(K$470:K4051))</f>
        <v>-0.84885940676762139</v>
      </c>
      <c r="W4051" s="564">
        <f>IF((N4051-MAX(N$470:N4051))/MAX(N$470:N4051)&gt;W4050,W4050,(N4051-MAX(N$470:N4051))/MAX(N$470:N4051))</f>
        <v>-0.62788758315546067</v>
      </c>
      <c r="X4051" s="564">
        <f>IF((O4051-MAX(O$470:O4051))/MAX(O$470:O4051)&gt;X4050,X4050,(O4051-MAX(O$470:O4051))/MAX(O$470:O4051))</f>
        <v>-0.71785564635603094</v>
      </c>
    </row>
    <row r="4052" spans="1:24">
      <c r="A4052" s="799">
        <v>44454</v>
      </c>
      <c r="B4052">
        <v>48260.211132488097</v>
      </c>
      <c r="C4052">
        <v>55418.242180894202</v>
      </c>
      <c r="D4052">
        <v>2.2937612129999998</v>
      </c>
      <c r="E4052">
        <f>LN(D4052/参数实验室!$E$53)/参数实验室!$E$55</f>
        <v>0.2864544981136754</v>
      </c>
      <c r="F4052">
        <f t="shared" si="579"/>
        <v>1.1483215858454341</v>
      </c>
      <c r="G4052">
        <f>LN(F4052/参数实验室!$E$58)/参数实验室!$E$59</f>
        <v>-0.11794198319857195</v>
      </c>
      <c r="H4052" s="856">
        <f>INDEX(神经网络!$G$10:$BO$70,MATCH(ROUND(G4052*2,1)/2,神经网络!$E$10:$E$70,0),MATCH(ROUND(E4052*2,1)/2,神经网络!$G$8:$BO$8,0))</f>
        <v>1.374083265446286</v>
      </c>
      <c r="I4052">
        <f t="shared" si="580"/>
        <v>7055316.0801711977</v>
      </c>
      <c r="J4052">
        <f t="shared" si="581"/>
        <v>19257.097135983393</v>
      </c>
      <c r="K4052">
        <f t="shared" si="582"/>
        <v>366.3748502876785</v>
      </c>
      <c r="L4052" s="4">
        <f>MIN(MAX(L4051*(1+MAX(MIN(((B4052-B4051)/B4051)/($K$7*卓尔金历!$N$40),0),-卓尔金历!$M$43))+MIN(MAX(((B4052-B4051)/B4051)/($K$7*卓尔金历!$N$40),0),卓尔金历!$M$43),0),1)</f>
        <v>1</v>
      </c>
      <c r="M4052" s="4">
        <f>MIN(MAX(M4051*(1+MAX(MIN(((B4052-B4051)/B4051)/($K$7*30),0),-卓尔金历!$M$43))+MIN(MAX(((B4052-B4051)/B4051)/($K$7*7),0),卓尔金历!$M$43),0),1)</f>
        <v>1</v>
      </c>
      <c r="N4052">
        <f t="shared" si="583"/>
        <v>960661.27977287746</v>
      </c>
      <c r="O4052">
        <f t="shared" si="584"/>
        <v>3326583.1220183186</v>
      </c>
      <c r="P4052">
        <f t="shared" si="585"/>
        <v>3.2629262648990562E-2</v>
      </c>
      <c r="Q4052">
        <f t="shared" si="586"/>
        <v>3.2228542342010641E-2</v>
      </c>
      <c r="R4052">
        <f t="shared" si="587"/>
        <v>3.1121508379687579E-2</v>
      </c>
      <c r="S4052">
        <f t="shared" si="588"/>
        <v>4063.6045950992434</v>
      </c>
      <c r="T4052" s="564">
        <f>IF((I4052-MAX(I$470:I4052))/MAX(I$470:I4052)&gt;T4051,T4051,(I4052-MAX(I$470:I4052))/MAX(I$470:I4052))</f>
        <v>-0.91338805338419748</v>
      </c>
      <c r="U4052" s="564">
        <f>IF((J4052-MAX(J$470:J4052))/MAX(J$470:J4052)&gt;U4051,U4051,(J4052-MAX(J$470:J4052))/MAX(J$470:J4052))</f>
        <v>-0.83569785939843477</v>
      </c>
      <c r="V4052" s="564">
        <f>IF((K4052-MAX(K$470:K4052))/MAX(K$470:K4052)&gt;V4051,V4051,(K4052-MAX(K$470:K4052))/MAX(K$470:K4052))</f>
        <v>-0.84885940676762139</v>
      </c>
      <c r="W4052" s="564">
        <f>IF((N4052-MAX(N$470:N4052))/MAX(N$470:N4052)&gt;W4051,W4051,(N4052-MAX(N$470:N4052))/MAX(N$470:N4052))</f>
        <v>-0.62788758315546067</v>
      </c>
      <c r="X4052" s="564">
        <f>IF((O4052-MAX(O$470:O4052))/MAX(O$470:O4052)&gt;X4051,X4051,(O4052-MAX(O$470:O4052))/MAX(O$470:O4052))</f>
        <v>-0.71785564635603094</v>
      </c>
    </row>
    <row r="4053" spans="1:24">
      <c r="A4053" s="799">
        <v>44455</v>
      </c>
      <c r="B4053">
        <v>48033.275836132503</v>
      </c>
      <c r="C4053">
        <v>56750.754042681103</v>
      </c>
      <c r="D4053">
        <v>2.2739818671999998</v>
      </c>
      <c r="E4053">
        <f>LN(D4053/参数实验室!$E$53)/参数实验室!$E$55</f>
        <v>0.27623724516763232</v>
      </c>
      <c r="F4053">
        <f t="shared" si="579"/>
        <v>1.181488313149589</v>
      </c>
      <c r="G4053">
        <f>LN(F4053/参数实验室!$E$58)/参数实验室!$E$59</f>
        <v>-0.10299753042650099</v>
      </c>
      <c r="H4053" s="856">
        <f>INDEX(神经网络!$G$10:$BO$70,MATCH(ROUND(G4053*2,1)/2,神经网络!$E$10:$E$70,0),MATCH(ROUND(E4053*2,1)/2,神经网络!$G$8:$BO$8,0))</f>
        <v>1.374083265446286</v>
      </c>
      <c r="I4053">
        <f t="shared" si="580"/>
        <v>7009728.9390861075</v>
      </c>
      <c r="J4053">
        <f t="shared" si="581"/>
        <v>19166.543967173053</v>
      </c>
      <c r="K4053">
        <f t="shared" si="582"/>
        <v>365.72732940752485</v>
      </c>
      <c r="L4053" s="4">
        <f>MIN(MAX(L4052*(1+MAX(MIN(((B4053-B4052)/B4052)/($K$7*卓尔金历!$N$40),0),-卓尔金历!$M$43))+MIN(MAX(((B4053-B4052)/B4052)/($K$7*卓尔金历!$N$40),0),卓尔金历!$M$43),0),1)</f>
        <v>0.92815295512732299</v>
      </c>
      <c r="M4053" s="4">
        <f>MIN(MAX(M4052*(1+MAX(MIN(((B4053-B4052)/B4052)/($K$7*30),0),-卓尔金历!$M$43))+MIN(MAX(((B4053-B4052)/B4052)/($K$7*7),0),卓尔金历!$M$43),0),1)</f>
        <v>0.96407647756366144</v>
      </c>
      <c r="N4053">
        <f t="shared" si="583"/>
        <v>954454.07363237988</v>
      </c>
      <c r="O4053">
        <f t="shared" si="584"/>
        <v>3305088.7747216839</v>
      </c>
      <c r="P4053">
        <f t="shared" si="585"/>
        <v>-4.7023270522499692E-3</v>
      </c>
      <c r="Q4053">
        <f t="shared" si="586"/>
        <v>3.0910670917777841E-2</v>
      </c>
      <c r="R4053">
        <f t="shared" si="587"/>
        <v>1</v>
      </c>
      <c r="S4053">
        <f t="shared" si="588"/>
        <v>4062.7874522910943</v>
      </c>
      <c r="T4053" s="564">
        <f>IF((I4053-MAX(I$470:I4053))/MAX(I$470:I4053)&gt;T4052,T4052,(I4053-MAX(I$470:I4053))/MAX(I$470:I4053))</f>
        <v>-0.91338805338419748</v>
      </c>
      <c r="U4053" s="564">
        <f>IF((J4053-MAX(J$470:J4053))/MAX(J$470:J4053)&gt;U4052,U4052,(J4053-MAX(J$470:J4053))/MAX(J$470:J4053))</f>
        <v>-0.83569785939843477</v>
      </c>
      <c r="V4053" s="564">
        <f>IF((K4053-MAX(K$470:K4053))/MAX(K$470:K4053)&gt;V4052,V4052,(K4053-MAX(K$470:K4053))/MAX(K$470:K4053))</f>
        <v>-0.84885940676762139</v>
      </c>
      <c r="W4053" s="564">
        <f>IF((N4053-MAX(N$470:N4053))/MAX(N$470:N4053)&gt;W4052,W4052,(N4053-MAX(N$470:N4053))/MAX(N$470:N4053))</f>
        <v>-0.62788758315546067</v>
      </c>
      <c r="X4053" s="564">
        <f>IF((O4053-MAX(O$470:O4053))/MAX(O$470:O4053)&gt;X4052,X4052,(O4053-MAX(O$470:O4053))/MAX(O$470:O4053))</f>
        <v>-0.71785564635603094</v>
      </c>
    </row>
    <row r="4054" spans="1:24">
      <c r="A4054" s="799">
        <v>44456</v>
      </c>
      <c r="B4054">
        <v>47530.356361767903</v>
      </c>
      <c r="C4054">
        <v>56313.293141886701</v>
      </c>
      <c r="D4054">
        <v>2.2449495380000002</v>
      </c>
      <c r="E4054">
        <f>LN(D4054/参数实验室!$E$53)/参数实验室!$E$55</f>
        <v>0.26107814991422412</v>
      </c>
      <c r="F4054">
        <f t="shared" si="579"/>
        <v>1.1847858390387231</v>
      </c>
      <c r="G4054">
        <f>LN(F4054/参数实验室!$E$58)/参数实验室!$E$59</f>
        <v>-0.10153470676016955</v>
      </c>
      <c r="H4054" s="856">
        <f>INDEX(神经网络!$G$10:$BO$70,MATCH(ROUND(G4054*2,1)/2,神经网络!$E$10:$E$70,0),MATCH(ROUND(E4054*2,1)/2,神经网络!$G$8:$BO$8,0))</f>
        <v>1.2804811196591386</v>
      </c>
      <c r="I4054">
        <f t="shared" si="580"/>
        <v>6908880.1885973671</v>
      </c>
      <c r="J4054">
        <f t="shared" si="581"/>
        <v>18965.865832076848</v>
      </c>
      <c r="K4054">
        <f t="shared" si="582"/>
        <v>364.27971439682034</v>
      </c>
      <c r="L4054" s="4">
        <f>MIN(MAX(L4053*(1+MAX(MIN(((B4054-B4053)/B4053)/($K$7*卓尔金历!$N$40),0),-卓尔金历!$M$43))+MIN(MAX(((B4054-B4053)/B4053)/($K$7*卓尔金历!$N$40),0),卓尔金历!$M$43),0),1)</f>
        <v>0.77967161558809861</v>
      </c>
      <c r="M4054" s="4">
        <f>MIN(MAX(M4053*(1+MAX(MIN(((B4054-B4053)/B4053)/($K$7*30),0),-卓尔金历!$M$43))+MIN(MAX(((B4054-B4053)/B4053)/($K$7*7),0),卓尔金历!$M$43),0),1)</f>
        <v>0.88696237367801867</v>
      </c>
      <c r="N4054">
        <f t="shared" si="583"/>
        <v>941708.95492361707</v>
      </c>
      <c r="O4054">
        <f t="shared" si="584"/>
        <v>3259246.7371206512</v>
      </c>
      <c r="P4054">
        <f t="shared" si="585"/>
        <v>-1.0470230597645075E-2</v>
      </c>
      <c r="Q4054">
        <f t="shared" si="586"/>
        <v>3.0328872441373129E-2</v>
      </c>
      <c r="R4054">
        <f t="shared" si="587"/>
        <v>1</v>
      </c>
      <c r="S4054">
        <f t="shared" si="588"/>
        <v>4004.3362565850439</v>
      </c>
      <c r="T4054" s="564">
        <f>IF((I4054-MAX(I$470:I4054))/MAX(I$470:I4054)&gt;T4053,T4053,(I4054-MAX(I$470:I4054))/MAX(I$470:I4054))</f>
        <v>-0.91338805338419748</v>
      </c>
      <c r="U4054" s="564">
        <f>IF((J4054-MAX(J$470:J4054))/MAX(J$470:J4054)&gt;U4053,U4053,(J4054-MAX(J$470:J4054))/MAX(J$470:J4054))</f>
        <v>-0.83569785939843477</v>
      </c>
      <c r="V4054" s="564">
        <f>IF((K4054-MAX(K$470:K4054))/MAX(K$470:K4054)&gt;V4053,V4053,(K4054-MAX(K$470:K4054))/MAX(K$470:K4054))</f>
        <v>-0.84885940676762139</v>
      </c>
      <c r="W4054" s="564">
        <f>IF((N4054-MAX(N$470:N4054))/MAX(N$470:N4054)&gt;W4053,W4053,(N4054-MAX(N$470:N4054))/MAX(N$470:N4054))</f>
        <v>-0.62788758315546067</v>
      </c>
      <c r="X4054" s="564">
        <f>IF((O4054-MAX(O$470:O4054))/MAX(O$470:O4054)&gt;X4053,X4053,(O4054-MAX(O$470:O4054))/MAX(O$470:O4054))</f>
        <v>-0.71785564635603094</v>
      </c>
    </row>
    <row r="4055" spans="1:24">
      <c r="A4055" s="799">
        <v>44457</v>
      </c>
      <c r="B4055">
        <v>48392.3946781962</v>
      </c>
      <c r="C4055">
        <v>56285.497133123303</v>
      </c>
      <c r="D4055">
        <v>2.2904267055999998</v>
      </c>
      <c r="E4055">
        <f>LN(D4055/参数实验室!$E$53)/参数实验室!$E$55</f>
        <v>0.28473820869192318</v>
      </c>
      <c r="F4055">
        <f t="shared" si="579"/>
        <v>1.1631062588949217</v>
      </c>
      <c r="G4055">
        <f>LN(F4055/参数实验室!$E$58)/参数实验室!$E$59</f>
        <v>-0.11122760422994123</v>
      </c>
      <c r="H4055" s="856">
        <f>INDEX(神经网络!$G$10:$BO$70,MATCH(ROUND(G4055*2,1)/2,神经网络!$E$10:$E$70,0),MATCH(ROUND(E4055*2,1)/2,神经网络!$G$8:$BO$8,0))</f>
        <v>1.374083265446286</v>
      </c>
      <c r="I4055">
        <f t="shared" si="580"/>
        <v>7069328.9394289264</v>
      </c>
      <c r="J4055">
        <f t="shared" si="581"/>
        <v>19309.841857146996</v>
      </c>
      <c r="K4055">
        <f t="shared" si="582"/>
        <v>366.09978433419502</v>
      </c>
      <c r="L4055" s="4">
        <f>MIN(MAX(L4054*(1+MAX(MIN(((B4055-B4054)/B4054)/($K$7*卓尔金历!$N$40),0),-卓尔金历!$M$43))+MIN(MAX(((B4055-B4054)/B4054)/($K$7*卓尔金历!$N$40),0),卓尔金历!$M$43),0),1)</f>
        <v>1</v>
      </c>
      <c r="M4055" s="4">
        <f>MIN(MAX(M4054*(1+MAX(MIN(((B4055-B4054)/B4054)/($K$7*30),0),-卓尔金历!$M$43))+MIN(MAX(((B4055-B4054)/B4054)/($K$7*7),0),卓尔金历!$M$43),0),1)</f>
        <v>1</v>
      </c>
      <c r="N4055">
        <f t="shared" si="583"/>
        <v>958760.23951199197</v>
      </c>
      <c r="O4055">
        <f t="shared" si="584"/>
        <v>3326382.0651236419</v>
      </c>
      <c r="P4055">
        <f t="shared" si="585"/>
        <v>1.8136584330802476E-2</v>
      </c>
      <c r="Q4055">
        <f t="shared" si="586"/>
        <v>3.0471901369920919E-2</v>
      </c>
      <c r="R4055">
        <f t="shared" si="587"/>
        <v>0.56493959191854926</v>
      </c>
      <c r="S4055">
        <f t="shared" si="588"/>
        <v>4097.3311751159772</v>
      </c>
      <c r="T4055" s="564">
        <f>IF((I4055-MAX(I$470:I4055))/MAX(I$470:I4055)&gt;T4054,T4054,(I4055-MAX(I$470:I4055))/MAX(I$470:I4055))</f>
        <v>-0.91338805338419748</v>
      </c>
      <c r="U4055" s="564">
        <f>IF((J4055-MAX(J$470:J4055))/MAX(J$470:J4055)&gt;U4054,U4054,(J4055-MAX(J$470:J4055))/MAX(J$470:J4055))</f>
        <v>-0.83569785939843477</v>
      </c>
      <c r="V4055" s="564">
        <f>IF((K4055-MAX(K$470:K4055))/MAX(K$470:K4055)&gt;V4054,V4054,(K4055-MAX(K$470:K4055))/MAX(K$470:K4055))</f>
        <v>-0.84885940676762139</v>
      </c>
      <c r="W4055" s="564">
        <f>IF((N4055-MAX(N$470:N4055))/MAX(N$470:N4055)&gt;W4054,W4054,(N4055-MAX(N$470:N4055))/MAX(N$470:N4055))</f>
        <v>-0.62788758315546067</v>
      </c>
      <c r="X4055" s="564">
        <f>IF((O4055-MAX(O$470:O4055))/MAX(O$470:O4055)&gt;X4054,X4054,(O4055-MAX(O$470:O4055))/MAX(O$470:O4055))</f>
        <v>-0.71785564635603094</v>
      </c>
    </row>
    <row r="4056" spans="1:24">
      <c r="A4056" s="799">
        <v>44458</v>
      </c>
      <c r="B4056">
        <v>47704.360918766899</v>
      </c>
      <c r="C4056">
        <v>56294.973516061502</v>
      </c>
      <c r="D4056">
        <v>2.2429416841999998</v>
      </c>
      <c r="E4056">
        <f>LN(D4056/参数实验室!$E$53)/参数实验室!$E$55</f>
        <v>0.26002252174734686</v>
      </c>
      <c r="F4056">
        <f t="shared" si="579"/>
        <v>1.1800802365201597</v>
      </c>
      <c r="G4056">
        <f>LN(F4056/参数实验室!$E$58)/参数实验室!$E$59</f>
        <v>-0.10362341511623915</v>
      </c>
      <c r="H4056" s="856">
        <f>INDEX(神经网络!$G$10:$BO$70,MATCH(ROUND(G4056*2,1)/2,神经网络!$E$10:$E$70,0),MATCH(ROUND(E4056*2,1)/2,神经网络!$G$8:$BO$8,0))</f>
        <v>1.2804811196591386</v>
      </c>
      <c r="I4056">
        <f t="shared" si="580"/>
        <v>6931219.3369849604</v>
      </c>
      <c r="J4056">
        <f t="shared" si="581"/>
        <v>19035.298239801599</v>
      </c>
      <c r="K4056">
        <f t="shared" si="582"/>
        <v>364.12454639098962</v>
      </c>
      <c r="L4056" s="4">
        <f>MIN(MAX(L4055*(1+MAX(MIN(((B4056-B4055)/B4055)/($K$7*卓尔金历!$N$40),0),-卓尔金历!$M$43))+MIN(MAX(((B4056-B4055)/B4055)/($K$7*卓尔金历!$N$40),0),卓尔金历!$M$43),0),1)</f>
        <v>0.78276554286308664</v>
      </c>
      <c r="M4056" s="4">
        <f>MIN(MAX(M4055*(1+MAX(MIN(((B4056-B4055)/B4055)/($K$7*30),0),-卓尔金历!$M$43))+MIN(MAX(((B4056-B4055)/B4055)/($K$7*7),0),卓尔金历!$M$43),0),1)</f>
        <v>0.89138277143154332</v>
      </c>
      <c r="N4056">
        <f t="shared" si="583"/>
        <v>940029.46652736701</v>
      </c>
      <c r="O4056">
        <f t="shared" si="584"/>
        <v>3261396.3630114305</v>
      </c>
      <c r="P4056">
        <f t="shared" si="585"/>
        <v>-1.4217807653550645E-2</v>
      </c>
      <c r="Q4056">
        <f t="shared" si="586"/>
        <v>3.0592969911849243E-2</v>
      </c>
      <c r="R4056">
        <f t="shared" si="587"/>
        <v>0.82009675973663787</v>
      </c>
      <c r="S4056">
        <f t="shared" si="588"/>
        <v>4052.109279306042</v>
      </c>
      <c r="T4056" s="564">
        <f>IF((I4056-MAX(I$470:I4056))/MAX(I$470:I4056)&gt;T4055,T4055,(I4056-MAX(I$470:I4056))/MAX(I$470:I4056))</f>
        <v>-0.91338805338419748</v>
      </c>
      <c r="U4056" s="564">
        <f>IF((J4056-MAX(J$470:J4056))/MAX(J$470:J4056)&gt;U4055,U4055,(J4056-MAX(J$470:J4056))/MAX(J$470:J4056))</f>
        <v>-0.83569785939843477</v>
      </c>
      <c r="V4056" s="564">
        <f>IF((K4056-MAX(K$470:K4056))/MAX(K$470:K4056)&gt;V4055,V4055,(K4056-MAX(K$470:K4056))/MAX(K$470:K4056))</f>
        <v>-0.84885940676762139</v>
      </c>
      <c r="W4056" s="564">
        <f>IF((N4056-MAX(N$470:N4056))/MAX(N$470:N4056)&gt;W4055,W4055,(N4056-MAX(N$470:N4056))/MAX(N$470:N4056))</f>
        <v>-0.62788758315546067</v>
      </c>
      <c r="X4056" s="564">
        <f>IF((O4056-MAX(O$470:O4056))/MAX(O$470:O4056)&gt;X4055,X4055,(O4056-MAX(O$470:O4056))/MAX(O$470:O4056))</f>
        <v>-0.71785564635603094</v>
      </c>
    </row>
    <row r="4057" spans="1:24">
      <c r="A4057" s="799">
        <v>44459</v>
      </c>
      <c r="B4057">
        <v>43743.087594362303</v>
      </c>
      <c r="C4057">
        <v>56527.138134703098</v>
      </c>
      <c r="D4057">
        <v>2.0405862876</v>
      </c>
      <c r="E4057">
        <f>LN(D4057/参数实验室!$E$53)/参数实验室!$E$55</f>
        <v>0.14847556219503938</v>
      </c>
      <c r="F4057">
        <f t="shared" si="579"/>
        <v>1.2922530448442424</v>
      </c>
      <c r="G4057">
        <f>LN(F4057/参数实验室!$E$58)/参数实验室!$E$59</f>
        <v>-5.5964144448961591E-2</v>
      </c>
      <c r="H4057" s="856">
        <f>INDEX(神经网络!$G$10:$BO$70,MATCH(ROUND(G4057*2,1)/2,神经网络!$E$10:$E$70,0),MATCH(ROUND(E4057*2,1)/2,神经网络!$G$8:$BO$8,0))</f>
        <v>1.1443188666183293</v>
      </c>
      <c r="I4057">
        <f t="shared" si="580"/>
        <v>6194232.8095009094</v>
      </c>
      <c r="J4057">
        <f t="shared" si="581"/>
        <v>17454.645702231435</v>
      </c>
      <c r="K4057">
        <f t="shared" si="582"/>
        <v>354.87588319876505</v>
      </c>
      <c r="L4057" s="4">
        <f>MIN(MAX(L4056*(1+MAX(MIN(((B4057-B4056)/B4056)/($K$7*卓尔金历!$N$40),0),-卓尔金历!$M$43))+MIN(MAX(((B4057-B4056)/B4056)/($K$7*卓尔金历!$N$40),0),卓尔金历!$M$43),0),1)</f>
        <v>0</v>
      </c>
      <c r="M4057" s="4">
        <f>MIN(MAX(M4056*(1+MAX(MIN(((B4057-B4056)/B4056)/($K$7*30),0),-卓尔金历!$M$43))+MIN(MAX(((B4057-B4056)/B4056)/($K$7*7),0),卓尔金历!$M$43),0),1)</f>
        <v>0.32591605685503883</v>
      </c>
      <c r="N4057">
        <f t="shared" si="583"/>
        <v>861790.50564280245</v>
      </c>
      <c r="O4057">
        <f t="shared" si="584"/>
        <v>2952283.0392369702</v>
      </c>
      <c r="P4057">
        <f t="shared" si="585"/>
        <v>-8.3037970703559533E-2</v>
      </c>
      <c r="Q4057">
        <f t="shared" si="586"/>
        <v>3.5303196532896666E-2</v>
      </c>
      <c r="R4057">
        <f t="shared" si="587"/>
        <v>4.4260541863814021E-3</v>
      </c>
      <c r="S4057">
        <f t="shared" si="588"/>
        <v>3698.7665562307311</v>
      </c>
      <c r="T4057" s="564">
        <f>IF((I4057-MAX(I$470:I4057))/MAX(I$470:I4057)&gt;T4056,T4056,(I4057-MAX(I$470:I4057))/MAX(I$470:I4057))</f>
        <v>-0.91338805338419748</v>
      </c>
      <c r="U4057" s="564">
        <f>IF((J4057-MAX(J$470:J4057))/MAX(J$470:J4057)&gt;U4056,U4056,(J4057-MAX(J$470:J4057))/MAX(J$470:J4057))</f>
        <v>-0.83569785939843477</v>
      </c>
      <c r="V4057" s="564">
        <f>IF((K4057-MAX(K$470:K4057))/MAX(K$470:K4057)&gt;V4056,V4056,(K4057-MAX(K$470:K4057))/MAX(K$470:K4057))</f>
        <v>-0.84885940676762139</v>
      </c>
      <c r="W4057" s="564">
        <f>IF((N4057-MAX(N$470:N4057))/MAX(N$470:N4057)&gt;W4056,W4056,(N4057-MAX(N$470:N4057))/MAX(N$470:N4057))</f>
        <v>-0.62788758315546067</v>
      </c>
      <c r="X4057" s="564">
        <f>IF((O4057-MAX(O$470:O4057))/MAX(O$470:O4057)&gt;X4056,X4056,(O4057-MAX(O$470:O4057))/MAX(O$470:O4057))</f>
        <v>-0.71785564635603094</v>
      </c>
    </row>
    <row r="4058" spans="1:24">
      <c r="A4058" s="799">
        <v>44460</v>
      </c>
      <c r="B4058">
        <v>43070.511247816597</v>
      </c>
      <c r="C4058">
        <v>58086.541574110401</v>
      </c>
      <c r="D4058">
        <v>1.9332331840000001</v>
      </c>
      <c r="E4058">
        <f>LN(D4058/参数实验室!$E$53)/参数实验室!$E$55</f>
        <v>8.4717760897756775E-2</v>
      </c>
      <c r="F4058">
        <f t="shared" si="579"/>
        <v>1.3486383117185547</v>
      </c>
      <c r="G4058">
        <f>LN(F4058/参数实验室!$E$58)/参数实验室!$E$59</f>
        <v>-3.3548581351197003E-2</v>
      </c>
      <c r="H4058" s="856">
        <f>INDEX(神经网络!$G$10:$BO$70,MATCH(ROUND(G4058*2,1)/2,神经网络!$E$10:$E$70,0),MATCH(ROUND(E4058*2,1)/2,神经网络!$G$8:$BO$8,0))</f>
        <v>1.0543791075818334</v>
      </c>
      <c r="I4058">
        <f t="shared" si="580"/>
        <v>6085247.8071298748</v>
      </c>
      <c r="J4058">
        <f t="shared" si="581"/>
        <v>17186.270000325803</v>
      </c>
      <c r="K4058">
        <f t="shared" si="582"/>
        <v>354.07612047375699</v>
      </c>
      <c r="L4058" s="4">
        <f>MIN(MAX(L4057*(1+MAX(MIN(((B4058-B4057)/B4057)/($K$7*卓尔金历!$N$40),0),-卓尔金历!$M$43))+MIN(MAX(((B4058-B4057)/B4057)/($K$7*卓尔金历!$N$40),0),卓尔金历!$M$43),0),1)</f>
        <v>0</v>
      </c>
      <c r="M4058" s="4">
        <f>MIN(MAX(M4057*(1+MAX(MIN(((B4058-B4057)/B4057)/($K$7*30),0),-卓尔金历!$M$43))+MIN(MAX(((B4058-B4057)/B4057)/($K$7*7),0),卓尔金历!$M$43),0),1)</f>
        <v>0.2876332303215336</v>
      </c>
      <c r="N4058">
        <f t="shared" si="583"/>
        <v>861790.50564280245</v>
      </c>
      <c r="O4058">
        <f t="shared" si="584"/>
        <v>2935353.5848124484</v>
      </c>
      <c r="P4058">
        <f t="shared" si="585"/>
        <v>-1.5375602947433202E-2</v>
      </c>
      <c r="Q4058">
        <f t="shared" si="586"/>
        <v>3.5340024347993916E-2</v>
      </c>
      <c r="R4058">
        <f t="shared" si="587"/>
        <v>0.89691784831268417</v>
      </c>
      <c r="S4058">
        <f t="shared" si="588"/>
        <v>3698.4785161908358</v>
      </c>
      <c r="T4058" s="564">
        <f>IF((I4058-MAX(I$470:I4058))/MAX(I$470:I4058)&gt;T4057,T4057,(I4058-MAX(I$470:I4058))/MAX(I$470:I4058))</f>
        <v>-0.91338805338419748</v>
      </c>
      <c r="U4058" s="564">
        <f>IF((J4058-MAX(J$470:J4058))/MAX(J$470:J4058)&gt;U4057,U4057,(J4058-MAX(J$470:J4058))/MAX(J$470:J4058))</f>
        <v>-0.83569785939843477</v>
      </c>
      <c r="V4058" s="564">
        <f>IF((K4058-MAX(K$470:K4058))/MAX(K$470:K4058)&gt;V4057,V4057,(K4058-MAX(K$470:K4058))/MAX(K$470:K4058))</f>
        <v>-0.84885940676762139</v>
      </c>
      <c r="W4058" s="564">
        <f>IF((N4058-MAX(N$470:N4058))/MAX(N$470:N4058)&gt;W4057,W4057,(N4058-MAX(N$470:N4058))/MAX(N$470:N4058))</f>
        <v>-0.62788758315546067</v>
      </c>
      <c r="X4058" s="564">
        <f>IF((O4058-MAX(O$470:O4058))/MAX(O$470:O4058)&gt;X4057,X4057,(O4058-MAX(O$470:O4058))/MAX(O$470:O4058))</f>
        <v>-0.71785564635603094</v>
      </c>
    </row>
  </sheetData>
  <phoneticPr fontId="2" type="noConversion"/>
  <hyperlinks>
    <hyperlink ref="A2" location="目录!A1" display="目录" xr:uid="{0380AB51-3B19-364F-88F4-7FD02BECB884}"/>
  </hyperlinks>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4A14A-B2EC-9145-B607-BE7359A6E721}">
  <dimension ref="A2:X44"/>
  <sheetViews>
    <sheetView topLeftCell="A7" zoomScale="82" zoomScaleNormal="75" workbookViewId="0">
      <selection activeCell="B7" sqref="B7"/>
    </sheetView>
  </sheetViews>
  <sheetFormatPr baseColWidth="10" defaultRowHeight="16"/>
  <cols>
    <col min="2" max="3" width="9.33203125" customWidth="1"/>
    <col min="4" max="4" width="20.1640625" bestFit="1" customWidth="1"/>
    <col min="5" max="5" width="17.83203125" bestFit="1" customWidth="1"/>
    <col min="6" max="6" width="15.6640625" bestFit="1" customWidth="1"/>
    <col min="7" max="7" width="17.83203125" bestFit="1" customWidth="1"/>
    <col min="8" max="8" width="20.1640625" bestFit="1" customWidth="1"/>
    <col min="9" max="9" width="11.83203125" bestFit="1" customWidth="1"/>
    <col min="10" max="10" width="13.5" bestFit="1" customWidth="1"/>
    <col min="11" max="11" width="13" bestFit="1" customWidth="1"/>
    <col min="12" max="12" width="12.1640625" bestFit="1" customWidth="1"/>
    <col min="13" max="13" width="12.33203125" bestFit="1" customWidth="1"/>
    <col min="14" max="20" width="6.33203125" customWidth="1"/>
  </cols>
  <sheetData>
    <row r="2" spans="1:16" ht="17" thickBot="1">
      <c r="D2" s="1020" t="s">
        <v>5</v>
      </c>
      <c r="E2" s="1020" t="s">
        <v>663</v>
      </c>
      <c r="F2" s="1020" t="s">
        <v>6</v>
      </c>
    </row>
    <row r="3" spans="1:16" ht="17" thickTop="1">
      <c r="D3" s="1014">
        <f>MVRV和S2F!F6</f>
        <v>2.035666539997</v>
      </c>
      <c r="E3" s="1014"/>
      <c r="F3" s="1014">
        <f>MVRV和S2F!C6</f>
        <v>42735.265824079499</v>
      </c>
    </row>
    <row r="4" spans="1:16">
      <c r="D4" s="137"/>
      <c r="E4" s="137"/>
      <c r="F4" s="137"/>
      <c r="G4" s="137"/>
    </row>
    <row r="6" spans="1:16" ht="17" thickBot="1">
      <c r="B6" s="32"/>
      <c r="C6" s="882"/>
      <c r="D6" s="1020" t="s">
        <v>602</v>
      </c>
      <c r="E6" s="882"/>
      <c r="F6" s="882"/>
      <c r="G6" s="882"/>
      <c r="H6" s="883"/>
      <c r="I6" s="884"/>
      <c r="J6" s="882"/>
      <c r="K6" s="882"/>
    </row>
    <row r="7" spans="1:16" ht="87" customHeight="1" thickTop="1" thickBot="1">
      <c r="A7" s="32"/>
      <c r="B7" s="1443" t="s">
        <v>199</v>
      </c>
      <c r="C7" s="1442" t="s">
        <v>714</v>
      </c>
      <c r="D7" s="1444">
        <f>币圈空间站!$F$3</f>
        <v>0.8</v>
      </c>
      <c r="E7" s="1433" t="s">
        <v>647</v>
      </c>
      <c r="F7" s="1433"/>
      <c r="G7" s="1433"/>
      <c r="H7" s="1433"/>
      <c r="I7" s="1433"/>
      <c r="J7" s="1433"/>
      <c r="K7" s="1433"/>
      <c r="L7" s="1433"/>
      <c r="M7" s="1433"/>
    </row>
    <row r="8" spans="1:16">
      <c r="B8" s="889"/>
      <c r="C8" s="1018" t="s">
        <v>599</v>
      </c>
      <c r="D8" s="1018" t="s">
        <v>364</v>
      </c>
      <c r="E8" s="1018" t="s">
        <v>600</v>
      </c>
      <c r="F8" s="1018" t="s">
        <v>601</v>
      </c>
      <c r="G8" s="1018" t="s">
        <v>668</v>
      </c>
      <c r="H8" s="1018" t="s">
        <v>667</v>
      </c>
      <c r="I8" s="1018" t="s">
        <v>660</v>
      </c>
      <c r="J8" s="1019" t="s">
        <v>188</v>
      </c>
      <c r="K8" s="1019" t="s">
        <v>554</v>
      </c>
      <c r="L8" s="1019" t="s">
        <v>366</v>
      </c>
      <c r="M8" s="1019" t="s">
        <v>358</v>
      </c>
      <c r="O8" s="887"/>
    </row>
    <row r="9" spans="1:16">
      <c r="B9" s="985">
        <v>1</v>
      </c>
      <c r="C9" s="989" t="s">
        <v>539</v>
      </c>
      <c r="D9" s="990">
        <f>LOOKUP(1,0/(币种排名!$F$9:$F$108=C9),币种排名!$H$9:$H$108)</f>
        <v>791290135595.48633</v>
      </c>
      <c r="E9" s="990">
        <f>IF(OR(AND(币圈空间站!$E$3&lt;2,$B9&gt;=5),AND(币圈空间站!$E$3&lt;3,$B9&gt;=15),AND(币圈空间站!$E$3&lt;4,$B9&gt;=25)),0,POWER($D9,$D$7))</f>
        <v>3301175409.6010985</v>
      </c>
      <c r="F9" s="991">
        <f>E9/SUM(E$9:E$44)</f>
        <v>0.41667596389880202</v>
      </c>
      <c r="G9" s="990">
        <f>IF(OR(AND(币圈空间站!$E$3&lt;2,$B9&gt;=5),AND(币圈空间站!$E$3&lt;3,$B9&gt;=11),AND(币圈空间站!$E$3&lt;4,$B9&gt;=17)),0,POWER($D9,$D$7))</f>
        <v>3301175409.6010985</v>
      </c>
      <c r="H9" s="991">
        <f>G9/SUM(G$9:G$44)</f>
        <v>0.44063837674160256</v>
      </c>
      <c r="I9" s="990">
        <f>LOOKUP(1,0/(币种排名!$F$9:$F$108=C9),币种排名!$G$9:$G$108)</f>
        <v>42030.599677608392</v>
      </c>
      <c r="J9" s="990">
        <f>_xldudf_CS_EXRATE($C9,J$8,"1")</f>
        <v>41851.534468306381</v>
      </c>
      <c r="K9" s="992">
        <f>J9/$J$44</f>
        <v>270109.80345844937</v>
      </c>
      <c r="L9" s="993">
        <v>1</v>
      </c>
      <c r="M9" s="994">
        <f>_xldudf_CS_EXRATE($C9,M$8,"1")</f>
        <v>14.860209717107965</v>
      </c>
    </row>
    <row r="10" spans="1:16">
      <c r="B10" s="985">
        <v>2</v>
      </c>
      <c r="C10" s="989" t="s">
        <v>540</v>
      </c>
      <c r="D10" s="990">
        <f>LOOKUP(1,0/(币种排名!$F$9:$F$108=C10),币种排名!$H$9:$H$108)</f>
        <v>332814621160.58704</v>
      </c>
      <c r="E10" s="990">
        <f>IF(OR(AND(币圈空间站!$E$3&lt;2,$B10&gt;=5),AND(币圈空间站!$E$3&lt;3,$B10&gt;=15),AND(币圈空间站!$E$3&lt;4,$B10&gt;=25)),0,POWER($D10,$D$7))</f>
        <v>1651056433.9258497</v>
      </c>
      <c r="F10" s="991">
        <f>E10/SUM(E$9:E$44)</f>
        <v>0.20839714516730332</v>
      </c>
      <c r="G10" s="990">
        <f>IF(OR(AND(币圈空间站!$E$3&lt;2,$B10&gt;=5),AND(币圈空间站!$E$3&lt;3,$B10&gt;=11),AND(币圈空间站!$E$3&lt;4,$B10&gt;=17)),0,POWER($D10,$D$7))</f>
        <v>1651056433.9258497</v>
      </c>
      <c r="H10" s="991">
        <f>G10/SUM(G$9:G$44)</f>
        <v>0.22038175397707085</v>
      </c>
      <c r="I10" s="990">
        <f>LOOKUP(1,0/(币种排名!$F$9:$F$108=C10),币种排名!$G$9:$G$108)</f>
        <v>2828.1656805666298</v>
      </c>
      <c r="J10" s="990">
        <f>_xldudf_CS_EXRATE($C10,J$8,"1")</f>
        <v>2817.1014278512675</v>
      </c>
      <c r="K10" s="992">
        <f>J10/$J$44</f>
        <v>18181.572615352081</v>
      </c>
      <c r="L10" s="993">
        <f>_xldudf_CS_EXRATE($C10,L$8,"1")</f>
        <v>3.059894969110168E-2</v>
      </c>
      <c r="M10" s="994">
        <v>1</v>
      </c>
    </row>
    <row r="11" spans="1:16">
      <c r="B11" s="985">
        <v>3</v>
      </c>
      <c r="C11" s="989" t="s">
        <v>551</v>
      </c>
      <c r="D11" s="990">
        <f>LOOKUP(1,0/(币种排名!$F$9:$F$108=C11),币种排名!$H$9:$H$108)</f>
        <v>71159866173.108978</v>
      </c>
      <c r="E11" s="990">
        <f>IF(OR(AND(币圈空间站!$E$3&lt;2,$B11&gt;=5),AND(币圈空间站!$E$3&lt;3,$B11&gt;=15),AND(币圈空间站!$E$3&lt;4,$B11&gt;=25)),0,POWER($D11,$D$7))</f>
        <v>480604793.53263682</v>
      </c>
      <c r="F11" s="991">
        <f>E11/SUM(E$9:E$44)</f>
        <v>6.0662170515741971E-2</v>
      </c>
      <c r="G11" s="990">
        <f>IF(OR(AND(币圈空间站!$E$3&lt;2,$B11&gt;=5),AND(币圈空间站!$E$3&lt;3,$B11&gt;=11),AND(币圈空间站!$E$3&lt;4,$B11&gt;=17)),0,POWER($D11,$D$7))</f>
        <v>480604793.53263682</v>
      </c>
      <c r="H11" s="991">
        <f>G11/SUM(G$9:G$44)</f>
        <v>6.4150761410780036E-2</v>
      </c>
      <c r="I11" s="990">
        <f>LOOKUP(1,0/(币种排名!$F$9:$F$108=C11),币种排名!$G$9:$G$108)</f>
        <v>2.2219552464798502</v>
      </c>
      <c r="J11" s="990">
        <f>_xldudf_CS_EXRATE($C11,J$8,"1")</f>
        <v>2.2144953985992797</v>
      </c>
      <c r="K11" s="992">
        <f>J11/$J$44</f>
        <v>14.29235330255975</v>
      </c>
      <c r="L11" s="993">
        <f>_xldudf_CS_EXRATE($C11,L$8,"1")</f>
        <v>5.2903050115610932E-5</v>
      </c>
      <c r="M11" s="994">
        <f>_xldudf_CS_EXRATE($C11,M$8,"1")</f>
        <v>7.8619401919657373E-4</v>
      </c>
    </row>
    <row r="12" spans="1:16">
      <c r="B12" s="985">
        <v>4</v>
      </c>
      <c r="C12" s="989" t="s">
        <v>552</v>
      </c>
      <c r="D12" s="990">
        <f>LOOKUP(1,0/(币种排名!$F$9:$F$108=C12),币种排名!$H$9:$H$108)</f>
        <v>56822276820.043205</v>
      </c>
      <c r="E12" s="990">
        <f>IF(OR(AND(币圈空间站!$E$3&lt;2,$B12&gt;=5),AND(币圈空间站!$E$3&lt;3,$B12&gt;=15),AND(币圈空间站!$E$3&lt;4,$B12&gt;=25)),0,POWER($D12,$D$7))</f>
        <v>401434695.43648362</v>
      </c>
      <c r="F12" s="991">
        <f>E12/SUM(E$9:E$44)</f>
        <v>5.0669282273501148E-2</v>
      </c>
      <c r="G12" s="990">
        <f>IF(OR(AND(币圈空间站!$E$3&lt;2,$B12&gt;=5),AND(币圈空间站!$E$3&lt;3,$B12&gt;=11),AND(币圈空间站!$E$3&lt;4,$B12&gt;=17)),0,POWER($D12,$D$7))</f>
        <v>401434695.43648362</v>
      </c>
      <c r="H12" s="991">
        <f>G12/SUM(G$9:G$44)</f>
        <v>5.3583197078965937E-2</v>
      </c>
      <c r="I12" s="990">
        <f>LOOKUP(1,0/(币种排名!$F$9:$F$108=C12),币种排名!$G$9:$G$108)</f>
        <v>337.95217384492969</v>
      </c>
      <c r="J12" s="990">
        <f>_xldudf_CS_EXRATE($C12,J$8,"1")</f>
        <v>336.35</v>
      </c>
      <c r="K12" s="992">
        <f>J12/$J$44</f>
        <v>2170.8029000000001</v>
      </c>
      <c r="L12" s="993">
        <f>_xldudf_CS_EXRATE($C12,L$8,"1")</f>
        <v>8.0354999999999992E-3</v>
      </c>
      <c r="M12" s="994">
        <f>_xldudf_CS_EXRATE($C12,M$8,"1")</f>
        <v>0.11945</v>
      </c>
      <c r="O12" s="887"/>
      <c r="P12" s="887"/>
    </row>
    <row r="13" spans="1:16">
      <c r="B13" s="986">
        <v>5</v>
      </c>
      <c r="C13" s="995" t="s">
        <v>616</v>
      </c>
      <c r="D13" s="996">
        <f>LOOKUP(1,0/(币种排名!$F$9:$F$108=C13),币种排名!$H$9:$H$108)</f>
        <v>38630433775.462166</v>
      </c>
      <c r="E13" s="996">
        <f>IF(OR(AND(币圈空间站!$E$3&lt;2,$B13&gt;=5),AND(币圈空间站!$E$3&lt;3,$B13&gt;=15),AND(币圈空间站!$E$3&lt;4,$B13&gt;=25)),0,POWER($D13,$D$7))</f>
        <v>294810989.09681463</v>
      </c>
      <c r="F13" s="997">
        <f>E13/SUM(E$9:E$44)</f>
        <v>3.7211186261901195E-2</v>
      </c>
      <c r="G13" s="996">
        <f>IF(OR(AND(币圈空间站!$E$3&lt;2,$B13&gt;=5),AND(币圈空间站!$E$3&lt;3,$B13&gt;=11),AND(币圈空间站!$E$3&lt;4,$B13&gt;=17)),0,POWER($D13,$D$7))</f>
        <v>294810989.09681463</v>
      </c>
      <c r="H13" s="997">
        <f>G13/SUM(G$9:G$44)</f>
        <v>3.9351146050401464E-2</v>
      </c>
      <c r="I13" s="996">
        <f>LOOKUP(1,0/(币种排名!$F$9:$F$108=C13),币种排名!$G$9:$G$108)</f>
        <v>129.94591950526444</v>
      </c>
      <c r="J13" s="996">
        <f>_xldudf_CS_EXRATE($C13,J$8,"1")</f>
        <v>129.24957341420284</v>
      </c>
      <c r="K13" s="998">
        <f>J13/$J$44</f>
        <v>834.17674681526512</v>
      </c>
      <c r="L13" s="999">
        <f>_xldudf_CS_EXRATE($C13,L$8,"1")</f>
        <v>8.9654999999999995E-5</v>
      </c>
      <c r="M13" s="1000">
        <f>_xldudf_CS_EXRATE($C13,M$8,"1")</f>
        <v>2.9306234841854511E-3</v>
      </c>
    </row>
    <row r="14" spans="1:16">
      <c r="B14" s="986">
        <v>6</v>
      </c>
      <c r="C14" s="995" t="s">
        <v>618</v>
      </c>
      <c r="D14" s="996">
        <f>LOOKUP(1,0/(币种排名!$F$9:$F$108=C14),币种排名!$H$9:$H$108)</f>
        <v>28317456122.093185</v>
      </c>
      <c r="E14" s="996">
        <f>IF(OR(AND(币圈空间站!$E$3&lt;2,$B14&gt;=5),AND(币圈空间站!$E$3&lt;3,$B14&gt;=15),AND(币圈空间站!$E$3&lt;4,$B14&gt;=25)),0,POWER($D14,$D$7))</f>
        <v>229955281.66305208</v>
      </c>
      <c r="F14" s="997">
        <f>E14/SUM(E$9:E$44)</f>
        <v>2.9025067362946001E-2</v>
      </c>
      <c r="G14" s="996">
        <f>IF(OR(AND(币圈空间站!$E$3&lt;2,$B14&gt;=5),AND(币圈空间站!$E$3&lt;3,$B14&gt;=11),AND(币圈空间站!$E$3&lt;4,$B14&gt;=17)),0,POWER($D14,$D$7))</f>
        <v>229955281.66305208</v>
      </c>
      <c r="H14" s="997">
        <f>G14/SUM(G$9:G$44)</f>
        <v>3.0694255670409606E-2</v>
      </c>
      <c r="I14" s="996">
        <f>LOOKUP(1,0/(币种排名!$F$9:$F$108=C14),币种排名!$G$9:$G$108)</f>
        <v>28.673601900343279</v>
      </c>
      <c r="J14" s="996">
        <f>_xldudf_CS_EXRATE($C14,J$8,"1")</f>
        <v>28.504930425475848</v>
      </c>
      <c r="K14" s="998">
        <f>J14/$J$44</f>
        <v>183.97082096602111</v>
      </c>
      <c r="L14" s="999">
        <f>_xldudf_CS_EXRATE($C14,L$8,"1")</f>
        <v>2.5731379566314486E-4</v>
      </c>
      <c r="M14" s="1000">
        <f>_xldudf_CS_EXRATE($C14,M$8,"1")</f>
        <v>1.01265E-2</v>
      </c>
    </row>
    <row r="15" spans="1:16">
      <c r="B15" s="986">
        <v>7</v>
      </c>
      <c r="C15" s="995" t="s">
        <v>617</v>
      </c>
      <c r="D15" s="996">
        <f>LOOKUP(1,0/(币种排名!$F$9:$F$108=C15),币种排名!$H$9:$H$108)</f>
        <v>26874945943.333645</v>
      </c>
      <c r="E15" s="996">
        <f>IF(OR(AND(币圈空间站!$E$3&lt;2,$B15&gt;=5),AND(币圈空间站!$E$3&lt;3,$B15&gt;=15),AND(币圈空间站!$E$3&lt;4,$B15&gt;=25)),0,POWER($D15,$D$7))</f>
        <v>220535282.1022656</v>
      </c>
      <c r="F15" s="997">
        <f>E15/SUM(E$9:E$44)</f>
        <v>2.7836070442182163E-2</v>
      </c>
      <c r="G15" s="996">
        <f>IF(OR(AND(币圈空间站!$E$3&lt;2,$B15&gt;=5),AND(币圈空间站!$E$3&lt;3,$B15&gt;=11),AND(币圈空间站!$E$3&lt;4,$B15&gt;=17)),0,POWER($D15,$D$7))</f>
        <v>220535282.1022656</v>
      </c>
      <c r="H15" s="997">
        <f>G15/SUM(G$9:G$44)</f>
        <v>2.9436881311173987E-2</v>
      </c>
      <c r="I15" s="996">
        <f>LOOKUP(1,0/(币种排名!$F$9:$F$108=C15),币种排名!$G$9:$G$108)</f>
        <v>0.20447620951175</v>
      </c>
      <c r="J15" s="996">
        <f>_xldudf_CS_EXRATE($C15,J$8,"1")</f>
        <v>0.20314949494102263</v>
      </c>
      <c r="K15" s="998">
        <f>J15/$J$44</f>
        <v>1.3111268403493599</v>
      </c>
      <c r="L15" s="999">
        <f>_xldudf_CS_EXRATE($C15,L$8,"1")</f>
        <v>1.745470545213016E-7</v>
      </c>
      <c r="M15" s="1000">
        <f>_xldudf_CS_EXRATE($C15,M$8,"1")</f>
        <v>4.8838882243644265E-5</v>
      </c>
    </row>
    <row r="16" spans="1:16">
      <c r="B16" s="986">
        <v>8</v>
      </c>
      <c r="C16" s="995" t="s">
        <v>514</v>
      </c>
      <c r="D16" s="996">
        <f>LOOKUP(1,0/(币种排名!$F$9:$F$108=C16),币种排名!$H$9:$H$108)</f>
        <v>14339695024.401571</v>
      </c>
      <c r="E16" s="996">
        <f>IF(OR(AND(币圈空间站!$E$3&lt;2,$B16&gt;=5),AND(币圈空间站!$E$3&lt;3,$B16&gt;=15),AND(币圈空间站!$E$3&lt;4,$B16&gt;=25)),0,POWER($D16,$D$7))</f>
        <v>133423378.0086616</v>
      </c>
      <c r="F16" s="997">
        <f>E16/SUM(E$9:E$44)</f>
        <v>1.6840763588842768E-2</v>
      </c>
      <c r="G16" s="996">
        <f>IF(OR(AND(币圈空间站!$E$3&lt;2,$B16&gt;=5),AND(币圈空间站!$E$3&lt;3,$B16&gt;=11),AND(币圈空间站!$E$3&lt;4,$B16&gt;=17)),0,POWER($D16,$D$7))</f>
        <v>133423378.0086616</v>
      </c>
      <c r="H16" s="997">
        <f>G16/SUM(G$9:G$44)</f>
        <v>1.7809250769931676E-2</v>
      </c>
      <c r="I16" s="996">
        <f>LOOKUP(1,0/(币种排名!$F$9:$F$108=C16),币种排名!$G$9:$G$108)</f>
        <v>65.095636811728653</v>
      </c>
      <c r="J16" s="996">
        <f>_xldudf_CS_EXRATE($C16,J$8,"1")</f>
        <v>64.7</v>
      </c>
      <c r="K16" s="998">
        <f>J16/$J$44</f>
        <v>417.57380000000001</v>
      </c>
      <c r="L16" s="999">
        <f>_xldudf_CS_EXRATE($C16,L$8,"1")</f>
        <v>1.5462500000000001E-3</v>
      </c>
      <c r="M16" s="1000">
        <f>_xldudf_CS_EXRATE($C16,M$8,"1")</f>
        <v>2.2975120679112004E-2</v>
      </c>
    </row>
    <row r="17" spans="2:24">
      <c r="B17" s="986">
        <v>9</v>
      </c>
      <c r="C17" s="995" t="s">
        <v>620</v>
      </c>
      <c r="D17" s="996">
        <f>LOOKUP(1,0/(币种排名!$F$9:$F$108=C17),币种排名!$H$9:$H$108)</f>
        <v>14090019612.790508</v>
      </c>
      <c r="E17" s="996">
        <f>IF(OR(AND(币圈空间站!$E$3&lt;2,$B17&gt;=5),AND(币圈空间站!$E$3&lt;3,$B17&gt;=15),AND(币圈空间站!$E$3&lt;4,$B17&gt;=25)),0,POWER($D17,$D$7))</f>
        <v>131561639.84929982</v>
      </c>
      <c r="F17" s="997">
        <f>E17/SUM(E$9:E$44)</f>
        <v>1.6605774093942531E-2</v>
      </c>
      <c r="G17" s="996">
        <f>IF(OR(AND(币圈空间站!$E$3&lt;2,$B17&gt;=5),AND(币圈空间站!$E$3&lt;3,$B17&gt;=11),AND(币圈空间站!$E$3&lt;4,$B17&gt;=17)),0,POWER($D17,$D$7))</f>
        <v>131561639.84929982</v>
      </c>
      <c r="H17" s="997">
        <f>G17/SUM(G$9:G$44)</f>
        <v>1.7560747379874557E-2</v>
      </c>
      <c r="I17" s="996">
        <f>LOOKUP(1,0/(币种排名!$F$9:$F$108=C17),币种排名!$G$9:$G$108)</f>
        <v>35.225474421273738</v>
      </c>
      <c r="J17" s="996">
        <f>_xldudf_CS_EXRATE($C17,J$8,"1")</f>
        <v>35.130000000000003</v>
      </c>
      <c r="K17" s="998">
        <f>J17/$J$44</f>
        <v>226.72901999999999</v>
      </c>
      <c r="L17" s="999">
        <f>_xldudf_CS_EXRATE($C17,L$8,"1")</f>
        <v>2.7120000000000001E-5</v>
      </c>
      <c r="M17" s="1000">
        <f>_xldudf_CS_EXRATE($C17,M$8,"1")</f>
        <v>1.0065E-3</v>
      </c>
    </row>
    <row r="18" spans="2:24">
      <c r="B18" s="986">
        <v>10</v>
      </c>
      <c r="C18" s="995" t="s">
        <v>619</v>
      </c>
      <c r="D18" s="996">
        <f>LOOKUP(1,0/(币种排名!$F$9:$F$108=C18),币种排名!$H$9:$H$108)</f>
        <v>11478091707.201603</v>
      </c>
      <c r="E18" s="996">
        <f>IF(OR(AND(币圈空间站!$E$3&lt;2,$B18&gt;=5),AND(币圈空间站!$E$3&lt;3,$B18&gt;=15),AND(币圈空间站!$E$3&lt;4,$B18&gt;=25)),0,POWER($D18,$D$7))</f>
        <v>111659518.89085376</v>
      </c>
      <c r="F18" s="997">
        <f>E18/SUM(E$9:E$44)</f>
        <v>1.409371871818983E-2</v>
      </c>
      <c r="G18" s="996">
        <f>IF(OR(AND(币圈空间站!$E$3&lt;2,$B18&gt;=5),AND(币圈空间站!$E$3&lt;3,$B18&gt;=11),AND(币圈空间站!$E$3&lt;4,$B18&gt;=17)),0,POWER($D18,$D$7))</f>
        <v>111659518.89085376</v>
      </c>
      <c r="H18" s="997">
        <f>G18/SUM(G$9:G$44)</f>
        <v>1.4904227448416451E-2</v>
      </c>
      <c r="I18" s="996">
        <f>LOOKUP(1,0/(币种排名!$F$9:$F$108=C18),币种排名!$G$9:$G$108)</f>
        <v>18.76597643364569</v>
      </c>
      <c r="J18" s="996">
        <f>_xldudf_CS_EXRATE($C18,J$8,"1")</f>
        <v>18.7</v>
      </c>
      <c r="K18" s="998">
        <f>J18/$J$44</f>
        <v>120.68979999999999</v>
      </c>
      <c r="L18" s="999">
        <f>_xldudf_CS_EXRATE($C18,L$8,"1")</f>
        <v>1.8729961613343072E-4</v>
      </c>
      <c r="M18" s="1000">
        <f>_xldudf_CS_EXRATE($C18,M$8,"1")</f>
        <v>6.1250000000000002E-3</v>
      </c>
    </row>
    <row r="19" spans="2:24">
      <c r="B19" s="986">
        <v>11</v>
      </c>
      <c r="C19" s="995" t="s">
        <v>621</v>
      </c>
      <c r="D19" s="996">
        <f>LOOKUP(1,0/(币种排名!$F$9:$F$108=C19),币种排名!$H$9:$H$108)</f>
        <v>10832693804.846556</v>
      </c>
      <c r="E19" s="996">
        <f>IF(OR(AND(币圈空间站!$E$3&lt;2,$B19&gt;=5),AND(币圈空间站!$E$3&lt;3,$B19&gt;=15),AND(币圈空间站!$E$3&lt;4,$B19&gt;=25)),0,POWER($D19,$D$7))</f>
        <v>106607847.35810138</v>
      </c>
      <c r="F19" s="997">
        <f>E19/SUM(E$9:E$44)</f>
        <v>1.3456094283242254E-2</v>
      </c>
      <c r="G19" s="1002">
        <f>IF(OR(AND(币圈空间站!$E$3&lt;2,$B19&gt;=5),AND(币圈空间站!$E$3&lt;3,$B19&gt;=11),AND(币圈空间站!$E$3&lt;4,$B19&gt;=17)),0,POWER($D19,$D$7))</f>
        <v>106607847.35810138</v>
      </c>
      <c r="H19" s="1003">
        <f>G19/SUM(G$9:G$44)</f>
        <v>1.4229934183796273E-2</v>
      </c>
      <c r="I19" s="996">
        <f>LOOKUP(1,0/(币种排名!$F$9:$F$108=C19),币种排名!$G$9:$G$108)</f>
        <v>23.807618349067781</v>
      </c>
      <c r="J19" s="996">
        <f>_xldudf_CS_EXRATE($C19,J$8,"1")</f>
        <v>23.644932675113779</v>
      </c>
      <c r="K19" s="998">
        <f>J19/$J$44</f>
        <v>152.60439548518431</v>
      </c>
      <c r="L19" s="999">
        <f>_xldudf_CS_EXRATE($C19,L$8,"1")</f>
        <v>6.7124994099753592E-4</v>
      </c>
      <c r="M19" s="1000">
        <f>_xldudf_CS_EXRATE($C19,M$8,"1")</f>
        <v>2.1944611232460273E-2</v>
      </c>
    </row>
    <row r="20" spans="2:24">
      <c r="B20" s="986">
        <v>12</v>
      </c>
      <c r="C20" s="995" t="s">
        <v>622</v>
      </c>
      <c r="D20" s="996">
        <f>LOOKUP(1,0/(币种排名!$F$9:$F$108=C20),币种排名!$H$9:$H$108)</f>
        <v>9884265174.3120918</v>
      </c>
      <c r="E20" s="996">
        <f>IF(OR(AND(币圈空间站!$E$3&lt;2,$B20&gt;=5),AND(币圈空间站!$E$3&lt;3,$B20&gt;=15),AND(币圈空间站!$E$3&lt;4,$B20&gt;=25)),0,POWER($D20,$D$7))</f>
        <v>99073044.838003173</v>
      </c>
      <c r="F20" s="997">
        <f>E20/SUM(E$9:E$44)</f>
        <v>1.2505047848775926E-2</v>
      </c>
      <c r="G20" s="1002">
        <f>IF(OR(AND(币圈空间站!$E$3&lt;2,$B20&gt;=5),AND(币圈空间站!$E$3&lt;3,$B20&gt;=11),AND(币圈空间站!$E$3&lt;4,$B20&gt;=17)),0,POWER($D20,$D$7))</f>
        <v>99073044.838003173</v>
      </c>
      <c r="H20" s="1003">
        <f>G20/SUM(G$9:G$44)</f>
        <v>1.322419448821136E-2</v>
      </c>
      <c r="I20" s="996">
        <f>LOOKUP(1,0/(币种排名!$F$9:$F$108=C20),币种排名!$G$9:$G$108)</f>
        <v>148.07307917555232</v>
      </c>
      <c r="J20" s="996">
        <f>_xldudf_CS_EXRATE($C20,J$8,"1")</f>
        <v>147.3495311206874</v>
      </c>
      <c r="K20" s="998">
        <f>J20/$J$44</f>
        <v>950.99387385291641</v>
      </c>
      <c r="L20" s="999">
        <f>_xldudf_CS_EXRATE($C20,L$8,"1")</f>
        <v>4.2990952582037693E-3</v>
      </c>
      <c r="M20" s="1000">
        <f>_xldudf_CS_EXRATE($C20,M$8,"1")</f>
        <v>0.14048131562242416</v>
      </c>
      <c r="O20" s="887"/>
      <c r="P20" s="887"/>
    </row>
    <row r="21" spans="2:24" ht="18">
      <c r="B21" s="986">
        <v>13</v>
      </c>
      <c r="C21" s="995" t="s">
        <v>624</v>
      </c>
      <c r="D21" s="996">
        <f>LOOKUP(1,0/(币种排名!$F$9:$F$108=C21),币种排名!$H$9:$H$108)</f>
        <v>9634918921.9732246</v>
      </c>
      <c r="E21" s="996">
        <f>IF(OR(AND(币圈空间站!$E$3&lt;2,$B21&gt;=5),AND(币圈空间站!$E$3&lt;3,$B21&gt;=15),AND(币圈空间站!$E$3&lt;4,$B21&gt;=25)),0,POWER($D21,$D$7))</f>
        <v>97068529.728229374</v>
      </c>
      <c r="F21" s="997">
        <f>E21/SUM(E$9:E$44)</f>
        <v>1.2252036977834162E-2</v>
      </c>
      <c r="G21" s="1002">
        <f>IF(OR(AND(币圈空间站!$E$3&lt;2,$B21&gt;=5),AND(币圈空间站!$E$3&lt;3,$B21&gt;=11),AND(币圈空间站!$E$3&lt;4,$B21&gt;=17)),0,POWER($D21,$D$7))</f>
        <v>97068529.728229374</v>
      </c>
      <c r="H21" s="1003">
        <f>G21/SUM(G$9:G$44)</f>
        <v>1.2956633339671401E-2</v>
      </c>
      <c r="I21" s="996">
        <f>LOOKUP(1,0/(币种排名!$F$9:$F$108=C21),币种排名!$G$9:$G$108)</f>
        <v>1.6493134563367999</v>
      </c>
      <c r="J21" s="996">
        <f>_xldudf_CS_EXRATE($C21,J$8,"1")</f>
        <v>1.6386499999999999</v>
      </c>
      <c r="K21" s="998">
        <f>J21/$J$44</f>
        <v>10.575847099999999</v>
      </c>
      <c r="L21" s="999">
        <f>_xldudf_CS_EXRATE($C21,L$8,"1")</f>
        <v>3.9152620809159289E-5</v>
      </c>
      <c r="M21" s="1000">
        <f>_xldudf_CS_EXRATE($C21,M$8,"1")</f>
        <v>5.8219999999999995E-4</v>
      </c>
      <c r="R21" s="911"/>
      <c r="T21" s="887"/>
      <c r="V21" s="887"/>
    </row>
    <row r="22" spans="2:24" ht="18">
      <c r="B22" s="986">
        <v>14</v>
      </c>
      <c r="C22" s="995" t="s">
        <v>509</v>
      </c>
      <c r="D22" s="996">
        <f>LOOKUP(1,0/(币种排名!$F$9:$F$108=C22),币种排名!$H$9:$H$108)</f>
        <v>8328557765.6688318</v>
      </c>
      <c r="E22" s="996">
        <f>IF(OR(AND(币圈空间站!$E$3&lt;2,$B22&gt;=5),AND(币圈空间站!$E$3&lt;3,$B22&gt;=15),AND(币圈空间站!$E$3&lt;4,$B22&gt;=25)),0,POWER($D22,$D$7))</f>
        <v>86388481.819091007</v>
      </c>
      <c r="F22" s="997">
        <f>E22/SUM(E$9:E$44)</f>
        <v>1.0903996142414468E-2</v>
      </c>
      <c r="G22" s="1002">
        <f>IF(OR(AND(币圈空间站!$E$3&lt;2,$B22&gt;=5),AND(币圈空间站!$E$3&lt;3,$B22&gt;=11),AND(币圈空间站!$E$3&lt;4,$B22&gt;=17)),0,POWER($D22,$D$7))</f>
        <v>86388481.819091007</v>
      </c>
      <c r="H22" s="1003">
        <f>G22/SUM(G$9:G$44)</f>
        <v>1.1531068687602839E-2</v>
      </c>
      <c r="I22" s="996">
        <f>LOOKUP(1,0/(币种排名!$F$9:$F$108=C22),币种排名!$G$9:$G$108)</f>
        <v>37.522968851909738</v>
      </c>
      <c r="J22" s="996">
        <f>_xldudf_CS_EXRATE($C22,J$8,"1")</f>
        <v>37.295000000000002</v>
      </c>
      <c r="K22" s="998">
        <f>J22/$J$44</f>
        <v>240.70193</v>
      </c>
      <c r="L22" s="999">
        <f>_xldudf_CS_EXRATE($C22,L$8,"1")</f>
        <v>8.9120547780104304E-4</v>
      </c>
      <c r="M22" s="1000">
        <f>_xldudf_CS_EXRATE($C22,M$8,"1")</f>
        <v>1.32435E-2</v>
      </c>
      <c r="R22" s="911"/>
      <c r="X22" s="887"/>
    </row>
    <row r="23" spans="2:24" ht="18">
      <c r="B23" s="987">
        <v>15</v>
      </c>
      <c r="C23" s="1001" t="s">
        <v>625</v>
      </c>
      <c r="D23" s="1002">
        <f>LOOKUP(1,0/(币种排名!$F$9:$F$108=C23),币种排名!$H$9:$H$108)</f>
        <v>7146754840.1257639</v>
      </c>
      <c r="E23" s="1002">
        <f>IF(OR(AND(币圈空间站!$E$3&lt;2,$B23&gt;=5),AND(币圈空间站!$E$3&lt;3,$B23&gt;=15),AND(币圈空间站!$E$3&lt;4,$B23&gt;=25)),0,POWER($D23,$D$7))</f>
        <v>76434091.443184376</v>
      </c>
      <c r="F23" s="1003">
        <f>E23/SUM(E$9:E$44)</f>
        <v>9.6475481533610623E-3</v>
      </c>
      <c r="G23" s="1002">
        <f>IF(OR(AND(币圈空间站!$E$3&lt;2,$B23&gt;=5),AND(币圈空间站!$E$3&lt;3,$B23&gt;=11),AND(币圈空间站!$E$3&lt;4,$B23&gt;=17)),0,POWER($D23,$D$7))</f>
        <v>76434091.443184376</v>
      </c>
      <c r="H23" s="1003">
        <f>G23/SUM(G$9:G$44)</f>
        <v>1.0202364249803289E-2</v>
      </c>
      <c r="I23" s="1002">
        <f>LOOKUP(1,0/(币种排名!$F$9:$F$108=C23),币种排名!$G$9:$G$108)</f>
        <v>1.07110803736685</v>
      </c>
      <c r="J23" s="1002">
        <f>_xldudf_CS_EXRATE($C23,J$8,"1")</f>
        <v>1.0654999999999999</v>
      </c>
      <c r="K23" s="1004">
        <f>J23/$J$44</f>
        <v>6.8767369999999985</v>
      </c>
      <c r="L23" s="1005">
        <f>_xldudf_CS_EXRATE($C23,L$8,"1")</f>
        <v>9.7499999999999998E-7</v>
      </c>
      <c r="M23" s="1006">
        <f>_xldudf_CS_EXRATE($C23,M$8,"1")</f>
        <v>3.7412323497018778E-5</v>
      </c>
      <c r="R23" s="911"/>
    </row>
    <row r="24" spans="2:24" ht="18">
      <c r="B24" s="987">
        <v>16</v>
      </c>
      <c r="C24" s="1001" t="s">
        <v>507</v>
      </c>
      <c r="D24" s="1002">
        <f>LOOKUP(1,0/(币种排名!$F$9:$F$108=C24),币种排名!$H$9:$H$108)</f>
        <v>6404260997.5852909</v>
      </c>
      <c r="E24" s="1002">
        <f>IF(OR(AND(币圈空间站!$E$3&lt;2,$B24&gt;=5),AND(币圈空间站!$E$3&lt;3,$B24&gt;=15),AND(币圈空间站!$E$3&lt;4,$B24&gt;=25)),0,POWER($D24,$D$7))</f>
        <v>70012440.75688675</v>
      </c>
      <c r="F24" s="1003">
        <f>E24/SUM(E$9:E$44)</f>
        <v>8.8370042841221363E-3</v>
      </c>
      <c r="G24" s="1002">
        <f>IF(OR(AND(币圈空间站!$E$3&lt;2,$B24&gt;=5),AND(币圈空间站!$E$3&lt;3,$B24&gt;=11),AND(币圈空间站!$E$3&lt;4,$B24&gt;=17)),0,POWER($D24,$D$7))</f>
        <v>70012440.75688675</v>
      </c>
      <c r="H24" s="1003">
        <f>G24/SUM(G$9:G$44)</f>
        <v>9.3452072122880651E-3</v>
      </c>
      <c r="I24" s="1002">
        <f>LOOKUP(1,0/(币种排名!$F$9:$F$108=C24),币种排名!$G$9:$G$108)</f>
        <v>0.26970899653737002</v>
      </c>
      <c r="J24" s="1002">
        <f>_xldudf_CS_EXRATE($C24,J$8,"1")</f>
        <v>0.15886</v>
      </c>
      <c r="K24" s="1004">
        <f>J24/$J$44</f>
        <v>1.02528244</v>
      </c>
      <c r="L24" s="1005">
        <f>_xldudf_CS_EXRATE($C24,L$8,"1")</f>
        <v>8.4335510376705513E-6</v>
      </c>
      <c r="M24" s="1006">
        <f>_xldudf_CS_EXRATE($C24,M$8,"1")</f>
        <v>2.75715E-4</v>
      </c>
      <c r="R24" s="911"/>
    </row>
    <row r="25" spans="2:24" ht="18">
      <c r="B25" s="987">
        <v>17</v>
      </c>
      <c r="C25" s="1001" t="s">
        <v>508</v>
      </c>
      <c r="D25" s="1002">
        <f>LOOKUP(1,0/(币种排名!$F$9:$F$108=C25),币种排名!$H$9:$H$108)</f>
        <v>6277425433.7508011</v>
      </c>
      <c r="E25" s="1002">
        <f>IF(OR(AND(币圈空间站!$E$3&lt;2,$B25&gt;=5),AND(币圈空间站!$E$3&lt;3,$B25&gt;=15),AND(币圈空间站!$E$3&lt;4,$B25&gt;=25)),0,POWER($D25,$D$7))</f>
        <v>68900956.372283295</v>
      </c>
      <c r="F25" s="1003">
        <f>E25/SUM(E$9:E$44)</f>
        <v>8.6967121851424366E-3</v>
      </c>
      <c r="G25" s="1008">
        <f>IF(OR(AND(币圈空间站!$E$3&lt;2,$B25&gt;=5),AND(币圈空间站!$E$3&lt;3,$B25&gt;=11),AND(币圈空间站!$E$3&lt;4,$B25&gt;=17)),0,POWER($D25,$D$7))</f>
        <v>0</v>
      </c>
      <c r="H25" s="1009">
        <f>G25/SUM(G$9:G$44)</f>
        <v>0</v>
      </c>
      <c r="I25" s="1002">
        <f>LOOKUP(1,0/(币种排名!$F$9:$F$108=C25),币种排名!$G$9:$G$108)</f>
        <v>8.7600550493609999E-2</v>
      </c>
      <c r="J25" s="1002">
        <f>_xldudf_CS_EXRATE($C25,J$8,"1")</f>
        <v>8.7175000000000002E-2</v>
      </c>
      <c r="K25" s="1004">
        <f>J25/$J$44</f>
        <v>0.56262745000000003</v>
      </c>
      <c r="L25" s="1005">
        <f>_xldudf_CS_EXRATE($C25,L$8,"1")</f>
        <v>1.5550321631732998E-6</v>
      </c>
      <c r="M25" s="1006">
        <f>_xldudf_CS_EXRATE($C25,M$8,"1")</f>
        <v>5.0866427469443757E-5</v>
      </c>
      <c r="R25" s="911"/>
    </row>
    <row r="26" spans="2:24" ht="18">
      <c r="B26" s="987">
        <v>18</v>
      </c>
      <c r="C26" s="1001" t="s">
        <v>623</v>
      </c>
      <c r="D26" s="1002">
        <f>LOOKUP(1,0/(币种排名!$F$9:$F$108=C26),币种排名!$H$9:$H$108)</f>
        <v>6151409853.4980879</v>
      </c>
      <c r="E26" s="1002">
        <f>IF(OR(AND(币圈空间站!$E$3&lt;2,$B26&gt;=5),AND(币圈空间站!$E$3&lt;3,$B26&gt;=15),AND(币圈空间站!$E$3&lt;4,$B26&gt;=25)),0,POWER($D26,$D$7))</f>
        <v>67792200.510212108</v>
      </c>
      <c r="F26" s="1003">
        <f>E26/SUM(E$9:E$44)</f>
        <v>8.5567644816022647E-3</v>
      </c>
      <c r="G26" s="1008">
        <f>IF(OR(AND(币圈空间站!$E$3&lt;2,$B26&gt;=5),AND(币圈空间站!$E$3&lt;3,$B26&gt;=11),AND(币圈空间站!$E$3&lt;4,$B26&gt;=17)),0,POWER($D26,$D$7))</f>
        <v>0</v>
      </c>
      <c r="H26" s="1009">
        <f>G26/SUM(G$9:G$44)</f>
        <v>0</v>
      </c>
      <c r="I26" s="1002">
        <f>LOOKUP(1,0/(币种排名!$F$9:$F$108=C26),币种排名!$G$9:$G$108)</f>
        <v>56.119989383784251</v>
      </c>
      <c r="J26" s="1002">
        <f>_xldudf_CS_EXRATE($C26,J$8,"1")</f>
        <v>55.704999999999998</v>
      </c>
      <c r="K26" s="1004">
        <f>J26/$J$44</f>
        <v>359.52006999999998</v>
      </c>
      <c r="L26" s="1005">
        <f>_xldudf_CS_EXRATE($C26,L$8,"1")</f>
        <v>1.6110417864507807E-3</v>
      </c>
      <c r="M26" s="1006">
        <f>_xldudf_CS_EXRATE($C26,M$8,"1")</f>
        <v>5.2664999999999997E-2</v>
      </c>
      <c r="R26" s="911"/>
    </row>
    <row r="27" spans="2:24" ht="18">
      <c r="B27" s="987">
        <v>19</v>
      </c>
      <c r="C27" s="1001" t="s">
        <v>510</v>
      </c>
      <c r="D27" s="1002">
        <f>LOOKUP(1,0/(币种排名!$F$9:$F$108=C27),币种排名!$H$9:$H$108)</f>
        <v>5811911270.5736799</v>
      </c>
      <c r="E27" s="1002">
        <f>IF(OR(AND(币圈空间站!$E$3&lt;2,$B27&gt;=5),AND(币圈空间站!$E$3&lt;3,$B27&gt;=15),AND(币圈空间站!$E$3&lt;4,$B27&gt;=25)),0,POWER($D27,$D$7))</f>
        <v>64782123.591235481</v>
      </c>
      <c r="F27" s="1003">
        <f>E27/SUM(E$9:E$44)</f>
        <v>8.1768311106046668E-3</v>
      </c>
      <c r="G27" s="1008">
        <f>IF(OR(AND(币圈空间站!$E$3&lt;2,$B27&gt;=5),AND(币圈空间站!$E$3&lt;3,$B27&gt;=11),AND(币圈空间站!$E$3&lt;4,$B27&gt;=17)),0,POWER($D27,$D$7))</f>
        <v>0</v>
      </c>
      <c r="H27" s="1009">
        <f>G27/SUM(G$9:G$44)</f>
        <v>0</v>
      </c>
      <c r="I27" s="1002">
        <f>LOOKUP(1,0/(币种排名!$F$9:$F$108=C27),币种排名!$G$9:$G$108)</f>
        <v>6.7502802280291796</v>
      </c>
      <c r="J27" s="1002">
        <f>_xldudf_CS_EXRATE($C27,J$8,"1")</f>
        <v>2.2669000000000001</v>
      </c>
      <c r="K27" s="1004">
        <f>J27/$J$44</f>
        <v>14.630572599999999</v>
      </c>
      <c r="L27" s="1005">
        <f>_xldudf_CS_EXRATE($C27,L$8,"1")</f>
        <v>1.2039529062814285E-4</v>
      </c>
      <c r="M27" s="1006">
        <f>_xldudf_CS_EXRATE($C27,M$8,"1")</f>
        <v>3.9329999999999999E-3</v>
      </c>
      <c r="R27" s="911"/>
    </row>
    <row r="28" spans="2:24" ht="18">
      <c r="B28" s="987">
        <v>20</v>
      </c>
      <c r="C28" s="1001" t="s">
        <v>659</v>
      </c>
      <c r="D28" s="1002">
        <f>LOOKUP(1,0/(币种排名!$F$9:$F$108=C28),币种排名!$H$9:$H$108)</f>
        <v>4116073589.5355806</v>
      </c>
      <c r="E28" s="1002">
        <f>IF(OR(AND(币圈空间站!$E$3&lt;2,$B28&gt;=5),AND(币圈空间站!$E$3&lt;3,$B28&gt;=15),AND(币圈空间站!$E$3&lt;4,$B28&gt;=25)),0,POWER($D28,$D$7))</f>
        <v>49157128.366162345</v>
      </c>
      <c r="F28" s="1003">
        <f>E28/SUM(E$9:E$44)</f>
        <v>6.2046366227303494E-3</v>
      </c>
      <c r="G28" s="1008">
        <f>IF(OR(AND(币圈空间站!$E$3&lt;2,$B28&gt;=5),AND(币圈空间站!$E$3&lt;3,$B28&gt;=11),AND(币圈空间站!$E$3&lt;4,$B28&gt;=17)),0,POWER($D28,$D$7))</f>
        <v>0</v>
      </c>
      <c r="H28" s="1009">
        <f>G28/SUM(G$9:G$44)</f>
        <v>0</v>
      </c>
      <c r="I28" s="1002">
        <f>LOOKUP(1,0/(币种排名!$F$9:$F$108=C28),币种排名!$G$9:$G$108)</f>
        <v>211.11078481794459</v>
      </c>
      <c r="J28" s="1002">
        <f>_xldudf_CS_EXRATE($C28,J$8,"1")</f>
        <v>209.44499999999999</v>
      </c>
      <c r="K28" s="1004">
        <f>J28/$J$44</f>
        <v>1351.75803</v>
      </c>
      <c r="L28" s="1005">
        <f>_xldudf_CS_EXRATE($C28,L$8,"1")</f>
        <v>6.6750000000000002E-4</v>
      </c>
      <c r="M28" s="1006">
        <f>_xldudf_CS_EXRATE($C28,M$8,"1")</f>
        <v>6.9239999999999996E-2</v>
      </c>
      <c r="R28" s="911"/>
    </row>
    <row r="29" spans="2:24" ht="18">
      <c r="B29" s="987">
        <v>21</v>
      </c>
      <c r="C29" s="1001" t="s">
        <v>512</v>
      </c>
      <c r="D29" s="1002">
        <f>LOOKUP(1,0/(币种排名!$F$9:$F$108=C29),币种排名!$H$9:$H$108)</f>
        <v>4022277192.2552648</v>
      </c>
      <c r="E29" s="1002">
        <f>IF(OR(AND(币圈空间站!$E$3&lt;2,$B29&gt;=5),AND(币圈空间站!$E$3&lt;3,$B29&gt;=15),AND(币圈空间站!$E$3&lt;4,$B29&gt;=25)),0,POWER($D29,$D$7))</f>
        <v>48258919.846339546</v>
      </c>
      <c r="F29" s="1003">
        <f>E29/SUM(E$9:E$44)</f>
        <v>6.0912643070118984E-3</v>
      </c>
      <c r="G29" s="1008">
        <f>IF(OR(AND(币圈空间站!$E$3&lt;2,$B29&gt;=5),AND(币圈空间站!$E$3&lt;3,$B29&gt;=11),AND(币圈空间站!$E$3&lt;4,$B29&gt;=17)),0,POWER($D29,$D$7))</f>
        <v>0</v>
      </c>
      <c r="H29" s="1009">
        <f>G29/SUM(G$9:G$44)</f>
        <v>0</v>
      </c>
      <c r="I29" s="1002">
        <f>LOOKUP(1,0/(币种排名!$F$9:$F$108=C29),币种排名!$G$9:$G$108)</f>
        <v>17.834875378525929</v>
      </c>
      <c r="J29" s="1002">
        <f>_xldudf_CS_EXRATE($C29,J$8,"1")</f>
        <v>17.715</v>
      </c>
      <c r="K29" s="1004">
        <f>J29/$J$44</f>
        <v>114.33260999999999</v>
      </c>
      <c r="L29" s="1005">
        <f>_xldudf_CS_EXRATE($C29,L$8,"1")</f>
        <v>0</v>
      </c>
      <c r="M29" s="1006">
        <f>_xldudf_CS_EXRATE($C29,M$8,"1")</f>
        <v>1.04905E-2</v>
      </c>
      <c r="R29" s="911"/>
    </row>
    <row r="30" spans="2:24">
      <c r="B30" s="987">
        <v>22</v>
      </c>
      <c r="C30" s="1001" t="s">
        <v>513</v>
      </c>
      <c r="D30" s="1002">
        <f>LOOKUP(1,0/(币种排名!$F$9:$F$108=C30),币种排名!$H$9:$H$108)</f>
        <v>3783793989.0606046</v>
      </c>
      <c r="E30" s="1002">
        <f>IF(OR(AND(币圈空间站!$E$3&lt;2,$B30&gt;=5),AND(币圈空间站!$E$3&lt;3,$B30&gt;=15),AND(币圈空间站!$E$3&lt;4,$B30&gt;=25)),0,POWER($D30,$D$7))</f>
        <v>45955975.195622988</v>
      </c>
      <c r="F30" s="1003">
        <f>E30/SUM(E$9:E$44)</f>
        <v>5.8005855144363586E-3</v>
      </c>
      <c r="G30" s="1008">
        <f>IF(OR(AND(币圈空间站!$E$3&lt;2,$B30&gt;=5),AND(币圈空间站!$E$3&lt;3,$B30&gt;=11),AND(币圈空间站!$E$3&lt;4,$B30&gt;=17)),0,POWER($D30,$D$7))</f>
        <v>0</v>
      </c>
      <c r="H30" s="1009">
        <f>G30/SUM(G$9:G$44)</f>
        <v>0</v>
      </c>
      <c r="I30" s="1002">
        <f>LOOKUP(1,0/(币种排名!$F$9:$F$108=C30),币种排名!$G$9:$G$108)</f>
        <v>62.123613496869922</v>
      </c>
      <c r="J30" s="1002">
        <f>_xldudf_CS_EXRATE($C30,J$8,"1")</f>
        <v>61.754621708421823</v>
      </c>
      <c r="K30" s="1004">
        <f>J30/$J$44</f>
        <v>398.56432850615442</v>
      </c>
      <c r="L30" s="1005">
        <f>_xldudf_CS_EXRATE($C30,L$8,"1")</f>
        <v>1.4754561455874152E-3</v>
      </c>
      <c r="M30" s="1006">
        <f>_xldudf_CS_EXRATE($C30,M$8,"1")</f>
        <v>2.1948499999999999E-2</v>
      </c>
    </row>
    <row r="31" spans="2:24">
      <c r="B31" s="987">
        <v>23</v>
      </c>
      <c r="C31" s="1001" t="s">
        <v>511</v>
      </c>
      <c r="D31" s="1002">
        <f>LOOKUP(1,0/(币种排名!$F$9:$F$108=C31),币种排名!$H$9:$H$108)</f>
        <v>3483262240.9016929</v>
      </c>
      <c r="E31" s="1002">
        <f>IF(OR(AND(币圈空间站!$E$3&lt;2,$B31&gt;=5),AND(币圈空间站!$E$3&lt;3,$B31&gt;=15),AND(币圈空间站!$E$3&lt;4,$B31&gt;=25)),0,POWER($D31,$D$7))</f>
        <v>43011930.718206301</v>
      </c>
      <c r="F31" s="1003">
        <f>E31/SUM(E$9:E$44)</f>
        <v>5.4289867902907749E-3</v>
      </c>
      <c r="G31" s="1041">
        <f>IF(OR(AND(币圈空间站!$E$3&lt;2,$B31&gt;=5),AND(币圈空间站!$E$3&lt;3,$B31&gt;=11),AND(币圈空间站!$E$3&lt;4,$B31&gt;=17)),0,POWER($D31,$D$7))</f>
        <v>0</v>
      </c>
      <c r="H31" s="1042">
        <f>G31/SUM(G$9:G$44)</f>
        <v>0</v>
      </c>
      <c r="I31" s="1002">
        <f>LOOKUP(1,0/(币种排名!$F$9:$F$108=C31),币种排名!$G$9:$G$108)</f>
        <v>264.12409364738988</v>
      </c>
      <c r="J31" s="1002">
        <f>_xldudf_CS_EXRATE($C31,J$8,"1")</f>
        <v>262.14999999999998</v>
      </c>
      <c r="K31" s="1004">
        <f>J31/$J$44</f>
        <v>1691.9160999999997</v>
      </c>
      <c r="L31" s="1005">
        <f>_xldudf_CS_EXRATE($C31,L$8,"1")</f>
        <v>6.2604118304750529E-3</v>
      </c>
      <c r="M31" s="1006">
        <f>_xldudf_CS_EXRATE($C31,M$8,"1")</f>
        <v>9.3096144720038174E-2</v>
      </c>
    </row>
    <row r="32" spans="2:24">
      <c r="B32" s="987">
        <v>24</v>
      </c>
      <c r="C32" s="1001" t="s">
        <v>658</v>
      </c>
      <c r="D32" s="1002">
        <f>LOOKUP(1,0/(币种排名!$F$9:$F$108=C32),币种排名!$H$9:$H$108)</f>
        <v>3480344937.1465936</v>
      </c>
      <c r="E32" s="1002">
        <f>IF(OR(AND(币圈空间站!$E$3&lt;2,$B32&gt;=5),AND(币圈空间站!$E$3&lt;3,$B32&gt;=15),AND(币圈空间站!$E$3&lt;4,$B32&gt;=25)),0,POWER($D32,$D$7))</f>
        <v>42983109.602607273</v>
      </c>
      <c r="F32" s="1003">
        <f>E32/SUM(E$9:E$44)</f>
        <v>5.4253489750786732E-3</v>
      </c>
      <c r="G32" s="1041">
        <f>IF(OR(AND(币圈空间站!$E$3&lt;2,$B32&gt;=5),AND(币圈空间站!$E$3&lt;3,$B32&gt;=11),AND(币圈空间站!$E$3&lt;4,$B32&gt;=17)),0,POWER($D32,$D$7))</f>
        <v>0</v>
      </c>
      <c r="H32" s="1042">
        <f>G32/SUM(G$9:G$44)</f>
        <v>0</v>
      </c>
      <c r="I32" s="1002">
        <f>LOOKUP(1,0/(币种排名!$F$9:$F$108=C32),币种排名!$G$9:$G$108)</f>
        <v>288.28132749560154</v>
      </c>
      <c r="J32" s="1002">
        <f>_xldudf_CS_EXRATE($C32,J$8,"1")</f>
        <v>288.60000000000002</v>
      </c>
      <c r="K32" s="1004">
        <f>J32/$J$44</f>
        <v>1862.6243999999999</v>
      </c>
      <c r="L32" s="1005">
        <f>_xldudf_CS_EXRATE($C32,L$8,"1")</f>
        <v>6.2929455107237E-4</v>
      </c>
      <c r="M32" s="1006">
        <f>_xldudf_CS_EXRATE($C32,M$8,"1")</f>
        <v>2.5749999999999999E-2</v>
      </c>
    </row>
    <row r="33" spans="1:14">
      <c r="A33" s="32"/>
      <c r="B33" s="988">
        <v>25</v>
      </c>
      <c r="C33" s="1007" t="s">
        <v>626</v>
      </c>
      <c r="D33" s="1008">
        <f>LOOKUP(1,0/(币种排名!$F$9:$F$108=C33),币种排名!$H$9:$H$108)</f>
        <v>3347917005.9978485</v>
      </c>
      <c r="E33" s="1008">
        <f>IF(OR(AND(币圈空间站!$E$3&lt;2,$B33&gt;=5),AND(币圈空间站!$E$3&lt;3,$B33&gt;=15),AND(币圈空间站!$E$3&lt;4,$B33&gt;=25)),0,POWER($D33,$D$7))</f>
        <v>0</v>
      </c>
      <c r="F33" s="1009">
        <f>E33/SUM(E$9:E$44)</f>
        <v>0</v>
      </c>
      <c r="G33" s="1041">
        <f>IF(OR(AND(币圈空间站!$E$3&lt;2,$B33&gt;=5),AND(币圈空间站!$E$3&lt;3,$B33&gt;=11),AND(币圈空间站!$E$3&lt;4,$B33&gt;=17)),0,POWER($D33,$D$7))</f>
        <v>0</v>
      </c>
      <c r="H33" s="1042">
        <f>G33/SUM(G$9:G$44)</f>
        <v>0</v>
      </c>
      <c r="I33" s="1008">
        <f>LOOKUP(1,0/(币种排名!$F$9:$F$108=C33),币种排名!$G$9:$G$108)</f>
        <v>7.1514143939702199</v>
      </c>
      <c r="J33" s="1008">
        <f>_xldudf_CS_EXRATE($C33,J$8,"1")</f>
        <v>7.0810000000000004</v>
      </c>
      <c r="K33" s="1010">
        <f>J33/$J$44</f>
        <v>45.700774000000003</v>
      </c>
      <c r="L33" s="1011">
        <f>_xldudf_CS_EXRATE($C33,L$8,"1")</f>
        <v>5.0699999999999999E-5</v>
      </c>
      <c r="M33" s="1012">
        <f>_xldudf_CS_EXRATE($C33,M$8,"1")</f>
        <v>1.6592291482032597E-3</v>
      </c>
    </row>
    <row r="34" spans="1:14">
      <c r="A34" s="32"/>
      <c r="B34" s="988">
        <v>26</v>
      </c>
      <c r="C34" s="1007" t="s">
        <v>657</v>
      </c>
      <c r="D34" s="1008">
        <f>LOOKUP(1,0/(币种排名!$F$9:$F$108=C34),币种排名!$H$9:$H$108)</f>
        <v>3331898788.6888962</v>
      </c>
      <c r="E34" s="1008">
        <f>IF(OR(AND(币圈空间站!$E$3&lt;2,$B34&gt;=5),AND(币圈空间站!$E$3&lt;3,$B34&gt;=15),AND(币圈空间站!$E$3&lt;4,$B34&gt;=25)),0,POWER($D34,$D$7))</f>
        <v>0</v>
      </c>
      <c r="F34" s="1009">
        <f>E34/SUM(E$9:E$44)</f>
        <v>0</v>
      </c>
      <c r="G34" s="1041">
        <f>IF(OR(AND(币圈空间站!$E$3&lt;2,$B34&gt;=5),AND(币圈空间站!$E$3&lt;3,$B34&gt;=11),AND(币圈空间站!$E$3&lt;4,$B34&gt;=17)),0,POWER($D34,$D$7))</f>
        <v>0</v>
      </c>
      <c r="H34" s="1042">
        <f>G34/SUM(G$9:G$44)</f>
        <v>0</v>
      </c>
      <c r="I34" s="1008">
        <f>LOOKUP(1,0/(币种排名!$F$9:$F$108=C34),币种排名!$G$9:$G$108)</f>
        <v>0.32383449669731001</v>
      </c>
      <c r="J34" s="1008">
        <f>_xldudf_CS_EXRATE($C34,J$8,"1")</f>
        <v>0.32085000000000002</v>
      </c>
      <c r="K34" s="1010">
        <f>J34/$J$44</f>
        <v>2.0707659</v>
      </c>
      <c r="L34" s="1011">
        <f>_xldudf_CS_EXRATE($C34,L$8,"1")</f>
        <v>1.9850000000000001E-6</v>
      </c>
      <c r="M34" s="1012">
        <f>_xldudf_CS_EXRATE($C34,M$8,"1")</f>
        <v>6.4112901751770516E-5</v>
      </c>
    </row>
    <row r="35" spans="1:14">
      <c r="A35" s="32"/>
      <c r="B35" s="988">
        <v>27</v>
      </c>
      <c r="C35" s="1007" t="s">
        <v>627</v>
      </c>
      <c r="D35" s="1008">
        <f>LOOKUP(1,0/(币种排名!$F$9:$F$108=C35),币种排名!$H$9:$H$108)</f>
        <v>3105304532.222857</v>
      </c>
      <c r="E35" s="1008">
        <f>IF(OR(AND(币圈空间站!$E$3&lt;2,$B35&gt;=5),AND(币圈空间站!$E$3&lt;3,$B35&gt;=15),AND(币圈空间站!$E$3&lt;4,$B35&gt;=25)),0,POWER($D35,$D$7))</f>
        <v>0</v>
      </c>
      <c r="F35" s="1009">
        <f>E35/SUM(E$9:E$44)</f>
        <v>0</v>
      </c>
      <c r="G35" s="1041">
        <f>IF(OR(AND(币圈空间站!$E$3&lt;2,$B35&gt;=5),AND(币圈空间站!$E$3&lt;3,$B35&gt;=11),AND(币圈空间站!$E$3&lt;4,$B35&gt;=17)),0,POWER($D35,$D$7))</f>
        <v>0</v>
      </c>
      <c r="H35" s="1042">
        <f>G35/SUM(G$9:G$44)</f>
        <v>0</v>
      </c>
      <c r="I35" s="1008">
        <f>LOOKUP(1,0/(币种排名!$F$9:$F$108=C35),币种排名!$G$9:$G$108)</f>
        <v>0.65849849504333002</v>
      </c>
      <c r="J35" s="1008">
        <f>_xldudf_CS_EXRATE($C35,J$8,"1")</f>
        <v>0.65375000000000005</v>
      </c>
      <c r="K35" s="1010">
        <f>J35/$J$44</f>
        <v>4.2193025000000004</v>
      </c>
      <c r="L35" s="1011">
        <f>_xldudf_CS_EXRATE($C35,L$8,"1")</f>
        <v>5.9500000000000004E-4</v>
      </c>
      <c r="M35" s="1012">
        <f>_xldudf_CS_EXRATE($C35,M$8,"1")</f>
        <v>1.6949985000000001E-2</v>
      </c>
    </row>
    <row r="36" spans="1:14">
      <c r="A36" s="32"/>
      <c r="B36" s="988">
        <v>28</v>
      </c>
      <c r="C36" s="1007" t="s">
        <v>648</v>
      </c>
      <c r="D36" s="1008">
        <f>LOOKUP(1,0/(币种排名!$F$9:$F$108=C36),币种排名!$H$9:$H$108)</f>
        <v>2970019673.9385762</v>
      </c>
      <c r="E36" s="1008">
        <f>IF(OR(AND(币圈空间站!$E$3&lt;2,$B36&gt;=5),AND(币圈空间站!$E$3&lt;3,$B36&gt;=15),AND(币圈空间站!$E$3&lt;4,$B36&gt;=25)),0,POWER($D36,$D$7))</f>
        <v>0</v>
      </c>
      <c r="F36" s="1009">
        <f>E36/SUM(E$9:E$44)</f>
        <v>0</v>
      </c>
      <c r="G36" s="1041">
        <f>IF(OR(AND(币圈空间站!$E$3&lt;2,$B36&gt;=5),AND(币圈空间站!$E$3&lt;3,$B36&gt;=11),AND(币圈空间站!$E$3&lt;4,$B36&gt;=17)),0,POWER($D36,$D$7))</f>
        <v>0</v>
      </c>
      <c r="H36" s="1042">
        <f>G36/SUM(G$9:G$44)</f>
        <v>0</v>
      </c>
      <c r="I36" s="1008">
        <f>LOOKUP(1,0/(币种排名!$F$9:$F$108=C36),币种排名!$G$9:$G$108)</f>
        <v>1.1669989600605499</v>
      </c>
      <c r="J36" s="1008">
        <f>_xldudf_CS_EXRATE($C36,J$8,"1")</f>
        <v>1.1615500000000001</v>
      </c>
      <c r="K36" s="1010">
        <f>J36/$J$44</f>
        <v>7.4966436999999999</v>
      </c>
      <c r="L36" s="1011">
        <f>_xldudf_CS_EXRATE($C36,L$8,"1")</f>
        <v>1.065E-6</v>
      </c>
      <c r="M36" s="1012">
        <f>_xldudf_CS_EXRATE($C36,M$8,"1")</f>
        <v>3.4769882645244727E-5</v>
      </c>
    </row>
    <row r="37" spans="1:14">
      <c r="A37" s="32"/>
      <c r="B37" s="988">
        <v>29</v>
      </c>
      <c r="C37" s="1007" t="s">
        <v>649</v>
      </c>
      <c r="D37" s="1008">
        <f>LOOKUP(1,0/(币种排名!$F$9:$F$108=C37),币种排名!$H$9:$H$108)</f>
        <v>2671634408.8125334</v>
      </c>
      <c r="E37" s="1008">
        <f>IF(OR(AND(币圈空间站!$E$3&lt;2,$B37&gt;=5),AND(币圈空间站!$E$3&lt;3,$B37&gt;=15),AND(币圈空间站!$E$3&lt;4,$B37&gt;=25)),0,POWER($D37,$D$7))</f>
        <v>0</v>
      </c>
      <c r="F37" s="1009">
        <f>E37/SUM(E$9:E$44)</f>
        <v>0</v>
      </c>
      <c r="G37" s="1041">
        <f>IF(OR(AND(币圈空间站!$E$3&lt;2,$B37&gt;=5),AND(币圈空间站!$E$3&lt;3,$B37&gt;=11),AND(币圈空间站!$E$3&lt;4,$B37&gt;=17)),0,POWER($D37,$D$7))</f>
        <v>0</v>
      </c>
      <c r="H37" s="1042">
        <f>G37/SUM(G$9:G$44)</f>
        <v>0</v>
      </c>
      <c r="I37" s="1008">
        <f>LOOKUP(1,0/(币种排名!$F$9:$F$108=C37),币种排名!$G$9:$G$108)</f>
        <v>315.41953714714532</v>
      </c>
      <c r="J37" s="1008">
        <f>_xldudf_CS_EXRATE($C37,J$8,"1")</f>
        <v>314.14999999999998</v>
      </c>
      <c r="K37" s="1010">
        <f>J37/$J$44</f>
        <v>2027.5240999999996</v>
      </c>
      <c r="L37" s="1011">
        <f>_xldudf_CS_EXRATE($C37,L$8,"1")</f>
        <v>2.6037899003325082E-3</v>
      </c>
      <c r="M37" s="1012">
        <f>_xldudf_CS_EXRATE($C37,M$8,"1")</f>
        <v>8.5040000000000004E-2</v>
      </c>
    </row>
    <row r="38" spans="1:14">
      <c r="A38" s="32"/>
      <c r="B38" s="988">
        <v>30</v>
      </c>
      <c r="C38" s="1007" t="s">
        <v>652</v>
      </c>
      <c r="D38" s="1008">
        <f>LOOKUP(1,0/(币种排名!$F$9:$F$108=C38),币种排名!$H$9:$H$108)</f>
        <v>2638279455.5678267</v>
      </c>
      <c r="E38" s="1008">
        <f>IF(OR(AND(币圈空间站!$E$3&lt;2,$B38&gt;=5),AND(币圈空间站!$E$3&lt;3,$B38&gt;=15),AND(币圈空间站!$E$3&lt;4,$B38&gt;=25)),0,POWER($D38,$D$7))</f>
        <v>0</v>
      </c>
      <c r="F38" s="1009">
        <f>E38/SUM(E$9:E$44)</f>
        <v>0</v>
      </c>
      <c r="G38" s="1041">
        <f>IF(OR(AND(币圈空间站!$E$3&lt;2,$B38&gt;=5),AND(币圈空间站!$E$3&lt;3,$B38&gt;=11),AND(币圈空间站!$E$3&lt;4,$B38&gt;=17)),0,POWER($D38,$D$7))</f>
        <v>0</v>
      </c>
      <c r="H38" s="1042">
        <f>G38/SUM(G$9:G$44)</f>
        <v>0</v>
      </c>
      <c r="I38" s="1008">
        <f>LOOKUP(1,0/(币种排名!$F$9:$F$108=C38),币种排名!$G$9:$G$108)</f>
        <v>1.05203505384036</v>
      </c>
      <c r="J38" s="1008">
        <f>_xldudf_CS_EXRATE($C38,J$8,"1")</f>
        <v>1.038</v>
      </c>
      <c r="K38" s="1010">
        <f>J38/$J$44</f>
        <v>6.6992519999999995</v>
      </c>
      <c r="L38" s="1011">
        <f>_xldudf_CS_EXRATE($C38,L$8,"1")</f>
        <v>2.3765E-5</v>
      </c>
      <c r="M38" s="1012">
        <f>_xldudf_CS_EXRATE($C38,M$8,"1")</f>
        <v>0</v>
      </c>
    </row>
    <row r="39" spans="1:14">
      <c r="A39" s="32"/>
      <c r="B39" s="988">
        <v>31</v>
      </c>
      <c r="C39" s="1007" t="s">
        <v>650</v>
      </c>
      <c r="D39" s="1008">
        <f>LOOKUP(1,0/(币种排名!$F$9:$F$108=C39),币种排名!$H$9:$H$108)</f>
        <v>2348943584.7244406</v>
      </c>
      <c r="E39" s="1008">
        <f>IF(OR(AND(币圈空间站!$E$3&lt;2,$B39&gt;=5),AND(币圈空间站!$E$3&lt;3,$B39&gt;=15),AND(币圈空间站!$E$3&lt;4,$B39&gt;=25)),0,POWER($D39,$D$7))</f>
        <v>0</v>
      </c>
      <c r="F39" s="1009">
        <f>E39/SUM(E$9:E$44)</f>
        <v>0</v>
      </c>
      <c r="G39" s="1041">
        <f>IF(OR(AND(币圈空间站!$E$3&lt;2,$B39&gt;=5),AND(币圈空间站!$E$3&lt;3,$B39&gt;=11),AND(币圈空间站!$E$3&lt;4,$B39&gt;=17)),0,POWER($D39,$D$7))</f>
        <v>0</v>
      </c>
      <c r="H39" s="1042">
        <f>G39/SUM(G$9:G$44)</f>
        <v>0</v>
      </c>
      <c r="I39" s="1008">
        <f>LOOKUP(1,0/(币种排名!$F$9:$F$108=C39),币种排名!$G$9:$G$108)</f>
        <v>2369.4909048122395</v>
      </c>
      <c r="J39" s="1008">
        <f>_xldudf_CS_EXRATE($C39,J$8,"1")</f>
        <v>2360</v>
      </c>
      <c r="K39" s="1010">
        <f>J39/$J$44</f>
        <v>15231.439999999999</v>
      </c>
      <c r="L39" s="1011">
        <f>_xldudf_CS_EXRATE($C39,L$8,"1")</f>
        <v>2.7068528890896889E-2</v>
      </c>
      <c r="M39" s="1012">
        <f>_xldudf_CS_EXRATE($C39,M$8,"1")</f>
        <v>0.88571111511566902</v>
      </c>
    </row>
    <row r="40" spans="1:14">
      <c r="A40" s="32"/>
      <c r="B40" s="988">
        <v>32</v>
      </c>
      <c r="C40" s="1007" t="s">
        <v>656</v>
      </c>
      <c r="D40" s="1008">
        <f>LOOKUP(1,0/(币种排名!$F$9:$F$108=C40),币种排名!$H$9:$H$108)</f>
        <v>2085909993.8773065</v>
      </c>
      <c r="E40" s="1008">
        <f>IF(OR(AND(币圈空间站!$E$3&lt;2,$B40&gt;=5),AND(币圈空间站!$E$3&lt;3,$B40&gt;=15),AND(币圈空间站!$E$3&lt;4,$B40&gt;=25)),0,POWER($D40,$D$7))</f>
        <v>0</v>
      </c>
      <c r="F40" s="1009">
        <f>E40/SUM(E$9:E$44)</f>
        <v>0</v>
      </c>
      <c r="G40" s="1041">
        <f>IF(OR(AND(币圈空间站!$E$3&lt;2,$B40&gt;=5),AND(币圈空间站!$E$3&lt;3,$B40&gt;=11),AND(币圈空间站!$E$3&lt;4,$B40&gt;=17)),0,POWER($D40,$D$7))</f>
        <v>0</v>
      </c>
      <c r="H40" s="1042">
        <f>G40/SUM(G$9:G$44)</f>
        <v>0</v>
      </c>
      <c r="I40" s="1008">
        <f>LOOKUP(1,0/(币种排名!$F$9:$F$108=C40),币种排名!$G$9:$G$108)</f>
        <v>3.1606965634499999E-3</v>
      </c>
      <c r="J40" s="1008">
        <f>_xldudf_CS_EXRATE($C40,J$8,"1")</f>
        <v>3.1389999999999999E-3</v>
      </c>
      <c r="K40" s="1010">
        <f>J40/$J$44</f>
        <v>2.0259105999999999E-2</v>
      </c>
      <c r="L40" s="1011">
        <f>_xldudf_CS_EXRATE($C40,L$8,"1")</f>
        <v>1.7437901433713604E-8</v>
      </c>
      <c r="M40" s="1012">
        <f>_xldudf_CS_EXRATE($C40,M$8,"1")</f>
        <v>1.1147989240995535E-6</v>
      </c>
    </row>
    <row r="41" spans="1:14">
      <c r="A41" s="32"/>
      <c r="B41" s="988">
        <v>33</v>
      </c>
      <c r="C41" s="1007" t="s">
        <v>651</v>
      </c>
      <c r="D41" s="1008">
        <f>LOOKUP(1,0/(币种排名!$F$9:$F$108=C41),币种排名!$H$9:$H$108)</f>
        <v>1758947941.6310732</v>
      </c>
      <c r="E41" s="1008">
        <f>IF(OR(AND(币圈空间站!$E$3&lt;2,$B41&gt;=5),AND(币圈空间站!$E$3&lt;3,$B41&gt;=15),AND(币圈空间站!$E$3&lt;4,$B41&gt;=25)),0,POWER($D41,$D$7))</f>
        <v>0</v>
      </c>
      <c r="F41" s="1009">
        <f>E41/SUM(E$9:E$44)</f>
        <v>0</v>
      </c>
      <c r="G41" s="1041">
        <f>IF(OR(AND(币圈空间站!$E$3&lt;2,$B41&gt;=5),AND(币圈空间站!$E$3&lt;3,$B41&gt;=11),AND(币圈空间站!$E$3&lt;4,$B41&gt;=17)),0,POWER($D41,$D$7))</f>
        <v>0</v>
      </c>
      <c r="H41" s="1042">
        <f>G41/SUM(G$9:G$44)</f>
        <v>0</v>
      </c>
      <c r="I41" s="1008">
        <f>LOOKUP(1,0/(币种排名!$F$9:$F$108=C41),币种排名!$G$9:$G$108)</f>
        <v>319.4539771835224</v>
      </c>
      <c r="J41" s="1008">
        <f>_xldudf_CS_EXRATE($C41,J$8,"1")</f>
        <v>317.35000000000002</v>
      </c>
      <c r="K41" s="1010">
        <f>J41/$J$44</f>
        <v>2048.1768999999999</v>
      </c>
      <c r="L41" s="1011">
        <f>_xldudf_CS_EXRATE($C41,L$8,"1")</f>
        <v>8.5246848942812266E-3</v>
      </c>
      <c r="M41" s="1012">
        <f>_xldudf_CS_EXRATE($C41,M$8,"1")</f>
        <v>0.11269999999999999</v>
      </c>
    </row>
    <row r="42" spans="1:14">
      <c r="A42" s="32"/>
      <c r="B42" s="988">
        <v>34</v>
      </c>
      <c r="C42" s="1007" t="s">
        <v>664</v>
      </c>
      <c r="D42" s="1008">
        <f>LOOKUP(1,0/(币种排名!$F$9:$F$108=C42),币种排名!$H$9:$H$108)</f>
        <v>1586062493.3923924</v>
      </c>
      <c r="E42" s="1008">
        <f>IF(OR(AND(币圈空间站!$E$3&lt;2,$B42&gt;=5),AND(币圈空间站!$E$3&lt;3,$B42&gt;=15),AND(币圈空间站!$E$3&lt;4,$B42&gt;=25)),0,POWER($D42,$D$7))</f>
        <v>0</v>
      </c>
      <c r="F42" s="1009">
        <f>E42/SUM(E$9:E$44)</f>
        <v>0</v>
      </c>
      <c r="G42" s="1041">
        <f>IF(OR(AND(币圈空间站!$E$3&lt;2,$B42&gt;=5),AND(币圈空间站!$E$3&lt;3,$B42&gt;=11),AND(币圈空间站!$E$3&lt;4,$B42&gt;=17)),0,POWER($D42,$D$7))</f>
        <v>0</v>
      </c>
      <c r="H42" s="1042">
        <f>G42/SUM(G$9:G$44)</f>
        <v>0</v>
      </c>
      <c r="I42" s="1008">
        <f>LOOKUP(1,0/(币种排名!$F$9:$F$108=C42),币种排名!$G$9:$G$108)</f>
        <v>7.0676929407512903</v>
      </c>
      <c r="J42" s="1008">
        <f>_xldudf_CS_EXRATE($C42,J$8,"1")</f>
        <v>7.0274999999999999</v>
      </c>
      <c r="K42" s="1010">
        <f>J42/$J$44</f>
        <v>45.355484999999994</v>
      </c>
      <c r="L42" s="1011">
        <f>_xldudf_CS_EXRATE($C42,L$8,"1")</f>
        <v>4.702E-5</v>
      </c>
      <c r="M42" s="1012">
        <f>_xldudf_CS_EXRATE($C42,M$8,"1")</f>
        <v>2.0569999999999998E-3</v>
      </c>
    </row>
    <row r="43" spans="1:14">
      <c r="B43" s="1460">
        <v>35</v>
      </c>
      <c r="C43" s="1461" t="s">
        <v>553</v>
      </c>
      <c r="D43" s="1462">
        <v>0</v>
      </c>
      <c r="E43" s="1462"/>
      <c r="F43" s="1463">
        <f>E43/SUM(E$9:E$44)</f>
        <v>0</v>
      </c>
      <c r="G43" s="1462">
        <f>IF(OR(AND(币圈空间站!$E$3&lt;2,$B43&gt;=5),AND(币圈空间站!$E$3&lt;3,$B43&gt;=11),AND(币圈空间站!$E$3&lt;4,$B43&gt;=17)),0,POWER($D43,$D$7))</f>
        <v>0</v>
      </c>
      <c r="H43" s="1463">
        <f>G43/SUM(G$9:G$44)</f>
        <v>0</v>
      </c>
      <c r="I43" s="1462">
        <v>1</v>
      </c>
      <c r="J43" s="1462">
        <f>_xldudf_CS_EXRATE($C43,J$8,"1")</f>
        <v>0.99945030233371646</v>
      </c>
      <c r="K43" s="1464">
        <f>J43/$J$44</f>
        <v>6.4504522512618054</v>
      </c>
      <c r="L43" s="1465">
        <f>_xldudf_CS_EXRATE($C43,L$8,"1")</f>
        <v>5.3092872833166792E-5</v>
      </c>
      <c r="M43" s="1466">
        <f>_xldudf_CS_EXRATE($C43,M$8,"1")</f>
        <v>1.7354881295242662E-3</v>
      </c>
      <c r="N43" s="32"/>
    </row>
    <row r="44" spans="1:14">
      <c r="B44" s="1460">
        <v>36</v>
      </c>
      <c r="C44" s="1461" t="s">
        <v>554</v>
      </c>
      <c r="D44" s="1462">
        <v>0</v>
      </c>
      <c r="E44" s="1462"/>
      <c r="F44" s="1463">
        <f>E44/SUM(E$9:E$44)</f>
        <v>0</v>
      </c>
      <c r="G44" s="1462">
        <f>IF(OR(AND(币圈空间站!$E$3&lt;2,$B44&gt;=5),AND(币圈空间站!$E$3&lt;3,$B44&gt;=11),AND(币圈空间站!$E$3&lt;4,$B44&gt;=17)),0,POWER($D44,$D$7))</f>
        <v>0</v>
      </c>
      <c r="H44" s="1463">
        <f>G44/SUM(G$9:G$44)</f>
        <v>0</v>
      </c>
      <c r="I44" s="1462">
        <f>表2[[#This Row],[USDT]]</f>
        <v>0.1549426712116517</v>
      </c>
      <c r="J44" s="1462">
        <f>_xldudf_CS_EXRATE($C44,J$8,"1")</f>
        <v>0.1549426712116517</v>
      </c>
      <c r="K44" s="1464">
        <v>1</v>
      </c>
      <c r="L44" s="1465">
        <f>_xldudf_CS_EXRATE($C44,L$8,"1")</f>
        <v>8.1393455966140328E-6</v>
      </c>
      <c r="M44" s="1466">
        <f>_xldudf_CS_EXRATE($C44,M$8,"1")</f>
        <v>7.9889273466974767E-5</v>
      </c>
      <c r="N44" s="32"/>
    </row>
  </sheetData>
  <mergeCells count="1">
    <mergeCell ref="E7:M7"/>
  </mergeCells>
  <phoneticPr fontId="2" type="noConversion"/>
  <hyperlinks>
    <hyperlink ref="B7" location="目录!A1" display="目录" xr:uid="{3E7DE963-87FE-4E4D-8FAC-A8EF81E1B5D0}"/>
    <hyperlink ref="C7" location="币圈空间站!A1" display="币圈空间站" xr:uid="{99300685-C2FD-0E4C-8839-819434DC6522}"/>
  </hyperlink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BA6A-98B4-0546-8B61-081910E26CC3}">
  <dimension ref="A6:V108"/>
  <sheetViews>
    <sheetView showGridLines="0" topLeftCell="D1" zoomScale="150" zoomScaleNormal="150" workbookViewId="0">
      <selection activeCell="D1" sqref="A1:XFD1048576"/>
    </sheetView>
  </sheetViews>
  <sheetFormatPr baseColWidth="10" defaultColWidth="7.5" defaultRowHeight="16" outlineLevelCol="1"/>
  <cols>
    <col min="1" max="1" width="11" style="882" hidden="1" customWidth="1" outlineLevel="1"/>
    <col min="2" max="2" width="10.6640625" style="882" hidden="1" customWidth="1" outlineLevel="1"/>
    <col min="3" max="3" width="26.1640625" style="882" hidden="1" customWidth="1" outlineLevel="1"/>
    <col min="4" max="4" width="2.33203125" style="882" customWidth="1" collapsed="1"/>
    <col min="5" max="5" width="18.1640625" style="882" bestFit="1" customWidth="1"/>
    <col min="6" max="6" width="5.6640625" style="882" bestFit="1" customWidth="1"/>
    <col min="7" max="7" width="10.1640625" style="882" customWidth="1"/>
    <col min="8" max="8" width="12.6640625" style="890" customWidth="1"/>
    <col min="9" max="9" width="13.83203125" style="882" customWidth="1"/>
    <col min="10" max="10" width="9" style="882" customWidth="1"/>
    <col min="11" max="13" width="11.33203125" style="891" customWidth="1"/>
    <col min="14" max="15" width="13.83203125" style="882" hidden="1" customWidth="1" outlineLevel="1"/>
    <col min="16" max="16" width="11.6640625" style="882" hidden="1" customWidth="1" outlineLevel="1"/>
    <col min="17" max="17" width="13.6640625" style="892" bestFit="1" customWidth="1" collapsed="1"/>
    <col min="18" max="18" width="13" style="892" bestFit="1" customWidth="1"/>
    <col min="19" max="19" width="15.1640625" style="892" bestFit="1" customWidth="1"/>
    <col min="20" max="20" width="20" style="882" bestFit="1" customWidth="1"/>
    <col min="21" max="21" width="19" style="882" bestFit="1" customWidth="1"/>
    <col min="22" max="22" width="15.1640625" style="882" bestFit="1" customWidth="1"/>
    <col min="23" max="23" width="20.1640625" style="882" bestFit="1" customWidth="1"/>
    <col min="24" max="24" width="25.33203125" style="882" bestFit="1" customWidth="1"/>
    <col min="25" max="25" width="26.1640625" style="882" bestFit="1" customWidth="1"/>
    <col min="26" max="26" width="25.33203125" style="882" bestFit="1" customWidth="1"/>
    <col min="27" max="27" width="19.83203125" style="882" bestFit="1" customWidth="1"/>
    <col min="28" max="28" width="20.6640625" style="882" bestFit="1" customWidth="1"/>
    <col min="29" max="16384" width="7.5" style="882"/>
  </cols>
  <sheetData>
    <row r="6" spans="1:22">
      <c r="A6" s="893" t="s">
        <v>565</v>
      </c>
      <c r="B6" s="894" t="s">
        <v>565</v>
      </c>
    </row>
    <row r="7" spans="1:22" ht="26.25" customHeight="1">
      <c r="E7" s="895" t="str">
        <f>PROPER(SUBSTITUTE(E8,"__"," "))</f>
        <v>Name</v>
      </c>
      <c r="F7" s="896" t="str">
        <f t="shared" ref="F7:G7" si="0">PROPER(SUBSTITUTE(F8,"__"," "))</f>
        <v>Symbol</v>
      </c>
      <c r="G7" s="896" t="str">
        <f t="shared" si="0"/>
        <v>Quote Usd Price</v>
      </c>
      <c r="H7" s="897" t="str">
        <f>PROPER(SUBSTITUTE(SUBSTITUTE(H8,"__"," "),"_"," "))</f>
        <v>Quote Usd Market Cap</v>
      </c>
      <c r="I7" s="896" t="str">
        <f t="shared" ref="I7:U7" si="1">PROPER(SUBSTITUTE(SUBSTITUTE(I8,"__"," "),"_"," "))</f>
        <v>Quote Usd Volume 24H</v>
      </c>
      <c r="J7" s="898" t="s">
        <v>566</v>
      </c>
      <c r="K7" s="899" t="str">
        <f>PROPER(SUBSTITUTE(SUBSTITUTE(N8,"__"," "),"_"," "))</f>
        <v>Quote Usd Percent Change 1H</v>
      </c>
      <c r="L7" s="899" t="str">
        <f>PROPER(SUBSTITUTE(SUBSTITUTE(O8,"__"," "),"_"," "))</f>
        <v>Quote Usd Percent Change 24H</v>
      </c>
      <c r="M7" s="899" t="str">
        <f>PROPER(SUBSTITUTE(SUBSTITUTE(P8,"__"," "),"_"," "))</f>
        <v>Quote Usd Percent Change 7D</v>
      </c>
      <c r="Q7" s="900" t="str">
        <f t="shared" si="1"/>
        <v>Circulating Supply</v>
      </c>
      <c r="R7" s="900" t="str">
        <f t="shared" si="1"/>
        <v>Total Supply</v>
      </c>
      <c r="S7" s="900" t="str">
        <f t="shared" si="1"/>
        <v>Max Supply</v>
      </c>
      <c r="T7" s="896" t="str">
        <f t="shared" si="1"/>
        <v>Quote Usd Last Updated</v>
      </c>
      <c r="U7" s="896" t="str">
        <f t="shared" si="1"/>
        <v>Last Updated</v>
      </c>
    </row>
    <row r="8" spans="1:22" ht="13.5" hidden="1" customHeight="1">
      <c r="A8" s="901" t="s">
        <v>549</v>
      </c>
      <c r="B8" s="902" t="s">
        <v>567</v>
      </c>
      <c r="E8" s="903" t="str">
        <f t="array" ref="E8:I108">IF(B8="","no provider",[1]!_xldudf_CS_QUERY(B8,B9,A20:B55,A13:B16))</f>
        <v>name</v>
      </c>
      <c r="F8" s="901" t="str">
        <v>symbol</v>
      </c>
      <c r="G8" s="901" t="str">
        <v>quote__USD__price</v>
      </c>
      <c r="H8" s="904" t="str">
        <v>quote__USD__market_cap</v>
      </c>
      <c r="I8" s="905" t="str">
        <v>quote__USD__volume_24h</v>
      </c>
      <c r="J8" s="905"/>
      <c r="N8" s="907" t="str">
        <f t="array" ref="N8:P108">IF(B8="","no provider",[1]!_xldudf_CS_QUERY(B8,B9,A20:B55,A14:B17))</f>
        <v>quote__USD__percent_change_1h</v>
      </c>
      <c r="O8" s="907" t="str">
        <v>quote__USD__percent_change_24h</v>
      </c>
      <c r="P8" s="907" t="str">
        <v>quote__USD__percent_change_7d</v>
      </c>
      <c r="Q8" s="908" t="str">
        <f t="array" ref="Q8:U108">IF(B8="","no provider",[1]!_xldudf_CS_QUERY(B8,B9,A20:B55,A62:B65))</f>
        <v>circulating_supply</v>
      </c>
      <c r="R8" s="908" t="str">
        <v>total_supply</v>
      </c>
      <c r="S8" s="909" t="str">
        <v>max_supply</v>
      </c>
      <c r="T8" s="901" t="str">
        <v>quote__USD__last_updated</v>
      </c>
      <c r="U8" s="901" t="str">
        <v>last_updated</v>
      </c>
      <c r="V8" s="901"/>
    </row>
    <row r="9" spans="1:22">
      <c r="A9" s="901" t="s">
        <v>550</v>
      </c>
      <c r="B9" s="902" t="s">
        <v>568</v>
      </c>
      <c r="E9" s="901" t="str">
        <v>Bitcoin</v>
      </c>
      <c r="F9" s="882" t="str">
        <v>BTC</v>
      </c>
      <c r="G9" s="906">
        <v>42030.599677608392</v>
      </c>
      <c r="H9" s="890">
        <v>791290135595.48633</v>
      </c>
      <c r="I9" s="890">
        <v>29547604243.848522</v>
      </c>
      <c r="K9" s="891">
        <f>N9*0.01</f>
        <v>7.3001860000000002E-4</v>
      </c>
      <c r="L9" s="891">
        <f t="shared" ref="L9:M24" si="2">O9*0.01</f>
        <v>-1.5687462999999999E-2</v>
      </c>
      <c r="M9" s="891">
        <f t="shared" si="2"/>
        <v>-0.1266549018</v>
      </c>
      <c r="N9" s="901">
        <v>7.3001860000000002E-2</v>
      </c>
      <c r="O9" s="901">
        <v>-1.5687462999999999</v>
      </c>
      <c r="P9" s="901">
        <v>-12.665490180000001</v>
      </c>
      <c r="Q9" s="892">
        <v>18826525</v>
      </c>
      <c r="R9" s="892">
        <v>18826525</v>
      </c>
      <c r="S9" s="892">
        <v>21000000</v>
      </c>
      <c r="T9" s="882" t="str">
        <v>2021-09-26T07:14:02.000Z</v>
      </c>
      <c r="U9" s="882" t="str">
        <v>2021-09-26T07:14:02.000Z</v>
      </c>
    </row>
    <row r="10" spans="1:22">
      <c r="E10" s="901" t="str">
        <v>Ethereum</v>
      </c>
      <c r="F10" s="882" t="str">
        <v>ETH</v>
      </c>
      <c r="G10" s="906">
        <v>2828.1656805666298</v>
      </c>
      <c r="H10" s="890">
        <v>332814621160.58704</v>
      </c>
      <c r="I10" s="890">
        <v>19228179890.760174</v>
      </c>
      <c r="K10" s="891">
        <f t="shared" ref="K10:M73" si="3">N10*0.01</f>
        <v>8.7420310000000008E-4</v>
      </c>
      <c r="L10" s="891">
        <f t="shared" si="2"/>
        <v>-3.3181001000000002E-2</v>
      </c>
      <c r="M10" s="891">
        <f t="shared" si="2"/>
        <v>-0.17821671689999999</v>
      </c>
      <c r="N10" s="882">
        <v>8.7420310000000001E-2</v>
      </c>
      <c r="O10" s="882">
        <v>-3.3181001000000001</v>
      </c>
      <c r="P10" s="882">
        <v>-17.821671689999999</v>
      </c>
      <c r="Q10" s="892">
        <v>117678615.3115</v>
      </c>
      <c r="R10" s="892">
        <v>117678615.3115</v>
      </c>
      <c r="S10" s="892">
        <v>0</v>
      </c>
      <c r="T10" s="882" t="str">
        <v>2021-09-26T07:14:02.000Z</v>
      </c>
      <c r="U10" s="882" t="str">
        <v>2021-09-26T07:14:02.000Z</v>
      </c>
    </row>
    <row r="11" spans="1:22">
      <c r="E11" s="901" t="str">
        <v>Cardano</v>
      </c>
      <c r="F11" s="882" t="str">
        <v>ADA</v>
      </c>
      <c r="G11" s="906">
        <v>2.2219552464798502</v>
      </c>
      <c r="H11" s="890">
        <v>71159866173.108978</v>
      </c>
      <c r="I11" s="890">
        <v>5772327747.1905584</v>
      </c>
      <c r="K11" s="891">
        <f t="shared" si="3"/>
        <v>-2.4113273000000001E-3</v>
      </c>
      <c r="L11" s="891">
        <f t="shared" si="2"/>
        <v>-5.6011249200000002E-2</v>
      </c>
      <c r="M11" s="891">
        <f t="shared" si="2"/>
        <v>-6.6773072200000005E-2</v>
      </c>
      <c r="N11" s="882">
        <v>-0.24113272999999999</v>
      </c>
      <c r="O11" s="882">
        <v>-5.6011249200000002</v>
      </c>
      <c r="P11" s="882">
        <v>-6.6773072200000003</v>
      </c>
      <c r="Q11" s="892">
        <v>32025787326.654999</v>
      </c>
      <c r="R11" s="892">
        <v>33117618880.452999</v>
      </c>
      <c r="S11" s="892">
        <v>45000000000</v>
      </c>
      <c r="T11" s="882" t="str">
        <v>2021-09-26T07:13:11.000Z</v>
      </c>
      <c r="U11" s="882" t="str">
        <v>2021-09-26T07:13:11.000Z</v>
      </c>
    </row>
    <row r="12" spans="1:22">
      <c r="A12" s="901" t="s">
        <v>569</v>
      </c>
      <c r="E12" s="901" t="str">
        <v>Tether</v>
      </c>
      <c r="F12" s="882" t="str">
        <v>USDT</v>
      </c>
      <c r="G12" s="906">
        <v>1.0009223715183</v>
      </c>
      <c r="H12" s="890">
        <v>68606217931.718361</v>
      </c>
      <c r="I12" s="890">
        <v>66877403665.01664</v>
      </c>
      <c r="K12" s="891">
        <f t="shared" si="3"/>
        <v>3.9877299999999999E-5</v>
      </c>
      <c r="L12" s="891">
        <f t="shared" si="2"/>
        <v>6.0525600000000002E-5</v>
      </c>
      <c r="M12" s="891">
        <f t="shared" si="2"/>
        <v>1.4778011E-3</v>
      </c>
      <c r="N12" s="882">
        <v>3.9877300000000001E-3</v>
      </c>
      <c r="O12" s="882">
        <v>6.0525600000000002E-3</v>
      </c>
      <c r="P12" s="882">
        <v>0.14778010999999999</v>
      </c>
      <c r="Q12" s="892">
        <v>68542995824.590805</v>
      </c>
      <c r="R12" s="892">
        <v>71385677474.969315</v>
      </c>
      <c r="S12" s="892">
        <v>0</v>
      </c>
      <c r="T12" s="882" t="str">
        <v>2021-09-26T07:13:09.000Z</v>
      </c>
      <c r="U12" s="882" t="str">
        <v>2021-09-26T07:13:09.000Z</v>
      </c>
    </row>
    <row r="13" spans="1:22">
      <c r="A13" s="902" t="s">
        <v>570</v>
      </c>
      <c r="B13" s="902" t="s">
        <v>571</v>
      </c>
      <c r="E13" s="901" t="str">
        <v>Binance Coin</v>
      </c>
      <c r="F13" s="882" t="str">
        <v>BNB</v>
      </c>
      <c r="G13" s="906">
        <v>337.95217384492969</v>
      </c>
      <c r="H13" s="890">
        <v>56822276820.043205</v>
      </c>
      <c r="I13" s="890">
        <v>1415388445.5145392</v>
      </c>
      <c r="K13" s="891">
        <f t="shared" si="3"/>
        <v>-3.8745813000000003E-3</v>
      </c>
      <c r="L13" s="891">
        <f t="shared" si="2"/>
        <v>-5.0867762499999997E-2</v>
      </c>
      <c r="M13" s="891">
        <f t="shared" si="2"/>
        <v>-0.17730530280000001</v>
      </c>
      <c r="N13" s="882">
        <v>-0.38745813000000001</v>
      </c>
      <c r="O13" s="882">
        <v>-5.0867762499999998</v>
      </c>
      <c r="P13" s="882">
        <v>-17.73053028</v>
      </c>
      <c r="Q13" s="892">
        <v>168137036</v>
      </c>
      <c r="R13" s="892">
        <v>168137036</v>
      </c>
      <c r="S13" s="892">
        <v>168137036</v>
      </c>
      <c r="T13" s="882" t="str">
        <v>2021-09-26T07:13:09.000Z</v>
      </c>
      <c r="U13" s="882" t="str">
        <v>2021-09-26T07:13:09.000Z</v>
      </c>
    </row>
    <row r="14" spans="1:22">
      <c r="A14" s="902" t="s">
        <v>572</v>
      </c>
      <c r="B14" s="902"/>
      <c r="E14" s="901" t="str">
        <v>XRP</v>
      </c>
      <c r="F14" s="882" t="str">
        <v>XRP</v>
      </c>
      <c r="G14" s="906">
        <v>0.92422373704878003</v>
      </c>
      <c r="H14" s="890">
        <v>43177552354.631325</v>
      </c>
      <c r="I14" s="890">
        <v>3100796162.8219366</v>
      </c>
      <c r="K14" s="891">
        <f t="shared" si="3"/>
        <v>4.4316820999999998E-3</v>
      </c>
      <c r="L14" s="891">
        <f t="shared" si="2"/>
        <v>-2.53817343E-2</v>
      </c>
      <c r="M14" s="891">
        <f t="shared" si="2"/>
        <v>-0.1441486049</v>
      </c>
      <c r="N14" s="882">
        <v>0.44316821000000001</v>
      </c>
      <c r="O14" s="882">
        <v>-2.5381734300000001</v>
      </c>
      <c r="P14" s="882">
        <v>-14.414860490000001</v>
      </c>
      <c r="Q14" s="892">
        <v>46717640571</v>
      </c>
      <c r="R14" s="892">
        <v>99990247141</v>
      </c>
      <c r="S14" s="892">
        <v>100000000000</v>
      </c>
      <c r="T14" s="882" t="str">
        <v>2021-09-26T07:14:03.000Z</v>
      </c>
      <c r="U14" s="882" t="str">
        <v>2021-09-26T07:14:03.000Z</v>
      </c>
    </row>
    <row r="15" spans="1:22">
      <c r="A15" s="902" t="s">
        <v>573</v>
      </c>
      <c r="B15" s="902"/>
      <c r="E15" s="901" t="str">
        <v>Solana</v>
      </c>
      <c r="F15" s="882" t="str">
        <v>SOL</v>
      </c>
      <c r="G15" s="906">
        <v>129.94591950526444</v>
      </c>
      <c r="H15" s="890">
        <v>38630433775.462166</v>
      </c>
      <c r="I15" s="890">
        <v>2015731460.4444356</v>
      </c>
      <c r="K15" s="891">
        <f t="shared" si="3"/>
        <v>-1.9068102000000002E-3</v>
      </c>
      <c r="L15" s="891">
        <f t="shared" si="2"/>
        <v>-8.5691267300000012E-2</v>
      </c>
      <c r="M15" s="891">
        <f t="shared" si="2"/>
        <v>-0.19524830430000001</v>
      </c>
      <c r="N15" s="882">
        <v>-0.19068102000000001</v>
      </c>
      <c r="O15" s="882">
        <v>-8.5691267300000007</v>
      </c>
      <c r="P15" s="882">
        <v>-19.524830430000002</v>
      </c>
      <c r="Q15" s="892">
        <v>297280852.85430717</v>
      </c>
      <c r="R15" s="892">
        <v>504916066.99950153</v>
      </c>
      <c r="S15" s="892">
        <v>0</v>
      </c>
      <c r="T15" s="882" t="str">
        <v>2021-09-26T07:14:04.000Z</v>
      </c>
      <c r="U15" s="882" t="str">
        <v>2021-09-26T07:14:04.000Z</v>
      </c>
    </row>
    <row r="16" spans="1:22">
      <c r="A16" s="910" t="s">
        <v>574</v>
      </c>
      <c r="B16" s="902"/>
      <c r="E16" s="901" t="str">
        <v>USD Coin</v>
      </c>
      <c r="F16" s="882" t="str">
        <v>USDC</v>
      </c>
      <c r="G16" s="906">
        <v>1.0008365255424201</v>
      </c>
      <c r="H16" s="890">
        <v>30896680626.221355</v>
      </c>
      <c r="I16" s="890">
        <v>3238187956.9378748</v>
      </c>
      <c r="K16" s="891">
        <f t="shared" si="3"/>
        <v>2.5735610000000001E-4</v>
      </c>
      <c r="L16" s="891">
        <f t="shared" si="2"/>
        <v>4.9540149999999998E-4</v>
      </c>
      <c r="M16" s="891">
        <f t="shared" si="2"/>
        <v>1.4199613000000001E-3</v>
      </c>
      <c r="N16" s="882">
        <v>2.5735609999999999E-2</v>
      </c>
      <c r="O16" s="882">
        <v>4.9540149999999998E-2</v>
      </c>
      <c r="P16" s="882">
        <v>0.14199613</v>
      </c>
      <c r="Q16" s="892">
        <v>30870856366.354519</v>
      </c>
      <c r="R16" s="892">
        <v>30870856366.354519</v>
      </c>
      <c r="S16" s="892">
        <v>0</v>
      </c>
      <c r="T16" s="882" t="str">
        <v>2021-09-26T07:14:05.000Z</v>
      </c>
      <c r="U16" s="882" t="str">
        <v>2021-09-26T07:14:05.000Z</v>
      </c>
    </row>
    <row r="17" spans="1:21">
      <c r="A17" s="902" t="s">
        <v>570</v>
      </c>
      <c r="B17" s="902" t="s">
        <v>575</v>
      </c>
      <c r="E17" s="901" t="str">
        <v>Polkadot</v>
      </c>
      <c r="F17" s="882" t="str">
        <v>DOT</v>
      </c>
      <c r="G17" s="906">
        <v>28.673601900343279</v>
      </c>
      <c r="H17" s="890">
        <v>28317456122.093185</v>
      </c>
      <c r="I17" s="890">
        <v>1956147649.6058013</v>
      </c>
      <c r="K17" s="891">
        <f t="shared" si="3"/>
        <v>6.4282960000000002E-4</v>
      </c>
      <c r="L17" s="891">
        <f t="shared" si="2"/>
        <v>-7.3655255599999997E-2</v>
      </c>
      <c r="M17" s="891">
        <f t="shared" si="2"/>
        <v>-0.16127176739999999</v>
      </c>
      <c r="N17" s="882">
        <v>6.428296E-2</v>
      </c>
      <c r="O17" s="882">
        <v>-7.36552556</v>
      </c>
      <c r="P17" s="882">
        <v>-16.127176739999999</v>
      </c>
      <c r="Q17" s="892">
        <v>987579314.95708501</v>
      </c>
      <c r="R17" s="892">
        <v>1103303471.382273</v>
      </c>
      <c r="S17" s="892">
        <v>0</v>
      </c>
      <c r="T17" s="882" t="str">
        <v>2021-09-26T07:14:06.000Z</v>
      </c>
      <c r="U17" s="882" t="str">
        <v>2021-09-26T07:14:06.000Z</v>
      </c>
    </row>
    <row r="18" spans="1:21" ht="12.75" customHeight="1">
      <c r="A18" s="901" t="s">
        <v>576</v>
      </c>
      <c r="C18" s="893" t="s">
        <v>577</v>
      </c>
      <c r="E18" s="901" t="str">
        <v>Dogecoin</v>
      </c>
      <c r="F18" s="882" t="str">
        <v>DOGE</v>
      </c>
      <c r="G18" s="906">
        <v>0.20447620951175</v>
      </c>
      <c r="H18" s="890">
        <v>26874945943.333645</v>
      </c>
      <c r="I18" s="890">
        <v>1130792788.5810902</v>
      </c>
      <c r="K18" s="891">
        <f t="shared" si="3"/>
        <v>2.6916582000000001E-3</v>
      </c>
      <c r="L18" s="891">
        <f t="shared" si="2"/>
        <v>-2.8334258600000002E-2</v>
      </c>
      <c r="M18" s="891">
        <f t="shared" si="2"/>
        <v>-0.14932563439999999</v>
      </c>
      <c r="N18" s="882">
        <v>0.26916582</v>
      </c>
      <c r="O18" s="882">
        <v>-2.8334258600000002</v>
      </c>
      <c r="P18" s="882">
        <v>-14.932563439999999</v>
      </c>
      <c r="Q18" s="892">
        <v>131433118833.26607</v>
      </c>
      <c r="R18" s="892">
        <v>131433118833.26607</v>
      </c>
      <c r="S18" s="892">
        <v>0</v>
      </c>
      <c r="T18" s="882" t="str">
        <v>2021-09-26T07:14:03.000Z</v>
      </c>
      <c r="U18" s="882" t="str">
        <v>2021-09-26T07:14:03.000Z</v>
      </c>
    </row>
    <row r="19" spans="1:21">
      <c r="A19" s="901" t="str">
        <f t="array" ref="A19:A25">IF(B9="","no endpoint",[1]!_xldudf_CS_PARAMETERS(B8,B9,{"fields","parameterName"}))</f>
        <v>parameterName</v>
      </c>
      <c r="B19" s="901" t="s">
        <v>578</v>
      </c>
      <c r="C19" s="901" t="str">
        <f t="array" ref="C19:C25">IF(B9="","no endpoint",[1]!_xldudf_CS_PARAMETERS(B8,B9,{"fields","default"}))</f>
        <v>default</v>
      </c>
      <c r="E19" s="901" t="str">
        <v>Avalanche</v>
      </c>
      <c r="F19" s="882" t="str">
        <v>AVAX</v>
      </c>
      <c r="G19" s="906">
        <v>65.095636811728653</v>
      </c>
      <c r="H19" s="890">
        <v>14339695024.401571</v>
      </c>
      <c r="I19" s="890">
        <v>1014180819.9304028</v>
      </c>
      <c r="K19" s="891">
        <f t="shared" si="3"/>
        <v>-4.6464039999999998E-3</v>
      </c>
      <c r="L19" s="891">
        <f t="shared" si="2"/>
        <v>-8.7791587700000007E-2</v>
      </c>
      <c r="M19" s="891">
        <f t="shared" si="2"/>
        <v>-8.1199966499999998E-2</v>
      </c>
      <c r="N19" s="882">
        <v>-0.46464040000000001</v>
      </c>
      <c r="O19" s="882">
        <v>-8.7791587700000004</v>
      </c>
      <c r="P19" s="882">
        <v>-8.1199966499999991</v>
      </c>
      <c r="Q19" s="892">
        <v>220286577.20755112</v>
      </c>
      <c r="R19" s="892">
        <v>391128418.86755109</v>
      </c>
      <c r="S19" s="892">
        <v>720000000</v>
      </c>
      <c r="T19" s="882" t="str">
        <v>2021-09-26T07:13:08.000Z</v>
      </c>
      <c r="U19" s="882" t="str">
        <v>2021-09-26T07:13:08.000Z</v>
      </c>
    </row>
    <row r="20" spans="1:21">
      <c r="A20" s="882" t="str">
        <v>convert</v>
      </c>
      <c r="B20" s="902"/>
      <c r="C20" s="882" t="str">
        <v>USD,BTC,ETH,XRP,BCH,LTC</v>
      </c>
      <c r="E20" s="901" t="str">
        <v>Terra</v>
      </c>
      <c r="F20" s="882" t="str">
        <v>LUNA</v>
      </c>
      <c r="G20" s="906">
        <v>35.225474421273738</v>
      </c>
      <c r="H20" s="890">
        <v>14090019612.790508</v>
      </c>
      <c r="I20" s="890">
        <v>1505821781.3138237</v>
      </c>
      <c r="K20" s="891">
        <f t="shared" si="3"/>
        <v>-6.5546099000000002E-3</v>
      </c>
      <c r="L20" s="891">
        <f t="shared" si="2"/>
        <v>-6.2717124499999999E-2</v>
      </c>
      <c r="M20" s="891">
        <f t="shared" si="2"/>
        <v>-1.57891686E-2</v>
      </c>
      <c r="N20" s="882">
        <v>-0.65546099000000002</v>
      </c>
      <c r="O20" s="882">
        <v>-6.2717124499999999</v>
      </c>
      <c r="P20" s="882">
        <v>-1.5789168600000001</v>
      </c>
      <c r="Q20" s="892">
        <v>399995169.5265491</v>
      </c>
      <c r="R20" s="892">
        <v>996197082.11496198</v>
      </c>
      <c r="S20" s="892">
        <v>0</v>
      </c>
      <c r="T20" s="882" t="str">
        <v>2021-09-26T07:14:03.000Z</v>
      </c>
      <c r="U20" s="882" t="str">
        <v>2021-09-26T07:14:03.000Z</v>
      </c>
    </row>
    <row r="21" spans="1:21">
      <c r="A21" s="882" t="str">
        <v>cryptocurrency_type</v>
      </c>
      <c r="B21" s="902"/>
      <c r="C21" s="882" t="str">
        <v>all</v>
      </c>
      <c r="E21" s="901" t="str">
        <v>Binance USD</v>
      </c>
      <c r="F21" s="882" t="str">
        <v>BUSD</v>
      </c>
      <c r="G21" s="906">
        <v>1.00043416705766</v>
      </c>
      <c r="H21" s="890">
        <v>13695268763.120773</v>
      </c>
      <c r="I21" s="890">
        <v>4234254231.7123203</v>
      </c>
      <c r="K21" s="891">
        <f t="shared" si="3"/>
        <v>2.71582E-5</v>
      </c>
      <c r="L21" s="891">
        <f t="shared" si="2"/>
        <v>1.6163190000000001E-4</v>
      </c>
      <c r="M21" s="891">
        <f t="shared" si="2"/>
        <v>1.2269341000000001E-3</v>
      </c>
      <c r="N21" s="882">
        <v>2.7158199999999999E-3</v>
      </c>
      <c r="O21" s="882">
        <v>1.6163190000000001E-2</v>
      </c>
      <c r="P21" s="882">
        <v>0.12269341</v>
      </c>
      <c r="Q21" s="892">
        <v>13689325309.030001</v>
      </c>
      <c r="R21" s="892">
        <v>13689325309.030001</v>
      </c>
      <c r="S21" s="892">
        <v>0</v>
      </c>
      <c r="T21" s="882" t="str">
        <v>2021-09-26T07:14:07.000Z</v>
      </c>
      <c r="U21" s="882" t="str">
        <v>2021-09-26T07:14:07.000Z</v>
      </c>
    </row>
    <row r="22" spans="1:21">
      <c r="A22" s="882" t="str">
        <v>limit</v>
      </c>
      <c r="B22" s="902"/>
      <c r="C22" s="882">
        <v>200</v>
      </c>
      <c r="E22" s="901" t="str">
        <v>Uniswap</v>
      </c>
      <c r="F22" s="882" t="str">
        <v>UNI</v>
      </c>
      <c r="G22" s="906">
        <v>18.76597643364569</v>
      </c>
      <c r="H22" s="890">
        <v>11478091707.201603</v>
      </c>
      <c r="I22" s="890">
        <v>324495170.52488601</v>
      </c>
      <c r="K22" s="891">
        <f t="shared" si="3"/>
        <v>-1.0851007000000001E-3</v>
      </c>
      <c r="L22" s="891">
        <f t="shared" si="2"/>
        <v>-5.3858776600000005E-2</v>
      </c>
      <c r="M22" s="891">
        <f t="shared" si="2"/>
        <v>-0.2350931487</v>
      </c>
      <c r="N22" s="882">
        <v>-0.10851007</v>
      </c>
      <c r="O22" s="882">
        <v>-5.3858776600000002</v>
      </c>
      <c r="P22" s="882">
        <v>-23.509314870000001</v>
      </c>
      <c r="Q22" s="892">
        <v>611643723.83109403</v>
      </c>
      <c r="R22" s="892">
        <v>1000000000</v>
      </c>
      <c r="S22" s="892">
        <v>1000000000</v>
      </c>
      <c r="T22" s="882" t="str">
        <v>2021-09-26T07:13:10.000Z</v>
      </c>
      <c r="U22" s="882" t="str">
        <v>2021-09-26T07:13:10.000Z</v>
      </c>
    </row>
    <row r="23" spans="1:21">
      <c r="A23" s="882" t="str">
        <v>sort</v>
      </c>
      <c r="B23" s="902"/>
      <c r="C23" s="882" t="str">
        <v>market_cap</v>
      </c>
      <c r="E23" s="901" t="str">
        <v>Chainlink</v>
      </c>
      <c r="F23" s="882" t="str">
        <v>LINK</v>
      </c>
      <c r="G23" s="906">
        <v>23.807618349067781</v>
      </c>
      <c r="H23" s="890">
        <v>10832693804.846556</v>
      </c>
      <c r="I23" s="890">
        <v>1504208999.0778253</v>
      </c>
      <c r="K23" s="891">
        <f t="shared" si="3"/>
        <v>-3.4169370000000001E-3</v>
      </c>
      <c r="L23" s="891">
        <f t="shared" si="2"/>
        <v>2.7701442699999999E-2</v>
      </c>
      <c r="M23" s="891">
        <f t="shared" si="2"/>
        <v>-0.1634527388</v>
      </c>
      <c r="N23" s="882">
        <v>-0.34169369999999999</v>
      </c>
      <c r="O23" s="882">
        <v>2.7701442699999999</v>
      </c>
      <c r="P23" s="882">
        <v>-16.345273880000001</v>
      </c>
      <c r="Q23" s="892">
        <v>455009553.91746372</v>
      </c>
      <c r="R23" s="892">
        <v>1000000000</v>
      </c>
      <c r="S23" s="892">
        <v>1000000000</v>
      </c>
      <c r="T23" s="882" t="str">
        <v>2021-09-26T07:13:10.000Z</v>
      </c>
      <c r="U23" s="882" t="str">
        <v>2021-09-26T07:13:10.000Z</v>
      </c>
    </row>
    <row r="24" spans="1:21">
      <c r="A24" s="882" t="str">
        <v>sort_dir</v>
      </c>
      <c r="B24" s="902"/>
      <c r="C24" s="882" t="str">
        <v>desc</v>
      </c>
      <c r="E24" s="901" t="str">
        <v>Litecoin</v>
      </c>
      <c r="F24" s="882" t="str">
        <v>LTC</v>
      </c>
      <c r="G24" s="906">
        <v>148.07307917555232</v>
      </c>
      <c r="H24" s="890">
        <v>9884265174.3120918</v>
      </c>
      <c r="I24" s="890">
        <v>2767611542.0619483</v>
      </c>
      <c r="K24" s="891">
        <f t="shared" si="3"/>
        <v>3.7077672999999999E-3</v>
      </c>
      <c r="L24" s="891">
        <f t="shared" si="2"/>
        <v>-3.8126067100000001E-2</v>
      </c>
      <c r="M24" s="891">
        <f t="shared" si="2"/>
        <v>-0.1802383642</v>
      </c>
      <c r="N24" s="882">
        <v>0.37077673</v>
      </c>
      <c r="O24" s="882">
        <v>-3.8126067099999998</v>
      </c>
      <c r="P24" s="882">
        <v>-18.023836419999999</v>
      </c>
      <c r="Q24" s="892">
        <v>66752614.515387468</v>
      </c>
      <c r="R24" s="892">
        <v>66752614.515387468</v>
      </c>
      <c r="S24" s="892">
        <v>84000000</v>
      </c>
      <c r="T24" s="882" t="str">
        <v>2021-09-26T07:14:02.000Z</v>
      </c>
      <c r="U24" s="882" t="str">
        <v>2021-09-26T07:14:02.000Z</v>
      </c>
    </row>
    <row r="25" spans="1:21">
      <c r="A25" s="882" t="str">
        <v>start</v>
      </c>
      <c r="B25" s="902"/>
      <c r="C25" s="882">
        <v>1</v>
      </c>
      <c r="E25" s="901" t="str">
        <v>Algorand</v>
      </c>
      <c r="F25" s="882" t="str">
        <v>ALGO</v>
      </c>
      <c r="G25" s="906">
        <v>1.6493134563367999</v>
      </c>
      <c r="H25" s="890">
        <v>9634918921.9732246</v>
      </c>
      <c r="I25" s="890">
        <v>491812731.84563684</v>
      </c>
      <c r="K25" s="891">
        <f t="shared" si="3"/>
        <v>-7.3598673000000005E-3</v>
      </c>
      <c r="L25" s="891">
        <f t="shared" si="3"/>
        <v>-6.9798065100000001E-2</v>
      </c>
      <c r="M25" s="891">
        <f t="shared" si="3"/>
        <v>-0.2241883747</v>
      </c>
      <c r="N25" s="882">
        <v>-0.73598673000000003</v>
      </c>
      <c r="O25" s="882">
        <v>-6.9798065100000004</v>
      </c>
      <c r="P25" s="882">
        <v>-22.41883747</v>
      </c>
      <c r="Q25" s="892">
        <v>5841775488.4343309</v>
      </c>
      <c r="R25" s="892">
        <v>6381599294.6937113</v>
      </c>
      <c r="S25" s="892">
        <v>10000000000</v>
      </c>
      <c r="T25" s="882" t="str">
        <v>2021-09-26T07:13:10.000Z</v>
      </c>
      <c r="U25" s="882" t="str">
        <v>2021-09-26T07:13:10.000Z</v>
      </c>
    </row>
    <row r="26" spans="1:21">
      <c r="B26" s="902"/>
      <c r="E26" s="901" t="str">
        <v>Bitcoin Cash</v>
      </c>
      <c r="F26" s="882" t="str">
        <v>BCH</v>
      </c>
      <c r="G26" s="906">
        <v>502.77827425827809</v>
      </c>
      <c r="H26" s="890">
        <v>9480380854.6856632</v>
      </c>
      <c r="I26" s="890">
        <v>5524803960.8845367</v>
      </c>
      <c r="K26" s="891">
        <f t="shared" si="3"/>
        <v>-3.4187451000000004E-3</v>
      </c>
      <c r="L26" s="891">
        <f t="shared" si="3"/>
        <v>-2.9474874600000003E-2</v>
      </c>
      <c r="M26" s="891">
        <f t="shared" si="3"/>
        <v>-0.2105383294</v>
      </c>
      <c r="N26" s="882">
        <v>-0.34187451000000002</v>
      </c>
      <c r="O26" s="882">
        <v>-2.9474874600000001</v>
      </c>
      <c r="P26" s="882">
        <v>-21.053832939999999</v>
      </c>
      <c r="Q26" s="892">
        <v>18855987.5</v>
      </c>
      <c r="R26" s="892">
        <v>18855987.5</v>
      </c>
      <c r="S26" s="892">
        <v>21000000</v>
      </c>
      <c r="T26" s="882" t="str">
        <v>2021-09-26T07:13:09.000Z</v>
      </c>
      <c r="U26" s="882" t="str">
        <v>2021-09-26T07:13:09.000Z</v>
      </c>
    </row>
    <row r="27" spans="1:21">
      <c r="B27" s="902"/>
      <c r="E27" s="901" t="str">
        <v>Wrapped Bitcoin</v>
      </c>
      <c r="F27" s="882" t="str">
        <v>WBTC</v>
      </c>
      <c r="G27" s="906">
        <v>41999.18159980901</v>
      </c>
      <c r="H27" s="890">
        <v>8652698669.3020077</v>
      </c>
      <c r="I27" s="890">
        <v>268081863.64919847</v>
      </c>
      <c r="K27" s="891">
        <f t="shared" si="3"/>
        <v>-3.943439E-4</v>
      </c>
      <c r="L27" s="891">
        <f t="shared" si="3"/>
        <v>-1.5941240999999998E-2</v>
      </c>
      <c r="M27" s="891">
        <f t="shared" si="3"/>
        <v>-0.12767091730000002</v>
      </c>
      <c r="N27" s="882">
        <v>-3.943439E-2</v>
      </c>
      <c r="O27" s="882">
        <v>-1.5941240999999999</v>
      </c>
      <c r="P27" s="882">
        <v>-12.767091730000001</v>
      </c>
      <c r="Q27" s="892">
        <v>206020.64944383001</v>
      </c>
      <c r="R27" s="892">
        <v>206020.64944383001</v>
      </c>
      <c r="S27" s="892">
        <v>0</v>
      </c>
      <c r="T27" s="882" t="str">
        <v>2021-09-26T07:14:07.000Z</v>
      </c>
      <c r="U27" s="882" t="str">
        <v>2021-09-26T07:14:07.000Z</v>
      </c>
    </row>
    <row r="28" spans="1:21">
      <c r="B28" s="902"/>
      <c r="E28" s="901" t="str">
        <v>Cosmos</v>
      </c>
      <c r="F28" s="882" t="str">
        <v>ATOM</v>
      </c>
      <c r="G28" s="906">
        <v>37.522968851909738</v>
      </c>
      <c r="H28" s="890">
        <v>8328557765.6688318</v>
      </c>
      <c r="I28" s="890">
        <v>1590013868.2130201</v>
      </c>
      <c r="K28" s="891">
        <f t="shared" si="3"/>
        <v>2.0296970000000002E-4</v>
      </c>
      <c r="L28" s="891">
        <f t="shared" si="3"/>
        <v>-9.5478189099999999E-2</v>
      </c>
      <c r="M28" s="891">
        <f t="shared" si="3"/>
        <v>-4.97805355E-2</v>
      </c>
      <c r="N28" s="882">
        <v>2.0296970000000001E-2</v>
      </c>
      <c r="O28" s="882">
        <v>-9.5478189100000002</v>
      </c>
      <c r="P28" s="882">
        <v>-4.9780535500000003</v>
      </c>
      <c r="Q28" s="892">
        <v>221958923.30744901</v>
      </c>
      <c r="R28" s="892">
        <v>279743526.30744898</v>
      </c>
      <c r="S28" s="892">
        <v>0</v>
      </c>
      <c r="T28" s="882" t="str">
        <v>2021-09-26T07:13:09.000Z</v>
      </c>
      <c r="U28" s="882" t="str">
        <v>2021-09-26T07:13:09.000Z</v>
      </c>
    </row>
    <row r="29" spans="1:21">
      <c r="B29" s="902"/>
      <c r="C29" s="882" t="s">
        <v>579</v>
      </c>
      <c r="E29" s="901" t="str">
        <v>Polygon</v>
      </c>
      <c r="F29" s="882" t="str">
        <v>MATIC</v>
      </c>
      <c r="G29" s="906">
        <v>1.07110803736685</v>
      </c>
      <c r="H29" s="890">
        <v>7146754840.1257639</v>
      </c>
      <c r="I29" s="890">
        <v>682354163.5254482</v>
      </c>
      <c r="K29" s="891">
        <f t="shared" si="3"/>
        <v>-1.0598789999999999E-3</v>
      </c>
      <c r="L29" s="891">
        <f t="shared" si="3"/>
        <v>-5.3136007899999997E-2</v>
      </c>
      <c r="M29" s="891">
        <f t="shared" si="3"/>
        <v>-0.21321079480000002</v>
      </c>
      <c r="N29" s="882">
        <v>-0.1059879</v>
      </c>
      <c r="O29" s="882">
        <v>-5.3136007899999997</v>
      </c>
      <c r="P29" s="882">
        <v>-21.321079480000002</v>
      </c>
      <c r="Q29" s="892">
        <v>6672300637.1000004</v>
      </c>
      <c r="R29" s="892">
        <v>10000000000</v>
      </c>
      <c r="S29" s="892">
        <v>10000000000</v>
      </c>
      <c r="T29" s="882" t="str">
        <v>2021-09-26T07:13:09.000Z</v>
      </c>
      <c r="U29" s="882" t="str">
        <v>2021-09-26T07:13:09.000Z</v>
      </c>
    </row>
    <row r="30" spans="1:21">
      <c r="B30" s="902"/>
      <c r="C30" s="882" t="s">
        <v>580</v>
      </c>
      <c r="E30" s="901" t="str">
        <v>Internet Computer</v>
      </c>
      <c r="F30" s="882" t="str">
        <v>ICP</v>
      </c>
      <c r="G30" s="906">
        <v>42.652553843854683</v>
      </c>
      <c r="H30" s="890">
        <v>6947683745.6848421</v>
      </c>
      <c r="I30" s="890">
        <v>228184739.38786384</v>
      </c>
      <c r="K30" s="891">
        <f t="shared" si="3"/>
        <v>-3.5090645999999999E-3</v>
      </c>
      <c r="L30" s="891">
        <f t="shared" si="3"/>
        <v>-7.8685247299999997E-2</v>
      </c>
      <c r="M30" s="891">
        <f t="shared" si="3"/>
        <v>-0.2658851787</v>
      </c>
      <c r="N30" s="882">
        <v>-0.35090645999999998</v>
      </c>
      <c r="O30" s="882">
        <v>-7.8685247299999999</v>
      </c>
      <c r="P30" s="882">
        <v>-26.58851787</v>
      </c>
      <c r="Q30" s="892">
        <v>162890216.87</v>
      </c>
      <c r="R30" s="892">
        <v>473311846.03653491</v>
      </c>
      <c r="S30" s="892">
        <v>0</v>
      </c>
      <c r="T30" s="882" t="str">
        <v>2021-09-26T07:13:08.000Z</v>
      </c>
      <c r="U30" s="882" t="str">
        <v>2021-09-26T07:13:08.000Z</v>
      </c>
    </row>
    <row r="31" spans="1:21">
      <c r="B31" s="902"/>
      <c r="C31" s="882" t="s">
        <v>581</v>
      </c>
      <c r="E31" s="901" t="str">
        <v>Stellar</v>
      </c>
      <c r="F31" s="882" t="str">
        <v>XLM</v>
      </c>
      <c r="G31" s="906">
        <v>0.26970899653737002</v>
      </c>
      <c r="H31" s="890">
        <v>6404260997.5852909</v>
      </c>
      <c r="I31" s="890">
        <v>398156197.17394167</v>
      </c>
      <c r="K31" s="891">
        <f t="shared" si="3"/>
        <v>-2.4555112000000001E-3</v>
      </c>
      <c r="L31" s="891">
        <f t="shared" si="3"/>
        <v>-4.4677552699999998E-2</v>
      </c>
      <c r="M31" s="891">
        <f t="shared" si="3"/>
        <v>-0.16565516850000003</v>
      </c>
      <c r="N31" s="882">
        <v>-0.24555112000000001</v>
      </c>
      <c r="O31" s="882">
        <v>-4.4677552699999996</v>
      </c>
      <c r="P31" s="882">
        <v>-16.565516850000002</v>
      </c>
      <c r="Q31" s="892">
        <v>23745077397.512535</v>
      </c>
      <c r="R31" s="892">
        <v>50001802768.348</v>
      </c>
      <c r="S31" s="892">
        <v>50001806812</v>
      </c>
      <c r="T31" s="882" t="str">
        <v>2021-09-26T07:14:06.000Z</v>
      </c>
      <c r="U31" s="882" t="str">
        <v>2021-09-26T07:14:06.000Z</v>
      </c>
    </row>
    <row r="32" spans="1:21">
      <c r="B32" s="902"/>
      <c r="C32" s="882" t="s">
        <v>582</v>
      </c>
      <c r="E32" s="901" t="str">
        <v>Dai</v>
      </c>
      <c r="F32" s="882" t="str">
        <v>DAI</v>
      </c>
      <c r="G32" s="906">
        <v>1.00041297856272</v>
      </c>
      <c r="H32" s="890">
        <v>6302005536.6207342</v>
      </c>
      <c r="I32" s="890">
        <v>361730856.28504354</v>
      </c>
      <c r="K32" s="891">
        <f t="shared" si="3"/>
        <v>-9.9182200000000001E-5</v>
      </c>
      <c r="L32" s="891">
        <f t="shared" si="3"/>
        <v>-4.8874750000000005E-4</v>
      </c>
      <c r="M32" s="891">
        <f t="shared" si="3"/>
        <v>1.2551425999999999E-3</v>
      </c>
      <c r="N32" s="882">
        <v>-9.9182200000000002E-3</v>
      </c>
      <c r="O32" s="882">
        <v>-4.8874750000000002E-2</v>
      </c>
      <c r="P32" s="882">
        <v>0.12551425999999999</v>
      </c>
      <c r="Q32" s="892">
        <v>6299404017.8034687</v>
      </c>
      <c r="R32" s="892">
        <v>6299404506.6426134</v>
      </c>
      <c r="S32" s="892">
        <v>0</v>
      </c>
      <c r="T32" s="882" t="str">
        <v>2021-09-26T07:13:10.000Z</v>
      </c>
      <c r="U32" s="882" t="str">
        <v>2021-09-26T07:13:10.000Z</v>
      </c>
    </row>
    <row r="33" spans="2:21">
      <c r="B33" s="902"/>
      <c r="C33" s="882" t="s">
        <v>583</v>
      </c>
      <c r="E33" s="901" t="str">
        <v>FTX Token</v>
      </c>
      <c r="F33" s="882" t="str">
        <v>FTT</v>
      </c>
      <c r="G33" s="906">
        <v>52.268788920062889</v>
      </c>
      <c r="H33" s="890">
        <v>6306067554.7879248</v>
      </c>
      <c r="I33" s="890">
        <v>576925759.23984134</v>
      </c>
      <c r="K33" s="891">
        <f t="shared" si="3"/>
        <v>-1.213284E-3</v>
      </c>
      <c r="L33" s="891">
        <f t="shared" si="3"/>
        <v>-9.1721149999999998E-3</v>
      </c>
      <c r="M33" s="891">
        <f t="shared" si="3"/>
        <v>-0.17146487440000002</v>
      </c>
      <c r="N33" s="882">
        <v>-0.1213284</v>
      </c>
      <c r="O33" s="882">
        <v>-0.91721149999999996</v>
      </c>
      <c r="P33" s="882">
        <v>-17.146487440000001</v>
      </c>
      <c r="Q33" s="892">
        <v>120646903.91874374</v>
      </c>
      <c r="R33" s="892">
        <v>336517239.98597151</v>
      </c>
      <c r="S33" s="892">
        <v>352170015</v>
      </c>
      <c r="T33" s="882" t="str">
        <v>2021-09-26T07:14:03.000Z</v>
      </c>
      <c r="U33" s="882" t="str">
        <v>2021-09-26T07:14:03.000Z</v>
      </c>
    </row>
    <row r="34" spans="2:21">
      <c r="B34" s="902"/>
      <c r="C34" s="882" t="s">
        <v>584</v>
      </c>
      <c r="E34" s="901" t="str">
        <v>TRON</v>
      </c>
      <c r="F34" s="882" t="str">
        <v>TRX</v>
      </c>
      <c r="G34" s="906">
        <v>8.7600550493609999E-2</v>
      </c>
      <c r="H34" s="890">
        <v>6277425433.7508011</v>
      </c>
      <c r="I34" s="890">
        <v>1400077864.5137432</v>
      </c>
      <c r="K34" s="891">
        <f t="shared" si="3"/>
        <v>-2.5396651E-3</v>
      </c>
      <c r="L34" s="891">
        <f t="shared" si="3"/>
        <v>-5.2424987099999994E-2</v>
      </c>
      <c r="M34" s="891">
        <f t="shared" si="3"/>
        <v>-0.17151722790000001</v>
      </c>
      <c r="N34" s="882">
        <v>-0.25396650999999998</v>
      </c>
      <c r="O34" s="882">
        <v>-5.2424987099999996</v>
      </c>
      <c r="P34" s="882">
        <v>-17.151722790000001</v>
      </c>
      <c r="Q34" s="892">
        <v>71659657369.490005</v>
      </c>
      <c r="R34" s="892">
        <v>100850743811.662</v>
      </c>
      <c r="S34" s="892">
        <v>0</v>
      </c>
      <c r="T34" s="882" t="str">
        <v>2021-09-26T07:13:10.000Z</v>
      </c>
      <c r="U34" s="882" t="str">
        <v>2021-09-26T07:13:10.000Z</v>
      </c>
    </row>
    <row r="35" spans="2:21">
      <c r="B35" s="902"/>
      <c r="C35" s="882" t="s">
        <v>585</v>
      </c>
      <c r="E35" s="901" t="str">
        <v>Filecoin</v>
      </c>
      <c r="F35" s="882" t="str">
        <v>FIL</v>
      </c>
      <c r="G35" s="906">
        <v>56.119989383784251</v>
      </c>
      <c r="H35" s="890">
        <v>6151409853.4980879</v>
      </c>
      <c r="I35" s="890">
        <v>1541130644.9141347</v>
      </c>
      <c r="K35" s="891">
        <f t="shared" si="3"/>
        <v>-7.3650959999999998E-4</v>
      </c>
      <c r="L35" s="891">
        <f t="shared" si="3"/>
        <v>-0.116007476</v>
      </c>
      <c r="M35" s="891">
        <f t="shared" si="3"/>
        <v>-0.33233155009999998</v>
      </c>
      <c r="N35" s="882">
        <v>-7.3650960000000001E-2</v>
      </c>
      <c r="O35" s="882">
        <v>-11.6007476</v>
      </c>
      <c r="P35" s="882">
        <v>-33.233155009999997</v>
      </c>
      <c r="Q35" s="892">
        <v>109611743</v>
      </c>
      <c r="R35" s="892">
        <v>109611743</v>
      </c>
      <c r="S35" s="892">
        <v>0</v>
      </c>
      <c r="T35" s="882" t="str">
        <v>2021-09-26T07:14:04.000Z</v>
      </c>
      <c r="U35" s="882" t="str">
        <v>2021-09-26T07:14:04.000Z</v>
      </c>
    </row>
    <row r="36" spans="2:21">
      <c r="B36" s="902"/>
      <c r="C36" s="882" t="s">
        <v>586</v>
      </c>
      <c r="E36" s="901" t="str">
        <v>Ethereum Classic</v>
      </c>
      <c r="F36" s="882" t="str">
        <v>ETC</v>
      </c>
      <c r="G36" s="906">
        <v>45.988153862285223</v>
      </c>
      <c r="H36" s="890">
        <v>5989846920.6734476</v>
      </c>
      <c r="I36" s="890">
        <v>701607139.37254119</v>
      </c>
      <c r="K36" s="891">
        <f t="shared" si="3"/>
        <v>7.0575970000000005E-4</v>
      </c>
      <c r="L36" s="891">
        <f t="shared" si="3"/>
        <v>-4.2442524500000002E-2</v>
      </c>
      <c r="M36" s="891">
        <f t="shared" si="3"/>
        <v>-0.19181355279999998</v>
      </c>
      <c r="N36" s="882">
        <v>7.0575970000000002E-2</v>
      </c>
      <c r="O36" s="882">
        <v>-4.2442524500000003</v>
      </c>
      <c r="P36" s="882">
        <v>-19.181355279999998</v>
      </c>
      <c r="Q36" s="892">
        <v>130247605.47271515</v>
      </c>
      <c r="R36" s="892">
        <v>210700000</v>
      </c>
      <c r="S36" s="892">
        <v>210700000</v>
      </c>
      <c r="T36" s="882" t="str">
        <v>2021-09-26T07:14:04.000Z</v>
      </c>
      <c r="U36" s="882" t="str">
        <v>2021-09-26T07:14:04.000Z</v>
      </c>
    </row>
    <row r="37" spans="2:21">
      <c r="B37" s="902"/>
      <c r="C37" s="882" t="s">
        <v>587</v>
      </c>
      <c r="E37" s="901" t="str">
        <v>Tezos</v>
      </c>
      <c r="F37" s="882" t="str">
        <v>XTZ</v>
      </c>
      <c r="G37" s="906">
        <v>6.7502802280291796</v>
      </c>
      <c r="H37" s="890">
        <v>5811911270.5736799</v>
      </c>
      <c r="I37" s="890">
        <v>1311023643.3465946</v>
      </c>
      <c r="K37" s="891">
        <f t="shared" si="3"/>
        <v>-1.2678128699999999E-2</v>
      </c>
      <c r="L37" s="891">
        <f t="shared" si="3"/>
        <v>-5.0204000800000002E-2</v>
      </c>
      <c r="M37" s="891">
        <f t="shared" si="3"/>
        <v>5.0151134099999994E-2</v>
      </c>
      <c r="N37" s="882">
        <v>-1.26781287</v>
      </c>
      <c r="O37" s="882">
        <v>-5.0204000799999999</v>
      </c>
      <c r="P37" s="882">
        <v>5.0151134099999997</v>
      </c>
      <c r="Q37" s="892">
        <v>860988147.78694499</v>
      </c>
      <c r="R37" s="892">
        <v>890296001.566594</v>
      </c>
      <c r="S37" s="892">
        <v>0</v>
      </c>
      <c r="T37" s="882" t="str">
        <v>2021-09-26T07:13:10.000Z</v>
      </c>
      <c r="U37" s="882" t="str">
        <v>2021-09-26T07:13:10.000Z</v>
      </c>
    </row>
    <row r="38" spans="2:21">
      <c r="B38" s="902"/>
      <c r="C38" s="882" t="s">
        <v>588</v>
      </c>
      <c r="E38" s="901" t="str">
        <v>VeChain</v>
      </c>
      <c r="F38" s="882" t="str">
        <v>VET</v>
      </c>
      <c r="G38" s="906">
        <v>8.7627914497390005E-2</v>
      </c>
      <c r="H38" s="890">
        <v>5635839881.2423964</v>
      </c>
      <c r="I38" s="890">
        <v>314421036.90240955</v>
      </c>
      <c r="K38" s="891">
        <f t="shared" si="3"/>
        <v>1.9599443E-3</v>
      </c>
      <c r="L38" s="891">
        <f t="shared" si="3"/>
        <v>-5.4436709600000008E-2</v>
      </c>
      <c r="M38" s="891">
        <f t="shared" si="3"/>
        <v>-0.22462040620000001</v>
      </c>
      <c r="N38" s="882">
        <v>0.19599443</v>
      </c>
      <c r="O38" s="882">
        <v>-5.4436709600000004</v>
      </c>
      <c r="P38" s="882">
        <v>-22.46204062</v>
      </c>
      <c r="Q38" s="892">
        <v>64315576989</v>
      </c>
      <c r="R38" s="892">
        <v>86712634466</v>
      </c>
      <c r="S38" s="892">
        <v>86712634466</v>
      </c>
      <c r="T38" s="882" t="str">
        <v>2021-09-26T07:14:02.000Z</v>
      </c>
      <c r="U38" s="882" t="str">
        <v>2021-09-26T07:14:02.000Z</v>
      </c>
    </row>
    <row r="39" spans="2:21">
      <c r="B39" s="902"/>
      <c r="C39" s="882" t="s">
        <v>589</v>
      </c>
      <c r="E39" s="901" t="str">
        <v>THETA</v>
      </c>
      <c r="F39" s="882" t="str">
        <v>THETA</v>
      </c>
      <c r="G39" s="906">
        <v>4.9637953116464502</v>
      </c>
      <c r="H39" s="890">
        <v>4963795311.64645</v>
      </c>
      <c r="I39" s="890">
        <v>236037027.88301384</v>
      </c>
      <c r="K39" s="891">
        <f t="shared" si="3"/>
        <v>-6.6589474000000003E-3</v>
      </c>
      <c r="L39" s="891">
        <f t="shared" si="3"/>
        <v>-4.4458349799999998E-2</v>
      </c>
      <c r="M39" s="891">
        <f t="shared" si="3"/>
        <v>-0.21617956029999999</v>
      </c>
      <c r="N39" s="882">
        <v>-0.66589474000000004</v>
      </c>
      <c r="O39" s="882">
        <v>-4.4458349799999999</v>
      </c>
      <c r="P39" s="882">
        <v>-21.617956029999998</v>
      </c>
      <c r="Q39" s="892">
        <v>1000000000</v>
      </c>
      <c r="R39" s="892">
        <v>1000000000</v>
      </c>
      <c r="S39" s="892">
        <v>1000000000</v>
      </c>
      <c r="T39" s="882" t="str">
        <v>2021-09-26T07:14:05.000Z</v>
      </c>
      <c r="U39" s="882" t="str">
        <v>2021-09-26T07:14:05.000Z</v>
      </c>
    </row>
    <row r="40" spans="2:21">
      <c r="B40" s="902"/>
      <c r="C40" s="882" t="s">
        <v>590</v>
      </c>
      <c r="E40" s="901" t="str">
        <v>Bitcoin BEP2</v>
      </c>
      <c r="F40" s="882" t="str">
        <v>BTCB</v>
      </c>
      <c r="G40" s="906">
        <v>42037.89267191579</v>
      </c>
      <c r="H40" s="890">
        <v>4419845785.9822922</v>
      </c>
      <c r="I40" s="890">
        <v>19830241.019020852</v>
      </c>
      <c r="K40" s="891">
        <f t="shared" si="3"/>
        <v>-8.0316440000000001E-4</v>
      </c>
      <c r="L40" s="891">
        <f t="shared" si="3"/>
        <v>-1.5591670500000002E-2</v>
      </c>
      <c r="M40" s="891">
        <f t="shared" si="3"/>
        <v>-0.1264857462</v>
      </c>
      <c r="N40" s="882">
        <v>-8.0316440000000003E-2</v>
      </c>
      <c r="O40" s="882">
        <v>-1.5591670500000001</v>
      </c>
      <c r="P40" s="882">
        <v>-12.64857462</v>
      </c>
      <c r="Q40" s="892">
        <v>105139.56587874</v>
      </c>
      <c r="R40" s="892">
        <v>112501</v>
      </c>
      <c r="S40" s="892">
        <v>0</v>
      </c>
      <c r="T40" s="882" t="str">
        <v>2021-09-26T07:13:10.000Z</v>
      </c>
      <c r="U40" s="882" t="str">
        <v>2021-09-26T07:13:10.000Z</v>
      </c>
    </row>
    <row r="41" spans="2:21">
      <c r="B41" s="902"/>
      <c r="C41" s="882" t="s">
        <v>591</v>
      </c>
      <c r="E41" s="901" t="str">
        <v>Monero</v>
      </c>
      <c r="F41" s="882" t="str">
        <v>XMR</v>
      </c>
      <c r="G41" s="906">
        <v>234.24215867546482</v>
      </c>
      <c r="H41" s="890">
        <v>4216344394.726347</v>
      </c>
      <c r="I41" s="890">
        <v>204055595.54141608</v>
      </c>
      <c r="K41" s="891">
        <f t="shared" si="3"/>
        <v>3.7864240000000003E-4</v>
      </c>
      <c r="L41" s="891">
        <f t="shared" si="3"/>
        <v>-2.4875544100000001E-2</v>
      </c>
      <c r="M41" s="891">
        <f t="shared" si="3"/>
        <v>-0.14003117279999999</v>
      </c>
      <c r="N41" s="882">
        <v>3.786424E-2</v>
      </c>
      <c r="O41" s="882">
        <v>-2.48755441</v>
      </c>
      <c r="P41" s="882">
        <v>-14.00311728</v>
      </c>
      <c r="Q41" s="892">
        <v>17999938.262898099</v>
      </c>
      <c r="R41" s="892">
        <v>17999938.262898099</v>
      </c>
      <c r="S41" s="892">
        <v>0</v>
      </c>
      <c r="T41" s="882" t="str">
        <v>2021-09-26T07:14:05.000Z</v>
      </c>
      <c r="U41" s="882" t="str">
        <v>2021-09-26T07:14:05.000Z</v>
      </c>
    </row>
    <row r="42" spans="2:21">
      <c r="B42" s="902"/>
      <c r="C42" s="882" t="s">
        <v>592</v>
      </c>
      <c r="E42" s="901" t="str">
        <v>Elrond</v>
      </c>
      <c r="F42" s="882" t="str">
        <v>EGLD</v>
      </c>
      <c r="G42" s="906">
        <v>211.11078481794459</v>
      </c>
      <c r="H42" s="890">
        <v>4116073589.5355806</v>
      </c>
      <c r="I42" s="890">
        <v>167386320.74588296</v>
      </c>
      <c r="K42" s="891">
        <f t="shared" si="3"/>
        <v>-4.1519866000000001E-3</v>
      </c>
      <c r="L42" s="891">
        <f t="shared" si="3"/>
        <v>-9.6086765599999999E-2</v>
      </c>
      <c r="M42" s="891">
        <f t="shared" si="3"/>
        <v>-0.12660369539999999</v>
      </c>
      <c r="N42" s="882">
        <v>-0.41519866</v>
      </c>
      <c r="O42" s="882">
        <v>-9.6086765599999993</v>
      </c>
      <c r="P42" s="882">
        <v>-12.66036954</v>
      </c>
      <c r="Q42" s="892">
        <v>19497220.8221629</v>
      </c>
      <c r="R42" s="892">
        <v>22462284</v>
      </c>
      <c r="S42" s="892">
        <v>31415926</v>
      </c>
      <c r="T42" s="882" t="str">
        <v>2021-09-26T07:13:08.000Z</v>
      </c>
      <c r="U42" s="882" t="str">
        <v>2021-09-26T07:13:08.000Z</v>
      </c>
    </row>
    <row r="43" spans="2:21">
      <c r="B43" s="902"/>
      <c r="C43" s="882" t="s">
        <v>593</v>
      </c>
      <c r="E43" s="901" t="str">
        <v>PancakeSwap</v>
      </c>
      <c r="F43" s="882" t="str">
        <v>CAKE</v>
      </c>
      <c r="G43" s="906">
        <v>17.834875378525929</v>
      </c>
      <c r="H43" s="890">
        <v>4022277192.2552648</v>
      </c>
      <c r="I43" s="890">
        <v>231386900.77431193</v>
      </c>
      <c r="K43" s="891">
        <f t="shared" si="3"/>
        <v>-1.2767005000000001E-3</v>
      </c>
      <c r="L43" s="891">
        <f t="shared" si="3"/>
        <v>-4.10135768E-2</v>
      </c>
      <c r="M43" s="891">
        <f t="shared" si="3"/>
        <v>-0.21075854150000001</v>
      </c>
      <c r="N43" s="882">
        <v>-0.12767005000000001</v>
      </c>
      <c r="O43" s="882">
        <v>-4.1013576799999996</v>
      </c>
      <c r="P43" s="882">
        <v>-21.075854150000001</v>
      </c>
      <c r="Q43" s="892">
        <v>225528752.33982769</v>
      </c>
      <c r="R43" s="892">
        <v>225528752.33982769</v>
      </c>
      <c r="S43" s="892">
        <v>0</v>
      </c>
      <c r="T43" s="882" t="str">
        <v>2021-09-26T07:14:03.000Z</v>
      </c>
      <c r="U43" s="882" t="str">
        <v>2021-09-26T07:14:03.000Z</v>
      </c>
    </row>
    <row r="44" spans="2:21">
      <c r="B44" s="902"/>
      <c r="C44" s="882" t="s">
        <v>594</v>
      </c>
      <c r="E44" s="901" t="str">
        <v>eCash</v>
      </c>
      <c r="F44" s="882" t="str">
        <v>XEC</v>
      </c>
      <c r="G44" s="906">
        <v>2.0873705456000001E-4</v>
      </c>
      <c r="H44" s="890">
        <v>3935392418.4757757</v>
      </c>
      <c r="I44" s="890">
        <v>39236584.754261114</v>
      </c>
      <c r="K44" s="891">
        <f t="shared" si="3"/>
        <v>1.3680355E-3</v>
      </c>
      <c r="L44" s="891">
        <f t="shared" si="3"/>
        <v>-3.0504248800000001E-2</v>
      </c>
      <c r="M44" s="891">
        <f t="shared" si="3"/>
        <v>-0.1021165342</v>
      </c>
      <c r="N44" s="882">
        <v>0.13680355</v>
      </c>
      <c r="O44" s="882">
        <v>-3.05042488</v>
      </c>
      <c r="P44" s="882">
        <v>-10.211653419999999</v>
      </c>
      <c r="Q44" s="892">
        <v>18853348423313</v>
      </c>
      <c r="R44" s="892">
        <v>18853348423313</v>
      </c>
      <c r="S44" s="892">
        <v>21000000000000</v>
      </c>
      <c r="T44" s="882" t="str">
        <v>2021-09-26T07:14:07.000Z</v>
      </c>
      <c r="U44" s="882" t="str">
        <v>2021-09-26T07:14:07.000Z</v>
      </c>
    </row>
    <row r="45" spans="2:21">
      <c r="B45" s="902"/>
      <c r="C45" s="882" t="s">
        <v>595</v>
      </c>
      <c r="E45" s="901" t="str">
        <v>Crypto.com Coin</v>
      </c>
      <c r="F45" s="882" t="str">
        <v>CRO</v>
      </c>
      <c r="G45" s="906">
        <v>0.15406790591291999</v>
      </c>
      <c r="H45" s="890">
        <v>3892219616.5758657</v>
      </c>
      <c r="I45" s="890">
        <v>29396104.760602579</v>
      </c>
      <c r="K45" s="891">
        <f t="shared" si="3"/>
        <v>-9.5959210000000003E-4</v>
      </c>
      <c r="L45" s="891">
        <f t="shared" si="3"/>
        <v>-3.5793922999999998E-2</v>
      </c>
      <c r="M45" s="891">
        <f t="shared" si="3"/>
        <v>-0.1790210492</v>
      </c>
      <c r="N45" s="882">
        <v>-9.5959210000000003E-2</v>
      </c>
      <c r="O45" s="882">
        <v>-3.5793922999999999</v>
      </c>
      <c r="P45" s="882">
        <v>-17.902104919999999</v>
      </c>
      <c r="Q45" s="892">
        <v>25263013692</v>
      </c>
      <c r="R45" s="892">
        <v>30263013692</v>
      </c>
      <c r="S45" s="892">
        <v>30263013692</v>
      </c>
      <c r="T45" s="882" t="str">
        <v>2021-09-26T07:14:07.000Z</v>
      </c>
      <c r="U45" s="882" t="str">
        <v>2021-09-26T07:14:07.000Z</v>
      </c>
    </row>
    <row r="46" spans="2:21">
      <c r="B46" s="902"/>
      <c r="C46" s="882" t="s">
        <v>596</v>
      </c>
      <c r="E46" s="901" t="str">
        <v>Axie Infinity</v>
      </c>
      <c r="F46" s="882" t="str">
        <v>AXS</v>
      </c>
      <c r="G46" s="906">
        <v>62.123613496869922</v>
      </c>
      <c r="H46" s="890">
        <v>3783793989.0606046</v>
      </c>
      <c r="I46" s="890">
        <v>227627826.35775331</v>
      </c>
      <c r="K46" s="891">
        <f t="shared" si="3"/>
        <v>5.8835399999999996E-5</v>
      </c>
      <c r="L46" s="891">
        <f t="shared" si="3"/>
        <v>-6.4569059299999995E-2</v>
      </c>
      <c r="M46" s="891">
        <f t="shared" si="3"/>
        <v>-6.3072742000000001E-2</v>
      </c>
      <c r="N46" s="882">
        <v>5.8835399999999996E-3</v>
      </c>
      <c r="O46" s="882">
        <v>-6.4569059299999996</v>
      </c>
      <c r="P46" s="882">
        <v>-6.3072742000000002</v>
      </c>
      <c r="Q46" s="892">
        <v>60907500</v>
      </c>
      <c r="R46" s="892">
        <v>270000000</v>
      </c>
      <c r="S46" s="892">
        <v>270000000</v>
      </c>
      <c r="T46" s="882" t="str">
        <v>2021-09-26T07:14:07.000Z</v>
      </c>
      <c r="U46" s="882" t="str">
        <v>2021-09-26T07:14:07.000Z</v>
      </c>
    </row>
    <row r="47" spans="2:21">
      <c r="B47" s="902"/>
      <c r="E47" s="901" t="str">
        <v>EOS</v>
      </c>
      <c r="F47" s="882" t="str">
        <v>EOS</v>
      </c>
      <c r="G47" s="906">
        <v>3.89154046992115</v>
      </c>
      <c r="H47" s="890">
        <v>3732448988.9789476</v>
      </c>
      <c r="I47" s="890">
        <v>1253834854.660944</v>
      </c>
      <c r="K47" s="891">
        <f t="shared" si="3"/>
        <v>-2.4755040999999999E-3</v>
      </c>
      <c r="L47" s="891">
        <f t="shared" si="3"/>
        <v>-3.9665475700000001E-2</v>
      </c>
      <c r="M47" s="891">
        <f t="shared" si="3"/>
        <v>-0.26002259760000002</v>
      </c>
      <c r="N47" s="882">
        <v>-0.24755041</v>
      </c>
      <c r="O47" s="882">
        <v>-3.9665475699999999</v>
      </c>
      <c r="P47" s="882">
        <v>-26.002259760000001</v>
      </c>
      <c r="Q47" s="892">
        <v>959118636.39300001</v>
      </c>
      <c r="R47" s="892">
        <v>1035119048.2079999</v>
      </c>
      <c r="S47" s="892">
        <v>0</v>
      </c>
      <c r="T47" s="882" t="str">
        <v>2021-09-26T07:13:08.000Z</v>
      </c>
      <c r="U47" s="882" t="str">
        <v>2021-09-26T07:13:08.000Z</v>
      </c>
    </row>
    <row r="48" spans="2:21">
      <c r="B48" s="902"/>
      <c r="C48" s="882" t="str">
        <f>_xlfn.TEXTJOIN(",",TRUE,C34:C40,C33)</f>
        <v>quote__USD__price,quote__USD__volume_24h,quote__USD__percent_change_1h,quote__USD__percent_change_24h,quote__USD__percent_change_7d,quote__USD__market_cap,quote__USD__last_updated,last_updated</v>
      </c>
      <c r="E48" s="901" t="str">
        <v>Aave</v>
      </c>
      <c r="F48" s="882" t="str">
        <v>AAVE</v>
      </c>
      <c r="G48" s="906">
        <v>264.12409364738988</v>
      </c>
      <c r="H48" s="890">
        <v>3483262240.9016929</v>
      </c>
      <c r="I48" s="890">
        <v>202580316.21231821</v>
      </c>
      <c r="K48" s="891">
        <f t="shared" si="3"/>
        <v>8.1764140000000006E-4</v>
      </c>
      <c r="L48" s="891">
        <f t="shared" si="3"/>
        <v>-5.8524112500000003E-2</v>
      </c>
      <c r="M48" s="891">
        <f t="shared" si="3"/>
        <v>-0.25337134580000004</v>
      </c>
      <c r="N48" s="882">
        <v>8.1764139999999999E-2</v>
      </c>
      <c r="O48" s="882">
        <v>-5.8524112500000003</v>
      </c>
      <c r="P48" s="882">
        <v>-25.337134580000001</v>
      </c>
      <c r="Q48" s="892">
        <v>13187976.124404261</v>
      </c>
      <c r="R48" s="892">
        <v>16000000</v>
      </c>
      <c r="S48" s="892">
        <v>16000000</v>
      </c>
      <c r="T48" s="882" t="str">
        <v>2021-09-26T07:14:03.000Z</v>
      </c>
      <c r="U48" s="882" t="str">
        <v>2021-09-26T07:14:03.000Z</v>
      </c>
    </row>
    <row r="49" spans="1:21">
      <c r="B49" s="902"/>
      <c r="C49" s="882" t="s">
        <v>597</v>
      </c>
      <c r="E49" s="901" t="str">
        <v>Quant</v>
      </c>
      <c r="F49" s="882" t="str">
        <v>QNT</v>
      </c>
      <c r="G49" s="906">
        <v>288.28132749560154</v>
      </c>
      <c r="H49" s="890">
        <v>3480344937.1465936</v>
      </c>
      <c r="I49" s="890">
        <v>56494260.703336269</v>
      </c>
      <c r="K49" s="891">
        <f t="shared" si="3"/>
        <v>-4.7842511999999998E-3</v>
      </c>
      <c r="L49" s="891">
        <f t="shared" si="3"/>
        <v>-7.5743058000000002E-2</v>
      </c>
      <c r="M49" s="891">
        <f t="shared" si="3"/>
        <v>-0.1938667932</v>
      </c>
      <c r="N49" s="882">
        <v>-0.47842511999999998</v>
      </c>
      <c r="O49" s="882">
        <v>-7.5743058000000003</v>
      </c>
      <c r="P49" s="882">
        <v>-19.386679319999999</v>
      </c>
      <c r="Q49" s="892">
        <v>12072738</v>
      </c>
      <c r="R49" s="892">
        <v>14612493.080825999</v>
      </c>
      <c r="S49" s="892">
        <v>14612493</v>
      </c>
      <c r="T49" s="882" t="str">
        <v>2021-09-26T07:14:03.000Z</v>
      </c>
      <c r="U49" s="882" t="str">
        <v>2021-09-26T07:14:03.000Z</v>
      </c>
    </row>
    <row r="50" spans="1:21">
      <c r="B50" s="902"/>
      <c r="E50" s="901" t="str">
        <v>NEAR Protocol</v>
      </c>
      <c r="F50" s="882" t="str">
        <v>NEAR</v>
      </c>
      <c r="G50" s="906">
        <v>7.1514143939702199</v>
      </c>
      <c r="H50" s="890">
        <v>3347917005.9978485</v>
      </c>
      <c r="I50" s="890">
        <v>242096850.75515786</v>
      </c>
      <c r="K50" s="891">
        <f t="shared" si="3"/>
        <v>-2.4407382000000001E-3</v>
      </c>
      <c r="L50" s="891">
        <f t="shared" si="3"/>
        <v>-9.6905131800000002E-2</v>
      </c>
      <c r="M50" s="891">
        <f t="shared" si="3"/>
        <v>-0.20067396129999998</v>
      </c>
      <c r="N50" s="882">
        <v>-0.24407382</v>
      </c>
      <c r="O50" s="882">
        <v>-9.6905131799999999</v>
      </c>
      <c r="P50" s="882">
        <v>-20.067396129999999</v>
      </c>
      <c r="Q50" s="892">
        <v>468147533</v>
      </c>
      <c r="R50" s="892">
        <v>1000000000</v>
      </c>
      <c r="S50" s="892">
        <v>1000000000</v>
      </c>
      <c r="T50" s="882" t="str">
        <v>2021-09-26T07:14:05.000Z</v>
      </c>
      <c r="U50" s="882" t="str">
        <v>2021-09-26T07:14:05.000Z</v>
      </c>
    </row>
    <row r="51" spans="1:21">
      <c r="B51" s="902"/>
      <c r="E51" s="901" t="str">
        <v>Hedera Hashgraph</v>
      </c>
      <c r="F51" s="882" t="str">
        <v>HBAR</v>
      </c>
      <c r="G51" s="906">
        <v>0.32383449669731001</v>
      </c>
      <c r="H51" s="890">
        <v>3331898788.6888962</v>
      </c>
      <c r="I51" s="890">
        <v>423885676.4060024</v>
      </c>
      <c r="K51" s="891">
        <f t="shared" si="3"/>
        <v>-4.2406190999999998E-3</v>
      </c>
      <c r="L51" s="891">
        <f t="shared" si="3"/>
        <v>-5.77390183E-2</v>
      </c>
      <c r="M51" s="891">
        <f t="shared" si="3"/>
        <v>-0.2294648883</v>
      </c>
      <c r="N51" s="882">
        <v>-0.42406190999999999</v>
      </c>
      <c r="O51" s="882">
        <v>-5.7739018299999998</v>
      </c>
      <c r="P51" s="882">
        <v>-22.94648883</v>
      </c>
      <c r="Q51" s="892">
        <v>10288893934</v>
      </c>
      <c r="R51" s="892">
        <v>50000000000</v>
      </c>
      <c r="S51" s="892">
        <v>50000000000</v>
      </c>
      <c r="T51" s="882" t="str">
        <v>2021-09-26T07:14:07.000Z</v>
      </c>
      <c r="U51" s="882" t="str">
        <v>2021-09-26T07:14:07.000Z</v>
      </c>
    </row>
    <row r="52" spans="1:21">
      <c r="B52" s="902"/>
      <c r="E52" s="901" t="str">
        <v>IOTA</v>
      </c>
      <c r="F52" s="882" t="str">
        <v>MIOTA</v>
      </c>
      <c r="G52" s="906">
        <v>1.1680842310216999</v>
      </c>
      <c r="H52" s="890">
        <v>3246725493.219583</v>
      </c>
      <c r="I52" s="890">
        <v>67686613.208692506</v>
      </c>
      <c r="K52" s="891">
        <f t="shared" si="3"/>
        <v>-1.5221596300000001E-2</v>
      </c>
      <c r="L52" s="891">
        <f t="shared" si="3"/>
        <v>-7.2708202999999999E-2</v>
      </c>
      <c r="M52" s="891">
        <f t="shared" si="3"/>
        <v>-0.2822278104</v>
      </c>
      <c r="N52" s="882">
        <v>-1.52215963</v>
      </c>
      <c r="O52" s="882">
        <v>-7.2708202999999996</v>
      </c>
      <c r="P52" s="882">
        <v>-28.222781040000001</v>
      </c>
      <c r="Q52" s="892">
        <v>2779530283</v>
      </c>
      <c r="R52" s="892">
        <v>2779530283</v>
      </c>
      <c r="S52" s="892">
        <v>2779530283</v>
      </c>
      <c r="T52" s="882" t="str">
        <v>2021-09-26T07:13:08.000Z</v>
      </c>
      <c r="U52" s="882" t="str">
        <v>2021-09-26T07:13:08.000Z</v>
      </c>
    </row>
    <row r="53" spans="1:21">
      <c r="B53" s="902"/>
      <c r="E53" s="901" t="str">
        <v>The Graph</v>
      </c>
      <c r="F53" s="882" t="str">
        <v>GRT</v>
      </c>
      <c r="G53" s="906">
        <v>0.65849849504333002</v>
      </c>
      <c r="H53" s="890">
        <v>3105304532.222857</v>
      </c>
      <c r="I53" s="890">
        <v>107864132.55432306</v>
      </c>
      <c r="K53" s="891">
        <f t="shared" si="3"/>
        <v>-2.5102449999999999E-3</v>
      </c>
      <c r="L53" s="891">
        <f t="shared" si="3"/>
        <v>-3.9139631800000005E-2</v>
      </c>
      <c r="M53" s="891">
        <f t="shared" si="3"/>
        <v>-0.2111673114</v>
      </c>
      <c r="N53" s="882">
        <v>-0.25102449999999998</v>
      </c>
      <c r="O53" s="882">
        <v>-3.9139631800000001</v>
      </c>
      <c r="P53" s="882">
        <v>-21.116731139999999</v>
      </c>
      <c r="Q53" s="892">
        <v>4715735200</v>
      </c>
      <c r="R53" s="892">
        <v>10000000000</v>
      </c>
      <c r="S53" s="892">
        <v>10057044431</v>
      </c>
      <c r="T53" s="882" t="str">
        <v>2021-09-26T07:14:06.000Z</v>
      </c>
      <c r="U53" s="882" t="str">
        <v>2021-09-26T07:14:06.000Z</v>
      </c>
    </row>
    <row r="54" spans="1:21">
      <c r="B54" s="902"/>
      <c r="E54" s="901" t="str">
        <v>Fantom</v>
      </c>
      <c r="F54" s="882" t="str">
        <v>FTM</v>
      </c>
      <c r="G54" s="906">
        <v>1.1669989600605499</v>
      </c>
      <c r="H54" s="890">
        <v>2970019673.9385762</v>
      </c>
      <c r="I54" s="890">
        <v>497257887.64105934</v>
      </c>
      <c r="K54" s="891">
        <f t="shared" si="3"/>
        <v>-7.7968625000000005E-3</v>
      </c>
      <c r="L54" s="891">
        <f t="shared" si="3"/>
        <v>-0.1242382662</v>
      </c>
      <c r="M54" s="891">
        <f t="shared" si="3"/>
        <v>-0.11944</v>
      </c>
      <c r="N54" s="882">
        <v>-0.77968625000000003</v>
      </c>
      <c r="O54" s="882">
        <v>-12.42382662</v>
      </c>
      <c r="P54" s="882">
        <v>-11.944000000000001</v>
      </c>
      <c r="Q54" s="892">
        <v>2545006273</v>
      </c>
      <c r="R54" s="892">
        <v>2545006273</v>
      </c>
      <c r="S54" s="892">
        <v>3175000000</v>
      </c>
      <c r="T54" s="882" t="str">
        <v>2021-09-26T07:14:06.000Z</v>
      </c>
      <c r="U54" s="882" t="str">
        <v>2021-09-26T07:14:06.000Z</v>
      </c>
    </row>
    <row r="55" spans="1:21">
      <c r="B55" s="902"/>
      <c r="E55" s="901" t="str">
        <v>SHIBA INU</v>
      </c>
      <c r="F55" s="882" t="str">
        <v>SHIB</v>
      </c>
      <c r="G55" s="906">
        <v>7.0781835800000004E-6</v>
      </c>
      <c r="H55" s="890">
        <v>2794438564.6496801</v>
      </c>
      <c r="I55" s="890">
        <v>189207769.54946148</v>
      </c>
      <c r="K55" s="891">
        <f t="shared" si="3"/>
        <v>-4.0781804999999996E-3</v>
      </c>
      <c r="L55" s="891">
        <f t="shared" si="3"/>
        <v>-4.44999451E-2</v>
      </c>
      <c r="M55" s="891">
        <f t="shared" si="3"/>
        <v>-7.9098394200000005E-2</v>
      </c>
      <c r="N55" s="882">
        <v>-0.40781804999999999</v>
      </c>
      <c r="O55" s="882">
        <v>-4.4499945099999998</v>
      </c>
      <c r="P55" s="882">
        <v>-7.90983942</v>
      </c>
      <c r="Q55" s="892">
        <v>394796000000000</v>
      </c>
      <c r="R55" s="892">
        <v>1000000000000000</v>
      </c>
      <c r="S55" s="892">
        <v>0</v>
      </c>
      <c r="T55" s="882" t="str">
        <v>2021-09-26T07:13:10.000Z</v>
      </c>
      <c r="U55" s="882" t="str">
        <v>2021-09-26T07:13:10.000Z</v>
      </c>
    </row>
    <row r="56" spans="1:21">
      <c r="B56" s="902"/>
      <c r="E56" s="901" t="str">
        <v>UNUS SED LEO</v>
      </c>
      <c r="F56" s="882" t="str">
        <v>LEO</v>
      </c>
      <c r="G56" s="906">
        <v>2.8190865688235598</v>
      </c>
      <c r="H56" s="890">
        <v>2689279275.156764</v>
      </c>
      <c r="I56" s="890">
        <v>2819952.4549146001</v>
      </c>
      <c r="K56" s="891">
        <f t="shared" si="3"/>
        <v>-7.406585E-4</v>
      </c>
      <c r="L56" s="891">
        <f t="shared" si="3"/>
        <v>-2.4744571899999998E-2</v>
      </c>
      <c r="M56" s="891">
        <f t="shared" si="3"/>
        <v>-9.5509719800000004E-2</v>
      </c>
      <c r="N56" s="882">
        <v>-7.4065850000000003E-2</v>
      </c>
      <c r="O56" s="882">
        <v>-2.4744571899999999</v>
      </c>
      <c r="P56" s="882">
        <v>-9.5509719799999999</v>
      </c>
      <c r="Q56" s="892">
        <v>953954130</v>
      </c>
      <c r="R56" s="892">
        <v>985239504</v>
      </c>
      <c r="S56" s="892">
        <v>0</v>
      </c>
      <c r="T56" s="882" t="str">
        <v>2021-09-26T07:13:09.000Z</v>
      </c>
      <c r="U56" s="882" t="str">
        <v>2021-09-26T07:13:09.000Z</v>
      </c>
    </row>
    <row r="57" spans="1:21">
      <c r="B57" s="902"/>
      <c r="E57" s="901" t="str">
        <v>Kusama</v>
      </c>
      <c r="F57" s="882" t="str">
        <v>KSM</v>
      </c>
      <c r="G57" s="906">
        <v>315.41953714714532</v>
      </c>
      <c r="H57" s="890">
        <v>2671634408.8125334</v>
      </c>
      <c r="I57" s="890">
        <v>114763999.03516831</v>
      </c>
      <c r="K57" s="891">
        <f t="shared" si="3"/>
        <v>-6.9551235000000003E-3</v>
      </c>
      <c r="L57" s="891">
        <f t="shared" si="3"/>
        <v>-4.7423625999999997E-2</v>
      </c>
      <c r="M57" s="891">
        <f t="shared" si="3"/>
        <v>-0.2412043784</v>
      </c>
      <c r="N57" s="882">
        <v>-0.69551235</v>
      </c>
      <c r="O57" s="882">
        <v>-4.7423625999999999</v>
      </c>
      <c r="P57" s="882">
        <v>-24.120437840000001</v>
      </c>
      <c r="Q57" s="892">
        <v>8470098.0572620593</v>
      </c>
      <c r="R57" s="892">
        <v>9651217.4512620606</v>
      </c>
      <c r="S57" s="892">
        <v>0</v>
      </c>
      <c r="T57" s="882" t="str">
        <v>2021-09-26T07:13:10.000Z</v>
      </c>
      <c r="U57" s="882" t="str">
        <v>2021-09-26T07:13:10.000Z</v>
      </c>
    </row>
    <row r="58" spans="1:21">
      <c r="B58" s="902"/>
      <c r="E58" s="901" t="str">
        <v>TerraUSD</v>
      </c>
      <c r="F58" s="882" t="str">
        <v>UST</v>
      </c>
      <c r="G58" s="906">
        <v>1.00163694314479</v>
      </c>
      <c r="H58" s="890">
        <v>2662852956.9960747</v>
      </c>
      <c r="I58" s="890">
        <v>68627449.007360891</v>
      </c>
      <c r="K58" s="891">
        <f t="shared" si="3"/>
        <v>-1.0963535000000002E-3</v>
      </c>
      <c r="L58" s="891">
        <f t="shared" si="3"/>
        <v>-2.90158E-4</v>
      </c>
      <c r="M58" s="891">
        <f t="shared" si="3"/>
        <v>-1.3690701E-3</v>
      </c>
      <c r="N58" s="882">
        <v>-0.10963535000000001</v>
      </c>
      <c r="O58" s="882">
        <v>-2.9015800000000001E-2</v>
      </c>
      <c r="P58" s="882">
        <v>-0.13690701</v>
      </c>
      <c r="Q58" s="892">
        <v>2658501141.7766271</v>
      </c>
      <c r="R58" s="892">
        <v>2658501141.7766271</v>
      </c>
      <c r="S58" s="892">
        <v>0</v>
      </c>
      <c r="T58" s="882" t="str">
        <v>2021-09-26T07:13:10.000Z</v>
      </c>
      <c r="U58" s="882" t="str">
        <v>2021-09-26T07:13:10.000Z</v>
      </c>
    </row>
    <row r="59" spans="1:21">
      <c r="E59" s="901" t="str">
        <v>Neo</v>
      </c>
      <c r="F59" s="882" t="str">
        <v>NEO</v>
      </c>
      <c r="G59" s="906">
        <v>37.477890101536467</v>
      </c>
      <c r="H59" s="890">
        <v>2643646556.1088538</v>
      </c>
      <c r="I59" s="890">
        <v>260519910.72672638</v>
      </c>
      <c r="K59" s="891">
        <f t="shared" si="3"/>
        <v>-1.1906294E-3</v>
      </c>
      <c r="L59" s="891">
        <f t="shared" si="3"/>
        <v>-5.47965516E-2</v>
      </c>
      <c r="M59" s="891">
        <f t="shared" si="3"/>
        <v>-0.24261487240000001</v>
      </c>
      <c r="N59" s="882">
        <v>-0.11906294000000001</v>
      </c>
      <c r="O59" s="882">
        <v>-5.4796551600000001</v>
      </c>
      <c r="P59" s="882">
        <v>-24.261487240000001</v>
      </c>
      <c r="Q59" s="892">
        <v>70538831</v>
      </c>
      <c r="R59" s="892">
        <v>100000000</v>
      </c>
      <c r="S59" s="892">
        <v>100000000</v>
      </c>
      <c r="T59" s="882" t="str">
        <v>2021-09-26T07:14:05.000Z</v>
      </c>
      <c r="U59" s="882" t="str">
        <v>2021-09-26T07:14:05.000Z</v>
      </c>
    </row>
    <row r="60" spans="1:21">
      <c r="E60" s="901" t="str">
        <v>Klaytn</v>
      </c>
      <c r="F60" s="882" t="str">
        <v>KLAY</v>
      </c>
      <c r="G60" s="906">
        <v>1.05203505384036</v>
      </c>
      <c r="H60" s="890">
        <v>2638279455.5678267</v>
      </c>
      <c r="I60" s="890">
        <v>88673210.808548614</v>
      </c>
      <c r="K60" s="891">
        <f t="shared" si="3"/>
        <v>1.9809449E-3</v>
      </c>
      <c r="L60" s="891">
        <f t="shared" si="3"/>
        <v>-3.3070768199999996E-2</v>
      </c>
      <c r="M60" s="891">
        <f t="shared" si="3"/>
        <v>-0.16908578559999998</v>
      </c>
      <c r="N60" s="882">
        <v>0.19809449000000001</v>
      </c>
      <c r="O60" s="882">
        <v>-3.3070768199999998</v>
      </c>
      <c r="P60" s="882">
        <v>-16.908578559999999</v>
      </c>
      <c r="Q60" s="892">
        <v>2507786642.5999999</v>
      </c>
      <c r="R60" s="892">
        <v>10680772393.6</v>
      </c>
      <c r="S60" s="892">
        <v>0</v>
      </c>
      <c r="T60" s="882" t="str">
        <v>2021-09-26T07:14:03.000Z</v>
      </c>
      <c r="U60" s="882" t="str">
        <v>2021-09-26T07:14:03.000Z</v>
      </c>
    </row>
    <row r="61" spans="1:21">
      <c r="E61" s="901" t="str">
        <v>Waves</v>
      </c>
      <c r="F61" s="882" t="str">
        <v>WAVES</v>
      </c>
      <c r="G61" s="906">
        <v>23.18399165143623</v>
      </c>
      <c r="H61" s="890">
        <v>2463697692.1495709</v>
      </c>
      <c r="I61" s="890">
        <v>92413885.617611811</v>
      </c>
      <c r="K61" s="891">
        <f t="shared" si="3"/>
        <v>4.3448964000000001E-3</v>
      </c>
      <c r="L61" s="891">
        <f t="shared" si="3"/>
        <v>-6.1680394899999998E-2</v>
      </c>
      <c r="M61" s="891">
        <f t="shared" si="3"/>
        <v>-0.19788386370000002</v>
      </c>
      <c r="N61" s="882">
        <v>0.43448964000000001</v>
      </c>
      <c r="O61" s="882">
        <v>-6.16803949</v>
      </c>
      <c r="P61" s="882">
        <v>-19.788386370000001</v>
      </c>
      <c r="Q61" s="892">
        <v>106267192</v>
      </c>
      <c r="R61" s="892">
        <v>106267192</v>
      </c>
      <c r="S61" s="892">
        <v>0</v>
      </c>
      <c r="T61" s="882" t="str">
        <v>2021-09-26T07:14:04.000Z</v>
      </c>
      <c r="U61" s="882" t="str">
        <v>2021-09-26T07:14:04.000Z</v>
      </c>
    </row>
    <row r="62" spans="1:21">
      <c r="A62" s="902" t="str">
        <f t="array" ref="A62:B64">A14:B16</f>
        <v>formatDates</v>
      </c>
      <c r="B62" s="902">
        <v>0</v>
      </c>
      <c r="E62" s="901" t="str">
        <v>Bitcoin SV</v>
      </c>
      <c r="F62" s="882" t="str">
        <v>BSV</v>
      </c>
      <c r="G62" s="906">
        <v>129.1801146170483</v>
      </c>
      <c r="H62" s="890">
        <v>2435386085.4866519</v>
      </c>
      <c r="I62" s="890">
        <v>441705248.9154703</v>
      </c>
      <c r="K62" s="891">
        <f t="shared" si="3"/>
        <v>-7.0470352999999998E-3</v>
      </c>
      <c r="L62" s="891">
        <f t="shared" si="3"/>
        <v>-4.6751829500000001E-2</v>
      </c>
      <c r="M62" s="891">
        <f t="shared" si="3"/>
        <v>-0.19406574760000003</v>
      </c>
      <c r="N62" s="882">
        <v>-0.70470352999999997</v>
      </c>
      <c r="O62" s="882">
        <v>-4.6751829499999999</v>
      </c>
      <c r="P62" s="882">
        <v>-19.406574760000002</v>
      </c>
      <c r="Q62" s="892">
        <v>18852639.144239049</v>
      </c>
      <c r="R62" s="892">
        <v>18852639.144239049</v>
      </c>
      <c r="S62" s="892">
        <v>21000000</v>
      </c>
      <c r="T62" s="882" t="str">
        <v>2021-09-26T07:14:06.000Z</v>
      </c>
      <c r="U62" s="882" t="str">
        <v>2021-09-26T07:14:06.000Z</v>
      </c>
    </row>
    <row r="63" spans="1:21">
      <c r="A63" s="902" t="str">
        <v>orderBy</v>
      </c>
      <c r="B63" s="902">
        <v>0</v>
      </c>
      <c r="E63" s="901" t="str">
        <v>Maker</v>
      </c>
      <c r="F63" s="882" t="str">
        <v>MKR</v>
      </c>
      <c r="G63" s="906">
        <v>2369.4909048122395</v>
      </c>
      <c r="H63" s="890">
        <v>2348943584.7244406</v>
      </c>
      <c r="I63" s="890">
        <v>241902262.39502862</v>
      </c>
      <c r="K63" s="891">
        <f t="shared" si="3"/>
        <v>-6.4332759999999999E-3</v>
      </c>
      <c r="L63" s="891">
        <f t="shared" si="3"/>
        <v>3.4045158999999998E-2</v>
      </c>
      <c r="M63" s="891">
        <f t="shared" si="3"/>
        <v>-0.1734309527</v>
      </c>
      <c r="N63" s="882">
        <v>-0.6433276</v>
      </c>
      <c r="O63" s="882">
        <v>3.4045158999999998</v>
      </c>
      <c r="P63" s="882">
        <v>-17.343095269999999</v>
      </c>
      <c r="Q63" s="892">
        <v>991328.38195493002</v>
      </c>
      <c r="R63" s="892">
        <v>991328.38195493002</v>
      </c>
      <c r="S63" s="892">
        <v>1005577</v>
      </c>
      <c r="T63" s="882" t="str">
        <v>2021-09-26T07:14:06.000Z</v>
      </c>
      <c r="U63" s="882" t="str">
        <v>2021-09-26T07:14:06.000Z</v>
      </c>
    </row>
    <row r="64" spans="1:21">
      <c r="A64" s="902" t="str">
        <v>limit</v>
      </c>
      <c r="B64" s="902">
        <v>0</v>
      </c>
      <c r="E64" s="901" t="str">
        <v>BitTorrent</v>
      </c>
      <c r="F64" s="882" t="str">
        <v>BTT</v>
      </c>
      <c r="G64" s="906">
        <v>3.1606965634499999E-3</v>
      </c>
      <c r="H64" s="890">
        <v>2085909993.8773065</v>
      </c>
      <c r="I64" s="890">
        <v>279276003.68596178</v>
      </c>
      <c r="K64" s="891">
        <f t="shared" si="3"/>
        <v>-6.1432689999999998E-4</v>
      </c>
      <c r="L64" s="891">
        <f t="shared" si="3"/>
        <v>-3.8076631500000006E-2</v>
      </c>
      <c r="M64" s="891">
        <f t="shared" si="3"/>
        <v>-0.19604857930000003</v>
      </c>
      <c r="N64" s="882">
        <v>-6.1432689999999998E-2</v>
      </c>
      <c r="O64" s="882">
        <v>-3.8076631500000002</v>
      </c>
      <c r="P64" s="882">
        <v>-19.604857930000001</v>
      </c>
      <c r="Q64" s="892">
        <v>659952625000</v>
      </c>
      <c r="R64" s="892">
        <v>990000000000</v>
      </c>
      <c r="S64" s="892">
        <v>0</v>
      </c>
      <c r="T64" s="882" t="str">
        <v>2021-09-26T07:14:07.000Z</v>
      </c>
      <c r="U64" s="882" t="str">
        <v>2021-09-26T07:14:07.000Z</v>
      </c>
    </row>
    <row r="65" spans="1:21">
      <c r="A65" s="902" t="s">
        <v>570</v>
      </c>
      <c r="B65" s="902" t="s">
        <v>598</v>
      </c>
      <c r="E65" s="901" t="str">
        <v>Celo</v>
      </c>
      <c r="F65" s="882" t="str">
        <v>CELO</v>
      </c>
      <c r="G65" s="906">
        <v>6.3848562743896</v>
      </c>
      <c r="H65" s="890">
        <v>1958997222.096813</v>
      </c>
      <c r="I65" s="890">
        <v>293318276.80434865</v>
      </c>
      <c r="K65" s="891">
        <f t="shared" si="3"/>
        <v>-4.1412400000000004E-5</v>
      </c>
      <c r="L65" s="891">
        <f t="shared" si="3"/>
        <v>-9.1812299500000014E-2</v>
      </c>
      <c r="M65" s="891">
        <f t="shared" si="3"/>
        <v>0.21752030580000001</v>
      </c>
      <c r="N65" s="882">
        <v>-4.14124E-3</v>
      </c>
      <c r="O65" s="882">
        <v>-9.1812299500000005</v>
      </c>
      <c r="P65" s="882">
        <v>21.75203058</v>
      </c>
      <c r="Q65" s="892">
        <v>306819314</v>
      </c>
      <c r="R65" s="892">
        <v>1000000000</v>
      </c>
      <c r="S65" s="892">
        <v>1000000000</v>
      </c>
      <c r="T65" s="882" t="str">
        <v>2021-09-26T07:14:06.000Z</v>
      </c>
      <c r="U65" s="882" t="str">
        <v>2021-09-26T07:14:06.000Z</v>
      </c>
    </row>
    <row r="66" spans="1:21">
      <c r="E66" s="901" t="str">
        <v>Amp</v>
      </c>
      <c r="F66" s="882" t="str">
        <v>AMP</v>
      </c>
      <c r="G66" s="906">
        <v>4.5710003777700001E-2</v>
      </c>
      <c r="H66" s="890">
        <v>1930228426.4456506</v>
      </c>
      <c r="I66" s="890">
        <v>18330148.506767578</v>
      </c>
      <c r="K66" s="891">
        <f t="shared" si="3"/>
        <v>-9.2791504E-3</v>
      </c>
      <c r="L66" s="891">
        <f t="shared" si="3"/>
        <v>5.6041235000000005E-3</v>
      </c>
      <c r="M66" s="891">
        <f t="shared" si="3"/>
        <v>-7.3757107700000005E-2</v>
      </c>
      <c r="N66" s="882">
        <v>-0.92791504000000002</v>
      </c>
      <c r="O66" s="882">
        <v>0.56041235</v>
      </c>
      <c r="P66" s="882">
        <v>-7.3757107700000004</v>
      </c>
      <c r="Q66" s="892">
        <v>42227702186</v>
      </c>
      <c r="R66" s="892">
        <v>99213408535</v>
      </c>
      <c r="S66" s="892">
        <v>92547638199</v>
      </c>
      <c r="T66" s="882" t="str">
        <v>2021-09-26T07:13:09.000Z</v>
      </c>
      <c r="U66" s="882" t="str">
        <v>2021-09-26T07:13:09.000Z</v>
      </c>
    </row>
    <row r="67" spans="1:21">
      <c r="E67" s="901" t="str">
        <v>Compound</v>
      </c>
      <c r="F67" s="882" t="str">
        <v>COMP</v>
      </c>
      <c r="G67" s="906">
        <v>319.4539771835224</v>
      </c>
      <c r="H67" s="890">
        <v>1758947941.6310732</v>
      </c>
      <c r="I67" s="890">
        <v>105336106.51207463</v>
      </c>
      <c r="K67" s="891">
        <f t="shared" si="3"/>
        <v>-1.4351549E-3</v>
      </c>
      <c r="L67" s="891">
        <f t="shared" si="3"/>
        <v>-6.8725660300000005E-2</v>
      </c>
      <c r="M67" s="891">
        <f t="shared" si="3"/>
        <v>-0.20392633539999999</v>
      </c>
      <c r="N67" s="882">
        <v>-0.14351549</v>
      </c>
      <c r="O67" s="882">
        <v>-6.8725660299999998</v>
      </c>
      <c r="P67" s="882">
        <v>-20.392633539999999</v>
      </c>
      <c r="Q67" s="892">
        <v>5506107.5061231097</v>
      </c>
      <c r="R67" s="892">
        <v>10000000</v>
      </c>
      <c r="S67" s="892">
        <v>10000000</v>
      </c>
      <c r="T67" s="882" t="str">
        <v>2021-09-26T07:14:06.000Z</v>
      </c>
      <c r="U67" s="882" t="str">
        <v>2021-09-26T07:14:06.000Z</v>
      </c>
    </row>
    <row r="68" spans="1:21">
      <c r="E68" s="901" t="str">
        <v>Helium</v>
      </c>
      <c r="F68" s="882" t="str">
        <v>HNT</v>
      </c>
      <c r="G68" s="906">
        <v>17.516066566179202</v>
      </c>
      <c r="H68" s="890">
        <v>1726368727.6213765</v>
      </c>
      <c r="I68" s="890">
        <v>16242736.719358969</v>
      </c>
      <c r="K68" s="891">
        <f t="shared" si="3"/>
        <v>-2.3213963E-3</v>
      </c>
      <c r="L68" s="891">
        <f t="shared" si="3"/>
        <v>-1.5698776099999999E-2</v>
      </c>
      <c r="M68" s="891">
        <f t="shared" si="3"/>
        <v>-0.12893245820000002</v>
      </c>
      <c r="N68" s="882">
        <v>-0.23213963000000001</v>
      </c>
      <c r="O68" s="882">
        <v>-1.56987761</v>
      </c>
      <c r="P68" s="882">
        <v>-12.893245820000001</v>
      </c>
      <c r="Q68" s="892">
        <v>98559155.453012824</v>
      </c>
      <c r="R68" s="892">
        <v>223000000</v>
      </c>
      <c r="S68" s="892">
        <v>223000000</v>
      </c>
      <c r="T68" s="882" t="str">
        <v>2021-09-26T07:14:06.000Z</v>
      </c>
      <c r="U68" s="882" t="str">
        <v>2021-09-26T07:14:06.000Z</v>
      </c>
    </row>
    <row r="69" spans="1:21">
      <c r="E69" s="901" t="str">
        <v>Harmony</v>
      </c>
      <c r="F69" s="882" t="str">
        <v>ONE</v>
      </c>
      <c r="G69" s="906">
        <v>0.15732734166758999</v>
      </c>
      <c r="H69" s="890">
        <v>1662476635.9895613</v>
      </c>
      <c r="I69" s="890">
        <v>308086788.39124745</v>
      </c>
      <c r="K69" s="891">
        <f t="shared" si="3"/>
        <v>-6.2209904999999998E-3</v>
      </c>
      <c r="L69" s="891">
        <f t="shared" si="3"/>
        <v>-5.5289321300000006E-2</v>
      </c>
      <c r="M69" s="891">
        <f t="shared" si="3"/>
        <v>-3.9857750500000004E-2</v>
      </c>
      <c r="N69" s="882">
        <v>-0.62209904999999999</v>
      </c>
      <c r="O69" s="882">
        <v>-5.5289321300000003</v>
      </c>
      <c r="P69" s="882">
        <v>-3.98577505</v>
      </c>
      <c r="Q69" s="892">
        <v>10566991206.793127</v>
      </c>
      <c r="R69" s="892">
        <v>13185756206.793139</v>
      </c>
      <c r="S69" s="892">
        <v>0</v>
      </c>
      <c r="T69" s="882" t="str">
        <v>2021-09-26T07:13:09.000Z</v>
      </c>
      <c r="U69" s="882" t="str">
        <v>2021-09-26T07:13:09.000Z</v>
      </c>
    </row>
    <row r="70" spans="1:21">
      <c r="E70" s="901" t="str">
        <v>Dash</v>
      </c>
      <c r="F70" s="882" t="str">
        <v>DASH</v>
      </c>
      <c r="G70" s="906">
        <v>159.19805293896039</v>
      </c>
      <c r="H70" s="890">
        <v>1647333202.5095842</v>
      </c>
      <c r="I70" s="890">
        <v>255197457.00109968</v>
      </c>
      <c r="K70" s="891">
        <f t="shared" si="3"/>
        <v>-8.8825499999999999E-5</v>
      </c>
      <c r="L70" s="891">
        <f t="shared" si="3"/>
        <v>-3.9713549299999998E-2</v>
      </c>
      <c r="M70" s="891">
        <f t="shared" si="3"/>
        <v>-0.20463743380000002</v>
      </c>
      <c r="N70" s="882">
        <v>-8.8825499999999995E-3</v>
      </c>
      <c r="O70" s="882">
        <v>-3.9713549299999999</v>
      </c>
      <c r="P70" s="882">
        <v>-20.46374338</v>
      </c>
      <c r="Q70" s="892">
        <v>10347696.922783369</v>
      </c>
      <c r="R70" s="892">
        <v>10347696.922783369</v>
      </c>
      <c r="S70" s="892">
        <v>18900000</v>
      </c>
      <c r="T70" s="882" t="str">
        <v>2021-09-26T07:14:03.000Z</v>
      </c>
      <c r="U70" s="882" t="str">
        <v>2021-09-26T07:14:03.000Z</v>
      </c>
    </row>
    <row r="71" spans="1:21">
      <c r="E71" s="901" t="str">
        <v>THORChain</v>
      </c>
      <c r="F71" s="882" t="str">
        <v>RUNE</v>
      </c>
      <c r="G71" s="906">
        <v>7.0676929407512903</v>
      </c>
      <c r="H71" s="890">
        <v>1586062493.3923924</v>
      </c>
      <c r="I71" s="890">
        <v>68769176.562574387</v>
      </c>
      <c r="K71" s="891">
        <f t="shared" si="3"/>
        <v>4.6967062000000002E-3</v>
      </c>
      <c r="L71" s="891">
        <f t="shared" si="3"/>
        <v>-0.10354544040000001</v>
      </c>
      <c r="M71" s="891">
        <f t="shared" si="3"/>
        <v>-0.28063792030000001</v>
      </c>
      <c r="N71" s="882">
        <v>0.46967061999999998</v>
      </c>
      <c r="O71" s="882">
        <v>-10.35454404</v>
      </c>
      <c r="P71" s="882">
        <v>-28.063792029999998</v>
      </c>
      <c r="Q71" s="892">
        <v>224410215.1421133</v>
      </c>
      <c r="R71" s="892">
        <v>461668422.22481161</v>
      </c>
      <c r="S71" s="892">
        <v>500000000</v>
      </c>
      <c r="T71" s="882" t="str">
        <v>2021-09-26T07:14:03.000Z</v>
      </c>
      <c r="U71" s="882" t="str">
        <v>2021-09-26T07:14:03.000Z</v>
      </c>
    </row>
    <row r="72" spans="1:21">
      <c r="E72" s="901" t="str">
        <v>Chiliz</v>
      </c>
      <c r="F72" s="882" t="str">
        <v>CHZ</v>
      </c>
      <c r="G72" s="906">
        <v>0.25803044100273997</v>
      </c>
      <c r="H72" s="890">
        <v>1525238038.4631512</v>
      </c>
      <c r="I72" s="890">
        <v>172167325.44801444</v>
      </c>
      <c r="K72" s="891">
        <f t="shared" si="3"/>
        <v>-6.9513817000000002E-3</v>
      </c>
      <c r="L72" s="891">
        <f t="shared" si="3"/>
        <v>-4.7478255500000004E-2</v>
      </c>
      <c r="M72" s="891">
        <f t="shared" si="3"/>
        <v>-0.2096701376</v>
      </c>
      <c r="N72" s="882">
        <v>-0.69513817</v>
      </c>
      <c r="O72" s="882">
        <v>-4.74782555</v>
      </c>
      <c r="P72" s="882">
        <v>-20.96701376</v>
      </c>
      <c r="Q72" s="892">
        <v>5911077904.3584051</v>
      </c>
      <c r="R72" s="892">
        <v>8888888888</v>
      </c>
      <c r="S72" s="892">
        <v>8888888888</v>
      </c>
      <c r="T72" s="882" t="str">
        <v>2021-09-26T07:13:10.000Z</v>
      </c>
      <c r="U72" s="882" t="str">
        <v>2021-09-26T07:13:10.000Z</v>
      </c>
    </row>
    <row r="73" spans="1:21">
      <c r="E73" s="901" t="str">
        <v>Stacks</v>
      </c>
      <c r="F73" s="882" t="str">
        <v>STX</v>
      </c>
      <c r="G73" s="906">
        <v>1.2176096100243701</v>
      </c>
      <c r="H73" s="890">
        <v>1520343183.9186859</v>
      </c>
      <c r="I73" s="890">
        <v>23324784.28927853</v>
      </c>
      <c r="K73" s="891">
        <f t="shared" si="3"/>
        <v>-6.7578737E-3</v>
      </c>
      <c r="L73" s="891">
        <f t="shared" si="3"/>
        <v>-3.52729388E-2</v>
      </c>
      <c r="M73" s="891">
        <f t="shared" si="3"/>
        <v>-0.16205755350000001</v>
      </c>
      <c r="N73" s="882">
        <v>-0.67578737</v>
      </c>
      <c r="O73" s="882">
        <v>-3.5272938800000002</v>
      </c>
      <c r="P73" s="882">
        <v>-16.20575535</v>
      </c>
      <c r="Q73" s="892">
        <v>1248629422.2729211</v>
      </c>
      <c r="R73" s="892">
        <v>1352464600</v>
      </c>
      <c r="S73" s="892">
        <v>1818000000</v>
      </c>
      <c r="T73" s="882" t="str">
        <v>2021-09-26T07:13:08.000Z</v>
      </c>
      <c r="U73" s="882" t="str">
        <v>2021-09-26T07:13:08.000Z</v>
      </c>
    </row>
    <row r="74" spans="1:21">
      <c r="E74" s="901" t="str">
        <v>XDC Network</v>
      </c>
      <c r="F74" s="882" t="str">
        <v>XDC</v>
      </c>
      <c r="G74" s="906">
        <v>0.1218505005099</v>
      </c>
      <c r="H74" s="890">
        <v>1498470705.6020451</v>
      </c>
      <c r="I74" s="890">
        <v>4464059.2049380597</v>
      </c>
      <c r="K74" s="891">
        <f t="shared" ref="K74:M108" si="4">N74*0.01</f>
        <v>1.0130774E-3</v>
      </c>
      <c r="L74" s="891">
        <f t="shared" si="4"/>
        <v>-2.0269663200000003E-2</v>
      </c>
      <c r="M74" s="891">
        <f t="shared" si="4"/>
        <v>1.37844839E-2</v>
      </c>
      <c r="N74" s="882">
        <v>0.10130773999999999</v>
      </c>
      <c r="O74" s="882">
        <v>-2.0269663200000001</v>
      </c>
      <c r="P74" s="882">
        <v>1.37844839</v>
      </c>
      <c r="Q74" s="892">
        <v>12297616335.85</v>
      </c>
      <c r="R74" s="892">
        <v>37697616335.849998</v>
      </c>
      <c r="S74" s="892">
        <v>0</v>
      </c>
      <c r="T74" s="882" t="str">
        <v>2021-09-26T07:14:07.000Z</v>
      </c>
      <c r="U74" s="882" t="str">
        <v>2021-09-26T07:14:07.000Z</v>
      </c>
    </row>
    <row r="75" spans="1:21">
      <c r="E75" s="901" t="str">
        <v>Decred</v>
      </c>
      <c r="F75" s="882" t="str">
        <v>DCR</v>
      </c>
      <c r="G75" s="906">
        <v>111.58178475913067</v>
      </c>
      <c r="H75" s="890">
        <v>1489202353.3336062</v>
      </c>
      <c r="I75" s="890">
        <v>11647710.3787519</v>
      </c>
      <c r="K75" s="891">
        <f t="shared" si="4"/>
        <v>-2.7393899999999999E-5</v>
      </c>
      <c r="L75" s="891">
        <f t="shared" si="4"/>
        <v>-5.1390078900000004E-2</v>
      </c>
      <c r="M75" s="891">
        <f t="shared" si="4"/>
        <v>-0.21072588069999998</v>
      </c>
      <c r="N75" s="882">
        <v>-2.73939E-3</v>
      </c>
      <c r="O75" s="882">
        <v>-5.1390078900000002</v>
      </c>
      <c r="P75" s="882">
        <v>-21.072588069999998</v>
      </c>
      <c r="Q75" s="892">
        <v>13346285.47614933</v>
      </c>
      <c r="R75" s="892">
        <v>13346285.47614933</v>
      </c>
      <c r="S75" s="892">
        <v>21000000</v>
      </c>
      <c r="T75" s="882" t="str">
        <v>2021-09-26T07:14:03.000Z</v>
      </c>
      <c r="U75" s="882" t="str">
        <v>2021-09-26T07:14:03.000Z</v>
      </c>
    </row>
    <row r="76" spans="1:21">
      <c r="E76" s="901" t="str">
        <v>TrueUSD</v>
      </c>
      <c r="F76" s="882" t="str">
        <v>TUSD</v>
      </c>
      <c r="G76" s="906">
        <v>1.00043964260021</v>
      </c>
      <c r="H76" s="890">
        <v>1453723230.0240202</v>
      </c>
      <c r="I76" s="890">
        <v>74178555.958842948</v>
      </c>
      <c r="K76" s="891">
        <f t="shared" si="4"/>
        <v>1.4978770000000002E-4</v>
      </c>
      <c r="L76" s="891">
        <f t="shared" si="4"/>
        <v>1.6687270000000001E-4</v>
      </c>
      <c r="M76" s="891">
        <f t="shared" si="4"/>
        <v>1.1321196E-3</v>
      </c>
      <c r="N76" s="882">
        <v>1.4978770000000001E-2</v>
      </c>
      <c r="O76" s="882">
        <v>1.6687270000000001E-2</v>
      </c>
      <c r="P76" s="882">
        <v>0.11321196</v>
      </c>
      <c r="Q76" s="892">
        <v>1453084392.2234986</v>
      </c>
      <c r="R76" s="892">
        <v>1453084392.2234986</v>
      </c>
      <c r="S76" s="892">
        <v>0</v>
      </c>
      <c r="T76" s="882" t="str">
        <v>2021-09-26T07:14:06.000Z</v>
      </c>
      <c r="U76" s="882" t="str">
        <v>2021-09-26T07:14:06.000Z</v>
      </c>
    </row>
    <row r="77" spans="1:21">
      <c r="E77" s="901" t="str">
        <v>Arweave</v>
      </c>
      <c r="F77" s="882" t="str">
        <v>AR</v>
      </c>
      <c r="G77" s="906">
        <v>42.47798542803973</v>
      </c>
      <c r="H77" s="890">
        <v>1418539622.4517438</v>
      </c>
      <c r="I77" s="890">
        <v>25178892.82082767</v>
      </c>
      <c r="K77" s="891">
        <f t="shared" si="4"/>
        <v>-3.7400012999999998E-3</v>
      </c>
      <c r="L77" s="891">
        <f t="shared" si="4"/>
        <v>-0.1034748029</v>
      </c>
      <c r="M77" s="891">
        <f t="shared" si="4"/>
        <v>-0.1496092631</v>
      </c>
      <c r="N77" s="882">
        <v>-0.37400012999999999</v>
      </c>
      <c r="O77" s="882">
        <v>-10.34748029</v>
      </c>
      <c r="P77" s="882">
        <v>-14.96092631</v>
      </c>
      <c r="Q77" s="892">
        <v>33394701</v>
      </c>
      <c r="R77" s="892">
        <v>63190435</v>
      </c>
      <c r="S77" s="892">
        <v>66000000</v>
      </c>
      <c r="T77" s="882" t="str">
        <v>2021-09-26T07:14:06.000Z</v>
      </c>
      <c r="U77" s="882" t="str">
        <v>2021-09-26T07:14:06.000Z</v>
      </c>
    </row>
    <row r="78" spans="1:21">
      <c r="E78" s="901" t="str">
        <v>Theta Fuel</v>
      </c>
      <c r="F78" s="882" t="str">
        <v>TFUEL</v>
      </c>
      <c r="G78" s="906">
        <v>0.26531628556039</v>
      </c>
      <c r="H78" s="890">
        <v>1406498513.5672514</v>
      </c>
      <c r="I78" s="890">
        <v>28576396.62791454</v>
      </c>
      <c r="K78" s="891">
        <f t="shared" si="4"/>
        <v>-9.9750846000000015E-3</v>
      </c>
      <c r="L78" s="891">
        <f t="shared" si="4"/>
        <v>-1.6293918399999999E-2</v>
      </c>
      <c r="M78" s="891">
        <f t="shared" si="4"/>
        <v>-0.13192541600000002</v>
      </c>
      <c r="N78" s="882">
        <v>-0.99750846000000004</v>
      </c>
      <c r="O78" s="882">
        <v>-1.62939184</v>
      </c>
      <c r="P78" s="882">
        <v>-13.1925416</v>
      </c>
      <c r="Q78" s="892">
        <v>5301214400</v>
      </c>
      <c r="R78" s="892">
        <v>5301214400</v>
      </c>
      <c r="S78" s="892">
        <v>0</v>
      </c>
      <c r="T78" s="882" t="str">
        <v>2021-09-26T07:13:08.000Z</v>
      </c>
      <c r="U78" s="882" t="str">
        <v>2021-09-26T07:13:08.000Z</v>
      </c>
    </row>
    <row r="79" spans="1:21">
      <c r="E79" s="901" t="str">
        <v>Revain</v>
      </c>
      <c r="F79" s="882" t="str">
        <v>REV</v>
      </c>
      <c r="G79" s="906">
        <v>1.646361625389E-2</v>
      </c>
      <c r="H79" s="890">
        <v>1400419658.383183</v>
      </c>
      <c r="I79" s="890">
        <v>3197703.8973467299</v>
      </c>
      <c r="K79" s="891">
        <f t="shared" si="4"/>
        <v>-1.1182310099999999E-2</v>
      </c>
      <c r="L79" s="891">
        <f t="shared" si="4"/>
        <v>-5.8313303599999998E-2</v>
      </c>
      <c r="M79" s="891">
        <f t="shared" si="4"/>
        <v>-0.20950634340000002</v>
      </c>
      <c r="N79" s="882">
        <v>-1.1182310099999999</v>
      </c>
      <c r="O79" s="882">
        <v>-5.8313303599999999</v>
      </c>
      <c r="P79" s="882">
        <v>-20.950634340000001</v>
      </c>
      <c r="Q79" s="892">
        <v>85061485689.834015</v>
      </c>
      <c r="R79" s="892">
        <v>85061485689.834015</v>
      </c>
      <c r="S79" s="892">
        <v>0</v>
      </c>
      <c r="T79" s="882" t="str">
        <v>2021-09-26T07:14:03.000Z</v>
      </c>
      <c r="U79" s="882" t="str">
        <v>2021-09-26T07:14:03.000Z</v>
      </c>
    </row>
    <row r="80" spans="1:21">
      <c r="E80" s="901" t="str">
        <v>Zcash</v>
      </c>
      <c r="F80" s="882" t="str">
        <v>ZEC</v>
      </c>
      <c r="G80" s="906">
        <v>109.381193500528</v>
      </c>
      <c r="H80" s="890">
        <v>1392633835.6916692</v>
      </c>
      <c r="I80" s="890">
        <v>191213640.25669274</v>
      </c>
      <c r="K80" s="891">
        <f t="shared" si="4"/>
        <v>3.7661060000000003E-4</v>
      </c>
      <c r="L80" s="891">
        <f t="shared" si="4"/>
        <v>-2.0765992299999998E-2</v>
      </c>
      <c r="M80" s="891">
        <f t="shared" si="4"/>
        <v>-0.21894726630000003</v>
      </c>
      <c r="N80" s="882">
        <v>3.7661060000000003E-2</v>
      </c>
      <c r="O80" s="882">
        <v>-2.0765992299999998</v>
      </c>
      <c r="P80" s="882">
        <v>-21.894726630000001</v>
      </c>
      <c r="Q80" s="892">
        <v>12731931.25</v>
      </c>
      <c r="R80" s="892">
        <v>12731931.25</v>
      </c>
      <c r="S80" s="892">
        <v>21000000</v>
      </c>
      <c r="T80" s="882" t="str">
        <v>2021-09-26T07:14:05.000Z</v>
      </c>
      <c r="U80" s="882" t="str">
        <v>2021-09-26T07:14:05.000Z</v>
      </c>
    </row>
    <row r="81" spans="5:21">
      <c r="E81" s="901" t="str">
        <v>Holo</v>
      </c>
      <c r="F81" s="882" t="str">
        <v>HOT</v>
      </c>
      <c r="G81" s="906">
        <v>7.7348613074399997E-3</v>
      </c>
      <c r="H81" s="890">
        <v>1337325441.4497561</v>
      </c>
      <c r="I81" s="890">
        <v>102574160.46431787</v>
      </c>
      <c r="K81" s="891">
        <f t="shared" si="4"/>
        <v>-9.3745438000000011E-3</v>
      </c>
      <c r="L81" s="891">
        <f t="shared" si="4"/>
        <v>-6.0982004300000003E-2</v>
      </c>
      <c r="M81" s="891">
        <f t="shared" si="4"/>
        <v>-0.2116432764</v>
      </c>
      <c r="N81" s="882">
        <v>-0.93745438000000003</v>
      </c>
      <c r="O81" s="882">
        <v>-6.0982004300000003</v>
      </c>
      <c r="P81" s="882">
        <v>-21.16432764</v>
      </c>
      <c r="Q81" s="892">
        <v>172895852723.7471</v>
      </c>
      <c r="R81" s="892">
        <v>177619433541.14133</v>
      </c>
      <c r="S81" s="892">
        <v>0</v>
      </c>
      <c r="T81" s="882" t="str">
        <v>2021-09-26T07:14:07.000Z</v>
      </c>
      <c r="U81" s="882" t="str">
        <v>2021-09-26T07:14:07.000Z</v>
      </c>
    </row>
    <row r="82" spans="5:21">
      <c r="E82" s="901" t="str">
        <v>Decentraland</v>
      </c>
      <c r="F82" s="882" t="str">
        <v>MANA</v>
      </c>
      <c r="G82" s="906">
        <v>0.72214819583125001</v>
      </c>
      <c r="H82" s="890">
        <v>1296503522.7273502</v>
      </c>
      <c r="I82" s="890">
        <v>191733139.89017114</v>
      </c>
      <c r="K82" s="891">
        <f t="shared" si="4"/>
        <v>-3.56482994E-2</v>
      </c>
      <c r="L82" s="891">
        <f t="shared" si="4"/>
        <v>3.4439466600000003E-2</v>
      </c>
      <c r="M82" s="891">
        <f t="shared" si="4"/>
        <v>-0.1183600896</v>
      </c>
      <c r="N82" s="882">
        <v>-3.5648299400000001</v>
      </c>
      <c r="O82" s="882">
        <v>3.4439466599999999</v>
      </c>
      <c r="P82" s="882">
        <v>-11.836008959999999</v>
      </c>
      <c r="Q82" s="892">
        <v>1795342742.9600811</v>
      </c>
      <c r="R82" s="892">
        <v>2194060727.3201461</v>
      </c>
      <c r="S82" s="892">
        <v>0</v>
      </c>
      <c r="T82" s="882" t="str">
        <v>2021-09-26T07:13:10.000Z</v>
      </c>
      <c r="U82" s="882" t="str">
        <v>2021-09-26T07:13:10.000Z</v>
      </c>
    </row>
    <row r="83" spans="5:21">
      <c r="E83" s="901" t="str">
        <v>NEM</v>
      </c>
      <c r="F83" s="882" t="str">
        <v>XEM</v>
      </c>
      <c r="G83" s="906">
        <v>0.14235489670904999</v>
      </c>
      <c r="H83" s="890">
        <v>1281194070.239095</v>
      </c>
      <c r="I83" s="890">
        <v>52643446.751240917</v>
      </c>
      <c r="K83" s="891">
        <f t="shared" si="4"/>
        <v>-4.9622313000000006E-3</v>
      </c>
      <c r="L83" s="891">
        <f t="shared" si="4"/>
        <v>-4.8208497400000001E-2</v>
      </c>
      <c r="M83" s="891">
        <f t="shared" si="4"/>
        <v>-0.22536950189999999</v>
      </c>
      <c r="N83" s="882">
        <v>-0.49622313000000001</v>
      </c>
      <c r="O83" s="882">
        <v>-4.8208497399999999</v>
      </c>
      <c r="P83" s="882">
        <v>-22.536950189999999</v>
      </c>
      <c r="Q83" s="892">
        <v>8999999999</v>
      </c>
      <c r="R83" s="892">
        <v>8999999999</v>
      </c>
      <c r="S83" s="892">
        <v>8999999999</v>
      </c>
      <c r="T83" s="882" t="str">
        <v>2021-09-26T07:13:10.000Z</v>
      </c>
      <c r="U83" s="882" t="str">
        <v>2021-09-26T07:13:10.000Z</v>
      </c>
    </row>
    <row r="84" spans="5:21">
      <c r="E84" s="901" t="str">
        <v>Huobi Token</v>
      </c>
      <c r="F84" s="882" t="str">
        <v>HT</v>
      </c>
      <c r="G84" s="906">
        <v>7.75953989155441</v>
      </c>
      <c r="H84" s="890">
        <v>1273196861.3352668</v>
      </c>
      <c r="I84" s="890">
        <v>453244087.77424389</v>
      </c>
      <c r="K84" s="891">
        <f t="shared" si="4"/>
        <v>-1.7515792299999999E-2</v>
      </c>
      <c r="L84" s="891">
        <f t="shared" si="4"/>
        <v>-0.1476427387</v>
      </c>
      <c r="M84" s="891">
        <f t="shared" si="4"/>
        <v>-0.45949594690000001</v>
      </c>
      <c r="N84" s="882">
        <v>-1.7515792299999999</v>
      </c>
      <c r="O84" s="882">
        <v>-14.76427387</v>
      </c>
      <c r="P84" s="882">
        <v>-45.949594689999998</v>
      </c>
      <c r="Q84" s="892">
        <v>164081489.25441208</v>
      </c>
      <c r="R84" s="892">
        <v>500000000</v>
      </c>
      <c r="S84" s="892">
        <v>500000000</v>
      </c>
      <c r="T84" s="882" t="str">
        <v>2021-09-26T07:14:06.000Z</v>
      </c>
      <c r="U84" s="882" t="str">
        <v>2021-09-26T07:14:06.000Z</v>
      </c>
    </row>
    <row r="85" spans="5:21">
      <c r="E85" s="901" t="str">
        <v>Celsius</v>
      </c>
      <c r="F85" s="882" t="str">
        <v>CEL</v>
      </c>
      <c r="G85" s="906">
        <v>4.9351068257948798</v>
      </c>
      <c r="H85" s="890">
        <v>1178816987.1266832</v>
      </c>
      <c r="I85" s="890">
        <v>10358486.46346507</v>
      </c>
      <c r="K85" s="891">
        <f t="shared" si="4"/>
        <v>-2.0500900000000001E-3</v>
      </c>
      <c r="L85" s="891">
        <f t="shared" si="4"/>
        <v>-1.3307262900000002E-2</v>
      </c>
      <c r="M85" s="891">
        <f t="shared" si="4"/>
        <v>-9.9619538399999999E-2</v>
      </c>
      <c r="N85" s="882">
        <v>-0.205009</v>
      </c>
      <c r="O85" s="882">
        <v>-1.3307262900000001</v>
      </c>
      <c r="P85" s="882">
        <v>-9.9619538399999996</v>
      </c>
      <c r="Q85" s="892">
        <v>238863519.82600001</v>
      </c>
      <c r="R85" s="892">
        <v>695658160</v>
      </c>
      <c r="S85" s="892">
        <v>695658160</v>
      </c>
      <c r="T85" s="882" t="str">
        <v>2021-09-26T07:14:07.000Z</v>
      </c>
      <c r="U85" s="882" t="str">
        <v>2021-09-26T07:14:07.000Z</v>
      </c>
    </row>
    <row r="86" spans="5:21">
      <c r="E86" s="901" t="str">
        <v>OMG Network</v>
      </c>
      <c r="F86" s="882" t="str">
        <v>OMG</v>
      </c>
      <c r="G86" s="906">
        <v>8.37200144605095</v>
      </c>
      <c r="H86" s="890">
        <v>1174134676.910243</v>
      </c>
      <c r="I86" s="890">
        <v>677692774.41097856</v>
      </c>
      <c r="K86" s="891">
        <f t="shared" si="4"/>
        <v>-4.0355403999999999E-3</v>
      </c>
      <c r="L86" s="891">
        <f t="shared" si="4"/>
        <v>-6.3148282900000005E-2</v>
      </c>
      <c r="M86" s="891">
        <f t="shared" si="4"/>
        <v>-7.6454435900000006E-2</v>
      </c>
      <c r="N86" s="882">
        <v>-0.40355404</v>
      </c>
      <c r="O86" s="882">
        <v>-6.3148282900000003</v>
      </c>
      <c r="P86" s="882">
        <v>-7.6454435900000002</v>
      </c>
      <c r="Q86" s="892">
        <v>140245398.24513277</v>
      </c>
      <c r="R86" s="892">
        <v>140245398.24513277</v>
      </c>
      <c r="S86" s="892">
        <v>140245399</v>
      </c>
      <c r="T86" s="882" t="str">
        <v>2021-09-26T07:13:08.000Z</v>
      </c>
      <c r="U86" s="882" t="str">
        <v>2021-09-26T07:13:08.000Z</v>
      </c>
    </row>
    <row r="87" spans="5:21">
      <c r="E87" s="901" t="str">
        <v>SushiSwap</v>
      </c>
      <c r="F87" s="882" t="str">
        <v>SUSHI</v>
      </c>
      <c r="G87" s="906">
        <v>9.0480330329248702</v>
      </c>
      <c r="H87" s="890">
        <v>1151311923.5201259</v>
      </c>
      <c r="I87" s="890">
        <v>237619503.01460913</v>
      </c>
      <c r="K87" s="891">
        <f t="shared" si="4"/>
        <v>-5.3995049999999998E-3</v>
      </c>
      <c r="L87" s="891">
        <f t="shared" si="4"/>
        <v>-4.6608705E-2</v>
      </c>
      <c r="M87" s="891">
        <f t="shared" si="4"/>
        <v>-0.27340061330000004</v>
      </c>
      <c r="N87" s="882">
        <v>-0.5399505</v>
      </c>
      <c r="O87" s="882">
        <v>-4.6608704999999997</v>
      </c>
      <c r="P87" s="882">
        <v>-27.340061330000001</v>
      </c>
      <c r="Q87" s="892">
        <v>127244443</v>
      </c>
      <c r="R87" s="892">
        <v>234299540.44906175</v>
      </c>
      <c r="S87" s="892">
        <v>250000000</v>
      </c>
      <c r="T87" s="882" t="str">
        <v>2021-09-26T07:14:07.000Z</v>
      </c>
      <c r="U87" s="882" t="str">
        <v>2021-09-26T07:14:07.000Z</v>
      </c>
    </row>
    <row r="88" spans="5:21">
      <c r="E88" s="901" t="str">
        <v>Celer Network</v>
      </c>
      <c r="F88" s="882" t="str">
        <v>CELR</v>
      </c>
      <c r="G88" s="906">
        <v>0.19087946759839999</v>
      </c>
      <c r="H88" s="890">
        <v>1137324192.9189579</v>
      </c>
      <c r="I88" s="890">
        <v>829583310.67934072</v>
      </c>
      <c r="K88" s="891">
        <f t="shared" si="4"/>
        <v>4.4508047599999996E-2</v>
      </c>
      <c r="L88" s="891">
        <f t="shared" si="4"/>
        <v>0.13883689470000002</v>
      </c>
      <c r="M88" s="891">
        <f t="shared" si="4"/>
        <v>0.6849428273</v>
      </c>
      <c r="N88" s="882">
        <v>4.4508047599999996</v>
      </c>
      <c r="O88" s="882">
        <v>13.88368947</v>
      </c>
      <c r="P88" s="882">
        <v>68.494282729999995</v>
      </c>
      <c r="Q88" s="892">
        <v>5958336992.5979996</v>
      </c>
      <c r="R88" s="892">
        <v>10000000000</v>
      </c>
      <c r="S88" s="892">
        <v>10000000000</v>
      </c>
      <c r="T88" s="882" t="str">
        <v>2021-09-26T07:13:08.000Z</v>
      </c>
      <c r="U88" s="882" t="str">
        <v>2021-09-26T07:13:08.000Z</v>
      </c>
    </row>
    <row r="89" spans="5:21">
      <c r="E89" s="901" t="str">
        <v>Synthetix</v>
      </c>
      <c r="F89" s="882" t="str">
        <v>SNX</v>
      </c>
      <c r="G89" s="906">
        <v>9.7225254068146096</v>
      </c>
      <c r="H89" s="890">
        <v>1116549722.4665072</v>
      </c>
      <c r="I89" s="890">
        <v>84020774.874801144</v>
      </c>
      <c r="K89" s="891">
        <f t="shared" si="4"/>
        <v>-3.6570817999999998E-3</v>
      </c>
      <c r="L89" s="891">
        <f t="shared" si="4"/>
        <v>-7.0449278200000007E-2</v>
      </c>
      <c r="M89" s="891">
        <f t="shared" si="4"/>
        <v>-0.22713594579999999</v>
      </c>
      <c r="N89" s="882">
        <v>-0.36570817999999999</v>
      </c>
      <c r="O89" s="882">
        <v>-7.0449278199999998</v>
      </c>
      <c r="P89" s="882">
        <v>-22.713594579999999</v>
      </c>
      <c r="Q89" s="892">
        <v>114841533.01197928</v>
      </c>
      <c r="R89" s="892">
        <v>215258834.24491519</v>
      </c>
      <c r="S89" s="892">
        <v>212424133</v>
      </c>
      <c r="T89" s="882" t="str">
        <v>2021-09-26T07:14:07.000Z</v>
      </c>
      <c r="U89" s="882" t="str">
        <v>2021-09-26T07:14:07.000Z</v>
      </c>
    </row>
    <row r="90" spans="5:21">
      <c r="E90" s="901" t="str">
        <v>Enjin Coin</v>
      </c>
      <c r="F90" s="882" t="str">
        <v>ENJ</v>
      </c>
      <c r="G90" s="906">
        <v>1.33793659281141</v>
      </c>
      <c r="H90" s="890">
        <v>1116294899.3058431</v>
      </c>
      <c r="I90" s="890">
        <v>115781793.27069502</v>
      </c>
      <c r="K90" s="891">
        <f t="shared" si="4"/>
        <v>-9.3328912000000003E-3</v>
      </c>
      <c r="L90" s="891">
        <f t="shared" si="4"/>
        <v>-1.29244498E-2</v>
      </c>
      <c r="M90" s="891">
        <f t="shared" si="4"/>
        <v>-0.18348710530000001</v>
      </c>
      <c r="N90" s="882">
        <v>-0.93328911999999997</v>
      </c>
      <c r="O90" s="882">
        <v>-1.29244498</v>
      </c>
      <c r="P90" s="882">
        <v>-18.348710530000002</v>
      </c>
      <c r="Q90" s="892">
        <v>834340659.56755805</v>
      </c>
      <c r="R90" s="892">
        <v>1000000000</v>
      </c>
      <c r="S90" s="892">
        <v>1000000000</v>
      </c>
      <c r="T90" s="882" t="str">
        <v>2021-09-26T07:14:03.000Z</v>
      </c>
      <c r="U90" s="882" t="str">
        <v>2021-09-26T07:14:03.000Z</v>
      </c>
    </row>
    <row r="91" spans="5:21">
      <c r="E91" s="901" t="str">
        <v>yearn.finance</v>
      </c>
      <c r="F91" s="882" t="str">
        <v>YFI</v>
      </c>
      <c r="G91" s="906">
        <v>28755.487368621532</v>
      </c>
      <c r="H91" s="890">
        <v>1053469927.1814287</v>
      </c>
      <c r="I91" s="890">
        <v>163660621.83157218</v>
      </c>
      <c r="K91" s="891">
        <f t="shared" si="4"/>
        <v>-1.2174031300000001E-2</v>
      </c>
      <c r="L91" s="891">
        <f t="shared" si="4"/>
        <v>-3.5783824300000003E-2</v>
      </c>
      <c r="M91" s="891">
        <f t="shared" si="4"/>
        <v>-0.14426116589999999</v>
      </c>
      <c r="N91" s="882">
        <v>-1.2174031300000001</v>
      </c>
      <c r="O91" s="882">
        <v>-3.57838243</v>
      </c>
      <c r="P91" s="882">
        <v>-14.426116589999999</v>
      </c>
      <c r="Q91" s="892">
        <v>36635.439826729998</v>
      </c>
      <c r="R91" s="892">
        <v>36666</v>
      </c>
      <c r="S91" s="892">
        <v>36666</v>
      </c>
      <c r="T91" s="882" t="str">
        <v>2021-09-26T07:13:08.000Z</v>
      </c>
      <c r="U91" s="882" t="str">
        <v>2021-09-26T07:13:08.000Z</v>
      </c>
    </row>
    <row r="92" spans="5:21">
      <c r="E92" s="901" t="str">
        <v>IOST</v>
      </c>
      <c r="F92" s="882" t="str">
        <v>IOST</v>
      </c>
      <c r="G92" s="906">
        <v>5.7353014863230002E-2</v>
      </c>
      <c r="H92" s="890">
        <v>1038073489.0170388</v>
      </c>
      <c r="I92" s="890">
        <v>221604532.67460266</v>
      </c>
      <c r="K92" s="891">
        <f t="shared" si="4"/>
        <v>3.5370227999999997E-3</v>
      </c>
      <c r="L92" s="891">
        <f t="shared" si="4"/>
        <v>-3.7522837500000003E-2</v>
      </c>
      <c r="M92" s="891">
        <f t="shared" si="4"/>
        <v>-0.16851239479999999</v>
      </c>
      <c r="N92" s="882">
        <v>0.35370227999999998</v>
      </c>
      <c r="O92" s="882">
        <v>-3.7522837500000001</v>
      </c>
      <c r="P92" s="882">
        <v>-16.85123948</v>
      </c>
      <c r="Q92" s="892">
        <v>18099719631</v>
      </c>
      <c r="R92" s="892">
        <v>18099719631</v>
      </c>
      <c r="S92" s="892">
        <v>90000000000</v>
      </c>
      <c r="T92" s="882" t="str">
        <v>2021-09-26T07:14:05.000Z</v>
      </c>
      <c r="U92" s="882" t="str">
        <v>2021-09-26T07:14:05.000Z</v>
      </c>
    </row>
    <row r="93" spans="5:21">
      <c r="E93" s="901" t="str">
        <v>Flow</v>
      </c>
      <c r="F93" s="882" t="str">
        <v>FLOW</v>
      </c>
      <c r="G93" s="906">
        <v>15.86826018484005</v>
      </c>
      <c r="H93" s="890">
        <v>1022623394.6792598</v>
      </c>
      <c r="I93" s="890">
        <v>101660418.12079912</v>
      </c>
      <c r="K93" s="891">
        <f t="shared" si="4"/>
        <v>2.1254999999999999E-5</v>
      </c>
      <c r="L93" s="891">
        <f t="shared" si="4"/>
        <v>-4.5701236899999997E-2</v>
      </c>
      <c r="M93" s="891">
        <f t="shared" si="4"/>
        <v>-0.2269286351</v>
      </c>
      <c r="N93" s="882">
        <v>2.1254999999999998E-3</v>
      </c>
      <c r="O93" s="882">
        <v>-4.57012369</v>
      </c>
      <c r="P93" s="882">
        <v>-22.692863509999999</v>
      </c>
      <c r="Q93" s="892">
        <v>64444582</v>
      </c>
      <c r="R93" s="892">
        <v>1378211739</v>
      </c>
      <c r="S93" s="892">
        <v>0</v>
      </c>
      <c r="T93" s="882" t="str">
        <v>2021-09-26T07:14:06.000Z</v>
      </c>
      <c r="U93" s="882" t="str">
        <v>2021-09-26T07:14:06.000Z</v>
      </c>
    </row>
    <row r="94" spans="5:21">
      <c r="E94" s="901" t="str">
        <v>ICON</v>
      </c>
      <c r="F94" s="882" t="str">
        <v>ICX</v>
      </c>
      <c r="G94" s="906">
        <v>1.4964106440718901</v>
      </c>
      <c r="H94" s="890">
        <v>992038521.94718421</v>
      </c>
      <c r="I94" s="890">
        <v>34251637.120091729</v>
      </c>
      <c r="K94" s="891">
        <f t="shared" si="4"/>
        <v>2.6112268999999998E-3</v>
      </c>
      <c r="L94" s="891">
        <f t="shared" si="4"/>
        <v>-5.1815563500000002E-2</v>
      </c>
      <c r="M94" s="891">
        <f t="shared" si="4"/>
        <v>-0.20979697760000002</v>
      </c>
      <c r="N94" s="882">
        <v>0.26112268999999999</v>
      </c>
      <c r="O94" s="882">
        <v>-5.1815563500000001</v>
      </c>
      <c r="P94" s="882">
        <v>-20.979697760000001</v>
      </c>
      <c r="Q94" s="892">
        <v>662945379.24947095</v>
      </c>
      <c r="R94" s="892">
        <v>800460000</v>
      </c>
      <c r="S94" s="892">
        <v>0</v>
      </c>
      <c r="T94" s="882" t="str">
        <v>2021-09-26T07:14:03.000Z</v>
      </c>
      <c r="U94" s="882" t="str">
        <v>2021-09-26T07:14:03.000Z</v>
      </c>
    </row>
    <row r="95" spans="5:21">
      <c r="E95" s="901" t="str">
        <v>Ravencoin</v>
      </c>
      <c r="F95" s="882" t="str">
        <v>RVN</v>
      </c>
      <c r="G95" s="906">
        <v>9.9929830868880007E-2</v>
      </c>
      <c r="H95" s="890">
        <v>972524608.75325537</v>
      </c>
      <c r="I95" s="890">
        <v>114953260.08509803</v>
      </c>
      <c r="K95" s="891">
        <f t="shared" si="4"/>
        <v>-4.8610125000000002E-3</v>
      </c>
      <c r="L95" s="891">
        <f t="shared" si="4"/>
        <v>8.7102972999999993E-3</v>
      </c>
      <c r="M95" s="891">
        <f t="shared" si="4"/>
        <v>-0.1171652177</v>
      </c>
      <c r="N95" s="882">
        <v>-0.48610124999999998</v>
      </c>
      <c r="O95" s="882">
        <v>0.87102972999999995</v>
      </c>
      <c r="P95" s="882">
        <v>-11.71652177</v>
      </c>
      <c r="Q95" s="892">
        <v>9732075000</v>
      </c>
      <c r="R95" s="892">
        <v>9732075000</v>
      </c>
      <c r="S95" s="892">
        <v>21000000000</v>
      </c>
      <c r="T95" s="882" t="str">
        <v>2021-09-26T07:14:07.000Z</v>
      </c>
      <c r="U95" s="882" t="str">
        <v>2021-09-26T07:14:07.000Z</v>
      </c>
    </row>
    <row r="96" spans="5:21">
      <c r="E96" s="901" t="str">
        <v>Ren</v>
      </c>
      <c r="F96" s="882" t="str">
        <v>REN</v>
      </c>
      <c r="G96" s="906">
        <v>0.97452815727895004</v>
      </c>
      <c r="H96" s="890">
        <v>972349162.03670835</v>
      </c>
      <c r="I96" s="890">
        <v>235465635.79066849</v>
      </c>
      <c r="K96" s="891">
        <f t="shared" si="4"/>
        <v>6.9503185000000002E-3</v>
      </c>
      <c r="L96" s="891">
        <f t="shared" si="4"/>
        <v>-9.5281194399999991E-2</v>
      </c>
      <c r="M96" s="891">
        <f t="shared" si="4"/>
        <v>1.67515949E-2</v>
      </c>
      <c r="N96" s="882">
        <v>0.69503185000000001</v>
      </c>
      <c r="O96" s="882">
        <v>-9.5281194399999993</v>
      </c>
      <c r="P96" s="882">
        <v>1.67515949</v>
      </c>
      <c r="Q96" s="892">
        <v>997764051.01692927</v>
      </c>
      <c r="R96" s="892">
        <v>999999632.80375004</v>
      </c>
      <c r="S96" s="892">
        <v>1000000000</v>
      </c>
      <c r="T96" s="882" t="str">
        <v>2021-09-26T07:14:06.000Z</v>
      </c>
      <c r="U96" s="882" t="str">
        <v>2021-09-26T07:14:06.000Z</v>
      </c>
    </row>
    <row r="97" spans="5:21">
      <c r="E97" s="901" t="str">
        <v>Mina</v>
      </c>
      <c r="F97" s="882" t="str">
        <v>MINA</v>
      </c>
      <c r="G97" s="906">
        <v>3.9187443519835501</v>
      </c>
      <c r="H97" s="890">
        <v>968822364.01423323</v>
      </c>
      <c r="I97" s="890">
        <v>61834310.391252063</v>
      </c>
      <c r="K97" s="891">
        <f t="shared" si="4"/>
        <v>-2.3939303500000002E-2</v>
      </c>
      <c r="L97" s="891">
        <f t="shared" si="4"/>
        <v>-8.3056904299999998E-2</v>
      </c>
      <c r="M97" s="891">
        <f t="shared" si="4"/>
        <v>-0.26393665550000001</v>
      </c>
      <c r="N97" s="882">
        <v>-2.3939303500000002</v>
      </c>
      <c r="O97" s="882">
        <v>-8.3056904300000003</v>
      </c>
      <c r="P97" s="882">
        <v>-26.393665550000001</v>
      </c>
      <c r="Q97" s="892">
        <v>247227753.84003925</v>
      </c>
      <c r="R97" s="892">
        <v>824104972</v>
      </c>
      <c r="S97" s="892">
        <v>0</v>
      </c>
      <c r="T97" s="882" t="str">
        <v>2021-09-26T07:14:06.000Z</v>
      </c>
      <c r="U97" s="882" t="str">
        <v>2021-09-26T07:14:06.000Z</v>
      </c>
    </row>
    <row r="98" spans="5:21">
      <c r="E98" s="901" t="str">
        <v>Zilliqa</v>
      </c>
      <c r="F98" s="882" t="str">
        <v>ZIL</v>
      </c>
      <c r="G98" s="906">
        <v>8.1289340740560004E-2</v>
      </c>
      <c r="H98" s="890">
        <v>957880797.70094478</v>
      </c>
      <c r="I98" s="890">
        <v>52397574.489267327</v>
      </c>
      <c r="K98" s="891">
        <f t="shared" si="4"/>
        <v>2.625584E-4</v>
      </c>
      <c r="L98" s="891">
        <f t="shared" si="4"/>
        <v>-4.4650596000000001E-2</v>
      </c>
      <c r="M98" s="891">
        <f t="shared" si="4"/>
        <v>-0.2455045911</v>
      </c>
      <c r="N98" s="882">
        <v>2.6255839999999999E-2</v>
      </c>
      <c r="O98" s="882">
        <v>-4.4650596</v>
      </c>
      <c r="P98" s="882">
        <v>-24.550459109999998</v>
      </c>
      <c r="Q98" s="892">
        <v>11783596581.968613</v>
      </c>
      <c r="R98" s="892">
        <v>15075063734.968613</v>
      </c>
      <c r="S98" s="892">
        <v>21000000000</v>
      </c>
      <c r="T98" s="882" t="str">
        <v>2021-09-26T07:14:05.000Z</v>
      </c>
      <c r="U98" s="882" t="str">
        <v>2021-09-26T07:14:05.000Z</v>
      </c>
    </row>
    <row r="99" spans="5:21">
      <c r="E99" s="901" t="str">
        <v>Serum</v>
      </c>
      <c r="F99" s="882" t="str">
        <v>SRM</v>
      </c>
      <c r="G99" s="906">
        <v>7.1170582118182404</v>
      </c>
      <c r="H99" s="890">
        <v>948218341.04121947</v>
      </c>
      <c r="I99" s="890">
        <v>230467159.2886695</v>
      </c>
      <c r="K99" s="891">
        <f t="shared" si="4"/>
        <v>-4.1829392999999998E-3</v>
      </c>
      <c r="L99" s="891">
        <f t="shared" si="4"/>
        <v>-7.0764124800000008E-2</v>
      </c>
      <c r="M99" s="891">
        <f t="shared" si="4"/>
        <v>-0.31766324169999999</v>
      </c>
      <c r="N99" s="882">
        <v>-0.41829392999999998</v>
      </c>
      <c r="O99" s="882">
        <v>-7.0764124800000001</v>
      </c>
      <c r="P99" s="882">
        <v>-31.766324170000001</v>
      </c>
      <c r="Q99" s="892">
        <v>133231781</v>
      </c>
      <c r="R99" s="892">
        <v>1092844982</v>
      </c>
      <c r="S99" s="892">
        <v>10161000000</v>
      </c>
      <c r="T99" s="882" t="str">
        <v>2021-09-26T07:14:03.000Z</v>
      </c>
      <c r="U99" s="882" t="str">
        <v>2021-09-26T07:14:03.000Z</v>
      </c>
    </row>
    <row r="100" spans="5:21">
      <c r="E100" s="901" t="str">
        <v>Pax Dollar</v>
      </c>
      <c r="F100" s="882" t="str">
        <v>USDP</v>
      </c>
      <c r="G100" s="906">
        <v>1.00002706343626</v>
      </c>
      <c r="H100" s="890">
        <v>945668532.45743442</v>
      </c>
      <c r="I100" s="890">
        <v>23942990.393335968</v>
      </c>
      <c r="K100" s="891">
        <f t="shared" si="4"/>
        <v>-4.4960750000000004E-4</v>
      </c>
      <c r="L100" s="891">
        <f t="shared" si="4"/>
        <v>-1.57888E-5</v>
      </c>
      <c r="M100" s="891">
        <f t="shared" si="4"/>
        <v>7.5508390000000002E-4</v>
      </c>
      <c r="N100" s="882">
        <v>-4.4960750000000001E-2</v>
      </c>
      <c r="O100" s="882">
        <v>-1.57888E-3</v>
      </c>
      <c r="P100" s="882">
        <v>7.5508389999999995E-2</v>
      </c>
      <c r="Q100" s="892">
        <v>945642940.11000001</v>
      </c>
      <c r="R100" s="892">
        <v>945642940.11000001</v>
      </c>
      <c r="S100" s="892">
        <v>0</v>
      </c>
      <c r="T100" s="882" t="str">
        <v>2021-09-26T07:14:04.000Z</v>
      </c>
      <c r="U100" s="882" t="str">
        <v>2021-09-26T07:14:04.000Z</v>
      </c>
    </row>
    <row r="101" spans="5:21">
      <c r="E101" s="901" t="str">
        <v>Curve DAO Token</v>
      </c>
      <c r="F101" s="882" t="str">
        <v>CRV</v>
      </c>
      <c r="G101" s="906">
        <v>2.2049284964792499</v>
      </c>
      <c r="H101" s="890">
        <v>940949792.68812752</v>
      </c>
      <c r="I101" s="890">
        <v>165497204.95701647</v>
      </c>
      <c r="K101" s="891">
        <f t="shared" si="4"/>
        <v>-6.0067159000000009E-3</v>
      </c>
      <c r="L101" s="891">
        <f t="shared" si="4"/>
        <v>-7.4041807500000001E-2</v>
      </c>
      <c r="M101" s="891">
        <f t="shared" si="4"/>
        <v>-0.22202844859999998</v>
      </c>
      <c r="N101" s="882">
        <v>-0.60067159000000003</v>
      </c>
      <c r="O101" s="882">
        <v>-7.4041807500000001</v>
      </c>
      <c r="P101" s="882">
        <v>-22.202844859999999</v>
      </c>
      <c r="Q101" s="892">
        <v>426748438.41448921</v>
      </c>
      <c r="R101" s="892">
        <v>1580975537.9555573</v>
      </c>
      <c r="S101" s="892">
        <v>3303030299</v>
      </c>
      <c r="T101" s="882" t="str">
        <v>2021-09-26T07:14:06.000Z</v>
      </c>
      <c r="U101" s="882" t="str">
        <v>2021-09-26T07:14:06.000Z</v>
      </c>
    </row>
    <row r="102" spans="5:21">
      <c r="E102" s="901" t="str">
        <v>Basic Attention Token</v>
      </c>
      <c r="F102" s="882" t="str">
        <v>BAT</v>
      </c>
      <c r="G102" s="906">
        <v>0.62490811358618004</v>
      </c>
      <c r="H102" s="890">
        <v>931519904.07999766</v>
      </c>
      <c r="I102" s="890">
        <v>200169830.445003</v>
      </c>
      <c r="K102" s="891">
        <f t="shared" si="4"/>
        <v>-2.0077440000000001E-3</v>
      </c>
      <c r="L102" s="891">
        <f t="shared" si="4"/>
        <v>-4.2771024800000002E-2</v>
      </c>
      <c r="M102" s="891">
        <f t="shared" si="4"/>
        <v>-0.16504005190000001</v>
      </c>
      <c r="N102" s="882">
        <v>-0.20077439999999999</v>
      </c>
      <c r="O102" s="882">
        <v>-4.2771024799999999</v>
      </c>
      <c r="P102" s="882">
        <v>-16.504005190000001</v>
      </c>
      <c r="Q102" s="892">
        <v>1490650999.4473505</v>
      </c>
      <c r="R102" s="892">
        <v>1500000000</v>
      </c>
      <c r="S102" s="892">
        <v>1500000000</v>
      </c>
      <c r="T102" s="882" t="str">
        <v>2021-09-26T07:14:07.000Z</v>
      </c>
      <c r="U102" s="882" t="str">
        <v>2021-09-26T07:14:07.000Z</v>
      </c>
    </row>
    <row r="103" spans="5:21">
      <c r="E103" s="901" t="str">
        <v>Qtum</v>
      </c>
      <c r="F103" s="882" t="str">
        <v>QTUM</v>
      </c>
      <c r="G103" s="906">
        <v>9.2577794263636797</v>
      </c>
      <c r="H103" s="890">
        <v>914006488.40405226</v>
      </c>
      <c r="I103" s="890">
        <v>220717908.80616656</v>
      </c>
      <c r="K103" s="891">
        <f t="shared" si="4"/>
        <v>3.6780658999999998E-3</v>
      </c>
      <c r="L103" s="891">
        <f t="shared" si="4"/>
        <v>-6.0298841300000003E-2</v>
      </c>
      <c r="M103" s="891">
        <f t="shared" si="4"/>
        <v>-0.25915854240000002</v>
      </c>
      <c r="N103" s="882">
        <v>0.36780658999999999</v>
      </c>
      <c r="O103" s="882">
        <v>-6.0298841300000001</v>
      </c>
      <c r="P103" s="882">
        <v>-25.915854240000002</v>
      </c>
      <c r="Q103" s="892">
        <v>98728479.726056799</v>
      </c>
      <c r="R103" s="892">
        <v>103762283</v>
      </c>
      <c r="S103" s="892">
        <v>107822406</v>
      </c>
      <c r="T103" s="882" t="str">
        <v>2021-09-26T07:14:07.000Z</v>
      </c>
      <c r="U103" s="882" t="str">
        <v>2021-09-26T07:14:07.000Z</v>
      </c>
    </row>
    <row r="104" spans="5:21">
      <c r="E104" s="901" t="str">
        <v>Bitcoin Gold</v>
      </c>
      <c r="F104" s="882" t="str">
        <v>BTG</v>
      </c>
      <c r="G104" s="906">
        <v>51.541325815894808</v>
      </c>
      <c r="H104" s="890">
        <v>902690842.01533484</v>
      </c>
      <c r="I104" s="890">
        <v>39053204.808030076</v>
      </c>
      <c r="K104" s="891">
        <f t="shared" si="4"/>
        <v>-3.2102336E-3</v>
      </c>
      <c r="L104" s="891">
        <f t="shared" si="4"/>
        <v>-2.0651738100000001E-2</v>
      </c>
      <c r="M104" s="891">
        <f t="shared" si="4"/>
        <v>-0.22413497490000001</v>
      </c>
      <c r="N104" s="882">
        <v>-0.32102335999999998</v>
      </c>
      <c r="O104" s="882">
        <v>-2.0651738100000001</v>
      </c>
      <c r="P104" s="882">
        <v>-22.413497490000001</v>
      </c>
      <c r="Q104" s="892">
        <v>17513923.589000002</v>
      </c>
      <c r="R104" s="892">
        <v>17513923.589000002</v>
      </c>
      <c r="S104" s="892">
        <v>21000000</v>
      </c>
      <c r="T104" s="882" t="str">
        <v>2021-09-26T07:14:02.000Z</v>
      </c>
      <c r="U104" s="882" t="str">
        <v>2021-09-26T07:14:02.000Z</v>
      </c>
    </row>
    <row r="105" spans="5:21">
      <c r="E105" s="901" t="str">
        <v>KuCoin Token</v>
      </c>
      <c r="F105" s="882" t="str">
        <v>KCS</v>
      </c>
      <c r="G105" s="906">
        <v>10.304229865750919</v>
      </c>
      <c r="H105" s="890">
        <v>825560862.48288655</v>
      </c>
      <c r="I105" s="890">
        <v>6635566.5290144198</v>
      </c>
      <c r="K105" s="891">
        <f t="shared" si="4"/>
        <v>-7.165416E-3</v>
      </c>
      <c r="L105" s="891">
        <f t="shared" si="4"/>
        <v>-3.3095209200000003E-2</v>
      </c>
      <c r="M105" s="891">
        <f t="shared" si="4"/>
        <v>-0.12566784489999999</v>
      </c>
      <c r="N105" s="882">
        <v>-0.7165416</v>
      </c>
      <c r="O105" s="882">
        <v>-3.3095209200000002</v>
      </c>
      <c r="P105" s="882">
        <v>-12.56678449</v>
      </c>
      <c r="Q105" s="892">
        <v>80118638</v>
      </c>
      <c r="R105" s="892">
        <v>170118638</v>
      </c>
      <c r="S105" s="892">
        <v>170118638</v>
      </c>
      <c r="T105" s="882" t="str">
        <v>2021-09-26T07:14:02.000Z</v>
      </c>
      <c r="U105" s="882" t="str">
        <v>2021-09-26T07:14:02.000Z</v>
      </c>
    </row>
    <row r="106" spans="5:21">
      <c r="E106" s="901" t="str">
        <v>Telcoin</v>
      </c>
      <c r="F106" s="882" t="str">
        <v>TEL</v>
      </c>
      <c r="G106" s="906">
        <v>1.518688217672E-2</v>
      </c>
      <c r="H106" s="890">
        <v>824679749.4831351</v>
      </c>
      <c r="I106" s="890">
        <v>5598112.4707747903</v>
      </c>
      <c r="K106" s="891">
        <f t="shared" si="4"/>
        <v>4.1406022999999998E-3</v>
      </c>
      <c r="L106" s="891">
        <f t="shared" si="4"/>
        <v>-5.1763171699999999E-2</v>
      </c>
      <c r="M106" s="891">
        <f t="shared" si="4"/>
        <v>-0.1947600052</v>
      </c>
      <c r="N106" s="882">
        <v>0.41406022999999997</v>
      </c>
      <c r="O106" s="882">
        <v>-5.1763171699999999</v>
      </c>
      <c r="P106" s="882">
        <v>-19.476000519999999</v>
      </c>
      <c r="Q106" s="892">
        <v>54302110195.290001</v>
      </c>
      <c r="R106" s="892">
        <v>100000000000</v>
      </c>
      <c r="S106" s="892">
        <v>100000000000</v>
      </c>
      <c r="T106" s="882" t="str">
        <v>2021-09-26T07:14:05.000Z</v>
      </c>
      <c r="U106" s="882" t="str">
        <v>2021-09-26T07:14:05.000Z</v>
      </c>
    </row>
    <row r="107" spans="5:21">
      <c r="E107" s="901" t="str">
        <v>Audius</v>
      </c>
      <c r="F107" s="882" t="str">
        <v>AUDIO</v>
      </c>
      <c r="G107" s="906">
        <v>2.0078295087732498</v>
      </c>
      <c r="H107" s="890">
        <v>815334608.21011531</v>
      </c>
      <c r="I107" s="890">
        <v>25754255.19945319</v>
      </c>
      <c r="K107" s="891">
        <f t="shared" si="4"/>
        <v>-1.9683699000000001E-3</v>
      </c>
      <c r="L107" s="891">
        <f t="shared" si="4"/>
        <v>-6.4745107800000007E-2</v>
      </c>
      <c r="M107" s="891">
        <f t="shared" si="4"/>
        <v>-0.26732606460000002</v>
      </c>
      <c r="N107" s="882">
        <v>-0.19683698999999999</v>
      </c>
      <c r="O107" s="882">
        <v>-6.4745107800000001</v>
      </c>
      <c r="P107" s="882">
        <v>-26.73260646</v>
      </c>
      <c r="Q107" s="892">
        <v>406077610</v>
      </c>
      <c r="R107" s="892">
        <v>1049358974</v>
      </c>
      <c r="S107" s="892">
        <v>0</v>
      </c>
      <c r="T107" s="882" t="str">
        <v>2021-09-26T07:14:04.000Z</v>
      </c>
      <c r="U107" s="882" t="str">
        <v>2021-09-26T07:14:04.000Z</v>
      </c>
    </row>
    <row r="108" spans="5:21">
      <c r="E108" s="901" t="str">
        <v>Nexo</v>
      </c>
      <c r="F108" s="882" t="str">
        <v>NEXO</v>
      </c>
      <c r="G108" s="906">
        <v>1.43151951192157</v>
      </c>
      <c r="H108" s="890">
        <v>801650942.42279387</v>
      </c>
      <c r="I108" s="890">
        <v>5499315.0999615397</v>
      </c>
      <c r="K108" s="891">
        <f t="shared" si="4"/>
        <v>-1.2979297700000001E-2</v>
      </c>
      <c r="L108" s="891">
        <f t="shared" si="4"/>
        <v>-2.47624192E-2</v>
      </c>
      <c r="M108" s="891">
        <f t="shared" si="4"/>
        <v>-0.129991579</v>
      </c>
      <c r="N108" s="882">
        <v>-1.2979297700000001</v>
      </c>
      <c r="O108" s="882">
        <v>-2.4762419200000001</v>
      </c>
      <c r="P108" s="882">
        <v>-12.9991579</v>
      </c>
      <c r="Q108" s="892">
        <v>560000011</v>
      </c>
      <c r="R108" s="892">
        <v>1000000000</v>
      </c>
      <c r="S108" s="892">
        <v>1000000000</v>
      </c>
      <c r="T108" s="882" t="str">
        <v>2021-09-26T07:14:07.000Z</v>
      </c>
      <c r="U108" s="882" t="str">
        <v>2021-09-26T07:14:07.000Z</v>
      </c>
    </row>
  </sheetData>
  <phoneticPr fontId="2" type="noConversion"/>
  <conditionalFormatting sqref="K9:K108">
    <cfRule type="dataBar" priority="4">
      <dataBar>
        <cfvo type="min"/>
        <cfvo type="max"/>
        <color theme="9"/>
      </dataBar>
      <extLst>
        <ext xmlns:x14="http://schemas.microsoft.com/office/spreadsheetml/2009/9/main" uri="{B025F937-C7B1-47D3-B67F-A62EFF666E3E}">
          <x14:id>{5FC2D470-F121-7343-8BA2-35F9D5A8912F}</x14:id>
        </ext>
      </extLst>
    </cfRule>
  </conditionalFormatting>
  <conditionalFormatting sqref="L9:L108">
    <cfRule type="dataBar" priority="3">
      <dataBar>
        <cfvo type="min"/>
        <cfvo type="max"/>
        <color theme="9"/>
      </dataBar>
      <extLst>
        <ext xmlns:x14="http://schemas.microsoft.com/office/spreadsheetml/2009/9/main" uri="{B025F937-C7B1-47D3-B67F-A62EFF666E3E}">
          <x14:id>{7BF59F0E-D534-4542-B1EF-065B6B36FDF1}</x14:id>
        </ext>
      </extLst>
    </cfRule>
  </conditionalFormatting>
  <conditionalFormatting sqref="M9:M108">
    <cfRule type="dataBar" priority="2">
      <dataBar>
        <cfvo type="min"/>
        <cfvo type="max"/>
        <color theme="9"/>
      </dataBar>
      <extLst>
        <ext xmlns:x14="http://schemas.microsoft.com/office/spreadsheetml/2009/9/main" uri="{B025F937-C7B1-47D3-B67F-A62EFF666E3E}">
          <x14:id>{0ADB485C-CFB6-0B48-B4A0-F215B1BD796C}</x14:id>
        </ext>
      </extLst>
    </cfRule>
  </conditionalFormatting>
  <conditionalFormatting sqref="I9:I108">
    <cfRule type="colorScale" priority="1">
      <colorScale>
        <cfvo type="min"/>
        <cfvo type="percentile" val="50"/>
        <cfvo type="max"/>
        <color theme="4" tint="0.79998168889431442"/>
        <color rgb="FFFCFCFF"/>
        <color theme="4"/>
      </colorScale>
    </cfRule>
  </conditionalFormatting>
  <dataValidations count="6">
    <dataValidation allowBlank="1" showInputMessage="1" showErrorMessage="1" promptTitle="Data Provider" prompt="Type the name of the data provider (example: &quot;Paradigm&quot;)" sqref="B8" xr:uid="{D6ED6A9C-EEDE-7642-9600-2E08F2210EA4}"/>
    <dataValidation allowBlank="1" showInputMessage="1" showErrorMessage="1" promptTitle="Provider Endpoint" prompt="Type the name of the available endpoint for the given provider (example: &quot;TA Current&quot;)_x000a__x000a_Tip: search providers at https://app.cryptosheets.com/#/browse" sqref="B9" xr:uid="{FD454770-807B-A843-88C1-96FDE6F856D1}"/>
    <dataValidation allowBlank="1" showInputMessage="1" showErrorMessage="1" promptTitle="Return Fields" prompt="Universal argument to specific which fields or columns to return and in what order (example: column1,column2,column3.. etc)" sqref="B13 B17" xr:uid="{B0D88BB8-5E0C-E54D-9730-18C4D795FAC4}"/>
    <dataValidation allowBlank="1" showInputMessage="1" showErrorMessage="1" promptTitle="Sort By Field" prompt="Univeral argument to specify which return field to sort by and in which order (example: -date woud return data with the date field sorted ascending/descending)" sqref="B15" xr:uid="{D0D11BD4-5F53-8F4A-84F4-29B5A888CF5B}"/>
    <dataValidation type="list" allowBlank="1" showInputMessage="1" showErrorMessage="1" promptTitle="Date &amp; Time Format" prompt="Select a date or time format to return with the data_x000a__x000a_Tip: you can return multiple types by specific them as MM-DD-YYYY, L, LLL etc see full list at https://app.cryptosheets.com/functions" sqref="B14" xr:uid="{F1D39905-18C5-2E42-AF14-29B936340B14}">
      <formula1>"LT,LTS,L,l,LL,ll,LLL,lll,LLLL,llll,M,Mo,MM,MMM,MMMM,Q,Qo,D,Do,DD,DDD,DDDo,DDDD,d,do,dd,ddd,dddd,e,E,w,wo,ww,W,Wo,WW,YY,YYYY,Y,gg,gggg,GG,GGGG,A,a,H,HH,h,hh,k,kk,m,mm,s,ss,S,SS,SSS,SSSS ... SSSSSSSSS,z or zz,Z,ZZ,X,x,MM-DD-YYYY,MM/DD/YYYY,YYYY-MM-DD"</formula1>
    </dataValidation>
    <dataValidation allowBlank="1" showInputMessage="1" showErrorMessage="1" promptTitle="Parameter Inputs" prompt="Input your parameters in these fields for applicable endpoints_x000a__x000a_Tip: use the default column to see examples of parameter values" sqref="B20" xr:uid="{D54CDFC1-C000-0846-887B-E0CB7FE92B18}"/>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5FC2D470-F121-7343-8BA2-35F9D5A8912F}">
            <x14:dataBar minLength="0" maxLength="100">
              <x14:cfvo type="autoMin"/>
              <x14:cfvo type="autoMax"/>
              <x14:negativeFillColor rgb="FFFF0000"/>
              <x14:axisColor rgb="FF000000"/>
            </x14:dataBar>
          </x14:cfRule>
          <xm:sqref>K9:K108</xm:sqref>
        </x14:conditionalFormatting>
        <x14:conditionalFormatting xmlns:xm="http://schemas.microsoft.com/office/excel/2006/main">
          <x14:cfRule type="dataBar" id="{7BF59F0E-D534-4542-B1EF-065B6B36FDF1}">
            <x14:dataBar minLength="0" maxLength="100">
              <x14:cfvo type="autoMin"/>
              <x14:cfvo type="autoMax"/>
              <x14:negativeFillColor rgb="FFFF0000"/>
              <x14:axisColor rgb="FF000000"/>
            </x14:dataBar>
          </x14:cfRule>
          <xm:sqref>L9:L108</xm:sqref>
        </x14:conditionalFormatting>
        <x14:conditionalFormatting xmlns:xm="http://schemas.microsoft.com/office/excel/2006/main">
          <x14:cfRule type="dataBar" id="{0ADB485C-CFB6-0B48-B4A0-F215B1BD796C}">
            <x14:dataBar minLength="0" maxLength="100">
              <x14:cfvo type="autoMin"/>
              <x14:cfvo type="autoMax"/>
              <x14:negativeFillColor rgb="FFFF0000"/>
              <x14:axisColor rgb="FF000000"/>
            </x14:dataBar>
          </x14:cfRule>
          <xm:sqref>M9:M108</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5B732EEC-AEF9-1D4F-AA0A-93EE022C2F44}">
          <x14:colorSeries rgb="FF5F5F5F"/>
          <x14:colorNegative rgb="FFFFB620"/>
          <x14:colorAxis rgb="FF000000"/>
          <x14:colorMarkers rgb="FFD70077"/>
          <x14:colorFirst rgb="FF5687C2"/>
          <x14:colorLast rgb="FF359CEB"/>
          <x14:colorHigh rgb="FF56BE79"/>
          <x14:colorLow rgb="FFFF5055"/>
          <x14:sparklines>
            <x14:sparkline>
              <xm:f>币种排名!K9:M9</xm:f>
              <xm:sqref>J9</xm:sqref>
            </x14:sparkline>
            <x14:sparkline>
              <xm:f>币种排名!K10:M10</xm:f>
              <xm:sqref>J10</xm:sqref>
            </x14:sparkline>
            <x14:sparkline>
              <xm:f>币种排名!K11:M11</xm:f>
              <xm:sqref>J11</xm:sqref>
            </x14:sparkline>
            <x14:sparkline>
              <xm:f>币种排名!K12:M12</xm:f>
              <xm:sqref>J12</xm:sqref>
            </x14:sparkline>
            <x14:sparkline>
              <xm:f>币种排名!K13:M13</xm:f>
              <xm:sqref>J13</xm:sqref>
            </x14:sparkline>
            <x14:sparkline>
              <xm:f>币种排名!K14:M14</xm:f>
              <xm:sqref>J14</xm:sqref>
            </x14:sparkline>
            <x14:sparkline>
              <xm:f>币种排名!K15:M15</xm:f>
              <xm:sqref>J15</xm:sqref>
            </x14:sparkline>
            <x14:sparkline>
              <xm:f>币种排名!K16:M16</xm:f>
              <xm:sqref>J16</xm:sqref>
            </x14:sparkline>
            <x14:sparkline>
              <xm:f>币种排名!K17:M17</xm:f>
              <xm:sqref>J17</xm:sqref>
            </x14:sparkline>
            <x14:sparkline>
              <xm:f>币种排名!K18:M18</xm:f>
              <xm:sqref>J18</xm:sqref>
            </x14:sparkline>
            <x14:sparkline>
              <xm:f>币种排名!K19:M19</xm:f>
              <xm:sqref>J19</xm:sqref>
            </x14:sparkline>
            <x14:sparkline>
              <xm:f>币种排名!K20:M20</xm:f>
              <xm:sqref>J20</xm:sqref>
            </x14:sparkline>
            <x14:sparkline>
              <xm:f>币种排名!K21:M21</xm:f>
              <xm:sqref>J21</xm:sqref>
            </x14:sparkline>
            <x14:sparkline>
              <xm:f>币种排名!K22:M22</xm:f>
              <xm:sqref>J22</xm:sqref>
            </x14:sparkline>
            <x14:sparkline>
              <xm:f>币种排名!K23:M23</xm:f>
              <xm:sqref>J23</xm:sqref>
            </x14:sparkline>
            <x14:sparkline>
              <xm:f>币种排名!K24:M24</xm:f>
              <xm:sqref>J24</xm:sqref>
            </x14:sparkline>
            <x14:sparkline>
              <xm:f>币种排名!K25:M25</xm:f>
              <xm:sqref>J25</xm:sqref>
            </x14:sparkline>
            <x14:sparkline>
              <xm:f>币种排名!K26:M26</xm:f>
              <xm:sqref>J26</xm:sqref>
            </x14:sparkline>
            <x14:sparkline>
              <xm:f>币种排名!K27:M27</xm:f>
              <xm:sqref>J27</xm:sqref>
            </x14:sparkline>
            <x14:sparkline>
              <xm:f>币种排名!K28:M28</xm:f>
              <xm:sqref>J28</xm:sqref>
            </x14:sparkline>
            <x14:sparkline>
              <xm:f>币种排名!K29:M29</xm:f>
              <xm:sqref>J29</xm:sqref>
            </x14:sparkline>
            <x14:sparkline>
              <xm:f>币种排名!K30:M30</xm:f>
              <xm:sqref>J30</xm:sqref>
            </x14:sparkline>
            <x14:sparkline>
              <xm:f>币种排名!K31:M31</xm:f>
              <xm:sqref>J31</xm:sqref>
            </x14:sparkline>
            <x14:sparkline>
              <xm:f>币种排名!K32:M32</xm:f>
              <xm:sqref>J32</xm:sqref>
            </x14:sparkline>
            <x14:sparkline>
              <xm:f>币种排名!K33:M33</xm:f>
              <xm:sqref>J33</xm:sqref>
            </x14:sparkline>
            <x14:sparkline>
              <xm:f>币种排名!K34:M34</xm:f>
              <xm:sqref>J34</xm:sqref>
            </x14:sparkline>
            <x14:sparkline>
              <xm:f>币种排名!K35:M35</xm:f>
              <xm:sqref>J35</xm:sqref>
            </x14:sparkline>
            <x14:sparkline>
              <xm:f>币种排名!K36:M36</xm:f>
              <xm:sqref>J36</xm:sqref>
            </x14:sparkline>
            <x14:sparkline>
              <xm:f>币种排名!K37:M37</xm:f>
              <xm:sqref>J37</xm:sqref>
            </x14:sparkline>
            <x14:sparkline>
              <xm:f>币种排名!K38:M38</xm:f>
              <xm:sqref>J38</xm:sqref>
            </x14:sparkline>
            <x14:sparkline>
              <xm:f>币种排名!K39:M39</xm:f>
              <xm:sqref>J39</xm:sqref>
            </x14:sparkline>
            <x14:sparkline>
              <xm:f>币种排名!K40:M40</xm:f>
              <xm:sqref>J40</xm:sqref>
            </x14:sparkline>
            <x14:sparkline>
              <xm:f>币种排名!K41:M41</xm:f>
              <xm:sqref>J41</xm:sqref>
            </x14:sparkline>
            <x14:sparkline>
              <xm:f>币种排名!K42:M42</xm:f>
              <xm:sqref>J42</xm:sqref>
            </x14:sparkline>
            <x14:sparkline>
              <xm:f>币种排名!K43:M43</xm:f>
              <xm:sqref>J43</xm:sqref>
            </x14:sparkline>
            <x14:sparkline>
              <xm:f>币种排名!K44:M44</xm:f>
              <xm:sqref>J44</xm:sqref>
            </x14:sparkline>
            <x14:sparkline>
              <xm:f>币种排名!K45:M45</xm:f>
              <xm:sqref>J45</xm:sqref>
            </x14:sparkline>
            <x14:sparkline>
              <xm:f>币种排名!K46:M46</xm:f>
              <xm:sqref>J46</xm:sqref>
            </x14:sparkline>
            <x14:sparkline>
              <xm:f>币种排名!K47:M47</xm:f>
              <xm:sqref>J47</xm:sqref>
            </x14:sparkline>
            <x14:sparkline>
              <xm:f>币种排名!K48:M48</xm:f>
              <xm:sqref>J48</xm:sqref>
            </x14:sparkline>
            <x14:sparkline>
              <xm:f>币种排名!K49:M49</xm:f>
              <xm:sqref>J49</xm:sqref>
            </x14:sparkline>
            <x14:sparkline>
              <xm:f>币种排名!K50:M50</xm:f>
              <xm:sqref>J50</xm:sqref>
            </x14:sparkline>
            <x14:sparkline>
              <xm:f>币种排名!K51:M51</xm:f>
              <xm:sqref>J51</xm:sqref>
            </x14:sparkline>
            <x14:sparkline>
              <xm:f>币种排名!K52:M52</xm:f>
              <xm:sqref>J52</xm:sqref>
            </x14:sparkline>
            <x14:sparkline>
              <xm:f>币种排名!K53:M53</xm:f>
              <xm:sqref>J53</xm:sqref>
            </x14:sparkline>
            <x14:sparkline>
              <xm:f>币种排名!K54:M54</xm:f>
              <xm:sqref>J54</xm:sqref>
            </x14:sparkline>
            <x14:sparkline>
              <xm:f>币种排名!K55:M55</xm:f>
              <xm:sqref>J55</xm:sqref>
            </x14:sparkline>
            <x14:sparkline>
              <xm:f>币种排名!K56:M56</xm:f>
              <xm:sqref>J56</xm:sqref>
            </x14:sparkline>
            <x14:sparkline>
              <xm:f>币种排名!K57:M57</xm:f>
              <xm:sqref>J57</xm:sqref>
            </x14:sparkline>
            <x14:sparkline>
              <xm:f>币种排名!K58:M58</xm:f>
              <xm:sqref>J58</xm:sqref>
            </x14:sparkline>
            <x14:sparkline>
              <xm:f>币种排名!K59:M59</xm:f>
              <xm:sqref>J59</xm:sqref>
            </x14:sparkline>
            <x14:sparkline>
              <xm:f>币种排名!K60:M60</xm:f>
              <xm:sqref>J60</xm:sqref>
            </x14:sparkline>
            <x14:sparkline>
              <xm:f>币种排名!K61:M61</xm:f>
              <xm:sqref>J61</xm:sqref>
            </x14:sparkline>
            <x14:sparkline>
              <xm:f>币种排名!K62:M62</xm:f>
              <xm:sqref>J62</xm:sqref>
            </x14:sparkline>
            <x14:sparkline>
              <xm:f>币种排名!K63:M63</xm:f>
              <xm:sqref>J63</xm:sqref>
            </x14:sparkline>
            <x14:sparkline>
              <xm:f>币种排名!K64:M64</xm:f>
              <xm:sqref>J64</xm:sqref>
            </x14:sparkline>
            <x14:sparkline>
              <xm:f>币种排名!K65:M65</xm:f>
              <xm:sqref>J65</xm:sqref>
            </x14:sparkline>
            <x14:sparkline>
              <xm:f>币种排名!K66:M66</xm:f>
              <xm:sqref>J66</xm:sqref>
            </x14:sparkline>
            <x14:sparkline>
              <xm:f>币种排名!K67:M67</xm:f>
              <xm:sqref>J67</xm:sqref>
            </x14:sparkline>
            <x14:sparkline>
              <xm:f>币种排名!K68:M68</xm:f>
              <xm:sqref>J68</xm:sqref>
            </x14:sparkline>
            <x14:sparkline>
              <xm:f>币种排名!K69:M69</xm:f>
              <xm:sqref>J69</xm:sqref>
            </x14:sparkline>
            <x14:sparkline>
              <xm:f>币种排名!K70:M70</xm:f>
              <xm:sqref>J70</xm:sqref>
            </x14:sparkline>
            <x14:sparkline>
              <xm:f>币种排名!K71:M71</xm:f>
              <xm:sqref>J71</xm:sqref>
            </x14:sparkline>
            <x14:sparkline>
              <xm:f>币种排名!K72:M72</xm:f>
              <xm:sqref>J72</xm:sqref>
            </x14:sparkline>
            <x14:sparkline>
              <xm:f>币种排名!K73:M73</xm:f>
              <xm:sqref>J73</xm:sqref>
            </x14:sparkline>
            <x14:sparkline>
              <xm:f>币种排名!K74:M74</xm:f>
              <xm:sqref>J74</xm:sqref>
            </x14:sparkline>
            <x14:sparkline>
              <xm:f>币种排名!K75:M75</xm:f>
              <xm:sqref>J75</xm:sqref>
            </x14:sparkline>
            <x14:sparkline>
              <xm:f>币种排名!K76:M76</xm:f>
              <xm:sqref>J76</xm:sqref>
            </x14:sparkline>
            <x14:sparkline>
              <xm:f>币种排名!K77:M77</xm:f>
              <xm:sqref>J77</xm:sqref>
            </x14:sparkline>
            <x14:sparkline>
              <xm:f>币种排名!K78:M78</xm:f>
              <xm:sqref>J78</xm:sqref>
            </x14:sparkline>
            <x14:sparkline>
              <xm:f>币种排名!K79:M79</xm:f>
              <xm:sqref>J79</xm:sqref>
            </x14:sparkline>
            <x14:sparkline>
              <xm:f>币种排名!K80:M80</xm:f>
              <xm:sqref>J80</xm:sqref>
            </x14:sparkline>
            <x14:sparkline>
              <xm:f>币种排名!K81:M81</xm:f>
              <xm:sqref>J81</xm:sqref>
            </x14:sparkline>
            <x14:sparkline>
              <xm:f>币种排名!K82:M82</xm:f>
              <xm:sqref>J82</xm:sqref>
            </x14:sparkline>
            <x14:sparkline>
              <xm:f>币种排名!K83:M83</xm:f>
              <xm:sqref>J83</xm:sqref>
            </x14:sparkline>
            <x14:sparkline>
              <xm:f>币种排名!K84:M84</xm:f>
              <xm:sqref>J84</xm:sqref>
            </x14:sparkline>
            <x14:sparkline>
              <xm:f>币种排名!K85:M85</xm:f>
              <xm:sqref>J85</xm:sqref>
            </x14:sparkline>
            <x14:sparkline>
              <xm:f>币种排名!K86:M86</xm:f>
              <xm:sqref>J86</xm:sqref>
            </x14:sparkline>
            <x14:sparkline>
              <xm:f>币种排名!K87:M87</xm:f>
              <xm:sqref>J87</xm:sqref>
            </x14:sparkline>
            <x14:sparkline>
              <xm:f>币种排名!K88:M88</xm:f>
              <xm:sqref>J88</xm:sqref>
            </x14:sparkline>
            <x14:sparkline>
              <xm:f>币种排名!K89:M89</xm:f>
              <xm:sqref>J89</xm:sqref>
            </x14:sparkline>
            <x14:sparkline>
              <xm:f>币种排名!K90:M90</xm:f>
              <xm:sqref>J90</xm:sqref>
            </x14:sparkline>
            <x14:sparkline>
              <xm:f>币种排名!K91:M91</xm:f>
              <xm:sqref>J91</xm:sqref>
            </x14:sparkline>
            <x14:sparkline>
              <xm:f>币种排名!K92:M92</xm:f>
              <xm:sqref>J92</xm:sqref>
            </x14:sparkline>
            <x14:sparkline>
              <xm:f>币种排名!K93:M93</xm:f>
              <xm:sqref>J93</xm:sqref>
            </x14:sparkline>
            <x14:sparkline>
              <xm:f>币种排名!K94:M94</xm:f>
              <xm:sqref>J94</xm:sqref>
            </x14:sparkline>
            <x14:sparkline>
              <xm:f>币种排名!K95:M95</xm:f>
              <xm:sqref>J95</xm:sqref>
            </x14:sparkline>
            <x14:sparkline>
              <xm:f>币种排名!K96:M96</xm:f>
              <xm:sqref>J96</xm:sqref>
            </x14:sparkline>
            <x14:sparkline>
              <xm:f>币种排名!K97:M97</xm:f>
              <xm:sqref>J97</xm:sqref>
            </x14:sparkline>
            <x14:sparkline>
              <xm:f>币种排名!K98:M98</xm:f>
              <xm:sqref>J98</xm:sqref>
            </x14:sparkline>
            <x14:sparkline>
              <xm:f>币种排名!K99:M99</xm:f>
              <xm:sqref>J99</xm:sqref>
            </x14:sparkline>
            <x14:sparkline>
              <xm:f>币种排名!K100:M100</xm:f>
              <xm:sqref>J100</xm:sqref>
            </x14:sparkline>
            <x14:sparkline>
              <xm:f>币种排名!K101:M101</xm:f>
              <xm:sqref>J101</xm:sqref>
            </x14:sparkline>
            <x14:sparkline>
              <xm:f>币种排名!K102:M102</xm:f>
              <xm:sqref>J102</xm:sqref>
            </x14:sparkline>
            <x14:sparkline>
              <xm:f>币种排名!K103:M103</xm:f>
              <xm:sqref>J103</xm:sqref>
            </x14:sparkline>
            <x14:sparkline>
              <xm:f>币种排名!K104:M104</xm:f>
              <xm:sqref>J104</xm:sqref>
            </x14:sparkline>
            <x14:sparkline>
              <xm:f>币种排名!K105:M105</xm:f>
              <xm:sqref>J105</xm:sqref>
            </x14:sparkline>
            <x14:sparkline>
              <xm:f>币种排名!K106:M106</xm:f>
              <xm:sqref>J106</xm:sqref>
            </x14:sparkline>
            <x14:sparkline>
              <xm:f>币种排名!K107:M107</xm:f>
              <xm:sqref>J107</xm:sqref>
            </x14:sparkline>
            <x14:sparkline>
              <xm:f>币种排名!K108:M108</xm:f>
              <xm:sqref>J108</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4D6-94F9-E441-92CC-FEEFF0DD3DC5}">
  <dimension ref="B2:F25"/>
  <sheetViews>
    <sheetView topLeftCell="A2" workbookViewId="0">
      <selection activeCell="B16" sqref="B16"/>
    </sheetView>
  </sheetViews>
  <sheetFormatPr baseColWidth="10" defaultRowHeight="16"/>
  <cols>
    <col min="2" max="6" width="15" customWidth="1"/>
    <col min="9" max="9" width="16" bestFit="1" customWidth="1"/>
    <col min="10" max="10" width="12.6640625" bestFit="1" customWidth="1"/>
  </cols>
  <sheetData>
    <row r="2" spans="2:6">
      <c r="B2" s="1015" t="s">
        <v>661</v>
      </c>
      <c r="C2" s="1015" t="s">
        <v>662</v>
      </c>
    </row>
    <row r="3" spans="2:6">
      <c r="B3" s="1017">
        <f ca="1">NOW()</f>
        <v>44465.641936689812</v>
      </c>
      <c r="C3" s="1014">
        <f ca="1">(B3-70*365-19)*86400-8*3600</f>
        <v>1632641063.3299997</v>
      </c>
    </row>
    <row r="5" spans="2:6">
      <c r="B5" s="1015" t="str">
        <f t="array" ref="B5:F14">[1]!_xldudf_CS_QUERY("Coinmetrics","Asset Metrics Data",{"_formatDates","MM-DD-YYYY";"_orderBy","-time";"_renameHeaders","values__0:price,values__1:mktCap,values__2:realized mktCap,values__3:MVRV";"assetId","btc";"metrics","PriceUSD,CapMrktCurUSD,CapRealUSD,CapMVRVCur"})</f>
        <v>time</v>
      </c>
      <c r="C5" s="1016" t="str">
        <v>price</v>
      </c>
      <c r="D5" s="1016" t="str">
        <v>mktCap</v>
      </c>
      <c r="E5" s="1016" t="str">
        <v>realized mktCap</v>
      </c>
      <c r="F5" s="1016" t="str">
        <v>MVRV</v>
      </c>
    </row>
    <row r="6" spans="2:6">
      <c r="B6" s="1014" t="str">
        <v>09-25-2021</v>
      </c>
      <c r="C6" s="1014">
        <v>42735.265824079499</v>
      </c>
      <c r="D6" s="1014">
        <v>804538656841.32312</v>
      </c>
      <c r="E6" s="1014">
        <v>395221241315.078</v>
      </c>
      <c r="F6" s="1014">
        <v>2.035666539997</v>
      </c>
    </row>
    <row r="7" spans="2:6">
      <c r="B7" s="1014" t="str">
        <v>09-24-2021</v>
      </c>
      <c r="C7" s="1014">
        <v>42803.307701051999</v>
      </c>
      <c r="D7" s="1014">
        <v>805781097472.61597</v>
      </c>
      <c r="E7" s="1014">
        <v>395196123992.26715</v>
      </c>
      <c r="F7" s="1014">
        <v>2.0389397783879999</v>
      </c>
    </row>
    <row r="8" spans="2:6">
      <c r="B8" s="1014" t="str">
        <v>09-23-2021</v>
      </c>
      <c r="C8" s="1014">
        <v>44861.298032904699</v>
      </c>
      <c r="D8" s="1014">
        <v>844481693316.98303</v>
      </c>
      <c r="E8" s="1014">
        <v>395484558719.46069</v>
      </c>
      <c r="F8" s="1014">
        <v>2.1353088880420001</v>
      </c>
    </row>
    <row r="9" spans="2:6">
      <c r="B9" s="1014" t="str">
        <v>09-22-2021</v>
      </c>
      <c r="C9" s="1014">
        <v>43577.572482174197</v>
      </c>
      <c r="D9" s="1014">
        <v>820271543076.07166</v>
      </c>
      <c r="E9" s="1014">
        <v>395131736034.13373</v>
      </c>
      <c r="F9" s="1014">
        <v>2.0759444718590001</v>
      </c>
    </row>
    <row r="10" spans="2:6">
      <c r="B10" s="1014" t="str">
        <v>09-21-2021</v>
      </c>
      <c r="C10" s="1014">
        <v>40526.4893760958</v>
      </c>
      <c r="D10" s="1014">
        <v>762806301935.1322</v>
      </c>
      <c r="E10" s="1014">
        <v>394575423316.21429</v>
      </c>
      <c r="F10" s="1014">
        <v>1.9332331839729999</v>
      </c>
    </row>
    <row r="11" spans="2:6">
      <c r="B11" s="1014" t="str">
        <v>09-20-2021</v>
      </c>
      <c r="C11" s="1014">
        <v>42855.510344827599</v>
      </c>
      <c r="D11" s="1014">
        <v>806611150255.10083</v>
      </c>
      <c r="E11" s="1014">
        <v>395284019677.93311</v>
      </c>
      <c r="F11" s="1014">
        <v>2.0405862875819998</v>
      </c>
    </row>
    <row r="12" spans="2:6">
      <c r="B12" s="1014" t="str">
        <v>09-19-2021</v>
      </c>
      <c r="C12" s="1014">
        <v>47218.473996493303</v>
      </c>
      <c r="D12" s="1014">
        <v>888680899050.94067</v>
      </c>
      <c r="E12" s="1014">
        <v>396212217786.26648</v>
      </c>
      <c r="F12" s="1014">
        <v>2.242941684172</v>
      </c>
    </row>
    <row r="13" spans="2:6">
      <c r="B13" s="1014" t="str">
        <v>09-18-2021</v>
      </c>
      <c r="C13" s="1014">
        <v>48204.013651957903</v>
      </c>
      <c r="D13" s="1014">
        <v>907181161197.6665</v>
      </c>
      <c r="E13" s="1014">
        <v>396075176282.64032</v>
      </c>
      <c r="F13" s="1014">
        <v>2.290426705637</v>
      </c>
    </row>
    <row r="14" spans="2:6">
      <c r="B14" s="1014" t="str">
        <v>09-17-2021</v>
      </c>
      <c r="C14" s="1014">
        <v>47213.794129456503</v>
      </c>
      <c r="D14" s="1014">
        <v>888499868900.24915</v>
      </c>
      <c r="E14" s="1014">
        <v>395777211861.36243</v>
      </c>
      <c r="F14" s="1014">
        <v>2.2449495379519999</v>
      </c>
    </row>
    <row r="16" spans="2:6">
      <c r="B16" s="1015" t="str">
        <f t="array" ref="B16:F25">[1]!_xldudf_CS_QUERY("Coinmetrics","Asset Metrics Data",{"_formatDates","MM-DD-YYYY";"_orderBy","-time";"_renameHeaders","values__0:price,values__1:mktCap,values__2:realized mktCap,values__3:MVRV";"assetId","btc";"metrics","PriceUSD,CapMrktCurUSD,CapRealUSD,CapMVRVCur"})</f>
        <v>time</v>
      </c>
      <c r="C16" s="1016" t="str">
        <v>price</v>
      </c>
      <c r="D16" s="1016" t="str">
        <v>mktCap</v>
      </c>
      <c r="E16" s="1016" t="str">
        <v>realized mktCap</v>
      </c>
      <c r="F16" s="1016" t="str">
        <v>MVRV</v>
      </c>
    </row>
    <row r="17" spans="2:6">
      <c r="B17" s="1014" t="str">
        <v>09-25-2021</v>
      </c>
      <c r="C17" s="1014">
        <v>42735.265824079499</v>
      </c>
      <c r="D17" s="1014">
        <v>804538656841.32312</v>
      </c>
      <c r="E17" s="1014">
        <v>395221241315.078</v>
      </c>
      <c r="F17" s="1014">
        <v>2.035666539997</v>
      </c>
    </row>
    <row r="18" spans="2:6">
      <c r="B18" s="1014" t="str">
        <v>09-24-2021</v>
      </c>
      <c r="C18" s="1014">
        <v>42803.307701051999</v>
      </c>
      <c r="D18" s="1014">
        <v>805781097472.61597</v>
      </c>
      <c r="E18" s="1014">
        <v>395196123992.26715</v>
      </c>
      <c r="F18" s="1014">
        <v>2.0389397783879999</v>
      </c>
    </row>
    <row r="19" spans="2:6">
      <c r="B19" s="1014" t="str">
        <v>09-23-2021</v>
      </c>
      <c r="C19" s="1014">
        <v>44861.298032904699</v>
      </c>
      <c r="D19" s="1014">
        <v>844481693316.98303</v>
      </c>
      <c r="E19" s="1014">
        <v>395484558719.46069</v>
      </c>
      <c r="F19" s="1014">
        <v>2.1353088880420001</v>
      </c>
    </row>
    <row r="20" spans="2:6">
      <c r="B20" s="1014" t="str">
        <v>09-22-2021</v>
      </c>
      <c r="C20" s="1014">
        <v>43577.572482174197</v>
      </c>
      <c r="D20" s="1014">
        <v>820271543076.07166</v>
      </c>
      <c r="E20" s="1014">
        <v>395131736034.13373</v>
      </c>
      <c r="F20" s="1014">
        <v>2.0759444718590001</v>
      </c>
    </row>
    <row r="21" spans="2:6">
      <c r="B21" s="1014" t="str">
        <v>09-21-2021</v>
      </c>
      <c r="C21" s="1014">
        <v>40526.4893760958</v>
      </c>
      <c r="D21" s="1014">
        <v>762806301935.1322</v>
      </c>
      <c r="E21" s="1014">
        <v>394575423316.21429</v>
      </c>
      <c r="F21" s="1014">
        <v>1.9332331839729999</v>
      </c>
    </row>
    <row r="22" spans="2:6">
      <c r="B22" s="1014" t="str">
        <v>09-20-2021</v>
      </c>
      <c r="C22" s="1014">
        <v>42855.510344827599</v>
      </c>
      <c r="D22" s="1014">
        <v>806611150255.10083</v>
      </c>
      <c r="E22" s="1014">
        <v>395284019677.93311</v>
      </c>
      <c r="F22" s="1014">
        <v>2.0405862875819998</v>
      </c>
    </row>
    <row r="23" spans="2:6">
      <c r="B23" s="1014" t="str">
        <v>09-19-2021</v>
      </c>
      <c r="C23" s="1014">
        <v>47218.473996493303</v>
      </c>
      <c r="D23" s="1014">
        <v>888680899050.94067</v>
      </c>
      <c r="E23" s="1014">
        <v>396212217786.26648</v>
      </c>
      <c r="F23" s="1014">
        <v>2.242941684172</v>
      </c>
    </row>
    <row r="24" spans="2:6">
      <c r="B24" s="1014" t="str">
        <v>09-18-2021</v>
      </c>
      <c r="C24" s="1014">
        <v>48204.013651957903</v>
      </c>
      <c r="D24" s="1014">
        <v>907181161197.6665</v>
      </c>
      <c r="E24" s="1014">
        <v>396075176282.64032</v>
      </c>
      <c r="F24" s="1014">
        <v>2.290426705637</v>
      </c>
    </row>
    <row r="25" spans="2:6">
      <c r="B25" s="1014" t="str">
        <v>09-17-2021</v>
      </c>
      <c r="C25" s="1014">
        <v>47213.794129456503</v>
      </c>
      <c r="D25" s="1014">
        <v>888499868900.24915</v>
      </c>
      <c r="E25" s="1014">
        <v>395777211861.36243</v>
      </c>
      <c r="F25" s="1014">
        <v>2.2449495379519999</v>
      </c>
    </row>
  </sheetData>
  <phoneticPr fontId="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6DF2F-FC73-FE40-AF46-94E799A33394}">
  <dimension ref="A4:Z319"/>
  <sheetViews>
    <sheetView topLeftCell="O34" zoomScale="217" workbookViewId="0">
      <selection activeCell="W33" sqref="W33"/>
    </sheetView>
  </sheetViews>
  <sheetFormatPr baseColWidth="10" defaultColWidth="7.5" defaultRowHeight="16" outlineLevelCol="1"/>
  <cols>
    <col min="1" max="1" width="7.6640625" style="882" hidden="1" customWidth="1"/>
    <col min="2" max="2" width="13.1640625" style="882" hidden="1" customWidth="1" outlineLevel="1"/>
    <col min="3" max="3" width="17.5" style="882" hidden="1" customWidth="1" outlineLevel="1"/>
    <col min="4" max="4" width="13.5" style="882" hidden="1" customWidth="1" outlineLevel="1"/>
    <col min="5" max="5" width="12.5" style="882" hidden="1" customWidth="1" outlineLevel="1"/>
    <col min="6" max="6" width="6.5" style="882" hidden="1" customWidth="1" outlineLevel="1"/>
    <col min="7" max="7" width="4.1640625" style="882" hidden="1" customWidth="1" outlineLevel="1"/>
    <col min="8" max="8" width="2.5" style="1043" customWidth="1" collapsed="1"/>
    <col min="9" max="10" width="9.1640625" style="882" customWidth="1"/>
    <col min="11" max="11" width="9.5" style="882" customWidth="1"/>
    <col min="12" max="13" width="9.1640625" style="882" customWidth="1"/>
    <col min="14" max="14" width="1.83203125" style="1044" customWidth="1"/>
    <col min="15" max="15" width="2.5" style="1044" customWidth="1"/>
    <col min="16" max="17" width="9.1640625" style="882" customWidth="1"/>
    <col min="18" max="18" width="9" style="882" customWidth="1"/>
    <col min="19" max="20" width="9.1640625" style="882" customWidth="1"/>
    <col min="21" max="21" width="7.83203125" style="882" customWidth="1"/>
    <col min="22" max="22" width="7.83203125" style="1045" customWidth="1"/>
    <col min="23" max="23" width="11" style="1045" bestFit="1" customWidth="1"/>
    <col min="24" max="24" width="9.5" style="1045" customWidth="1"/>
    <col min="25" max="25" width="7.83203125" style="1045" customWidth="1"/>
    <col min="26" max="32" width="7.83203125" style="882" customWidth="1"/>
    <col min="33" max="16384" width="7.5" style="882"/>
  </cols>
  <sheetData>
    <row r="4" spans="2:19">
      <c r="C4" s="882" t="str">
        <f>IF(C33="","custom",(" "&amp;PROPER(SUBSTITUTE(C34,"-"," "))&amp;" ("&amp;C33&amp;")"))</f>
        <v xml:space="preserve"> Exchanges (Coingecko)</v>
      </c>
    </row>
    <row r="6" spans="2:19">
      <c r="C6" s="894"/>
      <c r="S6" s="1046" t="s">
        <v>670</v>
      </c>
    </row>
    <row r="7" spans="2:19">
      <c r="B7" s="901" t="s">
        <v>671</v>
      </c>
      <c r="C7" s="1047" t="s">
        <v>672</v>
      </c>
    </row>
    <row r="8" spans="2:19">
      <c r="B8" s="901"/>
      <c r="C8" s="1048"/>
    </row>
    <row r="9" spans="2:19">
      <c r="B9" s="901"/>
      <c r="C9" s="1048"/>
    </row>
    <row r="10" spans="2:19">
      <c r="B10" s="901"/>
      <c r="C10" s="1048"/>
    </row>
    <row r="11" spans="2:19">
      <c r="B11" s="901"/>
      <c r="C11" s="1048"/>
    </row>
    <row r="12" spans="2:19">
      <c r="B12" s="901"/>
      <c r="C12" s="1048"/>
    </row>
    <row r="13" spans="2:19">
      <c r="B13" s="901"/>
      <c r="C13" s="1048"/>
    </row>
    <row r="14" spans="2:19">
      <c r="B14" s="901"/>
      <c r="C14" s="1048"/>
    </row>
    <row r="15" spans="2:19">
      <c r="B15" s="901"/>
      <c r="C15" s="1048"/>
    </row>
    <row r="16" spans="2:19">
      <c r="B16" s="901"/>
      <c r="C16" s="1048"/>
    </row>
    <row r="17" spans="2:20">
      <c r="B17" s="901"/>
      <c r="C17" s="1048"/>
    </row>
    <row r="18" spans="2:20">
      <c r="B18" s="901"/>
      <c r="C18" s="1048"/>
    </row>
    <row r="19" spans="2:20">
      <c r="B19" s="901"/>
      <c r="C19" s="1048"/>
    </row>
    <row r="20" spans="2:20">
      <c r="B20" s="901"/>
      <c r="C20" s="1048"/>
    </row>
    <row r="21" spans="2:20">
      <c r="B21" s="901"/>
      <c r="C21" s="1048"/>
    </row>
    <row r="22" spans="2:20">
      <c r="B22" s="901"/>
      <c r="C22" s="1048"/>
    </row>
    <row r="23" spans="2:20">
      <c r="B23" s="901"/>
      <c r="C23" s="1048"/>
    </row>
    <row r="24" spans="2:20">
      <c r="B24" s="901"/>
      <c r="C24" s="1048"/>
    </row>
    <row r="25" spans="2:20">
      <c r="B25" s="901"/>
      <c r="C25" s="1048"/>
    </row>
    <row r="26" spans="2:20">
      <c r="B26" s="901"/>
      <c r="C26" s="1048"/>
    </row>
    <row r="27" spans="2:20">
      <c r="B27" s="901"/>
      <c r="C27" s="1048"/>
    </row>
    <row r="28" spans="2:20">
      <c r="B28" s="901"/>
      <c r="C28" s="1048"/>
    </row>
    <row r="29" spans="2:20">
      <c r="B29" s="901"/>
      <c r="C29" s="1048"/>
    </row>
    <row r="30" spans="2:20">
      <c r="B30" s="901"/>
      <c r="C30" s="1048"/>
    </row>
    <row r="31" spans="2:20">
      <c r="B31" s="901"/>
      <c r="C31" s="901"/>
    </row>
    <row r="32" spans="2:20" ht="85.5" customHeight="1" thickBot="1">
      <c r="B32" s="1049" t="s">
        <v>673</v>
      </c>
      <c r="C32" s="1049"/>
      <c r="D32" s="1049"/>
      <c r="E32" s="1049"/>
      <c r="F32" s="1049"/>
      <c r="I32" s="1049" t="s">
        <v>674</v>
      </c>
      <c r="J32" s="1049"/>
      <c r="K32" s="1049"/>
      <c r="L32" s="1049"/>
      <c r="M32" s="1049"/>
      <c r="P32" s="1049" t="s">
        <v>675</v>
      </c>
      <c r="Q32" s="1049"/>
      <c r="R32" s="1049"/>
      <c r="S32" s="1049"/>
      <c r="T32" s="1049"/>
    </row>
    <row r="33" spans="1:25" s="1050" customFormat="1" ht="18" thickTop="1">
      <c r="A33" s="1050" t="str">
        <f t="array" ref="A33:A64">[1]!_xldudf_CS_ENDPOINTS(C33,{"fields","name";"limit","200";"_orderBy","name"})</f>
        <v>name</v>
      </c>
      <c r="B33" s="905" t="s">
        <v>549</v>
      </c>
      <c r="C33" s="1051" t="s">
        <v>676</v>
      </c>
      <c r="I33" s="1052" t="s">
        <v>677</v>
      </c>
      <c r="J33" s="1434" t="s">
        <v>678</v>
      </c>
      <c r="K33" s="1435"/>
      <c r="L33" s="1052" t="s">
        <v>679</v>
      </c>
      <c r="M33" s="1053" t="s">
        <v>680</v>
      </c>
      <c r="N33" s="1044"/>
      <c r="O33" s="1044"/>
      <c r="P33" s="1052" t="s">
        <v>677</v>
      </c>
      <c r="Q33" s="1434" t="s">
        <v>681</v>
      </c>
      <c r="R33" s="1435"/>
      <c r="S33" s="1052" t="s">
        <v>679</v>
      </c>
      <c r="T33" s="1053" t="s">
        <v>680</v>
      </c>
      <c r="V33" s="1054"/>
      <c r="W33" s="1054"/>
      <c r="X33" s="1054"/>
      <c r="Y33" s="1054"/>
    </row>
    <row r="34" spans="1:25" ht="38.25" customHeight="1">
      <c r="A34" s="882" t="str">
        <v>Asset Platforms</v>
      </c>
      <c r="B34" s="901" t="s">
        <v>550</v>
      </c>
      <c r="C34" s="1055" t="s">
        <v>682</v>
      </c>
      <c r="H34" s="1056"/>
      <c r="I34" s="1057" t="str">
        <f t="array" ref="I34:M59">(IF(F44=TRUE,([1]!_xldudf_CS_QUERY(C33,C34,B38:C43)),([1]!_xldudf_CS_QUERY(C33,C34,B38:C43))))</f>
        <v>name</v>
      </c>
      <c r="J34" s="1057" t="str">
        <v>year_established</v>
      </c>
      <c r="K34" s="1058" t="str">
        <v>trust_score</v>
      </c>
      <c r="L34" s="1057" t="str">
        <v>trade_volume_24h_btc</v>
      </c>
      <c r="M34" s="1057" t="str">
        <v>trade_volume_24h_btc_normalized</v>
      </c>
      <c r="N34" s="882"/>
      <c r="O34" s="1056"/>
      <c r="P34" s="1057" t="str">
        <f t="array" ref="P34:T59">(IF(F44=TRUE,([1]!_xldudf_CS_QUERY(C33,C34,D38:E43)),([1]!_xldudf_CS_QUERY(C33,C34,D38:E43))))</f>
        <v>name</v>
      </c>
      <c r="Q34" s="1057" t="str">
        <v>year_established</v>
      </c>
      <c r="R34" s="1058" t="str">
        <v>trust_score</v>
      </c>
      <c r="S34" s="1057" t="str">
        <v>trade_volume_24h_btc</v>
      </c>
      <c r="T34" s="1057" t="str">
        <v>trade_volume_24h_btc_normalized</v>
      </c>
    </row>
    <row r="35" spans="1:25">
      <c r="A35" s="882" t="str">
        <v>Asset Platforms PRO</v>
      </c>
      <c r="H35" s="1063" t="e" vm="1">
        <f t="array" aca="1" ref="H35:H59" ca="1">_xlfn.SEQUENCE(C41,1,1)</f>
        <v>#NAME?</v>
      </c>
      <c r="I35" s="1059" t="str">
        <v>Binance</v>
      </c>
      <c r="J35" s="1060">
        <v>2017</v>
      </c>
      <c r="K35" s="1060">
        <v>10</v>
      </c>
      <c r="L35" s="1061">
        <v>446692.43762578897</v>
      </c>
      <c r="M35" s="1061">
        <v>446692.43762578897</v>
      </c>
      <c r="N35" s="882"/>
      <c r="O35" s="1063" t="e" vm="1">
        <f t="array" aca="1" ref="O35:O59" ca="1">_xlfn.SEQUENCE(E41,1,1)</f>
        <v>#NAME?</v>
      </c>
      <c r="P35" s="1059" t="str">
        <v>Binance</v>
      </c>
      <c r="Q35" s="1060">
        <v>2017</v>
      </c>
      <c r="R35" s="1060">
        <v>10</v>
      </c>
      <c r="S35" s="1061">
        <v>446692.43762578897</v>
      </c>
      <c r="T35" s="1061">
        <v>446692.43762578897</v>
      </c>
      <c r="V35" s="1064" t="s">
        <v>683</v>
      </c>
      <c r="W35" s="1064">
        <f>SUM(S68:S467)</f>
        <v>2923105.7597269602</v>
      </c>
      <c r="X35" s="1064">
        <f>SUM(T68:T467)</f>
        <v>2047920.7332201351</v>
      </c>
    </row>
    <row r="36" spans="1:25">
      <c r="A36" s="882" t="str">
        <v>Categories</v>
      </c>
      <c r="H36" s="1063" t="e" vm="1">
        <f ca="1"/>
        <v>#NAME?</v>
      </c>
      <c r="I36" s="901" t="str">
        <v>Huobi Global</v>
      </c>
      <c r="J36" s="882">
        <v>2013</v>
      </c>
      <c r="K36" s="882">
        <v>10</v>
      </c>
      <c r="L36" s="1062">
        <v>116013.93120572752</v>
      </c>
      <c r="M36" s="1062">
        <v>116013.93120572752</v>
      </c>
      <c r="N36" s="882"/>
      <c r="O36" s="1063" t="e" vm="1">
        <f ca="1"/>
        <v>#NAME?</v>
      </c>
      <c r="P36" s="901" t="str">
        <v>CoinFLEX</v>
      </c>
      <c r="Q36" s="882">
        <v>2019</v>
      </c>
      <c r="R36" s="882">
        <v>7</v>
      </c>
      <c r="S36" s="1062">
        <v>149509.33004082125</v>
      </c>
      <c r="T36" s="1062">
        <v>4828.3102809664451</v>
      </c>
      <c r="V36" s="1045" t="s">
        <v>684</v>
      </c>
    </row>
    <row r="37" spans="1:25" ht="18" thickBot="1">
      <c r="A37" s="882" t="str">
        <v>Categories List</v>
      </c>
      <c r="B37" s="1049" t="s">
        <v>685</v>
      </c>
      <c r="C37" s="1049"/>
      <c r="D37" s="1049"/>
      <c r="E37" s="1049"/>
      <c r="F37" s="1049"/>
      <c r="H37" s="1063" t="e" vm="1">
        <f ca="1"/>
        <v>#NAME?</v>
      </c>
      <c r="I37" s="1059" t="str">
        <v>Crypto.com Exchange</v>
      </c>
      <c r="J37" s="1060">
        <v>2019</v>
      </c>
      <c r="K37" s="1060">
        <v>10</v>
      </c>
      <c r="L37" s="1061">
        <v>94051.844259287478</v>
      </c>
      <c r="M37" s="1061">
        <v>94051.844259287478</v>
      </c>
      <c r="N37" s="882"/>
      <c r="O37" s="1063" t="e" vm="1">
        <f ca="1"/>
        <v>#NAME?</v>
      </c>
      <c r="P37" s="1059" t="str">
        <v>OKEx</v>
      </c>
      <c r="Q37" s="1060">
        <v>2013</v>
      </c>
      <c r="R37" s="1060">
        <v>8</v>
      </c>
      <c r="S37" s="1061">
        <v>132213.46261145396</v>
      </c>
      <c r="T37" s="1061">
        <v>132213.46261145396</v>
      </c>
      <c r="V37" s="1045" t="str">
        <f t="array" ref="V37:V62">I35:I60</f>
        <v>Binance</v>
      </c>
      <c r="W37" s="1064">
        <f t="array" ref="W37:W62">M35:M60</f>
        <v>446692.43762578897</v>
      </c>
      <c r="X37" s="1045" t="e" vm="1">
        <f t="array" aca="1" ref="X37:Y62" ca="1">_xlfn.SORTBY(V37:W62,_xlfn.ANCHORARRAY(W37),-1)</f>
        <v>#NAME?</v>
      </c>
      <c r="Y37" s="1045" t="e" vm="1">
        <f ca="1"/>
        <v>#NAME?</v>
      </c>
    </row>
    <row r="38" spans="1:25" ht="17" thickTop="1">
      <c r="A38" s="882" t="str">
        <v>Categories List PRO</v>
      </c>
      <c r="B38" s="1065" t="s">
        <v>686</v>
      </c>
      <c r="C38" s="1066" t="s">
        <v>687</v>
      </c>
      <c r="D38" s="1065" t="s">
        <v>686</v>
      </c>
      <c r="E38" s="1066" t="s">
        <v>687</v>
      </c>
      <c r="H38" s="1063" t="e" vm="1">
        <f ca="1"/>
        <v>#NAME?</v>
      </c>
      <c r="I38" s="901" t="str">
        <v>Coinbase Exchange</v>
      </c>
      <c r="J38" s="882">
        <v>2012</v>
      </c>
      <c r="K38" s="882">
        <v>10</v>
      </c>
      <c r="L38" s="1062">
        <v>70307.006571103761</v>
      </c>
      <c r="M38" s="1062">
        <v>70307.006571103761</v>
      </c>
      <c r="N38" s="882"/>
      <c r="O38" s="1063" t="e" vm="1">
        <f ca="1"/>
        <v>#NAME?</v>
      </c>
      <c r="P38" s="901" t="str">
        <v>Huobi Global</v>
      </c>
      <c r="Q38" s="882">
        <v>2013</v>
      </c>
      <c r="R38" s="882">
        <v>10</v>
      </c>
      <c r="S38" s="1062">
        <v>116013.93120572752</v>
      </c>
      <c r="T38" s="1062">
        <v>116013.93120572752</v>
      </c>
      <c r="V38" s="1045" t="str">
        <v>Huobi Global</v>
      </c>
      <c r="W38" s="1045">
        <v>116013.93120572752</v>
      </c>
      <c r="X38" s="1045" t="e" vm="1">
        <f ca="1"/>
        <v>#NAME?</v>
      </c>
      <c r="Y38" s="1045" t="e" vm="1">
        <f ca="1"/>
        <v>#NAME?</v>
      </c>
    </row>
    <row r="39" spans="1:25">
      <c r="A39" s="882" t="str">
        <v>Categories PRO</v>
      </c>
      <c r="B39" s="1067" t="s">
        <v>688</v>
      </c>
      <c r="C39" s="1068"/>
      <c r="D39" s="1067" t="s">
        <v>688</v>
      </c>
      <c r="E39" s="1068"/>
      <c r="H39" s="1063" t="e" vm="1">
        <f ca="1"/>
        <v>#NAME?</v>
      </c>
      <c r="I39" s="1059" t="str">
        <v>FTX</v>
      </c>
      <c r="J39" s="1060">
        <v>2019</v>
      </c>
      <c r="K39" s="1060">
        <v>10</v>
      </c>
      <c r="L39" s="1061">
        <v>42064.430996179872</v>
      </c>
      <c r="M39" s="1061">
        <v>42064.430996179872</v>
      </c>
      <c r="N39" s="882"/>
      <c r="O39" s="1063" t="e" vm="1">
        <f ca="1"/>
        <v>#NAME?</v>
      </c>
      <c r="P39" s="1059" t="str">
        <v>HitBTC</v>
      </c>
      <c r="Q39" s="1060">
        <v>2013</v>
      </c>
      <c r="R39" s="1060">
        <v>6</v>
      </c>
      <c r="S39" s="1061">
        <v>110729.72428069217</v>
      </c>
      <c r="T39" s="1061">
        <v>110729.72428069217</v>
      </c>
      <c r="V39" s="1045" t="str">
        <v>Crypto.com Exchange</v>
      </c>
      <c r="W39" s="1045">
        <v>94051.844259287478</v>
      </c>
      <c r="X39" s="1045" t="e" vm="1">
        <f ca="1"/>
        <v>#NAME?</v>
      </c>
      <c r="Y39" s="1045" t="e" vm="1">
        <f ca="1"/>
        <v>#NAME?</v>
      </c>
    </row>
    <row r="40" spans="1:25">
      <c r="A40" s="882" t="str">
        <v>Coins by Contract Address</v>
      </c>
      <c r="B40" s="1067" t="s">
        <v>689</v>
      </c>
      <c r="C40" s="1069" t="str">
        <f>IF(M33="DESC","-"&amp;J33,J33)</f>
        <v>-trust_score</v>
      </c>
      <c r="D40" s="1067" t="s">
        <v>689</v>
      </c>
      <c r="E40" s="1069" t="str">
        <f>IF(T33="DESC","-"&amp;Q33,Q33)</f>
        <v>-trade_volume_24h_btc</v>
      </c>
      <c r="H40" s="1063" t="e" vm="1">
        <f ca="1"/>
        <v>#NAME?</v>
      </c>
      <c r="I40" s="901" t="str">
        <v>KuCoin</v>
      </c>
      <c r="J40" s="882">
        <v>2014</v>
      </c>
      <c r="K40" s="882">
        <v>10</v>
      </c>
      <c r="L40" s="1062">
        <v>31639.245547928698</v>
      </c>
      <c r="M40" s="1062">
        <v>31639.245547928698</v>
      </c>
      <c r="N40" s="882"/>
      <c r="O40" s="1063" t="e" vm="1">
        <f ca="1"/>
        <v>#NAME?</v>
      </c>
      <c r="P40" s="901" t="str">
        <v>Bitcoin.com Exchange</v>
      </c>
      <c r="Q40" s="882">
        <v>2019</v>
      </c>
      <c r="R40" s="882">
        <v>7</v>
      </c>
      <c r="S40" s="1062">
        <v>100349.72106094619</v>
      </c>
      <c r="T40" s="1062">
        <v>31045.825279742305</v>
      </c>
      <c r="V40" s="1045" t="str">
        <v>Coinbase Exchange</v>
      </c>
      <c r="W40" s="1045">
        <v>70307.006571103761</v>
      </c>
      <c r="X40" s="1045" t="e" vm="1">
        <f ca="1"/>
        <v>#NAME?</v>
      </c>
      <c r="Y40" s="1045" t="e" vm="1">
        <f ca="1"/>
        <v>#NAME?</v>
      </c>
    </row>
    <row r="41" spans="1:25">
      <c r="A41" s="882" t="str">
        <v>Coins by Contract Address Market Chart</v>
      </c>
      <c r="B41" s="1067" t="s">
        <v>690</v>
      </c>
      <c r="C41" s="1068">
        <v>25</v>
      </c>
      <c r="D41" s="1067" t="s">
        <v>690</v>
      </c>
      <c r="E41" s="1068">
        <v>25</v>
      </c>
      <c r="H41" s="1063" t="e" vm="1">
        <f ca="1"/>
        <v>#NAME?</v>
      </c>
      <c r="I41" s="1059" t="str">
        <v>Gate.io</v>
      </c>
      <c r="J41" s="1060">
        <v>0</v>
      </c>
      <c r="K41" s="1060">
        <v>10</v>
      </c>
      <c r="L41" s="1061">
        <v>24526.084211836154</v>
      </c>
      <c r="M41" s="1061">
        <v>24526.084211836154</v>
      </c>
      <c r="N41" s="882"/>
      <c r="O41" s="1063" t="e" vm="1">
        <f ca="1"/>
        <v>#NAME?</v>
      </c>
      <c r="P41" s="1059" t="str">
        <v>Crypto.com Exchange</v>
      </c>
      <c r="Q41" s="1060">
        <v>2019</v>
      </c>
      <c r="R41" s="1060">
        <v>10</v>
      </c>
      <c r="S41" s="1061">
        <v>94051.844259287478</v>
      </c>
      <c r="T41" s="1061">
        <v>94051.844259287478</v>
      </c>
      <c r="V41" s="1045" t="str">
        <v>FTX</v>
      </c>
      <c r="W41" s="1045">
        <v>42064.430996179872</v>
      </c>
      <c r="X41" s="1045" t="e" vm="1">
        <f ca="1"/>
        <v>#NAME?</v>
      </c>
      <c r="Y41" s="1045" t="e" vm="1">
        <f ca="1"/>
        <v>#NAME?</v>
      </c>
    </row>
    <row r="42" spans="1:25">
      <c r="A42" s="882" t="str">
        <v>Coins by Contract Address Market Chart PRO</v>
      </c>
      <c r="B42" s="1067" t="s">
        <v>691</v>
      </c>
      <c r="C42" s="1068"/>
      <c r="D42" s="1067" t="s">
        <v>691</v>
      </c>
      <c r="E42" s="1068"/>
      <c r="H42" s="1063" t="e" vm="1">
        <f ca="1"/>
        <v>#NAME?</v>
      </c>
      <c r="I42" s="901" t="str">
        <v>Bitfinex</v>
      </c>
      <c r="J42" s="882">
        <v>2014</v>
      </c>
      <c r="K42" s="882">
        <v>10</v>
      </c>
      <c r="L42" s="1062">
        <v>18388.638452517855</v>
      </c>
      <c r="M42" s="1062">
        <v>18388.638452517855</v>
      </c>
      <c r="N42" s="882"/>
      <c r="O42" s="1063" t="e" vm="1">
        <f ca="1"/>
        <v>#NAME?</v>
      </c>
      <c r="P42" s="901" t="str">
        <v>Upbit</v>
      </c>
      <c r="Q42" s="882">
        <v>2017</v>
      </c>
      <c r="R42" s="882">
        <v>7</v>
      </c>
      <c r="S42" s="1062">
        <v>74530.564955555572</v>
      </c>
      <c r="T42" s="1062">
        <v>74530.564955555572</v>
      </c>
      <c r="V42" s="1045" t="str">
        <v>KuCoin</v>
      </c>
      <c r="W42" s="1045">
        <v>31639.245547928698</v>
      </c>
      <c r="X42" s="1045" t="e" vm="1">
        <f ca="1"/>
        <v>#NAME?</v>
      </c>
      <c r="Y42" s="1045" t="e" vm="1">
        <f ca="1"/>
        <v>#NAME?</v>
      </c>
    </row>
    <row r="43" spans="1:25">
      <c r="A43" s="882" t="str">
        <v>Coins by Contract Address Market Chart Range</v>
      </c>
      <c r="B43" s="1070" t="s">
        <v>692</v>
      </c>
      <c r="C43" s="1068"/>
      <c r="D43" s="1070" t="s">
        <v>692</v>
      </c>
      <c r="E43" s="1068"/>
      <c r="F43" s="901" t="s">
        <v>693</v>
      </c>
      <c r="H43" s="1063" t="e" vm="1">
        <f ca="1"/>
        <v>#NAME?</v>
      </c>
      <c r="I43" s="1059" t="str">
        <v>Binance US</v>
      </c>
      <c r="J43" s="1060">
        <v>2019</v>
      </c>
      <c r="K43" s="1060">
        <v>10</v>
      </c>
      <c r="L43" s="1061">
        <v>16682.022432116828</v>
      </c>
      <c r="M43" s="1061">
        <v>16682.022432116828</v>
      </c>
      <c r="N43" s="882"/>
      <c r="O43" s="1063" t="e" vm="1">
        <f ca="1"/>
        <v>#NAME?</v>
      </c>
      <c r="P43" s="1059" t="str">
        <v>Coinbase Exchange</v>
      </c>
      <c r="Q43" s="1060">
        <v>2012</v>
      </c>
      <c r="R43" s="1060">
        <v>10</v>
      </c>
      <c r="S43" s="1061">
        <v>70307.006571103761</v>
      </c>
      <c r="T43" s="1061">
        <v>70307.006571103761</v>
      </c>
      <c r="V43" s="1045" t="str">
        <v>Gate.io</v>
      </c>
      <c r="W43" s="1045">
        <v>24526.084211836154</v>
      </c>
      <c r="X43" s="1045" t="e" vm="1">
        <f ca="1"/>
        <v>#NAME?</v>
      </c>
      <c r="Y43" s="1045" t="e" vm="1">
        <f ca="1"/>
        <v>#NAME?</v>
      </c>
    </row>
    <row r="44" spans="1:25">
      <c r="A44" s="882" t="str">
        <v>Coins by Contract Address Market Chart Range PRO</v>
      </c>
      <c r="B44" s="1071" t="s">
        <v>691</v>
      </c>
      <c r="C44" s="882" t="b">
        <v>1</v>
      </c>
      <c r="E44" s="1052" t="s">
        <v>694</v>
      </c>
      <c r="F44" s="1068" t="b">
        <v>0</v>
      </c>
      <c r="H44" s="1063" t="e" vm="1">
        <f ca="1"/>
        <v>#NAME?</v>
      </c>
      <c r="I44" s="901" t="str">
        <v>Kraken</v>
      </c>
      <c r="J44" s="882">
        <v>2011</v>
      </c>
      <c r="K44" s="882">
        <v>10</v>
      </c>
      <c r="L44" s="1062">
        <v>14064.058101500885</v>
      </c>
      <c r="M44" s="1062">
        <v>14064.058101500885</v>
      </c>
      <c r="N44" s="882"/>
      <c r="O44" s="1063" t="e" vm="1">
        <f ca="1"/>
        <v>#NAME?</v>
      </c>
      <c r="P44" s="901" t="str">
        <v>Bitrue</v>
      </c>
      <c r="Q44" s="882">
        <v>2018</v>
      </c>
      <c r="R44" s="882">
        <v>9</v>
      </c>
      <c r="S44" s="1062">
        <v>48360.566666943472</v>
      </c>
      <c r="T44" s="1062">
        <v>48360.566666943472</v>
      </c>
      <c r="V44" s="1045" t="str">
        <v>Bitfinex</v>
      </c>
      <c r="W44" s="1045">
        <v>18388.638452517855</v>
      </c>
      <c r="X44" s="1045" t="e" vm="1">
        <f ca="1"/>
        <v>#NAME?</v>
      </c>
      <c r="Y44" s="1045" t="e" vm="1">
        <f ca="1"/>
        <v>#NAME?</v>
      </c>
    </row>
    <row r="45" spans="1:25">
      <c r="A45" s="882" t="str">
        <v>Coins by Contract Address PRO</v>
      </c>
      <c r="B45" s="901" t="s">
        <v>690</v>
      </c>
      <c r="C45" s="882">
        <v>500</v>
      </c>
      <c r="E45" s="1052" t="s">
        <v>695</v>
      </c>
      <c r="F45" s="1068" t="b">
        <v>0</v>
      </c>
      <c r="H45" s="1063" t="e" vm="1">
        <f ca="1"/>
        <v>#NAME?</v>
      </c>
      <c r="I45" s="1059" t="str">
        <v>Gemini</v>
      </c>
      <c r="J45" s="1060">
        <v>2014</v>
      </c>
      <c r="K45" s="1060">
        <v>10</v>
      </c>
      <c r="L45" s="1061">
        <v>3216.5187303089201</v>
      </c>
      <c r="M45" s="1061">
        <v>3216.5187303089201</v>
      </c>
      <c r="N45" s="882"/>
      <c r="O45" s="1063" t="e" vm="1">
        <f ca="1"/>
        <v>#NAME?</v>
      </c>
      <c r="P45" s="1059" t="str">
        <v>ZB</v>
      </c>
      <c r="Q45" s="1060">
        <v>2017</v>
      </c>
      <c r="R45" s="1060">
        <v>8</v>
      </c>
      <c r="S45" s="1061">
        <v>43028.202539244223</v>
      </c>
      <c r="T45" s="1061">
        <v>43028.202539244223</v>
      </c>
      <c r="V45" s="1045" t="str">
        <v>Binance US</v>
      </c>
      <c r="W45" s="1045">
        <v>16682.022432116828</v>
      </c>
      <c r="X45" s="1045" t="e" vm="1">
        <f ca="1"/>
        <v>#NAME?</v>
      </c>
      <c r="Y45" s="1045" t="e" vm="1">
        <f ca="1"/>
        <v>#NAME?</v>
      </c>
    </row>
    <row r="46" spans="1:25" ht="18" thickBot="1">
      <c r="A46" s="882" t="str">
        <v>Coins Details</v>
      </c>
      <c r="B46" s="1049" t="s">
        <v>696</v>
      </c>
      <c r="C46" s="1049"/>
      <c r="D46" s="1049"/>
      <c r="E46" s="1072"/>
      <c r="F46" s="1049"/>
      <c r="H46" s="1063" t="e" vm="1">
        <f ca="1"/>
        <v>#NAME?</v>
      </c>
      <c r="I46" s="901" t="str">
        <v>Bittrex</v>
      </c>
      <c r="J46" s="882">
        <v>2014</v>
      </c>
      <c r="K46" s="882">
        <v>10</v>
      </c>
      <c r="L46" s="1062">
        <v>2118.3843098358061</v>
      </c>
      <c r="M46" s="1062">
        <v>2118.3843098358061</v>
      </c>
      <c r="N46" s="882"/>
      <c r="O46" s="1063" t="e" vm="1">
        <f ca="1"/>
        <v>#NAME?</v>
      </c>
      <c r="P46" s="901" t="str">
        <v>FTX</v>
      </c>
      <c r="Q46" s="882">
        <v>2019</v>
      </c>
      <c r="R46" s="882">
        <v>10</v>
      </c>
      <c r="S46" s="1062">
        <v>42064.430996179872</v>
      </c>
      <c r="T46" s="1062">
        <v>42064.430996179872</v>
      </c>
      <c r="V46" s="1045" t="str">
        <v>Kraken</v>
      </c>
      <c r="W46" s="1045">
        <v>14064.058101500885</v>
      </c>
      <c r="X46" s="1045" t="e" vm="1">
        <f ca="1"/>
        <v>#NAME?</v>
      </c>
      <c r="Y46" s="1045" t="e" vm="1">
        <f ca="1"/>
        <v>#NAME?</v>
      </c>
    </row>
    <row r="47" spans="1:25" ht="12.75" customHeight="1" thickTop="1">
      <c r="A47" s="882" t="str">
        <v>Coins Details PRO</v>
      </c>
      <c r="B47" s="901"/>
      <c r="C47" s="1073" t="str">
        <f>IF(F44=FALSE,COUNTA(C49:C87)&amp;" BEING USED","")</f>
        <v>1 BEING USED</v>
      </c>
      <c r="E47" s="1073" t="str">
        <f>IF(F44=TRUE,COUNTA(E49:E87)&amp;" BEING USED","")</f>
        <v/>
      </c>
      <c r="F47" s="1074"/>
      <c r="H47" s="1063" t="e" vm="1">
        <f ca="1"/>
        <v>#NAME?</v>
      </c>
      <c r="I47" s="1059" t="str">
        <v>Bitrue</v>
      </c>
      <c r="J47" s="1060">
        <v>2018</v>
      </c>
      <c r="K47" s="1060">
        <v>9</v>
      </c>
      <c r="L47" s="1061">
        <v>48360.566666943472</v>
      </c>
      <c r="M47" s="1061">
        <v>48360.566666943472</v>
      </c>
      <c r="N47" s="882"/>
      <c r="O47" s="1063" t="e" vm="1">
        <f ca="1"/>
        <v>#NAME?</v>
      </c>
      <c r="P47" s="1059" t="str">
        <v>BKEX</v>
      </c>
      <c r="Q47" s="1060">
        <v>2018</v>
      </c>
      <c r="R47" s="1060">
        <v>7</v>
      </c>
      <c r="S47" s="1061">
        <v>32448.89399838182</v>
      </c>
      <c r="T47" s="1061">
        <v>32448.89399838182</v>
      </c>
      <c r="V47" s="1045" t="str">
        <v>Gemini</v>
      </c>
      <c r="W47" s="1045">
        <v>3216.5187303089201</v>
      </c>
      <c r="X47" s="1045" t="e" vm="1">
        <f ca="1"/>
        <v>#NAME?</v>
      </c>
      <c r="Y47" s="1045" t="e" vm="1">
        <f ca="1"/>
        <v>#NAME?</v>
      </c>
    </row>
    <row r="48" spans="1:25">
      <c r="A48" s="882" t="str">
        <v>Coins History</v>
      </c>
      <c r="B48" s="901" t="str">
        <f t="array" ref="B48:B49">IF(C34="","no endpoint",[1]!_xldudf_CS_PARAMETERS(C33,C34,{"fields","parameterName"}))</f>
        <v>parameterName</v>
      </c>
      <c r="C48" s="901" t="s">
        <v>697</v>
      </c>
      <c r="D48" s="901" t="str">
        <f t="array" ref="D48:D49">IF(C34="","no endpoint",[1]!_xldudf_CS_PARAMETERS(C33,C34,{"fields","parameterName"}))</f>
        <v>parameterName</v>
      </c>
      <c r="E48" s="901" t="str">
        <f t="array" ref="E48:E49">IF((IF(C34="","no endpoint",[1]!_xldudf_CS_PARAMETERS(C33,C34,{"fields","default"})))=0,"",(IF(C34="","no endpoint",[1]!_xldudf_CS_PARAMETERS(C33,C34,{"fields","default"}))))</f>
        <v>default</v>
      </c>
      <c r="F48" s="1076" t="str">
        <f t="array" ref="F48:F49">IF(C34="","no endpoint",[1]!_xldudf_CS_PARAMETERS(C33,C34,{"fields","required"}))</f>
        <v>required</v>
      </c>
      <c r="G48" s="901" t="str">
        <f t="array" ref="G48">IF(F45=TRUE,[1]!_xldudf_CS_PARAMETERS(C33,C34,{"fields","description"}),"")</f>
        <v/>
      </c>
      <c r="H48" s="1063" t="e" vm="1">
        <f ca="1"/>
        <v>#NAME?</v>
      </c>
      <c r="I48" s="901" t="str">
        <v>Bitget</v>
      </c>
      <c r="J48" s="882">
        <v>2018</v>
      </c>
      <c r="K48" s="882">
        <v>9</v>
      </c>
      <c r="L48" s="1062">
        <v>14085.704138595216</v>
      </c>
      <c r="M48" s="1062">
        <v>14085.704138595216</v>
      </c>
      <c r="N48" s="882"/>
      <c r="O48" s="1063" t="e" vm="1">
        <f ca="1"/>
        <v>#NAME?</v>
      </c>
      <c r="P48" s="901" t="str">
        <v>BitMart</v>
      </c>
      <c r="Q48" s="882">
        <v>2017</v>
      </c>
      <c r="R48" s="882">
        <v>8</v>
      </c>
      <c r="S48" s="1062">
        <v>31711.96715350014</v>
      </c>
      <c r="T48" s="1062">
        <v>31711.96715350014</v>
      </c>
      <c r="V48" s="1045" t="str">
        <v>Bittrex</v>
      </c>
      <c r="W48" s="1045">
        <v>2118.3843098358061</v>
      </c>
      <c r="X48" s="1045" t="e" vm="1">
        <f ca="1"/>
        <v>#NAME?</v>
      </c>
      <c r="Y48" s="1045" t="e" vm="1">
        <f ca="1"/>
        <v>#NAME?</v>
      </c>
    </row>
    <row r="49" spans="1:26">
      <c r="A49" s="882" t="str">
        <v>Coins History PRO</v>
      </c>
      <c r="B49" s="882" t="str">
        <v>per_page</v>
      </c>
      <c r="C49" s="1077">
        <v>250</v>
      </c>
      <c r="D49" s="882" t="str">
        <v>per_page</v>
      </c>
      <c r="E49" s="1075" t="str">
        <v/>
      </c>
      <c r="F49" s="1074" t="b">
        <v>0</v>
      </c>
      <c r="H49" s="1063" t="e" vm="1">
        <f ca="1"/>
        <v>#NAME?</v>
      </c>
      <c r="I49" s="1059" t="str">
        <v>BtcTurk PRO</v>
      </c>
      <c r="J49" s="1060">
        <v>2013</v>
      </c>
      <c r="K49" s="1060">
        <v>9</v>
      </c>
      <c r="L49" s="1061">
        <v>6704.3378467252696</v>
      </c>
      <c r="M49" s="1061">
        <v>6704.3378467252696</v>
      </c>
      <c r="N49" s="882"/>
      <c r="O49" s="1063" t="e" vm="1">
        <f ca="1"/>
        <v>#NAME?</v>
      </c>
      <c r="P49" s="1059" t="str">
        <v>KuCoin</v>
      </c>
      <c r="Q49" s="1060">
        <v>2014</v>
      </c>
      <c r="R49" s="1060">
        <v>10</v>
      </c>
      <c r="S49" s="1061">
        <v>31639.245547928698</v>
      </c>
      <c r="T49" s="1061">
        <v>31639.245547928698</v>
      </c>
      <c r="V49" s="1045" t="str">
        <v>Bitrue</v>
      </c>
      <c r="W49" s="1045">
        <v>48360.566666943472</v>
      </c>
      <c r="X49" s="1045" t="e" vm="1">
        <f ca="1"/>
        <v>#NAME?</v>
      </c>
      <c r="Y49" s="1045" t="e" vm="1">
        <f ca="1"/>
        <v>#NAME?</v>
      </c>
    </row>
    <row r="50" spans="1:26">
      <c r="A50" s="882" t="str">
        <v>Coins List</v>
      </c>
      <c r="C50" s="1077"/>
      <c r="E50" s="1075"/>
      <c r="F50" s="1074"/>
      <c r="H50" s="1063" t="e" vm="1">
        <f ca="1"/>
        <v>#NAME?</v>
      </c>
      <c r="I50" s="901" t="str">
        <v>Bithumb Global</v>
      </c>
      <c r="J50" s="882">
        <v>2019</v>
      </c>
      <c r="K50" s="882">
        <v>9</v>
      </c>
      <c r="L50" s="1062">
        <v>6296.5483645885251</v>
      </c>
      <c r="M50" s="1062">
        <v>6296.5483645885251</v>
      </c>
      <c r="N50" s="882"/>
      <c r="O50" s="1063" t="e" vm="1">
        <f ca="1"/>
        <v>#NAME?</v>
      </c>
      <c r="P50" s="901" t="str">
        <v>Uniswap (v3)</v>
      </c>
      <c r="Q50" s="882">
        <v>2018</v>
      </c>
      <c r="R50" s="882">
        <v>6</v>
      </c>
      <c r="S50" s="1062">
        <v>28146.930363948013</v>
      </c>
      <c r="T50" s="1062">
        <v>28146.930363948013</v>
      </c>
      <c r="V50" s="1045" t="str">
        <v>Bitget</v>
      </c>
      <c r="W50" s="1045">
        <v>14085.704138595216</v>
      </c>
      <c r="X50" s="1045" t="e" vm="1">
        <f ca="1"/>
        <v>#NAME?</v>
      </c>
      <c r="Y50" s="1045" t="e" vm="1">
        <f ca="1"/>
        <v>#NAME?</v>
      </c>
    </row>
    <row r="51" spans="1:26">
      <c r="A51" s="882" t="str">
        <v>Coins List PRO</v>
      </c>
      <c r="C51" s="1077"/>
      <c r="E51" s="1075"/>
      <c r="F51" s="1074"/>
      <c r="H51" s="1063" t="e" vm="1">
        <f ca="1"/>
        <v>#NAME?</v>
      </c>
      <c r="I51" s="1059" t="str">
        <v>Bitstamp</v>
      </c>
      <c r="J51" s="1060">
        <v>2013</v>
      </c>
      <c r="K51" s="1060">
        <v>9</v>
      </c>
      <c r="L51" s="1061">
        <v>5013.6128588636411</v>
      </c>
      <c r="M51" s="1061">
        <v>5013.6128588636411</v>
      </c>
      <c r="N51" s="882"/>
      <c r="O51" s="1063" t="e" vm="1">
        <f ca="1"/>
        <v>#NAME?</v>
      </c>
      <c r="P51" s="1059" t="str">
        <v>Hoo.com</v>
      </c>
      <c r="Q51" s="1060">
        <v>2019</v>
      </c>
      <c r="R51" s="1060">
        <v>7</v>
      </c>
      <c r="S51" s="1061">
        <v>26118.039010346103</v>
      </c>
      <c r="T51" s="1061">
        <v>26118.039010346103</v>
      </c>
      <c r="V51" s="1045" t="str">
        <v>BtcTurk PRO</v>
      </c>
      <c r="W51" s="1045">
        <v>6704.3378467252696</v>
      </c>
      <c r="X51" s="1045" t="e" vm="1">
        <f ca="1"/>
        <v>#NAME?</v>
      </c>
      <c r="Y51" s="1045" t="e" vm="1">
        <f ca="1"/>
        <v>#NAME?</v>
      </c>
    </row>
    <row r="52" spans="1:26">
      <c r="A52" s="882" t="str">
        <v>Coins Market Chart</v>
      </c>
      <c r="C52" s="1077"/>
      <c r="E52" s="1075"/>
      <c r="F52" s="1074"/>
      <c r="H52" s="1063" t="e" vm="1">
        <f ca="1"/>
        <v>#NAME?</v>
      </c>
      <c r="I52" s="901" t="str">
        <v>BTSE</v>
      </c>
      <c r="J52" s="882">
        <v>2018</v>
      </c>
      <c r="K52" s="882">
        <v>9</v>
      </c>
      <c r="L52" s="1062">
        <v>4956.8802372560303</v>
      </c>
      <c r="M52" s="1062">
        <v>4571.3164441148019</v>
      </c>
      <c r="N52" s="882"/>
      <c r="O52" s="1063" t="e" vm="1">
        <f ca="1"/>
        <v>#NAME?</v>
      </c>
      <c r="P52" s="901" t="str">
        <v>Coinsbit</v>
      </c>
      <c r="Q52" s="882">
        <v>0</v>
      </c>
      <c r="R52" s="882">
        <v>8</v>
      </c>
      <c r="S52" s="1062">
        <v>25193.248972156562</v>
      </c>
      <c r="T52" s="1062">
        <v>25193.248972156562</v>
      </c>
      <c r="V52" s="1045" t="str">
        <v>Bithumb Global</v>
      </c>
      <c r="W52" s="1045">
        <v>6296.5483645885251</v>
      </c>
      <c r="X52" s="1045" t="e" vm="1">
        <f ca="1"/>
        <v>#NAME?</v>
      </c>
      <c r="Y52" s="1045" t="e" vm="1">
        <f ca="1"/>
        <v>#NAME?</v>
      </c>
    </row>
    <row r="53" spans="1:26">
      <c r="A53" s="882" t="str">
        <v>Coins Market Chart PRO</v>
      </c>
      <c r="C53" s="1077"/>
      <c r="E53" s="1075"/>
      <c r="F53" s="1074"/>
      <c r="H53" s="1063" t="e" vm="1">
        <f ca="1"/>
        <v>#NAME?</v>
      </c>
      <c r="I53" s="1059" t="str">
        <v>Dex-Trade</v>
      </c>
      <c r="J53" s="1060">
        <v>2019</v>
      </c>
      <c r="K53" s="1060">
        <v>9</v>
      </c>
      <c r="L53" s="1061">
        <v>3659.7655108456456</v>
      </c>
      <c r="M53" s="1061">
        <v>3659.7655108456456</v>
      </c>
      <c r="N53" s="882"/>
      <c r="O53" s="1063" t="e" vm="1">
        <f ca="1"/>
        <v>#NAME?</v>
      </c>
      <c r="P53" s="1059" t="str">
        <v>Digifinex</v>
      </c>
      <c r="Q53" s="1060">
        <v>2018</v>
      </c>
      <c r="R53" s="1060">
        <v>8</v>
      </c>
      <c r="S53" s="1061">
        <v>24785.061722976101</v>
      </c>
      <c r="T53" s="1061">
        <v>24785.061722976101</v>
      </c>
      <c r="V53" s="1045" t="str">
        <v>Bitstamp</v>
      </c>
      <c r="W53" s="1045">
        <v>5013.6128588636411</v>
      </c>
      <c r="X53" s="1045" t="e" vm="1">
        <f ca="1"/>
        <v>#NAME?</v>
      </c>
      <c r="Y53" s="1045" t="e" vm="1">
        <f ca="1"/>
        <v>#NAME?</v>
      </c>
    </row>
    <row r="54" spans="1:26">
      <c r="A54" s="882" t="str">
        <v>Coins Market Chart Range</v>
      </c>
      <c r="C54" s="1077"/>
      <c r="E54" s="1075"/>
      <c r="F54" s="1074"/>
      <c r="H54" s="1063" t="e" vm="1">
        <f ca="1"/>
        <v>#NAME?</v>
      </c>
      <c r="I54" s="901" t="str">
        <v>AscendEX (BitMax)</v>
      </c>
      <c r="J54" s="882">
        <v>2018</v>
      </c>
      <c r="K54" s="882">
        <v>9</v>
      </c>
      <c r="L54" s="1062">
        <v>3072.4297193448169</v>
      </c>
      <c r="M54" s="1062">
        <v>3072.4297193448169</v>
      </c>
      <c r="N54" s="882"/>
      <c r="O54" s="1063" t="e" vm="1">
        <f ca="1"/>
        <v>#NAME?</v>
      </c>
      <c r="P54" s="901" t="str">
        <v>Gate.io</v>
      </c>
      <c r="Q54" s="882">
        <v>0</v>
      </c>
      <c r="R54" s="882">
        <v>10</v>
      </c>
      <c r="S54" s="1062">
        <v>24526.084211836154</v>
      </c>
      <c r="T54" s="1062">
        <v>24526.084211836154</v>
      </c>
      <c r="V54" s="1045" t="str">
        <v>BTSE</v>
      </c>
      <c r="W54" s="1045">
        <v>4571.3164441148019</v>
      </c>
      <c r="X54" s="1045" t="e" vm="1">
        <f ca="1"/>
        <v>#NAME?</v>
      </c>
      <c r="Y54" s="1045" t="e" vm="1">
        <f ca="1"/>
        <v>#NAME?</v>
      </c>
    </row>
    <row r="55" spans="1:26">
      <c r="A55" s="882" t="str">
        <v>Coins Market Chart Range PRO</v>
      </c>
      <c r="C55" s="1077"/>
      <c r="E55" s="1075"/>
      <c r="F55" s="1074"/>
      <c r="H55" s="1063" t="e" vm="1">
        <f ca="1"/>
        <v>#NAME?</v>
      </c>
      <c r="I55" s="1059" t="str">
        <v>CEX.IO</v>
      </c>
      <c r="J55" s="1060">
        <v>2013</v>
      </c>
      <c r="K55" s="1060">
        <v>9</v>
      </c>
      <c r="L55" s="1061">
        <v>1995.6326126946763</v>
      </c>
      <c r="M55" s="1061">
        <v>1995.6326126946763</v>
      </c>
      <c r="N55" s="882"/>
      <c r="O55" s="1063" t="e" vm="1">
        <f ca="1"/>
        <v>#NAME?</v>
      </c>
      <c r="P55" s="1059" t="str">
        <v>XT.COM</v>
      </c>
      <c r="Q55" s="1060">
        <v>2018</v>
      </c>
      <c r="R55" s="1060">
        <v>8</v>
      </c>
      <c r="S55" s="1061">
        <v>22147.550805332234</v>
      </c>
      <c r="T55" s="1061">
        <v>22147.550805332234</v>
      </c>
      <c r="V55" s="1045" t="str">
        <v>Dex-Trade</v>
      </c>
      <c r="W55" s="1045">
        <v>3659.7655108456456</v>
      </c>
      <c r="X55" s="1045" t="e" vm="1">
        <f ca="1"/>
        <v>#NAME?</v>
      </c>
      <c r="Y55" s="1045" t="e" vm="1">
        <f ca="1"/>
        <v>#NAME?</v>
      </c>
    </row>
    <row r="56" spans="1:26">
      <c r="A56" s="882" t="str">
        <v>Coins Markets</v>
      </c>
      <c r="C56" s="1077"/>
      <c r="E56" s="1075"/>
      <c r="F56" s="1074"/>
      <c r="H56" s="1063" t="e" vm="1">
        <f ca="1"/>
        <v>#NAME?</v>
      </c>
      <c r="I56" s="901" t="str">
        <v>Bitkub</v>
      </c>
      <c r="J56" s="882">
        <v>2018</v>
      </c>
      <c r="K56" s="882">
        <v>9</v>
      </c>
      <c r="L56" s="1062">
        <v>1592.9254799570288</v>
      </c>
      <c r="M56" s="1062">
        <v>1592.9254799570288</v>
      </c>
      <c r="N56" s="882"/>
      <c r="O56" s="1063" t="e" vm="1">
        <f ca="1"/>
        <v>#NAME?</v>
      </c>
      <c r="P56" s="901" t="str">
        <v>Bithumb</v>
      </c>
      <c r="Q56" s="882">
        <v>2014</v>
      </c>
      <c r="R56" s="882">
        <v>8</v>
      </c>
      <c r="S56" s="1062">
        <v>21600.409271069359</v>
      </c>
      <c r="T56" s="1062">
        <v>21600.409271069359</v>
      </c>
      <c r="V56" s="1045" t="str">
        <v>AscendEX (BitMax)</v>
      </c>
      <c r="W56" s="1045">
        <v>3072.4297193448169</v>
      </c>
      <c r="X56" s="1045" t="e" vm="1">
        <f ca="1"/>
        <v>#NAME?</v>
      </c>
      <c r="Y56" s="1045" t="e" vm="1">
        <f ca="1"/>
        <v>#NAME?</v>
      </c>
    </row>
    <row r="57" spans="1:26">
      <c r="A57" s="882" t="str">
        <v>Coins Markets PRO</v>
      </c>
      <c r="C57" s="1077"/>
      <c r="E57" s="1075"/>
      <c r="F57" s="1074"/>
      <c r="H57" s="1063" t="e" vm="1">
        <f ca="1"/>
        <v>#NAME?</v>
      </c>
      <c r="I57" s="1059" t="str">
        <v>Bitbank</v>
      </c>
      <c r="J57" s="1060">
        <v>2016</v>
      </c>
      <c r="K57" s="1060">
        <v>9</v>
      </c>
      <c r="L57" s="1061">
        <v>1175.2489937347511</v>
      </c>
      <c r="M57" s="1061">
        <v>1175.2489937347511</v>
      </c>
      <c r="N57" s="882"/>
      <c r="O57" s="1063" t="e" vm="1">
        <f ca="1"/>
        <v>#NAME?</v>
      </c>
      <c r="P57" s="1059" t="str">
        <v>P2PB2B</v>
      </c>
      <c r="Q57" s="1060">
        <v>2018</v>
      </c>
      <c r="R57" s="1060">
        <v>7</v>
      </c>
      <c r="S57" s="1061">
        <v>18888.553584014393</v>
      </c>
      <c r="T57" s="1061">
        <v>18888.553584014393</v>
      </c>
      <c r="V57" s="1045" t="str">
        <v>CEX.IO</v>
      </c>
      <c r="W57" s="1045">
        <v>1995.6326126946763</v>
      </c>
      <c r="X57" s="1045" t="e" vm="1">
        <f ca="1"/>
        <v>#NAME?</v>
      </c>
      <c r="Y57" s="1045" t="e" vm="1">
        <f ca="1"/>
        <v>#NAME?</v>
      </c>
    </row>
    <row r="58" spans="1:26">
      <c r="A58" s="882" t="str">
        <v>Coins Markets PRO</v>
      </c>
      <c r="C58" s="1077"/>
      <c r="E58" s="1075"/>
      <c r="F58" s="1074"/>
      <c r="H58" s="1063" t="e" vm="1">
        <f ca="1"/>
        <v>#NAME?</v>
      </c>
      <c r="I58" s="901" t="str">
        <v>B2BX</v>
      </c>
      <c r="J58" s="882">
        <v>2017</v>
      </c>
      <c r="K58" s="882">
        <v>9</v>
      </c>
      <c r="L58" s="1062">
        <v>243.11796219131151</v>
      </c>
      <c r="M58" s="1062">
        <v>243.11796219131151</v>
      </c>
      <c r="N58" s="882"/>
      <c r="O58" s="1063" t="e" vm="1">
        <f ca="1"/>
        <v>#NAME?</v>
      </c>
      <c r="P58" s="901" t="str">
        <v>Bitfinex</v>
      </c>
      <c r="Q58" s="882">
        <v>2014</v>
      </c>
      <c r="R58" s="882">
        <v>10</v>
      </c>
      <c r="S58" s="1062">
        <v>18388.638452517855</v>
      </c>
      <c r="T58" s="1062">
        <v>18388.638452517855</v>
      </c>
      <c r="V58" s="1045" t="str">
        <v>Bitkub</v>
      </c>
      <c r="W58" s="1045">
        <v>1592.9254799570288</v>
      </c>
      <c r="X58" s="1045" t="e" vm="1">
        <f ca="1"/>
        <v>#NAME?</v>
      </c>
      <c r="Y58" s="1045" t="e" vm="1">
        <f ca="1"/>
        <v>#NAME?</v>
      </c>
    </row>
    <row r="59" spans="1:26">
      <c r="A59" s="882" t="str">
        <v>Coins OHLC</v>
      </c>
      <c r="C59" s="1077"/>
      <c r="E59" s="1075"/>
      <c r="F59" s="1074"/>
      <c r="H59" s="1063" t="e" vm="1">
        <f ca="1"/>
        <v>#NAME?</v>
      </c>
      <c r="I59" s="1059" t="str">
        <v>Bitso</v>
      </c>
      <c r="J59" s="1060">
        <v>2014</v>
      </c>
      <c r="K59" s="1060">
        <v>9</v>
      </c>
      <c r="L59" s="1061">
        <v>179.9698100424423</v>
      </c>
      <c r="M59" s="1061">
        <v>179.9698100424423</v>
      </c>
      <c r="N59" s="882"/>
      <c r="O59" s="1063" t="e" vm="1">
        <f ca="1"/>
        <v>#NAME?</v>
      </c>
      <c r="P59" s="1059" t="str">
        <v>LBank</v>
      </c>
      <c r="Q59" s="1060">
        <v>2017</v>
      </c>
      <c r="R59" s="1060">
        <v>7</v>
      </c>
      <c r="S59" s="1061">
        <v>17611.45098824962</v>
      </c>
      <c r="T59" s="1061">
        <v>17611.45098824962</v>
      </c>
      <c r="V59" s="1045" t="str">
        <v>Bitbank</v>
      </c>
      <c r="W59" s="1045">
        <v>1175.2489937347511</v>
      </c>
      <c r="X59" s="1045" t="e" vm="1">
        <f ca="1"/>
        <v>#NAME?</v>
      </c>
      <c r="Y59" s="1045" t="e" vm="1">
        <f ca="1"/>
        <v>#NAME?</v>
      </c>
    </row>
    <row r="60" spans="1:26">
      <c r="A60" s="882" t="str">
        <v>Coins OHLC PRO</v>
      </c>
      <c r="C60" s="1077"/>
      <c r="E60" s="1074"/>
      <c r="F60" s="1074"/>
      <c r="H60" s="1063"/>
      <c r="I60" s="893" t="s">
        <v>698</v>
      </c>
      <c r="K60" s="1052"/>
      <c r="L60" s="1078">
        <f>L61-SUM(L35:L59)</f>
        <v>1946004.4170810445</v>
      </c>
      <c r="M60" s="1078">
        <f>M61-SUM(M35:M59)</f>
        <v>1071204.9543673608</v>
      </c>
      <c r="N60" s="882"/>
      <c r="O60" s="882"/>
      <c r="S60" s="1078"/>
      <c r="T60" s="1078"/>
      <c r="V60" s="1045" t="str">
        <v>B2BX</v>
      </c>
      <c r="W60" s="1045">
        <v>243.11796219131151</v>
      </c>
      <c r="X60" s="1045" t="e" vm="1">
        <f ca="1"/>
        <v>#NAME?</v>
      </c>
      <c r="Y60" s="1045" t="e" vm="1">
        <f ca="1"/>
        <v>#NAME?</v>
      </c>
    </row>
    <row r="61" spans="1:26">
      <c r="A61" s="882" t="str">
        <v>Coins Status Updates</v>
      </c>
      <c r="C61" s="1077"/>
      <c r="E61" s="1074"/>
      <c r="F61" s="1074"/>
      <c r="H61" s="1063"/>
      <c r="K61" s="1052"/>
      <c r="L61" s="1078">
        <f>W35</f>
        <v>2923105.7597269602</v>
      </c>
      <c r="M61" s="1078">
        <f>X35</f>
        <v>2047920.7332201351</v>
      </c>
      <c r="N61" s="882"/>
      <c r="O61" s="882"/>
      <c r="V61" s="1045" t="str">
        <v>Bitso</v>
      </c>
      <c r="W61" s="1045">
        <v>179.9698100424423</v>
      </c>
      <c r="X61" s="1045" t="e" vm="1">
        <f ca="1"/>
        <v>#NAME?</v>
      </c>
      <c r="Y61" s="1045" t="e" vm="1">
        <f ca="1"/>
        <v>#NAME?</v>
      </c>
    </row>
    <row r="62" spans="1:26">
      <c r="A62" s="882" t="str">
        <v>Coins Status Updates PRO</v>
      </c>
      <c r="C62" s="1077"/>
      <c r="E62" s="1074"/>
      <c r="F62" s="1074"/>
      <c r="H62" s="1063"/>
      <c r="N62" s="882"/>
      <c r="O62" s="882"/>
      <c r="S62" s="884"/>
      <c r="V62" s="1045" t="str">
        <v>Top 250 - Top 25 TrustScore</v>
      </c>
      <c r="W62" s="1045">
        <v>1071204.9543673608</v>
      </c>
      <c r="X62" s="1045" t="e" vm="1">
        <f ca="1"/>
        <v>#NAME?</v>
      </c>
      <c r="Y62" s="1045" t="e" vm="1">
        <f ca="1"/>
        <v>#NAME?</v>
      </c>
    </row>
    <row r="63" spans="1:26">
      <c r="A63" s="882" t="str">
        <v>Coins Tickers</v>
      </c>
      <c r="C63" s="1077"/>
      <c r="E63" s="1074"/>
      <c r="F63" s="1074"/>
    </row>
    <row r="64" spans="1:26" ht="18" thickBot="1">
      <c r="A64" s="882" t="str">
        <v>Coins Tickers PRO</v>
      </c>
      <c r="C64" s="1077"/>
      <c r="E64" s="1074"/>
      <c r="F64" s="1074"/>
      <c r="H64" s="1049" t="s">
        <v>699</v>
      </c>
      <c r="I64" s="1049"/>
      <c r="J64" s="1049"/>
      <c r="K64" s="1049"/>
      <c r="L64" s="1049"/>
      <c r="X64" s="1079"/>
      <c r="Y64" s="1080"/>
      <c r="Z64" s="1078"/>
    </row>
    <row r="65" spans="3:26" ht="17" thickTop="1">
      <c r="C65" s="1077"/>
      <c r="E65" s="1074"/>
      <c r="F65" s="1074"/>
      <c r="H65" s="1052" t="s">
        <v>677</v>
      </c>
      <c r="I65" s="1436" t="s">
        <v>681</v>
      </c>
      <c r="J65" s="1436"/>
      <c r="K65" s="1052" t="s">
        <v>679</v>
      </c>
      <c r="L65" s="1053" t="s">
        <v>680</v>
      </c>
      <c r="X65" s="1079"/>
      <c r="Y65" s="1064"/>
      <c r="Z65" s="884"/>
    </row>
    <row r="66" spans="3:26">
      <c r="C66" s="1077"/>
      <c r="E66" s="1074"/>
      <c r="F66" s="1074"/>
      <c r="Y66" s="1064"/>
    </row>
    <row r="67" spans="3:26" ht="39.75" customHeight="1">
      <c r="C67" s="1077"/>
      <c r="E67" s="1074"/>
      <c r="F67" s="1074"/>
      <c r="H67" s="1056"/>
      <c r="I67" s="1057" t="str">
        <f t="array" ref="I67:T317">[1]!_xldudf_CS_QUERYA(C33,C34,B49,C49,B40,IF(L65="DESC","-"&amp;I65,I65),B45,C45)</f>
        <v>id</v>
      </c>
      <c r="J67" s="1057" t="str">
        <v>name</v>
      </c>
      <c r="K67" s="1058" t="str">
        <v>year_established</v>
      </c>
      <c r="L67" s="1057" t="str">
        <v>country</v>
      </c>
      <c r="M67" s="1057" t="str">
        <v>description</v>
      </c>
      <c r="N67" s="1057" t="str">
        <v>url</v>
      </c>
      <c r="O67" s="1081" t="str">
        <v>image</v>
      </c>
      <c r="P67" s="1057" t="str">
        <v>has_trading_incentive</v>
      </c>
      <c r="Q67" s="1057" t="str">
        <v>trust_score</v>
      </c>
      <c r="R67" s="1057" t="str">
        <v>trust_score_rank</v>
      </c>
      <c r="S67" s="1057" t="str">
        <v>trade_volume_24h_btc</v>
      </c>
      <c r="T67" s="1057" t="str">
        <v>trade_volume_24h_btc_normalized</v>
      </c>
    </row>
    <row r="68" spans="3:26">
      <c r="C68" s="1077"/>
      <c r="E68" s="1074"/>
      <c r="F68" s="1074"/>
      <c r="H68" s="1063" t="e" vm="1">
        <f t="array" aca="1" ref="H68:H319" ca="1">_xlfn.SEQUENCE(COUNTA(K68:K563,1,1))</f>
        <v>#NAME?</v>
      </c>
      <c r="I68" s="1059" t="str">
        <v>binance</v>
      </c>
      <c r="J68" s="1060" t="str">
        <v>Binance</v>
      </c>
      <c r="K68" s="1060">
        <v>2017</v>
      </c>
      <c r="L68" s="1061" t="str">
        <v>Cayman Islands</v>
      </c>
      <c r="M68" s="1061">
        <v>0</v>
      </c>
      <c r="N68" s="1060" t="str">
        <v>https://www.binance.com/</v>
      </c>
      <c r="O68" s="1082" t="str">
        <v>https://assets.coingecko.com/markets/images/52/small/binance.jpg?1519353250</v>
      </c>
      <c r="P68" s="882" t="b">
        <v>0</v>
      </c>
      <c r="Q68" s="882">
        <v>10</v>
      </c>
      <c r="R68" s="882">
        <v>1</v>
      </c>
      <c r="S68" s="1083">
        <v>446692.43762578897</v>
      </c>
      <c r="T68" s="1083">
        <v>446692.43762578897</v>
      </c>
    </row>
    <row r="69" spans="3:26">
      <c r="C69" s="1077"/>
      <c r="E69" s="1074"/>
      <c r="F69" s="1074"/>
      <c r="H69" s="1063" t="e" vm="1">
        <f ca="1"/>
        <v>#NAME?</v>
      </c>
      <c r="I69" s="901" t="str">
        <v>zbg</v>
      </c>
      <c r="J69" s="882" t="str">
        <v>ZBG</v>
      </c>
      <c r="K69" s="882">
        <v>2018</v>
      </c>
      <c r="L69" s="1062" t="str">
        <v>China</v>
      </c>
      <c r="M69" s="1062">
        <v>0</v>
      </c>
      <c r="N69" s="882" t="str">
        <v>https://www.zbg.com/</v>
      </c>
      <c r="O69" s="1045" t="str">
        <v>https://assets.coingecko.com/markets/images/256/small/zbg-exchange.jpg?1537878965</v>
      </c>
      <c r="P69" s="882" t="b">
        <v>0</v>
      </c>
      <c r="Q69" s="882">
        <v>5</v>
      </c>
      <c r="R69" s="882">
        <v>133</v>
      </c>
      <c r="S69" s="1084">
        <v>183273.66393418485</v>
      </c>
      <c r="T69" s="1084">
        <v>9744.4304629635062</v>
      </c>
    </row>
    <row r="70" spans="3:26">
      <c r="C70" s="1077"/>
      <c r="E70" s="1074"/>
      <c r="F70" s="1074"/>
      <c r="H70" s="1063" t="e" vm="1">
        <f ca="1"/>
        <v>#NAME?</v>
      </c>
      <c r="I70" s="1059" t="str">
        <v>bione</v>
      </c>
      <c r="J70" s="1060" t="str">
        <v>BiONE</v>
      </c>
      <c r="K70" s="1060">
        <v>2018</v>
      </c>
      <c r="L70" s="1061" t="str">
        <v>Singapore</v>
      </c>
      <c r="M70" s="1061" t="str">
        <v>Founded in 2018 and registered in Singapore, BiONE is a centralized cryptocurrency exchange with offices and team members in the US, Canada, China, and Taiwan. BiONE's mission is to provide a secure platform for cryptocurrency traders and offer tools to help them make informed decisions on their trades. The core of the team comes from a traditional finance and programming background. BiONE features low transaction fees, fast deposits/withdrawals and supports crypto to crypto._x000D_
_x000D_
BiONE features a technology and operations team dedicated to making the platform safe, stable, and efficient for its global users. BiONE follows ISO 270001 + CCSS + NIST framework standards to keep its clients' digital assets secure. Hot wallets contain only the necessary amounts of cryptocurrency while most of the cryptocurrency is stored offline in cold wallets._x000D_
_x000D_
BiONE can be accessed via the website or by way of mobile applications.</v>
      </c>
      <c r="N70" s="1060" t="str">
        <v>http://www.bione.info/</v>
      </c>
      <c r="O70" s="1082" t="str">
        <v>https://assets.coingecko.com/markets/images/387/small/Bione_full.jpg?1596065675</v>
      </c>
      <c r="P70" s="882" t="b">
        <v>0</v>
      </c>
      <c r="Q70" s="882">
        <v>3</v>
      </c>
      <c r="R70" s="882">
        <v>207</v>
      </c>
      <c r="S70" s="1084">
        <v>173880.03574511479</v>
      </c>
      <c r="T70" s="1084">
        <v>214.23499950240046</v>
      </c>
    </row>
    <row r="71" spans="3:26">
      <c r="C71" s="1077"/>
      <c r="E71" s="1074"/>
      <c r="F71" s="1074"/>
      <c r="H71" s="1063" t="e" vm="1">
        <f ca="1"/>
        <v>#NAME?</v>
      </c>
      <c r="I71" s="901" t="str">
        <v>coinflex</v>
      </c>
      <c r="J71" s="882" t="str">
        <v>CoinFLEX</v>
      </c>
      <c r="K71" s="882">
        <v>2019</v>
      </c>
      <c r="L71" s="1062" t="str">
        <v>Seychelles</v>
      </c>
      <c r="M71" s="1062">
        <v>0</v>
      </c>
      <c r="N71" s="882" t="str">
        <v>https://coinflex.com/</v>
      </c>
      <c r="O71" s="1045" t="str">
        <v>https://assets.coingecko.com/markets/images/446/small/CoinFlex.png?1579227306</v>
      </c>
      <c r="P71" s="882" t="b">
        <v>0</v>
      </c>
      <c r="Q71" s="882">
        <v>7</v>
      </c>
      <c r="R71" s="882">
        <v>61</v>
      </c>
      <c r="S71" s="1084">
        <v>149509.33004082125</v>
      </c>
      <c r="T71" s="1084">
        <v>4828.3102809664451</v>
      </c>
    </row>
    <row r="72" spans="3:26">
      <c r="C72" s="1077"/>
      <c r="E72" s="1074"/>
      <c r="F72" s="1074"/>
      <c r="H72" s="1063" t="e" vm="1">
        <f ca="1"/>
        <v>#NAME?</v>
      </c>
      <c r="I72" s="1059" t="str">
        <v>okex</v>
      </c>
      <c r="J72" s="1060" t="str">
        <v>OKEx</v>
      </c>
      <c r="K72" s="1060">
        <v>2013</v>
      </c>
      <c r="L72" s="1061" t="str">
        <v>Belize</v>
      </c>
      <c r="M72" s="1061">
        <v>0</v>
      </c>
      <c r="N72" s="1060" t="str">
        <v>https://www.okex.com</v>
      </c>
      <c r="O72" s="1082" t="str">
        <v>https://assets.coingecko.com/markets/images/96/small/okEX.jpg?1519349636</v>
      </c>
      <c r="P72" s="882" t="b">
        <v>0</v>
      </c>
      <c r="Q72" s="882">
        <v>8</v>
      </c>
      <c r="R72" s="882">
        <v>26</v>
      </c>
      <c r="S72" s="1084">
        <v>132213.46261145396</v>
      </c>
      <c r="T72" s="1084">
        <v>132213.46261145396</v>
      </c>
    </row>
    <row r="73" spans="3:26">
      <c r="C73" s="1077"/>
      <c r="E73" s="1074"/>
      <c r="F73" s="1074"/>
      <c r="H73" s="1063" t="e" vm="1">
        <f ca="1"/>
        <v>#NAME?</v>
      </c>
      <c r="I73" s="901" t="str">
        <v>huobi</v>
      </c>
      <c r="J73" s="882" t="str">
        <v>Huobi Global</v>
      </c>
      <c r="K73" s="882">
        <v>2013</v>
      </c>
      <c r="L73" s="1062" t="str">
        <v>Seychelles</v>
      </c>
      <c r="M73" s="1062">
        <v>0</v>
      </c>
      <c r="N73" s="882" t="str">
        <v>https://www.huobi.com</v>
      </c>
      <c r="O73" s="1045" t="str">
        <v>https://assets.coingecko.com/markets/images/25/small/1481589873352_.pic_hd.jpg?1589962155</v>
      </c>
      <c r="P73" s="882" t="b">
        <v>0</v>
      </c>
      <c r="Q73" s="882">
        <v>10</v>
      </c>
      <c r="R73" s="882">
        <v>2</v>
      </c>
      <c r="S73" s="1084">
        <v>116013.93120572752</v>
      </c>
      <c r="T73" s="1084">
        <v>116013.93120572752</v>
      </c>
    </row>
    <row r="74" spans="3:26">
      <c r="C74" s="1077"/>
      <c r="E74" s="1074"/>
      <c r="F74" s="1074"/>
      <c r="H74" s="1063" t="e" vm="1">
        <f ca="1"/>
        <v>#NAME?</v>
      </c>
      <c r="I74" s="1059" t="str">
        <v>hitbtc</v>
      </c>
      <c r="J74" s="1060" t="str">
        <v>HitBTC</v>
      </c>
      <c r="K74" s="1060">
        <v>2013</v>
      </c>
      <c r="L74" s="1061">
        <v>0</v>
      </c>
      <c r="M74" s="1061" t="str">
        <v>HitBTC is the world’s most advanced cryptocurrency exchange. Since 2013, HitBTC has been providing markets for Bitcoin, Ethereum, Litecoin, Dogecoin, Monero, USDT, and more than 300 cryptocurrencies in total._x000D_
_x000D_
Created by outstanding technical minds, high-level finance professionals and experienced traders, HitBTC delivers the most reliable, fast and powerful platform solution on the market._x000D_
_x000D_
The platform has earned its reputation for fault-tolerance, flawless uptime and high availability. Its core matching engine is among the best technological products in its class, offering traders a wide range of features such as real-time clearing and cutting-edge order matching algorithms._x000D_
_x000D_
Key Features:_x000D_
Rebate system - attractive to the most powerful market makers, creating high liquidity_x000D_
No limits on the deposit or withdrawal of digital assets_x000D_
Cutting-edge matching engine technologies_x000D_
Wide range of available instruments (more than 500)_x000D_
The most advanced API on the market (REST API and FIX API)_x000D_
Access to the crypto assets exchange platform technology under the registered trademark “HitBTC” is provided in accordance with the Terms of Service.</v>
      </c>
      <c r="N74" s="1060" t="str">
        <v>https://hitbtc.com/</v>
      </c>
      <c r="O74" s="1082" t="str">
        <v>https://assets.coingecko.com/markets/images/24/small/hitbtc.png?1603975458</v>
      </c>
      <c r="P74" s="882" t="b">
        <v>0</v>
      </c>
      <c r="Q74" s="882">
        <v>6</v>
      </c>
      <c r="R74" s="882">
        <v>93</v>
      </c>
      <c r="S74" s="1084">
        <v>110729.72428069217</v>
      </c>
      <c r="T74" s="1084">
        <v>110729.72428069217</v>
      </c>
    </row>
    <row r="75" spans="3:26">
      <c r="C75" s="1077"/>
      <c r="E75" s="1074"/>
      <c r="F75" s="1074"/>
      <c r="H75" s="1063" t="e" vm="1">
        <f ca="1"/>
        <v>#NAME?</v>
      </c>
      <c r="I75" s="901" t="str">
        <v>bitcoin_com</v>
      </c>
      <c r="J75" s="882" t="str">
        <v>Bitcoin.com Exchange</v>
      </c>
      <c r="K75" s="882">
        <v>2019</v>
      </c>
      <c r="L75" s="1062" t="str">
        <v>Bahamas</v>
      </c>
      <c r="M75" s="1062" t="str">
        <v>The mission of Bitcoin.com Exchange is to empower people from all over the world to trade cryptocurrencies with ease and confidence, from first-time traders to advanced trading professionals. With high liquidity, 24/7 multilingual support and dozens of trading pairs, complemented with a high level of security, we offer an attractive platform for trading any cryptocurrency. Within one year since launch, on average, our exchange has been visited by more than 500K active traders per month, and this number continues to grow as you read this sentence. _x000D_
_x000D_
Key Features:_x000D_
_x000D_
- Enjoy more than 130 available trading pairs_x000D_
- Cutting-edge matching engine technologies_x000D_
- Up 5x and 10x leverage for more than 29 markets_x000D_
- Deep liquidity_x000D_
- User-friendly trading terminal_x000D_
- Tight spreads_x000D_
- Consistent trading competitions and giveaways</v>
      </c>
      <c r="N75" s="882" t="str">
        <v>https://exchange.bitcoin.com/</v>
      </c>
      <c r="O75" s="1045" t="str">
        <v>https://assets.coingecko.com/markets/images/467/small/logomark.png?1568799194</v>
      </c>
      <c r="P75" s="882" t="b">
        <v>0</v>
      </c>
      <c r="Q75" s="882">
        <v>7</v>
      </c>
      <c r="R75" s="882">
        <v>50</v>
      </c>
      <c r="S75" s="1084">
        <v>100349.72106094619</v>
      </c>
      <c r="T75" s="1084">
        <v>31045.825279742305</v>
      </c>
    </row>
    <row r="76" spans="3:26">
      <c r="C76" s="1077"/>
      <c r="E76" s="1074"/>
      <c r="F76" s="1074"/>
      <c r="H76" s="1063" t="e" vm="1">
        <f ca="1"/>
        <v>#NAME?</v>
      </c>
      <c r="I76" s="1059" t="str">
        <v>changelly</v>
      </c>
      <c r="J76" s="1060" t="str">
        <v>Changelly PRO</v>
      </c>
      <c r="K76" s="1060">
        <v>2020</v>
      </c>
      <c r="L76" s="1061" t="str">
        <v>Seychelles</v>
      </c>
      <c r="M76" s="1061" t="str">
        <v>Launched on 06/07/2020, Changelly PRO is a centralized exchange located at 306 Victoria House, Victoria Mahe, Seychelles. It is a professional version of the instant swap platform Changelly. Changelly PRO aims to serve the fast growing Changelly community that has been requesting professional trading features as well as foster the onboarding of beginners to advanced trading. The PRO version has spot and margin trading as well as fiat on-ramp solution._x000D_
PRO offers:_x000D_
• Multi-currency wallet to store a variety of coins_x000D_
• Interactive and customizable terminal_x000D_
• Access to 50+ markets_x000D_
• Competitive trading fees starting from 0.1% both for makers and takers_x000D_
• Lowest withdrawal fees on the most popular coins and tokens such as BTC, ETH, XRP_x000D_
• Simple registration process with several verification levels</v>
      </c>
      <c r="N76" s="1060" t="str">
        <v>https://pro.changelly.com/</v>
      </c>
      <c r="O76" s="1082" t="str">
        <v>https://assets.coingecko.com/markets/images/580/small/pro_logo_cmc.png?1600833621</v>
      </c>
      <c r="P76" s="882" t="b">
        <v>0</v>
      </c>
      <c r="Q76" s="882">
        <v>5</v>
      </c>
      <c r="R76" s="882">
        <v>135</v>
      </c>
      <c r="S76" s="1084">
        <v>95000.456963998382</v>
      </c>
      <c r="T76" s="1084">
        <v>5901.865667361807</v>
      </c>
    </row>
    <row r="77" spans="3:26">
      <c r="C77" s="1077"/>
      <c r="E77" s="1074"/>
      <c r="F77" s="1074"/>
      <c r="H77" s="1063" t="e" vm="1">
        <f ca="1"/>
        <v>#NAME?</v>
      </c>
      <c r="I77" s="901" t="str">
        <v>crypto_com</v>
      </c>
      <c r="J77" s="882" t="str">
        <v>Crypto.com Exchange</v>
      </c>
      <c r="K77" s="882">
        <v>2019</v>
      </c>
      <c r="L77" s="1062" t="str">
        <v>Cayman Islands</v>
      </c>
      <c r="M77" s="1062" t="str">
        <v>Crypto.com Exchange is the best place to trade crypto, with deep liquidity, low fees and best execution prices, users can trade major cryptocurrencies like Bitcoin, Ethereum, and many more and receive great CRO-powered rewards</v>
      </c>
      <c r="N77" s="882" t="str">
        <v>https://crypto.com/exchange</v>
      </c>
      <c r="O77" s="1045" t="str">
        <v>https://assets.coingecko.com/markets/images/589/small/Crypto.jpg?1629861084</v>
      </c>
      <c r="P77" s="882" t="b">
        <v>0</v>
      </c>
      <c r="Q77" s="882">
        <v>10</v>
      </c>
      <c r="R77" s="882">
        <v>3</v>
      </c>
      <c r="S77" s="1084">
        <v>94051.844259287478</v>
      </c>
      <c r="T77" s="1084">
        <v>94051.844259287478</v>
      </c>
    </row>
    <row r="78" spans="3:26">
      <c r="C78" s="1077"/>
      <c r="E78" s="1074"/>
      <c r="F78" s="1074"/>
      <c r="H78" s="1063" t="e" vm="1">
        <f ca="1"/>
        <v>#NAME?</v>
      </c>
      <c r="I78" s="1059" t="str">
        <v>upbit</v>
      </c>
      <c r="J78" s="1060" t="str">
        <v>Upbit</v>
      </c>
      <c r="K78" s="1060">
        <v>2017</v>
      </c>
      <c r="L78" s="1061" t="str">
        <v>South Korea</v>
      </c>
      <c r="M78" s="1061">
        <v>0</v>
      </c>
      <c r="N78" s="1060" t="str">
        <v>https://upbit.com</v>
      </c>
      <c r="O78" s="1082" t="str">
        <v>https://assets.coingecko.com/markets/images/117/small/upbit.png?1520388800</v>
      </c>
      <c r="P78" s="882" t="b">
        <v>0</v>
      </c>
      <c r="Q78" s="882">
        <v>7</v>
      </c>
      <c r="R78" s="882">
        <v>48</v>
      </c>
      <c r="S78" s="1084">
        <v>74530.564955555572</v>
      </c>
      <c r="T78" s="1084">
        <v>74530.564955555572</v>
      </c>
    </row>
    <row r="79" spans="3:26">
      <c r="C79" s="1077"/>
      <c r="E79" s="1074"/>
      <c r="F79" s="1074"/>
      <c r="H79" s="1063" t="e" vm="1">
        <f ca="1"/>
        <v>#NAME?</v>
      </c>
      <c r="I79" s="901" t="str">
        <v>gdax</v>
      </c>
      <c r="J79" s="882" t="str">
        <v>Coinbase Exchange</v>
      </c>
      <c r="K79" s="882">
        <v>2012</v>
      </c>
      <c r="L79" s="1062" t="str">
        <v>United States</v>
      </c>
      <c r="M79" s="1062">
        <v>0</v>
      </c>
      <c r="N79" s="882" t="str">
        <v>https://www.coinbase.com</v>
      </c>
      <c r="O79" s="1045" t="str">
        <v>https://assets.coingecko.com/markets/images/23/small/Coinbase_Coin_Primary.png?1621471875</v>
      </c>
      <c r="P79" s="882" t="b">
        <v>0</v>
      </c>
      <c r="Q79" s="882">
        <v>10</v>
      </c>
      <c r="R79" s="882">
        <v>4</v>
      </c>
      <c r="S79" s="1084">
        <v>70307.006571103761</v>
      </c>
      <c r="T79" s="1084">
        <v>70307.006571103761</v>
      </c>
    </row>
    <row r="80" spans="3:26">
      <c r="C80" s="1077"/>
      <c r="E80" s="1074"/>
      <c r="F80" s="1074"/>
      <c r="H80" s="1063" t="e" vm="1">
        <f ca="1"/>
        <v>#NAME?</v>
      </c>
      <c r="I80" s="1059" t="str">
        <v>citex</v>
      </c>
      <c r="J80" s="1060" t="str">
        <v>CITEX</v>
      </c>
      <c r="K80" s="1060">
        <v>2018</v>
      </c>
      <c r="L80" s="1061" t="str">
        <v>British Virgin Islands</v>
      </c>
      <c r="M80" s="1061">
        <v>0</v>
      </c>
      <c r="N80" s="1060" t="str">
        <v>https://www.citex.co.kr</v>
      </c>
      <c r="O80" s="1082" t="str">
        <v>https://assets.coingecko.com/markets/images/390/small/CITEX-LOGO.png?1564028815</v>
      </c>
      <c r="P80" s="882" t="b">
        <v>0</v>
      </c>
      <c r="Q80" s="882">
        <v>4</v>
      </c>
      <c r="R80" s="882">
        <v>175</v>
      </c>
      <c r="S80" s="1084">
        <v>57183.271021187313</v>
      </c>
      <c r="T80" s="1084">
        <v>1876.8043907025108</v>
      </c>
    </row>
    <row r="81" spans="3:20">
      <c r="C81" s="1077"/>
      <c r="E81" s="1074"/>
      <c r="F81" s="1074"/>
      <c r="H81" s="1063" t="e" vm="1">
        <f ca="1"/>
        <v>#NAME?</v>
      </c>
      <c r="I81" s="901" t="str">
        <v>bit_z</v>
      </c>
      <c r="J81" s="882" t="str">
        <v>BitZ</v>
      </c>
      <c r="K81" s="882">
        <v>2016</v>
      </c>
      <c r="L81" s="1062">
        <v>0</v>
      </c>
      <c r="M81" s="1062">
        <v>0</v>
      </c>
      <c r="N81" s="882" t="str">
        <v>https://www.bitz.com/</v>
      </c>
      <c r="O81" s="1045" t="str">
        <v>https://assets.coingecko.com/markets/images/49/small/bit-z-new-blue.png?1595917601</v>
      </c>
      <c r="P81" s="882" t="b">
        <v>0</v>
      </c>
      <c r="Q81" s="882">
        <v>4</v>
      </c>
      <c r="R81" s="882">
        <v>173</v>
      </c>
      <c r="S81" s="1084">
        <v>54404.061565915268</v>
      </c>
      <c r="T81" s="1084">
        <v>54404.061565915268</v>
      </c>
    </row>
    <row r="82" spans="3:20">
      <c r="C82" s="1077"/>
      <c r="E82" s="1074"/>
      <c r="F82" s="1074"/>
      <c r="H82" s="1063" t="e" vm="1">
        <f ca="1"/>
        <v>#NAME?</v>
      </c>
      <c r="I82" s="1059" t="str">
        <v>bitrue</v>
      </c>
      <c r="J82" s="1060" t="str">
        <v>Bitrue</v>
      </c>
      <c r="K82" s="1060">
        <v>2018</v>
      </c>
      <c r="L82" s="1061" t="str">
        <v>Singapore</v>
      </c>
      <c r="M82" s="1061">
        <v>0</v>
      </c>
      <c r="N82" s="1060" t="str">
        <v>https://www.bitrue.com/</v>
      </c>
      <c r="O82" s="1082" t="str">
        <v>https://assets.coingecko.com/markets/images/254/small/bitrue-exchange.jpg?1537878894</v>
      </c>
      <c r="P82" s="882" t="b">
        <v>0</v>
      </c>
      <c r="Q82" s="882">
        <v>9</v>
      </c>
      <c r="R82" s="882">
        <v>13</v>
      </c>
      <c r="S82" s="1084">
        <v>48360.566666943472</v>
      </c>
      <c r="T82" s="1084">
        <v>48360.566666943472</v>
      </c>
    </row>
    <row r="83" spans="3:20">
      <c r="C83" s="1077"/>
      <c r="E83" s="1074"/>
      <c r="F83" s="1074"/>
      <c r="H83" s="1063" t="e" vm="1">
        <f ca="1"/>
        <v>#NAME?</v>
      </c>
      <c r="I83" s="901" t="str">
        <v>zb</v>
      </c>
      <c r="J83" s="882" t="str">
        <v>ZB</v>
      </c>
      <c r="K83" s="882">
        <v>2017</v>
      </c>
      <c r="L83" s="1062" t="str">
        <v>China</v>
      </c>
      <c r="M83" s="1062">
        <v>0</v>
      </c>
      <c r="N83" s="882" t="str">
        <v>https://www.zb.land/en/</v>
      </c>
      <c r="O83" s="1045" t="str">
        <v>https://assets.coingecko.com/markets/images/115/small/zb.jpg?1519996151</v>
      </c>
      <c r="P83" s="882" t="b">
        <v>0</v>
      </c>
      <c r="Q83" s="882">
        <v>8</v>
      </c>
      <c r="R83" s="882">
        <v>27</v>
      </c>
      <c r="S83" s="1084">
        <v>43028.202539244223</v>
      </c>
      <c r="T83" s="1084">
        <v>43028.202539244223</v>
      </c>
    </row>
    <row r="84" spans="3:20">
      <c r="C84" s="1077"/>
      <c r="E84" s="1074"/>
      <c r="F84" s="1074"/>
      <c r="H84" s="1063" t="e" vm="1">
        <f ca="1"/>
        <v>#NAME?</v>
      </c>
      <c r="I84" s="1059" t="str">
        <v>ftx_spot</v>
      </c>
      <c r="J84" s="1060" t="str">
        <v>FTX</v>
      </c>
      <c r="K84" s="1060">
        <v>2019</v>
      </c>
      <c r="L84" s="1061" t="str">
        <v>Antigua and Barbuda</v>
      </c>
      <c r="M84" s="1061">
        <v>0</v>
      </c>
      <c r="N84" s="1060" t="str">
        <v>https://ftx.com/</v>
      </c>
      <c r="O84" s="1082" t="str">
        <v>https://assets.coingecko.com/markets/images/451/small/F.png?1609051590</v>
      </c>
      <c r="P84" s="882" t="b">
        <v>0</v>
      </c>
      <c r="Q84" s="882">
        <v>10</v>
      </c>
      <c r="R84" s="882">
        <v>5</v>
      </c>
      <c r="S84" s="1084">
        <v>42064.430996179872</v>
      </c>
      <c r="T84" s="1084">
        <v>42064.430996179872</v>
      </c>
    </row>
    <row r="85" spans="3:20">
      <c r="C85" s="1077"/>
      <c r="E85" s="1074"/>
      <c r="F85" s="1074"/>
      <c r="H85" s="1063" t="e" vm="1">
        <f ca="1"/>
        <v>#NAME?</v>
      </c>
      <c r="I85" s="901" t="str">
        <v>bitonbay</v>
      </c>
      <c r="J85" s="882" t="str">
        <v>BitOnBay</v>
      </c>
      <c r="K85" s="882">
        <v>2018</v>
      </c>
      <c r="L85" s="1062" t="str">
        <v>Thailand</v>
      </c>
      <c r="M85" s="1062">
        <v>0</v>
      </c>
      <c r="N85" s="882" t="str">
        <v>https://www.bitonbay.com/</v>
      </c>
      <c r="O85" s="1045" t="str">
        <v>https://assets.coingecko.com/markets/images/280/small/bitonbay-exchange.png?1539072657</v>
      </c>
      <c r="P85" s="882" t="b">
        <v>0</v>
      </c>
      <c r="Q85" s="882">
        <v>2</v>
      </c>
      <c r="R85" s="882">
        <v>233</v>
      </c>
      <c r="S85" s="1084">
        <v>34036.392289507487</v>
      </c>
      <c r="T85" s="1084">
        <v>84.636049186133519</v>
      </c>
    </row>
    <row r="86" spans="3:20">
      <c r="C86" s="1077"/>
      <c r="E86" s="1074"/>
      <c r="F86" s="1074"/>
      <c r="H86" s="1063" t="e" vm="1">
        <f ca="1"/>
        <v>#NAME?</v>
      </c>
      <c r="I86" s="1059" t="str">
        <v>hbtc</v>
      </c>
      <c r="J86" s="1060" t="str">
        <v>BHEX</v>
      </c>
      <c r="K86" s="1060">
        <v>2018</v>
      </c>
      <c r="L86" s="1061" t="str">
        <v>Malta</v>
      </c>
      <c r="M86" s="1061" t="str">
        <v>BHEX (previously known as HBTC), a 100% Token Holder Owned Trading Platform under BlueHelix Group, jointly invested by Huobi, OKEx, and another 56 first-class institutions. Users of BHEX will also have access to a wide variety of trading products such as spot, perpetual futures contract, Margin and Staking products with high level of liquidity._x000D_
BHEX is committed to providing world-class professional, secure and efficient financial trading and assets management services, with an exclusively BHEX Captain incentive scheme and also a 100% Proof of Reserve and a 100% transaction trading fee proof to protect end-users’ assets safety and platform credibility. As a technology-driven platform, BHEX has become a leading platform on user experiences, product R&amp;D, and risk control.</v>
      </c>
      <c r="N86" s="1060" t="str">
        <v>BHEX.com</v>
      </c>
      <c r="O86" s="1082" t="str">
        <v>https://assets.coingecko.com/markets/images/475/small/BHEX_logo_V2_black_2x.png?1620022577</v>
      </c>
      <c r="P86" s="882" t="b">
        <v>0</v>
      </c>
      <c r="Q86" s="882">
        <v>6</v>
      </c>
      <c r="R86" s="882">
        <v>108</v>
      </c>
      <c r="S86" s="1084">
        <v>32612.453875645799</v>
      </c>
      <c r="T86" s="1084">
        <v>1024.00803260098</v>
      </c>
    </row>
    <row r="87" spans="3:20">
      <c r="C87" s="1077"/>
      <c r="E87" s="1074"/>
      <c r="F87" s="1074"/>
      <c r="H87" s="1063" t="e" vm="1">
        <f ca="1"/>
        <v>#NAME?</v>
      </c>
      <c r="I87" s="901" t="str">
        <v>bkex</v>
      </c>
      <c r="J87" s="882" t="str">
        <v>BKEX</v>
      </c>
      <c r="K87" s="882">
        <v>2018</v>
      </c>
      <c r="L87" s="1062" t="str">
        <v>British Virgin Islands</v>
      </c>
      <c r="M87" s="1062">
        <v>0</v>
      </c>
      <c r="N87" s="882" t="str">
        <v>https://www.bkex.com/</v>
      </c>
      <c r="O87" s="1045" t="str">
        <v>https://assets.coingecko.com/markets/images/293/small/logo.png?1588125944</v>
      </c>
      <c r="P87" s="882" t="b">
        <v>0</v>
      </c>
      <c r="Q87" s="882">
        <v>7</v>
      </c>
      <c r="R87" s="882">
        <v>49</v>
      </c>
      <c r="S87" s="1084">
        <v>32448.89399838182</v>
      </c>
      <c r="T87" s="1084">
        <v>32448.89399838182</v>
      </c>
    </row>
    <row r="88" spans="3:20">
      <c r="H88" s="1063" t="e" vm="1">
        <f ca="1"/>
        <v>#NAME?</v>
      </c>
      <c r="I88" s="1059" t="str">
        <v>bitmart</v>
      </c>
      <c r="J88" s="1060" t="str">
        <v>BitMart</v>
      </c>
      <c r="K88" s="1060">
        <v>2017</v>
      </c>
      <c r="L88" s="1061" t="str">
        <v>Cayman Islands</v>
      </c>
      <c r="M88" s="1061">
        <v>0</v>
      </c>
      <c r="N88" s="1060" t="str">
        <v>https://www.bitmart.com/en</v>
      </c>
      <c r="O88" s="1082" t="str">
        <v>https://assets.coingecko.com/markets/images/239/small/Bitmart.png?1628066397</v>
      </c>
      <c r="P88" s="882" t="b">
        <v>0</v>
      </c>
      <c r="Q88" s="882">
        <v>8</v>
      </c>
      <c r="R88" s="882">
        <v>28</v>
      </c>
      <c r="S88" s="1084">
        <v>31711.96715350014</v>
      </c>
      <c r="T88" s="1084">
        <v>31711.96715350014</v>
      </c>
    </row>
    <row r="89" spans="3:20">
      <c r="H89" s="1063" t="e" vm="1">
        <f ca="1"/>
        <v>#NAME?</v>
      </c>
      <c r="I89" s="901" t="str">
        <v>kucoin</v>
      </c>
      <c r="J89" s="882" t="str">
        <v>KuCoin</v>
      </c>
      <c r="K89" s="882">
        <v>2014</v>
      </c>
      <c r="L89" s="1062" t="str">
        <v>Seychelles</v>
      </c>
      <c r="M89" s="1062">
        <v>0</v>
      </c>
      <c r="N89" s="882" t="str">
        <v>https://www.kucoin.com/</v>
      </c>
      <c r="O89" s="1045" t="str">
        <v>https://assets.coingecko.com/markets/images/61/small/kucoin.jpg?1591610627</v>
      </c>
      <c r="P89" s="882" t="b">
        <v>0</v>
      </c>
      <c r="Q89" s="882">
        <v>10</v>
      </c>
      <c r="R89" s="882">
        <v>6</v>
      </c>
      <c r="S89" s="1084">
        <v>31639.245547928698</v>
      </c>
      <c r="T89" s="1084">
        <v>31639.245547928698</v>
      </c>
    </row>
    <row r="90" spans="3:20">
      <c r="H90" s="1063" t="e" vm="1">
        <f ca="1"/>
        <v>#NAME?</v>
      </c>
      <c r="I90" s="1059" t="str">
        <v>uniswap</v>
      </c>
      <c r="J90" s="1060" t="str">
        <v>Uniswap (v3)</v>
      </c>
      <c r="K90" s="1060">
        <v>2018</v>
      </c>
      <c r="L90" s="1061">
        <v>0</v>
      </c>
      <c r="M90" s="1061">
        <v>0</v>
      </c>
      <c r="N90" s="1060" t="str">
        <v>https://app.uniswap.org/#/swap</v>
      </c>
      <c r="O90" s="1082" t="str">
        <v>https://assets.coingecko.com/markets/images/665/small/uniswap-v3.png?1620241698</v>
      </c>
      <c r="P90" s="882" t="b">
        <v>0</v>
      </c>
      <c r="Q90" s="882">
        <v>6</v>
      </c>
      <c r="R90" s="882">
        <v>94</v>
      </c>
      <c r="S90" s="1084">
        <v>28146.930363948013</v>
      </c>
      <c r="T90" s="1084">
        <v>28146.930363948013</v>
      </c>
    </row>
    <row r="91" spans="3:20">
      <c r="H91" s="1063" t="e" vm="1">
        <f ca="1"/>
        <v>#NAME?</v>
      </c>
      <c r="I91" s="901" t="str">
        <v>hoo</v>
      </c>
      <c r="J91" s="882" t="str">
        <v>Hoo.com</v>
      </c>
      <c r="K91" s="882">
        <v>2019</v>
      </c>
      <c r="L91" s="1062" t="str">
        <v>Cayman Islands</v>
      </c>
      <c r="M91" s="1062" t="str">
        <v xml:space="preserve">Hoo.com is a world’s leading blockchain assets service platform, aiming to provide safe and reliable assets management and blockchain services to users worldwide. </v>
      </c>
      <c r="N91" s="882" t="str">
        <v>https://www.hoo.com</v>
      </c>
      <c r="O91" s="1045" t="str">
        <v>https://assets.coingecko.com/markets/images/526/small/Hoo_Logo2.jpg?1602237762</v>
      </c>
      <c r="P91" s="882" t="b">
        <v>0</v>
      </c>
      <c r="Q91" s="882">
        <v>7</v>
      </c>
      <c r="R91" s="882">
        <v>51</v>
      </c>
      <c r="S91" s="1084">
        <v>26118.039010346103</v>
      </c>
      <c r="T91" s="1084">
        <v>26118.039010346103</v>
      </c>
    </row>
    <row r="92" spans="3:20">
      <c r="H92" s="1063" t="e" vm="1">
        <f ca="1"/>
        <v>#NAME?</v>
      </c>
      <c r="I92" s="1059" t="str">
        <v>coinsbit</v>
      </c>
      <c r="J92" s="1060" t="str">
        <v>Coinsbit</v>
      </c>
      <c r="K92" s="1060">
        <v>0</v>
      </c>
      <c r="L92" s="1061" t="str">
        <v>Estonia</v>
      </c>
      <c r="M92" s="1061">
        <v>0</v>
      </c>
      <c r="N92" s="1060" t="str">
        <v>https://coinsbit.io/</v>
      </c>
      <c r="O92" s="1082" t="str">
        <v>https://assets.coingecko.com/markets/images/267/small/Coinsbit.png?1605153697</v>
      </c>
      <c r="P92" s="882" t="b">
        <v>0</v>
      </c>
      <c r="Q92" s="882">
        <v>8</v>
      </c>
      <c r="R92" s="882">
        <v>29</v>
      </c>
      <c r="S92" s="1084">
        <v>25193.248972156562</v>
      </c>
      <c r="T92" s="1084">
        <v>25193.248972156562</v>
      </c>
    </row>
    <row r="93" spans="3:20">
      <c r="H93" s="1063" t="e" vm="1">
        <f ca="1"/>
        <v>#NAME?</v>
      </c>
      <c r="I93" s="901" t="str">
        <v>digifinex</v>
      </c>
      <c r="J93" s="882" t="str">
        <v>Digifinex</v>
      </c>
      <c r="K93" s="882">
        <v>2018</v>
      </c>
      <c r="L93" s="1062" t="str">
        <v>Seychelles</v>
      </c>
      <c r="M93" s="1062">
        <v>0</v>
      </c>
      <c r="N93" s="882" t="str">
        <v>https://www.digifinex.com/</v>
      </c>
      <c r="O93" s="1045" t="str">
        <v>https://assets.coingecko.com/markets/images/225/small/DF_logo.png?1594264355</v>
      </c>
      <c r="P93" s="882" t="b">
        <v>0</v>
      </c>
      <c r="Q93" s="882">
        <v>8</v>
      </c>
      <c r="R93" s="882">
        <v>30</v>
      </c>
      <c r="S93" s="1084">
        <v>24785.061722976101</v>
      </c>
      <c r="T93" s="1084">
        <v>24785.061722976101</v>
      </c>
    </row>
    <row r="94" spans="3:20">
      <c r="H94" s="1063" t="e" vm="1">
        <f ca="1"/>
        <v>#NAME?</v>
      </c>
      <c r="I94" s="1059" t="str">
        <v>gate</v>
      </c>
      <c r="J94" s="1060" t="str">
        <v>Gate.io</v>
      </c>
      <c r="K94" s="1060">
        <v>0</v>
      </c>
      <c r="L94" s="1061" t="str">
        <v>Hong Kong</v>
      </c>
      <c r="M94" s="1061" t="str">
        <v>Gate was established in 2013, and it is the top 10 exchanges in the world in terms of authentic trading volume. It is also the first choice of over 8 million registered customers, covering 130+ countries worldwide, as we are providing the most comprehensive digital asset solutions.</v>
      </c>
      <c r="N94" s="1060" t="str">
        <v>https://gate.io/</v>
      </c>
      <c r="O94" s="1082" t="str">
        <v>https://assets.coingecko.com/markets/images/60/small/gateio.jpg?1519793974</v>
      </c>
      <c r="P94" s="882" t="b">
        <v>0</v>
      </c>
      <c r="Q94" s="882">
        <v>10</v>
      </c>
      <c r="R94" s="882">
        <v>7</v>
      </c>
      <c r="S94" s="1084">
        <v>24526.084211836154</v>
      </c>
      <c r="T94" s="1084">
        <v>24526.084211836154</v>
      </c>
    </row>
    <row r="95" spans="3:20">
      <c r="H95" s="1063" t="e" vm="1">
        <f ca="1"/>
        <v>#NAME?</v>
      </c>
      <c r="I95" s="901" t="str">
        <v>xt</v>
      </c>
      <c r="J95" s="882" t="str">
        <v>XT.COM</v>
      </c>
      <c r="K95" s="882">
        <v>2018</v>
      </c>
      <c r="L95" s="1062" t="str">
        <v>Seychelles</v>
      </c>
      <c r="M95" s="1062">
        <v>0</v>
      </c>
      <c r="N95" s="882" t="str">
        <v>https://www.xt.com/</v>
      </c>
      <c r="O95" s="1045" t="str">
        <v>https://assets.coingecko.com/markets/images/404/small/logo400x400.png?1575881839</v>
      </c>
      <c r="P95" s="882" t="b">
        <v>0</v>
      </c>
      <c r="Q95" s="882">
        <v>8</v>
      </c>
      <c r="R95" s="882">
        <v>31</v>
      </c>
      <c r="S95" s="1084">
        <v>22147.550805332234</v>
      </c>
      <c r="T95" s="1084">
        <v>22147.550805332234</v>
      </c>
    </row>
    <row r="96" spans="3:20">
      <c r="H96" s="1063" t="e" vm="1">
        <f ca="1"/>
        <v>#NAME?</v>
      </c>
      <c r="I96" s="1059" t="str">
        <v>bithumb</v>
      </c>
      <c r="J96" s="1060" t="str">
        <v>Bithumb</v>
      </c>
      <c r="K96" s="1060">
        <v>2014</v>
      </c>
      <c r="L96" s="1061" t="str">
        <v>South Korea</v>
      </c>
      <c r="M96" s="1061">
        <v>0</v>
      </c>
      <c r="N96" s="1060" t="str">
        <v>https://www.bithumb.com/</v>
      </c>
      <c r="O96" s="1082" t="str">
        <v>https://assets.coingecko.com/markets/images/6/small/bithumb_BI.png?1573104549</v>
      </c>
      <c r="P96" s="882" t="b">
        <v>0</v>
      </c>
      <c r="Q96" s="882">
        <v>8</v>
      </c>
      <c r="R96" s="882">
        <v>32</v>
      </c>
      <c r="S96" s="1084">
        <v>21600.409271069359</v>
      </c>
      <c r="T96" s="1084">
        <v>21600.409271069359</v>
      </c>
    </row>
    <row r="97" spans="8:20">
      <c r="H97" s="1063" t="e" vm="1">
        <f ca="1"/>
        <v>#NAME?</v>
      </c>
      <c r="I97" s="901" t="str">
        <v>p2pb2b</v>
      </c>
      <c r="J97" s="882" t="str">
        <v>P2PB2B</v>
      </c>
      <c r="K97" s="882">
        <v>2018</v>
      </c>
      <c r="L97" s="1062" t="str">
        <v>Estonia</v>
      </c>
      <c r="M97" s="1062" t="str">
        <v>P2PB2B Exchange is not just a cryptocurrency exchange platform but also a trusted partner for crypto projects. Our Crypto Startup Partner initiative provides trading consulting and helps our clients develop their community, support liquidity, create growth strategies._x000D_
_x000D_
P2PB2B runs token sales of the promising crypto assets, enabling users to easily invest in new currencies. There are also available services for users such as the earning deposit program, regular gamification events - airdrop, trading competitions, referral program games._x000D_
_x000D_
The platform is compliant with OWASP TOP 10 security requirements and is recognized as the world's 12th most Trust Core secure crypto exchanges according to CER rating._x000D_
_x000D_
P2PB2B utilizes the high processing speed with the ability to handle up to 10,000 trades per second, scaling to 1,000,000 TCP connections. Our KYC identity verification process leverages AI-powered technology which speeds up the authentication process. 24/7 live support is an essential advantage for users.</v>
      </c>
      <c r="N97" s="882" t="str">
        <v>https://p2pb2b.io</v>
      </c>
      <c r="O97" s="1045" t="str">
        <v>https://assets.coingecko.com/markets/images/251/small/p2pb2b.jpg?1536307348</v>
      </c>
      <c r="P97" s="882" t="b">
        <v>0</v>
      </c>
      <c r="Q97" s="882">
        <v>7</v>
      </c>
      <c r="R97" s="882">
        <v>52</v>
      </c>
      <c r="S97" s="1084">
        <v>18888.553584014393</v>
      </c>
      <c r="T97" s="1084">
        <v>18888.553584014393</v>
      </c>
    </row>
    <row r="98" spans="8:20">
      <c r="H98" s="1063" t="e" vm="1">
        <f ca="1"/>
        <v>#NAME?</v>
      </c>
      <c r="I98" s="1059" t="str">
        <v>bitfinex</v>
      </c>
      <c r="J98" s="1060" t="str">
        <v>Bitfinex</v>
      </c>
      <c r="K98" s="1060">
        <v>2014</v>
      </c>
      <c r="L98" s="1061" t="str">
        <v>British Virgin Islands</v>
      </c>
      <c r="M98" s="1061">
        <v>0</v>
      </c>
      <c r="N98" s="1060" t="str">
        <v>https://www.bitfinex.com</v>
      </c>
      <c r="O98" s="1082" t="str">
        <v>https://assets.coingecko.com/markets/images/4/small/BItfinex.png?1615895883</v>
      </c>
      <c r="P98" s="882" t="b">
        <v>0</v>
      </c>
      <c r="Q98" s="882">
        <v>10</v>
      </c>
      <c r="R98" s="882">
        <v>8</v>
      </c>
      <c r="S98" s="1084">
        <v>18388.638452517855</v>
      </c>
      <c r="T98" s="1084">
        <v>18388.638452517855</v>
      </c>
    </row>
    <row r="99" spans="8:20">
      <c r="H99" s="1063" t="e" vm="1">
        <f ca="1"/>
        <v>#NAME?</v>
      </c>
      <c r="I99" s="901" t="str">
        <v>lbank</v>
      </c>
      <c r="J99" s="882" t="str">
        <v>LBank</v>
      </c>
      <c r="K99" s="882">
        <v>2017</v>
      </c>
      <c r="L99" s="1062" t="str">
        <v>China</v>
      </c>
      <c r="M99" s="1062" t="str">
        <v>Founded in October 2016, LBank is a centralized digital asset trading platform for international users. It aims to provide professional asset management solutions. At present, LBank offers hundreds of digital currency pairs. LBank also claims to have one of the highest staking rewards on any exchange._x000D_
_x000D_
LBank's claims that its core team comes from the traditional financial industry, IT, and top 500 universities. The team aims to build the most professional integrated service platform for digital assets while ensuring security.</v>
      </c>
      <c r="N99" s="882" t="str">
        <v>https://www.lbank.info/</v>
      </c>
      <c r="O99" s="1045" t="str">
        <v>https://assets.coingecko.com/markets/images/118/small/LBank%E5%9C%86%E6%A0%87.png?1572923264</v>
      </c>
      <c r="P99" s="882" t="b">
        <v>0</v>
      </c>
      <c r="Q99" s="882">
        <v>7</v>
      </c>
      <c r="R99" s="882">
        <v>53</v>
      </c>
      <c r="S99" s="1084">
        <v>17611.45098824962</v>
      </c>
      <c r="T99" s="1084">
        <v>17611.45098824962</v>
      </c>
    </row>
    <row r="100" spans="8:20">
      <c r="H100" s="1063" t="e" vm="1">
        <f ca="1"/>
        <v>#NAME?</v>
      </c>
      <c r="I100" s="1059" t="str">
        <v>wootrade</v>
      </c>
      <c r="J100" s="1060" t="str">
        <v>WOO Network</v>
      </c>
      <c r="K100" s="1060">
        <v>2019</v>
      </c>
      <c r="L100" s="1061">
        <v>0</v>
      </c>
      <c r="M100" s="1061" t="str">
        <v>WOO Network is a deep liquidity network connecting traders, exchanges, institutions, and DeFi platforms with democratized access to the best-in-class liquidity and trading execution at lower or zero cost. Its flagship, WOO X, is a professional trading platform featuring customizable modules and lower to zero fees complete with deep liquidity. WOO Network was founded by Kronos Research, a quantitative trading firm generating $5-10B in daily volume.</v>
      </c>
      <c r="N100" s="1060" t="str">
        <v>https://woo.org/</v>
      </c>
      <c r="O100" s="1082" t="str">
        <v>https://assets.coingecko.com/markets/images/683/small/wootrade.jpg?1624621149</v>
      </c>
      <c r="P100" s="882" t="b">
        <v>0</v>
      </c>
      <c r="Q100" s="882">
        <v>8</v>
      </c>
      <c r="R100" s="882">
        <v>33</v>
      </c>
      <c r="S100" s="1084">
        <v>16831.166710720125</v>
      </c>
      <c r="T100" s="1084">
        <v>16831.166710720125</v>
      </c>
    </row>
    <row r="101" spans="8:20">
      <c r="H101" s="1063" t="e" vm="1">
        <f ca="1"/>
        <v>#NAME?</v>
      </c>
      <c r="I101" s="901" t="str">
        <v>coinbene</v>
      </c>
      <c r="J101" s="882" t="str">
        <v>CoinBene</v>
      </c>
      <c r="K101" s="882">
        <v>2017</v>
      </c>
      <c r="L101" s="1062" t="str">
        <v>Singapore</v>
      </c>
      <c r="M101" s="1062">
        <v>0</v>
      </c>
      <c r="N101" s="882" t="str">
        <v>http://www.coinbene.com/#/</v>
      </c>
      <c r="O101" s="1045" t="str">
        <v>https://assets.coingecko.com/markets/images/109/small/CoinBene_logo.png?1607418278</v>
      </c>
      <c r="P101" s="882" t="b">
        <v>0</v>
      </c>
      <c r="Q101" s="882">
        <v>6</v>
      </c>
      <c r="R101" s="882">
        <v>95</v>
      </c>
      <c r="S101" s="1084">
        <v>16793.569056601307</v>
      </c>
      <c r="T101" s="1084">
        <v>16793.569056601307</v>
      </c>
    </row>
    <row r="102" spans="8:20">
      <c r="H102" s="1063" t="e" vm="1">
        <f ca="1"/>
        <v>#NAME?</v>
      </c>
      <c r="I102" s="1059" t="str">
        <v>binance_us</v>
      </c>
      <c r="J102" s="1060" t="str">
        <v>Binance US</v>
      </c>
      <c r="K102" s="1060">
        <v>2019</v>
      </c>
      <c r="L102" s="1061" t="str">
        <v>United States</v>
      </c>
      <c r="M102" s="1061">
        <v>0</v>
      </c>
      <c r="N102" s="1060" t="str">
        <v>https://www.binance.us/en</v>
      </c>
      <c r="O102" s="1082" t="str">
        <v>https://assets.coingecko.com/markets/images/469/small/Binance.png?1568875842</v>
      </c>
      <c r="P102" s="882" t="b">
        <v>0</v>
      </c>
      <c r="Q102" s="882">
        <v>10</v>
      </c>
      <c r="R102" s="882">
        <v>9</v>
      </c>
      <c r="S102" s="1084">
        <v>16682.022432116828</v>
      </c>
      <c r="T102" s="1084">
        <v>16682.022432116828</v>
      </c>
    </row>
    <row r="103" spans="8:20">
      <c r="H103" s="1063" t="e" vm="1">
        <f ca="1"/>
        <v>#NAME?</v>
      </c>
      <c r="I103" s="901" t="str">
        <v>dragonex</v>
      </c>
      <c r="J103" s="882" t="str">
        <v>DragonEx</v>
      </c>
      <c r="K103" s="882">
        <v>2017</v>
      </c>
      <c r="L103" s="1062" t="str">
        <v>Thailand</v>
      </c>
      <c r="M103" s="1062" t="str">
        <v>Launched on 2 November 2017 in Singapore, DragonEx is a cryptocurrency exchange with a cryptocurrency trading service license acquired in Estonia. DragonEx is a community-driven exchange with over 300,000 KYC-verified users and aims to become the best community exchange._x000D_
_x000D_
There are different levels of trading fees, usually 0.2% for taker and 0% for maker. DragonEx is the first exchange that introduced the transaction mining model. The DragonEx App is available in the App Store and Google Play. There are derivatives on DragonEx including options, futures, and leveraged trading. KYC is mandatory for users trading, depositing, or withdrawing cryptos on DragonEx. For cybersecurity measures, DragonEx has been working with cybersecurity companies and performing internal audits at regular intervals.</v>
      </c>
      <c r="N103" s="882" t="str">
        <v>https://dragonex.io</v>
      </c>
      <c r="O103" s="1045" t="str">
        <v>https://assets.coingecko.com/markets/images/297/small/S0rxMXWo_400x400.jpg?1540349384</v>
      </c>
      <c r="P103" s="882" t="b">
        <v>0</v>
      </c>
      <c r="Q103" s="882">
        <v>4</v>
      </c>
      <c r="R103" s="882">
        <v>176</v>
      </c>
      <c r="S103" s="1084">
        <v>15530.125027410091</v>
      </c>
      <c r="T103" s="1084">
        <v>1818.3526192333372</v>
      </c>
    </row>
    <row r="104" spans="8:20">
      <c r="H104" s="1063" t="e" vm="1">
        <f ca="1"/>
        <v>#NAME?</v>
      </c>
      <c r="I104" s="1059" t="str">
        <v>whitebit</v>
      </c>
      <c r="J104" s="1060" t="str">
        <v>WhiteBIT</v>
      </c>
      <c r="K104" s="1060">
        <v>2018</v>
      </c>
      <c r="L104" s="1061" t="str">
        <v>Estonia</v>
      </c>
      <c r="M104" s="1061">
        <v>0</v>
      </c>
      <c r="N104" s="1060" t="str">
        <v>https://whitebit.com</v>
      </c>
      <c r="O104" s="1082" t="str">
        <v>https://assets.coingecko.com/markets/images/418/small/wb_3_avatar-02.png?1611212424</v>
      </c>
      <c r="P104" s="882" t="b">
        <v>0</v>
      </c>
      <c r="Q104" s="882">
        <v>7</v>
      </c>
      <c r="R104" s="882">
        <v>54</v>
      </c>
      <c r="S104" s="1084">
        <v>14864.572964337311</v>
      </c>
      <c r="T104" s="1084">
        <v>14864.572964337311</v>
      </c>
    </row>
    <row r="105" spans="8:20">
      <c r="H105" s="1063" t="e" vm="1">
        <f ca="1"/>
        <v>#NAME?</v>
      </c>
      <c r="I105" s="901" t="str">
        <v>dcoin</v>
      </c>
      <c r="J105" s="882" t="str">
        <v>Dcoin</v>
      </c>
      <c r="K105" s="882">
        <v>2018</v>
      </c>
      <c r="L105" s="1062" t="str">
        <v>Switzerland</v>
      </c>
      <c r="M105" s="1062">
        <v>0</v>
      </c>
      <c r="N105" s="882" t="str">
        <v>https://www.dcoin.com/</v>
      </c>
      <c r="O105" s="1045" t="str">
        <v>https://assets.coingecko.com/markets/images/319/small/%E8%B5%84%E6%BA%90_4_3x_2.png?1590117049</v>
      </c>
      <c r="P105" s="882" t="b">
        <v>0</v>
      </c>
      <c r="Q105" s="882">
        <v>3</v>
      </c>
      <c r="R105" s="882">
        <v>199</v>
      </c>
      <c r="S105" s="1084">
        <v>14834.768321257541</v>
      </c>
      <c r="T105" s="1084">
        <v>14834.768321257541</v>
      </c>
    </row>
    <row r="106" spans="8:20">
      <c r="H106" s="1063" t="e" vm="1">
        <f ca="1"/>
        <v>#NAME?</v>
      </c>
      <c r="I106" s="1059" t="str">
        <v>mxc</v>
      </c>
      <c r="J106" s="1060" t="str">
        <v>MEXC Global</v>
      </c>
      <c r="K106" s="1060">
        <v>2018</v>
      </c>
      <c r="L106" s="1061">
        <v>0</v>
      </c>
      <c r="M106" s="1061" t="str">
        <v>Established in April 2018, MEXC Global is one of the world’s leading digital-asset trading platforms. The core team comes from world-class enterprises and financial companies with rich experience in blockchain and financial industries.</v>
      </c>
      <c r="N106" s="1060" t="str">
        <v>https://www.mexc.com/</v>
      </c>
      <c r="O106" s="1082" t="str">
        <v>https://assets.coingecko.com/markets/images/409/small/WeChat_Image_20210622160936.png?1624349423</v>
      </c>
      <c r="P106" s="882" t="b">
        <v>0</v>
      </c>
      <c r="Q106" s="882">
        <v>8</v>
      </c>
      <c r="R106" s="882">
        <v>34</v>
      </c>
      <c r="S106" s="1084">
        <v>14451.935604289152</v>
      </c>
      <c r="T106" s="1084">
        <v>14451.935604289152</v>
      </c>
    </row>
    <row r="107" spans="8:20">
      <c r="H107" s="1063" t="e" vm="1">
        <f ca="1"/>
        <v>#NAME?</v>
      </c>
      <c r="I107" s="901" t="str">
        <v>bitget</v>
      </c>
      <c r="J107" s="882" t="str">
        <v>Bitget</v>
      </c>
      <c r="K107" s="882">
        <v>2018</v>
      </c>
      <c r="L107" s="1062" t="str">
        <v>Singapore</v>
      </c>
      <c r="M107" s="1062">
        <v>0</v>
      </c>
      <c r="N107" s="882" t="str">
        <v>https://www.bitget.com/</v>
      </c>
      <c r="O107" s="1045" t="str">
        <v>https://assets.coingecko.com/markets/images/540/small/Bitget_new_logo_2.png?1630049618</v>
      </c>
      <c r="P107" s="882" t="b">
        <v>0</v>
      </c>
      <c r="Q107" s="882">
        <v>9</v>
      </c>
      <c r="R107" s="882">
        <v>14</v>
      </c>
      <c r="S107" s="1084">
        <v>14085.704138595216</v>
      </c>
      <c r="T107" s="1084">
        <v>14085.704138595216</v>
      </c>
    </row>
    <row r="108" spans="8:20">
      <c r="H108" s="1063" t="e" vm="1">
        <f ca="1"/>
        <v>#NAME?</v>
      </c>
      <c r="I108" s="1059" t="str">
        <v>kraken</v>
      </c>
      <c r="J108" s="1060" t="str">
        <v>Kraken</v>
      </c>
      <c r="K108" s="1060">
        <v>2011</v>
      </c>
      <c r="L108" s="1061" t="str">
        <v>United States</v>
      </c>
      <c r="M108" s="1061">
        <v>0</v>
      </c>
      <c r="N108" s="1060" t="str">
        <v>https://r.kraken.com/Q1m9x</v>
      </c>
      <c r="O108" s="1082" t="str">
        <v>https://assets.coingecko.com/markets/images/29/small/kraken.jpg?1584251255</v>
      </c>
      <c r="P108" s="882" t="b">
        <v>0</v>
      </c>
      <c r="Q108" s="882">
        <v>10</v>
      </c>
      <c r="R108" s="882">
        <v>10</v>
      </c>
      <c r="S108" s="1084">
        <v>14064.058101500885</v>
      </c>
      <c r="T108" s="1084">
        <v>14064.058101500885</v>
      </c>
    </row>
    <row r="109" spans="8:20">
      <c r="H109" s="1063" t="e" vm="1">
        <f ca="1"/>
        <v>#NAME?</v>
      </c>
      <c r="I109" s="901" t="str">
        <v>bibox</v>
      </c>
      <c r="J109" s="882" t="str">
        <v>Bibox</v>
      </c>
      <c r="K109" s="882">
        <v>2017</v>
      </c>
      <c r="L109" s="1062" t="str">
        <v>China</v>
      </c>
      <c r="M109" s="1062">
        <v>0</v>
      </c>
      <c r="N109" s="882" t="str">
        <v>https://www.bibox.com/</v>
      </c>
      <c r="O109" s="1045" t="str">
        <v>https://assets.coingecko.com/markets/images/114/small/bibox.jpg?1520752603</v>
      </c>
      <c r="P109" s="882" t="b">
        <v>0</v>
      </c>
      <c r="Q109" s="882">
        <v>8</v>
      </c>
      <c r="R109" s="882">
        <v>35</v>
      </c>
      <c r="S109" s="1084">
        <v>13440.865057876657</v>
      </c>
      <c r="T109" s="1084">
        <v>13440.865057876657</v>
      </c>
    </row>
    <row r="110" spans="8:20">
      <c r="H110" s="1063" t="e" vm="1">
        <f ca="1"/>
        <v>#NAME?</v>
      </c>
      <c r="I110" s="1059" t="str">
        <v>bigone</v>
      </c>
      <c r="J110" s="1060" t="str">
        <v>BigONE</v>
      </c>
      <c r="K110" s="1060">
        <v>2017</v>
      </c>
      <c r="L110" s="1061" t="str">
        <v>Seychelles</v>
      </c>
      <c r="M110" s="1061">
        <v>0</v>
      </c>
      <c r="N110" s="1060" t="str">
        <v>https://bigone.com</v>
      </c>
      <c r="O110" s="1082" t="str">
        <v>https://assets.coingecko.com/markets/images/100/small/qcFFufEY_400x400.jpg?1561103345</v>
      </c>
      <c r="P110" s="882" t="b">
        <v>0</v>
      </c>
      <c r="Q110" s="882">
        <v>7</v>
      </c>
      <c r="R110" s="882">
        <v>55</v>
      </c>
      <c r="S110" s="1084">
        <v>12275.82308553586</v>
      </c>
      <c r="T110" s="1084">
        <v>12275.82308553586</v>
      </c>
    </row>
    <row r="111" spans="8:20">
      <c r="H111" s="1063" t="e" vm="1">
        <f ca="1"/>
        <v>#NAME?</v>
      </c>
      <c r="I111" s="901" t="str">
        <v>catex</v>
      </c>
      <c r="J111" s="882" t="str">
        <v>Catex</v>
      </c>
      <c r="K111" s="882">
        <v>2018</v>
      </c>
      <c r="L111" s="1062" t="str">
        <v>China</v>
      </c>
      <c r="M111" s="1062">
        <v>0</v>
      </c>
      <c r="N111" s="882" t="str">
        <v>https://www.catex.io/</v>
      </c>
      <c r="O111" s="1045" t="str">
        <v>https://assets.coingecko.com/markets/images/354/small/catex.png?1550735332</v>
      </c>
      <c r="P111" s="882" t="b">
        <v>0</v>
      </c>
      <c r="Q111" s="882">
        <v>6</v>
      </c>
      <c r="R111" s="882">
        <v>96</v>
      </c>
      <c r="S111" s="1084">
        <v>10862.788671481676</v>
      </c>
      <c r="T111" s="1084">
        <v>10862.788671481676</v>
      </c>
    </row>
    <row r="112" spans="8:20">
      <c r="H112" s="1063" t="e" vm="1">
        <f ca="1"/>
        <v>#NAME?</v>
      </c>
      <c r="I112" s="1059" t="str">
        <v>biki</v>
      </c>
      <c r="J112" s="1060" t="str">
        <v>BiKi</v>
      </c>
      <c r="K112" s="1060">
        <v>2018</v>
      </c>
      <c r="L112" s="1061" t="str">
        <v>Singapore</v>
      </c>
      <c r="M112" s="1061" t="str">
        <v xml:space="preserve">BiKi is a centralized cryptocurrency exchange located in Singapore. There are 470 coins and 515 trading pairs on the exchange. BiKi volume in the last 24 hours is reported to be at ₿20,541.23. The most active trading pair on BiKi exchange is ETH/USDT. BiKi is established in year 2018._x000D_
_x000D_
More information about BiKi exchange can be found at https://www.biki.cc/register?inviteCode=WWAETAA. </v>
      </c>
      <c r="N112" s="1060" t="str">
        <v>https://www.biki.cc/</v>
      </c>
      <c r="O112" s="1082" t="str">
        <v>https://assets.coingecko.com/markets/images/384/small/BiKi_icon.png?1573632986</v>
      </c>
      <c r="P112" s="882" t="b">
        <v>0</v>
      </c>
      <c r="Q112" s="882">
        <v>8</v>
      </c>
      <c r="R112" s="882">
        <v>36</v>
      </c>
      <c r="S112" s="1084">
        <v>10360.309632630177</v>
      </c>
      <c r="T112" s="1084">
        <v>10360.309632630177</v>
      </c>
    </row>
    <row r="113" spans="8:20">
      <c r="H113" s="1063" t="e" vm="1">
        <f ca="1"/>
        <v>#NAME?</v>
      </c>
      <c r="I113" s="901" t="str">
        <v>cointiger</v>
      </c>
      <c r="J113" s="882" t="str">
        <v>CoinTiger</v>
      </c>
      <c r="K113" s="882">
        <v>2017</v>
      </c>
      <c r="L113" s="1062" t="str">
        <v>Singapore</v>
      </c>
      <c r="M113" s="1062">
        <v>0</v>
      </c>
      <c r="N113" s="882" t="str">
        <v>https://www.cointiger.com/</v>
      </c>
      <c r="O113" s="1045" t="str">
        <v>https://assets.coingecko.com/markets/images/204/small/cointiger.png?1588935091</v>
      </c>
      <c r="P113" s="882" t="b">
        <v>0</v>
      </c>
      <c r="Q113" s="882">
        <v>8</v>
      </c>
      <c r="R113" s="882">
        <v>37</v>
      </c>
      <c r="S113" s="1084">
        <v>10277.934332918256</v>
      </c>
      <c r="T113" s="1084">
        <v>10277.934332918256</v>
      </c>
    </row>
    <row r="114" spans="8:20">
      <c r="H114" s="1063" t="e" vm="1">
        <f ca="1"/>
        <v>#NAME?</v>
      </c>
      <c r="I114" s="1059" t="str">
        <v>pancakeswap_new</v>
      </c>
      <c r="J114" s="1060" t="str">
        <v>PancakeSwap (v2)</v>
      </c>
      <c r="K114" s="1060">
        <v>2020</v>
      </c>
      <c r="L114" s="1061">
        <v>0</v>
      </c>
      <c r="M114" s="1061">
        <v>0</v>
      </c>
      <c r="N114" s="1060" t="str">
        <v>https://pancakeswap.finance</v>
      </c>
      <c r="O114" s="1082" t="str">
        <v>https://assets.coingecko.com/markets/images/687/small/pancakeswap.jpeg?1626060212</v>
      </c>
      <c r="P114" s="882" t="b">
        <v>0</v>
      </c>
      <c r="Q114" s="882">
        <v>6</v>
      </c>
      <c r="R114" s="882">
        <v>97</v>
      </c>
      <c r="S114" s="1084">
        <v>10194.783431110249</v>
      </c>
      <c r="T114" s="1084">
        <v>10194.783431110249</v>
      </c>
    </row>
    <row r="115" spans="8:20">
      <c r="H115" s="1063" t="e" vm="1">
        <f ca="1"/>
        <v>#NAME?</v>
      </c>
      <c r="I115" s="901" t="str">
        <v>phemex</v>
      </c>
      <c r="J115" s="882" t="str">
        <v>Phemex</v>
      </c>
      <c r="K115" s="882">
        <v>2019</v>
      </c>
      <c r="L115" s="1062" t="str">
        <v>Singapore</v>
      </c>
      <c r="M115" s="1062">
        <v>0</v>
      </c>
      <c r="N115" s="882" t="str">
        <v>https://phemex.com/</v>
      </c>
      <c r="O115" s="1045" t="str">
        <v>https://assets.coingecko.com/markets/images/564/small/phemex.png?1632302643</v>
      </c>
      <c r="P115" s="882" t="b">
        <v>0</v>
      </c>
      <c r="Q115" s="882">
        <v>6</v>
      </c>
      <c r="R115" s="882">
        <v>98</v>
      </c>
      <c r="S115" s="1084">
        <v>9413.5812300457728</v>
      </c>
      <c r="T115" s="1084">
        <v>9413.5812300457728</v>
      </c>
    </row>
    <row r="116" spans="8:20">
      <c r="H116" s="1063" t="e" vm="1">
        <f ca="1"/>
        <v>#NAME?</v>
      </c>
      <c r="I116" s="1059" t="str">
        <v>latoken</v>
      </c>
      <c r="J116" s="1060" t="str">
        <v>LATOKEN</v>
      </c>
      <c r="K116" s="1060">
        <v>2017</v>
      </c>
      <c r="L116" s="1061" t="str">
        <v>Cayman Islands</v>
      </c>
      <c r="M116" s="1061">
        <v>0</v>
      </c>
      <c r="N116" s="1060" t="str">
        <v>https://latoken.com/</v>
      </c>
      <c r="O116" s="1082" t="str">
        <v>https://assets.coingecko.com/markets/images/124/small/LA_token.png?1605773251</v>
      </c>
      <c r="P116" s="882" t="b">
        <v>0</v>
      </c>
      <c r="Q116" s="882">
        <v>7</v>
      </c>
      <c r="R116" s="882">
        <v>56</v>
      </c>
      <c r="S116" s="1084">
        <v>9180.9314171550341</v>
      </c>
      <c r="T116" s="1084">
        <v>9180.9314171550341</v>
      </c>
    </row>
    <row r="117" spans="8:20">
      <c r="H117" s="1063" t="e" vm="1">
        <f ca="1"/>
        <v>#NAME?</v>
      </c>
      <c r="I117" s="901" t="str">
        <v>aax</v>
      </c>
      <c r="J117" s="882" t="str">
        <v>AAX</v>
      </c>
      <c r="K117" s="882">
        <v>2019</v>
      </c>
      <c r="L117" s="1062">
        <v>0</v>
      </c>
      <c r="M117" s="1062" t="str">
        <v xml:space="preserve">AAX is the world’s first cryptocurrency exchange to be powered by LSEG Technology’s Millennium Exchange, the same matching engine at the heart of tier-one capital markets. AAX is a member of London Stock Exchange Group’s global ‘Partner Platform’. Offering OTC, Spot, and Futures trading, quoting more than 50 cryptocurrency pairs and listing 5 perpetual futures contracts for Bitcoin, Ether, Litecoin, Ripple, and EOS, which can be traded with high leverage, AAX provides a secure, deeply liquid, ultra-low latency and fully compliant trading platform. It offers an institutional-grade platform, for everyone. </v>
      </c>
      <c r="N117" s="882" t="str">
        <v>https://www.aax.com</v>
      </c>
      <c r="O117" s="1045" t="str">
        <v>https://assets.coingecko.com/markets/images/527/small/aax_app_logo.png?1586779427</v>
      </c>
      <c r="P117" s="882" t="b">
        <v>0</v>
      </c>
      <c r="Q117" s="882">
        <v>7</v>
      </c>
      <c r="R117" s="882">
        <v>57</v>
      </c>
      <c r="S117" s="1084">
        <v>9021.3649005771022</v>
      </c>
      <c r="T117" s="1084">
        <v>9021.3649005771022</v>
      </c>
    </row>
    <row r="118" spans="8:20">
      <c r="H118" s="1063" t="e" vm="1">
        <f ca="1"/>
        <v>#NAME?</v>
      </c>
      <c r="I118" s="1059" t="str">
        <v>kkcoin</v>
      </c>
      <c r="J118" s="1060" t="str">
        <v>KKCoin</v>
      </c>
      <c r="K118" s="1060">
        <v>2017</v>
      </c>
      <c r="L118" s="1061" t="str">
        <v>Singapore</v>
      </c>
      <c r="M118" s="1061">
        <v>0</v>
      </c>
      <c r="N118" s="1060" t="str">
        <v>https://www.kkcoin.com</v>
      </c>
      <c r="O118" s="1082" t="str">
        <v>https://assets.coingecko.com/markets/images/175/small/kkcoin.jpg?1527427858</v>
      </c>
      <c r="P118" s="882">
        <v>0</v>
      </c>
      <c r="Q118" s="882">
        <v>2</v>
      </c>
      <c r="R118" s="882">
        <v>234</v>
      </c>
      <c r="S118" s="1084">
        <v>9006.4893309371273</v>
      </c>
      <c r="T118" s="1084">
        <v>44.874738578897883</v>
      </c>
    </row>
    <row r="119" spans="8:20">
      <c r="H119" s="1063" t="e" vm="1">
        <f ca="1"/>
        <v>#NAME?</v>
      </c>
      <c r="I119" s="901" t="str">
        <v>tokok</v>
      </c>
      <c r="J119" s="882" t="str">
        <v>TOKOK</v>
      </c>
      <c r="K119" s="882">
        <v>2018</v>
      </c>
      <c r="L119" s="1062" t="str">
        <v>British Virgin Islands</v>
      </c>
      <c r="M119" s="1062">
        <v>0</v>
      </c>
      <c r="N119" s="882" t="str">
        <v>https://www.tokok.com/</v>
      </c>
      <c r="O119" s="1045" t="str">
        <v>https://assets.coingecko.com/markets/images/284/small/31165503_2133900360172864_167090445610909696_n.jpg?1539357655</v>
      </c>
      <c r="P119" s="882" t="b">
        <v>0</v>
      </c>
      <c r="Q119" s="882">
        <v>2</v>
      </c>
      <c r="R119" s="882">
        <v>230</v>
      </c>
      <c r="S119" s="1084">
        <v>8969.5906309768416</v>
      </c>
      <c r="T119" s="1084">
        <v>789.05483355822378</v>
      </c>
    </row>
    <row r="120" spans="8:20">
      <c r="H120" s="1063" t="e" vm="1">
        <f ca="1"/>
        <v>#NAME?</v>
      </c>
      <c r="I120" s="1059" t="str">
        <v>bitforex</v>
      </c>
      <c r="J120" s="1060" t="str">
        <v>Bitforex</v>
      </c>
      <c r="K120" s="1060">
        <v>2018</v>
      </c>
      <c r="L120" s="1061" t="str">
        <v>Seychelles</v>
      </c>
      <c r="M120" s="1061">
        <v>0</v>
      </c>
      <c r="N120" s="1060" t="str">
        <v>https://www.bitforex.com/</v>
      </c>
      <c r="O120" s="1082" t="str">
        <v>https://assets.coingecko.com/markets/images/214/small/BitForex-Logo.png?1573808227</v>
      </c>
      <c r="P120" s="882" t="b">
        <v>0</v>
      </c>
      <c r="Q120" s="882">
        <v>7</v>
      </c>
      <c r="R120" s="882">
        <v>58</v>
      </c>
      <c r="S120" s="1084">
        <v>8905.5551755250635</v>
      </c>
      <c r="T120" s="1084">
        <v>8905.5551755250635</v>
      </c>
    </row>
    <row r="121" spans="8:20">
      <c r="H121" s="1063" t="e" vm="1">
        <f ca="1"/>
        <v>#NAME?</v>
      </c>
      <c r="I121" s="901" t="str">
        <v>aex</v>
      </c>
      <c r="J121" s="882" t="str">
        <v>AEX</v>
      </c>
      <c r="K121" s="882">
        <v>2013</v>
      </c>
      <c r="L121" s="1062" t="str">
        <v>Seychelles</v>
      </c>
      <c r="M121" s="1062">
        <v>0</v>
      </c>
      <c r="N121" s="882" t="str">
        <v>https://www.aex.com/#/</v>
      </c>
      <c r="O121" s="1045" t="str">
        <v>https://assets.coingecko.com/markets/images/449/small/WeChat_Image_20210722152506.png?1626938723</v>
      </c>
      <c r="P121" s="882" t="b">
        <v>0</v>
      </c>
      <c r="Q121" s="882">
        <v>6</v>
      </c>
      <c r="R121" s="882">
        <v>104</v>
      </c>
      <c r="S121" s="1084">
        <v>8816.6621811409259</v>
      </c>
      <c r="T121" s="1084">
        <v>4222.5453914269419</v>
      </c>
    </row>
    <row r="122" spans="8:20">
      <c r="H122" s="1063" t="e" vm="1">
        <f ca="1"/>
        <v>#NAME?</v>
      </c>
      <c r="I122" s="1059" t="str">
        <v>topbtc</v>
      </c>
      <c r="J122" s="1060" t="str">
        <v>TopBTC</v>
      </c>
      <c r="K122" s="1060">
        <v>2017</v>
      </c>
      <c r="L122" s="1061" t="str">
        <v>Malta</v>
      </c>
      <c r="M122" s="1061">
        <v>0</v>
      </c>
      <c r="N122" s="1060" t="str">
        <v>https://www.topbtc.com/</v>
      </c>
      <c r="O122" s="1082" t="str">
        <v>https://assets.coingecko.com/markets/images/184/small/topbtc.jpg?1529312546</v>
      </c>
      <c r="P122" s="882" t="b">
        <v>0</v>
      </c>
      <c r="Q122" s="882">
        <v>2</v>
      </c>
      <c r="R122" s="882">
        <v>231</v>
      </c>
      <c r="S122" s="1084">
        <v>8809.9067418248869</v>
      </c>
      <c r="T122" s="1084">
        <v>374.69084275111203</v>
      </c>
    </row>
    <row r="123" spans="8:20">
      <c r="H123" s="1063" t="e" vm="1">
        <f ca="1"/>
        <v>#NAME?</v>
      </c>
      <c r="I123" s="901" t="str">
        <v>idcm</v>
      </c>
      <c r="J123" s="882" t="str">
        <v>IDCM</v>
      </c>
      <c r="K123" s="882">
        <v>2017</v>
      </c>
      <c r="L123" s="1062" t="str">
        <v>Hong Kong</v>
      </c>
      <c r="M123" s="1062">
        <v>0</v>
      </c>
      <c r="N123" s="882" t="str">
        <v>https://www.idcm.io/</v>
      </c>
      <c r="O123" s="1045" t="str">
        <v>https://assets.coingecko.com/markets/images/192/small/IDCM.png?1566790486</v>
      </c>
      <c r="P123" s="882" t="b">
        <v>0</v>
      </c>
      <c r="Q123" s="882">
        <v>3</v>
      </c>
      <c r="R123" s="882">
        <v>200</v>
      </c>
      <c r="S123" s="1084">
        <v>8728.3326386031167</v>
      </c>
      <c r="T123" s="1084">
        <v>6715.2533650610467</v>
      </c>
    </row>
    <row r="124" spans="8:20">
      <c r="H124" s="1063" t="e" vm="1">
        <f ca="1"/>
        <v>#NAME?</v>
      </c>
      <c r="I124" s="1059" t="str">
        <v>bidesk</v>
      </c>
      <c r="J124" s="1060" t="str">
        <v>Bidesk</v>
      </c>
      <c r="K124" s="1060">
        <v>2019</v>
      </c>
      <c r="L124" s="1061" t="str">
        <v>British Virgin Islands</v>
      </c>
      <c r="M124" s="1061" t="str">
        <v xml:space="preserve">Bidesk exchange is a digital asset trading platform aiming to provide a secure and safe platform for trading liquidity of in demand and quality tokens with a class user experience. Its advanced fast matching engine, 24/7 customer support and high-grade financial support services are expected to maximize the wealth growth opportunities to its users. </v>
      </c>
      <c r="N124" s="1060" t="str">
        <v>https://www.bidesk.com/</v>
      </c>
      <c r="O124" s="1082" t="str">
        <v>https://assets.coingecko.com/markets/images/545/small/bidesk.png?1593787873</v>
      </c>
      <c r="P124" s="882" t="b">
        <v>0</v>
      </c>
      <c r="Q124" s="882">
        <v>3</v>
      </c>
      <c r="R124" s="882">
        <v>203</v>
      </c>
      <c r="S124" s="1084">
        <v>8598.2731504045514</v>
      </c>
      <c r="T124" s="1084">
        <v>616.25623313653466</v>
      </c>
    </row>
    <row r="125" spans="8:20">
      <c r="H125" s="1063" t="e" vm="1">
        <f ca="1"/>
        <v>#NAME?</v>
      </c>
      <c r="I125" s="901" t="str">
        <v>cbx</v>
      </c>
      <c r="J125" s="882" t="str">
        <v>CBX</v>
      </c>
      <c r="K125" s="882">
        <v>2018</v>
      </c>
      <c r="L125" s="1062" t="str">
        <v>United Arab Emirates</v>
      </c>
      <c r="M125" s="1062">
        <v>0</v>
      </c>
      <c r="N125" s="882" t="str">
        <v>https://www.cbx.one</v>
      </c>
      <c r="O125" s="1045" t="str">
        <v>https://assets.coingecko.com/markets/images/355/small/cbx.jpg?1581414643</v>
      </c>
      <c r="P125" s="882" t="b">
        <v>0</v>
      </c>
      <c r="Q125" s="882">
        <v>4</v>
      </c>
      <c r="R125" s="882">
        <v>184</v>
      </c>
      <c r="S125" s="1084">
        <v>8121.5878877128052</v>
      </c>
      <c r="T125" s="1084">
        <v>57.922796161760125</v>
      </c>
    </row>
    <row r="126" spans="8:20">
      <c r="H126" s="1063" t="e" vm="1">
        <f ca="1"/>
        <v>#NAME?</v>
      </c>
      <c r="I126" s="1059" t="str">
        <v>sushiswap</v>
      </c>
      <c r="J126" s="1060" t="str">
        <v>Sushiswap</v>
      </c>
      <c r="K126" s="1060">
        <v>2020</v>
      </c>
      <c r="L126" s="1061">
        <v>0</v>
      </c>
      <c r="M126" s="1061">
        <v>0</v>
      </c>
      <c r="N126" s="1060" t="str">
        <v>https://app.sushi.com/swap</v>
      </c>
      <c r="O126" s="1082" t="str">
        <v>https://assets.coingecko.com/markets/images/576/small/2048x2048_Logo.png?1609208464</v>
      </c>
      <c r="P126" s="882" t="b">
        <v>0</v>
      </c>
      <c r="Q126" s="882">
        <v>6</v>
      </c>
      <c r="R126" s="882">
        <v>99</v>
      </c>
      <c r="S126" s="1084">
        <v>7694.3871535207036</v>
      </c>
      <c r="T126" s="1084">
        <v>7694.3871535207036</v>
      </c>
    </row>
    <row r="127" spans="8:20">
      <c r="H127" s="1063" t="e" vm="1">
        <f ca="1"/>
        <v>#NAME?</v>
      </c>
      <c r="I127" s="901" t="str">
        <v>zbx</v>
      </c>
      <c r="J127" s="882" t="str">
        <v>ZBX</v>
      </c>
      <c r="K127" s="882">
        <v>0</v>
      </c>
      <c r="L127" s="1062">
        <v>0</v>
      </c>
      <c r="M127" s="1062">
        <v>0</v>
      </c>
      <c r="N127" s="882" t="str">
        <v>https://www.zbx.one/</v>
      </c>
      <c r="O127" s="1045" t="str">
        <v>https://assets.coingecko.com/markets/images/634/small/zbx.png?1615265647</v>
      </c>
      <c r="P127" s="882" t="b">
        <v>0</v>
      </c>
      <c r="Q127" s="882">
        <v>6</v>
      </c>
      <c r="R127" s="882">
        <v>131</v>
      </c>
      <c r="S127" s="1084">
        <v>7522.0116145317352</v>
      </c>
      <c r="T127" s="1084">
        <v>0</v>
      </c>
    </row>
    <row r="128" spans="8:20">
      <c r="H128" s="1063" t="e" vm="1">
        <f ca="1"/>
        <v>#NAME?</v>
      </c>
      <c r="I128" s="1059" t="str">
        <v>bitexen</v>
      </c>
      <c r="J128" s="1060" t="str">
        <v>Bitexen</v>
      </c>
      <c r="K128" s="1060">
        <v>0</v>
      </c>
      <c r="L128" s="1061">
        <v>0</v>
      </c>
      <c r="M128" s="1061">
        <v>0</v>
      </c>
      <c r="N128" s="1060" t="str">
        <v>https://www.bitexen.com/</v>
      </c>
      <c r="O128" s="1082" t="str">
        <v>https://assets.coingecko.com/markets/images/693/small/og_bitexen_logo_square.png?1628480147</v>
      </c>
      <c r="P128" s="882" t="b">
        <v>0</v>
      </c>
      <c r="Q128" s="882">
        <v>6</v>
      </c>
      <c r="R128" s="882">
        <v>100</v>
      </c>
      <c r="S128" s="1084">
        <v>7443.9920835458743</v>
      </c>
      <c r="T128" s="1084">
        <v>7443.9920835458743</v>
      </c>
    </row>
    <row r="129" spans="3:20">
      <c r="C129" s="1086"/>
      <c r="H129" s="1063" t="e" vm="1">
        <f ca="1"/>
        <v>#NAME?</v>
      </c>
      <c r="I129" s="901" t="str">
        <v>btc_alpha</v>
      </c>
      <c r="J129" s="882" t="str">
        <v>BTC-Alpha</v>
      </c>
      <c r="K129" s="882">
        <v>2016</v>
      </c>
      <c r="L129" s="1062">
        <v>0</v>
      </c>
      <c r="M129" s="1062">
        <v>0</v>
      </c>
      <c r="N129" s="882" t="str">
        <v>https://btc-alpha.com/</v>
      </c>
      <c r="O129" s="1045" t="str">
        <v>https://assets.coingecko.com/markets/images/155/small/btc_alpha.jpg?1526356352</v>
      </c>
      <c r="P129" s="882" t="b">
        <v>0</v>
      </c>
      <c r="Q129" s="882">
        <v>6</v>
      </c>
      <c r="R129" s="882">
        <v>101</v>
      </c>
      <c r="S129" s="1084">
        <v>7396.6553409580356</v>
      </c>
      <c r="T129" s="1084">
        <v>7396.6553409580356</v>
      </c>
    </row>
    <row r="130" spans="3:20">
      <c r="C130" s="1045"/>
      <c r="H130" s="1063" t="e" vm="1">
        <f ca="1"/>
        <v>#NAME?</v>
      </c>
      <c r="I130" s="1059" t="str">
        <v>exmarkets</v>
      </c>
      <c r="J130" s="1060" t="str">
        <v>ExMarkets</v>
      </c>
      <c r="K130" s="1060">
        <v>2018</v>
      </c>
      <c r="L130" s="1061" t="str">
        <v>British Virgin Islands</v>
      </c>
      <c r="M130" s="1061">
        <v>0</v>
      </c>
      <c r="N130" s="1060" t="str">
        <v>https://exmarkets.com</v>
      </c>
      <c r="O130" s="1082" t="str">
        <v>https://assets.coingecko.com/markets/images/363/small/42200149_2115011248752220_3911078373144657920_n.jpg?1551247813</v>
      </c>
      <c r="P130" s="882" t="b">
        <v>0</v>
      </c>
      <c r="Q130" s="882">
        <v>6</v>
      </c>
      <c r="R130" s="882">
        <v>102</v>
      </c>
      <c r="S130" s="1084">
        <v>7353.4665578510103</v>
      </c>
      <c r="T130" s="1084">
        <v>7353.4665578510103</v>
      </c>
    </row>
    <row r="131" spans="3:20">
      <c r="C131" s="1045"/>
      <c r="H131" s="1063" t="e" vm="1">
        <f ca="1"/>
        <v>#NAME?</v>
      </c>
      <c r="I131" s="901" t="str">
        <v>hotbit</v>
      </c>
      <c r="J131" s="882" t="str">
        <v>Hotbit</v>
      </c>
      <c r="K131" s="882">
        <v>0</v>
      </c>
      <c r="L131" s="1062" t="str">
        <v>Estonia</v>
      </c>
      <c r="M131" s="1062" t="str">
        <v>Founded in 2018 and holding Estonian MTR licence, American MSB licence, an Australian AUSTRAC licence and a Canadian MSB licence，HotBit cryptocurrency exchange is known as a cryptocurrency trading platofrm that continues to develop and integrate various forms of businesses such as spot trading, financial derivatives, cryptocurrency investment and DAPP into one platform. Currently, Hotbit’s businesses covers more than 210 countries and areas. Based on its globalized and unified strategies, HotBit continues to focus on world's emerging markets such as Russia, Turkey and southeastern Asia markets, and was ranked one of the top 3 most welcomed exchanges by Russian media in 2019.</v>
      </c>
      <c r="N131" s="882" t="str">
        <v>https://www.hotbit.io/</v>
      </c>
      <c r="O131" s="1045" t="str">
        <v>https://assets.coingecko.com/markets/images/201/small/hotbit.jpg?1531043195</v>
      </c>
      <c r="P131" s="882" t="b">
        <v>0</v>
      </c>
      <c r="Q131" s="882">
        <v>0</v>
      </c>
      <c r="R131" s="882">
        <v>252</v>
      </c>
      <c r="S131" s="1084">
        <v>7298.7830230737409</v>
      </c>
      <c r="T131" s="1084">
        <v>7298.7830230737409</v>
      </c>
    </row>
    <row r="132" spans="3:20">
      <c r="C132" s="1045"/>
      <c r="H132" s="1063" t="e" vm="1">
        <f ca="1"/>
        <v>#NAME?</v>
      </c>
      <c r="I132" s="1059" t="str">
        <v>ftx_us</v>
      </c>
      <c r="J132" s="1060" t="str">
        <v>FTX.US</v>
      </c>
      <c r="K132" s="1060">
        <v>2020</v>
      </c>
      <c r="L132" s="1061" t="str">
        <v>United States</v>
      </c>
      <c r="M132" s="1061">
        <v>0</v>
      </c>
      <c r="N132" s="1060" t="str">
        <v>https://ftx.us/</v>
      </c>
      <c r="O132" s="1082" t="str">
        <v>https://assets.coingecko.com/markets/images/532/small/FTX-US.jpg?1609051756</v>
      </c>
      <c r="P132" s="882" t="b">
        <v>0</v>
      </c>
      <c r="Q132" s="882">
        <v>7</v>
      </c>
      <c r="R132" s="882">
        <v>59</v>
      </c>
      <c r="S132" s="1084">
        <v>7235.0909567270746</v>
      </c>
      <c r="T132" s="1084">
        <v>7235.0909567270746</v>
      </c>
    </row>
    <row r="133" spans="3:20">
      <c r="C133" s="1045"/>
      <c r="H133" s="1063" t="e" vm="1">
        <f ca="1"/>
        <v>#NAME?</v>
      </c>
      <c r="I133" s="901" t="str">
        <v>btcturk</v>
      </c>
      <c r="J133" s="882" t="str">
        <v>BtcTurk PRO</v>
      </c>
      <c r="K133" s="882">
        <v>2013</v>
      </c>
      <c r="L133" s="1062" t="str">
        <v>Turkey</v>
      </c>
      <c r="M133" s="1062">
        <v>0</v>
      </c>
      <c r="N133" s="882" t="str">
        <v>https://pro.btcturk.com/</v>
      </c>
      <c r="O133" s="1045" t="str">
        <v>https://assets.coingecko.com/markets/images/223/small/BTCTurk-exchange.jpg?1536726120</v>
      </c>
      <c r="P133" s="882" t="b">
        <v>0</v>
      </c>
      <c r="Q133" s="882">
        <v>9</v>
      </c>
      <c r="R133" s="882">
        <v>15</v>
      </c>
      <c r="S133" s="1084">
        <v>6704.3378467252696</v>
      </c>
      <c r="T133" s="1084">
        <v>6704.3378467252696</v>
      </c>
    </row>
    <row r="134" spans="3:20">
      <c r="C134" s="1045"/>
      <c r="H134" s="1063" t="e" vm="1">
        <f ca="1"/>
        <v>#NAME?</v>
      </c>
      <c r="I134" s="1059" t="str">
        <v>uniswap_v2</v>
      </c>
      <c r="J134" s="1060" t="str">
        <v>Uniswap (v2)</v>
      </c>
      <c r="K134" s="1060">
        <v>2018</v>
      </c>
      <c r="L134" s="1061">
        <v>0</v>
      </c>
      <c r="M134" s="1061">
        <v>0</v>
      </c>
      <c r="N134" s="1060" t="str">
        <v>https://app.uniswap.org/#/swap?use=V2</v>
      </c>
      <c r="O134" s="1082" t="str">
        <v>https://assets.coingecko.com/markets/images/535/small/256x256_Black-1.png?1590893262</v>
      </c>
      <c r="P134" s="882" t="b">
        <v>0</v>
      </c>
      <c r="Q134" s="882">
        <v>6</v>
      </c>
      <c r="R134" s="882">
        <v>103</v>
      </c>
      <c r="S134" s="1084">
        <v>6617.5505028011385</v>
      </c>
      <c r="T134" s="1084">
        <v>6617.5505028011385</v>
      </c>
    </row>
    <row r="135" spans="3:20">
      <c r="C135" s="1045"/>
      <c r="H135" s="1063" t="e" vm="1">
        <f ca="1"/>
        <v>#NAME?</v>
      </c>
      <c r="I135" s="901" t="str">
        <v>abit</v>
      </c>
      <c r="J135" s="882" t="str">
        <v>Abit</v>
      </c>
      <c r="K135" s="882">
        <v>2019</v>
      </c>
      <c r="L135" s="1062" t="str">
        <v>Australia</v>
      </c>
      <c r="M135" s="1062" t="str">
        <v>Founded in Australia, ABIT.com is one of the most promising digital asset exchanges in the world. It has operations centers in many countries and regions in Asia-Pacific area_x000D_
_x000D_
ABIT is regulated and licensed by both Australia and Indonesia. It aims to provide the most secure and legal-compliance cryptocurrency trading and digital derivatives trading services to global investors</v>
      </c>
      <c r="N135" s="882" t="str">
        <v>https://www.abit.com/</v>
      </c>
      <c r="O135" s="1045" t="str">
        <v>https://assets.coingecko.com/markets/images/623/small/ABIT.jpg?1613041627</v>
      </c>
      <c r="P135" s="882" t="b">
        <v>0</v>
      </c>
      <c r="Q135" s="882">
        <v>1</v>
      </c>
      <c r="R135" s="882">
        <v>246</v>
      </c>
      <c r="S135" s="1084">
        <v>6548.2872000800007</v>
      </c>
      <c r="T135" s="1084">
        <v>295.60903429281848</v>
      </c>
    </row>
    <row r="136" spans="3:20">
      <c r="C136" s="1045"/>
      <c r="H136" s="1063" t="e" vm="1">
        <f ca="1"/>
        <v>#NAME?</v>
      </c>
      <c r="I136" s="1059" t="str">
        <v>bithumb_global</v>
      </c>
      <c r="J136" s="1060" t="str">
        <v>Bithumb Global</v>
      </c>
      <c r="K136" s="1060">
        <v>2019</v>
      </c>
      <c r="L136" s="1061" t="str">
        <v>Seychelles</v>
      </c>
      <c r="M136" s="1061">
        <v>0</v>
      </c>
      <c r="N136" s="1060" t="str">
        <v>https://bithumb.pro/</v>
      </c>
      <c r="O136" s="1082" t="str">
        <v>https://assets.coingecko.com/markets/images/405/small/bithumbglobal.jpg?1599652253</v>
      </c>
      <c r="P136" s="882" t="b">
        <v>0</v>
      </c>
      <c r="Q136" s="882">
        <v>9</v>
      </c>
      <c r="R136" s="882">
        <v>16</v>
      </c>
      <c r="S136" s="1084">
        <v>6296.5483645885251</v>
      </c>
      <c r="T136" s="1084">
        <v>6296.5483645885251</v>
      </c>
    </row>
    <row r="137" spans="3:20">
      <c r="C137" s="1045"/>
      <c r="H137" s="1063" t="e" vm="1">
        <f ca="1"/>
        <v>#NAME?</v>
      </c>
      <c r="I137" s="901" t="str">
        <v>bw</v>
      </c>
      <c r="J137" s="882" t="str">
        <v>BW.com</v>
      </c>
      <c r="K137" s="882">
        <v>2017</v>
      </c>
      <c r="L137" s="1062">
        <v>0</v>
      </c>
      <c r="M137" s="1062">
        <v>0</v>
      </c>
      <c r="N137" s="882" t="str">
        <v>https://www.bw.com/</v>
      </c>
      <c r="O137" s="1045" t="str">
        <v>https://assets.coingecko.com/markets/images/326/small/bw.com.jpg?1548664400</v>
      </c>
      <c r="P137" s="882" t="b">
        <v>0</v>
      </c>
      <c r="Q137" s="882">
        <v>5</v>
      </c>
      <c r="R137" s="882">
        <v>134</v>
      </c>
      <c r="S137" s="1084">
        <v>6201.1773004916977</v>
      </c>
      <c r="T137" s="1084">
        <v>6201.1773004916977</v>
      </c>
    </row>
    <row r="138" spans="3:20">
      <c r="C138" s="1045"/>
      <c r="H138" s="1063" t="e" vm="1">
        <f ca="1"/>
        <v>#NAME?</v>
      </c>
      <c r="I138" s="1059" t="str">
        <v>coinone</v>
      </c>
      <c r="J138" s="1060" t="str">
        <v>Coinone</v>
      </c>
      <c r="K138" s="1060">
        <v>2016</v>
      </c>
      <c r="L138" s="1061" t="str">
        <v>South Korea</v>
      </c>
      <c r="M138" s="1061">
        <v>0</v>
      </c>
      <c r="N138" s="1060" t="str">
        <v>https://coinone.co.kr/</v>
      </c>
      <c r="O138" s="1082" t="str">
        <v>https://assets.coingecko.com/markets/images/20/small/coinone_circle_500x500.png?1606460853</v>
      </c>
      <c r="P138" s="882" t="b">
        <v>0</v>
      </c>
      <c r="Q138" s="882">
        <v>7</v>
      </c>
      <c r="R138" s="882">
        <v>60</v>
      </c>
      <c r="S138" s="1084">
        <v>6106.5239369346482</v>
      </c>
      <c r="T138" s="1084">
        <v>6106.5239369346482</v>
      </c>
    </row>
    <row r="139" spans="3:20">
      <c r="C139" s="1045"/>
      <c r="H139" s="1063" t="e" vm="1">
        <f ca="1"/>
        <v>#NAME?</v>
      </c>
      <c r="I139" s="901" t="str">
        <v>yobit</v>
      </c>
      <c r="J139" s="882" t="str">
        <v>YoBit</v>
      </c>
      <c r="K139" s="882">
        <v>0</v>
      </c>
      <c r="L139" s="1062" t="str">
        <v>Russia</v>
      </c>
      <c r="M139" s="1062">
        <v>0</v>
      </c>
      <c r="N139" s="882" t="str">
        <v>https://yobit.net/en/</v>
      </c>
      <c r="O139" s="1045" t="str">
        <v>https://assets.coingecko.com/markets/images/46/small/yobit.png?1519799488</v>
      </c>
      <c r="P139" s="882" t="b">
        <v>0</v>
      </c>
      <c r="Q139" s="882">
        <v>4</v>
      </c>
      <c r="R139" s="882">
        <v>174</v>
      </c>
      <c r="S139" s="1084">
        <v>5368.8109244672441</v>
      </c>
      <c r="T139" s="1084">
        <v>5368.8109244672441</v>
      </c>
    </row>
    <row r="140" spans="3:20">
      <c r="C140" s="1045"/>
      <c r="H140" s="1063" t="e" vm="1">
        <f ca="1"/>
        <v>#NAME?</v>
      </c>
      <c r="I140" s="1059" t="str">
        <v>bitstamp</v>
      </c>
      <c r="J140" s="1060" t="str">
        <v>Bitstamp</v>
      </c>
      <c r="K140" s="1060">
        <v>2013</v>
      </c>
      <c r="L140" s="1061" t="str">
        <v>United Kingdom</v>
      </c>
      <c r="M140" s="1061">
        <v>0</v>
      </c>
      <c r="N140" s="1060" t="str">
        <v>https://www.bitstamp.net/</v>
      </c>
      <c r="O140" s="1082" t="str">
        <v>https://assets.coingecko.com/markets/images/9/small/bitstamp.jpg?1519627979</v>
      </c>
      <c r="P140" s="882" t="b">
        <v>0</v>
      </c>
      <c r="Q140" s="882">
        <v>9</v>
      </c>
      <c r="R140" s="882">
        <v>17</v>
      </c>
      <c r="S140" s="1084">
        <v>5013.6128588636411</v>
      </c>
      <c r="T140" s="1084">
        <v>5013.6128588636411</v>
      </c>
    </row>
    <row r="141" spans="3:20">
      <c r="C141" s="1045"/>
      <c r="H141" s="1063" t="e" vm="1">
        <f ca="1"/>
        <v>#NAME?</v>
      </c>
      <c r="I141" s="901" t="str">
        <v>vcc</v>
      </c>
      <c r="J141" s="882" t="str">
        <v>VCC Exchange</v>
      </c>
      <c r="K141" s="882">
        <v>2019</v>
      </c>
      <c r="L141" s="1062" t="str">
        <v>Vietnam</v>
      </c>
      <c r="M141" s="1062" t="str">
        <v>Launched on May 19, 2019, VCC Exchange is an exchange based in Singapore, operates in Vietnam. It has worked with the government in few initiatives including Dialogue on blockchain-based applications’ legal framework (https://bit.ly/32SJVl2) and Vietnam Blockchain Startup (https://bit.ly/341Iv7Q)._x000D_
_x000D_
VCC supports trading crypto-crypto, VND-crypto in web, iOS and Android applications. VCC Exchange is backed by Signum Capital and Axiom Associates Capital. It currently supports trading fee of 0%.</v>
      </c>
      <c r="N141" s="882" t="str">
        <v>https://vcc.exchange</v>
      </c>
      <c r="O141" s="1045" t="str">
        <v>https://assets.coingecko.com/markets/images/500/small/VCC_Logo_200x200.jpg?1576147069</v>
      </c>
      <c r="P141" s="882" t="b">
        <v>0</v>
      </c>
      <c r="Q141" s="882">
        <v>5</v>
      </c>
      <c r="R141" s="882">
        <v>137</v>
      </c>
      <c r="S141" s="1084">
        <v>4993.8730257586903</v>
      </c>
      <c r="T141" s="1084">
        <v>1635.2390003170881</v>
      </c>
    </row>
    <row r="142" spans="3:20">
      <c r="C142" s="1045"/>
      <c r="H142" s="1043" t="e" vm="1">
        <f ca="1"/>
        <v>#NAME?</v>
      </c>
      <c r="I142" s="1059" t="str">
        <v>btse</v>
      </c>
      <c r="J142" s="1060" t="str">
        <v>BTSE</v>
      </c>
      <c r="K142" s="1060">
        <v>2018</v>
      </c>
      <c r="L142" s="1061" t="str">
        <v>United Arab Emirates</v>
      </c>
      <c r="M142" s="1061" t="str">
        <v>BTSE is your Bitcoin futures exchange to trade with confidence and ease._x000D_
_x000D_
BTSE‘s mission is to make institutional-grade security and stability available to every crypto trader._x000D_
_x000D_
BTSE’s platform is built to facilitate reliable 24/7 trading. It uses an extremely powerful matching engine that eliminates the risk of system overloads, as well as horizontal scaling which enables BTSE to do hot upgrades with zero downtime. BTSE’s insurance fund, strict security protocols, and self-hosted servers allow for the highest level of security for our traders.</v>
      </c>
      <c r="N142" s="1060" t="str">
        <v>https://www.btse.com/</v>
      </c>
      <c r="O142" s="1082" t="str">
        <v>https://assets.coingecko.com/markets/images/464/small/BTSE.jpg?1568012415</v>
      </c>
      <c r="P142" s="882" t="b">
        <v>0</v>
      </c>
      <c r="Q142" s="882">
        <v>9</v>
      </c>
      <c r="R142" s="882">
        <v>18</v>
      </c>
      <c r="S142" s="1084">
        <v>4956.8802372560303</v>
      </c>
      <c r="T142" s="1084">
        <v>4571.3164441148019</v>
      </c>
    </row>
    <row r="143" spans="3:20">
      <c r="C143" s="1045"/>
      <c r="H143" s="1043" t="e" vm="1">
        <f ca="1"/>
        <v>#NAME?</v>
      </c>
      <c r="I143" s="901" t="str">
        <v>fatbtc</v>
      </c>
      <c r="J143" s="882" t="str">
        <v>FatBTC</v>
      </c>
      <c r="K143" s="882">
        <v>2014</v>
      </c>
      <c r="L143" s="1062" t="str">
        <v>Belize</v>
      </c>
      <c r="M143" s="1062">
        <v>0</v>
      </c>
      <c r="N143" s="882" t="str">
        <v>https://fatbtc.com/</v>
      </c>
      <c r="O143" s="1045" t="str">
        <v>https://assets.coingecko.com/markets/images/295/small/363.png?1540287518</v>
      </c>
      <c r="P143" s="882" t="b">
        <v>0</v>
      </c>
      <c r="Q143" s="882">
        <v>5</v>
      </c>
      <c r="R143" s="882">
        <v>136</v>
      </c>
      <c r="S143" s="1084">
        <v>4662.8047123137776</v>
      </c>
      <c r="T143" s="1084">
        <v>4509.0736829424977</v>
      </c>
    </row>
    <row r="144" spans="3:20">
      <c r="C144" s="1045"/>
      <c r="H144" s="1043" t="e" vm="1">
        <f ca="1"/>
        <v>#NAME?</v>
      </c>
      <c r="I144" s="1059" t="str">
        <v>finexbox</v>
      </c>
      <c r="J144" s="1060" t="str">
        <v>FinexBox</v>
      </c>
      <c r="K144" s="1060">
        <v>2018</v>
      </c>
      <c r="L144" s="1061" t="str">
        <v>Hong Kong</v>
      </c>
      <c r="M144" s="1061">
        <v>0</v>
      </c>
      <c r="N144" s="1060" t="str">
        <v>https://www.finexbox.com/</v>
      </c>
      <c r="O144" s="1082" t="str">
        <v>https://assets.coingecko.com/markets/images/318/small/finexbox20190920.jpg?1568959220</v>
      </c>
      <c r="P144" s="882" t="b">
        <v>0</v>
      </c>
      <c r="Q144" s="882">
        <v>7</v>
      </c>
      <c r="R144" s="882">
        <v>62</v>
      </c>
      <c r="S144" s="1084">
        <v>4437.1142164282792</v>
      </c>
      <c r="T144" s="1084">
        <v>4437.1142164282792</v>
      </c>
    </row>
    <row r="145" spans="3:20">
      <c r="C145" s="1045"/>
      <c r="H145" s="1043" t="e" vm="1">
        <f ca="1"/>
        <v>#NAME?</v>
      </c>
      <c r="I145" s="901" t="str">
        <v>probit</v>
      </c>
      <c r="J145" s="882" t="str">
        <v>ProBit Global</v>
      </c>
      <c r="K145" s="882">
        <v>2017</v>
      </c>
      <c r="L145" s="1062" t="str">
        <v>Seychelles</v>
      </c>
      <c r="M145" s="1062">
        <v>0</v>
      </c>
      <c r="N145" s="882" t="str">
        <v>https://www.probit.com/</v>
      </c>
      <c r="O145" s="1045" t="str">
        <v>https://assets.coingecko.com/markets/images/370/small/probit.png?1594886584</v>
      </c>
      <c r="P145" s="882" t="b">
        <v>0</v>
      </c>
      <c r="Q145" s="882">
        <v>7</v>
      </c>
      <c r="R145" s="882">
        <v>63</v>
      </c>
      <c r="S145" s="1084">
        <v>4307.0701196199725</v>
      </c>
      <c r="T145" s="1084">
        <v>4307.0701196199725</v>
      </c>
    </row>
    <row r="146" spans="3:20">
      <c r="C146" s="1045"/>
      <c r="H146" s="1043" t="e" vm="1">
        <f ca="1"/>
        <v>#NAME?</v>
      </c>
      <c r="I146" s="1059" t="str">
        <v>paribu</v>
      </c>
      <c r="J146" s="1060" t="str">
        <v>Paribu</v>
      </c>
      <c r="K146" s="1060">
        <v>0</v>
      </c>
      <c r="L146" s="1061" t="str">
        <v>Turkey</v>
      </c>
      <c r="M146" s="1061">
        <v>0</v>
      </c>
      <c r="N146" s="1060" t="str">
        <v>https://www.paribu.com/</v>
      </c>
      <c r="O146" s="1082" t="str">
        <v>https://assets.coingecko.com/markets/images/136/small/paribu.jpg?1527734779</v>
      </c>
      <c r="P146" s="882">
        <v>0</v>
      </c>
      <c r="Q146" s="882">
        <v>7</v>
      </c>
      <c r="R146" s="882">
        <v>64</v>
      </c>
      <c r="S146" s="1084">
        <v>4217.1523481963686</v>
      </c>
      <c r="T146" s="1084">
        <v>4217.1523481963686</v>
      </c>
    </row>
    <row r="147" spans="3:20">
      <c r="C147" s="1045"/>
      <c r="H147" s="1043" t="e" vm="1">
        <f ca="1"/>
        <v>#NAME?</v>
      </c>
      <c r="I147" s="901" t="str">
        <v>traderjoe</v>
      </c>
      <c r="J147" s="882" t="str">
        <v>Trader Joe</v>
      </c>
      <c r="K147" s="882">
        <v>0</v>
      </c>
      <c r="L147" s="1062">
        <v>0</v>
      </c>
      <c r="M147" s="1062">
        <v>0</v>
      </c>
      <c r="N147" s="882" t="str">
        <v>https://www.traderjoexyz.com/#/home</v>
      </c>
      <c r="O147" s="1045" t="str">
        <v>https://assets.coingecko.com/markets/images/692/small/traderjoe.png?1628152581</v>
      </c>
      <c r="P147" s="882" t="b">
        <v>0</v>
      </c>
      <c r="Q147" s="882">
        <v>6</v>
      </c>
      <c r="R147" s="882">
        <v>105</v>
      </c>
      <c r="S147" s="1084">
        <v>4134.6044420701301</v>
      </c>
      <c r="T147" s="1084">
        <v>4134.6044420701301</v>
      </c>
    </row>
    <row r="148" spans="3:20">
      <c r="C148" s="1045"/>
      <c r="H148" s="1043" t="e" vm="1">
        <f ca="1"/>
        <v>#NAME?</v>
      </c>
      <c r="I148" s="1059" t="str">
        <v>goku</v>
      </c>
      <c r="J148" s="1060" t="str">
        <v>GokuMarket</v>
      </c>
      <c r="K148" s="1060">
        <v>2019</v>
      </c>
      <c r="L148" s="1061" t="str">
        <v>Hong Kong</v>
      </c>
      <c r="M148" s="1061" t="str">
        <v>Launched on 20/11/2019, GokuMarket is a centralized exchange and crypto utility provider. It supports crypto trading/crypto purchase with card/cash-out with debit card/staking/autobots/e-commerce/freelancers/travel bookings/IEOs, all accessible on web &amp; mobile Android/iOS App.</v>
      </c>
      <c r="N148" s="1060" t="str">
        <v>https://gokumarket.com</v>
      </c>
      <c r="O148" s="1082" t="str">
        <v>https://assets.coingecko.com/markets/images/590/small/GokuMarket-Logo-200-200-1.png?1601890565</v>
      </c>
      <c r="P148" s="882" t="b">
        <v>0</v>
      </c>
      <c r="Q148" s="882">
        <v>8</v>
      </c>
      <c r="R148" s="882">
        <v>38</v>
      </c>
      <c r="S148" s="1084">
        <v>4019.429525400034</v>
      </c>
      <c r="T148" s="1084">
        <v>4019.429525400034</v>
      </c>
    </row>
    <row r="149" spans="3:20">
      <c r="C149" s="1045"/>
      <c r="H149" s="1043" t="e" vm="1">
        <f ca="1"/>
        <v>#NAME?</v>
      </c>
      <c r="I149" s="901" t="str">
        <v>nami_exchange</v>
      </c>
      <c r="J149" s="882" t="str">
        <v>Nami.Exchange</v>
      </c>
      <c r="K149" s="882">
        <v>2017</v>
      </c>
      <c r="L149" s="1062" t="str">
        <v>Singapore</v>
      </c>
      <c r="M149" s="1062">
        <v>0</v>
      </c>
      <c r="N149" s="882" t="str">
        <v>https://nami.exchange/en</v>
      </c>
      <c r="O149" s="1045" t="str">
        <v>https://assets.coingecko.com/markets/images/550/small/namiexchange_logo_200x200.png?1594954056</v>
      </c>
      <c r="P149" s="882" t="b">
        <v>0</v>
      </c>
      <c r="Q149" s="882">
        <v>3</v>
      </c>
      <c r="R149" s="882">
        <v>212</v>
      </c>
      <c r="S149" s="1084">
        <v>3972.811787615447</v>
      </c>
      <c r="T149" s="1084">
        <v>57.922796161760125</v>
      </c>
    </row>
    <row r="150" spans="3:20">
      <c r="C150" s="1045"/>
      <c r="H150" s="1043" t="e" vm="1">
        <f ca="1"/>
        <v>#NAME?</v>
      </c>
      <c r="I150" s="1059" t="str">
        <v>bitbox</v>
      </c>
      <c r="J150" s="1060" t="str">
        <v>BITFRONT</v>
      </c>
      <c r="K150" s="1060">
        <v>2018</v>
      </c>
      <c r="L150" s="1061" t="str">
        <v>United States</v>
      </c>
      <c r="M150" s="1061" t="str">
        <v>BITFRONT is LINE's global cryptocurrency exchange. Trade major tokens like Bitcoin and Ethereum in USD fiat markets. BITFRONT also lists LINK, the base coin of LINE's blockchain mainnet "LINK Chain".</v>
      </c>
      <c r="N150" s="1060" t="str">
        <v>https://www.bitfront.me/</v>
      </c>
      <c r="O150" s="1082" t="str">
        <v>https://assets.coingecko.com/markets/images/245/small/bitfront.jpg?1582857683</v>
      </c>
      <c r="P150" s="882" t="b">
        <v>0</v>
      </c>
      <c r="Q150" s="882">
        <v>2</v>
      </c>
      <c r="R150" s="882">
        <v>236</v>
      </c>
      <c r="S150" s="1084">
        <v>3823.1622444008722</v>
      </c>
      <c r="T150" s="1084">
        <v>11.461131660622247</v>
      </c>
    </row>
    <row r="151" spans="3:20">
      <c r="C151" s="1045"/>
      <c r="H151" s="1043" t="e" vm="1">
        <f ca="1"/>
        <v>#NAME?</v>
      </c>
      <c r="I151" s="901" t="str">
        <v>dextrade</v>
      </c>
      <c r="J151" s="882" t="str">
        <v>Dex-Trade</v>
      </c>
      <c r="K151" s="882">
        <v>2019</v>
      </c>
      <c r="L151" s="1062" t="str">
        <v>United Kingdom</v>
      </c>
      <c r="M151" s="1062" t="str">
        <v>Dex-Trade is young but the most technical equiped crypto exchange, it offers traders easy-to-use interface and transactions safity. Since 2018, Dex-Trade team has the most fully range of security measures and security risk control measures in the industry. Dex-Trade welcomes global users and continues to expands digital currency in various countries to provide users with global trading opportunities. High-quality currencies are listed on Dex-Trade to offer traders comprehensive range of digital assets. By your side 24 hours a day, our support team will assist you with any issue or question you may have.</v>
      </c>
      <c r="N151" s="882" t="str">
        <v>https://dex-trade.com/</v>
      </c>
      <c r="O151" s="1045" t="str">
        <v>https://assets.coingecko.com/markets/images/380/small/Dex-Trade_logo_new.png?1599629803</v>
      </c>
      <c r="P151" s="882" t="b">
        <v>0</v>
      </c>
      <c r="Q151" s="882">
        <v>9</v>
      </c>
      <c r="R151" s="882">
        <v>19</v>
      </c>
      <c r="S151" s="1084">
        <v>3659.7655108456456</v>
      </c>
      <c r="T151" s="1084">
        <v>3659.7655108456456</v>
      </c>
    </row>
    <row r="152" spans="3:20">
      <c r="C152" s="1045"/>
      <c r="H152" s="1043" t="e" vm="1">
        <f ca="1"/>
        <v>#NAME?</v>
      </c>
      <c r="I152" s="1059" t="str">
        <v>oceanex</v>
      </c>
      <c r="J152" s="1060" t="str">
        <v>Oceanex</v>
      </c>
      <c r="K152" s="1060">
        <v>2018</v>
      </c>
      <c r="L152" s="1061" t="str">
        <v>Cayman Islands</v>
      </c>
      <c r="M152" s="1061">
        <v>0</v>
      </c>
      <c r="N152" s="1060" t="str">
        <v>https://oceanex.pro</v>
      </c>
      <c r="O152" s="1082" t="str">
        <v>https://assets.coingecko.com/markets/images/341/small/Oceanex.png?1548153658</v>
      </c>
      <c r="P152" s="882" t="b">
        <v>0</v>
      </c>
      <c r="Q152" s="882">
        <v>7</v>
      </c>
      <c r="R152" s="882">
        <v>65</v>
      </c>
      <c r="S152" s="1084">
        <v>3641.8223152203018</v>
      </c>
      <c r="T152" s="1084">
        <v>3641.8223152203018</v>
      </c>
    </row>
    <row r="153" spans="3:20">
      <c r="C153" s="1045"/>
      <c r="H153" s="1043" t="e" vm="1">
        <f ca="1"/>
        <v>#NAME?</v>
      </c>
      <c r="I153" s="901" t="str">
        <v>tokpie</v>
      </c>
      <c r="J153" s="882" t="str">
        <v>Tokpie</v>
      </c>
      <c r="K153" s="882">
        <v>2018</v>
      </c>
      <c r="L153" s="1062" t="str">
        <v>Hong Kong</v>
      </c>
      <c r="M153" s="1062">
        <v>0</v>
      </c>
      <c r="N153" s="882" t="str">
        <v>https://tokpie.io/</v>
      </c>
      <c r="O153" s="1045" t="str">
        <v>https://assets.coingecko.com/markets/images/436/small/logo_circle_100x100.png?1562226767</v>
      </c>
      <c r="P153" s="882" t="b">
        <v>0</v>
      </c>
      <c r="Q153" s="882">
        <v>7</v>
      </c>
      <c r="R153" s="882">
        <v>66</v>
      </c>
      <c r="S153" s="1084">
        <v>3473.3790306149567</v>
      </c>
      <c r="T153" s="1084">
        <v>3473.3790306149567</v>
      </c>
    </row>
    <row r="154" spans="3:20">
      <c r="C154" s="1045"/>
      <c r="H154" s="1043" t="e" vm="1">
        <f ca="1"/>
        <v>#NAME?</v>
      </c>
      <c r="I154" s="1059" t="str">
        <v>gemini</v>
      </c>
      <c r="J154" s="1060" t="str">
        <v>Gemini</v>
      </c>
      <c r="K154" s="1060">
        <v>2014</v>
      </c>
      <c r="L154" s="1061" t="str">
        <v>United States</v>
      </c>
      <c r="M154" s="1061">
        <v>0</v>
      </c>
      <c r="N154" s="1060" t="str">
        <v>https://gemini.sjv.io/bZ49k</v>
      </c>
      <c r="O154" s="1082" t="str">
        <v>https://assets.coingecko.com/markets/images/50/small/gemini.png?1605704107</v>
      </c>
      <c r="P154" s="882" t="b">
        <v>0</v>
      </c>
      <c r="Q154" s="882">
        <v>10</v>
      </c>
      <c r="R154" s="882">
        <v>11</v>
      </c>
      <c r="S154" s="1084">
        <v>3216.5187303089201</v>
      </c>
      <c r="T154" s="1084">
        <v>3216.5187303089201</v>
      </c>
    </row>
    <row r="155" spans="3:20">
      <c r="C155" s="1045"/>
      <c r="H155" s="1043" t="e" vm="1">
        <f ca="1"/>
        <v>#NAME?</v>
      </c>
      <c r="I155" s="901" t="str">
        <v>coinmargin</v>
      </c>
      <c r="J155" s="882" t="str">
        <v>CoinMargin</v>
      </c>
      <c r="K155" s="882">
        <v>2020</v>
      </c>
      <c r="L155" s="1062" t="str">
        <v>Malaysia</v>
      </c>
      <c r="M155" s="1062" t="str">
        <v xml:space="preserve">CoinMargin is on a mission to become the leading South-East Asian platform for crypto finance adoption, by specialising in the needs of our local communities. </v>
      </c>
      <c r="N155" s="882" t="str">
        <v>https://www.coinmargin.com</v>
      </c>
      <c r="O155" s="1045" t="str">
        <v>https://assets.coingecko.com/markets/images/574/small/CoinMargin.png?1601532697</v>
      </c>
      <c r="P155" s="882" t="b">
        <v>0</v>
      </c>
      <c r="Q155" s="882">
        <v>2</v>
      </c>
      <c r="R155" s="882">
        <v>232</v>
      </c>
      <c r="S155" s="1084">
        <v>3165.6332440611432</v>
      </c>
      <c r="T155" s="1084">
        <v>85.958487454666852</v>
      </c>
    </row>
    <row r="156" spans="3:20">
      <c r="C156" s="1045"/>
      <c r="H156" s="1043" t="e" vm="1">
        <f ca="1"/>
        <v>#NAME?</v>
      </c>
      <c r="I156" s="1059" t="str">
        <v>bitmax</v>
      </c>
      <c r="J156" s="1060" t="str">
        <v>AscendEX (BitMax)</v>
      </c>
      <c r="K156" s="1060">
        <v>2018</v>
      </c>
      <c r="L156" s="1061" t="str">
        <v>Singapore</v>
      </c>
      <c r="M156" s="1061" t="str">
        <v>AscendEX (formerly BitMax) is a leading global digital asset financial platform founded by a group of Wall Street quantitative trading veterans in 2018, building on core value of “Efficiency, Resilience and Transparency.” _x000D_
 _x000D_
Driven by its continuous innovative product development and early-mover advantage in strategic alignment with the leading projects from DeFi ecosystem, AscendEX offers trading services across over 200 trading pairs across cash, margin, and futures products, in particular margin trading of over 50 tokens in cross-asset collateral mode and futures trading in both cross-asset and isolated margin modes.</v>
      </c>
      <c r="N156" s="1060" t="str">
        <v>https://ascendex.com/en/global-digital-asset-platform</v>
      </c>
      <c r="O156" s="1082" t="str">
        <v>https://assets.coingecko.com/markets/images/277/small/AscendEX.png?1616471675</v>
      </c>
      <c r="P156" s="882" t="b">
        <v>0</v>
      </c>
      <c r="Q156" s="882">
        <v>9</v>
      </c>
      <c r="R156" s="882">
        <v>20</v>
      </c>
      <c r="S156" s="1084">
        <v>3072.4297193448169</v>
      </c>
      <c r="T156" s="1084">
        <v>3072.4297193448169</v>
      </c>
    </row>
    <row r="157" spans="3:20">
      <c r="C157" s="1045"/>
      <c r="H157" s="1043" t="e" vm="1">
        <f ca="1"/>
        <v>#NAME?</v>
      </c>
      <c r="I157" s="901" t="str">
        <v>bitflyer</v>
      </c>
      <c r="J157" s="882" t="str">
        <v>bitFlyer</v>
      </c>
      <c r="K157" s="882">
        <v>2014</v>
      </c>
      <c r="L157" s="1062" t="str">
        <v>Japan</v>
      </c>
      <c r="M157" s="1062">
        <v>0</v>
      </c>
      <c r="N157" s="882" t="str">
        <v>https://bitflyereuropesa.pxf.io/c/2223866/858437/11990</v>
      </c>
      <c r="O157" s="1045" t="str">
        <v>https://assets.coingecko.com/markets/images/5/small/bitflyer.jpg?1519611556</v>
      </c>
      <c r="P157" s="882" t="b">
        <v>0</v>
      </c>
      <c r="Q157" s="882">
        <v>8</v>
      </c>
      <c r="R157" s="882">
        <v>39</v>
      </c>
      <c r="S157" s="1084">
        <v>2889.2057668843854</v>
      </c>
      <c r="T157" s="1084">
        <v>2889.2057668843854</v>
      </c>
    </row>
    <row r="158" spans="3:20">
      <c r="C158" s="1045"/>
      <c r="H158" s="1043" t="e" vm="1">
        <f ca="1"/>
        <v>#NAME?</v>
      </c>
      <c r="I158" s="1059" t="str">
        <v>kumex</v>
      </c>
      <c r="J158" s="1060" t="str">
        <v>KuCoin Futures</v>
      </c>
      <c r="K158" s="1060">
        <v>2019</v>
      </c>
      <c r="L158" s="1061">
        <v>0</v>
      </c>
      <c r="M158" s="1061">
        <v>0</v>
      </c>
      <c r="N158" s="1060" t="str">
        <v>https://futures.kucoin.com/trade</v>
      </c>
      <c r="O158" s="1082" t="str">
        <v>https://assets.coingecko.com/markets/images/471/small/kucoin_futures.jpg?1591611212</v>
      </c>
      <c r="P158" s="882" t="b">
        <v>0</v>
      </c>
      <c r="Q158" s="882">
        <v>0</v>
      </c>
      <c r="R158" s="882">
        <v>0</v>
      </c>
      <c r="S158" s="1084">
        <v>2594.9215815278458</v>
      </c>
      <c r="T158" s="1084">
        <v>0</v>
      </c>
    </row>
    <row r="159" spans="3:20">
      <c r="C159" s="1045"/>
      <c r="H159" s="1043" t="e" vm="1">
        <f ca="1"/>
        <v>#NAME?</v>
      </c>
      <c r="I159" s="901" t="str">
        <v>resfinex</v>
      </c>
      <c r="J159" s="882" t="str">
        <v>Resfinex</v>
      </c>
      <c r="K159" s="882">
        <v>2019</v>
      </c>
      <c r="L159" s="1062" t="str">
        <v>British Virgin Islands</v>
      </c>
      <c r="M159" s="1062" t="str">
        <v>Resfinex is a digital asset trading platform for Ethereum tokens, Bitcoin and innovative blockchain. We focus on providing the highest level of security, transparency and customer service.</v>
      </c>
      <c r="N159" s="882" t="str">
        <v>https://resfinex.com/</v>
      </c>
      <c r="O159" s="1045" t="str">
        <v>https://assets.coingecko.com/markets/images/497/small/Resfinex_New_Logo.png?1588935208</v>
      </c>
      <c r="P159" s="882" t="b">
        <v>0</v>
      </c>
      <c r="Q159" s="882">
        <v>3</v>
      </c>
      <c r="R159" s="882">
        <v>208</v>
      </c>
      <c r="S159" s="1084">
        <v>2561.2916890431638</v>
      </c>
      <c r="T159" s="1084">
        <v>170.15372388462256</v>
      </c>
    </row>
    <row r="160" spans="3:20">
      <c r="C160" s="1045"/>
      <c r="H160" s="1043" t="e" vm="1">
        <f ca="1"/>
        <v>#NAME?</v>
      </c>
      <c r="I160" s="1059" t="str">
        <v>poloniex</v>
      </c>
      <c r="J160" s="1060" t="str">
        <v>Poloniex</v>
      </c>
      <c r="K160" s="1060">
        <v>2014</v>
      </c>
      <c r="L160" s="1061" t="str">
        <v>Seychelles</v>
      </c>
      <c r="M160" s="1061">
        <v>0</v>
      </c>
      <c r="N160" s="1060" t="str">
        <v>https://poloniex.com/</v>
      </c>
      <c r="O160" s="1082" t="str">
        <v>https://assets.coingecko.com/markets/images/37/small/poloniex-400.png?1632479317</v>
      </c>
      <c r="P160" s="882" t="b">
        <v>0</v>
      </c>
      <c r="Q160" s="882">
        <v>8</v>
      </c>
      <c r="R160" s="882">
        <v>40</v>
      </c>
      <c r="S160" s="1084">
        <v>2322.7398344823291</v>
      </c>
      <c r="T160" s="1084">
        <v>2322.7398344823291</v>
      </c>
    </row>
    <row r="161" spans="3:20">
      <c r="C161" s="1045"/>
      <c r="H161" s="1043" t="e" vm="1">
        <f ca="1"/>
        <v>#NAME?</v>
      </c>
      <c r="I161" s="901" t="str">
        <v>wazirx</v>
      </c>
      <c r="J161" s="882" t="str">
        <v>WazirX</v>
      </c>
      <c r="K161" s="882">
        <v>2018</v>
      </c>
      <c r="L161" s="1062" t="str">
        <v>India</v>
      </c>
      <c r="M161" s="1062">
        <v>0</v>
      </c>
      <c r="N161" s="882" t="str">
        <v>https://wazirx.com/</v>
      </c>
      <c r="O161" s="1045" t="str">
        <v>https://assets.coingecko.com/markets/images/274/small/wazirx.jpg?1540450020</v>
      </c>
      <c r="P161" s="882" t="b">
        <v>0</v>
      </c>
      <c r="Q161" s="882">
        <v>7</v>
      </c>
      <c r="R161" s="882">
        <v>67</v>
      </c>
      <c r="S161" s="1084">
        <v>2282.3861262076034</v>
      </c>
      <c r="T161" s="1084">
        <v>2282.3861262076034</v>
      </c>
    </row>
    <row r="162" spans="3:20">
      <c r="C162" s="1045"/>
      <c r="H162" s="1043" t="e" vm="1">
        <f ca="1"/>
        <v>#NAME?</v>
      </c>
      <c r="I162" s="1059" t="str">
        <v>bittrex</v>
      </c>
      <c r="J162" s="1060" t="str">
        <v>Bittrex</v>
      </c>
      <c r="K162" s="1060">
        <v>2014</v>
      </c>
      <c r="L162" s="1061" t="str">
        <v>United States</v>
      </c>
      <c r="M162" s="1061">
        <v>0</v>
      </c>
      <c r="N162" s="1060" t="str">
        <v>https://bittrex.com/</v>
      </c>
      <c r="O162" s="1082" t="str">
        <v>https://assets.coingecko.com/markets/images/10/small/BG-color-250x250_icon.png?1596167574</v>
      </c>
      <c r="P162" s="882" t="b">
        <v>0</v>
      </c>
      <c r="Q162" s="882">
        <v>10</v>
      </c>
      <c r="R162" s="882">
        <v>12</v>
      </c>
      <c r="S162" s="1084">
        <v>2118.3843098358061</v>
      </c>
      <c r="T162" s="1084">
        <v>2118.3843098358061</v>
      </c>
    </row>
    <row r="163" spans="3:20">
      <c r="C163" s="1045"/>
      <c r="H163" s="1043" t="e" vm="1">
        <f ca="1"/>
        <v>#NAME?</v>
      </c>
      <c r="I163" s="901" t="str">
        <v>chiliz</v>
      </c>
      <c r="J163" s="882" t="str">
        <v>Chiliz</v>
      </c>
      <c r="K163" s="882">
        <v>2020</v>
      </c>
      <c r="L163" s="1062" t="str">
        <v>Seychelles</v>
      </c>
      <c r="M163" s="1062" t="str">
        <v>Chiliz.net is the official exchange for sports teams tokens like FC Barcelona, Juventus, Paris Saint-Germain and many more.</v>
      </c>
      <c r="N163" s="882" t="str">
        <v>https://www.chiliz.net</v>
      </c>
      <c r="O163" s="1045" t="str">
        <v>https://assets.coingecko.com/markets/images/518/small/chiliz.png?1586955781</v>
      </c>
      <c r="P163" s="882" t="b">
        <v>0</v>
      </c>
      <c r="Q163" s="882">
        <v>5</v>
      </c>
      <c r="R163" s="882">
        <v>172</v>
      </c>
      <c r="S163" s="1084">
        <v>2081.3111666907739</v>
      </c>
      <c r="T163" s="1084">
        <v>0</v>
      </c>
    </row>
    <row r="164" spans="3:20">
      <c r="C164" s="1045"/>
      <c r="H164" s="1043" t="e" vm="1">
        <f ca="1"/>
        <v>#NAME?</v>
      </c>
      <c r="I164" s="1059" t="str">
        <v>currency</v>
      </c>
      <c r="J164" s="1060" t="str">
        <v>Currency.com</v>
      </c>
      <c r="K164" s="1060">
        <v>2019</v>
      </c>
      <c r="L164" s="1061" t="str">
        <v>Gibraltar</v>
      </c>
      <c r="M164" s="1061" t="str">
        <v>Currency.com is the world’s first regulated tokenised securities exchange enabling anyone with crypto and fiat to trade financial assets from the world’s biggest companies with up to 500x leverage. _x000D_
 _x000D_
Currency.com enables crypto holders to make the most of your investment by offering access to more than 1300 tokenised securities of the most traded global financial assets – all without putting your crypto holdings under price pressure or converting to fiat" to the following one "Currency.com enables crypto holders to make the most of your investment by offering access to more than 2000+ tokenised securities of the most traded global financial assets – all without putting your crypto holdings under price pressure or converting to fiat_x000D_
 _x000D_
With Currency.com you can:_x000D_
- Do more with less with up to 500x leverage (or buy and sell assets of your choice);_x000D_
- Manage your risk with sell at loss, guaranteed sell at loss, take profit orders;_x000D_
- Elevate your trading strategy with access to over 75 technical indicators;_x000D_
- Fund your account and withdraw via card, bank transfer or crypto wallet;_x000D_
- Step ahead of the pack with instant price alerts;_x000D_
- Never lose more than you put in with negative balance protection;_x000D_
- Trade confidently with a regulated platform and dedicated human support;_x000D_
- See where you stand with personalised trading reports._x000D_
 _x000D_
Currency.com offers you a new generation financial app for both crypto and fiat. The free mobile platform is designed to buy and sell cryptos with fiat money, store holdings in a secure place and make cross-crypto exchanges. Competitive quotes are coupled with trusted regulatory standards to give users the best possible financial experience._x000D_
 _x000D_
Currency.com – an exchange where crypto meets Wall St.</v>
      </c>
      <c r="N164" s="1060" t="str">
        <v>https://currency.com/</v>
      </c>
      <c r="O164" s="1082" t="str">
        <v>https://assets.coingecko.com/markets/images/512/small/Currency.com_200x200.png?1582086630</v>
      </c>
      <c r="P164" s="882" t="b">
        <v>0</v>
      </c>
      <c r="Q164" s="882">
        <v>7</v>
      </c>
      <c r="R164" s="882">
        <v>68</v>
      </c>
      <c r="S164" s="1084">
        <v>2077.9604840689954</v>
      </c>
      <c r="T164" s="1084">
        <v>2077.9604840689954</v>
      </c>
    </row>
    <row r="165" spans="3:20">
      <c r="C165" s="1045"/>
      <c r="H165" s="1043" t="e" vm="1">
        <f ca="1"/>
        <v>#NAME?</v>
      </c>
      <c r="I165" s="901" t="str">
        <v>exmo</v>
      </c>
      <c r="J165" s="882" t="str">
        <v>EXMO</v>
      </c>
      <c r="K165" s="882">
        <v>2013</v>
      </c>
      <c r="L165" s="1062" t="str">
        <v>United Kingdom</v>
      </c>
      <c r="M165" s="1062">
        <v>0</v>
      </c>
      <c r="N165" s="882" t="str">
        <v>https://exmo.com/</v>
      </c>
      <c r="O165" s="1045" t="str">
        <v>https://assets.coingecko.com/markets/images/59/small/exmo.png?1584091923</v>
      </c>
      <c r="P165" s="882" t="b">
        <v>0</v>
      </c>
      <c r="Q165" s="882">
        <v>6</v>
      </c>
      <c r="R165" s="882">
        <v>106</v>
      </c>
      <c r="S165" s="1084">
        <v>2027.5810684514656</v>
      </c>
      <c r="T165" s="1084">
        <v>2027.5810684514656</v>
      </c>
    </row>
    <row r="166" spans="3:20">
      <c r="C166" s="1045"/>
      <c r="H166" s="1043" t="e" vm="1">
        <f ca="1"/>
        <v>#NAME?</v>
      </c>
      <c r="I166" s="1059" t="str">
        <v>coincheck</v>
      </c>
      <c r="J166" s="1060" t="str">
        <v>Coincheck</v>
      </c>
      <c r="K166" s="1060">
        <v>2014</v>
      </c>
      <c r="L166" s="1061" t="str">
        <v>Japan</v>
      </c>
      <c r="M166" s="1061">
        <v>0</v>
      </c>
      <c r="N166" s="1060" t="str">
        <v>https://coincheck.com/</v>
      </c>
      <c r="O166" s="1082" t="str">
        <v>https://assets.coingecko.com/markets/images/18/small/Coincheck.jpg?1519703836</v>
      </c>
      <c r="P166" s="882">
        <v>0</v>
      </c>
      <c r="Q166" s="882">
        <v>7</v>
      </c>
      <c r="R166" s="882">
        <v>69</v>
      </c>
      <c r="S166" s="1084">
        <v>2010.3919440887837</v>
      </c>
      <c r="T166" s="1084">
        <v>2010.3919440887837</v>
      </c>
    </row>
    <row r="167" spans="3:20">
      <c r="C167" s="1045"/>
      <c r="H167" s="1043" t="e" vm="1">
        <f ca="1"/>
        <v>#NAME?</v>
      </c>
      <c r="I167" s="901" t="str">
        <v>cex</v>
      </c>
      <c r="J167" s="882" t="str">
        <v>CEX.IO</v>
      </c>
      <c r="K167" s="882">
        <v>2013</v>
      </c>
      <c r="L167" s="1062" t="str">
        <v>United Kingdom</v>
      </c>
      <c r="M167" s="1062">
        <v>0</v>
      </c>
      <c r="N167" s="882" t="str">
        <v>https://cex.io/</v>
      </c>
      <c r="O167" s="1045" t="str">
        <v>https://assets.coingecko.com/markets/images/56/small/main-icon.png?1617267530</v>
      </c>
      <c r="P167" s="882" t="b">
        <v>0</v>
      </c>
      <c r="Q167" s="882">
        <v>9</v>
      </c>
      <c r="R167" s="882">
        <v>21</v>
      </c>
      <c r="S167" s="1084">
        <v>1995.6326126946763</v>
      </c>
      <c r="T167" s="1084">
        <v>1995.6326126946763</v>
      </c>
    </row>
    <row r="168" spans="3:20">
      <c r="C168" s="1045"/>
      <c r="H168" s="1043" t="e" vm="1">
        <f ca="1"/>
        <v>#NAME?</v>
      </c>
      <c r="I168" s="1059" t="str">
        <v>bithash</v>
      </c>
      <c r="J168" s="1060" t="str">
        <v>BitHash</v>
      </c>
      <c r="K168" s="1060">
        <v>2016</v>
      </c>
      <c r="L168" s="1061" t="str">
        <v>Seychelles</v>
      </c>
      <c r="M168" s="1061">
        <v>0</v>
      </c>
      <c r="N168" s="1060" t="str">
        <v>https://www.bithash.net/</v>
      </c>
      <c r="O168" s="1082" t="str">
        <v>https://assets.coingecko.com/markets/images/171/small/bithash.png?1562037390</v>
      </c>
      <c r="P168" s="882" t="b">
        <v>0</v>
      </c>
      <c r="Q168" s="882">
        <v>4</v>
      </c>
      <c r="R168" s="882">
        <v>198</v>
      </c>
      <c r="S168" s="1084">
        <v>1780.4025755580633</v>
      </c>
      <c r="T168" s="1084">
        <v>0</v>
      </c>
    </row>
    <row r="169" spans="3:20">
      <c r="C169" s="1045"/>
      <c r="H169" s="1043" t="e" vm="1">
        <f ca="1"/>
        <v>#NAME?</v>
      </c>
      <c r="I169" s="901" t="str">
        <v>coinzo</v>
      </c>
      <c r="J169" s="882" t="str">
        <v>Coinzo</v>
      </c>
      <c r="K169" s="882">
        <v>2018</v>
      </c>
      <c r="L169" s="1062" t="str">
        <v>Turkey</v>
      </c>
      <c r="M169" s="1062">
        <v>0</v>
      </c>
      <c r="N169" s="882" t="str">
        <v>https://www.coinzo.com</v>
      </c>
      <c r="O169" s="1045" t="str">
        <v>https://assets.coingecko.com/markets/images/339/small/logo-coinzo.png?1548658552</v>
      </c>
      <c r="P169" s="882" t="b">
        <v>0</v>
      </c>
      <c r="Q169" s="882">
        <v>3</v>
      </c>
      <c r="R169" s="882">
        <v>201</v>
      </c>
      <c r="S169" s="1084">
        <v>1755.1430947194392</v>
      </c>
      <c r="T169" s="1084">
        <v>1755.1430947194392</v>
      </c>
    </row>
    <row r="170" spans="3:20">
      <c r="C170" s="1045"/>
      <c r="H170" s="1043" t="e" vm="1">
        <f ca="1"/>
        <v>#NAME?</v>
      </c>
      <c r="I170" s="1059" t="str">
        <v>coinex</v>
      </c>
      <c r="J170" s="1060" t="str">
        <v>CoinEx</v>
      </c>
      <c r="K170" s="1060">
        <v>2017</v>
      </c>
      <c r="L170" s="1061" t="str">
        <v>United Kingdom</v>
      </c>
      <c r="M170" s="1061">
        <v>0</v>
      </c>
      <c r="N170" s="1060" t="str">
        <v>https://www.coinex.com/</v>
      </c>
      <c r="O170" s="1082" t="str">
        <v>https://assets.coingecko.com/markets/images/135/small/coinex.jpg?1527737297</v>
      </c>
      <c r="P170" s="882" t="b">
        <v>0</v>
      </c>
      <c r="Q170" s="882">
        <v>7</v>
      </c>
      <c r="R170" s="882">
        <v>70</v>
      </c>
      <c r="S170" s="1084">
        <v>1659.7731127460445</v>
      </c>
      <c r="T170" s="1084">
        <v>1659.7731127460445</v>
      </c>
    </row>
    <row r="171" spans="3:20">
      <c r="C171" s="1045"/>
      <c r="H171" s="1043" t="e" vm="1">
        <f ca="1"/>
        <v>#NAME?</v>
      </c>
      <c r="I171" s="901" t="str">
        <v>bitkub</v>
      </c>
      <c r="J171" s="882" t="str">
        <v>Bitkub</v>
      </c>
      <c r="K171" s="882">
        <v>2018</v>
      </c>
      <c r="L171" s="1062" t="str">
        <v>Thailand</v>
      </c>
      <c r="M171" s="1062">
        <v>0</v>
      </c>
      <c r="N171" s="882" t="str">
        <v>https://www.bitkub.com</v>
      </c>
      <c r="O171" s="1045" t="str">
        <v>https://assets.coingecko.com/markets/images/249/small/bitkub.png?1537180687</v>
      </c>
      <c r="P171" s="882" t="b">
        <v>0</v>
      </c>
      <c r="Q171" s="882">
        <v>9</v>
      </c>
      <c r="R171" s="882">
        <v>22</v>
      </c>
      <c r="S171" s="1084">
        <v>1592.9254799570288</v>
      </c>
      <c r="T171" s="1084">
        <v>1592.9254799570288</v>
      </c>
    </row>
    <row r="172" spans="3:20">
      <c r="C172" s="1045"/>
      <c r="H172" s="1043" t="e" vm="1">
        <f ca="1"/>
        <v>#NAME?</v>
      </c>
      <c r="I172" s="1059" t="str">
        <v>virgox</v>
      </c>
      <c r="J172" s="1060" t="str">
        <v>Virgox</v>
      </c>
      <c r="K172" s="1060">
        <v>0</v>
      </c>
      <c r="L172" s="1061" t="str">
        <v>Guatemala</v>
      </c>
      <c r="M172" s="1061" t="str">
        <v>VirgoX is a revolutionary one-stop stablecoin focused digital asset trading platform inspired by global adoptions of stablecoins and growing demands for integrated exchange services. VirgoX offers spot &amp; contracts trading, crypto lending and multiple currency fiat onramp and offramp, all integrated into one place that truly meets users’ needs and beyond.</v>
      </c>
      <c r="N172" s="1060" t="str">
        <v>www.virgox.com</v>
      </c>
      <c r="O172" s="1082" t="str">
        <v>https://assets.coingecko.com/markets/images/570/small/VIrgoX_logo.png?1598508410</v>
      </c>
      <c r="P172" s="882" t="b">
        <v>0</v>
      </c>
      <c r="Q172" s="882">
        <v>1</v>
      </c>
      <c r="R172" s="882">
        <v>247</v>
      </c>
      <c r="S172" s="1084">
        <v>1396.0886311326126</v>
      </c>
      <c r="T172" s="1084">
        <v>185.75849545331593</v>
      </c>
    </row>
    <row r="173" spans="3:20">
      <c r="C173" s="1045"/>
      <c r="H173" s="1043" t="e" vm="1">
        <f ca="1"/>
        <v>#NAME?</v>
      </c>
      <c r="I173" s="901" t="str">
        <v>tokenize</v>
      </c>
      <c r="J173" s="882" t="str">
        <v>Tokenize</v>
      </c>
      <c r="K173" s="882">
        <v>2018</v>
      </c>
      <c r="L173" s="1062" t="str">
        <v>Singapore</v>
      </c>
      <c r="M173" s="1062">
        <v>0</v>
      </c>
      <c r="N173" s="882" t="str">
        <v>https://tokenize.exchange/</v>
      </c>
      <c r="O173" s="1045" t="str">
        <v>https://assets.coingecko.com/markets/images/383/small/tokenize-exchange.png?1586138532</v>
      </c>
      <c r="P173" s="882" t="b">
        <v>0</v>
      </c>
      <c r="Q173" s="882">
        <v>7</v>
      </c>
      <c r="R173" s="882">
        <v>71</v>
      </c>
      <c r="S173" s="1084">
        <v>1354.642396204752</v>
      </c>
      <c r="T173" s="1084">
        <v>1354.642396204752</v>
      </c>
    </row>
    <row r="174" spans="3:20">
      <c r="C174" s="1045"/>
      <c r="H174" s="1043" t="e" vm="1">
        <f ca="1"/>
        <v>#NAME?</v>
      </c>
      <c r="I174" s="1059" t="str">
        <v>coineal</v>
      </c>
      <c r="J174" s="1060" t="str">
        <v>Coineal</v>
      </c>
      <c r="K174" s="1060">
        <v>2018</v>
      </c>
      <c r="L174" s="1061" t="str">
        <v>Seychelles</v>
      </c>
      <c r="M174" s="1061">
        <v>0</v>
      </c>
      <c r="N174" s="1060" t="str">
        <v>https://www.coineal.com/</v>
      </c>
      <c r="O174" s="1082" t="str">
        <v>https://assets.coingecko.com/markets/images/289/small/1537958245x-1566680256.png?1539679939</v>
      </c>
      <c r="P174" s="882" t="b">
        <v>0</v>
      </c>
      <c r="Q174" s="882">
        <v>5</v>
      </c>
      <c r="R174" s="882">
        <v>138</v>
      </c>
      <c r="S174" s="1084">
        <v>1316.7957554858951</v>
      </c>
      <c r="T174" s="1084">
        <v>1316.7957554858951</v>
      </c>
    </row>
    <row r="175" spans="3:20">
      <c r="C175" s="1045"/>
      <c r="H175" s="1043" t="e" vm="1">
        <f ca="1"/>
        <v>#NAME?</v>
      </c>
      <c r="I175" s="901" t="str">
        <v>vindax</v>
      </c>
      <c r="J175" s="882" t="str">
        <v>Vindax</v>
      </c>
      <c r="K175" s="882">
        <v>2019</v>
      </c>
      <c r="L175" s="1062" t="str">
        <v>Vietnam</v>
      </c>
      <c r="M175" s="1062">
        <v>0</v>
      </c>
      <c r="N175" s="882" t="str">
        <v>https://vindax.com/</v>
      </c>
      <c r="O175" s="1045" t="str">
        <v>https://assets.coingecko.com/markets/images/388/small/uToizY7z_400x400.jpg?1556070669</v>
      </c>
      <c r="P175" s="882" t="b">
        <v>0</v>
      </c>
      <c r="Q175" s="882">
        <v>4</v>
      </c>
      <c r="R175" s="882">
        <v>177</v>
      </c>
      <c r="S175" s="1084">
        <v>1307.8636522258573</v>
      </c>
      <c r="T175" s="1084">
        <v>1307.8636522258573</v>
      </c>
    </row>
    <row r="176" spans="3:20">
      <c r="C176" s="1045"/>
      <c r="H176" s="1043" t="e" vm="1">
        <f ca="1"/>
        <v>#NAME?</v>
      </c>
      <c r="I176" s="1059" t="str">
        <v>spookyswap</v>
      </c>
      <c r="J176" s="1060" t="str">
        <v>Spookyswap</v>
      </c>
      <c r="K176" s="1060">
        <v>0</v>
      </c>
      <c r="L176" s="1061">
        <v>0</v>
      </c>
      <c r="M176" s="1061">
        <v>0</v>
      </c>
      <c r="N176" s="1060" t="str">
        <v>https://spookyswap.finance/swap</v>
      </c>
      <c r="O176" s="1082" t="str">
        <v>https://assets.coingecko.com/markets/images/662/small/spookyswap.png?1620128798</v>
      </c>
      <c r="P176" s="882" t="b">
        <v>0</v>
      </c>
      <c r="Q176" s="882">
        <v>5</v>
      </c>
      <c r="R176" s="882">
        <v>139</v>
      </c>
      <c r="S176" s="1084">
        <v>1293.9708168295276</v>
      </c>
      <c r="T176" s="1084">
        <v>1293.9708168295276</v>
      </c>
    </row>
    <row r="177" spans="3:20">
      <c r="C177" s="1045"/>
      <c r="H177" s="1043" t="e" vm="1">
        <f ca="1"/>
        <v>#NAME?</v>
      </c>
      <c r="I177" s="901" t="str">
        <v>quoine</v>
      </c>
      <c r="J177" s="882" t="str">
        <v>Liquid</v>
      </c>
      <c r="K177" s="882">
        <v>2014</v>
      </c>
      <c r="L177" s="1062" t="str">
        <v>Japan</v>
      </c>
      <c r="M177" s="1062">
        <v>0</v>
      </c>
      <c r="N177" s="882" t="str">
        <v>https://liquid.com</v>
      </c>
      <c r="O177" s="1045" t="str">
        <v>https://assets.coingecko.com/markets/images/40/small/liquid.png?1536133472</v>
      </c>
      <c r="P177" s="882" t="b">
        <v>0</v>
      </c>
      <c r="Q177" s="882">
        <v>7</v>
      </c>
      <c r="R177" s="882">
        <v>72</v>
      </c>
      <c r="S177" s="1084">
        <v>1288.8422154806344</v>
      </c>
      <c r="T177" s="1084">
        <v>1288.8422154806344</v>
      </c>
    </row>
    <row r="178" spans="3:20">
      <c r="H178" s="1043" t="e" vm="1">
        <f ca="1"/>
        <v>#NAME?</v>
      </c>
      <c r="I178" s="1059" t="str">
        <v>omgfin</v>
      </c>
      <c r="J178" s="1060" t="str">
        <v>Omgfin</v>
      </c>
      <c r="K178" s="1060">
        <v>2018</v>
      </c>
      <c r="L178" s="1061" t="str">
        <v>Estonia</v>
      </c>
      <c r="M178" s="1061">
        <v>0</v>
      </c>
      <c r="N178" s="1060" t="str">
        <v>https://omgfin.com/exchange/</v>
      </c>
      <c r="O178" s="1082" t="str">
        <v>https://assets.coingecko.com/markets/images/396/small/Screenshot_11.png?1556858288</v>
      </c>
      <c r="P178" s="882" t="b">
        <v>0</v>
      </c>
      <c r="Q178" s="882">
        <v>6</v>
      </c>
      <c r="R178" s="882">
        <v>118</v>
      </c>
      <c r="S178" s="1084">
        <v>1237.1659854995742</v>
      </c>
      <c r="T178" s="1084">
        <v>383.06628511848965</v>
      </c>
    </row>
    <row r="179" spans="3:20">
      <c r="H179" s="1043" t="e" vm="1">
        <f ca="1"/>
        <v>#NAME?</v>
      </c>
      <c r="I179" s="901" t="str">
        <v>bitexlive</v>
      </c>
      <c r="J179" s="882" t="str">
        <v>Bitexlive</v>
      </c>
      <c r="K179" s="882">
        <v>0</v>
      </c>
      <c r="L179" s="1062" t="str">
        <v>Germany</v>
      </c>
      <c r="M179" s="1062" t="str">
        <v xml:space="preserve">Bitexlive is a centralized cryptocurrency exchange located in Germany.  </v>
      </c>
      <c r="N179" s="882" t="str">
        <v>https://bitexlive.com/</v>
      </c>
      <c r="O179" s="1045" t="str">
        <v>https://assets.coingecko.com/markets/images/321/small/logo-short.png?1570602566</v>
      </c>
      <c r="P179" s="882" t="b">
        <v>0</v>
      </c>
      <c r="Q179" s="882">
        <v>3</v>
      </c>
      <c r="R179" s="882">
        <v>206</v>
      </c>
      <c r="S179" s="1084">
        <v>1235.1123808286395</v>
      </c>
      <c r="T179" s="1084">
        <v>565.12195341991242</v>
      </c>
    </row>
    <row r="180" spans="3:20">
      <c r="H180" s="1043" t="e" vm="1">
        <f ca="1"/>
        <v>#NAME?</v>
      </c>
      <c r="I180" s="1059" t="str">
        <v>bitbank</v>
      </c>
      <c r="J180" s="1060" t="str">
        <v>Bitbank</v>
      </c>
      <c r="K180" s="1060">
        <v>2016</v>
      </c>
      <c r="L180" s="1061" t="str">
        <v>Japan</v>
      </c>
      <c r="M180" s="1061">
        <v>0</v>
      </c>
      <c r="N180" s="1060" t="str">
        <v>https://bitbank.cc/</v>
      </c>
      <c r="O180" s="1082" t="str">
        <v>https://assets.coingecko.com/markets/images/122/small/bitbank.jpg?1521186278</v>
      </c>
      <c r="P180" s="882" t="b">
        <v>0</v>
      </c>
      <c r="Q180" s="882">
        <v>9</v>
      </c>
      <c r="R180" s="882">
        <v>23</v>
      </c>
      <c r="S180" s="1084">
        <v>1175.2489937347511</v>
      </c>
      <c r="T180" s="1084">
        <v>1175.2489937347511</v>
      </c>
    </row>
    <row r="181" spans="3:20">
      <c r="H181" s="1043" t="e" vm="1">
        <f ca="1"/>
        <v>#NAME?</v>
      </c>
      <c r="I181" s="901" t="str">
        <v>kickex</v>
      </c>
      <c r="J181" s="882" t="str">
        <v>KickEX</v>
      </c>
      <c r="K181" s="882">
        <v>2020</v>
      </c>
      <c r="L181" s="1062" t="str">
        <v>Estonia</v>
      </c>
      <c r="M181" s="1062" t="str">
        <v>KickEX is a centralized exchange that was launched in June 2020 and was developed with the goal of offering bank-grade security, architecture, and quality standards. KiсkEX supports buying cryptocurrencies with fiat via Visa and Mastercard bank cards, with fiat withdrawals coming in Q4 2020. In this way, KickEX aims to allow users to buy digital assets easily, store them safely on the secure mosiac cold storage systems, trade, exchange, and withdraw crypto or fiat straight to a bank card or to a bank account.</v>
      </c>
      <c r="N181" s="882" t="str">
        <v>https://kickex.com/en</v>
      </c>
      <c r="O181" s="1045" t="str">
        <v>https://assets.coingecko.com/markets/images/635/small/_JidUguP_400x400.jpg?1615263901</v>
      </c>
      <c r="P181" s="882" t="b">
        <v>0</v>
      </c>
      <c r="Q181" s="882">
        <v>8</v>
      </c>
      <c r="R181" s="882">
        <v>41</v>
      </c>
      <c r="S181" s="1084">
        <v>1154.4819655716792</v>
      </c>
      <c r="T181" s="1084">
        <v>1154.4819655716792</v>
      </c>
    </row>
    <row r="182" spans="3:20">
      <c r="H182" s="1043" t="e" vm="1">
        <f ca="1"/>
        <v>#NAME?</v>
      </c>
      <c r="I182" s="1059" t="str">
        <v>quickswap</v>
      </c>
      <c r="J182" s="1060" t="str">
        <v>Quickswap</v>
      </c>
      <c r="K182" s="1060">
        <v>2020</v>
      </c>
      <c r="L182" s="1061">
        <v>0</v>
      </c>
      <c r="M182" s="1061" t="str">
        <v xml:space="preserve">Next-gen Layer 2 DEX. Trade at lightning-fast speeds with near-zero gas fees. _x000D_
</v>
      </c>
      <c r="N182" s="1060" t="str">
        <v>https://quickswap.exchange/#/swap</v>
      </c>
      <c r="O182" s="1082" t="str">
        <v>https://assets.coingecko.com/markets/images/629/small/1_pOU6pBMEmiL-ZJVb0CYRjQ_%281%29.png?1614077691</v>
      </c>
      <c r="P182" s="882" t="b">
        <v>0</v>
      </c>
      <c r="Q182" s="882">
        <v>5</v>
      </c>
      <c r="R182" s="882">
        <v>140</v>
      </c>
      <c r="S182" s="1084">
        <v>1103.741484894198</v>
      </c>
      <c r="T182" s="1084">
        <v>1103.741484894198</v>
      </c>
    </row>
    <row r="183" spans="3:20">
      <c r="H183" s="1043" t="e" vm="1">
        <f ca="1"/>
        <v>#NAME?</v>
      </c>
      <c r="I183" s="901" t="str">
        <v>alterdice</v>
      </c>
      <c r="J183" s="882" t="str">
        <v>AlterDice</v>
      </c>
      <c r="K183" s="882">
        <v>2018</v>
      </c>
      <c r="L183" s="1062" t="str">
        <v>Singapore</v>
      </c>
      <c r="M183" s="1062">
        <v>0</v>
      </c>
      <c r="N183" s="882" t="str">
        <v>https://alterdice.com/</v>
      </c>
      <c r="O183" s="1045" t="str">
        <v>https://assets.coingecko.com/markets/images/327/small/alterdice_%281%29.png?1604294926</v>
      </c>
      <c r="P183" s="882" t="b">
        <v>0</v>
      </c>
      <c r="Q183" s="882">
        <v>7</v>
      </c>
      <c r="R183" s="882">
        <v>73</v>
      </c>
      <c r="S183" s="1084">
        <v>1067.6036607814046</v>
      </c>
      <c r="T183" s="1084">
        <v>1067.6036607814046</v>
      </c>
    </row>
    <row r="184" spans="3:20">
      <c r="H184" s="1043" t="e" vm="1">
        <f ca="1"/>
        <v>#NAME?</v>
      </c>
      <c r="I184" s="1059" t="str">
        <v>coindeal</v>
      </c>
      <c r="J184" s="1060" t="str">
        <v>Coindeal</v>
      </c>
      <c r="K184" s="1060">
        <v>2018</v>
      </c>
      <c r="L184" s="1061" t="str">
        <v>Malta</v>
      </c>
      <c r="M184" s="1061" t="str">
        <v xml:space="preserve">CoinDeal is one of the fastest-growing crypto-fiat exchanges in Europe._x000D_
_x000D_
The company is located in Malta and is subject to Maltese regulations._x000D_
On 25 November this year, a managerial delegation from CoinDeal went to Malta to meet with the Malta Financial Services Authority (MFSA). This is the next stage that leads the exchange to receive the Maltese VFA license. _x000D_
Read more HERE. CoinDeal meets the requirements of the VFA Class 4 and all its activities are legal. _x000D_
Its credibility is confirmed by its entry into the American market, which involved meeting a number of legal requirements. Thanks to Coindeal's compliance with all these requirements, it is now available in 13 states. You can read more HERE._x000D_
_x000D_
WHAT DO WE OFFER_x000D_
We are one of the largest exchanges in Europe with more than 40 cryptocurrencies pairs in our offer, including the most popular ones such as Ethereum, Bitcoin or Litecoin and FIAT currencies: Euro (EUR), Dollar (USD), British pound (GBP), Polish zloty (PLN), Swiss franc (CHF)_x000D_
We always want to provide our users with the opportunity to actively participate in the development of CoinDeal, so by voting for new cryptocurrency users can decide which of them will be added to the exchange. _x000D_
_x000D_
CDL TOKEN_x000D_
CoinDeal exchange created its own Token to give it for free to its users. It was the first Token in the world to be distributed free of charge to so many people. It was as many as 87 549 users of the Coindeal exchange! 45 000 000 000 Tokens were distributed, which is 90% of all created Tokens. When the market opened for CDL, which took place on November 12, 2019, the value of all Tokens was 1 129 382 USD (382 BTC)! In the beginning, CDL is available together with BTC. The pairs planned for the near future are CDL/EUR and CDL/USDT. Additionally, the exchange offers many benefits from having CDL Tokens on your account. Among other things, it is a 0% fee and you can read about it on the official Token website._x000D_
_x000D_
SECURITY_x000D_
Our platform has the highest SSL standard security integrated with Cloudflare functionality. User accounts are protected by a multi-level 2FA verification. For the withdrawal of funds, it is necessary to have an email confirmation, which is also required when using the platform with new IP addresses. 90% of user funds are stored on cold wallets protected by Multisignature._x000D_
_x000D_
OUR TEAM_x000D_
Kajetan Maćkowiak and Adam Bicz  are the main managers of CoinDeal._x000D_
_x000D_
Adam has built his long-standing experience in the IT and blockchain sector in the international arena. As the chief programmer at CoinDeal, he is the leader of the team responsible for the development and security of the exchange. Adam operates not only within the BlockchainHouse brand but is also the creator of the BuyCoinNow and Paycoiner payment gateway. _x000D_
_x000D_
Kajetan has been involved in co-creating blockchain technology projects for years. His professional experience allows him to effectively develop his business and manage his marketing activities. He created an international umbrella brand, which is BlockchainHouse. He is a co-creator of global brands such as Paycoiner and BuyCoinNow. _x000D_
</v>
      </c>
      <c r="N184" s="1060" t="str">
        <v>https://coindeal.com/</v>
      </c>
      <c r="O184" s="1082" t="str">
        <v>https://assets.coingecko.com/markets/images/313/small/2ZP5JaIL_400x400.jpg?1541109266</v>
      </c>
      <c r="P184" s="882" t="b">
        <v>0</v>
      </c>
      <c r="Q184" s="882">
        <v>6</v>
      </c>
      <c r="R184" s="882">
        <v>107</v>
      </c>
      <c r="S184" s="1084">
        <v>1020.5688212461861</v>
      </c>
      <c r="T184" s="1084">
        <v>1020.5688212461861</v>
      </c>
    </row>
    <row r="185" spans="3:20">
      <c r="H185" s="1043" t="e" vm="1">
        <f ca="1"/>
        <v>#NAME?</v>
      </c>
      <c r="I185" s="901" t="str">
        <v>indodax</v>
      </c>
      <c r="J185" s="882" t="str">
        <v>Indodax</v>
      </c>
      <c r="K185" s="882">
        <v>2014</v>
      </c>
      <c r="L185" s="1062" t="str">
        <v>Indonesia</v>
      </c>
      <c r="M185" s="1062">
        <v>0</v>
      </c>
      <c r="N185" s="882" t="str">
        <v>https://indodax.com</v>
      </c>
      <c r="O185" s="1045" t="str">
        <v>https://assets.coingecko.com/markets/images/3/small/logogram-Indodax-new-_JPG_format.jpg?1580974378</v>
      </c>
      <c r="P185" s="882" t="b">
        <v>0</v>
      </c>
      <c r="Q185" s="882">
        <v>8</v>
      </c>
      <c r="R185" s="882">
        <v>42</v>
      </c>
      <c r="S185" s="1084">
        <v>1003.400647053954</v>
      </c>
      <c r="T185" s="1084">
        <v>1003.400647053954</v>
      </c>
    </row>
    <row r="186" spans="3:20">
      <c r="H186" s="1043" t="e" vm="1">
        <f ca="1"/>
        <v>#NAME?</v>
      </c>
      <c r="I186" s="1059" t="str">
        <v>coinsuper</v>
      </c>
      <c r="J186" s="1060" t="str">
        <v>Coinsuper</v>
      </c>
      <c r="K186" s="1060">
        <v>2017</v>
      </c>
      <c r="L186" s="1061" t="str">
        <v>Hong Kong</v>
      </c>
      <c r="M186" s="1061">
        <v>0</v>
      </c>
      <c r="N186" s="1060" t="str">
        <v>https://www.coinsuper.net</v>
      </c>
      <c r="O186" s="1082" t="str">
        <v>https://assets.coingecko.com/markets/images/179/small/jorVoL1V_400x400.jpg?1528084081</v>
      </c>
      <c r="P186" s="882" t="b">
        <v>0</v>
      </c>
      <c r="Q186" s="882">
        <v>5</v>
      </c>
      <c r="R186" s="882">
        <v>141</v>
      </c>
      <c r="S186" s="1084">
        <v>997.16052490440359</v>
      </c>
      <c r="T186" s="1084">
        <v>997.16052490440359</v>
      </c>
    </row>
    <row r="187" spans="3:20">
      <c r="H187" s="1043" t="e" vm="1">
        <f ca="1"/>
        <v>#NAME?</v>
      </c>
      <c r="I187" s="901" t="str">
        <v>btcbox</v>
      </c>
      <c r="J187" s="882" t="str">
        <v>BTCBOX</v>
      </c>
      <c r="K187" s="882">
        <v>2014</v>
      </c>
      <c r="L187" s="1062" t="str">
        <v>Japan</v>
      </c>
      <c r="M187" s="1062">
        <v>0</v>
      </c>
      <c r="N187" s="882" t="str">
        <v>https://www.btcbox.co.jp/</v>
      </c>
      <c r="O187" s="1045" t="str">
        <v>https://assets.coingecko.com/markets/images/154/small/btcbox.jpg?1525685758</v>
      </c>
      <c r="P187" s="882" t="b">
        <v>0</v>
      </c>
      <c r="Q187" s="882">
        <v>6</v>
      </c>
      <c r="R187" s="882">
        <v>109</v>
      </c>
      <c r="S187" s="1084">
        <v>977.61569016753356</v>
      </c>
      <c r="T187" s="1084">
        <v>977.61569016753356</v>
      </c>
    </row>
    <row r="188" spans="3:20">
      <c r="H188" s="1043" t="e" vm="1">
        <f ca="1"/>
        <v>#NAME?</v>
      </c>
      <c r="I188" s="1059" t="str">
        <v>equos</v>
      </c>
      <c r="J188" s="1060" t="str">
        <v>EQONEX</v>
      </c>
      <c r="K188" s="1060">
        <v>2020</v>
      </c>
      <c r="L188" s="1061" t="str">
        <v>Singapore</v>
      </c>
      <c r="M188" s="1061" t="str">
        <v>Launched on May 26th, 2020, EQONEX is a centralized crypto exchange based in Singapore. The parent company, Diginex, is the first company listed on Nasdaq with a crypto exchange (Nasdaq: EQOS)._x000D_
EQONEX operates out of Singapore under a temporary exemption from the Monetary Authority of Singapore pending its application for a license under the Money Services Act._x000D_
_x000D_
EQONEX's first native token EQO, went live on April 8th, 2021. Holders of EQO receive numerous unique benefits, including reduced trading fees, access to future airdrops, staking rewards, collateral against derivatives transactions, and enhanced interest for crypto lending</v>
      </c>
      <c r="N188" s="1060" t="str">
        <v>https://eqonex.com</v>
      </c>
      <c r="O188" s="1082" t="str">
        <v>https://assets.coingecko.com/markets/images/643/small/photo_2021-06-16_15-02-06.jpg?1623826966</v>
      </c>
      <c r="P188" s="882" t="b">
        <v>0</v>
      </c>
      <c r="Q188" s="882">
        <v>5</v>
      </c>
      <c r="R188" s="882">
        <v>142</v>
      </c>
      <c r="S188" s="1084">
        <v>967.73084236626414</v>
      </c>
      <c r="T188" s="1084">
        <v>967.73084236626414</v>
      </c>
    </row>
    <row r="189" spans="3:20">
      <c r="H189" s="1043" t="e" vm="1">
        <f ca="1"/>
        <v>#NAME?</v>
      </c>
      <c r="I189" s="901" t="str">
        <v>balancer</v>
      </c>
      <c r="J189" s="882" t="str">
        <v>Balancer (v2)</v>
      </c>
      <c r="K189" s="882">
        <v>2020</v>
      </c>
      <c r="L189" s="1062">
        <v>0</v>
      </c>
      <c r="M189" s="1062" t="str">
        <v>Balancer is a non-custodial portfolio manager, liquidity provider, and price sensor protocol. Balancer V2 offers a generalized protocol for automated market makers.</v>
      </c>
      <c r="N189" s="882" t="str">
        <v>https://app.balancer.fi/#/trade</v>
      </c>
      <c r="O189" s="1045" t="str">
        <v>https://assets.coingecko.com/markets/images/673/small/balancer-v2.png?1621005731</v>
      </c>
      <c r="P189" s="882" t="b">
        <v>0</v>
      </c>
      <c r="Q189" s="882">
        <v>3</v>
      </c>
      <c r="R189" s="882">
        <v>202</v>
      </c>
      <c r="S189" s="1084">
        <v>959.52593531079162</v>
      </c>
      <c r="T189" s="1084">
        <v>959.52593531079162</v>
      </c>
    </row>
    <row r="190" spans="3:20">
      <c r="H190" s="1043" t="e" vm="1">
        <f ca="1"/>
        <v>#NAME?</v>
      </c>
      <c r="I190" s="1059" t="str">
        <v>bancor</v>
      </c>
      <c r="J190" s="1060" t="str">
        <v>Bancor Network</v>
      </c>
      <c r="K190" s="1060">
        <v>0</v>
      </c>
      <c r="L190" s="1061">
        <v>0</v>
      </c>
      <c r="M190" s="1061">
        <v>0</v>
      </c>
      <c r="N190" s="1060" t="str">
        <v>https://www.bancor.network/discover</v>
      </c>
      <c r="O190" s="1082" t="str">
        <v>https://assets.coingecko.com/markets/images/108/small/Bancor.jpg?1520913420</v>
      </c>
      <c r="P190" s="882" t="b">
        <v>0</v>
      </c>
      <c r="Q190" s="882">
        <v>6</v>
      </c>
      <c r="R190" s="882">
        <v>110</v>
      </c>
      <c r="S190" s="1084">
        <v>947.61182917294536</v>
      </c>
      <c r="T190" s="1084">
        <v>947.61182917294536</v>
      </c>
    </row>
    <row r="191" spans="3:20">
      <c r="H191" s="1043" t="e" vm="1">
        <f ca="1"/>
        <v>#NAME?</v>
      </c>
      <c r="I191" s="901" t="str">
        <v>pangolin</v>
      </c>
      <c r="J191" s="882" t="str">
        <v>Pangolin</v>
      </c>
      <c r="K191" s="882">
        <v>2021</v>
      </c>
      <c r="L191" s="1062">
        <v>0</v>
      </c>
      <c r="M191" s="1062">
        <v>0</v>
      </c>
      <c r="N191" s="882" t="str">
        <v>https://app.pangolin.exchange/#/swap</v>
      </c>
      <c r="O191" s="1045" t="str">
        <v>https://assets.coingecko.com/markets/images/627/small/pangolin.jpg?1613741041</v>
      </c>
      <c r="P191" s="882" t="b">
        <v>0</v>
      </c>
      <c r="Q191" s="882">
        <v>5</v>
      </c>
      <c r="R191" s="882">
        <v>143</v>
      </c>
      <c r="S191" s="1084">
        <v>919.9335516000541</v>
      </c>
      <c r="T191" s="1084">
        <v>919.9335516000541</v>
      </c>
    </row>
    <row r="192" spans="3:20">
      <c r="H192" s="1043" t="e" vm="1">
        <f ca="1"/>
        <v>#NAME?</v>
      </c>
      <c r="I192" s="1059" t="str">
        <v>cherryswap</v>
      </c>
      <c r="J192" s="1060" t="str">
        <v>CherrySwap</v>
      </c>
      <c r="K192" s="1060">
        <v>0</v>
      </c>
      <c r="L192" s="1061">
        <v>0</v>
      </c>
      <c r="M192" s="1061">
        <v>0</v>
      </c>
      <c r="N192" s="1060" t="str">
        <v>https://www.cherryswap.net/home/</v>
      </c>
      <c r="O192" s="1082" t="str">
        <v>https://assets.coingecko.com/markets/images/703/small/cherry_%281%29.png?1632200955</v>
      </c>
      <c r="P192" s="882" t="b">
        <v>0</v>
      </c>
      <c r="Q192" s="882">
        <v>5</v>
      </c>
      <c r="R192" s="882">
        <v>169</v>
      </c>
      <c r="S192" s="1084">
        <v>914.60022946248375</v>
      </c>
      <c r="T192" s="1084">
        <v>0</v>
      </c>
    </row>
    <row r="193" spans="8:20">
      <c r="H193" s="1043" t="e" vm="1">
        <f ca="1"/>
        <v>#NAME?</v>
      </c>
      <c r="I193" s="901" t="str">
        <v>bybit_spot</v>
      </c>
      <c r="J193" s="882" t="str">
        <v>Bybit (spot)</v>
      </c>
      <c r="K193" s="882">
        <v>2018</v>
      </c>
      <c r="L193" s="1062">
        <v>0</v>
      </c>
      <c r="M193" s="1062">
        <v>0</v>
      </c>
      <c r="N193" s="882" t="str">
        <v>https://www.bybit.com/en-US/</v>
      </c>
      <c r="O193" s="1045" t="str">
        <v>https://assets.coingecko.com/markets/images/698/small/bybit_spot.png?1629971794</v>
      </c>
      <c r="P193" s="882" t="b">
        <v>0</v>
      </c>
      <c r="Q193" s="882">
        <v>6</v>
      </c>
      <c r="R193" s="882">
        <v>111</v>
      </c>
      <c r="S193" s="1084">
        <v>844.80754033263622</v>
      </c>
      <c r="T193" s="1084">
        <v>844.80754033263622</v>
      </c>
    </row>
    <row r="194" spans="8:20">
      <c r="H194" s="1043" t="e" vm="1">
        <f ca="1"/>
        <v>#NAME?</v>
      </c>
      <c r="I194" s="1059" t="str">
        <v>decoin</v>
      </c>
      <c r="J194" s="1060" t="str">
        <v>Decoin</v>
      </c>
      <c r="K194" s="1060">
        <v>2017</v>
      </c>
      <c r="L194" s="1061" t="str">
        <v>Estonia</v>
      </c>
      <c r="M194" s="1061" t="str">
        <v>Founded in 2017, Decoin is an exchange designed by the crypto community for the crypto community. Our mission is to provide a maximum-security exchange that has an easy-to-use interface for novice users, and advanced trading features for industry veterans. Decoin’s ecosystem also includes a profit-sharing coin called DTEP, which is powered by an independent blockchain using a PoS consensus algorithm. We are led by an experienced team of fintech experts, financial professionals, and experienced traders.</v>
      </c>
      <c r="N194" s="1060" t="str">
        <v>https://www.decoin.io</v>
      </c>
      <c r="O194" s="1082" t="str">
        <v>https://assets.coingecko.com/markets/images/479/small/decoin.jpg?1578456566</v>
      </c>
      <c r="P194" s="882" t="b">
        <v>0</v>
      </c>
      <c r="Q194" s="882">
        <v>6</v>
      </c>
      <c r="R194" s="882">
        <v>112</v>
      </c>
      <c r="S194" s="1084">
        <v>838.45717942266435</v>
      </c>
      <c r="T194" s="1084">
        <v>838.45717942266435</v>
      </c>
    </row>
    <row r="195" spans="8:20">
      <c r="H195" s="1043" t="e" vm="1">
        <f ca="1"/>
        <v>#NAME?</v>
      </c>
      <c r="I195" s="901" t="str">
        <v>bitbns</v>
      </c>
      <c r="J195" s="882" t="str">
        <v>BitBNS</v>
      </c>
      <c r="K195" s="882">
        <v>2017</v>
      </c>
      <c r="L195" s="1062" t="str">
        <v>Estonia</v>
      </c>
      <c r="M195" s="1062">
        <v>0</v>
      </c>
      <c r="N195" s="882" t="str">
        <v>https://ref.bitbns.com/</v>
      </c>
      <c r="O195" s="1045" t="str">
        <v>https://assets.coingecko.com/markets/images/541/small/HS7eNJdt_400x400.jpg?1592294824</v>
      </c>
      <c r="P195" s="882" t="b">
        <v>0</v>
      </c>
      <c r="Q195" s="882">
        <v>7</v>
      </c>
      <c r="R195" s="882">
        <v>74</v>
      </c>
      <c r="S195" s="1084">
        <v>694.74975907325711</v>
      </c>
      <c r="T195" s="1084">
        <v>694.74975907325711</v>
      </c>
    </row>
    <row r="196" spans="8:20">
      <c r="H196" s="1043" t="e" vm="1">
        <f ca="1"/>
        <v>#NAME?</v>
      </c>
      <c r="I196" s="1059" t="str">
        <v>exrates</v>
      </c>
      <c r="J196" s="1060" t="str">
        <v>Exrates</v>
      </c>
      <c r="K196" s="1060">
        <v>2016</v>
      </c>
      <c r="L196" s="1061" t="str">
        <v>Estonia</v>
      </c>
      <c r="M196" s="1061" t="str">
        <v xml:space="preserve">Exrates is a centralized cryptocurrency exchange that has official Estonian license, and was founded in 2016._x000D_
_x000D_
Exrates has about 200 coins listed on it's platform with average daily trading volumes up to $80,000,000._x000D_
_x000D_
Exrates's platform was recently upgraded with a new unique design and enhanced functionality. In addition to that, Exrates now has an IEO launchpad - X-Platform. It also has Analytical Department which publishes trading signals on a daily basis along with an opportunity to open a fiat bank account with 24 fiat currencies. _x000D_
_x000D_
Further information about Exrates exchange can be found at https://exrates.me/dashboard._x000D_
</v>
      </c>
      <c r="N196" s="1060" t="str">
        <v>https://exrates.me</v>
      </c>
      <c r="O196" s="1082" t="str">
        <v>https://assets.coingecko.com/markets/images/187/small/Cover_Exrates_Logo_.png?1560831775</v>
      </c>
      <c r="P196" s="882" t="b">
        <v>0</v>
      </c>
      <c r="Q196" s="882">
        <v>6</v>
      </c>
      <c r="R196" s="882">
        <v>113</v>
      </c>
      <c r="S196" s="1084">
        <v>687.44201570688074</v>
      </c>
      <c r="T196" s="1084">
        <v>687.44201570688074</v>
      </c>
    </row>
    <row r="197" spans="8:20">
      <c r="H197" s="1043" t="e" vm="1">
        <f ca="1"/>
        <v>#NAME?</v>
      </c>
      <c r="I197" s="901" t="str">
        <v>emirex</v>
      </c>
      <c r="J197" s="882" t="str">
        <v>Emirex</v>
      </c>
      <c r="K197" s="882">
        <v>2019</v>
      </c>
      <c r="L197" s="1062" t="str">
        <v>Estonia</v>
      </c>
      <c r="M197" s="1062" t="str">
        <v>Launched on 10/09/2019, Emirex is a centralized exchange located at 405, Al Saaha Offices C, Dubai, UAE. It supports USD, EUR, AED fiat pairs/OTC/IEOs</v>
      </c>
      <c r="N197" s="882" t="str">
        <v>https://www.emirex.com/</v>
      </c>
      <c r="O197" s="1045" t="str">
        <v>https://assets.coingecko.com/markets/images/592/small/Emirex.png?1602067691</v>
      </c>
      <c r="P197" s="882" t="b">
        <v>0</v>
      </c>
      <c r="Q197" s="882">
        <v>6</v>
      </c>
      <c r="R197" s="882">
        <v>114</v>
      </c>
      <c r="S197" s="1084">
        <v>620.9434940123507</v>
      </c>
      <c r="T197" s="1084">
        <v>620.9434940123507</v>
      </c>
    </row>
    <row r="198" spans="8:20">
      <c r="H198" s="1043" t="e" vm="1">
        <f ca="1"/>
        <v>#NAME?</v>
      </c>
      <c r="I198" s="1059" t="str">
        <v>okcoin</v>
      </c>
      <c r="J198" s="1060" t="str">
        <v>Okcoin</v>
      </c>
      <c r="K198" s="1060">
        <v>2013</v>
      </c>
      <c r="L198" s="1061" t="str">
        <v>United States</v>
      </c>
      <c r="M198" s="1061" t="str">
        <v xml:space="preserve">About OKCoin:_x000D_
OKCoin is one of the largest and most trusted fiat-to-crypto trading platforms in the world. Founded in 2013, OKCoin offers advanced features for crypto beginners and high-volume traders alike, enabling users in 184 countries worldwide to exchange US dollars and the euro for Bitcoin, Tethers, USDK, Bitcoin Cash, Ethereum, Ethereum Classic, Decred, EOS, Litecoin, XRP, Cardano, 0x, Stellar, Zcash, TRX, and other digital assets. As a registered Money Services Business (MSB) with the Financial Crimes Enforcement Network (FinCEN) and a Virtual Financial Asset Act (VFAA) exchange with a transitory provision permissioned by the Malta Financial Services Authority, OKCoin is on a mission to make digital assets accessible to the world while complying with the highest of regulatory standards. For more information, visit www.okcoin.com. </v>
      </c>
      <c r="N198" s="1060" t="str">
        <v>https://www.okcoin.com/</v>
      </c>
      <c r="O198" s="1082" t="str">
        <v>https://assets.coingecko.com/markets/images/415/small/okcoin_Logomark_SatoshiBlack.png?1619574335</v>
      </c>
      <c r="P198" s="882" t="b">
        <v>0</v>
      </c>
      <c r="Q198" s="882">
        <v>7</v>
      </c>
      <c r="R198" s="882">
        <v>75</v>
      </c>
      <c r="S198" s="1084">
        <v>616.99296470919967</v>
      </c>
      <c r="T198" s="1084">
        <v>616.99296470919967</v>
      </c>
    </row>
    <row r="199" spans="8:20">
      <c r="H199" s="1043" t="e" vm="1">
        <f ca="1"/>
        <v>#NAME?</v>
      </c>
      <c r="I199" s="901" t="str">
        <v>mercatox</v>
      </c>
      <c r="J199" s="882" t="str">
        <v>Mercatox</v>
      </c>
      <c r="K199" s="882">
        <v>0</v>
      </c>
      <c r="L199" s="1062">
        <v>0</v>
      </c>
      <c r="M199" s="1062">
        <v>0</v>
      </c>
      <c r="N199" s="882" t="str">
        <v>https://mercatox.com/</v>
      </c>
      <c r="O199" s="1045" t="str">
        <v>https://assets.coingecko.com/markets/images/53/small/mercatox.jpg?1520933436</v>
      </c>
      <c r="P199" s="882">
        <v>0</v>
      </c>
      <c r="Q199" s="882">
        <v>4</v>
      </c>
      <c r="R199" s="882">
        <v>204</v>
      </c>
      <c r="S199" s="1084">
        <v>609.17842720819874</v>
      </c>
      <c r="T199" s="1084">
        <v>609.17842720819874</v>
      </c>
    </row>
    <row r="200" spans="8:20">
      <c r="H200" s="1043" t="e" vm="1">
        <f ca="1"/>
        <v>#NAME?</v>
      </c>
      <c r="I200" s="1059" t="str">
        <v>stocks_exchange</v>
      </c>
      <c r="J200" s="1060" t="str">
        <v>STEX</v>
      </c>
      <c r="K200" s="1060">
        <v>2018</v>
      </c>
      <c r="L200" s="1061" t="str">
        <v>Estonia</v>
      </c>
      <c r="M200" s="1061">
        <v>0</v>
      </c>
      <c r="N200" s="1060" t="str">
        <v>http://stex.com/</v>
      </c>
      <c r="O200" s="1082" t="str">
        <v>https://assets.coingecko.com/markets/images/62/small/stex.png?1538384870</v>
      </c>
      <c r="P200" s="882" t="b">
        <v>0</v>
      </c>
      <c r="Q200" s="882">
        <v>6</v>
      </c>
      <c r="R200" s="882">
        <v>115</v>
      </c>
      <c r="S200" s="1084">
        <v>589.64456422686885</v>
      </c>
      <c r="T200" s="1084">
        <v>589.64456422686885</v>
      </c>
    </row>
    <row r="201" spans="8:20">
      <c r="H201" s="1043" t="e" vm="1">
        <f ca="1"/>
        <v>#NAME?</v>
      </c>
      <c r="I201" s="901" t="str">
        <v>probit_kr</v>
      </c>
      <c r="J201" s="882" t="str">
        <v>Probit (Korea)</v>
      </c>
      <c r="K201" s="882">
        <v>0</v>
      </c>
      <c r="L201" s="1062">
        <v>0</v>
      </c>
      <c r="M201" s="1062">
        <v>0</v>
      </c>
      <c r="N201" s="882" t="str">
        <v>http://www.probit.kr</v>
      </c>
      <c r="O201" s="1045" t="str">
        <v>https://assets.coingecko.com/markets/images/690/small/probit_kr.jpg?1627376209</v>
      </c>
      <c r="P201" s="882" t="b">
        <v>0</v>
      </c>
      <c r="Q201" s="882">
        <v>3</v>
      </c>
      <c r="R201" s="882">
        <v>205</v>
      </c>
      <c r="S201" s="1084">
        <v>581.28753078245074</v>
      </c>
      <c r="T201" s="1084">
        <v>581.28753078245074</v>
      </c>
    </row>
    <row r="202" spans="8:20">
      <c r="H202" s="1043" t="e" vm="1">
        <f ca="1"/>
        <v>#NAME?</v>
      </c>
      <c r="I202" s="1059" t="str">
        <v>blockchain_com</v>
      </c>
      <c r="J202" s="1060" t="str">
        <v>Blockchain.com</v>
      </c>
      <c r="K202" s="1060">
        <v>2012</v>
      </c>
      <c r="L202" s="1061" t="str">
        <v>United Kingdom</v>
      </c>
      <c r="M202" s="1061">
        <v>0</v>
      </c>
      <c r="N202" s="1060" t="str">
        <v>https://www.blockchain.com/</v>
      </c>
      <c r="O202" s="1082" t="str">
        <v>https://assets.coingecko.com/markets/images/613/small/unnamedddd.png?1610503741</v>
      </c>
      <c r="P202" s="882" t="b">
        <v>0</v>
      </c>
      <c r="Q202" s="882">
        <v>7</v>
      </c>
      <c r="R202" s="882">
        <v>76</v>
      </c>
      <c r="S202" s="1084">
        <v>574.97322232435693</v>
      </c>
      <c r="T202" s="1084">
        <v>574.97322232435693</v>
      </c>
    </row>
    <row r="203" spans="8:20">
      <c r="H203" s="1043" t="e" vm="1">
        <f ca="1"/>
        <v>#NAME?</v>
      </c>
      <c r="I203" s="901" t="str">
        <v>gmo_japan</v>
      </c>
      <c r="J203" s="882" t="str">
        <v>GMO Japan</v>
      </c>
      <c r="K203" s="882">
        <v>0</v>
      </c>
      <c r="L203" s="1062" t="str">
        <v>Japan</v>
      </c>
      <c r="M203" s="1062">
        <v>0</v>
      </c>
      <c r="N203" s="882" t="str">
        <v>https://coin.z.com/jp/</v>
      </c>
      <c r="O203" s="1045" t="str">
        <v>https://assets.coingecko.com/markets/images/430/small/gmo_z_com.png?1561112572</v>
      </c>
      <c r="P203" s="882" t="b">
        <v>0</v>
      </c>
      <c r="Q203" s="882">
        <v>6</v>
      </c>
      <c r="R203" s="882">
        <v>116</v>
      </c>
      <c r="S203" s="1084">
        <v>561.61820460877516</v>
      </c>
      <c r="T203" s="1084">
        <v>561.61820460877516</v>
      </c>
    </row>
    <row r="204" spans="8:20">
      <c r="H204" s="1043" t="e" vm="1">
        <f ca="1"/>
        <v>#NAME?</v>
      </c>
      <c r="I204" s="1059" t="str">
        <v>hanbitco</v>
      </c>
      <c r="J204" s="1060" t="str">
        <v>Hanbitco</v>
      </c>
      <c r="K204" s="1060">
        <v>2017</v>
      </c>
      <c r="L204" s="1061" t="str">
        <v>South Korea</v>
      </c>
      <c r="M204" s="1061" t="str">
        <v>Launch Date:   _x000D_
_x000D_
PlutusDS is a legal name for Hanbitco exchange. PlutusDS was founded in July, 2017. After developing the exchange, Hanbitco service was opened  in March 13th, 2018_x000D_
_x000D_
_x000D_
Project Description:   _x000D_
_x000D_
Hanbitco is a Korean crypto exchange. "Trust, Security and Simplicity. All with Hanbitco" is our moto. We are pioneering in approaching our users in a friendly manner, with a design that is attractive, not only to the advanced traders, but also to female and millennials who are new to crypto industry and investment._x000D_
_x000D_
We are not a "white label" exchange, and but the platform with the focus on security, earning ISO/IEC 27001 Security Certification: the most stringent global security standard for Information Security Management Systems._x000D_
_x000D_
Hanbitco has 27 coins/tokens listed in BTC/EOS  markets. We also provide Initial Exchange Offerings for high quality projects. Listings are based on 9 criteria (i.e. Market competitiveness, security, transparency, fund safety etc. all list can be found here:    _x000D_
_x000D_
We also started a ChainAction movement to promote blockchain industry as a whole (detailed info in answer 6)_x000D_
_x000D_
_x000D_
Unique features:_x000D_
_x000D_
a)  ISO/IEC 27001 Security Certification_x000D_
b) One of the 7 Korean exchanges that passed all 85 security criteria set buy the Ministry of Science and ICT (Korea). Link to Coindesk article_x000D_
c) unique and friendly design for female and millenials_x000D_
d) First and only CEO out of 200 Korean exchanges: Sophie Sunga. She is a former Product Manager of Korbit Exchange and Eljovi MUST crypto Fund Director. Sophie actively promotes and encourage young women to participate in the blockchain industry._x000D_
e) Founders of Korea Blockchain Association: founded for the purpose of promoting healthy and growing blockchain industry and provide guidelines to lawmakers in Korea. Here is the link to the official Korea Blockchain Association website (note: website is in Korean). There is a link to CoindeskKorea article regarding the founding ceremony (Korean). Note: Founding documents were signed by our previous CEO._x000D_
g) founders of ChainAction movement: Non-profit organitization. The info is in the answer number 6: Community engagement._x000D_
Licences (if any)_x000D_
_x000D_
a) ISO/IEC 27001 Security Certification (file attached)_x000D_
b) Korea Internet &amp; Security Agency (KISA) ISMS will be officially issued in June._x000D_
Traction/Adoption/partnerships/Apps/MVPs_x000D_
_x000D_
We currently have 12 187 KYC approved users (90% of our users are Koreans). Did 10 IEOs. Our shareholders include: Genesis Mining, ElJovi, Cubitco and Silver Stern Partners. Partners: Decentre, PayGate, Korea Blockchain Association, Blockchain Center Vilnius, Blockpatch, Blocore. _x000D_
_x000D_
We are currently working on a simple to use mobile app for novice blockchain users and millennials.  Intuitive design, no graphs and difficult to understand technical vocabulary and a few "Frooto" tokens to start a trade are the main features. This way we will be able to reach broader audience of traders and investors._x000D_
_x000D_
_x000D_
Community Engagement:_x000D_
_x000D_
Telegram: 656 REAL members._x000D_
_x000D_
1145 followers in Facebook. _x000D_
_x000D_
Twitter: 200 followers_x000D_
_x000D_
_x000D_
We founded ChainAction movement (twitter page). It is a non- profit movement. We are bounded by the common goal to bring blockchain out of the box by working for a sustainable future and making a real impact. _x000D_
We already participated and sponsored the STS&amp;P (Smart Technology for Sustainable Development &amp; Procurement) 2018 Conference and invited 33 blockchain start ups to present their ideas to the UN and public officials, but there is still a long way to go. So we will again sponsor it in 2019. The projects will have a chance to propose their ideas to UN OPS. We are in process of negotiated MoU with UN OPS. Link here_x000D_
_x000D_
Sophie Sunga Kim actively delivers speeches. She was a panel jury at:_x000D_
_x000D_
• Futura Blockchain Innovators Summit, Spain (futuramasummit.com)_x000D_
• "Block Battle Show" that was hosted by Asian Economic TV, South Korea (http://www.nextsatoshi.com/en/#Judgement)_x000D_
• Blockchain+2019+Data+Challenge, South Korea (lyze.ai/challenge/2019.html#)_x000D_
_x000D_
Founder of ChainAction movement: non-profit organization for blockchain 17 UN Goals_x000D_
• Speaker at UN working meeting on UN global goals and how blockchain can help._x000D_
• WEF boarding meeting  _x000D_
_x000D_
_x000D_
Team/Backers:_x000D_
_x000D_
Sophie Sunga Kim | CEO _x000D_
Eljovi MUST Crypto Fund Director_x000D_
Former Product Manager of Korbit Exchange _x000D_
_x000D_
John Kim | Chief Technology Officer_x000D_
Former Founder, CEO, CTO of JKD Soft_x000D_
Former CTO of Anypoint Media Group _x000D_
_x000D_
Hailey Lee | Product Manager_x000D_
Former UX Designer of Coupang_x000D_
Former Product Manager of Korbit Exchange _x000D_
_x000D_
Sam Kim | Chief Mentor_x000D_
Former Investment Director at AndBeyond P.E. Fund_x000D_
Former Director at K.A.C. Advisory_x000D_
Former VP at Merrill Lynch Bank of America_x000D_
Former Strategy Manager at Pfizer Pharmaceutical  _x000D_
_x000D_
Liam Lee | Chief Information Security Officer_x000D_
CISO / CPO_x000D_
Former Security Officer of Republic of Korea Air Force Headquarters_x000D_
Certified Examiner of ISMS / PIMS / ISO27001  _x000D_
_x000D_
Ria Ko | Chief Financial Officer_x000D_
Former Account Manager of Eberspaecher Exhaust_x000D_
Systems Korea  _x000D_
Trading volume (if possible, explain whether you have any measures to prove that the volume is real)_x000D_
_x000D_
Around 325 /24h. Can be found here:  https://www.coinhills.com/market/exchange/hanbitco/_x000D_
https://coinmarketcap.com/exchanges/hanbitco/_x000D_
_x000D_
_x000D_
Geographical focus:_x000D_
_x000D_
90% of the users are Korean, however available globally. Restricted countries listed below._x000D_
_x000D_
_x000D_
Fee structure: 0.1% trading fees (market maker/taker same). _x000D_
_x000D_
_x000D_
_x000D_
Trading Incentives (e.g. transaction mining, zero fees): None_x000D_
_x000D_
Some one week trading events are sometimes hold  i.e. 200% PayBack events. Also, airdrop events are conducted during listing of a new coin/token._x000D_
_x000D_
_x000D_
Cybersecurity measures:_x000D_
_x000D_
Hanbitco Exchange is one of seven exchanges that met the South Korean government's criteria of information protection and boasts a high level of security._x000D_
For user safety, BitGo multi-signature and cold-walllet storage is used._x000D_
Only a few Hanbitco employees have access to the Cold Wallet._x000D_
It also received the most prestigious ISO27001 certification in the field of  Information Security Management Systems.  _x000D_
KISA (Korean government agency) has completed Hanbitco ISMS audit specializing in security level inspection and information protection. Certificate to be issued in June._x000D_
_x000D_
KYC  is Mandatory. All users have to pass KYC from the first trade.</v>
      </c>
      <c r="N204" s="1060" t="str">
        <v>https://www.hanbitco.com</v>
      </c>
      <c r="O204" s="1082" t="str">
        <v>https://assets.coingecko.com/markets/images/488/small/200_%EB%B2%A0%EC%9D%B4%EC%A7%80.png?1584686295</v>
      </c>
      <c r="P204" s="882" t="b">
        <v>0</v>
      </c>
      <c r="Q204" s="882">
        <v>5</v>
      </c>
      <c r="R204" s="882">
        <v>144</v>
      </c>
      <c r="S204" s="1084">
        <v>553.00320028683541</v>
      </c>
      <c r="T204" s="1084">
        <v>553.00320028683541</v>
      </c>
    </row>
    <row r="205" spans="8:20">
      <c r="H205" s="1043" t="e" vm="1">
        <f ca="1"/>
        <v>#NAME?</v>
      </c>
      <c r="I205" s="901" t="str">
        <v>toko_crypto</v>
      </c>
      <c r="J205" s="882" t="str">
        <v>TokoCrypto</v>
      </c>
      <c r="K205" s="882">
        <v>2017</v>
      </c>
      <c r="L205" s="1062" t="str">
        <v>Indonesia</v>
      </c>
      <c r="M205" s="1062" t="str">
        <v>Founded in June 2017, Tokocrypto was born from a crypto fan group with strong confidence in the examples and benefits that blockchain technology can offer to the public. Tokocrypto aims to be Southeast Asia's leading exchange for digital assets by providing customers with an easy, simple, instant, and secure platform to transact with confidence. Furthermore, Tokocryoto aims to be a community center for members of the crypto world to gather together, allowing for the sharing of technical knowledge and expertise and championing new ideas._x000D_
_x000D_
Teamwork_x000D_
We help each other to solve the problem._x000D_
We work together to realize our big dreams._x000D_
We value the contribution of each member._x000D_
We communicate freely and openly._x000D_
Innovation_x000D_
We accept changes and use data to make decisions._x000D_
We strive to innovate helping users to simplify the process._x000D_
We always try to build something better than before._x000D_
Customer-oriented_x000D_
We focus on solving customer problems._x000D_
We focus on open communication with our customers._x000D_
We build products that everyone will be easy to use._x000D_
Passion_x000D_
We love what we do._x000D_
Contact us_x000D_
Getting what is needed? Let's greet us!_x000D_
_x000D_
support@tokocrypto.com_x000D_
hello@tokocrypto.com_x000D_
_x000D_
Join us_x000D_
What are you waiting for? Start your crypto investment now with Tokocrypto. Register NOW!_x000D_
_x000D_
More information about Tokocrypto, please visit www.tokocrypto.com and news.tokocrypto.com for the latest news in the crypto world.</v>
      </c>
      <c r="N205" s="882" t="str">
        <v>https://tokocrypto.com</v>
      </c>
      <c r="O205" s="1045" t="str">
        <v>https://assets.coingecko.com/markets/images/501/small/toko.png?1578328877</v>
      </c>
      <c r="P205" s="882" t="b">
        <v>0</v>
      </c>
      <c r="Q205" s="882">
        <v>6</v>
      </c>
      <c r="R205" s="882">
        <v>117</v>
      </c>
      <c r="S205" s="1084">
        <v>535.57929513095621</v>
      </c>
      <c r="T205" s="1084">
        <v>535.57929513095621</v>
      </c>
    </row>
    <row r="206" spans="8:20">
      <c r="H206" s="1043" t="e" vm="1">
        <f ca="1"/>
        <v>#NAME?</v>
      </c>
      <c r="I206" s="1059" t="str">
        <v>sushiswap_polygon</v>
      </c>
      <c r="J206" s="1060" t="str">
        <v>Sushiswap (Polygon POS)</v>
      </c>
      <c r="K206" s="1060">
        <v>2021</v>
      </c>
      <c r="L206" s="1061">
        <v>0</v>
      </c>
      <c r="M206" s="1061" t="str">
        <v>Sushiswap on Polygon POS (formerly MATIC) is a DeFi protocol providing services such as swap, earn, yield, launchpad, and more!</v>
      </c>
      <c r="N206" s="1060" t="str">
        <v>https://app.sushi.com/swap</v>
      </c>
      <c r="O206" s="1082" t="str">
        <v>https://assets.coingecko.com/markets/images/668/small/sushiswap-polygon-matic.png?1620476993</v>
      </c>
      <c r="P206" s="882" t="b">
        <v>0</v>
      </c>
      <c r="Q206" s="882">
        <v>5</v>
      </c>
      <c r="R206" s="882">
        <v>145</v>
      </c>
      <c r="S206" s="1084">
        <v>452.27848588710765</v>
      </c>
      <c r="T206" s="1084">
        <v>452.27848588710765</v>
      </c>
    </row>
    <row r="207" spans="8:20">
      <c r="H207" s="1043" t="e" vm="1">
        <f ca="1"/>
        <v>#NAME?</v>
      </c>
      <c r="I207" s="901" t="str">
        <v>luno</v>
      </c>
      <c r="J207" s="882" t="str">
        <v>Luno</v>
      </c>
      <c r="K207" s="882">
        <v>2013</v>
      </c>
      <c r="L207" s="1062" t="str">
        <v>Singapore</v>
      </c>
      <c r="M207" s="1062">
        <v>0</v>
      </c>
      <c r="N207" s="882" t="str">
        <v>https://www.luno.com</v>
      </c>
      <c r="O207" s="1045" t="str">
        <v>https://assets.coingecko.com/markets/images/33/small/luno.jpg?1519996997</v>
      </c>
      <c r="P207" s="882" t="b">
        <v>0</v>
      </c>
      <c r="Q207" s="882">
        <v>7</v>
      </c>
      <c r="R207" s="882">
        <v>77</v>
      </c>
      <c r="S207" s="1084">
        <v>450.69358714149087</v>
      </c>
      <c r="T207" s="1084">
        <v>450.69358714149087</v>
      </c>
    </row>
    <row r="208" spans="8:20">
      <c r="H208" s="1043" t="e" vm="1">
        <f ca="1"/>
        <v>#NAME?</v>
      </c>
      <c r="I208" s="1059" t="str">
        <v>itbit</v>
      </c>
      <c r="J208" s="1060" t="str">
        <v>itBit</v>
      </c>
      <c r="K208" s="1060">
        <v>2013</v>
      </c>
      <c r="L208" s="1061" t="str">
        <v>United States</v>
      </c>
      <c r="M208" s="1061">
        <v>0</v>
      </c>
      <c r="N208" s="1060" t="str">
        <v>https://www.itbit.com/</v>
      </c>
      <c r="O208" s="1082" t="str">
        <v>https://assets.coingecko.com/markets/images/26/small/itbit.png?1519810172</v>
      </c>
      <c r="P208" s="882" t="b">
        <v>0</v>
      </c>
      <c r="Q208" s="882">
        <v>3</v>
      </c>
      <c r="R208" s="882">
        <v>214</v>
      </c>
      <c r="S208" s="1084">
        <v>445.34994773936808</v>
      </c>
      <c r="T208" s="1084">
        <v>56.953008098169001</v>
      </c>
    </row>
    <row r="209" spans="8:20">
      <c r="H209" s="1043" t="e" vm="1">
        <f ca="1"/>
        <v>#NAME?</v>
      </c>
      <c r="I209" s="901" t="str">
        <v>nominex</v>
      </c>
      <c r="J209" s="882" t="str">
        <v>Nominex</v>
      </c>
      <c r="K209" s="882">
        <v>2019</v>
      </c>
      <c r="L209" s="1062" t="str">
        <v>Seychelles</v>
      </c>
      <c r="M209" s="1062" t="str">
        <v>New trading platform for convenient trading experience with low fees and numerous instruments. _x000D_
_x000D_
Absolutely unique affiliate program that allows to earn from an infinite number of referral levels, compared to 2-3 levels at all other exchanges. _x000D_
_x000D_
A unique model for the free 2 phases distribution of the native NMX token._x000D_
_x000D_
Advanced Trading Instruments – using Stop, Stop Limit, Trailing Stop, Scaled and other types of orders brings some kind of trading automation without the need to develop a trading bot, which allows to easily get more profit while trading.</v>
      </c>
      <c r="N209" s="882" t="str">
        <v>https://www.nominex.io</v>
      </c>
      <c r="O209" s="1045" t="str">
        <v>https://assets.coingecko.com/markets/images/530/small/logo-200x200.png?1587543672</v>
      </c>
      <c r="P209" s="882" t="b">
        <v>0</v>
      </c>
      <c r="Q209" s="882">
        <v>7</v>
      </c>
      <c r="R209" s="882">
        <v>78</v>
      </c>
      <c r="S209" s="1084">
        <v>443.15838888427879</v>
      </c>
      <c r="T209" s="1084">
        <v>443.15838888427879</v>
      </c>
    </row>
    <row r="210" spans="8:20">
      <c r="H210" s="1043" t="e" vm="1">
        <f ca="1"/>
        <v>#NAME?</v>
      </c>
      <c r="I210" s="1059" t="str">
        <v>osmosis</v>
      </c>
      <c r="J210" s="1060" t="str">
        <v>Osmosis</v>
      </c>
      <c r="K210" s="1060">
        <v>2021</v>
      </c>
      <c r="L210" s="1061">
        <v>0</v>
      </c>
      <c r="M210" s="1061" t="str">
        <v>Osmosis is an automated market maker (AMM) protocol built for liquidity providers. It is built based on the Cosmos SDK and is the first dex for IBC tokens.</v>
      </c>
      <c r="N210" s="1060" t="str">
        <v>https://app.osmosis.zone/</v>
      </c>
      <c r="O210" s="1082" t="str">
        <v>https://assets.coingecko.com/markets/images/684/small/osmosis-dex.jpeg?1624850295</v>
      </c>
      <c r="P210" s="882" t="b">
        <v>0</v>
      </c>
      <c r="Q210" s="882">
        <v>5</v>
      </c>
      <c r="R210" s="882">
        <v>146</v>
      </c>
      <c r="S210" s="1084">
        <v>376.94335044233299</v>
      </c>
      <c r="T210" s="1084">
        <v>376.94335044233299</v>
      </c>
    </row>
    <row r="211" spans="8:20">
      <c r="H211" s="1043" t="e" vm="1">
        <f ca="1"/>
        <v>#NAME?</v>
      </c>
      <c r="I211" s="901" t="str">
        <v>dmm</v>
      </c>
      <c r="J211" s="882" t="str">
        <v>DMM</v>
      </c>
      <c r="K211" s="882">
        <v>0</v>
      </c>
      <c r="L211" s="1062">
        <v>0</v>
      </c>
      <c r="M211" s="1062">
        <v>0</v>
      </c>
      <c r="N211" s="882" t="str">
        <v>https://dmm.exchange/#/swap</v>
      </c>
      <c r="O211" s="1045" t="str">
        <v>https://assets.coingecko.com/markets/images/647/small/logo_white.2ab2a2dd.png?1618396704</v>
      </c>
      <c r="P211" s="882" t="b">
        <v>0</v>
      </c>
      <c r="Q211" s="882">
        <v>5</v>
      </c>
      <c r="R211" s="882">
        <v>147</v>
      </c>
      <c r="S211" s="1084">
        <v>351.51217186295207</v>
      </c>
      <c r="T211" s="1084">
        <v>351.51217186295207</v>
      </c>
    </row>
    <row r="212" spans="8:20">
      <c r="H212" s="1043" t="e" vm="1">
        <f ca="1"/>
        <v>#NAME?</v>
      </c>
      <c r="I212" s="1059" t="str">
        <v>zipmex</v>
      </c>
      <c r="J212" s="1060" t="str">
        <v>Zipmex</v>
      </c>
      <c r="K212" s="1060">
        <v>2019</v>
      </c>
      <c r="L212" s="1061" t="str">
        <v>Singapore</v>
      </c>
      <c r="M212" s="1061" t="str">
        <v>Launched on September 2019 for Australia, Singapore, and Indonesia, Zipmex is a centralized exchange based in Singapore and Thailand. It supports fiat to crypto pairings, AUD, IDR, SGD, USD, and THB. It is reportedly licensed and regulated in different jurisdictions:_x000D_
_x000D_
Indonesia - Regulated by Bappebti_x000D_
Australia - AUSTRAC regulated_x000D_
Thailand - Regulated &amp; Licensed by Thai SEC_x000D_
Singapore - Applying for PSA (Payment service act license)</v>
      </c>
      <c r="N212" s="1060" t="str">
        <v>https://zipmex.com/</v>
      </c>
      <c r="O212" s="1082" t="str">
        <v>https://assets.coingecko.com/markets/images/616/small/zipmex-logo.png?1611214290</v>
      </c>
      <c r="P212" s="882" t="b">
        <v>0</v>
      </c>
      <c r="Q212" s="882">
        <v>6</v>
      </c>
      <c r="R212" s="882">
        <v>119</v>
      </c>
      <c r="S212" s="1084">
        <v>349.1424519508584</v>
      </c>
      <c r="T212" s="1084">
        <v>349.1424519508584</v>
      </c>
    </row>
    <row r="213" spans="8:20">
      <c r="H213" s="1043" t="e" vm="1">
        <f ca="1"/>
        <v>#NAME?</v>
      </c>
      <c r="I213" s="901" t="str">
        <v>bitbay</v>
      </c>
      <c r="J213" s="882" t="str">
        <v>BitBay</v>
      </c>
      <c r="K213" s="882">
        <v>2014</v>
      </c>
      <c r="L213" s="1062" t="str">
        <v>Malta</v>
      </c>
      <c r="M213" s="1062">
        <v>0</v>
      </c>
      <c r="N213" s="882" t="str">
        <v>https://bitbay.net/en</v>
      </c>
      <c r="O213" s="1045" t="str">
        <v>https://assets.coingecko.com/markets/images/2/small/BitBay-exchange.jpg?1537765063</v>
      </c>
      <c r="P213" s="882" t="b">
        <v>0</v>
      </c>
      <c r="Q213" s="882">
        <v>6</v>
      </c>
      <c r="R213" s="882">
        <v>120</v>
      </c>
      <c r="S213" s="1084">
        <v>338.35800886467342</v>
      </c>
      <c r="T213" s="1084">
        <v>338.35800886467342</v>
      </c>
    </row>
    <row r="214" spans="8:20">
      <c r="H214" s="1043" t="e" vm="1">
        <f ca="1"/>
        <v>#NAME?</v>
      </c>
      <c r="I214" s="1059" t="str">
        <v>bitubu</v>
      </c>
      <c r="J214" s="1060" t="str">
        <v>Bitubu Exchange</v>
      </c>
      <c r="K214" s="1060">
        <v>2019</v>
      </c>
      <c r="L214" s="1061" t="str">
        <v>Turkey</v>
      </c>
      <c r="M214" s="1061" t="str">
        <v>Bitubu Exchange is a turkey based Crypto currency exchange, very user friendly.</v>
      </c>
      <c r="N214" s="1060" t="str">
        <v>https://bitubu.com</v>
      </c>
      <c r="O214" s="1082" t="str">
        <v>https://assets.coingecko.com/markets/images/508/small/7EcLqic7_400x400.png?1580892047</v>
      </c>
      <c r="P214" s="882" t="b">
        <v>0</v>
      </c>
      <c r="Q214" s="882">
        <v>6</v>
      </c>
      <c r="R214" s="882">
        <v>130</v>
      </c>
      <c r="S214" s="1084">
        <v>338.32509706173698</v>
      </c>
      <c r="T214" s="1084">
        <v>0</v>
      </c>
    </row>
    <row r="215" spans="8:20">
      <c r="H215" s="1043" t="e" vm="1">
        <f ca="1"/>
        <v>#NAME?</v>
      </c>
      <c r="I215" s="901" t="str">
        <v>bitstorage</v>
      </c>
      <c r="J215" s="882" t="str">
        <v>BitStorage</v>
      </c>
      <c r="K215" s="882">
        <v>2018</v>
      </c>
      <c r="L215" s="1062" t="str">
        <v>Seychelles</v>
      </c>
      <c r="M215" s="1062">
        <v>0</v>
      </c>
      <c r="N215" s="882" t="str">
        <v>https://bitstorage.finance/</v>
      </c>
      <c r="O215" s="1045" t="str">
        <v>https://assets.coingecko.com/markets/images/394/small/logo2.png?1556783693</v>
      </c>
      <c r="P215" s="882" t="b">
        <v>0</v>
      </c>
      <c r="Q215" s="882">
        <v>4</v>
      </c>
      <c r="R215" s="882">
        <v>180</v>
      </c>
      <c r="S215" s="1084">
        <v>329.59053013470833</v>
      </c>
      <c r="T215" s="1084">
        <v>167.24435969384925</v>
      </c>
    </row>
    <row r="216" spans="8:20">
      <c r="H216" s="1043" t="e" vm="1">
        <f ca="1"/>
        <v>#NAME?</v>
      </c>
      <c r="I216" s="1059" t="str">
        <v>cryptology</v>
      </c>
      <c r="J216" s="1060" t="str">
        <v>Cryptology</v>
      </c>
      <c r="K216" s="1060">
        <v>2018</v>
      </c>
      <c r="L216" s="1061" t="str">
        <v>Estonia</v>
      </c>
      <c r="M216" s="1061">
        <v>0</v>
      </c>
      <c r="N216" s="1060" t="str">
        <v>https://cryptology.com/</v>
      </c>
      <c r="O216" s="1082" t="str">
        <v>https://assets.coingecko.com/markets/images/287/small/cryptology.png?1541390904</v>
      </c>
      <c r="P216" s="882" t="b">
        <v>0</v>
      </c>
      <c r="Q216" s="882">
        <v>5</v>
      </c>
      <c r="R216" s="882">
        <v>150</v>
      </c>
      <c r="S216" s="1084">
        <v>328.94532654090841</v>
      </c>
      <c r="T216" s="1084">
        <v>251.96857143121832</v>
      </c>
    </row>
    <row r="217" spans="8:20">
      <c r="H217" s="1043" t="e" vm="1">
        <f ca="1"/>
        <v>#NAME?</v>
      </c>
      <c r="I217" s="901" t="str">
        <v>spiritswap</v>
      </c>
      <c r="J217" s="882" t="str">
        <v>SpiritSwap</v>
      </c>
      <c r="K217" s="882">
        <v>2021</v>
      </c>
      <c r="L217" s="1062">
        <v>0</v>
      </c>
      <c r="M217" s="1062" t="str">
        <v>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and $SPIRIT stakers.</v>
      </c>
      <c r="N217" s="882" t="str">
        <v>https://app.spiritswap.finance/#/</v>
      </c>
      <c r="O217" s="1045" t="str">
        <v>https://assets.coingecko.com/markets/images/671/small/spiritswap.png?1620965165</v>
      </c>
      <c r="P217" s="882" t="b">
        <v>0</v>
      </c>
      <c r="Q217" s="882">
        <v>4</v>
      </c>
      <c r="R217" s="882">
        <v>178</v>
      </c>
      <c r="S217" s="1084">
        <v>324.5195834849402</v>
      </c>
      <c r="T217" s="1084">
        <v>324.5195834849402</v>
      </c>
    </row>
    <row r="218" spans="8:20">
      <c r="H218" s="1043" t="e" vm="1">
        <f ca="1"/>
        <v>#NAME?</v>
      </c>
      <c r="I218" s="1059" t="str">
        <v>etorox</v>
      </c>
      <c r="J218" s="1060" t="str">
        <v>eToroX</v>
      </c>
      <c r="K218" s="1060">
        <v>2019</v>
      </c>
      <c r="L218" s="1061" t="str">
        <v>Gibraltar</v>
      </c>
      <c r="M218" s="1061" t="str">
        <v>eToroX is eToro’s professional crypto exchange. Designed exclusively for the corporate and institutional-grade crypto trading community, the eToroX exchange is a highly effective, trusted and secure crypto trading solution, which is licensed and regulated by the Gibraltar Financial Services Commission under the Investments and Financial Fiduciary Services Act (licence number FSC1333B). eToroX currently has more than 30 digital assets, including 17 tokenized fiat and commodity stablecoins, and more than 100 trading pairs.</v>
      </c>
      <c r="N218" s="1060" t="str">
        <v>https://www.etorox.com/</v>
      </c>
      <c r="O218" s="1082" t="str">
        <v>https://assets.coingecko.com/markets/images/503/small/eToroX_Logo_400x400.jpg?1580209571</v>
      </c>
      <c r="P218" s="882" t="b">
        <v>0</v>
      </c>
      <c r="Q218" s="882">
        <v>7</v>
      </c>
      <c r="R218" s="882">
        <v>79</v>
      </c>
      <c r="S218" s="1084">
        <v>316.35227008817617</v>
      </c>
      <c r="T218" s="1084">
        <v>316.35227008817617</v>
      </c>
    </row>
    <row r="219" spans="8:20">
      <c r="H219" s="1043" t="e" vm="1">
        <f ca="1"/>
        <v>#NAME?</v>
      </c>
      <c r="I219" s="901" t="str">
        <v>shibaswap</v>
      </c>
      <c r="J219" s="882" t="str">
        <v>Shibaswap</v>
      </c>
      <c r="K219" s="882">
        <v>2021</v>
      </c>
      <c r="L219" s="1062">
        <v>0</v>
      </c>
      <c r="M219" s="1062" t="str">
        <v>Shibaswap is an automated market maker based decentralized exchange launched by the Shiba Inu team.</v>
      </c>
      <c r="N219" s="882" t="str">
        <v>https://shibaswap.com/#/</v>
      </c>
      <c r="O219" s="1045" t="str">
        <v>https://assets.coingecko.com/markets/images/686/small/shibaswap.png?1625986970</v>
      </c>
      <c r="P219" s="882" t="b">
        <v>0</v>
      </c>
      <c r="Q219" s="882">
        <v>5</v>
      </c>
      <c r="R219" s="882">
        <v>148</v>
      </c>
      <c r="S219" s="1084">
        <v>298.20279704852607</v>
      </c>
      <c r="T219" s="1084">
        <v>298.20279704852607</v>
      </c>
    </row>
    <row r="220" spans="8:20">
      <c r="H220" s="1043" t="e" vm="1">
        <f ca="1"/>
        <v>#NAME?</v>
      </c>
      <c r="I220" s="1059" t="str">
        <v>balancer_v1</v>
      </c>
      <c r="J220" s="1060" t="str">
        <v>Balancer (v1)</v>
      </c>
      <c r="K220" s="1060">
        <v>2020</v>
      </c>
      <c r="L220" s="1061">
        <v>0</v>
      </c>
      <c r="M220" s="1061" t="str">
        <v>Balancer is a non-custodial portfolio manager, liquidity provider, and price sensor</v>
      </c>
      <c r="N220" s="1060" t="str">
        <v>https://balancer.exchange/#/swap</v>
      </c>
      <c r="O220" s="1082" t="str">
        <v>https://assets.coingecko.com/markets/images/537/small/Balancer.png?1591631731</v>
      </c>
      <c r="P220" s="882" t="b">
        <v>0</v>
      </c>
      <c r="Q220" s="882">
        <v>3</v>
      </c>
      <c r="R220" s="882">
        <v>179</v>
      </c>
      <c r="S220" s="1084">
        <v>282.2655534192956</v>
      </c>
      <c r="T220" s="1084">
        <v>282.2655534192956</v>
      </c>
    </row>
    <row r="221" spans="8:20">
      <c r="H221" s="1043" t="e" vm="1">
        <f ca="1"/>
        <v>#NAME?</v>
      </c>
      <c r="I221" s="901" t="str">
        <v>korbit</v>
      </c>
      <c r="J221" s="882" t="str">
        <v>Korbit</v>
      </c>
      <c r="K221" s="882">
        <v>2013</v>
      </c>
      <c r="L221" s="1062" t="str">
        <v>South Korea</v>
      </c>
      <c r="M221" s="1062">
        <v>0</v>
      </c>
      <c r="N221" s="882" t="str">
        <v>https://www.korbit.co.kr/</v>
      </c>
      <c r="O221" s="1045" t="str">
        <v>https://assets.coingecko.com/markets/images/28/small/korbit-logo.png?1584091827</v>
      </c>
      <c r="P221" s="882" t="b">
        <v>0</v>
      </c>
      <c r="Q221" s="882">
        <v>7</v>
      </c>
      <c r="R221" s="882">
        <v>80</v>
      </c>
      <c r="S221" s="1084">
        <v>279.17583845565463</v>
      </c>
      <c r="T221" s="1084">
        <v>279.17583845565463</v>
      </c>
    </row>
    <row r="222" spans="8:20">
      <c r="H222" s="1043" t="e" vm="1">
        <f ca="1"/>
        <v>#NAME?</v>
      </c>
      <c r="I222" s="1059" t="str">
        <v>apeswap</v>
      </c>
      <c r="J222" s="1060" t="str">
        <v>ApeSwap</v>
      </c>
      <c r="K222" s="1060">
        <v>2021</v>
      </c>
      <c r="L222" s="1061">
        <v>0</v>
      </c>
      <c r="M222" s="1061" t="str">
        <v>ApeSwap is an Automated Market Maker, Yield Farming, and Staking platform on Binance Smart Chain (forked from PancakeSwap). ApeSwap was built by DeFi Apes, for DeFi Apes. We have a dedicated team of experienced monkeys, who have been in the crypto space for years. $BANANA is the native currency of our platform. Stake, pool, and earn $BANANA all on ApeSwap._x000D_
_x000D_
You can view our platform and additional details at ApeSwap.Finance</v>
      </c>
      <c r="N222" s="1060" t="str">
        <v>https://apeswap.finance</v>
      </c>
      <c r="O222" s="1082" t="str">
        <v>https://assets.coingecko.com/markets/images/651/small/APESWAP.png?1618806870</v>
      </c>
      <c r="P222" s="882" t="b">
        <v>0</v>
      </c>
      <c r="Q222" s="882">
        <v>5</v>
      </c>
      <c r="R222" s="882">
        <v>149</v>
      </c>
      <c r="S222" s="1084">
        <v>267.523444558221</v>
      </c>
      <c r="T222" s="1084">
        <v>267.523444558221</v>
      </c>
    </row>
    <row r="223" spans="8:20">
      <c r="H223" s="1043" t="e" vm="1">
        <f ca="1"/>
        <v>#NAME?</v>
      </c>
      <c r="I223" s="901" t="str">
        <v>b2bx</v>
      </c>
      <c r="J223" s="882" t="str">
        <v>B2BX</v>
      </c>
      <c r="K223" s="882">
        <v>2017</v>
      </c>
      <c r="L223" s="1062" t="str">
        <v>Estonia</v>
      </c>
      <c r="M223" s="1062">
        <v>0</v>
      </c>
      <c r="N223" s="882" t="str">
        <v>https://www.b2bx.exchange/</v>
      </c>
      <c r="O223" s="1045" t="str">
        <v>https://assets.coingecko.com/markets/images/226/small/b2bx.jpg?1534242273</v>
      </c>
      <c r="P223" s="882" t="b">
        <v>0</v>
      </c>
      <c r="Q223" s="882">
        <v>9</v>
      </c>
      <c r="R223" s="882">
        <v>24</v>
      </c>
      <c r="S223" s="1084">
        <v>243.11796219131151</v>
      </c>
      <c r="T223" s="1084">
        <v>243.11796219131151</v>
      </c>
    </row>
    <row r="224" spans="8:20">
      <c r="H224" s="1043" t="e" vm="1">
        <f ca="1"/>
        <v>#NAME?</v>
      </c>
      <c r="I224" s="1059" t="str">
        <v>max_maicoin</v>
      </c>
      <c r="J224" s="1060" t="str">
        <v>Max Maicoin</v>
      </c>
      <c r="K224" s="1060">
        <v>0</v>
      </c>
      <c r="L224" s="1061" t="str">
        <v>Taiwan</v>
      </c>
      <c r="M224" s="1061">
        <v>0</v>
      </c>
      <c r="N224" s="1060" t="str">
        <v>https://max.maicoin.com</v>
      </c>
      <c r="O224" s="1082" t="str">
        <v>https://assets.coingecko.com/markets/images/218/small/max.jpg?1533888641</v>
      </c>
      <c r="P224" s="882" t="b">
        <v>0</v>
      </c>
      <c r="Q224" s="882">
        <v>8</v>
      </c>
      <c r="R224" s="882">
        <v>43</v>
      </c>
      <c r="S224" s="1084">
        <v>238.7219534947142</v>
      </c>
      <c r="T224" s="1084">
        <v>238.7219534947142</v>
      </c>
    </row>
    <row r="225" spans="8:20">
      <c r="H225" s="1043" t="e" vm="1">
        <f ca="1"/>
        <v>#NAME?</v>
      </c>
      <c r="I225" s="901" t="str">
        <v>mirror</v>
      </c>
      <c r="J225" s="882" t="str">
        <v>Terraswap</v>
      </c>
      <c r="K225" s="882">
        <v>0</v>
      </c>
      <c r="L225" s="1062">
        <v>0</v>
      </c>
      <c r="M225" s="1062" t="str">
        <v>Terraswap is the first AMM DEX on Terra, operated by DELIGHT LABS. Currently, Terraswap covers Mirrored assets, Anchor protocol, Pylon protocol, LOTA, DPH, and Terra stablecoins. Anyone can mint your own token &amp; pairs and list them on Terraswap automatically.</v>
      </c>
      <c r="N225" s="882" t="str">
        <v>https://app.terraswap.io/#Swap</v>
      </c>
      <c r="O225" s="1045" t="str">
        <v>https://assets.coingecko.com/markets/images/606/small/terraswap.png?1616052222</v>
      </c>
      <c r="P225" s="882" t="b">
        <v>0</v>
      </c>
      <c r="Q225" s="882">
        <v>6</v>
      </c>
      <c r="R225" s="882">
        <v>121</v>
      </c>
      <c r="S225" s="1084">
        <v>213.58473632644751</v>
      </c>
      <c r="T225" s="1084">
        <v>213.58473632644751</v>
      </c>
    </row>
    <row r="226" spans="8:20">
      <c r="H226" s="1043" t="e" vm="1">
        <f ca="1"/>
        <v>#NAME?</v>
      </c>
      <c r="I226" s="1059" t="str">
        <v>coinfield</v>
      </c>
      <c r="J226" s="1060" t="str">
        <v>Coinfield</v>
      </c>
      <c r="K226" s="1060">
        <v>0</v>
      </c>
      <c r="L226" s="1061" t="str">
        <v>Canada</v>
      </c>
      <c r="M226" s="1061">
        <v>0</v>
      </c>
      <c r="N226" s="1060" t="str">
        <v>https://www.coinfield.com/</v>
      </c>
      <c r="O226" s="1082" t="str">
        <v>https://assets.coingecko.com/markets/images/188/small/coinfield.jpg?1529816716</v>
      </c>
      <c r="P226" s="882" t="b">
        <v>0</v>
      </c>
      <c r="Q226" s="882">
        <v>7</v>
      </c>
      <c r="R226" s="882">
        <v>81</v>
      </c>
      <c r="S226" s="1084">
        <v>213.0549679441219</v>
      </c>
      <c r="T226" s="1084">
        <v>213.0549679441219</v>
      </c>
    </row>
    <row r="227" spans="8:20">
      <c r="H227" s="1043" t="e" vm="1">
        <f ca="1"/>
        <v>#NAME?</v>
      </c>
      <c r="I227" s="901" t="str">
        <v>independent_reserve</v>
      </c>
      <c r="J227" s="882" t="str">
        <v>Independent Reserve</v>
      </c>
      <c r="K227" s="882">
        <v>2013</v>
      </c>
      <c r="L227" s="1062" t="str">
        <v>Australia</v>
      </c>
      <c r="M227" s="1062">
        <v>0</v>
      </c>
      <c r="N227" s="882" t="str">
        <v>https://www.independentreserve.com/</v>
      </c>
      <c r="O227" s="1045" t="str">
        <v>https://assets.coingecko.com/markets/images/389/small/x_V5Jquo_400x400.png?1556071437</v>
      </c>
      <c r="P227" s="882" t="b">
        <v>0</v>
      </c>
      <c r="Q227" s="882">
        <v>7</v>
      </c>
      <c r="R227" s="882">
        <v>82</v>
      </c>
      <c r="S227" s="1084">
        <v>185.73570610178925</v>
      </c>
      <c r="T227" s="1084">
        <v>185.73570610178925</v>
      </c>
    </row>
    <row r="228" spans="8:20">
      <c r="H228" s="1043" t="e" vm="1">
        <f ca="1"/>
        <v>#NAME?</v>
      </c>
      <c r="I228" s="1059" t="str">
        <v>bitso</v>
      </c>
      <c r="J228" s="1060" t="str">
        <v>Bitso</v>
      </c>
      <c r="K228" s="1060">
        <v>2014</v>
      </c>
      <c r="L228" s="1061" t="str">
        <v>Mexico</v>
      </c>
      <c r="M228" s="1061">
        <v>0</v>
      </c>
      <c r="N228" s="1060" t="str">
        <v>https://bitso.com</v>
      </c>
      <c r="O228" s="1082" t="str">
        <v>https://assets.coingecko.com/markets/images/8/small/Bitso-icon-dark.png?1581909156</v>
      </c>
      <c r="P228" s="882" t="b">
        <v>0</v>
      </c>
      <c r="Q228" s="882">
        <v>9</v>
      </c>
      <c r="R228" s="882">
        <v>25</v>
      </c>
      <c r="S228" s="1084">
        <v>179.9698100424423</v>
      </c>
      <c r="T228" s="1084">
        <v>179.9698100424423</v>
      </c>
    </row>
    <row r="229" spans="8:20">
      <c r="H229" s="1043" t="e" vm="1">
        <f ca="1"/>
        <v>#NAME?</v>
      </c>
      <c r="I229" s="901" t="str">
        <v>sushiswap_harmony</v>
      </c>
      <c r="J229" s="882" t="str">
        <v>Sushiswap (Harmony)</v>
      </c>
      <c r="K229" s="882">
        <v>0</v>
      </c>
      <c r="L229" s="1062">
        <v>0</v>
      </c>
      <c r="M229" s="1062">
        <v>0</v>
      </c>
      <c r="N229" s="882" t="str">
        <v>https://app.sushi.com/swap</v>
      </c>
      <c r="O229" s="1045" t="str">
        <v>https://assets.coingecko.com/markets/images/700/small/sushiswap.png?1630817471</v>
      </c>
      <c r="P229" s="882" t="b">
        <v>0</v>
      </c>
      <c r="Q229" s="882">
        <v>5</v>
      </c>
      <c r="R229" s="882">
        <v>151</v>
      </c>
      <c r="S229" s="1084">
        <v>163.86284257367811</v>
      </c>
      <c r="T229" s="1084">
        <v>163.86284257367811</v>
      </c>
    </row>
    <row r="230" spans="8:20">
      <c r="H230" s="1043" t="e" vm="1">
        <f ca="1"/>
        <v>#NAME?</v>
      </c>
      <c r="I230" s="1059" t="str">
        <v>stormgain</v>
      </c>
      <c r="J230" s="1060" t="str">
        <v>Stormgain</v>
      </c>
      <c r="K230" s="1060">
        <v>0</v>
      </c>
      <c r="L230" s="1061">
        <v>0</v>
      </c>
      <c r="M230" s="1061" t="str">
        <v>StormGain is a crypto trading platform for everyone. It’s a convenient solution for those who want to profit from either the growth or decline of the cryptocurrency market and from long-term investments in crypto assets._x000D_
Available on any device, StormGain allows you to start trading the most popular and most capitalised coins with a multiplier of up to 200x, or you can just buy and hodl crypto.</v>
      </c>
      <c r="N230" s="1060" t="str">
        <v>https://stormgain.com/?utm_id=1DSE&amp;utm_source=coingecko_storm&amp;utm_medium=media&amp;utm_campaign=listing&amp;utm_country=en</v>
      </c>
      <c r="O230" s="1082" t="str">
        <v>https://assets.coingecko.com/markets/images/608/small/CpDGk9Hn_400x400.png?1607582976</v>
      </c>
      <c r="P230" s="882" t="b">
        <v>0</v>
      </c>
      <c r="Q230" s="882">
        <v>7</v>
      </c>
      <c r="R230" s="882">
        <v>83</v>
      </c>
      <c r="S230" s="1084">
        <v>154.86942972615682</v>
      </c>
      <c r="T230" s="1084">
        <v>154.86942972615682</v>
      </c>
    </row>
    <row r="231" spans="8:20">
      <c r="H231" s="1043" t="e" vm="1">
        <f ca="1"/>
        <v>#NAME?</v>
      </c>
      <c r="I231" s="901" t="str">
        <v>novadax</v>
      </c>
      <c r="J231" s="882" t="str">
        <v>NovaDAX</v>
      </c>
      <c r="K231" s="882">
        <v>2018</v>
      </c>
      <c r="L231" s="1062" t="str">
        <v>Brazil</v>
      </c>
      <c r="M231" s="1062">
        <v>0</v>
      </c>
      <c r="N231" s="882" t="str">
        <v>https://www.novadax.com.br/</v>
      </c>
      <c r="O231" s="1045" t="str">
        <v>https://assets.coingecko.com/markets/images/328/small/preview-full-novadax-exchange.jpg?1575440958</v>
      </c>
      <c r="P231" s="882" t="b">
        <v>0</v>
      </c>
      <c r="Q231" s="882">
        <v>6</v>
      </c>
      <c r="R231" s="882">
        <v>122</v>
      </c>
      <c r="S231" s="1084">
        <v>146.97163873792519</v>
      </c>
      <c r="T231" s="1084">
        <v>146.97163873792519</v>
      </c>
    </row>
    <row r="232" spans="8:20">
      <c r="H232" s="1043" t="e" vm="1">
        <f ca="1"/>
        <v>#NAME?</v>
      </c>
      <c r="I232" s="1059" t="str">
        <v>flybit</v>
      </c>
      <c r="J232" s="1060" t="str">
        <v>Flybit</v>
      </c>
      <c r="K232" s="1060">
        <v>2018</v>
      </c>
      <c r="L232" s="1061" t="str">
        <v>South Korea</v>
      </c>
      <c r="M232" s="1061">
        <v>0</v>
      </c>
      <c r="N232" s="1060" t="str">
        <v>https://flybit.com</v>
      </c>
      <c r="O232" s="1082" t="str">
        <v>https://assets.coingecko.com/markets/images/655/small/flybit_logo_%EA%B0%80%EB%A1%9C%ED%98%95.png?1619148627</v>
      </c>
      <c r="P232" s="882" t="b">
        <v>1</v>
      </c>
      <c r="Q232" s="882">
        <v>7</v>
      </c>
      <c r="R232" s="882">
        <v>84</v>
      </c>
      <c r="S232" s="1084">
        <v>138.54989608005954</v>
      </c>
      <c r="T232" s="1084">
        <v>138.54989608005954</v>
      </c>
    </row>
    <row r="233" spans="8:20">
      <c r="H233" s="1043" t="e" vm="1">
        <f ca="1"/>
        <v>#NAME?</v>
      </c>
      <c r="I233" s="901" t="str">
        <v>coinjar</v>
      </c>
      <c r="J233" s="882" t="str">
        <v>CoinJar Exchange</v>
      </c>
      <c r="K233" s="882">
        <v>2013</v>
      </c>
      <c r="L233" s="1062" t="str">
        <v>United Kingdom</v>
      </c>
      <c r="M233" s="1062" t="str">
        <v>Established in May 2013, CoinJar is the easiest way to buy, sell, store and spend cryptocurrency in the UK and Australia. CoinJar has processed over USD 1.5+ billion in transactions and is used by hundreds of thousands cryptocurrency traders and investors. CoinJar's iOS and Android apps allow users to trade cryptocurrencies on the go, while CoinJar Exchange and CoinJar OTC Trading Desk cater for professional traders, as well as individuals and institutions looking to make larger transactions. CoinJar’s fees start at 1% and go as low as 0.1% for high volume traders. CoinJar provides free and almost instant deposits and withdrawals using Faster Payments Services in the UK and Osko / PayID / NPP in Australia, allowing CoinJar’s new customers to start trading in minutes across 2 fiat currencies and 13 cryptocurrencies. CoinJar has implemented a robust AML/KYC program and is registered with government bodies in the UK and Australia.</v>
      </c>
      <c r="N233" s="882" t="str">
        <v>https://exchange.coinjar.com/</v>
      </c>
      <c r="O233" s="1045" t="str">
        <v>https://assets.coingecko.com/markets/images/176/small/coinjar.png?1559276302</v>
      </c>
      <c r="P233" s="882" t="b">
        <v>0</v>
      </c>
      <c r="Q233" s="882">
        <v>4</v>
      </c>
      <c r="R233" s="882">
        <v>181</v>
      </c>
      <c r="S233" s="1084">
        <v>138.38240367555869</v>
      </c>
      <c r="T233" s="1084">
        <v>138.38240367555869</v>
      </c>
    </row>
    <row r="234" spans="8:20">
      <c r="H234" s="1043" t="e" vm="1">
        <f ca="1"/>
        <v>#NAME?</v>
      </c>
      <c r="I234" s="1059" t="str">
        <v>bitopro</v>
      </c>
      <c r="J234" s="1060" t="str">
        <v>BitoPro</v>
      </c>
      <c r="K234" s="1060">
        <v>2018</v>
      </c>
      <c r="L234" s="1061" t="str">
        <v>Taiwan</v>
      </c>
      <c r="M234" s="1061">
        <v>0</v>
      </c>
      <c r="N234" s="1060" t="str">
        <v>https://www.bitopro.com/</v>
      </c>
      <c r="O234" s="1082" t="str">
        <v>https://assets.coingecko.com/markets/images/358/small/bitopro_coingecko_250x250_%281%29.png?1575884378</v>
      </c>
      <c r="P234" s="882" t="b">
        <v>0</v>
      </c>
      <c r="Q234" s="882">
        <v>8</v>
      </c>
      <c r="R234" s="882">
        <v>44</v>
      </c>
      <c r="S234" s="1084">
        <v>127.8974052846099</v>
      </c>
      <c r="T234" s="1084">
        <v>127.8974052846099</v>
      </c>
    </row>
    <row r="235" spans="8:20">
      <c r="H235" s="1043" t="e" vm="1">
        <f ca="1"/>
        <v>#NAME?</v>
      </c>
      <c r="I235" s="901" t="str">
        <v>btcmarkets</v>
      </c>
      <c r="J235" s="882" t="str">
        <v>BTCMarkets</v>
      </c>
      <c r="K235" s="882">
        <v>0</v>
      </c>
      <c r="L235" s="1062" t="str">
        <v>Australia</v>
      </c>
      <c r="M235" s="1062">
        <v>0</v>
      </c>
      <c r="N235" s="882" t="str">
        <v>https://www.btcmarkets.net/</v>
      </c>
      <c r="O235" s="1045" t="str">
        <v>https://assets.coingecko.com/markets/images/237/small/btcmarkets-exchange.jpg?1536726060</v>
      </c>
      <c r="P235" s="882" t="b">
        <v>0</v>
      </c>
      <c r="Q235" s="882">
        <v>7</v>
      </c>
      <c r="R235" s="882">
        <v>85</v>
      </c>
      <c r="S235" s="1084">
        <v>124.50873761619036</v>
      </c>
      <c r="T235" s="1084">
        <v>124.50873761619036</v>
      </c>
    </row>
    <row r="236" spans="8:20">
      <c r="H236" s="1043" t="e" vm="1">
        <f ca="1"/>
        <v>#NAME?</v>
      </c>
      <c r="I236" s="1059" t="str">
        <v>balancer_polygon</v>
      </c>
      <c r="J236" s="1060" t="str">
        <v>Balancer (Polygon)</v>
      </c>
      <c r="K236" s="1060">
        <v>0</v>
      </c>
      <c r="L236" s="1061">
        <v>0</v>
      </c>
      <c r="M236" s="1061">
        <v>0</v>
      </c>
      <c r="N236" s="1060" t="str">
        <v>https://polygon.balancer.fi/#/trade</v>
      </c>
      <c r="O236" s="1082" t="str">
        <v>https://assets.coingecko.com/markets/images/694/small/Balancer.png?1628656480</v>
      </c>
      <c r="P236" s="882" t="b">
        <v>0</v>
      </c>
      <c r="Q236" s="882">
        <v>5</v>
      </c>
      <c r="R236" s="882">
        <v>152</v>
      </c>
      <c r="S236" s="1084">
        <v>121.17326709536977</v>
      </c>
      <c r="T236" s="1084">
        <v>121.17326709536977</v>
      </c>
    </row>
    <row r="237" spans="8:20">
      <c r="H237" s="1043" t="e" vm="1">
        <f ca="1"/>
        <v>#NAME?</v>
      </c>
      <c r="I237" s="901" t="str">
        <v>bgogo</v>
      </c>
      <c r="J237" s="882" t="str">
        <v>Bgogo</v>
      </c>
      <c r="K237" s="882">
        <v>2018</v>
      </c>
      <c r="L237" s="1062" t="str">
        <v>Cayman Islands</v>
      </c>
      <c r="M237" s="1062">
        <v>0</v>
      </c>
      <c r="N237" s="882" t="str">
        <v>https://bgogo.com/</v>
      </c>
      <c r="O237" s="1045" t="str">
        <v>https://assets.coingecko.com/markets/images/266/small/bgogo.png?1537266523</v>
      </c>
      <c r="P237" s="882" t="b">
        <v>1</v>
      </c>
      <c r="Q237" s="882">
        <v>3</v>
      </c>
      <c r="R237" s="882">
        <v>209</v>
      </c>
      <c r="S237" s="1084">
        <v>117.00282692072294</v>
      </c>
      <c r="T237" s="1084">
        <v>117.00282692072294</v>
      </c>
    </row>
    <row r="238" spans="8:20">
      <c r="H238" s="1043" t="e" vm="1">
        <f ca="1"/>
        <v>#NAME?</v>
      </c>
      <c r="I238" s="1059" t="str">
        <v>tidex</v>
      </c>
      <c r="J238" s="1060" t="str">
        <v>Tidex</v>
      </c>
      <c r="K238" s="1060">
        <v>2017</v>
      </c>
      <c r="L238" s="1061" t="str">
        <v>United Kingdom</v>
      </c>
      <c r="M238" s="1061">
        <v>0</v>
      </c>
      <c r="N238" s="1060" t="str">
        <v>https://tidex.com/</v>
      </c>
      <c r="O238" s="1082" t="str">
        <v>https://assets.coingecko.com/markets/images/43/small/short-logo-dark-800x800.png?1617792653</v>
      </c>
      <c r="P238" s="882" t="b">
        <v>0</v>
      </c>
      <c r="Q238" s="882">
        <v>5</v>
      </c>
      <c r="R238" s="882">
        <v>153</v>
      </c>
      <c r="S238" s="1084">
        <v>113.09479760053418</v>
      </c>
      <c r="T238" s="1084">
        <v>113.09479760053418</v>
      </c>
    </row>
    <row r="239" spans="8:20">
      <c r="H239" s="1043" t="e" vm="1">
        <f ca="1"/>
        <v>#NAME?</v>
      </c>
      <c r="I239" s="901" t="str">
        <v>bitpanda</v>
      </c>
      <c r="J239" s="882" t="str">
        <v>Bitpanda Pro</v>
      </c>
      <c r="K239" s="882">
        <v>2019</v>
      </c>
      <c r="L239" s="1062" t="str">
        <v>Austria</v>
      </c>
      <c r="M239" s="1062">
        <v>0</v>
      </c>
      <c r="N239" s="882" t="str">
        <v>https://exchange.bitpanda.com</v>
      </c>
      <c r="O239" s="1045" t="str">
        <v>https://assets.coingecko.com/markets/images/474/small/appicon-ios-pro.png?1622626638</v>
      </c>
      <c r="P239" s="882" t="b">
        <v>0</v>
      </c>
      <c r="Q239" s="882">
        <v>7</v>
      </c>
      <c r="R239" s="882">
        <v>86</v>
      </c>
      <c r="S239" s="1084">
        <v>112.83455881619844</v>
      </c>
      <c r="T239" s="1084">
        <v>112.83455881619844</v>
      </c>
    </row>
    <row r="240" spans="8:20">
      <c r="H240" s="1043" t="e" vm="1">
        <f ca="1"/>
        <v>#NAME?</v>
      </c>
      <c r="I240" s="1059" t="str">
        <v>coindcx</v>
      </c>
      <c r="J240" s="1060" t="str">
        <v>CoinDCX</v>
      </c>
      <c r="K240" s="1060">
        <v>2018</v>
      </c>
      <c r="L240" s="1061" t="str">
        <v>Singapore</v>
      </c>
      <c r="M240" s="1061" t="str">
        <v xml:space="preserve">Started on April 7th, 2018, CoinDCX is a Singapore-based company that specializes in crypto-enabled financial services. Offering you the simplest yet robust trading environment to trade 200+ coins, 500+ markets, and 150+ coins on leverage at lightning speed._x000D_
_x000D_
With major fintech innovations going across the world, DCX is bringing a revolution with its crypto-based products. DCX is not just for the banked or unbanked, DCX aims to build an all-inclusive ecosystem by bringing trust between the trustless. DCX is focused on developing borderless financial services which ensure faster, simpler, and uninterrupted flow of capital._x000D_
Through its array of products, DCX is upgrading lives every day._x000D_
</v>
      </c>
      <c r="N240" s="1060" t="str">
        <v>https://www.coindcx.com</v>
      </c>
      <c r="O240" s="1082" t="str">
        <v>https://assets.coingecko.com/markets/images/520/small/coindcx.png?1585318880</v>
      </c>
      <c r="P240" s="882" t="b">
        <v>0</v>
      </c>
      <c r="Q240" s="882">
        <v>6</v>
      </c>
      <c r="R240" s="882">
        <v>123</v>
      </c>
      <c r="S240" s="1084">
        <v>100.2262750464601</v>
      </c>
      <c r="T240" s="1084">
        <v>100.2262750464601</v>
      </c>
    </row>
    <row r="241" spans="8:20">
      <c r="H241" s="1043" t="e" vm="1">
        <f ca="1"/>
        <v>#NAME?</v>
      </c>
      <c r="I241" s="901" t="str">
        <v>crex24</v>
      </c>
      <c r="J241" s="882" t="str">
        <v>CREX24</v>
      </c>
      <c r="K241" s="882">
        <v>2017</v>
      </c>
      <c r="L241" s="1062" t="str">
        <v>Seychelles</v>
      </c>
      <c r="M241" s="1062">
        <v>0</v>
      </c>
      <c r="N241" s="882" t="str">
        <v>https://crex24.com/</v>
      </c>
      <c r="O241" s="1045" t="str">
        <v>https://assets.coingecko.com/markets/images/138/small/Webp.net-resizeimage_%285%29.png?1523419476</v>
      </c>
      <c r="P241" s="882" t="b">
        <v>0</v>
      </c>
      <c r="Q241" s="882">
        <v>4</v>
      </c>
      <c r="R241" s="882">
        <v>182</v>
      </c>
      <c r="S241" s="1084">
        <v>94.101718330738819</v>
      </c>
      <c r="T241" s="1084">
        <v>94.101718330738819</v>
      </c>
    </row>
    <row r="242" spans="8:20">
      <c r="H242" s="1043" t="e" vm="1">
        <f ca="1"/>
        <v>#NAME?</v>
      </c>
      <c r="I242" s="1059" t="str">
        <v>zaif</v>
      </c>
      <c r="J242" s="1060" t="str">
        <v>Zaif</v>
      </c>
      <c r="K242" s="1060">
        <v>2015</v>
      </c>
      <c r="L242" s="1061" t="str">
        <v>Japan</v>
      </c>
      <c r="M242" s="1061">
        <v>0</v>
      </c>
      <c r="N242" s="1060" t="str">
        <v>https://zaif.jp/</v>
      </c>
      <c r="O242" s="1082" t="str">
        <v>https://assets.coingecko.com/markets/images/99/small/zaif.png?1519627467</v>
      </c>
      <c r="P242" s="882">
        <v>0</v>
      </c>
      <c r="Q242" s="882">
        <v>7</v>
      </c>
      <c r="R242" s="882">
        <v>87</v>
      </c>
      <c r="S242" s="1084">
        <v>79.161368555896928</v>
      </c>
      <c r="T242" s="1084">
        <v>79.161368555896928</v>
      </c>
    </row>
    <row r="243" spans="8:20">
      <c r="H243" s="1043" t="e" vm="1">
        <f ca="1"/>
        <v>#NAME?</v>
      </c>
      <c r="I243" s="901" t="str">
        <v>lucent</v>
      </c>
      <c r="J243" s="882" t="str">
        <v>Lucent</v>
      </c>
      <c r="K243" s="882">
        <v>2018</v>
      </c>
      <c r="L243" s="1062" t="str">
        <v>Philippines</v>
      </c>
      <c r="M243" s="1062">
        <v>0</v>
      </c>
      <c r="N243" s="882" t="str">
        <v>https://lucent.exchange/</v>
      </c>
      <c r="O243" s="1045" t="str">
        <v>https://assets.coingecko.com/markets/images/412/small/lucent.png?1586408853</v>
      </c>
      <c r="P243" s="882" t="b">
        <v>0</v>
      </c>
      <c r="Q243" s="882">
        <v>3</v>
      </c>
      <c r="R243" s="882">
        <v>220</v>
      </c>
      <c r="S243" s="1084">
        <v>73.273181254292723</v>
      </c>
      <c r="T243" s="1084">
        <v>4.1436399080711208</v>
      </c>
    </row>
    <row r="244" spans="8:20">
      <c r="H244" s="1043" t="e" vm="1">
        <f ca="1"/>
        <v>#NAME?</v>
      </c>
      <c r="I244" s="1059" t="str">
        <v>waves</v>
      </c>
      <c r="J244" s="1060" t="str">
        <v>Waves.Exchange</v>
      </c>
      <c r="K244" s="1060">
        <v>0</v>
      </c>
      <c r="L244" s="1061">
        <v>0</v>
      </c>
      <c r="M244" s="1061" t="str">
        <v>Waves.Exchange is a hybrid cryptoasset exchange that allows users to transfer, trade, issue, and stake cryptocurrencies. The platform combines the security of decentralized systems with the features of centralized exchanges. Established in 2017 as Waves DEX, Waves.Exchange is now a standalone offering. Waves.Exchange aims to offer fast and secure trading instruments, staking opportunities, low costs, an API, mobile applications, and access to major cryptoassets and 30k+ tokens on the Waves protocol.</v>
      </c>
      <c r="N244" s="1060" t="str">
        <v>https://waves.exchange/</v>
      </c>
      <c r="O244" s="1082" t="str">
        <v>https://assets.coingecko.com/markets/images/140/small/waves.png?1576289015</v>
      </c>
      <c r="P244" s="882" t="b">
        <v>0</v>
      </c>
      <c r="Q244" s="882">
        <v>5</v>
      </c>
      <c r="R244" s="882">
        <v>154</v>
      </c>
      <c r="S244" s="1084">
        <v>72.942337778208781</v>
      </c>
      <c r="T244" s="1084">
        <v>72.942337778208781</v>
      </c>
    </row>
    <row r="245" spans="8:20">
      <c r="H245" s="1043" t="e" vm="1">
        <f ca="1"/>
        <v>#NAME?</v>
      </c>
      <c r="I245" s="901" t="str">
        <v>coinlist</v>
      </c>
      <c r="J245" s="882" t="str">
        <v>Coinlist</v>
      </c>
      <c r="K245" s="882">
        <v>2020</v>
      </c>
      <c r="L245" s="1062" t="str">
        <v>United States</v>
      </c>
      <c r="M245" s="1062" t="str">
        <v xml:space="preserve">CoinList is where early adopters invest and trade in high quality crypto assets before they land on other exchanges, including Filecoin, Celo, Solana, Nervos, Dfinity, Algorand, and many more._x000D_
_x000D_
CoinList Trade is a fully-featured crypto spot exchange, built on battle-tested infrastructure and backed by some of the biggest names in the space. It will support the best new cryptoassets early in their lifecycles, as well as, most large cap established crypto. </v>
      </c>
      <c r="N245" s="882" t="str">
        <v>https://pro.coinlist.co/</v>
      </c>
      <c r="O245" s="1045" t="str">
        <v>https://assets.coingecko.com/markets/images/587/small/CoinList.png?1601540662</v>
      </c>
      <c r="P245" s="882" t="b">
        <v>0</v>
      </c>
      <c r="Q245" s="882">
        <v>6</v>
      </c>
      <c r="R245" s="882">
        <v>124</v>
      </c>
      <c r="S245" s="1084">
        <v>64.268743571113006</v>
      </c>
      <c r="T245" s="1084">
        <v>64.268743571113006</v>
      </c>
    </row>
    <row r="246" spans="8:20">
      <c r="H246" s="1043" t="e" vm="1">
        <f ca="1"/>
        <v>#NAME?</v>
      </c>
      <c r="I246" s="1059" t="str">
        <v>ubeswap</v>
      </c>
      <c r="J246" s="1060" t="str">
        <v>Ubeswap</v>
      </c>
      <c r="K246" s="1060">
        <v>0</v>
      </c>
      <c r="L246" s="1061">
        <v>0</v>
      </c>
      <c r="M246" s="1061">
        <v>0</v>
      </c>
      <c r="N246" s="1060" t="str">
        <v>https://app.ubeswap.org/#/swap</v>
      </c>
      <c r="O246" s="1082" t="str">
        <v>https://assets.coingecko.com/markets/images/667/small/ubeswap.png?1620395520</v>
      </c>
      <c r="P246" s="882" t="b">
        <v>0</v>
      </c>
      <c r="Q246" s="882">
        <v>3</v>
      </c>
      <c r="R246" s="882">
        <v>210</v>
      </c>
      <c r="S246" s="1084">
        <v>61.518302604459706</v>
      </c>
      <c r="T246" s="1084">
        <v>61.518302604459706</v>
      </c>
    </row>
    <row r="247" spans="8:20">
      <c r="H247" s="1043" t="e" vm="1">
        <f ca="1"/>
        <v>#NAME?</v>
      </c>
      <c r="I247" s="901" t="str">
        <v>coinzoom</v>
      </c>
      <c r="J247" s="882" t="str">
        <v>Coinzoom</v>
      </c>
      <c r="K247" s="882">
        <v>2020</v>
      </c>
      <c r="L247" s="1062" t="str">
        <v>United States</v>
      </c>
      <c r="M247" s="1062" t="str">
        <v xml:space="preserve">CoinZoom is a new US regulated cryptocurrency exchange that allows users to buy, sell, and spend their crypto with the CoinZoom Visa card. </v>
      </c>
      <c r="N247" s="882" t="str">
        <v>www.coinzoom.com</v>
      </c>
      <c r="O247" s="1045" t="str">
        <v>https://assets.coingecko.com/markets/images/656/small/Up7Yiexp_400x400.png?1619165177</v>
      </c>
      <c r="P247" s="882" t="b">
        <v>0</v>
      </c>
      <c r="Q247" s="882">
        <v>5</v>
      </c>
      <c r="R247" s="882">
        <v>155</v>
      </c>
      <c r="S247" s="1084">
        <v>61.459509511261572</v>
      </c>
      <c r="T247" s="1084">
        <v>61.459509511261572</v>
      </c>
    </row>
    <row r="248" spans="8:20">
      <c r="H248" s="1043" t="e" vm="1">
        <f ca="1"/>
        <v>#NAME?</v>
      </c>
      <c r="I248" s="1059" t="str">
        <v>mercado_bitcoin</v>
      </c>
      <c r="J248" s="1060" t="str">
        <v>Mercado Bitcoin</v>
      </c>
      <c r="K248" s="1060">
        <v>2016</v>
      </c>
      <c r="L248" s="1061" t="str">
        <v>Brazil</v>
      </c>
      <c r="M248" s="1061">
        <v>0</v>
      </c>
      <c r="N248" s="1060" t="str">
        <v>https://www.mercadobitcoin.com.br/</v>
      </c>
      <c r="O248" s="1082" t="str">
        <v>https://assets.coingecko.com/markets/images/34/small/icon-256.png?1621420503</v>
      </c>
      <c r="P248" s="882" t="b">
        <v>0</v>
      </c>
      <c r="Q248" s="882">
        <v>7</v>
      </c>
      <c r="R248" s="882">
        <v>88</v>
      </c>
      <c r="S248" s="1084">
        <v>58.524676490769522</v>
      </c>
      <c r="T248" s="1084">
        <v>58.524676490769522</v>
      </c>
    </row>
    <row r="249" spans="8:20">
      <c r="H249" s="1043" t="e" vm="1">
        <f ca="1"/>
        <v>#NAME?</v>
      </c>
      <c r="I249" s="901" t="str">
        <v>dfyn</v>
      </c>
      <c r="J249" s="882" t="str">
        <v>Dfyn</v>
      </c>
      <c r="K249" s="882">
        <v>2021</v>
      </c>
      <c r="L249" s="1062" t="str">
        <v>Singapore</v>
      </c>
      <c r="M249" s="1062">
        <v>0</v>
      </c>
      <c r="N249" s="882" t="str">
        <v>https://exchange.dfyn.network</v>
      </c>
      <c r="O249" s="1045" t="str">
        <v>https://assets.coingecko.com/markets/images/674/small/dyfn.png?1621239014</v>
      </c>
      <c r="P249" s="882" t="b">
        <v>0</v>
      </c>
      <c r="Q249" s="882">
        <v>4</v>
      </c>
      <c r="R249" s="882">
        <v>211</v>
      </c>
      <c r="S249" s="1084">
        <v>58.36347036045359</v>
      </c>
      <c r="T249" s="1084">
        <v>58.36347036045359</v>
      </c>
    </row>
    <row r="250" spans="8:20">
      <c r="H250" s="1043" t="e" vm="1">
        <f ca="1"/>
        <v>#NAME?</v>
      </c>
      <c r="I250" s="1059" t="str">
        <v>one_inch_liquidity_protocol</v>
      </c>
      <c r="J250" s="1060" t="str">
        <v>1inch Liquidity Protocol</v>
      </c>
      <c r="K250" s="1060">
        <v>0</v>
      </c>
      <c r="L250" s="1061">
        <v>0</v>
      </c>
      <c r="M250" s="1061">
        <v>0</v>
      </c>
      <c r="N250" s="1060" t="str">
        <v>https://app.1inch.io</v>
      </c>
      <c r="O250" s="1082" t="str">
        <v>https://assets.coingecko.com/markets/images/611/small/1inch-liquidity-protocol.png?1608873020</v>
      </c>
      <c r="P250" s="882" t="b">
        <v>0</v>
      </c>
      <c r="Q250" s="882">
        <v>4</v>
      </c>
      <c r="R250" s="882">
        <v>183</v>
      </c>
      <c r="S250" s="1084">
        <v>57.955893675366887</v>
      </c>
      <c r="T250" s="1084">
        <v>57.955893675366887</v>
      </c>
    </row>
    <row r="251" spans="8:20">
      <c r="H251" s="1043" t="e" vm="1">
        <f ca="1"/>
        <v>#NAME?</v>
      </c>
      <c r="I251" s="901" t="str">
        <v>sushiswap_arbitrum</v>
      </c>
      <c r="J251" s="882" t="str">
        <v>Sushiswap (Arbitrum One)</v>
      </c>
      <c r="K251" s="882">
        <v>0</v>
      </c>
      <c r="L251" s="1062">
        <v>0</v>
      </c>
      <c r="M251" s="1062">
        <v>0</v>
      </c>
      <c r="N251" s="882" t="str">
        <v>https://app.sushi.com/swap</v>
      </c>
      <c r="O251" s="1045" t="str">
        <v>https://assets.coingecko.com/markets/images/701/small/sushiswap3.png?1631339015</v>
      </c>
      <c r="P251" s="882" t="b">
        <v>0</v>
      </c>
      <c r="Q251" s="882">
        <v>5</v>
      </c>
      <c r="R251" s="882">
        <v>171</v>
      </c>
      <c r="S251" s="1084">
        <v>57.273704983305699</v>
      </c>
      <c r="T251" s="1084">
        <v>0</v>
      </c>
    </row>
    <row r="252" spans="8:20">
      <c r="H252" s="1043" t="e" vm="1">
        <f ca="1"/>
        <v>#NAME?</v>
      </c>
      <c r="I252" s="1059" t="str">
        <v>bitsten</v>
      </c>
      <c r="J252" s="1060" t="str">
        <v>Bitsten</v>
      </c>
      <c r="K252" s="1060">
        <v>2017</v>
      </c>
      <c r="L252" s="1061" t="str">
        <v>Indonesia</v>
      </c>
      <c r="M252" s="1061">
        <v>0</v>
      </c>
      <c r="N252" s="1060" t="str">
        <v>https://bitsten.com/</v>
      </c>
      <c r="O252" s="1082" t="str">
        <v>https://assets.coingecko.com/markets/images/292/small/Bitsten_Exchange.jpg?1540449645</v>
      </c>
      <c r="P252" s="882" t="b">
        <v>0</v>
      </c>
      <c r="Q252" s="882">
        <v>3</v>
      </c>
      <c r="R252" s="882">
        <v>213</v>
      </c>
      <c r="S252" s="1084">
        <v>57.225182288696089</v>
      </c>
      <c r="T252" s="1084">
        <v>57.225182288696089</v>
      </c>
    </row>
    <row r="253" spans="8:20">
      <c r="H253" s="1043" t="e" vm="1">
        <f ca="1"/>
        <v>#NAME?</v>
      </c>
      <c r="I253" s="901" t="str">
        <v>binance_dex</v>
      </c>
      <c r="J253" s="882" t="str">
        <v>Binance DEX</v>
      </c>
      <c r="K253" s="882">
        <v>2019</v>
      </c>
      <c r="L253" s="1062" t="str">
        <v>Malta</v>
      </c>
      <c r="M253" s="1062">
        <v>0</v>
      </c>
      <c r="N253" s="882" t="str">
        <v>https://www.binance.org/en/trade</v>
      </c>
      <c r="O253" s="1045" t="str">
        <v>https://assets.coingecko.com/markets/images/393/small/vq5ZEEmK_400x400.png?1556770224</v>
      </c>
      <c r="P253" s="882" t="b">
        <v>0</v>
      </c>
      <c r="Q253" s="882">
        <v>4</v>
      </c>
      <c r="R253" s="882">
        <v>185</v>
      </c>
      <c r="S253" s="1084">
        <v>49.134446059109422</v>
      </c>
      <c r="T253" s="1084">
        <v>49.134446059109422</v>
      </c>
    </row>
    <row r="254" spans="8:20">
      <c r="H254" s="1043" t="e" vm="1">
        <f ca="1"/>
        <v>#NAME?</v>
      </c>
      <c r="I254" s="1059" t="str">
        <v>loopring</v>
      </c>
      <c r="J254" s="1060" t="str">
        <v>Loopring</v>
      </c>
      <c r="K254" s="1060">
        <v>2020</v>
      </c>
      <c r="L254" s="1061" t="str">
        <v>British Virgin Islands</v>
      </c>
      <c r="M254" s="1061">
        <v>0</v>
      </c>
      <c r="N254" s="1060" t="str">
        <v>https://loopring.io</v>
      </c>
      <c r="O254" s="1082" t="str">
        <v>https://assets.coingecko.com/markets/images/542/small/Loopring.png?1592388445</v>
      </c>
      <c r="P254" s="882" t="b">
        <v>0</v>
      </c>
      <c r="Q254" s="882">
        <v>4</v>
      </c>
      <c r="R254" s="882">
        <v>186</v>
      </c>
      <c r="S254" s="1084">
        <v>42.898971250935631</v>
      </c>
      <c r="T254" s="1084">
        <v>42.898971250935631</v>
      </c>
    </row>
    <row r="255" spans="8:20">
      <c r="H255" s="1043" t="e" vm="1">
        <f ca="1"/>
        <v>#NAME?</v>
      </c>
      <c r="I255" s="901" t="str">
        <v>gopax</v>
      </c>
      <c r="J255" s="882" t="str">
        <v>GoPax</v>
      </c>
      <c r="K255" s="882">
        <v>2016</v>
      </c>
      <c r="L255" s="1062" t="str">
        <v>South Korea</v>
      </c>
      <c r="M255" s="1062">
        <v>0</v>
      </c>
      <c r="N255" s="882" t="str">
        <v>https://www.gopax.co.kr/exchange/</v>
      </c>
      <c r="O255" s="1045" t="str">
        <v>https://assets.coingecko.com/markets/images/144/small/gopax.jpg?1523527412</v>
      </c>
      <c r="P255" s="882">
        <v>0</v>
      </c>
      <c r="Q255" s="882">
        <v>5</v>
      </c>
      <c r="R255" s="882">
        <v>156</v>
      </c>
      <c r="S255" s="1084">
        <v>41.575211367036097</v>
      </c>
      <c r="T255" s="1084">
        <v>41.575211367036097</v>
      </c>
    </row>
    <row r="256" spans="8:20">
      <c r="H256" s="1043" t="e" vm="1">
        <f ca="1"/>
        <v>#NAME?</v>
      </c>
      <c r="I256" s="1059" t="str">
        <v>coin_metro</v>
      </c>
      <c r="J256" s="1060" t="str">
        <v>CoinMetro</v>
      </c>
      <c r="K256" s="1060">
        <v>2018</v>
      </c>
      <c r="L256" s="1061" t="str">
        <v>Estonia</v>
      </c>
      <c r="M256" s="1061">
        <v>0</v>
      </c>
      <c r="N256" s="1060" t="str">
        <v>https://coinmetro.com/</v>
      </c>
      <c r="O256" s="1082" t="str">
        <v>https://assets.coingecko.com/markets/images/386/small/blue.png?1609256554</v>
      </c>
      <c r="P256" s="882" t="b">
        <v>0</v>
      </c>
      <c r="Q256" s="882">
        <v>8</v>
      </c>
      <c r="R256" s="882">
        <v>45</v>
      </c>
      <c r="S256" s="1084">
        <v>41.375184006989507</v>
      </c>
      <c r="T256" s="1084">
        <v>41.375184006989507</v>
      </c>
    </row>
    <row r="257" spans="8:20">
      <c r="H257" s="1043" t="e" vm="1">
        <f ca="1"/>
        <v>#NAME?</v>
      </c>
      <c r="I257" s="901" t="str">
        <v>defi_swap</v>
      </c>
      <c r="J257" s="882" t="str">
        <v>DeFi Swap</v>
      </c>
      <c r="K257" s="882">
        <v>0</v>
      </c>
      <c r="L257" s="1062">
        <v>0</v>
      </c>
      <c r="M257" s="1062">
        <v>0</v>
      </c>
      <c r="N257" s="882" t="str">
        <v>https://crypto.com/defi/swap</v>
      </c>
      <c r="O257" s="1045" t="str">
        <v>https://assets.coingecko.com/markets/images/637/small/crypto-com-mco-coin-logo.png?1616490722</v>
      </c>
      <c r="P257" s="882" t="b">
        <v>0</v>
      </c>
      <c r="Q257" s="882">
        <v>6</v>
      </c>
      <c r="R257" s="882">
        <v>132</v>
      </c>
      <c r="S257" s="1084">
        <v>33.613608993026538</v>
      </c>
      <c r="T257" s="1084">
        <v>0</v>
      </c>
    </row>
    <row r="258" spans="8:20">
      <c r="H258" s="1043" t="e" vm="1">
        <f ca="1"/>
        <v>#NAME?</v>
      </c>
      <c r="I258" s="1059" t="str">
        <v>nice_hash</v>
      </c>
      <c r="J258" s="1060" t="str">
        <v>NiceHash</v>
      </c>
      <c r="K258" s="1060">
        <v>0</v>
      </c>
      <c r="L258" s="1061" t="str">
        <v>Slovenia</v>
      </c>
      <c r="M258" s="1061">
        <v>0</v>
      </c>
      <c r="N258" s="1060" t="str">
        <v>https://www.nicehash.com</v>
      </c>
      <c r="O258" s="1082" t="str">
        <v>https://assets.coingecko.com/markets/images/546/small/nicehash.png?1594379914</v>
      </c>
      <c r="P258" s="882" t="b">
        <v>0</v>
      </c>
      <c r="Q258" s="882">
        <v>8</v>
      </c>
      <c r="R258" s="882">
        <v>46</v>
      </c>
      <c r="S258" s="1084">
        <v>32.535206604548307</v>
      </c>
      <c r="T258" s="1084">
        <v>32.535206604548307</v>
      </c>
    </row>
    <row r="259" spans="8:20">
      <c r="H259" s="1043" t="e" vm="1">
        <f ca="1"/>
        <v>#NAME?</v>
      </c>
      <c r="I259" s="901" t="str">
        <v>txbit</v>
      </c>
      <c r="J259" s="882" t="str">
        <v>Txbit</v>
      </c>
      <c r="K259" s="882">
        <v>2019</v>
      </c>
      <c r="L259" s="1062" t="str">
        <v>Seychelles</v>
      </c>
      <c r="M259" s="1062">
        <v>0</v>
      </c>
      <c r="N259" s="882" t="str">
        <v>https://txbit.io/</v>
      </c>
      <c r="O259" s="1045" t="str">
        <v>https://assets.coingecko.com/markets/images/366/small/kamyliB.png?1551871576</v>
      </c>
      <c r="P259" s="882" t="b">
        <v>0</v>
      </c>
      <c r="Q259" s="882">
        <v>3</v>
      </c>
      <c r="R259" s="882">
        <v>215</v>
      </c>
      <c r="S259" s="1084">
        <v>30.59610371883522</v>
      </c>
      <c r="T259" s="1084">
        <v>30.59610371883522</v>
      </c>
    </row>
    <row r="260" spans="8:20">
      <c r="H260" s="1043" t="e" vm="1">
        <f ca="1"/>
        <v>#NAME?</v>
      </c>
      <c r="I260" s="1059" t="str">
        <v>buyucoin</v>
      </c>
      <c r="J260" s="1060" t="str">
        <v>BuyUcoin</v>
      </c>
      <c r="K260" s="1060">
        <v>0</v>
      </c>
      <c r="L260" s="1061">
        <v>0</v>
      </c>
      <c r="M260" s="1061">
        <v>0</v>
      </c>
      <c r="N260" s="1060" t="str">
        <v>https://www.buyucoin.com/</v>
      </c>
      <c r="O260" s="1082" t="str">
        <v>https://assets.coingecko.com/markets/images/130/small/fWfLtCFJ_400x400.jpg?1523421823</v>
      </c>
      <c r="P260" s="882">
        <v>0</v>
      </c>
      <c r="Q260" s="882">
        <v>5</v>
      </c>
      <c r="R260" s="882">
        <v>157</v>
      </c>
      <c r="S260" s="1084">
        <v>30.384217893252064</v>
      </c>
      <c r="T260" s="1084">
        <v>30.384217893252064</v>
      </c>
    </row>
    <row r="261" spans="8:20">
      <c r="H261" s="1043" t="e" vm="1">
        <f ca="1"/>
        <v>#NAME?</v>
      </c>
      <c r="I261" s="901" t="str">
        <v>trade_ogre</v>
      </c>
      <c r="J261" s="882" t="str">
        <v>TradeOgre</v>
      </c>
      <c r="K261" s="882">
        <v>2018</v>
      </c>
      <c r="L261" s="1062">
        <v>0</v>
      </c>
      <c r="M261" s="1062">
        <v>0</v>
      </c>
      <c r="N261" s="882" t="str">
        <v>https://tradeogre.com/</v>
      </c>
      <c r="O261" s="1045" t="str">
        <v>https://assets.coingecko.com/markets/images/101/small/tradeogre.jpeg?1521428643</v>
      </c>
      <c r="P261" s="882">
        <v>0</v>
      </c>
      <c r="Q261" s="882">
        <v>4</v>
      </c>
      <c r="R261" s="882">
        <v>187</v>
      </c>
      <c r="S261" s="1084">
        <v>29.93238164138188</v>
      </c>
      <c r="T261" s="1084">
        <v>29.93238164138188</v>
      </c>
    </row>
    <row r="262" spans="8:20">
      <c r="H262" s="1043" t="e" vm="1">
        <f ca="1"/>
        <v>#NAME?</v>
      </c>
      <c r="I262" s="1059" t="str">
        <v>dydx</v>
      </c>
      <c r="J262" s="1060" t="str">
        <v>dYdX</v>
      </c>
      <c r="K262" s="1060">
        <v>2019</v>
      </c>
      <c r="L262" s="1061" t="str">
        <v>United States</v>
      </c>
      <c r="M262" s="1061" t="str">
        <v xml:space="preserve">dYdX is a decentralized trading platform for margin trading, borrowing, and lending. dYdX offers leverage up to 4x, and runs on smart contracts on the Ethereum blockchain. dYdX is non-custodial and peer-to-peer, so traders remain in control of their own funds at all times. </v>
      </c>
      <c r="N262" s="1060" t="str">
        <v>https://trade.dydx.exchange</v>
      </c>
      <c r="O262" s="1082" t="str">
        <v>https://assets.coingecko.com/markets/images/421/small/dydx-exchange.jpeg?1618450332</v>
      </c>
      <c r="P262" s="882" t="b">
        <v>0</v>
      </c>
      <c r="Q262" s="882">
        <v>6</v>
      </c>
      <c r="R262" s="882">
        <v>125</v>
      </c>
      <c r="S262" s="1084">
        <v>28.418918082819911</v>
      </c>
      <c r="T262" s="1084">
        <v>28.418918082819911</v>
      </c>
    </row>
    <row r="263" spans="8:20">
      <c r="H263" s="1043" t="e" vm="1">
        <f ca="1"/>
        <v>#NAME?</v>
      </c>
      <c r="I263" s="901" t="str">
        <v>tdax</v>
      </c>
      <c r="J263" s="882" t="str">
        <v>Satang Pro</v>
      </c>
      <c r="K263" s="882">
        <v>0</v>
      </c>
      <c r="L263" s="1062" t="str">
        <v>Thailand</v>
      </c>
      <c r="M263" s="1062">
        <v>0</v>
      </c>
      <c r="N263" s="882" t="str">
        <v>https://satang.pro</v>
      </c>
      <c r="O263" s="1045" t="str">
        <v>https://assets.coingecko.com/markets/images/231/small/satangpro.jpg?1549866880</v>
      </c>
      <c r="P263" s="882" t="b">
        <v>0</v>
      </c>
      <c r="Q263" s="882">
        <v>4</v>
      </c>
      <c r="R263" s="882">
        <v>188</v>
      </c>
      <c r="S263" s="1084">
        <v>27.222929871943023</v>
      </c>
      <c r="T263" s="1084">
        <v>27.222929871943023</v>
      </c>
    </row>
    <row r="264" spans="8:20">
      <c r="H264" s="1043" t="e" vm="1">
        <f ca="1"/>
        <v>#NAME?</v>
      </c>
      <c r="I264" s="1059" t="str">
        <v>velic</v>
      </c>
      <c r="J264" s="1060" t="str">
        <v>Velic</v>
      </c>
      <c r="K264" s="1060">
        <v>2018</v>
      </c>
      <c r="L264" s="1061" t="str">
        <v>Singapore</v>
      </c>
      <c r="M264" s="1061">
        <v>0</v>
      </c>
      <c r="N264" s="1060" t="str">
        <v>https://www.velic.io/</v>
      </c>
      <c r="O264" s="1082" t="str">
        <v>https://assets.coingecko.com/markets/images/407/small/VELIC_coinGecko_400_2.png?1587032301</v>
      </c>
      <c r="P264" s="882" t="b">
        <v>0</v>
      </c>
      <c r="Q264" s="882">
        <v>5</v>
      </c>
      <c r="R264" s="882">
        <v>158</v>
      </c>
      <c r="S264" s="1084">
        <v>26.943205158379357</v>
      </c>
      <c r="T264" s="1084">
        <v>26.943205158379357</v>
      </c>
    </row>
    <row r="265" spans="8:20">
      <c r="H265" s="1043" t="e" vm="1">
        <f ca="1"/>
        <v>#NAME?</v>
      </c>
      <c r="I265" s="901" t="str">
        <v>narkasa</v>
      </c>
      <c r="J265" s="882" t="str">
        <v>Narkasa</v>
      </c>
      <c r="K265" s="882">
        <v>2020</v>
      </c>
      <c r="L265" s="1062" t="str">
        <v>Turkey</v>
      </c>
      <c r="M265" s="1062">
        <v>0</v>
      </c>
      <c r="N265" s="882" t="str">
        <v>https://narkasa.com/</v>
      </c>
      <c r="O265" s="1045" t="str">
        <v>https://assets.coingecko.com/markets/images/573/small/narkasa.jpg?1599029564</v>
      </c>
      <c r="P265" s="882" t="b">
        <v>0</v>
      </c>
      <c r="Q265" s="882">
        <v>7</v>
      </c>
      <c r="R265" s="882">
        <v>89</v>
      </c>
      <c r="S265" s="1084">
        <v>22.722891210993655</v>
      </c>
      <c r="T265" s="1084">
        <v>22.722891210993655</v>
      </c>
    </row>
    <row r="266" spans="8:20">
      <c r="H266" s="1043" t="e" vm="1">
        <f ca="1"/>
        <v>#NAME?</v>
      </c>
      <c r="I266" s="1059" t="str">
        <v>deversifi</v>
      </c>
      <c r="J266" s="1060" t="str">
        <v xml:space="preserve">Deversifi </v>
      </c>
      <c r="K266" s="1060">
        <v>2017</v>
      </c>
      <c r="L266" s="1061" t="str">
        <v>British Virgin Islands</v>
      </c>
      <c r="M266" s="1061" t="str">
        <v xml:space="preserve">Previous Ethfinex Trustless, DeversiFi is the most complete decentralised trading experience, being the only high-speed decentralised exchange where traders can execute orders of any size directly from the security of their private wallet. </v>
      </c>
      <c r="N266" s="1060" t="str">
        <v>https://www.deversifi.com/</v>
      </c>
      <c r="O266" s="1082" t="str">
        <v>https://assets.coingecko.com/markets/images/511/small/deversifi.png?1592476675</v>
      </c>
      <c r="P266" s="882" t="b">
        <v>0</v>
      </c>
      <c r="Q266" s="882">
        <v>5</v>
      </c>
      <c r="R266" s="882">
        <v>159</v>
      </c>
      <c r="S266" s="1084">
        <v>22.483987106924598</v>
      </c>
      <c r="T266" s="1084">
        <v>22.483987106924598</v>
      </c>
    </row>
    <row r="267" spans="8:20">
      <c r="H267" s="1043" t="e" vm="1">
        <f ca="1"/>
        <v>#NAME?</v>
      </c>
      <c r="I267" s="901" t="str">
        <v>acsi_finance</v>
      </c>
      <c r="J267" s="882" t="str">
        <v>Acsi Finance</v>
      </c>
      <c r="K267" s="882">
        <v>2021</v>
      </c>
      <c r="L267" s="1062" t="str">
        <v>Singapore</v>
      </c>
      <c r="M267" s="1062" t="str">
        <v>Acsi.Finance is launched on 03 June 2021, powered by ACryptoS._x000D_
Acsi.Finance brings the first next-generation AMM protocol to Binance Smart Chain, built on Balancer V2._x000D_
Acsi.Finance is an automated portfolio manager, liquidity provider, and price sensor. _x000D_
_x000D_
Same as in Balancer, Acsi.Finance brings powerful new features to slash gas costs, super-charge capital efficiency, unlock arbitrage with zero-token starting capital, and open the door to custom AMMs._x000D_
_x000D_
Instead of paying fees to portfolio managers to rebalance your portfolio, you collect fees from traders, who rebalance your portfolio by following arbitrage opportunities._x000D_
It is based on N-dimensional invariant surface which is a generalization of the constant product formula described by Vitalik Buterin and proven viable by the popular Uniswap dapp._x000D_
_x000D_
Acsi.Finance uses Balancer V2 contracts verbatim, which have completed several full audits and have a comprehensive bug bounty program._x000D_
"</v>
      </c>
      <c r="N267" s="882" t="str">
        <v>https://app.acsi.finance/#/</v>
      </c>
      <c r="O267" s="1045" t="str">
        <v>https://assets.coingecko.com/markets/images/696/small/acsi.png?1632133946</v>
      </c>
      <c r="P267" s="882" t="b">
        <v>0</v>
      </c>
      <c r="Q267" s="882">
        <v>3</v>
      </c>
      <c r="R267" s="882">
        <v>216</v>
      </c>
      <c r="S267" s="1084">
        <v>20.922515357945045</v>
      </c>
      <c r="T267" s="1084">
        <v>20.922515357945045</v>
      </c>
    </row>
    <row r="268" spans="8:20">
      <c r="H268" s="1043" t="e" vm="1">
        <f ca="1"/>
        <v>#NAME?</v>
      </c>
      <c r="I268" s="1059" t="str">
        <v>tokenomy</v>
      </c>
      <c r="J268" s="1060" t="str">
        <v>Tokenomy</v>
      </c>
      <c r="K268" s="1060">
        <v>2018</v>
      </c>
      <c r="L268" s="1061">
        <v>0</v>
      </c>
      <c r="M268" s="1061">
        <v>0</v>
      </c>
      <c r="N268" s="1060" t="str">
        <v>https://www.tokenomy.com/</v>
      </c>
      <c r="O268" s="1082" t="str">
        <v>https://assets.coingecko.com/markets/images/199/small/logo_%284%29.png?1582277628</v>
      </c>
      <c r="P268" s="882" t="b">
        <v>0</v>
      </c>
      <c r="Q268" s="882">
        <v>5</v>
      </c>
      <c r="R268" s="882">
        <v>160</v>
      </c>
      <c r="S268" s="1084">
        <v>20.581562263929829</v>
      </c>
      <c r="T268" s="1084">
        <v>20.581562263929829</v>
      </c>
    </row>
    <row r="269" spans="8:20">
      <c r="H269" s="1043" t="e" vm="1">
        <f ca="1"/>
        <v>#NAME?</v>
      </c>
      <c r="I269" s="901" t="str">
        <v>kuna</v>
      </c>
      <c r="J269" s="882" t="str">
        <v>Kuna Exchange</v>
      </c>
      <c r="K269" s="882">
        <v>0</v>
      </c>
      <c r="L269" s="1062" t="str">
        <v>United Kingdom</v>
      </c>
      <c r="M269" s="1062">
        <v>0</v>
      </c>
      <c r="N269" s="882" t="str">
        <v>https://kuna.io/</v>
      </c>
      <c r="O269" s="1045" t="str">
        <v>https://assets.coingecko.com/markets/images/97/small/kuna_exchange.png?1545126178</v>
      </c>
      <c r="P269" s="882" t="b">
        <v>0</v>
      </c>
      <c r="Q269" s="882">
        <v>8</v>
      </c>
      <c r="R269" s="882">
        <v>47</v>
      </c>
      <c r="S269" s="1084">
        <v>19.451264489862602</v>
      </c>
      <c r="T269" s="1084">
        <v>19.451264489862602</v>
      </c>
    </row>
    <row r="270" spans="8:20">
      <c r="H270" s="1043" t="e" vm="1">
        <f ca="1"/>
        <v>#NAME?</v>
      </c>
      <c r="I270" s="1059" t="str">
        <v>therocktrading</v>
      </c>
      <c r="J270" s="1060" t="str">
        <v>TheRockTrading</v>
      </c>
      <c r="K270" s="1060">
        <v>2011</v>
      </c>
      <c r="L270" s="1061" t="str">
        <v>Italy</v>
      </c>
      <c r="M270" s="1061">
        <v>0</v>
      </c>
      <c r="N270" s="1060" t="str">
        <v>https://therocktrading.com/</v>
      </c>
      <c r="O270" s="1082" t="str">
        <v>https://assets.coingecko.com/markets/images/42/small/rocktrading.png?1551110313</v>
      </c>
      <c r="P270" s="882" t="b">
        <v>0</v>
      </c>
      <c r="Q270" s="882">
        <v>7</v>
      </c>
      <c r="R270" s="882">
        <v>90</v>
      </c>
      <c r="S270" s="1084">
        <v>16.168985769285836</v>
      </c>
      <c r="T270" s="1084">
        <v>16.168985769285836</v>
      </c>
    </row>
    <row r="271" spans="8:20">
      <c r="H271" s="1043" t="e" vm="1">
        <f ca="1"/>
        <v>#NAME?</v>
      </c>
      <c r="I271" s="901" t="str">
        <v>vitex</v>
      </c>
      <c r="J271" s="882" t="str">
        <v>ViteX</v>
      </c>
      <c r="K271" s="882">
        <v>2019</v>
      </c>
      <c r="L271" s="1062" t="str">
        <v>British Virgin Islands</v>
      </c>
      <c r="M271" s="1062" t="str">
        <v>ViteX is a DEX developed on the Vite public chain and features absolute decentralization, higher security of digital assets and robust economic models for both sending/receiving transactions and confirming transactions.</v>
      </c>
      <c r="N271" s="882" t="str">
        <v>https://vitex.net/</v>
      </c>
      <c r="O271" s="1045" t="str">
        <v>https://assets.coingecko.com/markets/images/502/small/ViteX.png?1578290945</v>
      </c>
      <c r="P271" s="882" t="b">
        <v>0</v>
      </c>
      <c r="Q271" s="882">
        <v>2</v>
      </c>
      <c r="R271" s="882">
        <v>235</v>
      </c>
      <c r="S271" s="1084">
        <v>15.433871181619205</v>
      </c>
      <c r="T271" s="1084">
        <v>15.433871181619205</v>
      </c>
    </row>
    <row r="272" spans="8:20">
      <c r="H272" s="1043" t="e" vm="1">
        <f ca="1"/>
        <v>#NAME?</v>
      </c>
      <c r="I272" s="1059" t="str">
        <v>mimo</v>
      </c>
      <c r="J272" s="1060" t="str">
        <v>Mimo</v>
      </c>
      <c r="K272" s="1060">
        <v>0</v>
      </c>
      <c r="L272" s="1061">
        <v>0</v>
      </c>
      <c r="M272" s="1061">
        <v>0</v>
      </c>
      <c r="N272" s="1060" t="str">
        <v>https://swap.mimo.exchange/#/swap</v>
      </c>
      <c r="O272" s="1082" t="str">
        <v>https://assets.coingecko.com/markets/images/695/small/mimo.png?1629357559</v>
      </c>
      <c r="P272" s="882" t="b">
        <v>0</v>
      </c>
      <c r="Q272" s="882">
        <v>3</v>
      </c>
      <c r="R272" s="882">
        <v>217</v>
      </c>
      <c r="S272" s="1084">
        <v>15.14833418546055</v>
      </c>
      <c r="T272" s="1084">
        <v>15.14833418546055</v>
      </c>
    </row>
    <row r="273" spans="8:20">
      <c r="H273" s="1043" t="e" vm="1">
        <f ca="1"/>
        <v>#NAME?</v>
      </c>
      <c r="I273" s="901" t="str">
        <v>aprobit</v>
      </c>
      <c r="J273" s="882" t="str">
        <v>Aprobit</v>
      </c>
      <c r="K273" s="882">
        <v>2020</v>
      </c>
      <c r="L273" s="1062" t="str">
        <v>South Korea</v>
      </c>
      <c r="M273" s="1062" t="str">
        <v xml:space="preserve">Established in 2019, APROBIT is a centralized cryptocurrency exchange located in South Korea. APROBIT formed the global alliance ranging from finance, fintech professionals, solution companies to blockchain associations. By sharing the order book with Bitfinex, APROBIT guarantees top-level trading liquidity. </v>
      </c>
      <c r="N273" s="882" t="str">
        <v>https://www.aprobit.com/</v>
      </c>
      <c r="O273" s="1045" t="str">
        <v>https://assets.coingecko.com/markets/images/567/small/aprobit_logo.png?1597289585</v>
      </c>
      <c r="P273" s="882" t="b">
        <v>0</v>
      </c>
      <c r="Q273" s="882">
        <v>4</v>
      </c>
      <c r="R273" s="882">
        <v>189</v>
      </c>
      <c r="S273" s="1084">
        <v>13.35407337666161</v>
      </c>
      <c r="T273" s="1084">
        <v>13.35407337666161</v>
      </c>
    </row>
    <row r="274" spans="8:20">
      <c r="H274" s="1043" t="e" vm="1">
        <f ca="1"/>
        <v>#NAME?</v>
      </c>
      <c r="I274" s="1059" t="str">
        <v>secondbtc</v>
      </c>
      <c r="J274" s="1060" t="str">
        <v>SecondBTC</v>
      </c>
      <c r="K274" s="1060">
        <v>2018</v>
      </c>
      <c r="L274" s="1061" t="str">
        <v>India</v>
      </c>
      <c r="M274" s="1061">
        <v>0</v>
      </c>
      <c r="N274" s="1060" t="str">
        <v>https://secondbtc.com</v>
      </c>
      <c r="O274" s="1082" t="str">
        <v>https://assets.coingecko.com/markets/images/320/small/secondbtc.png?1554861587</v>
      </c>
      <c r="P274" s="882" t="b">
        <v>0</v>
      </c>
      <c r="Q274" s="882">
        <v>1</v>
      </c>
      <c r="R274" s="882">
        <v>248</v>
      </c>
      <c r="S274" s="1084">
        <v>13.127712198411999</v>
      </c>
      <c r="T274" s="1084">
        <v>3.3501769469511191</v>
      </c>
    </row>
    <row r="275" spans="8:20">
      <c r="H275" s="1043" t="e" vm="1">
        <f ca="1"/>
        <v>#NAME?</v>
      </c>
      <c r="I275" s="901" t="str">
        <v>sushiswap_xdai</v>
      </c>
      <c r="J275" s="882" t="str">
        <v>Sushiswap (xDai)</v>
      </c>
      <c r="K275" s="882">
        <v>0</v>
      </c>
      <c r="L275" s="1062">
        <v>0</v>
      </c>
      <c r="M275" s="1062" t="str">
        <v>Sushiswap on xDai is a DeFi protocol providing services such as swap, earn, yield, launchpad, and more!</v>
      </c>
      <c r="N275" s="882" t="str">
        <v>https://app.sushi.com/swap</v>
      </c>
      <c r="O275" s="1045" t="str">
        <v>https://assets.coingecko.com/markets/images/678/small/512x512_Logo_no_chop.png?1621847591</v>
      </c>
      <c r="P275" s="882" t="b">
        <v>0</v>
      </c>
      <c r="Q275" s="882">
        <v>2</v>
      </c>
      <c r="R275" s="882">
        <v>237</v>
      </c>
      <c r="S275" s="1084">
        <v>9.3830601291149041</v>
      </c>
      <c r="T275" s="1084">
        <v>9.3830601291149041</v>
      </c>
    </row>
    <row r="276" spans="8:20">
      <c r="H276" s="1043" t="e" vm="1">
        <f ca="1"/>
        <v>#NAME?</v>
      </c>
      <c r="I276" s="1059" t="str">
        <v>honeyswap</v>
      </c>
      <c r="J276" s="1060" t="str">
        <v>Honeyswap</v>
      </c>
      <c r="K276" s="1060">
        <v>2020</v>
      </c>
      <c r="L276" s="1061">
        <v>0</v>
      </c>
      <c r="M276" s="1061" t="str">
        <v>Honeyswap is a 1:1 deployment of Uniswap V2 on the xDai network with no additional changes.</v>
      </c>
      <c r="N276" s="1060" t="str">
        <v>https://app.honeyswap.org</v>
      </c>
      <c r="O276" s="1082" t="str">
        <v>https://assets.coingecko.com/markets/images/599/small/honeyswap.png?1603246921</v>
      </c>
      <c r="P276" s="882" t="b">
        <v>0</v>
      </c>
      <c r="Q276" s="882">
        <v>3</v>
      </c>
      <c r="R276" s="882">
        <v>218</v>
      </c>
      <c r="S276" s="1084">
        <v>8.2806983435569546</v>
      </c>
      <c r="T276" s="1084">
        <v>8.2806983435569546</v>
      </c>
    </row>
    <row r="277" spans="8:20">
      <c r="H277" s="1043" t="e" vm="1">
        <f ca="1"/>
        <v>#NAME?</v>
      </c>
      <c r="I277" s="901" t="str">
        <v>stake_cube</v>
      </c>
      <c r="J277" s="882" t="str">
        <v>StakeCube Exchange</v>
      </c>
      <c r="K277" s="882">
        <v>2019</v>
      </c>
      <c r="L277" s="1062" t="str">
        <v>Germany</v>
      </c>
      <c r="M277" s="1062">
        <v>0</v>
      </c>
      <c r="N277" s="882" t="str">
        <v>https://stakecube.net/app/exchange/</v>
      </c>
      <c r="O277" s="1045" t="str">
        <v>https://assets.coingecko.com/markets/images/429/small/Stakecube-logoonly-HQ.png?1576295531</v>
      </c>
      <c r="P277" s="882" t="b">
        <v>0</v>
      </c>
      <c r="Q277" s="882">
        <v>5</v>
      </c>
      <c r="R277" s="882">
        <v>161</v>
      </c>
      <c r="S277" s="1084">
        <v>7.0561609241231373</v>
      </c>
      <c r="T277" s="1084">
        <v>7.0561609241231373</v>
      </c>
    </row>
    <row r="278" spans="8:20">
      <c r="H278" s="1043" t="e" vm="1">
        <f ca="1"/>
        <v>#NAME?</v>
      </c>
      <c r="I278" s="1059" t="str">
        <v>kuswap</v>
      </c>
      <c r="J278" s="1060" t="str">
        <v>Kuswap</v>
      </c>
      <c r="K278" s="1060">
        <v>2021</v>
      </c>
      <c r="L278" s="1061">
        <v>0</v>
      </c>
      <c r="M278" s="1061" t="str">
        <v>KuSwap is the first AMM on Kucoin Community Chain (KCC)</v>
      </c>
      <c r="N278" s="1060" t="str">
        <v>https://kuswap.finance/#/swap</v>
      </c>
      <c r="O278" s="1082" t="str">
        <v>https://assets.coingecko.com/markets/images/685/small/kuswap.jpeg?1625637468</v>
      </c>
      <c r="P278" s="882" t="b">
        <v>0</v>
      </c>
      <c r="Q278" s="882">
        <v>5</v>
      </c>
      <c r="R278" s="882">
        <v>162</v>
      </c>
      <c r="S278" s="1084">
        <v>5.7923785728056476</v>
      </c>
      <c r="T278" s="1084">
        <v>5.7923785728056476</v>
      </c>
    </row>
    <row r="279" spans="8:20">
      <c r="H279" s="1043" t="e" vm="1">
        <f ca="1"/>
        <v>#NAME?</v>
      </c>
      <c r="I279" s="901" t="str">
        <v>swapr</v>
      </c>
      <c r="J279" s="882" t="str">
        <v>Swapr</v>
      </c>
      <c r="K279" s="882">
        <v>2020</v>
      </c>
      <c r="L279" s="1062">
        <v>0</v>
      </c>
      <c r="M279" s="1062">
        <v>0</v>
      </c>
      <c r="N279" s="882" t="str">
        <v>https://swapr.eth.link/</v>
      </c>
      <c r="O279" s="1045" t="str">
        <v>https://assets.coingecko.com/markets/images/670/small/dxswap-black.png?1620878646</v>
      </c>
      <c r="P279" s="882" t="b">
        <v>0</v>
      </c>
      <c r="Q279" s="882">
        <v>5</v>
      </c>
      <c r="R279" s="882">
        <v>163</v>
      </c>
      <c r="S279" s="1084">
        <v>5.6224764293895166</v>
      </c>
      <c r="T279" s="1084">
        <v>5.6224764293895166</v>
      </c>
    </row>
    <row r="280" spans="8:20">
      <c r="H280" s="1043" t="e" vm="1">
        <f ca="1"/>
        <v>#NAME?</v>
      </c>
      <c r="I280" s="1059" t="str">
        <v>graviex</v>
      </c>
      <c r="J280" s="1060" t="str">
        <v>Graviex</v>
      </c>
      <c r="K280" s="1060">
        <v>2017</v>
      </c>
      <c r="L280" s="1061" t="str">
        <v>Malta</v>
      </c>
      <c r="M280" s="1061">
        <v>0</v>
      </c>
      <c r="N280" s="1060" t="str">
        <v>https://graviex.net/</v>
      </c>
      <c r="O280" s="1082" t="str">
        <v>https://assets.coingecko.com/markets/images/206/small/graviex-logo.png?1531798374</v>
      </c>
      <c r="P280" s="882" t="b">
        <v>0</v>
      </c>
      <c r="Q280" s="882">
        <v>4</v>
      </c>
      <c r="R280" s="882">
        <v>190</v>
      </c>
      <c r="S280" s="1084">
        <v>5.0136700947742296</v>
      </c>
      <c r="T280" s="1084">
        <v>5.0136700947742296</v>
      </c>
    </row>
    <row r="281" spans="8:20">
      <c r="H281" s="1043" t="e" vm="1">
        <f ca="1"/>
        <v>#NAME?</v>
      </c>
      <c r="I281" s="901" t="str">
        <v>artisturba</v>
      </c>
      <c r="J281" s="882" t="str">
        <v>Artis Turba</v>
      </c>
      <c r="K281" s="882">
        <v>2018</v>
      </c>
      <c r="L281" s="1062" t="str">
        <v>South Africa</v>
      </c>
      <c r="M281" s="1062">
        <v>0</v>
      </c>
      <c r="N281" s="882" t="str">
        <v>https://www.artisturba.com/</v>
      </c>
      <c r="O281" s="1045" t="str">
        <v>https://assets.coingecko.com/markets/images/505/small/Artis_Turba_200_200.png?1579820008</v>
      </c>
      <c r="P281" s="882" t="b">
        <v>0</v>
      </c>
      <c r="Q281" s="882">
        <v>4</v>
      </c>
      <c r="R281" s="882">
        <v>191</v>
      </c>
      <c r="S281" s="1084">
        <v>4.4619207657788715</v>
      </c>
      <c r="T281" s="1084">
        <v>4.4619207657788715</v>
      </c>
    </row>
    <row r="282" spans="8:20">
      <c r="H282" s="1043" t="e" vm="1">
        <f ca="1"/>
        <v>#NAME?</v>
      </c>
      <c r="I282" s="1059" t="str">
        <v>dove_wallet</v>
      </c>
      <c r="J282" s="1060" t="str">
        <v>Dove Wallet</v>
      </c>
      <c r="K282" s="1060">
        <v>2019</v>
      </c>
      <c r="L282" s="1061" t="str">
        <v>South Korea</v>
      </c>
      <c r="M282" s="1061">
        <v>0</v>
      </c>
      <c r="N282" s="1060" t="str">
        <v>https://dovewallet.com</v>
      </c>
      <c r="O282" s="1082" t="str">
        <v>https://assets.coingecko.com/markets/images/453/small/Dovewallet.png?1564657757</v>
      </c>
      <c r="P282" s="882" t="b">
        <v>0</v>
      </c>
      <c r="Q282" s="882">
        <v>3</v>
      </c>
      <c r="R282" s="882">
        <v>219</v>
      </c>
      <c r="S282" s="1084">
        <v>4.2307434482975852</v>
      </c>
      <c r="T282" s="1084">
        <v>4.2307434482975852</v>
      </c>
    </row>
    <row r="283" spans="8:20">
      <c r="H283" s="1043" t="e" vm="1">
        <f ca="1"/>
        <v>#NAME?</v>
      </c>
      <c r="I283" s="901" t="str">
        <v>viperswap</v>
      </c>
      <c r="J283" s="882" t="str">
        <v>ViperSwap</v>
      </c>
      <c r="K283" s="882">
        <v>2021</v>
      </c>
      <c r="L283" s="1062">
        <v>0</v>
      </c>
      <c r="M283" s="1062">
        <v>0</v>
      </c>
      <c r="N283" s="882" t="str">
        <v>https://viper.exchange/#/swap</v>
      </c>
      <c r="O283" s="1045" t="str">
        <v>https://assets.coingecko.com/markets/images/666/small/viperswap.png?1620368750</v>
      </c>
      <c r="P283" s="882" t="b">
        <v>0</v>
      </c>
      <c r="Q283" s="882">
        <v>5</v>
      </c>
      <c r="R283" s="882">
        <v>164</v>
      </c>
      <c r="S283" s="1084">
        <v>4.0411371456678271</v>
      </c>
      <c r="T283" s="1084">
        <v>4.0411371456678271</v>
      </c>
    </row>
    <row r="284" spans="8:20">
      <c r="H284" s="1043" t="e" vm="1">
        <f ca="1"/>
        <v>#NAME?</v>
      </c>
      <c r="I284" s="1059" t="str">
        <v>unicly</v>
      </c>
      <c r="J284" s="1060" t="str">
        <v>Unicly</v>
      </c>
      <c r="K284" s="1060">
        <v>2020</v>
      </c>
      <c r="L284" s="1061">
        <v>0</v>
      </c>
      <c r="M284" s="1061" t="str">
        <v>The protocol to combine, fractionalize, and trade NFTs.</v>
      </c>
      <c r="N284" s="1060" t="str">
        <v>https://www.unic.ly/</v>
      </c>
      <c r="O284" s="1082" t="str">
        <v>https://assets.coingecko.com/markets/images/653/small/Unicly.jpg?1618935672</v>
      </c>
      <c r="P284" s="882" t="b">
        <v>0</v>
      </c>
      <c r="Q284" s="882">
        <v>4</v>
      </c>
      <c r="R284" s="882">
        <v>192</v>
      </c>
      <c r="S284" s="1084">
        <v>3.3831666342169369</v>
      </c>
      <c r="T284" s="1084">
        <v>3.3831666342169369</v>
      </c>
    </row>
    <row r="285" spans="8:20">
      <c r="H285" s="1043" t="e" vm="1">
        <f ca="1"/>
        <v>#NAME?</v>
      </c>
      <c r="I285" s="901" t="str">
        <v>gdac</v>
      </c>
      <c r="J285" s="882" t="str">
        <v>GDAC</v>
      </c>
      <c r="K285" s="882">
        <v>2018</v>
      </c>
      <c r="L285" s="1062" t="str">
        <v>South Korea</v>
      </c>
      <c r="M285" s="1062">
        <v>0</v>
      </c>
      <c r="N285" s="882" t="str">
        <v>https://www.gdac.co.kr/</v>
      </c>
      <c r="O285" s="1045" t="str">
        <v>https://assets.coingecko.com/markets/images/301/small/gdac.png?1552556561</v>
      </c>
      <c r="P285" s="882" t="b">
        <v>0</v>
      </c>
      <c r="Q285" s="882">
        <v>2</v>
      </c>
      <c r="R285" s="882">
        <v>238</v>
      </c>
      <c r="S285" s="1084">
        <v>3.0579680934010187</v>
      </c>
      <c r="T285" s="1084">
        <v>3.0579680934010187</v>
      </c>
    </row>
    <row r="286" spans="8:20">
      <c r="H286" s="1043" t="e" vm="1">
        <f ca="1"/>
        <v>#NAME?</v>
      </c>
      <c r="I286" s="1059" t="str">
        <v>comethswap</v>
      </c>
      <c r="J286" s="1060" t="str">
        <v>ComethSwap</v>
      </c>
      <c r="K286" s="1060">
        <v>2021</v>
      </c>
      <c r="L286" s="1061" t="str">
        <v>France</v>
      </c>
      <c r="M286" s="1061" t="str">
        <v>ComethSwap is a layer 2 decentralized exchange, which let you swap any ERC20 tokens at low cost in no time.</v>
      </c>
      <c r="N286" s="1060" t="str">
        <v>https://swap.cometh.io</v>
      </c>
      <c r="O286" s="1082" t="str">
        <v>https://assets.coingecko.com/markets/images/644/small/comethswap.png?1617361625</v>
      </c>
      <c r="P286" s="882" t="b">
        <v>0</v>
      </c>
      <c r="Q286" s="882">
        <v>5</v>
      </c>
      <c r="R286" s="882">
        <v>168</v>
      </c>
      <c r="S286" s="1084">
        <v>3.0502205454664502</v>
      </c>
      <c r="T286" s="1084">
        <v>0</v>
      </c>
    </row>
    <row r="287" spans="8:20">
      <c r="H287" s="1043" t="e" vm="1">
        <f ca="1"/>
        <v>#NAME?</v>
      </c>
      <c r="I287" s="901" t="str">
        <v>baguette</v>
      </c>
      <c r="J287" s="882" t="str">
        <v>Baguette</v>
      </c>
      <c r="K287" s="882">
        <v>0</v>
      </c>
      <c r="L287" s="1062">
        <v>0</v>
      </c>
      <c r="M287" s="1062">
        <v>0</v>
      </c>
      <c r="N287" s="882" t="str">
        <v>https://app.baguette.exchange/#/swap</v>
      </c>
      <c r="O287" s="1045" t="str">
        <v>https://assets.coingecko.com/markets/images/699/small/baguette.png?1630816972</v>
      </c>
      <c r="P287" s="882" t="b">
        <v>0</v>
      </c>
      <c r="Q287" s="882">
        <v>5</v>
      </c>
      <c r="R287" s="882">
        <v>165</v>
      </c>
      <c r="S287" s="1084">
        <v>2.8206716655809854</v>
      </c>
      <c r="T287" s="1084">
        <v>2.8206716655809854</v>
      </c>
    </row>
    <row r="288" spans="8:20">
      <c r="H288" s="1043" t="e" vm="1">
        <f ca="1"/>
        <v>#NAME?</v>
      </c>
      <c r="I288" s="1059" t="str">
        <v>south_xchange</v>
      </c>
      <c r="J288" s="1060" t="str">
        <v>SouthXchange</v>
      </c>
      <c r="K288" s="1060">
        <v>2015</v>
      </c>
      <c r="L288" s="1061" t="str">
        <v>Argentina</v>
      </c>
      <c r="M288" s="1061">
        <v>0</v>
      </c>
      <c r="N288" s="1060" t="str">
        <v>https://www.southxchange.com/</v>
      </c>
      <c r="O288" s="1082" t="str">
        <v>https://assets.coingecko.com/markets/images/132/small/southxchange.png?1526357146</v>
      </c>
      <c r="P288" s="882" t="b">
        <v>0</v>
      </c>
      <c r="Q288" s="882">
        <v>5</v>
      </c>
      <c r="R288" s="882">
        <v>166</v>
      </c>
      <c r="S288" s="1084">
        <v>1.8995778960698264</v>
      </c>
      <c r="T288" s="1084">
        <v>1.8995778960698264</v>
      </c>
    </row>
    <row r="289" spans="8:20">
      <c r="H289" s="1043" t="e" vm="1">
        <f ca="1"/>
        <v>#NAME?</v>
      </c>
      <c r="I289" s="901" t="str">
        <v>sushiswap_fantom</v>
      </c>
      <c r="J289" s="882" t="str">
        <v>Sushiswap (Fantom)</v>
      </c>
      <c r="K289" s="882">
        <v>0</v>
      </c>
      <c r="L289" s="1062">
        <v>0</v>
      </c>
      <c r="M289" s="1062" t="str">
        <v>Sushiswap on Fantom is a DeFi protocol providing services such as swap, earn, yield, launchpad, and more!</v>
      </c>
      <c r="N289" s="882" t="str">
        <v>https://app.sushi.com/swap</v>
      </c>
      <c r="O289" s="1045" t="str">
        <v>https://assets.coingecko.com/markets/images/677/small/sushiswap-fantom.png?1621508759</v>
      </c>
      <c r="P289" s="882" t="b">
        <v>0</v>
      </c>
      <c r="Q289" s="882">
        <v>5</v>
      </c>
      <c r="R289" s="882">
        <v>167</v>
      </c>
      <c r="S289" s="1084">
        <v>1.7291299488616936</v>
      </c>
      <c r="T289" s="1084">
        <v>1.7291299488616936</v>
      </c>
    </row>
    <row r="290" spans="8:20">
      <c r="H290" s="1043" t="e" vm="1">
        <f ca="1"/>
        <v>#NAME?</v>
      </c>
      <c r="I290" s="1059" t="str">
        <v>coinfloor</v>
      </c>
      <c r="J290" s="1060" t="str">
        <v>Coinfloor</v>
      </c>
      <c r="K290" s="1060">
        <v>2013</v>
      </c>
      <c r="L290" s="1061" t="str">
        <v>United Kingdom</v>
      </c>
      <c r="M290" s="1061" t="str">
        <v>Coinfloor is the UK’s longest established Bitcoin and cryptocurrency exchange. Founded with a focus on trust, security and reliability, our goal has always been to create a safe and accessible place to trade and invest in cryptocurrency such as Bitcoin. Coinfloor’s history goes back to 2012 when we experienced first hand the challenges of buying, selling and trading bitcoins in the UK, and wanted to build a business that solved this problem.</v>
      </c>
      <c r="N290" s="1060" t="str">
        <v>https://coinfloor.co.uk/</v>
      </c>
      <c r="O290" s="1082" t="str">
        <v>https://assets.coingecko.com/markets/images/489/small/Coinfloor_logo_square_on_blue_large.png?1571901986</v>
      </c>
      <c r="P290" s="882" t="b">
        <v>0</v>
      </c>
      <c r="Q290" s="882">
        <v>6</v>
      </c>
      <c r="R290" s="882">
        <v>126</v>
      </c>
      <c r="S290" s="1084">
        <v>1.7225359024774727</v>
      </c>
      <c r="T290" s="1084">
        <v>1.7225359024774727</v>
      </c>
    </row>
    <row r="291" spans="8:20">
      <c r="H291" s="1043" t="e" vm="1">
        <f ca="1"/>
        <v>#NAME?</v>
      </c>
      <c r="I291" s="901" t="str">
        <v>bit2c</v>
      </c>
      <c r="J291" s="882" t="str">
        <v>Bit2c</v>
      </c>
      <c r="K291" s="882">
        <v>2013</v>
      </c>
      <c r="L291" s="1062" t="str">
        <v>Israel</v>
      </c>
      <c r="M291" s="1062">
        <v>0</v>
      </c>
      <c r="N291" s="882" t="str">
        <v>https://bit2c.co.il/</v>
      </c>
      <c r="O291" s="1045" t="str">
        <v>https://assets.coingecko.com/markets/images/145/small/bit2c.jpeg?1523867875</v>
      </c>
      <c r="P291" s="882">
        <v>0</v>
      </c>
      <c r="Q291" s="882">
        <v>4</v>
      </c>
      <c r="R291" s="882">
        <v>193</v>
      </c>
      <c r="S291" s="1084">
        <v>1.5155055852778454</v>
      </c>
      <c r="T291" s="1084">
        <v>1.5155055852778454</v>
      </c>
    </row>
    <row r="292" spans="8:20">
      <c r="H292" s="1043" t="e" vm="1">
        <f ca="1"/>
        <v>#NAME?</v>
      </c>
      <c r="I292" s="1059" t="str">
        <v>lcx</v>
      </c>
      <c r="J292" s="1060" t="str">
        <v>LCX Exchange</v>
      </c>
      <c r="K292" s="1060">
        <v>2020</v>
      </c>
      <c r="L292" s="1061" t="str">
        <v>Liechtenstein</v>
      </c>
      <c r="M292" s="1061" t="str">
        <v>The LCX Exchange Is a Regulated Trading Venue Offering a Range of Digital Currencies. LCX aims to build the new infrastructure for digital finance, focusing on all aspects of compliance and regulation. Investing to build AML and KYC technology solutions at the institutional and consumer level, including on-chain analytics and surveillance for all crypto deposits and withdrawals. LCX is continuously engaging with policy makers, regulators and financial institutions and will routinely participate in financial and security audits, as well as regulatory compliance reviews. In 2020 LCX secured approvals of 8 blockchain registrations with the registration Nr 288159. Allowing LCX to offer the broadest scope of blockchain services – alongside our sophisticated crypto compliance suite.</v>
      </c>
      <c r="N292" s="1060" t="str">
        <v>https://exchange.lcx.com/</v>
      </c>
      <c r="O292" s="1082" t="str">
        <v>https://assets.coingecko.com/markets/images/638/small/LCX.jpg?1616748175</v>
      </c>
      <c r="P292" s="882" t="b">
        <v>0</v>
      </c>
      <c r="Q292" s="882">
        <v>7</v>
      </c>
      <c r="R292" s="882">
        <v>91</v>
      </c>
      <c r="S292" s="1084">
        <v>1.4129173282854386</v>
      </c>
      <c r="T292" s="1084">
        <v>0</v>
      </c>
    </row>
    <row r="293" spans="8:20">
      <c r="H293" s="1043" t="e" vm="1">
        <f ca="1"/>
        <v>#NAME?</v>
      </c>
      <c r="I293" s="901" t="str">
        <v>zebitex</v>
      </c>
      <c r="J293" s="882" t="str">
        <v>Zebitex</v>
      </c>
      <c r="K293" s="882">
        <v>2018</v>
      </c>
      <c r="L293" s="1062" t="str">
        <v>France</v>
      </c>
      <c r="M293" s="1062" t="str">
        <v xml:space="preserve">Established on 28 November 2018, ZEBITEX is a centralized European cryptocurrency exchange, based in Toulouse, France. ZEBITEX is founded by Christophe Villegas and Pierre-Guy Bareges, two widely-renowned figures on the French cryptocurrency stage. ZEBITEX is the third company of Digital Service Group. The founders are also running the highly-successful and trusted ZeBitcoin broker and DIGYCODE, the first prepaid service voucher in France, Monaco and Reunion island that allows for the exchange of euros against cryptocurrencies. </v>
      </c>
      <c r="N293" s="882" t="str">
        <v>https://zebitex.com/</v>
      </c>
      <c r="O293" s="1045" t="str">
        <v>https://assets.coingecko.com/markets/images/566/small/zebitex_logo.png?1596782748</v>
      </c>
      <c r="P293" s="882" t="b">
        <v>0</v>
      </c>
      <c r="Q293" s="882">
        <v>4</v>
      </c>
      <c r="R293" s="882">
        <v>194</v>
      </c>
      <c r="S293" s="1084">
        <v>1.1347585179375044</v>
      </c>
      <c r="T293" s="1084">
        <v>1.1347585179375044</v>
      </c>
    </row>
    <row r="294" spans="8:20">
      <c r="H294" s="1043" t="e" vm="1">
        <f ca="1"/>
        <v>#NAME?</v>
      </c>
      <c r="I294" s="1059" t="str">
        <v>satoexchange</v>
      </c>
      <c r="J294" s="1060" t="str">
        <v>SatoExchange</v>
      </c>
      <c r="K294" s="1060">
        <v>2018</v>
      </c>
      <c r="L294" s="1061" t="str">
        <v>United States</v>
      </c>
      <c r="M294" s="1061">
        <v>0</v>
      </c>
      <c r="N294" s="1060" t="str">
        <v>https://www.satoexchange.com/</v>
      </c>
      <c r="O294" s="1082" t="str">
        <v>https://assets.coingecko.com/markets/images/413/small/satoexchange.png?1558958746</v>
      </c>
      <c r="P294" s="882" t="b">
        <v>0</v>
      </c>
      <c r="Q294" s="882">
        <v>1</v>
      </c>
      <c r="R294" s="882">
        <v>249</v>
      </c>
      <c r="S294" s="1084">
        <v>1.0977684127424101</v>
      </c>
      <c r="T294" s="1084">
        <v>1.0977684127424101</v>
      </c>
    </row>
    <row r="295" spans="8:20">
      <c r="H295" s="1043" t="e" vm="1">
        <f ca="1"/>
        <v>#NAME?</v>
      </c>
      <c r="I295" s="901" t="str">
        <v>nash</v>
      </c>
      <c r="J295" s="882" t="str">
        <v>Nash</v>
      </c>
      <c r="K295" s="882">
        <v>2017</v>
      </c>
      <c r="L295" s="1062" t="str">
        <v>Liechtenstein</v>
      </c>
      <c r="M295" s="1062" t="str">
        <v>Nash bridges the gap between crypto and your local currency. Our crypto/cash exchange service combines the lowest fees with instant delivery to the safest software wallet. With Nash Link for business, merchants can easily accept crypto from their customers and receive cash. Our digital banking services will seamlessly integrate traditional and decentralized finance (DeFi), with DeFi-powered high-interest savings and a crypto debit card.</v>
      </c>
      <c r="N295" s="882" t="str">
        <v>https://nash.io</v>
      </c>
      <c r="O295" s="1045" t="str">
        <v>https://assets.coingecko.com/markets/images/472/small/Nash-token_icon.png?1569458675</v>
      </c>
      <c r="P295" s="882" t="b">
        <v>0</v>
      </c>
      <c r="Q295" s="882">
        <v>6</v>
      </c>
      <c r="R295" s="882">
        <v>127</v>
      </c>
      <c r="S295" s="1084">
        <v>0.99858984323501332</v>
      </c>
      <c r="T295" s="1084">
        <v>0.99858984323501332</v>
      </c>
    </row>
    <row r="296" spans="8:20">
      <c r="H296" s="1043" t="e" vm="1">
        <f ca="1"/>
        <v>#NAME?</v>
      </c>
      <c r="I296" s="1059" t="str">
        <v>beaxy</v>
      </c>
      <c r="J296" s="1060" t="str">
        <v>Beaxy</v>
      </c>
      <c r="K296" s="1060">
        <v>2017</v>
      </c>
      <c r="L296" s="1061" t="str">
        <v>United States</v>
      </c>
      <c r="M296" s="1061" t="str">
        <v xml:space="preserve">Launched on 10 June 2019, Beaxy Exchange is a centralized exchange headquartered at The Board of Trade in Chicago, Illinois. The exchange supports 6 fiat pairs, a two-way fiat ramp, credit and debit card purchases, and spot cryptocurrency trading. It is a U.S. registered, FinCEN money servicing business. Cryptocurrencies are reportedly secured by Curv institutional custody and fiat accounts are insured up to $250,000. Beaxy Exchange offers prebuilt technical analysis trading signals for cryptocurrencies listed on their platform. Members of their team have reportedly built trading desks in Chicago, IL. Their API features REST and WebSocket as well as FIX, view the documentation here._x000D_
</v>
      </c>
      <c r="N296" s="1060" t="str">
        <v>https://www.beaxy.com/</v>
      </c>
      <c r="O296" s="1082" t="str">
        <v>https://assets.coingecko.com/markets/images/440/small/beaxy.png?1583390257</v>
      </c>
      <c r="P296" s="882" t="b">
        <v>0</v>
      </c>
      <c r="Q296" s="882">
        <v>3</v>
      </c>
      <c r="R296" s="882">
        <v>221</v>
      </c>
      <c r="S296" s="1084">
        <v>0.91031219291421572</v>
      </c>
      <c r="T296" s="1084">
        <v>0.91031219291421572</v>
      </c>
    </row>
    <row r="297" spans="8:20">
      <c r="H297" s="1043" t="e" vm="1">
        <f ca="1"/>
        <v>#NAME?</v>
      </c>
      <c r="I297" s="901" t="str">
        <v>chainex</v>
      </c>
      <c r="J297" s="882" t="str">
        <v>ChainEX</v>
      </c>
      <c r="K297" s="882">
        <v>2018</v>
      </c>
      <c r="L297" s="1062" t="str">
        <v>South Africa</v>
      </c>
      <c r="M297" s="1062">
        <v>0</v>
      </c>
      <c r="N297" s="882" t="str">
        <v>https://chainex.io/</v>
      </c>
      <c r="O297" s="1045" t="str">
        <v>https://assets.coingecko.com/markets/images/275/small/VTwwcyVk_400x400.jpg?1538644568</v>
      </c>
      <c r="P297" s="882" t="b">
        <v>0</v>
      </c>
      <c r="Q297" s="882">
        <v>6</v>
      </c>
      <c r="R297" s="882">
        <v>128</v>
      </c>
      <c r="S297" s="1084">
        <v>0.82319230544838595</v>
      </c>
      <c r="T297" s="1084">
        <v>0.82319230544838595</v>
      </c>
    </row>
    <row r="298" spans="8:20">
      <c r="H298" s="1043" t="e" vm="1">
        <f ca="1"/>
        <v>#NAME?</v>
      </c>
      <c r="I298" s="1059" t="str">
        <v>honeyswap_polygon</v>
      </c>
      <c r="J298" s="1060" t="str">
        <v>Honeyswap (Polygon)</v>
      </c>
      <c r="K298" s="1060">
        <v>0</v>
      </c>
      <c r="L298" s="1061">
        <v>0</v>
      </c>
      <c r="M298" s="1061">
        <v>0</v>
      </c>
      <c r="N298" s="1060" t="str">
        <v>https://app.honeyswap.org/#/swap</v>
      </c>
      <c r="O298" s="1082" t="str">
        <v>https://assets.coingecko.com/markets/images/688/small/honeyswap.png?1627465040</v>
      </c>
      <c r="P298" s="882" t="b">
        <v>0</v>
      </c>
      <c r="Q298" s="882">
        <v>2</v>
      </c>
      <c r="R298" s="882">
        <v>245</v>
      </c>
      <c r="S298" s="1084">
        <v>0.79202571845194603</v>
      </c>
      <c r="T298" s="1084">
        <v>0</v>
      </c>
    </row>
    <row r="299" spans="8:20">
      <c r="H299" s="1043" t="e" vm="1">
        <f ca="1"/>
        <v>#NAME?</v>
      </c>
      <c r="I299" s="901" t="str">
        <v>delta_spot</v>
      </c>
      <c r="J299" s="882" t="str">
        <v>Delta Exchange</v>
      </c>
      <c r="K299" s="882">
        <v>0</v>
      </c>
      <c r="L299" s="1062">
        <v>0</v>
      </c>
      <c r="M299" s="1062">
        <v>0</v>
      </c>
      <c r="N299" s="882" t="str">
        <v>https://www.delta.exchange/app/futures/markets</v>
      </c>
      <c r="O299" s="1045" t="str">
        <v>https://assets.coingecko.com/markets/images/642/small/delta_spot.jpg?1617283005</v>
      </c>
      <c r="P299" s="882" t="b">
        <v>0</v>
      </c>
      <c r="Q299" s="882">
        <v>7</v>
      </c>
      <c r="R299" s="882">
        <v>92</v>
      </c>
      <c r="S299" s="1084">
        <v>0.76550329387749672</v>
      </c>
      <c r="T299" s="1084">
        <v>0</v>
      </c>
    </row>
    <row r="300" spans="8:20">
      <c r="H300" s="1043" t="e" vm="1">
        <f ca="1"/>
        <v>#NAME?</v>
      </c>
      <c r="I300" s="1059" t="str">
        <v>huobi_id</v>
      </c>
      <c r="J300" s="1060" t="str">
        <v>Huobi Indonesia</v>
      </c>
      <c r="K300" s="1060">
        <v>2019</v>
      </c>
      <c r="L300" s="1061" t="str">
        <v>Indonesia</v>
      </c>
      <c r="M300" s="1061" t="str">
        <v>Headquartered in Jakarta, Huobi Indonesia is a digital asset exchange platform based on Huobi Cloud technology and currently offer trading and investment of more then 100 digital asset pair including fiat-crypto trading, crypto-crypto trading, etc, where it share Huobi's trading depth.</v>
      </c>
      <c r="N300" s="1060" t="str">
        <v>https://www.huobi.id</v>
      </c>
      <c r="O300" s="1082" t="str">
        <v>https://assets.coingecko.com/markets/images/514/small/We-Chat-Image-20191018142043.png?1582101491</v>
      </c>
      <c r="P300" s="882" t="b">
        <v>0</v>
      </c>
      <c r="Q300" s="882">
        <v>2</v>
      </c>
      <c r="R300" s="882">
        <v>239</v>
      </c>
      <c r="S300" s="1084">
        <v>0.67298855210448105</v>
      </c>
      <c r="T300" s="1084">
        <v>0.67298855210448105</v>
      </c>
    </row>
    <row r="301" spans="8:20">
      <c r="H301" s="1043" t="e" vm="1">
        <f ca="1"/>
        <v>#NAME?</v>
      </c>
      <c r="I301" s="901" t="str">
        <v>sinegy</v>
      </c>
      <c r="J301" s="882" t="str">
        <v>SINEGY</v>
      </c>
      <c r="K301" s="882">
        <v>2020</v>
      </c>
      <c r="L301" s="1062" t="str">
        <v>Malaysia</v>
      </c>
      <c r="M301" s="1062" t="str">
        <v>Launched on 8th April 2020, SINEGY Marketplace is a centralized custodial fiat/crypto exchange based in Penang, Malaysia. It supports BTC and ETH pairings with MYR. MYR fiat deposits and withdrawals are supported, as well as international wire transfers.  As cryptocurrencies are legally recognized as securities in Malaysia, SINEGY Marketplace is a RMO (Recognized Market Operator) regulated by Malaysia's regulator - the Securities Commission - for managing digital assets.</v>
      </c>
      <c r="N301" s="882" t="str">
        <v>https://marketplace.sinegy.com/</v>
      </c>
      <c r="O301" s="1045" t="str">
        <v>https://assets.coingecko.com/markets/images/615/small/sinegy-logo-200x200px.png?1610953531</v>
      </c>
      <c r="P301" s="882" t="b">
        <v>0</v>
      </c>
      <c r="Q301" s="882">
        <v>6</v>
      </c>
      <c r="R301" s="882">
        <v>129</v>
      </c>
      <c r="S301" s="1084">
        <v>0.5366794478918322</v>
      </c>
      <c r="T301" s="1084">
        <v>0.5366794478918322</v>
      </c>
    </row>
    <row r="302" spans="8:20">
      <c r="H302" s="1043" t="e" vm="1">
        <f ca="1"/>
        <v>#NAME?</v>
      </c>
      <c r="I302" s="1059" t="str">
        <v>sakeswap</v>
      </c>
      <c r="J302" s="1060" t="str">
        <v>SakeSwap</v>
      </c>
      <c r="K302" s="1060">
        <v>2020</v>
      </c>
      <c r="L302" s="1061" t="str">
        <v>Singapore</v>
      </c>
      <c r="M302" s="1061" t="str">
        <v>SakeSwap, a profitable DEX that provides ILO crowdfunding platform for projects and increases 50% of the LP income with slippage capture.</v>
      </c>
      <c r="N302" s="1060" t="str">
        <v>https://exchange.sakeswap.finance/#/swap</v>
      </c>
      <c r="O302" s="1082" t="str">
        <v>https://assets.coingecko.com/markets/images/598/small/SakeSwap_Avatar_01B.png?1603187695</v>
      </c>
      <c r="P302" s="882" t="b">
        <v>0</v>
      </c>
      <c r="Q302" s="882">
        <v>3</v>
      </c>
      <c r="R302" s="882">
        <v>222</v>
      </c>
      <c r="S302" s="1084">
        <v>0.49846026029125551</v>
      </c>
      <c r="T302" s="1084">
        <v>0.49846026029125551</v>
      </c>
    </row>
    <row r="303" spans="8:20">
      <c r="H303" s="1043" t="e" vm="1">
        <f ca="1"/>
        <v>#NAME?</v>
      </c>
      <c r="I303" s="901" t="str">
        <v>polyient_dex</v>
      </c>
      <c r="J303" s="882" t="str">
        <v>Polyient Dex</v>
      </c>
      <c r="K303" s="882">
        <v>2020</v>
      </c>
      <c r="L303" s="1062" t="str">
        <v>United States</v>
      </c>
      <c r="M303" s="1062">
        <v>0</v>
      </c>
      <c r="N303" s="882" t="str">
        <v>https://dex.polyient.games/#/swap</v>
      </c>
      <c r="O303" s="1045" t="str">
        <v>https://assets.coingecko.com/markets/images/621/small/pgt-logo.png?1611717652</v>
      </c>
      <c r="P303" s="882" t="b">
        <v>0</v>
      </c>
      <c r="Q303" s="882">
        <v>3</v>
      </c>
      <c r="R303" s="882">
        <v>223</v>
      </c>
      <c r="S303" s="1084">
        <v>0.46167533428980179</v>
      </c>
      <c r="T303" s="1084">
        <v>0.46167533428980179</v>
      </c>
    </row>
    <row r="304" spans="8:20">
      <c r="H304" s="1043" t="e" vm="1">
        <f ca="1"/>
        <v>#NAME?</v>
      </c>
      <c r="I304" s="1059" t="str">
        <v>freiexchange</v>
      </c>
      <c r="J304" s="1060" t="str">
        <v>Freiexchange</v>
      </c>
      <c r="K304" s="1060">
        <v>2016</v>
      </c>
      <c r="L304" s="1061" t="str">
        <v>Norway</v>
      </c>
      <c r="M304" s="1061">
        <v>0</v>
      </c>
      <c r="N304" s="1060" t="str">
        <v>https://freiexchange.com/</v>
      </c>
      <c r="O304" s="1082" t="str">
        <v>https://assets.coingecko.com/markets/images/153/small/freiexchange.jpg?1527734462</v>
      </c>
      <c r="P304" s="882">
        <v>0</v>
      </c>
      <c r="Q304" s="882">
        <v>2</v>
      </c>
      <c r="R304" s="882">
        <v>240</v>
      </c>
      <c r="S304" s="1084">
        <v>0.37459603897255112</v>
      </c>
      <c r="T304" s="1084">
        <v>0.37459603897255112</v>
      </c>
    </row>
    <row r="305" spans="8:20">
      <c r="H305" s="1043" t="e" vm="1">
        <f ca="1"/>
        <v>#NAME?</v>
      </c>
      <c r="I305" s="901" t="str">
        <v>bitexbook</v>
      </c>
      <c r="J305" s="882" t="str">
        <v>BITEXBOOK</v>
      </c>
      <c r="K305" s="882">
        <v>2018</v>
      </c>
      <c r="L305" s="1062" t="str">
        <v>Saint Vincent and the Grenadines</v>
      </c>
      <c r="M305" s="1062">
        <v>0</v>
      </c>
      <c r="N305" s="882" t="str">
        <v>https://bitexbook.com</v>
      </c>
      <c r="O305" s="1045" t="str">
        <v>https://assets.coingecko.com/markets/images/375/small/logo_bitexbook.png?1553668542</v>
      </c>
      <c r="P305" s="882" t="b">
        <v>0</v>
      </c>
      <c r="Q305" s="882">
        <v>4</v>
      </c>
      <c r="R305" s="882">
        <v>195</v>
      </c>
      <c r="S305" s="1084">
        <v>0.28619766525328738</v>
      </c>
      <c r="T305" s="1084">
        <v>0.28619766525328738</v>
      </c>
    </row>
    <row r="306" spans="8:20">
      <c r="H306" s="1043" t="e" vm="1">
        <f ca="1"/>
        <v>#NAME?</v>
      </c>
      <c r="I306" s="1059" t="str">
        <v>qtrade</v>
      </c>
      <c r="J306" s="1060" t="str">
        <v>qTrade</v>
      </c>
      <c r="K306" s="1060">
        <v>0</v>
      </c>
      <c r="L306" s="1061" t="str">
        <v>United States</v>
      </c>
      <c r="M306" s="1061">
        <v>0</v>
      </c>
      <c r="N306" s="1060" t="str">
        <v>https://qtrade.io</v>
      </c>
      <c r="O306" s="1082" t="str">
        <v>https://assets.coingecko.com/markets/images/364/small/NqdporUt_400x400.jpg?1551249298</v>
      </c>
      <c r="P306" s="882" t="b">
        <v>0</v>
      </c>
      <c r="Q306" s="882">
        <v>4</v>
      </c>
      <c r="R306" s="882">
        <v>196</v>
      </c>
      <c r="S306" s="1084">
        <v>0.27559134769972021</v>
      </c>
      <c r="T306" s="1084">
        <v>0.27559134769972021</v>
      </c>
    </row>
    <row r="307" spans="8:20">
      <c r="H307" s="1043" t="e" vm="1">
        <f ca="1"/>
        <v>#NAME?</v>
      </c>
      <c r="I307" s="901" t="str">
        <v>safe_trade</v>
      </c>
      <c r="J307" s="882" t="str">
        <v>SafeTrade</v>
      </c>
      <c r="K307" s="882">
        <v>2018</v>
      </c>
      <c r="L307" s="1062" t="str">
        <v>Saint Vincent and the Grenadines</v>
      </c>
      <c r="M307" s="1062">
        <v>0</v>
      </c>
      <c r="N307" s="882" t="str">
        <v>https://safe.trade/</v>
      </c>
      <c r="O307" s="1045" t="str">
        <v>https://assets.coingecko.com/markets/images/215/small/safe-trade-logo.png?1533195614</v>
      </c>
      <c r="P307" s="882" t="b">
        <v>0</v>
      </c>
      <c r="Q307" s="882">
        <v>3</v>
      </c>
      <c r="R307" s="882">
        <v>224</v>
      </c>
      <c r="S307" s="1084">
        <v>0.25651108610110068</v>
      </c>
      <c r="T307" s="1084">
        <v>0.25651108610110068</v>
      </c>
    </row>
    <row r="308" spans="8:20">
      <c r="H308" s="1043" t="e" vm="1">
        <f ca="1"/>
        <v>#NAME?</v>
      </c>
      <c r="I308" s="1059" t="str">
        <v>value_liquid_bsc</v>
      </c>
      <c r="J308" s="1060" t="str">
        <v>vSwap BSC</v>
      </c>
      <c r="K308" s="1060">
        <v>2021</v>
      </c>
      <c r="L308" s="1061">
        <v>0</v>
      </c>
      <c r="M308" s="1061" t="str">
        <v>DEX aggregator with our own AMM and own liquidity on ETH and BSC. Flexible pair ratio allowed (in comparison to 50-50 ratio like Uniswap or Pancakeswap).</v>
      </c>
      <c r="N308" s="1060" t="str">
        <v>https://bsc.valuedefi.io/#/vswap</v>
      </c>
      <c r="O308" s="1082" t="str">
        <v>https://assets.coingecko.com/markets/images/641/small/vswap.png?1617331539</v>
      </c>
      <c r="P308" s="882" t="b">
        <v>0</v>
      </c>
      <c r="Q308" s="882">
        <v>5</v>
      </c>
      <c r="R308" s="882">
        <v>170</v>
      </c>
      <c r="S308" s="1084">
        <v>0.2138259719257492</v>
      </c>
      <c r="T308" s="1084">
        <v>0</v>
      </c>
    </row>
    <row r="309" spans="8:20">
      <c r="H309" s="1043" t="e" vm="1">
        <f ca="1"/>
        <v>#NAME?</v>
      </c>
      <c r="I309" s="901" t="str">
        <v>sashimiswap</v>
      </c>
      <c r="J309" s="882" t="str">
        <v>Sashimiswap</v>
      </c>
      <c r="K309" s="882">
        <v>2020</v>
      </c>
      <c r="L309" s="1062">
        <v>0</v>
      </c>
      <c r="M309" s="1062">
        <v>0</v>
      </c>
      <c r="N309" s="882" t="str">
        <v>https://info.sashimi.cool/pairs</v>
      </c>
      <c r="O309" s="1045" t="str">
        <v>https://assets.coingecko.com/markets/images/609/small/chef.0f496876.png?1607516097</v>
      </c>
      <c r="P309" s="882" t="b">
        <v>0</v>
      </c>
      <c r="Q309" s="882">
        <v>1</v>
      </c>
      <c r="R309" s="882">
        <v>250</v>
      </c>
      <c r="S309" s="1084">
        <v>0.20687963474682899</v>
      </c>
      <c r="T309" s="1084">
        <v>0.20687963474682899</v>
      </c>
    </row>
    <row r="310" spans="8:20">
      <c r="H310" s="1043" t="e" vm="1">
        <f ca="1"/>
        <v>#NAME?</v>
      </c>
      <c r="I310" s="1059" t="str">
        <v>pinkswap</v>
      </c>
      <c r="J310" s="1060" t="str">
        <v>PinkSwap</v>
      </c>
      <c r="K310" s="1060">
        <v>2021</v>
      </c>
      <c r="L310" s="1061">
        <v>0</v>
      </c>
      <c r="M310" s="1061" t="str">
        <v>PinkSwap is a decentralized exchange to swap BEP-20 tokens for PinkArmy. PinkSwap uses an automated market maker (AMM) model.</v>
      </c>
      <c r="N310" s="1060" t="str">
        <v>https://exchange.pinkswap.finance</v>
      </c>
      <c r="O310" s="1082" t="str">
        <v>https://assets.coingecko.com/markets/images/681/small/pinkswap.png?1623330530</v>
      </c>
      <c r="P310" s="882" t="b">
        <v>0</v>
      </c>
      <c r="Q310" s="882">
        <v>2</v>
      </c>
      <c r="R310" s="882">
        <v>242</v>
      </c>
      <c r="S310" s="1084">
        <v>0.13365074368989119</v>
      </c>
      <c r="T310" s="1084">
        <v>0.13365074368989119</v>
      </c>
    </row>
    <row r="311" spans="8:20">
      <c r="H311" s="1043" t="e" vm="1">
        <f ca="1"/>
        <v>#NAME?</v>
      </c>
      <c r="I311" s="901" t="str">
        <v>polyzap</v>
      </c>
      <c r="J311" s="882" t="str">
        <v>PolyZap</v>
      </c>
      <c r="K311" s="882">
        <v>0</v>
      </c>
      <c r="L311" s="1062">
        <v>0</v>
      </c>
      <c r="M311" s="1062">
        <v>0</v>
      </c>
      <c r="N311" s="882" t="str">
        <v>https://swap.polyzap.finance/</v>
      </c>
      <c r="O311" s="1045" t="str">
        <v>https://assets.coingecko.com/markets/images/680/small/polyzap-swap.jpeg?1622079597</v>
      </c>
      <c r="P311" s="882" t="b">
        <v>0</v>
      </c>
      <c r="Q311" s="882">
        <v>2</v>
      </c>
      <c r="R311" s="882">
        <v>241</v>
      </c>
      <c r="S311" s="1084">
        <v>0.13129705397852551</v>
      </c>
      <c r="T311" s="1084">
        <v>0.13129705397852551</v>
      </c>
    </row>
    <row r="312" spans="8:20">
      <c r="H312" s="1043" t="e" vm="1">
        <f ca="1"/>
        <v>#NAME?</v>
      </c>
      <c r="I312" s="1059" t="str">
        <v>levinswap_xdai</v>
      </c>
      <c r="J312" s="1060" t="str">
        <v>Levinswap (xDai)</v>
      </c>
      <c r="K312" s="1060">
        <v>0</v>
      </c>
      <c r="L312" s="1061">
        <v>0</v>
      </c>
      <c r="M312" s="1061">
        <v>0</v>
      </c>
      <c r="N312" s="1060" t="str">
        <v>https://app.levinswap.org/#/swap</v>
      </c>
      <c r="O312" s="1082" t="str">
        <v>https://assets.coingecko.com/markets/images/679/small/levinswap.jpeg?1622079667</v>
      </c>
      <c r="P312" s="882" t="b">
        <v>0</v>
      </c>
      <c r="Q312" s="882">
        <v>3</v>
      </c>
      <c r="R312" s="882">
        <v>225</v>
      </c>
      <c r="S312" s="1084">
        <v>9.5534039863392498E-2</v>
      </c>
      <c r="T312" s="1084">
        <v>9.5534039863392498E-2</v>
      </c>
    </row>
    <row r="313" spans="8:20">
      <c r="H313" s="1043" t="e" vm="1">
        <f ca="1"/>
        <v>#NAME?</v>
      </c>
      <c r="I313" s="901" t="str">
        <v>unnamed</v>
      </c>
      <c r="J313" s="882" t="str">
        <v>Unnamed</v>
      </c>
      <c r="K313" s="882">
        <v>2019</v>
      </c>
      <c r="L313" s="1062" t="str">
        <v>United Kingdom</v>
      </c>
      <c r="M313" s="1062">
        <v>0</v>
      </c>
      <c r="N313" s="882" t="str">
        <v>https://www.unnamed.exchange/</v>
      </c>
      <c r="O313" s="1045" t="str">
        <v>https://assets.coingecko.com/markets/images/478/small/H6tgDbj.png?1570166355</v>
      </c>
      <c r="P313" s="882" t="b">
        <v>0</v>
      </c>
      <c r="Q313" s="882">
        <v>3</v>
      </c>
      <c r="R313" s="882">
        <v>226</v>
      </c>
      <c r="S313" s="1084">
        <v>5.4186741190890203E-2</v>
      </c>
      <c r="T313" s="1084">
        <v>5.4186741190890203E-2</v>
      </c>
    </row>
    <row r="314" spans="8:20">
      <c r="H314" s="1043" t="e" vm="1">
        <f ca="1"/>
        <v>#NAME?</v>
      </c>
      <c r="I314" s="1059" t="str">
        <v>swapr_ethereum</v>
      </c>
      <c r="J314" s="1060" t="str">
        <v>Swapr (Ethereum)</v>
      </c>
      <c r="K314" s="1060">
        <v>0</v>
      </c>
      <c r="L314" s="1061">
        <v>0</v>
      </c>
      <c r="M314" s="1061">
        <v>0</v>
      </c>
      <c r="N314" s="1060" t="str">
        <v>https://swapr.eth.link/</v>
      </c>
      <c r="O314" s="1082" t="str">
        <v>https://assets.coingecko.com/markets/images/689/small/dxswap-black.png?1627464962</v>
      </c>
      <c r="P314" s="882" t="b">
        <v>0</v>
      </c>
      <c r="Q314" s="882">
        <v>3</v>
      </c>
      <c r="R314" s="882">
        <v>229</v>
      </c>
      <c r="S314" s="1084">
        <v>4.8852714935670102E-2</v>
      </c>
      <c r="T314" s="1084">
        <v>0</v>
      </c>
    </row>
    <row r="315" spans="8:20">
      <c r="H315" s="1043" t="e" vm="1">
        <f ca="1"/>
        <v>#NAME?</v>
      </c>
      <c r="I315" s="901" t="str">
        <v>c_patex</v>
      </c>
      <c r="J315" s="882" t="str">
        <v>C-Patex</v>
      </c>
      <c r="K315" s="882">
        <v>0</v>
      </c>
      <c r="L315" s="1062" t="str">
        <v>Argentina</v>
      </c>
      <c r="M315" s="1062">
        <v>0</v>
      </c>
      <c r="N315" s="882" t="str">
        <v>https://c-patex.com/</v>
      </c>
      <c r="O315" s="1045" t="str">
        <v>https://assets.coingecko.com/markets/images/246/small/c-patex.jpg?1536145278</v>
      </c>
      <c r="P315" s="882" t="b">
        <v>0</v>
      </c>
      <c r="Q315" s="882">
        <v>3</v>
      </c>
      <c r="R315" s="882">
        <v>227</v>
      </c>
      <c r="S315" s="1084">
        <v>2.8797499124571801E-2</v>
      </c>
      <c r="T315" s="1084">
        <v>2.8797499124571801E-2</v>
      </c>
    </row>
    <row r="316" spans="8:20">
      <c r="H316" s="1043" t="e" vm="1">
        <f ca="1"/>
        <v>#NAME?</v>
      </c>
      <c r="I316" s="1059" t="str">
        <v>altmarkets</v>
      </c>
      <c r="J316" s="1060" t="str">
        <v>Altmarkets</v>
      </c>
      <c r="K316" s="1060">
        <v>2018</v>
      </c>
      <c r="L316" s="1061" t="str">
        <v>United Kingdom</v>
      </c>
      <c r="M316" s="1061">
        <v>0</v>
      </c>
      <c r="N316" s="1060" t="str">
        <v>https://altmarkets.io</v>
      </c>
      <c r="O316" s="1082" t="str">
        <v>https://assets.coingecko.com/markets/images/269/small/altmarkets.png?1550836537</v>
      </c>
      <c r="P316" s="882" t="b">
        <v>0</v>
      </c>
      <c r="Q316" s="882">
        <v>3</v>
      </c>
      <c r="R316" s="882">
        <v>228</v>
      </c>
      <c r="S316" s="1084">
        <v>2.6321596667744699E-2</v>
      </c>
      <c r="T316" s="1084">
        <v>2.6321596667744699E-2</v>
      </c>
    </row>
    <row r="317" spans="8:20">
      <c r="H317" s="1043" t="e" vm="1">
        <f ca="1"/>
        <v>#NAME?</v>
      </c>
      <c r="I317" s="901" t="str">
        <v>bcex</v>
      </c>
      <c r="J317" s="882" t="str">
        <v>BCEX</v>
      </c>
      <c r="K317" s="882">
        <v>0</v>
      </c>
      <c r="L317" s="1062" t="str">
        <v>Hong Kong</v>
      </c>
      <c r="M317" s="1062">
        <v>0</v>
      </c>
      <c r="N317" s="882" t="str">
        <v>https://www.bcex.ca/coins</v>
      </c>
      <c r="O317" s="1045" t="str">
        <v>https://assets.coingecko.com/markets/images/190/small/bcex.jpg?1529987152</v>
      </c>
      <c r="P317" s="882">
        <v>0</v>
      </c>
      <c r="Q317" s="882">
        <v>2</v>
      </c>
      <c r="R317" s="882">
        <v>243</v>
      </c>
      <c r="S317" s="1085">
        <v>1.6597268226684801E-2</v>
      </c>
      <c r="T317" s="1085">
        <v>1.6597268226684801E-2</v>
      </c>
    </row>
    <row r="318" spans="8:20">
      <c r="H318" s="1043" t="e" vm="1">
        <f ca="1"/>
        <v>#NAME?</v>
      </c>
    </row>
    <row r="319" spans="8:20">
      <c r="H319" s="1043" t="e" vm="1">
        <f ca="1"/>
        <v>#NAME?</v>
      </c>
    </row>
  </sheetData>
  <mergeCells count="3">
    <mergeCell ref="J33:K33"/>
    <mergeCell ref="Q33:R33"/>
    <mergeCell ref="I65:J65"/>
  </mergeCells>
  <phoneticPr fontId="2" type="noConversion"/>
  <conditionalFormatting sqref="E49:E87">
    <cfRule type="expression" dxfId="7" priority="20">
      <formula>$F$44=TRUE</formula>
    </cfRule>
  </conditionalFormatting>
  <conditionalFormatting sqref="C49:C87">
    <cfRule type="expression" dxfId="6" priority="21">
      <formula>$F$44=FALSE</formula>
    </cfRule>
  </conditionalFormatting>
  <conditionalFormatting sqref="M35:M59">
    <cfRule type="dataBar" priority="22">
      <dataBar>
        <cfvo type="min"/>
        <cfvo type="max"/>
        <color rgb="FF638EC6"/>
      </dataBar>
      <extLst>
        <ext xmlns:x14="http://schemas.microsoft.com/office/spreadsheetml/2009/9/main" uri="{B025F937-C7B1-47D3-B67F-A62EFF666E3E}">
          <x14:id>{12CDC670-013E-AE4D-A5E9-A3E5D93CA965}</x14:id>
        </ext>
      </extLst>
    </cfRule>
  </conditionalFormatting>
  <conditionalFormatting sqref="T35:T59">
    <cfRule type="dataBar" priority="19">
      <dataBar>
        <cfvo type="min"/>
        <cfvo type="max"/>
        <color rgb="FF638EC6"/>
      </dataBar>
      <extLst>
        <ext xmlns:x14="http://schemas.microsoft.com/office/spreadsheetml/2009/9/main" uri="{B025F937-C7B1-47D3-B67F-A62EFF666E3E}">
          <x14:id>{4869B565-8800-FC4B-BDD5-F6491AFB0218}</x14:id>
        </ext>
      </extLst>
    </cfRule>
  </conditionalFormatting>
  <conditionalFormatting sqref="L35:L59">
    <cfRule type="dataBar" priority="18">
      <dataBar>
        <cfvo type="min"/>
        <cfvo type="max"/>
        <color rgb="FF638EC6"/>
      </dataBar>
      <extLst>
        <ext xmlns:x14="http://schemas.microsoft.com/office/spreadsheetml/2009/9/main" uri="{B025F937-C7B1-47D3-B67F-A62EFF666E3E}">
          <x14:id>{D7ED3D88-F7B0-C14E-A07C-EA206FBF8B75}</x14:id>
        </ext>
      </extLst>
    </cfRule>
  </conditionalFormatting>
  <conditionalFormatting sqref="S35:S59">
    <cfRule type="dataBar" priority="17">
      <dataBar>
        <cfvo type="min"/>
        <cfvo type="max"/>
        <color rgb="FF638EC6"/>
      </dataBar>
      <extLst>
        <ext xmlns:x14="http://schemas.microsoft.com/office/spreadsheetml/2009/9/main" uri="{B025F937-C7B1-47D3-B67F-A62EFF666E3E}">
          <x14:id>{92875C9A-6D62-634F-B37F-58B2B2A72B59}</x14:id>
        </ext>
      </extLst>
    </cfRule>
  </conditionalFormatting>
  <conditionalFormatting sqref="R35:R59">
    <cfRule type="colorScale" priority="16">
      <colorScale>
        <cfvo type="min"/>
        <cfvo type="max"/>
        <color rgb="FFFCFCFF"/>
        <color rgb="FF63BE7B"/>
      </colorScale>
    </cfRule>
  </conditionalFormatting>
  <conditionalFormatting sqref="K35:K59">
    <cfRule type="colorScale" priority="15">
      <colorScale>
        <cfvo type="min"/>
        <cfvo type="max"/>
        <color rgb="FFFCFCFF"/>
        <color rgb="FF63BE7B"/>
      </colorScale>
    </cfRule>
  </conditionalFormatting>
  <conditionalFormatting sqref="M68:M69">
    <cfRule type="dataBar" priority="14">
      <dataBar>
        <cfvo type="min"/>
        <cfvo type="max"/>
        <color rgb="FF638EC6"/>
      </dataBar>
      <extLst>
        <ext xmlns:x14="http://schemas.microsoft.com/office/spreadsheetml/2009/9/main" uri="{B025F937-C7B1-47D3-B67F-A62EFF666E3E}">
          <x14:id>{C31E4AEA-D9BE-A446-89D6-024B3A1E115F}</x14:id>
        </ext>
      </extLst>
    </cfRule>
  </conditionalFormatting>
  <conditionalFormatting sqref="L68:L69">
    <cfRule type="dataBar" priority="13">
      <dataBar>
        <cfvo type="min"/>
        <cfvo type="max"/>
        <color rgb="FF638EC6"/>
      </dataBar>
      <extLst>
        <ext xmlns:x14="http://schemas.microsoft.com/office/spreadsheetml/2009/9/main" uri="{B025F937-C7B1-47D3-B67F-A62EFF666E3E}">
          <x14:id>{82C9AEF9-E21B-7A42-983A-F9D1A1573CE6}</x14:id>
        </ext>
      </extLst>
    </cfRule>
  </conditionalFormatting>
  <conditionalFormatting sqref="P68:P69">
    <cfRule type="containsText" dxfId="5" priority="10" operator="containsText" text="false">
      <formula>NOT(ISERROR(SEARCH("false",P68)))</formula>
    </cfRule>
    <cfRule type="containsText" dxfId="4" priority="11" operator="containsText" text="true">
      <formula>NOT(ISERROR(SEARCH("true",P68)))</formula>
    </cfRule>
    <cfRule type="containsText" dxfId="3" priority="12" operator="containsText" text="true">
      <formula>NOT(ISERROR(SEARCH("true",P68)))</formula>
    </cfRule>
  </conditionalFormatting>
  <conditionalFormatting sqref="M70:M317">
    <cfRule type="dataBar" priority="9">
      <dataBar>
        <cfvo type="min"/>
        <cfvo type="max"/>
        <color rgb="FF638EC6"/>
      </dataBar>
      <extLst>
        <ext xmlns:x14="http://schemas.microsoft.com/office/spreadsheetml/2009/9/main" uri="{B025F937-C7B1-47D3-B67F-A62EFF666E3E}">
          <x14:id>{4D74A5D6-DC72-1F43-B9B7-AD5E8E9C9FEA}</x14:id>
        </ext>
      </extLst>
    </cfRule>
  </conditionalFormatting>
  <conditionalFormatting sqref="L70:L317">
    <cfRule type="dataBar" priority="8">
      <dataBar>
        <cfvo type="min"/>
        <cfvo type="max"/>
        <color rgb="FF638EC6"/>
      </dataBar>
      <extLst>
        <ext xmlns:x14="http://schemas.microsoft.com/office/spreadsheetml/2009/9/main" uri="{B025F937-C7B1-47D3-B67F-A62EFF666E3E}">
          <x14:id>{CACEC9A7-1182-7349-BE00-C17E124BF9AB}</x14:id>
        </ext>
      </extLst>
    </cfRule>
  </conditionalFormatting>
  <conditionalFormatting sqref="P70:P317">
    <cfRule type="containsText" dxfId="2" priority="5" operator="containsText" text="false">
      <formula>NOT(ISERROR(SEARCH("false",P70)))</formula>
    </cfRule>
    <cfRule type="containsText" dxfId="1" priority="6" operator="containsText" text="true">
      <formula>NOT(ISERROR(SEARCH("true",P70)))</formula>
    </cfRule>
    <cfRule type="containsText" dxfId="0" priority="7" operator="containsText" text="true">
      <formula>NOT(ISERROR(SEARCH("true",P70)))</formula>
    </cfRule>
  </conditionalFormatting>
  <conditionalFormatting sqref="Q68:Q317">
    <cfRule type="colorScale" priority="4">
      <colorScale>
        <cfvo type="min"/>
        <cfvo type="max"/>
        <color rgb="FFFCFCFF"/>
        <color rgb="FF63BE7B"/>
      </colorScale>
    </cfRule>
  </conditionalFormatting>
  <conditionalFormatting sqref="R68:R317">
    <cfRule type="colorScale" priority="3">
      <colorScale>
        <cfvo type="min"/>
        <cfvo type="max"/>
        <color theme="4"/>
        <color theme="4" tint="0.79998168889431442"/>
      </colorScale>
    </cfRule>
  </conditionalFormatting>
  <conditionalFormatting sqref="S68:S317">
    <cfRule type="dataBar" priority="2">
      <dataBar>
        <cfvo type="min"/>
        <cfvo type="max"/>
        <color rgb="FF638EC6"/>
      </dataBar>
      <extLst>
        <ext xmlns:x14="http://schemas.microsoft.com/office/spreadsheetml/2009/9/main" uri="{B025F937-C7B1-47D3-B67F-A62EFF666E3E}">
          <x14:id>{BB154D98-3D62-5F48-93AD-28F27BE74E33}</x14:id>
        </ext>
      </extLst>
    </cfRule>
  </conditionalFormatting>
  <conditionalFormatting sqref="T68:T317">
    <cfRule type="dataBar" priority="1">
      <dataBar>
        <cfvo type="min"/>
        <cfvo type="max"/>
        <color rgb="FF638EC6"/>
      </dataBar>
      <extLst>
        <ext xmlns:x14="http://schemas.microsoft.com/office/spreadsheetml/2009/9/main" uri="{B025F937-C7B1-47D3-B67F-A62EFF666E3E}">
          <x14:id>{BCAAC5AD-DF24-2A46-8D5F-547C836BF3F3}</x14:id>
        </ext>
      </extLst>
    </cfRule>
  </conditionalFormatting>
  <dataValidations count="15">
    <dataValidation type="list" allowBlank="1" showInputMessage="1" showErrorMessage="1" sqref="I65:J65" xr:uid="{201A0DAA-1DD2-514F-A5A0-15F25723242B}">
      <formula1>$I$67:$T$67</formula1>
    </dataValidation>
    <dataValidation type="list" allowBlank="1" showInputMessage="1" showErrorMessage="1" sqref="M33 T33 L65" xr:uid="{F9ABF428-9C9F-B140-B5ED-9C987AFB9731}">
      <formula1>"ASC,DESC"</formula1>
    </dataValidation>
    <dataValidation type="list" allowBlank="1" showInputMessage="1" showErrorMessage="1" sqref="J33 Q33" xr:uid="{FCBB3F31-CA3C-9545-A888-34ECF6CE5A30}">
      <formula1>$I$34:$M$34</formula1>
    </dataValidation>
    <dataValidation allowBlank="1" showInputMessage="1" showErrorMessage="1" promptTitle="Path for Nested JSON Arrays" prompt="The _path global argument allows specific sub-datasets to be extracted from nest JSON arrays. For more information see https://docs.cryptosheets.com/functions/common" sqref="C43 E43" xr:uid="{84381D65-7933-1240-B3B2-9228FB653524}"/>
    <dataValidation type="list" allowBlank="1" showInputMessage="1" showErrorMessage="1" promptTitle="Show Parameter Descriptions" prompt="If TRUE then available descriptions for each parameter will be displayed_x000a__x000a_If FALSE then descriptions will be hidden" sqref="F45" xr:uid="{2E4547FC-838D-E648-AC37-4BF56E4EFDED}">
      <formula1>"TRUE,FALSE"</formula1>
    </dataValidation>
    <dataValidation type="list" allowBlank="1" showInputMessage="1" showErrorMessage="1" promptTitle="Use Parameter Defaults" prompt="If TRUE then the function will use the default parameters for the endpoint_x000a__x000a_If FALSE then the function will use the customer user input parameters for the endpoint" sqref="F44" xr:uid="{7B5B7650-DB63-6046-B7EC-31395A748AF6}">
      <formula1>"TRUE,FALSE"</formula1>
    </dataValidation>
    <dataValidation allowBlank="1" showInputMessage="1" showErrorMessage="1" promptTitle="Show Headers" prompt="Choose whether to display or not display the column headers" sqref="C42 E42" xr:uid="{010D15B0-C9FA-F64A-9170-9A05AB056443}"/>
    <dataValidation allowBlank="1" showInputMessage="1" showErrorMessage="1" promptTitle="Template Title" prompt="Enter a custom title for your template, it will appear in the green banner at the top" sqref="C7:C32" xr:uid="{90FBE73F-E6C6-2041-8B69-8586FC4292D0}"/>
    <dataValidation allowBlank="1" showInputMessage="1" showErrorMessage="1" promptTitle="Limit" prompt="Choose the number of rows (aka records) to return" sqref="C41 E41" xr:uid="{08FB7A3E-C55E-B949-9832-906893FE898F}"/>
    <dataValidation allowBlank="1" showInputMessage="1" showErrorMessage="1" promptTitle="Data Provider" prompt="Type the name of the data provider (example: &quot;Paradigm&quot;)" sqref="C33" xr:uid="{49118A6B-A3A3-2248-B75C-3B782217915E}"/>
    <dataValidation type="list" allowBlank="1" showInputMessage="1" showErrorMessage="1" promptTitle="Provider Endpoint" prompt="Type the name of the available endpoint for the given provider (example: &quot;TA Current&quot;)_x000a__x000a_Tip: search providers at https://app.cryptosheets.com/#/browse" sqref="C34" xr:uid="{837C66DD-27A3-4A49-98E6-ED6814CFADEE}">
      <formula1>$A$34:$A$185</formula1>
    </dataValidation>
    <dataValidation allowBlank="1" showInputMessage="1" showErrorMessage="1" promptTitle="Return Fields" prompt="Universal argument to specific which fields or columns to return and in what order (example: column1,column2,column3.. etc)" sqref="C38 E38" xr:uid="{3D9E17EC-521B-5D49-A239-65915DC2DA75}"/>
    <dataValidation allowBlank="1" showInputMessage="1" showErrorMessage="1" promptTitle="Sort By Field" prompt="Univeral argument to specify which return field to sort by and in which order (example: -date woud return data with the date field sorted ascending/descending)" sqref="C40 E40" xr:uid="{D187B0EB-6AFC-2544-8E9A-9831C82AB830}"/>
    <dataValidation type="list" allowBlank="1" showInputMessage="1" showErrorMessage="1" promptTitle="Date &amp; Time Format" prompt="Select a date or time format to return with the data_x000a__x000a_Tip: you can return multiple types by specific them as MM-DD-YYYY, L, LLL etc see full list at https://app.cryptosheets.com/functions" sqref="C39 E39" xr:uid="{C70E9CC3-6383-314B-A7DE-30ABD45B100E}">
      <formula1>"LT,LTS,L,l,LL,ll,LLL,lll,LLLL,llll,M,Mo,MM,MMM,MMMM,Q,Qo,D,Do,DD,DDD,DDDo,DDDD,d,do,dd,ddd,dddd,e,E,w,wo,ww,W,Wo,WW,YY,YYYY,Y,gg,gggg,GG,GGGG,A,a,H,HH,h,hh,k,kk,m,mm,s,ss,S,SS,SSS,SSSS ... SSSSSSSSS,z or zz,Z,ZZ,X,x,MM-DD-YYYY,MM/DD/YYYY,YYYY-MM-DD"</formula1>
    </dataValidation>
    <dataValidation allowBlank="1" showInputMessage="1" showErrorMessage="1" promptTitle="Parameter Inputs" prompt="Input your parameters in these fields for applicable endpoints_x000a__x000a_Tip: use the default column to see examples of parameter values" sqref="C49:C87" xr:uid="{28285E8C-DC6D-3E4D-8223-D3BBD219F013}"/>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2CDC670-013E-AE4D-A5E9-A3E5D93CA965}">
            <x14:dataBar minLength="0" maxLength="100">
              <x14:cfvo type="autoMin"/>
              <x14:cfvo type="autoMax"/>
              <x14:negativeFillColor rgb="FFFF0000"/>
              <x14:axisColor rgb="FF000000"/>
            </x14:dataBar>
          </x14:cfRule>
          <xm:sqref>M35:M59</xm:sqref>
        </x14:conditionalFormatting>
        <x14:conditionalFormatting xmlns:xm="http://schemas.microsoft.com/office/excel/2006/main">
          <x14:cfRule type="dataBar" id="{4869B565-8800-FC4B-BDD5-F6491AFB0218}">
            <x14:dataBar minLength="0" maxLength="100">
              <x14:cfvo type="autoMin"/>
              <x14:cfvo type="autoMax"/>
              <x14:negativeFillColor rgb="FFFF0000"/>
              <x14:axisColor rgb="FF000000"/>
            </x14:dataBar>
          </x14:cfRule>
          <xm:sqref>T35:T59</xm:sqref>
        </x14:conditionalFormatting>
        <x14:conditionalFormatting xmlns:xm="http://schemas.microsoft.com/office/excel/2006/main">
          <x14:cfRule type="dataBar" id="{D7ED3D88-F7B0-C14E-A07C-EA206FBF8B75}">
            <x14:dataBar minLength="0" maxLength="100">
              <x14:cfvo type="autoMin"/>
              <x14:cfvo type="autoMax"/>
              <x14:negativeFillColor rgb="FFFF0000"/>
              <x14:axisColor rgb="FF000000"/>
            </x14:dataBar>
          </x14:cfRule>
          <xm:sqref>L35:L59</xm:sqref>
        </x14:conditionalFormatting>
        <x14:conditionalFormatting xmlns:xm="http://schemas.microsoft.com/office/excel/2006/main">
          <x14:cfRule type="dataBar" id="{92875C9A-6D62-634F-B37F-58B2B2A72B59}">
            <x14:dataBar minLength="0" maxLength="100">
              <x14:cfvo type="autoMin"/>
              <x14:cfvo type="autoMax"/>
              <x14:negativeFillColor rgb="FFFF0000"/>
              <x14:axisColor rgb="FF000000"/>
            </x14:dataBar>
          </x14:cfRule>
          <xm:sqref>S35:S59</xm:sqref>
        </x14:conditionalFormatting>
        <x14:conditionalFormatting xmlns:xm="http://schemas.microsoft.com/office/excel/2006/main">
          <x14:cfRule type="dataBar" id="{C31E4AEA-D9BE-A446-89D6-024B3A1E115F}">
            <x14:dataBar minLength="0" maxLength="100">
              <x14:cfvo type="autoMin"/>
              <x14:cfvo type="autoMax"/>
              <x14:negativeFillColor rgb="FFFF0000"/>
              <x14:axisColor rgb="FF000000"/>
            </x14:dataBar>
          </x14:cfRule>
          <xm:sqref>M68:M69</xm:sqref>
        </x14:conditionalFormatting>
        <x14:conditionalFormatting xmlns:xm="http://schemas.microsoft.com/office/excel/2006/main">
          <x14:cfRule type="dataBar" id="{82C9AEF9-E21B-7A42-983A-F9D1A1573CE6}">
            <x14:dataBar minLength="0" maxLength="100">
              <x14:cfvo type="autoMin"/>
              <x14:cfvo type="autoMax"/>
              <x14:negativeFillColor rgb="FFFF0000"/>
              <x14:axisColor rgb="FF000000"/>
            </x14:dataBar>
          </x14:cfRule>
          <xm:sqref>L68:L69</xm:sqref>
        </x14:conditionalFormatting>
        <x14:conditionalFormatting xmlns:xm="http://schemas.microsoft.com/office/excel/2006/main">
          <x14:cfRule type="dataBar" id="{4D74A5D6-DC72-1F43-B9B7-AD5E8E9C9FEA}">
            <x14:dataBar minLength="0" maxLength="100">
              <x14:cfvo type="autoMin"/>
              <x14:cfvo type="autoMax"/>
              <x14:negativeFillColor rgb="FFFF0000"/>
              <x14:axisColor rgb="FF000000"/>
            </x14:dataBar>
          </x14:cfRule>
          <xm:sqref>M70:M317</xm:sqref>
        </x14:conditionalFormatting>
        <x14:conditionalFormatting xmlns:xm="http://schemas.microsoft.com/office/excel/2006/main">
          <x14:cfRule type="dataBar" id="{CACEC9A7-1182-7349-BE00-C17E124BF9AB}">
            <x14:dataBar minLength="0" maxLength="100">
              <x14:cfvo type="autoMin"/>
              <x14:cfvo type="autoMax"/>
              <x14:negativeFillColor rgb="FFFF0000"/>
              <x14:axisColor rgb="FF000000"/>
            </x14:dataBar>
          </x14:cfRule>
          <xm:sqref>L70:L317</xm:sqref>
        </x14:conditionalFormatting>
        <x14:conditionalFormatting xmlns:xm="http://schemas.microsoft.com/office/excel/2006/main">
          <x14:cfRule type="dataBar" id="{BB154D98-3D62-5F48-93AD-28F27BE74E33}">
            <x14:dataBar minLength="0" maxLength="100">
              <x14:cfvo type="autoMin"/>
              <x14:cfvo type="autoMax"/>
              <x14:negativeFillColor rgb="FFFF0000"/>
              <x14:axisColor rgb="FF000000"/>
            </x14:dataBar>
          </x14:cfRule>
          <xm:sqref>S68:S317</xm:sqref>
        </x14:conditionalFormatting>
        <x14:conditionalFormatting xmlns:xm="http://schemas.microsoft.com/office/excel/2006/main">
          <x14:cfRule type="dataBar" id="{BCAAC5AD-DF24-2A46-8D5F-547C836BF3F3}">
            <x14:dataBar minLength="0" maxLength="100">
              <x14:cfvo type="autoMin"/>
              <x14:cfvo type="autoMax"/>
              <x14:negativeFillColor rgb="FFFF0000"/>
              <x14:axisColor rgb="FF000000"/>
            </x14:dataBar>
          </x14:cfRule>
          <xm:sqref>T68:T317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21</vt:i4>
      </vt:variant>
      <vt:variant>
        <vt:lpstr>命名范围</vt:lpstr>
      </vt:variant>
      <vt:variant>
        <vt:i4>2</vt:i4>
      </vt:variant>
    </vt:vector>
  </HeadingPairs>
  <TitlesOfParts>
    <vt:vector size="23" baseType="lpstr">
      <vt:lpstr>目录</vt:lpstr>
      <vt:lpstr>记录仪</vt:lpstr>
      <vt:lpstr>总指挥室</vt:lpstr>
      <vt:lpstr>币圈空间站</vt:lpstr>
      <vt:lpstr>且慢驾驶舱</vt:lpstr>
      <vt:lpstr>卓尔金历</vt:lpstr>
      <vt:lpstr>居家服务</vt:lpstr>
      <vt:lpstr>旧驾驶舱（待拆除）</vt:lpstr>
      <vt:lpstr>神经网络</vt:lpstr>
      <vt:lpstr>参数实验室</vt:lpstr>
      <vt:lpstr>哈布历法</vt:lpstr>
      <vt:lpstr>哈布历1</vt:lpstr>
      <vt:lpstr>哈布历2</vt:lpstr>
      <vt:lpstr>基金费率</vt:lpstr>
      <vt:lpstr>基金申赎记录</vt:lpstr>
      <vt:lpstr>基金结算中枢</vt:lpstr>
      <vt:lpstr>回测实验室</vt:lpstr>
      <vt:lpstr>CryptoSheets(🔥)</vt:lpstr>
      <vt:lpstr>币种排名</vt:lpstr>
      <vt:lpstr>MVRV和S2F</vt:lpstr>
      <vt:lpstr>交易所排名</vt:lpstr>
      <vt:lpstr>哈布历2!Print_Area</vt:lpstr>
      <vt:lpstr>基金费率!shfl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2021-03-29T13:51:33Z</dcterms:created>
  <dcterms:modified xsi:type="dcterms:W3CDTF">2021-09-26T07:24:24Z</dcterms:modified>
</cp:coreProperties>
</file>